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1.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tables/table1.xml" ContentType="application/vnd.openxmlformats-officedocument.spreadsheetml.table+xml"/>
  <Override PartName="/xl/drawings/drawing12.xml" ContentType="application/vnd.openxmlformats-officedocument.drawing+xml"/>
  <Override PartName="/xl/tables/table2.xml" ContentType="application/vnd.openxmlformats-officedocument.spreadsheetml.table+xml"/>
  <Override PartName="/xl/queryTables/queryTable1.xml" ContentType="application/vnd.openxmlformats-officedocument.spreadsheetml.query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queryTables/queryTable2.xml" ContentType="application/vnd.openxmlformats-officedocument.spreadsheetml.query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drawings/drawing13.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comments1.xml" ContentType="application/vnd.openxmlformats-officedocument.spreadsheetml.comments+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codeName="ThisWorkbook"/>
  <mc:AlternateContent xmlns:mc="http://schemas.openxmlformats.org/markup-compatibility/2006">
    <mc:Choice Requires="x15">
      <x15ac:absPath xmlns:x15ac="http://schemas.microsoft.com/office/spreadsheetml/2010/11/ac" url="https://quanticlear-my.sharepoint.com/personal/weiaun_quanticlear_com/Documents/WHO/WPRO/COVID-19 Vaccines/CVIC/Version 2.3 and 2.3 EZ/"/>
    </mc:Choice>
  </mc:AlternateContent>
  <xr:revisionPtr revIDLastSave="1125" documentId="13_ncr:1_{EB64ADA7-2909-4FF7-9B76-FFD9DCC5E5F6}" xr6:coauthVersionLast="47" xr6:coauthVersionMax="47" xr10:uidLastSave="{09B88D90-FAB9-4D30-B8E1-E10CCA6B584B}"/>
  <workbookProtection workbookAlgorithmName="SHA-512" workbookHashValue="jPyJnsR7kiW2HY4sN4syEdYxnSX2Vtt9BOTP8+46yOm9DqZHXMeT67gGQEUKtcj9NXI9MAOveNukaGU4Cn9j7A==" workbookSaltValue="WzIqJX1ZG/tVta8HT1whxg==" workbookSpinCount="100000" lockStructure="1"/>
  <bookViews>
    <workbookView xWindow="4410" yWindow="4695" windowWidth="35580" windowHeight="15585" xr2:uid="{40993DAD-601A-4D4F-A44F-969FDC9D472A}"/>
  </bookViews>
  <sheets>
    <sheet name="A1. START HERE" sheetId="1" r:id="rId1"/>
    <sheet name="A2. INPUT Population &amp; Delivery" sheetId="4" r:id="rId2"/>
    <sheet name="A3. INPUT Unit Costs" sheetId="7" r:id="rId3"/>
    <sheet name="A4. INPUT Central Costs" sheetId="14" r:id="rId4"/>
    <sheet name="B1. Target Population" sheetId="21" r:id="rId5"/>
    <sheet name="B2. Vaccines and Supplies" sheetId="22" r:id="rId6"/>
    <sheet name="B3. International Logistics" sheetId="6" r:id="rId7"/>
    <sheet name="B4. Domestic Logistics" sheetId="8" r:id="rId8"/>
    <sheet name="B5. Last Mile Delivery" sheetId="11" r:id="rId9"/>
    <sheet name="R1. OUTPUTS" sheetId="20" r:id="rId10"/>
    <sheet name="R2. Resource Mapping" sheetId="26" r:id="rId11"/>
    <sheet name="T0. Language Parameters" sheetId="54" state="hidden" r:id="rId12"/>
    <sheet name="T1. Vaccines" sheetId="2" r:id="rId13"/>
    <sheet name="T1s. Vaccine-related Supplies" sheetId="56" state="hidden" r:id="rId14"/>
    <sheet name="T1i. Vaccines" sheetId="49" state="hidden" r:id="rId15"/>
    <sheet name="T2. Misc" sheetId="3" state="hidden" r:id="rId16"/>
    <sheet name="T3. WB WHO" sheetId="18" state="hidden" r:id="rId17"/>
    <sheet name="T4. GAVI AMC ADB" sheetId="17" state="hidden" r:id="rId18"/>
    <sheet name="T5a. UN WPP 2019" sheetId="19" state="hidden" r:id="rId19"/>
    <sheet name="T5b. WDI SP.POP.TOTL 2020" sheetId="61" state="hidden" r:id="rId20"/>
    <sheet name="T6a. FOREX (XML)" sheetId="24" state="hidden" r:id="rId21"/>
    <sheet name="T6b. FOREX" sheetId="25" state="hidden" r:id="rId22"/>
    <sheet name="T7. UN Households" sheetId="35" state="hidden" r:id="rId23"/>
    <sheet name="T8. ISO2TLC" sheetId="34" state="hidden" r:id="rId24"/>
    <sheet name="T9. Shipping" sheetId="37" state="hidden" r:id="rId25"/>
    <sheet name="T10. WHO HRH NHWA" sheetId="50" state="hidden" r:id="rId26"/>
    <sheet name="T11. CCE GAVI" sheetId="51" state="hidden" r:id="rId27"/>
    <sheet name="GGX WEO202010 ENDA_XDC_USD_RATE" sheetId="59" state="hidden" r:id="rId28"/>
    <sheet name="GHED Data Nathalie" sheetId="60" state="hidden" r:id="rId29"/>
    <sheet name="T12. Gross Mnthly Salaries 2020" sheetId="52" state="hidden" r:id="rId30"/>
    <sheet name="T13b. WHO GHED 2018 - 26JAN2021" sheetId="57" state="hidden" r:id="rId31"/>
    <sheet name="T13c. Vaccine Exp (6520)" sheetId="58" state="hidden" r:id="rId32"/>
    <sheet name="SP.DYN.CBRT.IN" sheetId="46" state="hidden" r:id="rId33"/>
    <sheet name="SH.STA.DIAB.ZS" sheetId="31" state="hidden" r:id="rId34"/>
    <sheet name="SP.URB.TOTL.IN.ZS" sheetId="32" state="hidden" r:id="rId35"/>
    <sheet name="AG.SRF.TOTL.K2" sheetId="33" state="hidden" r:id="rId36"/>
    <sheet name="EN.URB.LCTY.UR.ZS" sheetId="36" state="hidden" r:id="rId37"/>
  </sheets>
  <definedNames>
    <definedName name="_30DTR">'T11. CCE GAVI'!$A$154:$A$158</definedName>
    <definedName name="_Capacity_Segmentation">'T2. Misc'!$G$28:$G$36</definedName>
    <definedName name="_ColdBoxRange">'T2. Misc'!$G$18:$G$19</definedName>
    <definedName name="_F">'T11. CCE GAVI'!$A$62:$A$73</definedName>
    <definedName name="_xlnm._FilterDatabase" localSheetId="31" hidden="1">'T13c. Vaccine Exp (6520)'!$A$4:$R$198</definedName>
    <definedName name="_ILR">'T11. CCE GAVI'!$A$36:$A$65</definedName>
    <definedName name="_Offset_Index_VaccineSupplies">'T1. Vaccines'!$R$6</definedName>
    <definedName name="_Offset_Index_VaccineSupplies_Index">'T1. Vaccines'!$R$39</definedName>
    <definedName name="_Offset_Index_VaccineSupplyPrices">'T1s. Vaccine-related Supplies'!$P$4</definedName>
    <definedName name="_RBF">'T2. Misc'!$G$9:$G$10</definedName>
    <definedName name="_RTMDs">'T11. CCE GAVI'!$A$159:$A$172</definedName>
    <definedName name="_SDD_F">'T11. CCE GAVI'!$A$128:$A$153</definedName>
    <definedName name="_SDD_R">'T11. CCE GAVI'!$A$74:$A$147</definedName>
    <definedName name="_UCC">'T11. CCE GAVI'!$A$33:$A$35</definedName>
    <definedName name="_WICR">'T11. CCE GAVI'!$A$2:$A$24</definedName>
    <definedName name="_WIFR">'T11. CCE GAVI'!$A$25:$A$32</definedName>
    <definedName name="_YesNo">'T2. Misc'!$G$12:$G$13</definedName>
    <definedName name="Ad_valorem">'A3. INPUT Unit Costs'!$E$84</definedName>
    <definedName name="Ad_valorem_supplies">'A3. INPUT Unit Costs'!$E$85</definedName>
    <definedName name="AEFI_MaxPerPeriod">'B2. Vaccines and Supplies'!$M$75</definedName>
    <definedName name="AMC_CostSharing">'A2. INPUT Population &amp; Delivery'!$H$303</definedName>
    <definedName name="AMC_Status">'A2. INPUT Population &amp; Delivery'!$H$279</definedName>
    <definedName name="AUCs_AddInterventions_perPerson">'A3. INPUT Unit Costs'!$I$189</definedName>
    <definedName name="AUCs_AddInterventions_perSite">'A3. INPUT Unit Costs'!$I$184</definedName>
    <definedName name="AUCs_CentralSecurity_perDay">'A3. INPUT Unit Costs'!$I$170</definedName>
    <definedName name="AUCs_ColdBox_PerSitePerDay">'A3. INPUT Unit Costs'!#REF!</definedName>
    <definedName name="AUCs_ColdChain_CentralVsLocalFactor">'A3. INPUT Unit Costs'!#REF!</definedName>
    <definedName name="AUCs_ColdChain_perSite">'A3. INPUT Unit Costs'!#REF!</definedName>
    <definedName name="AUCs_ColdChain_perVolumeDay_Fridge">'A3. INPUT Unit Costs'!#REF!</definedName>
    <definedName name="AUCs_ColdChain_perVolumeDay_Frozen">'A3. INPUT Unit Costs'!#REF!</definedName>
    <definedName name="AUCs_ColdChain_perVolumeDay_Ultracold">'A3. INPUT Unit Costs'!#REF!</definedName>
    <definedName name="AUCs_Comms_PerPerson_Vol">'A3. INPUT Unit Costs'!$I$160</definedName>
    <definedName name="AUCs_Comms_PerPerson_Workbased">'A3. INPUT Unit Costs'!$I$155</definedName>
    <definedName name="AUCs_Comms_PerSite">'A3. INPUT Unit Costs'!$I$150</definedName>
    <definedName name="AUCs_Data_perSite">'A3. INPUT Unit Costs'!$I$138</definedName>
    <definedName name="AUCs_Data_perSiteperDay">'A3. INPUT Unit Costs'!$I$143</definedName>
    <definedName name="AUCs_HRH_perHRHperDayOther">'A3. INPUT Unit Costs'!$I$23</definedName>
    <definedName name="AUCs_HRH_PerUniqueHRH">'A3. INPUT Unit Costs'!$I$17</definedName>
    <definedName name="AUCs_MobileA_PerTeam_PerDay">'A3. INPUT Unit Costs'!$I$91</definedName>
    <definedName name="AUCs_MobileB_PerTeam_PerDay">'A3. INPUT Unit Costs'!$I$96</definedName>
    <definedName name="AUCs_PPE_perHRH">'A3. INPUT Unit Costs'!$I$63</definedName>
    <definedName name="AUCs_PPE_perHRHperDay">'A3. INPUT Unit Costs'!$I$47</definedName>
    <definedName name="AUCs_Security_perSiteperDay">'A3. INPUT Unit Costs'!$I$172</definedName>
    <definedName name="AUCs_Security_perTeamperDay">'A3. INPUT Unit Costs'!$I$177</definedName>
    <definedName name="AUCs_Security_PerTrip">'A3. INPUT Unit Costs'!$I$169</definedName>
    <definedName name="Candidate_Vaccines">'T1. Vaccines'!$C$8:$AD$37</definedName>
    <definedName name="Car_MaxPersonnel">'A2. INPUT Population &amp; Delivery'!$E$186</definedName>
    <definedName name="Car_PerKM_USD">'A3. INPUT Unit Costs'!$I$88</definedName>
    <definedName name="CBR">'A2. INPUT Population &amp; Delivery'!$H$141</definedName>
    <definedName name="Central_Cost_Method">'A4. INPUT Central Costs'!#REF!</definedName>
    <definedName name="Central_Level_Activities_Duration_Months">'A4. INPUT Central Costs'!$D$9</definedName>
    <definedName name="che_usd_pc">'A2. INPUT Population &amp; Delivery'!$H$17</definedName>
    <definedName name="ColdChain_SDD_Proportion">'A2. INPUT Population &amp; Delivery'!$E$219</definedName>
    <definedName name="Copyright_Statement">'A1. START HERE'!$A$64</definedName>
    <definedName name="Countrey_Codes" localSheetId="4">Country_Codes[#All]</definedName>
    <definedName name="Countrey_Codes" localSheetId="5">Country_Codes[#All]</definedName>
    <definedName name="Countrey_Codes" localSheetId="10">Country_Codes[#All]</definedName>
    <definedName name="Countrey_Codes" localSheetId="13">Country_Codes[#All]</definedName>
    <definedName name="Countrey_Codes">Country_Codes[#All]</definedName>
    <definedName name="Country_Code">'A2. INPUT Population &amp; Delivery'!$H$8</definedName>
    <definedName name="Country_Name">'A2. INPUT Population &amp; Delivery'!$E$8</definedName>
    <definedName name="Covax_3Year_Total">'A2. INPUT Population &amp; Delivery'!$H$283</definedName>
    <definedName name="Covax_Fullyloaded">'B1. Target Population'!$J$214</definedName>
    <definedName name="Covax_Fullyloaded_NoFaultCompensation">'B1. Target Population'!$H$214</definedName>
    <definedName name="Covax_Fullyloaded_Shipping">'B3. International Logistics'!$I$139</definedName>
    <definedName name="Covax_Fullyloaded_WasteManagement">'B1. Target Population'!$I$214</definedName>
    <definedName name="COVAX_Indicated_Proportion">'A2. INPUT Population &amp; Delivery'!$E$282</definedName>
    <definedName name="COVAX_Indicated_Proportion_forcalculations">'A2. INPUT Population &amp; Delivery'!$H$282</definedName>
    <definedName name="COVAX_Indicated_Proportion_Stage1_forcalculations">'A2. INPUT Population &amp; Delivery'!$H$287</definedName>
    <definedName name="COVAX_Indicated_Proportion_Stage2_forcalculations">'A2. INPUT Population &amp; Delivery'!$H$288</definedName>
    <definedName name="COVAX_Status">'A2. INPUT Population &amp; Delivery'!$H$280</definedName>
    <definedName name="Critical_Sites">'A2. INPUT Population &amp; Delivery'!$E$194</definedName>
    <definedName name="CriticalPopulation_CometoSite">'A2. INPUT Population &amp; Delivery'!$H$199</definedName>
    <definedName name="CriticalPopulation_MobileA">'A2. INPUT Population &amp; Delivery'!$E$197</definedName>
    <definedName name="CriticalPopulation_MobileB">'A2. INPUT Population &amp; Delivery'!$E$198</definedName>
    <definedName name="CVIC_Version">'A1. START HERE'!$C$9</definedName>
    <definedName name="DataVal_1or2">'T2. Misc'!$G$1:$G$2</definedName>
    <definedName name="DataVal_B1.2_Max">'B1. Target Population'!$K$57</definedName>
    <definedName name="DataVal_UpperLower">'T0. Language Parameters'!#REF!</definedName>
    <definedName name="DataVal_VaccineAdministrationRoute">'T2. Misc'!$G$4:$G$7</definedName>
    <definedName name="DataVal_VaccineStorageRequirements">'T2. Misc'!$G$9:$G$12</definedName>
    <definedName name="DataVal_Variants">'T0. Language Parameters'!$AM$2:$AO$2</definedName>
    <definedName name="DataVal_WHOShippingClass">'T2. Misc'!$G$14:$G$16</definedName>
    <definedName name="DataVal_YesNo">'T0. Language Parameters'!$AD$2:$AE$2</definedName>
    <definedName name="Disclaimer_Accepted">'A1. START HERE'!$F$15</definedName>
    <definedName name="District_Stores">'A2. INPUT Population &amp; Delivery'!$E$191</definedName>
    <definedName name="DM1_DosesPerCourse" localSheetId="4">'B1. Target Population'!#REF!</definedName>
    <definedName name="DM1_DosesPerCourse" localSheetId="5">'B2. Vaccines and Supplies'!#REF!</definedName>
    <definedName name="DM1_Site_Distances">'B4. Domestic Logistics'!$J$23</definedName>
    <definedName name="DM1_Vaccine">'A2. INPUT Population &amp; Delivery'!$E$225</definedName>
    <definedName name="DM1_Vaccine_USD">'A2. INPUT Population &amp; Delivery'!$H$231</definedName>
    <definedName name="DM1to2_Voluntary">'A2. INPUT Population &amp; Delivery'!$E$106</definedName>
    <definedName name="DM1to2_Workbased">'A2. INPUT Population &amp; Delivery'!$E$73</definedName>
    <definedName name="DM2_DosesPerCourse" localSheetId="4">'B1. Target Population'!#REF!</definedName>
    <definedName name="DM2_DosesPerCourse" localSheetId="5">'B2. Vaccines and Supplies'!#REF!</definedName>
    <definedName name="DM2_DosesPerCourse">'B5. Last Mile Delivery'!#REF!</definedName>
    <definedName name="DM2_Site_Distances">'B4. Domestic Logistics'!$D$27</definedName>
    <definedName name="DM2_Vaccine">'A2. INPUT Population &amp; Delivery'!$E$226</definedName>
    <definedName name="DM2_Vaccine_USD">'A2. INPUT Population &amp; Delivery'!$H$232</definedName>
    <definedName name="DM3_DosesPerCourse" localSheetId="4">'B1. Target Population'!#REF!</definedName>
    <definedName name="DM3_DosesPerCourse" localSheetId="5">'B2. Vaccines and Supplies'!#REF!</definedName>
    <definedName name="DM3_DosesPerCourse">'B5. Last Mile Delivery'!#REF!</definedName>
    <definedName name="DM3_Site_Distances">'B4. Domestic Logistics'!$D$30</definedName>
    <definedName name="DM3_Vaccine">'A2. INPUT Population &amp; Delivery'!$E$227</definedName>
    <definedName name="DM3_Vaccine_USD">'A2. INPUT Population &amp; Delivery'!$H$233</definedName>
    <definedName name="DM4_ColdLife">'A2. INPUT Population &amp; Delivery'!$H$220</definedName>
    <definedName name="DM4_DosesPerCourse" localSheetId="4">'B1. Target Population'!#REF!</definedName>
    <definedName name="DM4_DosesPerCourse" localSheetId="5">'B2. Vaccines and Supplies'!#REF!</definedName>
    <definedName name="DM4_DosesPerCourse">'B5. Last Mile Delivery'!#REF!</definedName>
    <definedName name="DM4_Site_Distances">'B4. Domestic Logistics'!$D$28</definedName>
    <definedName name="DM4_Vaccine">'A2. INPUT Population &amp; Delivery'!$E$228</definedName>
    <definedName name="DM4_Vaccine_USD">'A2. INPUT Population &amp; Delivery'!$H$234</definedName>
    <definedName name="ext_usd_pc">'A2. INPUT Population &amp; Delivery'!$H$20</definedName>
    <definedName name="ExternalData_1" localSheetId="14" hidden="1">'T1i. Vaccines'!$A$2:$AX$39</definedName>
    <definedName name="ExternalData_1" localSheetId="20" hidden="1">'T6a. FOREX (XML)'!$A$1:$K$150</definedName>
    <definedName name="FCAS">'A2. INPUT Population &amp; Delivery'!$H$168</definedName>
    <definedName name="FTE_WorkingDays_perPeriod">'R1. OUTPUTS'!$M$229</definedName>
    <definedName name="GAVI56_Status">'A2. INPUT Population &amp; Delivery'!$H$278</definedName>
    <definedName name="gghe_usd_pc">'A2. INPUT Population &amp; Delivery'!$H$18</definedName>
    <definedName name="gghed_usd_pc">'A2. INPUT Population &amp; Delivery'!$H$19</definedName>
    <definedName name="Handling_perShipment_USD">'A3. INPUT Unit Costs'!$I$81</definedName>
    <definedName name="Help">'A1. START HERE'!$A$17</definedName>
    <definedName name="HH_Additional_Vaccines">'A2. INPUT Population &amp; Delivery'!$E$103</definedName>
    <definedName name="hk_usd_pc">'A2. INPUT Population &amp; Delivery'!$H$21</definedName>
    <definedName name="Household_Size_Value">'A2. INPUT Population &amp; Delivery'!$H$102</definedName>
    <definedName name="HR_Inst_Sites">'A2. INPUT Population &amp; Delivery'!$H$98</definedName>
    <definedName name="HR_Inst_Staff">'A2. INPUT Population &amp; Delivery'!$E$97</definedName>
    <definedName name="HRH_DailySupplement_USD">'A3. INPUT Unit Costs'!$I$9</definedName>
    <definedName name="HRH_DaysPerWeek">'A2. INPUT Population &amp; Delivery'!$E$183</definedName>
    <definedName name="HRH_DefaultDays_DM1to3">'B5. Last Mile Delivery'!$J$5</definedName>
    <definedName name="HRH_DefaultDays_DM1to3_UCC">'B5. Last Mile Delivery'!$J$6</definedName>
    <definedName name="HRH_DefaultDays_DM4">'B5. Last Mile Delivery'!$J$7</definedName>
    <definedName name="HRH_Hourly_USD">'A3. INPUT Unit Costs'!$I$10</definedName>
    <definedName name="HRH_HoursPerDay">'A2. INPUT Population &amp; Delivery'!$E$182</definedName>
    <definedName name="HRH_MobileTravel_HoursPerDay">'A2. INPUT Population &amp; Delivery'!$E$184</definedName>
    <definedName name="HRH_New_Salary_perMonth">'A3. INPUT Unit Costs'!$I$15</definedName>
    <definedName name="HRH_NonRedeployed">'R1. OUTPUTS'!$D$247</definedName>
    <definedName name="HRH_NonRedeployed_Person">'R1. OUTPUTS'!$D$250</definedName>
    <definedName name="HRH_Redeployable_Percent">'A2. INPUT Population &amp; Delivery'!$H$180</definedName>
    <definedName name="HRH_Redeployed">'R1. OUTPUTS'!$D$246</definedName>
    <definedName name="HRH_Redeployed_Person">'R1. OUTPUTS'!$D$249</definedName>
    <definedName name="HRH_Robustness_Bounds">'A2. INPUT Population &amp; Delivery'!$E$185</definedName>
    <definedName name="HRH_Total_Supply">'A2. INPUT Population &amp; Delivery'!$H$177</definedName>
    <definedName name="HRH_Variant_toDisplay">'R1. OUTPUTS'!$C$211</definedName>
    <definedName name="HRH_Variant_toDisplay_Offset">'R1. OUTPUTS'!$G$211</definedName>
    <definedName name="Int_Shipments_perPeriod">'A2. INPUT Population &amp; Delivery'!$E$215</definedName>
    <definedName name="kWh_USD">'A3. INPUT Unit Costs'!$I$104</definedName>
    <definedName name="Lang__A1">'A1. START HERE'!$I$1</definedName>
    <definedName name="Lang__A2">'A2. INPUT Population &amp; Delivery'!$M$1</definedName>
    <definedName name="Lang__A3">'A3. INPUT Unit Costs'!$O$1</definedName>
    <definedName name="Lang__A4">'A4. INPUT Central Costs'!$Q$1</definedName>
    <definedName name="Lang__B1">'B1. Target Population'!$O$1</definedName>
    <definedName name="Lang__B2">'B2. Vaccines and Supplies'!$Z$1</definedName>
    <definedName name="Lang__B3">'B3. International Logistics'!$R$1</definedName>
    <definedName name="Lang__B4">'B4. Domestic Logistics'!$R$1</definedName>
    <definedName name="Lang__B5">'B5. Last Mile Delivery'!$AR$1</definedName>
    <definedName name="Lang__R1">'R1. OUTPUTS'!$N$1</definedName>
    <definedName name="Lang__R2">'R2. Resource Mapping'!$P$1</definedName>
    <definedName name="Lang__R3">#REF!</definedName>
    <definedName name="Lang__T1">'T1. Vaccines'!$AI$1</definedName>
    <definedName name="Lang_AvoidUCC">'T0. Language Parameters'!$AP$2</definedName>
    <definedName name="Lang_Button_Help">'T0. Language Parameters'!$I$2</definedName>
    <definedName name="Lang_Button_Menu">'T0. Language Parameters'!$E$2</definedName>
    <definedName name="Lang_Button_NextItem">'T0. Language Parameters'!$F$2</definedName>
    <definedName name="Lang_Button_NextPage">'T0. Language Parameters'!$G$2</definedName>
    <definedName name="Lang_Button_Results">'T0. Language Parameters'!$H$2</definedName>
    <definedName name="Lang_CHECK">'T0. Language Parameters'!$S$2</definedName>
    <definedName name="Lang_Committed">'T0. Language Parameters'!$AJ$2</definedName>
    <definedName name="Lang_ConsiderSecurity">'T0. Language Parameters'!$Z$2</definedName>
    <definedName name="Lang_ConsiderUniversal">'T0. Language Parameters'!$AA$2</definedName>
    <definedName name="Lang_CovaxNotice">'T0. Language Parameters'!$M$2</definedName>
    <definedName name="Lang_DECREASE">'T0. Language Parameters'!$AI$2</definedName>
    <definedName name="Lang_Deficit">'T0. Language Parameters'!$AG$2</definedName>
    <definedName name="Lang_Disclaimer_Accepted">'T0. Language Parameters'!$O$2</definedName>
    <definedName name="Lang_Disclaimer_Rejected">'T0. Language Parameters'!$P$2</definedName>
    <definedName name="Lang_Disclaimer_Text">'T0. Language Parameters'!$N$2</definedName>
    <definedName name="Lang_INCREASE">'T0. Language Parameters'!$AH$2</definedName>
    <definedName name="Lang_InputHere">'T0. Language Parameters'!$V$2</definedName>
    <definedName name="Lang_InputHereOverride">'T0. Language Parameters'!$W$2</definedName>
    <definedName name="Lang_LCU">'T0. Language Parameters'!$AB$2</definedName>
    <definedName name="Lang_LeaveBlank">'T0. Language Parameters'!$Y$2</definedName>
    <definedName name="Lang_LogicFailed">'T0. Language Parameters'!$U$2</definedName>
    <definedName name="Lang_LogicPassed">'T0. Language Parameters'!$T$2</definedName>
    <definedName name="Lang_Lower">'T0. Language Parameters'!#REF!</definedName>
    <definedName name="Lang_No">'T0. Language Parameters'!$AE$2</definedName>
    <definedName name="Lang_NonCovaxParticipant" localSheetId="13">Language_Parameters[[#Headers],[Non-Covax Participant]]</definedName>
    <definedName name="Lang_NonCovaxParticipant">'T0. Language Parameters'!$AL$2</definedName>
    <definedName name="Lang_Optional">'T0. Language Parameters'!$AK$2</definedName>
    <definedName name="Lang_Order">'T0. Language Parameters'!$D$2</definedName>
    <definedName name="Lang_SelectHere">'T0. Language Parameters'!$X$2</definedName>
    <definedName name="Lang_StillMissing">'T0. Language Parameters'!$AC$2</definedName>
    <definedName name="Lang_Surplus">'T0. Language Parameters'!$AF$2</definedName>
    <definedName name="Lang_Upper">'T0. Language Parameters'!#REF!</definedName>
    <definedName name="Lang_VaccineDatabaseLastUpdate">'T0. Language Parameters'!$L$2</definedName>
    <definedName name="Lang_VaccineDatabaseNotice">'T0. Language Parameters'!$J$2</definedName>
    <definedName name="Lang_VaccineDatabaseNoticeStartPage">'T0. Language Parameters'!$K$2</definedName>
    <definedName name="Lang_VariantLower">'T0. Language Parameters'!$AO$2</definedName>
    <definedName name="Lang_VariantMedium">'T0. Language Parameters'!$AM$2</definedName>
    <definedName name="Lang_VariantUpper">'T0. Language Parameters'!$AN$2</definedName>
    <definedName name="Lang_Yes">'T0. Language Parameters'!$AD$2</definedName>
    <definedName name="Language">'A1. START HERE'!$C$6</definedName>
    <definedName name="LCU">'A2. INPUT Population &amp; Delivery'!$E$9</definedName>
    <definedName name="LCU_Name">'A2. INPUT Population &amp; Delivery'!$H$9</definedName>
    <definedName name="LogicChecks_A2">'A2. INPUT Population &amp; Delivery'!$I$1</definedName>
    <definedName name="LogicChecks_A3">'A3. INPUT Unit Costs'!$J$1</definedName>
    <definedName name="LogicChecks_B1">'B1. Target Population'!$L$1</definedName>
    <definedName name="LogicChecks_B4">'B4. Domestic Logistics'!$P$1</definedName>
    <definedName name="LPI">'A2. INPUT Population &amp; Delivery'!#REF!</definedName>
    <definedName name="LR_Inst_Sites">'A2. INPUT Population &amp; Delivery'!$H$124</definedName>
    <definedName name="LR_Inst_Staff">'A2. INPUT Population &amp; Delivery'!$E$123</definedName>
    <definedName name="Menu_Help">'A1. START HERE'!$A$17</definedName>
    <definedName name="Menu_QuickLinks">'A1. START HERE'!$A$50</definedName>
    <definedName name="Menu_Timing">'B1. Target Population'!$A$53</definedName>
    <definedName name="OpenSolver_ChosenSolver" localSheetId="8" hidden="1">NOMAD</definedName>
    <definedName name="OpenSolver_Duals" localSheetId="8" hidden="1">'B5. Last Mile Delivery'!$U$9</definedName>
    <definedName name="OpenSolver_DualsNewSheet" localSheetId="8" hidden="1">1</definedName>
    <definedName name="OpenSolver_LinearityCheck" localSheetId="8" hidden="1">1</definedName>
    <definedName name="OpenSolver_UpdateSensitivity" localSheetId="8" hidden="1">0</definedName>
    <definedName name="OpenSolverModelParameters" localSheetId="8" hidden="1">'B5. Last Mile Delivery'!$J$99:$O$99</definedName>
    <definedName name="Oversight_Percent">'A4. INPUT Central Costs'!$D$102</definedName>
    <definedName name="Pop_AgeGroupAtHighRiskofTransmission">'A2. INPUT Population &amp; Delivery'!$H$79</definedName>
    <definedName name="Pop_EssentialWorkersAndRelatedGroups_Percent">'A2. INPUT Population &amp; Delivery'!$H$70</definedName>
    <definedName name="Pop_HardtoAccess_Percent">'A2. INPUT Population &amp; Delivery'!$H$135</definedName>
    <definedName name="Pop_HCW_CS_Sites">'A2. INPUT Population &amp; Delivery'!$E$192</definedName>
    <definedName name="Pop_HCW_NCS_Percent">'A2. INPUT Population &amp; Delivery'!#REF!</definedName>
    <definedName name="Pop_HealthWorkers_Percent">'A2. INPUT Population &amp; Delivery'!$H$48</definedName>
    <definedName name="Pop_HR_2021">'A2. INPUT Population &amp; Delivery'!$H$89</definedName>
    <definedName name="Pop_HR_2022">'A2. INPUT Population &amp; Delivery'!$H$90</definedName>
    <definedName name="Pop_HR_2023">'A2. INPUT Population &amp; Delivery'!$H$91</definedName>
    <definedName name="Pop_HR_2024">'A2. INPUT Population &amp; Delivery'!$H$92</definedName>
    <definedName name="Pop_OlderAdultsinResInsts_Percent">'A2. INPUT Population &amp; Delivery'!$H$96</definedName>
    <definedName name="Pop_Pregnant_Percent">'A2. INPUT Population &amp; Delivery'!$H$153</definedName>
    <definedName name="Pop_Priorty_SocDem_Percent">'A2. INPUT Population &amp; Delivery'!$H$118</definedName>
    <definedName name="Pop_Priorty_SocDem_Res_Percent">'A2. INPUT Population &amp; Delivery'!$H$122</definedName>
    <definedName name="Pop_Priorty_SocDem_SpecialHardtoAccess_Percent">'A2. INPUT Population &amp; Delivery'!$H$128</definedName>
    <definedName name="Pop_Total_2020">'A2. INPUT Population &amp; Delivery'!$H$31</definedName>
    <definedName name="Pop_Total_2021">'A2. INPUT Population &amp; Delivery'!$H$33</definedName>
    <definedName name="Pop_Total_2022">'A2. INPUT Population &amp; Delivery'!$H$34</definedName>
    <definedName name="Pop_Total_2023">'A2. INPUT Population &amp; Delivery'!$H$35</definedName>
    <definedName name="Pop_Total_2024">'A2. INPUT Population &amp; Delivery'!$H$36</definedName>
    <definedName name="PreExisting_Percent">'A2. INPUT Population &amp; Delivery'!$H$147</definedName>
    <definedName name="Procurement_Service_Fees_VaccineSupplies">'A3. INPUT Unit Costs'!$E$86</definedName>
    <definedName name="QuickLinks">'A1. START HERE'!$A$50</definedName>
    <definedName name="RBF">'A2. INPUT Population &amp; Delivery'!$E$256</definedName>
    <definedName name="RBF_DM1">'A2. INPUT Population &amp; Delivery'!$H$269</definedName>
    <definedName name="RBF_DM2">'A2. INPUT Population &amp; Delivery'!$H$270</definedName>
    <definedName name="RBF_DM3">'A2. INPUT Population &amp; Delivery'!$H$271</definedName>
    <definedName name="RBF_DM4">'A2. INPUT Population &amp; Delivery'!$H$272</definedName>
    <definedName name="Redeployable_Vaccinators">'R1. OUTPUTS'!$D$244</definedName>
    <definedName name="Regional_Stores">'A2. INPUT Population &amp; Delivery'!$E$190</definedName>
    <definedName name="Reserve_Buffer">'A2. INPUT Population &amp; Delivery'!$E$218</definedName>
    <definedName name="Shipping_perkg_above100">'A3. INPUT Unit Costs'!$I$80</definedName>
    <definedName name="Shipping_perkg_first100">'A3. INPUT Unit Costs'!$I$79</definedName>
    <definedName name="Sites_DM1">'A2. INPUT Population &amp; Delivery'!$E$192</definedName>
    <definedName name="Sites_Institutions">'A2. INPUT Population &amp; Delivery'!#REF!</definedName>
    <definedName name="Sites_NoColdStorage">'A2. INPUT Population &amp; Delivery'!$E$193</definedName>
    <definedName name="solver_adj" localSheetId="8" hidden="1">'B5. Last Mile Delivery'!$J$99:$O$99,'B5. Last Mile Delivery'!$J$151:$O$152,'B5. Last Mile Delivery'!$J$199:$J$200,'B5. Last Mile Delivery'!$J$251,'B5. Last Mile Delivery'!$J$253:$J$257</definedName>
    <definedName name="solver_cvg" localSheetId="8" hidden="1">0.0001</definedName>
    <definedName name="solver_drv" localSheetId="8" hidden="1">2</definedName>
    <definedName name="solver_eng" localSheetId="1" hidden="1">1</definedName>
    <definedName name="solver_eng" localSheetId="8" hidden="1">2</definedName>
    <definedName name="solver_est" localSheetId="8" hidden="1">1</definedName>
    <definedName name="solver_itr" localSheetId="8" hidden="1">10000</definedName>
    <definedName name="solver_lhs1" localSheetId="8" hidden="1">'B5. Last Mile Delivery'!$Q$108</definedName>
    <definedName name="solver_lhs10" localSheetId="8" hidden="1">'B5. Last Mile Delivery'!$J$151:$O$152</definedName>
    <definedName name="solver_lhs11" localSheetId="8" hidden="1">'B5. Last Mile Delivery'!$J$199:$J$200</definedName>
    <definedName name="solver_lhs12" localSheetId="8" hidden="1">'B5. Last Mile Delivery'!$J$199:$J$200</definedName>
    <definedName name="solver_lhs13" localSheetId="8" hidden="1">'B5. Last Mile Delivery'!$J$199:$J$200</definedName>
    <definedName name="solver_lhs14" localSheetId="8" hidden="1">'B5. Last Mile Delivery'!$J$251</definedName>
    <definedName name="solver_lhs15" localSheetId="8" hidden="1">'B5. Last Mile Delivery'!$J$251</definedName>
    <definedName name="solver_lhs16" localSheetId="8" hidden="1">'B5. Last Mile Delivery'!$J$251</definedName>
    <definedName name="solver_lhs17" localSheetId="8" hidden="1">'B5. Last Mile Delivery'!$J$253:$J$257</definedName>
    <definedName name="solver_lhs18" localSheetId="8" hidden="1">'B5. Last Mile Delivery'!$J$253:$J$257</definedName>
    <definedName name="solver_lhs19" localSheetId="8" hidden="1">'B5. Last Mile Delivery'!$J$253:$J$257</definedName>
    <definedName name="solver_lhs2" localSheetId="8" hidden="1">'B5. Last Mile Delivery'!$Q$160</definedName>
    <definedName name="solver_lhs3" localSheetId="8" hidden="1">'B5. Last Mile Delivery'!$Q$206</definedName>
    <definedName name="solver_lhs4" localSheetId="8" hidden="1">'B5. Last Mile Delivery'!$Q$280</definedName>
    <definedName name="solver_lhs5" localSheetId="8" hidden="1">'B5. Last Mile Delivery'!$J$99:$O$99</definedName>
    <definedName name="solver_lhs6" localSheetId="8" hidden="1">'B5. Last Mile Delivery'!$J$99:$O$99</definedName>
    <definedName name="solver_lhs7" localSheetId="8" hidden="1">'B5. Last Mile Delivery'!$J$99:$O$99</definedName>
    <definedName name="solver_lhs8" localSheetId="8" hidden="1">'B5. Last Mile Delivery'!$J$151:$O$152</definedName>
    <definedName name="solver_lhs9" localSheetId="8" hidden="1">'B5. Last Mile Delivery'!$J$151:$O$152</definedName>
    <definedName name="solver_mip" localSheetId="8" hidden="1">2147483647</definedName>
    <definedName name="solver_mni" localSheetId="8" hidden="1">30</definedName>
    <definedName name="solver_mrt" localSheetId="8" hidden="1">0.075</definedName>
    <definedName name="solver_msl" localSheetId="8" hidden="1">2</definedName>
    <definedName name="solver_neg" localSheetId="1" hidden="1">1</definedName>
    <definedName name="solver_neg" localSheetId="8" hidden="1">1</definedName>
    <definedName name="solver_nod" localSheetId="8" hidden="1">2147483647</definedName>
    <definedName name="solver_num" localSheetId="1" hidden="1">0</definedName>
    <definedName name="solver_num" localSheetId="8" hidden="1">19</definedName>
    <definedName name="solver_nwt" localSheetId="8" hidden="1">1</definedName>
    <definedName name="solver_opt" localSheetId="1" hidden="1">'A2. INPUT Population &amp; Delivery'!$E$34</definedName>
    <definedName name="solver_opt" localSheetId="8" hidden="1">'B5. Last Mile Delivery'!#REF!</definedName>
    <definedName name="solver_pre" localSheetId="8" hidden="1">0.0000001</definedName>
    <definedName name="solver_rbv" localSheetId="8" hidden="1">2</definedName>
    <definedName name="solver_rel1" localSheetId="8" hidden="1">1</definedName>
    <definedName name="solver_rel10" localSheetId="8" hidden="1">1</definedName>
    <definedName name="solver_rel11" localSheetId="8" hidden="1">1</definedName>
    <definedName name="solver_rel12" localSheetId="8" hidden="1">4</definedName>
    <definedName name="solver_rel13" localSheetId="8" hidden="1">3</definedName>
    <definedName name="solver_rel14" localSheetId="8" hidden="1">4</definedName>
    <definedName name="solver_rel15" localSheetId="8" hidden="1">3</definedName>
    <definedName name="solver_rel16" localSheetId="8" hidden="1">1</definedName>
    <definedName name="solver_rel17" localSheetId="8" hidden="1">4</definedName>
    <definedName name="solver_rel18" localSheetId="8" hidden="1">1</definedName>
    <definedName name="solver_rel19" localSheetId="8" hidden="1">3</definedName>
    <definedName name="solver_rel2" localSheetId="8" hidden="1">1</definedName>
    <definedName name="solver_rel3" localSheetId="8" hidden="1">2</definedName>
    <definedName name="solver_rel4" localSheetId="8" hidden="1">1</definedName>
    <definedName name="solver_rel5" localSheetId="8" hidden="1">4</definedName>
    <definedName name="solver_rel6" localSheetId="8" hidden="1">1</definedName>
    <definedName name="solver_rel7" localSheetId="8" hidden="1">3</definedName>
    <definedName name="solver_rel8" localSheetId="8" hidden="1">4</definedName>
    <definedName name="solver_rel9" localSheetId="8" hidden="1">3</definedName>
    <definedName name="solver_rhs1" localSheetId="8" hidden="1">180</definedName>
    <definedName name="solver_rhs10" localSheetId="8" hidden="1">999</definedName>
    <definedName name="solver_rhs11" localSheetId="8" hidden="1">999</definedName>
    <definedName name="solver_rhs12" localSheetId="8" hidden="1">integer</definedName>
    <definedName name="solver_rhs13" localSheetId="8" hidden="1">1</definedName>
    <definedName name="solver_rhs14" localSheetId="8" hidden="1">integer</definedName>
    <definedName name="solver_rhs15" localSheetId="8" hidden="1">1</definedName>
    <definedName name="solver_rhs16" localSheetId="8" hidden="1">999</definedName>
    <definedName name="solver_rhs17" localSheetId="8" hidden="1">integer</definedName>
    <definedName name="solver_rhs18" localSheetId="8" hidden="1">999</definedName>
    <definedName name="solver_rhs19" localSheetId="8" hidden="1">1</definedName>
    <definedName name="solver_rhs2" localSheetId="8" hidden="1">180</definedName>
    <definedName name="solver_rhs3" localSheetId="8" hidden="1">1</definedName>
    <definedName name="solver_rhs4" localSheetId="8" hidden="1">180</definedName>
    <definedName name="solver_rhs5" localSheetId="8" hidden="1">integer</definedName>
    <definedName name="solver_rhs6" localSheetId="8" hidden="1">999</definedName>
    <definedName name="solver_rhs7" localSheetId="8" hidden="1">1</definedName>
    <definedName name="solver_rhs8" localSheetId="8" hidden="1">integer</definedName>
    <definedName name="solver_rhs9" localSheetId="8" hidden="1">1</definedName>
    <definedName name="solver_rlx" localSheetId="8" hidden="1">2</definedName>
    <definedName name="solver_rsd" localSheetId="8" hidden="1">0</definedName>
    <definedName name="solver_scl" localSheetId="8" hidden="1">2</definedName>
    <definedName name="solver_sho" localSheetId="8" hidden="1">1</definedName>
    <definedName name="solver_ssz" localSheetId="8" hidden="1">100</definedName>
    <definedName name="solver_tim" localSheetId="8" hidden="1">300</definedName>
    <definedName name="solver_tol" localSheetId="8" hidden="1">0.01</definedName>
    <definedName name="solver_typ" localSheetId="1" hidden="1">1</definedName>
    <definedName name="solver_typ" localSheetId="8" hidden="1">2</definedName>
    <definedName name="solver_val" localSheetId="1" hidden="1">0</definedName>
    <definedName name="solver_val" localSheetId="8" hidden="1">0</definedName>
    <definedName name="solver_ver" localSheetId="1" hidden="1">3</definedName>
    <definedName name="solver_ver" localSheetId="8" hidden="1">3</definedName>
    <definedName name="Special_tariff">'A3. INPUT Unit Costs'!$I$83</definedName>
    <definedName name="Surface_Area_sqkm">'A2. INPUT Population &amp; Delivery'!$H$164</definedName>
    <definedName name="T1_Vaccines_forCombi">'T1. Vaccines'!$C$12:$AE$37</definedName>
    <definedName name="T1_Vaccines_NumSuitable">'T1. Vaccines'!$AE$38</definedName>
    <definedName name="Temperature_Electronic_Device_USD">'A3. INPUT Unit Costs'!$I$82</definedName>
    <definedName name="Time_period">'A2. INPUT Population &amp; Delivery'!$E$212</definedName>
    <definedName name="Timing">'B1. Target Population'!$A$53</definedName>
    <definedName name="TriggerSensitivity_SurplusDeficit">'B1. Target Population'!$B$88</definedName>
    <definedName name="UN_WPP_Offset">'A2. INPUT Population &amp; Delivery'!$J$86</definedName>
    <definedName name="UnitPrice_ColdBox">'A3. INPUT Unit Costs'!$I$106</definedName>
    <definedName name="UnitPrice_Icepacks">'A3. INPUT Unit Costs'!$I$108</definedName>
    <definedName name="UnitPrice_VaccineCarrier">'A3. INPUT Unit Costs'!$I$107</definedName>
    <definedName name="Urban_Population_LargestCity_Percent">'A2. INPUT Population &amp; Delivery'!$H$167</definedName>
    <definedName name="Urban_Population_Percent">'A2. INPUT Population &amp; Delivery'!$H$166</definedName>
    <definedName name="USD2LCU">'A2. INPUT Population &amp; Delivery'!$H$10</definedName>
    <definedName name="Vaccinators_Maximum">'B5. Last Mile Delivery'!$Q$56</definedName>
    <definedName name="Vaccinators_Maximum_Lower">'B5. Last Mile Delivery'!$AP$56</definedName>
    <definedName name="Vaccinators_Maximum_Upper">'B5. Last Mile Delivery'!$AD$56</definedName>
    <definedName name="Vaccine_Database_LastUpdate" localSheetId="13">'T1s. Vaccine-related Supplies'!#REF!</definedName>
    <definedName name="Vaccine_Database_LastUpdate">'T1. Vaccines'!$D$4</definedName>
    <definedName name="Vaccine_Database_Notice" localSheetId="13">'T1s. Vaccine-related Supplies'!#REF!</definedName>
    <definedName name="Vaccine_Database_Notice">'T1. Vaccines'!$F$4</definedName>
    <definedName name="Vaccine_Database_Notice_StartPage">'A1. START HERE'!$C$11</definedName>
    <definedName name="Vaccine_Storage_Buffer_Days">'A2. INPUT Population &amp; Delivery'!#REF!</definedName>
    <definedName name="Vaccine_Supplies_District_PerPeriod">'A2. INPUT Population &amp; Delivery'!$E$217</definedName>
    <definedName name="Vaccine_Supplies_PerPeriod">'A2. INPUT Population &amp; Delivery'!$E$216</definedName>
    <definedName name="Vaccine_Wastage_Rate">'A2. INPUT Population &amp; Delivery'!$E$237</definedName>
    <definedName name="Volume_Buffer">'A2. INPUT Population &amp; Delivery'!$E$214</definedName>
    <definedName name="WB_WHO_Country_Database">'T3. WB WHO'!$A$1:$AL$200</definedName>
    <definedName name="WDI_DomesticGGHEPerCapita_CurrentUSD">'A2. INPUT Population &amp; Delivery'!#REF!</definedName>
    <definedName name="WHO_Copyright">'A1. START HERE'!$A$67</definedName>
    <definedName name="WHO_Reference">'A1. START HERE'!$A$68</definedName>
    <definedName name="WMF">'A2. INPUT Population &amp; Delivery'!$H$238</definedName>
    <definedName name="WMF_DM1">'A2. INPUT Population &amp; Delivery'!$H$241</definedName>
    <definedName name="WMF_DM2">'A2. INPUT Population &amp; Delivery'!$H$242</definedName>
    <definedName name="WMF_DM3">'A2. INPUT Population &amp; Delivery'!$H$243</definedName>
    <definedName name="WMF_DM4">'A2. INPUT Population &amp; Delivery'!$H$244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4" i="2" l="1"/>
  <c r="AE15" i="2" s="1"/>
  <c r="AE16" i="2" s="1"/>
  <c r="AE17" i="2" s="1"/>
  <c r="AE18" i="2" s="1"/>
  <c r="AE19" i="2" s="1"/>
  <c r="AE20" i="2" s="1"/>
  <c r="AE21" i="2" s="1"/>
  <c r="AE22" i="2" s="1"/>
  <c r="AE23" i="2" s="1"/>
  <c r="AE24" i="2" s="1"/>
  <c r="AE25" i="2" s="1"/>
  <c r="AE26" i="2" s="1"/>
  <c r="AE27" i="2" s="1"/>
  <c r="AE28" i="2" s="1"/>
  <c r="AE29" i="2" s="1"/>
  <c r="AE30" i="2" s="1"/>
  <c r="AE31" i="2" s="1"/>
  <c r="AE32" i="2" s="1"/>
  <c r="AE33" i="2" s="1"/>
  <c r="AE34" i="2" s="1"/>
  <c r="AE35" i="2" s="1"/>
  <c r="AE36" i="2" s="1"/>
  <c r="AE37" i="2" s="1"/>
  <c r="AE13" i="2"/>
  <c r="H164" i="4"/>
  <c r="H174" i="4"/>
  <c r="H173" i="4"/>
  <c r="H172" i="4"/>
  <c r="H171" i="4"/>
  <c r="H153" i="4"/>
  <c r="G55" i="26"/>
  <c r="G54" i="26"/>
  <c r="G53" i="26"/>
  <c r="G52" i="26"/>
  <c r="G51" i="26"/>
  <c r="G50" i="26"/>
  <c r="G49" i="26"/>
  <c r="G48" i="26"/>
  <c r="G47" i="26"/>
  <c r="G46" i="26"/>
  <c r="I167" i="7"/>
  <c r="H31" i="4"/>
  <c r="G164" i="4"/>
  <c r="H280" i="4"/>
  <c r="G184" i="4"/>
  <c r="H179" i="4"/>
  <c r="H180" i="4" s="1"/>
  <c r="G91" i="4"/>
  <c r="G90" i="4"/>
  <c r="G89" i="4"/>
  <c r="G35" i="4"/>
  <c r="G34" i="4"/>
  <c r="G33" i="4"/>
  <c r="K11" i="2" l="1"/>
  <c r="J11" i="2"/>
  <c r="I11" i="2"/>
  <c r="H11" i="2"/>
  <c r="F11" i="2"/>
  <c r="D11" i="2"/>
  <c r="K10" i="2"/>
  <c r="J10" i="2"/>
  <c r="I10" i="2"/>
  <c r="H10" i="2"/>
  <c r="F10" i="2"/>
  <c r="D10" i="2"/>
  <c r="O9" i="2"/>
  <c r="N9" i="2"/>
  <c r="K9" i="2"/>
  <c r="J9" i="2"/>
  <c r="I9" i="2"/>
  <c r="H9" i="2"/>
  <c r="F9" i="2"/>
  <c r="D9" i="2"/>
  <c r="O8" i="2"/>
  <c r="N8" i="2"/>
  <c r="K8" i="2"/>
  <c r="J8" i="2"/>
  <c r="I8" i="2"/>
  <c r="H8" i="2"/>
  <c r="F8" i="2"/>
  <c r="D8" i="2"/>
  <c r="F110" i="2"/>
  <c r="AH107" i="2"/>
  <c r="AG107" i="2"/>
  <c r="AF107" i="2"/>
  <c r="AE107" i="2"/>
  <c r="AH106" i="2"/>
  <c r="AG106" i="2"/>
  <c r="AF106" i="2"/>
  <c r="AE106" i="2"/>
  <c r="AH105" i="2"/>
  <c r="AG105" i="2"/>
  <c r="AF105" i="2"/>
  <c r="AE105" i="2"/>
  <c r="AH104" i="2"/>
  <c r="AG104" i="2"/>
  <c r="AF104" i="2"/>
  <c r="AE104" i="2"/>
  <c r="AH103" i="2"/>
  <c r="AG103" i="2"/>
  <c r="AF103" i="2"/>
  <c r="AE103" i="2"/>
  <c r="AH102" i="2"/>
  <c r="AG102" i="2"/>
  <c r="AF102" i="2"/>
  <c r="AE102" i="2"/>
  <c r="AH101" i="2"/>
  <c r="AG101" i="2"/>
  <c r="AF101" i="2"/>
  <c r="AE101" i="2"/>
  <c r="AH100" i="2"/>
  <c r="AG100" i="2"/>
  <c r="AF100" i="2"/>
  <c r="AE100" i="2"/>
  <c r="AH99" i="2"/>
  <c r="AG99" i="2"/>
  <c r="AF99" i="2"/>
  <c r="AE99" i="2"/>
  <c r="AH98" i="2"/>
  <c r="AG98" i="2"/>
  <c r="AF98" i="2"/>
  <c r="AE98" i="2"/>
  <c r="AH97" i="2"/>
  <c r="AG97" i="2"/>
  <c r="AF97" i="2"/>
  <c r="AE97" i="2"/>
  <c r="AH96" i="2"/>
  <c r="AG96" i="2"/>
  <c r="AF96" i="2"/>
  <c r="AE96" i="2"/>
  <c r="AH95" i="2"/>
  <c r="AG95" i="2"/>
  <c r="AF95" i="2"/>
  <c r="AE95" i="2"/>
  <c r="AH94" i="2"/>
  <c r="AG94" i="2"/>
  <c r="AF94" i="2"/>
  <c r="AE94" i="2"/>
  <c r="AH93" i="2"/>
  <c r="AG93" i="2"/>
  <c r="AF93" i="2"/>
  <c r="AE93" i="2"/>
  <c r="AH92" i="2"/>
  <c r="AG92" i="2"/>
  <c r="AF92" i="2"/>
  <c r="AE92" i="2"/>
  <c r="AH91" i="2"/>
  <c r="AG91" i="2"/>
  <c r="AF91" i="2"/>
  <c r="AE91" i="2"/>
  <c r="AH90" i="2"/>
  <c r="AG90" i="2"/>
  <c r="AF90" i="2"/>
  <c r="AE90" i="2"/>
  <c r="AH89" i="2"/>
  <c r="AG89" i="2"/>
  <c r="AF89" i="2"/>
  <c r="AE89" i="2"/>
  <c r="AH88" i="2"/>
  <c r="AG88" i="2"/>
  <c r="AF88" i="2"/>
  <c r="AE88" i="2"/>
  <c r="AH87" i="2"/>
  <c r="AG87" i="2"/>
  <c r="AF87" i="2"/>
  <c r="AE87" i="2"/>
  <c r="AH86" i="2"/>
  <c r="AG86" i="2"/>
  <c r="AF86" i="2"/>
  <c r="AE86" i="2"/>
  <c r="AH85" i="2"/>
  <c r="AG85" i="2"/>
  <c r="AF85" i="2"/>
  <c r="AE85" i="2"/>
  <c r="AH84" i="2"/>
  <c r="AG84" i="2"/>
  <c r="AF84" i="2"/>
  <c r="AE84" i="2"/>
  <c r="AH83" i="2"/>
  <c r="AG83" i="2"/>
  <c r="AF83" i="2"/>
  <c r="AE83" i="2"/>
  <c r="AH82" i="2"/>
  <c r="AG82" i="2"/>
  <c r="AF82" i="2"/>
  <c r="AE82" i="2"/>
  <c r="AH81" i="2"/>
  <c r="AG81" i="2"/>
  <c r="AF81" i="2"/>
  <c r="AE81" i="2"/>
  <c r="AH80" i="2"/>
  <c r="AG80" i="2"/>
  <c r="AF80" i="2"/>
  <c r="AE80" i="2"/>
  <c r="AG108" i="2" l="1"/>
  <c r="G72" i="2" s="1"/>
  <c r="AH108" i="2"/>
  <c r="J72" i="2" s="1"/>
  <c r="AE108" i="2"/>
  <c r="E72" i="2" s="1"/>
  <c r="AF108" i="2"/>
  <c r="AJ81" i="2" s="1"/>
  <c r="AK103" i="2" l="1"/>
  <c r="AK104" i="2"/>
  <c r="AJ98" i="2"/>
  <c r="AK106" i="2"/>
  <c r="AI100" i="2"/>
  <c r="AK97" i="2"/>
  <c r="AI99" i="2"/>
  <c r="AK101" i="2"/>
  <c r="AJ104" i="2"/>
  <c r="AJ101" i="2"/>
  <c r="AI104" i="2"/>
  <c r="AK95" i="2"/>
  <c r="AK102" i="2"/>
  <c r="AK88" i="2"/>
  <c r="AK96" i="2"/>
  <c r="AK89" i="2"/>
  <c r="AJ103" i="2"/>
  <c r="AI89" i="2"/>
  <c r="AK105" i="2"/>
  <c r="AL87" i="2"/>
  <c r="AJ99" i="2"/>
  <c r="AK84" i="2"/>
  <c r="AK98" i="2"/>
  <c r="AK87" i="2"/>
  <c r="AL82" i="2"/>
  <c r="AI107" i="2"/>
  <c r="AJ84" i="2"/>
  <c r="F72" i="2"/>
  <c r="AI82" i="2"/>
  <c r="AI90" i="2"/>
  <c r="AL81" i="2"/>
  <c r="AJ106" i="2"/>
  <c r="AI95" i="2"/>
  <c r="AJ89" i="2"/>
  <c r="AJ96" i="2"/>
  <c r="AJ102" i="2"/>
  <c r="AL107" i="2"/>
  <c r="AL106" i="2"/>
  <c r="AL105" i="2"/>
  <c r="AL104" i="2"/>
  <c r="AL103" i="2"/>
  <c r="AL102" i="2"/>
  <c r="AL101" i="2"/>
  <c r="AL100" i="2"/>
  <c r="AL99" i="2"/>
  <c r="AL96" i="2"/>
  <c r="AL98" i="2"/>
  <c r="AL97" i="2"/>
  <c r="AL94" i="2"/>
  <c r="AL84" i="2"/>
  <c r="AL88" i="2"/>
  <c r="AL89" i="2"/>
  <c r="AL90" i="2"/>
  <c r="AL93" i="2"/>
  <c r="AL92" i="2"/>
  <c r="AL91" i="2"/>
  <c r="AL95" i="2"/>
  <c r="AL83" i="2"/>
  <c r="AL80" i="2"/>
  <c r="AI106" i="2"/>
  <c r="AI105" i="2"/>
  <c r="AI94" i="2"/>
  <c r="AI84" i="2"/>
  <c r="AI87" i="2"/>
  <c r="AI88" i="2"/>
  <c r="AI98" i="2"/>
  <c r="AI96" i="2"/>
  <c r="AI83" i="2"/>
  <c r="AI86" i="2"/>
  <c r="AI92" i="2"/>
  <c r="AI85" i="2"/>
  <c r="AI80" i="2"/>
  <c r="AI93" i="2"/>
  <c r="AJ88" i="2"/>
  <c r="AJ85" i="2"/>
  <c r="AJ97" i="2"/>
  <c r="AJ87" i="2"/>
  <c r="AJ83" i="2"/>
  <c r="AJ90" i="2"/>
  <c r="AJ86" i="2"/>
  <c r="AJ93" i="2"/>
  <c r="AJ91" i="2"/>
  <c r="AJ82" i="2"/>
  <c r="AJ95" i="2"/>
  <c r="AI91" i="2"/>
  <c r="AI97" i="2"/>
  <c r="AK82" i="2"/>
  <c r="AK86" i="2"/>
  <c r="AK93" i="2"/>
  <c r="AK92" i="2"/>
  <c r="AK91" i="2"/>
  <c r="AK81" i="2"/>
  <c r="AJ80" i="2"/>
  <c r="AL85" i="2"/>
  <c r="AI103" i="2"/>
  <c r="AL86" i="2"/>
  <c r="AK107" i="2"/>
  <c r="AK100" i="2"/>
  <c r="AJ92" i="2"/>
  <c r="AK85" i="2"/>
  <c r="AJ105" i="2"/>
  <c r="AI102" i="2"/>
  <c r="AK83" i="2"/>
  <c r="AI101" i="2"/>
  <c r="AK99" i="2"/>
  <c r="AJ100" i="2"/>
  <c r="AJ94" i="2"/>
  <c r="AK90" i="2"/>
  <c r="AJ107" i="2"/>
  <c r="AK94" i="2"/>
  <c r="AK80" i="2"/>
  <c r="AI81" i="2"/>
  <c r="A200" i="7" l="1"/>
  <c r="A173" i="14"/>
  <c r="A244" i="21"/>
  <c r="A163" i="22"/>
  <c r="A361" i="4" l="1"/>
  <c r="A77" i="2"/>
  <c r="A265" i="26"/>
  <c r="A343" i="20"/>
  <c r="A318" i="11"/>
  <c r="A427" i="8"/>
  <c r="A145" i="6"/>
  <c r="D104" i="8"/>
  <c r="D103" i="8"/>
  <c r="D102" i="8"/>
  <c r="D101" i="8"/>
  <c r="F94" i="8" s="1"/>
  <c r="I94" i="8"/>
  <c r="H94" i="8"/>
  <c r="G94" i="8"/>
  <c r="G74" i="7"/>
  <c r="G73" i="7"/>
  <c r="G72" i="7"/>
  <c r="G71" i="7"/>
  <c r="G70" i="7"/>
  <c r="G61" i="7"/>
  <c r="G60" i="7"/>
  <c r="G59" i="7"/>
  <c r="G58" i="7"/>
  <c r="G57" i="7"/>
  <c r="C37" i="6" l="1"/>
  <c r="C38" i="6"/>
  <c r="C39" i="6"/>
  <c r="C40" i="6"/>
  <c r="D9" i="1" l="1"/>
  <c r="D6" i="20" s="1"/>
  <c r="A753" i="57"/>
  <c r="A752" i="57"/>
  <c r="A751" i="57"/>
  <c r="A750" i="57"/>
  <c r="A749" i="57"/>
  <c r="A748" i="57"/>
  <c r="A747" i="57"/>
  <c r="A746" i="57"/>
  <c r="A745" i="57"/>
  <c r="A744" i="57"/>
  <c r="A743" i="57"/>
  <c r="A742" i="57"/>
  <c r="A741" i="57"/>
  <c r="A740" i="57"/>
  <c r="A739" i="57"/>
  <c r="A738" i="57"/>
  <c r="A737" i="57"/>
  <c r="A736" i="57"/>
  <c r="A735" i="57"/>
  <c r="A734" i="57"/>
  <c r="A733" i="57"/>
  <c r="A732" i="57"/>
  <c r="A731" i="57"/>
  <c r="A730" i="57"/>
  <c r="A729" i="57"/>
  <c r="A728" i="57"/>
  <c r="A727" i="57"/>
  <c r="A726" i="57"/>
  <c r="A725" i="57"/>
  <c r="A724" i="57"/>
  <c r="A723" i="57"/>
  <c r="A722" i="57"/>
  <c r="A721" i="57"/>
  <c r="A720" i="57"/>
  <c r="A719" i="57"/>
  <c r="A718" i="57"/>
  <c r="A717" i="57"/>
  <c r="A716" i="57"/>
  <c r="A715" i="57"/>
  <c r="A714" i="57"/>
  <c r="A713" i="57"/>
  <c r="A712" i="57"/>
  <c r="A711" i="57"/>
  <c r="A710" i="57"/>
  <c r="A709" i="57"/>
  <c r="A708" i="57"/>
  <c r="A707" i="57"/>
  <c r="A706" i="57"/>
  <c r="A705" i="57"/>
  <c r="A704" i="57"/>
  <c r="A703" i="57"/>
  <c r="A702" i="57"/>
  <c r="A701" i="57"/>
  <c r="A700" i="57"/>
  <c r="A699" i="57"/>
  <c r="A698" i="57"/>
  <c r="A697" i="57"/>
  <c r="A696" i="57"/>
  <c r="A695" i="57"/>
  <c r="A694" i="57"/>
  <c r="A693" i="57"/>
  <c r="A692" i="57"/>
  <c r="A691" i="57"/>
  <c r="A690" i="57"/>
  <c r="A689" i="57"/>
  <c r="A688" i="57"/>
  <c r="A687" i="57"/>
  <c r="A686" i="57"/>
  <c r="A685" i="57"/>
  <c r="A684" i="57"/>
  <c r="A683" i="57"/>
  <c r="A682" i="57"/>
  <c r="A681" i="57"/>
  <c r="A680" i="57"/>
  <c r="A679" i="57"/>
  <c r="A678" i="57"/>
  <c r="A677" i="57"/>
  <c r="A676" i="57"/>
  <c r="A675" i="57"/>
  <c r="A674" i="57"/>
  <c r="A673" i="57"/>
  <c r="A672" i="57"/>
  <c r="A671" i="57"/>
  <c r="A670" i="57"/>
  <c r="A669" i="57"/>
  <c r="A668" i="57"/>
  <c r="A667" i="57"/>
  <c r="A666" i="57"/>
  <c r="A665" i="57"/>
  <c r="A664" i="57"/>
  <c r="A663" i="57"/>
  <c r="A662" i="57"/>
  <c r="A661" i="57"/>
  <c r="A660" i="57"/>
  <c r="A659" i="57"/>
  <c r="A658" i="57"/>
  <c r="A657" i="57"/>
  <c r="A656" i="57"/>
  <c r="A655" i="57"/>
  <c r="A654" i="57"/>
  <c r="A653" i="57"/>
  <c r="A652" i="57"/>
  <c r="A651" i="57"/>
  <c r="A650" i="57"/>
  <c r="A649" i="57"/>
  <c r="A648" i="57"/>
  <c r="A647" i="57"/>
  <c r="A646" i="57"/>
  <c r="A645" i="57"/>
  <c r="A644" i="57"/>
  <c r="A643" i="57"/>
  <c r="A642" i="57"/>
  <c r="A641" i="57"/>
  <c r="A640" i="57"/>
  <c r="A639" i="57"/>
  <c r="A638" i="57"/>
  <c r="A637" i="57"/>
  <c r="A636" i="57"/>
  <c r="A635" i="57"/>
  <c r="A634" i="57"/>
  <c r="A633" i="57"/>
  <c r="A632" i="57"/>
  <c r="A631" i="57"/>
  <c r="A630" i="57"/>
  <c r="A629" i="57"/>
  <c r="A628" i="57"/>
  <c r="A627" i="57"/>
  <c r="A626" i="57"/>
  <c r="A625" i="57"/>
  <c r="A624" i="57"/>
  <c r="A623" i="57"/>
  <c r="A622" i="57"/>
  <c r="A621" i="57"/>
  <c r="A620" i="57"/>
  <c r="A619" i="57"/>
  <c r="A618" i="57"/>
  <c r="A617" i="57"/>
  <c r="A616" i="57"/>
  <c r="A615" i="57"/>
  <c r="A614" i="57"/>
  <c r="A613" i="57"/>
  <c r="A612" i="57"/>
  <c r="A611" i="57"/>
  <c r="A610" i="57"/>
  <c r="A609" i="57"/>
  <c r="A608" i="57"/>
  <c r="A607" i="57"/>
  <c r="A606" i="57"/>
  <c r="A605" i="57"/>
  <c r="A604" i="57"/>
  <c r="A603" i="57"/>
  <c r="A602" i="57"/>
  <c r="A601" i="57"/>
  <c r="A600" i="57"/>
  <c r="A599" i="57"/>
  <c r="A598" i="57"/>
  <c r="A597" i="57"/>
  <c r="A596" i="57"/>
  <c r="A595" i="57"/>
  <c r="A594" i="57"/>
  <c r="A593" i="57"/>
  <c r="A592" i="57"/>
  <c r="A591" i="57"/>
  <c r="A590" i="57"/>
  <c r="A589" i="57"/>
  <c r="A588" i="57"/>
  <c r="A587" i="57"/>
  <c r="A586" i="57"/>
  <c r="A585" i="57"/>
  <c r="A584" i="57"/>
  <c r="A583" i="57"/>
  <c r="A582" i="57"/>
  <c r="A581" i="57"/>
  <c r="A580" i="57"/>
  <c r="A579" i="57"/>
  <c r="A578" i="57"/>
  <c r="A577" i="57"/>
  <c r="A576" i="57"/>
  <c r="A575" i="57"/>
  <c r="A574" i="57"/>
  <c r="A573" i="57"/>
  <c r="A572" i="57"/>
  <c r="A571" i="57"/>
  <c r="A570" i="57"/>
  <c r="A569" i="57"/>
  <c r="A568" i="57"/>
  <c r="A567" i="57"/>
  <c r="A566" i="57"/>
  <c r="A565" i="57"/>
  <c r="A564" i="57"/>
  <c r="A563" i="57"/>
  <c r="A562" i="57"/>
  <c r="A561" i="57"/>
  <c r="A560" i="57"/>
  <c r="A559" i="57"/>
  <c r="A558" i="57"/>
  <c r="A557" i="57"/>
  <c r="A556" i="57"/>
  <c r="A555" i="57"/>
  <c r="A554" i="57"/>
  <c r="A553" i="57"/>
  <c r="A552" i="57"/>
  <c r="A551" i="57"/>
  <c r="A550" i="57"/>
  <c r="A549" i="57"/>
  <c r="A548" i="57"/>
  <c r="A547" i="57"/>
  <c r="A546" i="57"/>
  <c r="A545" i="57"/>
  <c r="A544" i="57"/>
  <c r="A543" i="57"/>
  <c r="A542" i="57"/>
  <c r="A541" i="57"/>
  <c r="A540" i="57"/>
  <c r="A539" i="57"/>
  <c r="A538" i="57"/>
  <c r="A537" i="57"/>
  <c r="A536" i="57"/>
  <c r="A535" i="57"/>
  <c r="A534" i="57"/>
  <c r="A533" i="57"/>
  <c r="A532" i="57"/>
  <c r="A531" i="57"/>
  <c r="A530" i="57"/>
  <c r="A529" i="57"/>
  <c r="A528" i="57"/>
  <c r="A527" i="57"/>
  <c r="A526" i="57"/>
  <c r="A525" i="57"/>
  <c r="A524" i="57"/>
  <c r="A523" i="57"/>
  <c r="A522" i="57"/>
  <c r="A521" i="57"/>
  <c r="A520" i="57"/>
  <c r="A519" i="57"/>
  <c r="A518" i="57"/>
  <c r="A517" i="57"/>
  <c r="A516" i="57"/>
  <c r="A515" i="57"/>
  <c r="A514" i="57"/>
  <c r="A513" i="57"/>
  <c r="A512" i="57"/>
  <c r="A511" i="57"/>
  <c r="A510" i="57"/>
  <c r="A509" i="57"/>
  <c r="A508" i="57"/>
  <c r="A507" i="57"/>
  <c r="A506" i="57"/>
  <c r="A505" i="57"/>
  <c r="A504" i="57"/>
  <c r="A503" i="57"/>
  <c r="A502" i="57"/>
  <c r="A501" i="57"/>
  <c r="A500" i="57"/>
  <c r="A499" i="57"/>
  <c r="A498" i="57"/>
  <c r="A497" i="57"/>
  <c r="A496" i="57"/>
  <c r="A495" i="57"/>
  <c r="A494" i="57"/>
  <c r="A493" i="57"/>
  <c r="A492" i="57"/>
  <c r="A491" i="57"/>
  <c r="A490" i="57"/>
  <c r="A489" i="57"/>
  <c r="A488" i="57"/>
  <c r="A487" i="57"/>
  <c r="A486" i="57"/>
  <c r="A485" i="57"/>
  <c r="A484" i="57"/>
  <c r="A483" i="57"/>
  <c r="A482" i="57"/>
  <c r="A481" i="57"/>
  <c r="A480" i="57"/>
  <c r="A479" i="57"/>
  <c r="A478" i="57"/>
  <c r="A477" i="57"/>
  <c r="A476" i="57"/>
  <c r="A475" i="57"/>
  <c r="A474" i="57"/>
  <c r="A473" i="57"/>
  <c r="A472" i="57"/>
  <c r="A471" i="57"/>
  <c r="A470" i="57"/>
  <c r="A469" i="57"/>
  <c r="A468" i="57"/>
  <c r="A467" i="57"/>
  <c r="A466" i="57"/>
  <c r="A465" i="57"/>
  <c r="A464" i="57"/>
  <c r="A463" i="57"/>
  <c r="A462" i="57"/>
  <c r="A461" i="57"/>
  <c r="A460" i="57"/>
  <c r="A459" i="57"/>
  <c r="A458" i="57"/>
  <c r="A457" i="57"/>
  <c r="A456" i="57"/>
  <c r="A455" i="57"/>
  <c r="A454" i="57"/>
  <c r="A453" i="57"/>
  <c r="A452" i="57"/>
  <c r="A451" i="57"/>
  <c r="A450" i="57"/>
  <c r="A449" i="57"/>
  <c r="A448" i="57"/>
  <c r="A447" i="57"/>
  <c r="A446" i="57"/>
  <c r="A445" i="57"/>
  <c r="A444" i="57"/>
  <c r="A443" i="57"/>
  <c r="A442" i="57"/>
  <c r="A441" i="57"/>
  <c r="A440" i="57"/>
  <c r="A439" i="57"/>
  <c r="A438" i="57"/>
  <c r="A437" i="57"/>
  <c r="A436" i="57"/>
  <c r="A435" i="57"/>
  <c r="A434" i="57"/>
  <c r="A433" i="57"/>
  <c r="A432" i="57"/>
  <c r="A431" i="57"/>
  <c r="A430" i="57"/>
  <c r="A429" i="57"/>
  <c r="A428" i="57"/>
  <c r="A427" i="57"/>
  <c r="A426" i="57"/>
  <c r="A425" i="57"/>
  <c r="A424" i="57"/>
  <c r="A423" i="57"/>
  <c r="A422" i="57"/>
  <c r="A421" i="57"/>
  <c r="A420" i="57"/>
  <c r="A419" i="57"/>
  <c r="A418" i="57"/>
  <c r="A417" i="57"/>
  <c r="A416" i="57"/>
  <c r="A415" i="57"/>
  <c r="A414" i="57"/>
  <c r="A413" i="57"/>
  <c r="A412" i="57"/>
  <c r="A411" i="57"/>
  <c r="A410" i="57"/>
  <c r="A409" i="57"/>
  <c r="A408" i="57"/>
  <c r="A407" i="57"/>
  <c r="A406" i="57"/>
  <c r="A405" i="57"/>
  <c r="A404" i="57"/>
  <c r="A403" i="57"/>
  <c r="A402" i="57"/>
  <c r="A401" i="57"/>
  <c r="A400" i="57"/>
  <c r="A399" i="57"/>
  <c r="A398" i="57"/>
  <c r="A397" i="57"/>
  <c r="A396" i="57"/>
  <c r="A395" i="57"/>
  <c r="A394" i="57"/>
  <c r="A393" i="57"/>
  <c r="A392" i="57"/>
  <c r="A391" i="57"/>
  <c r="A390" i="57"/>
  <c r="A389" i="57"/>
  <c r="A388" i="57"/>
  <c r="A387" i="57"/>
  <c r="A386" i="57"/>
  <c r="A385" i="57"/>
  <c r="A384" i="57"/>
  <c r="A383" i="57"/>
  <c r="A382" i="57"/>
  <c r="A381" i="57"/>
  <c r="A380" i="57"/>
  <c r="A379" i="57"/>
  <c r="A378" i="57"/>
  <c r="A377" i="57"/>
  <c r="A376" i="57"/>
  <c r="A375" i="57"/>
  <c r="A374" i="57"/>
  <c r="A373" i="57"/>
  <c r="A372" i="57"/>
  <c r="A371" i="57"/>
  <c r="A370" i="57"/>
  <c r="A369" i="57"/>
  <c r="A368" i="57"/>
  <c r="A367" i="57"/>
  <c r="A366" i="57"/>
  <c r="A365" i="57"/>
  <c r="A364" i="57"/>
  <c r="A363" i="57"/>
  <c r="A362" i="57"/>
  <c r="A361" i="57"/>
  <c r="A360" i="57"/>
  <c r="A359" i="57"/>
  <c r="A358" i="57"/>
  <c r="A357" i="57"/>
  <c r="A356" i="57"/>
  <c r="A355" i="57"/>
  <c r="A354" i="57"/>
  <c r="A353" i="57"/>
  <c r="A352" i="57"/>
  <c r="A351" i="57"/>
  <c r="A350" i="57"/>
  <c r="A349" i="57"/>
  <c r="A348" i="57"/>
  <c r="A347" i="57"/>
  <c r="A346" i="57"/>
  <c r="A345" i="57"/>
  <c r="A344" i="57"/>
  <c r="A343" i="57"/>
  <c r="A342" i="57"/>
  <c r="A341" i="57"/>
  <c r="A340" i="57"/>
  <c r="A339" i="57"/>
  <c r="A338" i="57"/>
  <c r="A337" i="57"/>
  <c r="A336" i="57"/>
  <c r="A335" i="57"/>
  <c r="A334" i="57"/>
  <c r="A333" i="57"/>
  <c r="A332" i="57"/>
  <c r="A331" i="57"/>
  <c r="A330" i="57"/>
  <c r="A329" i="57"/>
  <c r="A328" i="57"/>
  <c r="A327" i="57"/>
  <c r="A326" i="57"/>
  <c r="A325" i="57"/>
  <c r="A324" i="57"/>
  <c r="A323" i="57"/>
  <c r="A322" i="57"/>
  <c r="A321" i="57"/>
  <c r="A320" i="57"/>
  <c r="A319" i="57"/>
  <c r="A318" i="57"/>
  <c r="A317" i="57"/>
  <c r="A316" i="57"/>
  <c r="A315" i="57"/>
  <c r="A314" i="57"/>
  <c r="A313" i="57"/>
  <c r="A312" i="57"/>
  <c r="A311" i="57"/>
  <c r="A310" i="57"/>
  <c r="A309" i="57"/>
  <c r="A308" i="57"/>
  <c r="A307" i="57"/>
  <c r="A306" i="57"/>
  <c r="A305" i="57"/>
  <c r="A304" i="57"/>
  <c r="A303" i="57"/>
  <c r="A302" i="57"/>
  <c r="A301" i="57"/>
  <c r="A300" i="57"/>
  <c r="A299" i="57"/>
  <c r="A298" i="57"/>
  <c r="A297" i="57"/>
  <c r="A296" i="57"/>
  <c r="A295" i="57"/>
  <c r="A294" i="57"/>
  <c r="A293" i="57"/>
  <c r="A292" i="57"/>
  <c r="A291" i="57"/>
  <c r="A290" i="57"/>
  <c r="A289" i="57"/>
  <c r="A288" i="57"/>
  <c r="A287" i="57"/>
  <c r="A286" i="57"/>
  <c r="A285" i="57"/>
  <c r="A284" i="57"/>
  <c r="A283" i="57"/>
  <c r="A282" i="57"/>
  <c r="A281" i="57"/>
  <c r="A280" i="57"/>
  <c r="A279" i="57"/>
  <c r="A278" i="57"/>
  <c r="A277" i="57"/>
  <c r="A276" i="57"/>
  <c r="A275" i="57"/>
  <c r="A274" i="57"/>
  <c r="A273" i="57"/>
  <c r="A272" i="57"/>
  <c r="A271" i="57"/>
  <c r="A270" i="57"/>
  <c r="A269" i="57"/>
  <c r="A268" i="57"/>
  <c r="A267" i="57"/>
  <c r="A266" i="57"/>
  <c r="A265" i="57"/>
  <c r="A264" i="57"/>
  <c r="A263" i="57"/>
  <c r="A262" i="57"/>
  <c r="A261" i="57"/>
  <c r="A260" i="57"/>
  <c r="A259" i="57"/>
  <c r="A258" i="57"/>
  <c r="A257" i="57"/>
  <c r="A256" i="57"/>
  <c r="A255" i="57"/>
  <c r="A254" i="57"/>
  <c r="A253" i="57"/>
  <c r="A252" i="57"/>
  <c r="A251" i="57"/>
  <c r="A250" i="57"/>
  <c r="A249" i="57"/>
  <c r="A248" i="57"/>
  <c r="A247" i="57"/>
  <c r="A246" i="57"/>
  <c r="A245" i="57"/>
  <c r="A244" i="57"/>
  <c r="A243" i="57"/>
  <c r="A242" i="57"/>
  <c r="A241" i="57"/>
  <c r="A240" i="57"/>
  <c r="A239" i="57"/>
  <c r="A238" i="57"/>
  <c r="A237" i="57"/>
  <c r="A236" i="57"/>
  <c r="A235" i="57"/>
  <c r="A234" i="57"/>
  <c r="A233" i="57"/>
  <c r="A232" i="57"/>
  <c r="A231" i="57"/>
  <c r="A230" i="57"/>
  <c r="A229" i="57"/>
  <c r="A228" i="57"/>
  <c r="A227" i="57"/>
  <c r="A226" i="57"/>
  <c r="A225" i="57"/>
  <c r="A224" i="57"/>
  <c r="A223" i="57"/>
  <c r="A222" i="57"/>
  <c r="A221" i="57"/>
  <c r="A220" i="57"/>
  <c r="A219" i="57"/>
  <c r="A218" i="57"/>
  <c r="A217" i="57"/>
  <c r="A216" i="57"/>
  <c r="A215" i="57"/>
  <c r="A214" i="57"/>
  <c r="A213" i="57"/>
  <c r="A212" i="57"/>
  <c r="A211" i="57"/>
  <c r="A210" i="57"/>
  <c r="A209" i="57"/>
  <c r="A208" i="57"/>
  <c r="A207" i="57"/>
  <c r="A206" i="57"/>
  <c r="A205" i="57"/>
  <c r="A204" i="57"/>
  <c r="A203" i="57"/>
  <c r="A202" i="57"/>
  <c r="A201" i="57"/>
  <c r="A200" i="57"/>
  <c r="A199" i="57"/>
  <c r="A198" i="57"/>
  <c r="A197" i="57"/>
  <c r="A196" i="57"/>
  <c r="A195" i="57"/>
  <c r="A194" i="57"/>
  <c r="A193" i="57"/>
  <c r="A192" i="57"/>
  <c r="A191" i="57"/>
  <c r="A190" i="57"/>
  <c r="A189" i="57"/>
  <c r="A188" i="57"/>
  <c r="A187" i="57"/>
  <c r="A186" i="57"/>
  <c r="A185" i="57"/>
  <c r="A184" i="57"/>
  <c r="A183" i="57"/>
  <c r="A182" i="57"/>
  <c r="A181" i="57"/>
  <c r="A180" i="57"/>
  <c r="A179" i="57"/>
  <c r="A178" i="57"/>
  <c r="A177" i="57"/>
  <c r="A176" i="57"/>
  <c r="A175" i="57"/>
  <c r="A174" i="57"/>
  <c r="A173" i="57"/>
  <c r="A172" i="57"/>
  <c r="A171" i="57"/>
  <c r="A170" i="57"/>
  <c r="A169" i="57"/>
  <c r="A168" i="57"/>
  <c r="A167" i="57"/>
  <c r="A166" i="57"/>
  <c r="A165" i="57"/>
  <c r="A164" i="57"/>
  <c r="A163" i="57"/>
  <c r="A162" i="57"/>
  <c r="A161" i="57"/>
  <c r="A160" i="57"/>
  <c r="A159" i="57"/>
  <c r="A158" i="57"/>
  <c r="A157" i="57"/>
  <c r="A156" i="57"/>
  <c r="A155" i="57"/>
  <c r="A154" i="57"/>
  <c r="A153" i="57"/>
  <c r="A152" i="57"/>
  <c r="A151" i="57"/>
  <c r="A150" i="57"/>
  <c r="A149" i="57"/>
  <c r="A148" i="57"/>
  <c r="A147" i="57"/>
  <c r="A146" i="57"/>
  <c r="A145" i="57"/>
  <c r="A144" i="57"/>
  <c r="A143" i="57"/>
  <c r="A142" i="57"/>
  <c r="A141" i="57"/>
  <c r="A140" i="57"/>
  <c r="A139" i="57"/>
  <c r="A138" i="57"/>
  <c r="A137" i="57"/>
  <c r="A136" i="57"/>
  <c r="A135" i="57"/>
  <c r="A134" i="57"/>
  <c r="A133" i="57"/>
  <c r="A132" i="57"/>
  <c r="A131" i="57"/>
  <c r="A130" i="57"/>
  <c r="A129" i="57"/>
  <c r="A128" i="57"/>
  <c r="A127" i="57"/>
  <c r="A126" i="57"/>
  <c r="A125" i="57"/>
  <c r="A124" i="57"/>
  <c r="A123" i="57"/>
  <c r="A122" i="57"/>
  <c r="A121" i="57"/>
  <c r="A120" i="57"/>
  <c r="A119" i="57"/>
  <c r="A118" i="57"/>
  <c r="A117" i="57"/>
  <c r="A116" i="57"/>
  <c r="A115" i="57"/>
  <c r="A114" i="57"/>
  <c r="A113" i="57"/>
  <c r="A112" i="57"/>
  <c r="A111" i="57"/>
  <c r="A110" i="57"/>
  <c r="A109" i="57"/>
  <c r="A108" i="57"/>
  <c r="A107" i="57"/>
  <c r="A106" i="57"/>
  <c r="A105" i="57"/>
  <c r="A104" i="57"/>
  <c r="A103" i="57"/>
  <c r="A102" i="57"/>
  <c r="A101" i="57"/>
  <c r="A100" i="57"/>
  <c r="A99" i="57"/>
  <c r="A98" i="57"/>
  <c r="A97" i="57"/>
  <c r="A96" i="57"/>
  <c r="A95" i="57"/>
  <c r="A94" i="57"/>
  <c r="A93" i="57"/>
  <c r="A92" i="57"/>
  <c r="A91" i="57"/>
  <c r="A90" i="57"/>
  <c r="A89" i="57"/>
  <c r="A88" i="57"/>
  <c r="A87" i="57"/>
  <c r="A86" i="57"/>
  <c r="A85" i="57"/>
  <c r="A84" i="57"/>
  <c r="A83" i="57"/>
  <c r="A82" i="57"/>
  <c r="A81" i="57"/>
  <c r="A80" i="57"/>
  <c r="A79" i="57"/>
  <c r="A78" i="57"/>
  <c r="A77" i="57"/>
  <c r="A76" i="57"/>
  <c r="A75" i="57"/>
  <c r="A74" i="57"/>
  <c r="A73" i="57"/>
  <c r="A72" i="57"/>
  <c r="A71" i="57"/>
  <c r="A70" i="57"/>
  <c r="A69" i="57"/>
  <c r="A68" i="57"/>
  <c r="A67" i="57"/>
  <c r="A66" i="57"/>
  <c r="A65" i="57"/>
  <c r="A64" i="57"/>
  <c r="A63" i="57"/>
  <c r="A62" i="57"/>
  <c r="A61" i="57"/>
  <c r="A60" i="57"/>
  <c r="A59" i="57"/>
  <c r="A58" i="57"/>
  <c r="A57" i="57"/>
  <c r="A56" i="57"/>
  <c r="A55" i="57"/>
  <c r="A54" i="57"/>
  <c r="A53" i="57"/>
  <c r="A52" i="57"/>
  <c r="A51" i="57"/>
  <c r="A50" i="57"/>
  <c r="A49" i="57"/>
  <c r="A48" i="57"/>
  <c r="A47" i="57"/>
  <c r="A46" i="57"/>
  <c r="A45" i="57"/>
  <c r="A44" i="57"/>
  <c r="A43" i="57"/>
  <c r="A42" i="57"/>
  <c r="A41" i="57"/>
  <c r="A40" i="57"/>
  <c r="A39" i="57"/>
  <c r="A38" i="57"/>
  <c r="A37" i="57"/>
  <c r="A36" i="57"/>
  <c r="A35" i="57"/>
  <c r="A34" i="57"/>
  <c r="A33" i="57"/>
  <c r="A32" i="57"/>
  <c r="A31" i="57"/>
  <c r="A30" i="57"/>
  <c r="A29" i="57"/>
  <c r="A28" i="57"/>
  <c r="A27" i="57"/>
  <c r="A26" i="57"/>
  <c r="A25" i="57"/>
  <c r="A24" i="57"/>
  <c r="A23" i="57"/>
  <c r="A22" i="57"/>
  <c r="A21" i="57"/>
  <c r="A20" i="57"/>
  <c r="A19" i="57"/>
  <c r="A18" i="57"/>
  <c r="A17" i="57"/>
  <c r="A16" i="57"/>
  <c r="A15" i="57"/>
  <c r="A14" i="57"/>
  <c r="A13" i="57"/>
  <c r="A12" i="57"/>
  <c r="A11" i="57"/>
  <c r="A10" i="57"/>
  <c r="A9" i="57"/>
  <c r="A8" i="57"/>
  <c r="A7" i="57"/>
  <c r="A6" i="57"/>
  <c r="A5" i="57"/>
  <c r="A4" i="57"/>
  <c r="A3" i="57"/>
  <c r="A2" i="57"/>
  <c r="A153" i="51"/>
  <c r="A152" i="51"/>
  <c r="A151" i="51"/>
  <c r="A150" i="51"/>
  <c r="A149" i="51"/>
  <c r="A148" i="51"/>
  <c r="A147" i="51"/>
  <c r="A146" i="51"/>
  <c r="A145" i="51"/>
  <c r="A144" i="51"/>
  <c r="A143" i="51"/>
  <c r="A142" i="51"/>
  <c r="A141" i="51"/>
  <c r="A140" i="51"/>
  <c r="A139" i="51"/>
  <c r="A138" i="51"/>
  <c r="A137" i="51"/>
  <c r="A136" i="51"/>
  <c r="A135" i="51"/>
  <c r="A134" i="51"/>
  <c r="A133" i="51"/>
  <c r="A132" i="51"/>
  <c r="A131" i="51"/>
  <c r="A130" i="51"/>
  <c r="A129" i="51"/>
  <c r="A128" i="51"/>
  <c r="A127" i="51"/>
  <c r="A126" i="51"/>
  <c r="A125" i="51"/>
  <c r="A124" i="51"/>
  <c r="A123" i="51"/>
  <c r="A122" i="51"/>
  <c r="A121" i="51"/>
  <c r="A120" i="51"/>
  <c r="A119" i="51"/>
  <c r="A118" i="51"/>
  <c r="A117" i="51"/>
  <c r="A116" i="51"/>
  <c r="A115" i="51"/>
  <c r="A114" i="51"/>
  <c r="A113" i="51"/>
  <c r="A112" i="51"/>
  <c r="A111" i="51"/>
  <c r="A110" i="51"/>
  <c r="A109" i="51"/>
  <c r="A108" i="51"/>
  <c r="A107" i="51"/>
  <c r="A106" i="51"/>
  <c r="A105" i="51"/>
  <c r="A104" i="51"/>
  <c r="A103" i="51"/>
  <c r="A102" i="51"/>
  <c r="A101" i="51"/>
  <c r="A100" i="51"/>
  <c r="A99" i="51"/>
  <c r="A98" i="51"/>
  <c r="A97" i="51"/>
  <c r="A96" i="51"/>
  <c r="A95" i="51"/>
  <c r="A94" i="51"/>
  <c r="A93" i="51"/>
  <c r="A92" i="51"/>
  <c r="A91" i="51"/>
  <c r="A90" i="51"/>
  <c r="A89" i="51"/>
  <c r="A88" i="51"/>
  <c r="A87" i="51"/>
  <c r="A86" i="51"/>
  <c r="A85" i="51"/>
  <c r="A84" i="51"/>
  <c r="A83" i="51"/>
  <c r="A82" i="51"/>
  <c r="A81" i="51"/>
  <c r="A80" i="51"/>
  <c r="A79" i="51"/>
  <c r="A78" i="51"/>
  <c r="A77" i="51"/>
  <c r="A76" i="51"/>
  <c r="A75" i="51"/>
  <c r="A74" i="51"/>
  <c r="A73" i="51"/>
  <c r="A72" i="51"/>
  <c r="A71" i="51"/>
  <c r="A70" i="51"/>
  <c r="A69" i="51"/>
  <c r="A68" i="51"/>
  <c r="A67" i="51"/>
  <c r="A66" i="51"/>
  <c r="A65" i="51"/>
  <c r="A64" i="51"/>
  <c r="A63" i="51"/>
  <c r="A62" i="51"/>
  <c r="A61" i="51"/>
  <c r="A60" i="51"/>
  <c r="A59" i="51"/>
  <c r="A58" i="51"/>
  <c r="A57" i="51"/>
  <c r="A56" i="51"/>
  <c r="A55" i="51"/>
  <c r="A54" i="51"/>
  <c r="A53" i="51"/>
  <c r="A52" i="51"/>
  <c r="A51" i="51"/>
  <c r="A50" i="51"/>
  <c r="A49" i="51"/>
  <c r="A48" i="51"/>
  <c r="A47" i="51"/>
  <c r="A46" i="51"/>
  <c r="A45" i="51"/>
  <c r="A44" i="51"/>
  <c r="A43" i="51"/>
  <c r="A42" i="51"/>
  <c r="A41" i="51"/>
  <c r="A40" i="51"/>
  <c r="A39" i="51"/>
  <c r="A38" i="51"/>
  <c r="A37" i="51"/>
  <c r="A36" i="51"/>
  <c r="A35" i="51"/>
  <c r="A34" i="51"/>
  <c r="A33" i="51"/>
  <c r="A32" i="51"/>
  <c r="A31" i="51"/>
  <c r="A30" i="51"/>
  <c r="A29" i="51"/>
  <c r="A28" i="51"/>
  <c r="A27" i="51"/>
  <c r="A26" i="51"/>
  <c r="A25" i="51"/>
  <c r="A24" i="51"/>
  <c r="A23" i="51"/>
  <c r="A22" i="51"/>
  <c r="A21" i="51"/>
  <c r="A20" i="51"/>
  <c r="A19" i="51"/>
  <c r="A18" i="51"/>
  <c r="A17" i="51"/>
  <c r="A16" i="51"/>
  <c r="A15" i="51"/>
  <c r="A14" i="51"/>
  <c r="A13" i="51"/>
  <c r="A12" i="51"/>
  <c r="A11" i="51"/>
  <c r="A10" i="51"/>
  <c r="A9" i="51"/>
  <c r="A8" i="51"/>
  <c r="A7" i="51"/>
  <c r="A6" i="51"/>
  <c r="A5" i="51"/>
  <c r="A4" i="51"/>
  <c r="A3" i="51"/>
  <c r="A2" i="51"/>
  <c r="HF74" i="2"/>
  <c r="HE74" i="2"/>
  <c r="HD74" i="2"/>
  <c r="HC74" i="2"/>
  <c r="HB74" i="2"/>
  <c r="HA74" i="2"/>
  <c r="GZ74" i="2"/>
  <c r="GY74" i="2"/>
  <c r="GX74" i="2"/>
  <c r="GW74" i="2"/>
  <c r="GV74" i="2"/>
  <c r="GU74" i="2"/>
  <c r="GT74" i="2"/>
  <c r="GS74" i="2"/>
  <c r="GR74" i="2"/>
  <c r="GQ74" i="2"/>
  <c r="GP74" i="2"/>
  <c r="GO74" i="2"/>
  <c r="GN74" i="2"/>
  <c r="GM74" i="2"/>
  <c r="GL74" i="2"/>
  <c r="GK74" i="2"/>
  <c r="GJ74" i="2"/>
  <c r="GI74" i="2"/>
  <c r="GH74" i="2"/>
  <c r="GG74" i="2"/>
  <c r="GF74" i="2"/>
  <c r="GE74" i="2"/>
  <c r="GD74" i="2"/>
  <c r="GC74" i="2"/>
  <c r="GB74" i="2"/>
  <c r="GA74" i="2"/>
  <c r="FZ74" i="2"/>
  <c r="FY74" i="2"/>
  <c r="FX74" i="2"/>
  <c r="FV74" i="2"/>
  <c r="FU74" i="2"/>
  <c r="FT74" i="2"/>
  <c r="FS74" i="2"/>
  <c r="FR74" i="2"/>
  <c r="FQ74" i="2"/>
  <c r="FP74" i="2"/>
  <c r="FO74" i="2"/>
  <c r="FN74" i="2"/>
  <c r="FM74" i="2"/>
  <c r="FL74" i="2"/>
  <c r="FK74" i="2"/>
  <c r="FJ74" i="2"/>
  <c r="FI74" i="2"/>
  <c r="FH74" i="2"/>
  <c r="FG74" i="2"/>
  <c r="FF74" i="2"/>
  <c r="FE74" i="2"/>
  <c r="FD74" i="2"/>
  <c r="FC74" i="2"/>
  <c r="FB74" i="2"/>
  <c r="FA74" i="2"/>
  <c r="EZ74" i="2"/>
  <c r="EY74" i="2"/>
  <c r="EX74" i="2"/>
  <c r="EW74" i="2"/>
  <c r="EV74" i="2"/>
  <c r="EU74" i="2"/>
  <c r="ET74" i="2"/>
  <c r="ES74" i="2"/>
  <c r="ER74" i="2"/>
  <c r="EQ74" i="2"/>
  <c r="EP74" i="2"/>
  <c r="EO74" i="2"/>
  <c r="EN74" i="2"/>
  <c r="EL74" i="2"/>
  <c r="EK74" i="2"/>
  <c r="EJ74" i="2"/>
  <c r="EI74" i="2"/>
  <c r="EH74" i="2"/>
  <c r="EG74" i="2"/>
  <c r="EF74" i="2"/>
  <c r="EE74" i="2"/>
  <c r="ED74" i="2"/>
  <c r="EC74" i="2"/>
  <c r="EB74" i="2"/>
  <c r="EA74" i="2"/>
  <c r="DZ74" i="2"/>
  <c r="DY74" i="2"/>
  <c r="DX74" i="2"/>
  <c r="DW74" i="2"/>
  <c r="DV74" i="2"/>
  <c r="DU74" i="2"/>
  <c r="DT74" i="2"/>
  <c r="DS74" i="2"/>
  <c r="DR74" i="2"/>
  <c r="DQ74" i="2"/>
  <c r="DP74" i="2"/>
  <c r="DO74" i="2"/>
  <c r="DN74" i="2"/>
  <c r="DM74" i="2"/>
  <c r="DL74" i="2"/>
  <c r="DK74" i="2"/>
  <c r="DJ74" i="2"/>
  <c r="DI74" i="2"/>
  <c r="DH74" i="2"/>
  <c r="DG74" i="2"/>
  <c r="DF74" i="2"/>
  <c r="DE74" i="2"/>
  <c r="DD74" i="2"/>
  <c r="DB74" i="2"/>
  <c r="DA74" i="2"/>
  <c r="CZ74" i="2"/>
  <c r="CY74" i="2"/>
  <c r="CX74" i="2"/>
  <c r="CW74" i="2"/>
  <c r="CV74" i="2"/>
  <c r="CU74" i="2"/>
  <c r="CT74" i="2"/>
  <c r="CS74" i="2"/>
  <c r="CR74" i="2"/>
  <c r="CQ74" i="2"/>
  <c r="CP74" i="2"/>
  <c r="CO74" i="2"/>
  <c r="CN74" i="2"/>
  <c r="CM74" i="2"/>
  <c r="CL74" i="2"/>
  <c r="CK74" i="2"/>
  <c r="CJ74" i="2"/>
  <c r="CI74" i="2"/>
  <c r="CH74" i="2"/>
  <c r="CG74" i="2"/>
  <c r="CF74" i="2"/>
  <c r="CE74" i="2"/>
  <c r="CD74" i="2"/>
  <c r="CC74" i="2"/>
  <c r="CB74" i="2"/>
  <c r="CA74" i="2"/>
  <c r="BZ74" i="2"/>
  <c r="BY74" i="2"/>
  <c r="BX74" i="2"/>
  <c r="BW74" i="2"/>
  <c r="BV74" i="2"/>
  <c r="BU74" i="2"/>
  <c r="BT74" i="2"/>
  <c r="HF39" i="2"/>
  <c r="HE39" i="2"/>
  <c r="HD39" i="2"/>
  <c r="HC39" i="2"/>
  <c r="HB39" i="2"/>
  <c r="HA39" i="2"/>
  <c r="GZ39" i="2"/>
  <c r="GY39" i="2"/>
  <c r="GX39" i="2"/>
  <c r="GW39" i="2"/>
  <c r="GV39" i="2"/>
  <c r="GU39" i="2"/>
  <c r="GT39" i="2"/>
  <c r="GS39" i="2"/>
  <c r="GR39" i="2"/>
  <c r="GQ39" i="2"/>
  <c r="GP39" i="2"/>
  <c r="GO39" i="2"/>
  <c r="GN39" i="2"/>
  <c r="GM39" i="2"/>
  <c r="GL39" i="2"/>
  <c r="GK39" i="2"/>
  <c r="GJ39" i="2"/>
  <c r="GI39" i="2"/>
  <c r="GH39" i="2"/>
  <c r="GG39" i="2"/>
  <c r="GF39" i="2"/>
  <c r="GE39" i="2"/>
  <c r="GD39" i="2"/>
  <c r="GC39" i="2"/>
  <c r="GB39" i="2"/>
  <c r="GA39" i="2"/>
  <c r="FZ39" i="2"/>
  <c r="FY39" i="2"/>
  <c r="FX39" i="2"/>
  <c r="FV39" i="2"/>
  <c r="FU39" i="2"/>
  <c r="FT39" i="2"/>
  <c r="FS39" i="2"/>
  <c r="FR39" i="2"/>
  <c r="FQ39" i="2"/>
  <c r="FP39" i="2"/>
  <c r="FO39" i="2"/>
  <c r="FN39" i="2"/>
  <c r="FM39" i="2"/>
  <c r="FL39" i="2"/>
  <c r="FK39" i="2"/>
  <c r="FJ39" i="2"/>
  <c r="FI39" i="2"/>
  <c r="FH39" i="2"/>
  <c r="FG39" i="2"/>
  <c r="FF39" i="2"/>
  <c r="FE39" i="2"/>
  <c r="FD39" i="2"/>
  <c r="FC39" i="2"/>
  <c r="FB39" i="2"/>
  <c r="FA39" i="2"/>
  <c r="EZ39" i="2"/>
  <c r="EY39" i="2"/>
  <c r="EX39" i="2"/>
  <c r="EW39" i="2"/>
  <c r="EV39" i="2"/>
  <c r="EU39" i="2"/>
  <c r="ET39" i="2"/>
  <c r="ES39" i="2"/>
  <c r="ER39" i="2"/>
  <c r="EQ39" i="2"/>
  <c r="EP39" i="2"/>
  <c r="EO39" i="2"/>
  <c r="EN39" i="2"/>
  <c r="EL39" i="2"/>
  <c r="EK39" i="2"/>
  <c r="EJ39" i="2"/>
  <c r="EI39" i="2"/>
  <c r="EH39" i="2"/>
  <c r="EG39" i="2"/>
  <c r="EF39" i="2"/>
  <c r="EE39" i="2"/>
  <c r="ED39" i="2"/>
  <c r="EC39" i="2"/>
  <c r="EB39" i="2"/>
  <c r="EA39" i="2"/>
  <c r="DZ39" i="2"/>
  <c r="DY39" i="2"/>
  <c r="DX39" i="2"/>
  <c r="DW39" i="2"/>
  <c r="DV39" i="2"/>
  <c r="DU39" i="2"/>
  <c r="DT39" i="2"/>
  <c r="DS39" i="2"/>
  <c r="DR39" i="2"/>
  <c r="DQ39" i="2"/>
  <c r="DP39" i="2"/>
  <c r="DO39" i="2"/>
  <c r="DN39" i="2"/>
  <c r="DM39" i="2"/>
  <c r="DL39" i="2"/>
  <c r="DK39" i="2"/>
  <c r="DJ39" i="2"/>
  <c r="DI39" i="2"/>
  <c r="DH39" i="2"/>
  <c r="DG39" i="2"/>
  <c r="DF39" i="2"/>
  <c r="DE39" i="2"/>
  <c r="DD39" i="2"/>
  <c r="DB39" i="2"/>
  <c r="DA39" i="2"/>
  <c r="CZ39" i="2"/>
  <c r="CY39" i="2"/>
  <c r="CX39" i="2"/>
  <c r="CW39" i="2"/>
  <c r="CV39" i="2"/>
  <c r="CU39" i="2"/>
  <c r="CT39" i="2"/>
  <c r="CS39" i="2"/>
  <c r="CR39" i="2"/>
  <c r="CQ39" i="2"/>
  <c r="CP39" i="2"/>
  <c r="CO39" i="2"/>
  <c r="CN39" i="2"/>
  <c r="CM39" i="2"/>
  <c r="CL39" i="2"/>
  <c r="CK39" i="2"/>
  <c r="CJ39" i="2"/>
  <c r="CI39" i="2"/>
  <c r="CH39" i="2"/>
  <c r="CG39" i="2"/>
  <c r="CF39" i="2"/>
  <c r="CE39" i="2"/>
  <c r="CD39" i="2"/>
  <c r="CC39" i="2"/>
  <c r="CB39" i="2"/>
  <c r="CA39" i="2"/>
  <c r="BZ39" i="2"/>
  <c r="BY39" i="2"/>
  <c r="BX39" i="2"/>
  <c r="BW39" i="2"/>
  <c r="BV39" i="2"/>
  <c r="BU39" i="2"/>
  <c r="BT39" i="2"/>
  <c r="HF38" i="2"/>
  <c r="HE38" i="2"/>
  <c r="HD38" i="2"/>
  <c r="HC38" i="2"/>
  <c r="HB38" i="2"/>
  <c r="HA38" i="2"/>
  <c r="GZ38" i="2"/>
  <c r="GY38" i="2"/>
  <c r="GX38" i="2"/>
  <c r="GW38" i="2"/>
  <c r="GV38" i="2"/>
  <c r="GU38" i="2"/>
  <c r="GT38" i="2"/>
  <c r="GS38" i="2"/>
  <c r="GR38" i="2"/>
  <c r="GQ38" i="2"/>
  <c r="GP38" i="2"/>
  <c r="GO38" i="2"/>
  <c r="GN38" i="2"/>
  <c r="GM38" i="2"/>
  <c r="GL38" i="2"/>
  <c r="GK38" i="2"/>
  <c r="GJ38" i="2"/>
  <c r="GI38" i="2"/>
  <c r="GH38" i="2"/>
  <c r="GG38" i="2"/>
  <c r="GF38" i="2"/>
  <c r="GE38" i="2"/>
  <c r="GD38" i="2"/>
  <c r="GC38" i="2"/>
  <c r="GB38" i="2"/>
  <c r="GA38" i="2"/>
  <c r="FZ38" i="2"/>
  <c r="FY38" i="2"/>
  <c r="FX38" i="2"/>
  <c r="FV38" i="2"/>
  <c r="FU38" i="2"/>
  <c r="FT38" i="2"/>
  <c r="FS38" i="2"/>
  <c r="FR38" i="2"/>
  <c r="FQ38" i="2"/>
  <c r="FP38" i="2"/>
  <c r="FO38" i="2"/>
  <c r="FN38" i="2"/>
  <c r="FM38" i="2"/>
  <c r="FL38" i="2"/>
  <c r="FK38" i="2"/>
  <c r="FJ38" i="2"/>
  <c r="FI38" i="2"/>
  <c r="FH38" i="2"/>
  <c r="FG38" i="2"/>
  <c r="FF38" i="2"/>
  <c r="FE38" i="2"/>
  <c r="FD38" i="2"/>
  <c r="FC38" i="2"/>
  <c r="FB38" i="2"/>
  <c r="FA38" i="2"/>
  <c r="EZ38" i="2"/>
  <c r="EY38" i="2"/>
  <c r="EX38" i="2"/>
  <c r="EW38" i="2"/>
  <c r="EV38" i="2"/>
  <c r="EU38" i="2"/>
  <c r="ET38" i="2"/>
  <c r="ES38" i="2"/>
  <c r="ER38" i="2"/>
  <c r="EQ38" i="2"/>
  <c r="EP38" i="2"/>
  <c r="EO38" i="2"/>
  <c r="EN38" i="2"/>
  <c r="EL38" i="2"/>
  <c r="EK38" i="2"/>
  <c r="EJ38" i="2"/>
  <c r="EI38" i="2"/>
  <c r="EH38" i="2"/>
  <c r="EG38" i="2"/>
  <c r="EF38" i="2"/>
  <c r="EE38" i="2"/>
  <c r="ED38" i="2"/>
  <c r="EC38" i="2"/>
  <c r="EB38" i="2"/>
  <c r="EA38" i="2"/>
  <c r="DZ38" i="2"/>
  <c r="DY38" i="2"/>
  <c r="DX38" i="2"/>
  <c r="DW38" i="2"/>
  <c r="DV38" i="2"/>
  <c r="DU38" i="2"/>
  <c r="DT38" i="2"/>
  <c r="DS38" i="2"/>
  <c r="DR38" i="2"/>
  <c r="DQ38" i="2"/>
  <c r="DP38" i="2"/>
  <c r="DO38" i="2"/>
  <c r="DN38" i="2"/>
  <c r="DM38" i="2"/>
  <c r="DL38" i="2"/>
  <c r="DK38" i="2"/>
  <c r="DJ38" i="2"/>
  <c r="DI38" i="2"/>
  <c r="DH38" i="2"/>
  <c r="DG38" i="2"/>
  <c r="DF38" i="2"/>
  <c r="DE38" i="2"/>
  <c r="DD38" i="2"/>
  <c r="DB38" i="2"/>
  <c r="DA38" i="2"/>
  <c r="CZ38" i="2"/>
  <c r="CY38" i="2"/>
  <c r="CX38" i="2"/>
  <c r="CW38" i="2"/>
  <c r="CV38" i="2"/>
  <c r="CU38" i="2"/>
  <c r="CT38" i="2"/>
  <c r="CS38" i="2"/>
  <c r="CR38" i="2"/>
  <c r="CQ38" i="2"/>
  <c r="CP38" i="2"/>
  <c r="CO38" i="2"/>
  <c r="CN38" i="2"/>
  <c r="CM38" i="2"/>
  <c r="CL38" i="2"/>
  <c r="CK38" i="2"/>
  <c r="CJ38" i="2"/>
  <c r="CI38" i="2"/>
  <c r="CH38" i="2"/>
  <c r="CG38" i="2"/>
  <c r="CF38" i="2"/>
  <c r="CE38" i="2"/>
  <c r="CD38" i="2"/>
  <c r="CC38" i="2"/>
  <c r="CB38" i="2"/>
  <c r="CA38" i="2"/>
  <c r="BZ38" i="2"/>
  <c r="BY38" i="2"/>
  <c r="BX38" i="2"/>
  <c r="BW38" i="2"/>
  <c r="BV38" i="2"/>
  <c r="BU38" i="2"/>
  <c r="BT38" i="2"/>
  <c r="HF37" i="2"/>
  <c r="HE37" i="2"/>
  <c r="HD37" i="2"/>
  <c r="HC37" i="2"/>
  <c r="HB37" i="2"/>
  <c r="HA37" i="2"/>
  <c r="GZ37" i="2"/>
  <c r="GY37" i="2"/>
  <c r="GX37" i="2"/>
  <c r="GW37" i="2"/>
  <c r="GV37" i="2"/>
  <c r="GU37" i="2"/>
  <c r="GT37" i="2"/>
  <c r="GS37" i="2"/>
  <c r="GR37" i="2"/>
  <c r="GQ37" i="2"/>
  <c r="GP37" i="2"/>
  <c r="GO37" i="2"/>
  <c r="GN37" i="2"/>
  <c r="GM37" i="2"/>
  <c r="GL37" i="2"/>
  <c r="GK37" i="2"/>
  <c r="GJ37" i="2"/>
  <c r="GI37" i="2"/>
  <c r="GH37" i="2"/>
  <c r="GG37" i="2"/>
  <c r="GF37" i="2"/>
  <c r="GE37" i="2"/>
  <c r="GD37" i="2"/>
  <c r="GC37" i="2"/>
  <c r="GB37" i="2"/>
  <c r="GA37" i="2"/>
  <c r="FZ37" i="2"/>
  <c r="FY37" i="2"/>
  <c r="FX37" i="2"/>
  <c r="FV37" i="2"/>
  <c r="FU37" i="2"/>
  <c r="FT37" i="2"/>
  <c r="FS37" i="2"/>
  <c r="FR37" i="2"/>
  <c r="FQ37" i="2"/>
  <c r="FP37" i="2"/>
  <c r="FO37" i="2"/>
  <c r="FN37" i="2"/>
  <c r="FM37" i="2"/>
  <c r="FL37" i="2"/>
  <c r="FK37" i="2"/>
  <c r="FJ37" i="2"/>
  <c r="FI37" i="2"/>
  <c r="FH37" i="2"/>
  <c r="FG37" i="2"/>
  <c r="FF37" i="2"/>
  <c r="FE37" i="2"/>
  <c r="FD37" i="2"/>
  <c r="FC37" i="2"/>
  <c r="FB37" i="2"/>
  <c r="FA37" i="2"/>
  <c r="EZ37" i="2"/>
  <c r="EY37" i="2"/>
  <c r="EX37" i="2"/>
  <c r="EW37" i="2"/>
  <c r="EV37" i="2"/>
  <c r="EU37" i="2"/>
  <c r="ET37" i="2"/>
  <c r="ES37" i="2"/>
  <c r="ER37" i="2"/>
  <c r="EQ37" i="2"/>
  <c r="EP37" i="2"/>
  <c r="EO37" i="2"/>
  <c r="EN37" i="2"/>
  <c r="EL37" i="2"/>
  <c r="EK37" i="2"/>
  <c r="EJ37" i="2"/>
  <c r="EI37" i="2"/>
  <c r="EH37" i="2"/>
  <c r="EG37" i="2"/>
  <c r="EF37" i="2"/>
  <c r="EE37" i="2"/>
  <c r="ED37" i="2"/>
  <c r="EC37" i="2"/>
  <c r="EB37" i="2"/>
  <c r="EA37" i="2"/>
  <c r="DZ37" i="2"/>
  <c r="DY37" i="2"/>
  <c r="DX37" i="2"/>
  <c r="DW37" i="2"/>
  <c r="DV37" i="2"/>
  <c r="DU37" i="2"/>
  <c r="DT37" i="2"/>
  <c r="DS37" i="2"/>
  <c r="DR37" i="2"/>
  <c r="DQ37" i="2"/>
  <c r="DP37" i="2"/>
  <c r="DO37" i="2"/>
  <c r="DN37" i="2"/>
  <c r="DM37" i="2"/>
  <c r="DL37" i="2"/>
  <c r="DK37" i="2"/>
  <c r="DJ37" i="2"/>
  <c r="DI37" i="2"/>
  <c r="DH37" i="2"/>
  <c r="DG37" i="2"/>
  <c r="DF37" i="2"/>
  <c r="DE37" i="2"/>
  <c r="DD37" i="2"/>
  <c r="DB37" i="2"/>
  <c r="DA37" i="2"/>
  <c r="CZ37" i="2"/>
  <c r="CY37" i="2"/>
  <c r="CX37" i="2"/>
  <c r="CW37" i="2"/>
  <c r="CV37" i="2"/>
  <c r="CU37" i="2"/>
  <c r="CT37" i="2"/>
  <c r="CS37" i="2"/>
  <c r="CR37" i="2"/>
  <c r="CQ37" i="2"/>
  <c r="CP37" i="2"/>
  <c r="CO37" i="2"/>
  <c r="CN37" i="2"/>
  <c r="CM37" i="2"/>
  <c r="CL37" i="2"/>
  <c r="CK37" i="2"/>
  <c r="CJ37" i="2"/>
  <c r="CI37" i="2"/>
  <c r="CH37" i="2"/>
  <c r="CG37" i="2"/>
  <c r="CF37" i="2"/>
  <c r="CE37" i="2"/>
  <c r="CD37" i="2"/>
  <c r="CC37" i="2"/>
  <c r="CB37" i="2"/>
  <c r="CA37" i="2"/>
  <c r="BZ37" i="2"/>
  <c r="BY37" i="2"/>
  <c r="BX37" i="2"/>
  <c r="BW37" i="2"/>
  <c r="BV37" i="2"/>
  <c r="BU37" i="2"/>
  <c r="BT37" i="2"/>
  <c r="HF36" i="2"/>
  <c r="HE36" i="2"/>
  <c r="HD36" i="2"/>
  <c r="HC36" i="2"/>
  <c r="HB36" i="2"/>
  <c r="HA36" i="2"/>
  <c r="GZ36" i="2"/>
  <c r="GY36" i="2"/>
  <c r="GX36" i="2"/>
  <c r="GW36" i="2"/>
  <c r="GV36" i="2"/>
  <c r="GU36" i="2"/>
  <c r="GT36" i="2"/>
  <c r="GS36" i="2"/>
  <c r="GR36" i="2"/>
  <c r="GQ36" i="2"/>
  <c r="GP36" i="2"/>
  <c r="GO36" i="2"/>
  <c r="GN36" i="2"/>
  <c r="GM36" i="2"/>
  <c r="GL36" i="2"/>
  <c r="GK36" i="2"/>
  <c r="GJ36" i="2"/>
  <c r="GI36" i="2"/>
  <c r="GH36" i="2"/>
  <c r="GG36" i="2"/>
  <c r="GF36" i="2"/>
  <c r="GE36" i="2"/>
  <c r="GD36" i="2"/>
  <c r="GC36" i="2"/>
  <c r="GB36" i="2"/>
  <c r="GA36" i="2"/>
  <c r="FZ36" i="2"/>
  <c r="FY36" i="2"/>
  <c r="FX36" i="2"/>
  <c r="FV36" i="2"/>
  <c r="FU36" i="2"/>
  <c r="FT36" i="2"/>
  <c r="FS36" i="2"/>
  <c r="FR36" i="2"/>
  <c r="FQ36" i="2"/>
  <c r="FP36" i="2"/>
  <c r="FO36" i="2"/>
  <c r="FN36" i="2"/>
  <c r="FM36" i="2"/>
  <c r="FL36" i="2"/>
  <c r="FK36" i="2"/>
  <c r="FJ36" i="2"/>
  <c r="FI36" i="2"/>
  <c r="FH36" i="2"/>
  <c r="FG36" i="2"/>
  <c r="FF36" i="2"/>
  <c r="FE36" i="2"/>
  <c r="FD36" i="2"/>
  <c r="FC36" i="2"/>
  <c r="FB36" i="2"/>
  <c r="FA36" i="2"/>
  <c r="EZ36" i="2"/>
  <c r="EY36" i="2"/>
  <c r="EX36" i="2"/>
  <c r="EW36" i="2"/>
  <c r="EV36" i="2"/>
  <c r="EU36" i="2"/>
  <c r="ET36" i="2"/>
  <c r="ES36" i="2"/>
  <c r="ER36" i="2"/>
  <c r="EQ36" i="2"/>
  <c r="EP36" i="2"/>
  <c r="EO36" i="2"/>
  <c r="EN36" i="2"/>
  <c r="EL36" i="2"/>
  <c r="EK36" i="2"/>
  <c r="EJ36" i="2"/>
  <c r="EI36" i="2"/>
  <c r="EH36" i="2"/>
  <c r="EG36" i="2"/>
  <c r="EF36" i="2"/>
  <c r="EE36" i="2"/>
  <c r="ED36" i="2"/>
  <c r="EC36" i="2"/>
  <c r="EB36" i="2"/>
  <c r="EA36" i="2"/>
  <c r="DZ36" i="2"/>
  <c r="DY36" i="2"/>
  <c r="DX36" i="2"/>
  <c r="DW36" i="2"/>
  <c r="DV36" i="2"/>
  <c r="DU36" i="2"/>
  <c r="DT36" i="2"/>
  <c r="DS36" i="2"/>
  <c r="DR36" i="2"/>
  <c r="DQ36" i="2"/>
  <c r="DP36" i="2"/>
  <c r="DO36" i="2"/>
  <c r="DN36" i="2"/>
  <c r="DM36" i="2"/>
  <c r="DL36" i="2"/>
  <c r="DK36" i="2"/>
  <c r="DJ36" i="2"/>
  <c r="DI36" i="2"/>
  <c r="DH36" i="2"/>
  <c r="DG36" i="2"/>
  <c r="DF36" i="2"/>
  <c r="DE36" i="2"/>
  <c r="DD36" i="2"/>
  <c r="DB36" i="2"/>
  <c r="DA36" i="2"/>
  <c r="CZ36" i="2"/>
  <c r="CY36" i="2"/>
  <c r="CX36" i="2"/>
  <c r="CW36" i="2"/>
  <c r="CV36" i="2"/>
  <c r="CU36" i="2"/>
  <c r="CT36" i="2"/>
  <c r="CS36" i="2"/>
  <c r="CR36" i="2"/>
  <c r="CQ36" i="2"/>
  <c r="CP36" i="2"/>
  <c r="CO36" i="2"/>
  <c r="CN36" i="2"/>
  <c r="CM36" i="2"/>
  <c r="CL36" i="2"/>
  <c r="CK36" i="2"/>
  <c r="CJ36" i="2"/>
  <c r="CI36" i="2"/>
  <c r="CH36" i="2"/>
  <c r="CG36" i="2"/>
  <c r="CF36" i="2"/>
  <c r="CE36" i="2"/>
  <c r="CD36" i="2"/>
  <c r="CC36" i="2"/>
  <c r="CB36" i="2"/>
  <c r="CA36" i="2"/>
  <c r="BZ36" i="2"/>
  <c r="BY36" i="2"/>
  <c r="BX36" i="2"/>
  <c r="BW36" i="2"/>
  <c r="BV36" i="2"/>
  <c r="BU36" i="2"/>
  <c r="BT36" i="2"/>
  <c r="HF35" i="2"/>
  <c r="HE35" i="2"/>
  <c r="HD35" i="2"/>
  <c r="HC35" i="2"/>
  <c r="HB35" i="2"/>
  <c r="HA35" i="2"/>
  <c r="GZ35" i="2"/>
  <c r="GY35" i="2"/>
  <c r="GX35" i="2"/>
  <c r="GW35" i="2"/>
  <c r="GV35" i="2"/>
  <c r="GU35" i="2"/>
  <c r="GT35" i="2"/>
  <c r="GS35" i="2"/>
  <c r="GR35" i="2"/>
  <c r="GQ35" i="2"/>
  <c r="GP35" i="2"/>
  <c r="GO35" i="2"/>
  <c r="GN35" i="2"/>
  <c r="GM35" i="2"/>
  <c r="GL35" i="2"/>
  <c r="GK35" i="2"/>
  <c r="GJ35" i="2"/>
  <c r="GI35" i="2"/>
  <c r="GH35" i="2"/>
  <c r="GG35" i="2"/>
  <c r="GF35" i="2"/>
  <c r="GE35" i="2"/>
  <c r="GD35" i="2"/>
  <c r="GC35" i="2"/>
  <c r="GB35" i="2"/>
  <c r="GA35" i="2"/>
  <c r="FZ35" i="2"/>
  <c r="FY35" i="2"/>
  <c r="FX35" i="2"/>
  <c r="FV35" i="2"/>
  <c r="FU35" i="2"/>
  <c r="FT35" i="2"/>
  <c r="FS35" i="2"/>
  <c r="FR35" i="2"/>
  <c r="FQ35" i="2"/>
  <c r="FP35" i="2"/>
  <c r="FO35" i="2"/>
  <c r="FN35" i="2"/>
  <c r="FM35" i="2"/>
  <c r="FL35" i="2"/>
  <c r="FK35" i="2"/>
  <c r="FJ35" i="2"/>
  <c r="FI35" i="2"/>
  <c r="FH35" i="2"/>
  <c r="FG35" i="2"/>
  <c r="FF35" i="2"/>
  <c r="FE35" i="2"/>
  <c r="FD35" i="2"/>
  <c r="FC35" i="2"/>
  <c r="FB35" i="2"/>
  <c r="FA35" i="2"/>
  <c r="EZ35" i="2"/>
  <c r="EY35" i="2"/>
  <c r="EX35" i="2"/>
  <c r="EW35" i="2"/>
  <c r="EV35" i="2"/>
  <c r="EU35" i="2"/>
  <c r="ET35" i="2"/>
  <c r="ES35" i="2"/>
  <c r="ER35" i="2"/>
  <c r="EQ35" i="2"/>
  <c r="EP35" i="2"/>
  <c r="EO35" i="2"/>
  <c r="EN35" i="2"/>
  <c r="EL35" i="2"/>
  <c r="EK35" i="2"/>
  <c r="EJ35" i="2"/>
  <c r="EI35" i="2"/>
  <c r="EH35" i="2"/>
  <c r="EG35" i="2"/>
  <c r="EF35" i="2"/>
  <c r="EE35" i="2"/>
  <c r="ED35" i="2"/>
  <c r="EC35" i="2"/>
  <c r="EB35" i="2"/>
  <c r="EA35" i="2"/>
  <c r="DZ35" i="2"/>
  <c r="DY35" i="2"/>
  <c r="DX35" i="2"/>
  <c r="DW35" i="2"/>
  <c r="DV35" i="2"/>
  <c r="DU35" i="2"/>
  <c r="DT35" i="2"/>
  <c r="DS35" i="2"/>
  <c r="DR35" i="2"/>
  <c r="DQ35" i="2"/>
  <c r="DP35" i="2"/>
  <c r="DO35" i="2"/>
  <c r="DN35" i="2"/>
  <c r="DM35" i="2"/>
  <c r="DL35" i="2"/>
  <c r="DK35" i="2"/>
  <c r="DJ35" i="2"/>
  <c r="DI35" i="2"/>
  <c r="DH35" i="2"/>
  <c r="DG35" i="2"/>
  <c r="DF35" i="2"/>
  <c r="DE35" i="2"/>
  <c r="DD35" i="2"/>
  <c r="DB35" i="2"/>
  <c r="DA35" i="2"/>
  <c r="CZ35" i="2"/>
  <c r="CY35" i="2"/>
  <c r="CX35" i="2"/>
  <c r="CW35" i="2"/>
  <c r="CV35" i="2"/>
  <c r="CU35" i="2"/>
  <c r="CT35" i="2"/>
  <c r="CS35" i="2"/>
  <c r="CR35" i="2"/>
  <c r="CQ35" i="2"/>
  <c r="CP35" i="2"/>
  <c r="CO35" i="2"/>
  <c r="CN35" i="2"/>
  <c r="CM35" i="2"/>
  <c r="CL35" i="2"/>
  <c r="CK35" i="2"/>
  <c r="CJ35" i="2"/>
  <c r="CI35" i="2"/>
  <c r="CH35" i="2"/>
  <c r="CG35" i="2"/>
  <c r="CF35" i="2"/>
  <c r="CE35" i="2"/>
  <c r="CD35" i="2"/>
  <c r="CC35" i="2"/>
  <c r="CB35" i="2"/>
  <c r="CA35" i="2"/>
  <c r="BZ35" i="2"/>
  <c r="BY35" i="2"/>
  <c r="BX35" i="2"/>
  <c r="BW35" i="2"/>
  <c r="BV35" i="2"/>
  <c r="BU35" i="2"/>
  <c r="BT35" i="2"/>
  <c r="HF34" i="2"/>
  <c r="HE34" i="2"/>
  <c r="HD34" i="2"/>
  <c r="HC34" i="2"/>
  <c r="HB34" i="2"/>
  <c r="HA34" i="2"/>
  <c r="GZ34" i="2"/>
  <c r="GY34" i="2"/>
  <c r="GX34" i="2"/>
  <c r="GW34" i="2"/>
  <c r="GV34" i="2"/>
  <c r="GU34" i="2"/>
  <c r="GT34" i="2"/>
  <c r="GS34" i="2"/>
  <c r="GR34" i="2"/>
  <c r="GQ34" i="2"/>
  <c r="GP34" i="2"/>
  <c r="GO34" i="2"/>
  <c r="GN34" i="2"/>
  <c r="GM34" i="2"/>
  <c r="GL34" i="2"/>
  <c r="GK34" i="2"/>
  <c r="GJ34" i="2"/>
  <c r="GI34" i="2"/>
  <c r="GH34" i="2"/>
  <c r="GG34" i="2"/>
  <c r="GF34" i="2"/>
  <c r="GE34" i="2"/>
  <c r="GD34" i="2"/>
  <c r="GC34" i="2"/>
  <c r="GB34" i="2"/>
  <c r="GA34" i="2"/>
  <c r="FZ34" i="2"/>
  <c r="FY34" i="2"/>
  <c r="FX34" i="2"/>
  <c r="FV34" i="2"/>
  <c r="FU34" i="2"/>
  <c r="FT34" i="2"/>
  <c r="FS34" i="2"/>
  <c r="FR34" i="2"/>
  <c r="FQ34" i="2"/>
  <c r="FP34" i="2"/>
  <c r="FO34" i="2"/>
  <c r="FN34" i="2"/>
  <c r="FM34" i="2"/>
  <c r="FL34" i="2"/>
  <c r="FK34" i="2"/>
  <c r="FJ34" i="2"/>
  <c r="FI34" i="2"/>
  <c r="FH34" i="2"/>
  <c r="FG34" i="2"/>
  <c r="FF34" i="2"/>
  <c r="FE34" i="2"/>
  <c r="FD34" i="2"/>
  <c r="FC34" i="2"/>
  <c r="FB34" i="2"/>
  <c r="FA34" i="2"/>
  <c r="EZ34" i="2"/>
  <c r="EY34" i="2"/>
  <c r="EX34" i="2"/>
  <c r="EW34" i="2"/>
  <c r="EV34" i="2"/>
  <c r="EU34" i="2"/>
  <c r="ET34" i="2"/>
  <c r="ES34" i="2"/>
  <c r="ER34" i="2"/>
  <c r="EQ34" i="2"/>
  <c r="EP34" i="2"/>
  <c r="EO34" i="2"/>
  <c r="EN34" i="2"/>
  <c r="EL34" i="2"/>
  <c r="EK34" i="2"/>
  <c r="EJ34" i="2"/>
  <c r="EI34" i="2"/>
  <c r="EH34" i="2"/>
  <c r="EG34" i="2"/>
  <c r="EF34" i="2"/>
  <c r="EE34" i="2"/>
  <c r="ED34" i="2"/>
  <c r="EC34" i="2"/>
  <c r="EB34" i="2"/>
  <c r="EA34" i="2"/>
  <c r="DZ34" i="2"/>
  <c r="DY34" i="2"/>
  <c r="DX34" i="2"/>
  <c r="DW34" i="2"/>
  <c r="DV34" i="2"/>
  <c r="DU34" i="2"/>
  <c r="DT34" i="2"/>
  <c r="DS34" i="2"/>
  <c r="DR34" i="2"/>
  <c r="DQ34" i="2"/>
  <c r="DP34" i="2"/>
  <c r="DO34" i="2"/>
  <c r="DN34" i="2"/>
  <c r="DM34" i="2"/>
  <c r="DL34" i="2"/>
  <c r="DK34" i="2"/>
  <c r="DJ34" i="2"/>
  <c r="DI34" i="2"/>
  <c r="DH34" i="2"/>
  <c r="DG34" i="2"/>
  <c r="DF34" i="2"/>
  <c r="DE34" i="2"/>
  <c r="DD34" i="2"/>
  <c r="DB34" i="2"/>
  <c r="DA34" i="2"/>
  <c r="CZ34" i="2"/>
  <c r="CY34" i="2"/>
  <c r="CX34" i="2"/>
  <c r="CW34" i="2"/>
  <c r="CV34" i="2"/>
  <c r="CU34" i="2"/>
  <c r="CT34" i="2"/>
  <c r="CS34" i="2"/>
  <c r="CR34" i="2"/>
  <c r="CQ34" i="2"/>
  <c r="CP34" i="2"/>
  <c r="CO34" i="2"/>
  <c r="CN34" i="2"/>
  <c r="CM34" i="2"/>
  <c r="CL34" i="2"/>
  <c r="CK34" i="2"/>
  <c r="CJ34" i="2"/>
  <c r="CI34" i="2"/>
  <c r="CH34" i="2"/>
  <c r="CG34" i="2"/>
  <c r="CF34" i="2"/>
  <c r="CE34" i="2"/>
  <c r="CD34" i="2"/>
  <c r="CC34" i="2"/>
  <c r="CB34" i="2"/>
  <c r="CA34" i="2"/>
  <c r="BZ34" i="2"/>
  <c r="BY34" i="2"/>
  <c r="BX34" i="2"/>
  <c r="BW34" i="2"/>
  <c r="BV34" i="2"/>
  <c r="BU34" i="2"/>
  <c r="BT34" i="2"/>
  <c r="HF33" i="2"/>
  <c r="HE33" i="2"/>
  <c r="HD33" i="2"/>
  <c r="HC33" i="2"/>
  <c r="HB33" i="2"/>
  <c r="HA33" i="2"/>
  <c r="GZ33" i="2"/>
  <c r="GY33" i="2"/>
  <c r="GX33" i="2"/>
  <c r="GW33" i="2"/>
  <c r="GV33" i="2"/>
  <c r="GU33" i="2"/>
  <c r="GT33" i="2"/>
  <c r="GS33" i="2"/>
  <c r="GR33" i="2"/>
  <c r="GQ33" i="2"/>
  <c r="GP33" i="2"/>
  <c r="GO33" i="2"/>
  <c r="GN33" i="2"/>
  <c r="GM33" i="2"/>
  <c r="GL33" i="2"/>
  <c r="GK33" i="2"/>
  <c r="GJ33" i="2"/>
  <c r="GI33" i="2"/>
  <c r="GH33" i="2"/>
  <c r="GG33" i="2"/>
  <c r="GF33" i="2"/>
  <c r="GE33" i="2"/>
  <c r="GD33" i="2"/>
  <c r="GC33" i="2"/>
  <c r="GB33" i="2"/>
  <c r="GA33" i="2"/>
  <c r="FZ33" i="2"/>
  <c r="FY33" i="2"/>
  <c r="FX33" i="2"/>
  <c r="FV33" i="2"/>
  <c r="FU33" i="2"/>
  <c r="FT33" i="2"/>
  <c r="FS33" i="2"/>
  <c r="FR33" i="2"/>
  <c r="FQ33" i="2"/>
  <c r="FP33" i="2"/>
  <c r="FO33" i="2"/>
  <c r="FN33" i="2"/>
  <c r="FM33" i="2"/>
  <c r="FL33" i="2"/>
  <c r="FK33" i="2"/>
  <c r="FJ33" i="2"/>
  <c r="FI33" i="2"/>
  <c r="FH33" i="2"/>
  <c r="FG33" i="2"/>
  <c r="FF33" i="2"/>
  <c r="FE33" i="2"/>
  <c r="FD33" i="2"/>
  <c r="FC33" i="2"/>
  <c r="FB33" i="2"/>
  <c r="FA33" i="2"/>
  <c r="EZ33" i="2"/>
  <c r="EY33" i="2"/>
  <c r="EX33" i="2"/>
  <c r="EW33" i="2"/>
  <c r="EV33" i="2"/>
  <c r="EU33" i="2"/>
  <c r="ET33" i="2"/>
  <c r="ES33" i="2"/>
  <c r="ER33" i="2"/>
  <c r="EQ33" i="2"/>
  <c r="EP33" i="2"/>
  <c r="EO33" i="2"/>
  <c r="EN33" i="2"/>
  <c r="EL33" i="2"/>
  <c r="EK33" i="2"/>
  <c r="EJ33" i="2"/>
  <c r="EI33" i="2"/>
  <c r="EH33" i="2"/>
  <c r="EG33" i="2"/>
  <c r="EF33" i="2"/>
  <c r="EE33" i="2"/>
  <c r="ED33" i="2"/>
  <c r="EC33" i="2"/>
  <c r="EB33" i="2"/>
  <c r="EA33" i="2"/>
  <c r="DZ33" i="2"/>
  <c r="DY33" i="2"/>
  <c r="DX33" i="2"/>
  <c r="DW33" i="2"/>
  <c r="DV33" i="2"/>
  <c r="DU33" i="2"/>
  <c r="DT33" i="2"/>
  <c r="DS33" i="2"/>
  <c r="DR33" i="2"/>
  <c r="DQ33" i="2"/>
  <c r="DP33" i="2"/>
  <c r="DO33" i="2"/>
  <c r="DN33" i="2"/>
  <c r="DM33" i="2"/>
  <c r="DL33" i="2"/>
  <c r="DK33" i="2"/>
  <c r="DJ33" i="2"/>
  <c r="DI33" i="2"/>
  <c r="DH33" i="2"/>
  <c r="DG33" i="2"/>
  <c r="DF33" i="2"/>
  <c r="DE33" i="2"/>
  <c r="DD33" i="2"/>
  <c r="DB33" i="2"/>
  <c r="DA33" i="2"/>
  <c r="CZ33" i="2"/>
  <c r="CY33" i="2"/>
  <c r="CX33" i="2"/>
  <c r="CW33" i="2"/>
  <c r="CV33" i="2"/>
  <c r="CU33" i="2"/>
  <c r="CT33" i="2"/>
  <c r="CS33" i="2"/>
  <c r="CR33" i="2"/>
  <c r="CQ33" i="2"/>
  <c r="CP33" i="2"/>
  <c r="CO33" i="2"/>
  <c r="CN33" i="2"/>
  <c r="CM33" i="2"/>
  <c r="CL33" i="2"/>
  <c r="CK33" i="2"/>
  <c r="CJ33" i="2"/>
  <c r="CI33" i="2"/>
  <c r="CH33" i="2"/>
  <c r="CG33" i="2"/>
  <c r="CF33" i="2"/>
  <c r="CE33" i="2"/>
  <c r="CD33" i="2"/>
  <c r="CC33" i="2"/>
  <c r="CB33" i="2"/>
  <c r="CA33" i="2"/>
  <c r="BZ33" i="2"/>
  <c r="BY33" i="2"/>
  <c r="BX33" i="2"/>
  <c r="BW33" i="2"/>
  <c r="BV33" i="2"/>
  <c r="BU33" i="2"/>
  <c r="BT33" i="2"/>
  <c r="HF32" i="2"/>
  <c r="HE32" i="2"/>
  <c r="HD32" i="2"/>
  <c r="HC32" i="2"/>
  <c r="HB32" i="2"/>
  <c r="HA32" i="2"/>
  <c r="GZ32" i="2"/>
  <c r="GY32" i="2"/>
  <c r="GX32" i="2"/>
  <c r="GW32" i="2"/>
  <c r="GV32" i="2"/>
  <c r="GU32" i="2"/>
  <c r="GT32" i="2"/>
  <c r="GS32" i="2"/>
  <c r="GR32" i="2"/>
  <c r="GQ32" i="2"/>
  <c r="GP32" i="2"/>
  <c r="GO32" i="2"/>
  <c r="GN32" i="2"/>
  <c r="GM32" i="2"/>
  <c r="GL32" i="2"/>
  <c r="GK32" i="2"/>
  <c r="GJ32" i="2"/>
  <c r="GI32" i="2"/>
  <c r="GH32" i="2"/>
  <c r="GG32" i="2"/>
  <c r="GF32" i="2"/>
  <c r="GE32" i="2"/>
  <c r="GD32" i="2"/>
  <c r="GC32" i="2"/>
  <c r="GB32" i="2"/>
  <c r="GA32" i="2"/>
  <c r="FZ32" i="2"/>
  <c r="FY32" i="2"/>
  <c r="FX32" i="2"/>
  <c r="FV32" i="2"/>
  <c r="FU32" i="2"/>
  <c r="FT32" i="2"/>
  <c r="FS32" i="2"/>
  <c r="FR32" i="2"/>
  <c r="FQ32" i="2"/>
  <c r="FP32" i="2"/>
  <c r="FO32" i="2"/>
  <c r="FN32" i="2"/>
  <c r="FM32" i="2"/>
  <c r="FL32" i="2"/>
  <c r="FK32" i="2"/>
  <c r="FJ32" i="2"/>
  <c r="FI32" i="2"/>
  <c r="FH32" i="2"/>
  <c r="FG32" i="2"/>
  <c r="FF32" i="2"/>
  <c r="FE32" i="2"/>
  <c r="FD32" i="2"/>
  <c r="FC32" i="2"/>
  <c r="FB32" i="2"/>
  <c r="FA32" i="2"/>
  <c r="EZ32" i="2"/>
  <c r="EY32" i="2"/>
  <c r="EX32" i="2"/>
  <c r="EW32" i="2"/>
  <c r="EV32" i="2"/>
  <c r="EU32" i="2"/>
  <c r="ET32" i="2"/>
  <c r="ES32" i="2"/>
  <c r="ER32" i="2"/>
  <c r="EQ32" i="2"/>
  <c r="EP32" i="2"/>
  <c r="EO32" i="2"/>
  <c r="EN32" i="2"/>
  <c r="EL32" i="2"/>
  <c r="EK32" i="2"/>
  <c r="EJ32" i="2"/>
  <c r="EI32" i="2"/>
  <c r="EH32" i="2"/>
  <c r="EG32" i="2"/>
  <c r="EF32" i="2"/>
  <c r="EE32" i="2"/>
  <c r="ED32" i="2"/>
  <c r="EC32" i="2"/>
  <c r="EB32" i="2"/>
  <c r="EA32" i="2"/>
  <c r="DZ32" i="2"/>
  <c r="DY32" i="2"/>
  <c r="DX32" i="2"/>
  <c r="DW32" i="2"/>
  <c r="DV32" i="2"/>
  <c r="DU32" i="2"/>
  <c r="DT32" i="2"/>
  <c r="DS32" i="2"/>
  <c r="DR32" i="2"/>
  <c r="DQ32" i="2"/>
  <c r="DP32" i="2"/>
  <c r="DO32" i="2"/>
  <c r="DN32" i="2"/>
  <c r="DM32" i="2"/>
  <c r="DL32" i="2"/>
  <c r="DK32" i="2"/>
  <c r="DJ32" i="2"/>
  <c r="DI32" i="2"/>
  <c r="DH32" i="2"/>
  <c r="DG32" i="2"/>
  <c r="DF32" i="2"/>
  <c r="DE32" i="2"/>
  <c r="DD32" i="2"/>
  <c r="DB32" i="2"/>
  <c r="DA32" i="2"/>
  <c r="CZ32" i="2"/>
  <c r="CY32" i="2"/>
  <c r="CX32" i="2"/>
  <c r="CW32" i="2"/>
  <c r="CV32" i="2"/>
  <c r="CU32" i="2"/>
  <c r="CT32" i="2"/>
  <c r="CS32" i="2"/>
  <c r="CR32" i="2"/>
  <c r="CQ32" i="2"/>
  <c r="CP32" i="2"/>
  <c r="CO32" i="2"/>
  <c r="CN32" i="2"/>
  <c r="CM32" i="2"/>
  <c r="CL32" i="2"/>
  <c r="CK32" i="2"/>
  <c r="CJ32" i="2"/>
  <c r="CI32" i="2"/>
  <c r="CH32" i="2"/>
  <c r="CG32" i="2"/>
  <c r="CF32" i="2"/>
  <c r="CE32" i="2"/>
  <c r="CD32" i="2"/>
  <c r="CC32" i="2"/>
  <c r="CB32" i="2"/>
  <c r="CA32" i="2"/>
  <c r="BZ32" i="2"/>
  <c r="BY32" i="2"/>
  <c r="BX32" i="2"/>
  <c r="BW32" i="2"/>
  <c r="BV32" i="2"/>
  <c r="BU32" i="2"/>
  <c r="BT32" i="2"/>
  <c r="HF31" i="2"/>
  <c r="HE31" i="2"/>
  <c r="HD31" i="2"/>
  <c r="HC31" i="2"/>
  <c r="HB31" i="2"/>
  <c r="HA31" i="2"/>
  <c r="GZ31" i="2"/>
  <c r="GY31" i="2"/>
  <c r="GX31" i="2"/>
  <c r="GW31" i="2"/>
  <c r="GV31" i="2"/>
  <c r="GU31" i="2"/>
  <c r="GT31" i="2"/>
  <c r="GS31" i="2"/>
  <c r="GR31" i="2"/>
  <c r="GQ31" i="2"/>
  <c r="GP31" i="2"/>
  <c r="GO31" i="2"/>
  <c r="GN31" i="2"/>
  <c r="GM31" i="2"/>
  <c r="GL31" i="2"/>
  <c r="GK31" i="2"/>
  <c r="GJ31" i="2"/>
  <c r="GI31" i="2"/>
  <c r="GH31" i="2"/>
  <c r="GG31" i="2"/>
  <c r="GF31" i="2"/>
  <c r="GE31" i="2"/>
  <c r="GD31" i="2"/>
  <c r="GC31" i="2"/>
  <c r="GB31" i="2"/>
  <c r="GA31" i="2"/>
  <c r="FZ31" i="2"/>
  <c r="FY31" i="2"/>
  <c r="FX31" i="2"/>
  <c r="FV31" i="2"/>
  <c r="FU31" i="2"/>
  <c r="FT31" i="2"/>
  <c r="FS31" i="2"/>
  <c r="FR31" i="2"/>
  <c r="FQ31" i="2"/>
  <c r="FP31" i="2"/>
  <c r="FO31" i="2"/>
  <c r="FN31" i="2"/>
  <c r="FM31" i="2"/>
  <c r="FL31" i="2"/>
  <c r="FK31" i="2"/>
  <c r="FJ31" i="2"/>
  <c r="FI31" i="2"/>
  <c r="FH31" i="2"/>
  <c r="FG31" i="2"/>
  <c r="FF31" i="2"/>
  <c r="FE31" i="2"/>
  <c r="FD31" i="2"/>
  <c r="FC31" i="2"/>
  <c r="FB31" i="2"/>
  <c r="FA31" i="2"/>
  <c r="EZ31" i="2"/>
  <c r="EY31" i="2"/>
  <c r="EX31" i="2"/>
  <c r="EW31" i="2"/>
  <c r="EV31" i="2"/>
  <c r="EU31" i="2"/>
  <c r="ET31" i="2"/>
  <c r="ES31" i="2"/>
  <c r="ER31" i="2"/>
  <c r="EQ31" i="2"/>
  <c r="EP31" i="2"/>
  <c r="EO31" i="2"/>
  <c r="EN31" i="2"/>
  <c r="EL31" i="2"/>
  <c r="EK31" i="2"/>
  <c r="EJ31" i="2"/>
  <c r="EI31" i="2"/>
  <c r="EH31" i="2"/>
  <c r="EG31" i="2"/>
  <c r="EF31" i="2"/>
  <c r="EE31" i="2"/>
  <c r="ED31" i="2"/>
  <c r="EC31" i="2"/>
  <c r="EB31" i="2"/>
  <c r="EA31" i="2"/>
  <c r="DZ31" i="2"/>
  <c r="DY31" i="2"/>
  <c r="DX31" i="2"/>
  <c r="DW31" i="2"/>
  <c r="DV31" i="2"/>
  <c r="DU31" i="2"/>
  <c r="DT31" i="2"/>
  <c r="DS31" i="2"/>
  <c r="DR31" i="2"/>
  <c r="DQ31" i="2"/>
  <c r="DP31" i="2"/>
  <c r="DO31" i="2"/>
  <c r="DN31" i="2"/>
  <c r="DM31" i="2"/>
  <c r="DL31" i="2"/>
  <c r="DK31" i="2"/>
  <c r="DJ31" i="2"/>
  <c r="DI31" i="2"/>
  <c r="DH31" i="2"/>
  <c r="DG31" i="2"/>
  <c r="DF31" i="2"/>
  <c r="DE31" i="2"/>
  <c r="DD31" i="2"/>
  <c r="DB31" i="2"/>
  <c r="DA31" i="2"/>
  <c r="CZ31" i="2"/>
  <c r="CY31" i="2"/>
  <c r="CX31" i="2"/>
  <c r="CW31" i="2"/>
  <c r="CV31" i="2"/>
  <c r="CU31" i="2"/>
  <c r="CT31" i="2"/>
  <c r="CS31" i="2"/>
  <c r="CR31" i="2"/>
  <c r="CQ31" i="2"/>
  <c r="CP31" i="2"/>
  <c r="CO31" i="2"/>
  <c r="CN31" i="2"/>
  <c r="CM31" i="2"/>
  <c r="CL31" i="2"/>
  <c r="CK31" i="2"/>
  <c r="CJ31" i="2"/>
  <c r="CI31" i="2"/>
  <c r="CH31" i="2"/>
  <c r="CG31" i="2"/>
  <c r="CF31" i="2"/>
  <c r="CE31" i="2"/>
  <c r="CD31" i="2"/>
  <c r="CC31" i="2"/>
  <c r="CB31" i="2"/>
  <c r="CA31" i="2"/>
  <c r="BZ31" i="2"/>
  <c r="BY31" i="2"/>
  <c r="BX31" i="2"/>
  <c r="BW31" i="2"/>
  <c r="BV31" i="2"/>
  <c r="BU31" i="2"/>
  <c r="BT31" i="2"/>
  <c r="HF30" i="2"/>
  <c r="HE30" i="2"/>
  <c r="HD30" i="2"/>
  <c r="HC30" i="2"/>
  <c r="HB30" i="2"/>
  <c r="HA30" i="2"/>
  <c r="GZ30" i="2"/>
  <c r="GY30" i="2"/>
  <c r="GX30" i="2"/>
  <c r="GW30" i="2"/>
  <c r="GV30" i="2"/>
  <c r="GU30" i="2"/>
  <c r="GT30" i="2"/>
  <c r="GS30" i="2"/>
  <c r="GR30" i="2"/>
  <c r="GQ30" i="2"/>
  <c r="GP30" i="2"/>
  <c r="GO30" i="2"/>
  <c r="GN30" i="2"/>
  <c r="GM30" i="2"/>
  <c r="GL30" i="2"/>
  <c r="GK30" i="2"/>
  <c r="GJ30" i="2"/>
  <c r="GI30" i="2"/>
  <c r="GH30" i="2"/>
  <c r="GG30" i="2"/>
  <c r="GF30" i="2"/>
  <c r="GE30" i="2"/>
  <c r="GD30" i="2"/>
  <c r="GC30" i="2"/>
  <c r="GB30" i="2"/>
  <c r="GA30" i="2"/>
  <c r="FZ30" i="2"/>
  <c r="FY30" i="2"/>
  <c r="FX30" i="2"/>
  <c r="FV30" i="2"/>
  <c r="FU30" i="2"/>
  <c r="FT30" i="2"/>
  <c r="FS30" i="2"/>
  <c r="FR30" i="2"/>
  <c r="FQ30" i="2"/>
  <c r="FP30" i="2"/>
  <c r="FO30" i="2"/>
  <c r="FN30" i="2"/>
  <c r="FM30" i="2"/>
  <c r="FL30" i="2"/>
  <c r="FK30" i="2"/>
  <c r="FJ30" i="2"/>
  <c r="FI30" i="2"/>
  <c r="FH30" i="2"/>
  <c r="FG30" i="2"/>
  <c r="FF30" i="2"/>
  <c r="FE30" i="2"/>
  <c r="FD30" i="2"/>
  <c r="FC30" i="2"/>
  <c r="FB30" i="2"/>
  <c r="FA30" i="2"/>
  <c r="EZ30" i="2"/>
  <c r="EY30" i="2"/>
  <c r="EX30" i="2"/>
  <c r="EW30" i="2"/>
  <c r="EV30" i="2"/>
  <c r="EU30" i="2"/>
  <c r="ET30" i="2"/>
  <c r="ES30" i="2"/>
  <c r="ER30" i="2"/>
  <c r="EQ30" i="2"/>
  <c r="EP30" i="2"/>
  <c r="EO30" i="2"/>
  <c r="EN30" i="2"/>
  <c r="EL30" i="2"/>
  <c r="EK30" i="2"/>
  <c r="EJ30" i="2"/>
  <c r="EI30" i="2"/>
  <c r="EH30" i="2"/>
  <c r="EG30" i="2"/>
  <c r="EF30" i="2"/>
  <c r="EE30" i="2"/>
  <c r="ED30" i="2"/>
  <c r="EC30" i="2"/>
  <c r="EB30" i="2"/>
  <c r="EA30" i="2"/>
  <c r="DZ30" i="2"/>
  <c r="DY30" i="2"/>
  <c r="DX30" i="2"/>
  <c r="DW30" i="2"/>
  <c r="DV30" i="2"/>
  <c r="DU30" i="2"/>
  <c r="DT30" i="2"/>
  <c r="DS30" i="2"/>
  <c r="DR30" i="2"/>
  <c r="DQ30" i="2"/>
  <c r="DP30" i="2"/>
  <c r="DO30" i="2"/>
  <c r="DN30" i="2"/>
  <c r="DM30" i="2"/>
  <c r="DL30" i="2"/>
  <c r="DK30" i="2"/>
  <c r="DJ30" i="2"/>
  <c r="DI30" i="2"/>
  <c r="DH30" i="2"/>
  <c r="DG30" i="2"/>
  <c r="DF30" i="2"/>
  <c r="DE30" i="2"/>
  <c r="DD30" i="2"/>
  <c r="DB30" i="2"/>
  <c r="DA30" i="2"/>
  <c r="CZ30" i="2"/>
  <c r="CY30" i="2"/>
  <c r="CX30" i="2"/>
  <c r="CW30" i="2"/>
  <c r="CV30" i="2"/>
  <c r="CU30" i="2"/>
  <c r="CT30" i="2"/>
  <c r="CS30" i="2"/>
  <c r="CR30" i="2"/>
  <c r="CQ30" i="2"/>
  <c r="CP30" i="2"/>
  <c r="CO30" i="2"/>
  <c r="CN30" i="2"/>
  <c r="CM30" i="2"/>
  <c r="CL30" i="2"/>
  <c r="CK30" i="2"/>
  <c r="CJ30" i="2"/>
  <c r="CI30" i="2"/>
  <c r="CH30" i="2"/>
  <c r="CG30" i="2"/>
  <c r="CF30" i="2"/>
  <c r="CE30" i="2"/>
  <c r="CD30" i="2"/>
  <c r="CC30" i="2"/>
  <c r="CB30" i="2"/>
  <c r="CA30" i="2"/>
  <c r="BZ30" i="2"/>
  <c r="BY30" i="2"/>
  <c r="BX30" i="2"/>
  <c r="BW30" i="2"/>
  <c r="BV30" i="2"/>
  <c r="BU30" i="2"/>
  <c r="BT30" i="2"/>
  <c r="HF29" i="2"/>
  <c r="HE29" i="2"/>
  <c r="HD29" i="2"/>
  <c r="HC29" i="2"/>
  <c r="HB29" i="2"/>
  <c r="HA29" i="2"/>
  <c r="GZ29" i="2"/>
  <c r="GY29" i="2"/>
  <c r="GX29" i="2"/>
  <c r="GW29" i="2"/>
  <c r="GV29" i="2"/>
  <c r="GU29" i="2"/>
  <c r="GT29" i="2"/>
  <c r="GS29" i="2"/>
  <c r="GR29" i="2"/>
  <c r="GQ29" i="2"/>
  <c r="GP29" i="2"/>
  <c r="GO29" i="2"/>
  <c r="GN29" i="2"/>
  <c r="GM29" i="2"/>
  <c r="GL29" i="2"/>
  <c r="GK29" i="2"/>
  <c r="GJ29" i="2"/>
  <c r="GI29" i="2"/>
  <c r="GH29" i="2"/>
  <c r="GG29" i="2"/>
  <c r="GF29" i="2"/>
  <c r="GE29" i="2"/>
  <c r="GD29" i="2"/>
  <c r="GC29" i="2"/>
  <c r="GB29" i="2"/>
  <c r="GA29" i="2"/>
  <c r="FZ29" i="2"/>
  <c r="FY29" i="2"/>
  <c r="FX29" i="2"/>
  <c r="FV29" i="2"/>
  <c r="FU29" i="2"/>
  <c r="FT29" i="2"/>
  <c r="FS29" i="2"/>
  <c r="FR29" i="2"/>
  <c r="FQ29" i="2"/>
  <c r="FP29" i="2"/>
  <c r="FO29" i="2"/>
  <c r="FN29" i="2"/>
  <c r="FM29" i="2"/>
  <c r="FL29" i="2"/>
  <c r="FK29" i="2"/>
  <c r="FJ29" i="2"/>
  <c r="FI29" i="2"/>
  <c r="FH29" i="2"/>
  <c r="FG29" i="2"/>
  <c r="FF29" i="2"/>
  <c r="FE29" i="2"/>
  <c r="FD29" i="2"/>
  <c r="FC29" i="2"/>
  <c r="FB29" i="2"/>
  <c r="FA29" i="2"/>
  <c r="EZ29" i="2"/>
  <c r="EY29" i="2"/>
  <c r="EX29" i="2"/>
  <c r="EW29" i="2"/>
  <c r="EV29" i="2"/>
  <c r="EU29" i="2"/>
  <c r="ET29" i="2"/>
  <c r="ES29" i="2"/>
  <c r="ER29" i="2"/>
  <c r="EQ29" i="2"/>
  <c r="EP29" i="2"/>
  <c r="EO29" i="2"/>
  <c r="EN29" i="2"/>
  <c r="EL29" i="2"/>
  <c r="EK29" i="2"/>
  <c r="EJ29" i="2"/>
  <c r="EI29" i="2"/>
  <c r="EH29" i="2"/>
  <c r="EG29" i="2"/>
  <c r="EF29" i="2"/>
  <c r="EE29" i="2"/>
  <c r="ED29" i="2"/>
  <c r="EC29" i="2"/>
  <c r="EB29" i="2"/>
  <c r="EA29" i="2"/>
  <c r="DZ29" i="2"/>
  <c r="DY29" i="2"/>
  <c r="DX29" i="2"/>
  <c r="DW29" i="2"/>
  <c r="DV29" i="2"/>
  <c r="DU29" i="2"/>
  <c r="DT29" i="2"/>
  <c r="DS29" i="2"/>
  <c r="DR29" i="2"/>
  <c r="DQ29" i="2"/>
  <c r="DP29" i="2"/>
  <c r="DO29" i="2"/>
  <c r="DN29" i="2"/>
  <c r="DM29" i="2"/>
  <c r="DL29" i="2"/>
  <c r="DK29" i="2"/>
  <c r="DJ29" i="2"/>
  <c r="DI29" i="2"/>
  <c r="DH29" i="2"/>
  <c r="DG29" i="2"/>
  <c r="DF29" i="2"/>
  <c r="DE29" i="2"/>
  <c r="DD29" i="2"/>
  <c r="DB29" i="2"/>
  <c r="DA29" i="2"/>
  <c r="CZ29" i="2"/>
  <c r="CY29" i="2"/>
  <c r="CX29" i="2"/>
  <c r="CW29" i="2"/>
  <c r="CV29" i="2"/>
  <c r="CU29" i="2"/>
  <c r="CT29" i="2"/>
  <c r="CS29" i="2"/>
  <c r="CR29" i="2"/>
  <c r="CQ29" i="2"/>
  <c r="CP29" i="2"/>
  <c r="CO29" i="2"/>
  <c r="CN29" i="2"/>
  <c r="CM29" i="2"/>
  <c r="CL29" i="2"/>
  <c r="CK29" i="2"/>
  <c r="CJ29" i="2"/>
  <c r="CI29" i="2"/>
  <c r="CH29" i="2"/>
  <c r="CG29" i="2"/>
  <c r="CF29" i="2"/>
  <c r="CE29" i="2"/>
  <c r="CD29" i="2"/>
  <c r="CC29" i="2"/>
  <c r="CB29" i="2"/>
  <c r="CA29" i="2"/>
  <c r="BZ29" i="2"/>
  <c r="BY29" i="2"/>
  <c r="BX29" i="2"/>
  <c r="BW29" i="2"/>
  <c r="BV29" i="2"/>
  <c r="BU29" i="2"/>
  <c r="BT29" i="2"/>
  <c r="B94" i="26"/>
  <c r="B93" i="26"/>
  <c r="B92" i="26"/>
  <c r="B91" i="26"/>
  <c r="C274" i="8"/>
  <c r="C273" i="8"/>
  <c r="C272" i="8"/>
  <c r="C271" i="8"/>
  <c r="C207" i="8"/>
  <c r="C206" i="8"/>
  <c r="C205" i="8"/>
  <c r="C204" i="8"/>
  <c r="C98" i="8"/>
  <c r="C97" i="8"/>
  <c r="C96" i="8"/>
  <c r="C95" i="8"/>
  <c r="C73" i="8"/>
  <c r="C72" i="8"/>
  <c r="C71" i="8"/>
  <c r="C70" i="8"/>
  <c r="C67" i="8"/>
  <c r="C66" i="8"/>
  <c r="C65" i="8"/>
  <c r="C64" i="8"/>
  <c r="C61" i="8"/>
  <c r="C60" i="8"/>
  <c r="C59" i="8"/>
  <c r="C58" i="8"/>
  <c r="C55" i="8"/>
  <c r="C54" i="8"/>
  <c r="C53" i="8"/>
  <c r="C52" i="8"/>
  <c r="C49" i="8"/>
  <c r="C48" i="8"/>
  <c r="C47" i="8"/>
  <c r="C46" i="8"/>
  <c r="C43" i="8"/>
  <c r="C42" i="8"/>
  <c r="C41" i="8"/>
  <c r="C40" i="8"/>
  <c r="C36" i="8"/>
  <c r="C35" i="8"/>
  <c r="C34" i="8"/>
  <c r="C33" i="8"/>
  <c r="B100" i="6"/>
  <c r="B99" i="6"/>
  <c r="B98" i="6"/>
  <c r="B97" i="6"/>
  <c r="B94" i="6"/>
  <c r="B93" i="6"/>
  <c r="B92" i="6"/>
  <c r="B91" i="6"/>
  <c r="B82" i="6"/>
  <c r="B81" i="6"/>
  <c r="B80" i="6"/>
  <c r="B79" i="6"/>
  <c r="B34" i="6"/>
  <c r="B33" i="6"/>
  <c r="B32" i="6"/>
  <c r="B31" i="6"/>
  <c r="B26" i="6"/>
  <c r="B25" i="6"/>
  <c r="B24" i="6"/>
  <c r="B23" i="6"/>
  <c r="B20" i="6"/>
  <c r="B19" i="6"/>
  <c r="B18" i="6"/>
  <c r="B17" i="6"/>
  <c r="B14" i="6"/>
  <c r="B13" i="6"/>
  <c r="B12" i="6"/>
  <c r="B11" i="6"/>
  <c r="EO126" i="22"/>
  <c r="EN126" i="22"/>
  <c r="EM126" i="22"/>
  <c r="EL126" i="22"/>
  <c r="EK126" i="22"/>
  <c r="EJ126" i="22"/>
  <c r="EI126" i="22"/>
  <c r="EH126" i="22"/>
  <c r="EG126" i="22"/>
  <c r="EF126" i="22"/>
  <c r="EE126" i="22"/>
  <c r="ED126" i="22"/>
  <c r="EC126" i="22"/>
  <c r="EB126" i="22"/>
  <c r="EA126" i="22"/>
  <c r="DZ126" i="22"/>
  <c r="DY126" i="22"/>
  <c r="DX126" i="22"/>
  <c r="DW126" i="22"/>
  <c r="DS126" i="22"/>
  <c r="DQ126" i="22"/>
  <c r="DP126" i="22"/>
  <c r="DO126" i="22"/>
  <c r="DN126" i="22"/>
  <c r="DM126" i="22"/>
  <c r="DL126" i="22"/>
  <c r="DK126" i="22"/>
  <c r="DJ126" i="22"/>
  <c r="DI126" i="22"/>
  <c r="DH126" i="22"/>
  <c r="DG126" i="22"/>
  <c r="DF126" i="22"/>
  <c r="DE126" i="22"/>
  <c r="DD126" i="22"/>
  <c r="DC126" i="22"/>
  <c r="DB126" i="22"/>
  <c r="DA126" i="22"/>
  <c r="CZ126" i="22"/>
  <c r="CU126" i="22"/>
  <c r="CS126" i="22"/>
  <c r="CR126" i="22"/>
  <c r="CQ126" i="22"/>
  <c r="CP126" i="22"/>
  <c r="CO126" i="22"/>
  <c r="CN126" i="22"/>
  <c r="CM126" i="22"/>
  <c r="CL126" i="22"/>
  <c r="CK126" i="22"/>
  <c r="CJ126" i="22"/>
  <c r="CI126" i="22"/>
  <c r="CH126" i="22"/>
  <c r="CG126" i="22"/>
  <c r="CF126" i="22"/>
  <c r="CE126" i="22"/>
  <c r="CD126" i="22"/>
  <c r="CC126" i="22"/>
  <c r="BW126" i="22"/>
  <c r="BU126" i="22"/>
  <c r="BT126" i="22"/>
  <c r="BS126" i="22"/>
  <c r="BR126" i="22"/>
  <c r="BQ126" i="22"/>
  <c r="BP126" i="22"/>
  <c r="BO126" i="22"/>
  <c r="BN126" i="22"/>
  <c r="BM126" i="22"/>
  <c r="BL126" i="22"/>
  <c r="BK126" i="22"/>
  <c r="BJ126" i="22"/>
  <c r="BI126" i="22"/>
  <c r="BH126" i="22"/>
  <c r="BG126" i="22"/>
  <c r="BF126" i="22"/>
  <c r="AY126" i="22"/>
  <c r="C235" i="21"/>
  <c r="C234" i="21"/>
  <c r="C233" i="21"/>
  <c r="C232" i="21"/>
  <c r="C224" i="21"/>
  <c r="C223" i="21"/>
  <c r="C222" i="21"/>
  <c r="C221" i="21"/>
  <c r="C213" i="21"/>
  <c r="C212" i="21"/>
  <c r="C211" i="21"/>
  <c r="C210" i="21"/>
  <c r="C199" i="21"/>
  <c r="C198" i="21"/>
  <c r="C197" i="21"/>
  <c r="C196" i="21"/>
  <c r="C192" i="21"/>
  <c r="C191" i="21"/>
  <c r="C190" i="21"/>
  <c r="C189" i="21"/>
  <c r="C184" i="21"/>
  <c r="C183" i="21"/>
  <c r="C182" i="21"/>
  <c r="C181" i="21"/>
  <c r="C167" i="21"/>
  <c r="C166" i="21"/>
  <c r="C165" i="21"/>
  <c r="C164" i="21"/>
  <c r="E45" i="7"/>
  <c r="D244" i="4"/>
  <c r="D243" i="4"/>
  <c r="D242" i="4"/>
  <c r="D241" i="4"/>
  <c r="D234" i="4"/>
  <c r="D233" i="4"/>
  <c r="D232" i="4"/>
  <c r="D231" i="4"/>
  <c r="K272" i="26"/>
  <c r="E25" i="20" l="1"/>
  <c r="K263" i="26" l="1"/>
  <c r="K261" i="26"/>
  <c r="K259" i="26"/>
  <c r="K258" i="26"/>
  <c r="H213" i="26"/>
  <c r="G213" i="26"/>
  <c r="F213" i="26"/>
  <c r="E213" i="26"/>
  <c r="C213" i="26"/>
  <c r="H102" i="26"/>
  <c r="G102" i="26"/>
  <c r="G101" i="26" s="1"/>
  <c r="F102" i="26"/>
  <c r="F101" i="26" s="1"/>
  <c r="E102" i="26"/>
  <c r="E101" i="26" s="1"/>
  <c r="H101" i="26"/>
  <c r="J321" i="4" l="1"/>
  <c r="H321" i="4" s="1"/>
  <c r="J5" i="11" l="1"/>
  <c r="D153" i="22"/>
  <c r="D152" i="22"/>
  <c r="D151" i="22"/>
  <c r="D150" i="22"/>
  <c r="D149" i="22"/>
  <c r="B153" i="22"/>
  <c r="B152" i="22"/>
  <c r="B151" i="22"/>
  <c r="B150" i="22"/>
  <c r="B149" i="22"/>
  <c r="D140" i="22"/>
  <c r="D139" i="22"/>
  <c r="D138" i="22"/>
  <c r="D137" i="22"/>
  <c r="D136" i="22"/>
  <c r="B140" i="22"/>
  <c r="B139" i="22"/>
  <c r="B138" i="22"/>
  <c r="B137" i="22"/>
  <c r="B136" i="22"/>
  <c r="AP2" i="54" l="1"/>
  <c r="J7" i="11" l="1"/>
  <c r="D290" i="11" s="1"/>
  <c r="P196" i="8"/>
  <c r="C13" i="56" l="1"/>
  <c r="J303" i="4" s="1"/>
  <c r="F134" i="7" l="1"/>
  <c r="E134" i="7"/>
  <c r="F128" i="7"/>
  <c r="E128" i="7"/>
  <c r="O202" i="8"/>
  <c r="N202" i="8"/>
  <c r="M202" i="8"/>
  <c r="L202" i="8"/>
  <c r="K202" i="8"/>
  <c r="J202" i="8"/>
  <c r="O146" i="8"/>
  <c r="N146" i="8"/>
  <c r="M146" i="8"/>
  <c r="L146" i="8"/>
  <c r="K146" i="8"/>
  <c r="J146" i="8"/>
  <c r="O93" i="8"/>
  <c r="N7" i="6" s="1"/>
  <c r="N93" i="8"/>
  <c r="M7" i="6" s="1"/>
  <c r="M93" i="8"/>
  <c r="L7" i="6" s="1"/>
  <c r="L93" i="8"/>
  <c r="K7" i="6" s="1"/>
  <c r="K93" i="8"/>
  <c r="J7" i="6" s="1"/>
  <c r="J93" i="8"/>
  <c r="I7" i="6" s="1"/>
  <c r="D336" i="8"/>
  <c r="D331" i="8"/>
  <c r="K88" i="8"/>
  <c r="J88" i="8"/>
  <c r="L291" i="8"/>
  <c r="L290" i="8"/>
  <c r="L295" i="8"/>
  <c r="L294" i="8"/>
  <c r="L231" i="8"/>
  <c r="L230" i="8"/>
  <c r="L227" i="8"/>
  <c r="L226" i="8"/>
  <c r="L88" i="8" l="1"/>
  <c r="D186" i="8" s="1"/>
  <c r="D137" i="8" l="1"/>
  <c r="M33" i="51"/>
  <c r="M34" i="51"/>
  <c r="M35" i="51"/>
  <c r="N33" i="51"/>
  <c r="N34" i="51"/>
  <c r="N35" i="51"/>
  <c r="S33" i="51"/>
  <c r="S34" i="51"/>
  <c r="S35" i="51"/>
  <c r="T33" i="51"/>
  <c r="T34" i="51"/>
  <c r="T35" i="51"/>
  <c r="M187" i="60" l="1"/>
  <c r="D187" i="60"/>
  <c r="M188" i="60"/>
  <c r="D188" i="60"/>
  <c r="M178" i="60"/>
  <c r="D178" i="60"/>
  <c r="M174" i="60"/>
  <c r="D174" i="60"/>
  <c r="M155" i="60"/>
  <c r="D155" i="60"/>
  <c r="M154" i="60"/>
  <c r="D154" i="60"/>
  <c r="M189" i="60"/>
  <c r="D189" i="60"/>
  <c r="M98" i="60"/>
  <c r="D98" i="60"/>
  <c r="M141" i="60"/>
  <c r="D141" i="60"/>
  <c r="M143" i="60"/>
  <c r="D143" i="60"/>
  <c r="M142" i="60"/>
  <c r="D142" i="60"/>
  <c r="M131" i="60"/>
  <c r="D131" i="60"/>
  <c r="M136" i="60"/>
  <c r="D136" i="60"/>
  <c r="M135" i="60"/>
  <c r="D135" i="60"/>
  <c r="M121" i="60"/>
  <c r="D121" i="60"/>
  <c r="M64" i="60"/>
  <c r="D64" i="60"/>
  <c r="M115" i="60"/>
  <c r="D115" i="60"/>
  <c r="M126" i="60"/>
  <c r="D126" i="60"/>
  <c r="M100" i="60"/>
  <c r="D100" i="60"/>
  <c r="M96" i="60"/>
  <c r="D96" i="60"/>
  <c r="M91" i="60"/>
  <c r="D91" i="60"/>
  <c r="M62" i="60"/>
  <c r="D62" i="60"/>
  <c r="M41" i="60"/>
  <c r="D41" i="60"/>
  <c r="M36" i="60"/>
  <c r="D36" i="60"/>
  <c r="M95" i="60"/>
  <c r="D95" i="60"/>
  <c r="M29" i="60"/>
  <c r="D29" i="60"/>
  <c r="M12" i="60"/>
  <c r="D12" i="60"/>
  <c r="M173" i="60"/>
  <c r="D173" i="60"/>
  <c r="M170" i="60"/>
  <c r="D170" i="60"/>
  <c r="M104" i="60"/>
  <c r="D104" i="60"/>
  <c r="M134" i="60"/>
  <c r="D134" i="60"/>
  <c r="M119" i="60"/>
  <c r="D119" i="60"/>
  <c r="M113" i="60"/>
  <c r="D113" i="60"/>
  <c r="M81" i="60"/>
  <c r="D81" i="60"/>
  <c r="M82" i="60"/>
  <c r="D82" i="60"/>
  <c r="M30" i="60"/>
  <c r="D30" i="60"/>
  <c r="M19" i="60"/>
  <c r="D19" i="60"/>
  <c r="M184" i="60"/>
  <c r="D184" i="60"/>
  <c r="M66" i="60"/>
  <c r="D66" i="60"/>
  <c r="M181" i="60"/>
  <c r="D181" i="60"/>
  <c r="M172" i="60"/>
  <c r="D172" i="60"/>
  <c r="M177" i="60"/>
  <c r="D177" i="60"/>
  <c r="M116" i="60"/>
  <c r="D116" i="60"/>
  <c r="M171" i="60"/>
  <c r="D171" i="60"/>
  <c r="M34" i="60"/>
  <c r="D34" i="60"/>
  <c r="M165" i="60"/>
  <c r="D165" i="60"/>
  <c r="M58" i="60"/>
  <c r="D58" i="60"/>
  <c r="M164" i="60"/>
  <c r="D164" i="60"/>
  <c r="M163" i="60"/>
  <c r="D163" i="60"/>
  <c r="M159" i="60"/>
  <c r="D159" i="60"/>
  <c r="M158" i="60"/>
  <c r="D158" i="60"/>
  <c r="M149" i="60"/>
  <c r="D149" i="60"/>
  <c r="M148" i="60"/>
  <c r="D148" i="60"/>
  <c r="M111" i="60"/>
  <c r="D111" i="60"/>
  <c r="M145" i="60"/>
  <c r="D145" i="60"/>
  <c r="M144" i="60"/>
  <c r="D144" i="60"/>
  <c r="M133" i="60"/>
  <c r="D133" i="60"/>
  <c r="M132" i="60"/>
  <c r="D132" i="60"/>
  <c r="M120" i="60"/>
  <c r="D120" i="60"/>
  <c r="M110" i="60"/>
  <c r="D110" i="60"/>
  <c r="M118" i="60"/>
  <c r="D118" i="60"/>
  <c r="M107" i="60"/>
  <c r="D107" i="60"/>
  <c r="M106" i="60"/>
  <c r="D106" i="60"/>
  <c r="M108" i="60"/>
  <c r="D108" i="60"/>
  <c r="M94" i="60"/>
  <c r="D94" i="60"/>
  <c r="M92" i="60"/>
  <c r="D92" i="60"/>
  <c r="M88" i="60"/>
  <c r="D88" i="60"/>
  <c r="M87" i="60"/>
  <c r="D87" i="60"/>
  <c r="M83" i="60"/>
  <c r="D83" i="60"/>
  <c r="M86" i="60"/>
  <c r="D86" i="60"/>
  <c r="M80" i="60"/>
  <c r="D80" i="60"/>
  <c r="M73" i="60"/>
  <c r="D73" i="60"/>
  <c r="M49" i="60"/>
  <c r="D49" i="60"/>
  <c r="M67" i="60"/>
  <c r="D67" i="60"/>
  <c r="M63" i="60"/>
  <c r="D63" i="60"/>
  <c r="M61" i="60"/>
  <c r="D61" i="60"/>
  <c r="M59" i="60"/>
  <c r="D59" i="60"/>
  <c r="M52" i="60"/>
  <c r="D52" i="60"/>
  <c r="M48" i="60"/>
  <c r="D48" i="60"/>
  <c r="M47" i="60"/>
  <c r="D47" i="60"/>
  <c r="M78" i="60"/>
  <c r="D78" i="60"/>
  <c r="M20" i="60"/>
  <c r="D20" i="60"/>
  <c r="M23" i="60"/>
  <c r="D23" i="60"/>
  <c r="M16" i="60"/>
  <c r="D16" i="60"/>
  <c r="M24" i="60"/>
  <c r="D24" i="60"/>
  <c r="M14" i="60"/>
  <c r="D14" i="60"/>
  <c r="M13" i="60"/>
  <c r="D13" i="60"/>
  <c r="M10" i="60"/>
  <c r="D10" i="60"/>
  <c r="M7" i="60"/>
  <c r="D7" i="60"/>
  <c r="M6" i="60"/>
  <c r="D6" i="60"/>
  <c r="M190" i="60"/>
  <c r="D190" i="60"/>
  <c r="M8" i="60"/>
  <c r="D8" i="60"/>
  <c r="M176" i="60"/>
  <c r="D176" i="60"/>
  <c r="M152" i="60"/>
  <c r="D152" i="60"/>
  <c r="M151" i="60"/>
  <c r="D151" i="60"/>
  <c r="M147" i="60"/>
  <c r="D147" i="60"/>
  <c r="M138" i="60"/>
  <c r="D138" i="60"/>
  <c r="M137" i="60"/>
  <c r="D137" i="60"/>
  <c r="M109" i="60"/>
  <c r="D109" i="60"/>
  <c r="M101" i="60"/>
  <c r="D101" i="60"/>
  <c r="M99" i="60"/>
  <c r="D99" i="60"/>
  <c r="M90" i="60"/>
  <c r="D90" i="60"/>
  <c r="M85" i="60"/>
  <c r="D85" i="60"/>
  <c r="M84" i="60"/>
  <c r="D84" i="60"/>
  <c r="M56" i="60"/>
  <c r="D56" i="60"/>
  <c r="M50" i="60"/>
  <c r="D50" i="60"/>
  <c r="M21" i="60"/>
  <c r="D21" i="60"/>
  <c r="M4" i="60"/>
  <c r="D4" i="60"/>
  <c r="M186" i="60"/>
  <c r="D186" i="60"/>
  <c r="M182" i="60"/>
  <c r="D182" i="60"/>
  <c r="M183" i="60"/>
  <c r="D183" i="60"/>
  <c r="M175" i="60"/>
  <c r="D175" i="60"/>
  <c r="M162" i="60"/>
  <c r="D162" i="60"/>
  <c r="M185" i="60"/>
  <c r="D185" i="60"/>
  <c r="M103" i="60"/>
  <c r="D103" i="60"/>
  <c r="M97" i="60"/>
  <c r="D97" i="60"/>
  <c r="M140" i="60"/>
  <c r="D140" i="60"/>
  <c r="M146" i="60"/>
  <c r="D146" i="60"/>
  <c r="M139" i="60"/>
  <c r="D139" i="60"/>
  <c r="M130" i="60"/>
  <c r="D130" i="60"/>
  <c r="M114" i="60"/>
  <c r="D114" i="60"/>
  <c r="M89" i="60"/>
  <c r="D89" i="60"/>
  <c r="M77" i="60"/>
  <c r="D77" i="60"/>
  <c r="M79" i="60"/>
  <c r="D79" i="60"/>
  <c r="M76" i="60"/>
  <c r="D76" i="60"/>
  <c r="M75" i="60"/>
  <c r="D75" i="60"/>
  <c r="M74" i="60"/>
  <c r="D74" i="60"/>
  <c r="M157" i="60"/>
  <c r="D157" i="60"/>
  <c r="M55" i="60"/>
  <c r="D55" i="60"/>
  <c r="M53" i="60"/>
  <c r="D53" i="60"/>
  <c r="M51" i="60"/>
  <c r="D51" i="60"/>
  <c r="M46" i="60"/>
  <c r="D46" i="60"/>
  <c r="M45" i="60"/>
  <c r="D45" i="60"/>
  <c r="M42" i="60"/>
  <c r="D42" i="60"/>
  <c r="M35" i="60"/>
  <c r="D35" i="60"/>
  <c r="M33" i="60"/>
  <c r="D33" i="60"/>
  <c r="M27" i="60"/>
  <c r="D27" i="60"/>
  <c r="M26" i="60"/>
  <c r="D26" i="60"/>
  <c r="M25" i="60"/>
  <c r="D25" i="60"/>
  <c r="M28" i="60"/>
  <c r="D28" i="60"/>
  <c r="M22" i="60"/>
  <c r="D22" i="60"/>
  <c r="M9" i="60"/>
  <c r="D9" i="60"/>
  <c r="M11" i="60"/>
  <c r="D11" i="60"/>
  <c r="M193" i="60"/>
  <c r="D193" i="60"/>
  <c r="M192" i="60"/>
  <c r="D192" i="60"/>
  <c r="M179" i="60"/>
  <c r="D179" i="60"/>
  <c r="M180" i="60"/>
  <c r="D180" i="60"/>
  <c r="M169" i="60"/>
  <c r="D169" i="60"/>
  <c r="M160" i="60"/>
  <c r="D160" i="60"/>
  <c r="M191" i="60"/>
  <c r="D191" i="60"/>
  <c r="M156" i="60"/>
  <c r="D156" i="60"/>
  <c r="M167" i="60"/>
  <c r="D167" i="60"/>
  <c r="M153" i="60"/>
  <c r="D153" i="60"/>
  <c r="M161" i="60"/>
  <c r="D161" i="60"/>
  <c r="M150" i="60"/>
  <c r="D150" i="60"/>
  <c r="M129" i="60"/>
  <c r="D129" i="60"/>
  <c r="M128" i="60"/>
  <c r="D128" i="60"/>
  <c r="M127" i="60"/>
  <c r="D127" i="60"/>
  <c r="M122" i="60"/>
  <c r="D122" i="60"/>
  <c r="M124" i="60"/>
  <c r="D124" i="60"/>
  <c r="M123" i="60"/>
  <c r="D123" i="60"/>
  <c r="M117" i="60"/>
  <c r="D117" i="60"/>
  <c r="M125" i="60"/>
  <c r="D125" i="60"/>
  <c r="M112" i="60"/>
  <c r="D112" i="60"/>
  <c r="M102" i="60"/>
  <c r="D102" i="60"/>
  <c r="M105" i="60"/>
  <c r="D105" i="60"/>
  <c r="M93" i="60"/>
  <c r="D93" i="60"/>
  <c r="M71" i="60"/>
  <c r="D71" i="60"/>
  <c r="M69" i="60"/>
  <c r="D69" i="60"/>
  <c r="M68" i="60"/>
  <c r="D68" i="60"/>
  <c r="M70" i="60"/>
  <c r="D70" i="60"/>
  <c r="M65" i="60"/>
  <c r="D65" i="60"/>
  <c r="M60" i="60"/>
  <c r="D60" i="60"/>
  <c r="M166" i="60"/>
  <c r="D166" i="60"/>
  <c r="M57" i="60"/>
  <c r="D57" i="60"/>
  <c r="M72" i="60"/>
  <c r="D72" i="60"/>
  <c r="M39" i="60"/>
  <c r="D39" i="60"/>
  <c r="M37" i="60"/>
  <c r="D37" i="60"/>
  <c r="M40" i="60"/>
  <c r="D40" i="60"/>
  <c r="M43" i="60"/>
  <c r="D43" i="60"/>
  <c r="M168" i="60"/>
  <c r="D168" i="60"/>
  <c r="M32" i="60"/>
  <c r="D32" i="60"/>
  <c r="M38" i="60"/>
  <c r="D38" i="60"/>
  <c r="M44" i="60"/>
  <c r="D44" i="60"/>
  <c r="M15" i="60"/>
  <c r="D15" i="60"/>
  <c r="M18" i="60"/>
  <c r="D18" i="60"/>
  <c r="M31" i="60"/>
  <c r="D31" i="60"/>
  <c r="M17" i="60"/>
  <c r="D17" i="60"/>
  <c r="M5" i="60"/>
  <c r="D5" i="60"/>
  <c r="M54" i="60"/>
  <c r="D54" i="60"/>
  <c r="D191" i="59" l="1"/>
  <c r="C191" i="59"/>
  <c r="B191" i="59"/>
  <c r="D168" i="59"/>
  <c r="C168" i="59"/>
  <c r="B168" i="59"/>
  <c r="D166" i="59"/>
  <c r="C166" i="59"/>
  <c r="B166" i="59"/>
  <c r="D190" i="59"/>
  <c r="C190" i="59"/>
  <c r="B190" i="59"/>
  <c r="D163" i="59"/>
  <c r="C163" i="59"/>
  <c r="B163" i="59"/>
  <c r="D196" i="59"/>
  <c r="C196" i="59"/>
  <c r="B196" i="59"/>
  <c r="D164" i="59"/>
  <c r="C164" i="59"/>
  <c r="B164" i="59"/>
  <c r="D161" i="59"/>
  <c r="C161" i="59"/>
  <c r="B161" i="59"/>
  <c r="D159" i="59"/>
  <c r="C159" i="59"/>
  <c r="B159" i="59"/>
  <c r="D160" i="59"/>
  <c r="C160" i="59"/>
  <c r="B160" i="59"/>
  <c r="D54" i="59"/>
  <c r="C54" i="59"/>
  <c r="B54" i="59"/>
  <c r="D6" i="59"/>
  <c r="C6" i="59"/>
  <c r="B6" i="59"/>
  <c r="D158" i="59"/>
  <c r="C158" i="59"/>
  <c r="B158" i="59"/>
  <c r="D157" i="59"/>
  <c r="C157" i="59"/>
  <c r="B157" i="59"/>
  <c r="D189" i="59"/>
  <c r="C189" i="59"/>
  <c r="B189" i="59"/>
  <c r="D188" i="59"/>
  <c r="C188" i="59"/>
  <c r="B188" i="59"/>
  <c r="D154" i="59"/>
  <c r="C154" i="59"/>
  <c r="B154" i="59"/>
  <c r="D153" i="59"/>
  <c r="C153" i="59"/>
  <c r="B153" i="59"/>
  <c r="D152" i="59"/>
  <c r="C152" i="59"/>
  <c r="B152" i="59"/>
  <c r="D151" i="59"/>
  <c r="C151" i="59"/>
  <c r="B151" i="59"/>
  <c r="D147" i="59"/>
  <c r="C147" i="59"/>
  <c r="B147" i="59"/>
  <c r="D150" i="59"/>
  <c r="C150" i="59"/>
  <c r="B150" i="59"/>
  <c r="D148" i="59"/>
  <c r="C148" i="59"/>
  <c r="B148" i="59"/>
  <c r="D156" i="59"/>
  <c r="C156" i="59"/>
  <c r="B156" i="59"/>
  <c r="D149" i="59"/>
  <c r="C149" i="59"/>
  <c r="B149" i="59"/>
  <c r="D155" i="59"/>
  <c r="C155" i="59"/>
  <c r="B155" i="59"/>
  <c r="D195" i="59"/>
  <c r="C195" i="59"/>
  <c r="B195" i="59"/>
  <c r="D29" i="59"/>
  <c r="C29" i="59"/>
  <c r="B29" i="59"/>
  <c r="D143" i="59"/>
  <c r="C143" i="59"/>
  <c r="B143" i="59"/>
  <c r="D142" i="59"/>
  <c r="C142" i="59"/>
  <c r="B142" i="59"/>
  <c r="D132" i="59"/>
  <c r="C132" i="59"/>
  <c r="B132" i="59"/>
  <c r="D162" i="59"/>
  <c r="C162" i="59"/>
  <c r="B162" i="59"/>
  <c r="D89" i="59"/>
  <c r="C89" i="59"/>
  <c r="B89" i="59"/>
  <c r="D83" i="59"/>
  <c r="C83" i="59"/>
  <c r="B83" i="59"/>
  <c r="D90" i="59"/>
  <c r="C90" i="59"/>
  <c r="B90" i="59"/>
  <c r="D187" i="59"/>
  <c r="C187" i="59"/>
  <c r="B187" i="59"/>
  <c r="D140" i="59"/>
  <c r="C140" i="59"/>
  <c r="B140" i="59"/>
  <c r="D167" i="59"/>
  <c r="C167" i="59"/>
  <c r="B167" i="59"/>
  <c r="D194" i="59"/>
  <c r="C194" i="59"/>
  <c r="B194" i="59"/>
  <c r="D135" i="59"/>
  <c r="C135" i="59"/>
  <c r="B135" i="59"/>
  <c r="D186" i="59"/>
  <c r="C186" i="59"/>
  <c r="B186" i="59"/>
  <c r="D185" i="59"/>
  <c r="C185" i="59"/>
  <c r="B185" i="59"/>
  <c r="D134" i="59"/>
  <c r="C134" i="59"/>
  <c r="B134" i="59"/>
  <c r="D136" i="59"/>
  <c r="C136" i="59"/>
  <c r="B136" i="59"/>
  <c r="D145" i="59"/>
  <c r="C145" i="59"/>
  <c r="B145" i="59"/>
  <c r="D139" i="59"/>
  <c r="C139" i="59"/>
  <c r="B139" i="59"/>
  <c r="D133" i="59"/>
  <c r="C133" i="59"/>
  <c r="B133" i="59"/>
  <c r="D131" i="59"/>
  <c r="C131" i="59"/>
  <c r="B131" i="59"/>
  <c r="D141" i="59"/>
  <c r="C141" i="59"/>
  <c r="B141" i="59"/>
  <c r="D138" i="59"/>
  <c r="C138" i="59"/>
  <c r="B138" i="59"/>
  <c r="D165" i="59"/>
  <c r="C165" i="59"/>
  <c r="B165" i="59"/>
  <c r="D130" i="59"/>
  <c r="C130" i="59"/>
  <c r="B130" i="59"/>
  <c r="D129" i="59"/>
  <c r="C129" i="59"/>
  <c r="B129" i="59"/>
  <c r="D128" i="59"/>
  <c r="C128" i="59"/>
  <c r="B128" i="59"/>
  <c r="D127" i="59"/>
  <c r="C127" i="59"/>
  <c r="B127" i="59"/>
  <c r="D184" i="59"/>
  <c r="C184" i="59"/>
  <c r="B184" i="59"/>
  <c r="D183" i="59"/>
  <c r="C183" i="59"/>
  <c r="B183" i="59"/>
  <c r="D125" i="59"/>
  <c r="C125" i="59"/>
  <c r="B125" i="59"/>
  <c r="D122" i="59"/>
  <c r="C122" i="59"/>
  <c r="B122" i="59"/>
  <c r="D121" i="59"/>
  <c r="C121" i="59"/>
  <c r="B121" i="59"/>
  <c r="D126" i="59"/>
  <c r="C126" i="59"/>
  <c r="B126" i="59"/>
  <c r="D124" i="59"/>
  <c r="C124" i="59"/>
  <c r="B124" i="59"/>
  <c r="D120" i="59"/>
  <c r="C120" i="59"/>
  <c r="B120" i="59"/>
  <c r="D123" i="59"/>
  <c r="C123" i="59"/>
  <c r="B123" i="59"/>
  <c r="D119" i="59"/>
  <c r="C119" i="59"/>
  <c r="B119" i="59"/>
  <c r="D118" i="59"/>
  <c r="C118" i="59"/>
  <c r="B118" i="59"/>
  <c r="D114" i="59"/>
  <c r="C114" i="59"/>
  <c r="B114" i="59"/>
  <c r="D100" i="59"/>
  <c r="C100" i="59"/>
  <c r="B100" i="59"/>
  <c r="D112" i="59"/>
  <c r="C112" i="59"/>
  <c r="B112" i="59"/>
  <c r="D111" i="59"/>
  <c r="C111" i="59"/>
  <c r="B111" i="59"/>
  <c r="D113" i="59"/>
  <c r="C113" i="59"/>
  <c r="B113" i="59"/>
  <c r="D117" i="59"/>
  <c r="C117" i="59"/>
  <c r="B117" i="59"/>
  <c r="D182" i="59"/>
  <c r="C182" i="59"/>
  <c r="B182" i="59"/>
  <c r="D115" i="59"/>
  <c r="C115" i="59"/>
  <c r="B115" i="59"/>
  <c r="D116" i="59"/>
  <c r="C116" i="59"/>
  <c r="B116" i="59"/>
  <c r="D110" i="59"/>
  <c r="C110" i="59"/>
  <c r="B110" i="59"/>
  <c r="D102" i="59"/>
  <c r="C102" i="59"/>
  <c r="B102" i="59"/>
  <c r="D105" i="59"/>
  <c r="C105" i="59"/>
  <c r="B105" i="59"/>
  <c r="D95" i="59"/>
  <c r="C95" i="59"/>
  <c r="B95" i="59"/>
  <c r="D103" i="59"/>
  <c r="C103" i="59"/>
  <c r="B103" i="59"/>
  <c r="D104" i="59"/>
  <c r="C104" i="59"/>
  <c r="B104" i="59"/>
  <c r="D96" i="59"/>
  <c r="C96" i="59"/>
  <c r="B96" i="59"/>
  <c r="D52" i="59"/>
  <c r="C52" i="59"/>
  <c r="B52" i="59"/>
  <c r="D99" i="59"/>
  <c r="C99" i="59"/>
  <c r="B99" i="59"/>
  <c r="D107" i="59"/>
  <c r="C107" i="59"/>
  <c r="B107" i="59"/>
  <c r="D106" i="59"/>
  <c r="C106" i="59"/>
  <c r="B106" i="59"/>
  <c r="D181" i="59"/>
  <c r="C181" i="59"/>
  <c r="B181" i="59"/>
  <c r="D180" i="59"/>
  <c r="C180" i="59"/>
  <c r="B180" i="59"/>
  <c r="D101" i="59"/>
  <c r="C101" i="59"/>
  <c r="B101" i="59"/>
  <c r="D98" i="59"/>
  <c r="C98" i="59"/>
  <c r="B98" i="59"/>
  <c r="D109" i="59"/>
  <c r="C109" i="59"/>
  <c r="B109" i="59"/>
  <c r="D108" i="59"/>
  <c r="C108" i="59"/>
  <c r="B108" i="59"/>
  <c r="D97" i="59"/>
  <c r="C97" i="59"/>
  <c r="B97" i="59"/>
  <c r="D94" i="59"/>
  <c r="C94" i="59"/>
  <c r="B94" i="59"/>
  <c r="D179" i="59"/>
  <c r="C179" i="59"/>
  <c r="B179" i="59"/>
  <c r="D92" i="59"/>
  <c r="C92" i="59"/>
  <c r="B92" i="59"/>
  <c r="D88" i="59"/>
  <c r="C88" i="59"/>
  <c r="B88" i="59"/>
  <c r="D87" i="59"/>
  <c r="C87" i="59"/>
  <c r="B87" i="59"/>
  <c r="D91" i="59"/>
  <c r="C91" i="59"/>
  <c r="B91" i="59"/>
  <c r="D193" i="59"/>
  <c r="C193" i="59"/>
  <c r="B193" i="59"/>
  <c r="D93" i="59"/>
  <c r="C93" i="59"/>
  <c r="B93" i="59"/>
  <c r="D86" i="59"/>
  <c r="C86" i="59"/>
  <c r="B86" i="59"/>
  <c r="D80" i="59"/>
  <c r="C80" i="59"/>
  <c r="B80" i="59"/>
  <c r="D85" i="59"/>
  <c r="C85" i="59"/>
  <c r="B85" i="59"/>
  <c r="D178" i="59"/>
  <c r="C178" i="59"/>
  <c r="B178" i="59"/>
  <c r="D84" i="59"/>
  <c r="C84" i="59"/>
  <c r="B84" i="59"/>
  <c r="D82" i="59"/>
  <c r="C82" i="59"/>
  <c r="B82" i="59"/>
  <c r="D79" i="59"/>
  <c r="C79" i="59"/>
  <c r="B79" i="59"/>
  <c r="D78" i="59"/>
  <c r="C78" i="59"/>
  <c r="B78" i="59"/>
  <c r="D76" i="59"/>
  <c r="C76" i="59"/>
  <c r="B76" i="59"/>
  <c r="D77" i="59"/>
  <c r="C77" i="59"/>
  <c r="B77" i="59"/>
  <c r="D75" i="59"/>
  <c r="C75" i="59"/>
  <c r="B75" i="59"/>
  <c r="D177" i="59"/>
  <c r="C177" i="59"/>
  <c r="B177" i="59"/>
  <c r="D74" i="59"/>
  <c r="C74" i="59"/>
  <c r="B74" i="59"/>
  <c r="D176" i="59"/>
  <c r="C176" i="59"/>
  <c r="B176" i="59"/>
  <c r="D72" i="59"/>
  <c r="C72" i="59"/>
  <c r="B72" i="59"/>
  <c r="D71" i="59"/>
  <c r="C71" i="59"/>
  <c r="B71" i="59"/>
  <c r="D69" i="59"/>
  <c r="C69" i="59"/>
  <c r="B69" i="59"/>
  <c r="D70" i="59"/>
  <c r="C70" i="59"/>
  <c r="B70" i="59"/>
  <c r="D73" i="59"/>
  <c r="C73" i="59"/>
  <c r="B73" i="59"/>
  <c r="D68" i="59"/>
  <c r="C68" i="59"/>
  <c r="B68" i="59"/>
  <c r="D64" i="59"/>
  <c r="C64" i="59"/>
  <c r="B64" i="59"/>
  <c r="D65" i="59"/>
  <c r="C65" i="59"/>
  <c r="B65" i="59"/>
  <c r="D67" i="59"/>
  <c r="C67" i="59"/>
  <c r="B67" i="59"/>
  <c r="D63" i="59"/>
  <c r="C63" i="59"/>
  <c r="B63" i="59"/>
  <c r="D59" i="59"/>
  <c r="C59" i="59"/>
  <c r="B59" i="59"/>
  <c r="D57" i="59"/>
  <c r="C57" i="59"/>
  <c r="B57" i="59"/>
  <c r="D62" i="59"/>
  <c r="C62" i="59"/>
  <c r="B62" i="59"/>
  <c r="D61" i="59"/>
  <c r="C61" i="59"/>
  <c r="B61" i="59"/>
  <c r="D175" i="59"/>
  <c r="C175" i="59"/>
  <c r="B175" i="59"/>
  <c r="D56" i="59"/>
  <c r="C56" i="59"/>
  <c r="B56" i="59"/>
  <c r="D174" i="59"/>
  <c r="C174" i="59"/>
  <c r="B174" i="59"/>
  <c r="D55" i="59"/>
  <c r="C55" i="59"/>
  <c r="B55" i="59"/>
  <c r="D58" i="59"/>
  <c r="C58" i="59"/>
  <c r="B58" i="59"/>
  <c r="D53" i="59"/>
  <c r="C53" i="59"/>
  <c r="B53" i="59"/>
  <c r="D173" i="59"/>
  <c r="C173" i="59"/>
  <c r="B173" i="59"/>
  <c r="D172" i="59"/>
  <c r="C172" i="59"/>
  <c r="B172" i="59"/>
  <c r="D51" i="59"/>
  <c r="C51" i="59"/>
  <c r="B51" i="59"/>
  <c r="D50" i="59"/>
  <c r="C50" i="59"/>
  <c r="B50" i="59"/>
  <c r="D144" i="59"/>
  <c r="C144" i="59"/>
  <c r="B144" i="59"/>
  <c r="D49" i="59"/>
  <c r="C49" i="59"/>
  <c r="B49" i="59"/>
  <c r="D48" i="59"/>
  <c r="C48" i="59"/>
  <c r="B48" i="59"/>
  <c r="D60" i="59"/>
  <c r="C60" i="59"/>
  <c r="B60" i="59"/>
  <c r="D137" i="59"/>
  <c r="C137" i="59"/>
  <c r="B137" i="59"/>
  <c r="D47" i="59"/>
  <c r="C47" i="59"/>
  <c r="B47" i="59"/>
  <c r="D46" i="59"/>
  <c r="C46" i="59"/>
  <c r="B46" i="59"/>
  <c r="D44" i="59"/>
  <c r="C44" i="59"/>
  <c r="B44" i="59"/>
  <c r="D42" i="59"/>
  <c r="C42" i="59"/>
  <c r="B42" i="59"/>
  <c r="D41" i="59"/>
  <c r="C41" i="59"/>
  <c r="B41" i="59"/>
  <c r="D43" i="59"/>
  <c r="C43" i="59"/>
  <c r="B43" i="59"/>
  <c r="D40" i="59"/>
  <c r="C40" i="59"/>
  <c r="B40" i="59"/>
  <c r="D171" i="59"/>
  <c r="C171" i="59"/>
  <c r="B171" i="59"/>
  <c r="D66" i="59"/>
  <c r="C66" i="59"/>
  <c r="B66" i="59"/>
  <c r="D32" i="59"/>
  <c r="C32" i="59"/>
  <c r="B32" i="59"/>
  <c r="D39" i="59"/>
  <c r="C39" i="59"/>
  <c r="B39" i="59"/>
  <c r="D35" i="59"/>
  <c r="C35" i="59"/>
  <c r="B35" i="59"/>
  <c r="D34" i="59"/>
  <c r="C34" i="59"/>
  <c r="B34" i="59"/>
  <c r="D37" i="59"/>
  <c r="C37" i="59"/>
  <c r="B37" i="59"/>
  <c r="D36" i="59"/>
  <c r="C36" i="59"/>
  <c r="B36" i="59"/>
  <c r="D31" i="59"/>
  <c r="C31" i="59"/>
  <c r="B31" i="59"/>
  <c r="D30" i="59"/>
  <c r="C30" i="59"/>
  <c r="B30" i="59"/>
  <c r="D146" i="59"/>
  <c r="C146" i="59"/>
  <c r="B146" i="59"/>
  <c r="D27" i="59"/>
  <c r="C27" i="59"/>
  <c r="B27" i="59"/>
  <c r="D28" i="59"/>
  <c r="C28" i="59"/>
  <c r="B28" i="59"/>
  <c r="D33" i="59"/>
  <c r="C33" i="59"/>
  <c r="B33" i="59"/>
  <c r="D81" i="59"/>
  <c r="C81" i="59"/>
  <c r="B81" i="59"/>
  <c r="D38" i="59"/>
  <c r="C38" i="59"/>
  <c r="B38" i="59"/>
  <c r="D11" i="59"/>
  <c r="C11" i="59"/>
  <c r="B11" i="59"/>
  <c r="D13" i="59"/>
  <c r="C13" i="59"/>
  <c r="B13" i="59"/>
  <c r="D15" i="59"/>
  <c r="C15" i="59"/>
  <c r="B15" i="59"/>
  <c r="D24" i="59"/>
  <c r="C24" i="59"/>
  <c r="B24" i="59"/>
  <c r="D22" i="59"/>
  <c r="C22" i="59"/>
  <c r="B22" i="59"/>
  <c r="D26" i="59"/>
  <c r="C26" i="59"/>
  <c r="B26" i="59"/>
  <c r="D18" i="59"/>
  <c r="C18" i="59"/>
  <c r="B18" i="59"/>
  <c r="D21" i="59"/>
  <c r="C21" i="59"/>
  <c r="B21" i="59"/>
  <c r="D25" i="59"/>
  <c r="C25" i="59"/>
  <c r="B25" i="59"/>
  <c r="D12" i="59"/>
  <c r="C12" i="59"/>
  <c r="B12" i="59"/>
  <c r="D20" i="59"/>
  <c r="C20" i="59"/>
  <c r="B20" i="59"/>
  <c r="D170" i="59"/>
  <c r="C170" i="59"/>
  <c r="B170" i="59"/>
  <c r="D19" i="59"/>
  <c r="C19" i="59"/>
  <c r="B19" i="59"/>
  <c r="D23" i="59"/>
  <c r="C23" i="59"/>
  <c r="B23" i="59"/>
  <c r="D14" i="59"/>
  <c r="C14" i="59"/>
  <c r="B14" i="59"/>
  <c r="D16" i="59"/>
  <c r="C16" i="59"/>
  <c r="B16" i="59"/>
  <c r="D17" i="59"/>
  <c r="C17" i="59"/>
  <c r="B17" i="59"/>
  <c r="D10" i="59"/>
  <c r="C10" i="59"/>
  <c r="B10" i="59"/>
  <c r="D169" i="59"/>
  <c r="C169" i="59"/>
  <c r="B169" i="59"/>
  <c r="D9" i="59"/>
  <c r="C9" i="59"/>
  <c r="B9" i="59"/>
  <c r="D2" i="59"/>
  <c r="C2" i="59"/>
  <c r="B2" i="59"/>
  <c r="D7" i="59"/>
  <c r="C7" i="59"/>
  <c r="B7" i="59"/>
  <c r="D192" i="59"/>
  <c r="C192" i="59"/>
  <c r="B192" i="59"/>
  <c r="D8" i="59"/>
  <c r="C8" i="59"/>
  <c r="B8" i="59"/>
  <c r="D4" i="59"/>
  <c r="C4" i="59"/>
  <c r="B4" i="59"/>
  <c r="D45" i="59"/>
  <c r="C45" i="59"/>
  <c r="B45" i="59"/>
  <c r="D5" i="59"/>
  <c r="C5" i="59"/>
  <c r="B5" i="59"/>
  <c r="D3" i="59"/>
  <c r="C3" i="59"/>
  <c r="B3" i="59"/>
  <c r="D288" i="11"/>
  <c r="H23" i="26"/>
  <c r="G23" i="26"/>
  <c r="F23" i="26"/>
  <c r="E23" i="26"/>
  <c r="D23" i="26"/>
  <c r="H22" i="26"/>
  <c r="G22" i="26"/>
  <c r="F22" i="26"/>
  <c r="E22" i="26"/>
  <c r="D22" i="26"/>
  <c r="C22" i="26"/>
  <c r="H21" i="26"/>
  <c r="G21" i="26"/>
  <c r="F21" i="26"/>
  <c r="E21" i="26"/>
  <c r="D21" i="26"/>
  <c r="C21" i="26"/>
  <c r="H20" i="26"/>
  <c r="G20" i="26"/>
  <c r="F20" i="26"/>
  <c r="E20" i="26"/>
  <c r="D20" i="26"/>
  <c r="C20" i="26"/>
  <c r="H19" i="26"/>
  <c r="G19" i="26"/>
  <c r="F19" i="26"/>
  <c r="E19" i="26"/>
  <c r="D19" i="26"/>
  <c r="C19" i="26"/>
  <c r="H18" i="26"/>
  <c r="G18" i="26"/>
  <c r="F18" i="26"/>
  <c r="E18" i="26"/>
  <c r="D18" i="26"/>
  <c r="C18" i="26"/>
  <c r="H17" i="26"/>
  <c r="G17" i="26"/>
  <c r="F17" i="26"/>
  <c r="E17" i="26"/>
  <c r="D17" i="26"/>
  <c r="C17" i="26"/>
  <c r="H16" i="26"/>
  <c r="G16" i="26"/>
  <c r="F16" i="26"/>
  <c r="E16" i="26"/>
  <c r="D16" i="26"/>
  <c r="C16" i="26"/>
  <c r="H15" i="26"/>
  <c r="G15" i="26"/>
  <c r="F15" i="26"/>
  <c r="E15" i="26"/>
  <c r="D15" i="26"/>
  <c r="C15" i="26"/>
  <c r="H14" i="26"/>
  <c r="G14" i="26"/>
  <c r="F14" i="26"/>
  <c r="E14" i="26"/>
  <c r="D14" i="26"/>
  <c r="C14" i="26"/>
  <c r="H13" i="26"/>
  <c r="G13" i="26"/>
  <c r="F13" i="26"/>
  <c r="E13" i="26"/>
  <c r="D13" i="26"/>
  <c r="C13" i="26"/>
  <c r="H12" i="26"/>
  <c r="G12" i="26"/>
  <c r="F12" i="26"/>
  <c r="E12" i="26"/>
  <c r="D12" i="26"/>
  <c r="C12" i="26"/>
  <c r="H11" i="26"/>
  <c r="G11" i="26"/>
  <c r="F11" i="26"/>
  <c r="E11" i="26"/>
  <c r="C23" i="26"/>
  <c r="H41" i="26"/>
  <c r="G41" i="26"/>
  <c r="F41" i="26"/>
  <c r="E41" i="26"/>
  <c r="D41" i="26"/>
  <c r="C41" i="26"/>
  <c r="H40" i="26"/>
  <c r="G40" i="26"/>
  <c r="F40" i="26"/>
  <c r="E40" i="26"/>
  <c r="D40" i="26"/>
  <c r="C40" i="26"/>
  <c r="H39" i="26"/>
  <c r="G39" i="26"/>
  <c r="F39" i="26"/>
  <c r="E39" i="26"/>
  <c r="D39" i="26"/>
  <c r="C39" i="26"/>
  <c r="H38" i="26"/>
  <c r="G38" i="26"/>
  <c r="F38" i="26"/>
  <c r="E38" i="26"/>
  <c r="D38" i="26"/>
  <c r="C38" i="26"/>
  <c r="H37" i="26"/>
  <c r="G37" i="26"/>
  <c r="F37" i="26"/>
  <c r="E37" i="26"/>
  <c r="D37" i="26"/>
  <c r="C37" i="26"/>
  <c r="H36" i="26"/>
  <c r="G36" i="26"/>
  <c r="F36" i="26"/>
  <c r="E36" i="26"/>
  <c r="D36" i="26"/>
  <c r="C36" i="26"/>
  <c r="H35" i="26"/>
  <c r="G35" i="26"/>
  <c r="F35" i="26"/>
  <c r="E35" i="26"/>
  <c r="D35" i="26"/>
  <c r="C35" i="26"/>
  <c r="H34" i="26"/>
  <c r="G34" i="26"/>
  <c r="F34" i="26"/>
  <c r="E34" i="26"/>
  <c r="D34" i="26"/>
  <c r="C34" i="26"/>
  <c r="H33" i="26"/>
  <c r="G33" i="26"/>
  <c r="F33" i="26"/>
  <c r="E33" i="26"/>
  <c r="D33" i="26"/>
  <c r="C33" i="26"/>
  <c r="J60" i="21" l="1"/>
  <c r="G78" i="4"/>
  <c r="C12" i="56" l="1"/>
  <c r="J287" i="4" s="1"/>
  <c r="F287" i="4" s="1"/>
  <c r="AX13" i="56"/>
  <c r="AW13" i="56"/>
  <c r="AV13" i="56"/>
  <c r="AU13" i="56"/>
  <c r="AT13" i="56"/>
  <c r="AS13" i="56"/>
  <c r="AR13" i="56"/>
  <c r="AQ13" i="56"/>
  <c r="AP13" i="56"/>
  <c r="AO13" i="56"/>
  <c r="AN13" i="56"/>
  <c r="AM13" i="56"/>
  <c r="AL13" i="56"/>
  <c r="AK13" i="56"/>
  <c r="AJ13" i="56"/>
  <c r="AI13" i="56"/>
  <c r="AH13" i="56"/>
  <c r="AG13" i="56"/>
  <c r="AF13" i="56"/>
  <c r="AE13" i="56"/>
  <c r="AD13" i="56"/>
  <c r="AC13" i="56"/>
  <c r="AB13" i="56"/>
  <c r="AA13" i="56"/>
  <c r="Z13" i="56"/>
  <c r="Y13" i="56"/>
  <c r="X13" i="56"/>
  <c r="W13" i="56"/>
  <c r="V13" i="56"/>
  <c r="U13" i="56"/>
  <c r="T13" i="56"/>
  <c r="S13" i="56"/>
  <c r="R13" i="56"/>
  <c r="Q13" i="56"/>
  <c r="P13" i="56"/>
  <c r="O13" i="56"/>
  <c r="N13" i="56"/>
  <c r="M13" i="56"/>
  <c r="L13" i="56"/>
  <c r="K13" i="56"/>
  <c r="J13" i="56"/>
  <c r="I13" i="56"/>
  <c r="H13" i="56"/>
  <c r="G13" i="56"/>
  <c r="F13" i="56"/>
  <c r="D13" i="56"/>
  <c r="J310" i="4" s="1"/>
  <c r="H310" i="4" s="1"/>
  <c r="B13" i="56"/>
  <c r="A13" i="56"/>
  <c r="AX12" i="56"/>
  <c r="AW12" i="56"/>
  <c r="AV12" i="56"/>
  <c r="AU12" i="56"/>
  <c r="AT12" i="56"/>
  <c r="AS12" i="56"/>
  <c r="AR12" i="56"/>
  <c r="AQ12" i="56"/>
  <c r="AP12" i="56"/>
  <c r="AO12" i="56"/>
  <c r="AN12" i="56"/>
  <c r="AM12" i="56"/>
  <c r="AL12" i="56"/>
  <c r="AK12" i="56"/>
  <c r="AJ12" i="56"/>
  <c r="AI12" i="56"/>
  <c r="AH12" i="56"/>
  <c r="AG12" i="56"/>
  <c r="AF12" i="56"/>
  <c r="AE12" i="56"/>
  <c r="AD12" i="56"/>
  <c r="AC12" i="56"/>
  <c r="AB12" i="56"/>
  <c r="AA12" i="56"/>
  <c r="Z12" i="56"/>
  <c r="Y12" i="56"/>
  <c r="X12" i="56"/>
  <c r="W12" i="56"/>
  <c r="V12" i="56"/>
  <c r="U12" i="56"/>
  <c r="T12" i="56"/>
  <c r="S12" i="56"/>
  <c r="R12" i="56"/>
  <c r="Q12" i="56"/>
  <c r="P12" i="56"/>
  <c r="O12" i="56"/>
  <c r="N12" i="56"/>
  <c r="M12" i="56"/>
  <c r="L12" i="56"/>
  <c r="K12" i="56"/>
  <c r="J12" i="56"/>
  <c r="I12" i="56"/>
  <c r="H12" i="56"/>
  <c r="J292" i="4" s="1"/>
  <c r="G12" i="56"/>
  <c r="J291" i="4" s="1"/>
  <c r="F12" i="56"/>
  <c r="J290" i="4" s="1"/>
  <c r="E12" i="56"/>
  <c r="J289" i="4" s="1"/>
  <c r="D12" i="56"/>
  <c r="J288" i="4" s="1"/>
  <c r="F288" i="4" s="1"/>
  <c r="A12" i="56"/>
  <c r="AX11" i="56"/>
  <c r="AW11" i="56"/>
  <c r="AV11" i="56"/>
  <c r="AU11" i="56"/>
  <c r="AT11" i="56"/>
  <c r="AS11" i="56"/>
  <c r="AR11" i="56"/>
  <c r="AQ11" i="56"/>
  <c r="AP11" i="56"/>
  <c r="AO11" i="56"/>
  <c r="AN11" i="56"/>
  <c r="AM11" i="56"/>
  <c r="AL11" i="56"/>
  <c r="AK11" i="56"/>
  <c r="AJ11" i="56"/>
  <c r="AI11" i="56"/>
  <c r="AH11" i="56"/>
  <c r="AG11" i="56"/>
  <c r="AF11" i="56"/>
  <c r="AE11" i="56"/>
  <c r="AD11" i="56"/>
  <c r="AC11" i="56"/>
  <c r="AB11" i="56"/>
  <c r="AA11" i="56"/>
  <c r="Z11" i="56"/>
  <c r="Y11" i="56"/>
  <c r="X11" i="56"/>
  <c r="W11" i="56"/>
  <c r="V11" i="56"/>
  <c r="U11" i="56"/>
  <c r="T11" i="56"/>
  <c r="S11" i="56"/>
  <c r="R11" i="56"/>
  <c r="Q11" i="56"/>
  <c r="P11" i="56"/>
  <c r="O11" i="56"/>
  <c r="N11" i="56"/>
  <c r="M11" i="56"/>
  <c r="L11" i="56"/>
  <c r="K11" i="56"/>
  <c r="J11" i="56"/>
  <c r="I11" i="56"/>
  <c r="H11" i="56"/>
  <c r="G11" i="56"/>
  <c r="F11" i="56"/>
  <c r="E11" i="56"/>
  <c r="D11" i="56"/>
  <c r="C11" i="56"/>
  <c r="B11" i="56"/>
  <c r="A11" i="56"/>
  <c r="AX10" i="56"/>
  <c r="AW10" i="56"/>
  <c r="AV10" i="56"/>
  <c r="AU10" i="56"/>
  <c r="AT10" i="56"/>
  <c r="AS10" i="56"/>
  <c r="AR10" i="56"/>
  <c r="AQ10" i="56"/>
  <c r="AP10" i="56"/>
  <c r="AO10" i="56"/>
  <c r="AN10" i="56"/>
  <c r="AM10" i="56"/>
  <c r="AL10" i="56"/>
  <c r="AK10" i="56"/>
  <c r="AJ10" i="56"/>
  <c r="AI10" i="56"/>
  <c r="AH10" i="56"/>
  <c r="AG10" i="56"/>
  <c r="AF10" i="56"/>
  <c r="AE10" i="56"/>
  <c r="AD10" i="56"/>
  <c r="AC10" i="56"/>
  <c r="AB10" i="56"/>
  <c r="AA10" i="56"/>
  <c r="Z10" i="56"/>
  <c r="Y10" i="56"/>
  <c r="X10" i="56"/>
  <c r="W10" i="56"/>
  <c r="V10" i="56"/>
  <c r="U10" i="56"/>
  <c r="T10" i="56"/>
  <c r="S10" i="56"/>
  <c r="R10" i="56"/>
  <c r="Q10" i="56"/>
  <c r="P10" i="56"/>
  <c r="O10" i="56"/>
  <c r="N10" i="56"/>
  <c r="M10" i="56"/>
  <c r="L10" i="56"/>
  <c r="K10" i="56"/>
  <c r="J10" i="56"/>
  <c r="I10" i="56"/>
  <c r="H10" i="56"/>
  <c r="G10" i="56"/>
  <c r="F10" i="56"/>
  <c r="E10" i="56"/>
  <c r="D10" i="56"/>
  <c r="C10" i="56"/>
  <c r="B10" i="56"/>
  <c r="A10" i="56"/>
  <c r="AX9" i="56"/>
  <c r="AW9" i="56"/>
  <c r="AV9" i="56"/>
  <c r="AU9" i="56"/>
  <c r="AT9" i="56"/>
  <c r="AS9" i="56"/>
  <c r="AR9" i="56"/>
  <c r="AQ9" i="56"/>
  <c r="AP9" i="56"/>
  <c r="AO9" i="56"/>
  <c r="AN9" i="56"/>
  <c r="AM9" i="56"/>
  <c r="AL9" i="56"/>
  <c r="AK9" i="56"/>
  <c r="AJ9" i="56"/>
  <c r="AI9" i="56"/>
  <c r="AH9" i="56"/>
  <c r="AG9" i="56"/>
  <c r="AF9" i="56"/>
  <c r="AE9" i="56"/>
  <c r="AD9" i="56"/>
  <c r="AC9" i="56"/>
  <c r="AB9" i="56"/>
  <c r="AA9" i="56"/>
  <c r="Z9" i="56"/>
  <c r="Y9" i="56"/>
  <c r="X9" i="56"/>
  <c r="W9" i="56"/>
  <c r="V9" i="56"/>
  <c r="U9" i="56"/>
  <c r="T9" i="56"/>
  <c r="S9" i="56"/>
  <c r="R9" i="56"/>
  <c r="Q9" i="56"/>
  <c r="P9" i="56"/>
  <c r="O9" i="56"/>
  <c r="N9" i="56"/>
  <c r="M9" i="56"/>
  <c r="L9" i="56"/>
  <c r="K9" i="56"/>
  <c r="J9" i="56"/>
  <c r="I9" i="56"/>
  <c r="H9" i="56"/>
  <c r="G9" i="56"/>
  <c r="F9" i="56"/>
  <c r="E9" i="56"/>
  <c r="D9" i="56"/>
  <c r="C9" i="56"/>
  <c r="B9" i="56"/>
  <c r="A9" i="56"/>
  <c r="AX8" i="56"/>
  <c r="AW8" i="56"/>
  <c r="AV8" i="56"/>
  <c r="AU8" i="56"/>
  <c r="AT8" i="56"/>
  <c r="AS8" i="56"/>
  <c r="AR8" i="56"/>
  <c r="AQ8" i="56"/>
  <c r="AP8" i="56"/>
  <c r="AO8" i="56"/>
  <c r="AN8" i="56"/>
  <c r="AM8" i="56"/>
  <c r="AL8" i="56"/>
  <c r="AK8" i="56"/>
  <c r="AJ8" i="56"/>
  <c r="AI8" i="56"/>
  <c r="AH8" i="56"/>
  <c r="AG8" i="56"/>
  <c r="AF8" i="56"/>
  <c r="AE8" i="56"/>
  <c r="AD8" i="56"/>
  <c r="AC8" i="56"/>
  <c r="AB8" i="56"/>
  <c r="N43" i="7" s="1"/>
  <c r="Y8" i="56"/>
  <c r="N40" i="7" s="1"/>
  <c r="X8" i="56"/>
  <c r="N39" i="7" s="1"/>
  <c r="W8" i="56"/>
  <c r="N38" i="7" s="1"/>
  <c r="V8" i="56"/>
  <c r="N37" i="7" s="1"/>
  <c r="U8" i="56"/>
  <c r="N36" i="7" s="1"/>
  <c r="T8" i="56"/>
  <c r="N35" i="7" s="1"/>
  <c r="S8" i="56"/>
  <c r="N34" i="7" s="1"/>
  <c r="R8" i="56"/>
  <c r="N33" i="7" s="1"/>
  <c r="Q8" i="56"/>
  <c r="N32" i="7" s="1"/>
  <c r="P8" i="56"/>
  <c r="N31" i="7" s="1"/>
  <c r="O8" i="56"/>
  <c r="N8" i="56"/>
  <c r="M8" i="56"/>
  <c r="L8" i="56"/>
  <c r="K8" i="56"/>
  <c r="J8" i="56"/>
  <c r="I8" i="56"/>
  <c r="H8" i="56"/>
  <c r="G8" i="56"/>
  <c r="F8" i="56"/>
  <c r="E8" i="56"/>
  <c r="D8" i="56"/>
  <c r="C8" i="56"/>
  <c r="B8" i="56"/>
  <c r="A8" i="56"/>
  <c r="AX7" i="56"/>
  <c r="AW7" i="56"/>
  <c r="AV7" i="56"/>
  <c r="AU7" i="56"/>
  <c r="AT7" i="56"/>
  <c r="AS7" i="56"/>
  <c r="AR7" i="56"/>
  <c r="AQ7" i="56"/>
  <c r="AP7" i="56"/>
  <c r="AO7" i="56"/>
  <c r="N68" i="7" s="1"/>
  <c r="AN7" i="56"/>
  <c r="N67" i="7" s="1"/>
  <c r="AM7" i="56"/>
  <c r="N66" i="7" s="1"/>
  <c r="AL7" i="56"/>
  <c r="N65" i="7" s="1"/>
  <c r="AK7" i="56"/>
  <c r="N64" i="7" s="1"/>
  <c r="AJ7" i="56"/>
  <c r="N55" i="7" s="1"/>
  <c r="AI7" i="56"/>
  <c r="N54" i="7" s="1"/>
  <c r="AH7" i="56"/>
  <c r="N53" i="7" s="1"/>
  <c r="AG7" i="56"/>
  <c r="N52" i="7" s="1"/>
  <c r="AF7" i="56"/>
  <c r="N51" i="7" s="1"/>
  <c r="AE7" i="56"/>
  <c r="N50" i="7" s="1"/>
  <c r="AD7" i="56"/>
  <c r="N49" i="7" s="1"/>
  <c r="AC7" i="56"/>
  <c r="N48" i="7" s="1"/>
  <c r="AB7" i="56"/>
  <c r="AA7" i="56"/>
  <c r="Z7" i="56"/>
  <c r="Y7" i="56"/>
  <c r="X7" i="56"/>
  <c r="W7" i="56"/>
  <c r="V7" i="56"/>
  <c r="U7" i="56"/>
  <c r="T7" i="56"/>
  <c r="S7" i="56"/>
  <c r="R7" i="56"/>
  <c r="Q7" i="56"/>
  <c r="P7" i="56"/>
  <c r="O7" i="56"/>
  <c r="N7" i="56"/>
  <c r="M7" i="56"/>
  <c r="L7" i="56"/>
  <c r="K7" i="56"/>
  <c r="J7" i="56"/>
  <c r="I7" i="56"/>
  <c r="H7" i="56"/>
  <c r="G7" i="56"/>
  <c r="F7" i="56"/>
  <c r="E7" i="56"/>
  <c r="D7" i="56"/>
  <c r="C7" i="56"/>
  <c r="B7" i="56"/>
  <c r="A7" i="56"/>
  <c r="AX6" i="56"/>
  <c r="AW6" i="56"/>
  <c r="AV6" i="56"/>
  <c r="AU6" i="56"/>
  <c r="AT6" i="56"/>
  <c r="AS6" i="56"/>
  <c r="M108" i="7" s="1"/>
  <c r="AR6" i="56"/>
  <c r="M107" i="7" s="1"/>
  <c r="AQ6" i="56"/>
  <c r="M106" i="7" s="1"/>
  <c r="AP6" i="56"/>
  <c r="M82" i="7" s="1"/>
  <c r="AO6" i="56"/>
  <c r="M68" i="7" s="1"/>
  <c r="AN6" i="56"/>
  <c r="M67" i="7" s="1"/>
  <c r="AM6" i="56"/>
  <c r="M66" i="7" s="1"/>
  <c r="AL6" i="56"/>
  <c r="M65" i="7" s="1"/>
  <c r="AK6" i="56"/>
  <c r="M64" i="7" s="1"/>
  <c r="AJ6" i="56"/>
  <c r="M55" i="7" s="1"/>
  <c r="AI6" i="56"/>
  <c r="M54" i="7" s="1"/>
  <c r="AH6" i="56"/>
  <c r="M53" i="7" s="1"/>
  <c r="AG6" i="56"/>
  <c r="M52" i="7" s="1"/>
  <c r="AF6" i="56"/>
  <c r="M51" i="7" s="1"/>
  <c r="AE6" i="56"/>
  <c r="M50" i="7" s="1"/>
  <c r="AD6" i="56"/>
  <c r="M49" i="7" s="1"/>
  <c r="AC6" i="56"/>
  <c r="M48" i="7" s="1"/>
  <c r="AB6" i="56"/>
  <c r="AA6" i="56"/>
  <c r="Z6" i="56"/>
  <c r="M41" i="7" s="1"/>
  <c r="Y6" i="56"/>
  <c r="M40" i="7" s="1"/>
  <c r="X6" i="56"/>
  <c r="M39" i="7" s="1"/>
  <c r="W6" i="56"/>
  <c r="M38" i="7" s="1"/>
  <c r="V6" i="56"/>
  <c r="M37" i="7" s="1"/>
  <c r="U6" i="56"/>
  <c r="M36" i="7" s="1"/>
  <c r="T6" i="56"/>
  <c r="M35" i="7" s="1"/>
  <c r="S6" i="56"/>
  <c r="M34" i="7" s="1"/>
  <c r="R6" i="56"/>
  <c r="M33" i="7" s="1"/>
  <c r="Q6" i="56"/>
  <c r="M32" i="7" s="1"/>
  <c r="P6" i="56"/>
  <c r="M31" i="7" s="1"/>
  <c r="O6" i="56"/>
  <c r="N6" i="56"/>
  <c r="M6" i="56"/>
  <c r="L6" i="56"/>
  <c r="K6" i="56"/>
  <c r="J6" i="56"/>
  <c r="I6" i="56"/>
  <c r="H6" i="56"/>
  <c r="G6" i="56"/>
  <c r="F6" i="56"/>
  <c r="E6" i="56"/>
  <c r="D6" i="56"/>
  <c r="C6" i="56"/>
  <c r="B6" i="56"/>
  <c r="A6" i="56"/>
  <c r="H113" i="26"/>
  <c r="G113" i="26"/>
  <c r="F113" i="26"/>
  <c r="E113" i="26"/>
  <c r="D113" i="26"/>
  <c r="C113" i="26"/>
  <c r="G14" i="7"/>
  <c r="G13" i="7"/>
  <c r="G12" i="7"/>
  <c r="G11" i="7"/>
  <c r="S198" i="57"/>
  <c r="S197" i="57"/>
  <c r="S196" i="57"/>
  <c r="S195" i="57"/>
  <c r="S194" i="57"/>
  <c r="S193" i="57"/>
  <c r="S192" i="57"/>
  <c r="S191" i="57"/>
  <c r="S190" i="57"/>
  <c r="S189" i="57"/>
  <c r="S188" i="57"/>
  <c r="S187" i="57"/>
  <c r="S186" i="57"/>
  <c r="S185" i="57"/>
  <c r="S184" i="57"/>
  <c r="S183" i="57"/>
  <c r="S182" i="57"/>
  <c r="S181" i="57"/>
  <c r="S180" i="57"/>
  <c r="S179" i="57"/>
  <c r="S178" i="57"/>
  <c r="S177" i="57"/>
  <c r="S176" i="57"/>
  <c r="S175" i="57"/>
  <c r="S174" i="57"/>
  <c r="S173" i="57"/>
  <c r="S172" i="57"/>
  <c r="S171" i="57"/>
  <c r="S170" i="57"/>
  <c r="S169" i="57"/>
  <c r="S168" i="57"/>
  <c r="S167" i="57"/>
  <c r="S166" i="57"/>
  <c r="S165" i="57"/>
  <c r="S164" i="57"/>
  <c r="S163" i="57"/>
  <c r="S162" i="57"/>
  <c r="S161" i="57"/>
  <c r="S160" i="57"/>
  <c r="S159" i="57"/>
  <c r="S158" i="57"/>
  <c r="S157" i="57"/>
  <c r="S156" i="57"/>
  <c r="S155" i="57"/>
  <c r="S154" i="57"/>
  <c r="S153" i="57"/>
  <c r="S152" i="57"/>
  <c r="S151" i="57"/>
  <c r="S150" i="57"/>
  <c r="S149" i="57"/>
  <c r="S148" i="57"/>
  <c r="S147" i="57"/>
  <c r="S146" i="57"/>
  <c r="S145" i="57"/>
  <c r="S144" i="57"/>
  <c r="S143" i="57"/>
  <c r="S142" i="57"/>
  <c r="S141" i="57"/>
  <c r="S140" i="57"/>
  <c r="S139" i="57"/>
  <c r="S138" i="57"/>
  <c r="S137" i="57"/>
  <c r="S136" i="57"/>
  <c r="S135" i="57"/>
  <c r="S134" i="57"/>
  <c r="S133" i="57"/>
  <c r="S132" i="57"/>
  <c r="S131" i="57"/>
  <c r="S130" i="57"/>
  <c r="S129" i="57"/>
  <c r="S128" i="57"/>
  <c r="S127" i="57"/>
  <c r="S126" i="57"/>
  <c r="S125" i="57"/>
  <c r="S124" i="57"/>
  <c r="S123" i="57"/>
  <c r="S122" i="57"/>
  <c r="S121" i="57"/>
  <c r="S120" i="57"/>
  <c r="S119" i="57"/>
  <c r="S118" i="57"/>
  <c r="S117" i="57"/>
  <c r="S116" i="57"/>
  <c r="S115" i="57"/>
  <c r="S114" i="57"/>
  <c r="S113" i="57"/>
  <c r="S112" i="57"/>
  <c r="S111" i="57"/>
  <c r="S110" i="57"/>
  <c r="S109" i="57"/>
  <c r="S108" i="57"/>
  <c r="S107" i="57"/>
  <c r="S106" i="57"/>
  <c r="S105" i="57"/>
  <c r="S104" i="57"/>
  <c r="S103" i="57"/>
  <c r="S102" i="57"/>
  <c r="S101" i="57"/>
  <c r="S100" i="57"/>
  <c r="S99" i="57"/>
  <c r="S98" i="57"/>
  <c r="S97" i="57"/>
  <c r="S96" i="57"/>
  <c r="S95" i="57"/>
  <c r="S94" i="57"/>
  <c r="S93" i="57"/>
  <c r="S92" i="57"/>
  <c r="S91" i="57"/>
  <c r="S90" i="57"/>
  <c r="S89" i="57"/>
  <c r="S88" i="57"/>
  <c r="S87" i="57"/>
  <c r="S86" i="57"/>
  <c r="S85" i="57"/>
  <c r="S84" i="57"/>
  <c r="S83" i="57"/>
  <c r="S82" i="57"/>
  <c r="S81" i="57"/>
  <c r="S80" i="57"/>
  <c r="S79" i="57"/>
  <c r="S78" i="57"/>
  <c r="S77" i="57"/>
  <c r="S76" i="57"/>
  <c r="S75" i="57"/>
  <c r="S74" i="57"/>
  <c r="S73" i="57"/>
  <c r="S72" i="57"/>
  <c r="S71" i="57"/>
  <c r="S70" i="57"/>
  <c r="S69" i="57"/>
  <c r="S68" i="57"/>
  <c r="S67" i="57"/>
  <c r="S66" i="57"/>
  <c r="S65" i="57"/>
  <c r="S64" i="57"/>
  <c r="S63" i="57"/>
  <c r="S62" i="57"/>
  <c r="S61" i="57"/>
  <c r="S60" i="57"/>
  <c r="S59" i="57"/>
  <c r="S58" i="57"/>
  <c r="S57" i="57"/>
  <c r="S56" i="57"/>
  <c r="S55" i="57"/>
  <c r="S54" i="57"/>
  <c r="S53" i="57"/>
  <c r="S52" i="57"/>
  <c r="S51" i="57"/>
  <c r="S50" i="57"/>
  <c r="S49" i="57"/>
  <c r="S48" i="57"/>
  <c r="S47" i="57"/>
  <c r="S46" i="57"/>
  <c r="S45" i="57"/>
  <c r="S44" i="57"/>
  <c r="S43" i="57"/>
  <c r="S42" i="57"/>
  <c r="S41" i="57"/>
  <c r="S40" i="57"/>
  <c r="S39" i="57"/>
  <c r="S38" i="57"/>
  <c r="S37" i="57"/>
  <c r="S36" i="57"/>
  <c r="S35" i="57"/>
  <c r="S34" i="57"/>
  <c r="S33" i="57"/>
  <c r="S32" i="57"/>
  <c r="S31" i="57"/>
  <c r="S30" i="57"/>
  <c r="S29" i="57"/>
  <c r="S28" i="57"/>
  <c r="S27" i="57"/>
  <c r="S26" i="57"/>
  <c r="S25" i="57"/>
  <c r="S24" i="57"/>
  <c r="S23" i="57"/>
  <c r="S22" i="57"/>
  <c r="S21" i="57"/>
  <c r="S20" i="57"/>
  <c r="S19" i="57"/>
  <c r="S18" i="57"/>
  <c r="S17" i="57"/>
  <c r="S16" i="57"/>
  <c r="S15" i="57"/>
  <c r="S14" i="57"/>
  <c r="S13" i="57"/>
  <c r="S12" i="57"/>
  <c r="S11" i="57"/>
  <c r="S10" i="57"/>
  <c r="S9" i="57"/>
  <c r="S8" i="57"/>
  <c r="S7" i="57"/>
  <c r="S6" i="57"/>
  <c r="S5" i="57"/>
  <c r="S198" i="58"/>
  <c r="S197" i="58"/>
  <c r="S196" i="58"/>
  <c r="S195" i="58"/>
  <c r="S194" i="58"/>
  <c r="S193" i="58"/>
  <c r="S192" i="58"/>
  <c r="S191" i="58"/>
  <c r="S190" i="58"/>
  <c r="S189" i="58"/>
  <c r="S188" i="58"/>
  <c r="S187" i="58"/>
  <c r="S186" i="58"/>
  <c r="S185" i="58"/>
  <c r="S184" i="58"/>
  <c r="S183" i="58"/>
  <c r="S182" i="58"/>
  <c r="S181" i="58"/>
  <c r="S180" i="58"/>
  <c r="S179" i="58"/>
  <c r="S178" i="58"/>
  <c r="S177" i="58"/>
  <c r="S176" i="58"/>
  <c r="S175" i="58"/>
  <c r="S174" i="58"/>
  <c r="S173" i="58"/>
  <c r="S172" i="58"/>
  <c r="S171" i="58"/>
  <c r="S170" i="58"/>
  <c r="S169" i="58"/>
  <c r="S168" i="58"/>
  <c r="S167" i="58"/>
  <c r="S166" i="58"/>
  <c r="S165" i="58"/>
  <c r="S164" i="58"/>
  <c r="S163" i="58"/>
  <c r="S162" i="58"/>
  <c r="S161" i="58"/>
  <c r="S160" i="58"/>
  <c r="S159" i="58"/>
  <c r="S158" i="58"/>
  <c r="S157" i="58"/>
  <c r="S156" i="58"/>
  <c r="S155" i="58"/>
  <c r="S154" i="58"/>
  <c r="S153" i="58"/>
  <c r="S152" i="58"/>
  <c r="S151" i="58"/>
  <c r="S150" i="58"/>
  <c r="S149" i="58"/>
  <c r="S148" i="58"/>
  <c r="S147" i="58"/>
  <c r="S146" i="58"/>
  <c r="S145" i="58"/>
  <c r="S144" i="58"/>
  <c r="S143" i="58"/>
  <c r="S142" i="58"/>
  <c r="S141" i="58"/>
  <c r="S140" i="58"/>
  <c r="S139" i="58"/>
  <c r="S138" i="58"/>
  <c r="S137" i="58"/>
  <c r="S136" i="58"/>
  <c r="S135" i="58"/>
  <c r="S134" i="58"/>
  <c r="S133" i="58"/>
  <c r="S132" i="58"/>
  <c r="S131" i="58"/>
  <c r="S130" i="58"/>
  <c r="S129" i="58"/>
  <c r="S128" i="58"/>
  <c r="S127" i="58"/>
  <c r="S126" i="58"/>
  <c r="S125" i="58"/>
  <c r="S124" i="58"/>
  <c r="S123" i="58"/>
  <c r="S122" i="58"/>
  <c r="S121" i="58"/>
  <c r="S120" i="58"/>
  <c r="S119" i="58"/>
  <c r="S118" i="58"/>
  <c r="S117" i="58"/>
  <c r="S116" i="58"/>
  <c r="S115" i="58"/>
  <c r="S114" i="58"/>
  <c r="S113" i="58"/>
  <c r="S112" i="58"/>
  <c r="S111" i="58"/>
  <c r="S110" i="58"/>
  <c r="S109" i="58"/>
  <c r="S108" i="58"/>
  <c r="S107" i="58"/>
  <c r="S106" i="58"/>
  <c r="S105" i="58"/>
  <c r="S104" i="58"/>
  <c r="S103" i="58"/>
  <c r="S102" i="58"/>
  <c r="S101" i="58"/>
  <c r="S100" i="58"/>
  <c r="S99" i="58"/>
  <c r="S98" i="58"/>
  <c r="S97" i="58"/>
  <c r="S96" i="58"/>
  <c r="S95" i="58"/>
  <c r="S94" i="58"/>
  <c r="S93" i="58"/>
  <c r="S92" i="58"/>
  <c r="S91" i="58"/>
  <c r="S90" i="58"/>
  <c r="S89" i="58"/>
  <c r="S88" i="58"/>
  <c r="S87" i="58"/>
  <c r="S86" i="58"/>
  <c r="S85" i="58"/>
  <c r="S84" i="58"/>
  <c r="S83" i="58"/>
  <c r="S82" i="58"/>
  <c r="S81" i="58"/>
  <c r="S80" i="58"/>
  <c r="S79" i="58"/>
  <c r="S78" i="58"/>
  <c r="S77" i="58"/>
  <c r="S76" i="58"/>
  <c r="S75" i="58"/>
  <c r="S74" i="58"/>
  <c r="S73" i="58"/>
  <c r="S72" i="58"/>
  <c r="S71" i="58"/>
  <c r="S70" i="58"/>
  <c r="S69" i="58"/>
  <c r="S68" i="58"/>
  <c r="S67" i="58"/>
  <c r="S66" i="58"/>
  <c r="S65" i="58"/>
  <c r="S64" i="58"/>
  <c r="S63" i="58"/>
  <c r="S62" i="58"/>
  <c r="S61" i="58"/>
  <c r="S60" i="58"/>
  <c r="S59" i="58"/>
  <c r="S58" i="58"/>
  <c r="S57" i="58"/>
  <c r="S56" i="58"/>
  <c r="S55" i="58"/>
  <c r="S54" i="58"/>
  <c r="S53" i="58"/>
  <c r="S52" i="58"/>
  <c r="S51" i="58"/>
  <c r="S50" i="58"/>
  <c r="S49" i="58"/>
  <c r="S48" i="58"/>
  <c r="S47" i="58"/>
  <c r="S46" i="58"/>
  <c r="S45" i="58"/>
  <c r="S44" i="58"/>
  <c r="S43" i="58"/>
  <c r="S42" i="58"/>
  <c r="S41" i="58"/>
  <c r="S40" i="58"/>
  <c r="S39" i="58"/>
  <c r="S38" i="58"/>
  <c r="S37" i="58"/>
  <c r="S36" i="58"/>
  <c r="S35" i="58"/>
  <c r="S34" i="58"/>
  <c r="S33" i="58"/>
  <c r="S32" i="58"/>
  <c r="S31" i="58"/>
  <c r="S30" i="58"/>
  <c r="S29" i="58"/>
  <c r="S28" i="58"/>
  <c r="S27" i="58"/>
  <c r="S26" i="58"/>
  <c r="S25" i="58"/>
  <c r="S24" i="58"/>
  <c r="S23" i="58"/>
  <c r="S22" i="58"/>
  <c r="S21" i="58"/>
  <c r="S20" i="58"/>
  <c r="S19" i="58"/>
  <c r="S18" i="58"/>
  <c r="S17" i="58"/>
  <c r="S16" i="58"/>
  <c r="S15" i="58"/>
  <c r="S14" i="58"/>
  <c r="S13" i="58"/>
  <c r="S12" i="58"/>
  <c r="S11" i="58"/>
  <c r="S10" i="58"/>
  <c r="S9" i="58"/>
  <c r="S8" i="58"/>
  <c r="S7" i="58"/>
  <c r="S6" i="58"/>
  <c r="S5" i="58"/>
  <c r="S4" i="57"/>
  <c r="S4" i="58"/>
  <c r="H303" i="4" l="1"/>
  <c r="J302" i="4"/>
  <c r="I113" i="26"/>
  <c r="J300" i="4"/>
  <c r="I79" i="21" l="1"/>
  <c r="H79" i="21"/>
  <c r="G79" i="21"/>
  <c r="F79" i="21"/>
  <c r="E79" i="21"/>
  <c r="I77" i="21"/>
  <c r="I78" i="21" s="1"/>
  <c r="H77" i="21"/>
  <c r="H78" i="21" s="1"/>
  <c r="G77" i="21"/>
  <c r="G78" i="21" s="1"/>
  <c r="F77" i="21"/>
  <c r="F78" i="21" s="1"/>
  <c r="E77" i="21"/>
  <c r="D79" i="21"/>
  <c r="D77" i="21"/>
  <c r="I82" i="21"/>
  <c r="H82" i="21"/>
  <c r="G82" i="21"/>
  <c r="F82" i="21"/>
  <c r="E82" i="21"/>
  <c r="I81" i="21"/>
  <c r="H81" i="21"/>
  <c r="G81" i="21"/>
  <c r="F81" i="21"/>
  <c r="E81" i="21"/>
  <c r="D82" i="21"/>
  <c r="D81" i="21"/>
  <c r="J84" i="21"/>
  <c r="J74" i="21"/>
  <c r="J73" i="21"/>
  <c r="J71" i="21"/>
  <c r="J70" i="21"/>
  <c r="J66" i="21"/>
  <c r="J64" i="21"/>
  <c r="J62" i="21"/>
  <c r="J59" i="21"/>
  <c r="J58" i="21"/>
  <c r="J79" i="21" l="1"/>
  <c r="J82" i="21"/>
  <c r="J77" i="21"/>
  <c r="J81" i="21"/>
  <c r="E78" i="21"/>
  <c r="Q6" i="2" l="1"/>
  <c r="P6" i="2"/>
  <c r="O6" i="2"/>
  <c r="N6" i="2"/>
  <c r="M6" i="2"/>
  <c r="L6" i="2"/>
  <c r="K6" i="2"/>
  <c r="J6" i="2"/>
  <c r="I6" i="2"/>
  <c r="H6" i="2"/>
  <c r="G6" i="2"/>
  <c r="F6" i="2"/>
  <c r="E6" i="2"/>
  <c r="D6" i="2"/>
  <c r="C6" i="2"/>
  <c r="AD7" i="2"/>
  <c r="AC7" i="2"/>
  <c r="AB7" i="2"/>
  <c r="AA7" i="2"/>
  <c r="Z7" i="2"/>
  <c r="Y7" i="2"/>
  <c r="X7" i="2"/>
  <c r="W7" i="2"/>
  <c r="V7" i="2"/>
  <c r="U7" i="2"/>
  <c r="T7" i="2"/>
  <c r="S7" i="2"/>
  <c r="R7" i="2"/>
  <c r="C58" i="6"/>
  <c r="C57" i="6"/>
  <c r="C56" i="6"/>
  <c r="C63" i="6"/>
  <c r="C62" i="6"/>
  <c r="C61" i="6"/>
  <c r="C60" i="6"/>
  <c r="C55" i="6"/>
  <c r="C88" i="6"/>
  <c r="C87" i="6"/>
  <c r="C86" i="6"/>
  <c r="C85" i="6"/>
  <c r="M11" i="54" l="1"/>
  <c r="M12" i="54"/>
  <c r="M13" i="54"/>
  <c r="M2" i="54" s="1"/>
  <c r="D286" i="4" s="1"/>
  <c r="M14" i="54"/>
  <c r="M15" i="54"/>
  <c r="M16" i="54"/>
  <c r="M17" i="54"/>
  <c r="AX14" i="56"/>
  <c r="AW14" i="56"/>
  <c r="AV14" i="56"/>
  <c r="AU14" i="56"/>
  <c r="AT14" i="56"/>
  <c r="AS14" i="56"/>
  <c r="AR14" i="56"/>
  <c r="AQ14" i="56"/>
  <c r="AP14" i="56"/>
  <c r="AO14" i="56"/>
  <c r="AN14" i="56"/>
  <c r="AM14" i="56"/>
  <c r="AL14" i="56"/>
  <c r="AK14" i="56"/>
  <c r="AJ14" i="56"/>
  <c r="AI14" i="56"/>
  <c r="AH14" i="56"/>
  <c r="AG14" i="56"/>
  <c r="AF14" i="56"/>
  <c r="AE14" i="56"/>
  <c r="AD14" i="56"/>
  <c r="AC14" i="56"/>
  <c r="AB14" i="56"/>
  <c r="AA14" i="56"/>
  <c r="Z14" i="56"/>
  <c r="Y14" i="56"/>
  <c r="X14" i="56"/>
  <c r="W14" i="56"/>
  <c r="V14" i="56"/>
  <c r="U14" i="56"/>
  <c r="T14" i="56"/>
  <c r="S14" i="56"/>
  <c r="R14" i="56"/>
  <c r="Q14" i="56"/>
  <c r="P14" i="56"/>
  <c r="AE39" i="2"/>
  <c r="AF39" i="2"/>
  <c r="AG39" i="2"/>
  <c r="A14" i="56"/>
  <c r="L11" i="54"/>
  <c r="L12" i="54"/>
  <c r="L13" i="54"/>
  <c r="L2" i="54" s="1"/>
  <c r="K262" i="26" s="1"/>
  <c r="L14" i="54"/>
  <c r="L15" i="54"/>
  <c r="L16" i="54"/>
  <c r="L17" i="54"/>
  <c r="K11" i="54"/>
  <c r="K12" i="54"/>
  <c r="K13" i="54"/>
  <c r="K2" i="54" s="1"/>
  <c r="C11" i="1" s="1"/>
  <c r="K14" i="54"/>
  <c r="K15" i="54"/>
  <c r="K16" i="54"/>
  <c r="K17" i="54"/>
  <c r="J11" i="54"/>
  <c r="J12" i="54"/>
  <c r="J13" i="54"/>
  <c r="J2" i="54" s="1"/>
  <c r="F4" i="2" s="1"/>
  <c r="J14" i="54"/>
  <c r="J15" i="54"/>
  <c r="J16" i="54"/>
  <c r="J17" i="54"/>
  <c r="D4" i="20" l="1"/>
  <c r="E4" i="20"/>
  <c r="C12" i="1"/>
  <c r="D4" i="2"/>
  <c r="AX5" i="56"/>
  <c r="AW5" i="56"/>
  <c r="AV5" i="56"/>
  <c r="AU5" i="56"/>
  <c r="AT5" i="56"/>
  <c r="AS5" i="56"/>
  <c r="AR5" i="56"/>
  <c r="AQ5" i="56"/>
  <c r="AP5" i="56"/>
  <c r="AO5" i="56"/>
  <c r="B148" i="22" s="1"/>
  <c r="AN5" i="56"/>
  <c r="B147" i="22" s="1"/>
  <c r="AM5" i="56"/>
  <c r="B146" i="22" s="1"/>
  <c r="AL5" i="56"/>
  <c r="B145" i="22" s="1"/>
  <c r="AK5" i="56"/>
  <c r="B144" i="22" s="1"/>
  <c r="AJ5" i="56"/>
  <c r="B135" i="22" s="1"/>
  <c r="AI5" i="56"/>
  <c r="B134" i="22" s="1"/>
  <c r="AH5" i="56"/>
  <c r="B133" i="22" s="1"/>
  <c r="AG5" i="56"/>
  <c r="B132" i="22" s="1"/>
  <c r="AF5" i="56"/>
  <c r="B131" i="22" s="1"/>
  <c r="AE5" i="56"/>
  <c r="B130" i="22" s="1"/>
  <c r="AD5" i="56"/>
  <c r="B129" i="22" s="1"/>
  <c r="AC5" i="56"/>
  <c r="B128" i="22" s="1"/>
  <c r="AB5" i="56"/>
  <c r="AA5" i="56"/>
  <c r="Z5" i="56"/>
  <c r="Y5" i="56"/>
  <c r="X5" i="56"/>
  <c r="W5" i="56"/>
  <c r="V5" i="56"/>
  <c r="U5" i="56"/>
  <c r="T5" i="56"/>
  <c r="S5" i="56"/>
  <c r="R5" i="56"/>
  <c r="Q5" i="56"/>
  <c r="P5" i="56"/>
  <c r="X2" i="54"/>
  <c r="I100" i="20" l="1"/>
  <c r="AO2" i="54" l="1"/>
  <c r="AN2" i="54"/>
  <c r="AM2" i="54"/>
  <c r="D211" i="20" s="1"/>
  <c r="G211" i="20" l="1"/>
  <c r="AI2" i="54"/>
  <c r="AH2" i="54"/>
  <c r="AC2" i="54"/>
  <c r="W2" i="54" l="1"/>
  <c r="AB2" i="54"/>
  <c r="U2" i="54"/>
  <c r="T2" i="54"/>
  <c r="C2" i="54"/>
  <c r="AA2" i="54"/>
  <c r="Z2" i="54"/>
  <c r="AL2" i="54"/>
  <c r="AK2" i="54"/>
  <c r="AJ2" i="54"/>
  <c r="AG2" i="54"/>
  <c r="AF2" i="54"/>
  <c r="G179" i="4"/>
  <c r="G31" i="14" l="1"/>
  <c r="G24" i="14"/>
  <c r="G10" i="14"/>
  <c r="E182" i="7"/>
  <c r="G104" i="14"/>
  <c r="E165" i="7"/>
  <c r="E148" i="7"/>
  <c r="G79" i="14"/>
  <c r="G38" i="14"/>
  <c r="E136" i="7"/>
  <c r="E101" i="7"/>
  <c r="G160" i="14"/>
  <c r="E76" i="7"/>
  <c r="G138" i="14"/>
  <c r="G117" i="14"/>
  <c r="E28" i="7"/>
  <c r="G57" i="14"/>
  <c r="E6" i="7"/>
  <c r="G46" i="14"/>
  <c r="G256" i="4"/>
  <c r="G227" i="4"/>
  <c r="G226" i="4"/>
  <c r="G225" i="4"/>
  <c r="G220" i="4"/>
  <c r="G218" i="4"/>
  <c r="G217" i="4"/>
  <c r="G216" i="4"/>
  <c r="G215" i="4"/>
  <c r="G214" i="4"/>
  <c r="G213" i="4"/>
  <c r="G208" i="4"/>
  <c r="G207" i="4"/>
  <c r="G203" i="4"/>
  <c r="G202" i="4"/>
  <c r="G198" i="4"/>
  <c r="G197" i="4"/>
  <c r="G186" i="4"/>
  <c r="G185" i="4"/>
  <c r="G183" i="4"/>
  <c r="G182" i="4"/>
  <c r="G106" i="4"/>
  <c r="G73" i="4"/>
  <c r="AE2" i="54"/>
  <c r="AD2" i="54"/>
  <c r="Y2" i="54"/>
  <c r="V2" i="54"/>
  <c r="S2" i="54"/>
  <c r="G219" i="4" s="1"/>
  <c r="R2" i="54"/>
  <c r="Q2" i="54"/>
  <c r="G9" i="4" l="1"/>
  <c r="G192" i="4"/>
  <c r="F220" i="4"/>
  <c r="Y107" i="22"/>
  <c r="Y99" i="22"/>
  <c r="Y103" i="22"/>
  <c r="Y113" i="22"/>
  <c r="Y101" i="22"/>
  <c r="Y106" i="22"/>
  <c r="Y98" i="22"/>
  <c r="Y105" i="22"/>
  <c r="Y104" i="22"/>
  <c r="Y114" i="22"/>
  <c r="Y102" i="22"/>
  <c r="Y112" i="22"/>
  <c r="Y100" i="22"/>
  <c r="Y108" i="22"/>
  <c r="I103" i="26"/>
  <c r="I119" i="26"/>
  <c r="I157" i="26"/>
  <c r="I228" i="26"/>
  <c r="I175" i="26"/>
  <c r="I249" i="26"/>
  <c r="I150" i="26"/>
  <c r="I187" i="26"/>
  <c r="I163" i="26"/>
  <c r="I224" i="26"/>
  <c r="I133" i="26"/>
  <c r="I139" i="26"/>
  <c r="I146" i="26"/>
  <c r="I203" i="26"/>
  <c r="I196" i="26"/>
  <c r="I234" i="26"/>
  <c r="I127" i="26"/>
  <c r="I167" i="26"/>
  <c r="I219" i="26"/>
  <c r="I215" i="26"/>
  <c r="I211" i="26"/>
  <c r="I245" i="26"/>
  <c r="I239" i="26"/>
  <c r="G249" i="4"/>
  <c r="G103" i="4"/>
  <c r="G191" i="4"/>
  <c r="G190" i="4"/>
  <c r="G252" i="4"/>
  <c r="G97" i="4"/>
  <c r="G250" i="4"/>
  <c r="G95" i="4"/>
  <c r="G127" i="4"/>
  <c r="G121" i="4"/>
  <c r="G117" i="4"/>
  <c r="G237" i="4"/>
  <c r="G247" i="4"/>
  <c r="G251" i="4"/>
  <c r="G123" i="4"/>
  <c r="G248" i="4"/>
  <c r="P92" i="8"/>
  <c r="P145" i="8"/>
  <c r="P201" i="8"/>
  <c r="G69" i="4"/>
  <c r="G47" i="4"/>
  <c r="G146" i="4"/>
  <c r="G134" i="4"/>
  <c r="G86" i="4"/>
  <c r="F310" i="4"/>
  <c r="F321" i="4"/>
  <c r="F303" i="4"/>
  <c r="H220" i="4"/>
  <c r="D287" i="11" s="1"/>
  <c r="I13" i="7"/>
  <c r="I12" i="7"/>
  <c r="I11" i="7"/>
  <c r="I14" i="7"/>
  <c r="G272" i="4"/>
  <c r="G261" i="4"/>
  <c r="G271" i="4"/>
  <c r="G260" i="4"/>
  <c r="G270" i="4"/>
  <c r="H272" i="4"/>
  <c r="D16" i="11" s="1"/>
  <c r="G269" i="4"/>
  <c r="H271" i="4"/>
  <c r="D15" i="11" s="1"/>
  <c r="H269" i="4"/>
  <c r="G265" i="4"/>
  <c r="H270" i="4"/>
  <c r="G264" i="4"/>
  <c r="G262" i="4"/>
  <c r="G263" i="4"/>
  <c r="F213" i="4"/>
  <c r="F320" i="4"/>
  <c r="F36" i="4"/>
  <c r="F92" i="4"/>
  <c r="N2" i="54"/>
  <c r="F15" i="1" s="1"/>
  <c r="B2" i="54"/>
  <c r="A2" i="54"/>
  <c r="P2" i="54"/>
  <c r="O2" i="54"/>
  <c r="I2" i="54"/>
  <c r="H2" i="54"/>
  <c r="G2" i="54"/>
  <c r="F2" i="54"/>
  <c r="E2" i="54"/>
  <c r="D2" i="54"/>
  <c r="J41" i="2" l="1"/>
  <c r="I41" i="2"/>
  <c r="H41" i="2"/>
  <c r="G41" i="2"/>
  <c r="F41" i="2"/>
  <c r="E41" i="2"/>
  <c r="D41" i="2"/>
  <c r="C41" i="2"/>
  <c r="B41" i="2"/>
  <c r="B162" i="4"/>
  <c r="S72" i="2"/>
  <c r="R72" i="2"/>
  <c r="Q72" i="2"/>
  <c r="K72" i="2"/>
  <c r="A87" i="11"/>
  <c r="B40" i="2"/>
  <c r="J42" i="2"/>
  <c r="A4" i="6"/>
  <c r="I42" i="2"/>
  <c r="H42" i="2"/>
  <c r="G42" i="2"/>
  <c r="F42" i="2"/>
  <c r="E42" i="2"/>
  <c r="C135" i="20"/>
  <c r="C17" i="14"/>
  <c r="I194" i="4"/>
  <c r="I193" i="4"/>
  <c r="C357" i="8"/>
  <c r="N328" i="8"/>
  <c r="L332" i="8"/>
  <c r="L331" i="8"/>
  <c r="L330" i="8"/>
  <c r="J209" i="21"/>
  <c r="I209" i="21"/>
  <c r="H209" i="21"/>
  <c r="J208" i="21"/>
  <c r="P115" i="22"/>
  <c r="I208" i="21"/>
  <c r="H208" i="21"/>
  <c r="L329" i="8"/>
  <c r="G9" i="1"/>
  <c r="I131" i="4"/>
  <c r="H131" i="4"/>
  <c r="G131" i="4"/>
  <c r="F131" i="4"/>
  <c r="E131" i="4"/>
  <c r="D131" i="4"/>
  <c r="Q189" i="8"/>
  <c r="I10" i="4"/>
  <c r="P7" i="14"/>
  <c r="L254" i="4"/>
  <c r="K182" i="7"/>
  <c r="K101" i="7"/>
  <c r="K28" i="7"/>
  <c r="K130" i="4"/>
  <c r="L5" i="4"/>
  <c r="L274" i="4"/>
  <c r="K165" i="7"/>
  <c r="K148" i="7"/>
  <c r="K45" i="7"/>
  <c r="K6" i="7"/>
  <c r="L108" i="4"/>
  <c r="K274" i="4"/>
  <c r="L222" i="4"/>
  <c r="K136" i="7"/>
  <c r="K137" i="4"/>
  <c r="K108" i="4"/>
  <c r="K28" i="4"/>
  <c r="K222" i="4"/>
  <c r="L162" i="4"/>
  <c r="K76" i="7"/>
  <c r="L130" i="4"/>
  <c r="L28" i="4"/>
  <c r="K162" i="4"/>
  <c r="L137" i="4"/>
  <c r="M53" i="21"/>
  <c r="L53" i="21"/>
  <c r="M5" i="21"/>
  <c r="V18" i="11"/>
  <c r="V16" i="11"/>
  <c r="V14" i="11"/>
  <c r="L210" i="20"/>
  <c r="L211" i="20" s="1"/>
  <c r="K210" i="20"/>
  <c r="K211" i="20" s="1"/>
  <c r="J210" i="20"/>
  <c r="J211" i="20" s="1"/>
  <c r="I210" i="20"/>
  <c r="I211" i="20" s="1"/>
  <c r="H210" i="20"/>
  <c r="H211" i="20" s="1"/>
  <c r="C45" i="20"/>
  <c r="L45" i="20"/>
  <c r="B207" i="26"/>
  <c r="B115" i="26"/>
  <c r="A73" i="26"/>
  <c r="I92" i="4"/>
  <c r="O73" i="26"/>
  <c r="O5" i="26"/>
  <c r="B86" i="26"/>
  <c r="B199" i="26"/>
  <c r="B85" i="26"/>
  <c r="B84" i="26"/>
  <c r="B55" i="26"/>
  <c r="B83" i="26"/>
  <c r="B82" i="26"/>
  <c r="B54" i="26"/>
  <c r="B81" i="26"/>
  <c r="B80" i="26"/>
  <c r="B67" i="26"/>
  <c r="B49" i="26"/>
  <c r="B66" i="26"/>
  <c r="B57" i="26"/>
  <c r="B53" i="26"/>
  <c r="K73" i="4"/>
  <c r="C81" i="4"/>
  <c r="K94" i="4"/>
  <c r="K106" i="4"/>
  <c r="I132" i="4"/>
  <c r="C246" i="4"/>
  <c r="I285" i="4"/>
  <c r="F285" i="4"/>
  <c r="K193" i="4"/>
  <c r="K180" i="4"/>
  <c r="K288" i="4"/>
  <c r="H132" i="4"/>
  <c r="G132" i="4"/>
  <c r="K181" i="4"/>
  <c r="K179" i="4"/>
  <c r="K287" i="4"/>
  <c r="K293" i="4"/>
  <c r="K304" i="4"/>
  <c r="F132" i="4"/>
  <c r="H285" i="4"/>
  <c r="G285" i="4"/>
  <c r="D132" i="4"/>
  <c r="E285" i="4"/>
  <c r="I303" i="4"/>
  <c r="D284" i="4"/>
  <c r="K302" i="4"/>
  <c r="E132" i="4"/>
  <c r="D285" i="4"/>
  <c r="K135" i="4"/>
  <c r="I301" i="4"/>
  <c r="I300" i="4"/>
  <c r="K248" i="4"/>
  <c r="K247" i="4"/>
  <c r="I198" i="4"/>
  <c r="I197" i="4"/>
  <c r="D130" i="4"/>
  <c r="C108" i="4"/>
  <c r="K118" i="4"/>
  <c r="C38" i="4"/>
  <c r="E126" i="4"/>
  <c r="D26" i="4"/>
  <c r="D25" i="4"/>
  <c r="C23" i="4"/>
  <c r="K31" i="4"/>
  <c r="C52" i="4"/>
  <c r="D24" i="4"/>
  <c r="C130" i="7"/>
  <c r="C117" i="7"/>
  <c r="C88" i="7"/>
  <c r="B90" i="7"/>
  <c r="B87" i="7"/>
  <c r="J88" i="7"/>
  <c r="J23" i="7"/>
  <c r="J17" i="7"/>
  <c r="D134" i="7"/>
  <c r="D133" i="7"/>
  <c r="J121" i="7"/>
  <c r="J134" i="7"/>
  <c r="C7" i="7"/>
  <c r="D132" i="7"/>
  <c r="D131" i="7"/>
  <c r="J128" i="7"/>
  <c r="D112" i="7"/>
  <c r="J110" i="7"/>
  <c r="D128" i="7"/>
  <c r="D127" i="7"/>
  <c r="D126" i="7"/>
  <c r="D125" i="7"/>
  <c r="D121" i="7"/>
  <c r="D119" i="7"/>
  <c r="D118" i="7"/>
  <c r="D115" i="7"/>
  <c r="C137" i="7"/>
  <c r="D120" i="7"/>
  <c r="D114" i="7"/>
  <c r="M15" i="14"/>
  <c r="M17" i="14"/>
  <c r="C61" i="14"/>
  <c r="O102" i="14"/>
  <c r="C124" i="14"/>
  <c r="C155" i="14"/>
  <c r="C74" i="14"/>
  <c r="C89" i="14"/>
  <c r="C133" i="14"/>
  <c r="C83" i="14"/>
  <c r="C97" i="14"/>
  <c r="C143" i="14"/>
  <c r="L128" i="21"/>
  <c r="L120" i="21"/>
  <c r="L130" i="21"/>
  <c r="L136" i="21"/>
  <c r="L132" i="21"/>
  <c r="L142" i="21"/>
  <c r="L125" i="21"/>
  <c r="L118" i="21"/>
  <c r="L131" i="21"/>
  <c r="L140" i="21"/>
  <c r="L124" i="21"/>
  <c r="L139" i="21"/>
  <c r="L123" i="21"/>
  <c r="L135" i="21"/>
  <c r="L117" i="21"/>
  <c r="L116" i="21"/>
  <c r="L113" i="21"/>
  <c r="L138" i="21"/>
  <c r="L122" i="21"/>
  <c r="L121" i="21"/>
  <c r="L129" i="21"/>
  <c r="L137" i="21"/>
  <c r="L84" i="21"/>
  <c r="L67" i="21"/>
  <c r="L82" i="21"/>
  <c r="L66" i="21"/>
  <c r="L81" i="21"/>
  <c r="L65" i="21"/>
  <c r="L80" i="21"/>
  <c r="L64" i="21"/>
  <c r="L79" i="21"/>
  <c r="L63" i="21"/>
  <c r="L78" i="21"/>
  <c r="L62" i="21"/>
  <c r="L77" i="21"/>
  <c r="L60" i="21"/>
  <c r="L74" i="21"/>
  <c r="L58" i="21"/>
  <c r="L73" i="21"/>
  <c r="L71" i="21"/>
  <c r="L59" i="21"/>
  <c r="L70" i="21"/>
  <c r="L72" i="21"/>
  <c r="K111" i="21"/>
  <c r="C203" i="21"/>
  <c r="C202" i="21"/>
  <c r="C204" i="21"/>
  <c r="C16" i="21"/>
  <c r="B126" i="22"/>
  <c r="B142" i="22"/>
  <c r="D143" i="22"/>
  <c r="H143" i="22"/>
  <c r="V143" i="22"/>
  <c r="G143" i="22"/>
  <c r="U127" i="22"/>
  <c r="I143" i="22"/>
  <c r="U143" i="22"/>
  <c r="F143" i="22"/>
  <c r="T143" i="22"/>
  <c r="K127" i="22"/>
  <c r="G127" i="22"/>
  <c r="T127" i="22"/>
  <c r="K143" i="22"/>
  <c r="S143" i="22"/>
  <c r="J127" i="22"/>
  <c r="Q143" i="22"/>
  <c r="S127" i="22"/>
  <c r="R143" i="22"/>
  <c r="I127" i="22"/>
  <c r="H127" i="22"/>
  <c r="F127" i="22"/>
  <c r="J143" i="22"/>
  <c r="R127" i="22"/>
  <c r="V127" i="22"/>
  <c r="Q127" i="22"/>
  <c r="C281" i="8"/>
  <c r="E143" i="22"/>
  <c r="J125" i="22"/>
  <c r="I125" i="22"/>
  <c r="E127" i="22"/>
  <c r="H125" i="22"/>
  <c r="D127" i="22"/>
  <c r="G125" i="22"/>
  <c r="B125" i="22"/>
  <c r="X113" i="22"/>
  <c r="L125" i="22"/>
  <c r="W125" i="22"/>
  <c r="X112" i="22"/>
  <c r="R125" i="22"/>
  <c r="E53" i="22"/>
  <c r="E11" i="22"/>
  <c r="V125" i="22"/>
  <c r="X110" i="22"/>
  <c r="X109" i="22"/>
  <c r="X108" i="22"/>
  <c r="S125" i="22"/>
  <c r="Q125" i="22"/>
  <c r="F125" i="22"/>
  <c r="P155" i="22"/>
  <c r="U125" i="22"/>
  <c r="E74" i="22"/>
  <c r="E32" i="22"/>
  <c r="T125" i="22"/>
  <c r="X107" i="22"/>
  <c r="K125" i="22"/>
  <c r="X114" i="22"/>
  <c r="Q325" i="8"/>
  <c r="Q261" i="8"/>
  <c r="C358" i="8"/>
  <c r="Q405" i="8"/>
  <c r="Q396" i="8"/>
  <c r="Q395" i="8"/>
  <c r="Q394" i="8"/>
  <c r="Q393" i="8"/>
  <c r="Q392" i="8"/>
  <c r="Q387" i="8"/>
  <c r="Q382" i="8"/>
  <c r="Q375" i="8"/>
  <c r="B403" i="8"/>
  <c r="B390" i="8"/>
  <c r="B377" i="8"/>
  <c r="C409" i="8"/>
  <c r="C399" i="8"/>
  <c r="C393" i="8"/>
  <c r="C386" i="8"/>
  <c r="C381" i="8"/>
  <c r="C379" i="8"/>
  <c r="C405" i="8"/>
  <c r="C400" i="8"/>
  <c r="C395" i="8"/>
  <c r="C394" i="8"/>
  <c r="C392" i="8"/>
  <c r="C385" i="8"/>
  <c r="C382" i="8"/>
  <c r="C380" i="8"/>
  <c r="D413" i="8"/>
  <c r="C387" i="8"/>
  <c r="D384" i="8"/>
  <c r="C214" i="8"/>
  <c r="O288" i="8"/>
  <c r="C216" i="11"/>
  <c r="C168" i="11"/>
  <c r="D197" i="8"/>
  <c r="E115" i="11"/>
  <c r="Q92" i="8"/>
  <c r="Q198" i="8"/>
  <c r="O157" i="8"/>
  <c r="D408" i="8"/>
  <c r="D199" i="8"/>
  <c r="O112" i="8"/>
  <c r="E168" i="11"/>
  <c r="Q116" i="8"/>
  <c r="D92" i="8"/>
  <c r="Q199" i="8"/>
  <c r="C115" i="11"/>
  <c r="Q88" i="8"/>
  <c r="E216" i="11"/>
  <c r="D404" i="8"/>
  <c r="D198" i="8"/>
  <c r="D398" i="8"/>
  <c r="D391" i="8"/>
  <c r="B384" i="8"/>
  <c r="B372" i="8"/>
  <c r="Q197" i="8"/>
  <c r="C81" i="8"/>
  <c r="D145" i="8"/>
  <c r="D216" i="8"/>
  <c r="D162" i="8"/>
  <c r="D201" i="8"/>
  <c r="D372" i="8"/>
  <c r="Q196" i="8"/>
  <c r="C37" i="8"/>
  <c r="B215" i="8"/>
  <c r="E167" i="11"/>
  <c r="Q213" i="8"/>
  <c r="Q155" i="8"/>
  <c r="D213" i="8"/>
  <c r="C291" i="11"/>
  <c r="D280" i="8"/>
  <c r="C196" i="8"/>
  <c r="J21" i="8"/>
  <c r="Q145" i="8"/>
  <c r="E215" i="11"/>
  <c r="E290" i="11"/>
  <c r="E114" i="11"/>
  <c r="E291" i="11"/>
  <c r="O224" i="8"/>
  <c r="Q110" i="8"/>
  <c r="Q216" i="8"/>
  <c r="Q201" i="8"/>
  <c r="C82" i="11"/>
  <c r="C81" i="11"/>
  <c r="C79" i="11"/>
  <c r="C83" i="11"/>
  <c r="C84" i="11"/>
  <c r="I8" i="11"/>
  <c r="I7" i="11"/>
  <c r="I6" i="11"/>
  <c r="I5" i="11"/>
  <c r="I4" i="11"/>
  <c r="C78" i="20"/>
  <c r="C77" i="20"/>
  <c r="A3" i="20"/>
  <c r="C11" i="20"/>
  <c r="C10" i="20"/>
  <c r="C9" i="20"/>
  <c r="C8" i="20"/>
  <c r="C7" i="20"/>
  <c r="G11" i="20"/>
  <c r="C136" i="20"/>
  <c r="C134" i="20"/>
  <c r="C138" i="20"/>
  <c r="B90" i="26"/>
  <c r="C20" i="20"/>
  <c r="C19" i="20"/>
  <c r="B144" i="26"/>
  <c r="B230" i="26"/>
  <c r="B205" i="26"/>
  <c r="B167" i="26"/>
  <c r="B145" i="26"/>
  <c r="B106" i="26"/>
  <c r="N143" i="26"/>
  <c r="B228" i="26"/>
  <c r="B203" i="26"/>
  <c r="B166" i="26"/>
  <c r="B139" i="26"/>
  <c r="B104" i="26"/>
  <c r="B227" i="26"/>
  <c r="B165" i="26"/>
  <c r="B138" i="26"/>
  <c r="B226" i="26"/>
  <c r="B201" i="26"/>
  <c r="B137" i="26"/>
  <c r="B198" i="26"/>
  <c r="B133" i="26"/>
  <c r="B101" i="26"/>
  <c r="B196" i="26"/>
  <c r="B132" i="26"/>
  <c r="B217" i="26"/>
  <c r="B202" i="26"/>
  <c r="B103" i="26"/>
  <c r="B163" i="26"/>
  <c r="B162" i="26"/>
  <c r="B223" i="26"/>
  <c r="B99" i="26"/>
  <c r="B248" i="26"/>
  <c r="B102" i="26"/>
  <c r="B161" i="26"/>
  <c r="B245" i="26"/>
  <c r="B224" i="26"/>
  <c r="B244" i="26"/>
  <c r="B243" i="26"/>
  <c r="B222" i="26"/>
  <c r="B195" i="26"/>
  <c r="B160" i="26"/>
  <c r="B131" i="26"/>
  <c r="B100" i="26"/>
  <c r="B152" i="26"/>
  <c r="B213" i="26"/>
  <c r="B175" i="26"/>
  <c r="B241" i="26"/>
  <c r="B221" i="26"/>
  <c r="B194" i="26"/>
  <c r="B159" i="26"/>
  <c r="B129" i="26"/>
  <c r="B88" i="26"/>
  <c r="B125" i="26"/>
  <c r="B184" i="26"/>
  <c r="B177" i="26"/>
  <c r="B119" i="26"/>
  <c r="B239" i="26"/>
  <c r="B219" i="26"/>
  <c r="B187" i="26"/>
  <c r="B157" i="26"/>
  <c r="B127" i="26"/>
  <c r="B78" i="26"/>
  <c r="B218" i="26"/>
  <c r="B186" i="26"/>
  <c r="B156" i="26"/>
  <c r="B126" i="26"/>
  <c r="B77" i="26"/>
  <c r="B215" i="26"/>
  <c r="B185" i="26"/>
  <c r="B155" i="26"/>
  <c r="B214" i="26"/>
  <c r="B121" i="26"/>
  <c r="B149" i="26"/>
  <c r="B117" i="26"/>
  <c r="B238" i="26"/>
  <c r="B124" i="26"/>
  <c r="B211" i="26"/>
  <c r="B237" i="26"/>
  <c r="B76" i="26"/>
  <c r="B150" i="26"/>
  <c r="B236" i="26"/>
  <c r="B234" i="26"/>
  <c r="B233" i="26"/>
  <c r="B232" i="26"/>
  <c r="B210" i="26"/>
  <c r="B174" i="26"/>
  <c r="B148" i="26"/>
  <c r="B118" i="26"/>
  <c r="B231" i="26"/>
  <c r="B209" i="26"/>
  <c r="B173" i="26"/>
  <c r="B146" i="26"/>
  <c r="AH5" i="2"/>
  <c r="B249" i="26"/>
  <c r="B247" i="26"/>
  <c r="D9" i="22"/>
  <c r="D13" i="1"/>
  <c r="C13" i="1"/>
  <c r="B13" i="1"/>
  <c r="C215" i="11"/>
  <c r="C213" i="8"/>
  <c r="C216" i="8"/>
  <c r="B160" i="7"/>
  <c r="B155" i="7"/>
  <c r="C149" i="8"/>
  <c r="C161" i="8"/>
  <c r="C186" i="8"/>
  <c r="C178" i="8"/>
  <c r="C155" i="8"/>
  <c r="B68" i="26"/>
  <c r="N169" i="26"/>
  <c r="N111" i="26"/>
  <c r="N217" i="26"/>
  <c r="N135" i="26"/>
  <c r="N110" i="26"/>
  <c r="N108" i="26"/>
  <c r="P86" i="26"/>
  <c r="P81" i="26"/>
  <c r="P83" i="26"/>
  <c r="N83" i="26"/>
  <c r="P82" i="26"/>
  <c r="N82" i="26"/>
  <c r="N86" i="26"/>
  <c r="N81" i="26"/>
  <c r="N80" i="26"/>
  <c r="P76" i="26"/>
  <c r="P85" i="26"/>
  <c r="P80" i="26"/>
  <c r="N85" i="26"/>
  <c r="G45" i="26"/>
  <c r="C45" i="26"/>
  <c r="B62" i="26"/>
  <c r="B52" i="26"/>
  <c r="C137" i="20"/>
  <c r="B135" i="26"/>
  <c r="B97" i="26"/>
  <c r="K74" i="26"/>
  <c r="B169" i="26"/>
  <c r="M74" i="26"/>
  <c r="L74" i="26"/>
  <c r="B130" i="26"/>
  <c r="C7" i="1"/>
  <c r="J13" i="7"/>
  <c r="J11" i="7"/>
  <c r="J14" i="7"/>
  <c r="J57" i="21"/>
  <c r="J12" i="7"/>
  <c r="J15" i="7"/>
  <c r="D350" i="4"/>
  <c r="D342" i="4"/>
  <c r="D333" i="4"/>
  <c r="G328" i="4"/>
  <c r="D331" i="4"/>
  <c r="D349" i="4"/>
  <c r="D341" i="4"/>
  <c r="D332" i="4"/>
  <c r="F328" i="4"/>
  <c r="D340" i="4"/>
  <c r="E328" i="4"/>
  <c r="K330" i="4"/>
  <c r="D347" i="4"/>
  <c r="D339" i="4"/>
  <c r="D330" i="4"/>
  <c r="D328" i="4"/>
  <c r="H346" i="4"/>
  <c r="D346" i="4"/>
  <c r="D338" i="4"/>
  <c r="D329" i="4"/>
  <c r="C327" i="4"/>
  <c r="K337" i="4"/>
  <c r="E346" i="4"/>
  <c r="D337" i="4"/>
  <c r="D352" i="4"/>
  <c r="H329" i="4"/>
  <c r="D334" i="4"/>
  <c r="D348" i="4"/>
  <c r="J328" i="4"/>
  <c r="I328" i="4"/>
  <c r="D343" i="4"/>
  <c r="C345" i="4"/>
  <c r="D335" i="4"/>
  <c r="D351" i="4"/>
  <c r="H328" i="4"/>
  <c r="D325" i="4"/>
  <c r="K309" i="4"/>
  <c r="C276" i="4"/>
  <c r="K307" i="4"/>
  <c r="K306" i="4"/>
  <c r="D295" i="4"/>
  <c r="K308" i="4"/>
  <c r="D297" i="4"/>
  <c r="D296" i="4"/>
  <c r="K310" i="4"/>
  <c r="K303" i="4"/>
  <c r="C211" i="4"/>
  <c r="I31" i="4"/>
  <c r="C60" i="21"/>
  <c r="C27" i="21"/>
  <c r="K27" i="21"/>
  <c r="F78" i="4"/>
  <c r="F77" i="4"/>
  <c r="D78" i="4"/>
  <c r="C118" i="21"/>
  <c r="K79" i="4"/>
  <c r="I79" i="4"/>
  <c r="D75" i="4"/>
  <c r="F79" i="4"/>
  <c r="D79" i="4"/>
  <c r="D76" i="4"/>
  <c r="C101" i="20"/>
  <c r="B65" i="20"/>
  <c r="G10" i="20"/>
  <c r="C139" i="6"/>
  <c r="K314" i="4"/>
  <c r="P122" i="22"/>
  <c r="D314" i="4"/>
  <c r="P120" i="22"/>
  <c r="D310" i="4"/>
  <c r="D321" i="4"/>
  <c r="P118" i="22"/>
  <c r="O7" i="22"/>
  <c r="I191" i="4"/>
  <c r="D324" i="4"/>
  <c r="P117" i="22"/>
  <c r="I190" i="4"/>
  <c r="E5" i="7"/>
  <c r="E283" i="11"/>
  <c r="E282" i="11"/>
  <c r="C60" i="11"/>
  <c r="C13" i="7"/>
  <c r="C12" i="7"/>
  <c r="C11" i="7"/>
  <c r="AH61" i="11"/>
  <c r="V61" i="11"/>
  <c r="AH60" i="11"/>
  <c r="C61" i="11"/>
  <c r="V60" i="11"/>
  <c r="C14" i="7"/>
  <c r="E110" i="11"/>
  <c r="E109" i="11"/>
  <c r="E162" i="11"/>
  <c r="E161" i="11"/>
  <c r="E210" i="11"/>
  <c r="E209" i="11"/>
  <c r="B71" i="26"/>
  <c r="B65" i="26"/>
  <c r="I296" i="4"/>
  <c r="C90" i="21"/>
  <c r="C89" i="21"/>
  <c r="K292" i="4"/>
  <c r="B87" i="21"/>
  <c r="L87" i="21"/>
  <c r="L91" i="21"/>
  <c r="C87" i="21"/>
  <c r="I292" i="4"/>
  <c r="D292" i="4"/>
  <c r="D291" i="4"/>
  <c r="C91" i="21"/>
  <c r="X8" i="22"/>
  <c r="K291" i="4"/>
  <c r="E8" i="22"/>
  <c r="I291" i="4"/>
  <c r="R5" i="2"/>
  <c r="B12" i="1"/>
  <c r="B11" i="1"/>
  <c r="AH28" i="2"/>
  <c r="J7" i="2"/>
  <c r="AF27" i="2"/>
  <c r="AF19" i="2"/>
  <c r="AF11" i="2"/>
  <c r="P5" i="2"/>
  <c r="T5" i="2"/>
  <c r="A5" i="2"/>
  <c r="AF16" i="2"/>
  <c r="A1" i="2"/>
  <c r="I5" i="2"/>
  <c r="X5" i="2"/>
  <c r="E7" i="2"/>
  <c r="AF21" i="2"/>
  <c r="Q7" i="2"/>
  <c r="I7" i="2"/>
  <c r="AF26" i="2"/>
  <c r="AF18" i="2"/>
  <c r="AF10" i="2"/>
  <c r="N5" i="2"/>
  <c r="S5" i="2"/>
  <c r="AF24" i="2"/>
  <c r="AF8" i="2"/>
  <c r="Y5" i="2"/>
  <c r="F7" i="2"/>
  <c r="AF15" i="2"/>
  <c r="E4" i="2"/>
  <c r="AF22" i="2"/>
  <c r="AD5" i="2"/>
  <c r="D7" i="2"/>
  <c r="E5" i="2"/>
  <c r="V5" i="2"/>
  <c r="B3" i="2"/>
  <c r="K7" i="2"/>
  <c r="Q5" i="2"/>
  <c r="U5" i="2"/>
  <c r="P7" i="2"/>
  <c r="H7" i="2"/>
  <c r="AF25" i="2"/>
  <c r="AF17" i="2"/>
  <c r="AF9" i="2"/>
  <c r="M5" i="2"/>
  <c r="Z5" i="2"/>
  <c r="G7" i="2"/>
  <c r="L5" i="2"/>
  <c r="C4" i="2"/>
  <c r="N7" i="2"/>
  <c r="AH7" i="2"/>
  <c r="M7" i="2"/>
  <c r="H5" i="2"/>
  <c r="AA5" i="2"/>
  <c r="C7" i="2"/>
  <c r="O7" i="2"/>
  <c r="AF14" i="2"/>
  <c r="A2" i="2"/>
  <c r="AF20" i="2"/>
  <c r="B5" i="2"/>
  <c r="AF23" i="2"/>
  <c r="W5" i="2"/>
  <c r="L7" i="2"/>
  <c r="AF13" i="2"/>
  <c r="AF12" i="2"/>
  <c r="C134" i="7"/>
  <c r="C121" i="7"/>
  <c r="I289" i="4"/>
  <c r="C133" i="7"/>
  <c r="C120" i="7"/>
  <c r="C132" i="7"/>
  <c r="C119" i="7"/>
  <c r="C131" i="7"/>
  <c r="C118" i="7"/>
  <c r="C115" i="7"/>
  <c r="C127" i="7"/>
  <c r="D290" i="4"/>
  <c r="C113" i="7"/>
  <c r="C112" i="7"/>
  <c r="C128" i="7"/>
  <c r="B19" i="1"/>
  <c r="C114" i="7"/>
  <c r="K290" i="4"/>
  <c r="C126" i="7"/>
  <c r="K289" i="4"/>
  <c r="C125" i="7"/>
  <c r="I290" i="4"/>
  <c r="D289" i="4"/>
  <c r="K281" i="4"/>
  <c r="D130" i="26"/>
  <c r="C130" i="26"/>
  <c r="I130" i="26"/>
  <c r="B172" i="26"/>
  <c r="H130" i="26"/>
  <c r="G130" i="26"/>
  <c r="E130" i="26"/>
  <c r="F130" i="26"/>
  <c r="I178" i="26"/>
  <c r="B107" i="26"/>
  <c r="B110" i="26"/>
  <c r="B193" i="26"/>
  <c r="B208" i="26"/>
  <c r="H178" i="26"/>
  <c r="B123" i="26"/>
  <c r="B113" i="26"/>
  <c r="B114" i="26"/>
  <c r="B111" i="26"/>
  <c r="D178" i="26"/>
  <c r="B108" i="26"/>
  <c r="G178" i="26"/>
  <c r="B116" i="26"/>
  <c r="B122" i="26"/>
  <c r="B112" i="26"/>
  <c r="F178" i="26"/>
  <c r="E178" i="26"/>
  <c r="B109" i="26"/>
  <c r="C178" i="26"/>
  <c r="A1" i="26"/>
  <c r="H89" i="26"/>
  <c r="K75" i="26"/>
  <c r="B51" i="26"/>
  <c r="B42" i="26"/>
  <c r="J30" i="26"/>
  <c r="B30" i="26"/>
  <c r="I9" i="26"/>
  <c r="J8" i="26"/>
  <c r="B8" i="26"/>
  <c r="G89" i="26"/>
  <c r="L73" i="26"/>
  <c r="B70" i="26"/>
  <c r="I30" i="26"/>
  <c r="I8" i="26"/>
  <c r="F89" i="26"/>
  <c r="K73" i="26"/>
  <c r="B69" i="26"/>
  <c r="B48" i="26"/>
  <c r="H31" i="26"/>
  <c r="H30" i="26"/>
  <c r="B27" i="26"/>
  <c r="G9" i="26"/>
  <c r="H8" i="26"/>
  <c r="A5" i="26"/>
  <c r="F31" i="26"/>
  <c r="B24" i="26"/>
  <c r="F8" i="26"/>
  <c r="B60" i="26"/>
  <c r="E30" i="26"/>
  <c r="D9" i="26"/>
  <c r="D30" i="26"/>
  <c r="D8" i="26"/>
  <c r="B58" i="26"/>
  <c r="C30" i="26"/>
  <c r="B9" i="26"/>
  <c r="B29" i="26"/>
  <c r="B7" i="26"/>
  <c r="E89" i="26"/>
  <c r="B64" i="26"/>
  <c r="B47" i="26"/>
  <c r="G31" i="26"/>
  <c r="G30" i="26"/>
  <c r="B25" i="26"/>
  <c r="F9" i="26"/>
  <c r="G8" i="26"/>
  <c r="A3" i="26"/>
  <c r="D89" i="26"/>
  <c r="B61" i="26"/>
  <c r="F30" i="26"/>
  <c r="E9" i="26"/>
  <c r="B46" i="26"/>
  <c r="E8" i="26"/>
  <c r="D31" i="26"/>
  <c r="N9" i="26"/>
  <c r="B44" i="26"/>
  <c r="C8" i="26"/>
  <c r="H9" i="26"/>
  <c r="B95" i="26"/>
  <c r="C89" i="26"/>
  <c r="E31" i="26"/>
  <c r="N19" i="26"/>
  <c r="N63" i="26"/>
  <c r="B59" i="26"/>
  <c r="I89" i="26"/>
  <c r="C31" i="26"/>
  <c r="J9" i="26"/>
  <c r="I31" i="26"/>
  <c r="C9" i="26"/>
  <c r="B50" i="26"/>
  <c r="L318" i="20"/>
  <c r="D311" i="20"/>
  <c r="L304" i="20"/>
  <c r="C307" i="20"/>
  <c r="C298" i="20"/>
  <c r="M297" i="20"/>
  <c r="D290" i="20"/>
  <c r="M214" i="20"/>
  <c r="G245" i="20"/>
  <c r="C241" i="20"/>
  <c r="C239" i="20"/>
  <c r="C230" i="20"/>
  <c r="E229" i="20"/>
  <c r="L222" i="20"/>
  <c r="L213" i="20"/>
  <c r="C219" i="20"/>
  <c r="K209" i="20"/>
  <c r="C209" i="20"/>
  <c r="M311" i="20"/>
  <c r="C316" i="20"/>
  <c r="K304" i="20"/>
  <c r="C306" i="20"/>
  <c r="C297" i="20"/>
  <c r="C295" i="20"/>
  <c r="M250" i="20"/>
  <c r="C250" i="20"/>
  <c r="L237" i="20"/>
  <c r="C238" i="20"/>
  <c r="L229" i="20"/>
  <c r="D229" i="20"/>
  <c r="K222" i="20"/>
  <c r="K213" i="20"/>
  <c r="C218" i="20"/>
  <c r="J209" i="20"/>
  <c r="L311" i="20"/>
  <c r="C315" i="20"/>
  <c r="J304" i="20"/>
  <c r="L297" i="20"/>
  <c r="L290" i="20"/>
  <c r="C294" i="20"/>
  <c r="C249" i="20"/>
  <c r="K237" i="20"/>
  <c r="K229" i="20"/>
  <c r="J222" i="20"/>
  <c r="C217" i="20"/>
  <c r="M295" i="20"/>
  <c r="C305" i="20"/>
  <c r="M247" i="20"/>
  <c r="C237" i="20"/>
  <c r="C229" i="20"/>
  <c r="J213" i="20"/>
  <c r="K311" i="20"/>
  <c r="C314" i="20"/>
  <c r="I304" i="20"/>
  <c r="C304" i="20"/>
  <c r="K297" i="20"/>
  <c r="K290" i="20"/>
  <c r="C293" i="20"/>
  <c r="L245" i="20"/>
  <c r="C247" i="20"/>
  <c r="J237" i="20"/>
  <c r="C236" i="20"/>
  <c r="J229" i="20"/>
  <c r="C227" i="20"/>
  <c r="I222" i="20"/>
  <c r="I213" i="20"/>
  <c r="C216" i="20"/>
  <c r="H209" i="20"/>
  <c r="J311" i="20"/>
  <c r="C313" i="20"/>
  <c r="H304" i="20"/>
  <c r="J297" i="20"/>
  <c r="J290" i="20"/>
  <c r="C292" i="20"/>
  <c r="K245" i="20"/>
  <c r="C246" i="20"/>
  <c r="I237" i="20"/>
  <c r="C234" i="20"/>
  <c r="I229" i="20"/>
  <c r="C226" i="20"/>
  <c r="H222" i="20"/>
  <c r="H213" i="20"/>
  <c r="C215" i="20"/>
  <c r="I245" i="20"/>
  <c r="G229" i="20"/>
  <c r="D222" i="20"/>
  <c r="C210" i="20"/>
  <c r="F229" i="20"/>
  <c r="C220" i="20"/>
  <c r="C302" i="20"/>
  <c r="G209" i="20"/>
  <c r="C232" i="20"/>
  <c r="D213" i="20"/>
  <c r="C231" i="20"/>
  <c r="C212" i="20"/>
  <c r="I311" i="20"/>
  <c r="C312" i="20"/>
  <c r="G304" i="20"/>
  <c r="C301" i="20"/>
  <c r="I297" i="20"/>
  <c r="I290" i="20"/>
  <c r="C291" i="20"/>
  <c r="J245" i="20"/>
  <c r="C244" i="20"/>
  <c r="H237" i="20"/>
  <c r="C233" i="20"/>
  <c r="H229" i="20"/>
  <c r="C225" i="20"/>
  <c r="G222" i="20"/>
  <c r="G213" i="20"/>
  <c r="C214" i="20"/>
  <c r="D210" i="20"/>
  <c r="F209" i="20"/>
  <c r="H311" i="20"/>
  <c r="C311" i="20"/>
  <c r="C309" i="20"/>
  <c r="C300" i="20"/>
  <c r="H297" i="20"/>
  <c r="H290" i="20"/>
  <c r="C290" i="20"/>
  <c r="C243" i="20"/>
  <c r="G237" i="20"/>
  <c r="C224" i="20"/>
  <c r="C213" i="20"/>
  <c r="E209" i="20"/>
  <c r="C223" i="20"/>
  <c r="L209" i="20"/>
  <c r="I209" i="20"/>
  <c r="G311" i="20"/>
  <c r="M304" i="20"/>
  <c r="C308" i="20"/>
  <c r="C299" i="20"/>
  <c r="G297" i="20"/>
  <c r="G290" i="20"/>
  <c r="C289" i="20"/>
  <c r="H245" i="20"/>
  <c r="C242" i="20"/>
  <c r="D237" i="20"/>
  <c r="C222" i="20"/>
  <c r="D209" i="20"/>
  <c r="K159" i="20"/>
  <c r="B159" i="20"/>
  <c r="H155" i="20"/>
  <c r="C129" i="20"/>
  <c r="C124" i="20"/>
  <c r="C119" i="20"/>
  <c r="C114" i="20"/>
  <c r="C109" i="20"/>
  <c r="C104" i="20"/>
  <c r="G102" i="20"/>
  <c r="M78" i="20"/>
  <c r="G65" i="20"/>
  <c r="G8" i="20"/>
  <c r="J159" i="20"/>
  <c r="E157" i="20"/>
  <c r="G155" i="20"/>
  <c r="D128" i="20"/>
  <c r="D123" i="20"/>
  <c r="D118" i="20"/>
  <c r="D113" i="20"/>
  <c r="D108" i="20"/>
  <c r="D103" i="20"/>
  <c r="E102" i="20"/>
  <c r="M77" i="20"/>
  <c r="F65" i="20"/>
  <c r="G7" i="20"/>
  <c r="I159" i="20"/>
  <c r="C157" i="20"/>
  <c r="F155" i="20"/>
  <c r="C133" i="20"/>
  <c r="C128" i="20"/>
  <c r="C123" i="20"/>
  <c r="C118" i="20"/>
  <c r="C113" i="20"/>
  <c r="C108" i="20"/>
  <c r="C103" i="20"/>
  <c r="D102" i="20"/>
  <c r="E65" i="20"/>
  <c r="C155" i="20"/>
  <c r="D120" i="20"/>
  <c r="B100" i="20"/>
  <c r="E159" i="20"/>
  <c r="C115" i="20"/>
  <c r="C105" i="20"/>
  <c r="D124" i="20"/>
  <c r="H102" i="20"/>
  <c r="G9" i="20"/>
  <c r="H159" i="20"/>
  <c r="D156" i="20"/>
  <c r="E155" i="20"/>
  <c r="D131" i="20"/>
  <c r="D126" i="20"/>
  <c r="D121" i="20"/>
  <c r="D116" i="20"/>
  <c r="D111" i="20"/>
  <c r="D106" i="20"/>
  <c r="L102" i="20"/>
  <c r="C102" i="20"/>
  <c r="L80" i="20"/>
  <c r="L65" i="20"/>
  <c r="D65" i="20"/>
  <c r="D130" i="20"/>
  <c r="J102" i="20"/>
  <c r="C125" i="20"/>
  <c r="A98" i="20"/>
  <c r="A63" i="20"/>
  <c r="I155" i="20"/>
  <c r="D119" i="20"/>
  <c r="D104" i="20"/>
  <c r="G159" i="20"/>
  <c r="L155" i="20"/>
  <c r="D155" i="20"/>
  <c r="C131" i="20"/>
  <c r="C126" i="20"/>
  <c r="C121" i="20"/>
  <c r="C116" i="20"/>
  <c r="C111" i="20"/>
  <c r="C106" i="20"/>
  <c r="K102" i="20"/>
  <c r="H100" i="20"/>
  <c r="C80" i="20"/>
  <c r="K65" i="20"/>
  <c r="C65" i="20"/>
  <c r="K155" i="20"/>
  <c r="D115" i="20"/>
  <c r="D105" i="20"/>
  <c r="J65" i="20"/>
  <c r="C154" i="20"/>
  <c r="C120" i="20"/>
  <c r="I102" i="20"/>
  <c r="I65" i="20"/>
  <c r="D159" i="20"/>
  <c r="D129" i="20"/>
  <c r="D109" i="20"/>
  <c r="F159" i="20"/>
  <c r="D125" i="20"/>
  <c r="D110" i="20"/>
  <c r="J155" i="20"/>
  <c r="C110" i="20"/>
  <c r="D114" i="20"/>
  <c r="H65" i="20"/>
  <c r="C130" i="20"/>
  <c r="L27" i="20"/>
  <c r="C17" i="20"/>
  <c r="G14" i="20"/>
  <c r="I13" i="20"/>
  <c r="E14" i="20"/>
  <c r="C23" i="20"/>
  <c r="F13" i="20"/>
  <c r="K14" i="20"/>
  <c r="E13" i="20"/>
  <c r="J14" i="20"/>
  <c r="D13" i="20"/>
  <c r="I14" i="20"/>
  <c r="C13" i="20"/>
  <c r="H14" i="20"/>
  <c r="J13" i="20"/>
  <c r="C27" i="20"/>
  <c r="C16" i="20"/>
  <c r="F14" i="20"/>
  <c r="H13" i="20"/>
  <c r="C15" i="20"/>
  <c r="G13" i="20"/>
  <c r="L14" i="20"/>
  <c r="A12" i="20"/>
  <c r="C25" i="20"/>
  <c r="C4" i="20"/>
  <c r="D14" i="20"/>
  <c r="C22" i="20"/>
  <c r="C14" i="20"/>
  <c r="C21" i="20"/>
  <c r="L13" i="20"/>
  <c r="A1" i="20"/>
  <c r="K13" i="20"/>
  <c r="D14" i="11"/>
  <c r="D13" i="11"/>
  <c r="D11" i="11"/>
  <c r="D12" i="11"/>
  <c r="V161" i="11"/>
  <c r="V160" i="11"/>
  <c r="V163" i="11"/>
  <c r="V162" i="11"/>
  <c r="V159" i="11"/>
  <c r="V158" i="11"/>
  <c r="V157" i="11"/>
  <c r="V155" i="11"/>
  <c r="AP240" i="11"/>
  <c r="AP192" i="11"/>
  <c r="AP139" i="11"/>
  <c r="AP89" i="11"/>
  <c r="AO30" i="11"/>
  <c r="AN55" i="11"/>
  <c r="AG309" i="11"/>
  <c r="AH298" i="11"/>
  <c r="AH287" i="11"/>
  <c r="AH277" i="11"/>
  <c r="AH266" i="11"/>
  <c r="AH256" i="11"/>
  <c r="AH247" i="11"/>
  <c r="AG234" i="11"/>
  <c r="AH223" i="11"/>
  <c r="AG213" i="11"/>
  <c r="AH203" i="11"/>
  <c r="AH194" i="11"/>
  <c r="AH180" i="11"/>
  <c r="AH170" i="11"/>
  <c r="AH160" i="11"/>
  <c r="AH149" i="11"/>
  <c r="AG133" i="11"/>
  <c r="AH126" i="11"/>
  <c r="AH114" i="11"/>
  <c r="AH105" i="11"/>
  <c r="AH94" i="11"/>
  <c r="AH79" i="11"/>
  <c r="AH67" i="11"/>
  <c r="AH56" i="11"/>
  <c r="AH45" i="11"/>
  <c r="AC240" i="11"/>
  <c r="AC192" i="11"/>
  <c r="AC139" i="11"/>
  <c r="V310" i="11"/>
  <c r="V299" i="11"/>
  <c r="V288" i="11"/>
  <c r="V278" i="11"/>
  <c r="V268" i="11"/>
  <c r="V257" i="11"/>
  <c r="V248" i="11"/>
  <c r="V236" i="11"/>
  <c r="U226" i="11"/>
  <c r="V215" i="11"/>
  <c r="V206" i="11"/>
  <c r="V195" i="11"/>
  <c r="V183" i="11"/>
  <c r="V172" i="11"/>
  <c r="V152" i="11"/>
  <c r="V143" i="11"/>
  <c r="AO240" i="11"/>
  <c r="AO192" i="11"/>
  <c r="AO139" i="11"/>
  <c r="AO89" i="11"/>
  <c r="AN30" i="11"/>
  <c r="AM55" i="11"/>
  <c r="AH307" i="11"/>
  <c r="AG297" i="11"/>
  <c r="AG286" i="11"/>
  <c r="AH275" i="11"/>
  <c r="AH265" i="11"/>
  <c r="AH255" i="11"/>
  <c r="AH245" i="11"/>
  <c r="AH232" i="11"/>
  <c r="AG222" i="11"/>
  <c r="AH211" i="11"/>
  <c r="AH201" i="11"/>
  <c r="AG193" i="11"/>
  <c r="AH179" i="11"/>
  <c r="AG169" i="11"/>
  <c r="AH159" i="11"/>
  <c r="AH148" i="11"/>
  <c r="AH135" i="11"/>
  <c r="AG121" i="11"/>
  <c r="AG113" i="11"/>
  <c r="AH103" i="11"/>
  <c r="AH91" i="11"/>
  <c r="AH78" i="11"/>
  <c r="AH66" i="11"/>
  <c r="AH52" i="11"/>
  <c r="AH44" i="11"/>
  <c r="AH34" i="11"/>
  <c r="AB240" i="11"/>
  <c r="AB192" i="11"/>
  <c r="AB139" i="11"/>
  <c r="U309" i="11"/>
  <c r="V298" i="11"/>
  <c r="V287" i="11"/>
  <c r="V277" i="11"/>
  <c r="V266" i="11"/>
  <c r="V256" i="11"/>
  <c r="V247" i="11"/>
  <c r="V235" i="11"/>
  <c r="V224" i="11"/>
  <c r="V214" i="11"/>
  <c r="V205" i="11"/>
  <c r="V194" i="11"/>
  <c r="U182" i="11"/>
  <c r="V171" i="11"/>
  <c r="V151" i="11"/>
  <c r="V141" i="11"/>
  <c r="X89" i="11"/>
  <c r="X55" i="11"/>
  <c r="W30" i="11"/>
  <c r="V135" i="11"/>
  <c r="U125" i="11"/>
  <c r="V114" i="11"/>
  <c r="V105" i="11"/>
  <c r="V84" i="11"/>
  <c r="V75" i="11"/>
  <c r="AN240" i="11"/>
  <c r="AN192" i="11"/>
  <c r="AN139" i="11"/>
  <c r="AN89" i="11"/>
  <c r="AM30" i="11"/>
  <c r="AL55" i="11"/>
  <c r="AH306" i="11"/>
  <c r="AH295" i="11"/>
  <c r="AH284" i="11"/>
  <c r="AH274" i="11"/>
  <c r="AH264" i="11"/>
  <c r="AH254" i="11"/>
  <c r="AH244" i="11"/>
  <c r="AH231" i="11"/>
  <c r="AH218" i="11"/>
  <c r="AH210" i="11"/>
  <c r="AH200" i="11"/>
  <c r="AH188" i="11"/>
  <c r="AG178" i="11"/>
  <c r="AH167" i="11"/>
  <c r="AH158" i="11"/>
  <c r="AH147" i="11"/>
  <c r="AH134" i="11"/>
  <c r="AH123" i="11"/>
  <c r="AH111" i="11"/>
  <c r="AH101" i="11"/>
  <c r="AG77" i="11"/>
  <c r="AG65" i="11"/>
  <c r="AH51" i="11"/>
  <c r="AH43" i="11"/>
  <c r="AH33" i="11"/>
  <c r="AA240" i="11"/>
  <c r="AA192" i="11"/>
  <c r="AA139" i="11"/>
  <c r="V307" i="11"/>
  <c r="U297" i="11"/>
  <c r="U286" i="11"/>
  <c r="V275" i="11"/>
  <c r="V265" i="11"/>
  <c r="V255" i="11"/>
  <c r="V245" i="11"/>
  <c r="U234" i="11"/>
  <c r="V223" i="11"/>
  <c r="U213" i="11"/>
  <c r="V203" i="11"/>
  <c r="U193" i="11"/>
  <c r="V180" i="11"/>
  <c r="V170" i="11"/>
  <c r="V149" i="11"/>
  <c r="U140" i="11"/>
  <c r="W89" i="11"/>
  <c r="W55" i="11"/>
  <c r="V97" i="11"/>
  <c r="V134" i="11"/>
  <c r="V123" i="11"/>
  <c r="U113" i="11"/>
  <c r="V103" i="11"/>
  <c r="V83" i="11"/>
  <c r="V74" i="11"/>
  <c r="V62" i="11"/>
  <c r="V49" i="11"/>
  <c r="V41" i="11"/>
  <c r="V32" i="11"/>
  <c r="V201" i="11"/>
  <c r="V179" i="11"/>
  <c r="V148" i="11"/>
  <c r="AD89" i="11"/>
  <c r="AC30" i="11"/>
  <c r="V96" i="11"/>
  <c r="V122" i="11"/>
  <c r="V101" i="11"/>
  <c r="V82" i="11"/>
  <c r="V59" i="11"/>
  <c r="V48" i="11"/>
  <c r="V31" i="11"/>
  <c r="V200" i="11"/>
  <c r="V147" i="11"/>
  <c r="AC55" i="11"/>
  <c r="V95" i="11"/>
  <c r="V110" i="11"/>
  <c r="V81" i="11"/>
  <c r="V47" i="11"/>
  <c r="V38" i="11"/>
  <c r="AH278" i="11"/>
  <c r="AM240" i="11"/>
  <c r="AM192" i="11"/>
  <c r="AM139" i="11"/>
  <c r="AM89" i="11"/>
  <c r="AL30" i="11"/>
  <c r="AK55" i="11"/>
  <c r="AG305" i="11"/>
  <c r="AH294" i="11"/>
  <c r="AH283" i="11"/>
  <c r="AH273" i="11"/>
  <c r="AH262" i="11"/>
  <c r="AH253" i="11"/>
  <c r="AH243" i="11"/>
  <c r="AG230" i="11"/>
  <c r="AH220" i="11"/>
  <c r="AH209" i="11"/>
  <c r="AH199" i="11"/>
  <c r="AH187" i="11"/>
  <c r="AH176" i="11"/>
  <c r="AH166" i="11"/>
  <c r="AH157" i="11"/>
  <c r="AH146" i="11"/>
  <c r="AG129" i="11"/>
  <c r="AH122" i="11"/>
  <c r="AH110" i="11"/>
  <c r="AH100" i="11"/>
  <c r="AH84" i="11"/>
  <c r="AH75" i="11"/>
  <c r="AH63" i="11"/>
  <c r="AH50" i="11"/>
  <c r="AH42" i="11"/>
  <c r="AH32" i="11"/>
  <c r="Z240" i="11"/>
  <c r="Z192" i="11"/>
  <c r="Z139" i="11"/>
  <c r="V306" i="11"/>
  <c r="V295" i="11"/>
  <c r="V284" i="11"/>
  <c r="V274" i="11"/>
  <c r="V264" i="11"/>
  <c r="V254" i="11"/>
  <c r="V244" i="11"/>
  <c r="V232" i="11"/>
  <c r="U222" i="11"/>
  <c r="V211" i="11"/>
  <c r="V188" i="11"/>
  <c r="U169" i="11"/>
  <c r="AD55" i="11"/>
  <c r="V131" i="11"/>
  <c r="V111" i="11"/>
  <c r="V73" i="11"/>
  <c r="T40" i="11"/>
  <c r="V167" i="11"/>
  <c r="V130" i="11"/>
  <c r="V100" i="11"/>
  <c r="V58" i="11"/>
  <c r="AH288" i="11"/>
  <c r="AH171" i="11"/>
  <c r="AL240" i="11"/>
  <c r="AL192" i="11"/>
  <c r="AL139" i="11"/>
  <c r="AL89" i="11"/>
  <c r="AK30" i="11"/>
  <c r="AJ55" i="11"/>
  <c r="AH303" i="11"/>
  <c r="AH293" i="11"/>
  <c r="AH282" i="11"/>
  <c r="AH272" i="11"/>
  <c r="AH261" i="11"/>
  <c r="AH252" i="11"/>
  <c r="AH242" i="11"/>
  <c r="AH228" i="11"/>
  <c r="AH219" i="11"/>
  <c r="AH208" i="11"/>
  <c r="AH93" i="11"/>
  <c r="AG186" i="11"/>
  <c r="AH175" i="11"/>
  <c r="AG165" i="11"/>
  <c r="AH155" i="11"/>
  <c r="AH144" i="11"/>
  <c r="AH131" i="11"/>
  <c r="AH119" i="11"/>
  <c r="AH109" i="11"/>
  <c r="AH99" i="11"/>
  <c r="AH83" i="11"/>
  <c r="AH74" i="11"/>
  <c r="AH62" i="11"/>
  <c r="AH49" i="11"/>
  <c r="AH41" i="11"/>
  <c r="AH38" i="11"/>
  <c r="Y240" i="11"/>
  <c r="Y192" i="11"/>
  <c r="Y139" i="11"/>
  <c r="U305" i="11"/>
  <c r="V294" i="11"/>
  <c r="V283" i="11"/>
  <c r="V273" i="11"/>
  <c r="V262" i="11"/>
  <c r="V253" i="11"/>
  <c r="V243" i="11"/>
  <c r="V231" i="11"/>
  <c r="V220" i="11"/>
  <c r="V210" i="11"/>
  <c r="V187" i="11"/>
  <c r="U178" i="11"/>
  <c r="AC89" i="11"/>
  <c r="AB30" i="11"/>
  <c r="U121" i="11"/>
  <c r="U72" i="11"/>
  <c r="AH248" i="11"/>
  <c r="AK240" i="11"/>
  <c r="AK192" i="11"/>
  <c r="AK139" i="11"/>
  <c r="AK89" i="11"/>
  <c r="AJ30" i="11"/>
  <c r="AI55" i="11"/>
  <c r="AH302" i="11"/>
  <c r="AG292" i="11"/>
  <c r="AH280" i="11"/>
  <c r="AH270" i="11"/>
  <c r="AH260" i="11"/>
  <c r="AH251" i="11"/>
  <c r="AG241" i="11"/>
  <c r="AH227" i="11"/>
  <c r="AG217" i="11"/>
  <c r="AH207" i="11"/>
  <c r="AH197" i="11"/>
  <c r="AH184" i="11"/>
  <c r="AG174" i="11"/>
  <c r="AH163" i="11"/>
  <c r="AH153" i="11"/>
  <c r="AH143" i="11"/>
  <c r="AH130" i="11"/>
  <c r="AH118" i="11"/>
  <c r="AH108" i="11"/>
  <c r="AH97" i="11"/>
  <c r="AH82" i="11"/>
  <c r="AH73" i="11"/>
  <c r="AH59" i="11"/>
  <c r="AH48" i="11"/>
  <c r="AF40" i="11"/>
  <c r="AI30" i="11"/>
  <c r="X240" i="11"/>
  <c r="X192" i="11"/>
  <c r="X139" i="11"/>
  <c r="V303" i="11"/>
  <c r="V293" i="11"/>
  <c r="V282" i="11"/>
  <c r="V272" i="11"/>
  <c r="V261" i="11"/>
  <c r="V252" i="11"/>
  <c r="V242" i="11"/>
  <c r="U230" i="11"/>
  <c r="V219" i="11"/>
  <c r="V209" i="11"/>
  <c r="V199" i="11"/>
  <c r="T190" i="11"/>
  <c r="V176" i="11"/>
  <c r="V166" i="11"/>
  <c r="V146" i="11"/>
  <c r="AB89" i="11"/>
  <c r="AB55" i="11"/>
  <c r="AA30" i="11"/>
  <c r="V94" i="11"/>
  <c r="U133" i="11"/>
  <c r="V119" i="11"/>
  <c r="V109" i="11"/>
  <c r="V99" i="11"/>
  <c r="V80" i="11"/>
  <c r="V68" i="11"/>
  <c r="V57" i="11"/>
  <c r="V46" i="11"/>
  <c r="V36" i="11"/>
  <c r="V56" i="11"/>
  <c r="V35" i="11"/>
  <c r="AI240" i="11"/>
  <c r="AI89" i="11"/>
  <c r="AH310" i="11"/>
  <c r="AH257" i="11"/>
  <c r="AH224" i="11"/>
  <c r="AH205" i="11"/>
  <c r="AG182" i="11"/>
  <c r="AJ240" i="11"/>
  <c r="AJ192" i="11"/>
  <c r="AJ139" i="11"/>
  <c r="AJ89" i="11"/>
  <c r="AP55" i="11"/>
  <c r="AH311" i="11"/>
  <c r="AG301" i="11"/>
  <c r="AH290" i="11"/>
  <c r="AH279" i="11"/>
  <c r="AH269" i="11"/>
  <c r="AH258" i="11"/>
  <c r="AH249" i="11"/>
  <c r="AH236" i="11"/>
  <c r="AG226" i="11"/>
  <c r="AH215" i="11"/>
  <c r="AH206" i="11"/>
  <c r="AH196" i="11"/>
  <c r="AH183" i="11"/>
  <c r="AH172" i="11"/>
  <c r="AH162" i="11"/>
  <c r="AH152" i="11"/>
  <c r="AH141" i="11"/>
  <c r="AG125" i="11"/>
  <c r="AH117" i="11"/>
  <c r="AH107" i="11"/>
  <c r="AH96" i="11"/>
  <c r="AH81" i="11"/>
  <c r="AG72" i="11"/>
  <c r="AH58" i="11"/>
  <c r="AH47" i="11"/>
  <c r="AH36" i="11"/>
  <c r="AH31" i="11"/>
  <c r="W240" i="11"/>
  <c r="W192" i="11"/>
  <c r="W139" i="11"/>
  <c r="V302" i="11"/>
  <c r="U292" i="11"/>
  <c r="V280" i="11"/>
  <c r="V270" i="11"/>
  <c r="V260" i="11"/>
  <c r="V251" i="11"/>
  <c r="U241" i="11"/>
  <c r="V228" i="11"/>
  <c r="V218" i="11"/>
  <c r="V208" i="11"/>
  <c r="V197" i="11"/>
  <c r="U186" i="11"/>
  <c r="V175" i="11"/>
  <c r="U165" i="11"/>
  <c r="V145" i="11"/>
  <c r="AA89" i="11"/>
  <c r="AA55" i="11"/>
  <c r="Z30" i="11"/>
  <c r="V93" i="11"/>
  <c r="U129" i="11"/>
  <c r="V118" i="11"/>
  <c r="V108" i="11"/>
  <c r="U90" i="11"/>
  <c r="V79" i="11"/>
  <c r="V67" i="11"/>
  <c r="V45" i="11"/>
  <c r="AI192" i="11"/>
  <c r="AI139" i="11"/>
  <c r="AO55" i="11"/>
  <c r="AH299" i="11"/>
  <c r="AH268" i="11"/>
  <c r="AH235" i="11"/>
  <c r="AH214" i="11"/>
  <c r="AH195" i="11"/>
  <c r="AH161" i="11"/>
  <c r="AH151" i="11"/>
  <c r="AH57" i="11"/>
  <c r="V290" i="11"/>
  <c r="V207" i="11"/>
  <c r="Z55" i="11"/>
  <c r="V117" i="11"/>
  <c r="V66" i="11"/>
  <c r="V42" i="11"/>
  <c r="AG140" i="11"/>
  <c r="AH46" i="11"/>
  <c r="V279" i="11"/>
  <c r="V196" i="11"/>
  <c r="Y55" i="11"/>
  <c r="U116" i="11"/>
  <c r="U65" i="11"/>
  <c r="AH127" i="11"/>
  <c r="AH35" i="11"/>
  <c r="V269" i="11"/>
  <c r="V184" i="11"/>
  <c r="Y30" i="11"/>
  <c r="V107" i="11"/>
  <c r="V63" i="11"/>
  <c r="V34" i="11"/>
  <c r="U174" i="11"/>
  <c r="V106" i="11"/>
  <c r="V33" i="11"/>
  <c r="T87" i="11"/>
  <c r="T238" i="11"/>
  <c r="V144" i="11"/>
  <c r="V311" i="11"/>
  <c r="Z89" i="11"/>
  <c r="V78" i="11"/>
  <c r="U301" i="11"/>
  <c r="V126" i="11"/>
  <c r="AG116" i="11"/>
  <c r="AD240" i="11"/>
  <c r="V258" i="11"/>
  <c r="X30" i="11"/>
  <c r="V52" i="11"/>
  <c r="V51" i="11"/>
  <c r="AD139" i="11"/>
  <c r="T137" i="11"/>
  <c r="V50" i="11"/>
  <c r="V227" i="11"/>
  <c r="V127" i="11"/>
  <c r="V44" i="11"/>
  <c r="U217" i="11"/>
  <c r="V43" i="11"/>
  <c r="AH106" i="11"/>
  <c r="AD192" i="11"/>
  <c r="V249" i="11"/>
  <c r="V153" i="11"/>
  <c r="V91" i="11"/>
  <c r="AH80" i="11"/>
  <c r="Y89" i="11"/>
  <c r="U77" i="11"/>
  <c r="AH95" i="11"/>
  <c r="AH68" i="11"/>
  <c r="AD10" i="11"/>
  <c r="V11" i="11"/>
  <c r="T9" i="11"/>
  <c r="AB10" i="11"/>
  <c r="T54" i="11"/>
  <c r="W10" i="11"/>
  <c r="V12" i="11"/>
  <c r="AA10" i="11"/>
  <c r="T29" i="11"/>
  <c r="Z10" i="11"/>
  <c r="Y10" i="11"/>
  <c r="X10" i="11"/>
  <c r="AF54" i="11"/>
  <c r="AC10" i="11"/>
  <c r="AF29" i="11"/>
  <c r="C302" i="11"/>
  <c r="B292" i="11"/>
  <c r="C311" i="11"/>
  <c r="B301" i="11"/>
  <c r="C298" i="11"/>
  <c r="C307" i="11"/>
  <c r="C306" i="11"/>
  <c r="B305" i="11"/>
  <c r="C310" i="11"/>
  <c r="C299" i="11"/>
  <c r="B297" i="11"/>
  <c r="B309" i="11"/>
  <c r="C295" i="11"/>
  <c r="C294" i="11"/>
  <c r="C303" i="11"/>
  <c r="C293" i="11"/>
  <c r="I290" i="11"/>
  <c r="R307" i="11"/>
  <c r="R299" i="11"/>
  <c r="R291" i="11"/>
  <c r="R283" i="11"/>
  <c r="R275" i="11"/>
  <c r="R267" i="11"/>
  <c r="R259" i="11"/>
  <c r="R251" i="11"/>
  <c r="R243" i="11"/>
  <c r="M240" i="11"/>
  <c r="C284" i="11"/>
  <c r="C274" i="11"/>
  <c r="C264" i="11"/>
  <c r="C254" i="11"/>
  <c r="C244" i="11"/>
  <c r="M238" i="11"/>
  <c r="E238" i="11"/>
  <c r="C228" i="11"/>
  <c r="C218" i="11"/>
  <c r="R232" i="11"/>
  <c r="R224" i="11"/>
  <c r="R216" i="11"/>
  <c r="R208" i="11"/>
  <c r="R200" i="11"/>
  <c r="B213" i="11"/>
  <c r="C203" i="11"/>
  <c r="B193" i="11"/>
  <c r="K192" i="11"/>
  <c r="K190" i="11"/>
  <c r="C188" i="11"/>
  <c r="B178" i="11"/>
  <c r="C167" i="11"/>
  <c r="C158" i="11"/>
  <c r="C147" i="11"/>
  <c r="R187" i="11"/>
  <c r="R179" i="11"/>
  <c r="R171" i="11"/>
  <c r="R163" i="11"/>
  <c r="R155" i="11"/>
  <c r="R147" i="11"/>
  <c r="R138" i="11"/>
  <c r="J139" i="11"/>
  <c r="K137" i="11"/>
  <c r="C135" i="11"/>
  <c r="B125" i="11"/>
  <c r="C114" i="11"/>
  <c r="C105" i="11"/>
  <c r="C94" i="11"/>
  <c r="R132" i="11"/>
  <c r="R124" i="11"/>
  <c r="R116" i="11"/>
  <c r="R108" i="11"/>
  <c r="R100" i="11"/>
  <c r="R92" i="11"/>
  <c r="M89" i="11"/>
  <c r="M87" i="11"/>
  <c r="E87" i="11"/>
  <c r="C69" i="11"/>
  <c r="R81" i="11"/>
  <c r="R73" i="11"/>
  <c r="R65" i="11"/>
  <c r="R55" i="11"/>
  <c r="J55" i="11"/>
  <c r="C63" i="11"/>
  <c r="R78" i="11"/>
  <c r="R295" i="11"/>
  <c r="R255" i="11"/>
  <c r="C290" i="11"/>
  <c r="C258" i="11"/>
  <c r="I238" i="11"/>
  <c r="R236" i="11"/>
  <c r="R212" i="11"/>
  <c r="C208" i="11"/>
  <c r="O192" i="11"/>
  <c r="C183" i="11"/>
  <c r="C152" i="11"/>
  <c r="R175" i="11"/>
  <c r="R159" i="11"/>
  <c r="N139" i="11"/>
  <c r="C130" i="11"/>
  <c r="C99" i="11"/>
  <c r="I289" i="11"/>
  <c r="R306" i="11"/>
  <c r="R298" i="11"/>
  <c r="R290" i="11"/>
  <c r="R7" i="11" s="1"/>
  <c r="R282" i="11"/>
  <c r="R274" i="11"/>
  <c r="R266" i="11"/>
  <c r="R258" i="11"/>
  <c r="R250" i="11"/>
  <c r="R242" i="11"/>
  <c r="L240" i="11"/>
  <c r="C283" i="11"/>
  <c r="C273" i="11"/>
  <c r="C262" i="11"/>
  <c r="C253" i="11"/>
  <c r="C243" i="11"/>
  <c r="L238" i="11"/>
  <c r="D238" i="11"/>
  <c r="C227" i="11"/>
  <c r="B217" i="11"/>
  <c r="R231" i="11"/>
  <c r="R223" i="11"/>
  <c r="R215" i="11"/>
  <c r="R207" i="11"/>
  <c r="R199" i="11"/>
  <c r="C211" i="11"/>
  <c r="C201" i="11"/>
  <c r="R191" i="11"/>
  <c r="J192" i="11"/>
  <c r="J190" i="11"/>
  <c r="C187" i="11"/>
  <c r="C176" i="11"/>
  <c r="C166" i="11"/>
  <c r="C157" i="11"/>
  <c r="C146" i="11"/>
  <c r="R186" i="11"/>
  <c r="R178" i="11"/>
  <c r="R170" i="11"/>
  <c r="R162" i="11"/>
  <c r="R154" i="11"/>
  <c r="R146" i="11"/>
  <c r="Q139" i="11"/>
  <c r="B140" i="11"/>
  <c r="J137" i="11"/>
  <c r="C134" i="11"/>
  <c r="C123" i="11"/>
  <c r="B113" i="11"/>
  <c r="C103" i="11"/>
  <c r="C93" i="11"/>
  <c r="R131" i="11"/>
  <c r="R123" i="11"/>
  <c r="R115" i="11"/>
  <c r="R107" i="11"/>
  <c r="R99" i="11"/>
  <c r="R91" i="11"/>
  <c r="L89" i="11"/>
  <c r="L87" i="11"/>
  <c r="D87" i="11"/>
  <c r="C78" i="11"/>
  <c r="C68" i="11"/>
  <c r="R80" i="11"/>
  <c r="R72" i="11"/>
  <c r="R64" i="11"/>
  <c r="Q55" i="11"/>
  <c r="R88" i="11"/>
  <c r="C75" i="11"/>
  <c r="R70" i="11"/>
  <c r="C59" i="11"/>
  <c r="R311" i="11"/>
  <c r="R271" i="11"/>
  <c r="Q240" i="11"/>
  <c r="C269" i="11"/>
  <c r="A239" i="11"/>
  <c r="C223" i="11"/>
  <c r="R220" i="11"/>
  <c r="R196" i="11"/>
  <c r="O190" i="11"/>
  <c r="C172" i="11"/>
  <c r="O137" i="11"/>
  <c r="C109" i="11"/>
  <c r="I288" i="11"/>
  <c r="R305" i="11"/>
  <c r="R297" i="11"/>
  <c r="R289" i="11"/>
  <c r="R281" i="11"/>
  <c r="R273" i="11"/>
  <c r="R265" i="11"/>
  <c r="R257" i="11"/>
  <c r="R249" i="11"/>
  <c r="R241" i="11"/>
  <c r="K240" i="11"/>
  <c r="C282" i="11"/>
  <c r="C272" i="11"/>
  <c r="C261" i="11"/>
  <c r="C252" i="11"/>
  <c r="C242" i="11"/>
  <c r="K238" i="11"/>
  <c r="C236" i="11"/>
  <c r="B226" i="11"/>
  <c r="R230" i="11"/>
  <c r="R222" i="11"/>
  <c r="R214" i="11"/>
  <c r="R206" i="11"/>
  <c r="R198" i="11"/>
  <c r="C210" i="11"/>
  <c r="C200" i="11"/>
  <c r="Q192" i="11"/>
  <c r="A191" i="11"/>
  <c r="I190" i="11"/>
  <c r="B186" i="11"/>
  <c r="C175" i="11"/>
  <c r="B165" i="11"/>
  <c r="C155" i="11"/>
  <c r="C145" i="11"/>
  <c r="R185" i="11"/>
  <c r="R177" i="11"/>
  <c r="R169" i="11"/>
  <c r="R161" i="11"/>
  <c r="R153" i="11"/>
  <c r="R145" i="11"/>
  <c r="P139" i="11"/>
  <c r="A138" i="11"/>
  <c r="I137" i="11"/>
  <c r="B133" i="11"/>
  <c r="C122" i="11"/>
  <c r="C111" i="11"/>
  <c r="C101" i="11"/>
  <c r="C92" i="11"/>
  <c r="R130" i="11"/>
  <c r="R122" i="11"/>
  <c r="R114" i="11"/>
  <c r="R106" i="11"/>
  <c r="R98" i="11"/>
  <c r="R90" i="11"/>
  <c r="K89" i="11"/>
  <c r="K87" i="11"/>
  <c r="B77" i="11"/>
  <c r="C67" i="11"/>
  <c r="R79" i="11"/>
  <c r="R71" i="11"/>
  <c r="R63" i="11"/>
  <c r="P55" i="11"/>
  <c r="C62" i="11"/>
  <c r="R105" i="11"/>
  <c r="R62" i="11"/>
  <c r="I287" i="11"/>
  <c r="R304" i="11"/>
  <c r="R296" i="11"/>
  <c r="R288" i="11"/>
  <c r="R280" i="11"/>
  <c r="R272" i="11"/>
  <c r="R264" i="11"/>
  <c r="R256" i="11"/>
  <c r="R248" i="11"/>
  <c r="R239" i="11"/>
  <c r="J240" i="11"/>
  <c r="C280" i="11"/>
  <c r="C270" i="11"/>
  <c r="C260" i="11"/>
  <c r="C251" i="11"/>
  <c r="B241" i="11"/>
  <c r="J238" i="11"/>
  <c r="C235" i="11"/>
  <c r="C224" i="11"/>
  <c r="C214" i="11"/>
  <c r="R229" i="11"/>
  <c r="R221" i="11"/>
  <c r="R213" i="11"/>
  <c r="R205" i="11"/>
  <c r="R197" i="11"/>
  <c r="C209" i="11"/>
  <c r="C199" i="11"/>
  <c r="P192" i="11"/>
  <c r="P190" i="11"/>
  <c r="H190" i="11"/>
  <c r="C184" i="11"/>
  <c r="B174" i="11"/>
  <c r="C163" i="11"/>
  <c r="C153" i="11"/>
  <c r="C144" i="11"/>
  <c r="R184" i="11"/>
  <c r="R176" i="11"/>
  <c r="R168" i="11"/>
  <c r="R160" i="11"/>
  <c r="R152" i="11"/>
  <c r="R144" i="11"/>
  <c r="O139" i="11"/>
  <c r="P137" i="11"/>
  <c r="H137" i="11"/>
  <c r="C131" i="11"/>
  <c r="B121" i="11"/>
  <c r="C110" i="11"/>
  <c r="C100" i="11"/>
  <c r="C91" i="11"/>
  <c r="R129" i="11"/>
  <c r="R121" i="11"/>
  <c r="R113" i="11"/>
  <c r="R97" i="11"/>
  <c r="J89" i="11"/>
  <c r="J87" i="11"/>
  <c r="C66" i="11"/>
  <c r="O55" i="11"/>
  <c r="R303" i="11"/>
  <c r="R287" i="11"/>
  <c r="R279" i="11"/>
  <c r="R263" i="11"/>
  <c r="R247" i="11"/>
  <c r="C279" i="11"/>
  <c r="C249" i="11"/>
  <c r="B234" i="11"/>
  <c r="R228" i="11"/>
  <c r="R204" i="11"/>
  <c r="C197" i="11"/>
  <c r="G190" i="11"/>
  <c r="C162" i="11"/>
  <c r="C143" i="11"/>
  <c r="R183" i="11"/>
  <c r="R167" i="11"/>
  <c r="R151" i="11"/>
  <c r="R143" i="11"/>
  <c r="G137" i="11"/>
  <c r="C119" i="11"/>
  <c r="B90" i="11"/>
  <c r="R309" i="11"/>
  <c r="R301" i="11"/>
  <c r="R293" i="11"/>
  <c r="R285" i="11"/>
  <c r="R277" i="11"/>
  <c r="R269" i="11"/>
  <c r="R261" i="11"/>
  <c r="R253" i="11"/>
  <c r="R245" i="11"/>
  <c r="O240" i="11"/>
  <c r="C287" i="11"/>
  <c r="C277" i="11"/>
  <c r="C266" i="11"/>
  <c r="C256" i="11"/>
  <c r="C247" i="11"/>
  <c r="O238" i="11"/>
  <c r="G238" i="11"/>
  <c r="C231" i="11"/>
  <c r="C220" i="11"/>
  <c r="R234" i="11"/>
  <c r="R226" i="11"/>
  <c r="R218" i="11"/>
  <c r="R210" i="11"/>
  <c r="R202" i="11"/>
  <c r="R194" i="11"/>
  <c r="C206" i="11"/>
  <c r="C195" i="11"/>
  <c r="M192" i="11"/>
  <c r="M190" i="11"/>
  <c r="E190" i="11"/>
  <c r="C180" i="11"/>
  <c r="C170" i="11"/>
  <c r="C160" i="11"/>
  <c r="C149" i="11"/>
  <c r="C141" i="11"/>
  <c r="R181" i="11"/>
  <c r="R173" i="11"/>
  <c r="R165" i="11"/>
  <c r="R157" i="11"/>
  <c r="R149" i="11"/>
  <c r="R141" i="11"/>
  <c r="L139" i="11"/>
  <c r="M137" i="11"/>
  <c r="E137" i="11"/>
  <c r="C127" i="11"/>
  <c r="C117" i="11"/>
  <c r="C107" i="11"/>
  <c r="C96" i="11"/>
  <c r="R134" i="11"/>
  <c r="R126" i="11"/>
  <c r="R118" i="11"/>
  <c r="R110" i="11"/>
  <c r="R102" i="11"/>
  <c r="R94" i="11"/>
  <c r="O89" i="11"/>
  <c r="O87" i="11"/>
  <c r="G87" i="11"/>
  <c r="B72" i="11"/>
  <c r="R83" i="11"/>
  <c r="R75" i="11"/>
  <c r="R67" i="11"/>
  <c r="R57" i="11"/>
  <c r="L55" i="11"/>
  <c r="C56" i="11"/>
  <c r="R308" i="11"/>
  <c r="R300" i="11"/>
  <c r="R292" i="11"/>
  <c r="R284" i="11"/>
  <c r="R276" i="11"/>
  <c r="R268" i="11"/>
  <c r="R260" i="11"/>
  <c r="R252" i="11"/>
  <c r="R244" i="11"/>
  <c r="N240" i="11"/>
  <c r="B286" i="11"/>
  <c r="C275" i="11"/>
  <c r="C265" i="11"/>
  <c r="C255" i="11"/>
  <c r="C245" i="11"/>
  <c r="N238" i="11"/>
  <c r="F238" i="11"/>
  <c r="B230" i="11"/>
  <c r="C219" i="11"/>
  <c r="R233" i="11"/>
  <c r="R310" i="11"/>
  <c r="R246" i="11"/>
  <c r="H238" i="11"/>
  <c r="R211" i="11"/>
  <c r="C196" i="11"/>
  <c r="B182" i="11"/>
  <c r="C142" i="11"/>
  <c r="R158" i="11"/>
  <c r="N137" i="11"/>
  <c r="R302" i="11"/>
  <c r="P240" i="11"/>
  <c r="C232" i="11"/>
  <c r="R209" i="11"/>
  <c r="C194" i="11"/>
  <c r="C179" i="11"/>
  <c r="R188" i="11"/>
  <c r="R156" i="11"/>
  <c r="L137" i="11"/>
  <c r="C106" i="11"/>
  <c r="R120" i="11"/>
  <c r="R101" i="11"/>
  <c r="P87" i="11"/>
  <c r="C74" i="11"/>
  <c r="R74" i="11"/>
  <c r="M55" i="11"/>
  <c r="C257" i="11"/>
  <c r="R193" i="11"/>
  <c r="R140" i="11"/>
  <c r="R133" i="11"/>
  <c r="F87" i="11"/>
  <c r="R262" i="11"/>
  <c r="C207" i="11"/>
  <c r="C151" i="11"/>
  <c r="R128" i="11"/>
  <c r="P89" i="11"/>
  <c r="R58" i="11"/>
  <c r="R217" i="11"/>
  <c r="D190" i="11"/>
  <c r="R164" i="11"/>
  <c r="R104" i="11"/>
  <c r="R77" i="11"/>
  <c r="R125" i="11"/>
  <c r="C80" i="11"/>
  <c r="N55" i="11"/>
  <c r="R294" i="11"/>
  <c r="C288" i="11"/>
  <c r="B222" i="11"/>
  <c r="R203" i="11"/>
  <c r="N192" i="11"/>
  <c r="C171" i="11"/>
  <c r="R182" i="11"/>
  <c r="R150" i="11"/>
  <c r="F137" i="11"/>
  <c r="C97" i="11"/>
  <c r="R119" i="11"/>
  <c r="R96" i="11"/>
  <c r="N87" i="11"/>
  <c r="C73" i="11"/>
  <c r="R69" i="11"/>
  <c r="K55" i="11"/>
  <c r="R286" i="11"/>
  <c r="C278" i="11"/>
  <c r="R235" i="11"/>
  <c r="R201" i="11"/>
  <c r="L192" i="11"/>
  <c r="B169" i="11"/>
  <c r="R180" i="11"/>
  <c r="R148" i="11"/>
  <c r="D137" i="11"/>
  <c r="C95" i="11"/>
  <c r="R117" i="11"/>
  <c r="R95" i="11"/>
  <c r="I87" i="11"/>
  <c r="C70" i="11"/>
  <c r="R68" i="11"/>
  <c r="C58" i="11"/>
  <c r="R270" i="11"/>
  <c r="C159" i="11"/>
  <c r="C126" i="11"/>
  <c r="Q89" i="11"/>
  <c r="R59" i="11"/>
  <c r="R219" i="11"/>
  <c r="F190" i="11"/>
  <c r="R166" i="11"/>
  <c r="M139" i="11"/>
  <c r="C118" i="11"/>
  <c r="R82" i="11"/>
  <c r="P238" i="11"/>
  <c r="C148" i="11"/>
  <c r="B116" i="11"/>
  <c r="N89" i="11"/>
  <c r="R56" i="11"/>
  <c r="C108" i="11"/>
  <c r="A88" i="11"/>
  <c r="R278" i="11"/>
  <c r="C268" i="11"/>
  <c r="R227" i="11"/>
  <c r="R195" i="11"/>
  <c r="N190" i="11"/>
  <c r="C161" i="11"/>
  <c r="R174" i="11"/>
  <c r="R142" i="11"/>
  <c r="B129" i="11"/>
  <c r="R135" i="11"/>
  <c r="R112" i="11"/>
  <c r="R93" i="11"/>
  <c r="H87" i="11"/>
  <c r="B65" i="11"/>
  <c r="R66" i="11"/>
  <c r="C57" i="11"/>
  <c r="R225" i="11"/>
  <c r="L190" i="11"/>
  <c r="R172" i="11"/>
  <c r="R111" i="11"/>
  <c r="R84" i="11"/>
  <c r="C248" i="11"/>
  <c r="R109" i="11"/>
  <c r="R254" i="11"/>
  <c r="C205" i="11"/>
  <c r="K139" i="11"/>
  <c r="R127" i="11"/>
  <c r="R103" i="11"/>
  <c r="R76" i="11"/>
  <c r="C31" i="11"/>
  <c r="C47" i="11"/>
  <c r="B153" i="26" s="1"/>
  <c r="C38" i="11"/>
  <c r="L30" i="11"/>
  <c r="C22" i="11"/>
  <c r="R32" i="11"/>
  <c r="R21" i="11"/>
  <c r="M20" i="11"/>
  <c r="E20" i="11"/>
  <c r="B54" i="11"/>
  <c r="C35" i="11"/>
  <c r="J30" i="11"/>
  <c r="R27" i="11"/>
  <c r="C20" i="11"/>
  <c r="C21" i="11"/>
  <c r="C46" i="11"/>
  <c r="B242" i="26" s="1"/>
  <c r="C36" i="11"/>
  <c r="K30" i="11"/>
  <c r="A29" i="11"/>
  <c r="R31" i="11"/>
  <c r="R30" i="11"/>
  <c r="L20" i="11"/>
  <c r="D20" i="11"/>
  <c r="C45" i="11"/>
  <c r="K20" i="11"/>
  <c r="C52" i="11"/>
  <c r="C44" i="11"/>
  <c r="B142" i="26" s="1"/>
  <c r="C27" i="11"/>
  <c r="R36" i="11"/>
  <c r="R26" i="11"/>
  <c r="R20" i="11"/>
  <c r="J20" i="11"/>
  <c r="A19" i="11"/>
  <c r="C51" i="11"/>
  <c r="C43" i="11"/>
  <c r="P30" i="11"/>
  <c r="C26" i="11"/>
  <c r="R35" i="11"/>
  <c r="R25" i="11"/>
  <c r="R19" i="11"/>
  <c r="I20" i="11"/>
  <c r="C34" i="11"/>
  <c r="C50" i="11"/>
  <c r="C42" i="11"/>
  <c r="B141" i="26" s="1"/>
  <c r="O30" i="11"/>
  <c r="C25" i="11"/>
  <c r="R24" i="11"/>
  <c r="P20" i="11"/>
  <c r="H20" i="11"/>
  <c r="C33" i="11"/>
  <c r="C49" i="11"/>
  <c r="B200" i="26" s="1"/>
  <c r="C41" i="11"/>
  <c r="B143" i="26" s="1"/>
  <c r="N30" i="11"/>
  <c r="C24" i="11"/>
  <c r="R34" i="11"/>
  <c r="R23" i="11"/>
  <c r="O20" i="11"/>
  <c r="G20" i="11"/>
  <c r="C32" i="11"/>
  <c r="C48" i="11"/>
  <c r="B154" i="26" s="1"/>
  <c r="B40" i="11"/>
  <c r="M30" i="11"/>
  <c r="C23" i="11"/>
  <c r="R33" i="11"/>
  <c r="R22" i="11"/>
  <c r="N20" i="11"/>
  <c r="F20" i="11"/>
  <c r="R38" i="11"/>
  <c r="R29" i="11"/>
  <c r="J10" i="11"/>
  <c r="C11" i="11"/>
  <c r="R11" i="11"/>
  <c r="J9" i="11"/>
  <c r="C10" i="11"/>
  <c r="D9" i="11"/>
  <c r="R10" i="11"/>
  <c r="C13" i="11"/>
  <c r="K10" i="11"/>
  <c r="K9" i="11"/>
  <c r="P10" i="11"/>
  <c r="C17" i="11"/>
  <c r="R17" i="11"/>
  <c r="R9" i="11"/>
  <c r="A9" i="11"/>
  <c r="O10" i="11"/>
  <c r="C16" i="11"/>
  <c r="R16" i="11"/>
  <c r="O9" i="11"/>
  <c r="A3" i="11"/>
  <c r="C14" i="11"/>
  <c r="L10" i="11"/>
  <c r="R13" i="11"/>
  <c r="C12" i="11"/>
  <c r="N10" i="11"/>
  <c r="C15" i="11"/>
  <c r="R15" i="11"/>
  <c r="N9" i="11"/>
  <c r="A1" i="11"/>
  <c r="M10" i="11"/>
  <c r="R14" i="11"/>
  <c r="L9" i="11"/>
  <c r="M9" i="11"/>
  <c r="R12" i="11"/>
  <c r="D419" i="8"/>
  <c r="N365" i="8"/>
  <c r="C367" i="8"/>
  <c r="J328" i="8"/>
  <c r="D355" i="8"/>
  <c r="C343" i="8"/>
  <c r="C330" i="8"/>
  <c r="B328" i="8"/>
  <c r="C319" i="8"/>
  <c r="C314" i="8"/>
  <c r="N310" i="8"/>
  <c r="Q299" i="8"/>
  <c r="C305" i="8"/>
  <c r="C296" i="8"/>
  <c r="B288" i="8"/>
  <c r="P282" i="8"/>
  <c r="C277" i="8"/>
  <c r="L268" i="8"/>
  <c r="B263" i="8"/>
  <c r="C259" i="8"/>
  <c r="Q250" i="8"/>
  <c r="M246" i="8"/>
  <c r="M236" i="8"/>
  <c r="C240" i="8"/>
  <c r="P219" i="8"/>
  <c r="J224" i="8"/>
  <c r="C227" i="8"/>
  <c r="C212" i="8"/>
  <c r="D203" i="8"/>
  <c r="J200" i="8"/>
  <c r="D356" i="8"/>
  <c r="C278" i="8"/>
  <c r="K224" i="8"/>
  <c r="D417" i="8"/>
  <c r="M365" i="8"/>
  <c r="C375" i="8"/>
  <c r="D366" i="8"/>
  <c r="D354" i="8"/>
  <c r="C342" i="8"/>
  <c r="C329" i="8"/>
  <c r="B327" i="8"/>
  <c r="C318" i="8"/>
  <c r="C313" i="8"/>
  <c r="M310" i="8"/>
  <c r="P300" i="8"/>
  <c r="C304" i="8"/>
  <c r="N288" i="8"/>
  <c r="C295" i="8"/>
  <c r="C286" i="8"/>
  <c r="B276" i="8"/>
  <c r="K268" i="8"/>
  <c r="N253" i="8"/>
  <c r="C258" i="8"/>
  <c r="D252" i="8"/>
  <c r="B181" i="26" s="1"/>
  <c r="L246" i="8"/>
  <c r="L240" i="8"/>
  <c r="C239" i="8"/>
  <c r="P218" i="8"/>
  <c r="D225" i="8"/>
  <c r="C226" i="8"/>
  <c r="C211" i="8"/>
  <c r="B202" i="8"/>
  <c r="C315" i="8"/>
  <c r="P288" i="8"/>
  <c r="B264" i="8"/>
  <c r="Q220" i="8"/>
  <c r="C126" i="8"/>
  <c r="A415" i="8"/>
  <c r="L365" i="8"/>
  <c r="C374" i="8"/>
  <c r="B365" i="8"/>
  <c r="D361" i="8"/>
  <c r="C352" i="8"/>
  <c r="C340" i="8"/>
  <c r="B350" i="8"/>
  <c r="D325" i="8"/>
  <c r="B192" i="26" s="1"/>
  <c r="B320" i="8"/>
  <c r="C312" i="8"/>
  <c r="L310" i="8"/>
  <c r="P299" i="8"/>
  <c r="C303" i="8"/>
  <c r="M288" i="8"/>
  <c r="C294" i="8"/>
  <c r="C285" i="8"/>
  <c r="D270" i="8"/>
  <c r="J268" i="8"/>
  <c r="C251" i="8"/>
  <c r="C257" i="8"/>
  <c r="B247" i="8"/>
  <c r="K246" i="8"/>
  <c r="J236" i="8"/>
  <c r="C238" i="8"/>
  <c r="P224" i="8"/>
  <c r="C233" i="8"/>
  <c r="C225" i="8"/>
  <c r="C210" i="8"/>
  <c r="P200" i="8"/>
  <c r="C195" i="8"/>
  <c r="B318" i="8"/>
  <c r="L288" i="8"/>
  <c r="C293" i="8"/>
  <c r="Q277" i="8"/>
  <c r="C250" i="8"/>
  <c r="J246" i="8"/>
  <c r="C246" i="8"/>
  <c r="B224" i="8"/>
  <c r="O200" i="8"/>
  <c r="C194" i="8"/>
  <c r="C349" i="8"/>
  <c r="C323" i="8"/>
  <c r="J310" i="8"/>
  <c r="C301" i="8"/>
  <c r="C292" i="8"/>
  <c r="P276" i="8"/>
  <c r="C249" i="8"/>
  <c r="M247" i="8"/>
  <c r="C236" i="8"/>
  <c r="C231" i="8"/>
  <c r="N200" i="8"/>
  <c r="C193" i="8"/>
  <c r="Q359" i="8"/>
  <c r="C335" i="8"/>
  <c r="C322" i="8"/>
  <c r="M311" i="8"/>
  <c r="C300" i="8"/>
  <c r="C291" i="8"/>
  <c r="C266" i="8"/>
  <c r="P236" i="8"/>
  <c r="C243" i="8"/>
  <c r="C221" i="8"/>
  <c r="Q221" i="8"/>
  <c r="Q371" i="8"/>
  <c r="C320" i="8"/>
  <c r="P283" i="8"/>
  <c r="O240" i="8"/>
  <c r="B218" i="8"/>
  <c r="K365" i="8"/>
  <c r="C373" i="8"/>
  <c r="B364" i="8"/>
  <c r="D360" i="8"/>
  <c r="C351" i="8"/>
  <c r="C339" i="8"/>
  <c r="B347" i="8"/>
  <c r="C324" i="8"/>
  <c r="B311" i="8"/>
  <c r="K310" i="8"/>
  <c r="M300" i="8"/>
  <c r="C302" i="8"/>
  <c r="C284" i="8"/>
  <c r="B269" i="8"/>
  <c r="C256" i="8"/>
  <c r="N247" i="8"/>
  <c r="C237" i="8"/>
  <c r="C232" i="8"/>
  <c r="B209" i="8"/>
  <c r="D359" i="8"/>
  <c r="B183" i="26" s="1"/>
  <c r="N317" i="8"/>
  <c r="J300" i="8"/>
  <c r="K288" i="8"/>
  <c r="P268" i="8"/>
  <c r="C255" i="8"/>
  <c r="C244" i="8"/>
  <c r="N224" i="8"/>
  <c r="C370" i="8"/>
  <c r="D358" i="8"/>
  <c r="B341" i="8"/>
  <c r="C308" i="8"/>
  <c r="Q285" i="8"/>
  <c r="C248" i="8"/>
  <c r="L247" i="8"/>
  <c r="M224" i="8"/>
  <c r="M200" i="8"/>
  <c r="B192" i="8"/>
  <c r="C220" i="8"/>
  <c r="L200" i="8"/>
  <c r="C345" i="8"/>
  <c r="O304" i="8"/>
  <c r="M268" i="8"/>
  <c r="C241" i="8"/>
  <c r="P209" i="8"/>
  <c r="Q383" i="8"/>
  <c r="J365" i="8"/>
  <c r="Q360" i="8"/>
  <c r="C337" i="8"/>
  <c r="B344" i="8"/>
  <c r="N311" i="8"/>
  <c r="B282" i="8"/>
  <c r="C267" i="8"/>
  <c r="Q235" i="8"/>
  <c r="C222" i="8"/>
  <c r="C348" i="8"/>
  <c r="Q314" i="8"/>
  <c r="J288" i="8"/>
  <c r="O268" i="8"/>
  <c r="B235" i="8"/>
  <c r="L224" i="8"/>
  <c r="B191" i="8"/>
  <c r="C306" i="8"/>
  <c r="N246" i="8"/>
  <c r="C310" i="8"/>
  <c r="C280" i="8"/>
  <c r="C254" i="8"/>
  <c r="C230" i="8"/>
  <c r="C229" i="8"/>
  <c r="C368" i="8"/>
  <c r="B333" i="8"/>
  <c r="C297" i="8"/>
  <c r="C260" i="8"/>
  <c r="C228" i="8"/>
  <c r="K200" i="8"/>
  <c r="D378" i="8"/>
  <c r="C369" i="8"/>
  <c r="Q358" i="8"/>
  <c r="C346" i="8"/>
  <c r="C334" i="8"/>
  <c r="B338" i="8"/>
  <c r="C321" i="8"/>
  <c r="D316" i="8"/>
  <c r="B182" i="26" s="1"/>
  <c r="L311" i="8"/>
  <c r="L304" i="8"/>
  <c r="C307" i="8"/>
  <c r="B299" i="8"/>
  <c r="D289" i="8"/>
  <c r="C290" i="8"/>
  <c r="Q284" i="8"/>
  <c r="C279" i="8"/>
  <c r="N268" i="8"/>
  <c r="C265" i="8"/>
  <c r="D261" i="8"/>
  <c r="B191" i="26" s="1"/>
  <c r="B256" i="8"/>
  <c r="K247" i="8"/>
  <c r="P235" i="8"/>
  <c r="C242" i="8"/>
  <c r="Q210" i="8"/>
  <c r="O365" i="8"/>
  <c r="C332" i="8"/>
  <c r="K311" i="8"/>
  <c r="C289" i="8"/>
  <c r="B254" i="8"/>
  <c r="D189" i="8"/>
  <c r="B190" i="26" s="1"/>
  <c r="C169" i="8"/>
  <c r="M166" i="8"/>
  <c r="C162" i="8"/>
  <c r="M144" i="8"/>
  <c r="Q139" i="8"/>
  <c r="C132" i="8"/>
  <c r="M127" i="8"/>
  <c r="C115" i="8"/>
  <c r="Q115" i="8"/>
  <c r="M112" i="8"/>
  <c r="C110" i="8"/>
  <c r="B100" i="8"/>
  <c r="B93" i="8"/>
  <c r="D84" i="8"/>
  <c r="B76" i="8"/>
  <c r="K39" i="8"/>
  <c r="Q40" i="8"/>
  <c r="B32" i="8"/>
  <c r="C22" i="8"/>
  <c r="C10" i="8"/>
  <c r="A3" i="8"/>
  <c r="D42" i="8"/>
  <c r="C16" i="8"/>
  <c r="C177" i="8"/>
  <c r="C168" i="8"/>
  <c r="J166" i="8"/>
  <c r="N157" i="8"/>
  <c r="L144" i="8"/>
  <c r="C148" i="8"/>
  <c r="C131" i="8"/>
  <c r="J126" i="8"/>
  <c r="C114" i="8"/>
  <c r="Q114" i="8"/>
  <c r="L112" i="8"/>
  <c r="C109" i="8"/>
  <c r="D94" i="8"/>
  <c r="B90" i="8"/>
  <c r="B83" i="8"/>
  <c r="B69" i="8"/>
  <c r="J39" i="8"/>
  <c r="Q33" i="8"/>
  <c r="B31" i="8"/>
  <c r="C20" i="8"/>
  <c r="C9" i="8"/>
  <c r="A1" i="8"/>
  <c r="C80" i="8"/>
  <c r="C28" i="8"/>
  <c r="D181" i="8"/>
  <c r="B180" i="26" s="1"/>
  <c r="Q153" i="8"/>
  <c r="B127" i="8"/>
  <c r="P112" i="8"/>
  <c r="Q101" i="8"/>
  <c r="B51" i="8"/>
  <c r="C27" i="8"/>
  <c r="C185" i="8"/>
  <c r="P152" i="8"/>
  <c r="C136" i="8"/>
  <c r="P106" i="8"/>
  <c r="C103" i="8"/>
  <c r="B45" i="8"/>
  <c r="C13" i="8"/>
  <c r="Q43" i="8"/>
  <c r="A4" i="8"/>
  <c r="C188" i="8"/>
  <c r="N174" i="8"/>
  <c r="C176" i="8"/>
  <c r="C167" i="8"/>
  <c r="Q162" i="8"/>
  <c r="M157" i="8"/>
  <c r="C160" i="8"/>
  <c r="K144" i="8"/>
  <c r="C147" i="8"/>
  <c r="D139" i="8"/>
  <c r="B189" i="26" s="1"/>
  <c r="C130" i="8"/>
  <c r="C124" i="8"/>
  <c r="B119" i="8"/>
  <c r="Q109" i="8"/>
  <c r="K112" i="8"/>
  <c r="C108" i="8"/>
  <c r="L83" i="8"/>
  <c r="Q77" i="8"/>
  <c r="B63" i="8"/>
  <c r="D43" i="8"/>
  <c r="Q30" i="8"/>
  <c r="C30" i="8"/>
  <c r="C18" i="8"/>
  <c r="C8" i="8"/>
  <c r="C187" i="8"/>
  <c r="M174" i="8"/>
  <c r="B174" i="8"/>
  <c r="B165" i="8"/>
  <c r="Q154" i="8"/>
  <c r="L157" i="8"/>
  <c r="C159" i="8"/>
  <c r="J144" i="8"/>
  <c r="B146" i="8"/>
  <c r="C138" i="8"/>
  <c r="C129" i="8"/>
  <c r="C123" i="8"/>
  <c r="M120" i="8"/>
  <c r="Q108" i="8"/>
  <c r="J112" i="8"/>
  <c r="B106" i="8"/>
  <c r="K83" i="8"/>
  <c r="B57" i="8"/>
  <c r="Q20" i="8"/>
  <c r="C7" i="8"/>
  <c r="J173" i="8"/>
  <c r="L169" i="8"/>
  <c r="B157" i="8"/>
  <c r="C122" i="8"/>
  <c r="D113" i="8"/>
  <c r="J83" i="8"/>
  <c r="D41" i="8"/>
  <c r="B6" i="8"/>
  <c r="C173" i="8"/>
  <c r="J157" i="8"/>
  <c r="C154" i="8"/>
  <c r="C121" i="8"/>
  <c r="C113" i="8"/>
  <c r="D87" i="8"/>
  <c r="D40" i="8"/>
  <c r="C26" i="8"/>
  <c r="D85" i="8"/>
  <c r="C23" i="8"/>
  <c r="K157" i="8"/>
  <c r="C137" i="8"/>
  <c r="P107" i="8"/>
  <c r="C104" i="8"/>
  <c r="C79" i="8"/>
  <c r="Q18" i="8"/>
  <c r="C14" i="8"/>
  <c r="O169" i="8"/>
  <c r="P144" i="8"/>
  <c r="C143" i="8"/>
  <c r="N134" i="8"/>
  <c r="P120" i="8"/>
  <c r="P100" i="8"/>
  <c r="C78" i="8"/>
  <c r="K30" i="8"/>
  <c r="A5" i="8"/>
  <c r="D69" i="8"/>
  <c r="C184" i="8"/>
  <c r="C180" i="8"/>
  <c r="C171" i="8"/>
  <c r="Q165" i="8"/>
  <c r="P151" i="8"/>
  <c r="D158" i="8"/>
  <c r="O144" i="8"/>
  <c r="C153" i="8"/>
  <c r="B142" i="8"/>
  <c r="C135" i="8"/>
  <c r="C117" i="8"/>
  <c r="Q119" i="8"/>
  <c r="B112" i="8"/>
  <c r="C102" i="8"/>
  <c r="P91" i="8"/>
  <c r="D86" i="8"/>
  <c r="C77" i="8"/>
  <c r="J44" i="8"/>
  <c r="B39" i="8"/>
  <c r="K18" i="8"/>
  <c r="C25" i="8"/>
  <c r="C11" i="8"/>
  <c r="C4" i="8"/>
  <c r="N182" i="8"/>
  <c r="C179" i="8"/>
  <c r="C170" i="8"/>
  <c r="P166" i="8"/>
  <c r="P157" i="8"/>
  <c r="C163" i="8"/>
  <c r="N144" i="8"/>
  <c r="B151" i="8"/>
  <c r="B141" i="8"/>
  <c r="D133" i="8"/>
  <c r="B179" i="26" s="1"/>
  <c r="N127" i="8"/>
  <c r="C116" i="8"/>
  <c r="Q117" i="8"/>
  <c r="N112" i="8"/>
  <c r="C107" i="8"/>
  <c r="C101" i="8"/>
  <c r="L39" i="8"/>
  <c r="B43" i="6"/>
  <c r="B44" i="6"/>
  <c r="B45" i="6"/>
  <c r="B49" i="6"/>
  <c r="B50" i="6"/>
  <c r="B46" i="6"/>
  <c r="B51" i="6"/>
  <c r="B52" i="6"/>
  <c r="I22" i="6"/>
  <c r="H22" i="6"/>
  <c r="D22" i="6"/>
  <c r="G22" i="6"/>
  <c r="F22" i="6"/>
  <c r="C22" i="6"/>
  <c r="E22" i="6"/>
  <c r="Q134" i="6"/>
  <c r="J128" i="6"/>
  <c r="C129" i="6"/>
  <c r="B111" i="6"/>
  <c r="G78" i="6"/>
  <c r="Q6" i="6"/>
  <c r="I128" i="6"/>
  <c r="I66" i="6"/>
  <c r="B30" i="6"/>
  <c r="Q125" i="6"/>
  <c r="O128" i="6"/>
  <c r="B134" i="6"/>
  <c r="C125" i="6"/>
  <c r="B116" i="6"/>
  <c r="B108" i="6"/>
  <c r="I96" i="6"/>
  <c r="D78" i="6"/>
  <c r="B70" i="6"/>
  <c r="Q58" i="6"/>
  <c r="I48" i="6"/>
  <c r="H30" i="6"/>
  <c r="C16" i="6"/>
  <c r="M9" i="6"/>
  <c r="B6" i="6"/>
  <c r="N9" i="6"/>
  <c r="N128" i="6"/>
  <c r="B133" i="6"/>
  <c r="B125" i="6"/>
  <c r="B115" i="6"/>
  <c r="B107" i="6"/>
  <c r="I90" i="6"/>
  <c r="C78" i="6"/>
  <c r="B69" i="6"/>
  <c r="Q52" i="6"/>
  <c r="I42" i="6"/>
  <c r="G30" i="6"/>
  <c r="I16" i="6"/>
  <c r="L9" i="6"/>
  <c r="B5" i="6"/>
  <c r="B131" i="6"/>
  <c r="B123" i="6"/>
  <c r="B114" i="6"/>
  <c r="B106" i="6"/>
  <c r="I84" i="6"/>
  <c r="B78" i="6"/>
  <c r="B68" i="6"/>
  <c r="Q46" i="6"/>
  <c r="I36" i="6"/>
  <c r="F30" i="6"/>
  <c r="I10" i="6"/>
  <c r="K9" i="6"/>
  <c r="B3" i="6"/>
  <c r="M128" i="6"/>
  <c r="C76" i="6"/>
  <c r="E30" i="6"/>
  <c r="A1" i="6"/>
  <c r="B103" i="6"/>
  <c r="B64" i="6"/>
  <c r="C30" i="6"/>
  <c r="B129" i="6"/>
  <c r="F78" i="6"/>
  <c r="O9" i="6"/>
  <c r="B127" i="6"/>
  <c r="I102" i="6"/>
  <c r="Q63" i="6"/>
  <c r="I30" i="6"/>
  <c r="L128" i="6"/>
  <c r="C130" i="6"/>
  <c r="B121" i="6"/>
  <c r="B113" i="6"/>
  <c r="B105" i="6"/>
  <c r="I78" i="6"/>
  <c r="B67" i="6"/>
  <c r="N36" i="6"/>
  <c r="Q8" i="6"/>
  <c r="J9" i="6"/>
  <c r="B119" i="6"/>
  <c r="B73" i="6"/>
  <c r="Q30" i="6"/>
  <c r="C10" i="6"/>
  <c r="B118" i="6"/>
  <c r="B110" i="6"/>
  <c r="Q88" i="6"/>
  <c r="B72" i="6"/>
  <c r="N30" i="6"/>
  <c r="B8" i="6"/>
  <c r="B135" i="6"/>
  <c r="B117" i="6"/>
  <c r="B109" i="6"/>
  <c r="E78" i="6"/>
  <c r="B71" i="6"/>
  <c r="C28" i="6"/>
  <c r="B7" i="6"/>
  <c r="K128" i="6"/>
  <c r="B130" i="6"/>
  <c r="B120" i="6"/>
  <c r="B112" i="6"/>
  <c r="B104" i="6"/>
  <c r="H78" i="6"/>
  <c r="B74" i="6"/>
  <c r="B59" i="6"/>
  <c r="Q36" i="6"/>
  <c r="D30" i="6"/>
  <c r="Q7" i="6"/>
  <c r="I9" i="6"/>
  <c r="X97" i="22"/>
  <c r="V93" i="22"/>
  <c r="J93" i="22"/>
  <c r="E71" i="22"/>
  <c r="A50" i="22"/>
  <c r="E10" i="22"/>
  <c r="B73" i="22"/>
  <c r="U93" i="22"/>
  <c r="I93" i="22"/>
  <c r="E73" i="22"/>
  <c r="B33" i="22"/>
  <c r="E7" i="22"/>
  <c r="A92" i="22"/>
  <c r="B96" i="22"/>
  <c r="A29" i="22"/>
  <c r="X111" i="22"/>
  <c r="B52" i="22"/>
  <c r="T93" i="22"/>
  <c r="H93" i="22"/>
  <c r="B75" i="22"/>
  <c r="E35" i="22"/>
  <c r="B7" i="22"/>
  <c r="X117" i="22"/>
  <c r="B31" i="22"/>
  <c r="S93" i="22"/>
  <c r="G93" i="22"/>
  <c r="A71" i="22"/>
  <c r="E31" i="22"/>
  <c r="A8" i="22"/>
  <c r="Q124" i="22"/>
  <c r="B10" i="22"/>
  <c r="R93" i="22"/>
  <c r="F93" i="22"/>
  <c r="B54" i="22"/>
  <c r="E29" i="22"/>
  <c r="W93" i="22"/>
  <c r="K93" i="22"/>
  <c r="E50" i="22"/>
  <c r="E14" i="22"/>
  <c r="Q93" i="22"/>
  <c r="E56" i="22"/>
  <c r="X93" i="22"/>
  <c r="L93" i="22"/>
  <c r="B94" i="22"/>
  <c r="E52" i="22"/>
  <c r="B12" i="22"/>
  <c r="E77" i="22"/>
  <c r="C168" i="21"/>
  <c r="W6" i="22"/>
  <c r="J6" i="22"/>
  <c r="T5" i="22"/>
  <c r="H5" i="22"/>
  <c r="U6" i="22"/>
  <c r="T6" i="22"/>
  <c r="S6" i="22"/>
  <c r="F6" i="22"/>
  <c r="L5" i="22"/>
  <c r="A4" i="22"/>
  <c r="V6" i="22"/>
  <c r="I6" i="22"/>
  <c r="S5" i="22"/>
  <c r="G5" i="22"/>
  <c r="H6" i="22"/>
  <c r="R5" i="22"/>
  <c r="F5" i="22"/>
  <c r="G6" i="22"/>
  <c r="Q5" i="22"/>
  <c r="A5" i="22"/>
  <c r="R6" i="22"/>
  <c r="W5" i="22"/>
  <c r="K5" i="22"/>
  <c r="A3" i="22"/>
  <c r="Q6" i="22"/>
  <c r="L6" i="22"/>
  <c r="V5" i="22"/>
  <c r="J5" i="22"/>
  <c r="A1" i="22"/>
  <c r="K6" i="22"/>
  <c r="U5" i="22"/>
  <c r="I5" i="22"/>
  <c r="C237" i="21"/>
  <c r="F230" i="21"/>
  <c r="F220" i="21"/>
  <c r="C215" i="21"/>
  <c r="C185" i="21"/>
  <c r="C177" i="21"/>
  <c r="B163" i="21"/>
  <c r="C153" i="21"/>
  <c r="K148" i="21"/>
  <c r="B142" i="21"/>
  <c r="C135" i="21"/>
  <c r="C125" i="21"/>
  <c r="C116" i="21"/>
  <c r="F113" i="21"/>
  <c r="D112" i="21"/>
  <c r="C99" i="21"/>
  <c r="E96" i="21"/>
  <c r="H86" i="21"/>
  <c r="C82" i="21"/>
  <c r="C73" i="21"/>
  <c r="C64" i="21"/>
  <c r="H55" i="21"/>
  <c r="J54" i="21"/>
  <c r="L215" i="21"/>
  <c r="L192" i="21"/>
  <c r="L182" i="21"/>
  <c r="L164" i="21"/>
  <c r="L148" i="21"/>
  <c r="L110" i="21"/>
  <c r="K49" i="21"/>
  <c r="K39" i="21"/>
  <c r="K29" i="21"/>
  <c r="C46" i="21"/>
  <c r="C37" i="21"/>
  <c r="C28" i="21"/>
  <c r="E24" i="21"/>
  <c r="C22" i="21"/>
  <c r="C13" i="21"/>
  <c r="L5" i="21"/>
  <c r="K4" i="21"/>
  <c r="C4" i="21"/>
  <c r="A3" i="21"/>
  <c r="C236" i="21"/>
  <c r="E230" i="21"/>
  <c r="E220" i="21"/>
  <c r="C214" i="21"/>
  <c r="G208" i="21"/>
  <c r="C193" i="21"/>
  <c r="C176" i="21"/>
  <c r="C161" i="21"/>
  <c r="C152" i="21"/>
  <c r="B147" i="21"/>
  <c r="C144" i="21"/>
  <c r="C134" i="21"/>
  <c r="C124" i="21"/>
  <c r="E114" i="21"/>
  <c r="E113" i="21"/>
  <c r="B115" i="21"/>
  <c r="C98" i="21"/>
  <c r="D96" i="21"/>
  <c r="G86" i="21"/>
  <c r="C81" i="21"/>
  <c r="C72" i="21"/>
  <c r="C63" i="21"/>
  <c r="G55" i="21"/>
  <c r="I54" i="21"/>
  <c r="I53" i="21"/>
  <c r="L199" i="21"/>
  <c r="L191" i="21"/>
  <c r="L181" i="21"/>
  <c r="L147" i="21"/>
  <c r="K48" i="21"/>
  <c r="K38" i="21"/>
  <c r="K26" i="21"/>
  <c r="C45" i="21"/>
  <c r="C36" i="21"/>
  <c r="C26" i="21"/>
  <c r="D24" i="21"/>
  <c r="C21" i="21"/>
  <c r="C12" i="21"/>
  <c r="J4" i="21"/>
  <c r="C231" i="21"/>
  <c r="D230" i="21"/>
  <c r="D220" i="21"/>
  <c r="C209" i="21"/>
  <c r="F208" i="21"/>
  <c r="B188" i="21"/>
  <c r="C175" i="21"/>
  <c r="C160" i="21"/>
  <c r="C151" i="21"/>
  <c r="B146" i="21"/>
  <c r="C142" i="21"/>
  <c r="C132" i="21"/>
  <c r="C123" i="21"/>
  <c r="D114" i="21"/>
  <c r="D113" i="21"/>
  <c r="A112" i="21"/>
  <c r="C97" i="21"/>
  <c r="B95" i="21"/>
  <c r="F86" i="21"/>
  <c r="C80" i="21"/>
  <c r="C71" i="21"/>
  <c r="C62" i="21"/>
  <c r="F55" i="21"/>
  <c r="H54" i="21"/>
  <c r="H53" i="21"/>
  <c r="L198" i="21"/>
  <c r="L190" i="21"/>
  <c r="L100" i="21"/>
  <c r="K47" i="21"/>
  <c r="K37" i="21"/>
  <c r="K25" i="21"/>
  <c r="C44" i="21"/>
  <c r="C34" i="21"/>
  <c r="C25" i="21"/>
  <c r="I9" i="21"/>
  <c r="C20" i="21"/>
  <c r="C11" i="21"/>
  <c r="H5" i="21"/>
  <c r="I4" i="21"/>
  <c r="A1" i="21"/>
  <c r="K45" i="21"/>
  <c r="C41" i="21"/>
  <c r="I24" i="21"/>
  <c r="B9" i="21"/>
  <c r="G4" i="21"/>
  <c r="G231" i="21"/>
  <c r="B228" i="21"/>
  <c r="G219" i="21"/>
  <c r="G209" i="21"/>
  <c r="E208" i="21"/>
  <c r="A187" i="21"/>
  <c r="C174" i="21"/>
  <c r="C159" i="21"/>
  <c r="C150" i="21"/>
  <c r="C140" i="21"/>
  <c r="C131" i="21"/>
  <c r="C122" i="21"/>
  <c r="I112" i="21"/>
  <c r="C110" i="21"/>
  <c r="J96" i="21"/>
  <c r="E86" i="21"/>
  <c r="C88" i="21"/>
  <c r="C79" i="21"/>
  <c r="C70" i="21"/>
  <c r="C61" i="21"/>
  <c r="D57" i="21"/>
  <c r="E56" i="21"/>
  <c r="G54" i="21"/>
  <c r="G53" i="21"/>
  <c r="L197" i="21"/>
  <c r="L189" i="21"/>
  <c r="L171" i="21"/>
  <c r="L107" i="21"/>
  <c r="L99" i="21"/>
  <c r="K46" i="21"/>
  <c r="K34" i="21"/>
  <c r="B51" i="21"/>
  <c r="C43" i="21"/>
  <c r="C33" i="21"/>
  <c r="B24" i="21"/>
  <c r="H9" i="21"/>
  <c r="C19" i="21"/>
  <c r="C10" i="21"/>
  <c r="G5" i="21"/>
  <c r="H4" i="21"/>
  <c r="F231" i="21"/>
  <c r="C226" i="21"/>
  <c r="F219" i="21"/>
  <c r="F209" i="21"/>
  <c r="D208" i="21"/>
  <c r="K188" i="21"/>
  <c r="C173" i="21"/>
  <c r="C158" i="21"/>
  <c r="C149" i="21"/>
  <c r="C139" i="21"/>
  <c r="C130" i="21"/>
  <c r="C121" i="21"/>
  <c r="J113" i="21"/>
  <c r="H112" i="21"/>
  <c r="C109" i="21"/>
  <c r="I96" i="21"/>
  <c r="D86" i="21"/>
  <c r="C78" i="21"/>
  <c r="C69" i="21"/>
  <c r="C59" i="21"/>
  <c r="B57" i="21"/>
  <c r="D56" i="21"/>
  <c r="F54" i="21"/>
  <c r="F53" i="21"/>
  <c r="L196" i="21"/>
  <c r="L106" i="21"/>
  <c r="L98" i="21"/>
  <c r="K33" i="21"/>
  <c r="C51" i="21"/>
  <c r="C32" i="21"/>
  <c r="G9" i="21"/>
  <c r="C18" i="21"/>
  <c r="F5" i="21"/>
  <c r="E231" i="21"/>
  <c r="C225" i="21"/>
  <c r="E219" i="21"/>
  <c r="E209" i="21"/>
  <c r="B206" i="21"/>
  <c r="K171" i="21"/>
  <c r="C172" i="21"/>
  <c r="C157" i="21"/>
  <c r="C148" i="21"/>
  <c r="C138" i="21"/>
  <c r="C129" i="21"/>
  <c r="C120" i="21"/>
  <c r="I113" i="21"/>
  <c r="G112" i="21"/>
  <c r="C108" i="21"/>
  <c r="H96" i="21"/>
  <c r="C86" i="21"/>
  <c r="C77" i="21"/>
  <c r="D231" i="21"/>
  <c r="C220" i="21"/>
  <c r="D219" i="21"/>
  <c r="D209" i="21"/>
  <c r="C200" i="21"/>
  <c r="B180" i="21"/>
  <c r="B171" i="21"/>
  <c r="C156" i="21"/>
  <c r="K151" i="21"/>
  <c r="C137" i="21"/>
  <c r="C128" i="21"/>
  <c r="C119" i="21"/>
  <c r="H113" i="21"/>
  <c r="F112" i="21"/>
  <c r="C107" i="21"/>
  <c r="G96" i="21"/>
  <c r="B84" i="21"/>
  <c r="C76" i="21"/>
  <c r="C66" i="21"/>
  <c r="D55" i="21"/>
  <c r="D54" i="21"/>
  <c r="D53" i="21"/>
  <c r="L184" i="21"/>
  <c r="L166" i="21"/>
  <c r="L51" i="21"/>
  <c r="K41" i="21"/>
  <c r="K31" i="21"/>
  <c r="C48" i="21"/>
  <c r="C39" i="21"/>
  <c r="C30" i="21"/>
  <c r="G24" i="21"/>
  <c r="E9" i="21"/>
  <c r="C15" i="21"/>
  <c r="B7" i="21"/>
  <c r="D5" i="21"/>
  <c r="E4" i="21"/>
  <c r="I5" i="21"/>
  <c r="G230" i="21"/>
  <c r="G220" i="21"/>
  <c r="B217" i="21"/>
  <c r="B195" i="21"/>
  <c r="C178" i="21"/>
  <c r="B170" i="21"/>
  <c r="C155" i="21"/>
  <c r="K147" i="21"/>
  <c r="B144" i="21"/>
  <c r="C136" i="21"/>
  <c r="C127" i="21"/>
  <c r="C117" i="21"/>
  <c r="G113" i="21"/>
  <c r="E112" i="21"/>
  <c r="C106" i="21"/>
  <c r="F96" i="21"/>
  <c r="I86" i="21"/>
  <c r="C84" i="21"/>
  <c r="C74" i="21"/>
  <c r="C65" i="21"/>
  <c r="I55" i="21"/>
  <c r="K54" i="21"/>
  <c r="C54" i="21"/>
  <c r="A53" i="21"/>
  <c r="L183" i="21"/>
  <c r="L165" i="21"/>
  <c r="K51" i="21"/>
  <c r="K40" i="21"/>
  <c r="K30" i="21"/>
  <c r="C47" i="21"/>
  <c r="C38" i="21"/>
  <c r="C29" i="21"/>
  <c r="F24" i="21"/>
  <c r="D9" i="21"/>
  <c r="C14" i="21"/>
  <c r="K6" i="21"/>
  <c r="A5" i="21"/>
  <c r="D4" i="21"/>
  <c r="C58" i="21"/>
  <c r="L195" i="21"/>
  <c r="C49" i="21"/>
  <c r="F4" i="21"/>
  <c r="E54" i="21"/>
  <c r="C17" i="21"/>
  <c r="B8" i="21"/>
  <c r="E5" i="21"/>
  <c r="C40" i="21"/>
  <c r="E55" i="21"/>
  <c r="C31" i="21"/>
  <c r="L167" i="21"/>
  <c r="L97" i="21"/>
  <c r="H24" i="21"/>
  <c r="E53" i="21"/>
  <c r="F9" i="21"/>
  <c r="K44" i="21"/>
  <c r="L151" i="21"/>
  <c r="C67" i="21"/>
  <c r="K32" i="21"/>
  <c r="O68" i="14"/>
  <c r="B160" i="14"/>
  <c r="B251" i="26" s="1"/>
  <c r="C153" i="14"/>
  <c r="F150" i="14"/>
  <c r="N148" i="14"/>
  <c r="H138" i="14"/>
  <c r="F129" i="14"/>
  <c r="C110" i="14"/>
  <c r="C73" i="14"/>
  <c r="C69" i="14"/>
  <c r="C67" i="14"/>
  <c r="H57" i="14"/>
  <c r="O71" i="14"/>
  <c r="C47" i="14"/>
  <c r="C33" i="14"/>
  <c r="C26" i="14"/>
  <c r="C19" i="14"/>
  <c r="C13" i="14"/>
  <c r="F9" i="14"/>
  <c r="K7" i="14"/>
  <c r="A3" i="14"/>
  <c r="O111" i="14"/>
  <c r="C80" i="14"/>
  <c r="F14" i="14"/>
  <c r="E7" i="14"/>
  <c r="O72" i="14"/>
  <c r="D7" i="14"/>
  <c r="F72" i="14"/>
  <c r="O7" i="14"/>
  <c r="C139" i="14"/>
  <c r="F69" i="14"/>
  <c r="F19" i="14"/>
  <c r="O152" i="14"/>
  <c r="C150" i="14"/>
  <c r="F148" i="14"/>
  <c r="B138" i="14"/>
  <c r="N123" i="14"/>
  <c r="C121" i="14"/>
  <c r="C129" i="14"/>
  <c r="O109" i="14"/>
  <c r="L102" i="14"/>
  <c r="C96" i="14"/>
  <c r="C82" i="14"/>
  <c r="N68" i="14"/>
  <c r="B57" i="14"/>
  <c r="F71" i="14"/>
  <c r="C51" i="14"/>
  <c r="H46" i="14"/>
  <c r="C40" i="14"/>
  <c r="C32" i="14"/>
  <c r="H24" i="14"/>
  <c r="O12" i="14"/>
  <c r="C9" i="14"/>
  <c r="J7" i="14"/>
  <c r="A1" i="14"/>
  <c r="F70" i="14"/>
  <c r="F151" i="14"/>
  <c r="C105" i="14"/>
  <c r="C49" i="14"/>
  <c r="C14" i="14"/>
  <c r="O150" i="14"/>
  <c r="C52" i="14"/>
  <c r="F152" i="14"/>
  <c r="C148" i="14"/>
  <c r="C123" i="14"/>
  <c r="O119" i="14"/>
  <c r="M109" i="14"/>
  <c r="C107" i="14"/>
  <c r="F102" i="14"/>
  <c r="F68" i="14"/>
  <c r="C65" i="14"/>
  <c r="C71" i="14"/>
  <c r="B46" i="14"/>
  <c r="H38" i="14"/>
  <c r="H31" i="14"/>
  <c r="B24" i="14"/>
  <c r="C18" i="14"/>
  <c r="C15" i="14"/>
  <c r="F12" i="14"/>
  <c r="N8" i="14"/>
  <c r="G7" i="14"/>
  <c r="O49" i="14"/>
  <c r="I10" i="14"/>
  <c r="C154" i="14"/>
  <c r="C131" i="14"/>
  <c r="C111" i="14"/>
  <c r="H79" i="14"/>
  <c r="O67" i="14"/>
  <c r="C59" i="14"/>
  <c r="B10" i="14"/>
  <c r="F73" i="14"/>
  <c r="C72" i="14"/>
  <c r="L7" i="14"/>
  <c r="C152" i="14"/>
  <c r="F149" i="14"/>
  <c r="O141" i="14"/>
  <c r="F130" i="14"/>
  <c r="C119" i="14"/>
  <c r="C109" i="14"/>
  <c r="C102" i="14"/>
  <c r="C95" i="14"/>
  <c r="C81" i="14"/>
  <c r="C68" i="14"/>
  <c r="C50" i="14"/>
  <c r="B38" i="14"/>
  <c r="B31" i="14"/>
  <c r="O17" i="14"/>
  <c r="C12" i="14"/>
  <c r="M8" i="14"/>
  <c r="F7" i="14"/>
  <c r="C106" i="14"/>
  <c r="L8" i="14"/>
  <c r="C162" i="14"/>
  <c r="H117" i="14"/>
  <c r="C94" i="14"/>
  <c r="C70" i="14"/>
  <c r="C8" i="14"/>
  <c r="O19" i="14"/>
  <c r="H160" i="14"/>
  <c r="B104" i="14"/>
  <c r="F67" i="14"/>
  <c r="C44" i="14"/>
  <c r="F13" i="14"/>
  <c r="C149" i="14"/>
  <c r="C141" i="14"/>
  <c r="F131" i="14"/>
  <c r="C130" i="14"/>
  <c r="C118" i="14"/>
  <c r="O108" i="14"/>
  <c r="C60" i="14"/>
  <c r="O140" i="14"/>
  <c r="C108" i="14"/>
  <c r="O59" i="14"/>
  <c r="H10" i="14"/>
  <c r="C7" i="14"/>
  <c r="C122" i="14"/>
  <c r="C58" i="14"/>
  <c r="A5" i="14"/>
  <c r="C132" i="14"/>
  <c r="A117" i="14"/>
  <c r="C88" i="14"/>
  <c r="C48" i="14"/>
  <c r="C16" i="14"/>
  <c r="C161" i="14"/>
  <c r="O153" i="14"/>
  <c r="C151" i="14"/>
  <c r="C142" i="14"/>
  <c r="C140" i="14"/>
  <c r="F132" i="14"/>
  <c r="C120" i="14"/>
  <c r="B117" i="14"/>
  <c r="H104" i="14"/>
  <c r="B79" i="14"/>
  <c r="N67" i="14"/>
  <c r="O13" i="14"/>
  <c r="F153" i="14"/>
  <c r="B23" i="7"/>
  <c r="I7" i="14"/>
  <c r="M7" i="14"/>
  <c r="H7" i="14"/>
  <c r="N7" i="14"/>
  <c r="J189" i="7"/>
  <c r="B177" i="7"/>
  <c r="J177" i="7"/>
  <c r="D167" i="7"/>
  <c r="B150" i="7"/>
  <c r="B138" i="7"/>
  <c r="J111" i="7"/>
  <c r="C111" i="7"/>
  <c r="D101" i="7"/>
  <c r="D81" i="7"/>
  <c r="C81" i="7"/>
  <c r="C91" i="7"/>
  <c r="J92" i="7"/>
  <c r="A76" i="7"/>
  <c r="J45" i="7"/>
  <c r="J30" i="7"/>
  <c r="A28" i="7"/>
  <c r="J18" i="7"/>
  <c r="C15" i="7"/>
  <c r="I3" i="7"/>
  <c r="D85" i="7"/>
  <c r="J28" i="7"/>
  <c r="J184" i="7"/>
  <c r="B172" i="7"/>
  <c r="J174" i="7"/>
  <c r="C166" i="7"/>
  <c r="J148" i="7"/>
  <c r="J117" i="7"/>
  <c r="B110" i="7"/>
  <c r="C102" i="7"/>
  <c r="D80" i="7"/>
  <c r="C80" i="7"/>
  <c r="C96" i="7"/>
  <c r="J91" i="7"/>
  <c r="E47" i="7"/>
  <c r="F45" i="7"/>
  <c r="F30" i="7"/>
  <c r="C10" i="7"/>
  <c r="J182" i="7"/>
  <c r="D170" i="7"/>
  <c r="J172" i="7"/>
  <c r="A165" i="7"/>
  <c r="F148" i="7"/>
  <c r="J136" i="7"/>
  <c r="J124" i="7"/>
  <c r="B105" i="7"/>
  <c r="A101" i="7"/>
  <c r="D79" i="7"/>
  <c r="C79" i="7"/>
  <c r="E63" i="7"/>
  <c r="D45" i="7"/>
  <c r="E30" i="7"/>
  <c r="C9" i="7"/>
  <c r="C4" i="7"/>
  <c r="D169" i="7"/>
  <c r="A136" i="7"/>
  <c r="C104" i="7"/>
  <c r="J85" i="7"/>
  <c r="C56" i="7"/>
  <c r="J9" i="7"/>
  <c r="A1" i="7"/>
  <c r="C169" i="7"/>
  <c r="J143" i="7"/>
  <c r="C124" i="7"/>
  <c r="C84" i="7"/>
  <c r="J96" i="7"/>
  <c r="B63" i="7"/>
  <c r="F6" i="7"/>
  <c r="F182" i="7"/>
  <c r="C170" i="7"/>
  <c r="J170" i="7"/>
  <c r="C149" i="7"/>
  <c r="F136" i="7"/>
  <c r="J130" i="7"/>
  <c r="D105" i="7"/>
  <c r="D86" i="7"/>
  <c r="C86" i="7"/>
  <c r="B78" i="7"/>
  <c r="J86" i="7"/>
  <c r="J78" i="7"/>
  <c r="C69" i="7"/>
  <c r="B47" i="7"/>
  <c r="D30" i="7"/>
  <c r="J10" i="7"/>
  <c r="B8" i="7"/>
  <c r="A3" i="7"/>
  <c r="B189" i="7"/>
  <c r="J169" i="7"/>
  <c r="A148" i="7"/>
  <c r="C85" i="7"/>
  <c r="J97" i="7"/>
  <c r="J76" i="7"/>
  <c r="C46" i="7"/>
  <c r="J6" i="7"/>
  <c r="J167" i="7"/>
  <c r="A45" i="7"/>
  <c r="J8" i="7"/>
  <c r="C183" i="7"/>
  <c r="B168" i="7"/>
  <c r="J165" i="7"/>
  <c r="J155" i="7"/>
  <c r="J138" i="7"/>
  <c r="J107" i="7"/>
  <c r="B123" i="7"/>
  <c r="D113" i="7"/>
  <c r="J101" i="7"/>
  <c r="D83" i="7"/>
  <c r="C83" i="7"/>
  <c r="C89" i="7"/>
  <c r="J83" i="7"/>
  <c r="C77" i="7"/>
  <c r="J43" i="7"/>
  <c r="D28" i="7"/>
  <c r="B17" i="7"/>
  <c r="J160" i="7"/>
  <c r="D84" i="7"/>
  <c r="J84" i="7"/>
  <c r="F28" i="7"/>
  <c r="A182" i="7"/>
  <c r="J179" i="7"/>
  <c r="F165" i="7"/>
  <c r="J150" i="7"/>
  <c r="B143" i="7"/>
  <c r="J106" i="7"/>
  <c r="F101" i="7"/>
  <c r="D82" i="7"/>
  <c r="C82" i="7"/>
  <c r="J82" i="7"/>
  <c r="D76" i="7"/>
  <c r="J63" i="7"/>
  <c r="J42" i="7"/>
  <c r="C29" i="7"/>
  <c r="C16" i="7"/>
  <c r="A6" i="7"/>
  <c r="B184" i="7"/>
  <c r="J108" i="7"/>
  <c r="B103" i="7"/>
  <c r="F76" i="7"/>
  <c r="F122" i="4"/>
  <c r="F70" i="4"/>
  <c r="F121" i="4"/>
  <c r="F69" i="4"/>
  <c r="F127" i="4"/>
  <c r="D133" i="4"/>
  <c r="F146" i="4"/>
  <c r="F117" i="4"/>
  <c r="F128" i="4"/>
  <c r="K133" i="4"/>
  <c r="F95" i="4"/>
  <c r="F135" i="4"/>
  <c r="F134" i="4"/>
  <c r="I133" i="4"/>
  <c r="F96" i="4"/>
  <c r="F147" i="4"/>
  <c r="F118" i="4"/>
  <c r="H240" i="4"/>
  <c r="D320" i="4"/>
  <c r="D308" i="4"/>
  <c r="D288" i="4"/>
  <c r="H274" i="4"/>
  <c r="D271" i="4"/>
  <c r="D262" i="4"/>
  <c r="I254" i="4"/>
  <c r="I250" i="4"/>
  <c r="D248" i="4"/>
  <c r="I222" i="4"/>
  <c r="D226" i="4"/>
  <c r="D218" i="4"/>
  <c r="D208" i="4"/>
  <c r="D199" i="4"/>
  <c r="D189" i="4"/>
  <c r="I213" i="4"/>
  <c r="I185" i="4"/>
  <c r="I167" i="4"/>
  <c r="D182" i="4"/>
  <c r="C170" i="4"/>
  <c r="D164" i="4"/>
  <c r="I141" i="4"/>
  <c r="D158" i="4"/>
  <c r="D149" i="4"/>
  <c r="D141" i="4"/>
  <c r="I117" i="4"/>
  <c r="D121" i="4"/>
  <c r="D110" i="4"/>
  <c r="I98" i="4"/>
  <c r="D105" i="4"/>
  <c r="D95" i="4"/>
  <c r="D82" i="4"/>
  <c r="F48" i="4"/>
  <c r="D70" i="4"/>
  <c r="D77" i="4"/>
  <c r="D57" i="4"/>
  <c r="I47" i="4"/>
  <c r="D44" i="4"/>
  <c r="K325" i="4"/>
  <c r="K315" i="4"/>
  <c r="K244" i="4"/>
  <c r="K236" i="4"/>
  <c r="K201" i="4"/>
  <c r="K185" i="4"/>
  <c r="K167" i="4"/>
  <c r="K97" i="4"/>
  <c r="H230" i="4"/>
  <c r="I288" i="4"/>
  <c r="D319" i="4"/>
  <c r="D307" i="4"/>
  <c r="D287" i="4"/>
  <c r="F274" i="4"/>
  <c r="D270" i="4"/>
  <c r="D261" i="4"/>
  <c r="H254" i="4"/>
  <c r="I249" i="4"/>
  <c r="D247" i="4"/>
  <c r="H222" i="4"/>
  <c r="D225" i="4"/>
  <c r="D217" i="4"/>
  <c r="D207" i="4"/>
  <c r="D198" i="4"/>
  <c r="C188" i="4"/>
  <c r="I212" i="4"/>
  <c r="I184" i="4"/>
  <c r="I166" i="4"/>
  <c r="D180" i="4"/>
  <c r="D169" i="4"/>
  <c r="C163" i="4"/>
  <c r="I140" i="4"/>
  <c r="D157" i="4"/>
  <c r="D148" i="4"/>
  <c r="D140" i="4"/>
  <c r="F120" i="4"/>
  <c r="D120" i="4"/>
  <c r="D109" i="4"/>
  <c r="I97" i="4"/>
  <c r="D103" i="4"/>
  <c r="D93" i="4"/>
  <c r="F47" i="4"/>
  <c r="D69" i="4"/>
  <c r="D64" i="4"/>
  <c r="D56" i="4"/>
  <c r="F41" i="4"/>
  <c r="D43" i="4"/>
  <c r="K323" i="4"/>
  <c r="K243" i="4"/>
  <c r="K192" i="4"/>
  <c r="K184" i="4"/>
  <c r="K176" i="4"/>
  <c r="K166" i="4"/>
  <c r="K123" i="4"/>
  <c r="K96" i="4"/>
  <c r="H224" i="4"/>
  <c r="I287" i="4"/>
  <c r="D318" i="4"/>
  <c r="C299" i="4"/>
  <c r="E274" i="4"/>
  <c r="D269" i="4"/>
  <c r="D260" i="4"/>
  <c r="G254" i="4"/>
  <c r="I248" i="4"/>
  <c r="G222" i="4"/>
  <c r="C230" i="4"/>
  <c r="D216" i="4"/>
  <c r="D206" i="4"/>
  <c r="D197" i="4"/>
  <c r="I219" i="4"/>
  <c r="I199" i="4"/>
  <c r="I183" i="4"/>
  <c r="I165" i="4"/>
  <c r="D179" i="4"/>
  <c r="I162" i="4"/>
  <c r="I139" i="4"/>
  <c r="D155" i="4"/>
  <c r="D147" i="4"/>
  <c r="D139" i="4"/>
  <c r="I128" i="4"/>
  <c r="D128" i="4"/>
  <c r="D118" i="4"/>
  <c r="I96" i="4"/>
  <c r="D102" i="4"/>
  <c r="D94" i="4"/>
  <c r="I73" i="4"/>
  <c r="D68" i="4"/>
  <c r="D63" i="4"/>
  <c r="D55" i="4"/>
  <c r="F44" i="4"/>
  <c r="D42" i="4"/>
  <c r="K322" i="4"/>
  <c r="K312" i="4"/>
  <c r="K282" i="4"/>
  <c r="K242" i="4"/>
  <c r="K234" i="4"/>
  <c r="K215" i="4"/>
  <c r="K199" i="4"/>
  <c r="K191" i="4"/>
  <c r="K183" i="4"/>
  <c r="K177" i="4"/>
  <c r="K175" i="4"/>
  <c r="I282" i="4"/>
  <c r="D315" i="4"/>
  <c r="D304" i="4"/>
  <c r="D280" i="4"/>
  <c r="C277" i="4"/>
  <c r="C268" i="4"/>
  <c r="E259" i="4"/>
  <c r="F254" i="4"/>
  <c r="I247" i="4"/>
  <c r="E240" i="4"/>
  <c r="F222" i="4"/>
  <c r="D224" i="4"/>
  <c r="D215" i="4"/>
  <c r="D201" i="4"/>
  <c r="D194" i="4"/>
  <c r="I218" i="4"/>
  <c r="I182" i="4"/>
  <c r="I164" i="4"/>
  <c r="D177" i="4"/>
  <c r="D168" i="4"/>
  <c r="H162" i="4"/>
  <c r="I147" i="4"/>
  <c r="D153" i="4"/>
  <c r="D146" i="4"/>
  <c r="D138" i="4"/>
  <c r="I124" i="4"/>
  <c r="D127" i="4"/>
  <c r="D117" i="4"/>
  <c r="I95" i="4"/>
  <c r="D101" i="4"/>
  <c r="D88" i="4"/>
  <c r="I70" i="4"/>
  <c r="F66" i="4"/>
  <c r="D62" i="4"/>
  <c r="D54" i="4"/>
  <c r="E49" i="4"/>
  <c r="D41" i="4"/>
  <c r="K311" i="4"/>
  <c r="K280" i="4"/>
  <c r="K241" i="4"/>
  <c r="K233" i="4"/>
  <c r="K214" i="4"/>
  <c r="K206" i="4"/>
  <c r="K198" i="4"/>
  <c r="K190" i="4"/>
  <c r="K174" i="4"/>
  <c r="K164" i="4"/>
  <c r="K140" i="4"/>
  <c r="K121" i="4"/>
  <c r="K102" i="4"/>
  <c r="K69" i="4"/>
  <c r="C317" i="4"/>
  <c r="D313" i="4"/>
  <c r="D302" i="4"/>
  <c r="D279" i="4"/>
  <c r="B274" i="4"/>
  <c r="C259" i="4"/>
  <c r="E258" i="4"/>
  <c r="E254" i="4"/>
  <c r="D252" i="4"/>
  <c r="D240" i="4"/>
  <c r="E222" i="4"/>
  <c r="C223" i="4"/>
  <c r="D214" i="4"/>
  <c r="D204" i="4"/>
  <c r="D193" i="4"/>
  <c r="I217" i="4"/>
  <c r="I180" i="4"/>
  <c r="D186" i="4"/>
  <c r="D174" i="4"/>
  <c r="G162" i="4"/>
  <c r="I153" i="4"/>
  <c r="D156" i="4"/>
  <c r="D145" i="4"/>
  <c r="I123" i="4"/>
  <c r="D126" i="4"/>
  <c r="D116" i="4"/>
  <c r="I86" i="4"/>
  <c r="I103" i="4"/>
  <c r="D100" i="4"/>
  <c r="D87" i="4"/>
  <c r="I69" i="4"/>
  <c r="D61" i="4"/>
  <c r="D53" i="4"/>
  <c r="D50" i="4"/>
  <c r="D40" i="4"/>
  <c r="K319" i="4"/>
  <c r="K279" i="4"/>
  <c r="K232" i="4"/>
  <c r="K213" i="4"/>
  <c r="K197" i="4"/>
  <c r="K173" i="4"/>
  <c r="K139" i="4"/>
  <c r="C306" i="4"/>
  <c r="D312" i="4"/>
  <c r="D303" i="4"/>
  <c r="D278" i="4"/>
  <c r="H268" i="4"/>
  <c r="D265" i="4"/>
  <c r="D258" i="4"/>
  <c r="B254" i="4"/>
  <c r="D251" i="4"/>
  <c r="D238" i="4"/>
  <c r="D229" i="4"/>
  <c r="B222" i="4"/>
  <c r="D213" i="4"/>
  <c r="D203" i="4"/>
  <c r="D192" i="4"/>
  <c r="I216" i="4"/>
  <c r="I179" i="4"/>
  <c r="D185" i="4"/>
  <c r="D173" i="4"/>
  <c r="D167" i="4"/>
  <c r="F162" i="4"/>
  <c r="H152" i="4"/>
  <c r="D152" i="4"/>
  <c r="D144" i="4"/>
  <c r="I135" i="4"/>
  <c r="I122" i="4"/>
  <c r="D124" i="4"/>
  <c r="D114" i="4"/>
  <c r="I91" i="4"/>
  <c r="I102" i="4"/>
  <c r="D98" i="4"/>
  <c r="D86" i="4"/>
  <c r="E71" i="4"/>
  <c r="F64" i="4"/>
  <c r="D60" i="4"/>
  <c r="D48" i="4"/>
  <c r="D39" i="4"/>
  <c r="K318" i="4"/>
  <c r="K278" i="4"/>
  <c r="K231" i="4"/>
  <c r="K220" i="4"/>
  <c r="K212" i="4"/>
  <c r="K172" i="4"/>
  <c r="K147" i="4"/>
  <c r="K92" i="4"/>
  <c r="D323" i="4"/>
  <c r="D311" i="4"/>
  <c r="D301" i="4"/>
  <c r="E267" i="4"/>
  <c r="D264" i="4"/>
  <c r="D256" i="4"/>
  <c r="I252" i="4"/>
  <c r="D250" i="4"/>
  <c r="D237" i="4"/>
  <c r="D228" i="4"/>
  <c r="D220" i="4"/>
  <c r="D212" i="4"/>
  <c r="D202" i="4"/>
  <c r="D191" i="4"/>
  <c r="I215" i="4"/>
  <c r="I168" i="4"/>
  <c r="D184" i="4"/>
  <c r="D172" i="4"/>
  <c r="D166" i="4"/>
  <c r="E162" i="4"/>
  <c r="D160" i="4"/>
  <c r="F145" i="4"/>
  <c r="D143" i="4"/>
  <c r="D135" i="4"/>
  <c r="I121" i="4"/>
  <c r="D123" i="4"/>
  <c r="D112" i="4"/>
  <c r="I90" i="4"/>
  <c r="I106" i="4"/>
  <c r="D97" i="4"/>
  <c r="D84" i="4"/>
  <c r="D73" i="4"/>
  <c r="D66" i="4"/>
  <c r="D59" i="4"/>
  <c r="D47" i="4"/>
  <c r="D322" i="4"/>
  <c r="D309" i="4"/>
  <c r="D300" i="4"/>
  <c r="I274" i="4"/>
  <c r="D272" i="4"/>
  <c r="D263" i="4"/>
  <c r="D255" i="4"/>
  <c r="I251" i="4"/>
  <c r="D249" i="4"/>
  <c r="C236" i="4"/>
  <c r="D227" i="4"/>
  <c r="D219" i="4"/>
  <c r="D209" i="4"/>
  <c r="D196" i="4"/>
  <c r="D190" i="4"/>
  <c r="I214" i="4"/>
  <c r="I192" i="4"/>
  <c r="D183" i="4"/>
  <c r="D171" i="4"/>
  <c r="D165" i="4"/>
  <c r="D159" i="4"/>
  <c r="D150" i="4"/>
  <c r="D142" i="4"/>
  <c r="D134" i="4"/>
  <c r="I118" i="4"/>
  <c r="D122" i="4"/>
  <c r="D111" i="4"/>
  <c r="I89" i="4"/>
  <c r="D106" i="4"/>
  <c r="D96" i="4"/>
  <c r="D83" i="4"/>
  <c r="D72" i="4"/>
  <c r="D65" i="4"/>
  <c r="D58" i="4"/>
  <c r="I48" i="4"/>
  <c r="D46" i="4"/>
  <c r="K256" i="4"/>
  <c r="K194" i="4"/>
  <c r="K95" i="4"/>
  <c r="F28" i="4"/>
  <c r="K218" i="4"/>
  <c r="K186" i="4"/>
  <c r="K70" i="4"/>
  <c r="K219" i="4"/>
  <c r="K168" i="4"/>
  <c r="K141" i="4"/>
  <c r="E28" i="4"/>
  <c r="K246" i="4"/>
  <c r="K165" i="4"/>
  <c r="K155" i="4"/>
  <c r="K154" i="4"/>
  <c r="B28" i="4"/>
  <c r="K122" i="4"/>
  <c r="K128" i="4"/>
  <c r="K103" i="4"/>
  <c r="K48" i="4"/>
  <c r="K238" i="4"/>
  <c r="I28" i="4"/>
  <c r="K171" i="4"/>
  <c r="G28" i="4"/>
  <c r="G13" i="1"/>
  <c r="I18" i="4"/>
  <c r="K158" i="4"/>
  <c r="K26" i="4"/>
  <c r="K18" i="4"/>
  <c r="K5" i="4"/>
  <c r="D10" i="4"/>
  <c r="F5" i="4"/>
  <c r="I17" i="4"/>
  <c r="K25" i="4"/>
  <c r="K17" i="4"/>
  <c r="D9" i="4"/>
  <c r="E5" i="4"/>
  <c r="I35" i="4"/>
  <c r="K254" i="4"/>
  <c r="K24" i="4"/>
  <c r="I14" i="4"/>
  <c r="D8" i="4"/>
  <c r="B5" i="4"/>
  <c r="I34" i="4"/>
  <c r="K23" i="4"/>
  <c r="D21" i="4"/>
  <c r="D6" i="4"/>
  <c r="A3" i="4"/>
  <c r="I33" i="4"/>
  <c r="D29" i="4"/>
  <c r="K10" i="4"/>
  <c r="D20" i="4"/>
  <c r="D14" i="4"/>
  <c r="C16" i="4"/>
  <c r="A1" i="4"/>
  <c r="I21" i="4"/>
  <c r="C30" i="4"/>
  <c r="K153" i="4"/>
  <c r="K21" i="4"/>
  <c r="D19" i="4"/>
  <c r="D13" i="4"/>
  <c r="C7" i="4"/>
  <c r="I20" i="4"/>
  <c r="D32" i="4"/>
  <c r="K160" i="4"/>
  <c r="K36" i="4"/>
  <c r="K20" i="4"/>
  <c r="K16" i="4"/>
  <c r="D18" i="4"/>
  <c r="D12" i="4"/>
  <c r="I5" i="4"/>
  <c r="I19" i="4"/>
  <c r="K159" i="4"/>
  <c r="K27" i="4"/>
  <c r="K19" i="4"/>
  <c r="D17" i="4"/>
  <c r="D11" i="4"/>
  <c r="H5" i="4"/>
  <c r="E62" i="1"/>
  <c r="E55" i="1"/>
  <c r="D59" i="1"/>
  <c r="E51" i="1"/>
  <c r="B44" i="1"/>
  <c r="B38" i="1"/>
  <c r="B28" i="1"/>
  <c r="B22" i="1"/>
  <c r="D51" i="1"/>
  <c r="E21" i="1"/>
  <c r="B35" i="1"/>
  <c r="E61" i="1"/>
  <c r="E53" i="1"/>
  <c r="D57" i="1"/>
  <c r="C51" i="1"/>
  <c r="D42" i="1"/>
  <c r="D21" i="1"/>
  <c r="E60" i="1"/>
  <c r="E52" i="1"/>
  <c r="D56" i="1"/>
  <c r="B51" i="1"/>
  <c r="C42" i="1"/>
  <c r="C32" i="1"/>
  <c r="C25" i="1"/>
  <c r="C21" i="1"/>
  <c r="E12" i="1"/>
  <c r="E58" i="1"/>
  <c r="D54" i="1"/>
  <c r="E44" i="1"/>
  <c r="E22" i="1"/>
  <c r="D61" i="1"/>
  <c r="D44" i="1"/>
  <c r="C29" i="1"/>
  <c r="G12" i="1"/>
  <c r="E56" i="1"/>
  <c r="D52" i="1"/>
  <c r="C38" i="1"/>
  <c r="C22" i="1"/>
  <c r="A1" i="1"/>
  <c r="D58" i="1"/>
  <c r="E25" i="1"/>
  <c r="D25" i="1"/>
  <c r="B9" i="1"/>
  <c r="E59" i="1"/>
  <c r="D62" i="1"/>
  <c r="D55" i="1"/>
  <c r="A50" i="1"/>
  <c r="B42" i="1"/>
  <c r="C33" i="1"/>
  <c r="B25" i="1"/>
  <c r="B21" i="1"/>
  <c r="A8" i="1"/>
  <c r="C40" i="1"/>
  <c r="B31" i="1"/>
  <c r="A17" i="1"/>
  <c r="B6" i="1"/>
  <c r="E57" i="1"/>
  <c r="D53" i="1"/>
  <c r="C39" i="1"/>
  <c r="D22" i="1"/>
  <c r="A4" i="1"/>
  <c r="D60" i="1"/>
  <c r="C44" i="1"/>
  <c r="C26" i="1"/>
  <c r="E54" i="1"/>
  <c r="E42" i="1"/>
  <c r="C36" i="1"/>
  <c r="B10" i="1"/>
  <c r="F13" i="1"/>
  <c r="C74" i="20" l="1"/>
  <c r="B74" i="20"/>
  <c r="C73" i="20"/>
  <c r="B73" i="20"/>
  <c r="C72" i="20"/>
  <c r="B72" i="20"/>
  <c r="C71" i="20"/>
  <c r="B71" i="20"/>
  <c r="C70" i="20"/>
  <c r="B70" i="20"/>
  <c r="C69" i="20"/>
  <c r="B69" i="20"/>
  <c r="C68" i="20"/>
  <c r="B68" i="20"/>
  <c r="C67" i="20"/>
  <c r="B67" i="20"/>
  <c r="C66" i="20"/>
  <c r="B66" i="20"/>
  <c r="C240" i="20"/>
  <c r="D296" i="8"/>
  <c r="D232" i="8"/>
  <c r="G190" i="7"/>
  <c r="G185" i="7"/>
  <c r="G179" i="7"/>
  <c r="G174" i="7"/>
  <c r="G170" i="7"/>
  <c r="G169" i="7"/>
  <c r="G161" i="7"/>
  <c r="G156" i="7"/>
  <c r="G151" i="7"/>
  <c r="G144" i="7"/>
  <c r="G139" i="7"/>
  <c r="G24" i="7"/>
  <c r="G18" i="7"/>
  <c r="G97" i="7"/>
  <c r="G92" i="7"/>
  <c r="G88" i="7"/>
  <c r="G83" i="7"/>
  <c r="G81" i="7"/>
  <c r="G80" i="7"/>
  <c r="G79" i="7"/>
  <c r="G42" i="7"/>
  <c r="G10" i="7"/>
  <c r="G9" i="7"/>
  <c r="B171" i="26" l="1"/>
  <c r="B170" i="26"/>
  <c r="P259" i="8"/>
  <c r="P323" i="8"/>
  <c r="L86" i="8"/>
  <c r="D257" i="8" s="1"/>
  <c r="L84" i="8"/>
  <c r="D136" i="8" s="1"/>
  <c r="L85" i="8"/>
  <c r="D256" i="8" s="1"/>
  <c r="L87" i="8"/>
  <c r="D319" i="8" s="1"/>
  <c r="D149" i="14"/>
  <c r="D148" i="14"/>
  <c r="D19" i="14"/>
  <c r="E131" i="14"/>
  <c r="E152" i="14"/>
  <c r="E151" i="14"/>
  <c r="E129" i="14"/>
  <c r="E73" i="14"/>
  <c r="E67" i="14"/>
  <c r="D69" i="14"/>
  <c r="E72" i="14"/>
  <c r="E71" i="14"/>
  <c r="D135" i="8" l="1"/>
  <c r="D184" i="8"/>
  <c r="D320" i="8"/>
  <c r="D321" i="8"/>
  <c r="D322" i="8"/>
  <c r="D185" i="8"/>
  <c r="D187" i="8"/>
  <c r="D258" i="8"/>
  <c r="D254" i="8"/>
  <c r="D318" i="8"/>
  <c r="D255" i="8"/>
  <c r="L43" i="8" l="1"/>
  <c r="K43" i="8"/>
  <c r="L41" i="8"/>
  <c r="L42" i="8" s="1"/>
  <c r="K41" i="8"/>
  <c r="K42" i="8" s="1"/>
  <c r="H209" i="4"/>
  <c r="G209" i="4" s="1"/>
  <c r="H204" i="4"/>
  <c r="G204" i="4" s="1"/>
  <c r="X106" i="22"/>
  <c r="X105" i="22"/>
  <c r="X104" i="22"/>
  <c r="X103" i="22"/>
  <c r="X102" i="22"/>
  <c r="X101" i="22"/>
  <c r="X100" i="22"/>
  <c r="X99" i="22"/>
  <c r="X98" i="22"/>
  <c r="J43" i="8" l="1"/>
  <c r="J41" i="8"/>
  <c r="J42" i="8" s="1"/>
  <c r="I110" i="21" l="1"/>
  <c r="H110" i="21"/>
  <c r="G110" i="21"/>
  <c r="F110" i="21"/>
  <c r="E110" i="21"/>
  <c r="D110" i="21"/>
  <c r="D104" i="21"/>
  <c r="D105" i="21" s="1"/>
  <c r="D102" i="21"/>
  <c r="D103" i="21" s="1"/>
  <c r="E102" i="21" s="1"/>
  <c r="E105" i="21" l="1"/>
  <c r="E104" i="21"/>
  <c r="F104" i="21" l="1"/>
  <c r="F105" i="21"/>
  <c r="G104" i="21" l="1"/>
  <c r="G105" i="21"/>
  <c r="H105" i="21" l="1"/>
  <c r="H104" i="21"/>
  <c r="I104" i="21" l="1"/>
  <c r="I105" i="21"/>
  <c r="I80" i="21" l="1"/>
  <c r="H80" i="21"/>
  <c r="G80" i="21"/>
  <c r="F80" i="21"/>
  <c r="E80" i="21"/>
  <c r="D80" i="21"/>
  <c r="D78" i="21"/>
  <c r="I72" i="21"/>
  <c r="H72" i="21"/>
  <c r="G72" i="21"/>
  <c r="F72" i="21"/>
  <c r="E72" i="21"/>
  <c r="D72" i="21"/>
  <c r="I67" i="21"/>
  <c r="H67" i="21"/>
  <c r="G67" i="21"/>
  <c r="F67" i="21"/>
  <c r="E67" i="21"/>
  <c r="D67" i="21"/>
  <c r="I65" i="21"/>
  <c r="H65" i="21"/>
  <c r="G65" i="21"/>
  <c r="F65" i="21"/>
  <c r="E65" i="21"/>
  <c r="D65" i="21"/>
  <c r="I63" i="21"/>
  <c r="H63" i="21"/>
  <c r="G63" i="21"/>
  <c r="F63" i="21"/>
  <c r="D63" i="21"/>
  <c r="E66" i="4"/>
  <c r="E44" i="4" l="1"/>
  <c r="G133" i="7" l="1"/>
  <c r="G132" i="7"/>
  <c r="I131" i="7"/>
  <c r="G131" i="7"/>
  <c r="G127" i="7"/>
  <c r="G126" i="7"/>
  <c r="I125" i="7"/>
  <c r="D379" i="8" s="1"/>
  <c r="G125" i="7"/>
  <c r="H270" i="8"/>
  <c r="G270" i="8"/>
  <c r="F270" i="8"/>
  <c r="H203" i="8"/>
  <c r="G203" i="8"/>
  <c r="F203" i="8"/>
  <c r="I203" i="8"/>
  <c r="I32" i="8"/>
  <c r="H32" i="8"/>
  <c r="G32" i="8"/>
  <c r="F32" i="8"/>
  <c r="K161" i="8" l="1"/>
  <c r="N161" i="8"/>
  <c r="L161" i="8"/>
  <c r="L160" i="8"/>
  <c r="L159" i="8"/>
  <c r="O161" i="8"/>
  <c r="M161" i="8"/>
  <c r="O116" i="8"/>
  <c r="M116" i="8"/>
  <c r="N116" i="8"/>
  <c r="L116" i="8"/>
  <c r="K116" i="8"/>
  <c r="D306" i="8"/>
  <c r="D305" i="8"/>
  <c r="D302" i="8"/>
  <c r="D301" i="8"/>
  <c r="D242" i="8"/>
  <c r="D241" i="8"/>
  <c r="D239" i="8"/>
  <c r="D238" i="8"/>
  <c r="D237" i="8"/>
  <c r="D171" i="8"/>
  <c r="D170" i="8"/>
  <c r="D169" i="8"/>
  <c r="D168" i="8"/>
  <c r="D167" i="8"/>
  <c r="D124" i="8"/>
  <c r="D122" i="8"/>
  <c r="D121" i="8"/>
  <c r="D349" i="8" l="1"/>
  <c r="D348" i="8"/>
  <c r="D346" i="8"/>
  <c r="D345" i="8"/>
  <c r="D343" i="8"/>
  <c r="D342" i="8"/>
  <c r="D351" i="8"/>
  <c r="D340" i="8"/>
  <c r="D339" i="8"/>
  <c r="D337" i="8"/>
  <c r="D335" i="8"/>
  <c r="D334" i="8"/>
  <c r="D332" i="8"/>
  <c r="D330" i="8"/>
  <c r="D329" i="8"/>
  <c r="D297" i="8"/>
  <c r="D308" i="8" s="1"/>
  <c r="D292" i="8"/>
  <c r="D303" i="8" s="1"/>
  <c r="D233" i="8"/>
  <c r="D244" i="8" s="1"/>
  <c r="G86" i="7"/>
  <c r="D266" i="8" l="1"/>
  <c r="D267" i="8" s="1"/>
  <c r="P296" i="8"/>
  <c r="I270" i="8"/>
  <c r="P232" i="8"/>
  <c r="D194" i="8"/>
  <c r="D195" i="8" s="1"/>
  <c r="K322" i="8" l="1"/>
  <c r="L322" i="8"/>
  <c r="M322" i="8"/>
  <c r="O322" i="8"/>
  <c r="N322" i="8"/>
  <c r="J322" i="8"/>
  <c r="M258" i="8"/>
  <c r="L258" i="8"/>
  <c r="K258" i="8"/>
  <c r="O258" i="8"/>
  <c r="J258" i="8"/>
  <c r="N258" i="8"/>
  <c r="J243" i="8"/>
  <c r="J307" i="8"/>
  <c r="P307" i="8" l="1"/>
  <c r="N314" i="8" s="1"/>
  <c r="P243" i="8"/>
  <c r="N250" i="8" s="1"/>
  <c r="P322" i="8"/>
  <c r="P258" i="8"/>
  <c r="P162" i="8"/>
  <c r="L172" i="51"/>
  <c r="N172" i="51" s="1"/>
  <c r="K172" i="51"/>
  <c r="M172" i="51" s="1"/>
  <c r="L171" i="51"/>
  <c r="N171" i="51" s="1"/>
  <c r="K171" i="51"/>
  <c r="M171" i="51" s="1"/>
  <c r="L170" i="51"/>
  <c r="N170" i="51" s="1"/>
  <c r="K170" i="51"/>
  <c r="M170" i="51" s="1"/>
  <c r="L169" i="51"/>
  <c r="N169" i="51" s="1"/>
  <c r="K169" i="51"/>
  <c r="M169" i="51" s="1"/>
  <c r="L168" i="51"/>
  <c r="N168" i="51" s="1"/>
  <c r="K168" i="51"/>
  <c r="M168" i="51" s="1"/>
  <c r="L167" i="51"/>
  <c r="N167" i="51" s="1"/>
  <c r="K167" i="51"/>
  <c r="M167" i="51" s="1"/>
  <c r="L166" i="51"/>
  <c r="N166" i="51" s="1"/>
  <c r="K166" i="51"/>
  <c r="M166" i="51" s="1"/>
  <c r="L165" i="51"/>
  <c r="N165" i="51" s="1"/>
  <c r="K165" i="51"/>
  <c r="M165" i="51" s="1"/>
  <c r="L164" i="51"/>
  <c r="N164" i="51" s="1"/>
  <c r="K164" i="51"/>
  <c r="M164" i="51" s="1"/>
  <c r="L163" i="51"/>
  <c r="N163" i="51" s="1"/>
  <c r="K163" i="51"/>
  <c r="M163" i="51" s="1"/>
  <c r="L162" i="51"/>
  <c r="N162" i="51" s="1"/>
  <c r="K162" i="51"/>
  <c r="M162" i="51" s="1"/>
  <c r="L161" i="51"/>
  <c r="N161" i="51" s="1"/>
  <c r="K161" i="51"/>
  <c r="M161" i="51" s="1"/>
  <c r="L160" i="51"/>
  <c r="N160" i="51" s="1"/>
  <c r="K160" i="51"/>
  <c r="M160" i="51" s="1"/>
  <c r="L159" i="51"/>
  <c r="N159" i="51" s="1"/>
  <c r="K159" i="51"/>
  <c r="M159" i="51" s="1"/>
  <c r="L158" i="51"/>
  <c r="N158" i="51" s="1"/>
  <c r="K158" i="51"/>
  <c r="M158" i="51" s="1"/>
  <c r="L157" i="51"/>
  <c r="N157" i="51" s="1"/>
  <c r="K157" i="51"/>
  <c r="M157" i="51" s="1"/>
  <c r="L156" i="51"/>
  <c r="N156" i="51" s="1"/>
  <c r="K156" i="51"/>
  <c r="M156" i="51" s="1"/>
  <c r="L155" i="51"/>
  <c r="N155" i="51" s="1"/>
  <c r="K155" i="51"/>
  <c r="M155" i="51" s="1"/>
  <c r="L154" i="51"/>
  <c r="N154" i="51" s="1"/>
  <c r="K154" i="51"/>
  <c r="M154" i="51" s="1"/>
  <c r="L153" i="51"/>
  <c r="N153" i="51" s="1"/>
  <c r="K153" i="51"/>
  <c r="M153" i="51" s="1"/>
  <c r="L152" i="51"/>
  <c r="N152" i="51" s="1"/>
  <c r="K152" i="51"/>
  <c r="M152" i="51" s="1"/>
  <c r="L151" i="51"/>
  <c r="N151" i="51" s="1"/>
  <c r="K151" i="51"/>
  <c r="M151" i="51" s="1"/>
  <c r="L147" i="51"/>
  <c r="N147" i="51" s="1"/>
  <c r="K147" i="51"/>
  <c r="M147" i="51" s="1"/>
  <c r="L146" i="51"/>
  <c r="N146" i="51" s="1"/>
  <c r="K146" i="51"/>
  <c r="M146" i="51" s="1"/>
  <c r="L145" i="51"/>
  <c r="N145" i="51" s="1"/>
  <c r="K145" i="51"/>
  <c r="M145" i="51" s="1"/>
  <c r="L144" i="51"/>
  <c r="N144" i="51" s="1"/>
  <c r="K144" i="51"/>
  <c r="M144" i="51" s="1"/>
  <c r="L143" i="51"/>
  <c r="N143" i="51" s="1"/>
  <c r="K143" i="51"/>
  <c r="M143" i="51" s="1"/>
  <c r="L142" i="51"/>
  <c r="N142" i="51" s="1"/>
  <c r="K142" i="51"/>
  <c r="M142" i="51" s="1"/>
  <c r="L141" i="51"/>
  <c r="N141" i="51" s="1"/>
  <c r="K141" i="51"/>
  <c r="M141" i="51" s="1"/>
  <c r="L140" i="51"/>
  <c r="N140" i="51" s="1"/>
  <c r="K140" i="51"/>
  <c r="M140" i="51" s="1"/>
  <c r="L139" i="51"/>
  <c r="N139" i="51" s="1"/>
  <c r="K139" i="51"/>
  <c r="M139" i="51" s="1"/>
  <c r="L138" i="51"/>
  <c r="N138" i="51" s="1"/>
  <c r="K138" i="51"/>
  <c r="M138" i="51" s="1"/>
  <c r="L127" i="51"/>
  <c r="N127" i="51" s="1"/>
  <c r="K127" i="51"/>
  <c r="M127" i="51" s="1"/>
  <c r="L126" i="51"/>
  <c r="N126" i="51" s="1"/>
  <c r="K126" i="51"/>
  <c r="M126" i="51" s="1"/>
  <c r="L125" i="51"/>
  <c r="N125" i="51" s="1"/>
  <c r="K125" i="51"/>
  <c r="M125" i="51" s="1"/>
  <c r="L124" i="51"/>
  <c r="N124" i="51" s="1"/>
  <c r="K124" i="51"/>
  <c r="M124" i="51" s="1"/>
  <c r="L123" i="51"/>
  <c r="N123" i="51" s="1"/>
  <c r="K123" i="51"/>
  <c r="M123" i="51" s="1"/>
  <c r="L122" i="51"/>
  <c r="N122" i="51" s="1"/>
  <c r="K122" i="51"/>
  <c r="M122" i="51" s="1"/>
  <c r="L121" i="51"/>
  <c r="N121" i="51" s="1"/>
  <c r="K121" i="51"/>
  <c r="M121" i="51" s="1"/>
  <c r="L120" i="51"/>
  <c r="N120" i="51" s="1"/>
  <c r="K120" i="51"/>
  <c r="M120" i="51" s="1"/>
  <c r="L119" i="51"/>
  <c r="N119" i="51" s="1"/>
  <c r="K119" i="51"/>
  <c r="M119" i="51" s="1"/>
  <c r="L118" i="51"/>
  <c r="N118" i="51" s="1"/>
  <c r="K118" i="51"/>
  <c r="M118" i="51" s="1"/>
  <c r="L117" i="51"/>
  <c r="N117" i="51" s="1"/>
  <c r="K117" i="51"/>
  <c r="M117" i="51" s="1"/>
  <c r="L116" i="51"/>
  <c r="N116" i="51" s="1"/>
  <c r="K116" i="51"/>
  <c r="M116" i="51" s="1"/>
  <c r="L115" i="51"/>
  <c r="N115" i="51" s="1"/>
  <c r="K115" i="51"/>
  <c r="M115" i="51" s="1"/>
  <c r="L114" i="51"/>
  <c r="N114" i="51" s="1"/>
  <c r="K114" i="51"/>
  <c r="M114" i="51" s="1"/>
  <c r="L113" i="51"/>
  <c r="N113" i="51" s="1"/>
  <c r="K113" i="51"/>
  <c r="M113" i="51" s="1"/>
  <c r="L112" i="51"/>
  <c r="N112" i="51" s="1"/>
  <c r="K112" i="51"/>
  <c r="M112" i="51" s="1"/>
  <c r="L111" i="51"/>
  <c r="N111" i="51" s="1"/>
  <c r="K111" i="51"/>
  <c r="M111" i="51" s="1"/>
  <c r="L110" i="51"/>
  <c r="N110" i="51" s="1"/>
  <c r="K110" i="51"/>
  <c r="M110" i="51" s="1"/>
  <c r="L109" i="51"/>
  <c r="N109" i="51" s="1"/>
  <c r="K109" i="51"/>
  <c r="M109" i="51" s="1"/>
  <c r="L108" i="51"/>
  <c r="N108" i="51" s="1"/>
  <c r="K108" i="51"/>
  <c r="M108" i="51" s="1"/>
  <c r="L107" i="51"/>
  <c r="N107" i="51" s="1"/>
  <c r="K107" i="51"/>
  <c r="M107" i="51" s="1"/>
  <c r="L106" i="51"/>
  <c r="N106" i="51" s="1"/>
  <c r="K106" i="51"/>
  <c r="M106" i="51" s="1"/>
  <c r="L105" i="51"/>
  <c r="N105" i="51" s="1"/>
  <c r="K105" i="51"/>
  <c r="M105" i="51" s="1"/>
  <c r="L104" i="51"/>
  <c r="N104" i="51" s="1"/>
  <c r="K104" i="51"/>
  <c r="M104" i="51" s="1"/>
  <c r="L103" i="51"/>
  <c r="N103" i="51" s="1"/>
  <c r="K103" i="51"/>
  <c r="M103" i="51" s="1"/>
  <c r="L102" i="51"/>
  <c r="N102" i="51" s="1"/>
  <c r="K102" i="51"/>
  <c r="M102" i="51" s="1"/>
  <c r="L101" i="51"/>
  <c r="N101" i="51" s="1"/>
  <c r="K101" i="51"/>
  <c r="M101" i="51" s="1"/>
  <c r="L150" i="51"/>
  <c r="N150" i="51" s="1"/>
  <c r="K150" i="51"/>
  <c r="M150" i="51" s="1"/>
  <c r="L149" i="51"/>
  <c r="N149" i="51" s="1"/>
  <c r="K149" i="51"/>
  <c r="M149" i="51" s="1"/>
  <c r="L148" i="51"/>
  <c r="N148" i="51" s="1"/>
  <c r="K148" i="51"/>
  <c r="M148" i="51" s="1"/>
  <c r="L137" i="51"/>
  <c r="N137" i="51" s="1"/>
  <c r="K137" i="51"/>
  <c r="M137" i="51" s="1"/>
  <c r="L136" i="51"/>
  <c r="N136" i="51" s="1"/>
  <c r="K136" i="51"/>
  <c r="M136" i="51" s="1"/>
  <c r="L135" i="51"/>
  <c r="N135" i="51" s="1"/>
  <c r="K135" i="51"/>
  <c r="M135" i="51" s="1"/>
  <c r="L134" i="51"/>
  <c r="N134" i="51" s="1"/>
  <c r="K134" i="51"/>
  <c r="M134" i="51" s="1"/>
  <c r="L133" i="51"/>
  <c r="N133" i="51" s="1"/>
  <c r="K133" i="51"/>
  <c r="M133" i="51" s="1"/>
  <c r="L132" i="51"/>
  <c r="N132" i="51" s="1"/>
  <c r="K132" i="51"/>
  <c r="M132" i="51" s="1"/>
  <c r="L131" i="51"/>
  <c r="N131" i="51" s="1"/>
  <c r="K131" i="51"/>
  <c r="M131" i="51" s="1"/>
  <c r="L130" i="51"/>
  <c r="N130" i="51" s="1"/>
  <c r="K130" i="51"/>
  <c r="M130" i="51" s="1"/>
  <c r="L129" i="51"/>
  <c r="N129" i="51" s="1"/>
  <c r="K129" i="51"/>
  <c r="M129" i="51" s="1"/>
  <c r="L128" i="51"/>
  <c r="N128" i="51" s="1"/>
  <c r="K128" i="51"/>
  <c r="M128" i="51" s="1"/>
  <c r="L100" i="51"/>
  <c r="N100" i="51" s="1"/>
  <c r="K100" i="51"/>
  <c r="M100" i="51" s="1"/>
  <c r="L99" i="51"/>
  <c r="N99" i="51" s="1"/>
  <c r="K99" i="51"/>
  <c r="M99" i="51" s="1"/>
  <c r="L98" i="51"/>
  <c r="N98" i="51" s="1"/>
  <c r="K98" i="51"/>
  <c r="M98" i="51" s="1"/>
  <c r="L97" i="51"/>
  <c r="N97" i="51" s="1"/>
  <c r="K97" i="51"/>
  <c r="M97" i="51" s="1"/>
  <c r="L96" i="51"/>
  <c r="N96" i="51" s="1"/>
  <c r="K96" i="51"/>
  <c r="M96" i="51" s="1"/>
  <c r="L95" i="51"/>
  <c r="N95" i="51" s="1"/>
  <c r="K95" i="51"/>
  <c r="M95" i="51" s="1"/>
  <c r="L94" i="51"/>
  <c r="N94" i="51" s="1"/>
  <c r="K94" i="51"/>
  <c r="M94" i="51" s="1"/>
  <c r="L93" i="51"/>
  <c r="N93" i="51" s="1"/>
  <c r="K93" i="51"/>
  <c r="M93" i="51" s="1"/>
  <c r="L92" i="51"/>
  <c r="N92" i="51" s="1"/>
  <c r="K92" i="51"/>
  <c r="M92" i="51" s="1"/>
  <c r="L91" i="51"/>
  <c r="N91" i="51" s="1"/>
  <c r="K91" i="51"/>
  <c r="M91" i="51" s="1"/>
  <c r="L90" i="51"/>
  <c r="N90" i="51" s="1"/>
  <c r="K90" i="51"/>
  <c r="M90" i="51" s="1"/>
  <c r="L89" i="51"/>
  <c r="N89" i="51" s="1"/>
  <c r="K89" i="51"/>
  <c r="M89" i="51" s="1"/>
  <c r="L88" i="51"/>
  <c r="N88" i="51" s="1"/>
  <c r="K88" i="51"/>
  <c r="M88" i="51" s="1"/>
  <c r="L87" i="51"/>
  <c r="N87" i="51" s="1"/>
  <c r="K87" i="51"/>
  <c r="M87" i="51" s="1"/>
  <c r="L86" i="51"/>
  <c r="N86" i="51" s="1"/>
  <c r="K86" i="51"/>
  <c r="M86" i="51" s="1"/>
  <c r="L85" i="51"/>
  <c r="N85" i="51" s="1"/>
  <c r="K85" i="51"/>
  <c r="M85" i="51" s="1"/>
  <c r="L84" i="51"/>
  <c r="N84" i="51" s="1"/>
  <c r="K84" i="51"/>
  <c r="M84" i="51" s="1"/>
  <c r="L83" i="51"/>
  <c r="N83" i="51" s="1"/>
  <c r="K83" i="51"/>
  <c r="M83" i="51" s="1"/>
  <c r="L82" i="51"/>
  <c r="N82" i="51" s="1"/>
  <c r="K82" i="51"/>
  <c r="M82" i="51" s="1"/>
  <c r="L81" i="51"/>
  <c r="N81" i="51" s="1"/>
  <c r="K81" i="51"/>
  <c r="M81" i="51" s="1"/>
  <c r="L80" i="51"/>
  <c r="N80" i="51" s="1"/>
  <c r="K80" i="51"/>
  <c r="M80" i="51" s="1"/>
  <c r="L79" i="51"/>
  <c r="N79" i="51" s="1"/>
  <c r="K79" i="51"/>
  <c r="M79" i="51" s="1"/>
  <c r="L78" i="51"/>
  <c r="N78" i="51" s="1"/>
  <c r="K78" i="51"/>
  <c r="M78" i="51" s="1"/>
  <c r="L77" i="51"/>
  <c r="N77" i="51" s="1"/>
  <c r="K77" i="51"/>
  <c r="M77" i="51" s="1"/>
  <c r="L76" i="51"/>
  <c r="N76" i="51" s="1"/>
  <c r="K76" i="51"/>
  <c r="M76" i="51" s="1"/>
  <c r="L75" i="51"/>
  <c r="N75" i="51" s="1"/>
  <c r="K75" i="51"/>
  <c r="M75" i="51" s="1"/>
  <c r="L74" i="51"/>
  <c r="N74" i="51" s="1"/>
  <c r="K74" i="51"/>
  <c r="M74" i="51" s="1"/>
  <c r="A320" i="51"/>
  <c r="A319" i="51"/>
  <c r="A318" i="51"/>
  <c r="A317" i="51"/>
  <c r="A316" i="51"/>
  <c r="A315" i="51"/>
  <c r="A314" i="51"/>
  <c r="A313" i="51"/>
  <c r="A312" i="51"/>
  <c r="A311" i="51"/>
  <c r="A310" i="51"/>
  <c r="A309" i="51"/>
  <c r="A308" i="51"/>
  <c r="A307" i="51"/>
  <c r="A306" i="51"/>
  <c r="A305" i="51"/>
  <c r="A304" i="51"/>
  <c r="A303" i="51"/>
  <c r="A302" i="51"/>
  <c r="A301" i="51"/>
  <c r="A300" i="51"/>
  <c r="A299" i="51"/>
  <c r="A298" i="51"/>
  <c r="A297" i="51"/>
  <c r="A296" i="51"/>
  <c r="A295" i="51"/>
  <c r="A294" i="51"/>
  <c r="A293" i="51"/>
  <c r="A292" i="51"/>
  <c r="A291" i="51"/>
  <c r="A290" i="51"/>
  <c r="A289" i="51"/>
  <c r="A288" i="51"/>
  <c r="A287" i="51"/>
  <c r="A286" i="51"/>
  <c r="A285" i="51"/>
  <c r="A284" i="51"/>
  <c r="A283" i="51"/>
  <c r="A282" i="51"/>
  <c r="A281" i="51"/>
  <c r="A280" i="51"/>
  <c r="A279" i="51"/>
  <c r="A278" i="51"/>
  <c r="A277" i="51"/>
  <c r="A276" i="51"/>
  <c r="A275" i="51"/>
  <c r="A274" i="51"/>
  <c r="A273" i="51"/>
  <c r="A272" i="51"/>
  <c r="A271" i="51"/>
  <c r="A270" i="51"/>
  <c r="A269" i="51"/>
  <c r="A268" i="51"/>
  <c r="A267" i="51"/>
  <c r="A266" i="51"/>
  <c r="A265" i="51"/>
  <c r="A264" i="51"/>
  <c r="A263" i="51"/>
  <c r="A262" i="51"/>
  <c r="A261" i="51"/>
  <c r="A260" i="51"/>
  <c r="A259" i="51"/>
  <c r="A258" i="51"/>
  <c r="A257" i="51"/>
  <c r="A256" i="51"/>
  <c r="A255" i="51"/>
  <c r="A254" i="51"/>
  <c r="A253" i="51"/>
  <c r="A252" i="51"/>
  <c r="A251" i="51"/>
  <c r="A250" i="51"/>
  <c r="A249" i="51"/>
  <c r="A248" i="51"/>
  <c r="A247" i="51"/>
  <c r="A246" i="51"/>
  <c r="A245" i="51"/>
  <c r="A244" i="51"/>
  <c r="A243" i="51"/>
  <c r="A242" i="51"/>
  <c r="A241" i="51"/>
  <c r="A240" i="51"/>
  <c r="A239" i="51"/>
  <c r="A238" i="51"/>
  <c r="A237" i="51"/>
  <c r="A236" i="51"/>
  <c r="A235" i="51"/>
  <c r="A234" i="51"/>
  <c r="A233" i="51"/>
  <c r="A232" i="51"/>
  <c r="A231" i="51"/>
  <c r="A230" i="51"/>
  <c r="A229" i="51"/>
  <c r="A228" i="51"/>
  <c r="A227" i="51"/>
  <c r="A226" i="51"/>
  <c r="A225" i="51"/>
  <c r="A224" i="51"/>
  <c r="A223" i="51"/>
  <c r="A222" i="51"/>
  <c r="A221" i="51"/>
  <c r="A220" i="51"/>
  <c r="A219" i="51"/>
  <c r="A218" i="51"/>
  <c r="A217" i="51"/>
  <c r="A216" i="51"/>
  <c r="A215" i="51"/>
  <c r="A214" i="51"/>
  <c r="A213" i="51"/>
  <c r="A212" i="51"/>
  <c r="A211" i="51"/>
  <c r="A210" i="51"/>
  <c r="A209" i="51"/>
  <c r="A208" i="51"/>
  <c r="A207" i="51"/>
  <c r="A206" i="51"/>
  <c r="A205" i="51"/>
  <c r="A204" i="51"/>
  <c r="A203" i="51"/>
  <c r="A202" i="51"/>
  <c r="A201" i="51"/>
  <c r="A200" i="51"/>
  <c r="A199" i="51"/>
  <c r="A198" i="51"/>
  <c r="A197" i="51"/>
  <c r="A196" i="51"/>
  <c r="A195" i="51"/>
  <c r="A194" i="51"/>
  <c r="A193" i="51"/>
  <c r="A192" i="51"/>
  <c r="A191" i="51"/>
  <c r="A190" i="51"/>
  <c r="A189" i="51"/>
  <c r="A188" i="51"/>
  <c r="A187" i="51"/>
  <c r="A186" i="51"/>
  <c r="A185" i="51"/>
  <c r="A184" i="51"/>
  <c r="A183" i="51"/>
  <c r="A172" i="51"/>
  <c r="A171" i="51"/>
  <c r="A170" i="51"/>
  <c r="A169" i="51"/>
  <c r="A168" i="51"/>
  <c r="A167" i="51"/>
  <c r="A166" i="51"/>
  <c r="A165" i="51"/>
  <c r="A164" i="51"/>
  <c r="A163" i="51"/>
  <c r="A162" i="51"/>
  <c r="A161" i="51"/>
  <c r="A160" i="51"/>
  <c r="A159" i="51"/>
  <c r="A158" i="51"/>
  <c r="A157" i="51"/>
  <c r="A156" i="51"/>
  <c r="A155" i="51"/>
  <c r="A154" i="51"/>
  <c r="A182" i="51"/>
  <c r="A181" i="51"/>
  <c r="A180" i="51"/>
  <c r="A179" i="51"/>
  <c r="A178" i="51"/>
  <c r="A177" i="51"/>
  <c r="A176" i="51"/>
  <c r="A175" i="51"/>
  <c r="L73" i="51"/>
  <c r="N73" i="51" s="1"/>
  <c r="K73" i="51"/>
  <c r="M73" i="51" s="1"/>
  <c r="L72" i="51"/>
  <c r="N72" i="51" s="1"/>
  <c r="K72" i="51"/>
  <c r="M72" i="51" s="1"/>
  <c r="L71" i="51"/>
  <c r="N71" i="51" s="1"/>
  <c r="K71" i="51"/>
  <c r="M71" i="51" s="1"/>
  <c r="L70" i="51"/>
  <c r="N70" i="51" s="1"/>
  <c r="K70" i="51"/>
  <c r="M70" i="51" s="1"/>
  <c r="L69" i="51"/>
  <c r="N69" i="51" s="1"/>
  <c r="K69" i="51"/>
  <c r="M69" i="51" s="1"/>
  <c r="L68" i="51"/>
  <c r="N68" i="51" s="1"/>
  <c r="K68" i="51"/>
  <c r="M68" i="51" s="1"/>
  <c r="L67" i="51"/>
  <c r="N67" i="51" s="1"/>
  <c r="K67" i="51"/>
  <c r="M67" i="51" s="1"/>
  <c r="L66" i="51"/>
  <c r="N66" i="51" s="1"/>
  <c r="K66" i="51"/>
  <c r="M66" i="51" s="1"/>
  <c r="L65" i="51"/>
  <c r="N65" i="51" s="1"/>
  <c r="K65" i="51"/>
  <c r="M65" i="51" s="1"/>
  <c r="L64" i="51"/>
  <c r="N64" i="51" s="1"/>
  <c r="K64" i="51"/>
  <c r="M64" i="51" s="1"/>
  <c r="L63" i="51"/>
  <c r="N63" i="51" s="1"/>
  <c r="K63" i="51"/>
  <c r="M63" i="51" s="1"/>
  <c r="L62" i="51"/>
  <c r="N62" i="51" s="1"/>
  <c r="K62" i="51"/>
  <c r="M62" i="51" s="1"/>
  <c r="L61" i="51"/>
  <c r="N61" i="51" s="1"/>
  <c r="K61" i="51"/>
  <c r="M61" i="51" s="1"/>
  <c r="L60" i="51"/>
  <c r="N60" i="51" s="1"/>
  <c r="K60" i="51"/>
  <c r="M60" i="51" s="1"/>
  <c r="L59" i="51"/>
  <c r="N59" i="51" s="1"/>
  <c r="K59" i="51"/>
  <c r="M59" i="51" s="1"/>
  <c r="L58" i="51"/>
  <c r="N58" i="51" s="1"/>
  <c r="K58" i="51"/>
  <c r="M58" i="51" s="1"/>
  <c r="L57" i="51"/>
  <c r="N57" i="51" s="1"/>
  <c r="K57" i="51"/>
  <c r="M57" i="51" s="1"/>
  <c r="L56" i="51"/>
  <c r="N56" i="51" s="1"/>
  <c r="K56" i="51"/>
  <c r="M56" i="51" s="1"/>
  <c r="L55" i="51"/>
  <c r="N55" i="51" s="1"/>
  <c r="K55" i="51"/>
  <c r="M55" i="51" s="1"/>
  <c r="L54" i="51"/>
  <c r="N54" i="51" s="1"/>
  <c r="K54" i="51"/>
  <c r="M54" i="51" s="1"/>
  <c r="L53" i="51"/>
  <c r="N53" i="51" s="1"/>
  <c r="K53" i="51"/>
  <c r="M53" i="51" s="1"/>
  <c r="L52" i="51"/>
  <c r="N52" i="51" s="1"/>
  <c r="K52" i="51"/>
  <c r="M52" i="51" s="1"/>
  <c r="L51" i="51"/>
  <c r="N51" i="51" s="1"/>
  <c r="K51" i="51"/>
  <c r="M51" i="51" s="1"/>
  <c r="L50" i="51"/>
  <c r="N50" i="51" s="1"/>
  <c r="K50" i="51"/>
  <c r="M50" i="51" s="1"/>
  <c r="L49" i="51"/>
  <c r="N49" i="51" s="1"/>
  <c r="K49" i="51"/>
  <c r="M49" i="51" s="1"/>
  <c r="L48" i="51"/>
  <c r="N48" i="51" s="1"/>
  <c r="K48" i="51"/>
  <c r="M48" i="51" s="1"/>
  <c r="L47" i="51"/>
  <c r="N47" i="51" s="1"/>
  <c r="K47" i="51"/>
  <c r="M47" i="51" s="1"/>
  <c r="L46" i="51"/>
  <c r="N46" i="51" s="1"/>
  <c r="K46" i="51"/>
  <c r="M46" i="51" s="1"/>
  <c r="L45" i="51"/>
  <c r="N45" i="51" s="1"/>
  <c r="K45" i="51"/>
  <c r="M45" i="51" s="1"/>
  <c r="L44" i="51"/>
  <c r="N44" i="51" s="1"/>
  <c r="K44" i="51"/>
  <c r="M44" i="51" s="1"/>
  <c r="L43" i="51"/>
  <c r="N43" i="51" s="1"/>
  <c r="K43" i="51"/>
  <c r="M43" i="51" s="1"/>
  <c r="L42" i="51"/>
  <c r="N42" i="51" s="1"/>
  <c r="K42" i="51"/>
  <c r="M42" i="51" s="1"/>
  <c r="L41" i="51"/>
  <c r="N41" i="51" s="1"/>
  <c r="K41" i="51"/>
  <c r="M41" i="51" s="1"/>
  <c r="L40" i="51"/>
  <c r="N40" i="51" s="1"/>
  <c r="K40" i="51"/>
  <c r="M40" i="51" s="1"/>
  <c r="L39" i="51"/>
  <c r="N39" i="51" s="1"/>
  <c r="K39" i="51"/>
  <c r="M39" i="51" s="1"/>
  <c r="L38" i="51"/>
  <c r="N38" i="51" s="1"/>
  <c r="K38" i="51"/>
  <c r="M38" i="51" s="1"/>
  <c r="L37" i="51"/>
  <c r="N37" i="51" s="1"/>
  <c r="K37" i="51"/>
  <c r="M37" i="51" s="1"/>
  <c r="L36" i="51"/>
  <c r="N36" i="51" s="1"/>
  <c r="K36" i="51"/>
  <c r="M36" i="51" s="1"/>
  <c r="L182" i="51"/>
  <c r="N182" i="51" s="1"/>
  <c r="K182" i="51"/>
  <c r="M182" i="51" s="1"/>
  <c r="L181" i="51"/>
  <c r="N181" i="51" s="1"/>
  <c r="K181" i="51"/>
  <c r="M181" i="51" s="1"/>
  <c r="L180" i="51"/>
  <c r="N180" i="51" s="1"/>
  <c r="K180" i="51"/>
  <c r="M180" i="51" s="1"/>
  <c r="L179" i="51"/>
  <c r="N179" i="51" s="1"/>
  <c r="K179" i="51"/>
  <c r="M179" i="51" s="1"/>
  <c r="L178" i="51"/>
  <c r="N178" i="51" s="1"/>
  <c r="K178" i="51"/>
  <c r="M178" i="51" s="1"/>
  <c r="L177" i="51"/>
  <c r="N177" i="51" s="1"/>
  <c r="K177" i="51"/>
  <c r="M177" i="51" s="1"/>
  <c r="L176" i="51"/>
  <c r="N176" i="51" s="1"/>
  <c r="K176" i="51"/>
  <c r="M176" i="51" s="1"/>
  <c r="L175" i="51"/>
  <c r="N175" i="51" s="1"/>
  <c r="K175" i="51"/>
  <c r="M175" i="51" s="1"/>
  <c r="L32" i="51"/>
  <c r="N32" i="51" s="1"/>
  <c r="K32" i="51"/>
  <c r="M32" i="51" s="1"/>
  <c r="L31" i="51"/>
  <c r="N31" i="51" s="1"/>
  <c r="K31" i="51"/>
  <c r="M31" i="51" s="1"/>
  <c r="L30" i="51"/>
  <c r="N30" i="51" s="1"/>
  <c r="K30" i="51"/>
  <c r="M30" i="51" s="1"/>
  <c r="L29" i="51"/>
  <c r="N29" i="51" s="1"/>
  <c r="K29" i="51"/>
  <c r="M29" i="51" s="1"/>
  <c r="L28" i="51"/>
  <c r="N28" i="51" s="1"/>
  <c r="K28" i="51"/>
  <c r="M28" i="51" s="1"/>
  <c r="L27" i="51"/>
  <c r="N27" i="51" s="1"/>
  <c r="K27" i="51"/>
  <c r="M27" i="51" s="1"/>
  <c r="L26" i="51"/>
  <c r="N26" i="51" s="1"/>
  <c r="K26" i="51"/>
  <c r="M26" i="51" s="1"/>
  <c r="L25" i="51"/>
  <c r="N25" i="51" s="1"/>
  <c r="K25" i="51"/>
  <c r="M25" i="51" s="1"/>
  <c r="L24" i="51"/>
  <c r="N24" i="51" s="1"/>
  <c r="K24" i="51"/>
  <c r="M24" i="51" s="1"/>
  <c r="L23" i="51"/>
  <c r="N23" i="51" s="1"/>
  <c r="K23" i="51"/>
  <c r="M23" i="51" s="1"/>
  <c r="L22" i="51"/>
  <c r="N22" i="51" s="1"/>
  <c r="K22" i="51"/>
  <c r="M22" i="51" s="1"/>
  <c r="L21" i="51"/>
  <c r="N21" i="51" s="1"/>
  <c r="K21" i="51"/>
  <c r="M21" i="51" s="1"/>
  <c r="L20" i="51"/>
  <c r="N20" i="51" s="1"/>
  <c r="K20" i="51"/>
  <c r="M20" i="51" s="1"/>
  <c r="L19" i="51"/>
  <c r="N19" i="51" s="1"/>
  <c r="K19" i="51"/>
  <c r="M19" i="51" s="1"/>
  <c r="L18" i="51"/>
  <c r="N18" i="51" s="1"/>
  <c r="K18" i="51"/>
  <c r="M18" i="51" s="1"/>
  <c r="L17" i="51"/>
  <c r="N17" i="51" s="1"/>
  <c r="K17" i="51"/>
  <c r="M17" i="51" s="1"/>
  <c r="L16" i="51"/>
  <c r="N16" i="51" s="1"/>
  <c r="K16" i="51"/>
  <c r="M16" i="51" s="1"/>
  <c r="L15" i="51"/>
  <c r="N15" i="51" s="1"/>
  <c r="K15" i="51"/>
  <c r="M15" i="51" s="1"/>
  <c r="L14" i="51"/>
  <c r="N14" i="51" s="1"/>
  <c r="K14" i="51"/>
  <c r="M14" i="51" s="1"/>
  <c r="L13" i="51"/>
  <c r="N13" i="51" s="1"/>
  <c r="K13" i="51"/>
  <c r="M13" i="51" s="1"/>
  <c r="L12" i="51"/>
  <c r="N12" i="51" s="1"/>
  <c r="K12" i="51"/>
  <c r="M12" i="51" s="1"/>
  <c r="L11" i="51"/>
  <c r="N11" i="51" s="1"/>
  <c r="K11" i="51"/>
  <c r="M11" i="51" s="1"/>
  <c r="L10" i="51"/>
  <c r="N10" i="51" s="1"/>
  <c r="K10" i="51"/>
  <c r="M10" i="51" s="1"/>
  <c r="L9" i="51"/>
  <c r="N9" i="51" s="1"/>
  <c r="M9" i="51"/>
  <c r="L8" i="51"/>
  <c r="N8" i="51" s="1"/>
  <c r="M8" i="51"/>
  <c r="L7" i="51"/>
  <c r="N7" i="51" s="1"/>
  <c r="K7" i="51"/>
  <c r="M7" i="51" s="1"/>
  <c r="L6" i="51"/>
  <c r="N6" i="51" s="1"/>
  <c r="K6" i="51"/>
  <c r="M6" i="51" s="1"/>
  <c r="L5" i="51"/>
  <c r="N5" i="51" s="1"/>
  <c r="K5" i="51"/>
  <c r="M5" i="51" s="1"/>
  <c r="L4" i="51"/>
  <c r="N4" i="51" s="1"/>
  <c r="K4" i="51"/>
  <c r="M4" i="51" s="1"/>
  <c r="L3" i="51"/>
  <c r="N3" i="51" s="1"/>
  <c r="K3" i="51"/>
  <c r="M3" i="51" s="1"/>
  <c r="L2" i="51"/>
  <c r="N2" i="51" s="1"/>
  <c r="K2" i="51"/>
  <c r="M2" i="51" s="1"/>
  <c r="T153" i="51"/>
  <c r="S153" i="51"/>
  <c r="T152" i="51"/>
  <c r="S152" i="51"/>
  <c r="T151" i="51"/>
  <c r="S151" i="51"/>
  <c r="T147" i="51"/>
  <c r="S147" i="51"/>
  <c r="T146" i="51"/>
  <c r="S146" i="51"/>
  <c r="T145" i="51"/>
  <c r="S145" i="51"/>
  <c r="I144" i="51"/>
  <c r="T143" i="51"/>
  <c r="S143" i="51"/>
  <c r="T141" i="51"/>
  <c r="S141" i="51"/>
  <c r="T139" i="51"/>
  <c r="S139" i="51"/>
  <c r="T138" i="51"/>
  <c r="S138" i="51"/>
  <c r="T127" i="51"/>
  <c r="S127" i="51"/>
  <c r="I127" i="51"/>
  <c r="T126" i="51"/>
  <c r="S126" i="51"/>
  <c r="I126" i="51"/>
  <c r="T125" i="51"/>
  <c r="S125" i="51"/>
  <c r="T124" i="51"/>
  <c r="S124" i="51"/>
  <c r="T123" i="51"/>
  <c r="S123" i="51"/>
  <c r="T122" i="51"/>
  <c r="S122" i="51"/>
  <c r="T121" i="51"/>
  <c r="S121" i="51"/>
  <c r="I121" i="51"/>
  <c r="T120" i="51"/>
  <c r="S120" i="51"/>
  <c r="T119" i="51"/>
  <c r="S119" i="51"/>
  <c r="T118" i="51"/>
  <c r="S118" i="51"/>
  <c r="T117" i="51"/>
  <c r="S117" i="51"/>
  <c r="T116" i="51"/>
  <c r="S116" i="51"/>
  <c r="T115" i="51"/>
  <c r="S115" i="51"/>
  <c r="I115" i="51"/>
  <c r="T114" i="51"/>
  <c r="S114" i="51"/>
  <c r="T113" i="51"/>
  <c r="S113" i="51"/>
  <c r="T112" i="51"/>
  <c r="S112" i="51"/>
  <c r="T111" i="51"/>
  <c r="S111" i="51"/>
  <c r="T110" i="51"/>
  <c r="S110" i="51"/>
  <c r="I110" i="51"/>
  <c r="T109" i="51"/>
  <c r="S109" i="51"/>
  <c r="T108" i="51"/>
  <c r="S108" i="51"/>
  <c r="I108" i="51"/>
  <c r="T107" i="51"/>
  <c r="S107" i="51"/>
  <c r="T106" i="51"/>
  <c r="S106" i="51"/>
  <c r="T105" i="51"/>
  <c r="S105" i="51"/>
  <c r="T104" i="51"/>
  <c r="S104" i="51"/>
  <c r="T103" i="51"/>
  <c r="S103" i="51"/>
  <c r="T102" i="51"/>
  <c r="S102" i="51"/>
  <c r="T101" i="51"/>
  <c r="S101" i="51"/>
  <c r="T243" i="51"/>
  <c r="S243" i="51"/>
  <c r="J243" i="51"/>
  <c r="T234" i="51"/>
  <c r="S234" i="51"/>
  <c r="J234" i="51"/>
  <c r="T229" i="51"/>
  <c r="S229" i="51"/>
  <c r="T228" i="51"/>
  <c r="S228" i="51"/>
  <c r="T227" i="51"/>
  <c r="S227" i="51"/>
  <c r="T226" i="51"/>
  <c r="S226" i="51"/>
  <c r="T225" i="51"/>
  <c r="S225" i="51"/>
  <c r="T224" i="51"/>
  <c r="S224" i="51"/>
  <c r="T223" i="51"/>
  <c r="S223" i="51"/>
  <c r="T222" i="51"/>
  <c r="S222" i="51"/>
  <c r="T221" i="51"/>
  <c r="S221" i="51"/>
  <c r="T220" i="51"/>
  <c r="S220" i="51"/>
  <c r="T219" i="51"/>
  <c r="S219" i="51"/>
  <c r="T218" i="51"/>
  <c r="S218" i="51"/>
  <c r="T217" i="51"/>
  <c r="S217" i="51"/>
  <c r="T216" i="51"/>
  <c r="S216" i="51"/>
  <c r="I216" i="51"/>
  <c r="T215" i="51"/>
  <c r="S215" i="51"/>
  <c r="J215" i="51"/>
  <c r="I215" i="51"/>
  <c r="I214" i="51"/>
  <c r="I213" i="51"/>
  <c r="I212" i="51"/>
  <c r="I211" i="51"/>
  <c r="I210" i="51"/>
  <c r="I209" i="51"/>
  <c r="T208" i="51"/>
  <c r="S208" i="51"/>
  <c r="J208" i="51"/>
  <c r="I208" i="51"/>
  <c r="I207" i="51"/>
  <c r="I206" i="51"/>
  <c r="I205" i="51"/>
  <c r="I204" i="51"/>
  <c r="T203" i="51"/>
  <c r="S203" i="51"/>
  <c r="J203" i="51"/>
  <c r="I203" i="51"/>
  <c r="I202" i="51"/>
  <c r="I201" i="51"/>
  <c r="I200" i="51"/>
  <c r="I199" i="51"/>
  <c r="T196" i="51"/>
  <c r="S196" i="51"/>
  <c r="I196" i="51"/>
  <c r="J195" i="51"/>
  <c r="I195" i="51"/>
  <c r="I194" i="51"/>
  <c r="I193" i="51"/>
  <c r="I192" i="51"/>
  <c r="T191" i="51"/>
  <c r="S191" i="51"/>
  <c r="I191" i="51"/>
  <c r="J190" i="51"/>
  <c r="I190" i="51"/>
  <c r="I189" i="51"/>
  <c r="I188" i="51"/>
  <c r="I187" i="51"/>
  <c r="I186" i="51"/>
  <c r="I185" i="51"/>
  <c r="I184" i="51"/>
  <c r="I183" i="51"/>
  <c r="T172" i="51"/>
  <c r="S172" i="51"/>
  <c r="T171" i="51"/>
  <c r="S171" i="51"/>
  <c r="T170" i="51"/>
  <c r="S170" i="51"/>
  <c r="T169" i="51"/>
  <c r="S169" i="51"/>
  <c r="T168" i="51"/>
  <c r="S168" i="51"/>
  <c r="T167" i="51"/>
  <c r="S167" i="51"/>
  <c r="T166" i="51"/>
  <c r="S166" i="51"/>
  <c r="T165" i="51"/>
  <c r="S165" i="51"/>
  <c r="T164" i="51"/>
  <c r="S164" i="51"/>
  <c r="T163" i="51"/>
  <c r="S163" i="51"/>
  <c r="T162" i="51"/>
  <c r="S162" i="51"/>
  <c r="T161" i="51"/>
  <c r="S161" i="51"/>
  <c r="T160" i="51"/>
  <c r="S160" i="51"/>
  <c r="T159" i="51"/>
  <c r="S159" i="51"/>
  <c r="T158" i="51"/>
  <c r="S158" i="51"/>
  <c r="T157" i="51"/>
  <c r="S157" i="51"/>
  <c r="T156" i="51"/>
  <c r="S156" i="51"/>
  <c r="T155" i="51"/>
  <c r="S155" i="51"/>
  <c r="T154" i="51"/>
  <c r="S154" i="51"/>
  <c r="T150" i="51"/>
  <c r="S150" i="51"/>
  <c r="T149" i="51"/>
  <c r="S149" i="51"/>
  <c r="T148" i="51"/>
  <c r="S148" i="51"/>
  <c r="T137" i="51"/>
  <c r="S137" i="51"/>
  <c r="T136" i="51"/>
  <c r="S136" i="51"/>
  <c r="T135" i="51"/>
  <c r="S135" i="51"/>
  <c r="I134" i="51"/>
  <c r="T133" i="51"/>
  <c r="S133" i="51"/>
  <c r="T131" i="51"/>
  <c r="S131" i="51"/>
  <c r="T129" i="51"/>
  <c r="S129" i="51"/>
  <c r="T128" i="51"/>
  <c r="S128" i="51"/>
  <c r="T100" i="51"/>
  <c r="S100" i="51"/>
  <c r="I100" i="51"/>
  <c r="T99" i="51"/>
  <c r="S99" i="51"/>
  <c r="I99" i="51"/>
  <c r="T98" i="51"/>
  <c r="S98" i="51"/>
  <c r="T97" i="51"/>
  <c r="S97" i="51"/>
  <c r="T96" i="51"/>
  <c r="S96" i="51"/>
  <c r="T95" i="51"/>
  <c r="S95" i="51"/>
  <c r="T94" i="51"/>
  <c r="S94" i="51"/>
  <c r="I94" i="51"/>
  <c r="T93" i="51"/>
  <c r="S93" i="51"/>
  <c r="T92" i="51"/>
  <c r="S92" i="51"/>
  <c r="T91" i="51"/>
  <c r="S91" i="51"/>
  <c r="T90" i="51"/>
  <c r="S90" i="51"/>
  <c r="T89" i="51"/>
  <c r="S89" i="51"/>
  <c r="T88" i="51"/>
  <c r="S88" i="51"/>
  <c r="I88" i="51"/>
  <c r="T87" i="51"/>
  <c r="S87" i="51"/>
  <c r="T86" i="51"/>
  <c r="S86" i="51"/>
  <c r="T85" i="51"/>
  <c r="S85" i="51"/>
  <c r="T84" i="51"/>
  <c r="S84" i="51"/>
  <c r="T83" i="51"/>
  <c r="S83" i="51"/>
  <c r="I83" i="51"/>
  <c r="T82" i="51"/>
  <c r="S82" i="51"/>
  <c r="T81" i="51"/>
  <c r="S81" i="51"/>
  <c r="I81" i="51"/>
  <c r="T80" i="51"/>
  <c r="S80" i="51"/>
  <c r="T79" i="51"/>
  <c r="S79" i="51"/>
  <c r="T78" i="51"/>
  <c r="S78" i="51"/>
  <c r="T77" i="51"/>
  <c r="S77" i="51"/>
  <c r="T76" i="51"/>
  <c r="S76" i="51"/>
  <c r="T75" i="51"/>
  <c r="S75" i="51"/>
  <c r="T74" i="51"/>
  <c r="S74" i="51"/>
  <c r="T73" i="51"/>
  <c r="S73" i="51"/>
  <c r="T72" i="51"/>
  <c r="S72" i="51"/>
  <c r="T71" i="51"/>
  <c r="S71" i="51"/>
  <c r="T70" i="51"/>
  <c r="S70" i="51"/>
  <c r="T69" i="51"/>
  <c r="S69" i="51"/>
  <c r="T68" i="51"/>
  <c r="S68" i="51"/>
  <c r="T67" i="51"/>
  <c r="S67" i="51"/>
  <c r="T66" i="51"/>
  <c r="S66" i="51"/>
  <c r="T65" i="51"/>
  <c r="S65" i="51"/>
  <c r="I65" i="51"/>
  <c r="T64" i="51"/>
  <c r="S64" i="51"/>
  <c r="T63" i="51"/>
  <c r="S63" i="51"/>
  <c r="I63" i="51"/>
  <c r="T62" i="51"/>
  <c r="S62" i="51"/>
  <c r="I62" i="51"/>
  <c r="T61" i="51"/>
  <c r="S61" i="51"/>
  <c r="T60" i="51"/>
  <c r="S60" i="51"/>
  <c r="I60" i="51"/>
  <c r="T59" i="51"/>
  <c r="S59" i="51"/>
  <c r="T58" i="51"/>
  <c r="S58" i="51"/>
  <c r="T57" i="51"/>
  <c r="S57" i="51"/>
  <c r="T56" i="51"/>
  <c r="S56" i="51"/>
  <c r="I56" i="51"/>
  <c r="T55" i="51"/>
  <c r="S55" i="51"/>
  <c r="T54" i="51"/>
  <c r="S54" i="51"/>
  <c r="T53" i="51"/>
  <c r="S53" i="51"/>
  <c r="T52" i="51"/>
  <c r="S52" i="51"/>
  <c r="T51" i="51"/>
  <c r="S51" i="51"/>
  <c r="I51" i="51"/>
  <c r="T50" i="51"/>
  <c r="S50" i="51"/>
  <c r="T49" i="51"/>
  <c r="S49" i="51"/>
  <c r="T48" i="51"/>
  <c r="S48" i="51"/>
  <c r="T47" i="51"/>
  <c r="S47" i="51"/>
  <c r="I47" i="51"/>
  <c r="T46" i="51"/>
  <c r="S46" i="51"/>
  <c r="I46" i="51"/>
  <c r="T45" i="51"/>
  <c r="S45" i="51"/>
  <c r="I45" i="51"/>
  <c r="T44" i="51"/>
  <c r="S44" i="51"/>
  <c r="T43" i="51"/>
  <c r="S43" i="51"/>
  <c r="T42" i="51"/>
  <c r="S42" i="51"/>
  <c r="T41" i="51"/>
  <c r="S41" i="51"/>
  <c r="T40" i="51"/>
  <c r="S40" i="51"/>
  <c r="T39" i="51"/>
  <c r="S39" i="51"/>
  <c r="T38" i="51"/>
  <c r="S38" i="51"/>
  <c r="I38" i="51"/>
  <c r="T37" i="51"/>
  <c r="S37" i="51"/>
  <c r="I37" i="51"/>
  <c r="T36" i="51"/>
  <c r="S36" i="51"/>
  <c r="T182" i="51"/>
  <c r="S182" i="51"/>
  <c r="T181" i="51"/>
  <c r="S181" i="51"/>
  <c r="T180" i="51"/>
  <c r="S180" i="51"/>
  <c r="T179" i="51"/>
  <c r="S179" i="51"/>
  <c r="T178" i="51"/>
  <c r="S178" i="51"/>
  <c r="T177" i="51"/>
  <c r="S177" i="51"/>
  <c r="T176" i="51"/>
  <c r="S176" i="51"/>
  <c r="T175" i="51"/>
  <c r="S175" i="51"/>
  <c r="T32" i="51"/>
  <c r="S32" i="51"/>
  <c r="T31" i="51"/>
  <c r="S31" i="51"/>
  <c r="T30" i="51"/>
  <c r="S30" i="51"/>
  <c r="T29" i="51"/>
  <c r="S29" i="51"/>
  <c r="T28" i="51"/>
  <c r="S28" i="51"/>
  <c r="T27" i="51"/>
  <c r="S27" i="51"/>
  <c r="T26" i="51"/>
  <c r="S26" i="51"/>
  <c r="T25" i="51"/>
  <c r="S25" i="51"/>
  <c r="T24" i="51"/>
  <c r="S24" i="51"/>
  <c r="T23" i="51"/>
  <c r="S23" i="51"/>
  <c r="T22" i="51"/>
  <c r="S22" i="51"/>
  <c r="T21" i="51"/>
  <c r="S21" i="51"/>
  <c r="T20" i="51"/>
  <c r="S20" i="51"/>
  <c r="T19" i="51"/>
  <c r="S19" i="51"/>
  <c r="T18" i="51"/>
  <c r="S18" i="51"/>
  <c r="T17" i="51"/>
  <c r="S17" i="51"/>
  <c r="T16" i="51"/>
  <c r="S16" i="51"/>
  <c r="T15" i="51"/>
  <c r="S15" i="51"/>
  <c r="T14" i="51"/>
  <c r="S14" i="51"/>
  <c r="T13" i="51"/>
  <c r="S13" i="51"/>
  <c r="T12" i="51"/>
  <c r="S12" i="51"/>
  <c r="T11" i="51"/>
  <c r="S11" i="51"/>
  <c r="T10" i="51"/>
  <c r="S10" i="51"/>
  <c r="T9" i="51"/>
  <c r="S9" i="51"/>
  <c r="T8" i="51"/>
  <c r="S8" i="51"/>
  <c r="T7" i="51"/>
  <c r="S7" i="51"/>
  <c r="T6" i="51"/>
  <c r="S6" i="51"/>
  <c r="T5" i="51"/>
  <c r="S5" i="51"/>
  <c r="T4" i="51"/>
  <c r="S4" i="51"/>
  <c r="T3" i="51"/>
  <c r="S3" i="51"/>
  <c r="T2" i="51"/>
  <c r="S2" i="51"/>
  <c r="M250" i="8" l="1"/>
  <c r="M314" i="8"/>
  <c r="J170" i="8"/>
  <c r="M187" i="8"/>
  <c r="N187" i="8"/>
  <c r="J187" i="8"/>
  <c r="L187" i="8"/>
  <c r="K187" i="8"/>
  <c r="O187" i="8"/>
  <c r="O228" i="8"/>
  <c r="O115" i="8"/>
  <c r="O230" i="8"/>
  <c r="O227" i="8"/>
  <c r="O114" i="8"/>
  <c r="O117" i="8"/>
  <c r="O295" i="8"/>
  <c r="O226" i="8"/>
  <c r="O231" i="8"/>
  <c r="O294" i="8"/>
  <c r="O290" i="8"/>
  <c r="O291" i="8"/>
  <c r="O163" i="8"/>
  <c r="O159" i="8"/>
  <c r="O160" i="8"/>
  <c r="M233" i="8"/>
  <c r="O297" i="8"/>
  <c r="L114" i="8"/>
  <c r="O233" i="8"/>
  <c r="L115" i="8"/>
  <c r="O292" i="8"/>
  <c r="N233" i="8"/>
  <c r="M294" i="8"/>
  <c r="M291" i="8"/>
  <c r="K290" i="8"/>
  <c r="J295" i="8"/>
  <c r="M292" i="8"/>
  <c r="N295" i="8"/>
  <c r="J290" i="8"/>
  <c r="M230" i="8"/>
  <c r="N290" i="8"/>
  <c r="M290" i="8"/>
  <c r="N291" i="8"/>
  <c r="M295" i="8"/>
  <c r="K294" i="8"/>
  <c r="K291" i="8"/>
  <c r="N230" i="8"/>
  <c r="M228" i="8"/>
  <c r="N297" i="8"/>
  <c r="N294" i="8"/>
  <c r="J294" i="8"/>
  <c r="J291" i="8"/>
  <c r="N228" i="8"/>
  <c r="N292" i="8"/>
  <c r="K295" i="8"/>
  <c r="J230" i="8"/>
  <c r="K230" i="8"/>
  <c r="M297" i="8"/>
  <c r="J227" i="8"/>
  <c r="J159" i="8"/>
  <c r="M160" i="8"/>
  <c r="M226" i="8"/>
  <c r="K227" i="8"/>
  <c r="K159" i="8"/>
  <c r="N160" i="8"/>
  <c r="N226" i="8"/>
  <c r="M163" i="8"/>
  <c r="J231" i="8"/>
  <c r="M227" i="8"/>
  <c r="M159" i="8"/>
  <c r="N163" i="8"/>
  <c r="K231" i="8"/>
  <c r="N227" i="8"/>
  <c r="N159" i="8"/>
  <c r="J160" i="8"/>
  <c r="J226" i="8"/>
  <c r="M231" i="8"/>
  <c r="M117" i="8"/>
  <c r="K160" i="8"/>
  <c r="K226" i="8"/>
  <c r="N231" i="8"/>
  <c r="N117" i="8"/>
  <c r="N115" i="8"/>
  <c r="M114" i="8"/>
  <c r="N114" i="8"/>
  <c r="J115" i="8"/>
  <c r="K115" i="8"/>
  <c r="J114" i="8"/>
  <c r="M115" i="8"/>
  <c r="K114" i="8"/>
  <c r="I104" i="7"/>
  <c r="G104" i="7" s="1"/>
  <c r="P170" i="8" l="1"/>
  <c r="J352" i="8" s="1"/>
  <c r="P187" i="8"/>
  <c r="O22" i="6"/>
  <c r="M179" i="8" l="1"/>
  <c r="N179" i="8"/>
  <c r="B252" i="26"/>
  <c r="B136" i="26"/>
  <c r="I36" i="26" l="1"/>
  <c r="I40" i="26"/>
  <c r="I37" i="26"/>
  <c r="I34" i="26"/>
  <c r="I39" i="26"/>
  <c r="I35" i="26"/>
  <c r="I38" i="26"/>
  <c r="I33" i="26"/>
  <c r="I23" i="26"/>
  <c r="I15" i="26"/>
  <c r="I18" i="26"/>
  <c r="I22" i="26"/>
  <c r="I17" i="26"/>
  <c r="I21" i="26"/>
  <c r="B206" i="26"/>
  <c r="AO228" i="11"/>
  <c r="AO224" i="11"/>
  <c r="AO223" i="11"/>
  <c r="AC228" i="11"/>
  <c r="AC224" i="11"/>
  <c r="AC223" i="11"/>
  <c r="AO180" i="11"/>
  <c r="AO176" i="11"/>
  <c r="AO175" i="11"/>
  <c r="AC180" i="11"/>
  <c r="AC176" i="11"/>
  <c r="AC175" i="11"/>
  <c r="AO127" i="11"/>
  <c r="AO123" i="11"/>
  <c r="AO122" i="11"/>
  <c r="AC127" i="11"/>
  <c r="AC123" i="11"/>
  <c r="AC122" i="11"/>
  <c r="P127" i="11"/>
  <c r="P219" i="11"/>
  <c r="P228" i="11"/>
  <c r="P180" i="11"/>
  <c r="G85" i="7" l="1"/>
  <c r="K195" i="50"/>
  <c r="K194" i="50"/>
  <c r="K193" i="50"/>
  <c r="K192" i="50"/>
  <c r="K191" i="50"/>
  <c r="K190" i="50"/>
  <c r="K189" i="50"/>
  <c r="K188" i="50"/>
  <c r="K187" i="50"/>
  <c r="K186" i="50"/>
  <c r="K185" i="50"/>
  <c r="K184" i="50"/>
  <c r="K183" i="50"/>
  <c r="K182" i="50"/>
  <c r="K181" i="50"/>
  <c r="K180" i="50"/>
  <c r="K179" i="50"/>
  <c r="K178" i="50"/>
  <c r="K177" i="50"/>
  <c r="K176" i="50"/>
  <c r="K175" i="50"/>
  <c r="K174" i="50"/>
  <c r="K173" i="50"/>
  <c r="K172" i="50"/>
  <c r="K171" i="50"/>
  <c r="K170" i="50"/>
  <c r="K169" i="50"/>
  <c r="K168" i="50"/>
  <c r="K167" i="50"/>
  <c r="K166" i="50"/>
  <c r="K165" i="50"/>
  <c r="K164" i="50"/>
  <c r="K163" i="50"/>
  <c r="K162" i="50"/>
  <c r="K161" i="50"/>
  <c r="K160" i="50"/>
  <c r="K159" i="50"/>
  <c r="K158" i="50"/>
  <c r="K157" i="50"/>
  <c r="K156" i="50"/>
  <c r="K155" i="50"/>
  <c r="K154" i="50"/>
  <c r="K153" i="50"/>
  <c r="K152" i="50"/>
  <c r="K151" i="50"/>
  <c r="K150" i="50"/>
  <c r="K149" i="50"/>
  <c r="K148" i="50"/>
  <c r="K147" i="50"/>
  <c r="K146" i="50"/>
  <c r="K145" i="50"/>
  <c r="K144" i="50"/>
  <c r="K143" i="50"/>
  <c r="K142" i="50"/>
  <c r="K141" i="50"/>
  <c r="K140" i="50"/>
  <c r="K139" i="50"/>
  <c r="K138" i="50"/>
  <c r="K137" i="50"/>
  <c r="K136" i="50"/>
  <c r="K135" i="50"/>
  <c r="K134" i="50"/>
  <c r="K133" i="50"/>
  <c r="K132" i="50"/>
  <c r="K131" i="50"/>
  <c r="K130" i="50"/>
  <c r="K129" i="50"/>
  <c r="K128" i="50"/>
  <c r="K127" i="50"/>
  <c r="K126" i="50"/>
  <c r="K125" i="50"/>
  <c r="K124" i="50"/>
  <c r="K123" i="50"/>
  <c r="K122" i="50"/>
  <c r="K121" i="50"/>
  <c r="K120" i="50"/>
  <c r="K119" i="50"/>
  <c r="K118" i="50"/>
  <c r="K117" i="50"/>
  <c r="K116" i="50"/>
  <c r="K115" i="50"/>
  <c r="K114" i="50"/>
  <c r="K113" i="50"/>
  <c r="K112" i="50"/>
  <c r="K111" i="50"/>
  <c r="K110" i="50"/>
  <c r="K109" i="50"/>
  <c r="K108" i="50"/>
  <c r="K107" i="50"/>
  <c r="K106" i="50"/>
  <c r="K105" i="50"/>
  <c r="K104" i="50"/>
  <c r="K103" i="50"/>
  <c r="K102" i="50"/>
  <c r="K101" i="50"/>
  <c r="K100" i="50"/>
  <c r="K99" i="50"/>
  <c r="K98" i="50"/>
  <c r="K97" i="50"/>
  <c r="K96" i="50"/>
  <c r="K95" i="50"/>
  <c r="K94" i="50"/>
  <c r="K93" i="50"/>
  <c r="K92" i="50"/>
  <c r="K91" i="50"/>
  <c r="K90" i="50"/>
  <c r="K89" i="50"/>
  <c r="K88" i="50"/>
  <c r="K87" i="50"/>
  <c r="K86" i="50"/>
  <c r="K85" i="50"/>
  <c r="K84" i="50"/>
  <c r="K83" i="50"/>
  <c r="K82" i="50"/>
  <c r="K81" i="50"/>
  <c r="K80" i="50"/>
  <c r="K79" i="50"/>
  <c r="K78" i="50"/>
  <c r="K77" i="50"/>
  <c r="K76" i="50"/>
  <c r="K75" i="50"/>
  <c r="K74" i="50"/>
  <c r="K73" i="50"/>
  <c r="K72" i="50"/>
  <c r="K71" i="50"/>
  <c r="K70" i="50"/>
  <c r="K69" i="50"/>
  <c r="K68" i="50"/>
  <c r="K67" i="50"/>
  <c r="K66" i="50"/>
  <c r="K65" i="50"/>
  <c r="K64" i="50"/>
  <c r="K63" i="50"/>
  <c r="K62" i="50"/>
  <c r="K61" i="50"/>
  <c r="K60" i="50"/>
  <c r="K59" i="50"/>
  <c r="K58" i="50"/>
  <c r="K57" i="50"/>
  <c r="K56" i="50"/>
  <c r="K55" i="50"/>
  <c r="K54" i="50"/>
  <c r="K53" i="50"/>
  <c r="K52" i="50"/>
  <c r="K51" i="50"/>
  <c r="K50" i="50"/>
  <c r="K49" i="50"/>
  <c r="K48" i="50"/>
  <c r="K47" i="50"/>
  <c r="K46" i="50"/>
  <c r="K45" i="50"/>
  <c r="K44" i="50"/>
  <c r="K43" i="50"/>
  <c r="K42" i="50"/>
  <c r="K41" i="50"/>
  <c r="K40" i="50"/>
  <c r="K39" i="50"/>
  <c r="K38" i="50"/>
  <c r="K37" i="50"/>
  <c r="K36" i="50"/>
  <c r="K35" i="50"/>
  <c r="K34" i="50"/>
  <c r="K33" i="50"/>
  <c r="K32" i="50"/>
  <c r="K31" i="50"/>
  <c r="K30" i="50"/>
  <c r="K29" i="50"/>
  <c r="K28" i="50"/>
  <c r="K27" i="50"/>
  <c r="K26" i="50"/>
  <c r="K25" i="50"/>
  <c r="K24" i="50"/>
  <c r="K23" i="50"/>
  <c r="K22" i="50"/>
  <c r="K21" i="50"/>
  <c r="K20" i="50"/>
  <c r="K19" i="50"/>
  <c r="K18" i="50"/>
  <c r="K17" i="50"/>
  <c r="K16" i="50"/>
  <c r="K15" i="50"/>
  <c r="K14" i="50"/>
  <c r="K13" i="50"/>
  <c r="K12" i="50"/>
  <c r="K11" i="50"/>
  <c r="K10" i="50"/>
  <c r="K9" i="50"/>
  <c r="K8" i="50"/>
  <c r="K7" i="50"/>
  <c r="K6" i="50"/>
  <c r="K5" i="50"/>
  <c r="K4" i="50"/>
  <c r="K3" i="50"/>
  <c r="K2" i="50"/>
  <c r="I81" i="7" l="1"/>
  <c r="I80" i="7"/>
  <c r="G84" i="7"/>
  <c r="I79" i="7"/>
  <c r="G68" i="7"/>
  <c r="G67" i="7"/>
  <c r="G66" i="7"/>
  <c r="G65" i="7"/>
  <c r="G64" i="7"/>
  <c r="D144" i="22" s="1"/>
  <c r="G55" i="7"/>
  <c r="G54" i="7"/>
  <c r="G53" i="7"/>
  <c r="G52" i="7"/>
  <c r="G51" i="7"/>
  <c r="G50" i="7"/>
  <c r="G49" i="7"/>
  <c r="I108" i="7"/>
  <c r="I107" i="7"/>
  <c r="I106" i="7"/>
  <c r="I82" i="7"/>
  <c r="H55" i="7"/>
  <c r="H54" i="7"/>
  <c r="H53" i="7"/>
  <c r="H52" i="7"/>
  <c r="H51" i="7"/>
  <c r="H50" i="7"/>
  <c r="H49" i="7"/>
  <c r="H48" i="7"/>
  <c r="E128" i="22" s="1"/>
  <c r="C53" i="7"/>
  <c r="E132" i="22" l="1"/>
  <c r="E133" i="22"/>
  <c r="E134" i="22"/>
  <c r="E130" i="22"/>
  <c r="E135" i="22"/>
  <c r="E129" i="22"/>
  <c r="E131" i="22"/>
  <c r="D145" i="22"/>
  <c r="D146" i="22"/>
  <c r="D147" i="22"/>
  <c r="D148" i="22"/>
  <c r="D131" i="22"/>
  <c r="D130" i="22"/>
  <c r="D132" i="22"/>
  <c r="D133" i="22"/>
  <c r="D134" i="22"/>
  <c r="D135" i="22"/>
  <c r="D129" i="22"/>
  <c r="C50" i="7"/>
  <c r="C51" i="7"/>
  <c r="C52" i="7"/>
  <c r="C54" i="7"/>
  <c r="C55" i="7"/>
  <c r="C48" i="7"/>
  <c r="C49" i="7"/>
  <c r="B112" i="22"/>
  <c r="C106" i="7"/>
  <c r="C107" i="7"/>
  <c r="B113" i="22"/>
  <c r="C108" i="7"/>
  <c r="B114" i="22"/>
  <c r="G108" i="7"/>
  <c r="G107" i="7"/>
  <c r="G106" i="7"/>
  <c r="C67" i="7"/>
  <c r="C68" i="7"/>
  <c r="C64" i="7"/>
  <c r="C65" i="7"/>
  <c r="C66" i="7"/>
  <c r="G48" i="7"/>
  <c r="I41" i="7"/>
  <c r="I40" i="7"/>
  <c r="I39" i="7"/>
  <c r="I38" i="7"/>
  <c r="I37" i="7"/>
  <c r="I36" i="7"/>
  <c r="I35" i="7"/>
  <c r="I34" i="7"/>
  <c r="I33" i="7"/>
  <c r="I32" i="7"/>
  <c r="D12" i="2"/>
  <c r="D13" i="2"/>
  <c r="D14" i="2"/>
  <c r="D15" i="2"/>
  <c r="D16" i="2"/>
  <c r="D17" i="2"/>
  <c r="D18" i="2"/>
  <c r="D19" i="2"/>
  <c r="D20" i="2"/>
  <c r="D21" i="2"/>
  <c r="D22" i="2"/>
  <c r="D23" i="2"/>
  <c r="D24" i="2"/>
  <c r="D25" i="2"/>
  <c r="D26" i="2"/>
  <c r="D27" i="2"/>
  <c r="E12" i="2"/>
  <c r="E13" i="2"/>
  <c r="E14" i="2"/>
  <c r="E15" i="2"/>
  <c r="E16" i="2"/>
  <c r="E17" i="2"/>
  <c r="E18" i="2"/>
  <c r="E19" i="2"/>
  <c r="E20" i="2"/>
  <c r="E21" i="2"/>
  <c r="E22" i="2"/>
  <c r="E23" i="2"/>
  <c r="E24" i="2"/>
  <c r="E25" i="2"/>
  <c r="E26" i="2"/>
  <c r="E27" i="2"/>
  <c r="F12" i="2"/>
  <c r="F13" i="2"/>
  <c r="F14" i="2"/>
  <c r="F15" i="2"/>
  <c r="F16" i="2"/>
  <c r="F17" i="2"/>
  <c r="F18" i="2"/>
  <c r="F19" i="2"/>
  <c r="F20" i="2"/>
  <c r="F21" i="2"/>
  <c r="F22" i="2"/>
  <c r="F23" i="2"/>
  <c r="F24" i="2"/>
  <c r="F25" i="2"/>
  <c r="F26" i="2"/>
  <c r="F27" i="2"/>
  <c r="G12" i="2"/>
  <c r="G13" i="2"/>
  <c r="G14" i="2"/>
  <c r="G15" i="2"/>
  <c r="G16" i="2"/>
  <c r="G17" i="2"/>
  <c r="G18" i="2"/>
  <c r="G19" i="2"/>
  <c r="G20" i="2"/>
  <c r="G21" i="2"/>
  <c r="G22" i="2"/>
  <c r="G23" i="2"/>
  <c r="G24" i="2"/>
  <c r="G25" i="2"/>
  <c r="G26" i="2"/>
  <c r="G27" i="2"/>
  <c r="H12" i="2"/>
  <c r="H13" i="2"/>
  <c r="H14" i="2"/>
  <c r="H15" i="2"/>
  <c r="H16" i="2"/>
  <c r="H17" i="2"/>
  <c r="H18" i="2"/>
  <c r="H19" i="2"/>
  <c r="H20" i="2"/>
  <c r="H21" i="2"/>
  <c r="H22" i="2"/>
  <c r="H23" i="2"/>
  <c r="H24" i="2"/>
  <c r="H25" i="2"/>
  <c r="H26" i="2"/>
  <c r="H27" i="2"/>
  <c r="I12" i="2"/>
  <c r="I13" i="2"/>
  <c r="I14" i="2"/>
  <c r="I15" i="2"/>
  <c r="I16" i="2"/>
  <c r="I17" i="2"/>
  <c r="I18" i="2"/>
  <c r="I19" i="2"/>
  <c r="I20" i="2"/>
  <c r="I21" i="2"/>
  <c r="I22" i="2"/>
  <c r="I23" i="2"/>
  <c r="I24" i="2"/>
  <c r="I25" i="2"/>
  <c r="I26" i="2"/>
  <c r="I27" i="2"/>
  <c r="J12" i="2"/>
  <c r="J13" i="2"/>
  <c r="J14" i="2"/>
  <c r="J15" i="2"/>
  <c r="J16" i="2"/>
  <c r="J17" i="2"/>
  <c r="J18" i="2"/>
  <c r="J19" i="2"/>
  <c r="J20" i="2"/>
  <c r="J21" i="2"/>
  <c r="J22" i="2"/>
  <c r="J23" i="2"/>
  <c r="J24" i="2"/>
  <c r="J25" i="2"/>
  <c r="J26" i="2"/>
  <c r="J27" i="2"/>
  <c r="K12" i="2"/>
  <c r="K13" i="2"/>
  <c r="K14" i="2"/>
  <c r="K15" i="2"/>
  <c r="K16" i="2"/>
  <c r="K17" i="2"/>
  <c r="K18" i="2"/>
  <c r="K19" i="2"/>
  <c r="K20" i="2"/>
  <c r="K21" i="2"/>
  <c r="K22" i="2"/>
  <c r="K23" i="2"/>
  <c r="K24" i="2"/>
  <c r="K25" i="2"/>
  <c r="K26" i="2"/>
  <c r="K27" i="2"/>
  <c r="L12" i="2"/>
  <c r="L13" i="2"/>
  <c r="L14" i="2"/>
  <c r="L15" i="2"/>
  <c r="L16" i="2"/>
  <c r="L17" i="2"/>
  <c r="L18" i="2"/>
  <c r="L19" i="2"/>
  <c r="L20" i="2"/>
  <c r="L21" i="2"/>
  <c r="L22" i="2"/>
  <c r="L23" i="2"/>
  <c r="L24" i="2"/>
  <c r="L25" i="2"/>
  <c r="L26" i="2"/>
  <c r="L27" i="2"/>
  <c r="M12" i="2"/>
  <c r="M13" i="2"/>
  <c r="M14" i="2"/>
  <c r="M15" i="2"/>
  <c r="M16" i="2"/>
  <c r="M17" i="2"/>
  <c r="M18" i="2"/>
  <c r="M19" i="2"/>
  <c r="M20" i="2"/>
  <c r="M21" i="2"/>
  <c r="M22" i="2"/>
  <c r="M23" i="2"/>
  <c r="M24" i="2"/>
  <c r="M25" i="2"/>
  <c r="M26" i="2"/>
  <c r="M27" i="2"/>
  <c r="N12" i="2"/>
  <c r="N13" i="2"/>
  <c r="N14" i="2"/>
  <c r="N15" i="2"/>
  <c r="N16" i="2"/>
  <c r="N17" i="2"/>
  <c r="N18" i="2"/>
  <c r="N19" i="2"/>
  <c r="N20" i="2"/>
  <c r="N21" i="2"/>
  <c r="N22" i="2"/>
  <c r="N23" i="2"/>
  <c r="N24" i="2"/>
  <c r="N25" i="2"/>
  <c r="N26" i="2"/>
  <c r="N27" i="2"/>
  <c r="O12" i="2"/>
  <c r="O13" i="2"/>
  <c r="O14" i="2"/>
  <c r="O15" i="2"/>
  <c r="O16" i="2"/>
  <c r="O17" i="2"/>
  <c r="O18" i="2"/>
  <c r="O19" i="2"/>
  <c r="O20" i="2"/>
  <c r="O21" i="2"/>
  <c r="O22" i="2"/>
  <c r="O23" i="2"/>
  <c r="O24" i="2"/>
  <c r="O25" i="2"/>
  <c r="O26" i="2"/>
  <c r="O27" i="2"/>
  <c r="P12" i="2"/>
  <c r="P13" i="2"/>
  <c r="P14" i="2"/>
  <c r="P15" i="2"/>
  <c r="P16" i="2"/>
  <c r="P17" i="2"/>
  <c r="P18" i="2"/>
  <c r="P19" i="2"/>
  <c r="P20" i="2"/>
  <c r="P21" i="2"/>
  <c r="P22" i="2"/>
  <c r="P23" i="2"/>
  <c r="P24" i="2"/>
  <c r="P25" i="2"/>
  <c r="P26" i="2"/>
  <c r="P27" i="2"/>
  <c r="Q12" i="2"/>
  <c r="Q13" i="2"/>
  <c r="Q14" i="2"/>
  <c r="Q15" i="2"/>
  <c r="Q16" i="2"/>
  <c r="Q17" i="2"/>
  <c r="Q18" i="2"/>
  <c r="Q19" i="2"/>
  <c r="Q20" i="2"/>
  <c r="Q21" i="2"/>
  <c r="Q22" i="2"/>
  <c r="Q23" i="2"/>
  <c r="Q24" i="2"/>
  <c r="Q25" i="2"/>
  <c r="Q26" i="2"/>
  <c r="Q27" i="2"/>
  <c r="R12" i="2"/>
  <c r="R13" i="2"/>
  <c r="R14" i="2"/>
  <c r="R15" i="2"/>
  <c r="R16" i="2"/>
  <c r="R17" i="2"/>
  <c r="R18" i="2"/>
  <c r="R19" i="2"/>
  <c r="R20" i="2"/>
  <c r="R21" i="2"/>
  <c r="R22" i="2"/>
  <c r="R23" i="2"/>
  <c r="R24" i="2"/>
  <c r="R25" i="2"/>
  <c r="R26" i="2"/>
  <c r="R27" i="2"/>
  <c r="S12" i="2"/>
  <c r="S13" i="2"/>
  <c r="S14" i="2"/>
  <c r="S15" i="2"/>
  <c r="S16" i="2"/>
  <c r="S17" i="2"/>
  <c r="S18" i="2"/>
  <c r="S19" i="2"/>
  <c r="S20" i="2"/>
  <c r="S21" i="2"/>
  <c r="S22" i="2"/>
  <c r="S23" i="2"/>
  <c r="S24" i="2"/>
  <c r="S25" i="2"/>
  <c r="S26" i="2"/>
  <c r="S27" i="2"/>
  <c r="T12" i="2"/>
  <c r="T13" i="2"/>
  <c r="T14" i="2"/>
  <c r="T15" i="2"/>
  <c r="T16" i="2"/>
  <c r="T17" i="2"/>
  <c r="T18" i="2"/>
  <c r="T19" i="2"/>
  <c r="T20" i="2"/>
  <c r="T21" i="2"/>
  <c r="T22" i="2"/>
  <c r="T23" i="2"/>
  <c r="T24" i="2"/>
  <c r="T25" i="2"/>
  <c r="T26" i="2"/>
  <c r="T27" i="2"/>
  <c r="U12" i="2"/>
  <c r="U13" i="2"/>
  <c r="U14" i="2"/>
  <c r="U15" i="2"/>
  <c r="U16" i="2"/>
  <c r="U17" i="2"/>
  <c r="U18" i="2"/>
  <c r="U19" i="2"/>
  <c r="U20" i="2"/>
  <c r="U21" i="2"/>
  <c r="U22" i="2"/>
  <c r="U23" i="2"/>
  <c r="U24" i="2"/>
  <c r="U25" i="2"/>
  <c r="U26" i="2"/>
  <c r="U27" i="2"/>
  <c r="V12" i="2"/>
  <c r="V13" i="2"/>
  <c r="V14" i="2"/>
  <c r="V15" i="2"/>
  <c r="V16" i="2"/>
  <c r="V17" i="2"/>
  <c r="V18" i="2"/>
  <c r="V19" i="2"/>
  <c r="V20" i="2"/>
  <c r="V21" i="2"/>
  <c r="V22" i="2"/>
  <c r="V23" i="2"/>
  <c r="V24" i="2"/>
  <c r="V25" i="2"/>
  <c r="V26" i="2"/>
  <c r="V27" i="2"/>
  <c r="W12" i="2"/>
  <c r="W13" i="2"/>
  <c r="W14" i="2"/>
  <c r="W15" i="2"/>
  <c r="W16" i="2"/>
  <c r="W17" i="2"/>
  <c r="W18" i="2"/>
  <c r="W19" i="2"/>
  <c r="W20" i="2"/>
  <c r="W21" i="2"/>
  <c r="W22" i="2"/>
  <c r="W23" i="2"/>
  <c r="W24" i="2"/>
  <c r="W25" i="2"/>
  <c r="W26" i="2"/>
  <c r="W27" i="2"/>
  <c r="X12" i="2"/>
  <c r="X13" i="2"/>
  <c r="X14" i="2"/>
  <c r="X15" i="2"/>
  <c r="X16" i="2"/>
  <c r="X17" i="2"/>
  <c r="X18" i="2"/>
  <c r="X19" i="2"/>
  <c r="X20" i="2"/>
  <c r="X21" i="2"/>
  <c r="X22" i="2"/>
  <c r="X23" i="2"/>
  <c r="X24" i="2"/>
  <c r="X25" i="2"/>
  <c r="X26" i="2"/>
  <c r="X27" i="2"/>
  <c r="Y12" i="2"/>
  <c r="Y13" i="2"/>
  <c r="Y14" i="2"/>
  <c r="Y15" i="2"/>
  <c r="Y16" i="2"/>
  <c r="Y17" i="2"/>
  <c r="Y18" i="2"/>
  <c r="Y19" i="2"/>
  <c r="Y20" i="2"/>
  <c r="Y21" i="2"/>
  <c r="Y22" i="2"/>
  <c r="Y23" i="2"/>
  <c r="Y24" i="2"/>
  <c r="Y25" i="2"/>
  <c r="Y26" i="2"/>
  <c r="Y27" i="2"/>
  <c r="Z12" i="2"/>
  <c r="Z13" i="2"/>
  <c r="Z14" i="2"/>
  <c r="Z15" i="2"/>
  <c r="Z16" i="2"/>
  <c r="Z17" i="2"/>
  <c r="Z18" i="2"/>
  <c r="Z19" i="2"/>
  <c r="Z20" i="2"/>
  <c r="Z21" i="2"/>
  <c r="Z22" i="2"/>
  <c r="Z23" i="2"/>
  <c r="Z24" i="2"/>
  <c r="Z25" i="2"/>
  <c r="Z26" i="2"/>
  <c r="Z27" i="2"/>
  <c r="AA12" i="2"/>
  <c r="AA13" i="2"/>
  <c r="AA14" i="2"/>
  <c r="AA15" i="2"/>
  <c r="AA16" i="2"/>
  <c r="AA17" i="2"/>
  <c r="AA18" i="2"/>
  <c r="AA19" i="2"/>
  <c r="AA20" i="2"/>
  <c r="AA21" i="2"/>
  <c r="AA22" i="2"/>
  <c r="AA23" i="2"/>
  <c r="AA24" i="2"/>
  <c r="AA25" i="2"/>
  <c r="AA26" i="2"/>
  <c r="AA27" i="2"/>
  <c r="AB12" i="2"/>
  <c r="AB13" i="2"/>
  <c r="AB14" i="2"/>
  <c r="AB15" i="2"/>
  <c r="AB16" i="2"/>
  <c r="AB17" i="2"/>
  <c r="AB18" i="2"/>
  <c r="AB19" i="2"/>
  <c r="AB20" i="2"/>
  <c r="AB21" i="2"/>
  <c r="AB22" i="2"/>
  <c r="AB23" i="2"/>
  <c r="AB24" i="2"/>
  <c r="AB25" i="2"/>
  <c r="AB26" i="2"/>
  <c r="AB27" i="2"/>
  <c r="AC12" i="2"/>
  <c r="AC13" i="2"/>
  <c r="AC14" i="2"/>
  <c r="AC15" i="2"/>
  <c r="AC16" i="2"/>
  <c r="AC17" i="2"/>
  <c r="AC18" i="2"/>
  <c r="AC19" i="2"/>
  <c r="AC20" i="2"/>
  <c r="AC21" i="2"/>
  <c r="AC22" i="2"/>
  <c r="AC23" i="2"/>
  <c r="AC24" i="2"/>
  <c r="AC25" i="2"/>
  <c r="AC26" i="2"/>
  <c r="AC27" i="2"/>
  <c r="AD12" i="2"/>
  <c r="AD13" i="2"/>
  <c r="AD14" i="2"/>
  <c r="AD15" i="2"/>
  <c r="AD16" i="2"/>
  <c r="AD17" i="2"/>
  <c r="AD18" i="2"/>
  <c r="AD19" i="2"/>
  <c r="AD20" i="2"/>
  <c r="AD21" i="2"/>
  <c r="AD22" i="2"/>
  <c r="AD23" i="2"/>
  <c r="AD24" i="2"/>
  <c r="AD25" i="2"/>
  <c r="AD26" i="2"/>
  <c r="AD27" i="2"/>
  <c r="C27" i="2"/>
  <c r="C26" i="2"/>
  <c r="C25" i="2"/>
  <c r="C24" i="2"/>
  <c r="C23" i="2"/>
  <c r="C22" i="2"/>
  <c r="C21" i="2"/>
  <c r="C20" i="2"/>
  <c r="C19" i="2"/>
  <c r="C18" i="2"/>
  <c r="C17" i="2"/>
  <c r="C16" i="2"/>
  <c r="C15" i="2"/>
  <c r="C14" i="2"/>
  <c r="C13" i="2"/>
  <c r="C12" i="2"/>
  <c r="AD6" i="2"/>
  <c r="AC6" i="2"/>
  <c r="AB6" i="2"/>
  <c r="AA6" i="2"/>
  <c r="Z6" i="2"/>
  <c r="Y6" i="2"/>
  <c r="X6" i="2"/>
  <c r="W6" i="2"/>
  <c r="V6" i="2"/>
  <c r="U6" i="2"/>
  <c r="T6" i="2"/>
  <c r="S6" i="2"/>
  <c r="R6" i="2"/>
  <c r="D128" i="22" l="1"/>
  <c r="AH39" i="2"/>
  <c r="AE38" i="2" l="1"/>
  <c r="B68" i="22"/>
  <c r="B67" i="22"/>
  <c r="B107" i="22"/>
  <c r="B44" i="22"/>
  <c r="B43" i="22"/>
  <c r="B84" i="22"/>
  <c r="B20" i="22"/>
  <c r="B60" i="22"/>
  <c r="B59" i="22"/>
  <c r="B99" i="22"/>
  <c r="B36" i="22"/>
  <c r="AC39" i="2"/>
  <c r="Q39" i="2"/>
  <c r="P39" i="2"/>
  <c r="O39" i="2"/>
  <c r="H176" i="4"/>
  <c r="H175" i="4"/>
  <c r="AD107" i="2" l="1" a="1"/>
  <c r="AD107" i="2" s="1"/>
  <c r="N107" i="2" a="1"/>
  <c r="N107" i="2" s="1"/>
  <c r="Z106" i="2" a="1"/>
  <c r="Z106" i="2" s="1"/>
  <c r="J106" i="2" a="1"/>
  <c r="J106" i="2" s="1"/>
  <c r="V105" i="2" a="1"/>
  <c r="V105" i="2" s="1"/>
  <c r="F105" i="2" a="1"/>
  <c r="F105" i="2" s="1"/>
  <c r="R104" i="2" a="1"/>
  <c r="R104" i="2" s="1"/>
  <c r="AD103" i="2" a="1"/>
  <c r="AD103" i="2" s="1"/>
  <c r="N103" i="2" a="1"/>
  <c r="N103" i="2" s="1"/>
  <c r="Z102" i="2" a="1"/>
  <c r="Z102" i="2" s="1"/>
  <c r="J102" i="2" a="1"/>
  <c r="J102" i="2" s="1"/>
  <c r="V101" i="2" a="1"/>
  <c r="V101" i="2" s="1"/>
  <c r="F101" i="2" a="1"/>
  <c r="F101" i="2" s="1"/>
  <c r="R100" i="2" a="1"/>
  <c r="R100" i="2" s="1"/>
  <c r="AD99" i="2" a="1"/>
  <c r="AD99" i="2" s="1"/>
  <c r="N99" i="2" a="1"/>
  <c r="N99" i="2" s="1"/>
  <c r="Z98" i="2" a="1"/>
  <c r="Z98" i="2" s="1"/>
  <c r="J98" i="2" a="1"/>
  <c r="J98" i="2" s="1"/>
  <c r="V97" i="2" a="1"/>
  <c r="V97" i="2" s="1"/>
  <c r="F97" i="2" a="1"/>
  <c r="F97" i="2" s="1"/>
  <c r="R96" i="2" a="1"/>
  <c r="R96" i="2" s="1"/>
  <c r="AD95" i="2" a="1"/>
  <c r="AD95" i="2" s="1"/>
  <c r="N95" i="2" a="1"/>
  <c r="N95" i="2" s="1"/>
  <c r="Z94" i="2" a="1"/>
  <c r="Z94" i="2" s="1"/>
  <c r="J94" i="2" a="1"/>
  <c r="J94" i="2" s="1"/>
  <c r="V93" i="2" a="1"/>
  <c r="V93" i="2" s="1"/>
  <c r="G93" i="2" a="1"/>
  <c r="G93" i="2" s="1"/>
  <c r="T92" i="2" a="1"/>
  <c r="T92" i="2" s="1"/>
  <c r="F92" i="2" a="1"/>
  <c r="F92" i="2" s="1"/>
  <c r="R91" i="2" a="1"/>
  <c r="R91" i="2" s="1"/>
  <c r="D91" i="2" a="1"/>
  <c r="D91" i="2" s="1"/>
  <c r="C90" i="2" a="1"/>
  <c r="C90" i="2" s="1"/>
  <c r="C54" i="2" s="1"/>
  <c r="O89" i="2" a="1"/>
  <c r="O89" i="2" s="1"/>
  <c r="AC88" i="2" a="1"/>
  <c r="AC88" i="2" s="1"/>
  <c r="M88" i="2" a="1"/>
  <c r="M88" i="2" s="1"/>
  <c r="AA87" i="2" a="1"/>
  <c r="AA87" i="2" s="1"/>
  <c r="M87" i="2" a="1"/>
  <c r="M87" i="2" s="1"/>
  <c r="Y86" i="2" a="1"/>
  <c r="Y86" i="2" s="1"/>
  <c r="K86" i="2" a="1"/>
  <c r="K86" i="2" s="1"/>
  <c r="X85" i="2" a="1"/>
  <c r="X85" i="2" s="1"/>
  <c r="W84" i="2" a="1"/>
  <c r="W84" i="2" s="1"/>
  <c r="I84" i="2" a="1"/>
  <c r="I84" i="2" s="1"/>
  <c r="J83" i="2" a="1"/>
  <c r="J83" i="2" s="1"/>
  <c r="Z82" i="2" a="1"/>
  <c r="Z82" i="2" s="1"/>
  <c r="O82" i="2" a="1"/>
  <c r="O82" i="2" s="1"/>
  <c r="C82" i="2" a="1"/>
  <c r="C82" i="2" s="1"/>
  <c r="C46" i="2" s="1"/>
  <c r="T81" i="2" a="1"/>
  <c r="T81" i="2" s="1"/>
  <c r="H81" i="2" a="1"/>
  <c r="H81" i="2" s="1"/>
  <c r="W80" i="2" a="1"/>
  <c r="W80" i="2" s="1"/>
  <c r="J80" i="2" a="1"/>
  <c r="J80" i="2" s="1"/>
  <c r="L95" i="2" a="1"/>
  <c r="L95" i="2" s="1"/>
  <c r="E93" i="2" a="1"/>
  <c r="E93" i="2" s="1"/>
  <c r="P91" i="2" a="1"/>
  <c r="P91" i="2" s="1"/>
  <c r="AC89" i="2" a="1"/>
  <c r="AC89" i="2" s="1"/>
  <c r="K88" i="2" a="1"/>
  <c r="K88" i="2" s="1"/>
  <c r="I86" i="2" a="1"/>
  <c r="I86" i="2" s="1"/>
  <c r="U84" i="2" a="1"/>
  <c r="U84" i="2" s="1"/>
  <c r="Y82" i="2" a="1"/>
  <c r="Y82" i="2" s="1"/>
  <c r="R81" i="2" a="1"/>
  <c r="R81" i="2" s="1"/>
  <c r="R86" i="2" a="1"/>
  <c r="R86" i="2" s="1"/>
  <c r="L81" i="2" a="1"/>
  <c r="L81" i="2" s="1"/>
  <c r="AC86" i="2" a="1"/>
  <c r="AC86" i="2" s="1"/>
  <c r="M80" i="2" a="1"/>
  <c r="M80" i="2" s="1"/>
  <c r="J81" i="2" a="1"/>
  <c r="J81" i="2" s="1"/>
  <c r="G105" i="2" a="1"/>
  <c r="G105" i="2" s="1"/>
  <c r="E91" i="2" a="1"/>
  <c r="E91" i="2" s="1"/>
  <c r="AC107" i="2" a="1"/>
  <c r="AC107" i="2" s="1"/>
  <c r="M107" i="2" a="1"/>
  <c r="M107" i="2" s="1"/>
  <c r="Y106" i="2" a="1"/>
  <c r="Y106" i="2" s="1"/>
  <c r="I106" i="2" a="1"/>
  <c r="I106" i="2" s="1"/>
  <c r="U105" i="2" a="1"/>
  <c r="U105" i="2" s="1"/>
  <c r="E105" i="2" a="1"/>
  <c r="E105" i="2" s="1"/>
  <c r="Q104" i="2" a="1"/>
  <c r="Q104" i="2" s="1"/>
  <c r="AC103" i="2" a="1"/>
  <c r="AC103" i="2" s="1"/>
  <c r="M103" i="2" a="1"/>
  <c r="M103" i="2" s="1"/>
  <c r="Y102" i="2" a="1"/>
  <c r="Y102" i="2" s="1"/>
  <c r="I102" i="2" a="1"/>
  <c r="I102" i="2" s="1"/>
  <c r="U101" i="2" a="1"/>
  <c r="U101" i="2" s="1"/>
  <c r="E101" i="2" a="1"/>
  <c r="E101" i="2" s="1"/>
  <c r="Q100" i="2" a="1"/>
  <c r="Q100" i="2" s="1"/>
  <c r="AC99" i="2" a="1"/>
  <c r="AC99" i="2" s="1"/>
  <c r="M99" i="2" a="1"/>
  <c r="M99" i="2" s="1"/>
  <c r="Y98" i="2" a="1"/>
  <c r="Y98" i="2" s="1"/>
  <c r="I98" i="2" a="1"/>
  <c r="I98" i="2" s="1"/>
  <c r="U97" i="2" a="1"/>
  <c r="U97" i="2" s="1"/>
  <c r="E97" i="2" a="1"/>
  <c r="E97" i="2" s="1"/>
  <c r="Q96" i="2" a="1"/>
  <c r="Q96" i="2" s="1"/>
  <c r="AC95" i="2" a="1"/>
  <c r="AC95" i="2" s="1"/>
  <c r="M95" i="2" a="1"/>
  <c r="M95" i="2" s="1"/>
  <c r="Y94" i="2" a="1"/>
  <c r="Y94" i="2" s="1"/>
  <c r="I94" i="2" a="1"/>
  <c r="I94" i="2" s="1"/>
  <c r="U93" i="2" a="1"/>
  <c r="U93" i="2" s="1"/>
  <c r="F93" i="2" a="1"/>
  <c r="F93" i="2" s="1"/>
  <c r="S92" i="2" a="1"/>
  <c r="S92" i="2" s="1"/>
  <c r="E92" i="2" a="1"/>
  <c r="E92" i="2" s="1"/>
  <c r="Q91" i="2" a="1"/>
  <c r="Q91" i="2" s="1"/>
  <c r="C91" i="2" a="1"/>
  <c r="C91" i="2" s="1"/>
  <c r="C55" i="2" s="1"/>
  <c r="P90" i="2" a="1"/>
  <c r="P90" i="2" s="1"/>
  <c r="AD89" i="2" a="1"/>
  <c r="AD89" i="2" s="1"/>
  <c r="N89" i="2" a="1"/>
  <c r="N89" i="2" s="1"/>
  <c r="AB88" i="2" a="1"/>
  <c r="AB88" i="2" s="1"/>
  <c r="L88" i="2" a="1"/>
  <c r="L88" i="2" s="1"/>
  <c r="L87" i="2" a="1"/>
  <c r="L87" i="2" s="1"/>
  <c r="J86" i="2" a="1"/>
  <c r="J86" i="2" s="1"/>
  <c r="W85" i="2" a="1"/>
  <c r="W85" i="2" s="1"/>
  <c r="J85" i="2" a="1"/>
  <c r="J85" i="2" s="1"/>
  <c r="V84" i="2" a="1"/>
  <c r="V84" i="2" s="1"/>
  <c r="H84" i="2" a="1"/>
  <c r="H84" i="2" s="1"/>
  <c r="U83" i="2" a="1"/>
  <c r="U83" i="2" s="1"/>
  <c r="I83" i="2" a="1"/>
  <c r="I83" i="2" s="1"/>
  <c r="N82" i="2" a="1"/>
  <c r="N82" i="2" s="1"/>
  <c r="AD81" i="2" a="1"/>
  <c r="AD81" i="2" s="1"/>
  <c r="S81" i="2" a="1"/>
  <c r="S81" i="2" s="1"/>
  <c r="G81" i="2" a="1"/>
  <c r="G81" i="2" s="1"/>
  <c r="V80" i="2" a="1"/>
  <c r="V80" i="2" s="1"/>
  <c r="P96" i="2" a="1"/>
  <c r="P96" i="2" s="1"/>
  <c r="T93" i="2" a="1"/>
  <c r="T93" i="2" s="1"/>
  <c r="D92" i="2" a="1"/>
  <c r="D92" i="2" s="1"/>
  <c r="AD90" i="2" a="1"/>
  <c r="AD90" i="2" s="1"/>
  <c r="M89" i="2" a="1"/>
  <c r="M89" i="2" s="1"/>
  <c r="AA88" i="2" a="1"/>
  <c r="AA88" i="2" s="1"/>
  <c r="Z87" i="2" a="1"/>
  <c r="Z87" i="2" s="1"/>
  <c r="X86" i="2" a="1"/>
  <c r="X86" i="2" s="1"/>
  <c r="V85" i="2" a="1"/>
  <c r="V85" i="2" s="1"/>
  <c r="I85" i="2" a="1"/>
  <c r="I85" i="2" s="1"/>
  <c r="G84" i="2" a="1"/>
  <c r="G84" i="2" s="1"/>
  <c r="M82" i="2" a="1"/>
  <c r="M82" i="2" s="1"/>
  <c r="F81" i="2" a="1"/>
  <c r="F81" i="2" s="1"/>
  <c r="U80" i="2" a="1"/>
  <c r="U80" i="2" s="1"/>
  <c r="S87" i="2" a="1"/>
  <c r="S87" i="2" s="1"/>
  <c r="C80" i="2" a="1"/>
  <c r="C80" i="2" s="1"/>
  <c r="C44" i="2" s="1"/>
  <c r="AA80" i="2" a="1"/>
  <c r="AA80" i="2" s="1"/>
  <c r="N85" i="2" a="1"/>
  <c r="N85" i="2" s="1"/>
  <c r="C89" i="2" a="1"/>
  <c r="C89" i="2" s="1"/>
  <c r="C53" i="2" s="1"/>
  <c r="L84" i="2" a="1"/>
  <c r="L84" i="2" s="1"/>
  <c r="O107" i="2" a="1"/>
  <c r="O107" i="2" s="1"/>
  <c r="Z86" i="2" a="1"/>
  <c r="Z86" i="2" s="1"/>
  <c r="AB107" i="2" a="1"/>
  <c r="AB107" i="2" s="1"/>
  <c r="L107" i="2" a="1"/>
  <c r="L107" i="2" s="1"/>
  <c r="X106" i="2" a="1"/>
  <c r="X106" i="2" s="1"/>
  <c r="H106" i="2" a="1"/>
  <c r="H106" i="2" s="1"/>
  <c r="T105" i="2" a="1"/>
  <c r="T105" i="2" s="1"/>
  <c r="D105" i="2" a="1"/>
  <c r="D105" i="2" s="1"/>
  <c r="P104" i="2" a="1"/>
  <c r="P104" i="2" s="1"/>
  <c r="AB103" i="2" a="1"/>
  <c r="AB103" i="2" s="1"/>
  <c r="L103" i="2" a="1"/>
  <c r="L103" i="2" s="1"/>
  <c r="X102" i="2" a="1"/>
  <c r="X102" i="2" s="1"/>
  <c r="H102" i="2" a="1"/>
  <c r="H102" i="2" s="1"/>
  <c r="T101" i="2" a="1"/>
  <c r="T101" i="2" s="1"/>
  <c r="D101" i="2" a="1"/>
  <c r="D101" i="2" s="1"/>
  <c r="P100" i="2" a="1"/>
  <c r="P100" i="2" s="1"/>
  <c r="AB99" i="2" a="1"/>
  <c r="AB99" i="2" s="1"/>
  <c r="L99" i="2" a="1"/>
  <c r="L99" i="2" s="1"/>
  <c r="X98" i="2" a="1"/>
  <c r="X98" i="2" s="1"/>
  <c r="H98" i="2" a="1"/>
  <c r="H98" i="2" s="1"/>
  <c r="T97" i="2" a="1"/>
  <c r="T97" i="2" s="1"/>
  <c r="D97" i="2" a="1"/>
  <c r="D97" i="2" s="1"/>
  <c r="AB95" i="2" a="1"/>
  <c r="AB95" i="2" s="1"/>
  <c r="X94" i="2" a="1"/>
  <c r="X94" i="2" s="1"/>
  <c r="H94" i="2" a="1"/>
  <c r="H94" i="2" s="1"/>
  <c r="R92" i="2" a="1"/>
  <c r="R92" i="2" s="1"/>
  <c r="O90" i="2" a="1"/>
  <c r="O90" i="2" s="1"/>
  <c r="K87" i="2" a="1"/>
  <c r="K87" i="2" s="1"/>
  <c r="I80" i="2" a="1"/>
  <c r="I80" i="2" s="1"/>
  <c r="G82" i="2" a="1"/>
  <c r="G82" i="2" s="1"/>
  <c r="M83" i="2" a="1"/>
  <c r="M83" i="2" s="1"/>
  <c r="AA85" i="2" a="1"/>
  <c r="AA85" i="2" s="1"/>
  <c r="K102" i="2" a="1"/>
  <c r="K102" i="2" s="1"/>
  <c r="AA98" i="2" a="1"/>
  <c r="AA98" i="2" s="1"/>
  <c r="O95" i="2" a="1"/>
  <c r="O95" i="2" s="1"/>
  <c r="Q90" i="2" a="1"/>
  <c r="Q90" i="2" s="1"/>
  <c r="L86" i="2" a="1"/>
  <c r="L86" i="2" s="1"/>
  <c r="J84" i="2" a="1"/>
  <c r="J84" i="2" s="1"/>
  <c r="K80" i="2" a="1"/>
  <c r="K80" i="2" s="1"/>
  <c r="AA107" i="2" a="1"/>
  <c r="AA107" i="2" s="1"/>
  <c r="K107" i="2" a="1"/>
  <c r="K107" i="2" s="1"/>
  <c r="W106" i="2" a="1"/>
  <c r="W106" i="2" s="1"/>
  <c r="G106" i="2" a="1"/>
  <c r="G106" i="2" s="1"/>
  <c r="S105" i="2" a="1"/>
  <c r="S105" i="2" s="1"/>
  <c r="C105" i="2" a="1"/>
  <c r="C105" i="2" s="1"/>
  <c r="C69" i="2" s="1"/>
  <c r="O104" i="2" a="1"/>
  <c r="O104" i="2" s="1"/>
  <c r="AA103" i="2" a="1"/>
  <c r="AA103" i="2" s="1"/>
  <c r="K103" i="2" a="1"/>
  <c r="K103" i="2" s="1"/>
  <c r="W102" i="2" a="1"/>
  <c r="W102" i="2" s="1"/>
  <c r="G102" i="2" a="1"/>
  <c r="G102" i="2" s="1"/>
  <c r="S101" i="2" a="1"/>
  <c r="S101" i="2" s="1"/>
  <c r="C101" i="2" a="1"/>
  <c r="C101" i="2" s="1"/>
  <c r="C65" i="2" s="1"/>
  <c r="O100" i="2" a="1"/>
  <c r="O100" i="2" s="1"/>
  <c r="AA99" i="2" a="1"/>
  <c r="AA99" i="2" s="1"/>
  <c r="K99" i="2" a="1"/>
  <c r="K99" i="2" s="1"/>
  <c r="W98" i="2" a="1"/>
  <c r="W98" i="2" s="1"/>
  <c r="G98" i="2" a="1"/>
  <c r="G98" i="2" s="1"/>
  <c r="S97" i="2" a="1"/>
  <c r="S97" i="2" s="1"/>
  <c r="C97" i="2" a="1"/>
  <c r="C97" i="2" s="1"/>
  <c r="C61" i="2" s="1"/>
  <c r="O96" i="2" a="1"/>
  <c r="O96" i="2" s="1"/>
  <c r="AA95" i="2" a="1"/>
  <c r="AA95" i="2" s="1"/>
  <c r="K95" i="2" a="1"/>
  <c r="K95" i="2" s="1"/>
  <c r="W94" i="2" a="1"/>
  <c r="W94" i="2" s="1"/>
  <c r="G94" i="2" a="1"/>
  <c r="G94" i="2" s="1"/>
  <c r="S93" i="2" a="1"/>
  <c r="S93" i="2" s="1"/>
  <c r="D93" i="2" a="1"/>
  <c r="D93" i="2" s="1"/>
  <c r="Q92" i="2" a="1"/>
  <c r="Q92" i="2" s="1"/>
  <c r="C92" i="2" a="1"/>
  <c r="C92" i="2" s="1"/>
  <c r="C56" i="2" s="1"/>
  <c r="O91" i="2" a="1"/>
  <c r="O91" i="2" s="1"/>
  <c r="AC90" i="2" a="1"/>
  <c r="AC90" i="2" s="1"/>
  <c r="N90" i="2" a="1"/>
  <c r="N90" i="2" s="1"/>
  <c r="AB89" i="2" a="1"/>
  <c r="AB89" i="2" s="1"/>
  <c r="L89" i="2" a="1"/>
  <c r="L89" i="2" s="1"/>
  <c r="Z88" i="2" a="1"/>
  <c r="Z88" i="2" s="1"/>
  <c r="J88" i="2" a="1"/>
  <c r="J88" i="2" s="1"/>
  <c r="Y87" i="2" a="1"/>
  <c r="Y87" i="2" s="1"/>
  <c r="J87" i="2" a="1"/>
  <c r="J87" i="2" s="1"/>
  <c r="W86" i="2" a="1"/>
  <c r="W86" i="2" s="1"/>
  <c r="H86" i="2" a="1"/>
  <c r="H86" i="2" s="1"/>
  <c r="U85" i="2" a="1"/>
  <c r="U85" i="2" s="1"/>
  <c r="H85" i="2" a="1"/>
  <c r="H85" i="2" s="1"/>
  <c r="T84" i="2" a="1"/>
  <c r="T84" i="2" s="1"/>
  <c r="F84" i="2" a="1"/>
  <c r="F84" i="2" s="1"/>
  <c r="T83" i="2" a="1"/>
  <c r="T83" i="2" s="1"/>
  <c r="H83" i="2" a="1"/>
  <c r="H83" i="2" s="1"/>
  <c r="AC81" i="2" a="1"/>
  <c r="AC81" i="2" s="1"/>
  <c r="Q81" i="2" a="1"/>
  <c r="Q81" i="2" s="1"/>
  <c r="H80" i="2" a="1"/>
  <c r="H80" i="2" s="1"/>
  <c r="D81" i="2" a="1"/>
  <c r="D81" i="2" s="1"/>
  <c r="V82" i="2" a="1"/>
  <c r="V82" i="2" s="1"/>
  <c r="C81" i="2" a="1"/>
  <c r="C81" i="2" s="1"/>
  <c r="C45" i="2" s="1"/>
  <c r="W90" i="2" a="1"/>
  <c r="W90" i="2" s="1"/>
  <c r="O83" i="2" a="1"/>
  <c r="O83" i="2" s="1"/>
  <c r="AD87" i="2" a="1"/>
  <c r="AD87" i="2" s="1"/>
  <c r="AC87" i="2" a="1"/>
  <c r="AC87" i="2" s="1"/>
  <c r="S100" i="2" a="1"/>
  <c r="S100" i="2" s="1"/>
  <c r="G97" i="2" a="1"/>
  <c r="G97" i="2" s="1"/>
  <c r="P89" i="2" a="1"/>
  <c r="P89" i="2" s="1"/>
  <c r="AA82" i="2" a="1"/>
  <c r="AA82" i="2" s="1"/>
  <c r="Z107" i="2" a="1"/>
  <c r="Z107" i="2" s="1"/>
  <c r="J107" i="2" a="1"/>
  <c r="J107" i="2" s="1"/>
  <c r="V106" i="2" a="1"/>
  <c r="V106" i="2" s="1"/>
  <c r="F106" i="2" a="1"/>
  <c r="F106" i="2" s="1"/>
  <c r="R105" i="2" a="1"/>
  <c r="R105" i="2" s="1"/>
  <c r="AD104" i="2" a="1"/>
  <c r="AD104" i="2" s="1"/>
  <c r="N104" i="2" a="1"/>
  <c r="N104" i="2" s="1"/>
  <c r="Z103" i="2" a="1"/>
  <c r="Z103" i="2" s="1"/>
  <c r="J103" i="2" a="1"/>
  <c r="J103" i="2" s="1"/>
  <c r="V102" i="2" a="1"/>
  <c r="V102" i="2" s="1"/>
  <c r="F102" i="2" a="1"/>
  <c r="F102" i="2" s="1"/>
  <c r="R101" i="2" a="1"/>
  <c r="R101" i="2" s="1"/>
  <c r="AD100" i="2" a="1"/>
  <c r="AD100" i="2" s="1"/>
  <c r="N100" i="2" a="1"/>
  <c r="N100" i="2" s="1"/>
  <c r="Z99" i="2" a="1"/>
  <c r="Z99" i="2" s="1"/>
  <c r="J99" i="2" a="1"/>
  <c r="J99" i="2" s="1"/>
  <c r="V98" i="2" a="1"/>
  <c r="V98" i="2" s="1"/>
  <c r="F98" i="2" a="1"/>
  <c r="F98" i="2" s="1"/>
  <c r="R97" i="2" a="1"/>
  <c r="R97" i="2" s="1"/>
  <c r="AD96" i="2" a="1"/>
  <c r="AD96" i="2" s="1"/>
  <c r="N96" i="2" a="1"/>
  <c r="N96" i="2" s="1"/>
  <c r="Z95" i="2" a="1"/>
  <c r="Z95" i="2" s="1"/>
  <c r="J95" i="2" a="1"/>
  <c r="J95" i="2" s="1"/>
  <c r="V94" i="2" a="1"/>
  <c r="V94" i="2" s="1"/>
  <c r="F94" i="2" a="1"/>
  <c r="F94" i="2" s="1"/>
  <c r="C93" i="2" a="1"/>
  <c r="C93" i="2" s="1"/>
  <c r="C57" i="2" s="1"/>
  <c r="AD91" i="2" a="1"/>
  <c r="AD91" i="2" s="1"/>
  <c r="N91" i="2" a="1"/>
  <c r="N91" i="2" s="1"/>
  <c r="AB90" i="2" a="1"/>
  <c r="AB90" i="2" s="1"/>
  <c r="M90" i="2" a="1"/>
  <c r="M90" i="2" s="1"/>
  <c r="AA89" i="2" a="1"/>
  <c r="AA89" i="2" s="1"/>
  <c r="K89" i="2" a="1"/>
  <c r="K89" i="2" s="1"/>
  <c r="Y88" i="2" a="1"/>
  <c r="Y88" i="2" s="1"/>
  <c r="I88" i="2" a="1"/>
  <c r="I88" i="2" s="1"/>
  <c r="X87" i="2" a="1"/>
  <c r="X87" i="2" s="1"/>
  <c r="I87" i="2" a="1"/>
  <c r="I87" i="2" s="1"/>
  <c r="G86" i="2" a="1"/>
  <c r="G86" i="2" s="1"/>
  <c r="G85" i="2" a="1"/>
  <c r="G85" i="2" s="1"/>
  <c r="S84" i="2" a="1"/>
  <c r="S84" i="2" s="1"/>
  <c r="E84" i="2" a="1"/>
  <c r="E84" i="2" s="1"/>
  <c r="S83" i="2" a="1"/>
  <c r="S83" i="2" s="1"/>
  <c r="G83" i="2" a="1"/>
  <c r="G83" i="2" s="1"/>
  <c r="X82" i="2" a="1"/>
  <c r="X82" i="2" s="1"/>
  <c r="L82" i="2" a="1"/>
  <c r="L82" i="2" s="1"/>
  <c r="E81" i="2" a="1"/>
  <c r="E81" i="2" s="1"/>
  <c r="T80" i="2" a="1"/>
  <c r="T80" i="2" s="1"/>
  <c r="G80" i="2" a="1"/>
  <c r="G80" i="2" s="1"/>
  <c r="S80" i="2" a="1"/>
  <c r="S80" i="2" s="1"/>
  <c r="AA81" i="2" a="1"/>
  <c r="AA81" i="2" s="1"/>
  <c r="R80" i="2" a="1"/>
  <c r="R80" i="2" s="1"/>
  <c r="E88" i="2" a="1"/>
  <c r="E88" i="2" s="1"/>
  <c r="D83" i="2" a="1"/>
  <c r="D83" i="2" s="1"/>
  <c r="S89" i="2" a="1"/>
  <c r="S89" i="2" s="1"/>
  <c r="F82" i="2" a="1"/>
  <c r="F82" i="2" s="1"/>
  <c r="E82" i="2" a="1"/>
  <c r="E82" i="2" s="1"/>
  <c r="K106" i="2" a="1"/>
  <c r="K106" i="2" s="1"/>
  <c r="W93" i="2" a="1"/>
  <c r="W93" i="2" s="1"/>
  <c r="Y107" i="2" a="1"/>
  <c r="Y107" i="2" s="1"/>
  <c r="I107" i="2" a="1"/>
  <c r="I107" i="2" s="1"/>
  <c r="U106" i="2" a="1"/>
  <c r="U106" i="2" s="1"/>
  <c r="E106" i="2" a="1"/>
  <c r="E106" i="2" s="1"/>
  <c r="Q105" i="2" a="1"/>
  <c r="Q105" i="2" s="1"/>
  <c r="AC104" i="2" a="1"/>
  <c r="AC104" i="2" s="1"/>
  <c r="M104" i="2" a="1"/>
  <c r="M104" i="2" s="1"/>
  <c r="Y103" i="2" a="1"/>
  <c r="Y103" i="2" s="1"/>
  <c r="I103" i="2" a="1"/>
  <c r="I103" i="2" s="1"/>
  <c r="U102" i="2" a="1"/>
  <c r="U102" i="2" s="1"/>
  <c r="E102" i="2" a="1"/>
  <c r="E102" i="2" s="1"/>
  <c r="Q101" i="2" a="1"/>
  <c r="Q101" i="2" s="1"/>
  <c r="AC100" i="2" a="1"/>
  <c r="AC100" i="2" s="1"/>
  <c r="M100" i="2" a="1"/>
  <c r="M100" i="2" s="1"/>
  <c r="Y99" i="2" a="1"/>
  <c r="Y99" i="2" s="1"/>
  <c r="I99" i="2" a="1"/>
  <c r="I99" i="2" s="1"/>
  <c r="U98" i="2" a="1"/>
  <c r="U98" i="2" s="1"/>
  <c r="E98" i="2" a="1"/>
  <c r="E98" i="2" s="1"/>
  <c r="Q97" i="2" a="1"/>
  <c r="Q97" i="2" s="1"/>
  <c r="AC96" i="2" a="1"/>
  <c r="AC96" i="2" s="1"/>
  <c r="M96" i="2" a="1"/>
  <c r="M96" i="2" s="1"/>
  <c r="Y95" i="2" a="1"/>
  <c r="Y95" i="2" s="1"/>
  <c r="I95" i="2" a="1"/>
  <c r="I95" i="2" s="1"/>
  <c r="U94" i="2" a="1"/>
  <c r="U94" i="2" s="1"/>
  <c r="E94" i="2" a="1"/>
  <c r="E94" i="2" s="1"/>
  <c r="R93" i="2" a="1"/>
  <c r="R93" i="2" s="1"/>
  <c r="AD92" i="2" a="1"/>
  <c r="AD92" i="2" s="1"/>
  <c r="P92" i="2" a="1"/>
  <c r="P92" i="2" s="1"/>
  <c r="AC91" i="2" a="1"/>
  <c r="AC91" i="2" s="1"/>
  <c r="M91" i="2" a="1"/>
  <c r="M91" i="2" s="1"/>
  <c r="AA90" i="2" a="1"/>
  <c r="AA90" i="2" s="1"/>
  <c r="L90" i="2" a="1"/>
  <c r="L90" i="2" s="1"/>
  <c r="Z89" i="2" a="1"/>
  <c r="Z89" i="2" s="1"/>
  <c r="J89" i="2" a="1"/>
  <c r="J89" i="2" s="1"/>
  <c r="X88" i="2" a="1"/>
  <c r="X88" i="2" s="1"/>
  <c r="W87" i="2" a="1"/>
  <c r="W87" i="2" s="1"/>
  <c r="H87" i="2" a="1"/>
  <c r="H87" i="2" s="1"/>
  <c r="V86" i="2" a="1"/>
  <c r="V86" i="2" s="1"/>
  <c r="F86" i="2" a="1"/>
  <c r="F86" i="2" s="1"/>
  <c r="T85" i="2" a="1"/>
  <c r="T85" i="2" s="1"/>
  <c r="F85" i="2" a="1"/>
  <c r="F85" i="2" s="1"/>
  <c r="R84" i="2" a="1"/>
  <c r="R84" i="2" s="1"/>
  <c r="D84" i="2" a="1"/>
  <c r="D84" i="2" s="1"/>
  <c r="R83" i="2" a="1"/>
  <c r="R83" i="2" s="1"/>
  <c r="F83" i="2" a="1"/>
  <c r="F83" i="2" s="1"/>
  <c r="W82" i="2" a="1"/>
  <c r="W82" i="2" s="1"/>
  <c r="K82" i="2" a="1"/>
  <c r="K82" i="2" s="1"/>
  <c r="AB81" i="2" a="1"/>
  <c r="AB81" i="2" s="1"/>
  <c r="P81" i="2" a="1"/>
  <c r="P81" i="2" s="1"/>
  <c r="F80" i="2" a="1"/>
  <c r="F80" i="2" s="1"/>
  <c r="O81" i="2" a="1"/>
  <c r="O81" i="2" s="1"/>
  <c r="O84" i="2" a="1"/>
  <c r="O84" i="2" s="1"/>
  <c r="Y83" i="2" a="1"/>
  <c r="Y83" i="2" s="1"/>
  <c r="M85" i="2" a="1"/>
  <c r="M85" i="2" s="1"/>
  <c r="W101" i="2" a="1"/>
  <c r="W101" i="2" s="1"/>
  <c r="K98" i="2" a="1"/>
  <c r="K98" i="2" s="1"/>
  <c r="D90" i="2" a="1"/>
  <c r="D90" i="2" s="1"/>
  <c r="P82" i="2" a="1"/>
  <c r="P82" i="2" s="1"/>
  <c r="X107" i="2" a="1"/>
  <c r="X107" i="2" s="1"/>
  <c r="H107" i="2" a="1"/>
  <c r="H107" i="2" s="1"/>
  <c r="T106" i="2" a="1"/>
  <c r="T106" i="2" s="1"/>
  <c r="D106" i="2" a="1"/>
  <c r="D106" i="2" s="1"/>
  <c r="P105" i="2" a="1"/>
  <c r="P105" i="2" s="1"/>
  <c r="AB104" i="2" a="1"/>
  <c r="AB104" i="2" s="1"/>
  <c r="L104" i="2" a="1"/>
  <c r="L104" i="2" s="1"/>
  <c r="X103" i="2" a="1"/>
  <c r="X103" i="2" s="1"/>
  <c r="H103" i="2" a="1"/>
  <c r="H103" i="2" s="1"/>
  <c r="T102" i="2" a="1"/>
  <c r="T102" i="2" s="1"/>
  <c r="D102" i="2" a="1"/>
  <c r="D102" i="2" s="1"/>
  <c r="P101" i="2" a="1"/>
  <c r="P101" i="2" s="1"/>
  <c r="AB100" i="2" a="1"/>
  <c r="AB100" i="2" s="1"/>
  <c r="L100" i="2" a="1"/>
  <c r="L100" i="2" s="1"/>
  <c r="X99" i="2" a="1"/>
  <c r="X99" i="2" s="1"/>
  <c r="H99" i="2" a="1"/>
  <c r="H99" i="2" s="1"/>
  <c r="T98" i="2" a="1"/>
  <c r="T98" i="2" s="1"/>
  <c r="D98" i="2" a="1"/>
  <c r="D98" i="2" s="1"/>
  <c r="P97" i="2" a="1"/>
  <c r="P97" i="2" s="1"/>
  <c r="AB96" i="2" a="1"/>
  <c r="AB96" i="2" s="1"/>
  <c r="L96" i="2" a="1"/>
  <c r="L96" i="2" s="1"/>
  <c r="X95" i="2" a="1"/>
  <c r="X95" i="2" s="1"/>
  <c r="H95" i="2" a="1"/>
  <c r="H95" i="2" s="1"/>
  <c r="T94" i="2" a="1"/>
  <c r="T94" i="2" s="1"/>
  <c r="D94" i="2" a="1"/>
  <c r="D94" i="2" s="1"/>
  <c r="Q93" i="2" a="1"/>
  <c r="Q93" i="2" s="1"/>
  <c r="AC92" i="2" a="1"/>
  <c r="AC92" i="2" s="1"/>
  <c r="O92" i="2" a="1"/>
  <c r="O92" i="2" s="1"/>
  <c r="AB91" i="2" a="1"/>
  <c r="AB91" i="2" s="1"/>
  <c r="Z90" i="2" a="1"/>
  <c r="Z90" i="2" s="1"/>
  <c r="K90" i="2" a="1"/>
  <c r="K90" i="2" s="1"/>
  <c r="Y89" i="2" a="1"/>
  <c r="Y89" i="2" s="1"/>
  <c r="I89" i="2" a="1"/>
  <c r="I89" i="2" s="1"/>
  <c r="W88" i="2" a="1"/>
  <c r="W88" i="2" s="1"/>
  <c r="H88" i="2" a="1"/>
  <c r="H88" i="2" s="1"/>
  <c r="V87" i="2" a="1"/>
  <c r="V87" i="2" s="1"/>
  <c r="G87" i="2" a="1"/>
  <c r="G87" i="2" s="1"/>
  <c r="U86" i="2" a="1"/>
  <c r="U86" i="2" s="1"/>
  <c r="E86" i="2" a="1"/>
  <c r="E86" i="2" s="1"/>
  <c r="S85" i="2" a="1"/>
  <c r="S85" i="2" s="1"/>
  <c r="E85" i="2" a="1"/>
  <c r="E85" i="2" s="1"/>
  <c r="Q84" i="2" a="1"/>
  <c r="Q84" i="2" s="1"/>
  <c r="C84" i="2" a="1"/>
  <c r="C84" i="2" s="1"/>
  <c r="C48" i="2" s="1"/>
  <c r="Q83" i="2" a="1"/>
  <c r="Q83" i="2" s="1"/>
  <c r="J82" i="2" a="1"/>
  <c r="J82" i="2" s="1"/>
  <c r="E80" i="2" a="1"/>
  <c r="E80" i="2" s="1"/>
  <c r="D87" i="2" a="1"/>
  <c r="D87" i="2" s="1"/>
  <c r="M81" i="2" a="1"/>
  <c r="M81" i="2" s="1"/>
  <c r="Q88" i="2" a="1"/>
  <c r="Q88" i="2" s="1"/>
  <c r="K81" i="2" a="1"/>
  <c r="K81" i="2" s="1"/>
  <c r="AB86" i="2" a="1"/>
  <c r="AB86" i="2" s="1"/>
  <c r="C104" i="2" a="1"/>
  <c r="C104" i="2" s="1"/>
  <c r="C68" i="2" s="1"/>
  <c r="U92" i="2" a="1"/>
  <c r="U92" i="2" s="1"/>
  <c r="X84" i="2" a="1"/>
  <c r="X84" i="2" s="1"/>
  <c r="W107" i="2" a="1"/>
  <c r="W107" i="2" s="1"/>
  <c r="G107" i="2" a="1"/>
  <c r="G107" i="2" s="1"/>
  <c r="S106" i="2" a="1"/>
  <c r="S106" i="2" s="1"/>
  <c r="C106" i="2" a="1"/>
  <c r="C106" i="2" s="1"/>
  <c r="C70" i="2" s="1"/>
  <c r="O105" i="2" a="1"/>
  <c r="O105" i="2" s="1"/>
  <c r="AA104" i="2" a="1"/>
  <c r="AA104" i="2" s="1"/>
  <c r="K104" i="2" a="1"/>
  <c r="K104" i="2" s="1"/>
  <c r="W103" i="2" a="1"/>
  <c r="W103" i="2" s="1"/>
  <c r="G103" i="2" a="1"/>
  <c r="G103" i="2" s="1"/>
  <c r="S102" i="2" a="1"/>
  <c r="S102" i="2" s="1"/>
  <c r="C102" i="2" a="1"/>
  <c r="C102" i="2" s="1"/>
  <c r="C66" i="2" s="1"/>
  <c r="O101" i="2" a="1"/>
  <c r="O101" i="2" s="1"/>
  <c r="AA100" i="2" a="1"/>
  <c r="AA100" i="2" s="1"/>
  <c r="K100" i="2" a="1"/>
  <c r="K100" i="2" s="1"/>
  <c r="W99" i="2" a="1"/>
  <c r="W99" i="2" s="1"/>
  <c r="G99" i="2" a="1"/>
  <c r="G99" i="2" s="1"/>
  <c r="S98" i="2" a="1"/>
  <c r="S98" i="2" s="1"/>
  <c r="C98" i="2" a="1"/>
  <c r="C98" i="2" s="1"/>
  <c r="C62" i="2" s="1"/>
  <c r="O97" i="2" a="1"/>
  <c r="O97" i="2" s="1"/>
  <c r="AA96" i="2" a="1"/>
  <c r="AA96" i="2" s="1"/>
  <c r="K96" i="2" a="1"/>
  <c r="K96" i="2" s="1"/>
  <c r="W95" i="2" a="1"/>
  <c r="W95" i="2" s="1"/>
  <c r="G95" i="2" a="1"/>
  <c r="G95" i="2" s="1"/>
  <c r="S94" i="2" a="1"/>
  <c r="S94" i="2" s="1"/>
  <c r="C94" i="2" a="1"/>
  <c r="C94" i="2" s="1"/>
  <c r="C58" i="2" s="1"/>
  <c r="P93" i="2" a="1"/>
  <c r="P93" i="2" s="1"/>
  <c r="AB92" i="2" a="1"/>
  <c r="AB92" i="2" s="1"/>
  <c r="AA91" i="2" a="1"/>
  <c r="AA91" i="2" s="1"/>
  <c r="L91" i="2" a="1"/>
  <c r="L91" i="2" s="1"/>
  <c r="Y90" i="2" a="1"/>
  <c r="Y90" i="2" s="1"/>
  <c r="J90" i="2" a="1"/>
  <c r="J90" i="2" s="1"/>
  <c r="X89" i="2" a="1"/>
  <c r="X89" i="2" s="1"/>
  <c r="H89" i="2" a="1"/>
  <c r="H89" i="2" s="1"/>
  <c r="V88" i="2" a="1"/>
  <c r="V88" i="2" s="1"/>
  <c r="G88" i="2" a="1"/>
  <c r="G88" i="2" s="1"/>
  <c r="U87" i="2" a="1"/>
  <c r="U87" i="2" s="1"/>
  <c r="F87" i="2" a="1"/>
  <c r="F87" i="2" s="1"/>
  <c r="T86" i="2" a="1"/>
  <c r="T86" i="2" s="1"/>
  <c r="D86" i="2" a="1"/>
  <c r="D86" i="2" s="1"/>
  <c r="D85" i="2" a="1"/>
  <c r="D85" i="2" s="1"/>
  <c r="AD83" i="2" a="1"/>
  <c r="AD83" i="2" s="1"/>
  <c r="E83" i="2" a="1"/>
  <c r="E83" i="2" s="1"/>
  <c r="U82" i="2" a="1"/>
  <c r="U82" i="2" s="1"/>
  <c r="Z81" i="2" a="1"/>
  <c r="Z81" i="2" s="1"/>
  <c r="N81" i="2" a="1"/>
  <c r="N81" i="2" s="1"/>
  <c r="AD80" i="2" a="1"/>
  <c r="AD80" i="2" s="1"/>
  <c r="W89" i="2" a="1"/>
  <c r="W89" i="2" s="1"/>
  <c r="E87" i="2" a="1"/>
  <c r="E87" i="2" s="1"/>
  <c r="C86" i="2" a="1"/>
  <c r="C86" i="2" s="1"/>
  <c r="C50" i="2" s="1"/>
  <c r="R85" i="2" a="1"/>
  <c r="R85" i="2" s="1"/>
  <c r="P84" i="2" a="1"/>
  <c r="P84" i="2" s="1"/>
  <c r="AC83" i="2" a="1"/>
  <c r="AC83" i="2" s="1"/>
  <c r="I82" i="2" a="1"/>
  <c r="I82" i="2" s="1"/>
  <c r="AC80" i="2" a="1"/>
  <c r="AC80" i="2" s="1"/>
  <c r="D80" i="2" a="1"/>
  <c r="D80" i="2" s="1"/>
  <c r="N93" i="2" a="1"/>
  <c r="N93" i="2" s="1"/>
  <c r="F89" i="2" a="1"/>
  <c r="F89" i="2" s="1"/>
  <c r="AD85" i="2" a="1"/>
  <c r="AD85" i="2" s="1"/>
  <c r="AB83" i="2" a="1"/>
  <c r="AB83" i="2" s="1"/>
  <c r="W81" i="2" a="1"/>
  <c r="W81" i="2" s="1"/>
  <c r="D89" i="2" a="1"/>
  <c r="D89" i="2" s="1"/>
  <c r="AC82" i="2" a="1"/>
  <c r="AC82" i="2" s="1"/>
  <c r="P87" i="2" a="1"/>
  <c r="P87" i="2" s="1"/>
  <c r="S104" i="2" a="1"/>
  <c r="S104" i="2" s="1"/>
  <c r="G92" i="2" a="1"/>
  <c r="G92" i="2" s="1"/>
  <c r="V83" i="2" a="1"/>
  <c r="V83" i="2" s="1"/>
  <c r="V107" i="2" a="1"/>
  <c r="V107" i="2" s="1"/>
  <c r="F107" i="2" a="1"/>
  <c r="F107" i="2" s="1"/>
  <c r="R106" i="2" a="1"/>
  <c r="R106" i="2" s="1"/>
  <c r="AD105" i="2" a="1"/>
  <c r="AD105" i="2" s="1"/>
  <c r="N105" i="2" a="1"/>
  <c r="N105" i="2" s="1"/>
  <c r="Z104" i="2" a="1"/>
  <c r="Z104" i="2" s="1"/>
  <c r="J104" i="2" a="1"/>
  <c r="J104" i="2" s="1"/>
  <c r="V103" i="2" a="1"/>
  <c r="V103" i="2" s="1"/>
  <c r="F103" i="2" a="1"/>
  <c r="F103" i="2" s="1"/>
  <c r="R102" i="2" a="1"/>
  <c r="R102" i="2" s="1"/>
  <c r="AD101" i="2" a="1"/>
  <c r="AD101" i="2" s="1"/>
  <c r="N101" i="2" a="1"/>
  <c r="N101" i="2" s="1"/>
  <c r="Z100" i="2" a="1"/>
  <c r="Z100" i="2" s="1"/>
  <c r="J100" i="2" a="1"/>
  <c r="J100" i="2" s="1"/>
  <c r="V99" i="2" a="1"/>
  <c r="V99" i="2" s="1"/>
  <c r="F99" i="2" a="1"/>
  <c r="F99" i="2" s="1"/>
  <c r="R98" i="2" a="1"/>
  <c r="R98" i="2" s="1"/>
  <c r="AD97" i="2" a="1"/>
  <c r="AD97" i="2" s="1"/>
  <c r="N97" i="2" a="1"/>
  <c r="N97" i="2" s="1"/>
  <c r="Z96" i="2" a="1"/>
  <c r="Z96" i="2" s="1"/>
  <c r="J96" i="2" a="1"/>
  <c r="J96" i="2" s="1"/>
  <c r="V95" i="2" a="1"/>
  <c r="V95" i="2" s="1"/>
  <c r="F95" i="2" a="1"/>
  <c r="F95" i="2" s="1"/>
  <c r="R94" i="2" a="1"/>
  <c r="R94" i="2" s="1"/>
  <c r="AD93" i="2" a="1"/>
  <c r="AD93" i="2" s="1"/>
  <c r="O93" i="2" a="1"/>
  <c r="O93" i="2" s="1"/>
  <c r="AA92" i="2" a="1"/>
  <c r="AA92" i="2" s="1"/>
  <c r="N92" i="2" a="1"/>
  <c r="N92" i="2" s="1"/>
  <c r="Z91" i="2" a="1"/>
  <c r="Z91" i="2" s="1"/>
  <c r="K91" i="2" a="1"/>
  <c r="K91" i="2" s="1"/>
  <c r="X90" i="2" a="1"/>
  <c r="X90" i="2" s="1"/>
  <c r="I90" i="2" a="1"/>
  <c r="I90" i="2" s="1"/>
  <c r="G89" i="2" a="1"/>
  <c r="G89" i="2" s="1"/>
  <c r="U88" i="2" a="1"/>
  <c r="U88" i="2" s="1"/>
  <c r="F88" i="2" a="1"/>
  <c r="F88" i="2" s="1"/>
  <c r="T87" i="2" a="1"/>
  <c r="T87" i="2" s="1"/>
  <c r="S86" i="2" a="1"/>
  <c r="S86" i="2" s="1"/>
  <c r="C85" i="2" a="1"/>
  <c r="C85" i="2" s="1"/>
  <c r="C49" i="2" s="1"/>
  <c r="P83" i="2" a="1"/>
  <c r="P83" i="2" s="1"/>
  <c r="Y81" i="2" a="1"/>
  <c r="Y81" i="2" s="1"/>
  <c r="Q80" i="2" a="1"/>
  <c r="Q80" i="2" s="1"/>
  <c r="M92" i="2" a="1"/>
  <c r="M92" i="2" s="1"/>
  <c r="T88" i="2" a="1"/>
  <c r="T88" i="2" s="1"/>
  <c r="AD84" i="2" a="1"/>
  <c r="AD84" i="2" s="1"/>
  <c r="T82" i="2" a="1"/>
  <c r="T82" i="2" s="1"/>
  <c r="P80" i="2" a="1"/>
  <c r="P80" i="2" s="1"/>
  <c r="N80" i="2" a="1"/>
  <c r="N80" i="2" s="1"/>
  <c r="AA84" i="2" a="1"/>
  <c r="AA84" i="2" s="1"/>
  <c r="R89" i="2" a="1"/>
  <c r="R89" i="2" s="1"/>
  <c r="O103" i="2" a="1"/>
  <c r="O103" i="2" s="1"/>
  <c r="S91" i="2" a="1"/>
  <c r="S91" i="2" s="1"/>
  <c r="K85" i="2" a="1"/>
  <c r="K85" i="2" s="1"/>
  <c r="U107" i="2" a="1"/>
  <c r="U107" i="2" s="1"/>
  <c r="E107" i="2" a="1"/>
  <c r="E107" i="2" s="1"/>
  <c r="Q106" i="2" a="1"/>
  <c r="Q106" i="2" s="1"/>
  <c r="AC105" i="2" a="1"/>
  <c r="AC105" i="2" s="1"/>
  <c r="M105" i="2" a="1"/>
  <c r="M105" i="2" s="1"/>
  <c r="Y104" i="2" a="1"/>
  <c r="Y104" i="2" s="1"/>
  <c r="I104" i="2" a="1"/>
  <c r="I104" i="2" s="1"/>
  <c r="U103" i="2" a="1"/>
  <c r="U103" i="2" s="1"/>
  <c r="E103" i="2" a="1"/>
  <c r="E103" i="2" s="1"/>
  <c r="Q102" i="2" a="1"/>
  <c r="Q102" i="2" s="1"/>
  <c r="AC101" i="2" a="1"/>
  <c r="AC101" i="2" s="1"/>
  <c r="M101" i="2" a="1"/>
  <c r="M101" i="2" s="1"/>
  <c r="Y100" i="2" a="1"/>
  <c r="Y100" i="2" s="1"/>
  <c r="I100" i="2" a="1"/>
  <c r="I100" i="2" s="1"/>
  <c r="U99" i="2" a="1"/>
  <c r="U99" i="2" s="1"/>
  <c r="E99" i="2" a="1"/>
  <c r="E99" i="2" s="1"/>
  <c r="Q98" i="2" a="1"/>
  <c r="Q98" i="2" s="1"/>
  <c r="AC97" i="2" a="1"/>
  <c r="AC97" i="2" s="1"/>
  <c r="M97" i="2" a="1"/>
  <c r="M97" i="2" s="1"/>
  <c r="Y96" i="2" a="1"/>
  <c r="Y96" i="2" s="1"/>
  <c r="I96" i="2" a="1"/>
  <c r="I96" i="2" s="1"/>
  <c r="U95" i="2" a="1"/>
  <c r="U95" i="2" s="1"/>
  <c r="E95" i="2" a="1"/>
  <c r="E95" i="2" s="1"/>
  <c r="Q94" i="2" a="1"/>
  <c r="Q94" i="2" s="1"/>
  <c r="AC93" i="2" a="1"/>
  <c r="AC93" i="2" s="1"/>
  <c r="Z92" i="2" a="1"/>
  <c r="Z92" i="2" s="1"/>
  <c r="Y91" i="2" a="1"/>
  <c r="Y91" i="2" s="1"/>
  <c r="V89" i="2" a="1"/>
  <c r="V89" i="2" s="1"/>
  <c r="Q85" i="2" a="1"/>
  <c r="Q85" i="2" s="1"/>
  <c r="M84" i="2" a="1"/>
  <c r="M84" i="2" s="1"/>
  <c r="Z84" i="2" a="1"/>
  <c r="Z84" i="2" s="1"/>
  <c r="AA102" i="2" a="1"/>
  <c r="AA102" i="2" s="1"/>
  <c r="W97" i="2" a="1"/>
  <c r="W97" i="2" s="1"/>
  <c r="H93" i="2" a="1"/>
  <c r="H93" i="2" s="1"/>
  <c r="Y85" i="2" a="1"/>
  <c r="Y85" i="2" s="1"/>
  <c r="D82" i="2" a="1"/>
  <c r="D82" i="2" s="1"/>
  <c r="T107" i="2" a="1"/>
  <c r="T107" i="2" s="1"/>
  <c r="D107" i="2" a="1"/>
  <c r="D107" i="2" s="1"/>
  <c r="P106" i="2" a="1"/>
  <c r="P106" i="2" s="1"/>
  <c r="AB105" i="2" a="1"/>
  <c r="AB105" i="2" s="1"/>
  <c r="L105" i="2" a="1"/>
  <c r="L105" i="2" s="1"/>
  <c r="X104" i="2" a="1"/>
  <c r="X104" i="2" s="1"/>
  <c r="H104" i="2" a="1"/>
  <c r="H104" i="2" s="1"/>
  <c r="T103" i="2" a="1"/>
  <c r="T103" i="2" s="1"/>
  <c r="D103" i="2" a="1"/>
  <c r="D103" i="2" s="1"/>
  <c r="P102" i="2" a="1"/>
  <c r="P102" i="2" s="1"/>
  <c r="AB101" i="2" a="1"/>
  <c r="AB101" i="2" s="1"/>
  <c r="L101" i="2" a="1"/>
  <c r="L101" i="2" s="1"/>
  <c r="X100" i="2" a="1"/>
  <c r="X100" i="2" s="1"/>
  <c r="H100" i="2" a="1"/>
  <c r="H100" i="2" s="1"/>
  <c r="T99" i="2" a="1"/>
  <c r="T99" i="2" s="1"/>
  <c r="D99" i="2" a="1"/>
  <c r="D99" i="2" s="1"/>
  <c r="P98" i="2" a="1"/>
  <c r="P98" i="2" s="1"/>
  <c r="AB97" i="2" a="1"/>
  <c r="AB97" i="2" s="1"/>
  <c r="L97" i="2" a="1"/>
  <c r="L97" i="2" s="1"/>
  <c r="X96" i="2" a="1"/>
  <c r="X96" i="2" s="1"/>
  <c r="H96" i="2" a="1"/>
  <c r="H96" i="2" s="1"/>
  <c r="T95" i="2" a="1"/>
  <c r="T95" i="2" s="1"/>
  <c r="D95" i="2" a="1"/>
  <c r="D95" i="2" s="1"/>
  <c r="P94" i="2" a="1"/>
  <c r="P94" i="2" s="1"/>
  <c r="AB93" i="2" a="1"/>
  <c r="AB93" i="2" s="1"/>
  <c r="M93" i="2" a="1"/>
  <c r="M93" i="2" s="1"/>
  <c r="Y92" i="2" a="1"/>
  <c r="Y92" i="2" s="1"/>
  <c r="L92" i="2" a="1"/>
  <c r="L92" i="2" s="1"/>
  <c r="X91" i="2" a="1"/>
  <c r="X91" i="2" s="1"/>
  <c r="J91" i="2" a="1"/>
  <c r="J91" i="2" s="1"/>
  <c r="V90" i="2" a="1"/>
  <c r="V90" i="2" s="1"/>
  <c r="H90" i="2" a="1"/>
  <c r="H90" i="2" s="1"/>
  <c r="U89" i="2" a="1"/>
  <c r="U89" i="2" s="1"/>
  <c r="E89" i="2" a="1"/>
  <c r="E89" i="2" s="1"/>
  <c r="S88" i="2" a="1"/>
  <c r="S88" i="2" s="1"/>
  <c r="D88" i="2" a="1"/>
  <c r="D88" i="2" s="1"/>
  <c r="C87" i="2" a="1"/>
  <c r="C87" i="2" s="1"/>
  <c r="C51" i="2" s="1"/>
  <c r="Q86" i="2" a="1"/>
  <c r="Q86" i="2" s="1"/>
  <c r="AC85" i="2" a="1"/>
  <c r="AC85" i="2" s="1"/>
  <c r="P85" i="2" a="1"/>
  <c r="P85" i="2" s="1"/>
  <c r="AC84" i="2" a="1"/>
  <c r="AC84" i="2" s="1"/>
  <c r="AA83" i="2" a="1"/>
  <c r="AA83" i="2" s="1"/>
  <c r="N83" i="2" a="1"/>
  <c r="N83" i="2" s="1"/>
  <c r="C83" i="2" a="1"/>
  <c r="C83" i="2" s="1"/>
  <c r="C47" i="2" s="1"/>
  <c r="S82" i="2" a="1"/>
  <c r="S82" i="2" s="1"/>
  <c r="H82" i="2" a="1"/>
  <c r="H82" i="2" s="1"/>
  <c r="X81" i="2" a="1"/>
  <c r="X81" i="2" s="1"/>
  <c r="AB80" i="2" a="1"/>
  <c r="AB80" i="2" s="1"/>
  <c r="O80" i="2" a="1"/>
  <c r="O80" i="2" s="1"/>
  <c r="N84" i="2" a="1"/>
  <c r="N84" i="2" s="1"/>
  <c r="AD82" i="2" a="1"/>
  <c r="AD82" i="2" s="1"/>
  <c r="Q87" i="2" a="1"/>
  <c r="Q87" i="2" s="1"/>
  <c r="V81" i="2" a="1"/>
  <c r="V81" i="2" s="1"/>
  <c r="AA106" i="2" a="1"/>
  <c r="AA106" i="2" s="1"/>
  <c r="K94" i="2" a="1"/>
  <c r="K94" i="2" s="1"/>
  <c r="K83" i="2" a="1"/>
  <c r="K83" i="2" s="1"/>
  <c r="S107" i="2" a="1"/>
  <c r="S107" i="2" s="1"/>
  <c r="C107" i="2" a="1"/>
  <c r="C107" i="2" s="1"/>
  <c r="C71" i="2" s="1"/>
  <c r="O106" i="2" a="1"/>
  <c r="O106" i="2" s="1"/>
  <c r="AA105" i="2" a="1"/>
  <c r="AA105" i="2" s="1"/>
  <c r="K105" i="2" a="1"/>
  <c r="K105" i="2" s="1"/>
  <c r="W104" i="2" a="1"/>
  <c r="W104" i="2" s="1"/>
  <c r="G104" i="2" a="1"/>
  <c r="G104" i="2" s="1"/>
  <c r="S103" i="2" a="1"/>
  <c r="S103" i="2" s="1"/>
  <c r="C103" i="2" a="1"/>
  <c r="C103" i="2" s="1"/>
  <c r="C67" i="2" s="1"/>
  <c r="O102" i="2" a="1"/>
  <c r="O102" i="2" s="1"/>
  <c r="AA101" i="2" a="1"/>
  <c r="AA101" i="2" s="1"/>
  <c r="K101" i="2" a="1"/>
  <c r="K101" i="2" s="1"/>
  <c r="W100" i="2" a="1"/>
  <c r="W100" i="2" s="1"/>
  <c r="G100" i="2" a="1"/>
  <c r="G100" i="2" s="1"/>
  <c r="S99" i="2" a="1"/>
  <c r="S99" i="2" s="1"/>
  <c r="C99" i="2" a="1"/>
  <c r="C99" i="2" s="1"/>
  <c r="C63" i="2" s="1"/>
  <c r="O98" i="2" a="1"/>
  <c r="O98" i="2" s="1"/>
  <c r="AA97" i="2" a="1"/>
  <c r="AA97" i="2" s="1"/>
  <c r="K97" i="2" a="1"/>
  <c r="K97" i="2" s="1"/>
  <c r="W96" i="2" a="1"/>
  <c r="W96" i="2" s="1"/>
  <c r="G96" i="2" a="1"/>
  <c r="G96" i="2" s="1"/>
  <c r="S95" i="2" a="1"/>
  <c r="S95" i="2" s="1"/>
  <c r="C95" i="2" a="1"/>
  <c r="C95" i="2" s="1"/>
  <c r="C59" i="2" s="1"/>
  <c r="O94" i="2" a="1"/>
  <c r="O94" i="2" s="1"/>
  <c r="AA93" i="2" a="1"/>
  <c r="AA93" i="2" s="1"/>
  <c r="L93" i="2" a="1"/>
  <c r="L93" i="2" s="1"/>
  <c r="K92" i="2" a="1"/>
  <c r="K92" i="2" s="1"/>
  <c r="W91" i="2" a="1"/>
  <c r="W91" i="2" s="1"/>
  <c r="I91" i="2" a="1"/>
  <c r="I91" i="2" s="1"/>
  <c r="U90" i="2" a="1"/>
  <c r="U90" i="2" s="1"/>
  <c r="G90" i="2" a="1"/>
  <c r="G90" i="2" s="1"/>
  <c r="T89" i="2" a="1"/>
  <c r="T89" i="2" s="1"/>
  <c r="R88" i="2" a="1"/>
  <c r="R88" i="2" s="1"/>
  <c r="C88" i="2" a="1"/>
  <c r="C88" i="2" s="1"/>
  <c r="C52" i="2" s="1"/>
  <c r="R87" i="2" a="1"/>
  <c r="R87" i="2" s="1"/>
  <c r="AD86" i="2" a="1"/>
  <c r="AD86" i="2" s="1"/>
  <c r="P86" i="2" a="1"/>
  <c r="P86" i="2" s="1"/>
  <c r="O85" i="2" a="1"/>
  <c r="O85" i="2" s="1"/>
  <c r="AB84" i="2" a="1"/>
  <c r="AB84" i="2" s="1"/>
  <c r="Z83" i="2" a="1"/>
  <c r="Z83" i="2" s="1"/>
  <c r="R82" i="2" a="1"/>
  <c r="R82" i="2" s="1"/>
  <c r="O86" i="2" a="1"/>
  <c r="O86" i="2" s="1"/>
  <c r="Z80" i="2" a="1"/>
  <c r="Z80" i="2" s="1"/>
  <c r="X83" i="2" a="1"/>
  <c r="X83" i="2" s="1"/>
  <c r="W105" i="2" a="1"/>
  <c r="W105" i="2" s="1"/>
  <c r="AD88" i="2" a="1"/>
  <c r="AD88" i="2" s="1"/>
  <c r="R107" i="2" a="1"/>
  <c r="R107" i="2" s="1"/>
  <c r="AD106" i="2" a="1"/>
  <c r="AD106" i="2" s="1"/>
  <c r="N106" i="2" a="1"/>
  <c r="N106" i="2" s="1"/>
  <c r="Z105" i="2" a="1"/>
  <c r="Z105" i="2" s="1"/>
  <c r="J105" i="2" a="1"/>
  <c r="J105" i="2" s="1"/>
  <c r="V104" i="2" a="1"/>
  <c r="V104" i="2" s="1"/>
  <c r="F104" i="2" a="1"/>
  <c r="F104" i="2" s="1"/>
  <c r="R103" i="2" a="1"/>
  <c r="R103" i="2" s="1"/>
  <c r="AD102" i="2" a="1"/>
  <c r="AD102" i="2" s="1"/>
  <c r="N102" i="2" a="1"/>
  <c r="N102" i="2" s="1"/>
  <c r="Z101" i="2" a="1"/>
  <c r="Z101" i="2" s="1"/>
  <c r="J101" i="2" a="1"/>
  <c r="J101" i="2" s="1"/>
  <c r="V100" i="2" a="1"/>
  <c r="V100" i="2" s="1"/>
  <c r="F100" i="2" a="1"/>
  <c r="F100" i="2" s="1"/>
  <c r="R99" i="2" a="1"/>
  <c r="R99" i="2" s="1"/>
  <c r="AD98" i="2" a="1"/>
  <c r="AD98" i="2" s="1"/>
  <c r="N98" i="2" a="1"/>
  <c r="N98" i="2" s="1"/>
  <c r="Z97" i="2" a="1"/>
  <c r="Z97" i="2" s="1"/>
  <c r="J97" i="2" a="1"/>
  <c r="J97" i="2" s="1"/>
  <c r="V96" i="2" a="1"/>
  <c r="V96" i="2" s="1"/>
  <c r="F96" i="2" a="1"/>
  <c r="F96" i="2" s="1"/>
  <c r="R95" i="2" a="1"/>
  <c r="R95" i="2" s="1"/>
  <c r="AD94" i="2" a="1"/>
  <c r="AD94" i="2" s="1"/>
  <c r="N94" i="2" a="1"/>
  <c r="N94" i="2" s="1"/>
  <c r="Z93" i="2" a="1"/>
  <c r="Z93" i="2" s="1"/>
  <c r="K93" i="2" a="1"/>
  <c r="K93" i="2" s="1"/>
  <c r="X92" i="2" a="1"/>
  <c r="X92" i="2" s="1"/>
  <c r="J92" i="2" a="1"/>
  <c r="J92" i="2" s="1"/>
  <c r="V91" i="2" a="1"/>
  <c r="V91" i="2" s="1"/>
  <c r="H91" i="2" a="1"/>
  <c r="H91" i="2" s="1"/>
  <c r="T90" i="2" a="1"/>
  <c r="T90" i="2" s="1"/>
  <c r="AB85" i="2" a="1"/>
  <c r="AB85" i="2" s="1"/>
  <c r="N86" i="2" a="1"/>
  <c r="N86" i="2" s="1"/>
  <c r="C100" i="2" a="1"/>
  <c r="C100" i="2" s="1"/>
  <c r="C64" i="2" s="1"/>
  <c r="C96" i="2" a="1"/>
  <c r="C96" i="2" s="1"/>
  <c r="C60" i="2" s="1"/>
  <c r="AB87" i="2" a="1"/>
  <c r="AB87" i="2" s="1"/>
  <c r="Q107" i="2" a="1"/>
  <c r="Q107" i="2" s="1"/>
  <c r="AC106" i="2" a="1"/>
  <c r="AC106" i="2" s="1"/>
  <c r="M106" i="2" a="1"/>
  <c r="M106" i="2" s="1"/>
  <c r="Y105" i="2" a="1"/>
  <c r="Y105" i="2" s="1"/>
  <c r="I105" i="2" a="1"/>
  <c r="I105" i="2" s="1"/>
  <c r="U104" i="2" a="1"/>
  <c r="U104" i="2" s="1"/>
  <c r="E104" i="2" a="1"/>
  <c r="E104" i="2" s="1"/>
  <c r="Q103" i="2" a="1"/>
  <c r="Q103" i="2" s="1"/>
  <c r="AC102" i="2" a="1"/>
  <c r="AC102" i="2" s="1"/>
  <c r="M102" i="2" a="1"/>
  <c r="M102" i="2" s="1"/>
  <c r="Y101" i="2" a="1"/>
  <c r="Y101" i="2" s="1"/>
  <c r="I101" i="2" a="1"/>
  <c r="I101" i="2" s="1"/>
  <c r="U100" i="2" a="1"/>
  <c r="U100" i="2" s="1"/>
  <c r="E100" i="2" a="1"/>
  <c r="E100" i="2" s="1"/>
  <c r="Q99" i="2" a="1"/>
  <c r="Q99" i="2" s="1"/>
  <c r="AC98" i="2" a="1"/>
  <c r="AC98" i="2" s="1"/>
  <c r="M98" i="2" a="1"/>
  <c r="M98" i="2" s="1"/>
  <c r="Y97" i="2" a="1"/>
  <c r="Y97" i="2" s="1"/>
  <c r="I97" i="2" a="1"/>
  <c r="I97" i="2" s="1"/>
  <c r="U96" i="2" a="1"/>
  <c r="U96" i="2" s="1"/>
  <c r="E96" i="2" a="1"/>
  <c r="E96" i="2" s="1"/>
  <c r="Q95" i="2" a="1"/>
  <c r="Q95" i="2" s="1"/>
  <c r="AC94" i="2" a="1"/>
  <c r="AC94" i="2" s="1"/>
  <c r="M94" i="2" a="1"/>
  <c r="M94" i="2" s="1"/>
  <c r="Y93" i="2" a="1"/>
  <c r="Y93" i="2" s="1"/>
  <c r="J93" i="2" a="1"/>
  <c r="J93" i="2" s="1"/>
  <c r="W92" i="2" a="1"/>
  <c r="W92" i="2" s="1"/>
  <c r="I92" i="2" a="1"/>
  <c r="I92" i="2" s="1"/>
  <c r="U91" i="2" a="1"/>
  <c r="U91" i="2" s="1"/>
  <c r="G91" i="2" a="1"/>
  <c r="G91" i="2" s="1"/>
  <c r="S90" i="2" a="1"/>
  <c r="S90" i="2" s="1"/>
  <c r="F90" i="2" a="1"/>
  <c r="F90" i="2" s="1"/>
  <c r="P88" i="2" a="1"/>
  <c r="P88" i="2" s="1"/>
  <c r="Q82" i="2" a="1"/>
  <c r="Q82" i="2" s="1"/>
  <c r="O99" i="2" a="1"/>
  <c r="O99" i="2" s="1"/>
  <c r="AA94" i="2" a="1"/>
  <c r="AA94" i="2" s="1"/>
  <c r="N87" i="2" a="1"/>
  <c r="N87" i="2" s="1"/>
  <c r="P107" i="2" a="1"/>
  <c r="P107" i="2" s="1"/>
  <c r="AB106" i="2" a="1"/>
  <c r="AB106" i="2" s="1"/>
  <c r="L106" i="2" a="1"/>
  <c r="L106" i="2" s="1"/>
  <c r="X105" i="2" a="1"/>
  <c r="X105" i="2" s="1"/>
  <c r="H105" i="2" a="1"/>
  <c r="H105" i="2" s="1"/>
  <c r="T104" i="2" a="1"/>
  <c r="T104" i="2" s="1"/>
  <c r="D104" i="2" a="1"/>
  <c r="D104" i="2" s="1"/>
  <c r="P103" i="2" a="1"/>
  <c r="P103" i="2" s="1"/>
  <c r="AB102" i="2" a="1"/>
  <c r="AB102" i="2" s="1"/>
  <c r="L102" i="2" a="1"/>
  <c r="L102" i="2" s="1"/>
  <c r="X101" i="2" a="1"/>
  <c r="X101" i="2" s="1"/>
  <c r="H101" i="2" a="1"/>
  <c r="H101" i="2" s="1"/>
  <c r="T100" i="2" a="1"/>
  <c r="T100" i="2" s="1"/>
  <c r="D100" i="2" a="1"/>
  <c r="D100" i="2" s="1"/>
  <c r="P99" i="2" a="1"/>
  <c r="P99" i="2" s="1"/>
  <c r="AB98" i="2" a="1"/>
  <c r="AB98" i="2" s="1"/>
  <c r="L98" i="2" a="1"/>
  <c r="L98" i="2" s="1"/>
  <c r="X97" i="2" a="1"/>
  <c r="X97" i="2" s="1"/>
  <c r="H97" i="2" a="1"/>
  <c r="H97" i="2" s="1"/>
  <c r="T96" i="2" a="1"/>
  <c r="T96" i="2" s="1"/>
  <c r="D96" i="2" a="1"/>
  <c r="D96" i="2" s="1"/>
  <c r="P95" i="2" a="1"/>
  <c r="P95" i="2" s="1"/>
  <c r="AB94" i="2" a="1"/>
  <c r="AB94" i="2" s="1"/>
  <c r="L94" i="2" a="1"/>
  <c r="L94" i="2" s="1"/>
  <c r="X93" i="2" a="1"/>
  <c r="X93" i="2" s="1"/>
  <c r="I93" i="2" a="1"/>
  <c r="I93" i="2" s="1"/>
  <c r="V92" i="2" a="1"/>
  <c r="V92" i="2" s="1"/>
  <c r="H92" i="2" a="1"/>
  <c r="H92" i="2" s="1"/>
  <c r="T91" i="2" a="1"/>
  <c r="T91" i="2" s="1"/>
  <c r="F91" i="2" a="1"/>
  <c r="F91" i="2" s="1"/>
  <c r="R90" i="2" a="1"/>
  <c r="R90" i="2" s="1"/>
  <c r="E90" i="2" a="1"/>
  <c r="E90" i="2" s="1"/>
  <c r="Q89" i="2" a="1"/>
  <c r="Q89" i="2" s="1"/>
  <c r="O88" i="2" a="1"/>
  <c r="O88" i="2" s="1"/>
  <c r="O87" i="2" a="1"/>
  <c r="O87" i="2" s="1"/>
  <c r="AA86" i="2" a="1"/>
  <c r="AA86" i="2" s="1"/>
  <c r="M86" i="2" a="1"/>
  <c r="M86" i="2" s="1"/>
  <c r="Z85" i="2" a="1"/>
  <c r="Z85" i="2" s="1"/>
  <c r="L85" i="2" a="1"/>
  <c r="L85" i="2" s="1"/>
  <c r="Y84" i="2" a="1"/>
  <c r="Y84" i="2" s="1"/>
  <c r="K84" i="2" a="1"/>
  <c r="K84" i="2" s="1"/>
  <c r="W83" i="2" a="1"/>
  <c r="W83" i="2" s="1"/>
  <c r="L83" i="2" a="1"/>
  <c r="L83" i="2" s="1"/>
  <c r="AB82" i="2" a="1"/>
  <c r="AB82" i="2" s="1"/>
  <c r="U81" i="2" a="1"/>
  <c r="U81" i="2" s="1"/>
  <c r="I81" i="2" a="1"/>
  <c r="I81" i="2" s="1"/>
  <c r="Y80" i="2" a="1"/>
  <c r="Y80" i="2" s="1"/>
  <c r="L80" i="2" a="1"/>
  <c r="L80" i="2" s="1"/>
  <c r="G101" i="2" a="1"/>
  <c r="G101" i="2" s="1"/>
  <c r="S96" i="2" a="1"/>
  <c r="S96" i="2" s="1"/>
  <c r="N88" i="2" a="1"/>
  <c r="N88" i="2" s="1"/>
  <c r="X80" i="2" a="1"/>
  <c r="X80" i="2" s="1"/>
  <c r="C109" i="22"/>
  <c r="C68" i="22"/>
  <c r="C89" i="22"/>
  <c r="C26" i="22"/>
  <c r="C47" i="22"/>
  <c r="C12" i="22"/>
  <c r="C33" i="22"/>
  <c r="C54" i="22"/>
  <c r="C75" i="22"/>
  <c r="C41" i="7"/>
  <c r="B24" i="22"/>
  <c r="B85" i="22"/>
  <c r="C40" i="7"/>
  <c r="B87" i="22"/>
  <c r="B37" i="22"/>
  <c r="B38" i="22"/>
  <c r="B88" i="22"/>
  <c r="B45" i="22"/>
  <c r="B100" i="22"/>
  <c r="B46" i="22"/>
  <c r="B101" i="22"/>
  <c r="B61" i="22"/>
  <c r="B108" i="22"/>
  <c r="B21" i="22"/>
  <c r="B62" i="22"/>
  <c r="C38" i="7"/>
  <c r="B22" i="22"/>
  <c r="B69" i="22"/>
  <c r="C32" i="7"/>
  <c r="B15" i="22"/>
  <c r="B23" i="22"/>
  <c r="B39" i="22"/>
  <c r="B47" i="22"/>
  <c r="B63" i="22"/>
  <c r="B79" i="22"/>
  <c r="B102" i="22"/>
  <c r="B110" i="22"/>
  <c r="B86" i="22"/>
  <c r="C33" i="7"/>
  <c r="B16" i="22"/>
  <c r="B40" i="22"/>
  <c r="B48" i="22"/>
  <c r="B64" i="22"/>
  <c r="B80" i="22"/>
  <c r="B103" i="22"/>
  <c r="C39" i="7"/>
  <c r="C34" i="7"/>
  <c r="C42" i="7"/>
  <c r="B17" i="22"/>
  <c r="B25" i="22"/>
  <c r="B41" i="22"/>
  <c r="B57" i="22"/>
  <c r="B65" i="22"/>
  <c r="B81" i="22"/>
  <c r="B89" i="22"/>
  <c r="B104" i="22"/>
  <c r="B78" i="22"/>
  <c r="C35" i="7"/>
  <c r="C43" i="7"/>
  <c r="B18" i="22"/>
  <c r="B26" i="22"/>
  <c r="B42" i="22"/>
  <c r="B58" i="22"/>
  <c r="B66" i="22"/>
  <c r="B82" i="22"/>
  <c r="B90" i="22"/>
  <c r="B105" i="22"/>
  <c r="C31" i="7"/>
  <c r="B109" i="22"/>
  <c r="C36" i="7"/>
  <c r="B19" i="22"/>
  <c r="B27" i="22"/>
  <c r="B83" i="22"/>
  <c r="B98" i="22"/>
  <c r="B106" i="22"/>
  <c r="C37" i="7"/>
  <c r="G240" i="11"/>
  <c r="AB39" i="2"/>
  <c r="Y39" i="2"/>
  <c r="W111" i="2" l="1"/>
  <c r="W9" i="2" s="1"/>
  <c r="W110" i="2"/>
  <c r="W8" i="2" s="1"/>
  <c r="W113" i="2"/>
  <c r="W11" i="2" s="1"/>
  <c r="W112" i="2"/>
  <c r="W10" i="2" s="1"/>
  <c r="L113" i="2"/>
  <c r="L11" i="2" s="1"/>
  <c r="L112" i="2"/>
  <c r="L10" i="2" s="1"/>
  <c r="L110" i="2"/>
  <c r="L8" i="2" s="1"/>
  <c r="L111" i="2"/>
  <c r="L9" i="2" s="1"/>
  <c r="M113" i="2"/>
  <c r="M11" i="2" s="1"/>
  <c r="M112" i="2"/>
  <c r="M10" i="2" s="1"/>
  <c r="M111" i="2"/>
  <c r="M9" i="2" s="1"/>
  <c r="M110" i="2"/>
  <c r="M8" i="2" s="1"/>
  <c r="O112" i="2"/>
  <c r="O10" i="2" s="1"/>
  <c r="O113" i="2"/>
  <c r="O11" i="2" s="1"/>
  <c r="E110" i="2"/>
  <c r="E8" i="2" s="1"/>
  <c r="E113" i="2"/>
  <c r="E11" i="2" s="1"/>
  <c r="E112" i="2"/>
  <c r="E10" i="2" s="1"/>
  <c r="E111" i="2"/>
  <c r="E9" i="2" s="1"/>
  <c r="AD113" i="2"/>
  <c r="AD11" i="2" s="1"/>
  <c r="AD112" i="2"/>
  <c r="AD10" i="2" s="1"/>
  <c r="AD111" i="2"/>
  <c r="AD9" i="2" s="1"/>
  <c r="AD110" i="2"/>
  <c r="AD8" i="2" s="1"/>
  <c r="Z110" i="2"/>
  <c r="Z8" i="2" s="1"/>
  <c r="Z113" i="2"/>
  <c r="Z11" i="2" s="1"/>
  <c r="Z112" i="2"/>
  <c r="Z10" i="2" s="1"/>
  <c r="Z111" i="2"/>
  <c r="Z9" i="2" s="1"/>
  <c r="Q112" i="2"/>
  <c r="Q10" i="2" s="1"/>
  <c r="Q111" i="2"/>
  <c r="Q9" i="2" s="1"/>
  <c r="Q113" i="2"/>
  <c r="Q11" i="2" s="1"/>
  <c r="Q110" i="2"/>
  <c r="Q8" i="2" s="1"/>
  <c r="X111" i="2"/>
  <c r="X9" i="2" s="1"/>
  <c r="X113" i="2"/>
  <c r="X11" i="2" s="1"/>
  <c r="X112" i="2"/>
  <c r="X10" i="2" s="1"/>
  <c r="X110" i="2"/>
  <c r="X8" i="2" s="1"/>
  <c r="T111" i="2"/>
  <c r="T9" i="2" s="1"/>
  <c r="T110" i="2"/>
  <c r="T8" i="2" s="1"/>
  <c r="T113" i="2"/>
  <c r="T11" i="2" s="1"/>
  <c r="T112" i="2"/>
  <c r="T10" i="2" s="1"/>
  <c r="AB113" i="2"/>
  <c r="AB11" i="2" s="1"/>
  <c r="AB112" i="2"/>
  <c r="AB10" i="2" s="1"/>
  <c r="AB111" i="2"/>
  <c r="AB9" i="2" s="1"/>
  <c r="AB110" i="2"/>
  <c r="AB8" i="2" s="1"/>
  <c r="U111" i="2"/>
  <c r="U9" i="2" s="1"/>
  <c r="U110" i="2"/>
  <c r="U8" i="2" s="1"/>
  <c r="U113" i="2"/>
  <c r="U11" i="2" s="1"/>
  <c r="U112" i="2"/>
  <c r="U10" i="2" s="1"/>
  <c r="AC113" i="2"/>
  <c r="AC11" i="2" s="1"/>
  <c r="AC112" i="2"/>
  <c r="AC10" i="2" s="1"/>
  <c r="AC111" i="2"/>
  <c r="AC9" i="2" s="1"/>
  <c r="AC110" i="2"/>
  <c r="AC8" i="2" s="1"/>
  <c r="R112" i="2"/>
  <c r="R10" i="2" s="1"/>
  <c r="R111" i="2"/>
  <c r="R9" i="2" s="1"/>
  <c r="R110" i="2"/>
  <c r="R8" i="2" s="1"/>
  <c r="R113" i="2"/>
  <c r="R11" i="2" s="1"/>
  <c r="P112" i="2"/>
  <c r="P10" i="2" s="1"/>
  <c r="P111" i="2"/>
  <c r="P9" i="2" s="1"/>
  <c r="P110" i="2"/>
  <c r="P8" i="2" s="1"/>
  <c r="P113" i="2"/>
  <c r="P11" i="2" s="1"/>
  <c r="G113" i="2"/>
  <c r="G11" i="2" s="1"/>
  <c r="G112" i="2"/>
  <c r="G10" i="2" s="1"/>
  <c r="G111" i="2"/>
  <c r="G9" i="2" s="1"/>
  <c r="G110" i="2"/>
  <c r="G8" i="2" s="1"/>
  <c r="Y110" i="2"/>
  <c r="Y8" i="2" s="1"/>
  <c r="Y113" i="2"/>
  <c r="Y11" i="2" s="1"/>
  <c r="Y112" i="2"/>
  <c r="Y10" i="2" s="1"/>
  <c r="Y111" i="2"/>
  <c r="Y9" i="2" s="1"/>
  <c r="V111" i="2"/>
  <c r="V9" i="2" s="1"/>
  <c r="V110" i="2"/>
  <c r="V8" i="2" s="1"/>
  <c r="V113" i="2"/>
  <c r="V11" i="2" s="1"/>
  <c r="V112" i="2"/>
  <c r="V10" i="2" s="1"/>
  <c r="S112" i="2"/>
  <c r="S10" i="2" s="1"/>
  <c r="S111" i="2"/>
  <c r="S9" i="2" s="1"/>
  <c r="S110" i="2"/>
  <c r="S8" i="2" s="1"/>
  <c r="S113" i="2"/>
  <c r="S11" i="2" s="1"/>
  <c r="N113" i="2"/>
  <c r="N11" i="2" s="1"/>
  <c r="N112" i="2"/>
  <c r="N10" i="2" s="1"/>
  <c r="AA110" i="2"/>
  <c r="AA8" i="2" s="1"/>
  <c r="AA113" i="2"/>
  <c r="AA11" i="2" s="1"/>
  <c r="AA112" i="2"/>
  <c r="AA10" i="2" s="1"/>
  <c r="AA111" i="2"/>
  <c r="AA9" i="2" s="1"/>
  <c r="C64" i="22"/>
  <c r="C85" i="22"/>
  <c r="C43" i="22"/>
  <c r="C105" i="22"/>
  <c r="C22" i="22"/>
  <c r="C46" i="22"/>
  <c r="C108" i="22"/>
  <c r="C25" i="22"/>
  <c r="C67" i="22"/>
  <c r="C88" i="22"/>
  <c r="G89" i="11"/>
  <c r="G192" i="11"/>
  <c r="G139" i="11"/>
  <c r="AN295" i="11" l="1"/>
  <c r="AM295" i="11"/>
  <c r="AL295" i="11"/>
  <c r="AK295" i="11"/>
  <c r="AJ295" i="11"/>
  <c r="AI295" i="11"/>
  <c r="AB295" i="11"/>
  <c r="AA295" i="11"/>
  <c r="Z295" i="11"/>
  <c r="Y295" i="11"/>
  <c r="X295" i="11"/>
  <c r="W295" i="11"/>
  <c r="AN219" i="11"/>
  <c r="AM219" i="11"/>
  <c r="AL219" i="11"/>
  <c r="AK219" i="11"/>
  <c r="AJ219" i="11"/>
  <c r="AI219" i="11"/>
  <c r="AB219" i="11"/>
  <c r="AA219" i="11"/>
  <c r="Z219" i="11"/>
  <c r="Y219" i="11"/>
  <c r="X219" i="11"/>
  <c r="W219" i="11"/>
  <c r="AC295" i="11" l="1"/>
  <c r="AO219" i="11"/>
  <c r="AC219" i="11"/>
  <c r="AO295" i="11"/>
  <c r="F218" i="20"/>
  <c r="F215" i="20"/>
  <c r="F214" i="20"/>
  <c r="F216" i="20"/>
  <c r="F217" i="20"/>
  <c r="F219" i="20"/>
  <c r="F220" i="20"/>
  <c r="AO279" i="11"/>
  <c r="AO278" i="11"/>
  <c r="AO277" i="11"/>
  <c r="AC279" i="11"/>
  <c r="AC278" i="11"/>
  <c r="AC277" i="11"/>
  <c r="O243" i="11" l="1"/>
  <c r="N243" i="11"/>
  <c r="M243" i="11"/>
  <c r="L243" i="11"/>
  <c r="K243" i="11"/>
  <c r="J243" i="11"/>
  <c r="I97" i="21"/>
  <c r="H97" i="21"/>
  <c r="G97" i="21"/>
  <c r="F97" i="21"/>
  <c r="E97" i="21"/>
  <c r="D97" i="21"/>
  <c r="I98" i="21"/>
  <c r="H98" i="21"/>
  <c r="G98" i="21"/>
  <c r="F98" i="21"/>
  <c r="E98" i="21"/>
  <c r="D98" i="21"/>
  <c r="AL243" i="11" l="1"/>
  <c r="Z243" i="11"/>
  <c r="AA243" i="11"/>
  <c r="AM243" i="11"/>
  <c r="AJ243" i="11"/>
  <c r="X243" i="11"/>
  <c r="AK243" i="11"/>
  <c r="Y243" i="11"/>
  <c r="AB243" i="11"/>
  <c r="AN243" i="11"/>
  <c r="W243" i="11"/>
  <c r="AI243" i="11"/>
  <c r="J98" i="21"/>
  <c r="J97" i="21"/>
  <c r="J110" i="21"/>
  <c r="K110" i="21" s="1"/>
  <c r="D157" i="20" l="1"/>
  <c r="G121" i="7" l="1"/>
  <c r="G120" i="7"/>
  <c r="G119" i="7"/>
  <c r="G118" i="7"/>
  <c r="G115" i="7"/>
  <c r="G114" i="7"/>
  <c r="G113" i="7"/>
  <c r="G112" i="7"/>
  <c r="I118" i="7"/>
  <c r="I112" i="7"/>
  <c r="K266" i="26" l="1"/>
  <c r="J1" i="7"/>
  <c r="D8" i="20" s="1"/>
  <c r="I31" i="7" l="1"/>
  <c r="M39" i="2" l="1"/>
  <c r="N39" i="2"/>
  <c r="W39" i="2"/>
  <c r="AD39" i="2"/>
  <c r="Z39" i="2"/>
  <c r="AA39" i="2"/>
  <c r="X39" i="2"/>
  <c r="V39" i="2"/>
  <c r="U39" i="2"/>
  <c r="T39" i="2"/>
  <c r="S39" i="2"/>
  <c r="R39" i="2"/>
  <c r="L39" i="2"/>
  <c r="K39" i="2"/>
  <c r="J39" i="2"/>
  <c r="I39" i="2"/>
  <c r="H39" i="2"/>
  <c r="G39" i="2"/>
  <c r="F39" i="2"/>
  <c r="E39" i="2"/>
  <c r="D39" i="2"/>
  <c r="C39" i="2"/>
  <c r="C17" i="22" l="1"/>
  <c r="C38" i="22"/>
  <c r="C59" i="22"/>
  <c r="C80" i="22"/>
  <c r="C100" i="22"/>
  <c r="D26" i="6"/>
  <c r="C26" i="6" s="1"/>
  <c r="D25" i="6"/>
  <c r="C25" i="6" s="1"/>
  <c r="D24" i="6"/>
  <c r="C24" i="6" s="1"/>
  <c r="D23" i="6"/>
  <c r="C23" i="6" s="1"/>
  <c r="C18" i="22"/>
  <c r="C39" i="22"/>
  <c r="C60" i="22"/>
  <c r="C81" i="22"/>
  <c r="C101" i="22"/>
  <c r="C41" i="22"/>
  <c r="C62" i="22"/>
  <c r="C83" i="22"/>
  <c r="C103" i="22"/>
  <c r="C20" i="22"/>
  <c r="C15" i="22"/>
  <c r="C36" i="22"/>
  <c r="C57" i="22"/>
  <c r="C78" i="22"/>
  <c r="C98" i="22"/>
  <c r="C63" i="22"/>
  <c r="C84" i="22"/>
  <c r="C21" i="22"/>
  <c r="C104" i="22"/>
  <c r="C42" i="22"/>
  <c r="D14" i="6"/>
  <c r="C14" i="6" s="1"/>
  <c r="D12" i="6"/>
  <c r="C12" i="6" s="1"/>
  <c r="D13" i="6"/>
  <c r="C13" i="6" s="1"/>
  <c r="D11" i="6"/>
  <c r="E274" i="8"/>
  <c r="D274" i="8" s="1"/>
  <c r="E67" i="8"/>
  <c r="D67" i="8" s="1"/>
  <c r="D34" i="6"/>
  <c r="C34" i="6" s="1"/>
  <c r="F228" i="4" s="1"/>
  <c r="E71" i="8"/>
  <c r="D71" i="8" s="1"/>
  <c r="E273" i="8"/>
  <c r="D273" i="8" s="1"/>
  <c r="E66" i="8"/>
  <c r="D66" i="8" s="1"/>
  <c r="D33" i="6"/>
  <c r="C33" i="6" s="1"/>
  <c r="E272" i="8"/>
  <c r="D272" i="8" s="1"/>
  <c r="E65" i="8"/>
  <c r="D65" i="8" s="1"/>
  <c r="D32" i="6"/>
  <c r="C32" i="6" s="1"/>
  <c r="D82" i="6"/>
  <c r="C82" i="6" s="1"/>
  <c r="E271" i="8"/>
  <c r="D271" i="8" s="1"/>
  <c r="E64" i="8"/>
  <c r="D64" i="8" s="1"/>
  <c r="D31" i="6"/>
  <c r="C31" i="6" s="1"/>
  <c r="J4" i="11" s="1"/>
  <c r="J6" i="11" s="1"/>
  <c r="D80" i="6"/>
  <c r="C80" i="6" s="1"/>
  <c r="E207" i="8"/>
  <c r="D207" i="8" s="1"/>
  <c r="E61" i="8"/>
  <c r="D61" i="8" s="1"/>
  <c r="E206" i="8"/>
  <c r="D206" i="8" s="1"/>
  <c r="E60" i="8"/>
  <c r="D60" i="8" s="1"/>
  <c r="E205" i="8"/>
  <c r="D205" i="8" s="1"/>
  <c r="E59" i="8"/>
  <c r="D59" i="8" s="1"/>
  <c r="E204" i="8"/>
  <c r="D204" i="8" s="1"/>
  <c r="E58" i="8"/>
  <c r="D58" i="8" s="1"/>
  <c r="E98" i="8"/>
  <c r="D98" i="8" s="1"/>
  <c r="E36" i="8"/>
  <c r="D36" i="8" s="1"/>
  <c r="D81" i="6"/>
  <c r="C81" i="6" s="1"/>
  <c r="E97" i="8"/>
  <c r="D97" i="8" s="1"/>
  <c r="E35" i="8"/>
  <c r="D35" i="8" s="1"/>
  <c r="E96" i="8"/>
  <c r="D96" i="8" s="1"/>
  <c r="E34" i="8"/>
  <c r="D34" i="8" s="1"/>
  <c r="E95" i="8"/>
  <c r="D95" i="8" s="1"/>
  <c r="E33" i="8"/>
  <c r="D33" i="8" s="1"/>
  <c r="E73" i="8"/>
  <c r="D73" i="8" s="1"/>
  <c r="E72" i="8"/>
  <c r="D72" i="8" s="1"/>
  <c r="E70" i="8"/>
  <c r="D70" i="8" s="1"/>
  <c r="D79" i="6"/>
  <c r="C16" i="22"/>
  <c r="C37" i="22"/>
  <c r="C58" i="22"/>
  <c r="C99" i="22"/>
  <c r="C79" i="22"/>
  <c r="C40" i="22"/>
  <c r="C61" i="22"/>
  <c r="C82" i="22"/>
  <c r="C19" i="22"/>
  <c r="C102" i="22"/>
  <c r="C87" i="22"/>
  <c r="C66" i="22"/>
  <c r="C107" i="22"/>
  <c r="C45" i="22"/>
  <c r="C24" i="22"/>
  <c r="C86" i="22"/>
  <c r="C106" i="22"/>
  <c r="C44" i="22"/>
  <c r="C23" i="22"/>
  <c r="C65" i="22"/>
  <c r="C110" i="22"/>
  <c r="C69" i="22"/>
  <c r="C27" i="22"/>
  <c r="C48" i="22"/>
  <c r="C90" i="22"/>
  <c r="D20" i="6"/>
  <c r="C20" i="6" s="1"/>
  <c r="D19" i="6"/>
  <c r="C19" i="6" s="1"/>
  <c r="D18" i="6"/>
  <c r="C18" i="6" s="1"/>
  <c r="D17" i="6"/>
  <c r="C17" i="6" s="1"/>
  <c r="C11" i="6"/>
  <c r="J234" i="4"/>
  <c r="H234" i="4" s="1"/>
  <c r="J233" i="4"/>
  <c r="H233" i="4" s="1"/>
  <c r="J232" i="4"/>
  <c r="H232" i="4" s="1"/>
  <c r="J231" i="4"/>
  <c r="H231" i="4" s="1"/>
  <c r="J225" i="4"/>
  <c r="H225" i="4" s="1"/>
  <c r="J226" i="4"/>
  <c r="H226" i="4" s="1"/>
  <c r="B197" i="21" s="1"/>
  <c r="J228" i="4"/>
  <c r="H228" i="4" s="1"/>
  <c r="B199" i="21" s="1"/>
  <c r="J227" i="4"/>
  <c r="H227" i="4" s="1"/>
  <c r="B198" i="21" s="1"/>
  <c r="E240" i="11"/>
  <c r="E192" i="11"/>
  <c r="E139" i="11"/>
  <c r="C8" i="22"/>
  <c r="D8" i="22" s="1"/>
  <c r="C29" i="22"/>
  <c r="D29" i="22" s="1"/>
  <c r="C50" i="22"/>
  <c r="D50" i="22" s="1"/>
  <c r="E89" i="11"/>
  <c r="C71" i="22"/>
  <c r="D71" i="22" s="1"/>
  <c r="I240" i="11"/>
  <c r="I192" i="11"/>
  <c r="I89" i="11"/>
  <c r="I139" i="11"/>
  <c r="H240" i="11"/>
  <c r="H192" i="11"/>
  <c r="H89" i="11"/>
  <c r="H139" i="11"/>
  <c r="B196" i="21" l="1"/>
  <c r="J295" i="4"/>
  <c r="D215" i="11"/>
  <c r="D114" i="11"/>
  <c r="D167" i="11"/>
  <c r="G228" i="4"/>
  <c r="H295" i="4" l="1"/>
  <c r="C6" i="6"/>
  <c r="X19" i="37" l="1"/>
  <c r="M25" i="37" s="1"/>
  <c r="T29" i="37"/>
  <c r="M31" i="37" s="1"/>
  <c r="W40" i="37"/>
  <c r="V40" i="37" s="1"/>
  <c r="V39" i="37"/>
  <c r="AE39" i="37"/>
  <c r="X39" i="37"/>
  <c r="E62" i="6"/>
  <c r="E61" i="6"/>
  <c r="E60" i="6"/>
  <c r="E57" i="6"/>
  <c r="E56" i="6"/>
  <c r="E55" i="6"/>
  <c r="D57" i="6"/>
  <c r="D56" i="6"/>
  <c r="D55" i="6"/>
  <c r="O36" i="6"/>
  <c r="O30" i="6"/>
  <c r="F64" i="8" l="1"/>
  <c r="F61" i="8"/>
  <c r="F67" i="8"/>
  <c r="F60" i="8"/>
  <c r="F66" i="8"/>
  <c r="F58" i="8"/>
  <c r="F59" i="8"/>
  <c r="F65" i="8"/>
  <c r="F71" i="8"/>
  <c r="F72" i="8"/>
  <c r="F70" i="8"/>
  <c r="F73" i="8"/>
  <c r="F272" i="8"/>
  <c r="F273" i="8"/>
  <c r="F274" i="8"/>
  <c r="F271" i="8"/>
  <c r="F206" i="8"/>
  <c r="F207" i="8"/>
  <c r="F204" i="8"/>
  <c r="F205" i="8"/>
  <c r="F33" i="8"/>
  <c r="F34" i="8"/>
  <c r="F36" i="8"/>
  <c r="F35" i="8"/>
  <c r="M22" i="37"/>
  <c r="M29" i="37"/>
  <c r="C67" i="6" s="1"/>
  <c r="M19" i="37"/>
  <c r="C68" i="6" s="1"/>
  <c r="M30" i="37"/>
  <c r="AA39" i="37"/>
  <c r="AH39" i="37"/>
  <c r="AO40" i="37"/>
  <c r="E100" i="6"/>
  <c r="E99" i="6"/>
  <c r="E98" i="6"/>
  <c r="E94" i="6"/>
  <c r="D92" i="6"/>
  <c r="D93" i="6"/>
  <c r="E92" i="6"/>
  <c r="D94" i="6"/>
  <c r="E93" i="6"/>
  <c r="E81" i="6"/>
  <c r="E82" i="6"/>
  <c r="E80" i="6"/>
  <c r="F80" i="6"/>
  <c r="F81" i="6"/>
  <c r="F82" i="6"/>
  <c r="G80" i="6"/>
  <c r="G82" i="6"/>
  <c r="G81" i="6"/>
  <c r="H82" i="6"/>
  <c r="H80" i="6"/>
  <c r="H81" i="6"/>
  <c r="E32" i="6"/>
  <c r="E33" i="6"/>
  <c r="E34" i="6"/>
  <c r="W41" i="37"/>
  <c r="W42" i="37" s="1"/>
  <c r="W43" i="37" s="1"/>
  <c r="AG39" i="37"/>
  <c r="X40" i="37"/>
  <c r="AA40" i="37" s="1"/>
  <c r="AE40" i="37"/>
  <c r="AF40" i="37" s="1"/>
  <c r="AF39" i="37"/>
  <c r="Z39" i="37"/>
  <c r="F34" i="6"/>
  <c r="H31" i="6"/>
  <c r="G33" i="6"/>
  <c r="F32" i="6"/>
  <c r="G34" i="6"/>
  <c r="H32" i="6"/>
  <c r="H34" i="6"/>
  <c r="F33" i="6"/>
  <c r="F31" i="6"/>
  <c r="G31" i="6"/>
  <c r="E31" i="6"/>
  <c r="H33" i="6"/>
  <c r="G32" i="6"/>
  <c r="Q19" i="37"/>
  <c r="Q25" i="37"/>
  <c r="Q22" i="37"/>
  <c r="P31" i="37"/>
  <c r="P29" i="37"/>
  <c r="P30" i="37"/>
  <c r="O31" i="37"/>
  <c r="O29" i="37"/>
  <c r="O30" i="37"/>
  <c r="O26" i="37"/>
  <c r="O27" i="37"/>
  <c r="O28" i="37"/>
  <c r="O22" i="37"/>
  <c r="O21" i="37"/>
  <c r="O20" i="37"/>
  <c r="O25" i="37"/>
  <c r="O24" i="37"/>
  <c r="O23" i="37"/>
  <c r="O19" i="37"/>
  <c r="O18" i="37"/>
  <c r="O17" i="37"/>
  <c r="O16" i="37"/>
  <c r="O15" i="37"/>
  <c r="O14" i="37"/>
  <c r="O13" i="37"/>
  <c r="AB39" i="37" l="1"/>
  <c r="AG40" i="37"/>
  <c r="X42" i="37"/>
  <c r="AI39" i="37"/>
  <c r="V42" i="37"/>
  <c r="Z42" i="37" s="1"/>
  <c r="AE42" i="37"/>
  <c r="AO43" i="37" s="1"/>
  <c r="X41" i="37"/>
  <c r="AA41" i="37" s="1"/>
  <c r="Y40" i="37"/>
  <c r="AE41" i="37"/>
  <c r="AO42" i="37" s="1"/>
  <c r="V41" i="37"/>
  <c r="AH40" i="37"/>
  <c r="AI40" i="37" s="1"/>
  <c r="AO41" i="37"/>
  <c r="Z40" i="37"/>
  <c r="AB40" i="37" s="1"/>
  <c r="Y39" i="37"/>
  <c r="AA42" i="37"/>
  <c r="Y42" i="37"/>
  <c r="W44" i="37"/>
  <c r="AE43" i="37"/>
  <c r="AO44" i="37" s="1"/>
  <c r="V43" i="37"/>
  <c r="X43" i="37"/>
  <c r="Q30" i="37"/>
  <c r="D61" i="6"/>
  <c r="Q29" i="37"/>
  <c r="D60" i="6"/>
  <c r="Q31" i="37"/>
  <c r="D62" i="6"/>
  <c r="AB42" i="37" l="1"/>
  <c r="AG42" i="37"/>
  <c r="AF42" i="37"/>
  <c r="AH42" i="37"/>
  <c r="Z41" i="37"/>
  <c r="AB41" i="37" s="1"/>
  <c r="AF41" i="37"/>
  <c r="AH41" i="37"/>
  <c r="AG41" i="37"/>
  <c r="Y41" i="37"/>
  <c r="D98" i="6"/>
  <c r="D100" i="6"/>
  <c r="D99" i="6"/>
  <c r="AA43" i="37"/>
  <c r="Y43" i="37"/>
  <c r="Z43" i="37"/>
  <c r="AH43" i="37"/>
  <c r="AF43" i="37"/>
  <c r="AG43" i="37"/>
  <c r="W45" i="37"/>
  <c r="AE44" i="37"/>
  <c r="AO45" i="37" s="1"/>
  <c r="X44" i="37"/>
  <c r="V44" i="37"/>
  <c r="P279" i="11"/>
  <c r="P278" i="11"/>
  <c r="P277" i="11"/>
  <c r="D289" i="11"/>
  <c r="AI41" i="37" l="1"/>
  <c r="AI43" i="37"/>
  <c r="AI42" i="37"/>
  <c r="AB43" i="37"/>
  <c r="Z44" i="37"/>
  <c r="L253" i="11"/>
  <c r="AN253" i="11"/>
  <c r="AB253" i="11"/>
  <c r="AJ253" i="11"/>
  <c r="AM253" i="11"/>
  <c r="AA253" i="11"/>
  <c r="AL253" i="11"/>
  <c r="Z253" i="11"/>
  <c r="X253" i="11"/>
  <c r="AK253" i="11"/>
  <c r="Y253" i="11"/>
  <c r="W253" i="11"/>
  <c r="AI253" i="11"/>
  <c r="W46" i="37"/>
  <c r="AE45" i="37"/>
  <c r="AO46" i="37" s="1"/>
  <c r="V45" i="37"/>
  <c r="X45" i="37"/>
  <c r="AA44" i="37"/>
  <c r="AB44" i="37" s="1"/>
  <c r="Y44" i="37"/>
  <c r="AF44" i="37"/>
  <c r="AH44" i="37"/>
  <c r="AG44" i="37"/>
  <c r="M253" i="11"/>
  <c r="N253" i="11"/>
  <c r="O253" i="11"/>
  <c r="J253" i="11"/>
  <c r="K253" i="11"/>
  <c r="AI44" i="37" l="1"/>
  <c r="AA45" i="37"/>
  <c r="Y45" i="37"/>
  <c r="Z45" i="37"/>
  <c r="AB45" i="37" s="1"/>
  <c r="AH45" i="37"/>
  <c r="AF45" i="37"/>
  <c r="AG45" i="37"/>
  <c r="AI45" i="37" s="1"/>
  <c r="W47" i="37"/>
  <c r="AE46" i="37"/>
  <c r="AO47" i="37" s="1"/>
  <c r="V46" i="37"/>
  <c r="X46" i="37"/>
  <c r="B15" i="1" l="1"/>
  <c r="AA46" i="37"/>
  <c r="Y46" i="37"/>
  <c r="Z46" i="37"/>
  <c r="AF46" i="37"/>
  <c r="AH46" i="37"/>
  <c r="AG46" i="37"/>
  <c r="AI46" i="37" s="1"/>
  <c r="W48" i="37"/>
  <c r="AE47" i="37"/>
  <c r="AO48" i="37" s="1"/>
  <c r="V47" i="37"/>
  <c r="X47" i="37"/>
  <c r="AB46" i="37" l="1"/>
  <c r="AA47" i="37"/>
  <c r="Y47" i="37"/>
  <c r="Z47" i="37"/>
  <c r="AB47" i="37" s="1"/>
  <c r="AH47" i="37"/>
  <c r="AF47" i="37"/>
  <c r="AG47" i="37"/>
  <c r="W49" i="37"/>
  <c r="AE48" i="37"/>
  <c r="AO49" i="37" s="1"/>
  <c r="V48" i="37"/>
  <c r="X48" i="37"/>
  <c r="D8" i="8"/>
  <c r="D7" i="8"/>
  <c r="H58" i="8" l="1"/>
  <c r="H61" i="8"/>
  <c r="H67" i="8"/>
  <c r="H66" i="8"/>
  <c r="H64" i="8"/>
  <c r="H59" i="8"/>
  <c r="H60" i="8"/>
  <c r="H65" i="8"/>
  <c r="I58" i="8"/>
  <c r="I64" i="8"/>
  <c r="I65" i="8"/>
  <c r="I67" i="8"/>
  <c r="I61" i="8"/>
  <c r="I59" i="8"/>
  <c r="I60" i="8"/>
  <c r="I66" i="8"/>
  <c r="G65" i="8"/>
  <c r="G60" i="8"/>
  <c r="G66" i="8"/>
  <c r="G64" i="8"/>
  <c r="G58" i="8"/>
  <c r="G61" i="8"/>
  <c r="G59" i="8"/>
  <c r="G67" i="8"/>
  <c r="G71" i="8"/>
  <c r="G72" i="8"/>
  <c r="G70" i="8"/>
  <c r="G73" i="8"/>
  <c r="H72" i="8"/>
  <c r="H73" i="8"/>
  <c r="H70" i="8"/>
  <c r="H71" i="8"/>
  <c r="I70" i="8"/>
  <c r="I72" i="8"/>
  <c r="I71" i="8"/>
  <c r="I73" i="8"/>
  <c r="G274" i="8"/>
  <c r="G271" i="8"/>
  <c r="G272" i="8"/>
  <c r="G273" i="8"/>
  <c r="H272" i="8"/>
  <c r="H274" i="8"/>
  <c r="H271" i="8"/>
  <c r="H273" i="8"/>
  <c r="I274" i="8"/>
  <c r="I272" i="8"/>
  <c r="I273" i="8"/>
  <c r="I271" i="8"/>
  <c r="H206" i="8"/>
  <c r="H204" i="8"/>
  <c r="H205" i="8"/>
  <c r="H207" i="8"/>
  <c r="G205" i="8"/>
  <c r="G207" i="8"/>
  <c r="G206" i="8"/>
  <c r="G204" i="8"/>
  <c r="I205" i="8"/>
  <c r="I204" i="8"/>
  <c r="I207" i="8"/>
  <c r="I206" i="8"/>
  <c r="H35" i="8"/>
  <c r="H33" i="8"/>
  <c r="H34" i="8"/>
  <c r="H36" i="8"/>
  <c r="G35" i="8"/>
  <c r="G33" i="8"/>
  <c r="G34" i="8"/>
  <c r="G36" i="8"/>
  <c r="I36" i="8"/>
  <c r="I33" i="8"/>
  <c r="I35" i="8"/>
  <c r="I34" i="8"/>
  <c r="AI47" i="37"/>
  <c r="AA48" i="37"/>
  <c r="Y48" i="37"/>
  <c r="AH48" i="37"/>
  <c r="AG48" i="37"/>
  <c r="AF48" i="37"/>
  <c r="Z48" i="37"/>
  <c r="W50" i="37"/>
  <c r="AE49" i="37"/>
  <c r="AO50" i="37" s="1"/>
  <c r="V49" i="37"/>
  <c r="X49" i="37"/>
  <c r="I96" i="8"/>
  <c r="I98" i="8"/>
  <c r="F95" i="8"/>
  <c r="F97" i="8"/>
  <c r="G95" i="8"/>
  <c r="G97" i="8"/>
  <c r="F96" i="8"/>
  <c r="F98" i="8"/>
  <c r="H95" i="8"/>
  <c r="I97" i="8"/>
  <c r="G96" i="8"/>
  <c r="G98" i="8"/>
  <c r="H96" i="8"/>
  <c r="H98" i="8"/>
  <c r="H97" i="8"/>
  <c r="I95" i="8"/>
  <c r="B2" i="35"/>
  <c r="B3" i="35"/>
  <c r="B4" i="35"/>
  <c r="B5" i="35"/>
  <c r="B6" i="35"/>
  <c r="B7" i="35"/>
  <c r="B8" i="35"/>
  <c r="B9" i="35"/>
  <c r="B10" i="35"/>
  <c r="B11" i="35"/>
  <c r="B12" i="35"/>
  <c r="B13" i="35"/>
  <c r="B14" i="35"/>
  <c r="B15" i="35"/>
  <c r="B16" i="35"/>
  <c r="B17" i="35"/>
  <c r="B18" i="35"/>
  <c r="B19" i="35"/>
  <c r="B20" i="35"/>
  <c r="B21" i="35"/>
  <c r="B22" i="35"/>
  <c r="B24" i="35"/>
  <c r="B25" i="35"/>
  <c r="B26" i="35"/>
  <c r="B27" i="35"/>
  <c r="B28" i="35"/>
  <c r="B29" i="35"/>
  <c r="B30" i="35"/>
  <c r="B31" i="35"/>
  <c r="B32" i="35"/>
  <c r="B33" i="35"/>
  <c r="B34" i="35"/>
  <c r="B35" i="35"/>
  <c r="B36" i="35"/>
  <c r="B37" i="35"/>
  <c r="B38" i="35"/>
  <c r="B39" i="35"/>
  <c r="B40" i="35"/>
  <c r="B41" i="35"/>
  <c r="B42" i="35"/>
  <c r="B43" i="35"/>
  <c r="B44" i="35"/>
  <c r="B45" i="35"/>
  <c r="B46" i="35"/>
  <c r="B47" i="35"/>
  <c r="B48" i="35"/>
  <c r="B49" i="35"/>
  <c r="B50" i="35"/>
  <c r="B51" i="35"/>
  <c r="B52" i="35"/>
  <c r="B53" i="35"/>
  <c r="B54" i="35"/>
  <c r="B55" i="35"/>
  <c r="B56" i="35"/>
  <c r="B57" i="35"/>
  <c r="B58" i="35"/>
  <c r="B59" i="35"/>
  <c r="B60" i="35"/>
  <c r="B61" i="35"/>
  <c r="B62" i="35"/>
  <c r="B63" i="35"/>
  <c r="B64" i="35"/>
  <c r="B65" i="35"/>
  <c r="B66" i="35"/>
  <c r="B67" i="35"/>
  <c r="B68" i="35"/>
  <c r="B69" i="35"/>
  <c r="B70" i="35"/>
  <c r="B71" i="35"/>
  <c r="B72" i="35"/>
  <c r="B73" i="35"/>
  <c r="B74" i="35"/>
  <c r="B75" i="35"/>
  <c r="B76" i="35"/>
  <c r="B77" i="35"/>
  <c r="B78" i="35"/>
  <c r="B79" i="35"/>
  <c r="B80" i="35"/>
  <c r="B81" i="35"/>
  <c r="B82" i="35"/>
  <c r="B83" i="35"/>
  <c r="B84" i="35"/>
  <c r="B85" i="35"/>
  <c r="B86" i="35"/>
  <c r="B87" i="35"/>
  <c r="B88" i="35"/>
  <c r="B89" i="35"/>
  <c r="B90" i="35"/>
  <c r="B91" i="35"/>
  <c r="B92" i="35"/>
  <c r="B93" i="35"/>
  <c r="B94" i="35"/>
  <c r="B95" i="35"/>
  <c r="B96" i="35"/>
  <c r="B97" i="35"/>
  <c r="B98" i="35"/>
  <c r="B100" i="35"/>
  <c r="B101" i="35"/>
  <c r="B102" i="35"/>
  <c r="B103" i="35"/>
  <c r="B104" i="35"/>
  <c r="B105" i="35"/>
  <c r="B106" i="35"/>
  <c r="B107" i="35"/>
  <c r="B108" i="35"/>
  <c r="B109" i="35"/>
  <c r="B110" i="35"/>
  <c r="B111" i="35"/>
  <c r="B112" i="35"/>
  <c r="B113" i="35"/>
  <c r="B114" i="35"/>
  <c r="B115" i="35"/>
  <c r="B116" i="35"/>
  <c r="B117" i="35"/>
  <c r="B118" i="35"/>
  <c r="B119" i="35"/>
  <c r="B120" i="35"/>
  <c r="B121" i="35"/>
  <c r="B122" i="35"/>
  <c r="B124" i="35"/>
  <c r="B125" i="35"/>
  <c r="B126" i="35"/>
  <c r="B128" i="35"/>
  <c r="B131" i="35"/>
  <c r="B132" i="35"/>
  <c r="B133" i="35"/>
  <c r="B134" i="35"/>
  <c r="B135" i="35"/>
  <c r="B137" i="35"/>
  <c r="B138" i="35"/>
  <c r="B139" i="35"/>
  <c r="B140" i="35"/>
  <c r="B141" i="35"/>
  <c r="B142" i="35"/>
  <c r="B143" i="35"/>
  <c r="B144" i="35"/>
  <c r="B145" i="35"/>
  <c r="B146" i="35"/>
  <c r="B147" i="35"/>
  <c r="B148" i="35"/>
  <c r="B149" i="35"/>
  <c r="B150" i="35"/>
  <c r="B151" i="35"/>
  <c r="B152" i="35"/>
  <c r="B153" i="35"/>
  <c r="B154" i="35"/>
  <c r="B155" i="35"/>
  <c r="B156" i="35"/>
  <c r="B157" i="35"/>
  <c r="B158" i="35"/>
  <c r="B159" i="35"/>
  <c r="B160" i="35"/>
  <c r="B161" i="35"/>
  <c r="B162" i="35"/>
  <c r="B163" i="35"/>
  <c r="B164" i="35"/>
  <c r="B165" i="35"/>
  <c r="B166" i="35"/>
  <c r="B167" i="35"/>
  <c r="B168" i="35"/>
  <c r="B169" i="35"/>
  <c r="B170" i="35"/>
  <c r="B171" i="35"/>
  <c r="B172" i="35"/>
  <c r="B174" i="35"/>
  <c r="B175" i="35"/>
  <c r="B176" i="35"/>
  <c r="B177" i="35"/>
  <c r="B178" i="35"/>
  <c r="B179" i="35"/>
  <c r="B180" i="35"/>
  <c r="B181" i="35"/>
  <c r="B182" i="35"/>
  <c r="B183" i="35"/>
  <c r="B184" i="35"/>
  <c r="B186" i="35"/>
  <c r="B187" i="35"/>
  <c r="B188" i="35"/>
  <c r="B189" i="35"/>
  <c r="B190" i="35"/>
  <c r="B191" i="35"/>
  <c r="B192" i="35"/>
  <c r="B193" i="35"/>
  <c r="B194" i="35"/>
  <c r="B195" i="35"/>
  <c r="B196" i="35"/>
  <c r="B198" i="35"/>
  <c r="B199" i="35"/>
  <c r="B200" i="35"/>
  <c r="B201" i="35"/>
  <c r="B202" i="35"/>
  <c r="B203" i="35"/>
  <c r="B204" i="35"/>
  <c r="B205" i="35"/>
  <c r="B206" i="35"/>
  <c r="B207" i="35"/>
  <c r="B208" i="35"/>
  <c r="B209" i="35"/>
  <c r="B210" i="35"/>
  <c r="B211" i="35"/>
  <c r="B212" i="35"/>
  <c r="B213" i="35"/>
  <c r="B214" i="35"/>
  <c r="B215" i="35"/>
  <c r="B216" i="35"/>
  <c r="B217" i="35"/>
  <c r="B218" i="35"/>
  <c r="B219" i="35"/>
  <c r="B220" i="35"/>
  <c r="B221" i="35"/>
  <c r="B222" i="35"/>
  <c r="B223" i="35"/>
  <c r="B226" i="35"/>
  <c r="B227" i="35"/>
  <c r="B228" i="35"/>
  <c r="B229" i="35"/>
  <c r="B230" i="35"/>
  <c r="B231" i="35"/>
  <c r="B232" i="35"/>
  <c r="B233" i="35"/>
  <c r="B234" i="35"/>
  <c r="B235" i="35"/>
  <c r="B236" i="35"/>
  <c r="B237" i="35"/>
  <c r="B238" i="35"/>
  <c r="B239" i="35"/>
  <c r="B240" i="35"/>
  <c r="B241" i="35"/>
  <c r="B243" i="35"/>
  <c r="B244" i="35"/>
  <c r="B246" i="35"/>
  <c r="B248" i="35"/>
  <c r="B249" i="35"/>
  <c r="B250" i="35"/>
  <c r="B252" i="35"/>
  <c r="B253" i="35"/>
  <c r="B254" i="35"/>
  <c r="AB48" i="37" l="1"/>
  <c r="AI48" i="37"/>
  <c r="Z49" i="37"/>
  <c r="W51" i="37"/>
  <c r="AE50" i="37"/>
  <c r="AO51" i="37" s="1"/>
  <c r="X50" i="37"/>
  <c r="V50" i="37"/>
  <c r="AA49" i="37"/>
  <c r="Y49" i="37"/>
  <c r="AH49" i="37"/>
  <c r="AF49" i="37"/>
  <c r="AG49" i="37"/>
  <c r="AI49" i="37" l="1"/>
  <c r="AA50" i="37"/>
  <c r="Y50" i="37"/>
  <c r="Z50" i="37"/>
  <c r="AB50" i="37" s="1"/>
  <c r="AF50" i="37"/>
  <c r="AH50" i="37"/>
  <c r="AG50" i="37"/>
  <c r="AI50" i="37" s="1"/>
  <c r="W52" i="37"/>
  <c r="AE51" i="37"/>
  <c r="AO52" i="37" s="1"/>
  <c r="V51" i="37"/>
  <c r="X51" i="37"/>
  <c r="AB49" i="37"/>
  <c r="E153" i="14"/>
  <c r="AA51" i="37" l="1"/>
  <c r="Y51" i="37"/>
  <c r="Z51" i="37"/>
  <c r="AB51" i="37" s="1"/>
  <c r="AF51" i="37"/>
  <c r="AH51" i="37"/>
  <c r="AG51" i="37"/>
  <c r="AI51" i="37" s="1"/>
  <c r="W53" i="37"/>
  <c r="AE52" i="37"/>
  <c r="AO53" i="37" s="1"/>
  <c r="V52" i="37"/>
  <c r="X52" i="37"/>
  <c r="C151" i="25"/>
  <c r="B151" i="25"/>
  <c r="A151" i="25"/>
  <c r="C150" i="25"/>
  <c r="B150" i="25"/>
  <c r="A150" i="25"/>
  <c r="C149" i="25"/>
  <c r="B149" i="25"/>
  <c r="A149" i="25"/>
  <c r="C148" i="25"/>
  <c r="B148" i="25"/>
  <c r="A148" i="25"/>
  <c r="C147" i="25"/>
  <c r="B147" i="25"/>
  <c r="A147" i="25"/>
  <c r="C146" i="25"/>
  <c r="B146" i="25"/>
  <c r="A146" i="25"/>
  <c r="C145" i="25"/>
  <c r="B145" i="25"/>
  <c r="A145" i="25"/>
  <c r="C144" i="25"/>
  <c r="B144" i="25"/>
  <c r="A144" i="25"/>
  <c r="C143" i="25"/>
  <c r="B143" i="25"/>
  <c r="A143" i="25"/>
  <c r="C142" i="25"/>
  <c r="B142" i="25"/>
  <c r="A142" i="25"/>
  <c r="C141" i="25"/>
  <c r="B141" i="25"/>
  <c r="A141" i="25"/>
  <c r="C140" i="25"/>
  <c r="B140" i="25"/>
  <c r="A140" i="25"/>
  <c r="C139" i="25"/>
  <c r="B139" i="25"/>
  <c r="A139" i="25"/>
  <c r="C138" i="25"/>
  <c r="B138" i="25"/>
  <c r="A138" i="25"/>
  <c r="C137" i="25"/>
  <c r="B137" i="25"/>
  <c r="A137" i="25"/>
  <c r="C136" i="25"/>
  <c r="B136" i="25"/>
  <c r="A136" i="25"/>
  <c r="C135" i="25"/>
  <c r="B135" i="25"/>
  <c r="A135" i="25"/>
  <c r="C134" i="25"/>
  <c r="B134" i="25"/>
  <c r="A134" i="25"/>
  <c r="C133" i="25"/>
  <c r="B133" i="25"/>
  <c r="A133" i="25"/>
  <c r="C132" i="25"/>
  <c r="B132" i="25"/>
  <c r="A132" i="25"/>
  <c r="C131" i="25"/>
  <c r="B131" i="25"/>
  <c r="A131" i="25"/>
  <c r="C130" i="25"/>
  <c r="B130" i="25"/>
  <c r="A130" i="25"/>
  <c r="C129" i="25"/>
  <c r="B129" i="25"/>
  <c r="A129" i="25"/>
  <c r="C128" i="25"/>
  <c r="B128" i="25"/>
  <c r="A128" i="25"/>
  <c r="C127" i="25"/>
  <c r="B127" i="25"/>
  <c r="A127" i="25"/>
  <c r="C126" i="25"/>
  <c r="B126" i="25"/>
  <c r="A126" i="25"/>
  <c r="C125" i="25"/>
  <c r="B125" i="25"/>
  <c r="A125" i="25"/>
  <c r="C124" i="25"/>
  <c r="B124" i="25"/>
  <c r="A124" i="25"/>
  <c r="C123" i="25"/>
  <c r="B123" i="25"/>
  <c r="A123" i="25"/>
  <c r="C122" i="25"/>
  <c r="B122" i="25"/>
  <c r="A122" i="25"/>
  <c r="C121" i="25"/>
  <c r="B121" i="25"/>
  <c r="A121" i="25"/>
  <c r="C120" i="25"/>
  <c r="B120" i="25"/>
  <c r="A120" i="25"/>
  <c r="C119" i="25"/>
  <c r="B119" i="25"/>
  <c r="A119" i="25"/>
  <c r="C118" i="25"/>
  <c r="B118" i="25"/>
  <c r="A118" i="25"/>
  <c r="C117" i="25"/>
  <c r="B117" i="25"/>
  <c r="A117" i="25"/>
  <c r="C116" i="25"/>
  <c r="B116" i="25"/>
  <c r="A116" i="25"/>
  <c r="C115" i="25"/>
  <c r="B115" i="25"/>
  <c r="A115" i="25"/>
  <c r="C114" i="25"/>
  <c r="B114" i="25"/>
  <c r="A114" i="25"/>
  <c r="C113" i="25"/>
  <c r="B113" i="25"/>
  <c r="A113" i="25"/>
  <c r="C112" i="25"/>
  <c r="B112" i="25"/>
  <c r="A112" i="25"/>
  <c r="C111" i="25"/>
  <c r="B111" i="25"/>
  <c r="A111" i="25"/>
  <c r="C110" i="25"/>
  <c r="B110" i="25"/>
  <c r="A110" i="25"/>
  <c r="C109" i="25"/>
  <c r="B109" i="25"/>
  <c r="A109" i="25"/>
  <c r="C108" i="25"/>
  <c r="B108" i="25"/>
  <c r="A108" i="25"/>
  <c r="C107" i="25"/>
  <c r="B107" i="25"/>
  <c r="A107" i="25"/>
  <c r="C106" i="25"/>
  <c r="B106" i="25"/>
  <c r="A106" i="25"/>
  <c r="C105" i="25"/>
  <c r="B105" i="25"/>
  <c r="A105" i="25"/>
  <c r="C104" i="25"/>
  <c r="B104" i="25"/>
  <c r="A104" i="25"/>
  <c r="C103" i="25"/>
  <c r="B103" i="25"/>
  <c r="A103" i="25"/>
  <c r="C102" i="25"/>
  <c r="B102" i="25"/>
  <c r="A102" i="25"/>
  <c r="C101" i="25"/>
  <c r="B101" i="25"/>
  <c r="A101" i="25"/>
  <c r="C100" i="25"/>
  <c r="B100" i="25"/>
  <c r="A100" i="25"/>
  <c r="C99" i="25"/>
  <c r="B99" i="25"/>
  <c r="A99" i="25"/>
  <c r="C98" i="25"/>
  <c r="B98" i="25"/>
  <c r="A98" i="25"/>
  <c r="C97" i="25"/>
  <c r="B97" i="25"/>
  <c r="A97" i="25"/>
  <c r="C96" i="25"/>
  <c r="B96" i="25"/>
  <c r="A96" i="25"/>
  <c r="C95" i="25"/>
  <c r="B95" i="25"/>
  <c r="A95" i="25"/>
  <c r="C94" i="25"/>
  <c r="B94" i="25"/>
  <c r="A94" i="25"/>
  <c r="C93" i="25"/>
  <c r="B93" i="25"/>
  <c r="A93" i="25"/>
  <c r="C92" i="25"/>
  <c r="B92" i="25"/>
  <c r="A92" i="25"/>
  <c r="C91" i="25"/>
  <c r="B91" i="25"/>
  <c r="A91" i="25"/>
  <c r="C90" i="25"/>
  <c r="B90" i="25"/>
  <c r="A90" i="25"/>
  <c r="C89" i="25"/>
  <c r="B89" i="25"/>
  <c r="A89" i="25"/>
  <c r="C88" i="25"/>
  <c r="B88" i="25"/>
  <c r="A88" i="25"/>
  <c r="C87" i="25"/>
  <c r="B87" i="25"/>
  <c r="A87" i="25"/>
  <c r="C86" i="25"/>
  <c r="B86" i="25"/>
  <c r="A86" i="25"/>
  <c r="C85" i="25"/>
  <c r="B85" i="25"/>
  <c r="A85" i="25"/>
  <c r="C84" i="25"/>
  <c r="B84" i="25"/>
  <c r="A84" i="25"/>
  <c r="C83" i="25"/>
  <c r="B83" i="25"/>
  <c r="A83" i="25"/>
  <c r="C82" i="25"/>
  <c r="B82" i="25"/>
  <c r="A82" i="25"/>
  <c r="C81" i="25"/>
  <c r="B81" i="25"/>
  <c r="A81" i="25"/>
  <c r="C80" i="25"/>
  <c r="B80" i="25"/>
  <c r="A80" i="25"/>
  <c r="C79" i="25"/>
  <c r="B79" i="25"/>
  <c r="A79" i="25"/>
  <c r="C78" i="25"/>
  <c r="B78" i="25"/>
  <c r="A78" i="25"/>
  <c r="C77" i="25"/>
  <c r="B77" i="25"/>
  <c r="A77" i="25"/>
  <c r="C76" i="25"/>
  <c r="B76" i="25"/>
  <c r="A76" i="25"/>
  <c r="C75" i="25"/>
  <c r="B75" i="25"/>
  <c r="A75" i="25"/>
  <c r="C74" i="25"/>
  <c r="B74" i="25"/>
  <c r="A74" i="25"/>
  <c r="C73" i="25"/>
  <c r="B73" i="25"/>
  <c r="A73" i="25"/>
  <c r="C72" i="25"/>
  <c r="B72" i="25"/>
  <c r="A72" i="25"/>
  <c r="C71" i="25"/>
  <c r="B71" i="25"/>
  <c r="A71" i="25"/>
  <c r="C70" i="25"/>
  <c r="B70" i="25"/>
  <c r="A70" i="25"/>
  <c r="C69" i="25"/>
  <c r="B69" i="25"/>
  <c r="A69" i="25"/>
  <c r="C68" i="25"/>
  <c r="B68" i="25"/>
  <c r="A68" i="25"/>
  <c r="C67" i="25"/>
  <c r="B67" i="25"/>
  <c r="A67" i="25"/>
  <c r="C66" i="25"/>
  <c r="B66" i="25"/>
  <c r="A66" i="25"/>
  <c r="C65" i="25"/>
  <c r="B65" i="25"/>
  <c r="A65" i="25"/>
  <c r="C64" i="25"/>
  <c r="B64" i="25"/>
  <c r="A64" i="25"/>
  <c r="C63" i="25"/>
  <c r="B63" i="25"/>
  <c r="A63" i="25"/>
  <c r="C62" i="25"/>
  <c r="B62" i="25"/>
  <c r="A62" i="25"/>
  <c r="C61" i="25"/>
  <c r="B61" i="25"/>
  <c r="A61" i="25"/>
  <c r="C60" i="25"/>
  <c r="B60" i="25"/>
  <c r="A60" i="25"/>
  <c r="C59" i="25"/>
  <c r="B59" i="25"/>
  <c r="A59" i="25"/>
  <c r="C58" i="25"/>
  <c r="B58" i="25"/>
  <c r="A58" i="25"/>
  <c r="C57" i="25"/>
  <c r="B57" i="25"/>
  <c r="A57" i="25"/>
  <c r="C56" i="25"/>
  <c r="B56" i="25"/>
  <c r="A56" i="25"/>
  <c r="C55" i="25"/>
  <c r="B55" i="25"/>
  <c r="A55" i="25"/>
  <c r="C54" i="25"/>
  <c r="B54" i="25"/>
  <c r="A54" i="25"/>
  <c r="C53" i="25"/>
  <c r="B53" i="25"/>
  <c r="A53" i="25"/>
  <c r="C52" i="25"/>
  <c r="B52" i="25"/>
  <c r="A52" i="25"/>
  <c r="C51" i="25"/>
  <c r="B51" i="25"/>
  <c r="A51" i="25"/>
  <c r="C50" i="25"/>
  <c r="B50" i="25"/>
  <c r="A50" i="25"/>
  <c r="C49" i="25"/>
  <c r="B49" i="25"/>
  <c r="A49" i="25"/>
  <c r="C48" i="25"/>
  <c r="B48" i="25"/>
  <c r="A48" i="25"/>
  <c r="C47" i="25"/>
  <c r="B47" i="25"/>
  <c r="A47" i="25"/>
  <c r="C46" i="25"/>
  <c r="B46" i="25"/>
  <c r="A46" i="25"/>
  <c r="C45" i="25"/>
  <c r="B45" i="25"/>
  <c r="A45" i="25"/>
  <c r="C44" i="25"/>
  <c r="B44" i="25"/>
  <c r="A44" i="25"/>
  <c r="C43" i="25"/>
  <c r="B43" i="25"/>
  <c r="A43" i="25"/>
  <c r="C42" i="25"/>
  <c r="B42" i="25"/>
  <c r="A42" i="25"/>
  <c r="C41" i="25"/>
  <c r="B41" i="25"/>
  <c r="A41" i="25"/>
  <c r="C40" i="25"/>
  <c r="B40" i="25"/>
  <c r="A40" i="25"/>
  <c r="C39" i="25"/>
  <c r="B39" i="25"/>
  <c r="A39" i="25"/>
  <c r="C38" i="25"/>
  <c r="B38" i="25"/>
  <c r="A38" i="25"/>
  <c r="C37" i="25"/>
  <c r="B37" i="25"/>
  <c r="A37" i="25"/>
  <c r="C36" i="25"/>
  <c r="B36" i="25"/>
  <c r="A36" i="25"/>
  <c r="C35" i="25"/>
  <c r="B35" i="25"/>
  <c r="A35" i="25"/>
  <c r="C34" i="25"/>
  <c r="B34" i="25"/>
  <c r="A34" i="25"/>
  <c r="C33" i="25"/>
  <c r="B33" i="25"/>
  <c r="A33" i="25"/>
  <c r="C32" i="25"/>
  <c r="B32" i="25"/>
  <c r="A32" i="25"/>
  <c r="C31" i="25"/>
  <c r="B31" i="25"/>
  <c r="A31" i="25"/>
  <c r="C30" i="25"/>
  <c r="B30" i="25"/>
  <c r="A30" i="25"/>
  <c r="C29" i="25"/>
  <c r="B29" i="25"/>
  <c r="A29" i="25"/>
  <c r="C28" i="25"/>
  <c r="B28" i="25"/>
  <c r="A28" i="25"/>
  <c r="C27" i="25"/>
  <c r="B27" i="25"/>
  <c r="A27" i="25"/>
  <c r="C26" i="25"/>
  <c r="B26" i="25"/>
  <c r="A26" i="25"/>
  <c r="C25" i="25"/>
  <c r="B25" i="25"/>
  <c r="A25" i="25"/>
  <c r="C24" i="25"/>
  <c r="B24" i="25"/>
  <c r="A24" i="25"/>
  <c r="C23" i="25"/>
  <c r="B23" i="25"/>
  <c r="A23" i="25"/>
  <c r="C22" i="25"/>
  <c r="B22" i="25"/>
  <c r="A22" i="25"/>
  <c r="C21" i="25"/>
  <c r="B21" i="25"/>
  <c r="A21" i="25"/>
  <c r="C20" i="25"/>
  <c r="B20" i="25"/>
  <c r="A20" i="25"/>
  <c r="C19" i="25"/>
  <c r="B19" i="25"/>
  <c r="A19" i="25"/>
  <c r="C18" i="25"/>
  <c r="B18" i="25"/>
  <c r="A18" i="25"/>
  <c r="C17" i="25"/>
  <c r="B17" i="25"/>
  <c r="A17" i="25"/>
  <c r="C16" i="25"/>
  <c r="B16" i="25"/>
  <c r="A16" i="25"/>
  <c r="C15" i="25"/>
  <c r="B15" i="25"/>
  <c r="A15" i="25"/>
  <c r="C14" i="25"/>
  <c r="B14" i="25"/>
  <c r="A14" i="25"/>
  <c r="C13" i="25"/>
  <c r="B13" i="25"/>
  <c r="A13" i="25"/>
  <c r="C12" i="25"/>
  <c r="B12" i="25"/>
  <c r="A12" i="25"/>
  <c r="C11" i="25"/>
  <c r="B11" i="25"/>
  <c r="A11" i="25"/>
  <c r="C10" i="25"/>
  <c r="B10" i="25"/>
  <c r="A10" i="25"/>
  <c r="C9" i="25"/>
  <c r="B9" i="25"/>
  <c r="A9" i="25"/>
  <c r="C8" i="25"/>
  <c r="B8" i="25"/>
  <c r="A8" i="25"/>
  <c r="C7" i="25"/>
  <c r="B7" i="25"/>
  <c r="A7" i="25"/>
  <c r="C6" i="25"/>
  <c r="B6" i="25"/>
  <c r="A6" i="25"/>
  <c r="C5" i="25"/>
  <c r="B5" i="25"/>
  <c r="A5" i="25"/>
  <c r="C4" i="25"/>
  <c r="B4" i="25"/>
  <c r="A4" i="25"/>
  <c r="C3" i="25"/>
  <c r="B3" i="25"/>
  <c r="A3" i="25"/>
  <c r="F10" i="4" l="1"/>
  <c r="H9" i="4"/>
  <c r="J3" i="7" s="1"/>
  <c r="H10" i="4"/>
  <c r="Z52" i="37"/>
  <c r="AF52" i="37"/>
  <c r="AH52" i="37"/>
  <c r="AG52" i="37"/>
  <c r="AA52" i="37"/>
  <c r="Y52" i="37"/>
  <c r="W54" i="37"/>
  <c r="AE53" i="37"/>
  <c r="AO54" i="37" s="1"/>
  <c r="V53" i="37"/>
  <c r="X53" i="37"/>
  <c r="I110" i="14" l="1"/>
  <c r="J110" i="14" s="1"/>
  <c r="H58" i="7"/>
  <c r="H72" i="7"/>
  <c r="E151" i="22" s="1"/>
  <c r="H61" i="7"/>
  <c r="E140" i="22" s="1"/>
  <c r="H57" i="7"/>
  <c r="H71" i="7"/>
  <c r="H60" i="7"/>
  <c r="E139" i="22" s="1"/>
  <c r="H74" i="7"/>
  <c r="H70" i="7"/>
  <c r="H59" i="7"/>
  <c r="E138" i="22" s="1"/>
  <c r="H73" i="7"/>
  <c r="E152" i="22" s="1"/>
  <c r="K260" i="26"/>
  <c r="J91" i="4"/>
  <c r="J92" i="4"/>
  <c r="J35" i="4"/>
  <c r="H20" i="4"/>
  <c r="J34" i="4"/>
  <c r="H34" i="4" s="1"/>
  <c r="J33" i="4"/>
  <c r="J89" i="4"/>
  <c r="J36" i="4"/>
  <c r="J90" i="4"/>
  <c r="H17" i="4"/>
  <c r="H18" i="4"/>
  <c r="H19" i="4"/>
  <c r="H21" i="4"/>
  <c r="I64" i="14"/>
  <c r="J64" i="14" s="1"/>
  <c r="I100" i="14"/>
  <c r="J100" i="14" s="1"/>
  <c r="I146" i="14"/>
  <c r="J146" i="14" s="1"/>
  <c r="I62" i="14"/>
  <c r="J62" i="14" s="1"/>
  <c r="I84" i="14"/>
  <c r="J84" i="14" s="1"/>
  <c r="I125" i="14"/>
  <c r="J125" i="14" s="1"/>
  <c r="I98" i="14"/>
  <c r="J98" i="14" s="1"/>
  <c r="I85" i="14"/>
  <c r="J85" i="14" s="1"/>
  <c r="I144" i="14"/>
  <c r="J144" i="14" s="1"/>
  <c r="I126" i="14"/>
  <c r="J126" i="14" s="1"/>
  <c r="I63" i="14"/>
  <c r="J63" i="14" s="1"/>
  <c r="I99" i="14"/>
  <c r="J99" i="14" s="1"/>
  <c r="I86" i="14"/>
  <c r="J86" i="14" s="1"/>
  <c r="I145" i="14"/>
  <c r="J145" i="14" s="1"/>
  <c r="I127" i="14"/>
  <c r="J127" i="14" s="1"/>
  <c r="J31" i="4"/>
  <c r="D104" i="26" s="1"/>
  <c r="I114" i="7"/>
  <c r="D369" i="8" s="1"/>
  <c r="I113" i="7"/>
  <c r="D368" i="8" s="1"/>
  <c r="I88" i="7"/>
  <c r="H97" i="7"/>
  <c r="H92" i="7"/>
  <c r="D11" i="8"/>
  <c r="J22" i="8" s="1"/>
  <c r="J23" i="8" s="1"/>
  <c r="I132" i="7"/>
  <c r="I126" i="7"/>
  <c r="I127" i="7"/>
  <c r="D381" i="8" s="1"/>
  <c r="I133" i="7"/>
  <c r="I134" i="7"/>
  <c r="I128" i="7"/>
  <c r="D382" i="8" s="1"/>
  <c r="I121" i="7"/>
  <c r="D375" i="8" s="1"/>
  <c r="I119" i="7"/>
  <c r="D373" i="8" s="1"/>
  <c r="I120" i="7"/>
  <c r="D374" i="8" s="1"/>
  <c r="I115" i="7"/>
  <c r="D370" i="8" s="1"/>
  <c r="G10" i="4"/>
  <c r="I152" i="14"/>
  <c r="J152" i="14" s="1"/>
  <c r="I129" i="14"/>
  <c r="J129" i="14" s="1"/>
  <c r="I82" i="14"/>
  <c r="J82" i="14" s="1"/>
  <c r="I119" i="14"/>
  <c r="J119" i="14" s="1"/>
  <c r="I132" i="14"/>
  <c r="J132" i="14" s="1"/>
  <c r="I17" i="14"/>
  <c r="J17" i="14" s="1"/>
  <c r="I111" i="14"/>
  <c r="J111" i="14" s="1"/>
  <c r="I121" i="14"/>
  <c r="J121" i="14" s="1"/>
  <c r="I140" i="14"/>
  <c r="J140" i="14" s="1"/>
  <c r="I151" i="14"/>
  <c r="J151" i="14" s="1"/>
  <c r="I131" i="14"/>
  <c r="J131" i="14" s="1"/>
  <c r="I149" i="14"/>
  <c r="J149" i="14" s="1"/>
  <c r="I96" i="14"/>
  <c r="J96" i="14" s="1"/>
  <c r="I142" i="14"/>
  <c r="J142" i="14" s="1"/>
  <c r="I108" i="14"/>
  <c r="J108" i="14" s="1"/>
  <c r="I154" i="14"/>
  <c r="J154" i="14" s="1"/>
  <c r="I88" i="14"/>
  <c r="J88" i="14" s="1"/>
  <c r="I150" i="14"/>
  <c r="I107" i="14"/>
  <c r="J107" i="14" s="1"/>
  <c r="I112" i="14"/>
  <c r="J112" i="14" s="1"/>
  <c r="I122" i="14"/>
  <c r="J122" i="14" s="1"/>
  <c r="I153" i="14"/>
  <c r="J153" i="14" s="1"/>
  <c r="I123" i="14"/>
  <c r="J123" i="14" s="1"/>
  <c r="I95" i="14"/>
  <c r="J95" i="14" s="1"/>
  <c r="I94" i="14"/>
  <c r="J94" i="14" s="1"/>
  <c r="I130" i="14"/>
  <c r="J130" i="14" s="1"/>
  <c r="I148" i="14"/>
  <c r="J148" i="14" s="1"/>
  <c r="I141" i="14"/>
  <c r="J141" i="14" s="1"/>
  <c r="I120" i="14"/>
  <c r="J120" i="14" s="1"/>
  <c r="I19" i="14"/>
  <c r="J19" i="14" s="1"/>
  <c r="I44" i="14"/>
  <c r="J44" i="14" s="1"/>
  <c r="I65" i="14"/>
  <c r="J65" i="14" s="1"/>
  <c r="I40" i="14"/>
  <c r="J40" i="14" s="1"/>
  <c r="I60" i="14"/>
  <c r="J60" i="14" s="1"/>
  <c r="I16" i="14"/>
  <c r="J16" i="14" s="1"/>
  <c r="I59" i="14"/>
  <c r="J59" i="14" s="1"/>
  <c r="I51" i="14"/>
  <c r="J51" i="14" s="1"/>
  <c r="I13" i="14"/>
  <c r="J13" i="14" s="1"/>
  <c r="I162" i="14"/>
  <c r="J162" i="14" s="1"/>
  <c r="I49" i="14"/>
  <c r="J49" i="14" s="1"/>
  <c r="I48" i="14"/>
  <c r="J48" i="14" s="1"/>
  <c r="I33" i="14"/>
  <c r="J33" i="14" s="1"/>
  <c r="I18" i="14"/>
  <c r="J18" i="14" s="1"/>
  <c r="I52" i="14"/>
  <c r="J52" i="14" s="1"/>
  <c r="I14" i="14"/>
  <c r="J14" i="14" s="1"/>
  <c r="I81" i="14"/>
  <c r="J81" i="14" s="1"/>
  <c r="I50" i="14"/>
  <c r="J50" i="14" s="1"/>
  <c r="I12" i="14"/>
  <c r="J12" i="14" s="1"/>
  <c r="I26" i="14"/>
  <c r="J26" i="14" s="1"/>
  <c r="I67" i="14"/>
  <c r="J67" i="14" s="1"/>
  <c r="H102" i="4"/>
  <c r="F103" i="4" s="1"/>
  <c r="H141" i="4"/>
  <c r="H140" i="4"/>
  <c r="H139" i="4"/>
  <c r="I157" i="14"/>
  <c r="J157" i="14" s="1"/>
  <c r="I75" i="14"/>
  <c r="J75" i="14" s="1"/>
  <c r="I92" i="14"/>
  <c r="J92" i="14" s="1"/>
  <c r="I156" i="14"/>
  <c r="J156" i="14" s="1"/>
  <c r="I77" i="14"/>
  <c r="J77" i="14" s="1"/>
  <c r="I69" i="14"/>
  <c r="J69" i="14" s="1"/>
  <c r="I68" i="14"/>
  <c r="I76" i="14"/>
  <c r="J76" i="14" s="1"/>
  <c r="I136" i="14"/>
  <c r="J136" i="14" s="1"/>
  <c r="I135" i="14"/>
  <c r="J135" i="14" s="1"/>
  <c r="I91" i="14"/>
  <c r="J91" i="14" s="1"/>
  <c r="I158" i="14"/>
  <c r="J158" i="14" s="1"/>
  <c r="I90" i="14"/>
  <c r="J90" i="14" s="1"/>
  <c r="I106" i="14"/>
  <c r="J106" i="14" s="1"/>
  <c r="I15" i="14"/>
  <c r="J15" i="14" s="1"/>
  <c r="I36" i="14"/>
  <c r="J36" i="14" s="1"/>
  <c r="I53" i="14"/>
  <c r="J53" i="14" s="1"/>
  <c r="I71" i="14"/>
  <c r="J71" i="14" s="1"/>
  <c r="I113" i="14"/>
  <c r="J113" i="14" s="1"/>
  <c r="I35" i="14"/>
  <c r="J35" i="14" s="1"/>
  <c r="I55" i="14"/>
  <c r="J55" i="14" s="1"/>
  <c r="I21" i="14"/>
  <c r="J21" i="14" s="1"/>
  <c r="I163" i="14"/>
  <c r="J163" i="14" s="1"/>
  <c r="I27" i="14"/>
  <c r="J27" i="14" s="1"/>
  <c r="I22" i="14"/>
  <c r="J22" i="14" s="1"/>
  <c r="I34" i="14"/>
  <c r="J34" i="14" s="1"/>
  <c r="I54" i="14"/>
  <c r="J54" i="14" s="1"/>
  <c r="I73" i="14"/>
  <c r="J73" i="14" s="1"/>
  <c r="I164" i="14"/>
  <c r="J164" i="14" s="1"/>
  <c r="I42" i="14"/>
  <c r="J42" i="14" s="1"/>
  <c r="I70" i="14"/>
  <c r="J70" i="14" s="1"/>
  <c r="I114" i="14"/>
  <c r="J114" i="14" s="1"/>
  <c r="I20" i="14"/>
  <c r="J20" i="14" s="1"/>
  <c r="I29" i="14"/>
  <c r="J29" i="14" s="1"/>
  <c r="I43" i="14"/>
  <c r="J43" i="14" s="1"/>
  <c r="I72" i="14"/>
  <c r="J72" i="14" s="1"/>
  <c r="I28" i="14"/>
  <c r="J28" i="14" s="1"/>
  <c r="I115" i="14"/>
  <c r="J115" i="14" s="1"/>
  <c r="I41" i="14"/>
  <c r="J41" i="14" s="1"/>
  <c r="I109" i="14"/>
  <c r="J109" i="14" s="1"/>
  <c r="I134" i="14"/>
  <c r="J134" i="14" s="1"/>
  <c r="I165" i="14"/>
  <c r="J165" i="14" s="1"/>
  <c r="I15" i="7"/>
  <c r="H98" i="7"/>
  <c r="H93" i="7"/>
  <c r="H99" i="7"/>
  <c r="H94" i="7"/>
  <c r="I83" i="7"/>
  <c r="I42" i="7"/>
  <c r="H68" i="7"/>
  <c r="I65" i="7"/>
  <c r="E153" i="22"/>
  <c r="I64" i="7"/>
  <c r="I66" i="7"/>
  <c r="H65" i="7"/>
  <c r="I67" i="7"/>
  <c r="E149" i="22"/>
  <c r="H67" i="7"/>
  <c r="E150" i="22"/>
  <c r="H66" i="7"/>
  <c r="H64" i="7"/>
  <c r="E144" i="22" s="1"/>
  <c r="I48" i="7"/>
  <c r="I68" i="7"/>
  <c r="I53" i="7"/>
  <c r="I52" i="7"/>
  <c r="I51" i="7"/>
  <c r="I179" i="7"/>
  <c r="I157" i="7"/>
  <c r="I141" i="7"/>
  <c r="I92" i="7"/>
  <c r="I74" i="7"/>
  <c r="H191" i="7"/>
  <c r="H158" i="7"/>
  <c r="H144" i="7"/>
  <c r="I153" i="7"/>
  <c r="I139" i="7"/>
  <c r="I72" i="7"/>
  <c r="H174" i="7"/>
  <c r="H162" i="7"/>
  <c r="H179" i="7"/>
  <c r="I191" i="7"/>
  <c r="I156" i="7"/>
  <c r="I140" i="7"/>
  <c r="I73" i="7"/>
  <c r="H190" i="7"/>
  <c r="H175" i="7"/>
  <c r="H157" i="7"/>
  <c r="H141" i="7"/>
  <c r="I175" i="7"/>
  <c r="H156" i="7"/>
  <c r="H139" i="7"/>
  <c r="I190" i="7"/>
  <c r="H140" i="7"/>
  <c r="H153" i="7"/>
  <c r="I174" i="7"/>
  <c r="I152" i="7"/>
  <c r="I99" i="7"/>
  <c r="I71" i="7"/>
  <c r="H186" i="7"/>
  <c r="H146" i="7"/>
  <c r="H145" i="7"/>
  <c r="I186" i="7"/>
  <c r="I163" i="7"/>
  <c r="I151" i="7"/>
  <c r="I98" i="7"/>
  <c r="I70" i="7"/>
  <c r="H185" i="7"/>
  <c r="H152" i="7"/>
  <c r="H180" i="7"/>
  <c r="I185" i="7"/>
  <c r="I162" i="7"/>
  <c r="I146" i="7"/>
  <c r="I97" i="7"/>
  <c r="H163" i="7"/>
  <c r="H151" i="7"/>
  <c r="I161" i="7"/>
  <c r="I145" i="7"/>
  <c r="I94" i="7"/>
  <c r="H161" i="7"/>
  <c r="I180" i="7"/>
  <c r="I158" i="7"/>
  <c r="I144" i="7"/>
  <c r="I93" i="7"/>
  <c r="H24" i="7"/>
  <c r="H21" i="7"/>
  <c r="H20" i="7"/>
  <c r="E137" i="22"/>
  <c r="H19" i="7"/>
  <c r="I10" i="7"/>
  <c r="H26" i="7"/>
  <c r="H18" i="7"/>
  <c r="I9" i="7"/>
  <c r="H25" i="7"/>
  <c r="I55" i="7"/>
  <c r="I49" i="7"/>
  <c r="D367" i="8"/>
  <c r="I59" i="7"/>
  <c r="I50" i="7"/>
  <c r="I60" i="7"/>
  <c r="I61" i="7"/>
  <c r="I57" i="7"/>
  <c r="I58" i="7"/>
  <c r="I54" i="7"/>
  <c r="AI52" i="37"/>
  <c r="AA53" i="37"/>
  <c r="Y53" i="37"/>
  <c r="Z53" i="37"/>
  <c r="AB53" i="37" s="1"/>
  <c r="AF53" i="37"/>
  <c r="AH53" i="37"/>
  <c r="AG53" i="37"/>
  <c r="AB52" i="37"/>
  <c r="W55" i="37"/>
  <c r="AE54" i="37"/>
  <c r="AO55" i="37" s="1"/>
  <c r="V54" i="37"/>
  <c r="X54" i="37"/>
  <c r="C8" i="6"/>
  <c r="H167" i="4"/>
  <c r="H166" i="4"/>
  <c r="F133" i="4" s="1"/>
  <c r="H265" i="4"/>
  <c r="D26" i="11" s="1"/>
  <c r="H261" i="4"/>
  <c r="D22" i="11" s="1"/>
  <c r="H262" i="4"/>
  <c r="D23" i="11" s="1"/>
  <c r="H263" i="4"/>
  <c r="D24" i="11" s="1"/>
  <c r="H260" i="4"/>
  <c r="D21" i="11" s="1"/>
  <c r="H264" i="4"/>
  <c r="D25" i="11" s="1"/>
  <c r="H169" i="26" l="1"/>
  <c r="G169" i="26"/>
  <c r="F169" i="26"/>
  <c r="E169" i="26"/>
  <c r="D169" i="26"/>
  <c r="C169" i="26"/>
  <c r="I169" i="26" s="1"/>
  <c r="H199" i="26"/>
  <c r="G199" i="26"/>
  <c r="F199" i="26"/>
  <c r="E199" i="26"/>
  <c r="D199" i="26"/>
  <c r="C199" i="26"/>
  <c r="H84" i="26"/>
  <c r="D84" i="26"/>
  <c r="G84" i="26"/>
  <c r="F84" i="26"/>
  <c r="E84" i="26"/>
  <c r="C84" i="26"/>
  <c r="H205" i="26"/>
  <c r="G205" i="26"/>
  <c r="F205" i="26"/>
  <c r="E205" i="26"/>
  <c r="D205" i="26"/>
  <c r="C205" i="26"/>
  <c r="H238" i="26"/>
  <c r="H237" i="26" s="1"/>
  <c r="G238" i="26"/>
  <c r="G237" i="26" s="1"/>
  <c r="F238" i="26"/>
  <c r="F237" i="26" s="1"/>
  <c r="E238" i="26"/>
  <c r="E237" i="26" s="1"/>
  <c r="D238" i="26"/>
  <c r="D237" i="26" s="1"/>
  <c r="C238" i="26"/>
  <c r="C237" i="26" s="1"/>
  <c r="H132" i="26"/>
  <c r="H131" i="26" s="1"/>
  <c r="G132" i="26"/>
  <c r="G131" i="26" s="1"/>
  <c r="F132" i="26"/>
  <c r="F131" i="26" s="1"/>
  <c r="E132" i="26"/>
  <c r="E131" i="26" s="1"/>
  <c r="D132" i="26"/>
  <c r="D131" i="26" s="1"/>
  <c r="C132" i="26"/>
  <c r="H223" i="26"/>
  <c r="H222" i="26" s="1"/>
  <c r="G223" i="26"/>
  <c r="G222" i="26" s="1"/>
  <c r="F223" i="26"/>
  <c r="F222" i="26" s="1"/>
  <c r="E223" i="26"/>
  <c r="E222" i="26" s="1"/>
  <c r="D223" i="26"/>
  <c r="D222" i="26" s="1"/>
  <c r="C223" i="26"/>
  <c r="C222" i="26" s="1"/>
  <c r="F227" i="26"/>
  <c r="F226" i="26" s="1"/>
  <c r="E227" i="26"/>
  <c r="E226" i="26" s="1"/>
  <c r="D227" i="26"/>
  <c r="D226" i="26" s="1"/>
  <c r="C227" i="26"/>
  <c r="H227" i="26"/>
  <c r="H226" i="26" s="1"/>
  <c r="G227" i="26"/>
  <c r="G226" i="26" s="1"/>
  <c r="G180" i="4"/>
  <c r="H177" i="4"/>
  <c r="G177" i="4" s="1"/>
  <c r="E136" i="22"/>
  <c r="I47" i="7"/>
  <c r="F296" i="4"/>
  <c r="E297" i="4" s="1"/>
  <c r="D214" i="26"/>
  <c r="K79" i="14"/>
  <c r="E148" i="22"/>
  <c r="E145" i="22"/>
  <c r="E146" i="22"/>
  <c r="E147" i="22"/>
  <c r="D380" i="8"/>
  <c r="D405" i="8"/>
  <c r="D385" i="8"/>
  <c r="D387" i="8" s="1"/>
  <c r="D409" i="8"/>
  <c r="D399" i="8"/>
  <c r="D386" i="8"/>
  <c r="D400" i="8"/>
  <c r="D392" i="8"/>
  <c r="D394" i="8"/>
  <c r="D393" i="8"/>
  <c r="I63" i="7"/>
  <c r="H335" i="4"/>
  <c r="H334" i="4"/>
  <c r="H330" i="4"/>
  <c r="H333" i="4"/>
  <c r="H331" i="4"/>
  <c r="H332" i="4"/>
  <c r="J68" i="14"/>
  <c r="G135" i="26" s="1"/>
  <c r="K46" i="14"/>
  <c r="K104" i="14"/>
  <c r="K38" i="14"/>
  <c r="D22" i="8"/>
  <c r="D23" i="8" s="1"/>
  <c r="D25" i="8"/>
  <c r="I91" i="7"/>
  <c r="I96" i="7"/>
  <c r="AI53" i="37"/>
  <c r="AJ53" i="37" s="1"/>
  <c r="AK53" i="37" s="1"/>
  <c r="I150" i="7"/>
  <c r="I173" i="7"/>
  <c r="I160" i="7"/>
  <c r="I184" i="7"/>
  <c r="I143" i="7"/>
  <c r="K160" i="14"/>
  <c r="I17" i="7"/>
  <c r="I138" i="7"/>
  <c r="I189" i="7"/>
  <c r="I155" i="7"/>
  <c r="I178" i="7"/>
  <c r="I23" i="7"/>
  <c r="K31" i="14"/>
  <c r="K24" i="14"/>
  <c r="D14" i="8"/>
  <c r="AJ39" i="37"/>
  <c r="AK39" i="37" s="1"/>
  <c r="AC40" i="37"/>
  <c r="AD40" i="37" s="1"/>
  <c r="AJ40" i="37"/>
  <c r="AK40" i="37" s="1"/>
  <c r="AC39" i="37"/>
  <c r="AD39" i="37" s="1"/>
  <c r="AC41" i="37"/>
  <c r="AD41" i="37" s="1"/>
  <c r="AJ41" i="37"/>
  <c r="AK41" i="37" s="1"/>
  <c r="AJ42" i="37"/>
  <c r="AK42" i="37" s="1"/>
  <c r="AC42" i="37"/>
  <c r="AD42" i="37" s="1"/>
  <c r="AJ43" i="37"/>
  <c r="AK43" i="37" s="1"/>
  <c r="AC43" i="37"/>
  <c r="AD43" i="37" s="1"/>
  <c r="AC44" i="37"/>
  <c r="AD44" i="37" s="1"/>
  <c r="AJ44" i="37"/>
  <c r="AK44" i="37" s="1"/>
  <c r="AJ45" i="37"/>
  <c r="AK45" i="37" s="1"/>
  <c r="AC45" i="37"/>
  <c r="AD45" i="37" s="1"/>
  <c r="AC46" i="37"/>
  <c r="AD46" i="37" s="1"/>
  <c r="AJ46" i="37"/>
  <c r="AK46" i="37" s="1"/>
  <c r="AC47" i="37"/>
  <c r="AD47" i="37" s="1"/>
  <c r="AJ47" i="37"/>
  <c r="AK47" i="37" s="1"/>
  <c r="AJ48" i="37"/>
  <c r="AK48" i="37" s="1"/>
  <c r="AC48" i="37"/>
  <c r="AD48" i="37" s="1"/>
  <c r="AJ49" i="37"/>
  <c r="AK49" i="37" s="1"/>
  <c r="AJ50" i="37"/>
  <c r="AK50" i="37" s="1"/>
  <c r="AC49" i="37"/>
  <c r="AD49" i="37" s="1"/>
  <c r="AC50" i="37"/>
  <c r="AD50" i="37" s="1"/>
  <c r="AJ51" i="37"/>
  <c r="AK51" i="37" s="1"/>
  <c r="AC51" i="37"/>
  <c r="AD51" i="37" s="1"/>
  <c r="AC52" i="37"/>
  <c r="AD52" i="37" s="1"/>
  <c r="AC53" i="37"/>
  <c r="AD53" i="37" s="1"/>
  <c r="AJ52" i="37"/>
  <c r="AK52" i="37" s="1"/>
  <c r="W56" i="37"/>
  <c r="AE55" i="37"/>
  <c r="AO56" i="37" s="1"/>
  <c r="V55" i="37"/>
  <c r="X55" i="37"/>
  <c r="AA54" i="37"/>
  <c r="Y54" i="37"/>
  <c r="Z54" i="37"/>
  <c r="AF54" i="37"/>
  <c r="AH54" i="37"/>
  <c r="AG54" i="37"/>
  <c r="D9" i="8"/>
  <c r="D10" i="8"/>
  <c r="P224" i="11"/>
  <c r="P223" i="11"/>
  <c r="P123" i="11"/>
  <c r="P122" i="11"/>
  <c r="P176" i="11"/>
  <c r="I199" i="26" l="1"/>
  <c r="I205" i="26"/>
  <c r="I84" i="26"/>
  <c r="E135" i="26"/>
  <c r="H135" i="26"/>
  <c r="I237" i="26"/>
  <c r="F135" i="26"/>
  <c r="C135" i="26"/>
  <c r="D135" i="26"/>
  <c r="I222" i="26"/>
  <c r="D251" i="26"/>
  <c r="C251" i="26"/>
  <c r="H251" i="26"/>
  <c r="G251" i="26"/>
  <c r="F251" i="26"/>
  <c r="E251" i="26"/>
  <c r="D85" i="26"/>
  <c r="E85" i="26"/>
  <c r="H85" i="26"/>
  <c r="C85" i="26"/>
  <c r="G85" i="26"/>
  <c r="F85" i="26"/>
  <c r="H81" i="26"/>
  <c r="G81" i="26"/>
  <c r="F81" i="26"/>
  <c r="D81" i="26"/>
  <c r="E81" i="26"/>
  <c r="C81" i="26"/>
  <c r="I81" i="26" s="1"/>
  <c r="F82" i="26"/>
  <c r="G82" i="26"/>
  <c r="D82" i="26"/>
  <c r="H82" i="26"/>
  <c r="C82" i="26"/>
  <c r="E82" i="26"/>
  <c r="H83" i="26"/>
  <c r="G83" i="26"/>
  <c r="C83" i="26"/>
  <c r="F83" i="26"/>
  <c r="E83" i="26"/>
  <c r="D83" i="26"/>
  <c r="C86" i="26"/>
  <c r="H86" i="26"/>
  <c r="G86" i="26"/>
  <c r="F86" i="26"/>
  <c r="E86" i="26"/>
  <c r="D86" i="26"/>
  <c r="C226" i="26"/>
  <c r="I226" i="26" s="1"/>
  <c r="I227" i="26"/>
  <c r="C131" i="26"/>
  <c r="I131" i="26" s="1"/>
  <c r="I132" i="26"/>
  <c r="D213" i="26"/>
  <c r="I213" i="26" s="1"/>
  <c r="I214" i="26"/>
  <c r="K57" i="14"/>
  <c r="AM310" i="11"/>
  <c r="AJ310" i="11"/>
  <c r="N310" i="11"/>
  <c r="Y310" i="11"/>
  <c r="K310" i="11"/>
  <c r="AN310" i="11"/>
  <c r="W310" i="11"/>
  <c r="X310" i="11"/>
  <c r="Z310" i="11"/>
  <c r="J310" i="11"/>
  <c r="M310" i="11"/>
  <c r="AK310" i="11"/>
  <c r="AB310" i="11"/>
  <c r="L310" i="11"/>
  <c r="AA310" i="11"/>
  <c r="O310" i="11"/>
  <c r="AL310" i="11"/>
  <c r="AI310" i="11"/>
  <c r="N293" i="11"/>
  <c r="J293" i="11"/>
  <c r="AB293" i="11"/>
  <c r="AI293" i="11"/>
  <c r="L293" i="11"/>
  <c r="O293" i="11"/>
  <c r="AK293" i="11"/>
  <c r="AA293" i="11"/>
  <c r="W293" i="11"/>
  <c r="K293" i="11"/>
  <c r="Z293" i="11"/>
  <c r="AL293" i="11"/>
  <c r="X293" i="11"/>
  <c r="AN293" i="11"/>
  <c r="Y293" i="11"/>
  <c r="AJ293" i="11"/>
  <c r="M293" i="11"/>
  <c r="AM293" i="11"/>
  <c r="K10" i="14"/>
  <c r="K117" i="14"/>
  <c r="AL51" i="37"/>
  <c r="AL43" i="37"/>
  <c r="AL53" i="37"/>
  <c r="AL48" i="37"/>
  <c r="AL39" i="37"/>
  <c r="AL42" i="37"/>
  <c r="AL41" i="37"/>
  <c r="AL50" i="37"/>
  <c r="AL47" i="37"/>
  <c r="AL52" i="37"/>
  <c r="AL46" i="37"/>
  <c r="AL44" i="37"/>
  <c r="AL40" i="37"/>
  <c r="AL49" i="37"/>
  <c r="AL45" i="37"/>
  <c r="AN45" i="37"/>
  <c r="D20" i="8"/>
  <c r="AI54" i="37"/>
  <c r="AJ54" i="37" s="1"/>
  <c r="AK54" i="37" s="1"/>
  <c r="AN41" i="37"/>
  <c r="AN47" i="37"/>
  <c r="AN50" i="37"/>
  <c r="AN44" i="37"/>
  <c r="AN39" i="37"/>
  <c r="AN46" i="37"/>
  <c r="AN52" i="37"/>
  <c r="AN43" i="37"/>
  <c r="AN40" i="37"/>
  <c r="AN49" i="37"/>
  <c r="AN42" i="37"/>
  <c r="AN51" i="37"/>
  <c r="AN48" i="37"/>
  <c r="AN53" i="37"/>
  <c r="AA55" i="37"/>
  <c r="Y55" i="37"/>
  <c r="Z55" i="37"/>
  <c r="AF55" i="37"/>
  <c r="AH55" i="37"/>
  <c r="AG55" i="37"/>
  <c r="AI55" i="37" s="1"/>
  <c r="AJ55" i="37" s="1"/>
  <c r="W57" i="37"/>
  <c r="AE56" i="37"/>
  <c r="AO57" i="37" s="1"/>
  <c r="V56" i="37"/>
  <c r="X56" i="37"/>
  <c r="AB54" i="37"/>
  <c r="AC54" i="37" s="1"/>
  <c r="AD54" i="37" s="1"/>
  <c r="I135" i="26" l="1"/>
  <c r="I251" i="26"/>
  <c r="I83" i="26"/>
  <c r="I86" i="26"/>
  <c r="I85" i="26"/>
  <c r="I82" i="26"/>
  <c r="E80" i="26"/>
  <c r="E77" i="26" s="1"/>
  <c r="E76" i="26" s="1"/>
  <c r="H80" i="26"/>
  <c r="H77" i="26" s="1"/>
  <c r="H76" i="26" s="1"/>
  <c r="G80" i="26"/>
  <c r="G77" i="26" s="1"/>
  <c r="G76" i="26" s="1"/>
  <c r="F80" i="26"/>
  <c r="F77" i="26" s="1"/>
  <c r="F76" i="26" s="1"/>
  <c r="D80" i="26"/>
  <c r="D77" i="26" s="1"/>
  <c r="D76" i="26" s="1"/>
  <c r="C80" i="26"/>
  <c r="C77" i="26" s="1"/>
  <c r="AL54" i="37"/>
  <c r="D26" i="8"/>
  <c r="AB55" i="37"/>
  <c r="AC55" i="37" s="1"/>
  <c r="AD55" i="37" s="1"/>
  <c r="AN54" i="37"/>
  <c r="AA56" i="37"/>
  <c r="Y56" i="37"/>
  <c r="AK55" i="37"/>
  <c r="Z56" i="37"/>
  <c r="AB56" i="37" s="1"/>
  <c r="AC56" i="37" s="1"/>
  <c r="AH56" i="37"/>
  <c r="AG56" i="37"/>
  <c r="AI56" i="37" s="1"/>
  <c r="AJ56" i="37" s="1"/>
  <c r="AF56" i="37"/>
  <c r="W58" i="37"/>
  <c r="AE57" i="37"/>
  <c r="AO58" i="37" s="1"/>
  <c r="V57" i="37"/>
  <c r="X57" i="37"/>
  <c r="P175" i="11"/>
  <c r="I80" i="26" l="1"/>
  <c r="I77" i="26"/>
  <c r="C76" i="26"/>
  <c r="I76" i="26" s="1"/>
  <c r="AL55" i="37"/>
  <c r="D27" i="8"/>
  <c r="AN55" i="37"/>
  <c r="AA57" i="37"/>
  <c r="Y57" i="37"/>
  <c r="AK56" i="37"/>
  <c r="Z57" i="37"/>
  <c r="AH57" i="37"/>
  <c r="AF57" i="37"/>
  <c r="AG57" i="37"/>
  <c r="AD56" i="37"/>
  <c r="W59" i="37"/>
  <c r="AE58" i="37"/>
  <c r="AO59" i="37" s="1"/>
  <c r="V58" i="37"/>
  <c r="X58" i="37"/>
  <c r="P295" i="11"/>
  <c r="G66" i="20" l="1"/>
  <c r="AI57" i="37"/>
  <c r="AJ57" i="37" s="1"/>
  <c r="AK57" i="37" s="1"/>
  <c r="AL56" i="37"/>
  <c r="D28" i="8"/>
  <c r="AN56" i="37"/>
  <c r="AB57" i="37"/>
  <c r="AC57" i="37" s="1"/>
  <c r="AD57" i="37" s="1"/>
  <c r="AA58" i="37"/>
  <c r="Y58" i="37"/>
  <c r="Z58" i="37"/>
  <c r="AF58" i="37"/>
  <c r="AH58" i="37"/>
  <c r="AG58" i="37"/>
  <c r="W60" i="37"/>
  <c r="AE59" i="37"/>
  <c r="AO60" i="37" s="1"/>
  <c r="V59" i="37"/>
  <c r="X59" i="37"/>
  <c r="AL57" i="37" l="1"/>
  <c r="AI58" i="37"/>
  <c r="AJ58" i="37" s="1"/>
  <c r="AK58" i="37" s="1"/>
  <c r="AB58" i="37"/>
  <c r="AC58" i="37" s="1"/>
  <c r="AD58" i="37" s="1"/>
  <c r="AN57" i="37"/>
  <c r="AA59" i="37"/>
  <c r="Y59" i="37"/>
  <c r="Z59" i="37"/>
  <c r="AB59" i="37" s="1"/>
  <c r="AC59" i="37" s="1"/>
  <c r="AH59" i="37"/>
  <c r="AG59" i="37"/>
  <c r="AF59" i="37"/>
  <c r="W61" i="37"/>
  <c r="AE60" i="37"/>
  <c r="AO61" i="37" s="1"/>
  <c r="V60" i="37"/>
  <c r="X60" i="37"/>
  <c r="S50" i="17"/>
  <c r="S49" i="17"/>
  <c r="S48" i="17"/>
  <c r="S47" i="17"/>
  <c r="S46" i="17"/>
  <c r="S45" i="17"/>
  <c r="S44" i="17"/>
  <c r="S43" i="17"/>
  <c r="S42" i="17"/>
  <c r="S40" i="17"/>
  <c r="S39" i="17"/>
  <c r="S38" i="17"/>
  <c r="S37" i="17"/>
  <c r="S36" i="17"/>
  <c r="S35" i="17"/>
  <c r="S34" i="17"/>
  <c r="S33" i="17"/>
  <c r="S32" i="17"/>
  <c r="S31" i="17"/>
  <c r="S30" i="17"/>
  <c r="S29" i="17"/>
  <c r="S28" i="17"/>
  <c r="S27" i="17"/>
  <c r="S26" i="17"/>
  <c r="S25" i="17"/>
  <c r="S24" i="17"/>
  <c r="S23" i="17"/>
  <c r="S22" i="17"/>
  <c r="S21" i="17"/>
  <c r="S20" i="17"/>
  <c r="S19" i="17"/>
  <c r="S18" i="17"/>
  <c r="S17" i="17"/>
  <c r="S16" i="17"/>
  <c r="S15" i="17"/>
  <c r="S13" i="17"/>
  <c r="S12" i="17"/>
  <c r="S11" i="17"/>
  <c r="S10" i="17"/>
  <c r="S9" i="17"/>
  <c r="S8" i="17"/>
  <c r="S7" i="17"/>
  <c r="S6" i="17"/>
  <c r="S5" i="17"/>
  <c r="S4" i="17"/>
  <c r="S3" i="17"/>
  <c r="S2" i="17"/>
  <c r="AL58" i="37" l="1"/>
  <c r="AI59" i="37"/>
  <c r="AJ59" i="37" s="1"/>
  <c r="AK59" i="37" s="1"/>
  <c r="AN58" i="37"/>
  <c r="AA60" i="37"/>
  <c r="Y60" i="37"/>
  <c r="AD59" i="37"/>
  <c r="Z60" i="37"/>
  <c r="AB60" i="37" s="1"/>
  <c r="AC60" i="37" s="1"/>
  <c r="AF60" i="37"/>
  <c r="AH60" i="37"/>
  <c r="AG60" i="37"/>
  <c r="W62" i="37"/>
  <c r="AE61" i="37"/>
  <c r="AO62" i="37" s="1"/>
  <c r="V61" i="37"/>
  <c r="X61" i="37"/>
  <c r="AI60" i="37" l="1"/>
  <c r="AJ60" i="37" s="1"/>
  <c r="AK60" i="37" s="1"/>
  <c r="AL59" i="37"/>
  <c r="AN59" i="37"/>
  <c r="AA61" i="37"/>
  <c r="Y61" i="37"/>
  <c r="Z61" i="37"/>
  <c r="AB61" i="37" s="1"/>
  <c r="AC61" i="37" s="1"/>
  <c r="AF61" i="37"/>
  <c r="AH61" i="37"/>
  <c r="AG61" i="37"/>
  <c r="AD60" i="37"/>
  <c r="W63" i="37"/>
  <c r="AE62" i="37"/>
  <c r="AO63" i="37" s="1"/>
  <c r="V62" i="37"/>
  <c r="X62" i="37"/>
  <c r="H309" i="4"/>
  <c r="B71" i="22"/>
  <c r="B50" i="22"/>
  <c r="B29" i="22"/>
  <c r="AI61" i="37" l="1"/>
  <c r="AJ61" i="37" s="1"/>
  <c r="AK61" i="37" s="1"/>
  <c r="D66" i="22"/>
  <c r="O66" i="22" s="1"/>
  <c r="D54" i="22"/>
  <c r="D84" i="22"/>
  <c r="O84" i="22" s="1"/>
  <c r="D75" i="22"/>
  <c r="D48" i="22"/>
  <c r="O48" i="22" s="1"/>
  <c r="D33" i="22"/>
  <c r="AL60" i="37"/>
  <c r="AN60" i="37"/>
  <c r="AA62" i="37"/>
  <c r="Y62" i="37"/>
  <c r="Z62" i="37"/>
  <c r="AB62" i="37" s="1"/>
  <c r="AC62" i="37" s="1"/>
  <c r="AD61" i="37"/>
  <c r="AF62" i="37"/>
  <c r="AH62" i="37"/>
  <c r="AG62" i="37"/>
  <c r="W64" i="37"/>
  <c r="AE63" i="37"/>
  <c r="AO64" i="37" s="1"/>
  <c r="V63" i="37"/>
  <c r="X63" i="37"/>
  <c r="D85" i="22"/>
  <c r="O85" i="22" s="1"/>
  <c r="D44" i="22"/>
  <c r="O44" i="22" s="1"/>
  <c r="D61" i="22"/>
  <c r="O61" i="22" s="1"/>
  <c r="D86" i="22"/>
  <c r="O86" i="22" s="1"/>
  <c r="D87" i="22"/>
  <c r="O87" i="22" s="1"/>
  <c r="D62" i="22"/>
  <c r="O62" i="22" s="1"/>
  <c r="D67" i="22"/>
  <c r="O67" i="22" s="1"/>
  <c r="D68" i="22"/>
  <c r="O68" i="22" s="1"/>
  <c r="D81" i="22"/>
  <c r="O81" i="22" s="1"/>
  <c r="D43" i="22"/>
  <c r="O43" i="22" s="1"/>
  <c r="D88" i="22"/>
  <c r="O88" i="22" s="1"/>
  <c r="D69" i="22"/>
  <c r="O69" i="22" s="1"/>
  <c r="D78" i="22"/>
  <c r="O78" i="22" s="1"/>
  <c r="D89" i="22"/>
  <c r="O89" i="22" s="1"/>
  <c r="D36" i="22"/>
  <c r="O36" i="22" s="1"/>
  <c r="D79" i="22"/>
  <c r="O79" i="22" s="1"/>
  <c r="D59" i="22"/>
  <c r="O59" i="22" s="1"/>
  <c r="D41" i="22"/>
  <c r="O41" i="22" s="1"/>
  <c r="D80" i="22"/>
  <c r="O80" i="22" s="1"/>
  <c r="D60" i="22"/>
  <c r="O60" i="22" s="1"/>
  <c r="D42" i="22"/>
  <c r="O42" i="22" s="1"/>
  <c r="D63" i="22"/>
  <c r="O63" i="22" s="1"/>
  <c r="D37" i="22"/>
  <c r="O37" i="22" s="1"/>
  <c r="D45" i="22"/>
  <c r="O45" i="22" s="1"/>
  <c r="D82" i="22"/>
  <c r="O82" i="22" s="1"/>
  <c r="D90" i="22"/>
  <c r="O90" i="22" s="1"/>
  <c r="D64" i="22"/>
  <c r="O64" i="22" s="1"/>
  <c r="D38" i="22"/>
  <c r="O38" i="22" s="1"/>
  <c r="D46" i="22"/>
  <c r="O46" i="22" s="1"/>
  <c r="D83" i="22"/>
  <c r="O83" i="22" s="1"/>
  <c r="D57" i="22"/>
  <c r="O57" i="22" s="1"/>
  <c r="D65" i="22"/>
  <c r="O65" i="22" s="1"/>
  <c r="D39" i="22"/>
  <c r="O39" i="22" s="1"/>
  <c r="D47" i="22"/>
  <c r="O47" i="22" s="1"/>
  <c r="D58" i="22"/>
  <c r="O58" i="22" s="1"/>
  <c r="D40" i="22"/>
  <c r="O40" i="22" s="1"/>
  <c r="O71" i="22" l="1"/>
  <c r="O50" i="22"/>
  <c r="O29" i="22"/>
  <c r="AN61" i="37"/>
  <c r="AL61" i="37"/>
  <c r="AI62" i="37"/>
  <c r="AJ62" i="37" s="1"/>
  <c r="AK62" i="37" s="1"/>
  <c r="AA63" i="37"/>
  <c r="Y63" i="37"/>
  <c r="Z63" i="37"/>
  <c r="AB63" i="37" s="1"/>
  <c r="AC63" i="37" s="1"/>
  <c r="AH63" i="37"/>
  <c r="AF63" i="37"/>
  <c r="AG63" i="37"/>
  <c r="AD62" i="37"/>
  <c r="W65" i="37"/>
  <c r="AE64" i="37"/>
  <c r="AO65" i="37" s="1"/>
  <c r="V64" i="37"/>
  <c r="X64" i="37"/>
  <c r="AI63" i="37" l="1"/>
  <c r="AJ63" i="37" s="1"/>
  <c r="AK63" i="37" s="1"/>
  <c r="AL62" i="37"/>
  <c r="AN62" i="37"/>
  <c r="AA64" i="37"/>
  <c r="Y64" i="37"/>
  <c r="Z64" i="37"/>
  <c r="AB64" i="37" s="1"/>
  <c r="AC64" i="37" s="1"/>
  <c r="AD63" i="37"/>
  <c r="AF64" i="37"/>
  <c r="AH64" i="37"/>
  <c r="AG64" i="37"/>
  <c r="W66" i="37"/>
  <c r="AE65" i="37"/>
  <c r="AO66" i="37" s="1"/>
  <c r="V65" i="37"/>
  <c r="X65" i="37"/>
  <c r="B8" i="22"/>
  <c r="AI64" i="37" l="1"/>
  <c r="AJ64" i="37" s="1"/>
  <c r="AK64" i="37" s="1"/>
  <c r="D12" i="22"/>
  <c r="AN63" i="37"/>
  <c r="AL63" i="37"/>
  <c r="AA65" i="37"/>
  <c r="Y65" i="37"/>
  <c r="Z65" i="37"/>
  <c r="AD64" i="37"/>
  <c r="AF65" i="37"/>
  <c r="AH65" i="37"/>
  <c r="AG65" i="37"/>
  <c r="W67" i="37"/>
  <c r="AE66" i="37"/>
  <c r="AO67" i="37" s="1"/>
  <c r="V66" i="37"/>
  <c r="X66" i="37"/>
  <c r="D22" i="22"/>
  <c r="O22" i="22" s="1"/>
  <c r="D26" i="22"/>
  <c r="O26" i="22" s="1"/>
  <c r="D21" i="22"/>
  <c r="O21" i="22" s="1"/>
  <c r="D20" i="22"/>
  <c r="O20" i="22" s="1"/>
  <c r="D17" i="22"/>
  <c r="O17" i="22" s="1"/>
  <c r="D16" i="22"/>
  <c r="O16" i="22" s="1"/>
  <c r="D23" i="22"/>
  <c r="O23" i="22" s="1"/>
  <c r="D27" i="22"/>
  <c r="O27" i="22" s="1"/>
  <c r="D19" i="22"/>
  <c r="O19" i="22" s="1"/>
  <c r="D18" i="22"/>
  <c r="O18" i="22" s="1"/>
  <c r="D25" i="22"/>
  <c r="O25" i="22" s="1"/>
  <c r="D24" i="22"/>
  <c r="O24" i="22" s="1"/>
  <c r="D15" i="22"/>
  <c r="F239" i="11"/>
  <c r="K173" i="21"/>
  <c r="F138" i="11"/>
  <c r="O15" i="22" l="1"/>
  <c r="O8" i="22" s="1"/>
  <c r="AN64" i="37"/>
  <c r="AL64" i="37"/>
  <c r="W68" i="37"/>
  <c r="AE67" i="37"/>
  <c r="AO68" i="37" s="1"/>
  <c r="V67" i="37"/>
  <c r="X67" i="37"/>
  <c r="Z66" i="37"/>
  <c r="AI65" i="37"/>
  <c r="AJ65" i="37" s="1"/>
  <c r="AK65" i="37" s="1"/>
  <c r="AA66" i="37"/>
  <c r="Y66" i="37"/>
  <c r="AB65" i="37"/>
  <c r="AC65" i="37" s="1"/>
  <c r="AD65" i="37" s="1"/>
  <c r="AH66" i="37"/>
  <c r="AG66" i="37"/>
  <c r="AF66" i="37"/>
  <c r="H199" i="4"/>
  <c r="G199" i="4" s="1"/>
  <c r="AI66" i="37" l="1"/>
  <c r="AJ66" i="37" s="1"/>
  <c r="AK66" i="37" s="1"/>
  <c r="AL65" i="37"/>
  <c r="AN65" i="37"/>
  <c r="W69" i="37"/>
  <c r="AE68" i="37"/>
  <c r="AO69" i="37" s="1"/>
  <c r="V68" i="37"/>
  <c r="X68" i="37"/>
  <c r="AB66" i="37"/>
  <c r="AC66" i="37" s="1"/>
  <c r="AD66" i="37" s="1"/>
  <c r="AA67" i="37"/>
  <c r="Y67" i="37"/>
  <c r="Z67" i="37"/>
  <c r="AF67" i="37"/>
  <c r="AH67" i="37"/>
  <c r="AG67" i="37"/>
  <c r="AI67" i="37" s="1"/>
  <c r="AJ67" i="37" s="1"/>
  <c r="F88" i="11"/>
  <c r="D239" i="11"/>
  <c r="D191" i="11"/>
  <c r="D138" i="11"/>
  <c r="G191" i="11" l="1"/>
  <c r="I191" i="11"/>
  <c r="E191" i="11"/>
  <c r="H191" i="11"/>
  <c r="E239" i="11"/>
  <c r="I239" i="11"/>
  <c r="H239" i="11"/>
  <c r="G239" i="11"/>
  <c r="H138" i="11"/>
  <c r="G138" i="11"/>
  <c r="E138" i="11"/>
  <c r="I138" i="11"/>
  <c r="AL66" i="37"/>
  <c r="AN66" i="37"/>
  <c r="AA68" i="37"/>
  <c r="Y68" i="37"/>
  <c r="Z68" i="37"/>
  <c r="AK67" i="37"/>
  <c r="AF68" i="37"/>
  <c r="AH68" i="37"/>
  <c r="AG68" i="37"/>
  <c r="AI68" i="37" s="1"/>
  <c r="AJ68" i="37" s="1"/>
  <c r="AB67" i="37"/>
  <c r="AC67" i="37" s="1"/>
  <c r="AD67" i="37" s="1"/>
  <c r="W70" i="37"/>
  <c r="AE69" i="37"/>
  <c r="AO70" i="37" s="1"/>
  <c r="V69" i="37"/>
  <c r="X69" i="37"/>
  <c r="N244" i="11" l="1"/>
  <c r="J244" i="11"/>
  <c r="K244" i="11"/>
  <c r="L244" i="11"/>
  <c r="M244" i="11"/>
  <c r="O244" i="11"/>
  <c r="AN244" i="11"/>
  <c r="AI244" i="11"/>
  <c r="Z244" i="11"/>
  <c r="AM244" i="11"/>
  <c r="AB244" i="11"/>
  <c r="W244" i="11"/>
  <c r="AL244" i="11"/>
  <c r="AA244" i="11"/>
  <c r="Y244" i="11"/>
  <c r="X244" i="11"/>
  <c r="AK244" i="11"/>
  <c r="AJ244" i="11"/>
  <c r="AB68" i="37"/>
  <c r="AC68" i="37" s="1"/>
  <c r="AD68" i="37" s="1"/>
  <c r="V138" i="11"/>
  <c r="AH138" i="11"/>
  <c r="U239" i="11"/>
  <c r="AG239" i="11"/>
  <c r="AJ290" i="11"/>
  <c r="AJ254" i="11" s="1"/>
  <c r="AN290" i="11"/>
  <c r="AN254" i="11" s="1"/>
  <c r="AK290" i="11"/>
  <c r="AK254" i="11" s="1"/>
  <c r="AM290" i="11"/>
  <c r="AM254" i="11" s="1"/>
  <c r="W290" i="11"/>
  <c r="W254" i="11" s="1"/>
  <c r="Z290" i="11"/>
  <c r="Z254" i="11" s="1"/>
  <c r="AL290" i="11"/>
  <c r="AL254" i="11" s="1"/>
  <c r="X290" i="11"/>
  <c r="X254" i="11" s="1"/>
  <c r="Y290" i="11"/>
  <c r="Y254" i="11" s="1"/>
  <c r="AA290" i="11"/>
  <c r="AA254" i="11" s="1"/>
  <c r="AB290" i="11"/>
  <c r="AB254" i="11" s="1"/>
  <c r="AI290" i="11"/>
  <c r="AI254" i="11" s="1"/>
  <c r="AF239" i="11"/>
  <c r="T239" i="11"/>
  <c r="AH239" i="11"/>
  <c r="V239" i="11"/>
  <c r="AF138" i="11"/>
  <c r="T138" i="11"/>
  <c r="AG138" i="11"/>
  <c r="U138" i="11"/>
  <c r="U191" i="11"/>
  <c r="AG191" i="11"/>
  <c r="V191" i="11"/>
  <c r="AH191" i="11"/>
  <c r="T191" i="11"/>
  <c r="AF191" i="11"/>
  <c r="AL67" i="37"/>
  <c r="AN67" i="37"/>
  <c r="AA69" i="37"/>
  <c r="Y69" i="37"/>
  <c r="AK68" i="37"/>
  <c r="Z69" i="37"/>
  <c r="AF69" i="37"/>
  <c r="AH69" i="37"/>
  <c r="AG69" i="37"/>
  <c r="W71" i="37"/>
  <c r="AE70" i="37"/>
  <c r="AO71" i="37" s="1"/>
  <c r="V70" i="37"/>
  <c r="X70" i="37"/>
  <c r="AD254" i="11" l="1"/>
  <c r="W306" i="11" s="1"/>
  <c r="AC306" i="11" s="1"/>
  <c r="AP254" i="11"/>
  <c r="AI306" i="11" s="1"/>
  <c r="AO306" i="11" s="1"/>
  <c r="AI69" i="37"/>
  <c r="AJ69" i="37" s="1"/>
  <c r="AK69" i="37" s="1"/>
  <c r="AL68" i="37"/>
  <c r="AB69" i="37"/>
  <c r="AC69" i="37" s="1"/>
  <c r="AD69" i="37" s="1"/>
  <c r="AN68" i="37"/>
  <c r="AA70" i="37"/>
  <c r="Y70" i="37"/>
  <c r="Z70" i="37"/>
  <c r="AH70" i="37"/>
  <c r="AF70" i="37"/>
  <c r="AG70" i="37"/>
  <c r="W72" i="37"/>
  <c r="AE71" i="37"/>
  <c r="AO72" i="37" s="1"/>
  <c r="V71" i="37"/>
  <c r="X71" i="37"/>
  <c r="K177" i="21"/>
  <c r="K176" i="21"/>
  <c r="K175" i="21"/>
  <c r="K174" i="21"/>
  <c r="K172" i="21"/>
  <c r="AB70" i="37" l="1"/>
  <c r="AC70" i="37" s="1"/>
  <c r="AD70" i="37" s="1"/>
  <c r="AI70" i="37"/>
  <c r="AJ70" i="37" s="1"/>
  <c r="AK70" i="37" s="1"/>
  <c r="AL69" i="37"/>
  <c r="AN69" i="37"/>
  <c r="AA71" i="37"/>
  <c r="Y71" i="37"/>
  <c r="Z71" i="37"/>
  <c r="AB71" i="37" s="1"/>
  <c r="AC71" i="37" s="1"/>
  <c r="AF71" i="37"/>
  <c r="AH71" i="37"/>
  <c r="AG71" i="37"/>
  <c r="W73" i="37"/>
  <c r="AE72" i="37"/>
  <c r="AO73" i="37" s="1"/>
  <c r="V72" i="37"/>
  <c r="X72" i="37"/>
  <c r="D88" i="11"/>
  <c r="I88" i="11" l="1"/>
  <c r="H88" i="11"/>
  <c r="G88" i="11"/>
  <c r="E88" i="11"/>
  <c r="AL70" i="37"/>
  <c r="AI71" i="37"/>
  <c r="AJ71" i="37" s="1"/>
  <c r="AK71" i="37" s="1"/>
  <c r="AN70" i="37"/>
  <c r="AA72" i="37"/>
  <c r="Y72" i="37"/>
  <c r="Z72" i="37"/>
  <c r="AD71" i="37"/>
  <c r="AF72" i="37"/>
  <c r="AH72" i="37"/>
  <c r="AG72" i="37"/>
  <c r="W74" i="37"/>
  <c r="AE73" i="37"/>
  <c r="AO74" i="37" s="1"/>
  <c r="V73" i="37"/>
  <c r="X73" i="37"/>
  <c r="AB72" i="37" l="1"/>
  <c r="AC72" i="37" s="1"/>
  <c r="AD72" i="37" s="1"/>
  <c r="T88" i="11"/>
  <c r="AF88" i="11"/>
  <c r="AL71" i="37"/>
  <c r="AI72" i="37"/>
  <c r="AJ72" i="37" s="1"/>
  <c r="AK72" i="37" s="1"/>
  <c r="AN71" i="37"/>
  <c r="AA73" i="37"/>
  <c r="Y73" i="37"/>
  <c r="Z73" i="37"/>
  <c r="AH73" i="37"/>
  <c r="AG73" i="37"/>
  <c r="AI73" i="37" s="1"/>
  <c r="AJ73" i="37" s="1"/>
  <c r="AF73" i="37"/>
  <c r="W75" i="37"/>
  <c r="AE74" i="37"/>
  <c r="AO75" i="37" s="1"/>
  <c r="V74" i="37"/>
  <c r="X74" i="37"/>
  <c r="AB73" i="37" l="1"/>
  <c r="AC73" i="37" s="1"/>
  <c r="AD73" i="37" s="1"/>
  <c r="AL72" i="37"/>
  <c r="AN72" i="37"/>
  <c r="AK73" i="37"/>
  <c r="AA74" i="37"/>
  <c r="Y74" i="37"/>
  <c r="Z74" i="37"/>
  <c r="AB74" i="37" s="1"/>
  <c r="AC74" i="37" s="1"/>
  <c r="AF74" i="37"/>
  <c r="AH74" i="37"/>
  <c r="AG74" i="37"/>
  <c r="W76" i="37"/>
  <c r="AE75" i="37"/>
  <c r="AO76" i="37" s="1"/>
  <c r="X75" i="37"/>
  <c r="V75" i="37"/>
  <c r="J86" i="4"/>
  <c r="O93" i="17"/>
  <c r="M41" i="17"/>
  <c r="O41" i="17" s="1"/>
  <c r="C13" i="17"/>
  <c r="D13" i="17" s="1"/>
  <c r="C12" i="17"/>
  <c r="D12" i="17" s="1"/>
  <c r="M82" i="17"/>
  <c r="O82" i="17" s="1"/>
  <c r="M80" i="17"/>
  <c r="O80" i="17" s="1"/>
  <c r="M66" i="17"/>
  <c r="O66" i="17" s="1"/>
  <c r="M65" i="17"/>
  <c r="O65" i="17" s="1"/>
  <c r="M67" i="17"/>
  <c r="O67" i="17" s="1"/>
  <c r="M49" i="17"/>
  <c r="O49" i="17" s="1"/>
  <c r="M47" i="17"/>
  <c r="O47" i="17" s="1"/>
  <c r="O92" i="17"/>
  <c r="M34" i="17"/>
  <c r="O34" i="17" s="1"/>
  <c r="M31" i="17"/>
  <c r="O31" i="17" s="1"/>
  <c r="M28" i="17"/>
  <c r="O28" i="17" s="1"/>
  <c r="M22" i="17"/>
  <c r="O22" i="17" s="1"/>
  <c r="M91" i="17"/>
  <c r="O91" i="17" s="1"/>
  <c r="M90" i="17"/>
  <c r="O90" i="17" s="1"/>
  <c r="M88" i="17"/>
  <c r="O88" i="17" s="1"/>
  <c r="M87" i="17"/>
  <c r="O87" i="17" s="1"/>
  <c r="M86" i="17"/>
  <c r="O86" i="17" s="1"/>
  <c r="M84" i="17"/>
  <c r="O84" i="17" s="1"/>
  <c r="M81" i="17"/>
  <c r="O81" i="17" s="1"/>
  <c r="M78" i="17"/>
  <c r="O78" i="17" s="1"/>
  <c r="M75" i="17"/>
  <c r="O75" i="17" s="1"/>
  <c r="M74" i="17"/>
  <c r="O74" i="17" s="1"/>
  <c r="M71" i="17"/>
  <c r="O71" i="17" s="1"/>
  <c r="M69" i="17"/>
  <c r="O69" i="17" s="1"/>
  <c r="M68" i="17"/>
  <c r="O68" i="17" s="1"/>
  <c r="M62" i="17"/>
  <c r="O62" i="17" s="1"/>
  <c r="M61" i="17"/>
  <c r="O61" i="17" s="1"/>
  <c r="M60" i="17"/>
  <c r="O60" i="17" s="1"/>
  <c r="M59" i="17"/>
  <c r="O59" i="17" s="1"/>
  <c r="M57" i="17"/>
  <c r="O57" i="17" s="1"/>
  <c r="M55" i="17"/>
  <c r="O55" i="17" s="1"/>
  <c r="M53" i="17"/>
  <c r="O53" i="17" s="1"/>
  <c r="M52" i="17"/>
  <c r="O52" i="17" s="1"/>
  <c r="M63" i="17"/>
  <c r="O63" i="17" s="1"/>
  <c r="M51" i="17"/>
  <c r="O51" i="17" s="1"/>
  <c r="M50" i="17"/>
  <c r="O50" i="17" s="1"/>
  <c r="M43" i="17"/>
  <c r="O43" i="17" s="1"/>
  <c r="M42" i="17"/>
  <c r="O42" i="17" s="1"/>
  <c r="M40" i="17"/>
  <c r="O40" i="17" s="1"/>
  <c r="M39" i="17"/>
  <c r="O39" i="17" s="1"/>
  <c r="M38" i="17"/>
  <c r="O38" i="17" s="1"/>
  <c r="M37" i="17"/>
  <c r="O37" i="17" s="1"/>
  <c r="M36" i="17"/>
  <c r="O36" i="17" s="1"/>
  <c r="M30" i="17"/>
  <c r="O30" i="17" s="1"/>
  <c r="M26" i="17"/>
  <c r="O26" i="17" s="1"/>
  <c r="M24" i="17"/>
  <c r="O24" i="17" s="1"/>
  <c r="M23" i="17"/>
  <c r="O23" i="17" s="1"/>
  <c r="M21" i="17"/>
  <c r="O21" i="17" s="1"/>
  <c r="M11" i="17"/>
  <c r="O11" i="17" s="1"/>
  <c r="M19" i="17"/>
  <c r="O19" i="17" s="1"/>
  <c r="M17" i="17"/>
  <c r="O17" i="17" s="1"/>
  <c r="M14" i="17"/>
  <c r="O14" i="17" s="1"/>
  <c r="M13" i="17"/>
  <c r="O13" i="17" s="1"/>
  <c r="M12" i="17"/>
  <c r="O12" i="17" s="1"/>
  <c r="M8" i="17"/>
  <c r="O8" i="17" s="1"/>
  <c r="M7" i="17"/>
  <c r="O7" i="17" s="1"/>
  <c r="M5" i="17"/>
  <c r="O5" i="17" s="1"/>
  <c r="M3" i="17"/>
  <c r="O3" i="17" s="1"/>
  <c r="M4" i="17"/>
  <c r="O4" i="17" s="1"/>
  <c r="M89" i="17"/>
  <c r="O89" i="17" s="1"/>
  <c r="M83" i="17"/>
  <c r="O83" i="17" s="1"/>
  <c r="M79" i="17"/>
  <c r="O79" i="17" s="1"/>
  <c r="M85" i="17"/>
  <c r="O85" i="17" s="1"/>
  <c r="M77" i="17"/>
  <c r="O77" i="17" s="1"/>
  <c r="M76" i="17"/>
  <c r="O76" i="17" s="1"/>
  <c r="M73" i="17"/>
  <c r="O73" i="17" s="1"/>
  <c r="M72" i="17"/>
  <c r="O72" i="17" s="1"/>
  <c r="M70" i="17"/>
  <c r="O70" i="17" s="1"/>
  <c r="M64" i="17"/>
  <c r="O64" i="17" s="1"/>
  <c r="M58" i="17"/>
  <c r="O58" i="17" s="1"/>
  <c r="M56" i="17"/>
  <c r="O56" i="17" s="1"/>
  <c r="M54" i="17"/>
  <c r="O54" i="17" s="1"/>
  <c r="M48" i="17"/>
  <c r="O48" i="17" s="1"/>
  <c r="M46" i="17"/>
  <c r="O46" i="17" s="1"/>
  <c r="M45" i="17"/>
  <c r="O45" i="17" s="1"/>
  <c r="M44" i="17"/>
  <c r="O44" i="17" s="1"/>
  <c r="M20" i="17"/>
  <c r="O20" i="17" s="1"/>
  <c r="M35" i="17"/>
  <c r="O35" i="17" s="1"/>
  <c r="M33" i="17"/>
  <c r="O33" i="17" s="1"/>
  <c r="M32" i="17"/>
  <c r="O32" i="17" s="1"/>
  <c r="M29" i="17"/>
  <c r="O29" i="17" s="1"/>
  <c r="M27" i="17"/>
  <c r="O27" i="17" s="1"/>
  <c r="M25" i="17"/>
  <c r="O25" i="17" s="1"/>
  <c r="M18" i="17"/>
  <c r="O18" i="17" s="1"/>
  <c r="M16" i="17"/>
  <c r="O16" i="17" s="1"/>
  <c r="M15" i="17"/>
  <c r="O15" i="17" s="1"/>
  <c r="M10" i="17"/>
  <c r="O10" i="17" s="1"/>
  <c r="M9" i="17"/>
  <c r="O9" i="17" s="1"/>
  <c r="M6" i="17"/>
  <c r="O6" i="17" s="1"/>
  <c r="M2" i="17"/>
  <c r="O2" i="17" s="1"/>
  <c r="H58" i="17"/>
  <c r="I58" i="17" s="1"/>
  <c r="H57" i="17"/>
  <c r="I57" i="17" s="1"/>
  <c r="H56" i="17"/>
  <c r="I56" i="17" s="1"/>
  <c r="H55" i="17"/>
  <c r="I55" i="17" s="1"/>
  <c r="H54" i="17"/>
  <c r="I54" i="17" s="1"/>
  <c r="H53" i="17"/>
  <c r="I53" i="17" s="1"/>
  <c r="H52" i="17"/>
  <c r="I52" i="17" s="1"/>
  <c r="H51" i="17"/>
  <c r="I51" i="17" s="1"/>
  <c r="H50" i="17"/>
  <c r="I50" i="17" s="1"/>
  <c r="H49" i="17"/>
  <c r="I49" i="17" s="1"/>
  <c r="H48" i="17"/>
  <c r="I48" i="17" s="1"/>
  <c r="H47" i="17"/>
  <c r="I47" i="17" s="1"/>
  <c r="H46" i="17"/>
  <c r="I46" i="17" s="1"/>
  <c r="H45" i="17"/>
  <c r="I45" i="17" s="1"/>
  <c r="H44" i="17"/>
  <c r="I44" i="17" s="1"/>
  <c r="H43" i="17"/>
  <c r="I43" i="17" s="1"/>
  <c r="H42" i="17"/>
  <c r="I42" i="17" s="1"/>
  <c r="H41" i="17"/>
  <c r="I41" i="17" s="1"/>
  <c r="H40" i="17"/>
  <c r="I40" i="17" s="1"/>
  <c r="H39" i="17"/>
  <c r="I39" i="17" s="1"/>
  <c r="H38" i="17"/>
  <c r="I38" i="17" s="1"/>
  <c r="H37" i="17"/>
  <c r="I37" i="17" s="1"/>
  <c r="H36" i="17"/>
  <c r="I36" i="17" s="1"/>
  <c r="H35" i="17"/>
  <c r="I35" i="17" s="1"/>
  <c r="H34" i="17"/>
  <c r="I34" i="17" s="1"/>
  <c r="H33" i="17"/>
  <c r="I33" i="17" s="1"/>
  <c r="H32" i="17"/>
  <c r="I32" i="17" s="1"/>
  <c r="H31" i="17"/>
  <c r="I31" i="17" s="1"/>
  <c r="H30" i="17"/>
  <c r="I30" i="17" s="1"/>
  <c r="H29" i="17"/>
  <c r="I29" i="17" s="1"/>
  <c r="H28" i="17"/>
  <c r="I28" i="17" s="1"/>
  <c r="H27" i="17"/>
  <c r="I27" i="17" s="1"/>
  <c r="H26" i="17"/>
  <c r="I26" i="17" s="1"/>
  <c r="H25" i="17"/>
  <c r="I25" i="17" s="1"/>
  <c r="H24" i="17"/>
  <c r="I24" i="17" s="1"/>
  <c r="H23" i="17"/>
  <c r="I23" i="17" s="1"/>
  <c r="H22" i="17"/>
  <c r="I22" i="17" s="1"/>
  <c r="H21" i="17"/>
  <c r="I21" i="17" s="1"/>
  <c r="H20" i="17"/>
  <c r="I20" i="17" s="1"/>
  <c r="H19" i="17"/>
  <c r="I19" i="17" s="1"/>
  <c r="H18" i="17"/>
  <c r="I18" i="17" s="1"/>
  <c r="H17" i="17"/>
  <c r="I17" i="17" s="1"/>
  <c r="H16" i="17"/>
  <c r="I16" i="17" s="1"/>
  <c r="H15" i="17"/>
  <c r="I15" i="17" s="1"/>
  <c r="H14" i="17"/>
  <c r="I14" i="17" s="1"/>
  <c r="H13" i="17"/>
  <c r="I13" i="17" s="1"/>
  <c r="H12" i="17"/>
  <c r="I12" i="17" s="1"/>
  <c r="H11" i="17"/>
  <c r="I11" i="17" s="1"/>
  <c r="H10" i="17"/>
  <c r="I10" i="17" s="1"/>
  <c r="H9" i="17"/>
  <c r="I9" i="17" s="1"/>
  <c r="H8" i="17"/>
  <c r="I8" i="17" s="1"/>
  <c r="H7" i="17"/>
  <c r="I7" i="17" s="1"/>
  <c r="H6" i="17"/>
  <c r="I6" i="17" s="1"/>
  <c r="H5" i="17"/>
  <c r="I5" i="17" s="1"/>
  <c r="H4" i="17"/>
  <c r="I4" i="17" s="1"/>
  <c r="H3" i="17"/>
  <c r="I3" i="17" s="1"/>
  <c r="H2" i="17"/>
  <c r="I2" i="17" s="1"/>
  <c r="C57" i="17"/>
  <c r="D57" i="17" s="1"/>
  <c r="C56" i="17"/>
  <c r="D56" i="17" s="1"/>
  <c r="C55" i="17"/>
  <c r="D55" i="17" s="1"/>
  <c r="C54" i="17"/>
  <c r="D54" i="17" s="1"/>
  <c r="C53" i="17"/>
  <c r="D53" i="17" s="1"/>
  <c r="C52" i="17"/>
  <c r="D52" i="17" s="1"/>
  <c r="C51" i="17"/>
  <c r="D51" i="17" s="1"/>
  <c r="C50" i="17"/>
  <c r="D50" i="17" s="1"/>
  <c r="C49" i="17"/>
  <c r="D49" i="17" s="1"/>
  <c r="C48" i="17"/>
  <c r="D48" i="17" s="1"/>
  <c r="C47" i="17"/>
  <c r="D47" i="17" s="1"/>
  <c r="C46" i="17"/>
  <c r="D46" i="17" s="1"/>
  <c r="C45" i="17"/>
  <c r="D45" i="17" s="1"/>
  <c r="C44" i="17"/>
  <c r="D44" i="17" s="1"/>
  <c r="C43" i="17"/>
  <c r="D43" i="17" s="1"/>
  <c r="C42" i="17"/>
  <c r="D42" i="17" s="1"/>
  <c r="C41" i="17"/>
  <c r="D41" i="17" s="1"/>
  <c r="C40" i="17"/>
  <c r="D40" i="17" s="1"/>
  <c r="C39" i="17"/>
  <c r="D39" i="17" s="1"/>
  <c r="C38" i="17"/>
  <c r="D38" i="17" s="1"/>
  <c r="C37" i="17"/>
  <c r="D37" i="17" s="1"/>
  <c r="C36" i="17"/>
  <c r="D36" i="17" s="1"/>
  <c r="C35" i="17"/>
  <c r="D35" i="17" s="1"/>
  <c r="C34" i="17"/>
  <c r="D34" i="17" s="1"/>
  <c r="C33" i="17"/>
  <c r="D33" i="17" s="1"/>
  <c r="C32" i="17"/>
  <c r="D32" i="17" s="1"/>
  <c r="C31" i="17"/>
  <c r="D31" i="17" s="1"/>
  <c r="C30" i="17"/>
  <c r="D30" i="17" s="1"/>
  <c r="C29" i="17"/>
  <c r="D29" i="17" s="1"/>
  <c r="C28" i="17"/>
  <c r="D28" i="17" s="1"/>
  <c r="C27" i="17"/>
  <c r="D27" i="17" s="1"/>
  <c r="C26" i="17"/>
  <c r="D26" i="17" s="1"/>
  <c r="C25" i="17"/>
  <c r="D25" i="17" s="1"/>
  <c r="C24" i="17"/>
  <c r="D24" i="17" s="1"/>
  <c r="C23" i="17"/>
  <c r="D23" i="17" s="1"/>
  <c r="C22" i="17"/>
  <c r="D22" i="17" s="1"/>
  <c r="C21" i="17"/>
  <c r="D21" i="17" s="1"/>
  <c r="C20" i="17"/>
  <c r="D20" i="17" s="1"/>
  <c r="C19" i="17"/>
  <c r="D19" i="17" s="1"/>
  <c r="C18" i="17"/>
  <c r="D18" i="17" s="1"/>
  <c r="C17" i="17"/>
  <c r="D17" i="17" s="1"/>
  <c r="C16" i="17"/>
  <c r="D16" i="17" s="1"/>
  <c r="C15" i="17"/>
  <c r="D15" i="17" s="1"/>
  <c r="C14" i="17"/>
  <c r="D14" i="17" s="1"/>
  <c r="C11" i="17"/>
  <c r="D11" i="17" s="1"/>
  <c r="C10" i="17"/>
  <c r="D10" i="17" s="1"/>
  <c r="C9" i="17"/>
  <c r="D9" i="17" s="1"/>
  <c r="C8" i="17"/>
  <c r="D8" i="17" s="1"/>
  <c r="C7" i="17"/>
  <c r="D7" i="17" s="1"/>
  <c r="C6" i="17"/>
  <c r="D6" i="17" s="1"/>
  <c r="C5" i="17"/>
  <c r="D5" i="17" s="1"/>
  <c r="C4" i="17"/>
  <c r="D4" i="17" s="1"/>
  <c r="C3" i="17"/>
  <c r="D3" i="17" s="1"/>
  <c r="C2" i="17"/>
  <c r="D2" i="17" s="1"/>
  <c r="Z75" i="37" l="1"/>
  <c r="AI74" i="37"/>
  <c r="AJ74" i="37" s="1"/>
  <c r="AK74" i="37" s="1"/>
  <c r="AL73" i="37"/>
  <c r="AN73" i="37"/>
  <c r="W77" i="37"/>
  <c r="AE76" i="37"/>
  <c r="AO77" i="37" s="1"/>
  <c r="V76" i="37"/>
  <c r="X76" i="37"/>
  <c r="AA75" i="37"/>
  <c r="AB75" i="37" s="1"/>
  <c r="AC75" i="37" s="1"/>
  <c r="Y75" i="37"/>
  <c r="AD74" i="37"/>
  <c r="AF75" i="37"/>
  <c r="AH75" i="37"/>
  <c r="AG75" i="37"/>
  <c r="D100" i="26"/>
  <c r="D102" i="26" s="1"/>
  <c r="D101" i="26" s="1"/>
  <c r="H14" i="4"/>
  <c r="E14" i="4" s="1"/>
  <c r="H92" i="4"/>
  <c r="G92" i="4" s="1"/>
  <c r="H13" i="4"/>
  <c r="H12" i="4"/>
  <c r="H11" i="4"/>
  <c r="H165" i="4"/>
  <c r="F165" i="4" s="1"/>
  <c r="H168" i="4"/>
  <c r="F168" i="4" s="1"/>
  <c r="H33" i="4"/>
  <c r="H89" i="4"/>
  <c r="H90" i="4"/>
  <c r="H91" i="4"/>
  <c r="H36" i="4"/>
  <c r="G36" i="4" s="1"/>
  <c r="H238" i="4"/>
  <c r="H244" i="4" l="1"/>
  <c r="H242" i="4"/>
  <c r="H243" i="4"/>
  <c r="H241" i="4"/>
  <c r="G153" i="4"/>
  <c r="H78" i="4"/>
  <c r="H79" i="4" s="1"/>
  <c r="E165" i="4"/>
  <c r="G320" i="4"/>
  <c r="G280" i="4"/>
  <c r="D10" i="21"/>
  <c r="E10" i="21" s="1"/>
  <c r="I172" i="7"/>
  <c r="E168" i="4"/>
  <c r="H117" i="4"/>
  <c r="H118" i="4" s="1"/>
  <c r="G118" i="4" s="1"/>
  <c r="H47" i="4"/>
  <c r="H69" i="4"/>
  <c r="H70" i="4" s="1"/>
  <c r="G70" i="4" s="1"/>
  <c r="H121" i="4"/>
  <c r="H127" i="4"/>
  <c r="H128" i="4" s="1"/>
  <c r="G128" i="4" s="1"/>
  <c r="H146" i="4"/>
  <c r="H147" i="4" s="1"/>
  <c r="G147" i="4" s="1"/>
  <c r="H35" i="4"/>
  <c r="AI75" i="37"/>
  <c r="AJ75" i="37" s="1"/>
  <c r="AK75" i="37" s="1"/>
  <c r="F10" i="21"/>
  <c r="H10" i="21"/>
  <c r="H95" i="4"/>
  <c r="H96" i="4" s="1"/>
  <c r="F98" i="4" s="1"/>
  <c r="AL74" i="37"/>
  <c r="AN74" i="37"/>
  <c r="AD75" i="37"/>
  <c r="AA76" i="37"/>
  <c r="Y76" i="37"/>
  <c r="Z76" i="37"/>
  <c r="AB76" i="37" s="1"/>
  <c r="AC76" i="37" s="1"/>
  <c r="AF76" i="37"/>
  <c r="AH76" i="37"/>
  <c r="AG76" i="37"/>
  <c r="W78" i="37"/>
  <c r="AE77" i="37"/>
  <c r="AO78" i="37" s="1"/>
  <c r="V77" i="37"/>
  <c r="X77" i="37"/>
  <c r="J280" i="4" l="1"/>
  <c r="H288" i="4" s="1"/>
  <c r="G98" i="4"/>
  <c r="H98" i="4"/>
  <c r="K198" i="21"/>
  <c r="K191" i="21"/>
  <c r="K196" i="21"/>
  <c r="K189" i="21"/>
  <c r="K197" i="21"/>
  <c r="K190" i="21"/>
  <c r="K199" i="21"/>
  <c r="K192" i="21"/>
  <c r="G96" i="4"/>
  <c r="G79" i="4"/>
  <c r="I177" i="7"/>
  <c r="I169" i="7"/>
  <c r="I170" i="7"/>
  <c r="H29" i="21"/>
  <c r="F29" i="21"/>
  <c r="H7" i="21"/>
  <c r="H16" i="21" s="1"/>
  <c r="F7" i="21"/>
  <c r="F16" i="21" s="1"/>
  <c r="I10" i="21"/>
  <c r="G10" i="21"/>
  <c r="D29" i="21"/>
  <c r="AL75" i="37"/>
  <c r="D150" i="14"/>
  <c r="J150" i="14" s="1"/>
  <c r="AI76" i="37"/>
  <c r="AJ76" i="37" s="1"/>
  <c r="AK76" i="37" s="1"/>
  <c r="AN75" i="37"/>
  <c r="AA77" i="37"/>
  <c r="Y77" i="37"/>
  <c r="Z77" i="37"/>
  <c r="AB77" i="37" s="1"/>
  <c r="AC77" i="37" s="1"/>
  <c r="AD76" i="37"/>
  <c r="AF77" i="37"/>
  <c r="AH77" i="37"/>
  <c r="AG77" i="37"/>
  <c r="W79" i="37"/>
  <c r="AE78" i="37"/>
  <c r="AO79" i="37" s="1"/>
  <c r="V78" i="37"/>
  <c r="X78" i="37"/>
  <c r="H134" i="4"/>
  <c r="H135" i="4" s="1"/>
  <c r="G135" i="4" s="1"/>
  <c r="H48" i="4"/>
  <c r="G48" i="4" s="1"/>
  <c r="H122" i="4"/>
  <c r="F124" i="4" s="1"/>
  <c r="H26" i="4"/>
  <c r="H24" i="4"/>
  <c r="H25" i="4"/>
  <c r="D7" i="21"/>
  <c r="D16" i="21" s="1"/>
  <c r="H86" i="4"/>
  <c r="E241" i="26" l="1"/>
  <c r="H241" i="26"/>
  <c r="D241" i="26"/>
  <c r="C241" i="26"/>
  <c r="I241" i="26" s="1"/>
  <c r="G241" i="26"/>
  <c r="F241" i="26"/>
  <c r="J3" i="14"/>
  <c r="H292" i="4"/>
  <c r="H289" i="4"/>
  <c r="H291" i="4"/>
  <c r="E351" i="4" s="1"/>
  <c r="H290" i="4"/>
  <c r="H287" i="4"/>
  <c r="C104" i="26" s="1"/>
  <c r="C100" i="26" s="1"/>
  <c r="C102" i="26" s="1"/>
  <c r="H124" i="4"/>
  <c r="G124" i="4"/>
  <c r="J124" i="4"/>
  <c r="D101" i="21"/>
  <c r="H101" i="21"/>
  <c r="H107" i="21" s="1"/>
  <c r="G101" i="21"/>
  <c r="G107" i="21" s="1"/>
  <c r="F101" i="21"/>
  <c r="F107" i="21" s="1"/>
  <c r="I101" i="21"/>
  <c r="I107" i="21" s="1"/>
  <c r="E101" i="21"/>
  <c r="F12" i="21"/>
  <c r="H12" i="21"/>
  <c r="D12" i="21"/>
  <c r="G122" i="4"/>
  <c r="G16" i="21"/>
  <c r="G40" i="21" s="1"/>
  <c r="F40" i="21"/>
  <c r="E16" i="21"/>
  <c r="E40" i="21" s="1"/>
  <c r="D40" i="21"/>
  <c r="I16" i="21"/>
  <c r="I40" i="21" s="1"/>
  <c r="H40" i="21"/>
  <c r="H131" i="21" s="1"/>
  <c r="H13" i="21"/>
  <c r="H19" i="21" s="1"/>
  <c r="I19" i="21" s="1"/>
  <c r="D13" i="21"/>
  <c r="F13" i="21"/>
  <c r="K138" i="14"/>
  <c r="F30" i="21"/>
  <c r="F120" i="21"/>
  <c r="H30" i="21"/>
  <c r="H120" i="21"/>
  <c r="D30" i="21"/>
  <c r="D120" i="21"/>
  <c r="D37" i="21"/>
  <c r="D38" i="21"/>
  <c r="D26" i="21"/>
  <c r="D25" i="21"/>
  <c r="F37" i="21"/>
  <c r="F128" i="21" s="1"/>
  <c r="F26" i="21"/>
  <c r="F25" i="21"/>
  <c r="F38" i="21"/>
  <c r="H37" i="21"/>
  <c r="H128" i="21" s="1"/>
  <c r="H26" i="21"/>
  <c r="H38" i="21"/>
  <c r="H25" i="21"/>
  <c r="I7" i="21"/>
  <c r="D134" i="20" s="1"/>
  <c r="H11" i="21"/>
  <c r="H27" i="21" s="1"/>
  <c r="D11" i="21"/>
  <c r="G7" i="21"/>
  <c r="F11" i="21"/>
  <c r="F27" i="21" s="1"/>
  <c r="AL76" i="37"/>
  <c r="AN76" i="37"/>
  <c r="AI77" i="37"/>
  <c r="AJ77" i="37" s="1"/>
  <c r="AK77" i="37" s="1"/>
  <c r="AA78" i="37"/>
  <c r="Y78" i="37"/>
  <c r="Z78" i="37"/>
  <c r="AB78" i="37" s="1"/>
  <c r="AC78" i="37" s="1"/>
  <c r="AD77" i="37"/>
  <c r="AF78" i="37"/>
  <c r="AH78" i="37"/>
  <c r="AG78" i="37"/>
  <c r="W80" i="37"/>
  <c r="AE79" i="37"/>
  <c r="AO80" i="37" s="1"/>
  <c r="V79" i="37"/>
  <c r="X79" i="37"/>
  <c r="E7" i="21"/>
  <c r="I29" i="21"/>
  <c r="G29" i="21"/>
  <c r="E29" i="21"/>
  <c r="I102" i="26" l="1"/>
  <c r="C101" i="26"/>
  <c r="E350" i="4"/>
  <c r="H350" i="4" s="1"/>
  <c r="G90" i="21" s="1"/>
  <c r="E352" i="4"/>
  <c r="H352" i="4" s="1"/>
  <c r="I90" i="21" s="1"/>
  <c r="H351" i="4"/>
  <c r="H90" i="21" s="1"/>
  <c r="K135" i="20"/>
  <c r="H301" i="4"/>
  <c r="H304" i="4" s="1"/>
  <c r="E107" i="26" s="1"/>
  <c r="H300" i="4"/>
  <c r="H302" i="4" s="1"/>
  <c r="H283" i="4"/>
  <c r="H311" i="4" s="1"/>
  <c r="K62" i="21"/>
  <c r="E347" i="4"/>
  <c r="H282" i="4"/>
  <c r="E349" i="4"/>
  <c r="E348" i="4"/>
  <c r="F191" i="11"/>
  <c r="D128" i="21"/>
  <c r="K73" i="21"/>
  <c r="J101" i="21"/>
  <c r="K101" i="21" s="1"/>
  <c r="D107" i="21" s="1"/>
  <c r="I100" i="21"/>
  <c r="G100" i="21"/>
  <c r="E100" i="21"/>
  <c r="H100" i="21"/>
  <c r="F100" i="21"/>
  <c r="D100" i="21"/>
  <c r="D27" i="21"/>
  <c r="I13" i="21"/>
  <c r="H33" i="21"/>
  <c r="H124" i="21" s="1"/>
  <c r="H31" i="21"/>
  <c r="I31" i="21" s="1"/>
  <c r="D33" i="21"/>
  <c r="E13" i="21"/>
  <c r="D19" i="21"/>
  <c r="G13" i="21"/>
  <c r="F33" i="21"/>
  <c r="F19" i="21"/>
  <c r="F31" i="21" s="1"/>
  <c r="F122" i="21" s="1"/>
  <c r="D18" i="21"/>
  <c r="D21" i="21" s="1"/>
  <c r="D49" i="21" s="1"/>
  <c r="H116" i="21"/>
  <c r="F121" i="21"/>
  <c r="D121" i="21"/>
  <c r="H117" i="21"/>
  <c r="H148" i="21" s="1"/>
  <c r="H149" i="21" s="1"/>
  <c r="D116" i="21"/>
  <c r="D117" i="21"/>
  <c r="D148" i="21" s="1"/>
  <c r="D149" i="21" s="1"/>
  <c r="F116" i="21"/>
  <c r="F117" i="21"/>
  <c r="F148" i="21" s="1"/>
  <c r="F149" i="21" s="1"/>
  <c r="H121" i="21"/>
  <c r="E120" i="21"/>
  <c r="I120" i="21"/>
  <c r="D39" i="21"/>
  <c r="D129" i="21"/>
  <c r="H39" i="21"/>
  <c r="H129" i="21"/>
  <c r="E131" i="21"/>
  <c r="D131" i="21"/>
  <c r="F39" i="21"/>
  <c r="F129" i="21"/>
  <c r="G120" i="21"/>
  <c r="G131" i="21"/>
  <c r="F131" i="21"/>
  <c r="I131" i="21"/>
  <c r="E37" i="21"/>
  <c r="E128" i="21" s="1"/>
  <c r="E12" i="21"/>
  <c r="F18" i="21"/>
  <c r="G18" i="21" s="1"/>
  <c r="F14" i="21"/>
  <c r="F15" i="21"/>
  <c r="H14" i="21"/>
  <c r="H15" i="21"/>
  <c r="D14" i="21"/>
  <c r="D15" i="21"/>
  <c r="I12" i="21"/>
  <c r="G12" i="21"/>
  <c r="H18" i="21"/>
  <c r="G11" i="21"/>
  <c r="G37" i="21"/>
  <c r="G128" i="21" s="1"/>
  <c r="I11" i="21"/>
  <c r="I37" i="21"/>
  <c r="I128" i="21" s="1"/>
  <c r="E11" i="21"/>
  <c r="AL77" i="37"/>
  <c r="AI78" i="37"/>
  <c r="AJ78" i="37" s="1"/>
  <c r="AK78" i="37" s="1"/>
  <c r="AN77" i="37"/>
  <c r="AA79" i="37"/>
  <c r="Y79" i="37"/>
  <c r="Z79" i="37"/>
  <c r="AB79" i="37" s="1"/>
  <c r="AC79" i="37" s="1"/>
  <c r="AD78" i="37"/>
  <c r="AH79" i="37"/>
  <c r="AG79" i="37"/>
  <c r="AF79" i="37"/>
  <c r="W81" i="37"/>
  <c r="AE80" i="37"/>
  <c r="AO81" i="37" s="1"/>
  <c r="V80" i="37"/>
  <c r="X80" i="37"/>
  <c r="I30" i="21"/>
  <c r="G30" i="21"/>
  <c r="E30" i="21"/>
  <c r="H322" i="4" l="1"/>
  <c r="C110" i="26" s="1"/>
  <c r="I110" i="26" s="1"/>
  <c r="H323" i="4"/>
  <c r="H324" i="4"/>
  <c r="H314" i="4"/>
  <c r="H315" i="4" s="1"/>
  <c r="H312" i="4"/>
  <c r="H313" i="4"/>
  <c r="J135" i="20"/>
  <c r="L135" i="20"/>
  <c r="H348" i="4"/>
  <c r="E90" i="21" s="1"/>
  <c r="H135" i="20"/>
  <c r="H349" i="4"/>
  <c r="F90" i="21" s="1"/>
  <c r="I135" i="20"/>
  <c r="H347" i="4"/>
  <c r="D90" i="21" s="1"/>
  <c r="G135" i="20"/>
  <c r="G136" i="20" s="1"/>
  <c r="C111" i="26"/>
  <c r="I111" i="26" s="1"/>
  <c r="C108" i="26"/>
  <c r="I108" i="26" s="1"/>
  <c r="I107" i="26"/>
  <c r="K63" i="21"/>
  <c r="K70" i="21"/>
  <c r="E107" i="21"/>
  <c r="F109" i="21" s="1"/>
  <c r="J100" i="21"/>
  <c r="K100" i="21" s="1"/>
  <c r="D106" i="21" s="1"/>
  <c r="D99" i="21" s="1"/>
  <c r="J195" i="11" s="1"/>
  <c r="F17" i="21"/>
  <c r="F41" i="21" s="1"/>
  <c r="H17" i="21"/>
  <c r="H41" i="21" s="1"/>
  <c r="D17" i="21"/>
  <c r="D41" i="21" s="1"/>
  <c r="I27" i="21"/>
  <c r="I118" i="21" s="1"/>
  <c r="H118" i="21"/>
  <c r="G27" i="21"/>
  <c r="G118" i="21" s="1"/>
  <c r="F118" i="21"/>
  <c r="E27" i="21"/>
  <c r="E118" i="21" s="1"/>
  <c r="D118" i="21"/>
  <c r="H122" i="21"/>
  <c r="I33" i="21"/>
  <c r="I124" i="21" s="1"/>
  <c r="H34" i="21"/>
  <c r="I34" i="21" s="1"/>
  <c r="I125" i="21" s="1"/>
  <c r="G19" i="21"/>
  <c r="H32" i="21"/>
  <c r="H123" i="21" s="1"/>
  <c r="F32" i="21"/>
  <c r="F123" i="21" s="1"/>
  <c r="F124" i="21"/>
  <c r="F34" i="21"/>
  <c r="G33" i="21"/>
  <c r="G124" i="21" s="1"/>
  <c r="E19" i="21"/>
  <c r="D31" i="21"/>
  <c r="G31" i="21"/>
  <c r="G122" i="21" s="1"/>
  <c r="D124" i="21"/>
  <c r="D34" i="21"/>
  <c r="E33" i="21"/>
  <c r="E124" i="21" s="1"/>
  <c r="E18" i="21"/>
  <c r="D20" i="21"/>
  <c r="E20" i="21" s="1"/>
  <c r="F155" i="21"/>
  <c r="H155" i="21"/>
  <c r="D155" i="21"/>
  <c r="H150" i="21"/>
  <c r="H157" i="21" s="1"/>
  <c r="AM172" i="11" s="1"/>
  <c r="F150" i="21"/>
  <c r="F157" i="21" s="1"/>
  <c r="AK172" i="11" s="1"/>
  <c r="D130" i="21"/>
  <c r="D159" i="21" s="1"/>
  <c r="F130" i="21"/>
  <c r="F159" i="21" s="1"/>
  <c r="H130" i="21"/>
  <c r="H159" i="21" s="1"/>
  <c r="D150" i="21"/>
  <c r="D157" i="21" s="1"/>
  <c r="AI172" i="11" s="1"/>
  <c r="J128" i="21"/>
  <c r="J120" i="21"/>
  <c r="J131" i="21"/>
  <c r="E49" i="21"/>
  <c r="E140" i="21" s="1"/>
  <c r="D140" i="21"/>
  <c r="G121" i="21"/>
  <c r="E121" i="21"/>
  <c r="I122" i="21"/>
  <c r="I121" i="21"/>
  <c r="G15" i="21"/>
  <c r="F48" i="21"/>
  <c r="E15" i="21"/>
  <c r="D48" i="21"/>
  <c r="E14" i="21"/>
  <c r="D44" i="21"/>
  <c r="I14" i="21"/>
  <c r="H44" i="21"/>
  <c r="H135" i="21" s="1"/>
  <c r="G14" i="21"/>
  <c r="F44" i="21"/>
  <c r="F135" i="21" s="1"/>
  <c r="I15" i="21"/>
  <c r="H48" i="21"/>
  <c r="E21" i="21"/>
  <c r="I18" i="21"/>
  <c r="H21" i="21"/>
  <c r="H20" i="21"/>
  <c r="H46" i="21" s="1"/>
  <c r="H137" i="21" s="1"/>
  <c r="F21" i="21"/>
  <c r="F20" i="21"/>
  <c r="G38" i="21"/>
  <c r="I38" i="21"/>
  <c r="G25" i="21"/>
  <c r="I25" i="21"/>
  <c r="E25" i="21"/>
  <c r="I26" i="21"/>
  <c r="E26" i="21"/>
  <c r="G26" i="21"/>
  <c r="AL78" i="37"/>
  <c r="AN78" i="37"/>
  <c r="AI79" i="37"/>
  <c r="AJ79" i="37" s="1"/>
  <c r="AK79" i="37" s="1"/>
  <c r="AA80" i="37"/>
  <c r="Y80" i="37"/>
  <c r="Z80" i="37"/>
  <c r="AB80" i="37" s="1"/>
  <c r="AC80" i="37" s="1"/>
  <c r="AD79" i="37"/>
  <c r="AF80" i="37"/>
  <c r="AH80" i="37"/>
  <c r="AG80" i="37"/>
  <c r="W82" i="37"/>
  <c r="AE81" i="37"/>
  <c r="AO82" i="37" s="1"/>
  <c r="V81" i="37"/>
  <c r="X81" i="37"/>
  <c r="E106" i="21" l="1"/>
  <c r="E99" i="21" s="1"/>
  <c r="H136" i="20"/>
  <c r="I136" i="20" s="1"/>
  <c r="J136" i="20" s="1"/>
  <c r="K136" i="20" s="1"/>
  <c r="L136" i="20" s="1"/>
  <c r="J90" i="21"/>
  <c r="H325" i="4"/>
  <c r="C109" i="26"/>
  <c r="G315" i="4"/>
  <c r="J196" i="11"/>
  <c r="AI195" i="11"/>
  <c r="K58" i="21"/>
  <c r="W195" i="11"/>
  <c r="W218" i="11" s="1"/>
  <c r="J218" i="11"/>
  <c r="K59" i="21"/>
  <c r="D135" i="21"/>
  <c r="G17" i="21"/>
  <c r="K66" i="21"/>
  <c r="J235" i="11"/>
  <c r="N107" i="21"/>
  <c r="I109" i="21"/>
  <c r="G109" i="21"/>
  <c r="H109" i="21"/>
  <c r="D109" i="21"/>
  <c r="J107" i="21"/>
  <c r="G160" i="4" s="1"/>
  <c r="E109" i="21"/>
  <c r="J118" i="21"/>
  <c r="H125" i="21"/>
  <c r="I32" i="21"/>
  <c r="I123" i="21" s="1"/>
  <c r="G32" i="21"/>
  <c r="G123" i="21" s="1"/>
  <c r="J124" i="21"/>
  <c r="D125" i="21"/>
  <c r="E34" i="21"/>
  <c r="E125" i="21" s="1"/>
  <c r="E31" i="21"/>
  <c r="E122" i="21" s="1"/>
  <c r="D32" i="21"/>
  <c r="D122" i="21"/>
  <c r="G34" i="21"/>
  <c r="G125" i="21" s="1"/>
  <c r="F125" i="21"/>
  <c r="D46" i="21"/>
  <c r="D22" i="21"/>
  <c r="E22" i="21" s="1"/>
  <c r="I116" i="21"/>
  <c r="E116" i="21"/>
  <c r="G116" i="21"/>
  <c r="J121" i="21"/>
  <c r="F132" i="21"/>
  <c r="I117" i="21"/>
  <c r="I148" i="21" s="1"/>
  <c r="G117" i="21"/>
  <c r="G148" i="21" s="1"/>
  <c r="I48" i="21"/>
  <c r="I139" i="21" s="1"/>
  <c r="H139" i="21"/>
  <c r="E48" i="21"/>
  <c r="E139" i="21" s="1"/>
  <c r="D139" i="21"/>
  <c r="I129" i="21"/>
  <c r="G129" i="21"/>
  <c r="E117" i="21"/>
  <c r="E148" i="21" s="1"/>
  <c r="E149" i="21" s="1"/>
  <c r="G48" i="21"/>
  <c r="G139" i="21" s="1"/>
  <c r="F139" i="21"/>
  <c r="E17" i="21"/>
  <c r="D132" i="21"/>
  <c r="I17" i="21"/>
  <c r="H132" i="21"/>
  <c r="I44" i="21"/>
  <c r="I135" i="21" s="1"/>
  <c r="H45" i="21"/>
  <c r="G21" i="21"/>
  <c r="F49" i="21"/>
  <c r="I21" i="21"/>
  <c r="H49" i="21"/>
  <c r="G44" i="21"/>
  <c r="G135" i="21" s="1"/>
  <c r="F45" i="21"/>
  <c r="I46" i="21"/>
  <c r="I137" i="21" s="1"/>
  <c r="H47" i="21"/>
  <c r="E44" i="21"/>
  <c r="E135" i="21" s="1"/>
  <c r="D45" i="21"/>
  <c r="G20" i="21"/>
  <c r="F46" i="21"/>
  <c r="F137" i="21" s="1"/>
  <c r="H22" i="21"/>
  <c r="I22" i="21" s="1"/>
  <c r="I20" i="21"/>
  <c r="F22" i="21"/>
  <c r="G22" i="21" s="1"/>
  <c r="L119" i="11"/>
  <c r="AL79" i="37"/>
  <c r="AI80" i="37"/>
  <c r="AJ80" i="37" s="1"/>
  <c r="AK80" i="37" s="1"/>
  <c r="AN79" i="37"/>
  <c r="W83" i="37"/>
  <c r="AE82" i="37"/>
  <c r="AO83" i="37" s="1"/>
  <c r="V82" i="37"/>
  <c r="X82" i="37"/>
  <c r="AA81" i="37"/>
  <c r="Y81" i="37"/>
  <c r="Z81" i="37"/>
  <c r="AD80" i="37"/>
  <c r="AH81" i="37"/>
  <c r="AF81" i="37"/>
  <c r="AG81" i="37"/>
  <c r="E103" i="21" l="1"/>
  <c r="F102" i="21" s="1"/>
  <c r="F106" i="21" s="1"/>
  <c r="F99" i="21" s="1"/>
  <c r="F103" i="21" s="1"/>
  <c r="G102" i="21" s="1"/>
  <c r="G106" i="21" s="1"/>
  <c r="G99" i="21" s="1"/>
  <c r="K195" i="11"/>
  <c r="AJ195" i="11" s="1"/>
  <c r="AI196" i="11"/>
  <c r="W196" i="11"/>
  <c r="G325" i="4"/>
  <c r="C112" i="26"/>
  <c r="AI218" i="11"/>
  <c r="AI235" i="11"/>
  <c r="K196" i="11"/>
  <c r="W235" i="11"/>
  <c r="D137" i="21"/>
  <c r="K64" i="21"/>
  <c r="K77" i="21"/>
  <c r="X195" i="11"/>
  <c r="K218" i="11"/>
  <c r="K235" i="11"/>
  <c r="J122" i="21"/>
  <c r="E32" i="21"/>
  <c r="E123" i="21" s="1"/>
  <c r="D123" i="21"/>
  <c r="J125" i="21"/>
  <c r="D47" i="21"/>
  <c r="E46" i="21"/>
  <c r="E137" i="21" s="1"/>
  <c r="E155" i="21"/>
  <c r="K119" i="11" s="1"/>
  <c r="AJ119" i="11" s="1"/>
  <c r="J116" i="21"/>
  <c r="G149" i="21"/>
  <c r="G150" i="21" s="1"/>
  <c r="G157" i="21" s="1"/>
  <c r="G41" i="21"/>
  <c r="G132" i="21" s="1"/>
  <c r="J135" i="21"/>
  <c r="I149" i="21"/>
  <c r="I155" i="21" s="1"/>
  <c r="J148" i="21"/>
  <c r="J117" i="21"/>
  <c r="J139" i="21"/>
  <c r="G45" i="21"/>
  <c r="G136" i="21" s="1"/>
  <c r="F136" i="21"/>
  <c r="F160" i="21" s="1"/>
  <c r="I49" i="21"/>
  <c r="I140" i="21" s="1"/>
  <c r="H140" i="21"/>
  <c r="I45" i="21"/>
  <c r="I136" i="21" s="1"/>
  <c r="H136" i="21"/>
  <c r="H160" i="21" s="1"/>
  <c r="E45" i="21"/>
  <c r="E136" i="21" s="1"/>
  <c r="D136" i="21"/>
  <c r="D160" i="21" s="1"/>
  <c r="I47" i="21"/>
  <c r="I138" i="21" s="1"/>
  <c r="H138" i="21"/>
  <c r="G49" i="21"/>
  <c r="G140" i="21" s="1"/>
  <c r="F140" i="21"/>
  <c r="E41" i="21"/>
  <c r="I41" i="21"/>
  <c r="I132" i="21" s="1"/>
  <c r="H51" i="21"/>
  <c r="H142" i="21" s="1"/>
  <c r="G46" i="21"/>
  <c r="G137" i="21" s="1"/>
  <c r="F47" i="21"/>
  <c r="E150" i="21"/>
  <c r="E157" i="21" s="1"/>
  <c r="L172" i="11"/>
  <c r="Y172" i="11" s="1"/>
  <c r="AI81" i="37"/>
  <c r="AJ81" i="37" s="1"/>
  <c r="AK81" i="37" s="1"/>
  <c r="Y119" i="11"/>
  <c r="AK119" i="11"/>
  <c r="H172" i="21"/>
  <c r="N11" i="11" s="1"/>
  <c r="N21" i="11" s="1"/>
  <c r="N119" i="11"/>
  <c r="J172" i="11"/>
  <c r="W172" i="11" s="1"/>
  <c r="J119" i="11"/>
  <c r="F172" i="21"/>
  <c r="L11" i="11" s="1"/>
  <c r="L21" i="11" s="1"/>
  <c r="AL80" i="37"/>
  <c r="AB81" i="37"/>
  <c r="AC81" i="37" s="1"/>
  <c r="AD81" i="37" s="1"/>
  <c r="AN80" i="37"/>
  <c r="AA82" i="37"/>
  <c r="Y82" i="37"/>
  <c r="Z82" i="37"/>
  <c r="AB82" i="37" s="1"/>
  <c r="AC82" i="37" s="1"/>
  <c r="AH82" i="37"/>
  <c r="AG82" i="37"/>
  <c r="AF82" i="37"/>
  <c r="W84" i="37"/>
  <c r="AE83" i="37"/>
  <c r="AO84" i="37" s="1"/>
  <c r="X83" i="37"/>
  <c r="V83" i="37"/>
  <c r="I39" i="21"/>
  <c r="L195" i="11" l="1"/>
  <c r="L196" i="11" s="1"/>
  <c r="AJ196" i="11"/>
  <c r="X196" i="11"/>
  <c r="Y195" i="11"/>
  <c r="AK195" i="11"/>
  <c r="D138" i="21"/>
  <c r="K79" i="21"/>
  <c r="K78" i="21"/>
  <c r="E132" i="21"/>
  <c r="E160" i="21" s="1"/>
  <c r="K294" i="11" s="1"/>
  <c r="K74" i="21"/>
  <c r="K65" i="21"/>
  <c r="AJ218" i="11"/>
  <c r="AJ235" i="11"/>
  <c r="X218" i="11"/>
  <c r="X235" i="11"/>
  <c r="G103" i="21"/>
  <c r="H102" i="21" s="1"/>
  <c r="H106" i="21" s="1"/>
  <c r="M195" i="11"/>
  <c r="H151" i="21"/>
  <c r="K172" i="11"/>
  <c r="X172" i="11" s="1"/>
  <c r="AJ172" i="11"/>
  <c r="M172" i="11"/>
  <c r="Z172" i="11" s="1"/>
  <c r="AL172" i="11"/>
  <c r="J123" i="21"/>
  <c r="E47" i="21"/>
  <c r="E138" i="21" s="1"/>
  <c r="D51" i="21"/>
  <c r="O119" i="11"/>
  <c r="AN119" i="11" s="1"/>
  <c r="G155" i="21"/>
  <c r="M119" i="11" s="1"/>
  <c r="I150" i="21"/>
  <c r="I157" i="21" s="1"/>
  <c r="J149" i="21"/>
  <c r="I130" i="21"/>
  <c r="I159" i="21" s="1"/>
  <c r="O220" i="11" s="1"/>
  <c r="G174" i="21"/>
  <c r="J136" i="21"/>
  <c r="J137" i="21"/>
  <c r="I160" i="21"/>
  <c r="G160" i="21"/>
  <c r="X119" i="11"/>
  <c r="H144" i="21"/>
  <c r="G255" i="26" s="1"/>
  <c r="J140" i="21"/>
  <c r="E174" i="21"/>
  <c r="E172" i="21"/>
  <c r="K11" i="11" s="1"/>
  <c r="K21" i="11" s="1"/>
  <c r="I172" i="21"/>
  <c r="O11" i="11" s="1"/>
  <c r="O21" i="11" s="1"/>
  <c r="G47" i="21"/>
  <c r="G138" i="21" s="1"/>
  <c r="F138" i="21"/>
  <c r="I51" i="21"/>
  <c r="I142" i="21" s="1"/>
  <c r="I151" i="21" s="1"/>
  <c r="F51" i="21"/>
  <c r="F142" i="21" s="1"/>
  <c r="H177" i="21"/>
  <c r="H184" i="21" s="1"/>
  <c r="J71" i="22" s="1"/>
  <c r="J74" i="22" s="1"/>
  <c r="J75" i="22" s="1"/>
  <c r="F167" i="21"/>
  <c r="F192" i="21" s="1"/>
  <c r="F174" i="21"/>
  <c r="N172" i="11"/>
  <c r="AA172" i="11" s="1"/>
  <c r="H174" i="21"/>
  <c r="D172" i="21"/>
  <c r="J11" i="11" s="1"/>
  <c r="J21" i="11" s="1"/>
  <c r="AI119" i="11"/>
  <c r="W119" i="11"/>
  <c r="AM119" i="11"/>
  <c r="AA119" i="11"/>
  <c r="G39" i="21"/>
  <c r="AL81" i="37"/>
  <c r="AI82" i="37"/>
  <c r="AJ82" i="37" s="1"/>
  <c r="AK82" i="37" s="1"/>
  <c r="Z83" i="37"/>
  <c r="AN81" i="37"/>
  <c r="AA83" i="37"/>
  <c r="Y83" i="37"/>
  <c r="AD82" i="37"/>
  <c r="AF83" i="37"/>
  <c r="AH83" i="37"/>
  <c r="AG83" i="37"/>
  <c r="W85" i="37"/>
  <c r="AE84" i="37"/>
  <c r="AO85" i="37" s="1"/>
  <c r="V84" i="37"/>
  <c r="X84" i="37"/>
  <c r="N220" i="11"/>
  <c r="E38" i="21"/>
  <c r="K71" i="21" s="1"/>
  <c r="L218" i="11" l="1"/>
  <c r="L235" i="11"/>
  <c r="AK196" i="11"/>
  <c r="Y196" i="11"/>
  <c r="M196" i="11"/>
  <c r="AK218" i="11"/>
  <c r="AK235" i="11"/>
  <c r="AK205" i="11"/>
  <c r="AK214" i="11" s="1"/>
  <c r="AK199" i="11" s="1"/>
  <c r="AK206" i="11" s="1"/>
  <c r="AK207" i="11" s="1"/>
  <c r="AK211" i="11" s="1"/>
  <c r="Y218" i="11"/>
  <c r="Y235" i="11"/>
  <c r="Y205" i="11"/>
  <c r="Y214" i="11" s="1"/>
  <c r="Y199" i="11" s="1"/>
  <c r="Y197" i="11" s="1"/>
  <c r="K80" i="21"/>
  <c r="J132" i="21"/>
  <c r="AL195" i="11"/>
  <c r="Z195" i="11"/>
  <c r="M235" i="11"/>
  <c r="M218" i="11"/>
  <c r="H99" i="21"/>
  <c r="F151" i="21"/>
  <c r="F152" i="21" s="1"/>
  <c r="F156" i="21" s="1"/>
  <c r="O172" i="11"/>
  <c r="AB172" i="11" s="1"/>
  <c r="AC172" i="11" s="1"/>
  <c r="AN172" i="11"/>
  <c r="AO172" i="11" s="1"/>
  <c r="D142" i="21"/>
  <c r="J155" i="21"/>
  <c r="G172" i="21"/>
  <c r="M11" i="11" s="1"/>
  <c r="M21" i="11" s="1"/>
  <c r="P21" i="11" s="1"/>
  <c r="AB119" i="11"/>
  <c r="AL119" i="11"/>
  <c r="AO119" i="11" s="1"/>
  <c r="Z119" i="11"/>
  <c r="I174" i="21"/>
  <c r="O13" i="11" s="1"/>
  <c r="O23" i="11" s="1"/>
  <c r="J157" i="21"/>
  <c r="J150" i="21"/>
  <c r="E129" i="21"/>
  <c r="J129" i="21" s="1"/>
  <c r="I144" i="21"/>
  <c r="H255" i="26" s="1"/>
  <c r="G130" i="21"/>
  <c r="G159" i="21" s="1"/>
  <c r="G176" i="21" s="1"/>
  <c r="M294" i="11"/>
  <c r="AL294" i="11" s="1"/>
  <c r="F144" i="21"/>
  <c r="E255" i="26" s="1"/>
  <c r="J138" i="21"/>
  <c r="H152" i="21"/>
  <c r="H156" i="21" s="1"/>
  <c r="G51" i="21"/>
  <c r="G142" i="21" s="1"/>
  <c r="G151" i="21" s="1"/>
  <c r="N294" i="11"/>
  <c r="AA294" i="11" s="1"/>
  <c r="H167" i="21"/>
  <c r="H192" i="21" s="1"/>
  <c r="L294" i="11"/>
  <c r="Y294" i="11" s="1"/>
  <c r="F177" i="21"/>
  <c r="F184" i="21" s="1"/>
  <c r="N73" i="8"/>
  <c r="N67" i="8"/>
  <c r="N61" i="8"/>
  <c r="G177" i="21"/>
  <c r="G184" i="21" s="1"/>
  <c r="I71" i="22" s="1"/>
  <c r="I74" i="22" s="1"/>
  <c r="I75" i="22" s="1"/>
  <c r="G167" i="21"/>
  <c r="G192" i="21" s="1"/>
  <c r="J294" i="11"/>
  <c r="D167" i="21"/>
  <c r="J160" i="21"/>
  <c r="J194" i="4" s="1"/>
  <c r="F194" i="4" s="1"/>
  <c r="D177" i="21"/>
  <c r="I177" i="21"/>
  <c r="I184" i="21" s="1"/>
  <c r="K71" i="22" s="1"/>
  <c r="K74" i="22" s="1"/>
  <c r="K75" i="22" s="1"/>
  <c r="I167" i="21"/>
  <c r="I192" i="21" s="1"/>
  <c r="O294" i="11"/>
  <c r="H199" i="21"/>
  <c r="E177" i="21"/>
  <c r="E184" i="21" s="1"/>
  <c r="G71" i="22" s="1"/>
  <c r="G74" i="22" s="1"/>
  <c r="G75" i="22" s="1"/>
  <c r="E167" i="21"/>
  <c r="AI83" i="37"/>
  <c r="AJ83" i="37" s="1"/>
  <c r="AK83" i="37" s="1"/>
  <c r="AB83" i="37"/>
  <c r="AC83" i="37" s="1"/>
  <c r="AD83" i="37" s="1"/>
  <c r="AA220" i="11"/>
  <c r="AM220" i="11"/>
  <c r="AN220" i="11"/>
  <c r="AB220" i="11"/>
  <c r="L220" i="11"/>
  <c r="AL82" i="37"/>
  <c r="H176" i="21"/>
  <c r="H183" i="21" s="1"/>
  <c r="J50" i="22" s="1"/>
  <c r="J53" i="22" s="1"/>
  <c r="J54" i="22" s="1"/>
  <c r="H166" i="21"/>
  <c r="H191" i="21" s="1"/>
  <c r="I176" i="21"/>
  <c r="I166" i="21"/>
  <c r="I191" i="21" s="1"/>
  <c r="AN82" i="37"/>
  <c r="W86" i="37"/>
  <c r="AE85" i="37"/>
  <c r="AO86" i="37" s="1"/>
  <c r="V85" i="37"/>
  <c r="X85" i="37"/>
  <c r="AA84" i="37"/>
  <c r="Y84" i="37"/>
  <c r="Z84" i="37"/>
  <c r="AF84" i="37"/>
  <c r="AH84" i="37"/>
  <c r="AG84" i="37"/>
  <c r="AI84" i="37" s="1"/>
  <c r="AJ84" i="37" s="1"/>
  <c r="P119" i="11"/>
  <c r="E39" i="21"/>
  <c r="K72" i="21" s="1"/>
  <c r="M13" i="11"/>
  <c r="M23" i="11" s="1"/>
  <c r="L13" i="11"/>
  <c r="L23" i="11" s="1"/>
  <c r="D174" i="21"/>
  <c r="K13" i="11"/>
  <c r="K23" i="11" s="1"/>
  <c r="Y74" i="11" l="1"/>
  <c r="Z196" i="11"/>
  <c r="AL196" i="11"/>
  <c r="AK197" i="11"/>
  <c r="AK74" i="11" s="1"/>
  <c r="Y206" i="11"/>
  <c r="Y207" i="11" s="1"/>
  <c r="Y211" i="11" s="1"/>
  <c r="Y232" i="11" s="1"/>
  <c r="Z218" i="11"/>
  <c r="Z235" i="11"/>
  <c r="AL218" i="11"/>
  <c r="AL235" i="11"/>
  <c r="H103" i="21"/>
  <c r="I102" i="21" s="1"/>
  <c r="I106" i="21" s="1"/>
  <c r="N195" i="11"/>
  <c r="AK232" i="11"/>
  <c r="AK227" i="11"/>
  <c r="G194" i="4"/>
  <c r="D144" i="21"/>
  <c r="C255" i="26" s="1"/>
  <c r="D151" i="21"/>
  <c r="D152" i="21" s="1"/>
  <c r="D156" i="21" s="1"/>
  <c r="L67" i="8"/>
  <c r="H71" i="22"/>
  <c r="H74" i="22" s="1"/>
  <c r="H75" i="22" s="1"/>
  <c r="J73" i="22"/>
  <c r="J172" i="21"/>
  <c r="P11" i="11" s="1"/>
  <c r="AC119" i="11"/>
  <c r="J174" i="21"/>
  <c r="P13" i="11" s="1"/>
  <c r="M220" i="11"/>
  <c r="Z220" i="11" s="1"/>
  <c r="Z294" i="11"/>
  <c r="G144" i="21"/>
  <c r="F255" i="26" s="1"/>
  <c r="G152" i="21"/>
  <c r="H153" i="21"/>
  <c r="H158" i="21" s="1"/>
  <c r="AM171" i="11" s="1"/>
  <c r="I152" i="21"/>
  <c r="I156" i="21" s="1"/>
  <c r="F153" i="21"/>
  <c r="F158" i="21" s="1"/>
  <c r="AK171" i="11" s="1"/>
  <c r="AM294" i="11"/>
  <c r="G166" i="21"/>
  <c r="G191" i="21" s="1"/>
  <c r="E51" i="21"/>
  <c r="K84" i="21" s="1"/>
  <c r="E130" i="21"/>
  <c r="E159" i="21" s="1"/>
  <c r="F199" i="21"/>
  <c r="L73" i="8"/>
  <c r="L61" i="8"/>
  <c r="AK294" i="11"/>
  <c r="K73" i="8"/>
  <c r="K67" i="8"/>
  <c r="K61" i="8"/>
  <c r="G199" i="21"/>
  <c r="M73" i="8"/>
  <c r="M67" i="8"/>
  <c r="M61" i="8"/>
  <c r="H198" i="21"/>
  <c r="N66" i="8"/>
  <c r="N72" i="8"/>
  <c r="N60" i="8"/>
  <c r="O67" i="8"/>
  <c r="O73" i="8"/>
  <c r="O61" i="8"/>
  <c r="X294" i="11"/>
  <c r="AJ294" i="11"/>
  <c r="E192" i="21"/>
  <c r="D235" i="21" s="1"/>
  <c r="E235" i="21"/>
  <c r="I199" i="21"/>
  <c r="E199" i="21"/>
  <c r="G235" i="21"/>
  <c r="J177" i="21"/>
  <c r="D184" i="21"/>
  <c r="F71" i="22" s="1"/>
  <c r="F74" i="22" s="1"/>
  <c r="F75" i="22" s="1"/>
  <c r="D192" i="21"/>
  <c r="J167" i="21"/>
  <c r="E224" i="21"/>
  <c r="E213" i="21"/>
  <c r="AN294" i="11"/>
  <c r="AB294" i="11"/>
  <c r="AI294" i="11"/>
  <c r="W294" i="11"/>
  <c r="AK220" i="11"/>
  <c r="Y220" i="11"/>
  <c r="F176" i="21"/>
  <c r="F183" i="21" s="1"/>
  <c r="H50" i="22" s="1"/>
  <c r="H53" i="22" s="1"/>
  <c r="H54" i="22" s="1"/>
  <c r="F166" i="21"/>
  <c r="F191" i="21" s="1"/>
  <c r="J220" i="11"/>
  <c r="AN83" i="37"/>
  <c r="AL83" i="37"/>
  <c r="G183" i="21"/>
  <c r="I50" i="22" s="1"/>
  <c r="I53" i="22" s="1"/>
  <c r="I54" i="22" s="1"/>
  <c r="N15" i="11"/>
  <c r="N25" i="11" s="1"/>
  <c r="I183" i="21"/>
  <c r="K50" i="22" s="1"/>
  <c r="K53" i="22" s="1"/>
  <c r="K54" i="22" s="1"/>
  <c r="M15" i="11"/>
  <c r="M25" i="11" s="1"/>
  <c r="D176" i="21"/>
  <c r="D166" i="21"/>
  <c r="O15" i="11"/>
  <c r="O25" i="11" s="1"/>
  <c r="AA85" i="37"/>
  <c r="Y85" i="37"/>
  <c r="Z85" i="37"/>
  <c r="AK84" i="37"/>
  <c r="AF85" i="37"/>
  <c r="AH85" i="37"/>
  <c r="AG85" i="37"/>
  <c r="AI85" i="37" s="1"/>
  <c r="AJ85" i="37" s="1"/>
  <c r="AB84" i="37"/>
  <c r="AC84" i="37" s="1"/>
  <c r="AD84" i="37" s="1"/>
  <c r="W87" i="37"/>
  <c r="AE86" i="37"/>
  <c r="AO87" i="37" s="1"/>
  <c r="V86" i="37"/>
  <c r="X86" i="37"/>
  <c r="J13" i="11"/>
  <c r="J23" i="11" s="1"/>
  <c r="N196" i="11" l="1"/>
  <c r="Y227" i="11"/>
  <c r="AM195" i="11"/>
  <c r="AA195" i="11"/>
  <c r="N218" i="11"/>
  <c r="N235" i="11"/>
  <c r="I99" i="21"/>
  <c r="I108" i="21"/>
  <c r="G108" i="21"/>
  <c r="D108" i="21"/>
  <c r="N106" i="21"/>
  <c r="H108" i="21"/>
  <c r="E108" i="21"/>
  <c r="F108" i="21"/>
  <c r="J106" i="21"/>
  <c r="G159" i="4" s="1"/>
  <c r="U73" i="22"/>
  <c r="G94" i="26" s="1"/>
  <c r="M14" i="6"/>
  <c r="K73" i="22"/>
  <c r="V73" i="22" s="1"/>
  <c r="H94" i="26" s="1"/>
  <c r="J52" i="22"/>
  <c r="M13" i="6" s="1"/>
  <c r="J68" i="22"/>
  <c r="U68" i="22" s="1"/>
  <c r="H73" i="22"/>
  <c r="I73" i="22"/>
  <c r="L14" i="6" s="1"/>
  <c r="N51" i="21"/>
  <c r="J51" i="21"/>
  <c r="AB85" i="37"/>
  <c r="AC85" i="37" s="1"/>
  <c r="AD85" i="37" s="1"/>
  <c r="D153" i="21"/>
  <c r="D158" i="21" s="1"/>
  <c r="AI171" i="11" s="1"/>
  <c r="E142" i="21"/>
  <c r="I153" i="21"/>
  <c r="I158" i="21" s="1"/>
  <c r="AN171" i="11" s="1"/>
  <c r="AL220" i="11"/>
  <c r="G153" i="21"/>
  <c r="G158" i="21" s="1"/>
  <c r="AL171" i="11" s="1"/>
  <c r="G156" i="21"/>
  <c r="J130" i="21"/>
  <c r="G198" i="21"/>
  <c r="M72" i="8"/>
  <c r="M66" i="8"/>
  <c r="M60" i="8"/>
  <c r="I198" i="21"/>
  <c r="O66" i="8"/>
  <c r="O72" i="8"/>
  <c r="O60" i="8"/>
  <c r="F198" i="21"/>
  <c r="L72" i="8"/>
  <c r="L66" i="8"/>
  <c r="L60" i="8"/>
  <c r="J73" i="8"/>
  <c r="P73" i="8" s="1"/>
  <c r="J67" i="8"/>
  <c r="P67" i="8" s="1"/>
  <c r="J61" i="8"/>
  <c r="P61" i="8" s="1"/>
  <c r="AC294" i="11"/>
  <c r="AO294" i="11"/>
  <c r="G73" i="22"/>
  <c r="F235" i="21"/>
  <c r="D213" i="21"/>
  <c r="J192" i="21"/>
  <c r="D224" i="21"/>
  <c r="D199" i="21"/>
  <c r="J184" i="21"/>
  <c r="L71" i="22" s="1"/>
  <c r="L74" i="22" s="1"/>
  <c r="L75" i="22" s="1"/>
  <c r="G213" i="21"/>
  <c r="G224" i="21"/>
  <c r="W220" i="11"/>
  <c r="AI220" i="11"/>
  <c r="K220" i="11"/>
  <c r="L15" i="11"/>
  <c r="L25" i="11" s="1"/>
  <c r="E223" i="21"/>
  <c r="D191" i="21"/>
  <c r="AL84" i="37"/>
  <c r="N191" i="11"/>
  <c r="M191" i="11"/>
  <c r="D183" i="21"/>
  <c r="F50" i="22" s="1"/>
  <c r="F53" i="22" s="1"/>
  <c r="J15" i="11"/>
  <c r="J25" i="11" s="1"/>
  <c r="O191" i="11"/>
  <c r="AN84" i="37"/>
  <c r="AK85" i="37"/>
  <c r="AA86" i="37"/>
  <c r="Y86" i="37"/>
  <c r="Z86" i="37"/>
  <c r="AH86" i="37"/>
  <c r="AG86" i="37"/>
  <c r="AI86" i="37" s="1"/>
  <c r="AJ86" i="37" s="1"/>
  <c r="AF86" i="37"/>
  <c r="W88" i="37"/>
  <c r="AE87" i="37"/>
  <c r="AO88" i="37" s="1"/>
  <c r="V87" i="37"/>
  <c r="X87" i="37"/>
  <c r="N13" i="11"/>
  <c r="N23" i="11" s="1"/>
  <c r="K16" i="11"/>
  <c r="K26" i="11" s="1"/>
  <c r="F54" i="22" l="1"/>
  <c r="D223" i="21"/>
  <c r="AM196" i="11"/>
  <c r="AA196" i="11"/>
  <c r="M20" i="6"/>
  <c r="M26" i="6"/>
  <c r="N36" i="8" s="1"/>
  <c r="L26" i="6"/>
  <c r="M36" i="8" s="1"/>
  <c r="L20" i="6"/>
  <c r="M25" i="6"/>
  <c r="N35" i="8" s="1"/>
  <c r="M19" i="6"/>
  <c r="AA235" i="11"/>
  <c r="AA218" i="11"/>
  <c r="AM218" i="11"/>
  <c r="AM235" i="11"/>
  <c r="I103" i="21"/>
  <c r="O195" i="11"/>
  <c r="J99" i="21"/>
  <c r="E144" i="21"/>
  <c r="E151" i="21"/>
  <c r="N14" i="6"/>
  <c r="U52" i="22"/>
  <c r="G93" i="26" s="1"/>
  <c r="H52" i="22"/>
  <c r="H68" i="22"/>
  <c r="S68" i="22" s="1"/>
  <c r="K52" i="22"/>
  <c r="V52" i="22" s="1"/>
  <c r="H93" i="26" s="1"/>
  <c r="K60" i="22"/>
  <c r="V60" i="22" s="1"/>
  <c r="T73" i="22"/>
  <c r="F94" i="26" s="1"/>
  <c r="S73" i="22"/>
  <c r="E94" i="26" s="1"/>
  <c r="K14" i="6"/>
  <c r="I52" i="22"/>
  <c r="I59" i="22"/>
  <c r="T59" i="22" s="1"/>
  <c r="J142" i="21"/>
  <c r="J72" i="8"/>
  <c r="J66" i="8"/>
  <c r="J60" i="8"/>
  <c r="J14" i="6"/>
  <c r="R73" i="22"/>
  <c r="D94" i="26" s="1"/>
  <c r="J199" i="21"/>
  <c r="F224" i="21"/>
  <c r="F213" i="21"/>
  <c r="E176" i="21"/>
  <c r="J176" i="21" s="1"/>
  <c r="P15" i="11" s="1"/>
  <c r="P191" i="11" s="1"/>
  <c r="E166" i="21"/>
  <c r="E191" i="21" s="1"/>
  <c r="AB86" i="37"/>
  <c r="AC86" i="37" s="1"/>
  <c r="AD86" i="37" s="1"/>
  <c r="AJ220" i="11"/>
  <c r="AO220" i="11" s="1"/>
  <c r="X220" i="11"/>
  <c r="AC220" i="11" s="1"/>
  <c r="AB191" i="11"/>
  <c r="AN191" i="11"/>
  <c r="AL191" i="11"/>
  <c r="Z191" i="11"/>
  <c r="AA191" i="11"/>
  <c r="AM191" i="11"/>
  <c r="J159" i="21"/>
  <c r="M210" i="11"/>
  <c r="J293" i="20" s="1"/>
  <c r="M194" i="11"/>
  <c r="N194" i="11"/>
  <c r="O210" i="11"/>
  <c r="L293" i="20" s="1"/>
  <c r="O194" i="11"/>
  <c r="O201" i="11" s="1"/>
  <c r="L163" i="20" s="1"/>
  <c r="L191" i="11"/>
  <c r="G223" i="21"/>
  <c r="D198" i="21"/>
  <c r="AL85" i="37"/>
  <c r="N210" i="11"/>
  <c r="K293" i="20" s="1"/>
  <c r="N236" i="11"/>
  <c r="M236" i="11"/>
  <c r="J191" i="11"/>
  <c r="M203" i="11"/>
  <c r="O236" i="11"/>
  <c r="O203" i="11"/>
  <c r="N203" i="11"/>
  <c r="AN85" i="37"/>
  <c r="AK86" i="37"/>
  <c r="AA87" i="37"/>
  <c r="Y87" i="37"/>
  <c r="Z87" i="37"/>
  <c r="AB87" i="37" s="1"/>
  <c r="AC87" i="37" s="1"/>
  <c r="AF87" i="37"/>
  <c r="AH87" i="37"/>
  <c r="AG87" i="37"/>
  <c r="W89" i="37"/>
  <c r="AE88" i="37"/>
  <c r="AO89" i="37" s="1"/>
  <c r="V88" i="37"/>
  <c r="X88" i="37"/>
  <c r="J61" i="22"/>
  <c r="U61" i="22" s="1"/>
  <c r="J66" i="22"/>
  <c r="U66" i="22" s="1"/>
  <c r="J69" i="22"/>
  <c r="U69" i="22" s="1"/>
  <c r="J62" i="22"/>
  <c r="U62" i="22" s="1"/>
  <c r="K239" i="11"/>
  <c r="J59" i="22"/>
  <c r="U59" i="22" s="1"/>
  <c r="J57" i="22"/>
  <c r="U57" i="22" s="1"/>
  <c r="J67" i="22"/>
  <c r="U67" i="22" s="1"/>
  <c r="J60" i="22"/>
  <c r="U60" i="22" s="1"/>
  <c r="J58" i="22"/>
  <c r="U58" i="22" s="1"/>
  <c r="J64" i="22"/>
  <c r="U64" i="22" s="1"/>
  <c r="J65" i="22"/>
  <c r="U65" i="22" s="1"/>
  <c r="J63" i="22"/>
  <c r="U63" i="22" s="1"/>
  <c r="J144" i="21" l="1"/>
  <c r="I255" i="26" s="1"/>
  <c r="D255" i="26"/>
  <c r="D234" i="21"/>
  <c r="J213" i="21"/>
  <c r="H213" i="21"/>
  <c r="I213" i="21"/>
  <c r="O196" i="11"/>
  <c r="M55" i="8"/>
  <c r="M274" i="8" s="1"/>
  <c r="M98" i="8"/>
  <c r="N98" i="8"/>
  <c r="J26" i="6"/>
  <c r="J20" i="6"/>
  <c r="K26" i="6"/>
  <c r="L36" i="8" s="1"/>
  <c r="K20" i="6"/>
  <c r="N20" i="6"/>
  <c r="N26" i="6"/>
  <c r="O36" i="8" s="1"/>
  <c r="N97" i="8"/>
  <c r="AB195" i="11"/>
  <c r="AN195" i="11"/>
  <c r="O235" i="11"/>
  <c r="O218" i="11"/>
  <c r="H66" i="22"/>
  <c r="S66" i="22" s="1"/>
  <c r="I66" i="22"/>
  <c r="T66" i="22" s="1"/>
  <c r="K13" i="6"/>
  <c r="L13" i="6"/>
  <c r="H60" i="22"/>
  <c r="S60" i="22" s="1"/>
  <c r="H69" i="22"/>
  <c r="S69" i="22" s="1"/>
  <c r="H58" i="22"/>
  <c r="S58" i="22" s="1"/>
  <c r="H57" i="22"/>
  <c r="S57" i="22" s="1"/>
  <c r="H62" i="22"/>
  <c r="S62" i="22" s="1"/>
  <c r="H64" i="22"/>
  <c r="S64" i="22" s="1"/>
  <c r="H67" i="22"/>
  <c r="S67" i="22" s="1"/>
  <c r="H65" i="22"/>
  <c r="S65" i="22" s="1"/>
  <c r="H59" i="22"/>
  <c r="S59" i="22" s="1"/>
  <c r="I57" i="22"/>
  <c r="T57" i="22" s="1"/>
  <c r="I65" i="22"/>
  <c r="T65" i="22" s="1"/>
  <c r="I63" i="22"/>
  <c r="T63" i="22" s="1"/>
  <c r="H61" i="22"/>
  <c r="S61" i="22" s="1"/>
  <c r="I58" i="22"/>
  <c r="T58" i="22" s="1"/>
  <c r="I67" i="22"/>
  <c r="T67" i="22" s="1"/>
  <c r="N13" i="6"/>
  <c r="H63" i="22"/>
  <c r="S63" i="22" s="1"/>
  <c r="S52" i="22"/>
  <c r="E93" i="26" s="1"/>
  <c r="K67" i="22"/>
  <c r="V67" i="22" s="1"/>
  <c r="T52" i="22"/>
  <c r="F93" i="26" s="1"/>
  <c r="K57" i="22"/>
  <c r="V57" i="22" s="1"/>
  <c r="K62" i="22"/>
  <c r="V62" i="22" s="1"/>
  <c r="F223" i="21"/>
  <c r="F59" i="22"/>
  <c r="Q59" i="22" s="1"/>
  <c r="N55" i="8"/>
  <c r="N274" i="8" s="1"/>
  <c r="J166" i="21"/>
  <c r="D212" i="21"/>
  <c r="E234" i="21"/>
  <c r="E212" i="21"/>
  <c r="J191" i="21"/>
  <c r="K15" i="11"/>
  <c r="K25" i="11" s="1"/>
  <c r="P25" i="11" s="1"/>
  <c r="E183" i="21"/>
  <c r="G50" i="22" s="1"/>
  <c r="G53" i="22" s="1"/>
  <c r="AB236" i="11"/>
  <c r="AN236" i="11"/>
  <c r="AL236" i="11"/>
  <c r="Z236" i="11"/>
  <c r="AA236" i="11"/>
  <c r="AM236" i="11"/>
  <c r="X239" i="11"/>
  <c r="AJ239" i="11"/>
  <c r="AM194" i="11"/>
  <c r="AM203" i="11"/>
  <c r="AM210" i="11"/>
  <c r="AM205" i="11"/>
  <c r="AM214" i="11" s="1"/>
  <c r="AM199" i="11" s="1"/>
  <c r="AA194" i="11"/>
  <c r="AA203" i="11"/>
  <c r="AA205" i="11"/>
  <c r="AA214" i="11" s="1"/>
  <c r="AA199" i="11" s="1"/>
  <c r="AA210" i="11"/>
  <c r="AK191" i="11"/>
  <c r="Y191" i="11"/>
  <c r="Z194" i="11"/>
  <c r="Z203" i="11"/>
  <c r="Z210" i="11"/>
  <c r="Z205" i="11"/>
  <c r="Z214" i="11" s="1"/>
  <c r="Z199" i="11" s="1"/>
  <c r="AN194" i="11"/>
  <c r="AN201" i="11" s="1"/>
  <c r="L197" i="20" s="1"/>
  <c r="AN203" i="11"/>
  <c r="AN210" i="11"/>
  <c r="AC191" i="11"/>
  <c r="AO191" i="11"/>
  <c r="AL194" i="11"/>
  <c r="AL203" i="11"/>
  <c r="AL210" i="11"/>
  <c r="AL205" i="11"/>
  <c r="AL214" i="11" s="1"/>
  <c r="AL199" i="11" s="1"/>
  <c r="AI191" i="11"/>
  <c r="AI205" i="11" s="1"/>
  <c r="AI214" i="11" s="1"/>
  <c r="AI199" i="11" s="1"/>
  <c r="W191" i="11"/>
  <c r="W205" i="11" s="1"/>
  <c r="W214" i="11" s="1"/>
  <c r="W199" i="11" s="1"/>
  <c r="AB194" i="11"/>
  <c r="AB201" i="11" s="1"/>
  <c r="AB203" i="11"/>
  <c r="AB210" i="11"/>
  <c r="L210" i="11"/>
  <c r="I293" i="20" s="1"/>
  <c r="L194" i="11"/>
  <c r="J210" i="11"/>
  <c r="G293" i="20" s="1"/>
  <c r="J194" i="11"/>
  <c r="L236" i="11"/>
  <c r="L203" i="11"/>
  <c r="L300" i="20"/>
  <c r="L307" i="20"/>
  <c r="AL86" i="37"/>
  <c r="F52" i="22"/>
  <c r="J203" i="11"/>
  <c r="J236" i="11"/>
  <c r="I60" i="22"/>
  <c r="T60" i="22" s="1"/>
  <c r="I61" i="22"/>
  <c r="T61" i="22" s="1"/>
  <c r="I62" i="22"/>
  <c r="T62" i="22" s="1"/>
  <c r="K64" i="22"/>
  <c r="V64" i="22" s="1"/>
  <c r="I69" i="22"/>
  <c r="T69" i="22" s="1"/>
  <c r="I68" i="22"/>
  <c r="T68" i="22" s="1"/>
  <c r="K69" i="22"/>
  <c r="V69" i="22" s="1"/>
  <c r="P220" i="11"/>
  <c r="I64" i="22"/>
  <c r="T64" i="22" s="1"/>
  <c r="K59" i="22"/>
  <c r="V59" i="22" s="1"/>
  <c r="K65" i="22"/>
  <c r="V65" i="22" s="1"/>
  <c r="K68" i="22"/>
  <c r="V68" i="22" s="1"/>
  <c r="K61" i="22"/>
  <c r="V61" i="22" s="1"/>
  <c r="K63" i="22"/>
  <c r="V63" i="22" s="1"/>
  <c r="K58" i="22"/>
  <c r="V58" i="22" s="1"/>
  <c r="K66" i="22"/>
  <c r="V66" i="22" s="1"/>
  <c r="AN86" i="37"/>
  <c r="AI87" i="37"/>
  <c r="AJ87" i="37" s="1"/>
  <c r="AK87" i="37" s="1"/>
  <c r="W90" i="37"/>
  <c r="AE89" i="37"/>
  <c r="AO90" i="37" s="1"/>
  <c r="V89" i="37"/>
  <c r="X89" i="37"/>
  <c r="Z88" i="37"/>
  <c r="AD87" i="37"/>
  <c r="AA88" i="37"/>
  <c r="Y88" i="37"/>
  <c r="AF88" i="37"/>
  <c r="AH88" i="37"/>
  <c r="AG88" i="37"/>
  <c r="K283" i="11"/>
  <c r="H294" i="20" s="1"/>
  <c r="U50" i="22"/>
  <c r="P23" i="11"/>
  <c r="K247" i="11"/>
  <c r="K248" i="11"/>
  <c r="K249" i="11"/>
  <c r="K311" i="11"/>
  <c r="K242" i="11"/>
  <c r="K262" i="11"/>
  <c r="P16" i="11"/>
  <c r="P239" i="11" s="1"/>
  <c r="N16" i="11"/>
  <c r="N26" i="11" s="1"/>
  <c r="O16" i="11"/>
  <c r="O26" i="11" s="1"/>
  <c r="M16" i="11"/>
  <c r="M26" i="11" s="1"/>
  <c r="L16" i="11"/>
  <c r="L26" i="11" s="1"/>
  <c r="J16" i="11"/>
  <c r="J26" i="11" s="1"/>
  <c r="F73" i="22"/>
  <c r="G54" i="22" l="1"/>
  <c r="L53" i="22"/>
  <c r="L54" i="22" s="1"/>
  <c r="AN196" i="11"/>
  <c r="AB196" i="11"/>
  <c r="K36" i="8"/>
  <c r="K98" i="8" s="1"/>
  <c r="M49" i="8"/>
  <c r="M207" i="8" s="1"/>
  <c r="O98" i="8"/>
  <c r="L19" i="6"/>
  <c r="L25" i="6"/>
  <c r="M35" i="8" s="1"/>
  <c r="K25" i="6"/>
  <c r="L35" i="8" s="1"/>
  <c r="K19" i="6"/>
  <c r="N25" i="6"/>
  <c r="O35" i="8" s="1"/>
  <c r="N19" i="6"/>
  <c r="L98" i="8"/>
  <c r="AN205" i="11"/>
  <c r="AN214" i="11" s="1"/>
  <c r="AN199" i="11" s="1"/>
  <c r="AN218" i="11"/>
  <c r="AN235" i="11"/>
  <c r="AB205" i="11"/>
  <c r="AB214" i="11" s="1"/>
  <c r="AB199" i="11" s="1"/>
  <c r="AB235" i="11"/>
  <c r="AB218" i="11"/>
  <c r="L55" i="8"/>
  <c r="F60" i="22"/>
  <c r="Q60" i="22" s="1"/>
  <c r="F64" i="22"/>
  <c r="Q64" i="22" s="1"/>
  <c r="S50" i="22"/>
  <c r="F67" i="22"/>
  <c r="Q67" i="22" s="1"/>
  <c r="F61" i="22"/>
  <c r="Q61" i="22" s="1"/>
  <c r="F69" i="22"/>
  <c r="Q69" i="22" s="1"/>
  <c r="F63" i="22"/>
  <c r="Q63" i="22" s="1"/>
  <c r="F57" i="22"/>
  <c r="Q57" i="22" s="1"/>
  <c r="F68" i="22"/>
  <c r="Q68" i="22" s="1"/>
  <c r="F65" i="22"/>
  <c r="Q65" i="22" s="1"/>
  <c r="F58" i="22"/>
  <c r="Q58" i="22" s="1"/>
  <c r="F62" i="22"/>
  <c r="Q62" i="22" s="1"/>
  <c r="F66" i="22"/>
  <c r="Q66" i="22" s="1"/>
  <c r="E198" i="21"/>
  <c r="K72" i="8"/>
  <c r="P72" i="8" s="1"/>
  <c r="K66" i="8"/>
  <c r="P66" i="8" s="1"/>
  <c r="K60" i="8"/>
  <c r="P60" i="8" s="1"/>
  <c r="J183" i="21"/>
  <c r="L50" i="22" s="1"/>
  <c r="N49" i="8"/>
  <c r="N207" i="8" s="1"/>
  <c r="N54" i="8"/>
  <c r="N273" i="8" s="1"/>
  <c r="O55" i="8"/>
  <c r="O274" i="8" s="1"/>
  <c r="K191" i="11"/>
  <c r="X191" i="11" s="1"/>
  <c r="G212" i="21"/>
  <c r="G234" i="21"/>
  <c r="W206" i="11"/>
  <c r="W207" i="11" s="1"/>
  <c r="W197" i="11"/>
  <c r="W74" i="11" s="1"/>
  <c r="AI206" i="11"/>
  <c r="AI207" i="11" s="1"/>
  <c r="AI197" i="11"/>
  <c r="AI74" i="11" s="1"/>
  <c r="AI88" i="37"/>
  <c r="AJ88" i="37" s="1"/>
  <c r="AK88" i="37" s="1"/>
  <c r="L180" i="20"/>
  <c r="L216" i="20" s="1"/>
  <c r="AK236" i="11"/>
  <c r="Y236" i="11"/>
  <c r="Z201" i="11"/>
  <c r="J180" i="20" s="1"/>
  <c r="AA201" i="11"/>
  <c r="K180" i="20" s="1"/>
  <c r="W236" i="11"/>
  <c r="AI236" i="11"/>
  <c r="X311" i="11"/>
  <c r="AJ311" i="11"/>
  <c r="AI194" i="11"/>
  <c r="AI203" i="11"/>
  <c r="AI210" i="11"/>
  <c r="AL206" i="11"/>
  <c r="AL207" i="11" s="1"/>
  <c r="AL197" i="11"/>
  <c r="AL74" i="11" s="1"/>
  <c r="Y194" i="11"/>
  <c r="Y201" i="11" s="1"/>
  <c r="Y203" i="11"/>
  <c r="Y210" i="11"/>
  <c r="AM206" i="11"/>
  <c r="AM207" i="11" s="1"/>
  <c r="AM197" i="11"/>
  <c r="AM74" i="11" s="1"/>
  <c r="AL201" i="11"/>
  <c r="J197" i="20" s="1"/>
  <c r="Z206" i="11"/>
  <c r="Z207" i="11" s="1"/>
  <c r="Z197" i="11"/>
  <c r="Z74" i="11" s="1"/>
  <c r="AM201" i="11"/>
  <c r="K197" i="20" s="1"/>
  <c r="AJ242" i="11"/>
  <c r="AJ248" i="11"/>
  <c r="AJ265" i="11" s="1"/>
  <c r="AJ249" i="11"/>
  <c r="AJ266" i="11" s="1"/>
  <c r="AJ247" i="11"/>
  <c r="AJ264" i="11" s="1"/>
  <c r="AJ262" i="11"/>
  <c r="AJ283" i="11"/>
  <c r="AK194" i="11"/>
  <c r="AK201" i="11" s="1"/>
  <c r="AK203" i="11"/>
  <c r="AK210" i="11"/>
  <c r="AC239" i="11"/>
  <c r="AO239" i="11"/>
  <c r="W194" i="11"/>
  <c r="W203" i="11"/>
  <c r="W210" i="11"/>
  <c r="AA206" i="11"/>
  <c r="AA207" i="11" s="1"/>
  <c r="AA197" i="11"/>
  <c r="AA74" i="11" s="1"/>
  <c r="X248" i="11"/>
  <c r="X265" i="11" s="1"/>
  <c r="X249" i="11"/>
  <c r="X266" i="11" s="1"/>
  <c r="X242" i="11"/>
  <c r="X247" i="11"/>
  <c r="X264" i="11" s="1"/>
  <c r="X283" i="11"/>
  <c r="X262" i="11"/>
  <c r="M75" i="22"/>
  <c r="Q52" i="22"/>
  <c r="AL87" i="37"/>
  <c r="I13" i="6"/>
  <c r="T50" i="22"/>
  <c r="V50" i="22"/>
  <c r="AN87" i="37"/>
  <c r="AB88" i="37"/>
  <c r="AC88" i="37" s="1"/>
  <c r="AD88" i="37" s="1"/>
  <c r="Z89" i="37"/>
  <c r="AA89" i="37"/>
  <c r="Y89" i="37"/>
  <c r="AF89" i="37"/>
  <c r="AH89" i="37"/>
  <c r="AG89" i="37"/>
  <c r="W91" i="37"/>
  <c r="AE90" i="37"/>
  <c r="AO91" i="37" s="1"/>
  <c r="V90" i="37"/>
  <c r="X90" i="37"/>
  <c r="J239" i="11"/>
  <c r="L239" i="11"/>
  <c r="N239" i="11"/>
  <c r="M239" i="11"/>
  <c r="O239" i="11"/>
  <c r="I14" i="6"/>
  <c r="Q73" i="22"/>
  <c r="L73" i="22"/>
  <c r="G86" i="22"/>
  <c r="G89" i="22"/>
  <c r="G80" i="22"/>
  <c r="G90" i="22"/>
  <c r="G81" i="22"/>
  <c r="G82" i="22"/>
  <c r="G87" i="22"/>
  <c r="G88" i="22"/>
  <c r="G79" i="22"/>
  <c r="G78" i="22"/>
  <c r="G85" i="22"/>
  <c r="G83" i="22"/>
  <c r="G84" i="22"/>
  <c r="X287" i="11" l="1"/>
  <c r="X251" i="11" s="1"/>
  <c r="AJ289" i="11"/>
  <c r="AJ257" i="11" s="1"/>
  <c r="X288" i="11"/>
  <c r="X256" i="11" s="1"/>
  <c r="X289" i="11"/>
  <c r="X257" i="11" s="1"/>
  <c r="AJ287" i="11"/>
  <c r="AJ251" i="11" s="1"/>
  <c r="AJ288" i="11"/>
  <c r="AJ256" i="11" s="1"/>
  <c r="L97" i="8"/>
  <c r="I19" i="6"/>
  <c r="I25" i="6"/>
  <c r="J35" i="8" s="1"/>
  <c r="I26" i="6"/>
  <c r="J36" i="8" s="1"/>
  <c r="I20" i="6"/>
  <c r="O20" i="6" s="1"/>
  <c r="O97" i="8"/>
  <c r="M97" i="8"/>
  <c r="L49" i="8"/>
  <c r="L207" i="8" s="1"/>
  <c r="L274" i="8"/>
  <c r="AB206" i="11"/>
  <c r="AB207" i="11" s="1"/>
  <c r="AB211" i="11" s="1"/>
  <c r="AB197" i="11"/>
  <c r="AB74" i="11" s="1"/>
  <c r="AN206" i="11"/>
  <c r="AN207" i="11" s="1"/>
  <c r="AN211" i="11" s="1"/>
  <c r="AN197" i="11"/>
  <c r="AN74" i="11" s="1"/>
  <c r="J198" i="21"/>
  <c r="G57" i="22"/>
  <c r="R57" i="22" s="1"/>
  <c r="W57" i="22" s="1"/>
  <c r="C93" i="26"/>
  <c r="C94" i="26"/>
  <c r="I94" i="26" s="1"/>
  <c r="F212" i="21"/>
  <c r="K203" i="11"/>
  <c r="K194" i="11"/>
  <c r="F234" i="21"/>
  <c r="G52" i="22"/>
  <c r="O14" i="6"/>
  <c r="N48" i="8"/>
  <c r="N206" i="8" s="1"/>
  <c r="O49" i="8"/>
  <c r="O207" i="8" s="1"/>
  <c r="L54" i="8"/>
  <c r="L273" i="8" s="1"/>
  <c r="M54" i="8"/>
  <c r="M273" i="8" s="1"/>
  <c r="O54" i="8"/>
  <c r="O273" i="8" s="1"/>
  <c r="K55" i="8"/>
  <c r="K274" i="8" s="1"/>
  <c r="AJ191" i="11"/>
  <c r="AJ194" i="11" s="1"/>
  <c r="K210" i="11"/>
  <c r="P210" i="11" s="1"/>
  <c r="K236" i="11"/>
  <c r="P236" i="11" s="1"/>
  <c r="G60" i="22"/>
  <c r="R60" i="22" s="1"/>
  <c r="W60" i="22" s="1"/>
  <c r="G66" i="22"/>
  <c r="R66" i="22" s="1"/>
  <c r="W66" i="22" s="1"/>
  <c r="G64" i="22"/>
  <c r="R64" i="22" s="1"/>
  <c r="W64" i="22" s="1"/>
  <c r="G59" i="22"/>
  <c r="R59" i="22" s="1"/>
  <c r="W59" i="22" s="1"/>
  <c r="AI211" i="11"/>
  <c r="W211" i="11"/>
  <c r="AI89" i="37"/>
  <c r="AJ89" i="37" s="1"/>
  <c r="AK89" i="37" s="1"/>
  <c r="I197" i="20"/>
  <c r="I180" i="20"/>
  <c r="Z211" i="11"/>
  <c r="W239" i="11"/>
  <c r="AI239" i="11"/>
  <c r="X194" i="11"/>
  <c r="X203" i="11"/>
  <c r="X210" i="11"/>
  <c r="AC210" i="11" s="1"/>
  <c r="X205" i="11"/>
  <c r="AM211" i="11"/>
  <c r="AA211" i="11"/>
  <c r="AM239" i="11"/>
  <c r="AA239" i="11"/>
  <c r="AK239" i="11"/>
  <c r="Y239" i="11"/>
  <c r="AL211" i="11"/>
  <c r="AN239" i="11"/>
  <c r="AB239" i="11"/>
  <c r="AL239" i="11"/>
  <c r="Z239" i="11"/>
  <c r="R88" i="22"/>
  <c r="R82" i="22"/>
  <c r="R84" i="22"/>
  <c r="R83" i="22"/>
  <c r="R86" i="22"/>
  <c r="R87" i="22"/>
  <c r="R85" i="22"/>
  <c r="R78" i="22"/>
  <c r="R81" i="22"/>
  <c r="R90" i="22"/>
  <c r="R80" i="22"/>
  <c r="R79" i="22"/>
  <c r="R89" i="22"/>
  <c r="W73" i="22"/>
  <c r="AL88" i="37"/>
  <c r="K290" i="11"/>
  <c r="K254" i="11" s="1"/>
  <c r="J205" i="11"/>
  <c r="J214" i="11" s="1"/>
  <c r="J199" i="11" s="1"/>
  <c r="J197" i="11" s="1"/>
  <c r="AN88" i="37"/>
  <c r="AH90" i="37"/>
  <c r="AG90" i="37"/>
  <c r="AF90" i="37"/>
  <c r="AA90" i="37"/>
  <c r="Y90" i="37"/>
  <c r="Z90" i="37"/>
  <c r="W92" i="37"/>
  <c r="AE91" i="37"/>
  <c r="AO92" i="37" s="1"/>
  <c r="V91" i="37"/>
  <c r="X91" i="37"/>
  <c r="AB89" i="37"/>
  <c r="AC89" i="37" s="1"/>
  <c r="AD89" i="37" s="1"/>
  <c r="L283" i="11"/>
  <c r="N283" i="11"/>
  <c r="O283" i="11"/>
  <c r="J283" i="11"/>
  <c r="G294" i="20" s="1"/>
  <c r="M283" i="11"/>
  <c r="K266" i="11"/>
  <c r="K289" i="11" s="1"/>
  <c r="P26" i="11"/>
  <c r="K264" i="11"/>
  <c r="K287" i="11" s="1"/>
  <c r="K265" i="11"/>
  <c r="K288" i="11" s="1"/>
  <c r="J249" i="11"/>
  <c r="J248" i="11"/>
  <c r="J247" i="11"/>
  <c r="O249" i="11"/>
  <c r="O247" i="11"/>
  <c r="O248" i="11"/>
  <c r="M248" i="11"/>
  <c r="M249" i="11"/>
  <c r="M247" i="11"/>
  <c r="L248" i="11"/>
  <c r="L249" i="11"/>
  <c r="L247" i="11"/>
  <c r="N248" i="11"/>
  <c r="N249" i="11"/>
  <c r="N247" i="11"/>
  <c r="O311" i="11"/>
  <c r="J311" i="11"/>
  <c r="M311" i="11"/>
  <c r="L311" i="11"/>
  <c r="N311" i="11"/>
  <c r="O242" i="11"/>
  <c r="O262" i="11"/>
  <c r="M242" i="11"/>
  <c r="M262" i="11"/>
  <c r="L242" i="11"/>
  <c r="L262" i="11"/>
  <c r="J242" i="11"/>
  <c r="J262" i="11"/>
  <c r="N242" i="11"/>
  <c r="N262" i="11"/>
  <c r="I81" i="22"/>
  <c r="F79" i="22"/>
  <c r="J79" i="22"/>
  <c r="Q50" i="22"/>
  <c r="J212" i="21" l="1"/>
  <c r="H212" i="21"/>
  <c r="I212" i="21"/>
  <c r="AJ268" i="11"/>
  <c r="AJ272" i="11" s="1"/>
  <c r="AJ277" i="11" s="1"/>
  <c r="AJ245" i="11"/>
  <c r="AJ75" i="11" s="1"/>
  <c r="AJ258" i="11"/>
  <c r="H198" i="20" s="1"/>
  <c r="AJ261" i="11"/>
  <c r="AJ269" i="11"/>
  <c r="AJ273" i="11" s="1"/>
  <c r="AJ278" i="11" s="1"/>
  <c r="X270" i="11"/>
  <c r="X274" i="11" s="1"/>
  <c r="X279" i="11" s="1"/>
  <c r="X260" i="11"/>
  <c r="X269" i="11"/>
  <c r="X273" i="11" s="1"/>
  <c r="X278" i="11" s="1"/>
  <c r="X261" i="11"/>
  <c r="AJ270" i="11"/>
  <c r="AJ274" i="11" s="1"/>
  <c r="AJ299" i="11" s="1"/>
  <c r="AJ260" i="11"/>
  <c r="X258" i="11"/>
  <c r="H181" i="20" s="1"/>
  <c r="X245" i="11"/>
  <c r="X75" i="11" s="1"/>
  <c r="X268" i="11"/>
  <c r="X272" i="11" s="1"/>
  <c r="X277" i="11" s="1"/>
  <c r="J97" i="8"/>
  <c r="AN232" i="11"/>
  <c r="AN227" i="11"/>
  <c r="AB232" i="11"/>
  <c r="AB227" i="11"/>
  <c r="G61" i="22"/>
  <c r="R61" i="22" s="1"/>
  <c r="W61" i="22" s="1"/>
  <c r="G67" i="22"/>
  <c r="R67" i="22" s="1"/>
  <c r="W67" i="22" s="1"/>
  <c r="G63" i="22"/>
  <c r="R63" i="22" s="1"/>
  <c r="W63" i="22" s="1"/>
  <c r="G58" i="22"/>
  <c r="R58" i="22" s="1"/>
  <c r="W58" i="22" s="1"/>
  <c r="G62" i="22"/>
  <c r="R62" i="22" s="1"/>
  <c r="W62" i="22" s="1"/>
  <c r="G65" i="22"/>
  <c r="R65" i="22" s="1"/>
  <c r="W65" i="22" s="1"/>
  <c r="G69" i="22"/>
  <c r="R69" i="22" s="1"/>
  <c r="W69" i="22" s="1"/>
  <c r="G68" i="22"/>
  <c r="R68" i="22" s="1"/>
  <c r="W68" i="22" s="1"/>
  <c r="L57" i="22"/>
  <c r="R52" i="22"/>
  <c r="J13" i="6"/>
  <c r="L52" i="22"/>
  <c r="AJ210" i="11"/>
  <c r="AO210" i="11" s="1"/>
  <c r="H293" i="20"/>
  <c r="D293" i="20" s="1"/>
  <c r="AJ205" i="11"/>
  <c r="AJ214" i="11" s="1"/>
  <c r="AJ199" i="11" s="1"/>
  <c r="AJ203" i="11"/>
  <c r="J74" i="11"/>
  <c r="AJ236" i="11"/>
  <c r="AO236" i="11" s="1"/>
  <c r="X236" i="11"/>
  <c r="AC236" i="11" s="1"/>
  <c r="O26" i="6"/>
  <c r="K49" i="8"/>
  <c r="K207" i="8" s="1"/>
  <c r="O48" i="8"/>
  <c r="O206" i="8" s="1"/>
  <c r="M48" i="8"/>
  <c r="M206" i="8" s="1"/>
  <c r="L48" i="8"/>
  <c r="L206" i="8" s="1"/>
  <c r="L64" i="22"/>
  <c r="L60" i="22"/>
  <c r="L66" i="22"/>
  <c r="L59" i="22"/>
  <c r="W227" i="11"/>
  <c r="W232" i="11"/>
  <c r="AI232" i="11"/>
  <c r="AI227" i="11"/>
  <c r="AI90" i="37"/>
  <c r="AJ90" i="37" s="1"/>
  <c r="AK90" i="37" s="1"/>
  <c r="AM311" i="11"/>
  <c r="AA311" i="11"/>
  <c r="AL311" i="11"/>
  <c r="Z311" i="11"/>
  <c r="Y311" i="11"/>
  <c r="AK311" i="11"/>
  <c r="AB311" i="11"/>
  <c r="AN311" i="11"/>
  <c r="W311" i="11"/>
  <c r="AI311" i="11"/>
  <c r="AK248" i="11"/>
  <c r="AK265" i="11" s="1"/>
  <c r="AK249" i="11"/>
  <c r="AK266" i="11" s="1"/>
  <c r="AK247" i="11"/>
  <c r="AK264" i="11" s="1"/>
  <c r="AK242" i="11"/>
  <c r="AK283" i="11"/>
  <c r="AK262" i="11"/>
  <c r="Z232" i="11"/>
  <c r="Z227" i="11"/>
  <c r="AA249" i="11"/>
  <c r="AA266" i="11" s="1"/>
  <c r="AA247" i="11"/>
  <c r="AA264" i="11" s="1"/>
  <c r="AA242" i="11"/>
  <c r="AA248" i="11"/>
  <c r="AA265" i="11" s="1"/>
  <c r="AA283" i="11"/>
  <c r="AA262" i="11"/>
  <c r="Y248" i="11"/>
  <c r="Y265" i="11" s="1"/>
  <c r="Y249" i="11"/>
  <c r="Y266" i="11" s="1"/>
  <c r="Y247" i="11"/>
  <c r="Y264" i="11" s="1"/>
  <c r="Y242" i="11"/>
  <c r="Y283" i="11"/>
  <c r="Y262" i="11"/>
  <c r="AM249" i="11"/>
  <c r="AM266" i="11" s="1"/>
  <c r="AM247" i="11"/>
  <c r="AM264" i="11" s="1"/>
  <c r="AM248" i="11"/>
  <c r="AM265" i="11" s="1"/>
  <c r="AM242" i="11"/>
  <c r="AM262" i="11"/>
  <c r="AM283" i="11"/>
  <c r="AA232" i="11"/>
  <c r="AA227" i="11"/>
  <c r="Z249" i="11"/>
  <c r="Z266" i="11" s="1"/>
  <c r="Z242" i="11"/>
  <c r="Z247" i="11"/>
  <c r="Z264" i="11" s="1"/>
  <c r="Z248" i="11"/>
  <c r="Z265" i="11" s="1"/>
  <c r="Z283" i="11"/>
  <c r="Z262" i="11"/>
  <c r="AL227" i="11"/>
  <c r="AL232" i="11"/>
  <c r="AB242" i="11"/>
  <c r="AB247" i="11"/>
  <c r="AB264" i="11" s="1"/>
  <c r="AB249" i="11"/>
  <c r="AB266" i="11" s="1"/>
  <c r="AB248" i="11"/>
  <c r="AB265" i="11" s="1"/>
  <c r="AB262" i="11"/>
  <c r="AB283" i="11"/>
  <c r="AM232" i="11"/>
  <c r="AM227" i="11"/>
  <c r="AN242" i="11"/>
  <c r="AN247" i="11"/>
  <c r="AN264" i="11" s="1"/>
  <c r="AN248" i="11"/>
  <c r="AN265" i="11" s="1"/>
  <c r="AN249" i="11"/>
  <c r="AN266" i="11" s="1"/>
  <c r="AN283" i="11"/>
  <c r="AN262" i="11"/>
  <c r="W247" i="11"/>
  <c r="W249" i="11"/>
  <c r="W248" i="11"/>
  <c r="W242" i="11"/>
  <c r="W262" i="11"/>
  <c r="W283" i="11"/>
  <c r="AL249" i="11"/>
  <c r="AL266" i="11" s="1"/>
  <c r="AL242" i="11"/>
  <c r="AL248" i="11"/>
  <c r="AL265" i="11" s="1"/>
  <c r="AL247" i="11"/>
  <c r="AL262" i="11"/>
  <c r="AL283" i="11"/>
  <c r="X214" i="11"/>
  <c r="X199" i="11" s="1"/>
  <c r="AC205" i="11"/>
  <c r="AI247" i="11"/>
  <c r="AI242" i="11"/>
  <c r="AI248" i="11"/>
  <c r="AI249" i="11"/>
  <c r="AI262" i="11"/>
  <c r="AI283" i="11"/>
  <c r="K294" i="20"/>
  <c r="L294" i="20"/>
  <c r="J294" i="20"/>
  <c r="I294" i="20"/>
  <c r="R71" i="22"/>
  <c r="T81" i="22"/>
  <c r="U79" i="22"/>
  <c r="AN89" i="37"/>
  <c r="AL89" i="37"/>
  <c r="M290" i="11"/>
  <c r="L290" i="11"/>
  <c r="J290" i="11"/>
  <c r="J254" i="11" s="1"/>
  <c r="O290" i="11"/>
  <c r="N290" i="11"/>
  <c r="K205" i="11"/>
  <c r="K214" i="11" s="1"/>
  <c r="K199" i="11" s="1"/>
  <c r="K197" i="11" s="1"/>
  <c r="AB90" i="37"/>
  <c r="AC90" i="37" s="1"/>
  <c r="AD90" i="37" s="1"/>
  <c r="Z91" i="37"/>
  <c r="AA91" i="37"/>
  <c r="Y91" i="37"/>
  <c r="AF91" i="37"/>
  <c r="AH91" i="37"/>
  <c r="AG91" i="37"/>
  <c r="W93" i="37"/>
  <c r="AE92" i="37"/>
  <c r="AO93" i="37" s="1"/>
  <c r="V92" i="37"/>
  <c r="X92" i="37"/>
  <c r="P294" i="11"/>
  <c r="J206" i="11"/>
  <c r="J207" i="11" s="1"/>
  <c r="K256" i="11"/>
  <c r="K261" i="11" s="1"/>
  <c r="K257" i="11"/>
  <c r="K260" i="11" s="1"/>
  <c r="K251" i="11"/>
  <c r="M264" i="11"/>
  <c r="M287" i="11" s="1"/>
  <c r="N264" i="11"/>
  <c r="N287" i="11" s="1"/>
  <c r="L265" i="11"/>
  <c r="L288" i="11" s="1"/>
  <c r="M265" i="11"/>
  <c r="M288" i="11" s="1"/>
  <c r="N266" i="11"/>
  <c r="N289" i="11" s="1"/>
  <c r="O265" i="11"/>
  <c r="O288" i="11" s="1"/>
  <c r="M266" i="11"/>
  <c r="M289" i="11" s="1"/>
  <c r="N265" i="11"/>
  <c r="N288" i="11" s="1"/>
  <c r="O264" i="11"/>
  <c r="O287" i="11" s="1"/>
  <c r="J265" i="11"/>
  <c r="J288" i="11" s="1"/>
  <c r="J266" i="11"/>
  <c r="J289" i="11" s="1"/>
  <c r="L264" i="11"/>
  <c r="L287" i="11" s="1"/>
  <c r="O266" i="11"/>
  <c r="O289" i="11" s="1"/>
  <c r="L266" i="11"/>
  <c r="L289" i="11" s="1"/>
  <c r="J264" i="11"/>
  <c r="J287" i="11" s="1"/>
  <c r="P283" i="11"/>
  <c r="P247" i="11"/>
  <c r="P248" i="11"/>
  <c r="P249" i="11"/>
  <c r="P311" i="11"/>
  <c r="J90" i="22"/>
  <c r="J86" i="22"/>
  <c r="J87" i="22"/>
  <c r="J81" i="22"/>
  <c r="I88" i="22"/>
  <c r="J82" i="22"/>
  <c r="J84" i="22"/>
  <c r="I78" i="22"/>
  <c r="I79" i="22"/>
  <c r="F87" i="22"/>
  <c r="I86" i="22"/>
  <c r="I89" i="22"/>
  <c r="I90" i="22"/>
  <c r="F80" i="22"/>
  <c r="I85" i="22"/>
  <c r="I87" i="22"/>
  <c r="I80" i="22"/>
  <c r="I83" i="22"/>
  <c r="I82" i="22"/>
  <c r="F90" i="22"/>
  <c r="F89" i="22"/>
  <c r="F88" i="22"/>
  <c r="I84" i="22"/>
  <c r="F85" i="22"/>
  <c r="F81" i="22"/>
  <c r="J85" i="22"/>
  <c r="J89" i="22"/>
  <c r="F78" i="22"/>
  <c r="Q78" i="22" s="1"/>
  <c r="F82" i="22"/>
  <c r="J83" i="22"/>
  <c r="J88" i="22"/>
  <c r="F84" i="22"/>
  <c r="F86" i="22"/>
  <c r="J80" i="22"/>
  <c r="F83" i="22"/>
  <c r="J78" i="22"/>
  <c r="H89" i="22"/>
  <c r="H83" i="22"/>
  <c r="H80" i="22"/>
  <c r="H84" i="22"/>
  <c r="H90" i="22"/>
  <c r="H86" i="22"/>
  <c r="H81" i="22"/>
  <c r="H88" i="22"/>
  <c r="H87" i="22"/>
  <c r="H82" i="22"/>
  <c r="H79" i="22"/>
  <c r="H85" i="22"/>
  <c r="H78" i="22"/>
  <c r="K87" i="22"/>
  <c r="K82" i="22"/>
  <c r="K79" i="22"/>
  <c r="K89" i="22"/>
  <c r="K80" i="22"/>
  <c r="K88" i="22"/>
  <c r="K81" i="22"/>
  <c r="K84" i="22"/>
  <c r="K90" i="22"/>
  <c r="K86" i="22"/>
  <c r="K85" i="22"/>
  <c r="K78" i="22"/>
  <c r="K83" i="22"/>
  <c r="Q79" i="22"/>
  <c r="AJ275" i="11" l="1"/>
  <c r="AJ284" i="11" s="1"/>
  <c r="AJ302" i="11" s="1"/>
  <c r="X280" i="11"/>
  <c r="X282" i="11" s="1"/>
  <c r="AJ303" i="11"/>
  <c r="AJ298" i="11"/>
  <c r="AJ48" i="11" s="1"/>
  <c r="AM289" i="11"/>
  <c r="AM257" i="11" s="1"/>
  <c r="AL288" i="11"/>
  <c r="AL256" i="11" s="1"/>
  <c r="AA288" i="11"/>
  <c r="AA256" i="11" s="1"/>
  <c r="AA287" i="11"/>
  <c r="AA251" i="11" s="1"/>
  <c r="AK289" i="11"/>
  <c r="AK257" i="11" s="1"/>
  <c r="AL289" i="11"/>
  <c r="AL257" i="11" s="1"/>
  <c r="X275" i="11"/>
  <c r="X284" i="11" s="1"/>
  <c r="X307" i="11" s="1"/>
  <c r="Y287" i="11"/>
  <c r="Y251" i="11" s="1"/>
  <c r="Y268" i="11" s="1"/>
  <c r="Y272" i="11" s="1"/>
  <c r="AA289" i="11"/>
  <c r="AA257" i="11" s="1"/>
  <c r="AA260" i="11" s="1"/>
  <c r="AK288" i="11"/>
  <c r="AK256" i="11" s="1"/>
  <c r="AN289" i="11"/>
  <c r="AN257" i="11" s="1"/>
  <c r="AB288" i="11"/>
  <c r="AB256" i="11" s="1"/>
  <c r="AB261" i="11" s="1"/>
  <c r="Z288" i="11"/>
  <c r="Z256" i="11" s="1"/>
  <c r="Z261" i="11" s="1"/>
  <c r="Y289" i="11"/>
  <c r="Y257" i="11" s="1"/>
  <c r="X298" i="11"/>
  <c r="Z289" i="11"/>
  <c r="Z257" i="11" s="1"/>
  <c r="AK287" i="11"/>
  <c r="AK251" i="11" s="1"/>
  <c r="AN288" i="11"/>
  <c r="AN256" i="11" s="1"/>
  <c r="AB289" i="11"/>
  <c r="AB257" i="11" s="1"/>
  <c r="Z287" i="11"/>
  <c r="Z251" i="11" s="1"/>
  <c r="AM288" i="11"/>
  <c r="AM256" i="11" s="1"/>
  <c r="Y288" i="11"/>
  <c r="Y256" i="11" s="1"/>
  <c r="X303" i="11"/>
  <c r="X299" i="11"/>
  <c r="AN287" i="11"/>
  <c r="AN251" i="11" s="1"/>
  <c r="AB287" i="11"/>
  <c r="AB251" i="11" s="1"/>
  <c r="AM287" i="11"/>
  <c r="AM251" i="11" s="1"/>
  <c r="AJ279" i="11"/>
  <c r="AJ280" i="11" s="1"/>
  <c r="AJ282" i="11" s="1"/>
  <c r="J19" i="6"/>
  <c r="O19" i="6" s="1"/>
  <c r="J25" i="6"/>
  <c r="K35" i="8" s="1"/>
  <c r="J98" i="8"/>
  <c r="L63" i="22"/>
  <c r="L61" i="22"/>
  <c r="L67" i="22"/>
  <c r="L58" i="22"/>
  <c r="L62" i="22"/>
  <c r="L68" i="22"/>
  <c r="R50" i="22"/>
  <c r="L65" i="22"/>
  <c r="L69" i="22"/>
  <c r="AN258" i="11"/>
  <c r="L198" i="20" s="1"/>
  <c r="AB258" i="11"/>
  <c r="L181" i="20" s="1"/>
  <c r="W52" i="22"/>
  <c r="W50" i="22" s="1"/>
  <c r="D93" i="26"/>
  <c r="I93" i="26" s="1"/>
  <c r="O13" i="6"/>
  <c r="K74" i="11"/>
  <c r="AO205" i="11"/>
  <c r="J55" i="8"/>
  <c r="J274" i="8" s="1"/>
  <c r="J54" i="8"/>
  <c r="J273" i="8" s="1"/>
  <c r="AO311" i="11"/>
  <c r="AC311" i="11"/>
  <c r="AJ206" i="11"/>
  <c r="AJ197" i="11"/>
  <c r="AJ74" i="11" s="1"/>
  <c r="AO74" i="11" s="1"/>
  <c r="W265" i="11"/>
  <c r="AC248" i="11"/>
  <c r="AO283" i="11"/>
  <c r="AL264" i="11"/>
  <c r="AC249" i="11"/>
  <c r="W266" i="11"/>
  <c r="AI264" i="11"/>
  <c r="AO247" i="11"/>
  <c r="AO249" i="11"/>
  <c r="AI266" i="11"/>
  <c r="AO248" i="11"/>
  <c r="AI265" i="11"/>
  <c r="X206" i="11"/>
  <c r="X197" i="11"/>
  <c r="X74" i="11" s="1"/>
  <c r="AC74" i="11" s="1"/>
  <c r="W264" i="11"/>
  <c r="AC247" i="11"/>
  <c r="AC283" i="11"/>
  <c r="D294" i="20"/>
  <c r="V87" i="22"/>
  <c r="T84" i="22"/>
  <c r="V90" i="22"/>
  <c r="Q88" i="22"/>
  <c r="U80" i="22"/>
  <c r="T79" i="22"/>
  <c r="U82" i="22"/>
  <c r="V81" i="22"/>
  <c r="Q89" i="22"/>
  <c r="U84" i="22"/>
  <c r="U89" i="22"/>
  <c r="Q90" i="22"/>
  <c r="V83" i="22"/>
  <c r="V80" i="22"/>
  <c r="S79" i="22"/>
  <c r="S84" i="22"/>
  <c r="U78" i="22"/>
  <c r="Q86" i="22"/>
  <c r="U85" i="22"/>
  <c r="T90" i="22"/>
  <c r="T88" i="22"/>
  <c r="U90" i="22"/>
  <c r="S78" i="22"/>
  <c r="S85" i="22"/>
  <c r="Q84" i="22"/>
  <c r="V84" i="22"/>
  <c r="S81" i="22"/>
  <c r="Q82" i="22"/>
  <c r="T87" i="22"/>
  <c r="T85" i="22"/>
  <c r="V88" i="22"/>
  <c r="Q80" i="22"/>
  <c r="V89" i="22"/>
  <c r="S80" i="22"/>
  <c r="Q81" i="22"/>
  <c r="T82" i="22"/>
  <c r="T89" i="22"/>
  <c r="U81" i="22"/>
  <c r="V85" i="22"/>
  <c r="V79" i="22"/>
  <c r="S87" i="22"/>
  <c r="S83" i="22"/>
  <c r="U88" i="22"/>
  <c r="T83" i="22"/>
  <c r="T86" i="22"/>
  <c r="U87" i="22"/>
  <c r="S88" i="22"/>
  <c r="T78" i="22"/>
  <c r="S86" i="22"/>
  <c r="S90" i="22"/>
  <c r="U86" i="22"/>
  <c r="V78" i="22"/>
  <c r="S82" i="22"/>
  <c r="V86" i="22"/>
  <c r="V82" i="22"/>
  <c r="S89" i="22"/>
  <c r="Q83" i="22"/>
  <c r="U83" i="22"/>
  <c r="Q85" i="22"/>
  <c r="T80" i="22"/>
  <c r="Q87" i="22"/>
  <c r="AL90" i="37"/>
  <c r="K245" i="11"/>
  <c r="K75" i="11" s="1"/>
  <c r="L205" i="11"/>
  <c r="L214" i="11" s="1"/>
  <c r="L199" i="11" s="1"/>
  <c r="AI91" i="37"/>
  <c r="AJ91" i="37" s="1"/>
  <c r="AK91" i="37" s="1"/>
  <c r="AN90" i="37"/>
  <c r="W94" i="37"/>
  <c r="AE93" i="37"/>
  <c r="AO94" i="37" s="1"/>
  <c r="V93" i="37"/>
  <c r="X93" i="37"/>
  <c r="AA92" i="37"/>
  <c r="Y92" i="37"/>
  <c r="Z92" i="37"/>
  <c r="AF92" i="37"/>
  <c r="AH92" i="37"/>
  <c r="AG92" i="37"/>
  <c r="AI92" i="37" s="1"/>
  <c r="AJ92" i="37" s="1"/>
  <c r="AB91" i="37"/>
  <c r="AC91" i="37" s="1"/>
  <c r="AD91" i="37" s="1"/>
  <c r="K269" i="11"/>
  <c r="K273" i="11" s="1"/>
  <c r="K270" i="11"/>
  <c r="K274" i="11" s="1"/>
  <c r="K206" i="11"/>
  <c r="K207" i="11" s="1"/>
  <c r="N256" i="11"/>
  <c r="J256" i="11"/>
  <c r="J261" i="11" s="1"/>
  <c r="L257" i="11"/>
  <c r="M257" i="11"/>
  <c r="O257" i="11"/>
  <c r="O256" i="11"/>
  <c r="N257" i="11"/>
  <c r="M256" i="11"/>
  <c r="K268" i="11"/>
  <c r="K272" i="11" s="1"/>
  <c r="K258" i="11"/>
  <c r="H164" i="20" s="1"/>
  <c r="H217" i="20" s="1"/>
  <c r="J257" i="11"/>
  <c r="J260" i="11" s="1"/>
  <c r="L256" i="11"/>
  <c r="L254" i="11"/>
  <c r="N254" i="11"/>
  <c r="J251" i="11"/>
  <c r="N251" i="11"/>
  <c r="M251" i="11"/>
  <c r="O251" i="11"/>
  <c r="L251" i="11"/>
  <c r="J211" i="11"/>
  <c r="J232" i="11" s="1"/>
  <c r="P172" i="11"/>
  <c r="L85" i="22"/>
  <c r="L83" i="22"/>
  <c r="L86" i="22"/>
  <c r="L84" i="22"/>
  <c r="L90" i="22"/>
  <c r="L80" i="22"/>
  <c r="L78" i="22"/>
  <c r="L87" i="22"/>
  <c r="L82" i="22"/>
  <c r="L79" i="22"/>
  <c r="L89" i="22"/>
  <c r="L81" i="22"/>
  <c r="L88" i="22"/>
  <c r="H207" i="20" l="1"/>
  <c r="AJ82" i="11"/>
  <c r="H190" i="20"/>
  <c r="X82" i="11"/>
  <c r="AM258" i="11"/>
  <c r="K198" i="20" s="1"/>
  <c r="Z258" i="11"/>
  <c r="J181" i="20" s="1"/>
  <c r="AA258" i="11"/>
  <c r="K181" i="20" s="1"/>
  <c r="AK258" i="11"/>
  <c r="I198" i="20" s="1"/>
  <c r="Y258" i="11"/>
  <c r="I181" i="20" s="1"/>
  <c r="X48" i="11"/>
  <c r="H111" i="20"/>
  <c r="H126" i="20" s="1"/>
  <c r="AJ307" i="11"/>
  <c r="AJ34" i="11" s="1"/>
  <c r="X302" i="11"/>
  <c r="X34" i="11" s="1"/>
  <c r="AB260" i="11"/>
  <c r="AB270" i="11"/>
  <c r="AB274" i="11" s="1"/>
  <c r="AB299" i="11" s="1"/>
  <c r="Z268" i="11"/>
  <c r="Z272" i="11" s="1"/>
  <c r="Z277" i="11" s="1"/>
  <c r="Z245" i="11"/>
  <c r="Z75" i="11" s="1"/>
  <c r="AK270" i="11"/>
  <c r="AK274" i="11" s="1"/>
  <c r="AK279" i="11" s="1"/>
  <c r="AK260" i="11"/>
  <c r="AM268" i="11"/>
  <c r="AM272" i="11" s="1"/>
  <c r="AM277" i="11" s="1"/>
  <c r="AM245" i="11"/>
  <c r="AM75" i="11" s="1"/>
  <c r="AB268" i="11"/>
  <c r="AB272" i="11" s="1"/>
  <c r="AB277" i="11" s="1"/>
  <c r="AB245" i="11"/>
  <c r="AB75" i="11" s="1"/>
  <c r="AN261" i="11"/>
  <c r="AN269" i="11"/>
  <c r="AN273" i="11" s="1"/>
  <c r="AN278" i="11" s="1"/>
  <c r="AL260" i="11"/>
  <c r="AL270" i="11"/>
  <c r="AL274" i="11" s="1"/>
  <c r="AL279" i="11" s="1"/>
  <c r="AN245" i="11"/>
  <c r="AN75" i="11" s="1"/>
  <c r="AN268" i="11"/>
  <c r="AN272" i="11" s="1"/>
  <c r="AN277" i="11" s="1"/>
  <c r="AK268" i="11"/>
  <c r="AK272" i="11" s="1"/>
  <c r="AK277" i="11" s="1"/>
  <c r="AK245" i="11"/>
  <c r="AK75" i="11" s="1"/>
  <c r="AN260" i="11"/>
  <c r="AN270" i="11"/>
  <c r="AN274" i="11" s="1"/>
  <c r="AN299" i="11" s="1"/>
  <c r="Z270" i="11"/>
  <c r="Z274" i="11" s="1"/>
  <c r="Z279" i="11" s="1"/>
  <c r="Z260" i="11"/>
  <c r="AK269" i="11"/>
  <c r="AK273" i="11" s="1"/>
  <c r="AK278" i="11" s="1"/>
  <c r="AK261" i="11"/>
  <c r="AA245" i="11"/>
  <c r="AA75" i="11" s="1"/>
  <c r="AA268" i="11"/>
  <c r="AA272" i="11" s="1"/>
  <c r="AA277" i="11" s="1"/>
  <c r="AA261" i="11"/>
  <c r="AA269" i="11"/>
  <c r="AA273" i="11" s="1"/>
  <c r="AA278" i="11" s="1"/>
  <c r="Y261" i="11"/>
  <c r="Y269" i="11"/>
  <c r="Y273" i="11" s="1"/>
  <c r="Y278" i="11" s="1"/>
  <c r="Y245" i="11"/>
  <c r="Y75" i="11" s="1"/>
  <c r="Y270" i="11"/>
  <c r="Y274" i="11" s="1"/>
  <c r="Y279" i="11" s="1"/>
  <c r="Y260" i="11"/>
  <c r="AL261" i="11"/>
  <c r="AL269" i="11"/>
  <c r="AL273" i="11" s="1"/>
  <c r="AL298" i="11" s="1"/>
  <c r="AM261" i="11"/>
  <c r="AM269" i="11"/>
  <c r="AM273" i="11" s="1"/>
  <c r="AM278" i="11" s="1"/>
  <c r="AM260" i="11"/>
  <c r="AM270" i="11"/>
  <c r="AM274" i="11" s="1"/>
  <c r="AM299" i="11" s="1"/>
  <c r="W289" i="11"/>
  <c r="W257" i="11" s="1"/>
  <c r="W260" i="11" s="1"/>
  <c r="W288" i="11"/>
  <c r="W256" i="11" s="1"/>
  <c r="AB269" i="11"/>
  <c r="AB273" i="11" s="1"/>
  <c r="AB278" i="11" s="1"/>
  <c r="AI289" i="11"/>
  <c r="AI257" i="11" s="1"/>
  <c r="AI287" i="11"/>
  <c r="AI251" i="11" s="1"/>
  <c r="AL287" i="11"/>
  <c r="AL251" i="11" s="1"/>
  <c r="AL258" i="11" s="1"/>
  <c r="J198" i="20" s="1"/>
  <c r="W287" i="11"/>
  <c r="W251" i="11" s="1"/>
  <c r="Z269" i="11"/>
  <c r="Z273" i="11" s="1"/>
  <c r="Z298" i="11" s="1"/>
  <c r="AI288" i="11"/>
  <c r="AI256" i="11" s="1"/>
  <c r="AA270" i="11"/>
  <c r="AA274" i="11" s="1"/>
  <c r="AA299" i="11" s="1"/>
  <c r="O25" i="6"/>
  <c r="AB279" i="11"/>
  <c r="AN279" i="11"/>
  <c r="H116" i="20"/>
  <c r="H131" i="20" s="1"/>
  <c r="J48" i="8"/>
  <c r="J206" i="8" s="1"/>
  <c r="J49" i="8"/>
  <c r="J207" i="8" s="1"/>
  <c r="L260" i="11"/>
  <c r="L261" i="11"/>
  <c r="N261" i="11"/>
  <c r="N260" i="11"/>
  <c r="K275" i="11"/>
  <c r="K284" i="11" s="1"/>
  <c r="AB92" i="37"/>
  <c r="AC92" i="37" s="1"/>
  <c r="AD92" i="37" s="1"/>
  <c r="AP206" i="11"/>
  <c r="AO206" i="11"/>
  <c r="AJ207" i="11"/>
  <c r="AD206" i="11"/>
  <c r="AC206" i="11"/>
  <c r="X207" i="11"/>
  <c r="Y277" i="11"/>
  <c r="N258" i="11"/>
  <c r="K164" i="20" s="1"/>
  <c r="K217" i="20" s="1"/>
  <c r="J258" i="11"/>
  <c r="G164" i="20" s="1"/>
  <c r="G217" i="20" s="1"/>
  <c r="H308" i="20"/>
  <c r="W79" i="22"/>
  <c r="W83" i="22"/>
  <c r="W80" i="22"/>
  <c r="W84" i="22"/>
  <c r="Q71" i="22"/>
  <c r="W89" i="22"/>
  <c r="W87" i="22"/>
  <c r="S71" i="22"/>
  <c r="W86" i="22"/>
  <c r="U71" i="22"/>
  <c r="V71" i="22"/>
  <c r="W82" i="22"/>
  <c r="W81" i="22"/>
  <c r="T71" i="22"/>
  <c r="W88" i="22"/>
  <c r="W78" i="22"/>
  <c r="W85" i="22"/>
  <c r="W90" i="22"/>
  <c r="N245" i="11"/>
  <c r="N75" i="11" s="1"/>
  <c r="AL91" i="37"/>
  <c r="L245" i="11"/>
  <c r="L75" i="11" s="1"/>
  <c r="O245" i="11"/>
  <c r="O75" i="11" s="1"/>
  <c r="M245" i="11"/>
  <c r="M75" i="11" s="1"/>
  <c r="J268" i="11"/>
  <c r="J272" i="11" s="1"/>
  <c r="J277" i="11" s="1"/>
  <c r="J245" i="11"/>
  <c r="J75" i="11" s="1"/>
  <c r="L206" i="11"/>
  <c r="L207" i="11" s="1"/>
  <c r="L197" i="11"/>
  <c r="L74" i="11" s="1"/>
  <c r="M205" i="11"/>
  <c r="M214" i="11" s="1"/>
  <c r="M199" i="11" s="1"/>
  <c r="AN91" i="37"/>
  <c r="AH93" i="37"/>
  <c r="AF93" i="37"/>
  <c r="AG93" i="37"/>
  <c r="AA93" i="37"/>
  <c r="Y93" i="37"/>
  <c r="Z93" i="37"/>
  <c r="AK92" i="37"/>
  <c r="W95" i="37"/>
  <c r="AE94" i="37"/>
  <c r="AO95" i="37" s="1"/>
  <c r="X94" i="37"/>
  <c r="V94" i="37"/>
  <c r="Z94" i="37" s="1"/>
  <c r="K211" i="11"/>
  <c r="N270" i="11"/>
  <c r="N274" i="11" s="1"/>
  <c r="N299" i="11" s="1"/>
  <c r="K299" i="11"/>
  <c r="K279" i="11"/>
  <c r="K298" i="11"/>
  <c r="K278" i="11"/>
  <c r="K303" i="11"/>
  <c r="J269" i="11"/>
  <c r="J273" i="11" s="1"/>
  <c r="J278" i="11" s="1"/>
  <c r="M269" i="11"/>
  <c r="M273" i="11" s="1"/>
  <c r="O269" i="11"/>
  <c r="O273" i="11" s="1"/>
  <c r="J270" i="11"/>
  <c r="J274" i="11" s="1"/>
  <c r="J279" i="11" s="1"/>
  <c r="O270" i="11"/>
  <c r="O274" i="11" s="1"/>
  <c r="O299" i="11" s="1"/>
  <c r="L270" i="11"/>
  <c r="L274" i="11" s="1"/>
  <c r="N269" i="11"/>
  <c r="N273" i="11" s="1"/>
  <c r="N278" i="11" s="1"/>
  <c r="L269" i="11"/>
  <c r="L273" i="11" s="1"/>
  <c r="L278" i="11" s="1"/>
  <c r="M270" i="11"/>
  <c r="M274" i="11" s="1"/>
  <c r="M299" i="11" s="1"/>
  <c r="L268" i="11"/>
  <c r="L272" i="11" s="1"/>
  <c r="L277" i="11" s="1"/>
  <c r="L258" i="11"/>
  <c r="I164" i="20" s="1"/>
  <c r="I217" i="20" s="1"/>
  <c r="M268" i="11"/>
  <c r="M272" i="11" s="1"/>
  <c r="N268" i="11"/>
  <c r="N272" i="11" s="1"/>
  <c r="N277" i="11" s="1"/>
  <c r="O268" i="11"/>
  <c r="O272" i="11" s="1"/>
  <c r="M254" i="11"/>
  <c r="O254" i="11"/>
  <c r="K277" i="11"/>
  <c r="J227" i="11"/>
  <c r="AL278" i="11" l="1"/>
  <c r="Z278" i="11"/>
  <c r="AA279" i="11"/>
  <c r="AA280" i="11" s="1"/>
  <c r="K111" i="20" s="1"/>
  <c r="K126" i="20" s="1"/>
  <c r="AM279" i="11"/>
  <c r="AB298" i="11"/>
  <c r="AB48" i="11" s="1"/>
  <c r="Y299" i="11"/>
  <c r="AB303" i="11"/>
  <c r="AB275" i="11"/>
  <c r="AB284" i="11" s="1"/>
  <c r="AB302" i="11" s="1"/>
  <c r="AN275" i="11"/>
  <c r="AN284" i="11" s="1"/>
  <c r="AN302" i="11" s="1"/>
  <c r="AD260" i="11"/>
  <c r="Y280" i="11"/>
  <c r="Y282" i="11" s="1"/>
  <c r="AN303" i="11"/>
  <c r="Y298" i="11"/>
  <c r="AK299" i="11"/>
  <c r="Y303" i="11"/>
  <c r="AK280" i="11"/>
  <c r="AK282" i="11" s="1"/>
  <c r="AA303" i="11"/>
  <c r="AK298" i="11"/>
  <c r="AA298" i="11"/>
  <c r="AA48" i="11" s="1"/>
  <c r="Z299" i="11"/>
  <c r="Z48" i="11" s="1"/>
  <c r="Z303" i="11"/>
  <c r="W258" i="11"/>
  <c r="G181" i="20" s="1"/>
  <c r="W268" i="11"/>
  <c r="W272" i="11" s="1"/>
  <c r="W277" i="11" s="1"/>
  <c r="W245" i="11"/>
  <c r="W75" i="11" s="1"/>
  <c r="AC75" i="11" s="1"/>
  <c r="AL245" i="11"/>
  <c r="AL75" i="11" s="1"/>
  <c r="AL268" i="11"/>
  <c r="AL272" i="11" s="1"/>
  <c r="AL275" i="11" s="1"/>
  <c r="AL284" i="11" s="1"/>
  <c r="AI258" i="11"/>
  <c r="G198" i="20" s="1"/>
  <c r="AI268" i="11"/>
  <c r="AI272" i="11" s="1"/>
  <c r="AI277" i="11" s="1"/>
  <c r="AI245" i="11"/>
  <c r="AI75" i="11" s="1"/>
  <c r="AI260" i="11"/>
  <c r="AP260" i="11" s="1"/>
  <c r="AI270" i="11"/>
  <c r="AI274" i="11" s="1"/>
  <c r="AI279" i="11" s="1"/>
  <c r="W261" i="11"/>
  <c r="AD261" i="11" s="1"/>
  <c r="AD63" i="11" s="1"/>
  <c r="W269" i="11"/>
  <c r="W273" i="11" s="1"/>
  <c r="W278" i="11" s="1"/>
  <c r="AI261" i="11"/>
  <c r="AP261" i="11" s="1"/>
  <c r="AP63" i="11" s="1"/>
  <c r="AI269" i="11"/>
  <c r="AO269" i="11" s="1"/>
  <c r="AL299" i="11"/>
  <c r="AL48" i="11" s="1"/>
  <c r="Y275" i="11"/>
  <c r="Y284" i="11" s="1"/>
  <c r="Y307" i="11" s="1"/>
  <c r="AM275" i="11"/>
  <c r="AM284" i="11" s="1"/>
  <c r="AM302" i="11" s="1"/>
  <c r="W270" i="11"/>
  <c r="AC270" i="11" s="1"/>
  <c r="AL303" i="11"/>
  <c r="AN280" i="11"/>
  <c r="AN282" i="11" s="1"/>
  <c r="Z275" i="11"/>
  <c r="Z284" i="11" s="1"/>
  <c r="Z307" i="11" s="1"/>
  <c r="AM303" i="11"/>
  <c r="AM280" i="11"/>
  <c r="K116" i="20" s="1"/>
  <c r="K131" i="20" s="1"/>
  <c r="AK303" i="11"/>
  <c r="AB280" i="11"/>
  <c r="AB282" i="11" s="1"/>
  <c r="AK275" i="11"/>
  <c r="AK284" i="11" s="1"/>
  <c r="AK307" i="11" s="1"/>
  <c r="AM298" i="11"/>
  <c r="AM48" i="11" s="1"/>
  <c r="AA275" i="11"/>
  <c r="AA284" i="11" s="1"/>
  <c r="AA307" i="11" s="1"/>
  <c r="AN298" i="11"/>
  <c r="AN48" i="11" s="1"/>
  <c r="K97" i="8"/>
  <c r="K54" i="8"/>
  <c r="K273" i="8" s="1"/>
  <c r="Q254" i="11"/>
  <c r="J306" i="11" s="1"/>
  <c r="P75" i="11"/>
  <c r="O260" i="11"/>
  <c r="O261" i="11"/>
  <c r="M261" i="11"/>
  <c r="M260" i="11"/>
  <c r="K48" i="11"/>
  <c r="D154" i="26" s="1"/>
  <c r="Z280" i="11"/>
  <c r="Z282" i="11" s="1"/>
  <c r="AK33" i="11"/>
  <c r="Y33" i="11"/>
  <c r="X211" i="11"/>
  <c r="AC207" i="11"/>
  <c r="AJ211" i="11"/>
  <c r="AO207" i="11"/>
  <c r="O278" i="11"/>
  <c r="O277" i="11"/>
  <c r="M201" i="11"/>
  <c r="J163" i="20" s="1"/>
  <c r="J216" i="20" s="1"/>
  <c r="O279" i="11"/>
  <c r="O258" i="11"/>
  <c r="L164" i="20" s="1"/>
  <c r="L217" i="20" s="1"/>
  <c r="N279" i="11"/>
  <c r="N280" i="11" s="1"/>
  <c r="K308" i="20"/>
  <c r="G308" i="20"/>
  <c r="I308" i="20"/>
  <c r="AL92" i="37"/>
  <c r="M277" i="11"/>
  <c r="M278" i="11"/>
  <c r="M258" i="11"/>
  <c r="J164" i="20" s="1"/>
  <c r="J217" i="20" s="1"/>
  <c r="W71" i="22"/>
  <c r="M279" i="11"/>
  <c r="M206" i="11"/>
  <c r="M207" i="11" s="1"/>
  <c r="M197" i="11"/>
  <c r="M74" i="11" s="1"/>
  <c r="N205" i="11"/>
  <c r="N214" i="11" s="1"/>
  <c r="N199" i="11" s="1"/>
  <c r="AB93" i="37"/>
  <c r="AC93" i="37" s="1"/>
  <c r="AD93" i="37" s="1"/>
  <c r="AN92" i="37"/>
  <c r="AI93" i="37"/>
  <c r="AJ93" i="37" s="1"/>
  <c r="AK93" i="37" s="1"/>
  <c r="AA94" i="37"/>
  <c r="AB94" i="37" s="1"/>
  <c r="AC94" i="37" s="1"/>
  <c r="Y94" i="37"/>
  <c r="AF94" i="37"/>
  <c r="AH94" i="37"/>
  <c r="AG94" i="37"/>
  <c r="W96" i="37"/>
  <c r="AE95" i="37"/>
  <c r="AO96" i="37" s="1"/>
  <c r="V95" i="37"/>
  <c r="X95" i="37"/>
  <c r="K232" i="11"/>
  <c r="K227" i="11"/>
  <c r="O303" i="11"/>
  <c r="L279" i="11"/>
  <c r="L280" i="11" s="1"/>
  <c r="L299" i="11"/>
  <c r="P274" i="11"/>
  <c r="J299" i="11"/>
  <c r="N298" i="11"/>
  <c r="N48" i="11" s="1"/>
  <c r="G154" i="26" s="1"/>
  <c r="N303" i="11"/>
  <c r="M298" i="11"/>
  <c r="M48" i="11" s="1"/>
  <c r="F154" i="26" s="1"/>
  <c r="M303" i="11"/>
  <c r="P273" i="11"/>
  <c r="J298" i="11"/>
  <c r="J303" i="11"/>
  <c r="L298" i="11"/>
  <c r="O298" i="11"/>
  <c r="O48" i="11" s="1"/>
  <c r="H154" i="26" s="1"/>
  <c r="P270" i="11"/>
  <c r="J275" i="11"/>
  <c r="J284" i="11" s="1"/>
  <c r="J302" i="11" s="1"/>
  <c r="L303" i="11"/>
  <c r="P269" i="11"/>
  <c r="K280" i="11"/>
  <c r="O275" i="11"/>
  <c r="O284" i="11" s="1"/>
  <c r="N275" i="11"/>
  <c r="N284" i="11" s="1"/>
  <c r="M275" i="11"/>
  <c r="M284" i="11" s="1"/>
  <c r="P268" i="11"/>
  <c r="P272" i="11"/>
  <c r="L275" i="11"/>
  <c r="L284" i="11" s="1"/>
  <c r="J280" i="11"/>
  <c r="J282" i="11" s="1"/>
  <c r="J82" i="11" s="1"/>
  <c r="L211" i="11"/>
  <c r="L227" i="11" s="1"/>
  <c r="K307" i="11"/>
  <c r="K302" i="11"/>
  <c r="J190" i="20" l="1"/>
  <c r="Z82" i="11"/>
  <c r="I207" i="20"/>
  <c r="AK82" i="11"/>
  <c r="I190" i="20"/>
  <c r="Y82" i="11"/>
  <c r="L190" i="20"/>
  <c r="AB82" i="11"/>
  <c r="L207" i="20"/>
  <c r="AN82" i="11"/>
  <c r="Y48" i="11"/>
  <c r="AN307" i="11"/>
  <c r="AA282" i="11"/>
  <c r="AL277" i="11"/>
  <c r="AL280" i="11" s="1"/>
  <c r="J116" i="20" s="1"/>
  <c r="J131" i="20" s="1"/>
  <c r="AB307" i="11"/>
  <c r="AK48" i="11"/>
  <c r="AM307" i="11"/>
  <c r="I111" i="20"/>
  <c r="I126" i="20" s="1"/>
  <c r="AO270" i="11"/>
  <c r="AC268" i="11"/>
  <c r="W274" i="11"/>
  <c r="W279" i="11" s="1"/>
  <c r="W280" i="11" s="1"/>
  <c r="G111" i="20" s="1"/>
  <c r="G126" i="20" s="1"/>
  <c r="AM282" i="11"/>
  <c r="L111" i="20"/>
  <c r="L126" i="20" s="1"/>
  <c r="AK302" i="11"/>
  <c r="AK34" i="11" s="1"/>
  <c r="AC269" i="11"/>
  <c r="AA302" i="11"/>
  <c r="I116" i="20"/>
  <c r="I131" i="20" s="1"/>
  <c r="AO75" i="11"/>
  <c r="AO268" i="11"/>
  <c r="L116" i="20"/>
  <c r="L131" i="20" s="1"/>
  <c r="AI273" i="11"/>
  <c r="AI278" i="11" s="1"/>
  <c r="AI280" i="11" s="1"/>
  <c r="Z302" i="11"/>
  <c r="Z34" i="11" s="1"/>
  <c r="Y302" i="11"/>
  <c r="Y34" i="11" s="1"/>
  <c r="K48" i="8"/>
  <c r="K206" i="8" s="1"/>
  <c r="G173" i="20"/>
  <c r="G315" i="20" s="1"/>
  <c r="Q261" i="11"/>
  <c r="Q63" i="11" s="1"/>
  <c r="F113" i="22" s="1"/>
  <c r="Q113" i="22" s="1"/>
  <c r="Q260" i="11"/>
  <c r="P299" i="11"/>
  <c r="P298" i="11"/>
  <c r="P303" i="11"/>
  <c r="J48" i="11"/>
  <c r="C154" i="26" s="1"/>
  <c r="L48" i="11"/>
  <c r="E154" i="26" s="1"/>
  <c r="AL33" i="11"/>
  <c r="J111" i="20"/>
  <c r="J126" i="20" s="1"/>
  <c r="D217" i="20"/>
  <c r="Z33" i="11"/>
  <c r="AL307" i="11"/>
  <c r="AL302" i="11"/>
  <c r="AO274" i="11"/>
  <c r="AI299" i="11"/>
  <c r="AO299" i="11" s="1"/>
  <c r="AC273" i="11"/>
  <c r="W298" i="11"/>
  <c r="AJ227" i="11"/>
  <c r="AO227" i="11" s="1"/>
  <c r="AO211" i="11"/>
  <c r="AJ232" i="11"/>
  <c r="AO232" i="11" s="1"/>
  <c r="X227" i="11"/>
  <c r="AC227" i="11" s="1"/>
  <c r="X232" i="11"/>
  <c r="AC232" i="11" s="1"/>
  <c r="AC211" i="11"/>
  <c r="AO272" i="11"/>
  <c r="AC272" i="11"/>
  <c r="O280" i="11"/>
  <c r="O282" i="11" s="1"/>
  <c r="N201" i="11"/>
  <c r="K163" i="20" s="1"/>
  <c r="K216" i="20" s="1"/>
  <c r="J307" i="20"/>
  <c r="L308" i="20"/>
  <c r="J308" i="20"/>
  <c r="M280" i="11"/>
  <c r="M282" i="11" s="1"/>
  <c r="AL93" i="37"/>
  <c r="N206" i="11"/>
  <c r="N207" i="11" s="1"/>
  <c r="N197" i="11"/>
  <c r="N74" i="11" s="1"/>
  <c r="O205" i="11"/>
  <c r="P205" i="11" s="1"/>
  <c r="K33" i="11"/>
  <c r="AI94" i="37"/>
  <c r="AJ94" i="37" s="1"/>
  <c r="AK94" i="37" s="1"/>
  <c r="AN93" i="37"/>
  <c r="AF95" i="37"/>
  <c r="AH95" i="37"/>
  <c r="AG95" i="37"/>
  <c r="AA95" i="37"/>
  <c r="Y95" i="37"/>
  <c r="AD94" i="37"/>
  <c r="Z95" i="37"/>
  <c r="W97" i="37"/>
  <c r="AE96" i="37"/>
  <c r="AO97" i="37" s="1"/>
  <c r="V96" i="37"/>
  <c r="X96" i="37"/>
  <c r="I106" i="20"/>
  <c r="I121" i="20" s="1"/>
  <c r="L282" i="11"/>
  <c r="K106" i="20"/>
  <c r="K121" i="20" s="1"/>
  <c r="N282" i="11"/>
  <c r="H106" i="20"/>
  <c r="H121" i="20" s="1"/>
  <c r="K282" i="11"/>
  <c r="P275" i="11"/>
  <c r="G106" i="20"/>
  <c r="G121" i="20" s="1"/>
  <c r="M211" i="11"/>
  <c r="J307" i="11"/>
  <c r="L232" i="11"/>
  <c r="K34" i="11"/>
  <c r="L307" i="11"/>
  <c r="L302" i="11"/>
  <c r="K173" i="20" l="1"/>
  <c r="K226" i="20" s="1"/>
  <c r="K233" i="20" s="1"/>
  <c r="N82" i="11"/>
  <c r="H173" i="20"/>
  <c r="H226" i="20" s="1"/>
  <c r="H233" i="20" s="1"/>
  <c r="K82" i="11"/>
  <c r="I173" i="20"/>
  <c r="I226" i="20" s="1"/>
  <c r="I233" i="20" s="1"/>
  <c r="L82" i="11"/>
  <c r="J173" i="20"/>
  <c r="J315" i="20" s="1"/>
  <c r="M82" i="11"/>
  <c r="K207" i="20"/>
  <c r="AM82" i="11"/>
  <c r="L173" i="20"/>
  <c r="L315" i="20" s="1"/>
  <c r="O82" i="11"/>
  <c r="K190" i="20"/>
  <c r="AA82" i="11"/>
  <c r="AL282" i="11"/>
  <c r="I154" i="26"/>
  <c r="W275" i="11"/>
  <c r="AC275" i="11" s="1"/>
  <c r="W299" i="11"/>
  <c r="AC299" i="11" s="1"/>
  <c r="AC274" i="11"/>
  <c r="AC280" i="11"/>
  <c r="W282" i="11"/>
  <c r="W303" i="11"/>
  <c r="AC303" i="11" s="1"/>
  <c r="AI303" i="11"/>
  <c r="AO303" i="11" s="1"/>
  <c r="AO273" i="11"/>
  <c r="AI275" i="11"/>
  <c r="AI284" i="11" s="1"/>
  <c r="AD280" i="11"/>
  <c r="G116" i="20"/>
  <c r="G131" i="20" s="1"/>
  <c r="AI282" i="11"/>
  <c r="AO280" i="11"/>
  <c r="AP280" i="11"/>
  <c r="G301" i="20"/>
  <c r="AI298" i="11"/>
  <c r="AI48" i="11" s="1"/>
  <c r="AC298" i="11"/>
  <c r="P48" i="11"/>
  <c r="AA33" i="11"/>
  <c r="AL34" i="11"/>
  <c r="AM33" i="11"/>
  <c r="AI95" i="37"/>
  <c r="AJ95" i="37" s="1"/>
  <c r="AK95" i="37" s="1"/>
  <c r="X33" i="11"/>
  <c r="AJ33" i="11"/>
  <c r="P310" i="11"/>
  <c r="AC310" i="11"/>
  <c r="AO310" i="11"/>
  <c r="P235" i="11"/>
  <c r="AO235" i="11"/>
  <c r="AC235" i="11"/>
  <c r="P218" i="11"/>
  <c r="AC218" i="11"/>
  <c r="AO218" i="11"/>
  <c r="AA34" i="11"/>
  <c r="AM34" i="11"/>
  <c r="L106" i="20"/>
  <c r="L121" i="20" s="1"/>
  <c r="K307" i="20"/>
  <c r="J300" i="20"/>
  <c r="L301" i="20"/>
  <c r="K315" i="20"/>
  <c r="K301" i="20"/>
  <c r="I315" i="20"/>
  <c r="I301" i="20"/>
  <c r="H301" i="20"/>
  <c r="D315" i="20"/>
  <c r="J301" i="20"/>
  <c r="J106" i="20"/>
  <c r="J121" i="20" s="1"/>
  <c r="Q280" i="11"/>
  <c r="P280" i="11"/>
  <c r="N211" i="11"/>
  <c r="AL94" i="37"/>
  <c r="O214" i="11"/>
  <c r="O199" i="11" s="1"/>
  <c r="O197" i="11" s="1"/>
  <c r="O74" i="11" s="1"/>
  <c r="P74" i="11" s="1"/>
  <c r="AB95" i="37"/>
  <c r="AC95" i="37" s="1"/>
  <c r="AD95" i="37" s="1"/>
  <c r="AN94" i="37"/>
  <c r="AA96" i="37"/>
  <c r="Y96" i="37"/>
  <c r="Z96" i="37"/>
  <c r="AF96" i="37"/>
  <c r="AH96" i="37"/>
  <c r="AG96" i="37"/>
  <c r="W98" i="37"/>
  <c r="AE97" i="37"/>
  <c r="AO98" i="37" s="1"/>
  <c r="V97" i="37"/>
  <c r="X97" i="37"/>
  <c r="M227" i="11"/>
  <c r="M232" i="11"/>
  <c r="J34" i="11"/>
  <c r="L33" i="11"/>
  <c r="L34" i="11"/>
  <c r="P306" i="11"/>
  <c r="M307" i="11"/>
  <c r="M302" i="11"/>
  <c r="L226" i="20" l="1"/>
  <c r="L233" i="20" s="1"/>
  <c r="H315" i="20"/>
  <c r="J226" i="20"/>
  <c r="J233" i="20" s="1"/>
  <c r="G207" i="20"/>
  <c r="AI82" i="11"/>
  <c r="J207" i="20"/>
  <c r="AL82" i="11"/>
  <c r="AC282" i="11"/>
  <c r="W82" i="11"/>
  <c r="W284" i="11"/>
  <c r="AC284" i="11" s="1"/>
  <c r="AO282" i="11"/>
  <c r="W48" i="11"/>
  <c r="AC48" i="11"/>
  <c r="G190" i="20"/>
  <c r="D190" i="20" s="1"/>
  <c r="AO275" i="11"/>
  <c r="AO298" i="11"/>
  <c r="AO48" i="11" s="1"/>
  <c r="G226" i="20"/>
  <c r="G233" i="20" s="1"/>
  <c r="AO284" i="11"/>
  <c r="AI307" i="11"/>
  <c r="AO307" i="11" s="1"/>
  <c r="AI302" i="11"/>
  <c r="AO302" i="11" s="1"/>
  <c r="AN33" i="11"/>
  <c r="AB33" i="11"/>
  <c r="K300" i="20"/>
  <c r="N227" i="11"/>
  <c r="N232" i="11"/>
  <c r="O206" i="11"/>
  <c r="Q206" i="11" s="1"/>
  <c r="AL95" i="37"/>
  <c r="AI96" i="37"/>
  <c r="AJ96" i="37" s="1"/>
  <c r="AK96" i="37" s="1"/>
  <c r="AN95" i="37"/>
  <c r="AB96" i="37"/>
  <c r="AC96" i="37" s="1"/>
  <c r="AD96" i="37" s="1"/>
  <c r="AA97" i="37"/>
  <c r="Y97" i="37"/>
  <c r="Z97" i="37"/>
  <c r="AH97" i="37"/>
  <c r="AG97" i="37"/>
  <c r="AF97" i="37"/>
  <c r="W99" i="37"/>
  <c r="AE98" i="37"/>
  <c r="AO99" i="37" s="1"/>
  <c r="V98" i="37"/>
  <c r="X98" i="37"/>
  <c r="M33" i="11"/>
  <c r="P282" i="11"/>
  <c r="M34" i="11"/>
  <c r="P293" i="11"/>
  <c r="N307" i="11"/>
  <c r="N302" i="11"/>
  <c r="D207" i="20" l="1"/>
  <c r="W302" i="11"/>
  <c r="AC302" i="11" s="1"/>
  <c r="W307" i="11"/>
  <c r="AC307" i="11" s="1"/>
  <c r="AN34" i="11"/>
  <c r="AO293" i="11"/>
  <c r="AB34" i="11"/>
  <c r="AC293" i="11"/>
  <c r="D233" i="20"/>
  <c r="D226" i="20"/>
  <c r="AI34" i="11"/>
  <c r="AL96" i="37"/>
  <c r="N33" i="11"/>
  <c r="O207" i="11"/>
  <c r="O211" i="11" s="1"/>
  <c r="O227" i="11" s="1"/>
  <c r="P227" i="11" s="1"/>
  <c r="P206" i="11"/>
  <c r="AI97" i="37"/>
  <c r="AJ97" i="37" s="1"/>
  <c r="AK97" i="37" s="1"/>
  <c r="AB97" i="37"/>
  <c r="AC97" i="37" s="1"/>
  <c r="AD97" i="37" s="1"/>
  <c r="AN96" i="37"/>
  <c r="AA98" i="37"/>
  <c r="Y98" i="37"/>
  <c r="Z98" i="37"/>
  <c r="AF98" i="37"/>
  <c r="AH98" i="37"/>
  <c r="AG98" i="37"/>
  <c r="W100" i="37"/>
  <c r="AE99" i="37"/>
  <c r="AO100" i="37" s="1"/>
  <c r="V99" i="37"/>
  <c r="X99" i="37"/>
  <c r="P284" i="11"/>
  <c r="N34" i="11"/>
  <c r="O307" i="11"/>
  <c r="P307" i="11" s="1"/>
  <c r="O302" i="11"/>
  <c r="W34" i="11" l="1"/>
  <c r="AC34" i="11" s="1"/>
  <c r="AO34" i="11"/>
  <c r="AI98" i="37"/>
  <c r="AJ98" i="37" s="1"/>
  <c r="AK98" i="37" s="1"/>
  <c r="O232" i="11"/>
  <c r="P232" i="11" s="1"/>
  <c r="P207" i="11"/>
  <c r="P211" i="11"/>
  <c r="AL97" i="37"/>
  <c r="AN97" i="37"/>
  <c r="AB98" i="37"/>
  <c r="AC98" i="37" s="1"/>
  <c r="AD98" i="37" s="1"/>
  <c r="AA99" i="37"/>
  <c r="Y99" i="37"/>
  <c r="Z99" i="37"/>
  <c r="AB99" i="37" s="1"/>
  <c r="AC99" i="37" s="1"/>
  <c r="W101" i="37"/>
  <c r="AE100" i="37"/>
  <c r="AO101" i="37" s="1"/>
  <c r="V100" i="37"/>
  <c r="X100" i="37"/>
  <c r="AF99" i="37"/>
  <c r="AH99" i="37"/>
  <c r="AG99" i="37"/>
  <c r="O34" i="11"/>
  <c r="P34" i="11" s="1"/>
  <c r="P302" i="11"/>
  <c r="D312" i="20" l="1"/>
  <c r="AL98" i="37"/>
  <c r="O33" i="11"/>
  <c r="AN98" i="37"/>
  <c r="AI99" i="37"/>
  <c r="AJ99" i="37" s="1"/>
  <c r="AK99" i="37" s="1"/>
  <c r="AF100" i="37"/>
  <c r="AH100" i="37"/>
  <c r="AG100" i="37"/>
  <c r="AA100" i="37"/>
  <c r="Y100" i="37"/>
  <c r="Z100" i="37"/>
  <c r="W102" i="37"/>
  <c r="AE101" i="37"/>
  <c r="AO102" i="37" s="1"/>
  <c r="V101" i="37"/>
  <c r="X101" i="37"/>
  <c r="AD99" i="37"/>
  <c r="AI100" i="37" l="1"/>
  <c r="AJ100" i="37" s="1"/>
  <c r="AK100" i="37" s="1"/>
  <c r="AB100" i="37"/>
  <c r="AC100" i="37" s="1"/>
  <c r="AD100" i="37" s="1"/>
  <c r="AL99" i="37"/>
  <c r="AN99" i="37"/>
  <c r="AF101" i="37"/>
  <c r="AH101" i="37"/>
  <c r="AG101" i="37"/>
  <c r="W103" i="37"/>
  <c r="AE102" i="37"/>
  <c r="AO103" i="37" s="1"/>
  <c r="V102" i="37"/>
  <c r="X102" i="37"/>
  <c r="AA101" i="37"/>
  <c r="Y101" i="37"/>
  <c r="Z101" i="37"/>
  <c r="AI101" i="37" l="1"/>
  <c r="AJ101" i="37" s="1"/>
  <c r="AK101" i="37" s="1"/>
  <c r="D314" i="20"/>
  <c r="AL100" i="37"/>
  <c r="AN100" i="37"/>
  <c r="AA102" i="37"/>
  <c r="Y102" i="37"/>
  <c r="Z102" i="37"/>
  <c r="AF102" i="37"/>
  <c r="AH102" i="37"/>
  <c r="AG102" i="37"/>
  <c r="W104" i="37"/>
  <c r="AE103" i="37"/>
  <c r="AO104" i="37" s="1"/>
  <c r="X103" i="37"/>
  <c r="V103" i="37"/>
  <c r="AB101" i="37"/>
  <c r="AC101" i="37" s="1"/>
  <c r="AD101" i="37" s="1"/>
  <c r="Z103" i="37" l="1"/>
  <c r="AI102" i="37"/>
  <c r="AJ102" i="37" s="1"/>
  <c r="AK102" i="37" s="1"/>
  <c r="AL101" i="37"/>
  <c r="AB102" i="37"/>
  <c r="AC102" i="37" s="1"/>
  <c r="AD102" i="37" s="1"/>
  <c r="AN101" i="37"/>
  <c r="AH103" i="37"/>
  <c r="AG103" i="37"/>
  <c r="AF103" i="37"/>
  <c r="W105" i="37"/>
  <c r="AE104" i="37"/>
  <c r="AO105" i="37" s="1"/>
  <c r="V104" i="37"/>
  <c r="X104" i="37"/>
  <c r="AA103" i="37"/>
  <c r="Y103" i="37"/>
  <c r="AB103" i="37" l="1"/>
  <c r="AC103" i="37" s="1"/>
  <c r="AD103" i="37" s="1"/>
  <c r="AI103" i="37"/>
  <c r="AJ103" i="37" s="1"/>
  <c r="AK103" i="37" s="1"/>
  <c r="AL102" i="37"/>
  <c r="AN102" i="37"/>
  <c r="AF104" i="37"/>
  <c r="AH104" i="37"/>
  <c r="AG104" i="37"/>
  <c r="AI104" i="37" s="1"/>
  <c r="AJ104" i="37" s="1"/>
  <c r="AA104" i="37"/>
  <c r="Y104" i="37"/>
  <c r="Z104" i="37"/>
  <c r="W106" i="37"/>
  <c r="AE105" i="37"/>
  <c r="AO106" i="37" s="1"/>
  <c r="V105" i="37"/>
  <c r="X105" i="37"/>
  <c r="AB104" i="37" l="1"/>
  <c r="AC104" i="37" s="1"/>
  <c r="AD104" i="37" s="1"/>
  <c r="D313" i="20"/>
  <c r="AL103" i="37"/>
  <c r="AN103" i="37"/>
  <c r="W107" i="37"/>
  <c r="AE106" i="37"/>
  <c r="AO107" i="37" s="1"/>
  <c r="V106" i="37"/>
  <c r="X106" i="37"/>
  <c r="AA105" i="37"/>
  <c r="Y105" i="37"/>
  <c r="Z105" i="37"/>
  <c r="AH105" i="37"/>
  <c r="AG105" i="37"/>
  <c r="AI105" i="37" s="1"/>
  <c r="AJ105" i="37" s="1"/>
  <c r="AF105" i="37"/>
  <c r="AK104" i="37"/>
  <c r="AL104" i="37" l="1"/>
  <c r="D316" i="20"/>
  <c r="AB105" i="37"/>
  <c r="AC105" i="37" s="1"/>
  <c r="AD105" i="37" s="1"/>
  <c r="AN104" i="37"/>
  <c r="AK105" i="37"/>
  <c r="AA106" i="37"/>
  <c r="Y106" i="37"/>
  <c r="Z106" i="37"/>
  <c r="AH106" i="37"/>
  <c r="AF106" i="37"/>
  <c r="AG106" i="37"/>
  <c r="W108" i="37"/>
  <c r="AE107" i="37"/>
  <c r="AO108" i="37" s="1"/>
  <c r="V107" i="37"/>
  <c r="X107" i="37"/>
  <c r="AL105" i="37" l="1"/>
  <c r="AI106" i="37"/>
  <c r="AJ106" i="37" s="1"/>
  <c r="AK106" i="37" s="1"/>
  <c r="AN105" i="37"/>
  <c r="AB106" i="37"/>
  <c r="AC106" i="37" s="1"/>
  <c r="AD106" i="37" s="1"/>
  <c r="W109" i="37"/>
  <c r="AE108" i="37"/>
  <c r="AO109" i="37" s="1"/>
  <c r="V108" i="37"/>
  <c r="X108" i="37"/>
  <c r="AA107" i="37"/>
  <c r="Y107" i="37"/>
  <c r="Z107" i="37"/>
  <c r="AF107" i="37"/>
  <c r="AH107" i="37"/>
  <c r="AG107" i="37"/>
  <c r="AL106" i="37" l="1"/>
  <c r="AN106" i="37"/>
  <c r="AI107" i="37"/>
  <c r="AJ107" i="37" s="1"/>
  <c r="AK107" i="37" s="1"/>
  <c r="AH108" i="37"/>
  <c r="AG108" i="37"/>
  <c r="AF108" i="37"/>
  <c r="AA108" i="37"/>
  <c r="Y108" i="37"/>
  <c r="Z108" i="37"/>
  <c r="AB107" i="37"/>
  <c r="AC107" i="37" s="1"/>
  <c r="AD107" i="37" s="1"/>
  <c r="W110" i="37"/>
  <c r="AE109" i="37"/>
  <c r="AO110" i="37" s="1"/>
  <c r="V109" i="37"/>
  <c r="X109" i="37"/>
  <c r="AI108" i="37" l="1"/>
  <c r="AJ108" i="37" s="1"/>
  <c r="AK108" i="37" s="1"/>
  <c r="AL107" i="37"/>
  <c r="AB108" i="37"/>
  <c r="AC108" i="37" s="1"/>
  <c r="AD108" i="37" s="1"/>
  <c r="AN107" i="37"/>
  <c r="W111" i="37"/>
  <c r="AE110" i="37"/>
  <c r="AO111" i="37" s="1"/>
  <c r="V110" i="37"/>
  <c r="X110" i="37"/>
  <c r="AA109" i="37"/>
  <c r="Y109" i="37"/>
  <c r="Z109" i="37"/>
  <c r="AB109" i="37" s="1"/>
  <c r="AC109" i="37" s="1"/>
  <c r="AF109" i="37"/>
  <c r="AH109" i="37"/>
  <c r="AG109" i="37"/>
  <c r="AI109" i="37" s="1"/>
  <c r="AJ109" i="37" s="1"/>
  <c r="AL108" i="37" l="1"/>
  <c r="AN108" i="37"/>
  <c r="AA110" i="37"/>
  <c r="Y110" i="37"/>
  <c r="AD109" i="37"/>
  <c r="Z110" i="37"/>
  <c r="AB110" i="37" s="1"/>
  <c r="AC110" i="37" s="1"/>
  <c r="AF110" i="37"/>
  <c r="AH110" i="37"/>
  <c r="AG110" i="37"/>
  <c r="AK109" i="37"/>
  <c r="W112" i="37"/>
  <c r="AE111" i="37"/>
  <c r="AO112" i="37" s="1"/>
  <c r="V111" i="37"/>
  <c r="X111" i="37"/>
  <c r="AI110" i="37" l="1"/>
  <c r="AJ110" i="37" s="1"/>
  <c r="AK110" i="37" s="1"/>
  <c r="AL109" i="37"/>
  <c r="AN109" i="37"/>
  <c r="AA111" i="37"/>
  <c r="Y111" i="37"/>
  <c r="Z111" i="37"/>
  <c r="AB111" i="37" s="1"/>
  <c r="AC111" i="37" s="1"/>
  <c r="AH111" i="37"/>
  <c r="AG111" i="37"/>
  <c r="AF111" i="37"/>
  <c r="AD110" i="37"/>
  <c r="W113" i="37"/>
  <c r="AE112" i="37"/>
  <c r="AO113" i="37" s="1"/>
  <c r="V112" i="37"/>
  <c r="X112" i="37"/>
  <c r="AI111" i="37" l="1"/>
  <c r="AJ111" i="37" s="1"/>
  <c r="AK111" i="37" s="1"/>
  <c r="AL110" i="37"/>
  <c r="AN110" i="37"/>
  <c r="AA112" i="37"/>
  <c r="Y112" i="37"/>
  <c r="Z112" i="37"/>
  <c r="AH112" i="37"/>
  <c r="AG112" i="37"/>
  <c r="AF112" i="37"/>
  <c r="AD111" i="37"/>
  <c r="W114" i="37"/>
  <c r="AE113" i="37"/>
  <c r="AO114" i="37" s="1"/>
  <c r="V113" i="37"/>
  <c r="X113" i="37"/>
  <c r="AI112" i="37" l="1"/>
  <c r="AJ112" i="37" s="1"/>
  <c r="AK112" i="37" s="1"/>
  <c r="AL111" i="37"/>
  <c r="AN111" i="37"/>
  <c r="AB112" i="37"/>
  <c r="AC112" i="37" s="1"/>
  <c r="AD112" i="37" s="1"/>
  <c r="W115" i="37"/>
  <c r="AE114" i="37"/>
  <c r="AO115" i="37" s="1"/>
  <c r="V114" i="37"/>
  <c r="X114" i="37"/>
  <c r="AA113" i="37"/>
  <c r="Y113" i="37"/>
  <c r="Z113" i="37"/>
  <c r="AF113" i="37"/>
  <c r="AH113" i="37"/>
  <c r="AG113" i="37"/>
  <c r="AI113" i="37" l="1"/>
  <c r="AJ113" i="37" s="1"/>
  <c r="AK113" i="37" s="1"/>
  <c r="AL112" i="37"/>
  <c r="AN112" i="37"/>
  <c r="AA114" i="37"/>
  <c r="Y114" i="37"/>
  <c r="Z114" i="37"/>
  <c r="AB114" i="37" s="1"/>
  <c r="AC114" i="37" s="1"/>
  <c r="AH114" i="37"/>
  <c r="AG114" i="37"/>
  <c r="AF114" i="37"/>
  <c r="AB113" i="37"/>
  <c r="AC113" i="37" s="1"/>
  <c r="AD113" i="37" s="1"/>
  <c r="W116" i="37"/>
  <c r="AE115" i="37"/>
  <c r="AO116" i="37" s="1"/>
  <c r="X115" i="37"/>
  <c r="V115" i="37"/>
  <c r="Z115" i="37" s="1"/>
  <c r="AL113" i="37" l="1"/>
  <c r="AN113" i="37"/>
  <c r="AI114" i="37"/>
  <c r="AJ114" i="37" s="1"/>
  <c r="AK114" i="37" s="1"/>
  <c r="AA115" i="37"/>
  <c r="AB115" i="37" s="1"/>
  <c r="AC115" i="37" s="1"/>
  <c r="Y115" i="37"/>
  <c r="AF115" i="37"/>
  <c r="AH115" i="37"/>
  <c r="AG115" i="37"/>
  <c r="AI115" i="37" s="1"/>
  <c r="AJ115" i="37" s="1"/>
  <c r="AD114" i="37"/>
  <c r="AE116" i="37"/>
  <c r="AO117" i="37" s="1"/>
  <c r="W117" i="37"/>
  <c r="V116" i="37"/>
  <c r="X116" i="37"/>
  <c r="AL114" i="37" l="1"/>
  <c r="AN114" i="37"/>
  <c r="AK115" i="37"/>
  <c r="Z116" i="37"/>
  <c r="AF116" i="37"/>
  <c r="AH116" i="37"/>
  <c r="AG116" i="37"/>
  <c r="AI116" i="37" s="1"/>
  <c r="AJ116" i="37" s="1"/>
  <c r="AA116" i="37"/>
  <c r="Y116" i="37"/>
  <c r="AD115" i="37"/>
  <c r="X117" i="37"/>
  <c r="V117" i="37"/>
  <c r="AE117" i="37"/>
  <c r="AO118" i="37" s="1"/>
  <c r="W118" i="37"/>
  <c r="AL115" i="37" l="1"/>
  <c r="AN115" i="37"/>
  <c r="AF117" i="37"/>
  <c r="AH117" i="37"/>
  <c r="AG117" i="37"/>
  <c r="AI117" i="37" s="1"/>
  <c r="AJ117" i="37" s="1"/>
  <c r="AK116" i="37"/>
  <c r="Z117" i="37"/>
  <c r="AB116" i="37"/>
  <c r="AC116" i="37" s="1"/>
  <c r="AD116" i="37" s="1"/>
  <c r="X118" i="37"/>
  <c r="W119" i="37"/>
  <c r="AE118" i="37"/>
  <c r="AO119" i="37" s="1"/>
  <c r="V118" i="37"/>
  <c r="Y117" i="37"/>
  <c r="AA117" i="37"/>
  <c r="AL116" i="37" l="1"/>
  <c r="AN116" i="37"/>
  <c r="AB117" i="37"/>
  <c r="AC117" i="37" s="1"/>
  <c r="AD117" i="37" s="1"/>
  <c r="AA118" i="37"/>
  <c r="Y118" i="37"/>
  <c r="Z118" i="37"/>
  <c r="AK117" i="37"/>
  <c r="AF118" i="37"/>
  <c r="AG118" i="37"/>
  <c r="AH118" i="37"/>
  <c r="X119" i="37"/>
  <c r="W120" i="37"/>
  <c r="AE119" i="37"/>
  <c r="AO120" i="37" s="1"/>
  <c r="V119" i="37"/>
  <c r="AL117" i="37" l="1"/>
  <c r="AN117" i="37"/>
  <c r="AA119" i="37"/>
  <c r="Y119" i="37"/>
  <c r="AI118" i="37"/>
  <c r="AJ118" i="37" s="1"/>
  <c r="AK118" i="37" s="1"/>
  <c r="Z119" i="37"/>
  <c r="AB119" i="37" s="1"/>
  <c r="AC119" i="37" s="1"/>
  <c r="AF119" i="37"/>
  <c r="AH119" i="37"/>
  <c r="AG119" i="37"/>
  <c r="AB118" i="37"/>
  <c r="AC118" i="37" s="1"/>
  <c r="AD118" i="37" s="1"/>
  <c r="X120" i="37"/>
  <c r="W121" i="37"/>
  <c r="AE120" i="37"/>
  <c r="AO121" i="37" s="1"/>
  <c r="V120" i="37"/>
  <c r="Z120" i="37" s="1"/>
  <c r="AL118" i="37" l="1"/>
  <c r="AI119" i="37"/>
  <c r="AJ119" i="37" s="1"/>
  <c r="AK119" i="37" s="1"/>
  <c r="AN118" i="37"/>
  <c r="AF120" i="37"/>
  <c r="AH120" i="37"/>
  <c r="AG120" i="37"/>
  <c r="X121" i="37"/>
  <c r="W122" i="37"/>
  <c r="AE121" i="37"/>
  <c r="AO122" i="37" s="1"/>
  <c r="V121" i="37"/>
  <c r="AD119" i="37"/>
  <c r="AA120" i="37"/>
  <c r="AB120" i="37" s="1"/>
  <c r="AC120" i="37" s="1"/>
  <c r="Y120" i="37"/>
  <c r="AL119" i="37" l="1"/>
  <c r="Z121" i="37"/>
  <c r="AI120" i="37"/>
  <c r="AJ120" i="37" s="1"/>
  <c r="AK120" i="37" s="1"/>
  <c r="AN119" i="37"/>
  <c r="AF121" i="37"/>
  <c r="AH121" i="37"/>
  <c r="AG121" i="37"/>
  <c r="AI121" i="37" s="1"/>
  <c r="AJ121" i="37" s="1"/>
  <c r="X122" i="37"/>
  <c r="W123" i="37"/>
  <c r="AE122" i="37"/>
  <c r="AO123" i="37" s="1"/>
  <c r="V122" i="37"/>
  <c r="AD120" i="37"/>
  <c r="AA121" i="37"/>
  <c r="AB121" i="37" s="1"/>
  <c r="AC121" i="37" s="1"/>
  <c r="Y121" i="37"/>
  <c r="AL120" i="37" l="1"/>
  <c r="Z122" i="37"/>
  <c r="AN120" i="37"/>
  <c r="AF122" i="37"/>
  <c r="AH122" i="37"/>
  <c r="AG122" i="37"/>
  <c r="AI122" i="37" s="1"/>
  <c r="AJ122" i="37" s="1"/>
  <c r="X123" i="37"/>
  <c r="W124" i="37"/>
  <c r="AE123" i="37"/>
  <c r="AO124" i="37" s="1"/>
  <c r="V123" i="37"/>
  <c r="AA122" i="37"/>
  <c r="AB122" i="37" s="1"/>
  <c r="AC122" i="37" s="1"/>
  <c r="Y122" i="37"/>
  <c r="AD121" i="37"/>
  <c r="AK121" i="37"/>
  <c r="AL121" i="37" l="1"/>
  <c r="Z123" i="37"/>
  <c r="AN121" i="37"/>
  <c r="AF123" i="37"/>
  <c r="AH123" i="37"/>
  <c r="AG123" i="37"/>
  <c r="AI123" i="37" s="1"/>
  <c r="AJ123" i="37" s="1"/>
  <c r="X124" i="37"/>
  <c r="W125" i="37"/>
  <c r="AE124" i="37"/>
  <c r="AO125" i="37" s="1"/>
  <c r="V124" i="37"/>
  <c r="AA123" i="37"/>
  <c r="AB123" i="37" s="1"/>
  <c r="AC123" i="37" s="1"/>
  <c r="Y123" i="37"/>
  <c r="AD122" i="37"/>
  <c r="AK122" i="37"/>
  <c r="AL122" i="37" l="1"/>
  <c r="Z124" i="37"/>
  <c r="AN122" i="37"/>
  <c r="AA124" i="37"/>
  <c r="Y124" i="37"/>
  <c r="AF124" i="37"/>
  <c r="AH124" i="37"/>
  <c r="AG124" i="37"/>
  <c r="X125" i="37"/>
  <c r="W126" i="37"/>
  <c r="AE125" i="37"/>
  <c r="AO126" i="37" s="1"/>
  <c r="V125" i="37"/>
  <c r="AD123" i="37"/>
  <c r="AK123" i="37"/>
  <c r="AL123" i="37" l="1"/>
  <c r="AB124" i="37"/>
  <c r="AC124" i="37" s="1"/>
  <c r="AD124" i="37" s="1"/>
  <c r="AI124" i="37"/>
  <c r="AJ124" i="37" s="1"/>
  <c r="AK124" i="37" s="1"/>
  <c r="AN123" i="37"/>
  <c r="X126" i="37"/>
  <c r="W127" i="37"/>
  <c r="AE126" i="37"/>
  <c r="AO127" i="37" s="1"/>
  <c r="V126" i="37"/>
  <c r="AA125" i="37"/>
  <c r="Y125" i="37"/>
  <c r="Z125" i="37"/>
  <c r="AF125" i="37"/>
  <c r="AH125" i="37"/>
  <c r="AG125" i="37"/>
  <c r="AL124" i="37" l="1"/>
  <c r="AN124" i="37"/>
  <c r="AI125" i="37"/>
  <c r="AJ125" i="37" s="1"/>
  <c r="AK125" i="37" s="1"/>
  <c r="Z126" i="37"/>
  <c r="AF126" i="37"/>
  <c r="AH126" i="37"/>
  <c r="AG126" i="37"/>
  <c r="X127" i="37"/>
  <c r="W128" i="37"/>
  <c r="AE127" i="37"/>
  <c r="AO128" i="37" s="1"/>
  <c r="V127" i="37"/>
  <c r="AB125" i="37"/>
  <c r="AC125" i="37" s="1"/>
  <c r="AD125" i="37" s="1"/>
  <c r="AA126" i="37"/>
  <c r="AB126" i="37" s="1"/>
  <c r="AC126" i="37" s="1"/>
  <c r="Y126" i="37"/>
  <c r="AI126" i="37" l="1"/>
  <c r="AJ126" i="37" s="1"/>
  <c r="AK126" i="37" s="1"/>
  <c r="AL125" i="37"/>
  <c r="AN125" i="37"/>
  <c r="X128" i="37"/>
  <c r="W129" i="37"/>
  <c r="AE128" i="37"/>
  <c r="AO129" i="37" s="1"/>
  <c r="V128" i="37"/>
  <c r="AA127" i="37"/>
  <c r="Y127" i="37"/>
  <c r="AD126" i="37"/>
  <c r="Z127" i="37"/>
  <c r="AF127" i="37"/>
  <c r="AH127" i="37"/>
  <c r="AG127" i="37"/>
  <c r="AL126" i="37" l="1"/>
  <c r="AI127" i="37"/>
  <c r="AJ127" i="37" s="1"/>
  <c r="AK127" i="37" s="1"/>
  <c r="Z128" i="37"/>
  <c r="AN126" i="37"/>
  <c r="AF128" i="37"/>
  <c r="AH128" i="37"/>
  <c r="AG128" i="37"/>
  <c r="AI128" i="37" s="1"/>
  <c r="AJ128" i="37" s="1"/>
  <c r="X129" i="37"/>
  <c r="W130" i="37"/>
  <c r="AE129" i="37"/>
  <c r="AO130" i="37" s="1"/>
  <c r="V129" i="37"/>
  <c r="AB127" i="37"/>
  <c r="AC127" i="37" s="1"/>
  <c r="AD127" i="37" s="1"/>
  <c r="AA128" i="37"/>
  <c r="Y128" i="37"/>
  <c r="AL127" i="37" l="1"/>
  <c r="AN127" i="37"/>
  <c r="AB128" i="37"/>
  <c r="AC128" i="37" s="1"/>
  <c r="AD128" i="37" s="1"/>
  <c r="X130" i="37"/>
  <c r="W131" i="37"/>
  <c r="AE130" i="37"/>
  <c r="AO131" i="37" s="1"/>
  <c r="V130" i="37"/>
  <c r="AA129" i="37"/>
  <c r="Y129" i="37"/>
  <c r="AK128" i="37"/>
  <c r="Z129" i="37"/>
  <c r="AF129" i="37"/>
  <c r="AH129" i="37"/>
  <c r="AG129" i="37"/>
  <c r="AL128" i="37" l="1"/>
  <c r="AI129" i="37"/>
  <c r="AJ129" i="37" s="1"/>
  <c r="AK129" i="37" s="1"/>
  <c r="Z130" i="37"/>
  <c r="AN128" i="37"/>
  <c r="AF130" i="37"/>
  <c r="AH130" i="37"/>
  <c r="AG130" i="37"/>
  <c r="AI130" i="37" s="1"/>
  <c r="AJ130" i="37" s="1"/>
  <c r="X131" i="37"/>
  <c r="W132" i="37"/>
  <c r="AE131" i="37"/>
  <c r="AO132" i="37" s="1"/>
  <c r="V131" i="37"/>
  <c r="AB129" i="37"/>
  <c r="AC129" i="37" s="1"/>
  <c r="AD129" i="37" s="1"/>
  <c r="AA130" i="37"/>
  <c r="Y130" i="37"/>
  <c r="AL129" i="37" l="1"/>
  <c r="AN129" i="37"/>
  <c r="AB130" i="37"/>
  <c r="AC130" i="37" s="1"/>
  <c r="AD130" i="37" s="1"/>
  <c r="X132" i="37"/>
  <c r="W133" i="37"/>
  <c r="AE132" i="37"/>
  <c r="AO133" i="37" s="1"/>
  <c r="V132" i="37"/>
  <c r="AA131" i="37"/>
  <c r="Y131" i="37"/>
  <c r="AK130" i="37"/>
  <c r="Z131" i="37"/>
  <c r="AF131" i="37"/>
  <c r="AH131" i="37"/>
  <c r="AG131" i="37"/>
  <c r="AL130" i="37" l="1"/>
  <c r="AI131" i="37"/>
  <c r="AJ131" i="37" s="1"/>
  <c r="AK131" i="37" s="1"/>
  <c r="Z132" i="37"/>
  <c r="AN130" i="37"/>
  <c r="AF132" i="37"/>
  <c r="AH132" i="37"/>
  <c r="AG132" i="37"/>
  <c r="X133" i="37"/>
  <c r="W134" i="37"/>
  <c r="AE133" i="37"/>
  <c r="AO134" i="37" s="1"/>
  <c r="V133" i="37"/>
  <c r="AB131" i="37"/>
  <c r="AC131" i="37" s="1"/>
  <c r="AD131" i="37" s="1"/>
  <c r="AA132" i="37"/>
  <c r="AB132" i="37" s="1"/>
  <c r="AC132" i="37" s="1"/>
  <c r="Y132" i="37"/>
  <c r="AL131" i="37" l="1"/>
  <c r="AI132" i="37"/>
  <c r="AJ132" i="37" s="1"/>
  <c r="AK132" i="37" s="1"/>
  <c r="AN131" i="37"/>
  <c r="X134" i="37"/>
  <c r="W135" i="37"/>
  <c r="AE134" i="37"/>
  <c r="AO135" i="37" s="1"/>
  <c r="V134" i="37"/>
  <c r="AA133" i="37"/>
  <c r="Y133" i="37"/>
  <c r="AD132" i="37"/>
  <c r="Z133" i="37"/>
  <c r="AF133" i="37"/>
  <c r="AH133" i="37"/>
  <c r="AG133" i="37"/>
  <c r="AI133" i="37" s="1"/>
  <c r="AJ133" i="37" s="1"/>
  <c r="AL132" i="37" l="1"/>
  <c r="Z134" i="37"/>
  <c r="AN132" i="37"/>
  <c r="AF134" i="37"/>
  <c r="AH134" i="37"/>
  <c r="AG134" i="37"/>
  <c r="AK133" i="37"/>
  <c r="X135" i="37"/>
  <c r="W136" i="37"/>
  <c r="AE135" i="37"/>
  <c r="AO136" i="37" s="1"/>
  <c r="V135" i="37"/>
  <c r="AB133" i="37"/>
  <c r="AC133" i="37" s="1"/>
  <c r="AD133" i="37" s="1"/>
  <c r="AA134" i="37"/>
  <c r="AB134" i="37" s="1"/>
  <c r="AC134" i="37" s="1"/>
  <c r="Y134" i="37"/>
  <c r="AL133" i="37" l="1"/>
  <c r="AN133" i="37"/>
  <c r="AI134" i="37"/>
  <c r="AJ134" i="37" s="1"/>
  <c r="AK134" i="37" s="1"/>
  <c r="X136" i="37"/>
  <c r="W137" i="37"/>
  <c r="AE136" i="37"/>
  <c r="AO137" i="37" s="1"/>
  <c r="V136" i="37"/>
  <c r="Z136" i="37" s="1"/>
  <c r="AA135" i="37"/>
  <c r="Y135" i="37"/>
  <c r="AD134" i="37"/>
  <c r="Z135" i="37"/>
  <c r="AF135" i="37"/>
  <c r="AH135" i="37"/>
  <c r="AG135" i="37"/>
  <c r="AI135" i="37" s="1"/>
  <c r="AJ135" i="37" s="1"/>
  <c r="AL134" i="37" l="1"/>
  <c r="AN134" i="37"/>
  <c r="AF136" i="37"/>
  <c r="AH136" i="37"/>
  <c r="AG136" i="37"/>
  <c r="AI136" i="37" s="1"/>
  <c r="AJ136" i="37" s="1"/>
  <c r="AK135" i="37"/>
  <c r="X137" i="37"/>
  <c r="W138" i="37"/>
  <c r="AE137" i="37"/>
  <c r="AO138" i="37" s="1"/>
  <c r="V137" i="37"/>
  <c r="AB135" i="37"/>
  <c r="AC135" i="37" s="1"/>
  <c r="AD135" i="37" s="1"/>
  <c r="AA136" i="37"/>
  <c r="AB136" i="37" s="1"/>
  <c r="AC136" i="37" s="1"/>
  <c r="Y136" i="37"/>
  <c r="AL135" i="37" l="1"/>
  <c r="AN135" i="37"/>
  <c r="AA137" i="37"/>
  <c r="Y137" i="37"/>
  <c r="AD136" i="37"/>
  <c r="X138" i="37"/>
  <c r="W139" i="37"/>
  <c r="AE138" i="37"/>
  <c r="AO139" i="37" s="1"/>
  <c r="V138" i="37"/>
  <c r="AK136" i="37"/>
  <c r="Z137" i="37"/>
  <c r="AB137" i="37" s="1"/>
  <c r="AC137" i="37" s="1"/>
  <c r="AF137" i="37"/>
  <c r="AH137" i="37"/>
  <c r="AG137" i="37"/>
  <c r="AI137" i="37" s="1"/>
  <c r="AJ137" i="37" s="1"/>
  <c r="AL136" i="37" l="1"/>
  <c r="AN136" i="37"/>
  <c r="Z138" i="37"/>
  <c r="X139" i="37"/>
  <c r="W140" i="37"/>
  <c r="AE139" i="37"/>
  <c r="AO140" i="37" s="1"/>
  <c r="V139" i="37"/>
  <c r="Z139" i="37" s="1"/>
  <c r="AF138" i="37"/>
  <c r="AH138" i="37"/>
  <c r="AG138" i="37"/>
  <c r="AA138" i="37"/>
  <c r="Y138" i="37"/>
  <c r="AK137" i="37"/>
  <c r="AD137" i="37"/>
  <c r="AB138" i="37" l="1"/>
  <c r="AC138" i="37" s="1"/>
  <c r="AD138" i="37" s="1"/>
  <c r="AI138" i="37"/>
  <c r="AJ138" i="37" s="1"/>
  <c r="AK138" i="37" s="1"/>
  <c r="AL137" i="37"/>
  <c r="AN137" i="37"/>
  <c r="AF139" i="37"/>
  <c r="AH139" i="37"/>
  <c r="AG139" i="37"/>
  <c r="AI139" i="37" s="1"/>
  <c r="AJ139" i="37" s="1"/>
  <c r="X140" i="37"/>
  <c r="W141" i="37"/>
  <c r="AE140" i="37"/>
  <c r="AO141" i="37" s="1"/>
  <c r="V140" i="37"/>
  <c r="Y139" i="37"/>
  <c r="AA139" i="37"/>
  <c r="AB139" i="37" s="1"/>
  <c r="AC139" i="37" s="1"/>
  <c r="AL138" i="37" l="1"/>
  <c r="AN138" i="37"/>
  <c r="X141" i="37"/>
  <c r="W142" i="37"/>
  <c r="AE141" i="37"/>
  <c r="AO142" i="37" s="1"/>
  <c r="V141" i="37"/>
  <c r="Z141" i="37" s="1"/>
  <c r="AF140" i="37"/>
  <c r="AH140" i="37"/>
  <c r="AG140" i="37"/>
  <c r="AA140" i="37"/>
  <c r="Y140" i="37"/>
  <c r="AD139" i="37"/>
  <c r="AK139" i="37"/>
  <c r="Z140" i="37"/>
  <c r="AI140" i="37" l="1"/>
  <c r="AJ140" i="37" s="1"/>
  <c r="AK140" i="37" s="1"/>
  <c r="AL139" i="37"/>
  <c r="AN139" i="37"/>
  <c r="AB140" i="37"/>
  <c r="AC140" i="37" s="1"/>
  <c r="AD140" i="37" s="1"/>
  <c r="AF141" i="37"/>
  <c r="AH141" i="37"/>
  <c r="AG141" i="37"/>
  <c r="X142" i="37"/>
  <c r="W143" i="37"/>
  <c r="AE142" i="37"/>
  <c r="AO143" i="37" s="1"/>
  <c r="V142" i="37"/>
  <c r="AA141" i="37"/>
  <c r="AB141" i="37" s="1"/>
  <c r="AC141" i="37" s="1"/>
  <c r="Y141" i="37"/>
  <c r="AN140" i="37" l="1"/>
  <c r="AL140" i="37"/>
  <c r="X143" i="37"/>
  <c r="W144" i="37"/>
  <c r="AE143" i="37"/>
  <c r="AO144" i="37" s="1"/>
  <c r="V143" i="37"/>
  <c r="Z143" i="37" s="1"/>
  <c r="AA142" i="37"/>
  <c r="Y142" i="37"/>
  <c r="AI141" i="37"/>
  <c r="AJ141" i="37" s="1"/>
  <c r="AK141" i="37" s="1"/>
  <c r="AD141" i="37"/>
  <c r="Z142" i="37"/>
  <c r="AF142" i="37"/>
  <c r="AH142" i="37"/>
  <c r="AG142" i="37"/>
  <c r="AI142" i="37" s="1"/>
  <c r="AJ142" i="37" s="1"/>
  <c r="AL141" i="37" l="1"/>
  <c r="AN141" i="37"/>
  <c r="AK142" i="37"/>
  <c r="AF143" i="37"/>
  <c r="AH143" i="37"/>
  <c r="AG143" i="37"/>
  <c r="AI143" i="37" s="1"/>
  <c r="AJ143" i="37" s="1"/>
  <c r="AB142" i="37"/>
  <c r="AC142" i="37" s="1"/>
  <c r="AD142" i="37" s="1"/>
  <c r="X144" i="37"/>
  <c r="W145" i="37"/>
  <c r="AE144" i="37"/>
  <c r="AO145" i="37" s="1"/>
  <c r="V144" i="37"/>
  <c r="AA143" i="37"/>
  <c r="AB143" i="37" s="1"/>
  <c r="AC143" i="37" s="1"/>
  <c r="Y143" i="37"/>
  <c r="AL142" i="37" l="1"/>
  <c r="AN142" i="37"/>
  <c r="AA144" i="37"/>
  <c r="Y144" i="37"/>
  <c r="AD143" i="37"/>
  <c r="AK143" i="37"/>
  <c r="Z144" i="37"/>
  <c r="AF144" i="37"/>
  <c r="AH144" i="37"/>
  <c r="AG144" i="37"/>
  <c r="X145" i="37"/>
  <c r="W146" i="37"/>
  <c r="AE145" i="37"/>
  <c r="AO146" i="37" s="1"/>
  <c r="V145" i="37"/>
  <c r="Z145" i="37" s="1"/>
  <c r="AL143" i="37" l="1"/>
  <c r="AI144" i="37"/>
  <c r="AJ144" i="37" s="1"/>
  <c r="AK144" i="37" s="1"/>
  <c r="AB144" i="37"/>
  <c r="AC144" i="37" s="1"/>
  <c r="AD144" i="37" s="1"/>
  <c r="AN143" i="37"/>
  <c r="AF145" i="37"/>
  <c r="AH145" i="37"/>
  <c r="AG145" i="37"/>
  <c r="X146" i="37"/>
  <c r="W147" i="37"/>
  <c r="AE146" i="37"/>
  <c r="AO147" i="37" s="1"/>
  <c r="V146" i="37"/>
  <c r="AA145" i="37"/>
  <c r="AB145" i="37" s="1"/>
  <c r="AC145" i="37" s="1"/>
  <c r="Y145" i="37"/>
  <c r="AL144" i="37" l="1"/>
  <c r="AN144" i="37"/>
  <c r="AI145" i="37"/>
  <c r="AJ145" i="37" s="1"/>
  <c r="AK145" i="37" s="1"/>
  <c r="X147" i="37"/>
  <c r="W148" i="37"/>
  <c r="AE147" i="37"/>
  <c r="AO148" i="37" s="1"/>
  <c r="V147" i="37"/>
  <c r="AF146" i="37"/>
  <c r="AH146" i="37"/>
  <c r="AG146" i="37"/>
  <c r="AA146" i="37"/>
  <c r="Y146" i="37"/>
  <c r="AD145" i="37"/>
  <c r="Z146" i="37"/>
  <c r="AL145" i="37" l="1"/>
  <c r="AI146" i="37"/>
  <c r="AJ146" i="37" s="1"/>
  <c r="AK146" i="37" s="1"/>
  <c r="Z147" i="37"/>
  <c r="AN145" i="37"/>
  <c r="AB146" i="37"/>
  <c r="AC146" i="37" s="1"/>
  <c r="AD146" i="37" s="1"/>
  <c r="AF147" i="37"/>
  <c r="AH147" i="37"/>
  <c r="AG147" i="37"/>
  <c r="AI147" i="37" s="1"/>
  <c r="AJ147" i="37" s="1"/>
  <c r="X148" i="37"/>
  <c r="W149" i="37"/>
  <c r="AE148" i="37"/>
  <c r="AO149" i="37" s="1"/>
  <c r="V148" i="37"/>
  <c r="AA147" i="37"/>
  <c r="Y147" i="37"/>
  <c r="AL146" i="37" l="1"/>
  <c r="AN146" i="37"/>
  <c r="AB147" i="37"/>
  <c r="AC147" i="37" s="1"/>
  <c r="AD147" i="37" s="1"/>
  <c r="AA148" i="37"/>
  <c r="Y148" i="37"/>
  <c r="AK147" i="37"/>
  <c r="X149" i="37"/>
  <c r="W150" i="37"/>
  <c r="AE149" i="37"/>
  <c r="AO150" i="37" s="1"/>
  <c r="V149" i="37"/>
  <c r="Z148" i="37"/>
  <c r="AF148" i="37"/>
  <c r="AH148" i="37"/>
  <c r="AG148" i="37"/>
  <c r="AI148" i="37" s="1"/>
  <c r="AJ148" i="37" s="1"/>
  <c r="AB148" i="37" l="1"/>
  <c r="AC148" i="37" s="1"/>
  <c r="AD148" i="37" s="1"/>
  <c r="AL147" i="37"/>
  <c r="Z149" i="37"/>
  <c r="AN147" i="37"/>
  <c r="AF149" i="37"/>
  <c r="AH149" i="37"/>
  <c r="AG149" i="37"/>
  <c r="X150" i="37"/>
  <c r="W151" i="37"/>
  <c r="AE150" i="37"/>
  <c r="AO151" i="37" s="1"/>
  <c r="V150" i="37"/>
  <c r="AA149" i="37"/>
  <c r="Y149" i="37"/>
  <c r="AK148" i="37"/>
  <c r="AL148" i="37" l="1"/>
  <c r="AB149" i="37"/>
  <c r="AC149" i="37" s="1"/>
  <c r="AD149" i="37" s="1"/>
  <c r="AI149" i="37"/>
  <c r="AJ149" i="37" s="1"/>
  <c r="AK149" i="37" s="1"/>
  <c r="AN148" i="37"/>
  <c r="AA150" i="37"/>
  <c r="Y150" i="37"/>
  <c r="Z150" i="37"/>
  <c r="AB150" i="37" s="1"/>
  <c r="AC150" i="37" s="1"/>
  <c r="AF150" i="37"/>
  <c r="AH150" i="37"/>
  <c r="AG150" i="37"/>
  <c r="X151" i="37"/>
  <c r="W152" i="37"/>
  <c r="AE151" i="37"/>
  <c r="AO152" i="37" s="1"/>
  <c r="V151" i="37"/>
  <c r="AL149" i="37" l="1"/>
  <c r="AI150" i="37"/>
  <c r="AJ150" i="37" s="1"/>
  <c r="AK150" i="37" s="1"/>
  <c r="AN149" i="37"/>
  <c r="AA151" i="37"/>
  <c r="Y151" i="37"/>
  <c r="X152" i="37"/>
  <c r="W153" i="37"/>
  <c r="AE152" i="37"/>
  <c r="AO153" i="37" s="1"/>
  <c r="V152" i="37"/>
  <c r="Z151" i="37"/>
  <c r="AD150" i="37"/>
  <c r="AF151" i="37"/>
  <c r="AH151" i="37"/>
  <c r="AG151" i="37"/>
  <c r="AI151" i="37" s="1"/>
  <c r="AJ151" i="37" s="1"/>
  <c r="AL150" i="37" l="1"/>
  <c r="AN150" i="37"/>
  <c r="AB151" i="37"/>
  <c r="AC151" i="37" s="1"/>
  <c r="AD151" i="37" s="1"/>
  <c r="Z152" i="37"/>
  <c r="AF152" i="37"/>
  <c r="AH152" i="37"/>
  <c r="AG152" i="37"/>
  <c r="X153" i="37"/>
  <c r="W154" i="37"/>
  <c r="AE153" i="37"/>
  <c r="AO154" i="37" s="1"/>
  <c r="V153" i="37"/>
  <c r="AA152" i="37"/>
  <c r="Y152" i="37"/>
  <c r="AK151" i="37"/>
  <c r="AL151" i="37" l="1"/>
  <c r="Z153" i="37"/>
  <c r="AB152" i="37"/>
  <c r="AC152" i="37" s="1"/>
  <c r="AD152" i="37" s="1"/>
  <c r="AN151" i="37"/>
  <c r="AI152" i="37"/>
  <c r="AJ152" i="37" s="1"/>
  <c r="AK152" i="37" s="1"/>
  <c r="AF153" i="37"/>
  <c r="AH153" i="37"/>
  <c r="AG153" i="37"/>
  <c r="AI153" i="37" s="1"/>
  <c r="AJ153" i="37" s="1"/>
  <c r="X154" i="37"/>
  <c r="W155" i="37"/>
  <c r="AE154" i="37"/>
  <c r="AO155" i="37" s="1"/>
  <c r="V154" i="37"/>
  <c r="AA153" i="37"/>
  <c r="Y153" i="37"/>
  <c r="AB153" i="37" l="1"/>
  <c r="AC153" i="37" s="1"/>
  <c r="AD153" i="37" s="1"/>
  <c r="AL152" i="37"/>
  <c r="Z154" i="37"/>
  <c r="AN152" i="37"/>
  <c r="AF154" i="37"/>
  <c r="AH154" i="37"/>
  <c r="AG154" i="37"/>
  <c r="AI154" i="37" s="1"/>
  <c r="AJ154" i="37" s="1"/>
  <c r="X155" i="37"/>
  <c r="W156" i="37"/>
  <c r="AE155" i="37"/>
  <c r="AO156" i="37" s="1"/>
  <c r="V155" i="37"/>
  <c r="AA154" i="37"/>
  <c r="Y154" i="37"/>
  <c r="AK153" i="37"/>
  <c r="AL153" i="37" l="1"/>
  <c r="AB154" i="37"/>
  <c r="AC154" i="37" s="1"/>
  <c r="AD154" i="37" s="1"/>
  <c r="Z155" i="37"/>
  <c r="AN153" i="37"/>
  <c r="AF155" i="37"/>
  <c r="AH155" i="37"/>
  <c r="AG155" i="37"/>
  <c r="AI155" i="37" s="1"/>
  <c r="AJ155" i="37" s="1"/>
  <c r="X156" i="37"/>
  <c r="W157" i="37"/>
  <c r="AE156" i="37"/>
  <c r="AO157" i="37" s="1"/>
  <c r="V156" i="37"/>
  <c r="AA155" i="37"/>
  <c r="AB155" i="37" s="1"/>
  <c r="AC155" i="37" s="1"/>
  <c r="Y155" i="37"/>
  <c r="AK154" i="37"/>
  <c r="AL154" i="37" l="1"/>
  <c r="Z156" i="37"/>
  <c r="AN154" i="37"/>
  <c r="X157" i="37"/>
  <c r="W158" i="37"/>
  <c r="AE157" i="37"/>
  <c r="AO158" i="37" s="1"/>
  <c r="V157" i="37"/>
  <c r="Z157" i="37" s="1"/>
  <c r="AF156" i="37"/>
  <c r="AH156" i="37"/>
  <c r="AG156" i="37"/>
  <c r="AA156" i="37"/>
  <c r="AB156" i="37" s="1"/>
  <c r="AC156" i="37" s="1"/>
  <c r="Y156" i="37"/>
  <c r="AD155" i="37"/>
  <c r="AK155" i="37"/>
  <c r="AL155" i="37" l="1"/>
  <c r="AI156" i="37"/>
  <c r="AJ156" i="37" s="1"/>
  <c r="AK156" i="37" s="1"/>
  <c r="AN155" i="37"/>
  <c r="AF157" i="37"/>
  <c r="AH157" i="37"/>
  <c r="AG157" i="37"/>
  <c r="X158" i="37"/>
  <c r="W159" i="37"/>
  <c r="AE158" i="37"/>
  <c r="AO159" i="37" s="1"/>
  <c r="V158" i="37"/>
  <c r="AD156" i="37"/>
  <c r="AA157" i="37"/>
  <c r="AB157" i="37" s="1"/>
  <c r="AC157" i="37" s="1"/>
  <c r="Y157" i="37"/>
  <c r="AI157" i="37" l="1"/>
  <c r="AJ157" i="37" s="1"/>
  <c r="AK157" i="37" s="1"/>
  <c r="AL156" i="37"/>
  <c r="AN156" i="37"/>
  <c r="AA158" i="37"/>
  <c r="Y158" i="37"/>
  <c r="AF158" i="37"/>
  <c r="AH158" i="37"/>
  <c r="AG158" i="37"/>
  <c r="AI158" i="37" s="1"/>
  <c r="AJ158" i="37" s="1"/>
  <c r="X159" i="37"/>
  <c r="W160" i="37"/>
  <c r="AE159" i="37"/>
  <c r="AO160" i="37" s="1"/>
  <c r="V159" i="37"/>
  <c r="AD157" i="37"/>
  <c r="Z158" i="37"/>
  <c r="AB158" i="37" s="1"/>
  <c r="AC158" i="37" s="1"/>
  <c r="AL157" i="37" l="1"/>
  <c r="AN157" i="37"/>
  <c r="AA159" i="37"/>
  <c r="Y159" i="37"/>
  <c r="AF159" i="37"/>
  <c r="AH159" i="37"/>
  <c r="AG159" i="37"/>
  <c r="AI159" i="37" s="1"/>
  <c r="AJ159" i="37" s="1"/>
  <c r="X160" i="37"/>
  <c r="W161" i="37"/>
  <c r="AE160" i="37"/>
  <c r="AO161" i="37" s="1"/>
  <c r="V160" i="37"/>
  <c r="AK158" i="37"/>
  <c r="AD158" i="37"/>
  <c r="Z159" i="37"/>
  <c r="AB159" i="37" s="1"/>
  <c r="AC159" i="37" s="1"/>
  <c r="AN158" i="37" l="1"/>
  <c r="AL158" i="37"/>
  <c r="AA160" i="37"/>
  <c r="Y160" i="37"/>
  <c r="AF160" i="37"/>
  <c r="AH160" i="37"/>
  <c r="AG160" i="37"/>
  <c r="AI160" i="37" s="1"/>
  <c r="AJ160" i="37" s="1"/>
  <c r="X161" i="37"/>
  <c r="W162" i="37"/>
  <c r="AE161" i="37"/>
  <c r="AO162" i="37" s="1"/>
  <c r="V161" i="37"/>
  <c r="AK159" i="37"/>
  <c r="AD159" i="37"/>
  <c r="Z160" i="37"/>
  <c r="AB160" i="37" s="1"/>
  <c r="AC160" i="37" s="1"/>
  <c r="AL159" i="37" l="1"/>
  <c r="AN159" i="37"/>
  <c r="X162" i="37"/>
  <c r="W163" i="37"/>
  <c r="AE162" i="37"/>
  <c r="AO163" i="37" s="1"/>
  <c r="V162" i="37"/>
  <c r="Z162" i="37" s="1"/>
  <c r="AF161" i="37"/>
  <c r="AH161" i="37"/>
  <c r="AG161" i="37"/>
  <c r="AA161" i="37"/>
  <c r="Y161" i="37"/>
  <c r="AK160" i="37"/>
  <c r="AD160" i="37"/>
  <c r="Z161" i="37"/>
  <c r="AI161" i="37" l="1"/>
  <c r="AJ161" i="37" s="1"/>
  <c r="AK161" i="37" s="1"/>
  <c r="AL160" i="37"/>
  <c r="AN160" i="37"/>
  <c r="AB161" i="37"/>
  <c r="AC161" i="37" s="1"/>
  <c r="AD161" i="37" s="1"/>
  <c r="AF162" i="37"/>
  <c r="AH162" i="37"/>
  <c r="AG162" i="37"/>
  <c r="AI162" i="37" s="1"/>
  <c r="AJ162" i="37" s="1"/>
  <c r="X163" i="37"/>
  <c r="W164" i="37"/>
  <c r="AE163" i="37"/>
  <c r="AO164" i="37" s="1"/>
  <c r="V163" i="37"/>
  <c r="AA162" i="37"/>
  <c r="AB162" i="37" s="1"/>
  <c r="AC162" i="37" s="1"/>
  <c r="Y162" i="37"/>
  <c r="AL161" i="37" l="1"/>
  <c r="AN161" i="37"/>
  <c r="X164" i="37"/>
  <c r="W165" i="37"/>
  <c r="AE164" i="37"/>
  <c r="AO165" i="37" s="1"/>
  <c r="V164" i="37"/>
  <c r="Z164" i="37" s="1"/>
  <c r="AA163" i="37"/>
  <c r="Y163" i="37"/>
  <c r="AD162" i="37"/>
  <c r="AK162" i="37"/>
  <c r="Z163" i="37"/>
  <c r="AF163" i="37"/>
  <c r="AH163" i="37"/>
  <c r="AG163" i="37"/>
  <c r="AI163" i="37" s="1"/>
  <c r="AJ163" i="37" s="1"/>
  <c r="AL162" i="37" l="1"/>
  <c r="AN162" i="37"/>
  <c r="AF164" i="37"/>
  <c r="AH164" i="37"/>
  <c r="AG164" i="37"/>
  <c r="AI164" i="37" s="1"/>
  <c r="AJ164" i="37" s="1"/>
  <c r="AK163" i="37"/>
  <c r="X165" i="37"/>
  <c r="W166" i="37"/>
  <c r="AE165" i="37"/>
  <c r="AO166" i="37" s="1"/>
  <c r="V165" i="37"/>
  <c r="AB163" i="37"/>
  <c r="AC163" i="37" s="1"/>
  <c r="AD163" i="37" s="1"/>
  <c r="AA164" i="37"/>
  <c r="AB164" i="37" s="1"/>
  <c r="AC164" i="37" s="1"/>
  <c r="Y164" i="37"/>
  <c r="AL163" i="37" l="1"/>
  <c r="AN163" i="37"/>
  <c r="AD164" i="37"/>
  <c r="X166" i="37"/>
  <c r="W167" i="37"/>
  <c r="AE166" i="37"/>
  <c r="AO167" i="37" s="1"/>
  <c r="V166" i="37"/>
  <c r="Z166" i="37" s="1"/>
  <c r="AA165" i="37"/>
  <c r="Y165" i="37"/>
  <c r="AK164" i="37"/>
  <c r="Z165" i="37"/>
  <c r="AF165" i="37"/>
  <c r="AH165" i="37"/>
  <c r="AG165" i="37"/>
  <c r="AI165" i="37" s="1"/>
  <c r="AJ165" i="37" s="1"/>
  <c r="AL164" i="37" l="1"/>
  <c r="AN164" i="37"/>
  <c r="AF166" i="37"/>
  <c r="AH166" i="37"/>
  <c r="AG166" i="37"/>
  <c r="X167" i="37"/>
  <c r="W168" i="37"/>
  <c r="AE167" i="37"/>
  <c r="AO168" i="37" s="1"/>
  <c r="V167" i="37"/>
  <c r="AK165" i="37"/>
  <c r="AA166" i="37"/>
  <c r="AB166" i="37" s="1"/>
  <c r="AC166" i="37" s="1"/>
  <c r="Y166" i="37"/>
  <c r="AB165" i="37"/>
  <c r="AC165" i="37" s="1"/>
  <c r="AD165" i="37" s="1"/>
  <c r="AI166" i="37" l="1"/>
  <c r="AJ166" i="37" s="1"/>
  <c r="AK166" i="37" s="1"/>
  <c r="AL165" i="37"/>
  <c r="AN165" i="37"/>
  <c r="AA167" i="37"/>
  <c r="Y167" i="37"/>
  <c r="AF167" i="37"/>
  <c r="AH167" i="37"/>
  <c r="AG167" i="37"/>
  <c r="AI167" i="37" s="1"/>
  <c r="AJ167" i="37" s="1"/>
  <c r="X168" i="37"/>
  <c r="W169" i="37"/>
  <c r="AE168" i="37"/>
  <c r="AO169" i="37" s="1"/>
  <c r="V168" i="37"/>
  <c r="AD166" i="37"/>
  <c r="Z167" i="37"/>
  <c r="AB167" i="37" s="1"/>
  <c r="AC167" i="37" s="1"/>
  <c r="AL166" i="37" l="1"/>
  <c r="AN166" i="37"/>
  <c r="AA168" i="37"/>
  <c r="Y168" i="37"/>
  <c r="AF168" i="37"/>
  <c r="AH168" i="37"/>
  <c r="AG168" i="37"/>
  <c r="AI168" i="37" s="1"/>
  <c r="AJ168" i="37" s="1"/>
  <c r="X169" i="37"/>
  <c r="W170" i="37"/>
  <c r="AE169" i="37"/>
  <c r="AO170" i="37" s="1"/>
  <c r="V169" i="37"/>
  <c r="AK167" i="37"/>
  <c r="AD167" i="37"/>
  <c r="Z168" i="37"/>
  <c r="AB168" i="37" s="1"/>
  <c r="AC168" i="37" s="1"/>
  <c r="AL167" i="37" l="1"/>
  <c r="AN167" i="37"/>
  <c r="AA169" i="37"/>
  <c r="Y169" i="37"/>
  <c r="AF169" i="37"/>
  <c r="AH169" i="37"/>
  <c r="AG169" i="37"/>
  <c r="AI169" i="37" s="1"/>
  <c r="AJ169" i="37" s="1"/>
  <c r="X170" i="37"/>
  <c r="W171" i="37"/>
  <c r="AE170" i="37"/>
  <c r="AO171" i="37" s="1"/>
  <c r="V170" i="37"/>
  <c r="AK168" i="37"/>
  <c r="AD168" i="37"/>
  <c r="Z169" i="37"/>
  <c r="AB169" i="37" s="1"/>
  <c r="AC169" i="37" s="1"/>
  <c r="AN168" i="37" l="1"/>
  <c r="AL168" i="37"/>
  <c r="AA170" i="37"/>
  <c r="Y170" i="37"/>
  <c r="AF170" i="37"/>
  <c r="AH170" i="37"/>
  <c r="AG170" i="37"/>
  <c r="AI170" i="37" s="1"/>
  <c r="AJ170" i="37" s="1"/>
  <c r="X171" i="37"/>
  <c r="W172" i="37"/>
  <c r="AE171" i="37"/>
  <c r="AO172" i="37" s="1"/>
  <c r="V171" i="37"/>
  <c r="AK169" i="37"/>
  <c r="AD169" i="37"/>
  <c r="Z170" i="37"/>
  <c r="AB170" i="37" s="1"/>
  <c r="AC170" i="37" s="1"/>
  <c r="AN169" i="37" l="1"/>
  <c r="AL169" i="37"/>
  <c r="AA171" i="37"/>
  <c r="Y171" i="37"/>
  <c r="AF171" i="37"/>
  <c r="AH171" i="37"/>
  <c r="AG171" i="37"/>
  <c r="AI171" i="37" s="1"/>
  <c r="AJ171" i="37" s="1"/>
  <c r="X172" i="37"/>
  <c r="W173" i="37"/>
  <c r="AE172" i="37"/>
  <c r="AO173" i="37" s="1"/>
  <c r="V172" i="37"/>
  <c r="AK170" i="37"/>
  <c r="AD170" i="37"/>
  <c r="Z171" i="37"/>
  <c r="AB171" i="37" s="1"/>
  <c r="AC171" i="37" s="1"/>
  <c r="AN170" i="37" l="1"/>
  <c r="AL170" i="37"/>
  <c r="AA172" i="37"/>
  <c r="Y172" i="37"/>
  <c r="AF172" i="37"/>
  <c r="AH172" i="37"/>
  <c r="AG172" i="37"/>
  <c r="AI172" i="37" s="1"/>
  <c r="AJ172" i="37" s="1"/>
  <c r="X173" i="37"/>
  <c r="W174" i="37"/>
  <c r="AE173" i="37"/>
  <c r="AO174" i="37" s="1"/>
  <c r="V173" i="37"/>
  <c r="AK171" i="37"/>
  <c r="AD171" i="37"/>
  <c r="Z172" i="37"/>
  <c r="AB172" i="37" s="1"/>
  <c r="AC172" i="37" s="1"/>
  <c r="AL171" i="37" l="1"/>
  <c r="AN171" i="37"/>
  <c r="AA173" i="37"/>
  <c r="Y173" i="37"/>
  <c r="AF173" i="37"/>
  <c r="AH173" i="37"/>
  <c r="AG173" i="37"/>
  <c r="AI173" i="37" s="1"/>
  <c r="AJ173" i="37" s="1"/>
  <c r="X174" i="37"/>
  <c r="W175" i="37"/>
  <c r="AE174" i="37"/>
  <c r="AO175" i="37" s="1"/>
  <c r="V174" i="37"/>
  <c r="AK172" i="37"/>
  <c r="AD172" i="37"/>
  <c r="Z173" i="37"/>
  <c r="AB173" i="37" s="1"/>
  <c r="AC173" i="37" s="1"/>
  <c r="AN172" i="37" l="1"/>
  <c r="AL172" i="37"/>
  <c r="AA174" i="37"/>
  <c r="Y174" i="37"/>
  <c r="AF174" i="37"/>
  <c r="AH174" i="37"/>
  <c r="AG174" i="37"/>
  <c r="AI174" i="37" s="1"/>
  <c r="AJ174" i="37" s="1"/>
  <c r="X175" i="37"/>
  <c r="W176" i="37"/>
  <c r="AE175" i="37"/>
  <c r="AO176" i="37" s="1"/>
  <c r="V175" i="37"/>
  <c r="AK173" i="37"/>
  <c r="AD173" i="37"/>
  <c r="Z174" i="37"/>
  <c r="AB174" i="37" s="1"/>
  <c r="AC174" i="37" s="1"/>
  <c r="AL173" i="37" l="1"/>
  <c r="AN173" i="37"/>
  <c r="AA175" i="37"/>
  <c r="Y175" i="37"/>
  <c r="AF175" i="37"/>
  <c r="AH175" i="37"/>
  <c r="AG175" i="37"/>
  <c r="AI175" i="37" s="1"/>
  <c r="AJ175" i="37" s="1"/>
  <c r="X176" i="37"/>
  <c r="W177" i="37"/>
  <c r="AE176" i="37"/>
  <c r="AO177" i="37" s="1"/>
  <c r="V176" i="37"/>
  <c r="AK174" i="37"/>
  <c r="AD174" i="37"/>
  <c r="Z175" i="37"/>
  <c r="AB175" i="37" s="1"/>
  <c r="AC175" i="37" s="1"/>
  <c r="AN174" i="37" l="1"/>
  <c r="AL174" i="37"/>
  <c r="AA176" i="37"/>
  <c r="Y176" i="37"/>
  <c r="AF176" i="37"/>
  <c r="AH176" i="37"/>
  <c r="AG176" i="37"/>
  <c r="AI176" i="37" s="1"/>
  <c r="AJ176" i="37" s="1"/>
  <c r="X177" i="37"/>
  <c r="W178" i="37"/>
  <c r="AE177" i="37"/>
  <c r="AO178" i="37" s="1"/>
  <c r="V177" i="37"/>
  <c r="AK175" i="37"/>
  <c r="AD175" i="37"/>
  <c r="Z176" i="37"/>
  <c r="AB176" i="37" s="1"/>
  <c r="AC176" i="37" s="1"/>
  <c r="AN175" i="37" l="1"/>
  <c r="AL175" i="37"/>
  <c r="AA177" i="37"/>
  <c r="Y177" i="37"/>
  <c r="AF177" i="37"/>
  <c r="AH177" i="37"/>
  <c r="AG177" i="37"/>
  <c r="AI177" i="37" s="1"/>
  <c r="AJ177" i="37" s="1"/>
  <c r="X178" i="37"/>
  <c r="W179" i="37"/>
  <c r="AE178" i="37"/>
  <c r="AO179" i="37" s="1"/>
  <c r="V178" i="37"/>
  <c r="AK176" i="37"/>
  <c r="AD176" i="37"/>
  <c r="Z177" i="37"/>
  <c r="AB177" i="37" s="1"/>
  <c r="AC177" i="37" s="1"/>
  <c r="AN176" i="37" l="1"/>
  <c r="AL176" i="37"/>
  <c r="AF178" i="37"/>
  <c r="AH178" i="37"/>
  <c r="AG178" i="37"/>
  <c r="AI178" i="37" s="1"/>
  <c r="AJ178" i="37" s="1"/>
  <c r="X179" i="37"/>
  <c r="W180" i="37"/>
  <c r="AE179" i="37"/>
  <c r="AO180" i="37" s="1"/>
  <c r="V179" i="37"/>
  <c r="AA178" i="37"/>
  <c r="Y178" i="37"/>
  <c r="AK177" i="37"/>
  <c r="AD177" i="37"/>
  <c r="Z178" i="37"/>
  <c r="Z179" i="37" l="1"/>
  <c r="AN177" i="37"/>
  <c r="AL177" i="37"/>
  <c r="AB178" i="37"/>
  <c r="AC178" i="37" s="1"/>
  <c r="AD178" i="37" s="1"/>
  <c r="AF179" i="37"/>
  <c r="AH179" i="37"/>
  <c r="AG179" i="37"/>
  <c r="X180" i="37"/>
  <c r="W181" i="37"/>
  <c r="AE180" i="37"/>
  <c r="AO181" i="37" s="1"/>
  <c r="V180" i="37"/>
  <c r="AA179" i="37"/>
  <c r="Y179" i="37"/>
  <c r="AK178" i="37"/>
  <c r="AB179" i="37" l="1"/>
  <c r="AC179" i="37" s="1"/>
  <c r="AD179" i="37" s="1"/>
  <c r="AL178" i="37"/>
  <c r="AN178" i="37"/>
  <c r="AF180" i="37"/>
  <c r="AH180" i="37"/>
  <c r="AG180" i="37"/>
  <c r="AI180" i="37" s="1"/>
  <c r="AJ180" i="37" s="1"/>
  <c r="X181" i="37"/>
  <c r="W182" i="37"/>
  <c r="AE181" i="37"/>
  <c r="AO182" i="37" s="1"/>
  <c r="V181" i="37"/>
  <c r="AA180" i="37"/>
  <c r="Y180" i="37"/>
  <c r="AI179" i="37"/>
  <c r="AJ179" i="37" s="1"/>
  <c r="AK179" i="37" s="1"/>
  <c r="Z180" i="37"/>
  <c r="Z181" i="37" l="1"/>
  <c r="AL179" i="37"/>
  <c r="AN179" i="37"/>
  <c r="AF181" i="37"/>
  <c r="AH181" i="37"/>
  <c r="AG181" i="37"/>
  <c r="AI181" i="37" s="1"/>
  <c r="AJ181" i="37" s="1"/>
  <c r="AB181" i="37"/>
  <c r="AC181" i="37" s="1"/>
  <c r="AB180" i="37"/>
  <c r="AC180" i="37" s="1"/>
  <c r="AD180" i="37" s="1"/>
  <c r="X182" i="37"/>
  <c r="W183" i="37"/>
  <c r="AE182" i="37"/>
  <c r="AO183" i="37" s="1"/>
  <c r="V182" i="37"/>
  <c r="AA181" i="37"/>
  <c r="Y181" i="37"/>
  <c r="AK180" i="37"/>
  <c r="AL180" i="37" l="1"/>
  <c r="AN180" i="37"/>
  <c r="X183" i="37"/>
  <c r="W184" i="37"/>
  <c r="AE183" i="37"/>
  <c r="AO184" i="37" s="1"/>
  <c r="V183" i="37"/>
  <c r="Z183" i="37" s="1"/>
  <c r="AF182" i="37"/>
  <c r="AH182" i="37"/>
  <c r="AG182" i="37"/>
  <c r="AA182" i="37"/>
  <c r="Y182" i="37"/>
  <c r="AD181" i="37"/>
  <c r="Z182" i="37"/>
  <c r="AK181" i="37"/>
  <c r="AI182" i="37" l="1"/>
  <c r="AJ182" i="37" s="1"/>
  <c r="AK182" i="37" s="1"/>
  <c r="AL181" i="37"/>
  <c r="AN181" i="37"/>
  <c r="AB182" i="37"/>
  <c r="AC182" i="37" s="1"/>
  <c r="AD182" i="37" s="1"/>
  <c r="AF183" i="37"/>
  <c r="AH183" i="37"/>
  <c r="AG183" i="37"/>
  <c r="AI183" i="37" s="1"/>
  <c r="AJ183" i="37" s="1"/>
  <c r="X184" i="37"/>
  <c r="W185" i="37"/>
  <c r="AE184" i="37"/>
  <c r="AO185" i="37" s="1"/>
  <c r="V184" i="37"/>
  <c r="AA183" i="37"/>
  <c r="AB183" i="37" s="1"/>
  <c r="AC183" i="37" s="1"/>
  <c r="Y183" i="37"/>
  <c r="AL182" i="37" l="1"/>
  <c r="AN182" i="37"/>
  <c r="AA184" i="37"/>
  <c r="Y184" i="37"/>
  <c r="X185" i="37"/>
  <c r="W186" i="37"/>
  <c r="AE185" i="37"/>
  <c r="AO186" i="37" s="1"/>
  <c r="V185" i="37"/>
  <c r="Z185" i="37" s="1"/>
  <c r="AD183" i="37"/>
  <c r="AK183" i="37"/>
  <c r="Z184" i="37"/>
  <c r="AB184" i="37" s="1"/>
  <c r="AC184" i="37" s="1"/>
  <c r="AF184" i="37"/>
  <c r="AH184" i="37"/>
  <c r="AG184" i="37"/>
  <c r="AL183" i="37" l="1"/>
  <c r="AI184" i="37"/>
  <c r="AJ184" i="37" s="1"/>
  <c r="AK184" i="37" s="1"/>
  <c r="AD184" i="37"/>
  <c r="AN183" i="37"/>
  <c r="AF185" i="37"/>
  <c r="AH185" i="37"/>
  <c r="AG185" i="37"/>
  <c r="X186" i="37"/>
  <c r="W187" i="37"/>
  <c r="AE186" i="37"/>
  <c r="AO187" i="37" s="1"/>
  <c r="V186" i="37"/>
  <c r="AA185" i="37"/>
  <c r="AB185" i="37" s="1"/>
  <c r="AC185" i="37" s="1"/>
  <c r="Y185" i="37"/>
  <c r="AL184" i="37" l="1"/>
  <c r="AN184" i="37"/>
  <c r="Z186" i="37"/>
  <c r="AF186" i="37"/>
  <c r="AH186" i="37"/>
  <c r="AG186" i="37"/>
  <c r="AI186" i="37" s="1"/>
  <c r="AJ186" i="37" s="1"/>
  <c r="X187" i="37"/>
  <c r="W188" i="37"/>
  <c r="AE187" i="37"/>
  <c r="AO188" i="37" s="1"/>
  <c r="V187" i="37"/>
  <c r="AA186" i="37"/>
  <c r="Y186" i="37"/>
  <c r="AI185" i="37"/>
  <c r="AJ185" i="37" s="1"/>
  <c r="AK185" i="37" s="1"/>
  <c r="AD185" i="37"/>
  <c r="Z187" i="37" l="1"/>
  <c r="AB186" i="37"/>
  <c r="AC186" i="37" s="1"/>
  <c r="AD186" i="37" s="1"/>
  <c r="AL185" i="37"/>
  <c r="AN185" i="37"/>
  <c r="AF187" i="37"/>
  <c r="AH187" i="37"/>
  <c r="AG187" i="37"/>
  <c r="AI187" i="37" s="1"/>
  <c r="AJ187" i="37" s="1"/>
  <c r="X188" i="37"/>
  <c r="W189" i="37"/>
  <c r="AE188" i="37"/>
  <c r="AO189" i="37" s="1"/>
  <c r="V188" i="37"/>
  <c r="AA187" i="37"/>
  <c r="AB187" i="37" s="1"/>
  <c r="AC187" i="37" s="1"/>
  <c r="Y187" i="37"/>
  <c r="AK186" i="37"/>
  <c r="Z188" i="37" l="1"/>
  <c r="AL186" i="37"/>
  <c r="AN186" i="37"/>
  <c r="AF188" i="37"/>
  <c r="AH188" i="37"/>
  <c r="AG188" i="37"/>
  <c r="AI188" i="37" s="1"/>
  <c r="AJ188" i="37" s="1"/>
  <c r="X189" i="37"/>
  <c r="W190" i="37"/>
  <c r="AE189" i="37"/>
  <c r="AO190" i="37" s="1"/>
  <c r="V189" i="37"/>
  <c r="AA188" i="37"/>
  <c r="AB188" i="37" s="1"/>
  <c r="AC188" i="37" s="1"/>
  <c r="Y188" i="37"/>
  <c r="AD187" i="37"/>
  <c r="AK187" i="37"/>
  <c r="AL187" i="37" l="1"/>
  <c r="AN187" i="37"/>
  <c r="AA189" i="37"/>
  <c r="Y189" i="37"/>
  <c r="Z189" i="37"/>
  <c r="AB189" i="37" s="1"/>
  <c r="AC189" i="37" s="1"/>
  <c r="AF189" i="37"/>
  <c r="AH189" i="37"/>
  <c r="AG189" i="37"/>
  <c r="AI189" i="37" s="1"/>
  <c r="AJ189" i="37" s="1"/>
  <c r="X190" i="37"/>
  <c r="W191" i="37"/>
  <c r="AE190" i="37"/>
  <c r="AO191" i="37" s="1"/>
  <c r="V190" i="37"/>
  <c r="AD188" i="37"/>
  <c r="AK188" i="37"/>
  <c r="AL188" i="37" l="1"/>
  <c r="AN188" i="37"/>
  <c r="AA190" i="37"/>
  <c r="Y190" i="37"/>
  <c r="AK189" i="37"/>
  <c r="X191" i="37"/>
  <c r="W192" i="37"/>
  <c r="AE191" i="37"/>
  <c r="AO192" i="37" s="1"/>
  <c r="V191" i="37"/>
  <c r="Z190" i="37"/>
  <c r="AD189" i="37"/>
  <c r="AF190" i="37"/>
  <c r="AH190" i="37"/>
  <c r="AG190" i="37"/>
  <c r="AI190" i="37" s="1"/>
  <c r="AJ190" i="37" s="1"/>
  <c r="Z191" i="37" l="1"/>
  <c r="AL189" i="37"/>
  <c r="AB190" i="37"/>
  <c r="AC190" i="37" s="1"/>
  <c r="AD190" i="37" s="1"/>
  <c r="AN189" i="37"/>
  <c r="X192" i="37"/>
  <c r="W193" i="37"/>
  <c r="AE192" i="37"/>
  <c r="AO193" i="37" s="1"/>
  <c r="V192" i="37"/>
  <c r="Z192" i="37" s="1"/>
  <c r="AF191" i="37"/>
  <c r="AH191" i="37"/>
  <c r="AG191" i="37"/>
  <c r="AA191" i="37"/>
  <c r="AB191" i="37" s="1"/>
  <c r="AC191" i="37" s="1"/>
  <c r="Y191" i="37"/>
  <c r="AK190" i="37"/>
  <c r="AL190" i="37" l="1"/>
  <c r="AN190" i="37"/>
  <c r="AI191" i="37"/>
  <c r="AJ191" i="37" s="1"/>
  <c r="AK191" i="37" s="1"/>
  <c r="AF192" i="37"/>
  <c r="AH192" i="37"/>
  <c r="AG192" i="37"/>
  <c r="AI192" i="37" s="1"/>
  <c r="AJ192" i="37" s="1"/>
  <c r="X193" i="37"/>
  <c r="W194" i="37"/>
  <c r="AE193" i="37"/>
  <c r="AO194" i="37" s="1"/>
  <c r="V193" i="37"/>
  <c r="AD191" i="37"/>
  <c r="AA192" i="37"/>
  <c r="AB192" i="37" s="1"/>
  <c r="AC192" i="37" s="1"/>
  <c r="Y192" i="37"/>
  <c r="AL191" i="37" l="1"/>
  <c r="AN191" i="37"/>
  <c r="AK192" i="37"/>
  <c r="AA193" i="37"/>
  <c r="Y193" i="37"/>
  <c r="AF193" i="37"/>
  <c r="AH193" i="37"/>
  <c r="AG193" i="37"/>
  <c r="AI193" i="37" s="1"/>
  <c r="AJ193" i="37" s="1"/>
  <c r="X194" i="37"/>
  <c r="W195" i="37"/>
  <c r="AE194" i="37"/>
  <c r="AO195" i="37" s="1"/>
  <c r="V194" i="37"/>
  <c r="AD192" i="37"/>
  <c r="Z193" i="37"/>
  <c r="AB193" i="37" s="1"/>
  <c r="AC193" i="37" s="1"/>
  <c r="AL192" i="37" l="1"/>
  <c r="AN192" i="37"/>
  <c r="AA194" i="37"/>
  <c r="Y194" i="37"/>
  <c r="X195" i="37"/>
  <c r="W196" i="37"/>
  <c r="AE195" i="37"/>
  <c r="AO196" i="37" s="1"/>
  <c r="V195" i="37"/>
  <c r="Z195" i="37" s="1"/>
  <c r="AK193" i="37"/>
  <c r="AD193" i="37"/>
  <c r="Z194" i="37"/>
  <c r="AB194" i="37" s="1"/>
  <c r="AC194" i="37" s="1"/>
  <c r="AF194" i="37"/>
  <c r="AH194" i="37"/>
  <c r="AG194" i="37"/>
  <c r="AI194" i="37" s="1"/>
  <c r="AJ194" i="37" s="1"/>
  <c r="AL193" i="37" l="1"/>
  <c r="AN193" i="37"/>
  <c r="AD194" i="37"/>
  <c r="AF195" i="37"/>
  <c r="AH195" i="37"/>
  <c r="AG195" i="37"/>
  <c r="AI195" i="37" s="1"/>
  <c r="AJ195" i="37" s="1"/>
  <c r="AB195" i="37"/>
  <c r="AC195" i="37" s="1"/>
  <c r="X196" i="37"/>
  <c r="W197" i="37"/>
  <c r="AE196" i="37"/>
  <c r="AO197" i="37" s="1"/>
  <c r="V196" i="37"/>
  <c r="AA195" i="37"/>
  <c r="Y195" i="37"/>
  <c r="AK194" i="37"/>
  <c r="AL194" i="37" l="1"/>
  <c r="Z196" i="37"/>
  <c r="AN194" i="37"/>
  <c r="AF196" i="37"/>
  <c r="AH196" i="37"/>
  <c r="AG196" i="37"/>
  <c r="AI196" i="37" s="1"/>
  <c r="AJ196" i="37" s="1"/>
  <c r="X197" i="37"/>
  <c r="W198" i="37"/>
  <c r="AE197" i="37"/>
  <c r="AO198" i="37" s="1"/>
  <c r="V197" i="37"/>
  <c r="AA196" i="37"/>
  <c r="AB196" i="37" s="1"/>
  <c r="AC196" i="37" s="1"/>
  <c r="Y196" i="37"/>
  <c r="AD195" i="37"/>
  <c r="AK195" i="37"/>
  <c r="AL195" i="37" l="1"/>
  <c r="Z197" i="37"/>
  <c r="AN195" i="37"/>
  <c r="X198" i="37"/>
  <c r="W199" i="37"/>
  <c r="AE198" i="37"/>
  <c r="AO199" i="37" s="1"/>
  <c r="V198" i="37"/>
  <c r="AF197" i="37"/>
  <c r="AH197" i="37"/>
  <c r="AG197" i="37"/>
  <c r="AA197" i="37"/>
  <c r="AB197" i="37" s="1"/>
  <c r="AC197" i="37" s="1"/>
  <c r="Y197" i="37"/>
  <c r="AD196" i="37"/>
  <c r="AK196" i="37"/>
  <c r="AL196" i="37" l="1"/>
  <c r="Z198" i="37"/>
  <c r="AI197" i="37"/>
  <c r="AJ197" i="37" s="1"/>
  <c r="AK197" i="37" s="1"/>
  <c r="AN196" i="37"/>
  <c r="AF198" i="37"/>
  <c r="AH198" i="37"/>
  <c r="AG198" i="37"/>
  <c r="AI198" i="37" s="1"/>
  <c r="AJ198" i="37" s="1"/>
  <c r="X199" i="37"/>
  <c r="W200" i="37"/>
  <c r="AE199" i="37"/>
  <c r="AO200" i="37" s="1"/>
  <c r="V199" i="37"/>
  <c r="AD197" i="37"/>
  <c r="AA198" i="37"/>
  <c r="AB198" i="37" s="1"/>
  <c r="AC198" i="37" s="1"/>
  <c r="Y198" i="37"/>
  <c r="AL197" i="37" l="1"/>
  <c r="AN197" i="37"/>
  <c r="AF199" i="37"/>
  <c r="AH199" i="37"/>
  <c r="AG199" i="37"/>
  <c r="AI199" i="37" s="1"/>
  <c r="AJ199" i="37" s="1"/>
  <c r="X200" i="37"/>
  <c r="W201" i="37"/>
  <c r="AE200" i="37"/>
  <c r="AO201" i="37" s="1"/>
  <c r="V200" i="37"/>
  <c r="AA199" i="37"/>
  <c r="Y199" i="37"/>
  <c r="AD198" i="37"/>
  <c r="AK198" i="37"/>
  <c r="Z199" i="37"/>
  <c r="Z200" i="37" l="1"/>
  <c r="AL198" i="37"/>
  <c r="AN198" i="37"/>
  <c r="AB199" i="37"/>
  <c r="AC199" i="37" s="1"/>
  <c r="AD199" i="37" s="1"/>
  <c r="AF200" i="37"/>
  <c r="AH200" i="37"/>
  <c r="AG200" i="37"/>
  <c r="AI200" i="37" s="1"/>
  <c r="AJ200" i="37" s="1"/>
  <c r="X201" i="37"/>
  <c r="W202" i="37"/>
  <c r="AE201" i="37"/>
  <c r="AO202" i="37" s="1"/>
  <c r="V201" i="37"/>
  <c r="AA200" i="37"/>
  <c r="AB200" i="37" s="1"/>
  <c r="AC200" i="37" s="1"/>
  <c r="Y200" i="37"/>
  <c r="AK199" i="37"/>
  <c r="AL199" i="37" l="1"/>
  <c r="AN199" i="37"/>
  <c r="AA201" i="37"/>
  <c r="Y201" i="37"/>
  <c r="AD200" i="37"/>
  <c r="AF201" i="37"/>
  <c r="AH201" i="37"/>
  <c r="AG201" i="37"/>
  <c r="AI201" i="37" s="1"/>
  <c r="AJ201" i="37" s="1"/>
  <c r="X202" i="37"/>
  <c r="W203" i="37"/>
  <c r="AE202" i="37"/>
  <c r="AO203" i="37" s="1"/>
  <c r="V202" i="37"/>
  <c r="AK200" i="37"/>
  <c r="Z201" i="37"/>
  <c r="AB201" i="37" s="1"/>
  <c r="AC201" i="37" s="1"/>
  <c r="AL200" i="37" l="1"/>
  <c r="AN200" i="37"/>
  <c r="AA202" i="37"/>
  <c r="Y202" i="37"/>
  <c r="X203" i="37"/>
  <c r="W204" i="37"/>
  <c r="AE203" i="37"/>
  <c r="AO204" i="37" s="1"/>
  <c r="V203" i="37"/>
  <c r="Z203" i="37" s="1"/>
  <c r="AK201" i="37"/>
  <c r="Z202" i="37"/>
  <c r="AD201" i="37"/>
  <c r="AF202" i="37"/>
  <c r="AH202" i="37"/>
  <c r="AG202" i="37"/>
  <c r="AI202" i="37" s="1"/>
  <c r="AJ202" i="37" s="1"/>
  <c r="AL201" i="37" l="1"/>
  <c r="AN201" i="37"/>
  <c r="AB202" i="37"/>
  <c r="AC202" i="37" s="1"/>
  <c r="AD202" i="37" s="1"/>
  <c r="AF203" i="37"/>
  <c r="AH203" i="37"/>
  <c r="AG203" i="37"/>
  <c r="AI203" i="37" s="1"/>
  <c r="AJ203" i="37" s="1"/>
  <c r="X204" i="37"/>
  <c r="W205" i="37"/>
  <c r="AE204" i="37"/>
  <c r="AO205" i="37" s="1"/>
  <c r="V204" i="37"/>
  <c r="AA203" i="37"/>
  <c r="AB203" i="37" s="1"/>
  <c r="AC203" i="37" s="1"/>
  <c r="Y203" i="37"/>
  <c r="AK202" i="37"/>
  <c r="AL202" i="37" l="1"/>
  <c r="Z204" i="37"/>
  <c r="AN202" i="37"/>
  <c r="AF204" i="37"/>
  <c r="AH204" i="37"/>
  <c r="AG204" i="37"/>
  <c r="AI204" i="37" s="1"/>
  <c r="AJ204" i="37" s="1"/>
  <c r="AA204" i="37"/>
  <c r="AB204" i="37" s="1"/>
  <c r="AC204" i="37" s="1"/>
  <c r="Y204" i="37"/>
  <c r="AD203" i="37"/>
  <c r="X205" i="37"/>
  <c r="W206" i="37"/>
  <c r="AE205" i="37"/>
  <c r="AO206" i="37" s="1"/>
  <c r="V205" i="37"/>
  <c r="AK203" i="37"/>
  <c r="AL203" i="37" l="1"/>
  <c r="AN203" i="37"/>
  <c r="AK204" i="37"/>
  <c r="X206" i="37"/>
  <c r="W207" i="37"/>
  <c r="AE206" i="37"/>
  <c r="AO207" i="37" s="1"/>
  <c r="V206" i="37"/>
  <c r="AA205" i="37"/>
  <c r="Y205" i="37"/>
  <c r="AD204" i="37"/>
  <c r="Z205" i="37"/>
  <c r="AF205" i="37"/>
  <c r="AH205" i="37"/>
  <c r="AG205" i="37"/>
  <c r="AI205" i="37" s="1"/>
  <c r="AJ205" i="37" s="1"/>
  <c r="AL204" i="37" l="1"/>
  <c r="AB205" i="37"/>
  <c r="AC205" i="37" s="1"/>
  <c r="AD205" i="37" s="1"/>
  <c r="AN204" i="37"/>
  <c r="AK205" i="37"/>
  <c r="AA206" i="37"/>
  <c r="Y206" i="37"/>
  <c r="Z206" i="37"/>
  <c r="AB206" i="37" s="1"/>
  <c r="AC206" i="37" s="1"/>
  <c r="AF206" i="37"/>
  <c r="AH206" i="37"/>
  <c r="AG206" i="37"/>
  <c r="AI206" i="37" s="1"/>
  <c r="AJ206" i="37" s="1"/>
  <c r="X207" i="37"/>
  <c r="W208" i="37"/>
  <c r="AE207" i="37"/>
  <c r="AO208" i="37" s="1"/>
  <c r="V207" i="37"/>
  <c r="AN205" i="37" l="1"/>
  <c r="AL205" i="37"/>
  <c r="AA207" i="37"/>
  <c r="Y207" i="37"/>
  <c r="AK206" i="37"/>
  <c r="Z207" i="37"/>
  <c r="AB207" i="37" s="1"/>
  <c r="AC207" i="37" s="1"/>
  <c r="AF207" i="37"/>
  <c r="AH207" i="37"/>
  <c r="AG207" i="37"/>
  <c r="AD206" i="37"/>
  <c r="X208" i="37"/>
  <c r="W209" i="37"/>
  <c r="AE208" i="37"/>
  <c r="AO209" i="37" s="1"/>
  <c r="V208" i="37"/>
  <c r="Z208" i="37" s="1"/>
  <c r="AI207" i="37" l="1"/>
  <c r="AJ207" i="37" s="1"/>
  <c r="AK207" i="37" s="1"/>
  <c r="AN206" i="37"/>
  <c r="AL206" i="37"/>
  <c r="AF208" i="37"/>
  <c r="AH208" i="37"/>
  <c r="AG208" i="37"/>
  <c r="AI208" i="37" s="1"/>
  <c r="AJ208" i="37" s="1"/>
  <c r="X209" i="37"/>
  <c r="W210" i="37"/>
  <c r="AE209" i="37"/>
  <c r="AO210" i="37" s="1"/>
  <c r="V209" i="37"/>
  <c r="AD207" i="37"/>
  <c r="AA208" i="37"/>
  <c r="AB208" i="37" s="1"/>
  <c r="AC208" i="37" s="1"/>
  <c r="Y208" i="37"/>
  <c r="AN207" i="37" l="1"/>
  <c r="AL207" i="37"/>
  <c r="AF209" i="37"/>
  <c r="AH209" i="37"/>
  <c r="AG209" i="37"/>
  <c r="AI209" i="37" s="1"/>
  <c r="AJ209" i="37" s="1"/>
  <c r="X210" i="37"/>
  <c r="W211" i="37"/>
  <c r="AE210" i="37"/>
  <c r="AO211" i="37" s="1"/>
  <c r="V210" i="37"/>
  <c r="AA209" i="37"/>
  <c r="Y209" i="37"/>
  <c r="AD208" i="37"/>
  <c r="AK208" i="37"/>
  <c r="Z209" i="37"/>
  <c r="AL208" i="37" l="1"/>
  <c r="Z210" i="37"/>
  <c r="AN208" i="37"/>
  <c r="AF210" i="37"/>
  <c r="AH210" i="37"/>
  <c r="AG210" i="37"/>
  <c r="X211" i="37"/>
  <c r="W212" i="37"/>
  <c r="AE211" i="37"/>
  <c r="AO212" i="37" s="1"/>
  <c r="V211" i="37"/>
  <c r="AB209" i="37"/>
  <c r="AC209" i="37" s="1"/>
  <c r="AD209" i="37" s="1"/>
  <c r="AA210" i="37"/>
  <c r="AB210" i="37" s="1"/>
  <c r="AC210" i="37" s="1"/>
  <c r="Y210" i="37"/>
  <c r="AK209" i="37"/>
  <c r="AI210" i="37" l="1"/>
  <c r="AJ210" i="37" s="1"/>
  <c r="AK210" i="37" s="1"/>
  <c r="AL209" i="37"/>
  <c r="Z211" i="37"/>
  <c r="AN209" i="37"/>
  <c r="AF211" i="37"/>
  <c r="AH211" i="37"/>
  <c r="AG211" i="37"/>
  <c r="AI211" i="37" s="1"/>
  <c r="AJ211" i="37" s="1"/>
  <c r="X212" i="37"/>
  <c r="W213" i="37"/>
  <c r="AE212" i="37"/>
  <c r="AO213" i="37" s="1"/>
  <c r="V212" i="37"/>
  <c r="AA211" i="37"/>
  <c r="AB211" i="37" s="1"/>
  <c r="AC211" i="37" s="1"/>
  <c r="Y211" i="37"/>
  <c r="AD210" i="37"/>
  <c r="AL210" i="37" l="1"/>
  <c r="Z212" i="37"/>
  <c r="AN210" i="37"/>
  <c r="AF212" i="37"/>
  <c r="AH212" i="37"/>
  <c r="AG212" i="37"/>
  <c r="AI212" i="37" s="1"/>
  <c r="AJ212" i="37" s="1"/>
  <c r="X213" i="37"/>
  <c r="W214" i="37"/>
  <c r="AE213" i="37"/>
  <c r="AO214" i="37" s="1"/>
  <c r="V213" i="37"/>
  <c r="AA212" i="37"/>
  <c r="AB212" i="37" s="1"/>
  <c r="AC212" i="37" s="1"/>
  <c r="Y212" i="37"/>
  <c r="AD211" i="37"/>
  <c r="AK211" i="37"/>
  <c r="AL211" i="37" l="1"/>
  <c r="Z213" i="37"/>
  <c r="AN211" i="37"/>
  <c r="AF213" i="37"/>
  <c r="AH213" i="37"/>
  <c r="AG213" i="37"/>
  <c r="AI213" i="37" s="1"/>
  <c r="AJ213" i="37" s="1"/>
  <c r="X214" i="37"/>
  <c r="W215" i="37"/>
  <c r="AE214" i="37"/>
  <c r="AO215" i="37" s="1"/>
  <c r="V214" i="37"/>
  <c r="AA213" i="37"/>
  <c r="AB213" i="37" s="1"/>
  <c r="AC213" i="37" s="1"/>
  <c r="Y213" i="37"/>
  <c r="AD212" i="37"/>
  <c r="AK212" i="37"/>
  <c r="AL212" i="37" l="1"/>
  <c r="Z214" i="37"/>
  <c r="AN212" i="37"/>
  <c r="AF214" i="37"/>
  <c r="AH214" i="37"/>
  <c r="AG214" i="37"/>
  <c r="AI214" i="37" s="1"/>
  <c r="AJ214" i="37" s="1"/>
  <c r="X215" i="37"/>
  <c r="W216" i="37"/>
  <c r="AE215" i="37"/>
  <c r="AO216" i="37" s="1"/>
  <c r="V215" i="37"/>
  <c r="AA214" i="37"/>
  <c r="AB214" i="37" s="1"/>
  <c r="AC214" i="37" s="1"/>
  <c r="Y214" i="37"/>
  <c r="AD213" i="37"/>
  <c r="AK213" i="37"/>
  <c r="AL213" i="37" l="1"/>
  <c r="Z215" i="37"/>
  <c r="AN213" i="37"/>
  <c r="AF215" i="37"/>
  <c r="AH215" i="37"/>
  <c r="AG215" i="37"/>
  <c r="AI215" i="37" s="1"/>
  <c r="AJ215" i="37" s="1"/>
  <c r="X216" i="37"/>
  <c r="W217" i="37"/>
  <c r="AE216" i="37"/>
  <c r="AO217" i="37" s="1"/>
  <c r="V216" i="37"/>
  <c r="AA215" i="37"/>
  <c r="AB215" i="37" s="1"/>
  <c r="AC215" i="37" s="1"/>
  <c r="Y215" i="37"/>
  <c r="AD214" i="37"/>
  <c r="AK214" i="37"/>
  <c r="AL214" i="37" l="1"/>
  <c r="AN214" i="37"/>
  <c r="AA216" i="37"/>
  <c r="Y216" i="37"/>
  <c r="Z216" i="37"/>
  <c r="AB216" i="37" s="1"/>
  <c r="AC216" i="37" s="1"/>
  <c r="AF216" i="37"/>
  <c r="AH216" i="37"/>
  <c r="AG216" i="37"/>
  <c r="AI216" i="37" s="1"/>
  <c r="AJ216" i="37" s="1"/>
  <c r="X217" i="37"/>
  <c r="W218" i="37"/>
  <c r="AE217" i="37"/>
  <c r="AO218" i="37" s="1"/>
  <c r="V217" i="37"/>
  <c r="AD215" i="37"/>
  <c r="AK215" i="37"/>
  <c r="AL215" i="37" l="1"/>
  <c r="AN215" i="37"/>
  <c r="AA217" i="37"/>
  <c r="Y217" i="37"/>
  <c r="AK216" i="37"/>
  <c r="Z217" i="37"/>
  <c r="AB217" i="37" s="1"/>
  <c r="AC217" i="37" s="1"/>
  <c r="X218" i="37"/>
  <c r="W219" i="37"/>
  <c r="AE218" i="37"/>
  <c r="AO219" i="37" s="1"/>
  <c r="V218" i="37"/>
  <c r="AD216" i="37"/>
  <c r="AF217" i="37"/>
  <c r="AH217" i="37"/>
  <c r="AG217" i="37"/>
  <c r="AI217" i="37" s="1"/>
  <c r="AJ217" i="37" s="1"/>
  <c r="AL216" i="37" l="1"/>
  <c r="AN216" i="37"/>
  <c r="AA218" i="37"/>
  <c r="Y218" i="37"/>
  <c r="Z218" i="37"/>
  <c r="AB218" i="37" s="1"/>
  <c r="AC218" i="37" s="1"/>
  <c r="AF218" i="37"/>
  <c r="AH218" i="37"/>
  <c r="AG218" i="37"/>
  <c r="AI218" i="37" s="1"/>
  <c r="AJ218" i="37" s="1"/>
  <c r="X219" i="37"/>
  <c r="W220" i="37"/>
  <c r="AE219" i="37"/>
  <c r="AO220" i="37" s="1"/>
  <c r="V219" i="37"/>
  <c r="AK217" i="37"/>
  <c r="AD217" i="37"/>
  <c r="AL217" i="37" l="1"/>
  <c r="AN217" i="37"/>
  <c r="X220" i="37"/>
  <c r="W221" i="37"/>
  <c r="AE220" i="37"/>
  <c r="AO221" i="37" s="1"/>
  <c r="V220" i="37"/>
  <c r="Z220" i="37" s="1"/>
  <c r="AA219" i="37"/>
  <c r="Y219" i="37"/>
  <c r="AK218" i="37"/>
  <c r="Z219" i="37"/>
  <c r="AD218" i="37"/>
  <c r="AF219" i="37"/>
  <c r="AH219" i="37"/>
  <c r="AG219" i="37"/>
  <c r="AI219" i="37" s="1"/>
  <c r="AJ219" i="37" s="1"/>
  <c r="AL218" i="37" l="1"/>
  <c r="AB219" i="37"/>
  <c r="AC219" i="37" s="1"/>
  <c r="AD219" i="37" s="1"/>
  <c r="AN218" i="37"/>
  <c r="AF220" i="37"/>
  <c r="AH220" i="37"/>
  <c r="AG220" i="37"/>
  <c r="AK219" i="37"/>
  <c r="X221" i="37"/>
  <c r="W222" i="37"/>
  <c r="AE221" i="37"/>
  <c r="AO222" i="37" s="1"/>
  <c r="V221" i="37"/>
  <c r="AA220" i="37"/>
  <c r="AB220" i="37" s="1"/>
  <c r="AC220" i="37" s="1"/>
  <c r="Y220" i="37"/>
  <c r="AL219" i="37" l="1"/>
  <c r="AN219" i="37"/>
  <c r="X222" i="37"/>
  <c r="W223" i="37"/>
  <c r="AE222" i="37"/>
  <c r="AO223" i="37" s="1"/>
  <c r="V222" i="37"/>
  <c r="Z222" i="37" s="1"/>
  <c r="AA221" i="37"/>
  <c r="Y221" i="37"/>
  <c r="AI220" i="37"/>
  <c r="AJ220" i="37" s="1"/>
  <c r="AK220" i="37" s="1"/>
  <c r="AD220" i="37"/>
  <c r="Z221" i="37"/>
  <c r="AF221" i="37"/>
  <c r="AH221" i="37"/>
  <c r="AG221" i="37"/>
  <c r="AI221" i="37" s="1"/>
  <c r="AJ221" i="37" s="1"/>
  <c r="AL220" i="37" l="1"/>
  <c r="AN220" i="37"/>
  <c r="AK221" i="37"/>
  <c r="AF222" i="37"/>
  <c r="AH222" i="37"/>
  <c r="AG222" i="37"/>
  <c r="AI222" i="37" s="1"/>
  <c r="AJ222" i="37" s="1"/>
  <c r="AB221" i="37"/>
  <c r="AC221" i="37" s="1"/>
  <c r="AD221" i="37" s="1"/>
  <c r="X223" i="37"/>
  <c r="W224" i="37"/>
  <c r="AE223" i="37"/>
  <c r="AO224" i="37" s="1"/>
  <c r="V223" i="37"/>
  <c r="AA222" i="37"/>
  <c r="AB222" i="37" s="1"/>
  <c r="AC222" i="37" s="1"/>
  <c r="Y222" i="37"/>
  <c r="AN221" i="37" l="1"/>
  <c r="AL221" i="37"/>
  <c r="Z223" i="37"/>
  <c r="AA223" i="37"/>
  <c r="Y223" i="37"/>
  <c r="AD222" i="37"/>
  <c r="AK222" i="37"/>
  <c r="AF223" i="37"/>
  <c r="AH223" i="37"/>
  <c r="AG223" i="37"/>
  <c r="AI223" i="37" s="1"/>
  <c r="AJ223" i="37" s="1"/>
  <c r="X224" i="37"/>
  <c r="W225" i="37"/>
  <c r="AE224" i="37"/>
  <c r="AO225" i="37" s="1"/>
  <c r="V224" i="37"/>
  <c r="Z224" i="37" s="1"/>
  <c r="AL222" i="37" l="1"/>
  <c r="AN222" i="37"/>
  <c r="AK223" i="37"/>
  <c r="AF224" i="37"/>
  <c r="AH224" i="37"/>
  <c r="AG224" i="37"/>
  <c r="AI224" i="37" s="1"/>
  <c r="AJ224" i="37" s="1"/>
  <c r="X225" i="37"/>
  <c r="W226" i="37"/>
  <c r="AE225" i="37"/>
  <c r="AO226" i="37" s="1"/>
  <c r="V225" i="37"/>
  <c r="AA224" i="37"/>
  <c r="AB224" i="37" s="1"/>
  <c r="AC224" i="37" s="1"/>
  <c r="Y224" i="37"/>
  <c r="AB223" i="37"/>
  <c r="AC223" i="37" s="1"/>
  <c r="AD223" i="37" s="1"/>
  <c r="AL223" i="37" l="1"/>
  <c r="AN223" i="37"/>
  <c r="X226" i="37"/>
  <c r="W227" i="37"/>
  <c r="AE226" i="37"/>
  <c r="AO227" i="37" s="1"/>
  <c r="V226" i="37"/>
  <c r="Z226" i="37" s="1"/>
  <c r="Z225" i="37"/>
  <c r="AA225" i="37"/>
  <c r="Y225" i="37"/>
  <c r="AD224" i="37"/>
  <c r="AK224" i="37"/>
  <c r="AF225" i="37"/>
  <c r="AH225" i="37"/>
  <c r="AG225" i="37"/>
  <c r="AI225" i="37" s="1"/>
  <c r="AJ225" i="37" s="1"/>
  <c r="AL224" i="37" l="1"/>
  <c r="AN224" i="37"/>
  <c r="AB225" i="37"/>
  <c r="AC225" i="37" s="1"/>
  <c r="AD225" i="37" s="1"/>
  <c r="AF226" i="37"/>
  <c r="AH226" i="37"/>
  <c r="AG226" i="37"/>
  <c r="AI226" i="37" s="1"/>
  <c r="AJ226" i="37" s="1"/>
  <c r="AK225" i="37"/>
  <c r="X227" i="37"/>
  <c r="W228" i="37"/>
  <c r="AE227" i="37"/>
  <c r="AO228" i="37" s="1"/>
  <c r="V227" i="37"/>
  <c r="AA226" i="37"/>
  <c r="AB226" i="37" s="1"/>
  <c r="AC226" i="37" s="1"/>
  <c r="Y226" i="37"/>
  <c r="AL225" i="37" l="1"/>
  <c r="AN225" i="37"/>
  <c r="AA227" i="37"/>
  <c r="Y227" i="37"/>
  <c r="AD226" i="37"/>
  <c r="AK226" i="37"/>
  <c r="Z227" i="37"/>
  <c r="AB227" i="37" s="1"/>
  <c r="AC227" i="37" s="1"/>
  <c r="AF227" i="37"/>
  <c r="AH227" i="37"/>
  <c r="AG227" i="37"/>
  <c r="X228" i="37"/>
  <c r="W229" i="37"/>
  <c r="AE228" i="37"/>
  <c r="AO229" i="37" s="1"/>
  <c r="V228" i="37"/>
  <c r="Z228" i="37" s="1"/>
  <c r="AL226" i="37" l="1"/>
  <c r="AN226" i="37"/>
  <c r="AI227" i="37"/>
  <c r="AJ227" i="37" s="1"/>
  <c r="AK227" i="37" s="1"/>
  <c r="AF228" i="37"/>
  <c r="AH228" i="37"/>
  <c r="AG228" i="37"/>
  <c r="AI228" i="37" s="1"/>
  <c r="AJ228" i="37" s="1"/>
  <c r="X229" i="37"/>
  <c r="W230" i="37"/>
  <c r="AE229" i="37"/>
  <c r="AO230" i="37" s="1"/>
  <c r="V229" i="37"/>
  <c r="AD227" i="37"/>
  <c r="AA228" i="37"/>
  <c r="AB228" i="37" s="1"/>
  <c r="AC228" i="37" s="1"/>
  <c r="Y228" i="37"/>
  <c r="AL227" i="37" l="1"/>
  <c r="AN227" i="37"/>
  <c r="AA229" i="37"/>
  <c r="Y229" i="37"/>
  <c r="AF229" i="37"/>
  <c r="AH229" i="37"/>
  <c r="AG229" i="37"/>
  <c r="AI229" i="37" s="1"/>
  <c r="AJ229" i="37" s="1"/>
  <c r="X230" i="37"/>
  <c r="W231" i="37"/>
  <c r="AE230" i="37"/>
  <c r="AO231" i="37" s="1"/>
  <c r="V230" i="37"/>
  <c r="AD228" i="37"/>
  <c r="AK228" i="37"/>
  <c r="Z229" i="37"/>
  <c r="AB229" i="37" s="1"/>
  <c r="AC229" i="37" s="1"/>
  <c r="AL228" i="37" l="1"/>
  <c r="AN228" i="37"/>
  <c r="X231" i="37"/>
  <c r="W232" i="37"/>
  <c r="AE231" i="37"/>
  <c r="AO232" i="37" s="1"/>
  <c r="V231" i="37"/>
  <c r="Z231" i="37" s="1"/>
  <c r="AF230" i="37"/>
  <c r="AH230" i="37"/>
  <c r="AG230" i="37"/>
  <c r="AA230" i="37"/>
  <c r="Y230" i="37"/>
  <c r="AK229" i="37"/>
  <c r="AD229" i="37"/>
  <c r="Z230" i="37"/>
  <c r="AI230" i="37" l="1"/>
  <c r="AJ230" i="37" s="1"/>
  <c r="AK230" i="37" s="1"/>
  <c r="AL229" i="37"/>
  <c r="AN229" i="37"/>
  <c r="AB230" i="37"/>
  <c r="AC230" i="37" s="1"/>
  <c r="AD230" i="37" s="1"/>
  <c r="AF231" i="37"/>
  <c r="AH231" i="37"/>
  <c r="AG231" i="37"/>
  <c r="AI231" i="37" s="1"/>
  <c r="AJ231" i="37" s="1"/>
  <c r="X232" i="37"/>
  <c r="W233" i="37"/>
  <c r="AE232" i="37"/>
  <c r="AO233" i="37" s="1"/>
  <c r="V232" i="37"/>
  <c r="AA231" i="37"/>
  <c r="AB231" i="37" s="1"/>
  <c r="AC231" i="37" s="1"/>
  <c r="Y231" i="37"/>
  <c r="AL230" i="37" l="1"/>
  <c r="AN230" i="37"/>
  <c r="X233" i="37"/>
  <c r="W234" i="37"/>
  <c r="AE233" i="37"/>
  <c r="AO234" i="37" s="1"/>
  <c r="V233" i="37"/>
  <c r="Z233" i="37" s="1"/>
  <c r="AA232" i="37"/>
  <c r="Y232" i="37"/>
  <c r="AD231" i="37"/>
  <c r="AK231" i="37"/>
  <c r="Z232" i="37"/>
  <c r="AF232" i="37"/>
  <c r="AH232" i="37"/>
  <c r="AG232" i="37"/>
  <c r="AI232" i="37" l="1"/>
  <c r="AJ232" i="37" s="1"/>
  <c r="AK232" i="37" s="1"/>
  <c r="AL231" i="37"/>
  <c r="AN231" i="37"/>
  <c r="AF233" i="37"/>
  <c r="AH233" i="37"/>
  <c r="AG233" i="37"/>
  <c r="X234" i="37"/>
  <c r="W235" i="37"/>
  <c r="AE234" i="37"/>
  <c r="AO235" i="37" s="1"/>
  <c r="V234" i="37"/>
  <c r="AB232" i="37"/>
  <c r="AC232" i="37" s="1"/>
  <c r="AD232" i="37" s="1"/>
  <c r="AA233" i="37"/>
  <c r="AB233" i="37" s="1"/>
  <c r="AC233" i="37" s="1"/>
  <c r="Y233" i="37"/>
  <c r="AI233" i="37" l="1"/>
  <c r="AJ233" i="37" s="1"/>
  <c r="AK233" i="37" s="1"/>
  <c r="AL232" i="37"/>
  <c r="AN232" i="37"/>
  <c r="AA234" i="37"/>
  <c r="Y234" i="37"/>
  <c r="AD233" i="37"/>
  <c r="AF234" i="37"/>
  <c r="AH234" i="37"/>
  <c r="AG234" i="37"/>
  <c r="X235" i="37"/>
  <c r="W236" i="37"/>
  <c r="AE235" i="37"/>
  <c r="AO236" i="37" s="1"/>
  <c r="V235" i="37"/>
  <c r="Z234" i="37"/>
  <c r="AB234" i="37" s="1"/>
  <c r="AC234" i="37" s="1"/>
  <c r="AI234" i="37" l="1"/>
  <c r="AJ234" i="37" s="1"/>
  <c r="AK234" i="37" s="1"/>
  <c r="AL233" i="37"/>
  <c r="AN233" i="37"/>
  <c r="AD234" i="37"/>
  <c r="X236" i="37"/>
  <c r="W237" i="37"/>
  <c r="AE236" i="37"/>
  <c r="AO237" i="37" s="1"/>
  <c r="V236" i="37"/>
  <c r="AA235" i="37"/>
  <c r="Y235" i="37"/>
  <c r="Z235" i="37"/>
  <c r="AF235" i="37"/>
  <c r="AH235" i="37"/>
  <c r="AG235" i="37"/>
  <c r="AI235" i="37" s="1"/>
  <c r="AJ235" i="37" s="1"/>
  <c r="Z236" i="37" l="1"/>
  <c r="AN234" i="37"/>
  <c r="AL234" i="37"/>
  <c r="AF236" i="37"/>
  <c r="AH236" i="37"/>
  <c r="AG236" i="37"/>
  <c r="AI236" i="37" s="1"/>
  <c r="AJ236" i="37" s="1"/>
  <c r="AB236" i="37"/>
  <c r="AC236" i="37" s="1"/>
  <c r="X237" i="37"/>
  <c r="W238" i="37"/>
  <c r="AE237" i="37"/>
  <c r="AO238" i="37" s="1"/>
  <c r="V237" i="37"/>
  <c r="AA236" i="37"/>
  <c r="Y236" i="37"/>
  <c r="AK235" i="37"/>
  <c r="AB235" i="37"/>
  <c r="AC235" i="37" s="1"/>
  <c r="AD235" i="37" s="1"/>
  <c r="AN235" i="37" l="1"/>
  <c r="AL235" i="37"/>
  <c r="AF237" i="37"/>
  <c r="AH237" i="37"/>
  <c r="AG237" i="37"/>
  <c r="AI237" i="37" s="1"/>
  <c r="AJ237" i="37" s="1"/>
  <c r="X238" i="37"/>
  <c r="W239" i="37"/>
  <c r="AE238" i="37"/>
  <c r="AO239" i="37" s="1"/>
  <c r="V238" i="37"/>
  <c r="AA237" i="37"/>
  <c r="Y237" i="37"/>
  <c r="AD236" i="37"/>
  <c r="Z237" i="37"/>
  <c r="AK236" i="37"/>
  <c r="Z238" i="37" l="1"/>
  <c r="AL236" i="37"/>
  <c r="AN236" i="37"/>
  <c r="AF238" i="37"/>
  <c r="AH238" i="37"/>
  <c r="AG238" i="37"/>
  <c r="AI238" i="37" s="1"/>
  <c r="AJ238" i="37" s="1"/>
  <c r="AB238" i="37"/>
  <c r="AC238" i="37" s="1"/>
  <c r="X239" i="37"/>
  <c r="W240" i="37"/>
  <c r="AE239" i="37"/>
  <c r="AO240" i="37" s="1"/>
  <c r="V239" i="37"/>
  <c r="AA238" i="37"/>
  <c r="Y238" i="37"/>
  <c r="AB237" i="37"/>
  <c r="AC237" i="37" s="1"/>
  <c r="AD237" i="37" s="1"/>
  <c r="AK237" i="37"/>
  <c r="AL237" i="37" l="1"/>
  <c r="AN237" i="37"/>
  <c r="Z239" i="37"/>
  <c r="AF239" i="37"/>
  <c r="AH239" i="37"/>
  <c r="AG239" i="37"/>
  <c r="AI239" i="37" s="1"/>
  <c r="AJ239" i="37" s="1"/>
  <c r="X240" i="37"/>
  <c r="W241" i="37"/>
  <c r="AE240" i="37"/>
  <c r="AO241" i="37" s="1"/>
  <c r="V240" i="37"/>
  <c r="AA239" i="37"/>
  <c r="AB239" i="37" s="1"/>
  <c r="AC239" i="37" s="1"/>
  <c r="Y239" i="37"/>
  <c r="AD238" i="37"/>
  <c r="AK238" i="37"/>
  <c r="AL238" i="37" l="1"/>
  <c r="Z240" i="37"/>
  <c r="AN238" i="37"/>
  <c r="AA240" i="37"/>
  <c r="AB240" i="37" s="1"/>
  <c r="AC240" i="37" s="1"/>
  <c r="Y240" i="37"/>
  <c r="AF240" i="37"/>
  <c r="AH240" i="37"/>
  <c r="AG240" i="37"/>
  <c r="AI240" i="37" s="1"/>
  <c r="AJ240" i="37" s="1"/>
  <c r="X241" i="37"/>
  <c r="W242" i="37"/>
  <c r="AE241" i="37"/>
  <c r="AO242" i="37" s="1"/>
  <c r="V241" i="37"/>
  <c r="AD239" i="37"/>
  <c r="AK239" i="37"/>
  <c r="AL239" i="37" l="1"/>
  <c r="AN239" i="37"/>
  <c r="X242" i="37"/>
  <c r="W243" i="37"/>
  <c r="AE242" i="37"/>
  <c r="AO243" i="37" s="1"/>
  <c r="V242" i="37"/>
  <c r="Z242" i="37" s="1"/>
  <c r="AA241" i="37"/>
  <c r="Y241" i="37"/>
  <c r="AK240" i="37"/>
  <c r="AD240" i="37"/>
  <c r="Z241" i="37"/>
  <c r="AF241" i="37"/>
  <c r="AH241" i="37"/>
  <c r="AG241" i="37"/>
  <c r="AI241" i="37" s="1"/>
  <c r="AJ241" i="37" s="1"/>
  <c r="AL240" i="37" l="1"/>
  <c r="AN240" i="37"/>
  <c r="AF242" i="37"/>
  <c r="AH242" i="37"/>
  <c r="AG242" i="37"/>
  <c r="AI242" i="37" s="1"/>
  <c r="AJ242" i="37" s="1"/>
  <c r="AK241" i="37"/>
  <c r="X243" i="37"/>
  <c r="W244" i="37"/>
  <c r="AE243" i="37"/>
  <c r="AO244" i="37" s="1"/>
  <c r="V243" i="37"/>
  <c r="AB241" i="37"/>
  <c r="AC241" i="37" s="1"/>
  <c r="AD241" i="37" s="1"/>
  <c r="AA242" i="37"/>
  <c r="AB242" i="37" s="1"/>
  <c r="AC242" i="37" s="1"/>
  <c r="Y242" i="37"/>
  <c r="AL241" i="37" l="1"/>
  <c r="AN241" i="37"/>
  <c r="AA243" i="37"/>
  <c r="Y243" i="37"/>
  <c r="AD242" i="37"/>
  <c r="AF243" i="37"/>
  <c r="AH243" i="37"/>
  <c r="AG243" i="37"/>
  <c r="X244" i="37"/>
  <c r="W245" i="37"/>
  <c r="AE244" i="37"/>
  <c r="AO245" i="37" s="1"/>
  <c r="V244" i="37"/>
  <c r="AK242" i="37"/>
  <c r="Z243" i="37"/>
  <c r="AI243" i="37" l="1"/>
  <c r="AJ243" i="37" s="1"/>
  <c r="AK243" i="37" s="1"/>
  <c r="AL242" i="37"/>
  <c r="AN242" i="37"/>
  <c r="AF244" i="37"/>
  <c r="AH244" i="37"/>
  <c r="AG244" i="37"/>
  <c r="AI244" i="37" s="1"/>
  <c r="AJ244" i="37" s="1"/>
  <c r="X245" i="37"/>
  <c r="W246" i="37"/>
  <c r="AE245" i="37"/>
  <c r="AO246" i="37" s="1"/>
  <c r="V245" i="37"/>
  <c r="AA244" i="37"/>
  <c r="Y244" i="37"/>
  <c r="AB243" i="37"/>
  <c r="AC243" i="37" s="1"/>
  <c r="AD243" i="37" s="1"/>
  <c r="Z244" i="37"/>
  <c r="Z245" i="37" l="1"/>
  <c r="AL243" i="37"/>
  <c r="AN243" i="37"/>
  <c r="AF245" i="37"/>
  <c r="AH245" i="37"/>
  <c r="AG245" i="37"/>
  <c r="AI245" i="37" s="1"/>
  <c r="AJ245" i="37" s="1"/>
  <c r="X246" i="37"/>
  <c r="W247" i="37"/>
  <c r="AE246" i="37"/>
  <c r="AO247" i="37" s="1"/>
  <c r="V246" i="37"/>
  <c r="AB244" i="37"/>
  <c r="AC244" i="37" s="1"/>
  <c r="AD244" i="37" s="1"/>
  <c r="AA245" i="37"/>
  <c r="AB245" i="37" s="1"/>
  <c r="AC245" i="37" s="1"/>
  <c r="Y245" i="37"/>
  <c r="AK244" i="37"/>
  <c r="AL244" i="37" l="1"/>
  <c r="AN244" i="37"/>
  <c r="Z246" i="37"/>
  <c r="AF246" i="37"/>
  <c r="AH246" i="37"/>
  <c r="AG246" i="37"/>
  <c r="AI246" i="37" s="1"/>
  <c r="AJ246" i="37" s="1"/>
  <c r="X247" i="37"/>
  <c r="W248" i="37"/>
  <c r="AE247" i="37"/>
  <c r="AO248" i="37" s="1"/>
  <c r="V247" i="37"/>
  <c r="AA246" i="37"/>
  <c r="Y246" i="37"/>
  <c r="AD245" i="37"/>
  <c r="AK245" i="37"/>
  <c r="Z247" i="37" l="1"/>
  <c r="AL245" i="37"/>
  <c r="AB246" i="37"/>
  <c r="AC246" i="37" s="1"/>
  <c r="AD246" i="37" s="1"/>
  <c r="AN245" i="37"/>
  <c r="AA247" i="37"/>
  <c r="AB247" i="37" s="1"/>
  <c r="AC247" i="37" s="1"/>
  <c r="Y247" i="37"/>
  <c r="AF247" i="37"/>
  <c r="AH247" i="37"/>
  <c r="AG247" i="37"/>
  <c r="X248" i="37"/>
  <c r="W249" i="37"/>
  <c r="AE248" i="37"/>
  <c r="AO249" i="37" s="1"/>
  <c r="V248" i="37"/>
  <c r="AK246" i="37"/>
  <c r="AI247" i="37" l="1"/>
  <c r="AJ247" i="37" s="1"/>
  <c r="AK247" i="37" s="1"/>
  <c r="AL246" i="37"/>
  <c r="AN246" i="37"/>
  <c r="X249" i="37"/>
  <c r="W250" i="37"/>
  <c r="AE249" i="37"/>
  <c r="AO250" i="37" s="1"/>
  <c r="V249" i="37"/>
  <c r="Z249" i="37" s="1"/>
  <c r="AA248" i="37"/>
  <c r="Y248" i="37"/>
  <c r="AD247" i="37"/>
  <c r="Z248" i="37"/>
  <c r="AF248" i="37"/>
  <c r="AH248" i="37"/>
  <c r="AG248" i="37"/>
  <c r="AI248" i="37" l="1"/>
  <c r="AJ248" i="37" s="1"/>
  <c r="AK248" i="37" s="1"/>
  <c r="AL247" i="37"/>
  <c r="AN247" i="37"/>
  <c r="AF249" i="37"/>
  <c r="AH249" i="37"/>
  <c r="AG249" i="37"/>
  <c r="AI249" i="37" s="1"/>
  <c r="AJ249" i="37" s="1"/>
  <c r="X250" i="37"/>
  <c r="W251" i="37"/>
  <c r="AE250" i="37"/>
  <c r="AO251" i="37" s="1"/>
  <c r="V250" i="37"/>
  <c r="AB248" i="37"/>
  <c r="AC248" i="37" s="1"/>
  <c r="AD248" i="37" s="1"/>
  <c r="AA249" i="37"/>
  <c r="AB249" i="37" s="1"/>
  <c r="AC249" i="37" s="1"/>
  <c r="Y249" i="37"/>
  <c r="AL248" i="37" l="1"/>
  <c r="AN248" i="37"/>
  <c r="X251" i="37"/>
  <c r="W252" i="37"/>
  <c r="AE251" i="37"/>
  <c r="AO252" i="37" s="1"/>
  <c r="V251" i="37"/>
  <c r="Z251" i="37" s="1"/>
  <c r="AA250" i="37"/>
  <c r="Y250" i="37"/>
  <c r="AD249" i="37"/>
  <c r="AK249" i="37"/>
  <c r="Z250" i="37"/>
  <c r="AF250" i="37"/>
  <c r="AH250" i="37"/>
  <c r="AG250" i="37"/>
  <c r="AL249" i="37" l="1"/>
  <c r="AN249" i="37"/>
  <c r="AI250" i="37"/>
  <c r="AJ250" i="37" s="1"/>
  <c r="AK250" i="37" s="1"/>
  <c r="AF251" i="37"/>
  <c r="AH251" i="37"/>
  <c r="AG251" i="37"/>
  <c r="AI251" i="37" s="1"/>
  <c r="AJ251" i="37" s="1"/>
  <c r="X252" i="37"/>
  <c r="W253" i="37"/>
  <c r="AE252" i="37"/>
  <c r="AO253" i="37" s="1"/>
  <c r="V252" i="37"/>
  <c r="AB250" i="37"/>
  <c r="AC250" i="37" s="1"/>
  <c r="AD250" i="37" s="1"/>
  <c r="AA251" i="37"/>
  <c r="AB251" i="37" s="1"/>
  <c r="AC251" i="37" s="1"/>
  <c r="Y251" i="37"/>
  <c r="AN250" i="37" l="1"/>
  <c r="AL250" i="37"/>
  <c r="AA252" i="37"/>
  <c r="Y252" i="37"/>
  <c r="AD251" i="37"/>
  <c r="AK251" i="37"/>
  <c r="Z252" i="37"/>
  <c r="AB252" i="37" s="1"/>
  <c r="AC252" i="37" s="1"/>
  <c r="AF252" i="37"/>
  <c r="AH252" i="37"/>
  <c r="AG252" i="37"/>
  <c r="AI252" i="37" s="1"/>
  <c r="AJ252" i="37" s="1"/>
  <c r="X253" i="37"/>
  <c r="W254" i="37"/>
  <c r="AE253" i="37"/>
  <c r="AO254" i="37" s="1"/>
  <c r="V253" i="37"/>
  <c r="Z253" i="37" l="1"/>
  <c r="AL251" i="37"/>
  <c r="AN251" i="37"/>
  <c r="AK252" i="37"/>
  <c r="AF253" i="37"/>
  <c r="AH253" i="37"/>
  <c r="AG253" i="37"/>
  <c r="AI253" i="37" s="1"/>
  <c r="AJ253" i="37" s="1"/>
  <c r="X254" i="37"/>
  <c r="W255" i="37"/>
  <c r="AE254" i="37"/>
  <c r="AO255" i="37" s="1"/>
  <c r="V254" i="37"/>
  <c r="AD252" i="37"/>
  <c r="AA253" i="37"/>
  <c r="AB253" i="37" s="1"/>
  <c r="AC253" i="37" s="1"/>
  <c r="Y253" i="37"/>
  <c r="AN252" i="37" l="1"/>
  <c r="AL252" i="37"/>
  <c r="AA254" i="37"/>
  <c r="Y254" i="37"/>
  <c r="AF254" i="37"/>
  <c r="AH254" i="37"/>
  <c r="AG254" i="37"/>
  <c r="AI254" i="37" s="1"/>
  <c r="AJ254" i="37" s="1"/>
  <c r="X255" i="37"/>
  <c r="AE255" i="37"/>
  <c r="AO256" i="37" s="1"/>
  <c r="V255" i="37"/>
  <c r="W256" i="37"/>
  <c r="AD253" i="37"/>
  <c r="AK253" i="37"/>
  <c r="Z254" i="37"/>
  <c r="AB254" i="37" s="1"/>
  <c r="AC254" i="37" s="1"/>
  <c r="AL253" i="37" l="1"/>
  <c r="Z255" i="37"/>
  <c r="AN253" i="37"/>
  <c r="AG255" i="37"/>
  <c r="AF255" i="37"/>
  <c r="AH255" i="37"/>
  <c r="AA255" i="37"/>
  <c r="AB255" i="37" s="1"/>
  <c r="AC255" i="37" s="1"/>
  <c r="Y255" i="37"/>
  <c r="AK254" i="37"/>
  <c r="AD254" i="37"/>
  <c r="V256" i="37"/>
  <c r="X256" i="37"/>
  <c r="AE256" i="37"/>
  <c r="AO257" i="37" s="1"/>
  <c r="W257" i="37"/>
  <c r="AL254" i="37" l="1"/>
  <c r="AN254" i="37"/>
  <c r="AD255" i="37"/>
  <c r="V257" i="37"/>
  <c r="AE257" i="37"/>
  <c r="AO258" i="37" s="1"/>
  <c r="W258" i="37"/>
  <c r="X257" i="37"/>
  <c r="AH256" i="37"/>
  <c r="AG256" i="37"/>
  <c r="AF256" i="37"/>
  <c r="Y256" i="37"/>
  <c r="AA256" i="37"/>
  <c r="AI255" i="37"/>
  <c r="AJ255" i="37" s="1"/>
  <c r="AK255" i="37" s="1"/>
  <c r="Z256" i="37"/>
  <c r="AB256" i="37" s="1"/>
  <c r="AC256" i="37" s="1"/>
  <c r="AI256" i="37" l="1"/>
  <c r="AJ256" i="37" s="1"/>
  <c r="AK256" i="37" s="1"/>
  <c r="AL255" i="37"/>
  <c r="AN255" i="37"/>
  <c r="AA257" i="37"/>
  <c r="Y257" i="37"/>
  <c r="V258" i="37"/>
  <c r="X258" i="37"/>
  <c r="AE258" i="37"/>
  <c r="AO259" i="37" s="1"/>
  <c r="W259" i="37"/>
  <c r="AH257" i="37"/>
  <c r="AG257" i="37"/>
  <c r="AF257" i="37"/>
  <c r="AD256" i="37"/>
  <c r="Z257" i="37"/>
  <c r="AB257" i="37" s="1"/>
  <c r="AC257" i="37" s="1"/>
  <c r="AN256" i="37" l="1"/>
  <c r="AL256" i="37"/>
  <c r="V259" i="37"/>
  <c r="AE259" i="37"/>
  <c r="AO260" i="37" s="1"/>
  <c r="W260" i="37"/>
  <c r="X259" i="37"/>
  <c r="AA258" i="37"/>
  <c r="Y258" i="37"/>
  <c r="AH258" i="37"/>
  <c r="AG258" i="37"/>
  <c r="AI258" i="37" s="1"/>
  <c r="AJ258" i="37" s="1"/>
  <c r="AF258" i="37"/>
  <c r="Z258" i="37"/>
  <c r="AD257" i="37"/>
  <c r="AI257" i="37"/>
  <c r="AJ257" i="37" s="1"/>
  <c r="AK257" i="37" s="1"/>
  <c r="AL257" i="37" l="1"/>
  <c r="AN257" i="37"/>
  <c r="AA259" i="37"/>
  <c r="Y259" i="37"/>
  <c r="V260" i="37"/>
  <c r="X260" i="37"/>
  <c r="AE260" i="37"/>
  <c r="AO261" i="37" s="1"/>
  <c r="W261" i="37"/>
  <c r="AB258" i="37"/>
  <c r="AC258" i="37" s="1"/>
  <c r="AD258" i="37" s="1"/>
  <c r="AH259" i="37"/>
  <c r="AG259" i="37"/>
  <c r="AI259" i="37" s="1"/>
  <c r="AJ259" i="37" s="1"/>
  <c r="AF259" i="37"/>
  <c r="AK258" i="37"/>
  <c r="Z259" i="37"/>
  <c r="AB259" i="37" s="1"/>
  <c r="AC259" i="37" s="1"/>
  <c r="AN258" i="37" l="1"/>
  <c r="AL258" i="37"/>
  <c r="AK259" i="37"/>
  <c r="AD259" i="37"/>
  <c r="V261" i="37"/>
  <c r="AE261" i="37"/>
  <c r="AO262" i="37" s="1"/>
  <c r="W262" i="37"/>
  <c r="X261" i="37"/>
  <c r="AH260" i="37"/>
  <c r="AG260" i="37"/>
  <c r="AF260" i="37"/>
  <c r="AA260" i="37"/>
  <c r="Y260" i="37"/>
  <c r="Z260" i="37"/>
  <c r="AB260" i="37" s="1"/>
  <c r="AC260" i="37" s="1"/>
  <c r="AL259" i="37" l="1"/>
  <c r="AN259" i="37"/>
  <c r="AI260" i="37"/>
  <c r="AJ260" i="37" s="1"/>
  <c r="AK260" i="37" s="1"/>
  <c r="AA261" i="37"/>
  <c r="Y261" i="37"/>
  <c r="V262" i="37"/>
  <c r="W263" i="37"/>
  <c r="X262" i="37"/>
  <c r="AE262" i="37"/>
  <c r="AO263" i="37" s="1"/>
  <c r="AH261" i="37"/>
  <c r="AF261" i="37"/>
  <c r="AG261" i="37"/>
  <c r="AD260" i="37"/>
  <c r="Z261" i="37"/>
  <c r="AB261" i="37" s="1"/>
  <c r="AC261" i="37" s="1"/>
  <c r="AL260" i="37" l="1"/>
  <c r="AN260" i="37"/>
  <c r="AH262" i="37"/>
  <c r="AG262" i="37"/>
  <c r="AI262" i="37" s="1"/>
  <c r="AJ262" i="37" s="1"/>
  <c r="AF262" i="37"/>
  <c r="V263" i="37"/>
  <c r="X263" i="37"/>
  <c r="W264" i="37"/>
  <c r="AE263" i="37"/>
  <c r="AO264" i="37" s="1"/>
  <c r="AA262" i="37"/>
  <c r="Y262" i="37"/>
  <c r="Z262" i="37"/>
  <c r="AD261" i="37"/>
  <c r="AI261" i="37"/>
  <c r="AJ261" i="37" s="1"/>
  <c r="AK261" i="37" s="1"/>
  <c r="AL261" i="37" l="1"/>
  <c r="AK262" i="37"/>
  <c r="AB262" i="37"/>
  <c r="AC262" i="37" s="1"/>
  <c r="AD262" i="37" s="1"/>
  <c r="AN261" i="37"/>
  <c r="Z263" i="37"/>
  <c r="AH263" i="37"/>
  <c r="AG263" i="37"/>
  <c r="AI263" i="37" s="1"/>
  <c r="AJ263" i="37" s="1"/>
  <c r="AF263" i="37"/>
  <c r="V264" i="37"/>
  <c r="X264" i="37"/>
  <c r="W265" i="37"/>
  <c r="AE264" i="37"/>
  <c r="AO265" i="37" s="1"/>
  <c r="AA263" i="37"/>
  <c r="Y263" i="37"/>
  <c r="AN262" i="37" l="1"/>
  <c r="AL262" i="37"/>
  <c r="AK263" i="37"/>
  <c r="V265" i="37"/>
  <c r="X265" i="37"/>
  <c r="W266" i="37"/>
  <c r="AE265" i="37"/>
  <c r="AO266" i="37" s="1"/>
  <c r="AA264" i="37"/>
  <c r="Y264" i="37"/>
  <c r="Z264" i="37"/>
  <c r="AH264" i="37"/>
  <c r="AG264" i="37"/>
  <c r="AI264" i="37" s="1"/>
  <c r="AJ264" i="37" s="1"/>
  <c r="AF264" i="37"/>
  <c r="AB263" i="37"/>
  <c r="AC263" i="37" s="1"/>
  <c r="AD263" i="37" s="1"/>
  <c r="AB264" i="37" l="1"/>
  <c r="AC264" i="37" s="1"/>
  <c r="AD264" i="37" s="1"/>
  <c r="AL263" i="37"/>
  <c r="AN263" i="37"/>
  <c r="AK264" i="37"/>
  <c r="V266" i="37"/>
  <c r="X266" i="37"/>
  <c r="W267" i="37"/>
  <c r="AE266" i="37"/>
  <c r="AO267" i="37" s="1"/>
  <c r="AH265" i="37"/>
  <c r="AG265" i="37"/>
  <c r="AI265" i="37" s="1"/>
  <c r="AJ265" i="37" s="1"/>
  <c r="AF265" i="37"/>
  <c r="AA265" i="37"/>
  <c r="Y265" i="37"/>
  <c r="Z265" i="37"/>
  <c r="AB265" i="37" s="1"/>
  <c r="AC265" i="37" s="1"/>
  <c r="AL264" i="37" l="1"/>
  <c r="AN264" i="37"/>
  <c r="AH266" i="37"/>
  <c r="AG266" i="37"/>
  <c r="AI266" i="37" s="1"/>
  <c r="AJ266" i="37" s="1"/>
  <c r="AF266" i="37"/>
  <c r="V267" i="37"/>
  <c r="X267" i="37"/>
  <c r="W268" i="37"/>
  <c r="AE267" i="37"/>
  <c r="AO268" i="37" s="1"/>
  <c r="AD265" i="37"/>
  <c r="AA266" i="37"/>
  <c r="Y266" i="37"/>
  <c r="Z266" i="37"/>
  <c r="AB266" i="37" s="1"/>
  <c r="AC266" i="37" s="1"/>
  <c r="AK265" i="37"/>
  <c r="AL265" i="37" l="1"/>
  <c r="AN265" i="37"/>
  <c r="AK266" i="37"/>
  <c r="AA267" i="37"/>
  <c r="Y267" i="37"/>
  <c r="AD266" i="37"/>
  <c r="AH267" i="37"/>
  <c r="AG267" i="37"/>
  <c r="AI267" i="37" s="1"/>
  <c r="AJ267" i="37" s="1"/>
  <c r="AF267" i="37"/>
  <c r="V268" i="37"/>
  <c r="X268" i="37"/>
  <c r="W269" i="37"/>
  <c r="AE268" i="37"/>
  <c r="AO269" i="37" s="1"/>
  <c r="Z267" i="37"/>
  <c r="AB267" i="37" s="1"/>
  <c r="AC267" i="37" s="1"/>
  <c r="AN266" i="37" l="1"/>
  <c r="AL266" i="37"/>
  <c r="AA268" i="37"/>
  <c r="Y268" i="37"/>
  <c r="Z268" i="37"/>
  <c r="AB268" i="37" s="1"/>
  <c r="AC268" i="37" s="1"/>
  <c r="AK267" i="37"/>
  <c r="AH268" i="37"/>
  <c r="AG268" i="37"/>
  <c r="AI268" i="37" s="1"/>
  <c r="AJ268" i="37" s="1"/>
  <c r="AF268" i="37"/>
  <c r="AD267" i="37"/>
  <c r="V269" i="37"/>
  <c r="X269" i="37"/>
  <c r="W270" i="37"/>
  <c r="AE269" i="37"/>
  <c r="AO270" i="37" s="1"/>
  <c r="AN267" i="37" l="1"/>
  <c r="AL267" i="37"/>
  <c r="AK268" i="37"/>
  <c r="AH269" i="37"/>
  <c r="AG269" i="37"/>
  <c r="AI269" i="37" s="1"/>
  <c r="AJ269" i="37" s="1"/>
  <c r="AF269" i="37"/>
  <c r="V270" i="37"/>
  <c r="X270" i="37"/>
  <c r="W271" i="37"/>
  <c r="AE270" i="37"/>
  <c r="AO271" i="37" s="1"/>
  <c r="AA269" i="37"/>
  <c r="Y269" i="37"/>
  <c r="AD268" i="37"/>
  <c r="Z269" i="37"/>
  <c r="AL268" i="37" l="1"/>
  <c r="AK269" i="37"/>
  <c r="AN268" i="37"/>
  <c r="AH270" i="37"/>
  <c r="AG270" i="37"/>
  <c r="AI270" i="37" s="1"/>
  <c r="AJ270" i="37" s="1"/>
  <c r="AF270" i="37"/>
  <c r="V271" i="37"/>
  <c r="X271" i="37"/>
  <c r="W272" i="37"/>
  <c r="AE271" i="37"/>
  <c r="AO272" i="37" s="1"/>
  <c r="Z270" i="37"/>
  <c r="AA270" i="37"/>
  <c r="Y270" i="37"/>
  <c r="AB269" i="37"/>
  <c r="AC269" i="37" s="1"/>
  <c r="AD269" i="37" s="1"/>
  <c r="AN269" i="37" l="1"/>
  <c r="AL269" i="37"/>
  <c r="AK270" i="37"/>
  <c r="AB270" i="37"/>
  <c r="AC270" i="37" s="1"/>
  <c r="AD270" i="37" s="1"/>
  <c r="AA271" i="37"/>
  <c r="Y271" i="37"/>
  <c r="AH271" i="37"/>
  <c r="AG271" i="37"/>
  <c r="AF271" i="37"/>
  <c r="V272" i="37"/>
  <c r="X272" i="37"/>
  <c r="W273" i="37"/>
  <c r="AE272" i="37"/>
  <c r="AO273" i="37" s="1"/>
  <c r="Z271" i="37"/>
  <c r="AB271" i="37" s="1"/>
  <c r="AC271" i="37" s="1"/>
  <c r="AI271" i="37" l="1"/>
  <c r="AJ271" i="37" s="1"/>
  <c r="AK271" i="37" s="1"/>
  <c r="AL270" i="37"/>
  <c r="AN270" i="37"/>
  <c r="AA272" i="37"/>
  <c r="Y272" i="37"/>
  <c r="Z272" i="37"/>
  <c r="AB272" i="37" s="1"/>
  <c r="AC272" i="37" s="1"/>
  <c r="AH272" i="37"/>
  <c r="AG272" i="37"/>
  <c r="AF272" i="37"/>
  <c r="AD271" i="37"/>
  <c r="V273" i="37"/>
  <c r="X273" i="37"/>
  <c r="W274" i="37"/>
  <c r="AE273" i="37"/>
  <c r="AO274" i="37" s="1"/>
  <c r="AI272" i="37" l="1"/>
  <c r="AJ272" i="37" s="1"/>
  <c r="AK272" i="37" s="1"/>
  <c r="AL271" i="37"/>
  <c r="AN271" i="37"/>
  <c r="AH273" i="37"/>
  <c r="AG273" i="37"/>
  <c r="AI273" i="37" s="1"/>
  <c r="AJ273" i="37" s="1"/>
  <c r="AF273" i="37"/>
  <c r="V274" i="37"/>
  <c r="X274" i="37"/>
  <c r="W275" i="37"/>
  <c r="AE274" i="37"/>
  <c r="AO275" i="37" s="1"/>
  <c r="AA273" i="37"/>
  <c r="Y273" i="37"/>
  <c r="AD272" i="37"/>
  <c r="Z273" i="37"/>
  <c r="AN272" i="37" l="1"/>
  <c r="AL272" i="37"/>
  <c r="AK273" i="37"/>
  <c r="AH274" i="37"/>
  <c r="AG274" i="37"/>
  <c r="AI274" i="37" s="1"/>
  <c r="AJ274" i="37" s="1"/>
  <c r="AF274" i="37"/>
  <c r="V275" i="37"/>
  <c r="X275" i="37"/>
  <c r="W276" i="37"/>
  <c r="AE275" i="37"/>
  <c r="AO276" i="37" s="1"/>
  <c r="Z274" i="37"/>
  <c r="AA274" i="37"/>
  <c r="Y274" i="37"/>
  <c r="AB273" i="37"/>
  <c r="AC273" i="37" s="1"/>
  <c r="AD273" i="37" s="1"/>
  <c r="AB274" i="37" l="1"/>
  <c r="AC274" i="37" s="1"/>
  <c r="AD274" i="37" s="1"/>
  <c r="AL273" i="37"/>
  <c r="AN273" i="37"/>
  <c r="AK274" i="37"/>
  <c r="AH275" i="37"/>
  <c r="AG275" i="37"/>
  <c r="AI275" i="37" s="1"/>
  <c r="AJ275" i="37" s="1"/>
  <c r="AF275" i="37"/>
  <c r="V276" i="37"/>
  <c r="X276" i="37"/>
  <c r="W277" i="37"/>
  <c r="AE276" i="37"/>
  <c r="AO277" i="37" s="1"/>
  <c r="AA275" i="37"/>
  <c r="Y275" i="37"/>
  <c r="Z275" i="37"/>
  <c r="AL274" i="37" l="1"/>
  <c r="AK275" i="37"/>
  <c r="AN274" i="37"/>
  <c r="V277" i="37"/>
  <c r="X277" i="37"/>
  <c r="W278" i="37"/>
  <c r="AE277" i="37"/>
  <c r="AO278" i="37" s="1"/>
  <c r="AB275" i="37"/>
  <c r="AC275" i="37" s="1"/>
  <c r="AD275" i="37" s="1"/>
  <c r="AH276" i="37"/>
  <c r="AG276" i="37"/>
  <c r="AI276" i="37" s="1"/>
  <c r="AJ276" i="37" s="1"/>
  <c r="AF276" i="37"/>
  <c r="AA276" i="37"/>
  <c r="Y276" i="37"/>
  <c r="Z276" i="37"/>
  <c r="AB276" i="37" s="1"/>
  <c r="AC276" i="37" s="1"/>
  <c r="AL275" i="37" l="1"/>
  <c r="AN275" i="37"/>
  <c r="AK276" i="37"/>
  <c r="AH277" i="37"/>
  <c r="AG277" i="37"/>
  <c r="AI277" i="37" s="1"/>
  <c r="AJ277" i="37" s="1"/>
  <c r="AF277" i="37"/>
  <c r="V278" i="37"/>
  <c r="X278" i="37"/>
  <c r="W279" i="37"/>
  <c r="AE278" i="37"/>
  <c r="AO279" i="37" s="1"/>
  <c r="AD276" i="37"/>
  <c r="AA277" i="37"/>
  <c r="Y277" i="37"/>
  <c r="Z277" i="37"/>
  <c r="AB277" i="37" s="1"/>
  <c r="AC277" i="37" s="1"/>
  <c r="AL276" i="37" l="1"/>
  <c r="AN276" i="37"/>
  <c r="AK277" i="37"/>
  <c r="AH278" i="37"/>
  <c r="AG278" i="37"/>
  <c r="AI278" i="37" s="1"/>
  <c r="AJ278" i="37" s="1"/>
  <c r="AF278" i="37"/>
  <c r="V279" i="37"/>
  <c r="X279" i="37"/>
  <c r="W280" i="37"/>
  <c r="AE279" i="37"/>
  <c r="AO280" i="37" s="1"/>
  <c r="Z278" i="37"/>
  <c r="AD277" i="37"/>
  <c r="AA278" i="37"/>
  <c r="Y278" i="37"/>
  <c r="AL277" i="37" l="1"/>
  <c r="AN277" i="37"/>
  <c r="AB278" i="37"/>
  <c r="AC278" i="37" s="1"/>
  <c r="AD278" i="37" s="1"/>
  <c r="AK278" i="37"/>
  <c r="AH279" i="37"/>
  <c r="AG279" i="37"/>
  <c r="AI279" i="37" s="1"/>
  <c r="AJ279" i="37" s="1"/>
  <c r="AF279" i="37"/>
  <c r="V280" i="37"/>
  <c r="X280" i="37"/>
  <c r="W281" i="37"/>
  <c r="AE280" i="37"/>
  <c r="AO281" i="37" s="1"/>
  <c r="AA279" i="37"/>
  <c r="Y279" i="37"/>
  <c r="Z279" i="37"/>
  <c r="AL278" i="37" l="1"/>
  <c r="AN278" i="37"/>
  <c r="AK279" i="37"/>
  <c r="V281" i="37"/>
  <c r="X281" i="37"/>
  <c r="W282" i="37"/>
  <c r="AE281" i="37"/>
  <c r="AO282" i="37" s="1"/>
  <c r="AB279" i="37"/>
  <c r="AC279" i="37" s="1"/>
  <c r="AD279" i="37" s="1"/>
  <c r="AH280" i="37"/>
  <c r="AG280" i="37"/>
  <c r="AI280" i="37" s="1"/>
  <c r="AJ280" i="37" s="1"/>
  <c r="AF280" i="37"/>
  <c r="AA280" i="37"/>
  <c r="Y280" i="37"/>
  <c r="Z280" i="37"/>
  <c r="AB280" i="37" s="1"/>
  <c r="AC280" i="37" s="1"/>
  <c r="AN279" i="37" l="1"/>
  <c r="AL279" i="37"/>
  <c r="AH281" i="37"/>
  <c r="AG281" i="37"/>
  <c r="AI281" i="37" s="1"/>
  <c r="AJ281" i="37" s="1"/>
  <c r="AF281" i="37"/>
  <c r="AK280" i="37"/>
  <c r="V282" i="37"/>
  <c r="X282" i="37"/>
  <c r="W283" i="37"/>
  <c r="AE282" i="37"/>
  <c r="AO283" i="37" s="1"/>
  <c r="AD280" i="37"/>
  <c r="AA281" i="37"/>
  <c r="Y281" i="37"/>
  <c r="Z281" i="37"/>
  <c r="AB281" i="37" s="1"/>
  <c r="AC281" i="37" s="1"/>
  <c r="AL280" i="37" l="1"/>
  <c r="AK281" i="37"/>
  <c r="AN280" i="37"/>
  <c r="AH282" i="37"/>
  <c r="AG282" i="37"/>
  <c r="AI282" i="37" s="1"/>
  <c r="AJ282" i="37" s="1"/>
  <c r="AF282" i="37"/>
  <c r="V283" i="37"/>
  <c r="X283" i="37"/>
  <c r="W284" i="37"/>
  <c r="AE283" i="37"/>
  <c r="AO284" i="37" s="1"/>
  <c r="Z282" i="37"/>
  <c r="AD281" i="37"/>
  <c r="AA282" i="37"/>
  <c r="Y282" i="37"/>
  <c r="AL281" i="37" l="1"/>
  <c r="AN281" i="37"/>
  <c r="AB282" i="37"/>
  <c r="AC282" i="37" s="1"/>
  <c r="AD282" i="37" s="1"/>
  <c r="AK282" i="37"/>
  <c r="AH283" i="37"/>
  <c r="AG283" i="37"/>
  <c r="AI283" i="37" s="1"/>
  <c r="AJ283" i="37" s="1"/>
  <c r="AF283" i="37"/>
  <c r="V284" i="37"/>
  <c r="X284" i="37"/>
  <c r="W285" i="37"/>
  <c r="AE284" i="37"/>
  <c r="AO285" i="37" s="1"/>
  <c r="AA283" i="37"/>
  <c r="Y283" i="37"/>
  <c r="Z283" i="37"/>
  <c r="AL282" i="37" l="1"/>
  <c r="AN282" i="37"/>
  <c r="AK283" i="37"/>
  <c r="AB283" i="37"/>
  <c r="AC283" i="37" s="1"/>
  <c r="AD283" i="37" s="1"/>
  <c r="AH284" i="37"/>
  <c r="AG284" i="37"/>
  <c r="AI284" i="37" s="1"/>
  <c r="AJ284" i="37" s="1"/>
  <c r="AF284" i="37"/>
  <c r="V285" i="37"/>
  <c r="X285" i="37"/>
  <c r="W286" i="37"/>
  <c r="AE285" i="37"/>
  <c r="AO286" i="37" s="1"/>
  <c r="AA284" i="37"/>
  <c r="Y284" i="37"/>
  <c r="Z284" i="37"/>
  <c r="AB284" i="37" s="1"/>
  <c r="AC284" i="37" s="1"/>
  <c r="AN283" i="37" l="1"/>
  <c r="AL283" i="37"/>
  <c r="AK284" i="37"/>
  <c r="AH285" i="37"/>
  <c r="AG285" i="37"/>
  <c r="AI285" i="37" s="1"/>
  <c r="AJ285" i="37" s="1"/>
  <c r="AF285" i="37"/>
  <c r="V286" i="37"/>
  <c r="X286" i="37"/>
  <c r="W287" i="37"/>
  <c r="AE286" i="37"/>
  <c r="AO287" i="37" s="1"/>
  <c r="AA285" i="37"/>
  <c r="Y285" i="37"/>
  <c r="Z285" i="37"/>
  <c r="AD284" i="37"/>
  <c r="AL284" i="37" l="1"/>
  <c r="AN284" i="37"/>
  <c r="AK285" i="37"/>
  <c r="AB285" i="37"/>
  <c r="AC285" i="37" s="1"/>
  <c r="AD285" i="37" s="1"/>
  <c r="AH286" i="37"/>
  <c r="AG286" i="37"/>
  <c r="AI286" i="37" s="1"/>
  <c r="AJ286" i="37" s="1"/>
  <c r="AF286" i="37"/>
  <c r="V287" i="37"/>
  <c r="X287" i="37"/>
  <c r="W288" i="37"/>
  <c r="AE287" i="37"/>
  <c r="AO288" i="37" s="1"/>
  <c r="AA286" i="37"/>
  <c r="Y286" i="37"/>
  <c r="Z286" i="37"/>
  <c r="AB286" i="37" s="1"/>
  <c r="AC286" i="37" s="1"/>
  <c r="AN285" i="37" l="1"/>
  <c r="AL285" i="37"/>
  <c r="AK286" i="37"/>
  <c r="AH287" i="37"/>
  <c r="AG287" i="37"/>
  <c r="AI287" i="37" s="1"/>
  <c r="AJ287" i="37" s="1"/>
  <c r="AF287" i="37"/>
  <c r="V288" i="37"/>
  <c r="X288" i="37"/>
  <c r="W289" i="37"/>
  <c r="AE288" i="37"/>
  <c r="AO289" i="37" s="1"/>
  <c r="AA287" i="37"/>
  <c r="Y287" i="37"/>
  <c r="Z287" i="37"/>
  <c r="AD286" i="37"/>
  <c r="AL286" i="37" l="1"/>
  <c r="AN286" i="37"/>
  <c r="AK287" i="37"/>
  <c r="AB287" i="37"/>
  <c r="AC287" i="37" s="1"/>
  <c r="AD287" i="37" s="1"/>
  <c r="AH288" i="37"/>
  <c r="AG288" i="37"/>
  <c r="AF288" i="37"/>
  <c r="V289" i="37"/>
  <c r="X289" i="37"/>
  <c r="W290" i="37"/>
  <c r="AE289" i="37"/>
  <c r="AO290" i="37" s="1"/>
  <c r="AA288" i="37"/>
  <c r="Y288" i="37"/>
  <c r="Z288" i="37"/>
  <c r="AB288" i="37" s="1"/>
  <c r="AC288" i="37" s="1"/>
  <c r="AN287" i="37" l="1"/>
  <c r="AL287" i="37"/>
  <c r="AI288" i="37"/>
  <c r="AJ288" i="37" s="1"/>
  <c r="AK288" i="37" s="1"/>
  <c r="AH289" i="37"/>
  <c r="AF289" i="37"/>
  <c r="AG289" i="37"/>
  <c r="AI289" i="37" s="1"/>
  <c r="AJ289" i="37" s="1"/>
  <c r="V290" i="37"/>
  <c r="X290" i="37"/>
  <c r="AE290" i="37"/>
  <c r="AO291" i="37" s="1"/>
  <c r="W291" i="37"/>
  <c r="AA289" i="37"/>
  <c r="Y289" i="37"/>
  <c r="Z289" i="37"/>
  <c r="AD288" i="37"/>
  <c r="AL288" i="37" l="1"/>
  <c r="AN288" i="37"/>
  <c r="AA290" i="37"/>
  <c r="Y290" i="37"/>
  <c r="V291" i="37"/>
  <c r="X291" i="37"/>
  <c r="AE291" i="37"/>
  <c r="AO292" i="37" s="1"/>
  <c r="W292" i="37"/>
  <c r="AH290" i="37"/>
  <c r="AF290" i="37"/>
  <c r="AG290" i="37"/>
  <c r="Z290" i="37"/>
  <c r="AB290" i="37" s="1"/>
  <c r="AC290" i="37" s="1"/>
  <c r="AB289" i="37"/>
  <c r="AC289" i="37" s="1"/>
  <c r="AD289" i="37" s="1"/>
  <c r="AK289" i="37"/>
  <c r="AL289" i="37" l="1"/>
  <c r="AN289" i="37"/>
  <c r="AH291" i="37"/>
  <c r="AF291" i="37"/>
  <c r="AG291" i="37"/>
  <c r="AI291" i="37" s="1"/>
  <c r="AJ291" i="37" s="1"/>
  <c r="Z291" i="37"/>
  <c r="AB291" i="37" s="1"/>
  <c r="AC291" i="37" s="1"/>
  <c r="V292" i="37"/>
  <c r="X292" i="37"/>
  <c r="W293" i="37"/>
  <c r="AE292" i="37"/>
  <c r="AO293" i="37" s="1"/>
  <c r="AA291" i="37"/>
  <c r="Y291" i="37"/>
  <c r="AD290" i="37"/>
  <c r="AI290" i="37"/>
  <c r="AJ290" i="37" s="1"/>
  <c r="AK290" i="37" s="1"/>
  <c r="AL290" i="37" l="1"/>
  <c r="AN290" i="37"/>
  <c r="AD291" i="37"/>
  <c r="V293" i="37"/>
  <c r="X293" i="37"/>
  <c r="W294" i="37"/>
  <c r="AE293" i="37"/>
  <c r="AO294" i="37" s="1"/>
  <c r="AA292" i="37"/>
  <c r="Y292" i="37"/>
  <c r="Z292" i="37"/>
  <c r="AK291" i="37"/>
  <c r="AH292" i="37"/>
  <c r="AF292" i="37"/>
  <c r="AG292" i="37"/>
  <c r="AI292" i="37" s="1"/>
  <c r="AJ292" i="37" s="1"/>
  <c r="AL291" i="37" l="1"/>
  <c r="AN291" i="37"/>
  <c r="AB292" i="37"/>
  <c r="AC292" i="37" s="1"/>
  <c r="AD292" i="37" s="1"/>
  <c r="AH293" i="37"/>
  <c r="AF293" i="37"/>
  <c r="AG293" i="37"/>
  <c r="AI293" i="37" s="1"/>
  <c r="AJ293" i="37" s="1"/>
  <c r="V294" i="37"/>
  <c r="X294" i="37"/>
  <c r="AE294" i="37"/>
  <c r="AO295" i="37" s="1"/>
  <c r="W295" i="37"/>
  <c r="AK292" i="37"/>
  <c r="AA293" i="37"/>
  <c r="Y293" i="37"/>
  <c r="Z293" i="37"/>
  <c r="AB293" i="37" s="1"/>
  <c r="AC293" i="37" s="1"/>
  <c r="AL292" i="37" l="1"/>
  <c r="AN292" i="37"/>
  <c r="AH294" i="37"/>
  <c r="AF294" i="37"/>
  <c r="AG294" i="37"/>
  <c r="AI294" i="37" s="1"/>
  <c r="AJ294" i="37" s="1"/>
  <c r="Z294" i="37"/>
  <c r="AB294" i="37" s="1"/>
  <c r="AC294" i="37" s="1"/>
  <c r="AD293" i="37"/>
  <c r="V295" i="37"/>
  <c r="X295" i="37"/>
  <c r="AE295" i="37"/>
  <c r="AO296" i="37" s="1"/>
  <c r="W296" i="37"/>
  <c r="AA294" i="37"/>
  <c r="Y294" i="37"/>
  <c r="AK293" i="37"/>
  <c r="AL293" i="37" l="1"/>
  <c r="AN293" i="37"/>
  <c r="AH295" i="37"/>
  <c r="AF295" i="37"/>
  <c r="AG295" i="37"/>
  <c r="AI295" i="37" s="1"/>
  <c r="AJ295" i="37" s="1"/>
  <c r="Z295" i="37"/>
  <c r="AD294" i="37"/>
  <c r="AA295" i="37"/>
  <c r="Y295" i="37"/>
  <c r="AK294" i="37"/>
  <c r="V296" i="37"/>
  <c r="X296" i="37"/>
  <c r="W297" i="37"/>
  <c r="AE296" i="37"/>
  <c r="AO297" i="37" s="1"/>
  <c r="AL294" i="37" l="1"/>
  <c r="AN294" i="37"/>
  <c r="AB295" i="37"/>
  <c r="AC295" i="37" s="1"/>
  <c r="AD295" i="37" s="1"/>
  <c r="V297" i="37"/>
  <c r="X297" i="37"/>
  <c r="W298" i="37"/>
  <c r="AE297" i="37"/>
  <c r="AO298" i="37" s="1"/>
  <c r="AH296" i="37"/>
  <c r="AF296" i="37"/>
  <c r="AG296" i="37"/>
  <c r="AA296" i="37"/>
  <c r="Y296" i="37"/>
  <c r="AK295" i="37"/>
  <c r="Z296" i="37"/>
  <c r="AB296" i="37" s="1"/>
  <c r="AC296" i="37" s="1"/>
  <c r="AL295" i="37" l="1"/>
  <c r="AN295" i="37"/>
  <c r="AH297" i="37"/>
  <c r="AG297" i="37"/>
  <c r="AI297" i="37" s="1"/>
  <c r="AJ297" i="37" s="1"/>
  <c r="AF297" i="37"/>
  <c r="AD296" i="37"/>
  <c r="V298" i="37"/>
  <c r="X298" i="37"/>
  <c r="W299" i="37"/>
  <c r="AE298" i="37"/>
  <c r="AO299" i="37" s="1"/>
  <c r="AA297" i="37"/>
  <c r="Y297" i="37"/>
  <c r="Z297" i="37"/>
  <c r="AB297" i="37" s="1"/>
  <c r="AC297" i="37" s="1"/>
  <c r="AI296" i="37"/>
  <c r="AJ296" i="37" s="1"/>
  <c r="AK296" i="37" s="1"/>
  <c r="AL296" i="37" l="1"/>
  <c r="AK297" i="37"/>
  <c r="AN296" i="37"/>
  <c r="V299" i="37"/>
  <c r="X299" i="37"/>
  <c r="W300" i="37"/>
  <c r="AE299" i="37"/>
  <c r="AO300" i="37" s="1"/>
  <c r="AD297" i="37"/>
  <c r="AA298" i="37"/>
  <c r="Y298" i="37"/>
  <c r="Z298" i="37"/>
  <c r="AH298" i="37"/>
  <c r="AG298" i="37"/>
  <c r="AI298" i="37" s="1"/>
  <c r="AJ298" i="37" s="1"/>
  <c r="AF298" i="37"/>
  <c r="AL297" i="37" l="1"/>
  <c r="AN297" i="37"/>
  <c r="AB298" i="37"/>
  <c r="AC298" i="37" s="1"/>
  <c r="AD298" i="37" s="1"/>
  <c r="AK298" i="37"/>
  <c r="AH299" i="37"/>
  <c r="AG299" i="37"/>
  <c r="AI299" i="37" s="1"/>
  <c r="AJ299" i="37" s="1"/>
  <c r="AF299" i="37"/>
  <c r="V300" i="37"/>
  <c r="X300" i="37"/>
  <c r="W301" i="37"/>
  <c r="AE300" i="37"/>
  <c r="AO301" i="37" s="1"/>
  <c r="AA299" i="37"/>
  <c r="Y299" i="37"/>
  <c r="Z299" i="37"/>
  <c r="AB299" i="37" s="1"/>
  <c r="AC299" i="37" s="1"/>
  <c r="AL298" i="37" l="1"/>
  <c r="AN298" i="37"/>
  <c r="AK299" i="37"/>
  <c r="AH300" i="37"/>
  <c r="AG300" i="37"/>
  <c r="AI300" i="37" s="1"/>
  <c r="AJ300" i="37" s="1"/>
  <c r="AF300" i="37"/>
  <c r="V301" i="37"/>
  <c r="X301" i="37"/>
  <c r="W302" i="37"/>
  <c r="AE301" i="37"/>
  <c r="AO302" i="37" s="1"/>
  <c r="Z300" i="37"/>
  <c r="AA300" i="37"/>
  <c r="Y300" i="37"/>
  <c r="AD299" i="37"/>
  <c r="AL299" i="37" l="1"/>
  <c r="AN299" i="37"/>
  <c r="AB300" i="37"/>
  <c r="AC300" i="37" s="1"/>
  <c r="AD300" i="37" s="1"/>
  <c r="AK300" i="37"/>
  <c r="AH301" i="37"/>
  <c r="AG301" i="37"/>
  <c r="AI301" i="37" s="1"/>
  <c r="AJ301" i="37" s="1"/>
  <c r="AF301" i="37"/>
  <c r="V302" i="37"/>
  <c r="X302" i="37"/>
  <c r="W303" i="37"/>
  <c r="AE302" i="37"/>
  <c r="AO303" i="37" s="1"/>
  <c r="AA301" i="37"/>
  <c r="Y301" i="37"/>
  <c r="Z301" i="37"/>
  <c r="AN300" i="37" l="1"/>
  <c r="AL300" i="37"/>
  <c r="AK301" i="37"/>
  <c r="AB301" i="37"/>
  <c r="AC301" i="37" s="1"/>
  <c r="AD301" i="37" s="1"/>
  <c r="AL301" i="37" s="1"/>
  <c r="AH302" i="37"/>
  <c r="AG302" i="37"/>
  <c r="AI302" i="37" s="1"/>
  <c r="AJ302" i="37" s="1"/>
  <c r="AF302" i="37"/>
  <c r="V303" i="37"/>
  <c r="X303" i="37"/>
  <c r="W304" i="37"/>
  <c r="AE303" i="37"/>
  <c r="AO304" i="37" s="1"/>
  <c r="AA302" i="37"/>
  <c r="Y302" i="37"/>
  <c r="Z302" i="37"/>
  <c r="AB302" i="37" s="1"/>
  <c r="AC302" i="37" s="1"/>
  <c r="AN301" i="37" l="1"/>
  <c r="AK302" i="37"/>
  <c r="AH303" i="37"/>
  <c r="AG303" i="37"/>
  <c r="AI303" i="37" s="1"/>
  <c r="AJ303" i="37" s="1"/>
  <c r="AF303" i="37"/>
  <c r="V304" i="37"/>
  <c r="X304" i="37"/>
  <c r="W305" i="37"/>
  <c r="AE304" i="37"/>
  <c r="AO305" i="37" s="1"/>
  <c r="AA303" i="37"/>
  <c r="Y303" i="37"/>
  <c r="Z303" i="37"/>
  <c r="AD302" i="37"/>
  <c r="AN302" i="37" l="1"/>
  <c r="AL302" i="37"/>
  <c r="AK303" i="37"/>
  <c r="AB303" i="37"/>
  <c r="AC303" i="37" s="1"/>
  <c r="AD303" i="37" s="1"/>
  <c r="AH304" i="37"/>
  <c r="AG304" i="37"/>
  <c r="AI304" i="37" s="1"/>
  <c r="AJ304" i="37" s="1"/>
  <c r="AF304" i="37"/>
  <c r="V305" i="37"/>
  <c r="X305" i="37"/>
  <c r="W306" i="37"/>
  <c r="AE305" i="37"/>
  <c r="AO306" i="37" s="1"/>
  <c r="AA304" i="37"/>
  <c r="Y304" i="37"/>
  <c r="Z304" i="37"/>
  <c r="AB304" i="37" s="1"/>
  <c r="AC304" i="37" s="1"/>
  <c r="AL303" i="37" l="1"/>
  <c r="AK304" i="37"/>
  <c r="AN303" i="37"/>
  <c r="AH305" i="37"/>
  <c r="AG305" i="37"/>
  <c r="AI305" i="37" s="1"/>
  <c r="AJ305" i="37" s="1"/>
  <c r="AF305" i="37"/>
  <c r="V306" i="37"/>
  <c r="X306" i="37"/>
  <c r="W307" i="37"/>
  <c r="AE306" i="37"/>
  <c r="AO307" i="37" s="1"/>
  <c r="AA305" i="37"/>
  <c r="Y305" i="37"/>
  <c r="Z305" i="37"/>
  <c r="AD304" i="37"/>
  <c r="AL304" i="37" l="1"/>
  <c r="AN304" i="37"/>
  <c r="AK305" i="37"/>
  <c r="AB305" i="37"/>
  <c r="AC305" i="37" s="1"/>
  <c r="AD305" i="37" s="1"/>
  <c r="AH306" i="37"/>
  <c r="AG306" i="37"/>
  <c r="AI306" i="37" s="1"/>
  <c r="AJ306" i="37" s="1"/>
  <c r="AF306" i="37"/>
  <c r="V307" i="37"/>
  <c r="X307" i="37"/>
  <c r="W308" i="37"/>
  <c r="AE307" i="37"/>
  <c r="AO308" i="37" s="1"/>
  <c r="AA306" i="37"/>
  <c r="Y306" i="37"/>
  <c r="Z306" i="37"/>
  <c r="AB306" i="37" s="1"/>
  <c r="AC306" i="37" s="1"/>
  <c r="AL305" i="37" l="1"/>
  <c r="AN305" i="37"/>
  <c r="AH307" i="37"/>
  <c r="AG307" i="37"/>
  <c r="AI307" i="37" s="1"/>
  <c r="AJ307" i="37" s="1"/>
  <c r="AF307" i="37"/>
  <c r="V308" i="37"/>
  <c r="X308" i="37"/>
  <c r="W309" i="37"/>
  <c r="AE308" i="37"/>
  <c r="AO309" i="37" s="1"/>
  <c r="AA307" i="37"/>
  <c r="Y307" i="37"/>
  <c r="Z307" i="37"/>
  <c r="AK306" i="37"/>
  <c r="AD306" i="37"/>
  <c r="AL306" i="37" l="1"/>
  <c r="AN306" i="37"/>
  <c r="AK307" i="37"/>
  <c r="AB307" i="37"/>
  <c r="AC307" i="37" s="1"/>
  <c r="AD307" i="37" s="1"/>
  <c r="AH308" i="37"/>
  <c r="AG308" i="37"/>
  <c r="AI308" i="37" s="1"/>
  <c r="AJ308" i="37" s="1"/>
  <c r="AF308" i="37"/>
  <c r="V309" i="37"/>
  <c r="X309" i="37"/>
  <c r="W310" i="37"/>
  <c r="AE309" i="37"/>
  <c r="AO310" i="37" s="1"/>
  <c r="AA308" i="37"/>
  <c r="Y308" i="37"/>
  <c r="Z308" i="37"/>
  <c r="AB308" i="37" s="1"/>
  <c r="AC308" i="37" s="1"/>
  <c r="AL307" i="37" l="1"/>
  <c r="AK308" i="37"/>
  <c r="AN307" i="37"/>
  <c r="AH309" i="37"/>
  <c r="AG309" i="37"/>
  <c r="AI309" i="37" s="1"/>
  <c r="AJ309" i="37" s="1"/>
  <c r="AF309" i="37"/>
  <c r="V310" i="37"/>
  <c r="X310" i="37"/>
  <c r="W311" i="37"/>
  <c r="AE310" i="37"/>
  <c r="AO311" i="37" s="1"/>
  <c r="AA309" i="37"/>
  <c r="Y309" i="37"/>
  <c r="Z309" i="37"/>
  <c r="AD308" i="37"/>
  <c r="AL308" i="37" l="1"/>
  <c r="AN308" i="37"/>
  <c r="AK309" i="37"/>
  <c r="AB309" i="37"/>
  <c r="AC309" i="37" s="1"/>
  <c r="AD309" i="37" s="1"/>
  <c r="AH310" i="37"/>
  <c r="AG310" i="37"/>
  <c r="AI310" i="37" s="1"/>
  <c r="AJ310" i="37" s="1"/>
  <c r="AF310" i="37"/>
  <c r="V311" i="37"/>
  <c r="X311" i="37"/>
  <c r="W312" i="37"/>
  <c r="AE311" i="37"/>
  <c r="AO312" i="37" s="1"/>
  <c r="AA310" i="37"/>
  <c r="Y310" i="37"/>
  <c r="Z310" i="37"/>
  <c r="AB310" i="37" s="1"/>
  <c r="AC310" i="37" s="1"/>
  <c r="AN309" i="37" l="1"/>
  <c r="AL309" i="37"/>
  <c r="AK310" i="37"/>
  <c r="AH311" i="37"/>
  <c r="AG311" i="37"/>
  <c r="AI311" i="37" s="1"/>
  <c r="AJ311" i="37" s="1"/>
  <c r="AF311" i="37"/>
  <c r="V312" i="37"/>
  <c r="X312" i="37"/>
  <c r="W313" i="37"/>
  <c r="AE312" i="37"/>
  <c r="AO313" i="37" s="1"/>
  <c r="AA311" i="37"/>
  <c r="Y311" i="37"/>
  <c r="Z311" i="37"/>
  <c r="AD310" i="37"/>
  <c r="AL310" i="37" l="1"/>
  <c r="AN310" i="37"/>
  <c r="AK311" i="37"/>
  <c r="AB311" i="37"/>
  <c r="AC311" i="37" s="1"/>
  <c r="AD311" i="37" s="1"/>
  <c r="AH312" i="37"/>
  <c r="AG312" i="37"/>
  <c r="AI312" i="37" s="1"/>
  <c r="AJ312" i="37" s="1"/>
  <c r="AF312" i="37"/>
  <c r="V313" i="37"/>
  <c r="X313" i="37"/>
  <c r="W314" i="37"/>
  <c r="AE313" i="37"/>
  <c r="AO314" i="37" s="1"/>
  <c r="AA312" i="37"/>
  <c r="Y312" i="37"/>
  <c r="Z312" i="37"/>
  <c r="AB312" i="37" s="1"/>
  <c r="AC312" i="37" s="1"/>
  <c r="AN311" i="37" l="1"/>
  <c r="AL311" i="37"/>
  <c r="AK312" i="37"/>
  <c r="AH313" i="37"/>
  <c r="AG313" i="37"/>
  <c r="AI313" i="37" s="1"/>
  <c r="AJ313" i="37" s="1"/>
  <c r="AF313" i="37"/>
  <c r="V314" i="37"/>
  <c r="X314" i="37"/>
  <c r="W315" i="37"/>
  <c r="AE314" i="37"/>
  <c r="AO315" i="37" s="1"/>
  <c r="AA313" i="37"/>
  <c r="Y313" i="37"/>
  <c r="Z313" i="37"/>
  <c r="AD312" i="37"/>
  <c r="AL312" i="37" l="1"/>
  <c r="AN312" i="37"/>
  <c r="AK313" i="37"/>
  <c r="AB313" i="37"/>
  <c r="AC313" i="37" s="1"/>
  <c r="AD313" i="37" s="1"/>
  <c r="AH314" i="37"/>
  <c r="AG314" i="37"/>
  <c r="AI314" i="37" s="1"/>
  <c r="AJ314" i="37" s="1"/>
  <c r="AF314" i="37"/>
  <c r="V315" i="37"/>
  <c r="X315" i="37"/>
  <c r="W316" i="37"/>
  <c r="AE315" i="37"/>
  <c r="AO316" i="37" s="1"/>
  <c r="AA314" i="37"/>
  <c r="Y314" i="37"/>
  <c r="Z314" i="37"/>
  <c r="AB314" i="37" s="1"/>
  <c r="AC314" i="37" s="1"/>
  <c r="AL313" i="37" l="1"/>
  <c r="AN313" i="37"/>
  <c r="AK314" i="37"/>
  <c r="AH315" i="37"/>
  <c r="AG315" i="37"/>
  <c r="AI315" i="37" s="1"/>
  <c r="AJ315" i="37" s="1"/>
  <c r="AF315" i="37"/>
  <c r="W317" i="37"/>
  <c r="AE316" i="37"/>
  <c r="AO317" i="37" s="1"/>
  <c r="V316" i="37"/>
  <c r="X316" i="37"/>
  <c r="AA315" i="37"/>
  <c r="Y315" i="37"/>
  <c r="Z315" i="37"/>
  <c r="AD314" i="37"/>
  <c r="AN314" i="37" l="1"/>
  <c r="AL314" i="37"/>
  <c r="AK315" i="37"/>
  <c r="AB315" i="37"/>
  <c r="AC315" i="37" s="1"/>
  <c r="AD315" i="37" s="1"/>
  <c r="AL315" i="37" s="1"/>
  <c r="AA316" i="37"/>
  <c r="Y316" i="37"/>
  <c r="Z316" i="37"/>
  <c r="AB316" i="37" s="1"/>
  <c r="AC316" i="37" s="1"/>
  <c r="AG316" i="37"/>
  <c r="AH316" i="37"/>
  <c r="AF316" i="37"/>
  <c r="W318" i="37"/>
  <c r="AE317" i="37"/>
  <c r="AO318" i="37" s="1"/>
  <c r="X317" i="37"/>
  <c r="V317" i="37"/>
  <c r="Z317" i="37" s="1"/>
  <c r="AN315" i="37" l="1"/>
  <c r="W319" i="37"/>
  <c r="AE318" i="37"/>
  <c r="AO319" i="37" s="1"/>
  <c r="X318" i="37"/>
  <c r="V318" i="37"/>
  <c r="AB317" i="37"/>
  <c r="AC317" i="37" s="1"/>
  <c r="AI316" i="37"/>
  <c r="AJ316" i="37" s="1"/>
  <c r="AK316" i="37" s="1"/>
  <c r="AD316" i="37"/>
  <c r="Y317" i="37"/>
  <c r="AA317" i="37"/>
  <c r="AG317" i="37"/>
  <c r="AH317" i="37"/>
  <c r="AF317" i="37"/>
  <c r="Z318" i="37" l="1"/>
  <c r="AL316" i="37"/>
  <c r="AN316" i="37"/>
  <c r="AI317" i="37"/>
  <c r="AJ317" i="37" s="1"/>
  <c r="AK317" i="37" s="1"/>
  <c r="Y318" i="37"/>
  <c r="AA318" i="37"/>
  <c r="AG318" i="37"/>
  <c r="AH318" i="37"/>
  <c r="AF318" i="37"/>
  <c r="AD317" i="37"/>
  <c r="W320" i="37"/>
  <c r="AE319" i="37"/>
  <c r="AO320" i="37" s="1"/>
  <c r="X319" i="37"/>
  <c r="V319" i="37"/>
  <c r="Z319" i="37" s="1"/>
  <c r="AB318" i="37" l="1"/>
  <c r="AC318" i="37" s="1"/>
  <c r="AD318" i="37" s="1"/>
  <c r="AN317" i="37"/>
  <c r="AL317" i="37"/>
  <c r="AI318" i="37"/>
  <c r="AJ318" i="37" s="1"/>
  <c r="AK318" i="37" s="1"/>
  <c r="AG319" i="37"/>
  <c r="AH319" i="37"/>
  <c r="AF319" i="37"/>
  <c r="Y319" i="37"/>
  <c r="AA319" i="37"/>
  <c r="AB319" i="37" s="1"/>
  <c r="AC319" i="37" s="1"/>
  <c r="W321" i="37"/>
  <c r="AE320" i="37"/>
  <c r="AO321" i="37" s="1"/>
  <c r="X320" i="37"/>
  <c r="V320" i="37"/>
  <c r="AL318" i="37" l="1"/>
  <c r="AN318" i="37"/>
  <c r="Z320" i="37"/>
  <c r="AD319" i="37"/>
  <c r="Y320" i="37"/>
  <c r="AA320" i="37"/>
  <c r="AB320" i="37" s="1"/>
  <c r="AC320" i="37" s="1"/>
  <c r="AG320" i="37"/>
  <c r="AH320" i="37"/>
  <c r="AF320" i="37"/>
  <c r="W322" i="37"/>
  <c r="AE321" i="37"/>
  <c r="AO322" i="37" s="1"/>
  <c r="X321" i="37"/>
  <c r="V321" i="37"/>
  <c r="Z321" i="37" s="1"/>
  <c r="AI319" i="37"/>
  <c r="AJ319" i="37" s="1"/>
  <c r="AK319" i="37" s="1"/>
  <c r="AL319" i="37" l="1"/>
  <c r="AN319" i="37"/>
  <c r="AI320" i="37"/>
  <c r="AJ320" i="37" s="1"/>
  <c r="AK320" i="37" s="1"/>
  <c r="Y321" i="37"/>
  <c r="AA321" i="37"/>
  <c r="AB321" i="37" s="1"/>
  <c r="AC321" i="37" s="1"/>
  <c r="AD320" i="37"/>
  <c r="AG321" i="37"/>
  <c r="AH321" i="37"/>
  <c r="AF321" i="37"/>
  <c r="W323" i="37"/>
  <c r="AE322" i="37"/>
  <c r="AO323" i="37" s="1"/>
  <c r="X322" i="37"/>
  <c r="V322" i="37"/>
  <c r="Z322" i="37" s="1"/>
  <c r="AL320" i="37" l="1"/>
  <c r="AN320" i="37"/>
  <c r="AG322" i="37"/>
  <c r="AH322" i="37"/>
  <c r="AF322" i="37"/>
  <c r="AI321" i="37"/>
  <c r="AJ321" i="37" s="1"/>
  <c r="AK321" i="37" s="1"/>
  <c r="Y322" i="37"/>
  <c r="AA322" i="37"/>
  <c r="AB322" i="37" s="1"/>
  <c r="AC322" i="37" s="1"/>
  <c r="AD321" i="37"/>
  <c r="W324" i="37"/>
  <c r="AE323" i="37"/>
  <c r="AO324" i="37" s="1"/>
  <c r="X323" i="37"/>
  <c r="V323" i="37"/>
  <c r="Z323" i="37" s="1"/>
  <c r="AL321" i="37" l="1"/>
  <c r="AN321" i="37"/>
  <c r="AD322" i="37"/>
  <c r="Y323" i="37"/>
  <c r="AA323" i="37"/>
  <c r="AB323" i="37" s="1"/>
  <c r="AC323" i="37" s="1"/>
  <c r="AG323" i="37"/>
  <c r="AH323" i="37"/>
  <c r="AF323" i="37"/>
  <c r="W325" i="37"/>
  <c r="AE324" i="37"/>
  <c r="AO325" i="37" s="1"/>
  <c r="X324" i="37"/>
  <c r="V324" i="37"/>
  <c r="Z324" i="37" s="1"/>
  <c r="AI322" i="37"/>
  <c r="AJ322" i="37" s="1"/>
  <c r="AK322" i="37" s="1"/>
  <c r="AL322" i="37" l="1"/>
  <c r="AN322" i="37"/>
  <c r="AI323" i="37"/>
  <c r="AJ323" i="37" s="1"/>
  <c r="AK323" i="37" s="1"/>
  <c r="Y324" i="37"/>
  <c r="AA324" i="37"/>
  <c r="AB324" i="37" s="1"/>
  <c r="AC324" i="37" s="1"/>
  <c r="AD323" i="37"/>
  <c r="AG324" i="37"/>
  <c r="AH324" i="37"/>
  <c r="AF324" i="37"/>
  <c r="W326" i="37"/>
  <c r="AE325" i="37"/>
  <c r="AO326" i="37" s="1"/>
  <c r="X325" i="37"/>
  <c r="V325" i="37"/>
  <c r="Z325" i="37" s="1"/>
  <c r="AL323" i="37" l="1"/>
  <c r="AN323" i="37"/>
  <c r="AI324" i="37"/>
  <c r="AJ324" i="37" s="1"/>
  <c r="AK324" i="37" s="1"/>
  <c r="AG325" i="37"/>
  <c r="AH325" i="37"/>
  <c r="AF325" i="37"/>
  <c r="Y325" i="37"/>
  <c r="AA325" i="37"/>
  <c r="AB325" i="37" s="1"/>
  <c r="AC325" i="37" s="1"/>
  <c r="AD324" i="37"/>
  <c r="W327" i="37"/>
  <c r="AE326" i="37"/>
  <c r="AO327" i="37" s="1"/>
  <c r="X326" i="37"/>
  <c r="V326" i="37"/>
  <c r="Z326" i="37" l="1"/>
  <c r="AL324" i="37"/>
  <c r="AN324" i="37"/>
  <c r="W328" i="37"/>
  <c r="AE327" i="37"/>
  <c r="AO328" i="37" s="1"/>
  <c r="X327" i="37"/>
  <c r="V327" i="37"/>
  <c r="Z327" i="37" s="1"/>
  <c r="AD325" i="37"/>
  <c r="Y326" i="37"/>
  <c r="AA326" i="37"/>
  <c r="AB326" i="37" s="1"/>
  <c r="AC326" i="37" s="1"/>
  <c r="AG326" i="37"/>
  <c r="AH326" i="37"/>
  <c r="AF326" i="37"/>
  <c r="AI325" i="37"/>
  <c r="AJ325" i="37" s="1"/>
  <c r="AK325" i="37" s="1"/>
  <c r="AL325" i="37" l="1"/>
  <c r="AN325" i="37"/>
  <c r="AD326" i="37"/>
  <c r="Y327" i="37"/>
  <c r="AA327" i="37"/>
  <c r="AB327" i="37" s="1"/>
  <c r="AC327" i="37" s="1"/>
  <c r="AG327" i="37"/>
  <c r="AH327" i="37"/>
  <c r="AF327" i="37"/>
  <c r="AI326" i="37"/>
  <c r="AJ326" i="37" s="1"/>
  <c r="AK326" i="37" s="1"/>
  <c r="W329" i="37"/>
  <c r="AE328" i="37"/>
  <c r="AO329" i="37" s="1"/>
  <c r="X328" i="37"/>
  <c r="V328" i="37"/>
  <c r="Z328" i="37" s="1"/>
  <c r="AL326" i="37" l="1"/>
  <c r="AN326" i="37"/>
  <c r="AG328" i="37"/>
  <c r="AH328" i="37"/>
  <c r="AF328" i="37"/>
  <c r="AI327" i="37"/>
  <c r="AJ327" i="37" s="1"/>
  <c r="AK327" i="37" s="1"/>
  <c r="Y328" i="37"/>
  <c r="AA328" i="37"/>
  <c r="AB328" i="37" s="1"/>
  <c r="AC328" i="37" s="1"/>
  <c r="AD327" i="37"/>
  <c r="W330" i="37"/>
  <c r="AE329" i="37"/>
  <c r="AO330" i="37" s="1"/>
  <c r="X329" i="37"/>
  <c r="V329" i="37"/>
  <c r="Z329" i="37" s="1"/>
  <c r="AL327" i="37" l="1"/>
  <c r="AN327" i="37"/>
  <c r="Y329" i="37"/>
  <c r="AA329" i="37"/>
  <c r="AD328" i="37"/>
  <c r="AB329" i="37"/>
  <c r="AC329" i="37" s="1"/>
  <c r="AG329" i="37"/>
  <c r="AH329" i="37"/>
  <c r="AF329" i="37"/>
  <c r="W331" i="37"/>
  <c r="AE330" i="37"/>
  <c r="AO331" i="37" s="1"/>
  <c r="X330" i="37"/>
  <c r="V330" i="37"/>
  <c r="Z330" i="37" s="1"/>
  <c r="AI328" i="37"/>
  <c r="AJ328" i="37" s="1"/>
  <c r="AK328" i="37" s="1"/>
  <c r="AL328" i="37" l="1"/>
  <c r="AN328" i="37"/>
  <c r="AI329" i="37"/>
  <c r="AJ329" i="37" s="1"/>
  <c r="AK329" i="37" s="1"/>
  <c r="Y330" i="37"/>
  <c r="AA330" i="37"/>
  <c r="AB330" i="37" s="1"/>
  <c r="AC330" i="37" s="1"/>
  <c r="AG330" i="37"/>
  <c r="AH330" i="37"/>
  <c r="AF330" i="37"/>
  <c r="W332" i="37"/>
  <c r="AE331" i="37"/>
  <c r="AO332" i="37" s="1"/>
  <c r="X331" i="37"/>
  <c r="V331" i="37"/>
  <c r="AD329" i="37"/>
  <c r="Z331" i="37" l="1"/>
  <c r="AL329" i="37"/>
  <c r="AN329" i="37"/>
  <c r="AI330" i="37"/>
  <c r="AJ330" i="37" s="1"/>
  <c r="AK330" i="37" s="1"/>
  <c r="AD330" i="37"/>
  <c r="Y331" i="37"/>
  <c r="AA331" i="37"/>
  <c r="AB331" i="37" s="1"/>
  <c r="AC331" i="37" s="1"/>
  <c r="AG331" i="37"/>
  <c r="AH331" i="37"/>
  <c r="AF331" i="37"/>
  <c r="W333" i="37"/>
  <c r="AE332" i="37"/>
  <c r="AO333" i="37" s="1"/>
  <c r="X332" i="37"/>
  <c r="V332" i="37"/>
  <c r="Z332" i="37" l="1"/>
  <c r="AL330" i="37"/>
  <c r="AN330" i="37"/>
  <c r="AI331" i="37"/>
  <c r="AJ331" i="37" s="1"/>
  <c r="AK331" i="37" s="1"/>
  <c r="AD331" i="37"/>
  <c r="Y332" i="37"/>
  <c r="AA332" i="37"/>
  <c r="AB332" i="37" s="1"/>
  <c r="AC332" i="37" s="1"/>
  <c r="AG332" i="37"/>
  <c r="AH332" i="37"/>
  <c r="AF332" i="37"/>
  <c r="W334" i="37"/>
  <c r="AE333" i="37"/>
  <c r="AO334" i="37" s="1"/>
  <c r="X333" i="37"/>
  <c r="V333" i="37"/>
  <c r="Z333" i="37" l="1"/>
  <c r="AL331" i="37"/>
  <c r="AI332" i="37"/>
  <c r="AJ332" i="37" s="1"/>
  <c r="AK332" i="37" s="1"/>
  <c r="AN331" i="37"/>
  <c r="AD332" i="37"/>
  <c r="Y333" i="37"/>
  <c r="AA333" i="37"/>
  <c r="AB333" i="37" s="1"/>
  <c r="AC333" i="37" s="1"/>
  <c r="AG333" i="37"/>
  <c r="AH333" i="37"/>
  <c r="AF333" i="37"/>
  <c r="W335" i="37"/>
  <c r="AE334" i="37"/>
  <c r="AO335" i="37" s="1"/>
  <c r="X334" i="37"/>
  <c r="V334" i="37"/>
  <c r="Z334" i="37" l="1"/>
  <c r="AL332" i="37"/>
  <c r="AN332" i="37"/>
  <c r="W336" i="37"/>
  <c r="AE335" i="37"/>
  <c r="AO336" i="37" s="1"/>
  <c r="X335" i="37"/>
  <c r="V335" i="37"/>
  <c r="Z335" i="37" s="1"/>
  <c r="AI333" i="37"/>
  <c r="AJ333" i="37" s="1"/>
  <c r="AK333" i="37" s="1"/>
  <c r="AD333" i="37"/>
  <c r="Y334" i="37"/>
  <c r="AA334" i="37"/>
  <c r="AB334" i="37" s="1"/>
  <c r="AC334" i="37" s="1"/>
  <c r="AG334" i="37"/>
  <c r="AH334" i="37"/>
  <c r="AF334" i="37"/>
  <c r="AL333" i="37" l="1"/>
  <c r="AN333" i="37"/>
  <c r="Y335" i="37"/>
  <c r="AA335" i="37"/>
  <c r="AB335" i="37" s="1"/>
  <c r="AC335" i="37" s="1"/>
  <c r="AI334" i="37"/>
  <c r="AJ334" i="37" s="1"/>
  <c r="AK334" i="37" s="1"/>
  <c r="AG335" i="37"/>
  <c r="AH335" i="37"/>
  <c r="AF335" i="37"/>
  <c r="W337" i="37"/>
  <c r="AE336" i="37"/>
  <c r="AO337" i="37" s="1"/>
  <c r="X336" i="37"/>
  <c r="V336" i="37"/>
  <c r="Z336" i="37" s="1"/>
  <c r="AD334" i="37"/>
  <c r="AL334" i="37" l="1"/>
  <c r="AN334" i="37"/>
  <c r="AI335" i="37"/>
  <c r="AJ335" i="37" s="1"/>
  <c r="AK335" i="37" s="1"/>
  <c r="Y336" i="37"/>
  <c r="AA336" i="37"/>
  <c r="AB336" i="37" s="1"/>
  <c r="AC336" i="37" s="1"/>
  <c r="AD335" i="37"/>
  <c r="AG336" i="37"/>
  <c r="AH336" i="37"/>
  <c r="AF336" i="37"/>
  <c r="W338" i="37"/>
  <c r="AE337" i="37"/>
  <c r="AO338" i="37" s="1"/>
  <c r="X337" i="37"/>
  <c r="V337" i="37"/>
  <c r="Z337" i="37" s="1"/>
  <c r="AL335" i="37" l="1"/>
  <c r="AN335" i="37"/>
  <c r="AI336" i="37"/>
  <c r="AJ336" i="37" s="1"/>
  <c r="AK336" i="37" s="1"/>
  <c r="AD336" i="37"/>
  <c r="W339" i="37"/>
  <c r="AE338" i="37"/>
  <c r="AO339" i="37" s="1"/>
  <c r="X338" i="37"/>
  <c r="V338" i="37"/>
  <c r="Y337" i="37"/>
  <c r="AA337" i="37"/>
  <c r="AB337" i="37" s="1"/>
  <c r="AC337" i="37" s="1"/>
  <c r="AG337" i="37"/>
  <c r="AH337" i="37"/>
  <c r="AF337" i="37"/>
  <c r="AL336" i="37" l="1"/>
  <c r="AN336" i="37"/>
  <c r="Y338" i="37"/>
  <c r="AA338" i="37"/>
  <c r="AD337" i="37"/>
  <c r="Z338" i="37"/>
  <c r="AB338" i="37" s="1"/>
  <c r="AC338" i="37" s="1"/>
  <c r="AG338" i="37"/>
  <c r="AH338" i="37"/>
  <c r="AF338" i="37"/>
  <c r="W340" i="37"/>
  <c r="AE339" i="37"/>
  <c r="AO340" i="37" s="1"/>
  <c r="X339" i="37"/>
  <c r="V339" i="37"/>
  <c r="Z339" i="37" s="1"/>
  <c r="AI337" i="37"/>
  <c r="AJ337" i="37" s="1"/>
  <c r="AK337" i="37" s="1"/>
  <c r="AL337" i="37" l="1"/>
  <c r="AN337" i="37"/>
  <c r="AI338" i="37"/>
  <c r="AJ338" i="37" s="1"/>
  <c r="AK338" i="37" s="1"/>
  <c r="Y339" i="37"/>
  <c r="AA339" i="37"/>
  <c r="AB339" i="37" s="1"/>
  <c r="AC339" i="37" s="1"/>
  <c r="AG339" i="37"/>
  <c r="AH339" i="37"/>
  <c r="AF339" i="37"/>
  <c r="W341" i="37"/>
  <c r="AE340" i="37"/>
  <c r="AO341" i="37" s="1"/>
  <c r="X340" i="37"/>
  <c r="V340" i="37"/>
  <c r="AD338" i="37"/>
  <c r="Z340" i="37" l="1"/>
  <c r="AL338" i="37"/>
  <c r="AN338" i="37"/>
  <c r="AI339" i="37"/>
  <c r="AJ339" i="37" s="1"/>
  <c r="AK339" i="37" s="1"/>
  <c r="AD339" i="37"/>
  <c r="Y340" i="37"/>
  <c r="AA340" i="37"/>
  <c r="AB340" i="37" s="1"/>
  <c r="AC340" i="37" s="1"/>
  <c r="AG340" i="37"/>
  <c r="AH340" i="37"/>
  <c r="AF340" i="37"/>
  <c r="W342" i="37"/>
  <c r="AE341" i="37"/>
  <c r="AO342" i="37" s="1"/>
  <c r="X341" i="37"/>
  <c r="V341" i="37"/>
  <c r="Z341" i="37" s="1"/>
  <c r="AL339" i="37" l="1"/>
  <c r="AN339" i="37"/>
  <c r="AI340" i="37"/>
  <c r="AJ340" i="37" s="1"/>
  <c r="AK340" i="37" s="1"/>
  <c r="AD340" i="37"/>
  <c r="Y341" i="37"/>
  <c r="AA341" i="37"/>
  <c r="AB341" i="37" s="1"/>
  <c r="AC341" i="37" s="1"/>
  <c r="AG341" i="37"/>
  <c r="AH341" i="37"/>
  <c r="AF341" i="37"/>
  <c r="W343" i="37"/>
  <c r="AE342" i="37"/>
  <c r="AO343" i="37" s="1"/>
  <c r="X342" i="37"/>
  <c r="V342" i="37"/>
  <c r="AL340" i="37" l="1"/>
  <c r="AN340" i="37"/>
  <c r="Z342" i="37"/>
  <c r="AG342" i="37"/>
  <c r="AH342" i="37"/>
  <c r="AF342" i="37"/>
  <c r="AI341" i="37"/>
  <c r="AJ341" i="37" s="1"/>
  <c r="AK341" i="37" s="1"/>
  <c r="AD341" i="37"/>
  <c r="Y342" i="37"/>
  <c r="AA342" i="37"/>
  <c r="W344" i="37"/>
  <c r="AE343" i="37"/>
  <c r="AO344" i="37" s="1"/>
  <c r="X343" i="37"/>
  <c r="V343" i="37"/>
  <c r="Z343" i="37" l="1"/>
  <c r="AL341" i="37"/>
  <c r="AB342" i="37"/>
  <c r="AC342" i="37" s="1"/>
  <c r="AD342" i="37" s="1"/>
  <c r="AN341" i="37"/>
  <c r="Y343" i="37"/>
  <c r="AA343" i="37"/>
  <c r="AB343" i="37" s="1"/>
  <c r="AC343" i="37" s="1"/>
  <c r="AG343" i="37"/>
  <c r="AH343" i="37"/>
  <c r="AF343" i="37"/>
  <c r="W345" i="37"/>
  <c r="AE344" i="37"/>
  <c r="AO345" i="37" s="1"/>
  <c r="X344" i="37"/>
  <c r="V344" i="37"/>
  <c r="AI342" i="37"/>
  <c r="AJ342" i="37" s="1"/>
  <c r="AK342" i="37" s="1"/>
  <c r="Z344" i="37" l="1"/>
  <c r="AL342" i="37"/>
  <c r="AN342" i="37"/>
  <c r="AI343" i="37"/>
  <c r="AJ343" i="37" s="1"/>
  <c r="AK343" i="37" s="1"/>
  <c r="Y344" i="37"/>
  <c r="AA344" i="37"/>
  <c r="AB344" i="37" s="1"/>
  <c r="AC344" i="37" s="1"/>
  <c r="AD343" i="37"/>
  <c r="AG344" i="37"/>
  <c r="AH344" i="37"/>
  <c r="AF344" i="37"/>
  <c r="W346" i="37"/>
  <c r="AE345" i="37"/>
  <c r="AO346" i="37" s="1"/>
  <c r="X345" i="37"/>
  <c r="V345" i="37"/>
  <c r="Z345" i="37" s="1"/>
  <c r="AL343" i="37" l="1"/>
  <c r="AN343" i="37"/>
  <c r="AG345" i="37"/>
  <c r="AH345" i="37"/>
  <c r="AF345" i="37"/>
  <c r="AI344" i="37"/>
  <c r="AJ344" i="37" s="1"/>
  <c r="AK344" i="37" s="1"/>
  <c r="Y345" i="37"/>
  <c r="AA345" i="37"/>
  <c r="AB345" i="37" s="1"/>
  <c r="AC345" i="37" s="1"/>
  <c r="AD344" i="37"/>
  <c r="W347" i="37"/>
  <c r="AE346" i="37"/>
  <c r="AO347" i="37" s="1"/>
  <c r="X346" i="37"/>
  <c r="V346" i="37"/>
  <c r="Z346" i="37" l="1"/>
  <c r="AN344" i="37"/>
  <c r="AL344" i="37"/>
  <c r="AD345" i="37"/>
  <c r="Y346" i="37"/>
  <c r="AA346" i="37"/>
  <c r="AB346" i="37" s="1"/>
  <c r="AC346" i="37" s="1"/>
  <c r="AG346" i="37"/>
  <c r="AH346" i="37"/>
  <c r="AF346" i="37"/>
  <c r="W348" i="37"/>
  <c r="AE347" i="37"/>
  <c r="AO348" i="37" s="1"/>
  <c r="X347" i="37"/>
  <c r="V347" i="37"/>
  <c r="AI345" i="37"/>
  <c r="AJ345" i="37" s="1"/>
  <c r="AK345" i="37" s="1"/>
  <c r="Z347" i="37" l="1"/>
  <c r="AL345" i="37"/>
  <c r="AN345" i="37"/>
  <c r="AI346" i="37"/>
  <c r="AJ346" i="37" s="1"/>
  <c r="AK346" i="37" s="1"/>
  <c r="Y347" i="37"/>
  <c r="AA347" i="37"/>
  <c r="AB347" i="37" s="1"/>
  <c r="AC347" i="37" s="1"/>
  <c r="AD346" i="37"/>
  <c r="AG347" i="37"/>
  <c r="AH347" i="37"/>
  <c r="AF347" i="37"/>
  <c r="W349" i="37"/>
  <c r="AE348" i="37"/>
  <c r="AO349" i="37" s="1"/>
  <c r="X348" i="37"/>
  <c r="V348" i="37"/>
  <c r="Z348" i="37" s="1"/>
  <c r="AL346" i="37" l="1"/>
  <c r="AN346" i="37"/>
  <c r="AG348" i="37"/>
  <c r="AH348" i="37"/>
  <c r="AF348" i="37"/>
  <c r="AI347" i="37"/>
  <c r="AJ347" i="37" s="1"/>
  <c r="AK347" i="37" s="1"/>
  <c r="Y348" i="37"/>
  <c r="AA348" i="37"/>
  <c r="AB348" i="37" s="1"/>
  <c r="AC348" i="37" s="1"/>
  <c r="AD347" i="37"/>
  <c r="W350" i="37"/>
  <c r="AE349" i="37"/>
  <c r="AO350" i="37" s="1"/>
  <c r="X349" i="37"/>
  <c r="V349" i="37"/>
  <c r="Z349" i="37" l="1"/>
  <c r="AL347" i="37"/>
  <c r="AN347" i="37"/>
  <c r="AD348" i="37"/>
  <c r="Y349" i="37"/>
  <c r="AA349" i="37"/>
  <c r="AB349" i="37" s="1"/>
  <c r="AC349" i="37" s="1"/>
  <c r="AG349" i="37"/>
  <c r="AH349" i="37"/>
  <c r="AF349" i="37"/>
  <c r="W351" i="37"/>
  <c r="AE350" i="37"/>
  <c r="AO351" i="37" s="1"/>
  <c r="X350" i="37"/>
  <c r="V350" i="37"/>
  <c r="Z350" i="37" s="1"/>
  <c r="AI348" i="37"/>
  <c r="AJ348" i="37" s="1"/>
  <c r="AK348" i="37" s="1"/>
  <c r="AL348" i="37" l="1"/>
  <c r="AN348" i="37"/>
  <c r="AI349" i="37"/>
  <c r="AJ349" i="37" s="1"/>
  <c r="AK349" i="37" s="1"/>
  <c r="Y350" i="37"/>
  <c r="AA350" i="37"/>
  <c r="AB350" i="37" s="1"/>
  <c r="AC350" i="37" s="1"/>
  <c r="AD349" i="37"/>
  <c r="AG350" i="37"/>
  <c r="AH350" i="37"/>
  <c r="AF350" i="37"/>
  <c r="W352" i="37"/>
  <c r="AE351" i="37"/>
  <c r="AO352" i="37" s="1"/>
  <c r="X351" i="37"/>
  <c r="V351" i="37"/>
  <c r="Z351" i="37" s="1"/>
  <c r="AN349" i="37" l="1"/>
  <c r="AL349" i="37"/>
  <c r="AG351" i="37"/>
  <c r="AH351" i="37"/>
  <c r="AF351" i="37"/>
  <c r="AI350" i="37"/>
  <c r="AJ350" i="37" s="1"/>
  <c r="AK350" i="37" s="1"/>
  <c r="Y351" i="37"/>
  <c r="AA351" i="37"/>
  <c r="AB351" i="37" s="1"/>
  <c r="AC351" i="37" s="1"/>
  <c r="AD350" i="37"/>
  <c r="W353" i="37"/>
  <c r="AE352" i="37"/>
  <c r="AO353" i="37" s="1"/>
  <c r="X352" i="37"/>
  <c r="V352" i="37"/>
  <c r="Z352" i="37" l="1"/>
  <c r="AL350" i="37"/>
  <c r="AN350" i="37"/>
  <c r="AD351" i="37"/>
  <c r="Y352" i="37"/>
  <c r="AA352" i="37"/>
  <c r="AB352" i="37" s="1"/>
  <c r="AC352" i="37" s="1"/>
  <c r="AG352" i="37"/>
  <c r="AH352" i="37"/>
  <c r="AF352" i="37"/>
  <c r="W354" i="37"/>
  <c r="AE353" i="37"/>
  <c r="AO354" i="37" s="1"/>
  <c r="X353" i="37"/>
  <c r="V353" i="37"/>
  <c r="Z353" i="37" s="1"/>
  <c r="AI351" i="37"/>
  <c r="AJ351" i="37" s="1"/>
  <c r="AK351" i="37" s="1"/>
  <c r="AL351" i="37" l="1"/>
  <c r="AN351" i="37"/>
  <c r="AI352" i="37"/>
  <c r="AJ352" i="37" s="1"/>
  <c r="AK352" i="37" s="1"/>
  <c r="Y353" i="37"/>
  <c r="AA353" i="37"/>
  <c r="AB353" i="37" s="1"/>
  <c r="AC353" i="37" s="1"/>
  <c r="AD352" i="37"/>
  <c r="AG353" i="37"/>
  <c r="AH353" i="37"/>
  <c r="AF353" i="37"/>
  <c r="W355" i="37"/>
  <c r="AE354" i="37"/>
  <c r="AO355" i="37" s="1"/>
  <c r="X354" i="37"/>
  <c r="V354" i="37"/>
  <c r="Z354" i="37" s="1"/>
  <c r="AL352" i="37" l="1"/>
  <c r="AN352" i="37"/>
  <c r="AI353" i="37"/>
  <c r="AJ353" i="37" s="1"/>
  <c r="AK353" i="37" s="1"/>
  <c r="Y354" i="37"/>
  <c r="AA354" i="37"/>
  <c r="AB354" i="37" s="1"/>
  <c r="AC354" i="37" s="1"/>
  <c r="AD353" i="37"/>
  <c r="AG354" i="37"/>
  <c r="AH354" i="37"/>
  <c r="AF354" i="37"/>
  <c r="W356" i="37"/>
  <c r="AE355" i="37"/>
  <c r="AO356" i="37" s="1"/>
  <c r="X355" i="37"/>
  <c r="V355" i="37"/>
  <c r="Z355" i="37" l="1"/>
  <c r="AL353" i="37"/>
  <c r="AN353" i="37"/>
  <c r="W357" i="37"/>
  <c r="AE356" i="37"/>
  <c r="AO357" i="37" s="1"/>
  <c r="X356" i="37"/>
  <c r="V356" i="37"/>
  <c r="AI354" i="37"/>
  <c r="AJ354" i="37" s="1"/>
  <c r="AK354" i="37" s="1"/>
  <c r="Y355" i="37"/>
  <c r="AA355" i="37"/>
  <c r="AB355" i="37" s="1"/>
  <c r="AC355" i="37" s="1"/>
  <c r="AD354" i="37"/>
  <c r="AG355" i="37"/>
  <c r="AH355" i="37"/>
  <c r="AF355" i="37"/>
  <c r="Z356" i="37" l="1"/>
  <c r="AL354" i="37"/>
  <c r="AN354" i="37"/>
  <c r="AD355" i="37"/>
  <c r="AI355" i="37"/>
  <c r="AJ355" i="37" s="1"/>
  <c r="AK355" i="37" s="1"/>
  <c r="Y356" i="37"/>
  <c r="AA356" i="37"/>
  <c r="AB356" i="37" s="1"/>
  <c r="AC356" i="37" s="1"/>
  <c r="AH356" i="37"/>
  <c r="AG356" i="37"/>
  <c r="AF356" i="37"/>
  <c r="W358" i="37"/>
  <c r="AE357" i="37"/>
  <c r="AO358" i="37" s="1"/>
  <c r="X357" i="37"/>
  <c r="V357" i="37"/>
  <c r="AI356" i="37" l="1"/>
  <c r="AJ356" i="37" s="1"/>
  <c r="AK356" i="37" s="1"/>
  <c r="AL355" i="37"/>
  <c r="AN355" i="37"/>
  <c r="Y357" i="37"/>
  <c r="AA357" i="37"/>
  <c r="Z357" i="37"/>
  <c r="AB357" i="37" s="1"/>
  <c r="AC357" i="37" s="1"/>
  <c r="AD356" i="37"/>
  <c r="AH357" i="37"/>
  <c r="AG357" i="37"/>
  <c r="AF357" i="37"/>
  <c r="W359" i="37"/>
  <c r="AE358" i="37"/>
  <c r="AO359" i="37" s="1"/>
  <c r="X358" i="37"/>
  <c r="V358" i="37"/>
  <c r="Z358" i="37" s="1"/>
  <c r="AI357" i="37" l="1"/>
  <c r="AJ357" i="37" s="1"/>
  <c r="AK357" i="37" s="1"/>
  <c r="AL356" i="37"/>
  <c r="AN356" i="37"/>
  <c r="W360" i="37"/>
  <c r="AE359" i="37"/>
  <c r="AO360" i="37" s="1"/>
  <c r="V359" i="37"/>
  <c r="X359" i="37"/>
  <c r="Y358" i="37"/>
  <c r="AA358" i="37"/>
  <c r="AB358" i="37" s="1"/>
  <c r="AC358" i="37" s="1"/>
  <c r="AH358" i="37"/>
  <c r="AG358" i="37"/>
  <c r="AI358" i="37" s="1"/>
  <c r="AJ358" i="37" s="1"/>
  <c r="AF358" i="37"/>
  <c r="AD357" i="37"/>
  <c r="AL357" i="37" l="1"/>
  <c r="AN357" i="37"/>
  <c r="AK358" i="37"/>
  <c r="Z359" i="37"/>
  <c r="AD358" i="37"/>
  <c r="Y359" i="37"/>
  <c r="AA359" i="37"/>
  <c r="AH359" i="37"/>
  <c r="AG359" i="37"/>
  <c r="AF359" i="37"/>
  <c r="W361" i="37"/>
  <c r="AE360" i="37"/>
  <c r="AO361" i="37" s="1"/>
  <c r="V360" i="37"/>
  <c r="X360" i="37"/>
  <c r="AI359" i="37" l="1"/>
  <c r="AJ359" i="37" s="1"/>
  <c r="AK359" i="37" s="1"/>
  <c r="AL358" i="37"/>
  <c r="AN358" i="37"/>
  <c r="W362" i="37"/>
  <c r="AE361" i="37"/>
  <c r="AO362" i="37" s="1"/>
  <c r="V361" i="37"/>
  <c r="X361" i="37"/>
  <c r="Y360" i="37"/>
  <c r="AA360" i="37"/>
  <c r="Z360" i="37"/>
  <c r="AH360" i="37"/>
  <c r="AG360" i="37"/>
  <c r="AI360" i="37" s="1"/>
  <c r="AJ360" i="37" s="1"/>
  <c r="AF360" i="37"/>
  <c r="AB359" i="37"/>
  <c r="AC359" i="37" s="1"/>
  <c r="AD359" i="37" s="1"/>
  <c r="AL359" i="37" l="1"/>
  <c r="AK360" i="37"/>
  <c r="AN359" i="37"/>
  <c r="Y361" i="37"/>
  <c r="AA361" i="37"/>
  <c r="Z361" i="37"/>
  <c r="AB361" i="37" s="1"/>
  <c r="AC361" i="37" s="1"/>
  <c r="AH361" i="37"/>
  <c r="AG361" i="37"/>
  <c r="AI361" i="37" s="1"/>
  <c r="AJ361" i="37" s="1"/>
  <c r="AF361" i="37"/>
  <c r="AB360" i="37"/>
  <c r="AC360" i="37" s="1"/>
  <c r="AD360" i="37" s="1"/>
  <c r="W363" i="37"/>
  <c r="AE362" i="37"/>
  <c r="AO363" i="37" s="1"/>
  <c r="V362" i="37"/>
  <c r="X362" i="37"/>
  <c r="AN360" i="37" l="1"/>
  <c r="AL360" i="37"/>
  <c r="AK361" i="37"/>
  <c r="Y362" i="37"/>
  <c r="AA362" i="37"/>
  <c r="Z362" i="37"/>
  <c r="AB362" i="37" s="1"/>
  <c r="AC362" i="37" s="1"/>
  <c r="AH362" i="37"/>
  <c r="AG362" i="37"/>
  <c r="AF362" i="37"/>
  <c r="W364" i="37"/>
  <c r="AE363" i="37"/>
  <c r="AO364" i="37" s="1"/>
  <c r="V363" i="37"/>
  <c r="X363" i="37"/>
  <c r="AD361" i="37"/>
  <c r="AL361" i="37" l="1"/>
  <c r="AN361" i="37"/>
  <c r="AI362" i="37"/>
  <c r="AJ362" i="37" s="1"/>
  <c r="AK362" i="37" s="1"/>
  <c r="X364" i="37"/>
  <c r="W365" i="37"/>
  <c r="AE364" i="37"/>
  <c r="AO365" i="37" s="1"/>
  <c r="V364" i="37"/>
  <c r="Y363" i="37"/>
  <c r="AA363" i="37"/>
  <c r="Z363" i="37"/>
  <c r="AD362" i="37"/>
  <c r="AH363" i="37"/>
  <c r="AG363" i="37"/>
  <c r="AF363" i="37"/>
  <c r="AI363" i="37" l="1"/>
  <c r="AJ363" i="37" s="1"/>
  <c r="AK363" i="37" s="1"/>
  <c r="AL362" i="37"/>
  <c r="AB363" i="37"/>
  <c r="AC363" i="37" s="1"/>
  <c r="AD363" i="37" s="1"/>
  <c r="AN362" i="37"/>
  <c r="Z364" i="37"/>
  <c r="AH364" i="37"/>
  <c r="AG364" i="37"/>
  <c r="AI364" i="37" s="1"/>
  <c r="AJ364" i="37" s="1"/>
  <c r="AF364" i="37"/>
  <c r="X365" i="37"/>
  <c r="W366" i="37"/>
  <c r="AE365" i="37"/>
  <c r="AO366" i="37" s="1"/>
  <c r="V365" i="37"/>
  <c r="Y364" i="37"/>
  <c r="AA364" i="37"/>
  <c r="AB364" i="37" l="1"/>
  <c r="AC364" i="37" s="1"/>
  <c r="AD364" i="37" s="1"/>
  <c r="AL363" i="37"/>
  <c r="AN363" i="37"/>
  <c r="AK364" i="37"/>
  <c r="AH365" i="37"/>
  <c r="AG365" i="37"/>
  <c r="AI365" i="37" s="1"/>
  <c r="AJ365" i="37" s="1"/>
  <c r="AF365" i="37"/>
  <c r="X366" i="37"/>
  <c r="W367" i="37"/>
  <c r="AE366" i="37"/>
  <c r="AO367" i="37" s="1"/>
  <c r="V366" i="37"/>
  <c r="Y365" i="37"/>
  <c r="AA365" i="37"/>
  <c r="Z365" i="37"/>
  <c r="AB365" i="37" s="1"/>
  <c r="AC365" i="37" s="1"/>
  <c r="Z366" i="37" l="1"/>
  <c r="AN364" i="37"/>
  <c r="AL364" i="37"/>
  <c r="AK365" i="37"/>
  <c r="AD365" i="37"/>
  <c r="AH366" i="37"/>
  <c r="AG366" i="37"/>
  <c r="AI366" i="37" s="1"/>
  <c r="AJ366" i="37" s="1"/>
  <c r="AF366" i="37"/>
  <c r="X367" i="37"/>
  <c r="W368" i="37"/>
  <c r="AE367" i="37"/>
  <c r="AO368" i="37" s="1"/>
  <c r="V367" i="37"/>
  <c r="Y366" i="37"/>
  <c r="AA366" i="37"/>
  <c r="AB366" i="37" s="1"/>
  <c r="AC366" i="37" s="1"/>
  <c r="AL365" i="37" l="1"/>
  <c r="AN365" i="37"/>
  <c r="AK366" i="37"/>
  <c r="AH367" i="37"/>
  <c r="AG367" i="37"/>
  <c r="AI367" i="37" s="1"/>
  <c r="AJ367" i="37" s="1"/>
  <c r="AF367" i="37"/>
  <c r="X368" i="37"/>
  <c r="W369" i="37"/>
  <c r="AE368" i="37"/>
  <c r="AO369" i="37" s="1"/>
  <c r="V368" i="37"/>
  <c r="Y367" i="37"/>
  <c r="AA367" i="37"/>
  <c r="AD366" i="37"/>
  <c r="Z367" i="37"/>
  <c r="AB367" i="37" s="1"/>
  <c r="AC367" i="37" s="1"/>
  <c r="Z368" i="37" l="1"/>
  <c r="AL366" i="37"/>
  <c r="AN366" i="37"/>
  <c r="AK367" i="37"/>
  <c r="AD367" i="37"/>
  <c r="Y368" i="37"/>
  <c r="AA368" i="37"/>
  <c r="AB368" i="37" s="1"/>
  <c r="AC368" i="37" s="1"/>
  <c r="AH368" i="37"/>
  <c r="AG368" i="37"/>
  <c r="AF368" i="37"/>
  <c r="X369" i="37"/>
  <c r="W370" i="37"/>
  <c r="AE369" i="37"/>
  <c r="AO370" i="37" s="1"/>
  <c r="V369" i="37"/>
  <c r="AI368" i="37" l="1"/>
  <c r="AJ368" i="37" s="1"/>
  <c r="AK368" i="37" s="1"/>
  <c r="AL367" i="37"/>
  <c r="AN367" i="37"/>
  <c r="X370" i="37"/>
  <c r="W371" i="37"/>
  <c r="AE370" i="37"/>
  <c r="AO371" i="37" s="1"/>
  <c r="V370" i="37"/>
  <c r="Z370" i="37" s="1"/>
  <c r="Y369" i="37"/>
  <c r="AA369" i="37"/>
  <c r="Z369" i="37"/>
  <c r="AH369" i="37"/>
  <c r="AG369" i="37"/>
  <c r="AF369" i="37"/>
  <c r="AD368" i="37"/>
  <c r="AB369" i="37" l="1"/>
  <c r="AC369" i="37" s="1"/>
  <c r="AD369" i="37" s="1"/>
  <c r="AN368" i="37"/>
  <c r="AL368" i="37"/>
  <c r="AH370" i="37"/>
  <c r="AG370" i="37"/>
  <c r="AI370" i="37" s="1"/>
  <c r="AJ370" i="37" s="1"/>
  <c r="AF370" i="37"/>
  <c r="X371" i="37"/>
  <c r="W372" i="37"/>
  <c r="AE371" i="37"/>
  <c r="AO372" i="37" s="1"/>
  <c r="V371" i="37"/>
  <c r="AI369" i="37"/>
  <c r="AJ369" i="37" s="1"/>
  <c r="AK369" i="37" s="1"/>
  <c r="Y370" i="37"/>
  <c r="AA370" i="37"/>
  <c r="AB370" i="37" s="1"/>
  <c r="AC370" i="37" s="1"/>
  <c r="AL369" i="37" l="1"/>
  <c r="AN369" i="37"/>
  <c r="X372" i="37"/>
  <c r="W373" i="37"/>
  <c r="AE372" i="37"/>
  <c r="AO373" i="37" s="1"/>
  <c r="V372" i="37"/>
  <c r="Z372" i="37" s="1"/>
  <c r="Y371" i="37"/>
  <c r="AA371" i="37"/>
  <c r="AK370" i="37"/>
  <c r="AD370" i="37"/>
  <c r="Z371" i="37"/>
  <c r="AH371" i="37"/>
  <c r="AG371" i="37"/>
  <c r="AI371" i="37" s="1"/>
  <c r="AJ371" i="37" s="1"/>
  <c r="AF371" i="37"/>
  <c r="AL370" i="37" l="1"/>
  <c r="AK371" i="37"/>
  <c r="AN370" i="37"/>
  <c r="AH372" i="37"/>
  <c r="AG372" i="37"/>
  <c r="AI372" i="37" s="1"/>
  <c r="AJ372" i="37" s="1"/>
  <c r="AF372" i="37"/>
  <c r="X373" i="37"/>
  <c r="W374" i="37"/>
  <c r="AE373" i="37"/>
  <c r="AO374" i="37" s="1"/>
  <c r="V373" i="37"/>
  <c r="AB371" i="37"/>
  <c r="AC371" i="37" s="1"/>
  <c r="AD371" i="37" s="1"/>
  <c r="Y372" i="37"/>
  <c r="AA372" i="37"/>
  <c r="AB372" i="37" s="1"/>
  <c r="AC372" i="37" s="1"/>
  <c r="AL371" i="37" l="1"/>
  <c r="AN371" i="37"/>
  <c r="AH373" i="37"/>
  <c r="AG373" i="37"/>
  <c r="AI373" i="37" s="1"/>
  <c r="AJ373" i="37" s="1"/>
  <c r="AF373" i="37"/>
  <c r="X374" i="37"/>
  <c r="W375" i="37"/>
  <c r="AE374" i="37"/>
  <c r="AO375" i="37" s="1"/>
  <c r="V374" i="37"/>
  <c r="AK372" i="37"/>
  <c r="Y373" i="37"/>
  <c r="AA373" i="37"/>
  <c r="AD372" i="37"/>
  <c r="Z373" i="37"/>
  <c r="AB373" i="37" s="1"/>
  <c r="AC373" i="37" s="1"/>
  <c r="Z374" i="37" l="1"/>
  <c r="AL372" i="37"/>
  <c r="AK373" i="37"/>
  <c r="AN372" i="37"/>
  <c r="AH374" i="37"/>
  <c r="AG374" i="37"/>
  <c r="AI374" i="37" s="1"/>
  <c r="AJ374" i="37" s="1"/>
  <c r="AF374" i="37"/>
  <c r="X375" i="37"/>
  <c r="W376" i="37"/>
  <c r="AE375" i="37"/>
  <c r="AO376" i="37" s="1"/>
  <c r="V375" i="37"/>
  <c r="Y374" i="37"/>
  <c r="AA374" i="37"/>
  <c r="AB374" i="37" s="1"/>
  <c r="AC374" i="37" s="1"/>
  <c r="AD373" i="37"/>
  <c r="AL373" i="37" l="1"/>
  <c r="Z375" i="37"/>
  <c r="AN373" i="37"/>
  <c r="AK374" i="37"/>
  <c r="Y375" i="37"/>
  <c r="AA375" i="37"/>
  <c r="AB375" i="37" s="1"/>
  <c r="AC375" i="37" s="1"/>
  <c r="AH375" i="37"/>
  <c r="AG375" i="37"/>
  <c r="AI375" i="37" s="1"/>
  <c r="AJ375" i="37" s="1"/>
  <c r="AF375" i="37"/>
  <c r="X376" i="37"/>
  <c r="W377" i="37"/>
  <c r="AE376" i="37"/>
  <c r="AO377" i="37" s="1"/>
  <c r="V376" i="37"/>
  <c r="AD374" i="37"/>
  <c r="AN374" i="37" l="1"/>
  <c r="AL374" i="37"/>
  <c r="X377" i="37"/>
  <c r="W378" i="37"/>
  <c r="AE377" i="37"/>
  <c r="AO378" i="37" s="1"/>
  <c r="V377" i="37"/>
  <c r="Z377" i="37" s="1"/>
  <c r="Y376" i="37"/>
  <c r="AA376" i="37"/>
  <c r="AK375" i="37"/>
  <c r="Z376" i="37"/>
  <c r="AD375" i="37"/>
  <c r="AH376" i="37"/>
  <c r="AG376" i="37"/>
  <c r="AI376" i="37" s="1"/>
  <c r="AJ376" i="37" s="1"/>
  <c r="AF376" i="37"/>
  <c r="AB376" i="37" l="1"/>
  <c r="AC376" i="37" s="1"/>
  <c r="AD376" i="37" s="1"/>
  <c r="AL375" i="37"/>
  <c r="AN375" i="37"/>
  <c r="AK376" i="37"/>
  <c r="AH377" i="37"/>
  <c r="AG377" i="37"/>
  <c r="AI377" i="37" s="1"/>
  <c r="AJ377" i="37" s="1"/>
  <c r="AF377" i="37"/>
  <c r="X378" i="37"/>
  <c r="W379" i="37"/>
  <c r="AE378" i="37"/>
  <c r="AO379" i="37" s="1"/>
  <c r="V378" i="37"/>
  <c r="Y377" i="37"/>
  <c r="AA377" i="37"/>
  <c r="AB377" i="37" s="1"/>
  <c r="AC377" i="37" s="1"/>
  <c r="AN376" i="37" l="1"/>
  <c r="AL376" i="37"/>
  <c r="AH378" i="37"/>
  <c r="AG378" i="37"/>
  <c r="AI378" i="37" s="1"/>
  <c r="AJ378" i="37" s="1"/>
  <c r="AF378" i="37"/>
  <c r="X379" i="37"/>
  <c r="W380" i="37"/>
  <c r="AE379" i="37"/>
  <c r="AO380" i="37" s="1"/>
  <c r="V379" i="37"/>
  <c r="AK377" i="37"/>
  <c r="Y378" i="37"/>
  <c r="AA378" i="37"/>
  <c r="AD377" i="37"/>
  <c r="Z378" i="37"/>
  <c r="AB378" i="37" s="1"/>
  <c r="AC378" i="37" s="1"/>
  <c r="Z379" i="37" l="1"/>
  <c r="AL377" i="37"/>
  <c r="AN377" i="37"/>
  <c r="AK378" i="37"/>
  <c r="X380" i="37"/>
  <c r="W381" i="37"/>
  <c r="AE380" i="37"/>
  <c r="AO381" i="37" s="1"/>
  <c r="V380" i="37"/>
  <c r="AH379" i="37"/>
  <c r="AG379" i="37"/>
  <c r="AF379" i="37"/>
  <c r="Y379" i="37"/>
  <c r="AA379" i="37"/>
  <c r="AB379" i="37" s="1"/>
  <c r="AC379" i="37" s="1"/>
  <c r="AD378" i="37"/>
  <c r="Z380" i="37" l="1"/>
  <c r="AN378" i="37"/>
  <c r="AL378" i="37"/>
  <c r="AI379" i="37"/>
  <c r="AJ379" i="37" s="1"/>
  <c r="AK379" i="37" s="1"/>
  <c r="AH380" i="37"/>
  <c r="AG380" i="37"/>
  <c r="AI380" i="37" s="1"/>
  <c r="AJ380" i="37" s="1"/>
  <c r="AF380" i="37"/>
  <c r="X381" i="37"/>
  <c r="W382" i="37"/>
  <c r="AE381" i="37"/>
  <c r="AO382" i="37" s="1"/>
  <c r="V381" i="37"/>
  <c r="AD379" i="37"/>
  <c r="Y380" i="37"/>
  <c r="AA380" i="37"/>
  <c r="AB380" i="37" s="1"/>
  <c r="AC380" i="37" s="1"/>
  <c r="Z381" i="37" l="1"/>
  <c r="AL379" i="37"/>
  <c r="AN379" i="37"/>
  <c r="AH381" i="37"/>
  <c r="AG381" i="37"/>
  <c r="AI381" i="37" s="1"/>
  <c r="AJ381" i="37" s="1"/>
  <c r="AF381" i="37"/>
  <c r="X382" i="37"/>
  <c r="W383" i="37"/>
  <c r="AE382" i="37"/>
  <c r="AO383" i="37" s="1"/>
  <c r="V382" i="37"/>
  <c r="Y381" i="37"/>
  <c r="AA381" i="37"/>
  <c r="AB381" i="37" s="1"/>
  <c r="AC381" i="37" s="1"/>
  <c r="AK380" i="37"/>
  <c r="AD380" i="37"/>
  <c r="Z382" i="37" l="1"/>
  <c r="AL380" i="37"/>
  <c r="AN380" i="37"/>
  <c r="AK381" i="37"/>
  <c r="AH382" i="37"/>
  <c r="AG382" i="37"/>
  <c r="AI382" i="37" s="1"/>
  <c r="AJ382" i="37" s="1"/>
  <c r="AF382" i="37"/>
  <c r="X383" i="37"/>
  <c r="W384" i="37"/>
  <c r="AE383" i="37"/>
  <c r="AO384" i="37" s="1"/>
  <c r="V383" i="37"/>
  <c r="Y382" i="37"/>
  <c r="AA382" i="37"/>
  <c r="AB382" i="37" s="1"/>
  <c r="AC382" i="37" s="1"/>
  <c r="AD381" i="37"/>
  <c r="AN381" i="37" l="1"/>
  <c r="AL381" i="37"/>
  <c r="Z383" i="37"/>
  <c r="AK382" i="37"/>
  <c r="AH383" i="37"/>
  <c r="AG383" i="37"/>
  <c r="AI383" i="37" s="1"/>
  <c r="AJ383" i="37" s="1"/>
  <c r="AF383" i="37"/>
  <c r="X384" i="37"/>
  <c r="W385" i="37"/>
  <c r="AE384" i="37"/>
  <c r="AO385" i="37" s="1"/>
  <c r="V384" i="37"/>
  <c r="Y383" i="37"/>
  <c r="AA383" i="37"/>
  <c r="AB383" i="37" s="1"/>
  <c r="AC383" i="37" s="1"/>
  <c r="AD382" i="37"/>
  <c r="AL382" i="37" l="1"/>
  <c r="Z384" i="37"/>
  <c r="AN382" i="37"/>
  <c r="AK383" i="37"/>
  <c r="AH384" i="37"/>
  <c r="AG384" i="37"/>
  <c r="AI384" i="37" s="1"/>
  <c r="AJ384" i="37" s="1"/>
  <c r="AF384" i="37"/>
  <c r="X385" i="37"/>
  <c r="W386" i="37"/>
  <c r="AE385" i="37"/>
  <c r="AO386" i="37" s="1"/>
  <c r="V385" i="37"/>
  <c r="Y384" i="37"/>
  <c r="AA384" i="37"/>
  <c r="AB384" i="37" s="1"/>
  <c r="AC384" i="37" s="1"/>
  <c r="AD383" i="37"/>
  <c r="AN383" i="37" l="1"/>
  <c r="AL383" i="37"/>
  <c r="Z385" i="37"/>
  <c r="AK384" i="37"/>
  <c r="Y385" i="37"/>
  <c r="AA385" i="37"/>
  <c r="AB385" i="37" s="1"/>
  <c r="AC385" i="37" s="1"/>
  <c r="AH385" i="37"/>
  <c r="AG385" i="37"/>
  <c r="AF385" i="37"/>
  <c r="X386" i="37"/>
  <c r="W387" i="37"/>
  <c r="AE386" i="37"/>
  <c r="AO387" i="37" s="1"/>
  <c r="V386" i="37"/>
  <c r="AD384" i="37"/>
  <c r="AI385" i="37" l="1"/>
  <c r="AJ385" i="37" s="1"/>
  <c r="AK385" i="37" s="1"/>
  <c r="AN384" i="37"/>
  <c r="AL384" i="37"/>
  <c r="X387" i="37"/>
  <c r="W388" i="37"/>
  <c r="AE387" i="37"/>
  <c r="AO388" i="37" s="1"/>
  <c r="V387" i="37"/>
  <c r="Y386" i="37"/>
  <c r="AA386" i="37"/>
  <c r="Z386" i="37"/>
  <c r="AD385" i="37"/>
  <c r="AH386" i="37"/>
  <c r="AG386" i="37"/>
  <c r="AF386" i="37"/>
  <c r="AB386" i="37" l="1"/>
  <c r="AC386" i="37" s="1"/>
  <c r="AD386" i="37" s="1"/>
  <c r="AN385" i="37"/>
  <c r="AL385" i="37"/>
  <c r="Z387" i="37"/>
  <c r="AI386" i="37"/>
  <c r="AJ386" i="37" s="1"/>
  <c r="AK386" i="37" s="1"/>
  <c r="AH387" i="37"/>
  <c r="AG387" i="37"/>
  <c r="AI387" i="37" s="1"/>
  <c r="AJ387" i="37" s="1"/>
  <c r="AF387" i="37"/>
  <c r="X388" i="37"/>
  <c r="W389" i="37"/>
  <c r="AE388" i="37"/>
  <c r="AO389" i="37" s="1"/>
  <c r="V388" i="37"/>
  <c r="Y387" i="37"/>
  <c r="AA387" i="37"/>
  <c r="AB387" i="37" s="1"/>
  <c r="AC387" i="37" s="1"/>
  <c r="AL386" i="37" l="1"/>
  <c r="Z388" i="37"/>
  <c r="AN386" i="37"/>
  <c r="AK387" i="37"/>
  <c r="X389" i="37"/>
  <c r="W390" i="37"/>
  <c r="AE389" i="37"/>
  <c r="AO390" i="37" s="1"/>
  <c r="V389" i="37"/>
  <c r="Z389" i="37" s="1"/>
  <c r="AH388" i="37"/>
  <c r="AG388" i="37"/>
  <c r="AF388" i="37"/>
  <c r="Y388" i="37"/>
  <c r="AA388" i="37"/>
  <c r="AD387" i="37"/>
  <c r="AB388" i="37" l="1"/>
  <c r="AC388" i="37" s="1"/>
  <c r="AD388" i="37" s="1"/>
  <c r="AN387" i="37"/>
  <c r="AL387" i="37"/>
  <c r="AI388" i="37"/>
  <c r="AJ388" i="37" s="1"/>
  <c r="AK388" i="37" s="1"/>
  <c r="AH389" i="37"/>
  <c r="AG389" i="37"/>
  <c r="AI389" i="37" s="1"/>
  <c r="AJ389" i="37" s="1"/>
  <c r="AF389" i="37"/>
  <c r="X390" i="37"/>
  <c r="W391" i="37"/>
  <c r="AE390" i="37"/>
  <c r="AO391" i="37" s="1"/>
  <c r="V390" i="37"/>
  <c r="Y389" i="37"/>
  <c r="AA389" i="37"/>
  <c r="AB389" i="37" s="1"/>
  <c r="AC389" i="37" s="1"/>
  <c r="AN388" i="37" l="1"/>
  <c r="AL388" i="37"/>
  <c r="X391" i="37"/>
  <c r="W392" i="37"/>
  <c r="AE391" i="37"/>
  <c r="AO392" i="37" s="1"/>
  <c r="V391" i="37"/>
  <c r="Z391" i="37" s="1"/>
  <c r="Y390" i="37"/>
  <c r="AA390" i="37"/>
  <c r="AK389" i="37"/>
  <c r="AD389" i="37"/>
  <c r="Z390" i="37"/>
  <c r="AH390" i="37"/>
  <c r="AG390" i="37"/>
  <c r="AI390" i="37" s="1"/>
  <c r="AJ390" i="37" s="1"/>
  <c r="AF390" i="37"/>
  <c r="AL389" i="37" l="1"/>
  <c r="AN389" i="37"/>
  <c r="AK390" i="37"/>
  <c r="AH391" i="37"/>
  <c r="AG391" i="37"/>
  <c r="AI391" i="37" s="1"/>
  <c r="AJ391" i="37" s="1"/>
  <c r="AF391" i="37"/>
  <c r="X392" i="37"/>
  <c r="W393" i="37"/>
  <c r="AE392" i="37"/>
  <c r="AO393" i="37" s="1"/>
  <c r="V392" i="37"/>
  <c r="AB390" i="37"/>
  <c r="AC390" i="37" s="1"/>
  <c r="AD390" i="37" s="1"/>
  <c r="Y391" i="37"/>
  <c r="AA391" i="37"/>
  <c r="AB391" i="37" s="1"/>
  <c r="AC391" i="37" s="1"/>
  <c r="AN390" i="37" l="1"/>
  <c r="AL390" i="37"/>
  <c r="AK391" i="37"/>
  <c r="Y392" i="37"/>
  <c r="AA392" i="37"/>
  <c r="X393" i="37"/>
  <c r="W394" i="37"/>
  <c r="AE393" i="37"/>
  <c r="AO394" i="37" s="1"/>
  <c r="V393" i="37"/>
  <c r="AD391" i="37"/>
  <c r="Z392" i="37"/>
  <c r="AH392" i="37"/>
  <c r="AG392" i="37"/>
  <c r="AI392" i="37" s="1"/>
  <c r="AJ392" i="37" s="1"/>
  <c r="AF392" i="37"/>
  <c r="AL391" i="37" l="1"/>
  <c r="AN391" i="37"/>
  <c r="Z393" i="37"/>
  <c r="AB392" i="37"/>
  <c r="AC392" i="37" s="1"/>
  <c r="AD392" i="37" s="1"/>
  <c r="AK392" i="37"/>
  <c r="Y393" i="37"/>
  <c r="AA393" i="37"/>
  <c r="AB393" i="37" s="1"/>
  <c r="AC393" i="37" s="1"/>
  <c r="AH393" i="37"/>
  <c r="AG393" i="37"/>
  <c r="AF393" i="37"/>
  <c r="X394" i="37"/>
  <c r="W395" i="37"/>
  <c r="AE394" i="37"/>
  <c r="AO395" i="37" s="1"/>
  <c r="V394" i="37"/>
  <c r="AI393" i="37" l="1"/>
  <c r="AJ393" i="37" s="1"/>
  <c r="AK393" i="37" s="1"/>
  <c r="AN392" i="37"/>
  <c r="AL392" i="37"/>
  <c r="X395" i="37"/>
  <c r="W396" i="37"/>
  <c r="AE395" i="37"/>
  <c r="AO396" i="37" s="1"/>
  <c r="V395" i="37"/>
  <c r="AH394" i="37"/>
  <c r="AG394" i="37"/>
  <c r="AF394" i="37"/>
  <c r="Y394" i="37"/>
  <c r="AA394" i="37"/>
  <c r="Z394" i="37"/>
  <c r="AD393" i="37"/>
  <c r="AI394" i="37" l="1"/>
  <c r="AJ394" i="37" s="1"/>
  <c r="AK394" i="37" s="1"/>
  <c r="AL393" i="37"/>
  <c r="AN393" i="37"/>
  <c r="Y395" i="37"/>
  <c r="AA395" i="37"/>
  <c r="Z395" i="37"/>
  <c r="AB395" i="37" s="1"/>
  <c r="AC395" i="37" s="1"/>
  <c r="AH395" i="37"/>
  <c r="AG395" i="37"/>
  <c r="AF395" i="37"/>
  <c r="AB394" i="37"/>
  <c r="AC394" i="37" s="1"/>
  <c r="AD394" i="37" s="1"/>
  <c r="X396" i="37"/>
  <c r="W397" i="37"/>
  <c r="AE396" i="37"/>
  <c r="AO397" i="37" s="1"/>
  <c r="V396" i="37"/>
  <c r="Z396" i="37" s="1"/>
  <c r="AI395" i="37" l="1"/>
  <c r="AJ395" i="37" s="1"/>
  <c r="AK395" i="37" s="1"/>
  <c r="AL394" i="37"/>
  <c r="AN394" i="37"/>
  <c r="AD395" i="37"/>
  <c r="AH396" i="37"/>
  <c r="AG396" i="37"/>
  <c r="AI396" i="37" s="1"/>
  <c r="AJ396" i="37" s="1"/>
  <c r="AF396" i="37"/>
  <c r="X397" i="37"/>
  <c r="W398" i="37"/>
  <c r="AE397" i="37"/>
  <c r="AO398" i="37" s="1"/>
  <c r="V397" i="37"/>
  <c r="Y396" i="37"/>
  <c r="AA396" i="37"/>
  <c r="AB396" i="37" s="1"/>
  <c r="AC396" i="37" s="1"/>
  <c r="AL395" i="37" l="1"/>
  <c r="AK396" i="37"/>
  <c r="AN395" i="37"/>
  <c r="X398" i="37"/>
  <c r="W399" i="37"/>
  <c r="AE398" i="37"/>
  <c r="AO399" i="37" s="1"/>
  <c r="V398" i="37"/>
  <c r="Z398" i="37" s="1"/>
  <c r="AH397" i="37"/>
  <c r="AG397" i="37"/>
  <c r="AF397" i="37"/>
  <c r="Y397" i="37"/>
  <c r="AA397" i="37"/>
  <c r="AD396" i="37"/>
  <c r="Z397" i="37"/>
  <c r="AB397" i="37" s="1"/>
  <c r="AC397" i="37" s="1"/>
  <c r="AI397" i="37" l="1"/>
  <c r="AJ397" i="37" s="1"/>
  <c r="AK397" i="37" s="1"/>
  <c r="AL396" i="37"/>
  <c r="AN396" i="37"/>
  <c r="AD397" i="37"/>
  <c r="AH398" i="37"/>
  <c r="AG398" i="37"/>
  <c r="AI398" i="37" s="1"/>
  <c r="AJ398" i="37" s="1"/>
  <c r="AF398" i="37"/>
  <c r="X399" i="37"/>
  <c r="W400" i="37"/>
  <c r="AE399" i="37"/>
  <c r="AO400" i="37" s="1"/>
  <c r="V399" i="37"/>
  <c r="Y398" i="37"/>
  <c r="AA398" i="37"/>
  <c r="AB398" i="37" s="1"/>
  <c r="AC398" i="37" s="1"/>
  <c r="AL397" i="37" l="1"/>
  <c r="AN397" i="37"/>
  <c r="AK398" i="37"/>
  <c r="Z399" i="37"/>
  <c r="X400" i="37"/>
  <c r="W401" i="37"/>
  <c r="AE400" i="37"/>
  <c r="AO401" i="37" s="1"/>
  <c r="V400" i="37"/>
  <c r="Z400" i="37" s="1"/>
  <c r="AH399" i="37"/>
  <c r="AG399" i="37"/>
  <c r="AF399" i="37"/>
  <c r="Y399" i="37"/>
  <c r="AA399" i="37"/>
  <c r="AB399" i="37" s="1"/>
  <c r="AC399" i="37" s="1"/>
  <c r="AD398" i="37"/>
  <c r="AN398" i="37" l="1"/>
  <c r="AL398" i="37"/>
  <c r="AI399" i="37"/>
  <c r="AJ399" i="37" s="1"/>
  <c r="AK399" i="37" s="1"/>
  <c r="AH400" i="37"/>
  <c r="AG400" i="37"/>
  <c r="AI400" i="37" s="1"/>
  <c r="AJ400" i="37" s="1"/>
  <c r="AF400" i="37"/>
  <c r="X401" i="37"/>
  <c r="W402" i="37"/>
  <c r="AE401" i="37"/>
  <c r="AO402" i="37" s="1"/>
  <c r="V401" i="37"/>
  <c r="Y400" i="37"/>
  <c r="AA400" i="37"/>
  <c r="AB400" i="37" s="1"/>
  <c r="AC400" i="37" s="1"/>
  <c r="AD399" i="37"/>
  <c r="AL399" i="37" l="1"/>
  <c r="AN399" i="37"/>
  <c r="Y401" i="37"/>
  <c r="AA401" i="37"/>
  <c r="AK400" i="37"/>
  <c r="AH401" i="37"/>
  <c r="AG401" i="37"/>
  <c r="AI401" i="37" s="1"/>
  <c r="AJ401" i="37" s="1"/>
  <c r="AF401" i="37"/>
  <c r="X402" i="37"/>
  <c r="W403" i="37"/>
  <c r="AE402" i="37"/>
  <c r="AO403" i="37" s="1"/>
  <c r="V402" i="37"/>
  <c r="AD400" i="37"/>
  <c r="Z401" i="37"/>
  <c r="AB401" i="37" s="1"/>
  <c r="AC401" i="37" s="1"/>
  <c r="AN400" i="37" l="1"/>
  <c r="AL400" i="37"/>
  <c r="X403" i="37"/>
  <c r="W404" i="37"/>
  <c r="AE403" i="37"/>
  <c r="AO404" i="37" s="1"/>
  <c r="V403" i="37"/>
  <c r="Z403" i="37" s="1"/>
  <c r="Y402" i="37"/>
  <c r="AA402" i="37"/>
  <c r="AK401" i="37"/>
  <c r="Z402" i="37"/>
  <c r="AH402" i="37"/>
  <c r="AG402" i="37"/>
  <c r="AF402" i="37"/>
  <c r="AD401" i="37"/>
  <c r="AI402" i="37" l="1"/>
  <c r="AJ402" i="37" s="1"/>
  <c r="AK402" i="37" s="1"/>
  <c r="AB402" i="37"/>
  <c r="AC402" i="37" s="1"/>
  <c r="AD402" i="37" s="1"/>
  <c r="AL401" i="37"/>
  <c r="AN401" i="37"/>
  <c r="AH403" i="37"/>
  <c r="AG403" i="37"/>
  <c r="AF403" i="37"/>
  <c r="X404" i="37"/>
  <c r="W405" i="37"/>
  <c r="AE404" i="37"/>
  <c r="AO405" i="37" s="1"/>
  <c r="V404" i="37"/>
  <c r="Y403" i="37"/>
  <c r="AA403" i="37"/>
  <c r="AB403" i="37" s="1"/>
  <c r="AC403" i="37" s="1"/>
  <c r="AN402" i="37" l="1"/>
  <c r="AL402" i="37"/>
  <c r="Z404" i="37"/>
  <c r="AI403" i="37"/>
  <c r="AJ403" i="37" s="1"/>
  <c r="AK403" i="37" s="1"/>
  <c r="AH404" i="37"/>
  <c r="AG404" i="37"/>
  <c r="AI404" i="37" s="1"/>
  <c r="AJ404" i="37" s="1"/>
  <c r="AF404" i="37"/>
  <c r="X405" i="37"/>
  <c r="W406" i="37"/>
  <c r="AE405" i="37"/>
  <c r="AO406" i="37" s="1"/>
  <c r="V405" i="37"/>
  <c r="Y404" i="37"/>
  <c r="AA404" i="37"/>
  <c r="AB404" i="37" s="1"/>
  <c r="AC404" i="37" s="1"/>
  <c r="AD403" i="37"/>
  <c r="AL403" i="37" l="1"/>
  <c r="AK404" i="37"/>
  <c r="AN403" i="37"/>
  <c r="Z405" i="37"/>
  <c r="AH405" i="37"/>
  <c r="AG405" i="37"/>
  <c r="AI405" i="37" s="1"/>
  <c r="AJ405" i="37" s="1"/>
  <c r="AF405" i="37"/>
  <c r="X406" i="37"/>
  <c r="W407" i="37"/>
  <c r="AE406" i="37"/>
  <c r="AO407" i="37" s="1"/>
  <c r="V406" i="37"/>
  <c r="Y405" i="37"/>
  <c r="AA405" i="37"/>
  <c r="AB405" i="37" s="1"/>
  <c r="AC405" i="37" s="1"/>
  <c r="AD404" i="37"/>
  <c r="AL404" i="37" l="1"/>
  <c r="AN404" i="37"/>
  <c r="Z406" i="37"/>
  <c r="AH406" i="37"/>
  <c r="AG406" i="37"/>
  <c r="AI406" i="37" s="1"/>
  <c r="AJ406" i="37" s="1"/>
  <c r="AF406" i="37"/>
  <c r="X407" i="37"/>
  <c r="W408" i="37"/>
  <c r="AE407" i="37"/>
  <c r="AO408" i="37" s="1"/>
  <c r="V407" i="37"/>
  <c r="Y406" i="37"/>
  <c r="AA406" i="37"/>
  <c r="AB406" i="37" s="1"/>
  <c r="AC406" i="37" s="1"/>
  <c r="AK405" i="37"/>
  <c r="AD405" i="37"/>
  <c r="AL405" i="37" l="1"/>
  <c r="AN405" i="37"/>
  <c r="AK406" i="37"/>
  <c r="AD406" i="37"/>
  <c r="Z407" i="37"/>
  <c r="AH407" i="37"/>
  <c r="AG407" i="37"/>
  <c r="AI407" i="37" s="1"/>
  <c r="AJ407" i="37" s="1"/>
  <c r="AF407" i="37"/>
  <c r="X408" i="37"/>
  <c r="W409" i="37"/>
  <c r="AE408" i="37"/>
  <c r="AO409" i="37" s="1"/>
  <c r="V408" i="37"/>
  <c r="Y407" i="37"/>
  <c r="AA407" i="37"/>
  <c r="AB407" i="37" s="1"/>
  <c r="AC407" i="37" s="1"/>
  <c r="AL406" i="37" l="1"/>
  <c r="AN406" i="37"/>
  <c r="AK407" i="37"/>
  <c r="Z408" i="37"/>
  <c r="AB408" i="37" s="1"/>
  <c r="AC408" i="37" s="1"/>
  <c r="X409" i="37"/>
  <c r="W410" i="37"/>
  <c r="AE409" i="37"/>
  <c r="AO410" i="37" s="1"/>
  <c r="V409" i="37"/>
  <c r="Z409" i="37" s="1"/>
  <c r="AH408" i="37"/>
  <c r="AG408" i="37"/>
  <c r="AF408" i="37"/>
  <c r="Y408" i="37"/>
  <c r="AA408" i="37"/>
  <c r="AD407" i="37"/>
  <c r="AL407" i="37" l="1"/>
  <c r="AN407" i="37"/>
  <c r="AI408" i="37"/>
  <c r="AJ408" i="37" s="1"/>
  <c r="AK408" i="37" s="1"/>
  <c r="AH409" i="37"/>
  <c r="AG409" i="37"/>
  <c r="AI409" i="37" s="1"/>
  <c r="AJ409" i="37" s="1"/>
  <c r="AF409" i="37"/>
  <c r="X410" i="37"/>
  <c r="W411" i="37"/>
  <c r="AE410" i="37"/>
  <c r="AO411" i="37" s="1"/>
  <c r="V410" i="37"/>
  <c r="AD408" i="37"/>
  <c r="Y409" i="37"/>
  <c r="AA409" i="37"/>
  <c r="AB409" i="37" s="1"/>
  <c r="AC409" i="37" s="1"/>
  <c r="AL408" i="37" l="1"/>
  <c r="AN408" i="37"/>
  <c r="AK409" i="37"/>
  <c r="Z410" i="37"/>
  <c r="X411" i="37"/>
  <c r="W412" i="37"/>
  <c r="AE411" i="37"/>
  <c r="AO412" i="37" s="1"/>
  <c r="V411" i="37"/>
  <c r="AH410" i="37"/>
  <c r="AG410" i="37"/>
  <c r="AF410" i="37"/>
  <c r="Y410" i="37"/>
  <c r="AA410" i="37"/>
  <c r="AD409" i="37"/>
  <c r="AB410" i="37" l="1"/>
  <c r="AC410" i="37" s="1"/>
  <c r="AD410" i="37" s="1"/>
  <c r="AN409" i="37"/>
  <c r="AL409" i="37"/>
  <c r="Y411" i="37"/>
  <c r="AA411" i="37"/>
  <c r="AI410" i="37"/>
  <c r="AJ410" i="37" s="1"/>
  <c r="AK410" i="37" s="1"/>
  <c r="Z411" i="37"/>
  <c r="AB411" i="37" s="1"/>
  <c r="AC411" i="37" s="1"/>
  <c r="AH411" i="37"/>
  <c r="AG411" i="37"/>
  <c r="AF411" i="37"/>
  <c r="X412" i="37"/>
  <c r="W413" i="37"/>
  <c r="AE412" i="37"/>
  <c r="AO413" i="37" s="1"/>
  <c r="V412" i="37"/>
  <c r="AI411" i="37" l="1"/>
  <c r="AJ411" i="37" s="1"/>
  <c r="AK411" i="37" s="1"/>
  <c r="AL410" i="37"/>
  <c r="Z412" i="37"/>
  <c r="AN410" i="37"/>
  <c r="AH412" i="37"/>
  <c r="AG412" i="37"/>
  <c r="AI412" i="37" s="1"/>
  <c r="AJ412" i="37" s="1"/>
  <c r="AF412" i="37"/>
  <c r="X413" i="37"/>
  <c r="W414" i="37"/>
  <c r="AE413" i="37"/>
  <c r="AO414" i="37" s="1"/>
  <c r="V413" i="37"/>
  <c r="Y412" i="37"/>
  <c r="AA412" i="37"/>
  <c r="AB412" i="37" s="1"/>
  <c r="AC412" i="37" s="1"/>
  <c r="AD411" i="37"/>
  <c r="AN411" i="37" l="1"/>
  <c r="AL411" i="37"/>
  <c r="AK412" i="37"/>
  <c r="Z413" i="37"/>
  <c r="Y413" i="37"/>
  <c r="AA413" i="37"/>
  <c r="AB413" i="37" s="1"/>
  <c r="AC413" i="37" s="1"/>
  <c r="AH413" i="37"/>
  <c r="AG413" i="37"/>
  <c r="AI413" i="37" s="1"/>
  <c r="AJ413" i="37" s="1"/>
  <c r="AF413" i="37"/>
  <c r="X414" i="37"/>
  <c r="W415" i="37"/>
  <c r="AE414" i="37"/>
  <c r="AO415" i="37" s="1"/>
  <c r="V414" i="37"/>
  <c r="AD412" i="37"/>
  <c r="AL412" i="37" l="1"/>
  <c r="AN412" i="37"/>
  <c r="Y414" i="37"/>
  <c r="AA414" i="37"/>
  <c r="AK413" i="37"/>
  <c r="X415" i="37"/>
  <c r="W416" i="37"/>
  <c r="AE415" i="37"/>
  <c r="AO416" i="37" s="1"/>
  <c r="V415" i="37"/>
  <c r="Z414" i="37"/>
  <c r="AD413" i="37"/>
  <c r="AH414" i="37"/>
  <c r="AG414" i="37"/>
  <c r="AI414" i="37" s="1"/>
  <c r="AJ414" i="37" s="1"/>
  <c r="AF414" i="37"/>
  <c r="AB414" i="37" l="1"/>
  <c r="AC414" i="37" s="1"/>
  <c r="AD414" i="37" s="1"/>
  <c r="Z415" i="37"/>
  <c r="AL413" i="37"/>
  <c r="AK414" i="37"/>
  <c r="AN413" i="37"/>
  <c r="AH415" i="37"/>
  <c r="AG415" i="37"/>
  <c r="AI415" i="37" s="1"/>
  <c r="AJ415" i="37" s="1"/>
  <c r="AF415" i="37"/>
  <c r="X416" i="37"/>
  <c r="W417" i="37"/>
  <c r="AE416" i="37"/>
  <c r="AO417" i="37" s="1"/>
  <c r="V416" i="37"/>
  <c r="Y415" i="37"/>
  <c r="AA415" i="37"/>
  <c r="AB415" i="37" s="1"/>
  <c r="AC415" i="37" s="1"/>
  <c r="AL414" i="37" l="1"/>
  <c r="AN414" i="37"/>
  <c r="Z416" i="37"/>
  <c r="AK415" i="37"/>
  <c r="Y416" i="37"/>
  <c r="AA416" i="37"/>
  <c r="AB416" i="37"/>
  <c r="AC416" i="37" s="1"/>
  <c r="AH416" i="37"/>
  <c r="AG416" i="37"/>
  <c r="AF416" i="37"/>
  <c r="X417" i="37"/>
  <c r="W418" i="37"/>
  <c r="AE417" i="37"/>
  <c r="AO418" i="37" s="1"/>
  <c r="V417" i="37"/>
  <c r="AD415" i="37"/>
  <c r="AI416" i="37" l="1"/>
  <c r="AJ416" i="37" s="1"/>
  <c r="AK416" i="37" s="1"/>
  <c r="AL415" i="37"/>
  <c r="AN415" i="37"/>
  <c r="X418" i="37"/>
  <c r="W419" i="37"/>
  <c r="AE418" i="37"/>
  <c r="AO419" i="37" s="1"/>
  <c r="V418" i="37"/>
  <c r="Y417" i="37"/>
  <c r="AA417" i="37"/>
  <c r="Z417" i="37"/>
  <c r="AH417" i="37"/>
  <c r="AG417" i="37"/>
  <c r="AF417" i="37"/>
  <c r="AD416" i="37"/>
  <c r="AL416" i="37" l="1"/>
  <c r="AB417" i="37"/>
  <c r="AC417" i="37" s="1"/>
  <c r="AD417" i="37" s="1"/>
  <c r="AN416" i="37"/>
  <c r="Z418" i="37"/>
  <c r="AI417" i="37"/>
  <c r="AJ417" i="37" s="1"/>
  <c r="AK417" i="37" s="1"/>
  <c r="AH418" i="37"/>
  <c r="AG418" i="37"/>
  <c r="AI418" i="37" s="1"/>
  <c r="AJ418" i="37" s="1"/>
  <c r="AF418" i="37"/>
  <c r="X419" i="37"/>
  <c r="W420" i="37"/>
  <c r="AE419" i="37"/>
  <c r="AO420" i="37" s="1"/>
  <c r="V419" i="37"/>
  <c r="Y418" i="37"/>
  <c r="AA418" i="37"/>
  <c r="AB418" i="37" s="1"/>
  <c r="AC418" i="37" s="1"/>
  <c r="AL417" i="37" l="1"/>
  <c r="AN417" i="37"/>
  <c r="AK418" i="37"/>
  <c r="Y419" i="37"/>
  <c r="AA419" i="37"/>
  <c r="AH419" i="37"/>
  <c r="AG419" i="37"/>
  <c r="AI419" i="37" s="1"/>
  <c r="AJ419" i="37" s="1"/>
  <c r="AF419" i="37"/>
  <c r="X420" i="37"/>
  <c r="W421" i="37"/>
  <c r="AE420" i="37"/>
  <c r="AO421" i="37" s="1"/>
  <c r="V420" i="37"/>
  <c r="AD418" i="37"/>
  <c r="Z419" i="37"/>
  <c r="AB419" i="37" s="1"/>
  <c r="AC419" i="37" s="1"/>
  <c r="AN418" i="37" l="1"/>
  <c r="AL418" i="37"/>
  <c r="AK419" i="37"/>
  <c r="AH420" i="37"/>
  <c r="AG420" i="37"/>
  <c r="AI420" i="37" s="1"/>
  <c r="AJ420" i="37" s="1"/>
  <c r="AF420" i="37"/>
  <c r="X421" i="37"/>
  <c r="W422" i="37"/>
  <c r="AE421" i="37"/>
  <c r="AO422" i="37" s="1"/>
  <c r="V421" i="37"/>
  <c r="Y420" i="37"/>
  <c r="AA420" i="37"/>
  <c r="Z420" i="37"/>
  <c r="AB420" i="37" s="1"/>
  <c r="AC420" i="37" s="1"/>
  <c r="AD419" i="37"/>
  <c r="AL419" i="37" l="1"/>
  <c r="AK420" i="37"/>
  <c r="Z421" i="37"/>
  <c r="AN419" i="37"/>
  <c r="AD420" i="37"/>
  <c r="AH421" i="37"/>
  <c r="AG421" i="37"/>
  <c r="AI421" i="37" s="1"/>
  <c r="AJ421" i="37" s="1"/>
  <c r="AF421" i="37"/>
  <c r="X422" i="37"/>
  <c r="W423" i="37"/>
  <c r="AE422" i="37"/>
  <c r="AO423" i="37" s="1"/>
  <c r="V422" i="37"/>
  <c r="Y421" i="37"/>
  <c r="AA421" i="37"/>
  <c r="AN420" i="37" l="1"/>
  <c r="AL420" i="37"/>
  <c r="AB421" i="37"/>
  <c r="AC421" i="37" s="1"/>
  <c r="AD421" i="37" s="1"/>
  <c r="AK421" i="37"/>
  <c r="Z422" i="37"/>
  <c r="AH422" i="37"/>
  <c r="AG422" i="37"/>
  <c r="AI422" i="37" s="1"/>
  <c r="AJ422" i="37" s="1"/>
  <c r="AF422" i="37"/>
  <c r="X423" i="37"/>
  <c r="W424" i="37"/>
  <c r="AE423" i="37"/>
  <c r="AO424" i="37" s="1"/>
  <c r="V423" i="37"/>
  <c r="Y422" i="37"/>
  <c r="AA422" i="37"/>
  <c r="AB422" i="37" l="1"/>
  <c r="AC422" i="37" s="1"/>
  <c r="AD422" i="37" s="1"/>
  <c r="AL421" i="37"/>
  <c r="AN421" i="37"/>
  <c r="Z423" i="37"/>
  <c r="AK422" i="37"/>
  <c r="AH423" i="37"/>
  <c r="AG423" i="37"/>
  <c r="AF423" i="37"/>
  <c r="X424" i="37"/>
  <c r="W425" i="37"/>
  <c r="AE424" i="37"/>
  <c r="AO425" i="37" s="1"/>
  <c r="V424" i="37"/>
  <c r="Y423" i="37"/>
  <c r="AA423" i="37"/>
  <c r="AB423" i="37" s="1"/>
  <c r="AC423" i="37" s="1"/>
  <c r="AL422" i="37" l="1"/>
  <c r="AN422" i="37"/>
  <c r="Z424" i="37"/>
  <c r="AI423" i="37"/>
  <c r="AJ423" i="37" s="1"/>
  <c r="AK423" i="37" s="1"/>
  <c r="X425" i="37"/>
  <c r="W426" i="37"/>
  <c r="AE425" i="37"/>
  <c r="AO426" i="37" s="1"/>
  <c r="V425" i="37"/>
  <c r="Z425" i="37" s="1"/>
  <c r="AH424" i="37"/>
  <c r="AG424" i="37"/>
  <c r="AF424" i="37"/>
  <c r="Y424" i="37"/>
  <c r="AA424" i="37"/>
  <c r="AD423" i="37"/>
  <c r="AB424" i="37" l="1"/>
  <c r="AC424" i="37" s="1"/>
  <c r="AD424" i="37" s="1"/>
  <c r="AL423" i="37"/>
  <c r="AI424" i="37"/>
  <c r="AJ424" i="37" s="1"/>
  <c r="AK424" i="37" s="1"/>
  <c r="AN423" i="37"/>
  <c r="AH425" i="37"/>
  <c r="AG425" i="37"/>
  <c r="AI425" i="37" s="1"/>
  <c r="AJ425" i="37" s="1"/>
  <c r="AF425" i="37"/>
  <c r="X426" i="37"/>
  <c r="W427" i="37"/>
  <c r="AE426" i="37"/>
  <c r="AO427" i="37" s="1"/>
  <c r="V426" i="37"/>
  <c r="Y425" i="37"/>
  <c r="AA425" i="37"/>
  <c r="AB425" i="37" s="1"/>
  <c r="AC425" i="37" s="1"/>
  <c r="AL424" i="37" l="1"/>
  <c r="AK425" i="37"/>
  <c r="AN424" i="37"/>
  <c r="Z426" i="37"/>
  <c r="Y426" i="37"/>
  <c r="AA426" i="37"/>
  <c r="AB426" i="37" s="1"/>
  <c r="AC426" i="37" s="1"/>
  <c r="AH426" i="37"/>
  <c r="AG426" i="37"/>
  <c r="AI426" i="37" s="1"/>
  <c r="AJ426" i="37" s="1"/>
  <c r="AF426" i="37"/>
  <c r="X427" i="37"/>
  <c r="W428" i="37"/>
  <c r="AE427" i="37"/>
  <c r="AO428" i="37" s="1"/>
  <c r="V427" i="37"/>
  <c r="AD425" i="37"/>
  <c r="AL425" i="37" l="1"/>
  <c r="AN425" i="37"/>
  <c r="AK426" i="37"/>
  <c r="X428" i="37"/>
  <c r="W429" i="37"/>
  <c r="AE428" i="37"/>
  <c r="AO429" i="37" s="1"/>
  <c r="V428" i="37"/>
  <c r="Z428" i="37" s="1"/>
  <c r="Y427" i="37"/>
  <c r="AA427" i="37"/>
  <c r="Z427" i="37"/>
  <c r="AB427" i="37" s="1"/>
  <c r="AC427" i="37" s="1"/>
  <c r="AD426" i="37"/>
  <c r="AH427" i="37"/>
  <c r="AG427" i="37"/>
  <c r="AI427" i="37" s="1"/>
  <c r="AJ427" i="37" s="1"/>
  <c r="AF427" i="37"/>
  <c r="AL426" i="37" l="1"/>
  <c r="AN426" i="37"/>
  <c r="AK427" i="37"/>
  <c r="AH428" i="37"/>
  <c r="AG428" i="37"/>
  <c r="AI428" i="37" s="1"/>
  <c r="AJ428" i="37" s="1"/>
  <c r="AF428" i="37"/>
  <c r="AD427" i="37"/>
  <c r="AB428" i="37"/>
  <c r="AC428" i="37" s="1"/>
  <c r="X429" i="37"/>
  <c r="W430" i="37"/>
  <c r="AE429" i="37"/>
  <c r="AO430" i="37" s="1"/>
  <c r="V429" i="37"/>
  <c r="Y428" i="37"/>
  <c r="AA428" i="37"/>
  <c r="AL427" i="37" l="1"/>
  <c r="AN427" i="37"/>
  <c r="AK428" i="37"/>
  <c r="X430" i="37"/>
  <c r="W431" i="37"/>
  <c r="AE430" i="37"/>
  <c r="AO431" i="37" s="1"/>
  <c r="V430" i="37"/>
  <c r="Z430" i="37" s="1"/>
  <c r="AH429" i="37"/>
  <c r="AG429" i="37"/>
  <c r="AF429" i="37"/>
  <c r="Y429" i="37"/>
  <c r="AA429" i="37"/>
  <c r="AD428" i="37"/>
  <c r="Z429" i="37"/>
  <c r="AB429" i="37" s="1"/>
  <c r="AC429" i="37" s="1"/>
  <c r="AI429" i="37" l="1"/>
  <c r="AJ429" i="37" s="1"/>
  <c r="AK429" i="37" s="1"/>
  <c r="AN428" i="37"/>
  <c r="AL428" i="37"/>
  <c r="AD429" i="37"/>
  <c r="AH430" i="37"/>
  <c r="AG430" i="37"/>
  <c r="AI430" i="37" s="1"/>
  <c r="AJ430" i="37" s="1"/>
  <c r="AF430" i="37"/>
  <c r="X431" i="37"/>
  <c r="W432" i="37"/>
  <c r="AE431" i="37"/>
  <c r="AO432" i="37" s="1"/>
  <c r="V431" i="37"/>
  <c r="Y430" i="37"/>
  <c r="AA430" i="37"/>
  <c r="AB430" i="37" s="1"/>
  <c r="AC430" i="37" s="1"/>
  <c r="AL429" i="37" l="1"/>
  <c r="AK430" i="37"/>
  <c r="AN429" i="37"/>
  <c r="X432" i="37"/>
  <c r="W433" i="37"/>
  <c r="AE432" i="37"/>
  <c r="AO433" i="37" s="1"/>
  <c r="V432" i="37"/>
  <c r="Z432" i="37" s="1"/>
  <c r="AH431" i="37"/>
  <c r="AG431" i="37"/>
  <c r="AF431" i="37"/>
  <c r="Y431" i="37"/>
  <c r="AA431" i="37"/>
  <c r="AD430" i="37"/>
  <c r="Z431" i="37"/>
  <c r="AB431" i="37" s="1"/>
  <c r="AC431" i="37" s="1"/>
  <c r="AI431" i="37" l="1"/>
  <c r="AJ431" i="37" s="1"/>
  <c r="AK431" i="37" s="1"/>
  <c r="AL430" i="37"/>
  <c r="AN430" i="37"/>
  <c r="AD431" i="37"/>
  <c r="AH432" i="37"/>
  <c r="AG432" i="37"/>
  <c r="AI432" i="37" s="1"/>
  <c r="AJ432" i="37" s="1"/>
  <c r="AF432" i="37"/>
  <c r="X433" i="37"/>
  <c r="W434" i="37"/>
  <c r="AE433" i="37"/>
  <c r="AO434" i="37" s="1"/>
  <c r="V433" i="37"/>
  <c r="Y432" i="37"/>
  <c r="AA432" i="37"/>
  <c r="AB432" i="37" s="1"/>
  <c r="AC432" i="37" s="1"/>
  <c r="AL431" i="37" l="1"/>
  <c r="Z433" i="37"/>
  <c r="AN431" i="37"/>
  <c r="AK432" i="37"/>
  <c r="AH433" i="37"/>
  <c r="AG433" i="37"/>
  <c r="AI433" i="37" s="1"/>
  <c r="AJ433" i="37" s="1"/>
  <c r="AF433" i="37"/>
  <c r="X434" i="37"/>
  <c r="W435" i="37"/>
  <c r="AE434" i="37"/>
  <c r="AO435" i="37" s="1"/>
  <c r="V434" i="37"/>
  <c r="Y433" i="37"/>
  <c r="AA433" i="37"/>
  <c r="AB433" i="37" s="1"/>
  <c r="AC433" i="37" s="1"/>
  <c r="AD432" i="37"/>
  <c r="AN432" i="37" l="1"/>
  <c r="AL432" i="37"/>
  <c r="AK433" i="37"/>
  <c r="Z434" i="37"/>
  <c r="AH434" i="37"/>
  <c r="AG434" i="37"/>
  <c r="AI434" i="37" s="1"/>
  <c r="AJ434" i="37" s="1"/>
  <c r="AF434" i="37"/>
  <c r="X435" i="37"/>
  <c r="W436" i="37"/>
  <c r="AE435" i="37"/>
  <c r="AO436" i="37" s="1"/>
  <c r="V435" i="37"/>
  <c r="Y434" i="37"/>
  <c r="AA434" i="37"/>
  <c r="AD433" i="37"/>
  <c r="AB434" i="37" l="1"/>
  <c r="AC434" i="37" s="1"/>
  <c r="AD434" i="37" s="1"/>
  <c r="AL433" i="37"/>
  <c r="Z435" i="37"/>
  <c r="AN433" i="37"/>
  <c r="AK434" i="37"/>
  <c r="Y435" i="37"/>
  <c r="AA435" i="37"/>
  <c r="AB435" i="37" s="1"/>
  <c r="AC435" i="37" s="1"/>
  <c r="AH435" i="37"/>
  <c r="AG435" i="37"/>
  <c r="AF435" i="37"/>
  <c r="X436" i="37"/>
  <c r="W437" i="37"/>
  <c r="AE436" i="37"/>
  <c r="AO437" i="37" s="1"/>
  <c r="V436" i="37"/>
  <c r="AI435" i="37" l="1"/>
  <c r="AJ435" i="37" s="1"/>
  <c r="AK435" i="37" s="1"/>
  <c r="AN434" i="37"/>
  <c r="AL434" i="37"/>
  <c r="X437" i="37"/>
  <c r="W438" i="37"/>
  <c r="AE437" i="37"/>
  <c r="AO438" i="37" s="1"/>
  <c r="V437" i="37"/>
  <c r="Y436" i="37"/>
  <c r="AA436" i="37"/>
  <c r="Z436" i="37"/>
  <c r="AB436" i="37" s="1"/>
  <c r="AC436" i="37" s="1"/>
  <c r="AH436" i="37"/>
  <c r="AG436" i="37"/>
  <c r="AF436" i="37"/>
  <c r="AD435" i="37"/>
  <c r="AL435" i="37" l="1"/>
  <c r="AN435" i="37"/>
  <c r="Z437" i="37"/>
  <c r="AI436" i="37"/>
  <c r="AJ436" i="37" s="1"/>
  <c r="AK436" i="37" s="1"/>
  <c r="AH437" i="37"/>
  <c r="AG437" i="37"/>
  <c r="AI437" i="37" s="1"/>
  <c r="AJ437" i="37" s="1"/>
  <c r="AF437" i="37"/>
  <c r="AD436" i="37"/>
  <c r="X438" i="37"/>
  <c r="W439" i="37"/>
  <c r="AE438" i="37"/>
  <c r="AO439" i="37" s="1"/>
  <c r="V438" i="37"/>
  <c r="Y437" i="37"/>
  <c r="AA437" i="37"/>
  <c r="AB437" i="37" l="1"/>
  <c r="AC437" i="37" s="1"/>
  <c r="AD437" i="37" s="1"/>
  <c r="AL436" i="37"/>
  <c r="AN436" i="37"/>
  <c r="AK437" i="37"/>
  <c r="X439" i="37"/>
  <c r="W440" i="37"/>
  <c r="AE439" i="37"/>
  <c r="AO440" i="37" s="1"/>
  <c r="V439" i="37"/>
  <c r="Z439" i="37" s="1"/>
  <c r="AH438" i="37"/>
  <c r="AG438" i="37"/>
  <c r="AI438" i="37" s="1"/>
  <c r="AJ438" i="37" s="1"/>
  <c r="AF438" i="37"/>
  <c r="Y438" i="37"/>
  <c r="AA438" i="37"/>
  <c r="Z438" i="37"/>
  <c r="AB438" i="37" s="1"/>
  <c r="AC438" i="37" s="1"/>
  <c r="AL437" i="37" l="1"/>
  <c r="AN437" i="37"/>
  <c r="AK438" i="37"/>
  <c r="AD438" i="37"/>
  <c r="AH439" i="37"/>
  <c r="AG439" i="37"/>
  <c r="AI439" i="37" s="1"/>
  <c r="AJ439" i="37" s="1"/>
  <c r="AF439" i="37"/>
  <c r="X440" i="37"/>
  <c r="W441" i="37"/>
  <c r="AE440" i="37"/>
  <c r="AO441" i="37" s="1"/>
  <c r="V440" i="37"/>
  <c r="Y439" i="37"/>
  <c r="AA439" i="37"/>
  <c r="AB439" i="37" s="1"/>
  <c r="AC439" i="37" s="1"/>
  <c r="AL438" i="37" l="1"/>
  <c r="AN438" i="37"/>
  <c r="Z440" i="37"/>
  <c r="AK439" i="37"/>
  <c r="AH440" i="37"/>
  <c r="AG440" i="37"/>
  <c r="AI440" i="37" s="1"/>
  <c r="AJ440" i="37" s="1"/>
  <c r="AF440" i="37"/>
  <c r="X441" i="37"/>
  <c r="W442" i="37"/>
  <c r="AE441" i="37"/>
  <c r="AO442" i="37" s="1"/>
  <c r="V441" i="37"/>
  <c r="Y440" i="37"/>
  <c r="AA440" i="37"/>
  <c r="AB440" i="37" s="1"/>
  <c r="AC440" i="37" s="1"/>
  <c r="AD439" i="37"/>
  <c r="AL439" i="37" l="1"/>
  <c r="Z441" i="37"/>
  <c r="AK440" i="37"/>
  <c r="AN439" i="37"/>
  <c r="Y441" i="37"/>
  <c r="AA441" i="37"/>
  <c r="AB441" i="37" s="1"/>
  <c r="AC441" i="37" s="1"/>
  <c r="AH441" i="37"/>
  <c r="AG441" i="37"/>
  <c r="AI441" i="37" s="1"/>
  <c r="AJ441" i="37" s="1"/>
  <c r="AF441" i="37"/>
  <c r="X442" i="37"/>
  <c r="W443" i="37"/>
  <c r="AE442" i="37"/>
  <c r="AO443" i="37" s="1"/>
  <c r="V442" i="37"/>
  <c r="AD440" i="37"/>
  <c r="AL440" i="37" l="1"/>
  <c r="AN440" i="37"/>
  <c r="Y442" i="37"/>
  <c r="AA442" i="37"/>
  <c r="AK441" i="37"/>
  <c r="X443" i="37"/>
  <c r="W444" i="37"/>
  <c r="AE443" i="37"/>
  <c r="AO444" i="37" s="1"/>
  <c r="V443" i="37"/>
  <c r="Z442" i="37"/>
  <c r="AD441" i="37"/>
  <c r="AH442" i="37"/>
  <c r="AG442" i="37"/>
  <c r="AI442" i="37" s="1"/>
  <c r="AJ442" i="37" s="1"/>
  <c r="AF442" i="37"/>
  <c r="Z443" i="37" l="1"/>
  <c r="AL441" i="37"/>
  <c r="AB442" i="37"/>
  <c r="AC442" i="37" s="1"/>
  <c r="AD442" i="37" s="1"/>
  <c r="AK442" i="37"/>
  <c r="AN441" i="37"/>
  <c r="AH443" i="37"/>
  <c r="AG443" i="37"/>
  <c r="AI443" i="37" s="1"/>
  <c r="AJ443" i="37" s="1"/>
  <c r="AF443" i="37"/>
  <c r="X444" i="37"/>
  <c r="W445" i="37"/>
  <c r="AE444" i="37"/>
  <c r="AO445" i="37" s="1"/>
  <c r="V444" i="37"/>
  <c r="Y443" i="37"/>
  <c r="AA443" i="37"/>
  <c r="AB443" i="37" s="1"/>
  <c r="AC443" i="37" s="1"/>
  <c r="AN442" i="37" l="1"/>
  <c r="AL442" i="37"/>
  <c r="Z444" i="37"/>
  <c r="AK443" i="37"/>
  <c r="AH444" i="37"/>
  <c r="AG444" i="37"/>
  <c r="AI444" i="37" s="1"/>
  <c r="AJ444" i="37" s="1"/>
  <c r="AF444" i="37"/>
  <c r="X445" i="37"/>
  <c r="W446" i="37"/>
  <c r="AE445" i="37"/>
  <c r="AO446" i="37" s="1"/>
  <c r="V445" i="37"/>
  <c r="Y444" i="37"/>
  <c r="AA444" i="37"/>
  <c r="AB444" i="37" s="1"/>
  <c r="AC444" i="37" s="1"/>
  <c r="AD443" i="37"/>
  <c r="AN443" i="37" l="1"/>
  <c r="AL443" i="37"/>
  <c r="AK444" i="37"/>
  <c r="Z445" i="37"/>
  <c r="X446" i="37"/>
  <c r="W447" i="37"/>
  <c r="AE446" i="37"/>
  <c r="AO447" i="37" s="1"/>
  <c r="V446" i="37"/>
  <c r="Z446" i="37" s="1"/>
  <c r="AH445" i="37"/>
  <c r="AG445" i="37"/>
  <c r="AF445" i="37"/>
  <c r="Y445" i="37"/>
  <c r="AA445" i="37"/>
  <c r="AD444" i="37"/>
  <c r="AB445" i="37" l="1"/>
  <c r="AC445" i="37" s="1"/>
  <c r="AD445" i="37" s="1"/>
  <c r="AL444" i="37"/>
  <c r="AN444" i="37"/>
  <c r="AI445" i="37"/>
  <c r="AJ445" i="37" s="1"/>
  <c r="AK445" i="37" s="1"/>
  <c r="AH446" i="37"/>
  <c r="AG446" i="37"/>
  <c r="AI446" i="37" s="1"/>
  <c r="AJ446" i="37" s="1"/>
  <c r="AF446" i="37"/>
  <c r="X447" i="37"/>
  <c r="W448" i="37"/>
  <c r="AE447" i="37"/>
  <c r="AO448" i="37" s="1"/>
  <c r="V447" i="37"/>
  <c r="Y446" i="37"/>
  <c r="AA446" i="37"/>
  <c r="AB446" i="37" s="1"/>
  <c r="AC446" i="37" s="1"/>
  <c r="AL445" i="37" l="1"/>
  <c r="AN445" i="37"/>
  <c r="AK446" i="37"/>
  <c r="AH447" i="37"/>
  <c r="AG447" i="37"/>
  <c r="AI447" i="37" s="1"/>
  <c r="AJ447" i="37" s="1"/>
  <c r="AF447" i="37"/>
  <c r="X448" i="37"/>
  <c r="W449" i="37"/>
  <c r="AE448" i="37"/>
  <c r="AO449" i="37" s="1"/>
  <c r="V448" i="37"/>
  <c r="Y447" i="37"/>
  <c r="AA447" i="37"/>
  <c r="AD446" i="37"/>
  <c r="Z447" i="37"/>
  <c r="AB447" i="37" s="1"/>
  <c r="AC447" i="37" s="1"/>
  <c r="Z448" i="37" l="1"/>
  <c r="AN446" i="37"/>
  <c r="AL446" i="37"/>
  <c r="AD447" i="37"/>
  <c r="AK447" i="37"/>
  <c r="AH448" i="37"/>
  <c r="AG448" i="37"/>
  <c r="AI448" i="37" s="1"/>
  <c r="AJ448" i="37" s="1"/>
  <c r="AF448" i="37"/>
  <c r="X449" i="37"/>
  <c r="W450" i="37"/>
  <c r="AE449" i="37"/>
  <c r="AO450" i="37" s="1"/>
  <c r="V449" i="37"/>
  <c r="Y448" i="37"/>
  <c r="AA448" i="37"/>
  <c r="AB448" i="37" s="1"/>
  <c r="AC448" i="37" s="1"/>
  <c r="AL447" i="37" l="1"/>
  <c r="AN447" i="37"/>
  <c r="AK448" i="37"/>
  <c r="Z449" i="37"/>
  <c r="AH449" i="37"/>
  <c r="AG449" i="37"/>
  <c r="AI449" i="37" s="1"/>
  <c r="AJ449" i="37" s="1"/>
  <c r="AF449" i="37"/>
  <c r="X450" i="37"/>
  <c r="W451" i="37"/>
  <c r="AE450" i="37"/>
  <c r="AO451" i="37" s="1"/>
  <c r="V450" i="37"/>
  <c r="Y449" i="37"/>
  <c r="AA449" i="37"/>
  <c r="AB449" i="37" s="1"/>
  <c r="AC449" i="37" s="1"/>
  <c r="AD448" i="37"/>
  <c r="AL448" i="37" l="1"/>
  <c r="AN448" i="37"/>
  <c r="AK449" i="37"/>
  <c r="Z450" i="37"/>
  <c r="AH450" i="37"/>
  <c r="AG450" i="37"/>
  <c r="AI450" i="37" s="1"/>
  <c r="AJ450" i="37" s="1"/>
  <c r="AF450" i="37"/>
  <c r="X451" i="37"/>
  <c r="W452" i="37"/>
  <c r="AE451" i="37"/>
  <c r="AO452" i="37" s="1"/>
  <c r="V451" i="37"/>
  <c r="Y450" i="37"/>
  <c r="AA450" i="37"/>
  <c r="AB450" i="37" s="1"/>
  <c r="AC450" i="37" s="1"/>
  <c r="AD449" i="37"/>
  <c r="AL449" i="37" l="1"/>
  <c r="AN449" i="37"/>
  <c r="Z451" i="37"/>
  <c r="AK450" i="37"/>
  <c r="X452" i="37"/>
  <c r="AE452" i="37"/>
  <c r="AO453" i="37" s="1"/>
  <c r="V452" i="37"/>
  <c r="Z452" i="37" s="1"/>
  <c r="W453" i="37"/>
  <c r="AH451" i="37"/>
  <c r="AG451" i="37"/>
  <c r="AF451" i="37"/>
  <c r="Y451" i="37"/>
  <c r="AA451" i="37"/>
  <c r="AD450" i="37"/>
  <c r="AB451" i="37" l="1"/>
  <c r="AC451" i="37" s="1"/>
  <c r="AD451" i="37" s="1"/>
  <c r="AN450" i="37"/>
  <c r="AL450" i="37"/>
  <c r="AI451" i="37"/>
  <c r="AJ451" i="37" s="1"/>
  <c r="AK451" i="37" s="1"/>
  <c r="X453" i="37"/>
  <c r="W454" i="37"/>
  <c r="V453" i="37"/>
  <c r="Z453" i="37" s="1"/>
  <c r="AE453" i="37"/>
  <c r="AO454" i="37" s="1"/>
  <c r="AG452" i="37"/>
  <c r="AF452" i="37"/>
  <c r="AH452" i="37"/>
  <c r="Y452" i="37"/>
  <c r="AA452" i="37"/>
  <c r="AB452" i="37" s="1"/>
  <c r="AC452" i="37" s="1"/>
  <c r="AL451" i="37" l="1"/>
  <c r="AN451" i="37"/>
  <c r="AI452" i="37"/>
  <c r="AJ452" i="37" s="1"/>
  <c r="AK452" i="37" s="1"/>
  <c r="AG453" i="37"/>
  <c r="AF453" i="37"/>
  <c r="AH453" i="37"/>
  <c r="AD452" i="37"/>
  <c r="X454" i="37"/>
  <c r="V454" i="37"/>
  <c r="AE454" i="37"/>
  <c r="AO455" i="37" s="1"/>
  <c r="W455" i="37"/>
  <c r="Y453" i="37"/>
  <c r="AA453" i="37"/>
  <c r="AB453" i="37" s="1"/>
  <c r="AC453" i="37" s="1"/>
  <c r="AL452" i="37" l="1"/>
  <c r="AI453" i="37"/>
  <c r="AJ453" i="37" s="1"/>
  <c r="AK453" i="37" s="1"/>
  <c r="AN452" i="37"/>
  <c r="Y454" i="37"/>
  <c r="AA454" i="37"/>
  <c r="AD453" i="37"/>
  <c r="X455" i="37"/>
  <c r="W456" i="37"/>
  <c r="V455" i="37"/>
  <c r="AE455" i="37"/>
  <c r="AO456" i="37" s="1"/>
  <c r="AG454" i="37"/>
  <c r="AF454" i="37"/>
  <c r="AH454" i="37"/>
  <c r="Z454" i="37"/>
  <c r="AB454" i="37" s="1"/>
  <c r="AC454" i="37" s="1"/>
  <c r="AL453" i="37" l="1"/>
  <c r="Z455" i="37"/>
  <c r="AN453" i="37"/>
  <c r="AG455" i="37"/>
  <c r="AF455" i="37"/>
  <c r="AH455" i="37"/>
  <c r="X456" i="37"/>
  <c r="V456" i="37"/>
  <c r="AE456" i="37"/>
  <c r="AO457" i="37" s="1"/>
  <c r="W457" i="37"/>
  <c r="Y455" i="37"/>
  <c r="AA455" i="37"/>
  <c r="AI454" i="37"/>
  <c r="AJ454" i="37" s="1"/>
  <c r="AK454" i="37" s="1"/>
  <c r="AD454" i="37"/>
  <c r="Z456" i="37" l="1"/>
  <c r="AB455" i="37"/>
  <c r="AC455" i="37" s="1"/>
  <c r="AD455" i="37" s="1"/>
  <c r="AL454" i="37"/>
  <c r="AN454" i="37"/>
  <c r="X457" i="37"/>
  <c r="W458" i="37"/>
  <c r="V457" i="37"/>
  <c r="Z457" i="37" s="1"/>
  <c r="AE457" i="37"/>
  <c r="AO458" i="37" s="1"/>
  <c r="AG456" i="37"/>
  <c r="AF456" i="37"/>
  <c r="AH456" i="37"/>
  <c r="Y456" i="37"/>
  <c r="AA456" i="37"/>
  <c r="AB456" i="37" s="1"/>
  <c r="AC456" i="37" s="1"/>
  <c r="AI455" i="37"/>
  <c r="AJ455" i="37" s="1"/>
  <c r="AK455" i="37" s="1"/>
  <c r="AL455" i="37" l="1"/>
  <c r="AN455" i="37"/>
  <c r="AI456" i="37"/>
  <c r="AJ456" i="37" s="1"/>
  <c r="AK456" i="37" s="1"/>
  <c r="AG457" i="37"/>
  <c r="AF457" i="37"/>
  <c r="AH457" i="37"/>
  <c r="X458" i="37"/>
  <c r="V458" i="37"/>
  <c r="AE458" i="37"/>
  <c r="AO459" i="37" s="1"/>
  <c r="W459" i="37"/>
  <c r="Y457" i="37"/>
  <c r="AA457" i="37"/>
  <c r="AB457" i="37" s="1"/>
  <c r="AC457" i="37" s="1"/>
  <c r="AD456" i="37"/>
  <c r="AL456" i="37" l="1"/>
  <c r="AN456" i="37"/>
  <c r="Y458" i="37"/>
  <c r="AA458" i="37"/>
  <c r="AD457" i="37"/>
  <c r="X459" i="37"/>
  <c r="W460" i="37"/>
  <c r="V459" i="37"/>
  <c r="AE459" i="37"/>
  <c r="AO460" i="37" s="1"/>
  <c r="Z458" i="37"/>
  <c r="AI457" i="37"/>
  <c r="AJ457" i="37" s="1"/>
  <c r="AK457" i="37" s="1"/>
  <c r="AG458" i="37"/>
  <c r="AF458" i="37"/>
  <c r="AH458" i="37"/>
  <c r="AL457" i="37" l="1"/>
  <c r="AN457" i="37"/>
  <c r="Y459" i="37"/>
  <c r="AA459" i="37"/>
  <c r="AG459" i="37"/>
  <c r="AF459" i="37"/>
  <c r="AH459" i="37"/>
  <c r="Z459" i="37"/>
  <c r="AB459" i="37" s="1"/>
  <c r="AC459" i="37" s="1"/>
  <c r="X460" i="37"/>
  <c r="V460" i="37"/>
  <c r="AE460" i="37"/>
  <c r="AO461" i="37" s="1"/>
  <c r="W461" i="37"/>
  <c r="AI458" i="37"/>
  <c r="AJ458" i="37" s="1"/>
  <c r="AK458" i="37" s="1"/>
  <c r="AB458" i="37"/>
  <c r="AC458" i="37" s="1"/>
  <c r="AD458" i="37" s="1"/>
  <c r="AL458" i="37" l="1"/>
  <c r="AN458" i="37"/>
  <c r="Z460" i="37"/>
  <c r="Y460" i="37"/>
  <c r="AA460" i="37"/>
  <c r="AI459" i="37"/>
  <c r="AJ459" i="37" s="1"/>
  <c r="AK459" i="37" s="1"/>
  <c r="X461" i="37"/>
  <c r="W462" i="37"/>
  <c r="V461" i="37"/>
  <c r="AE461" i="37"/>
  <c r="AO462" i="37" s="1"/>
  <c r="AG460" i="37"/>
  <c r="AF460" i="37"/>
  <c r="AH460" i="37"/>
  <c r="AD459" i="37"/>
  <c r="AL459" i="37" l="1"/>
  <c r="AN459" i="37"/>
  <c r="Y461" i="37"/>
  <c r="AA461" i="37"/>
  <c r="Z461" i="37"/>
  <c r="AB461" i="37" s="1"/>
  <c r="AC461" i="37" s="1"/>
  <c r="X462" i="37"/>
  <c r="V462" i="37"/>
  <c r="Z462" i="37" s="1"/>
  <c r="AE462" i="37"/>
  <c r="AO463" i="37" s="1"/>
  <c r="W463" i="37"/>
  <c r="AI460" i="37"/>
  <c r="AJ460" i="37" s="1"/>
  <c r="AK460" i="37" s="1"/>
  <c r="AG461" i="37"/>
  <c r="AF461" i="37"/>
  <c r="AH461" i="37"/>
  <c r="AB460" i="37"/>
  <c r="AC460" i="37" s="1"/>
  <c r="AD460" i="37" s="1"/>
  <c r="AL460" i="37" l="1"/>
  <c r="AN460" i="37"/>
  <c r="X463" i="37"/>
  <c r="W464" i="37"/>
  <c r="V463" i="37"/>
  <c r="AE463" i="37"/>
  <c r="AO464" i="37" s="1"/>
  <c r="AG462" i="37"/>
  <c r="AF462" i="37"/>
  <c r="AH462" i="37"/>
  <c r="Y462" i="37"/>
  <c r="AA462" i="37"/>
  <c r="AB462" i="37" s="1"/>
  <c r="AC462" i="37" s="1"/>
  <c r="AI461" i="37"/>
  <c r="AJ461" i="37" s="1"/>
  <c r="AK461" i="37" s="1"/>
  <c r="AD461" i="37"/>
  <c r="AL461" i="37" l="1"/>
  <c r="AN461" i="37"/>
  <c r="AD462" i="37"/>
  <c r="Y463" i="37"/>
  <c r="AA463" i="37"/>
  <c r="AI462" i="37"/>
  <c r="AJ462" i="37" s="1"/>
  <c r="AK462" i="37" s="1"/>
  <c r="AG463" i="37"/>
  <c r="AF463" i="37"/>
  <c r="AH463" i="37"/>
  <c r="Z463" i="37"/>
  <c r="X464" i="37"/>
  <c r="V464" i="37"/>
  <c r="AE464" i="37"/>
  <c r="AO465" i="37" s="1"/>
  <c r="W465" i="37"/>
  <c r="Z464" i="37" l="1"/>
  <c r="AL462" i="37"/>
  <c r="AI463" i="37"/>
  <c r="AJ463" i="37" s="1"/>
  <c r="AK463" i="37" s="1"/>
  <c r="AB463" i="37"/>
  <c r="AC463" i="37" s="1"/>
  <c r="AD463" i="37" s="1"/>
  <c r="AN462" i="37"/>
  <c r="X465" i="37"/>
  <c r="W466" i="37"/>
  <c r="V465" i="37"/>
  <c r="Z465" i="37" s="1"/>
  <c r="AE465" i="37"/>
  <c r="AO466" i="37" s="1"/>
  <c r="AG464" i="37"/>
  <c r="AF464" i="37"/>
  <c r="AH464" i="37"/>
  <c r="Y464" i="37"/>
  <c r="AA464" i="37"/>
  <c r="AB464" i="37" l="1"/>
  <c r="AC464" i="37" s="1"/>
  <c r="AD464" i="37" s="1"/>
  <c r="AL463" i="37"/>
  <c r="AI464" i="37"/>
  <c r="AJ464" i="37" s="1"/>
  <c r="AK464" i="37" s="1"/>
  <c r="AN463" i="37"/>
  <c r="AG465" i="37"/>
  <c r="AF465" i="37"/>
  <c r="AH465" i="37"/>
  <c r="AB465" i="37"/>
  <c r="AC465" i="37" s="1"/>
  <c r="X466" i="37"/>
  <c r="V466" i="37"/>
  <c r="AE466" i="37"/>
  <c r="AO467" i="37" s="1"/>
  <c r="W467" i="37"/>
  <c r="Y465" i="37"/>
  <c r="AA465" i="37"/>
  <c r="AL464" i="37" l="1"/>
  <c r="AN464" i="37"/>
  <c r="Z466" i="37"/>
  <c r="Y466" i="37"/>
  <c r="AA466" i="37"/>
  <c r="AB466" i="37" s="1"/>
  <c r="AC466" i="37" s="1"/>
  <c r="AD465" i="37"/>
  <c r="X467" i="37"/>
  <c r="W468" i="37"/>
  <c r="V467" i="37"/>
  <c r="AE467" i="37"/>
  <c r="AO468" i="37" s="1"/>
  <c r="AI465" i="37"/>
  <c r="AJ465" i="37" s="1"/>
  <c r="AK465" i="37" s="1"/>
  <c r="AG466" i="37"/>
  <c r="AF466" i="37"/>
  <c r="AH466" i="37"/>
  <c r="Z467" i="37" l="1"/>
  <c r="AL465" i="37"/>
  <c r="AN465" i="37"/>
  <c r="X468" i="37"/>
  <c r="V468" i="37"/>
  <c r="Z468" i="37" s="1"/>
  <c r="AE468" i="37"/>
  <c r="AO469" i="37" s="1"/>
  <c r="W469" i="37"/>
  <c r="Y467" i="37"/>
  <c r="AA467" i="37"/>
  <c r="AB467" i="37" s="1"/>
  <c r="AC467" i="37" s="1"/>
  <c r="AI466" i="37"/>
  <c r="AJ466" i="37" s="1"/>
  <c r="AK466" i="37" s="1"/>
  <c r="AD466" i="37"/>
  <c r="AG467" i="37"/>
  <c r="AF467" i="37"/>
  <c r="AH467" i="37"/>
  <c r="AL466" i="37" l="1"/>
  <c r="AI467" i="37"/>
  <c r="AJ467" i="37" s="1"/>
  <c r="AK467" i="37" s="1"/>
  <c r="AN466" i="37"/>
  <c r="AD467" i="37"/>
  <c r="X469" i="37"/>
  <c r="W470" i="37"/>
  <c r="V469" i="37"/>
  <c r="Z469" i="37" s="1"/>
  <c r="AE469" i="37"/>
  <c r="AO470" i="37" s="1"/>
  <c r="AG468" i="37"/>
  <c r="AF468" i="37"/>
  <c r="AH468" i="37"/>
  <c r="Y468" i="37"/>
  <c r="AA468" i="37"/>
  <c r="AB468" i="37" s="1"/>
  <c r="AC468" i="37" s="1"/>
  <c r="AL467" i="37" l="1"/>
  <c r="AI468" i="37"/>
  <c r="AJ468" i="37" s="1"/>
  <c r="AK468" i="37" s="1"/>
  <c r="AN467" i="37"/>
  <c r="AG469" i="37"/>
  <c r="AF469" i="37"/>
  <c r="AH469" i="37"/>
  <c r="AB469" i="37"/>
  <c r="AC469" i="37" s="1"/>
  <c r="AD468" i="37"/>
  <c r="X470" i="37"/>
  <c r="V470" i="37"/>
  <c r="AE470" i="37"/>
  <c r="AO471" i="37" s="1"/>
  <c r="W471" i="37"/>
  <c r="Y469" i="37"/>
  <c r="AA469" i="37"/>
  <c r="AL468" i="37" l="1"/>
  <c r="AN468" i="37"/>
  <c r="Z470" i="37"/>
  <c r="AG470" i="37"/>
  <c r="AF470" i="37"/>
  <c r="AH470" i="37"/>
  <c r="Y470" i="37"/>
  <c r="AA470" i="37"/>
  <c r="AB470" i="37" s="1"/>
  <c r="AC470" i="37" s="1"/>
  <c r="AD469" i="37"/>
  <c r="X471" i="37"/>
  <c r="W472" i="37"/>
  <c r="V471" i="37"/>
  <c r="AE471" i="37"/>
  <c r="AO472" i="37" s="1"/>
  <c r="AI469" i="37"/>
  <c r="AJ469" i="37" s="1"/>
  <c r="AK469" i="37" s="1"/>
  <c r="Z471" i="37" l="1"/>
  <c r="AL469" i="37"/>
  <c r="AN469" i="37"/>
  <c r="AD470" i="37"/>
  <c r="AG471" i="37"/>
  <c r="AF471" i="37"/>
  <c r="AH471" i="37"/>
  <c r="X472" i="37"/>
  <c r="V472" i="37"/>
  <c r="AE472" i="37"/>
  <c r="AO473" i="37" s="1"/>
  <c r="W473" i="37"/>
  <c r="AI470" i="37"/>
  <c r="AJ470" i="37" s="1"/>
  <c r="AK470" i="37" s="1"/>
  <c r="Y471" i="37"/>
  <c r="AA471" i="37"/>
  <c r="AB471" i="37" s="1"/>
  <c r="AC471" i="37" s="1"/>
  <c r="AL470" i="37" l="1"/>
  <c r="AN470" i="37"/>
  <c r="Y472" i="37"/>
  <c r="AA472" i="37"/>
  <c r="AD471" i="37"/>
  <c r="X473" i="37"/>
  <c r="W474" i="37"/>
  <c r="V473" i="37"/>
  <c r="AE473" i="37"/>
  <c r="AO474" i="37" s="1"/>
  <c r="Z472" i="37"/>
  <c r="AI471" i="37"/>
  <c r="AJ471" i="37" s="1"/>
  <c r="AK471" i="37" s="1"/>
  <c r="AG472" i="37"/>
  <c r="AF472" i="37"/>
  <c r="AH472" i="37"/>
  <c r="AL471" i="37" l="1"/>
  <c r="AN471" i="37"/>
  <c r="Z473" i="37"/>
  <c r="AB472" i="37"/>
  <c r="AC472" i="37" s="1"/>
  <c r="AD472" i="37" s="1"/>
  <c r="AG473" i="37"/>
  <c r="AF473" i="37"/>
  <c r="AH473" i="37"/>
  <c r="AI472" i="37"/>
  <c r="AJ472" i="37" s="1"/>
  <c r="AK472" i="37" s="1"/>
  <c r="X474" i="37"/>
  <c r="V474" i="37"/>
  <c r="AE474" i="37"/>
  <c r="AO475" i="37" s="1"/>
  <c r="W475" i="37"/>
  <c r="Y473" i="37"/>
  <c r="AA473" i="37"/>
  <c r="AB473" i="37" l="1"/>
  <c r="AC473" i="37" s="1"/>
  <c r="AD473" i="37" s="1"/>
  <c r="AL472" i="37"/>
  <c r="AN472" i="37"/>
  <c r="Y474" i="37"/>
  <c r="AA474" i="37"/>
  <c r="AG474" i="37"/>
  <c r="AF474" i="37"/>
  <c r="AH474" i="37"/>
  <c r="Z474" i="37"/>
  <c r="X475" i="37"/>
  <c r="W476" i="37"/>
  <c r="V475" i="37"/>
  <c r="AE475" i="37"/>
  <c r="AO476" i="37" s="1"/>
  <c r="AI473" i="37"/>
  <c r="AJ473" i="37" s="1"/>
  <c r="AK473" i="37" s="1"/>
  <c r="Z475" i="37" l="1"/>
  <c r="AB474" i="37"/>
  <c r="AC474" i="37" s="1"/>
  <c r="AD474" i="37" s="1"/>
  <c r="AL473" i="37"/>
  <c r="AN473" i="37"/>
  <c r="AG475" i="37"/>
  <c r="AF475" i="37"/>
  <c r="AH475" i="37"/>
  <c r="AI474" i="37"/>
  <c r="AJ474" i="37" s="1"/>
  <c r="AK474" i="37" s="1"/>
  <c r="X476" i="37"/>
  <c r="V476" i="37"/>
  <c r="AE476" i="37"/>
  <c r="AO477" i="37" s="1"/>
  <c r="W477" i="37"/>
  <c r="Y475" i="37"/>
  <c r="AA475" i="37"/>
  <c r="AB475" i="37" s="1"/>
  <c r="AC475" i="37" s="1"/>
  <c r="AL474" i="37" l="1"/>
  <c r="AN474" i="37"/>
  <c r="Z476" i="37"/>
  <c r="Y476" i="37"/>
  <c r="AA476" i="37"/>
  <c r="AB476" i="37"/>
  <c r="AC476" i="37" s="1"/>
  <c r="AD475" i="37"/>
  <c r="X477" i="37"/>
  <c r="W478" i="37"/>
  <c r="V477" i="37"/>
  <c r="AE477" i="37"/>
  <c r="AO478" i="37" s="1"/>
  <c r="AI475" i="37"/>
  <c r="AJ475" i="37" s="1"/>
  <c r="AK475" i="37" s="1"/>
  <c r="AG476" i="37"/>
  <c r="AF476" i="37"/>
  <c r="AH476" i="37"/>
  <c r="AL475" i="37" l="1"/>
  <c r="AN475" i="37"/>
  <c r="Z477" i="37"/>
  <c r="X478" i="37"/>
  <c r="V478" i="37"/>
  <c r="AE478" i="37"/>
  <c r="AO479" i="37" s="1"/>
  <c r="W479" i="37"/>
  <c r="Y477" i="37"/>
  <c r="AA477" i="37"/>
  <c r="AI476" i="37"/>
  <c r="AJ476" i="37" s="1"/>
  <c r="AK476" i="37" s="1"/>
  <c r="AG477" i="37"/>
  <c r="AF477" i="37"/>
  <c r="AH477" i="37"/>
  <c r="AD476" i="37"/>
  <c r="AB477" i="37" l="1"/>
  <c r="AC477" i="37" s="1"/>
  <c r="AD477" i="37" s="1"/>
  <c r="AL476" i="37"/>
  <c r="AN476" i="37"/>
  <c r="Z478" i="37"/>
  <c r="AI477" i="37"/>
  <c r="AJ477" i="37" s="1"/>
  <c r="AK477" i="37" s="1"/>
  <c r="X479" i="37"/>
  <c r="AE479" i="37"/>
  <c r="AO480" i="37" s="1"/>
  <c r="W480" i="37"/>
  <c r="V479" i="37"/>
  <c r="AG478" i="37"/>
  <c r="AF478" i="37"/>
  <c r="AH478" i="37"/>
  <c r="Y478" i="37"/>
  <c r="AA478" i="37"/>
  <c r="AB478" i="37" s="1"/>
  <c r="AC478" i="37" s="1"/>
  <c r="Z479" i="37" l="1"/>
  <c r="AL477" i="37"/>
  <c r="AI478" i="37"/>
  <c r="AJ478" i="37" s="1"/>
  <c r="AK478" i="37" s="1"/>
  <c r="AN477" i="37"/>
  <c r="Y479" i="37"/>
  <c r="AA479" i="37"/>
  <c r="AB479" i="37" s="1"/>
  <c r="AC479" i="37" s="1"/>
  <c r="X480" i="37"/>
  <c r="V480" i="37"/>
  <c r="AE480" i="37"/>
  <c r="AO481" i="37" s="1"/>
  <c r="W481" i="37"/>
  <c r="AD478" i="37"/>
  <c r="AH479" i="37"/>
  <c r="AG479" i="37"/>
  <c r="AI479" i="37" s="1"/>
  <c r="AJ479" i="37" s="1"/>
  <c r="AF479" i="37"/>
  <c r="AL478" i="37" l="1"/>
  <c r="AK479" i="37"/>
  <c r="AN478" i="37"/>
  <c r="AH480" i="37"/>
  <c r="AG480" i="37"/>
  <c r="AI480" i="37" s="1"/>
  <c r="AJ480" i="37" s="1"/>
  <c r="AF480" i="37"/>
  <c r="Z480" i="37"/>
  <c r="AB480" i="37" s="1"/>
  <c r="AC480" i="37" s="1"/>
  <c r="X481" i="37"/>
  <c r="V481" i="37"/>
  <c r="AE481" i="37"/>
  <c r="AO482" i="37" s="1"/>
  <c r="W482" i="37"/>
  <c r="Y480" i="37"/>
  <c r="AA480" i="37"/>
  <c r="AD479" i="37"/>
  <c r="Z481" i="37" l="1"/>
  <c r="AL479" i="37"/>
  <c r="AN479" i="37"/>
  <c r="AK480" i="37"/>
  <c r="X482" i="37"/>
  <c r="V482" i="37"/>
  <c r="Z482" i="37" s="1"/>
  <c r="AE482" i="37"/>
  <c r="AO483" i="37" s="1"/>
  <c r="W483" i="37"/>
  <c r="AH481" i="37"/>
  <c r="AG481" i="37"/>
  <c r="AI481" i="37" s="1"/>
  <c r="AJ481" i="37" s="1"/>
  <c r="AF481" i="37"/>
  <c r="Y481" i="37"/>
  <c r="AA481" i="37"/>
  <c r="AB481" i="37" s="1"/>
  <c r="AC481" i="37" s="1"/>
  <c r="AD480" i="37"/>
  <c r="AL480" i="37" l="1"/>
  <c r="AN480" i="37"/>
  <c r="AK481" i="37"/>
  <c r="X483" i="37"/>
  <c r="W484" i="37"/>
  <c r="AE483" i="37"/>
  <c r="AO484" i="37" s="1"/>
  <c r="V483" i="37"/>
  <c r="Z483" i="37" s="1"/>
  <c r="AH482" i="37"/>
  <c r="AG482" i="37"/>
  <c r="AF482" i="37"/>
  <c r="AD481" i="37"/>
  <c r="AA482" i="37"/>
  <c r="AB482" i="37" s="1"/>
  <c r="AC482" i="37" s="1"/>
  <c r="Y482" i="37"/>
  <c r="AI482" i="37" l="1"/>
  <c r="AJ482" i="37" s="1"/>
  <c r="AK482" i="37" s="1"/>
  <c r="AN481" i="37"/>
  <c r="AL481" i="37"/>
  <c r="AD482" i="37"/>
  <c r="AH483" i="37"/>
  <c r="AG483" i="37"/>
  <c r="AF483" i="37"/>
  <c r="X484" i="37"/>
  <c r="W485" i="37"/>
  <c r="AE484" i="37"/>
  <c r="AO485" i="37" s="1"/>
  <c r="V484" i="37"/>
  <c r="AA483" i="37"/>
  <c r="AB483" i="37" s="1"/>
  <c r="AC483" i="37" s="1"/>
  <c r="Y483" i="37"/>
  <c r="AL482" i="37" l="1"/>
  <c r="AN482" i="37"/>
  <c r="AA484" i="37"/>
  <c r="Y484" i="37"/>
  <c r="X485" i="37"/>
  <c r="W486" i="37"/>
  <c r="AE485" i="37"/>
  <c r="AO486" i="37" s="1"/>
  <c r="V485" i="37"/>
  <c r="Z485" i="37" s="1"/>
  <c r="AI483" i="37"/>
  <c r="AJ483" i="37" s="1"/>
  <c r="AK483" i="37" s="1"/>
  <c r="AD483" i="37"/>
  <c r="Z484" i="37"/>
  <c r="AB484" i="37" s="1"/>
  <c r="AC484" i="37" s="1"/>
  <c r="AH484" i="37"/>
  <c r="AG484" i="37"/>
  <c r="AI484" i="37" s="1"/>
  <c r="AJ484" i="37" s="1"/>
  <c r="AF484" i="37"/>
  <c r="AL483" i="37" l="1"/>
  <c r="AN483" i="37"/>
  <c r="AK484" i="37"/>
  <c r="AA485" i="37"/>
  <c r="AB485" i="37" s="1"/>
  <c r="AC485" i="37" s="1"/>
  <c r="Y485" i="37"/>
  <c r="AH485" i="37"/>
  <c r="AG485" i="37"/>
  <c r="AI485" i="37" s="1"/>
  <c r="AJ485" i="37" s="1"/>
  <c r="AF485" i="37"/>
  <c r="X486" i="37"/>
  <c r="W487" i="37"/>
  <c r="AE486" i="37"/>
  <c r="AO487" i="37" s="1"/>
  <c r="V486" i="37"/>
  <c r="AD484" i="37"/>
  <c r="AN484" i="37" l="1"/>
  <c r="AL484" i="37"/>
  <c r="AK485" i="37"/>
  <c r="X487" i="37"/>
  <c r="W488" i="37"/>
  <c r="AE487" i="37"/>
  <c r="AO488" i="37" s="1"/>
  <c r="V487" i="37"/>
  <c r="Z487" i="37" s="1"/>
  <c r="AA486" i="37"/>
  <c r="Y486" i="37"/>
  <c r="AD485" i="37"/>
  <c r="Z486" i="37"/>
  <c r="AH486" i="37"/>
  <c r="AG486" i="37"/>
  <c r="AI486" i="37" s="1"/>
  <c r="AJ486" i="37" s="1"/>
  <c r="AF486" i="37"/>
  <c r="AL485" i="37" l="1"/>
  <c r="AN485" i="37"/>
  <c r="AB486" i="37"/>
  <c r="AC486" i="37" s="1"/>
  <c r="AD486" i="37" s="1"/>
  <c r="AK486" i="37"/>
  <c r="AH487" i="37"/>
  <c r="AG487" i="37"/>
  <c r="AI487" i="37" s="1"/>
  <c r="AJ487" i="37" s="1"/>
  <c r="AF487" i="37"/>
  <c r="AB487" i="37"/>
  <c r="AC487" i="37" s="1"/>
  <c r="X488" i="37"/>
  <c r="W489" i="37"/>
  <c r="AE488" i="37"/>
  <c r="AO489" i="37" s="1"/>
  <c r="V488" i="37"/>
  <c r="AA487" i="37"/>
  <c r="Y487" i="37"/>
  <c r="AL486" i="37" l="1"/>
  <c r="AN486" i="37"/>
  <c r="AK487" i="37"/>
  <c r="AA488" i="37"/>
  <c r="Y488" i="37"/>
  <c r="AH488" i="37"/>
  <c r="AG488" i="37"/>
  <c r="AI488" i="37" s="1"/>
  <c r="AJ488" i="37" s="1"/>
  <c r="AF488" i="37"/>
  <c r="X489" i="37"/>
  <c r="W490" i="37"/>
  <c r="AE489" i="37"/>
  <c r="AO490" i="37" s="1"/>
  <c r="V489" i="37"/>
  <c r="AD487" i="37"/>
  <c r="Z488" i="37"/>
  <c r="AB488" i="37" s="1"/>
  <c r="AC488" i="37" s="1"/>
  <c r="AL487" i="37" l="1"/>
  <c r="AN487" i="37"/>
  <c r="AH489" i="37"/>
  <c r="AG489" i="37"/>
  <c r="AI489" i="37" s="1"/>
  <c r="AJ489" i="37" s="1"/>
  <c r="AF489" i="37"/>
  <c r="X490" i="37"/>
  <c r="W491" i="37"/>
  <c r="AE490" i="37"/>
  <c r="AO491" i="37" s="1"/>
  <c r="V490" i="37"/>
  <c r="AA489" i="37"/>
  <c r="Y489" i="37"/>
  <c r="AK488" i="37"/>
  <c r="AD488" i="37"/>
  <c r="Z489" i="37"/>
  <c r="Z490" i="37" l="1"/>
  <c r="AN488" i="37"/>
  <c r="AL488" i="37"/>
  <c r="AK489" i="37"/>
  <c r="AA490" i="37"/>
  <c r="AB490" i="37" s="1"/>
  <c r="AC490" i="37" s="1"/>
  <c r="Y490" i="37"/>
  <c r="AH490" i="37"/>
  <c r="AG490" i="37"/>
  <c r="AI490" i="37" s="1"/>
  <c r="AJ490" i="37" s="1"/>
  <c r="AF490" i="37"/>
  <c r="X491" i="37"/>
  <c r="W492" i="37"/>
  <c r="AE491" i="37"/>
  <c r="AO492" i="37" s="1"/>
  <c r="V491" i="37"/>
  <c r="AB489" i="37"/>
  <c r="AC489" i="37" s="1"/>
  <c r="AD489" i="37" s="1"/>
  <c r="AL489" i="37" l="1"/>
  <c r="AN489" i="37"/>
  <c r="X492" i="37"/>
  <c r="W493" i="37"/>
  <c r="AE492" i="37"/>
  <c r="AO493" i="37" s="1"/>
  <c r="V492" i="37"/>
  <c r="Z492" i="37" s="1"/>
  <c r="AA491" i="37"/>
  <c r="Y491" i="37"/>
  <c r="AK490" i="37"/>
  <c r="AD490" i="37"/>
  <c r="Z491" i="37"/>
  <c r="AH491" i="37"/>
  <c r="AG491" i="37"/>
  <c r="AI491" i="37" s="1"/>
  <c r="AJ491" i="37" s="1"/>
  <c r="AF491" i="37"/>
  <c r="AL490" i="37" l="1"/>
  <c r="AN490" i="37"/>
  <c r="AK491" i="37"/>
  <c r="AH492" i="37"/>
  <c r="AG492" i="37"/>
  <c r="AI492" i="37" s="1"/>
  <c r="AJ492" i="37" s="1"/>
  <c r="AF492" i="37"/>
  <c r="X493" i="37"/>
  <c r="W494" i="37"/>
  <c r="AE493" i="37"/>
  <c r="AO494" i="37" s="1"/>
  <c r="V493" i="37"/>
  <c r="AB491" i="37"/>
  <c r="AC491" i="37" s="1"/>
  <c r="AD491" i="37" s="1"/>
  <c r="AA492" i="37"/>
  <c r="AB492" i="37" s="1"/>
  <c r="AC492" i="37" s="1"/>
  <c r="Y492" i="37"/>
  <c r="AL491" i="37" l="1"/>
  <c r="AN491" i="37"/>
  <c r="X494" i="37"/>
  <c r="W495" i="37"/>
  <c r="AE494" i="37"/>
  <c r="AO495" i="37" s="1"/>
  <c r="V494" i="37"/>
  <c r="Z494" i="37" s="1"/>
  <c r="AA493" i="37"/>
  <c r="Y493" i="37"/>
  <c r="AK492" i="37"/>
  <c r="AD492" i="37"/>
  <c r="Z493" i="37"/>
  <c r="AH493" i="37"/>
  <c r="AG493" i="37"/>
  <c r="AI493" i="37" s="1"/>
  <c r="AJ493" i="37" s="1"/>
  <c r="AF493" i="37"/>
  <c r="AL492" i="37" l="1"/>
  <c r="AN492" i="37"/>
  <c r="AK493" i="37"/>
  <c r="AH494" i="37"/>
  <c r="AG494" i="37"/>
  <c r="AF494" i="37"/>
  <c r="X495" i="37"/>
  <c r="W496" i="37"/>
  <c r="AE495" i="37"/>
  <c r="AO496" i="37" s="1"/>
  <c r="V495" i="37"/>
  <c r="AB493" i="37"/>
  <c r="AC493" i="37" s="1"/>
  <c r="AD493" i="37" s="1"/>
  <c r="AA494" i="37"/>
  <c r="AB494" i="37" s="1"/>
  <c r="AC494" i="37" s="1"/>
  <c r="Y494" i="37"/>
  <c r="AI494" i="37" l="1"/>
  <c r="AJ494" i="37" s="1"/>
  <c r="AK494" i="37" s="1"/>
  <c r="AN493" i="37"/>
  <c r="AL493" i="37"/>
  <c r="X496" i="37"/>
  <c r="W497" i="37"/>
  <c r="AE496" i="37"/>
  <c r="AO497" i="37" s="1"/>
  <c r="V496" i="37"/>
  <c r="Z496" i="37" s="1"/>
  <c r="AA495" i="37"/>
  <c r="Y495" i="37"/>
  <c r="AD494" i="37"/>
  <c r="Z495" i="37"/>
  <c r="AH495" i="37"/>
  <c r="AG495" i="37"/>
  <c r="AI495" i="37" s="1"/>
  <c r="AJ495" i="37" s="1"/>
  <c r="AF495" i="37"/>
  <c r="AL494" i="37" l="1"/>
  <c r="AN494" i="37"/>
  <c r="AK495" i="37"/>
  <c r="AH496" i="37"/>
  <c r="AG496" i="37"/>
  <c r="AI496" i="37" s="1"/>
  <c r="AJ496" i="37" s="1"/>
  <c r="AF496" i="37"/>
  <c r="X497" i="37"/>
  <c r="W498" i="37"/>
  <c r="AE497" i="37"/>
  <c r="AO498" i="37" s="1"/>
  <c r="V497" i="37"/>
  <c r="AB495" i="37"/>
  <c r="AC495" i="37" s="1"/>
  <c r="AD495" i="37" s="1"/>
  <c r="AA496" i="37"/>
  <c r="AB496" i="37" s="1"/>
  <c r="AC496" i="37" s="1"/>
  <c r="Y496" i="37"/>
  <c r="AN495" i="37" l="1"/>
  <c r="AL495" i="37"/>
  <c r="X498" i="37"/>
  <c r="W499" i="37"/>
  <c r="AE498" i="37"/>
  <c r="AO499" i="37" s="1"/>
  <c r="V498" i="37"/>
  <c r="Z498" i="37" s="1"/>
  <c r="AA497" i="37"/>
  <c r="Y497" i="37"/>
  <c r="AK496" i="37"/>
  <c r="AD496" i="37"/>
  <c r="Z497" i="37"/>
  <c r="AH497" i="37"/>
  <c r="AG497" i="37"/>
  <c r="AI497" i="37" s="1"/>
  <c r="AJ497" i="37" s="1"/>
  <c r="AF497" i="37"/>
  <c r="AL496" i="37" l="1"/>
  <c r="AN496" i="37"/>
  <c r="AK497" i="37"/>
  <c r="AH498" i="37"/>
  <c r="AG498" i="37"/>
  <c r="AI498" i="37" s="1"/>
  <c r="AJ498" i="37" s="1"/>
  <c r="AF498" i="37"/>
  <c r="AB498" i="37"/>
  <c r="AC498" i="37" s="1"/>
  <c r="X499" i="37"/>
  <c r="W500" i="37"/>
  <c r="AE499" i="37"/>
  <c r="AO500" i="37" s="1"/>
  <c r="V499" i="37"/>
  <c r="AB497" i="37"/>
  <c r="AC497" i="37" s="1"/>
  <c r="AD497" i="37" s="1"/>
  <c r="AA498" i="37"/>
  <c r="Y498" i="37"/>
  <c r="AN497" i="37" l="1"/>
  <c r="AL497" i="37"/>
  <c r="AK498" i="37"/>
  <c r="AA499" i="37"/>
  <c r="Y499" i="37"/>
  <c r="AH499" i="37"/>
  <c r="AG499" i="37"/>
  <c r="AI499" i="37" s="1"/>
  <c r="AJ499" i="37" s="1"/>
  <c r="AF499" i="37"/>
  <c r="X500" i="37"/>
  <c r="W501" i="37"/>
  <c r="AE500" i="37"/>
  <c r="AO501" i="37" s="1"/>
  <c r="V500" i="37"/>
  <c r="AD498" i="37"/>
  <c r="Z499" i="37"/>
  <c r="AB499" i="37" s="1"/>
  <c r="AC499" i="37" s="1"/>
  <c r="AL498" i="37" l="1"/>
  <c r="AN498" i="37"/>
  <c r="AK499" i="37"/>
  <c r="AA500" i="37"/>
  <c r="Y500" i="37"/>
  <c r="AH500" i="37"/>
  <c r="AG500" i="37"/>
  <c r="AI500" i="37" s="1"/>
  <c r="AJ500" i="37" s="1"/>
  <c r="AF500" i="37"/>
  <c r="X501" i="37"/>
  <c r="W502" i="37"/>
  <c r="AE501" i="37"/>
  <c r="AO502" i="37" s="1"/>
  <c r="V501" i="37"/>
  <c r="AD499" i="37"/>
  <c r="Z500" i="37"/>
  <c r="AB500" i="37" s="1"/>
  <c r="AC500" i="37" s="1"/>
  <c r="AN499" i="37" l="1"/>
  <c r="AL499" i="37"/>
  <c r="AK500" i="37"/>
  <c r="X502" i="37"/>
  <c r="W503" i="37"/>
  <c r="AE502" i="37"/>
  <c r="AO503" i="37" s="1"/>
  <c r="V502" i="37"/>
  <c r="Z502" i="37" s="1"/>
  <c r="AH501" i="37"/>
  <c r="AG501" i="37"/>
  <c r="AF501" i="37"/>
  <c r="AA501" i="37"/>
  <c r="Y501" i="37"/>
  <c r="AD500" i="37"/>
  <c r="Z501" i="37"/>
  <c r="AN500" i="37" l="1"/>
  <c r="AL500" i="37"/>
  <c r="AI501" i="37"/>
  <c r="AJ501" i="37" s="1"/>
  <c r="AK501" i="37" s="1"/>
  <c r="AB501" i="37"/>
  <c r="AC501" i="37" s="1"/>
  <c r="AD501" i="37" s="1"/>
  <c r="AH502" i="37"/>
  <c r="AG502" i="37"/>
  <c r="AI502" i="37" s="1"/>
  <c r="AJ502" i="37" s="1"/>
  <c r="AF502" i="37"/>
  <c r="X503" i="37"/>
  <c r="W504" i="37"/>
  <c r="AE503" i="37"/>
  <c r="AO504" i="37" s="1"/>
  <c r="V503" i="37"/>
  <c r="AA502" i="37"/>
  <c r="AB502" i="37" s="1"/>
  <c r="AC502" i="37" s="1"/>
  <c r="Y502" i="37"/>
  <c r="AL501" i="37" l="1"/>
  <c r="AN501" i="37"/>
  <c r="AK502" i="37"/>
  <c r="X504" i="37"/>
  <c r="W505" i="37"/>
  <c r="AE504" i="37"/>
  <c r="AO505" i="37" s="1"/>
  <c r="V504" i="37"/>
  <c r="Z504" i="37" s="1"/>
  <c r="AA503" i="37"/>
  <c r="Y503" i="37"/>
  <c r="AD502" i="37"/>
  <c r="Z503" i="37"/>
  <c r="AH503" i="37"/>
  <c r="AG503" i="37"/>
  <c r="AI503" i="37" s="1"/>
  <c r="AJ503" i="37" s="1"/>
  <c r="AF503" i="37"/>
  <c r="AL502" i="37" l="1"/>
  <c r="AN502" i="37"/>
  <c r="AB503" i="37"/>
  <c r="AC503" i="37" s="1"/>
  <c r="AD503" i="37" s="1"/>
  <c r="AK503" i="37"/>
  <c r="AH504" i="37"/>
  <c r="AG504" i="37"/>
  <c r="AI504" i="37" s="1"/>
  <c r="AJ504" i="37" s="1"/>
  <c r="AF504" i="37"/>
  <c r="X505" i="37"/>
  <c r="W506" i="37"/>
  <c r="AE505" i="37"/>
  <c r="AO506" i="37" s="1"/>
  <c r="V505" i="37"/>
  <c r="AA504" i="37"/>
  <c r="AB504" i="37" s="1"/>
  <c r="AC504" i="37" s="1"/>
  <c r="Y504" i="37"/>
  <c r="AL503" i="37" l="1"/>
  <c r="AN503" i="37"/>
  <c r="Z505" i="37"/>
  <c r="AK504" i="37"/>
  <c r="AH505" i="37"/>
  <c r="AG505" i="37"/>
  <c r="AI505" i="37" s="1"/>
  <c r="AJ505" i="37" s="1"/>
  <c r="AF505" i="37"/>
  <c r="X506" i="37"/>
  <c r="W507" i="37"/>
  <c r="AE506" i="37"/>
  <c r="AO507" i="37" s="1"/>
  <c r="V506" i="37"/>
  <c r="AA505" i="37"/>
  <c r="AB505" i="37" s="1"/>
  <c r="AC505" i="37" s="1"/>
  <c r="Y505" i="37"/>
  <c r="AD504" i="37"/>
  <c r="AN504" i="37" l="1"/>
  <c r="AL504" i="37"/>
  <c r="AK505" i="37"/>
  <c r="Z506" i="37"/>
  <c r="AH506" i="37"/>
  <c r="AG506" i="37"/>
  <c r="AI506" i="37" s="1"/>
  <c r="AJ506" i="37" s="1"/>
  <c r="AF506" i="37"/>
  <c r="X507" i="37"/>
  <c r="W508" i="37"/>
  <c r="AE507" i="37"/>
  <c r="AO508" i="37" s="1"/>
  <c r="V507" i="37"/>
  <c r="AA506" i="37"/>
  <c r="Y506" i="37"/>
  <c r="AD505" i="37"/>
  <c r="AN505" i="37" l="1"/>
  <c r="AL505" i="37"/>
  <c r="AB506" i="37"/>
  <c r="AC506" i="37" s="1"/>
  <c r="AD506" i="37" s="1"/>
  <c r="Z507" i="37"/>
  <c r="AK506" i="37"/>
  <c r="AH507" i="37"/>
  <c r="AG507" i="37"/>
  <c r="AI507" i="37" s="1"/>
  <c r="AJ507" i="37" s="1"/>
  <c r="AF507" i="37"/>
  <c r="X508" i="37"/>
  <c r="W509" i="37"/>
  <c r="AE508" i="37"/>
  <c r="AO509" i="37" s="1"/>
  <c r="V508" i="37"/>
  <c r="AA507" i="37"/>
  <c r="AB507" i="37" s="1"/>
  <c r="AC507" i="37" s="1"/>
  <c r="Y507" i="37"/>
  <c r="AK507" i="37" l="1"/>
  <c r="AN506" i="37"/>
  <c r="AL506" i="37"/>
  <c r="Z508" i="37"/>
  <c r="AH508" i="37"/>
  <c r="AG508" i="37"/>
  <c r="AI508" i="37" s="1"/>
  <c r="AJ508" i="37" s="1"/>
  <c r="AF508" i="37"/>
  <c r="X509" i="37"/>
  <c r="W510" i="37"/>
  <c r="AE509" i="37"/>
  <c r="AO510" i="37" s="1"/>
  <c r="V509" i="37"/>
  <c r="AA508" i="37"/>
  <c r="Y508" i="37"/>
  <c r="AD507" i="37"/>
  <c r="Z509" i="37" l="1"/>
  <c r="AN507" i="37"/>
  <c r="AL507" i="37"/>
  <c r="AB508" i="37"/>
  <c r="AC508" i="37" s="1"/>
  <c r="AD508" i="37" s="1"/>
  <c r="AK508" i="37"/>
  <c r="X510" i="37"/>
  <c r="W511" i="37"/>
  <c r="AE510" i="37"/>
  <c r="AO511" i="37" s="1"/>
  <c r="V510" i="37"/>
  <c r="AH509" i="37"/>
  <c r="AG509" i="37"/>
  <c r="AF509" i="37"/>
  <c r="AA509" i="37"/>
  <c r="AB509" i="37" s="1"/>
  <c r="AC509" i="37" s="1"/>
  <c r="Y509" i="37"/>
  <c r="Z510" i="37" l="1"/>
  <c r="AL508" i="37"/>
  <c r="AN508" i="37"/>
  <c r="AI509" i="37"/>
  <c r="AJ509" i="37" s="1"/>
  <c r="AK509" i="37" s="1"/>
  <c r="AH510" i="37"/>
  <c r="AG510" i="37"/>
  <c r="AI510" i="37" s="1"/>
  <c r="AJ510" i="37" s="1"/>
  <c r="AF510" i="37"/>
  <c r="X511" i="37"/>
  <c r="W512" i="37"/>
  <c r="AE511" i="37"/>
  <c r="AO512" i="37" s="1"/>
  <c r="V511" i="37"/>
  <c r="AD509" i="37"/>
  <c r="AA510" i="37"/>
  <c r="AB510" i="37" s="1"/>
  <c r="AC510" i="37" s="1"/>
  <c r="Y510" i="37"/>
  <c r="AL509" i="37" l="1"/>
  <c r="AN509" i="37"/>
  <c r="Z511" i="37"/>
  <c r="X512" i="37"/>
  <c r="W513" i="37"/>
  <c r="AE512" i="37"/>
  <c r="AO513" i="37" s="1"/>
  <c r="V512" i="37"/>
  <c r="Z512" i="37" s="1"/>
  <c r="AA511" i="37"/>
  <c r="Y511" i="37"/>
  <c r="AK510" i="37"/>
  <c r="AD510" i="37"/>
  <c r="AH511" i="37"/>
  <c r="AG511" i="37"/>
  <c r="AI511" i="37" s="1"/>
  <c r="AJ511" i="37" s="1"/>
  <c r="AF511" i="37"/>
  <c r="AL510" i="37" l="1"/>
  <c r="AK511" i="37"/>
  <c r="AN510" i="37"/>
  <c r="AH512" i="37"/>
  <c r="AG512" i="37"/>
  <c r="AI512" i="37" s="1"/>
  <c r="AJ512" i="37" s="1"/>
  <c r="AF512" i="37"/>
  <c r="AB512" i="37"/>
  <c r="AC512" i="37" s="1"/>
  <c r="X513" i="37"/>
  <c r="W514" i="37"/>
  <c r="AE513" i="37"/>
  <c r="AO514" i="37" s="1"/>
  <c r="V513" i="37"/>
  <c r="AA512" i="37"/>
  <c r="Y512" i="37"/>
  <c r="AB511" i="37"/>
  <c r="AC511" i="37" s="1"/>
  <c r="AD511" i="37" s="1"/>
  <c r="AL511" i="37" l="1"/>
  <c r="AN511" i="37"/>
  <c r="AK512" i="37"/>
  <c r="AH513" i="37"/>
  <c r="AG513" i="37"/>
  <c r="AI513" i="37" s="1"/>
  <c r="AJ513" i="37" s="1"/>
  <c r="AF513" i="37"/>
  <c r="X514" i="37"/>
  <c r="W515" i="37"/>
  <c r="AE514" i="37"/>
  <c r="AO515" i="37" s="1"/>
  <c r="V514" i="37"/>
  <c r="AA513" i="37"/>
  <c r="Y513" i="37"/>
  <c r="AD512" i="37"/>
  <c r="Z513" i="37"/>
  <c r="Z514" i="37" l="1"/>
  <c r="AL512" i="37"/>
  <c r="AK513" i="37"/>
  <c r="AN512" i="37"/>
  <c r="AH514" i="37"/>
  <c r="AG514" i="37"/>
  <c r="AI514" i="37" s="1"/>
  <c r="AJ514" i="37" s="1"/>
  <c r="AF514" i="37"/>
  <c r="X515" i="37"/>
  <c r="W516" i="37"/>
  <c r="AE515" i="37"/>
  <c r="AO516" i="37" s="1"/>
  <c r="V515" i="37"/>
  <c r="AA514" i="37"/>
  <c r="AB514" i="37" s="1"/>
  <c r="AC514" i="37" s="1"/>
  <c r="Y514" i="37"/>
  <c r="AB513" i="37"/>
  <c r="AC513" i="37" s="1"/>
  <c r="AD513" i="37" s="1"/>
  <c r="Z515" i="37" l="1"/>
  <c r="AL513" i="37"/>
  <c r="AN513" i="37"/>
  <c r="AK514" i="37"/>
  <c r="AH515" i="37"/>
  <c r="AG515" i="37"/>
  <c r="AI515" i="37" s="1"/>
  <c r="AJ515" i="37" s="1"/>
  <c r="AF515" i="37"/>
  <c r="X516" i="37"/>
  <c r="W517" i="37"/>
  <c r="AE516" i="37"/>
  <c r="AO517" i="37" s="1"/>
  <c r="V516" i="37"/>
  <c r="AA515" i="37"/>
  <c r="AB515" i="37" s="1"/>
  <c r="AC515" i="37" s="1"/>
  <c r="Y515" i="37"/>
  <c r="AD514" i="37"/>
  <c r="Z516" i="37" l="1"/>
  <c r="AL514" i="37"/>
  <c r="AN514" i="37"/>
  <c r="AK515" i="37"/>
  <c r="AH516" i="37"/>
  <c r="AG516" i="37"/>
  <c r="AI516" i="37" s="1"/>
  <c r="AJ516" i="37" s="1"/>
  <c r="AF516" i="37"/>
  <c r="X517" i="37"/>
  <c r="W518" i="37"/>
  <c r="AE517" i="37"/>
  <c r="AO518" i="37" s="1"/>
  <c r="V517" i="37"/>
  <c r="AA516" i="37"/>
  <c r="AB516" i="37" s="1"/>
  <c r="AC516" i="37" s="1"/>
  <c r="Y516" i="37"/>
  <c r="AD515" i="37"/>
  <c r="Z517" i="37" l="1"/>
  <c r="AL515" i="37"/>
  <c r="AK516" i="37"/>
  <c r="AN515" i="37"/>
  <c r="AH517" i="37"/>
  <c r="AG517" i="37"/>
  <c r="AI517" i="37" s="1"/>
  <c r="AJ517" i="37" s="1"/>
  <c r="AF517" i="37"/>
  <c r="X518" i="37"/>
  <c r="W519" i="37"/>
  <c r="AE518" i="37"/>
  <c r="AO519" i="37" s="1"/>
  <c r="V518" i="37"/>
  <c r="AA517" i="37"/>
  <c r="AB517" i="37" s="1"/>
  <c r="AC517" i="37" s="1"/>
  <c r="Y517" i="37"/>
  <c r="AD516" i="37"/>
  <c r="Z518" i="37" l="1"/>
  <c r="AL516" i="37"/>
  <c r="AN516" i="37"/>
  <c r="AK517" i="37"/>
  <c r="AH518" i="37"/>
  <c r="AG518" i="37"/>
  <c r="AI518" i="37" s="1"/>
  <c r="AJ518" i="37" s="1"/>
  <c r="AF518" i="37"/>
  <c r="AB518" i="37"/>
  <c r="AC518" i="37" s="1"/>
  <c r="X519" i="37"/>
  <c r="W520" i="37"/>
  <c r="AE519" i="37"/>
  <c r="AO520" i="37" s="1"/>
  <c r="V519" i="37"/>
  <c r="AA518" i="37"/>
  <c r="Y518" i="37"/>
  <c r="AD517" i="37"/>
  <c r="AL517" i="37" l="1"/>
  <c r="AN517" i="37"/>
  <c r="AK518" i="37"/>
  <c r="Z519" i="37"/>
  <c r="AH519" i="37"/>
  <c r="AG519" i="37"/>
  <c r="AI519" i="37" s="1"/>
  <c r="AJ519" i="37" s="1"/>
  <c r="AF519" i="37"/>
  <c r="X520" i="37"/>
  <c r="AE520" i="37"/>
  <c r="AO521" i="37" s="1"/>
  <c r="V520" i="37"/>
  <c r="W521" i="37"/>
  <c r="AA519" i="37"/>
  <c r="AB519" i="37" s="1"/>
  <c r="AC519" i="37" s="1"/>
  <c r="Y519" i="37"/>
  <c r="AD518" i="37"/>
  <c r="Z520" i="37" l="1"/>
  <c r="AL518" i="37"/>
  <c r="AN518" i="37"/>
  <c r="AK519" i="37"/>
  <c r="AD519" i="37"/>
  <c r="V521" i="37"/>
  <c r="W522" i="37"/>
  <c r="X521" i="37"/>
  <c r="AE521" i="37"/>
  <c r="AO522" i="37" s="1"/>
  <c r="AH520" i="37"/>
  <c r="AG520" i="37"/>
  <c r="AF520" i="37"/>
  <c r="AA520" i="37"/>
  <c r="AB520" i="37" s="1"/>
  <c r="AC520" i="37" s="1"/>
  <c r="Y520" i="37"/>
  <c r="AL519" i="37" l="1"/>
  <c r="AN519" i="37"/>
  <c r="AI520" i="37"/>
  <c r="AJ520" i="37" s="1"/>
  <c r="AK520" i="37" s="1"/>
  <c r="AH521" i="37"/>
  <c r="AG521" i="37"/>
  <c r="AI521" i="37" s="1"/>
  <c r="AJ521" i="37" s="1"/>
  <c r="AF521" i="37"/>
  <c r="AA521" i="37"/>
  <c r="Y521" i="37"/>
  <c r="V522" i="37"/>
  <c r="AE522" i="37"/>
  <c r="AO523" i="37" s="1"/>
  <c r="W523" i="37"/>
  <c r="X522" i="37"/>
  <c r="AD520" i="37"/>
  <c r="Z521" i="37"/>
  <c r="Z522" i="37" l="1"/>
  <c r="AL520" i="37"/>
  <c r="AN520" i="37"/>
  <c r="AF522" i="37"/>
  <c r="AH522" i="37"/>
  <c r="AG522" i="37"/>
  <c r="AI522" i="37" s="1"/>
  <c r="AJ522" i="37" s="1"/>
  <c r="AB521" i="37"/>
  <c r="AC521" i="37" s="1"/>
  <c r="AD521" i="37" s="1"/>
  <c r="AK521" i="37"/>
  <c r="AA522" i="37"/>
  <c r="AB522" i="37" s="1"/>
  <c r="AC522" i="37" s="1"/>
  <c r="Y522" i="37"/>
  <c r="V523" i="37"/>
  <c r="X523" i="37"/>
  <c r="AE523" i="37"/>
  <c r="AO524" i="37" s="1"/>
  <c r="W524" i="37"/>
  <c r="AL521" i="37" l="1"/>
  <c r="AN521" i="37"/>
  <c r="Y523" i="37"/>
  <c r="AA523" i="37"/>
  <c r="V524" i="37"/>
  <c r="X524" i="37"/>
  <c r="AE524" i="37"/>
  <c r="AO525" i="37" s="1"/>
  <c r="W525" i="37"/>
  <c r="AH523" i="37"/>
  <c r="AG523" i="37"/>
  <c r="AF523" i="37"/>
  <c r="Z523" i="37"/>
  <c r="AB523" i="37" s="1"/>
  <c r="AC523" i="37" s="1"/>
  <c r="AD522" i="37"/>
  <c r="AK522" i="37"/>
  <c r="AL522" i="37" l="1"/>
  <c r="AN522" i="37"/>
  <c r="AI523" i="37"/>
  <c r="AJ523" i="37" s="1"/>
  <c r="AK523" i="37" s="1"/>
  <c r="AH524" i="37"/>
  <c r="AG524" i="37"/>
  <c r="AF524" i="37"/>
  <c r="Z524" i="37"/>
  <c r="AB524" i="37" s="1"/>
  <c r="AC524" i="37" s="1"/>
  <c r="V525" i="37"/>
  <c r="W526" i="37"/>
  <c r="X525" i="37"/>
  <c r="AE525" i="37"/>
  <c r="AO526" i="37" s="1"/>
  <c r="AA524" i="37"/>
  <c r="Y524" i="37"/>
  <c r="AD523" i="37"/>
  <c r="AI524" i="37" l="1"/>
  <c r="AJ524" i="37" s="1"/>
  <c r="AK524" i="37" s="1"/>
  <c r="AL523" i="37"/>
  <c r="AN523" i="37"/>
  <c r="AH525" i="37"/>
  <c r="AG525" i="37"/>
  <c r="AI525" i="37" s="1"/>
  <c r="AJ525" i="37" s="1"/>
  <c r="AF525" i="37"/>
  <c r="Z525" i="37"/>
  <c r="AA525" i="37"/>
  <c r="Y525" i="37"/>
  <c r="V526" i="37"/>
  <c r="AE526" i="37"/>
  <c r="AO527" i="37" s="1"/>
  <c r="W527" i="37"/>
  <c r="X526" i="37"/>
  <c r="AD524" i="37"/>
  <c r="AL524" i="37" l="1"/>
  <c r="AK525" i="37"/>
  <c r="Z526" i="37"/>
  <c r="AN524" i="37"/>
  <c r="AF526" i="37"/>
  <c r="AH526" i="37"/>
  <c r="AG526" i="37"/>
  <c r="AI526" i="37" s="1"/>
  <c r="AJ526" i="37" s="1"/>
  <c r="AB525" i="37"/>
  <c r="AC525" i="37" s="1"/>
  <c r="AD525" i="37" s="1"/>
  <c r="AA526" i="37"/>
  <c r="Y526" i="37"/>
  <c r="V527" i="37"/>
  <c r="X527" i="37"/>
  <c r="AE527" i="37"/>
  <c r="AO528" i="37" s="1"/>
  <c r="W528" i="37"/>
  <c r="AB526" i="37" l="1"/>
  <c r="AC526" i="37" s="1"/>
  <c r="AD526" i="37" s="1"/>
  <c r="AL525" i="37"/>
  <c r="AN525" i="37"/>
  <c r="AH527" i="37"/>
  <c r="AG527" i="37"/>
  <c r="AI527" i="37" s="1"/>
  <c r="AJ527" i="37" s="1"/>
  <c r="AF527" i="37"/>
  <c r="V528" i="37"/>
  <c r="X528" i="37"/>
  <c r="AE528" i="37"/>
  <c r="AO529" i="37" s="1"/>
  <c r="W529" i="37"/>
  <c r="Y527" i="37"/>
  <c r="AA527" i="37"/>
  <c r="Z527" i="37"/>
  <c r="AB527" i="37" s="1"/>
  <c r="AC527" i="37" s="1"/>
  <c r="AK526" i="37"/>
  <c r="AK527" i="37" l="1"/>
  <c r="AL526" i="37"/>
  <c r="AN526" i="37"/>
  <c r="V529" i="37"/>
  <c r="W530" i="37"/>
  <c r="X529" i="37"/>
  <c r="AE529" i="37"/>
  <c r="AO530" i="37" s="1"/>
  <c r="AH528" i="37"/>
  <c r="AG528" i="37"/>
  <c r="AF528" i="37"/>
  <c r="AA528" i="37"/>
  <c r="Y528" i="37"/>
  <c r="Z528" i="37"/>
  <c r="AD527" i="37"/>
  <c r="AN527" i="37" l="1"/>
  <c r="AL527" i="37"/>
  <c r="AI528" i="37"/>
  <c r="AJ528" i="37" s="1"/>
  <c r="AK528" i="37" s="1"/>
  <c r="AH529" i="37"/>
  <c r="AG529" i="37"/>
  <c r="AI529" i="37" s="1"/>
  <c r="AJ529" i="37" s="1"/>
  <c r="AF529" i="37"/>
  <c r="AA529" i="37"/>
  <c r="Y529" i="37"/>
  <c r="AB528" i="37"/>
  <c r="AC528" i="37" s="1"/>
  <c r="AD528" i="37" s="1"/>
  <c r="V530" i="37"/>
  <c r="AE530" i="37"/>
  <c r="AO531" i="37" s="1"/>
  <c r="W531" i="37"/>
  <c r="X530" i="37"/>
  <c r="Z529" i="37"/>
  <c r="AL528" i="37" l="1"/>
  <c r="AK529" i="37"/>
  <c r="AN528" i="37"/>
  <c r="AB529" i="37"/>
  <c r="AC529" i="37" s="1"/>
  <c r="AD529" i="37" s="1"/>
  <c r="AF530" i="37"/>
  <c r="AH530" i="37"/>
  <c r="AG530" i="37"/>
  <c r="AA530" i="37"/>
  <c r="Y530" i="37"/>
  <c r="V531" i="37"/>
  <c r="X531" i="37"/>
  <c r="AE531" i="37"/>
  <c r="AO532" i="37" s="1"/>
  <c r="W532" i="37"/>
  <c r="Z530" i="37"/>
  <c r="AL529" i="37" l="1"/>
  <c r="AN529" i="37"/>
  <c r="AB530" i="37"/>
  <c r="AC530" i="37" s="1"/>
  <c r="AD530" i="37" s="1"/>
  <c r="AI530" i="37"/>
  <c r="AJ530" i="37" s="1"/>
  <c r="AK530" i="37" s="1"/>
  <c r="Y531" i="37"/>
  <c r="AA531" i="37"/>
  <c r="Z531" i="37"/>
  <c r="AB531" i="37" s="1"/>
  <c r="AC531" i="37" s="1"/>
  <c r="V532" i="37"/>
  <c r="X532" i="37"/>
  <c r="AE532" i="37"/>
  <c r="AO533" i="37" s="1"/>
  <c r="W533" i="37"/>
  <c r="AH531" i="37"/>
  <c r="AG531" i="37"/>
  <c r="AI531" i="37" s="1"/>
  <c r="AJ531" i="37" s="1"/>
  <c r="AF531" i="37"/>
  <c r="AL530" i="37" l="1"/>
  <c r="AK531" i="37"/>
  <c r="AN530" i="37"/>
  <c r="V533" i="37"/>
  <c r="W534" i="37"/>
  <c r="X533" i="37"/>
  <c r="AE533" i="37"/>
  <c r="AO534" i="37" s="1"/>
  <c r="AH532" i="37"/>
  <c r="AG532" i="37"/>
  <c r="AF532" i="37"/>
  <c r="AA532" i="37"/>
  <c r="Y532" i="37"/>
  <c r="Z532" i="37"/>
  <c r="AD531" i="37"/>
  <c r="AI532" i="37" l="1"/>
  <c r="AJ532" i="37" s="1"/>
  <c r="AK532" i="37" s="1"/>
  <c r="AL531" i="37"/>
  <c r="AN531" i="37"/>
  <c r="AH533" i="37"/>
  <c r="AG533" i="37"/>
  <c r="AI533" i="37" s="1"/>
  <c r="AJ533" i="37" s="1"/>
  <c r="AF533" i="37"/>
  <c r="AA533" i="37"/>
  <c r="Y533" i="37"/>
  <c r="AB532" i="37"/>
  <c r="AC532" i="37" s="1"/>
  <c r="AD532" i="37" s="1"/>
  <c r="V534" i="37"/>
  <c r="AE534" i="37"/>
  <c r="AO535" i="37" s="1"/>
  <c r="W535" i="37"/>
  <c r="X534" i="37"/>
  <c r="Z533" i="37"/>
  <c r="AN532" i="37" l="1"/>
  <c r="AL532" i="37"/>
  <c r="Z534" i="37"/>
  <c r="AK533" i="37"/>
  <c r="AB533" i="37"/>
  <c r="AC533" i="37" s="1"/>
  <c r="AD533" i="37" s="1"/>
  <c r="AF534" i="37"/>
  <c r="AH534" i="37"/>
  <c r="AG534" i="37"/>
  <c r="AA534" i="37"/>
  <c r="Y534" i="37"/>
  <c r="V535" i="37"/>
  <c r="X535" i="37"/>
  <c r="AE535" i="37"/>
  <c r="AO536" i="37" s="1"/>
  <c r="W536" i="37"/>
  <c r="AI534" i="37" l="1"/>
  <c r="AJ534" i="37" s="1"/>
  <c r="AK534" i="37" s="1"/>
  <c r="AL533" i="37"/>
  <c r="AB534" i="37"/>
  <c r="AC534" i="37" s="1"/>
  <c r="AD534" i="37" s="1"/>
  <c r="Z535" i="37"/>
  <c r="AN533" i="37"/>
  <c r="V536" i="37"/>
  <c r="X536" i="37"/>
  <c r="AE536" i="37"/>
  <c r="AO537" i="37" s="1"/>
  <c r="W537" i="37"/>
  <c r="AH535" i="37"/>
  <c r="AG535" i="37"/>
  <c r="AF535" i="37"/>
  <c r="Y535" i="37"/>
  <c r="AA535" i="37"/>
  <c r="AB535" i="37" s="1"/>
  <c r="AC535" i="37" s="1"/>
  <c r="AL534" i="37" l="1"/>
  <c r="AI535" i="37"/>
  <c r="AJ535" i="37" s="1"/>
  <c r="AK535" i="37" s="1"/>
  <c r="AN534" i="37"/>
  <c r="AH536" i="37"/>
  <c r="AG536" i="37"/>
  <c r="AI536" i="37" s="1"/>
  <c r="AJ536" i="37" s="1"/>
  <c r="AF536" i="37"/>
  <c r="V537" i="37"/>
  <c r="W538" i="37"/>
  <c r="X537" i="37"/>
  <c r="AE537" i="37"/>
  <c r="AO538" i="37" s="1"/>
  <c r="AA536" i="37"/>
  <c r="Y536" i="37"/>
  <c r="AD535" i="37"/>
  <c r="Z536" i="37"/>
  <c r="AL535" i="37" l="1"/>
  <c r="AN535" i="37"/>
  <c r="AK536" i="37"/>
  <c r="AH537" i="37"/>
  <c r="AG537" i="37"/>
  <c r="AI537" i="37" s="1"/>
  <c r="AJ537" i="37" s="1"/>
  <c r="AF537" i="37"/>
  <c r="Z537" i="37"/>
  <c r="AA537" i="37"/>
  <c r="Y537" i="37"/>
  <c r="V538" i="37"/>
  <c r="AE538" i="37"/>
  <c r="AO539" i="37" s="1"/>
  <c r="W539" i="37"/>
  <c r="X538" i="37"/>
  <c r="AB536" i="37"/>
  <c r="AC536" i="37" s="1"/>
  <c r="AD536" i="37" s="1"/>
  <c r="AN536" i="37" l="1"/>
  <c r="AL536" i="37"/>
  <c r="AB537" i="37"/>
  <c r="AC537" i="37" s="1"/>
  <c r="AD537" i="37" s="1"/>
  <c r="AK537" i="37"/>
  <c r="Z538" i="37"/>
  <c r="AF538" i="37"/>
  <c r="AH538" i="37"/>
  <c r="AG538" i="37"/>
  <c r="AI538" i="37" s="1"/>
  <c r="AJ538" i="37" s="1"/>
  <c r="AA538" i="37"/>
  <c r="Y538" i="37"/>
  <c r="V539" i="37"/>
  <c r="X539" i="37"/>
  <c r="AE539" i="37"/>
  <c r="AO540" i="37" s="1"/>
  <c r="W540" i="37"/>
  <c r="AL537" i="37" l="1"/>
  <c r="AB538" i="37"/>
  <c r="AC538" i="37" s="1"/>
  <c r="AD538" i="37" s="1"/>
  <c r="AN537" i="37"/>
  <c r="Z539" i="37"/>
  <c r="V540" i="37"/>
  <c r="X540" i="37"/>
  <c r="AE540" i="37"/>
  <c r="AO541" i="37" s="1"/>
  <c r="W541" i="37"/>
  <c r="AH539" i="37"/>
  <c r="AG539" i="37"/>
  <c r="AF539" i="37"/>
  <c r="Y539" i="37"/>
  <c r="AA539" i="37"/>
  <c r="AB539" i="37" s="1"/>
  <c r="AC539" i="37" s="1"/>
  <c r="AK538" i="37"/>
  <c r="AL538" i="37" l="1"/>
  <c r="AN538" i="37"/>
  <c r="AI539" i="37"/>
  <c r="AJ539" i="37" s="1"/>
  <c r="AK539" i="37" s="1"/>
  <c r="V541" i="37"/>
  <c r="W542" i="37"/>
  <c r="X541" i="37"/>
  <c r="AE541" i="37"/>
  <c r="AO542" i="37" s="1"/>
  <c r="AH540" i="37"/>
  <c r="AG540" i="37"/>
  <c r="AF540" i="37"/>
  <c r="AA540" i="37"/>
  <c r="Y540" i="37"/>
  <c r="AD539" i="37"/>
  <c r="Z540" i="37"/>
  <c r="AI540" i="37" l="1"/>
  <c r="AJ540" i="37" s="1"/>
  <c r="AK540" i="37" s="1"/>
  <c r="AL539" i="37"/>
  <c r="AN539" i="37"/>
  <c r="AH541" i="37"/>
  <c r="AG541" i="37"/>
  <c r="AI541" i="37" s="1"/>
  <c r="AJ541" i="37" s="1"/>
  <c r="AF541" i="37"/>
  <c r="AB540" i="37"/>
  <c r="AC540" i="37" s="1"/>
  <c r="AD540" i="37" s="1"/>
  <c r="AA541" i="37"/>
  <c r="Y541" i="37"/>
  <c r="V542" i="37"/>
  <c r="AE542" i="37"/>
  <c r="AO543" i="37" s="1"/>
  <c r="W543" i="37"/>
  <c r="X542" i="37"/>
  <c r="Z541" i="37"/>
  <c r="AL540" i="37" l="1"/>
  <c r="AN540" i="37"/>
  <c r="AK541" i="37"/>
  <c r="Z542" i="37"/>
  <c r="AA542" i="37"/>
  <c r="Y542" i="37"/>
  <c r="AB542" i="37"/>
  <c r="AC542" i="37" s="1"/>
  <c r="AB541" i="37"/>
  <c r="AC541" i="37" s="1"/>
  <c r="AD541" i="37" s="1"/>
  <c r="AL541" i="37" s="1"/>
  <c r="V543" i="37"/>
  <c r="X543" i="37"/>
  <c r="AE543" i="37"/>
  <c r="AO544" i="37" s="1"/>
  <c r="W544" i="37"/>
  <c r="AF542" i="37"/>
  <c r="AH542" i="37"/>
  <c r="AG542" i="37"/>
  <c r="AI542" i="37" s="1"/>
  <c r="AJ542" i="37" s="1"/>
  <c r="AN541" i="37" l="1"/>
  <c r="AF543" i="37"/>
  <c r="AH543" i="37"/>
  <c r="AG543" i="37"/>
  <c r="AI543" i="37" s="1"/>
  <c r="AJ543" i="37" s="1"/>
  <c r="Y543" i="37"/>
  <c r="AA543" i="37"/>
  <c r="Z543" i="37"/>
  <c r="AB543" i="37" s="1"/>
  <c r="AC543" i="37" s="1"/>
  <c r="AD542" i="37"/>
  <c r="AK542" i="37"/>
  <c r="X544" i="37"/>
  <c r="V544" i="37"/>
  <c r="Z544" i="37" s="1"/>
  <c r="W545" i="37"/>
  <c r="AE544" i="37"/>
  <c r="AO545" i="37" s="1"/>
  <c r="AL542" i="37" l="1"/>
  <c r="AN542" i="37"/>
  <c r="AD543" i="37"/>
  <c r="X545" i="37"/>
  <c r="V545" i="37"/>
  <c r="AE545" i="37"/>
  <c r="AO546" i="37" s="1"/>
  <c r="W546" i="37"/>
  <c r="AF544" i="37"/>
  <c r="AH544" i="37"/>
  <c r="AG544" i="37"/>
  <c r="AA544" i="37"/>
  <c r="AB544" i="37" s="1"/>
  <c r="AC544" i="37" s="1"/>
  <c r="Y544" i="37"/>
  <c r="AK543" i="37"/>
  <c r="AL543" i="37" l="1"/>
  <c r="Z545" i="37"/>
  <c r="AN543" i="37"/>
  <c r="AI544" i="37"/>
  <c r="AJ544" i="37" s="1"/>
  <c r="AK544" i="37" s="1"/>
  <c r="AF545" i="37"/>
  <c r="AH545" i="37"/>
  <c r="AG545" i="37"/>
  <c r="AI545" i="37" s="1"/>
  <c r="AJ545" i="37" s="1"/>
  <c r="X546" i="37"/>
  <c r="V546" i="37"/>
  <c r="W547" i="37"/>
  <c r="AE546" i="37"/>
  <c r="AO547" i="37" s="1"/>
  <c r="AD544" i="37"/>
  <c r="Y545" i="37"/>
  <c r="AA545" i="37"/>
  <c r="AB545" i="37" s="1"/>
  <c r="AC545" i="37" s="1"/>
  <c r="AL544" i="37" l="1"/>
  <c r="Z546" i="37"/>
  <c r="AN544" i="37"/>
  <c r="AD545" i="37"/>
  <c r="AF546" i="37"/>
  <c r="AH546" i="37"/>
  <c r="AG546" i="37"/>
  <c r="AI546" i="37" s="1"/>
  <c r="AJ546" i="37" s="1"/>
  <c r="X547" i="37"/>
  <c r="V547" i="37"/>
  <c r="AE547" i="37"/>
  <c r="AO548" i="37" s="1"/>
  <c r="W548" i="37"/>
  <c r="AA546" i="37"/>
  <c r="AB546" i="37" s="1"/>
  <c r="AC546" i="37" s="1"/>
  <c r="Y546" i="37"/>
  <c r="AK545" i="37"/>
  <c r="AL545" i="37" l="1"/>
  <c r="AN545" i="37"/>
  <c r="Y547" i="37"/>
  <c r="AA547" i="37"/>
  <c r="AF547" i="37"/>
  <c r="AH547" i="37"/>
  <c r="AG547" i="37"/>
  <c r="Z547" i="37"/>
  <c r="AB547" i="37" s="1"/>
  <c r="AC547" i="37" s="1"/>
  <c r="AD546" i="37"/>
  <c r="AK546" i="37"/>
  <c r="X548" i="37"/>
  <c r="V548" i="37"/>
  <c r="W549" i="37"/>
  <c r="AE548" i="37"/>
  <c r="AO549" i="37" s="1"/>
  <c r="Z548" i="37" l="1"/>
  <c r="AL546" i="37"/>
  <c r="AN546" i="37"/>
  <c r="AI547" i="37"/>
  <c r="AJ547" i="37" s="1"/>
  <c r="AK547" i="37" s="1"/>
  <c r="AF548" i="37"/>
  <c r="AH548" i="37"/>
  <c r="AG548" i="37"/>
  <c r="X549" i="37"/>
  <c r="V549" i="37"/>
  <c r="AE549" i="37"/>
  <c r="AO550" i="37" s="1"/>
  <c r="W550" i="37"/>
  <c r="AA548" i="37"/>
  <c r="Y548" i="37"/>
  <c r="AD547" i="37"/>
  <c r="AB548" i="37" l="1"/>
  <c r="AC548" i="37" s="1"/>
  <c r="AD548" i="37" s="1"/>
  <c r="AL547" i="37"/>
  <c r="AN547" i="37"/>
  <c r="X550" i="37"/>
  <c r="V550" i="37"/>
  <c r="W551" i="37"/>
  <c r="AE550" i="37"/>
  <c r="AO551" i="37" s="1"/>
  <c r="Z549" i="37"/>
  <c r="AB549" i="37" s="1"/>
  <c r="AC549" i="37" s="1"/>
  <c r="AF549" i="37"/>
  <c r="AH549" i="37"/>
  <c r="AG549" i="37"/>
  <c r="Y549" i="37"/>
  <c r="AA549" i="37"/>
  <c r="AI548" i="37"/>
  <c r="AJ548" i="37" s="1"/>
  <c r="AK548" i="37" s="1"/>
  <c r="Z550" i="37" l="1"/>
  <c r="AL548" i="37"/>
  <c r="AI549" i="37"/>
  <c r="AJ549" i="37" s="1"/>
  <c r="AK549" i="37" s="1"/>
  <c r="AN548" i="37"/>
  <c r="AF550" i="37"/>
  <c r="AH550" i="37"/>
  <c r="AG550" i="37"/>
  <c r="AI550" i="37" s="1"/>
  <c r="AJ550" i="37" s="1"/>
  <c r="X551" i="37"/>
  <c r="V551" i="37"/>
  <c r="AE551" i="37"/>
  <c r="AO552" i="37" s="1"/>
  <c r="W552" i="37"/>
  <c r="AD549" i="37"/>
  <c r="AA550" i="37"/>
  <c r="AB550" i="37" s="1"/>
  <c r="AC550" i="37" s="1"/>
  <c r="Y550" i="37"/>
  <c r="AL549" i="37" l="1"/>
  <c r="AN549" i="37"/>
  <c r="Z551" i="37"/>
  <c r="AD550" i="37"/>
  <c r="X552" i="37"/>
  <c r="V552" i="37"/>
  <c r="Z552" i="37" s="1"/>
  <c r="W553" i="37"/>
  <c r="AE552" i="37"/>
  <c r="AO553" i="37" s="1"/>
  <c r="AF551" i="37"/>
  <c r="AH551" i="37"/>
  <c r="AG551" i="37"/>
  <c r="Y551" i="37"/>
  <c r="AA551" i="37"/>
  <c r="AB551" i="37" s="1"/>
  <c r="AC551" i="37" s="1"/>
  <c r="AK550" i="37"/>
  <c r="AL550" i="37" l="1"/>
  <c r="AN550" i="37"/>
  <c r="AF552" i="37"/>
  <c r="AH552" i="37"/>
  <c r="AG552" i="37"/>
  <c r="AI552" i="37" s="1"/>
  <c r="AJ552" i="37" s="1"/>
  <c r="X553" i="37"/>
  <c r="V553" i="37"/>
  <c r="Z553" i="37" s="1"/>
  <c r="AE553" i="37"/>
  <c r="AO554" i="37" s="1"/>
  <c r="W554" i="37"/>
  <c r="AA552" i="37"/>
  <c r="AB552" i="37" s="1"/>
  <c r="AC552" i="37" s="1"/>
  <c r="Y552" i="37"/>
  <c r="AD551" i="37"/>
  <c r="AI551" i="37"/>
  <c r="AJ551" i="37" s="1"/>
  <c r="AK551" i="37" s="1"/>
  <c r="AL551" i="37" l="1"/>
  <c r="AN551" i="37"/>
  <c r="X554" i="37"/>
  <c r="V554" i="37"/>
  <c r="Z554" i="37" s="1"/>
  <c r="W555" i="37"/>
  <c r="AE554" i="37"/>
  <c r="AO555" i="37" s="1"/>
  <c r="AF553" i="37"/>
  <c r="AH553" i="37"/>
  <c r="AG553" i="37"/>
  <c r="Y553" i="37"/>
  <c r="AA553" i="37"/>
  <c r="AB553" i="37" s="1"/>
  <c r="AC553" i="37" s="1"/>
  <c r="AD552" i="37"/>
  <c r="AK552" i="37"/>
  <c r="AI553" i="37" l="1"/>
  <c r="AJ553" i="37" s="1"/>
  <c r="AK553" i="37" s="1"/>
  <c r="AL552" i="37"/>
  <c r="AN552" i="37"/>
  <c r="AF554" i="37"/>
  <c r="AH554" i="37"/>
  <c r="AG554" i="37"/>
  <c r="AI554" i="37" s="1"/>
  <c r="AJ554" i="37" s="1"/>
  <c r="X555" i="37"/>
  <c r="V555" i="37"/>
  <c r="AE555" i="37"/>
  <c r="AO556" i="37" s="1"/>
  <c r="W556" i="37"/>
  <c r="AD553" i="37"/>
  <c r="AA554" i="37"/>
  <c r="AB554" i="37" s="1"/>
  <c r="AC554" i="37" s="1"/>
  <c r="Y554" i="37"/>
  <c r="AN553" i="37" l="1"/>
  <c r="AL553" i="37"/>
  <c r="Z555" i="37"/>
  <c r="Y555" i="37"/>
  <c r="AA555" i="37"/>
  <c r="AB555" i="37" s="1"/>
  <c r="AC555" i="37" s="1"/>
  <c r="AD554" i="37"/>
  <c r="X556" i="37"/>
  <c r="V556" i="37"/>
  <c r="W557" i="37"/>
  <c r="AE556" i="37"/>
  <c r="AO557" i="37" s="1"/>
  <c r="AF555" i="37"/>
  <c r="AH555" i="37"/>
  <c r="AG555" i="37"/>
  <c r="AI555" i="37" s="1"/>
  <c r="AJ555" i="37" s="1"/>
  <c r="AK554" i="37"/>
  <c r="AL554" i="37" l="1"/>
  <c r="AN554" i="37"/>
  <c r="Z556" i="37"/>
  <c r="AA556" i="37"/>
  <c r="AB556" i="37" s="1"/>
  <c r="AC556" i="37" s="1"/>
  <c r="Y556" i="37"/>
  <c r="AF556" i="37"/>
  <c r="AH556" i="37"/>
  <c r="AG556" i="37"/>
  <c r="AI556" i="37" s="1"/>
  <c r="AJ556" i="37" s="1"/>
  <c r="X557" i="37"/>
  <c r="V557" i="37"/>
  <c r="AE557" i="37"/>
  <c r="AO558" i="37" s="1"/>
  <c r="W558" i="37"/>
  <c r="AD555" i="37"/>
  <c r="AK555" i="37"/>
  <c r="AN555" i="37" l="1"/>
  <c r="AL555" i="37"/>
  <c r="Z557" i="37"/>
  <c r="Y557" i="37"/>
  <c r="AA557" i="37"/>
  <c r="AK556" i="37"/>
  <c r="AD556" i="37"/>
  <c r="X558" i="37"/>
  <c r="W559" i="37"/>
  <c r="V558" i="37"/>
  <c r="AE558" i="37"/>
  <c r="AO559" i="37" s="1"/>
  <c r="AF557" i="37"/>
  <c r="AH557" i="37"/>
  <c r="AG557" i="37"/>
  <c r="AI557" i="37" s="1"/>
  <c r="AJ557" i="37" s="1"/>
  <c r="AN556" i="37" l="1"/>
  <c r="AL556" i="37"/>
  <c r="AB557" i="37"/>
  <c r="AC557" i="37" s="1"/>
  <c r="AD557" i="37" s="1"/>
  <c r="Z558" i="37"/>
  <c r="AA558" i="37"/>
  <c r="Y558" i="37"/>
  <c r="X559" i="37"/>
  <c r="W560" i="37"/>
  <c r="AE559" i="37"/>
  <c r="AO560" i="37" s="1"/>
  <c r="V559" i="37"/>
  <c r="AK557" i="37"/>
  <c r="AF558" i="37"/>
  <c r="AH558" i="37"/>
  <c r="AG558" i="37"/>
  <c r="AI558" i="37" s="1"/>
  <c r="AJ558" i="37" s="1"/>
  <c r="AB558" i="37" l="1"/>
  <c r="AC558" i="37" s="1"/>
  <c r="AD558" i="37" s="1"/>
  <c r="AL557" i="37"/>
  <c r="AN557" i="37"/>
  <c r="Z559" i="37"/>
  <c r="Y559" i="37"/>
  <c r="AA559" i="37"/>
  <c r="AF559" i="37"/>
  <c r="AH559" i="37"/>
  <c r="AG559" i="37"/>
  <c r="X560" i="37"/>
  <c r="W561" i="37"/>
  <c r="AE560" i="37"/>
  <c r="AO561" i="37" s="1"/>
  <c r="V560" i="37"/>
  <c r="AK558" i="37"/>
  <c r="AI559" i="37" l="1"/>
  <c r="AJ559" i="37" s="1"/>
  <c r="AK559" i="37" s="1"/>
  <c r="AB559" i="37"/>
  <c r="AC559" i="37" s="1"/>
  <c r="AD559" i="37" s="1"/>
  <c r="AL558" i="37"/>
  <c r="AN558" i="37"/>
  <c r="X561" i="37"/>
  <c r="W562" i="37"/>
  <c r="AE561" i="37"/>
  <c r="AO562" i="37" s="1"/>
  <c r="V561" i="37"/>
  <c r="Z561" i="37" s="1"/>
  <c r="AA560" i="37"/>
  <c r="Y560" i="37"/>
  <c r="Z560" i="37"/>
  <c r="AF560" i="37"/>
  <c r="AH560" i="37"/>
  <c r="AG560" i="37"/>
  <c r="AI560" i="37" s="1"/>
  <c r="AJ560" i="37" s="1"/>
  <c r="AB560" i="37" l="1"/>
  <c r="AC560" i="37" s="1"/>
  <c r="AD560" i="37" s="1"/>
  <c r="AL559" i="37"/>
  <c r="AN559" i="37"/>
  <c r="AF561" i="37"/>
  <c r="AH561" i="37"/>
  <c r="AG561" i="37"/>
  <c r="AI561" i="37" s="1"/>
  <c r="AJ561" i="37" s="1"/>
  <c r="X562" i="37"/>
  <c r="W563" i="37"/>
  <c r="AE562" i="37"/>
  <c r="AO563" i="37" s="1"/>
  <c r="V562" i="37"/>
  <c r="AK560" i="37"/>
  <c r="AA561" i="37"/>
  <c r="AB561" i="37" s="1"/>
  <c r="AC561" i="37" s="1"/>
  <c r="Y561" i="37"/>
  <c r="AL560" i="37" l="1"/>
  <c r="AN560" i="37"/>
  <c r="AA562" i="37"/>
  <c r="Y562" i="37"/>
  <c r="AF562" i="37"/>
  <c r="AH562" i="37"/>
  <c r="AG562" i="37"/>
  <c r="AI562" i="37" s="1"/>
  <c r="AJ562" i="37" s="1"/>
  <c r="X563" i="37"/>
  <c r="W564" i="37"/>
  <c r="AE563" i="37"/>
  <c r="AO564" i="37" s="1"/>
  <c r="V563" i="37"/>
  <c r="AD561" i="37"/>
  <c r="AK561" i="37"/>
  <c r="Z562" i="37"/>
  <c r="AB562" i="37" s="1"/>
  <c r="AC562" i="37" s="1"/>
  <c r="AL561" i="37" l="1"/>
  <c r="AN561" i="37"/>
  <c r="AF563" i="37"/>
  <c r="AH563" i="37"/>
  <c r="AG563" i="37"/>
  <c r="AI563" i="37" s="1"/>
  <c r="AJ563" i="37" s="1"/>
  <c r="X564" i="37"/>
  <c r="W565" i="37"/>
  <c r="AE564" i="37"/>
  <c r="AO565" i="37" s="1"/>
  <c r="V564" i="37"/>
  <c r="Y563" i="37"/>
  <c r="AA563" i="37"/>
  <c r="AK562" i="37"/>
  <c r="AD562" i="37"/>
  <c r="Z563" i="37"/>
  <c r="AB563" i="37" s="1"/>
  <c r="AC563" i="37" s="1"/>
  <c r="Z564" i="37" l="1"/>
  <c r="AN562" i="37"/>
  <c r="AL562" i="37"/>
  <c r="AD563" i="37"/>
  <c r="AF564" i="37"/>
  <c r="AH564" i="37"/>
  <c r="AG564" i="37"/>
  <c r="AI564" i="37" s="1"/>
  <c r="AJ564" i="37" s="1"/>
  <c r="X565" i="37"/>
  <c r="W566" i="37"/>
  <c r="AE565" i="37"/>
  <c r="AO566" i="37" s="1"/>
  <c r="V565" i="37"/>
  <c r="AA564" i="37"/>
  <c r="AB564" i="37" s="1"/>
  <c r="AC564" i="37" s="1"/>
  <c r="Y564" i="37"/>
  <c r="AK563" i="37"/>
  <c r="AL563" i="37" l="1"/>
  <c r="AN563" i="37"/>
  <c r="AA565" i="37"/>
  <c r="Y565" i="37"/>
  <c r="AF565" i="37"/>
  <c r="AH565" i="37"/>
  <c r="AG565" i="37"/>
  <c r="AI565" i="37" s="1"/>
  <c r="AJ565" i="37" s="1"/>
  <c r="X566" i="37"/>
  <c r="W567" i="37"/>
  <c r="AE566" i="37"/>
  <c r="AO567" i="37" s="1"/>
  <c r="V566" i="37"/>
  <c r="AD564" i="37"/>
  <c r="AK564" i="37"/>
  <c r="Z565" i="37"/>
  <c r="AB565" i="37" s="1"/>
  <c r="AC565" i="37" s="1"/>
  <c r="AL564" i="37" l="1"/>
  <c r="AN564" i="37"/>
  <c r="AF566" i="37"/>
  <c r="AH566" i="37"/>
  <c r="AG566" i="37"/>
  <c r="AI566" i="37" s="1"/>
  <c r="AJ566" i="37" s="1"/>
  <c r="X567" i="37"/>
  <c r="W568" i="37"/>
  <c r="AE567" i="37"/>
  <c r="AO568" i="37" s="1"/>
  <c r="V567" i="37"/>
  <c r="AA566" i="37"/>
  <c r="Y566" i="37"/>
  <c r="AK565" i="37"/>
  <c r="AD565" i="37"/>
  <c r="Z566" i="37"/>
  <c r="Z567" i="37" l="1"/>
  <c r="AN565" i="37"/>
  <c r="AL565" i="37"/>
  <c r="AB566" i="37"/>
  <c r="AC566" i="37" s="1"/>
  <c r="AD566" i="37" s="1"/>
  <c r="AF567" i="37"/>
  <c r="AH567" i="37"/>
  <c r="AG567" i="37"/>
  <c r="AI567" i="37" s="1"/>
  <c r="AJ567" i="37" s="1"/>
  <c r="X568" i="37"/>
  <c r="W569" i="37"/>
  <c r="AE568" i="37"/>
  <c r="AO569" i="37" s="1"/>
  <c r="V568" i="37"/>
  <c r="AA567" i="37"/>
  <c r="AB567" i="37" s="1"/>
  <c r="AC567" i="37" s="1"/>
  <c r="Y567" i="37"/>
  <c r="AK566" i="37"/>
  <c r="AL566" i="37" l="1"/>
  <c r="AN566" i="37"/>
  <c r="AA568" i="37"/>
  <c r="Y568" i="37"/>
  <c r="AF568" i="37"/>
  <c r="AH568" i="37"/>
  <c r="AG568" i="37"/>
  <c r="AI568" i="37" s="1"/>
  <c r="AJ568" i="37" s="1"/>
  <c r="X569" i="37"/>
  <c r="W570" i="37"/>
  <c r="AE569" i="37"/>
  <c r="AO570" i="37" s="1"/>
  <c r="V569" i="37"/>
  <c r="AD567" i="37"/>
  <c r="AK567" i="37"/>
  <c r="Z568" i="37"/>
  <c r="AB568" i="37" s="1"/>
  <c r="AC568" i="37" s="1"/>
  <c r="AL567" i="37" l="1"/>
  <c r="AN567" i="37"/>
  <c r="AF569" i="37"/>
  <c r="AH569" i="37"/>
  <c r="AG569" i="37"/>
  <c r="AI569" i="37" s="1"/>
  <c r="AJ569" i="37" s="1"/>
  <c r="X570" i="37"/>
  <c r="W571" i="37"/>
  <c r="AE570" i="37"/>
  <c r="AO571" i="37" s="1"/>
  <c r="V570" i="37"/>
  <c r="AA569" i="37"/>
  <c r="Y569" i="37"/>
  <c r="AK568" i="37"/>
  <c r="AD568" i="37"/>
  <c r="Z569" i="37"/>
  <c r="Z570" i="37" l="1"/>
  <c r="AN568" i="37"/>
  <c r="AL568" i="37"/>
  <c r="AB569" i="37"/>
  <c r="AC569" i="37" s="1"/>
  <c r="AD569" i="37" s="1"/>
  <c r="AF570" i="37"/>
  <c r="AH570" i="37"/>
  <c r="AG570" i="37"/>
  <c r="AI570" i="37" s="1"/>
  <c r="AJ570" i="37" s="1"/>
  <c r="X571" i="37"/>
  <c r="W572" i="37"/>
  <c r="AE571" i="37"/>
  <c r="AO572" i="37" s="1"/>
  <c r="V571" i="37"/>
  <c r="AA570" i="37"/>
  <c r="Y570" i="37"/>
  <c r="AK569" i="37"/>
  <c r="AB570" i="37" l="1"/>
  <c r="AC570" i="37" s="1"/>
  <c r="AD570" i="37" s="1"/>
  <c r="AL569" i="37"/>
  <c r="AN569" i="37"/>
  <c r="AA571" i="37"/>
  <c r="Y571" i="37"/>
  <c r="AK570" i="37"/>
  <c r="AF571" i="37"/>
  <c r="AH571" i="37"/>
  <c r="AG571" i="37"/>
  <c r="X572" i="37"/>
  <c r="W573" i="37"/>
  <c r="AE572" i="37"/>
  <c r="AO573" i="37" s="1"/>
  <c r="V572" i="37"/>
  <c r="Z571" i="37"/>
  <c r="AB571" i="37" s="1"/>
  <c r="AC571" i="37" s="1"/>
  <c r="AI571" i="37" l="1"/>
  <c r="AJ571" i="37" s="1"/>
  <c r="AK571" i="37" s="1"/>
  <c r="AN570" i="37"/>
  <c r="AL570" i="37"/>
  <c r="X573" i="37"/>
  <c r="W574" i="37"/>
  <c r="AE573" i="37"/>
  <c r="AO574" i="37" s="1"/>
  <c r="V573" i="37"/>
  <c r="Z573" i="37" s="1"/>
  <c r="Z572" i="37"/>
  <c r="AA572" i="37"/>
  <c r="Y572" i="37"/>
  <c r="AD571" i="37"/>
  <c r="AF572" i="37"/>
  <c r="AH572" i="37"/>
  <c r="AG572" i="37"/>
  <c r="AI572" i="37" s="1"/>
  <c r="AJ572" i="37" s="1"/>
  <c r="AL571" i="37" l="1"/>
  <c r="AN571" i="37"/>
  <c r="AF573" i="37"/>
  <c r="AH573" i="37"/>
  <c r="AG573" i="37"/>
  <c r="AI573" i="37" s="1"/>
  <c r="AJ573" i="37" s="1"/>
  <c r="X574" i="37"/>
  <c r="W575" i="37"/>
  <c r="AE574" i="37"/>
  <c r="AO575" i="37" s="1"/>
  <c r="V574" i="37"/>
  <c r="AB572" i="37"/>
  <c r="AC572" i="37" s="1"/>
  <c r="AD572" i="37" s="1"/>
  <c r="AK572" i="37"/>
  <c r="AA573" i="37"/>
  <c r="AB573" i="37" s="1"/>
  <c r="AC573" i="37" s="1"/>
  <c r="Y573" i="37"/>
  <c r="Z574" i="37" l="1"/>
  <c r="AL572" i="37"/>
  <c r="AN572" i="37"/>
  <c r="AF574" i="37"/>
  <c r="AH574" i="37"/>
  <c r="AG574" i="37"/>
  <c r="AI574" i="37" s="1"/>
  <c r="AJ574" i="37" s="1"/>
  <c r="X575" i="37"/>
  <c r="W576" i="37"/>
  <c r="AE575" i="37"/>
  <c r="AO576" i="37" s="1"/>
  <c r="V575" i="37"/>
  <c r="AD573" i="37"/>
  <c r="AA574" i="37"/>
  <c r="AB574" i="37" s="1"/>
  <c r="AC574" i="37" s="1"/>
  <c r="Y574" i="37"/>
  <c r="AK573" i="37"/>
  <c r="Z575" i="37" l="1"/>
  <c r="AN573" i="37"/>
  <c r="AL573" i="37"/>
  <c r="AF575" i="37"/>
  <c r="AH575" i="37"/>
  <c r="AG575" i="37"/>
  <c r="AI575" i="37" s="1"/>
  <c r="AJ575" i="37" s="1"/>
  <c r="AD574" i="37"/>
  <c r="AB575" i="37"/>
  <c r="AC575" i="37" s="1"/>
  <c r="X576" i="37"/>
  <c r="W577" i="37"/>
  <c r="AE576" i="37"/>
  <c r="AO577" i="37" s="1"/>
  <c r="V576" i="37"/>
  <c r="AA575" i="37"/>
  <c r="Y575" i="37"/>
  <c r="AK574" i="37"/>
  <c r="AL574" i="37" l="1"/>
  <c r="AN574" i="37"/>
  <c r="AF576" i="37"/>
  <c r="AH576" i="37"/>
  <c r="AG576" i="37"/>
  <c r="X577" i="37"/>
  <c r="W578" i="37"/>
  <c r="AE577" i="37"/>
  <c r="AO578" i="37" s="1"/>
  <c r="V577" i="37"/>
  <c r="AD575" i="37"/>
  <c r="AA576" i="37"/>
  <c r="Y576" i="37"/>
  <c r="Z576" i="37"/>
  <c r="AB576" i="37" s="1"/>
  <c r="AC576" i="37" s="1"/>
  <c r="AK575" i="37"/>
  <c r="AI576" i="37" l="1"/>
  <c r="AJ576" i="37" s="1"/>
  <c r="AK576" i="37" s="1"/>
  <c r="AL575" i="37"/>
  <c r="AN575" i="37"/>
  <c r="AA577" i="37"/>
  <c r="Y577" i="37"/>
  <c r="Z577" i="37"/>
  <c r="AB577" i="37" s="1"/>
  <c r="AC577" i="37" s="1"/>
  <c r="AF577" i="37"/>
  <c r="AH577" i="37"/>
  <c r="AG577" i="37"/>
  <c r="X578" i="37"/>
  <c r="W579" i="37"/>
  <c r="AE578" i="37"/>
  <c r="AO579" i="37" s="1"/>
  <c r="V578" i="37"/>
  <c r="AD576" i="37"/>
  <c r="AI577" i="37" l="1"/>
  <c r="AJ577" i="37" s="1"/>
  <c r="AK577" i="37" s="1"/>
  <c r="AN576" i="37"/>
  <c r="AL576" i="37"/>
  <c r="AA578" i="37"/>
  <c r="Y578" i="37"/>
  <c r="X579" i="37"/>
  <c r="W580" i="37"/>
  <c r="AE579" i="37"/>
  <c r="AO580" i="37" s="1"/>
  <c r="V579" i="37"/>
  <c r="Z578" i="37"/>
  <c r="AD577" i="37"/>
  <c r="AF578" i="37"/>
  <c r="AH578" i="37"/>
  <c r="AG578" i="37"/>
  <c r="AI578" i="37" s="1"/>
  <c r="AJ578" i="37" s="1"/>
  <c r="AB578" i="37" l="1"/>
  <c r="AC578" i="37" s="1"/>
  <c r="AD578" i="37" s="1"/>
  <c r="Z579" i="37"/>
  <c r="AL577" i="37"/>
  <c r="AN577" i="37"/>
  <c r="AF579" i="37"/>
  <c r="AH579" i="37"/>
  <c r="AG579" i="37"/>
  <c r="AI579" i="37" s="1"/>
  <c r="AJ579" i="37" s="1"/>
  <c r="X580" i="37"/>
  <c r="W581" i="37"/>
  <c r="AE580" i="37"/>
  <c r="AO581" i="37" s="1"/>
  <c r="V580" i="37"/>
  <c r="AA579" i="37"/>
  <c r="AB579" i="37" s="1"/>
  <c r="AC579" i="37" s="1"/>
  <c r="Y579" i="37"/>
  <c r="AK578" i="37"/>
  <c r="Z580" i="37" l="1"/>
  <c r="AN578" i="37"/>
  <c r="AL578" i="37"/>
  <c r="AF580" i="37"/>
  <c r="AH580" i="37"/>
  <c r="AG580" i="37"/>
  <c r="AI580" i="37" s="1"/>
  <c r="AJ580" i="37" s="1"/>
  <c r="AB580" i="37"/>
  <c r="AC580" i="37" s="1"/>
  <c r="X581" i="37"/>
  <c r="W582" i="37"/>
  <c r="AE581" i="37"/>
  <c r="AO582" i="37" s="1"/>
  <c r="V581" i="37"/>
  <c r="AA580" i="37"/>
  <c r="Y580" i="37"/>
  <c r="AD579" i="37"/>
  <c r="AK579" i="37"/>
  <c r="AL579" i="37" l="1"/>
  <c r="AN579" i="37"/>
  <c r="AA581" i="37"/>
  <c r="Y581" i="37"/>
  <c r="Z581" i="37"/>
  <c r="AB581" i="37" s="1"/>
  <c r="AC581" i="37" s="1"/>
  <c r="AF581" i="37"/>
  <c r="AH581" i="37"/>
  <c r="AG581" i="37"/>
  <c r="AI581" i="37" s="1"/>
  <c r="AJ581" i="37" s="1"/>
  <c r="X582" i="37"/>
  <c r="W583" i="37"/>
  <c r="AE582" i="37"/>
  <c r="AO583" i="37" s="1"/>
  <c r="V582" i="37"/>
  <c r="AD580" i="37"/>
  <c r="AK580" i="37"/>
  <c r="AN580" i="37" l="1"/>
  <c r="AL580" i="37"/>
  <c r="X583" i="37"/>
  <c r="W584" i="37"/>
  <c r="AE583" i="37"/>
  <c r="AO584" i="37" s="1"/>
  <c r="V583" i="37"/>
  <c r="Z583" i="37" s="1"/>
  <c r="AA582" i="37"/>
  <c r="Y582" i="37"/>
  <c r="AK581" i="37"/>
  <c r="Z582" i="37"/>
  <c r="AD581" i="37"/>
  <c r="AF582" i="37"/>
  <c r="AH582" i="37"/>
  <c r="AG582" i="37"/>
  <c r="AI582" i="37" s="1"/>
  <c r="AJ582" i="37" s="1"/>
  <c r="AB582" i="37" l="1"/>
  <c r="AC582" i="37" s="1"/>
  <c r="AD582" i="37" s="1"/>
  <c r="AL581" i="37"/>
  <c r="AN581" i="37"/>
  <c r="AF583" i="37"/>
  <c r="AH583" i="37"/>
  <c r="AG583" i="37"/>
  <c r="AK582" i="37"/>
  <c r="X584" i="37"/>
  <c r="W585" i="37"/>
  <c r="AE584" i="37"/>
  <c r="AO585" i="37" s="1"/>
  <c r="V584" i="37"/>
  <c r="AA583" i="37"/>
  <c r="AB583" i="37" s="1"/>
  <c r="AC583" i="37" s="1"/>
  <c r="Y583" i="37"/>
  <c r="AI583" i="37" l="1"/>
  <c r="AJ583" i="37" s="1"/>
  <c r="AK583" i="37" s="1"/>
  <c r="AL582" i="37"/>
  <c r="AN582" i="37"/>
  <c r="AA584" i="37"/>
  <c r="Y584" i="37"/>
  <c r="X585" i="37"/>
  <c r="W586" i="37"/>
  <c r="AE585" i="37"/>
  <c r="AO586" i="37" s="1"/>
  <c r="V585" i="37"/>
  <c r="AD583" i="37"/>
  <c r="Z584" i="37"/>
  <c r="AB584" i="37" s="1"/>
  <c r="AC584" i="37" s="1"/>
  <c r="AF584" i="37"/>
  <c r="AH584" i="37"/>
  <c r="AG584" i="37"/>
  <c r="Z585" i="37" l="1"/>
  <c r="AN583" i="37"/>
  <c r="AL583" i="37"/>
  <c r="AD584" i="37"/>
  <c r="AI584" i="37"/>
  <c r="AJ584" i="37" s="1"/>
  <c r="AK584" i="37" s="1"/>
  <c r="AF585" i="37"/>
  <c r="AH585" i="37"/>
  <c r="AG585" i="37"/>
  <c r="AI585" i="37" s="1"/>
  <c r="AJ585" i="37" s="1"/>
  <c r="X586" i="37"/>
  <c r="W587" i="37"/>
  <c r="AE586" i="37"/>
  <c r="AO587" i="37" s="1"/>
  <c r="V586" i="37"/>
  <c r="AA585" i="37"/>
  <c r="Y585" i="37"/>
  <c r="AB585" i="37" l="1"/>
  <c r="AC585" i="37" s="1"/>
  <c r="AD585" i="37" s="1"/>
  <c r="AL584" i="37"/>
  <c r="AN584" i="37"/>
  <c r="AA586" i="37"/>
  <c r="Y586" i="37"/>
  <c r="Z586" i="37"/>
  <c r="AB586" i="37" s="1"/>
  <c r="AC586" i="37" s="1"/>
  <c r="AF586" i="37"/>
  <c r="AH586" i="37"/>
  <c r="AG586" i="37"/>
  <c r="X587" i="37"/>
  <c r="W588" i="37"/>
  <c r="AE587" i="37"/>
  <c r="AO588" i="37" s="1"/>
  <c r="V587" i="37"/>
  <c r="AK585" i="37"/>
  <c r="AI586" i="37" l="1"/>
  <c r="AJ586" i="37" s="1"/>
  <c r="AK586" i="37" s="1"/>
  <c r="AN585" i="37"/>
  <c r="AL585" i="37"/>
  <c r="X588" i="37"/>
  <c r="W589" i="37"/>
  <c r="AE588" i="37"/>
  <c r="AO589" i="37" s="1"/>
  <c r="V588" i="37"/>
  <c r="Z588" i="37" s="1"/>
  <c r="AA587" i="37"/>
  <c r="Y587" i="37"/>
  <c r="Z587" i="37"/>
  <c r="AD586" i="37"/>
  <c r="AF587" i="37"/>
  <c r="AH587" i="37"/>
  <c r="AG587" i="37"/>
  <c r="AI587" i="37" s="1"/>
  <c r="AJ587" i="37" s="1"/>
  <c r="AB587" i="37" l="1"/>
  <c r="AC587" i="37" s="1"/>
  <c r="AD587" i="37" s="1"/>
  <c r="AL586" i="37"/>
  <c r="AN586" i="37"/>
  <c r="AF588" i="37"/>
  <c r="AH588" i="37"/>
  <c r="AG588" i="37"/>
  <c r="AK587" i="37"/>
  <c r="X589" i="37"/>
  <c r="W590" i="37"/>
  <c r="AE589" i="37"/>
  <c r="AO590" i="37" s="1"/>
  <c r="V589" i="37"/>
  <c r="AA588" i="37"/>
  <c r="AB588" i="37" s="1"/>
  <c r="AC588" i="37" s="1"/>
  <c r="Y588" i="37"/>
  <c r="AI588" i="37" l="1"/>
  <c r="AJ588" i="37" s="1"/>
  <c r="AK588" i="37" s="1"/>
  <c r="AL587" i="37"/>
  <c r="AN587" i="37"/>
  <c r="X590" i="37"/>
  <c r="W591" i="37"/>
  <c r="AE590" i="37"/>
  <c r="AO591" i="37" s="1"/>
  <c r="V590" i="37"/>
  <c r="Z590" i="37" s="1"/>
  <c r="AA589" i="37"/>
  <c r="Y589" i="37"/>
  <c r="AD588" i="37"/>
  <c r="Z589" i="37"/>
  <c r="AF589" i="37"/>
  <c r="AH589" i="37"/>
  <c r="AG589" i="37"/>
  <c r="AI589" i="37" s="1"/>
  <c r="AJ589" i="37" s="1"/>
  <c r="AN588" i="37" l="1"/>
  <c r="AL588" i="37"/>
  <c r="AF590" i="37"/>
  <c r="AH590" i="37"/>
  <c r="AG590" i="37"/>
  <c r="AI590" i="37" s="1"/>
  <c r="AJ590" i="37" s="1"/>
  <c r="X591" i="37"/>
  <c r="W592" i="37"/>
  <c r="AE591" i="37"/>
  <c r="AO592" i="37" s="1"/>
  <c r="V591" i="37"/>
  <c r="AK589" i="37"/>
  <c r="AB589" i="37"/>
  <c r="AC589" i="37" s="1"/>
  <c r="AD589" i="37" s="1"/>
  <c r="AA590" i="37"/>
  <c r="AB590" i="37" s="1"/>
  <c r="AC590" i="37" s="1"/>
  <c r="Y590" i="37"/>
  <c r="AL589" i="37" l="1"/>
  <c r="AN589" i="37"/>
  <c r="AF591" i="37"/>
  <c r="AH591" i="37"/>
  <c r="AG591" i="37"/>
  <c r="AI591" i="37" s="1"/>
  <c r="AJ591" i="37" s="1"/>
  <c r="X592" i="37"/>
  <c r="W593" i="37"/>
  <c r="AE592" i="37"/>
  <c r="AO593" i="37" s="1"/>
  <c r="V592" i="37"/>
  <c r="AA591" i="37"/>
  <c r="Y591" i="37"/>
  <c r="AD590" i="37"/>
  <c r="AK590" i="37"/>
  <c r="Z591" i="37"/>
  <c r="Z592" i="37" l="1"/>
  <c r="AL590" i="37"/>
  <c r="AN590" i="37"/>
  <c r="AF592" i="37"/>
  <c r="AH592" i="37"/>
  <c r="AG592" i="37"/>
  <c r="AI592" i="37" s="1"/>
  <c r="AJ592" i="37" s="1"/>
  <c r="X593" i="37"/>
  <c r="W594" i="37"/>
  <c r="AE593" i="37"/>
  <c r="AO594" i="37" s="1"/>
  <c r="V593" i="37"/>
  <c r="AB591" i="37"/>
  <c r="AC591" i="37" s="1"/>
  <c r="AD591" i="37" s="1"/>
  <c r="AA592" i="37"/>
  <c r="Y592" i="37"/>
  <c r="AK591" i="37"/>
  <c r="AB592" i="37" l="1"/>
  <c r="AC592" i="37" s="1"/>
  <c r="AD592" i="37" s="1"/>
  <c r="Z593" i="37"/>
  <c r="AN591" i="37"/>
  <c r="AL591" i="37"/>
  <c r="AA593" i="37"/>
  <c r="AB593" i="37" s="1"/>
  <c r="AC593" i="37" s="1"/>
  <c r="Y593" i="37"/>
  <c r="AF593" i="37"/>
  <c r="AH593" i="37"/>
  <c r="AG593" i="37"/>
  <c r="X594" i="37"/>
  <c r="W595" i="37"/>
  <c r="AE594" i="37"/>
  <c r="AO595" i="37" s="1"/>
  <c r="V594" i="37"/>
  <c r="AK592" i="37"/>
  <c r="AI593" i="37" l="1"/>
  <c r="AJ593" i="37" s="1"/>
  <c r="AK593" i="37" s="1"/>
  <c r="AL592" i="37"/>
  <c r="AN592" i="37"/>
  <c r="AA594" i="37"/>
  <c r="Y594" i="37"/>
  <c r="AF594" i="37"/>
  <c r="AH594" i="37"/>
  <c r="AG594" i="37"/>
  <c r="AI594" i="37" s="1"/>
  <c r="AJ594" i="37" s="1"/>
  <c r="AD593" i="37"/>
  <c r="Z594" i="37"/>
  <c r="X595" i="37"/>
  <c r="W596" i="37"/>
  <c r="AE595" i="37"/>
  <c r="AO596" i="37" s="1"/>
  <c r="V595" i="37"/>
  <c r="Z595" i="37" s="1"/>
  <c r="AB594" i="37" l="1"/>
  <c r="AC594" i="37" s="1"/>
  <c r="AD594" i="37" s="1"/>
  <c r="AN593" i="37"/>
  <c r="AL593" i="37"/>
  <c r="AF595" i="37"/>
  <c r="AH595" i="37"/>
  <c r="AG595" i="37"/>
  <c r="AK594" i="37"/>
  <c r="X596" i="37"/>
  <c r="W597" i="37"/>
  <c r="AE596" i="37"/>
  <c r="AO597" i="37" s="1"/>
  <c r="V596" i="37"/>
  <c r="AA595" i="37"/>
  <c r="AB595" i="37" s="1"/>
  <c r="AC595" i="37" s="1"/>
  <c r="Y595" i="37"/>
  <c r="AI595" i="37" l="1"/>
  <c r="AJ595" i="37" s="1"/>
  <c r="AK595" i="37" s="1"/>
  <c r="AL594" i="37"/>
  <c r="AN594" i="37"/>
  <c r="AF596" i="37"/>
  <c r="AH596" i="37"/>
  <c r="AG596" i="37"/>
  <c r="AI596" i="37" s="1"/>
  <c r="AJ596" i="37" s="1"/>
  <c r="X597" i="37"/>
  <c r="W598" i="37"/>
  <c r="AE597" i="37"/>
  <c r="AO598" i="37" s="1"/>
  <c r="V597" i="37"/>
  <c r="AA596" i="37"/>
  <c r="Y596" i="37"/>
  <c r="AD595" i="37"/>
  <c r="Z596" i="37"/>
  <c r="Z597" i="37" l="1"/>
  <c r="AL595" i="37"/>
  <c r="AN595" i="37"/>
  <c r="AB596" i="37"/>
  <c r="AC596" i="37" s="1"/>
  <c r="AD596" i="37" s="1"/>
  <c r="AF597" i="37"/>
  <c r="AH597" i="37"/>
  <c r="AG597" i="37"/>
  <c r="AI597" i="37" s="1"/>
  <c r="AJ597" i="37" s="1"/>
  <c r="X598" i="37"/>
  <c r="W599" i="37"/>
  <c r="AE598" i="37"/>
  <c r="AO599" i="37" s="1"/>
  <c r="V598" i="37"/>
  <c r="AA597" i="37"/>
  <c r="AB597" i="37" s="1"/>
  <c r="AC597" i="37" s="1"/>
  <c r="Y597" i="37"/>
  <c r="AK596" i="37"/>
  <c r="AL596" i="37" l="1"/>
  <c r="AN596" i="37"/>
  <c r="AA598" i="37"/>
  <c r="Y598" i="37"/>
  <c r="AD597" i="37"/>
  <c r="AF598" i="37"/>
  <c r="AH598" i="37"/>
  <c r="AG598" i="37"/>
  <c r="AI598" i="37" s="1"/>
  <c r="AJ598" i="37" s="1"/>
  <c r="X599" i="37"/>
  <c r="W600" i="37"/>
  <c r="AE599" i="37"/>
  <c r="AO600" i="37" s="1"/>
  <c r="V599" i="37"/>
  <c r="AK597" i="37"/>
  <c r="Z598" i="37"/>
  <c r="AB598" i="37" s="1"/>
  <c r="AC598" i="37" s="1"/>
  <c r="AL597" i="37" l="1"/>
  <c r="AN597" i="37"/>
  <c r="X600" i="37"/>
  <c r="W601" i="37"/>
  <c r="AE600" i="37"/>
  <c r="AO601" i="37" s="1"/>
  <c r="V600" i="37"/>
  <c r="Z600" i="37" s="1"/>
  <c r="AA599" i="37"/>
  <c r="Y599" i="37"/>
  <c r="AK598" i="37"/>
  <c r="Z599" i="37"/>
  <c r="AD598" i="37"/>
  <c r="AF599" i="37"/>
  <c r="AH599" i="37"/>
  <c r="AG599" i="37"/>
  <c r="AI599" i="37" s="1"/>
  <c r="AJ599" i="37" s="1"/>
  <c r="AB599" i="37" l="1"/>
  <c r="AC599" i="37" s="1"/>
  <c r="AD599" i="37" s="1"/>
  <c r="AL598" i="37"/>
  <c r="AN598" i="37"/>
  <c r="AF600" i="37"/>
  <c r="AH600" i="37"/>
  <c r="AG600" i="37"/>
  <c r="AI600" i="37" s="1"/>
  <c r="AJ600" i="37" s="1"/>
  <c r="AK599" i="37"/>
  <c r="X601" i="37"/>
  <c r="W602" i="37"/>
  <c r="AE601" i="37"/>
  <c r="AO602" i="37" s="1"/>
  <c r="V601" i="37"/>
  <c r="AA600" i="37"/>
  <c r="AB600" i="37" s="1"/>
  <c r="AC600" i="37" s="1"/>
  <c r="Y600" i="37"/>
  <c r="AL599" i="37" l="1"/>
  <c r="AN599" i="37"/>
  <c r="AA601" i="37"/>
  <c r="Y601" i="37"/>
  <c r="X602" i="37"/>
  <c r="W603" i="37"/>
  <c r="AE602" i="37"/>
  <c r="AO603" i="37" s="1"/>
  <c r="V602" i="37"/>
  <c r="Z602" i="37" s="1"/>
  <c r="AD600" i="37"/>
  <c r="AK600" i="37"/>
  <c r="Z601" i="37"/>
  <c r="AB601" i="37" s="1"/>
  <c r="AC601" i="37" s="1"/>
  <c r="AF601" i="37"/>
  <c r="AH601" i="37"/>
  <c r="AG601" i="37"/>
  <c r="AI601" i="37" s="1"/>
  <c r="AJ601" i="37" s="1"/>
  <c r="AN600" i="37" l="1"/>
  <c r="AL600" i="37"/>
  <c r="AD601" i="37"/>
  <c r="AF602" i="37"/>
  <c r="AH602" i="37"/>
  <c r="AG602" i="37"/>
  <c r="AI602" i="37" s="1"/>
  <c r="AJ602" i="37" s="1"/>
  <c r="AK601" i="37"/>
  <c r="AB602" i="37"/>
  <c r="AC602" i="37" s="1"/>
  <c r="X603" i="37"/>
  <c r="W604" i="37"/>
  <c r="AE603" i="37"/>
  <c r="AO604" i="37" s="1"/>
  <c r="V603" i="37"/>
  <c r="AA602" i="37"/>
  <c r="Y602" i="37"/>
  <c r="AL601" i="37" l="1"/>
  <c r="AN601" i="37"/>
  <c r="AF603" i="37"/>
  <c r="AH603" i="37"/>
  <c r="AG603" i="37"/>
  <c r="AI603" i="37" s="1"/>
  <c r="AJ603" i="37" s="1"/>
  <c r="X604" i="37"/>
  <c r="W605" i="37"/>
  <c r="AE604" i="37"/>
  <c r="AO605" i="37" s="1"/>
  <c r="V604" i="37"/>
  <c r="AA603" i="37"/>
  <c r="Y603" i="37"/>
  <c r="AD602" i="37"/>
  <c r="Z603" i="37"/>
  <c r="AK602" i="37"/>
  <c r="Z604" i="37" l="1"/>
  <c r="AL602" i="37"/>
  <c r="AN602" i="37"/>
  <c r="AB603" i="37"/>
  <c r="AC603" i="37" s="1"/>
  <c r="AD603" i="37" s="1"/>
  <c r="AF604" i="37"/>
  <c r="AH604" i="37"/>
  <c r="AG604" i="37"/>
  <c r="X605" i="37"/>
  <c r="W606" i="37"/>
  <c r="AE605" i="37"/>
  <c r="AO606" i="37" s="1"/>
  <c r="V605" i="37"/>
  <c r="AA604" i="37"/>
  <c r="AB604" i="37" s="1"/>
  <c r="AC604" i="37" s="1"/>
  <c r="Y604" i="37"/>
  <c r="AK603" i="37"/>
  <c r="AL603" i="37" l="1"/>
  <c r="AN603" i="37"/>
  <c r="AF605" i="37"/>
  <c r="AH605" i="37"/>
  <c r="AG605" i="37"/>
  <c r="AI605" i="37" s="1"/>
  <c r="AJ605" i="37" s="1"/>
  <c r="X606" i="37"/>
  <c r="W607" i="37"/>
  <c r="AE606" i="37"/>
  <c r="AO607" i="37" s="1"/>
  <c r="V606" i="37"/>
  <c r="AA605" i="37"/>
  <c r="Y605" i="37"/>
  <c r="AI604" i="37"/>
  <c r="AJ604" i="37" s="1"/>
  <c r="AK604" i="37" s="1"/>
  <c r="AD604" i="37"/>
  <c r="Z605" i="37"/>
  <c r="Z606" i="37" l="1"/>
  <c r="AL604" i="37"/>
  <c r="AN604" i="37"/>
  <c r="AB605" i="37"/>
  <c r="AC605" i="37" s="1"/>
  <c r="AD605" i="37" s="1"/>
  <c r="X607" i="37"/>
  <c r="W608" i="37"/>
  <c r="AE607" i="37"/>
  <c r="AO608" i="37" s="1"/>
  <c r="V607" i="37"/>
  <c r="Z607" i="37" s="1"/>
  <c r="AF606" i="37"/>
  <c r="AH606" i="37"/>
  <c r="AG606" i="37"/>
  <c r="AA606" i="37"/>
  <c r="AB606" i="37" s="1"/>
  <c r="AC606" i="37" s="1"/>
  <c r="Y606" i="37"/>
  <c r="AK605" i="37"/>
  <c r="AL605" i="37" l="1"/>
  <c r="AN605" i="37"/>
  <c r="AF607" i="37"/>
  <c r="AH607" i="37"/>
  <c r="AG607" i="37"/>
  <c r="AI607" i="37" s="1"/>
  <c r="AJ607" i="37" s="1"/>
  <c r="AB607" i="37"/>
  <c r="AC607" i="37" s="1"/>
  <c r="AD606" i="37"/>
  <c r="X608" i="37"/>
  <c r="W609" i="37"/>
  <c r="AE608" i="37"/>
  <c r="AO609" i="37" s="1"/>
  <c r="V608" i="37"/>
  <c r="AA607" i="37"/>
  <c r="Y607" i="37"/>
  <c r="AI606" i="37"/>
  <c r="AJ606" i="37" s="1"/>
  <c r="AK606" i="37" s="1"/>
  <c r="AN606" i="37" l="1"/>
  <c r="AL606" i="37"/>
  <c r="AD607" i="37"/>
  <c r="X609" i="37"/>
  <c r="AE609" i="37"/>
  <c r="AO610" i="37" s="1"/>
  <c r="V609" i="37"/>
  <c r="Z609" i="37" s="1"/>
  <c r="W610" i="37"/>
  <c r="AA608" i="37"/>
  <c r="Y608" i="37"/>
  <c r="Z608" i="37"/>
  <c r="AK607" i="37"/>
  <c r="AF608" i="37"/>
  <c r="AH608" i="37"/>
  <c r="AG608" i="37"/>
  <c r="AI608" i="37" s="1"/>
  <c r="AJ608" i="37" s="1"/>
  <c r="AB608" i="37" l="1"/>
  <c r="AC608" i="37" s="1"/>
  <c r="AD608" i="37" s="1"/>
  <c r="AL607" i="37"/>
  <c r="AN607" i="37"/>
  <c r="X610" i="37"/>
  <c r="AE610" i="37"/>
  <c r="AO611" i="37" s="1"/>
  <c r="V610" i="37"/>
  <c r="Z610" i="37" s="1"/>
  <c r="W611" i="37"/>
  <c r="AF609" i="37"/>
  <c r="AH609" i="37"/>
  <c r="AG609" i="37"/>
  <c r="AK608" i="37"/>
  <c r="Y609" i="37"/>
  <c r="AA609" i="37"/>
  <c r="AB609" i="37" s="1"/>
  <c r="AC609" i="37" s="1"/>
  <c r="AL608" i="37" l="1"/>
  <c r="AN608" i="37"/>
  <c r="X611" i="37"/>
  <c r="AE611" i="37"/>
  <c r="AO612" i="37" s="1"/>
  <c r="V611" i="37"/>
  <c r="Z611" i="37" s="1"/>
  <c r="W612" i="37"/>
  <c r="AB610" i="37"/>
  <c r="AC610" i="37" s="1"/>
  <c r="AD609" i="37"/>
  <c r="AF610" i="37"/>
  <c r="AH610" i="37"/>
  <c r="AG610" i="37"/>
  <c r="AA610" i="37"/>
  <c r="Y610" i="37"/>
  <c r="AI609" i="37"/>
  <c r="AJ609" i="37" s="1"/>
  <c r="AK609" i="37" s="1"/>
  <c r="AN609" i="37" l="1"/>
  <c r="AL609" i="37"/>
  <c r="AI610" i="37"/>
  <c r="AJ610" i="37" s="1"/>
  <c r="AK610" i="37" s="1"/>
  <c r="AF611" i="37"/>
  <c r="AH611" i="37"/>
  <c r="AG611" i="37"/>
  <c r="AI611" i="37" s="1"/>
  <c r="AJ611" i="37" s="1"/>
  <c r="X612" i="37"/>
  <c r="AE612" i="37"/>
  <c r="AO613" i="37" s="1"/>
  <c r="V612" i="37"/>
  <c r="W613" i="37"/>
  <c r="AD610" i="37"/>
  <c r="AA611" i="37"/>
  <c r="AB611" i="37" s="1"/>
  <c r="AC611" i="37" s="1"/>
  <c r="Y611" i="37"/>
  <c r="AN610" i="37" l="1"/>
  <c r="AL610" i="37"/>
  <c r="Z612" i="37"/>
  <c r="AD611" i="37"/>
  <c r="X613" i="37"/>
  <c r="AE613" i="37"/>
  <c r="AO614" i="37" s="1"/>
  <c r="V613" i="37"/>
  <c r="Z613" i="37" s="1"/>
  <c r="W614" i="37"/>
  <c r="AF612" i="37"/>
  <c r="AH612" i="37"/>
  <c r="AG612" i="37"/>
  <c r="AA612" i="37"/>
  <c r="AB612" i="37" s="1"/>
  <c r="AC612" i="37" s="1"/>
  <c r="Y612" i="37"/>
  <c r="AK611" i="37"/>
  <c r="AL611" i="37" l="1"/>
  <c r="AN611" i="37"/>
  <c r="X614" i="37"/>
  <c r="AE614" i="37"/>
  <c r="AO615" i="37" s="1"/>
  <c r="V614" i="37"/>
  <c r="Z614" i="37" s="1"/>
  <c r="W615" i="37"/>
  <c r="AB613" i="37"/>
  <c r="AC613" i="37" s="1"/>
  <c r="AF613" i="37"/>
  <c r="AH613" i="37"/>
  <c r="AG613" i="37"/>
  <c r="AD612" i="37"/>
  <c r="Y613" i="37"/>
  <c r="AA613" i="37"/>
  <c r="AI612" i="37"/>
  <c r="AJ612" i="37" s="1"/>
  <c r="AK612" i="37" s="1"/>
  <c r="AL612" i="37" l="1"/>
  <c r="AN612" i="37"/>
  <c r="X615" i="37"/>
  <c r="W616" i="37"/>
  <c r="AE615" i="37"/>
  <c r="AO616" i="37" s="1"/>
  <c r="V615" i="37"/>
  <c r="Z615" i="37" s="1"/>
  <c r="AB614" i="37"/>
  <c r="AC614" i="37" s="1"/>
  <c r="AD613" i="37"/>
  <c r="AF614" i="37"/>
  <c r="AH614" i="37"/>
  <c r="AG614" i="37"/>
  <c r="AA614" i="37"/>
  <c r="Y614" i="37"/>
  <c r="AI613" i="37"/>
  <c r="AJ613" i="37" s="1"/>
  <c r="AK613" i="37" s="1"/>
  <c r="AN613" i="37" l="1"/>
  <c r="AL613" i="37"/>
  <c r="AI614" i="37"/>
  <c r="AJ614" i="37" s="1"/>
  <c r="AK614" i="37" s="1"/>
  <c r="AD614" i="37"/>
  <c r="X616" i="37"/>
  <c r="W617" i="37"/>
  <c r="AE616" i="37"/>
  <c r="AO617" i="37" s="1"/>
  <c r="V616" i="37"/>
  <c r="Z616" i="37" s="1"/>
  <c r="AF615" i="37"/>
  <c r="AH615" i="37"/>
  <c r="AG615" i="37"/>
  <c r="AA615" i="37"/>
  <c r="AB615" i="37" s="1"/>
  <c r="AC615" i="37" s="1"/>
  <c r="Y615" i="37"/>
  <c r="AN614" i="37" l="1"/>
  <c r="AL614" i="37"/>
  <c r="AF616" i="37"/>
  <c r="AH616" i="37"/>
  <c r="AG616" i="37"/>
  <c r="AD615" i="37"/>
  <c r="X617" i="37"/>
  <c r="W618" i="37"/>
  <c r="AE617" i="37"/>
  <c r="AO618" i="37" s="1"/>
  <c r="V617" i="37"/>
  <c r="AA616" i="37"/>
  <c r="AB616" i="37" s="1"/>
  <c r="AC616" i="37" s="1"/>
  <c r="Y616" i="37"/>
  <c r="AI615" i="37"/>
  <c r="AJ615" i="37" s="1"/>
  <c r="AK615" i="37" s="1"/>
  <c r="AN615" i="37" l="1"/>
  <c r="AL615" i="37"/>
  <c r="AA617" i="37"/>
  <c r="Y617" i="37"/>
  <c r="X618" i="37"/>
  <c r="W619" i="37"/>
  <c r="AE618" i="37"/>
  <c r="AO619" i="37" s="1"/>
  <c r="V618" i="37"/>
  <c r="Z618" i="37" s="1"/>
  <c r="AI616" i="37"/>
  <c r="AJ616" i="37" s="1"/>
  <c r="AK616" i="37" s="1"/>
  <c r="AD616" i="37"/>
  <c r="Z617" i="37"/>
  <c r="AB617" i="37" s="1"/>
  <c r="AC617" i="37" s="1"/>
  <c r="AF617" i="37"/>
  <c r="AH617" i="37"/>
  <c r="AG617" i="37"/>
  <c r="AI617" i="37" s="1"/>
  <c r="AJ617" i="37" s="1"/>
  <c r="AN616" i="37" l="1"/>
  <c r="AL616" i="37"/>
  <c r="AA618" i="37"/>
  <c r="AB618" i="37" s="1"/>
  <c r="AC618" i="37" s="1"/>
  <c r="Y618" i="37"/>
  <c r="AF618" i="37"/>
  <c r="AH618" i="37"/>
  <c r="AG618" i="37"/>
  <c r="X619" i="37"/>
  <c r="W620" i="37"/>
  <c r="AE619" i="37"/>
  <c r="AO620" i="37" s="1"/>
  <c r="V619" i="37"/>
  <c r="AK617" i="37"/>
  <c r="AD617" i="37"/>
  <c r="AN617" i="37" l="1"/>
  <c r="AL617" i="37"/>
  <c r="X620" i="37"/>
  <c r="W621" i="37"/>
  <c r="AE620" i="37"/>
  <c r="AO621" i="37" s="1"/>
  <c r="V620" i="37"/>
  <c r="Z620" i="37" s="1"/>
  <c r="AA619" i="37"/>
  <c r="Y619" i="37"/>
  <c r="AI618" i="37"/>
  <c r="AJ618" i="37" s="1"/>
  <c r="AK618" i="37" s="1"/>
  <c r="AD618" i="37"/>
  <c r="Z619" i="37"/>
  <c r="AF619" i="37"/>
  <c r="AH619" i="37"/>
  <c r="AG619" i="37"/>
  <c r="AI619" i="37" s="1"/>
  <c r="AJ619" i="37" s="1"/>
  <c r="AN618" i="37" l="1"/>
  <c r="AL618" i="37"/>
  <c r="AK619" i="37"/>
  <c r="AF620" i="37"/>
  <c r="AH620" i="37"/>
  <c r="AG620" i="37"/>
  <c r="AI620" i="37" s="1"/>
  <c r="AJ620" i="37" s="1"/>
  <c r="AB619" i="37"/>
  <c r="AC619" i="37" s="1"/>
  <c r="AD619" i="37" s="1"/>
  <c r="X621" i="37"/>
  <c r="W622" i="37"/>
  <c r="AE621" i="37"/>
  <c r="AO622" i="37" s="1"/>
  <c r="V621" i="37"/>
  <c r="AA620" i="37"/>
  <c r="AB620" i="37" s="1"/>
  <c r="AC620" i="37" s="1"/>
  <c r="Y620" i="37"/>
  <c r="AN619" i="37" l="1"/>
  <c r="AL619" i="37"/>
  <c r="AD620" i="37"/>
  <c r="AA621" i="37"/>
  <c r="Y621" i="37"/>
  <c r="AK620" i="37"/>
  <c r="Z621" i="37"/>
  <c r="AB621" i="37" s="1"/>
  <c r="AC621" i="37" s="1"/>
  <c r="AF621" i="37"/>
  <c r="AH621" i="37"/>
  <c r="AG621" i="37"/>
  <c r="AI621" i="37" s="1"/>
  <c r="AJ621" i="37" s="1"/>
  <c r="X622" i="37"/>
  <c r="W623" i="37"/>
  <c r="AE622" i="37"/>
  <c r="AO623" i="37" s="1"/>
  <c r="V622" i="37"/>
  <c r="Z622" i="37" s="1"/>
  <c r="AL620" i="37" l="1"/>
  <c r="AN620" i="37"/>
  <c r="AK621" i="37"/>
  <c r="AH622" i="37"/>
  <c r="AF622" i="37"/>
  <c r="AG622" i="37"/>
  <c r="AI622" i="37" s="1"/>
  <c r="AJ622" i="37" s="1"/>
  <c r="AD621" i="37"/>
  <c r="X623" i="37"/>
  <c r="W624" i="37"/>
  <c r="AE623" i="37"/>
  <c r="AO624" i="37" s="1"/>
  <c r="V623" i="37"/>
  <c r="AA622" i="37"/>
  <c r="AB622" i="37" s="1"/>
  <c r="AC622" i="37" s="1"/>
  <c r="Y622" i="37"/>
  <c r="AN621" i="37" l="1"/>
  <c r="AL621" i="37"/>
  <c r="AA623" i="37"/>
  <c r="Y623" i="37"/>
  <c r="AK622" i="37"/>
  <c r="X624" i="37"/>
  <c r="W625" i="37"/>
  <c r="AE624" i="37"/>
  <c r="AO625" i="37" s="1"/>
  <c r="V624" i="37"/>
  <c r="AD622" i="37"/>
  <c r="Z623" i="37"/>
  <c r="AB623" i="37" s="1"/>
  <c r="AC623" i="37" s="1"/>
  <c r="AH623" i="37"/>
  <c r="AF623" i="37"/>
  <c r="AG623" i="37"/>
  <c r="AI623" i="37" s="1"/>
  <c r="AJ623" i="37" s="1"/>
  <c r="Z624" i="37" l="1"/>
  <c r="AN622" i="37"/>
  <c r="AL622" i="37"/>
  <c r="AD623" i="37"/>
  <c r="AH624" i="37"/>
  <c r="AF624" i="37"/>
  <c r="AG624" i="37"/>
  <c r="AI624" i="37" s="1"/>
  <c r="AJ624" i="37" s="1"/>
  <c r="X625" i="37"/>
  <c r="W626" i="37"/>
  <c r="AE625" i="37"/>
  <c r="AO626" i="37" s="1"/>
  <c r="V625" i="37"/>
  <c r="AA624" i="37"/>
  <c r="Y624" i="37"/>
  <c r="AK623" i="37"/>
  <c r="AB624" i="37" l="1"/>
  <c r="AC624" i="37" s="1"/>
  <c r="AD624" i="37" s="1"/>
  <c r="AL623" i="37"/>
  <c r="AN623" i="37"/>
  <c r="Z625" i="37"/>
  <c r="AA625" i="37"/>
  <c r="Y625" i="37"/>
  <c r="AH625" i="37"/>
  <c r="AF625" i="37"/>
  <c r="AG625" i="37"/>
  <c r="X626" i="37"/>
  <c r="W627" i="37"/>
  <c r="AE626" i="37"/>
  <c r="AO627" i="37" s="1"/>
  <c r="V626" i="37"/>
  <c r="AK624" i="37"/>
  <c r="AB625" i="37" l="1"/>
  <c r="AC625" i="37" s="1"/>
  <c r="AD625" i="37" s="1"/>
  <c r="AL624" i="37"/>
  <c r="AN624" i="37"/>
  <c r="AI625" i="37"/>
  <c r="AJ625" i="37" s="1"/>
  <c r="AK625" i="37" s="1"/>
  <c r="AA626" i="37"/>
  <c r="Y626" i="37"/>
  <c r="X627" i="37"/>
  <c r="W628" i="37"/>
  <c r="AE627" i="37"/>
  <c r="AO628" i="37" s="1"/>
  <c r="V627" i="37"/>
  <c r="Z626" i="37"/>
  <c r="AH626" i="37"/>
  <c r="AF626" i="37"/>
  <c r="AG626" i="37"/>
  <c r="AI626" i="37" s="1"/>
  <c r="AJ626" i="37" s="1"/>
  <c r="AB626" i="37" l="1"/>
  <c r="AC626" i="37" s="1"/>
  <c r="AD626" i="37" s="1"/>
  <c r="Z627" i="37"/>
  <c r="AL625" i="37"/>
  <c r="AN625" i="37"/>
  <c r="AH627" i="37"/>
  <c r="AF627" i="37"/>
  <c r="AG627" i="37"/>
  <c r="AI627" i="37" s="1"/>
  <c r="AJ627" i="37" s="1"/>
  <c r="X628" i="37"/>
  <c r="W629" i="37"/>
  <c r="AE628" i="37"/>
  <c r="AO629" i="37" s="1"/>
  <c r="V628" i="37"/>
  <c r="AA627" i="37"/>
  <c r="AB627" i="37" s="1"/>
  <c r="AC627" i="37" s="1"/>
  <c r="Y627" i="37"/>
  <c r="AK626" i="37"/>
  <c r="Z628" i="37" l="1"/>
  <c r="AL626" i="37"/>
  <c r="AN626" i="37"/>
  <c r="AA628" i="37"/>
  <c r="AB628" i="37" s="1"/>
  <c r="AC628" i="37" s="1"/>
  <c r="Y628" i="37"/>
  <c r="AH628" i="37"/>
  <c r="AF628" i="37"/>
  <c r="AG628" i="37"/>
  <c r="AI628" i="37" s="1"/>
  <c r="AJ628" i="37" s="1"/>
  <c r="X629" i="37"/>
  <c r="W630" i="37"/>
  <c r="AE629" i="37"/>
  <c r="AO630" i="37" s="1"/>
  <c r="V629" i="37"/>
  <c r="AK627" i="37"/>
  <c r="AD627" i="37"/>
  <c r="AN627" i="37" l="1"/>
  <c r="AL627" i="37"/>
  <c r="X630" i="37"/>
  <c r="W631" i="37"/>
  <c r="AE630" i="37"/>
  <c r="AO631" i="37" s="1"/>
  <c r="V630" i="37"/>
  <c r="Z630" i="37" s="1"/>
  <c r="AA629" i="37"/>
  <c r="Y629" i="37"/>
  <c r="AK628" i="37"/>
  <c r="AD628" i="37"/>
  <c r="Z629" i="37"/>
  <c r="AH629" i="37"/>
  <c r="AF629" i="37"/>
  <c r="AG629" i="37"/>
  <c r="AI629" i="37" s="1"/>
  <c r="AJ629" i="37" s="1"/>
  <c r="AN628" i="37" l="1"/>
  <c r="AL628" i="37"/>
  <c r="AK629" i="37"/>
  <c r="AH630" i="37"/>
  <c r="AF630" i="37"/>
  <c r="AG630" i="37"/>
  <c r="AI630" i="37" s="1"/>
  <c r="AJ630" i="37" s="1"/>
  <c r="X631" i="37"/>
  <c r="W632" i="37"/>
  <c r="AE631" i="37"/>
  <c r="AO632" i="37" s="1"/>
  <c r="V631" i="37"/>
  <c r="AB629" i="37"/>
  <c r="AC629" i="37" s="1"/>
  <c r="AD629" i="37" s="1"/>
  <c r="AA630" i="37"/>
  <c r="AB630" i="37" s="1"/>
  <c r="AC630" i="37" s="1"/>
  <c r="Y630" i="37"/>
  <c r="AN629" i="37" l="1"/>
  <c r="AL629" i="37"/>
  <c r="AK630" i="37"/>
  <c r="X632" i="37"/>
  <c r="W633" i="37"/>
  <c r="AE632" i="37"/>
  <c r="AO633" i="37" s="1"/>
  <c r="V632" i="37"/>
  <c r="Z632" i="37" s="1"/>
  <c r="AA631" i="37"/>
  <c r="Y631" i="37"/>
  <c r="AD630" i="37"/>
  <c r="Z631" i="37"/>
  <c r="AH631" i="37"/>
  <c r="AF631" i="37"/>
  <c r="AG631" i="37"/>
  <c r="AI631" i="37" s="1"/>
  <c r="AJ631" i="37" s="1"/>
  <c r="AN630" i="37" l="1"/>
  <c r="AL630" i="37"/>
  <c r="AH632" i="37"/>
  <c r="AF632" i="37"/>
  <c r="AG632" i="37"/>
  <c r="AI632" i="37" s="1"/>
  <c r="AJ632" i="37" s="1"/>
  <c r="AK631" i="37"/>
  <c r="X633" i="37"/>
  <c r="W634" i="37"/>
  <c r="AE633" i="37"/>
  <c r="AO634" i="37" s="1"/>
  <c r="V633" i="37"/>
  <c r="AA632" i="37"/>
  <c r="AB632" i="37" s="1"/>
  <c r="AC632" i="37" s="1"/>
  <c r="Y632" i="37"/>
  <c r="AB631" i="37"/>
  <c r="AC631" i="37" s="1"/>
  <c r="AD631" i="37" s="1"/>
  <c r="AL631" i="37" l="1"/>
  <c r="AN631" i="37"/>
  <c r="AD632" i="37"/>
  <c r="X634" i="37"/>
  <c r="W635" i="37"/>
  <c r="AE634" i="37"/>
  <c r="AO635" i="37" s="1"/>
  <c r="V634" i="37"/>
  <c r="Z634" i="37" s="1"/>
  <c r="AA633" i="37"/>
  <c r="Y633" i="37"/>
  <c r="AK632" i="37"/>
  <c r="Z633" i="37"/>
  <c r="AH633" i="37"/>
  <c r="AF633" i="37"/>
  <c r="AG633" i="37"/>
  <c r="AI633" i="37" s="1"/>
  <c r="AJ633" i="37" s="1"/>
  <c r="AN632" i="37" l="1"/>
  <c r="AL632" i="37"/>
  <c r="AH634" i="37"/>
  <c r="AF634" i="37"/>
  <c r="AG634" i="37"/>
  <c r="AI634" i="37" s="1"/>
  <c r="AJ634" i="37" s="1"/>
  <c r="AK633" i="37"/>
  <c r="X635" i="37"/>
  <c r="W636" i="37"/>
  <c r="AE635" i="37"/>
  <c r="AO636" i="37" s="1"/>
  <c r="V635" i="37"/>
  <c r="AA634" i="37"/>
  <c r="AB634" i="37" s="1"/>
  <c r="AC634" i="37" s="1"/>
  <c r="Y634" i="37"/>
  <c r="AB633" i="37"/>
  <c r="AC633" i="37" s="1"/>
  <c r="AD633" i="37" s="1"/>
  <c r="AL633" i="37" l="1"/>
  <c r="AN633" i="37"/>
  <c r="AA635" i="37"/>
  <c r="Y635" i="37"/>
  <c r="AH635" i="37"/>
  <c r="AF635" i="37"/>
  <c r="AG635" i="37"/>
  <c r="AI635" i="37" s="1"/>
  <c r="AJ635" i="37" s="1"/>
  <c r="X636" i="37"/>
  <c r="W637" i="37"/>
  <c r="AE636" i="37"/>
  <c r="AO637" i="37" s="1"/>
  <c r="V636" i="37"/>
  <c r="AK634" i="37"/>
  <c r="AD634" i="37"/>
  <c r="Z635" i="37"/>
  <c r="AB635" i="37" s="1"/>
  <c r="AC635" i="37" s="1"/>
  <c r="AN634" i="37" l="1"/>
  <c r="AL634" i="37"/>
  <c r="AA636" i="37"/>
  <c r="Y636" i="37"/>
  <c r="AH636" i="37"/>
  <c r="AF636" i="37"/>
  <c r="AG636" i="37"/>
  <c r="AI636" i="37" s="1"/>
  <c r="AJ636" i="37" s="1"/>
  <c r="X637" i="37"/>
  <c r="W638" i="37"/>
  <c r="AE637" i="37"/>
  <c r="AO638" i="37" s="1"/>
  <c r="V637" i="37"/>
  <c r="AD635" i="37"/>
  <c r="AK635" i="37"/>
  <c r="Z636" i="37"/>
  <c r="AB636" i="37" s="1"/>
  <c r="AC636" i="37" s="1"/>
  <c r="AL635" i="37" l="1"/>
  <c r="AN635" i="37"/>
  <c r="AA637" i="37"/>
  <c r="Y637" i="37"/>
  <c r="X638" i="37"/>
  <c r="W639" i="37"/>
  <c r="AE638" i="37"/>
  <c r="AO639" i="37" s="1"/>
  <c r="V638" i="37"/>
  <c r="Z638" i="37" s="1"/>
  <c r="AD636" i="37"/>
  <c r="AH637" i="37"/>
  <c r="AF637" i="37"/>
  <c r="AG637" i="37"/>
  <c r="AK636" i="37"/>
  <c r="Z637" i="37"/>
  <c r="AN636" i="37" l="1"/>
  <c r="AL636" i="37"/>
  <c r="X639" i="37"/>
  <c r="W640" i="37"/>
  <c r="AE639" i="37"/>
  <c r="AO640" i="37" s="1"/>
  <c r="V639" i="37"/>
  <c r="Z639" i="37" s="1"/>
  <c r="AB638" i="37"/>
  <c r="AC638" i="37" s="1"/>
  <c r="AH638" i="37"/>
  <c r="AF638" i="37"/>
  <c r="AG638" i="37"/>
  <c r="AB637" i="37"/>
  <c r="AC637" i="37" s="1"/>
  <c r="AD637" i="37" s="1"/>
  <c r="AA638" i="37"/>
  <c r="Y638" i="37"/>
  <c r="AI637" i="37"/>
  <c r="AJ637" i="37" s="1"/>
  <c r="AK637" i="37" s="1"/>
  <c r="AL637" i="37" l="1"/>
  <c r="AN637" i="37"/>
  <c r="X640" i="37"/>
  <c r="W641" i="37"/>
  <c r="AE640" i="37"/>
  <c r="AO641" i="37" s="1"/>
  <c r="V640" i="37"/>
  <c r="Z640" i="37" s="1"/>
  <c r="AD638" i="37"/>
  <c r="AH639" i="37"/>
  <c r="AF639" i="37"/>
  <c r="AG639" i="37"/>
  <c r="AA639" i="37"/>
  <c r="AB639" i="37" s="1"/>
  <c r="AC639" i="37" s="1"/>
  <c r="Y639" i="37"/>
  <c r="AI638" i="37"/>
  <c r="AJ638" i="37" s="1"/>
  <c r="AK638" i="37" s="1"/>
  <c r="AL638" i="37" l="1"/>
  <c r="AN638" i="37"/>
  <c r="X641" i="37"/>
  <c r="W642" i="37"/>
  <c r="AE641" i="37"/>
  <c r="AO642" i="37" s="1"/>
  <c r="V641" i="37"/>
  <c r="Z641" i="37" s="1"/>
  <c r="AD639" i="37"/>
  <c r="AH640" i="37"/>
  <c r="AF640" i="37"/>
  <c r="AG640" i="37"/>
  <c r="AI639" i="37"/>
  <c r="AJ639" i="37" s="1"/>
  <c r="AK639" i="37" s="1"/>
  <c r="AA640" i="37"/>
  <c r="AB640" i="37" s="1"/>
  <c r="AC640" i="37" s="1"/>
  <c r="Y640" i="37"/>
  <c r="AN639" i="37" l="1"/>
  <c r="AL639" i="37"/>
  <c r="AH641" i="37"/>
  <c r="AF641" i="37"/>
  <c r="AG641" i="37"/>
  <c r="AI641" i="37" s="1"/>
  <c r="AJ641" i="37" s="1"/>
  <c r="AD640" i="37"/>
  <c r="X642" i="37"/>
  <c r="W643" i="37"/>
  <c r="AE642" i="37"/>
  <c r="AO643" i="37" s="1"/>
  <c r="V642" i="37"/>
  <c r="AI640" i="37"/>
  <c r="AJ640" i="37" s="1"/>
  <c r="AK640" i="37" s="1"/>
  <c r="AA641" i="37"/>
  <c r="AB641" i="37" s="1"/>
  <c r="AC641" i="37" s="1"/>
  <c r="Y641" i="37"/>
  <c r="AL640" i="37" l="1"/>
  <c r="AN640" i="37"/>
  <c r="AH642" i="37"/>
  <c r="AF642" i="37"/>
  <c r="AG642" i="37"/>
  <c r="AI642" i="37" s="1"/>
  <c r="AJ642" i="37" s="1"/>
  <c r="X643" i="37"/>
  <c r="W644" i="37"/>
  <c r="AE643" i="37"/>
  <c r="AO644" i="37" s="1"/>
  <c r="V643" i="37"/>
  <c r="AA642" i="37"/>
  <c r="Y642" i="37"/>
  <c r="AD641" i="37"/>
  <c r="AK641" i="37"/>
  <c r="Z642" i="37"/>
  <c r="AL641" i="37" l="1"/>
  <c r="AN641" i="37"/>
  <c r="Z643" i="37"/>
  <c r="AB642" i="37"/>
  <c r="AC642" i="37" s="1"/>
  <c r="AD642" i="37" s="1"/>
  <c r="AH643" i="37"/>
  <c r="AF643" i="37"/>
  <c r="AG643" i="37"/>
  <c r="AI643" i="37" s="1"/>
  <c r="AJ643" i="37" s="1"/>
  <c r="X644" i="37"/>
  <c r="W645" i="37"/>
  <c r="AE644" i="37"/>
  <c r="AO645" i="37" s="1"/>
  <c r="V644" i="37"/>
  <c r="AA643" i="37"/>
  <c r="AB643" i="37" s="1"/>
  <c r="AC643" i="37" s="1"/>
  <c r="Y643" i="37"/>
  <c r="AK642" i="37"/>
  <c r="AN642" i="37" l="1"/>
  <c r="AL642" i="37"/>
  <c r="AH644" i="37"/>
  <c r="AG644" i="37"/>
  <c r="AF644" i="37"/>
  <c r="X645" i="37"/>
  <c r="W646" i="37"/>
  <c r="AE645" i="37"/>
  <c r="AO646" i="37" s="1"/>
  <c r="V645" i="37"/>
  <c r="AK643" i="37"/>
  <c r="AA644" i="37"/>
  <c r="Y644" i="37"/>
  <c r="AD643" i="37"/>
  <c r="Z644" i="37"/>
  <c r="Z645" i="37" l="1"/>
  <c r="AL643" i="37"/>
  <c r="AN643" i="37"/>
  <c r="X646" i="37"/>
  <c r="W647" i="37"/>
  <c r="AE646" i="37"/>
  <c r="AO647" i="37" s="1"/>
  <c r="V646" i="37"/>
  <c r="Z646" i="37" s="1"/>
  <c r="AH645" i="37"/>
  <c r="AG645" i="37"/>
  <c r="AF645" i="37"/>
  <c r="AB644" i="37"/>
  <c r="AC644" i="37" s="1"/>
  <c r="AD644" i="37" s="1"/>
  <c r="Y645" i="37"/>
  <c r="AA645" i="37"/>
  <c r="AB645" i="37" s="1"/>
  <c r="AC645" i="37" s="1"/>
  <c r="AI644" i="37"/>
  <c r="AJ644" i="37" s="1"/>
  <c r="AK644" i="37" s="1"/>
  <c r="AI645" i="37" l="1"/>
  <c r="AJ645" i="37" s="1"/>
  <c r="AK645" i="37" s="1"/>
  <c r="AL644" i="37"/>
  <c r="AN644" i="37"/>
  <c r="AD645" i="37"/>
  <c r="Y646" i="37"/>
  <c r="AA646" i="37"/>
  <c r="AB646" i="37" s="1"/>
  <c r="AC646" i="37" s="1"/>
  <c r="AH646" i="37"/>
  <c r="AG646" i="37"/>
  <c r="AI646" i="37" s="1"/>
  <c r="AJ646" i="37" s="1"/>
  <c r="AF646" i="37"/>
  <c r="X647" i="37"/>
  <c r="W648" i="37"/>
  <c r="AE647" i="37"/>
  <c r="AO648" i="37" s="1"/>
  <c r="V647" i="37"/>
  <c r="AL645" i="37" l="1"/>
  <c r="AN645" i="37"/>
  <c r="Y647" i="37"/>
  <c r="AA647" i="37"/>
  <c r="AK646" i="37"/>
  <c r="Z647" i="37"/>
  <c r="AB647" i="37" s="1"/>
  <c r="AC647" i="37" s="1"/>
  <c r="AH647" i="37"/>
  <c r="AG647" i="37"/>
  <c r="AI647" i="37" s="1"/>
  <c r="AJ647" i="37" s="1"/>
  <c r="AF647" i="37"/>
  <c r="AD646" i="37"/>
  <c r="X648" i="37"/>
  <c r="W649" i="37"/>
  <c r="AE648" i="37"/>
  <c r="AO649" i="37" s="1"/>
  <c r="V648" i="37"/>
  <c r="Z648" i="37" s="1"/>
  <c r="AL646" i="37" l="1"/>
  <c r="AN646" i="37"/>
  <c r="AK647" i="37"/>
  <c r="AH648" i="37"/>
  <c r="AG648" i="37"/>
  <c r="AI648" i="37" s="1"/>
  <c r="AJ648" i="37" s="1"/>
  <c r="AF648" i="37"/>
  <c r="X649" i="37"/>
  <c r="W650" i="37"/>
  <c r="AE649" i="37"/>
  <c r="AO650" i="37" s="1"/>
  <c r="V649" i="37"/>
  <c r="Y648" i="37"/>
  <c r="AA648" i="37"/>
  <c r="AB648" i="37" s="1"/>
  <c r="AC648" i="37" s="1"/>
  <c r="AD647" i="37"/>
  <c r="AN647" i="37" l="1"/>
  <c r="AL647" i="37"/>
  <c r="AK648" i="37"/>
  <c r="AD648" i="37"/>
  <c r="Z649" i="37"/>
  <c r="Y649" i="37"/>
  <c r="AA649" i="37"/>
  <c r="AH649" i="37"/>
  <c r="AG649" i="37"/>
  <c r="AF649" i="37"/>
  <c r="X650" i="37"/>
  <c r="W651" i="37"/>
  <c r="AE650" i="37"/>
  <c r="AO651" i="37" s="1"/>
  <c r="V650" i="37"/>
  <c r="AI649" i="37" l="1"/>
  <c r="AJ649" i="37" s="1"/>
  <c r="AK649" i="37" s="1"/>
  <c r="AB649" i="37"/>
  <c r="AC649" i="37" s="1"/>
  <c r="AD649" i="37" s="1"/>
  <c r="AN648" i="37"/>
  <c r="AL648" i="37"/>
  <c r="X651" i="37"/>
  <c r="W652" i="37"/>
  <c r="AE651" i="37"/>
  <c r="AO652" i="37" s="1"/>
  <c r="V651" i="37"/>
  <c r="Z650" i="37"/>
  <c r="Y650" i="37"/>
  <c r="AA650" i="37"/>
  <c r="AH650" i="37"/>
  <c r="AG650" i="37"/>
  <c r="AF650" i="37"/>
  <c r="Z651" i="37" l="1"/>
  <c r="AN649" i="37"/>
  <c r="AL649" i="37"/>
  <c r="AH651" i="37"/>
  <c r="AG651" i="37"/>
  <c r="AI651" i="37" s="1"/>
  <c r="AJ651" i="37" s="1"/>
  <c r="AF651" i="37"/>
  <c r="AI650" i="37"/>
  <c r="AJ650" i="37" s="1"/>
  <c r="AK650" i="37" s="1"/>
  <c r="X652" i="37"/>
  <c r="W653" i="37"/>
  <c r="AE652" i="37"/>
  <c r="AO653" i="37" s="1"/>
  <c r="V652" i="37"/>
  <c r="AB650" i="37"/>
  <c r="AC650" i="37" s="1"/>
  <c r="AD650" i="37" s="1"/>
  <c r="Y651" i="37"/>
  <c r="AA651" i="37"/>
  <c r="AB651" i="37" s="1"/>
  <c r="AC651" i="37" s="1"/>
  <c r="AL650" i="37" l="1"/>
  <c r="AN650" i="37"/>
  <c r="X653" i="37"/>
  <c r="W654" i="37"/>
  <c r="AE653" i="37"/>
  <c r="AO654" i="37" s="1"/>
  <c r="V653" i="37"/>
  <c r="Y652" i="37"/>
  <c r="AA652" i="37"/>
  <c r="AK651" i="37"/>
  <c r="AD651" i="37"/>
  <c r="Z652" i="37"/>
  <c r="AH652" i="37"/>
  <c r="AG652" i="37"/>
  <c r="AI652" i="37" s="1"/>
  <c r="AJ652" i="37" s="1"/>
  <c r="AF652" i="37"/>
  <c r="AL651" i="37" l="1"/>
  <c r="AN651" i="37"/>
  <c r="AK652" i="37"/>
  <c r="AB652" i="37"/>
  <c r="AC652" i="37" s="1"/>
  <c r="AD652" i="37" s="1"/>
  <c r="Z653" i="37"/>
  <c r="Y653" i="37"/>
  <c r="AA653" i="37"/>
  <c r="AH653" i="37"/>
  <c r="AG653" i="37"/>
  <c r="AF653" i="37"/>
  <c r="X654" i="37"/>
  <c r="W655" i="37"/>
  <c r="AE654" i="37"/>
  <c r="AO655" i="37" s="1"/>
  <c r="V654" i="37"/>
  <c r="AI653" i="37" l="1"/>
  <c r="AJ653" i="37" s="1"/>
  <c r="AK653" i="37" s="1"/>
  <c r="AN652" i="37"/>
  <c r="AL652" i="37"/>
  <c r="Y654" i="37"/>
  <c r="AA654" i="37"/>
  <c r="Z654" i="37"/>
  <c r="AB654" i="37" s="1"/>
  <c r="AC654" i="37" s="1"/>
  <c r="AH654" i="37"/>
  <c r="AG654" i="37"/>
  <c r="AF654" i="37"/>
  <c r="X655" i="37"/>
  <c r="W656" i="37"/>
  <c r="AE655" i="37"/>
  <c r="AO656" i="37" s="1"/>
  <c r="V655" i="37"/>
  <c r="Z655" i="37" s="1"/>
  <c r="AB653" i="37"/>
  <c r="AC653" i="37" s="1"/>
  <c r="AD653" i="37" s="1"/>
  <c r="AI654" i="37" l="1"/>
  <c r="AJ654" i="37" s="1"/>
  <c r="AK654" i="37" s="1"/>
  <c r="AN653" i="37"/>
  <c r="AL653" i="37"/>
  <c r="AH655" i="37"/>
  <c r="AG655" i="37"/>
  <c r="AI655" i="37" s="1"/>
  <c r="AJ655" i="37" s="1"/>
  <c r="AF655" i="37"/>
  <c r="X656" i="37"/>
  <c r="W657" i="37"/>
  <c r="AE656" i="37"/>
  <c r="AO657" i="37" s="1"/>
  <c r="V656" i="37"/>
  <c r="Y655" i="37"/>
  <c r="AA655" i="37"/>
  <c r="AB655" i="37" s="1"/>
  <c r="AC655" i="37" s="1"/>
  <c r="AD654" i="37"/>
  <c r="Z656" i="37" l="1"/>
  <c r="AL654" i="37"/>
  <c r="AN654" i="37"/>
  <c r="X657" i="37"/>
  <c r="W658" i="37"/>
  <c r="AE657" i="37"/>
  <c r="AO658" i="37" s="1"/>
  <c r="V657" i="37"/>
  <c r="Z657" i="37" s="1"/>
  <c r="Y656" i="37"/>
  <c r="AA656" i="37"/>
  <c r="AB656" i="37" s="1"/>
  <c r="AC656" i="37" s="1"/>
  <c r="AK655" i="37"/>
  <c r="AD655" i="37"/>
  <c r="AH656" i="37"/>
  <c r="AG656" i="37"/>
  <c r="AF656" i="37"/>
  <c r="AI656" i="37" l="1"/>
  <c r="AJ656" i="37" s="1"/>
  <c r="AK656" i="37" s="1"/>
  <c r="AL655" i="37"/>
  <c r="AN655" i="37"/>
  <c r="AD656" i="37"/>
  <c r="Y657" i="37"/>
  <c r="AA657" i="37"/>
  <c r="AB657" i="37" s="1"/>
  <c r="AC657" i="37" s="1"/>
  <c r="AH657" i="37"/>
  <c r="AG657" i="37"/>
  <c r="AF657" i="37"/>
  <c r="X658" i="37"/>
  <c r="W659" i="37"/>
  <c r="AE658" i="37"/>
  <c r="AO659" i="37" s="1"/>
  <c r="V658" i="37"/>
  <c r="Z658" i="37" s="1"/>
  <c r="AL656" i="37" l="1"/>
  <c r="AN656" i="37"/>
  <c r="AH658" i="37"/>
  <c r="AG658" i="37"/>
  <c r="AF658" i="37"/>
  <c r="AD657" i="37"/>
  <c r="X659" i="37"/>
  <c r="W660" i="37"/>
  <c r="AE659" i="37"/>
  <c r="AO660" i="37" s="1"/>
  <c r="V659" i="37"/>
  <c r="AI657" i="37"/>
  <c r="AJ657" i="37" s="1"/>
  <c r="AK657" i="37" s="1"/>
  <c r="Y658" i="37"/>
  <c r="AA658" i="37"/>
  <c r="AB658" i="37" s="1"/>
  <c r="AC658" i="37" s="1"/>
  <c r="Z659" i="37" l="1"/>
  <c r="AN657" i="37"/>
  <c r="AL657" i="37"/>
  <c r="AH659" i="37"/>
  <c r="AG659" i="37"/>
  <c r="AI659" i="37" s="1"/>
  <c r="AJ659" i="37" s="1"/>
  <c r="AF659" i="37"/>
  <c r="X660" i="37"/>
  <c r="W661" i="37"/>
  <c r="AE660" i="37"/>
  <c r="AO661" i="37" s="1"/>
  <c r="V660" i="37"/>
  <c r="Y659" i="37"/>
  <c r="AA659" i="37"/>
  <c r="AB659" i="37" s="1"/>
  <c r="AC659" i="37" s="1"/>
  <c r="AD658" i="37"/>
  <c r="AI658" i="37"/>
  <c r="AJ658" i="37" s="1"/>
  <c r="AK658" i="37" s="1"/>
  <c r="Z660" i="37" l="1"/>
  <c r="AL658" i="37"/>
  <c r="AN658" i="37"/>
  <c r="X661" i="37"/>
  <c r="W662" i="37"/>
  <c r="AE661" i="37"/>
  <c r="AO662" i="37" s="1"/>
  <c r="V661" i="37"/>
  <c r="Z661" i="37" s="1"/>
  <c r="AB660" i="37"/>
  <c r="AC660" i="37" s="1"/>
  <c r="AH660" i="37"/>
  <c r="AG660" i="37"/>
  <c r="AI660" i="37" s="1"/>
  <c r="AJ660" i="37" s="1"/>
  <c r="AF660" i="37"/>
  <c r="Y660" i="37"/>
  <c r="AA660" i="37"/>
  <c r="AK659" i="37"/>
  <c r="AD659" i="37"/>
  <c r="AN659" i="37" l="1"/>
  <c r="AL659" i="37"/>
  <c r="AK660" i="37"/>
  <c r="AH661" i="37"/>
  <c r="AG661" i="37"/>
  <c r="AI661" i="37" s="1"/>
  <c r="AJ661" i="37" s="1"/>
  <c r="AF661" i="37"/>
  <c r="X662" i="37"/>
  <c r="W663" i="37"/>
  <c r="AE662" i="37"/>
  <c r="AO663" i="37" s="1"/>
  <c r="V662" i="37"/>
  <c r="AD660" i="37"/>
  <c r="Y661" i="37"/>
  <c r="AA661" i="37"/>
  <c r="AB661" i="37" s="1"/>
  <c r="AC661" i="37" s="1"/>
  <c r="Z662" i="37" l="1"/>
  <c r="AK661" i="37"/>
  <c r="AN660" i="37"/>
  <c r="AL660" i="37"/>
  <c r="AH662" i="37"/>
  <c r="AG662" i="37"/>
  <c r="AI662" i="37" s="1"/>
  <c r="AJ662" i="37" s="1"/>
  <c r="AF662" i="37"/>
  <c r="X663" i="37"/>
  <c r="W664" i="37"/>
  <c r="AE663" i="37"/>
  <c r="AO664" i="37" s="1"/>
  <c r="V663" i="37"/>
  <c r="Y662" i="37"/>
  <c r="AA662" i="37"/>
  <c r="AB662" i="37" s="1"/>
  <c r="AC662" i="37" s="1"/>
  <c r="AD661" i="37"/>
  <c r="Z663" i="37" l="1"/>
  <c r="AN661" i="37"/>
  <c r="AL661" i="37"/>
  <c r="AK662" i="37"/>
  <c r="AH663" i="37"/>
  <c r="AG663" i="37"/>
  <c r="AI663" i="37" s="1"/>
  <c r="AJ663" i="37" s="1"/>
  <c r="AF663" i="37"/>
  <c r="X664" i="37"/>
  <c r="W665" i="37"/>
  <c r="AE664" i="37"/>
  <c r="AO665" i="37" s="1"/>
  <c r="V664" i="37"/>
  <c r="Y663" i="37"/>
  <c r="AA663" i="37"/>
  <c r="AB663" i="37" s="1"/>
  <c r="AC663" i="37" s="1"/>
  <c r="AD662" i="37"/>
  <c r="AN662" i="37" l="1"/>
  <c r="AL662" i="37"/>
  <c r="AK663" i="37"/>
  <c r="Z664" i="37"/>
  <c r="X665" i="37"/>
  <c r="W666" i="37"/>
  <c r="AE665" i="37"/>
  <c r="AO666" i="37" s="1"/>
  <c r="V665" i="37"/>
  <c r="Z665" i="37" s="1"/>
  <c r="AH664" i="37"/>
  <c r="AG664" i="37"/>
  <c r="AI664" i="37" s="1"/>
  <c r="AJ664" i="37" s="1"/>
  <c r="AF664" i="37"/>
  <c r="Y664" i="37"/>
  <c r="AA664" i="37"/>
  <c r="AB664" i="37" s="1"/>
  <c r="AC664" i="37" s="1"/>
  <c r="AD663" i="37"/>
  <c r="AN663" i="37" l="1"/>
  <c r="AL663" i="37"/>
  <c r="AK664" i="37"/>
  <c r="AH665" i="37"/>
  <c r="AG665" i="37"/>
  <c r="AI665" i="37" s="1"/>
  <c r="AJ665" i="37" s="1"/>
  <c r="AF665" i="37"/>
  <c r="X666" i="37"/>
  <c r="W667" i="37"/>
  <c r="AE666" i="37"/>
  <c r="AO667" i="37" s="1"/>
  <c r="V666" i="37"/>
  <c r="Y665" i="37"/>
  <c r="AA665" i="37"/>
  <c r="AB665" i="37" s="1"/>
  <c r="AC665" i="37" s="1"/>
  <c r="AD664" i="37"/>
  <c r="AN664" i="37" l="1"/>
  <c r="AL664" i="37"/>
  <c r="AK665" i="37"/>
  <c r="AH666" i="37"/>
  <c r="AG666" i="37"/>
  <c r="AF666" i="37"/>
  <c r="X667" i="37"/>
  <c r="W668" i="37"/>
  <c r="AE667" i="37"/>
  <c r="AO668" i="37" s="1"/>
  <c r="V667" i="37"/>
  <c r="Y666" i="37"/>
  <c r="AA666" i="37"/>
  <c r="AD665" i="37"/>
  <c r="Z666" i="37"/>
  <c r="AB666" i="37" s="1"/>
  <c r="AC666" i="37" s="1"/>
  <c r="AI666" i="37" l="1"/>
  <c r="AJ666" i="37" s="1"/>
  <c r="AK666" i="37" s="1"/>
  <c r="Z667" i="37"/>
  <c r="AN665" i="37"/>
  <c r="AL665" i="37"/>
  <c r="AD666" i="37"/>
  <c r="AH667" i="37"/>
  <c r="AG667" i="37"/>
  <c r="AI667" i="37" s="1"/>
  <c r="AJ667" i="37" s="1"/>
  <c r="AF667" i="37"/>
  <c r="X668" i="37"/>
  <c r="W669" i="37"/>
  <c r="AE668" i="37"/>
  <c r="AO669" i="37" s="1"/>
  <c r="V668" i="37"/>
  <c r="Y667" i="37"/>
  <c r="AA667" i="37"/>
  <c r="AB667" i="37" s="1"/>
  <c r="AC667" i="37" s="1"/>
  <c r="AN666" i="37" l="1"/>
  <c r="AL666" i="37"/>
  <c r="AK667" i="37"/>
  <c r="AH668" i="37"/>
  <c r="AG668" i="37"/>
  <c r="AF668" i="37"/>
  <c r="X669" i="37"/>
  <c r="W670" i="37"/>
  <c r="AE669" i="37"/>
  <c r="AO670" i="37" s="1"/>
  <c r="V669" i="37"/>
  <c r="Y668" i="37"/>
  <c r="AA668" i="37"/>
  <c r="AD667" i="37"/>
  <c r="Z668" i="37"/>
  <c r="AB668" i="37" s="1"/>
  <c r="AC668" i="37" s="1"/>
  <c r="AI668" i="37" l="1"/>
  <c r="AJ668" i="37" s="1"/>
  <c r="AK668" i="37" s="1"/>
  <c r="AN667" i="37"/>
  <c r="AL667" i="37"/>
  <c r="Z669" i="37"/>
  <c r="AD668" i="37"/>
  <c r="AH669" i="37"/>
  <c r="AG669" i="37"/>
  <c r="AI669" i="37" s="1"/>
  <c r="AJ669" i="37" s="1"/>
  <c r="AF669" i="37"/>
  <c r="X670" i="37"/>
  <c r="W671" i="37"/>
  <c r="AE670" i="37"/>
  <c r="AO671" i="37" s="1"/>
  <c r="V670" i="37"/>
  <c r="Y669" i="37"/>
  <c r="AA669" i="37"/>
  <c r="AB669" i="37" s="1"/>
  <c r="AC669" i="37" s="1"/>
  <c r="AN668" i="37" l="1"/>
  <c r="AL668" i="37"/>
  <c r="AK669" i="37"/>
  <c r="AH670" i="37"/>
  <c r="AG670" i="37"/>
  <c r="AI670" i="37" s="1"/>
  <c r="AJ670" i="37" s="1"/>
  <c r="AF670" i="37"/>
  <c r="X671" i="37"/>
  <c r="W672" i="37"/>
  <c r="AE671" i="37"/>
  <c r="AO672" i="37" s="1"/>
  <c r="V671" i="37"/>
  <c r="Y670" i="37"/>
  <c r="AA670" i="37"/>
  <c r="AD669" i="37"/>
  <c r="Z670" i="37"/>
  <c r="AB670" i="37" s="1"/>
  <c r="AC670" i="37" s="1"/>
  <c r="AN669" i="37" l="1"/>
  <c r="AL669" i="37"/>
  <c r="AK670" i="37"/>
  <c r="Z671" i="37"/>
  <c r="AD670" i="37"/>
  <c r="AH671" i="37"/>
  <c r="AG671" i="37"/>
  <c r="AI671" i="37" s="1"/>
  <c r="AJ671" i="37" s="1"/>
  <c r="AF671" i="37"/>
  <c r="X672" i="37"/>
  <c r="W673" i="37"/>
  <c r="AE672" i="37"/>
  <c r="AO673" i="37" s="1"/>
  <c r="V672" i="37"/>
  <c r="Y671" i="37"/>
  <c r="AA671" i="37"/>
  <c r="AK671" i="37" l="1"/>
  <c r="AN670" i="37"/>
  <c r="AL670" i="37"/>
  <c r="AB671" i="37"/>
  <c r="AC671" i="37" s="1"/>
  <c r="AD671" i="37" s="1"/>
  <c r="AH672" i="37"/>
  <c r="AG672" i="37"/>
  <c r="AI672" i="37" s="1"/>
  <c r="AJ672" i="37" s="1"/>
  <c r="AF672" i="37"/>
  <c r="X673" i="37"/>
  <c r="W674" i="37"/>
  <c r="AE673" i="37"/>
  <c r="AO674" i="37" s="1"/>
  <c r="V673" i="37"/>
  <c r="Y672" i="37"/>
  <c r="AA672" i="37"/>
  <c r="Z672" i="37"/>
  <c r="AB672" i="37" s="1"/>
  <c r="AC672" i="37" s="1"/>
  <c r="Z673" i="37" l="1"/>
  <c r="AN671" i="37"/>
  <c r="AL671" i="37"/>
  <c r="AK672" i="37"/>
  <c r="AD672" i="37"/>
  <c r="AH673" i="37"/>
  <c r="AG673" i="37"/>
  <c r="AI673" i="37" s="1"/>
  <c r="AJ673" i="37" s="1"/>
  <c r="AF673" i="37"/>
  <c r="X674" i="37"/>
  <c r="W675" i="37"/>
  <c r="AE674" i="37"/>
  <c r="AO675" i="37" s="1"/>
  <c r="V674" i="37"/>
  <c r="Y673" i="37"/>
  <c r="AA673" i="37"/>
  <c r="AB673" i="37" l="1"/>
  <c r="AC673" i="37" s="1"/>
  <c r="AD673" i="37" s="1"/>
  <c r="AN672" i="37"/>
  <c r="AL672" i="37"/>
  <c r="AK673" i="37"/>
  <c r="AH674" i="37"/>
  <c r="AG674" i="37"/>
  <c r="AI674" i="37" s="1"/>
  <c r="AJ674" i="37" s="1"/>
  <c r="AF674" i="37"/>
  <c r="X675" i="37"/>
  <c r="W676" i="37"/>
  <c r="AE675" i="37"/>
  <c r="AO676" i="37" s="1"/>
  <c r="V675" i="37"/>
  <c r="Y674" i="37"/>
  <c r="AA674" i="37"/>
  <c r="Z674" i="37"/>
  <c r="AB674" i="37" s="1"/>
  <c r="AC674" i="37" s="1"/>
  <c r="AN673" i="37" l="1"/>
  <c r="AL673" i="37"/>
  <c r="Z675" i="37"/>
  <c r="AK674" i="37"/>
  <c r="AD674" i="37"/>
  <c r="AH675" i="37"/>
  <c r="AG675" i="37"/>
  <c r="AI675" i="37" s="1"/>
  <c r="AJ675" i="37" s="1"/>
  <c r="AF675" i="37"/>
  <c r="X676" i="37"/>
  <c r="W677" i="37"/>
  <c r="AE676" i="37"/>
  <c r="AO677" i="37" s="1"/>
  <c r="V676" i="37"/>
  <c r="Y675" i="37"/>
  <c r="AA675" i="37"/>
  <c r="AB675" i="37" s="1"/>
  <c r="AC675" i="37" s="1"/>
  <c r="AN674" i="37" l="1"/>
  <c r="AL674" i="37"/>
  <c r="AK675" i="37"/>
  <c r="AH676" i="37"/>
  <c r="AG676" i="37"/>
  <c r="AI676" i="37" s="1"/>
  <c r="AJ676" i="37" s="1"/>
  <c r="AF676" i="37"/>
  <c r="X677" i="37"/>
  <c r="W678" i="37"/>
  <c r="AE677" i="37"/>
  <c r="AO678" i="37" s="1"/>
  <c r="V677" i="37"/>
  <c r="Y676" i="37"/>
  <c r="AA676" i="37"/>
  <c r="AD675" i="37"/>
  <c r="Z676" i="37"/>
  <c r="AB676" i="37" s="1"/>
  <c r="AC676" i="37" s="1"/>
  <c r="AN675" i="37" l="1"/>
  <c r="AL675" i="37"/>
  <c r="Z677" i="37"/>
  <c r="AK676" i="37"/>
  <c r="AD676" i="37"/>
  <c r="AH677" i="37"/>
  <c r="AG677" i="37"/>
  <c r="AI677" i="37" s="1"/>
  <c r="AJ677" i="37" s="1"/>
  <c r="AF677" i="37"/>
  <c r="X678" i="37"/>
  <c r="W679" i="37"/>
  <c r="AE678" i="37"/>
  <c r="AO679" i="37" s="1"/>
  <c r="V678" i="37"/>
  <c r="Y677" i="37"/>
  <c r="AA677" i="37"/>
  <c r="AB677" i="37" s="1"/>
  <c r="AC677" i="37" s="1"/>
  <c r="AN676" i="37" l="1"/>
  <c r="AL676" i="37"/>
  <c r="AK677" i="37"/>
  <c r="AH678" i="37"/>
  <c r="AG678" i="37"/>
  <c r="AI678" i="37" s="1"/>
  <c r="AJ678" i="37" s="1"/>
  <c r="AF678" i="37"/>
  <c r="X679" i="37"/>
  <c r="AE679" i="37"/>
  <c r="AO680" i="37" s="1"/>
  <c r="W680" i="37"/>
  <c r="V679" i="37"/>
  <c r="Y678" i="37"/>
  <c r="AA678" i="37"/>
  <c r="AD677" i="37"/>
  <c r="Z678" i="37"/>
  <c r="AB678" i="37" s="1"/>
  <c r="AC678" i="37" s="1"/>
  <c r="Z679" i="37" l="1"/>
  <c r="AN677" i="37"/>
  <c r="AL677" i="37"/>
  <c r="AK678" i="37"/>
  <c r="AD678" i="37"/>
  <c r="X680" i="37"/>
  <c r="AE680" i="37"/>
  <c r="AO681" i="37" s="1"/>
  <c r="V680" i="37"/>
  <c r="Z680" i="37" s="1"/>
  <c r="W681" i="37"/>
  <c r="AH679" i="37"/>
  <c r="AG679" i="37"/>
  <c r="AF679" i="37"/>
  <c r="Y679" i="37"/>
  <c r="AA679" i="37"/>
  <c r="AB679" i="37" s="1"/>
  <c r="AC679" i="37" s="1"/>
  <c r="AN678" i="37" l="1"/>
  <c r="AL678" i="37"/>
  <c r="AI679" i="37"/>
  <c r="AJ679" i="37" s="1"/>
  <c r="AK679" i="37" s="1"/>
  <c r="W682" i="37"/>
  <c r="X681" i="37"/>
  <c r="AE681" i="37"/>
  <c r="AO682" i="37" s="1"/>
  <c r="V681" i="37"/>
  <c r="Z681" i="37" s="1"/>
  <c r="AH680" i="37"/>
  <c r="AG680" i="37"/>
  <c r="AF680" i="37"/>
  <c r="AA680" i="37"/>
  <c r="AB680" i="37" s="1"/>
  <c r="AC680" i="37" s="1"/>
  <c r="Y680" i="37"/>
  <c r="AD679" i="37"/>
  <c r="AI680" i="37" l="1"/>
  <c r="AJ680" i="37" s="1"/>
  <c r="AK680" i="37" s="1"/>
  <c r="AN679" i="37"/>
  <c r="AL679" i="37"/>
  <c r="AH681" i="37"/>
  <c r="AG681" i="37"/>
  <c r="AI681" i="37" s="1"/>
  <c r="AJ681" i="37" s="1"/>
  <c r="AF681" i="37"/>
  <c r="AA681" i="37"/>
  <c r="AB681" i="37" s="1"/>
  <c r="AC681" i="37" s="1"/>
  <c r="Y681" i="37"/>
  <c r="AD680" i="37"/>
  <c r="AE682" i="37"/>
  <c r="AO683" i="37" s="1"/>
  <c r="V682" i="37"/>
  <c r="W683" i="37"/>
  <c r="X682" i="37"/>
  <c r="AN680" i="37" l="1"/>
  <c r="AL680" i="37"/>
  <c r="AK681" i="37"/>
  <c r="AA682" i="37"/>
  <c r="Y682" i="37"/>
  <c r="AD681" i="37"/>
  <c r="X683" i="37"/>
  <c r="AE683" i="37"/>
  <c r="AO684" i="37" s="1"/>
  <c r="V683" i="37"/>
  <c r="W684" i="37"/>
  <c r="Z682" i="37"/>
  <c r="AH682" i="37"/>
  <c r="AF682" i="37"/>
  <c r="AG682" i="37"/>
  <c r="AI682" i="37" s="1"/>
  <c r="AJ682" i="37" s="1"/>
  <c r="AN681" i="37" l="1"/>
  <c r="AL681" i="37"/>
  <c r="AB682" i="37"/>
  <c r="AC682" i="37" s="1"/>
  <c r="AD682" i="37" s="1"/>
  <c r="Y683" i="37"/>
  <c r="AA683" i="37"/>
  <c r="X684" i="37"/>
  <c r="AE684" i="37"/>
  <c r="AO685" i="37" s="1"/>
  <c r="V684" i="37"/>
  <c r="Z684" i="37" s="1"/>
  <c r="W685" i="37"/>
  <c r="Z683" i="37"/>
  <c r="AH683" i="37"/>
  <c r="AG683" i="37"/>
  <c r="AF683" i="37"/>
  <c r="AK682" i="37"/>
  <c r="AB683" i="37" l="1"/>
  <c r="AC683" i="37" s="1"/>
  <c r="AD683" i="37" s="1"/>
  <c r="AL682" i="37"/>
  <c r="AN682" i="37"/>
  <c r="AH684" i="37"/>
  <c r="AG684" i="37"/>
  <c r="AI684" i="37" s="1"/>
  <c r="AJ684" i="37" s="1"/>
  <c r="AF684" i="37"/>
  <c r="W686" i="37"/>
  <c r="X685" i="37"/>
  <c r="AE685" i="37"/>
  <c r="AO686" i="37" s="1"/>
  <c r="V685" i="37"/>
  <c r="AA684" i="37"/>
  <c r="AB684" i="37" s="1"/>
  <c r="AC684" i="37" s="1"/>
  <c r="Y684" i="37"/>
  <c r="AI683" i="37"/>
  <c r="AJ683" i="37" s="1"/>
  <c r="AK683" i="37" s="1"/>
  <c r="Z685" i="37" l="1"/>
  <c r="AL683" i="37"/>
  <c r="AN683" i="37"/>
  <c r="AK684" i="37"/>
  <c r="AH685" i="37"/>
  <c r="AG685" i="37"/>
  <c r="AI685" i="37" s="1"/>
  <c r="AJ685" i="37" s="1"/>
  <c r="AF685" i="37"/>
  <c r="AA685" i="37"/>
  <c r="AB685" i="37" s="1"/>
  <c r="AC685" i="37" s="1"/>
  <c r="Y685" i="37"/>
  <c r="X686" i="37"/>
  <c r="V686" i="37"/>
  <c r="AE686" i="37"/>
  <c r="AO687" i="37" s="1"/>
  <c r="W687" i="37"/>
  <c r="AD684" i="37"/>
  <c r="AN684" i="37" l="1"/>
  <c r="AL684" i="37"/>
  <c r="Z686" i="37"/>
  <c r="AK685" i="37"/>
  <c r="X687" i="37"/>
  <c r="W688" i="37"/>
  <c r="V687" i="37"/>
  <c r="Z687" i="37" s="1"/>
  <c r="AE687" i="37"/>
  <c r="AO688" i="37" s="1"/>
  <c r="AA686" i="37"/>
  <c r="Y686" i="37"/>
  <c r="AD685" i="37"/>
  <c r="AH686" i="37"/>
  <c r="AF686" i="37"/>
  <c r="AG686" i="37"/>
  <c r="AL685" i="37" l="1"/>
  <c r="AB686" i="37"/>
  <c r="AC686" i="37" s="1"/>
  <c r="AD686" i="37" s="1"/>
  <c r="AN685" i="37"/>
  <c r="AI686" i="37"/>
  <c r="AJ686" i="37" s="1"/>
  <c r="AK686" i="37" s="1"/>
  <c r="AH687" i="37"/>
  <c r="AF687" i="37"/>
  <c r="AG687" i="37"/>
  <c r="AB687" i="37"/>
  <c r="AC687" i="37" s="1"/>
  <c r="X688" i="37"/>
  <c r="V688" i="37"/>
  <c r="AE688" i="37"/>
  <c r="AO689" i="37" s="1"/>
  <c r="W689" i="37"/>
  <c r="AA687" i="37"/>
  <c r="Y687" i="37"/>
  <c r="AL686" i="37" l="1"/>
  <c r="AN686" i="37"/>
  <c r="AI687" i="37"/>
  <c r="AJ687" i="37" s="1"/>
  <c r="AK687" i="37" s="1"/>
  <c r="Z688" i="37"/>
  <c r="AD687" i="37"/>
  <c r="AA688" i="37"/>
  <c r="AB688" i="37" s="1"/>
  <c r="AC688" i="37" s="1"/>
  <c r="Y688" i="37"/>
  <c r="X689" i="37"/>
  <c r="W690" i="37"/>
  <c r="V689" i="37"/>
  <c r="AE689" i="37"/>
  <c r="AO690" i="37" s="1"/>
  <c r="AH688" i="37"/>
  <c r="AF688" i="37"/>
  <c r="AG688" i="37"/>
  <c r="AI688" i="37" s="1"/>
  <c r="AJ688" i="37" s="1"/>
  <c r="AN687" i="37" l="1"/>
  <c r="AL687" i="37"/>
  <c r="Z689" i="37"/>
  <c r="AA689" i="37"/>
  <c r="Y689" i="37"/>
  <c r="AB689" i="37"/>
  <c r="AC689" i="37" s="1"/>
  <c r="X690" i="37"/>
  <c r="W691" i="37"/>
  <c r="V690" i="37"/>
  <c r="AE690" i="37"/>
  <c r="AO691" i="37" s="1"/>
  <c r="AD688" i="37"/>
  <c r="AK688" i="37"/>
  <c r="AH689" i="37"/>
  <c r="AF689" i="37"/>
  <c r="AG689" i="37"/>
  <c r="AI689" i="37" s="1"/>
  <c r="AJ689" i="37" s="1"/>
  <c r="Z690" i="37" l="1"/>
  <c r="AL688" i="37"/>
  <c r="AN688" i="37"/>
  <c r="X691" i="37"/>
  <c r="W692" i="37"/>
  <c r="AE691" i="37"/>
  <c r="AO692" i="37" s="1"/>
  <c r="V691" i="37"/>
  <c r="Z691" i="37" s="1"/>
  <c r="AK689" i="37"/>
  <c r="AH690" i="37"/>
  <c r="AF690" i="37"/>
  <c r="AG690" i="37"/>
  <c r="AA690" i="37"/>
  <c r="AB690" i="37" s="1"/>
  <c r="AC690" i="37" s="1"/>
  <c r="Y690" i="37"/>
  <c r="AD689" i="37"/>
  <c r="AL689" i="37" l="1"/>
  <c r="AN689" i="37"/>
  <c r="AH691" i="37"/>
  <c r="AF691" i="37"/>
  <c r="AG691" i="37"/>
  <c r="AI691" i="37" s="1"/>
  <c r="AJ691" i="37" s="1"/>
  <c r="AD690" i="37"/>
  <c r="X692" i="37"/>
  <c r="W693" i="37"/>
  <c r="AE692" i="37"/>
  <c r="AO693" i="37" s="1"/>
  <c r="V692" i="37"/>
  <c r="AA691" i="37"/>
  <c r="AB691" i="37" s="1"/>
  <c r="AC691" i="37" s="1"/>
  <c r="Y691" i="37"/>
  <c r="AI690" i="37"/>
  <c r="AJ690" i="37" s="1"/>
  <c r="AK690" i="37" s="1"/>
  <c r="AL690" i="37" l="1"/>
  <c r="AN690" i="37"/>
  <c r="X693" i="37"/>
  <c r="W694" i="37"/>
  <c r="AE693" i="37"/>
  <c r="AO694" i="37" s="1"/>
  <c r="V693" i="37"/>
  <c r="Z693" i="37" s="1"/>
  <c r="AA692" i="37"/>
  <c r="Y692" i="37"/>
  <c r="AD691" i="37"/>
  <c r="AK691" i="37"/>
  <c r="Z692" i="37"/>
  <c r="AH692" i="37"/>
  <c r="AF692" i="37"/>
  <c r="AG692" i="37"/>
  <c r="AI692" i="37" s="1"/>
  <c r="AJ692" i="37" s="1"/>
  <c r="AN691" i="37" l="1"/>
  <c r="AL691" i="37"/>
  <c r="AK692" i="37"/>
  <c r="AH693" i="37"/>
  <c r="AF693" i="37"/>
  <c r="AG693" i="37"/>
  <c r="AI693" i="37" s="1"/>
  <c r="AJ693" i="37" s="1"/>
  <c r="X694" i="37"/>
  <c r="W695" i="37"/>
  <c r="AE694" i="37"/>
  <c r="AO695" i="37" s="1"/>
  <c r="V694" i="37"/>
  <c r="AB692" i="37"/>
  <c r="AC692" i="37" s="1"/>
  <c r="AD692" i="37" s="1"/>
  <c r="Y693" i="37"/>
  <c r="AA693" i="37"/>
  <c r="AB693" i="37" s="1"/>
  <c r="AC693" i="37" s="1"/>
  <c r="AN692" i="37" l="1"/>
  <c r="AL692" i="37"/>
  <c r="X695" i="37"/>
  <c r="W696" i="37"/>
  <c r="AE695" i="37"/>
  <c r="AO696" i="37" s="1"/>
  <c r="V695" i="37"/>
  <c r="Z695" i="37" s="1"/>
  <c r="AA694" i="37"/>
  <c r="Y694" i="37"/>
  <c r="AK693" i="37"/>
  <c r="AD693" i="37"/>
  <c r="Z694" i="37"/>
  <c r="AH694" i="37"/>
  <c r="AF694" i="37"/>
  <c r="AG694" i="37"/>
  <c r="AI694" i="37" s="1"/>
  <c r="AJ694" i="37" s="1"/>
  <c r="AN693" i="37" l="1"/>
  <c r="AL693" i="37"/>
  <c r="AK694" i="37"/>
  <c r="AH695" i="37"/>
  <c r="AF695" i="37"/>
  <c r="AG695" i="37"/>
  <c r="AI695" i="37" s="1"/>
  <c r="AJ695" i="37" s="1"/>
  <c r="X696" i="37"/>
  <c r="W697" i="37"/>
  <c r="AE696" i="37"/>
  <c r="AO697" i="37" s="1"/>
  <c r="V696" i="37"/>
  <c r="AB694" i="37"/>
  <c r="AC694" i="37" s="1"/>
  <c r="AD694" i="37" s="1"/>
  <c r="AA695" i="37"/>
  <c r="AB695" i="37" s="1"/>
  <c r="AC695" i="37" s="1"/>
  <c r="Y695" i="37"/>
  <c r="AN694" i="37" l="1"/>
  <c r="AL694" i="37"/>
  <c r="AA696" i="37"/>
  <c r="Y696" i="37"/>
  <c r="AK695" i="37"/>
  <c r="X697" i="37"/>
  <c r="W698" i="37"/>
  <c r="AE697" i="37"/>
  <c r="AO698" i="37" s="1"/>
  <c r="V697" i="37"/>
  <c r="AD695" i="37"/>
  <c r="Z696" i="37"/>
  <c r="AB696" i="37" s="1"/>
  <c r="AC696" i="37" s="1"/>
  <c r="AH696" i="37"/>
  <c r="AF696" i="37"/>
  <c r="AG696" i="37"/>
  <c r="AI696" i="37" s="1"/>
  <c r="AJ696" i="37" s="1"/>
  <c r="Z697" i="37" l="1"/>
  <c r="AN695" i="37"/>
  <c r="AL695" i="37"/>
  <c r="AD696" i="37"/>
  <c r="AH697" i="37"/>
  <c r="AF697" i="37"/>
  <c r="AG697" i="37"/>
  <c r="AI697" i="37" s="1"/>
  <c r="AJ697" i="37" s="1"/>
  <c r="X698" i="37"/>
  <c r="W699" i="37"/>
  <c r="AE698" i="37"/>
  <c r="AO699" i="37" s="1"/>
  <c r="V698" i="37"/>
  <c r="Y697" i="37"/>
  <c r="AA697" i="37"/>
  <c r="AB697" i="37" s="1"/>
  <c r="AC697" i="37" s="1"/>
  <c r="AK696" i="37"/>
  <c r="AL696" i="37" l="1"/>
  <c r="AN696" i="37"/>
  <c r="Z698" i="37"/>
  <c r="AA698" i="37"/>
  <c r="Y698" i="37"/>
  <c r="AB698" i="37"/>
  <c r="AC698" i="37" s="1"/>
  <c r="AH698" i="37"/>
  <c r="AF698" i="37"/>
  <c r="AG698" i="37"/>
  <c r="X699" i="37"/>
  <c r="W700" i="37"/>
  <c r="AE699" i="37"/>
  <c r="AO700" i="37" s="1"/>
  <c r="V699" i="37"/>
  <c r="AK697" i="37"/>
  <c r="AD697" i="37"/>
  <c r="AI698" i="37" l="1"/>
  <c r="AJ698" i="37" s="1"/>
  <c r="AK698" i="37" s="1"/>
  <c r="AN697" i="37"/>
  <c r="AL697" i="37"/>
  <c r="X700" i="37"/>
  <c r="W701" i="37"/>
  <c r="AE700" i="37"/>
  <c r="AO701" i="37" s="1"/>
  <c r="V700" i="37"/>
  <c r="Z700" i="37" s="1"/>
  <c r="AA699" i="37"/>
  <c r="Y699" i="37"/>
  <c r="Z699" i="37"/>
  <c r="AD698" i="37"/>
  <c r="AH699" i="37"/>
  <c r="AF699" i="37"/>
  <c r="AG699" i="37"/>
  <c r="AI699" i="37" s="1"/>
  <c r="AJ699" i="37" s="1"/>
  <c r="AB699" i="37" l="1"/>
  <c r="AC699" i="37" s="1"/>
  <c r="AD699" i="37" s="1"/>
  <c r="AL698" i="37"/>
  <c r="AN698" i="37"/>
  <c r="AK699" i="37"/>
  <c r="AH700" i="37"/>
  <c r="AG700" i="37"/>
  <c r="AI700" i="37" s="1"/>
  <c r="AJ700" i="37" s="1"/>
  <c r="AF700" i="37"/>
  <c r="X701" i="37"/>
  <c r="W702" i="37"/>
  <c r="AE701" i="37"/>
  <c r="AO702" i="37" s="1"/>
  <c r="V701" i="37"/>
  <c r="AA700" i="37"/>
  <c r="AB700" i="37" s="1"/>
  <c r="AC700" i="37" s="1"/>
  <c r="Y700" i="37"/>
  <c r="AL699" i="37" l="1"/>
  <c r="AN699" i="37"/>
  <c r="X702" i="37"/>
  <c r="W703" i="37"/>
  <c r="AE702" i="37"/>
  <c r="AO703" i="37" s="1"/>
  <c r="V702" i="37"/>
  <c r="Z702" i="37" s="1"/>
  <c r="Y701" i="37"/>
  <c r="AA701" i="37"/>
  <c r="AK700" i="37"/>
  <c r="AD700" i="37"/>
  <c r="Z701" i="37"/>
  <c r="AH701" i="37"/>
  <c r="AG701" i="37"/>
  <c r="AI701" i="37" s="1"/>
  <c r="AJ701" i="37" s="1"/>
  <c r="AF701" i="37"/>
  <c r="AL700" i="37" l="1"/>
  <c r="AK701" i="37"/>
  <c r="AN700" i="37"/>
  <c r="AH702" i="37"/>
  <c r="AG702" i="37"/>
  <c r="AF702" i="37"/>
  <c r="X703" i="37"/>
  <c r="W704" i="37"/>
  <c r="AE703" i="37"/>
  <c r="AO704" i="37" s="1"/>
  <c r="V703" i="37"/>
  <c r="AB701" i="37"/>
  <c r="AC701" i="37" s="1"/>
  <c r="AD701" i="37" s="1"/>
  <c r="Y702" i="37"/>
  <c r="AA702" i="37"/>
  <c r="AB702" i="37" s="1"/>
  <c r="AC702" i="37" s="1"/>
  <c r="AN701" i="37" l="1"/>
  <c r="AL701" i="37"/>
  <c r="AH703" i="37"/>
  <c r="AG703" i="37"/>
  <c r="AI703" i="37" s="1"/>
  <c r="AJ703" i="37" s="1"/>
  <c r="AF703" i="37"/>
  <c r="X704" i="37"/>
  <c r="W705" i="37"/>
  <c r="AE704" i="37"/>
  <c r="AO705" i="37" s="1"/>
  <c r="V704" i="37"/>
  <c r="Y703" i="37"/>
  <c r="AA703" i="37"/>
  <c r="AI702" i="37"/>
  <c r="AJ702" i="37" s="1"/>
  <c r="AK702" i="37" s="1"/>
  <c r="AD702" i="37"/>
  <c r="Z703" i="37"/>
  <c r="AB703" i="37" s="1"/>
  <c r="AC703" i="37" s="1"/>
  <c r="Z704" i="37" l="1"/>
  <c r="AN702" i="37"/>
  <c r="AL702" i="37"/>
  <c r="AK703" i="37"/>
  <c r="Y704" i="37"/>
  <c r="AA704" i="37"/>
  <c r="AB704" i="37" s="1"/>
  <c r="AC704" i="37" s="1"/>
  <c r="AH704" i="37"/>
  <c r="AG704" i="37"/>
  <c r="AF704" i="37"/>
  <c r="X705" i="37"/>
  <c r="W706" i="37"/>
  <c r="AE705" i="37"/>
  <c r="AO706" i="37" s="1"/>
  <c r="V705" i="37"/>
  <c r="AD703" i="37"/>
  <c r="AI704" i="37" l="1"/>
  <c r="AJ704" i="37" s="1"/>
  <c r="AK704" i="37" s="1"/>
  <c r="AN703" i="37"/>
  <c r="AL703" i="37"/>
  <c r="Y705" i="37"/>
  <c r="AA705" i="37"/>
  <c r="X706" i="37"/>
  <c r="W707" i="37"/>
  <c r="AE706" i="37"/>
  <c r="AO707" i="37" s="1"/>
  <c r="V706" i="37"/>
  <c r="Z705" i="37"/>
  <c r="AD704" i="37"/>
  <c r="AH705" i="37"/>
  <c r="AG705" i="37"/>
  <c r="AI705" i="37" s="1"/>
  <c r="AJ705" i="37" s="1"/>
  <c r="AF705" i="37"/>
  <c r="AB705" i="37" l="1"/>
  <c r="AC705" i="37" s="1"/>
  <c r="AD705" i="37" s="1"/>
  <c r="Z706" i="37"/>
  <c r="AL704" i="37"/>
  <c r="AN704" i="37"/>
  <c r="AK705" i="37"/>
  <c r="AH706" i="37"/>
  <c r="AG706" i="37"/>
  <c r="AI706" i="37" s="1"/>
  <c r="AJ706" i="37" s="1"/>
  <c r="AF706" i="37"/>
  <c r="X707" i="37"/>
  <c r="W708" i="37"/>
  <c r="AE707" i="37"/>
  <c r="AO708" i="37" s="1"/>
  <c r="V707" i="37"/>
  <c r="Z707" i="37" s="1"/>
  <c r="Y706" i="37"/>
  <c r="AA706" i="37"/>
  <c r="AB706" i="37" s="1"/>
  <c r="AC706" i="37" s="1"/>
  <c r="AK706" i="37" l="1"/>
  <c r="AN705" i="37"/>
  <c r="AL705" i="37"/>
  <c r="AH707" i="37"/>
  <c r="AG707" i="37"/>
  <c r="AI707" i="37" s="1"/>
  <c r="AJ707" i="37" s="1"/>
  <c r="AF707" i="37"/>
  <c r="X708" i="37"/>
  <c r="W709" i="37"/>
  <c r="AE708" i="37"/>
  <c r="AO709" i="37" s="1"/>
  <c r="V708" i="37"/>
  <c r="Y707" i="37"/>
  <c r="AA707" i="37"/>
  <c r="AB707" i="37" s="1"/>
  <c r="AC707" i="37" s="1"/>
  <c r="AD706" i="37"/>
  <c r="Z708" i="37" l="1"/>
  <c r="AN706" i="37"/>
  <c r="AL706" i="37"/>
  <c r="AK707" i="37"/>
  <c r="AH708" i="37"/>
  <c r="AG708" i="37"/>
  <c r="AI708" i="37" s="1"/>
  <c r="AJ708" i="37" s="1"/>
  <c r="AF708" i="37"/>
  <c r="X709" i="37"/>
  <c r="W710" i="37"/>
  <c r="AE709" i="37"/>
  <c r="AO710" i="37" s="1"/>
  <c r="V709" i="37"/>
  <c r="AA708" i="37"/>
  <c r="Y708" i="37"/>
  <c r="AD707" i="37"/>
  <c r="AB708" i="37" l="1"/>
  <c r="AC708" i="37" s="1"/>
  <c r="AD708" i="37" s="1"/>
  <c r="Z709" i="37"/>
  <c r="AN707" i="37"/>
  <c r="AL707" i="37"/>
  <c r="AK708" i="37"/>
  <c r="X710" i="37"/>
  <c r="W711" i="37"/>
  <c r="AE710" i="37"/>
  <c r="AO711" i="37" s="1"/>
  <c r="V710" i="37"/>
  <c r="AH709" i="37"/>
  <c r="AG709" i="37"/>
  <c r="AF709" i="37"/>
  <c r="AA709" i="37"/>
  <c r="AB709" i="37" s="1"/>
  <c r="AC709" i="37" s="1"/>
  <c r="Y709" i="37"/>
  <c r="Z710" i="37" l="1"/>
  <c r="AN708" i="37"/>
  <c r="AL708" i="37"/>
  <c r="AI709" i="37"/>
  <c r="AJ709" i="37" s="1"/>
  <c r="AK709" i="37" s="1"/>
  <c r="AH710" i="37"/>
  <c r="AG710" i="37"/>
  <c r="AI710" i="37" s="1"/>
  <c r="AJ710" i="37" s="1"/>
  <c r="AF710" i="37"/>
  <c r="X711" i="37"/>
  <c r="W712" i="37"/>
  <c r="AE711" i="37"/>
  <c r="AO712" i="37" s="1"/>
  <c r="V711" i="37"/>
  <c r="AD709" i="37"/>
  <c r="AA710" i="37"/>
  <c r="AB710" i="37" s="1"/>
  <c r="AC710" i="37" s="1"/>
  <c r="Y710" i="37"/>
  <c r="AN709" i="37" l="1"/>
  <c r="AL709" i="37"/>
  <c r="AA711" i="37"/>
  <c r="Y711" i="37"/>
  <c r="AK710" i="37"/>
  <c r="AD710" i="37"/>
  <c r="Z711" i="37"/>
  <c r="AB711" i="37" s="1"/>
  <c r="AC711" i="37" s="1"/>
  <c r="X712" i="37"/>
  <c r="W713" i="37"/>
  <c r="AE712" i="37"/>
  <c r="AO713" i="37" s="1"/>
  <c r="V712" i="37"/>
  <c r="AH711" i="37"/>
  <c r="AG711" i="37"/>
  <c r="AI711" i="37" s="1"/>
  <c r="AJ711" i="37" s="1"/>
  <c r="AF711" i="37"/>
  <c r="AN710" i="37" l="1"/>
  <c r="AL710" i="37"/>
  <c r="AK711" i="37"/>
  <c r="AA712" i="37"/>
  <c r="Y712" i="37"/>
  <c r="AH712" i="37"/>
  <c r="AG712" i="37"/>
  <c r="AI712" i="37" s="1"/>
  <c r="AJ712" i="37" s="1"/>
  <c r="AF712" i="37"/>
  <c r="X713" i="37"/>
  <c r="W714" i="37"/>
  <c r="AE713" i="37"/>
  <c r="AO714" i="37" s="1"/>
  <c r="V713" i="37"/>
  <c r="AD711" i="37"/>
  <c r="Z712" i="37"/>
  <c r="AB712" i="37" s="1"/>
  <c r="AC712" i="37" s="1"/>
  <c r="AN711" i="37" l="1"/>
  <c r="AL711" i="37"/>
  <c r="AH713" i="37"/>
  <c r="AG713" i="37"/>
  <c r="AI713" i="37" s="1"/>
  <c r="AJ713" i="37" s="1"/>
  <c r="AF713" i="37"/>
  <c r="X714" i="37"/>
  <c r="W715" i="37"/>
  <c r="AE714" i="37"/>
  <c r="AO715" i="37" s="1"/>
  <c r="V714" i="37"/>
  <c r="AA713" i="37"/>
  <c r="Y713" i="37"/>
  <c r="AK712" i="37"/>
  <c r="AD712" i="37"/>
  <c r="Z713" i="37"/>
  <c r="Z714" i="37" l="1"/>
  <c r="AN712" i="37"/>
  <c r="AL712" i="37"/>
  <c r="AK713" i="37"/>
  <c r="AB713" i="37"/>
  <c r="AC713" i="37" s="1"/>
  <c r="AD713" i="37" s="1"/>
  <c r="AH714" i="37"/>
  <c r="AG714" i="37"/>
  <c r="AI714" i="37" s="1"/>
  <c r="AJ714" i="37" s="1"/>
  <c r="AF714" i="37"/>
  <c r="X715" i="37"/>
  <c r="W716" i="37"/>
  <c r="AE715" i="37"/>
  <c r="AO716" i="37" s="1"/>
  <c r="V715" i="37"/>
  <c r="AA714" i="37"/>
  <c r="AB714" i="37" s="1"/>
  <c r="AC714" i="37" s="1"/>
  <c r="Y714" i="37"/>
  <c r="AN713" i="37" l="1"/>
  <c r="AL713" i="37"/>
  <c r="AK714" i="37"/>
  <c r="AH715" i="37"/>
  <c r="AG715" i="37"/>
  <c r="AI715" i="37" s="1"/>
  <c r="AJ715" i="37" s="1"/>
  <c r="AF715" i="37"/>
  <c r="X716" i="37"/>
  <c r="W717" i="37"/>
  <c r="AE716" i="37"/>
  <c r="AO717" i="37" s="1"/>
  <c r="V716" i="37"/>
  <c r="AA715" i="37"/>
  <c r="Y715" i="37"/>
  <c r="AD714" i="37"/>
  <c r="Z715" i="37"/>
  <c r="Z716" i="37" l="1"/>
  <c r="AN714" i="37"/>
  <c r="AL714" i="37"/>
  <c r="AK715" i="37"/>
  <c r="AH716" i="37"/>
  <c r="AG716" i="37"/>
  <c r="AI716" i="37" s="1"/>
  <c r="AJ716" i="37" s="1"/>
  <c r="AF716" i="37"/>
  <c r="X717" i="37"/>
  <c r="W718" i="37"/>
  <c r="AE717" i="37"/>
  <c r="AO718" i="37" s="1"/>
  <c r="V717" i="37"/>
  <c r="AA716" i="37"/>
  <c r="Y716" i="37"/>
  <c r="AB715" i="37"/>
  <c r="AC715" i="37" s="1"/>
  <c r="AD715" i="37" s="1"/>
  <c r="AB716" i="37" l="1"/>
  <c r="AC716" i="37" s="1"/>
  <c r="AD716" i="37" s="1"/>
  <c r="AN715" i="37"/>
  <c r="AL715" i="37"/>
  <c r="AK716" i="37"/>
  <c r="Z717" i="37"/>
  <c r="AH717" i="37"/>
  <c r="AG717" i="37"/>
  <c r="AI717" i="37" s="1"/>
  <c r="AJ717" i="37" s="1"/>
  <c r="AF717" i="37"/>
  <c r="X718" i="37"/>
  <c r="W719" i="37"/>
  <c r="AE718" i="37"/>
  <c r="AO719" i="37" s="1"/>
  <c r="V718" i="37"/>
  <c r="AA717" i="37"/>
  <c r="Y717" i="37"/>
  <c r="AB717" i="37" l="1"/>
  <c r="AC717" i="37" s="1"/>
  <c r="AD717" i="37" s="1"/>
  <c r="AN716" i="37"/>
  <c r="AL716" i="37"/>
  <c r="Z718" i="37"/>
  <c r="AK717" i="37"/>
  <c r="X719" i="37"/>
  <c r="W720" i="37"/>
  <c r="AE719" i="37"/>
  <c r="AO720" i="37" s="1"/>
  <c r="V719" i="37"/>
  <c r="AH718" i="37"/>
  <c r="AG718" i="37"/>
  <c r="AF718" i="37"/>
  <c r="AA718" i="37"/>
  <c r="AB718" i="37" s="1"/>
  <c r="AC718" i="37" s="1"/>
  <c r="Y718" i="37"/>
  <c r="Z719" i="37" l="1"/>
  <c r="AN717" i="37"/>
  <c r="AL717" i="37"/>
  <c r="AI718" i="37"/>
  <c r="AJ718" i="37" s="1"/>
  <c r="AK718" i="37" s="1"/>
  <c r="AH719" i="37"/>
  <c r="AG719" i="37"/>
  <c r="AI719" i="37" s="1"/>
  <c r="AJ719" i="37" s="1"/>
  <c r="AF719" i="37"/>
  <c r="X720" i="37"/>
  <c r="W721" i="37"/>
  <c r="AE720" i="37"/>
  <c r="AO721" i="37" s="1"/>
  <c r="V720" i="37"/>
  <c r="AD718" i="37"/>
  <c r="AA719" i="37"/>
  <c r="AB719" i="37" s="1"/>
  <c r="AC719" i="37" s="1"/>
  <c r="Y719" i="37"/>
  <c r="AN718" i="37" l="1"/>
  <c r="AL718" i="37"/>
  <c r="AA720" i="37"/>
  <c r="Y720" i="37"/>
  <c r="AK719" i="37"/>
  <c r="AD719" i="37"/>
  <c r="Z720" i="37"/>
  <c r="AB720" i="37" s="1"/>
  <c r="AC720" i="37" s="1"/>
  <c r="X721" i="37"/>
  <c r="W722" i="37"/>
  <c r="AE721" i="37"/>
  <c r="AO722" i="37" s="1"/>
  <c r="V721" i="37"/>
  <c r="AH720" i="37"/>
  <c r="AG720" i="37"/>
  <c r="AF720" i="37"/>
  <c r="AI720" i="37" l="1"/>
  <c r="AJ720" i="37" s="1"/>
  <c r="AK720" i="37" s="1"/>
  <c r="AN719" i="37"/>
  <c r="AL719" i="37"/>
  <c r="AA721" i="37"/>
  <c r="Y721" i="37"/>
  <c r="AH721" i="37"/>
  <c r="AG721" i="37"/>
  <c r="AI721" i="37" s="1"/>
  <c r="AJ721" i="37" s="1"/>
  <c r="AF721" i="37"/>
  <c r="X722" i="37"/>
  <c r="W723" i="37"/>
  <c r="AE722" i="37"/>
  <c r="AO723" i="37" s="1"/>
  <c r="V722" i="37"/>
  <c r="AD720" i="37"/>
  <c r="Z721" i="37"/>
  <c r="AB721" i="37" s="1"/>
  <c r="AC721" i="37" s="1"/>
  <c r="AN720" i="37" l="1"/>
  <c r="AL720" i="37"/>
  <c r="AH722" i="37"/>
  <c r="AG722" i="37"/>
  <c r="AI722" i="37" s="1"/>
  <c r="AJ722" i="37" s="1"/>
  <c r="AF722" i="37"/>
  <c r="X723" i="37"/>
  <c r="W724" i="37"/>
  <c r="AE723" i="37"/>
  <c r="AO724" i="37" s="1"/>
  <c r="V723" i="37"/>
  <c r="AA722" i="37"/>
  <c r="Y722" i="37"/>
  <c r="AK721" i="37"/>
  <c r="AD721" i="37"/>
  <c r="Z722" i="37"/>
  <c r="Z723" i="37" l="1"/>
  <c r="AN721" i="37"/>
  <c r="AL721" i="37"/>
  <c r="AK722" i="37"/>
  <c r="AB722" i="37"/>
  <c r="AC722" i="37" s="1"/>
  <c r="AD722" i="37" s="1"/>
  <c r="AH723" i="37"/>
  <c r="AG723" i="37"/>
  <c r="AI723" i="37" s="1"/>
  <c r="AJ723" i="37" s="1"/>
  <c r="AF723" i="37"/>
  <c r="X724" i="37"/>
  <c r="W725" i="37"/>
  <c r="AE724" i="37"/>
  <c r="AO725" i="37" s="1"/>
  <c r="V724" i="37"/>
  <c r="AA723" i="37"/>
  <c r="AB723" i="37" s="1"/>
  <c r="AC723" i="37" s="1"/>
  <c r="Y723" i="37"/>
  <c r="AN722" i="37" l="1"/>
  <c r="AL722" i="37"/>
  <c r="AA724" i="37"/>
  <c r="Y724" i="37"/>
  <c r="AK723" i="37"/>
  <c r="AH724" i="37"/>
  <c r="AG724" i="37"/>
  <c r="AI724" i="37" s="1"/>
  <c r="AJ724" i="37" s="1"/>
  <c r="AF724" i="37"/>
  <c r="X725" i="37"/>
  <c r="W726" i="37"/>
  <c r="AE725" i="37"/>
  <c r="AO726" i="37" s="1"/>
  <c r="V725" i="37"/>
  <c r="AD723" i="37"/>
  <c r="Z724" i="37"/>
  <c r="AB724" i="37" s="1"/>
  <c r="AC724" i="37" s="1"/>
  <c r="AN723" i="37" l="1"/>
  <c r="AL723" i="37"/>
  <c r="X726" i="37"/>
  <c r="W727" i="37"/>
  <c r="AE726" i="37"/>
  <c r="AO727" i="37" s="1"/>
  <c r="V726" i="37"/>
  <c r="Z726" i="37" s="1"/>
  <c r="AA725" i="37"/>
  <c r="Y725" i="37"/>
  <c r="AK724" i="37"/>
  <c r="Z725" i="37"/>
  <c r="AD724" i="37"/>
  <c r="AH725" i="37"/>
  <c r="AG725" i="37"/>
  <c r="AI725" i="37" s="1"/>
  <c r="AJ725" i="37" s="1"/>
  <c r="AF725" i="37"/>
  <c r="AB725" i="37" l="1"/>
  <c r="AC725" i="37" s="1"/>
  <c r="AD725" i="37" s="1"/>
  <c r="AL724" i="37"/>
  <c r="AN724" i="37"/>
  <c r="AK725" i="37"/>
  <c r="AH726" i="37"/>
  <c r="AG726" i="37"/>
  <c r="AI726" i="37" s="1"/>
  <c r="AJ726" i="37" s="1"/>
  <c r="AF726" i="37"/>
  <c r="X727" i="37"/>
  <c r="W728" i="37"/>
  <c r="AE727" i="37"/>
  <c r="AO728" i="37" s="1"/>
  <c r="V727" i="37"/>
  <c r="AA726" i="37"/>
  <c r="AB726" i="37" s="1"/>
  <c r="AC726" i="37" s="1"/>
  <c r="Y726" i="37"/>
  <c r="AN725" i="37" l="1"/>
  <c r="AL725" i="37"/>
  <c r="AK726" i="37"/>
  <c r="AH727" i="37"/>
  <c r="AG727" i="37"/>
  <c r="AI727" i="37" s="1"/>
  <c r="AJ727" i="37" s="1"/>
  <c r="AF727" i="37"/>
  <c r="X728" i="37"/>
  <c r="W729" i="37"/>
  <c r="AE728" i="37"/>
  <c r="AO729" i="37" s="1"/>
  <c r="V728" i="37"/>
  <c r="AA727" i="37"/>
  <c r="Y727" i="37"/>
  <c r="AD726" i="37"/>
  <c r="Z727" i="37"/>
  <c r="Z728" i="37" l="1"/>
  <c r="AN726" i="37"/>
  <c r="AL726" i="37"/>
  <c r="AK727" i="37"/>
  <c r="AH728" i="37"/>
  <c r="AG728" i="37"/>
  <c r="AI728" i="37" s="1"/>
  <c r="AJ728" i="37" s="1"/>
  <c r="AF728" i="37"/>
  <c r="X729" i="37"/>
  <c r="W730" i="37"/>
  <c r="AE729" i="37"/>
  <c r="AO730" i="37" s="1"/>
  <c r="V729" i="37"/>
  <c r="AA728" i="37"/>
  <c r="AB728" i="37" s="1"/>
  <c r="AC728" i="37" s="1"/>
  <c r="Y728" i="37"/>
  <c r="AB727" i="37"/>
  <c r="AC727" i="37" s="1"/>
  <c r="AD727" i="37" s="1"/>
  <c r="AL727" i="37" l="1"/>
  <c r="AN727" i="37"/>
  <c r="Z729" i="37"/>
  <c r="AK728" i="37"/>
  <c r="AH729" i="37"/>
  <c r="AG729" i="37"/>
  <c r="AI729" i="37" s="1"/>
  <c r="AJ729" i="37" s="1"/>
  <c r="AF729" i="37"/>
  <c r="X730" i="37"/>
  <c r="W731" i="37"/>
  <c r="AE730" i="37"/>
  <c r="AO731" i="37" s="1"/>
  <c r="V730" i="37"/>
  <c r="AA729" i="37"/>
  <c r="Y729" i="37"/>
  <c r="AD728" i="37"/>
  <c r="AB729" i="37" l="1"/>
  <c r="AC729" i="37" s="1"/>
  <c r="AD729" i="37" s="1"/>
  <c r="AN728" i="37"/>
  <c r="AL728" i="37"/>
  <c r="AK729" i="37"/>
  <c r="Z730" i="37"/>
  <c r="X731" i="37"/>
  <c r="W732" i="37"/>
  <c r="AE731" i="37"/>
  <c r="AO732" i="37" s="1"/>
  <c r="V731" i="37"/>
  <c r="AH730" i="37"/>
  <c r="AG730" i="37"/>
  <c r="AI730" i="37" s="1"/>
  <c r="AJ730" i="37" s="1"/>
  <c r="AF730" i="37"/>
  <c r="AA730" i="37"/>
  <c r="Y730" i="37"/>
  <c r="AB730" i="37" l="1"/>
  <c r="AC730" i="37" s="1"/>
  <c r="AD730" i="37" s="1"/>
  <c r="Z731" i="37"/>
  <c r="AN729" i="37"/>
  <c r="AL729" i="37"/>
  <c r="AK730" i="37"/>
  <c r="AH731" i="37"/>
  <c r="AG731" i="37"/>
  <c r="AI731" i="37" s="1"/>
  <c r="AJ731" i="37" s="1"/>
  <c r="AF731" i="37"/>
  <c r="X732" i="37"/>
  <c r="W733" i="37"/>
  <c r="AE732" i="37"/>
  <c r="AO733" i="37" s="1"/>
  <c r="V732" i="37"/>
  <c r="AA731" i="37"/>
  <c r="AB731" i="37" s="1"/>
  <c r="AC731" i="37" s="1"/>
  <c r="Y731" i="37"/>
  <c r="Z732" i="37" l="1"/>
  <c r="AN730" i="37"/>
  <c r="AL730" i="37"/>
  <c r="AK731" i="37"/>
  <c r="X733" i="37"/>
  <c r="AE733" i="37"/>
  <c r="AO734" i="37" s="1"/>
  <c r="W734" i="37"/>
  <c r="V733" i="37"/>
  <c r="Z733" i="37" s="1"/>
  <c r="AD731" i="37"/>
  <c r="AH732" i="37"/>
  <c r="AG732" i="37"/>
  <c r="AI732" i="37" s="1"/>
  <c r="AJ732" i="37" s="1"/>
  <c r="AF732" i="37"/>
  <c r="AA732" i="37"/>
  <c r="AB732" i="37" s="1"/>
  <c r="AC732" i="37" s="1"/>
  <c r="Y732" i="37"/>
  <c r="AN731" i="37" l="1"/>
  <c r="AL731" i="37"/>
  <c r="AE734" i="37"/>
  <c r="AO735" i="37" s="1"/>
  <c r="W735" i="37"/>
  <c r="X734" i="37"/>
  <c r="V734" i="37"/>
  <c r="AB733" i="37"/>
  <c r="AC733" i="37" s="1"/>
  <c r="AD732" i="37"/>
  <c r="AH733" i="37"/>
  <c r="AG733" i="37"/>
  <c r="AI733" i="37" s="1"/>
  <c r="AJ733" i="37" s="1"/>
  <c r="AF733" i="37"/>
  <c r="AA733" i="37"/>
  <c r="Y733" i="37"/>
  <c r="AK732" i="37"/>
  <c r="Z734" i="37" l="1"/>
  <c r="AN732" i="37"/>
  <c r="AL732" i="37"/>
  <c r="AD733" i="37"/>
  <c r="Y734" i="37"/>
  <c r="AA734" i="37"/>
  <c r="AB734" i="37" s="1"/>
  <c r="AC734" i="37" s="1"/>
  <c r="X735" i="37"/>
  <c r="V735" i="37"/>
  <c r="AE735" i="37"/>
  <c r="AO736" i="37" s="1"/>
  <c r="W736" i="37"/>
  <c r="AK733" i="37"/>
  <c r="AH734" i="37"/>
  <c r="AG734" i="37"/>
  <c r="AI734" i="37" s="1"/>
  <c r="AJ734" i="37" s="1"/>
  <c r="AF734" i="37"/>
  <c r="AL733" i="37" l="1"/>
  <c r="AN733" i="37"/>
  <c r="AK734" i="37"/>
  <c r="AH735" i="37"/>
  <c r="AG735" i="37"/>
  <c r="AI735" i="37" s="1"/>
  <c r="AJ735" i="37" s="1"/>
  <c r="AF735" i="37"/>
  <c r="Z735" i="37"/>
  <c r="AE736" i="37"/>
  <c r="AO737" i="37" s="1"/>
  <c r="W737" i="37"/>
  <c r="X736" i="37"/>
  <c r="V736" i="37"/>
  <c r="Y735" i="37"/>
  <c r="AA735" i="37"/>
  <c r="AD734" i="37"/>
  <c r="AN734" i="37" l="1"/>
  <c r="AL734" i="37"/>
  <c r="AK735" i="37"/>
  <c r="Z736" i="37"/>
  <c r="AH736" i="37"/>
  <c r="AG736" i="37"/>
  <c r="AI736" i="37" s="1"/>
  <c r="AJ736" i="37" s="1"/>
  <c r="AF736" i="37"/>
  <c r="Y736" i="37"/>
  <c r="AA736" i="37"/>
  <c r="X737" i="37"/>
  <c r="V737" i="37"/>
  <c r="AE737" i="37"/>
  <c r="AO738" i="37" s="1"/>
  <c r="W738" i="37"/>
  <c r="AB735" i="37"/>
  <c r="AC735" i="37" s="1"/>
  <c r="AD735" i="37" s="1"/>
  <c r="AK736" i="37" l="1"/>
  <c r="AN735" i="37"/>
  <c r="AL735" i="37"/>
  <c r="AB736" i="37"/>
  <c r="AC736" i="37" s="1"/>
  <c r="AD736" i="37" s="1"/>
  <c r="Z737" i="37"/>
  <c r="AE738" i="37"/>
  <c r="AO739" i="37" s="1"/>
  <c r="W739" i="37"/>
  <c r="X738" i="37"/>
  <c r="V738" i="37"/>
  <c r="Y737" i="37"/>
  <c r="AA737" i="37"/>
  <c r="AH737" i="37"/>
  <c r="AG737" i="37"/>
  <c r="AF737" i="37"/>
  <c r="Z738" i="37" l="1"/>
  <c r="AN736" i="37"/>
  <c r="AL736" i="37"/>
  <c r="AB737" i="37"/>
  <c r="AC737" i="37" s="1"/>
  <c r="AD737" i="37" s="1"/>
  <c r="AI737" i="37"/>
  <c r="AJ737" i="37" s="1"/>
  <c r="AK737" i="37" s="1"/>
  <c r="X739" i="37"/>
  <c r="V739" i="37"/>
  <c r="AE739" i="37"/>
  <c r="AO740" i="37" s="1"/>
  <c r="W740" i="37"/>
  <c r="Y738" i="37"/>
  <c r="AA738" i="37"/>
  <c r="AB738" i="37" s="1"/>
  <c r="AC738" i="37" s="1"/>
  <c r="AH738" i="37"/>
  <c r="AG738" i="37"/>
  <c r="AI738" i="37" s="1"/>
  <c r="AJ738" i="37" s="1"/>
  <c r="AF738" i="37"/>
  <c r="Z739" i="37" l="1"/>
  <c r="AN737" i="37"/>
  <c r="AL737" i="37"/>
  <c r="AK738" i="37"/>
  <c r="AD738" i="37"/>
  <c r="AE740" i="37"/>
  <c r="AO741" i="37" s="1"/>
  <c r="W741" i="37"/>
  <c r="X740" i="37"/>
  <c r="V740" i="37"/>
  <c r="AH739" i="37"/>
  <c r="AG739" i="37"/>
  <c r="AI739" i="37" s="1"/>
  <c r="AJ739" i="37" s="1"/>
  <c r="AF739" i="37"/>
  <c r="Y739" i="37"/>
  <c r="AA739" i="37"/>
  <c r="Z740" i="37" l="1"/>
  <c r="AB739" i="37"/>
  <c r="AC739" i="37" s="1"/>
  <c r="AD739" i="37" s="1"/>
  <c r="AN738" i="37"/>
  <c r="AL738" i="37"/>
  <c r="Y740" i="37"/>
  <c r="AA740" i="37"/>
  <c r="AB740" i="37" s="1"/>
  <c r="AC740" i="37" s="1"/>
  <c r="X741" i="37"/>
  <c r="V741" i="37"/>
  <c r="AE741" i="37"/>
  <c r="AO742" i="37" s="1"/>
  <c r="W742" i="37"/>
  <c r="AH740" i="37"/>
  <c r="AG740" i="37"/>
  <c r="AF740" i="37"/>
  <c r="AK739" i="37"/>
  <c r="Z741" i="37" l="1"/>
  <c r="AL739" i="37"/>
  <c r="AN739" i="37"/>
  <c r="AE742" i="37"/>
  <c r="AO743" i="37" s="1"/>
  <c r="W743" i="37"/>
  <c r="X742" i="37"/>
  <c r="V742" i="37"/>
  <c r="Z742" i="37" s="1"/>
  <c r="AH741" i="37"/>
  <c r="AG741" i="37"/>
  <c r="AF741" i="37"/>
  <c r="Y741" i="37"/>
  <c r="AA741" i="37"/>
  <c r="AB741" i="37" s="1"/>
  <c r="AC741" i="37" s="1"/>
  <c r="AD740" i="37"/>
  <c r="AI740" i="37"/>
  <c r="AJ740" i="37" s="1"/>
  <c r="AK740" i="37" s="1"/>
  <c r="AI741" i="37" l="1"/>
  <c r="AJ741" i="37" s="1"/>
  <c r="AK741" i="37" s="1"/>
  <c r="AL740" i="37"/>
  <c r="AN740" i="37"/>
  <c r="Y742" i="37"/>
  <c r="AA742" i="37"/>
  <c r="AB742" i="37" s="1"/>
  <c r="AC742" i="37" s="1"/>
  <c r="X743" i="37"/>
  <c r="V743" i="37"/>
  <c r="AE743" i="37"/>
  <c r="AO744" i="37" s="1"/>
  <c r="W744" i="37"/>
  <c r="AD741" i="37"/>
  <c r="AH742" i="37"/>
  <c r="AG742" i="37"/>
  <c r="AI742" i="37" s="1"/>
  <c r="AJ742" i="37" s="1"/>
  <c r="AF742" i="37"/>
  <c r="AK742" i="37" l="1"/>
  <c r="AL741" i="37"/>
  <c r="AN741" i="37"/>
  <c r="AH743" i="37"/>
  <c r="AG743" i="37"/>
  <c r="AI743" i="37" s="1"/>
  <c r="AJ743" i="37" s="1"/>
  <c r="AF743" i="37"/>
  <c r="Z743" i="37"/>
  <c r="AE744" i="37"/>
  <c r="AO745" i="37" s="1"/>
  <c r="W745" i="37"/>
  <c r="X744" i="37"/>
  <c r="V744" i="37"/>
  <c r="Y743" i="37"/>
  <c r="AA743" i="37"/>
  <c r="AD742" i="37"/>
  <c r="AN742" i="37" l="1"/>
  <c r="AL742" i="37"/>
  <c r="AK743" i="37"/>
  <c r="Z744" i="37"/>
  <c r="AH744" i="37"/>
  <c r="AG744" i="37"/>
  <c r="AI744" i="37" s="1"/>
  <c r="AJ744" i="37" s="1"/>
  <c r="AF744" i="37"/>
  <c r="Y744" i="37"/>
  <c r="AA744" i="37"/>
  <c r="X745" i="37"/>
  <c r="V745" i="37"/>
  <c r="AE745" i="37"/>
  <c r="AO746" i="37" s="1"/>
  <c r="W746" i="37"/>
  <c r="AB743" i="37"/>
  <c r="AC743" i="37" s="1"/>
  <c r="AD743" i="37" s="1"/>
  <c r="Z745" i="37" l="1"/>
  <c r="AK744" i="37"/>
  <c r="AN743" i="37"/>
  <c r="AL743" i="37"/>
  <c r="AB744" i="37"/>
  <c r="AC744" i="37" s="1"/>
  <c r="AD744" i="37" s="1"/>
  <c r="AE746" i="37"/>
  <c r="AO747" i="37" s="1"/>
  <c r="W747" i="37"/>
  <c r="X746" i="37"/>
  <c r="V746" i="37"/>
  <c r="Y745" i="37"/>
  <c r="AA745" i="37"/>
  <c r="AB745" i="37" s="1"/>
  <c r="AC745" i="37" s="1"/>
  <c r="AH745" i="37"/>
  <c r="AG745" i="37"/>
  <c r="AF745" i="37"/>
  <c r="AN744" i="37" l="1"/>
  <c r="AL744" i="37"/>
  <c r="AI745" i="37"/>
  <c r="AJ745" i="37" s="1"/>
  <c r="AK745" i="37" s="1"/>
  <c r="Y746" i="37"/>
  <c r="AA746" i="37"/>
  <c r="X747" i="37"/>
  <c r="V747" i="37"/>
  <c r="AE747" i="37"/>
  <c r="AO748" i="37" s="1"/>
  <c r="W748" i="37"/>
  <c r="AD745" i="37"/>
  <c r="Z746" i="37"/>
  <c r="AH746" i="37"/>
  <c r="AG746" i="37"/>
  <c r="AI746" i="37" s="1"/>
  <c r="AJ746" i="37" s="1"/>
  <c r="AF746" i="37"/>
  <c r="AN745" i="37" l="1"/>
  <c r="AL745" i="37"/>
  <c r="AK746" i="37"/>
  <c r="AB746" i="37"/>
  <c r="AC746" i="37" s="1"/>
  <c r="AD746" i="37" s="1"/>
  <c r="Y747" i="37"/>
  <c r="AA747" i="37"/>
  <c r="AE748" i="37"/>
  <c r="AO749" i="37" s="1"/>
  <c r="W749" i="37"/>
  <c r="X748" i="37"/>
  <c r="V748" i="37"/>
  <c r="AH747" i="37"/>
  <c r="AG747" i="37"/>
  <c r="AF747" i="37"/>
  <c r="Z747" i="37"/>
  <c r="AB747" i="37" s="1"/>
  <c r="AC747" i="37" s="1"/>
  <c r="AN746" i="37" l="1"/>
  <c r="AL746" i="37"/>
  <c r="Z748" i="37"/>
  <c r="AI747" i="37"/>
  <c r="AJ747" i="37" s="1"/>
  <c r="AK747" i="37" s="1"/>
  <c r="AH748" i="37"/>
  <c r="AG748" i="37"/>
  <c r="AI748" i="37" s="1"/>
  <c r="AJ748" i="37" s="1"/>
  <c r="AF748" i="37"/>
  <c r="Y748" i="37"/>
  <c r="AA748" i="37"/>
  <c r="X749" i="37"/>
  <c r="V749" i="37"/>
  <c r="AE749" i="37"/>
  <c r="AO750" i="37" s="1"/>
  <c r="W750" i="37"/>
  <c r="AD747" i="37"/>
  <c r="AN747" i="37" l="1"/>
  <c r="AL747" i="37"/>
  <c r="AB748" i="37"/>
  <c r="AC748" i="37" s="1"/>
  <c r="AD748" i="37" s="1"/>
  <c r="AK748" i="37"/>
  <c r="Z749" i="37"/>
  <c r="AE750" i="37"/>
  <c r="AO751" i="37" s="1"/>
  <c r="W751" i="37"/>
  <c r="X750" i="37"/>
  <c r="V750" i="37"/>
  <c r="Y749" i="37"/>
  <c r="AA749" i="37"/>
  <c r="AH749" i="37"/>
  <c r="AG749" i="37"/>
  <c r="AI749" i="37" s="1"/>
  <c r="AJ749" i="37" s="1"/>
  <c r="AF749" i="37"/>
  <c r="Z750" i="37" l="1"/>
  <c r="AK749" i="37"/>
  <c r="AN748" i="37"/>
  <c r="AL748" i="37"/>
  <c r="AB749" i="37"/>
  <c r="AC749" i="37" s="1"/>
  <c r="AD749" i="37" s="1"/>
  <c r="AH750" i="37"/>
  <c r="AG750" i="37"/>
  <c r="AI750" i="37" s="1"/>
  <c r="AJ750" i="37" s="1"/>
  <c r="AF750" i="37"/>
  <c r="Y750" i="37"/>
  <c r="AA750" i="37"/>
  <c r="AB750" i="37" s="1"/>
  <c r="AC750" i="37" s="1"/>
  <c r="X751" i="37"/>
  <c r="V751" i="37"/>
  <c r="AE751" i="37"/>
  <c r="AO752" i="37" s="1"/>
  <c r="W752" i="37"/>
  <c r="AK750" i="37" l="1"/>
  <c r="AN749" i="37"/>
  <c r="AL749" i="37"/>
  <c r="AH751" i="37"/>
  <c r="AG751" i="37"/>
  <c r="AI751" i="37" s="1"/>
  <c r="AJ751" i="37" s="1"/>
  <c r="AF751" i="37"/>
  <c r="Y751" i="37"/>
  <c r="AA751" i="37"/>
  <c r="AD750" i="37"/>
  <c r="AE752" i="37"/>
  <c r="AO753" i="37" s="1"/>
  <c r="W753" i="37"/>
  <c r="X752" i="37"/>
  <c r="V752" i="37"/>
  <c r="Z752" i="37" s="1"/>
  <c r="Z751" i="37"/>
  <c r="AN750" i="37" l="1"/>
  <c r="AL750" i="37"/>
  <c r="AK751" i="37"/>
  <c r="X753" i="37"/>
  <c r="V753" i="37"/>
  <c r="Z753" i="37" s="1"/>
  <c r="AE753" i="37"/>
  <c r="AO754" i="37" s="1"/>
  <c r="W754" i="37"/>
  <c r="AB752" i="37"/>
  <c r="AC752" i="37" s="1"/>
  <c r="AH752" i="37"/>
  <c r="AG752" i="37"/>
  <c r="AI752" i="37" s="1"/>
  <c r="AJ752" i="37" s="1"/>
  <c r="AF752" i="37"/>
  <c r="AB751" i="37"/>
  <c r="AC751" i="37" s="1"/>
  <c r="AD751" i="37" s="1"/>
  <c r="Y752" i="37"/>
  <c r="AA752" i="37"/>
  <c r="AN751" i="37" l="1"/>
  <c r="AL751" i="37"/>
  <c r="AK752" i="37"/>
  <c r="AH753" i="37"/>
  <c r="AG753" i="37"/>
  <c r="AF753" i="37"/>
  <c r="AE754" i="37"/>
  <c r="AO755" i="37" s="1"/>
  <c r="W755" i="37"/>
  <c r="X754" i="37"/>
  <c r="V754" i="37"/>
  <c r="AD752" i="37"/>
  <c r="Y753" i="37"/>
  <c r="AA753" i="37"/>
  <c r="AB753" i="37" s="1"/>
  <c r="AC753" i="37" s="1"/>
  <c r="AI753" i="37" l="1"/>
  <c r="AJ753" i="37" s="1"/>
  <c r="AK753" i="37" s="1"/>
  <c r="AN752" i="37"/>
  <c r="AL752" i="37"/>
  <c r="Y754" i="37"/>
  <c r="AA754" i="37"/>
  <c r="X755" i="37"/>
  <c r="V755" i="37"/>
  <c r="AE755" i="37"/>
  <c r="AO756" i="37" s="1"/>
  <c r="W756" i="37"/>
  <c r="AD753" i="37"/>
  <c r="Z754" i="37"/>
  <c r="AH754" i="37"/>
  <c r="AG754" i="37"/>
  <c r="AI754" i="37" s="1"/>
  <c r="AJ754" i="37" s="1"/>
  <c r="AF754" i="37"/>
  <c r="AB754" i="37" l="1"/>
  <c r="AC754" i="37" s="1"/>
  <c r="AD754" i="37" s="1"/>
  <c r="AN753" i="37"/>
  <c r="AL753" i="37"/>
  <c r="AK754" i="37"/>
  <c r="Y755" i="37"/>
  <c r="AA755" i="37"/>
  <c r="AE756" i="37"/>
  <c r="AO757" i="37" s="1"/>
  <c r="W757" i="37"/>
  <c r="X756" i="37"/>
  <c r="V756" i="37"/>
  <c r="Z756" i="37" s="1"/>
  <c r="AH755" i="37"/>
  <c r="AG755" i="37"/>
  <c r="AF755" i="37"/>
  <c r="Z755" i="37"/>
  <c r="AB755" i="37" s="1"/>
  <c r="AC755" i="37" s="1"/>
  <c r="AN754" i="37" l="1"/>
  <c r="AL754" i="37"/>
  <c r="AI755" i="37"/>
  <c r="AJ755" i="37" s="1"/>
  <c r="AK755" i="37" s="1"/>
  <c r="AH756" i="37"/>
  <c r="AG756" i="37"/>
  <c r="AI756" i="37" s="1"/>
  <c r="AJ756" i="37" s="1"/>
  <c r="AF756" i="37"/>
  <c r="Y756" i="37"/>
  <c r="AA756" i="37"/>
  <c r="AB756" i="37" s="1"/>
  <c r="AC756" i="37" s="1"/>
  <c r="X757" i="37"/>
  <c r="V757" i="37"/>
  <c r="AE757" i="37"/>
  <c r="AO758" i="37" s="1"/>
  <c r="W758" i="37"/>
  <c r="AD755" i="37"/>
  <c r="AN755" i="37" l="1"/>
  <c r="AL755" i="37"/>
  <c r="AK756" i="37"/>
  <c r="Z757" i="37"/>
  <c r="X758" i="37"/>
  <c r="V758" i="37"/>
  <c r="Z758" i="37" s="1"/>
  <c r="AE758" i="37"/>
  <c r="AO759" i="37" s="1"/>
  <c r="W759" i="37"/>
  <c r="Y757" i="37"/>
  <c r="AA757" i="37"/>
  <c r="AD756" i="37"/>
  <c r="AH757" i="37"/>
  <c r="AG757" i="37"/>
  <c r="AI757" i="37" s="1"/>
  <c r="AJ757" i="37" s="1"/>
  <c r="AF757" i="37"/>
  <c r="AN756" i="37" l="1"/>
  <c r="AL756" i="37"/>
  <c r="AK757" i="37"/>
  <c r="AB757" i="37"/>
  <c r="AC757" i="37" s="1"/>
  <c r="AD757" i="37" s="1"/>
  <c r="X759" i="37"/>
  <c r="AE759" i="37"/>
  <c r="AO760" i="37" s="1"/>
  <c r="W760" i="37"/>
  <c r="V759" i="37"/>
  <c r="Z759" i="37" s="1"/>
  <c r="AH758" i="37"/>
  <c r="AG758" i="37"/>
  <c r="AF758" i="37"/>
  <c r="Y758" i="37"/>
  <c r="AA758" i="37"/>
  <c r="AB758" i="37" s="1"/>
  <c r="AC758" i="37" s="1"/>
  <c r="AN757" i="37" l="1"/>
  <c r="AL757" i="37"/>
  <c r="AI758" i="37"/>
  <c r="AJ758" i="37" s="1"/>
  <c r="AK758" i="37" s="1"/>
  <c r="X760" i="37"/>
  <c r="W761" i="37"/>
  <c r="V760" i="37"/>
  <c r="Z760" i="37" s="1"/>
  <c r="AE760" i="37"/>
  <c r="AO761" i="37" s="1"/>
  <c r="AH759" i="37"/>
  <c r="AG759" i="37"/>
  <c r="AF759" i="37"/>
  <c r="Y759" i="37"/>
  <c r="AA759" i="37"/>
  <c r="AB759" i="37" s="1"/>
  <c r="AC759" i="37" s="1"/>
  <c r="AD758" i="37"/>
  <c r="AI759" i="37" l="1"/>
  <c r="AJ759" i="37" s="1"/>
  <c r="AK759" i="37" s="1"/>
  <c r="AN758" i="37"/>
  <c r="AL758" i="37"/>
  <c r="AH760" i="37"/>
  <c r="AG760" i="37"/>
  <c r="AI760" i="37" s="1"/>
  <c r="AJ760" i="37" s="1"/>
  <c r="AF760" i="37"/>
  <c r="AB760" i="37"/>
  <c r="AC760" i="37" s="1"/>
  <c r="X761" i="37"/>
  <c r="V761" i="37"/>
  <c r="AE761" i="37"/>
  <c r="AO762" i="37" s="1"/>
  <c r="W762" i="37"/>
  <c r="Y760" i="37"/>
  <c r="AA760" i="37"/>
  <c r="AD759" i="37"/>
  <c r="AL759" i="37" l="1"/>
  <c r="AN759" i="37"/>
  <c r="AK760" i="37"/>
  <c r="X762" i="37"/>
  <c r="V762" i="37"/>
  <c r="Z762" i="37" s="1"/>
  <c r="AE762" i="37"/>
  <c r="AO763" i="37" s="1"/>
  <c r="W763" i="37"/>
  <c r="Y761" i="37"/>
  <c r="AA761" i="37"/>
  <c r="AH761" i="37"/>
  <c r="AG761" i="37"/>
  <c r="AI761" i="37" s="1"/>
  <c r="AJ761" i="37" s="1"/>
  <c r="AF761" i="37"/>
  <c r="Z761" i="37"/>
  <c r="AD760" i="37"/>
  <c r="AN760" i="37" l="1"/>
  <c r="AL760" i="37"/>
  <c r="X763" i="37"/>
  <c r="V763" i="37"/>
  <c r="AE763" i="37"/>
  <c r="AO764" i="37" s="1"/>
  <c r="W764" i="37"/>
  <c r="AH762" i="37"/>
  <c r="AG762" i="37"/>
  <c r="AI762" i="37" s="1"/>
  <c r="AJ762" i="37" s="1"/>
  <c r="AF762" i="37"/>
  <c r="AB761" i="37"/>
  <c r="AC761" i="37" s="1"/>
  <c r="AD761" i="37" s="1"/>
  <c r="AK761" i="37"/>
  <c r="Y762" i="37"/>
  <c r="AA762" i="37"/>
  <c r="AB762" i="37" s="1"/>
  <c r="AC762" i="37" s="1"/>
  <c r="Z763" i="37" l="1"/>
  <c r="AN761" i="37"/>
  <c r="AL761" i="37"/>
  <c r="AD762" i="37"/>
  <c r="AK762" i="37"/>
  <c r="X764" i="37"/>
  <c r="V764" i="37"/>
  <c r="AE764" i="37"/>
  <c r="AO765" i="37" s="1"/>
  <c r="W765" i="37"/>
  <c r="AH763" i="37"/>
  <c r="AG763" i="37"/>
  <c r="AI763" i="37" s="1"/>
  <c r="AJ763" i="37" s="1"/>
  <c r="AF763" i="37"/>
  <c r="Y763" i="37"/>
  <c r="AA763" i="37"/>
  <c r="AB763" i="37" s="1"/>
  <c r="AC763" i="37" s="1"/>
  <c r="Z764" i="37" l="1"/>
  <c r="AL762" i="37"/>
  <c r="AN762" i="37"/>
  <c r="X765" i="37"/>
  <c r="V765" i="37"/>
  <c r="AE765" i="37"/>
  <c r="AO766" i="37" s="1"/>
  <c r="W766" i="37"/>
  <c r="AH764" i="37"/>
  <c r="AG764" i="37"/>
  <c r="AF764" i="37"/>
  <c r="AD763" i="37"/>
  <c r="Y764" i="37"/>
  <c r="AA764" i="37"/>
  <c r="AB764" i="37" s="1"/>
  <c r="AC764" i="37" s="1"/>
  <c r="AK763" i="37"/>
  <c r="Z765" i="37" l="1"/>
  <c r="AL763" i="37"/>
  <c r="AN763" i="37"/>
  <c r="AI764" i="37"/>
  <c r="AJ764" i="37" s="1"/>
  <c r="AK764" i="37" s="1"/>
  <c r="X766" i="37"/>
  <c r="V766" i="37"/>
  <c r="AE766" i="37"/>
  <c r="AO767" i="37" s="1"/>
  <c r="W767" i="37"/>
  <c r="AH765" i="37"/>
  <c r="AG765" i="37"/>
  <c r="AF765" i="37"/>
  <c r="AD764" i="37"/>
  <c r="Y765" i="37"/>
  <c r="AA765" i="37"/>
  <c r="AB765" i="37" s="1"/>
  <c r="AC765" i="37" s="1"/>
  <c r="Z766" i="37" l="1"/>
  <c r="AI765" i="37"/>
  <c r="AJ765" i="37" s="1"/>
  <c r="AK765" i="37" s="1"/>
  <c r="AL764" i="37"/>
  <c r="AN764" i="37"/>
  <c r="AD765" i="37"/>
  <c r="X767" i="37"/>
  <c r="V767" i="37"/>
  <c r="AE767" i="37"/>
  <c r="AO768" i="37" s="1"/>
  <c r="W768" i="37"/>
  <c r="AH766" i="37"/>
  <c r="AG766" i="37"/>
  <c r="AI766" i="37" s="1"/>
  <c r="AJ766" i="37" s="1"/>
  <c r="AF766" i="37"/>
  <c r="Y766" i="37"/>
  <c r="AA766" i="37"/>
  <c r="AB766" i="37" s="1"/>
  <c r="AC766" i="37" s="1"/>
  <c r="Z767" i="37" l="1"/>
  <c r="AL765" i="37"/>
  <c r="AN765" i="37"/>
  <c r="AK766" i="37"/>
  <c r="X768" i="37"/>
  <c r="V768" i="37"/>
  <c r="AE768" i="37"/>
  <c r="AO769" i="37" s="1"/>
  <c r="W769" i="37"/>
  <c r="AH767" i="37"/>
  <c r="AG767" i="37"/>
  <c r="AI767" i="37" s="1"/>
  <c r="AJ767" i="37" s="1"/>
  <c r="AF767" i="37"/>
  <c r="AD766" i="37"/>
  <c r="Y767" i="37"/>
  <c r="AA767" i="37"/>
  <c r="AB767" i="37" s="1"/>
  <c r="AC767" i="37" s="1"/>
  <c r="Z768" i="37" l="1"/>
  <c r="AN766" i="37"/>
  <c r="AL766" i="37"/>
  <c r="AK767" i="37"/>
  <c r="X769" i="37"/>
  <c r="V769" i="37"/>
  <c r="AE769" i="37"/>
  <c r="AO770" i="37" s="1"/>
  <c r="W770" i="37"/>
  <c r="AH768" i="37"/>
  <c r="AG768" i="37"/>
  <c r="AF768" i="37"/>
  <c r="AD767" i="37"/>
  <c r="Y768" i="37"/>
  <c r="AA768" i="37"/>
  <c r="AB768" i="37" l="1"/>
  <c r="AC768" i="37" s="1"/>
  <c r="AD768" i="37" s="1"/>
  <c r="AI768" i="37"/>
  <c r="AJ768" i="37" s="1"/>
  <c r="AK768" i="37" s="1"/>
  <c r="Z769" i="37"/>
  <c r="AN767" i="37"/>
  <c r="AL767" i="37"/>
  <c r="X770" i="37"/>
  <c r="V770" i="37"/>
  <c r="AE770" i="37"/>
  <c r="AO771" i="37" s="1"/>
  <c r="W771" i="37"/>
  <c r="AH769" i="37"/>
  <c r="AG769" i="37"/>
  <c r="AI769" i="37" s="1"/>
  <c r="AJ769" i="37" s="1"/>
  <c r="AF769" i="37"/>
  <c r="Y769" i="37"/>
  <c r="AA769" i="37"/>
  <c r="AB769" i="37" s="1"/>
  <c r="AC769" i="37" s="1"/>
  <c r="Z770" i="37" l="1"/>
  <c r="AN768" i="37"/>
  <c r="AL768" i="37"/>
  <c r="AK769" i="37"/>
  <c r="X771" i="37"/>
  <c r="V771" i="37"/>
  <c r="AE771" i="37"/>
  <c r="AO772" i="37" s="1"/>
  <c r="W772" i="37"/>
  <c r="AH770" i="37"/>
  <c r="AG770" i="37"/>
  <c r="AF770" i="37"/>
  <c r="AD769" i="37"/>
  <c r="Y770" i="37"/>
  <c r="AA770" i="37"/>
  <c r="AB770" i="37" l="1"/>
  <c r="AC770" i="37" s="1"/>
  <c r="AD770" i="37" s="1"/>
  <c r="AI770" i="37"/>
  <c r="AJ770" i="37" s="1"/>
  <c r="AK770" i="37" s="1"/>
  <c r="Z771" i="37"/>
  <c r="AN769" i="37"/>
  <c r="AL769" i="37"/>
  <c r="AH771" i="37"/>
  <c r="AG771" i="37"/>
  <c r="AF771" i="37"/>
  <c r="X772" i="37"/>
  <c r="V772" i="37"/>
  <c r="AE772" i="37"/>
  <c r="AO773" i="37" s="1"/>
  <c r="W773" i="37"/>
  <c r="Y771" i="37"/>
  <c r="AA771" i="37"/>
  <c r="AI771" i="37" l="1"/>
  <c r="AJ771" i="37" s="1"/>
  <c r="AK771" i="37" s="1"/>
  <c r="AB771" i="37"/>
  <c r="AC771" i="37" s="1"/>
  <c r="AD771" i="37" s="1"/>
  <c r="AN770" i="37"/>
  <c r="AL770" i="37"/>
  <c r="Z772" i="37"/>
  <c r="AH772" i="37"/>
  <c r="AG772" i="37"/>
  <c r="AI772" i="37" s="1"/>
  <c r="AJ772" i="37" s="1"/>
  <c r="AF772" i="37"/>
  <c r="Y772" i="37"/>
  <c r="AA772" i="37"/>
  <c r="X773" i="37"/>
  <c r="V773" i="37"/>
  <c r="AE773" i="37"/>
  <c r="AO774" i="37" s="1"/>
  <c r="W774" i="37"/>
  <c r="AN771" i="37" l="1"/>
  <c r="AL771" i="37"/>
  <c r="AB772" i="37"/>
  <c r="AC772" i="37" s="1"/>
  <c r="AD772" i="37" s="1"/>
  <c r="AK772" i="37"/>
  <c r="Y773" i="37"/>
  <c r="AA773" i="37"/>
  <c r="X774" i="37"/>
  <c r="V774" i="37"/>
  <c r="AE774" i="37"/>
  <c r="AO775" i="37" s="1"/>
  <c r="W775" i="37"/>
  <c r="AH773" i="37"/>
  <c r="AG773" i="37"/>
  <c r="AI773" i="37" s="1"/>
  <c r="AJ773" i="37" s="1"/>
  <c r="AF773" i="37"/>
  <c r="Z773" i="37"/>
  <c r="AB773" i="37" s="1"/>
  <c r="AC773" i="37" s="1"/>
  <c r="Z774" i="37" l="1"/>
  <c r="AN772" i="37"/>
  <c r="AL772" i="37"/>
  <c r="X775" i="37"/>
  <c r="V775" i="37"/>
  <c r="Z775" i="37" s="1"/>
  <c r="AE775" i="37"/>
  <c r="AO776" i="37" s="1"/>
  <c r="W776" i="37"/>
  <c r="AH774" i="37"/>
  <c r="AG774" i="37"/>
  <c r="AF774" i="37"/>
  <c r="Y774" i="37"/>
  <c r="AA774" i="37"/>
  <c r="AB774" i="37" s="1"/>
  <c r="AC774" i="37" s="1"/>
  <c r="AK773" i="37"/>
  <c r="AD773" i="37"/>
  <c r="AI774" i="37" l="1"/>
  <c r="AJ774" i="37" s="1"/>
  <c r="AK774" i="37" s="1"/>
  <c r="AN773" i="37"/>
  <c r="AL773" i="37"/>
  <c r="X776" i="37"/>
  <c r="V776" i="37"/>
  <c r="AE776" i="37"/>
  <c r="AO777" i="37" s="1"/>
  <c r="W777" i="37"/>
  <c r="AH775" i="37"/>
  <c r="AG775" i="37"/>
  <c r="AF775" i="37"/>
  <c r="Y775" i="37"/>
  <c r="AA775" i="37"/>
  <c r="AB775" i="37" s="1"/>
  <c r="AC775" i="37" s="1"/>
  <c r="AD774" i="37"/>
  <c r="AI775" i="37" l="1"/>
  <c r="AJ775" i="37" s="1"/>
  <c r="AK775" i="37" s="1"/>
  <c r="AN774" i="37"/>
  <c r="AL774" i="37"/>
  <c r="AH776" i="37"/>
  <c r="AG776" i="37"/>
  <c r="AI776" i="37" s="1"/>
  <c r="AJ776" i="37" s="1"/>
  <c r="AF776" i="37"/>
  <c r="Y776" i="37"/>
  <c r="AA776" i="37"/>
  <c r="X777" i="37"/>
  <c r="V777" i="37"/>
  <c r="AE777" i="37"/>
  <c r="AO778" i="37" s="1"/>
  <c r="W778" i="37"/>
  <c r="Z776" i="37"/>
  <c r="AD775" i="37"/>
  <c r="AN775" i="37" l="1"/>
  <c r="AL775" i="37"/>
  <c r="AK776" i="37"/>
  <c r="Y777" i="37"/>
  <c r="AA777" i="37"/>
  <c r="Z777" i="37"/>
  <c r="AB777" i="37" s="1"/>
  <c r="AC777" i="37" s="1"/>
  <c r="AB776" i="37"/>
  <c r="AC776" i="37" s="1"/>
  <c r="AD776" i="37" s="1"/>
  <c r="X778" i="37"/>
  <c r="V778" i="37"/>
  <c r="AE778" i="37"/>
  <c r="AO779" i="37" s="1"/>
  <c r="W779" i="37"/>
  <c r="AH777" i="37"/>
  <c r="AG777" i="37"/>
  <c r="AI777" i="37" s="1"/>
  <c r="AJ777" i="37" s="1"/>
  <c r="AF777" i="37"/>
  <c r="AN776" i="37" l="1"/>
  <c r="AL776" i="37"/>
  <c r="Z778" i="37"/>
  <c r="AH778" i="37"/>
  <c r="AG778" i="37"/>
  <c r="AI778" i="37" s="1"/>
  <c r="AJ778" i="37" s="1"/>
  <c r="AF778" i="37"/>
  <c r="Y778" i="37"/>
  <c r="AA778" i="37"/>
  <c r="AB778" i="37" s="1"/>
  <c r="AC778" i="37" s="1"/>
  <c r="AK777" i="37"/>
  <c r="X779" i="37"/>
  <c r="V779" i="37"/>
  <c r="AE779" i="37"/>
  <c r="AO780" i="37" s="1"/>
  <c r="W780" i="37"/>
  <c r="AD777" i="37"/>
  <c r="AL777" i="37" l="1"/>
  <c r="AN777" i="37"/>
  <c r="AK778" i="37"/>
  <c r="AH779" i="37"/>
  <c r="AG779" i="37"/>
  <c r="AI779" i="37" s="1"/>
  <c r="AJ779" i="37" s="1"/>
  <c r="AF779" i="37"/>
  <c r="Y779" i="37"/>
  <c r="AA779" i="37"/>
  <c r="AD778" i="37"/>
  <c r="X780" i="37"/>
  <c r="V780" i="37"/>
  <c r="AE780" i="37"/>
  <c r="AO781" i="37" s="1"/>
  <c r="W781" i="37"/>
  <c r="Z779" i="37"/>
  <c r="AN778" i="37" l="1"/>
  <c r="AL778" i="37"/>
  <c r="AK779" i="37"/>
  <c r="Z780" i="37"/>
  <c r="X781" i="37"/>
  <c r="W782" i="37"/>
  <c r="V781" i="37"/>
  <c r="Z781" i="37" s="1"/>
  <c r="AE781" i="37"/>
  <c r="AO782" i="37" s="1"/>
  <c r="Y780" i="37"/>
  <c r="AA780" i="37"/>
  <c r="AB779" i="37"/>
  <c r="AC779" i="37" s="1"/>
  <c r="AD779" i="37" s="1"/>
  <c r="AH780" i="37"/>
  <c r="AG780" i="37"/>
  <c r="AI780" i="37" s="1"/>
  <c r="AJ780" i="37" s="1"/>
  <c r="AF780" i="37"/>
  <c r="AK780" i="37" l="1"/>
  <c r="AN779" i="37"/>
  <c r="AL779" i="37"/>
  <c r="X782" i="37"/>
  <c r="W783" i="37"/>
  <c r="AE782" i="37"/>
  <c r="AO783" i="37" s="1"/>
  <c r="V782" i="37"/>
  <c r="Z782" i="37" s="1"/>
  <c r="Y781" i="37"/>
  <c r="AA781" i="37"/>
  <c r="AB781" i="37" s="1"/>
  <c r="AC781" i="37" s="1"/>
  <c r="AH781" i="37"/>
  <c r="AG781" i="37"/>
  <c r="AI781" i="37" s="1"/>
  <c r="AJ781" i="37" s="1"/>
  <c r="AF781" i="37"/>
  <c r="AB780" i="37"/>
  <c r="AC780" i="37" s="1"/>
  <c r="AD780" i="37" s="1"/>
  <c r="AN780" i="37" l="1"/>
  <c r="AL780" i="37"/>
  <c r="AK781" i="37"/>
  <c r="Y782" i="37"/>
  <c r="AA782" i="37"/>
  <c r="AB782" i="37" s="1"/>
  <c r="AC782" i="37" s="1"/>
  <c r="AD781" i="37"/>
  <c r="AH782" i="37"/>
  <c r="AG782" i="37"/>
  <c r="AI782" i="37" s="1"/>
  <c r="AJ782" i="37" s="1"/>
  <c r="AF782" i="37"/>
  <c r="X783" i="37"/>
  <c r="W784" i="37"/>
  <c r="AE783" i="37"/>
  <c r="AO784" i="37" s="1"/>
  <c r="V783" i="37"/>
  <c r="AN781" i="37" l="1"/>
  <c r="AL781" i="37"/>
  <c r="Y783" i="37"/>
  <c r="AA783" i="37"/>
  <c r="AK782" i="37"/>
  <c r="Z783" i="37"/>
  <c r="AB783" i="37" s="1"/>
  <c r="AC783" i="37" s="1"/>
  <c r="AH783" i="37"/>
  <c r="AG783" i="37"/>
  <c r="AI783" i="37" s="1"/>
  <c r="AJ783" i="37" s="1"/>
  <c r="AF783" i="37"/>
  <c r="AD782" i="37"/>
  <c r="X784" i="37"/>
  <c r="W785" i="37"/>
  <c r="AE784" i="37"/>
  <c r="AO785" i="37" s="1"/>
  <c r="V784" i="37"/>
  <c r="Z784" i="37" s="1"/>
  <c r="AN782" i="37" l="1"/>
  <c r="AL782" i="37"/>
  <c r="AK783" i="37"/>
  <c r="AH784" i="37"/>
  <c r="AG784" i="37"/>
  <c r="AF784" i="37"/>
  <c r="X785" i="37"/>
  <c r="W786" i="37"/>
  <c r="AE785" i="37"/>
  <c r="AO786" i="37" s="1"/>
  <c r="V785" i="37"/>
  <c r="AA784" i="37"/>
  <c r="AB784" i="37" s="1"/>
  <c r="AC784" i="37" s="1"/>
  <c r="Y784" i="37"/>
  <c r="AD783" i="37"/>
  <c r="AI784" i="37" l="1"/>
  <c r="AJ784" i="37" s="1"/>
  <c r="AK784" i="37" s="1"/>
  <c r="AN783" i="37"/>
  <c r="AL783" i="37"/>
  <c r="AH785" i="37"/>
  <c r="AG785" i="37"/>
  <c r="AI785" i="37" s="1"/>
  <c r="AJ785" i="37" s="1"/>
  <c r="AF785" i="37"/>
  <c r="X786" i="37"/>
  <c r="W787" i="37"/>
  <c r="AE786" i="37"/>
  <c r="AO787" i="37" s="1"/>
  <c r="V786" i="37"/>
  <c r="AA785" i="37"/>
  <c r="Y785" i="37"/>
  <c r="AD784" i="37"/>
  <c r="Z785" i="37"/>
  <c r="Z786" i="37" l="1"/>
  <c r="AN784" i="37"/>
  <c r="AL784" i="37"/>
  <c r="AK785" i="37"/>
  <c r="AH786" i="37"/>
  <c r="AG786" i="37"/>
  <c r="AF786" i="37"/>
  <c r="X787" i="37"/>
  <c r="W788" i="37"/>
  <c r="AE787" i="37"/>
  <c r="AO788" i="37" s="1"/>
  <c r="V787" i="37"/>
  <c r="AA786" i="37"/>
  <c r="AB786" i="37" s="1"/>
  <c r="AC786" i="37" s="1"/>
  <c r="Y786" i="37"/>
  <c r="AB785" i="37"/>
  <c r="AC785" i="37" s="1"/>
  <c r="AD785" i="37" s="1"/>
  <c r="AI786" i="37" l="1"/>
  <c r="AJ786" i="37" s="1"/>
  <c r="AK786" i="37" s="1"/>
  <c r="Z787" i="37"/>
  <c r="AN785" i="37"/>
  <c r="AL785" i="37"/>
  <c r="AH787" i="37"/>
  <c r="AG787" i="37"/>
  <c r="AI787" i="37" s="1"/>
  <c r="AJ787" i="37" s="1"/>
  <c r="AF787" i="37"/>
  <c r="X788" i="37"/>
  <c r="W789" i="37"/>
  <c r="AE788" i="37"/>
  <c r="AO789" i="37" s="1"/>
  <c r="V788" i="37"/>
  <c r="AA787" i="37"/>
  <c r="AB787" i="37" s="1"/>
  <c r="AC787" i="37" s="1"/>
  <c r="Y787" i="37"/>
  <c r="AD786" i="37"/>
  <c r="Z788" i="37" l="1"/>
  <c r="AN786" i="37"/>
  <c r="AL786" i="37"/>
  <c r="AK787" i="37"/>
  <c r="X789" i="37"/>
  <c r="AE789" i="37"/>
  <c r="AO790" i="37" s="1"/>
  <c r="V789" i="37"/>
  <c r="Z789" i="37" s="1"/>
  <c r="W790" i="37"/>
  <c r="AH788" i="37"/>
  <c r="AG788" i="37"/>
  <c r="AI788" i="37" s="1"/>
  <c r="AJ788" i="37" s="1"/>
  <c r="AF788" i="37"/>
  <c r="AA788" i="37"/>
  <c r="AB788" i="37" s="1"/>
  <c r="AC788" i="37" s="1"/>
  <c r="Y788" i="37"/>
  <c r="AD787" i="37"/>
  <c r="AN787" i="37" l="1"/>
  <c r="AL787" i="37"/>
  <c r="AK788" i="37"/>
  <c r="AE790" i="37"/>
  <c r="AO791" i="37" s="1"/>
  <c r="V790" i="37"/>
  <c r="W791" i="37"/>
  <c r="X790" i="37"/>
  <c r="AB789" i="37"/>
  <c r="AC789" i="37" s="1"/>
  <c r="AD788" i="37"/>
  <c r="AG789" i="37"/>
  <c r="AH789" i="37"/>
  <c r="AF789" i="37"/>
  <c r="Y789" i="37"/>
  <c r="AA789" i="37"/>
  <c r="AI789" i="37" l="1"/>
  <c r="AJ789" i="37" s="1"/>
  <c r="AK789" i="37" s="1"/>
  <c r="AN788" i="37"/>
  <c r="AL788" i="37"/>
  <c r="Y790" i="37"/>
  <c r="AA790" i="37"/>
  <c r="X791" i="37"/>
  <c r="AE791" i="37"/>
  <c r="AO792" i="37" s="1"/>
  <c r="V791" i="37"/>
  <c r="Z791" i="37" s="1"/>
  <c r="W792" i="37"/>
  <c r="AD789" i="37"/>
  <c r="Z790" i="37"/>
  <c r="AG790" i="37"/>
  <c r="AH790" i="37"/>
  <c r="AF790" i="37"/>
  <c r="AB790" i="37" l="1"/>
  <c r="AC790" i="37" s="1"/>
  <c r="AD790" i="37" s="1"/>
  <c r="AN789" i="37"/>
  <c r="AL789" i="37"/>
  <c r="X792" i="37"/>
  <c r="AE792" i="37"/>
  <c r="AO793" i="37" s="1"/>
  <c r="V792" i="37"/>
  <c r="Z792" i="37" s="1"/>
  <c r="W793" i="37"/>
  <c r="AB791" i="37"/>
  <c r="AC791" i="37" s="1"/>
  <c r="AG791" i="37"/>
  <c r="AH791" i="37"/>
  <c r="AF791" i="37"/>
  <c r="Y791" i="37"/>
  <c r="AA791" i="37"/>
  <c r="AI790" i="37"/>
  <c r="AJ790" i="37" s="1"/>
  <c r="AK790" i="37" s="1"/>
  <c r="AN790" i="37" l="1"/>
  <c r="AL790" i="37"/>
  <c r="AI791" i="37"/>
  <c r="AJ791" i="37" s="1"/>
  <c r="AK791" i="37" s="1"/>
  <c r="X793" i="37"/>
  <c r="AE793" i="37"/>
  <c r="AO794" i="37" s="1"/>
  <c r="V793" i="37"/>
  <c r="Z793" i="37" s="1"/>
  <c r="W794" i="37"/>
  <c r="AB792" i="37"/>
  <c r="AC792" i="37" s="1"/>
  <c r="AD791" i="37"/>
  <c r="AG792" i="37"/>
  <c r="AH792" i="37"/>
  <c r="AF792" i="37"/>
  <c r="Y792" i="37"/>
  <c r="AA792" i="37"/>
  <c r="AI792" i="37" l="1"/>
  <c r="AJ792" i="37" s="1"/>
  <c r="AK792" i="37" s="1"/>
  <c r="AN791" i="37"/>
  <c r="AL791" i="37"/>
  <c r="AE794" i="37"/>
  <c r="AO795" i="37" s="1"/>
  <c r="V794" i="37"/>
  <c r="W795" i="37"/>
  <c r="X794" i="37"/>
  <c r="AD792" i="37"/>
  <c r="AG793" i="37"/>
  <c r="AH793" i="37"/>
  <c r="AF793" i="37"/>
  <c r="Y793" i="37"/>
  <c r="AA793" i="37"/>
  <c r="AB793" i="37" s="1"/>
  <c r="AC793" i="37" s="1"/>
  <c r="AI793" i="37" l="1"/>
  <c r="AJ793" i="37" s="1"/>
  <c r="AK793" i="37" s="1"/>
  <c r="AL792" i="37"/>
  <c r="AN792" i="37"/>
  <c r="Y794" i="37"/>
  <c r="AA794" i="37"/>
  <c r="AD793" i="37"/>
  <c r="X795" i="37"/>
  <c r="AE795" i="37"/>
  <c r="AO796" i="37" s="1"/>
  <c r="V795" i="37"/>
  <c r="W796" i="37"/>
  <c r="Z794" i="37"/>
  <c r="AG794" i="37"/>
  <c r="AH794" i="37"/>
  <c r="AF794" i="37"/>
  <c r="Z795" i="37" l="1"/>
  <c r="AN793" i="37"/>
  <c r="AL793" i="37"/>
  <c r="X796" i="37"/>
  <c r="AE796" i="37"/>
  <c r="AO797" i="37" s="1"/>
  <c r="V796" i="37"/>
  <c r="Z796" i="37" s="1"/>
  <c r="W797" i="37"/>
  <c r="AB795" i="37"/>
  <c r="AC795" i="37" s="1"/>
  <c r="AG795" i="37"/>
  <c r="AH795" i="37"/>
  <c r="AF795" i="37"/>
  <c r="Y795" i="37"/>
  <c r="AA795" i="37"/>
  <c r="AI794" i="37"/>
  <c r="AJ794" i="37" s="1"/>
  <c r="AK794" i="37" s="1"/>
  <c r="AB794" i="37"/>
  <c r="AC794" i="37" s="1"/>
  <c r="AD794" i="37" s="1"/>
  <c r="AN794" i="37" l="1"/>
  <c r="AL794" i="37"/>
  <c r="AI795" i="37"/>
  <c r="AJ795" i="37" s="1"/>
  <c r="AK795" i="37" s="1"/>
  <c r="X797" i="37"/>
  <c r="AE797" i="37"/>
  <c r="AO798" i="37" s="1"/>
  <c r="V797" i="37"/>
  <c r="Z797" i="37" s="1"/>
  <c r="W798" i="37"/>
  <c r="AB796" i="37"/>
  <c r="AC796" i="37" s="1"/>
  <c r="AD795" i="37"/>
  <c r="AG796" i="37"/>
  <c r="AH796" i="37"/>
  <c r="AF796" i="37"/>
  <c r="Y796" i="37"/>
  <c r="AA796" i="37"/>
  <c r="AI796" i="37" l="1"/>
  <c r="AJ796" i="37" s="1"/>
  <c r="AK796" i="37" s="1"/>
  <c r="AN795" i="37"/>
  <c r="AL795" i="37"/>
  <c r="AE798" i="37"/>
  <c r="AO799" i="37" s="1"/>
  <c r="V798" i="37"/>
  <c r="W799" i="37"/>
  <c r="X798" i="37"/>
  <c r="AD796" i="37"/>
  <c r="AG797" i="37"/>
  <c r="AH797" i="37"/>
  <c r="AF797" i="37"/>
  <c r="Y797" i="37"/>
  <c r="AA797" i="37"/>
  <c r="AB797" i="37" s="1"/>
  <c r="AC797" i="37" s="1"/>
  <c r="AI797" i="37" l="1"/>
  <c r="AJ797" i="37" s="1"/>
  <c r="AK797" i="37" s="1"/>
  <c r="AL796" i="37"/>
  <c r="AN796" i="37"/>
  <c r="Y798" i="37"/>
  <c r="AA798" i="37"/>
  <c r="AD797" i="37"/>
  <c r="X799" i="37"/>
  <c r="AE799" i="37"/>
  <c r="AO800" i="37" s="1"/>
  <c r="V799" i="37"/>
  <c r="W800" i="37"/>
  <c r="Z798" i="37"/>
  <c r="AG798" i="37"/>
  <c r="AH798" i="37"/>
  <c r="AF798" i="37"/>
  <c r="Z799" i="37" l="1"/>
  <c r="AN797" i="37"/>
  <c r="AL797" i="37"/>
  <c r="X800" i="37"/>
  <c r="AE800" i="37"/>
  <c r="AO801" i="37" s="1"/>
  <c r="V800" i="37"/>
  <c r="Z800" i="37" s="1"/>
  <c r="W801" i="37"/>
  <c r="AB799" i="37"/>
  <c r="AC799" i="37" s="1"/>
  <c r="AG799" i="37"/>
  <c r="AH799" i="37"/>
  <c r="AF799" i="37"/>
  <c r="Y799" i="37"/>
  <c r="AA799" i="37"/>
  <c r="AI798" i="37"/>
  <c r="AJ798" i="37" s="1"/>
  <c r="AK798" i="37" s="1"/>
  <c r="AB798" i="37"/>
  <c r="AC798" i="37" s="1"/>
  <c r="AD798" i="37" s="1"/>
  <c r="AN798" i="37" l="1"/>
  <c r="AL798" i="37"/>
  <c r="AI799" i="37"/>
  <c r="AJ799" i="37" s="1"/>
  <c r="AK799" i="37" s="1"/>
  <c r="X801" i="37"/>
  <c r="AE801" i="37"/>
  <c r="AO802" i="37" s="1"/>
  <c r="V801" i="37"/>
  <c r="Z801" i="37" s="1"/>
  <c r="W802" i="37"/>
  <c r="AB800" i="37"/>
  <c r="AC800" i="37" s="1"/>
  <c r="AD799" i="37"/>
  <c r="AG800" i="37"/>
  <c r="AH800" i="37"/>
  <c r="AF800" i="37"/>
  <c r="Y800" i="37"/>
  <c r="AA800" i="37"/>
  <c r="AI800" i="37" l="1"/>
  <c r="AJ800" i="37" s="1"/>
  <c r="AK800" i="37" s="1"/>
  <c r="AN799" i="37"/>
  <c r="AL799" i="37"/>
  <c r="AE802" i="37"/>
  <c r="AO803" i="37" s="1"/>
  <c r="V802" i="37"/>
  <c r="W803" i="37"/>
  <c r="X802" i="37"/>
  <c r="AD800" i="37"/>
  <c r="AG801" i="37"/>
  <c r="AH801" i="37"/>
  <c r="AF801" i="37"/>
  <c r="Y801" i="37"/>
  <c r="AA801" i="37"/>
  <c r="AB801" i="37" s="1"/>
  <c r="AC801" i="37" s="1"/>
  <c r="AI801" i="37" l="1"/>
  <c r="AJ801" i="37" s="1"/>
  <c r="AK801" i="37" s="1"/>
  <c r="AL800" i="37"/>
  <c r="AN800" i="37"/>
  <c r="Y802" i="37"/>
  <c r="AA802" i="37"/>
  <c r="AD801" i="37"/>
  <c r="X803" i="37"/>
  <c r="AE803" i="37"/>
  <c r="AO804" i="37" s="1"/>
  <c r="V803" i="37"/>
  <c r="W804" i="37"/>
  <c r="Z802" i="37"/>
  <c r="AG802" i="37"/>
  <c r="AH802" i="37"/>
  <c r="AF802" i="37"/>
  <c r="Z803" i="37" l="1"/>
  <c r="AN801" i="37"/>
  <c r="AL801" i="37"/>
  <c r="X804" i="37"/>
  <c r="AE804" i="37"/>
  <c r="AO805" i="37" s="1"/>
  <c r="V804" i="37"/>
  <c r="W805" i="37"/>
  <c r="AB803" i="37"/>
  <c r="AC803" i="37" s="1"/>
  <c r="AG803" i="37"/>
  <c r="AH803" i="37"/>
  <c r="AF803" i="37"/>
  <c r="Y803" i="37"/>
  <c r="AA803" i="37"/>
  <c r="AI802" i="37"/>
  <c r="AJ802" i="37" s="1"/>
  <c r="AK802" i="37" s="1"/>
  <c r="AB802" i="37"/>
  <c r="AC802" i="37" s="1"/>
  <c r="AD802" i="37" s="1"/>
  <c r="Z804" i="37" l="1"/>
  <c r="AN802" i="37"/>
  <c r="AL802" i="37"/>
  <c r="AI803" i="37"/>
  <c r="AJ803" i="37" s="1"/>
  <c r="AK803" i="37" s="1"/>
  <c r="X805" i="37"/>
  <c r="AE805" i="37"/>
  <c r="AO806" i="37" s="1"/>
  <c r="V805" i="37"/>
  <c r="Z805" i="37" s="1"/>
  <c r="W806" i="37"/>
  <c r="AD803" i="37"/>
  <c r="AG804" i="37"/>
  <c r="AH804" i="37"/>
  <c r="AF804" i="37"/>
  <c r="Y804" i="37"/>
  <c r="AA804" i="37"/>
  <c r="AB804" i="37" s="1"/>
  <c r="AC804" i="37" s="1"/>
  <c r="AI804" i="37" l="1"/>
  <c r="AJ804" i="37" s="1"/>
  <c r="AK804" i="37" s="1"/>
  <c r="AN803" i="37"/>
  <c r="AL803" i="37"/>
  <c r="AE806" i="37"/>
  <c r="AO807" i="37" s="1"/>
  <c r="V806" i="37"/>
  <c r="W807" i="37"/>
  <c r="X806" i="37"/>
  <c r="AD804" i="37"/>
  <c r="AG805" i="37"/>
  <c r="AH805" i="37"/>
  <c r="AF805" i="37"/>
  <c r="Y805" i="37"/>
  <c r="AA805" i="37"/>
  <c r="AB805" i="37" s="1"/>
  <c r="AC805" i="37" s="1"/>
  <c r="AL804" i="37" l="1"/>
  <c r="AN804" i="37"/>
  <c r="AI805" i="37"/>
  <c r="AJ805" i="37" s="1"/>
  <c r="AK805" i="37" s="1"/>
  <c r="Y806" i="37"/>
  <c r="AA806" i="37"/>
  <c r="AD805" i="37"/>
  <c r="X807" i="37"/>
  <c r="AE807" i="37"/>
  <c r="AO808" i="37" s="1"/>
  <c r="V807" i="37"/>
  <c r="W808" i="37"/>
  <c r="Z806" i="37"/>
  <c r="AG806" i="37"/>
  <c r="AH806" i="37"/>
  <c r="AF806" i="37"/>
  <c r="Z807" i="37" l="1"/>
  <c r="AL805" i="37"/>
  <c r="AN805" i="37"/>
  <c r="X808" i="37"/>
  <c r="AE808" i="37"/>
  <c r="AO809" i="37" s="1"/>
  <c r="V808" i="37"/>
  <c r="Z808" i="37" s="1"/>
  <c r="W809" i="37"/>
  <c r="AB807" i="37"/>
  <c r="AC807" i="37" s="1"/>
  <c r="AG807" i="37"/>
  <c r="AH807" i="37"/>
  <c r="AF807" i="37"/>
  <c r="Y807" i="37"/>
  <c r="AA807" i="37"/>
  <c r="AI806" i="37"/>
  <c r="AJ806" i="37" s="1"/>
  <c r="AK806" i="37" s="1"/>
  <c r="AB806" i="37"/>
  <c r="AC806" i="37" s="1"/>
  <c r="AD806" i="37" s="1"/>
  <c r="AN806" i="37" l="1"/>
  <c r="AL806" i="37"/>
  <c r="AI807" i="37"/>
  <c r="AJ807" i="37" s="1"/>
  <c r="AK807" i="37" s="1"/>
  <c r="X809" i="37"/>
  <c r="AE809" i="37"/>
  <c r="AO810" i="37" s="1"/>
  <c r="V809" i="37"/>
  <c r="W810" i="37"/>
  <c r="AB808" i="37"/>
  <c r="AC808" i="37" s="1"/>
  <c r="AD807" i="37"/>
  <c r="AG808" i="37"/>
  <c r="AH808" i="37"/>
  <c r="AF808" i="37"/>
  <c r="Y808" i="37"/>
  <c r="AA808" i="37"/>
  <c r="AI808" i="37" l="1"/>
  <c r="AJ808" i="37" s="1"/>
  <c r="AK808" i="37" s="1"/>
  <c r="Z809" i="37"/>
  <c r="AN807" i="37"/>
  <c r="AL807" i="37"/>
  <c r="AE810" i="37"/>
  <c r="AO811" i="37" s="1"/>
  <c r="V810" i="37"/>
  <c r="W811" i="37"/>
  <c r="X810" i="37"/>
  <c r="AD808" i="37"/>
  <c r="AG809" i="37"/>
  <c r="AH809" i="37"/>
  <c r="AF809" i="37"/>
  <c r="Y809" i="37"/>
  <c r="AA809" i="37"/>
  <c r="AB809" i="37" s="1"/>
  <c r="AC809" i="37" s="1"/>
  <c r="AI809" i="37" l="1"/>
  <c r="AJ809" i="37" s="1"/>
  <c r="AK809" i="37" s="1"/>
  <c r="AL808" i="37"/>
  <c r="AN808" i="37"/>
  <c r="Y810" i="37"/>
  <c r="AA810" i="37"/>
  <c r="AD809" i="37"/>
  <c r="X811" i="37"/>
  <c r="AE811" i="37"/>
  <c r="AO812" i="37" s="1"/>
  <c r="V811" i="37"/>
  <c r="W812" i="37"/>
  <c r="Z810" i="37"/>
  <c r="AG810" i="37"/>
  <c r="AH810" i="37"/>
  <c r="AF810" i="37"/>
  <c r="Z811" i="37" l="1"/>
  <c r="AN809" i="37"/>
  <c r="AL809" i="37"/>
  <c r="X812" i="37"/>
  <c r="AE812" i="37"/>
  <c r="AO813" i="37" s="1"/>
  <c r="V812" i="37"/>
  <c r="W813" i="37"/>
  <c r="AB811" i="37"/>
  <c r="AC811" i="37" s="1"/>
  <c r="AG811" i="37"/>
  <c r="AH811" i="37"/>
  <c r="AF811" i="37"/>
  <c r="Y811" i="37"/>
  <c r="AA811" i="37"/>
  <c r="AI810" i="37"/>
  <c r="AJ810" i="37" s="1"/>
  <c r="AK810" i="37" s="1"/>
  <c r="AB810" i="37"/>
  <c r="AC810" i="37" s="1"/>
  <c r="AD810" i="37" s="1"/>
  <c r="Z812" i="37" l="1"/>
  <c r="AN810" i="37"/>
  <c r="AL810" i="37"/>
  <c r="AI811" i="37"/>
  <c r="AJ811" i="37" s="1"/>
  <c r="AK811" i="37" s="1"/>
  <c r="X813" i="37"/>
  <c r="AE813" i="37"/>
  <c r="AO814" i="37" s="1"/>
  <c r="V813" i="37"/>
  <c r="Z813" i="37" s="1"/>
  <c r="W814" i="37"/>
  <c r="AD811" i="37"/>
  <c r="AG812" i="37"/>
  <c r="AH812" i="37"/>
  <c r="AF812" i="37"/>
  <c r="Y812" i="37"/>
  <c r="AA812" i="37"/>
  <c r="AB812" i="37" s="1"/>
  <c r="AC812" i="37" s="1"/>
  <c r="AI812" i="37" l="1"/>
  <c r="AJ812" i="37" s="1"/>
  <c r="AK812" i="37" s="1"/>
  <c r="AN811" i="37"/>
  <c r="AL811" i="37"/>
  <c r="AE814" i="37"/>
  <c r="AO815" i="37" s="1"/>
  <c r="V814" i="37"/>
  <c r="W815" i="37"/>
  <c r="X814" i="37"/>
  <c r="AD812" i="37"/>
  <c r="AG813" i="37"/>
  <c r="AH813" i="37"/>
  <c r="AF813" i="37"/>
  <c r="Y813" i="37"/>
  <c r="AA813" i="37"/>
  <c r="AB813" i="37" s="1"/>
  <c r="AC813" i="37" s="1"/>
  <c r="AI813" i="37" l="1"/>
  <c r="AJ813" i="37" s="1"/>
  <c r="AK813" i="37" s="1"/>
  <c r="AL812" i="37"/>
  <c r="AN812" i="37"/>
  <c r="Y814" i="37"/>
  <c r="AA814" i="37"/>
  <c r="AD813" i="37"/>
  <c r="X815" i="37"/>
  <c r="AE815" i="37"/>
  <c r="AO816" i="37" s="1"/>
  <c r="V815" i="37"/>
  <c r="W816" i="37"/>
  <c r="Z814" i="37"/>
  <c r="AG814" i="37"/>
  <c r="AH814" i="37"/>
  <c r="AF814" i="37"/>
  <c r="Z815" i="37" l="1"/>
  <c r="AN813" i="37"/>
  <c r="AL813" i="37"/>
  <c r="X816" i="37"/>
  <c r="AE816" i="37"/>
  <c r="AO817" i="37" s="1"/>
  <c r="V816" i="37"/>
  <c r="Z816" i="37" s="1"/>
  <c r="W817" i="37"/>
  <c r="AB815" i="37"/>
  <c r="AC815" i="37" s="1"/>
  <c r="AG815" i="37"/>
  <c r="AH815" i="37"/>
  <c r="AF815" i="37"/>
  <c r="Y815" i="37"/>
  <c r="AA815" i="37"/>
  <c r="AI814" i="37"/>
  <c r="AJ814" i="37" s="1"/>
  <c r="AK814" i="37" s="1"/>
  <c r="AB814" i="37"/>
  <c r="AC814" i="37" s="1"/>
  <c r="AD814" i="37" s="1"/>
  <c r="AN814" i="37" l="1"/>
  <c r="AL814" i="37"/>
  <c r="AI815" i="37"/>
  <c r="AJ815" i="37" s="1"/>
  <c r="AK815" i="37" s="1"/>
  <c r="X817" i="37"/>
  <c r="AE817" i="37"/>
  <c r="AO818" i="37" s="1"/>
  <c r="V817" i="37"/>
  <c r="W818" i="37"/>
  <c r="AB816" i="37"/>
  <c r="AC816" i="37" s="1"/>
  <c r="AD815" i="37"/>
  <c r="AG816" i="37"/>
  <c r="AH816" i="37"/>
  <c r="AF816" i="37"/>
  <c r="Y816" i="37"/>
  <c r="AA816" i="37"/>
  <c r="Z817" i="37" l="1"/>
  <c r="AI816" i="37"/>
  <c r="AJ816" i="37" s="1"/>
  <c r="AK816" i="37" s="1"/>
  <c r="AN815" i="37"/>
  <c r="AL815" i="37"/>
  <c r="AD816" i="37"/>
  <c r="AE818" i="37"/>
  <c r="AO819" i="37" s="1"/>
  <c r="V818" i="37"/>
  <c r="W819" i="37"/>
  <c r="X818" i="37"/>
  <c r="AG817" i="37"/>
  <c r="AH817" i="37"/>
  <c r="AF817" i="37"/>
  <c r="Y817" i="37"/>
  <c r="AA817" i="37"/>
  <c r="AB817" i="37" s="1"/>
  <c r="AC817" i="37" s="1"/>
  <c r="AL816" i="37" l="1"/>
  <c r="AN816" i="37"/>
  <c r="AI817" i="37"/>
  <c r="AJ817" i="37" s="1"/>
  <c r="AK817" i="37" s="1"/>
  <c r="Y818" i="37"/>
  <c r="AA818" i="37"/>
  <c r="X819" i="37"/>
  <c r="AE819" i="37"/>
  <c r="AO820" i="37" s="1"/>
  <c r="V819" i="37"/>
  <c r="W820" i="37"/>
  <c r="AD817" i="37"/>
  <c r="Z818" i="37"/>
  <c r="AG818" i="37"/>
  <c r="AH818" i="37"/>
  <c r="AF818" i="37"/>
  <c r="AL817" i="37" l="1"/>
  <c r="AN817" i="37"/>
  <c r="Z819" i="37"/>
  <c r="AG819" i="37"/>
  <c r="AH819" i="37"/>
  <c r="AF819" i="37"/>
  <c r="W821" i="37"/>
  <c r="X820" i="37"/>
  <c r="AE820" i="37"/>
  <c r="AO821" i="37" s="1"/>
  <c r="V820" i="37"/>
  <c r="Y819" i="37"/>
  <c r="AA819" i="37"/>
  <c r="AB819" i="37" s="1"/>
  <c r="AC819" i="37" s="1"/>
  <c r="AI818" i="37"/>
  <c r="AJ818" i="37" s="1"/>
  <c r="AK818" i="37" s="1"/>
  <c r="AB818" i="37"/>
  <c r="AC818" i="37" s="1"/>
  <c r="AD818" i="37" s="1"/>
  <c r="AL818" i="37" l="1"/>
  <c r="AN818" i="37"/>
  <c r="W822" i="37"/>
  <c r="AE821" i="37"/>
  <c r="AO822" i="37" s="1"/>
  <c r="X821" i="37"/>
  <c r="V821" i="37"/>
  <c r="Z821" i="37" s="1"/>
  <c r="AG820" i="37"/>
  <c r="AH820" i="37"/>
  <c r="AF820" i="37"/>
  <c r="Y820" i="37"/>
  <c r="AA820" i="37"/>
  <c r="AD819" i="37"/>
  <c r="Z820" i="37"/>
  <c r="AB820" i="37" s="1"/>
  <c r="AC820" i="37" s="1"/>
  <c r="AI819" i="37"/>
  <c r="AJ819" i="37" s="1"/>
  <c r="AK819" i="37" s="1"/>
  <c r="AI820" i="37" l="1"/>
  <c r="AJ820" i="37" s="1"/>
  <c r="AK820" i="37" s="1"/>
  <c r="AL819" i="37"/>
  <c r="AN819" i="37"/>
  <c r="AD820" i="37"/>
  <c r="Y821" i="37"/>
  <c r="AA821" i="37"/>
  <c r="AB821" i="37" s="1"/>
  <c r="AC821" i="37" s="1"/>
  <c r="AG821" i="37"/>
  <c r="AH821" i="37"/>
  <c r="AF821" i="37"/>
  <c r="W823" i="37"/>
  <c r="AE822" i="37"/>
  <c r="AO823" i="37" s="1"/>
  <c r="X822" i="37"/>
  <c r="V822" i="37"/>
  <c r="Z822" i="37" l="1"/>
  <c r="AL820" i="37"/>
  <c r="AN820" i="37"/>
  <c r="W824" i="37"/>
  <c r="AE823" i="37"/>
  <c r="AO824" i="37" s="1"/>
  <c r="X823" i="37"/>
  <c r="V823" i="37"/>
  <c r="Z823" i="37" s="1"/>
  <c r="AI821" i="37"/>
  <c r="AJ821" i="37" s="1"/>
  <c r="AK821" i="37" s="1"/>
  <c r="AD821" i="37"/>
  <c r="Y822" i="37"/>
  <c r="AA822" i="37"/>
  <c r="AB822" i="37" s="1"/>
  <c r="AC822" i="37" s="1"/>
  <c r="AG822" i="37"/>
  <c r="AH822" i="37"/>
  <c r="AF822" i="37"/>
  <c r="AN821" i="37" l="1"/>
  <c r="AL821" i="37"/>
  <c r="AI822" i="37"/>
  <c r="AJ822" i="37" s="1"/>
  <c r="AK822" i="37" s="1"/>
  <c r="Y823" i="37"/>
  <c r="AA823" i="37"/>
  <c r="AB823" i="37" s="1"/>
  <c r="AC823" i="37" s="1"/>
  <c r="AG823" i="37"/>
  <c r="AH823" i="37"/>
  <c r="AF823" i="37"/>
  <c r="AD822" i="37"/>
  <c r="W825" i="37"/>
  <c r="AE824" i="37"/>
  <c r="AO825" i="37" s="1"/>
  <c r="X824" i="37"/>
  <c r="V824" i="37"/>
  <c r="AN822" i="37" l="1"/>
  <c r="AL822" i="37"/>
  <c r="Z824" i="37"/>
  <c r="AD823" i="37"/>
  <c r="AI823" i="37"/>
  <c r="AJ823" i="37" s="1"/>
  <c r="AK823" i="37" s="1"/>
  <c r="Y824" i="37"/>
  <c r="AA824" i="37"/>
  <c r="AB824" i="37" s="1"/>
  <c r="AC824" i="37" s="1"/>
  <c r="AG824" i="37"/>
  <c r="AF824" i="37"/>
  <c r="AH824" i="37"/>
  <c r="X825" i="37"/>
  <c r="W826" i="37"/>
  <c r="AE825" i="37"/>
  <c r="AO826" i="37" s="1"/>
  <c r="V825" i="37"/>
  <c r="AL823" i="37" l="1"/>
  <c r="AN823" i="37"/>
  <c r="AI824" i="37"/>
  <c r="AJ824" i="37" s="1"/>
  <c r="AK824" i="37" s="1"/>
  <c r="Z825" i="37"/>
  <c r="AG825" i="37"/>
  <c r="AF825" i="37"/>
  <c r="AH825" i="37"/>
  <c r="AD824" i="37"/>
  <c r="X826" i="37"/>
  <c r="W827" i="37"/>
  <c r="AE826" i="37"/>
  <c r="AO827" i="37" s="1"/>
  <c r="V826" i="37"/>
  <c r="Y825" i="37"/>
  <c r="AA825" i="37"/>
  <c r="AB825" i="37" s="1"/>
  <c r="AC825" i="37" s="1"/>
  <c r="AN824" i="37" l="1"/>
  <c r="AL824" i="37"/>
  <c r="X827" i="37"/>
  <c r="W828" i="37"/>
  <c r="AE827" i="37"/>
  <c r="AO828" i="37" s="1"/>
  <c r="V827" i="37"/>
  <c r="Z827" i="37" s="1"/>
  <c r="Y826" i="37"/>
  <c r="AA826" i="37"/>
  <c r="AD825" i="37"/>
  <c r="Z826" i="37"/>
  <c r="AI825" i="37"/>
  <c r="AJ825" i="37" s="1"/>
  <c r="AK825" i="37" s="1"/>
  <c r="AG826" i="37"/>
  <c r="AF826" i="37"/>
  <c r="AH826" i="37"/>
  <c r="AL825" i="37" l="1"/>
  <c r="AN825" i="37"/>
  <c r="AG827" i="37"/>
  <c r="AF827" i="37"/>
  <c r="AH827" i="37"/>
  <c r="AB827" i="37"/>
  <c r="AC827" i="37" s="1"/>
  <c r="AI826" i="37"/>
  <c r="AJ826" i="37" s="1"/>
  <c r="AK826" i="37" s="1"/>
  <c r="X828" i="37"/>
  <c r="W829" i="37"/>
  <c r="AE828" i="37"/>
  <c r="AO829" i="37" s="1"/>
  <c r="V828" i="37"/>
  <c r="AB826" i="37"/>
  <c r="AC826" i="37" s="1"/>
  <c r="AD826" i="37" s="1"/>
  <c r="AA827" i="37"/>
  <c r="Y827" i="37"/>
  <c r="AL826" i="37" l="1"/>
  <c r="AN826" i="37"/>
  <c r="AA828" i="37"/>
  <c r="Y828" i="37"/>
  <c r="AD827" i="37"/>
  <c r="Z828" i="37"/>
  <c r="AB828" i="37" s="1"/>
  <c r="AC828" i="37" s="1"/>
  <c r="AG828" i="37"/>
  <c r="AF828" i="37"/>
  <c r="AH828" i="37"/>
  <c r="AI827" i="37"/>
  <c r="AJ827" i="37" s="1"/>
  <c r="AK827" i="37" s="1"/>
  <c r="X829" i="37"/>
  <c r="W830" i="37"/>
  <c r="AE829" i="37"/>
  <c r="AO830" i="37" s="1"/>
  <c r="V829" i="37"/>
  <c r="Z829" i="37" s="1"/>
  <c r="AL827" i="37" l="1"/>
  <c r="AN827" i="37"/>
  <c r="AI828" i="37"/>
  <c r="AJ828" i="37" s="1"/>
  <c r="AK828" i="37" s="1"/>
  <c r="AA829" i="37"/>
  <c r="Y829" i="37"/>
  <c r="AB829" i="37"/>
  <c r="AC829" i="37" s="1"/>
  <c r="AH829" i="37"/>
  <c r="AG829" i="37"/>
  <c r="AI829" i="37" s="1"/>
  <c r="AJ829" i="37" s="1"/>
  <c r="AF829" i="37"/>
  <c r="X830" i="37"/>
  <c r="W831" i="37"/>
  <c r="AE830" i="37"/>
  <c r="AO831" i="37" s="1"/>
  <c r="V830" i="37"/>
  <c r="Z830" i="37" s="1"/>
  <c r="AD828" i="37"/>
  <c r="AN828" i="37" l="1"/>
  <c r="AL828" i="37"/>
  <c r="AK829" i="37"/>
  <c r="AH830" i="37"/>
  <c r="AG830" i="37"/>
  <c r="AI830" i="37" s="1"/>
  <c r="AJ830" i="37" s="1"/>
  <c r="AF830" i="37"/>
  <c r="AD829" i="37"/>
  <c r="X831" i="37"/>
  <c r="W832" i="37"/>
  <c r="AE831" i="37"/>
  <c r="AO832" i="37" s="1"/>
  <c r="V831" i="37"/>
  <c r="AA830" i="37"/>
  <c r="AB830" i="37" s="1"/>
  <c r="AC830" i="37" s="1"/>
  <c r="Y830" i="37"/>
  <c r="AN829" i="37" l="1"/>
  <c r="AL829" i="37"/>
  <c r="AA831" i="37"/>
  <c r="Y831" i="37"/>
  <c r="AK830" i="37"/>
  <c r="AD830" i="37"/>
  <c r="X832" i="37"/>
  <c r="AE832" i="37"/>
  <c r="AO833" i="37" s="1"/>
  <c r="W833" i="37"/>
  <c r="V832" i="37"/>
  <c r="Z831" i="37"/>
  <c r="AB831" i="37" s="1"/>
  <c r="AC831" i="37" s="1"/>
  <c r="AH831" i="37"/>
  <c r="AG831" i="37"/>
  <c r="AF831" i="37"/>
  <c r="Z832" i="37" l="1"/>
  <c r="AN830" i="37"/>
  <c r="AL830" i="37"/>
  <c r="AD831" i="37"/>
  <c r="AH832" i="37"/>
  <c r="AG832" i="37"/>
  <c r="AF832" i="37"/>
  <c r="AB832" i="37"/>
  <c r="AC832" i="37" s="1"/>
  <c r="X833" i="37"/>
  <c r="W834" i="37"/>
  <c r="AE833" i="37"/>
  <c r="AO834" i="37" s="1"/>
  <c r="V833" i="37"/>
  <c r="AA832" i="37"/>
  <c r="Y832" i="37"/>
  <c r="AI831" i="37"/>
  <c r="AJ831" i="37" s="1"/>
  <c r="AK831" i="37" s="1"/>
  <c r="AI832" i="37" l="1"/>
  <c r="AJ832" i="37" s="1"/>
  <c r="AK832" i="37" s="1"/>
  <c r="AL831" i="37"/>
  <c r="AN831" i="37"/>
  <c r="AH833" i="37"/>
  <c r="AG833" i="37"/>
  <c r="AI833" i="37" s="1"/>
  <c r="AJ833" i="37" s="1"/>
  <c r="AF833" i="37"/>
  <c r="AE834" i="37"/>
  <c r="AO835" i="37" s="1"/>
  <c r="V834" i="37"/>
  <c r="W835" i="37"/>
  <c r="X834" i="37"/>
  <c r="AA833" i="37"/>
  <c r="Y833" i="37"/>
  <c r="AD832" i="37"/>
  <c r="Z833" i="37"/>
  <c r="AN832" i="37" l="1"/>
  <c r="AL832" i="37"/>
  <c r="AK833" i="37"/>
  <c r="AA834" i="37"/>
  <c r="Y834" i="37"/>
  <c r="X835" i="37"/>
  <c r="AE835" i="37"/>
  <c r="AO836" i="37" s="1"/>
  <c r="V835" i="37"/>
  <c r="Z835" i="37" s="1"/>
  <c r="W836" i="37"/>
  <c r="Z834" i="37"/>
  <c r="AH834" i="37"/>
  <c r="AF834" i="37"/>
  <c r="AG834" i="37"/>
  <c r="AB833" i="37"/>
  <c r="AC833" i="37" s="1"/>
  <c r="AD833" i="37" s="1"/>
  <c r="AB834" i="37" l="1"/>
  <c r="AC834" i="37" s="1"/>
  <c r="AD834" i="37" s="1"/>
  <c r="AN833" i="37"/>
  <c r="AL833" i="37"/>
  <c r="X836" i="37"/>
  <c r="AE836" i="37"/>
  <c r="AO837" i="37" s="1"/>
  <c r="V836" i="37"/>
  <c r="W837" i="37"/>
  <c r="AH835" i="37"/>
  <c r="AG835" i="37"/>
  <c r="AF835" i="37"/>
  <c r="AA835" i="37"/>
  <c r="AB835" i="37" s="1"/>
  <c r="AC835" i="37" s="1"/>
  <c r="Y835" i="37"/>
  <c r="AI834" i="37"/>
  <c r="AJ834" i="37" s="1"/>
  <c r="AK834" i="37" s="1"/>
  <c r="Z836" i="37" l="1"/>
  <c r="AI835" i="37"/>
  <c r="AJ835" i="37" s="1"/>
  <c r="AK835" i="37" s="1"/>
  <c r="AN834" i="37"/>
  <c r="AL834" i="37"/>
  <c r="X837" i="37"/>
  <c r="W838" i="37"/>
  <c r="AE837" i="37"/>
  <c r="AO838" i="37" s="1"/>
  <c r="V837" i="37"/>
  <c r="AD835" i="37"/>
  <c r="AH836" i="37"/>
  <c r="AG836" i="37"/>
  <c r="AF836" i="37"/>
  <c r="AA836" i="37"/>
  <c r="AB836" i="37" s="1"/>
  <c r="AC836" i="37" s="1"/>
  <c r="Y836" i="37"/>
  <c r="Z837" i="37" l="1"/>
  <c r="AN835" i="37"/>
  <c r="AL835" i="37"/>
  <c r="AI836" i="37"/>
  <c r="AJ836" i="37" s="1"/>
  <c r="AK836" i="37" s="1"/>
  <c r="AD836" i="37"/>
  <c r="AH837" i="37"/>
  <c r="AG837" i="37"/>
  <c r="AI837" i="37" s="1"/>
  <c r="AJ837" i="37" s="1"/>
  <c r="AF837" i="37"/>
  <c r="AE838" i="37"/>
  <c r="AO839" i="37" s="1"/>
  <c r="V838" i="37"/>
  <c r="W839" i="37"/>
  <c r="X838" i="37"/>
  <c r="AA837" i="37"/>
  <c r="AB837" i="37" s="1"/>
  <c r="AC837" i="37" s="1"/>
  <c r="Y837" i="37"/>
  <c r="Z838" i="37" l="1"/>
  <c r="AL836" i="37"/>
  <c r="AN836" i="37"/>
  <c r="AK837" i="37"/>
  <c r="AD837" i="37"/>
  <c r="X839" i="37"/>
  <c r="AE839" i="37"/>
  <c r="AO840" i="37" s="1"/>
  <c r="V839" i="37"/>
  <c r="Z839" i="37" s="1"/>
  <c r="W840" i="37"/>
  <c r="AH838" i="37"/>
  <c r="AG838" i="37"/>
  <c r="AI838" i="37" s="1"/>
  <c r="AJ838" i="37" s="1"/>
  <c r="AF838" i="37"/>
  <c r="AA838" i="37"/>
  <c r="AB838" i="37" s="1"/>
  <c r="AC838" i="37" s="1"/>
  <c r="Y838" i="37"/>
  <c r="AL837" i="37" l="1"/>
  <c r="AN837" i="37"/>
  <c r="X840" i="37"/>
  <c r="AE840" i="37"/>
  <c r="AO841" i="37" s="1"/>
  <c r="V840" i="37"/>
  <c r="Z840" i="37" s="1"/>
  <c r="W841" i="37"/>
  <c r="AH839" i="37"/>
  <c r="AG839" i="37"/>
  <c r="AI839" i="37" s="1"/>
  <c r="AJ839" i="37" s="1"/>
  <c r="AF839" i="37"/>
  <c r="AD838" i="37"/>
  <c r="Y839" i="37"/>
  <c r="AA839" i="37"/>
  <c r="AB839" i="37" s="1"/>
  <c r="AC839" i="37" s="1"/>
  <c r="AK838" i="37"/>
  <c r="AL838" i="37" l="1"/>
  <c r="AN838" i="37"/>
  <c r="AK839" i="37"/>
  <c r="W842" i="37"/>
  <c r="X841" i="37"/>
  <c r="AE841" i="37"/>
  <c r="AO842" i="37" s="1"/>
  <c r="V841" i="37"/>
  <c r="Z841" i="37" s="1"/>
  <c r="AB840" i="37"/>
  <c r="AC840" i="37" s="1"/>
  <c r="AH840" i="37"/>
  <c r="AG840" i="37"/>
  <c r="AF840" i="37"/>
  <c r="AD839" i="37"/>
  <c r="AA840" i="37"/>
  <c r="Y840" i="37"/>
  <c r="AI840" i="37" l="1"/>
  <c r="AJ840" i="37" s="1"/>
  <c r="AK840" i="37" s="1"/>
  <c r="AL839" i="37"/>
  <c r="AN839" i="37"/>
  <c r="AD840" i="37"/>
  <c r="AH841" i="37"/>
  <c r="AG841" i="37"/>
  <c r="AF841" i="37"/>
  <c r="Y841" i="37"/>
  <c r="AA841" i="37"/>
  <c r="AB841" i="37" s="1"/>
  <c r="AC841" i="37" s="1"/>
  <c r="X842" i="37"/>
  <c r="V842" i="37"/>
  <c r="AE842" i="37"/>
  <c r="AO843" i="37" s="1"/>
  <c r="W843" i="37"/>
  <c r="AI841" i="37" l="1"/>
  <c r="AJ841" i="37" s="1"/>
  <c r="AK841" i="37" s="1"/>
  <c r="AL840" i="37"/>
  <c r="AN840" i="37"/>
  <c r="Y842" i="37"/>
  <c r="AA842" i="37"/>
  <c r="AD841" i="37"/>
  <c r="W844" i="37"/>
  <c r="X843" i="37"/>
  <c r="AE843" i="37"/>
  <c r="AO844" i="37" s="1"/>
  <c r="V843" i="37"/>
  <c r="AH842" i="37"/>
  <c r="AG842" i="37"/>
  <c r="AI842" i="37" s="1"/>
  <c r="AJ842" i="37" s="1"/>
  <c r="AF842" i="37"/>
  <c r="Z842" i="37"/>
  <c r="AB842" i="37" s="1"/>
  <c r="AC842" i="37" s="1"/>
  <c r="Z843" i="37" l="1"/>
  <c r="AN841" i="37"/>
  <c r="AL841" i="37"/>
  <c r="AK842" i="37"/>
  <c r="Y843" i="37"/>
  <c r="AA843" i="37"/>
  <c r="X844" i="37"/>
  <c r="V844" i="37"/>
  <c r="AE844" i="37"/>
  <c r="AO845" i="37" s="1"/>
  <c r="W845" i="37"/>
  <c r="AH843" i="37"/>
  <c r="AG843" i="37"/>
  <c r="AF843" i="37"/>
  <c r="AD842" i="37"/>
  <c r="AB843" i="37" l="1"/>
  <c r="AC843" i="37" s="1"/>
  <c r="AD843" i="37" s="1"/>
  <c r="Z844" i="37"/>
  <c r="AN842" i="37"/>
  <c r="AL842" i="37"/>
  <c r="W846" i="37"/>
  <c r="X845" i="37"/>
  <c r="AE845" i="37"/>
  <c r="AO846" i="37" s="1"/>
  <c r="V845" i="37"/>
  <c r="AH844" i="37"/>
  <c r="AG844" i="37"/>
  <c r="AF844" i="37"/>
  <c r="Y844" i="37"/>
  <c r="AA844" i="37"/>
  <c r="AB844" i="37" s="1"/>
  <c r="AC844" i="37" s="1"/>
  <c r="AI843" i="37"/>
  <c r="AJ843" i="37" s="1"/>
  <c r="AK843" i="37" s="1"/>
  <c r="Z845" i="37" l="1"/>
  <c r="AI844" i="37"/>
  <c r="AJ844" i="37" s="1"/>
  <c r="AK844" i="37" s="1"/>
  <c r="AL843" i="37"/>
  <c r="AN843" i="37"/>
  <c r="AH845" i="37"/>
  <c r="AG845" i="37"/>
  <c r="AF845" i="37"/>
  <c r="Y845" i="37"/>
  <c r="AA845" i="37"/>
  <c r="AB845" i="37" s="1"/>
  <c r="AC845" i="37" s="1"/>
  <c r="X846" i="37"/>
  <c r="V846" i="37"/>
  <c r="AE846" i="37"/>
  <c r="AO847" i="37" s="1"/>
  <c r="W847" i="37"/>
  <c r="AD844" i="37"/>
  <c r="AI845" i="37" l="1"/>
  <c r="AJ845" i="37" s="1"/>
  <c r="AK845" i="37" s="1"/>
  <c r="AN844" i="37"/>
  <c r="AL844" i="37"/>
  <c r="Y846" i="37"/>
  <c r="AA846" i="37"/>
  <c r="AD845" i="37"/>
  <c r="W848" i="37"/>
  <c r="X847" i="37"/>
  <c r="V847" i="37"/>
  <c r="AE847" i="37"/>
  <c r="AO848" i="37" s="1"/>
  <c r="AH846" i="37"/>
  <c r="AG846" i="37"/>
  <c r="AI846" i="37" s="1"/>
  <c r="AJ846" i="37" s="1"/>
  <c r="AF846" i="37"/>
  <c r="Z846" i="37"/>
  <c r="AB846" i="37" s="1"/>
  <c r="AC846" i="37" s="1"/>
  <c r="AN845" i="37" l="1"/>
  <c r="AL845" i="37"/>
  <c r="AK846" i="37"/>
  <c r="Y847" i="37"/>
  <c r="AA847" i="37"/>
  <c r="X848" i="37"/>
  <c r="V848" i="37"/>
  <c r="AE848" i="37"/>
  <c r="AO849" i="37" s="1"/>
  <c r="W849" i="37"/>
  <c r="AH847" i="37"/>
  <c r="AG847" i="37"/>
  <c r="AF847" i="37"/>
  <c r="Z847" i="37"/>
  <c r="AB847" i="37" s="1"/>
  <c r="AC847" i="37" s="1"/>
  <c r="AD846" i="37"/>
  <c r="AN846" i="37" l="1"/>
  <c r="AL846" i="37"/>
  <c r="AI847" i="37"/>
  <c r="AJ847" i="37" s="1"/>
  <c r="AK847" i="37" s="1"/>
  <c r="Y848" i="37"/>
  <c r="AA848" i="37"/>
  <c r="W850" i="37"/>
  <c r="X849" i="37"/>
  <c r="V849" i="37"/>
  <c r="AE849" i="37"/>
  <c r="AO850" i="37" s="1"/>
  <c r="AH848" i="37"/>
  <c r="AG848" i="37"/>
  <c r="AF848" i="37"/>
  <c r="Z848" i="37"/>
  <c r="AD847" i="37"/>
  <c r="AB848" i="37" l="1"/>
  <c r="AC848" i="37" s="1"/>
  <c r="AD848" i="37" s="1"/>
  <c r="AN847" i="37"/>
  <c r="AL847" i="37"/>
  <c r="Z849" i="37"/>
  <c r="AI848" i="37"/>
  <c r="AJ848" i="37" s="1"/>
  <c r="AK848" i="37" s="1"/>
  <c r="X850" i="37"/>
  <c r="V850" i="37"/>
  <c r="Z850" i="37" s="1"/>
  <c r="AE850" i="37"/>
  <c r="AO851" i="37" s="1"/>
  <c r="W851" i="37"/>
  <c r="AH849" i="37"/>
  <c r="AG849" i="37"/>
  <c r="AF849" i="37"/>
  <c r="Y849" i="37"/>
  <c r="AA849" i="37"/>
  <c r="AB849" i="37" s="1"/>
  <c r="AC849" i="37" s="1"/>
  <c r="AI849" i="37" l="1"/>
  <c r="AJ849" i="37" s="1"/>
  <c r="AK849" i="37" s="1"/>
  <c r="AN848" i="37"/>
  <c r="AL848" i="37"/>
  <c r="AE851" i="37"/>
  <c r="AO852" i="37" s="1"/>
  <c r="W852" i="37"/>
  <c r="X851" i="37"/>
  <c r="V851" i="37"/>
  <c r="AH850" i="37"/>
  <c r="AG850" i="37"/>
  <c r="AF850" i="37"/>
  <c r="Y850" i="37"/>
  <c r="AA850" i="37"/>
  <c r="AB850" i="37" s="1"/>
  <c r="AC850" i="37" s="1"/>
  <c r="AD849" i="37"/>
  <c r="AI850" i="37" l="1"/>
  <c r="AJ850" i="37" s="1"/>
  <c r="AK850" i="37" s="1"/>
  <c r="Z851" i="37"/>
  <c r="AN849" i="37"/>
  <c r="AL849" i="37"/>
  <c r="Y851" i="37"/>
  <c r="AA851" i="37"/>
  <c r="AB851" i="37" s="1"/>
  <c r="AC851" i="37" s="1"/>
  <c r="W853" i="37"/>
  <c r="X852" i="37"/>
  <c r="V852" i="37"/>
  <c r="AE852" i="37"/>
  <c r="AO853" i="37" s="1"/>
  <c r="AD850" i="37"/>
  <c r="AH851" i="37"/>
  <c r="AG851" i="37"/>
  <c r="AI851" i="37" s="1"/>
  <c r="AJ851" i="37" s="1"/>
  <c r="AF851" i="37"/>
  <c r="AK851" i="37" l="1"/>
  <c r="AN850" i="37"/>
  <c r="AL850" i="37"/>
  <c r="AH852" i="37"/>
  <c r="AG852" i="37"/>
  <c r="AI852" i="37" s="1"/>
  <c r="AJ852" i="37" s="1"/>
  <c r="AF852" i="37"/>
  <c r="Z852" i="37"/>
  <c r="AB852" i="37" s="1"/>
  <c r="AC852" i="37" s="1"/>
  <c r="X853" i="37"/>
  <c r="V853" i="37"/>
  <c r="AE853" i="37"/>
  <c r="AO854" i="37" s="1"/>
  <c r="W854" i="37"/>
  <c r="Y852" i="37"/>
  <c r="AA852" i="37"/>
  <c r="AD851" i="37"/>
  <c r="AN851" i="37" l="1"/>
  <c r="AL851" i="37"/>
  <c r="AK852" i="37"/>
  <c r="V854" i="37"/>
  <c r="AE854" i="37"/>
  <c r="AO855" i="37" s="1"/>
  <c r="W855" i="37"/>
  <c r="X854" i="37"/>
  <c r="Y853" i="37"/>
  <c r="AA853" i="37"/>
  <c r="AH853" i="37"/>
  <c r="AG853" i="37"/>
  <c r="AI853" i="37" s="1"/>
  <c r="AJ853" i="37" s="1"/>
  <c r="AF853" i="37"/>
  <c r="Z853" i="37"/>
  <c r="AD852" i="37"/>
  <c r="AN852" i="37" l="1"/>
  <c r="AL852" i="37"/>
  <c r="Y854" i="37"/>
  <c r="AA854" i="37"/>
  <c r="AE855" i="37"/>
  <c r="AO856" i="37" s="1"/>
  <c r="W856" i="37"/>
  <c r="X855" i="37"/>
  <c r="V855" i="37"/>
  <c r="AB853" i="37"/>
  <c r="AC853" i="37" s="1"/>
  <c r="AD853" i="37" s="1"/>
  <c r="AH854" i="37"/>
  <c r="AG854" i="37"/>
  <c r="AF854" i="37"/>
  <c r="AK853" i="37"/>
  <c r="Z854" i="37"/>
  <c r="AB854" i="37" s="1"/>
  <c r="AC854" i="37" s="1"/>
  <c r="AN853" i="37" l="1"/>
  <c r="AL853" i="37"/>
  <c r="Z855" i="37"/>
  <c r="AI854" i="37"/>
  <c r="AJ854" i="37" s="1"/>
  <c r="AK854" i="37" s="1"/>
  <c r="Y855" i="37"/>
  <c r="AA855" i="37"/>
  <c r="AB855" i="37" s="1"/>
  <c r="AC855" i="37" s="1"/>
  <c r="W857" i="37"/>
  <c r="X856" i="37"/>
  <c r="V856" i="37"/>
  <c r="AE856" i="37"/>
  <c r="AO857" i="37" s="1"/>
  <c r="AH855" i="37"/>
  <c r="AG855" i="37"/>
  <c r="AF855" i="37"/>
  <c r="AD854" i="37"/>
  <c r="AN854" i="37" l="1"/>
  <c r="AL854" i="37"/>
  <c r="Z856" i="37"/>
  <c r="AH856" i="37"/>
  <c r="AG856" i="37"/>
  <c r="AF856" i="37"/>
  <c r="Y856" i="37"/>
  <c r="AA856" i="37"/>
  <c r="AB856" i="37" s="1"/>
  <c r="AC856" i="37" s="1"/>
  <c r="X857" i="37"/>
  <c r="V857" i="37"/>
  <c r="AE857" i="37"/>
  <c r="AO858" i="37" s="1"/>
  <c r="W858" i="37"/>
  <c r="AI855" i="37"/>
  <c r="AJ855" i="37" s="1"/>
  <c r="AK855" i="37" s="1"/>
  <c r="AD855" i="37"/>
  <c r="AI856" i="37" l="1"/>
  <c r="AJ856" i="37" s="1"/>
  <c r="AK856" i="37" s="1"/>
  <c r="AN855" i="37"/>
  <c r="AL855" i="37"/>
  <c r="Y857" i="37"/>
  <c r="AA857" i="37"/>
  <c r="AD856" i="37"/>
  <c r="Z857" i="37"/>
  <c r="AB857" i="37" s="1"/>
  <c r="AC857" i="37" s="1"/>
  <c r="V858" i="37"/>
  <c r="AE858" i="37"/>
  <c r="AO859" i="37" s="1"/>
  <c r="W859" i="37"/>
  <c r="X858" i="37"/>
  <c r="AH857" i="37"/>
  <c r="AG857" i="37"/>
  <c r="AI857" i="37" s="1"/>
  <c r="AJ857" i="37" s="1"/>
  <c r="AF857" i="37"/>
  <c r="AN856" i="37" l="1"/>
  <c r="AL856" i="37"/>
  <c r="AK857" i="37"/>
  <c r="Y858" i="37"/>
  <c r="AA858" i="37"/>
  <c r="AE859" i="37"/>
  <c r="AO860" i="37" s="1"/>
  <c r="W860" i="37"/>
  <c r="X859" i="37"/>
  <c r="V859" i="37"/>
  <c r="Z858" i="37"/>
  <c r="AH858" i="37"/>
  <c r="AG858" i="37"/>
  <c r="AF858" i="37"/>
  <c r="AD857" i="37"/>
  <c r="AB858" i="37" l="1"/>
  <c r="AC858" i="37" s="1"/>
  <c r="AD858" i="37" s="1"/>
  <c r="Z859" i="37"/>
  <c r="AN857" i="37"/>
  <c r="AL857" i="37"/>
  <c r="W861" i="37"/>
  <c r="X860" i="37"/>
  <c r="V860" i="37"/>
  <c r="Z860" i="37" s="1"/>
  <c r="AE860" i="37"/>
  <c r="AO861" i="37" s="1"/>
  <c r="Y859" i="37"/>
  <c r="AA859" i="37"/>
  <c r="AB859" i="37" s="1"/>
  <c r="AC859" i="37" s="1"/>
  <c r="AH859" i="37"/>
  <c r="AG859" i="37"/>
  <c r="AF859" i="37"/>
  <c r="AI858" i="37"/>
  <c r="AJ858" i="37" s="1"/>
  <c r="AK858" i="37" s="1"/>
  <c r="AL858" i="37" l="1"/>
  <c r="AN858" i="37"/>
  <c r="AD859" i="37"/>
  <c r="AH860" i="37"/>
  <c r="AG860" i="37"/>
  <c r="AI860" i="37" s="1"/>
  <c r="AJ860" i="37" s="1"/>
  <c r="AF860" i="37"/>
  <c r="Y860" i="37"/>
  <c r="AA860" i="37"/>
  <c r="AB860" i="37" s="1"/>
  <c r="AC860" i="37" s="1"/>
  <c r="AI859" i="37"/>
  <c r="AJ859" i="37" s="1"/>
  <c r="AK859" i="37" s="1"/>
  <c r="X861" i="37"/>
  <c r="V861" i="37"/>
  <c r="AE861" i="37"/>
  <c r="AO862" i="37" s="1"/>
  <c r="W862" i="37"/>
  <c r="AL859" i="37" l="1"/>
  <c r="AN859" i="37"/>
  <c r="Z861" i="37"/>
  <c r="AD860" i="37"/>
  <c r="V862" i="37"/>
  <c r="AE862" i="37"/>
  <c r="AO863" i="37" s="1"/>
  <c r="W863" i="37"/>
  <c r="X862" i="37"/>
  <c r="AH861" i="37"/>
  <c r="AG861" i="37"/>
  <c r="AI861" i="37" s="1"/>
  <c r="AJ861" i="37" s="1"/>
  <c r="AF861" i="37"/>
  <c r="AK860" i="37"/>
  <c r="Y861" i="37"/>
  <c r="AA861" i="37"/>
  <c r="AB861" i="37" s="1"/>
  <c r="AC861" i="37" s="1"/>
  <c r="AL860" i="37" l="1"/>
  <c r="AN860" i="37"/>
  <c r="AK861" i="37"/>
  <c r="AE863" i="37"/>
  <c r="AO864" i="37" s="1"/>
  <c r="W864" i="37"/>
  <c r="X863" i="37"/>
  <c r="V863" i="37"/>
  <c r="Y862" i="37"/>
  <c r="AA862" i="37"/>
  <c r="AD861" i="37"/>
  <c r="AH862" i="37"/>
  <c r="AG862" i="37"/>
  <c r="AI862" i="37" s="1"/>
  <c r="AJ862" i="37" s="1"/>
  <c r="AF862" i="37"/>
  <c r="Z862" i="37"/>
  <c r="AL861" i="37" l="1"/>
  <c r="AN861" i="37"/>
  <c r="AK862" i="37"/>
  <c r="Y863" i="37"/>
  <c r="AA863" i="37"/>
  <c r="W865" i="37"/>
  <c r="X864" i="37"/>
  <c r="V864" i="37"/>
  <c r="AE864" i="37"/>
  <c r="AO865" i="37" s="1"/>
  <c r="Z863" i="37"/>
  <c r="AB862" i="37"/>
  <c r="AC862" i="37" s="1"/>
  <c r="AD862" i="37" s="1"/>
  <c r="AH863" i="37"/>
  <c r="AG863" i="37"/>
  <c r="AF863" i="37"/>
  <c r="Z864" i="37" l="1"/>
  <c r="AN862" i="37"/>
  <c r="AL862" i="37"/>
  <c r="AB863" i="37"/>
  <c r="AC863" i="37" s="1"/>
  <c r="AD863" i="37" s="1"/>
  <c r="AH864" i="37"/>
  <c r="AG864" i="37"/>
  <c r="AI864" i="37" s="1"/>
  <c r="AJ864" i="37" s="1"/>
  <c r="AF864" i="37"/>
  <c r="Y864" i="37"/>
  <c r="AA864" i="37"/>
  <c r="AB864" i="37" s="1"/>
  <c r="AC864" i="37" s="1"/>
  <c r="AI863" i="37"/>
  <c r="AJ863" i="37" s="1"/>
  <c r="AK863" i="37" s="1"/>
  <c r="X865" i="37"/>
  <c r="V865" i="37"/>
  <c r="AE865" i="37"/>
  <c r="AO866" i="37" s="1"/>
  <c r="W866" i="37"/>
  <c r="AL863" i="37" l="1"/>
  <c r="AN863" i="37"/>
  <c r="Z865" i="37"/>
  <c r="AD864" i="37"/>
  <c r="AK864" i="37"/>
  <c r="V866" i="37"/>
  <c r="AE866" i="37"/>
  <c r="AO867" i="37" s="1"/>
  <c r="W867" i="37"/>
  <c r="X866" i="37"/>
  <c r="AH865" i="37"/>
  <c r="AG865" i="37"/>
  <c r="AF865" i="37"/>
  <c r="Y865" i="37"/>
  <c r="AA865" i="37"/>
  <c r="AB865" i="37" s="1"/>
  <c r="AC865" i="37" s="1"/>
  <c r="AL864" i="37" l="1"/>
  <c r="AN864" i="37"/>
  <c r="AI865" i="37"/>
  <c r="AJ865" i="37" s="1"/>
  <c r="AK865" i="37" s="1"/>
  <c r="Y866" i="37"/>
  <c r="AA866" i="37"/>
  <c r="AE867" i="37"/>
  <c r="AO868" i="37" s="1"/>
  <c r="W868" i="37"/>
  <c r="X867" i="37"/>
  <c r="V867" i="37"/>
  <c r="AH866" i="37"/>
  <c r="AG866" i="37"/>
  <c r="AF866" i="37"/>
  <c r="AD865" i="37"/>
  <c r="Z866" i="37"/>
  <c r="AB866" i="37" s="1"/>
  <c r="AC866" i="37" s="1"/>
  <c r="AL865" i="37" l="1"/>
  <c r="AN865" i="37"/>
  <c r="AI866" i="37"/>
  <c r="AJ866" i="37" s="1"/>
  <c r="AK866" i="37" s="1"/>
  <c r="Y867" i="37"/>
  <c r="AA867" i="37"/>
  <c r="W869" i="37"/>
  <c r="X868" i="37"/>
  <c r="V868" i="37"/>
  <c r="AE868" i="37"/>
  <c r="AO869" i="37" s="1"/>
  <c r="Z867" i="37"/>
  <c r="AH867" i="37"/>
  <c r="AG867" i="37"/>
  <c r="AF867" i="37"/>
  <c r="AD866" i="37"/>
  <c r="AB867" i="37" l="1"/>
  <c r="AC867" i="37" s="1"/>
  <c r="AD867" i="37" s="1"/>
  <c r="AL866" i="37"/>
  <c r="AN866" i="37"/>
  <c r="Z868" i="37"/>
  <c r="AH868" i="37"/>
  <c r="AG868" i="37"/>
  <c r="AI868" i="37" s="1"/>
  <c r="AJ868" i="37" s="1"/>
  <c r="AF868" i="37"/>
  <c r="Y868" i="37"/>
  <c r="AA868" i="37"/>
  <c r="X869" i="37"/>
  <c r="V869" i="37"/>
  <c r="AE869" i="37"/>
  <c r="AO870" i="37" s="1"/>
  <c r="W870" i="37"/>
  <c r="AI867" i="37"/>
  <c r="AJ867" i="37" s="1"/>
  <c r="AK867" i="37" s="1"/>
  <c r="AB868" i="37" l="1"/>
  <c r="AC868" i="37" s="1"/>
  <c r="AD868" i="37" s="1"/>
  <c r="AK868" i="37"/>
  <c r="AL867" i="37"/>
  <c r="AN867" i="37"/>
  <c r="Y869" i="37"/>
  <c r="AA869" i="37"/>
  <c r="V870" i="37"/>
  <c r="AE870" i="37"/>
  <c r="AO871" i="37" s="1"/>
  <c r="W871" i="37"/>
  <c r="X870" i="37"/>
  <c r="Z869" i="37"/>
  <c r="AH869" i="37"/>
  <c r="AG869" i="37"/>
  <c r="AI869" i="37" s="1"/>
  <c r="AJ869" i="37" s="1"/>
  <c r="AF869" i="37"/>
  <c r="AB869" i="37" l="1"/>
  <c r="AC869" i="37" s="1"/>
  <c r="AD869" i="37" s="1"/>
  <c r="AN868" i="37"/>
  <c r="AL868" i="37"/>
  <c r="AK869" i="37"/>
  <c r="Y870" i="37"/>
  <c r="AA870" i="37"/>
  <c r="Z870" i="37"/>
  <c r="AB870" i="37" s="1"/>
  <c r="AC870" i="37" s="1"/>
  <c r="AE871" i="37"/>
  <c r="AO872" i="37" s="1"/>
  <c r="W872" i="37"/>
  <c r="X871" i="37"/>
  <c r="V871" i="37"/>
  <c r="AH870" i="37"/>
  <c r="AG870" i="37"/>
  <c r="AF870" i="37"/>
  <c r="AN869" i="37" l="1"/>
  <c r="AL869" i="37"/>
  <c r="Z871" i="37"/>
  <c r="AH871" i="37"/>
  <c r="AG871" i="37"/>
  <c r="AI871" i="37" s="1"/>
  <c r="AJ871" i="37" s="1"/>
  <c r="AF871" i="37"/>
  <c r="Y871" i="37"/>
  <c r="AA871" i="37"/>
  <c r="AB871" i="37" s="1"/>
  <c r="AC871" i="37" s="1"/>
  <c r="W873" i="37"/>
  <c r="X872" i="37"/>
  <c r="V872" i="37"/>
  <c r="AE872" i="37"/>
  <c r="AO873" i="37" s="1"/>
  <c r="AI870" i="37"/>
  <c r="AJ870" i="37" s="1"/>
  <c r="AK870" i="37" s="1"/>
  <c r="AD870" i="37"/>
  <c r="AK871" i="37" l="1"/>
  <c r="AN870" i="37"/>
  <c r="AL870" i="37"/>
  <c r="AH872" i="37"/>
  <c r="AG872" i="37"/>
  <c r="AI872" i="37" s="1"/>
  <c r="AJ872" i="37" s="1"/>
  <c r="AF872" i="37"/>
  <c r="Y872" i="37"/>
  <c r="AA872" i="37"/>
  <c r="X873" i="37"/>
  <c r="V873" i="37"/>
  <c r="Z873" i="37" s="1"/>
  <c r="AE873" i="37"/>
  <c r="AO874" i="37" s="1"/>
  <c r="W874" i="37"/>
  <c r="AD871" i="37"/>
  <c r="Z872" i="37"/>
  <c r="AB872" i="37" l="1"/>
  <c r="AC872" i="37" s="1"/>
  <c r="AD872" i="37" s="1"/>
  <c r="AN871" i="37"/>
  <c r="AL871" i="37"/>
  <c r="AK872" i="37"/>
  <c r="AH873" i="37"/>
  <c r="AG873" i="37"/>
  <c r="AI873" i="37" s="1"/>
  <c r="AJ873" i="37" s="1"/>
  <c r="AF873" i="37"/>
  <c r="Y873" i="37"/>
  <c r="AA873" i="37"/>
  <c r="AB873" i="37" s="1"/>
  <c r="AC873" i="37" s="1"/>
  <c r="V874" i="37"/>
  <c r="AE874" i="37"/>
  <c r="AO875" i="37" s="1"/>
  <c r="W875" i="37"/>
  <c r="X874" i="37"/>
  <c r="Z874" i="37" l="1"/>
  <c r="AK873" i="37"/>
  <c r="AN872" i="37"/>
  <c r="AL872" i="37"/>
  <c r="Y874" i="37"/>
  <c r="AA874" i="37"/>
  <c r="AB874" i="37" s="1"/>
  <c r="AC874" i="37" s="1"/>
  <c r="AE875" i="37"/>
  <c r="AO876" i="37" s="1"/>
  <c r="W876" i="37"/>
  <c r="X875" i="37"/>
  <c r="V875" i="37"/>
  <c r="Z875" i="37" s="1"/>
  <c r="AD873" i="37"/>
  <c r="AH874" i="37"/>
  <c r="AG874" i="37"/>
  <c r="AF874" i="37"/>
  <c r="AI874" i="37" l="1"/>
  <c r="AJ874" i="37" s="1"/>
  <c r="AK874" i="37" s="1"/>
  <c r="AN873" i="37"/>
  <c r="AL873" i="37"/>
  <c r="AH875" i="37"/>
  <c r="AG875" i="37"/>
  <c r="AI875" i="37" s="1"/>
  <c r="AJ875" i="37" s="1"/>
  <c r="AF875" i="37"/>
  <c r="Y875" i="37"/>
  <c r="AA875" i="37"/>
  <c r="AB875" i="37" s="1"/>
  <c r="AC875" i="37" s="1"/>
  <c r="W877" i="37"/>
  <c r="X876" i="37"/>
  <c r="V876" i="37"/>
  <c r="AE876" i="37"/>
  <c r="AO877" i="37" s="1"/>
  <c r="AD874" i="37"/>
  <c r="AN874" i="37" l="1"/>
  <c r="AL874" i="37"/>
  <c r="AK875" i="37"/>
  <c r="AH876" i="37"/>
  <c r="AG876" i="37"/>
  <c r="AF876" i="37"/>
  <c r="Y876" i="37"/>
  <c r="AA876" i="37"/>
  <c r="X877" i="37"/>
  <c r="V877" i="37"/>
  <c r="AE877" i="37"/>
  <c r="AO878" i="37" s="1"/>
  <c r="W878" i="37"/>
  <c r="AD875" i="37"/>
  <c r="Z876" i="37"/>
  <c r="AI876" i="37" l="1"/>
  <c r="AJ876" i="37" s="1"/>
  <c r="AK876" i="37" s="1"/>
  <c r="AN875" i="37"/>
  <c r="AL875" i="37"/>
  <c r="Z877" i="37"/>
  <c r="AB876" i="37"/>
  <c r="AC876" i="37" s="1"/>
  <c r="AD876" i="37" s="1"/>
  <c r="AH877" i="37"/>
  <c r="AG877" i="37"/>
  <c r="AF877" i="37"/>
  <c r="Y877" i="37"/>
  <c r="AA877" i="37"/>
  <c r="V878" i="37"/>
  <c r="AE878" i="37"/>
  <c r="AO879" i="37" s="1"/>
  <c r="W879" i="37"/>
  <c r="X878" i="37"/>
  <c r="AN876" i="37" l="1"/>
  <c r="AL876" i="37"/>
  <c r="AB877" i="37"/>
  <c r="AC877" i="37" s="1"/>
  <c r="AD877" i="37" s="1"/>
  <c r="AI877" i="37"/>
  <c r="AJ877" i="37" s="1"/>
  <c r="AK877" i="37" s="1"/>
  <c r="Z878" i="37"/>
  <c r="AE879" i="37"/>
  <c r="AO880" i="37" s="1"/>
  <c r="W880" i="37"/>
  <c r="X879" i="37"/>
  <c r="V879" i="37"/>
  <c r="Y878" i="37"/>
  <c r="AA878" i="37"/>
  <c r="AH878" i="37"/>
  <c r="AG878" i="37"/>
  <c r="AI878" i="37" s="1"/>
  <c r="AJ878" i="37" s="1"/>
  <c r="AF878" i="37"/>
  <c r="AN877" i="37" l="1"/>
  <c r="AL877" i="37"/>
  <c r="AB878" i="37"/>
  <c r="AC878" i="37" s="1"/>
  <c r="AD878" i="37" s="1"/>
  <c r="AK878" i="37"/>
  <c r="Y879" i="37"/>
  <c r="AA879" i="37"/>
  <c r="W881" i="37"/>
  <c r="X880" i="37"/>
  <c r="V880" i="37"/>
  <c r="AE880" i="37"/>
  <c r="AO881" i="37" s="1"/>
  <c r="Z879" i="37"/>
  <c r="AH879" i="37"/>
  <c r="AG879" i="37"/>
  <c r="AI879" i="37" s="1"/>
  <c r="AJ879" i="37" s="1"/>
  <c r="AF879" i="37"/>
  <c r="AL878" i="37" l="1"/>
  <c r="AK879" i="37"/>
  <c r="AN878" i="37"/>
  <c r="Z880" i="37"/>
  <c r="AB879" i="37"/>
  <c r="AC879" i="37" s="1"/>
  <c r="AD879" i="37" s="1"/>
  <c r="X881" i="37"/>
  <c r="W882" i="37"/>
  <c r="V881" i="37"/>
  <c r="Z881" i="37" s="1"/>
  <c r="AE881" i="37"/>
  <c r="AO882" i="37" s="1"/>
  <c r="AH880" i="37"/>
  <c r="AG880" i="37"/>
  <c r="AI880" i="37" s="1"/>
  <c r="AJ880" i="37" s="1"/>
  <c r="AF880" i="37"/>
  <c r="Y880" i="37"/>
  <c r="AA880" i="37"/>
  <c r="AB880" i="37" s="1"/>
  <c r="AC880" i="37" s="1"/>
  <c r="AN879" i="37" l="1"/>
  <c r="AL879" i="37"/>
  <c r="AK880" i="37"/>
  <c r="AH881" i="37"/>
  <c r="AG881" i="37"/>
  <c r="AI881" i="37" s="1"/>
  <c r="AJ881" i="37" s="1"/>
  <c r="AF881" i="37"/>
  <c r="AB881" i="37"/>
  <c r="AC881" i="37" s="1"/>
  <c r="X882" i="37"/>
  <c r="W883" i="37"/>
  <c r="V882" i="37"/>
  <c r="AE882" i="37"/>
  <c r="AO883" i="37" s="1"/>
  <c r="Y881" i="37"/>
  <c r="AA881" i="37"/>
  <c r="AD880" i="37"/>
  <c r="AN880" i="37" l="1"/>
  <c r="AL880" i="37"/>
  <c r="AK881" i="37"/>
  <c r="Z882" i="37"/>
  <c r="X883" i="37"/>
  <c r="W884" i="37"/>
  <c r="V883" i="37"/>
  <c r="Z883" i="37" s="1"/>
  <c r="AE883" i="37"/>
  <c r="AO884" i="37" s="1"/>
  <c r="AH882" i="37"/>
  <c r="AG882" i="37"/>
  <c r="AF882" i="37"/>
  <c r="Y882" i="37"/>
  <c r="AA882" i="37"/>
  <c r="AB882" i="37" s="1"/>
  <c r="AC882" i="37" s="1"/>
  <c r="AD881" i="37"/>
  <c r="AI882" i="37" l="1"/>
  <c r="AJ882" i="37" s="1"/>
  <c r="AK882" i="37" s="1"/>
  <c r="AN881" i="37"/>
  <c r="AL881" i="37"/>
  <c r="AH883" i="37"/>
  <c r="AG883" i="37"/>
  <c r="AI883" i="37" s="1"/>
  <c r="AJ883" i="37" s="1"/>
  <c r="AF883" i="37"/>
  <c r="X884" i="37"/>
  <c r="W885" i="37"/>
  <c r="V884" i="37"/>
  <c r="AE884" i="37"/>
  <c r="AO885" i="37" s="1"/>
  <c r="Y883" i="37"/>
  <c r="AA883" i="37"/>
  <c r="AB883" i="37" s="1"/>
  <c r="AC883" i="37" s="1"/>
  <c r="AD882" i="37"/>
  <c r="AK883" i="37" l="1"/>
  <c r="AN882" i="37"/>
  <c r="AL882" i="37"/>
  <c r="AH884" i="37"/>
  <c r="AG884" i="37"/>
  <c r="AI884" i="37" s="1"/>
  <c r="AJ884" i="37" s="1"/>
  <c r="AF884" i="37"/>
  <c r="Z884" i="37"/>
  <c r="X885" i="37"/>
  <c r="W886" i="37"/>
  <c r="V885" i="37"/>
  <c r="AE885" i="37"/>
  <c r="AO886" i="37" s="1"/>
  <c r="Y884" i="37"/>
  <c r="AA884" i="37"/>
  <c r="AD883" i="37"/>
  <c r="AN883" i="37" l="1"/>
  <c r="AL883" i="37"/>
  <c r="AK884" i="37"/>
  <c r="Y885" i="37"/>
  <c r="AA885" i="37"/>
  <c r="AH885" i="37"/>
  <c r="AG885" i="37"/>
  <c r="AI885" i="37" s="1"/>
  <c r="AJ885" i="37" s="1"/>
  <c r="AF885" i="37"/>
  <c r="Z885" i="37"/>
  <c r="X886" i="37"/>
  <c r="W887" i="37"/>
  <c r="V886" i="37"/>
  <c r="AE886" i="37"/>
  <c r="AO887" i="37" s="1"/>
  <c r="AB884" i="37"/>
  <c r="AC884" i="37" s="1"/>
  <c r="AD884" i="37" s="1"/>
  <c r="AB885" i="37" l="1"/>
  <c r="AC885" i="37" s="1"/>
  <c r="AD885" i="37" s="1"/>
  <c r="AN884" i="37"/>
  <c r="AL884" i="37"/>
  <c r="X887" i="37"/>
  <c r="V887" i="37"/>
  <c r="Z887" i="37" s="1"/>
  <c r="W888" i="37"/>
  <c r="AE887" i="37"/>
  <c r="AO888" i="37" s="1"/>
  <c r="Y886" i="37"/>
  <c r="AA886" i="37"/>
  <c r="AK885" i="37"/>
  <c r="AH886" i="37"/>
  <c r="AG886" i="37"/>
  <c r="AF886" i="37"/>
  <c r="Z886" i="37"/>
  <c r="AL885" i="37" l="1"/>
  <c r="AN885" i="37"/>
  <c r="X888" i="37"/>
  <c r="AE888" i="37"/>
  <c r="AO889" i="37" s="1"/>
  <c r="V888" i="37"/>
  <c r="Z888" i="37" s="1"/>
  <c r="W889" i="37"/>
  <c r="AH887" i="37"/>
  <c r="AG887" i="37"/>
  <c r="AI887" i="37" s="1"/>
  <c r="AJ887" i="37" s="1"/>
  <c r="AF887" i="37"/>
  <c r="AB886" i="37"/>
  <c r="AC886" i="37" s="1"/>
  <c r="AD886" i="37" s="1"/>
  <c r="AI886" i="37"/>
  <c r="AJ886" i="37" s="1"/>
  <c r="AK886" i="37" s="1"/>
  <c r="Y887" i="37"/>
  <c r="AA887" i="37"/>
  <c r="AB887" i="37" s="1"/>
  <c r="AC887" i="37" s="1"/>
  <c r="AL886" i="37" l="1"/>
  <c r="AN886" i="37"/>
  <c r="AK887" i="37"/>
  <c r="AD887" i="37"/>
  <c r="X889" i="37"/>
  <c r="W890" i="37"/>
  <c r="AE889" i="37"/>
  <c r="AO890" i="37" s="1"/>
  <c r="V889" i="37"/>
  <c r="Z889" i="37" s="1"/>
  <c r="AH888" i="37"/>
  <c r="AG888" i="37"/>
  <c r="AF888" i="37"/>
  <c r="Y888" i="37"/>
  <c r="AA888" i="37"/>
  <c r="AB888" i="37" s="1"/>
  <c r="AC888" i="37" s="1"/>
  <c r="AN887" i="37" l="1"/>
  <c r="AL887" i="37"/>
  <c r="AI888" i="37"/>
  <c r="AJ888" i="37" s="1"/>
  <c r="AK888" i="37" s="1"/>
  <c r="AH889" i="37"/>
  <c r="AG889" i="37"/>
  <c r="AI889" i="37" s="1"/>
  <c r="AJ889" i="37" s="1"/>
  <c r="AF889" i="37"/>
  <c r="W891" i="37"/>
  <c r="X890" i="37"/>
  <c r="AE890" i="37"/>
  <c r="AO891" i="37" s="1"/>
  <c r="V890" i="37"/>
  <c r="AD888" i="37"/>
  <c r="Y889" i="37"/>
  <c r="AA889" i="37"/>
  <c r="AB889" i="37" s="1"/>
  <c r="AC889" i="37" s="1"/>
  <c r="Z890" i="37" l="1"/>
  <c r="AL888" i="37"/>
  <c r="AN888" i="37"/>
  <c r="AK889" i="37"/>
  <c r="Y890" i="37"/>
  <c r="AA890" i="37"/>
  <c r="AB890" i="37"/>
  <c r="AC890" i="37" s="1"/>
  <c r="AG890" i="37"/>
  <c r="AH890" i="37"/>
  <c r="AF890" i="37"/>
  <c r="AE891" i="37"/>
  <c r="AO892" i="37" s="1"/>
  <c r="V891" i="37"/>
  <c r="W892" i="37"/>
  <c r="X891" i="37"/>
  <c r="AD889" i="37"/>
  <c r="AN889" i="37" l="1"/>
  <c r="AL889" i="37"/>
  <c r="Z891" i="37"/>
  <c r="AG891" i="37"/>
  <c r="AF891" i="37"/>
  <c r="AH891" i="37"/>
  <c r="AI890" i="37"/>
  <c r="AJ890" i="37" s="1"/>
  <c r="AK890" i="37" s="1"/>
  <c r="Y891" i="37"/>
  <c r="AA891" i="37"/>
  <c r="X892" i="37"/>
  <c r="AE892" i="37"/>
  <c r="AO893" i="37" s="1"/>
  <c r="V892" i="37"/>
  <c r="W893" i="37"/>
  <c r="AD890" i="37"/>
  <c r="AL890" i="37" l="1"/>
  <c r="AB891" i="37"/>
  <c r="AC891" i="37" s="1"/>
  <c r="AD891" i="37" s="1"/>
  <c r="AN890" i="37"/>
  <c r="Z892" i="37"/>
  <c r="X893" i="37"/>
  <c r="AE893" i="37"/>
  <c r="AO894" i="37" s="1"/>
  <c r="V893" i="37"/>
  <c r="Z893" i="37" s="1"/>
  <c r="W894" i="37"/>
  <c r="AI891" i="37"/>
  <c r="AJ891" i="37" s="1"/>
  <c r="AK891" i="37" s="1"/>
  <c r="AG892" i="37"/>
  <c r="AH892" i="37"/>
  <c r="AF892" i="37"/>
  <c r="Y892" i="37"/>
  <c r="AA892" i="37"/>
  <c r="AB892" i="37" s="1"/>
  <c r="AC892" i="37" s="1"/>
  <c r="AL891" i="37" l="1"/>
  <c r="AN891" i="37"/>
  <c r="AG893" i="37"/>
  <c r="AH893" i="37"/>
  <c r="AF893" i="37"/>
  <c r="W895" i="37"/>
  <c r="X894" i="37"/>
  <c r="AE894" i="37"/>
  <c r="AO895" i="37" s="1"/>
  <c r="V894" i="37"/>
  <c r="AD892" i="37"/>
  <c r="Y893" i="37"/>
  <c r="AA893" i="37"/>
  <c r="AB893" i="37" s="1"/>
  <c r="AC893" i="37" s="1"/>
  <c r="AI892" i="37"/>
  <c r="AJ892" i="37" s="1"/>
  <c r="AK892" i="37" s="1"/>
  <c r="AL892" i="37" l="1"/>
  <c r="AN892" i="37"/>
  <c r="Z894" i="37"/>
  <c r="AG894" i="37"/>
  <c r="AH894" i="37"/>
  <c r="AF894" i="37"/>
  <c r="Y894" i="37"/>
  <c r="AA894" i="37"/>
  <c r="AB894" i="37" s="1"/>
  <c r="AC894" i="37" s="1"/>
  <c r="AE895" i="37"/>
  <c r="AO896" i="37" s="1"/>
  <c r="V895" i="37"/>
  <c r="W896" i="37"/>
  <c r="X895" i="37"/>
  <c r="AD893" i="37"/>
  <c r="AI893" i="37"/>
  <c r="AJ893" i="37" s="1"/>
  <c r="AK893" i="37" s="1"/>
  <c r="Z895" i="37" l="1"/>
  <c r="AL893" i="37"/>
  <c r="AN893" i="37"/>
  <c r="AG895" i="37"/>
  <c r="AF895" i="37"/>
  <c r="AH895" i="37"/>
  <c r="AD894" i="37"/>
  <c r="Y895" i="37"/>
  <c r="AA895" i="37"/>
  <c r="AB895" i="37" s="1"/>
  <c r="AC895" i="37" s="1"/>
  <c r="AI894" i="37"/>
  <c r="AJ894" i="37" s="1"/>
  <c r="AK894" i="37" s="1"/>
  <c r="X896" i="37"/>
  <c r="AE896" i="37"/>
  <c r="AO897" i="37" s="1"/>
  <c r="V896" i="37"/>
  <c r="W897" i="37"/>
  <c r="AL894" i="37" l="1"/>
  <c r="AN894" i="37"/>
  <c r="Z896" i="37"/>
  <c r="AD895" i="37"/>
  <c r="X897" i="37"/>
  <c r="AE897" i="37"/>
  <c r="AO898" i="37" s="1"/>
  <c r="V897" i="37"/>
  <c r="Z897" i="37" s="1"/>
  <c r="W898" i="37"/>
  <c r="AG896" i="37"/>
  <c r="AH896" i="37"/>
  <c r="AF896" i="37"/>
  <c r="Y896" i="37"/>
  <c r="AA896" i="37"/>
  <c r="AI895" i="37"/>
  <c r="AJ895" i="37" s="1"/>
  <c r="AK895" i="37" s="1"/>
  <c r="AI896" i="37" l="1"/>
  <c r="AJ896" i="37" s="1"/>
  <c r="AK896" i="37" s="1"/>
  <c r="AL895" i="37"/>
  <c r="AN895" i="37"/>
  <c r="AB896" i="37"/>
  <c r="AC896" i="37" s="1"/>
  <c r="AD896" i="37" s="1"/>
  <c r="W899" i="37"/>
  <c r="X898" i="37"/>
  <c r="V898" i="37"/>
  <c r="AE898" i="37"/>
  <c r="AO899" i="37" s="1"/>
  <c r="AG897" i="37"/>
  <c r="AH897" i="37"/>
  <c r="AF897" i="37"/>
  <c r="Y897" i="37"/>
  <c r="AA897" i="37"/>
  <c r="AB897" i="37" s="1"/>
  <c r="AC897" i="37" s="1"/>
  <c r="Z898" i="37" l="1"/>
  <c r="AL896" i="37"/>
  <c r="AN896" i="37"/>
  <c r="AI897" i="37"/>
  <c r="AJ897" i="37" s="1"/>
  <c r="AK897" i="37" s="1"/>
  <c r="AG898" i="37"/>
  <c r="AH898" i="37"/>
  <c r="AF898" i="37"/>
  <c r="AD897" i="37"/>
  <c r="Y898" i="37"/>
  <c r="AA898" i="37"/>
  <c r="AE899" i="37"/>
  <c r="AO900" i="37" s="1"/>
  <c r="V899" i="37"/>
  <c r="W900" i="37"/>
  <c r="X899" i="37"/>
  <c r="AB898" i="37" l="1"/>
  <c r="AC898" i="37" s="1"/>
  <c r="AD898" i="37" s="1"/>
  <c r="AL897" i="37"/>
  <c r="AN897" i="37"/>
  <c r="Y899" i="37"/>
  <c r="AA899" i="37"/>
  <c r="X900" i="37"/>
  <c r="AE900" i="37"/>
  <c r="AO901" i="37" s="1"/>
  <c r="V900" i="37"/>
  <c r="W901" i="37"/>
  <c r="Z899" i="37"/>
  <c r="AI898" i="37"/>
  <c r="AJ898" i="37" s="1"/>
  <c r="AK898" i="37" s="1"/>
  <c r="AG899" i="37"/>
  <c r="AF899" i="37"/>
  <c r="AH899" i="37"/>
  <c r="AN898" i="37" l="1"/>
  <c r="AL898" i="37"/>
  <c r="Z900" i="37"/>
  <c r="AB900" i="37" s="1"/>
  <c r="AC900" i="37" s="1"/>
  <c r="X901" i="37"/>
  <c r="AE901" i="37"/>
  <c r="AO902" i="37" s="1"/>
  <c r="V901" i="37"/>
  <c r="Z901" i="37" s="1"/>
  <c r="W902" i="37"/>
  <c r="Y900" i="37"/>
  <c r="AA900" i="37"/>
  <c r="AG900" i="37"/>
  <c r="AH900" i="37"/>
  <c r="AF900" i="37"/>
  <c r="AI899" i="37"/>
  <c r="AJ899" i="37" s="1"/>
  <c r="AK899" i="37" s="1"/>
  <c r="AB899" i="37"/>
  <c r="AC899" i="37" s="1"/>
  <c r="AD899" i="37" s="1"/>
  <c r="AN899" i="37" l="1"/>
  <c r="AL899" i="37"/>
  <c r="AI900" i="37"/>
  <c r="AJ900" i="37" s="1"/>
  <c r="AK900" i="37" s="1"/>
  <c r="AD900" i="37"/>
  <c r="W903" i="37"/>
  <c r="X902" i="37"/>
  <c r="AE902" i="37"/>
  <c r="AO903" i="37" s="1"/>
  <c r="V902" i="37"/>
  <c r="Z902" i="37" s="1"/>
  <c r="AG901" i="37"/>
  <c r="AH901" i="37"/>
  <c r="AF901" i="37"/>
  <c r="Y901" i="37"/>
  <c r="AA901" i="37"/>
  <c r="AB901" i="37" s="1"/>
  <c r="AC901" i="37" s="1"/>
  <c r="AN900" i="37" l="1"/>
  <c r="AL900" i="37"/>
  <c r="AI901" i="37"/>
  <c r="AJ901" i="37" s="1"/>
  <c r="AK901" i="37" s="1"/>
  <c r="AG902" i="37"/>
  <c r="AH902" i="37"/>
  <c r="AF902" i="37"/>
  <c r="AD901" i="37"/>
  <c r="Y902" i="37"/>
  <c r="AA902" i="37"/>
  <c r="AB902" i="37" s="1"/>
  <c r="AC902" i="37" s="1"/>
  <c r="X903" i="37"/>
  <c r="V903" i="37"/>
  <c r="Z903" i="37" s="1"/>
  <c r="AE903" i="37"/>
  <c r="AO904" i="37" s="1"/>
  <c r="W904" i="37"/>
  <c r="AL901" i="37" l="1"/>
  <c r="AN901" i="37"/>
  <c r="AD902" i="37"/>
  <c r="W905" i="37"/>
  <c r="X904" i="37"/>
  <c r="V904" i="37"/>
  <c r="AE904" i="37"/>
  <c r="AO905" i="37" s="1"/>
  <c r="AG903" i="37"/>
  <c r="AH903" i="37"/>
  <c r="AF903" i="37"/>
  <c r="AI902" i="37"/>
  <c r="AJ902" i="37" s="1"/>
  <c r="AK902" i="37" s="1"/>
  <c r="Y903" i="37"/>
  <c r="AA903" i="37"/>
  <c r="AB903" i="37" s="1"/>
  <c r="AC903" i="37" s="1"/>
  <c r="AL902" i="37" l="1"/>
  <c r="AN902" i="37"/>
  <c r="AI903" i="37"/>
  <c r="AJ903" i="37" s="1"/>
  <c r="AK903" i="37" s="1"/>
  <c r="Y904" i="37"/>
  <c r="AA904" i="37"/>
  <c r="AG904" i="37"/>
  <c r="AH904" i="37"/>
  <c r="AF904" i="37"/>
  <c r="Z904" i="37"/>
  <c r="AD903" i="37"/>
  <c r="X905" i="37"/>
  <c r="V905" i="37"/>
  <c r="AE905" i="37"/>
  <c r="AO906" i="37" s="1"/>
  <c r="W906" i="37"/>
  <c r="AB904" i="37" l="1"/>
  <c r="AC904" i="37" s="1"/>
  <c r="AD904" i="37" s="1"/>
  <c r="AL903" i="37"/>
  <c r="AN903" i="37"/>
  <c r="Y905" i="37"/>
  <c r="AA905" i="37"/>
  <c r="W907" i="37"/>
  <c r="X906" i="37"/>
  <c r="V906" i="37"/>
  <c r="AE906" i="37"/>
  <c r="AO907" i="37" s="1"/>
  <c r="AI904" i="37"/>
  <c r="AJ904" i="37" s="1"/>
  <c r="AK904" i="37" s="1"/>
  <c r="AG905" i="37"/>
  <c r="AH905" i="37"/>
  <c r="AF905" i="37"/>
  <c r="Z905" i="37"/>
  <c r="AB905" i="37" s="1"/>
  <c r="AC905" i="37" s="1"/>
  <c r="AL904" i="37" l="1"/>
  <c r="AN904" i="37"/>
  <c r="Y906" i="37"/>
  <c r="AA906" i="37"/>
  <c r="AG906" i="37"/>
  <c r="AH906" i="37"/>
  <c r="AF906" i="37"/>
  <c r="Z906" i="37"/>
  <c r="AB906" i="37" s="1"/>
  <c r="AC906" i="37" s="1"/>
  <c r="W908" i="37"/>
  <c r="X907" i="37"/>
  <c r="V907" i="37"/>
  <c r="AE907" i="37"/>
  <c r="AO908" i="37" s="1"/>
  <c r="AI905" i="37"/>
  <c r="AJ905" i="37" s="1"/>
  <c r="AK905" i="37" s="1"/>
  <c r="AD905" i="37"/>
  <c r="AN905" i="37" l="1"/>
  <c r="AL905" i="37"/>
  <c r="AA907" i="37"/>
  <c r="Y907" i="37"/>
  <c r="V908" i="37"/>
  <c r="AE908" i="37"/>
  <c r="AO909" i="37" s="1"/>
  <c r="W909" i="37"/>
  <c r="X908" i="37"/>
  <c r="AI906" i="37"/>
  <c r="AJ906" i="37" s="1"/>
  <c r="AK906" i="37" s="1"/>
  <c r="AG907" i="37"/>
  <c r="AH907" i="37"/>
  <c r="AF907" i="37"/>
  <c r="Z907" i="37"/>
  <c r="AB907" i="37" s="1"/>
  <c r="AC907" i="37" s="1"/>
  <c r="AD906" i="37"/>
  <c r="AL906" i="37" l="1"/>
  <c r="AN906" i="37"/>
  <c r="AA908" i="37"/>
  <c r="Y908" i="37"/>
  <c r="AE909" i="37"/>
  <c r="AO910" i="37" s="1"/>
  <c r="W910" i="37"/>
  <c r="X909" i="37"/>
  <c r="V909" i="37"/>
  <c r="AG908" i="37"/>
  <c r="AH908" i="37"/>
  <c r="AF908" i="37"/>
  <c r="Z908" i="37"/>
  <c r="AB908" i="37" s="1"/>
  <c r="AC908" i="37" s="1"/>
  <c r="AD907" i="37"/>
  <c r="AI907" i="37"/>
  <c r="AJ907" i="37" s="1"/>
  <c r="AK907" i="37" s="1"/>
  <c r="AL907" i="37" l="1"/>
  <c r="AN907" i="37"/>
  <c r="Z909" i="37"/>
  <c r="W911" i="37"/>
  <c r="X910" i="37"/>
  <c r="V910" i="37"/>
  <c r="AE910" i="37"/>
  <c r="AO911" i="37" s="1"/>
  <c r="AI908" i="37"/>
  <c r="AJ908" i="37" s="1"/>
  <c r="AK908" i="37" s="1"/>
  <c r="AA909" i="37"/>
  <c r="Y909" i="37"/>
  <c r="AG909" i="37"/>
  <c r="AF909" i="37"/>
  <c r="AH909" i="37"/>
  <c r="AD908" i="37"/>
  <c r="Z910" i="37" l="1"/>
  <c r="AL908" i="37"/>
  <c r="AB909" i="37"/>
  <c r="AC909" i="37" s="1"/>
  <c r="AD909" i="37" s="1"/>
  <c r="AN908" i="37"/>
  <c r="AG910" i="37"/>
  <c r="AF910" i="37"/>
  <c r="AH910" i="37"/>
  <c r="AA910" i="37"/>
  <c r="AB910" i="37" s="1"/>
  <c r="AC910" i="37" s="1"/>
  <c r="Y910" i="37"/>
  <c r="AI909" i="37"/>
  <c r="AJ909" i="37" s="1"/>
  <c r="AK909" i="37" s="1"/>
  <c r="X911" i="37"/>
  <c r="W912" i="37"/>
  <c r="V911" i="37"/>
  <c r="AE911" i="37"/>
  <c r="AO912" i="37" s="1"/>
  <c r="AL909" i="37" l="1"/>
  <c r="AN909" i="37"/>
  <c r="AD910" i="37"/>
  <c r="AA911" i="37"/>
  <c r="Y911" i="37"/>
  <c r="AG911" i="37"/>
  <c r="AF911" i="37"/>
  <c r="AH911" i="37"/>
  <c r="Z911" i="37"/>
  <c r="X912" i="37"/>
  <c r="W913" i="37"/>
  <c r="V912" i="37"/>
  <c r="AE912" i="37"/>
  <c r="AO913" i="37" s="1"/>
  <c r="AI910" i="37"/>
  <c r="AJ910" i="37" s="1"/>
  <c r="AK910" i="37" s="1"/>
  <c r="AB911" i="37" l="1"/>
  <c r="AC911" i="37" s="1"/>
  <c r="AD911" i="37" s="1"/>
  <c r="AL910" i="37"/>
  <c r="AN910" i="37"/>
  <c r="AA912" i="37"/>
  <c r="Y912" i="37"/>
  <c r="AI911" i="37"/>
  <c r="AJ911" i="37" s="1"/>
  <c r="AK911" i="37" s="1"/>
  <c r="AG912" i="37"/>
  <c r="AF912" i="37"/>
  <c r="AH912" i="37"/>
  <c r="Z912" i="37"/>
  <c r="X913" i="37"/>
  <c r="W914" i="37"/>
  <c r="V913" i="37"/>
  <c r="AE913" i="37"/>
  <c r="AO914" i="37" s="1"/>
  <c r="AB912" i="37" l="1"/>
  <c r="AC912" i="37" s="1"/>
  <c r="AD912" i="37" s="1"/>
  <c r="AL911" i="37"/>
  <c r="AN911" i="37"/>
  <c r="AG913" i="37"/>
  <c r="AF913" i="37"/>
  <c r="AH913" i="37"/>
  <c r="AA913" i="37"/>
  <c r="Y913" i="37"/>
  <c r="AI912" i="37"/>
  <c r="AJ912" i="37" s="1"/>
  <c r="AK912" i="37" s="1"/>
  <c r="Z913" i="37"/>
  <c r="X914" i="37"/>
  <c r="W915" i="37"/>
  <c r="V914" i="37"/>
  <c r="AE914" i="37"/>
  <c r="AO915" i="37" s="1"/>
  <c r="Z914" i="37" l="1"/>
  <c r="AB913" i="37"/>
  <c r="AC913" i="37" s="1"/>
  <c r="AD913" i="37" s="1"/>
  <c r="AL912" i="37"/>
  <c r="AN912" i="37"/>
  <c r="AG914" i="37"/>
  <c r="AF914" i="37"/>
  <c r="AH914" i="37"/>
  <c r="AB914" i="37"/>
  <c r="AC914" i="37" s="1"/>
  <c r="X915" i="37"/>
  <c r="W916" i="37"/>
  <c r="V915" i="37"/>
  <c r="Z915" i="37" s="1"/>
  <c r="AE915" i="37"/>
  <c r="AO916" i="37" s="1"/>
  <c r="AA914" i="37"/>
  <c r="Y914" i="37"/>
  <c r="AI913" i="37"/>
  <c r="AJ913" i="37" s="1"/>
  <c r="AK913" i="37" s="1"/>
  <c r="AL913" i="37" l="1"/>
  <c r="AN913" i="37"/>
  <c r="AD914" i="37"/>
  <c r="X916" i="37"/>
  <c r="W917" i="37"/>
  <c r="V916" i="37"/>
  <c r="AE916" i="37"/>
  <c r="AO917" i="37" s="1"/>
  <c r="AA915" i="37"/>
  <c r="AB915" i="37" s="1"/>
  <c r="AC915" i="37" s="1"/>
  <c r="Y915" i="37"/>
  <c r="AI914" i="37"/>
  <c r="AJ914" i="37" s="1"/>
  <c r="AK914" i="37" s="1"/>
  <c r="AG915" i="37"/>
  <c r="AF915" i="37"/>
  <c r="AH915" i="37"/>
  <c r="AN914" i="37" l="1"/>
  <c r="AL914" i="37"/>
  <c r="AA916" i="37"/>
  <c r="Y916" i="37"/>
  <c r="AD915" i="37"/>
  <c r="AG916" i="37"/>
  <c r="AF916" i="37"/>
  <c r="AH916" i="37"/>
  <c r="Z916" i="37"/>
  <c r="X917" i="37"/>
  <c r="W918" i="37"/>
  <c r="V917" i="37"/>
  <c r="Z917" i="37" s="1"/>
  <c r="AE917" i="37"/>
  <c r="AO918" i="37" s="1"/>
  <c r="AI915" i="37"/>
  <c r="AJ915" i="37" s="1"/>
  <c r="AK915" i="37" s="1"/>
  <c r="AB916" i="37" l="1"/>
  <c r="AC916" i="37" s="1"/>
  <c r="AD916" i="37" s="1"/>
  <c r="AL915" i="37"/>
  <c r="AN915" i="37"/>
  <c r="AI916" i="37"/>
  <c r="AJ916" i="37" s="1"/>
  <c r="AK916" i="37" s="1"/>
  <c r="AG917" i="37"/>
  <c r="AF917" i="37"/>
  <c r="AH917" i="37"/>
  <c r="AB917" i="37"/>
  <c r="AC917" i="37" s="1"/>
  <c r="X918" i="37"/>
  <c r="W919" i="37"/>
  <c r="V918" i="37"/>
  <c r="AE918" i="37"/>
  <c r="AO919" i="37" s="1"/>
  <c r="AA917" i="37"/>
  <c r="Y917" i="37"/>
  <c r="AN916" i="37" l="1"/>
  <c r="AL916" i="37"/>
  <c r="AA918" i="37"/>
  <c r="Y918" i="37"/>
  <c r="AG918" i="37"/>
  <c r="AF918" i="37"/>
  <c r="AH918" i="37"/>
  <c r="X919" i="37"/>
  <c r="W920" i="37"/>
  <c r="V919" i="37"/>
  <c r="AE919" i="37"/>
  <c r="AO920" i="37" s="1"/>
  <c r="AD917" i="37"/>
  <c r="AI917" i="37"/>
  <c r="AJ917" i="37" s="1"/>
  <c r="AK917" i="37" s="1"/>
  <c r="Z918" i="37"/>
  <c r="AB918" i="37" s="1"/>
  <c r="AC918" i="37" s="1"/>
  <c r="AL917" i="37" l="1"/>
  <c r="AN917" i="37"/>
  <c r="Z919" i="37"/>
  <c r="X920" i="37"/>
  <c r="W921" i="37"/>
  <c r="V920" i="37"/>
  <c r="Z920" i="37" s="1"/>
  <c r="AE920" i="37"/>
  <c r="AO921" i="37" s="1"/>
  <c r="AA919" i="37"/>
  <c r="AB919" i="37" s="1"/>
  <c r="AC919" i="37" s="1"/>
  <c r="Y919" i="37"/>
  <c r="AI918" i="37"/>
  <c r="AJ918" i="37" s="1"/>
  <c r="AK918" i="37" s="1"/>
  <c r="AD918" i="37"/>
  <c r="AG919" i="37"/>
  <c r="AF919" i="37"/>
  <c r="AH919" i="37"/>
  <c r="AL918" i="37" l="1"/>
  <c r="AN918" i="37"/>
  <c r="AD919" i="37"/>
  <c r="AG920" i="37"/>
  <c r="AF920" i="37"/>
  <c r="AH920" i="37"/>
  <c r="AI919" i="37"/>
  <c r="AJ919" i="37" s="1"/>
  <c r="AK919" i="37" s="1"/>
  <c r="X921" i="37"/>
  <c r="W922" i="37"/>
  <c r="V921" i="37"/>
  <c r="AE921" i="37"/>
  <c r="AO922" i="37" s="1"/>
  <c r="AA920" i="37"/>
  <c r="AB920" i="37" s="1"/>
  <c r="AC920" i="37" s="1"/>
  <c r="Y920" i="37"/>
  <c r="AL919" i="37" l="1"/>
  <c r="AN919" i="37"/>
  <c r="AA921" i="37"/>
  <c r="Y921" i="37"/>
  <c r="AD920" i="37"/>
  <c r="AG921" i="37"/>
  <c r="AF921" i="37"/>
  <c r="AH921" i="37"/>
  <c r="AI920" i="37"/>
  <c r="AJ920" i="37" s="1"/>
  <c r="AK920" i="37" s="1"/>
  <c r="Z921" i="37"/>
  <c r="W923" i="37"/>
  <c r="X922" i="37"/>
  <c r="AE922" i="37"/>
  <c r="AO923" i="37" s="1"/>
  <c r="V922" i="37"/>
  <c r="Z922" i="37" s="1"/>
  <c r="AB921" i="37" l="1"/>
  <c r="AC921" i="37" s="1"/>
  <c r="AD921" i="37" s="1"/>
  <c r="AL920" i="37"/>
  <c r="AN920" i="37"/>
  <c r="AH922" i="37"/>
  <c r="AG922" i="37"/>
  <c r="AI922" i="37" s="1"/>
  <c r="AJ922" i="37" s="1"/>
  <c r="AF922" i="37"/>
  <c r="V923" i="37"/>
  <c r="W924" i="37"/>
  <c r="AE923" i="37"/>
  <c r="AO924" i="37" s="1"/>
  <c r="X923" i="37"/>
  <c r="AI921" i="37"/>
  <c r="AJ921" i="37" s="1"/>
  <c r="AK921" i="37" s="1"/>
  <c r="AA922" i="37"/>
  <c r="AB922" i="37" s="1"/>
  <c r="AC922" i="37" s="1"/>
  <c r="Y922" i="37"/>
  <c r="AL921" i="37" l="1"/>
  <c r="AN921" i="37"/>
  <c r="AK922" i="37"/>
  <c r="AF923" i="37"/>
  <c r="AG923" i="37"/>
  <c r="AH923" i="37"/>
  <c r="AD922" i="37"/>
  <c r="AA923" i="37"/>
  <c r="Y923" i="37"/>
  <c r="V924" i="37"/>
  <c r="X924" i="37"/>
  <c r="AE924" i="37"/>
  <c r="AO925" i="37" s="1"/>
  <c r="W925" i="37"/>
  <c r="Z923" i="37"/>
  <c r="AN922" i="37" l="1"/>
  <c r="AL922" i="37"/>
  <c r="Y924" i="37"/>
  <c r="AA924" i="37"/>
  <c r="Z924" i="37"/>
  <c r="AB923" i="37"/>
  <c r="AC923" i="37" s="1"/>
  <c r="AD923" i="37" s="1"/>
  <c r="V925" i="37"/>
  <c r="AE925" i="37"/>
  <c r="AO926" i="37" s="1"/>
  <c r="W926" i="37"/>
  <c r="X925" i="37"/>
  <c r="AI923" i="37"/>
  <c r="AJ923" i="37" s="1"/>
  <c r="AK923" i="37" s="1"/>
  <c r="AH924" i="37"/>
  <c r="AG924" i="37"/>
  <c r="AI924" i="37" s="1"/>
  <c r="AJ924" i="37" s="1"/>
  <c r="AF924" i="37"/>
  <c r="AB924" i="37" l="1"/>
  <c r="AC924" i="37" s="1"/>
  <c r="AD924" i="37" s="1"/>
  <c r="AN923" i="37"/>
  <c r="AL923" i="37"/>
  <c r="AK924" i="37"/>
  <c r="Z925" i="37"/>
  <c r="W927" i="37"/>
  <c r="AE926" i="37"/>
  <c r="AO927" i="37" s="1"/>
  <c r="V926" i="37"/>
  <c r="X926" i="37"/>
  <c r="AH925" i="37"/>
  <c r="AG925" i="37"/>
  <c r="AI925" i="37" s="1"/>
  <c r="AJ925" i="37" s="1"/>
  <c r="AF925" i="37"/>
  <c r="AA925" i="37"/>
  <c r="Y925" i="37"/>
  <c r="AN924" i="37" l="1"/>
  <c r="AL924" i="37"/>
  <c r="AB925" i="37"/>
  <c r="AC925" i="37" s="1"/>
  <c r="AD925" i="37" s="1"/>
  <c r="AK925" i="37"/>
  <c r="Y926" i="37"/>
  <c r="AA926" i="37"/>
  <c r="Z926" i="37"/>
  <c r="AB926" i="37" s="1"/>
  <c r="AC926" i="37" s="1"/>
  <c r="AH926" i="37"/>
  <c r="AG926" i="37"/>
  <c r="AF926" i="37"/>
  <c r="W928" i="37"/>
  <c r="AE927" i="37"/>
  <c r="AO928" i="37" s="1"/>
  <c r="V927" i="37"/>
  <c r="X927" i="37"/>
  <c r="AI926" i="37" l="1"/>
  <c r="AJ926" i="37" s="1"/>
  <c r="AK926" i="37" s="1"/>
  <c r="AL925" i="37"/>
  <c r="AN925" i="37"/>
  <c r="W929" i="37"/>
  <c r="AE928" i="37"/>
  <c r="AO929" i="37" s="1"/>
  <c r="V928" i="37"/>
  <c r="X928" i="37"/>
  <c r="AA927" i="37"/>
  <c r="Y927" i="37"/>
  <c r="Z927" i="37"/>
  <c r="AH927" i="37"/>
  <c r="AG927" i="37"/>
  <c r="AI927" i="37" s="1"/>
  <c r="AJ927" i="37" s="1"/>
  <c r="AF927" i="37"/>
  <c r="AD926" i="37"/>
  <c r="AB927" i="37" l="1"/>
  <c r="AC927" i="37" s="1"/>
  <c r="AD927" i="37" s="1"/>
  <c r="AN926" i="37"/>
  <c r="AL926" i="37"/>
  <c r="AK927" i="37"/>
  <c r="Z928" i="37"/>
  <c r="AA928" i="37"/>
  <c r="Y928" i="37"/>
  <c r="AH928" i="37"/>
  <c r="AF928" i="37"/>
  <c r="AG928" i="37"/>
  <c r="W930" i="37"/>
  <c r="AE929" i="37"/>
  <c r="AO930" i="37" s="1"/>
  <c r="V929" i="37"/>
  <c r="X929" i="37"/>
  <c r="AI928" i="37" l="1"/>
  <c r="AJ928" i="37" s="1"/>
  <c r="AK928" i="37" s="1"/>
  <c r="AN927" i="37"/>
  <c r="AL927" i="37"/>
  <c r="W931" i="37"/>
  <c r="AE930" i="37"/>
  <c r="AO931" i="37" s="1"/>
  <c r="V930" i="37"/>
  <c r="X930" i="37"/>
  <c r="AA929" i="37"/>
  <c r="Y929" i="37"/>
  <c r="Z929" i="37"/>
  <c r="AH929" i="37"/>
  <c r="AG929" i="37"/>
  <c r="AI929" i="37" s="1"/>
  <c r="AJ929" i="37" s="1"/>
  <c r="AF929" i="37"/>
  <c r="AB928" i="37"/>
  <c r="AC928" i="37" s="1"/>
  <c r="AD928" i="37" s="1"/>
  <c r="AL928" i="37" l="1"/>
  <c r="AN928" i="37"/>
  <c r="AK929" i="37"/>
  <c r="Y930" i="37"/>
  <c r="AA930" i="37"/>
  <c r="Z930" i="37"/>
  <c r="AB930" i="37" s="1"/>
  <c r="AC930" i="37" s="1"/>
  <c r="AH930" i="37"/>
  <c r="AG930" i="37"/>
  <c r="AF930" i="37"/>
  <c r="AB929" i="37"/>
  <c r="AC929" i="37" s="1"/>
  <c r="AD929" i="37" s="1"/>
  <c r="W932" i="37"/>
  <c r="AE931" i="37"/>
  <c r="AO932" i="37" s="1"/>
  <c r="V931" i="37"/>
  <c r="X931" i="37"/>
  <c r="AL929" i="37" l="1"/>
  <c r="AN929" i="37"/>
  <c r="AI930" i="37"/>
  <c r="AJ930" i="37" s="1"/>
  <c r="AK930" i="37" s="1"/>
  <c r="W933" i="37"/>
  <c r="AE932" i="37"/>
  <c r="AO933" i="37" s="1"/>
  <c r="V932" i="37"/>
  <c r="X932" i="37"/>
  <c r="AA931" i="37"/>
  <c r="Y931" i="37"/>
  <c r="Z931" i="37"/>
  <c r="AH931" i="37"/>
  <c r="AG931" i="37"/>
  <c r="AF931" i="37"/>
  <c r="AD930" i="37"/>
  <c r="AN930" i="37" l="1"/>
  <c r="AL930" i="37"/>
  <c r="AB931" i="37"/>
  <c r="AC931" i="37" s="1"/>
  <c r="AD931" i="37" s="1"/>
  <c r="AA932" i="37"/>
  <c r="Y932" i="37"/>
  <c r="Z932" i="37"/>
  <c r="AB932" i="37" s="1"/>
  <c r="AC932" i="37" s="1"/>
  <c r="AH932" i="37"/>
  <c r="AF932" i="37"/>
  <c r="AG932" i="37"/>
  <c r="AI931" i="37"/>
  <c r="AJ931" i="37" s="1"/>
  <c r="AK931" i="37" s="1"/>
  <c r="W934" i="37"/>
  <c r="AE933" i="37"/>
  <c r="AO934" i="37" s="1"/>
  <c r="V933" i="37"/>
  <c r="X933" i="37"/>
  <c r="AI932" i="37" l="1"/>
  <c r="AJ932" i="37" s="1"/>
  <c r="AK932" i="37" s="1"/>
  <c r="AL931" i="37"/>
  <c r="AN931" i="37"/>
  <c r="AA933" i="37"/>
  <c r="Y933" i="37"/>
  <c r="Z933" i="37"/>
  <c r="AB933" i="37" s="1"/>
  <c r="AC933" i="37" s="1"/>
  <c r="AH933" i="37"/>
  <c r="AG933" i="37"/>
  <c r="AF933" i="37"/>
  <c r="W935" i="37"/>
  <c r="AE934" i="37"/>
  <c r="AO935" i="37" s="1"/>
  <c r="V934" i="37"/>
  <c r="X934" i="37"/>
  <c r="AD932" i="37"/>
  <c r="AI933" i="37" l="1"/>
  <c r="AJ933" i="37" s="1"/>
  <c r="AK933" i="37" s="1"/>
  <c r="AL932" i="37"/>
  <c r="AN932" i="37"/>
  <c r="W936" i="37"/>
  <c r="AE935" i="37"/>
  <c r="AO936" i="37" s="1"/>
  <c r="V935" i="37"/>
  <c r="X935" i="37"/>
  <c r="Y934" i="37"/>
  <c r="AA934" i="37"/>
  <c r="Z934" i="37"/>
  <c r="AB934" i="37" s="1"/>
  <c r="AC934" i="37" s="1"/>
  <c r="AD933" i="37"/>
  <c r="AH934" i="37"/>
  <c r="AG934" i="37"/>
  <c r="AI934" i="37" s="1"/>
  <c r="AJ934" i="37" s="1"/>
  <c r="AF934" i="37"/>
  <c r="AL933" i="37" l="1"/>
  <c r="AN933" i="37"/>
  <c r="AK934" i="37"/>
  <c r="AA935" i="37"/>
  <c r="Y935" i="37"/>
  <c r="AD934" i="37"/>
  <c r="Z935" i="37"/>
  <c r="AB935" i="37" s="1"/>
  <c r="AC935" i="37" s="1"/>
  <c r="AH935" i="37"/>
  <c r="AG935" i="37"/>
  <c r="AF935" i="37"/>
  <c r="W937" i="37"/>
  <c r="AE936" i="37"/>
  <c r="AO937" i="37" s="1"/>
  <c r="V936" i="37"/>
  <c r="X936" i="37"/>
  <c r="AI935" i="37" l="1"/>
  <c r="AJ935" i="37" s="1"/>
  <c r="AK935" i="37" s="1"/>
  <c r="AN934" i="37"/>
  <c r="AL934" i="37"/>
  <c r="W938" i="37"/>
  <c r="AE937" i="37"/>
  <c r="AO938" i="37" s="1"/>
  <c r="V937" i="37"/>
  <c r="X937" i="37"/>
  <c r="AA936" i="37"/>
  <c r="Y936" i="37"/>
  <c r="Z936" i="37"/>
  <c r="AD935" i="37"/>
  <c r="AH936" i="37"/>
  <c r="AF936" i="37"/>
  <c r="AG936" i="37"/>
  <c r="AI936" i="37" s="1"/>
  <c r="AJ936" i="37" s="1"/>
  <c r="AB936" i="37" l="1"/>
  <c r="AC936" i="37" s="1"/>
  <c r="AD936" i="37" s="1"/>
  <c r="AL935" i="37"/>
  <c r="AN935" i="37"/>
  <c r="AA937" i="37"/>
  <c r="Y937" i="37"/>
  <c r="AK936" i="37"/>
  <c r="Z937" i="37"/>
  <c r="AB937" i="37" s="1"/>
  <c r="AC937" i="37" s="1"/>
  <c r="AH937" i="37"/>
  <c r="AG937" i="37"/>
  <c r="AF937" i="37"/>
  <c r="W939" i="37"/>
  <c r="AE938" i="37"/>
  <c r="AO939" i="37" s="1"/>
  <c r="V938" i="37"/>
  <c r="X938" i="37"/>
  <c r="AI937" i="37" l="1"/>
  <c r="AJ937" i="37" s="1"/>
  <c r="AK937" i="37" s="1"/>
  <c r="AL936" i="37"/>
  <c r="AN936" i="37"/>
  <c r="Y938" i="37"/>
  <c r="AA938" i="37"/>
  <c r="Z938" i="37"/>
  <c r="AB938" i="37" s="1"/>
  <c r="AC938" i="37" s="1"/>
  <c r="AD937" i="37"/>
  <c r="AH938" i="37"/>
  <c r="AG938" i="37"/>
  <c r="AF938" i="37"/>
  <c r="W940" i="37"/>
  <c r="AE939" i="37"/>
  <c r="AO940" i="37" s="1"/>
  <c r="V939" i="37"/>
  <c r="X939" i="37"/>
  <c r="AI938" i="37" l="1"/>
  <c r="AJ938" i="37" s="1"/>
  <c r="AK938" i="37" s="1"/>
  <c r="AN937" i="37"/>
  <c r="AL937" i="37"/>
  <c r="W941" i="37"/>
  <c r="AE940" i="37"/>
  <c r="AO941" i="37" s="1"/>
  <c r="V940" i="37"/>
  <c r="X940" i="37"/>
  <c r="AA939" i="37"/>
  <c r="Y939" i="37"/>
  <c r="Z939" i="37"/>
  <c r="AH939" i="37"/>
  <c r="AG939" i="37"/>
  <c r="AI939" i="37" s="1"/>
  <c r="AJ939" i="37" s="1"/>
  <c r="AF939" i="37"/>
  <c r="AD938" i="37"/>
  <c r="AB939" i="37" l="1"/>
  <c r="AC939" i="37" s="1"/>
  <c r="AD939" i="37" s="1"/>
  <c r="AL938" i="37"/>
  <c r="AK939" i="37"/>
  <c r="AN938" i="37"/>
  <c r="Z940" i="37"/>
  <c r="AA940" i="37"/>
  <c r="Y940" i="37"/>
  <c r="AH940" i="37"/>
  <c r="AF940" i="37"/>
  <c r="AG940" i="37"/>
  <c r="W942" i="37"/>
  <c r="AE941" i="37"/>
  <c r="AO942" i="37" s="1"/>
  <c r="V941" i="37"/>
  <c r="X941" i="37"/>
  <c r="AI940" i="37" l="1"/>
  <c r="AJ940" i="37" s="1"/>
  <c r="AK940" i="37" s="1"/>
  <c r="AN939" i="37"/>
  <c r="AL939" i="37"/>
  <c r="W943" i="37"/>
  <c r="AE942" i="37"/>
  <c r="AO943" i="37" s="1"/>
  <c r="V942" i="37"/>
  <c r="X942" i="37"/>
  <c r="AA941" i="37"/>
  <c r="Y941" i="37"/>
  <c r="Z941" i="37"/>
  <c r="AB940" i="37"/>
  <c r="AC940" i="37" s="1"/>
  <c r="AD940" i="37" s="1"/>
  <c r="AH941" i="37"/>
  <c r="AG941" i="37"/>
  <c r="AF941" i="37"/>
  <c r="AI941" i="37" l="1"/>
  <c r="AJ941" i="37" s="1"/>
  <c r="AK941" i="37" s="1"/>
  <c r="AL940" i="37"/>
  <c r="AN940" i="37"/>
  <c r="Z942" i="37"/>
  <c r="Y942" i="37"/>
  <c r="AA942" i="37"/>
  <c r="AH942" i="37"/>
  <c r="AG942" i="37"/>
  <c r="AF942" i="37"/>
  <c r="AB941" i="37"/>
  <c r="AC941" i="37" s="1"/>
  <c r="AD941" i="37" s="1"/>
  <c r="W944" i="37"/>
  <c r="AE943" i="37"/>
  <c r="AO944" i="37" s="1"/>
  <c r="V943" i="37"/>
  <c r="X943" i="37"/>
  <c r="AI942" i="37" l="1"/>
  <c r="AJ942" i="37" s="1"/>
  <c r="AK942" i="37" s="1"/>
  <c r="AL941" i="37"/>
  <c r="AN941" i="37"/>
  <c r="AA943" i="37"/>
  <c r="Y943" i="37"/>
  <c r="Z943" i="37"/>
  <c r="AB943" i="37" s="1"/>
  <c r="AC943" i="37" s="1"/>
  <c r="AH943" i="37"/>
  <c r="AG943" i="37"/>
  <c r="AF943" i="37"/>
  <c r="W945" i="37"/>
  <c r="AE944" i="37"/>
  <c r="AO945" i="37" s="1"/>
  <c r="V944" i="37"/>
  <c r="X944" i="37"/>
  <c r="AB942" i="37"/>
  <c r="AC942" i="37" s="1"/>
  <c r="AD942" i="37" s="1"/>
  <c r="AI943" i="37" l="1"/>
  <c r="AJ943" i="37" s="1"/>
  <c r="AK943" i="37" s="1"/>
  <c r="AN942" i="37"/>
  <c r="AL942" i="37"/>
  <c r="W946" i="37"/>
  <c r="AE945" i="37"/>
  <c r="AO946" i="37" s="1"/>
  <c r="V945" i="37"/>
  <c r="X945" i="37"/>
  <c r="AA944" i="37"/>
  <c r="Y944" i="37"/>
  <c r="Z944" i="37"/>
  <c r="AD943" i="37"/>
  <c r="AH944" i="37"/>
  <c r="AF944" i="37"/>
  <c r="AG944" i="37"/>
  <c r="AI944" i="37" s="1"/>
  <c r="AJ944" i="37" s="1"/>
  <c r="AB944" i="37" l="1"/>
  <c r="AC944" i="37" s="1"/>
  <c r="AD944" i="37" s="1"/>
  <c r="AN943" i="37"/>
  <c r="AL943" i="37"/>
  <c r="AA945" i="37"/>
  <c r="Y945" i="37"/>
  <c r="Z945" i="37"/>
  <c r="AB945" i="37" s="1"/>
  <c r="AC945" i="37" s="1"/>
  <c r="AK944" i="37"/>
  <c r="AH945" i="37"/>
  <c r="AG945" i="37"/>
  <c r="AF945" i="37"/>
  <c r="W947" i="37"/>
  <c r="AE946" i="37"/>
  <c r="AO947" i="37" s="1"/>
  <c r="V946" i="37"/>
  <c r="X946" i="37"/>
  <c r="AI945" i="37" l="1"/>
  <c r="AJ945" i="37" s="1"/>
  <c r="AK945" i="37" s="1"/>
  <c r="AL944" i="37"/>
  <c r="AN944" i="37"/>
  <c r="Y946" i="37"/>
  <c r="AA946" i="37"/>
  <c r="Z946" i="37"/>
  <c r="AB946" i="37" s="1"/>
  <c r="AC946" i="37" s="1"/>
  <c r="AH946" i="37"/>
  <c r="AG946" i="37"/>
  <c r="AF946" i="37"/>
  <c r="AD945" i="37"/>
  <c r="W948" i="37"/>
  <c r="AE947" i="37"/>
  <c r="AO948" i="37" s="1"/>
  <c r="V947" i="37"/>
  <c r="X947" i="37"/>
  <c r="AI946" i="37" l="1"/>
  <c r="AJ946" i="37" s="1"/>
  <c r="AK946" i="37" s="1"/>
  <c r="AL945" i="37"/>
  <c r="AN945" i="37"/>
  <c r="AA947" i="37"/>
  <c r="Y947" i="37"/>
  <c r="Z947" i="37"/>
  <c r="AB947" i="37" s="1"/>
  <c r="AC947" i="37" s="1"/>
  <c r="AH947" i="37"/>
  <c r="AG947" i="37"/>
  <c r="AF947" i="37"/>
  <c r="AD946" i="37"/>
  <c r="W949" i="37"/>
  <c r="AE948" i="37"/>
  <c r="AO949" i="37" s="1"/>
  <c r="V948" i="37"/>
  <c r="X948" i="37"/>
  <c r="AI947" i="37" l="1"/>
  <c r="AJ947" i="37" s="1"/>
  <c r="AK947" i="37" s="1"/>
  <c r="AL946" i="37"/>
  <c r="AN946" i="37"/>
  <c r="AA948" i="37"/>
  <c r="Y948" i="37"/>
  <c r="Z948" i="37"/>
  <c r="AB948" i="37" s="1"/>
  <c r="AC948" i="37" s="1"/>
  <c r="AH948" i="37"/>
  <c r="AF948" i="37"/>
  <c r="AG948" i="37"/>
  <c r="AD947" i="37"/>
  <c r="W950" i="37"/>
  <c r="AE949" i="37"/>
  <c r="AO950" i="37" s="1"/>
  <c r="V949" i="37"/>
  <c r="X949" i="37"/>
  <c r="AI948" i="37" l="1"/>
  <c r="AJ948" i="37" s="1"/>
  <c r="AK948" i="37" s="1"/>
  <c r="AL947" i="37"/>
  <c r="AN947" i="37"/>
  <c r="AA949" i="37"/>
  <c r="Y949" i="37"/>
  <c r="Z949" i="37"/>
  <c r="AB949" i="37" s="1"/>
  <c r="AC949" i="37" s="1"/>
  <c r="AD948" i="37"/>
  <c r="AH949" i="37"/>
  <c r="AG949" i="37"/>
  <c r="AF949" i="37"/>
  <c r="W951" i="37"/>
  <c r="AE950" i="37"/>
  <c r="AO951" i="37" s="1"/>
  <c r="V950" i="37"/>
  <c r="X950" i="37"/>
  <c r="AI949" i="37" l="1"/>
  <c r="AJ949" i="37" s="1"/>
  <c r="AK949" i="37" s="1"/>
  <c r="AN948" i="37"/>
  <c r="AL948" i="37"/>
  <c r="Y950" i="37"/>
  <c r="AA950" i="37"/>
  <c r="Z950" i="37"/>
  <c r="AH950" i="37"/>
  <c r="AG950" i="37"/>
  <c r="AF950" i="37"/>
  <c r="AD949" i="37"/>
  <c r="W952" i="37"/>
  <c r="AE951" i="37"/>
  <c r="AO952" i="37" s="1"/>
  <c r="V951" i="37"/>
  <c r="X951" i="37"/>
  <c r="AI950" i="37" l="1"/>
  <c r="AJ950" i="37" s="1"/>
  <c r="AK950" i="37" s="1"/>
  <c r="AB950" i="37"/>
  <c r="AC950" i="37" s="1"/>
  <c r="AD950" i="37" s="1"/>
  <c r="AN949" i="37"/>
  <c r="AL949" i="37"/>
  <c r="AA951" i="37"/>
  <c r="Y951" i="37"/>
  <c r="Z951" i="37"/>
  <c r="AB951" i="37" s="1"/>
  <c r="AC951" i="37" s="1"/>
  <c r="AH951" i="37"/>
  <c r="AG951" i="37"/>
  <c r="AF951" i="37"/>
  <c r="W953" i="37"/>
  <c r="AE952" i="37"/>
  <c r="AO953" i="37" s="1"/>
  <c r="V952" i="37"/>
  <c r="X952" i="37"/>
  <c r="AI951" i="37" l="1"/>
  <c r="AJ951" i="37" s="1"/>
  <c r="AK951" i="37" s="1"/>
  <c r="AN950" i="37"/>
  <c r="AL950" i="37"/>
  <c r="AA952" i="37"/>
  <c r="Y952" i="37"/>
  <c r="Z952" i="37"/>
  <c r="AB952" i="37" s="1"/>
  <c r="AC952" i="37" s="1"/>
  <c r="AD951" i="37"/>
  <c r="AH952" i="37"/>
  <c r="AF952" i="37"/>
  <c r="AG952" i="37"/>
  <c r="W954" i="37"/>
  <c r="AE953" i="37"/>
  <c r="AO954" i="37" s="1"/>
  <c r="V953" i="37"/>
  <c r="X953" i="37"/>
  <c r="AI952" i="37" l="1"/>
  <c r="AJ952" i="37" s="1"/>
  <c r="AK952" i="37" s="1"/>
  <c r="AN951" i="37"/>
  <c r="AL951" i="37"/>
  <c r="AA953" i="37"/>
  <c r="Y953" i="37"/>
  <c r="Z953" i="37"/>
  <c r="AB953" i="37" s="1"/>
  <c r="AC953" i="37" s="1"/>
  <c r="AD952" i="37"/>
  <c r="AH953" i="37"/>
  <c r="AG953" i="37"/>
  <c r="AF953" i="37"/>
  <c r="W955" i="37"/>
  <c r="AE954" i="37"/>
  <c r="AO955" i="37" s="1"/>
  <c r="V954" i="37"/>
  <c r="X954" i="37"/>
  <c r="AI953" i="37" l="1"/>
  <c r="AJ953" i="37" s="1"/>
  <c r="AK953" i="37" s="1"/>
  <c r="AN952" i="37"/>
  <c r="AL952" i="37"/>
  <c r="Y954" i="37"/>
  <c r="AA954" i="37"/>
  <c r="Z954" i="37"/>
  <c r="AB954" i="37" s="1"/>
  <c r="AC954" i="37" s="1"/>
  <c r="AD953" i="37"/>
  <c r="AH954" i="37"/>
  <c r="AG954" i="37"/>
  <c r="AF954" i="37"/>
  <c r="W956" i="37"/>
  <c r="AE955" i="37"/>
  <c r="AO956" i="37" s="1"/>
  <c r="V955" i="37"/>
  <c r="X955" i="37"/>
  <c r="AI954" i="37" l="1"/>
  <c r="AJ954" i="37" s="1"/>
  <c r="AK954" i="37" s="1"/>
  <c r="AN953" i="37"/>
  <c r="AL953" i="37"/>
  <c r="AA955" i="37"/>
  <c r="Y955" i="37"/>
  <c r="Z955" i="37"/>
  <c r="AB955" i="37" s="1"/>
  <c r="AC955" i="37" s="1"/>
  <c r="AH955" i="37"/>
  <c r="AG955" i="37"/>
  <c r="AF955" i="37"/>
  <c r="AD954" i="37"/>
  <c r="W957" i="37"/>
  <c r="AE956" i="37"/>
  <c r="AO957" i="37" s="1"/>
  <c r="V956" i="37"/>
  <c r="X956" i="37"/>
  <c r="AI955" i="37" l="1"/>
  <c r="AJ955" i="37" s="1"/>
  <c r="AK955" i="37" s="1"/>
  <c r="AN954" i="37"/>
  <c r="AL954" i="37"/>
  <c r="Y956" i="37"/>
  <c r="AA956" i="37"/>
  <c r="Z956" i="37"/>
  <c r="AB956" i="37" s="1"/>
  <c r="AC956" i="37" s="1"/>
  <c r="AD955" i="37"/>
  <c r="AH956" i="37"/>
  <c r="AG956" i="37"/>
  <c r="AF956" i="37"/>
  <c r="W958" i="37"/>
  <c r="AE957" i="37"/>
  <c r="AO958" i="37" s="1"/>
  <c r="V957" i="37"/>
  <c r="X957" i="37"/>
  <c r="AI956" i="37" l="1"/>
  <c r="AJ956" i="37" s="1"/>
  <c r="AK956" i="37" s="1"/>
  <c r="AN955" i="37"/>
  <c r="AL955" i="37"/>
  <c r="Y957" i="37"/>
  <c r="AA957" i="37"/>
  <c r="Z957" i="37"/>
  <c r="AB957" i="37" s="1"/>
  <c r="AC957" i="37" s="1"/>
  <c r="AH957" i="37"/>
  <c r="AG957" i="37"/>
  <c r="AF957" i="37"/>
  <c r="AD956" i="37"/>
  <c r="W959" i="37"/>
  <c r="AE958" i="37"/>
  <c r="AO959" i="37" s="1"/>
  <c r="V958" i="37"/>
  <c r="X958" i="37"/>
  <c r="AI957" i="37" l="1"/>
  <c r="AJ957" i="37" s="1"/>
  <c r="AK957" i="37" s="1"/>
  <c r="AN956" i="37"/>
  <c r="AL956" i="37"/>
  <c r="Y958" i="37"/>
  <c r="AA958" i="37"/>
  <c r="Z958" i="37"/>
  <c r="AH958" i="37"/>
  <c r="AG958" i="37"/>
  <c r="AF958" i="37"/>
  <c r="W960" i="37"/>
  <c r="AE959" i="37"/>
  <c r="AO960" i="37" s="1"/>
  <c r="V959" i="37"/>
  <c r="X959" i="37"/>
  <c r="AD957" i="37"/>
  <c r="AI958" i="37" l="1"/>
  <c r="AJ958" i="37" s="1"/>
  <c r="AK958" i="37" s="1"/>
  <c r="AB958" i="37"/>
  <c r="AC958" i="37" s="1"/>
  <c r="AD958" i="37" s="1"/>
  <c r="AN957" i="37"/>
  <c r="AL957" i="37"/>
  <c r="W961" i="37"/>
  <c r="AE960" i="37"/>
  <c r="AO961" i="37" s="1"/>
  <c r="V960" i="37"/>
  <c r="X960" i="37"/>
  <c r="Y959" i="37"/>
  <c r="AA959" i="37"/>
  <c r="Z959" i="37"/>
  <c r="AB959" i="37" s="1"/>
  <c r="AC959" i="37" s="1"/>
  <c r="AH959" i="37"/>
  <c r="AG959" i="37"/>
  <c r="AI959" i="37" s="1"/>
  <c r="AJ959" i="37" s="1"/>
  <c r="AF959" i="37"/>
  <c r="AL958" i="37" l="1"/>
  <c r="AN958" i="37"/>
  <c r="AK959" i="37"/>
  <c r="Y960" i="37"/>
  <c r="AA960" i="37"/>
  <c r="AD959" i="37"/>
  <c r="Z960" i="37"/>
  <c r="AB960" i="37" s="1"/>
  <c r="AC960" i="37" s="1"/>
  <c r="AH960" i="37"/>
  <c r="AG960" i="37"/>
  <c r="AF960" i="37"/>
  <c r="W962" i="37"/>
  <c r="AE961" i="37"/>
  <c r="AO962" i="37" s="1"/>
  <c r="V961" i="37"/>
  <c r="X961" i="37"/>
  <c r="AI960" i="37" l="1"/>
  <c r="AJ960" i="37" s="1"/>
  <c r="AK960" i="37" s="1"/>
  <c r="AN959" i="37"/>
  <c r="AL959" i="37"/>
  <c r="W963" i="37"/>
  <c r="AE962" i="37"/>
  <c r="AO963" i="37" s="1"/>
  <c r="V962" i="37"/>
  <c r="X962" i="37"/>
  <c r="Y961" i="37"/>
  <c r="AA961" i="37"/>
  <c r="Z961" i="37"/>
  <c r="AB961" i="37" s="1"/>
  <c r="AC961" i="37" s="1"/>
  <c r="AH961" i="37"/>
  <c r="AG961" i="37"/>
  <c r="AF961" i="37"/>
  <c r="AD960" i="37"/>
  <c r="AL960" i="37" l="1"/>
  <c r="AN960" i="37"/>
  <c r="AD961" i="37"/>
  <c r="Z962" i="37"/>
  <c r="AI961" i="37"/>
  <c r="AJ961" i="37" s="1"/>
  <c r="AK961" i="37" s="1"/>
  <c r="AH962" i="37"/>
  <c r="AG962" i="37"/>
  <c r="AI962" i="37" s="1"/>
  <c r="AJ962" i="37" s="1"/>
  <c r="AF962" i="37"/>
  <c r="Y962" i="37"/>
  <c r="AA962" i="37"/>
  <c r="W964" i="37"/>
  <c r="AE963" i="37"/>
  <c r="AO964" i="37" s="1"/>
  <c r="V963" i="37"/>
  <c r="X963" i="37"/>
  <c r="AL961" i="37" l="1"/>
  <c r="AN961" i="37"/>
  <c r="AB962" i="37"/>
  <c r="AC962" i="37" s="1"/>
  <c r="AD962" i="37" s="1"/>
  <c r="AK962" i="37"/>
  <c r="Y963" i="37"/>
  <c r="AA963" i="37"/>
  <c r="Z963" i="37"/>
  <c r="AB963" i="37" s="1"/>
  <c r="AC963" i="37" s="1"/>
  <c r="AH963" i="37"/>
  <c r="AG963" i="37"/>
  <c r="AF963" i="37"/>
  <c r="W965" i="37"/>
  <c r="AE964" i="37"/>
  <c r="AO965" i="37" s="1"/>
  <c r="V964" i="37"/>
  <c r="X964" i="37"/>
  <c r="AI963" i="37" l="1"/>
  <c r="AJ963" i="37" s="1"/>
  <c r="AK963" i="37" s="1"/>
  <c r="AL962" i="37"/>
  <c r="AN962" i="37"/>
  <c r="Y964" i="37"/>
  <c r="AA964" i="37"/>
  <c r="AH964" i="37"/>
  <c r="AG964" i="37"/>
  <c r="AF964" i="37"/>
  <c r="X965" i="37"/>
  <c r="W966" i="37"/>
  <c r="AE965" i="37"/>
  <c r="AO966" i="37" s="1"/>
  <c r="V965" i="37"/>
  <c r="Z964" i="37"/>
  <c r="AB964" i="37" s="1"/>
  <c r="AC964" i="37" s="1"/>
  <c r="AD963" i="37"/>
  <c r="AI964" i="37" l="1"/>
  <c r="AJ964" i="37" s="1"/>
  <c r="AK964" i="37" s="1"/>
  <c r="AN963" i="37"/>
  <c r="AL963" i="37"/>
  <c r="AH965" i="37"/>
  <c r="AG965" i="37"/>
  <c r="AI965" i="37" s="1"/>
  <c r="AJ965" i="37" s="1"/>
  <c r="AF965" i="37"/>
  <c r="X966" i="37"/>
  <c r="W967" i="37"/>
  <c r="AE966" i="37"/>
  <c r="AO967" i="37" s="1"/>
  <c r="V966" i="37"/>
  <c r="Y965" i="37"/>
  <c r="AA965" i="37"/>
  <c r="Z965" i="37"/>
  <c r="AB965" i="37" s="1"/>
  <c r="AC965" i="37" s="1"/>
  <c r="AD964" i="37"/>
  <c r="Z966" i="37" l="1"/>
  <c r="AK965" i="37"/>
  <c r="AN964" i="37"/>
  <c r="AL964" i="37"/>
  <c r="AD965" i="37"/>
  <c r="X967" i="37"/>
  <c r="W968" i="37"/>
  <c r="AE967" i="37"/>
  <c r="AO968" i="37" s="1"/>
  <c r="V967" i="37"/>
  <c r="AH966" i="37"/>
  <c r="AG966" i="37"/>
  <c r="AF966" i="37"/>
  <c r="Y966" i="37"/>
  <c r="AA966" i="37"/>
  <c r="Z967" i="37" l="1"/>
  <c r="AB966" i="37"/>
  <c r="AC966" i="37" s="1"/>
  <c r="AN965" i="37"/>
  <c r="AL965" i="37"/>
  <c r="AI966" i="37"/>
  <c r="AJ966" i="37" s="1"/>
  <c r="AK966" i="37" s="1"/>
  <c r="AH967" i="37"/>
  <c r="AG967" i="37"/>
  <c r="AI967" i="37" s="1"/>
  <c r="AJ967" i="37" s="1"/>
  <c r="AF967" i="37"/>
  <c r="X968" i="37"/>
  <c r="W969" i="37"/>
  <c r="AE968" i="37"/>
  <c r="AO969" i="37" s="1"/>
  <c r="V968" i="37"/>
  <c r="Y967" i="37"/>
  <c r="AA967" i="37"/>
  <c r="AD966" i="37"/>
  <c r="AB967" i="37" l="1"/>
  <c r="AC967" i="37" s="1"/>
  <c r="AD967" i="37" s="1"/>
  <c r="AN966" i="37"/>
  <c r="AL966" i="37"/>
  <c r="Y968" i="37"/>
  <c r="AA968" i="37"/>
  <c r="AK967" i="37"/>
  <c r="Z968" i="37"/>
  <c r="AB968" i="37" s="1"/>
  <c r="AC968" i="37" s="1"/>
  <c r="X969" i="37"/>
  <c r="W970" i="37"/>
  <c r="AE969" i="37"/>
  <c r="AO970" i="37" s="1"/>
  <c r="V969" i="37"/>
  <c r="AH968" i="37"/>
  <c r="AG968" i="37"/>
  <c r="AI968" i="37" s="1"/>
  <c r="AJ968" i="37" s="1"/>
  <c r="AF968" i="37"/>
  <c r="Z969" i="37" l="1"/>
  <c r="AK968" i="37"/>
  <c r="AL967" i="37"/>
  <c r="AN967" i="37"/>
  <c r="AH969" i="37"/>
  <c r="AG969" i="37"/>
  <c r="AI969" i="37" s="1"/>
  <c r="AJ969" i="37" s="1"/>
  <c r="AF969" i="37"/>
  <c r="X970" i="37"/>
  <c r="W971" i="37"/>
  <c r="AE970" i="37"/>
  <c r="AO971" i="37" s="1"/>
  <c r="V970" i="37"/>
  <c r="Y969" i="37"/>
  <c r="AA969" i="37"/>
  <c r="AB969" i="37" s="1"/>
  <c r="AC969" i="37" s="1"/>
  <c r="AD968" i="37"/>
  <c r="AN968" i="37" l="1"/>
  <c r="AL968" i="37"/>
  <c r="AK969" i="37"/>
  <c r="Z970" i="37"/>
  <c r="AH970" i="37"/>
  <c r="AG970" i="37"/>
  <c r="AI970" i="37" s="1"/>
  <c r="AJ970" i="37" s="1"/>
  <c r="AF970" i="37"/>
  <c r="X971" i="37"/>
  <c r="W972" i="37"/>
  <c r="AE971" i="37"/>
  <c r="AO972" i="37" s="1"/>
  <c r="V971" i="37"/>
  <c r="Y970" i="37"/>
  <c r="AA970" i="37"/>
  <c r="AB970" i="37" s="1"/>
  <c r="AC970" i="37" s="1"/>
  <c r="AD969" i="37"/>
  <c r="AN969" i="37" l="1"/>
  <c r="AL969" i="37"/>
  <c r="Z971" i="37"/>
  <c r="Y971" i="37"/>
  <c r="AA971" i="37"/>
  <c r="AB971" i="37" s="1"/>
  <c r="AC971" i="37" s="1"/>
  <c r="AK970" i="37"/>
  <c r="AH971" i="37"/>
  <c r="AG971" i="37"/>
  <c r="AI971" i="37" s="1"/>
  <c r="AJ971" i="37" s="1"/>
  <c r="AF971" i="37"/>
  <c r="X972" i="37"/>
  <c r="W973" i="37"/>
  <c r="AE972" i="37"/>
  <c r="AO973" i="37" s="1"/>
  <c r="V972" i="37"/>
  <c r="AD970" i="37"/>
  <c r="AN970" i="37" l="1"/>
  <c r="AL970" i="37"/>
  <c r="Y972" i="37"/>
  <c r="AA972" i="37"/>
  <c r="AK971" i="37"/>
  <c r="Z972" i="37"/>
  <c r="AB972" i="37" s="1"/>
  <c r="AC972" i="37" s="1"/>
  <c r="AH972" i="37"/>
  <c r="AG972" i="37"/>
  <c r="AF972" i="37"/>
  <c r="AD971" i="37"/>
  <c r="X973" i="37"/>
  <c r="W974" i="37"/>
  <c r="AE973" i="37"/>
  <c r="AO974" i="37" s="1"/>
  <c r="V973" i="37"/>
  <c r="Z973" i="37" s="1"/>
  <c r="AN971" i="37" l="1"/>
  <c r="AL971" i="37"/>
  <c r="AI972" i="37"/>
  <c r="AJ972" i="37" s="1"/>
  <c r="AK972" i="37" s="1"/>
  <c r="AH973" i="37"/>
  <c r="AG973" i="37"/>
  <c r="AI973" i="37" s="1"/>
  <c r="AJ973" i="37" s="1"/>
  <c r="AF973" i="37"/>
  <c r="X974" i="37"/>
  <c r="W975" i="37"/>
  <c r="AE974" i="37"/>
  <c r="AO975" i="37" s="1"/>
  <c r="V974" i="37"/>
  <c r="Y973" i="37"/>
  <c r="AA973" i="37"/>
  <c r="AB973" i="37" s="1"/>
  <c r="AC973" i="37" s="1"/>
  <c r="AD972" i="37"/>
  <c r="AN972" i="37" l="1"/>
  <c r="AL972" i="37"/>
  <c r="Y974" i="37"/>
  <c r="AA974" i="37"/>
  <c r="AK973" i="37"/>
  <c r="AD973" i="37"/>
  <c r="Z974" i="37"/>
  <c r="AB974" i="37" s="1"/>
  <c r="AC974" i="37" s="1"/>
  <c r="X975" i="37"/>
  <c r="W976" i="37"/>
  <c r="AE975" i="37"/>
  <c r="AO976" i="37" s="1"/>
  <c r="V975" i="37"/>
  <c r="AH974" i="37"/>
  <c r="AG974" i="37"/>
  <c r="AF974" i="37"/>
  <c r="AI974" i="37" l="1"/>
  <c r="AJ974" i="37" s="1"/>
  <c r="AK974" i="37" s="1"/>
  <c r="AN973" i="37"/>
  <c r="AL973" i="37"/>
  <c r="Y975" i="37"/>
  <c r="AA975" i="37"/>
  <c r="AH975" i="37"/>
  <c r="AG975" i="37"/>
  <c r="AI975" i="37" s="1"/>
  <c r="AJ975" i="37" s="1"/>
  <c r="AF975" i="37"/>
  <c r="X976" i="37"/>
  <c r="W977" i="37"/>
  <c r="AE976" i="37"/>
  <c r="AO977" i="37" s="1"/>
  <c r="V976" i="37"/>
  <c r="Z975" i="37"/>
  <c r="AB975" i="37" s="1"/>
  <c r="AC975" i="37" s="1"/>
  <c r="AD974" i="37"/>
  <c r="AN974" i="37" l="1"/>
  <c r="AL974" i="37"/>
  <c r="AH976" i="37"/>
  <c r="AG976" i="37"/>
  <c r="AI976" i="37" s="1"/>
  <c r="AJ976" i="37" s="1"/>
  <c r="AF976" i="37"/>
  <c r="X977" i="37"/>
  <c r="W978" i="37"/>
  <c r="AE977" i="37"/>
  <c r="AO978" i="37" s="1"/>
  <c r="V977" i="37"/>
  <c r="Y976" i="37"/>
  <c r="AA976" i="37"/>
  <c r="AK975" i="37"/>
  <c r="Z976" i="37"/>
  <c r="AB976" i="37" s="1"/>
  <c r="AC976" i="37" s="1"/>
  <c r="AD975" i="37"/>
  <c r="AN975" i="37" l="1"/>
  <c r="AL975" i="37"/>
  <c r="AD976" i="37"/>
  <c r="Z977" i="37"/>
  <c r="AK976" i="37"/>
  <c r="AH977" i="37"/>
  <c r="AG977" i="37"/>
  <c r="AI977" i="37" s="1"/>
  <c r="AJ977" i="37" s="1"/>
  <c r="AF977" i="37"/>
  <c r="X978" i="37"/>
  <c r="W979" i="37"/>
  <c r="AE978" i="37"/>
  <c r="AO979" i="37" s="1"/>
  <c r="V978" i="37"/>
  <c r="Y977" i="37"/>
  <c r="AA977" i="37"/>
  <c r="AB977" i="37" s="1"/>
  <c r="AC977" i="37" s="1"/>
  <c r="AN976" i="37" l="1"/>
  <c r="AL976" i="37"/>
  <c r="Y978" i="37"/>
  <c r="AA978" i="37"/>
  <c r="AK977" i="37"/>
  <c r="AD977" i="37"/>
  <c r="AH978" i="37"/>
  <c r="AG978" i="37"/>
  <c r="AF978" i="37"/>
  <c r="X979" i="37"/>
  <c r="W980" i="37"/>
  <c r="AE979" i="37"/>
  <c r="AO980" i="37" s="1"/>
  <c r="V979" i="37"/>
  <c r="Z978" i="37"/>
  <c r="AB978" i="37" s="1"/>
  <c r="AC978" i="37" s="1"/>
  <c r="AN977" i="37" l="1"/>
  <c r="AL977" i="37"/>
  <c r="AI978" i="37"/>
  <c r="AJ978" i="37" s="1"/>
  <c r="AK978" i="37" s="1"/>
  <c r="Y979" i="37"/>
  <c r="AA979" i="37"/>
  <c r="Z979" i="37"/>
  <c r="AH979" i="37"/>
  <c r="AG979" i="37"/>
  <c r="AI979" i="37" s="1"/>
  <c r="AJ979" i="37" s="1"/>
  <c r="AF979" i="37"/>
  <c r="X980" i="37"/>
  <c r="W981" i="37"/>
  <c r="AE980" i="37"/>
  <c r="AO981" i="37" s="1"/>
  <c r="V980" i="37"/>
  <c r="AD978" i="37"/>
  <c r="AN978" i="37" l="1"/>
  <c r="AL978" i="37"/>
  <c r="AB979" i="37"/>
  <c r="AC979" i="37" s="1"/>
  <c r="AD979" i="37" s="1"/>
  <c r="X981" i="37"/>
  <c r="W982" i="37"/>
  <c r="AE981" i="37"/>
  <c r="AO982" i="37" s="1"/>
  <c r="V981" i="37"/>
  <c r="Z981" i="37" s="1"/>
  <c r="Y980" i="37"/>
  <c r="AA980" i="37"/>
  <c r="AK979" i="37"/>
  <c r="Z980" i="37"/>
  <c r="AH980" i="37"/>
  <c r="AG980" i="37"/>
  <c r="AI980" i="37" s="1"/>
  <c r="AJ980" i="37" s="1"/>
  <c r="AF980" i="37"/>
  <c r="AL979" i="37" l="1"/>
  <c r="AN979" i="37"/>
  <c r="AB980" i="37"/>
  <c r="AC980" i="37" s="1"/>
  <c r="AD980" i="37" s="1"/>
  <c r="AK980" i="37"/>
  <c r="AH981" i="37"/>
  <c r="AG981" i="37"/>
  <c r="AI981" i="37" s="1"/>
  <c r="AJ981" i="37" s="1"/>
  <c r="AF981" i="37"/>
  <c r="X982" i="37"/>
  <c r="W983" i="37"/>
  <c r="AE982" i="37"/>
  <c r="AO983" i="37" s="1"/>
  <c r="V982" i="37"/>
  <c r="Y981" i="37"/>
  <c r="AA981" i="37"/>
  <c r="AB981" i="37" s="1"/>
  <c r="AC981" i="37" s="1"/>
  <c r="AL980" i="37" l="1"/>
  <c r="AN980" i="37"/>
  <c r="Z982" i="37"/>
  <c r="AK981" i="37"/>
  <c r="AH982" i="37"/>
  <c r="AG982" i="37"/>
  <c r="AI982" i="37" s="1"/>
  <c r="AJ982" i="37" s="1"/>
  <c r="AF982" i="37"/>
  <c r="X983" i="37"/>
  <c r="W984" i="37"/>
  <c r="AE983" i="37"/>
  <c r="AO984" i="37" s="1"/>
  <c r="V983" i="37"/>
  <c r="Y982" i="37"/>
  <c r="AA982" i="37"/>
  <c r="AB982" i="37" s="1"/>
  <c r="AC982" i="37" s="1"/>
  <c r="AD981" i="37"/>
  <c r="AN981" i="37" l="1"/>
  <c r="AL981" i="37"/>
  <c r="Z983" i="37"/>
  <c r="AK982" i="37"/>
  <c r="X984" i="37"/>
  <c r="AE984" i="37"/>
  <c r="AO985" i="37" s="1"/>
  <c r="V984" i="37"/>
  <c r="Z984" i="37" s="1"/>
  <c r="W985" i="37"/>
  <c r="AH983" i="37"/>
  <c r="AG983" i="37"/>
  <c r="AF983" i="37"/>
  <c r="Y983" i="37"/>
  <c r="AA983" i="37"/>
  <c r="AD982" i="37"/>
  <c r="AB983" i="37" l="1"/>
  <c r="AC983" i="37" s="1"/>
  <c r="AD983" i="37" s="1"/>
  <c r="AN982" i="37"/>
  <c r="AL982" i="37"/>
  <c r="AI983" i="37"/>
  <c r="AJ983" i="37" s="1"/>
  <c r="AK983" i="37" s="1"/>
  <c r="AE985" i="37"/>
  <c r="AO986" i="37" s="1"/>
  <c r="W986" i="37"/>
  <c r="X985" i="37"/>
  <c r="V985" i="37"/>
  <c r="AG984" i="37"/>
  <c r="AH984" i="37"/>
  <c r="AF984" i="37"/>
  <c r="Y984" i="37"/>
  <c r="AA984" i="37"/>
  <c r="AB984" i="37" s="1"/>
  <c r="AC984" i="37" s="1"/>
  <c r="Z985" i="37" l="1"/>
  <c r="AI984" i="37"/>
  <c r="AJ984" i="37" s="1"/>
  <c r="AN983" i="37"/>
  <c r="AL983" i="37"/>
  <c r="Y985" i="37"/>
  <c r="AA985" i="37"/>
  <c r="AB985" i="37" s="1"/>
  <c r="AC985" i="37" s="1"/>
  <c r="AD984" i="37"/>
  <c r="X986" i="37"/>
  <c r="V986" i="37"/>
  <c r="AE986" i="37"/>
  <c r="AO987" i="37" s="1"/>
  <c r="W987" i="37"/>
  <c r="AG985" i="37"/>
  <c r="AH985" i="37"/>
  <c r="AF985" i="37"/>
  <c r="AK984" i="37"/>
  <c r="AL984" i="37" l="1"/>
  <c r="AN984" i="37"/>
  <c r="Y986" i="37"/>
  <c r="AA986" i="37"/>
  <c r="AE987" i="37"/>
  <c r="AO988" i="37" s="1"/>
  <c r="W988" i="37"/>
  <c r="X987" i="37"/>
  <c r="V987" i="37"/>
  <c r="AG986" i="37"/>
  <c r="AH986" i="37"/>
  <c r="AF986" i="37"/>
  <c r="Z986" i="37"/>
  <c r="AB986" i="37" s="1"/>
  <c r="AC986" i="37" s="1"/>
  <c r="AD985" i="37"/>
  <c r="AI985" i="37"/>
  <c r="AJ985" i="37" s="1"/>
  <c r="AK985" i="37" s="1"/>
  <c r="AL985" i="37" l="1"/>
  <c r="AN985" i="37"/>
  <c r="Z987" i="37"/>
  <c r="AI986" i="37"/>
  <c r="AJ986" i="37" s="1"/>
  <c r="AK986" i="37" s="1"/>
  <c r="Y987" i="37"/>
  <c r="AA987" i="37"/>
  <c r="AB987" i="37" s="1"/>
  <c r="AC987" i="37" s="1"/>
  <c r="X988" i="37"/>
  <c r="V988" i="37"/>
  <c r="AE988" i="37"/>
  <c r="AO989" i="37" s="1"/>
  <c r="W989" i="37"/>
  <c r="AG987" i="37"/>
  <c r="AH987" i="37"/>
  <c r="AF987" i="37"/>
  <c r="AD986" i="37"/>
  <c r="AN986" i="37" l="1"/>
  <c r="AL986" i="37"/>
  <c r="Y988" i="37"/>
  <c r="AA988" i="37"/>
  <c r="V989" i="37"/>
  <c r="AE989" i="37"/>
  <c r="AO990" i="37" s="1"/>
  <c r="W990" i="37"/>
  <c r="X989" i="37"/>
  <c r="AH988" i="37"/>
  <c r="AG988" i="37"/>
  <c r="AI988" i="37" s="1"/>
  <c r="AJ988" i="37" s="1"/>
  <c r="AF988" i="37"/>
  <c r="Z988" i="37"/>
  <c r="AB988" i="37" s="1"/>
  <c r="AC988" i="37" s="1"/>
  <c r="AD987" i="37"/>
  <c r="AI987" i="37"/>
  <c r="AJ987" i="37" s="1"/>
  <c r="AK987" i="37" s="1"/>
  <c r="AL987" i="37" l="1"/>
  <c r="AN987" i="37"/>
  <c r="X990" i="37"/>
  <c r="AE990" i="37"/>
  <c r="AO991" i="37" s="1"/>
  <c r="W991" i="37"/>
  <c r="V990" i="37"/>
  <c r="Z990" i="37" s="1"/>
  <c r="AH989" i="37"/>
  <c r="AG989" i="37"/>
  <c r="AF989" i="37"/>
  <c r="Z989" i="37"/>
  <c r="Y989" i="37"/>
  <c r="AA989" i="37"/>
  <c r="AK988" i="37"/>
  <c r="AD988" i="37"/>
  <c r="AI989" i="37" l="1"/>
  <c r="AJ989" i="37" s="1"/>
  <c r="AK989" i="37" s="1"/>
  <c r="AB989" i="37"/>
  <c r="AC989" i="37" s="1"/>
  <c r="AD989" i="37" s="1"/>
  <c r="AL988" i="37"/>
  <c r="AN988" i="37"/>
  <c r="X991" i="37"/>
  <c r="AE991" i="37"/>
  <c r="AO992" i="37" s="1"/>
  <c r="W992" i="37"/>
  <c r="V991" i="37"/>
  <c r="AH990" i="37"/>
  <c r="AG990" i="37"/>
  <c r="AI990" i="37" s="1"/>
  <c r="AJ990" i="37" s="1"/>
  <c r="AF990" i="37"/>
  <c r="Y990" i="37"/>
  <c r="AA990" i="37"/>
  <c r="AB990" i="37" s="1"/>
  <c r="AC990" i="37" s="1"/>
  <c r="Z991" i="37" l="1"/>
  <c r="AN989" i="37"/>
  <c r="AL989" i="37"/>
  <c r="X992" i="37"/>
  <c r="AE992" i="37"/>
  <c r="AO993" i="37" s="1"/>
  <c r="W993" i="37"/>
  <c r="V992" i="37"/>
  <c r="Z992" i="37" s="1"/>
  <c r="AH991" i="37"/>
  <c r="AG991" i="37"/>
  <c r="AF991" i="37"/>
  <c r="AD990" i="37"/>
  <c r="Y991" i="37"/>
  <c r="AA991" i="37"/>
  <c r="AB991" i="37" s="1"/>
  <c r="AC991" i="37" s="1"/>
  <c r="AK990" i="37"/>
  <c r="AN990" i="37" l="1"/>
  <c r="AL990" i="37"/>
  <c r="AI991" i="37"/>
  <c r="AJ991" i="37" s="1"/>
  <c r="AK991" i="37" s="1"/>
  <c r="X993" i="37"/>
  <c r="AE993" i="37"/>
  <c r="AO994" i="37" s="1"/>
  <c r="W994" i="37"/>
  <c r="V993" i="37"/>
  <c r="Z993" i="37" s="1"/>
  <c r="AH992" i="37"/>
  <c r="AG992" i="37"/>
  <c r="AF992" i="37"/>
  <c r="AD991" i="37"/>
  <c r="Y992" i="37"/>
  <c r="AA992" i="37"/>
  <c r="AB992" i="37" s="1"/>
  <c r="AC992" i="37" s="1"/>
  <c r="AN991" i="37" l="1"/>
  <c r="AL991" i="37"/>
  <c r="Y993" i="37"/>
  <c r="AA993" i="37"/>
  <c r="AB993" i="37" s="1"/>
  <c r="AC993" i="37" s="1"/>
  <c r="AE994" i="37"/>
  <c r="AO995" i="37" s="1"/>
  <c r="V994" i="37"/>
  <c r="X994" i="37"/>
  <c r="W995" i="37"/>
  <c r="AH993" i="37"/>
  <c r="AG993" i="37"/>
  <c r="AF993" i="37"/>
  <c r="AD992" i="37"/>
  <c r="AI992" i="37"/>
  <c r="AJ992" i="37" s="1"/>
  <c r="AK992" i="37" s="1"/>
  <c r="AI993" i="37" l="1"/>
  <c r="AJ993" i="37" s="1"/>
  <c r="AK993" i="37" s="1"/>
  <c r="AL992" i="37"/>
  <c r="AN992" i="37"/>
  <c r="X995" i="37"/>
  <c r="W996" i="37"/>
  <c r="V995" i="37"/>
  <c r="AE995" i="37"/>
  <c r="AO996" i="37" s="1"/>
  <c r="AA994" i="37"/>
  <c r="Y994" i="37"/>
  <c r="Z994" i="37"/>
  <c r="AH994" i="37"/>
  <c r="AG994" i="37"/>
  <c r="AF994" i="37"/>
  <c r="AD993" i="37"/>
  <c r="Z995" i="37" l="1"/>
  <c r="AN993" i="37"/>
  <c r="AL993" i="37"/>
  <c r="AB994" i="37"/>
  <c r="AC994" i="37" s="1"/>
  <c r="AD994" i="37" s="1"/>
  <c r="AH995" i="37"/>
  <c r="AG995" i="37"/>
  <c r="AI995" i="37" s="1"/>
  <c r="AJ995" i="37" s="1"/>
  <c r="AF995" i="37"/>
  <c r="AB995" i="37"/>
  <c r="AC995" i="37" s="1"/>
  <c r="AE996" i="37"/>
  <c r="AO997" i="37" s="1"/>
  <c r="V996" i="37"/>
  <c r="W997" i="37"/>
  <c r="X996" i="37"/>
  <c r="AI994" i="37"/>
  <c r="AJ994" i="37" s="1"/>
  <c r="AK994" i="37" s="1"/>
  <c r="AA995" i="37"/>
  <c r="Y995" i="37"/>
  <c r="AL994" i="37" l="1"/>
  <c r="AN994" i="37"/>
  <c r="AD995" i="37"/>
  <c r="AH996" i="37"/>
  <c r="AF996" i="37"/>
  <c r="AG996" i="37"/>
  <c r="AI996" i="37" s="1"/>
  <c r="AJ996" i="37" s="1"/>
  <c r="AK995" i="37"/>
  <c r="AA996" i="37"/>
  <c r="Y996" i="37"/>
  <c r="X997" i="37"/>
  <c r="V997" i="37"/>
  <c r="W998" i="37"/>
  <c r="AE997" i="37"/>
  <c r="AO998" i="37" s="1"/>
  <c r="Z996" i="37"/>
  <c r="AL995" i="37" l="1"/>
  <c r="AN995" i="37"/>
  <c r="Z997" i="37"/>
  <c r="AB996" i="37"/>
  <c r="AC996" i="37" s="1"/>
  <c r="AD996" i="37" s="1"/>
  <c r="Y997" i="37"/>
  <c r="AA997" i="37"/>
  <c r="AB997" i="37" s="1"/>
  <c r="AC997" i="37" s="1"/>
  <c r="AH997" i="37"/>
  <c r="AG997" i="37"/>
  <c r="AI997" i="37" s="1"/>
  <c r="AJ997" i="37" s="1"/>
  <c r="AF997" i="37"/>
  <c r="AK996" i="37"/>
  <c r="AE998" i="37"/>
  <c r="AO999" i="37" s="1"/>
  <c r="V998" i="37"/>
  <c r="X998" i="37"/>
  <c r="W999" i="37"/>
  <c r="AN996" i="37" l="1"/>
  <c r="AL996" i="37"/>
  <c r="AK997" i="37"/>
  <c r="X999" i="37"/>
  <c r="W1000" i="37"/>
  <c r="AE999" i="37"/>
  <c r="AO1000" i="37" s="1"/>
  <c r="V999" i="37"/>
  <c r="Z999" i="37" s="1"/>
  <c r="AD997" i="37"/>
  <c r="AA998" i="37"/>
  <c r="Y998" i="37"/>
  <c r="Z998" i="37"/>
  <c r="AH998" i="37"/>
  <c r="AG998" i="37"/>
  <c r="AI998" i="37" s="1"/>
  <c r="AJ998" i="37" s="1"/>
  <c r="AF998" i="37"/>
  <c r="AN997" i="37" l="1"/>
  <c r="AL997" i="37"/>
  <c r="AK998" i="37"/>
  <c r="AH999" i="37"/>
  <c r="AG999" i="37"/>
  <c r="AF999" i="37"/>
  <c r="AB999" i="37"/>
  <c r="AC999" i="37" s="1"/>
  <c r="AE1000" i="37"/>
  <c r="AO1001" i="37" s="1"/>
  <c r="V1000" i="37"/>
  <c r="W1001" i="37"/>
  <c r="X1000" i="37"/>
  <c r="AA999" i="37"/>
  <c r="Y999" i="37"/>
  <c r="AB998" i="37"/>
  <c r="AC998" i="37" s="1"/>
  <c r="AD998" i="37" s="1"/>
  <c r="AI999" i="37" l="1"/>
  <c r="AJ999" i="37" s="1"/>
  <c r="AK999" i="37" s="1"/>
  <c r="Z1000" i="37"/>
  <c r="AN998" i="37"/>
  <c r="AL998" i="37"/>
  <c r="AD999" i="37"/>
  <c r="X1001" i="37"/>
  <c r="AE1001" i="37"/>
  <c r="AO1002" i="37" s="1"/>
  <c r="V1001" i="37"/>
  <c r="W1002" i="37"/>
  <c r="AH1000" i="37"/>
  <c r="AF1000" i="37"/>
  <c r="AG1000" i="37"/>
  <c r="AA1000" i="37"/>
  <c r="AB1000" i="37" s="1"/>
  <c r="AC1000" i="37" s="1"/>
  <c r="Y1000" i="37"/>
  <c r="Z1001" i="37" l="1"/>
  <c r="AN999" i="37"/>
  <c r="AL999" i="37"/>
  <c r="AE1002" i="37"/>
  <c r="AO1003" i="37" s="1"/>
  <c r="V1002" i="37"/>
  <c r="X1002" i="37"/>
  <c r="W1003" i="37"/>
  <c r="AD1000" i="37"/>
  <c r="AH1001" i="37"/>
  <c r="AG1001" i="37"/>
  <c r="AF1001" i="37"/>
  <c r="Y1001" i="37"/>
  <c r="AA1001" i="37"/>
  <c r="AB1001" i="37" s="1"/>
  <c r="AC1001" i="37" s="1"/>
  <c r="AI1000" i="37"/>
  <c r="AJ1000" i="37" s="1"/>
  <c r="AK1000" i="37" s="1"/>
  <c r="AN1000" i="37" l="1"/>
  <c r="AL1000" i="37"/>
  <c r="AD1001" i="37"/>
  <c r="X1003" i="37"/>
  <c r="W1004" i="37"/>
  <c r="AE1003" i="37"/>
  <c r="AO1004" i="37" s="1"/>
  <c r="V1003" i="37"/>
  <c r="Z1003" i="37" s="1"/>
  <c r="AA1002" i="37"/>
  <c r="Y1002" i="37"/>
  <c r="Z1002" i="37"/>
  <c r="AH1002" i="37"/>
  <c r="AG1002" i="37"/>
  <c r="AI1002" i="37" s="1"/>
  <c r="AJ1002" i="37" s="1"/>
  <c r="AF1002" i="37"/>
  <c r="AI1001" i="37"/>
  <c r="AJ1001" i="37" s="1"/>
  <c r="AK1001" i="37" s="1"/>
  <c r="AB1002" i="37" l="1"/>
  <c r="AC1002" i="37" s="1"/>
  <c r="AD1002" i="37" s="1"/>
  <c r="AL1001" i="37"/>
  <c r="AN1001" i="37"/>
  <c r="AK1002" i="37"/>
  <c r="AE1004" i="37"/>
  <c r="AO1005" i="37" s="1"/>
  <c r="V1004" i="37"/>
  <c r="W1005" i="37"/>
  <c r="X1004" i="37"/>
  <c r="AH1003" i="37"/>
  <c r="AG1003" i="37"/>
  <c r="AI1003" i="37" s="1"/>
  <c r="AJ1003" i="37" s="1"/>
  <c r="AF1003" i="37"/>
  <c r="AA1003" i="37"/>
  <c r="AB1003" i="37" s="1"/>
  <c r="AC1003" i="37" s="1"/>
  <c r="Y1003" i="37"/>
  <c r="AN1002" i="37" l="1"/>
  <c r="AL1002" i="37"/>
  <c r="AA1004" i="37"/>
  <c r="Y1004" i="37"/>
  <c r="X1005" i="37"/>
  <c r="AE1005" i="37"/>
  <c r="AO1006" i="37" s="1"/>
  <c r="V1005" i="37"/>
  <c r="Z1005" i="37" s="1"/>
  <c r="W1006" i="37"/>
  <c r="AD1003" i="37"/>
  <c r="Z1004" i="37"/>
  <c r="AH1004" i="37"/>
  <c r="AF1004" i="37"/>
  <c r="AG1004" i="37"/>
  <c r="AI1004" i="37" s="1"/>
  <c r="AJ1004" i="37" s="1"/>
  <c r="AK1003" i="37"/>
  <c r="AB1004" i="37" l="1"/>
  <c r="AC1004" i="37" s="1"/>
  <c r="AD1004" i="37" s="1"/>
  <c r="AN1003" i="37"/>
  <c r="AL1003" i="37"/>
  <c r="AE1006" i="37"/>
  <c r="AO1007" i="37" s="1"/>
  <c r="V1006" i="37"/>
  <c r="X1006" i="37"/>
  <c r="W1007" i="37"/>
  <c r="AH1005" i="37"/>
  <c r="AG1005" i="37"/>
  <c r="AF1005" i="37"/>
  <c r="Y1005" i="37"/>
  <c r="AA1005" i="37"/>
  <c r="AB1005" i="37" s="1"/>
  <c r="AC1005" i="37" s="1"/>
  <c r="AK1004" i="37"/>
  <c r="AN1004" i="37" l="1"/>
  <c r="AL1004" i="37"/>
  <c r="AI1005" i="37"/>
  <c r="AJ1005" i="37" s="1"/>
  <c r="AK1005" i="37" s="1"/>
  <c r="X1007" i="37"/>
  <c r="W1008" i="37"/>
  <c r="V1007" i="37"/>
  <c r="Z1007" i="37" s="1"/>
  <c r="AE1007" i="37"/>
  <c r="AO1008" i="37" s="1"/>
  <c r="AA1006" i="37"/>
  <c r="Y1006" i="37"/>
  <c r="Z1006" i="37"/>
  <c r="AD1005" i="37"/>
  <c r="AH1006" i="37"/>
  <c r="AG1006" i="37"/>
  <c r="AF1006" i="37"/>
  <c r="AN1005" i="37" l="1"/>
  <c r="AL1005" i="37"/>
  <c r="AI1006" i="37"/>
  <c r="AJ1006" i="37" s="1"/>
  <c r="AK1006" i="37" s="1"/>
  <c r="V1008" i="37"/>
  <c r="AE1008" i="37"/>
  <c r="AO1009" i="37" s="1"/>
  <c r="X1008" i="37"/>
  <c r="W1009" i="37"/>
  <c r="AH1007" i="37"/>
  <c r="AG1007" i="37"/>
  <c r="AF1007" i="37"/>
  <c r="AA1007" i="37"/>
  <c r="AB1007" i="37" s="1"/>
  <c r="AC1007" i="37" s="1"/>
  <c r="Y1007" i="37"/>
  <c r="AB1006" i="37"/>
  <c r="AC1006" i="37" s="1"/>
  <c r="AD1006" i="37" s="1"/>
  <c r="AI1007" i="37" l="1"/>
  <c r="AJ1007" i="37" s="1"/>
  <c r="AK1007" i="37" s="1"/>
  <c r="AN1006" i="37"/>
  <c r="AL1006" i="37"/>
  <c r="V1009" i="37"/>
  <c r="AE1009" i="37"/>
  <c r="AO1010" i="37" s="1"/>
  <c r="W1010" i="37"/>
  <c r="X1009" i="37"/>
  <c r="Y1008" i="37"/>
  <c r="AA1008" i="37"/>
  <c r="AD1007" i="37"/>
  <c r="AG1008" i="37"/>
  <c r="AH1008" i="37"/>
  <c r="AF1008" i="37"/>
  <c r="Z1008" i="37"/>
  <c r="AI1008" i="37" l="1"/>
  <c r="AJ1008" i="37" s="1"/>
  <c r="AK1008" i="37" s="1"/>
  <c r="AN1007" i="37"/>
  <c r="AL1007" i="37"/>
  <c r="Y1009" i="37"/>
  <c r="AA1009" i="37"/>
  <c r="AB1008" i="37"/>
  <c r="AC1008" i="37" s="1"/>
  <c r="AD1008" i="37" s="1"/>
  <c r="AE1010" i="37"/>
  <c r="AO1011" i="37" s="1"/>
  <c r="V1010" i="37"/>
  <c r="W1011" i="37"/>
  <c r="X1010" i="37"/>
  <c r="AG1009" i="37"/>
  <c r="AF1009" i="37"/>
  <c r="AH1009" i="37"/>
  <c r="Z1009" i="37"/>
  <c r="AB1009" i="37" s="1"/>
  <c r="AC1009" i="37" s="1"/>
  <c r="AL1008" i="37" l="1"/>
  <c r="AN1008" i="37"/>
  <c r="AG1010" i="37"/>
  <c r="AH1010" i="37"/>
  <c r="AF1010" i="37"/>
  <c r="Y1010" i="37"/>
  <c r="AA1010" i="37"/>
  <c r="X1011" i="37"/>
  <c r="AE1011" i="37"/>
  <c r="AO1012" i="37" s="1"/>
  <c r="W1012" i="37"/>
  <c r="V1011" i="37"/>
  <c r="Z1010" i="37"/>
  <c r="AI1009" i="37"/>
  <c r="AJ1009" i="37" s="1"/>
  <c r="AK1009" i="37" s="1"/>
  <c r="AD1009" i="37"/>
  <c r="AN1009" i="37" l="1"/>
  <c r="AL1009" i="37"/>
  <c r="Y1011" i="37"/>
  <c r="AA1011" i="37"/>
  <c r="X1012" i="37"/>
  <c r="V1012" i="37"/>
  <c r="AE1012" i="37"/>
  <c r="AO1013" i="37" s="1"/>
  <c r="W1013" i="37"/>
  <c r="AG1011" i="37"/>
  <c r="AH1011" i="37"/>
  <c r="AF1011" i="37"/>
  <c r="AB1010" i="37"/>
  <c r="AC1010" i="37" s="1"/>
  <c r="AD1010" i="37" s="1"/>
  <c r="Z1011" i="37"/>
  <c r="AB1011" i="37" s="1"/>
  <c r="AC1011" i="37" s="1"/>
  <c r="AI1010" i="37"/>
  <c r="AJ1010" i="37" s="1"/>
  <c r="AK1010" i="37" s="1"/>
  <c r="Z1012" i="37" l="1"/>
  <c r="AL1010" i="37"/>
  <c r="AN1010" i="37"/>
  <c r="AI1011" i="37"/>
  <c r="AJ1011" i="37" s="1"/>
  <c r="AK1011" i="37" s="1"/>
  <c r="AE1013" i="37"/>
  <c r="AO1014" i="37" s="1"/>
  <c r="W1014" i="37"/>
  <c r="X1013" i="37"/>
  <c r="V1013" i="37"/>
  <c r="Z1013" i="37" s="1"/>
  <c r="AG1012" i="37"/>
  <c r="AH1012" i="37"/>
  <c r="AF1012" i="37"/>
  <c r="Y1012" i="37"/>
  <c r="AA1012" i="37"/>
  <c r="AB1012" i="37" s="1"/>
  <c r="AC1012" i="37" s="1"/>
  <c r="AD1011" i="37"/>
  <c r="AN1011" i="37" l="1"/>
  <c r="AL1011" i="37"/>
  <c r="AI1012" i="37"/>
  <c r="AJ1012" i="37" s="1"/>
  <c r="AK1012" i="37" s="1"/>
  <c r="AD1012" i="37"/>
  <c r="Y1013" i="37"/>
  <c r="AA1013" i="37"/>
  <c r="AB1013" i="37" s="1"/>
  <c r="AC1013" i="37" s="1"/>
  <c r="AE1014" i="37"/>
  <c r="AO1015" i="37" s="1"/>
  <c r="V1014" i="37"/>
  <c r="X1014" i="37"/>
  <c r="W1015" i="37"/>
  <c r="AG1013" i="37"/>
  <c r="AH1013" i="37"/>
  <c r="AF1013" i="37"/>
  <c r="AL1012" i="37" l="1"/>
  <c r="AN1012" i="37"/>
  <c r="Z1014" i="37"/>
  <c r="Y1014" i="37"/>
  <c r="AA1014" i="37"/>
  <c r="AG1014" i="37"/>
  <c r="AH1014" i="37"/>
  <c r="AF1014" i="37"/>
  <c r="AD1013" i="37"/>
  <c r="AI1013" i="37"/>
  <c r="AJ1013" i="37" s="1"/>
  <c r="AK1013" i="37" s="1"/>
  <c r="X1015" i="37"/>
  <c r="W1016" i="37"/>
  <c r="V1015" i="37"/>
  <c r="AE1015" i="37"/>
  <c r="AO1016" i="37" s="1"/>
  <c r="Z1015" i="37" l="1"/>
  <c r="AN1013" i="37"/>
  <c r="AL1013" i="37"/>
  <c r="AG1015" i="37"/>
  <c r="AH1015" i="37"/>
  <c r="AF1015" i="37"/>
  <c r="AI1014" i="37"/>
  <c r="AJ1014" i="37" s="1"/>
  <c r="AK1014" i="37" s="1"/>
  <c r="X1016" i="37"/>
  <c r="V1016" i="37"/>
  <c r="AE1016" i="37"/>
  <c r="AO1017" i="37" s="1"/>
  <c r="W1017" i="37"/>
  <c r="Y1015" i="37"/>
  <c r="AA1015" i="37"/>
  <c r="AB1014" i="37"/>
  <c r="AC1014" i="37" s="1"/>
  <c r="AD1014" i="37" s="1"/>
  <c r="AB1015" i="37" l="1"/>
  <c r="AC1015" i="37" s="1"/>
  <c r="AD1015" i="37" s="1"/>
  <c r="AL1014" i="37"/>
  <c r="AN1014" i="37"/>
  <c r="Y1016" i="37"/>
  <c r="AA1016" i="37"/>
  <c r="AI1015" i="37"/>
  <c r="AJ1015" i="37" s="1"/>
  <c r="AK1015" i="37" s="1"/>
  <c r="AE1017" i="37"/>
  <c r="AO1018" i="37" s="1"/>
  <c r="W1018" i="37"/>
  <c r="X1017" i="37"/>
  <c r="V1017" i="37"/>
  <c r="AG1016" i="37"/>
  <c r="AH1016" i="37"/>
  <c r="AF1016" i="37"/>
  <c r="Z1016" i="37"/>
  <c r="AB1016" i="37" s="1"/>
  <c r="AC1016" i="37" s="1"/>
  <c r="AL1015" i="37" l="1"/>
  <c r="AN1015" i="37"/>
  <c r="Y1017" i="37"/>
  <c r="AA1017" i="37"/>
  <c r="AE1018" i="37"/>
  <c r="AO1019" i="37" s="1"/>
  <c r="V1018" i="37"/>
  <c r="W1019" i="37"/>
  <c r="X1018" i="37"/>
  <c r="AG1017" i="37"/>
  <c r="AH1017" i="37"/>
  <c r="AF1017" i="37"/>
  <c r="AI1016" i="37"/>
  <c r="AJ1016" i="37" s="1"/>
  <c r="AK1016" i="37" s="1"/>
  <c r="AD1016" i="37"/>
  <c r="Z1017" i="37"/>
  <c r="AB1017" i="37" s="1"/>
  <c r="AC1017" i="37" s="1"/>
  <c r="AN1016" i="37" l="1"/>
  <c r="AL1016" i="37"/>
  <c r="Z1018" i="37"/>
  <c r="AI1017" i="37"/>
  <c r="AJ1017" i="37" s="1"/>
  <c r="AK1017" i="37" s="1"/>
  <c r="Y1018" i="37"/>
  <c r="AA1018" i="37"/>
  <c r="X1019" i="37"/>
  <c r="V1019" i="37"/>
  <c r="AE1019" i="37"/>
  <c r="AO1020" i="37" s="1"/>
  <c r="W1020" i="37"/>
  <c r="AG1018" i="37"/>
  <c r="AH1018" i="37"/>
  <c r="AF1018" i="37"/>
  <c r="AD1017" i="37"/>
  <c r="AN1017" i="37" l="1"/>
  <c r="AL1017" i="37"/>
  <c r="AG1019" i="37"/>
  <c r="AH1019" i="37"/>
  <c r="AF1019" i="37"/>
  <c r="Z1019" i="37"/>
  <c r="AB1019" i="37" s="1"/>
  <c r="AC1019" i="37" s="1"/>
  <c r="AE1020" i="37"/>
  <c r="AO1021" i="37" s="1"/>
  <c r="W1021" i="37"/>
  <c r="X1020" i="37"/>
  <c r="V1020" i="37"/>
  <c r="Z1020" i="37" s="1"/>
  <c r="Y1019" i="37"/>
  <c r="AA1019" i="37"/>
  <c r="AI1018" i="37"/>
  <c r="AJ1018" i="37" s="1"/>
  <c r="AK1018" i="37" s="1"/>
  <c r="AB1018" i="37"/>
  <c r="AC1018" i="37" s="1"/>
  <c r="AD1018" i="37" s="1"/>
  <c r="AN1018" i="37" l="1"/>
  <c r="AL1018" i="37"/>
  <c r="Y1020" i="37"/>
  <c r="AA1020" i="37"/>
  <c r="AG1020" i="37"/>
  <c r="AH1020" i="37"/>
  <c r="AF1020" i="37"/>
  <c r="AB1020" i="37"/>
  <c r="AC1020" i="37" s="1"/>
  <c r="W1022" i="37"/>
  <c r="X1021" i="37"/>
  <c r="V1021" i="37"/>
  <c r="AE1021" i="37"/>
  <c r="AO1022" i="37" s="1"/>
  <c r="AD1019" i="37"/>
  <c r="AI1019" i="37"/>
  <c r="AJ1019" i="37" s="1"/>
  <c r="AK1019" i="37" s="1"/>
  <c r="AL1019" i="37" l="1"/>
  <c r="AN1019" i="37"/>
  <c r="Y1021" i="37"/>
  <c r="AA1021" i="37"/>
  <c r="AE1022" i="37"/>
  <c r="AO1023" i="37" s="1"/>
  <c r="V1022" i="37"/>
  <c r="X1022" i="37"/>
  <c r="W1023" i="37"/>
  <c r="AI1020" i="37"/>
  <c r="AJ1020" i="37" s="1"/>
  <c r="AK1020" i="37" s="1"/>
  <c r="AG1021" i="37"/>
  <c r="AH1021" i="37"/>
  <c r="AF1021" i="37"/>
  <c r="Z1021" i="37"/>
  <c r="AB1021" i="37" s="1"/>
  <c r="AC1021" i="37" s="1"/>
  <c r="AD1020" i="37"/>
  <c r="AL1020" i="37" l="1"/>
  <c r="AN1020" i="37"/>
  <c r="Y1022" i="37"/>
  <c r="AA1022" i="37"/>
  <c r="Z1022" i="37"/>
  <c r="AB1022" i="37" s="1"/>
  <c r="AC1022" i="37" s="1"/>
  <c r="W1024" i="37"/>
  <c r="X1023" i="37"/>
  <c r="AE1023" i="37"/>
  <c r="AO1024" i="37" s="1"/>
  <c r="V1023" i="37"/>
  <c r="AH1022" i="37"/>
  <c r="AG1022" i="37"/>
  <c r="AF1022" i="37"/>
  <c r="AI1021" i="37"/>
  <c r="AJ1021" i="37" s="1"/>
  <c r="AK1021" i="37" s="1"/>
  <c r="AD1021" i="37"/>
  <c r="AN1021" i="37" l="1"/>
  <c r="AL1021" i="37"/>
  <c r="AI1022" i="37"/>
  <c r="AJ1022" i="37" s="1"/>
  <c r="AK1022" i="37" s="1"/>
  <c r="Z1023" i="37"/>
  <c r="AH1023" i="37"/>
  <c r="AG1023" i="37"/>
  <c r="AI1023" i="37" s="1"/>
  <c r="AJ1023" i="37" s="1"/>
  <c r="AF1023" i="37"/>
  <c r="AA1023" i="37"/>
  <c r="AB1023" i="37" s="1"/>
  <c r="AC1023" i="37" s="1"/>
  <c r="Y1023" i="37"/>
  <c r="W1025" i="37"/>
  <c r="V1024" i="37"/>
  <c r="AE1024" i="37"/>
  <c r="AO1025" i="37" s="1"/>
  <c r="X1024" i="37"/>
  <c r="AD1022" i="37"/>
  <c r="AN1022" i="37" l="1"/>
  <c r="AL1022" i="37"/>
  <c r="Z1024" i="37"/>
  <c r="AK1023" i="37"/>
  <c r="AD1023" i="37"/>
  <c r="X1025" i="37"/>
  <c r="V1025" i="37"/>
  <c r="W1026" i="37"/>
  <c r="AE1025" i="37"/>
  <c r="AO1026" i="37" s="1"/>
  <c r="Y1024" i="37"/>
  <c r="AA1024" i="37"/>
  <c r="AB1024" i="37" s="1"/>
  <c r="AC1024" i="37" s="1"/>
  <c r="AH1024" i="37"/>
  <c r="AG1024" i="37"/>
  <c r="AF1024" i="37"/>
  <c r="AN1023" i="37" l="1"/>
  <c r="AL1023" i="37"/>
  <c r="AI1024" i="37"/>
  <c r="AJ1024" i="37" s="1"/>
  <c r="AK1024" i="37" s="1"/>
  <c r="Y1025" i="37"/>
  <c r="AA1025" i="37"/>
  <c r="AD1024" i="37"/>
  <c r="AH1025" i="37"/>
  <c r="AG1025" i="37"/>
  <c r="AI1025" i="37" s="1"/>
  <c r="AJ1025" i="37" s="1"/>
  <c r="AF1025" i="37"/>
  <c r="W1027" i="37"/>
  <c r="X1026" i="37"/>
  <c r="V1026" i="37"/>
  <c r="AE1026" i="37"/>
  <c r="AO1027" i="37" s="1"/>
  <c r="Z1025" i="37"/>
  <c r="AB1025" i="37" s="1"/>
  <c r="AC1025" i="37" s="1"/>
  <c r="AN1024" i="37" l="1"/>
  <c r="AL1024" i="37"/>
  <c r="Y1026" i="37"/>
  <c r="AA1026" i="37"/>
  <c r="X1027" i="37"/>
  <c r="AE1027" i="37"/>
  <c r="AO1028" i="37" s="1"/>
  <c r="V1027" i="37"/>
  <c r="Z1027" i="37" s="1"/>
  <c r="W1028" i="37"/>
  <c r="AK1025" i="37"/>
  <c r="AH1026" i="37"/>
  <c r="AG1026" i="37"/>
  <c r="AF1026" i="37"/>
  <c r="Z1026" i="37"/>
  <c r="AB1026" i="37" s="1"/>
  <c r="AC1026" i="37" s="1"/>
  <c r="AD1025" i="37"/>
  <c r="AL1025" i="37" l="1"/>
  <c r="AN1025" i="37"/>
  <c r="W1029" i="37"/>
  <c r="AE1028" i="37"/>
  <c r="AO1029" i="37" s="1"/>
  <c r="X1028" i="37"/>
  <c r="V1028" i="37"/>
  <c r="AH1027" i="37"/>
  <c r="AG1027" i="37"/>
  <c r="AF1027" i="37"/>
  <c r="Y1027" i="37"/>
  <c r="AA1027" i="37"/>
  <c r="AB1027" i="37" s="1"/>
  <c r="AC1027" i="37" s="1"/>
  <c r="AI1026" i="37"/>
  <c r="AJ1026" i="37" s="1"/>
  <c r="AK1026" i="37" s="1"/>
  <c r="AD1026" i="37"/>
  <c r="Z1028" i="37" l="1"/>
  <c r="AI1027" i="37"/>
  <c r="AJ1027" i="37" s="1"/>
  <c r="AK1027" i="37" s="1"/>
  <c r="AN1026" i="37"/>
  <c r="AL1026" i="37"/>
  <c r="Y1028" i="37"/>
  <c r="AA1028" i="37"/>
  <c r="AB1028" i="37" s="1"/>
  <c r="AC1028" i="37" s="1"/>
  <c r="AH1028" i="37"/>
  <c r="AG1028" i="37"/>
  <c r="AI1028" i="37" s="1"/>
  <c r="AJ1028" i="37" s="1"/>
  <c r="AF1028" i="37"/>
  <c r="AD1027" i="37"/>
  <c r="X1029" i="37"/>
  <c r="V1029" i="37"/>
  <c r="AE1029" i="37"/>
  <c r="AO1030" i="37" s="1"/>
  <c r="W1030" i="37"/>
  <c r="AL1027" i="37" l="1"/>
  <c r="AN1027" i="37"/>
  <c r="Y1029" i="37"/>
  <c r="AA1029" i="37"/>
  <c r="AK1028" i="37"/>
  <c r="W1031" i="37"/>
  <c r="V1030" i="37"/>
  <c r="AE1030" i="37"/>
  <c r="AO1031" i="37" s="1"/>
  <c r="X1030" i="37"/>
  <c r="AH1029" i="37"/>
  <c r="AG1029" i="37"/>
  <c r="AF1029" i="37"/>
  <c r="AD1028" i="37"/>
  <c r="Z1029" i="37"/>
  <c r="AB1029" i="37" s="1"/>
  <c r="AC1029" i="37" s="1"/>
  <c r="AN1028" i="37" l="1"/>
  <c r="AL1028" i="37"/>
  <c r="Y1030" i="37"/>
  <c r="AA1030" i="37"/>
  <c r="Z1030" i="37"/>
  <c r="AB1030" i="37" s="1"/>
  <c r="AC1030" i="37" s="1"/>
  <c r="AH1030" i="37"/>
  <c r="AG1030" i="37"/>
  <c r="AI1030" i="37" s="1"/>
  <c r="AJ1030" i="37" s="1"/>
  <c r="AF1030" i="37"/>
  <c r="X1031" i="37"/>
  <c r="V1031" i="37"/>
  <c r="AE1031" i="37"/>
  <c r="AO1032" i="37" s="1"/>
  <c r="W1032" i="37"/>
  <c r="AI1029" i="37"/>
  <c r="AJ1029" i="37" s="1"/>
  <c r="AK1029" i="37" s="1"/>
  <c r="AD1029" i="37"/>
  <c r="Z1031" i="37" l="1"/>
  <c r="AL1029" i="37"/>
  <c r="AN1029" i="37"/>
  <c r="Y1031" i="37"/>
  <c r="AA1031" i="37"/>
  <c r="AB1031" i="37" s="1"/>
  <c r="AC1031" i="37" s="1"/>
  <c r="AK1030" i="37"/>
  <c r="W1033" i="37"/>
  <c r="AE1032" i="37"/>
  <c r="AO1033" i="37" s="1"/>
  <c r="X1032" i="37"/>
  <c r="V1032" i="37"/>
  <c r="AH1031" i="37"/>
  <c r="AG1031" i="37"/>
  <c r="AF1031" i="37"/>
  <c r="AD1030" i="37"/>
  <c r="AL1030" i="37" l="1"/>
  <c r="AN1030" i="37"/>
  <c r="Z1032" i="37"/>
  <c r="AI1031" i="37"/>
  <c r="AJ1031" i="37" s="1"/>
  <c r="AK1031" i="37" s="1"/>
  <c r="AH1032" i="37"/>
  <c r="AG1032" i="37"/>
  <c r="AF1032" i="37"/>
  <c r="Y1032" i="37"/>
  <c r="AA1032" i="37"/>
  <c r="X1033" i="37"/>
  <c r="V1033" i="37"/>
  <c r="AE1033" i="37"/>
  <c r="AO1034" i="37" s="1"/>
  <c r="W1034" i="37"/>
  <c r="AD1031" i="37"/>
  <c r="AB1032" i="37" l="1"/>
  <c r="AC1032" i="37" s="1"/>
  <c r="AD1032" i="37" s="1"/>
  <c r="AL1031" i="37"/>
  <c r="AN1031" i="37"/>
  <c r="AI1032" i="37"/>
  <c r="AJ1032" i="37" s="1"/>
  <c r="AK1032" i="37" s="1"/>
  <c r="Y1033" i="37"/>
  <c r="AA1033" i="37"/>
  <c r="W1035" i="37"/>
  <c r="V1034" i="37"/>
  <c r="AE1034" i="37"/>
  <c r="AO1035" i="37" s="1"/>
  <c r="X1034" i="37"/>
  <c r="Z1033" i="37"/>
  <c r="AH1033" i="37"/>
  <c r="AG1033" i="37"/>
  <c r="AI1033" i="37" s="1"/>
  <c r="AJ1033" i="37" s="1"/>
  <c r="AF1033" i="37"/>
  <c r="AK1033" i="37" l="1"/>
  <c r="AN1032" i="37"/>
  <c r="AL1032" i="37"/>
  <c r="AB1033" i="37"/>
  <c r="AC1033" i="37" s="1"/>
  <c r="AD1033" i="37" s="1"/>
  <c r="Y1034" i="37"/>
  <c r="AA1034" i="37"/>
  <c r="AH1034" i="37"/>
  <c r="AG1034" i="37"/>
  <c r="AI1034" i="37" s="1"/>
  <c r="AJ1034" i="37" s="1"/>
  <c r="AF1034" i="37"/>
  <c r="Z1034" i="37"/>
  <c r="X1035" i="37"/>
  <c r="V1035" i="37"/>
  <c r="AE1035" i="37"/>
  <c r="AO1036" i="37" s="1"/>
  <c r="W1036" i="37"/>
  <c r="AB1034" i="37" l="1"/>
  <c r="AC1034" i="37" s="1"/>
  <c r="AD1034" i="37" s="1"/>
  <c r="AN1033" i="37"/>
  <c r="AL1033" i="37"/>
  <c r="Z1035" i="37"/>
  <c r="AK1034" i="37"/>
  <c r="Y1035" i="37"/>
  <c r="AA1035" i="37"/>
  <c r="AB1035" i="37" s="1"/>
  <c r="AC1035" i="37" s="1"/>
  <c r="W1037" i="37"/>
  <c r="AE1036" i="37"/>
  <c r="AO1037" i="37" s="1"/>
  <c r="X1036" i="37"/>
  <c r="V1036" i="37"/>
  <c r="AH1035" i="37"/>
  <c r="AG1035" i="37"/>
  <c r="AI1035" i="37" s="1"/>
  <c r="AJ1035" i="37" s="1"/>
  <c r="AF1035" i="37"/>
  <c r="AN1034" i="37" l="1"/>
  <c r="AL1034" i="37"/>
  <c r="AK1035" i="37"/>
  <c r="Y1036" i="37"/>
  <c r="AA1036" i="37"/>
  <c r="AD1035" i="37"/>
  <c r="Z1036" i="37"/>
  <c r="AB1036" i="37" s="1"/>
  <c r="AC1036" i="37" s="1"/>
  <c r="AH1036" i="37"/>
  <c r="AG1036" i="37"/>
  <c r="AF1036" i="37"/>
  <c r="X1037" i="37"/>
  <c r="V1037" i="37"/>
  <c r="AE1037" i="37"/>
  <c r="AO1038" i="37" s="1"/>
  <c r="W1038" i="37"/>
  <c r="AN1035" i="37" l="1"/>
  <c r="AL1035" i="37"/>
  <c r="AI1036" i="37"/>
  <c r="AJ1036" i="37" s="1"/>
  <c r="AK1036" i="37" s="1"/>
  <c r="Y1037" i="37"/>
  <c r="AA1037" i="37"/>
  <c r="W1039" i="37"/>
  <c r="V1038" i="37"/>
  <c r="AE1038" i="37"/>
  <c r="AO1039" i="37" s="1"/>
  <c r="X1038" i="37"/>
  <c r="AH1037" i="37"/>
  <c r="AG1037" i="37"/>
  <c r="AF1037" i="37"/>
  <c r="Z1037" i="37"/>
  <c r="AB1037" i="37" s="1"/>
  <c r="AC1037" i="37" s="1"/>
  <c r="AD1036" i="37"/>
  <c r="AN1036" i="37" l="1"/>
  <c r="AL1036" i="37"/>
  <c r="Y1038" i="37"/>
  <c r="AA1038" i="37"/>
  <c r="Z1038" i="37"/>
  <c r="AB1038" i="37" s="1"/>
  <c r="AC1038" i="37" s="1"/>
  <c r="X1039" i="37"/>
  <c r="V1039" i="37"/>
  <c r="AE1039" i="37"/>
  <c r="AO1040" i="37" s="1"/>
  <c r="W1040" i="37"/>
  <c r="AH1038" i="37"/>
  <c r="AG1038" i="37"/>
  <c r="AF1038" i="37"/>
  <c r="AI1037" i="37"/>
  <c r="AJ1037" i="37" s="1"/>
  <c r="AK1037" i="37" s="1"/>
  <c r="AD1037" i="37"/>
  <c r="AN1037" i="37" l="1"/>
  <c r="AL1037" i="37"/>
  <c r="W1041" i="37"/>
  <c r="AE1040" i="37"/>
  <c r="AO1041" i="37" s="1"/>
  <c r="X1040" i="37"/>
  <c r="V1040" i="37"/>
  <c r="Z1040" i="37" s="1"/>
  <c r="Y1039" i="37"/>
  <c r="AA1039" i="37"/>
  <c r="AH1039" i="37"/>
  <c r="AG1039" i="37"/>
  <c r="AI1039" i="37" s="1"/>
  <c r="AJ1039" i="37" s="1"/>
  <c r="AF1039" i="37"/>
  <c r="Z1039" i="37"/>
  <c r="AI1038" i="37"/>
  <c r="AJ1038" i="37" s="1"/>
  <c r="AK1038" i="37" s="1"/>
  <c r="AD1038" i="37"/>
  <c r="AN1038" i="37" l="1"/>
  <c r="AL1038" i="37"/>
  <c r="Y1040" i="37"/>
  <c r="AA1040" i="37"/>
  <c r="AB1040" i="37" s="1"/>
  <c r="AC1040" i="37" s="1"/>
  <c r="AB1039" i="37"/>
  <c r="AC1039" i="37" s="1"/>
  <c r="AD1039" i="37" s="1"/>
  <c r="AH1040" i="37"/>
  <c r="AG1040" i="37"/>
  <c r="AI1040" i="37" s="1"/>
  <c r="AJ1040" i="37" s="1"/>
  <c r="AF1040" i="37"/>
  <c r="AK1039" i="37"/>
  <c r="X1041" i="37"/>
  <c r="V1041" i="37"/>
  <c r="AE1041" i="37"/>
  <c r="AO1042" i="37" s="1"/>
  <c r="W1042" i="37"/>
  <c r="AL1039" i="37" l="1"/>
  <c r="AN1039" i="37"/>
  <c r="Z1041" i="37"/>
  <c r="W1043" i="37"/>
  <c r="V1042" i="37"/>
  <c r="AE1042" i="37"/>
  <c r="AO1043" i="37" s="1"/>
  <c r="X1042" i="37"/>
  <c r="AK1040" i="37"/>
  <c r="AH1041" i="37"/>
  <c r="AG1041" i="37"/>
  <c r="AI1041" i="37" s="1"/>
  <c r="AJ1041" i="37" s="1"/>
  <c r="AF1041" i="37"/>
  <c r="AD1040" i="37"/>
  <c r="Y1041" i="37"/>
  <c r="AA1041" i="37"/>
  <c r="AB1041" i="37" s="1"/>
  <c r="AC1041" i="37" s="1"/>
  <c r="AL1040" i="37" l="1"/>
  <c r="AN1040" i="37"/>
  <c r="AK1041" i="37"/>
  <c r="Y1042" i="37"/>
  <c r="AA1042" i="37"/>
  <c r="AD1041" i="37"/>
  <c r="AH1042" i="37"/>
  <c r="AG1042" i="37"/>
  <c r="AI1042" i="37" s="1"/>
  <c r="AJ1042" i="37" s="1"/>
  <c r="AF1042" i="37"/>
  <c r="Z1042" i="37"/>
  <c r="X1043" i="37"/>
  <c r="V1043" i="37"/>
  <c r="AE1043" i="37"/>
  <c r="AO1044" i="37" s="1"/>
  <c r="W1044" i="37"/>
  <c r="Z1043" i="37" l="1"/>
  <c r="AB1042" i="37"/>
  <c r="AC1042" i="37" s="1"/>
  <c r="AD1042" i="37" s="1"/>
  <c r="AN1041" i="37"/>
  <c r="AL1041" i="37"/>
  <c r="AK1042" i="37"/>
  <c r="W1045" i="37"/>
  <c r="AE1044" i="37"/>
  <c r="AO1045" i="37" s="1"/>
  <c r="X1044" i="37"/>
  <c r="V1044" i="37"/>
  <c r="AH1043" i="37"/>
  <c r="AG1043" i="37"/>
  <c r="AF1043" i="37"/>
  <c r="Y1043" i="37"/>
  <c r="AA1043" i="37"/>
  <c r="AB1043" i="37" s="1"/>
  <c r="AC1043" i="37" s="1"/>
  <c r="AN1042" i="37" l="1"/>
  <c r="AL1042" i="37"/>
  <c r="Z1044" i="37"/>
  <c r="AI1043" i="37"/>
  <c r="AJ1043" i="37" s="1"/>
  <c r="AK1043" i="37" s="1"/>
  <c r="Y1044" i="37"/>
  <c r="AA1044" i="37"/>
  <c r="AB1044" i="37" s="1"/>
  <c r="AC1044" i="37" s="1"/>
  <c r="AD1043" i="37"/>
  <c r="AH1044" i="37"/>
  <c r="AG1044" i="37"/>
  <c r="AF1044" i="37"/>
  <c r="X1045" i="37"/>
  <c r="V1045" i="37"/>
  <c r="Z1045" i="37" s="1"/>
  <c r="AE1045" i="37"/>
  <c r="AO1046" i="37" s="1"/>
  <c r="W1046" i="37"/>
  <c r="AN1043" i="37" l="1"/>
  <c r="AL1043" i="37"/>
  <c r="AI1044" i="37"/>
  <c r="AJ1044" i="37" s="1"/>
  <c r="AK1044" i="37" s="1"/>
  <c r="AH1045" i="37"/>
  <c r="AG1045" i="37"/>
  <c r="AI1045" i="37" s="1"/>
  <c r="AJ1045" i="37" s="1"/>
  <c r="AF1045" i="37"/>
  <c r="W1047" i="37"/>
  <c r="V1046" i="37"/>
  <c r="X1046" i="37"/>
  <c r="AE1046" i="37"/>
  <c r="AO1047" i="37" s="1"/>
  <c r="AD1044" i="37"/>
  <c r="Y1045" i="37"/>
  <c r="AA1045" i="37"/>
  <c r="AB1045" i="37" s="1"/>
  <c r="AC1045" i="37" s="1"/>
  <c r="AK1045" i="37" l="1"/>
  <c r="AL1044" i="37"/>
  <c r="AN1044" i="37"/>
  <c r="Y1046" i="37"/>
  <c r="AA1046" i="37"/>
  <c r="AH1046" i="37"/>
  <c r="AG1046" i="37"/>
  <c r="AI1046" i="37" s="1"/>
  <c r="AJ1046" i="37" s="1"/>
  <c r="AF1046" i="37"/>
  <c r="Z1046" i="37"/>
  <c r="X1047" i="37"/>
  <c r="V1047" i="37"/>
  <c r="AE1047" i="37"/>
  <c r="AO1048" i="37" s="1"/>
  <c r="W1048" i="37"/>
  <c r="AD1045" i="37"/>
  <c r="AB1046" i="37" l="1"/>
  <c r="AC1046" i="37" s="1"/>
  <c r="AD1046" i="37" s="1"/>
  <c r="AN1045" i="37"/>
  <c r="AL1045" i="37"/>
  <c r="Z1047" i="37"/>
  <c r="AK1046" i="37"/>
  <c r="Y1047" i="37"/>
  <c r="AA1047" i="37"/>
  <c r="AB1047" i="37"/>
  <c r="AC1047" i="37" s="1"/>
  <c r="W1049" i="37"/>
  <c r="AE1048" i="37"/>
  <c r="AO1049" i="37" s="1"/>
  <c r="X1048" i="37"/>
  <c r="V1048" i="37"/>
  <c r="AH1047" i="37"/>
  <c r="AG1047" i="37"/>
  <c r="AF1047" i="37"/>
  <c r="AN1046" i="37" l="1"/>
  <c r="AL1046" i="37"/>
  <c r="Y1048" i="37"/>
  <c r="AA1048" i="37"/>
  <c r="Z1048" i="37"/>
  <c r="AB1048" i="37" s="1"/>
  <c r="AC1048" i="37" s="1"/>
  <c r="AH1048" i="37"/>
  <c r="AG1048" i="37"/>
  <c r="AI1048" i="37" s="1"/>
  <c r="AJ1048" i="37" s="1"/>
  <c r="AF1048" i="37"/>
  <c r="W1050" i="37"/>
  <c r="AE1049" i="37"/>
  <c r="AO1050" i="37" s="1"/>
  <c r="X1049" i="37"/>
  <c r="V1049" i="37"/>
  <c r="Z1049" i="37" s="1"/>
  <c r="AI1047" i="37"/>
  <c r="AJ1047" i="37" s="1"/>
  <c r="AK1047" i="37" s="1"/>
  <c r="AD1047" i="37"/>
  <c r="AN1047" i="37" l="1"/>
  <c r="AL1047" i="37"/>
  <c r="AH1049" i="37"/>
  <c r="AG1049" i="37"/>
  <c r="AI1049" i="37" s="1"/>
  <c r="AJ1049" i="37" s="1"/>
  <c r="AF1049" i="37"/>
  <c r="W1051" i="37"/>
  <c r="AE1050" i="37"/>
  <c r="AO1051" i="37" s="1"/>
  <c r="X1050" i="37"/>
  <c r="V1050" i="37"/>
  <c r="AK1048" i="37"/>
  <c r="Y1049" i="37"/>
  <c r="AA1049" i="37"/>
  <c r="AB1049" i="37" s="1"/>
  <c r="AC1049" i="37" s="1"/>
  <c r="AD1048" i="37"/>
  <c r="AL1048" i="37" l="1"/>
  <c r="AK1049" i="37"/>
  <c r="AN1048" i="37"/>
  <c r="Z1050" i="37"/>
  <c r="AH1050" i="37"/>
  <c r="AG1050" i="37"/>
  <c r="AI1050" i="37" s="1"/>
  <c r="AJ1050" i="37" s="1"/>
  <c r="AF1050" i="37"/>
  <c r="AD1049" i="37"/>
  <c r="Y1050" i="37"/>
  <c r="AA1050" i="37"/>
  <c r="W1052" i="37"/>
  <c r="AE1051" i="37"/>
  <c r="AO1052" i="37" s="1"/>
  <c r="X1051" i="37"/>
  <c r="V1051" i="37"/>
  <c r="AN1049" i="37" l="1"/>
  <c r="AL1049" i="37"/>
  <c r="AB1050" i="37"/>
  <c r="AC1050" i="37" s="1"/>
  <c r="AD1050" i="37" s="1"/>
  <c r="AK1050" i="37"/>
  <c r="W1053" i="37"/>
  <c r="AE1052" i="37"/>
  <c r="AO1053" i="37" s="1"/>
  <c r="X1052" i="37"/>
  <c r="V1052" i="37"/>
  <c r="Y1051" i="37"/>
  <c r="AA1051" i="37"/>
  <c r="Z1051" i="37"/>
  <c r="AH1051" i="37"/>
  <c r="AG1051" i="37"/>
  <c r="AI1051" i="37" s="1"/>
  <c r="AJ1051" i="37" s="1"/>
  <c r="AF1051" i="37"/>
  <c r="AL1050" i="37" l="1"/>
  <c r="AN1050" i="37"/>
  <c r="AK1051" i="37"/>
  <c r="AB1051" i="37"/>
  <c r="AC1051" i="37" s="1"/>
  <c r="AD1051" i="37" s="1"/>
  <c r="Y1052" i="37"/>
  <c r="AA1052" i="37"/>
  <c r="Z1052" i="37"/>
  <c r="AB1052" i="37" s="1"/>
  <c r="AC1052" i="37" s="1"/>
  <c r="AH1052" i="37"/>
  <c r="AG1052" i="37"/>
  <c r="AF1052" i="37"/>
  <c r="W1054" i="37"/>
  <c r="AE1053" i="37"/>
  <c r="AO1054" i="37" s="1"/>
  <c r="X1053" i="37"/>
  <c r="V1053" i="37"/>
  <c r="Z1053" i="37" s="1"/>
  <c r="AI1052" i="37" l="1"/>
  <c r="AJ1052" i="37" s="1"/>
  <c r="AK1052" i="37" s="1"/>
  <c r="AN1051" i="37"/>
  <c r="AL1051" i="37"/>
  <c r="W1055" i="37"/>
  <c r="AE1054" i="37"/>
  <c r="AO1055" i="37" s="1"/>
  <c r="X1054" i="37"/>
  <c r="V1054" i="37"/>
  <c r="AA1053" i="37"/>
  <c r="AB1053" i="37" s="1"/>
  <c r="AC1053" i="37" s="1"/>
  <c r="Y1053" i="37"/>
  <c r="AH1053" i="37"/>
  <c r="AG1053" i="37"/>
  <c r="AF1053" i="37"/>
  <c r="AD1052" i="37"/>
  <c r="Z1054" i="37" l="1"/>
  <c r="AN1052" i="37"/>
  <c r="AL1052" i="37"/>
  <c r="AD1053" i="37"/>
  <c r="AA1054" i="37"/>
  <c r="AB1054" i="37" s="1"/>
  <c r="AC1054" i="37" s="1"/>
  <c r="Y1054" i="37"/>
  <c r="AH1054" i="37"/>
  <c r="AG1054" i="37"/>
  <c r="AI1054" i="37" s="1"/>
  <c r="AJ1054" i="37" s="1"/>
  <c r="AF1054" i="37"/>
  <c r="AI1053" i="37"/>
  <c r="AJ1053" i="37" s="1"/>
  <c r="AK1053" i="37" s="1"/>
  <c r="W1056" i="37"/>
  <c r="AE1055" i="37"/>
  <c r="AO1056" i="37" s="1"/>
  <c r="X1055" i="37"/>
  <c r="V1055" i="37"/>
  <c r="AL1053" i="37" l="1"/>
  <c r="AN1053" i="37"/>
  <c r="Z1055" i="37"/>
  <c r="AK1054" i="37"/>
  <c r="AD1054" i="37"/>
  <c r="W1057" i="37"/>
  <c r="AE1056" i="37"/>
  <c r="AO1057" i="37" s="1"/>
  <c r="X1056" i="37"/>
  <c r="V1056" i="37"/>
  <c r="AA1055" i="37"/>
  <c r="Y1055" i="37"/>
  <c r="AH1055" i="37"/>
  <c r="AG1055" i="37"/>
  <c r="AI1055" i="37" s="1"/>
  <c r="AJ1055" i="37" s="1"/>
  <c r="AF1055" i="37"/>
  <c r="AN1054" i="37" l="1"/>
  <c r="AL1054" i="37"/>
  <c r="AB1055" i="37"/>
  <c r="AC1055" i="37" s="1"/>
  <c r="AD1055" i="37" s="1"/>
  <c r="AK1055" i="37"/>
  <c r="AA1056" i="37"/>
  <c r="Y1056" i="37"/>
  <c r="W1058" i="37"/>
  <c r="AE1057" i="37"/>
  <c r="AO1058" i="37" s="1"/>
  <c r="X1057" i="37"/>
  <c r="V1057" i="37"/>
  <c r="Z1056" i="37"/>
  <c r="AH1056" i="37"/>
  <c r="AG1056" i="37"/>
  <c r="AI1056" i="37" s="1"/>
  <c r="AJ1056" i="37" s="1"/>
  <c r="AF1056" i="37"/>
  <c r="AN1055" i="37" l="1"/>
  <c r="AL1055" i="37"/>
  <c r="AB1056" i="37"/>
  <c r="AC1056" i="37" s="1"/>
  <c r="AD1056" i="37" s="1"/>
  <c r="AK1056" i="37"/>
  <c r="AA1057" i="37"/>
  <c r="Y1057" i="37"/>
  <c r="W1059" i="37"/>
  <c r="AE1058" i="37"/>
  <c r="AO1059" i="37" s="1"/>
  <c r="X1058" i="37"/>
  <c r="V1058" i="37"/>
  <c r="Z1057" i="37"/>
  <c r="AH1057" i="37"/>
  <c r="AG1057" i="37"/>
  <c r="AF1057" i="37"/>
  <c r="AN1056" i="37" l="1"/>
  <c r="AL1056" i="37"/>
  <c r="AB1057" i="37"/>
  <c r="AC1057" i="37" s="1"/>
  <c r="AD1057" i="37" s="1"/>
  <c r="AA1058" i="37"/>
  <c r="Y1058" i="37"/>
  <c r="Z1058" i="37"/>
  <c r="AB1058" i="37" s="1"/>
  <c r="AC1058" i="37" s="1"/>
  <c r="AH1058" i="37"/>
  <c r="AG1058" i="37"/>
  <c r="AI1058" i="37" s="1"/>
  <c r="AJ1058" i="37" s="1"/>
  <c r="AF1058" i="37"/>
  <c r="W1060" i="37"/>
  <c r="AE1059" i="37"/>
  <c r="AO1060" i="37" s="1"/>
  <c r="X1059" i="37"/>
  <c r="V1059" i="37"/>
  <c r="Z1059" i="37" s="1"/>
  <c r="AI1057" i="37"/>
  <c r="AJ1057" i="37" s="1"/>
  <c r="AK1057" i="37" s="1"/>
  <c r="AL1057" i="37" l="1"/>
  <c r="AN1057" i="37"/>
  <c r="AK1058" i="37"/>
  <c r="AH1059" i="37"/>
  <c r="AG1059" i="37"/>
  <c r="AI1059" i="37" s="1"/>
  <c r="AJ1059" i="37" s="1"/>
  <c r="AF1059" i="37"/>
  <c r="W1061" i="37"/>
  <c r="AE1060" i="37"/>
  <c r="AO1061" i="37" s="1"/>
  <c r="X1060" i="37"/>
  <c r="V1060" i="37"/>
  <c r="AD1058" i="37"/>
  <c r="AA1059" i="37"/>
  <c r="AB1059" i="37" s="1"/>
  <c r="AC1059" i="37" s="1"/>
  <c r="Y1059" i="37"/>
  <c r="AN1058" i="37" l="1"/>
  <c r="AL1058" i="37"/>
  <c r="AK1059" i="37"/>
  <c r="AA1060" i="37"/>
  <c r="Y1060" i="37"/>
  <c r="AD1059" i="37"/>
  <c r="Z1060" i="37"/>
  <c r="AB1060" i="37" s="1"/>
  <c r="AC1060" i="37" s="1"/>
  <c r="AH1060" i="37"/>
  <c r="AG1060" i="37"/>
  <c r="AF1060" i="37"/>
  <c r="W1062" i="37"/>
  <c r="AE1061" i="37"/>
  <c r="AO1062" i="37" s="1"/>
  <c r="X1061" i="37"/>
  <c r="V1061" i="37"/>
  <c r="Z1061" i="37" s="1"/>
  <c r="AI1060" i="37" l="1"/>
  <c r="AJ1060" i="37" s="1"/>
  <c r="AK1060" i="37" s="1"/>
  <c r="AN1059" i="37"/>
  <c r="AL1059" i="37"/>
  <c r="W1063" i="37"/>
  <c r="AE1062" i="37"/>
  <c r="AO1063" i="37" s="1"/>
  <c r="X1062" i="37"/>
  <c r="V1062" i="37"/>
  <c r="AA1061" i="37"/>
  <c r="AB1061" i="37" s="1"/>
  <c r="AC1061" i="37" s="1"/>
  <c r="Y1061" i="37"/>
  <c r="AD1060" i="37"/>
  <c r="AH1061" i="37"/>
  <c r="AG1061" i="37"/>
  <c r="AF1061" i="37"/>
  <c r="AI1061" i="37" l="1"/>
  <c r="AJ1061" i="37" s="1"/>
  <c r="AK1061" i="37" s="1"/>
  <c r="AN1060" i="37"/>
  <c r="AL1060" i="37"/>
  <c r="AD1061" i="37"/>
  <c r="AA1062" i="37"/>
  <c r="Y1062" i="37"/>
  <c r="Z1062" i="37"/>
  <c r="AB1062" i="37" s="1"/>
  <c r="AC1062" i="37" s="1"/>
  <c r="AH1062" i="37"/>
  <c r="AG1062" i="37"/>
  <c r="AF1062" i="37"/>
  <c r="W1064" i="37"/>
  <c r="W1065" i="37" s="1"/>
  <c r="AE1063" i="37"/>
  <c r="AO1064" i="37" s="1"/>
  <c r="X1063" i="37"/>
  <c r="V1063" i="37"/>
  <c r="Z1063" i="37" l="1"/>
  <c r="AI1062" i="37"/>
  <c r="AJ1062" i="37" s="1"/>
  <c r="AK1062" i="37" s="1"/>
  <c r="AN1061" i="37"/>
  <c r="AL1061" i="37"/>
  <c r="AE1065" i="37"/>
  <c r="AO1066" i="37" s="1"/>
  <c r="V1065" i="37"/>
  <c r="X1065" i="37"/>
  <c r="W1066" i="37"/>
  <c r="X1064" i="37"/>
  <c r="AE1064" i="37"/>
  <c r="AO1065" i="37" s="1"/>
  <c r="V1064" i="37"/>
  <c r="AD1062" i="37"/>
  <c r="AA1063" i="37"/>
  <c r="AB1063" i="37" s="1"/>
  <c r="AC1063" i="37" s="1"/>
  <c r="Y1063" i="37"/>
  <c r="AH1063" i="37"/>
  <c r="AG1063" i="37"/>
  <c r="AF1063" i="37"/>
  <c r="AL1062" i="37" l="1"/>
  <c r="AN1062" i="37"/>
  <c r="Z1064" i="37"/>
  <c r="Y1065" i="37"/>
  <c r="AA1065" i="37"/>
  <c r="V1066" i="37"/>
  <c r="W1067" i="37"/>
  <c r="X1066" i="37"/>
  <c r="AE1066" i="37"/>
  <c r="AO1067" i="37" s="1"/>
  <c r="Z1065" i="37"/>
  <c r="AF1065" i="37"/>
  <c r="AH1065" i="37"/>
  <c r="AG1065" i="37"/>
  <c r="AI1065" i="37" s="1"/>
  <c r="AJ1065" i="37" s="1"/>
  <c r="AD1063" i="37"/>
  <c r="AH1064" i="37"/>
  <c r="AG1064" i="37"/>
  <c r="AI1064" i="37" s="1"/>
  <c r="AJ1064" i="37" s="1"/>
  <c r="AF1064" i="37"/>
  <c r="AI1063" i="37"/>
  <c r="AJ1063" i="37" s="1"/>
  <c r="AK1063" i="37" s="1"/>
  <c r="AA1064" i="37"/>
  <c r="AB1064" i="37" s="1"/>
  <c r="AC1064" i="37" s="1"/>
  <c r="Y1064" i="37"/>
  <c r="AB1065" i="37" l="1"/>
  <c r="AC1065" i="37" s="1"/>
  <c r="AD1065" i="37" s="1"/>
  <c r="AN1063" i="37"/>
  <c r="AL1063" i="37"/>
  <c r="Z1066" i="37"/>
  <c r="AG1066" i="37"/>
  <c r="AF1066" i="37"/>
  <c r="AH1066" i="37"/>
  <c r="AA1066" i="37"/>
  <c r="Y1066" i="37"/>
  <c r="V1067" i="37"/>
  <c r="W1068" i="37"/>
  <c r="AE1067" i="37"/>
  <c r="AO1068" i="37" s="1"/>
  <c r="X1067" i="37"/>
  <c r="AK1065" i="37"/>
  <c r="AK1064" i="37"/>
  <c r="AD1064" i="37"/>
  <c r="AN1065" i="37" l="1"/>
  <c r="Z1067" i="37"/>
  <c r="AN1064" i="37"/>
  <c r="AL1064" i="37"/>
  <c r="AL1065" i="37"/>
  <c r="V1068" i="37"/>
  <c r="W1069" i="37"/>
  <c r="AE1068" i="37"/>
  <c r="AO1069" i="37" s="1"/>
  <c r="X1068" i="37"/>
  <c r="AA1067" i="37"/>
  <c r="AB1067" i="37" s="1"/>
  <c r="AC1067" i="37" s="1"/>
  <c r="Y1067" i="37"/>
  <c r="AI1066" i="37"/>
  <c r="AJ1066" i="37" s="1"/>
  <c r="AK1066" i="37" s="1"/>
  <c r="AH1067" i="37"/>
  <c r="AF1067" i="37"/>
  <c r="AG1067" i="37"/>
  <c r="AB1066" i="37"/>
  <c r="AC1066" i="37" s="1"/>
  <c r="AD1066" i="37" s="1"/>
  <c r="AD1067" i="37" l="1"/>
  <c r="AL1066" i="37"/>
  <c r="AN1066" i="37"/>
  <c r="Y1068" i="37"/>
  <c r="AA1068" i="37"/>
  <c r="AF1068" i="37"/>
  <c r="AG1068" i="37"/>
  <c r="AH1068" i="37"/>
  <c r="AI1067" i="37"/>
  <c r="AJ1067" i="37" s="1"/>
  <c r="AK1067" i="37" s="1"/>
  <c r="AN1067" i="37" s="1"/>
  <c r="V1069" i="37"/>
  <c r="X1069" i="37"/>
  <c r="AE1069" i="37"/>
  <c r="AO1070" i="37" s="1"/>
  <c r="W1070" i="37"/>
  <c r="Z1068" i="37"/>
  <c r="AL1067" i="37" l="1"/>
  <c r="Z1069" i="37"/>
  <c r="AA1069" i="37"/>
  <c r="AB1069" i="37" s="1"/>
  <c r="AC1069" i="37" s="1"/>
  <c r="Y1069" i="37"/>
  <c r="AI1068" i="37"/>
  <c r="AJ1068" i="37" s="1"/>
  <c r="AK1068" i="37" s="1"/>
  <c r="AE1070" i="37"/>
  <c r="AO1071" i="37" s="1"/>
  <c r="W1071" i="37"/>
  <c r="V1070" i="37"/>
  <c r="X1070" i="37"/>
  <c r="AB1068" i="37"/>
  <c r="AC1068" i="37" s="1"/>
  <c r="AD1068" i="37" s="1"/>
  <c r="AF1069" i="37"/>
  <c r="AH1069" i="37"/>
  <c r="AG1069" i="37"/>
  <c r="AI1069" i="37" s="1"/>
  <c r="AJ1069" i="37" s="1"/>
  <c r="AK1069" i="37" s="1"/>
  <c r="AL1068" i="37" l="1"/>
  <c r="AN1068" i="37"/>
  <c r="AA1070" i="37"/>
  <c r="Y1070" i="37"/>
  <c r="Z1070" i="37"/>
  <c r="AB1070" i="37" s="1"/>
  <c r="AC1070" i="37" s="1"/>
  <c r="AD1070" i="37" s="1"/>
  <c r="X1071" i="37"/>
  <c r="W1072" i="37"/>
  <c r="V1071" i="37"/>
  <c r="Z1071" i="37" s="1"/>
  <c r="AE1071" i="37"/>
  <c r="AO1072" i="37" s="1"/>
  <c r="AG1070" i="37"/>
  <c r="AF1070" i="37"/>
  <c r="AH1070" i="37"/>
  <c r="AD1069" i="37"/>
  <c r="AI1070" i="37" l="1"/>
  <c r="AJ1070" i="37" s="1"/>
  <c r="AK1070" i="37" s="1"/>
  <c r="AN1070" i="37" s="1"/>
  <c r="AN1069" i="37"/>
  <c r="AL1069" i="37"/>
  <c r="X1072" i="37"/>
  <c r="W1073" i="37"/>
  <c r="V1072" i="37"/>
  <c r="AE1072" i="37"/>
  <c r="AO1073" i="37" s="1"/>
  <c r="AG1071" i="37"/>
  <c r="AF1071" i="37"/>
  <c r="AH1071" i="37"/>
  <c r="Y1071" i="37"/>
  <c r="AA1071" i="37"/>
  <c r="AB1071" i="37" s="1"/>
  <c r="AC1071" i="37" s="1"/>
  <c r="AL1070" i="37" l="1"/>
  <c r="Z1072" i="37"/>
  <c r="AI1071" i="37"/>
  <c r="AJ1071" i="37" s="1"/>
  <c r="AK1071" i="37" s="1"/>
  <c r="AD1071" i="37"/>
  <c r="AF1072" i="37"/>
  <c r="AH1072" i="37"/>
  <c r="AG1072" i="37"/>
  <c r="AI1072" i="37" s="1"/>
  <c r="AJ1072" i="37" s="1"/>
  <c r="AK1072" i="37" s="1"/>
  <c r="AB1072" i="37"/>
  <c r="AC1072" i="37" s="1"/>
  <c r="AD1072" i="37" s="1"/>
  <c r="V1073" i="37"/>
  <c r="AE1073" i="37"/>
  <c r="AO1074" i="37" s="1"/>
  <c r="X1073" i="37"/>
  <c r="W1074" i="37"/>
  <c r="AA1072" i="37"/>
  <c r="Y1072" i="37"/>
  <c r="AL1072" i="37" l="1"/>
  <c r="AN1071" i="37"/>
  <c r="AL1071" i="37"/>
  <c r="AN1072" i="37"/>
  <c r="Y1073" i="37"/>
  <c r="AA1073" i="37"/>
  <c r="Z1073" i="37"/>
  <c r="AB1073" i="37" s="1"/>
  <c r="AC1073" i="37" s="1"/>
  <c r="AD1073" i="37" s="1"/>
  <c r="V1074" i="37"/>
  <c r="X1074" i="37"/>
  <c r="AE1074" i="37"/>
  <c r="AO1075" i="37" s="1"/>
  <c r="W1075" i="37"/>
  <c r="AF1073" i="37"/>
  <c r="AH1073" i="37"/>
  <c r="AG1073" i="37"/>
  <c r="AI1073" i="37" s="1"/>
  <c r="AJ1073" i="37" s="1"/>
  <c r="AH1074" i="37" l="1"/>
  <c r="AG1074" i="37"/>
  <c r="AI1074" i="37" s="1"/>
  <c r="AJ1074" i="37" s="1"/>
  <c r="AF1074" i="37"/>
  <c r="Z1074" i="37"/>
  <c r="AB1074" i="37" s="1"/>
  <c r="AC1074" i="37" s="1"/>
  <c r="AD1074" i="37" s="1"/>
  <c r="V1075" i="37"/>
  <c r="X1075" i="37"/>
  <c r="AE1075" i="37"/>
  <c r="AO1076" i="37" s="1"/>
  <c r="W1076" i="37"/>
  <c r="Y1074" i="37"/>
  <c r="AA1074" i="37"/>
  <c r="AK1073" i="37"/>
  <c r="AN1073" i="37" s="1"/>
  <c r="AL1073" i="37" l="1"/>
  <c r="AE1076" i="37"/>
  <c r="AO1077" i="37" s="1"/>
  <c r="X1076" i="37"/>
  <c r="V1076" i="37"/>
  <c r="Z1076" i="37" s="1"/>
  <c r="W1077" i="37"/>
  <c r="AF1075" i="37"/>
  <c r="AH1075" i="37"/>
  <c r="AG1075" i="37"/>
  <c r="AI1075" i="37" s="1"/>
  <c r="AJ1075" i="37" s="1"/>
  <c r="AK1075" i="37" s="1"/>
  <c r="Y1075" i="37"/>
  <c r="AA1075" i="37"/>
  <c r="Z1075" i="37"/>
  <c r="AK1074" i="37"/>
  <c r="AN1074" i="37" s="1"/>
  <c r="AL1074" i="37" l="1"/>
  <c r="V1077" i="37"/>
  <c r="W1078" i="37"/>
  <c r="X1077" i="37"/>
  <c r="AE1077" i="37"/>
  <c r="AO1078" i="37" s="1"/>
  <c r="AA1076" i="37"/>
  <c r="AB1076" i="37" s="1"/>
  <c r="AC1076" i="37" s="1"/>
  <c r="Y1076" i="37"/>
  <c r="AB1075" i="37"/>
  <c r="AC1075" i="37" s="1"/>
  <c r="AD1075" i="37" s="1"/>
  <c r="AG1076" i="37"/>
  <c r="AF1076" i="37"/>
  <c r="AH1076" i="37"/>
  <c r="AD1076" i="37" l="1"/>
  <c r="AN1075" i="37"/>
  <c r="AL1075" i="37"/>
  <c r="AH1077" i="37"/>
  <c r="AG1077" i="37"/>
  <c r="AI1077" i="37" s="1"/>
  <c r="AJ1077" i="37" s="1"/>
  <c r="AF1077" i="37"/>
  <c r="Y1077" i="37"/>
  <c r="AA1077" i="37"/>
  <c r="V1078" i="37"/>
  <c r="X1078" i="37"/>
  <c r="AE1078" i="37"/>
  <c r="AO1079" i="37" s="1"/>
  <c r="W1079" i="37"/>
  <c r="AI1076" i="37"/>
  <c r="AJ1076" i="37" s="1"/>
  <c r="AK1076" i="37" s="1"/>
  <c r="Z1077" i="37"/>
  <c r="AN1076" i="37" l="1"/>
  <c r="AL1076" i="37"/>
  <c r="AH1078" i="37"/>
  <c r="AG1078" i="37"/>
  <c r="AI1078" i="37" s="1"/>
  <c r="AJ1078" i="37" s="1"/>
  <c r="AF1078" i="37"/>
  <c r="Y1078" i="37"/>
  <c r="AA1078" i="37"/>
  <c r="Z1078" i="37"/>
  <c r="AB1078" i="37" s="1"/>
  <c r="AC1078" i="37" s="1"/>
  <c r="AD1078" i="37" s="1"/>
  <c r="AB1077" i="37"/>
  <c r="AC1077" i="37" s="1"/>
  <c r="AD1077" i="37" s="1"/>
  <c r="AK1077" i="37"/>
  <c r="V1079" i="37"/>
  <c r="X1079" i="37"/>
  <c r="AE1079" i="37"/>
  <c r="AO1080" i="37" s="1"/>
  <c r="W1080" i="37"/>
  <c r="AL1077" i="37" l="1"/>
  <c r="AN1077" i="37"/>
  <c r="Y1079" i="37"/>
  <c r="AA1079" i="37"/>
  <c r="W1081" i="37"/>
  <c r="X1080" i="37"/>
  <c r="V1080" i="37"/>
  <c r="Z1080" i="37" s="1"/>
  <c r="AE1080" i="37"/>
  <c r="AO1081" i="37" s="1"/>
  <c r="AG1079" i="37"/>
  <c r="AH1079" i="37"/>
  <c r="AF1079" i="37"/>
  <c r="AK1078" i="37"/>
  <c r="AN1078" i="37" s="1"/>
  <c r="Z1079" i="37"/>
  <c r="AB1079" i="37" s="1"/>
  <c r="AC1079" i="37" s="1"/>
  <c r="AD1079" i="37" s="1"/>
  <c r="AL1078" i="37" l="1"/>
  <c r="AI1079" i="37"/>
  <c r="AJ1079" i="37" s="1"/>
  <c r="AK1079" i="37" s="1"/>
  <c r="AN1079" i="37" s="1"/>
  <c r="AH1080" i="37"/>
  <c r="AG1080" i="37"/>
  <c r="AI1080" i="37" s="1"/>
  <c r="AJ1080" i="37" s="1"/>
  <c r="AF1080" i="37"/>
  <c r="Y1080" i="37"/>
  <c r="AA1080" i="37"/>
  <c r="AB1080" i="37" s="1"/>
  <c r="AC1080" i="37" s="1"/>
  <c r="AD1080" i="37" s="1"/>
  <c r="X1081" i="37"/>
  <c r="AE1081" i="37"/>
  <c r="AO1082" i="37" s="1"/>
  <c r="V1081" i="37"/>
  <c r="W1082" i="37"/>
  <c r="AL1079" i="37" l="1"/>
  <c r="AK1080" i="37"/>
  <c r="AN1080" i="37" s="1"/>
  <c r="Y1081" i="37"/>
  <c r="AA1081" i="37"/>
  <c r="Z1081" i="37"/>
  <c r="AB1081" i="37" s="1"/>
  <c r="AC1081" i="37" s="1"/>
  <c r="W1083" i="37"/>
  <c r="V1082" i="37"/>
  <c r="X1082" i="37"/>
  <c r="AE1082" i="37"/>
  <c r="AO1083" i="37" s="1"/>
  <c r="AG1081" i="37"/>
  <c r="AF1081" i="37"/>
  <c r="AH1081" i="37"/>
  <c r="AL1080" i="37" l="1"/>
  <c r="AI1081" i="37"/>
  <c r="AJ1081" i="37" s="1"/>
  <c r="AK1081" i="37" s="1"/>
  <c r="AG1082" i="37"/>
  <c r="AF1082" i="37"/>
  <c r="AH1082" i="37"/>
  <c r="X1083" i="37"/>
  <c r="AE1083" i="37"/>
  <c r="AO1084" i="37" s="1"/>
  <c r="W1084" i="37"/>
  <c r="V1083" i="37"/>
  <c r="AA1082" i="37"/>
  <c r="Y1082" i="37"/>
  <c r="Z1082" i="37"/>
  <c r="AD1081" i="37"/>
  <c r="Z1083" i="37" l="1"/>
  <c r="AN1081" i="37"/>
  <c r="AL1081" i="37"/>
  <c r="X1084" i="37"/>
  <c r="V1084" i="37"/>
  <c r="Z1084" i="37" s="1"/>
  <c r="AE1084" i="37"/>
  <c r="AO1085" i="37" s="1"/>
  <c r="W1085" i="37"/>
  <c r="AH1083" i="37"/>
  <c r="AG1083" i="37"/>
  <c r="AF1083" i="37"/>
  <c r="Y1083" i="37"/>
  <c r="AA1083" i="37"/>
  <c r="AB1083" i="37" s="1"/>
  <c r="AC1083" i="37" s="1"/>
  <c r="AB1082" i="37"/>
  <c r="AC1082" i="37" s="1"/>
  <c r="AD1082" i="37" s="1"/>
  <c r="AI1082" i="37"/>
  <c r="AJ1082" i="37" s="1"/>
  <c r="AK1082" i="37" s="1"/>
  <c r="AI1083" i="37" l="1"/>
  <c r="AJ1083" i="37" s="1"/>
  <c r="AK1083" i="37" s="1"/>
  <c r="AL1082" i="37"/>
  <c r="AD1083" i="37"/>
  <c r="AN1082" i="37"/>
  <c r="X1085" i="37"/>
  <c r="W1086" i="37"/>
  <c r="AE1085" i="37"/>
  <c r="AO1086" i="37" s="1"/>
  <c r="V1085" i="37"/>
  <c r="AG1084" i="37"/>
  <c r="AF1084" i="37"/>
  <c r="AH1084" i="37"/>
  <c r="Y1084" i="37"/>
  <c r="AA1084" i="37"/>
  <c r="AB1084" i="37" s="1"/>
  <c r="AC1084" i="37" s="1"/>
  <c r="AN1083" i="37" l="1"/>
  <c r="Z1085" i="37"/>
  <c r="AL1083" i="37"/>
  <c r="AI1084" i="37"/>
  <c r="AJ1084" i="37" s="1"/>
  <c r="AK1084" i="37" s="1"/>
  <c r="AG1085" i="37"/>
  <c r="AF1085" i="37"/>
  <c r="AH1085" i="37"/>
  <c r="X1086" i="37"/>
  <c r="W1087" i="37"/>
  <c r="V1086" i="37"/>
  <c r="AE1086" i="37"/>
  <c r="AO1087" i="37" s="1"/>
  <c r="AD1084" i="37"/>
  <c r="Y1085" i="37"/>
  <c r="AA1085" i="37"/>
  <c r="AB1085" i="37" s="1"/>
  <c r="AC1085" i="37" s="1"/>
  <c r="Z1086" i="37" l="1"/>
  <c r="AN1084" i="37"/>
  <c r="AL1084" i="37"/>
  <c r="X1087" i="37"/>
  <c r="V1087" i="37"/>
  <c r="Z1087" i="37" s="1"/>
  <c r="W1088" i="37"/>
  <c r="AE1087" i="37"/>
  <c r="AO1088" i="37" s="1"/>
  <c r="AF1086" i="37"/>
  <c r="AH1086" i="37"/>
  <c r="AG1086" i="37"/>
  <c r="AI1086" i="37" s="1"/>
  <c r="AJ1086" i="37" s="1"/>
  <c r="AA1086" i="37"/>
  <c r="AB1086" i="37" s="1"/>
  <c r="AC1086" i="37" s="1"/>
  <c r="Y1086" i="37"/>
  <c r="AD1085" i="37"/>
  <c r="AI1085" i="37"/>
  <c r="AJ1085" i="37" s="1"/>
  <c r="AK1085" i="37" s="1"/>
  <c r="AL1085" i="37" l="1"/>
  <c r="AN1085" i="37"/>
  <c r="AK1086" i="37"/>
  <c r="AH1087" i="37"/>
  <c r="AG1087" i="37"/>
  <c r="AI1087" i="37" s="1"/>
  <c r="AJ1087" i="37" s="1"/>
  <c r="AF1087" i="37"/>
  <c r="V1088" i="37"/>
  <c r="X1088" i="37"/>
  <c r="AE1088" i="37"/>
  <c r="AO1089" i="37" s="1"/>
  <c r="W1089" i="37"/>
  <c r="AD1086" i="37"/>
  <c r="Y1087" i="37"/>
  <c r="AA1087" i="37"/>
  <c r="AB1087" i="37" s="1"/>
  <c r="AC1087" i="37" s="1"/>
  <c r="AN1086" i="37" l="1"/>
  <c r="AL1086" i="37"/>
  <c r="AK1087" i="37"/>
  <c r="AH1088" i="37"/>
  <c r="AG1088" i="37"/>
  <c r="AI1088" i="37" s="1"/>
  <c r="AJ1088" i="37" s="1"/>
  <c r="AF1088" i="37"/>
  <c r="X1089" i="37"/>
  <c r="V1089" i="37"/>
  <c r="W1090" i="37"/>
  <c r="AE1089" i="37"/>
  <c r="AO1090" i="37" s="1"/>
  <c r="Y1088" i="37"/>
  <c r="AA1088" i="37"/>
  <c r="Z1088" i="37"/>
  <c r="AB1088" i="37" s="1"/>
  <c r="AC1088" i="37" s="1"/>
  <c r="AD1087" i="37"/>
  <c r="Z1089" i="37" l="1"/>
  <c r="AN1087" i="37"/>
  <c r="AL1087" i="37"/>
  <c r="AK1088" i="37"/>
  <c r="AD1088" i="37"/>
  <c r="AH1089" i="37"/>
  <c r="AG1089" i="37"/>
  <c r="AF1089" i="37"/>
  <c r="AE1090" i="37"/>
  <c r="AO1091" i="37" s="1"/>
  <c r="W1091" i="37"/>
  <c r="V1090" i="37"/>
  <c r="X1090" i="37"/>
  <c r="AA1089" i="37"/>
  <c r="AB1089" i="37" s="1"/>
  <c r="AC1089" i="37" s="1"/>
  <c r="Y1089" i="37"/>
  <c r="AI1089" i="37" l="1"/>
  <c r="AJ1089" i="37" s="1"/>
  <c r="AK1089" i="37" s="1"/>
  <c r="AN1088" i="37"/>
  <c r="AL1088" i="37"/>
  <c r="AH1090" i="37"/>
  <c r="AG1090" i="37"/>
  <c r="AI1090" i="37" s="1"/>
  <c r="AJ1090" i="37" s="1"/>
  <c r="AF1090" i="37"/>
  <c r="Y1090" i="37"/>
  <c r="AA1090" i="37"/>
  <c r="Z1090" i="37"/>
  <c r="W1092" i="37"/>
  <c r="AE1091" i="37"/>
  <c r="AO1092" i="37" s="1"/>
  <c r="X1091" i="37"/>
  <c r="V1091" i="37"/>
  <c r="Z1091" i="37" s="1"/>
  <c r="AD1089" i="37"/>
  <c r="AN1089" i="37" l="1"/>
  <c r="AL1089" i="37"/>
  <c r="AK1090" i="37"/>
  <c r="AG1091" i="37"/>
  <c r="AH1091" i="37"/>
  <c r="AF1091" i="37"/>
  <c r="V1092" i="37"/>
  <c r="AE1092" i="37"/>
  <c r="AO1093" i="37" s="1"/>
  <c r="W1093" i="37"/>
  <c r="X1092" i="37"/>
  <c r="AB1090" i="37"/>
  <c r="AC1090" i="37" s="1"/>
  <c r="AD1090" i="37" s="1"/>
  <c r="Y1091" i="37"/>
  <c r="AA1091" i="37"/>
  <c r="AB1091" i="37" s="1"/>
  <c r="AC1091" i="37" s="1"/>
  <c r="AN1090" i="37" l="1"/>
  <c r="AL1090" i="37"/>
  <c r="AA1092" i="37"/>
  <c r="Y1092" i="37"/>
  <c r="X1093" i="37"/>
  <c r="V1093" i="37"/>
  <c r="Z1093" i="37" s="1"/>
  <c r="W1094" i="37"/>
  <c r="AE1093" i="37"/>
  <c r="AO1094" i="37" s="1"/>
  <c r="AD1091" i="37"/>
  <c r="AH1092" i="37"/>
  <c r="AG1092" i="37"/>
  <c r="AF1092" i="37"/>
  <c r="Z1092" i="37"/>
  <c r="AB1092" i="37" s="1"/>
  <c r="AC1092" i="37" s="1"/>
  <c r="AD1092" i="37" s="1"/>
  <c r="AI1091" i="37"/>
  <c r="AJ1091" i="37" s="1"/>
  <c r="AK1091" i="37" s="1"/>
  <c r="AN1091" i="37" l="1"/>
  <c r="AL1091" i="37"/>
  <c r="AH1093" i="37"/>
  <c r="AF1093" i="37"/>
  <c r="AG1093" i="37"/>
  <c r="AI1093" i="37" s="1"/>
  <c r="AJ1093" i="37" s="1"/>
  <c r="AE1094" i="37"/>
  <c r="AO1095" i="37" s="1"/>
  <c r="X1094" i="37"/>
  <c r="W1095" i="37"/>
  <c r="V1094" i="37"/>
  <c r="Y1093" i="37"/>
  <c r="AA1093" i="37"/>
  <c r="AB1093" i="37" s="1"/>
  <c r="AC1093" i="37" s="1"/>
  <c r="AI1092" i="37"/>
  <c r="AJ1092" i="37" s="1"/>
  <c r="AK1092" i="37" s="1"/>
  <c r="AN1092" i="37" s="1"/>
  <c r="Z1094" i="37" l="1"/>
  <c r="AL1092" i="37"/>
  <c r="X1095" i="37"/>
  <c r="AE1095" i="37"/>
  <c r="AO1096" i="37" s="1"/>
  <c r="W1096" i="37"/>
  <c r="V1095" i="37"/>
  <c r="Z1095" i="37" s="1"/>
  <c r="AA1094" i="37"/>
  <c r="AB1094" i="37" s="1"/>
  <c r="AC1094" i="37" s="1"/>
  <c r="Y1094" i="37"/>
  <c r="AH1094" i="37"/>
  <c r="AG1094" i="37"/>
  <c r="AF1094" i="37"/>
  <c r="AK1093" i="37"/>
  <c r="AD1093" i="37"/>
  <c r="AN1093" i="37" l="1"/>
  <c r="AL1093" i="37"/>
  <c r="AD1094" i="37"/>
  <c r="V1096" i="37"/>
  <c r="AE1096" i="37"/>
  <c r="AO1097" i="37" s="1"/>
  <c r="X1096" i="37"/>
  <c r="W1097" i="37"/>
  <c r="AH1095" i="37"/>
  <c r="AG1095" i="37"/>
  <c r="AF1095" i="37"/>
  <c r="Y1095" i="37"/>
  <c r="AA1095" i="37"/>
  <c r="AB1095" i="37" s="1"/>
  <c r="AC1095" i="37" s="1"/>
  <c r="AI1094" i="37"/>
  <c r="AJ1094" i="37" s="1"/>
  <c r="AK1094" i="37" s="1"/>
  <c r="AI1095" i="37" l="1"/>
  <c r="AJ1095" i="37" s="1"/>
  <c r="AK1095" i="37" s="1"/>
  <c r="AL1094" i="37"/>
  <c r="AN1094" i="37"/>
  <c r="Y1096" i="37"/>
  <c r="AA1096" i="37"/>
  <c r="X1097" i="37"/>
  <c r="W1098" i="37"/>
  <c r="V1097" i="37"/>
  <c r="AE1097" i="37"/>
  <c r="AO1098" i="37" s="1"/>
  <c r="AH1096" i="37"/>
  <c r="AG1096" i="37"/>
  <c r="AI1096" i="37" s="1"/>
  <c r="AJ1096" i="37" s="1"/>
  <c r="AF1096" i="37"/>
  <c r="Z1096" i="37"/>
  <c r="AB1096" i="37" s="1"/>
  <c r="AC1096" i="37" s="1"/>
  <c r="AD1095" i="37"/>
  <c r="Z1097" i="37" l="1"/>
  <c r="AL1095" i="37"/>
  <c r="AN1095" i="37"/>
  <c r="AH1097" i="37"/>
  <c r="AF1097" i="37"/>
  <c r="AG1097" i="37"/>
  <c r="AI1097" i="37" s="1"/>
  <c r="AJ1097" i="37" s="1"/>
  <c r="W1099" i="37"/>
  <c r="X1098" i="37"/>
  <c r="V1098" i="37"/>
  <c r="AE1098" i="37"/>
  <c r="AO1099" i="37" s="1"/>
  <c r="Y1097" i="37"/>
  <c r="AA1097" i="37"/>
  <c r="AB1097" i="37" s="1"/>
  <c r="AC1097" i="37" s="1"/>
  <c r="AK1096" i="37"/>
  <c r="AD1096" i="37"/>
  <c r="AN1096" i="37" l="1"/>
  <c r="AL1096" i="37"/>
  <c r="AD1097" i="37"/>
  <c r="Y1098" i="37"/>
  <c r="AA1098" i="37"/>
  <c r="AF1098" i="37"/>
  <c r="AH1098" i="37"/>
  <c r="AG1098" i="37"/>
  <c r="AI1098" i="37" s="1"/>
  <c r="AJ1098" i="37" s="1"/>
  <c r="Z1098" i="37"/>
  <c r="X1099" i="37"/>
  <c r="V1099" i="37"/>
  <c r="Z1099" i="37" s="1"/>
  <c r="W1100" i="37"/>
  <c r="AE1099" i="37"/>
  <c r="AO1100" i="37" s="1"/>
  <c r="AK1097" i="37"/>
  <c r="AB1098" i="37" l="1"/>
  <c r="AC1098" i="37" s="1"/>
  <c r="AD1098" i="37" s="1"/>
  <c r="AL1097" i="37"/>
  <c r="AN1097" i="37"/>
  <c r="AA1099" i="37"/>
  <c r="AB1099" i="37" s="1"/>
  <c r="AC1099" i="37" s="1"/>
  <c r="Y1099" i="37"/>
  <c r="AK1098" i="37"/>
  <c r="AG1099" i="37"/>
  <c r="AH1099" i="37"/>
  <c r="AF1099" i="37"/>
  <c r="X1100" i="37"/>
  <c r="AE1100" i="37"/>
  <c r="AO1101" i="37" s="1"/>
  <c r="V1100" i="37"/>
  <c r="W1101" i="37"/>
  <c r="AN1098" i="37" l="1"/>
  <c r="AL1098" i="37"/>
  <c r="AH1100" i="37"/>
  <c r="AG1100" i="37"/>
  <c r="AF1100" i="37"/>
  <c r="AI1099" i="37"/>
  <c r="AJ1099" i="37" s="1"/>
  <c r="AK1099" i="37" s="1"/>
  <c r="AE1101" i="37"/>
  <c r="AO1102" i="37" s="1"/>
  <c r="X1101" i="37"/>
  <c r="W1102" i="37"/>
  <c r="V1101" i="37"/>
  <c r="AD1099" i="37"/>
  <c r="Y1100" i="37"/>
  <c r="AA1100" i="37"/>
  <c r="Z1100" i="37"/>
  <c r="AB1100" i="37" s="1"/>
  <c r="AC1100" i="37" s="1"/>
  <c r="AI1100" i="37" l="1"/>
  <c r="AJ1100" i="37" s="1"/>
  <c r="AK1100" i="37" s="1"/>
  <c r="Z1101" i="37"/>
  <c r="AL1099" i="37"/>
  <c r="AN1099" i="37"/>
  <c r="V1102" i="37"/>
  <c r="AE1102" i="37"/>
  <c r="AO1103" i="37" s="1"/>
  <c r="W1103" i="37"/>
  <c r="X1102" i="37"/>
  <c r="Y1101" i="37"/>
  <c r="AA1101" i="37"/>
  <c r="AB1101" i="37" s="1"/>
  <c r="AC1101" i="37" s="1"/>
  <c r="AG1101" i="37"/>
  <c r="AH1101" i="37"/>
  <c r="AF1101" i="37"/>
  <c r="AD1100" i="37"/>
  <c r="AL1100" i="37" l="1"/>
  <c r="AN1100" i="37"/>
  <c r="AI1101" i="37"/>
  <c r="AJ1101" i="37" s="1"/>
  <c r="AK1101" i="37" s="1"/>
  <c r="AD1101" i="37"/>
  <c r="Y1102" i="37"/>
  <c r="AA1102" i="37"/>
  <c r="X1103" i="37"/>
  <c r="V1103" i="37"/>
  <c r="AE1103" i="37"/>
  <c r="AO1104" i="37" s="1"/>
  <c r="W1104" i="37"/>
  <c r="AG1102" i="37"/>
  <c r="AF1102" i="37"/>
  <c r="AH1102" i="37"/>
  <c r="Z1102" i="37"/>
  <c r="AB1102" i="37" s="1"/>
  <c r="AC1102" i="37" s="1"/>
  <c r="AN1101" i="37" l="1"/>
  <c r="AL1101" i="37"/>
  <c r="AH1103" i="37"/>
  <c r="AG1103" i="37"/>
  <c r="AF1103" i="37"/>
  <c r="Z1103" i="37"/>
  <c r="AB1103" i="37" s="1"/>
  <c r="AC1103" i="37" s="1"/>
  <c r="AD1102" i="37"/>
  <c r="AE1104" i="37"/>
  <c r="AO1105" i="37" s="1"/>
  <c r="W1105" i="37"/>
  <c r="X1104" i="37"/>
  <c r="V1104" i="37"/>
  <c r="Y1103" i="37"/>
  <c r="AA1103" i="37"/>
  <c r="AI1102" i="37"/>
  <c r="AJ1102" i="37" s="1"/>
  <c r="AK1102" i="37" s="1"/>
  <c r="AI1103" i="37" l="1"/>
  <c r="AJ1103" i="37" s="1"/>
  <c r="AK1103" i="37" s="1"/>
  <c r="AN1102" i="37"/>
  <c r="AL1102" i="37"/>
  <c r="AD1103" i="37"/>
  <c r="Y1104" i="37"/>
  <c r="AA1104" i="37"/>
  <c r="AE1105" i="37"/>
  <c r="AO1106" i="37" s="1"/>
  <c r="W1106" i="37"/>
  <c r="V1105" i="37"/>
  <c r="X1105" i="37"/>
  <c r="AH1104" i="37"/>
  <c r="AG1104" i="37"/>
  <c r="AF1104" i="37"/>
  <c r="Z1104" i="37"/>
  <c r="AB1104" i="37" s="1"/>
  <c r="AC1104" i="37" s="1"/>
  <c r="AD1104" i="37" s="1"/>
  <c r="AN1103" i="37" l="1"/>
  <c r="AL1103" i="37"/>
  <c r="AF1105" i="37"/>
  <c r="AH1105" i="37"/>
  <c r="AG1105" i="37"/>
  <c r="AI1105" i="37" s="1"/>
  <c r="AJ1105" i="37" s="1"/>
  <c r="AK1105" i="37" s="1"/>
  <c r="AA1105" i="37"/>
  <c r="Y1105" i="37"/>
  <c r="Z1105" i="37"/>
  <c r="AB1105" i="37" s="1"/>
  <c r="AC1105" i="37" s="1"/>
  <c r="AD1105" i="37" s="1"/>
  <c r="W1107" i="37"/>
  <c r="X1106" i="37"/>
  <c r="AE1106" i="37"/>
  <c r="AO1107" i="37" s="1"/>
  <c r="V1106" i="37"/>
  <c r="AI1104" i="37"/>
  <c r="AJ1104" i="37" s="1"/>
  <c r="AK1104" i="37" s="1"/>
  <c r="AN1104" i="37" s="1"/>
  <c r="AN1105" i="37" l="1"/>
  <c r="AL1105" i="37"/>
  <c r="AL1104" i="37"/>
  <c r="Y1106" i="37"/>
  <c r="AA1106" i="37"/>
  <c r="V1107" i="37"/>
  <c r="AE1107" i="37"/>
  <c r="AO1108" i="37" s="1"/>
  <c r="W1108" i="37"/>
  <c r="X1107" i="37"/>
  <c r="Z1106" i="37"/>
  <c r="AG1106" i="37"/>
  <c r="AH1106" i="37"/>
  <c r="AF1106" i="37"/>
  <c r="AI1106" i="37" l="1"/>
  <c r="AJ1106" i="37" s="1"/>
  <c r="AK1106" i="37" s="1"/>
  <c r="AB1106" i="37"/>
  <c r="AC1106" i="37" s="1"/>
  <c r="AD1106" i="37" s="1"/>
  <c r="Y1107" i="37"/>
  <c r="AA1107" i="37"/>
  <c r="V1108" i="37"/>
  <c r="AE1108" i="37"/>
  <c r="AO1109" i="37" s="1"/>
  <c r="X1108" i="37"/>
  <c r="W1109" i="37"/>
  <c r="AF1107" i="37"/>
  <c r="AG1107" i="37"/>
  <c r="AH1107" i="37"/>
  <c r="Z1107" i="37"/>
  <c r="AI1107" i="37" l="1"/>
  <c r="AJ1107" i="37" s="1"/>
  <c r="AK1107" i="37" s="1"/>
  <c r="AN1106" i="37"/>
  <c r="AL1106" i="37"/>
  <c r="AE1109" i="37"/>
  <c r="AO1110" i="37" s="1"/>
  <c r="W1110" i="37"/>
  <c r="X1109" i="37"/>
  <c r="V1109" i="37"/>
  <c r="Y1108" i="37"/>
  <c r="AA1108" i="37"/>
  <c r="AH1108" i="37"/>
  <c r="AF1108" i="37"/>
  <c r="AG1108" i="37"/>
  <c r="Z1108" i="37"/>
  <c r="AB1107" i="37"/>
  <c r="AC1107" i="37" s="1"/>
  <c r="AD1107" i="37" s="1"/>
  <c r="Z1109" i="37" l="1"/>
  <c r="AL1107" i="37"/>
  <c r="AN1107" i="37"/>
  <c r="AB1108" i="37"/>
  <c r="AC1108" i="37" s="1"/>
  <c r="AD1108" i="37" s="1"/>
  <c r="Y1109" i="37"/>
  <c r="AA1109" i="37"/>
  <c r="AB1109" i="37" s="1"/>
  <c r="AC1109" i="37" s="1"/>
  <c r="AI1108" i="37"/>
  <c r="AJ1108" i="37" s="1"/>
  <c r="AK1108" i="37" s="1"/>
  <c r="X1110" i="37"/>
  <c r="W1111" i="37"/>
  <c r="V1110" i="37"/>
  <c r="AE1110" i="37"/>
  <c r="AO1111" i="37" s="1"/>
  <c r="AF1109" i="37"/>
  <c r="AG1109" i="37"/>
  <c r="AH1109" i="37"/>
  <c r="AL1108" i="37" l="1"/>
  <c r="AN1108" i="37"/>
  <c r="AI1109" i="37"/>
  <c r="AJ1109" i="37" s="1"/>
  <c r="AK1109" i="37" s="1"/>
  <c r="AD1109" i="37"/>
  <c r="X1111" i="37"/>
  <c r="AE1111" i="37"/>
  <c r="AO1112" i="37" s="1"/>
  <c r="V1111" i="37"/>
  <c r="Z1111" i="37" s="1"/>
  <c r="W1112" i="37"/>
  <c r="Y1110" i="37"/>
  <c r="AA1110" i="37"/>
  <c r="AG1110" i="37"/>
  <c r="AF1110" i="37"/>
  <c r="AH1110" i="37"/>
  <c r="Z1110" i="37"/>
  <c r="AL1109" i="37" l="1"/>
  <c r="AB1110" i="37"/>
  <c r="AC1110" i="37" s="1"/>
  <c r="AD1110" i="37" s="1"/>
  <c r="AN1109" i="37"/>
  <c r="V1112" i="37"/>
  <c r="W1113" i="37"/>
  <c r="X1112" i="37"/>
  <c r="AE1112" i="37"/>
  <c r="AO1113" i="37" s="1"/>
  <c r="AF1111" i="37"/>
  <c r="AH1111" i="37"/>
  <c r="AG1111" i="37"/>
  <c r="AI1111" i="37" s="1"/>
  <c r="AJ1111" i="37" s="1"/>
  <c r="AA1111" i="37"/>
  <c r="AB1111" i="37" s="1"/>
  <c r="AC1111" i="37" s="1"/>
  <c r="Y1111" i="37"/>
  <c r="AI1110" i="37"/>
  <c r="AJ1110" i="37" s="1"/>
  <c r="AK1110" i="37" s="1"/>
  <c r="AD1111" i="37" l="1"/>
  <c r="AL1110" i="37"/>
  <c r="AN1110" i="37"/>
  <c r="AK1111" i="37"/>
  <c r="AH1112" i="37"/>
  <c r="AG1112" i="37"/>
  <c r="AF1112" i="37"/>
  <c r="Y1112" i="37"/>
  <c r="AA1112" i="37"/>
  <c r="AE1113" i="37"/>
  <c r="AO1114" i="37" s="1"/>
  <c r="X1113" i="37"/>
  <c r="V1113" i="37"/>
  <c r="W1114" i="37"/>
  <c r="Z1112" i="37"/>
  <c r="AI1112" i="37" l="1"/>
  <c r="AJ1112" i="37" s="1"/>
  <c r="AK1112" i="37" s="1"/>
  <c r="AN1111" i="37"/>
  <c r="AL1111" i="37"/>
  <c r="AB1112" i="37"/>
  <c r="AC1112" i="37" s="1"/>
  <c r="AD1112" i="37" s="1"/>
  <c r="AA1113" i="37"/>
  <c r="Y1113" i="37"/>
  <c r="AH1113" i="37"/>
  <c r="AF1113" i="37"/>
  <c r="AG1113" i="37"/>
  <c r="X1114" i="37"/>
  <c r="AE1114" i="37"/>
  <c r="AO1115" i="37" s="1"/>
  <c r="W1115" i="37"/>
  <c r="V1114" i="37"/>
  <c r="Z1113" i="37"/>
  <c r="AB1113" i="37" l="1"/>
  <c r="AC1113" i="37" s="1"/>
  <c r="AD1113" i="37" s="1"/>
  <c r="AI1113" i="37"/>
  <c r="AJ1113" i="37" s="1"/>
  <c r="AK1113" i="37" s="1"/>
  <c r="AN1112" i="37"/>
  <c r="AL1112" i="37"/>
  <c r="Y1114" i="37"/>
  <c r="AA1114" i="37"/>
  <c r="AF1114" i="37"/>
  <c r="AG1114" i="37"/>
  <c r="AH1114" i="37"/>
  <c r="Z1114" i="37"/>
  <c r="X1115" i="37"/>
  <c r="V1115" i="37"/>
  <c r="W1116" i="37"/>
  <c r="AE1115" i="37"/>
  <c r="AO1116" i="37" s="1"/>
  <c r="Z1115" i="37" l="1"/>
  <c r="AB1114" i="37"/>
  <c r="AC1114" i="37" s="1"/>
  <c r="AD1114" i="37" s="1"/>
  <c r="AN1113" i="37"/>
  <c r="AL1113" i="37"/>
  <c r="AI1114" i="37"/>
  <c r="AJ1114" i="37" s="1"/>
  <c r="AK1114" i="37" s="1"/>
  <c r="AF1115" i="37"/>
  <c r="AH1115" i="37"/>
  <c r="AG1115" i="37"/>
  <c r="AI1115" i="37" s="1"/>
  <c r="AJ1115" i="37" s="1"/>
  <c r="X1116" i="37"/>
  <c r="AE1116" i="37"/>
  <c r="AO1117" i="37" s="1"/>
  <c r="V1116" i="37"/>
  <c r="W1117" i="37"/>
  <c r="Y1115" i="37"/>
  <c r="AA1115" i="37"/>
  <c r="AB1115" i="37" s="1"/>
  <c r="AC1115" i="37" s="1"/>
  <c r="Z1116" i="37" l="1"/>
  <c r="AL1114" i="37"/>
  <c r="AN1114" i="37"/>
  <c r="W1118" i="37"/>
  <c r="V1117" i="37"/>
  <c r="AE1117" i="37"/>
  <c r="AO1118" i="37" s="1"/>
  <c r="X1117" i="37"/>
  <c r="Y1116" i="37"/>
  <c r="AA1116" i="37"/>
  <c r="AB1116" i="37" s="1"/>
  <c r="AC1116" i="37" s="1"/>
  <c r="AF1116" i="37"/>
  <c r="AG1116" i="37"/>
  <c r="AH1116" i="37"/>
  <c r="AD1115" i="37"/>
  <c r="AK1115" i="37"/>
  <c r="AI1116" i="37" l="1"/>
  <c r="AJ1116" i="37" s="1"/>
  <c r="AK1116" i="37" s="1"/>
  <c r="AL1115" i="37"/>
  <c r="AN1115" i="37"/>
  <c r="AD1116" i="37"/>
  <c r="Y1117" i="37"/>
  <c r="AA1117" i="37"/>
  <c r="AH1117" i="37"/>
  <c r="AG1117" i="37"/>
  <c r="AF1117" i="37"/>
  <c r="Z1117" i="37"/>
  <c r="W1119" i="37"/>
  <c r="X1118" i="37"/>
  <c r="V1118" i="37"/>
  <c r="AE1118" i="37"/>
  <c r="AO1119" i="37" s="1"/>
  <c r="Z1118" i="37" l="1"/>
  <c r="AN1116" i="37"/>
  <c r="AL1116" i="37"/>
  <c r="AI1117" i="37"/>
  <c r="AJ1117" i="37" s="1"/>
  <c r="AK1117" i="37" s="1"/>
  <c r="AH1118" i="37"/>
  <c r="AG1118" i="37"/>
  <c r="AI1118" i="37" s="1"/>
  <c r="AJ1118" i="37" s="1"/>
  <c r="AF1118" i="37"/>
  <c r="AB1117" i="37"/>
  <c r="AC1117" i="37" s="1"/>
  <c r="AD1117" i="37" s="1"/>
  <c r="Y1118" i="37"/>
  <c r="AA1118" i="37"/>
  <c r="AB1118" i="37" s="1"/>
  <c r="AC1118" i="37" s="1"/>
  <c r="AE1119" i="37"/>
  <c r="AO1120" i="37" s="1"/>
  <c r="W1120" i="37"/>
  <c r="X1119" i="37"/>
  <c r="V1119" i="37"/>
  <c r="Z1119" i="37" l="1"/>
  <c r="AN1117" i="37"/>
  <c r="AL1117" i="37"/>
  <c r="AK1118" i="37"/>
  <c r="AD1118" i="37"/>
  <c r="AH1119" i="37"/>
  <c r="AF1119" i="37"/>
  <c r="AG1119" i="37"/>
  <c r="AI1119" i="37" s="1"/>
  <c r="AJ1119" i="37" s="1"/>
  <c r="Y1119" i="37"/>
  <c r="AA1119" i="37"/>
  <c r="AB1119" i="37" s="1"/>
  <c r="AC1119" i="37" s="1"/>
  <c r="AD1119" i="37" s="1"/>
  <c r="X1120" i="37"/>
  <c r="V1120" i="37"/>
  <c r="AE1120" i="37"/>
  <c r="AO1121" i="37" s="1"/>
  <c r="W1121" i="37"/>
  <c r="AN1118" i="37" l="1"/>
  <c r="AL1118" i="37"/>
  <c r="AA1120" i="37"/>
  <c r="Y1120" i="37"/>
  <c r="Z1120" i="37"/>
  <c r="AB1120" i="37" s="1"/>
  <c r="AC1120" i="37" s="1"/>
  <c r="AD1120" i="37" s="1"/>
  <c r="AK1119" i="37"/>
  <c r="AN1119" i="37" s="1"/>
  <c r="W1122" i="37"/>
  <c r="X1121" i="37"/>
  <c r="V1121" i="37"/>
  <c r="AE1121" i="37"/>
  <c r="AO1122" i="37" s="1"/>
  <c r="AG1120" i="37"/>
  <c r="AH1120" i="37"/>
  <c r="AF1120" i="37"/>
  <c r="AL1119" i="37" l="1"/>
  <c r="AH1121" i="37"/>
  <c r="AF1121" i="37"/>
  <c r="AG1121" i="37"/>
  <c r="AI1121" i="37" s="1"/>
  <c r="AJ1121" i="37" s="1"/>
  <c r="Z1121" i="37"/>
  <c r="Y1121" i="37"/>
  <c r="AA1121" i="37"/>
  <c r="W1123" i="37"/>
  <c r="V1122" i="37"/>
  <c r="X1122" i="37"/>
  <c r="AE1122" i="37"/>
  <c r="AO1123" i="37" s="1"/>
  <c r="AI1120" i="37"/>
  <c r="AJ1120" i="37" s="1"/>
  <c r="AK1120" i="37" s="1"/>
  <c r="AN1120" i="37" s="1"/>
  <c r="AL1120" i="37" l="1"/>
  <c r="AE1123" i="37"/>
  <c r="AO1124" i="37" s="1"/>
  <c r="V1123" i="37"/>
  <c r="X1123" i="37"/>
  <c r="W1124" i="37"/>
  <c r="AH1122" i="37"/>
  <c r="AG1122" i="37"/>
  <c r="AF1122" i="37"/>
  <c r="AB1121" i="37"/>
  <c r="AC1121" i="37" s="1"/>
  <c r="AD1121" i="37" s="1"/>
  <c r="AA1122" i="37"/>
  <c r="Y1122" i="37"/>
  <c r="AK1121" i="37"/>
  <c r="Z1122" i="37"/>
  <c r="AB1122" i="37" s="1"/>
  <c r="AC1122" i="37" s="1"/>
  <c r="AD1122" i="37" s="1"/>
  <c r="AI1122" i="37" l="1"/>
  <c r="AJ1122" i="37" s="1"/>
  <c r="AK1122" i="37" s="1"/>
  <c r="AL1122" i="37" s="1"/>
  <c r="AN1121" i="37"/>
  <c r="AL1121" i="37"/>
  <c r="W1125" i="37"/>
  <c r="V1124" i="37"/>
  <c r="X1124" i="37"/>
  <c r="AE1124" i="37"/>
  <c r="AO1125" i="37" s="1"/>
  <c r="AA1123" i="37"/>
  <c r="Y1123" i="37"/>
  <c r="Z1123" i="37"/>
  <c r="AF1123" i="37"/>
  <c r="AH1123" i="37"/>
  <c r="AG1123" i="37"/>
  <c r="AI1123" i="37" s="1"/>
  <c r="AJ1123" i="37" s="1"/>
  <c r="AB1123" i="37" l="1"/>
  <c r="AC1123" i="37" s="1"/>
  <c r="AD1123" i="37" s="1"/>
  <c r="AN1122" i="37"/>
  <c r="AA1124" i="37"/>
  <c r="Y1124" i="37"/>
  <c r="AF1124" i="37"/>
  <c r="AG1124" i="37"/>
  <c r="AH1124" i="37"/>
  <c r="AK1123" i="37"/>
  <c r="Z1124" i="37"/>
  <c r="W1126" i="37"/>
  <c r="AE1125" i="37"/>
  <c r="AO1126" i="37" s="1"/>
  <c r="X1125" i="37"/>
  <c r="V1125" i="37"/>
  <c r="Z1125" i="37" s="1"/>
  <c r="AN1123" i="37" l="1"/>
  <c r="AB1124" i="37"/>
  <c r="AC1124" i="37" s="1"/>
  <c r="AD1124" i="37" s="1"/>
  <c r="AL1123" i="37"/>
  <c r="W1127" i="37"/>
  <c r="X1126" i="37"/>
  <c r="AE1126" i="37"/>
  <c r="AO1127" i="37" s="1"/>
  <c r="V1126" i="37"/>
  <c r="Z1126" i="37" s="1"/>
  <c r="AI1124" i="37"/>
  <c r="AJ1124" i="37" s="1"/>
  <c r="AK1124" i="37" s="1"/>
  <c r="Y1125" i="37"/>
  <c r="AA1125" i="37"/>
  <c r="AB1125" i="37" s="1"/>
  <c r="AC1125" i="37" s="1"/>
  <c r="AF1125" i="37"/>
  <c r="AH1125" i="37"/>
  <c r="AG1125" i="37"/>
  <c r="AI1125" i="37" s="1"/>
  <c r="AJ1125" i="37" s="1"/>
  <c r="AN1124" i="37" l="1"/>
  <c r="AD1125" i="37"/>
  <c r="AL1124" i="37"/>
  <c r="AH1126" i="37"/>
  <c r="AG1126" i="37"/>
  <c r="AI1126" i="37" s="1"/>
  <c r="AJ1126" i="37" s="1"/>
  <c r="AF1126" i="37"/>
  <c r="AK1125" i="37"/>
  <c r="Y1126" i="37"/>
  <c r="AA1126" i="37"/>
  <c r="AB1126" i="37" s="1"/>
  <c r="AC1126" i="37" s="1"/>
  <c r="AE1127" i="37"/>
  <c r="AO1128" i="37" s="1"/>
  <c r="V1127" i="37"/>
  <c r="X1127" i="37"/>
  <c r="W1128" i="37"/>
  <c r="AN1125" i="37" l="1"/>
  <c r="AD1126" i="37"/>
  <c r="Z1127" i="37"/>
  <c r="AL1125" i="37"/>
  <c r="W1129" i="37"/>
  <c r="AE1128" i="37"/>
  <c r="AO1129" i="37" s="1"/>
  <c r="X1128" i="37"/>
  <c r="V1128" i="37"/>
  <c r="AB1127" i="37"/>
  <c r="AC1127" i="37" s="1"/>
  <c r="AD1127" i="37" s="1"/>
  <c r="AF1127" i="37"/>
  <c r="AH1127" i="37"/>
  <c r="AG1127" i="37"/>
  <c r="AI1127" i="37" s="1"/>
  <c r="AJ1127" i="37" s="1"/>
  <c r="AK1127" i="37" s="1"/>
  <c r="AK1126" i="37"/>
  <c r="Y1127" i="37"/>
  <c r="AA1127" i="37"/>
  <c r="Z1128" i="37" l="1"/>
  <c r="AN1126" i="37"/>
  <c r="AN1127" i="37"/>
  <c r="AL1127" i="37"/>
  <c r="AL1126" i="37"/>
  <c r="AA1128" i="37"/>
  <c r="AB1128" i="37" s="1"/>
  <c r="AC1128" i="37" s="1"/>
  <c r="Y1128" i="37"/>
  <c r="AF1128" i="37"/>
  <c r="AG1128" i="37"/>
  <c r="AH1128" i="37"/>
  <c r="W1130" i="37"/>
  <c r="AE1129" i="37"/>
  <c r="AO1130" i="37" s="1"/>
  <c r="X1129" i="37"/>
  <c r="V1129" i="37"/>
  <c r="AA1129" i="37" l="1"/>
  <c r="Y1129" i="37"/>
  <c r="AF1129" i="37"/>
  <c r="AH1129" i="37"/>
  <c r="AG1129" i="37"/>
  <c r="AI1129" i="37" s="1"/>
  <c r="AJ1129" i="37" s="1"/>
  <c r="AK1129" i="37" s="1"/>
  <c r="W1131" i="37"/>
  <c r="X1130" i="37"/>
  <c r="V1130" i="37"/>
  <c r="AE1130" i="37"/>
  <c r="AO1131" i="37" s="1"/>
  <c r="AI1128" i="37"/>
  <c r="AJ1128" i="37" s="1"/>
  <c r="AK1128" i="37" s="1"/>
  <c r="Z1129" i="37"/>
  <c r="AD1128" i="37"/>
  <c r="AN1128" i="37" l="1"/>
  <c r="AL1128" i="37"/>
  <c r="Z1130" i="37"/>
  <c r="AA1130" i="37"/>
  <c r="AB1130" i="37" s="1"/>
  <c r="AC1130" i="37" s="1"/>
  <c r="Y1130" i="37"/>
  <c r="W1132" i="37"/>
  <c r="AE1131" i="37"/>
  <c r="AO1132" i="37" s="1"/>
  <c r="X1131" i="37"/>
  <c r="V1131" i="37"/>
  <c r="AH1130" i="37"/>
  <c r="AG1130" i="37"/>
  <c r="AF1130" i="37"/>
  <c r="AB1129" i="37"/>
  <c r="AC1129" i="37" s="1"/>
  <c r="AD1129" i="37" s="1"/>
  <c r="AN1129" i="37" l="1"/>
  <c r="AL1129" i="37"/>
  <c r="Z1131" i="37"/>
  <c r="AD1130" i="37"/>
  <c r="AF1131" i="37"/>
  <c r="AH1131" i="37"/>
  <c r="AG1131" i="37"/>
  <c r="AI1131" i="37" s="1"/>
  <c r="AJ1131" i="37" s="1"/>
  <c r="AK1131" i="37" s="1"/>
  <c r="W1133" i="37"/>
  <c r="AE1132" i="37"/>
  <c r="AO1133" i="37" s="1"/>
  <c r="X1132" i="37"/>
  <c r="V1132" i="37"/>
  <c r="AA1131" i="37"/>
  <c r="AB1131" i="37" s="1"/>
  <c r="AC1131" i="37" s="1"/>
  <c r="Y1131" i="37"/>
  <c r="AI1130" i="37"/>
  <c r="AJ1130" i="37" s="1"/>
  <c r="AK1130" i="37" s="1"/>
  <c r="AL1130" i="37" l="1"/>
  <c r="AN1130" i="37"/>
  <c r="AD1131" i="37"/>
  <c r="Y1132" i="37"/>
  <c r="AA1132" i="37"/>
  <c r="Z1132" i="37"/>
  <c r="AG1132" i="37"/>
  <c r="AH1132" i="37"/>
  <c r="AF1132" i="37"/>
  <c r="X1133" i="37"/>
  <c r="V1133" i="37"/>
  <c r="AE1133" i="37"/>
  <c r="AO1134" i="37" s="1"/>
  <c r="W1134" i="37"/>
  <c r="AN1131" i="37" l="1"/>
  <c r="AL1131" i="37"/>
  <c r="Z1133" i="37"/>
  <c r="AA1133" i="37"/>
  <c r="AB1133" i="37" s="1"/>
  <c r="AC1133" i="37" s="1"/>
  <c r="Y1133" i="37"/>
  <c r="AI1132" i="37"/>
  <c r="AJ1132" i="37" s="1"/>
  <c r="AK1132" i="37" s="1"/>
  <c r="W1135" i="37"/>
  <c r="AE1134" i="37"/>
  <c r="AO1135" i="37" s="1"/>
  <c r="X1134" i="37"/>
  <c r="V1134" i="37"/>
  <c r="Z1134" i="37" s="1"/>
  <c r="AB1132" i="37"/>
  <c r="AC1132" i="37" s="1"/>
  <c r="AD1132" i="37" s="1"/>
  <c r="AH1133" i="37"/>
  <c r="AF1133" i="37"/>
  <c r="AG1133" i="37"/>
  <c r="AI1133" i="37" s="1"/>
  <c r="AJ1133" i="37" s="1"/>
  <c r="AK1133" i="37" s="1"/>
  <c r="AL1132" i="37" l="1"/>
  <c r="AN1132" i="37"/>
  <c r="Y1134" i="37"/>
  <c r="AA1134" i="37"/>
  <c r="AB1134" i="37" s="1"/>
  <c r="AC1134" i="37" s="1"/>
  <c r="AD1134" i="37" s="1"/>
  <c r="AH1134" i="37"/>
  <c r="AG1134" i="37"/>
  <c r="AI1134" i="37" s="1"/>
  <c r="AJ1134" i="37" s="1"/>
  <c r="AK1134" i="37" s="1"/>
  <c r="AF1134" i="37"/>
  <c r="W1136" i="37"/>
  <c r="AE1135" i="37"/>
  <c r="AO1136" i="37" s="1"/>
  <c r="X1135" i="37"/>
  <c r="V1135" i="37"/>
  <c r="AD1133" i="37"/>
  <c r="AN1133" i="37" l="1"/>
  <c r="AL1133" i="37"/>
  <c r="AL1134" i="37"/>
  <c r="AN1134" i="37"/>
  <c r="AA1135" i="37"/>
  <c r="Y1135" i="37"/>
  <c r="AG1135" i="37"/>
  <c r="AH1135" i="37"/>
  <c r="AF1135" i="37"/>
  <c r="V1136" i="37"/>
  <c r="AE1136" i="37"/>
  <c r="AO1137" i="37" s="1"/>
  <c r="W1137" i="37"/>
  <c r="X1136" i="37"/>
  <c r="Z1135" i="37"/>
  <c r="AB1135" i="37" s="1"/>
  <c r="AC1135" i="37" s="1"/>
  <c r="AI1135" i="37" l="1"/>
  <c r="AJ1135" i="37" s="1"/>
  <c r="AK1135" i="37" s="1"/>
  <c r="Z1136" i="37"/>
  <c r="AE1137" i="37"/>
  <c r="AO1138" i="37" s="1"/>
  <c r="W1138" i="37"/>
  <c r="X1137" i="37"/>
  <c r="V1137" i="37"/>
  <c r="AG1136" i="37"/>
  <c r="AH1136" i="37"/>
  <c r="AF1136" i="37"/>
  <c r="AD1135" i="37"/>
  <c r="Y1136" i="37"/>
  <c r="AA1136" i="37"/>
  <c r="AB1136" i="37" s="1"/>
  <c r="AC1136" i="37" s="1"/>
  <c r="AN1135" i="37" l="1"/>
  <c r="AL1135" i="37"/>
  <c r="Y1137" i="37"/>
  <c r="AA1137" i="37"/>
  <c r="AI1136" i="37"/>
  <c r="AJ1136" i="37" s="1"/>
  <c r="AK1136" i="37" s="1"/>
  <c r="Z1137" i="37"/>
  <c r="W1139" i="37"/>
  <c r="AE1138" i="37"/>
  <c r="AO1139" i="37" s="1"/>
  <c r="X1138" i="37"/>
  <c r="V1138" i="37"/>
  <c r="AD1136" i="37"/>
  <c r="AH1137" i="37"/>
  <c r="AG1137" i="37"/>
  <c r="AI1137" i="37" s="1"/>
  <c r="AJ1137" i="37" s="1"/>
  <c r="AF1137" i="37"/>
  <c r="Z1138" i="37" l="1"/>
  <c r="AL1136" i="37"/>
  <c r="AN1136" i="37"/>
  <c r="Y1138" i="37"/>
  <c r="AA1138" i="37"/>
  <c r="AB1138" i="37" s="1"/>
  <c r="AC1138" i="37" s="1"/>
  <c r="AH1138" i="37"/>
  <c r="AG1138" i="37"/>
  <c r="AI1138" i="37" s="1"/>
  <c r="AJ1138" i="37" s="1"/>
  <c r="AF1138" i="37"/>
  <c r="W1140" i="37"/>
  <c r="AE1139" i="37"/>
  <c r="AO1140" i="37" s="1"/>
  <c r="X1139" i="37"/>
  <c r="V1139" i="37"/>
  <c r="AK1137" i="37"/>
  <c r="AB1137" i="37"/>
  <c r="AC1137" i="37" s="1"/>
  <c r="AD1137" i="37" s="1"/>
  <c r="AL1137" i="37" l="1"/>
  <c r="AN1137" i="37"/>
  <c r="Y1139" i="37"/>
  <c r="AA1139" i="37"/>
  <c r="AH1139" i="37"/>
  <c r="AG1139" i="37"/>
  <c r="AF1139" i="37"/>
  <c r="W1141" i="37"/>
  <c r="AE1140" i="37"/>
  <c r="AO1141" i="37" s="1"/>
  <c r="X1140" i="37"/>
  <c r="V1140" i="37"/>
  <c r="AK1138" i="37"/>
  <c r="Z1139" i="37"/>
  <c r="AD1138" i="37"/>
  <c r="AI1139" i="37" l="1"/>
  <c r="AJ1139" i="37" s="1"/>
  <c r="AK1139" i="37" s="1"/>
  <c r="AN1138" i="37"/>
  <c r="AL1138" i="37"/>
  <c r="AG1140" i="37"/>
  <c r="AH1140" i="37"/>
  <c r="AF1140" i="37"/>
  <c r="Y1140" i="37"/>
  <c r="AA1140" i="37"/>
  <c r="AE1141" i="37"/>
  <c r="AO1142" i="37" s="1"/>
  <c r="X1141" i="37"/>
  <c r="W1142" i="37"/>
  <c r="V1141" i="37"/>
  <c r="AB1139" i="37"/>
  <c r="AC1139" i="37" s="1"/>
  <c r="AD1139" i="37" s="1"/>
  <c r="Z1140" i="37"/>
  <c r="AB1140" i="37" l="1"/>
  <c r="AC1140" i="37" s="1"/>
  <c r="AD1140" i="37" s="1"/>
  <c r="AN1139" i="37"/>
  <c r="AL1139" i="37"/>
  <c r="AA1141" i="37"/>
  <c r="Y1141" i="37"/>
  <c r="AH1141" i="37"/>
  <c r="AF1141" i="37"/>
  <c r="AG1141" i="37"/>
  <c r="AI1141" i="37" s="1"/>
  <c r="AJ1141" i="37" s="1"/>
  <c r="Z1141" i="37"/>
  <c r="W1143" i="37"/>
  <c r="AE1142" i="37"/>
  <c r="AO1143" i="37" s="1"/>
  <c r="V1142" i="37"/>
  <c r="X1142" i="37"/>
  <c r="AI1140" i="37"/>
  <c r="AJ1140" i="37" s="1"/>
  <c r="AK1140" i="37" s="1"/>
  <c r="AN1140" i="37" l="1"/>
  <c r="AL1140" i="37"/>
  <c r="AK1141" i="37"/>
  <c r="W1144" i="37"/>
  <c r="AE1143" i="37"/>
  <c r="AO1144" i="37" s="1"/>
  <c r="X1143" i="37"/>
  <c r="V1143" i="37"/>
  <c r="Y1142" i="37"/>
  <c r="AA1142" i="37"/>
  <c r="Z1142" i="37"/>
  <c r="AB1142" i="37" s="1"/>
  <c r="AC1142" i="37" s="1"/>
  <c r="AF1142" i="37"/>
  <c r="AH1142" i="37"/>
  <c r="AG1142" i="37"/>
  <c r="AI1142" i="37" s="1"/>
  <c r="AJ1142" i="37" s="1"/>
  <c r="AK1142" i="37" s="1"/>
  <c r="AB1141" i="37"/>
  <c r="AC1141" i="37" s="1"/>
  <c r="AD1141" i="37" s="1"/>
  <c r="Z1143" i="37" l="1"/>
  <c r="AN1141" i="37"/>
  <c r="AL1141" i="37"/>
  <c r="AD1142" i="37"/>
  <c r="AA1143" i="37"/>
  <c r="AB1143" i="37" s="1"/>
  <c r="AC1143" i="37" s="1"/>
  <c r="Y1143" i="37"/>
  <c r="AH1143" i="37"/>
  <c r="AG1143" i="37"/>
  <c r="AI1143" i="37" s="1"/>
  <c r="AJ1143" i="37" s="1"/>
  <c r="AF1143" i="37"/>
  <c r="W1145" i="37"/>
  <c r="AE1144" i="37"/>
  <c r="AO1145" i="37" s="1"/>
  <c r="X1144" i="37"/>
  <c r="V1144" i="37"/>
  <c r="Z1144" i="37" s="1"/>
  <c r="AN1142" i="37" l="1"/>
  <c r="AL1142" i="37"/>
  <c r="W1146" i="37"/>
  <c r="X1145" i="37"/>
  <c r="V1145" i="37"/>
  <c r="AE1145" i="37"/>
  <c r="AO1146" i="37" s="1"/>
  <c r="AK1143" i="37"/>
  <c r="AD1143" i="37"/>
  <c r="AA1144" i="37"/>
  <c r="AB1144" i="37" s="1"/>
  <c r="AC1144" i="37" s="1"/>
  <c r="Y1144" i="37"/>
  <c r="AF1144" i="37"/>
  <c r="AH1144" i="37"/>
  <c r="AG1144" i="37"/>
  <c r="AI1144" i="37" s="1"/>
  <c r="AJ1144" i="37" s="1"/>
  <c r="AK1144" i="37" s="1"/>
  <c r="Z1145" i="37" l="1"/>
  <c r="AN1143" i="37"/>
  <c r="AL1143" i="37"/>
  <c r="AD1144" i="37"/>
  <c r="AH1145" i="37"/>
  <c r="AF1145" i="37"/>
  <c r="AG1145" i="37"/>
  <c r="AI1145" i="37" s="1"/>
  <c r="AJ1145" i="37" s="1"/>
  <c r="Y1145" i="37"/>
  <c r="AA1145" i="37"/>
  <c r="AB1145" i="37" s="1"/>
  <c r="AC1145" i="37" s="1"/>
  <c r="W1147" i="37"/>
  <c r="AE1146" i="37"/>
  <c r="AO1147" i="37" s="1"/>
  <c r="X1146" i="37"/>
  <c r="V1146" i="37"/>
  <c r="Z1146" i="37" l="1"/>
  <c r="AN1144" i="37"/>
  <c r="AL1144" i="37"/>
  <c r="AD1145" i="37"/>
  <c r="AE1147" i="37"/>
  <c r="AO1148" i="37" s="1"/>
  <c r="X1147" i="37"/>
  <c r="V1147" i="37"/>
  <c r="W1148" i="37"/>
  <c r="AK1145" i="37"/>
  <c r="AA1146" i="37"/>
  <c r="AB1146" i="37" s="1"/>
  <c r="AC1146" i="37" s="1"/>
  <c r="Y1146" i="37"/>
  <c r="AG1146" i="37"/>
  <c r="AH1146" i="37"/>
  <c r="AF1146" i="37"/>
  <c r="Z1147" i="37" l="1"/>
  <c r="AL1145" i="37"/>
  <c r="AN1145" i="37"/>
  <c r="AD1146" i="37"/>
  <c r="AE1148" i="37"/>
  <c r="AO1149" i="37" s="1"/>
  <c r="X1148" i="37"/>
  <c r="V1148" i="37"/>
  <c r="Z1148" i="37" s="1"/>
  <c r="W1149" i="37"/>
  <c r="Y1147" i="37"/>
  <c r="AA1147" i="37"/>
  <c r="AG1147" i="37"/>
  <c r="AF1147" i="37"/>
  <c r="AH1147" i="37"/>
  <c r="AI1146" i="37"/>
  <c r="AJ1146" i="37" s="1"/>
  <c r="AK1146" i="37" s="1"/>
  <c r="AB1147" i="37" l="1"/>
  <c r="AC1147" i="37" s="1"/>
  <c r="AD1147" i="37" s="1"/>
  <c r="AL1146" i="37"/>
  <c r="AN1146" i="37"/>
  <c r="W1150" i="37"/>
  <c r="AE1149" i="37"/>
  <c r="AO1150" i="37" s="1"/>
  <c r="X1149" i="37"/>
  <c r="V1149" i="37"/>
  <c r="AA1148" i="37"/>
  <c r="AB1148" i="37" s="1"/>
  <c r="AC1148" i="37" s="1"/>
  <c r="Y1148" i="37"/>
  <c r="AG1148" i="37"/>
  <c r="AF1148" i="37"/>
  <c r="AH1148" i="37"/>
  <c r="AI1147" i="37"/>
  <c r="AJ1147" i="37" s="1"/>
  <c r="AK1147" i="37" s="1"/>
  <c r="AI1148" i="37" l="1"/>
  <c r="AJ1148" i="37" s="1"/>
  <c r="AK1148" i="37" s="1"/>
  <c r="AL1147" i="37"/>
  <c r="AN1147" i="37"/>
  <c r="AD1148" i="37"/>
  <c r="Y1149" i="37"/>
  <c r="AA1149" i="37"/>
  <c r="Z1149" i="37"/>
  <c r="AB1149" i="37" s="1"/>
  <c r="AC1149" i="37" s="1"/>
  <c r="AH1149" i="37"/>
  <c r="AF1149" i="37"/>
  <c r="AG1149" i="37"/>
  <c r="AE1150" i="37"/>
  <c r="AO1151" i="37" s="1"/>
  <c r="X1150" i="37"/>
  <c r="V1150" i="37"/>
  <c r="W1151" i="37"/>
  <c r="AI1149" i="37" l="1"/>
  <c r="AJ1149" i="37" s="1"/>
  <c r="AK1149" i="37" s="1"/>
  <c r="AN1148" i="37"/>
  <c r="AL1148" i="37"/>
  <c r="AA1150" i="37"/>
  <c r="Y1150" i="37"/>
  <c r="AH1150" i="37"/>
  <c r="AG1150" i="37"/>
  <c r="AI1150" i="37" s="1"/>
  <c r="AJ1150" i="37" s="1"/>
  <c r="AF1150" i="37"/>
  <c r="X1151" i="37"/>
  <c r="W1152" i="37"/>
  <c r="AE1151" i="37"/>
  <c r="AO1152" i="37" s="1"/>
  <c r="V1151" i="37"/>
  <c r="Z1150" i="37"/>
  <c r="AD1149" i="37"/>
  <c r="AL1149" i="37" l="1"/>
  <c r="AN1149" i="37"/>
  <c r="AA1151" i="37"/>
  <c r="Y1151" i="37"/>
  <c r="AK1150" i="37"/>
  <c r="V1152" i="37"/>
  <c r="W1153" i="37"/>
  <c r="AE1152" i="37"/>
  <c r="AO1153" i="37" s="1"/>
  <c r="X1152" i="37"/>
  <c r="Z1151" i="37"/>
  <c r="AG1151" i="37"/>
  <c r="AH1151" i="37"/>
  <c r="AF1151" i="37"/>
  <c r="AB1150" i="37"/>
  <c r="AC1150" i="37" s="1"/>
  <c r="AD1150" i="37" s="1"/>
  <c r="AN1150" i="37" l="1"/>
  <c r="AL1150" i="37"/>
  <c r="AH1152" i="37"/>
  <c r="AG1152" i="37"/>
  <c r="AI1152" i="37" s="1"/>
  <c r="AJ1152" i="37" s="1"/>
  <c r="AF1152" i="37"/>
  <c r="AA1152" i="37"/>
  <c r="Y1152" i="37"/>
  <c r="AE1153" i="37"/>
  <c r="AO1154" i="37" s="1"/>
  <c r="X1153" i="37"/>
  <c r="V1153" i="37"/>
  <c r="Z1153" i="37" s="1"/>
  <c r="W1154" i="37"/>
  <c r="Z1152" i="37"/>
  <c r="AI1151" i="37"/>
  <c r="AJ1151" i="37" s="1"/>
  <c r="AK1151" i="37" s="1"/>
  <c r="AB1151" i="37"/>
  <c r="AC1151" i="37" s="1"/>
  <c r="AD1151" i="37" s="1"/>
  <c r="AN1151" i="37" l="1"/>
  <c r="AL1151" i="37"/>
  <c r="AK1152" i="37"/>
  <c r="AA1153" i="37"/>
  <c r="AB1153" i="37" s="1"/>
  <c r="AC1153" i="37" s="1"/>
  <c r="Y1153" i="37"/>
  <c r="AH1153" i="37"/>
  <c r="AF1153" i="37"/>
  <c r="AG1153" i="37"/>
  <c r="AI1153" i="37" s="1"/>
  <c r="AJ1153" i="37" s="1"/>
  <c r="AB1152" i="37"/>
  <c r="AC1152" i="37" s="1"/>
  <c r="AD1152" i="37" s="1"/>
  <c r="AE1154" i="37"/>
  <c r="AO1155" i="37" s="1"/>
  <c r="W1155" i="37"/>
  <c r="V1154" i="37"/>
  <c r="X1154" i="37"/>
  <c r="AN1152" i="37" l="1"/>
  <c r="AL1152" i="37"/>
  <c r="AK1153" i="37"/>
  <c r="Y1154" i="37"/>
  <c r="AA1154" i="37"/>
  <c r="AD1153" i="37"/>
  <c r="Z1154" i="37"/>
  <c r="AE1155" i="37"/>
  <c r="AO1156" i="37" s="1"/>
  <c r="X1155" i="37"/>
  <c r="W1156" i="37"/>
  <c r="V1155" i="37"/>
  <c r="AH1154" i="37"/>
  <c r="AG1154" i="37"/>
  <c r="AI1154" i="37" s="1"/>
  <c r="AJ1154" i="37" s="1"/>
  <c r="AF1154" i="37"/>
  <c r="AK1154" i="37" l="1"/>
  <c r="AN1153" i="37"/>
  <c r="AL1153" i="37"/>
  <c r="AA1155" i="37"/>
  <c r="Y1155" i="37"/>
  <c r="X1156" i="37"/>
  <c r="W1157" i="37"/>
  <c r="AE1156" i="37"/>
  <c r="AO1157" i="37" s="1"/>
  <c r="V1156" i="37"/>
  <c r="AG1155" i="37"/>
  <c r="AF1155" i="37"/>
  <c r="AH1155" i="37"/>
  <c r="AB1154" i="37"/>
  <c r="AC1154" i="37" s="1"/>
  <c r="AD1154" i="37" s="1"/>
  <c r="Z1155" i="37"/>
  <c r="AB1155" i="37" s="1"/>
  <c r="AC1155" i="37" s="1"/>
  <c r="AI1155" i="37" l="1"/>
  <c r="AJ1155" i="37" s="1"/>
  <c r="AK1155" i="37" s="1"/>
  <c r="Z1156" i="37"/>
  <c r="AN1154" i="37"/>
  <c r="AL1154" i="37"/>
  <c r="AH1156" i="37"/>
  <c r="AF1156" i="37"/>
  <c r="AG1156" i="37"/>
  <c r="AI1156" i="37" s="1"/>
  <c r="AJ1156" i="37" s="1"/>
  <c r="AA1156" i="37"/>
  <c r="AB1156" i="37" s="1"/>
  <c r="AC1156" i="37" s="1"/>
  <c r="Y1156" i="37"/>
  <c r="AE1157" i="37"/>
  <c r="AO1158" i="37" s="1"/>
  <c r="W1158" i="37"/>
  <c r="V1157" i="37"/>
  <c r="X1157" i="37"/>
  <c r="AD1155" i="37"/>
  <c r="AL1155" i="37" l="1"/>
  <c r="AN1155" i="37"/>
  <c r="AA1157" i="37"/>
  <c r="Y1157" i="37"/>
  <c r="AH1157" i="37"/>
  <c r="AF1157" i="37"/>
  <c r="AG1157" i="37"/>
  <c r="AD1156" i="37"/>
  <c r="Z1157" i="37"/>
  <c r="AK1156" i="37"/>
  <c r="W1159" i="37"/>
  <c r="AE1158" i="37"/>
  <c r="AO1159" i="37" s="1"/>
  <c r="V1158" i="37"/>
  <c r="X1158" i="37"/>
  <c r="AI1157" i="37" l="1"/>
  <c r="AJ1157" i="37" s="1"/>
  <c r="AK1157" i="37" s="1"/>
  <c r="AB1157" i="37"/>
  <c r="AC1157" i="37" s="1"/>
  <c r="AD1157" i="37" s="1"/>
  <c r="AN1156" i="37"/>
  <c r="AL1156" i="37"/>
  <c r="AA1158" i="37"/>
  <c r="Y1158" i="37"/>
  <c r="Z1158" i="37"/>
  <c r="AB1158" i="37" s="1"/>
  <c r="AC1158" i="37" s="1"/>
  <c r="AH1158" i="37"/>
  <c r="AG1158" i="37"/>
  <c r="AF1158" i="37"/>
  <c r="AE1159" i="37"/>
  <c r="AO1160" i="37" s="1"/>
  <c r="V1159" i="37"/>
  <c r="X1159" i="37"/>
  <c r="W1160" i="37"/>
  <c r="AI1158" i="37" l="1"/>
  <c r="AJ1158" i="37" s="1"/>
  <c r="AK1158" i="37" s="1"/>
  <c r="AN1157" i="37"/>
  <c r="AL1157" i="37"/>
  <c r="X1160" i="37"/>
  <c r="AE1160" i="37"/>
  <c r="AO1161" i="37" s="1"/>
  <c r="V1160" i="37"/>
  <c r="Z1160" i="37" s="1"/>
  <c r="W1161" i="37"/>
  <c r="Y1159" i="37"/>
  <c r="AA1159" i="37"/>
  <c r="Z1159" i="37"/>
  <c r="AB1159" i="37" s="1"/>
  <c r="AC1159" i="37" s="1"/>
  <c r="AD1158" i="37"/>
  <c r="AH1159" i="37"/>
  <c r="AF1159" i="37"/>
  <c r="AG1159" i="37"/>
  <c r="AI1159" i="37" s="1"/>
  <c r="AJ1159" i="37" s="1"/>
  <c r="AL1158" i="37" l="1"/>
  <c r="AN1158" i="37"/>
  <c r="AD1159" i="37"/>
  <c r="W1162" i="37"/>
  <c r="AE1161" i="37"/>
  <c r="AO1162" i="37" s="1"/>
  <c r="X1161" i="37"/>
  <c r="V1161" i="37"/>
  <c r="AK1159" i="37"/>
  <c r="AH1160" i="37"/>
  <c r="AF1160" i="37"/>
  <c r="AG1160" i="37"/>
  <c r="Y1160" i="37"/>
  <c r="AA1160" i="37"/>
  <c r="AB1160" i="37" s="1"/>
  <c r="AC1160" i="37" s="1"/>
  <c r="AD1160" i="37" s="1"/>
  <c r="Z1161" i="37" l="1"/>
  <c r="AL1159" i="37"/>
  <c r="AN1159" i="37"/>
  <c r="AA1161" i="37"/>
  <c r="AB1161" i="37" s="1"/>
  <c r="AC1161" i="37" s="1"/>
  <c r="Y1161" i="37"/>
  <c r="AH1161" i="37"/>
  <c r="AF1161" i="37"/>
  <c r="AG1161" i="37"/>
  <c r="AI1161" i="37" s="1"/>
  <c r="AJ1161" i="37" s="1"/>
  <c r="AI1160" i="37"/>
  <c r="AJ1160" i="37" s="1"/>
  <c r="AK1160" i="37" s="1"/>
  <c r="AN1160" i="37" s="1"/>
  <c r="AE1162" i="37"/>
  <c r="AO1163" i="37" s="1"/>
  <c r="X1162" i="37"/>
  <c r="W1163" i="37"/>
  <c r="V1162" i="37"/>
  <c r="AL1160" i="37" l="1"/>
  <c r="AG1162" i="37"/>
  <c r="AF1162" i="37"/>
  <c r="AH1162" i="37"/>
  <c r="AK1161" i="37"/>
  <c r="Z1162" i="37"/>
  <c r="AB1162" i="37" s="1"/>
  <c r="AC1162" i="37" s="1"/>
  <c r="AD1161" i="37"/>
  <c r="W1164" i="37"/>
  <c r="V1163" i="37"/>
  <c r="AE1163" i="37"/>
  <c r="AO1164" i="37" s="1"/>
  <c r="X1163" i="37"/>
  <c r="Y1162" i="37"/>
  <c r="AA1162" i="37"/>
  <c r="Z1163" i="37" l="1"/>
  <c r="AN1161" i="37"/>
  <c r="AL1161" i="37"/>
  <c r="X1164" i="37"/>
  <c r="W1165" i="37"/>
  <c r="AE1164" i="37"/>
  <c r="AO1165" i="37" s="1"/>
  <c r="V1164" i="37"/>
  <c r="Z1164" i="37" s="1"/>
  <c r="AD1162" i="37"/>
  <c r="Y1163" i="37"/>
  <c r="AA1163" i="37"/>
  <c r="AB1163" i="37" s="1"/>
  <c r="AC1163" i="37" s="1"/>
  <c r="AH1163" i="37"/>
  <c r="AG1163" i="37"/>
  <c r="AF1163" i="37"/>
  <c r="AI1162" i="37"/>
  <c r="AJ1162" i="37" s="1"/>
  <c r="AK1162" i="37" s="1"/>
  <c r="AN1162" i="37" l="1"/>
  <c r="AL1162" i="37"/>
  <c r="AI1163" i="37"/>
  <c r="AJ1163" i="37" s="1"/>
  <c r="AK1163" i="37" s="1"/>
  <c r="AD1163" i="37"/>
  <c r="AG1164" i="37"/>
  <c r="AF1164" i="37"/>
  <c r="AH1164" i="37"/>
  <c r="W1166" i="37"/>
  <c r="AE1165" i="37"/>
  <c r="AO1166" i="37" s="1"/>
  <c r="V1165" i="37"/>
  <c r="X1165" i="37"/>
  <c r="Y1164" i="37"/>
  <c r="AA1164" i="37"/>
  <c r="AB1164" i="37" s="1"/>
  <c r="AC1164" i="37" s="1"/>
  <c r="AN1163" i="37" l="1"/>
  <c r="AL1163" i="37"/>
  <c r="AG1165" i="37"/>
  <c r="AF1165" i="37"/>
  <c r="AH1165" i="37"/>
  <c r="AE1166" i="37"/>
  <c r="AO1167" i="37" s="1"/>
  <c r="X1166" i="37"/>
  <c r="V1166" i="37"/>
  <c r="Z1166" i="37" s="1"/>
  <c r="W1167" i="37"/>
  <c r="AI1164" i="37"/>
  <c r="AJ1164" i="37" s="1"/>
  <c r="AK1164" i="37" s="1"/>
  <c r="AD1164" i="37"/>
  <c r="AA1165" i="37"/>
  <c r="Y1165" i="37"/>
  <c r="Z1165" i="37"/>
  <c r="AB1165" i="37" s="1"/>
  <c r="AC1165" i="37" s="1"/>
  <c r="AL1164" i="37" l="1"/>
  <c r="AN1164" i="37"/>
  <c r="AD1165" i="37"/>
  <c r="W1168" i="37"/>
  <c r="V1167" i="37"/>
  <c r="AE1167" i="37"/>
  <c r="AO1168" i="37" s="1"/>
  <c r="X1167" i="37"/>
  <c r="AA1166" i="37"/>
  <c r="AB1166" i="37" s="1"/>
  <c r="AC1166" i="37" s="1"/>
  <c r="Y1166" i="37"/>
  <c r="AH1166" i="37"/>
  <c r="AG1166" i="37"/>
  <c r="AF1166" i="37"/>
  <c r="AI1165" i="37"/>
  <c r="AJ1165" i="37" s="1"/>
  <c r="AK1165" i="37" s="1"/>
  <c r="AL1165" i="37" l="1"/>
  <c r="AN1165" i="37"/>
  <c r="AI1166" i="37"/>
  <c r="AJ1166" i="37" s="1"/>
  <c r="AK1166" i="37" s="1"/>
  <c r="Z1167" i="37"/>
  <c r="AA1167" i="37"/>
  <c r="Y1167" i="37"/>
  <c r="AH1167" i="37"/>
  <c r="AG1167" i="37"/>
  <c r="AF1167" i="37"/>
  <c r="V1168" i="37"/>
  <c r="AE1168" i="37"/>
  <c r="AO1169" i="37" s="1"/>
  <c r="W1169" i="37"/>
  <c r="X1168" i="37"/>
  <c r="AD1166" i="37"/>
  <c r="AL1166" i="37" l="1"/>
  <c r="AN1166" i="37"/>
  <c r="Z1168" i="37"/>
  <c r="AF1168" i="37"/>
  <c r="AH1168" i="37"/>
  <c r="AG1168" i="37"/>
  <c r="AI1167" i="37"/>
  <c r="AJ1167" i="37" s="1"/>
  <c r="AK1167" i="37" s="1"/>
  <c r="Y1168" i="37"/>
  <c r="AA1168" i="37"/>
  <c r="V1169" i="37"/>
  <c r="W1170" i="37"/>
  <c r="X1169" i="37"/>
  <c r="AE1169" i="37"/>
  <c r="AO1170" i="37" s="1"/>
  <c r="AB1167" i="37"/>
  <c r="AC1167" i="37" s="1"/>
  <c r="AD1167" i="37" s="1"/>
  <c r="AI1168" i="37" l="1"/>
  <c r="AJ1168" i="37" s="1"/>
  <c r="AK1168" i="37" s="1"/>
  <c r="AB1168" i="37"/>
  <c r="AC1168" i="37" s="1"/>
  <c r="AD1168" i="37" s="1"/>
  <c r="AL1167" i="37"/>
  <c r="AN1167" i="37"/>
  <c r="AF1169" i="37"/>
  <c r="AH1169" i="37"/>
  <c r="AG1169" i="37"/>
  <c r="AI1169" i="37" s="1"/>
  <c r="AJ1169" i="37" s="1"/>
  <c r="AA1169" i="37"/>
  <c r="Y1169" i="37"/>
  <c r="V1170" i="37"/>
  <c r="AE1170" i="37"/>
  <c r="AO1171" i="37" s="1"/>
  <c r="X1170" i="37"/>
  <c r="W1171" i="37"/>
  <c r="Z1169" i="37"/>
  <c r="Z1170" i="37" l="1"/>
  <c r="AL1168" i="37"/>
  <c r="AN1168" i="37"/>
  <c r="AH1170" i="37"/>
  <c r="AG1170" i="37"/>
  <c r="AI1170" i="37" s="1"/>
  <c r="AJ1170" i="37" s="1"/>
  <c r="AF1170" i="37"/>
  <c r="AB1169" i="37"/>
  <c r="AC1169" i="37" s="1"/>
  <c r="AD1169" i="37" s="1"/>
  <c r="X1171" i="37"/>
  <c r="AE1171" i="37"/>
  <c r="AO1172" i="37" s="1"/>
  <c r="V1171" i="37"/>
  <c r="W1172" i="37"/>
  <c r="AK1169" i="37"/>
  <c r="AA1170" i="37"/>
  <c r="AB1170" i="37" s="1"/>
  <c r="AC1170" i="37" s="1"/>
  <c r="Y1170" i="37"/>
  <c r="AN1169" i="37" l="1"/>
  <c r="AL1169" i="37"/>
  <c r="AK1170" i="37"/>
  <c r="AD1170" i="37"/>
  <c r="Y1171" i="37"/>
  <c r="AA1171" i="37"/>
  <c r="Z1171" i="37"/>
  <c r="AB1171" i="37" s="1"/>
  <c r="AC1171" i="37" s="1"/>
  <c r="AD1171" i="37" s="1"/>
  <c r="AH1171" i="37"/>
  <c r="AG1171" i="37"/>
  <c r="AF1171" i="37"/>
  <c r="W1173" i="37"/>
  <c r="X1172" i="37"/>
  <c r="AE1172" i="37"/>
  <c r="AO1173" i="37" s="1"/>
  <c r="V1172" i="37"/>
  <c r="AN1170" i="37" l="1"/>
  <c r="AL1170" i="37"/>
  <c r="AI1171" i="37"/>
  <c r="AJ1171" i="37" s="1"/>
  <c r="AK1171" i="37" s="1"/>
  <c r="AN1171" i="37" s="1"/>
  <c r="AA1172" i="37"/>
  <c r="Y1172" i="37"/>
  <c r="V1173" i="37"/>
  <c r="X1173" i="37"/>
  <c r="AE1173" i="37"/>
  <c r="AO1174" i="37" s="1"/>
  <c r="W1174" i="37"/>
  <c r="Z1172" i="37"/>
  <c r="AH1172" i="37"/>
  <c r="AG1172" i="37"/>
  <c r="AF1172" i="37"/>
  <c r="AL1171" i="37" l="1"/>
  <c r="AB1172" i="37"/>
  <c r="AC1172" i="37" s="1"/>
  <c r="AD1172" i="37" s="1"/>
  <c r="AH1173" i="37"/>
  <c r="AF1173" i="37"/>
  <c r="AG1173" i="37"/>
  <c r="AI1173" i="37" s="1"/>
  <c r="AJ1173" i="37" s="1"/>
  <c r="V1174" i="37"/>
  <c r="AE1174" i="37"/>
  <c r="AO1175" i="37" s="1"/>
  <c r="W1175" i="37"/>
  <c r="X1174" i="37"/>
  <c r="Y1173" i="37"/>
  <c r="AA1173" i="37"/>
  <c r="Z1173" i="37"/>
  <c r="AB1173" i="37" s="1"/>
  <c r="AC1173" i="37" s="1"/>
  <c r="AI1172" i="37"/>
  <c r="AJ1172" i="37" s="1"/>
  <c r="AK1172" i="37" s="1"/>
  <c r="AL1172" i="37" l="1"/>
  <c r="AN1172" i="37"/>
  <c r="AA1174" i="37"/>
  <c r="Y1174" i="37"/>
  <c r="V1175" i="37"/>
  <c r="AE1175" i="37"/>
  <c r="AO1176" i="37" s="1"/>
  <c r="X1175" i="37"/>
  <c r="W1176" i="37"/>
  <c r="Z1174" i="37"/>
  <c r="AG1174" i="37"/>
  <c r="AF1174" i="37"/>
  <c r="AH1174" i="37"/>
  <c r="AD1173" i="37"/>
  <c r="AK1173" i="37"/>
  <c r="AI1174" i="37" l="1"/>
  <c r="AJ1174" i="37" s="1"/>
  <c r="AK1174" i="37" s="1"/>
  <c r="AB1174" i="37"/>
  <c r="AC1174" i="37" s="1"/>
  <c r="AD1174" i="37" s="1"/>
  <c r="AL1173" i="37"/>
  <c r="AN1173" i="37"/>
  <c r="V1176" i="37"/>
  <c r="W1177" i="37"/>
  <c r="X1176" i="37"/>
  <c r="AE1176" i="37"/>
  <c r="AO1177" i="37" s="1"/>
  <c r="Y1175" i="37"/>
  <c r="AA1175" i="37"/>
  <c r="AG1175" i="37"/>
  <c r="AF1175" i="37"/>
  <c r="AH1175" i="37"/>
  <c r="Z1175" i="37"/>
  <c r="AI1175" i="37" l="1"/>
  <c r="AJ1175" i="37" s="1"/>
  <c r="AK1175" i="37" s="1"/>
  <c r="AL1174" i="37"/>
  <c r="AN1174" i="37"/>
  <c r="AH1176" i="37"/>
  <c r="AG1176" i="37"/>
  <c r="AI1176" i="37" s="1"/>
  <c r="AJ1176" i="37" s="1"/>
  <c r="AF1176" i="37"/>
  <c r="AA1176" i="37"/>
  <c r="Y1176" i="37"/>
  <c r="AB1175" i="37"/>
  <c r="AC1175" i="37" s="1"/>
  <c r="AD1175" i="37" s="1"/>
  <c r="W1178" i="37"/>
  <c r="AE1177" i="37"/>
  <c r="AO1178" i="37" s="1"/>
  <c r="X1177" i="37"/>
  <c r="V1177" i="37"/>
  <c r="Z1177" i="37" s="1"/>
  <c r="Z1176" i="37"/>
  <c r="AN1175" i="37" l="1"/>
  <c r="AL1175" i="37"/>
  <c r="AK1176" i="37"/>
  <c r="W1179" i="37"/>
  <c r="AE1178" i="37"/>
  <c r="AO1179" i="37" s="1"/>
  <c r="V1178" i="37"/>
  <c r="X1178" i="37"/>
  <c r="AB1176" i="37"/>
  <c r="AC1176" i="37" s="1"/>
  <c r="AD1176" i="37" s="1"/>
  <c r="AA1177" i="37"/>
  <c r="AB1177" i="37" s="1"/>
  <c r="AC1177" i="37" s="1"/>
  <c r="Y1177" i="37"/>
  <c r="AG1177" i="37"/>
  <c r="AF1177" i="37"/>
  <c r="AH1177" i="37"/>
  <c r="AN1176" i="37" l="1"/>
  <c r="AL1176" i="37"/>
  <c r="Y1178" i="37"/>
  <c r="AA1178" i="37"/>
  <c r="Z1178" i="37"/>
  <c r="AB1178" i="37" s="1"/>
  <c r="AC1178" i="37" s="1"/>
  <c r="AG1178" i="37"/>
  <c r="AF1178" i="37"/>
  <c r="AH1178" i="37"/>
  <c r="AI1177" i="37"/>
  <c r="AJ1177" i="37" s="1"/>
  <c r="AK1177" i="37" s="1"/>
  <c r="W1180" i="37"/>
  <c r="AE1179" i="37"/>
  <c r="AO1180" i="37" s="1"/>
  <c r="V1179" i="37"/>
  <c r="X1179" i="37"/>
  <c r="AD1177" i="37"/>
  <c r="AL1177" i="37" l="1"/>
  <c r="AN1177" i="37"/>
  <c r="Z1179" i="37"/>
  <c r="AI1178" i="37"/>
  <c r="AJ1178" i="37" s="1"/>
  <c r="AK1178" i="37" s="1"/>
  <c r="Y1179" i="37"/>
  <c r="AA1179" i="37"/>
  <c r="AH1179" i="37"/>
  <c r="AG1179" i="37"/>
  <c r="AI1179" i="37" s="1"/>
  <c r="AJ1179" i="37" s="1"/>
  <c r="AF1179" i="37"/>
  <c r="AE1180" i="37"/>
  <c r="AO1181" i="37" s="1"/>
  <c r="W1181" i="37"/>
  <c r="V1180" i="37"/>
  <c r="X1180" i="37"/>
  <c r="AD1178" i="37"/>
  <c r="AN1178" i="37" l="1"/>
  <c r="AL1178" i="37"/>
  <c r="AK1179" i="37"/>
  <c r="Y1180" i="37"/>
  <c r="AA1180" i="37"/>
  <c r="Z1180" i="37"/>
  <c r="AB1180" i="37" s="1"/>
  <c r="AC1180" i="37" s="1"/>
  <c r="AE1181" i="37"/>
  <c r="AO1182" i="37" s="1"/>
  <c r="V1181" i="37"/>
  <c r="W1182" i="37"/>
  <c r="X1181" i="37"/>
  <c r="AB1179" i="37"/>
  <c r="AC1179" i="37" s="1"/>
  <c r="AD1179" i="37" s="1"/>
  <c r="AH1180" i="37"/>
  <c r="AG1180" i="37"/>
  <c r="AI1180" i="37" s="1"/>
  <c r="AJ1180" i="37" s="1"/>
  <c r="AF1180" i="37"/>
  <c r="AD1180" i="37" l="1"/>
  <c r="AN1179" i="37"/>
  <c r="AL1179" i="37"/>
  <c r="AK1180" i="37"/>
  <c r="Y1181" i="37"/>
  <c r="AA1181" i="37"/>
  <c r="W1183" i="37"/>
  <c r="AE1182" i="37"/>
  <c r="AO1183" i="37" s="1"/>
  <c r="X1182" i="37"/>
  <c r="V1182" i="37"/>
  <c r="Z1182" i="37" s="1"/>
  <c r="Z1181" i="37"/>
  <c r="AG1181" i="37"/>
  <c r="AF1181" i="37"/>
  <c r="AH1181" i="37"/>
  <c r="AN1180" i="37" l="1"/>
  <c r="AI1181" i="37"/>
  <c r="AJ1181" i="37" s="1"/>
  <c r="AK1181" i="37" s="1"/>
  <c r="AB1181" i="37"/>
  <c r="AC1181" i="37" s="1"/>
  <c r="AD1181" i="37" s="1"/>
  <c r="AL1180" i="37"/>
  <c r="Y1182" i="37"/>
  <c r="AA1182" i="37"/>
  <c r="AB1182" i="37" s="1"/>
  <c r="AC1182" i="37" s="1"/>
  <c r="AF1182" i="37"/>
  <c r="AH1182" i="37"/>
  <c r="AG1182" i="37"/>
  <c r="W1184" i="37"/>
  <c r="V1183" i="37"/>
  <c r="X1183" i="37"/>
  <c r="AE1183" i="37"/>
  <c r="AO1184" i="37" s="1"/>
  <c r="AI1182" i="37" l="1"/>
  <c r="AJ1182" i="37" s="1"/>
  <c r="AK1182" i="37" s="1"/>
  <c r="AN1181" i="37"/>
  <c r="AL1181" i="37"/>
  <c r="Z1183" i="37"/>
  <c r="W1185" i="37"/>
  <c r="X1184" i="37"/>
  <c r="AE1184" i="37"/>
  <c r="AO1185" i="37" s="1"/>
  <c r="V1184" i="37"/>
  <c r="Z1184" i="37" s="1"/>
  <c r="AG1183" i="37"/>
  <c r="AF1183" i="37"/>
  <c r="AH1183" i="37"/>
  <c r="AD1182" i="37"/>
  <c r="Y1183" i="37"/>
  <c r="AA1183" i="37"/>
  <c r="AB1183" i="37" s="1"/>
  <c r="AC1183" i="37" s="1"/>
  <c r="AI1183" i="37" l="1"/>
  <c r="AJ1183" i="37" s="1"/>
  <c r="AK1183" i="37" s="1"/>
  <c r="AL1182" i="37"/>
  <c r="AN1182" i="37"/>
  <c r="AH1184" i="37"/>
  <c r="AF1184" i="37"/>
  <c r="AG1184" i="37"/>
  <c r="AI1184" i="37" s="1"/>
  <c r="AJ1184" i="37" s="1"/>
  <c r="AD1183" i="37"/>
  <c r="AA1184" i="37"/>
  <c r="AB1184" i="37" s="1"/>
  <c r="AC1184" i="37" s="1"/>
  <c r="Y1184" i="37"/>
  <c r="W1186" i="37"/>
  <c r="AE1185" i="37"/>
  <c r="AO1186" i="37" s="1"/>
  <c r="V1185" i="37"/>
  <c r="X1185" i="37"/>
  <c r="AN1183" i="37" l="1"/>
  <c r="AL1183" i="37"/>
  <c r="AD1184" i="37"/>
  <c r="Y1185" i="37"/>
  <c r="AA1185" i="37"/>
  <c r="AK1184" i="37"/>
  <c r="Z1185" i="37"/>
  <c r="AB1185" i="37" s="1"/>
  <c r="AC1185" i="37" s="1"/>
  <c r="AG1185" i="37"/>
  <c r="AI1185" i="37" s="1"/>
  <c r="AJ1185" i="37" s="1"/>
  <c r="AH1185" i="37"/>
  <c r="AF1185" i="37"/>
  <c r="W1187" i="37"/>
  <c r="AE1186" i="37"/>
  <c r="AO1187" i="37" s="1"/>
  <c r="V1186" i="37"/>
  <c r="X1186" i="37"/>
  <c r="AL1184" i="37" l="1"/>
  <c r="AN1184" i="37"/>
  <c r="AK1185" i="37"/>
  <c r="Y1186" i="37"/>
  <c r="AA1186" i="37"/>
  <c r="Z1186" i="37"/>
  <c r="AB1186" i="37" s="1"/>
  <c r="AC1186" i="37" s="1"/>
  <c r="AH1186" i="37"/>
  <c r="AG1186" i="37"/>
  <c r="AI1186" i="37" s="1"/>
  <c r="AJ1186" i="37" s="1"/>
  <c r="AF1186" i="37"/>
  <c r="AD1185" i="37"/>
  <c r="W1188" i="37"/>
  <c r="AE1187" i="37"/>
  <c r="AO1188" i="37" s="1"/>
  <c r="V1187" i="37"/>
  <c r="X1187" i="37"/>
  <c r="AL1185" i="37" l="1"/>
  <c r="AN1185" i="37"/>
  <c r="AK1186" i="37"/>
  <c r="Y1187" i="37"/>
  <c r="AA1187" i="37"/>
  <c r="Z1187" i="37"/>
  <c r="AB1187" i="37" s="1"/>
  <c r="AC1187" i="37" s="1"/>
  <c r="AG1187" i="37"/>
  <c r="AF1187" i="37"/>
  <c r="AH1187" i="37"/>
  <c r="AD1186" i="37"/>
  <c r="W1189" i="37"/>
  <c r="AE1188" i="37"/>
  <c r="AO1189" i="37" s="1"/>
  <c r="V1188" i="37"/>
  <c r="X1188" i="37"/>
  <c r="AL1186" i="37" l="1"/>
  <c r="AN1186" i="37"/>
  <c r="Y1188" i="37"/>
  <c r="AA1188" i="37"/>
  <c r="AI1187" i="37"/>
  <c r="AJ1187" i="37" s="1"/>
  <c r="AK1187" i="37" s="1"/>
  <c r="Z1188" i="37"/>
  <c r="AB1188" i="37" s="1"/>
  <c r="AC1188" i="37" s="1"/>
  <c r="AG1188" i="37"/>
  <c r="AH1188" i="37"/>
  <c r="AF1188" i="37"/>
  <c r="AD1187" i="37"/>
  <c r="X1189" i="37"/>
  <c r="AE1189" i="37"/>
  <c r="AO1190" i="37" s="1"/>
  <c r="V1189" i="37"/>
  <c r="Z1189" i="37" s="1"/>
  <c r="W1190" i="37"/>
  <c r="AI1188" i="37" l="1"/>
  <c r="AJ1188" i="37" s="1"/>
  <c r="AK1188" i="37" s="1"/>
  <c r="AL1187" i="37"/>
  <c r="AN1187" i="37"/>
  <c r="W1191" i="37"/>
  <c r="AE1190" i="37"/>
  <c r="AO1191" i="37" s="1"/>
  <c r="V1190" i="37"/>
  <c r="X1190" i="37"/>
  <c r="AF1189" i="37"/>
  <c r="AG1189" i="37"/>
  <c r="AH1189" i="37"/>
  <c r="AA1189" i="37"/>
  <c r="AB1189" i="37" s="1"/>
  <c r="AC1189" i="37" s="1"/>
  <c r="Y1189" i="37"/>
  <c r="AD1188" i="37"/>
  <c r="AN1188" i="37" l="1"/>
  <c r="AL1188" i="37"/>
  <c r="AI1189" i="37"/>
  <c r="AJ1189" i="37" s="1"/>
  <c r="AK1189" i="37" s="1"/>
  <c r="Y1190" i="37"/>
  <c r="AA1190" i="37"/>
  <c r="Z1190" i="37"/>
  <c r="AB1190" i="37" s="1"/>
  <c r="AC1190" i="37" s="1"/>
  <c r="AG1190" i="37"/>
  <c r="AH1190" i="37"/>
  <c r="AF1190" i="37"/>
  <c r="AD1189" i="37"/>
  <c r="W1192" i="37"/>
  <c r="V1191" i="37"/>
  <c r="AE1191" i="37"/>
  <c r="AO1192" i="37" s="1"/>
  <c r="X1191" i="37"/>
  <c r="AN1189" i="37" l="1"/>
  <c r="AL1189" i="37"/>
  <c r="Y1191" i="37"/>
  <c r="AA1191" i="37"/>
  <c r="W1193" i="37"/>
  <c r="AE1192" i="37"/>
  <c r="AO1193" i="37" s="1"/>
  <c r="V1192" i="37"/>
  <c r="X1192" i="37"/>
  <c r="AI1190" i="37"/>
  <c r="AJ1190" i="37" s="1"/>
  <c r="AK1190" i="37" s="1"/>
  <c r="AG1191" i="37"/>
  <c r="AH1191" i="37"/>
  <c r="AF1191" i="37"/>
  <c r="Z1191" i="37"/>
  <c r="AB1191" i="37" s="1"/>
  <c r="AC1191" i="37" s="1"/>
  <c r="AD1190" i="37"/>
  <c r="AL1190" i="37" l="1"/>
  <c r="AN1190" i="37"/>
  <c r="Y1192" i="37"/>
  <c r="AA1192" i="37"/>
  <c r="Z1192" i="37"/>
  <c r="AG1192" i="37"/>
  <c r="AH1192" i="37"/>
  <c r="AF1192" i="37"/>
  <c r="AE1193" i="37"/>
  <c r="AO1194" i="37" s="1"/>
  <c r="V1193" i="37"/>
  <c r="W1194" i="37"/>
  <c r="X1193" i="37"/>
  <c r="AI1191" i="37"/>
  <c r="AJ1191" i="37" s="1"/>
  <c r="AK1191" i="37" s="1"/>
  <c r="AD1191" i="37"/>
  <c r="AB1192" i="37" l="1"/>
  <c r="AC1192" i="37" s="1"/>
  <c r="AD1192" i="37" s="1"/>
  <c r="Z1193" i="37"/>
  <c r="AL1191" i="37"/>
  <c r="AN1191" i="37"/>
  <c r="AG1193" i="37"/>
  <c r="AH1193" i="37"/>
  <c r="AF1193" i="37"/>
  <c r="AI1192" i="37"/>
  <c r="AJ1192" i="37" s="1"/>
  <c r="AK1192" i="37" s="1"/>
  <c r="Y1193" i="37"/>
  <c r="AA1193" i="37"/>
  <c r="AB1193" i="37" s="1"/>
  <c r="AC1193" i="37" s="1"/>
  <c r="V1194" i="37"/>
  <c r="W1195" i="37"/>
  <c r="X1194" i="37"/>
  <c r="AE1194" i="37"/>
  <c r="AO1195" i="37" s="1"/>
  <c r="Z1194" i="37" l="1"/>
  <c r="AL1192" i="37"/>
  <c r="AN1192" i="37"/>
  <c r="AD1193" i="37"/>
  <c r="AH1194" i="37"/>
  <c r="AG1194" i="37"/>
  <c r="AI1194" i="37" s="1"/>
  <c r="AJ1194" i="37" s="1"/>
  <c r="AF1194" i="37"/>
  <c r="Y1194" i="37"/>
  <c r="AA1194" i="37"/>
  <c r="AB1194" i="37" s="1"/>
  <c r="AC1194" i="37" s="1"/>
  <c r="AI1193" i="37"/>
  <c r="AJ1193" i="37" s="1"/>
  <c r="AK1193" i="37" s="1"/>
  <c r="X1195" i="37"/>
  <c r="W1196" i="37"/>
  <c r="V1195" i="37"/>
  <c r="AE1195" i="37"/>
  <c r="AO1196" i="37" s="1"/>
  <c r="AL1193" i="37" l="1"/>
  <c r="AN1193" i="37"/>
  <c r="Z1195" i="37"/>
  <c r="AK1194" i="37"/>
  <c r="AH1195" i="37"/>
  <c r="AG1195" i="37"/>
  <c r="AI1195" i="37" s="1"/>
  <c r="AJ1195" i="37" s="1"/>
  <c r="AF1195" i="37"/>
  <c r="AD1194" i="37"/>
  <c r="AE1196" i="37"/>
  <c r="AO1197" i="37" s="1"/>
  <c r="V1196" i="37"/>
  <c r="W1197" i="37"/>
  <c r="X1196" i="37"/>
  <c r="Y1195" i="37"/>
  <c r="AA1195" i="37"/>
  <c r="AB1195" i="37" l="1"/>
  <c r="AC1195" i="37" s="1"/>
  <c r="AD1195" i="37" s="1"/>
  <c r="AN1194" i="37"/>
  <c r="AL1194" i="37"/>
  <c r="Z1196" i="37"/>
  <c r="AK1195" i="37"/>
  <c r="AH1196" i="37"/>
  <c r="AG1196" i="37"/>
  <c r="AF1196" i="37"/>
  <c r="X1197" i="37"/>
  <c r="W1198" i="37"/>
  <c r="V1197" i="37"/>
  <c r="AE1197" i="37"/>
  <c r="AO1198" i="37" s="1"/>
  <c r="Y1196" i="37"/>
  <c r="AA1196" i="37"/>
  <c r="AB1196" i="37" s="1"/>
  <c r="AC1196" i="37" s="1"/>
  <c r="AD1196" i="37" s="1"/>
  <c r="AI1196" i="37" l="1"/>
  <c r="AJ1196" i="37" s="1"/>
  <c r="AK1196" i="37" s="1"/>
  <c r="AN1196" i="37" s="1"/>
  <c r="AN1195" i="37"/>
  <c r="AL1195" i="37"/>
  <c r="Z1197" i="37"/>
  <c r="AH1197" i="37"/>
  <c r="AG1197" i="37"/>
  <c r="AI1197" i="37" s="1"/>
  <c r="AJ1197" i="37" s="1"/>
  <c r="AF1197" i="37"/>
  <c r="W1199" i="37"/>
  <c r="X1198" i="37"/>
  <c r="AE1198" i="37"/>
  <c r="AO1199" i="37" s="1"/>
  <c r="V1198" i="37"/>
  <c r="Z1198" i="37" s="1"/>
  <c r="Y1197" i="37"/>
  <c r="AA1197" i="37"/>
  <c r="AB1197" i="37" s="1"/>
  <c r="AC1197" i="37" s="1"/>
  <c r="AD1197" i="37" s="1"/>
  <c r="AL1196" i="37" l="1"/>
  <c r="AK1197" i="37"/>
  <c r="AN1197" i="37" s="1"/>
  <c r="AH1198" i="37"/>
  <c r="AF1198" i="37"/>
  <c r="AG1198" i="37"/>
  <c r="AI1198" i="37" s="1"/>
  <c r="AJ1198" i="37" s="1"/>
  <c r="AE1199" i="37"/>
  <c r="AO1200" i="37" s="1"/>
  <c r="X1199" i="37"/>
  <c r="W1200" i="37"/>
  <c r="V1199" i="37"/>
  <c r="Y1198" i="37"/>
  <c r="AA1198" i="37"/>
  <c r="AB1198" i="37" s="1"/>
  <c r="AC1198" i="37" s="1"/>
  <c r="Z1199" i="37" l="1"/>
  <c r="AL1197" i="37"/>
  <c r="AD1198" i="37"/>
  <c r="AH1199" i="37"/>
  <c r="AG1199" i="37"/>
  <c r="AI1199" i="37" s="1"/>
  <c r="AJ1199" i="37" s="1"/>
  <c r="AF1199" i="37"/>
  <c r="W1201" i="37"/>
  <c r="AE1200" i="37"/>
  <c r="AO1201" i="37" s="1"/>
  <c r="X1200" i="37"/>
  <c r="V1200" i="37"/>
  <c r="AA1199" i="37"/>
  <c r="AB1199" i="37" s="1"/>
  <c r="AC1199" i="37" s="1"/>
  <c r="Y1199" i="37"/>
  <c r="AK1198" i="37"/>
  <c r="AL1198" i="37" l="1"/>
  <c r="AN1198" i="37"/>
  <c r="AK1199" i="37"/>
  <c r="Y1200" i="37"/>
  <c r="AA1200" i="37"/>
  <c r="Z1200" i="37"/>
  <c r="AH1200" i="37"/>
  <c r="AG1200" i="37"/>
  <c r="AI1200" i="37" s="1"/>
  <c r="AJ1200" i="37" s="1"/>
  <c r="AF1200" i="37"/>
  <c r="W1202" i="37"/>
  <c r="X1201" i="37"/>
  <c r="V1201" i="37"/>
  <c r="AE1201" i="37"/>
  <c r="AO1202" i="37" s="1"/>
  <c r="AD1199" i="37"/>
  <c r="AN1199" i="37" l="1"/>
  <c r="AL1199" i="37"/>
  <c r="Y1201" i="37"/>
  <c r="AA1201" i="37"/>
  <c r="V1202" i="37"/>
  <c r="AE1202" i="37"/>
  <c r="AO1203" i="37" s="1"/>
  <c r="X1202" i="37"/>
  <c r="W1203" i="37"/>
  <c r="AK1200" i="37"/>
  <c r="AG1201" i="37"/>
  <c r="AF1201" i="37"/>
  <c r="AH1201" i="37"/>
  <c r="AB1200" i="37"/>
  <c r="AC1200" i="37" s="1"/>
  <c r="AD1200" i="37" s="1"/>
  <c r="Z1201" i="37"/>
  <c r="AI1201" i="37" l="1"/>
  <c r="AJ1201" i="37" s="1"/>
  <c r="AK1201" i="37" s="1"/>
  <c r="AL1200" i="37"/>
  <c r="AN1200" i="37"/>
  <c r="AH1202" i="37"/>
  <c r="AF1202" i="37"/>
  <c r="AG1202" i="37"/>
  <c r="AI1202" i="37" s="1"/>
  <c r="AJ1202" i="37" s="1"/>
  <c r="AK1202" i="37" s="1"/>
  <c r="V1203" i="37"/>
  <c r="W1204" i="37"/>
  <c r="X1203" i="37"/>
  <c r="AE1203" i="37"/>
  <c r="AO1204" i="37" s="1"/>
  <c r="AA1202" i="37"/>
  <c r="Y1202" i="37"/>
  <c r="Z1202" i="37"/>
  <c r="AB1201" i="37"/>
  <c r="AC1201" i="37" s="1"/>
  <c r="AD1201" i="37" s="1"/>
  <c r="AN1201" i="37" l="1"/>
  <c r="AL1201" i="37"/>
  <c r="AG1203" i="37"/>
  <c r="AF1203" i="37"/>
  <c r="AH1203" i="37"/>
  <c r="Y1203" i="37"/>
  <c r="AA1203" i="37"/>
  <c r="W1205" i="37"/>
  <c r="X1204" i="37"/>
  <c r="AE1204" i="37"/>
  <c r="AO1205" i="37" s="1"/>
  <c r="V1204" i="37"/>
  <c r="Z1203" i="37"/>
  <c r="AB1202" i="37"/>
  <c r="AC1202" i="37" s="1"/>
  <c r="AD1202" i="37" s="1"/>
  <c r="AN1202" i="37" l="1"/>
  <c r="AL1202" i="37"/>
  <c r="AG1204" i="37"/>
  <c r="AH1204" i="37"/>
  <c r="AF1204" i="37"/>
  <c r="Y1204" i="37"/>
  <c r="AA1204" i="37"/>
  <c r="AB1204" i="37" s="1"/>
  <c r="AC1204" i="37" s="1"/>
  <c r="AE1205" i="37"/>
  <c r="AO1206" i="37" s="1"/>
  <c r="V1205" i="37"/>
  <c r="W1206" i="37"/>
  <c r="X1205" i="37"/>
  <c r="AB1203" i="37"/>
  <c r="AC1203" i="37" s="1"/>
  <c r="AD1203" i="37" s="1"/>
  <c r="Z1204" i="37"/>
  <c r="AI1203" i="37"/>
  <c r="AJ1203" i="37" s="1"/>
  <c r="AK1203" i="37" s="1"/>
  <c r="Z1205" i="37" l="1"/>
  <c r="AL1203" i="37"/>
  <c r="AN1203" i="37"/>
  <c r="AD1204" i="37"/>
  <c r="AF1205" i="37"/>
  <c r="AH1205" i="37"/>
  <c r="AG1205" i="37"/>
  <c r="AI1205" i="37" s="1"/>
  <c r="AJ1205" i="37" s="1"/>
  <c r="AA1205" i="37"/>
  <c r="AB1205" i="37" s="1"/>
  <c r="AC1205" i="37" s="1"/>
  <c r="Y1205" i="37"/>
  <c r="V1206" i="37"/>
  <c r="W1207" i="37"/>
  <c r="X1206" i="37"/>
  <c r="AE1206" i="37"/>
  <c r="AO1207" i="37" s="1"/>
  <c r="AI1204" i="37"/>
  <c r="AJ1204" i="37" s="1"/>
  <c r="AK1204" i="37" s="1"/>
  <c r="Z1206" i="37" l="1"/>
  <c r="AL1204" i="37"/>
  <c r="AN1204" i="37"/>
  <c r="AD1205" i="37"/>
  <c r="AF1206" i="37"/>
  <c r="AH1206" i="37"/>
  <c r="AG1206" i="37"/>
  <c r="AI1206" i="37" s="1"/>
  <c r="AJ1206" i="37" s="1"/>
  <c r="AA1206" i="37"/>
  <c r="AB1206" i="37" s="1"/>
  <c r="AC1206" i="37" s="1"/>
  <c r="Y1206" i="37"/>
  <c r="AK1205" i="37"/>
  <c r="W1208" i="37"/>
  <c r="X1207" i="37"/>
  <c r="V1207" i="37"/>
  <c r="AE1207" i="37"/>
  <c r="AO1208" i="37" s="1"/>
  <c r="AL1205" i="37" l="1"/>
  <c r="AN1205" i="37"/>
  <c r="AA1207" i="37"/>
  <c r="Y1207" i="37"/>
  <c r="V1208" i="37"/>
  <c r="AE1208" i="37"/>
  <c r="AO1209" i="37" s="1"/>
  <c r="W1209" i="37"/>
  <c r="X1208" i="37"/>
  <c r="AD1206" i="37"/>
  <c r="AH1207" i="37"/>
  <c r="AG1207" i="37"/>
  <c r="AF1207" i="37"/>
  <c r="Z1207" i="37"/>
  <c r="AB1207" i="37" s="1"/>
  <c r="AC1207" i="37" s="1"/>
  <c r="AD1207" i="37" s="1"/>
  <c r="AK1206" i="37"/>
  <c r="AN1206" i="37" l="1"/>
  <c r="AL1206" i="37"/>
  <c r="AH1208" i="37"/>
  <c r="AG1208" i="37"/>
  <c r="AI1208" i="37" s="1"/>
  <c r="AJ1208" i="37" s="1"/>
  <c r="AF1208" i="37"/>
  <c r="AA1208" i="37"/>
  <c r="Y1208" i="37"/>
  <c r="V1209" i="37"/>
  <c r="W1210" i="37"/>
  <c r="X1209" i="37"/>
  <c r="AE1209" i="37"/>
  <c r="AO1210" i="37" s="1"/>
  <c r="Z1208" i="37"/>
  <c r="AI1207" i="37"/>
  <c r="AJ1207" i="37" s="1"/>
  <c r="AK1207" i="37" s="1"/>
  <c r="AN1207" i="37" s="1"/>
  <c r="AL1207" i="37" l="1"/>
  <c r="AK1208" i="37"/>
  <c r="AA1209" i="37"/>
  <c r="Y1209" i="37"/>
  <c r="W1211" i="37"/>
  <c r="X1210" i="37"/>
  <c r="AE1210" i="37"/>
  <c r="AO1211" i="37" s="1"/>
  <c r="V1210" i="37"/>
  <c r="AB1208" i="37"/>
  <c r="AC1208" i="37" s="1"/>
  <c r="AD1208" i="37" s="1"/>
  <c r="Z1209" i="37"/>
  <c r="AH1209" i="37"/>
  <c r="AG1209" i="37"/>
  <c r="AF1209" i="37"/>
  <c r="AI1209" i="37" l="1"/>
  <c r="AJ1209" i="37" s="1"/>
  <c r="AK1209" i="37" s="1"/>
  <c r="AB1209" i="37"/>
  <c r="AC1209" i="37" s="1"/>
  <c r="AD1209" i="37" s="1"/>
  <c r="AN1208" i="37"/>
  <c r="AL1208" i="37"/>
  <c r="Y1210" i="37"/>
  <c r="AA1210" i="37"/>
  <c r="Z1210" i="37"/>
  <c r="AB1210" i="37" s="1"/>
  <c r="AC1210" i="37" s="1"/>
  <c r="AH1210" i="37"/>
  <c r="AG1210" i="37"/>
  <c r="AF1210" i="37"/>
  <c r="AE1211" i="37"/>
  <c r="AO1212" i="37" s="1"/>
  <c r="X1211" i="37"/>
  <c r="V1211" i="37"/>
  <c r="W1212" i="37"/>
  <c r="AN1209" i="37" l="1"/>
  <c r="AI1210" i="37"/>
  <c r="AJ1210" i="37" s="1"/>
  <c r="AK1210" i="37" s="1"/>
  <c r="AL1209" i="37"/>
  <c r="AA1211" i="37"/>
  <c r="Y1211" i="37"/>
  <c r="AH1211" i="37"/>
  <c r="AG1211" i="37"/>
  <c r="AI1211" i="37" s="1"/>
  <c r="AJ1211" i="37" s="1"/>
  <c r="AF1211" i="37"/>
  <c r="AE1212" i="37"/>
  <c r="AO1213" i="37" s="1"/>
  <c r="W1213" i="37"/>
  <c r="X1212" i="37"/>
  <c r="V1212" i="37"/>
  <c r="Z1212" i="37" s="1"/>
  <c r="Z1211" i="37"/>
  <c r="AD1210" i="37"/>
  <c r="AN1210" i="37" l="1"/>
  <c r="AL1210" i="37"/>
  <c r="AH1212" i="37"/>
  <c r="AG1212" i="37"/>
  <c r="AI1212" i="37" s="1"/>
  <c r="AJ1212" i="37" s="1"/>
  <c r="AF1212" i="37"/>
  <c r="AK1211" i="37"/>
  <c r="V1213" i="37"/>
  <c r="AE1213" i="37"/>
  <c r="AO1214" i="37" s="1"/>
  <c r="X1213" i="37"/>
  <c r="W1214" i="37"/>
  <c r="AA1212" i="37"/>
  <c r="AB1212" i="37" s="1"/>
  <c r="AC1212" i="37" s="1"/>
  <c r="Y1212" i="37"/>
  <c r="AB1211" i="37"/>
  <c r="AC1211" i="37" s="1"/>
  <c r="AD1211" i="37" s="1"/>
  <c r="AL1211" i="37" l="1"/>
  <c r="AK1212" i="37"/>
  <c r="AN1211" i="37"/>
  <c r="AG1213" i="37"/>
  <c r="AF1213" i="37"/>
  <c r="AH1213" i="37"/>
  <c r="X1214" i="37"/>
  <c r="V1214" i="37"/>
  <c r="AE1214" i="37"/>
  <c r="AO1215" i="37" s="1"/>
  <c r="W1215" i="37"/>
  <c r="Y1213" i="37"/>
  <c r="AA1213" i="37"/>
  <c r="Z1213" i="37"/>
  <c r="AD1212" i="37"/>
  <c r="Z1214" i="37" l="1"/>
  <c r="AN1212" i="37"/>
  <c r="AL1212" i="37"/>
  <c r="AE1215" i="37"/>
  <c r="AO1216" i="37" s="1"/>
  <c r="W1216" i="37"/>
  <c r="X1215" i="37"/>
  <c r="V1215" i="37"/>
  <c r="Z1215" i="37" s="1"/>
  <c r="AH1214" i="37"/>
  <c r="AG1214" i="37"/>
  <c r="AF1214" i="37"/>
  <c r="AA1214" i="37"/>
  <c r="AB1214" i="37" s="1"/>
  <c r="AC1214" i="37" s="1"/>
  <c r="Y1214" i="37"/>
  <c r="AB1213" i="37"/>
  <c r="AC1213" i="37" s="1"/>
  <c r="AD1213" i="37" s="1"/>
  <c r="AI1213" i="37"/>
  <c r="AJ1213" i="37" s="1"/>
  <c r="AK1213" i="37" s="1"/>
  <c r="AI1214" i="37" l="1"/>
  <c r="AJ1214" i="37" s="1"/>
  <c r="AK1214" i="37" s="1"/>
  <c r="AL1213" i="37"/>
  <c r="AN1213" i="37"/>
  <c r="AA1215" i="37"/>
  <c r="AB1215" i="37" s="1"/>
  <c r="AC1215" i="37" s="1"/>
  <c r="Y1215" i="37"/>
  <c r="V1216" i="37"/>
  <c r="AE1216" i="37"/>
  <c r="AO1217" i="37" s="1"/>
  <c r="X1216" i="37"/>
  <c r="W1217" i="37"/>
  <c r="AD1214" i="37"/>
  <c r="AG1215" i="37"/>
  <c r="AH1215" i="37"/>
  <c r="AF1215" i="37"/>
  <c r="AL1214" i="37" l="1"/>
  <c r="AN1214" i="37"/>
  <c r="AA1216" i="37"/>
  <c r="Y1216" i="37"/>
  <c r="X1217" i="37"/>
  <c r="W1218" i="37"/>
  <c r="V1217" i="37"/>
  <c r="Z1217" i="37" s="1"/>
  <c r="AE1217" i="37"/>
  <c r="AO1218" i="37" s="1"/>
  <c r="AG1216" i="37"/>
  <c r="AF1216" i="37"/>
  <c r="AH1216" i="37"/>
  <c r="Z1216" i="37"/>
  <c r="AD1215" i="37"/>
  <c r="AI1215" i="37"/>
  <c r="AJ1215" i="37" s="1"/>
  <c r="AK1215" i="37" s="1"/>
  <c r="AI1216" i="37" l="1"/>
  <c r="AJ1216" i="37" s="1"/>
  <c r="AK1216" i="37" s="1"/>
  <c r="AL1215" i="37"/>
  <c r="AN1215" i="37"/>
  <c r="AH1217" i="37"/>
  <c r="AG1217" i="37"/>
  <c r="AI1217" i="37" s="1"/>
  <c r="AJ1217" i="37" s="1"/>
  <c r="AF1217" i="37"/>
  <c r="AB1217" i="37"/>
  <c r="AC1217" i="37" s="1"/>
  <c r="W1219" i="37"/>
  <c r="AE1218" i="37"/>
  <c r="AO1219" i="37" s="1"/>
  <c r="V1218" i="37"/>
  <c r="X1218" i="37"/>
  <c r="AA1217" i="37"/>
  <c r="Y1217" i="37"/>
  <c r="AB1216" i="37"/>
  <c r="AC1216" i="37" s="1"/>
  <c r="AD1216" i="37" s="1"/>
  <c r="AN1216" i="37" l="1"/>
  <c r="AL1216" i="37"/>
  <c r="AK1217" i="37"/>
  <c r="Y1218" i="37"/>
  <c r="AA1218" i="37"/>
  <c r="Z1218" i="37"/>
  <c r="X1219" i="37"/>
  <c r="V1219" i="37"/>
  <c r="AE1219" i="37"/>
  <c r="AO1220" i="37" s="1"/>
  <c r="W1220" i="37"/>
  <c r="AH1218" i="37"/>
  <c r="AG1218" i="37"/>
  <c r="AF1218" i="37"/>
  <c r="AD1217" i="37"/>
  <c r="Z1219" i="37" l="1"/>
  <c r="AN1217" i="37"/>
  <c r="AL1217" i="37"/>
  <c r="X1220" i="37"/>
  <c r="AE1220" i="37"/>
  <c r="AO1221" i="37" s="1"/>
  <c r="W1221" i="37"/>
  <c r="V1220" i="37"/>
  <c r="Z1220" i="37" s="1"/>
  <c r="AG1219" i="37"/>
  <c r="AF1219" i="37"/>
  <c r="AH1219" i="37"/>
  <c r="AA1219" i="37"/>
  <c r="Y1219" i="37"/>
  <c r="AB1218" i="37"/>
  <c r="AC1218" i="37" s="1"/>
  <c r="AD1218" i="37" s="1"/>
  <c r="AI1218" i="37"/>
  <c r="AJ1218" i="37" s="1"/>
  <c r="AK1218" i="37" s="1"/>
  <c r="AB1219" i="37" l="1"/>
  <c r="AC1219" i="37" s="1"/>
  <c r="AD1219" i="37" s="1"/>
  <c r="AL1218" i="37"/>
  <c r="AN1218" i="37"/>
  <c r="AI1219" i="37"/>
  <c r="AJ1219" i="37" s="1"/>
  <c r="AK1219" i="37" s="1"/>
  <c r="X1221" i="37"/>
  <c r="V1221" i="37"/>
  <c r="Z1221" i="37" s="1"/>
  <c r="AE1221" i="37"/>
  <c r="AO1222" i="37" s="1"/>
  <c r="W1222" i="37"/>
  <c r="AG1220" i="37"/>
  <c r="AH1220" i="37"/>
  <c r="AF1220" i="37"/>
  <c r="AA1220" i="37"/>
  <c r="AB1220" i="37" s="1"/>
  <c r="AC1220" i="37" s="1"/>
  <c r="Y1220" i="37"/>
  <c r="AN1219" i="37" l="1"/>
  <c r="AL1219" i="37"/>
  <c r="AI1220" i="37"/>
  <c r="AJ1220" i="37" s="1"/>
  <c r="AK1220" i="37" s="1"/>
  <c r="X1222" i="37"/>
  <c r="V1222" i="37"/>
  <c r="Z1222" i="37" s="1"/>
  <c r="W1223" i="37"/>
  <c r="AE1222" i="37"/>
  <c r="AO1223" i="37" s="1"/>
  <c r="AH1221" i="37"/>
  <c r="AG1221" i="37"/>
  <c r="AF1221" i="37"/>
  <c r="AD1220" i="37"/>
  <c r="AA1221" i="37"/>
  <c r="AB1221" i="37" s="1"/>
  <c r="AC1221" i="37" s="1"/>
  <c r="Y1221" i="37"/>
  <c r="AI1221" i="37" l="1"/>
  <c r="AJ1221" i="37" s="1"/>
  <c r="AK1221" i="37" s="1"/>
  <c r="AN1220" i="37"/>
  <c r="AL1220" i="37"/>
  <c r="AD1221" i="37"/>
  <c r="AH1222" i="37"/>
  <c r="AF1222" i="37"/>
  <c r="AG1222" i="37"/>
  <c r="AI1222" i="37" s="1"/>
  <c r="AJ1222" i="37" s="1"/>
  <c r="W1224" i="37"/>
  <c r="AE1223" i="37"/>
  <c r="AO1224" i="37" s="1"/>
  <c r="X1223" i="37"/>
  <c r="V1223" i="37"/>
  <c r="AA1222" i="37"/>
  <c r="AB1222" i="37" s="1"/>
  <c r="AC1222" i="37" s="1"/>
  <c r="Y1222" i="37"/>
  <c r="AL1221" i="37" l="1"/>
  <c r="AN1221" i="37"/>
  <c r="Z1223" i="37"/>
  <c r="AA1223" i="37"/>
  <c r="Y1223" i="37"/>
  <c r="AH1223" i="37"/>
  <c r="AG1223" i="37"/>
  <c r="AI1223" i="37" s="1"/>
  <c r="AJ1223" i="37" s="1"/>
  <c r="AF1223" i="37"/>
  <c r="X1224" i="37"/>
  <c r="AE1224" i="37"/>
  <c r="AO1225" i="37" s="1"/>
  <c r="W1225" i="37"/>
  <c r="V1224" i="37"/>
  <c r="AD1222" i="37"/>
  <c r="AK1222" i="37"/>
  <c r="AB1223" i="37" l="1"/>
  <c r="AC1223" i="37" s="1"/>
  <c r="AD1223" i="37" s="1"/>
  <c r="AN1222" i="37"/>
  <c r="AL1222" i="37"/>
  <c r="AK1223" i="37"/>
  <c r="AG1224" i="37"/>
  <c r="AF1224" i="37"/>
  <c r="AH1224" i="37"/>
  <c r="Y1224" i="37"/>
  <c r="AA1224" i="37"/>
  <c r="Z1224" i="37"/>
  <c r="X1225" i="37"/>
  <c r="V1225" i="37"/>
  <c r="W1226" i="37"/>
  <c r="AE1225" i="37"/>
  <c r="AO1226" i="37" s="1"/>
  <c r="AN1223" i="37" l="1"/>
  <c r="AL1223" i="37"/>
  <c r="AA1225" i="37"/>
  <c r="Y1225" i="37"/>
  <c r="AB1224" i="37"/>
  <c r="AC1224" i="37" s="1"/>
  <c r="AD1224" i="37" s="1"/>
  <c r="AG1225" i="37"/>
  <c r="AH1225" i="37"/>
  <c r="AF1225" i="37"/>
  <c r="X1226" i="37"/>
  <c r="V1226" i="37"/>
  <c r="W1227" i="37"/>
  <c r="AE1226" i="37"/>
  <c r="AO1227" i="37" s="1"/>
  <c r="Z1225" i="37"/>
  <c r="AI1224" i="37"/>
  <c r="AJ1224" i="37" s="1"/>
  <c r="AK1224" i="37" s="1"/>
  <c r="AL1224" i="37" l="1"/>
  <c r="AN1224" i="37"/>
  <c r="AA1226" i="37"/>
  <c r="Y1226" i="37"/>
  <c r="AI1225" i="37"/>
  <c r="AJ1225" i="37" s="1"/>
  <c r="AK1225" i="37" s="1"/>
  <c r="AH1226" i="37"/>
  <c r="AG1226" i="37"/>
  <c r="AI1226" i="37" s="1"/>
  <c r="AJ1226" i="37" s="1"/>
  <c r="AF1226" i="37"/>
  <c r="AE1227" i="37"/>
  <c r="AO1228" i="37" s="1"/>
  <c r="V1227" i="37"/>
  <c r="W1228" i="37"/>
  <c r="X1227" i="37"/>
  <c r="Z1226" i="37"/>
  <c r="AB1225" i="37"/>
  <c r="AC1225" i="37" s="1"/>
  <c r="AD1225" i="37" s="1"/>
  <c r="AN1225" i="37" l="1"/>
  <c r="AL1225" i="37"/>
  <c r="AK1226" i="37"/>
  <c r="AH1227" i="37"/>
  <c r="AG1227" i="37"/>
  <c r="AF1227" i="37"/>
  <c r="AA1227" i="37"/>
  <c r="Y1227" i="37"/>
  <c r="X1228" i="37"/>
  <c r="W1229" i="37"/>
  <c r="AE1228" i="37"/>
  <c r="AO1229" i="37" s="1"/>
  <c r="V1228" i="37"/>
  <c r="Z1227" i="37"/>
  <c r="AB1226" i="37"/>
  <c r="AC1226" i="37" s="1"/>
  <c r="AD1226" i="37" s="1"/>
  <c r="AI1227" i="37" l="1"/>
  <c r="AJ1227" i="37" s="1"/>
  <c r="AK1227" i="37" s="1"/>
  <c r="AN1226" i="37"/>
  <c r="AL1226" i="37"/>
  <c r="AA1228" i="37"/>
  <c r="Y1228" i="37"/>
  <c r="AF1228" i="37"/>
  <c r="AH1228" i="37"/>
  <c r="AG1228" i="37"/>
  <c r="X1229" i="37"/>
  <c r="V1229" i="37"/>
  <c r="W1230" i="37"/>
  <c r="AE1229" i="37"/>
  <c r="AO1230" i="37" s="1"/>
  <c r="AB1227" i="37"/>
  <c r="AC1227" i="37" s="1"/>
  <c r="AD1227" i="37" s="1"/>
  <c r="Z1228" i="37"/>
  <c r="AB1228" i="37" s="1"/>
  <c r="AC1228" i="37" s="1"/>
  <c r="AD1228" i="37" s="1"/>
  <c r="Z1229" i="37" l="1"/>
  <c r="AI1228" i="37"/>
  <c r="AJ1228" i="37" s="1"/>
  <c r="AK1228" i="37" s="1"/>
  <c r="AN1228" i="37" s="1"/>
  <c r="AN1227" i="37"/>
  <c r="AL1227" i="37"/>
  <c r="X1230" i="37"/>
  <c r="W1231" i="37"/>
  <c r="AE1230" i="37"/>
  <c r="AO1231" i="37" s="1"/>
  <c r="V1230" i="37"/>
  <c r="Z1230" i="37" s="1"/>
  <c r="AA1229" i="37"/>
  <c r="AB1229" i="37" s="1"/>
  <c r="AC1229" i="37" s="1"/>
  <c r="Y1229" i="37"/>
  <c r="AH1229" i="37"/>
  <c r="AG1229" i="37"/>
  <c r="AF1229" i="37"/>
  <c r="AL1228" i="37" l="1"/>
  <c r="AD1229" i="37"/>
  <c r="AF1230" i="37"/>
  <c r="AG1230" i="37"/>
  <c r="AH1230" i="37"/>
  <c r="AB1230" i="37"/>
  <c r="AC1230" i="37" s="1"/>
  <c r="X1231" i="37"/>
  <c r="V1231" i="37"/>
  <c r="W1232" i="37"/>
  <c r="AE1231" i="37"/>
  <c r="AO1232" i="37" s="1"/>
  <c r="AI1229" i="37"/>
  <c r="AJ1229" i="37" s="1"/>
  <c r="AK1229" i="37" s="1"/>
  <c r="AA1230" i="37"/>
  <c r="Y1230" i="37"/>
  <c r="AL1229" i="37" l="1"/>
  <c r="AN1229" i="37"/>
  <c r="Z1231" i="37"/>
  <c r="AD1230" i="37"/>
  <c r="X1232" i="37"/>
  <c r="W1233" i="37"/>
  <c r="AE1232" i="37"/>
  <c r="AO1233" i="37" s="1"/>
  <c r="V1232" i="37"/>
  <c r="Z1232" i="37" s="1"/>
  <c r="AA1231" i="37"/>
  <c r="Y1231" i="37"/>
  <c r="AI1230" i="37"/>
  <c r="AJ1230" i="37" s="1"/>
  <c r="AK1230" i="37" s="1"/>
  <c r="AH1231" i="37"/>
  <c r="AG1231" i="37"/>
  <c r="AI1231" i="37" s="1"/>
  <c r="AJ1231" i="37" s="1"/>
  <c r="AF1231" i="37"/>
  <c r="AL1230" i="37" l="1"/>
  <c r="AB1231" i="37"/>
  <c r="AC1231" i="37" s="1"/>
  <c r="AD1231" i="37" s="1"/>
  <c r="AN1230" i="37"/>
  <c r="AH1232" i="37"/>
  <c r="AG1232" i="37"/>
  <c r="AI1232" i="37" s="1"/>
  <c r="AJ1232" i="37" s="1"/>
  <c r="AF1232" i="37"/>
  <c r="AK1231" i="37"/>
  <c r="W1234" i="37"/>
  <c r="AE1233" i="37"/>
  <c r="AO1234" i="37" s="1"/>
  <c r="X1233" i="37"/>
  <c r="V1233" i="37"/>
  <c r="AA1232" i="37"/>
  <c r="AB1232" i="37" s="1"/>
  <c r="AC1232" i="37" s="1"/>
  <c r="Y1232" i="37"/>
  <c r="AD1232" i="37" l="1"/>
  <c r="AL1231" i="37"/>
  <c r="AN1231" i="37"/>
  <c r="AK1232" i="37"/>
  <c r="Y1233" i="37"/>
  <c r="AA1233" i="37"/>
  <c r="Z1233" i="37"/>
  <c r="AG1233" i="37"/>
  <c r="AF1233" i="37"/>
  <c r="AH1233" i="37"/>
  <c r="X1234" i="37"/>
  <c r="W1235" i="37"/>
  <c r="AE1234" i="37"/>
  <c r="AO1235" i="37" s="1"/>
  <c r="V1234" i="37"/>
  <c r="AB1233" i="37" l="1"/>
  <c r="AC1233" i="37" s="1"/>
  <c r="AD1233" i="37" s="1"/>
  <c r="AN1232" i="37"/>
  <c r="AL1232" i="37"/>
  <c r="X1235" i="37"/>
  <c r="AE1235" i="37"/>
  <c r="V1235" i="37"/>
  <c r="Z1235" i="37" s="1"/>
  <c r="AI1233" i="37"/>
  <c r="AJ1233" i="37" s="1"/>
  <c r="AK1233" i="37" s="1"/>
  <c r="AA1234" i="37"/>
  <c r="Y1234" i="37"/>
  <c r="Z1234" i="37"/>
  <c r="AH1234" i="37"/>
  <c r="AG1234" i="37"/>
  <c r="AF1234" i="37"/>
  <c r="AB1234" i="37" l="1"/>
  <c r="AC1234" i="37" s="1"/>
  <c r="AD1234" i="37" s="1"/>
  <c r="AL1233" i="37"/>
  <c r="AN1233" i="37"/>
  <c r="AI1234" i="37"/>
  <c r="AJ1234" i="37" s="1"/>
  <c r="AK1234" i="37" s="1"/>
  <c r="AG1235" i="37"/>
  <c r="AF1235" i="37"/>
  <c r="AH1235" i="37"/>
  <c r="AA1235" i="37"/>
  <c r="AB1235" i="37" s="1"/>
  <c r="AC1235" i="37" s="1"/>
  <c r="Y1235" i="37"/>
  <c r="AN1234" i="37" l="1"/>
  <c r="AL1234" i="37"/>
  <c r="AD1235" i="37"/>
  <c r="AI1235" i="37"/>
  <c r="AJ1235" i="37" s="1"/>
  <c r="AK1235" i="37" s="1"/>
  <c r="AL1235" i="37" l="1"/>
  <c r="AN1235" i="37"/>
  <c r="AO36" i="37" s="1"/>
  <c r="P36" i="6" s="1"/>
  <c r="P30" i="6" s="1"/>
  <c r="J34" i="6" l="1"/>
  <c r="J40" i="6" s="1"/>
  <c r="J82" i="6"/>
  <c r="L82" i="6"/>
  <c r="L34" i="6"/>
  <c r="L40" i="6" s="1"/>
  <c r="N82" i="6"/>
  <c r="K82" i="6"/>
  <c r="M82" i="6"/>
  <c r="K34" i="6"/>
  <c r="K40" i="6" s="1"/>
  <c r="N34" i="6"/>
  <c r="N40" i="6" s="1"/>
  <c r="M34" i="6"/>
  <c r="M40" i="6" s="1"/>
  <c r="M33" i="6"/>
  <c r="M39" i="6" s="1"/>
  <c r="M81" i="6"/>
  <c r="L81" i="6"/>
  <c r="N33" i="6"/>
  <c r="N39" i="6" s="1"/>
  <c r="K81" i="6"/>
  <c r="K33" i="6"/>
  <c r="K39" i="6" s="1"/>
  <c r="L33" i="6"/>
  <c r="L39" i="6" s="1"/>
  <c r="N81" i="6"/>
  <c r="I81" i="6"/>
  <c r="J33" i="6"/>
  <c r="J39" i="6" s="1"/>
  <c r="I82" i="6"/>
  <c r="I33" i="6"/>
  <c r="I34" i="6"/>
  <c r="J81" i="6"/>
  <c r="I88" i="6" l="1"/>
  <c r="I100" i="6" s="1"/>
  <c r="O82" i="6"/>
  <c r="I87" i="6"/>
  <c r="I105" i="6" s="1"/>
  <c r="O81" i="6"/>
  <c r="M88" i="6"/>
  <c r="M94" i="6" s="1"/>
  <c r="M110" i="6" s="1"/>
  <c r="K88" i="6"/>
  <c r="K100" i="6" s="1"/>
  <c r="L87" i="6"/>
  <c r="L93" i="6" s="1"/>
  <c r="L109" i="6" s="1"/>
  <c r="L88" i="6"/>
  <c r="L100" i="6" s="1"/>
  <c r="I39" i="6"/>
  <c r="O39" i="6" s="1"/>
  <c r="O33" i="6"/>
  <c r="K87" i="6"/>
  <c r="K93" i="6" s="1"/>
  <c r="K109" i="6" s="1"/>
  <c r="N88" i="6"/>
  <c r="N94" i="6" s="1"/>
  <c r="N110" i="6" s="1"/>
  <c r="M87" i="6"/>
  <c r="M99" i="6" s="1"/>
  <c r="N87" i="6"/>
  <c r="N99" i="6" s="1"/>
  <c r="J88" i="6"/>
  <c r="J94" i="6" s="1"/>
  <c r="J110" i="6" s="1"/>
  <c r="J87" i="6"/>
  <c r="J93" i="6" s="1"/>
  <c r="J109" i="6" s="1"/>
  <c r="O34" i="6"/>
  <c r="I40" i="6"/>
  <c r="O40" i="6" s="1"/>
  <c r="L105" i="6" l="1"/>
  <c r="L113" i="6" s="1"/>
  <c r="L117" i="6" s="1"/>
  <c r="I93" i="6"/>
  <c r="I109" i="6" s="1"/>
  <c r="I113" i="6" s="1"/>
  <c r="I117" i="6" s="1"/>
  <c r="L106" i="6"/>
  <c r="I106" i="6"/>
  <c r="N100" i="6"/>
  <c r="L94" i="6"/>
  <c r="L110" i="6" s="1"/>
  <c r="K105" i="6"/>
  <c r="K113" i="6" s="1"/>
  <c r="K117" i="6" s="1"/>
  <c r="M105" i="6"/>
  <c r="J106" i="6"/>
  <c r="J114" i="6" s="1"/>
  <c r="J118" i="6" s="1"/>
  <c r="J100" i="6"/>
  <c r="K99" i="6"/>
  <c r="J99" i="6"/>
  <c r="J105" i="6"/>
  <c r="J113" i="6" s="1"/>
  <c r="J117" i="6" s="1"/>
  <c r="L99" i="6"/>
  <c r="I99" i="6"/>
  <c r="O87" i="6"/>
  <c r="N105" i="6"/>
  <c r="N93" i="6"/>
  <c r="N109" i="6" s="1"/>
  <c r="K94" i="6"/>
  <c r="K110" i="6" s="1"/>
  <c r="M100" i="6"/>
  <c r="M93" i="6"/>
  <c r="M109" i="6" s="1"/>
  <c r="N106" i="6"/>
  <c r="N114" i="6" s="1"/>
  <c r="N118" i="6" s="1"/>
  <c r="K106" i="6"/>
  <c r="M106" i="6"/>
  <c r="M114" i="6" s="1"/>
  <c r="M118" i="6" s="1"/>
  <c r="I94" i="6"/>
  <c r="I110" i="6" s="1"/>
  <c r="O88" i="6"/>
  <c r="L114" i="6" l="1"/>
  <c r="L118" i="6" s="1"/>
  <c r="I114" i="6"/>
  <c r="I118" i="6" s="1"/>
  <c r="M113" i="6"/>
  <c r="M117" i="6" s="1"/>
  <c r="K114" i="6"/>
  <c r="K118" i="6" s="1"/>
  <c r="N113" i="6"/>
  <c r="N117" i="6" s="1"/>
  <c r="C79" i="6" l="1"/>
  <c r="E91" i="6" s="1"/>
  <c r="D97" i="6" l="1"/>
  <c r="G79" i="6"/>
  <c r="E97" i="6"/>
  <c r="D91" i="6"/>
  <c r="H79" i="6"/>
  <c r="E79" i="6"/>
  <c r="F79" i="6"/>
  <c r="D243" i="20" l="1"/>
  <c r="D244" i="20" s="1"/>
  <c r="D65" i="11" l="1"/>
  <c r="G158" i="4" l="1"/>
  <c r="F173" i="21"/>
  <c r="L118" i="11"/>
  <c r="F164" i="21"/>
  <c r="E152" i="21"/>
  <c r="E156" i="21" s="1"/>
  <c r="E153" i="21" l="1"/>
  <c r="E158" i="21" s="1"/>
  <c r="F189" i="21"/>
  <c r="G173" i="21"/>
  <c r="M118" i="11"/>
  <c r="G164" i="21"/>
  <c r="L171" i="11"/>
  <c r="Y171" i="11" s="1"/>
  <c r="F175" i="21"/>
  <c r="F178" i="21" s="1"/>
  <c r="E256" i="26" s="1"/>
  <c r="F165" i="21"/>
  <c r="F190" i="21" s="1"/>
  <c r="J151" i="21"/>
  <c r="AK118" i="11"/>
  <c r="Y118" i="11"/>
  <c r="F161" i="21"/>
  <c r="F181" i="21"/>
  <c r="H8" i="22" s="1"/>
  <c r="H11" i="22" s="1"/>
  <c r="L12" i="11"/>
  <c r="G161" i="21"/>
  <c r="E173" i="21"/>
  <c r="E164" i="21"/>
  <c r="K118" i="11"/>
  <c r="F203" i="21" l="1"/>
  <c r="H12" i="22"/>
  <c r="F202" i="21"/>
  <c r="K171" i="11"/>
  <c r="X171" i="11" s="1"/>
  <c r="AJ171" i="11"/>
  <c r="AO171" i="11" s="1"/>
  <c r="E161" i="21"/>
  <c r="E165" i="21"/>
  <c r="E233" i="21" s="1"/>
  <c r="E175" i="21"/>
  <c r="K14" i="11" s="1"/>
  <c r="J152" i="21"/>
  <c r="L17" i="11"/>
  <c r="H161" i="21"/>
  <c r="F182" i="21"/>
  <c r="H29" i="22" s="1"/>
  <c r="L14" i="11"/>
  <c r="D161" i="21"/>
  <c r="L22" i="11"/>
  <c r="L88" i="11"/>
  <c r="N118" i="11"/>
  <c r="H164" i="21"/>
  <c r="H173" i="21"/>
  <c r="AL118" i="11"/>
  <c r="Z118" i="11"/>
  <c r="F196" i="21"/>
  <c r="L58" i="8"/>
  <c r="L70" i="8"/>
  <c r="L64" i="8"/>
  <c r="AJ118" i="11"/>
  <c r="X118" i="11"/>
  <c r="I173" i="21"/>
  <c r="O118" i="11"/>
  <c r="I164" i="21"/>
  <c r="G189" i="21"/>
  <c r="G181" i="21"/>
  <c r="I8" i="22" s="1"/>
  <c r="I11" i="22" s="1"/>
  <c r="M12" i="11"/>
  <c r="E232" i="21"/>
  <c r="E189" i="21"/>
  <c r="K12" i="11"/>
  <c r="E181" i="21"/>
  <c r="G8" i="22" s="1"/>
  <c r="G11" i="22" s="1"/>
  <c r="F193" i="21"/>
  <c r="G165" i="21"/>
  <c r="G190" i="21" s="1"/>
  <c r="M171" i="11"/>
  <c r="Z171" i="11" s="1"/>
  <c r="G175" i="21"/>
  <c r="G178" i="21" s="1"/>
  <c r="F256" i="26" s="1"/>
  <c r="D173" i="21"/>
  <c r="J118" i="11"/>
  <c r="D164" i="21"/>
  <c r="J156" i="21"/>
  <c r="F168" i="21"/>
  <c r="F204" i="21" l="1"/>
  <c r="G203" i="21"/>
  <c r="H92" i="22"/>
  <c r="H32" i="22"/>
  <c r="H95" i="22" s="1"/>
  <c r="E257" i="26" s="1"/>
  <c r="I12" i="22"/>
  <c r="G12" i="22"/>
  <c r="G202" i="21"/>
  <c r="G204" i="21" s="1"/>
  <c r="E168" i="21"/>
  <c r="E178" i="21"/>
  <c r="E182" i="21"/>
  <c r="J153" i="21"/>
  <c r="E190" i="21"/>
  <c r="D233" i="21" s="1"/>
  <c r="G168" i="21"/>
  <c r="E236" i="21"/>
  <c r="E237" i="21" s="1"/>
  <c r="G193" i="21"/>
  <c r="N12" i="11"/>
  <c r="H181" i="21"/>
  <c r="J8" i="22" s="1"/>
  <c r="J11" i="22" s="1"/>
  <c r="K58" i="8"/>
  <c r="G232" i="21"/>
  <c r="K70" i="8"/>
  <c r="E196" i="21"/>
  <c r="K64" i="8"/>
  <c r="J171" i="11"/>
  <c r="W171" i="11" s="1"/>
  <c r="D165" i="21"/>
  <c r="J158" i="21"/>
  <c r="J161" i="21" s="1"/>
  <c r="D175" i="21"/>
  <c r="F197" i="21"/>
  <c r="L59" i="8"/>
  <c r="L65" i="8"/>
  <c r="L71" i="8"/>
  <c r="L78" i="8" s="1"/>
  <c r="AM118" i="11"/>
  <c r="AA118" i="11"/>
  <c r="D189" i="21"/>
  <c r="E210" i="21"/>
  <c r="J164" i="21"/>
  <c r="E221" i="21"/>
  <c r="K22" i="11"/>
  <c r="K88" i="11"/>
  <c r="L24" i="11"/>
  <c r="L27" i="11" s="1"/>
  <c r="L138" i="11"/>
  <c r="M22" i="11"/>
  <c r="M88" i="11"/>
  <c r="K138" i="11"/>
  <c r="K24" i="11"/>
  <c r="F185" i="21"/>
  <c r="J12" i="11"/>
  <c r="J173" i="21"/>
  <c r="D181" i="21"/>
  <c r="F8" i="22" s="1"/>
  <c r="I189" i="21"/>
  <c r="AB118" i="11"/>
  <c r="AN118" i="11"/>
  <c r="H23" i="22"/>
  <c r="S23" i="22" s="1"/>
  <c r="H19" i="22"/>
  <c r="S19" i="22" s="1"/>
  <c r="H15" i="22"/>
  <c r="S15" i="22" s="1"/>
  <c r="H22" i="22"/>
  <c r="S22" i="22" s="1"/>
  <c r="H25" i="22"/>
  <c r="S25" i="22" s="1"/>
  <c r="H17" i="22"/>
  <c r="S17" i="22" s="1"/>
  <c r="H21" i="22"/>
  <c r="S21" i="22" s="1"/>
  <c r="H16" i="22"/>
  <c r="S16" i="22" s="1"/>
  <c r="H24" i="22"/>
  <c r="S24" i="22" s="1"/>
  <c r="H27" i="22"/>
  <c r="S27" i="22" s="1"/>
  <c r="H26" i="22"/>
  <c r="S26" i="22" s="1"/>
  <c r="H18" i="22"/>
  <c r="S18" i="22" s="1"/>
  <c r="H20" i="22"/>
  <c r="S20" i="22" s="1"/>
  <c r="L93" i="11"/>
  <c r="Y88" i="11"/>
  <c r="L135" i="11"/>
  <c r="L110" i="11"/>
  <c r="AK88" i="11"/>
  <c r="L103" i="11"/>
  <c r="P118" i="11"/>
  <c r="W118" i="11"/>
  <c r="AI118" i="11"/>
  <c r="H189" i="21"/>
  <c r="I165" i="21"/>
  <c r="I190" i="21" s="1"/>
  <c r="I175" i="21"/>
  <c r="I178" i="21" s="1"/>
  <c r="H256" i="26" s="1"/>
  <c r="O171" i="11"/>
  <c r="AB171" i="11" s="1"/>
  <c r="M17" i="11"/>
  <c r="N171" i="11"/>
  <c r="AA171" i="11" s="1"/>
  <c r="H175" i="21"/>
  <c r="H178" i="21" s="1"/>
  <c r="G256" i="26" s="1"/>
  <c r="H165" i="21"/>
  <c r="H190" i="21" s="1"/>
  <c r="M14" i="11"/>
  <c r="G182" i="21"/>
  <c r="I29" i="22" s="1"/>
  <c r="M58" i="8"/>
  <c r="G196" i="21"/>
  <c r="M64" i="8"/>
  <c r="M70" i="8"/>
  <c r="I161" i="21"/>
  <c r="D232" i="21"/>
  <c r="I181" i="21"/>
  <c r="K8" i="22" s="1"/>
  <c r="K11" i="22" s="1"/>
  <c r="O12" i="11"/>
  <c r="H10" i="22"/>
  <c r="K17" i="11" l="1"/>
  <c r="D256" i="26"/>
  <c r="I92" i="22"/>
  <c r="I32" i="22"/>
  <c r="I95" i="22" s="1"/>
  <c r="F257" i="26" s="1"/>
  <c r="K12" i="22"/>
  <c r="H203" i="21"/>
  <c r="E203" i="21"/>
  <c r="I203" i="21"/>
  <c r="J12" i="22"/>
  <c r="F11" i="22"/>
  <c r="F15" i="22"/>
  <c r="H202" i="21"/>
  <c r="I202" i="21"/>
  <c r="E202" i="21"/>
  <c r="L80" i="8"/>
  <c r="K65" i="8"/>
  <c r="G29" i="22"/>
  <c r="H31" i="22"/>
  <c r="K12" i="6" s="1"/>
  <c r="H46" i="22"/>
  <c r="AC171" i="11"/>
  <c r="K59" i="8"/>
  <c r="E197" i="21"/>
  <c r="K71" i="8"/>
  <c r="K79" i="8" s="1"/>
  <c r="E185" i="21"/>
  <c r="E193" i="21"/>
  <c r="G233" i="21"/>
  <c r="G236" i="21" s="1"/>
  <c r="G237" i="21" s="1"/>
  <c r="D236" i="21"/>
  <c r="D237" i="21" s="1"/>
  <c r="L79" i="8"/>
  <c r="H168" i="21"/>
  <c r="AO118" i="11"/>
  <c r="I193" i="21"/>
  <c r="P171" i="11"/>
  <c r="I168" i="21"/>
  <c r="H170" i="21"/>
  <c r="N17" i="11"/>
  <c r="J146" i="21"/>
  <c r="G146" i="21"/>
  <c r="F170" i="21"/>
  <c r="F146" i="21"/>
  <c r="E146" i="21"/>
  <c r="E170" i="21"/>
  <c r="D146" i="21"/>
  <c r="H146" i="21"/>
  <c r="G170" i="21"/>
  <c r="L19" i="11"/>
  <c r="E149" i="26" s="1"/>
  <c r="E148" i="26" s="1"/>
  <c r="I170" i="21"/>
  <c r="O17" i="11"/>
  <c r="D210" i="21"/>
  <c r="J189" i="21"/>
  <c r="D221" i="21"/>
  <c r="Y93" i="11"/>
  <c r="Y110" i="11"/>
  <c r="Y103" i="11"/>
  <c r="G16" i="22"/>
  <c r="R16" i="22" s="1"/>
  <c r="G27" i="22"/>
  <c r="R27" i="22" s="1"/>
  <c r="G24" i="22"/>
  <c r="R24" i="22" s="1"/>
  <c r="G26" i="22"/>
  <c r="R26" i="22" s="1"/>
  <c r="G17" i="22"/>
  <c r="R17" i="22" s="1"/>
  <c r="G20" i="22"/>
  <c r="R20" i="22" s="1"/>
  <c r="G21" i="22"/>
  <c r="R21" i="22" s="1"/>
  <c r="G23" i="22"/>
  <c r="R23" i="22" s="1"/>
  <c r="G18" i="22"/>
  <c r="R18" i="22" s="1"/>
  <c r="G25" i="22"/>
  <c r="R25" i="22" s="1"/>
  <c r="G22" i="22"/>
  <c r="R22" i="22" s="1"/>
  <c r="G19" i="22"/>
  <c r="R19" i="22" s="1"/>
  <c r="G15" i="22"/>
  <c r="R15" i="22" s="1"/>
  <c r="I16" i="22"/>
  <c r="T16" i="22" s="1"/>
  <c r="I19" i="22"/>
  <c r="T19" i="22" s="1"/>
  <c r="I17" i="22"/>
  <c r="T17" i="22" s="1"/>
  <c r="I25" i="22"/>
  <c r="T25" i="22" s="1"/>
  <c r="I18" i="22"/>
  <c r="T18" i="22" s="1"/>
  <c r="I23" i="22"/>
  <c r="T23" i="22" s="1"/>
  <c r="I20" i="22"/>
  <c r="T20" i="22" s="1"/>
  <c r="I21" i="22"/>
  <c r="T21" i="22" s="1"/>
  <c r="I27" i="22"/>
  <c r="T27" i="22" s="1"/>
  <c r="I26" i="22"/>
  <c r="T26" i="22" s="1"/>
  <c r="I24" i="22"/>
  <c r="T24" i="22" s="1"/>
  <c r="I15" i="22"/>
  <c r="T15" i="22" s="1"/>
  <c r="I22" i="22"/>
  <c r="T22" i="22" s="1"/>
  <c r="M59" i="8"/>
  <c r="G197" i="21"/>
  <c r="M65" i="8"/>
  <c r="M71" i="8"/>
  <c r="M78" i="8" s="1"/>
  <c r="K11" i="6"/>
  <c r="S10" i="22"/>
  <c r="E91" i="26" s="1"/>
  <c r="K27" i="11"/>
  <c r="I146" i="21"/>
  <c r="K143" i="11"/>
  <c r="K188" i="11"/>
  <c r="X138" i="11"/>
  <c r="AJ138" i="11"/>
  <c r="K162" i="11"/>
  <c r="H292" i="20" s="1"/>
  <c r="K155" i="11"/>
  <c r="M93" i="11"/>
  <c r="AL88" i="11"/>
  <c r="M103" i="11"/>
  <c r="M135" i="11"/>
  <c r="Z88" i="11"/>
  <c r="M110" i="11"/>
  <c r="I182" i="21"/>
  <c r="O14" i="11"/>
  <c r="AK93" i="11"/>
  <c r="AK110" i="11"/>
  <c r="AK103" i="11"/>
  <c r="J181" i="21"/>
  <c r="L8" i="22" s="1"/>
  <c r="J70" i="8"/>
  <c r="G221" i="21"/>
  <c r="G210" i="21"/>
  <c r="D196" i="21"/>
  <c r="J64" i="8"/>
  <c r="J58" i="8"/>
  <c r="N70" i="8"/>
  <c r="N64" i="8"/>
  <c r="H196" i="21"/>
  <c r="N58" i="8"/>
  <c r="J175" i="21"/>
  <c r="P14" i="11" s="1"/>
  <c r="P138" i="11" s="1"/>
  <c r="D182" i="21"/>
  <c r="J14" i="11"/>
  <c r="E211" i="21"/>
  <c r="E214" i="21" s="1"/>
  <c r="E215" i="21" s="1"/>
  <c r="J165" i="21"/>
  <c r="D190" i="21"/>
  <c r="D193" i="21" s="1"/>
  <c r="E222" i="21"/>
  <c r="E225" i="21" s="1"/>
  <c r="E226" i="21" s="1"/>
  <c r="F200" i="21"/>
  <c r="F89" i="21" s="1"/>
  <c r="F91" i="21" s="1"/>
  <c r="O88" i="11"/>
  <c r="O22" i="11"/>
  <c r="I291" i="20"/>
  <c r="D178" i="21"/>
  <c r="C256" i="26" s="1"/>
  <c r="D168" i="21"/>
  <c r="H48" i="22"/>
  <c r="H36" i="22"/>
  <c r="H40" i="22"/>
  <c r="H41" i="22"/>
  <c r="H39" i="22"/>
  <c r="H37" i="22"/>
  <c r="H42" i="22"/>
  <c r="H43" i="22"/>
  <c r="H47" i="22"/>
  <c r="F232" i="21"/>
  <c r="G10" i="22"/>
  <c r="J22" i="11"/>
  <c r="J88" i="11"/>
  <c r="L143" i="11"/>
  <c r="AK138" i="11"/>
  <c r="L188" i="11"/>
  <c r="Y138" i="11"/>
  <c r="L155" i="11"/>
  <c r="L162" i="11"/>
  <c r="I292" i="20" s="1"/>
  <c r="AC118" i="11"/>
  <c r="M24" i="11"/>
  <c r="M27" i="11" s="1"/>
  <c r="M138" i="11"/>
  <c r="K93" i="11"/>
  <c r="X88" i="11"/>
  <c r="K135" i="11"/>
  <c r="K110" i="11"/>
  <c r="K103" i="11"/>
  <c r="AJ88" i="11"/>
  <c r="G185" i="21"/>
  <c r="N14" i="11"/>
  <c r="H182" i="21"/>
  <c r="J29" i="22" s="1"/>
  <c r="I196" i="21"/>
  <c r="O64" i="8"/>
  <c r="O58" i="8"/>
  <c r="O70" i="8"/>
  <c r="I10" i="22"/>
  <c r="H193" i="21"/>
  <c r="AK135" i="11"/>
  <c r="Y135" i="11"/>
  <c r="P12" i="11"/>
  <c r="P88" i="11" s="1"/>
  <c r="N88" i="11"/>
  <c r="N22" i="11"/>
  <c r="J193" i="4" l="1"/>
  <c r="F193" i="4" s="1"/>
  <c r="E204" i="21"/>
  <c r="D203" i="21"/>
  <c r="J203" i="21" s="1"/>
  <c r="H204" i="21"/>
  <c r="I204" i="21"/>
  <c r="J92" i="22"/>
  <c r="J32" i="22"/>
  <c r="J95" i="22" s="1"/>
  <c r="G257" i="26" s="1"/>
  <c r="L11" i="22"/>
  <c r="L12" i="22" s="1"/>
  <c r="F12" i="22"/>
  <c r="G92" i="22"/>
  <c r="G32" i="22"/>
  <c r="G95" i="22" s="1"/>
  <c r="D257" i="26" s="1"/>
  <c r="D202" i="21"/>
  <c r="D204" i="21" s="1"/>
  <c r="F10" i="22"/>
  <c r="I11" i="6" s="1"/>
  <c r="L81" i="8"/>
  <c r="K18" i="6"/>
  <c r="K24" i="6"/>
  <c r="L34" i="8" s="1"/>
  <c r="K17" i="6"/>
  <c r="K23" i="6"/>
  <c r="L33" i="8" s="1"/>
  <c r="M80" i="8"/>
  <c r="K80" i="8"/>
  <c r="J168" i="21"/>
  <c r="H94" i="22"/>
  <c r="H33" i="22"/>
  <c r="H96" i="22" s="1"/>
  <c r="K61" i="11"/>
  <c r="K80" i="11" s="1"/>
  <c r="S31" i="22"/>
  <c r="E92" i="26" s="1"/>
  <c r="L61" i="11"/>
  <c r="L80" i="11" s="1"/>
  <c r="D185" i="21"/>
  <c r="F29" i="22"/>
  <c r="I185" i="21"/>
  <c r="K29" i="22"/>
  <c r="F92" i="21"/>
  <c r="F93" i="21"/>
  <c r="H45" i="22"/>
  <c r="S45" i="22" s="1"/>
  <c r="S107" i="22" s="1"/>
  <c r="H38" i="22"/>
  <c r="S38" i="22" s="1"/>
  <c r="S100" i="22" s="1"/>
  <c r="H44" i="22"/>
  <c r="H106" i="22" s="1"/>
  <c r="F233" i="21"/>
  <c r="G36" i="22"/>
  <c r="R36" i="22" s="1"/>
  <c r="R98" i="22" s="1"/>
  <c r="I31" i="22"/>
  <c r="T31" i="22" s="1"/>
  <c r="F92" i="26" s="1"/>
  <c r="I43" i="22"/>
  <c r="E200" i="21"/>
  <c r="E89" i="21" s="1"/>
  <c r="E91" i="21" s="1"/>
  <c r="G31" i="22"/>
  <c r="R31" i="22" s="1"/>
  <c r="D92" i="26" s="1"/>
  <c r="K78" i="8"/>
  <c r="P64" i="8"/>
  <c r="G200" i="21"/>
  <c r="G89" i="21" s="1"/>
  <c r="G91" i="21" s="1"/>
  <c r="L58" i="11"/>
  <c r="M79" i="8"/>
  <c r="P58" i="8"/>
  <c r="S46" i="22"/>
  <c r="S108" i="22" s="1"/>
  <c r="H108" i="22"/>
  <c r="M19" i="11"/>
  <c r="F149" i="26" s="1"/>
  <c r="F148" i="26" s="1"/>
  <c r="O59" i="8"/>
  <c r="I197" i="21"/>
  <c r="O65" i="8"/>
  <c r="O71" i="8"/>
  <c r="O78" i="8" s="1"/>
  <c r="F16" i="22"/>
  <c r="F24" i="22"/>
  <c r="F18" i="22"/>
  <c r="F22" i="22"/>
  <c r="F27" i="22"/>
  <c r="F26" i="22"/>
  <c r="F25" i="22"/>
  <c r="F17" i="22"/>
  <c r="F21" i="22"/>
  <c r="F20" i="22"/>
  <c r="F19" i="22"/>
  <c r="F23" i="22"/>
  <c r="H105" i="22"/>
  <c r="S43" i="22"/>
  <c r="S105" i="22" s="1"/>
  <c r="H197" i="21"/>
  <c r="N65" i="8"/>
  <c r="N71" i="8"/>
  <c r="N78" i="8" s="1"/>
  <c r="N59" i="8"/>
  <c r="O93" i="11"/>
  <c r="O135" i="11"/>
  <c r="O103" i="11"/>
  <c r="O110" i="11"/>
  <c r="AN88" i="11"/>
  <c r="AB88" i="11"/>
  <c r="Z93" i="11"/>
  <c r="Z110" i="11"/>
  <c r="Z103" i="11"/>
  <c r="N138" i="11"/>
  <c r="N24" i="11"/>
  <c r="N27" i="11" s="1"/>
  <c r="H104" i="22"/>
  <c r="S42" i="22"/>
  <c r="S104" i="22" s="1"/>
  <c r="F210" i="21"/>
  <c r="J196" i="21"/>
  <c r="F221" i="21"/>
  <c r="AL135" i="11"/>
  <c r="Z135" i="11"/>
  <c r="AJ143" i="11"/>
  <c r="AJ162" i="11"/>
  <c r="AJ155" i="11"/>
  <c r="K129" i="6"/>
  <c r="J93" i="11"/>
  <c r="AI88" i="11"/>
  <c r="W88" i="11"/>
  <c r="J91" i="11"/>
  <c r="J94" i="11" s="1"/>
  <c r="J96" i="11" s="1"/>
  <c r="J135" i="11"/>
  <c r="J103" i="11"/>
  <c r="J110" i="11"/>
  <c r="J92" i="11"/>
  <c r="S40" i="22"/>
  <c r="S102" i="22" s="1"/>
  <c r="H102" i="22"/>
  <c r="D222" i="21"/>
  <c r="D225" i="21" s="1"/>
  <c r="D226" i="21" s="1"/>
  <c r="J190" i="21"/>
  <c r="J193" i="21" s="1"/>
  <c r="D211" i="21"/>
  <c r="D214" i="21" s="1"/>
  <c r="D215" i="21" s="1"/>
  <c r="K10" i="22"/>
  <c r="S41" i="22"/>
  <c r="S103" i="22" s="1"/>
  <c r="H103" i="22"/>
  <c r="X93" i="11"/>
  <c r="X110" i="11"/>
  <c r="X103" i="11"/>
  <c r="J11" i="6"/>
  <c r="R10" i="22"/>
  <c r="D91" i="26" s="1"/>
  <c r="H110" i="22"/>
  <c r="S48" i="22"/>
  <c r="S110" i="22" s="1"/>
  <c r="E230" i="26" s="1"/>
  <c r="E233" i="26" s="1"/>
  <c r="E232" i="26" s="1"/>
  <c r="H185" i="21"/>
  <c r="J178" i="21"/>
  <c r="K270" i="26" s="1"/>
  <c r="AJ93" i="11"/>
  <c r="AJ110" i="11"/>
  <c r="AJ103" i="11"/>
  <c r="AK188" i="11"/>
  <c r="Y188" i="11"/>
  <c r="J25" i="22"/>
  <c r="U25" i="22" s="1"/>
  <c r="J27" i="22"/>
  <c r="U27" i="22" s="1"/>
  <c r="J23" i="22"/>
  <c r="U23" i="22" s="1"/>
  <c r="J21" i="22"/>
  <c r="U21" i="22" s="1"/>
  <c r="J22" i="22"/>
  <c r="U22" i="22" s="1"/>
  <c r="J16" i="22"/>
  <c r="U16" i="22" s="1"/>
  <c r="J17" i="22"/>
  <c r="U17" i="22" s="1"/>
  <c r="J18" i="22"/>
  <c r="U18" i="22" s="1"/>
  <c r="J15" i="22"/>
  <c r="U15" i="22" s="1"/>
  <c r="J26" i="22"/>
  <c r="U26" i="22" s="1"/>
  <c r="J20" i="22"/>
  <c r="U20" i="22" s="1"/>
  <c r="J19" i="22"/>
  <c r="U19" i="22" s="1"/>
  <c r="J24" i="22"/>
  <c r="U24" i="22" s="1"/>
  <c r="AL93" i="11"/>
  <c r="AL103" i="11"/>
  <c r="AL110" i="11"/>
  <c r="X143" i="11"/>
  <c r="X162" i="11"/>
  <c r="X155" i="11"/>
  <c r="P22" i="11"/>
  <c r="N93" i="11"/>
  <c r="AA88" i="11"/>
  <c r="N110" i="11"/>
  <c r="N103" i="11"/>
  <c r="AM88" i="11"/>
  <c r="N135" i="11"/>
  <c r="K15" i="22"/>
  <c r="V15" i="22" s="1"/>
  <c r="K22" i="22"/>
  <c r="V22" i="22" s="1"/>
  <c r="K16" i="22"/>
  <c r="V16" i="22" s="1"/>
  <c r="K21" i="22"/>
  <c r="V21" i="22" s="1"/>
  <c r="K20" i="22"/>
  <c r="V20" i="22" s="1"/>
  <c r="K23" i="22"/>
  <c r="V23" i="22" s="1"/>
  <c r="K24" i="22"/>
  <c r="V24" i="22" s="1"/>
  <c r="K17" i="22"/>
  <c r="V17" i="22" s="1"/>
  <c r="K19" i="22"/>
  <c r="V19" i="22" s="1"/>
  <c r="K27" i="22"/>
  <c r="V27" i="22" s="1"/>
  <c r="K18" i="22"/>
  <c r="V18" i="22" s="1"/>
  <c r="K26" i="22"/>
  <c r="V26" i="22" s="1"/>
  <c r="K25" i="22"/>
  <c r="V25" i="22" s="1"/>
  <c r="S37" i="22"/>
  <c r="S99" i="22" s="1"/>
  <c r="H99" i="22"/>
  <c r="D170" i="21"/>
  <c r="G133" i="20"/>
  <c r="J17" i="11"/>
  <c r="J24" i="11"/>
  <c r="J138" i="11"/>
  <c r="X188" i="11"/>
  <c r="AJ188" i="11"/>
  <c r="K19" i="11"/>
  <c r="D149" i="26" s="1"/>
  <c r="D148" i="26" s="1"/>
  <c r="K58" i="11"/>
  <c r="H291" i="20"/>
  <c r="AC138" i="11"/>
  <c r="AO138" i="11"/>
  <c r="X135" i="11"/>
  <c r="AJ135" i="11"/>
  <c r="S47" i="22"/>
  <c r="S109" i="22" s="1"/>
  <c r="H109" i="22"/>
  <c r="J291" i="20"/>
  <c r="S8" i="22"/>
  <c r="J10" i="22"/>
  <c r="T10" i="22"/>
  <c r="F91" i="26" s="1"/>
  <c r="L11" i="6"/>
  <c r="H98" i="22"/>
  <c r="S36" i="22"/>
  <c r="S98" i="22" s="1"/>
  <c r="Y143" i="11"/>
  <c r="Y155" i="11"/>
  <c r="Y162" i="11"/>
  <c r="Y58" i="11" s="1"/>
  <c r="AO88" i="11"/>
  <c r="AC88" i="11"/>
  <c r="M143" i="11"/>
  <c r="M155" i="11"/>
  <c r="M162" i="11"/>
  <c r="J292" i="20" s="1"/>
  <c r="Z138" i="11"/>
  <c r="M188" i="11"/>
  <c r="AL138" i="11"/>
  <c r="AK143" i="11"/>
  <c r="AK162" i="11"/>
  <c r="AK58" i="11" s="1"/>
  <c r="AK155" i="11"/>
  <c r="H101" i="22"/>
  <c r="S39" i="22"/>
  <c r="S101" i="22" s="1"/>
  <c r="J59" i="8"/>
  <c r="D197" i="21"/>
  <c r="G222" i="21"/>
  <c r="G225" i="21" s="1"/>
  <c r="G226" i="21" s="1"/>
  <c r="J65" i="8"/>
  <c r="G211" i="21"/>
  <c r="G214" i="21" s="1"/>
  <c r="G215" i="21" s="1"/>
  <c r="J182" i="21"/>
  <c r="L29" i="22" s="1"/>
  <c r="J71" i="8"/>
  <c r="J79" i="8" s="1"/>
  <c r="P70" i="8"/>
  <c r="O24" i="11"/>
  <c r="O27" i="11" s="1"/>
  <c r="O138" i="11"/>
  <c r="I41" i="22"/>
  <c r="I38" i="22"/>
  <c r="I36" i="22"/>
  <c r="I39" i="22"/>
  <c r="J202" i="21" l="1"/>
  <c r="J204" i="21" s="1"/>
  <c r="K92" i="22"/>
  <c r="K32" i="22"/>
  <c r="K95" i="22" s="1"/>
  <c r="H257" i="26" s="1"/>
  <c r="F92" i="22"/>
  <c r="F32" i="22"/>
  <c r="J210" i="21"/>
  <c r="H210" i="21"/>
  <c r="I210" i="21"/>
  <c r="E207" i="26"/>
  <c r="E221" i="26"/>
  <c r="E159" i="26"/>
  <c r="E162" i="26" s="1"/>
  <c r="E161" i="26" s="1"/>
  <c r="L8" i="11"/>
  <c r="M81" i="8"/>
  <c r="M8" i="11" s="1"/>
  <c r="K81" i="8"/>
  <c r="K8" i="11" s="1"/>
  <c r="O80" i="8"/>
  <c r="J23" i="6"/>
  <c r="K33" i="8" s="1"/>
  <c r="J17" i="6"/>
  <c r="L17" i="6"/>
  <c r="L23" i="6"/>
  <c r="M33" i="8" s="1"/>
  <c r="J80" i="8"/>
  <c r="N80" i="8"/>
  <c r="G193" i="4"/>
  <c r="AJ61" i="11"/>
  <c r="AJ80" i="11" s="1"/>
  <c r="X61" i="11"/>
  <c r="X80" i="11" s="1"/>
  <c r="AK61" i="11"/>
  <c r="AK80" i="11" s="1"/>
  <c r="Y61" i="11"/>
  <c r="Y80" i="11" s="1"/>
  <c r="M61" i="11"/>
  <c r="M80" i="11" s="1"/>
  <c r="H100" i="22"/>
  <c r="H107" i="22"/>
  <c r="F236" i="21"/>
  <c r="F237" i="21" s="1"/>
  <c r="F87" i="21"/>
  <c r="S44" i="22"/>
  <c r="S106" i="22" s="1"/>
  <c r="S117" i="22" s="1"/>
  <c r="L12" i="6"/>
  <c r="E92" i="21"/>
  <c r="E93" i="21"/>
  <c r="I94" i="22"/>
  <c r="I33" i="22"/>
  <c r="I96" i="22" s="1"/>
  <c r="G41" i="22"/>
  <c r="R41" i="22" s="1"/>
  <c r="R103" i="22" s="1"/>
  <c r="G92" i="21"/>
  <c r="G93" i="21"/>
  <c r="I40" i="22"/>
  <c r="I102" i="22" s="1"/>
  <c r="I47" i="22"/>
  <c r="T47" i="22" s="1"/>
  <c r="T109" i="22" s="1"/>
  <c r="I44" i="22"/>
  <c r="T44" i="22" s="1"/>
  <c r="T106" i="22" s="1"/>
  <c r="I37" i="22"/>
  <c r="T37" i="22" s="1"/>
  <c r="T99" i="22" s="1"/>
  <c r="I42" i="22"/>
  <c r="I104" i="22" s="1"/>
  <c r="I48" i="22"/>
  <c r="T48" i="22" s="1"/>
  <c r="T110" i="22" s="1"/>
  <c r="F230" i="26" s="1"/>
  <c r="F233" i="26" s="1"/>
  <c r="F232" i="26" s="1"/>
  <c r="I45" i="22"/>
  <c r="I107" i="22" s="1"/>
  <c r="G40" i="22"/>
  <c r="R40" i="22" s="1"/>
  <c r="R102" i="22" s="1"/>
  <c r="I46" i="22"/>
  <c r="I108" i="22" s="1"/>
  <c r="G45" i="22"/>
  <c r="R45" i="22" s="1"/>
  <c r="R107" i="22" s="1"/>
  <c r="G48" i="22"/>
  <c r="R48" i="22" s="1"/>
  <c r="R110" i="22" s="1"/>
  <c r="D230" i="26" s="1"/>
  <c r="G47" i="22"/>
  <c r="R47" i="22" s="1"/>
  <c r="R109" i="22" s="1"/>
  <c r="G43" i="22"/>
  <c r="R43" i="22" s="1"/>
  <c r="R105" i="22" s="1"/>
  <c r="G42" i="22"/>
  <c r="G104" i="22" s="1"/>
  <c r="G37" i="22"/>
  <c r="R37" i="22" s="1"/>
  <c r="R99" i="22" s="1"/>
  <c r="G39" i="22"/>
  <c r="R39" i="22" s="1"/>
  <c r="R101" i="22" s="1"/>
  <c r="G38" i="22"/>
  <c r="R38" i="22" s="1"/>
  <c r="R100" i="22" s="1"/>
  <c r="G44" i="22"/>
  <c r="G46" i="22"/>
  <c r="J31" i="22"/>
  <c r="M12" i="6" s="1"/>
  <c r="J37" i="22"/>
  <c r="K31" i="22"/>
  <c r="V31" i="22" s="1"/>
  <c r="H92" i="26" s="1"/>
  <c r="K40" i="22"/>
  <c r="G98" i="22"/>
  <c r="G94" i="22"/>
  <c r="J12" i="6"/>
  <c r="G33" i="22"/>
  <c r="G96" i="22" s="1"/>
  <c r="H200" i="21"/>
  <c r="H89" i="21" s="1"/>
  <c r="H91" i="21" s="1"/>
  <c r="P65" i="8"/>
  <c r="O79" i="8"/>
  <c r="I295" i="20"/>
  <c r="N79" i="8"/>
  <c r="P59" i="8"/>
  <c r="E95" i="26"/>
  <c r="K130" i="6" s="1"/>
  <c r="J78" i="8"/>
  <c r="P78" i="8" s="1"/>
  <c r="I200" i="21"/>
  <c r="I89" i="21" s="1"/>
  <c r="I91" i="21" s="1"/>
  <c r="M58" i="11"/>
  <c r="J295" i="20" s="1"/>
  <c r="P24" i="11"/>
  <c r="P27" i="11" s="1"/>
  <c r="O19" i="11"/>
  <c r="H149" i="26" s="1"/>
  <c r="H148" i="26" s="1"/>
  <c r="N19" i="11"/>
  <c r="G149" i="26" s="1"/>
  <c r="G148" i="26" s="1"/>
  <c r="J97" i="11"/>
  <c r="J134" i="11"/>
  <c r="J130" i="11"/>
  <c r="J117" i="11"/>
  <c r="L10" i="22"/>
  <c r="L291" i="20"/>
  <c r="Q27" i="22"/>
  <c r="W27" i="22" s="1"/>
  <c r="L27" i="22"/>
  <c r="I103" i="22"/>
  <c r="T41" i="22"/>
  <c r="T103" i="22" s="1"/>
  <c r="W93" i="11"/>
  <c r="W91" i="11"/>
  <c r="W94" i="11" s="1"/>
  <c r="W96" i="11" s="1"/>
  <c r="W92" i="11"/>
  <c r="W103" i="11"/>
  <c r="W110" i="11"/>
  <c r="L23" i="22"/>
  <c r="Q23" i="22"/>
  <c r="W23" i="22" s="1"/>
  <c r="Q22" i="22"/>
  <c r="W22" i="22" s="1"/>
  <c r="L22" i="22"/>
  <c r="AA135" i="11"/>
  <c r="AM135" i="11"/>
  <c r="J27" i="11"/>
  <c r="J170" i="21"/>
  <c r="P17" i="11"/>
  <c r="AI93" i="11"/>
  <c r="AI110" i="11"/>
  <c r="AI91" i="11"/>
  <c r="AI94" i="11" s="1"/>
  <c r="AI96" i="11" s="1"/>
  <c r="AI103" i="11"/>
  <c r="AI92" i="11"/>
  <c r="K21" i="6"/>
  <c r="Q10" i="22"/>
  <c r="Q19" i="22"/>
  <c r="W19" i="22" s="1"/>
  <c r="L19" i="22"/>
  <c r="Q18" i="22"/>
  <c r="W18" i="22" s="1"/>
  <c r="L18" i="22"/>
  <c r="J143" i="11"/>
  <c r="AI138" i="11"/>
  <c r="W138" i="11"/>
  <c r="J162" i="11"/>
  <c r="J58" i="11" s="1"/>
  <c r="J188" i="11"/>
  <c r="J141" i="11"/>
  <c r="J144" i="11" s="1"/>
  <c r="J146" i="11" s="1"/>
  <c r="J155" i="11"/>
  <c r="J142" i="11"/>
  <c r="N11" i="6"/>
  <c r="V10" i="22"/>
  <c r="H91" i="26" s="1"/>
  <c r="AN135" i="11"/>
  <c r="AB135" i="11"/>
  <c r="Q20" i="22"/>
  <c r="W20" i="22" s="1"/>
  <c r="L20" i="22"/>
  <c r="Q24" i="22"/>
  <c r="W24" i="22" s="1"/>
  <c r="L24" i="22"/>
  <c r="O143" i="11"/>
  <c r="AN138" i="11"/>
  <c r="O188" i="11"/>
  <c r="O162" i="11"/>
  <c r="L292" i="20" s="1"/>
  <c r="AB138" i="11"/>
  <c r="O155" i="11"/>
  <c r="AL143" i="11"/>
  <c r="AL155" i="11"/>
  <c r="AL162" i="11"/>
  <c r="AL58" i="11" s="1"/>
  <c r="H295" i="20"/>
  <c r="AM93" i="11"/>
  <c r="AM103" i="11"/>
  <c r="AM110" i="11"/>
  <c r="Z188" i="11"/>
  <c r="AL188" i="11"/>
  <c r="M11" i="6"/>
  <c r="U10" i="22"/>
  <c r="G91" i="26" s="1"/>
  <c r="X58" i="11"/>
  <c r="K92" i="11"/>
  <c r="K91" i="11"/>
  <c r="K94" i="11" s="1"/>
  <c r="K96" i="11" s="1"/>
  <c r="K31" i="6"/>
  <c r="K37" i="6" s="1"/>
  <c r="L95" i="8"/>
  <c r="K79" i="6"/>
  <c r="K85" i="6" s="1"/>
  <c r="L21" i="22"/>
  <c r="Q21" i="22"/>
  <c r="W21" i="22" s="1"/>
  <c r="L15" i="22"/>
  <c r="Q15" i="22"/>
  <c r="W15" i="22" s="1"/>
  <c r="T8" i="22"/>
  <c r="F211" i="21"/>
  <c r="J197" i="21"/>
  <c r="F31" i="22"/>
  <c r="F222" i="21"/>
  <c r="Z143" i="11"/>
  <c r="Z155" i="11"/>
  <c r="Z162" i="11"/>
  <c r="Z58" i="11" s="1"/>
  <c r="E208" i="26"/>
  <c r="G134" i="20"/>
  <c r="H133" i="20"/>
  <c r="AJ58" i="11"/>
  <c r="K32" i="6"/>
  <c r="K38" i="6" s="1"/>
  <c r="K80" i="6"/>
  <c r="K86" i="6" s="1"/>
  <c r="L96" i="8"/>
  <c r="G291" i="20"/>
  <c r="P110" i="11"/>
  <c r="Q17" i="22"/>
  <c r="W17" i="22" s="1"/>
  <c r="L17" i="22"/>
  <c r="L16" i="22"/>
  <c r="Q16" i="22"/>
  <c r="W16" i="22" s="1"/>
  <c r="F38" i="22"/>
  <c r="F43" i="22"/>
  <c r="F37" i="22"/>
  <c r="F39" i="22"/>
  <c r="F44" i="22"/>
  <c r="F36" i="22"/>
  <c r="F46" i="22"/>
  <c r="F47" i="22"/>
  <c r="F41" i="22"/>
  <c r="F40" i="22"/>
  <c r="F45" i="22"/>
  <c r="F42" i="22"/>
  <c r="F48" i="22"/>
  <c r="K291" i="20"/>
  <c r="D200" i="21"/>
  <c r="D89" i="21" s="1"/>
  <c r="N143" i="11"/>
  <c r="N188" i="11"/>
  <c r="N162" i="11"/>
  <c r="K292" i="20" s="1"/>
  <c r="AM138" i="11"/>
  <c r="AA138" i="11"/>
  <c r="N155" i="11"/>
  <c r="AB93" i="11"/>
  <c r="AB110" i="11"/>
  <c r="AB103" i="11"/>
  <c r="Q25" i="22"/>
  <c r="W25" i="22" s="1"/>
  <c r="L25" i="22"/>
  <c r="I105" i="22"/>
  <c r="T43" i="22"/>
  <c r="T105" i="22" s="1"/>
  <c r="I101" i="22"/>
  <c r="T39" i="22"/>
  <c r="T101" i="22" s="1"/>
  <c r="T36" i="22"/>
  <c r="T98" i="22" s="1"/>
  <c r="I98" i="22"/>
  <c r="T38" i="22"/>
  <c r="T100" i="22" s="1"/>
  <c r="I100" i="22"/>
  <c r="P71" i="8"/>
  <c r="AA93" i="11"/>
  <c r="AA103" i="11"/>
  <c r="AA110" i="11"/>
  <c r="R8" i="22"/>
  <c r="AI135" i="11"/>
  <c r="P135" i="11"/>
  <c r="W135" i="11"/>
  <c r="J185" i="21"/>
  <c r="AN93" i="11"/>
  <c r="AN110" i="11"/>
  <c r="AN103" i="11"/>
  <c r="Q26" i="22"/>
  <c r="W26" i="22" s="1"/>
  <c r="L26" i="22"/>
  <c r="I1" i="4" l="1"/>
  <c r="L92" i="22"/>
  <c r="K131" i="6"/>
  <c r="L32" i="22"/>
  <c r="F95" i="22"/>
  <c r="C257" i="26" s="1"/>
  <c r="D91" i="21"/>
  <c r="D92" i="21" s="1"/>
  <c r="J89" i="21"/>
  <c r="S118" i="22"/>
  <c r="S120" i="22" s="1"/>
  <c r="J211" i="21"/>
  <c r="H211" i="21"/>
  <c r="I211" i="21"/>
  <c r="D159" i="26"/>
  <c r="X215" i="11"/>
  <c r="X200" i="11" s="1"/>
  <c r="AJ215" i="11"/>
  <c r="AJ200" i="11" s="1"/>
  <c r="Z215" i="11"/>
  <c r="Z200" i="11" s="1"/>
  <c r="Z208" i="11" s="1"/>
  <c r="J110" i="20" s="1"/>
  <c r="J125" i="20" s="1"/>
  <c r="AL215" i="11"/>
  <c r="AL200" i="11" s="1"/>
  <c r="AL208" i="11" s="1"/>
  <c r="Y215" i="11"/>
  <c r="Y200" i="11" s="1"/>
  <c r="Y208" i="11" s="1"/>
  <c r="I110" i="20" s="1"/>
  <c r="I125" i="20" s="1"/>
  <c r="AK215" i="11"/>
  <c r="AK200" i="11" s="1"/>
  <c r="AK208" i="11" s="1"/>
  <c r="K215" i="11"/>
  <c r="K200" i="11" s="1"/>
  <c r="M215" i="11"/>
  <c r="M200" i="11" s="1"/>
  <c r="M208" i="11" s="1"/>
  <c r="M199" i="8" s="1"/>
  <c r="L215" i="11"/>
  <c r="L200" i="11" s="1"/>
  <c r="O81" i="8"/>
  <c r="O8" i="11" s="1"/>
  <c r="N81" i="8"/>
  <c r="N8" i="11" s="1"/>
  <c r="M24" i="6"/>
  <c r="N34" i="8" s="1"/>
  <c r="M18" i="6"/>
  <c r="J129" i="6"/>
  <c r="J24" i="6"/>
  <c r="K34" i="8" s="1"/>
  <c r="J18" i="6"/>
  <c r="J21" i="6" s="1"/>
  <c r="L24" i="6"/>
  <c r="M34" i="8" s="1"/>
  <c r="L18" i="6"/>
  <c r="L21" i="6" s="1"/>
  <c r="M23" i="6"/>
  <c r="N33" i="8" s="1"/>
  <c r="M17" i="6"/>
  <c r="N23" i="6"/>
  <c r="O33" i="8" s="1"/>
  <c r="N17" i="6"/>
  <c r="I23" i="6"/>
  <c r="I31" i="6" s="1"/>
  <c r="I17" i="6"/>
  <c r="J81" i="8"/>
  <c r="J8" i="11" s="1"/>
  <c r="P80" i="8"/>
  <c r="L37" i="8"/>
  <c r="L129" i="6"/>
  <c r="E97" i="26"/>
  <c r="Z61" i="11"/>
  <c r="Z80" i="11" s="1"/>
  <c r="AL61" i="11"/>
  <c r="AL80" i="11" s="1"/>
  <c r="S29" i="22"/>
  <c r="J61" i="11"/>
  <c r="J80" i="11" s="1"/>
  <c r="N61" i="11"/>
  <c r="N80" i="11" s="1"/>
  <c r="O61" i="11"/>
  <c r="O80" i="11" s="1"/>
  <c r="I99" i="22"/>
  <c r="I109" i="22"/>
  <c r="E87" i="21"/>
  <c r="D97" i="26" s="1"/>
  <c r="I106" i="22"/>
  <c r="G87" i="21"/>
  <c r="F97" i="26" s="1"/>
  <c r="T42" i="22"/>
  <c r="T104" i="22" s="1"/>
  <c r="G103" i="22"/>
  <c r="T46" i="22"/>
  <c r="T108" i="22" s="1"/>
  <c r="T40" i="22"/>
  <c r="T102" i="22" s="1"/>
  <c r="I93" i="21"/>
  <c r="I92" i="21"/>
  <c r="K48" i="22"/>
  <c r="V48" i="22" s="1"/>
  <c r="V110" i="22" s="1"/>
  <c r="H230" i="26" s="1"/>
  <c r="H233" i="26" s="1"/>
  <c r="H232" i="26" s="1"/>
  <c r="K43" i="22"/>
  <c r="V43" i="22" s="1"/>
  <c r="V105" i="22" s="1"/>
  <c r="H93" i="21"/>
  <c r="H92" i="21"/>
  <c r="K39" i="22"/>
  <c r="V39" i="22" s="1"/>
  <c r="V101" i="22" s="1"/>
  <c r="D208" i="26"/>
  <c r="T45" i="22"/>
  <c r="T107" i="22" s="1"/>
  <c r="I110" i="22"/>
  <c r="G102" i="22"/>
  <c r="G109" i="22"/>
  <c r="G105" i="22"/>
  <c r="G107" i="22"/>
  <c r="G110" i="22"/>
  <c r="R42" i="22"/>
  <c r="R104" i="22" s="1"/>
  <c r="G99" i="22"/>
  <c r="K36" i="22"/>
  <c r="V36" i="22" s="1"/>
  <c r="V98" i="22" s="1"/>
  <c r="G101" i="22"/>
  <c r="G100" i="22"/>
  <c r="J94" i="22"/>
  <c r="J45" i="22"/>
  <c r="U45" i="22" s="1"/>
  <c r="U107" i="22" s="1"/>
  <c r="J41" i="22"/>
  <c r="J103" i="22" s="1"/>
  <c r="J44" i="22"/>
  <c r="U44" i="22" s="1"/>
  <c r="U106" i="22" s="1"/>
  <c r="J38" i="22"/>
  <c r="U38" i="22" s="1"/>
  <c r="U100" i="22" s="1"/>
  <c r="J36" i="22"/>
  <c r="J47" i="22"/>
  <c r="U47" i="22" s="1"/>
  <c r="U109" i="22" s="1"/>
  <c r="J46" i="22"/>
  <c r="U46" i="22" s="1"/>
  <c r="U108" i="22" s="1"/>
  <c r="J39" i="22"/>
  <c r="U39" i="22" s="1"/>
  <c r="U101" i="22" s="1"/>
  <c r="K44" i="22"/>
  <c r="V44" i="22" s="1"/>
  <c r="V106" i="22" s="1"/>
  <c r="K47" i="22"/>
  <c r="K109" i="22" s="1"/>
  <c r="K38" i="22"/>
  <c r="V38" i="22" s="1"/>
  <c r="V100" i="22" s="1"/>
  <c r="K33" i="22"/>
  <c r="K96" i="22" s="1"/>
  <c r="J48" i="22"/>
  <c r="U48" i="22" s="1"/>
  <c r="U110" i="22" s="1"/>
  <c r="G230" i="26" s="1"/>
  <c r="G233" i="26" s="1"/>
  <c r="G232" i="26" s="1"/>
  <c r="K37" i="22"/>
  <c r="V37" i="22" s="1"/>
  <c r="V99" i="22" s="1"/>
  <c r="K42" i="22"/>
  <c r="K46" i="22"/>
  <c r="K41" i="22"/>
  <c r="J43" i="22"/>
  <c r="U43" i="22" s="1"/>
  <c r="U105" i="22" s="1"/>
  <c r="J42" i="22"/>
  <c r="U42" i="22" s="1"/>
  <c r="U104" i="22" s="1"/>
  <c r="K45" i="22"/>
  <c r="V45" i="22" s="1"/>
  <c r="V107" i="22" s="1"/>
  <c r="J40" i="22"/>
  <c r="U40" i="22" s="1"/>
  <c r="U102" i="22" s="1"/>
  <c r="K94" i="22"/>
  <c r="J33" i="22"/>
  <c r="J96" i="22" s="1"/>
  <c r="U31" i="22"/>
  <c r="G92" i="26" s="1"/>
  <c r="G108" i="22"/>
  <c r="R46" i="22"/>
  <c r="R108" i="22" s="1"/>
  <c r="R44" i="22"/>
  <c r="R106" i="22" s="1"/>
  <c r="G106" i="22"/>
  <c r="N12" i="6"/>
  <c r="J200" i="21"/>
  <c r="I72" i="20"/>
  <c r="C91" i="26"/>
  <c r="I91" i="26" s="1"/>
  <c r="P79" i="8"/>
  <c r="F225" i="21"/>
  <c r="AC135" i="11"/>
  <c r="N58" i="11"/>
  <c r="K295" i="20" s="1"/>
  <c r="AO135" i="11"/>
  <c r="D95" i="26"/>
  <c r="J130" i="6" s="1"/>
  <c r="F95" i="26"/>
  <c r="L130" i="6" s="1"/>
  <c r="K127" i="6"/>
  <c r="E116" i="26" s="1"/>
  <c r="K49" i="6"/>
  <c r="K41" i="6"/>
  <c r="K50" i="6"/>
  <c r="K51" i="6"/>
  <c r="K52" i="6"/>
  <c r="AN143" i="11"/>
  <c r="AN162" i="11"/>
  <c r="AN58" i="11" s="1"/>
  <c r="AN155" i="11"/>
  <c r="P19" i="11"/>
  <c r="AI130" i="11"/>
  <c r="AI97" i="11"/>
  <c r="AC110" i="11"/>
  <c r="K95" i="8"/>
  <c r="J79" i="6"/>
  <c r="J31" i="6"/>
  <c r="J37" i="6" s="1"/>
  <c r="M95" i="8"/>
  <c r="L79" i="6"/>
  <c r="L85" i="6" s="1"/>
  <c r="L31" i="6"/>
  <c r="K102" i="22"/>
  <c r="V40" i="22"/>
  <c r="V102" i="22" s="1"/>
  <c r="F33" i="22"/>
  <c r="F96" i="22" s="1"/>
  <c r="Q31" i="22"/>
  <c r="I12" i="6"/>
  <c r="L31" i="22"/>
  <c r="L33" i="22" s="1"/>
  <c r="U8" i="22"/>
  <c r="K142" i="11"/>
  <c r="K141" i="11"/>
  <c r="K144" i="11" s="1"/>
  <c r="K146" i="11" s="1"/>
  <c r="O11" i="6"/>
  <c r="AO110" i="11"/>
  <c r="Q39" i="22"/>
  <c r="F101" i="22"/>
  <c r="K43" i="6"/>
  <c r="K35" i="6"/>
  <c r="K44" i="6"/>
  <c r="K45" i="6"/>
  <c r="K46" i="6"/>
  <c r="M129" i="6"/>
  <c r="F94" i="22"/>
  <c r="X91" i="11"/>
  <c r="X94" i="11" s="1"/>
  <c r="X96" i="11" s="1"/>
  <c r="X130" i="11" s="1"/>
  <c r="X92" i="11"/>
  <c r="Q42" i="22"/>
  <c r="F104" i="22"/>
  <c r="Q41" i="22"/>
  <c r="F103" i="22"/>
  <c r="F100" i="22"/>
  <c r="Q38" i="22"/>
  <c r="H134" i="20"/>
  <c r="I133" i="20"/>
  <c r="K134" i="11"/>
  <c r="K117" i="11"/>
  <c r="K130" i="11"/>
  <c r="V8" i="22"/>
  <c r="J170" i="11"/>
  <c r="W170" i="11" s="1"/>
  <c r="J147" i="11"/>
  <c r="J187" i="11"/>
  <c r="J52" i="11" s="1"/>
  <c r="C252" i="26" s="1"/>
  <c r="C248" i="26" s="1"/>
  <c r="U37" i="22"/>
  <c r="U99" i="22" s="1"/>
  <c r="J99" i="22"/>
  <c r="Q8" i="22"/>
  <c r="W10" i="22"/>
  <c r="W97" i="11"/>
  <c r="W130" i="11"/>
  <c r="W117" i="11"/>
  <c r="AI117" i="11"/>
  <c r="AM143" i="11"/>
  <c r="AM155" i="11"/>
  <c r="AM162" i="11"/>
  <c r="AM58" i="11" s="1"/>
  <c r="F102" i="22"/>
  <c r="Q40" i="22"/>
  <c r="AA188" i="11"/>
  <c r="AM188" i="11"/>
  <c r="Q47" i="22"/>
  <c r="F109" i="22"/>
  <c r="F208" i="26"/>
  <c r="L91" i="11"/>
  <c r="L94" i="11" s="1"/>
  <c r="L96" i="11" s="1"/>
  <c r="L92" i="11"/>
  <c r="AB143" i="11"/>
  <c r="AB162" i="11"/>
  <c r="AB58" i="11" s="1"/>
  <c r="AB155" i="11"/>
  <c r="AI188" i="11"/>
  <c r="W188" i="11"/>
  <c r="P188" i="11"/>
  <c r="L53" i="8"/>
  <c r="L272" i="8" s="1"/>
  <c r="Q45" i="22"/>
  <c r="F107" i="22"/>
  <c r="F108" i="22"/>
  <c r="Q46" i="22"/>
  <c r="P162" i="11"/>
  <c r="G292" i="20"/>
  <c r="D292" i="20" s="1"/>
  <c r="W134" i="11"/>
  <c r="AI134" i="11"/>
  <c r="Q37" i="22"/>
  <c r="F99" i="22"/>
  <c r="Q43" i="22"/>
  <c r="F105" i="22"/>
  <c r="F98" i="22"/>
  <c r="Q36" i="22"/>
  <c r="D291" i="20"/>
  <c r="K91" i="6"/>
  <c r="K103" i="6"/>
  <c r="K97" i="6"/>
  <c r="W143" i="11"/>
  <c r="W141" i="11"/>
  <c r="W144" i="11" s="1"/>
  <c r="W146" i="11" s="1"/>
  <c r="W155" i="11"/>
  <c r="W142" i="11"/>
  <c r="W162" i="11"/>
  <c r="W61" i="11" s="1"/>
  <c r="AJ91" i="11"/>
  <c r="AJ94" i="11" s="1"/>
  <c r="AJ96" i="11" s="1"/>
  <c r="AJ130" i="11" s="1"/>
  <c r="AJ92" i="11"/>
  <c r="F214" i="21"/>
  <c r="F215" i="21" s="1"/>
  <c r="J100" i="11"/>
  <c r="K97" i="11"/>
  <c r="J105" i="11"/>
  <c r="AA143" i="11"/>
  <c r="AA155" i="11"/>
  <c r="AA162" i="11"/>
  <c r="AA58" i="11" s="1"/>
  <c r="K92" i="6"/>
  <c r="K108" i="6" s="1"/>
  <c r="K104" i="6"/>
  <c r="K98" i="6"/>
  <c r="F110" i="22"/>
  <c r="Q48" i="22"/>
  <c r="Q44" i="22"/>
  <c r="F106" i="22"/>
  <c r="G295" i="20"/>
  <c r="L52" i="8"/>
  <c r="L271" i="8" s="1"/>
  <c r="AB188" i="11"/>
  <c r="AN188" i="11"/>
  <c r="AI143" i="11"/>
  <c r="AI141" i="11"/>
  <c r="AI144" i="11" s="1"/>
  <c r="AI146" i="11" s="1"/>
  <c r="AI162" i="11"/>
  <c r="AI61" i="11" s="1"/>
  <c r="AI142" i="11"/>
  <c r="AI155" i="11"/>
  <c r="J19" i="11"/>
  <c r="C149" i="26" s="1"/>
  <c r="O58" i="11"/>
  <c r="D93" i="21" l="1"/>
  <c r="J33" i="8"/>
  <c r="J95" i="8" s="1"/>
  <c r="C148" i="26"/>
  <c r="I148" i="26" s="1"/>
  <c r="I149" i="26"/>
  <c r="C247" i="26"/>
  <c r="G74" i="20" s="1"/>
  <c r="K208" i="11"/>
  <c r="K199" i="8" s="1"/>
  <c r="K201" i="11"/>
  <c r="H163" i="20" s="1"/>
  <c r="AJ208" i="11"/>
  <c r="H115" i="20" s="1"/>
  <c r="H130" i="20" s="1"/>
  <c r="AJ201" i="11"/>
  <c r="H197" i="20" s="1"/>
  <c r="X208" i="11"/>
  <c r="H110" i="20" s="1"/>
  <c r="H125" i="20" s="1"/>
  <c r="X201" i="11"/>
  <c r="H180" i="20" s="1"/>
  <c r="L95" i="22"/>
  <c r="K271" i="26" s="1"/>
  <c r="J215" i="21"/>
  <c r="R117" i="22"/>
  <c r="T117" i="22"/>
  <c r="R118" i="22"/>
  <c r="R120" i="22" s="1"/>
  <c r="T118" i="22"/>
  <c r="T120" i="22" s="1"/>
  <c r="F123" i="26" s="1"/>
  <c r="E123" i="26"/>
  <c r="S122" i="22"/>
  <c r="E121" i="26"/>
  <c r="D207" i="26"/>
  <c r="F207" i="26"/>
  <c r="F221" i="26"/>
  <c r="G207" i="26"/>
  <c r="G221" i="26"/>
  <c r="G159" i="26"/>
  <c r="G162" i="26" s="1"/>
  <c r="G161" i="26" s="1"/>
  <c r="H159" i="26"/>
  <c r="H162" i="26" s="1"/>
  <c r="H161" i="26" s="1"/>
  <c r="F159" i="26"/>
  <c r="F162" i="26" s="1"/>
  <c r="F161" i="26" s="1"/>
  <c r="I115" i="20"/>
  <c r="I130" i="20" s="1"/>
  <c r="AK209" i="11"/>
  <c r="I206" i="20" s="1"/>
  <c r="Y209" i="11"/>
  <c r="I189" i="20" s="1"/>
  <c r="J115" i="20"/>
  <c r="J130" i="20" s="1"/>
  <c r="AL209" i="11"/>
  <c r="J206" i="20" s="1"/>
  <c r="AA215" i="11"/>
  <c r="AA200" i="11" s="1"/>
  <c r="AA208" i="11" s="1"/>
  <c r="AA209" i="11" s="1"/>
  <c r="K189" i="20" s="1"/>
  <c r="AM215" i="11"/>
  <c r="AM200" i="11" s="1"/>
  <c r="AM208" i="11" s="1"/>
  <c r="Z209" i="11"/>
  <c r="J189" i="20" s="1"/>
  <c r="AB215" i="11"/>
  <c r="AB200" i="11" s="1"/>
  <c r="AB208" i="11" s="1"/>
  <c r="AB209" i="11" s="1"/>
  <c r="L189" i="20" s="1"/>
  <c r="AN215" i="11"/>
  <c r="AN200" i="11" s="1"/>
  <c r="AN208" i="11" s="1"/>
  <c r="W215" i="11"/>
  <c r="W200" i="11" s="1"/>
  <c r="AI215" i="11"/>
  <c r="AI200" i="11" s="1"/>
  <c r="AI201" i="11" s="1"/>
  <c r="G197" i="20" s="1"/>
  <c r="N215" i="11"/>
  <c r="N200" i="11" s="1"/>
  <c r="N208" i="11" s="1"/>
  <c r="N199" i="8" s="1"/>
  <c r="O215" i="11"/>
  <c r="O200" i="11" s="1"/>
  <c r="O208" i="11" s="1"/>
  <c r="L201" i="11"/>
  <c r="I163" i="20" s="1"/>
  <c r="L208" i="11"/>
  <c r="M209" i="11"/>
  <c r="J172" i="20" s="1"/>
  <c r="J105" i="20"/>
  <c r="J120" i="20" s="1"/>
  <c r="J215" i="11"/>
  <c r="J200" i="11" s="1"/>
  <c r="J201" i="11" s="1"/>
  <c r="G163" i="20" s="1"/>
  <c r="J167" i="11"/>
  <c r="J152" i="11" s="1"/>
  <c r="J114" i="11"/>
  <c r="J99" i="11" s="1"/>
  <c r="J106" i="11" s="1"/>
  <c r="L277" i="8"/>
  <c r="L131" i="6"/>
  <c r="L127" i="6" s="1"/>
  <c r="F116" i="26" s="1"/>
  <c r="J148" i="11"/>
  <c r="J131" i="6"/>
  <c r="J127" i="6" s="1"/>
  <c r="D116" i="26" s="1"/>
  <c r="L278" i="8"/>
  <c r="L399" i="8" s="1"/>
  <c r="L280" i="8"/>
  <c r="L279" i="8"/>
  <c r="L400" i="8" s="1"/>
  <c r="L419" i="8"/>
  <c r="E171" i="26" s="1"/>
  <c r="I18" i="6"/>
  <c r="I21" i="6" s="1"/>
  <c r="I24" i="6"/>
  <c r="J34" i="8" s="1"/>
  <c r="N24" i="6"/>
  <c r="O34" i="8" s="1"/>
  <c r="N18" i="6"/>
  <c r="N21" i="6" s="1"/>
  <c r="K74" i="6"/>
  <c r="K125" i="6"/>
  <c r="K121" i="6"/>
  <c r="K134" i="6" s="1"/>
  <c r="J32" i="6"/>
  <c r="J38" i="6" s="1"/>
  <c r="J51" i="6" s="1"/>
  <c r="L80" i="6"/>
  <c r="L86" i="6" s="1"/>
  <c r="M37" i="8"/>
  <c r="L417" i="8"/>
  <c r="E170" i="26" s="1"/>
  <c r="M96" i="8"/>
  <c r="L32" i="6"/>
  <c r="L38" i="6" s="1"/>
  <c r="I87" i="21"/>
  <c r="H97" i="26" s="1"/>
  <c r="AM61" i="11"/>
  <c r="AM80" i="11" s="1"/>
  <c r="AI80" i="11"/>
  <c r="W80" i="11"/>
  <c r="AA61" i="11"/>
  <c r="AA80" i="11" s="1"/>
  <c r="AB61" i="11"/>
  <c r="AB80" i="11" s="1"/>
  <c r="AN61" i="11"/>
  <c r="AN80" i="11" s="1"/>
  <c r="P61" i="11"/>
  <c r="D87" i="21"/>
  <c r="H87" i="21"/>
  <c r="G97" i="26" s="1"/>
  <c r="T29" i="22"/>
  <c r="K110" i="22"/>
  <c r="K105" i="22"/>
  <c r="K101" i="22"/>
  <c r="V47" i="22"/>
  <c r="V109" i="22" s="1"/>
  <c r="J107" i="22"/>
  <c r="J106" i="22"/>
  <c r="L36" i="22"/>
  <c r="K98" i="22"/>
  <c r="U36" i="22"/>
  <c r="U98" i="22" s="1"/>
  <c r="L43" i="22"/>
  <c r="J98" i="22"/>
  <c r="U41" i="22"/>
  <c r="U103" i="22" s="1"/>
  <c r="J100" i="22"/>
  <c r="L48" i="22"/>
  <c r="N129" i="6"/>
  <c r="J109" i="22"/>
  <c r="L109" i="22" s="1"/>
  <c r="L41" i="22"/>
  <c r="L46" i="22"/>
  <c r="K103" i="22"/>
  <c r="L103" i="22" s="1"/>
  <c r="L47" i="22"/>
  <c r="K106" i="22"/>
  <c r="J101" i="22"/>
  <c r="J108" i="22"/>
  <c r="L37" i="22"/>
  <c r="L39" i="22"/>
  <c r="L44" i="22"/>
  <c r="V41" i="22"/>
  <c r="V103" i="22" s="1"/>
  <c r="L38" i="22"/>
  <c r="J104" i="22"/>
  <c r="K100" i="22"/>
  <c r="J105" i="22"/>
  <c r="L42" i="22"/>
  <c r="L45" i="22"/>
  <c r="K99" i="22"/>
  <c r="L99" i="22" s="1"/>
  <c r="K107" i="22"/>
  <c r="J80" i="6"/>
  <c r="J86" i="6" s="1"/>
  <c r="J92" i="6" s="1"/>
  <c r="J108" i="6" s="1"/>
  <c r="L40" i="22"/>
  <c r="J102" i="22"/>
  <c r="L102" i="22" s="1"/>
  <c r="V42" i="22"/>
  <c r="V104" i="22" s="1"/>
  <c r="K104" i="22"/>
  <c r="J110" i="22"/>
  <c r="L94" i="22"/>
  <c r="K108" i="22"/>
  <c r="V46" i="22"/>
  <c r="V108" i="22" s="1"/>
  <c r="R29" i="22"/>
  <c r="F226" i="21"/>
  <c r="C92" i="26"/>
  <c r="I92" i="26" s="1"/>
  <c r="AO162" i="11"/>
  <c r="AC162" i="11"/>
  <c r="L96" i="22"/>
  <c r="L46" i="8"/>
  <c r="L204" i="8" s="1"/>
  <c r="K112" i="6"/>
  <c r="K116" i="6" s="1"/>
  <c r="L47" i="8"/>
  <c r="L205" i="8" s="1"/>
  <c r="W100" i="11"/>
  <c r="X97" i="11"/>
  <c r="W105" i="11"/>
  <c r="W114" i="11" s="1"/>
  <c r="X134" i="11"/>
  <c r="AJ134" i="11"/>
  <c r="W38" i="22"/>
  <c r="Q100" i="22"/>
  <c r="L97" i="11"/>
  <c r="K105" i="11"/>
  <c r="K114" i="11" s="1"/>
  <c r="K100" i="11"/>
  <c r="Q102" i="22"/>
  <c r="W40" i="22"/>
  <c r="Q104" i="22"/>
  <c r="K170" i="11"/>
  <c r="K187" i="11"/>
  <c r="K49" i="11"/>
  <c r="D200" i="26" s="1"/>
  <c r="D202" i="26" s="1"/>
  <c r="D201" i="26" s="1"/>
  <c r="O12" i="6"/>
  <c r="K52" i="8"/>
  <c r="K271" i="8" s="1"/>
  <c r="Q99" i="22"/>
  <c r="W37" i="22"/>
  <c r="L101" i="8"/>
  <c r="L104" i="8"/>
  <c r="L103" i="8"/>
  <c r="L102" i="8"/>
  <c r="L77" i="8"/>
  <c r="W8" i="22"/>
  <c r="I134" i="20"/>
  <c r="J133" i="20"/>
  <c r="Y91" i="11"/>
  <c r="Y94" i="11" s="1"/>
  <c r="Y96" i="11" s="1"/>
  <c r="Y130" i="11" s="1"/>
  <c r="Y92" i="11"/>
  <c r="AI58" i="11"/>
  <c r="L141" i="11"/>
  <c r="L144" i="11" s="1"/>
  <c r="L146" i="11" s="1"/>
  <c r="L142" i="11"/>
  <c r="Q29" i="22"/>
  <c r="W31" i="22"/>
  <c r="Q108" i="22"/>
  <c r="AI170" i="11"/>
  <c r="AI147" i="11"/>
  <c r="AI167" i="11" s="1"/>
  <c r="M53" i="8"/>
  <c r="M272" i="8" s="1"/>
  <c r="AK91" i="11"/>
  <c r="AK94" i="11" s="1"/>
  <c r="AK96" i="11" s="1"/>
  <c r="AK130" i="11" s="1"/>
  <c r="AK92" i="11"/>
  <c r="W43" i="22"/>
  <c r="Q105" i="22"/>
  <c r="J46" i="11"/>
  <c r="C242" i="26" s="1"/>
  <c r="C244" i="26" s="1"/>
  <c r="C243" i="26" s="1"/>
  <c r="H95" i="26"/>
  <c r="N130" i="6" s="1"/>
  <c r="Q101" i="22"/>
  <c r="W39" i="22"/>
  <c r="L91" i="6"/>
  <c r="L103" i="6"/>
  <c r="L97" i="6"/>
  <c r="K59" i="6"/>
  <c r="K70" i="6" s="1"/>
  <c r="K64" i="6"/>
  <c r="K53" i="6"/>
  <c r="AJ142" i="11"/>
  <c r="AJ141" i="11"/>
  <c r="AJ144" i="11" s="1"/>
  <c r="AJ146" i="11" s="1"/>
  <c r="M91" i="11"/>
  <c r="M94" i="11" s="1"/>
  <c r="M96" i="11" s="1"/>
  <c r="M92" i="11"/>
  <c r="K47" i="6"/>
  <c r="I129" i="6"/>
  <c r="M52" i="8"/>
  <c r="M271" i="8" s="1"/>
  <c r="W58" i="11"/>
  <c r="G208" i="26"/>
  <c r="K107" i="6"/>
  <c r="K111" i="6" s="1"/>
  <c r="K115" i="6" s="1"/>
  <c r="Q107" i="22"/>
  <c r="W45" i="22"/>
  <c r="AC188" i="11"/>
  <c r="L130" i="11"/>
  <c r="L134" i="11"/>
  <c r="L117" i="11"/>
  <c r="AI187" i="11"/>
  <c r="W187" i="11"/>
  <c r="W52" i="11" s="1"/>
  <c r="Q103" i="22"/>
  <c r="M21" i="6"/>
  <c r="I79" i="6"/>
  <c r="I85" i="6" s="1"/>
  <c r="O23" i="6"/>
  <c r="I37" i="6"/>
  <c r="L37" i="6"/>
  <c r="M32" i="6"/>
  <c r="M38" i="6" s="1"/>
  <c r="N96" i="8"/>
  <c r="M80" i="6"/>
  <c r="W46" i="11"/>
  <c r="W147" i="11"/>
  <c r="W167" i="11" s="1"/>
  <c r="Q110" i="22"/>
  <c r="C230" i="26" s="1"/>
  <c r="W48" i="22"/>
  <c r="AO188" i="11"/>
  <c r="J157" i="11"/>
  <c r="K147" i="11"/>
  <c r="K167" i="11" s="1"/>
  <c r="M31" i="6"/>
  <c r="N95" i="8"/>
  <c r="M79" i="6"/>
  <c r="O17" i="6"/>
  <c r="J85" i="6"/>
  <c r="J91" i="6" s="1"/>
  <c r="X142" i="11"/>
  <c r="X141" i="11"/>
  <c r="X144" i="11" s="1"/>
  <c r="X146" i="11" s="1"/>
  <c r="Q98" i="22"/>
  <c r="Q106" i="22"/>
  <c r="W44" i="22"/>
  <c r="L295" i="20"/>
  <c r="D295" i="20" s="1"/>
  <c r="P58" i="11"/>
  <c r="N79" i="6"/>
  <c r="N31" i="6"/>
  <c r="N37" i="6" s="1"/>
  <c r="O95" i="8"/>
  <c r="Q109" i="22"/>
  <c r="AJ117" i="11"/>
  <c r="X117" i="11"/>
  <c r="G95" i="26"/>
  <c r="M130" i="6" s="1"/>
  <c r="AI100" i="11"/>
  <c r="AJ97" i="11"/>
  <c r="AI105" i="11"/>
  <c r="AI114" i="11" s="1"/>
  <c r="E122" i="26" l="1"/>
  <c r="C97" i="26"/>
  <c r="K268" i="26"/>
  <c r="H105" i="20"/>
  <c r="H120" i="20" s="1"/>
  <c r="K209" i="11"/>
  <c r="H172" i="20" s="1"/>
  <c r="H300" i="20" s="1"/>
  <c r="M131" i="6"/>
  <c r="M127" i="6" s="1"/>
  <c r="G116" i="26" s="1"/>
  <c r="J72" i="20"/>
  <c r="AJ209" i="11"/>
  <c r="H206" i="20" s="1"/>
  <c r="X209" i="11"/>
  <c r="H189" i="20" s="1"/>
  <c r="H216" i="20"/>
  <c r="H307" i="20"/>
  <c r="G216" i="20"/>
  <c r="G307" i="20"/>
  <c r="W208" i="11"/>
  <c r="AD208" i="11" s="1"/>
  <c r="W201" i="11"/>
  <c r="G180" i="20" s="1"/>
  <c r="H215" i="21"/>
  <c r="H214" i="21" s="1"/>
  <c r="D231" i="26" s="1"/>
  <c r="D233" i="26" s="1"/>
  <c r="D232" i="26" s="1"/>
  <c r="I215" i="21"/>
  <c r="I214" i="21" s="1"/>
  <c r="D160" i="26" s="1"/>
  <c r="D162" i="26" s="1"/>
  <c r="D161" i="26" s="1"/>
  <c r="J214" i="21"/>
  <c r="C124" i="26" s="1"/>
  <c r="W106" i="22"/>
  <c r="W101" i="22"/>
  <c r="W105" i="22"/>
  <c r="W99" i="22"/>
  <c r="W102" i="22"/>
  <c r="Q117" i="22"/>
  <c r="V117" i="22"/>
  <c r="U118" i="22"/>
  <c r="U120" i="22" s="1"/>
  <c r="U117" i="22"/>
  <c r="V118" i="22"/>
  <c r="V120" i="22" s="1"/>
  <c r="Q118" i="22"/>
  <c r="I216" i="20"/>
  <c r="I300" i="20"/>
  <c r="I307" i="20"/>
  <c r="T122" i="22"/>
  <c r="F121" i="26"/>
  <c r="D121" i="26"/>
  <c r="H207" i="26"/>
  <c r="H221" i="26"/>
  <c r="C207" i="26"/>
  <c r="C159" i="26"/>
  <c r="K110" i="20"/>
  <c r="K125" i="20" s="1"/>
  <c r="AM209" i="11"/>
  <c r="K206" i="20" s="1"/>
  <c r="K115" i="20"/>
  <c r="K130" i="20" s="1"/>
  <c r="AD200" i="11"/>
  <c r="W231" i="11" s="1"/>
  <c r="AC231" i="11" s="1"/>
  <c r="AN209" i="11"/>
  <c r="L206" i="20" s="1"/>
  <c r="L115" i="20"/>
  <c r="L130" i="20" s="1"/>
  <c r="L110" i="20"/>
  <c r="L125" i="20" s="1"/>
  <c r="AP200" i="11"/>
  <c r="AI231" i="11" s="1"/>
  <c r="AI208" i="11"/>
  <c r="J225" i="20"/>
  <c r="J232" i="20" s="1"/>
  <c r="J314" i="20"/>
  <c r="I105" i="20"/>
  <c r="I120" i="20" s="1"/>
  <c r="L209" i="11"/>
  <c r="I172" i="20" s="1"/>
  <c r="L199" i="8"/>
  <c r="O209" i="11"/>
  <c r="L172" i="20" s="1"/>
  <c r="L105" i="20"/>
  <c r="L120" i="20" s="1"/>
  <c r="O199" i="8"/>
  <c r="K105" i="20"/>
  <c r="K120" i="20" s="1"/>
  <c r="N209" i="11"/>
  <c r="K172" i="20" s="1"/>
  <c r="J208" i="11"/>
  <c r="Q200" i="11"/>
  <c r="J231" i="11" s="1"/>
  <c r="W100" i="22"/>
  <c r="M277" i="8"/>
  <c r="L210" i="8"/>
  <c r="AI148" i="11"/>
  <c r="AI152" i="11"/>
  <c r="W148" i="11"/>
  <c r="W152" i="11"/>
  <c r="K148" i="11"/>
  <c r="K152" i="11"/>
  <c r="K99" i="11"/>
  <c r="L213" i="8"/>
  <c r="L216" i="8" s="1"/>
  <c r="L387" i="8" s="1"/>
  <c r="L382" i="8"/>
  <c r="L409" i="8"/>
  <c r="L410" i="8" s="1"/>
  <c r="L281" i="8"/>
  <c r="M279" i="8"/>
  <c r="M400" i="8" s="1"/>
  <c r="M280" i="8"/>
  <c r="M278" i="8"/>
  <c r="L212" i="8"/>
  <c r="L386" i="8" s="1"/>
  <c r="L211" i="8"/>
  <c r="L394" i="8"/>
  <c r="L381" i="8"/>
  <c r="L393" i="8"/>
  <c r="L380" i="8"/>
  <c r="L392" i="8"/>
  <c r="L379" i="8"/>
  <c r="L405" i="8"/>
  <c r="L406" i="8" s="1"/>
  <c r="L401" i="8"/>
  <c r="L403" i="8"/>
  <c r="L367" i="8"/>
  <c r="O96" i="8"/>
  <c r="M419" i="8"/>
  <c r="F171" i="26" s="1"/>
  <c r="N80" i="6"/>
  <c r="N86" i="6" s="1"/>
  <c r="N98" i="6" s="1"/>
  <c r="N32" i="6"/>
  <c r="N38" i="6" s="1"/>
  <c r="N51" i="6" s="1"/>
  <c r="J121" i="6"/>
  <c r="J134" i="6" s="1"/>
  <c r="J50" i="6"/>
  <c r="J46" i="6"/>
  <c r="J41" i="6"/>
  <c r="L98" i="6"/>
  <c r="J44" i="6"/>
  <c r="L104" i="6"/>
  <c r="J45" i="6"/>
  <c r="J52" i="6"/>
  <c r="J49" i="6"/>
  <c r="J35" i="6"/>
  <c r="J43" i="6"/>
  <c r="L92" i="6"/>
  <c r="L108" i="6" s="1"/>
  <c r="L44" i="6"/>
  <c r="L35" i="6"/>
  <c r="L46" i="6"/>
  <c r="L415" i="8"/>
  <c r="L148" i="8"/>
  <c r="L369" i="8"/>
  <c r="L149" i="8"/>
  <c r="L413" i="8" s="1"/>
  <c r="L370" i="8"/>
  <c r="L147" i="8"/>
  <c r="L368" i="8"/>
  <c r="K96" i="8"/>
  <c r="K104" i="8" s="1"/>
  <c r="L45" i="6"/>
  <c r="L43" i="6"/>
  <c r="N37" i="8"/>
  <c r="O37" i="8"/>
  <c r="M417" i="8"/>
  <c r="F170" i="26" s="1"/>
  <c r="K37" i="8"/>
  <c r="L107" i="22"/>
  <c r="N87" i="21"/>
  <c r="L1" i="21" s="1"/>
  <c r="J87" i="21"/>
  <c r="AC61" i="11"/>
  <c r="AO61" i="11"/>
  <c r="L110" i="22"/>
  <c r="W47" i="22"/>
  <c r="L101" i="22"/>
  <c r="H208" i="26"/>
  <c r="L105" i="22"/>
  <c r="L98" i="22"/>
  <c r="W36" i="22"/>
  <c r="L106" i="22"/>
  <c r="U29" i="22"/>
  <c r="L100" i="22"/>
  <c r="N131" i="6"/>
  <c r="W41" i="22"/>
  <c r="W103" i="22"/>
  <c r="L108" i="22"/>
  <c r="R122" i="22"/>
  <c r="V29" i="22"/>
  <c r="L104" i="22"/>
  <c r="W108" i="22"/>
  <c r="K53" i="8"/>
  <c r="W46" i="22"/>
  <c r="W104" i="22"/>
  <c r="W42" i="22"/>
  <c r="D123" i="26"/>
  <c r="K46" i="11"/>
  <c r="D242" i="26" s="1"/>
  <c r="D244" i="26" s="1"/>
  <c r="D243" i="26" s="1"/>
  <c r="X170" i="11"/>
  <c r="X46" i="11" s="1"/>
  <c r="I13" i="26"/>
  <c r="K72" i="20"/>
  <c r="P80" i="11"/>
  <c r="K123" i="6"/>
  <c r="E126" i="26"/>
  <c r="E125" i="26" s="1"/>
  <c r="K119" i="6"/>
  <c r="K120" i="6" s="1"/>
  <c r="K46" i="8"/>
  <c r="K204" i="8" s="1"/>
  <c r="K69" i="6"/>
  <c r="K71" i="6" s="1"/>
  <c r="K72" i="6" s="1"/>
  <c r="K73" i="6" s="1"/>
  <c r="J104" i="6"/>
  <c r="J112" i="6" s="1"/>
  <c r="J116" i="6" s="1"/>
  <c r="J107" i="6"/>
  <c r="W109" i="22"/>
  <c r="C208" i="26"/>
  <c r="AJ170" i="11"/>
  <c r="AJ46" i="11" s="1"/>
  <c r="AJ49" i="11"/>
  <c r="O18" i="6"/>
  <c r="J97" i="6"/>
  <c r="M43" i="6"/>
  <c r="M35" i="6"/>
  <c r="M46" i="6"/>
  <c r="M45" i="6"/>
  <c r="M44" i="6"/>
  <c r="M101" i="8"/>
  <c r="M103" i="8"/>
  <c r="M102" i="8"/>
  <c r="M104" i="8"/>
  <c r="M77" i="8"/>
  <c r="AK142" i="11"/>
  <c r="AK141" i="11"/>
  <c r="AK144" i="11" s="1"/>
  <c r="AK146" i="11" s="1"/>
  <c r="J134" i="20"/>
  <c r="K133" i="20"/>
  <c r="L133" i="20" s="1"/>
  <c r="I80" i="6"/>
  <c r="I86" i="6" s="1"/>
  <c r="O24" i="6"/>
  <c r="I32" i="6"/>
  <c r="J103" i="6"/>
  <c r="W99" i="11"/>
  <c r="W106" i="11" s="1"/>
  <c r="J52" i="8"/>
  <c r="M46" i="8"/>
  <c r="M204" i="8" s="1"/>
  <c r="L107" i="6"/>
  <c r="L111" i="6" s="1"/>
  <c r="L115" i="6" s="1"/>
  <c r="C95" i="26"/>
  <c r="M142" i="11"/>
  <c r="M141" i="11"/>
  <c r="M144" i="11" s="1"/>
  <c r="M146" i="11" s="1"/>
  <c r="Y97" i="11"/>
  <c r="X100" i="11"/>
  <c r="X105" i="11"/>
  <c r="X114" i="11" s="1"/>
  <c r="J107" i="11"/>
  <c r="L147" i="11"/>
  <c r="L167" i="11" s="1"/>
  <c r="K157" i="11"/>
  <c r="K166" i="11" s="1"/>
  <c r="K151" i="11" s="1"/>
  <c r="W157" i="11"/>
  <c r="X147" i="11"/>
  <c r="X167" i="11" s="1"/>
  <c r="W107" i="22"/>
  <c r="AI52" i="11"/>
  <c r="L170" i="11"/>
  <c r="L187" i="11"/>
  <c r="L52" i="11" s="1"/>
  <c r="E252" i="26" s="1"/>
  <c r="E248" i="26" s="1"/>
  <c r="E247" i="26" s="1"/>
  <c r="L49" i="11"/>
  <c r="E200" i="26" s="1"/>
  <c r="E202" i="26" s="1"/>
  <c r="E201" i="26" s="1"/>
  <c r="AJ187" i="11"/>
  <c r="X187" i="11"/>
  <c r="X52" i="11" s="1"/>
  <c r="N53" i="8"/>
  <c r="N272" i="8" s="1"/>
  <c r="AI99" i="11"/>
  <c r="AI106" i="11" s="1"/>
  <c r="M47" i="8"/>
  <c r="M205" i="8" s="1"/>
  <c r="AO80" i="11"/>
  <c r="AO58" i="11"/>
  <c r="K52" i="11"/>
  <c r="D252" i="26" s="1"/>
  <c r="D248" i="26" s="1"/>
  <c r="O31" i="6"/>
  <c r="O53" i="8"/>
  <c r="O272" i="8" s="1"/>
  <c r="AJ100" i="11"/>
  <c r="AK97" i="11"/>
  <c r="AJ105" i="11"/>
  <c r="AJ114" i="11" s="1"/>
  <c r="N85" i="6"/>
  <c r="N97" i="6" s="1"/>
  <c r="W98" i="22"/>
  <c r="Y142" i="11"/>
  <c r="Y141" i="11"/>
  <c r="Y144" i="11" s="1"/>
  <c r="Y146" i="11" s="1"/>
  <c r="N52" i="8"/>
  <c r="N271" i="8" s="1"/>
  <c r="W110" i="22"/>
  <c r="L49" i="6"/>
  <c r="L52" i="6"/>
  <c r="L41" i="6"/>
  <c r="L50" i="6"/>
  <c r="L51" i="6"/>
  <c r="Y117" i="11"/>
  <c r="AK117" i="11"/>
  <c r="O129" i="6"/>
  <c r="AJ147" i="11"/>
  <c r="AJ167" i="11" s="1"/>
  <c r="AI157" i="11"/>
  <c r="M97" i="11"/>
  <c r="L105" i="11"/>
  <c r="L114" i="11" s="1"/>
  <c r="L100" i="11"/>
  <c r="I103" i="6"/>
  <c r="O79" i="6"/>
  <c r="I91" i="6"/>
  <c r="I97" i="6"/>
  <c r="O52" i="8"/>
  <c r="O271" i="8" s="1"/>
  <c r="J98" i="6"/>
  <c r="M85" i="6"/>
  <c r="AK134" i="11"/>
  <c r="Y134" i="11"/>
  <c r="K135" i="6"/>
  <c r="K133" i="6" s="1"/>
  <c r="AC80" i="11"/>
  <c r="AC58" i="11"/>
  <c r="N92" i="11"/>
  <c r="N91" i="11"/>
  <c r="N94" i="11" s="1"/>
  <c r="N96" i="11" s="1"/>
  <c r="X49" i="11"/>
  <c r="J166" i="11"/>
  <c r="J151" i="11" s="1"/>
  <c r="J153" i="11" s="1"/>
  <c r="M86" i="6"/>
  <c r="M104" i="6" s="1"/>
  <c r="M37" i="6"/>
  <c r="O37" i="6" s="1"/>
  <c r="M134" i="11"/>
  <c r="M117" i="11"/>
  <c r="M130" i="11"/>
  <c r="AL92" i="11"/>
  <c r="AL91" i="11"/>
  <c r="AL94" i="11" s="1"/>
  <c r="AL96" i="11" s="1"/>
  <c r="AL130" i="11" s="1"/>
  <c r="Z92" i="11"/>
  <c r="Z91" i="11"/>
  <c r="Z94" i="11" s="1"/>
  <c r="Z96" i="11" s="1"/>
  <c r="Z130" i="11" s="1"/>
  <c r="AI46" i="11"/>
  <c r="J101" i="11"/>
  <c r="K5" i="6" l="1"/>
  <c r="F122" i="26"/>
  <c r="D122" i="26"/>
  <c r="D10" i="20"/>
  <c r="K267" i="26"/>
  <c r="H225" i="20"/>
  <c r="H232" i="20" s="1"/>
  <c r="H314" i="20"/>
  <c r="D247" i="26"/>
  <c r="H74" i="20" s="1"/>
  <c r="D236" i="26"/>
  <c r="H73" i="20" s="1"/>
  <c r="D221" i="26"/>
  <c r="H72" i="20" s="1"/>
  <c r="L72" i="20"/>
  <c r="I95" i="26"/>
  <c r="I130" i="6"/>
  <c r="O130" i="6" s="1"/>
  <c r="D216" i="20"/>
  <c r="G110" i="20"/>
  <c r="G125" i="20" s="1"/>
  <c r="AC208" i="11"/>
  <c r="W209" i="11"/>
  <c r="G189" i="20" s="1"/>
  <c r="D189" i="20" s="1"/>
  <c r="C160" i="26"/>
  <c r="C162" i="26" s="1"/>
  <c r="C161" i="26" s="1"/>
  <c r="C231" i="26"/>
  <c r="C233" i="26" s="1"/>
  <c r="C232" i="26" s="1"/>
  <c r="D124" i="26"/>
  <c r="W117" i="22"/>
  <c r="W118" i="22"/>
  <c r="I207" i="26"/>
  <c r="V122" i="22"/>
  <c r="H121" i="26"/>
  <c r="G121" i="26"/>
  <c r="I230" i="26"/>
  <c r="I159" i="26"/>
  <c r="W33" i="11"/>
  <c r="AC33" i="11" s="1"/>
  <c r="G115" i="20"/>
  <c r="G130" i="20" s="1"/>
  <c r="AI209" i="11"/>
  <c r="AO208" i="11"/>
  <c r="AP208" i="11"/>
  <c r="AO231" i="11"/>
  <c r="AI33" i="11"/>
  <c r="AO33" i="11" s="1"/>
  <c r="L225" i="20"/>
  <c r="L232" i="20" s="1"/>
  <c r="L314" i="20"/>
  <c r="I225" i="20"/>
  <c r="I232" i="20" s="1"/>
  <c r="I314" i="20"/>
  <c r="K225" i="20"/>
  <c r="K232" i="20" s="1"/>
  <c r="K314" i="20"/>
  <c r="J33" i="11"/>
  <c r="P33" i="11" s="1"/>
  <c r="P231" i="11"/>
  <c r="G105" i="20"/>
  <c r="G120" i="20" s="1"/>
  <c r="J209" i="11"/>
  <c r="Q208" i="11"/>
  <c r="P208" i="11"/>
  <c r="J199" i="8"/>
  <c r="P199" i="8" s="1"/>
  <c r="C236" i="26"/>
  <c r="I208" i="26"/>
  <c r="N277" i="8"/>
  <c r="O277" i="8"/>
  <c r="M210" i="8"/>
  <c r="AJ148" i="11"/>
  <c r="AJ152" i="11"/>
  <c r="X148" i="11"/>
  <c r="X152" i="11"/>
  <c r="X99" i="11"/>
  <c r="X106" i="11" s="1"/>
  <c r="X107" i="11" s="1"/>
  <c r="X111" i="11" s="1"/>
  <c r="AJ99" i="11"/>
  <c r="AJ106" i="11" s="1"/>
  <c r="AJ107" i="11" s="1"/>
  <c r="AJ111" i="11" s="1"/>
  <c r="L148" i="11"/>
  <c r="L152" i="11"/>
  <c r="K106" i="11"/>
  <c r="K107" i="11" s="1"/>
  <c r="K101" i="11"/>
  <c r="H161" i="20" s="1"/>
  <c r="L396" i="8"/>
  <c r="L375" i="8"/>
  <c r="L214" i="8"/>
  <c r="M213" i="8"/>
  <c r="M216" i="8" s="1"/>
  <c r="M387" i="8" s="1"/>
  <c r="K382" i="8"/>
  <c r="M382" i="8"/>
  <c r="M409" i="8"/>
  <c r="M410" i="8" s="1"/>
  <c r="M399" i="8"/>
  <c r="M401" i="8" s="1"/>
  <c r="M281" i="8"/>
  <c r="L385" i="8"/>
  <c r="L388" i="8" s="1"/>
  <c r="N280" i="8"/>
  <c r="N279" i="8"/>
  <c r="N400" i="8" s="1"/>
  <c r="N278" i="8"/>
  <c r="O280" i="8"/>
  <c r="O279" i="8"/>
  <c r="O400" i="8" s="1"/>
  <c r="O278" i="8"/>
  <c r="M211" i="8"/>
  <c r="M212" i="8"/>
  <c r="M386" i="8" s="1"/>
  <c r="M394" i="8"/>
  <c r="M381" i="8"/>
  <c r="M393" i="8"/>
  <c r="M380" i="8"/>
  <c r="M392" i="8"/>
  <c r="M379" i="8"/>
  <c r="K405" i="8"/>
  <c r="K406" i="8" s="1"/>
  <c r="M405" i="8"/>
  <c r="M406" i="8" s="1"/>
  <c r="L373" i="8"/>
  <c r="L374" i="8"/>
  <c r="K403" i="8"/>
  <c r="M403" i="8"/>
  <c r="J271" i="8"/>
  <c r="J46" i="8"/>
  <c r="J204" i="8" s="1"/>
  <c r="M367" i="8"/>
  <c r="M370" i="8"/>
  <c r="N35" i="6"/>
  <c r="N44" i="6"/>
  <c r="N45" i="6"/>
  <c r="N50" i="6"/>
  <c r="N41" i="6"/>
  <c r="N52" i="6"/>
  <c r="O32" i="6"/>
  <c r="O35" i="6" s="1"/>
  <c r="O419" i="8"/>
  <c r="H171" i="26" s="1"/>
  <c r="N419" i="8"/>
  <c r="G171" i="26" s="1"/>
  <c r="K419" i="8"/>
  <c r="D171" i="26" s="1"/>
  <c r="N43" i="6"/>
  <c r="N49" i="6"/>
  <c r="N46" i="6"/>
  <c r="J64" i="6"/>
  <c r="J125" i="6"/>
  <c r="J123" i="6" s="1"/>
  <c r="J59" i="6"/>
  <c r="J70" i="6" s="1"/>
  <c r="J47" i="6"/>
  <c r="J53" i="6"/>
  <c r="J74" i="6"/>
  <c r="L112" i="6"/>
  <c r="L116" i="6" s="1"/>
  <c r="L119" i="6" s="1"/>
  <c r="L120" i="6" s="1"/>
  <c r="L121" i="6"/>
  <c r="L134" i="6" s="1"/>
  <c r="L135" i="6" s="1"/>
  <c r="L133" i="6" s="1"/>
  <c r="L47" i="6"/>
  <c r="L125" i="6"/>
  <c r="L74" i="6"/>
  <c r="O417" i="8"/>
  <c r="H170" i="26" s="1"/>
  <c r="N417" i="8"/>
  <c r="G170" i="26" s="1"/>
  <c r="K149" i="8"/>
  <c r="K413" i="8" s="1"/>
  <c r="K370" i="8"/>
  <c r="M149" i="8"/>
  <c r="M413" i="8" s="1"/>
  <c r="M147" i="8"/>
  <c r="M368" i="8"/>
  <c r="M148" i="8"/>
  <c r="M369" i="8"/>
  <c r="J37" i="8"/>
  <c r="J96" i="8"/>
  <c r="J101" i="8" s="1"/>
  <c r="K272" i="8"/>
  <c r="K277" i="8" s="1"/>
  <c r="M415" i="8"/>
  <c r="K417" i="8"/>
  <c r="L371" i="8"/>
  <c r="D9" i="20"/>
  <c r="N127" i="6"/>
  <c r="H116" i="26" s="1"/>
  <c r="G123" i="26"/>
  <c r="U122" i="22"/>
  <c r="K77" i="8"/>
  <c r="H123" i="26"/>
  <c r="K47" i="8"/>
  <c r="W29" i="22"/>
  <c r="K103" i="8"/>
  <c r="K102" i="8"/>
  <c r="K101" i="8"/>
  <c r="L46" i="11"/>
  <c r="E242" i="26" s="1"/>
  <c r="E244" i="26" s="1"/>
  <c r="E243" i="26" s="1"/>
  <c r="Y170" i="11"/>
  <c r="Y46" i="11" s="1"/>
  <c r="E114" i="26"/>
  <c r="E118" i="26" s="1"/>
  <c r="E117" i="26" s="1"/>
  <c r="I74" i="20"/>
  <c r="J111" i="6"/>
  <c r="J115" i="6" s="1"/>
  <c r="J119" i="6" s="1"/>
  <c r="J120" i="6" s="1"/>
  <c r="F126" i="26"/>
  <c r="F125" i="26" s="1"/>
  <c r="I14" i="26"/>
  <c r="I46" i="6"/>
  <c r="I45" i="6"/>
  <c r="I35" i="6"/>
  <c r="I43" i="6"/>
  <c r="O46" i="8"/>
  <c r="O204" i="8" s="1"/>
  <c r="I44" i="6"/>
  <c r="W101" i="11"/>
  <c r="G178" i="20" s="1"/>
  <c r="O85" i="6"/>
  <c r="AI101" i="11"/>
  <c r="G195" i="20" s="1"/>
  <c r="N91" i="6"/>
  <c r="N103" i="6"/>
  <c r="Z117" i="11"/>
  <c r="AL117" i="11"/>
  <c r="O91" i="11"/>
  <c r="O94" i="11" s="1"/>
  <c r="O96" i="11" s="1"/>
  <c r="O92" i="11"/>
  <c r="M97" i="6"/>
  <c r="AK147" i="11"/>
  <c r="AK167" i="11" s="1"/>
  <c r="AJ157" i="11"/>
  <c r="AJ166" i="11" s="1"/>
  <c r="AJ151" i="11" s="1"/>
  <c r="Y49" i="11"/>
  <c r="AK187" i="11"/>
  <c r="AK52" i="11" s="1"/>
  <c r="Y187" i="11"/>
  <c r="Y52" i="11" s="1"/>
  <c r="L157" i="11"/>
  <c r="M147" i="11"/>
  <c r="M167" i="11" s="1"/>
  <c r="N141" i="11"/>
  <c r="N144" i="11" s="1"/>
  <c r="N146" i="11" s="1"/>
  <c r="N142" i="11"/>
  <c r="O86" i="6"/>
  <c r="M98" i="6"/>
  <c r="M103" i="6"/>
  <c r="G162" i="20"/>
  <c r="Z141" i="11"/>
  <c r="Z144" i="11" s="1"/>
  <c r="Z146" i="11" s="1"/>
  <c r="Z142" i="11"/>
  <c r="K153" i="11"/>
  <c r="O80" i="6"/>
  <c r="I104" i="6"/>
  <c r="I92" i="6"/>
  <c r="I108" i="6" s="1"/>
  <c r="I98" i="6"/>
  <c r="M92" i="6"/>
  <c r="M108" i="6" s="1"/>
  <c r="M112" i="6" s="1"/>
  <c r="M116" i="6" s="1"/>
  <c r="AL134" i="11"/>
  <c r="Z134" i="11"/>
  <c r="M91" i="6"/>
  <c r="N47" i="8"/>
  <c r="N205" i="8" s="1"/>
  <c r="X157" i="11"/>
  <c r="X166" i="11" s="1"/>
  <c r="X151" i="11" s="1"/>
  <c r="Y147" i="11"/>
  <c r="Y167" i="11" s="1"/>
  <c r="K134" i="20"/>
  <c r="L134" i="20"/>
  <c r="L99" i="11"/>
  <c r="L106" i="11" s="1"/>
  <c r="D7" i="20"/>
  <c r="M47" i="6"/>
  <c r="AA92" i="11"/>
  <c r="AA91" i="11"/>
  <c r="AA94" i="11" s="1"/>
  <c r="AA96" i="11" s="1"/>
  <c r="AA130" i="11" s="1"/>
  <c r="M51" i="6"/>
  <c r="M49" i="6"/>
  <c r="M41" i="6"/>
  <c r="M74" i="6" s="1"/>
  <c r="M52" i="6"/>
  <c r="M50" i="6"/>
  <c r="M105" i="11"/>
  <c r="M114" i="11" s="1"/>
  <c r="M100" i="11"/>
  <c r="N97" i="11"/>
  <c r="W166" i="11"/>
  <c r="W151" i="11" s="1"/>
  <c r="W153" i="11" s="1"/>
  <c r="J111" i="11"/>
  <c r="J108" i="11"/>
  <c r="J197" i="8" s="1"/>
  <c r="N92" i="6"/>
  <c r="N108" i="6" s="1"/>
  <c r="L59" i="6"/>
  <c r="L70" i="6" s="1"/>
  <c r="L64" i="6"/>
  <c r="L53" i="6"/>
  <c r="G161" i="20"/>
  <c r="J56" i="11"/>
  <c r="AM92" i="11"/>
  <c r="AM91" i="11"/>
  <c r="AM94" i="11" s="1"/>
  <c r="AM96" i="11" s="1"/>
  <c r="AM130" i="11" s="1"/>
  <c r="J149" i="11"/>
  <c r="J73" i="11" s="1"/>
  <c r="J158" i="11"/>
  <c r="O103" i="8"/>
  <c r="O101" i="8"/>
  <c r="O77" i="8"/>
  <c r="O104" i="8"/>
  <c r="O102" i="8"/>
  <c r="I107" i="6"/>
  <c r="I111" i="6" s="1"/>
  <c r="I115" i="6" s="1"/>
  <c r="N46" i="8"/>
  <c r="N204" i="8" s="1"/>
  <c r="O47" i="8"/>
  <c r="O205" i="8" s="1"/>
  <c r="Y100" i="11"/>
  <c r="Y105" i="11"/>
  <c r="Y114" i="11" s="1"/>
  <c r="Z97" i="11"/>
  <c r="N104" i="6"/>
  <c r="AK170" i="11"/>
  <c r="AI107" i="11"/>
  <c r="I38" i="6"/>
  <c r="AL142" i="11"/>
  <c r="AL141" i="11"/>
  <c r="AL144" i="11" s="1"/>
  <c r="AL146" i="11" s="1"/>
  <c r="AI166" i="11"/>
  <c r="AI151" i="11" s="1"/>
  <c r="AI153" i="11" s="1"/>
  <c r="N117" i="11"/>
  <c r="N134" i="11"/>
  <c r="N130" i="11"/>
  <c r="AJ52" i="11"/>
  <c r="N103" i="8"/>
  <c r="N101" i="8"/>
  <c r="N102" i="8"/>
  <c r="N104" i="8"/>
  <c r="N77" i="8"/>
  <c r="AL97" i="11"/>
  <c r="AK100" i="11"/>
  <c r="AK105" i="11"/>
  <c r="AK114" i="11" s="1"/>
  <c r="K158" i="11"/>
  <c r="K159" i="11" s="1"/>
  <c r="K163" i="11" s="1"/>
  <c r="K149" i="11"/>
  <c r="K73" i="11" s="1"/>
  <c r="M170" i="11"/>
  <c r="M187" i="11"/>
  <c r="M49" i="11"/>
  <c r="F200" i="26" s="1"/>
  <c r="F202" i="26" s="1"/>
  <c r="F201" i="26" s="1"/>
  <c r="W107" i="11"/>
  <c r="J53" i="8"/>
  <c r="J135" i="6"/>
  <c r="J133" i="6" s="1"/>
  <c r="D126" i="26" l="1"/>
  <c r="D125" i="26" s="1"/>
  <c r="H122" i="26"/>
  <c r="H126" i="26" s="1"/>
  <c r="H125" i="26" s="1"/>
  <c r="G122" i="26"/>
  <c r="G126" i="26" s="1"/>
  <c r="G125" i="26" s="1"/>
  <c r="I131" i="6"/>
  <c r="O131" i="6" s="1"/>
  <c r="O127" i="6" s="1"/>
  <c r="E236" i="26"/>
  <c r="G73" i="20"/>
  <c r="I231" i="26"/>
  <c r="I233" i="26"/>
  <c r="I160" i="26"/>
  <c r="I162" i="26"/>
  <c r="X101" i="11"/>
  <c r="H178" i="20" s="1"/>
  <c r="AJ101" i="11"/>
  <c r="H195" i="20" s="1"/>
  <c r="C221" i="26"/>
  <c r="AC209" i="11"/>
  <c r="I161" i="26"/>
  <c r="G206" i="20"/>
  <c r="D206" i="20" s="1"/>
  <c r="AO209" i="11"/>
  <c r="G172" i="20"/>
  <c r="G300" i="20" s="1"/>
  <c r="P209" i="11"/>
  <c r="X108" i="11"/>
  <c r="H108" i="20" s="1"/>
  <c r="H123" i="20" s="1"/>
  <c r="AJ108" i="11"/>
  <c r="H113" i="20" s="1"/>
  <c r="H128" i="20" s="1"/>
  <c r="N210" i="8"/>
  <c r="O210" i="8"/>
  <c r="AK148" i="11"/>
  <c r="AK152" i="11"/>
  <c r="Y148" i="11"/>
  <c r="Y152" i="11"/>
  <c r="AJ126" i="11"/>
  <c r="AJ131" i="11"/>
  <c r="X131" i="11"/>
  <c r="X126" i="11"/>
  <c r="AK99" i="11"/>
  <c r="AK106" i="11" s="1"/>
  <c r="AK107" i="11" s="1"/>
  <c r="AK111" i="11" s="1"/>
  <c r="M148" i="11"/>
  <c r="M152" i="11"/>
  <c r="K56" i="11"/>
  <c r="K69" i="11" s="1"/>
  <c r="K70" i="11" s="1"/>
  <c r="M99" i="11"/>
  <c r="M106" i="11" s="1"/>
  <c r="M107" i="11" s="1"/>
  <c r="K111" i="11"/>
  <c r="K108" i="11"/>
  <c r="J109" i="11"/>
  <c r="G170" i="20" s="1"/>
  <c r="M396" i="8"/>
  <c r="N213" i="8"/>
  <c r="N216" i="8" s="1"/>
  <c r="N387" i="8" s="1"/>
  <c r="K375" i="8"/>
  <c r="M375" i="8"/>
  <c r="M214" i="8"/>
  <c r="O213" i="8"/>
  <c r="O216" i="8" s="1"/>
  <c r="O387" i="8" s="1"/>
  <c r="O382" i="8"/>
  <c r="O409" i="8"/>
  <c r="O410" i="8" s="1"/>
  <c r="N382" i="8"/>
  <c r="N409" i="8"/>
  <c r="N410" i="8" s="1"/>
  <c r="N399" i="8"/>
  <c r="N401" i="8" s="1"/>
  <c r="N281" i="8"/>
  <c r="O399" i="8"/>
  <c r="O401" i="8" s="1"/>
  <c r="O281" i="8"/>
  <c r="M385" i="8"/>
  <c r="M388" i="8" s="1"/>
  <c r="K278" i="8"/>
  <c r="K280" i="8"/>
  <c r="K409" i="8" s="1"/>
  <c r="K279" i="8"/>
  <c r="K400" i="8" s="1"/>
  <c r="O212" i="8"/>
  <c r="O386" i="8" s="1"/>
  <c r="O211" i="8"/>
  <c r="N212" i="8"/>
  <c r="N386" i="8" s="1"/>
  <c r="N211" i="8"/>
  <c r="O393" i="8"/>
  <c r="O380" i="8"/>
  <c r="K393" i="8"/>
  <c r="K380" i="8"/>
  <c r="N393" i="8"/>
  <c r="N380" i="8"/>
  <c r="K394" i="8"/>
  <c r="K381" i="8"/>
  <c r="N392" i="8"/>
  <c r="N379" i="8"/>
  <c r="O392" i="8"/>
  <c r="O379" i="8"/>
  <c r="K392" i="8"/>
  <c r="K379" i="8"/>
  <c r="N394" i="8"/>
  <c r="N381" i="8"/>
  <c r="O394" i="8"/>
  <c r="O381" i="8"/>
  <c r="J392" i="8"/>
  <c r="J379" i="8"/>
  <c r="N405" i="8"/>
  <c r="N406" i="8" s="1"/>
  <c r="O405" i="8"/>
  <c r="O406" i="8" s="1"/>
  <c r="M374" i="8"/>
  <c r="M373" i="8"/>
  <c r="O403" i="8"/>
  <c r="N403" i="8"/>
  <c r="K368" i="8"/>
  <c r="N367" i="8"/>
  <c r="K367" i="8"/>
  <c r="O367" i="8"/>
  <c r="K369" i="8"/>
  <c r="J367" i="8"/>
  <c r="L383" i="8"/>
  <c r="L376" i="8"/>
  <c r="N125" i="6"/>
  <c r="N123" i="6" s="1"/>
  <c r="O45" i="6"/>
  <c r="N64" i="6"/>
  <c r="N74" i="6"/>
  <c r="N53" i="6"/>
  <c r="N47" i="6"/>
  <c r="O46" i="6"/>
  <c r="O43" i="6"/>
  <c r="N59" i="6"/>
  <c r="N70" i="6" s="1"/>
  <c r="J419" i="8"/>
  <c r="P419" i="8" s="1"/>
  <c r="J69" i="6"/>
  <c r="J71" i="6" s="1"/>
  <c r="J72" i="6" s="1"/>
  <c r="J73" i="6" s="1"/>
  <c r="L69" i="6"/>
  <c r="L71" i="6" s="1"/>
  <c r="L72" i="6" s="1"/>
  <c r="M121" i="6"/>
  <c r="M134" i="6" s="1"/>
  <c r="M125" i="6"/>
  <c r="N107" i="6"/>
  <c r="N111" i="6" s="1"/>
  <c r="N115" i="6" s="1"/>
  <c r="N121" i="6"/>
  <c r="N134" i="6" s="1"/>
  <c r="I121" i="6"/>
  <c r="I134" i="6" s="1"/>
  <c r="J417" i="8"/>
  <c r="C170" i="26" s="1"/>
  <c r="N415" i="8"/>
  <c r="O149" i="8"/>
  <c r="O413" i="8" s="1"/>
  <c r="O370" i="8"/>
  <c r="N148" i="8"/>
  <c r="N369" i="8"/>
  <c r="O147" i="8"/>
  <c r="O368" i="8"/>
  <c r="N149" i="8"/>
  <c r="N413" i="8" s="1"/>
  <c r="N370" i="8"/>
  <c r="N147" i="8"/>
  <c r="N368" i="8"/>
  <c r="O148" i="8"/>
  <c r="O369" i="8"/>
  <c r="K147" i="8"/>
  <c r="K148" i="8"/>
  <c r="J272" i="8"/>
  <c r="J280" i="8" s="1"/>
  <c r="K205" i="8"/>
  <c r="O415" i="8"/>
  <c r="K415" i="8"/>
  <c r="D170" i="26"/>
  <c r="M371" i="8"/>
  <c r="M46" i="11"/>
  <c r="F242" i="26" s="1"/>
  <c r="F244" i="26" s="1"/>
  <c r="F243" i="26" s="1"/>
  <c r="Z170" i="11"/>
  <c r="Z46" i="11" s="1"/>
  <c r="J69" i="11"/>
  <c r="J70" i="11" s="1"/>
  <c r="L123" i="6"/>
  <c r="I47" i="6"/>
  <c r="O44" i="6"/>
  <c r="J103" i="8"/>
  <c r="G196" i="20"/>
  <c r="AI56" i="11"/>
  <c r="Z100" i="11"/>
  <c r="AA97" i="11"/>
  <c r="Z105" i="11"/>
  <c r="Z114" i="11" s="1"/>
  <c r="J47" i="11"/>
  <c r="C153" i="26" s="1"/>
  <c r="C156" i="26" s="1"/>
  <c r="Y157" i="11"/>
  <c r="Z147" i="11"/>
  <c r="Z167" i="11" s="1"/>
  <c r="O134" i="11"/>
  <c r="O130" i="11"/>
  <c r="P130" i="11" s="1"/>
  <c r="O117" i="11"/>
  <c r="Y99" i="11"/>
  <c r="Y106" i="11" s="1"/>
  <c r="O97" i="11"/>
  <c r="N100" i="11"/>
  <c r="N105" i="11"/>
  <c r="N114" i="11" s="1"/>
  <c r="X153" i="11"/>
  <c r="M107" i="6"/>
  <c r="M111" i="6" s="1"/>
  <c r="M115" i="6" s="1"/>
  <c r="M119" i="6" s="1"/>
  <c r="M120" i="6" s="1"/>
  <c r="AJ158" i="11"/>
  <c r="AJ159" i="11" s="1"/>
  <c r="AJ163" i="11" s="1"/>
  <c r="AJ149" i="11"/>
  <c r="AJ73" i="11" s="1"/>
  <c r="O38" i="6"/>
  <c r="O41" i="6" s="1"/>
  <c r="I51" i="6"/>
  <c r="O51" i="6" s="1"/>
  <c r="I49" i="6"/>
  <c r="I50" i="6"/>
  <c r="O50" i="6" s="1"/>
  <c r="I41" i="6"/>
  <c r="I74" i="6" s="1"/>
  <c r="I52" i="6"/>
  <c r="O52" i="6" s="1"/>
  <c r="AN91" i="11"/>
  <c r="AN94" i="11" s="1"/>
  <c r="AN96" i="11" s="1"/>
  <c r="AN130" i="11" s="1"/>
  <c r="AO130" i="11" s="1"/>
  <c r="AN92" i="11"/>
  <c r="W149" i="11"/>
  <c r="W73" i="11" s="1"/>
  <c r="W158" i="11"/>
  <c r="M101" i="11"/>
  <c r="M59" i="6"/>
  <c r="M70" i="6" s="1"/>
  <c r="M64" i="6"/>
  <c r="M53" i="6"/>
  <c r="M69" i="6" s="1"/>
  <c r="X158" i="11"/>
  <c r="X159" i="11" s="1"/>
  <c r="X163" i="11" s="1"/>
  <c r="X149" i="11"/>
  <c r="X73" i="11" s="1"/>
  <c r="H162" i="20"/>
  <c r="M157" i="11"/>
  <c r="M166" i="11" s="1"/>
  <c r="M151" i="11" s="1"/>
  <c r="N147" i="11"/>
  <c r="N167" i="11" s="1"/>
  <c r="AK157" i="11"/>
  <c r="AL147" i="11"/>
  <c r="AL167" i="11" s="1"/>
  <c r="K184" i="11"/>
  <c r="K179" i="11"/>
  <c r="G179" i="20"/>
  <c r="L107" i="11"/>
  <c r="K160" i="11"/>
  <c r="L166" i="11"/>
  <c r="L151" i="11" s="1"/>
  <c r="AJ153" i="11"/>
  <c r="K47" i="11"/>
  <c r="D153" i="26" s="1"/>
  <c r="D156" i="26" s="1"/>
  <c r="D155" i="26" s="1"/>
  <c r="AL100" i="11"/>
  <c r="AL105" i="11"/>
  <c r="AL114" i="11" s="1"/>
  <c r="AM97" i="11"/>
  <c r="W111" i="11"/>
  <c r="W108" i="11"/>
  <c r="AA134" i="11"/>
  <c r="AM134" i="11"/>
  <c r="H305" i="20"/>
  <c r="AM117" i="11"/>
  <c r="AA117" i="11"/>
  <c r="AI158" i="11"/>
  <c r="AI149" i="11"/>
  <c r="AI73" i="11" s="1"/>
  <c r="J77" i="8"/>
  <c r="G305" i="20"/>
  <c r="G214" i="20"/>
  <c r="O142" i="11"/>
  <c r="O141" i="11"/>
  <c r="O144" i="11" s="1"/>
  <c r="O146" i="11" s="1"/>
  <c r="J47" i="8"/>
  <c r="J205" i="8" s="1"/>
  <c r="J213" i="8" s="1"/>
  <c r="G165" i="20"/>
  <c r="J57" i="11"/>
  <c r="J102" i="8"/>
  <c r="AI111" i="11"/>
  <c r="AI108" i="11"/>
  <c r="N112" i="6"/>
  <c r="N116" i="6" s="1"/>
  <c r="AK46" i="11"/>
  <c r="AB92" i="11"/>
  <c r="AB91" i="11"/>
  <c r="AB94" i="11" s="1"/>
  <c r="AB96" i="11" s="1"/>
  <c r="AB130" i="11" s="1"/>
  <c r="AA141" i="11"/>
  <c r="AA144" i="11" s="1"/>
  <c r="AA146" i="11" s="1"/>
  <c r="AA142" i="11"/>
  <c r="N170" i="11"/>
  <c r="N49" i="11"/>
  <c r="G200" i="26" s="1"/>
  <c r="G202" i="26" s="1"/>
  <c r="G201" i="26" s="1"/>
  <c r="N187" i="11"/>
  <c r="N52" i="11" s="1"/>
  <c r="G252" i="26" s="1"/>
  <c r="G248" i="26" s="1"/>
  <c r="G247" i="26" s="1"/>
  <c r="AK49" i="11"/>
  <c r="Z187" i="11"/>
  <c r="Z52" i="11" s="1"/>
  <c r="AL187" i="11"/>
  <c r="AL170" i="11"/>
  <c r="AL46" i="11" s="1"/>
  <c r="AL49" i="11"/>
  <c r="J104" i="8"/>
  <c r="G103" i="20"/>
  <c r="G118" i="20" s="1"/>
  <c r="M52" i="11"/>
  <c r="F252" i="26" s="1"/>
  <c r="F248" i="26" s="1"/>
  <c r="AM141" i="11"/>
  <c r="AM144" i="11" s="1"/>
  <c r="AM146" i="11" s="1"/>
  <c r="AM142" i="11"/>
  <c r="W56" i="11"/>
  <c r="J159" i="11"/>
  <c r="J131" i="11"/>
  <c r="J126" i="11"/>
  <c r="L101" i="11"/>
  <c r="I112" i="6"/>
  <c r="I116" i="6" s="1"/>
  <c r="I119" i="6" s="1"/>
  <c r="I120" i="6" s="1"/>
  <c r="G306" i="20"/>
  <c r="AK101" i="11" l="1"/>
  <c r="J5" i="6"/>
  <c r="D114" i="26" s="1"/>
  <c r="I127" i="6"/>
  <c r="C116" i="26" s="1"/>
  <c r="I116" i="26" s="1"/>
  <c r="C155" i="26"/>
  <c r="F247" i="26"/>
  <c r="J74" i="20" s="1"/>
  <c r="F236" i="26"/>
  <c r="J73" i="20" s="1"/>
  <c r="I221" i="26"/>
  <c r="I223" i="26"/>
  <c r="I232" i="26"/>
  <c r="G72" i="20"/>
  <c r="X109" i="11"/>
  <c r="H187" i="20" s="1"/>
  <c r="G225" i="20"/>
  <c r="G314" i="20"/>
  <c r="F142" i="22"/>
  <c r="I170" i="26"/>
  <c r="AJ109" i="11"/>
  <c r="H204" i="20" s="1"/>
  <c r="AK108" i="11"/>
  <c r="I113" i="20" s="1"/>
  <c r="I128" i="20" s="1"/>
  <c r="X31" i="11"/>
  <c r="J277" i="8"/>
  <c r="J210" i="8"/>
  <c r="K213" i="8"/>
  <c r="K216" i="8" s="1"/>
  <c r="K387" i="8" s="1"/>
  <c r="K210" i="8"/>
  <c r="AJ31" i="11"/>
  <c r="AL148" i="11"/>
  <c r="AL152" i="11"/>
  <c r="Z148" i="11"/>
  <c r="Z152" i="11"/>
  <c r="AK126" i="11"/>
  <c r="AK131" i="11"/>
  <c r="Z99" i="11"/>
  <c r="Z106" i="11" s="1"/>
  <c r="Z107" i="11" s="1"/>
  <c r="Z111" i="11" s="1"/>
  <c r="AL99" i="11"/>
  <c r="AL106" i="11" s="1"/>
  <c r="AL107" i="11" s="1"/>
  <c r="AL111" i="11" s="1"/>
  <c r="K57" i="11"/>
  <c r="H165" i="20"/>
  <c r="H309" i="20" s="1"/>
  <c r="N148" i="11"/>
  <c r="N152" i="11"/>
  <c r="I73" i="20"/>
  <c r="M111" i="11"/>
  <c r="M108" i="11"/>
  <c r="J103" i="20" s="1"/>
  <c r="J118" i="20" s="1"/>
  <c r="K109" i="11"/>
  <c r="H170" i="20" s="1"/>
  <c r="H312" i="20" s="1"/>
  <c r="H103" i="20"/>
  <c r="H118" i="20" s="1"/>
  <c r="K197" i="8"/>
  <c r="N99" i="11"/>
  <c r="N106" i="11" s="1"/>
  <c r="N107" i="11" s="1"/>
  <c r="K131" i="11"/>
  <c r="K126" i="11"/>
  <c r="K51" i="11" s="1"/>
  <c r="D172" i="26" s="1"/>
  <c r="D174" i="26" s="1"/>
  <c r="D173" i="26" s="1"/>
  <c r="N396" i="8"/>
  <c r="O396" i="8"/>
  <c r="K396" i="8"/>
  <c r="L364" i="8"/>
  <c r="E193" i="26" s="1"/>
  <c r="O375" i="8"/>
  <c r="N375" i="8"/>
  <c r="N214" i="8"/>
  <c r="O385" i="8"/>
  <c r="O388" i="8" s="1"/>
  <c r="O214" i="8"/>
  <c r="J382" i="8"/>
  <c r="J409" i="8"/>
  <c r="K399" i="8"/>
  <c r="K401" i="8" s="1"/>
  <c r="K281" i="8"/>
  <c r="K410" i="8"/>
  <c r="N385" i="8"/>
  <c r="N388" i="8" s="1"/>
  <c r="J278" i="8"/>
  <c r="J281" i="8" s="1"/>
  <c r="K211" i="8"/>
  <c r="K212" i="8"/>
  <c r="K386" i="8" s="1"/>
  <c r="J211" i="8"/>
  <c r="P392" i="8"/>
  <c r="J393" i="8"/>
  <c r="P393" i="8" s="1"/>
  <c r="J380" i="8"/>
  <c r="J394" i="8"/>
  <c r="P394" i="8" s="1"/>
  <c r="J381" i="8"/>
  <c r="J405" i="8"/>
  <c r="J406" i="8" s="1"/>
  <c r="K374" i="8"/>
  <c r="O374" i="8"/>
  <c r="N374" i="8"/>
  <c r="O373" i="8"/>
  <c r="K373" i="8"/>
  <c r="N373" i="8"/>
  <c r="J403" i="8"/>
  <c r="P367" i="8"/>
  <c r="P379" i="8"/>
  <c r="J149" i="8"/>
  <c r="J413" i="8" s="1"/>
  <c r="J369" i="8"/>
  <c r="P369" i="8" s="1"/>
  <c r="M383" i="8"/>
  <c r="M376" i="8"/>
  <c r="N69" i="6"/>
  <c r="N71" i="6" s="1"/>
  <c r="N72" i="6" s="1"/>
  <c r="N73" i="6" s="1"/>
  <c r="O47" i="6"/>
  <c r="C171" i="26"/>
  <c r="I171" i="26" s="1"/>
  <c r="H104" i="20"/>
  <c r="H119" i="20" s="1"/>
  <c r="K198" i="8"/>
  <c r="I125" i="6"/>
  <c r="I123" i="6" s="1"/>
  <c r="P417" i="8"/>
  <c r="J415" i="8"/>
  <c r="P415" i="8" s="1"/>
  <c r="L73" i="6"/>
  <c r="J147" i="8"/>
  <c r="J368" i="8"/>
  <c r="J370" i="8"/>
  <c r="P370" i="8" s="1"/>
  <c r="K371" i="8"/>
  <c r="J279" i="8"/>
  <c r="J148" i="8"/>
  <c r="N371" i="8"/>
  <c r="O371" i="8"/>
  <c r="N46" i="11"/>
  <c r="G242" i="26" s="1"/>
  <c r="G244" i="26" s="1"/>
  <c r="G243" i="26" s="1"/>
  <c r="AA170" i="11"/>
  <c r="AA46" i="11" s="1"/>
  <c r="K74" i="20"/>
  <c r="M123" i="6"/>
  <c r="G312" i="20"/>
  <c r="H214" i="20"/>
  <c r="N119" i="6"/>
  <c r="N120" i="6" s="1"/>
  <c r="P103" i="8"/>
  <c r="I135" i="6"/>
  <c r="I133" i="6" s="1"/>
  <c r="M71" i="6"/>
  <c r="M72" i="6" s="1"/>
  <c r="G298" i="20"/>
  <c r="L158" i="11"/>
  <c r="L149" i="11"/>
  <c r="L73" i="11" s="1"/>
  <c r="K161" i="11"/>
  <c r="J161" i="20"/>
  <c r="AL157" i="11"/>
  <c r="AL166" i="11" s="1"/>
  <c r="AL151" i="11" s="1"/>
  <c r="AM147" i="11"/>
  <c r="AM167" i="11" s="1"/>
  <c r="M135" i="6"/>
  <c r="M133" i="6" s="1"/>
  <c r="AB117" i="11"/>
  <c r="AN117" i="11"/>
  <c r="Z157" i="11"/>
  <c r="Z166" i="11" s="1"/>
  <c r="Z151" i="11" s="1"/>
  <c r="AA147" i="11"/>
  <c r="AA167" i="11" s="1"/>
  <c r="J212" i="8"/>
  <c r="J386" i="8" s="1"/>
  <c r="AK166" i="11"/>
  <c r="AK151" i="11" s="1"/>
  <c r="X47" i="11"/>
  <c r="Y101" i="11"/>
  <c r="AJ47" i="11"/>
  <c r="H179" i="20"/>
  <c r="Y166" i="11"/>
  <c r="Y151" i="11" s="1"/>
  <c r="Y153" i="11" s="1"/>
  <c r="AA100" i="11"/>
  <c r="AA105" i="11"/>
  <c r="AA114" i="11" s="1"/>
  <c r="AB97" i="11"/>
  <c r="J163" i="11"/>
  <c r="J160" i="11"/>
  <c r="J198" i="8" s="1"/>
  <c r="Z49" i="11"/>
  <c r="W159" i="11"/>
  <c r="AJ184" i="11"/>
  <c r="AJ50" i="11" s="1"/>
  <c r="AJ179" i="11"/>
  <c r="X160" i="11"/>
  <c r="H109" i="20" s="1"/>
  <c r="H124" i="20" s="1"/>
  <c r="Y107" i="11"/>
  <c r="AN134" i="11"/>
  <c r="AO134" i="11" s="1"/>
  <c r="AB134" i="11"/>
  <c r="Z101" i="11"/>
  <c r="AI47" i="11"/>
  <c r="P104" i="8"/>
  <c r="G309" i="20"/>
  <c r="W47" i="11"/>
  <c r="I195" i="20"/>
  <c r="G199" i="20"/>
  <c r="AI57" i="11"/>
  <c r="AM187" i="11"/>
  <c r="AM52" i="11" s="1"/>
  <c r="AA187" i="11"/>
  <c r="W57" i="11"/>
  <c r="G182" i="20"/>
  <c r="N157" i="11"/>
  <c r="N166" i="11" s="1"/>
  <c r="N151" i="11" s="1"/>
  <c r="O147" i="11"/>
  <c r="O167" i="11" s="1"/>
  <c r="N135" i="6"/>
  <c r="N133" i="6" s="1"/>
  <c r="AB141" i="11"/>
  <c r="AB144" i="11" s="1"/>
  <c r="AB146" i="11" s="1"/>
  <c r="AB142" i="11"/>
  <c r="AI131" i="11"/>
  <c r="AI126" i="11"/>
  <c r="X56" i="11"/>
  <c r="G108" i="20"/>
  <c r="G123" i="20" s="1"/>
  <c r="W109" i="11"/>
  <c r="H196" i="20"/>
  <c r="L111" i="11"/>
  <c r="L108" i="11"/>
  <c r="M158" i="11"/>
  <c r="M159" i="11" s="1"/>
  <c r="M163" i="11" s="1"/>
  <c r="M149" i="11"/>
  <c r="M73" i="11" s="1"/>
  <c r="L153" i="11"/>
  <c r="G215" i="20"/>
  <c r="AC130" i="11"/>
  <c r="AN97" i="11"/>
  <c r="AM100" i="11"/>
  <c r="AM105" i="11"/>
  <c r="AM114" i="11" s="1"/>
  <c r="I161" i="20"/>
  <c r="J83" i="11"/>
  <c r="J81" i="11"/>
  <c r="G166" i="20"/>
  <c r="K32" i="11"/>
  <c r="P117" i="11"/>
  <c r="AA49" i="11"/>
  <c r="P102" i="8"/>
  <c r="O170" i="11"/>
  <c r="AB170" i="11" s="1"/>
  <c r="O187" i="11"/>
  <c r="AJ160" i="11"/>
  <c r="H114" i="20" s="1"/>
  <c r="H129" i="20" s="1"/>
  <c r="M153" i="11"/>
  <c r="M56" i="11" s="1"/>
  <c r="M69" i="11" s="1"/>
  <c r="M70" i="11" s="1"/>
  <c r="AJ56" i="11"/>
  <c r="O105" i="11"/>
  <c r="O114" i="11" s="1"/>
  <c r="O100" i="11"/>
  <c r="AI159" i="11"/>
  <c r="G113" i="20"/>
  <c r="G128" i="20" s="1"/>
  <c r="AI109" i="11"/>
  <c r="X179" i="11"/>
  <c r="X184" i="11"/>
  <c r="X50" i="11" s="1"/>
  <c r="AN141" i="11"/>
  <c r="AN144" i="11" s="1"/>
  <c r="AN146" i="11" s="1"/>
  <c r="AN142" i="11"/>
  <c r="AM170" i="11"/>
  <c r="AM46" i="11" s="1"/>
  <c r="J31" i="11"/>
  <c r="P134" i="11"/>
  <c r="O134" i="6"/>
  <c r="W131" i="11"/>
  <c r="W126" i="11"/>
  <c r="H306" i="20"/>
  <c r="I59" i="6"/>
  <c r="I70" i="6" s="1"/>
  <c r="I53" i="6"/>
  <c r="I69" i="6" s="1"/>
  <c r="I64" i="6"/>
  <c r="O49" i="6"/>
  <c r="O53" i="6" s="1"/>
  <c r="AL52" i="11"/>
  <c r="N101" i="11" l="1"/>
  <c r="AL101" i="11"/>
  <c r="N5" i="6"/>
  <c r="H114" i="26" s="1"/>
  <c r="H118" i="26" s="1"/>
  <c r="H117" i="26" s="1"/>
  <c r="L5" i="6"/>
  <c r="F114" i="26" s="1"/>
  <c r="F118" i="26" s="1"/>
  <c r="F117" i="26" s="1"/>
  <c r="F144" i="22"/>
  <c r="Q144" i="22" s="1"/>
  <c r="F147" i="22"/>
  <c r="Q147" i="22" s="1"/>
  <c r="F148" i="22"/>
  <c r="Q148" i="22" s="1"/>
  <c r="F146" i="22"/>
  <c r="Q146" i="22" s="1"/>
  <c r="F145" i="22"/>
  <c r="Q145" i="22" s="1"/>
  <c r="G236" i="26"/>
  <c r="G232" i="20"/>
  <c r="D232" i="20" s="1"/>
  <c r="D225" i="20"/>
  <c r="F151" i="22"/>
  <c r="Q151" i="22" s="1"/>
  <c r="F149" i="22"/>
  <c r="Q149" i="22" s="1"/>
  <c r="F152" i="22"/>
  <c r="Q152" i="22" s="1"/>
  <c r="F150" i="22"/>
  <c r="Q150" i="22" s="1"/>
  <c r="F153" i="22"/>
  <c r="Q153" i="22" s="1"/>
  <c r="K81" i="11"/>
  <c r="K43" i="11" s="1"/>
  <c r="D136" i="26" s="1"/>
  <c r="D138" i="26" s="1"/>
  <c r="D137" i="26" s="1"/>
  <c r="G142" i="22"/>
  <c r="AK109" i="11"/>
  <c r="I204" i="20" s="1"/>
  <c r="K50" i="11"/>
  <c r="D206" i="26" s="1"/>
  <c r="D210" i="26" s="1"/>
  <c r="D209" i="26" s="1"/>
  <c r="AL108" i="11"/>
  <c r="J113" i="20" s="1"/>
  <c r="J128" i="20" s="1"/>
  <c r="Z108" i="11"/>
  <c r="J108" i="20" s="1"/>
  <c r="J123" i="20" s="1"/>
  <c r="H166" i="20"/>
  <c r="AK31" i="11"/>
  <c r="AA148" i="11"/>
  <c r="AA152" i="11"/>
  <c r="AM148" i="11"/>
  <c r="AM152" i="11"/>
  <c r="K83" i="11"/>
  <c r="AL126" i="11"/>
  <c r="AL131" i="11"/>
  <c r="Z131" i="11"/>
  <c r="Z126" i="11"/>
  <c r="AM99" i="11"/>
  <c r="AM106" i="11" s="1"/>
  <c r="AM107" i="11" s="1"/>
  <c r="AM111" i="11" s="1"/>
  <c r="AA99" i="11"/>
  <c r="AA106" i="11" s="1"/>
  <c r="AA107" i="11" s="1"/>
  <c r="AA111" i="11" s="1"/>
  <c r="O148" i="11"/>
  <c r="O152" i="11"/>
  <c r="Q152" i="11" s="1"/>
  <c r="M109" i="11"/>
  <c r="J170" i="20" s="1"/>
  <c r="K60" i="11"/>
  <c r="K79" i="11" s="1"/>
  <c r="H298" i="20"/>
  <c r="M197" i="8"/>
  <c r="N111" i="11"/>
  <c r="N108" i="11"/>
  <c r="N197" i="8" s="1"/>
  <c r="K31" i="11"/>
  <c r="M126" i="11"/>
  <c r="M131" i="11"/>
  <c r="L109" i="11"/>
  <c r="I170" i="20" s="1"/>
  <c r="L197" i="8"/>
  <c r="J396" i="8"/>
  <c r="P396" i="8" s="1"/>
  <c r="M364" i="8"/>
  <c r="F193" i="26" s="1"/>
  <c r="P413" i="8"/>
  <c r="K214" i="8"/>
  <c r="J375" i="8"/>
  <c r="P278" i="8"/>
  <c r="P81" i="8" s="1"/>
  <c r="K385" i="8"/>
  <c r="J385" i="8"/>
  <c r="P409" i="8"/>
  <c r="P410" i="8" s="1"/>
  <c r="J216" i="8"/>
  <c r="J387" i="8" s="1"/>
  <c r="P405" i="8"/>
  <c r="P406" i="8" s="1"/>
  <c r="P279" i="8"/>
  <c r="P295" i="8" s="1"/>
  <c r="M321" i="8" s="1"/>
  <c r="J400" i="8"/>
  <c r="J399" i="8"/>
  <c r="K376" i="8"/>
  <c r="O376" i="8"/>
  <c r="J374" i="8"/>
  <c r="J373" i="8"/>
  <c r="P149" i="8"/>
  <c r="P161" i="8" s="1"/>
  <c r="O186" i="8" s="1"/>
  <c r="O383" i="8"/>
  <c r="N383" i="8"/>
  <c r="K383" i="8"/>
  <c r="N376" i="8"/>
  <c r="M73" i="6"/>
  <c r="P381" i="8"/>
  <c r="P148" i="8"/>
  <c r="P160" i="8" s="1"/>
  <c r="L185" i="8" s="1"/>
  <c r="P382" i="8"/>
  <c r="P116" i="8"/>
  <c r="J371" i="8"/>
  <c r="O120" i="6"/>
  <c r="I19" i="26"/>
  <c r="H215" i="20"/>
  <c r="G218" i="20"/>
  <c r="H223" i="20"/>
  <c r="H230" i="20" s="1"/>
  <c r="P115" i="8"/>
  <c r="O135" i="6"/>
  <c r="O133" i="6" s="1"/>
  <c r="M160" i="11"/>
  <c r="AJ161" i="11"/>
  <c r="AJ60" i="11" s="1"/>
  <c r="AJ79" i="11" s="1"/>
  <c r="X161" i="11"/>
  <c r="X60" i="11" s="1"/>
  <c r="X79" i="11" s="1"/>
  <c r="AK149" i="11"/>
  <c r="AK73" i="11" s="1"/>
  <c r="AK158" i="11"/>
  <c r="AL153" i="11"/>
  <c r="W83" i="11"/>
  <c r="W81" i="11"/>
  <c r="G183" i="20"/>
  <c r="P170" i="11"/>
  <c r="P46" i="11" s="1"/>
  <c r="I305" i="20"/>
  <c r="I103" i="20"/>
  <c r="I118" i="20" s="1"/>
  <c r="H182" i="20"/>
  <c r="X57" i="11"/>
  <c r="I179" i="20"/>
  <c r="AJ32" i="11"/>
  <c r="AJ51" i="11"/>
  <c r="G104" i="20"/>
  <c r="G119" i="20" s="1"/>
  <c r="J161" i="11"/>
  <c r="AB100" i="11"/>
  <c r="AB105" i="11"/>
  <c r="AB114" i="11" s="1"/>
  <c r="Z158" i="11"/>
  <c r="Z159" i="11" s="1"/>
  <c r="Z163" i="11" s="1"/>
  <c r="Z149" i="11"/>
  <c r="Z73" i="11" s="1"/>
  <c r="L131" i="11"/>
  <c r="L126" i="11"/>
  <c r="J184" i="11"/>
  <c r="J50" i="11" s="1"/>
  <c r="J179" i="11"/>
  <c r="P212" i="8"/>
  <c r="P386" i="8"/>
  <c r="Z153" i="11"/>
  <c r="Z56" i="11" s="1"/>
  <c r="J305" i="20"/>
  <c r="L47" i="11"/>
  <c r="E153" i="26" s="1"/>
  <c r="E156" i="26" s="1"/>
  <c r="W31" i="11"/>
  <c r="AB187" i="11"/>
  <c r="AC187" i="11" s="1"/>
  <c r="AN187" i="11"/>
  <c r="AO187" i="11" s="1"/>
  <c r="AO52" i="11" s="1"/>
  <c r="P368" i="8"/>
  <c r="O99" i="11"/>
  <c r="O106" i="11" s="1"/>
  <c r="P105" i="11"/>
  <c r="P147" i="8"/>
  <c r="AI31" i="11"/>
  <c r="O157" i="11"/>
  <c r="O52" i="11"/>
  <c r="H252" i="26" s="1"/>
  <c r="J195" i="20"/>
  <c r="AO117" i="11"/>
  <c r="L159" i="11"/>
  <c r="G204" i="20"/>
  <c r="AN170" i="11"/>
  <c r="AN46" i="11" s="1"/>
  <c r="AN49" i="11"/>
  <c r="W163" i="11"/>
  <c r="W160" i="11"/>
  <c r="I178" i="20"/>
  <c r="I214" i="20" s="1"/>
  <c r="Y56" i="11"/>
  <c r="O46" i="11"/>
  <c r="H242" i="26" s="1"/>
  <c r="H244" i="26" s="1"/>
  <c r="H243" i="26" s="1"/>
  <c r="J165" i="20"/>
  <c r="O125" i="6"/>
  <c r="J43" i="11"/>
  <c r="C136" i="26" s="1"/>
  <c r="C138" i="26" s="1"/>
  <c r="C137" i="26" s="1"/>
  <c r="G187" i="20"/>
  <c r="AI83" i="11"/>
  <c r="AI81" i="11"/>
  <c r="G200" i="20"/>
  <c r="G219" i="20" s="1"/>
  <c r="Y158" i="11"/>
  <c r="Y149" i="11"/>
  <c r="Y73" i="11" s="1"/>
  <c r="AC134" i="11"/>
  <c r="H171" i="20"/>
  <c r="H174" i="20" s="1"/>
  <c r="K59" i="11"/>
  <c r="G126" i="22" s="1"/>
  <c r="P187" i="11"/>
  <c r="P52" i="11" s="1"/>
  <c r="N153" i="11"/>
  <c r="N56" i="11" s="1"/>
  <c r="N69" i="11" s="1"/>
  <c r="N70" i="11" s="1"/>
  <c r="M47" i="11"/>
  <c r="F153" i="26" s="1"/>
  <c r="F156" i="26" s="1"/>
  <c r="F155" i="26" s="1"/>
  <c r="AM49" i="11"/>
  <c r="AI163" i="11"/>
  <c r="AI160" i="11"/>
  <c r="J162" i="20"/>
  <c r="I162" i="20"/>
  <c r="M184" i="11"/>
  <c r="M179" i="11"/>
  <c r="O49" i="11"/>
  <c r="H200" i="26" s="1"/>
  <c r="H202" i="26" s="1"/>
  <c r="H201" i="26" s="1"/>
  <c r="AA52" i="11"/>
  <c r="AM157" i="11"/>
  <c r="AN147" i="11"/>
  <c r="AN167" i="11" s="1"/>
  <c r="H199" i="20"/>
  <c r="AJ57" i="11"/>
  <c r="N158" i="11"/>
  <c r="N159" i="11" s="1"/>
  <c r="N163" i="11" s="1"/>
  <c r="N149" i="11"/>
  <c r="N73" i="11" s="1"/>
  <c r="I71" i="6"/>
  <c r="I72" i="6" s="1"/>
  <c r="X32" i="11"/>
  <c r="X51" i="11"/>
  <c r="L56" i="11"/>
  <c r="L69" i="11" s="1"/>
  <c r="L70" i="11" s="1"/>
  <c r="AN105" i="11"/>
  <c r="AN114" i="11" s="1"/>
  <c r="AN100" i="11"/>
  <c r="K161" i="20"/>
  <c r="AC170" i="11"/>
  <c r="J178" i="20"/>
  <c r="Y111" i="11"/>
  <c r="Y108" i="11"/>
  <c r="AC117" i="11"/>
  <c r="AA157" i="11"/>
  <c r="AB147" i="11"/>
  <c r="AB167" i="11" s="1"/>
  <c r="AL158" i="11"/>
  <c r="AL159" i="11" s="1"/>
  <c r="AL163" i="11" s="1"/>
  <c r="AL149" i="11"/>
  <c r="AL73" i="11" s="1"/>
  <c r="AK153" i="11"/>
  <c r="M5" i="6" l="1"/>
  <c r="G114" i="26" s="1"/>
  <c r="G118" i="26" s="1"/>
  <c r="G117" i="26" s="1"/>
  <c r="G144" i="22"/>
  <c r="G148" i="22"/>
  <c r="G147" i="22"/>
  <c r="G145" i="22"/>
  <c r="G146" i="22"/>
  <c r="I252" i="26"/>
  <c r="I247" i="26" s="1"/>
  <c r="H248" i="26"/>
  <c r="E155" i="26"/>
  <c r="H236" i="26"/>
  <c r="I238" i="26" s="1"/>
  <c r="I244" i="26"/>
  <c r="AM101" i="11"/>
  <c r="K195" i="20" s="1"/>
  <c r="AA101" i="11"/>
  <c r="K178" i="20" s="1"/>
  <c r="M50" i="11"/>
  <c r="F206" i="26" s="1"/>
  <c r="F210" i="26" s="1"/>
  <c r="F209" i="26" s="1"/>
  <c r="I243" i="26"/>
  <c r="I242" i="26"/>
  <c r="G151" i="22"/>
  <c r="G152" i="22"/>
  <c r="G153" i="22"/>
  <c r="G149" i="22"/>
  <c r="G150" i="22"/>
  <c r="G138" i="22"/>
  <c r="R138" i="22" s="1"/>
  <c r="G139" i="22"/>
  <c r="R139" i="22" s="1"/>
  <c r="G137" i="22"/>
  <c r="R137" i="22" s="1"/>
  <c r="G140" i="22"/>
  <c r="R140" i="22" s="1"/>
  <c r="G136" i="22"/>
  <c r="R136" i="22" s="1"/>
  <c r="G135" i="22"/>
  <c r="R135" i="22" s="1"/>
  <c r="G133" i="22"/>
  <c r="R133" i="22" s="1"/>
  <c r="G128" i="22"/>
  <c r="R128" i="22" s="1"/>
  <c r="G132" i="22"/>
  <c r="R132" i="22" s="1"/>
  <c r="G131" i="22"/>
  <c r="R131" i="22" s="1"/>
  <c r="G129" i="22"/>
  <c r="R129" i="22" s="1"/>
  <c r="G130" i="22"/>
  <c r="R130" i="22" s="1"/>
  <c r="G134" i="22"/>
  <c r="R134" i="22" s="1"/>
  <c r="AL109" i="11"/>
  <c r="J204" i="20" s="1"/>
  <c r="Z109" i="11"/>
  <c r="J187" i="20" s="1"/>
  <c r="AL31" i="11"/>
  <c r="AM108" i="11"/>
  <c r="AA108" i="11"/>
  <c r="K108" i="20" s="1"/>
  <c r="K123" i="20" s="1"/>
  <c r="Z31" i="11"/>
  <c r="AB148" i="11"/>
  <c r="AB152" i="11"/>
  <c r="AN148" i="11"/>
  <c r="AN152" i="11"/>
  <c r="AA126" i="11"/>
  <c r="AA131" i="11"/>
  <c r="AM126" i="11"/>
  <c r="AM131" i="11"/>
  <c r="AN99" i="11"/>
  <c r="AN106" i="11" s="1"/>
  <c r="AN107" i="11" s="1"/>
  <c r="AB99" i="11"/>
  <c r="AB106" i="11" s="1"/>
  <c r="AB107" i="11" s="1"/>
  <c r="AB111" i="11" s="1"/>
  <c r="AC111" i="11" s="1"/>
  <c r="K73" i="20"/>
  <c r="K103" i="20"/>
  <c r="K118" i="20" s="1"/>
  <c r="N109" i="11"/>
  <c r="K170" i="20" s="1"/>
  <c r="M31" i="11"/>
  <c r="N126" i="11"/>
  <c r="N131" i="11"/>
  <c r="J388" i="8"/>
  <c r="N364" i="8"/>
  <c r="G193" i="26" s="1"/>
  <c r="O364" i="8"/>
  <c r="H193" i="26" s="1"/>
  <c r="K388" i="8"/>
  <c r="K364" i="8" s="1"/>
  <c r="D193" i="26" s="1"/>
  <c r="P371" i="8"/>
  <c r="J214" i="8"/>
  <c r="P211" i="8" s="1"/>
  <c r="P387" i="8"/>
  <c r="J410" i="8"/>
  <c r="P291" i="8"/>
  <c r="J319" i="8" s="1"/>
  <c r="P82" i="8"/>
  <c r="J306" i="8"/>
  <c r="P306" i="8" s="1"/>
  <c r="N313" i="8" s="1"/>
  <c r="K321" i="8"/>
  <c r="N321" i="8"/>
  <c r="O321" i="8"/>
  <c r="J321" i="8"/>
  <c r="L321" i="8"/>
  <c r="P399" i="8"/>
  <c r="J401" i="8"/>
  <c r="P400" i="8"/>
  <c r="J376" i="8"/>
  <c r="P376" i="8" s="1"/>
  <c r="J169" i="8"/>
  <c r="P169" i="8" s="1"/>
  <c r="J336" i="8" s="1"/>
  <c r="P294" i="8"/>
  <c r="N324" i="8" s="1"/>
  <c r="J186" i="8"/>
  <c r="N186" i="8"/>
  <c r="K186" i="8"/>
  <c r="L186" i="8"/>
  <c r="M186" i="8"/>
  <c r="J104" i="20"/>
  <c r="J119" i="20" s="1"/>
  <c r="M198" i="8"/>
  <c r="K185" i="8"/>
  <c r="J168" i="8"/>
  <c r="P168" i="8" s="1"/>
  <c r="N177" i="8" s="1"/>
  <c r="M185" i="8"/>
  <c r="J185" i="8"/>
  <c r="I73" i="6"/>
  <c r="N185" i="8"/>
  <c r="P159" i="8"/>
  <c r="M188" i="8" s="1"/>
  <c r="O185" i="8"/>
  <c r="J383" i="8"/>
  <c r="P383" i="8" s="1"/>
  <c r="P123" i="8"/>
  <c r="O137" i="8"/>
  <c r="N137" i="8"/>
  <c r="M137" i="8"/>
  <c r="L137" i="8"/>
  <c r="K137" i="8"/>
  <c r="J137" i="8"/>
  <c r="J59" i="11"/>
  <c r="F126" i="22" s="1"/>
  <c r="J60" i="11"/>
  <c r="J79" i="11" s="1"/>
  <c r="Q62" i="11"/>
  <c r="F112" i="22" s="1"/>
  <c r="F114" i="22" s="1"/>
  <c r="Q114" i="22" s="1"/>
  <c r="J183" i="11"/>
  <c r="J32" i="11" s="1"/>
  <c r="P122" i="8"/>
  <c r="N130" i="8" s="1"/>
  <c r="O136" i="8"/>
  <c r="N136" i="8"/>
  <c r="M136" i="8"/>
  <c r="L136" i="8"/>
  <c r="K136" i="8"/>
  <c r="J136" i="8"/>
  <c r="O123" i="6"/>
  <c r="I312" i="20"/>
  <c r="H316" i="20"/>
  <c r="H302" i="20"/>
  <c r="J312" i="20"/>
  <c r="G249" i="20"/>
  <c r="G238" i="20"/>
  <c r="H218" i="20"/>
  <c r="J214" i="20"/>
  <c r="P114" i="8"/>
  <c r="I298" i="20"/>
  <c r="M161" i="11"/>
  <c r="AB52" i="11"/>
  <c r="AC105" i="11"/>
  <c r="AN52" i="11"/>
  <c r="AO170" i="11"/>
  <c r="AO46" i="11" s="1"/>
  <c r="J298" i="20"/>
  <c r="AC52" i="11"/>
  <c r="H205" i="20"/>
  <c r="H208" i="20" s="1"/>
  <c r="AJ59" i="11"/>
  <c r="AB46" i="11"/>
  <c r="W179" i="11"/>
  <c r="W184" i="11"/>
  <c r="W50" i="11" s="1"/>
  <c r="G223" i="20"/>
  <c r="W43" i="11"/>
  <c r="AO105" i="11"/>
  <c r="I108" i="20"/>
  <c r="I123" i="20" s="1"/>
  <c r="J306" i="20"/>
  <c r="Y57" i="11"/>
  <c r="I182" i="20"/>
  <c r="Z47" i="11"/>
  <c r="J196" i="20"/>
  <c r="I165" i="20"/>
  <c r="L57" i="11"/>
  <c r="AL47" i="11"/>
  <c r="AL179" i="11"/>
  <c r="AL184" i="11"/>
  <c r="AL50" i="11" s="1"/>
  <c r="L163" i="11"/>
  <c r="L160" i="11"/>
  <c r="L198" i="8" s="1"/>
  <c r="P385" i="8"/>
  <c r="J51" i="11"/>
  <c r="C172" i="26" s="1"/>
  <c r="C174" i="26" s="1"/>
  <c r="C173" i="26" s="1"/>
  <c r="Z179" i="11"/>
  <c r="Z184" i="11"/>
  <c r="Z50" i="11" s="1"/>
  <c r="AL160" i="11"/>
  <c r="J114" i="20" s="1"/>
  <c r="J129" i="20" s="1"/>
  <c r="N47" i="11"/>
  <c r="G153" i="26" s="1"/>
  <c r="G156" i="26" s="1"/>
  <c r="G155" i="26" s="1"/>
  <c r="Y131" i="11"/>
  <c r="Y126" i="11"/>
  <c r="Y47" i="11"/>
  <c r="Y109" i="11"/>
  <c r="P380" i="8"/>
  <c r="J179" i="20"/>
  <c r="C206" i="26"/>
  <c r="AK159" i="11"/>
  <c r="AI43" i="11"/>
  <c r="N184" i="11"/>
  <c r="N179" i="11"/>
  <c r="I306" i="20"/>
  <c r="N160" i="11"/>
  <c r="M57" i="11"/>
  <c r="I142" i="22" s="1"/>
  <c r="O101" i="11"/>
  <c r="Z160" i="11"/>
  <c r="J109" i="20" s="1"/>
  <c r="J124" i="20" s="1"/>
  <c r="AK47" i="11"/>
  <c r="AC46" i="11"/>
  <c r="I196" i="20"/>
  <c r="AK56" i="11"/>
  <c r="AB49" i="11"/>
  <c r="M32" i="11"/>
  <c r="M51" i="11"/>
  <c r="F172" i="26" s="1"/>
  <c r="F174" i="26" s="1"/>
  <c r="F173" i="26" s="1"/>
  <c r="K165" i="20"/>
  <c r="N57" i="11"/>
  <c r="J142" i="22" s="1"/>
  <c r="G114" i="20"/>
  <c r="G129" i="20" s="1"/>
  <c r="AI161" i="11"/>
  <c r="AI60" i="11" s="1"/>
  <c r="K162" i="20"/>
  <c r="AB157" i="11"/>
  <c r="AB166" i="11" s="1"/>
  <c r="AB151" i="11" s="1"/>
  <c r="K305" i="20"/>
  <c r="Y159" i="11"/>
  <c r="AA166" i="11"/>
  <c r="AA151" i="11" s="1"/>
  <c r="AA153" i="11" s="1"/>
  <c r="AN157" i="11"/>
  <c r="AN166" i="11" s="1"/>
  <c r="AN151" i="11" s="1"/>
  <c r="AI179" i="11"/>
  <c r="AI184" i="11"/>
  <c r="AI50" i="11" s="1"/>
  <c r="K66" i="11"/>
  <c r="K44" i="11"/>
  <c r="D142" i="26" s="1"/>
  <c r="K84" i="11"/>
  <c r="K45" i="11" s="1"/>
  <c r="K42" i="11"/>
  <c r="D141" i="26" s="1"/>
  <c r="J309" i="20"/>
  <c r="G109" i="20"/>
  <c r="G124" i="20" s="1"/>
  <c r="W161" i="11"/>
  <c r="W60" i="11" s="1"/>
  <c r="AL56" i="11"/>
  <c r="O166" i="11"/>
  <c r="O151" i="11" s="1"/>
  <c r="P157" i="11"/>
  <c r="G171" i="20"/>
  <c r="G174" i="20" s="1"/>
  <c r="X81" i="11"/>
  <c r="X43" i="11" s="1"/>
  <c r="H183" i="20"/>
  <c r="X83" i="11"/>
  <c r="H188" i="20"/>
  <c r="H191" i="20" s="1"/>
  <c r="X59" i="11"/>
  <c r="J182" i="20"/>
  <c r="Z57" i="11"/>
  <c r="AJ83" i="11"/>
  <c r="AJ81" i="11"/>
  <c r="AJ43" i="11" s="1"/>
  <c r="H200" i="20"/>
  <c r="AM166" i="11"/>
  <c r="AM151" i="11" s="1"/>
  <c r="H313" i="20"/>
  <c r="H299" i="20"/>
  <c r="O107" i="11"/>
  <c r="P106" i="11"/>
  <c r="P227" i="8"/>
  <c r="P231" i="8"/>
  <c r="L31" i="11"/>
  <c r="I5" i="6" l="1"/>
  <c r="I139" i="6" s="1"/>
  <c r="K214" i="20"/>
  <c r="H219" i="20"/>
  <c r="I144" i="22"/>
  <c r="T144" i="22" s="1"/>
  <c r="I147" i="22"/>
  <c r="T147" i="22" s="1"/>
  <c r="I148" i="22"/>
  <c r="T148" i="22" s="1"/>
  <c r="I146" i="22"/>
  <c r="T146" i="22" s="1"/>
  <c r="I145" i="22"/>
  <c r="T145" i="22" s="1"/>
  <c r="J144" i="22"/>
  <c r="U144" i="22" s="1"/>
  <c r="J145" i="22"/>
  <c r="U145" i="22" s="1"/>
  <c r="J148" i="22"/>
  <c r="U148" i="22" s="1"/>
  <c r="J147" i="22"/>
  <c r="U147" i="22" s="1"/>
  <c r="J146" i="22"/>
  <c r="U146" i="22" s="1"/>
  <c r="L73" i="20"/>
  <c r="D73" i="20" s="1"/>
  <c r="M74" i="20" s="1"/>
  <c r="I236" i="26"/>
  <c r="H247" i="26"/>
  <c r="L74" i="20" s="1"/>
  <c r="D74" i="20" s="1"/>
  <c r="I248" i="26"/>
  <c r="D166" i="26"/>
  <c r="D165" i="26" s="1"/>
  <c r="D152" i="26" s="1"/>
  <c r="AM109" i="11"/>
  <c r="K204" i="20" s="1"/>
  <c r="AN101" i="11"/>
  <c r="L195" i="20" s="1"/>
  <c r="AA56" i="11"/>
  <c r="AA57" i="11" s="1"/>
  <c r="AB101" i="11"/>
  <c r="L178" i="20" s="1"/>
  <c r="I124" i="26"/>
  <c r="N50" i="11"/>
  <c r="G206" i="26" s="1"/>
  <c r="G210" i="26" s="1"/>
  <c r="G209" i="26" s="1"/>
  <c r="H142" i="22"/>
  <c r="J151" i="22"/>
  <c r="U151" i="22" s="1"/>
  <c r="J153" i="22"/>
  <c r="U153" i="22" s="1"/>
  <c r="J150" i="22"/>
  <c r="U150" i="22" s="1"/>
  <c r="J152" i="22"/>
  <c r="U152" i="22" s="1"/>
  <c r="J149" i="22"/>
  <c r="U149" i="22" s="1"/>
  <c r="I152" i="22"/>
  <c r="T152" i="22" s="1"/>
  <c r="I151" i="22"/>
  <c r="T151" i="22" s="1"/>
  <c r="I149" i="22"/>
  <c r="T149" i="22" s="1"/>
  <c r="I150" i="22"/>
  <c r="T150" i="22" s="1"/>
  <c r="I153" i="22"/>
  <c r="T153" i="22" s="1"/>
  <c r="R145" i="22"/>
  <c r="R148" i="22"/>
  <c r="R150" i="22"/>
  <c r="R149" i="22"/>
  <c r="R144" i="22"/>
  <c r="R153" i="22"/>
  <c r="R146" i="22"/>
  <c r="R152" i="22"/>
  <c r="R147" i="22"/>
  <c r="R151" i="22"/>
  <c r="F128" i="22"/>
  <c r="Q128" i="22" s="1"/>
  <c r="F140" i="22"/>
  <c r="Q140" i="22" s="1"/>
  <c r="F138" i="22"/>
  <c r="Q138" i="22" s="1"/>
  <c r="F139" i="22"/>
  <c r="Q139" i="22" s="1"/>
  <c r="F136" i="22"/>
  <c r="Q136" i="22" s="1"/>
  <c r="F137" i="22"/>
  <c r="Q137" i="22" s="1"/>
  <c r="F132" i="22"/>
  <c r="Q132" i="22" s="1"/>
  <c r="F129" i="22"/>
  <c r="Q129" i="22" s="1"/>
  <c r="F130" i="22"/>
  <c r="Q130" i="22" s="1"/>
  <c r="F131" i="22"/>
  <c r="Q131" i="22" s="1"/>
  <c r="F135" i="22"/>
  <c r="Q135" i="22" s="1"/>
  <c r="F134" i="22"/>
  <c r="Q134" i="22" s="1"/>
  <c r="F133" i="22"/>
  <c r="Q133" i="22" s="1"/>
  <c r="K113" i="20"/>
  <c r="K128" i="20" s="1"/>
  <c r="AB108" i="11"/>
  <c r="L108" i="20" s="1"/>
  <c r="L123" i="20" s="1"/>
  <c r="AA109" i="11"/>
  <c r="K187" i="20" s="1"/>
  <c r="AO106" i="11"/>
  <c r="AC106" i="11"/>
  <c r="AA31" i="11"/>
  <c r="AC107" i="11"/>
  <c r="AM31" i="11"/>
  <c r="AB131" i="11"/>
  <c r="AB126" i="11"/>
  <c r="AC126" i="11" s="1"/>
  <c r="N31" i="11"/>
  <c r="J302" i="8"/>
  <c r="P302" i="8" s="1"/>
  <c r="L313" i="8" s="1"/>
  <c r="J364" i="8"/>
  <c r="P364" i="8" s="1"/>
  <c r="L319" i="8"/>
  <c r="N319" i="8"/>
  <c r="P290" i="8"/>
  <c r="J318" i="8" s="1"/>
  <c r="M319" i="8"/>
  <c r="K319" i="8"/>
  <c r="O319" i="8"/>
  <c r="P321" i="8"/>
  <c r="P401" i="8"/>
  <c r="K320" i="8"/>
  <c r="J320" i="8"/>
  <c r="J305" i="8"/>
  <c r="P305" i="8" s="1"/>
  <c r="M178" i="8"/>
  <c r="M320" i="8"/>
  <c r="N178" i="8"/>
  <c r="O324" i="8"/>
  <c r="L320" i="8"/>
  <c r="J324" i="8"/>
  <c r="O320" i="8"/>
  <c r="P297" i="8"/>
  <c r="J308" i="8" s="1"/>
  <c r="P308" i="8" s="1"/>
  <c r="M315" i="8" s="1"/>
  <c r="N320" i="8"/>
  <c r="K324" i="8"/>
  <c r="L324" i="8"/>
  <c r="M324" i="8"/>
  <c r="P186" i="8"/>
  <c r="K104" i="20"/>
  <c r="K119" i="20" s="1"/>
  <c r="N198" i="8"/>
  <c r="P163" i="8"/>
  <c r="J171" i="8" s="1"/>
  <c r="P171" i="8" s="1"/>
  <c r="N184" i="8"/>
  <c r="J184" i="8"/>
  <c r="N188" i="8"/>
  <c r="O73" i="6"/>
  <c r="O5" i="6" s="1"/>
  <c r="P185" i="8"/>
  <c r="J167" i="8"/>
  <c r="M184" i="8"/>
  <c r="M189" i="8" s="1"/>
  <c r="M141" i="8" s="1"/>
  <c r="O188" i="8"/>
  <c r="K184" i="8"/>
  <c r="K188" i="8"/>
  <c r="L188" i="8"/>
  <c r="L184" i="8"/>
  <c r="J188" i="8"/>
  <c r="O184" i="8"/>
  <c r="P388" i="8"/>
  <c r="N131" i="8"/>
  <c r="J331" i="8"/>
  <c r="M331" i="8" s="1"/>
  <c r="O138" i="8"/>
  <c r="N138" i="8"/>
  <c r="K138" i="8"/>
  <c r="M138" i="8"/>
  <c r="L138" i="8"/>
  <c r="J138" i="8"/>
  <c r="M131" i="8"/>
  <c r="P137" i="8"/>
  <c r="W79" i="11"/>
  <c r="AI79" i="11"/>
  <c r="J171" i="20"/>
  <c r="J313" i="20" s="1"/>
  <c r="M60" i="11"/>
  <c r="M79" i="11" s="1"/>
  <c r="M177" i="8"/>
  <c r="J349" i="8"/>
  <c r="M313" i="8"/>
  <c r="J335" i="8"/>
  <c r="Q112" i="22"/>
  <c r="Q115" i="22" s="1"/>
  <c r="J49" i="11"/>
  <c r="P183" i="11"/>
  <c r="P49" i="11" s="1"/>
  <c r="P136" i="8"/>
  <c r="M257" i="8"/>
  <c r="L257" i="8"/>
  <c r="J257" i="8"/>
  <c r="K257" i="8"/>
  <c r="O257" i="8"/>
  <c r="N257" i="8"/>
  <c r="O255" i="8"/>
  <c r="N255" i="8"/>
  <c r="M255" i="8"/>
  <c r="L255" i="8"/>
  <c r="K255" i="8"/>
  <c r="J255" i="8"/>
  <c r="J242" i="8"/>
  <c r="J238" i="8"/>
  <c r="P238" i="8" s="1"/>
  <c r="K249" i="8" s="1"/>
  <c r="M130" i="8"/>
  <c r="J330" i="8"/>
  <c r="M135" i="8"/>
  <c r="L135" i="8"/>
  <c r="O135" i="8"/>
  <c r="K135" i="8"/>
  <c r="N135" i="8"/>
  <c r="J135" i="8"/>
  <c r="I20" i="26"/>
  <c r="J223" i="20"/>
  <c r="J230" i="20" s="1"/>
  <c r="K312" i="20"/>
  <c r="G316" i="20"/>
  <c r="G302" i="20"/>
  <c r="G250" i="20"/>
  <c r="H238" i="20"/>
  <c r="H249" i="20"/>
  <c r="H250" i="20" s="1"/>
  <c r="P121" i="8"/>
  <c r="N129" i="8" s="1"/>
  <c r="P117" i="8"/>
  <c r="P124" i="8" s="1"/>
  <c r="J215" i="20"/>
  <c r="H224" i="20"/>
  <c r="H231" i="20" s="1"/>
  <c r="M59" i="11"/>
  <c r="AJ66" i="11"/>
  <c r="AJ67" i="11" s="1"/>
  <c r="AJ68" i="11" s="1"/>
  <c r="AJ78" i="11" s="1"/>
  <c r="AJ41" i="11" s="1"/>
  <c r="AJ44" i="11"/>
  <c r="AJ84" i="11"/>
  <c r="AJ45" i="11" s="1"/>
  <c r="AJ42" i="11"/>
  <c r="AO157" i="11"/>
  <c r="AC157" i="11"/>
  <c r="AM149" i="11"/>
  <c r="AM73" i="11" s="1"/>
  <c r="AM158" i="11"/>
  <c r="I215" i="20"/>
  <c r="I104" i="20"/>
  <c r="I119" i="20" s="1"/>
  <c r="L161" i="11"/>
  <c r="L60" i="11" s="1"/>
  <c r="L79" i="11" s="1"/>
  <c r="AN153" i="11"/>
  <c r="AA149" i="11"/>
  <c r="AA73" i="11" s="1"/>
  <c r="AA158" i="11"/>
  <c r="N32" i="11"/>
  <c r="N51" i="11"/>
  <c r="G172" i="26" s="1"/>
  <c r="G174" i="26" s="1"/>
  <c r="G173" i="26" s="1"/>
  <c r="P226" i="8"/>
  <c r="AM153" i="11"/>
  <c r="L184" i="11"/>
  <c r="L50" i="11" s="1"/>
  <c r="L179" i="11"/>
  <c r="M83" i="11"/>
  <c r="M81" i="11"/>
  <c r="M43" i="11" s="1"/>
  <c r="F136" i="26" s="1"/>
  <c r="F138" i="26" s="1"/>
  <c r="F137" i="26" s="1"/>
  <c r="J166" i="20"/>
  <c r="P230" i="8"/>
  <c r="Y31" i="11"/>
  <c r="L83" i="11"/>
  <c r="L81" i="11"/>
  <c r="I166" i="20"/>
  <c r="AN158" i="11"/>
  <c r="AN159" i="11" s="1"/>
  <c r="AN163" i="11" s="1"/>
  <c r="AN149" i="11"/>
  <c r="AN73" i="11" s="1"/>
  <c r="O149" i="11"/>
  <c r="O73" i="11" s="1"/>
  <c r="O158" i="11"/>
  <c r="Y163" i="11"/>
  <c r="Y160" i="11"/>
  <c r="AB153" i="11"/>
  <c r="AP152" i="11"/>
  <c r="I187" i="20"/>
  <c r="AL32" i="11"/>
  <c r="AL51" i="11"/>
  <c r="I309" i="20"/>
  <c r="Y83" i="11"/>
  <c r="Y81" i="11"/>
  <c r="Y43" i="11" s="1"/>
  <c r="I183" i="20"/>
  <c r="AN111" i="11"/>
  <c r="AO107" i="11"/>
  <c r="G313" i="20"/>
  <c r="G299" i="20"/>
  <c r="AB158" i="11"/>
  <c r="AB159" i="11" s="1"/>
  <c r="AB163" i="11" s="1"/>
  <c r="AB149" i="11"/>
  <c r="AB73" i="11" s="1"/>
  <c r="J199" i="20"/>
  <c r="J218" i="20" s="1"/>
  <c r="AL57" i="11"/>
  <c r="AI51" i="11"/>
  <c r="N83" i="11"/>
  <c r="K166" i="20"/>
  <c r="N81" i="11"/>
  <c r="N43" i="11" s="1"/>
  <c r="G136" i="26" s="1"/>
  <c r="G138" i="26" s="1"/>
  <c r="G137" i="26" s="1"/>
  <c r="Z161" i="11"/>
  <c r="Z60" i="11" s="1"/>
  <c r="Z79" i="11" s="1"/>
  <c r="G230" i="20"/>
  <c r="G205" i="20"/>
  <c r="G208" i="20" s="1"/>
  <c r="AI59" i="11"/>
  <c r="J183" i="20"/>
  <c r="Z83" i="11"/>
  <c r="Z81" i="11"/>
  <c r="Z43" i="11" s="1"/>
  <c r="K67" i="11"/>
  <c r="K68" i="11" s="1"/>
  <c r="K78" i="11" s="1"/>
  <c r="AN108" i="11"/>
  <c r="N161" i="11"/>
  <c r="N60" i="11" s="1"/>
  <c r="N79" i="11" s="1"/>
  <c r="K309" i="20"/>
  <c r="AL161" i="11"/>
  <c r="AL60" i="11" s="1"/>
  <c r="AL79" i="11" s="1"/>
  <c r="W51" i="11"/>
  <c r="G188" i="20"/>
  <c r="G191" i="20" s="1"/>
  <c r="W59" i="11"/>
  <c r="K298" i="20"/>
  <c r="L161" i="20"/>
  <c r="K179" i="20"/>
  <c r="O111" i="11"/>
  <c r="P107" i="11"/>
  <c r="O108" i="11"/>
  <c r="O153" i="11"/>
  <c r="O56" i="11" s="1"/>
  <c r="O69" i="11" s="1"/>
  <c r="O70" i="11" s="1"/>
  <c r="X66" i="11"/>
  <c r="X84" i="11"/>
  <c r="X45" i="11" s="1"/>
  <c r="X44" i="11"/>
  <c r="X42" i="11"/>
  <c r="J84" i="11"/>
  <c r="J66" i="11"/>
  <c r="K306" i="20"/>
  <c r="I199" i="20"/>
  <c r="I218" i="20" s="1"/>
  <c r="AK57" i="11"/>
  <c r="AK163" i="11"/>
  <c r="AK160" i="11"/>
  <c r="Z32" i="11"/>
  <c r="Z51" i="11"/>
  <c r="AD152" i="11"/>
  <c r="C184" i="26" l="1"/>
  <c r="H184" i="26"/>
  <c r="G184" i="26"/>
  <c r="F184" i="26"/>
  <c r="E184" i="26"/>
  <c r="D184" i="26"/>
  <c r="C114" i="26"/>
  <c r="I114" i="26" s="1"/>
  <c r="C200" i="26"/>
  <c r="H144" i="22"/>
  <c r="H147" i="22"/>
  <c r="H148" i="22"/>
  <c r="H146" i="22"/>
  <c r="H145" i="22"/>
  <c r="AN56" i="11"/>
  <c r="L199" i="20" s="1"/>
  <c r="H69" i="20"/>
  <c r="C210" i="26"/>
  <c r="AB56" i="11"/>
  <c r="AD56" i="11" s="1"/>
  <c r="D184" i="20" s="1"/>
  <c r="K182" i="20"/>
  <c r="C115" i="26"/>
  <c r="D115" i="26"/>
  <c r="H152" i="22"/>
  <c r="H149" i="22"/>
  <c r="H150" i="22"/>
  <c r="H151" i="22"/>
  <c r="H153" i="22"/>
  <c r="R155" i="22"/>
  <c r="Q155" i="22"/>
  <c r="M84" i="11"/>
  <c r="M45" i="11" s="1"/>
  <c r="I126" i="22"/>
  <c r="AC131" i="11"/>
  <c r="AD108" i="11"/>
  <c r="AC108" i="11"/>
  <c r="C121" i="26"/>
  <c r="AB109" i="11"/>
  <c r="L187" i="20" s="1"/>
  <c r="AB31" i="11"/>
  <c r="AC31" i="11" s="1"/>
  <c r="J346" i="8"/>
  <c r="K313" i="8"/>
  <c r="O109" i="11"/>
  <c r="P109" i="11" s="1"/>
  <c r="O197" i="8"/>
  <c r="P197" i="8" s="1"/>
  <c r="P319" i="8"/>
  <c r="L318" i="8"/>
  <c r="L325" i="8" s="1"/>
  <c r="L263" i="8" s="1"/>
  <c r="O318" i="8"/>
  <c r="O325" i="8" s="1"/>
  <c r="O263" i="8" s="1"/>
  <c r="J301" i="8"/>
  <c r="P301" i="8" s="1"/>
  <c r="J345" i="8" s="1"/>
  <c r="K318" i="8"/>
  <c r="K325" i="8" s="1"/>
  <c r="D192" i="26" s="1"/>
  <c r="P292" i="8"/>
  <c r="J303" i="8" s="1"/>
  <c r="P303" i="8" s="1"/>
  <c r="K315" i="8" s="1"/>
  <c r="N318" i="8"/>
  <c r="N325" i="8" s="1"/>
  <c r="G192" i="26" s="1"/>
  <c r="M318" i="8"/>
  <c r="J325" i="8"/>
  <c r="C192" i="26" s="1"/>
  <c r="P320" i="8"/>
  <c r="N315" i="8"/>
  <c r="P324" i="8"/>
  <c r="N189" i="8"/>
  <c r="G190" i="26" s="1"/>
  <c r="J189" i="8"/>
  <c r="C190" i="26" s="1"/>
  <c r="P167" i="8"/>
  <c r="J334" i="8" s="1"/>
  <c r="L189" i="8"/>
  <c r="L141" i="8" s="1"/>
  <c r="O189" i="8"/>
  <c r="O141" i="8" s="1"/>
  <c r="K189" i="8"/>
  <c r="K141" i="8" s="1"/>
  <c r="P184" i="8"/>
  <c r="P188" i="8"/>
  <c r="C193" i="26"/>
  <c r="L139" i="8"/>
  <c r="L90" i="8" s="1"/>
  <c r="N139" i="8"/>
  <c r="N90" i="8" s="1"/>
  <c r="O139" i="8"/>
  <c r="H189" i="26" s="1"/>
  <c r="M139" i="8"/>
  <c r="M90" i="8" s="1"/>
  <c r="K139" i="8"/>
  <c r="K90" i="8" s="1"/>
  <c r="J139" i="8"/>
  <c r="C189" i="26" s="1"/>
  <c r="J299" i="20"/>
  <c r="J174" i="20"/>
  <c r="J316" i="20" s="1"/>
  <c r="N312" i="8"/>
  <c r="J348" i="8"/>
  <c r="M312" i="8"/>
  <c r="P242" i="8"/>
  <c r="J343" i="8" s="1"/>
  <c r="O260" i="8"/>
  <c r="K260" i="8"/>
  <c r="N260" i="8"/>
  <c r="J260" i="8"/>
  <c r="M260" i="8"/>
  <c r="L260" i="8"/>
  <c r="P138" i="8"/>
  <c r="Q120" i="22"/>
  <c r="AD62" i="11"/>
  <c r="W183" i="11"/>
  <c r="AP62" i="11"/>
  <c r="AI183" i="11"/>
  <c r="P135" i="8"/>
  <c r="P255" i="8"/>
  <c r="P257" i="8"/>
  <c r="J256" i="8"/>
  <c r="K256" i="8"/>
  <c r="N256" i="8"/>
  <c r="L256" i="8"/>
  <c r="M256" i="8"/>
  <c r="O256" i="8"/>
  <c r="F190" i="26"/>
  <c r="J254" i="8"/>
  <c r="M254" i="8"/>
  <c r="L254" i="8"/>
  <c r="K254" i="8"/>
  <c r="N254" i="8"/>
  <c r="O254" i="8"/>
  <c r="J340" i="8"/>
  <c r="L249" i="8"/>
  <c r="J337" i="8"/>
  <c r="N180" i="8"/>
  <c r="M180" i="8"/>
  <c r="I223" i="20"/>
  <c r="I230" i="20" s="1"/>
  <c r="I249" i="20"/>
  <c r="I250" i="20" s="1"/>
  <c r="J238" i="20"/>
  <c r="J249" i="20"/>
  <c r="J250" i="20" s="1"/>
  <c r="O134" i="8"/>
  <c r="M129" i="8"/>
  <c r="J329" i="8"/>
  <c r="N132" i="8"/>
  <c r="M132" i="8"/>
  <c r="H227" i="20"/>
  <c r="H234" i="20" s="1"/>
  <c r="H246" i="20" s="1"/>
  <c r="H247" i="20" s="1"/>
  <c r="J332" i="8"/>
  <c r="M44" i="11"/>
  <c r="F142" i="26" s="1"/>
  <c r="M66" i="11"/>
  <c r="M67" i="11" s="1"/>
  <c r="M68" i="11" s="1"/>
  <c r="M78" i="11" s="1"/>
  <c r="K223" i="20"/>
  <c r="K230" i="20" s="1"/>
  <c r="M42" i="11"/>
  <c r="F141" i="26" s="1"/>
  <c r="AJ85" i="11"/>
  <c r="AJ35" i="11" s="1"/>
  <c r="AJ36" i="11" s="1"/>
  <c r="AJ29" i="11" s="1"/>
  <c r="K41" i="11"/>
  <c r="D143" i="26" s="1"/>
  <c r="D145" i="26" s="1"/>
  <c r="D144" i="26" s="1"/>
  <c r="K85" i="11"/>
  <c r="K171" i="20"/>
  <c r="K174" i="20" s="1"/>
  <c r="N59" i="11"/>
  <c r="J126" i="22" s="1"/>
  <c r="I171" i="20"/>
  <c r="I174" i="20" s="1"/>
  <c r="L59" i="11"/>
  <c r="H126" i="22" s="1"/>
  <c r="AN47" i="11"/>
  <c r="I238" i="20"/>
  <c r="J44" i="11"/>
  <c r="C142" i="26" s="1"/>
  <c r="AN179" i="11"/>
  <c r="AN184" i="11"/>
  <c r="J42" i="11"/>
  <c r="C141" i="26" s="1"/>
  <c r="AA47" i="11"/>
  <c r="AC73" i="11"/>
  <c r="J67" i="11"/>
  <c r="J68" i="11" s="1"/>
  <c r="E206" i="26"/>
  <c r="E210" i="26" s="1"/>
  <c r="E209" i="26" s="1"/>
  <c r="L196" i="20"/>
  <c r="AA159" i="11"/>
  <c r="AC158" i="11"/>
  <c r="J241" i="8"/>
  <c r="P233" i="8"/>
  <c r="J244" i="8" s="1"/>
  <c r="P244" i="8" s="1"/>
  <c r="AI84" i="11"/>
  <c r="AI66" i="11"/>
  <c r="AL81" i="11"/>
  <c r="AL43" i="11" s="1"/>
  <c r="AL83" i="11"/>
  <c r="J200" i="20"/>
  <c r="J219" i="20" s="1"/>
  <c r="AK184" i="11"/>
  <c r="AK50" i="11" s="1"/>
  <c r="AK179" i="11"/>
  <c r="G224" i="20"/>
  <c r="AB47" i="11"/>
  <c r="O159" i="11"/>
  <c r="P158" i="11"/>
  <c r="K196" i="20"/>
  <c r="AM56" i="11"/>
  <c r="AN160" i="11"/>
  <c r="L114" i="20" s="1"/>
  <c r="L129" i="20" s="1"/>
  <c r="AN131" i="11"/>
  <c r="AN126" i="11"/>
  <c r="AO111" i="11"/>
  <c r="L179" i="20"/>
  <c r="O47" i="11"/>
  <c r="H153" i="26" s="1"/>
  <c r="H156" i="26" s="1"/>
  <c r="P73" i="11"/>
  <c r="L43" i="11"/>
  <c r="E136" i="26" s="1"/>
  <c r="E138" i="26" s="1"/>
  <c r="E137" i="26" s="1"/>
  <c r="J237" i="8"/>
  <c r="P237" i="8" s="1"/>
  <c r="P228" i="8"/>
  <c r="L113" i="20"/>
  <c r="L128" i="20" s="1"/>
  <c r="AP108" i="11"/>
  <c r="AO108" i="11"/>
  <c r="O126" i="11"/>
  <c r="O131" i="11"/>
  <c r="P111" i="11"/>
  <c r="L32" i="11"/>
  <c r="L51" i="11"/>
  <c r="E172" i="26" s="1"/>
  <c r="E174" i="26" s="1"/>
  <c r="E173" i="26" s="1"/>
  <c r="L305" i="20"/>
  <c r="J188" i="20"/>
  <c r="J191" i="20" s="1"/>
  <c r="Z59" i="11"/>
  <c r="AB179" i="11"/>
  <c r="AB184" i="11"/>
  <c r="AB50" i="11" s="1"/>
  <c r="AB160" i="11"/>
  <c r="L109" i="20" s="1"/>
  <c r="L124" i="20" s="1"/>
  <c r="AM159" i="11"/>
  <c r="AO158" i="11"/>
  <c r="AK83" i="11"/>
  <c r="AK81" i="11"/>
  <c r="I200" i="20"/>
  <c r="I219" i="20" s="1"/>
  <c r="L103" i="20"/>
  <c r="L118" i="20" s="1"/>
  <c r="P108" i="11"/>
  <c r="Q108" i="11"/>
  <c r="J205" i="20"/>
  <c r="J208" i="20" s="1"/>
  <c r="AL59" i="11"/>
  <c r="I109" i="20"/>
  <c r="I124" i="20" s="1"/>
  <c r="Y161" i="11"/>
  <c r="Y60" i="11" s="1"/>
  <c r="X67" i="11"/>
  <c r="X68" i="11" s="1"/>
  <c r="X78" i="11" s="1"/>
  <c r="Y184" i="11"/>
  <c r="Y50" i="11" s="1"/>
  <c r="Y179" i="11"/>
  <c r="I114" i="20"/>
  <c r="I129" i="20" s="1"/>
  <c r="AK161" i="11"/>
  <c r="AK60" i="11" s="1"/>
  <c r="J45" i="11"/>
  <c r="L165" i="20"/>
  <c r="O57" i="11"/>
  <c r="Q56" i="11"/>
  <c r="AN109" i="11"/>
  <c r="L162" i="20"/>
  <c r="W84" i="11"/>
  <c r="W66" i="11"/>
  <c r="L214" i="20"/>
  <c r="D214" i="20" s="1"/>
  <c r="AM47" i="11"/>
  <c r="AO73" i="11"/>
  <c r="AA83" i="11"/>
  <c r="K183" i="20"/>
  <c r="AA81" i="11"/>
  <c r="AA43" i="11" s="1"/>
  <c r="I184" i="26" l="1"/>
  <c r="AN57" i="11"/>
  <c r="I200" i="26"/>
  <c r="C202" i="26"/>
  <c r="C201" i="26" s="1"/>
  <c r="I201" i="26" s="1"/>
  <c r="H155" i="26"/>
  <c r="I155" i="26" s="1"/>
  <c r="I156" i="26"/>
  <c r="L182" i="20"/>
  <c r="AB57" i="11"/>
  <c r="AB83" i="11" s="1"/>
  <c r="C209" i="26"/>
  <c r="F166" i="26"/>
  <c r="F165" i="26" s="1"/>
  <c r="F152" i="26" s="1"/>
  <c r="C166" i="26"/>
  <c r="C118" i="26"/>
  <c r="I193" i="26"/>
  <c r="I115" i="26"/>
  <c r="S153" i="22"/>
  <c r="K142" i="22"/>
  <c r="P57" i="11"/>
  <c r="L142" i="22" s="1"/>
  <c r="S151" i="22"/>
  <c r="S148" i="22"/>
  <c r="S149" i="22"/>
  <c r="S146" i="22"/>
  <c r="S152" i="22"/>
  <c r="S150" i="22"/>
  <c r="S145" i="22"/>
  <c r="S147" i="22"/>
  <c r="AN50" i="11"/>
  <c r="S144" i="22"/>
  <c r="H139" i="22"/>
  <c r="S139" i="22" s="1"/>
  <c r="H137" i="22"/>
  <c r="S137" i="22" s="1"/>
  <c r="H138" i="22"/>
  <c r="S138" i="22" s="1"/>
  <c r="H140" i="22"/>
  <c r="S140" i="22" s="1"/>
  <c r="H136" i="22"/>
  <c r="S136" i="22" s="1"/>
  <c r="H134" i="22"/>
  <c r="S134" i="22" s="1"/>
  <c r="H132" i="22"/>
  <c r="S132" i="22" s="1"/>
  <c r="H128" i="22"/>
  <c r="S128" i="22" s="1"/>
  <c r="H135" i="22"/>
  <c r="S135" i="22" s="1"/>
  <c r="H131" i="22"/>
  <c r="S131" i="22" s="1"/>
  <c r="H133" i="22"/>
  <c r="S133" i="22" s="1"/>
  <c r="H130" i="22"/>
  <c r="S130" i="22" s="1"/>
  <c r="H129" i="22"/>
  <c r="S129" i="22" s="1"/>
  <c r="J140" i="22"/>
  <c r="U140" i="22" s="1"/>
  <c r="J136" i="22"/>
  <c r="U136" i="22" s="1"/>
  <c r="J137" i="22"/>
  <c r="U137" i="22" s="1"/>
  <c r="J138" i="22"/>
  <c r="U138" i="22" s="1"/>
  <c r="J139" i="22"/>
  <c r="U139" i="22" s="1"/>
  <c r="J130" i="22"/>
  <c r="U130" i="22" s="1"/>
  <c r="J131" i="22"/>
  <c r="U131" i="22" s="1"/>
  <c r="J129" i="22"/>
  <c r="U129" i="22" s="1"/>
  <c r="J135" i="22"/>
  <c r="U135" i="22" s="1"/>
  <c r="J133" i="22"/>
  <c r="U133" i="22" s="1"/>
  <c r="J132" i="22"/>
  <c r="U132" i="22" s="1"/>
  <c r="J128" i="22"/>
  <c r="U128" i="22" s="1"/>
  <c r="J134" i="22"/>
  <c r="U134" i="22" s="1"/>
  <c r="I139" i="22"/>
  <c r="T139" i="22" s="1"/>
  <c r="I138" i="22"/>
  <c r="T138" i="22" s="1"/>
  <c r="I140" i="22"/>
  <c r="T140" i="22" s="1"/>
  <c r="I136" i="22"/>
  <c r="T136" i="22" s="1"/>
  <c r="I137" i="22"/>
  <c r="T137" i="22" s="1"/>
  <c r="I129" i="22"/>
  <c r="T129" i="22" s="1"/>
  <c r="I133" i="22"/>
  <c r="T133" i="22" s="1"/>
  <c r="I130" i="22"/>
  <c r="T130" i="22" s="1"/>
  <c r="I134" i="22"/>
  <c r="T134" i="22" s="1"/>
  <c r="I132" i="22"/>
  <c r="T132" i="22" s="1"/>
  <c r="I131" i="22"/>
  <c r="T131" i="22" s="1"/>
  <c r="I128" i="22"/>
  <c r="T128" i="22" s="1"/>
  <c r="I135" i="22"/>
  <c r="T135" i="22" s="1"/>
  <c r="I153" i="26"/>
  <c r="D129" i="26"/>
  <c r="D218" i="26" s="1"/>
  <c r="D217" i="26" s="1"/>
  <c r="W120" i="22"/>
  <c r="AC109" i="11"/>
  <c r="D109" i="26"/>
  <c r="I109" i="26" s="1"/>
  <c r="D112" i="26"/>
  <c r="I112" i="26" s="1"/>
  <c r="L170" i="20"/>
  <c r="L312" i="20" s="1"/>
  <c r="P318" i="8"/>
  <c r="M325" i="8"/>
  <c r="F192" i="26" s="1"/>
  <c r="H192" i="26"/>
  <c r="K312" i="8"/>
  <c r="L312" i="8"/>
  <c r="L315" i="8"/>
  <c r="E192" i="26"/>
  <c r="O317" i="8"/>
  <c r="M329" i="8"/>
  <c r="K263" i="8"/>
  <c r="N263" i="8"/>
  <c r="E190" i="26"/>
  <c r="N141" i="8"/>
  <c r="M176" i="8"/>
  <c r="J181" i="8" s="1"/>
  <c r="N176" i="8"/>
  <c r="H190" i="26"/>
  <c r="D190" i="26"/>
  <c r="P189" i="8"/>
  <c r="O182" i="8"/>
  <c r="N261" i="8"/>
  <c r="N191" i="8" s="1"/>
  <c r="K261" i="8"/>
  <c r="D191" i="26" s="1"/>
  <c r="O261" i="8"/>
  <c r="O191" i="8" s="1"/>
  <c r="L261" i="8"/>
  <c r="L191" i="8" s="1"/>
  <c r="L5" i="8" s="1"/>
  <c r="M261" i="8"/>
  <c r="F191" i="26" s="1"/>
  <c r="J261" i="8"/>
  <c r="J302" i="20"/>
  <c r="C123" i="26"/>
  <c r="I123" i="26" s="1"/>
  <c r="AK79" i="11"/>
  <c r="Y79" i="11"/>
  <c r="J133" i="8"/>
  <c r="N249" i="8"/>
  <c r="M249" i="8"/>
  <c r="P241" i="8"/>
  <c r="J342" i="8" s="1"/>
  <c r="P260" i="8"/>
  <c r="Q122" i="22"/>
  <c r="D189" i="26"/>
  <c r="E68" i="14"/>
  <c r="J78" i="11"/>
  <c r="J41" i="11" s="1"/>
  <c r="C143" i="26" s="1"/>
  <c r="C145" i="26" s="1"/>
  <c r="C144" i="26" s="1"/>
  <c r="AO183" i="11"/>
  <c r="AO49" i="11" s="1"/>
  <c r="AI49" i="11"/>
  <c r="AI32" i="11"/>
  <c r="AC183" i="11"/>
  <c r="AC49" i="11" s="1"/>
  <c r="W49" i="11"/>
  <c r="W32" i="11"/>
  <c r="P254" i="8"/>
  <c r="P256" i="8"/>
  <c r="E189" i="26"/>
  <c r="J239" i="8"/>
  <c r="P239" i="8" s="1"/>
  <c r="F189" i="26"/>
  <c r="O90" i="8"/>
  <c r="P139" i="8"/>
  <c r="G189" i="26"/>
  <c r="I316" i="20"/>
  <c r="I302" i="20"/>
  <c r="D187" i="20"/>
  <c r="K316" i="20"/>
  <c r="K302" i="20"/>
  <c r="J224" i="20"/>
  <c r="J231" i="20" s="1"/>
  <c r="H239" i="20"/>
  <c r="X12" i="11"/>
  <c r="L218" i="20"/>
  <c r="AJ38" i="11"/>
  <c r="L215" i="20"/>
  <c r="AN161" i="11"/>
  <c r="L205" i="20" s="1"/>
  <c r="M41" i="11"/>
  <c r="F143" i="26" s="1"/>
  <c r="F145" i="26" s="1"/>
  <c r="F144" i="26" s="1"/>
  <c r="M85" i="11"/>
  <c r="X41" i="11"/>
  <c r="X85" i="11"/>
  <c r="X35" i="11" s="1"/>
  <c r="X36" i="11" s="1"/>
  <c r="X29" i="11" s="1"/>
  <c r="AO131" i="11"/>
  <c r="K215" i="20"/>
  <c r="E196" i="20"/>
  <c r="AI67" i="11"/>
  <c r="AI68" i="11" s="1"/>
  <c r="AI78" i="11" s="1"/>
  <c r="AI44" i="11"/>
  <c r="AN32" i="11"/>
  <c r="N66" i="11"/>
  <c r="N44" i="11"/>
  <c r="G142" i="26" s="1"/>
  <c r="N84" i="11"/>
  <c r="N45" i="11" s="1"/>
  <c r="N42" i="11"/>
  <c r="G141" i="26" s="1"/>
  <c r="I188" i="20"/>
  <c r="I191" i="20" s="1"/>
  <c r="Y59" i="11"/>
  <c r="P47" i="11"/>
  <c r="O31" i="11"/>
  <c r="P126" i="11"/>
  <c r="AK32" i="11"/>
  <c r="AK51" i="11"/>
  <c r="K313" i="20"/>
  <c r="K299" i="20"/>
  <c r="D167" i="20"/>
  <c r="G231" i="20"/>
  <c r="G227" i="20"/>
  <c r="W45" i="11"/>
  <c r="L309" i="20"/>
  <c r="E163" i="20"/>
  <c r="E198" i="20"/>
  <c r="E164" i="20"/>
  <c r="E197" i="20"/>
  <c r="E180" i="20"/>
  <c r="E181" i="20"/>
  <c r="AM163" i="11"/>
  <c r="AM160" i="11"/>
  <c r="AO159" i="11"/>
  <c r="AI45" i="11"/>
  <c r="AA163" i="11"/>
  <c r="AA160" i="11"/>
  <c r="AC159" i="11"/>
  <c r="L66" i="11"/>
  <c r="L84" i="11"/>
  <c r="AN51" i="11"/>
  <c r="AN31" i="11"/>
  <c r="AO126" i="11"/>
  <c r="I205" i="20"/>
  <c r="I208" i="20" s="1"/>
  <c r="AK59" i="11"/>
  <c r="AB32" i="11"/>
  <c r="AB51" i="11"/>
  <c r="P131" i="11"/>
  <c r="E178" i="20"/>
  <c r="AI42" i="11"/>
  <c r="AC47" i="11"/>
  <c r="AO47" i="11"/>
  <c r="E195" i="20"/>
  <c r="L306" i="20"/>
  <c r="E162" i="20"/>
  <c r="Z44" i="11"/>
  <c r="Z84" i="11"/>
  <c r="Z45" i="11" s="1"/>
  <c r="Z42" i="11"/>
  <c r="Z66" i="11"/>
  <c r="W42" i="11"/>
  <c r="L200" i="20"/>
  <c r="AN81" i="11"/>
  <c r="AN43" i="11" s="1"/>
  <c r="AN83" i="11"/>
  <c r="L248" i="8"/>
  <c r="K248" i="8"/>
  <c r="J339" i="8"/>
  <c r="AB161" i="11"/>
  <c r="AB60" i="11" s="1"/>
  <c r="AB79" i="11" s="1"/>
  <c r="M251" i="8"/>
  <c r="N251" i="8"/>
  <c r="I313" i="20"/>
  <c r="I299" i="20"/>
  <c r="K54" i="11"/>
  <c r="K35" i="11"/>
  <c r="W44" i="11"/>
  <c r="O83" i="11"/>
  <c r="O81" i="11"/>
  <c r="L166" i="20"/>
  <c r="AK43" i="11"/>
  <c r="E179" i="20"/>
  <c r="AL66" i="11"/>
  <c r="AL42" i="11"/>
  <c r="AL84" i="11"/>
  <c r="AL45" i="11" s="1"/>
  <c r="AL44" i="11"/>
  <c r="O163" i="11"/>
  <c r="O160" i="11"/>
  <c r="O198" i="8" s="1"/>
  <c r="P198" i="8" s="1"/>
  <c r="K269" i="26" s="1"/>
  <c r="P159" i="11"/>
  <c r="W67" i="11"/>
  <c r="W68" i="11" s="1"/>
  <c r="W78" i="11" s="1"/>
  <c r="L204" i="20"/>
  <c r="AO109" i="11"/>
  <c r="Y32" i="11"/>
  <c r="Y51" i="11"/>
  <c r="E161" i="20"/>
  <c r="AM57" i="11"/>
  <c r="K199" i="20"/>
  <c r="K218" i="20" s="1"/>
  <c r="AP56" i="11"/>
  <c r="D201" i="20" s="1"/>
  <c r="W122" i="22"/>
  <c r="AB81" i="11" l="1"/>
  <c r="AB43" i="11" s="1"/>
  <c r="E179" i="26"/>
  <c r="H179" i="26"/>
  <c r="D179" i="26"/>
  <c r="G179" i="26"/>
  <c r="F179" i="26"/>
  <c r="D180" i="26"/>
  <c r="H180" i="26"/>
  <c r="G180" i="26"/>
  <c r="F180" i="26"/>
  <c r="E180" i="26"/>
  <c r="J90" i="8"/>
  <c r="P90" i="8" s="1"/>
  <c r="C179" i="26"/>
  <c r="J141" i="8"/>
  <c r="P141" i="8" s="1"/>
  <c r="C180" i="26"/>
  <c r="P1" i="8"/>
  <c r="C122" i="26"/>
  <c r="K144" i="22"/>
  <c r="K145" i="22"/>
  <c r="K147" i="22"/>
  <c r="K148" i="22"/>
  <c r="K146" i="22"/>
  <c r="L183" i="20"/>
  <c r="D118" i="26"/>
  <c r="D117" i="26" s="1"/>
  <c r="F195" i="26"/>
  <c r="F194" i="26" s="1"/>
  <c r="J69" i="20"/>
  <c r="D195" i="26"/>
  <c r="D194" i="26" s="1"/>
  <c r="G166" i="26"/>
  <c r="G165" i="26" s="1"/>
  <c r="G152" i="26" s="1"/>
  <c r="C165" i="26"/>
  <c r="C152" i="26" s="1"/>
  <c r="C117" i="26"/>
  <c r="F129" i="26"/>
  <c r="C129" i="26"/>
  <c r="L298" i="20"/>
  <c r="I121" i="26"/>
  <c r="I100" i="26"/>
  <c r="K153" i="22"/>
  <c r="K151" i="22"/>
  <c r="K150" i="22"/>
  <c r="K152" i="22"/>
  <c r="K149" i="22"/>
  <c r="S155" i="22"/>
  <c r="T155" i="22"/>
  <c r="U155" i="22"/>
  <c r="H68" i="20"/>
  <c r="D198" i="26"/>
  <c r="I190" i="26"/>
  <c r="I189" i="26"/>
  <c r="I192" i="26"/>
  <c r="K36" i="11"/>
  <c r="K29" i="11" s="1"/>
  <c r="P325" i="8"/>
  <c r="M263" i="8"/>
  <c r="J316" i="8"/>
  <c r="J356" i="8"/>
  <c r="N5" i="8"/>
  <c r="N3" i="8" s="1"/>
  <c r="M330" i="8"/>
  <c r="O5" i="8"/>
  <c r="O3" i="8" s="1"/>
  <c r="D66" i="20"/>
  <c r="M67" i="20" s="1"/>
  <c r="AN60" i="11"/>
  <c r="AN79" i="11" s="1"/>
  <c r="P181" i="8"/>
  <c r="O253" i="8"/>
  <c r="J355" i="8" s="1"/>
  <c r="J358" i="8" s="1"/>
  <c r="N248" i="8"/>
  <c r="M248" i="8"/>
  <c r="I41" i="26"/>
  <c r="J85" i="11"/>
  <c r="J35" i="11" s="1"/>
  <c r="I12" i="26"/>
  <c r="G191" i="26"/>
  <c r="G195" i="26" s="1"/>
  <c r="G194" i="26" s="1"/>
  <c r="J351" i="8"/>
  <c r="M332" i="8" s="1"/>
  <c r="L251" i="8"/>
  <c r="E191" i="26"/>
  <c r="E195" i="26" s="1"/>
  <c r="E194" i="26" s="1"/>
  <c r="H191" i="26"/>
  <c r="H195" i="26" s="1"/>
  <c r="H194" i="26" s="1"/>
  <c r="M191" i="8"/>
  <c r="K251" i="8"/>
  <c r="K191" i="8"/>
  <c r="K5" i="8" s="1"/>
  <c r="P261" i="8"/>
  <c r="C191" i="26"/>
  <c r="L208" i="20"/>
  <c r="L3" i="8"/>
  <c r="K249" i="20"/>
  <c r="L238" i="20"/>
  <c r="L249" i="20"/>
  <c r="L250" i="20" s="1"/>
  <c r="P133" i="8"/>
  <c r="D220" i="20"/>
  <c r="J227" i="20"/>
  <c r="J234" i="20" s="1"/>
  <c r="J239" i="20" s="1"/>
  <c r="L219" i="20"/>
  <c r="E216" i="20"/>
  <c r="D215" i="20"/>
  <c r="E215" i="20"/>
  <c r="E214" i="20"/>
  <c r="E217" i="20"/>
  <c r="AN59" i="11"/>
  <c r="AN84" i="11" s="1"/>
  <c r="AN45" i="11" s="1"/>
  <c r="W41" i="11"/>
  <c r="W85" i="11"/>
  <c r="W35" i="11" s="1"/>
  <c r="W36" i="11" s="1"/>
  <c r="W29" i="11" s="1"/>
  <c r="AI41" i="11"/>
  <c r="AI85" i="11"/>
  <c r="AI35" i="11" s="1"/>
  <c r="AI36" i="11" s="1"/>
  <c r="AK66" i="11"/>
  <c r="AK84" i="11"/>
  <c r="K114" i="20"/>
  <c r="K129" i="20" s="1"/>
  <c r="AP160" i="11"/>
  <c r="AM161" i="11"/>
  <c r="AM60" i="11" s="1"/>
  <c r="AO160" i="11"/>
  <c r="P31" i="11"/>
  <c r="N67" i="11"/>
  <c r="O179" i="11"/>
  <c r="O184" i="11"/>
  <c r="O50" i="11" s="1"/>
  <c r="P163" i="11"/>
  <c r="Y84" i="11"/>
  <c r="Y66" i="11"/>
  <c r="I224" i="20"/>
  <c r="O43" i="11"/>
  <c r="H136" i="26" s="1"/>
  <c r="P81" i="11"/>
  <c r="P43" i="11" s="1"/>
  <c r="AO31" i="11"/>
  <c r="L67" i="11"/>
  <c r="L68" i="11" s="1"/>
  <c r="L78" i="11" s="1"/>
  <c r="AC81" i="11"/>
  <c r="AC43" i="11" s="1"/>
  <c r="X11" i="11"/>
  <c r="X38" i="11"/>
  <c r="AL67" i="11"/>
  <c r="AL68" i="11" s="1"/>
  <c r="AL78" i="11" s="1"/>
  <c r="P83" i="11"/>
  <c r="Z67" i="11"/>
  <c r="Z68" i="11" s="1"/>
  <c r="Z78" i="11" s="1"/>
  <c r="L104" i="20"/>
  <c r="L119" i="20" s="1"/>
  <c r="Q160" i="11"/>
  <c r="P160" i="11"/>
  <c r="O161" i="11"/>
  <c r="O60" i="11" s="1"/>
  <c r="L188" i="20"/>
  <c r="L191" i="20" s="1"/>
  <c r="AB59" i="11"/>
  <c r="L42" i="11"/>
  <c r="E141" i="26" s="1"/>
  <c r="K238" i="20"/>
  <c r="D218" i="20"/>
  <c r="D238" i="20" s="1"/>
  <c r="AC83" i="11"/>
  <c r="K109" i="20"/>
  <c r="K124" i="20" s="1"/>
  <c r="AA161" i="11"/>
  <c r="AA60" i="11" s="1"/>
  <c r="AC160" i="11"/>
  <c r="AD160" i="11"/>
  <c r="M54" i="11"/>
  <c r="M35" i="11"/>
  <c r="L44" i="11"/>
  <c r="E142" i="26" s="1"/>
  <c r="L45" i="11"/>
  <c r="AM184" i="11"/>
  <c r="AM50" i="11" s="1"/>
  <c r="AM179" i="11"/>
  <c r="AO163" i="11"/>
  <c r="AM83" i="11"/>
  <c r="K200" i="20"/>
  <c r="K219" i="20" s="1"/>
  <c r="AM81" i="11"/>
  <c r="L223" i="20"/>
  <c r="D204" i="20"/>
  <c r="AA184" i="11"/>
  <c r="AA50" i="11" s="1"/>
  <c r="AA179" i="11"/>
  <c r="AC163" i="11"/>
  <c r="G234" i="20"/>
  <c r="I180" i="26" l="1"/>
  <c r="D182" i="26"/>
  <c r="E182" i="26"/>
  <c r="G182" i="26"/>
  <c r="H182" i="26"/>
  <c r="F182" i="26"/>
  <c r="J263" i="8"/>
  <c r="P263" i="8" s="1"/>
  <c r="C182" i="26"/>
  <c r="D11" i="20"/>
  <c r="I118" i="26"/>
  <c r="K69" i="20"/>
  <c r="F218" i="26"/>
  <c r="F217" i="26" s="1"/>
  <c r="F198" i="26" s="1"/>
  <c r="J71" i="20" s="1"/>
  <c r="G69" i="20"/>
  <c r="C218" i="26"/>
  <c r="C195" i="26"/>
  <c r="E166" i="26"/>
  <c r="H138" i="26"/>
  <c r="H137" i="26" s="1"/>
  <c r="I137" i="26" s="1"/>
  <c r="C126" i="26"/>
  <c r="H71" i="20"/>
  <c r="C11" i="26"/>
  <c r="D11" i="26"/>
  <c r="I117" i="26"/>
  <c r="V147" i="22"/>
  <c r="W147" i="22" s="1"/>
  <c r="L147" i="22"/>
  <c r="V145" i="22"/>
  <c r="W145" i="22" s="1"/>
  <c r="L145" i="22"/>
  <c r="V144" i="22"/>
  <c r="W144" i="22" s="1"/>
  <c r="L144" i="22"/>
  <c r="V149" i="22"/>
  <c r="W149" i="22" s="1"/>
  <c r="L149" i="22"/>
  <c r="V152" i="22"/>
  <c r="W152" i="22" s="1"/>
  <c r="L152" i="22"/>
  <c r="V150" i="22"/>
  <c r="W150" i="22" s="1"/>
  <c r="L150" i="22"/>
  <c r="V148" i="22"/>
  <c r="W148" i="22" s="1"/>
  <c r="L148" i="22"/>
  <c r="V151" i="22"/>
  <c r="W151" i="22" s="1"/>
  <c r="L151" i="22"/>
  <c r="V146" i="22"/>
  <c r="W146" i="22" s="1"/>
  <c r="L146" i="22"/>
  <c r="V153" i="22"/>
  <c r="W153" i="22" s="1"/>
  <c r="L153" i="22"/>
  <c r="I136" i="26"/>
  <c r="X14" i="11"/>
  <c r="X18" i="11" s="1"/>
  <c r="K38" i="11"/>
  <c r="I122" i="26"/>
  <c r="I191" i="26"/>
  <c r="J68" i="20"/>
  <c r="M36" i="11"/>
  <c r="M38" i="11" s="1"/>
  <c r="P316" i="8"/>
  <c r="M5" i="8"/>
  <c r="M3" i="8" s="1"/>
  <c r="J359" i="8"/>
  <c r="I179" i="26"/>
  <c r="AA79" i="11"/>
  <c r="AC60" i="11"/>
  <c r="AM79" i="11"/>
  <c r="AO60" i="11"/>
  <c r="P60" i="11"/>
  <c r="O79" i="11"/>
  <c r="J252" i="8"/>
  <c r="J54" i="11"/>
  <c r="N68" i="11"/>
  <c r="N78" i="11" s="1"/>
  <c r="K3" i="8"/>
  <c r="K250" i="20"/>
  <c r="D250" i="20" s="1"/>
  <c r="D249" i="20"/>
  <c r="AN42" i="11"/>
  <c r="J246" i="20"/>
  <c r="J247" i="20" s="1"/>
  <c r="AN44" i="11"/>
  <c r="AN66" i="11"/>
  <c r="AN67" i="11" s="1"/>
  <c r="AN68" i="11" s="1"/>
  <c r="AN78" i="11" s="1"/>
  <c r="L41" i="11"/>
  <c r="E143" i="26" s="1"/>
  <c r="E145" i="26" s="1"/>
  <c r="E144" i="26" s="1"/>
  <c r="L85" i="11"/>
  <c r="AK42" i="11"/>
  <c r="J36" i="11"/>
  <c r="O32" i="11"/>
  <c r="P179" i="11"/>
  <c r="P51" i="11" s="1"/>
  <c r="O51" i="11"/>
  <c r="H172" i="26" s="1"/>
  <c r="AK45" i="11"/>
  <c r="AO83" i="11"/>
  <c r="AK44" i="11"/>
  <c r="W12" i="11"/>
  <c r="AI38" i="11"/>
  <c r="AI29" i="11"/>
  <c r="AL41" i="11"/>
  <c r="AL85" i="11"/>
  <c r="AL35" i="11" s="1"/>
  <c r="AL36" i="11" s="1"/>
  <c r="P184" i="11"/>
  <c r="P50" i="11" s="1"/>
  <c r="H206" i="26"/>
  <c r="H210" i="26" s="1"/>
  <c r="AA32" i="11"/>
  <c r="AA51" i="11"/>
  <c r="AC179" i="11"/>
  <c r="AC51" i="11" s="1"/>
  <c r="I231" i="20"/>
  <c r="I227" i="20"/>
  <c r="AC184" i="11"/>
  <c r="AC50" i="11" s="1"/>
  <c r="Y44" i="11"/>
  <c r="AK67" i="11"/>
  <c r="AK68" i="11" s="1"/>
  <c r="AK78" i="11" s="1"/>
  <c r="Y67" i="11"/>
  <c r="Y68" i="11" s="1"/>
  <c r="Y78" i="11" s="1"/>
  <c r="K205" i="20"/>
  <c r="K208" i="20" s="1"/>
  <c r="AM59" i="11"/>
  <c r="AO161" i="11"/>
  <c r="AO184" i="11"/>
  <c r="AO50" i="11" s="1"/>
  <c r="Y45" i="11"/>
  <c r="W11" i="11"/>
  <c r="W38" i="11"/>
  <c r="AM32" i="11"/>
  <c r="AM51" i="11"/>
  <c r="AO179" i="11"/>
  <c r="AO51" i="11" s="1"/>
  <c r="Z41" i="11"/>
  <c r="Z85" i="11"/>
  <c r="Z35" i="11" s="1"/>
  <c r="Z36" i="11" s="1"/>
  <c r="Z29" i="11" s="1"/>
  <c r="AM43" i="11"/>
  <c r="AO81" i="11"/>
  <c r="AO43" i="11" s="1"/>
  <c r="Y42" i="11"/>
  <c r="L230" i="20"/>
  <c r="D230" i="20" s="1"/>
  <c r="D223" i="20"/>
  <c r="AB42" i="11"/>
  <c r="AB66" i="11"/>
  <c r="AB84" i="11"/>
  <c r="AB45" i="11" s="1"/>
  <c r="AB44" i="11"/>
  <c r="G246" i="20"/>
  <c r="G239" i="20"/>
  <c r="K188" i="20"/>
  <c r="AA59" i="11"/>
  <c r="AC161" i="11"/>
  <c r="L171" i="20"/>
  <c r="O59" i="11"/>
  <c r="K126" i="22" s="1"/>
  <c r="P161" i="11"/>
  <c r="I182" i="26" l="1"/>
  <c r="E183" i="26"/>
  <c r="H183" i="26"/>
  <c r="G183" i="26"/>
  <c r="F183" i="26"/>
  <c r="D183" i="26"/>
  <c r="G181" i="26"/>
  <c r="F181" i="26"/>
  <c r="F186" i="26" s="1"/>
  <c r="F185" i="26" s="1"/>
  <c r="F177" i="26" s="1"/>
  <c r="J70" i="20" s="1"/>
  <c r="J77" i="20" s="1"/>
  <c r="H181" i="26"/>
  <c r="E181" i="26"/>
  <c r="E186" i="26" s="1"/>
  <c r="E185" i="26" s="1"/>
  <c r="E177" i="26" s="1"/>
  <c r="I70" i="20" s="1"/>
  <c r="D181" i="26"/>
  <c r="D186" i="26" s="1"/>
  <c r="D185" i="26" s="1"/>
  <c r="C181" i="26"/>
  <c r="C183" i="26"/>
  <c r="I183" i="26" s="1"/>
  <c r="F10" i="26"/>
  <c r="F24" i="26" s="1"/>
  <c r="F32" i="26"/>
  <c r="F42" i="26" s="1"/>
  <c r="C217" i="26"/>
  <c r="H209" i="26"/>
  <c r="I210" i="26"/>
  <c r="I195" i="26"/>
  <c r="C194" i="26"/>
  <c r="I194" i="26" s="1"/>
  <c r="H174" i="26"/>
  <c r="H173" i="26" s="1"/>
  <c r="I173" i="26" s="1"/>
  <c r="E165" i="26"/>
  <c r="E152" i="26" s="1"/>
  <c r="I138" i="26"/>
  <c r="I126" i="26"/>
  <c r="C125" i="26"/>
  <c r="K140" i="22"/>
  <c r="K136" i="22"/>
  <c r="K137" i="22"/>
  <c r="K139" i="22"/>
  <c r="K138" i="22"/>
  <c r="K132" i="22"/>
  <c r="K135" i="22"/>
  <c r="K129" i="22"/>
  <c r="K128" i="22"/>
  <c r="K134" i="22"/>
  <c r="K133" i="22"/>
  <c r="K131" i="22"/>
  <c r="K130" i="22"/>
  <c r="I172" i="26"/>
  <c r="X16" i="11"/>
  <c r="I206" i="26"/>
  <c r="Z14" i="11"/>
  <c r="M29" i="11"/>
  <c r="G68" i="20"/>
  <c r="J191" i="8"/>
  <c r="J354" i="8"/>
  <c r="J360" i="8" s="1"/>
  <c r="P252" i="8"/>
  <c r="N41" i="11"/>
  <c r="G143" i="26" s="1"/>
  <c r="G145" i="26" s="1"/>
  <c r="G144" i="26" s="1"/>
  <c r="N85" i="11"/>
  <c r="N35" i="11" s="1"/>
  <c r="L224" i="20"/>
  <c r="L231" i="20" s="1"/>
  <c r="L174" i="20"/>
  <c r="D188" i="20"/>
  <c r="K191" i="20"/>
  <c r="G247" i="20"/>
  <c r="AK41" i="11"/>
  <c r="AK85" i="11"/>
  <c r="AK35" i="11" s="1"/>
  <c r="AK36" i="11" s="1"/>
  <c r="Y41" i="11"/>
  <c r="Y85" i="11"/>
  <c r="Y35" i="11" s="1"/>
  <c r="Y36" i="11" s="1"/>
  <c r="Y29" i="11" s="1"/>
  <c r="L313" i="20"/>
  <c r="L299" i="20"/>
  <c r="I234" i="20"/>
  <c r="AC32" i="11"/>
  <c r="P32" i="11"/>
  <c r="AA66" i="11"/>
  <c r="AA84" i="11"/>
  <c r="AC59" i="11"/>
  <c r="AC66" i="11" s="1"/>
  <c r="AB67" i="11"/>
  <c r="AB68" i="11" s="1"/>
  <c r="AB78" i="11" s="1"/>
  <c r="AO32" i="11"/>
  <c r="AN41" i="11"/>
  <c r="AN85" i="11"/>
  <c r="AN35" i="11" s="1"/>
  <c r="AN36" i="11" s="1"/>
  <c r="Z12" i="11"/>
  <c r="AL29" i="11"/>
  <c r="AL38" i="11"/>
  <c r="J29" i="11"/>
  <c r="W14" i="11"/>
  <c r="W18" i="11" s="1"/>
  <c r="J38" i="11"/>
  <c r="L35" i="11"/>
  <c r="L54" i="11"/>
  <c r="K224" i="20"/>
  <c r="D205" i="20"/>
  <c r="O84" i="11"/>
  <c r="O66" i="11"/>
  <c r="P59" i="11"/>
  <c r="AM66" i="11"/>
  <c r="AM84" i="11"/>
  <c r="AO59" i="11"/>
  <c r="AO66" i="11" s="1"/>
  <c r="Z38" i="11"/>
  <c r="Z11" i="11"/>
  <c r="J78" i="20" l="1"/>
  <c r="D177" i="26"/>
  <c r="H70" i="20" s="1"/>
  <c r="D10" i="26"/>
  <c r="D24" i="26" s="1"/>
  <c r="D32" i="26"/>
  <c r="D42" i="26" s="1"/>
  <c r="H186" i="26"/>
  <c r="H185" i="26" s="1"/>
  <c r="H177" i="26" s="1"/>
  <c r="L70" i="20" s="1"/>
  <c r="G186" i="26"/>
  <c r="G185" i="26" s="1"/>
  <c r="G177" i="26" s="1"/>
  <c r="K70" i="20" s="1"/>
  <c r="I181" i="26"/>
  <c r="C186" i="26"/>
  <c r="C185" i="26" s="1"/>
  <c r="C177" i="26" s="1"/>
  <c r="I69" i="20"/>
  <c r="I174" i="26"/>
  <c r="C88" i="26"/>
  <c r="I125" i="26"/>
  <c r="L129" i="22"/>
  <c r="V129" i="22"/>
  <c r="W129" i="22" s="1"/>
  <c r="L139" i="22"/>
  <c r="V139" i="22"/>
  <c r="W139" i="22" s="1"/>
  <c r="L135" i="22"/>
  <c r="V135" i="22"/>
  <c r="W135" i="22" s="1"/>
  <c r="L132" i="22"/>
  <c r="V132" i="22"/>
  <c r="W132" i="22" s="1"/>
  <c r="L133" i="22"/>
  <c r="V133" i="22"/>
  <c r="W133" i="22" s="1"/>
  <c r="L137" i="22"/>
  <c r="V137" i="22"/>
  <c r="W137" i="22" s="1"/>
  <c r="L130" i="22"/>
  <c r="V130" i="22"/>
  <c r="W130" i="22" s="1"/>
  <c r="L131" i="22"/>
  <c r="V131" i="22"/>
  <c r="W131" i="22" s="1"/>
  <c r="L134" i="22"/>
  <c r="V134" i="22"/>
  <c r="W134" i="22" s="1"/>
  <c r="L136" i="22"/>
  <c r="V136" i="22"/>
  <c r="W136" i="22" s="1"/>
  <c r="L138" i="22"/>
  <c r="V138" i="22"/>
  <c r="W138" i="22" s="1"/>
  <c r="L128" i="22"/>
  <c r="V128" i="22"/>
  <c r="L140" i="22"/>
  <c r="V140" i="22"/>
  <c r="W140" i="22" s="1"/>
  <c r="P66" i="11"/>
  <c r="P67" i="11" s="1"/>
  <c r="P68" i="11" s="1"/>
  <c r="L126" i="22"/>
  <c r="Z16" i="11"/>
  <c r="G129" i="26"/>
  <c r="G218" i="26" s="1"/>
  <c r="G217" i="26" s="1"/>
  <c r="E129" i="26"/>
  <c r="I209" i="26"/>
  <c r="Z18" i="11"/>
  <c r="N36" i="11"/>
  <c r="N38" i="11" s="1"/>
  <c r="J5" i="8"/>
  <c r="J3" i="8" s="1"/>
  <c r="P3" i="8" s="1"/>
  <c r="P191" i="8"/>
  <c r="D72" i="20"/>
  <c r="M73" i="20" s="1"/>
  <c r="E60" i="26"/>
  <c r="E70" i="26" s="1"/>
  <c r="N54" i="11"/>
  <c r="L227" i="20"/>
  <c r="L234" i="20" s="1"/>
  <c r="L239" i="20" s="1"/>
  <c r="L316" i="20"/>
  <c r="L302" i="20"/>
  <c r="W16" i="11"/>
  <c r="L36" i="11"/>
  <c r="Y11" i="11"/>
  <c r="Y38" i="11"/>
  <c r="O42" i="11"/>
  <c r="H141" i="26" s="1"/>
  <c r="P79" i="11"/>
  <c r="P42" i="11" s="1"/>
  <c r="AA67" i="11"/>
  <c r="AA68" i="11" s="1"/>
  <c r="AA78" i="11" s="1"/>
  <c r="AB41" i="11"/>
  <c r="AB85" i="11"/>
  <c r="AB35" i="11" s="1"/>
  <c r="AB36" i="11" s="1"/>
  <c r="AB29" i="11" s="1"/>
  <c r="C60" i="26"/>
  <c r="C70" i="26" s="1"/>
  <c r="AC67" i="11"/>
  <c r="AC68" i="11" s="1"/>
  <c r="O67" i="11"/>
  <c r="O68" i="11" s="1"/>
  <c r="O78" i="11" s="1"/>
  <c r="O44" i="11"/>
  <c r="H142" i="26" s="1"/>
  <c r="I142" i="26" s="1"/>
  <c r="P82" i="11"/>
  <c r="P44" i="11" s="1"/>
  <c r="AN38" i="11"/>
  <c r="AN29" i="11"/>
  <c r="AB12" i="11"/>
  <c r="AA44" i="11"/>
  <c r="AC82" i="11"/>
  <c r="AC44" i="11" s="1"/>
  <c r="I246" i="20"/>
  <c r="I239" i="20"/>
  <c r="AK29" i="11"/>
  <c r="AK38" i="11"/>
  <c r="Y12" i="11"/>
  <c r="AO67" i="11"/>
  <c r="AO68" i="11" s="1"/>
  <c r="AM44" i="11"/>
  <c r="AO82" i="11"/>
  <c r="AO44" i="11" s="1"/>
  <c r="AO84" i="11"/>
  <c r="AO45" i="11" s="1"/>
  <c r="AM45" i="11"/>
  <c r="AA42" i="11"/>
  <c r="AC79" i="11"/>
  <c r="AC42" i="11" s="1"/>
  <c r="AM42" i="11"/>
  <c r="AO79" i="11"/>
  <c r="AO42" i="11" s="1"/>
  <c r="K231" i="20"/>
  <c r="D231" i="20" s="1"/>
  <c r="K227" i="20"/>
  <c r="D224" i="20"/>
  <c r="AM67" i="11"/>
  <c r="AM68" i="11" s="1"/>
  <c r="AM78" i="11" s="1"/>
  <c r="O45" i="11"/>
  <c r="H166" i="26" s="1"/>
  <c r="P84" i="11"/>
  <c r="P45" i="11" s="1"/>
  <c r="AA45" i="11"/>
  <c r="AC84" i="11"/>
  <c r="AC45" i="11" s="1"/>
  <c r="H78" i="20" l="1"/>
  <c r="H77" i="20"/>
  <c r="I186" i="26"/>
  <c r="I185" i="26"/>
  <c r="E218" i="26"/>
  <c r="H165" i="26"/>
  <c r="I166" i="26"/>
  <c r="W128" i="22"/>
  <c r="W155" i="22" s="1"/>
  <c r="V155" i="22"/>
  <c r="K68" i="20"/>
  <c r="I68" i="20"/>
  <c r="I141" i="26"/>
  <c r="N29" i="11"/>
  <c r="AA14" i="11"/>
  <c r="G70" i="20"/>
  <c r="I177" i="26"/>
  <c r="P5" i="8"/>
  <c r="L246" i="20"/>
  <c r="L247" i="20" s="1"/>
  <c r="I247" i="20"/>
  <c r="O41" i="11"/>
  <c r="H143" i="26" s="1"/>
  <c r="H145" i="26" s="1"/>
  <c r="H144" i="26" s="1"/>
  <c r="O85" i="11"/>
  <c r="P78" i="11"/>
  <c r="AA41" i="11"/>
  <c r="AA85" i="11"/>
  <c r="AA35" i="11" s="1"/>
  <c r="AA36" i="11" s="1"/>
  <c r="AA29" i="11" s="1"/>
  <c r="AC78" i="11"/>
  <c r="K234" i="20"/>
  <c r="D227" i="20"/>
  <c r="L38" i="11"/>
  <c r="Y14" i="11"/>
  <c r="Y18" i="11" s="1"/>
  <c r="L29" i="11"/>
  <c r="AB11" i="11"/>
  <c r="AB38" i="11"/>
  <c r="AM41" i="11"/>
  <c r="AM85" i="11"/>
  <c r="AM35" i="11" s="1"/>
  <c r="AM36" i="11" s="1"/>
  <c r="AO78" i="11"/>
  <c r="E217" i="26" l="1"/>
  <c r="I143" i="26"/>
  <c r="I145" i="26"/>
  <c r="G198" i="26"/>
  <c r="G32" i="26"/>
  <c r="G42" i="26" s="1"/>
  <c r="G10" i="26"/>
  <c r="G24" i="26" s="1"/>
  <c r="I165" i="26"/>
  <c r="H152" i="26"/>
  <c r="I11" i="26"/>
  <c r="Y16" i="11"/>
  <c r="K246" i="20"/>
  <c r="K239" i="20"/>
  <c r="D234" i="20"/>
  <c r="D239" i="20" s="1"/>
  <c r="AC41" i="11"/>
  <c r="AC85" i="11"/>
  <c r="AC35" i="11" s="1"/>
  <c r="AC36" i="11" s="1"/>
  <c r="AC29" i="11" s="1"/>
  <c r="AA38" i="11"/>
  <c r="AA11" i="11"/>
  <c r="AA16" i="11" s="1"/>
  <c r="P41" i="11"/>
  <c r="P85" i="11"/>
  <c r="P54" i="11" s="1"/>
  <c r="I16" i="26"/>
  <c r="O54" i="11"/>
  <c r="O35" i="11"/>
  <c r="AM38" i="11"/>
  <c r="AM29" i="11"/>
  <c r="AA12" i="11"/>
  <c r="AA18" i="11" s="1"/>
  <c r="AO41" i="11"/>
  <c r="AO85" i="11"/>
  <c r="AO35" i="11" s="1"/>
  <c r="AO36" i="11" s="1"/>
  <c r="E198" i="26" l="1"/>
  <c r="I71" i="20" s="1"/>
  <c r="E10" i="26"/>
  <c r="E32" i="26"/>
  <c r="K71" i="20"/>
  <c r="K78" i="20" s="1"/>
  <c r="H129" i="26"/>
  <c r="H218" i="26" s="1"/>
  <c r="L69" i="20"/>
  <c r="D69" i="20" s="1"/>
  <c r="M70" i="20" s="1"/>
  <c r="I152" i="26"/>
  <c r="I144" i="26"/>
  <c r="G60" i="26"/>
  <c r="G70" i="26" s="1"/>
  <c r="K247" i="20"/>
  <c r="D247" i="20" s="1"/>
  <c r="D246" i="20"/>
  <c r="AO29" i="11"/>
  <c r="AO38" i="11"/>
  <c r="AC12" i="11"/>
  <c r="O36" i="11"/>
  <c r="P35" i="11"/>
  <c r="AC11" i="11"/>
  <c r="AC38" i="11"/>
  <c r="K77" i="20" l="1"/>
  <c r="H217" i="26"/>
  <c r="H198" i="26" s="1"/>
  <c r="I218" i="26"/>
  <c r="E42" i="26"/>
  <c r="E61" i="26"/>
  <c r="E59" i="26"/>
  <c r="E69" i="26" s="1"/>
  <c r="E24" i="26"/>
  <c r="I77" i="20"/>
  <c r="I78" i="20"/>
  <c r="I129" i="26"/>
  <c r="L68" i="20"/>
  <c r="P36" i="11"/>
  <c r="AC14" i="11" s="1"/>
  <c r="O29" i="11"/>
  <c r="O38" i="11"/>
  <c r="AB14" i="11"/>
  <c r="AC18" i="11" l="1"/>
  <c r="AD18" i="11" s="1"/>
  <c r="H32" i="26"/>
  <c r="H42" i="26" s="1"/>
  <c r="H10" i="26"/>
  <c r="G59" i="26" s="1"/>
  <c r="G69" i="26" s="1"/>
  <c r="L71" i="20"/>
  <c r="L78" i="20" s="1"/>
  <c r="P38" i="11"/>
  <c r="P29" i="11"/>
  <c r="AC16" i="11"/>
  <c r="AD16" i="11" s="1"/>
  <c r="AB18" i="11"/>
  <c r="AB16" i="11"/>
  <c r="G61" i="26" l="1"/>
  <c r="L77" i="20"/>
  <c r="H24" i="26"/>
  <c r="D68" i="20"/>
  <c r="M69" i="20" s="1"/>
  <c r="D70" i="20" l="1"/>
  <c r="M71" i="20" s="1"/>
  <c r="C198" i="26" l="1"/>
  <c r="I202" i="26" s="1"/>
  <c r="I217" i="26" l="1"/>
  <c r="C32" i="26"/>
  <c r="C10" i="26"/>
  <c r="I32" i="26" l="1"/>
  <c r="I42" i="26" s="1"/>
  <c r="I10" i="26"/>
  <c r="I24" i="26" s="1"/>
  <c r="C59" i="26"/>
  <c r="C69" i="26" s="1"/>
  <c r="C24" i="26"/>
  <c r="C42" i="26" l="1"/>
  <c r="C61" i="26"/>
  <c r="G71" i="20" l="1"/>
  <c r="G78" i="20" s="1"/>
  <c r="D71" i="20" l="1"/>
  <c r="G77" i="20"/>
  <c r="I198" i="26"/>
  <c r="D78" i="20" l="1"/>
  <c r="M72" i="20"/>
  <c r="D77" i="20"/>
  <c r="G67" i="20"/>
  <c r="G15" i="20" s="1"/>
  <c r="G19" i="20" l="1"/>
  <c r="G46" i="20"/>
  <c r="G52" i="20" s="1"/>
  <c r="G21" i="20"/>
  <c r="C25" i="26"/>
  <c r="C27" i="26" s="1"/>
  <c r="G16" i="20"/>
  <c r="G17" i="20"/>
  <c r="G48" i="20" s="1"/>
  <c r="G54" i="20" s="1"/>
  <c r="G25" i="20"/>
  <c r="G20" i="20"/>
  <c r="G22" i="20" l="1"/>
  <c r="G47" i="20"/>
  <c r="G53" i="20" s="1"/>
  <c r="G23" i="20"/>
  <c r="D88" i="26"/>
  <c r="H67" i="20" s="1"/>
  <c r="H15" i="20" s="1"/>
  <c r="H19" i="20" l="1"/>
  <c r="H46" i="20"/>
  <c r="H52" i="20" s="1"/>
  <c r="H17" i="20"/>
  <c r="D25" i="26"/>
  <c r="D27" i="26" s="1"/>
  <c r="H21" i="20"/>
  <c r="H20" i="20"/>
  <c r="H16" i="20"/>
  <c r="H47" i="20" s="1"/>
  <c r="H53" i="20" s="1"/>
  <c r="H25" i="20"/>
  <c r="H23" i="20" l="1"/>
  <c r="H48" i="20"/>
  <c r="H54" i="20" s="1"/>
  <c r="C58" i="26"/>
  <c r="C67" i="26" s="1"/>
  <c r="H22" i="20"/>
  <c r="G88" i="26"/>
  <c r="K67" i="20" s="1"/>
  <c r="K15" i="20" s="1"/>
  <c r="K46" i="20" s="1"/>
  <c r="C68" i="26" l="1"/>
  <c r="C66" i="26"/>
  <c r="K19" i="20"/>
  <c r="K20" i="20"/>
  <c r="G25" i="26"/>
  <c r="K25" i="20"/>
  <c r="K17" i="20"/>
  <c r="K48" i="20" s="1"/>
  <c r="K16" i="20"/>
  <c r="K47" i="20" s="1"/>
  <c r="G27" i="26" l="1"/>
  <c r="I101" i="26"/>
  <c r="F88" i="26"/>
  <c r="J67" i="20" s="1"/>
  <c r="H88" i="26"/>
  <c r="L67" i="20" s="1"/>
  <c r="L15" i="20" s="1"/>
  <c r="L46" i="20" s="1"/>
  <c r="E88" i="26"/>
  <c r="L19" i="20" l="1"/>
  <c r="L20" i="20"/>
  <c r="H25" i="26"/>
  <c r="G58" i="26" s="1"/>
  <c r="I88" i="26"/>
  <c r="C62" i="26" s="1"/>
  <c r="C71" i="26" s="1"/>
  <c r="I67" i="20"/>
  <c r="I15" i="20" s="1"/>
  <c r="I46" i="20" s="1"/>
  <c r="I52" i="20" s="1"/>
  <c r="J15" i="20"/>
  <c r="J46" i="20" s="1"/>
  <c r="L17" i="20"/>
  <c r="L48" i="20" s="1"/>
  <c r="L16" i="20"/>
  <c r="L47" i="20" s="1"/>
  <c r="L25" i="20"/>
  <c r="J52" i="20" l="1"/>
  <c r="K52" i="20" s="1"/>
  <c r="L52" i="20" s="1"/>
  <c r="J19" i="20"/>
  <c r="J20" i="20"/>
  <c r="I19" i="20"/>
  <c r="I20" i="20"/>
  <c r="H27" i="26"/>
  <c r="I17" i="20"/>
  <c r="I21" i="20"/>
  <c r="I16" i="20"/>
  <c r="D15" i="20"/>
  <c r="E25" i="26"/>
  <c r="E27" i="26" s="1"/>
  <c r="D67" i="20"/>
  <c r="M68" i="20" s="1"/>
  <c r="I25" i="20"/>
  <c r="G71" i="26"/>
  <c r="E71" i="26"/>
  <c r="J17" i="20"/>
  <c r="J48" i="20" s="1"/>
  <c r="J16" i="20"/>
  <c r="J47" i="20" s="1"/>
  <c r="J25" i="20"/>
  <c r="F25" i="26"/>
  <c r="F27" i="26" s="1"/>
  <c r="G66" i="26"/>
  <c r="G68" i="26"/>
  <c r="G67" i="26"/>
  <c r="J21" i="20" l="1"/>
  <c r="D19" i="20"/>
  <c r="D46" i="20"/>
  <c r="I23" i="20"/>
  <c r="J23" i="20" s="1"/>
  <c r="I48" i="20"/>
  <c r="I54" i="20" s="1"/>
  <c r="J54" i="20" s="1"/>
  <c r="K54" i="20" s="1"/>
  <c r="L54" i="20" s="1"/>
  <c r="I22" i="20"/>
  <c r="I47" i="20"/>
  <c r="I53" i="20" s="1"/>
  <c r="J53" i="20" s="1"/>
  <c r="K53" i="20" s="1"/>
  <c r="L53" i="20" s="1"/>
  <c r="D17" i="20"/>
  <c r="D48" i="20" s="1"/>
  <c r="E67" i="20"/>
  <c r="E70" i="20"/>
  <c r="D25" i="20"/>
  <c r="E72" i="20"/>
  <c r="E68" i="20"/>
  <c r="E73" i="20"/>
  <c r="E66" i="20"/>
  <c r="D20" i="20"/>
  <c r="E74" i="20"/>
  <c r="E69" i="20"/>
  <c r="E71" i="20"/>
  <c r="D16" i="20"/>
  <c r="D47" i="20" s="1"/>
  <c r="E58" i="26"/>
  <c r="E66" i="26" s="1"/>
  <c r="I25" i="26"/>
  <c r="I27" i="26" s="1"/>
  <c r="K23" i="20" l="1"/>
  <c r="J22" i="20"/>
  <c r="K21" i="20"/>
  <c r="E67" i="26"/>
  <c r="E68" i="26"/>
  <c r="L21" i="20" l="1"/>
  <c r="K22" i="20"/>
  <c r="L23" i="20"/>
  <c r="L22" i="20" l="1"/>
  <c r="A360" i="4" l="1"/>
  <c r="A264" i="26"/>
  <c r="A162" i="22"/>
  <c r="A76" i="2"/>
  <c r="A199" i="7"/>
  <c r="A342" i="20"/>
  <c r="A144" i="6"/>
  <c r="A243" i="21"/>
  <c r="A426" i="8"/>
  <c r="A172" i="14"/>
  <c r="A31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Nathalie Vande Maele</author>
  </authors>
  <commentList>
    <comment ref="R15" authorId="0" shapeId="0" xr:uid="{E79FEBD2-D065-4869-A045-EF2742BE384C}">
      <text>
        <r>
          <rPr>
            <sz val="9"/>
            <color indexed="81"/>
            <rFont val="Tahoma"/>
            <family val="2"/>
          </rPr>
          <t>TEV est supérieur à TERI
Exchanged values</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DECA068A-C225-4C13-8DB6-3B7CF647AFF8}" keepAlive="1" name="Query - cvic_update_payload" description="Connection to the 'cvic_update_payload' query in the workbook." type="5" refreshedVersion="7" background="1" saveData="1">
    <dbPr connection="Provider=Microsoft.Mashup.OleDb.1;Data Source=$Workbook$;Location=cvic_update_payload;Extended Properties=&quot;&quot;" command="SELECT * FROM [cvic_update_payload]"/>
  </connection>
  <connection id="2" xr16:uid="{02D50456-6BEF-4EB9-BB1C-5ED1A6EAE3D6}" keepAlive="1" name="Query - usd" description="Connection to the 'usd' query in the workbook." type="5" refreshedVersion="7" background="1" saveData="1">
    <dbPr connection="Provider=Microsoft.Mashup.OleDb.1;Data Source=$Workbook$;Location=usd;Extended Properties=&quot;&quot;" command="SELECT * FROM [usd]"/>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<sst xmlns="http://schemas.openxmlformats.org/spreadsheetml/2006/main" count="39329" uniqueCount="15211">
  <si>
    <t>Vaccine Code Name</t>
  </si>
  <si>
    <t>Manufacturing Country</t>
  </si>
  <si>
    <t>Route</t>
  </si>
  <si>
    <t>Cold-Chain Requirements</t>
  </si>
  <si>
    <t>Durability of Immunity</t>
  </si>
  <si>
    <t>#</t>
  </si>
  <si>
    <t>Minimum Duration Between Doses</t>
  </si>
  <si>
    <t>IM (intramuscular)</t>
  </si>
  <si>
    <t>IN (intranasal)</t>
  </si>
  <si>
    <t>ID (intradermal)</t>
  </si>
  <si>
    <t>Room temperature</t>
  </si>
  <si>
    <t>Refrigerated (2 to 8C)</t>
  </si>
  <si>
    <t>Frozen (-20C)</t>
  </si>
  <si>
    <t>Ultra-cold (-60 to -80C)</t>
  </si>
  <si>
    <t>Months</t>
  </si>
  <si>
    <t>Days</t>
  </si>
  <si>
    <t>Notes</t>
  </si>
  <si>
    <t>Derived</t>
  </si>
  <si>
    <t>Name</t>
  </si>
  <si>
    <t>GAVI 56</t>
  </si>
  <si>
    <t>GAVI 56 Status</t>
  </si>
  <si>
    <t>2021</t>
  </si>
  <si>
    <t>2022</t>
  </si>
  <si>
    <t>2023</t>
  </si>
  <si>
    <t>2024</t>
  </si>
  <si>
    <t>Final Price per Dose</t>
  </si>
  <si>
    <t>USD</t>
  </si>
  <si>
    <t>Financial guarantee</t>
  </si>
  <si>
    <t>Final price upper limit</t>
  </si>
  <si>
    <t>Optional Purchase Agreement (OPA)</t>
  </si>
  <si>
    <t>Committed Purchase Arrangement (CPA)</t>
  </si>
  <si>
    <t>Risk-sharing gurantee</t>
  </si>
  <si>
    <t>If final price above this, CPA participant can cancel</t>
  </si>
  <si>
    <t>Vaccine Selection for Delivery Modalities</t>
  </si>
  <si>
    <t>Delivery Context</t>
  </si>
  <si>
    <t>Doses per Vial</t>
  </si>
  <si>
    <t>Check</t>
  </si>
  <si>
    <t>Units</t>
  </si>
  <si>
    <t>Percent of Low-Risk (by Age) Population</t>
  </si>
  <si>
    <t>Percent of High-Risk (by Age) Population</t>
  </si>
  <si>
    <t>Percent of Total Population</t>
  </si>
  <si>
    <t>Percent of those Age 18+</t>
  </si>
  <si>
    <t>Percent of those Age 20-79</t>
  </si>
  <si>
    <t>Number</t>
  </si>
  <si>
    <t>One staff for every n residents</t>
  </si>
  <si>
    <t>Whole number</t>
  </si>
  <si>
    <t>e.g. nursing homes; assumes this sub-population is immobile</t>
  </si>
  <si>
    <t>Percent of those offered COVID-19 vaccination</t>
  </si>
  <si>
    <t>Doses per Course</t>
  </si>
  <si>
    <t>Packed Volume per Dose</t>
  </si>
  <si>
    <t>LCU</t>
  </si>
  <si>
    <t>COUNTRY (CODE)</t>
  </si>
  <si>
    <t>COUNTRY (DISPLAY)</t>
  </si>
  <si>
    <t>WB_Pac_Island_State</t>
  </si>
  <si>
    <t>WB_Fragile_State</t>
  </si>
  <si>
    <t>WB_HIPC</t>
  </si>
  <si>
    <t>DEVICES00 n</t>
  </si>
  <si>
    <t>DEVICES01 n</t>
  </si>
  <si>
    <t>DEVICES02 n</t>
  </si>
  <si>
    <t>DEVICES03 n</t>
  </si>
  <si>
    <t>DEVICES04 n</t>
  </si>
  <si>
    <t>DEVICES05 n</t>
  </si>
  <si>
    <t>HRH_40 n</t>
  </si>
  <si>
    <t>HWF_0001 n</t>
  </si>
  <si>
    <t>HWF_0002 n</t>
  </si>
  <si>
    <t>HWF_0003 n</t>
  </si>
  <si>
    <t>HWF_0004 n</t>
  </si>
  <si>
    <t>HWF_0005 n</t>
  </si>
  <si>
    <t>HWF_0006 n</t>
  </si>
  <si>
    <t>HWF_0007 n</t>
  </si>
  <si>
    <t>HWF_0008 n</t>
  </si>
  <si>
    <t>HWF_0009 n</t>
  </si>
  <si>
    <t>HWF_0010 n</t>
  </si>
  <si>
    <t>HWF_0011 n</t>
  </si>
  <si>
    <t>HWF_0012 n</t>
  </si>
  <si>
    <t>HWF_0013 n</t>
  </si>
  <si>
    <t>HWF_0014 n</t>
  </si>
  <si>
    <t>HWF_0015 n</t>
  </si>
  <si>
    <t>HWF_0016 n</t>
  </si>
  <si>
    <t>HWF_0017 n</t>
  </si>
  <si>
    <t>HWF_0018 n</t>
  </si>
  <si>
    <t>HWF_0019 n</t>
  </si>
  <si>
    <t>HWF_0020 n</t>
  </si>
  <si>
    <t>HWF_0024 n</t>
  </si>
  <si>
    <t>NCD_BMI_30C n</t>
  </si>
  <si>
    <t>AGO</t>
  </si>
  <si>
    <t>Angola</t>
  </si>
  <si>
    <t>AFR</t>
  </si>
  <si>
    <t>Sub-Saharan Africa</t>
  </si>
  <si>
    <t>Lower middle income</t>
  </si>
  <si>
    <t>IBRD</t>
  </si>
  <si>
    <t>BDI</t>
  </si>
  <si>
    <t>Burundi</t>
  </si>
  <si>
    <t>Low income</t>
  </si>
  <si>
    <t>IDA</t>
  </si>
  <si>
    <t>BEN</t>
  </si>
  <si>
    <t>Benin</t>
  </si>
  <si>
    <t>BFA</t>
  </si>
  <si>
    <t>Burkina Faso</t>
  </si>
  <si>
    <t>BWA</t>
  </si>
  <si>
    <t>Botswana</t>
  </si>
  <si>
    <t>Upper middle income</t>
  </si>
  <si>
    <t>CAF</t>
  </si>
  <si>
    <t>Central African Republic</t>
  </si>
  <si>
    <t>CIV</t>
  </si>
  <si>
    <t>CÃ´te d'Ivoire</t>
  </si>
  <si>
    <t>CMR</t>
  </si>
  <si>
    <t>Cameroon</t>
  </si>
  <si>
    <t>Blend</t>
  </si>
  <si>
    <t>COD</t>
  </si>
  <si>
    <t>Democratic Republic of the Congo</t>
  </si>
  <si>
    <t>COG</t>
  </si>
  <si>
    <t>Congo</t>
  </si>
  <si>
    <t>COM</t>
  </si>
  <si>
    <t>Comoros</t>
  </si>
  <si>
    <t>CPV</t>
  </si>
  <si>
    <t>Cabo Verde</t>
  </si>
  <si>
    <t>DZA</t>
  </si>
  <si>
    <t>Algeria</t>
  </si>
  <si>
    <t>Middle East &amp; North Africa</t>
  </si>
  <si>
    <t>ERI</t>
  </si>
  <si>
    <t>Eritrea</t>
  </si>
  <si>
    <t>ETH</t>
  </si>
  <si>
    <t>Ethiopia</t>
  </si>
  <si>
    <t>GAB</t>
  </si>
  <si>
    <t>Gabon</t>
  </si>
  <si>
    <t>GHA</t>
  </si>
  <si>
    <t>Ghana</t>
  </si>
  <si>
    <t>GIN</t>
  </si>
  <si>
    <t>Guinea</t>
  </si>
  <si>
    <t>GMB</t>
  </si>
  <si>
    <t>Gambia</t>
  </si>
  <si>
    <t>GNB</t>
  </si>
  <si>
    <t>Guinea-Bissau</t>
  </si>
  <si>
    <t>GNQ</t>
  </si>
  <si>
    <t>Equatorial Guinea</t>
  </si>
  <si>
    <t>KEN</t>
  </si>
  <si>
    <t>Kenya</t>
  </si>
  <si>
    <t>LBR</t>
  </si>
  <si>
    <t>Liberia</t>
  </si>
  <si>
    <t>LSO</t>
  </si>
  <si>
    <t>Lesotho</t>
  </si>
  <si>
    <t>MDG</t>
  </si>
  <si>
    <t>Madagascar</t>
  </si>
  <si>
    <t>MLI</t>
  </si>
  <si>
    <t>Mali</t>
  </si>
  <si>
    <t>MOZ</t>
  </si>
  <si>
    <t>Mozambique</t>
  </si>
  <si>
    <t>MRT</t>
  </si>
  <si>
    <t>Mauritania</t>
  </si>
  <si>
    <t>MUS</t>
  </si>
  <si>
    <t>Mauritius</t>
  </si>
  <si>
    <t>High income</t>
  </si>
  <si>
    <t>MWI</t>
  </si>
  <si>
    <t>Malawi</t>
  </si>
  <si>
    <t>NAM</t>
  </si>
  <si>
    <t>Namibia</t>
  </si>
  <si>
    <t>NER</t>
  </si>
  <si>
    <t>Niger</t>
  </si>
  <si>
    <t>NGA</t>
  </si>
  <si>
    <t>Nigeria</t>
  </si>
  <si>
    <t>RWA</t>
  </si>
  <si>
    <t>Rwanda</t>
  </si>
  <si>
    <t>SEN</t>
  </si>
  <si>
    <t>Senegal</t>
  </si>
  <si>
    <t>SLE</t>
  </si>
  <si>
    <t>Sierra Leone</t>
  </si>
  <si>
    <t>SSD</t>
  </si>
  <si>
    <t>South Sudan</t>
  </si>
  <si>
    <t>STP</t>
  </si>
  <si>
    <t>Sao Tome and Principe</t>
  </si>
  <si>
    <t>SWZ</t>
  </si>
  <si>
    <t>Eswatini</t>
  </si>
  <si>
    <t>SYC</t>
  </si>
  <si>
    <t>Seychelles</t>
  </si>
  <si>
    <t>TCD</t>
  </si>
  <si>
    <t>Chad</t>
  </si>
  <si>
    <t>TGO</t>
  </si>
  <si>
    <t>Togo</t>
  </si>
  <si>
    <t>TZA</t>
  </si>
  <si>
    <t>United Republic of Tanzania</t>
  </si>
  <si>
    <t>UGA</t>
  </si>
  <si>
    <t>Uganda</t>
  </si>
  <si>
    <t>ZAF</t>
  </si>
  <si>
    <t>South Africa</t>
  </si>
  <si>
    <t>ZMB</t>
  </si>
  <si>
    <t>Zambia</t>
  </si>
  <si>
    <t>ZWE</t>
  </si>
  <si>
    <t>Zimbabwe</t>
  </si>
  <si>
    <t>ARG</t>
  </si>
  <si>
    <t>Argentina</t>
  </si>
  <si>
    <t>AMR</t>
  </si>
  <si>
    <t>Latin America &amp; Caribbean</t>
  </si>
  <si>
    <t>ATG</t>
  </si>
  <si>
    <t>Antigua and Barbuda</t>
  </si>
  <si>
    <t>BHS</t>
  </si>
  <si>
    <t>Bahamas</t>
  </si>
  <si>
    <t/>
  </si>
  <si>
    <t>BLZ</t>
  </si>
  <si>
    <t>Belize</t>
  </si>
  <si>
    <t>BOL</t>
  </si>
  <si>
    <t>Bolivia (Plurinational State of)</t>
  </si>
  <si>
    <t>BRA</t>
  </si>
  <si>
    <t>Brazil</t>
  </si>
  <si>
    <t>BRB</t>
  </si>
  <si>
    <t>Barbados</t>
  </si>
  <si>
    <t>CAN</t>
  </si>
  <si>
    <t>Canada</t>
  </si>
  <si>
    <t>North America</t>
  </si>
  <si>
    <t>CHL</t>
  </si>
  <si>
    <t>Chile</t>
  </si>
  <si>
    <t>COL</t>
  </si>
  <si>
    <t>Colombia</t>
  </si>
  <si>
    <t>CRI</t>
  </si>
  <si>
    <t>Costa Rica</t>
  </si>
  <si>
    <t>CUB</t>
  </si>
  <si>
    <t>Cuba</t>
  </si>
  <si>
    <t>DMA</t>
  </si>
  <si>
    <t>Dominica</t>
  </si>
  <si>
    <t>DOM</t>
  </si>
  <si>
    <t>Dominican Republic</t>
  </si>
  <si>
    <t>ECU</t>
  </si>
  <si>
    <t>Ecuador</t>
  </si>
  <si>
    <t>GRD</t>
  </si>
  <si>
    <t>Grenada</t>
  </si>
  <si>
    <t>GTM</t>
  </si>
  <si>
    <t>Guatemala</t>
  </si>
  <si>
    <t>GUY</t>
  </si>
  <si>
    <t>Guyana</t>
  </si>
  <si>
    <t>HND</t>
  </si>
  <si>
    <t>Honduras</t>
  </si>
  <si>
    <t>HTI</t>
  </si>
  <si>
    <t>Haiti</t>
  </si>
  <si>
    <t>JAM</t>
  </si>
  <si>
    <t>Jamaica</t>
  </si>
  <si>
    <t>KNA</t>
  </si>
  <si>
    <t>Saint Kitts and Nevis</t>
  </si>
  <si>
    <t>LCA</t>
  </si>
  <si>
    <t>Saint Lucia</t>
  </si>
  <si>
    <t>MEX</t>
  </si>
  <si>
    <t>Mexico</t>
  </si>
  <si>
    <t>NIC</t>
  </si>
  <si>
    <t>Nicaragua</t>
  </si>
  <si>
    <t>PAN</t>
  </si>
  <si>
    <t>Panama</t>
  </si>
  <si>
    <t>PER</t>
  </si>
  <si>
    <t>Peru</t>
  </si>
  <si>
    <t>PRY</t>
  </si>
  <si>
    <t>Paraguay</t>
  </si>
  <si>
    <t>SLV</t>
  </si>
  <si>
    <t>El Salvador</t>
  </si>
  <si>
    <t>SUR</t>
  </si>
  <si>
    <t>Suriname</t>
  </si>
  <si>
    <t>TTO</t>
  </si>
  <si>
    <t>Trinidad and Tobago</t>
  </si>
  <si>
    <t>URY</t>
  </si>
  <si>
    <t>Uruguay</t>
  </si>
  <si>
    <t>USA</t>
  </si>
  <si>
    <t>United States of America</t>
  </si>
  <si>
    <t>VCT</t>
  </si>
  <si>
    <t>Saint Vincent and the Grenadines</t>
  </si>
  <si>
    <t>VEN</t>
  </si>
  <si>
    <t>Venezuela (Bolivarian Republic of)</t>
  </si>
  <si>
    <t>AFG</t>
  </si>
  <si>
    <t>Afghanistan</t>
  </si>
  <si>
    <t>EMR</t>
  </si>
  <si>
    <t>South Asia</t>
  </si>
  <si>
    <t>ARE</t>
  </si>
  <si>
    <t>United Arab Emirates</t>
  </si>
  <si>
    <t>BHR</t>
  </si>
  <si>
    <t>Bahrain</t>
  </si>
  <si>
    <t>DJI</t>
  </si>
  <si>
    <t>Djibouti</t>
  </si>
  <si>
    <t>EGY</t>
  </si>
  <si>
    <t>Egypt</t>
  </si>
  <si>
    <t>IRN</t>
  </si>
  <si>
    <t>Iran (Islamic Republic of)</t>
  </si>
  <si>
    <t>IRQ</t>
  </si>
  <si>
    <t>Iraq</t>
  </si>
  <si>
    <t>JOR</t>
  </si>
  <si>
    <t>Jordan</t>
  </si>
  <si>
    <t>KWT</t>
  </si>
  <si>
    <t>Kuwait</t>
  </si>
  <si>
    <t>LBN</t>
  </si>
  <si>
    <t>Lebanon</t>
  </si>
  <si>
    <t>LBY</t>
  </si>
  <si>
    <t>Libya</t>
  </si>
  <si>
    <t>MAR</t>
  </si>
  <si>
    <t>Morocco</t>
  </si>
  <si>
    <t>OMN</t>
  </si>
  <si>
    <t>Oman</t>
  </si>
  <si>
    <t>PAK</t>
  </si>
  <si>
    <t>Pakistan</t>
  </si>
  <si>
    <t>PSE</t>
  </si>
  <si>
    <t>occupied Palestinian territory, including east Jerusalem</t>
  </si>
  <si>
    <t>QAT</t>
  </si>
  <si>
    <t>Qatar</t>
  </si>
  <si>
    <t>SAU</t>
  </si>
  <si>
    <t>Saudi Arabia</t>
  </si>
  <si>
    <t>SDN</t>
  </si>
  <si>
    <t>Sudan</t>
  </si>
  <si>
    <t>SOM</t>
  </si>
  <si>
    <t>Somalia</t>
  </si>
  <si>
    <t>SYR</t>
  </si>
  <si>
    <t>Syrian Arab Republic</t>
  </si>
  <si>
    <t>TUN</t>
  </si>
  <si>
    <t>Tunisia</t>
  </si>
  <si>
    <t>YEM</t>
  </si>
  <si>
    <t>Yemen</t>
  </si>
  <si>
    <t>ALB</t>
  </si>
  <si>
    <t>Albania</t>
  </si>
  <si>
    <t>EUR</t>
  </si>
  <si>
    <t>Europe &amp; Central Asia</t>
  </si>
  <si>
    <t>AND</t>
  </si>
  <si>
    <t>Andorra</t>
  </si>
  <si>
    <t>ARM</t>
  </si>
  <si>
    <t>Armenia</t>
  </si>
  <si>
    <t>AUT</t>
  </si>
  <si>
    <t>Austria</t>
  </si>
  <si>
    <t>AZE</t>
  </si>
  <si>
    <t>Azerbaijan</t>
  </si>
  <si>
    <t>BEL</t>
  </si>
  <si>
    <t>Belgium</t>
  </si>
  <si>
    <t>BGR</t>
  </si>
  <si>
    <t>Bulgaria</t>
  </si>
  <si>
    <t>BIH</t>
  </si>
  <si>
    <t>Bosnia and Herzegovina</t>
  </si>
  <si>
    <t>BLR</t>
  </si>
  <si>
    <t>Belarus</t>
  </si>
  <si>
    <t>CHE</t>
  </si>
  <si>
    <t>Switzerland</t>
  </si>
  <si>
    <t>CYP</t>
  </si>
  <si>
    <t>Cyprus</t>
  </si>
  <si>
    <t>CZE</t>
  </si>
  <si>
    <t>Czechia</t>
  </si>
  <si>
    <t>DEU</t>
  </si>
  <si>
    <t>Germany</t>
  </si>
  <si>
    <t>DNK</t>
  </si>
  <si>
    <t>Denmark</t>
  </si>
  <si>
    <t>ESP</t>
  </si>
  <si>
    <t>Spain</t>
  </si>
  <si>
    <t>EST</t>
  </si>
  <si>
    <t>Estonia</t>
  </si>
  <si>
    <t>FIN</t>
  </si>
  <si>
    <t>Finland</t>
  </si>
  <si>
    <t>FRA</t>
  </si>
  <si>
    <t>France</t>
  </si>
  <si>
    <t>GBR</t>
  </si>
  <si>
    <t>United Kingdom of Great Britain and Northern Ireland</t>
  </si>
  <si>
    <t>GEO</t>
  </si>
  <si>
    <t>Georgia</t>
  </si>
  <si>
    <t>GRC</t>
  </si>
  <si>
    <t>Greece</t>
  </si>
  <si>
    <t>HRV</t>
  </si>
  <si>
    <t>Croatia</t>
  </si>
  <si>
    <t>HUN</t>
  </si>
  <si>
    <t>Hungary</t>
  </si>
  <si>
    <t>IRL</t>
  </si>
  <si>
    <t>Ireland</t>
  </si>
  <si>
    <t>ISL</t>
  </si>
  <si>
    <t>Iceland</t>
  </si>
  <si>
    <t>ISR</t>
  </si>
  <si>
    <t>Israel</t>
  </si>
  <si>
    <t>ITA</t>
  </si>
  <si>
    <t>Italy</t>
  </si>
  <si>
    <t>KAZ</t>
  </si>
  <si>
    <t>Kazakhstan</t>
  </si>
  <si>
    <t>KGZ</t>
  </si>
  <si>
    <t>Kyrgyzstan</t>
  </si>
  <si>
    <t>LTU</t>
  </si>
  <si>
    <t>Lithuania</t>
  </si>
  <si>
    <t>LUX</t>
  </si>
  <si>
    <t>Luxembourg</t>
  </si>
  <si>
    <t>LVA</t>
  </si>
  <si>
    <t>Latvia</t>
  </si>
  <si>
    <t>MCO</t>
  </si>
  <si>
    <t>Monaco</t>
  </si>
  <si>
    <t>MDA</t>
  </si>
  <si>
    <t>Republic of Moldova</t>
  </si>
  <si>
    <t>MKD</t>
  </si>
  <si>
    <t>North Macedonia</t>
  </si>
  <si>
    <t>MLT</t>
  </si>
  <si>
    <t>Malta</t>
  </si>
  <si>
    <t>MNE</t>
  </si>
  <si>
    <t>Montenegro</t>
  </si>
  <si>
    <t>NLD</t>
  </si>
  <si>
    <t>Netherlands</t>
  </si>
  <si>
    <t>NOR</t>
  </si>
  <si>
    <t>Norway</t>
  </si>
  <si>
    <t>POL</t>
  </si>
  <si>
    <t>Poland</t>
  </si>
  <si>
    <t>PRT</t>
  </si>
  <si>
    <t>Portugal</t>
  </si>
  <si>
    <t>ROU</t>
  </si>
  <si>
    <t>Romania</t>
  </si>
  <si>
    <t>RUS</t>
  </si>
  <si>
    <t>Russian Federation</t>
  </si>
  <si>
    <t>SMR</t>
  </si>
  <si>
    <t>San Marino</t>
  </si>
  <si>
    <t>SRB</t>
  </si>
  <si>
    <t>Serbia</t>
  </si>
  <si>
    <t>SVK</t>
  </si>
  <si>
    <t>Slovakia</t>
  </si>
  <si>
    <t>SVN</t>
  </si>
  <si>
    <t>Slovenia</t>
  </si>
  <si>
    <t>SWE</t>
  </si>
  <si>
    <t>Sweden</t>
  </si>
  <si>
    <t>TJK</t>
  </si>
  <si>
    <t>Tajikistan</t>
  </si>
  <si>
    <t>TKM</t>
  </si>
  <si>
    <t>Turkmenistan</t>
  </si>
  <si>
    <t>TUR</t>
  </si>
  <si>
    <t>Turkey</t>
  </si>
  <si>
    <t>UKR</t>
  </si>
  <si>
    <t>Ukraine</t>
  </si>
  <si>
    <t>UZB</t>
  </si>
  <si>
    <t>Uzbekistan</t>
  </si>
  <si>
    <t>BGD</t>
  </si>
  <si>
    <t>Bangladesh</t>
  </si>
  <si>
    <t>SEAR</t>
  </si>
  <si>
    <t>BTN</t>
  </si>
  <si>
    <t>Bhutan</t>
  </si>
  <si>
    <t>IDN</t>
  </si>
  <si>
    <t>Indonesia</t>
  </si>
  <si>
    <t>East Asia &amp; Pacific</t>
  </si>
  <si>
    <t>IND</t>
  </si>
  <si>
    <t>India</t>
  </si>
  <si>
    <t>LKA</t>
  </si>
  <si>
    <t>Sri Lanka</t>
  </si>
  <si>
    <t>MDV</t>
  </si>
  <si>
    <t>Maldives</t>
  </si>
  <si>
    <t>MMR</t>
  </si>
  <si>
    <t>Myanmar</t>
  </si>
  <si>
    <t>NPL</t>
  </si>
  <si>
    <t>Nepal</t>
  </si>
  <si>
    <t>PRK</t>
  </si>
  <si>
    <t>Democratic People's Republic of Korea</t>
  </si>
  <si>
    <t>THA</t>
  </si>
  <si>
    <t>Thailand</t>
  </si>
  <si>
    <t>TLS</t>
  </si>
  <si>
    <t>Timor-Leste</t>
  </si>
  <si>
    <t>AUS</t>
  </si>
  <si>
    <t>Australia</t>
  </si>
  <si>
    <t>WPR</t>
  </si>
  <si>
    <t>BRN</t>
  </si>
  <si>
    <t>Brunei Darussalam</t>
  </si>
  <si>
    <t>CHN</t>
  </si>
  <si>
    <t>China</t>
  </si>
  <si>
    <t>COK</t>
  </si>
  <si>
    <t>Cook Islands</t>
  </si>
  <si>
    <t>FJI</t>
  </si>
  <si>
    <t>Fiji</t>
  </si>
  <si>
    <t>FSM</t>
  </si>
  <si>
    <t>Micronesia (Federated States of)</t>
  </si>
  <si>
    <t>JPN</t>
  </si>
  <si>
    <t>Japan</t>
  </si>
  <si>
    <t>KHM</t>
  </si>
  <si>
    <t>Cambodia</t>
  </si>
  <si>
    <t>KIR</t>
  </si>
  <si>
    <t>Kiribati</t>
  </si>
  <si>
    <t>KOR</t>
  </si>
  <si>
    <t>Republic of Korea</t>
  </si>
  <si>
    <t>LAO</t>
  </si>
  <si>
    <t>Lao People's Democratic Republic</t>
  </si>
  <si>
    <t>MHL</t>
  </si>
  <si>
    <t>Marshall Islands</t>
  </si>
  <si>
    <t>MNG</t>
  </si>
  <si>
    <t>Mongolia</t>
  </si>
  <si>
    <t>MYS</t>
  </si>
  <si>
    <t>Malaysia</t>
  </si>
  <si>
    <t>NIU</t>
  </si>
  <si>
    <t>Niue</t>
  </si>
  <si>
    <t>NRU</t>
  </si>
  <si>
    <t>Nauru</t>
  </si>
  <si>
    <t>NZL</t>
  </si>
  <si>
    <t>New Zealand</t>
  </si>
  <si>
    <t>PHL</t>
  </si>
  <si>
    <t>Philippines</t>
  </si>
  <si>
    <t>PLW</t>
  </si>
  <si>
    <t>Palau</t>
  </si>
  <si>
    <t>PNG</t>
  </si>
  <si>
    <t>Papua New Guinea</t>
  </si>
  <si>
    <t>SGP</t>
  </si>
  <si>
    <t>Singapore</t>
  </si>
  <si>
    <t>SLB</t>
  </si>
  <si>
    <t>Solomon Islands</t>
  </si>
  <si>
    <t>TON</t>
  </si>
  <si>
    <t>Tonga</t>
  </si>
  <si>
    <t>TUV</t>
  </si>
  <si>
    <t>Tuvalu</t>
  </si>
  <si>
    <t>VNM</t>
  </si>
  <si>
    <t>Viet Nam</t>
  </si>
  <si>
    <t>VUT</t>
  </si>
  <si>
    <t>Vanuatu</t>
  </si>
  <si>
    <t>WSM</t>
  </si>
  <si>
    <t>Samoa</t>
  </si>
  <si>
    <t>ISO3_Code</t>
  </si>
  <si>
    <t>Year</t>
  </si>
  <si>
    <t>Pop_55_AND_OVER</t>
  </si>
  <si>
    <t>Pop_60_AND_OVER</t>
  </si>
  <si>
    <t>Pop_65_AND_OVER</t>
  </si>
  <si>
    <t>Pop_70_AND_OVER</t>
  </si>
  <si>
    <t>Total_Population</t>
  </si>
  <si>
    <t>ABW</t>
  </si>
  <si>
    <t>CHI</t>
  </si>
  <si>
    <t>CUW</t>
  </si>
  <si>
    <t>ESH</t>
  </si>
  <si>
    <t>GLP</t>
  </si>
  <si>
    <t>GUF</t>
  </si>
  <si>
    <t>GUM</t>
  </si>
  <si>
    <t>HKG</t>
  </si>
  <si>
    <t>MAC</t>
  </si>
  <si>
    <t>MTQ</t>
  </si>
  <si>
    <t>MYT</t>
  </si>
  <si>
    <t>NCL</t>
  </si>
  <si>
    <t>PRI</t>
  </si>
  <si>
    <t>PYF</t>
  </si>
  <si>
    <t>REU</t>
  </si>
  <si>
    <t>TWN</t>
  </si>
  <si>
    <t>VIR</t>
  </si>
  <si>
    <t>Côte d'Ivoire</t>
  </si>
  <si>
    <t>Democratic Republic of Korea</t>
  </si>
  <si>
    <t>Guinea Bissau</t>
  </si>
  <si>
    <t>Republic of Congo</t>
  </si>
  <si>
    <t>Republic of Sudan</t>
  </si>
  <si>
    <t>Syria</t>
  </si>
  <si>
    <t>Tanzania</t>
  </si>
  <si>
    <t>GAVI56</t>
  </si>
  <si>
    <t>GAVI57</t>
  </si>
  <si>
    <t>AMC</t>
  </si>
  <si>
    <t>West Bank and Gaza</t>
  </si>
  <si>
    <t>Kosovo</t>
  </si>
  <si>
    <t>GAVI 562</t>
  </si>
  <si>
    <t>ZZ_Kosovo</t>
  </si>
  <si>
    <t>ZZ_West Bank and Gaza</t>
  </si>
  <si>
    <t>AMC92</t>
  </si>
  <si>
    <t>CountryYear</t>
  </si>
  <si>
    <t>ABW2020</t>
  </si>
  <si>
    <t>ABW2021</t>
  </si>
  <si>
    <t>ABW2022</t>
  </si>
  <si>
    <t>ABW2023</t>
  </si>
  <si>
    <t>ABW2024</t>
  </si>
  <si>
    <t>AFG2020</t>
  </si>
  <si>
    <t>AFG2021</t>
  </si>
  <si>
    <t>AFG2022</t>
  </si>
  <si>
    <t>AFG2023</t>
  </si>
  <si>
    <t>AFG2024</t>
  </si>
  <si>
    <t>AGO2020</t>
  </si>
  <si>
    <t>AGO2021</t>
  </si>
  <si>
    <t>AGO2022</t>
  </si>
  <si>
    <t>AGO2023</t>
  </si>
  <si>
    <t>AGO2024</t>
  </si>
  <si>
    <t>ALB2020</t>
  </si>
  <si>
    <t>ALB2021</t>
  </si>
  <si>
    <t>ALB2022</t>
  </si>
  <si>
    <t>ALB2023</t>
  </si>
  <si>
    <t>ALB2024</t>
  </si>
  <si>
    <t>ARE2020</t>
  </si>
  <si>
    <t>ARE2021</t>
  </si>
  <si>
    <t>ARE2022</t>
  </si>
  <si>
    <t>ARE2023</t>
  </si>
  <si>
    <t>ARE2024</t>
  </si>
  <si>
    <t>ARG2020</t>
  </si>
  <si>
    <t>ARG2021</t>
  </si>
  <si>
    <t>ARG2022</t>
  </si>
  <si>
    <t>ARG2023</t>
  </si>
  <si>
    <t>ARG2024</t>
  </si>
  <si>
    <t>ARM2020</t>
  </si>
  <si>
    <t>ARM2021</t>
  </si>
  <si>
    <t>ARM2022</t>
  </si>
  <si>
    <t>ARM2023</t>
  </si>
  <si>
    <t>ARM2024</t>
  </si>
  <si>
    <t>ATG2020</t>
  </si>
  <si>
    <t>ATG2021</t>
  </si>
  <si>
    <t>ATG2022</t>
  </si>
  <si>
    <t>ATG2023</t>
  </si>
  <si>
    <t>ATG2024</t>
  </si>
  <si>
    <t>AUS2020</t>
  </si>
  <si>
    <t>AUS2021</t>
  </si>
  <si>
    <t>AUS2022</t>
  </si>
  <si>
    <t>AUS2023</t>
  </si>
  <si>
    <t>AUS2024</t>
  </si>
  <si>
    <t>AUT2020</t>
  </si>
  <si>
    <t>AUT2021</t>
  </si>
  <si>
    <t>AUT2022</t>
  </si>
  <si>
    <t>AUT2023</t>
  </si>
  <si>
    <t>AUT2024</t>
  </si>
  <si>
    <t>AZE2020</t>
  </si>
  <si>
    <t>AZE2021</t>
  </si>
  <si>
    <t>AZE2022</t>
  </si>
  <si>
    <t>AZE2023</t>
  </si>
  <si>
    <t>AZE2024</t>
  </si>
  <si>
    <t>BDI2020</t>
  </si>
  <si>
    <t>BDI2021</t>
  </si>
  <si>
    <t>BDI2022</t>
  </si>
  <si>
    <t>BDI2023</t>
  </si>
  <si>
    <t>BDI2024</t>
  </si>
  <si>
    <t>BEL2020</t>
  </si>
  <si>
    <t>BEL2021</t>
  </si>
  <si>
    <t>BEL2022</t>
  </si>
  <si>
    <t>BEL2023</t>
  </si>
  <si>
    <t>BEL2024</t>
  </si>
  <si>
    <t>BEN2020</t>
  </si>
  <si>
    <t>BEN2021</t>
  </si>
  <si>
    <t>BEN2022</t>
  </si>
  <si>
    <t>BEN2023</t>
  </si>
  <si>
    <t>BEN2024</t>
  </si>
  <si>
    <t>BFA2020</t>
  </si>
  <si>
    <t>BFA2021</t>
  </si>
  <si>
    <t>BFA2022</t>
  </si>
  <si>
    <t>BFA2023</t>
  </si>
  <si>
    <t>BFA2024</t>
  </si>
  <si>
    <t>BGD2020</t>
  </si>
  <si>
    <t>BGD2021</t>
  </si>
  <si>
    <t>BGD2022</t>
  </si>
  <si>
    <t>BGD2023</t>
  </si>
  <si>
    <t>BGD2024</t>
  </si>
  <si>
    <t>BGR2020</t>
  </si>
  <si>
    <t>BGR2021</t>
  </si>
  <si>
    <t>BGR2022</t>
  </si>
  <si>
    <t>BGR2023</t>
  </si>
  <si>
    <t>BGR2024</t>
  </si>
  <si>
    <t>BHR2020</t>
  </si>
  <si>
    <t>BHR2021</t>
  </si>
  <si>
    <t>BHR2022</t>
  </si>
  <si>
    <t>BHR2023</t>
  </si>
  <si>
    <t>BHR2024</t>
  </si>
  <si>
    <t>BHS2020</t>
  </si>
  <si>
    <t>BHS2021</t>
  </si>
  <si>
    <t>BHS2022</t>
  </si>
  <si>
    <t>BHS2023</t>
  </si>
  <si>
    <t>BHS2024</t>
  </si>
  <si>
    <t>BIH2020</t>
  </si>
  <si>
    <t>BIH2021</t>
  </si>
  <si>
    <t>BIH2022</t>
  </si>
  <si>
    <t>BIH2023</t>
  </si>
  <si>
    <t>BIH2024</t>
  </si>
  <si>
    <t>BLR2020</t>
  </si>
  <si>
    <t>BLR2021</t>
  </si>
  <si>
    <t>BLR2022</t>
  </si>
  <si>
    <t>BLR2023</t>
  </si>
  <si>
    <t>BLR2024</t>
  </si>
  <si>
    <t>BLZ2020</t>
  </si>
  <si>
    <t>BLZ2021</t>
  </si>
  <si>
    <t>BLZ2022</t>
  </si>
  <si>
    <t>BLZ2023</t>
  </si>
  <si>
    <t>BLZ2024</t>
  </si>
  <si>
    <t>BOL2020</t>
  </si>
  <si>
    <t>BOL2021</t>
  </si>
  <si>
    <t>BOL2022</t>
  </si>
  <si>
    <t>BOL2023</t>
  </si>
  <si>
    <t>BOL2024</t>
  </si>
  <si>
    <t>BRA2020</t>
  </si>
  <si>
    <t>BRA2021</t>
  </si>
  <si>
    <t>BRA2022</t>
  </si>
  <si>
    <t>BRA2023</t>
  </si>
  <si>
    <t>BRA2024</t>
  </si>
  <si>
    <t>BRB2020</t>
  </si>
  <si>
    <t>BRB2021</t>
  </si>
  <si>
    <t>BRB2022</t>
  </si>
  <si>
    <t>BRB2023</t>
  </si>
  <si>
    <t>BRB2024</t>
  </si>
  <si>
    <t>BRN2020</t>
  </si>
  <si>
    <t>BRN2021</t>
  </si>
  <si>
    <t>BRN2022</t>
  </si>
  <si>
    <t>BRN2023</t>
  </si>
  <si>
    <t>BRN2024</t>
  </si>
  <si>
    <t>BTN2020</t>
  </si>
  <si>
    <t>BTN2021</t>
  </si>
  <si>
    <t>BTN2022</t>
  </si>
  <si>
    <t>BTN2023</t>
  </si>
  <si>
    <t>BTN2024</t>
  </si>
  <si>
    <t>BWA2020</t>
  </si>
  <si>
    <t>BWA2021</t>
  </si>
  <si>
    <t>BWA2022</t>
  </si>
  <si>
    <t>BWA2023</t>
  </si>
  <si>
    <t>BWA2024</t>
  </si>
  <si>
    <t>CAF2020</t>
  </si>
  <si>
    <t>CAF2021</t>
  </si>
  <si>
    <t>CAF2022</t>
  </si>
  <si>
    <t>CAF2023</t>
  </si>
  <si>
    <t>CAF2024</t>
  </si>
  <si>
    <t>CAN2020</t>
  </si>
  <si>
    <t>CAN2021</t>
  </si>
  <si>
    <t>CAN2022</t>
  </si>
  <si>
    <t>CAN2023</t>
  </si>
  <si>
    <t>CAN2024</t>
  </si>
  <si>
    <t>CHE2020</t>
  </si>
  <si>
    <t>CHE2021</t>
  </si>
  <si>
    <t>CHE2022</t>
  </si>
  <si>
    <t>CHE2023</t>
  </si>
  <si>
    <t>CHE2024</t>
  </si>
  <si>
    <t>CHI2020</t>
  </si>
  <si>
    <t>CHI2021</t>
  </si>
  <si>
    <t>CHI2022</t>
  </si>
  <si>
    <t>CHI2023</t>
  </si>
  <si>
    <t>CHI2024</t>
  </si>
  <si>
    <t>CHL2020</t>
  </si>
  <si>
    <t>CHL2021</t>
  </si>
  <si>
    <t>CHL2022</t>
  </si>
  <si>
    <t>CHL2023</t>
  </si>
  <si>
    <t>CHL2024</t>
  </si>
  <si>
    <t>CHN2020</t>
  </si>
  <si>
    <t>CHN2021</t>
  </si>
  <si>
    <t>CHN2022</t>
  </si>
  <si>
    <t>CHN2023</t>
  </si>
  <si>
    <t>CHN2024</t>
  </si>
  <si>
    <t>CIV2020</t>
  </si>
  <si>
    <t>CIV2021</t>
  </si>
  <si>
    <t>CIV2022</t>
  </si>
  <si>
    <t>CIV2023</t>
  </si>
  <si>
    <t>CIV2024</t>
  </si>
  <si>
    <t>CMR2020</t>
  </si>
  <si>
    <t>CMR2021</t>
  </si>
  <si>
    <t>CMR2022</t>
  </si>
  <si>
    <t>CMR2023</t>
  </si>
  <si>
    <t>CMR2024</t>
  </si>
  <si>
    <t>COD2020</t>
  </si>
  <si>
    <t>COD2021</t>
  </si>
  <si>
    <t>COD2022</t>
  </si>
  <si>
    <t>COD2023</t>
  </si>
  <si>
    <t>COD2024</t>
  </si>
  <si>
    <t>COG2020</t>
  </si>
  <si>
    <t>COG2021</t>
  </si>
  <si>
    <t>COG2022</t>
  </si>
  <si>
    <t>COG2023</t>
  </si>
  <si>
    <t>COG2024</t>
  </si>
  <si>
    <t>COL2020</t>
  </si>
  <si>
    <t>COL2021</t>
  </si>
  <si>
    <t>COL2022</t>
  </si>
  <si>
    <t>COL2023</t>
  </si>
  <si>
    <t>COL2024</t>
  </si>
  <si>
    <t>COM2020</t>
  </si>
  <si>
    <t>COM2021</t>
  </si>
  <si>
    <t>COM2022</t>
  </si>
  <si>
    <t>COM2023</t>
  </si>
  <si>
    <t>COM2024</t>
  </si>
  <si>
    <t>CPV2020</t>
  </si>
  <si>
    <t>CPV2021</t>
  </si>
  <si>
    <t>CPV2022</t>
  </si>
  <si>
    <t>CPV2023</t>
  </si>
  <si>
    <t>CPV2024</t>
  </si>
  <si>
    <t>CRI2020</t>
  </si>
  <si>
    <t>CRI2021</t>
  </si>
  <si>
    <t>CRI2022</t>
  </si>
  <si>
    <t>CRI2023</t>
  </si>
  <si>
    <t>CRI2024</t>
  </si>
  <si>
    <t>CUB2020</t>
  </si>
  <si>
    <t>CUB2021</t>
  </si>
  <si>
    <t>CUB2022</t>
  </si>
  <si>
    <t>CUB2023</t>
  </si>
  <si>
    <t>CUB2024</t>
  </si>
  <si>
    <t>CUW2020</t>
  </si>
  <si>
    <t>CUW2021</t>
  </si>
  <si>
    <t>CUW2022</t>
  </si>
  <si>
    <t>CUW2023</t>
  </si>
  <si>
    <t>CUW2024</t>
  </si>
  <si>
    <t>CYP2020</t>
  </si>
  <si>
    <t>CYP2021</t>
  </si>
  <si>
    <t>CYP2022</t>
  </si>
  <si>
    <t>CYP2023</t>
  </si>
  <si>
    <t>CYP2024</t>
  </si>
  <si>
    <t>CZE2020</t>
  </si>
  <si>
    <t>CZE2021</t>
  </si>
  <si>
    <t>CZE2022</t>
  </si>
  <si>
    <t>CZE2023</t>
  </si>
  <si>
    <t>CZE2024</t>
  </si>
  <si>
    <t>DEU2020</t>
  </si>
  <si>
    <t>DEU2021</t>
  </si>
  <si>
    <t>DEU2022</t>
  </si>
  <si>
    <t>DEU2023</t>
  </si>
  <si>
    <t>DEU2024</t>
  </si>
  <si>
    <t>DJI2020</t>
  </si>
  <si>
    <t>DJI2021</t>
  </si>
  <si>
    <t>DJI2022</t>
  </si>
  <si>
    <t>DJI2023</t>
  </si>
  <si>
    <t>DJI2024</t>
  </si>
  <si>
    <t>DNK2020</t>
  </si>
  <si>
    <t>DNK2021</t>
  </si>
  <si>
    <t>DNK2022</t>
  </si>
  <si>
    <t>DNK2023</t>
  </si>
  <si>
    <t>DNK2024</t>
  </si>
  <si>
    <t>DOM2020</t>
  </si>
  <si>
    <t>DOM2021</t>
  </si>
  <si>
    <t>DOM2022</t>
  </si>
  <si>
    <t>DOM2023</t>
  </si>
  <si>
    <t>DOM2024</t>
  </si>
  <si>
    <t>DZA2020</t>
  </si>
  <si>
    <t>DZA2021</t>
  </si>
  <si>
    <t>DZA2022</t>
  </si>
  <si>
    <t>DZA2023</t>
  </si>
  <si>
    <t>DZA2024</t>
  </si>
  <si>
    <t>ECU2020</t>
  </si>
  <si>
    <t>ECU2021</t>
  </si>
  <si>
    <t>ECU2022</t>
  </si>
  <si>
    <t>ECU2023</t>
  </si>
  <si>
    <t>ECU2024</t>
  </si>
  <si>
    <t>EGY2020</t>
  </si>
  <si>
    <t>EGY2021</t>
  </si>
  <si>
    <t>EGY2022</t>
  </si>
  <si>
    <t>EGY2023</t>
  </si>
  <si>
    <t>EGY2024</t>
  </si>
  <si>
    <t>ERI2020</t>
  </si>
  <si>
    <t>ERI2021</t>
  </si>
  <si>
    <t>ERI2022</t>
  </si>
  <si>
    <t>ERI2023</t>
  </si>
  <si>
    <t>ERI2024</t>
  </si>
  <si>
    <t>ESH2020</t>
  </si>
  <si>
    <t>ESH2021</t>
  </si>
  <si>
    <t>ESH2022</t>
  </si>
  <si>
    <t>ESH2023</t>
  </si>
  <si>
    <t>ESH2024</t>
  </si>
  <si>
    <t>ESP2020</t>
  </si>
  <si>
    <t>ESP2021</t>
  </si>
  <si>
    <t>ESP2022</t>
  </si>
  <si>
    <t>ESP2023</t>
  </si>
  <si>
    <t>ESP2024</t>
  </si>
  <si>
    <t>EST2020</t>
  </si>
  <si>
    <t>EST2021</t>
  </si>
  <si>
    <t>EST2022</t>
  </si>
  <si>
    <t>EST2023</t>
  </si>
  <si>
    <t>EST2024</t>
  </si>
  <si>
    <t>ETH2020</t>
  </si>
  <si>
    <t>ETH2021</t>
  </si>
  <si>
    <t>ETH2022</t>
  </si>
  <si>
    <t>ETH2023</t>
  </si>
  <si>
    <t>ETH2024</t>
  </si>
  <si>
    <t>FIN2020</t>
  </si>
  <si>
    <t>FIN2021</t>
  </si>
  <si>
    <t>FIN2022</t>
  </si>
  <si>
    <t>FIN2023</t>
  </si>
  <si>
    <t>FIN2024</t>
  </si>
  <si>
    <t>FJI2020</t>
  </si>
  <si>
    <t>FJI2021</t>
  </si>
  <si>
    <t>FJI2022</t>
  </si>
  <si>
    <t>FJI2023</t>
  </si>
  <si>
    <t>FJI2024</t>
  </si>
  <si>
    <t>FRA2020</t>
  </si>
  <si>
    <t>FRA2021</t>
  </si>
  <si>
    <t>FRA2022</t>
  </si>
  <si>
    <t>FRA2023</t>
  </si>
  <si>
    <t>FRA2024</t>
  </si>
  <si>
    <t>FSM2020</t>
  </si>
  <si>
    <t>FSM2021</t>
  </si>
  <si>
    <t>FSM2022</t>
  </si>
  <si>
    <t>FSM2023</t>
  </si>
  <si>
    <t>FSM2024</t>
  </si>
  <si>
    <t>GAB2020</t>
  </si>
  <si>
    <t>GAB2021</t>
  </si>
  <si>
    <t>GAB2022</t>
  </si>
  <si>
    <t>GAB2023</t>
  </si>
  <si>
    <t>GAB2024</t>
  </si>
  <si>
    <t>GBR2020</t>
  </si>
  <si>
    <t>GBR2021</t>
  </si>
  <si>
    <t>GBR2022</t>
  </si>
  <si>
    <t>GBR2023</t>
  </si>
  <si>
    <t>GBR2024</t>
  </si>
  <si>
    <t>GEO2020</t>
  </si>
  <si>
    <t>GEO2021</t>
  </si>
  <si>
    <t>GEO2022</t>
  </si>
  <si>
    <t>GEO2023</t>
  </si>
  <si>
    <t>GEO2024</t>
  </si>
  <si>
    <t>GHA2020</t>
  </si>
  <si>
    <t>GHA2021</t>
  </si>
  <si>
    <t>GHA2022</t>
  </si>
  <si>
    <t>GHA2023</t>
  </si>
  <si>
    <t>GHA2024</t>
  </si>
  <si>
    <t>GIN2020</t>
  </si>
  <si>
    <t>GIN2021</t>
  </si>
  <si>
    <t>GIN2022</t>
  </si>
  <si>
    <t>GIN2023</t>
  </si>
  <si>
    <t>GIN2024</t>
  </si>
  <si>
    <t>GLP2020</t>
  </si>
  <si>
    <t>GLP2021</t>
  </si>
  <si>
    <t>GLP2022</t>
  </si>
  <si>
    <t>GLP2023</t>
  </si>
  <si>
    <t>GLP2024</t>
  </si>
  <si>
    <t>GMB2020</t>
  </si>
  <si>
    <t>GMB2021</t>
  </si>
  <si>
    <t>GMB2022</t>
  </si>
  <si>
    <t>GMB2023</t>
  </si>
  <si>
    <t>GMB2024</t>
  </si>
  <si>
    <t>GNB2020</t>
  </si>
  <si>
    <t>GNB2021</t>
  </si>
  <si>
    <t>GNB2022</t>
  </si>
  <si>
    <t>GNB2023</t>
  </si>
  <si>
    <t>GNB2024</t>
  </si>
  <si>
    <t>GNQ2020</t>
  </si>
  <si>
    <t>GNQ2021</t>
  </si>
  <si>
    <t>GNQ2022</t>
  </si>
  <si>
    <t>GNQ2023</t>
  </si>
  <si>
    <t>GNQ2024</t>
  </si>
  <si>
    <t>GRC2020</t>
  </si>
  <si>
    <t>GRC2021</t>
  </si>
  <si>
    <t>GRC2022</t>
  </si>
  <si>
    <t>GRC2023</t>
  </si>
  <si>
    <t>GRC2024</t>
  </si>
  <si>
    <t>GRD2020</t>
  </si>
  <si>
    <t>GRD2021</t>
  </si>
  <si>
    <t>GRD2022</t>
  </si>
  <si>
    <t>GRD2023</t>
  </si>
  <si>
    <t>GRD2024</t>
  </si>
  <si>
    <t>GTM2020</t>
  </si>
  <si>
    <t>GTM2021</t>
  </si>
  <si>
    <t>GTM2022</t>
  </si>
  <si>
    <t>GTM2023</t>
  </si>
  <si>
    <t>GTM2024</t>
  </si>
  <si>
    <t>GUF2020</t>
  </si>
  <si>
    <t>GUF2021</t>
  </si>
  <si>
    <t>GUF2022</t>
  </si>
  <si>
    <t>GUF2023</t>
  </si>
  <si>
    <t>GUF2024</t>
  </si>
  <si>
    <t>GUM2020</t>
  </si>
  <si>
    <t>GUM2021</t>
  </si>
  <si>
    <t>GUM2022</t>
  </si>
  <si>
    <t>GUM2023</t>
  </si>
  <si>
    <t>GUM2024</t>
  </si>
  <si>
    <t>GUY2020</t>
  </si>
  <si>
    <t>GUY2021</t>
  </si>
  <si>
    <t>GUY2022</t>
  </si>
  <si>
    <t>GUY2023</t>
  </si>
  <si>
    <t>GUY2024</t>
  </si>
  <si>
    <t>HKG2020</t>
  </si>
  <si>
    <t>HKG2021</t>
  </si>
  <si>
    <t>HKG2022</t>
  </si>
  <si>
    <t>HKG2023</t>
  </si>
  <si>
    <t>HKG2024</t>
  </si>
  <si>
    <t>HND2020</t>
  </si>
  <si>
    <t>HND2021</t>
  </si>
  <si>
    <t>HND2022</t>
  </si>
  <si>
    <t>HND2023</t>
  </si>
  <si>
    <t>HND2024</t>
  </si>
  <si>
    <t>HRV2020</t>
  </si>
  <si>
    <t>HRV2021</t>
  </si>
  <si>
    <t>HRV2022</t>
  </si>
  <si>
    <t>HRV2023</t>
  </si>
  <si>
    <t>HRV2024</t>
  </si>
  <si>
    <t>HTI2020</t>
  </si>
  <si>
    <t>HTI2021</t>
  </si>
  <si>
    <t>HTI2022</t>
  </si>
  <si>
    <t>HTI2023</t>
  </si>
  <si>
    <t>HTI2024</t>
  </si>
  <si>
    <t>HUN2020</t>
  </si>
  <si>
    <t>HUN2021</t>
  </si>
  <si>
    <t>HUN2022</t>
  </si>
  <si>
    <t>HUN2023</t>
  </si>
  <si>
    <t>HUN2024</t>
  </si>
  <si>
    <t>IDN2020</t>
  </si>
  <si>
    <t>IDN2021</t>
  </si>
  <si>
    <t>IDN2022</t>
  </si>
  <si>
    <t>IDN2023</t>
  </si>
  <si>
    <t>IDN2024</t>
  </si>
  <si>
    <t>IND2020</t>
  </si>
  <si>
    <t>IND2021</t>
  </si>
  <si>
    <t>IND2022</t>
  </si>
  <si>
    <t>IND2023</t>
  </si>
  <si>
    <t>IND2024</t>
  </si>
  <si>
    <t>IRL2020</t>
  </si>
  <si>
    <t>IRL2021</t>
  </si>
  <si>
    <t>IRL2022</t>
  </si>
  <si>
    <t>IRL2023</t>
  </si>
  <si>
    <t>IRL2024</t>
  </si>
  <si>
    <t>IRN2020</t>
  </si>
  <si>
    <t>IRN2021</t>
  </si>
  <si>
    <t>IRN2022</t>
  </si>
  <si>
    <t>IRN2023</t>
  </si>
  <si>
    <t>IRN2024</t>
  </si>
  <si>
    <t>IRQ2020</t>
  </si>
  <si>
    <t>IRQ2021</t>
  </si>
  <si>
    <t>IRQ2022</t>
  </si>
  <si>
    <t>IRQ2023</t>
  </si>
  <si>
    <t>IRQ2024</t>
  </si>
  <si>
    <t>ISL2020</t>
  </si>
  <si>
    <t>ISL2021</t>
  </si>
  <si>
    <t>ISL2022</t>
  </si>
  <si>
    <t>ISL2023</t>
  </si>
  <si>
    <t>ISL2024</t>
  </si>
  <si>
    <t>ISR2020</t>
  </si>
  <si>
    <t>ISR2021</t>
  </si>
  <si>
    <t>ISR2022</t>
  </si>
  <si>
    <t>ISR2023</t>
  </si>
  <si>
    <t>ISR2024</t>
  </si>
  <si>
    <t>ITA2020</t>
  </si>
  <si>
    <t>ITA2021</t>
  </si>
  <si>
    <t>ITA2022</t>
  </si>
  <si>
    <t>ITA2023</t>
  </si>
  <si>
    <t>ITA2024</t>
  </si>
  <si>
    <t>JAM2020</t>
  </si>
  <si>
    <t>JAM2021</t>
  </si>
  <si>
    <t>JAM2022</t>
  </si>
  <si>
    <t>JAM2023</t>
  </si>
  <si>
    <t>JAM2024</t>
  </si>
  <si>
    <t>JOR2020</t>
  </si>
  <si>
    <t>JOR2021</t>
  </si>
  <si>
    <t>JOR2022</t>
  </si>
  <si>
    <t>JOR2023</t>
  </si>
  <si>
    <t>JOR2024</t>
  </si>
  <si>
    <t>JPN2020</t>
  </si>
  <si>
    <t>JPN2021</t>
  </si>
  <si>
    <t>JPN2022</t>
  </si>
  <si>
    <t>JPN2023</t>
  </si>
  <si>
    <t>JPN2024</t>
  </si>
  <si>
    <t>KAZ2020</t>
  </si>
  <si>
    <t>KAZ2021</t>
  </si>
  <si>
    <t>KAZ2022</t>
  </si>
  <si>
    <t>KAZ2023</t>
  </si>
  <si>
    <t>KAZ2024</t>
  </si>
  <si>
    <t>KEN2020</t>
  </si>
  <si>
    <t>KEN2021</t>
  </si>
  <si>
    <t>KEN2022</t>
  </si>
  <si>
    <t>KEN2023</t>
  </si>
  <si>
    <t>KEN2024</t>
  </si>
  <si>
    <t>KGZ2020</t>
  </si>
  <si>
    <t>KGZ2021</t>
  </si>
  <si>
    <t>KGZ2022</t>
  </si>
  <si>
    <t>KGZ2023</t>
  </si>
  <si>
    <t>KGZ2024</t>
  </si>
  <si>
    <t>KHM2020</t>
  </si>
  <si>
    <t>KHM2021</t>
  </si>
  <si>
    <t>KHM2022</t>
  </si>
  <si>
    <t>KHM2023</t>
  </si>
  <si>
    <t>KHM2024</t>
  </si>
  <si>
    <t>KIR2020</t>
  </si>
  <si>
    <t>KIR2021</t>
  </si>
  <si>
    <t>KIR2022</t>
  </si>
  <si>
    <t>KIR2023</t>
  </si>
  <si>
    <t>KIR2024</t>
  </si>
  <si>
    <t>KOR2020</t>
  </si>
  <si>
    <t>KOR2021</t>
  </si>
  <si>
    <t>KOR2022</t>
  </si>
  <si>
    <t>KOR2023</t>
  </si>
  <si>
    <t>KOR2024</t>
  </si>
  <si>
    <t>KWT2020</t>
  </si>
  <si>
    <t>KWT2021</t>
  </si>
  <si>
    <t>KWT2022</t>
  </si>
  <si>
    <t>KWT2023</t>
  </si>
  <si>
    <t>KWT2024</t>
  </si>
  <si>
    <t>LAO2020</t>
  </si>
  <si>
    <t>LAO2021</t>
  </si>
  <si>
    <t>LAO2022</t>
  </si>
  <si>
    <t>LAO2023</t>
  </si>
  <si>
    <t>LAO2024</t>
  </si>
  <si>
    <t>LBN2020</t>
  </si>
  <si>
    <t>LBN2021</t>
  </si>
  <si>
    <t>LBN2022</t>
  </si>
  <si>
    <t>LBN2023</t>
  </si>
  <si>
    <t>LBN2024</t>
  </si>
  <si>
    <t>LBR2020</t>
  </si>
  <si>
    <t>LBR2021</t>
  </si>
  <si>
    <t>LBR2022</t>
  </si>
  <si>
    <t>LBR2023</t>
  </si>
  <si>
    <t>LBR2024</t>
  </si>
  <si>
    <t>LBY2020</t>
  </si>
  <si>
    <t>LBY2021</t>
  </si>
  <si>
    <t>LBY2022</t>
  </si>
  <si>
    <t>LBY2023</t>
  </si>
  <si>
    <t>LBY2024</t>
  </si>
  <si>
    <t>LCA2020</t>
  </si>
  <si>
    <t>LCA2021</t>
  </si>
  <si>
    <t>LCA2022</t>
  </si>
  <si>
    <t>LCA2023</t>
  </si>
  <si>
    <t>LCA2024</t>
  </si>
  <si>
    <t>LKA2020</t>
  </si>
  <si>
    <t>LKA2021</t>
  </si>
  <si>
    <t>LKA2022</t>
  </si>
  <si>
    <t>LKA2023</t>
  </si>
  <si>
    <t>LKA2024</t>
  </si>
  <si>
    <t>LSO2020</t>
  </si>
  <si>
    <t>LSO2021</t>
  </si>
  <si>
    <t>LSO2022</t>
  </si>
  <si>
    <t>LSO2023</t>
  </si>
  <si>
    <t>LSO2024</t>
  </si>
  <si>
    <t>LTU2020</t>
  </si>
  <si>
    <t>LTU2021</t>
  </si>
  <si>
    <t>LTU2022</t>
  </si>
  <si>
    <t>LTU2023</t>
  </si>
  <si>
    <t>LTU2024</t>
  </si>
  <si>
    <t>LUX2020</t>
  </si>
  <si>
    <t>LUX2021</t>
  </si>
  <si>
    <t>LUX2022</t>
  </si>
  <si>
    <t>LUX2023</t>
  </si>
  <si>
    <t>LUX2024</t>
  </si>
  <si>
    <t>LVA2020</t>
  </si>
  <si>
    <t>LVA2021</t>
  </si>
  <si>
    <t>LVA2022</t>
  </si>
  <si>
    <t>LVA2023</t>
  </si>
  <si>
    <t>LVA2024</t>
  </si>
  <si>
    <t>MAC2020</t>
  </si>
  <si>
    <t>MAC2021</t>
  </si>
  <si>
    <t>MAC2022</t>
  </si>
  <si>
    <t>MAC2023</t>
  </si>
  <si>
    <t>MAC2024</t>
  </si>
  <si>
    <t>MAR2020</t>
  </si>
  <si>
    <t>MAR2021</t>
  </si>
  <si>
    <t>MAR2022</t>
  </si>
  <si>
    <t>MAR2023</t>
  </si>
  <si>
    <t>MAR2024</t>
  </si>
  <si>
    <t>MDA2020</t>
  </si>
  <si>
    <t>MDA2021</t>
  </si>
  <si>
    <t>MDA2022</t>
  </si>
  <si>
    <t>MDA2023</t>
  </si>
  <si>
    <t>MDA2024</t>
  </si>
  <si>
    <t>MDG2020</t>
  </si>
  <si>
    <t>MDG2021</t>
  </si>
  <si>
    <t>MDG2022</t>
  </si>
  <si>
    <t>MDG2023</t>
  </si>
  <si>
    <t>MDG2024</t>
  </si>
  <si>
    <t>MDV2020</t>
  </si>
  <si>
    <t>MDV2021</t>
  </si>
  <si>
    <t>MDV2022</t>
  </si>
  <si>
    <t>MDV2023</t>
  </si>
  <si>
    <t>MDV2024</t>
  </si>
  <si>
    <t>MEX2020</t>
  </si>
  <si>
    <t>MEX2021</t>
  </si>
  <si>
    <t>MEX2022</t>
  </si>
  <si>
    <t>MEX2023</t>
  </si>
  <si>
    <t>MEX2024</t>
  </si>
  <si>
    <t>MKD2020</t>
  </si>
  <si>
    <t>MKD2021</t>
  </si>
  <si>
    <t>MKD2022</t>
  </si>
  <si>
    <t>MKD2023</t>
  </si>
  <si>
    <t>MKD2024</t>
  </si>
  <si>
    <t>MLI2020</t>
  </si>
  <si>
    <t>MLI2021</t>
  </si>
  <si>
    <t>MLI2022</t>
  </si>
  <si>
    <t>MLI2023</t>
  </si>
  <si>
    <t>MLI2024</t>
  </si>
  <si>
    <t>MLT2020</t>
  </si>
  <si>
    <t>MLT2021</t>
  </si>
  <si>
    <t>MLT2022</t>
  </si>
  <si>
    <t>MLT2023</t>
  </si>
  <si>
    <t>MLT2024</t>
  </si>
  <si>
    <t>MMR2020</t>
  </si>
  <si>
    <t>MMR2021</t>
  </si>
  <si>
    <t>MMR2022</t>
  </si>
  <si>
    <t>MMR2023</t>
  </si>
  <si>
    <t>MMR2024</t>
  </si>
  <si>
    <t>MNE2020</t>
  </si>
  <si>
    <t>MNE2021</t>
  </si>
  <si>
    <t>MNE2022</t>
  </si>
  <si>
    <t>MNE2023</t>
  </si>
  <si>
    <t>MNE2024</t>
  </si>
  <si>
    <t>MNG2020</t>
  </si>
  <si>
    <t>MNG2021</t>
  </si>
  <si>
    <t>MNG2022</t>
  </si>
  <si>
    <t>MNG2023</t>
  </si>
  <si>
    <t>MNG2024</t>
  </si>
  <si>
    <t>MOZ2020</t>
  </si>
  <si>
    <t>MOZ2021</t>
  </si>
  <si>
    <t>MOZ2022</t>
  </si>
  <si>
    <t>MOZ2023</t>
  </si>
  <si>
    <t>MOZ2024</t>
  </si>
  <si>
    <t>MRT2020</t>
  </si>
  <si>
    <t>MRT2021</t>
  </si>
  <si>
    <t>MRT2022</t>
  </si>
  <si>
    <t>MRT2023</t>
  </si>
  <si>
    <t>MRT2024</t>
  </si>
  <si>
    <t>MTQ2020</t>
  </si>
  <si>
    <t>MTQ2021</t>
  </si>
  <si>
    <t>MTQ2022</t>
  </si>
  <si>
    <t>MTQ2023</t>
  </si>
  <si>
    <t>MTQ2024</t>
  </si>
  <si>
    <t>MUS2020</t>
  </si>
  <si>
    <t>MUS2021</t>
  </si>
  <si>
    <t>MUS2022</t>
  </si>
  <si>
    <t>MUS2023</t>
  </si>
  <si>
    <t>MUS2024</t>
  </si>
  <si>
    <t>MWI2020</t>
  </si>
  <si>
    <t>MWI2021</t>
  </si>
  <si>
    <t>MWI2022</t>
  </si>
  <si>
    <t>MWI2023</t>
  </si>
  <si>
    <t>MWI2024</t>
  </si>
  <si>
    <t>MYS2020</t>
  </si>
  <si>
    <t>MYS2021</t>
  </si>
  <si>
    <t>MYS2022</t>
  </si>
  <si>
    <t>MYS2023</t>
  </si>
  <si>
    <t>MYS2024</t>
  </si>
  <si>
    <t>MYT2020</t>
  </si>
  <si>
    <t>MYT2021</t>
  </si>
  <si>
    <t>MYT2022</t>
  </si>
  <si>
    <t>MYT2023</t>
  </si>
  <si>
    <t>MYT2024</t>
  </si>
  <si>
    <t>NAM2020</t>
  </si>
  <si>
    <t>NAM2021</t>
  </si>
  <si>
    <t>NAM2022</t>
  </si>
  <si>
    <t>NAM2023</t>
  </si>
  <si>
    <t>NAM2024</t>
  </si>
  <si>
    <t>NCL2020</t>
  </si>
  <si>
    <t>NCL2021</t>
  </si>
  <si>
    <t>NCL2022</t>
  </si>
  <si>
    <t>NCL2023</t>
  </si>
  <si>
    <t>NCL2024</t>
  </si>
  <si>
    <t>NER2020</t>
  </si>
  <si>
    <t>NER2021</t>
  </si>
  <si>
    <t>NER2022</t>
  </si>
  <si>
    <t>NER2023</t>
  </si>
  <si>
    <t>NER2024</t>
  </si>
  <si>
    <t>NGA2020</t>
  </si>
  <si>
    <t>NGA2021</t>
  </si>
  <si>
    <t>NGA2022</t>
  </si>
  <si>
    <t>NGA2023</t>
  </si>
  <si>
    <t>NGA2024</t>
  </si>
  <si>
    <t>NIC2020</t>
  </si>
  <si>
    <t>NIC2021</t>
  </si>
  <si>
    <t>NIC2022</t>
  </si>
  <si>
    <t>NIC2023</t>
  </si>
  <si>
    <t>NIC2024</t>
  </si>
  <si>
    <t>NLD2020</t>
  </si>
  <si>
    <t>NLD2021</t>
  </si>
  <si>
    <t>NLD2022</t>
  </si>
  <si>
    <t>NLD2023</t>
  </si>
  <si>
    <t>NLD2024</t>
  </si>
  <si>
    <t>NOR2020</t>
  </si>
  <si>
    <t>NOR2021</t>
  </si>
  <si>
    <t>NOR2022</t>
  </si>
  <si>
    <t>NOR2023</t>
  </si>
  <si>
    <t>NOR2024</t>
  </si>
  <si>
    <t>NPL2020</t>
  </si>
  <si>
    <t>NPL2021</t>
  </si>
  <si>
    <t>NPL2022</t>
  </si>
  <si>
    <t>NPL2023</t>
  </si>
  <si>
    <t>NPL2024</t>
  </si>
  <si>
    <t>NZL2020</t>
  </si>
  <si>
    <t>NZL2021</t>
  </si>
  <si>
    <t>NZL2022</t>
  </si>
  <si>
    <t>NZL2023</t>
  </si>
  <si>
    <t>NZL2024</t>
  </si>
  <si>
    <t>OMN2020</t>
  </si>
  <si>
    <t>OMN2021</t>
  </si>
  <si>
    <t>OMN2022</t>
  </si>
  <si>
    <t>OMN2023</t>
  </si>
  <si>
    <t>OMN2024</t>
  </si>
  <si>
    <t>PAK2020</t>
  </si>
  <si>
    <t>PAK2021</t>
  </si>
  <si>
    <t>PAK2022</t>
  </si>
  <si>
    <t>PAK2023</t>
  </si>
  <si>
    <t>PAK2024</t>
  </si>
  <si>
    <t>PAN2020</t>
  </si>
  <si>
    <t>PAN2021</t>
  </si>
  <si>
    <t>PAN2022</t>
  </si>
  <si>
    <t>PAN2023</t>
  </si>
  <si>
    <t>PAN2024</t>
  </si>
  <si>
    <t>PER2020</t>
  </si>
  <si>
    <t>PER2021</t>
  </si>
  <si>
    <t>PER2022</t>
  </si>
  <si>
    <t>PER2023</t>
  </si>
  <si>
    <t>PER2024</t>
  </si>
  <si>
    <t>PHL2020</t>
  </si>
  <si>
    <t>PHL2021</t>
  </si>
  <si>
    <t>PHL2022</t>
  </si>
  <si>
    <t>PHL2023</t>
  </si>
  <si>
    <t>PHL2024</t>
  </si>
  <si>
    <t>PNG2020</t>
  </si>
  <si>
    <t>PNG2021</t>
  </si>
  <si>
    <t>PNG2022</t>
  </si>
  <si>
    <t>PNG2023</t>
  </si>
  <si>
    <t>PNG2024</t>
  </si>
  <si>
    <t>POL2020</t>
  </si>
  <si>
    <t>POL2021</t>
  </si>
  <si>
    <t>POL2022</t>
  </si>
  <si>
    <t>POL2023</t>
  </si>
  <si>
    <t>POL2024</t>
  </si>
  <si>
    <t>PRI2020</t>
  </si>
  <si>
    <t>PRI2021</t>
  </si>
  <si>
    <t>PRI2022</t>
  </si>
  <si>
    <t>PRI2023</t>
  </si>
  <si>
    <t>PRI2024</t>
  </si>
  <si>
    <t>PRK2020</t>
  </si>
  <si>
    <t>PRK2021</t>
  </si>
  <si>
    <t>PRK2022</t>
  </si>
  <si>
    <t>PRK2023</t>
  </si>
  <si>
    <t>PRK2024</t>
  </si>
  <si>
    <t>PRT2020</t>
  </si>
  <si>
    <t>PRT2021</t>
  </si>
  <si>
    <t>PRT2022</t>
  </si>
  <si>
    <t>PRT2023</t>
  </si>
  <si>
    <t>PRT2024</t>
  </si>
  <si>
    <t>PRY2020</t>
  </si>
  <si>
    <t>PRY2021</t>
  </si>
  <si>
    <t>PRY2022</t>
  </si>
  <si>
    <t>PRY2023</t>
  </si>
  <si>
    <t>PRY2024</t>
  </si>
  <si>
    <t>PSE2020</t>
  </si>
  <si>
    <t>PSE2021</t>
  </si>
  <si>
    <t>PSE2022</t>
  </si>
  <si>
    <t>PSE2023</t>
  </si>
  <si>
    <t>PSE2024</t>
  </si>
  <si>
    <t>PYF2020</t>
  </si>
  <si>
    <t>PYF2021</t>
  </si>
  <si>
    <t>PYF2022</t>
  </si>
  <si>
    <t>PYF2023</t>
  </si>
  <si>
    <t>PYF2024</t>
  </si>
  <si>
    <t>QAT2020</t>
  </si>
  <si>
    <t>QAT2021</t>
  </si>
  <si>
    <t>QAT2022</t>
  </si>
  <si>
    <t>QAT2023</t>
  </si>
  <si>
    <t>QAT2024</t>
  </si>
  <si>
    <t>REU2020</t>
  </si>
  <si>
    <t>REU2021</t>
  </si>
  <si>
    <t>REU2022</t>
  </si>
  <si>
    <t>REU2023</t>
  </si>
  <si>
    <t>REU2024</t>
  </si>
  <si>
    <t>ROU2020</t>
  </si>
  <si>
    <t>ROU2021</t>
  </si>
  <si>
    <t>ROU2022</t>
  </si>
  <si>
    <t>ROU2023</t>
  </si>
  <si>
    <t>ROU2024</t>
  </si>
  <si>
    <t>RUS2020</t>
  </si>
  <si>
    <t>RUS2021</t>
  </si>
  <si>
    <t>RUS2022</t>
  </si>
  <si>
    <t>RUS2023</t>
  </si>
  <si>
    <t>RUS2024</t>
  </si>
  <si>
    <t>RWA2020</t>
  </si>
  <si>
    <t>RWA2021</t>
  </si>
  <si>
    <t>RWA2022</t>
  </si>
  <si>
    <t>RWA2023</t>
  </si>
  <si>
    <t>RWA2024</t>
  </si>
  <si>
    <t>SAU2020</t>
  </si>
  <si>
    <t>SAU2021</t>
  </si>
  <si>
    <t>SAU2022</t>
  </si>
  <si>
    <t>SAU2023</t>
  </si>
  <si>
    <t>SAU2024</t>
  </si>
  <si>
    <t>SDN2020</t>
  </si>
  <si>
    <t>SDN2021</t>
  </si>
  <si>
    <t>SDN2022</t>
  </si>
  <si>
    <t>SDN2023</t>
  </si>
  <si>
    <t>SDN2024</t>
  </si>
  <si>
    <t>SEN2020</t>
  </si>
  <si>
    <t>SEN2021</t>
  </si>
  <si>
    <t>SEN2022</t>
  </si>
  <si>
    <t>SEN2023</t>
  </si>
  <si>
    <t>SEN2024</t>
  </si>
  <si>
    <t>SGP2020</t>
  </si>
  <si>
    <t>SGP2021</t>
  </si>
  <si>
    <t>SGP2022</t>
  </si>
  <si>
    <t>SGP2023</t>
  </si>
  <si>
    <t>SGP2024</t>
  </si>
  <si>
    <t>SLB2020</t>
  </si>
  <si>
    <t>SLB2021</t>
  </si>
  <si>
    <t>SLB2022</t>
  </si>
  <si>
    <t>SLB2023</t>
  </si>
  <si>
    <t>SLB2024</t>
  </si>
  <si>
    <t>SLE2020</t>
  </si>
  <si>
    <t>SLE2021</t>
  </si>
  <si>
    <t>SLE2022</t>
  </si>
  <si>
    <t>SLE2023</t>
  </si>
  <si>
    <t>SLE2024</t>
  </si>
  <si>
    <t>SLV2020</t>
  </si>
  <si>
    <t>SLV2021</t>
  </si>
  <si>
    <t>SLV2022</t>
  </si>
  <si>
    <t>SLV2023</t>
  </si>
  <si>
    <t>SLV2024</t>
  </si>
  <si>
    <t>SOM2020</t>
  </si>
  <si>
    <t>SOM2021</t>
  </si>
  <si>
    <t>SOM2022</t>
  </si>
  <si>
    <t>SOM2023</t>
  </si>
  <si>
    <t>SOM2024</t>
  </si>
  <si>
    <t>SRB2020</t>
  </si>
  <si>
    <t>SRB2021</t>
  </si>
  <si>
    <t>SRB2022</t>
  </si>
  <si>
    <t>SRB2023</t>
  </si>
  <si>
    <t>SRB2024</t>
  </si>
  <si>
    <t>SSD2020</t>
  </si>
  <si>
    <t>SSD2021</t>
  </si>
  <si>
    <t>SSD2022</t>
  </si>
  <si>
    <t>SSD2023</t>
  </si>
  <si>
    <t>SSD2024</t>
  </si>
  <si>
    <t>STP2020</t>
  </si>
  <si>
    <t>STP2021</t>
  </si>
  <si>
    <t>STP2022</t>
  </si>
  <si>
    <t>STP2023</t>
  </si>
  <si>
    <t>STP2024</t>
  </si>
  <si>
    <t>SUR2020</t>
  </si>
  <si>
    <t>SUR2021</t>
  </si>
  <si>
    <t>SUR2022</t>
  </si>
  <si>
    <t>SUR2023</t>
  </si>
  <si>
    <t>SUR2024</t>
  </si>
  <si>
    <t>SVK2020</t>
  </si>
  <si>
    <t>SVK2021</t>
  </si>
  <si>
    <t>SVK2022</t>
  </si>
  <si>
    <t>SVK2023</t>
  </si>
  <si>
    <t>SVK2024</t>
  </si>
  <si>
    <t>SVN2020</t>
  </si>
  <si>
    <t>SVN2021</t>
  </si>
  <si>
    <t>SVN2022</t>
  </si>
  <si>
    <t>SVN2023</t>
  </si>
  <si>
    <t>SVN2024</t>
  </si>
  <si>
    <t>SWE2020</t>
  </si>
  <si>
    <t>SWE2021</t>
  </si>
  <si>
    <t>SWE2022</t>
  </si>
  <si>
    <t>SWE2023</t>
  </si>
  <si>
    <t>SWE2024</t>
  </si>
  <si>
    <t>SWZ2020</t>
  </si>
  <si>
    <t>SWZ2021</t>
  </si>
  <si>
    <t>SWZ2022</t>
  </si>
  <si>
    <t>SWZ2023</t>
  </si>
  <si>
    <t>SWZ2024</t>
  </si>
  <si>
    <t>SYC2020</t>
  </si>
  <si>
    <t>SYC2021</t>
  </si>
  <si>
    <t>SYC2022</t>
  </si>
  <si>
    <t>SYC2023</t>
  </si>
  <si>
    <t>SYC2024</t>
  </si>
  <si>
    <t>SYR2020</t>
  </si>
  <si>
    <t>SYR2021</t>
  </si>
  <si>
    <t>SYR2022</t>
  </si>
  <si>
    <t>SYR2023</t>
  </si>
  <si>
    <t>SYR2024</t>
  </si>
  <si>
    <t>TCD2020</t>
  </si>
  <si>
    <t>TCD2021</t>
  </si>
  <si>
    <t>TCD2022</t>
  </si>
  <si>
    <t>TCD2023</t>
  </si>
  <si>
    <t>TCD2024</t>
  </si>
  <si>
    <t>TGO2020</t>
  </si>
  <si>
    <t>TGO2021</t>
  </si>
  <si>
    <t>TGO2022</t>
  </si>
  <si>
    <t>TGO2023</t>
  </si>
  <si>
    <t>TGO2024</t>
  </si>
  <si>
    <t>THA2020</t>
  </si>
  <si>
    <t>THA2021</t>
  </si>
  <si>
    <t>THA2022</t>
  </si>
  <si>
    <t>THA2023</t>
  </si>
  <si>
    <t>THA2024</t>
  </si>
  <si>
    <t>TJK2020</t>
  </si>
  <si>
    <t>TJK2021</t>
  </si>
  <si>
    <t>TJK2022</t>
  </si>
  <si>
    <t>TJK2023</t>
  </si>
  <si>
    <t>TJK2024</t>
  </si>
  <si>
    <t>TKM2020</t>
  </si>
  <si>
    <t>TKM2021</t>
  </si>
  <si>
    <t>TKM2022</t>
  </si>
  <si>
    <t>TKM2023</t>
  </si>
  <si>
    <t>TKM2024</t>
  </si>
  <si>
    <t>TLS2020</t>
  </si>
  <si>
    <t>TLS2021</t>
  </si>
  <si>
    <t>TLS2022</t>
  </si>
  <si>
    <t>TLS2023</t>
  </si>
  <si>
    <t>TLS2024</t>
  </si>
  <si>
    <t>TON2020</t>
  </si>
  <si>
    <t>TON2021</t>
  </si>
  <si>
    <t>TON2022</t>
  </si>
  <si>
    <t>TON2023</t>
  </si>
  <si>
    <t>TON2024</t>
  </si>
  <si>
    <t>TTO2020</t>
  </si>
  <si>
    <t>TTO2021</t>
  </si>
  <si>
    <t>TTO2022</t>
  </si>
  <si>
    <t>TTO2023</t>
  </si>
  <si>
    <t>TTO2024</t>
  </si>
  <si>
    <t>TUN2020</t>
  </si>
  <si>
    <t>TUN2021</t>
  </si>
  <si>
    <t>TUN2022</t>
  </si>
  <si>
    <t>TUN2023</t>
  </si>
  <si>
    <t>TUN2024</t>
  </si>
  <si>
    <t>TUR2020</t>
  </si>
  <si>
    <t>TUR2021</t>
  </si>
  <si>
    <t>TUR2022</t>
  </si>
  <si>
    <t>TUR2023</t>
  </si>
  <si>
    <t>TUR2024</t>
  </si>
  <si>
    <t>TWN2020</t>
  </si>
  <si>
    <t>TWN2021</t>
  </si>
  <si>
    <t>TWN2022</t>
  </si>
  <si>
    <t>TWN2023</t>
  </si>
  <si>
    <t>TWN2024</t>
  </si>
  <si>
    <t>TZA2020</t>
  </si>
  <si>
    <t>TZA2021</t>
  </si>
  <si>
    <t>TZA2022</t>
  </si>
  <si>
    <t>TZA2023</t>
  </si>
  <si>
    <t>TZA2024</t>
  </si>
  <si>
    <t>UGA2020</t>
  </si>
  <si>
    <t>UGA2021</t>
  </si>
  <si>
    <t>UGA2022</t>
  </si>
  <si>
    <t>UGA2023</t>
  </si>
  <si>
    <t>UGA2024</t>
  </si>
  <si>
    <t>UKR2020</t>
  </si>
  <si>
    <t>UKR2021</t>
  </si>
  <si>
    <t>UKR2022</t>
  </si>
  <si>
    <t>UKR2023</t>
  </si>
  <si>
    <t>UKR2024</t>
  </si>
  <si>
    <t>URY2020</t>
  </si>
  <si>
    <t>URY2021</t>
  </si>
  <si>
    <t>URY2022</t>
  </si>
  <si>
    <t>URY2023</t>
  </si>
  <si>
    <t>URY2024</t>
  </si>
  <si>
    <t>USA2020</t>
  </si>
  <si>
    <t>USA2021</t>
  </si>
  <si>
    <t>USA2022</t>
  </si>
  <si>
    <t>USA2023</t>
  </si>
  <si>
    <t>USA2024</t>
  </si>
  <si>
    <t>UZB2020</t>
  </si>
  <si>
    <t>UZB2021</t>
  </si>
  <si>
    <t>UZB2022</t>
  </si>
  <si>
    <t>UZB2023</t>
  </si>
  <si>
    <t>UZB2024</t>
  </si>
  <si>
    <t>VCT2020</t>
  </si>
  <si>
    <t>VCT2021</t>
  </si>
  <si>
    <t>VCT2022</t>
  </si>
  <si>
    <t>VCT2023</t>
  </si>
  <si>
    <t>VCT2024</t>
  </si>
  <si>
    <t>VEN2020</t>
  </si>
  <si>
    <t>VEN2021</t>
  </si>
  <si>
    <t>VEN2022</t>
  </si>
  <si>
    <t>VEN2023</t>
  </si>
  <si>
    <t>VEN2024</t>
  </si>
  <si>
    <t>VIR2020</t>
  </si>
  <si>
    <t>VIR2021</t>
  </si>
  <si>
    <t>VIR2022</t>
  </si>
  <si>
    <t>VIR2023</t>
  </si>
  <si>
    <t>VIR2024</t>
  </si>
  <si>
    <t>VNM2020</t>
  </si>
  <si>
    <t>VNM2021</t>
  </si>
  <si>
    <t>VNM2022</t>
  </si>
  <si>
    <t>VNM2023</t>
  </si>
  <si>
    <t>VNM2024</t>
  </si>
  <si>
    <t>VUT2020</t>
  </si>
  <si>
    <t>VUT2021</t>
  </si>
  <si>
    <t>VUT2022</t>
  </si>
  <si>
    <t>VUT2023</t>
  </si>
  <si>
    <t>VUT2024</t>
  </si>
  <si>
    <t>WSM2020</t>
  </si>
  <si>
    <t>WSM2021</t>
  </si>
  <si>
    <t>WSM2022</t>
  </si>
  <si>
    <t>WSM2023</t>
  </si>
  <si>
    <t>WSM2024</t>
  </si>
  <si>
    <t>YEM2020</t>
  </si>
  <si>
    <t>YEM2021</t>
  </si>
  <si>
    <t>YEM2022</t>
  </si>
  <si>
    <t>YEM2023</t>
  </si>
  <si>
    <t>YEM2024</t>
  </si>
  <si>
    <t>ZAF2020</t>
  </si>
  <si>
    <t>ZAF2021</t>
  </si>
  <si>
    <t>ZAF2022</t>
  </si>
  <si>
    <t>ZAF2023</t>
  </si>
  <si>
    <t>ZAF2024</t>
  </si>
  <si>
    <t>ZMB2020</t>
  </si>
  <si>
    <t>ZMB2021</t>
  </si>
  <si>
    <t>ZMB2022</t>
  </si>
  <si>
    <t>ZMB2023</t>
  </si>
  <si>
    <t>ZMB2024</t>
  </si>
  <si>
    <t>ZWE2020</t>
  </si>
  <si>
    <t>ZWE2021</t>
  </si>
  <si>
    <t>ZWE2022</t>
  </si>
  <si>
    <t>ZWE2023</t>
  </si>
  <si>
    <t>ZWE2024</t>
  </si>
  <si>
    <t>Offset</t>
  </si>
  <si>
    <t>Column1</t>
  </si>
  <si>
    <t>World Bank Lending Category</t>
  </si>
  <si>
    <t>World Bank Region</t>
  </si>
  <si>
    <t>Pacific island small state?</t>
  </si>
  <si>
    <t>Fragile and conflict affected situation?</t>
  </si>
  <si>
    <t>Country_Code</t>
  </si>
  <si>
    <t>Country_Name</t>
  </si>
  <si>
    <t>WHO_Region</t>
  </si>
  <si>
    <t>WB_Region</t>
  </si>
  <si>
    <t>WB_Income_Group</t>
  </si>
  <si>
    <t>WB_Lending_Category</t>
  </si>
  <si>
    <t>WHO  Region</t>
  </si>
  <si>
    <t>Hospitals</t>
  </si>
  <si>
    <t>Health Centers</t>
  </si>
  <si>
    <t>Source: GHO | DEVICES00 |Total density per 100 000 population: Hospitals | Assume cold-storage</t>
  </si>
  <si>
    <t>Source: GHO |DEVICES02 | Total density per 100 000 population: Health centres | Assume cold-storage</t>
  </si>
  <si>
    <t>Source: GHO | DEVICES01 | Total density per 100 000 population: Health posts | Assume NO cold-storage</t>
  </si>
  <si>
    <t>Source: UN WPP 2019</t>
  </si>
  <si>
    <t>DM4</t>
  </si>
  <si>
    <t>DM3</t>
  </si>
  <si>
    <t>Expected Uptake</t>
  </si>
  <si>
    <t>Delivery Modality 3</t>
  </si>
  <si>
    <t>Delivery Modality 4</t>
  </si>
  <si>
    <t>Committed</t>
  </si>
  <si>
    <t>Optional</t>
  </si>
  <si>
    <t>Non-COVAX Participant</t>
  </si>
  <si>
    <t>Percent of total population</t>
  </si>
  <si>
    <t>Years | Percent of Total Population</t>
  </si>
  <si>
    <t>Note</t>
  </si>
  <si>
    <t>HCW Time</t>
  </si>
  <si>
    <t>Mins per Dose</t>
  </si>
  <si>
    <t>Vaccine</t>
  </si>
  <si>
    <t>Local Demand Generation and Communications</t>
  </si>
  <si>
    <t>Local Security</t>
  </si>
  <si>
    <t>Local Human Resources</t>
  </si>
  <si>
    <t>Additional Interventions</t>
  </si>
  <si>
    <t>Local Data Management and Monitoring, Pharmacovigilance</t>
  </si>
  <si>
    <t>Per Site</t>
  </si>
  <si>
    <t>Zero (this is a fixed site)</t>
  </si>
  <si>
    <t>Source for formula - WHO WHO/IVB/08.01 2008</t>
  </si>
  <si>
    <t>Security per Site per Day</t>
  </si>
  <si>
    <t>Security per Mobile Team per Day</t>
  </si>
  <si>
    <t>PPE per HRH per Day</t>
  </si>
  <si>
    <t>Per Site per Day</t>
  </si>
  <si>
    <t>DEVELOP LATER IF NEEDED</t>
  </si>
  <si>
    <t>Per Vaccinated Person</t>
  </si>
  <si>
    <t>Total Site-Days</t>
  </si>
  <si>
    <t>Item A</t>
  </si>
  <si>
    <t>Item B</t>
  </si>
  <si>
    <t>Item C</t>
  </si>
  <si>
    <t>PPE per Unique HRH</t>
  </si>
  <si>
    <t>Eye protection</t>
  </si>
  <si>
    <t>Face shield</t>
  </si>
  <si>
    <t>Quantity</t>
  </si>
  <si>
    <t>H1 2021</t>
  </si>
  <si>
    <t>H2 2021</t>
  </si>
  <si>
    <t>H1 2022</t>
  </si>
  <si>
    <t>H2 2022</t>
  </si>
  <si>
    <t>H2 2023</t>
  </si>
  <si>
    <t>H1 2023</t>
  </si>
  <si>
    <t>YEAR</t>
  </si>
  <si>
    <t>HALF-YEARLY TIME PERIOD</t>
  </si>
  <si>
    <t>Total</t>
  </si>
  <si>
    <t>How many courses?</t>
  </si>
  <si>
    <t>Doses per course</t>
  </si>
  <si>
    <t>Cumulative Sites</t>
  </si>
  <si>
    <t>New Sites</t>
  </si>
  <si>
    <t>Triggered</t>
  </si>
  <si>
    <t>Initiation of service delivery</t>
  </si>
  <si>
    <t>[HIDE]</t>
  </si>
  <si>
    <t>Trigger ONCE (with "1") to indicate start</t>
  </si>
  <si>
    <t>Sites to start with @ initiation of service delivery</t>
  </si>
  <si>
    <t>Sites</t>
  </si>
  <si>
    <t>Voluntary | Delivery Modality 2</t>
  </si>
  <si>
    <t>Work-based | Delivery Modality 2</t>
  </si>
  <si>
    <t>DM</t>
  </si>
  <si>
    <t>Work-based | Delivery Modality 1</t>
  </si>
  <si>
    <t>Voluntary | Delivery Modality 1</t>
  </si>
  <si>
    <t>Work-based | Delivery Modality 1 or 2</t>
  </si>
  <si>
    <t>Voluntary | Delivery Modality 1 or 2</t>
  </si>
  <si>
    <t>Vol DM1 / DM2</t>
  </si>
  <si>
    <t>Wrk DM1 / DM2</t>
  </si>
  <si>
    <t>Allow for differences in communications costs and expected uptake</t>
  </si>
  <si>
    <t>Per Person Eligible for Vaccination (Voluntary Uptake)</t>
  </si>
  <si>
    <t>Per Person Eligible for Vaccination (Work-based Uptake)</t>
  </si>
  <si>
    <t>Work-based … i.e. a 'captive' audience</t>
  </si>
  <si>
    <t>Voluntary … i.e., needs to be convinced and persuaded</t>
  </si>
  <si>
    <t>Costs (USD)</t>
  </si>
  <si>
    <t>Offset (Hidden)</t>
  </si>
  <si>
    <t>Delivery Modality 1</t>
  </si>
  <si>
    <t>Per dose</t>
  </si>
  <si>
    <t>Quantities (Units)</t>
  </si>
  <si>
    <t>Item</t>
  </si>
  <si>
    <t>Time</t>
  </si>
  <si>
    <t>Vaccinator Hourly Wages</t>
  </si>
  <si>
    <t>Suggestion</t>
  </si>
  <si>
    <t>Delivery Modality 2</t>
  </si>
  <si>
    <t>Total Local Delivery Costs (excluding vaccines and related supplies)</t>
  </si>
  <si>
    <t>USD per DOSE (not per course)</t>
  </si>
  <si>
    <t>Volume per dose (cm3)</t>
  </si>
  <si>
    <t>Days between doses</t>
  </si>
  <si>
    <t>Volume of the whole tranche of vaccines at delivery</t>
  </si>
  <si>
    <t>Consider adjustment for weekends [TODO]</t>
  </si>
  <si>
    <t>ADB Regional Member</t>
  </si>
  <si>
    <t>Hong Kong, China</t>
  </si>
  <si>
    <t>Taipei,China</t>
  </si>
  <si>
    <t>Country</t>
  </si>
  <si>
    <t>ADB</t>
  </si>
  <si>
    <t>Local credentialing</t>
  </si>
  <si>
    <t>Uniform, etc.</t>
  </si>
  <si>
    <t>Food rations for mobile teams</t>
  </si>
  <si>
    <t>Name tags, uniforms</t>
  </si>
  <si>
    <t>Accomodation for mobile teams</t>
  </si>
  <si>
    <t>Misc expense for mobile teams</t>
  </si>
  <si>
    <t>Security Personnel</t>
  </si>
  <si>
    <t>Presumably this will be outsourced and paid as an all inclusive charge</t>
  </si>
  <si>
    <t>Data management system authorization and other certification, credentialing, authorizing</t>
  </si>
  <si>
    <t>Vaccination deliveries from central to fixed sites, per time period</t>
  </si>
  <si>
    <t>Whole number; Time period is half a year</t>
  </si>
  <si>
    <t>Total vaccine volume per period (liters)</t>
  </si>
  <si>
    <t>Quantized-up based on facilities</t>
  </si>
  <si>
    <t>New additional vaccinators per period</t>
  </si>
  <si>
    <t>Vaccinations going on this period?</t>
  </si>
  <si>
    <t xml:space="preserve"> (RBF excl. vaccines and supplies)</t>
  </si>
  <si>
    <t>Total (across DMs) vaccinator hours</t>
  </si>
  <si>
    <t>Total Vaccinator-Days</t>
  </si>
  <si>
    <t>Transport</t>
  </si>
  <si>
    <t>Mobile Team Type A (Solo) Per Team Per Day</t>
  </si>
  <si>
    <t>Mobile Team Type B (Group) Per Team Per Day</t>
  </si>
  <si>
    <t>Mobile Team A (Solo) Per Team per Day</t>
  </si>
  <si>
    <t>Optimize these</t>
  </si>
  <si>
    <t>Note that sites are treated as equal-sized 'averages'</t>
  </si>
  <si>
    <t>Whole Number; Leave blank if unsure</t>
  </si>
  <si>
    <t>Vaccinators per team</t>
  </si>
  <si>
    <t>In DM1 … it should equal the number of sites</t>
  </si>
  <si>
    <t>Vaccinator Time Per Site Per Dose (hours)</t>
  </si>
  <si>
    <t>Average (mean) sized sites</t>
  </si>
  <si>
    <t>Total Days Per Site Per Course</t>
  </si>
  <si>
    <t>Total Days Per Site Per Dose</t>
  </si>
  <si>
    <t>Total Vaccinator Days</t>
  </si>
  <si>
    <t>Vaccinators for this DM</t>
  </si>
  <si>
    <t>Number of Teams</t>
  </si>
  <si>
    <t>In case more than one dose needed</t>
  </si>
  <si>
    <t>How long to vaccinate all sites (given # of teams)? (days)</t>
  </si>
  <si>
    <t>N/A</t>
  </si>
  <si>
    <t>… need to be reached by mobile team Type A (single-person team)</t>
  </si>
  <si>
    <t>… need to be reached by mobile team Type B (multi-person team)</t>
  </si>
  <si>
    <t>Vaccinators per team (@Basecamp)</t>
  </si>
  <si>
    <t>Vaccinators per team (Mobile B)</t>
  </si>
  <si>
    <t>Mobile Team A by definition one-person team</t>
  </si>
  <si>
    <t>Vaccinator Time Per Site Per Dose (hours) - Basecamp</t>
  </si>
  <si>
    <t>Vaccinator Time Per Site Per Dose (hours) - Mobile A</t>
  </si>
  <si>
    <t>Vaccinator Time Per Site Per Dose (hours) - Mobile B</t>
  </si>
  <si>
    <t>Total Days Per Site Per Dose - Basecamp</t>
  </si>
  <si>
    <t>Total Days Per Site Per Dose - Mobile A</t>
  </si>
  <si>
    <t>Total Days Per Site Per Dose - Mobile B</t>
  </si>
  <si>
    <t>Total Days Per Site Per Course - Basecamp</t>
  </si>
  <si>
    <t>Total Days Per Site Per Course - Mobile A</t>
  </si>
  <si>
    <t>Total Days Per Site Per Course - Mobile B</t>
  </si>
  <si>
    <t>Vaccinators per team (Mobile A)</t>
  </si>
  <si>
    <t>How long to vaccinate areas in all sites (given # of teams)? (days)</t>
  </si>
  <si>
    <t>Unit Prices (Completed Vaccination Courses)</t>
  </si>
  <si>
    <t>Unit</t>
  </si>
  <si>
    <t>Source: COVAX</t>
  </si>
  <si>
    <t>COVAX Participation Status</t>
  </si>
  <si>
    <t>If not AMC, Committed or Optional Purchase Agreement?</t>
  </si>
  <si>
    <t>Advance Market Commitment (AMC) country?</t>
  </si>
  <si>
    <t>Shelf Life</t>
  </si>
  <si>
    <t>Including prepayments and cost sharing</t>
  </si>
  <si>
    <t>Results-based Financing</t>
  </si>
  <si>
    <t>(Max of the above)</t>
  </si>
  <si>
    <t>Total Vaccinator Hours</t>
  </si>
  <si>
    <t>Not quantized up - this is for supplementary incentive</t>
  </si>
  <si>
    <t>Supplementary Wages (Hourly Rate)</t>
  </si>
  <si>
    <t>Source: https://population.un.org/Household/index.html | United Nations, Department of Economic and Social Affairs, Population Division (2019). Database on Household Size and Composition 2019.</t>
  </si>
  <si>
    <t>title</t>
  </si>
  <si>
    <t>link</t>
  </si>
  <si>
    <t>description</t>
  </si>
  <si>
    <t>baseCurrency</t>
  </si>
  <si>
    <t>pubDate</t>
  </si>
  <si>
    <t>baseName</t>
  </si>
  <si>
    <t>targetCurrency</t>
  </si>
  <si>
    <t>targetName</t>
  </si>
  <si>
    <t>exchangeRate</t>
  </si>
  <si>
    <t>inverseRate</t>
  </si>
  <si>
    <t>inverseDescription</t>
  </si>
  <si>
    <t>http://www.floatrates.com/usd/eur/</t>
  </si>
  <si>
    <t>U.S. Dollar</t>
  </si>
  <si>
    <t>Euro</t>
  </si>
  <si>
    <t>http://www.floatrates.com/usd/gbp/</t>
  </si>
  <si>
    <t>GBP</t>
  </si>
  <si>
    <t>U.K. Pound Sterling</t>
  </si>
  <si>
    <t>http://www.floatrates.com/usd/aud/</t>
  </si>
  <si>
    <t>AUD</t>
  </si>
  <si>
    <t>Australian Dollar</t>
  </si>
  <si>
    <t>http://www.floatrates.com/usd/cad/</t>
  </si>
  <si>
    <t>CAD</t>
  </si>
  <si>
    <t>Canadian Dollar</t>
  </si>
  <si>
    <t>http://www.floatrates.com/usd/jpy/</t>
  </si>
  <si>
    <t>JPY</t>
  </si>
  <si>
    <t>Japanese Yen</t>
  </si>
  <si>
    <t>http://www.floatrates.com/usd/chf/</t>
  </si>
  <si>
    <t>CHF</t>
  </si>
  <si>
    <t>Swiss Franc</t>
  </si>
  <si>
    <t>http://www.floatrates.com/usd/tjs/</t>
  </si>
  <si>
    <t>TJS</t>
  </si>
  <si>
    <t>Tajikistan Ruble</t>
  </si>
  <si>
    <t>http://www.floatrates.com/usd/nio/</t>
  </si>
  <si>
    <t>NIO</t>
  </si>
  <si>
    <t>Nicaraguan Córdoba</t>
  </si>
  <si>
    <t>http://www.floatrates.com/usd/srd/</t>
  </si>
  <si>
    <t>SRD</t>
  </si>
  <si>
    <t>Surinamese dollar</t>
  </si>
  <si>
    <t>http://www.floatrates.com/usd/htg/</t>
  </si>
  <si>
    <t>HTG</t>
  </si>
  <si>
    <t>Haitian gourde</t>
  </si>
  <si>
    <t>http://www.floatrates.com/usd/mop/</t>
  </si>
  <si>
    <t>MOP</t>
  </si>
  <si>
    <t>Macanese pataca</t>
  </si>
  <si>
    <t>http://www.floatrates.com/usd/vuv/</t>
  </si>
  <si>
    <t>VUV</t>
  </si>
  <si>
    <t>Vanuatu vatu</t>
  </si>
  <si>
    <t>http://www.floatrates.com/usd/nok/</t>
  </si>
  <si>
    <t>NOK</t>
  </si>
  <si>
    <t>Norwegian Krone</t>
  </si>
  <si>
    <t>http://www.floatrates.com/usd/try/</t>
  </si>
  <si>
    <t>TRY</t>
  </si>
  <si>
    <t>Turkish Lira</t>
  </si>
  <si>
    <t>http://www.floatrates.com/usd/bdt/</t>
  </si>
  <si>
    <t>BDT</t>
  </si>
  <si>
    <t>Bangladeshi taka</t>
  </si>
  <si>
    <t>http://www.floatrates.com/usd/uah/</t>
  </si>
  <si>
    <t>UAH</t>
  </si>
  <si>
    <t>Ukrainian Hryvnia</t>
  </si>
  <si>
    <t>http://www.floatrates.com/usd/pab/</t>
  </si>
  <si>
    <t>PAB</t>
  </si>
  <si>
    <t>Panamanian Balboa</t>
  </si>
  <si>
    <t>http://www.floatrates.com/usd/sbd/</t>
  </si>
  <si>
    <t>SBD</t>
  </si>
  <si>
    <t>Solomon Islands dollar</t>
  </si>
  <si>
    <t>http://www.floatrates.com/usd/mwk/</t>
  </si>
  <si>
    <t>MWK</t>
  </si>
  <si>
    <t>Malawian kwacha</t>
  </si>
  <si>
    <t>http://www.floatrates.com/usd/gtq/</t>
  </si>
  <si>
    <t>GTQ</t>
  </si>
  <si>
    <t>Guatemalan Quetzal</t>
  </si>
  <si>
    <t>http://www.floatrates.com/usd/bwp/</t>
  </si>
  <si>
    <t>BWP</t>
  </si>
  <si>
    <t>Botswana Pula</t>
  </si>
  <si>
    <t>http://www.floatrates.com/usd/rub/</t>
  </si>
  <si>
    <t>RUB</t>
  </si>
  <si>
    <t>Russian Rouble</t>
  </si>
  <si>
    <t>http://www.floatrates.com/usd/idr/</t>
  </si>
  <si>
    <t>IDR</t>
  </si>
  <si>
    <t>Indonesian Rupiah</t>
  </si>
  <si>
    <t>http://www.floatrates.com/usd/bhd/</t>
  </si>
  <si>
    <t>BHD</t>
  </si>
  <si>
    <t>Bahrain Dinar</t>
  </si>
  <si>
    <t>http://www.floatrates.com/usd/lbp/</t>
  </si>
  <si>
    <t>LBP</t>
  </si>
  <si>
    <t>Lebanese Pound</t>
  </si>
  <si>
    <t>http://www.floatrates.com/usd/gmd/</t>
  </si>
  <si>
    <t>GMD</t>
  </si>
  <si>
    <t>Gambian dalasi</t>
  </si>
  <si>
    <t>http://www.floatrates.com/usd/bif/</t>
  </si>
  <si>
    <t>BIF</t>
  </si>
  <si>
    <t>Burundian franc</t>
  </si>
  <si>
    <t>http://www.floatrates.com/usd/mmk/</t>
  </si>
  <si>
    <t>MMK</t>
  </si>
  <si>
    <t>Myanma Kyat</t>
  </si>
  <si>
    <t>http://www.floatrates.com/usd/lkr/</t>
  </si>
  <si>
    <t>LKR</t>
  </si>
  <si>
    <t>Sri Lanka Rupee</t>
  </si>
  <si>
    <t>http://www.floatrates.com/usd/clp/</t>
  </si>
  <si>
    <t>CLP</t>
  </si>
  <si>
    <t>Chilean Peso</t>
  </si>
  <si>
    <t>http://www.floatrates.com/usd/sek/</t>
  </si>
  <si>
    <t>SEK</t>
  </si>
  <si>
    <t>Swedish Krona</t>
  </si>
  <si>
    <t>http://www.floatrates.com/usd/php/</t>
  </si>
  <si>
    <t>PHP</t>
  </si>
  <si>
    <t>Philippine Peso</t>
  </si>
  <si>
    <t>http://www.floatrates.com/usd/mro/</t>
  </si>
  <si>
    <t>MRO</t>
  </si>
  <si>
    <t>Mauritanian Ouguiya</t>
  </si>
  <si>
    <t>http://www.floatrates.com/usd/jod/</t>
  </si>
  <si>
    <t>JOD</t>
  </si>
  <si>
    <t>Jordanian Dinar</t>
  </si>
  <si>
    <t>http://www.floatrates.com/usd/gel/</t>
  </si>
  <si>
    <t>GEL</t>
  </si>
  <si>
    <t>Georgian lari</t>
  </si>
  <si>
    <t>http://www.floatrates.com/usd/bsd/</t>
  </si>
  <si>
    <t>BSD</t>
  </si>
  <si>
    <t>Bahamian Dollar</t>
  </si>
  <si>
    <t>http://www.floatrates.com/usd/gnf/</t>
  </si>
  <si>
    <t>GNF</t>
  </si>
  <si>
    <t>Guinean franc</t>
  </si>
  <si>
    <t>http://www.floatrates.com/usd/sll/</t>
  </si>
  <si>
    <t>SLL</t>
  </si>
  <si>
    <t>Sierra Leonean leone</t>
  </si>
  <si>
    <t>http://www.floatrates.com/usd/scr/</t>
  </si>
  <si>
    <t>SCR</t>
  </si>
  <si>
    <t>Seychelles rupee</t>
  </si>
  <si>
    <t>http://www.floatrates.com/usd/dkk/</t>
  </si>
  <si>
    <t>DKK</t>
  </si>
  <si>
    <t>Danish Krone</t>
  </si>
  <si>
    <t>http://www.floatrates.com/usd/aed/</t>
  </si>
  <si>
    <t>AED</t>
  </si>
  <si>
    <t>U.A.E Dirham</t>
  </si>
  <si>
    <t>http://www.floatrates.com/usd/twd/</t>
  </si>
  <si>
    <t>TWD</t>
  </si>
  <si>
    <t xml:space="preserve">New Taiwan Dollar </t>
  </si>
  <si>
    <t>http://www.floatrates.com/usd/amd/</t>
  </si>
  <si>
    <t>AMD</t>
  </si>
  <si>
    <t>Armenia Dram</t>
  </si>
  <si>
    <t>http://www.floatrates.com/usd/uyu/</t>
  </si>
  <si>
    <t>UYU</t>
  </si>
  <si>
    <t>Uruguayan Peso</t>
  </si>
  <si>
    <t>http://www.floatrates.com/usd/gyd/</t>
  </si>
  <si>
    <t>GYD</t>
  </si>
  <si>
    <t>Guyanese dollar</t>
  </si>
  <si>
    <t>http://www.floatrates.com/usd/rwf/</t>
  </si>
  <si>
    <t>RWF</t>
  </si>
  <si>
    <t>Rwandan franc</t>
  </si>
  <si>
    <t>http://www.floatrates.com/usd/mzn/</t>
  </si>
  <si>
    <t>MZN</t>
  </si>
  <si>
    <t>Mozambican metical</t>
  </si>
  <si>
    <t>http://www.floatrates.com/usd/tzs/</t>
  </si>
  <si>
    <t>TZS</t>
  </si>
  <si>
    <t>Tanzanian shilling</t>
  </si>
  <si>
    <t>http://www.floatrates.com/usd/cny/</t>
  </si>
  <si>
    <t>CNY</t>
  </si>
  <si>
    <t>Chinese Yuan</t>
  </si>
  <si>
    <t>http://www.floatrates.com/usd/kwd/</t>
  </si>
  <si>
    <t>KWD</t>
  </si>
  <si>
    <t>Kuwaiti Dinar</t>
  </si>
  <si>
    <t>http://www.floatrates.com/usd/huf/</t>
  </si>
  <si>
    <t>HUF</t>
  </si>
  <si>
    <t>Hungarian Forint</t>
  </si>
  <si>
    <t>http://www.floatrates.com/usd/ngn/</t>
  </si>
  <si>
    <t>NGN</t>
  </si>
  <si>
    <t>Nigerian Naira</t>
  </si>
  <si>
    <t>http://www.floatrates.com/usd/mdl/</t>
  </si>
  <si>
    <t>MDL</t>
  </si>
  <si>
    <t>Moldova Lei</t>
  </si>
  <si>
    <t>http://www.floatrates.com/usd/crc/</t>
  </si>
  <si>
    <t>CRC</t>
  </si>
  <si>
    <t>Costa Rican Colón</t>
  </si>
  <si>
    <t>http://www.floatrates.com/usd/nad/</t>
  </si>
  <si>
    <t>NAD</t>
  </si>
  <si>
    <t>Namibian dollar</t>
  </si>
  <si>
    <t>http://www.floatrates.com/usd/syp/</t>
  </si>
  <si>
    <t>SYP</t>
  </si>
  <si>
    <t>Syrian pound</t>
  </si>
  <si>
    <t>http://www.floatrates.com/usd/top/</t>
  </si>
  <si>
    <t>TOP</t>
  </si>
  <si>
    <t>Tongan paʻanga</t>
  </si>
  <si>
    <t>http://www.floatrates.com/usd/mnt/</t>
  </si>
  <si>
    <t>MNT</t>
  </si>
  <si>
    <t>Mongolian togrog</t>
  </si>
  <si>
    <t>http://www.floatrates.com/usd/nzd/</t>
  </si>
  <si>
    <t>NZD</t>
  </si>
  <si>
    <t>New Zealand Dollar</t>
  </si>
  <si>
    <t>http://www.floatrates.com/usd/hrk/</t>
  </si>
  <si>
    <t>HRK</t>
  </si>
  <si>
    <t>Croatian Kuna</t>
  </si>
  <si>
    <t>http://www.floatrates.com/usd/byn/</t>
  </si>
  <si>
    <t>BYN</t>
  </si>
  <si>
    <t>Belarussian Ruble</t>
  </si>
  <si>
    <t>http://www.floatrates.com/usd/uzs/</t>
  </si>
  <si>
    <t>UZS</t>
  </si>
  <si>
    <t>Uzbekistan Sum</t>
  </si>
  <si>
    <t>http://www.floatrates.com/usd/mga/</t>
  </si>
  <si>
    <t>MGA</t>
  </si>
  <si>
    <t>Malagasy ariary</t>
  </si>
  <si>
    <t>http://www.floatrates.com/usd/xcd/</t>
  </si>
  <si>
    <t>XCD</t>
  </si>
  <si>
    <t>East Caribbean Dollar</t>
  </si>
  <si>
    <t>http://www.floatrates.com/usd/lak/</t>
  </si>
  <si>
    <t>LAK</t>
  </si>
  <si>
    <t>Lao kip</t>
  </si>
  <si>
    <t>http://www.floatrates.com/usd/cup/</t>
  </si>
  <si>
    <t>CUP</t>
  </si>
  <si>
    <t>Cuban peso</t>
  </si>
  <si>
    <t>http://www.floatrates.com/usd/sar/</t>
  </si>
  <si>
    <t>SAR</t>
  </si>
  <si>
    <t>Saudi Riyal</t>
  </si>
  <si>
    <t>http://www.floatrates.com/usd/hkd/</t>
  </si>
  <si>
    <t>HKD</t>
  </si>
  <si>
    <t>Hong Kong Dollar</t>
  </si>
  <si>
    <t>http://www.floatrates.com/usd/qar/</t>
  </si>
  <si>
    <t>QAR</t>
  </si>
  <si>
    <t>Qatari Rial</t>
  </si>
  <si>
    <t>http://www.floatrates.com/usd/iqd/</t>
  </si>
  <si>
    <t>IQD</t>
  </si>
  <si>
    <t>Iraqi dinar</t>
  </si>
  <si>
    <t>http://www.floatrates.com/usd/svc/</t>
  </si>
  <si>
    <t>SVC</t>
  </si>
  <si>
    <t>Salvadoran colon</t>
  </si>
  <si>
    <t>http://www.floatrates.com/usd/awg/</t>
  </si>
  <si>
    <t>AWG</t>
  </si>
  <si>
    <t>Aruban florin</t>
  </si>
  <si>
    <t>http://www.floatrates.com/usd/aoa/</t>
  </si>
  <si>
    <t>AOA</t>
  </si>
  <si>
    <t>Angolan kwanza</t>
  </si>
  <si>
    <t>http://www.floatrates.com/usd/khr/</t>
  </si>
  <si>
    <t>KHR</t>
  </si>
  <si>
    <t>Cambodian riel</t>
  </si>
  <si>
    <t>http://www.floatrates.com/usd/zar/</t>
  </si>
  <si>
    <t>ZAR</t>
  </si>
  <si>
    <t>South African Rand</t>
  </si>
  <si>
    <t>http://www.floatrates.com/usd/mxn/</t>
  </si>
  <si>
    <t>MXN</t>
  </si>
  <si>
    <t>Mexican Peso</t>
  </si>
  <si>
    <t>http://www.floatrates.com/usd/lyd/</t>
  </si>
  <si>
    <t>LYD</t>
  </si>
  <si>
    <t>Libyan Dinar</t>
  </si>
  <si>
    <t>http://www.floatrates.com/usd/egp/</t>
  </si>
  <si>
    <t>EGP</t>
  </si>
  <si>
    <t>Egyptian Pound</t>
  </si>
  <si>
    <t>http://www.floatrates.com/usd/rsd/</t>
  </si>
  <si>
    <t>RSD</t>
  </si>
  <si>
    <t>Serbian Dinar</t>
  </si>
  <si>
    <t>http://www.floatrates.com/usd/stn/</t>
  </si>
  <si>
    <t>STN</t>
  </si>
  <si>
    <t>São Tomé and Príncipe Dobra</t>
  </si>
  <si>
    <t>http://www.floatrates.com/usd/djf/</t>
  </si>
  <si>
    <t>DJF</t>
  </si>
  <si>
    <t>Djiboutian franc</t>
  </si>
  <si>
    <t>http://www.floatrates.com/usd/hnl/</t>
  </si>
  <si>
    <t>HNL</t>
  </si>
  <si>
    <t>Honduran Lempira</t>
  </si>
  <si>
    <t>http://www.floatrates.com/usd/npr/</t>
  </si>
  <si>
    <t>NPR</t>
  </si>
  <si>
    <t>Nepalese Rupee</t>
  </si>
  <si>
    <t>http://www.floatrates.com/usd/czk/</t>
  </si>
  <si>
    <t>CZK</t>
  </si>
  <si>
    <t>Czech Koruna</t>
  </si>
  <si>
    <t>http://www.floatrates.com/usd/thb/</t>
  </si>
  <si>
    <t>THB</t>
  </si>
  <si>
    <t>Thai Baht</t>
  </si>
  <si>
    <t>http://www.floatrates.com/usd/xof/</t>
  </si>
  <si>
    <t>XOF</t>
  </si>
  <si>
    <t>West African CFA Franc</t>
  </si>
  <si>
    <t>http://www.floatrates.com/usd/azn/</t>
  </si>
  <si>
    <t>AZN</t>
  </si>
  <si>
    <t>Azerbaijan Manat</t>
  </si>
  <si>
    <t>http://www.floatrates.com/usd/pyg/</t>
  </si>
  <si>
    <t>PYG</t>
  </si>
  <si>
    <t>Paraguayan Guaraní</t>
  </si>
  <si>
    <t>http://www.floatrates.com/usd/fjd/</t>
  </si>
  <si>
    <t>FJD</t>
  </si>
  <si>
    <t>Fiji Dollar</t>
  </si>
  <si>
    <t>http://www.floatrates.com/usd/cdf/</t>
  </si>
  <si>
    <t>CDF</t>
  </si>
  <si>
    <t>Congolese franc</t>
  </si>
  <si>
    <t>http://www.floatrates.com/usd/lsl/</t>
  </si>
  <si>
    <t>LSL</t>
  </si>
  <si>
    <t>Lesotho loti</t>
  </si>
  <si>
    <t>http://www.floatrates.com/usd/sos/</t>
  </si>
  <si>
    <t>SOS</t>
  </si>
  <si>
    <t>Somali shilling</t>
  </si>
  <si>
    <t>http://www.floatrates.com/usd/krw/</t>
  </si>
  <si>
    <t>KRW</t>
  </si>
  <si>
    <t>South Korean Won</t>
  </si>
  <si>
    <t>http://www.floatrates.com/usd/bgn/</t>
  </si>
  <si>
    <t>BGN</t>
  </si>
  <si>
    <t>Bulgarian Lev</t>
  </si>
  <si>
    <t>http://www.floatrates.com/usd/pgk/</t>
  </si>
  <si>
    <t>PGK</t>
  </si>
  <si>
    <t>Papua New Guinean kina</t>
  </si>
  <si>
    <t>http://www.floatrates.com/usd/kgs/</t>
  </si>
  <si>
    <t>KGS</t>
  </si>
  <si>
    <t>Kyrgyzstan Som</t>
  </si>
  <si>
    <t>http://www.floatrates.com/usd/bob/</t>
  </si>
  <si>
    <t>BOB</t>
  </si>
  <si>
    <t>Bolivian Boliviano</t>
  </si>
  <si>
    <t>http://www.floatrates.com/usd/lrd/</t>
  </si>
  <si>
    <t>LRD</t>
  </si>
  <si>
    <t>Liberian dollar</t>
  </si>
  <si>
    <t>http://www.floatrates.com/usd/sdg/</t>
  </si>
  <si>
    <t>SDG</t>
  </si>
  <si>
    <t>Sudanese pound</t>
  </si>
  <si>
    <t>http://www.floatrates.com/usd/mru/</t>
  </si>
  <si>
    <t>MRU</t>
  </si>
  <si>
    <t>Mauritanian ouguiya</t>
  </si>
  <si>
    <t>http://www.floatrates.com/usd/wst/</t>
  </si>
  <si>
    <t>WST</t>
  </si>
  <si>
    <t>Samoan tala</t>
  </si>
  <si>
    <t>http://www.floatrates.com/usd/mur/</t>
  </si>
  <si>
    <t>MUR</t>
  </si>
  <si>
    <t>Mauritian Rupee</t>
  </si>
  <si>
    <t>http://www.floatrates.com/usd/isk/</t>
  </si>
  <si>
    <t>ISK</t>
  </si>
  <si>
    <t>Icelandic Krona</t>
  </si>
  <si>
    <t>http://www.floatrates.com/usd/pkr/</t>
  </si>
  <si>
    <t>PKR</t>
  </si>
  <si>
    <t>Pakistani Rupee</t>
  </si>
  <si>
    <t>http://www.floatrates.com/usd/tmt/</t>
  </si>
  <si>
    <t>TMT</t>
  </si>
  <si>
    <t>New Turkmenistan Manat</t>
  </si>
  <si>
    <t>http://www.floatrates.com/usd/afn/</t>
  </si>
  <si>
    <t>AFN</t>
  </si>
  <si>
    <t>Afghan afghani</t>
  </si>
  <si>
    <t>http://www.floatrates.com/usd/ttd/</t>
  </si>
  <si>
    <t>TTD</t>
  </si>
  <si>
    <t>Trinidad Tobago Dollar</t>
  </si>
  <si>
    <t>http://www.floatrates.com/usd/ang/</t>
  </si>
  <si>
    <t>ANG</t>
  </si>
  <si>
    <t>Neth. Antillean Guilder</t>
  </si>
  <si>
    <t>http://www.floatrates.com/usd/dop/</t>
  </si>
  <si>
    <t>DOP</t>
  </si>
  <si>
    <t>Dominican Peso</t>
  </si>
  <si>
    <t>http://www.floatrates.com/usd/bam/</t>
  </si>
  <si>
    <t>BAM</t>
  </si>
  <si>
    <t>Bosnia and Herzegovina convertible mark</t>
  </si>
  <si>
    <t>http://www.floatrates.com/usd/dzd/</t>
  </si>
  <si>
    <t>DZD</t>
  </si>
  <si>
    <t>Algerian Dinar</t>
  </si>
  <si>
    <t>http://www.floatrates.com/usd/pln/</t>
  </si>
  <si>
    <t>PLN</t>
  </si>
  <si>
    <t>Polish Zloty</t>
  </si>
  <si>
    <t>http://www.floatrates.com/usd/brl/</t>
  </si>
  <si>
    <t>BRL</t>
  </si>
  <si>
    <t>Brazilian Real</t>
  </si>
  <si>
    <t>http://www.floatrates.com/usd/gip/</t>
  </si>
  <si>
    <t>GIP</t>
  </si>
  <si>
    <t>Gibraltar pound</t>
  </si>
  <si>
    <t>http://www.floatrates.com/usd/irr/</t>
  </si>
  <si>
    <t>IRR</t>
  </si>
  <si>
    <t>Iranian rial</t>
  </si>
  <si>
    <t>http://www.floatrates.com/usd/etb/</t>
  </si>
  <si>
    <t>ETB</t>
  </si>
  <si>
    <t>Ethiopian birr</t>
  </si>
  <si>
    <t>http://www.floatrates.com/usd/cve/</t>
  </si>
  <si>
    <t>CVE</t>
  </si>
  <si>
    <t>Cape Verde escudo</t>
  </si>
  <si>
    <t>http://www.floatrates.com/usd/zmw/</t>
  </si>
  <si>
    <t>ZMW</t>
  </si>
  <si>
    <t>Zambian kwacha</t>
  </si>
  <si>
    <t>http://www.floatrates.com/usd/yer/</t>
  </si>
  <si>
    <t>YER</t>
  </si>
  <si>
    <t>Yemeni rial</t>
  </si>
  <si>
    <t>http://www.floatrates.com/usd/bnd/</t>
  </si>
  <si>
    <t>BND</t>
  </si>
  <si>
    <t>Brunei Dollar</t>
  </si>
  <si>
    <t>http://www.floatrates.com/usd/sgd/</t>
  </si>
  <si>
    <t>SGD</t>
  </si>
  <si>
    <t>Singapore Dollar</t>
  </si>
  <si>
    <t>http://www.floatrates.com/usd/ils/</t>
  </si>
  <si>
    <t>ILS</t>
  </si>
  <si>
    <t>Israeli New Sheqel</t>
  </si>
  <si>
    <t>http://www.floatrates.com/usd/tnd/</t>
  </si>
  <si>
    <t>TND</t>
  </si>
  <si>
    <t>Tunisian Dinar</t>
  </si>
  <si>
    <t>http://www.floatrates.com/usd/omr/</t>
  </si>
  <si>
    <t>OMR</t>
  </si>
  <si>
    <t>Omani Rial</t>
  </si>
  <si>
    <t>http://www.floatrates.com/usd/ghs/</t>
  </si>
  <si>
    <t>GHS</t>
  </si>
  <si>
    <t>Ghanaian Cedi</t>
  </si>
  <si>
    <t>http://www.floatrates.com/usd/mkd/</t>
  </si>
  <si>
    <t>Macedonian denar</t>
  </si>
  <si>
    <t>http://www.floatrates.com/usd/xpf/</t>
  </si>
  <si>
    <t>XPF</t>
  </si>
  <si>
    <t>CFP Franc</t>
  </si>
  <si>
    <t>http://www.floatrates.com/usd/all/</t>
  </si>
  <si>
    <t>ALL</t>
  </si>
  <si>
    <t>Albanian lek</t>
  </si>
  <si>
    <t>http://www.floatrates.com/usd/mvr/</t>
  </si>
  <si>
    <t>MVR</t>
  </si>
  <si>
    <t>Maldivian rufiyaa</t>
  </si>
  <si>
    <t>http://www.floatrates.com/usd/cop/</t>
  </si>
  <si>
    <t>COP</t>
  </si>
  <si>
    <t>Colombian Peso</t>
  </si>
  <si>
    <t>http://www.floatrates.com/usd/xaf/</t>
  </si>
  <si>
    <t>XAF</t>
  </si>
  <si>
    <t>Central African CFA Franc</t>
  </si>
  <si>
    <t>http://www.floatrates.com/usd/mad/</t>
  </si>
  <si>
    <t>MAD</t>
  </si>
  <si>
    <t>Moroccan Dirham</t>
  </si>
  <si>
    <t>http://www.floatrates.com/usd/ars/</t>
  </si>
  <si>
    <t>ARS</t>
  </si>
  <si>
    <t>Argentine Peso</t>
  </si>
  <si>
    <t>http://www.floatrates.com/usd/bzd/</t>
  </si>
  <si>
    <t>BZD</t>
  </si>
  <si>
    <t>Belize dollar</t>
  </si>
  <si>
    <t>http://www.floatrates.com/usd/kmf/</t>
  </si>
  <si>
    <t>KMF</t>
  </si>
  <si>
    <t xml:space="preserve">	Comoro franc</t>
  </si>
  <si>
    <t>http://www.floatrates.com/usd/szl/</t>
  </si>
  <si>
    <t>SZL</t>
  </si>
  <si>
    <t>Swazi lilangeni</t>
  </si>
  <si>
    <t>http://www.floatrates.com/usd/kes/</t>
  </si>
  <si>
    <t>KES</t>
  </si>
  <si>
    <t>Kenyan shilling</t>
  </si>
  <si>
    <t>http://www.floatrates.com/usd/inr/</t>
  </si>
  <si>
    <t>INR</t>
  </si>
  <si>
    <t>Indian Rupee</t>
  </si>
  <si>
    <t>http://www.floatrates.com/usd/bbd/</t>
  </si>
  <si>
    <t>BBD</t>
  </si>
  <si>
    <t>Barbadian Dollar</t>
  </si>
  <si>
    <t>http://www.floatrates.com/usd/vnd/</t>
  </si>
  <si>
    <t>VND</t>
  </si>
  <si>
    <t>Vietnamese Dong</t>
  </si>
  <si>
    <t>http://www.floatrates.com/usd/kzt/</t>
  </si>
  <si>
    <t>KZT</t>
  </si>
  <si>
    <t>Kazakhstani Tenge</t>
  </si>
  <si>
    <t>http://www.floatrates.com/usd/ves/</t>
  </si>
  <si>
    <t>VES</t>
  </si>
  <si>
    <t>Venezuelan Bolivar</t>
  </si>
  <si>
    <t>http://www.floatrates.com/usd/jmd/</t>
  </si>
  <si>
    <t>JMD</t>
  </si>
  <si>
    <t>Jamaican Dollar</t>
  </si>
  <si>
    <t>http://www.floatrates.com/usd/ssp/</t>
  </si>
  <si>
    <t>SSP</t>
  </si>
  <si>
    <t>South Sudanese pound</t>
  </si>
  <si>
    <t>http://www.floatrates.com/usd/ern/</t>
  </si>
  <si>
    <t>ERN</t>
  </si>
  <si>
    <t>Eritrean nakfa</t>
  </si>
  <si>
    <t>http://www.floatrates.com/usd/ugx/</t>
  </si>
  <si>
    <t>UGX</t>
  </si>
  <si>
    <t>Ugandan shilling</t>
  </si>
  <si>
    <t>http://www.floatrates.com/usd/myr/</t>
  </si>
  <si>
    <t>MYR</t>
  </si>
  <si>
    <t>Malaysian Ringgit</t>
  </si>
  <si>
    <t>http://www.floatrates.com/usd/ron/</t>
  </si>
  <si>
    <t>RON</t>
  </si>
  <si>
    <t>Romanian New Leu</t>
  </si>
  <si>
    <t>http://www.floatrates.com/usd/pen/</t>
  </si>
  <si>
    <t>PEN</t>
  </si>
  <si>
    <t>Peruvian Nuevo Sol</t>
  </si>
  <si>
    <t>Currency</t>
  </si>
  <si>
    <t>Exchange Rate</t>
  </si>
  <si>
    <t>For DM4 - mobile sites in remote areas will be covered once and then move on</t>
  </si>
  <si>
    <t>Current vaccinators</t>
  </si>
  <si>
    <t>Decomissioned vaccinators would need to be retrained, re-PPE'ed</t>
  </si>
  <si>
    <t>Local HRH (all Delivery Modalities)</t>
  </si>
  <si>
    <t>Sub-Total</t>
  </si>
  <si>
    <t>Workshops</t>
  </si>
  <si>
    <t>Central-level committees</t>
  </si>
  <si>
    <t>Committees</t>
  </si>
  <si>
    <t>Central-level sub-committees</t>
  </si>
  <si>
    <t>Secretariat support (staffing and office expenditures)</t>
  </si>
  <si>
    <t>Virtual and/or in-person</t>
  </si>
  <si>
    <t>Communities</t>
  </si>
  <si>
    <t>Mass media and social media communications at central-level</t>
  </si>
  <si>
    <t>incl. translation</t>
  </si>
  <si>
    <t>Per capita</t>
  </si>
  <si>
    <t>Cold-chain logistics, stock keeping</t>
  </si>
  <si>
    <t>Reporting, investigation, causality assessment, risk communication and response</t>
  </si>
  <si>
    <t>Development of co-delivered / additional interventions</t>
  </si>
  <si>
    <t>NOTE: Local-level demand generation and communications under "Last Mile Delivery"</t>
  </si>
  <si>
    <t>Total Population</t>
  </si>
  <si>
    <t>Country Code</t>
  </si>
  <si>
    <t>ARB</t>
  </si>
  <si>
    <t>ASM</t>
  </si>
  <si>
    <t>BMU</t>
  </si>
  <si>
    <t>CEB</t>
  </si>
  <si>
    <t>CSS</t>
  </si>
  <si>
    <t>CYM</t>
  </si>
  <si>
    <t>EAP</t>
  </si>
  <si>
    <t>EAR</t>
  </si>
  <si>
    <t>EAS</t>
  </si>
  <si>
    <t>ECA</t>
  </si>
  <si>
    <t>ECS</t>
  </si>
  <si>
    <t>EMU</t>
  </si>
  <si>
    <t>EUU</t>
  </si>
  <si>
    <t>FCS</t>
  </si>
  <si>
    <t>FRO</t>
  </si>
  <si>
    <t>GIB</t>
  </si>
  <si>
    <t>GRL</t>
  </si>
  <si>
    <t>HIC</t>
  </si>
  <si>
    <t>HPC</t>
  </si>
  <si>
    <t>IBD</t>
  </si>
  <si>
    <t>IBT</t>
  </si>
  <si>
    <t>IDB</t>
  </si>
  <si>
    <t>IDX</t>
  </si>
  <si>
    <t>IMN</t>
  </si>
  <si>
    <t>INX</t>
  </si>
  <si>
    <t>LAC</t>
  </si>
  <si>
    <t>LCN</t>
  </si>
  <si>
    <t>LDC</t>
  </si>
  <si>
    <t>LIC</t>
  </si>
  <si>
    <t>LIE</t>
  </si>
  <si>
    <t>LMC</t>
  </si>
  <si>
    <t>LMY</t>
  </si>
  <si>
    <t>LTE</t>
  </si>
  <si>
    <t>MAF</t>
  </si>
  <si>
    <t>MEA</t>
  </si>
  <si>
    <t>MIC</t>
  </si>
  <si>
    <t>MNA</t>
  </si>
  <si>
    <t>MNP</t>
  </si>
  <si>
    <t>NAC</t>
  </si>
  <si>
    <t>OED</t>
  </si>
  <si>
    <t>OSS</t>
  </si>
  <si>
    <t>PRE</t>
  </si>
  <si>
    <t>PSS</t>
  </si>
  <si>
    <t>PST</t>
  </si>
  <si>
    <t>SAS</t>
  </si>
  <si>
    <t>SSA</t>
  </si>
  <si>
    <t>SSF</t>
  </si>
  <si>
    <t>SST</t>
  </si>
  <si>
    <t>SXM</t>
  </si>
  <si>
    <t>TCA</t>
  </si>
  <si>
    <t>TEA</t>
  </si>
  <si>
    <t>TEC</t>
  </si>
  <si>
    <t>TLA</t>
  </si>
  <si>
    <t>TMN</t>
  </si>
  <si>
    <t>TSA</t>
  </si>
  <si>
    <t>TSS</t>
  </si>
  <si>
    <t>UMC</t>
  </si>
  <si>
    <t>VGB</t>
  </si>
  <si>
    <t>WLD</t>
  </si>
  <si>
    <t>XKX</t>
  </si>
  <si>
    <t>SH.STA.DIAB.ZS (2019)</t>
  </si>
  <si>
    <t>SP.URB.TOTL.IN.ZS (2019)</t>
  </si>
  <si>
    <t>AG.SRF.TOTL.K2 (2018)</t>
  </si>
  <si>
    <t>AF</t>
  </si>
  <si>
    <t>AL</t>
  </si>
  <si>
    <t>DZ</t>
  </si>
  <si>
    <t>American Samoa</t>
  </si>
  <si>
    <t>AS</t>
  </si>
  <si>
    <t>AD</t>
  </si>
  <si>
    <t>AO</t>
  </si>
  <si>
    <t>Anguilla</t>
  </si>
  <si>
    <t>AI</t>
  </si>
  <si>
    <t>AIA</t>
  </si>
  <si>
    <t>Antarctica</t>
  </si>
  <si>
    <t>AQ</t>
  </si>
  <si>
    <t>ATA</t>
  </si>
  <si>
    <t>AG</t>
  </si>
  <si>
    <t>AR</t>
  </si>
  <si>
    <t>AM</t>
  </si>
  <si>
    <t>Aruba</t>
  </si>
  <si>
    <t>AW</t>
  </si>
  <si>
    <t>AU</t>
  </si>
  <si>
    <t>AT</t>
  </si>
  <si>
    <t>AZ</t>
  </si>
  <si>
    <t>Bahamas (the)</t>
  </si>
  <si>
    <t>BS</t>
  </si>
  <si>
    <t>BH</t>
  </si>
  <si>
    <t>BD</t>
  </si>
  <si>
    <t>BB</t>
  </si>
  <si>
    <t>BY</t>
  </si>
  <si>
    <t>BE</t>
  </si>
  <si>
    <t>BZ</t>
  </si>
  <si>
    <t>BJ</t>
  </si>
  <si>
    <t>Bermuda</t>
  </si>
  <si>
    <t>BM</t>
  </si>
  <si>
    <t>BT</t>
  </si>
  <si>
    <t>BO</t>
  </si>
  <si>
    <t>Bonaire, Sint Eustatius and Saba</t>
  </si>
  <si>
    <t>BQ</t>
  </si>
  <si>
    <t>BES</t>
  </si>
  <si>
    <t>BA</t>
  </si>
  <si>
    <t>BW</t>
  </si>
  <si>
    <t>Bouvet Island</t>
  </si>
  <si>
    <t>BV</t>
  </si>
  <si>
    <t>BVT</t>
  </si>
  <si>
    <t>BR</t>
  </si>
  <si>
    <t>British Indian Ocean Territory (the)</t>
  </si>
  <si>
    <t>IO</t>
  </si>
  <si>
    <t>IOT</t>
  </si>
  <si>
    <t>BN</t>
  </si>
  <si>
    <t>BG</t>
  </si>
  <si>
    <t>BF</t>
  </si>
  <si>
    <t>BI</t>
  </si>
  <si>
    <t>CV</t>
  </si>
  <si>
    <t>KH</t>
  </si>
  <si>
    <t>CM</t>
  </si>
  <si>
    <t>CA</t>
  </si>
  <si>
    <t>Cayman Islands (the)</t>
  </si>
  <si>
    <t>KY</t>
  </si>
  <si>
    <t>Central African Republic (the)</t>
  </si>
  <si>
    <t>CF</t>
  </si>
  <si>
    <t>TD</t>
  </si>
  <si>
    <t>CL</t>
  </si>
  <si>
    <t>CN</t>
  </si>
  <si>
    <t>Christmas Island</t>
  </si>
  <si>
    <t>CX</t>
  </si>
  <si>
    <t>CXR</t>
  </si>
  <si>
    <t>Cocos (Keeling) Islands (the)</t>
  </si>
  <si>
    <t>CC</t>
  </si>
  <si>
    <t>CCK</t>
  </si>
  <si>
    <t>CO</t>
  </si>
  <si>
    <t>Comoros (the)</t>
  </si>
  <si>
    <t>KM</t>
  </si>
  <si>
    <t>Congo (the Democratic Republic of the)</t>
  </si>
  <si>
    <t>CD</t>
  </si>
  <si>
    <t>Congo (the)</t>
  </si>
  <si>
    <t>CG</t>
  </si>
  <si>
    <t>Cook Islands (the)</t>
  </si>
  <si>
    <t>CK</t>
  </si>
  <si>
    <t>CR</t>
  </si>
  <si>
    <t>HR</t>
  </si>
  <si>
    <t>CU</t>
  </si>
  <si>
    <t>Curaçao</t>
  </si>
  <si>
    <t>CW</t>
  </si>
  <si>
    <t>CY</t>
  </si>
  <si>
    <t>CZ</t>
  </si>
  <si>
    <t>CI</t>
  </si>
  <si>
    <t>DK</t>
  </si>
  <si>
    <t>DJ</t>
  </si>
  <si>
    <t>Dominican Republic (the)</t>
  </si>
  <si>
    <t>DO</t>
  </si>
  <si>
    <t>EC</t>
  </si>
  <si>
    <t>EG</t>
  </si>
  <si>
    <t>SV</t>
  </si>
  <si>
    <t>GQ</t>
  </si>
  <si>
    <t>ER</t>
  </si>
  <si>
    <t>EE</t>
  </si>
  <si>
    <t>SZ</t>
  </si>
  <si>
    <t>ET</t>
  </si>
  <si>
    <t>Falkland Islands (the) [Malvinas]</t>
  </si>
  <si>
    <t>FK</t>
  </si>
  <si>
    <t>FLK</t>
  </si>
  <si>
    <t>Faroe Islands (the)</t>
  </si>
  <si>
    <t>FO</t>
  </si>
  <si>
    <t>FJ</t>
  </si>
  <si>
    <t>FI</t>
  </si>
  <si>
    <t>FR</t>
  </si>
  <si>
    <t>French Guiana</t>
  </si>
  <si>
    <t>GF</t>
  </si>
  <si>
    <t>French Polynesia</t>
  </si>
  <si>
    <t>PF</t>
  </si>
  <si>
    <t>French Southern Territories (the)</t>
  </si>
  <si>
    <t>TF</t>
  </si>
  <si>
    <t>ATF</t>
  </si>
  <si>
    <t>GA</t>
  </si>
  <si>
    <t>Gambia (the)</t>
  </si>
  <si>
    <t>GM</t>
  </si>
  <si>
    <t>GE</t>
  </si>
  <si>
    <t>DE</t>
  </si>
  <si>
    <t>GH</t>
  </si>
  <si>
    <t>Gibraltar</t>
  </si>
  <si>
    <t>GI</t>
  </si>
  <si>
    <t>GR</t>
  </si>
  <si>
    <t>Greenland</t>
  </si>
  <si>
    <t>GL</t>
  </si>
  <si>
    <t>GD</t>
  </si>
  <si>
    <t>Guadeloupe</t>
  </si>
  <si>
    <t>GP</t>
  </si>
  <si>
    <t>Guam</t>
  </si>
  <si>
    <t>GU</t>
  </si>
  <si>
    <t>GT</t>
  </si>
  <si>
    <t>Guernsey</t>
  </si>
  <si>
    <t>GG</t>
  </si>
  <si>
    <t>GGY</t>
  </si>
  <si>
    <t>GN</t>
  </si>
  <si>
    <t>GW</t>
  </si>
  <si>
    <t>GY</t>
  </si>
  <si>
    <t>HT</t>
  </si>
  <si>
    <t>Heard Island and McDonald Islands</t>
  </si>
  <si>
    <t>HM</t>
  </si>
  <si>
    <t>HMD</t>
  </si>
  <si>
    <t>Holy See (the)</t>
  </si>
  <si>
    <t>VA</t>
  </si>
  <si>
    <t>VAT</t>
  </si>
  <si>
    <t>HN</t>
  </si>
  <si>
    <t>Hong Kong</t>
  </si>
  <si>
    <t>HK</t>
  </si>
  <si>
    <t>HU</t>
  </si>
  <si>
    <t>IS</t>
  </si>
  <si>
    <t>IN</t>
  </si>
  <si>
    <t>ID</t>
  </si>
  <si>
    <t>IR</t>
  </si>
  <si>
    <t>IQ</t>
  </si>
  <si>
    <t>IE</t>
  </si>
  <si>
    <t>Isle of Man</t>
  </si>
  <si>
    <t>IM</t>
  </si>
  <si>
    <t>IL</t>
  </si>
  <si>
    <t>IT</t>
  </si>
  <si>
    <t>JM</t>
  </si>
  <si>
    <t>JP</t>
  </si>
  <si>
    <t>Jersey</t>
  </si>
  <si>
    <t>JE</t>
  </si>
  <si>
    <t>JEY</t>
  </si>
  <si>
    <t>JO</t>
  </si>
  <si>
    <t>KZ</t>
  </si>
  <si>
    <t>KE</t>
  </si>
  <si>
    <t>KI</t>
  </si>
  <si>
    <t>Korea (the Democratic People's Republic of)</t>
  </si>
  <si>
    <t>KP</t>
  </si>
  <si>
    <t>Korea (the Republic of)</t>
  </si>
  <si>
    <t>KR</t>
  </si>
  <si>
    <t>KW</t>
  </si>
  <si>
    <t>KG</t>
  </si>
  <si>
    <t>Lao People's Democratic Republic (the)</t>
  </si>
  <si>
    <t>LA</t>
  </si>
  <si>
    <t>LV</t>
  </si>
  <si>
    <t>LB</t>
  </si>
  <si>
    <t>LS</t>
  </si>
  <si>
    <t>LR</t>
  </si>
  <si>
    <t>LY</t>
  </si>
  <si>
    <t>Liechtenstein</t>
  </si>
  <si>
    <t>LI</t>
  </si>
  <si>
    <t>LT</t>
  </si>
  <si>
    <t>LU</t>
  </si>
  <si>
    <t>Macao</t>
  </si>
  <si>
    <t>MO</t>
  </si>
  <si>
    <t>MG</t>
  </si>
  <si>
    <t>MW</t>
  </si>
  <si>
    <t>MY</t>
  </si>
  <si>
    <t>MV</t>
  </si>
  <si>
    <t>ML</t>
  </si>
  <si>
    <t>MT</t>
  </si>
  <si>
    <t>Marshall Islands (the)</t>
  </si>
  <si>
    <t>MH</t>
  </si>
  <si>
    <t>Martinique</t>
  </si>
  <si>
    <t>MQ</t>
  </si>
  <si>
    <t>MR</t>
  </si>
  <si>
    <t>MU</t>
  </si>
  <si>
    <t>Mayotte</t>
  </si>
  <si>
    <t>YT</t>
  </si>
  <si>
    <t>MX</t>
  </si>
  <si>
    <t>FM</t>
  </si>
  <si>
    <t>Moldova (the Republic of)</t>
  </si>
  <si>
    <t>MD</t>
  </si>
  <si>
    <t>MC</t>
  </si>
  <si>
    <t>MN</t>
  </si>
  <si>
    <t>ME</t>
  </si>
  <si>
    <t>Montserrat</t>
  </si>
  <si>
    <t>MS</t>
  </si>
  <si>
    <t>MSR</t>
  </si>
  <si>
    <t>MA</t>
  </si>
  <si>
    <t>MZ</t>
  </si>
  <si>
    <t>MM</t>
  </si>
  <si>
    <t>NA</t>
  </si>
  <si>
    <t>NR</t>
  </si>
  <si>
    <t>NP</t>
  </si>
  <si>
    <t>Netherlands (the)</t>
  </si>
  <si>
    <t>NL</t>
  </si>
  <si>
    <t>New Caledonia</t>
  </si>
  <si>
    <t>NC</t>
  </si>
  <si>
    <t>NZ</t>
  </si>
  <si>
    <t>NI</t>
  </si>
  <si>
    <t>Niger (the)</t>
  </si>
  <si>
    <t>NE</t>
  </si>
  <si>
    <t>NG</t>
  </si>
  <si>
    <t>NU</t>
  </si>
  <si>
    <t>Norfolk Island</t>
  </si>
  <si>
    <t>NF</t>
  </si>
  <si>
    <t>NFK</t>
  </si>
  <si>
    <t>Northern Mariana Islands (the)</t>
  </si>
  <si>
    <t>MP</t>
  </si>
  <si>
    <t>NO</t>
  </si>
  <si>
    <t>OM</t>
  </si>
  <si>
    <t>PK</t>
  </si>
  <si>
    <t>PW</t>
  </si>
  <si>
    <t>Palestine, State of</t>
  </si>
  <si>
    <t>PS</t>
  </si>
  <si>
    <t>PA</t>
  </si>
  <si>
    <t>PG</t>
  </si>
  <si>
    <t>PY</t>
  </si>
  <si>
    <t>PE</t>
  </si>
  <si>
    <t>Philippines (the)</t>
  </si>
  <si>
    <t>PH</t>
  </si>
  <si>
    <t>Pitcairn</t>
  </si>
  <si>
    <t>PN</t>
  </si>
  <si>
    <t>PCN</t>
  </si>
  <si>
    <t>PL</t>
  </si>
  <si>
    <t>PT</t>
  </si>
  <si>
    <t>Puerto Rico</t>
  </si>
  <si>
    <t>PR</t>
  </si>
  <si>
    <t>QA</t>
  </si>
  <si>
    <t>Republic of North Macedonia</t>
  </si>
  <si>
    <t>MK</t>
  </si>
  <si>
    <t>RO</t>
  </si>
  <si>
    <t>Russian Federation (the)</t>
  </si>
  <si>
    <t>RU</t>
  </si>
  <si>
    <t>RW</t>
  </si>
  <si>
    <t>Réunion</t>
  </si>
  <si>
    <t>RE</t>
  </si>
  <si>
    <t>Saint Barthélemy</t>
  </si>
  <si>
    <t>BL</t>
  </si>
  <si>
    <t>BLM</t>
  </si>
  <si>
    <t>Saint Helena, Ascension and Tristan da Cunha</t>
  </si>
  <si>
    <t>SH</t>
  </si>
  <si>
    <t>SHN</t>
  </si>
  <si>
    <t>KN</t>
  </si>
  <si>
    <t>LC</t>
  </si>
  <si>
    <t>Saint Martin (French part)</t>
  </si>
  <si>
    <t>MF</t>
  </si>
  <si>
    <t>Saint Pierre and Miquelon</t>
  </si>
  <si>
    <t>PM</t>
  </si>
  <si>
    <t>SPM</t>
  </si>
  <si>
    <t>VC</t>
  </si>
  <si>
    <t>WS</t>
  </si>
  <si>
    <t>SM</t>
  </si>
  <si>
    <t>ST</t>
  </si>
  <si>
    <t>SA</t>
  </si>
  <si>
    <t>SN</t>
  </si>
  <si>
    <t>RS</t>
  </si>
  <si>
    <t>SC</t>
  </si>
  <si>
    <t>SL</t>
  </si>
  <si>
    <t>SG</t>
  </si>
  <si>
    <t>Sint Maarten (Dutch part)</t>
  </si>
  <si>
    <t>SX</t>
  </si>
  <si>
    <t>SK</t>
  </si>
  <si>
    <t>SI</t>
  </si>
  <si>
    <t>SB</t>
  </si>
  <si>
    <t>SO</t>
  </si>
  <si>
    <t>ZA</t>
  </si>
  <si>
    <t>South Georgia and the South Sandwich Islands</t>
  </si>
  <si>
    <t>GS</t>
  </si>
  <si>
    <t>SGS</t>
  </si>
  <si>
    <t>SS</t>
  </si>
  <si>
    <t>ES</t>
  </si>
  <si>
    <t>LK</t>
  </si>
  <si>
    <t>Sudan (the)</t>
  </si>
  <si>
    <t>SD</t>
  </si>
  <si>
    <t>SR</t>
  </si>
  <si>
    <t>Svalbard and Jan Mayen</t>
  </si>
  <si>
    <t>SJ</t>
  </si>
  <si>
    <t>SJM</t>
  </si>
  <si>
    <t>SE</t>
  </si>
  <si>
    <t>CH</t>
  </si>
  <si>
    <t>SY</t>
  </si>
  <si>
    <t>Taiwan (Province of China)</t>
  </si>
  <si>
    <t>TW</t>
  </si>
  <si>
    <t>TJ</t>
  </si>
  <si>
    <t>Tanzania, United Republic of</t>
  </si>
  <si>
    <t>TZ</t>
  </si>
  <si>
    <t>TH</t>
  </si>
  <si>
    <t>TL</t>
  </si>
  <si>
    <t>TG</t>
  </si>
  <si>
    <t>Tokelau</t>
  </si>
  <si>
    <t>TK</t>
  </si>
  <si>
    <t>TKL</t>
  </si>
  <si>
    <t>TO</t>
  </si>
  <si>
    <t>TT</t>
  </si>
  <si>
    <t>TN</t>
  </si>
  <si>
    <t>TR</t>
  </si>
  <si>
    <t>TM</t>
  </si>
  <si>
    <t>Turks and Caicos Islands (the)</t>
  </si>
  <si>
    <t>TC</t>
  </si>
  <si>
    <t>TV</t>
  </si>
  <si>
    <t>UG</t>
  </si>
  <si>
    <t>UA</t>
  </si>
  <si>
    <t>United Arab Emirates (the)</t>
  </si>
  <si>
    <t>AE</t>
  </si>
  <si>
    <t>United Kingdom of Great Britain and Northern Ireland (the)</t>
  </si>
  <si>
    <t>GB</t>
  </si>
  <si>
    <t>United States Minor Outlying Islands (the)</t>
  </si>
  <si>
    <t>UM</t>
  </si>
  <si>
    <t>UMI</t>
  </si>
  <si>
    <t>United States of America (the)</t>
  </si>
  <si>
    <t>US</t>
  </si>
  <si>
    <t>UY</t>
  </si>
  <si>
    <t>UZ</t>
  </si>
  <si>
    <t>VU</t>
  </si>
  <si>
    <t>VE</t>
  </si>
  <si>
    <t>VN</t>
  </si>
  <si>
    <t>Virgin Islands (British)</t>
  </si>
  <si>
    <t>VG</t>
  </si>
  <si>
    <t>Virgin Islands (U.S.)</t>
  </si>
  <si>
    <t>VI</t>
  </si>
  <si>
    <t>Wallis and Futuna</t>
  </si>
  <si>
    <t>WF</t>
  </si>
  <si>
    <t>WLF</t>
  </si>
  <si>
    <t>Western Sahara</t>
  </si>
  <si>
    <t>EH</t>
  </si>
  <si>
    <t>YE</t>
  </si>
  <si>
    <t>ZM</t>
  </si>
  <si>
    <t>ZW</t>
  </si>
  <si>
    <t>Åland Islands</t>
  </si>
  <si>
    <t>AX</t>
  </si>
  <si>
    <t>ALA</t>
  </si>
  <si>
    <t>Column2</t>
  </si>
  <si>
    <t>Column3</t>
  </si>
  <si>
    <t>Column4</t>
  </si>
  <si>
    <t>ISO Code</t>
  </si>
  <si>
    <t>Data source category</t>
  </si>
  <si>
    <t>Reference date (dd/mm/yyyy)</t>
  </si>
  <si>
    <t>Average household size (number of members)</t>
  </si>
  <si>
    <t>DHS</t>
  </si>
  <si>
    <t>DYB</t>
  </si>
  <si>
    <t>IPUMS</t>
  </si>
  <si>
    <t>LFS</t>
  </si>
  <si>
    <t>Disregard if older than this</t>
  </si>
  <si>
    <t>TLC</t>
  </si>
  <si>
    <t>FYI only; Source: WDI SH.STA.DIAB.ZS | Diabetes prevalence (% of population ages 20 to 79)</t>
  </si>
  <si>
    <t>Surface area</t>
  </si>
  <si>
    <t>Sq km</t>
  </si>
  <si>
    <t>Urban population</t>
  </si>
  <si>
    <t>… as percent</t>
  </si>
  <si>
    <t>Obesity Prevalence - FYI only</t>
  </si>
  <si>
    <t>Diabetes Mellitus Prevalence - FYI only</t>
  </si>
  <si>
    <t>Max 10%</t>
  </si>
  <si>
    <t>Number of health facilities with cold-storage - Fixed sites with cold-storage</t>
  </si>
  <si>
    <t>Destination</t>
  </si>
  <si>
    <t>Hide</t>
  </si>
  <si>
    <t>Cold Storage Requirements</t>
  </si>
  <si>
    <t>International shipments per period</t>
  </si>
  <si>
    <t>From manufacturer country to receiving country point of entry</t>
  </si>
  <si>
    <t>Vaccination Secondary Packaging Volume Buffer</t>
  </si>
  <si>
    <t>Source: WHO WHO/IVB/08.01 2008 pg 24</t>
  </si>
  <si>
    <t>These are maximal volume need assumptions - i.e. that all shipments arrive and need storage but the vaccines not distributed domestically yet</t>
  </si>
  <si>
    <t xml:space="preserve"> </t>
  </si>
  <si>
    <t>Rural Population %</t>
  </si>
  <si>
    <t>Population in the largest city %</t>
  </si>
  <si>
    <t>Half of the radius, assume country is a circle</t>
  </si>
  <si>
    <t>For population outside the largest city</t>
  </si>
  <si>
    <t>For population inside the largest city</t>
  </si>
  <si>
    <t>EN.URB.LCTY.UR.ZS (2019)</t>
  </si>
  <si>
    <t>Population in the largest city</t>
  </si>
  <si>
    <t>Percent of urban population</t>
  </si>
  <si>
    <t>Assume distance is 10km</t>
  </si>
  <si>
    <t>Per Trip</t>
  </si>
  <si>
    <t>Note this is MAX not SUM … assumption is that it is the same truck taking all the different types of vaccines to the same facility, and costs follow the most stringent requirement</t>
  </si>
  <si>
    <t>Surface Area (sqkm)</t>
  </si>
  <si>
    <t>Note: This is a very simple model to estimate the average distance from the central store to fixed sites with cold storage</t>
  </si>
  <si>
    <t>Category
Total</t>
  </si>
  <si>
    <t>e.g blood pressure machine, capillary blood glucose meter, etc.</t>
  </si>
  <si>
    <t>Domestic Logistics</t>
  </si>
  <si>
    <t>Working Hours per Day</t>
  </si>
  <si>
    <t>Working Days per Week</t>
  </si>
  <si>
    <t>Assumes shipments divided equally over a period (size and timing)</t>
  </si>
  <si>
    <t>Assumes shipments are between one manufacturing country (per vaccine) and one central store/warehouse in the destination country</t>
  </si>
  <si>
    <t>Version</t>
  </si>
  <si>
    <t>Vaccines</t>
  </si>
  <si>
    <t>B2</t>
  </si>
  <si>
    <t>%</t>
  </si>
  <si>
    <t>Total financial guarantee</t>
  </si>
  <si>
    <t>Maximum final price (excluding up-front and financial guarantee)</t>
  </si>
  <si>
    <t>Total risk-sharing gurantee</t>
  </si>
  <si>
    <t>1 = Yes | 0 = No</t>
  </si>
  <si>
    <t>Yes</t>
  </si>
  <si>
    <t>No</t>
  </si>
  <si>
    <t>If RBF selected, use RBF for these delivery modalities?</t>
  </si>
  <si>
    <t>If RBF selected, MUST complete these below</t>
  </si>
  <si>
    <t>Note: 1 = IBF, 0 = RBF</t>
  </si>
  <si>
    <t>FYI Only</t>
  </si>
  <si>
    <t>B1. Estimate Target Population Sizes and Vaccine Requirements</t>
  </si>
  <si>
    <t>LAST UPDATE:</t>
  </si>
  <si>
    <t>Last Update (Tool)</t>
  </si>
  <si>
    <t>Last Update (Vaccine database)</t>
  </si>
  <si>
    <t>I understand and accept the disclaimer</t>
  </si>
  <si>
    <t>A1.1 Updates and Disclaimer</t>
  </si>
  <si>
    <t>Population Vaccinated, given expected uptake rates</t>
  </si>
  <si>
    <t>HRH Optimizer</t>
  </si>
  <si>
    <t>Aim for teams to finish within the Time Period (minus weekends)</t>
  </si>
  <si>
    <t>One team goes to one site; Optimize size of team</t>
  </si>
  <si>
    <t>Teams spend one day per site</t>
  </si>
  <si>
    <t>Consider travel time and breaks</t>
  </si>
  <si>
    <t>How long before the ice melts?</t>
  </si>
  <si>
    <t>Teams spend duration of 'cold life' per site</t>
  </si>
  <si>
    <t>Mobile B : Mobile A ratio</t>
  </si>
  <si>
    <t>One team, and n team members</t>
  </si>
  <si>
    <t>One team member, and n teams</t>
  </si>
  <si>
    <t>One team per site</t>
  </si>
  <si>
    <t>Total number of Basecamp Teams</t>
  </si>
  <si>
    <t xml:space="preserve">NOT </t>
  </si>
  <si>
    <t>days</t>
  </si>
  <si>
    <t>Effectively a 4-day work week (either 2 sites x 2 days in a week or 1 site x 4 days in a week depending on 'cold life'</t>
  </si>
  <si>
    <t>This should be 1</t>
  </si>
  <si>
    <t>Mobile A Teams per 'team of teams'</t>
  </si>
  <si>
    <t>Mobile A (per site)</t>
  </si>
  <si>
    <t>Mobile B (per site)</t>
  </si>
  <si>
    <t>Basecamp (per site)</t>
  </si>
  <si>
    <t>Mobile B Teams per 'team of teams'</t>
  </si>
  <si>
    <t>Basecamp Teams per 'team of teams'</t>
  </si>
  <si>
    <t>By defintion</t>
  </si>
  <si>
    <t>This should be just within the 'cold life'</t>
  </si>
  <si>
    <t>FYI only - taken from Sheet B1</t>
  </si>
  <si>
    <t>Max</t>
  </si>
  <si>
    <t>Electronic temperature monitoring device</t>
  </si>
  <si>
    <t>https://www.who.int/immunization_standards/vaccine_quality/Vaccines_Shipping_Guidelines082019.pdf</t>
  </si>
  <si>
    <t>g per dose</t>
  </si>
  <si>
    <t>Weight</t>
  </si>
  <si>
    <t>Type</t>
  </si>
  <si>
    <t>Active</t>
  </si>
  <si>
    <t>Passive</t>
  </si>
  <si>
    <t>Envirotainer RAP t2</t>
  </si>
  <si>
    <t>Envirotainer RKN t2</t>
  </si>
  <si>
    <t>Cooling</t>
  </si>
  <si>
    <t>Dry ice</t>
  </si>
  <si>
    <t>Electricity</t>
  </si>
  <si>
    <t>Class</t>
  </si>
  <si>
    <t>Envirotainer RAP e2 | RAP/LD9</t>
  </si>
  <si>
    <t>Container Weight (kg)</t>
  </si>
  <si>
    <t>Envirotainer RKN e1 | RKN /LD3</t>
  </si>
  <si>
    <t>WHO Class of Shipping</t>
  </si>
  <si>
    <t>https://www.envirotainer.com/</t>
  </si>
  <si>
    <t>Class A</t>
  </si>
  <si>
    <t>Class B</t>
  </si>
  <si>
    <t>Class C</t>
  </si>
  <si>
    <t>Source: https://www.who.int/immunization_standards/vaccine_quality/Vaccines_Shipping_Guidelines082019.pdf</t>
  </si>
  <si>
    <t>https://apps.who.int/iris/bitstream/handle/10665/183584/WHO_IVB_15.03_eng.pdf?sequence=1</t>
  </si>
  <si>
    <t>Mobile Team B (Multi-person) Per Team per Day</t>
  </si>
  <si>
    <t>Reuseable</t>
  </si>
  <si>
    <t>Class 1,2, or 3</t>
  </si>
  <si>
    <t>Max Ice / Dry Ice (kg)</t>
  </si>
  <si>
    <t>C14C5</t>
  </si>
  <si>
    <t>C14F5</t>
  </si>
  <si>
    <t>C14R5</t>
  </si>
  <si>
    <t>C26C5</t>
  </si>
  <si>
    <t>C26F5</t>
  </si>
  <si>
    <t>C26R5</t>
  </si>
  <si>
    <t>C6C5</t>
  </si>
  <si>
    <t>C6F5</t>
  </si>
  <si>
    <t>C6R5</t>
  </si>
  <si>
    <t>Cold chain packaging weight overhead per liter</t>
  </si>
  <si>
    <t>https://beta-static.fishersci.com/content/dam/fishersci/en_US/documents/programs/scientific/brochures-and-catalogs/catalogs/sonoco-thermasafe-temperature-assurance-packaging-catalog.pdf</t>
  </si>
  <si>
    <t>https://www.thermosafe.com/files/Demo/Thermosafe-Pallet-Solutions-Email-Brochure-12-20-2016.pdf</t>
  </si>
  <si>
    <t>Quarter PMC</t>
  </si>
  <si>
    <t>EURO Pallet</t>
  </si>
  <si>
    <t>Half US Pallet</t>
  </si>
  <si>
    <t>Payload capacity</t>
  </si>
  <si>
    <t>Thermosafe Tall US Pallet</t>
  </si>
  <si>
    <t>It is recommended that pallet shippers are NOT qualified using dry ice as coolant. Source: https://www.who.int/immunization_standards/vaccine_quality/Vaccines_Shipping_Guidelines082019.pdf</t>
  </si>
  <si>
    <t>Active packaging systems with a mechanical refrigeration are not to be used for the international shipment of vaccines unless specifically requested by the UN agency. Source: https://www.who.int/immunization_standards/vaccine_quality/Vaccines_Shipping_Guidelines082019.pdf</t>
  </si>
  <si>
    <t>List Price (USD)</t>
  </si>
  <si>
    <t>https://www.fishersci.com/shop/products/thermosafe-ld7-quarter-pmc-pallet-shippers-5/p-7112083</t>
  </si>
  <si>
    <t>Price per Volume</t>
  </si>
  <si>
    <t>Exampler</t>
  </si>
  <si>
    <t>Volume per dose (cm3) in secondary packaging</t>
  </si>
  <si>
    <t>Weight per dose (g) in secondary packaging</t>
  </si>
  <si>
    <t>Sources</t>
  </si>
  <si>
    <t>Number of pallet sized containers</t>
  </si>
  <si>
    <t>Number of parcel sized containers</t>
  </si>
  <si>
    <t>No costing information for this as ultracold services limited in availability</t>
  </si>
  <si>
    <t>Pallet</t>
  </si>
  <si>
    <t>Parcel</t>
  </si>
  <si>
    <t>Liter</t>
  </si>
  <si>
    <t># Pallet</t>
  </si>
  <si>
    <t>Price of Pallet</t>
  </si>
  <si>
    <t>Shipping price</t>
  </si>
  <si>
    <t># of parcel</t>
  </si>
  <si>
    <t>Weight of vaccines</t>
  </si>
  <si>
    <t>Volumetric weight</t>
  </si>
  <si>
    <t>Price of parcel</t>
  </si>
  <si>
    <t>Actual weight</t>
  </si>
  <si>
    <t>Billing weight</t>
  </si>
  <si>
    <t>Which is cheaper</t>
  </si>
  <si>
    <t>Parcel only price</t>
  </si>
  <si>
    <t>Pallet only Price</t>
  </si>
  <si>
    <t>Weight of cold chain packaging (kg) per Shipment</t>
  </si>
  <si>
    <t>Price of cold chain packaging per Shipment</t>
  </si>
  <si>
    <t>Volumetric Weight</t>
  </si>
  <si>
    <t>Pallet Volumetric Weight</t>
  </si>
  <si>
    <t>Parcel Volumetric Weight</t>
  </si>
  <si>
    <t>Combine shipments?</t>
  </si>
  <si>
    <t>Combine different vaccines types with similar cold-storage requirements into one shipment?</t>
  </si>
  <si>
    <t>Shipments Combined</t>
  </si>
  <si>
    <t>Actual Weight</t>
  </si>
  <si>
    <t>Billing weight and Shipment Costs</t>
  </si>
  <si>
    <t>Billing Weight</t>
  </si>
  <si>
    <t>Shipping Costs per Shipment</t>
  </si>
  <si>
    <t>Shipping Costs per Period</t>
  </si>
  <si>
    <t>Shipments Separate</t>
  </si>
  <si>
    <t>Max Payload</t>
  </si>
  <si>
    <t>Shipping Costs per Shipment (all vaccine types)</t>
  </si>
  <si>
    <t>per container per period</t>
  </si>
  <si>
    <t>Special tariff</t>
  </si>
  <si>
    <t>per dose</t>
  </si>
  <si>
    <t>Ad Valorem</t>
  </si>
  <si>
    <t>per value</t>
  </si>
  <si>
    <t>HS 30022000</t>
  </si>
  <si>
    <t>Shipments</t>
  </si>
  <si>
    <t>Total handling and other</t>
  </si>
  <si>
    <t>Volume threshold above which it is cheaper to use pallet</t>
  </si>
  <si>
    <t>Blank assumed as NO</t>
  </si>
  <si>
    <t>These estimates useful for demand-generation interventions</t>
  </si>
  <si>
    <t>These estimates useful for last-mile service provision</t>
  </si>
  <si>
    <t>These estimates useful for expected vaccine doses used</t>
  </si>
  <si>
    <t>Copied from B1 - EXPECTED not MAXIMUM uptake assumption | Not considering vaccine wastage rate</t>
  </si>
  <si>
    <t>Add wastage rate + doses per course</t>
  </si>
  <si>
    <t>Full Uptake + Wastage</t>
  </si>
  <si>
    <t>Full Uptake + No Wastage</t>
  </si>
  <si>
    <t>Expected Uptake + Wastage</t>
  </si>
  <si>
    <t>Expected Uptake + No Wastage</t>
  </si>
  <si>
    <t>Per shipment</t>
  </si>
  <si>
    <t>per trip</t>
  </si>
  <si>
    <t>Per kg</t>
  </si>
  <si>
    <t>FYI only; Source: GHO - Prevalence of obesity among adults, BMI &gt;= 30 (crude estimate) (%)</t>
  </si>
  <si>
    <t>Typical distance between the central logistics hub and DM1 sites within the largest city</t>
  </si>
  <si>
    <t>Density of vaccines</t>
  </si>
  <si>
    <t>kg/L</t>
  </si>
  <si>
    <r>
      <t xml:space="preserve">Simulation: </t>
    </r>
    <r>
      <rPr>
        <i/>
        <sz val="11"/>
        <color theme="0"/>
        <rFont val="Calibri"/>
        <family val="2"/>
        <scheme val="major"/>
      </rPr>
      <t>When to use pallet instead of parcels?</t>
    </r>
  </si>
  <si>
    <t>Once more than n parcels needed - cheaper to go for a pallet (as per simulation on T Shipping ~ variable assumptions are vaccine density and shipping rates )</t>
  </si>
  <si>
    <t>offset</t>
  </si>
  <si>
    <t>Use a pallet if requires more parcels than</t>
  </si>
  <si>
    <t>Selection of commercially available cold chain packages</t>
  </si>
  <si>
    <t xml:space="preserve">Number of teams | Finish sites within the Time Period (minus weekends) </t>
  </si>
  <si>
    <t>Total Current Vaccinators</t>
  </si>
  <si>
    <t>Range from 2-4; The outreach weekly schedule is force-synced to this even if it may be possible to finish a site faster</t>
  </si>
  <si>
    <t>Travel from nearest fixed site to each remote site (to replenish vaccines et al</t>
  </si>
  <si>
    <t>Travel from nearest fixed site to each institution</t>
  </si>
  <si>
    <t>Current Sites this Period</t>
  </si>
  <si>
    <t>Domestic Travel to Sites this Period</t>
  </si>
  <si>
    <t>Travelling Team Size</t>
  </si>
  <si>
    <t>Half of the radius, assume fixed site catchment area is round (km)</t>
  </si>
  <si>
    <t>DM2 site distances</t>
  </si>
  <si>
    <t>DM4 site distances</t>
  </si>
  <si>
    <t>Assumes that institutions (detention centers, nursing homes) will not be far from fixed sites by design</t>
  </si>
  <si>
    <t>Travel from nearest fixed site to compaign site</t>
  </si>
  <si>
    <t>Surface Area (sqkm) covered by each fixed site</t>
  </si>
  <si>
    <t>Best Price (per liter)</t>
  </si>
  <si>
    <t>GAVI</t>
  </si>
  <si>
    <t>Domestic</t>
  </si>
  <si>
    <t>WB</t>
  </si>
  <si>
    <t>Donor B</t>
  </si>
  <si>
    <t>A1, A2</t>
  </si>
  <si>
    <t>A6</t>
  </si>
  <si>
    <t>B4</t>
  </si>
  <si>
    <t>D3</t>
  </si>
  <si>
    <t>E1</t>
  </si>
  <si>
    <t>E3</t>
  </si>
  <si>
    <t>F3</t>
  </si>
  <si>
    <t>G1</t>
  </si>
  <si>
    <t>I2</t>
  </si>
  <si>
    <t>Central-level workshops / stakeholder engagement / training</t>
  </si>
  <si>
    <t>I5</t>
  </si>
  <si>
    <t>J2</t>
  </si>
  <si>
    <t>I3</t>
  </si>
  <si>
    <t>B2.1.1 Delivery Modality 1</t>
  </si>
  <si>
    <t>B2.1.2 Delivery Modality 2</t>
  </si>
  <si>
    <t>B2.1.3 Delivery Modality 3</t>
  </si>
  <si>
    <t>B2.1.4 Delivery Modality 4</t>
  </si>
  <si>
    <t>B2.2 TOTALS</t>
  </si>
  <si>
    <t>Financial, human resources (surge capacity), demand generation, risk communications, safety surveillance, security planning; gap analysis</t>
  </si>
  <si>
    <t>Recruitment</t>
  </si>
  <si>
    <t>Training of logistics manpower</t>
  </si>
  <si>
    <t>Training of AEFI investigators</t>
  </si>
  <si>
    <t>Further explanation or details</t>
  </si>
  <si>
    <t>Unit / Comment</t>
  </si>
  <si>
    <t>1 = Yes</t>
  </si>
  <si>
    <t>Source: WDI SP.URB.TOTL.IN.ZS</t>
  </si>
  <si>
    <t xml:space="preserve">Source: WDI </t>
  </si>
  <si>
    <t>Source: WDI</t>
  </si>
  <si>
    <t>Delivery Modality 4 (e.g., outreach)</t>
  </si>
  <si>
    <t>} OR</t>
  </si>
  <si>
    <t>Note: Assumes that all those offered the COVID-19 vaccine will take-up the offer | No vaccine wastage</t>
  </si>
  <si>
    <t>Note: Assumes that all those offered the COVID-19 vaccine will take-up the offer | No vaccine wastage | Round UP</t>
  </si>
  <si>
    <t>Note: Applies the expected take-up assumption | No vaccine wastage | Round UP</t>
  </si>
  <si>
    <t>Note: Assumes that all those offered the COVID-19 vaccine will take-up the offer | But vaccine wastage rate applied</t>
  </si>
  <si>
    <t>Note: Applies the expected take-up assumption | But vaccine wastage rate applied</t>
  </si>
  <si>
    <t>Needs estimation parameters --&gt;</t>
  </si>
  <si>
    <t>Inhaled</t>
  </si>
  <si>
    <t>Manufacturer</t>
  </si>
  <si>
    <t>T1. Vaccine Database</t>
  </si>
  <si>
    <t>T9. Shipping Optimizer</t>
  </si>
  <si>
    <t>e.g. other allowances</t>
  </si>
  <si>
    <t>Recruitment of vaccinators</t>
  </si>
  <si>
    <t>IF PIC, consider a universal immunization strategy</t>
  </si>
  <si>
    <t>Weighted (inside and outside largest city) average distance (km)</t>
  </si>
  <si>
    <t>Staff</t>
  </si>
  <si>
    <t>Unit price per staff per month (incl. office expenses associated with the staff)</t>
  </si>
  <si>
    <t>Say a provincial team | Unit price per staff per month (incl. office expenses associated with the staff)</t>
  </si>
  <si>
    <t>Say a district team | Unit price per staff per month (incl. office expenses associated with the staff)</t>
  </si>
  <si>
    <t>Sub-national level 2 implementation team size per admin unit</t>
  </si>
  <si>
    <t>Sub-national level 1 implementation team size per admin unit</t>
  </si>
  <si>
    <t>Price per month</t>
  </si>
  <si>
    <t>Duration of central-level initiatives</t>
  </si>
  <si>
    <t>Vaccine doses (all vaccines)</t>
  </si>
  <si>
    <t>Districts</t>
  </si>
  <si>
    <t>Combine international shipments?</t>
  </si>
  <si>
    <t>For domestic personnel transport: Maximum capacity per car</t>
  </si>
  <si>
    <t>What Local Currency Unit (LCU) to use for unit costs?</t>
  </si>
  <si>
    <t>This is intended to be marginal costs (per diems, hazard pay, etc.) not baseline salary</t>
  </si>
  <si>
    <t>Special tariff (per vaccine dose)</t>
  </si>
  <si>
    <t>Per value</t>
  </si>
  <si>
    <t>International Logistics</t>
  </si>
  <si>
    <t>Per container</t>
  </si>
  <si>
    <t>NOTE: No large scale models of ultra-cold chain storage in LICs and MICs --&gt; this costing tool has limited functionality for ultra-cold chain requirements</t>
  </si>
  <si>
    <t>NAVIGATION BAR:</t>
  </si>
  <si>
    <t>A1.3 Quick Links Menu</t>
  </si>
  <si>
    <t>B1.2 Timing of Target Population Vaccination</t>
  </si>
  <si>
    <t>INPUT Unit Costs</t>
  </si>
  <si>
    <t>INPUT Central Costs</t>
  </si>
  <si>
    <t>A2</t>
  </si>
  <si>
    <t>A3</t>
  </si>
  <si>
    <t>A4</t>
  </si>
  <si>
    <t>B1</t>
  </si>
  <si>
    <t>B3</t>
  </si>
  <si>
    <t>Target Population</t>
  </si>
  <si>
    <t>Vaccines and Supplies</t>
  </si>
  <si>
    <t>B5</t>
  </si>
  <si>
    <t>Last Mile Delivery</t>
  </si>
  <si>
    <t>OUTPUTS</t>
  </si>
  <si>
    <t>T1</t>
  </si>
  <si>
    <t>R1</t>
  </si>
  <si>
    <t>R2</t>
  </si>
  <si>
    <t>Ref</t>
  </si>
  <si>
    <t>Description</t>
  </si>
  <si>
    <t>Is user input needed?</t>
  </si>
  <si>
    <t>YES</t>
  </si>
  <si>
    <t>INPUT Population &amp; Delivery</t>
  </si>
  <si>
    <t>Results of this costing tool</t>
  </si>
  <si>
    <t>Estimate the quantity and cost of vaccines and supplies</t>
  </si>
  <si>
    <t>Estimate international shipping, import duties, and handling</t>
  </si>
  <si>
    <t>Estimate last mile service delivery</t>
  </si>
  <si>
    <t>Update the COVID-19 vaccine specification database</t>
  </si>
  <si>
    <t>A1.2 General Instructions</t>
  </si>
  <si>
    <t>3. Please look for cells with the orange shade - cells of this color are for the user to input data. Some cells require numbers but some require specific options which can be selected using a drop down menu.</t>
  </si>
  <si>
    <t>Suggestions are in green</t>
  </si>
  <si>
    <t>OK</t>
  </si>
  <si>
    <t>CHECK</t>
  </si>
  <si>
    <t>5. Pink cells with the word "CHECK" - indicate that there is an error with the input. Please review. Once the input is valid, the cell changes color to green and states "OK".</t>
  </si>
  <si>
    <t>6. Cells which have a grey shade and orange or black text are to display calculations. This is informational only and should not be edited.</t>
  </si>
  <si>
    <t>Enter inputs in cells like this</t>
  </si>
  <si>
    <t>Calculations only</t>
  </si>
  <si>
    <t>Disclaimers</t>
  </si>
  <si>
    <t>A3. Unit costs</t>
  </si>
  <si>
    <t>A3.1 Human Resources for Health</t>
  </si>
  <si>
    <t>A3.4 Logistics</t>
  </si>
  <si>
    <t>A3.5 Cold storage and cold chain</t>
  </si>
  <si>
    <t>Training of vaccinators at the local level (within a facility). Training delivered from central [Ref A4.1] EXCLUDED.</t>
  </si>
  <si>
    <t>Click here to change vaccine specifications</t>
  </si>
  <si>
    <t>R1. Output Reports and Visualizations</t>
  </si>
  <si>
    <t>R1.2 Cost Breakdown, by Category</t>
  </si>
  <si>
    <t>Results-based financing for last mile service delivery is an option - can be specified independently for each of the delivery modalities. See Sheet A2.3</t>
  </si>
  <si>
    <t>Click here change RBF prices and parameters</t>
  </si>
  <si>
    <t>Courses</t>
  </si>
  <si>
    <t>Other non-wage costs per Vaccinator per Day (Mobile Teams)</t>
  </si>
  <si>
    <t>Number, can be decimal; Zero is allowed</t>
  </si>
  <si>
    <t>Quantity (per Vaccinator-Days)</t>
  </si>
  <si>
    <t>Unit Cost (USD)</t>
  </si>
  <si>
    <t>Change the LCU used by clicking here</t>
  </si>
  <si>
    <t>Click here to change or view vaccine specifications @ T1. Vaccines</t>
  </si>
  <si>
    <t>Basic model: Assumes transport from manufacturer airport until arrival at ONE central store/warehouse in recipient country</t>
  </si>
  <si>
    <t>Airfreight price - First 100kg</t>
  </si>
  <si>
    <t>Airfreight price - Above 100kg</t>
  </si>
  <si>
    <t>Not expected that there would be tariffs, but if there are, here is where they can be specified</t>
  </si>
  <si>
    <t>Ignored if not FCAS or security cost settings overridden</t>
  </si>
  <si>
    <t>e.g., dipsticks, glucostix, etc.</t>
  </si>
  <si>
    <t>Say TCO for a motorbike per day, incl. fuel</t>
  </si>
  <si>
    <t>Say TCO for a 4WD per day, incl. fuel</t>
  </si>
  <si>
    <t>Leave blank for auto completion; Source: http://www.floatrates.com/daily/usd.xml . To update - go to Data | Refresh All</t>
  </si>
  <si>
    <t>(additional items can be added here if desired)</t>
  </si>
  <si>
    <t>Distance from fixed sites to DM3 Institutions (km)</t>
  </si>
  <si>
    <t>Maximum/peak number of vaccinators</t>
  </si>
  <si>
    <t>Override in USD</t>
  </si>
  <si>
    <t>Stage 1</t>
  </si>
  <si>
    <t>Stage 2</t>
  </si>
  <si>
    <t>Adjust timing of coverage in H1 and H2 2021 to avoid surpluses or deficits</t>
  </si>
  <si>
    <t>WMF</t>
  </si>
  <si>
    <t>Default Vaccine Wastage Rate</t>
  </si>
  <si>
    <t>Default Wastage Multiplication Factor (WMF)</t>
  </si>
  <si>
    <t>If wish to override default, else leave blank</t>
  </si>
  <si>
    <t>This section allows the user to input delivery modality specific vaccine waste rates IF DESIRED, leave blank otherwise</t>
  </si>
  <si>
    <t>B1.4 Vaccine Courses Needed, considering Vaccine Wastage Rate</t>
  </si>
  <si>
    <t>Vaccinator-Days</t>
  </si>
  <si>
    <t>New vaccinators (to be trained)</t>
  </si>
  <si>
    <t>Vaccinator-Hours</t>
  </si>
  <si>
    <t>Number of team of teams</t>
  </si>
  <si>
    <t xml:space="preserve">Finish sites within this Time Period (minus weekends) </t>
  </si>
  <si>
    <t>Peak</t>
  </si>
  <si>
    <t>Each vaccinator works this number of days per time period</t>
  </si>
  <si>
    <t>Each vaccinator works this number of days per time period (based on an hourly calculation)</t>
  </si>
  <si>
    <t>Mean hours per day</t>
  </si>
  <si>
    <t>Mean hours spent vaccinating per day worked</t>
  </si>
  <si>
    <t>Total Vaccinator-Hours</t>
  </si>
  <si>
    <t>All delivery modalities</t>
  </si>
  <si>
    <t>Mean vaccinator-days per current vaccinator (hourly calc)</t>
  </si>
  <si>
    <t>Cold-storage reserve capacity</t>
  </si>
  <si>
    <t>Power</t>
  </si>
  <si>
    <t>Delivery Modality 4 (e.g., outreach) | Population centers | EPI sites for remote populations)</t>
  </si>
  <si>
    <t>Delivery Modality 4 (e.g., outreach / mobile)</t>
  </si>
  <si>
    <t>Fixed sites with cold-storage</t>
  </si>
  <si>
    <t>Outreach sites</t>
  </si>
  <si>
    <t>Mobile Team Travel and Setup Time (Hours) per Working Day</t>
  </si>
  <si>
    <t>mins</t>
  </si>
  <si>
    <t>Minutes of health worker time required to vaccinate per dose - added (upeer variant) or subtracted (lower variant) to medium variant in T1 vaccines database</t>
  </si>
  <si>
    <t>HRH robustness adjustments (to define upper and lower variant)</t>
  </si>
  <si>
    <t xml:space="preserve">Max 10%; </t>
  </si>
  <si>
    <t>If different vaccines have the same temperature requirements, pack and ship together</t>
  </si>
  <si>
    <t>Ensure no negative number</t>
  </si>
  <si>
    <t>Work DM1 / DM2</t>
  </si>
  <si>
    <t>Voluntary DM1 / DM2</t>
  </si>
  <si>
    <t>(subtotal)</t>
  </si>
  <si>
    <t>A "CHECK" error here means that the high-priority population specified exceeds the total population</t>
  </si>
  <si>
    <t>Every site every time peiod</t>
  </si>
  <si>
    <t>Distribute visits according to population coverage - noting that if cover HR and LR at the same time, don't need to visit again (except for dose 2, if applicable)</t>
  </si>
  <si>
    <t>… HR Residential Institutions</t>
  </si>
  <si>
    <t>… LR Residential Institutions</t>
  </si>
  <si>
    <t>LR triggered</t>
  </si>
  <si>
    <t>LR initial</t>
  </si>
  <si>
    <t>HR initial</t>
  </si>
  <si>
    <t>HR triggered</t>
  </si>
  <si>
    <t>… LR Residential Institutions (Rounded)</t>
  </si>
  <si>
    <t>… HR Residential Institutions (Rounded)</t>
  </si>
  <si>
    <t>If any error here - please adjust the timing in B1.2 for residential institutions for low risk age groups - do not spread out the delivery thinly</t>
  </si>
  <si>
    <t>If any error here - please adjust the timing in B1.2 for residential institutions for high risk age groups - do not spread out the delivery thinly</t>
  </si>
  <si>
    <t>Each site once during entire program - distribute according to population coverage</t>
  </si>
  <si>
    <t>This section here is to fix the rounding error and impose the difference in the first occurance | HIDE</t>
  </si>
  <si>
    <t>HIDE</t>
  </si>
  <si>
    <t>… LR Residential Institutions (interpreted % sequencing)</t>
  </si>
  <si>
    <t>… HR Residential Institutions (interpreted % sequencing)</t>
  </si>
  <si>
    <t>Additional population check #2</t>
  </si>
  <si>
    <t>Additional population check #3</t>
  </si>
  <si>
    <t>Ensure no negative numbers here - please adjust the timing in B1.2 for residential institutions for high risk age groups - do not spread out the delivery thinly</t>
  </si>
  <si>
    <t>Ensure no negative numbers here - please adjust the timing in B1.2 for residential institutions for low risk age groups - do not spread out the delivery thinly</t>
  </si>
  <si>
    <t>Repeated visits to outreach sites</t>
  </si>
  <si>
    <t>HRH Maximum deployment</t>
  </si>
  <si>
    <t>i.e., newly inducted vaccinator workforce, in order to preserve existing services</t>
  </si>
  <si>
    <t>Will be subtracted from working hours per day - remaining hours will be uninterupted vaccination unless no more persons to vaccinate</t>
  </si>
  <si>
    <t>(same)</t>
  </si>
  <si>
    <t>R1.3 How fast? (Medium Variant)</t>
  </si>
  <si>
    <t>Medium Variant</t>
  </si>
  <si>
    <t>Additional Costs for Upper Variant</t>
  </si>
  <si>
    <t>Reduced Costs for Lower Variant</t>
  </si>
  <si>
    <t>Percent</t>
  </si>
  <si>
    <t>B5.4 Variance Analysis</t>
  </si>
  <si>
    <t>Grand Total (USD) - Medium Variant</t>
  </si>
  <si>
    <t>(medium variant) …. cumulative</t>
  </si>
  <si>
    <t>(upper variant) …. cumulative</t>
  </si>
  <si>
    <t>(lower variant) …. cumulative</t>
  </si>
  <si>
    <t>Upper Variant</t>
  </si>
  <si>
    <t>Lower Variant</t>
  </si>
  <si>
    <t>(medium variant)</t>
  </si>
  <si>
    <t>(upper variant)</t>
  </si>
  <si>
    <t>(lower variant)</t>
  </si>
  <si>
    <r>
      <rPr>
        <b/>
        <sz val="11"/>
        <color rgb="FFC00000"/>
        <rFont val="Calibri Light"/>
        <family val="2"/>
        <scheme val="minor"/>
      </rPr>
      <t>LOWER VARIANT</t>
    </r>
    <r>
      <rPr>
        <b/>
        <sz val="11"/>
        <color rgb="FF008DC9"/>
        <rFont val="Calibri Light"/>
        <family val="2"/>
        <scheme val="minor"/>
      </rPr>
      <t xml:space="preserve"> - Current Vaccinators</t>
    </r>
  </si>
  <si>
    <r>
      <rPr>
        <b/>
        <sz val="11"/>
        <color rgb="FFC00000"/>
        <rFont val="Calibri Light"/>
        <family val="2"/>
        <scheme val="minor"/>
      </rPr>
      <t>UPPER VARIANT</t>
    </r>
    <r>
      <rPr>
        <b/>
        <sz val="11"/>
        <color rgb="FFFF0000"/>
        <rFont val="Calibri Light"/>
        <family val="2"/>
        <scheme val="minor"/>
      </rPr>
      <t xml:space="preserve"> </t>
    </r>
    <r>
      <rPr>
        <b/>
        <sz val="11"/>
        <color rgb="FF008DC9"/>
        <rFont val="Calibri Light"/>
        <family val="2"/>
        <scheme val="minor"/>
      </rPr>
      <t>- Current Vaccinators</t>
    </r>
  </si>
  <si>
    <r>
      <rPr>
        <b/>
        <sz val="11"/>
        <color rgb="FFC00000"/>
        <rFont val="Calibri Light"/>
        <family val="2"/>
        <scheme val="minor"/>
      </rPr>
      <t xml:space="preserve">MEDIUM VARIANT </t>
    </r>
    <r>
      <rPr>
        <b/>
        <sz val="11"/>
        <color rgb="FF008DC9"/>
        <rFont val="Calibri Light"/>
        <family val="2"/>
        <scheme val="minor"/>
      </rPr>
      <t>- Current Vaccinators</t>
    </r>
  </si>
  <si>
    <t>Select the HRH Model Variant:</t>
  </si>
  <si>
    <t>Suggestion / Default:</t>
  </si>
  <si>
    <t>Total Costs</t>
  </si>
  <si>
    <t>R1.1 Total Costs, over time</t>
  </si>
  <si>
    <t>Total Full-time Equivalents</t>
  </si>
  <si>
    <t>Current Vaccinators (Full-Time Equivalents)</t>
  </si>
  <si>
    <t>Current Vaccinators (Not Full-Time Equivalents)</t>
  </si>
  <si>
    <t>IMPACT - as % of HRH Supply</t>
  </si>
  <si>
    <t>IMPACT - Redeployment (FTEs)</t>
  </si>
  <si>
    <t>R1.3.2 Human Resources Implications and Impact</t>
  </si>
  <si>
    <t>FTEs = Full-time equvalents</t>
  </si>
  <si>
    <t>R1.3.1.1 Outreach Efficiency</t>
  </si>
  <si>
    <t>Inefficient (non-universal) strategy for DM4</t>
  </si>
  <si>
    <t>If no data or data from GHO not updated, MUST override here. Leave blank to use NHWA data</t>
  </si>
  <si>
    <t>Proportion of total cold storage</t>
  </si>
  <si>
    <t>Surplus or deficit?</t>
  </si>
  <si>
    <t>User Defined Vaccine 1</t>
  </si>
  <si>
    <t>Consortium B</t>
  </si>
  <si>
    <t>Pop_50_AND_OVER</t>
  </si>
  <si>
    <t>Health workers at low to moderate risk of acquiring and transmitting infection</t>
  </si>
  <si>
    <t>Personnel needed for vaccine production and other high-risk laboratory staff</t>
  </si>
  <si>
    <t>Groups with comorbidities or health states determined to be at significantly higher risk of severe disease or death</t>
  </si>
  <si>
    <t xml:space="preserve">Low-priority teachers and school staff </t>
  </si>
  <si>
    <t xml:space="preserve">Border protection staff screening for imported cases and workers for outbreak management </t>
  </si>
  <si>
    <t>All travellers at risk for acquiring infection outside the home country and reintroducing infection upon return to home country.</t>
  </si>
  <si>
    <t>Emergency reserve of vaccines for utilization for outbreak response or mitigation (for example, severe localized outbreak).</t>
  </si>
  <si>
    <t xml:space="preserve">High-priority teachers and school staff </t>
  </si>
  <si>
    <t>Essential travellers at risk for acquiring infection outside the home country and reintroducing infection upon return to home country</t>
  </si>
  <si>
    <t>Pregnant women</t>
  </si>
  <si>
    <t>Health workers at high to very high risk of acquiring and transmitting infection</t>
  </si>
  <si>
    <t>Sociodemographic groups at significantly higher risk of severe disease or death (depending on country context, examples may include: disadvantaged or persecuted ethnic, racial, gender, and religious groups and sexual minorities; people living with disabilities; people living in extreme poverty, homeless and those living in informal settlements or urban slums; low-income migrant workers; refugees, internally displaced persons, asylum seekers, populations in conflict settings or those affected by humanitarian emergencies, vulnerable migrants in irregular situations; nomadic populations; and hard-to-reach population groups such as those in rural and remote areas).</t>
  </si>
  <si>
    <t>Health workers engaged in immunization delivery (routine programme-specific and COVID-19)</t>
  </si>
  <si>
    <t>Remaining teachers and school staff.</t>
  </si>
  <si>
    <t xml:space="preserve">Other essential workers outside health and education sectors (examples: police officers, municipal services, child-care providers, agriculture and food workers, transportation workers, government workers essential to critical functioning of the state not covered by other categories). </t>
  </si>
  <si>
    <t>Social/employment groups at elevated risk of acquiring and transmitting infection because they are unable to effectively physically distance</t>
  </si>
  <si>
    <t>Percent of Difficult to Access Population</t>
  </si>
  <si>
    <t>Hard to access population which ... can come to the vaccination delivery site / 'basecamp'</t>
  </si>
  <si>
    <t>Consortium A: e.g. GAVI/WB</t>
  </si>
  <si>
    <t>Single-Donor A</t>
  </si>
  <si>
    <t>Countries can add additional cadres if needed for HRH supply - pool of potential vaccinators - NOTE THIS IS NOT health workers to be vaccinated</t>
  </si>
  <si>
    <t>Crude Birth Rate (CBR)</t>
  </si>
  <si>
    <t>SP.DYN.CBRT.IN (2018)</t>
  </si>
  <si>
    <t>per 1,000</t>
  </si>
  <si>
    <t>Source: SP.DYN.CBRT.IN | https://data.worldbank.org/indicator/SP.DYN.CBRT.IN</t>
  </si>
  <si>
    <t>code</t>
  </si>
  <si>
    <t>Assumes this sub-population is immobile</t>
  </si>
  <si>
    <t>Source: WHO Global Health Expenditure Database (GHED) Preliminary Data for 2018</t>
  </si>
  <si>
    <t>Fraction of a 5L safety box occupied to dispose of one dose worth of medical waste</t>
  </si>
  <si>
    <t>…</t>
  </si>
  <si>
    <t>Notice:</t>
  </si>
  <si>
    <t>Last Update (Vaccine database):</t>
  </si>
  <si>
    <t>These rows are auto-updated</t>
  </si>
  <si>
    <t>No user editable cells in the section. Informational only.</t>
  </si>
  <si>
    <t>End users may use thisand the next 9 rows to specify user-defined vaccines</t>
  </si>
  <si>
    <t>Electricity (per kWh)</t>
  </si>
  <si>
    <t>Assume that these can be re-sanitized / re-used. Quantities per duration of the whole program (3-years)</t>
  </si>
  <si>
    <t>Ground handling costs per shipment</t>
  </si>
  <si>
    <t>Sharps Disposal (5L)</t>
  </si>
  <si>
    <t>Vaccination Card</t>
  </si>
  <si>
    <t>Electronic Records</t>
  </si>
  <si>
    <t>7</t>
  </si>
  <si>
    <t>0</t>
  </si>
  <si>
    <t>1.05</t>
  </si>
  <si>
    <t>1</t>
  </si>
  <si>
    <t>0.05</t>
  </si>
  <si>
    <t>0.01</t>
  </si>
  <si>
    <t>5</t>
  </si>
  <si>
    <t>F</t>
  </si>
  <si>
    <t>10</t>
  </si>
  <si>
    <t>X</t>
  </si>
  <si>
    <t>2</t>
  </si>
  <si>
    <t>[DELIBERATELY BLANK ROW]</t>
  </si>
  <si>
    <t>Default Unit Prices (USD)</t>
  </si>
  <si>
    <t>Default Quantities</t>
  </si>
  <si>
    <t>Y</t>
  </si>
  <si>
    <t>A5</t>
  </si>
  <si>
    <t>R2. Resource Mapping - Domestic, Partner, and Consortium Mapping</t>
  </si>
  <si>
    <t>Ground handling costs</t>
  </si>
  <si>
    <t>&lt;-- Adopting a universal vaccination strategy rather than a high-risk only first strategy will save on n number of repeated visits to outreach sites</t>
  </si>
  <si>
    <t>Misc Parameters</t>
  </si>
  <si>
    <t>0.03</t>
  </si>
  <si>
    <t>Medical Doctors</t>
  </si>
  <si>
    <t>Nurses</t>
  </si>
  <si>
    <t>Midwives</t>
  </si>
  <si>
    <t>Pharmacists</t>
  </si>
  <si>
    <t>Source: WHO estimation of stock in 2020 based on latest reported health workforce stock in the National Health Workforce Accounts</t>
  </si>
  <si>
    <t>ISO3</t>
  </si>
  <si>
    <t>Redeployment factor</t>
  </si>
  <si>
    <t>Stock medical doctors</t>
  </si>
  <si>
    <t>Stock nursing personnel</t>
  </si>
  <si>
    <t>Stock midwifery personnel</t>
  </si>
  <si>
    <t>Stock pharmacists</t>
  </si>
  <si>
    <t>Graduates medical doctors</t>
  </si>
  <si>
    <t>Graduates nursing personnel</t>
  </si>
  <si>
    <t>Graduates midwifery personnel</t>
  </si>
  <si>
    <t>Graduates pharmacists</t>
  </si>
  <si>
    <t>Potential staff redeployment</t>
  </si>
  <si>
    <t>Percent of health workforce</t>
  </si>
  <si>
    <t>T1s. Vaccine-Related Supplies Unit Price Updater [HIDE]</t>
  </si>
  <si>
    <t>Subject to custom clearance?</t>
  </si>
  <si>
    <t>Total Value of Supplies Subject to Customs Clearance</t>
  </si>
  <si>
    <t>Customs clearance | Ad valorem</t>
  </si>
  <si>
    <t>Vaccinator Compensation</t>
  </si>
  <si>
    <t>Total Vaccine Related Supplies</t>
  </si>
  <si>
    <t>PPE</t>
  </si>
  <si>
    <t>Last-mile transport</t>
  </si>
  <si>
    <t>HRH expenses</t>
  </si>
  <si>
    <t>HRH wages (per diems)</t>
  </si>
  <si>
    <t>HRH wages (salaries for new, non-redeployed vaccinators)</t>
  </si>
  <si>
    <t>Redeployable Vaccinators</t>
  </si>
  <si>
    <t>Redeployable HRH</t>
  </si>
  <si>
    <t>Vaccinator FTEs</t>
  </si>
  <si>
    <t>Zero is allowed</t>
  </si>
  <si>
    <t>For vaccinators newly recruited rather than redeployed, this item allows the inclusion of their salary</t>
  </si>
  <si>
    <t>Upper Variant (Total)</t>
  </si>
  <si>
    <t>Lower Variant (Total</t>
  </si>
  <si>
    <t>Medium Variant (Total)</t>
  </si>
  <si>
    <t>Upfront payment per dose</t>
  </si>
  <si>
    <t>Total upfront payment</t>
  </si>
  <si>
    <t>Customs Clearance</t>
  </si>
  <si>
    <t>Customs clearance for vaccine-related supplies</t>
  </si>
  <si>
    <t>Local Data Management and Monitoring, Pharmacovigilance - Capex</t>
  </si>
  <si>
    <t>Local Data Management and Monitoring, Pharmacovigilance - Opex</t>
  </si>
  <si>
    <t>Local Training and Deployment</t>
  </si>
  <si>
    <t>Total Cost Allocated  / Mapped</t>
  </si>
  <si>
    <t>Financing Source</t>
  </si>
  <si>
    <t>Budgetary Unit / Financing Agent</t>
  </si>
  <si>
    <t>Ministry of Health</t>
  </si>
  <si>
    <t>Non-wage costs Per Unique Vaccinator (Local Training and Deployment)</t>
  </si>
  <si>
    <t>Manufacturing source country</t>
  </si>
  <si>
    <t>Weight of vaccines in secondary packaging (kg) per Shipment</t>
  </si>
  <si>
    <t>Factor (i.e. 1.25 = 25% extra)</t>
  </si>
  <si>
    <t>B4.1 Cold Chain</t>
  </si>
  <si>
    <t>Cold storage requirements</t>
  </si>
  <si>
    <t>Vaccines which can be stored in dry storage assumed as no storage cost</t>
  </si>
  <si>
    <t>WICR</t>
  </si>
  <si>
    <t>WIFR</t>
  </si>
  <si>
    <t>Methodological note: The largest shipment size (plus buffer) is taken as the capacity required</t>
  </si>
  <si>
    <t>Solar Direct Drive cold storage (versus on-grid electricity)</t>
  </si>
  <si>
    <t>One staff for every n residents.</t>
  </si>
  <si>
    <t>Derive the number of staff from this - will be vaccinated together with residents; Zero if not covering this group</t>
  </si>
  <si>
    <t>Volume of COVID-19 vaccines in secondary packaging (liters) per Shipment, incl. buffer</t>
  </si>
  <si>
    <t>Volume of existing routine vaccines required (liters)</t>
  </si>
  <si>
    <t>Liters</t>
  </si>
  <si>
    <t>If the volume of existing routine vaccines required is known, can be inputed here</t>
  </si>
  <si>
    <t>B4.1.2 Regional Cold Chain</t>
  </si>
  <si>
    <t>Shipments from central to regional per period</t>
  </si>
  <si>
    <t>Needs (Demand-sde estimates)</t>
  </si>
  <si>
    <t>Supply</t>
  </si>
  <si>
    <t>Capital and Operational Expenditures</t>
  </si>
  <si>
    <t>Ice pack freezers</t>
  </si>
  <si>
    <t>kWh per period</t>
  </si>
  <si>
    <t>Peak in Average Region</t>
  </si>
  <si>
    <t>Total (All Regions) Cold Storage - Capital Expenditures</t>
  </si>
  <si>
    <t>Total (All Regions) Cold Storage - Operational Expenditures</t>
  </si>
  <si>
    <t>Central Cold Storage - Operational Expenditures</t>
  </si>
  <si>
    <t>Assumptions: 100% on-grid; ice pack freezer needs user-defined</t>
  </si>
  <si>
    <t>Peak in Average District</t>
  </si>
  <si>
    <t>Shipments from regional to district / fixed site per period</t>
  </si>
  <si>
    <t>ILR</t>
  </si>
  <si>
    <t>On-grid</t>
  </si>
  <si>
    <t>Solar</t>
  </si>
  <si>
    <t>Type of equipment and source of energy</t>
  </si>
  <si>
    <t>Capacity segment (L)</t>
  </si>
  <si>
    <t>Equipment make</t>
  </si>
  <si>
    <t>Equipment model</t>
  </si>
  <si>
    <t>Vaccine capacity (L)</t>
  </si>
  <si>
    <t>Freezer gross volume (L)</t>
  </si>
  <si>
    <t>Holdover/
Autonomy (days)</t>
  </si>
  <si>
    <t>PQS indicative equipment unit price $US</t>
  </si>
  <si>
    <t>Service bundle  indicative cost $US (Lower limit with Ground Mounts for Solar panels)</t>
  </si>
  <si>
    <t>Service bundle indicative cost $US (Upper limit with ground mounted solar panels for SDD)</t>
  </si>
  <si>
    <t>Service bundle  indicative cost $US (Lower limit Pole mounts)</t>
  </si>
  <si>
    <t>Service bundle indicative cost $US (Upper limit with Pole Mounts )</t>
  </si>
  <si>
    <t>Total unit cost $US
(lower limit ILR+ Ground mount)</t>
  </si>
  <si>
    <t>Total unit cost $US 
(upper limit ILR+ Ground mount)</t>
  </si>
  <si>
    <t>_1. Walk-in cold rooms</t>
  </si>
  <si>
    <t>10 cbm</t>
  </si>
  <si>
    <t>Foster</t>
  </si>
  <si>
    <t>Foster 10 cbm (Mono cooling unit)</t>
  </si>
  <si>
    <t>-</t>
  </si>
  <si>
    <t>Haier</t>
  </si>
  <si>
    <t>Haier 10 cbm  (Mono cooling unit)</t>
  </si>
  <si>
    <t>Porkka</t>
  </si>
  <si>
    <t>Porkka 10 cbm  (Mono cooling unit)</t>
  </si>
  <si>
    <t>Viessmann</t>
  </si>
  <si>
    <t>Viessmann 10 cbm  (Mono cooling unit)</t>
  </si>
  <si>
    <t>Zhendre</t>
  </si>
  <si>
    <t>Zhendre 10 cbm  (Mono cooling unit)</t>
  </si>
  <si>
    <t>30 cbm</t>
  </si>
  <si>
    <t>Foster 30 cbm (Mono cooling unit)</t>
  </si>
  <si>
    <t>Haier 30 cbm (Mono cooling unit)</t>
  </si>
  <si>
    <t>Haier 30 cbm (Split cooling unit)</t>
  </si>
  <si>
    <t>Porkka 30 cbm (Mono cooling unit)</t>
  </si>
  <si>
    <t>Porkka 30 cbm (Split cooling unit)</t>
  </si>
  <si>
    <t>Viessmann 30 cbm (Mono cooling unit)</t>
  </si>
  <si>
    <t>Viessmann 30 cbm (Split cooling unit)</t>
  </si>
  <si>
    <t>Zhendre 30 cbm (Mono cooling unit)</t>
  </si>
  <si>
    <t>Zhendre 30 cbm (Split cooling unit)</t>
  </si>
  <si>
    <t>40 cbm</t>
  </si>
  <si>
    <t>Foster 40 cbm (Mono cooling unit)</t>
  </si>
  <si>
    <t>Haier 40 cbm  (Mono cooling unit)</t>
  </si>
  <si>
    <t>Haier 40 cbm (Split cooling unit)</t>
  </si>
  <si>
    <t>Porkka 40 cbm  (Mono cooling unit)</t>
  </si>
  <si>
    <t>Porkka 40 cbm (Split cooling unit)</t>
  </si>
  <si>
    <t>Viessmann 40 cbm  (Mono cooling unit)</t>
  </si>
  <si>
    <t>Viessmann 40 cbm (Split cooling unit)</t>
  </si>
  <si>
    <t>Zhendre 40 cbm  (Mono cooling unit)</t>
  </si>
  <si>
    <t>Zhendre 40 cbm (Split cooling unit)</t>
  </si>
  <si>
    <t>_2. Walk-in cold rooms with freezers</t>
  </si>
  <si>
    <t>Haier 40cbm (Mono cooling unit)</t>
  </si>
  <si>
    <t>Haier 40cbm (Split cooling unit)</t>
  </si>
  <si>
    <t>Porkka 40cbm (Mono cooling unit)</t>
  </si>
  <si>
    <t>Porkka 40cbm (Split cooling unit)</t>
  </si>
  <si>
    <t>Viessmann 40cbm (Mono cooling unit)</t>
  </si>
  <si>
    <t>Viessmann 40cbm (Split cooling unit)</t>
  </si>
  <si>
    <t>Zhendre 40cbm (Mono cooling unit)</t>
  </si>
  <si>
    <t>Zhendre 40cbm (Split cooling unit)</t>
  </si>
  <si>
    <t>_3. Short term lease for Walk-in cold rooms</t>
  </si>
  <si>
    <t>20 cbm</t>
  </si>
  <si>
    <t>_4. Leasing Walk-in cold room or freezer room</t>
  </si>
  <si>
    <t>10 cbm LT</t>
  </si>
  <si>
    <t>20 cbm LT</t>
  </si>
  <si>
    <t>30 cbm LT</t>
  </si>
  <si>
    <t>40 cbm LT</t>
  </si>
  <si>
    <t>_5. On grid ILR_without freezer comp.</t>
  </si>
  <si>
    <t>&lt;30L</t>
  </si>
  <si>
    <t>Zero</t>
  </si>
  <si>
    <t>ZLF 30 AC</t>
  </si>
  <si>
    <t xml:space="preserve">Godrej &amp; Boyce </t>
  </si>
  <si>
    <t>GVR 25 Lite</t>
  </si>
  <si>
    <t>30 - &lt;60L</t>
  </si>
  <si>
    <t>B Medical</t>
  </si>
  <si>
    <t>TCW 40R AC</t>
  </si>
  <si>
    <t>GVR 50 AC</t>
  </si>
  <si>
    <t>Aucma</t>
  </si>
  <si>
    <t>CFD-50</t>
  </si>
  <si>
    <t>GVR 51 Lite AC</t>
  </si>
  <si>
    <t>60 - &lt;90L</t>
  </si>
  <si>
    <t>Vestfrost</t>
  </si>
  <si>
    <t>VLS 204A</t>
  </si>
  <si>
    <t>HBC 80</t>
  </si>
  <si>
    <t>GVR 75 Lite AC</t>
  </si>
  <si>
    <t>ZLF 80 AC</t>
  </si>
  <si>
    <t>TCW 80 AC</t>
  </si>
  <si>
    <t>90 - &lt;120L</t>
  </si>
  <si>
    <t>VLS 304A AC</t>
  </si>
  <si>
    <t>GVR 99 Lite AC</t>
  </si>
  <si>
    <t>ZLF 100 AC</t>
  </si>
  <si>
    <t>GVR 100 AC</t>
  </si>
  <si>
    <t>HBC-120</t>
  </si>
  <si>
    <t>&gt;120L</t>
  </si>
  <si>
    <t>HBC 150</t>
  </si>
  <si>
    <t>VLS 354A AC</t>
  </si>
  <si>
    <t>ZLF 150 AC</t>
  </si>
  <si>
    <t>VLS 404A AC</t>
  </si>
  <si>
    <t>HBC-240</t>
  </si>
  <si>
    <t>Dulas Solar</t>
  </si>
  <si>
    <t>VC 225 ILR</t>
  </si>
  <si>
    <t>HBC 260</t>
  </si>
  <si>
    <t>GVR 225 AC</t>
  </si>
  <si>
    <t>TCW 4000 AC</t>
  </si>
  <si>
    <t>VLS 504A AC</t>
  </si>
  <si>
    <t>_6. On grid ILR_with freezer comp.</t>
  </si>
  <si>
    <t>HBCD - 90</t>
  </si>
  <si>
    <t>GVR 55 FF AC</t>
  </si>
  <si>
    <t>VLS 064 RF AC</t>
  </si>
  <si>
    <t>TCW 2000 AC</t>
  </si>
  <si>
    <t>_7. On grid freezers</t>
  </si>
  <si>
    <t>DW-25W147</t>
  </si>
  <si>
    <t>MF 114</t>
  </si>
  <si>
    <t>HBD 116</t>
  </si>
  <si>
    <t>MF 214</t>
  </si>
  <si>
    <t>TFW 3000 AC</t>
  </si>
  <si>
    <t>DW-25W300</t>
  </si>
  <si>
    <t>MF 314</t>
  </si>
  <si>
    <t>HBD 286</t>
  </si>
  <si>
    <t>_8. Off grid SDD refrigerators_without freezer comp.</t>
  </si>
  <si>
    <t>SunDanzer</t>
  </si>
  <si>
    <t>BFRV 15 SDD</t>
  </si>
  <si>
    <t>TCW 15R SDD</t>
  </si>
  <si>
    <t>Ultra 16 SDD</t>
  </si>
  <si>
    <t>HTC 40 SDD</t>
  </si>
  <si>
    <t>VC 30 SDD</t>
  </si>
  <si>
    <t>VLS 024 SDD</t>
  </si>
  <si>
    <t>ZLF 30DC SDD</t>
  </si>
  <si>
    <t>TCW 40R SDD</t>
  </si>
  <si>
    <t>GVR 50 DC</t>
  </si>
  <si>
    <t>CFD-50 SDD</t>
  </si>
  <si>
    <t>VC 50 SDD</t>
  </si>
  <si>
    <t>BFRV 55 SDD</t>
  </si>
  <si>
    <t>VLS 054A SDD</t>
  </si>
  <si>
    <t>HTC 110 SDD</t>
  </si>
  <si>
    <t>HTC-112</t>
  </si>
  <si>
    <t>VC 88 SDD</t>
  </si>
  <si>
    <t>TCW 3043 SDD</t>
  </si>
  <si>
    <t>VLS 094A SDD</t>
  </si>
  <si>
    <t>GVR 100 DC</t>
  </si>
  <si>
    <t>ZLF 100 DC</t>
  </si>
  <si>
    <t>HTC-120</t>
  </si>
  <si>
    <t>VC 110 SDD</t>
  </si>
  <si>
    <t>ZLF 150DC</t>
  </si>
  <si>
    <t>VC 200 SDD</t>
  </si>
  <si>
    <t>VLS 154A SDD</t>
  </si>
  <si>
    <t>HTC-240</t>
  </si>
  <si>
    <t>TCW 4000 SDD</t>
  </si>
  <si>
    <t>_9. Off grid SDD refrigerators_with freezer comp.</t>
  </si>
  <si>
    <t>TCW 15 SDD</t>
  </si>
  <si>
    <t>TCW 40 SDD</t>
  </si>
  <si>
    <t>VLS 026 RF SDD</t>
  </si>
  <si>
    <t>HTCD 90 SDD</t>
  </si>
  <si>
    <t>VLS 056 RF SDD</t>
  </si>
  <si>
    <t>VC 60 SDD</t>
  </si>
  <si>
    <t>GVR 55 FF DC</t>
  </si>
  <si>
    <t>TCW 2043 SDD</t>
  </si>
  <si>
    <t>HTCD 160 SDD</t>
  </si>
  <si>
    <t>VC 150 SDD</t>
  </si>
  <si>
    <t>_10. Off grid SDD freezer</t>
  </si>
  <si>
    <t>VFS 048 SDD</t>
  </si>
  <si>
    <t>HTD 40 SDD</t>
  </si>
  <si>
    <t>TFW 40 SDD</t>
  </si>
  <si>
    <t>_11. Temperature monitoring device_30DTR</t>
  </si>
  <si>
    <t>HETL-01</t>
  </si>
  <si>
    <t>LogTag</t>
  </si>
  <si>
    <t>VaxTag 30DTR</t>
  </si>
  <si>
    <t>Berlinger</t>
  </si>
  <si>
    <t>Fridge-Tag 2</t>
  </si>
  <si>
    <t>Fridge-Tag 2 E</t>
  </si>
  <si>
    <t>ELPRO-BUCHS AG</t>
  </si>
  <si>
    <t>LIBERO Ti1</t>
  </si>
  <si>
    <t>_12. Remote temperature monitoring devices_RTMDs</t>
  </si>
  <si>
    <t>Beyond Wireless</t>
  </si>
  <si>
    <t>ICE3 (WICR Model BC141) + 3 years data/portal access</t>
  </si>
  <si>
    <t>Blulog</t>
  </si>
  <si>
    <t>TDL2-5Y data logger (WICR Model)+ 3 years data/portal access</t>
  </si>
  <si>
    <t>Ikhaya</t>
  </si>
  <si>
    <t>VM 1000 (WICR Model)+ 3 years data/portal access</t>
  </si>
  <si>
    <t>ICE3 EXTRA - MODEL BC440 (2 WICR Model) + 3 years data/portal access</t>
  </si>
  <si>
    <t>TDL2-5Y data logger (2 WICR Model) + 3 years data/portal access</t>
  </si>
  <si>
    <t>VM 1000 (2 WICR Model)+ 3 years data/portal access</t>
  </si>
  <si>
    <t>ICE3 EXTRA - MODEL BC440 (3 WICR Model)+ 3 years data/portal access</t>
  </si>
  <si>
    <t>TDL2-5Y data logger (3 WICR Model)+ 3 years data/portal access</t>
  </si>
  <si>
    <t>VM 1000 (Refrigerator model)+ 3 years data/portal access</t>
  </si>
  <si>
    <t>TDL2-5Y data logger (Refrigerator Model)+ 3 years data/portal access</t>
  </si>
  <si>
    <t>Nexleaf</t>
  </si>
  <si>
    <t>ColdTrace 5 (Refrigerator model CT5)+ 3 years data/portal access</t>
  </si>
  <si>
    <t>Fridge-tag 3 GSM (Refrigerator model)+ 3 years data/portal access</t>
  </si>
  <si>
    <t>Haier U-Cool (Refrigerator model)+ 3 years data/portal access</t>
  </si>
  <si>
    <t>ICE3 (Refrigerator Model BC141)+ 3 years data/portal access</t>
  </si>
  <si>
    <t>_13. Standard vaccine carriers</t>
  </si>
  <si>
    <t>&lt;5L</t>
  </si>
  <si>
    <t>AOV</t>
  </si>
  <si>
    <t>ADVC24</t>
  </si>
  <si>
    <t>APEX</t>
  </si>
  <si>
    <t>AIDVC24</t>
  </si>
  <si>
    <t>Blow Kings</t>
  </si>
  <si>
    <t>VDC 24-CF</t>
  </si>
  <si>
    <t xml:space="preserve">Nilkamal </t>
  </si>
  <si>
    <t>BBVC23</t>
  </si>
  <si>
    <t>AIVC44 LR</t>
  </si>
  <si>
    <t>BK-VC 1.7-CF</t>
  </si>
  <si>
    <t>BCVC44-A</t>
  </si>
  <si>
    <t>B  Medical</t>
  </si>
  <si>
    <t>RCW1</t>
  </si>
  <si>
    <t>AVC46</t>
  </si>
  <si>
    <t>AIVC46</t>
  </si>
  <si>
    <t>BK-VC 2.6-CF</t>
  </si>
  <si>
    <t>BCVC46</t>
  </si>
  <si>
    <t>RCW4</t>
  </si>
  <si>
    <t>BK-VC 3.4-CF</t>
  </si>
  <si>
    <t>_14. Freeze free vaccine carriers</t>
  </si>
  <si>
    <t>AFVC 46</t>
  </si>
  <si>
    <t>Blowkings</t>
  </si>
  <si>
    <t>BK-VC-FF 1.6L</t>
  </si>
  <si>
    <t xml:space="preserve">Qingdao Leff </t>
  </si>
  <si>
    <t>FFVC-1.7L</t>
  </si>
  <si>
    <t>_15. Standard cold box</t>
  </si>
  <si>
    <t>5-15 L</t>
  </si>
  <si>
    <t>AICB243S</t>
  </si>
  <si>
    <t>CB-55-CF</t>
  </si>
  <si>
    <t>RCB324SS</t>
  </si>
  <si>
    <t>RCW8</t>
  </si>
  <si>
    <t>ACB264SL</t>
  </si>
  <si>
    <t>AICB156L</t>
  </si>
  <si>
    <t>CB-12-CF</t>
  </si>
  <si>
    <t>RCB264SL</t>
  </si>
  <si>
    <t>RCW12</t>
  </si>
  <si>
    <t>&gt;15L</t>
  </si>
  <si>
    <t>AICB444L</t>
  </si>
  <si>
    <t>RCB246LS</t>
  </si>
  <si>
    <t>ACB503L</t>
  </si>
  <si>
    <t>AICB503L</t>
  </si>
  <si>
    <t>CB-20-CF</t>
  </si>
  <si>
    <t>RCB444L-A</t>
  </si>
  <si>
    <t>RCW25</t>
  </si>
  <si>
    <t>_16. Freeze free cold boxes</t>
  </si>
  <si>
    <t>FFCB-15L</t>
  </si>
  <si>
    <t xml:space="preserve">_17. Voltage regulators for equipment </t>
  </si>
  <si>
    <t>Sollatek</t>
  </si>
  <si>
    <t>SVS04-22E, 4A 1kVA 100-290V</t>
  </si>
  <si>
    <t>SVS04-22 4A 1KVA 230V</t>
  </si>
  <si>
    <t>HVS-1000</t>
  </si>
  <si>
    <t>Sagar</t>
  </si>
  <si>
    <t>SVS-5K-1P-ER</t>
  </si>
  <si>
    <t>SVS-10K-1P-ER</t>
  </si>
  <si>
    <t>SVS45E 45A 10kVA 120-288V</t>
  </si>
  <si>
    <t>SVS-10K-TP</t>
  </si>
  <si>
    <t>AVR3LE020, 20Amps/phase</t>
  </si>
  <si>
    <t>SVS-15K-TP</t>
  </si>
  <si>
    <t>SVS-20K-TP</t>
  </si>
  <si>
    <t>AVR3LE030, 30Amps/phase</t>
  </si>
  <si>
    <t>SVS-30K-TP</t>
  </si>
  <si>
    <t>AVR3LE050, 50Amps/phase</t>
  </si>
  <si>
    <t>_18. Ice packs</t>
  </si>
  <si>
    <t>0.3L</t>
  </si>
  <si>
    <t>AIP3</t>
  </si>
  <si>
    <t>AIIP03</t>
  </si>
  <si>
    <t>BK V4H</t>
  </si>
  <si>
    <t>BIP-3</t>
  </si>
  <si>
    <t>Icepack 0.3L - set of 24</t>
  </si>
  <si>
    <t>0.4L</t>
  </si>
  <si>
    <t>AIP4</t>
  </si>
  <si>
    <t>AIIP04</t>
  </si>
  <si>
    <t>BK 4</t>
  </si>
  <si>
    <t>BIP-4</t>
  </si>
  <si>
    <t>0.6L</t>
  </si>
  <si>
    <t>AIP6</t>
  </si>
  <si>
    <t>AIIP06</t>
  </si>
  <si>
    <t>BK 6</t>
  </si>
  <si>
    <t>BIP-6</t>
  </si>
  <si>
    <t>Icepack 0.6L - set of 24</t>
  </si>
  <si>
    <t>_19. Spare parts for new ILR equipment without freezer</t>
  </si>
  <si>
    <t>ZLF 30 AC-spare parts</t>
  </si>
  <si>
    <t>GVR 25 Lite-spare parts</t>
  </si>
  <si>
    <t>TCW 40R AC-spare parts</t>
  </si>
  <si>
    <t>GVR 50 AC-spare parts</t>
  </si>
  <si>
    <t>CFD-50-spare parts</t>
  </si>
  <si>
    <t>GVR 51 Lite AC-spare parts</t>
  </si>
  <si>
    <t>VLS 204A-spare parts</t>
  </si>
  <si>
    <t>HBC 80-spare parts</t>
  </si>
  <si>
    <t>GVR 75 Lite AC-spare parts</t>
  </si>
  <si>
    <t>ZLF 80 AC-spare parts</t>
  </si>
  <si>
    <t>TCW 80 AC-spare parts</t>
  </si>
  <si>
    <t>VLS 304A AC-spare parts</t>
  </si>
  <si>
    <t>GVR 99 Lite AC-spare parts</t>
  </si>
  <si>
    <t>ZLF 100 AC-spare parts</t>
  </si>
  <si>
    <t>GVR 100 AC-spare parts</t>
  </si>
  <si>
    <t>HBC-120-spare parts</t>
  </si>
  <si>
    <t>HBC 150-spare parts</t>
  </si>
  <si>
    <t>ZLF 150 AC-spare parts</t>
  </si>
  <si>
    <t>VLS 404A AC-spare parts</t>
  </si>
  <si>
    <t>HBC-240-spare parts</t>
  </si>
  <si>
    <t>VC 225 ILR-spare parts</t>
  </si>
  <si>
    <t>HBC 260-spare parts</t>
  </si>
  <si>
    <t>GVR 225 AC-spare parts</t>
  </si>
  <si>
    <t>TCW 4000 AC-spare parts</t>
  </si>
  <si>
    <t>VLS 504A AC-spare parts</t>
  </si>
  <si>
    <t>_20. Spare parts for new ILR equipment with freezer</t>
  </si>
  <si>
    <t>HBCD - 90-spare parts</t>
  </si>
  <si>
    <t>GVR 55 FF AC-spare parts</t>
  </si>
  <si>
    <t>VLS 064 RF AC-spare parts</t>
  </si>
  <si>
    <t>TCW 2000 AC-spare parts</t>
  </si>
  <si>
    <t>_21. Spare parts for new freezer equipment</t>
  </si>
  <si>
    <t>DW-25W147-spare parts</t>
  </si>
  <si>
    <t>MF 114-spare parts</t>
  </si>
  <si>
    <t>HBD 116-spare parts</t>
  </si>
  <si>
    <t>MF 214-spare parts</t>
  </si>
  <si>
    <t>TFW 3000 AC-spare parts</t>
  </si>
  <si>
    <t>DW-25W300-spare parts</t>
  </si>
  <si>
    <t>MF 314-spare parts</t>
  </si>
  <si>
    <t>HBD 286-spare parts</t>
  </si>
  <si>
    <t>_22. Spare parts for new SDD without freezer comp.</t>
  </si>
  <si>
    <t>BFRV 15 SDD-spare parts</t>
  </si>
  <si>
    <t>TCW 15R SDD-spare parts</t>
  </si>
  <si>
    <t>Ultra 16 SDD-spare parts</t>
  </si>
  <si>
    <t>HTC 40 SDD-spare parts</t>
  </si>
  <si>
    <t>VC 30 SDD-spare parts</t>
  </si>
  <si>
    <t>VLS 024 SDD-spare parts</t>
  </si>
  <si>
    <t>ZLF 30DC SDD-spare parts</t>
  </si>
  <si>
    <t>TCW 40R SDD-spare parts</t>
  </si>
  <si>
    <t>GVR 50 DC-spare parts</t>
  </si>
  <si>
    <t>CFD-50 SDD-spare parts</t>
  </si>
  <si>
    <t>VC 50 SDD-spare parts</t>
  </si>
  <si>
    <t>BFRV 55 SDD-spare parts</t>
  </si>
  <si>
    <t>VLS 054A SDD-spare parts</t>
  </si>
  <si>
    <t>HTC 110 SDD-spare parts</t>
  </si>
  <si>
    <t>HTC-112-spare parts</t>
  </si>
  <si>
    <t>VC 88 SDD-spare parts</t>
  </si>
  <si>
    <t>TCW 3043 SDD-spare parts</t>
  </si>
  <si>
    <t>VLS 094A SDD-spare parts</t>
  </si>
  <si>
    <t>GVR 100 DC-spare parts</t>
  </si>
  <si>
    <t>ZLF 100 DC-spare parts</t>
  </si>
  <si>
    <t>HTC-120-spare parts</t>
  </si>
  <si>
    <t>VC 110 SDD-spare parts</t>
  </si>
  <si>
    <t>ZLF 150DC-spare parts</t>
  </si>
  <si>
    <t>VC 200 SDD-spare parts</t>
  </si>
  <si>
    <t>VLS 154A SDD-spare parts</t>
  </si>
  <si>
    <t>HTC-240-spare parts</t>
  </si>
  <si>
    <t>TCW 4000 SDD-spare parts</t>
  </si>
  <si>
    <t>_23. Spare parts for new SDD with freezer comp.</t>
  </si>
  <si>
    <t>TCW 15 SDD-spare parts</t>
  </si>
  <si>
    <t>TCW 40 SDD-spare parts</t>
  </si>
  <si>
    <t>VLS 026 RF SDD-spare parts</t>
  </si>
  <si>
    <t>HTCD 90 SDD-spare parts</t>
  </si>
  <si>
    <t>VLS 056 RF SDD-spare parts</t>
  </si>
  <si>
    <t>VC 60 SDD-spare parts</t>
  </si>
  <si>
    <t>GVR 55 FF DC-spare parts</t>
  </si>
  <si>
    <t>TCW 2043 SDD-spare parts</t>
  </si>
  <si>
    <t>HTCD 160 SDD-spare parts</t>
  </si>
  <si>
    <t>VC 150 SDD-spare parts</t>
  </si>
  <si>
    <t>_24. Spare parts for new SDD freezer</t>
  </si>
  <si>
    <t>VFS 048 SDD-spare parts</t>
  </si>
  <si>
    <t>HTD 40 SDD-spare parts</t>
  </si>
  <si>
    <t>TFW 40 SDD-spare parts</t>
  </si>
  <si>
    <t>Refridgerator capacity per unit</t>
  </si>
  <si>
    <t>Freezer capacity per unit</t>
  </si>
  <si>
    <t>Category</t>
  </si>
  <si>
    <t>ILFR</t>
  </si>
  <si>
    <t>SDD_FR</t>
  </si>
  <si>
    <t>SDD_F</t>
  </si>
  <si>
    <t>SDD_R</t>
  </si>
  <si>
    <t>30DTR</t>
  </si>
  <si>
    <t>RTMDs</t>
  </si>
  <si>
    <t>Service bundle  indicative cost $US (Lower limit)</t>
  </si>
  <si>
    <t>Service bundle indicative cost $US (Upper limit)</t>
  </si>
  <si>
    <t>Total unit cost $US (lower limit)</t>
  </si>
  <si>
    <t>Total unit cost $US (upper limit)</t>
  </si>
  <si>
    <t>kWh per day</t>
  </si>
  <si>
    <t>Model</t>
  </si>
  <si>
    <t>Upper Price</t>
  </si>
  <si>
    <t>Lower Price</t>
  </si>
  <si>
    <t>Upper or lower price</t>
  </si>
  <si>
    <t>Remote Temperature Monitoring Devices</t>
  </si>
  <si>
    <t>Cold storage units required</t>
  </si>
  <si>
    <t>Source: GAVI [Covax-CCE-Budget-Template.xlsx], WHO PQS Catalogue [ http://apps.who.int/immunization_standards/vaccine_quality/pqs_catalogue/ ]</t>
  </si>
  <si>
    <t>Procurement Service Fees</t>
  </si>
  <si>
    <t>No model choice</t>
  </si>
  <si>
    <t>Source: Cold chain costing assumptions 10 Nov 2020</t>
  </si>
  <si>
    <t>Current Health Expenditure (current US$)</t>
  </si>
  <si>
    <t>General Government Health Expenditure (current US$)</t>
  </si>
  <si>
    <t>Domestic General Government Health Expenditure (current US$)</t>
  </si>
  <si>
    <t>External Health Expenditure (current US$)</t>
  </si>
  <si>
    <t>Health Capital Expenditure (current US$)</t>
  </si>
  <si>
    <t>B4.1.3 District Cold Chain</t>
  </si>
  <si>
    <t>Volume of COVID-19 vaccines in secondary packaging (liters) per Shipment, incl. buffer [PER REGION}</t>
  </si>
  <si>
    <t>Volume of existing routine vaccines required (liters) [PER REGION]</t>
  </si>
  <si>
    <t>Cold storage units required [PER REGION]</t>
  </si>
  <si>
    <t>Capital and Operational Expenditures [ALL REGIONS]</t>
  </si>
  <si>
    <t>Assumptions: User-defined proportion of districts on-grid vs solar. On-grid districts with user defined number of ice pack freezers</t>
  </si>
  <si>
    <t>#of ice pack freezers per district</t>
  </si>
  <si>
    <t>#of ice pack freezers per region</t>
  </si>
  <si>
    <t>Districts requiring SDD - off-grid</t>
  </si>
  <si>
    <t>Districts - on-grid</t>
  </si>
  <si>
    <t>On-Grid</t>
  </si>
  <si>
    <t>Total (All Districts) Cold Storage - Capital Expenditures</t>
  </si>
  <si>
    <t>Total (All Districts) Cold Storage - Operational Expenditures</t>
  </si>
  <si>
    <t>#of ice pack freezers per fixed site</t>
  </si>
  <si>
    <t>Fixed sites requiring SDD - off-grid</t>
  </si>
  <si>
    <t>B4.1.4 Fixed Sites with Cold Chain</t>
  </si>
  <si>
    <t>Total (All Fixed Sites) Cold Storage - Capital Expenditures</t>
  </si>
  <si>
    <t>Total (All Fixed Sites) Cold Storage - Operational Expenditures</t>
  </si>
  <si>
    <t>Peak in Average Fixed Site</t>
  </si>
  <si>
    <t>Only in on-grid fixed sites</t>
  </si>
  <si>
    <t>kWh per period per unit</t>
  </si>
  <si>
    <t>Fixed Sites - on-grid</t>
  </si>
  <si>
    <t>Volume of COVID-19 vaccines in secondary packaging (liters) per Shipment, incl. buffer [PER DISTRICT]</t>
  </si>
  <si>
    <t>Volume of existing routine vaccines required (liters) [PER DISTRICT]</t>
  </si>
  <si>
    <t>Volume of COVID-19 vaccines in secondary packaging (liters) per Shipment, incl. buffer [PER FIXED SITE]</t>
  </si>
  <si>
    <t>Volume of existing routine vaccines required (liters) [PER FIXED SITE]</t>
  </si>
  <si>
    <t>Vaccination deliveries from central to regional per period</t>
  </si>
  <si>
    <t>Vaccination deliveries from regional to district + health facilities per period</t>
  </si>
  <si>
    <t>This is for cold storage at fixed sites and districts..Central and regional cold storage assummed to be on-grid</t>
  </si>
  <si>
    <t>Professionals</t>
  </si>
  <si>
    <t>Technicians</t>
  </si>
  <si>
    <t>Cleaner</t>
  </si>
  <si>
    <t>Clerk/Secretary</t>
  </si>
  <si>
    <t>Patient Support</t>
  </si>
  <si>
    <t>Medical Assistant</t>
  </si>
  <si>
    <t>B5.2.1. Aggregates for resource mapping</t>
  </si>
  <si>
    <t>For the procurement agent</t>
  </si>
  <si>
    <t>Peak in Central Store</t>
  </si>
  <si>
    <t>B4.1.5 Summary of new CCE required</t>
  </si>
  <si>
    <t>Central</t>
  </si>
  <si>
    <t>New Units Required</t>
  </si>
  <si>
    <t>ILFR or Freezer</t>
  </si>
  <si>
    <t>Ice pack freezers @ Regions and Districts</t>
  </si>
  <si>
    <t>Regions</t>
  </si>
  <si>
    <t>Districts - Solar</t>
  </si>
  <si>
    <t>SDD Refridgerator</t>
  </si>
  <si>
    <t>SDD Freezer or Refridgerator-Freezer</t>
  </si>
  <si>
    <t>Remote Temperature Monitoring Devices @ Districts and Fixed Sites</t>
  </si>
  <si>
    <t>Districts - On-grid</t>
  </si>
  <si>
    <t>Fixed sites - Solar</t>
  </si>
  <si>
    <t>Fixed Sites - On-grid</t>
  </si>
  <si>
    <t>Total Capital Expenditures for Cold Chain</t>
  </si>
  <si>
    <t>WHO PQS CCEs - NO ENDORSEMENT OF ANY PRODUCT - USER TO CHOOSE PRODUCT AS DESIRED</t>
  </si>
  <si>
    <t>For all the CCE equipment needed for COVID-19 vaccination, not just the newly purchased</t>
  </si>
  <si>
    <t>Total Required in All Regions</t>
  </si>
  <si>
    <t>MINUS</t>
  </si>
  <si>
    <t>EQUALS</t>
  </si>
  <si>
    <t>Remainder Required in All Regions</t>
  </si>
  <si>
    <t>Total Pre-existing in All Regions (FILL HERE)</t>
  </si>
  <si>
    <t>Total Pre-existing in Central Store (FILL HERE)</t>
  </si>
  <si>
    <t>Remainder Required in Central Store</t>
  </si>
  <si>
    <t>NOTE: This part affects the capital expenditure calculationes NOT operational expenditures</t>
  </si>
  <si>
    <t>Fill here if known</t>
  </si>
  <si>
    <t>Total Required in All Districts</t>
  </si>
  <si>
    <t>Total Pre-existing in All Districts (FILL HERE)</t>
  </si>
  <si>
    <t>Remainder Required in All Districts</t>
  </si>
  <si>
    <t>Others</t>
  </si>
  <si>
    <t>Total cooling units</t>
  </si>
  <si>
    <t>Total Pre-existing in All Fixed Sites (FILL HERE)</t>
  </si>
  <si>
    <t>Total Required in All Fixed Sites</t>
  </si>
  <si>
    <t>Remainder Required in All Fixed Sites</t>
  </si>
  <si>
    <t>Value (for customs clearance)</t>
  </si>
  <si>
    <t>International shipment</t>
  </si>
  <si>
    <t>Applies the same ad valorem for vaccine supplies over the value of the CCE; Indicative only</t>
  </si>
  <si>
    <t>Indicative only</t>
  </si>
  <si>
    <t>International shipment per unit</t>
  </si>
  <si>
    <t>Procurement Agent Fees</t>
  </si>
  <si>
    <t>Cold boxes needed</t>
  </si>
  <si>
    <t>Vaccine carriers needed</t>
  </si>
  <si>
    <t>Cold boxes</t>
  </si>
  <si>
    <t>Vaccine carriers</t>
  </si>
  <si>
    <t>If multiple modes of transport - use a weighted average</t>
  </si>
  <si>
    <t>Cold chain supplies</t>
  </si>
  <si>
    <t>Large, long range, cold box (20L)</t>
  </si>
  <si>
    <t>Vaccine carrier (1.5L)</t>
  </si>
  <si>
    <t>Icepacks</t>
  </si>
  <si>
    <t>Local Logistics</t>
  </si>
  <si>
    <t>Central Cold Storage - Capital Expenditures</t>
  </si>
  <si>
    <t>Consortium C</t>
  </si>
  <si>
    <t>Donor C</t>
  </si>
  <si>
    <t>Donor D</t>
  </si>
  <si>
    <t>Domestic Total (USD)</t>
  </si>
  <si>
    <t>External Total (USD)</t>
  </si>
  <si>
    <t>Financing through MOH (USD)</t>
  </si>
  <si>
    <t>83.19</t>
  </si>
  <si>
    <t>49</t>
  </si>
  <si>
    <t>0.49</t>
  </si>
  <si>
    <t>0-30L</t>
  </si>
  <si>
    <t>30-60L</t>
  </si>
  <si>
    <t>60-90L</t>
  </si>
  <si>
    <t>90-120L</t>
  </si>
  <si>
    <t>120L+</t>
  </si>
  <si>
    <t>Capacity Segment - rename</t>
  </si>
  <si>
    <t>40 cbm - Zhendre 40 cbm  (Mono cooling unit)</t>
  </si>
  <si>
    <t>40 cbm - Porkka 40cbm (Mono cooling unit)</t>
  </si>
  <si>
    <t>120L+ - HBC 260</t>
  </si>
  <si>
    <t>90-120L - DW-25W147</t>
  </si>
  <si>
    <t>120L+ - HTC-240 (Ground Mount)</t>
  </si>
  <si>
    <t>60-90L - TFW 40 SDD (Ground Mount)</t>
  </si>
  <si>
    <t>30-60L - HTC 110 SDD (Ground Mount)</t>
  </si>
  <si>
    <t>30-60L - GVR 51 Lite AC</t>
  </si>
  <si>
    <t>30-60L - GVR 55 FF AC</t>
  </si>
  <si>
    <t>Volume of COVID-19 vaccines in secondary packaging (liters) per Period, incl. buffer</t>
  </si>
  <si>
    <t>Fixed Sites</t>
  </si>
  <si>
    <t>i.e., where does the outreach team leave from?</t>
  </si>
  <si>
    <t>By definition</t>
  </si>
  <si>
    <t>For each delivery modality, just prior to use in on-site or by outreach, where are vaccines stored?</t>
  </si>
  <si>
    <t>Outreach</t>
  </si>
  <si>
    <t>Residential Institutions</t>
  </si>
  <si>
    <t>Campaigns</t>
  </si>
  <si>
    <t>Methodological note: All vaccines flow through the regions. All vaccines going to fixed sites flow through districts.</t>
  </si>
  <si>
    <t>Cold chain transportation from central to regional</t>
  </si>
  <si>
    <t>a. Cold-chain logistics and domestic transport, PER TRIP</t>
  </si>
  <si>
    <t>Surface Area (sqkm) covered by each region on average</t>
  </si>
  <si>
    <t>Half of the radius, assumption for regional to district travel (km))</t>
  </si>
  <si>
    <t>Domestic travel for personnel</t>
  </si>
  <si>
    <t>Logistics Assumptions and Pre-calculations</t>
  </si>
  <si>
    <t>Advanced Users: This largest city distance assumption can be modified</t>
  </si>
  <si>
    <t>Advanced Users: This distance assumption can be modified</t>
  </si>
  <si>
    <t>Security per Fixed Site per Day</t>
  </si>
  <si>
    <t>Central store security factor (cost relative to security at fixed sites)</t>
  </si>
  <si>
    <t>factor</t>
  </si>
  <si>
    <t>Security during transport</t>
  </si>
  <si>
    <t>Cells below will be darkened if security cost settings are disabled</t>
  </si>
  <si>
    <t>Security at central store</t>
  </si>
  <si>
    <t>Security during vaccine transport from central to regional</t>
  </si>
  <si>
    <t>B4. Domestic Logistics - Cold Chain and Security</t>
  </si>
  <si>
    <t>Customs clearance for vaccine doses per period</t>
  </si>
  <si>
    <t>This is used in Sheet R2 for health financing benchmarking</t>
  </si>
  <si>
    <t>Health Financing Context (Informational Only)</t>
  </si>
  <si>
    <t>INPUTS</t>
  </si>
  <si>
    <t>Percent of Total HRH Supply</t>
  </si>
  <si>
    <t>hours</t>
  </si>
  <si>
    <t>Consider space needed for cold boxes and dry storage</t>
  </si>
  <si>
    <t>SAGE Population Description</t>
  </si>
  <si>
    <t>Age groups at high risk of transmitting infection</t>
  </si>
  <si>
    <t>Note: If BOTH absolute number AND percent are completed, percent will be used</t>
  </si>
  <si>
    <t>How many (absolute number or percent of older persons) live in residential institutions?</t>
  </si>
  <si>
    <t>Older adults defined by age-based risk specific to country/region; specific age cut-off to be decided at the country level</t>
  </si>
  <si>
    <t>Select age cut-off</t>
  </si>
  <si>
    <t>How many residential Institutions for older adults are there in the country?</t>
  </si>
  <si>
    <t>One social care staff looks after how many residents?</t>
  </si>
  <si>
    <t>NOTE: This population will be vaccinated at fixed sites with cold storage (Delivery Modality 1)</t>
  </si>
  <si>
    <t>NOTE: This population will be vaccinated at fixed sites with cold storage (Delivery Modality 1) and during campaigns (Delivery Modality 2)</t>
  </si>
  <si>
    <t>NOTE: Depending on location, older adults will be vaccinated at fixed sites with cold storage (Delivery Modality 1), during campaigns (Delivery Modality 2), at residential institutions (Delivery Modality 3), or by outreach (Delivery Modality 4)</t>
  </si>
  <si>
    <t>Household Size - FYI only</t>
  </si>
  <si>
    <t>Note: Please do not double count other high risk groups here</t>
  </si>
  <si>
    <t>Informational demographic and epiemiological data to assist with completing this section</t>
  </si>
  <si>
    <t>What percent of the "Essential workers and related groups" live or work near fixed sites with cold storage?</t>
  </si>
  <si>
    <t>One staff looks after how many residents?</t>
  </si>
  <si>
    <t>One time period, in days, is</t>
  </si>
  <si>
    <t>HEALTH WORKERS</t>
  </si>
  <si>
    <t>ESSENTIAL WORKERS AND RELATED GROUPS</t>
  </si>
  <si>
    <t>Older Adults</t>
  </si>
  <si>
    <t>Children and Younger Adults</t>
  </si>
  <si>
    <t>Easier-to-Access - ALL AGES</t>
  </si>
  <si>
    <t>… of which, Older Adults</t>
  </si>
  <si>
    <t>SAGE Target Populations</t>
  </si>
  <si>
    <t>OLDER ADULTS</t>
  </si>
  <si>
    <t>OLDER ADULTS in the community</t>
  </si>
  <si>
    <t>OLDER ADULTS in RESIDENTIAL INSTITUTIONS</t>
  </si>
  <si>
    <t>AND, SOCIAL CARE WORKERS in RESIDENTIAL INSTITUTIONS</t>
  </si>
  <si>
    <t>Sociodemographic groups at significantly higher risk of severe disease or death</t>
  </si>
  <si>
    <t>.. of which, living in RESIDENTIAL INSTITUTIONS</t>
  </si>
  <si>
    <t>AND, STAFF in RESIDENTIAL INSTITUTIONS</t>
  </si>
  <si>
    <t>How many such residential facilities / camps (not for older adults) are there in the country?</t>
  </si>
  <si>
    <t>A2.2 Identification of Target Populations for Stages I - III</t>
  </si>
  <si>
    <t>Births per 1,000 Population per Year. Zero is allowed</t>
  </si>
  <si>
    <t>Logic checks for target population specifications - no data entry required</t>
  </si>
  <si>
    <t>http://www.healthdata.org/gbd/2019</t>
  </si>
  <si>
    <t>https://www.who.int/data/gho</t>
  </si>
  <si>
    <t>Percent of the Target Group</t>
  </si>
  <si>
    <t>… of which, Underlying health conditions among non-older adults</t>
  </si>
  <si>
    <t>… of which, Pregnant women</t>
  </si>
  <si>
    <t>… of which, remainder (Young Adults and Children)</t>
  </si>
  <si>
    <t>… of which , easy-to-access</t>
  </si>
  <si>
    <t>AND, their households members</t>
  </si>
  <si>
    <t>Easy-to-access Pregnant women</t>
  </si>
  <si>
    <t>Sub-Population Calculations (not MECE)</t>
  </si>
  <si>
    <t>For the purposes of costing this diverse population group it is divided into 4 sub-categories, based on delivery modality:</t>
  </si>
  <si>
    <t>Remainder with no high-priority qualifying conditions</t>
  </si>
  <si>
    <t>Infer</t>
  </si>
  <si>
    <t>Max 80%</t>
  </si>
  <si>
    <t>Total to be targeted during the period</t>
  </si>
  <si>
    <t>Work DM1</t>
  </si>
  <si>
    <t>Easier-to-Access Underlying health conditions (not pregnant women)</t>
  </si>
  <si>
    <t>Sub-Population Groups</t>
  </si>
  <si>
    <t>Note: Covax supply allocations do not calculate in vaccine wastages</t>
  </si>
  <si>
    <t>Max 20%</t>
  </si>
  <si>
    <t>Max 50%</t>
  </si>
  <si>
    <t>Distribution and Service Points</t>
  </si>
  <si>
    <t>Campaign sites (Fixed sites without cold-storage)</t>
  </si>
  <si>
    <t>Number of sub-national level 1 admin. divisions (e.g. province/region/state) - cold-storage distribution points</t>
  </si>
  <si>
    <t>Number of sub-national level 2 admin. divisions (e.g. district) - cold storage distribution points</t>
  </si>
  <si>
    <t>Geographic Context (Informational Only)</t>
  </si>
  <si>
    <t>What percent of the hard-to-reach population vaccinated by outreach:</t>
  </si>
  <si>
    <t>Hard-to-Reach - ALL AGES</t>
  </si>
  <si>
    <t>Hard-to-Reach OLDER ADULTS</t>
  </si>
  <si>
    <t>Special populations who are Hard-to-Reach</t>
  </si>
  <si>
    <t>"Hard-to-Reach" but no other priority criteria</t>
  </si>
  <si>
    <t>Hard-to-Reach Underlying health conditions (not pregnant women)</t>
  </si>
  <si>
    <t>Hard-to-Reach Pregnant Women</t>
  </si>
  <si>
    <t>Customs?</t>
  </si>
  <si>
    <t>Are these supplies subject to customs clearance?</t>
  </si>
  <si>
    <t>Please see Sheet A3.2 to change these</t>
  </si>
  <si>
    <t>Please see Sheet A3.5 to change these</t>
  </si>
  <si>
    <t>Security costs will be activated by default. Can be overriden in Sheet A3.</t>
  </si>
  <si>
    <t>A2.3 Delivery Parameters</t>
  </si>
  <si>
    <t>A2.4 Vaccine Selection, Wastage, and Expected Uptake</t>
  </si>
  <si>
    <t>A2.5 Results-based Financing (RBF)</t>
  </si>
  <si>
    <t>… percent which originate from district-level stores</t>
  </si>
  <si>
    <t>… percent which originate from fixed sites</t>
  </si>
  <si>
    <t>For vaccination by outreach:</t>
  </si>
  <si>
    <t>This is for estimation of cold storage capacity needs at the various levels</t>
  </si>
  <si>
    <t>For vaccinations during campaigns and at residential institutions:</t>
  </si>
  <si>
    <t>Note: Prioritization / sequencing is specified in B1.2</t>
  </si>
  <si>
    <t>Additional household members to cover per older adult / person with underlying health conditions</t>
  </si>
  <si>
    <t>Additional population check #1: ERROR if target population exceeds total population</t>
  </si>
  <si>
    <t>Derive the number of social care workers from this - will be vaccinated together with residents; Enter zero if not covering this group.</t>
  </si>
  <si>
    <t>How many additional household members to vaccinate for each priority individual with underlying health conditions or above HR age threshold. Enter zero if not covering household members.</t>
  </si>
  <si>
    <t>Consider time needed for training, supervision, and breaks</t>
  </si>
  <si>
    <t>"Regions" in this model: (i) regional cold storage distribution points; (ii) potential origins for outreach and campaigns</t>
  </si>
  <si>
    <t>"Districts" in this model: (i) district-level cold storage distribution points, (ii) potential origins for outreach and campaigns</t>
  </si>
  <si>
    <t>Reserve capacity needed at all levels of cold storage</t>
  </si>
  <si>
    <t>Expected vaccine acceptance by delivery modality and target group (work-based eligibility criteria vs voluntary)</t>
  </si>
  <si>
    <t>Categories below this should be mutually exclusive, commonly exhaustive</t>
  </si>
  <si>
    <t>Note that the total populaton will be represented in each time period (half year)</t>
  </si>
  <si>
    <t>All types of services points</t>
  </si>
  <si>
    <t>Per Vaccinated Person Per Dose</t>
  </si>
  <si>
    <t>Leave blank to use default prices. e.g., E004/036 | https://supply.unicef.org/s0002363.html</t>
  </si>
  <si>
    <t>Leave blank to use default prices. e.g. PQS E004/050 | https://supply.unicef.org/s0002475.html</t>
  </si>
  <si>
    <t>Leave blank to use default prices. e.g., https://supply.unicef.org/s0002221.html</t>
  </si>
  <si>
    <t>Will be counted as capital expenditures</t>
  </si>
  <si>
    <t>Will be counted as operational expenditures</t>
  </si>
  <si>
    <t>Auto-updated default Supply Division Prices (USD)</t>
  </si>
  <si>
    <t>National Coordination Committee, National Technical Working Group (NTWG)</t>
  </si>
  <si>
    <t>6 sub-committees described</t>
  </si>
  <si>
    <t>A8</t>
  </si>
  <si>
    <t>A4, A7</t>
  </si>
  <si>
    <t>TA: National Deployment and Vaccination Plan (NDVP)</t>
  </si>
  <si>
    <t>TA: Vaccine procurement approach, incl. costs, due diligence, procurement, monitoring</t>
  </si>
  <si>
    <t>B1, B2</t>
  </si>
  <si>
    <t>TA: Expedited regulatory pathways, documentation, importation and lot release processes</t>
  </si>
  <si>
    <t>C1-C5</t>
  </si>
  <si>
    <t>D1, D2</t>
  </si>
  <si>
    <t>TA: Micro-planning, incl outreach modalities, master lists of providers, logistics, supplies</t>
  </si>
  <si>
    <t>E2</t>
  </si>
  <si>
    <t>TA: Private provider enrollment, accredditation, SOPs, complaints, monitoring</t>
  </si>
  <si>
    <t>TA: Link with Covid-19 disease surveillance</t>
  </si>
  <si>
    <t>F1</t>
  </si>
  <si>
    <t>TA: Development of training plans</t>
  </si>
  <si>
    <t>F2</t>
  </si>
  <si>
    <t>TA: Translate and adapt WHO and additional training materials</t>
  </si>
  <si>
    <t>TA: Security plans for central, regional storage and for vaccinators</t>
  </si>
  <si>
    <t>TA: Adapt/develop surveillance and M&amp;E framework (incl. indicators and instruments)</t>
  </si>
  <si>
    <t>Deploy / distribute / pilot /provide training for vaccination records system</t>
  </si>
  <si>
    <t>G4</t>
  </si>
  <si>
    <t>TA: Adapt/develop paper-based or electronic vaccination records system, ensure data protection measures and grievance mechanism</t>
  </si>
  <si>
    <t>G2, G3, G5</t>
  </si>
  <si>
    <t>J1</t>
  </si>
  <si>
    <t>TA: Design social mobilization and engagement strategy, including crisis communications, key messages, communications materials, complaints handling</t>
  </si>
  <si>
    <t>TA: Data collection systems - social media, rumor management, assess behavioural and social data</t>
  </si>
  <si>
    <t>TA: Public messages and materials</t>
  </si>
  <si>
    <t>J3</t>
  </si>
  <si>
    <t>I8</t>
  </si>
  <si>
    <t>TA: Establishment of compensation schemes and policies (excluding the actual funds for no-fault liability)</t>
  </si>
  <si>
    <t>I5, I6, I7</t>
  </si>
  <si>
    <t>Unit Price</t>
  </si>
  <si>
    <t>TA: Identify target populations and their geographic location, estimate numbers, and delivery modalities</t>
  </si>
  <si>
    <t>TA: Integrated into government budget planning + PFM</t>
  </si>
  <si>
    <t>A4. Central-level Costs</t>
  </si>
  <si>
    <t>I4</t>
  </si>
  <si>
    <t>Operational costs: Data collection systems - social media, rumor management, assess behavioural and social data</t>
  </si>
  <si>
    <t>H1, H2</t>
  </si>
  <si>
    <t>H3</t>
  </si>
  <si>
    <t>TA: Medical waste management planning, protocols, SOPs (combine A6/H6)</t>
  </si>
  <si>
    <t>H7</t>
  </si>
  <si>
    <t>H5</t>
  </si>
  <si>
    <t>H4</t>
  </si>
  <si>
    <t>E4/H8</t>
  </si>
  <si>
    <t>TA: Protocols for consent, refusals, protecting refusals (combine E4/H8)</t>
  </si>
  <si>
    <t>Community engagement grants</t>
  </si>
  <si>
    <t>Training of RCCE focal points</t>
  </si>
  <si>
    <t>Operational costs: Central RCCE team, crisis communications</t>
  </si>
  <si>
    <t>If blank, security costs will be added only for FCAS countries</t>
  </si>
  <si>
    <t>Oversight &amp; Assurance Costs</t>
  </si>
  <si>
    <t>Operational costs for RCCE focal points</t>
  </si>
  <si>
    <t>e.g. engaging with local community leaders and religious leaders</t>
  </si>
  <si>
    <t>Establish high-quality sentinel site surveillance</t>
  </si>
  <si>
    <t xml:space="preserve">Post-introduction evaluation for COVID-19 vaccines </t>
  </si>
  <si>
    <t>TA: Implementing agencies and contracts: Vaccine logistics and waste management</t>
  </si>
  <si>
    <t>Central-level Implementation team</t>
  </si>
  <si>
    <t>Per team</t>
  </si>
  <si>
    <t>Train a supervisor for each region, district, and fixed site. NOTE: Local-level training specified under A3.1.</t>
  </si>
  <si>
    <t>Conduct the vaccinator Training of Trainers (and Supervision) training [Instructor-led]</t>
  </si>
  <si>
    <t>Per vaccinator</t>
  </si>
  <si>
    <t>NOTE: Local-level training also specified under A3.1 - do not double count</t>
  </si>
  <si>
    <t>4. Cells with a green shade provide suggestions and instructions for inputs - either defaults or basic calculations from public databases and/or other inputed data.</t>
  </si>
  <si>
    <t>Supplementary operational costs / per diems for supervisors at local level</t>
  </si>
  <si>
    <t>Per supervisor</t>
  </si>
  <si>
    <t>Per trainer</t>
  </si>
  <si>
    <t>Vaccine effectiveness and impact study</t>
  </si>
  <si>
    <t>NDVP</t>
  </si>
  <si>
    <t>F4 / NDVP</t>
  </si>
  <si>
    <t>Redeployed Vaccinators (by FTEs)</t>
  </si>
  <si>
    <t>Non-Redeployed Vaccinators (by FTEs)</t>
  </si>
  <si>
    <t>Redeployed Vaccinators (by person)</t>
  </si>
  <si>
    <t>Non-Redeployed Vaccinators (by person)</t>
  </si>
  <si>
    <t>Vaccination coverage survey</t>
  </si>
  <si>
    <t>TA: Establish National Logistics Working Group - TORs, SOPs, Key Roles and Responsibilities</t>
  </si>
  <si>
    <t>TA: Distribution strategy for vaccines from point of entry</t>
  </si>
  <si>
    <t>Per person</t>
  </si>
  <si>
    <t>TA: Map, plan, gap assessment - infrastructure needs, incl energy, communications, water</t>
  </si>
  <si>
    <t>NOT the actual costs of the upgrades required</t>
  </si>
  <si>
    <t>TA: Gap assessment: Dry storage and cold chain capacity needs at all levels</t>
  </si>
  <si>
    <t>NOT the actual costs of the upgrades required. Cold chain capacity needs costed separately in this tool.</t>
  </si>
  <si>
    <t>The actual equpment, not TA. Central, regional, and district-level waste management equipment EXCLUDING safe boxes (which are costed under B2 Vaccines and Supples)</t>
  </si>
  <si>
    <t>TA: AEFI Committee  - TORs</t>
  </si>
  <si>
    <t>Training of AEFI Committee</t>
  </si>
  <si>
    <t>TA: Identify provisions that require manufacturers to implement risk management plans and collect and report COVID-19 vaccine safety data to the NRA.</t>
  </si>
  <si>
    <t>Active surveillance of specific Covid-19 vaccine related adverse events</t>
  </si>
  <si>
    <t>I1, I5</t>
  </si>
  <si>
    <t>Per site</t>
  </si>
  <si>
    <t>Per service point / distribution point</t>
  </si>
  <si>
    <t>Survey / interviews to obtain local behavioural and social data</t>
  </si>
  <si>
    <t>Percent of 2020 Population</t>
  </si>
  <si>
    <t>Covax 20% *SUPPLY* allocation assumed to be based on 2020 population (UN WPP 2019 Revision; No vaccine wastage)</t>
  </si>
  <si>
    <t>Per course; Assumes no partially vaccinated persons</t>
  </si>
  <si>
    <t>Note that DM1 vaccinators are assumed to be based statically in those fixed sites - not part of the pool of vaccinators going to other sites. They are not full-time vaccinators - and can perform other tasks.</t>
  </si>
  <si>
    <t>New vaccinators (Persons, not FTEs) for training</t>
  </si>
  <si>
    <t>Time spent on vaccination alone - no travel, setup, etc.</t>
  </si>
  <si>
    <t>Mean vaccinator-days per current vaccinator per period</t>
  </si>
  <si>
    <t>Total Courses Needed | Supplied</t>
  </si>
  <si>
    <t>Total Cost Unallocated (Financing Gap)</t>
  </si>
  <si>
    <t>B3.2 Electronic Temperature Monitoring Device</t>
  </si>
  <si>
    <t>B3.3 Customs clearance</t>
  </si>
  <si>
    <t>B3.4 Ground Handling</t>
  </si>
  <si>
    <t>For version 2</t>
  </si>
  <si>
    <t>Per Time Period</t>
  </si>
  <si>
    <t>Spare Parts Per 10-years</t>
  </si>
  <si>
    <t>Maintenance &amp; Repairs per 10 years</t>
  </si>
  <si>
    <t>Freezer</t>
  </si>
  <si>
    <t>Based on Gavi CCE Budget</t>
  </si>
  <si>
    <t>Cold chain assumptions and precalculations</t>
  </si>
  <si>
    <t>Per Fixed Site (DM1) or Per Team (DM2,3,4)</t>
  </si>
  <si>
    <t>Per Team</t>
  </si>
  <si>
    <t>Redeployed Vaccinators (FTEs)</t>
  </si>
  <si>
    <t>Non-Redeployed Vaccinators (FTEs)</t>
  </si>
  <si>
    <t>Redeployed Vaccinators (Persons)</t>
  </si>
  <si>
    <t>Non-Redeployed Vaccinators (Persons)</t>
  </si>
  <si>
    <t>Customs clearance for vaccine doses</t>
  </si>
  <si>
    <t>Cold-chain domestic transportation</t>
  </si>
  <si>
    <t>30-60L - VFS 048 SDD (Ground Mount)</t>
  </si>
  <si>
    <t>WHO/UNICEF/WB VIRAT-VRAF 2.0</t>
  </si>
  <si>
    <t>A6/E3/H6</t>
  </si>
  <si>
    <t>R2.0.1 Financing Source</t>
  </si>
  <si>
    <t>R2.0.2 Budgetary Unit / Financing Agent</t>
  </si>
  <si>
    <t>R2.0.3 Health Financing Benchmarking</t>
  </si>
  <si>
    <t>A2. Country Context, Target Population, Delivery Parameters, and Vaccine Supply</t>
  </si>
  <si>
    <t>This allows costing per dose for electronic vaccination and related records. These can also be costed per site / per team and per site-day.</t>
  </si>
  <si>
    <t>Leave these cells blank to use default unit costs</t>
  </si>
  <si>
    <t>Local training</t>
  </si>
  <si>
    <t>Leave these cells blank to use default unit costs and quantities</t>
  </si>
  <si>
    <t>Reference</t>
  </si>
  <si>
    <t>Percent of vaccine and vaccine delivery costs</t>
  </si>
  <si>
    <t>NOTE: Cells left blank imply the cost item is not allocated to R2.0.1 or R 2.0.2</t>
  </si>
  <si>
    <t>HRH salaries (for new, non-redeployed vaccinators)</t>
  </si>
  <si>
    <t>Note, the HRH salaries above are only paid for the period the non-redeployed vaccinator is actively vaccinating and stops when the vaccinator is no longer needed for vaccination.</t>
  </si>
  <si>
    <t>AEFI Investigation Rate</t>
  </si>
  <si>
    <t>Investigable reactions per 100,000 doses</t>
  </si>
  <si>
    <t>Expected # of investigable AEFIs</t>
  </si>
  <si>
    <r>
      <t xml:space="preserve">&lt;-- </t>
    </r>
    <r>
      <rPr>
        <b/>
        <sz val="10"/>
        <color rgb="FFFF0000"/>
        <rFont val="Calibri Light"/>
        <family val="2"/>
        <scheme val="minor"/>
      </rPr>
      <t>Advanced Users</t>
    </r>
  </si>
  <si>
    <t>months</t>
  </si>
  <si>
    <t>A resource mapping tool</t>
  </si>
  <si>
    <t>Resource Mapping</t>
  </si>
  <si>
    <t>2. This costing tool requires country-specific inputs. Input cells are color-coded for your convenience and ease of data entry. Inputs are required in sheets A2, A3, A4, and B1. Advanced users may customize certain parameters elsewhere, for example in B4.
Inputs which are required for all users are marked with a dark green cell with the number "1". Advanced users who wish to customize certain aspects of the costing model can optionally modify inputs associated with a dark brown cell with the number "2" - otherwise, these can can be left at default settings.</t>
  </si>
  <si>
    <t>Input country-specific units costs for labor, services, and supplies</t>
  </si>
  <si>
    <t>Specify country context, target population, delivery parameters, and vaccine supply</t>
  </si>
  <si>
    <t>Tabulate country-specific units costs for central-level activities</t>
  </si>
  <si>
    <t>Estimate the target population size, timing of vaccination, and vaccine dose requirements</t>
  </si>
  <si>
    <t>Estimate cold chain, logistics, and security</t>
  </si>
  <si>
    <t>Optional (for advanced customization)</t>
  </si>
  <si>
    <t>Logic Checks in Sheet A2</t>
  </si>
  <si>
    <t>Logic Checks in Sheet A3</t>
  </si>
  <si>
    <t>Logic Checks in Sheet B1</t>
  </si>
  <si>
    <t>Go to Sheet A3 to fix logic checks</t>
  </si>
  <si>
    <t>Go to Sheet B1 to fix logic checks</t>
  </si>
  <si>
    <t>Go to Sheet A2 to fix logic checks</t>
  </si>
  <si>
    <t>Vaccine specifications are PRELIMINARY and INDICATIVE. SUBJECT TO CHANGE.</t>
  </si>
  <si>
    <t>Please note that default unit prices, incl. for vaccine related supplies, are unstable due to market conditions and vaccine specifications are preliminary and indicative only. SUBJECT TO CHANGE.</t>
  </si>
  <si>
    <t>Medical mask</t>
  </si>
  <si>
    <t>Liquid soap and water</t>
  </si>
  <si>
    <t>0.31</t>
  </si>
  <si>
    <t>40</t>
  </si>
  <si>
    <t>0.06</t>
  </si>
  <si>
    <t>0.84</t>
  </si>
  <si>
    <t>8.3</t>
  </si>
  <si>
    <t>Language Selection</t>
  </si>
  <si>
    <t>English</t>
  </si>
  <si>
    <t>اَلْعَرَبِيَّةُ</t>
  </si>
  <si>
    <t>中文</t>
  </si>
  <si>
    <t>Español</t>
  </si>
  <si>
    <t>Français</t>
  </si>
  <si>
    <t>русский язык</t>
  </si>
  <si>
    <t>português</t>
  </si>
  <si>
    <t>Language</t>
  </si>
  <si>
    <t>Arabic</t>
  </si>
  <si>
    <t>Chinese</t>
  </si>
  <si>
    <t>French</t>
  </si>
  <si>
    <t>Russian</t>
  </si>
  <si>
    <t>Spanish</t>
  </si>
  <si>
    <t>Portugese</t>
  </si>
  <si>
    <t>Language_Native</t>
  </si>
  <si>
    <t>Language_Order</t>
  </si>
  <si>
    <t>Button_Menu</t>
  </si>
  <si>
    <t>Button_NextPage</t>
  </si>
  <si>
    <t>Button_NextItem</t>
  </si>
  <si>
    <t>Button_Results</t>
  </si>
  <si>
    <t>Button_Help</t>
  </si>
  <si>
    <t>Disclaimer_Accepted</t>
  </si>
  <si>
    <t>Disclaimer_Rejected</t>
  </si>
  <si>
    <t>Please proceed to A1.2 Instructions</t>
  </si>
  <si>
    <t>Please review and accept the disclaimer before proceeding</t>
  </si>
  <si>
    <t>نعم</t>
  </si>
  <si>
    <t>Oui</t>
  </si>
  <si>
    <t>Si</t>
  </si>
  <si>
    <t>Sim</t>
  </si>
  <si>
    <t>是</t>
  </si>
  <si>
    <t>没有</t>
  </si>
  <si>
    <t>Нет</t>
  </si>
  <si>
    <t>Não</t>
  </si>
  <si>
    <t>Non</t>
  </si>
  <si>
    <t>لا</t>
  </si>
  <si>
    <t>Disclaimer_Text</t>
  </si>
  <si>
    <t>T1_Notice</t>
  </si>
  <si>
    <t>A1_Notice</t>
  </si>
  <si>
    <t>
Help</t>
  </si>
  <si>
    <t>
Menu</t>
  </si>
  <si>
    <t>
Next Page</t>
  </si>
  <si>
    <t>
Next Item</t>
  </si>
  <si>
    <t>
Results</t>
  </si>
  <si>
    <t>A1. WELCOME to COVID-19 Vaccine Introduction and deployment Costing tool (CVIC Tool) Start Page</t>
  </si>
  <si>
    <t>Please check and confirm that you have read, understand, and accept the disclaimer ↓</t>
  </si>
  <si>
    <t>1. Red text font, as used in this sentence, is for important instructions, cautions, and notes.</t>
  </si>
  <si>
    <t>Name of Sheet
(Click to jump to sheet)</t>
  </si>
  <si>
    <t>ISO 639-1</t>
  </si>
  <si>
    <t>ZH</t>
  </si>
  <si>
    <t>EN</t>
  </si>
  <si>
    <t>Instructions: Please select the country and local currency unit to be used from the dropdown list.</t>
  </si>
  <si>
    <t>Currency conversion to use - 1 USD in LCUs (LEAVE BLANK for autocompletion):</t>
  </si>
  <si>
    <t>Instructions: Please confirm the total population data or specify the population using national data, if preferred</t>
  </si>
  <si>
    <t>Manually specify total population here OR leave blank to use UN WPP (2019 Revision) Data</t>
  </si>
  <si>
    <t>Instructions: Based on the NDVP/SAGE recommendations, please fill in the total (across all stages I - III) relevant target population, for each population described. Please note that the prioritization of these populations over Stage I-III can be specified later in section B1.2.</t>
  </si>
  <si>
    <t>Instructions: If the total reflects the NDVP intent, please enter it here either as an absolute population count OR as a percent of total population</t>
  </si>
  <si>
    <t>THEREFORE, Health workers … as absolute number OR</t>
  </si>
  <si>
    <t>Note: Please do not double count high-risk age groups here</t>
  </si>
  <si>
    <t>Instructions: If the total reflects the NDVP, please enter it here either as an absolute population count OR as a percent of total population</t>
  </si>
  <si>
    <t>THEREFORE, Essential workers and related groups  … as absolute number OR</t>
  </si>
  <si>
    <t>Instructions: Based on the NDVP/SAGE recommendations, please select the specific age cut-off as decided by the country.</t>
  </si>
  <si>
    <t>Instructions: Please confirm the total high-risk (by age) population data or specify the population using national data, if preferred</t>
  </si>
  <si>
    <t>Manually specify the older persons population here OR leave blank to use UN WPP (2019 Revision) Data</t>
  </si>
  <si>
    <t>Instructions: If the country wishes to cover older persons living in residential institutions, please fill below. Else enter 0.</t>
  </si>
  <si>
    <t>… as absolute number OR</t>
  </si>
  <si>
    <t>Instructions: If the country wishes to vaccinate household members of older adults AND those with underlying health conditions, please fill below. Else enter 0.</t>
  </si>
  <si>
    <t>Instructions: Based on the NDVP/SAGE recommendations, please fill in the total (across all stages I - III) relevant target population, for the populations described, broken down by the vaccination delivery strategy - either as an absolute population count OR as a percent of total population. Please note that the prioritization of these populations over Stage I-III can be specified later in section B1.2.</t>
  </si>
  <si>
    <t>Note: Please do not double count high-risk age groups or other priority groups here</t>
  </si>
  <si>
    <t>1. Those who live in accessible communities,
vaccinated at fixed sites and during campaigns (Delivery Modality 1 and 2)</t>
  </si>
  <si>
    <t>2. Those who live in residential facilities / refugee camps,
vaccinated at these residential facilities / camps (Delivery Modality 3)
For example: Refugee camps</t>
  </si>
  <si>
    <t>Residents (not for older adults) … absolute number OR</t>
  </si>
  <si>
    <t>3 Special populations who are Hard-to-Reach,
who will be vaccinated by outreach (Delivery Modality 4)
For example: Refugees, internally displaced persons, nomadic populations</t>
  </si>
  <si>
    <t>Hard-to-reach population groups … absolute number OR</t>
  </si>
  <si>
    <t>Instructions: Based on the NDVP/SAGE recommendations, please fill in the total (across all stages I - III) relevant target population, for the population described below. Please note that the prioritization of these populations over Stage I-III can be specified later in section B1.2. Helpful data sources are provided on the right.</t>
  </si>
  <si>
    <t>… absolute number OR</t>
  </si>
  <si>
    <t>Instructions: No data entry is required below but check if there are any errors flagged "CHECK" instead of "OK". If so, please review the target population specifications and/or timing of delivery (B1.2)</t>
  </si>
  <si>
    <t>Note: If any logic checks have failed, please re-adjust target population parameters</t>
  </si>
  <si>
    <t>Instructions: Please specify the core HRH cadres who may be considered as POTENTIAL supply of vaccinators. Please note that the model separately estimates vaccinators required and this section is to allow the required vaccinator workforce to be contextualized against the POTENTIAL supply of vaccinators. Additional user defined HRH cadres can be specified. OR a grand total may be specified instead to override the sum total of the individual carders. If this section is left blank, data from the latest estimates of National Health Workforce Accounts will be used.
Note: This version of the model estimates needs for a single cadre of vaccinators. Supervisors and others are not included in this version.</t>
  </si>
  <si>
    <t>Human Resources for Health (as potential supply of vaccinators NOT target population)</t>
  </si>
  <si>
    <t>Maximum redeployable HRH, % of health workforce … as absolute number OR</t>
  </si>
  <si>
    <t>Instructions: Please indicate the total number distribution points and service points nationwide which will be used for Covid-19 vaccination, as per the description below:</t>
  </si>
  <si>
    <t>… [implied remainder] can come to the outreach site ('the basecamp')</t>
  </si>
  <si>
    <t>… [implied remainder] percent which originate from regional-level stores</t>
  </si>
  <si>
    <t>Instructions: Please select the vaccine type to be used for costing. You may select separate vaccine types for each delivery modality. You may also use the same vaccine for one or more or all delivery modalities.</t>
  </si>
  <si>
    <t>Delivery Modality 1: Fixed sites with cold-storage</t>
  </si>
  <si>
    <t>Delivery Modality 2: Campaigns at fixed sites with no cold-storage</t>
  </si>
  <si>
    <t>Delivery Modality 3: Residential Institutions</t>
  </si>
  <si>
    <t>Delivery Modality 4: Outreach &amp; Mobile sites</t>
  </si>
  <si>
    <t>Vaccine Wastage (for demand estimations)</t>
  </si>
  <si>
    <t>Note: Some cells below will be greyed out if not applicable (i.e., input-based financing selected)</t>
  </si>
  <si>
    <t>Input Here</t>
  </si>
  <si>
    <t>Leave Blank</t>
  </si>
  <si>
    <t>Consider security costs</t>
  </si>
  <si>
    <t>EXCLUDE Social care workers in residential institutions; Max 10%</t>
  </si>
  <si>
    <t>EXCLUDE wardens / staff at residential institutions</t>
  </si>
  <si>
    <t>Options: Committed | Optional | Non-participant; Ignored if AMC</t>
  </si>
  <si>
    <t xml:space="preserve">LCUs | Last auto update: </t>
  </si>
  <si>
    <t>Consider a universal strategy</t>
  </si>
  <si>
    <t>Surplus</t>
  </si>
  <si>
    <t>Deficit</t>
  </si>
  <si>
    <t>Non-Covax Participant</t>
  </si>
  <si>
    <t>Name of Country</t>
  </si>
  <si>
    <t>Pregnancies per year</t>
  </si>
  <si>
    <t>If you do not with to cover pregnant women, enter 0</t>
  </si>
  <si>
    <t>Rural population - FYI only</t>
  </si>
  <si>
    <t>Decision Window 2 for OPA - Does the country which to proceed?</t>
  </si>
  <si>
    <t>Do you wish to use results-based financing (RBF) for last mile delivery?</t>
  </si>
  <si>
    <t>Options: Yes | No</t>
  </si>
  <si>
    <t>Consider Security</t>
  </si>
  <si>
    <t>Consider Universal</t>
  </si>
  <si>
    <t>User defined</t>
  </si>
  <si>
    <t>Final Vaccine Price (INDICATIVE ONLY, based on indicative prices in user-editable vaccine database)</t>
  </si>
  <si>
    <t>Vaccine Wastage Rate - for Delivery Modality:</t>
  </si>
  <si>
    <t>Zero is allowed. These are for non-redeployed HRH. Source: Serje, Juliana, Melanie Y. Bertram, Callum Brindley, and Jeremy A. Lauer. 2018. “Global Health Worker Salary Estimates: An Econometric Analysis of Global Earnings Data.” Cost Effectiveness and Resource Allocation 16 (1): 10. https://doi.org/10.1186/s12962-018-0093-z. | WHO-CHOICE | Updated to 2020</t>
  </si>
  <si>
    <t>Logic Passed</t>
  </si>
  <si>
    <t>Logic Failed</t>
  </si>
  <si>
    <t>Logic checks passed</t>
  </si>
  <si>
    <t xml:space="preserve">Logic checks failed - Errors = </t>
  </si>
  <si>
    <t>General Instructions:: Please use this section to input country-specific unit costs. Unit costs can be inputed as LCUs (in the currency selected in A1.1) [Column E] or in USD [Column F]. Column F takes precedence if values are inputed in both currencies. Some names [Column C] for items can also be edited by the end-user to allow for more customization.
For many items, default prices can be used. Default prices may be updated by the costing team from time to time - to do so, under the menu "Data", click "Refresh All".</t>
  </si>
  <si>
    <t>Monthly salaries for newly recruited vaccinators [Leave blank to use default data]</t>
  </si>
  <si>
    <t>Instructions: Please review the unit cost assumptions for freight and related costs.
If the country will be imposing custom clearance duties or tarfiffs for the vaccine doses or vaccine-related supplies, enter it here.</t>
  </si>
  <si>
    <t>Electronic temperature monitoring device (leave blank for default cost)</t>
  </si>
  <si>
    <t xml:space="preserve"> Vaccine dose customs clearance (Ad valorem), Percent</t>
  </si>
  <si>
    <t>Vaccine-related supplies customs clearance (Ad valorem), Percent</t>
  </si>
  <si>
    <t>Vaccine-related supplies Procurement Service Fees, Percent</t>
  </si>
  <si>
    <t>Instructions: Please include unit costs for transport and other related expenses for outreach teams</t>
  </si>
  <si>
    <t>Instructions: Please review the unit cost assumptions for electricity and cold chain transportation. Note that default costs for cold-chain supplies can be used by leaving that section blank.
If customs clearance will be required for cold-chain supplies, please indicate YES in the appropriate cell.</t>
  </si>
  <si>
    <t>Instructions: Please add demand generation and communications units costs per site and per eligible person. This can be a large driver of costs - please complete these carefully. Separate demand generation costs can be used for those who are eligible due to the nature of their work and for those who are eligible due to non-work criteria (voluntary).</t>
  </si>
  <si>
    <t>Note: By default, security costs are added ONLY for Fragile and Conflict-Affected Situations, but these settings can be overridden.</t>
  </si>
  <si>
    <t>OVERRIDE HERE. Do you wish to include security costs? --&gt;</t>
  </si>
  <si>
    <t>Note: If no additional interventions are desired, just input 0 under the unit costs</t>
  </si>
  <si>
    <t xml:space="preserve">Local Currency Unit (LCU) selected for unit costs = </t>
  </si>
  <si>
    <t>INPUT HERE to OVERRIDE LCU with USD</t>
  </si>
  <si>
    <t>Input Here Override</t>
  </si>
  <si>
    <t>A4.1 Central-level costs based on WHO-UNICEF-WB VIRAT-VRAF 2.0 (2 December 2020) + NDVP activities</t>
  </si>
  <si>
    <t>General Instructions:The purpose of this section is to assist countries to tabulate and consider central costs for activities specified in the VIRAT-VRAF and NDVP, based on their best assumptions for reasonable costs for technical assistance (TA), training, supervision, gap analyses, surveys. The reference to each VIRAT-VRAF 2.0 is provided in column L and can be used if further clarification is needed on each of the activities costed.
Central costs can be inputed as LCUs (in the current selected in A1.1) [Column G] or in USD [Column H]. Column H takes precedence if values are inputed in both currencies. Some names [Column C] for items can also be updated by the end-user to allow for more customization.
Additional rows are included to cost additional items per category (if desired).
Please start by inputing the desired duration for central-level activities in months below.</t>
  </si>
  <si>
    <t>Link to supplementary data on:
Medical supplies, equipment and contract services requirements</t>
  </si>
  <si>
    <t>Link to supplementary data on:
Staffing and training requirements</t>
  </si>
  <si>
    <t>Procure waste management equipment [incl. capital investments but excluding supplies]</t>
  </si>
  <si>
    <t>Instructions: This section pertains mainly to technical assistance (TA) related to planning and arrangements for service delivery. Staffing and implementation teams should also be included here but not vaccinators or their local supervisors. Do not include the costs of 'delivery' itself (this is costed elsewhere in the tool.</t>
  </si>
  <si>
    <t>Instructions: This section includes technical assistance (TA) for developing training plans and materials. Please also include the costs of training where these originate at the central level (e.g., ToT and/or digital learning) but exclude local level training (which should be costed under A3.1).
Technical assistance for security planning also is to be included here if desired but security costs at the central stores and at the local level are covered under B4.2 and B5.</t>
  </si>
  <si>
    <t>[and/or] Conduct the vaccinator Training of Trainers (and Supervision) training [Digital learning - self-paced]</t>
  </si>
  <si>
    <t>Instructions: This section may include the development of an electronic vaccination records and related information systems. If this is desired, please include technical costs and development costs here, equipment costs per site/vaccination team in A3.5, operational costs such as telecommunications in A3.5, and any per-dose delivered costs in A3.2 (Electronic Records).
Oversight and assurance costs - can be added under this section (specified as a percent above vaccine and vaccine delivery costs, excluding central costs).</t>
  </si>
  <si>
    <t>Instructions:: This section includes technical assistance (TA) for various aspects of vaccine-related logistics and infrasturcure.</t>
  </si>
  <si>
    <t>Instructions:: This section includes technical assistance (TA), training, and the establishment of a compensation scheme. Funds for such a scheme are costed as a fixed amount per dose (under section T1) and are tabulated in R2.1.13.
Note: At time of development of this costing platform, specific details of the vaccine candidates and related AEFI, SAR, AESI surveillance and investigation activities are not available and hence the estimation of such cost may need further adaptation.</t>
  </si>
  <si>
    <t>Instructions:: Demand generation and communications may be a large driver of vaccination costs. Technical assistance (TA), development costs for communications activities, and central-level operational costs for these are costed here. Some sub-national costs such as those related to local RCCE focal points and community engagement can also be included here. However, many aspects of local demand generation are costed under section A3.6 (for activities originating at vaccination service points - these should be reviewed together to ensure alignment.</t>
  </si>
  <si>
    <t>Instructions:: This section allows activities related to the development of co-delivery of essential health services at the same time, opportunistically, as the Covid-19 vaccination. This can be the opportunity to address pre-existing health considerations in the country - for example screening of NCDs, health education, and delivery of other vaccines or health commodities where target populations overlap.</t>
  </si>
  <si>
    <t>A3.6 Local Data Management and Monitoring, Pharmacovigilance</t>
  </si>
  <si>
    <t>A3.7 Local Demand Generation and Communications</t>
  </si>
  <si>
    <t>A3.8 Security</t>
  </si>
  <si>
    <t>A3.9 Additional Interventions</t>
  </si>
  <si>
    <t>Still missing</t>
  </si>
  <si>
    <t xml:space="preserve">Still missing: </t>
  </si>
  <si>
    <t>Increase</t>
  </si>
  <si>
    <t>Decrease</t>
  </si>
  <si>
    <t>INCREASE ^</t>
  </si>
  <si>
    <t>DECREASE ^</t>
  </si>
  <si>
    <t>Instructions: Please adjust the timing and prioritization of vaccine introduction in section B1.2 - this is a required part of completing this costing platform.</t>
  </si>
  <si>
    <t>B1.3 Distribution Matrix: How many to vaccinate, how, and when?</t>
  </si>
  <si>
    <t>Use Long Range (4 days cold like) cold boxes for outreach?</t>
  </si>
  <si>
    <t>Default is long range. "No" = Short Range (2 days); Source: https://www.unicef.org/supply/media/4411/file/E004-cold-boxes-vaccine-carriers%20-procurement-guidelines.pdf</t>
  </si>
  <si>
    <t>Trigger sensitivity</t>
  </si>
  <si>
    <t>Delivery Modality</t>
  </si>
  <si>
    <t>Note: No user editable cells in this sheet - FYI only</t>
  </si>
  <si>
    <t>Note: Waste Multiplication Factor TO BE incorporated in Vaccine Candidate Database</t>
  </si>
  <si>
    <t>Note: Currently not calculated in this tool: International shipping, ground handling, ground transport, dry storage (assume pre-existing capacity) for vaccine-related supplies</t>
  </si>
  <si>
    <t>Vaccine doses</t>
  </si>
  <si>
    <t>B3.1 International Shipping (Based on demand estimates)</t>
  </si>
  <si>
    <t>Doses Needed (Based on demand estimates)</t>
  </si>
  <si>
    <t>Volume  of vaccines in secondary packaging (liters) per Shipment, incl. buffer</t>
  </si>
  <si>
    <t>ADVANCED USERS: Cold chain parameters can be adjusted here.</t>
  </si>
  <si>
    <t>Maintenance costs from PATH TCO tool http://www.coldchaintco.org/calculate?t=TCO_DETAILED</t>
  </si>
  <si>
    <t>Cold storage units required (WICR and WIFR) for COVID-19 + routine vaccines</t>
  </si>
  <si>
    <t>MINUS existing cold-storage units (WICR and WIFR)</t>
  </si>
  <si>
    <t>MINUS existing cold-storage units</t>
  </si>
  <si>
    <t>Note: Currently not calculated in this tool: Ground handling, ground transport</t>
  </si>
  <si>
    <t>B4.2 Security (for FCAS)</t>
  </si>
  <si>
    <t>Population vaccinated by regions directly, by delivery modality</t>
  </si>
  <si>
    <t>Population vaccinated by district directly, by delivery modality</t>
  </si>
  <si>
    <t>Walk-in Cold Room or Freezer Room (WICR/FR)</t>
  </si>
  <si>
    <t>Ice-lined Refridgerator (ILR)</t>
  </si>
  <si>
    <t>Solar Direct Drive (SDD) Refridgerator or Freezer</t>
  </si>
  <si>
    <t>Volume of COVID-19 vaccines in secondary packaging (liters) per Period, incl. buffer, in ALL DISTRICTS, by delivery modality</t>
  </si>
  <si>
    <t>Volume of COVID-19 vaccines in secondary packaging (liters) per Period, incl. buffer, in ALL FIXED SITES, by delivery modality</t>
  </si>
  <si>
    <t>Population vaccinated by fixed sites, by delivery modality</t>
  </si>
  <si>
    <t>Population vaccinated at fixed sites, using which vaccine cold chain requirements?</t>
  </si>
  <si>
    <t>B5. Last Mile Service Delivery (excluding vaccines and related supplies)</t>
  </si>
  <si>
    <t>B5.0 Vaccine Courses to be Delivered - When, How, and How Many</t>
  </si>
  <si>
    <t>[ADVANCED USERS] Additional Sites</t>
  </si>
  <si>
    <t>MAX should be number of days per period; disregarding weekends and hols</t>
  </si>
  <si>
    <t>Is the payment mechanism used RBF?</t>
  </si>
  <si>
    <t>Note: Total costs estimated using this costing platform, based on user-specified assumptions on target population prioritization, delivery parameters, and unit costs are provided here.
Medium variant estimates use the vaccination time per dose specified in the vaccine database (default = 10 mins), and the upper and lower variants use vaccination times longer and shorter than the medium variant, by a user-specified [A2.3] duration (default is 2.5 mins longer and 2.5 mins shorter).
The costs for vaccination included in this total are operational costs, selected capital costs of interest to partners, and central-level investments and development costs for activities described in the VIRAT-VRAF 2.0 and NDVP. Details of the costs included are disaggregated in R2.</t>
  </si>
  <si>
    <t>R1.3.1 Days within a period (considering weekends), concurrent delivery modality teams</t>
  </si>
  <si>
    <t>Note: For countries where outreach costs are high, a universal vaccination strategy (covering all ages, high-risk and low-risk populations at the same time) in remote rural outreach areas can be considered. Doing so will save costs arising for repeated visits to the same outreach site to vaccinate different sub-populations. The savings (repeated visits to outreach sites) is estimated here.
To specify a universal vaccination strategy, review the prioritization in B1 and specify the exact same percentage prioritization pattern for all target population groups who are hard-to-reach (delivery modality 4).</t>
  </si>
  <si>
    <t>Note: To estimate the robustness of the estimates, especially with regard to variation in time required to vaccinate, upper, medium, and lower variants can be specified here.
The implications of these variants on the surge demand for vaccinators can be visualized below; and the context for this demand relative to existing core HRH supply are also estimated.
For countries where the health workforce is relatively small and already fully occupied with providing essential services, redeployment of vaccinators may result in compromises to pre-existing essential services. Hence, newly recruited vaccinators, where possible, should be considered.</t>
  </si>
  <si>
    <t>R1.3.2.3 Human Resources - Supplementary metrics for optimization and diagnostics - Medium Variant</t>
  </si>
  <si>
    <t>Cumulative Costs</t>
  </si>
  <si>
    <t>Cost Breakdown</t>
  </si>
  <si>
    <t>Vaccinator Hours - Medium Variant</t>
  </si>
  <si>
    <t xml:space="preserve">Current Vaccinators (FTEs) - </t>
  </si>
  <si>
    <t>Vaccinator Redeployment (FTEs) -</t>
  </si>
  <si>
    <t>Vaccinator Days -</t>
  </si>
  <si>
    <t xml:space="preserve">Impact on Health System - </t>
  </si>
  <si>
    <t xml:space="preserve">Vaccinator Redeployment (Persons) - </t>
  </si>
  <si>
    <t xml:space="preserve">Period (days) = </t>
  </si>
  <si>
    <t>Total (2021-2023), by financing source</t>
  </si>
  <si>
    <t>Financing sources, by time period</t>
  </si>
  <si>
    <t>R2.0 Summary (Medium Variant)</t>
  </si>
  <si>
    <t>Instructions: This resource mapping section allows users to map out various cost components (listed in R2.1) to financing sources. Financing sources can be domestic, a partner, or a consortium of partners (incl. 'domestic').
Some partners are listed below and additional names of partners or partner consortia relevant to the country can be added in the beige cells below.
After the names of partners and or consortia of partners have been listed, please 'map' each cost item [Column K] to a financing source to view the implications of such a domestic and partner finance mapping, in order to inform a dialogue between relevant stakeholders. Items can be deliberately unallocated (Column K left blank) if there is no interest to finance such an item. Please do not change the name of the partner/consortia once the allocation in Column K has been performed.</t>
  </si>
  <si>
    <t>Instructions: This resource mapping section allows users to map out various cost components (listed in R2.1) to a budgetary unit, through which such financing will flow. These can included various ministries, departments, or other government or quasi-governmental entities. In some context, private or civil society actors may also play such a role.
Additional names of budgetary units / financing agents relevant to the country can be added in the beige cells below.
After the names of budgetary units / financing agents have been listed, please 'map' each cost item [Column L] to a unit / agent to view the implications of the vaccine financing architecture, which can then be contexualized against pre-existing absoprtion capacity, sustainability, etc. Please do not change the name of the unit / agent once the allocation in Column L has been performed.</t>
  </si>
  <si>
    <t>CPA: Upfront payment</t>
  </si>
  <si>
    <t>OPA: Upfront payment</t>
  </si>
  <si>
    <t>OPA: Risk-sharing guarantee</t>
  </si>
  <si>
    <t>International Shipping (Vaccine doses only; Not equipment or vaccine related supplies)</t>
  </si>
  <si>
    <t>Select Here</t>
  </si>
  <si>
    <t>_Offset_Index_VaccineSupplyPrices</t>
  </si>
  <si>
    <t>Vaccine Database Notice</t>
  </si>
  <si>
    <t>Vaccine Database Notice StartPage</t>
  </si>
  <si>
    <t>Vaccine_Database_LastUpdate</t>
  </si>
  <si>
    <t>Note: Advanced end users may use vaccine database row #21 (RED ARROW) onwards to specify user defined vaccines. The first 20 vaccines are auto-updateable and should not be edited.</t>
  </si>
  <si>
    <t>Covax Notice</t>
  </si>
  <si>
    <t>Stage 1 (H1 2021)</t>
  </si>
  <si>
    <t>Stage 2 (H2 2021)</t>
  </si>
  <si>
    <t>Vaccine Doses Requested for 2021 (AMC and self-financing)</t>
  </si>
  <si>
    <t>Available Covax supply</t>
  </si>
  <si>
    <t>A2.6 Vaccine Supply</t>
  </si>
  <si>
    <t>7. Additional minor clarifications and Notes are in yellow cells or in light grey text.</t>
  </si>
  <si>
    <t>Gavi COVAX Advance Market Commitment (AMC) Countries</t>
  </si>
  <si>
    <t xml:space="preserve">Instructions: Use this section for vaccine dose supply obtained beyond Covax - including domestic production, in kind donations, </t>
  </si>
  <si>
    <t>Total cost of the non-Covax vaccine doses, USD</t>
  </si>
  <si>
    <t>Total HRH Supply for Potential Vaccinator Impact
[override here to provide an overall number]</t>
  </si>
  <si>
    <t>Total Covid-19 vaccine doses as percent of 2020 population</t>
  </si>
  <si>
    <t>PLEASE EDIT THE SHADED CELLS BELOW</t>
  </si>
  <si>
    <t>B1.3.2 Expected Uptake (Vaccine courses)</t>
  </si>
  <si>
    <t>Units:</t>
  </si>
  <si>
    <t>E-mail Address for Support:</t>
  </si>
  <si>
    <t>cm3 in secondary packaging</t>
  </si>
  <si>
    <t>Consumables per dose, including wastage factor</t>
  </si>
  <si>
    <t>Covax available supply; Overall total can exceed 100% of total population</t>
  </si>
  <si>
    <t>A2.6.3 Total Available Vaccine Supply, 2021-2023</t>
  </si>
  <si>
    <t>Allowed to exceed 100% (e.g. if vaccine durability requires multiple courses per person)</t>
  </si>
  <si>
    <t>3-year total</t>
  </si>
  <si>
    <t>Vaccine courses needed (considering vaccine wastage and expected uptake)</t>
  </si>
  <si>
    <t>Vaccine courses supplied</t>
  </si>
  <si>
    <t>Surplus (+) / Deficit (-)</t>
  </si>
  <si>
    <t>Trigger?</t>
  </si>
  <si>
    <t>Increase or Decrease?</t>
  </si>
  <si>
    <t>Instructions: This surplus/deficit calculator is to that the implications of vaccination timing can be seen immediately. Ensure that supply and demand are closely balanced … fewer than 1000 courses discrepency. The calculations are also influenced by the supply of vaccines (A2.6), expected uptake and wastage (A2.4), and target population specifications (A2.2)</t>
  </si>
  <si>
    <t>Vaccine courses (not doses)</t>
  </si>
  <si>
    <t>Percent of total population in 2020</t>
  </si>
  <si>
    <t>Total for all doses in the time period, not per dose</t>
  </si>
  <si>
    <t>Number of doses</t>
  </si>
  <si>
    <t>Number of doses per course</t>
  </si>
  <si>
    <t>Non-Covax vaccine doses (courses as percent of 2020 population)</t>
  </si>
  <si>
    <t># Courses:</t>
  </si>
  <si>
    <t>No wastage #'s - as wastage added to vaccine-related to supplies already</t>
  </si>
  <si>
    <t>No fault compensation fund</t>
  </si>
  <si>
    <t>Set the no fault compensiation fund cost per dose (in USD) in Sheet T1 vaccine. Do not edit this row.</t>
  </si>
  <si>
    <t>(excludes Electronic Records and Compensation)</t>
  </si>
  <si>
    <t>Use Lower [1] or Upper [2] price?</t>
  </si>
  <si>
    <t>year</t>
  </si>
  <si>
    <t>hk_usd</t>
  </si>
  <si>
    <t>che_usd</t>
  </si>
  <si>
    <t>gghed_usd</t>
  </si>
  <si>
    <t>ext_usd</t>
  </si>
  <si>
    <t>gghe_usd</t>
  </si>
  <si>
    <t>Low</t>
  </si>
  <si>
    <t>Czech Republic</t>
  </si>
  <si>
    <t>United Kingdom</t>
  </si>
  <si>
    <t>index</t>
  </si>
  <si>
    <t>Current Health Expenditure (nominal US$)</t>
  </si>
  <si>
    <t>General Government Health Expenditure (nominal US$)</t>
  </si>
  <si>
    <t>External Health Expenditure (nominal US$)</t>
  </si>
  <si>
    <t>Domestic General Government Health Expenditure (nominal US$)</t>
  </si>
  <si>
    <t>Health Capital Expenditure (nominal US$)</t>
  </si>
  <si>
    <t>Global Health Expenditure Database (2018)</t>
  </si>
  <si>
    <t>Used for calculations</t>
  </si>
  <si>
    <t>Override Here</t>
  </si>
  <si>
    <t>Covid-19 vaccination financing against selected health financing indicators</t>
  </si>
  <si>
    <t>Additional to existing financing (vaccination financing added to the denominator)</t>
  </si>
  <si>
    <t xml:space="preserve">JRF indicator 6520 - Total Expediture on Vaccines from all sources (US$) </t>
  </si>
  <si>
    <t>Region</t>
  </si>
  <si>
    <t>Income</t>
  </si>
  <si>
    <t>EMRO</t>
  </si>
  <si>
    <t>AFRO</t>
  </si>
  <si>
    <t>Low-Mid</t>
  </si>
  <si>
    <t>EURO</t>
  </si>
  <si>
    <t>Up-Mid</t>
  </si>
  <si>
    <t>Hi</t>
  </si>
  <si>
    <t>AMRO</t>
  </si>
  <si>
    <t>WPRO</t>
  </si>
  <si>
    <t>SEARO</t>
  </si>
  <si>
    <t>Bolivia</t>
  </si>
  <si>
    <t>Congo (The)</t>
  </si>
  <si>
    <t>Micronesia</t>
  </si>
  <si>
    <t>Iran</t>
  </si>
  <si>
    <t>The former Yugoslav Republic of Macedonia</t>
  </si>
  <si>
    <t>The Netherlands</t>
  </si>
  <si>
    <t>Democratic Peoples Republic of Korea</t>
  </si>
  <si>
    <t>Russia</t>
  </si>
  <si>
    <t>Saint Vincent and The Grenadines</t>
  </si>
  <si>
    <t>Venezuela</t>
  </si>
  <si>
    <t>Vietnam</t>
  </si>
  <si>
    <t>Average of available data last 5 years</t>
  </si>
  <si>
    <t>2006</t>
  </si>
  <si>
    <t>2007</t>
  </si>
  <si>
    <t>2008</t>
  </si>
  <si>
    <t>2009</t>
  </si>
  <si>
    <t>2010</t>
  </si>
  <si>
    <t>2011</t>
  </si>
  <si>
    <t>2012</t>
  </si>
  <si>
    <t>2013</t>
  </si>
  <si>
    <t>2014</t>
  </si>
  <si>
    <t>2015</t>
  </si>
  <si>
    <t>2016</t>
  </si>
  <si>
    <t>2017</t>
  </si>
  <si>
    <t>2018</t>
  </si>
  <si>
    <t>2019</t>
  </si>
  <si>
    <t>Covid-19 vaccination benchmarking against recent health expenditures:</t>
  </si>
  <si>
    <t>Capital Expenditures?</t>
  </si>
  <si>
    <t>Capital Expenditure (USD)</t>
  </si>
  <si>
    <t>Domestic as % of 2018 GGHED</t>
  </si>
  <si>
    <t>External as % of 2018 EXT</t>
  </si>
  <si>
    <t>Capital Expenditures as % of 2018 HK</t>
  </si>
  <si>
    <t>Grand Total as % of Vaccination Financing</t>
  </si>
  <si>
    <t>Syringe (0.5ml) AD</t>
  </si>
  <si>
    <t>23G needle</t>
  </si>
  <si>
    <t>Sodium Chloride 0.9 % ampule 10mls</t>
  </si>
  <si>
    <t>Alcohol Swab, Plaster, Dry Swabs</t>
  </si>
  <si>
    <t>Alcohol-based hand rub (1L)</t>
  </si>
  <si>
    <t>6</t>
  </si>
  <si>
    <t>1.8</t>
  </si>
  <si>
    <t>0.175</t>
  </si>
  <si>
    <t>0.315</t>
  </si>
  <si>
    <t>0.6</t>
  </si>
  <si>
    <t>Included as part of fully loaded vaccine doses</t>
  </si>
  <si>
    <t>0.2</t>
  </si>
  <si>
    <t>Covax estimated fully loaded average price</t>
  </si>
  <si>
    <t>Total Vaccinator-Days - paid with per diems</t>
  </si>
  <si>
    <t>Total (across DMs) vaccinator hours - paid with per diems</t>
  </si>
  <si>
    <t>Pay per diems for Delivery Modality 1?</t>
  </si>
  <si>
    <t>Pay per diems for Delivery Modality 2?</t>
  </si>
  <si>
    <t>Pay per diems for Delivery Modality 3?</t>
  </si>
  <si>
    <t>Pay per diems for Delivery Modality 4?</t>
  </si>
  <si>
    <t>Default is Yes</t>
  </si>
  <si>
    <t>IMPORTANT NOTE: Actual number of fully-subsidized vaccine doses which can be supplied by COVAX will depend on vaccine prices, characteristics, supply, and available resources, and may be higher or lower than numbers listed here</t>
  </si>
  <si>
    <t>Cost-sharing for additional doses</t>
  </si>
  <si>
    <t>Fully-subsidized doses (2021)</t>
  </si>
  <si>
    <t>Cost-sharing doses (orders above fully-subsidized doses; 2021)</t>
  </si>
  <si>
    <t>Implied Covax subsidy (covered by Covax for AMC countries)</t>
  </si>
  <si>
    <t>A2.6.1 Covax Vaccine Supply for 2021 only</t>
  </si>
  <si>
    <t>Price for additional (cost sharing) doses; Leave blank to use default (Covax estimated fully-loaded average price)</t>
  </si>
  <si>
    <t>USD per dose</t>
  </si>
  <si>
    <t>Cost-sharing fully-loaded price per dose</t>
  </si>
  <si>
    <t>AMC: Covax cost sharing for additional doses</t>
  </si>
  <si>
    <t>Final price for CPA doses; Leave blank to use default</t>
  </si>
  <si>
    <t>Final price</t>
  </si>
  <si>
    <t>Total, based on final price</t>
  </si>
  <si>
    <t>Note: Quantity of vaccine doses dependent on available Covax supply</t>
  </si>
  <si>
    <t>Assumes a 2-dose regiment; Based on requested quantity</t>
  </si>
  <si>
    <t>Assumes a 2-dose regiment; Based on available quantity</t>
  </si>
  <si>
    <t>Assumes a 2-dose regiment; Disregarded for now</t>
  </si>
  <si>
    <t>Remainder</t>
  </si>
  <si>
    <t>Total (based on final price) minus upfront payment; Warning if negative number</t>
  </si>
  <si>
    <t>Options: Self-financing: 10 - 50%; AMC 3 - 20%</t>
  </si>
  <si>
    <t>Total (based on final price) minus upfront payment and risk-sharing guarantee; Warning if negative number</t>
  </si>
  <si>
    <t>When orders confirmed with manufacturers - Decision to purchase? Not currently used</t>
  </si>
  <si>
    <t>Assumes a 2-dose regiment; Based on requested quantity; Paid on signing agreement</t>
  </si>
  <si>
    <t>Assumes a 2-dose regiment; Based on requested quantity; To be paid by Oct 9, 2020</t>
  </si>
  <si>
    <t>Whole number; Non-zero</t>
  </si>
  <si>
    <t>INSTRUCTIONS: This critical section is for specifying the prioritization of various SAGE target populations, over the Stage I, II, and III (approximately 2021-2023).
Each beige colored row represents one or a collection of several target subpopulations. Prioritization is specified as the percent of that subpopulation (row) which is to be vaccinated in the  half-yearly time period (column). The total of each row represents the percent of the subpopulation to be covered in this 3-year period (2021-2023). This can be zero (if there are no intentions to vaccinate that subpopulation), less than 100% if not all of the subpopulation is to be vaccinated, exactly 100% if the subpopulation will be vaccinated with one course over the 3-year period; or greater than 100% if the subpopulation will be vaccinated with more than one course OR if there are expected to be additional 'new' people in the subpopulation (e.g. newly recruited health workers, newly diagnosed diabetics, etc.) within the 3-year priod.
A vaccine surplus and deficit calculator for each time period is provided just below. This can be used to immediately see the implications of the prioritization against the supply of vaccine doses for the that time period.
The recommended method for completing this section is firstly to start with "0%" for all cells. Next, look for the highest priority target subpopulation and maximize (fill in the highest percentage permissable) in the earliest time period. Check that the calculator still indicates that there is a 'surplus' of vaccine doses for that time period and if not, please adjust the degree of prioritization accordingly to balance the supply and demand for vaccines. Next, move to the next priority target subpopulation and repeat the process. When the vaccine doses are exhausted for that time period (calculator shifts from surplus to 'blank' or deficit), adjust the degree of prioritization to balance the supply and demand for vaccines and move on to repeating the same process for the next time period.</t>
  </si>
  <si>
    <t>A2.6.2 Non-Covax Vaccine Supply (2021-2023)</t>
  </si>
  <si>
    <t>B1.4.3 Summary - Vaccine courses needed in 2021 Stage 2</t>
  </si>
  <si>
    <t>A3.2 Vaccine-related supplies, incl. freight</t>
  </si>
  <si>
    <t>Covax fully-loaded?</t>
  </si>
  <si>
    <t>Shipping per dose (to estimate / unbundle Covax fully-loaded vaccine doses)</t>
  </si>
  <si>
    <t>Value of loaded supplies (excl. procurement agent fees)</t>
  </si>
  <si>
    <t>This is paid in Q4 2020 but added to H1 2021</t>
  </si>
  <si>
    <t>CPA: Remainder</t>
  </si>
  <si>
    <t>OPA: Remainder</t>
  </si>
  <si>
    <t>Non-COVAX vaccine supply [taken from A2.6.2]</t>
  </si>
  <si>
    <t>IMPORTANT: For adequate costing estimates, ensure vaccine supply and demand is balanced [B1.2] - i.e., all half-year periods show "OK" in Green</t>
  </si>
  <si>
    <t>9. As many aspects of Covid-19 vaccination are not finalized, many parameters in this model such as default unit prices, quantities of commodities, and vaccine specifications can be updated even after this tool is deployed. To do so, click "Refresh All" under the menu "Data" above. Please note that a security warning may be displayed - please "Enable Content". We recommend you make a backup of the completed tool before performing an update.</t>
  </si>
  <si>
    <t>Supply-demand balanced?</t>
  </si>
  <si>
    <t>Opportunistic co-delivery of essential health services</t>
  </si>
  <si>
    <t>Demand Generation and Communications</t>
  </si>
  <si>
    <t>per capita excluding vaccines (2021-2023)</t>
  </si>
  <si>
    <t>Per dose (including wasted doses)</t>
  </si>
  <si>
    <t>AGE GROUPS AT HIGH RISK OF TRANSMITTING INFECTION</t>
  </si>
  <si>
    <t>Cumulative total (percent of 2023 population)</t>
  </si>
  <si>
    <t>Cumulative Population Expected to be Vaccinated,
% of 2023 Population</t>
  </si>
  <si>
    <t xml:space="preserve">[ar] </t>
  </si>
  <si>
    <t>Logistics and Cold Chain</t>
  </si>
  <si>
    <t>Changes not allowed</t>
  </si>
  <si>
    <t>as 'percent of total population in 2020':</t>
  </si>
  <si>
    <t>By End of the Period</t>
  </si>
  <si>
    <t>If you change the language, please review all dropdown menu responses to ensure they are answered in the language currently selected</t>
  </si>
  <si>
    <t>Please note this whole section uses Medium Variant</t>
  </si>
  <si>
    <t>Demand-based vaccine dose cost estimate - based on final price, target population, vaccine wastage, and expected uptake - FYI only</t>
  </si>
  <si>
    <t>Vaccine doses, based on supply (COVAX and non-Covax)</t>
  </si>
  <si>
    <t>Training &amp; Supervision [Other activities]</t>
  </si>
  <si>
    <t>Security (Technical Assistance)</t>
  </si>
  <si>
    <t>VIRAF-VIRAT 2.0 - F4, NDVP</t>
  </si>
  <si>
    <t>Gavi request</t>
  </si>
  <si>
    <t>Technical Assistance - VIRAF-VIRAT 2.0 - F3</t>
  </si>
  <si>
    <t>Technical Assistance - VIRAF-VIRAT 2.0 - H</t>
  </si>
  <si>
    <t>Technical Assistance - VIRAF-VIRAT 2.0 - A</t>
  </si>
  <si>
    <t>Technical Assistance - VIRAF-VIRAT 2.0 - B</t>
  </si>
  <si>
    <t>Technical Assistance - VIRAF-VIRAT 2.0 - C</t>
  </si>
  <si>
    <t>Technical Assistance - VIRAF-VIRAT 2.0 - D</t>
  </si>
  <si>
    <t>Technical Assistance - VIRAF-VIRAT 2.0 - E</t>
  </si>
  <si>
    <t>Standalone Technical Assistance</t>
  </si>
  <si>
    <t>Vaccine Doses, incl. Shipping</t>
  </si>
  <si>
    <t>HRH (Vaccinator Training, Deployment, and Compensation)</t>
  </si>
  <si>
    <t>Domestic Logistics and Transport (excl. cold chain, security)</t>
  </si>
  <si>
    <t>Cold Chain</t>
  </si>
  <si>
    <t>IADB</t>
  </si>
  <si>
    <t>AfDB</t>
  </si>
  <si>
    <t>Personnel transport</t>
  </si>
  <si>
    <t>Per km</t>
  </si>
  <si>
    <t>CVICosting@who.int</t>
  </si>
  <si>
    <t>Delivery Modality 2 (e.g. one-day campaigns); Avoid using too few sites (e.g., not less than half the number of fixed sites with cold storage)</t>
  </si>
  <si>
    <t>Vaccinators may be (i) redeployed health workers or (ii) newly recruited health workers. This model estimates vaccinator human resource needs. If these exceed the maximum redeployable numbers, additional vaccinators are assumed to be newly recruited and a monthly salary [can be changed in A3.1] will be costed.</t>
  </si>
  <si>
    <t>… of which, Special populations who are Hard-to-Reach</t>
  </si>
  <si>
    <t>Fuel / fare per km (sharing a car)</t>
  </si>
  <si>
    <t>Vaccinator transport to service point (Delivery Modality 2, 3, and 4)</t>
  </si>
  <si>
    <t>Vaccinator last-mile transport for outreach beyond basecamp (Delivery Modality 4)</t>
  </si>
  <si>
    <t>Operational expenditures (e.g. rental temperature controlled vehicles, cold chain logistics charges)</t>
  </si>
  <si>
    <t>PER PERSON Eligible for Vaccination (Work-based)</t>
  </si>
  <si>
    <t>PER PERSON Eligible for Vaccination (Voluntary)</t>
  </si>
  <si>
    <t>Instructions: Please add unit costs for local data management. Once-off costs per fixed site or team (e.g. IT equipment, installation, etc.) and recurrent costs such as data charges and consumables.</t>
  </si>
  <si>
    <t>To convert number of doses to percent of total population in 2020, excluding wastage, use this simple calculator:</t>
  </si>
  <si>
    <t>100% ≈</t>
  </si>
  <si>
    <t>Any</t>
  </si>
  <si>
    <t>Max 90%; If using a high value, please ensure that the target population defined does not exceed the total population</t>
  </si>
  <si>
    <t>ISO</t>
  </si>
  <si>
    <t>GGX 2018</t>
  </si>
  <si>
    <t>Latest ENDA_XDC_USD_RATE</t>
  </si>
  <si>
    <t>UVK</t>
  </si>
  <si>
    <t>WBG</t>
  </si>
  <si>
    <t>General Government Expenditure (nominal US$) 2022p</t>
  </si>
  <si>
    <t>General Government Expenditure (nominal US$) 2021p</t>
  </si>
  <si>
    <t>General Government Expenditure (nominal US$) 2023p</t>
  </si>
  <si>
    <t>WEO 2020-10, IFS GGX</t>
  </si>
  <si>
    <t>GGHE-D + DAH</t>
  </si>
  <si>
    <t>GGHE-D</t>
  </si>
  <si>
    <t>DAH</t>
  </si>
  <si>
    <t>OOPS</t>
  </si>
  <si>
    <t>CAPITAL</t>
  </si>
  <si>
    <t>GDP</t>
  </si>
  <si>
    <t>ExRate</t>
  </si>
  <si>
    <t>POPULATION</t>
  </si>
  <si>
    <t>2018, million US$</t>
  </si>
  <si>
    <t>Current health expenditure by revenues of health care financing schemes</t>
  </si>
  <si>
    <t>total domestic public and aid funding for heath, million US$</t>
  </si>
  <si>
    <t>Domestic public spending on health</t>
  </si>
  <si>
    <t>Aid</t>
  </si>
  <si>
    <t>Other revenues from households n.e.c.</t>
  </si>
  <si>
    <t>Capital health expenditure</t>
  </si>
  <si>
    <t xml:space="preserve">Gross Domestic Product </t>
  </si>
  <si>
    <t>Exchange Rate  (NCU per US$)</t>
  </si>
  <si>
    <t>Population (in thousands)</t>
  </si>
  <si>
    <t>Countries</t>
  </si>
  <si>
    <t>iso</t>
  </si>
  <si>
    <t>15-18 average</t>
  </si>
  <si>
    <t>Cabo Verde Republic of</t>
  </si>
  <si>
    <t xml:space="preserve">Bolivia Plurinational States of </t>
  </si>
  <si>
    <t>The Republic of North Macedonia</t>
  </si>
  <si>
    <t>20182</t>
  </si>
  <si>
    <t>20183</t>
  </si>
  <si>
    <t>20184</t>
  </si>
  <si>
    <t>20185</t>
  </si>
  <si>
    <t>20186</t>
  </si>
  <si>
    <t>20187</t>
  </si>
  <si>
    <t>20188</t>
  </si>
  <si>
    <t>20189</t>
  </si>
  <si>
    <t>15-18 average10</t>
  </si>
  <si>
    <t>15-18 average11</t>
  </si>
  <si>
    <t>15-18 average12</t>
  </si>
  <si>
    <t>15-18 average13</t>
  </si>
  <si>
    <t>15-18 average14</t>
  </si>
  <si>
    <t>15-18 average15</t>
  </si>
  <si>
    <t>15-18 average16</t>
  </si>
  <si>
    <t>15-18 average17</t>
  </si>
  <si>
    <t>Domestic General Government Health Expenditure + Development Aid for Health [GGHED + DAH] (nominal US$)</t>
  </si>
  <si>
    <t>Grand Total as % of 2018 GGHED +DAH</t>
  </si>
  <si>
    <t>Grand Total as % of GGE</t>
  </si>
  <si>
    <t>Covid-19 Vaccination Costs</t>
  </si>
  <si>
    <t>Total WICR/WIFR</t>
  </si>
  <si>
    <t>Total RTMDs</t>
  </si>
  <si>
    <t>Total ILRs/SDDs/Ice pack freezers</t>
  </si>
  <si>
    <t>Update: 2021-01-20</t>
  </si>
  <si>
    <t>Ultra-cold freezer (Extra Large)</t>
  </si>
  <si>
    <t>Ultra-cold freezer (Large)</t>
  </si>
  <si>
    <t>Ultra-cold freezer (Small)</t>
  </si>
  <si>
    <t>UCC</t>
  </si>
  <si>
    <t>Source: Matt and the PATH Team (E-mail correspondance 27 January 2021)</t>
  </si>
  <si>
    <t>UCC - Ultra-cold freezer (Extra Large)</t>
  </si>
  <si>
    <t>Source: PATH | No generator as electricity assumed to be reliable | Room air-conditioning for hot climates not included</t>
  </si>
  <si>
    <t>120L+ - HBD 286</t>
  </si>
  <si>
    <t>Total UCC</t>
  </si>
  <si>
    <t>No data on this available - assumption: 3x that of a non-UCC freezer (based on the approximate cost differences)</t>
  </si>
  <si>
    <t>International shipments per period can be also specified here for each period separately to optimize.</t>
  </si>
  <si>
    <t>Shipments per period can be also specified here for each period separately to optimize.</t>
  </si>
  <si>
    <t>Costing model would assume 2-8C below regional level - as per 5 days stability for BNT162b2</t>
  </si>
  <si>
    <t>Only in on-grid districts</t>
  </si>
  <si>
    <t>and UCC vaccines (will be stored in 2-8C in districts)</t>
  </si>
  <si>
    <t>Maximum days that UCC vaccine is stable at 2-8C</t>
  </si>
  <si>
    <t>Increase the frequency of shipments per period if any RED arrows seen</t>
  </si>
  <si>
    <t>UCC-related errors in Sheet B4</t>
  </si>
  <si>
    <t>Go to sheet B4 to fix logic checks</t>
  </si>
  <si>
    <t>kWh ~Thermo Scientific Performance TSC1350V</t>
  </si>
  <si>
    <t xml:space="preserve">kWh ~ Forma Performance 7400V </t>
  </si>
  <si>
    <t xml:space="preserve">kWh ~ TSX70086A </t>
  </si>
  <si>
    <t>0.9</t>
  </si>
  <si>
    <t>Source: GAVI CCE Budget Template 2021-01-20</t>
  </si>
  <si>
    <t>Note: Expected uptake for vaccination by individuals eligible by virtue of their occupation ('work-based') may be higher than those who are invited for vaccination due to their age, comorbidites, or health states ('voluntary')</t>
  </si>
  <si>
    <t>Note that the translation system for this section has some quirks due to the repetition of the upper and lower variant</t>
  </si>
  <si>
    <t>Suggest to prefer a vaccine with the least stringent requirements for this modality. AVOID UCC vaccines for DM4 (Outreach) as costs assumptions may not be valid.</t>
  </si>
  <si>
    <t>Per Volume (liters)</t>
  </si>
  <si>
    <t>Min volume (L) per container (quantize up)</t>
  </si>
  <si>
    <t>b. Cold-chain logistics and domestic transport, PER LITER (e.g., to cover additional cold storage requirements)</t>
  </si>
  <si>
    <t>b. Cold-chain logistics and domestic transport, PER LITER (to cover additional cold storage requirements)</t>
  </si>
  <si>
    <t>DISABLED</t>
  </si>
  <si>
    <t>Cold chain transportation from district to fixed sites</t>
  </si>
  <si>
    <t>District-equivalent</t>
  </si>
  <si>
    <t>Assumes similar transport costs as personnel transport</t>
  </si>
  <si>
    <t>Cold chain transportation from regional store to districts</t>
  </si>
  <si>
    <t>NOTE: UCC vaccine doses destined for fixed sites will bypass districts</t>
  </si>
  <si>
    <t>Cold chain transportation from regional store to fixed sites (UCC ONLY)</t>
  </si>
  <si>
    <t>UCC - dry ice shipper + dry ice</t>
  </si>
  <si>
    <t>Volume of COVID-19 vaccines in secondary packaging (liters) per Shipment, incl. buffer [PER DISTRICT] - For UCC scenario (regional to district terminus)</t>
  </si>
  <si>
    <t>UCC treated as 2-8 C below regional stores</t>
  </si>
  <si>
    <t>Refrigerated (2 to 8C) (TOTAL incl UCC)</t>
  </si>
  <si>
    <t>UCC Vaccine in 2 to 8C</t>
  </si>
  <si>
    <t>UCC: Including vaccine doses bound for fixed sites which are transported direct from regional stores to fixed sites in 2-8C</t>
  </si>
  <si>
    <t>Dry ice required per period (kg)</t>
  </si>
  <si>
    <t>Costing model would assume 2-8C below regional level - as per 5 days stability for BNT162b2. Frequent trips are needed - may be costly!</t>
  </si>
  <si>
    <t>Further 1 day subtracted for transport</t>
  </si>
  <si>
    <t>Covax Request or, when confirmed, Allocation</t>
  </si>
  <si>
    <t>Cumulative vaccine supply (percent of 2020 population) excluding wastage</t>
  </si>
  <si>
    <t>Or, put differently, what proportion of this target population is to be reached by Delivery Modality 1. 0% = All DM2; 100% = All DM1</t>
  </si>
  <si>
    <t>NOTE: Please do not double count the general hard-to-reach population ("Hard-to-reach population groups such as those in rural and remote areas") described next</t>
  </si>
  <si>
    <t>General hard-to-reach population | Delivery Modality 4 - voluntary eligibility</t>
  </si>
  <si>
    <t>Entering 100% means that all vaccinators will be redeployed health workers. Unlike newly recruited vaccinators, salaries for redeployed health workers are not included in the costs.</t>
  </si>
  <si>
    <t>The redeployment factor is the percentage of the current health workforce that can be redeployed to conduct vaccination (WHO estimate). It varies by country and considers the most recently reported UHC index and health workforce density.</t>
  </si>
  <si>
    <t>Expected Uptake, by delivery modality and eligibility crriteria. Please consider country-specific factors as uptake rates may vary widely by country. 100% = all those eligible for vaccination will accept vaccination.</t>
  </si>
  <si>
    <t>Assumption for US$ 8.60 per liter: 25 L disposable dry ice shipper ($100) + 7.2kg locally-sourced dry ice per shipper ($5 per kg of dry ice). Source: Coupa</t>
  </si>
  <si>
    <t>0.17</t>
  </si>
  <si>
    <t>"Hard-to-reach population groups such as those in rural and remote areas", who will be vaccinated by outreach (Delivery Modality 4). See Special Note.</t>
  </si>
  <si>
    <t>Default number of days for teams to complete vaccinations within each time period [DM 1-3]</t>
  </si>
  <si>
    <t>Default number of days for teams to complete vaccinations within each time period [DM 4]</t>
  </si>
  <si>
    <t>Override here to accelerate vaccination program</t>
  </si>
  <si>
    <t>UCC acceleration factor</t>
  </si>
  <si>
    <t>Enter 0 to exclude salaries from costs</t>
  </si>
  <si>
    <t>e.g., food rations, accomodation, and other expenses. For DM4 (Outreach) only.</t>
  </si>
  <si>
    <t>e.g., once-off non-wage expenses for each recruited vaccinator, such as training, recruitment, uniforms, etc.</t>
  </si>
  <si>
    <t>Avoid ultra-cold vaccines</t>
  </si>
  <si>
    <t>2020 [YR2020]</t>
  </si>
  <si>
    <t>From UN WPP 2019 - 3546426.75</t>
  </si>
  <si>
    <t>Source: WDI SP.POP.TOTL for 2020 - Last Updated 12/18/2020; Will be used to calculate COVAX allocation</t>
  </si>
  <si>
    <t>Note: Total population in 2020 for Covax calculations is based on World Bank projections for 2020</t>
  </si>
  <si>
    <t>International shipments per period (User customization)</t>
  </si>
  <si>
    <t>Shipments from central to regional per period (User customization)</t>
  </si>
  <si>
    <t>Shipments from regional to district + health facilities per period (User customization)</t>
  </si>
  <si>
    <t>Vaccination cards</t>
  </si>
  <si>
    <t>4.4 Security</t>
  </si>
  <si>
    <t>6.3 Evaluation</t>
  </si>
  <si>
    <t>1.3 Regulatory Preparedness</t>
  </si>
  <si>
    <t>1.6 Service Delivery</t>
  </si>
  <si>
    <t>Other TA for HR and training</t>
  </si>
  <si>
    <t>Other Vaccinator Training and Supervision</t>
  </si>
  <si>
    <t>Other Operational Expenditure (7.2)</t>
  </si>
  <si>
    <t>Other Technical Assistance (7.1)</t>
  </si>
  <si>
    <t>Other Operational Expenditure (8.2)</t>
  </si>
  <si>
    <t>Other Operational Expenditure (6.2)</t>
  </si>
  <si>
    <t>Other Technical Assistance (6.1)</t>
  </si>
  <si>
    <t>Other Evaluations (6.3)</t>
  </si>
  <si>
    <t>R2.1 Common Costing Categories for Covid-19 Immunization (NDVP 2.0)</t>
  </si>
  <si>
    <t>OVERRIDE HERE if alternative costing used for section above</t>
  </si>
  <si>
    <t>3rd party oversight over delivery to ensure fairness and quality. Percent of delivery costs (Categories 3 [Human Resources] and 4 [Vaccination Delivery])</t>
  </si>
  <si>
    <t>New additional vaccinators</t>
  </si>
  <si>
    <t>Cost</t>
  </si>
  <si>
    <t>Total PPE</t>
  </si>
  <si>
    <t>MAX number of days for teams to complete vaccinations within each time period [DM 1-3] if UCC is used</t>
  </si>
  <si>
    <t>MAX number of days for teams to complete vaccinations within each time period [DM 1-3] for each time period</t>
  </si>
  <si>
    <t>Vaccine-related Supplies &amp; Devices (excluding waste management [4.2])</t>
  </si>
  <si>
    <t>Adjustment for Covax fully loaded doses [ESTIMATE ONLY]</t>
  </si>
  <si>
    <t>2.1 Vaccine doses and vaccine-related devices &amp; supplies (fully loaded)</t>
  </si>
  <si>
    <t>AMC92 fully-subsidized doses</t>
  </si>
  <si>
    <t>IMPORTANT: These are fully loaded vaccine doses (i.e., vaccine-related devices, supplies, and shipping are included)</t>
  </si>
  <si>
    <t>IMPORTANT: These are standalone vaccine doses (i.e., vaccine-related devices, supplies, and shipping are costed separately)</t>
  </si>
  <si>
    <t>Waste Management</t>
  </si>
  <si>
    <t>Estimated value of fully loaded vaccine components</t>
  </si>
  <si>
    <t>Vaccine-related devices and supplies</t>
  </si>
  <si>
    <t>No Fault Compensation</t>
  </si>
  <si>
    <t>1-dose vaccines (number of courses)</t>
  </si>
  <si>
    <t>2-dose vaccines (number of courses)</t>
  </si>
  <si>
    <t>For costing vaccine doses which are supplied by Covax, a 1-dose course vaccine (e.g. JNJ-78436735) will use the same average price per course as a 2-dose course vaccine. Vaccine delivery costs will differ.</t>
  </si>
  <si>
    <t>Cold boxes, vaccine carriers, and ice packs</t>
  </si>
  <si>
    <t>AMC92 fully-subsidized courses (quantity)</t>
  </si>
  <si>
    <t>3.4 Other</t>
  </si>
  <si>
    <t>Covax available supply in Stage 2 (H2 2021)</t>
  </si>
  <si>
    <t>Covax available supply in Stage 1 (H1 2021); Max 20%</t>
  </si>
  <si>
    <t>per liter</t>
  </si>
  <si>
    <t>Without wastage</t>
  </si>
  <si>
    <t>Prequalified Price</t>
  </si>
  <si>
    <t>More info on waste management supples @ B2</t>
  </si>
  <si>
    <t>Low Dead Space Syringe (0.3ml) AD</t>
  </si>
  <si>
    <t>21G needle</t>
  </si>
  <si>
    <t>RUP syringe (3ml)</t>
  </si>
  <si>
    <t>BNT162b2 (Comirnaty)</t>
  </si>
  <si>
    <t>Pfizer-BionTech</t>
  </si>
  <si>
    <t>3</t>
  </si>
  <si>
    <t>ChAdOx1-S (COVISHIELD)</t>
  </si>
  <si>
    <t>AstraZeneca</t>
  </si>
  <si>
    <t>8</t>
  </si>
  <si>
    <t>4</t>
  </si>
  <si>
    <t>Ad26.COV2.S</t>
  </si>
  <si>
    <t>J&amp;J</t>
  </si>
  <si>
    <t>14</t>
  </si>
  <si>
    <t>0.5</t>
  </si>
  <si>
    <t>BARRE DE NAVIGATION:</t>
  </si>
  <si>
    <t>НАВИГАЦИОННАЯ ПАНЕЛЬ:</t>
  </si>
  <si>
    <t>BARRA DE NAVEGACIÓN:</t>
  </si>
  <si>
    <t>BARRA DE NAVEGAÇÃO:</t>
  </si>
  <si>
    <t>شريط التنقل:</t>
  </si>
  <si>
    <t>导航栏：</t>
  </si>
  <si>
    <t>R2. Cartographie des ressources: ressources nationales, des partenaires et de consortiums</t>
  </si>
  <si>
    <t xml:space="preserve">R2. Обзор ресурсов - внутренние ресурсы страны, ресурсы партнерских организаций, объединенные ресурсы </t>
  </si>
  <si>
    <t>R2. Mapeo de recursos - Mapeo nacional, de asociados y de consorcio</t>
  </si>
  <si>
    <t>R2. Mapeamento de Recursos – Internos, Parceiros e Mapeamento de Consórcio</t>
  </si>
  <si>
    <t>R2. تخطيط الموارد - المحلية، والشركاء، والاتحادات</t>
  </si>
  <si>
    <t>R2. 资源映射——国内、合作伙伴和联盟资源映射</t>
  </si>
  <si>
    <t>R2.0 Résumé (variante moyenne)</t>
  </si>
  <si>
    <t>R2.0 Краткий обзор (Средний вариант)</t>
  </si>
  <si>
    <t>R2.0 Resumen (Variante media)</t>
  </si>
  <si>
    <t>R2.0 Resumo (Variante média)</t>
  </si>
  <si>
    <t>R2.0 ملخص (المتغير الأوسط)</t>
  </si>
  <si>
    <t>R2.0 总结（中变量）</t>
  </si>
  <si>
    <t>R2.0.1 Source de financement</t>
  </si>
  <si>
    <t>R2.0.1 Источник финансирования</t>
  </si>
  <si>
    <t>R2.0.1 Fuente de financiación</t>
  </si>
  <si>
    <t>R2.0.1 Fonte de Financiamento</t>
  </si>
  <si>
    <t>R2.0.1 مصدر التمويل</t>
  </si>
  <si>
    <t>R2.0.1 资金来源</t>
  </si>
  <si>
    <t xml:space="preserve">Инструкции: Данный раздел посвящен составлению обзора ресурсов и дает пользователю возможность определить порядок покрытия различных составляющих затрат  (они перечислены в Таблице R2.1) и соответствующих источников финансирования. Источниками финансирования могут быть внутренние ресурсы страны, ресурсы партнерских организаций и объединенные ресурсы нескольких партнёрских организаций (в том числе и "местных").
Ниже перечислены несколько партнерских организаций; дополнительные наименования партнеров или партнерского объединения можно указать в ячейках, выделенных заливкой бежевым цветом.
После того, как Вы перечислите названия партнерских организаций и партнерских объединений, "свяжите" каждый элемент затрат [Столбец K] с соответствующим источником финансирования. Это покажет эффект привлечения внутреннего и партнерского финансирования и станет основой для построения диалога между участвующими сторонами. Также, отдельные элементы затрат можно "отвязать" (не заполнять столбец K), если страна не заинтересована в выделении соответствующего финансирования. После того, как Вы выполнили увязку элементов затрат из столбца К с источниками финансирования, не вносите последующие изменения в названия партнерских организаций/партнерских объединений.
</t>
  </si>
  <si>
    <t>Instrucciones: Esta sección de mapeo de recursos permite a los usuarios vincular los distintos componentes de coste (relacionados en R2.1) a las fuentes de financiación. Las fuentes de financiación pueden ser nacionales, un asociado, o un consorcio de asociados (incl. “nacional”).
Abajo aparece una relación de asociados; en las celdas color beige se pueden añadir más nombres de asociados o consorcios de asociados pertinentes para el país.
Una vez añadidos los nombres de asociados o consorcios de asociados, “mapear” cada partida de coste [Columna K] a una fuente de financiación, para ver las implicaciones de ese mapeo de financiación nacional o de asociado, con el fin de informar un diálogo entre las partes interesadas pertinentes. Las partidas se pueden dejar sin asignar (dejar en blanco la Columna K) si no se tiene interés en financiar esa partida. Una vez realizada la asignación en la Columna K, no modificar el nombre del asociado/consorcio.</t>
  </si>
  <si>
    <t>Instruções: Esta secção de mapeamento de recursos permite aos utilizadores mapear vários componentes de custos (listados em R2.1) para fontes de financiamento. As fontes de financiamento podem ser internas, um parceiro ou um consórcio de parceiros (incluindo "internos").
Alguns parceiros estão listados abaixo e nomes adicionais de parceiros ou consórcios parceiros relevantes para o país podem ser adicionados nas células bege abaixo.
Após os nomes dos parceiros e/ou consórcios de parceiros terem sido listados, "faça o mapeamento" de cada item de custo [Coluna K] para uma fonte de financiamento para visualizar as implicações de tal mapeamento financeiro interno e de parceiros, a fim de informar um diálogo entre as partes interessadas relevantes. Os itens podem ser deliberadamente não alocados (Coluna K deixada em branco) se não houver interesse em financiar tal item. Não mude o nome do parceiro/consórcios uma vez que a alocação na coluna K tenha sido realizada.</t>
  </si>
  <si>
    <t xml:space="preserve">
تعليمات: يسمح قسم تخطيط الموارد هذا للمستخدمين بتخطيط مكونات التكلفة المختلفة (المدرجة في R2.1) مع مصادر التمويل. ومن الممكن أن تكون مصادر التمويل محلية، أو شريكة، أو اتحاد من الشركاء (بما في ذلك "المحلية").
يتم إدراج بعض الشركاء أدناه ويمكن إضافة أسماء إضافية من الشركاء أو اتحادات الشركاء المرتبطين بالبلد في الخلايا باللون البني الفاتح أدناه.
بعد إدراج أسماء الشركاء أو اتحادات الشركاء، يرجى "ربط" كل بند من بنود التكلفة [العمود K] بمصدر تمويل لعرض الآثار المترتبة على التخطيط المالي المحلي والخاص بالشركاء، لتوجيه الحوار بين الأطراف المعنية.
يمكن إلغاء تخصيص العناصر عمدًا (ترك العمود K فارغًا) إذا لم يكن هناك اهتمام بتمويل مثل هذا البند. يرجى عدم تغيير اسم الشريك/الاتحادات بعد إجراء التخصيص في العمود K.</t>
  </si>
  <si>
    <t>说明：此资源映射部分方便用户将各种成本项目（列于R2.1）与相应的资金来源相对应。 资金可以来自国内、合作伙伴或合作伙伴联盟（包括 “国内的”）。
下方列出了一些合作伙伴名称，并可在下面的米色单元格中添加与该国相关的其他合作伙伴或合作伙伴联盟名称。
列出合作伙伴和/或合作伙伴联盟名称后，请将每个成本项目[K列]“对应到”一个资金来源，从而可以查看这一国内以及合作伙伴资金映射产生的影响，以便为有关利益相关者之间的对话提供信息。如果尚无任何供资者对资助任何一个项目有兴趣，则可刻意不分配该项目（K列留空）。一旦完成K列中的分配，请不要更改合作伙伴/联盟的名称。</t>
  </si>
  <si>
    <t>S1 2021</t>
  </si>
  <si>
    <t>S2 2021</t>
  </si>
  <si>
    <t>S1 2022</t>
  </si>
  <si>
    <t>S2 2022</t>
  </si>
  <si>
    <t>S1 2023</t>
  </si>
  <si>
    <t>S2 2023</t>
  </si>
  <si>
    <t>Total (2021-2023), par source de financement</t>
  </si>
  <si>
    <t>Полугодие 1 2021</t>
  </si>
  <si>
    <t>Полугодие 2 2021</t>
  </si>
  <si>
    <t>Полугодие 1 2022</t>
  </si>
  <si>
    <t>Полугодие 2 2022</t>
  </si>
  <si>
    <t>Полугодие 1 2023</t>
  </si>
  <si>
    <t>Полугодие 2 2023</t>
  </si>
  <si>
    <t>Всего</t>
  </si>
  <si>
    <t>Всего (2021-2023), по источнику финансирования</t>
  </si>
  <si>
    <t xml:space="preserve"> Total (2021-2023), por fuente de financiación</t>
  </si>
  <si>
    <t>Total (2021-2023), por fonte de financiamento</t>
  </si>
  <si>
    <t>النصف الأول 2021</t>
  </si>
  <si>
    <t>النصف الثاني 2021</t>
  </si>
  <si>
    <t xml:space="preserve"> النصف الأول 2022</t>
  </si>
  <si>
    <t>النصف الثاني 2022</t>
  </si>
  <si>
    <t>النصف الأول 2023</t>
  </si>
  <si>
    <t>النصف الثاني 2023</t>
  </si>
  <si>
    <t>الإجمالي</t>
  </si>
  <si>
    <t>الإجمالي (2021-2023)، حسب مصدر التمويل</t>
  </si>
  <si>
    <t>2021年上半年</t>
  </si>
  <si>
    <t>2021年下半年</t>
  </si>
  <si>
    <t>2022年上半年</t>
  </si>
  <si>
    <t>2022年下半年</t>
  </si>
  <si>
    <t>2023年上半年</t>
  </si>
  <si>
    <t>2023年下半年</t>
  </si>
  <si>
    <t>总计</t>
  </si>
  <si>
    <t>总计（2021-2023年），按资金来源</t>
  </si>
  <si>
    <t>Sources de financement, par période</t>
  </si>
  <si>
    <t xml:space="preserve">Источники финансирования, по временному периоду </t>
  </si>
  <si>
    <t>Fuentes de financiación, por periodo</t>
  </si>
  <si>
    <t>Fontes de financiamento, por período de tempo</t>
  </si>
  <si>
    <t>مصدر التمويل، حسب الفترة الزمنية</t>
  </si>
  <si>
    <t>资金来源，按时间段</t>
  </si>
  <si>
    <t>Coût total alloué</t>
  </si>
  <si>
    <t>Всего выделено средств на покрытие затрат / определены источники финансирования</t>
  </si>
  <si>
    <t>Coste total asignado / mapeado</t>
  </si>
  <si>
    <t>Custo total alocado/mapeado</t>
  </si>
  <si>
    <t>التكلفة الإجمالية المخصصة / المخططة</t>
  </si>
  <si>
    <t>已分配/映射的总成本</t>
  </si>
  <si>
    <t>Total général (USD): variante moyenne</t>
  </si>
  <si>
    <t>Суммарный итог (в долларах США) - Средний вариант</t>
  </si>
  <si>
    <t>Total General (USD) - Variante media</t>
  </si>
  <si>
    <t>Total Geral (USD) – Variante média</t>
  </si>
  <si>
    <t>المجموع الكلي (دولار أمريكي) - المتغير الأوسط</t>
  </si>
  <si>
    <t>总和（美元）——中变量</t>
  </si>
  <si>
    <t>Coût total non alloué (déficit de financement)</t>
  </si>
  <si>
    <t>Всего не выделено средств на покрытие затрат (разрыв финансирования)</t>
  </si>
  <si>
    <t>Coste total no asignado (brecha de financiación)</t>
  </si>
  <si>
    <t>Custo Total Não Alocado (Lacuna de financiamento)</t>
  </si>
  <si>
    <t>إجمالي التكلفة غير المخصصة (فجوة التمويل)</t>
  </si>
  <si>
    <t>未分配的总成本（筹资缺口）</t>
  </si>
  <si>
    <t>R2.0.2 Unité budgétaire/agent de financement</t>
  </si>
  <si>
    <t xml:space="preserve">R2.0.2 Бюджетное ведомство / финансирующая организация </t>
  </si>
  <si>
    <t>R2.0.2 Unidad presupuestaria / Agente de financiación</t>
  </si>
  <si>
    <t>R2.0.2 Unidade Orçamentária/Agente Financeiro</t>
  </si>
  <si>
    <t>R2.0.2 وحدة الميزانية / وكيل التمويل</t>
  </si>
  <si>
    <t>R2.0.2 预算单位/筹资机构</t>
  </si>
  <si>
    <t>Instructions: Cette section de cartographie des ressources permet aux utilisateurs de faire correspondre différentes composantes de coût (énumérées en R2.1) à une unité budgétaire, par laquelle ce financement passera, notamment divers ministères, départements ou autres organes gouvernementaux ou quasi-gouvernementaux; dans certains contextes, des acteurs privés ou de la société civile peuvent aussi jouer ce rôle.
On peut ajouter dans les cellules beiges ci-dessous d'autres noms d'unités budgétaires/d'agents de financement en lien avec le pays.
Une fois que l'on a indiqué le nom des unités budgétaires/agents de financement, faire correspondre à chaque coût [colonne L] une unité/un agent pour voir les effets de cette structure de financement des vaccins, que l'on peut alors placer dans le contexte de la capacité préexistante d'absorption, la viabilité, etc. Ne pas changer le nom de l'unité/l'agent une fois l'allocation dans la colonne L effectuée</t>
  </si>
  <si>
    <t>Инструкции: Данный раздел посвящен составлению обзора ресурсов и позволяет пользователю определить порядок покрытия различных элементов затрат (они перечислены в Таблице R2.1) из средств бюджетного учреждения, которое будет получать и выделять соответствующие финансовые ресурсы. Такими бюджетными учреждениями могут быть министерства, департаменты и другие государственные и полугосударственные органы. В некоторых случаях, эту роль могут выполнять частные компании или организации гражданского общества.
Дополнительные названия действующих в Вашей стране бюджетных ведомств/ финансирующих организаций можно указать в ячейках, выделенных заливкой бежевым цветом.
После того, как будут указаны все наименования бюджетных ведомств/ финансирующих организаций, "привяжите" каждую составляющую затрат [см. в столбце L] к соответствующему ведомству/ организации, чтобы просмотреть, как это повлияет на общую схему финансирования вакцинации, которая может быть дополнительно адаптирована с учетом существующих в стране возможностей, усточивости системы финансирования и т.д. Не вносите изменений в наименование бюджетных ведомств/ финансирующих организаций после того, как вы определите источники финансирования для каждого компонента затрат в столбце L.</t>
  </si>
  <si>
    <t>Instrucciones: Esta sección de mapeo de recursos permite a los usuarios vincular los distintos componentes de coste (relacionados en R2.1) a una unidad presupuestaria, a través de la cual fluirá la financiación. Puede incluir varios ministerios, departamentos u otros organismos públicos o cuasi públicos. En algunos contextos, actores privados o de la sociedad civil podrían también desempeñar ese papel.
En las celdas color beige se pueden añadir más nombres de unidades presupuestarias / agentes de financiación pertinentes para el país.
Una vez añadidos los nombres de las unidades presupuestarias, “mapear” cada partida de coste [Columna L] a una unidad / agente, para ver las implicaciones de la arquitectura de financiación de las vacunas, que podrá entonces contextualizarse frente a la capacidad de absorción, la sostenibilidad, etc. preexistente. Una vez realizada la asignación en la Columna L, no modificar el nombre de la unidad / agente.</t>
  </si>
  <si>
    <t>Instruções: Esta secção de mapeamento de recursos permite aos utilizadores mapear vários componentes de custo (listados em R2.1) para uma unidade orçamentária, através da qual tal financiamento fluirá. Estes podem incluir vários ministérios, departamentos ou outras entidades governamentais ou para-governamentais. Em algum contexto, os actores privados ou da sociedade civil também podem desempenhar tal papel.
Nomes adicionais de unidades orçamentárias/agentes financeiros relevantes para o país podem ser adicionados nas células bege abaixo.
Após os nomes das unidades orçamentárias/agentes financeiros terem sido listados, "faça o mapeamento" de cada item de custo [Coluna L] para uma unidade/agente para ver as implicações da arquitectura de financiamento da vacina, que pode então ser contextualizada relativamente à capacidade de absorção preexistente, sustentabilidade, etc. Não mude o nome da unidade/agente uma vez que a alocação na Coluna L tenha sido realizada.</t>
  </si>
  <si>
    <t xml:space="preserve">
تعليمات: يسمح قسم تخطيط الموارد هذا للمستخدمين بتخطيط مكونات التكلفة المختلفة (المدرجة في R2.1) مع وحدة موازنة، والتي سيتدفق التمويل من خلالها. ومن الممكن أن تشتمل هذه على وزارات أو إدارات أو كيانات حكومية أو شبه حكومية مختلفة. وفي بعض السياق، قد تلعب الجهات الفاعلة من القطاع الخاص أو المجتمع المدني مثل هذا الدور أيضًا.
يمكن إضافة أسماء إضافية لوحدات الميزانية / وكلاء التمويل ذوي الصلة بالبلد في الخلايا باللون البني الفاتح أدناه.
بعد إدراج أسماء وحدات الميزانية / وكلاء التمويل، يرجى "تخطيط" كل عنصر تكلفة [العمود L] مع وحدة / وكيل لعرض الآثار المترتبة على بنية تمويل اللقاحات، والتي يمكن بعد ذلك تحديدها بحسب السياق في مقابل القدرة القائمة على الاستيعاب، والاستدامة، إلخ. يرجى عدم تغيير اسم الوحدة / الوكيل بمجرد إجراء التخصيص في العمود L.</t>
  </si>
  <si>
    <t>说明：该资源映射部分方便用户将各种成本元素（列于R2.1）与相关预算单位相对应，这样资金就能够通过这些单位进入项目，这可以包括各部委、部门或其他政府或准政府实体。在某些情况下，私营或民间社会行为者也可能扮演这样的角色。
可在下面的米色单元格中添加适用于该国的其他预算单位/筹资机构名称。
列出预算单位/筹资机构名称后，请将每个成本项目[L列]与一个单位/机构相对应，从而了解相关疫苗筹资架构产生的影响，并可将其融入现有的背景环境中，比如吸收能力、可持续性等。一旦完成L列中的分配，请不要更改单位/筹资机构名称。</t>
  </si>
  <si>
    <t>R2.0.3 Évaluation du financement de la santé</t>
  </si>
  <si>
    <t xml:space="preserve"> R2.0.3 Сравнительный анализ финансирования в здравоохранении</t>
  </si>
  <si>
    <t>R2.0.3 Referencias de financiación para la salud</t>
  </si>
  <si>
    <t>R2.0.3 Análise Comparativa de Financiamento da Saúde</t>
  </si>
  <si>
    <t>R2.0.3 قياس التمويل الصحي</t>
  </si>
  <si>
    <t>R2.0.3 卫生筹资基准</t>
  </si>
  <si>
    <t>Outrepasser ici</t>
  </si>
  <si>
    <t>Base de données internationale pour les dépenses de santé ou GHED (2018)</t>
  </si>
  <si>
    <t>Utilisé pour calculs</t>
  </si>
  <si>
    <t>Скорректируйте параметры здесь</t>
  </si>
  <si>
    <t>Глобальная база данных по расходам на здравоохранение (2018)</t>
  </si>
  <si>
    <t>Используется для расчетов</t>
  </si>
  <si>
    <t>Sustituir aquí</t>
  </si>
  <si>
    <t>Base Mundial de Gasto en Salud (GHED) (2018)</t>
  </si>
  <si>
    <t>Utilizado para los cálculos</t>
  </si>
  <si>
    <t>Substituir aqui</t>
  </si>
  <si>
    <t>Utilizada para cálculos</t>
  </si>
  <si>
    <t>تجاوز هنا</t>
  </si>
  <si>
    <t>قاعدة بيانات نفقات الصحة العالمية (2018)</t>
  </si>
  <si>
    <t>تُستخدم في العمليات الحسابية</t>
  </si>
  <si>
    <t>覆写此处</t>
  </si>
  <si>
    <t>全球卫生支出数据库（2018年）</t>
  </si>
  <si>
    <t>用于计算</t>
  </si>
  <si>
    <t>Dépenses de santé actuelles (USD nominaux)</t>
  </si>
  <si>
    <t>Текущие расходы на здравоохранение (заданы в долларах США)</t>
  </si>
  <si>
    <t>Gasto en salud actual (USD nominales)</t>
  </si>
  <si>
    <t>Despesas Actuais com a Saúde (CHE) (US$ nominais)</t>
  </si>
  <si>
    <t>النفقات الحالية على الصحة (بالدولار الأمريكي)</t>
  </si>
  <si>
    <t>当前卫生支出（以美元结算）</t>
  </si>
  <si>
    <t>Dépenses de santé générales du gouvernement (USD nominaux)</t>
  </si>
  <si>
    <t>Общие государственные расходы на здравоохранение (заданы в долларах США)</t>
  </si>
  <si>
    <t>Gasto general público en salud (USD nominales)</t>
  </si>
  <si>
    <t>Despesas Gerais do Governo com a Saúde (GGHE) (US$ nominais)</t>
  </si>
  <si>
    <t>النفقات الحكومية العامة على الصحة (بالدولار الأمريكي)</t>
  </si>
  <si>
    <t>政府一般卫生支出（以美元结算）</t>
  </si>
  <si>
    <t>Dépenses de santé générales intérieures du gouvernement (USD nominaux)</t>
  </si>
  <si>
    <t>Общие внутренние государственные расходы на здравоохранение (заданы в долларах США)</t>
  </si>
  <si>
    <t>Gasto general público nacional en salud (USD nominales)</t>
  </si>
  <si>
    <t>Despesas Nacionais Gerais do Governo com a Saúde (GGHE) (US$ nominais)</t>
  </si>
  <si>
    <t>النفقات الحكومية العامة المحلية على الصحة (بالدولار الأمريكي)</t>
  </si>
  <si>
    <t>国内政府一般卫生支出（以美元结算）</t>
  </si>
  <si>
    <t>Dépenses de santé générales extérieures du gouvernement (USD nominaux)</t>
  </si>
  <si>
    <t>Внешние расходы на здравоохранение (заданы в долларах США)</t>
  </si>
  <si>
    <t>Gasto externo en salud (USD nominales)</t>
  </si>
  <si>
    <t>Despesas Externas com a Saúde (EXT) (US$ nominais)</t>
  </si>
  <si>
    <t>النفقات الخارجية على الصحة (بالدولار الأمريكي)</t>
  </si>
  <si>
    <t>外部卫生支出（以美元结算）</t>
  </si>
  <si>
    <t>Dépenses d'investissement de santé (USD nominaux)</t>
  </si>
  <si>
    <t>Капитальные расходы на здравоохранение (заданы в долларах США)</t>
  </si>
  <si>
    <t>Gasto de capital en salud (USD nominales)</t>
  </si>
  <si>
    <t>Despesas de Capital com a Saúde (HK) (US$ nominais)</t>
  </si>
  <si>
    <t>النفقات الرأسمالية على الصحة (بالدولار الأمريكي)</t>
  </si>
  <si>
    <t>卫生资本支出（以美元结算）</t>
  </si>
  <si>
    <t xml:space="preserve">Суммарный итог (в долларах США) - для среднего варианта </t>
  </si>
  <si>
    <t>الإجمالي الكلي (دولار أمريكي) - المتغير الأوسط</t>
  </si>
  <si>
    <t>Total intérieur (USD)</t>
  </si>
  <si>
    <t>Всего внутренних расходов (в долларах США)</t>
  </si>
  <si>
    <t>Total nacional (USD)</t>
  </si>
  <si>
    <t>Nacionais Totais (USD)</t>
  </si>
  <si>
    <t>الإجمالي المحلي (بالدولار الأمريكي)</t>
  </si>
  <si>
    <t>国内总计（美元）</t>
  </si>
  <si>
    <t>Total extérieur (USD)</t>
  </si>
  <si>
    <t>Всего внешних расходов (в долларах США)</t>
  </si>
  <si>
    <t>Total externo (USD)</t>
  </si>
  <si>
    <t>Externas Totais (USD)</t>
  </si>
  <si>
    <t>الإجمالي الخارجي (بالدولار الأمريكي)</t>
  </si>
  <si>
    <t>外部总计（美元）</t>
  </si>
  <si>
    <t>Financement par le ministère de la santé (USD)</t>
  </si>
  <si>
    <t>Финансирование, осуществляемое через МЗ (в долларах США)</t>
  </si>
  <si>
    <t>Financiación a través del MINSA (USD)</t>
  </si>
  <si>
    <t>Financiamento através do MISAU (USD)</t>
  </si>
  <si>
    <t>التمويل من خلال وزارة الصحة (بالدولار الأمريكي)</t>
  </si>
  <si>
    <t>通过MOH的筹资（美元）</t>
  </si>
  <si>
    <t>Dépenses d'investissement (USD)</t>
  </si>
  <si>
    <t>Капитальные расходы (в долларах США)</t>
  </si>
  <si>
    <t>Gasto de capital (USD)</t>
  </si>
  <si>
    <t>Despesas de capital (USD)</t>
  </si>
  <si>
    <t>النفقات الرأسمالية (بالدولار الأمريكي)</t>
  </si>
  <si>
    <t>资本支出（美元）</t>
  </si>
  <si>
    <t>Financement de la vaccination contre la COVID-19 par rapport à une sélection d'indicateurs de financement de la santé</t>
  </si>
  <si>
    <t xml:space="preserve">Финансирование вакцинации против COVID-19 по выборочным показателям финансирования в здравоохранении </t>
  </si>
  <si>
    <t>Financiación de la vacunación de la Covid-19 frente a determinados indicadores de financiación de la salud</t>
  </si>
  <si>
    <t>Financiamento da vacinação contra a Covid-19 relativamente a indicadores seleccionados de financiamento da saúde</t>
  </si>
  <si>
    <t>تمويل التطعيم ضد كوفيد-19 في مقابل مؤشرات تمويل صحي مختارة</t>
  </si>
  <si>
    <t>针对特定卫生筹资指标的Covid-19疫苗接种筹资</t>
  </si>
  <si>
    <t>Évaluation de la vaccination contre la COVID-19 par rapport à des dépenses de santé récentes:</t>
  </si>
  <si>
    <t>Сравнительный анализ вакцинации против COVID-19 с последними расходами на здравоохранение:</t>
  </si>
  <si>
    <t>Referencia de la vacunación de la Covid-19 frente a gastos recientes en salud:</t>
  </si>
  <si>
    <t>Análise comparativa da vacinação contra a Covid-19 em relação às despesas recentes com a saúde:</t>
  </si>
  <si>
    <t>قياس التطعيم ضد كوفيد-19 ي مقابل النفقات الصحية الأخيرة:</t>
  </si>
  <si>
    <t>Covid-19疫苗接种与近期卫生支出对标：</t>
  </si>
  <si>
    <t>En sus du financement existant (financement des vaccinations ajouté au dénominateur)</t>
  </si>
  <si>
    <t>Дополнительно к существующему финансированию (финансирование вакцинации прибавляется к знаменателю)</t>
  </si>
  <si>
    <t>Adicional a la financiación existente (la financiación de la vacunación se suma al denominador)</t>
  </si>
  <si>
    <t>Adicional ao financiamento existente (financiamento da vacinação adicionado ao denominador)</t>
  </si>
  <si>
    <t>إضافة إلى التمويل القائم (تمت إضافة تمويل التطعيم إلى المقام)</t>
  </si>
  <si>
    <t>对现有筹资的补充（将疫苗筹资加入分母）</t>
  </si>
  <si>
    <t>Total général en % du financement des vaccinations</t>
  </si>
  <si>
    <t>Суммарный итог в виде % от финансирования здравоохранения</t>
  </si>
  <si>
    <t>Total general como % de la financiación para la vacunación</t>
  </si>
  <si>
    <t>Total geral como % do Financiamento da Vacinação</t>
  </si>
  <si>
    <t>الإجمالي الكلي كنسبة من تمويل التطعيم</t>
  </si>
  <si>
    <t>总和占疫苗筹资的百分比</t>
  </si>
  <si>
    <t>Dépenses intérieures en % des dépenses de santé gouvernementales générales intérieures (GGHED) pour 2018</t>
  </si>
  <si>
    <t>Внутренние расходы как % от общих внутренних государственных расходов на здравоохранение в 2018 году (ОВГРЗ)</t>
  </si>
  <si>
    <t>Nacional como % del gasto general público nacional en salud (GGHED) 2018</t>
  </si>
  <si>
    <t>Nacionais como % das GGHED de 2018</t>
  </si>
  <si>
    <t>المحلي كنسبة من النفقات الحكومية العامة على الصحة لعام 2018</t>
  </si>
  <si>
    <t>国内筹资占2018年GGHED的百分比</t>
  </si>
  <si>
    <t>Dépenses extérieures en % de celles de 2018</t>
  </si>
  <si>
    <t>Внешние расходы как % от внешних расходов за 2018 г.</t>
  </si>
  <si>
    <t>Externo como % de 2018 EXT</t>
  </si>
  <si>
    <t>Externas como % das EXT de 2018</t>
  </si>
  <si>
    <t>الخارجي كنسبة من الإجمالي الخارجي لعام 2018</t>
  </si>
  <si>
    <t>外部筹资占2018年EXT的百分比</t>
  </si>
  <si>
    <t>Dépenses d'investissement en % de celles de 2018</t>
  </si>
  <si>
    <t xml:space="preserve">Капитальные расходы как % от капитальных расходов на здравоохранение в 2018 г. </t>
  </si>
  <si>
    <t xml:space="preserve">Gastos de capital como % del capital de salud (HK) 2018 </t>
  </si>
  <si>
    <t>Despesas de capital como % das HK de 2018</t>
  </si>
  <si>
    <t xml:space="preserve">النفقات الرأسمالية كنسبة من HK لعام 2018 </t>
  </si>
  <si>
    <t>资本支出占2018年HK的百分比</t>
  </si>
  <si>
    <t>分配/映射</t>
  </si>
  <si>
    <t>Source de financement</t>
  </si>
  <si>
    <t>Unité budgétaire/agent de financement</t>
  </si>
  <si>
    <t>Dépenses d'investissement?</t>
  </si>
  <si>
    <t>Источник финансирования</t>
  </si>
  <si>
    <t>Бюджетное ведомство / финансирующая организация</t>
  </si>
  <si>
    <t>Это капитальные расходы?</t>
  </si>
  <si>
    <t>Fuente de financiación</t>
  </si>
  <si>
    <t>Unidad presupuestaria / Agente de financiación</t>
  </si>
  <si>
    <t>¿Gastos de capital?</t>
  </si>
  <si>
    <t>Fonte de financiamento</t>
  </si>
  <si>
    <t>Unidade orçamentária/Agente financeiro</t>
  </si>
  <si>
    <t>Despesas de capital?</t>
  </si>
  <si>
    <t>مصدر التمويل</t>
  </si>
  <si>
    <t>وحدة الميزانية / وكيل التمويل</t>
  </si>
  <si>
    <t>نفقات رأسمالية؟</t>
  </si>
  <si>
    <t>资金来源</t>
  </si>
  <si>
    <t>预算单位/筹资机构</t>
  </si>
  <si>
    <t>资本支出？</t>
  </si>
  <si>
    <t>NB: Les cellules laissées en blanc indiquent que le coût n'a pas été alloué à R2.0.1 ou R 2.0.2</t>
  </si>
  <si>
    <t>ПРИМЕЧАНИЕ: Ячейки не заполняются в случае, если соответствующий элемент затрат не указан в R2.0.1 или R 2.0.2</t>
  </si>
  <si>
    <t xml:space="preserve"> NOTA: Si se dejan celdas en blanco, significa que esa partida de coste no se asigna a R2.0.1 o R 2.0.2</t>
  </si>
  <si>
    <t>NOTA: As células deixadas em branco implicam que o item de custo não está alocado em R2.0.1 ou R 2.0.2</t>
  </si>
  <si>
    <t>ملاحظة: تشير الخلايا التي تُركت فارغة إلى أن عنصر تكلفة غير مخصص إلى R2.0.1 أو R 2.0.2</t>
  </si>
  <si>
    <t>注意：留空的单元格意味着成本项目未分配给R2.0.1或R 2.0.2</t>
  </si>
  <si>
    <t>不包括培训和监督、疫苗安全监测、需求生成和沟通、以及其他干预措施</t>
  </si>
  <si>
    <t>Assistance technique: VIRAF-VIRAT 2.0 - A</t>
  </si>
  <si>
    <t>Техническая помощь  - VIRAF-VIRAT 2.0 - A</t>
  </si>
  <si>
    <t>Asistencia técnica - VIRAF-VIRAT 2.0 - A</t>
  </si>
  <si>
    <t>Ajuda Técnica – VIRAF-VIRAT 2.0 – A</t>
  </si>
  <si>
    <t>المساعدة التقنية - VIRAF-VIRAT 2.0 - A</t>
  </si>
  <si>
    <t>技术援助——VIRAF-VIRAT 2.0——A</t>
  </si>
  <si>
    <t>Assistance technique: VIRAF-VIRAT 2.0 - B</t>
  </si>
  <si>
    <t>Техническая помощь  - VIRAF-VIRAT 2.0 - B</t>
  </si>
  <si>
    <t>Asistencia técnica - VIRAF-VIRAT 2.0 - B</t>
  </si>
  <si>
    <t>Ajuda Técnica – VIRAF-VIRAT 2.0 – B</t>
  </si>
  <si>
    <t>المساعدة التقنية - VIRAF-VIRAT 2.0 - B</t>
  </si>
  <si>
    <t>技术援助——VIRAF-VIRAT 2.0——B</t>
  </si>
  <si>
    <t>Assistance technique: VIRAF-VIRAT 2.0 - C</t>
  </si>
  <si>
    <t>Техническая помощь  - VIRAF-VIRAT 2.0 - C</t>
  </si>
  <si>
    <t>Asistencia técnica - VIRAF-VIRAT 2.0 - C</t>
  </si>
  <si>
    <t>Ajuda Técnica – VIRAF-VIRAT 2.0 – C</t>
  </si>
  <si>
    <t>المساعدة التقنية - VIRAF-VIRAT 2.0 - C</t>
  </si>
  <si>
    <t>技术援助——VIRAF-VIRAT 2.0——C</t>
  </si>
  <si>
    <t>Assistance technique: VIRAF-VIRAT 2.0 - D</t>
  </si>
  <si>
    <t>Техническая помощь  - VIRAF-VIRAT 2.0 - D</t>
  </si>
  <si>
    <t>Asistencia técnica - VIRAF-VIRAT 2.0 - D</t>
  </si>
  <si>
    <t>Ajuda Técnica – VIRAF-VIRAT 2.0 – D</t>
  </si>
  <si>
    <t>المساعدة التقنية - VIRAF-VIRAT 2.0 - D</t>
  </si>
  <si>
    <t>技术援助——VIRAF-VIRAT 2.0——D</t>
  </si>
  <si>
    <t>Assistance technique: VIRAF-VIRAT 2.0 - E</t>
  </si>
  <si>
    <t>Техническая помощь  - VIRAF-VIRAT 2.0 - E</t>
  </si>
  <si>
    <t>Asistencia técnica - VIRAF-VIRAT 2.0 - E</t>
  </si>
  <si>
    <t>Ajuda Técnica – VIRAF-VIRAT 2.0 – E</t>
  </si>
  <si>
    <t>المساعدة التقنية - VIRAF-VIRAT 2.0 - E</t>
  </si>
  <si>
    <t>技术援助——VIRAF-VIRAT 2.0——E</t>
  </si>
  <si>
    <t>Assistance technique: VIRAF-VIRAT 2.0 - H</t>
  </si>
  <si>
    <t>Техническая помощь  - VIRAF-VIRAT 2.0 - H</t>
  </si>
  <si>
    <t>Asistencia técnica - VIRAF-VIRAT 2.0 - H</t>
  </si>
  <si>
    <t>Ajuda Técnica – VIRAF-VIRAT 2.0 – H</t>
  </si>
  <si>
    <t>المساعدة التقنية - VIRAF-VIRAT 2.0 - H</t>
  </si>
  <si>
    <t>技术援助——VIRAF-VIRAT 2.0——H</t>
  </si>
  <si>
    <t>Estimation du coût des doses de vaccin fondée sur la demande: prix final, population cible, pertes de vaccins et recours prévu au vaccin; pour info uniquement</t>
  </si>
  <si>
    <t xml:space="preserve">Расчетная стоимость одной дозы вакцины с учетом потребности - на основании финальной цены вакцины, численности целевого населения, потерь вакцин и ожидаемого охвата  - только для информации </t>
  </si>
  <si>
    <t xml:space="preserve">Estimación de coste basado en la demanda de dosis de vacuna - en base al precio final, la población objetivo, el desperdicio de vacunas y la adopción esperada - a efectos informativos únicamente   </t>
  </si>
  <si>
    <t>Estimativa de custo de dose de vacina baseada na procura – com base no preço final, população-alvo, desperdício de vacinas e aceitação esperada – só para informação</t>
  </si>
  <si>
    <t>تقدير تكلفة جرعة اللقاح القائم على الطلب - استناداً إلى السعر النهائي، والسكان المستهدفين، وهدر اللقاح، والتلقي المتوقع - للعلم فقط</t>
  </si>
  <si>
    <t>基于需求的疫苗剂数成本估算——取决于最终价格、目标人群、疫苗浪费和预期利用——仅供参考</t>
  </si>
  <si>
    <t>IMPORTANT: Pour des estimations des coûts adéquates, l'offre et la demande de vaccins doivent correspondre [B1.2], autrement dit les semestres sont marqués "OK" en vert</t>
  </si>
  <si>
    <t xml:space="preserve">ВАЖНО: Для обеспечения корректности расчетов, убедитесь, что обеспечени баланс снабжения и потребности [B1.2] - в частности, все полугодовые периоды должны показывать "OK" в зеленом поле </t>
  </si>
  <si>
    <t>IMPORTANTE: Para unas estimaciones de coste adecuadas, comprobar que el suministro y la demanda de las vacunas están equilibrados [B1.2] - es decir, todos los periodos semestrales muestran "OK" en Verde</t>
  </si>
  <si>
    <t>IMPORTANTE: Para estimativas de custos adequadas, assegure que a oferta e a procura de vacinas estão equilibradas [B1.2] – ou seja, todos os períodos semestrais indicam "OK" em verde</t>
  </si>
  <si>
    <t>هام: للحصول على تقديرات ملائمة للتكلفة، تأكد من الموازنة بين عرض اللقاح والطلب عليه [B1.2] - أي أن جميع فترات نصف السنة تظهر "OK" باللون الأخضر</t>
  </si>
  <si>
    <t>重要提示：为了做出充足的成本核算，请确保疫苗的供需平衡[B1.2]——即，所有的半年时间段均显示绿色“确定”</t>
  </si>
  <si>
    <t>Doses de vaccin, fondées sur l'offre (COVAX ou non)</t>
  </si>
  <si>
    <t>Стоимость доз вакцин, с учетом снабжения (вакцины, закупаемые через механизм COVAX  и без использования этого механизма)</t>
  </si>
  <si>
    <t>Dosis de vacuna, en base al suministro (COVAX y no Covax)</t>
  </si>
  <si>
    <t>Doses de vacina, baseadas no fornecimento (COVAX e não-Covax)</t>
  </si>
  <si>
    <t>جرعات اللقاح، استنادًا إلى العرض (كوفاكس وغير كوفاكس)</t>
  </si>
  <si>
    <t>疫苗剂数，基于供应量（COVAX和非Covax）</t>
  </si>
  <si>
    <t>Covax的剂数含全额成本——价格包括疫苗相关用品、运输等。
这里的估计值已除去了这些成本，以避免重复计算。</t>
  </si>
  <si>
    <t>AMC: partage des coûts avec COVAX pour doses additionnelles</t>
  </si>
  <si>
    <t xml:space="preserve">ПОЗ: Дополнительные дозы вакцины оплачиваются через COREX по принципу долевого участия </t>
  </si>
  <si>
    <t>CAM: reparto de costes COVAX para dosis adicionales</t>
  </si>
  <si>
    <t>AMC: Partilha de custos da plataforma Covax para doses adicionais</t>
  </si>
  <si>
    <t xml:space="preserve">التزامات الشراء الآجل (AMC) - مع مشاركة تكلفة الجرعات الإضافية من كوفاكس </t>
  </si>
  <si>
    <t>AMC：Covax成本分摊额外剂数</t>
  </si>
  <si>
    <t>Accord d'engagement d'achat (CPA): paiement initial</t>
  </si>
  <si>
    <t>Payé pendant T4 2020 mais ajouté à S1 2021</t>
  </si>
  <si>
    <t>Соглашение с подтвержденным обязательством по закупке (CPA): Авансовый платеж</t>
  </si>
  <si>
    <t>Оплачивается в 4-м квартале 2020 г., но учитывается в расчетах за 1-й квартал 2021 г.</t>
  </si>
  <si>
    <t>CPA (acuerdo de compra comprometida): pago anticipado</t>
  </si>
  <si>
    <t>Se paga en el 4º trimestre de 2020 pero se añade a H1 2021</t>
  </si>
  <si>
    <t>CCC: Pagamento adiantado</t>
  </si>
  <si>
    <t>Isto é pago no T4 2020, mas adicionado ao S1 2021</t>
  </si>
  <si>
    <t>CPA: الدفع مقدمًا</t>
  </si>
  <si>
    <t>يتم دفع هذا المبلغ في الربع الرابع من عام 2020 ولكنه يُضاف إلى H1 2021</t>
  </si>
  <si>
    <t>CPA：预付款</t>
  </si>
  <si>
    <t>该费用在2020年第4季度支付，但计入2021年上半年</t>
  </si>
  <si>
    <t>CPA: reste</t>
  </si>
  <si>
    <t>Соглашение с подтвержденным обязательством по закупке (CPA): Оставшаяся часть</t>
  </si>
  <si>
    <t>CPA: Resto</t>
  </si>
  <si>
    <t>CCC: Restante</t>
  </si>
  <si>
    <t>CPA: بقية</t>
  </si>
  <si>
    <t>CPA：余数</t>
  </si>
  <si>
    <t>Accord optionnel d'achat (OPA): paiement initial</t>
  </si>
  <si>
    <t>Соглашение об опционе (OPA): Авансовый платеж</t>
  </si>
  <si>
    <t>OPA (acuerdo de compra opcional): Pago anticipado</t>
  </si>
  <si>
    <t>CCO: Pagamento adiantado</t>
  </si>
  <si>
    <t>OPA: الدفع مقدمًا</t>
  </si>
  <si>
    <t>OPA：预付款</t>
  </si>
  <si>
    <t>OPA: garantie de partage des risques</t>
  </si>
  <si>
    <t>Соглашение об опционе (OPA): Общая гарантия по разделению рисков</t>
  </si>
  <si>
    <t>OPA: Garantía de reparto de riesgo</t>
  </si>
  <si>
    <t>CCO: Garantia de partilha de riscos</t>
  </si>
  <si>
    <t>OPA: ضمان تقاسم المخاطر</t>
  </si>
  <si>
    <t>OPA：风险共担保证</t>
  </si>
  <si>
    <t>OPA: reste</t>
  </si>
  <si>
    <t>Соглашение об опционе (OPA): Оставшаяся часть</t>
  </si>
  <si>
    <t>OPA: Resto</t>
  </si>
  <si>
    <t>CCO: Restante</t>
  </si>
  <si>
    <t xml:space="preserve"> OPA: بقية</t>
  </si>
  <si>
    <t>OPA：余数</t>
  </si>
  <si>
    <t>Stock de vaccins non COVAX [fondé sur A2.6.2]</t>
  </si>
  <si>
    <t>Поставки вакцин не через механизм COVAX [см. A2.6.2]</t>
  </si>
  <si>
    <t>Suministro de vacuna no COVAX [tomado de A2.6.2]</t>
  </si>
  <si>
    <t>Fornecimento de vacina não COVAX [tirado de A2.6.2]</t>
  </si>
  <si>
    <t>إمداد اللقاح بدون كوفاكس [مأخوذ من A2.6.2]</t>
  </si>
  <si>
    <t>非COVAX疫苗供应量[取自A2.6.2]</t>
  </si>
  <si>
    <t>Fret international (doses de vaccin uniquement, hors équipement et fournitures vaccinales)</t>
  </si>
  <si>
    <t>Международная доставка (Только дозы вакцины; оборудование или расходные материалы для вакцинации не включаются)</t>
  </si>
  <si>
    <t>Envío internacional (Dosis de vacuna únicamente; No del equipo ni suministros auxiliares de la vacuna)</t>
  </si>
  <si>
    <t>Transporte internacional (somente doses de vacina; não equipamentos ou suprimentos relacionados às vacinas)</t>
  </si>
  <si>
    <t>الشحن الدولي (جرعات اللقاح فقط؛ وليس المعدات أو المستلزمات ذات الصلة باللقاح)</t>
  </si>
  <si>
    <t>国际运输（仅适用于疫苗剂数；不包括设备或疫苗相关用品）</t>
  </si>
  <si>
    <t>Dédouanement des doses de vaccin</t>
  </si>
  <si>
    <t xml:space="preserve">Таможенное оформление доз вакцин </t>
  </si>
  <si>
    <t>Despacho de aduanas para las dosis de vacuna</t>
  </si>
  <si>
    <t>Desalfandegamento de doses da vacina</t>
  </si>
  <si>
    <t>التخليص الجمركي لجرعات اللقاح</t>
  </si>
  <si>
    <t>疫苗剂数通关</t>
  </si>
  <si>
    <t>Rémunération des services d'achat</t>
  </si>
  <si>
    <t>Стоимость услуг по закупке</t>
  </si>
  <si>
    <t>Tasas del servicio de adquisición</t>
  </si>
  <si>
    <t>Honorários de Serviço de Compra</t>
  </si>
  <si>
    <t>رسوم خدمة الشراء</t>
  </si>
  <si>
    <t>采购服务费</t>
  </si>
  <si>
    <t>Dédouanement des fournitures vaccinales</t>
  </si>
  <si>
    <t>Таможенное оформление расходных материалов для вакцинации</t>
  </si>
  <si>
    <t>Despacho de aduanas para suministros auxiliares de las vacunas</t>
  </si>
  <si>
    <t>Desalfandegamento para suprimentos relacionados com a vacina</t>
  </si>
  <si>
    <t>التخليص الجمركي للمستلزمات ذات الصلة باللقاحات</t>
  </si>
  <si>
    <t>疫苗相关用品通关</t>
  </si>
  <si>
    <t>Noter que toute cette section utilise la variante moyenne</t>
  </si>
  <si>
    <t>Обратите внимание, что для расчетов в данном разделе используется только Средний вариант</t>
  </si>
  <si>
    <t>Toda esta sección utiliza la Variante media</t>
  </si>
  <si>
    <t>Observe que toda esta secção utiliza a variante média</t>
  </si>
  <si>
    <t>يرجى ملاحظة أن هذا القسم بأكمله يستخدم المتغير الأوسط</t>
  </si>
  <si>
    <t>请注意，这一部分全部使用了中变量</t>
  </si>
  <si>
    <t>技术援助——VIRAF-VIRAT 2.0——F1、F2</t>
  </si>
  <si>
    <t>Formation et supervision [autres activités]</t>
  </si>
  <si>
    <t>VIRAF-VIRAT 2.0 - F4, PNDV</t>
  </si>
  <si>
    <t>Подготовка и Надзор [другие мероприятия]</t>
  </si>
  <si>
    <t>VIRAF-VIRAT 2.0 - F4, НППВ</t>
  </si>
  <si>
    <t>Formación y supervisión [Otras actividades]</t>
  </si>
  <si>
    <t>Formação e Supervisão [outras actividades]</t>
  </si>
  <si>
    <t>VIRAF-VIRAT 2.0 – F4, PNDV</t>
  </si>
  <si>
    <t>التدريب والإشراف [أنشطة أخرى]</t>
  </si>
  <si>
    <t>VIRAF-VIRAT 2.0 - F4, الخطة الوطنية لتوزيع اللقاحات والتطعيم</t>
  </si>
  <si>
    <t>培训与监督 [其他活动]</t>
  </si>
  <si>
    <t>VIRAF-VIRAT 2.0——F4、NDVP</t>
  </si>
  <si>
    <t>NB: Les salaires des RHS ci-dessus ne sont payés que pour la période où le vaccinateur non redéployé vaccine activement; ces paiements cessent lorsque le vaccinateur n'est plus requis pour la vaccination</t>
  </si>
  <si>
    <t>Обратите внимание, что заработная плата для КРЗ выплачивается только за период, в течение которого вакцинатор, который не был передислоцирован, проводит активную вакцинацию и прекращается, когда вакцинатор больше не нужен для проведения вакцинации.</t>
  </si>
  <si>
    <t>Nota: Los sueldos de RHS indicados arriba solo se pagan durante el periodo en que el vacunador no reasignado está trabajando en la vacunación, y cesa cuando ya no se necesite al vacunador para la vacunación.</t>
  </si>
  <si>
    <t>Nota, os salários dos RHS acima só são pagos pelo período em que o vacinador não reafectado está a vacinar activamente e pára quando o vacinador não é mais necessário para a vacinação.</t>
  </si>
  <si>
    <t>ملاحظة، يتم دفع رواتب الموارد البشرية الصحية أعلاه فقط للفترة التي يقوم فيها مقدم التطعيمات غير المعاد توزيعه بتقديم التطعيمات وتتوقف عندما لا يكون مقدم التطعيمات مطلوباً للتطعيم.</t>
  </si>
  <si>
    <t>请注意，上述HRH薪金仅在非调配疫苗接种者实际接种疫苗期间支付，一旦不再需要该疫苗接种者时则会停止支付。</t>
  </si>
  <si>
    <t>EPI</t>
  </si>
  <si>
    <t>СИЗ</t>
  </si>
  <si>
    <t>EPP</t>
  </si>
  <si>
    <t>معدات الحماية الشخصية</t>
  </si>
  <si>
    <t>Sécurité (assistance technique)</t>
  </si>
  <si>
    <t>Assistance technique: VIRAF-VIRAT 2.0 - F3</t>
  </si>
  <si>
    <t>Безопасность (Техническая помощь)</t>
  </si>
  <si>
    <t>Техническая помощь  - VIRAF-VIRAT 2.0 - F3</t>
  </si>
  <si>
    <t>Seguridad (asistencia técnica)</t>
  </si>
  <si>
    <t>Asistencia técnica - VIRAF-VIRAT 2.0 - F3</t>
  </si>
  <si>
    <t>Segurança patrimonial (ajuda técnica)</t>
  </si>
  <si>
    <t>Ajuda Técnica – VIRAF-VIRAT 2.0 – F3</t>
  </si>
  <si>
    <t>الأمن (المساعدة التقنية)</t>
  </si>
  <si>
    <t>المساعدة التقنية - VIRAF-VIRAT 2.0 - F3</t>
  </si>
  <si>
    <t>安全（技术援助）</t>
  </si>
  <si>
    <t>技术援助——VIRAF-VIRAT 2.0——F3</t>
  </si>
  <si>
    <t>Sécurité locale</t>
  </si>
  <si>
    <t>Безопасность на местном уровне</t>
  </si>
  <si>
    <t>Seguridad local</t>
  </si>
  <si>
    <t>Segurança patrimonial local</t>
  </si>
  <si>
    <t>الأمن المحلي</t>
  </si>
  <si>
    <t>本地安全</t>
  </si>
  <si>
    <t>Chaîne du froid: transports intérieurs</t>
  </si>
  <si>
    <t xml:space="preserve">Внутренняя транспортировка с соблюдением холодовой цепи </t>
  </si>
  <si>
    <t>Transporte nacional en cadena de frío</t>
  </si>
  <si>
    <t>Transporte interno da cadeia de frio</t>
  </si>
  <si>
    <t>النقل الداخلي الخاص بسلسلة التبريد</t>
  </si>
  <si>
    <t>国内冷链运输</t>
  </si>
  <si>
    <t>电子记录（基于已接种的疫苗剂数）</t>
  </si>
  <si>
    <t>Gestão e Monitorização de Dados Locais, Farmacovigilância – Opex</t>
  </si>
  <si>
    <t>本地数据管理和监控，药物警戒——Opex</t>
  </si>
  <si>
    <t>Demande de Gavi</t>
  </si>
  <si>
    <t>По запросу ГАВИ</t>
  </si>
  <si>
    <t>Requisito de la Gavi</t>
  </si>
  <si>
    <t>Exigência da Gavi</t>
  </si>
  <si>
    <t>طلب تحالف اللقاحات (غافي)</t>
  </si>
  <si>
    <t>Gavi请求</t>
  </si>
  <si>
    <t>##&lt;'H1 2021'&gt;</t>
  </si>
  <si>
    <t>##&lt;'TOTAL'&gt;</t>
  </si>
  <si>
    <t>##&lt;'H2 2023'&gt;</t>
  </si>
  <si>
    <t>##&lt;'H1 2023'&gt;</t>
  </si>
  <si>
    <t>##&lt;'H2 2022'&gt;</t>
  </si>
  <si>
    <t>##&lt;'H1 2022'&gt;</t>
  </si>
  <si>
    <t>##&lt;'H2 2021'&gt;</t>
  </si>
  <si>
    <t>##&lt;'ROWLABELS'&gt;</t>
  </si>
  <si>
    <t>##&lt;'1_override'&gt;</t>
  </si>
  <si>
    <t>##&lt;'1_final'&gt;</t>
  </si>
  <si>
    <t>##&lt;'2_final'&gt;</t>
  </si>
  <si>
    <t>##&lt;'2.1_final'&gt;</t>
  </si>
  <si>
    <t>##&lt;'2.1_override'&gt;</t>
  </si>
  <si>
    <t>##&lt;'2.1_cvic'&gt;</t>
  </si>
  <si>
    <t>##&lt;'1_cvic'&gt;</t>
  </si>
  <si>
    <t>##&lt;'1.1_cvic'&gt;</t>
  </si>
  <si>
    <t>##&lt;'1.2_cvic'&gt;</t>
  </si>
  <si>
    <t>##&lt;'1.3_cvic'&gt;</t>
  </si>
  <si>
    <t>##&lt;'1.4_cvic'&gt;</t>
  </si>
  <si>
    <t>##&lt;'1.5_cvic'&gt;</t>
  </si>
  <si>
    <t>##&lt;'1.6_cvic'&gt;</t>
  </si>
  <si>
    <t>##&lt;'1.7_cvic'&gt;</t>
  </si>
  <si>
    <t>##&lt;'2.2_cvic'&gt;</t>
  </si>
  <si>
    <t>##&lt;'2.2_final'&gt;</t>
  </si>
  <si>
    <t>##&lt;'2.2_override'&gt;</t>
  </si>
  <si>
    <t>##&lt;'2.3_final'&gt;</t>
  </si>
  <si>
    <t>##&lt;'2.3_cvic'&gt;</t>
  </si>
  <si>
    <t>##&lt;'2.3_override'&gt;</t>
  </si>
  <si>
    <t>##&lt;'9_final_total'&gt;</t>
  </si>
  <si>
    <t>##&lt;'3_final_total'&gt;</t>
  </si>
  <si>
    <t>##&lt;'4_final_total'&gt;</t>
  </si>
  <si>
    <t>##&lt;'5_final_total'&gt;</t>
  </si>
  <si>
    <t>##&lt;'6_final_total'&gt;</t>
  </si>
  <si>
    <t>##&lt;'7_final_total'&gt;</t>
  </si>
  <si>
    <t>##&lt;'8_final_total'&gt;</t>
  </si>
  <si>
    <t>##&lt;'9_cvic'&gt;</t>
  </si>
  <si>
    <t>##&lt;'9_override'&gt;</t>
  </si>
  <si>
    <t>##&lt;'7.3_final'&gt;</t>
  </si>
  <si>
    <t>##&lt;'7.3_cvic'&gt;</t>
  </si>
  <si>
    <t>##&lt;'7.3_override'&gt;</t>
  </si>
  <si>
    <t>##&lt;'6.3_final'&gt;</t>
  </si>
  <si>
    <t>##&lt;'6.3_cvic'&gt;</t>
  </si>
  <si>
    <t>##&lt;'6.3_override'&gt;</t>
  </si>
  <si>
    <t>##&lt;'8.1_final'&gt;</t>
  </si>
  <si>
    <t>##&lt;'8.1_cvic'&gt;</t>
  </si>
  <si>
    <t>##&lt;'8.1_override'&gt;</t>
  </si>
  <si>
    <t>##&lt;'8.2_final'&gt;</t>
  </si>
  <si>
    <t>##&lt;'8.2_cvic'&gt;</t>
  </si>
  <si>
    <t>##&lt;'8.2_override'&gt;</t>
  </si>
  <si>
    <t>##&lt;'7.1_final'&gt;</t>
  </si>
  <si>
    <t>##&lt;'7.1_cvic'&gt;</t>
  </si>
  <si>
    <t>##&lt;'7.1_override'&gt;</t>
  </si>
  <si>
    <t>##&lt;'7.2_final'&gt;</t>
  </si>
  <si>
    <t>##&lt;'7.2_cvic'&gt;</t>
  </si>
  <si>
    <t>##&lt;'7.2_override'&gt;</t>
  </si>
  <si>
    <t>##&lt;'6.1_final'&gt;</t>
  </si>
  <si>
    <t>##&lt;'6.1_cvic'&gt;</t>
  </si>
  <si>
    <t>##&lt;'6.1_override'&gt;</t>
  </si>
  <si>
    <t>##&lt;'6.2_final'&gt;</t>
  </si>
  <si>
    <t>##&lt;'6.2_cvic'&gt;</t>
  </si>
  <si>
    <t>##&lt;'6.2_override'&gt;</t>
  </si>
  <si>
    <t>##&lt;'6.4_final'&gt;</t>
  </si>
  <si>
    <t>##&lt;'6.4_cvic'&gt;</t>
  </si>
  <si>
    <t>##&lt;'6.4_override'&gt;</t>
  </si>
  <si>
    <t>##&lt;'5.1_final'&gt;</t>
  </si>
  <si>
    <t>##&lt;'5.1_cvic'&gt;</t>
  </si>
  <si>
    <t>##&lt;'5.1_override'&gt;</t>
  </si>
  <si>
    <t>##&lt;'5.2_final'&gt;</t>
  </si>
  <si>
    <t>##&lt;'5.2_cvic'&gt;</t>
  </si>
  <si>
    <t>##&lt;'5.2_override'&gt;</t>
  </si>
  <si>
    <t>##&lt;'4.1_final'&gt;</t>
  </si>
  <si>
    <t>##&lt;'4.1_cvic'&gt;</t>
  </si>
  <si>
    <t>##&lt;'4.1_override'&gt;</t>
  </si>
  <si>
    <t>##&lt;'4.2_final'&gt;</t>
  </si>
  <si>
    <t>##&lt;'4.2_cvic'&gt;</t>
  </si>
  <si>
    <t>##&lt;'4.2_override'&gt;</t>
  </si>
  <si>
    <t>##&lt;'4.3_final'&gt;</t>
  </si>
  <si>
    <t>##&lt;'4.3_cvic'&gt;</t>
  </si>
  <si>
    <t>##&lt;'4.3_override'&gt;</t>
  </si>
  <si>
    <t>##&lt;'4.4_final'&gt;</t>
  </si>
  <si>
    <t>##&lt;'4.4_cvic'&gt;</t>
  </si>
  <si>
    <t>##&lt;'4.4_override'&gt;</t>
  </si>
  <si>
    <t>##&lt;'3.1_final'&gt;</t>
  </si>
  <si>
    <t>##&lt;'3.1_cvic'&gt;</t>
  </si>
  <si>
    <t>##&lt;'3.1_override'&gt;</t>
  </si>
  <si>
    <t>##&lt;'3.2_final'&gt;</t>
  </si>
  <si>
    <t>##&lt;'3.2_cvic'&gt;</t>
  </si>
  <si>
    <t>##&lt;'3.2_override'&gt;</t>
  </si>
  <si>
    <t>##&lt;'3.3_final'&gt;</t>
  </si>
  <si>
    <t>##&lt;'3.3_cvic'&gt;</t>
  </si>
  <si>
    <t>##&lt;'3.3_override'&gt;</t>
  </si>
  <si>
    <t>##&lt;'3.4_final'&gt;</t>
  </si>
  <si>
    <t>##&lt;'3.4_cvic'&gt;</t>
  </si>
  <si>
    <t>##&lt;'3.4_override'&gt;</t>
  </si>
  <si>
    <t>##&lt;'target_population'&gt;</t>
  </si>
  <si>
    <t>##&lt;'metadata_cvic_version',scalar&gt;</t>
  </si>
  <si>
    <t>##&lt;'metadata_language',scalar&gt;</t>
  </si>
  <si>
    <t>##&lt;'metadata_countrycode',scalar&gt;</t>
  </si>
  <si>
    <t>##&lt;'metadata_currency',scalar&gt;</t>
  </si>
  <si>
    <t>##&lt;'metadata_vaccine_database_update',scalar&gt;</t>
  </si>
  <si>
    <t>##&lt;'metadata_currency_update',scalar&gt;</t>
  </si>
  <si>
    <t>##&lt;'metadata_errors_A3',scalar&gt;</t>
  </si>
  <si>
    <t>##&lt;'metadata_errors_B1',scalar&gt;</t>
  </si>
  <si>
    <t>##&lt;'metadata_errors_B1_supply_demand',scalar&gt;</t>
  </si>
  <si>
    <t>##&lt;'metadata_errors_B4',scalar&gt;</t>
  </si>
  <si>
    <t>##&lt;'metadata_doses',scalar&gt;</t>
  </si>
  <si>
    <t>##&lt;end&gt;</t>
  </si>
  <si>
    <t>##&lt;'SCALAR_METADATA'&gt;</t>
  </si>
  <si>
    <t>أفهم إخلاء المسؤولية وأوافق عليه</t>
  </si>
  <si>
    <t>يرجى المتابعة إلى A1.2 التعليمات</t>
  </si>
  <si>
    <t>يرجى مراجعة إخلاء المسؤولية وقبوله قبل المتابعة</t>
  </si>
  <si>
    <t>مواصفات اللقاح مبدئية وإرشادية. وهي عرضة للتغيير.</t>
  </si>
  <si>
    <t>يرجى ملاحظة أن أسعار الوحدات الافتراضية، بما في ذلك المستلزمات ذات الصلة باللقاح، غير مستقرة بسبب ظروف السوق وأن مواصفات اللقاح أولية وإرشادية فقط. وهي عرضة للتغيير.</t>
  </si>
  <si>
    <t>تحقق</t>
  </si>
  <si>
    <t>تم اجتياز التحقق المنطقي</t>
  </si>
  <si>
    <t>فشل التحقق المنطقي - الأخطاء =</t>
  </si>
  <si>
    <t>أدخل هنا</t>
  </si>
  <si>
    <t>أدخل هنا لتجاوز وحدة العملة المحلية بالدولار الأمريكي</t>
  </si>
  <si>
    <t>حدّد هنا</t>
  </si>
  <si>
    <t>اترك الحقل فارغًا</t>
  </si>
  <si>
    <t>ضع في الاعتبار تكاليف الأمن</t>
  </si>
  <si>
    <t>ضع في الاعتبار استراتيجية عامة</t>
  </si>
  <si>
    <t>وحدة العملة المحلية</t>
  </si>
  <si>
    <t xml:space="preserve">ما زال ناقصًا: </t>
  </si>
  <si>
    <t>فائض</t>
  </si>
  <si>
    <t>عجز</t>
  </si>
  <si>
    <t>زيادة ^</t>
  </si>
  <si>
    <t>نقص ^</t>
  </si>
  <si>
    <t>ملتزم</t>
  </si>
  <si>
    <t>اختياري</t>
  </si>
  <si>
    <t>غير مشارك في مبادرة كوفاكس</t>
  </si>
  <si>
    <t>المتغير الأوسط</t>
  </si>
  <si>
    <t>المتغير الأعلى</t>
  </si>
  <si>
    <t>المتغير الأدنى</t>
  </si>
  <si>
    <t>我了解并接受免责声明</t>
  </si>
  <si>
    <t>请继续前往A1.2说明</t>
  </si>
  <si>
    <t>请先阅读并接受免责声明，然后再继续</t>
  </si>
  <si>
    <t>疫苗规格为初步和指示性的，可随时更改。</t>
  </si>
  <si>
    <t>请注意，默认单价（包括疫苗相关用品）因市场条件而不稳定，且疫苗规格为初步和指示性的，可随时更改。</t>
  </si>
  <si>
    <t>确认</t>
  </si>
  <si>
    <t>逻辑检查已通过</t>
  </si>
  <si>
    <t>逻辑检查失败——错误=</t>
  </si>
  <si>
    <t>在此处输入</t>
  </si>
  <si>
    <t>在此处用美元覆写LCU</t>
  </si>
  <si>
    <t>在此处选择</t>
  </si>
  <si>
    <t>留空</t>
  </si>
  <si>
    <t>考虑安全成本</t>
  </si>
  <si>
    <t>考虑普遍接种策略</t>
  </si>
  <si>
    <t>仍缺乏：</t>
  </si>
  <si>
    <t>盈余</t>
  </si>
  <si>
    <t>赤字</t>
  </si>
  <si>
    <t>增加 ^</t>
  </si>
  <si>
    <t>降低 ^</t>
  </si>
  <si>
    <t>承诺</t>
  </si>
  <si>
    <t>可选</t>
  </si>
  <si>
    <t>非COVAX机制参与者</t>
  </si>
  <si>
    <t>中变量</t>
  </si>
  <si>
    <t>上变量</t>
  </si>
  <si>
    <t>下变量</t>
  </si>
  <si>
    <t>Je comprends et accepte l'avertissement</t>
  </si>
  <si>
    <t>Passer à A1.2 Instructions</t>
  </si>
  <si>
    <t>Lire et accepter l'avertissement avant de poursuivre</t>
  </si>
  <si>
    <t>Les spécifications des vaccins sont PRÉLIMINAIRES, données à titre INDICATIF et SUSCEPTIBLES D'ÊTRE MODIFIÉES</t>
  </si>
  <si>
    <t>Noter que les prix unitaires par défaut, y compris pour les fournitures vaccinales, sont sujets aux conditions du marché et donc instables et que les spécifications des vaccins sont préliminaires et données uniquement à titre indicatif. SUSCEPTIBLES D'ÊTRE MODIFIÉS</t>
  </si>
  <si>
    <t>Variante médiane</t>
  </si>
  <si>
    <t>Variante supérieure</t>
  </si>
  <si>
    <t>Variante inférieure</t>
  </si>
  <si>
    <t>Я прочитал данное разъяснительное замечание и подтверждаю, что мне понятно его содержание и я принимаю его.</t>
  </si>
  <si>
    <t xml:space="preserve">Перейдите к  п. A1.2 Инструкции </t>
  </si>
  <si>
    <t>Прочтите разъяснительное замечание и подтвердите, что Вам понятно его содержание и Вы принимаете его</t>
  </si>
  <si>
    <t>Спецификации вакцин являются ПРЕДВАРИТЕЛЬНЫМИ и ОРИЕНТИРОВОЧНЫМИ. ВОЗМОЖНЫ ИЗМЕНЕНИЯ.</t>
  </si>
  <si>
    <t>Обратите внимание, что удельная стоимость, указанная по умолчанию, например для расходных материалов для вакцинации, не является фиксированной. Ее значение определяется рыночной ситуацией и поэтому спецификации вакцин являются предварительными и даны для ориентировочных целей. ВОЗМОЖНЫ ИЗМЕНЕНИЯ.</t>
  </si>
  <si>
    <t>ПРОВЕРИТЬ</t>
  </si>
  <si>
    <t>Логическая проверка успешно пройдена</t>
  </si>
  <si>
    <t xml:space="preserve">Логическая проверка не пройдена - имеются ошибки = </t>
  </si>
  <si>
    <t>Ввести здесь</t>
  </si>
  <si>
    <t>ВВЕСТИ ЗДЕСЬ чтобы ВРУЧНУЮ СКОРРЕКТИРОВАТЬ ЕМВ на доллары США</t>
  </si>
  <si>
    <t>Выбрать здесь</t>
  </si>
  <si>
    <t>Не заполняйте</t>
  </si>
  <si>
    <t>Рассмотрите необходимость затрат на безопасность</t>
  </si>
  <si>
    <t>Рассмотрите возможность стратегии всеобщей вакцинации</t>
  </si>
  <si>
    <t>ЕМВ</t>
  </si>
  <si>
    <t xml:space="preserve">Отсутствует: </t>
  </si>
  <si>
    <t>Да</t>
  </si>
  <si>
    <t>Избыток</t>
  </si>
  <si>
    <t>Нехватка</t>
  </si>
  <si>
    <t>УВЕЛИЧИТЬ ^</t>
  </si>
  <si>
    <t>УМЕНЬШИТЬ ^</t>
  </si>
  <si>
    <t>Подтвержденные обязательства</t>
  </si>
  <si>
    <t>Опцион</t>
  </si>
  <si>
    <t>Не является участником COVAX</t>
  </si>
  <si>
    <t>Средний вариант</t>
  </si>
  <si>
    <t>Верхний вариант</t>
  </si>
  <si>
    <t>Нижний вариант</t>
  </si>
  <si>
    <t>Entiendo y acepto el descargo de responsabilidad</t>
  </si>
  <si>
    <t>Ir a A1.2 Instrucciones</t>
  </si>
  <si>
    <t>Revisar y aceptar el descargo de responsabilidad antes de seguir</t>
  </si>
  <si>
    <t>Las especificaciones de las vacunas son PRELIMINARES e INDICATIVAS. PUEDEN CAMBIAR.</t>
  </si>
  <si>
    <t>Tener en cuenta que los precios por unidad por defecto, incluyendo para los suministros relacionados con las vacunas, no son estables por las condiciones de mercado, y las especificaciones de las vacunas son preliminares e indicativas únicamente. PUEDEN CAMBIAR.</t>
  </si>
  <si>
    <t>Compreendo e aceito a exoneração de responsabilidade</t>
  </si>
  <si>
    <t>Prossiga para A1.2 Instruções</t>
  </si>
  <si>
    <t>Queira ler e aceitar a exoneração de responsabilidade antes de prosseguir</t>
  </si>
  <si>
    <t>As especificações das vacinas são PRELIMINARES e INDICATIVAS. SUJEITAS A MUDANÇA.</t>
  </si>
  <si>
    <t>Note que os preços unitários padrão, inclusive para suprimentos relacionados às vacinas, são instáveis devido às condições de mercado e as especificações das vacinas são apenas preliminares e indicativas. SUJEITAS A MUDANÇA.</t>
  </si>
  <si>
    <t>VERIFICAR</t>
  </si>
  <si>
    <t>Aprovado nas verificações lógicas</t>
  </si>
  <si>
    <t xml:space="preserve">Falhou nas verificações lógicas – Erros = </t>
  </si>
  <si>
    <t>Digite aqui</t>
  </si>
  <si>
    <t>DIGITE AQUI para SUBSTITUIR UML por USD</t>
  </si>
  <si>
    <t>Seleccione aqui</t>
  </si>
  <si>
    <t>Deixe em branco</t>
  </si>
  <si>
    <t>Considere os custos de segurança</t>
  </si>
  <si>
    <t>Considere uma estratégia universal</t>
  </si>
  <si>
    <t>UML</t>
  </si>
  <si>
    <t xml:space="preserve">Ainda faltam: </t>
  </si>
  <si>
    <t>Excesso</t>
  </si>
  <si>
    <t>Défice</t>
  </si>
  <si>
    <t>AUMENTAR ^</t>
  </si>
  <si>
    <t>DIMINUIR ^</t>
  </si>
  <si>
    <t>Comprometido</t>
  </si>
  <si>
    <t>Opcional</t>
  </si>
  <si>
    <t>Participante não da COVAX</t>
  </si>
  <si>
    <t>Variante média</t>
  </si>
  <si>
    <t>Variante superior</t>
  </si>
  <si>
    <t>Variante inferior</t>
  </si>
  <si>
    <t>
القائمة</t>
  </si>
  <si>
    <t>
العنصر التالي</t>
  </si>
  <si>
    <t>
الصفحة التالية</t>
  </si>
  <si>
    <t>
النتائج</t>
  </si>
  <si>
    <t>
المساعدة</t>
  </si>
  <si>
    <t>
Меню</t>
  </si>
  <si>
    <t>Далее</t>
  </si>
  <si>
    <t>
Следующая страница</t>
  </si>
  <si>
    <t>
Результаты</t>
  </si>
  <si>
    <t>
Помощь</t>
  </si>
  <si>
    <t>
Menú</t>
  </si>
  <si>
    <t>
Partida siguiente</t>
  </si>
  <si>
    <t>
Página siguiente</t>
  </si>
  <si>
    <t>
Resultados</t>
  </si>
  <si>
    <t>
Ayuda</t>
  </si>
  <si>
    <t>
Próximo Item</t>
  </si>
  <si>
    <t>
Página seguinte</t>
  </si>
  <si>
    <t>
Resultados</t>
  </si>
  <si>
    <t>
Ajuda</t>
  </si>
  <si>
    <t xml:space="preserve"> شريط التنقل:</t>
  </si>
  <si>
    <t>A1. BIENVENUE sur la page d'accueil de l'outil de calcul des coûts d'introduction et de déploiement des vaccins contre la COVID-19 (outil CVIC)</t>
  </si>
  <si>
    <t xml:space="preserve">A1. ДОБРО ПОЖАЛОВАТЬ на стартовую страницу Инструмента расчета затрат на внедрение вакцины против COVID-19 и организации поставок вакцин в страны (Инструмент CVIC)  </t>
  </si>
  <si>
    <t>A.1 BIENVENIDO a la Página de inicio de la Herramienta para la estimación de costes de la introducción y el despliegue de la vacuna frente a la COVID-19 (Herramienta CVIC)</t>
  </si>
  <si>
    <t>A1. BEM-VINDO à ferramenta de Cálculo dos Custos de Introdução e Distribuição da Vacina contra a COVID-19 (Ferramenta CVIC) Página Inicial</t>
  </si>
  <si>
    <t>A1. مرحبًا بكم في صفحة بدء إدخال لقاح كوفيد-19 وأداة تقدير تكاليف النشر (أداة CVIC)</t>
  </si>
  <si>
    <t>A1. 欢迎使用COVID-19疫苗引入和部署成本核算工具（CVIC工具）起始页</t>
  </si>
  <si>
    <t>Sélection de la langue</t>
  </si>
  <si>
    <t>Выбрать язык</t>
  </si>
  <si>
    <t>Selección de idioma</t>
  </si>
  <si>
    <t>Selecção do idioma</t>
  </si>
  <si>
    <t xml:space="preserve"> اختيار اللغة</t>
  </si>
  <si>
    <t>选择语种</t>
  </si>
  <si>
    <t>Si on change la langue, vérifier les réponses au menu déroulant pour qu'elles soient bien dans la langue actuellement sélectionnée</t>
  </si>
  <si>
    <t xml:space="preserve">Если Вы изменили язык ввода данных, проверьте все ответы в раскрывающемся меню, и убедитесь, что все они изложены на том языке, который Вы выбрали  </t>
  </si>
  <si>
    <t>Si cambia el idioma, revise todas las respuestas de los menús desplegables para comprobar que están en el idioma seleccionado</t>
  </si>
  <si>
    <t>Se mudar o idioma, faça uma revisão de todas as respostas do menu suspenso para garantir que elas sejam respondidas no idioma seleccionado actualmente</t>
  </si>
  <si>
    <t xml:space="preserve"> إذا قمت بتغيير اللغة، يرجى مراجعة جميع ردود القائمة المنسدلة للتأكد من الرد عليها باللغة المحددة حاليًا</t>
  </si>
  <si>
    <t>如果您更改了语种，请检查所有下拉菜单答复，以确保使用当前选择的语种做出回答</t>
  </si>
  <si>
    <t>A1.1 Mises à jour et avertissement</t>
  </si>
  <si>
    <t>A1.1 Информация об обновлениях и разъяснительное замечание</t>
  </si>
  <si>
    <t>A1.1 Actualizaciones y descargo de responsabilidad</t>
  </si>
  <si>
    <t>A1.1 Actualizações e Exoneração de Responsabilidade</t>
  </si>
  <si>
    <t>A1.1 التحديثات وإخلاء المسؤولية</t>
  </si>
  <si>
    <t>A1.1 更新和免责声明</t>
  </si>
  <si>
    <t>Версия</t>
  </si>
  <si>
    <t>Versión</t>
  </si>
  <si>
    <t>Versão</t>
  </si>
  <si>
    <t>الإصدار</t>
  </si>
  <si>
    <t>版本</t>
  </si>
  <si>
    <t>Dernière mise à jour (outil)</t>
  </si>
  <si>
    <t>Последнее обновление (данного инструмента)</t>
  </si>
  <si>
    <t>Última actualización (Herramienta)</t>
  </si>
  <si>
    <t>Última actualização (Ferramenta)</t>
  </si>
  <si>
    <t>آخر تحديث (الأداة)</t>
  </si>
  <si>
    <t>最后更新（工具）</t>
  </si>
  <si>
    <t>NB:</t>
  </si>
  <si>
    <t>Замечание:</t>
  </si>
  <si>
    <t>Nota:</t>
  </si>
  <si>
    <t>Aviso:</t>
  </si>
  <si>
    <t xml:space="preserve"> إشعار:</t>
  </si>
  <si>
    <t>通知：</t>
  </si>
  <si>
    <t>Dernière mise à jour (base de données vaccinales)</t>
  </si>
  <si>
    <t>Vérifiez et confirmez que vous avez lu et compris l'avertissement et que vous l'acceptez ↓</t>
  </si>
  <si>
    <t>Vérifier</t>
  </si>
  <si>
    <t>Последнее обновление (базы данных по вакцинам)</t>
  </si>
  <si>
    <t>Пожалуйста, внимательно прочтите данное разъяснительное замечание, и подтвердите, что Вам понятно его содержание и Вы принимаете его  ↓</t>
  </si>
  <si>
    <t xml:space="preserve">Проверить </t>
  </si>
  <si>
    <t>Última actualización (Base de datos de vacunas)</t>
  </si>
  <si>
    <t>Debe verificar y comprobar que ha leído, entendido y acepta el descargo de responsabilidad ↓</t>
  </si>
  <si>
    <t>Comprobar</t>
  </si>
  <si>
    <t>Última actualização (base de dados da vacina)</t>
  </si>
  <si>
    <t>Verifique e confirme que leu, entendeu e aceitou a exoneração de responsabilidade ↓</t>
  </si>
  <si>
    <t>Verificar</t>
  </si>
  <si>
    <t>آخر تحديث (قاعدة بيانات اللقاحات)</t>
  </si>
  <si>
    <t>يرجى التحقق والتأكد من أنك قد قرأت وفهمت وقبلت
 إخلاء المسؤولية↓</t>
  </si>
  <si>
    <t>最后更新（疫苗数据库）</t>
  </si>
  <si>
    <t>请检查并确认您已阅读、理解并接受免责声明 ↓</t>
  </si>
  <si>
    <t>Avertissements</t>
  </si>
  <si>
    <t>Разъяснительное замечание</t>
  </si>
  <si>
    <t>Descargas de responsabilidad</t>
  </si>
  <si>
    <t>Exonerações de Responsabilidade</t>
  </si>
  <si>
    <t>إخلاء المسؤولية</t>
  </si>
  <si>
    <t>免责声明</t>
  </si>
  <si>
    <t>A1.2 Instructions générales</t>
  </si>
  <si>
    <t>A1.2 Общие инструкции</t>
  </si>
  <si>
    <t>A1.2 Instrucciones generales</t>
  </si>
  <si>
    <t>A1.2 Instruções Gerais</t>
  </si>
  <si>
    <t xml:space="preserve"> A1.2 تعليمات عامة</t>
  </si>
  <si>
    <t>A1.2 一般说明</t>
  </si>
  <si>
    <t>Adresse e-mail pour assistance:</t>
  </si>
  <si>
    <t>Адрес электронной почты для обращения в службу технической поддержки:</t>
  </si>
  <si>
    <t>Correo electrónico para asistencia técnica:</t>
  </si>
  <si>
    <t>Endereço electrónico para suporte:</t>
  </si>
  <si>
    <t xml:space="preserve"> عنوان البريد الإلكتروني للدعم:</t>
  </si>
  <si>
    <t>支持服务电子信箱：</t>
  </si>
  <si>
    <t>1. Le texte en rouge, comme dans cette phrase, correspond à des instructions, avertissements et notes importants</t>
  </si>
  <si>
    <t>1. Красным цветом, как в данном предложении, выделены важные инструкции, предупреждения и примечания.</t>
  </si>
  <si>
    <t>1. Para instrucciones, advertencias y notas importantes como esta, el texto aparecerá en rojo.</t>
  </si>
  <si>
    <t>1. A fonte de texto em vermelho, como nesta frase, é usada para instruções, precauções e notas importantes.</t>
  </si>
  <si>
    <t>1. بنط النص الأحمر، كما هو مستخدم في هذه الجملة، يستخدم للتعليمات والتنبيهات والملاحظات الهامة.</t>
  </si>
  <si>
    <t>1. 诸如本句中使用的红色字体用于代表重要说明、注意事项和注释。</t>
  </si>
  <si>
    <t>2. Cet outil d'évaluation exige des coûts spécifiques au pays. Nous avons recouru au codage couleur pour les cellules à remplir afin de faciliter l'entrée des données. Il y a des données à entrer dans les feuilles A2, A3, A4 et B1. Les utilisateurs avancés peuvent personnaliser certains autres paramètres, par ex. B4.
Les réponses requises de tous les utilisateurs sont indiquées par une cellule vert foncé, avec le chiffre "1". Les utilisateurs avancés désirant personnaliser certains aspects du modèle d'évaluation des coûts ont l'option de modifier les entrées correspondant à des cellules brun foncé portant le chiffre "2" ; sinon ces cellules peuvent garder leur réglage par défaut</t>
  </si>
  <si>
    <t>2. Для использования данного инструмента расчета затрат, каждая страна должна ввести в него свои данные. Для Вашего удобства и упрощения процедуры ввода данных, ячейки для ввода данных выделены цветом. Необходимо ввести исходные данные в ячейки в таблицах A2, A3, A4, и B1. Опытные пользователи могут выборочно выполнить индивидуальную настройку и других параметров в других разделах, например на листе B4.
Темно-зеленым цветом и номером "1" отмечены ячейки, обязательные к заполнению для всех пользователей. Опытные пользователи, желающие адаптировать конкретные аспекты данного инструмента к страновому контексту, могут, при желании, изменять данные в ячейках темно-коричневого цвета, отмеченных номером "2" - в противном случае в расчетах будут использованы данные по умолчанию.</t>
  </si>
  <si>
    <t>2. Esta herramienta de estimación de costes requiere datos específicos del país. Las celdas de datos están codificadas por colores para su comodidad y para facilitar la introducción de datos. Es preciso introducir datos en las hojas A2, A3, A4 y B1. Los usuarios avanzados pueden personalizar ciertos parámetros en otras hojas, por ejemplo la B4. 
Los datos que todos los usuarios deben introducir están marcados con una celda verde oscuro con el número "1". Los usuarios avanzados que deseen personalizar ciertos aspectos del modelo de estimación de costes pueden modificar los datos asociados a las celdas marrón oscuro con el número "2"; en caso contrario, estas celdas pueden dejarse con los valores por defecto.</t>
  </si>
  <si>
    <t>2. Esta ferramenta de cálculo de custos requer dados específicos de cada país. As células de entrada são codificadas por cores para a sua conveniência e facilidade de entrada de dados. São necessárias entradas nas folhas A2, A3, A4 e B1. Os utilizadores avançados podem personalizar certos parâmetros em outros lugares, por exemplo na folha B4.
As entradas que são necessárias para todos os utilizadores estão marcadas com uma célula verde escuro com o número "1". Os utilizadores avançados que desejarem personalizar certos aspectos do modelo de cálculo de custos podem, opcionalmente, modificar as entradas associadas a uma célula castanho escuro com o número "2" – caso contrário, estas podem ser deixadas com as definições padrão.</t>
  </si>
  <si>
    <t>2. 该成本核算工具需要输入具体国家信息。输入单元格使用颜色编码，以方便和轻松输入数据。需要在工作表A2、A3、A4和B1中输入信息。高级用户可在其他地方（例如在B4中）定制某些参数。
深绿色单元格为所有用户均需输入的信息，标有数字“ 1”。希望定制成本核算模型某些方面的高级用户可以选择修改标有数字“ 2”的深棕色单元格输入，否则可保留默认设置。</t>
  </si>
  <si>
    <t>3. Chercher les cellules orangées: les cellules de cette couleur sont à remplir par l'utilisateur. Certaines cellules demandent des nombres, mais d'autres proposent des options spécifiques à sélectionner dans un menu déroulant</t>
  </si>
  <si>
    <t>3. Найдите ячейки с заливкой оранжевым цветом - оранжевым цветом отмечены ячейки, в которые пользователь должен вводить исходные данные. В некоторых ячейках требуется указать цифровое значение, в других надо выбрать подходящий вариант из нескольких предложенных вариантов, перечисленных в раскрывающемся меню.</t>
  </si>
  <si>
    <t>3. Busque las celdas de color naranja: el usuario debe introducir datos en las celdas de este color. Algunas celdas requieren un número, otras piden opciones específicas que puede seleccionar del menú desplegable.</t>
  </si>
  <si>
    <t>3 Procure células com a tonalidade laranja – as células desta cor são para o utilizador inserir dados. Algumas células exigem números, mas outras exigem opções específicas que podem ser seleccionadas usando um menu suspenso.</t>
  </si>
  <si>
    <t>3. يرجى البحث عن الخلايا ذات الظل البرتقالي - الخلايا بهذا اللون مخصصة للمستخدم لإدخال البيانات. تتطلب بعض الخلايا أرقامًا لكن بعضها يتطلب خيارات محددة يمكن تحديدها باستخدام قائمة منسدلة.</t>
  </si>
  <si>
    <t>3. 请寻找带有橙色阴影的单元格，此颜色的单元格供用户输入数据。需要在某些单元格内输入数字，但也有某些单元格需要使用下拉菜单选择特定选项。</t>
  </si>
  <si>
    <t>Entrer des réponses dans les cellules comme celles-ci</t>
  </si>
  <si>
    <t>Вводите исходные данные в ячейки, подобные этой.</t>
  </si>
  <si>
    <t>Introduczca datos en celdas como esta</t>
  </si>
  <si>
    <t>Digite entradas em células como esta</t>
  </si>
  <si>
    <t>أدخل المدخلات في خلايا مثل هذه</t>
  </si>
  <si>
    <t>在这样的单元格中填写输入</t>
  </si>
  <si>
    <t>4. Les cellules de couleur grise fournissent des suggestions et des instructions: soit des paramètres par défaut, soit des calculs simples provenant de bases de données publiques et/ou d'autres données entrées</t>
  </si>
  <si>
    <t>4. Ячейки с заливкой зеленым цветом содержат предложения и инструкции для ввода данных - параметры по умолчанию или базовые расчеты из открытых баз данных и/или другие входные данные.</t>
  </si>
  <si>
    <t>4. Las celdas de color verde proporcionan sugerencias e instrucciones: bien datos por defecto o estimaciones básicas a partir de bases de datos públicas y/o otros datos introducidos.</t>
  </si>
  <si>
    <t>4. As células com uma tonalidade verde fornecem sugestões e instruções para as entradas – podem ser dados predefinidos ou cálculos básicos de bases de dados públicas e/ou outros dados digitados.</t>
  </si>
  <si>
    <t>4. تقدم الخلايا ذات الظل الأخضر اقتراحات وإرشادات للمدخلات - إما إعدادات افتراضية أو حسابات أساسية من قواعد البيانات العامة و / أو بيانات مدخلة أخرى.</t>
  </si>
  <si>
    <t>4. 带有绿色阴影的单元格为输入提供了建议和说明，比如公共数据库和/或其他输入数据的默认值或基本计算值。</t>
  </si>
  <si>
    <t>Les suggestions sont en vert</t>
  </si>
  <si>
    <t>Предлагаемые варианты отмечены зеленым цветом.</t>
  </si>
  <si>
    <t>Las sugerencias aparecen en verde</t>
  </si>
  <si>
    <t>As sugestões aparecem em verde</t>
  </si>
  <si>
    <t xml:space="preserve">
الاقتراحات باللون الأخضر</t>
  </si>
  <si>
    <t>以绿色代表建议</t>
  </si>
  <si>
    <t>5. Les cellules roses portant le mot "CHECK" (Vérifier) indiquent qu'il y a une erreur d'entrée. À vérifier. Une fois l'entrée validée, la cellule change de couleur, devenant verte, et porte la mention "OK".</t>
  </si>
  <si>
    <t>5. Ячейки с заливкой розовым цветом и словом "ПРОВЕРИТЬ" указывают на то, что при вводе данных была допущена ошибка. Проверьте введенные данные. Если данные введены корректно, ячейка меняет цвет на зеленый и показывает "ОК".</t>
  </si>
  <si>
    <t>5. Las celdas de color rosa con la palabra "COMPROBAR" indican que hay un error en los datos introducidos. Revíselos. Una vez los datos sean válidos, la celda cambiará de color a verde con la palabra "OK".</t>
  </si>
  <si>
    <t>5. As células cor-de-rosa com a palavra "VERIFICAR" – indicam que há um erro com a entrada. Por favor, verifique. Quando a entrada é válida, a célula muda de cor para verde e informa "OK".</t>
  </si>
  <si>
    <t xml:space="preserve"> 5. الخلايا الوردية اللون التي تحتوي على كلمة "تحقق" - تشير إلى وجود خطأ في الإدخال. من فضلك أعد النظر. بمجرد أن يكون الإدخال صالحًا، يتغير لون الخلية إلى اللون الأخضر وتشير إلى "موافق".</t>
  </si>
  <si>
    <t>5. 标有“检查“的粉红色单元格表示输入有错误。请核查。输入通过后，单元格颜色将变为绿色，并显示“确定”。</t>
  </si>
  <si>
    <t>VÉRIFIER</t>
  </si>
  <si>
    <t>COMPROBAR</t>
  </si>
  <si>
    <t>检查</t>
  </si>
  <si>
    <t>ОК</t>
  </si>
  <si>
    <t>موافق</t>
  </si>
  <si>
    <t>确定</t>
  </si>
  <si>
    <t>6. Les cellules de couleur grise avec du texte orange ou noir servent à montrer des calculs. Elles sont données à titre d'information uniquement et ne doivent pas être éditées</t>
  </si>
  <si>
    <t>6. Ячейки с заливкой серым цветом и содержащие текст оранжевого или черного цвета предназначены для демонстрации расчетов. Эти ячейки нужны только для информации и редактировать данные в них не требуется.</t>
  </si>
  <si>
    <t>6. Las celdas de color gris y texto naranja o negro muestran cálculos a efectos informativos y no deben ser modificadas.</t>
  </si>
  <si>
    <t>6. As células que têm uma tonalidade cinzenta e texto cor de laranja ou preto são para visualizar os cálculos. Estas são só para informação e não devem ser editadas.</t>
  </si>
  <si>
    <t>6. الخلايا ذات الظل الرمادي والنص البرتقالي أو الأسود هي لعرض العمليات الحسابية. هذا للمعلومات فقط ولا يجب تحريره.</t>
  </si>
  <si>
    <t>6. 带有灰色阴影和橙色或黑色文本的单元格将显示计算值。这些计算值仅供参考，请勿编辑。</t>
  </si>
  <si>
    <t>Calculs uniquement</t>
  </si>
  <si>
    <t>Только расчеты</t>
  </si>
  <si>
    <t>Cálculo únicamente</t>
  </si>
  <si>
    <t>Só cálculos</t>
  </si>
  <si>
    <t>الحسابات فقط</t>
  </si>
  <si>
    <t>仅为计算值</t>
  </si>
  <si>
    <t>7. Les cellules jaunes avec du texte gris clair comportent des notes et des modifications mineures additionnelles</t>
  </si>
  <si>
    <t>7. Дополнительные разъяснения и примечания даны в ячейках с заливкой желтым цветом или в виде текста светло-серого цвета.</t>
  </si>
  <si>
    <t>7. Otras aclaraciones y notas de menor importancia aparecen en celdas amarillas o en texto gris claro.</t>
  </si>
  <si>
    <t>7. Esclarecimentos menores adicionais e Notas encontram-se em células amarelas ou em texto cinzento claro.</t>
  </si>
  <si>
    <t>7. توجد توضيحات وملاحظات طفيفة إضافية في خلايا صفراء اللون أو بنص رمادي فاتح اللون.</t>
  </si>
  <si>
    <t>7. 其他次要说明和注释以黄色单元格或浅灰色文本表示。</t>
  </si>
  <si>
    <t>Примечания.</t>
  </si>
  <si>
    <t>Notas</t>
  </si>
  <si>
    <t>ملاحظات</t>
  </si>
  <si>
    <t>注释</t>
  </si>
  <si>
    <t>Explications ou détails supplémentaires</t>
  </si>
  <si>
    <t>Дополнительные разъяснения или подробности</t>
  </si>
  <si>
    <t>Otras aclaraciones o detalles</t>
  </si>
  <si>
    <t>Explicações ou dados adicionais</t>
  </si>
  <si>
    <t>مزيد من التوضيح أو التفاصيل</t>
  </si>
  <si>
    <t>进一步的解释或细节</t>
  </si>
  <si>
    <t>8. Вверху каждой таблицы расположена навигационная панель фиолетового цвета. Кнопки оранжевого цвета на этой панели помогут Вам ввести все необходимые данные в инструмент. Если на каком-либо этапе Вы запутаетесь, нажмите на "Меню" и программа сама вернет Вас в Меню быстрого доступа, расположенное ниже.</t>
  </si>
  <si>
    <t xml:space="preserve"> 8. يوجد شريط تنقل أرجواني اللون في أعلى كل ورقة. يحتوي شريط التنقل على أزرار برتقالية اللون للمساعدة في توجيهك خلال إكمال المدخلات المطلوبة في أداة تقدير التكاليف هذه. إذا أضعت التوجه في أي مرحلة، فانقر على "القائمة" لإعادتك إلى قائمة الروابط السريعة أدناه.</t>
  </si>
  <si>
    <t>8. 每个工作表顶部均有一个紫色导航栏。导航栏中有橙色按钮，帮助指导您完成此成本核算工具所需要的输入。如果您在任何阶段迷失方向，请单击“菜单”，以返回到下方的“快速链接”菜单。</t>
  </si>
  <si>
    <t>9. Comme de nombreux aspects de la vaccination contre la COVID-19 ne sont pas finalisés, de nombreux paramètres de ce modèle (par ex. prix unitaires par défaut, quantités des commodités et spécifications des vaccins) peuvent être remis à jour même après le déploiement de l'outil. Pour ce faire, cliquer sur "Refresh All" (Tout rafraîchir) dans le menu "Data" (Données) ci-dessus. Noter qu'une alerte de sécurité peut s'afficher; choisir "Enable Content" (Permettre contenu). Nous recommandons de faire une copie de sauvegarde de l'outil complété avant la remise à jour</t>
  </si>
  <si>
    <t>9. Многие аспекты вакцинации против COVID-19 еще не определены окончательно, и поэтому многие параметры в данном инструменте - например, стартовая удельная себестоимость товаров/услуг, количество товаров и спецификации вакцин могут обновляться даже после того, как данный инструмент будет введен в эксплуатацию. Для этого нажмите "Обновить все" в меню "Данные" выше. Обращаем Ваше внимание, что программа может активировать предупреждение системы безопасности - в таком случае выберите "Разблокировать содержание". Мы рекомендуем Вам перед обновлением данных выполнять резервное копирование всей информации, ранее введенной в данный инструмент.</t>
  </si>
  <si>
    <t>9. Dado que muchos aspectos de la vacunación de la COVID 19 aún no son definitivos, muchos de los parámetros de este modelo, como precios por unidad por defecto, cantidades de insumos y especificaciones de las vacunas, se podrán actualizar incluso después de cumplimentada esta herramienta. Para hacerlo, pulse en “Actualizar todo” en el menú de “Datos” arriba. Es posible que aparezca una advertencia de seguridad  - "Habilitar contenido". Recomendamos guarde una copia de la herramienta cumplimentada antes de realizar la actualización.</t>
  </si>
  <si>
    <t>9. Como muitos aspectos da vacinação contra a Covid-19 não estão finalizados, muitos parâmetros neste modelo, tais como preços unitários padrão, quantidades de mercadorias e especificações das vacinas, podem ser actualizados mesmo depois que esta ferramenta tiver sido implantada. Para fazer isso, clique em "Actualizar Tudo" no menu "Dados" acima. Observe que pode ser visualizado um aviso de segurança – "Activar Conteúdo". Recomendamos que faça um backup da ferramenta completa antes de realizar uma actualização.</t>
  </si>
  <si>
    <t>9. نظرًا لأن العديد من جوانب التطعيم ضد كوفيد-19 لم يتم الانتهاء منها، يمكن تحديث العديد من المعلمات في هذا النموذج مثل أسعار الوحدات الافتراضية وكميات السلع ومواصفات اللقاح حتى بعد نشر هذه الأداة. للقيام بذلك، انقر فوق "تحديث الكل" ضمن قائمة "البيانات" أعلاه. يرجى ملاحظة أنه قد يتم عرض تحذير أمني - يرجى "تمكين المحتوى". نوصيك بعمل نسخة احتياطية من الأداة المكتملة قبل إجراء التحديث.</t>
  </si>
  <si>
    <t>9. 由于Covid-19疫苗接种的许多方面尚未最后确定，因此即使在工具部署后，也可以更新模型中的许多参数（例如默认单价、商品数量和疫苗规格）。如欲更新，请点击上方菜单“数据”下的“全部刷新”。请注意，可能会显示安全警告，请“启用内容”。我们建议您在更新之前备份已完成的工具内容。</t>
  </si>
  <si>
    <t>A1.3 Menu de liens rapides</t>
  </si>
  <si>
    <t>A1.3 Меню быстрого доступа</t>
  </si>
  <si>
    <t>A1.3 Enlaces rápidos</t>
  </si>
  <si>
    <t>A1.3 Menu de Ligações Rápidas</t>
  </si>
  <si>
    <t>A1.3 قائمة الروابط السريعة</t>
  </si>
  <si>
    <t>A1.3 “快速链接”菜单</t>
  </si>
  <si>
    <t>Réf.</t>
  </si>
  <si>
    <t>Nom de la feuille (Cliquer pour aller sur cette feuille)</t>
  </si>
  <si>
    <t>L'utilisateur doit-il entrer quelque chose?</t>
  </si>
  <si>
    <t>Код таблицы</t>
  </si>
  <si>
    <t>Название таблицы
(нажмите, чтобы перейти к конкретной таблице)</t>
  </si>
  <si>
    <t>Описание</t>
  </si>
  <si>
    <t>Требуется ввод данных пользователем?</t>
  </si>
  <si>
    <t>Nombre de la hoja
(Pulsar para ir a la hoja)</t>
  </si>
  <si>
    <t>Descripción</t>
  </si>
  <si>
    <t>¿Es necesario introducir datos?</t>
  </si>
  <si>
    <t>Nome da Folha
(Clique para saltar para a folha)</t>
  </si>
  <si>
    <t>Descrição</t>
  </si>
  <si>
    <t>É necessária entrada do utilizador?</t>
  </si>
  <si>
    <t xml:space="preserve"> المرجع</t>
  </si>
  <si>
    <t xml:space="preserve">اسم الورقة_x000D_
(انقر للانتقال إلى الورقة) </t>
  </si>
  <si>
    <t>الوصف</t>
  </si>
  <si>
    <t xml:space="preserve"> هل هناك حاجة لمدخلات المستخدم؟</t>
  </si>
  <si>
    <t>参考</t>
  </si>
  <si>
    <t>工作表名称
（单击以跳至工作表）</t>
  </si>
  <si>
    <t>描述</t>
  </si>
  <si>
    <t>是否需要用户输入？</t>
  </si>
  <si>
    <t>ENTRÉE Population &amp; administration</t>
  </si>
  <si>
    <t>Spécifier le contexte, la population-cible, les paramètres d'administration et les stocks de vaccins du pays</t>
  </si>
  <si>
    <t>OUI</t>
  </si>
  <si>
    <t>ВВОД численности населения и стратегии организации прививок</t>
  </si>
  <si>
    <t>Ввести данные о стране, численность целевого населения, параметры поставок и объемы снабжения вакцинами для Вашей страны</t>
  </si>
  <si>
    <t>ДА</t>
  </si>
  <si>
    <t>INTRODUCIR Población y prestación</t>
  </si>
  <si>
    <t>Indicar contexto de país, población objetivo, parámetros de administración y suministro de vacunas</t>
  </si>
  <si>
    <t>SÏ</t>
  </si>
  <si>
    <t>ENTRADA População e Distribuição</t>
  </si>
  <si>
    <t>Especificar o contexto do país, a população-alvo, os parâmetros de distribuição e o abastecimento de vacinas</t>
  </si>
  <si>
    <t>SIM</t>
  </si>
  <si>
    <t>المدخل السكان  والتسليم</t>
  </si>
  <si>
    <t>حدد سياق البلد، والسكان المستهدفين، ومعايير التسليم، وتجهيزات اللقاح</t>
  </si>
  <si>
    <t>输入人口和交付</t>
  </si>
  <si>
    <t>具体说明国家背景、目标人群、交付参数和疫苗供应</t>
  </si>
  <si>
    <t>ENTRÉE Coût unitaire</t>
  </si>
  <si>
    <t>Entrer les coûts unitaires de la main-d'œuvre, des services et de matériel propres au pays</t>
  </si>
  <si>
    <t>ВВОД удельной себестоимости</t>
  </si>
  <si>
    <t>Ввести себестоимость рабочей силы, услуг и материалов для Вашей страны</t>
  </si>
  <si>
    <t>INTRODUCIR Coste unitario</t>
  </si>
  <si>
    <t>Introducir el coste unitario específico de país de mano de obra, servicios y suministros</t>
  </si>
  <si>
    <t>ENTRADA Custo Unitário</t>
  </si>
  <si>
    <t>Digitar os custos das unidades específicos do país para mão-de-obra, serviços e suprimentos</t>
  </si>
  <si>
    <t>المدخل  تكاليف الوحدة</t>
  </si>
  <si>
    <t xml:space="preserve"> إدخال تكاليف الوحدات الخاصة بكل بلد للعمالة والخدمات والتجهيزات</t>
  </si>
  <si>
    <t>输入单位成本</t>
  </si>
  <si>
    <t>输入具体国家的人工、服务和用品成本</t>
  </si>
  <si>
    <t>ENTRÉE Coûts centraux</t>
  </si>
  <si>
    <t>Tabuler les coûts unitaires spécifiques au pays pour les activités de niveau central</t>
  </si>
  <si>
    <t xml:space="preserve">ВВОД централизованно покрываемых расходов </t>
  </si>
  <si>
    <t>Ввести удельную себестоимость централизованно покрываемых мероприятий для Вашей страны</t>
  </si>
  <si>
    <t>INTRODUCIR Costes centrales</t>
  </si>
  <si>
    <t>Tabular el coste unitario específico de país para las actividades de nivel central</t>
  </si>
  <si>
    <t>SÍ</t>
  </si>
  <si>
    <t>ENTRADA Custos Centrais</t>
  </si>
  <si>
    <t>Classificar os custos unitários específicos do país para actividades de nível central</t>
  </si>
  <si>
    <t>المدخل التكاليف المركزية</t>
  </si>
  <si>
    <t>جدولة تكاليف الوحدات الخاصة بكل بلد للأنشطة على المستوى المركزي</t>
  </si>
  <si>
    <t>输入中央成本</t>
  </si>
  <si>
    <t>列出具体国家中央级别活动的单位成本</t>
  </si>
  <si>
    <t>Population ciblée</t>
  </si>
  <si>
    <t xml:space="preserve"> Estimer la taille de la population-cible, le calendrier des vaccinations et les doses de vaccin requises</t>
  </si>
  <si>
    <t>Целевое население</t>
  </si>
  <si>
    <t>Рассчитать численность целевого населения, сроки проведения вакцинации и количество требуемых доз вакцины для Вашей страны</t>
  </si>
  <si>
    <t>Población objetivo</t>
  </si>
  <si>
    <t>Estimar el tamaño de la población objetivo, el calendario de vacunación y las dosis de vacunas necesarias</t>
  </si>
  <si>
    <t>População-Alvo</t>
  </si>
  <si>
    <t>Calcular o tamanho da população-alvo, a altura da vacinação e os requisitos de doses de vacina</t>
  </si>
  <si>
    <t>السكان المستهدفون</t>
  </si>
  <si>
    <t xml:space="preserve"> تقدير حجم السكان المستهدف، وتوقيت التطعيم، ومتطلبات جرعة اللقاح</t>
  </si>
  <si>
    <t>目标人群</t>
  </si>
  <si>
    <t>估算目标人群规模、接种时间和疫苗剂数要求</t>
  </si>
  <si>
    <t>Vaccins et stocks</t>
  </si>
  <si>
    <t>Estimer la quantité et le coût des vaccins et du matériel</t>
  </si>
  <si>
    <t>NON</t>
  </si>
  <si>
    <t>Вакцины и расходные материалы</t>
  </si>
  <si>
    <t>Рассчитать количество и стоимость вакцин и расходных материалов для Вашей страны</t>
  </si>
  <si>
    <t>НЕТ</t>
  </si>
  <si>
    <t>Vacunas y suministros</t>
  </si>
  <si>
    <t>Estimar la cantidad y el coste de las vacunas y suministros</t>
  </si>
  <si>
    <t>Vacinas e Suprimentos</t>
  </si>
  <si>
    <t>Calcular a quantidade e os custos das vacinas e suprimentos</t>
  </si>
  <si>
    <t>NÃO</t>
  </si>
  <si>
    <t>اللقاحات والتجهيزات</t>
  </si>
  <si>
    <t>تقدير كمية وتكلفة اللقاحات والتجهيزات</t>
  </si>
  <si>
    <t>疫苗和用品</t>
  </si>
  <si>
    <t>估算疫苗和用品的数量和成本</t>
  </si>
  <si>
    <t>否</t>
  </si>
  <si>
    <t>Logistique nationale</t>
  </si>
  <si>
    <t>Estimer les transports internationaux, les taxes d'importation et les frais de manutention</t>
  </si>
  <si>
    <t>Международная логистика</t>
  </si>
  <si>
    <t>Рассчитать стоимость международных поставок, таможенных пошлин на ввозимые товары, и расходов на перемещение товаров для Вашей страны</t>
  </si>
  <si>
    <t>Logística internacional</t>
  </si>
  <si>
    <t>Estimar el coste del transporte internacional, las tasas de importación y los servicios conexos</t>
  </si>
  <si>
    <t>Logística Internacional</t>
  </si>
  <si>
    <t>Calcular os custos de transporte internacional, direitos de importação e manuseamento</t>
  </si>
  <si>
    <t xml:space="preserve">اللوجستيات الدولية </t>
  </si>
  <si>
    <t xml:space="preserve"> تقدير الشحن الدولي ورسوم الاستيراد والمناولة</t>
  </si>
  <si>
    <t>国际物流</t>
  </si>
  <si>
    <t>估算国际运输、进口关税和处理</t>
  </si>
  <si>
    <t>Logistique internationale</t>
  </si>
  <si>
    <t>Estimer la chaîne du froid, la logistique et la sécurité</t>
  </si>
  <si>
    <t>Optionnel (personnalisation pour utilisateurs avancés)</t>
  </si>
  <si>
    <t>Внутренняя логистика</t>
  </si>
  <si>
    <t>Рассчитать стоимость соблюдения условий холодовой цепи, стоимость логистики и стоимость мер по обеспечению безопасности для Вашей страны</t>
  </si>
  <si>
    <t>Необязательно (для дополнительных настроек)</t>
  </si>
  <si>
    <t>Logística nacional</t>
  </si>
  <si>
    <t>Estimar coste de la cadena de frío, logística y seguridad</t>
  </si>
  <si>
    <t>Opcional (personalización avanzada)</t>
  </si>
  <si>
    <t>Logística Nacional</t>
  </si>
  <si>
    <t>Calcular os custos da cadeia de frio, logística e segurança</t>
  </si>
  <si>
    <t>Opcional (para personalização avançada)</t>
  </si>
  <si>
    <t>اللوجستيات المحلية</t>
  </si>
  <si>
    <t>تقدير سلسلة البرودة، والخدمات اللوجستية، والأمن</t>
  </si>
  <si>
    <t xml:space="preserve"> اختياري (للتخصيص المتقدم)</t>
  </si>
  <si>
    <t>国内物流</t>
  </si>
  <si>
    <t>估算冷链、物流和安全性</t>
  </si>
  <si>
    <t>可选（用于高级客户定制）</t>
  </si>
  <si>
    <t>Livraison au dernier kilomètre</t>
  </si>
  <si>
    <t>Estimer la prestation de services au dernier kilomètre</t>
  </si>
  <si>
    <t>Доставка на этапе "последней мили"</t>
  </si>
  <si>
    <t>Рассчитать стоимость предоставления услуг на этапе "последней мили" для Вашей страны</t>
  </si>
  <si>
    <t>Entrega de última milla</t>
  </si>
  <si>
    <t>Estimar coste de envío de última milla</t>
  </si>
  <si>
    <t>Entrega "até ao último km"</t>
  </si>
  <si>
    <t>Calcular os custos da entrega "até ao último km"</t>
  </si>
  <si>
    <t>تسليم الميل الأخير</t>
  </si>
  <si>
    <t xml:space="preserve"> تقدير تسليم خدمة الميل الأخير</t>
  </si>
  <si>
    <t>最后一公里交付</t>
  </si>
  <si>
    <t>估算最后一公里的服务交付</t>
  </si>
  <si>
    <t>SORTIES</t>
  </si>
  <si>
    <t>Résultats de cet outil d'estimation des coûts</t>
  </si>
  <si>
    <t>ВЫХОДНЫЕ ДАННЫЕ</t>
  </si>
  <si>
    <t>Посмотреть результаты расчета затрат для Вашей страны, полученные с помощью данного инструмента</t>
  </si>
  <si>
    <t>RESULTADOS</t>
  </si>
  <si>
    <t>Resultados de esta herramienta de estimación de costes</t>
  </si>
  <si>
    <t>REALIZAÇÕES</t>
  </si>
  <si>
    <t>Resultados desta ferramenta de cálculo de custos</t>
  </si>
  <si>
    <t>المخرجات</t>
  </si>
  <si>
    <t xml:space="preserve"> نتائج أداة تقدير التكاليف هذه</t>
  </si>
  <si>
    <t>输出</t>
  </si>
  <si>
    <t>此成本核算工具的结果</t>
  </si>
  <si>
    <t>Cartographie des ressources</t>
  </si>
  <si>
    <t>Un outil de cartographie des ressources</t>
  </si>
  <si>
    <t>Обзор ресурсов</t>
  </si>
  <si>
    <t>Использовать данный инструмент для картирования ресурсов</t>
  </si>
  <si>
    <t>Mapeo de recursos</t>
  </si>
  <si>
    <t>Herramienta de mapeo de recursos</t>
  </si>
  <si>
    <t>Mapeamento de Recursos</t>
  </si>
  <si>
    <t>Uma ferramenta de mapeamento de recursos</t>
  </si>
  <si>
    <t xml:space="preserve"> رسم خرائط الموارد</t>
  </si>
  <si>
    <t>أداة تخطيط الموارد</t>
  </si>
  <si>
    <t>资源映射</t>
  </si>
  <si>
    <t>一项资源映射工具</t>
  </si>
  <si>
    <t>Vaccins</t>
  </si>
  <si>
    <t>Mettre à jour la base de données des spécifications des vaccins contre la COVID-19</t>
  </si>
  <si>
    <t>Вакцины</t>
  </si>
  <si>
    <t>Обновить базу данных по спецификациям вакцин против COVID-19</t>
  </si>
  <si>
    <t>Vacunas</t>
  </si>
  <si>
    <t>Actualizar la base de datos de especificaciones de las vacunas de la COVID19</t>
  </si>
  <si>
    <t>Vacinas</t>
  </si>
  <si>
    <t>Actualizar a base de dados de especificações das vacinas contra a COVID-19</t>
  </si>
  <si>
    <t>اللقاحات</t>
  </si>
  <si>
    <t>تحديث قاعدة بيانات مواصفات لقاح كوفيد-19</t>
  </si>
  <si>
    <t>疫苗</t>
  </si>
  <si>
    <t>更新COVID-19疫苗规格数据库</t>
  </si>
  <si>
    <t>This is a COVID-19 vaccination costing estimation tool: The tool is meant to help governments, partners, and other stakeholders estimate the introductory and deployment cost of COVID-19 vaccine procurement and service delivery, before detailed planning can take place. These costs include central activities, international and domestic logistics, service delivery, and demand generation and communications. The tool focuses on operational costs and selected capital expenditures.
Estimations are based on typical conditions: As a global/regional cost estimation tool, the costing model is based on a model of typical service delivery conditions which may not fit all country contexts. This can affect the accuracy of the estimates for any given country.
Outputs are based on users-specified parameters, including unit costs: As a costing model, the final output are based on population and service delivery parameters, and unit prices for specific inputs such as the vaccine final price, supplies, human resources, etc. End users are expected to edit these parameters based on their knowledge of local conditions. The final output is also sensitive to end user editable parameters such as how the target population is defined and quantified, human resources allocated to the vaccination program, and the number and type of health facilities involved in the program.
COVID-19 vaccine candidate and other parameters are not final: Due to the rapid introduction of COVID-19 vaccination, key specifications are not finalized and assumptions have to be made.</t>
  </si>
  <si>
    <t>Il s'agit d'un outil d'estimation du coût de la vaccination contre la COVID-19 : Cet outil est conçu pour aider les gouvernements, les partenaires et autres parties prenantes à estimer le coût d'introduction et de déploiement de l'acquisition des vaccins contre la COVID-19 et de la prestation de services, avant une planification plus détaillée. Ces coûts comprennent les activités centrales, la logistique internationale et nationale, la prestation de services, la génération de demande et la communication. L'outil est axé sur les coûts opérationnels et des dépenses d'investissement sélectionnées.
Les estimations sont fondées sur des conditions types: En tant qu'outil d'estimation des coûts internationaux/régionaux, le modèle d'estimation des coûts se fonde sur un modèle de conditions types de prestation de services, qui ne correspond pas forcément aux contextes de tous les pays. Cela peut affecter l'exactitude des estimations pour un pays donné.
Les sorties sont fondées sur des paramètres spécifiés par les utilisateurs, y compris les coûts unitaires: Pour ce modèle d'estimation, les sorties finales sont fondées sur des paramètres de population et de prestation de services, et les prix unitaires pour des intrants spécifiques, comme le prix final des vaccins, le matériel, les ressources humaines, etc. Les utilisateurs finaux doivent éditer ces paramètres en se fondant sur leur connaissance des conditions locales. Les sorties finales sont aussi sensibles à des paramètres éditables par l'utilisateur final, comme la manière dont est définie et quantifiée la population-cible, les ressources humaines allouées au programme de vaccination, ainsi que le nombre et le type des établissements de santé qui participent au programme.
Le vaccin-candidat contre la COVID-19 et d'autres paramètres ne sont pas encore finalisés: En raison de l'introduction rapide de la vaccination contre la COVID-19, des spécifications clés ne sont pas finalisées et il faut faire des hypothèses.</t>
  </si>
  <si>
    <t>Перед Вами инструмент расчета затрат на вакцинацию против COVID-19. Данный инструмент разработан с целью помочь правительствам, партнерам и другим участвующим сторонам выполнить расчет затрат на внедрение вакцин против COVID-19 и организацию поставок вакцин в страны, закупку вакцин и организацию прививок против COVID-19 перед тем, как страны приступят к детельному планированию указанных мероприятий. Данные затраты включают реализацию ключевых мероприятий, организацию логистики на международном уровне и внутри страны, предоставление услуг иммунизации, а также формирование спроса на вакцину и осуществление информационного взаимодействия в вопросах иммунизации. Первоочередное внимание уделяется операционным затратам и отдельным капитальным затратам.
Для расчета затрат в данном инструменте используются среднестатистические характеристики продуктов/услуг. Поскольку предполагается, что данный инструмент будет применяться странами всего мира/региона, представленная модель инструмента учитывеет среднестатистические условия проведения вакцинации, которые могут не соответствовать условиям в отдельно взятой стране и это может влиять на точность расчетов для некоторых стран.
Конечные результаты расчетов зависят от параметров, задаваемых пользователем, в том числе, от значения удельной себестоимости [товаров/услуг]: как для любой другой модели расчета затрат, финальные результаты расчетов определяются такими параметрами, как численность населения и порядок предоставления услуг, а также размер удельной себестоимости для вводимых позиций товаров/услуг, например, финальная цена вакцин и расходных материалов, кадровые затраты, и так далее. Ожидается, что конечные пользователи будут корректировать указанные параметры, опираясь на свои знания специфики местного контекста. Кроме того, конечный результат расчетов зависит от определения и расчета численности целевого населения, необходимых кадровых ресурсов, а также от количества и типа медучреждений, участвующих в реализации программы вакцинации - эти параметры также могут изменяться пользователем.
Список вакцин-кандидатов против COVID-19 и других параметров не является окончательным: внедрение вакцинации против COVID-19 идет быстрыми темпами, ключевые характеристики не являются окончательными и необходимо использовать допущения.</t>
  </si>
  <si>
    <t>Esta es una herramienta de estimación de costes de vacunación frente a la COVID-19: La herramienta está pensada para ayudar a los gobiernos, socios y otras partes interesadas a estimar el coste de introducción y despliegue de la adquisición y administración de la vacuna de la COVID-19 con el fin de poder llevar a cabo una planificación detallada. Estos costes incluyen las actividades básicas, la logística internacional y nacional, la prestación de servicios y la generación de demanda y comunicación. La herramienta se centra en los costes operativos y en determinados gastos de capital.
Las estimaciones se basan en condiciones típicas: Como herramienta de estimación de costes global/regional, el modelo de estimación de costes se basa en un modelo de condiciones típicas de prestación de servicios que puede no ajustarse al contexto de todos los países. Esto puede afectar la precisión de las estimaciones para un país determinado.
Los resultados se basan en parámetros aportados por el usuario, incluyendo coste unitario: Como modelo de estimación de costes, el resultado final se basa en parámetros de población y prestación de servicios, y precios unitarios de insumos concretos como precio final de las vacunas, suministros, recursos humanos, etc. Se espera que los usuarios modifiquen estos parámetros en base a sus conocimientos de las condiciones locales. El resultado final depende también de parámetros susceptibles de modificación por el usuario, como la forma en que se define y cuantifica la población objetivo, los recursos humanos asignados al programa de vacunación, y el número y tipo de establecimiento de salud que forma parte del programa.
Los candidatos a vacunas frente a la COVID-19 y otros parámetros aún no son definitivos: Debido a la rapidez de la introducción de la vacuna de la COVID-19, las especificaciones clave aún no son definitivas y es preciso trabajar con suposiciones.</t>
  </si>
  <si>
    <t>Esta é uma ferramenta de estimativas dos custos da vacinação contra a COVID-19: A ferramenta destina-se a ajudar os governos, parceiros e outras partes interessadas a calcular os custos de introdução e distribuição da aquisição e administração da vacina contra a COVID-19, antes de se poder fazer o planeamento detalhado. Estes custos incluem actividades centrais, logística internacional e nacional, prestação de serviços, geração de procura e comunicações. A ferramenta concentra-se nos custos operacionais e em despesas de capital seleccionadas.
As estimativas baseiam-se em condições típicas: Como uma ferramenta de estimativa de custos global/regional, o modelo de cálculo de custos baseia-se num modelo de condições típicas de prestação de serviços que pode não se enquadrar em todos os contextos nacionais. Isto pode afectar a precisão das estimativas para qualquer país específico.
As realizações são baseadas em parâmetros especificados pelo utilizador, incluindo os custos unitários: Como modelo de cálculo de custos, o resultado final baseia-se em parâmetros de população e prestação de serviços, e preços unitários para insumos específicos, tais como o preço final da vacina, suprimentos, recursos humanos, etc. Espera-se que os utilizadores finais editem esses parâmetros com base no seu conhecimento das condições locais. O resultado final também é sensível a parâmetros editáveis pelo utilizador final, tais como a forma como a população-alvo é definida e quantificada, recursos humanos alocados ao programa de vacinação e o número e tipo de instalações de saúde envolvidas no programa.
As vacinas candidatas contra a COVID-19 e outros parâmetros não são definitivos: Devido à rápida introdução da vacinação contra a COVID-19, as principais especificações não estão finalizadas e é necessário fazer suposições.</t>
  </si>
  <si>
    <t>هذه أداة تقدير تكلفة لقاح كوفيد-19: الغرض من الأداة هو مساعدة الحكومات والشركاء وأصحاب المصلحة الآخرين على تقدير تكلفة شراء إدخال ونشر لقاح كوفيد-19 وتسليم الخدمة، قبل أن يتم التخطيط التفصيلي. وتشمل هذه التكاليف الأنشطة المركزية، واللوجستيات الدولية والمحلية، وتقديم الخدمات، وتوليد الطلب والاتصالات. تركز الأداة على التكاليف التشغيلية ونفقات رأس المال المختارة.
 تستند التقديرات إلى الظروف النموذجية: كأداة لتقدير التكلفة العالمية / الإقليمية، ويعتمد نموذج تقدير التكاليف على نموذج لشروط تسليم الخدمة النموذجية التي قد لا تناسب جميع سياقات البلد. يمكن أن يؤثر ذلك على دقة التقديرات لأي بلد معين.
[المخرجات قائمة على معايير يحددها المستخدمون، بما في ذلك تكاليف الوحدة: كنموذج لتقدير التكاليف، يعتمد المخرج النهائي على السكان ومعايير تسليم الخدمة، وأسعار الوحدة لمدخلات محددة مثل السعر النهائي للقاح، والتجهيزات، والموارد البشرية،الخ.  من المتوقع أن يقوم المستخدمون النهائيون بتحرير هذه المعايير بناءً على معرفتهم بالظروف المحلية. المخرج النهائي حساس أيضًا للمعايير القابلة للتحرير للمستخدم النهائي مثل كيفية تحديد السكان المستهدفين وقياسهم، والموارد البشرية المخصصة لبرنامج التطعيم، وعدد ونوع المنشآت الصحية المشاركة في البرنامج.
لقاح كوفيد-19المرشح والمعايير الأخرى ليست نهائية: نظرًا للإدخال السريع للقاح كوفيد-19، لم يتم الانتهاء من المواصفات الرئيسية ويجب وضع الافتراضات.</t>
  </si>
  <si>
    <t>这是一项COVID-19疫苗成本估算工具：旨在帮助政府、合作伙伴和其他利益相关者在开展详细规划之前估算COVID-19疫苗获得和服务交付的引入与部署成本，包括中央活动、国际和国内物流、服务交付以及需求生成和沟通。该工具着重于运营成本和某些选定的资本支出。
估算基于有代表性的条件：作为一项全球/区域的成本估算工具，其成本核算模型基于某些具有代表性的服务提供条件，因此可能不适用于所有国家。这可能会影响任何给定国家的估算准确性。
输出基于用户指定的参数，包括单位成本：作为一个成本核算模型，其最终输出基于人口和服务提供参数以及特定的输入单价，例如疫苗的最终价格、用品、人力资源等。 最终用户应根据自己对当地情况的了解来编辑这些参数。最终输出也取决于最终用户可编辑的某些参数，例如目标人群的定义和量化方式，为疫苗接种计划分配的人力资源，以及该计划涉及的卫生机构的数目和类别。
COVID-19候选疫苗和其他参数并非一成不变：由于COVID-19疫苗引入的速度非常快，因此尚未最终确定其重要规格，且必须做出某些假设。</t>
  </si>
  <si>
    <t>T1. Base de données vaccinale</t>
  </si>
  <si>
    <t>T1. База данных по вакцинам</t>
  </si>
  <si>
    <t>T1. Base de datos de vacunas</t>
  </si>
  <si>
    <t>T1. Base de dados de Vacinas</t>
  </si>
  <si>
    <t>T1. قاعدة بيانات اللقاحات</t>
  </si>
  <si>
    <t>T1. 疫苗数据库</t>
  </si>
  <si>
    <t>NB: Les utilisateurs finaux avancés peuvent utiliser la rangée 21 de la base de donnée vaccinale (suivre la FLÈCHE ROUGE) pour entrer des vaccins spécifiques. Les 20 premiers vaccins sont automatiquement mis à jour et ne doivent pas être modifiés</t>
  </si>
  <si>
    <t>Примечание: Опытные пользователи могут использовать ряд №21 в базе данных по вакцинам (КРАСНАЯ СТРЕЛКА) и далее, чтобы ввести названия вакцин, выбранных пользователем. Информация по первым 20 вакцинам обновляется автоматически и не требует редактирования.</t>
  </si>
  <si>
    <t>Nota: Los usuarios avanzados podrán utilizar desde la fila #21 (FLECHA ROJA) de la base de datos de vacunas en adelante para especificar vacunas definidas por el usuario. Las primeras 20 vacunas son autoactualizables y no deben ser modificadas.</t>
  </si>
  <si>
    <t>Nota: Os utilizadores finais avançados podem usar a base de dados de vacinas a partir da linha nº 21 (SETA VERMELHA) para especificar vacinas definidas pelo utilizador. As primeiras 20 vacinas são actualizadas automaticamente e não devem ser editadas.</t>
  </si>
  <si>
    <t>ملاحظة: قد يستخدم المستخدمون النهائيون المتقدمون صف قاعدة بيانات اللقاحات رقم 21 (السهم الأحمر) وما بعده لتحديد اللقاحات المحددة من قبل المستخدم. واللقاحات العشرين الأولى قابلة للتحديث تلقائيًا ولا ينبغي تغييرها.</t>
  </si>
  <si>
    <t>注意：高级终端用户可以使用疫苗数据库第21行（红色箭头）及之后的各行来指定用户定义的疫苗。前20行中的疫苗将会自动更新，请不要编辑。</t>
  </si>
  <si>
    <t>DERNIÈRE MISE À JOUR:</t>
  </si>
  <si>
    <t>ПОСЛЕДНЕЕ ОБНОВЛЕНИЕ:</t>
  </si>
  <si>
    <t>Примечание:</t>
  </si>
  <si>
    <t>ÚLTIMA ACTUALIZACIÓN:</t>
  </si>
  <si>
    <t>Advertencia:</t>
  </si>
  <si>
    <t>ÚLTIMA ACTUALIZAÇÃO</t>
  </si>
  <si>
    <t>آخر تحديث:</t>
  </si>
  <si>
    <t>إشعار:</t>
  </si>
  <si>
    <t>最近更新：</t>
  </si>
  <si>
    <t>Unités:</t>
  </si>
  <si>
    <t>Jours</t>
  </si>
  <si>
    <t>Mois</t>
  </si>
  <si>
    <t>cm3 d'emballage secondaire</t>
  </si>
  <si>
    <t>g par dose</t>
  </si>
  <si>
    <t>Minutes par dose</t>
  </si>
  <si>
    <t>Réactions demandant une investigation, par 100.000 doses</t>
  </si>
  <si>
    <t>Consommables par dose, y compris facteur de perte</t>
  </si>
  <si>
    <t>Fraction d'une boîte de sécurité de 5 litres occupée par les déchets médicaux correspondant à une dose</t>
  </si>
  <si>
    <t>Единицы</t>
  </si>
  <si>
    <t>Доллары США</t>
  </si>
  <si>
    <t>Дни</t>
  </si>
  <si>
    <t>Месяцы</t>
  </si>
  <si>
    <t>см3 с учетом вторичной упаковки</t>
  </si>
  <si>
    <t>Грамм на одну дозу</t>
  </si>
  <si>
    <t>Минут на одну дозу</t>
  </si>
  <si>
    <t xml:space="preserve">Количество реакций, требующих расследования, на 100 000 доз </t>
  </si>
  <si>
    <t xml:space="preserve">Количество расходных материалов на одну дозу, с учетом фактора потерь </t>
  </si>
  <si>
    <t xml:space="preserve">Процент объема коробки для безопасной утилизации отходов объемом 5 л, необходимый для утилизации одной дозы в качестве медицинских отходов </t>
  </si>
  <si>
    <t>Unidades:</t>
  </si>
  <si>
    <t>Días</t>
  </si>
  <si>
    <t>Meses</t>
  </si>
  <si>
    <t>cm3 en envasado secundario</t>
  </si>
  <si>
    <t>g por dosis</t>
  </si>
  <si>
    <t>meses</t>
  </si>
  <si>
    <t>Min por dosis</t>
  </si>
  <si>
    <t>Reacciones investigables por 100.000 dosis</t>
  </si>
  <si>
    <t>Consumibles por dosis, incluyendo factor de desperdicio</t>
  </si>
  <si>
    <t>Fracción de una caja de seguridad de 5 l ocupada para la eliminación de residuos médicos equivalentes a una dosis</t>
  </si>
  <si>
    <t>Dias</t>
  </si>
  <si>
    <t>cm3 na embalagem secundária</t>
  </si>
  <si>
    <t>g por dose</t>
  </si>
  <si>
    <t>Min. por dose</t>
  </si>
  <si>
    <t>Reacções investigáveis por 100.000 doses</t>
  </si>
  <si>
    <t>Consumíveis por dose, incluindo factor de desperdício</t>
  </si>
  <si>
    <t>Fracção de uma caixa de segurança de 5 L ocupada para eliminar o correspondente a uma dose de resíduos clínicos</t>
  </si>
  <si>
    <t>الوحدات</t>
  </si>
  <si>
    <t>دولار أمريكي</t>
  </si>
  <si>
    <t>أيام</t>
  </si>
  <si>
    <t>شهور</t>
  </si>
  <si>
    <t>سم3 من التغليف الثانوي</t>
  </si>
  <si>
    <t>غرام لكل جرعة</t>
  </si>
  <si>
    <t>دقائق لكل جرعة</t>
  </si>
  <si>
    <t>التفاعلات القابلة للاستقصاء لكل 100000 جرعة</t>
  </si>
  <si>
    <t>المواد المستهلكة لكل جرعة، بما في ذلك عامل الفاقد</t>
  </si>
  <si>
    <t>الجزء من صندوق نفايات آمن بسعة 5 لترات المشغول للتخلص مما قيمته جرعة واحدة من النفايات الطبية</t>
  </si>
  <si>
    <t>单位：</t>
  </si>
  <si>
    <t>美元</t>
  </si>
  <si>
    <t>天数</t>
  </si>
  <si>
    <t>月数</t>
  </si>
  <si>
    <t>二级包装中的cm3</t>
  </si>
  <si>
    <t>每剂g</t>
  </si>
  <si>
    <t>每剂所用分钟</t>
  </si>
  <si>
    <t>每10万剂中可调查的反应</t>
  </si>
  <si>
    <t>每剂耗材，包括损耗因子</t>
  </si>
  <si>
    <t>一剂疫苗产生的医疗废弃物在5升安全箱中被处理时所占用的体积分率</t>
  </si>
  <si>
    <t>Nom de code du vaccin</t>
  </si>
  <si>
    <t>Prix final par dose</t>
  </si>
  <si>
    <t>Doses par série</t>
  </si>
  <si>
    <t>Doses par flacon</t>
  </si>
  <si>
    <t>Durée minimum entre doses</t>
  </si>
  <si>
    <t>Durée de l'immunité</t>
  </si>
  <si>
    <t>Voie d'administration</t>
  </si>
  <si>
    <t>Exigences de la chaîne du froid</t>
  </si>
  <si>
    <t>Volume emballé par dose</t>
  </si>
  <si>
    <t>Poids</t>
  </si>
  <si>
    <t>Durée de conservation</t>
  </si>
  <si>
    <t>Catégorie d'emballage de transport de l'OMS</t>
  </si>
  <si>
    <t>Temps de RHS</t>
  </si>
  <si>
    <t>Taux d'investigation de MAPI</t>
  </si>
  <si>
    <t>Кодовое наименование вакцины</t>
  </si>
  <si>
    <t>Финальная цена за одну дозу</t>
  </si>
  <si>
    <t>Количество требуемых доз в одном полном курсе вакцинации</t>
  </si>
  <si>
    <t>Количество доз в одном флаконе</t>
  </si>
  <si>
    <t xml:space="preserve">Минимальный промежуток между дозами </t>
  </si>
  <si>
    <t>Длительность вырабатываемого иммунитета</t>
  </si>
  <si>
    <t>Способ введения вакцины</t>
  </si>
  <si>
    <t>Требования к холодовой цепи</t>
  </si>
  <si>
    <t>Объем одной дозы вакцины в упаковке</t>
  </si>
  <si>
    <t>Вес</t>
  </si>
  <si>
    <t>Срок годности</t>
  </si>
  <si>
    <t>Класс доставки по классификации ВОЗ</t>
  </si>
  <si>
    <t xml:space="preserve">Время, затрачиваемое одним работником здравоохранения </t>
  </si>
  <si>
    <t>Частота расследования ПППИ</t>
  </si>
  <si>
    <t>Примечания</t>
  </si>
  <si>
    <t>Nombre en clave de la vacuna</t>
  </si>
  <si>
    <t>País de fabricación</t>
  </si>
  <si>
    <t>Precio final por dosis</t>
  </si>
  <si>
    <t>Dosis por curso</t>
  </si>
  <si>
    <t>Dosis por vial</t>
  </si>
  <si>
    <t>Intervalo mínimo entre dosis</t>
  </si>
  <si>
    <t>Duración de la inmunidad</t>
  </si>
  <si>
    <t>Vía</t>
  </si>
  <si>
    <t>Requisitos de cadena de frío</t>
  </si>
  <si>
    <t>Volumen de envasado por dosis</t>
  </si>
  <si>
    <t>Peso</t>
  </si>
  <si>
    <t>Caducidad</t>
  </si>
  <si>
    <t>Clasificación de envío de la OMS</t>
  </si>
  <si>
    <t>Tiempo del personal sanitario</t>
  </si>
  <si>
    <t>Tasa de investigación de ESAVI</t>
  </si>
  <si>
    <t>Nome código da vacina</t>
  </si>
  <si>
    <t>Preço final por dose</t>
  </si>
  <si>
    <t>Doses por ciclo</t>
  </si>
  <si>
    <t>Doses por frasco</t>
  </si>
  <si>
    <t>Duração mínima entre doses</t>
  </si>
  <si>
    <t>Durabilidade da imunidade</t>
  </si>
  <si>
    <t>Itinerário</t>
  </si>
  <si>
    <t>Requisitos da cadeia de frio</t>
  </si>
  <si>
    <t>Volume embalado por dose</t>
  </si>
  <si>
    <t>Vida útil</t>
  </si>
  <si>
    <t>Categoria de embalagem de transporte da OMS</t>
  </si>
  <si>
    <t>Tempo do TS</t>
  </si>
  <si>
    <t>Taxa de investigação de EAPI</t>
  </si>
  <si>
    <t>اسم رمز اللقاح</t>
  </si>
  <si>
    <t>السعر النهائي لكل جرعة</t>
  </si>
  <si>
    <t>الجرعات لكل دورة</t>
  </si>
  <si>
    <t>جرعات لكل قارورة</t>
  </si>
  <si>
    <t>الحد الأدنى للمدة بين الجرعات</t>
  </si>
  <si>
    <t>قوة الحماية</t>
  </si>
  <si>
    <t>المسار</t>
  </si>
  <si>
    <t>متطلبات سلسلة التبريد</t>
  </si>
  <si>
    <t>حجم كل جرعة مع التغليف</t>
  </si>
  <si>
    <t>الوزن</t>
  </si>
  <si>
    <t>مدة الصلاحية</t>
  </si>
  <si>
    <t>فئة الشحن وفقًا لمنظمة الصحة العالمية</t>
  </si>
  <si>
    <t xml:space="preserve">HCW وقت </t>
  </si>
  <si>
    <t>معدل التدقيق في الأحداث الضائرة التالية للتطعيم</t>
  </si>
  <si>
    <t>疫苗代码名称</t>
  </si>
  <si>
    <t>每剂最终价</t>
  </si>
  <si>
    <t>每疗程剂数</t>
  </si>
  <si>
    <t>每小瓶剂数</t>
  </si>
  <si>
    <t>剂次之间相隔最短时间</t>
  </si>
  <si>
    <t>免疫力持续时长</t>
  </si>
  <si>
    <t>路径</t>
  </si>
  <si>
    <t>冷链要求</t>
  </si>
  <si>
    <t>每剂包装体积</t>
  </si>
  <si>
    <t>重量</t>
  </si>
  <si>
    <t>保质期</t>
  </si>
  <si>
    <t>世卫组织装运类别</t>
  </si>
  <si>
    <t>HCW时间</t>
  </si>
  <si>
    <t>AEFI调查率</t>
  </si>
  <si>
    <t>Ces rangés sont remises à jour automatiquement</t>
  </si>
  <si>
    <t>Информация в этих рядах обновляется автоматически</t>
  </si>
  <si>
    <t>Estas filas se actualizan automáticamente</t>
  </si>
  <si>
    <t>Estas linhas são actualizadas automaticamente</t>
  </si>
  <si>
    <t>هذه الصفوف يتم تحديثها تلقائيًا</t>
  </si>
  <si>
    <t>这些行将自动更新</t>
  </si>
  <si>
    <t>Les utilisateurs peuvent indiquer et définir dans cette rangée et les 9 suivantes des vaccins spécifiques</t>
  </si>
  <si>
    <t xml:space="preserve">Конечные пользователи могут использовать данный ряд и последующие 9 рядов для введения названий выбранных вакцин </t>
  </si>
  <si>
    <t xml:space="preserve">Los usuarios finales pueden utilizar esta fila y las 9 siguientes para especificar vacunas definidas por el usuario </t>
  </si>
  <si>
    <t>Os utilizadores finais podem usar esta e as próximas 9 linhas para especificar as vacinas definidas pelo utilizador</t>
  </si>
  <si>
    <t>يمكن أن يقوم المستخدمون النهائيون باستخدام الصفوف التسعة التالية لتحديد اللقاحات المحددة من قبل المستخدم</t>
  </si>
  <si>
    <t>终端用户可使用此行以及接下来的9行来指定用户定义的疫苗</t>
  </si>
  <si>
    <t>Sources: https://www.who.int/immunization_standards/vaccine_quality/who_pqs_e10_sb01.pdf 
https://www.who.int/vaccine_safety/initiative/tools/vaccinfosheets/en/
https://www.who.int/vaccine_safety/initiative/tools/Influenza_Vaccine_rates_information_sheet.pdf
https://www.who.int/immunization_standards/vaccine_quality/Vaccines_Shipping_Guidelines082019.pdf Class A - Max +8C; Class B - Max +30; Class C - Max +30 Min +2</t>
  </si>
  <si>
    <t>资料来源： https://www.who.int/immunization_standards/vaccine_quality/who_pqs_e10_sb01.pdf 
https://www.who.int/vaccine_safety/initiative/tools/vaccinfosheets/en/
https://www.who.int/vaccine_safety/initiative/tools/Influenza_Vaccine_rates_information_sheet.pdf
https://www.who.int/immunization_standards/vaccine_quality/Vaccines_Shipping_Guidelines082019.pdf Class A - Max +8C; Class B - Max +30; Class C - Max +30 Min +2</t>
  </si>
  <si>
    <t>المصادر: https://www.who.int/immunization_standards/vaccine_quality/who_pqs_e10_sb01.pdf 
https://www.who.int/vaccine_safety/initiative/tools/vaccinfosheets/en/
https://www.who.int/vaccine_safety/initiative/tools/Influenza_Vaccine_rates_information_sheet.pdf
https://www.who.int/immunization_standards/vaccine_quality/Vaccines_Shipping_Guidelines082019.pdf Class A - Max +8C; Class B - Max +30; Class C - Max +30 Min +2</t>
  </si>
  <si>
    <t>Fontes: https://www.who.int/immunization_standards/vaccine_quality/who_pqs_e10_sb01.pdf 
https://www.who.int/vaccine_safety/initiative/tools/vaccinfosheets/en/
https://www.who.int/vaccine_safety/initiative/tools/Influenza_Vaccine_rates_information_sheet.pdf
https://www.who.int/immunization_standards/vaccine_quality/Vaccines_Shipping_Guidelines082019.pdf Class A - Max +8C; Class B - Max +30; Class C - Max +30 Min +2</t>
  </si>
  <si>
    <t>Fuentes: https://www.who.int/immunization_standards/vaccine_quality/who_pqs_e10_sb01.pdf 
https://www.who.int/vaccine_safety/initiative/tools/vaccinfosheets/en/
https://www.who.int/vaccine_safety/initiative/tools/Influenza_Vaccine_rates_information_sheet.pdf
https://www.who.int/immunization_standards/vaccine_quality/Vaccines_Shipping_Guidelines082019.pdf Class A - Max +8C; Class B - Max +30; Class C - Max +30 Min +2</t>
  </si>
  <si>
    <t>Источники: https://www.who.int/immunization_standards/vaccine_quality/who_pqs_e10_sb01.pdf 
https://www.who.int/vaccine_safety/initiative/tools/vaccinfosheets/en/
https://www.who.int/vaccine_safety/initiative/tools/Influenza_Vaccine_rates_information_sheet.pdf
https://www.who.int/immunization_standards/vaccine_quality/Vaccines_Shipping_Guidelines082019.pdf Class A - Max +8C; Class B - Max +30; Class C - Max +30 Min +2</t>
  </si>
  <si>
    <t>
Item suivant</t>
  </si>
  <si>
    <t>
Page suivante</t>
  </si>
  <si>
    <t>
Résultats</t>
  </si>
  <si>
    <t>
Aide</t>
  </si>
  <si>
    <t> 菜单</t>
  </si>
  <si>
    <t> 下一项</t>
  </si>
  <si>
    <t> 下页</t>
  </si>
  <si>
    <t> 结果</t>
  </si>
  <si>
    <t> 帮助</t>
  </si>
  <si>
    <t>A2. Contexte, population-cible, paramètres de prestation et approvisionnement en vaccins du pays</t>
  </si>
  <si>
    <t xml:space="preserve">A2. Страновой контекст, целевое население, параметры поставок вакцин и снабжение вакцинами </t>
  </si>
  <si>
    <t>A2. Contexto de país, Población objetivo, Parámetros de administración y Suministro de vacunas</t>
  </si>
  <si>
    <t>A2. Contexto do País, População-Alvo, Parâmetros de Entrega e Fornecimento de Vacinas</t>
  </si>
  <si>
    <t>A2. سياق البلد، والسكان المستهدفين، ومعايير التسليم، وتجهيزات اللقاحات</t>
  </si>
  <si>
    <t>A2. 国家背景、目标人群、交付参数和疫苗供应量</t>
  </si>
  <si>
    <t>A2.1 Paramètres du pays</t>
  </si>
  <si>
    <t>INTRANTS</t>
  </si>
  <si>
    <t>Dérivé</t>
  </si>
  <si>
    <t>Unité/Commentaire</t>
  </si>
  <si>
    <t>A2.1 Параметры страны</t>
  </si>
  <si>
    <t>ВХОДНЫЕ ДАННЫЕ</t>
  </si>
  <si>
    <t>Предположение</t>
  </si>
  <si>
    <t>Производное значение</t>
  </si>
  <si>
    <t>Единица измерения / Комментарий</t>
  </si>
  <si>
    <t>A2.1 Parámetros de país</t>
  </si>
  <si>
    <t>INSUMOS</t>
  </si>
  <si>
    <t xml:space="preserve">Sugerencia </t>
  </si>
  <si>
    <t>Derivado</t>
  </si>
  <si>
    <t>Unidad / Comentario</t>
  </si>
  <si>
    <t>A2.1 Parâmetros do País</t>
  </si>
  <si>
    <t>ENTRADAS</t>
  </si>
  <si>
    <t>Sugestão</t>
  </si>
  <si>
    <t>Derivados:</t>
  </si>
  <si>
    <t>Unidade/Comentário</t>
  </si>
  <si>
    <t xml:space="preserve"> A2.1 معايير البلد</t>
  </si>
  <si>
    <t>مدخلات</t>
  </si>
  <si>
    <t>مقترح</t>
  </si>
  <si>
    <t xml:space="preserve"> مشتقة</t>
  </si>
  <si>
    <t xml:space="preserve"> الوحدة / التعليق</t>
  </si>
  <si>
    <t>الملاحظات</t>
  </si>
  <si>
    <t>A2.1 国家参数</t>
  </si>
  <si>
    <t>输入</t>
  </si>
  <si>
    <t>建议</t>
  </si>
  <si>
    <t>派生</t>
  </si>
  <si>
    <t>单位/评论</t>
  </si>
  <si>
    <t>Instructions : Sélectionner dans le menu déroulant le pays et l'unité de monnaie locale à utiliser</t>
  </si>
  <si>
    <t>Инструкции: Выберите из раскрывающегося списка название страны и единицу местной валюты.</t>
  </si>
  <si>
    <t>Instrucciones: Seleccione el país y la unidad de divisa local a utilizar de la lista desplegable</t>
  </si>
  <si>
    <t>Instruções: Seleccione na lista suspensa o país e a unidade de moeda local a serem usados.</t>
  </si>
  <si>
    <t>التعليمات: الرجاء تحديد البلد ووحدة العملة المحلية لاستخدامهما من القائمة المنسدلة.</t>
  </si>
  <si>
    <t>说明：请从下拉列表中选择所使用的国家和当地货币单位。</t>
  </si>
  <si>
    <t>Pays</t>
  </si>
  <si>
    <t>Страна</t>
  </si>
  <si>
    <t>País</t>
  </si>
  <si>
    <t>PAÍS</t>
  </si>
  <si>
    <t>البلد</t>
  </si>
  <si>
    <t>国家</t>
  </si>
  <si>
    <t>Nom du pays</t>
  </si>
  <si>
    <t>Название страны</t>
  </si>
  <si>
    <t>Nombre del país</t>
  </si>
  <si>
    <t>Nome do País</t>
  </si>
  <si>
    <t>اسم البلد</t>
  </si>
  <si>
    <t>国家名称</t>
  </si>
  <si>
    <t>Quelle unité monétaire utiliser pour les coûts unitaires ?</t>
  </si>
  <si>
    <t>Какую единицу местной валюты (ЕМВ) использовать для указания удельной себестоимости?</t>
  </si>
  <si>
    <t>¿Unidad de Divisa Local (UDL) a utilizar para los costes unitarios?</t>
  </si>
  <si>
    <t>Que unidade de moeda local (UML) usar para os custos unitários?</t>
  </si>
  <si>
    <t>ما هي وحدة العملة المحلية (LCU) لاستخدامها في تكاليف الوحدة؟</t>
  </si>
  <si>
    <t>单位成本使用哪一种本币单位（LCU）？</t>
  </si>
  <si>
    <t>Conversion monétaire à utiliser : 1 USD en monnaie locale (pour saisie automatique, NE RIEN INSCRIRE)</t>
  </si>
  <si>
    <t xml:space="preserve">Monnaie locale | Dernière mise à jour automatique: </t>
  </si>
  <si>
    <t>Laisser en blanc pour saisie automatique. Source: http://www.floatrates.com/daily/usd.xml. Pour mettre à jour, choisir Data | Refresh All (Données | Actualiser tout)</t>
  </si>
  <si>
    <t>Конвертировать валюту - 1 доллар США в ЕМВ (если Вы желаете, чтобы конвертация валют выполнялась автоматически - НЕ ЗАПОЛНЯЙТЕ ДАННУЮ ЯЧЕЙКУ):</t>
  </si>
  <si>
    <t xml:space="preserve">ЕМВ | Последнее автоматическое обновление: </t>
  </si>
  <si>
    <t>Чтобы конвертация валют осуществлялась автоматически - не заполняйте эту ячейку; Источник: http://www.floatrates.com/daily/usd.xml. Чтобы обновить данные - перейдите на вкладку Данные | Обновить все</t>
  </si>
  <si>
    <t>Conversión de divisa a utilizar - 1 USD en UDL (DEJAR EN BLANCO para autocompletar):</t>
  </si>
  <si>
    <t xml:space="preserve">UDL | Última actualización automática: </t>
  </si>
  <si>
    <t>Dejar en blanco para autocompletar; Fuente: http://www.floatrates.com/daily/usd.xml .Para actualizar, ir a Datos | Actualizar todo</t>
  </si>
  <si>
    <t>Conversão de moeda a ser utilizada – 1 USD na UML (DEIXE EM BRANCO para autopreenchimento):</t>
  </si>
  <si>
    <t xml:space="preserve">UML | Última actualização automática: </t>
  </si>
  <si>
    <t>Deixe em branco para autopreenchimento; Fonte: http://www.floatrates.com/daily/usd.xml . Para actualizar – vá para Dados | Actualizar Tudo</t>
  </si>
  <si>
    <t>[تحويل العملة المراد استخدامه - 1 دولار أمريكي بالعملة المحلية (اترك فارغًا للإكمال التلقائي):</t>
  </si>
  <si>
    <t>وحدات العملة المحلية | آخر تحديث تلقائي:</t>
  </si>
  <si>
    <t xml:space="preserve"> اتركه فارغًا للإكمال التلقائي؛ المصدر: http://www.floatrates.com/daily/usd.xml. للتحديث - انتقل إلى البيانات | تحديث كافة</t>
  </si>
  <si>
    <t>所用货币换算：相当于1美元的LCU等值（留空以自动完成）：</t>
  </si>
  <si>
    <t>LCU | 上次自动更新：</t>
  </si>
  <si>
    <t>留空以自动完成；来源：http://www.floatrates.com/daily/usd.xml。如欲更新，请在菜单“数据”下单击“全部刷新”</t>
  </si>
  <si>
    <t>Région de l'OMS</t>
  </si>
  <si>
    <t>Регион ВОЗ</t>
  </si>
  <si>
    <t>Región de la OMS</t>
  </si>
  <si>
    <t>Região da OMS</t>
  </si>
  <si>
    <t xml:space="preserve"> إقليم منظمة الصحة العالمية</t>
  </si>
  <si>
    <t>世卫组织区域</t>
  </si>
  <si>
    <t>Région de la Banque mondiale</t>
  </si>
  <si>
    <t>Регион Всемирного Банка</t>
  </si>
  <si>
    <t>Región del Banco Mundial</t>
  </si>
  <si>
    <t>Região do Banco Mundial</t>
  </si>
  <si>
    <t>إقليم البنك الدولي</t>
  </si>
  <si>
    <t>世界银行区域</t>
  </si>
  <si>
    <t>Catégorie de prêt de la Banque mondiale</t>
  </si>
  <si>
    <t xml:space="preserve">Категория страны по стандарту кредирования Всемирного Банка </t>
  </si>
  <si>
    <t>Categoría de préstamos del Banco Mundial</t>
  </si>
  <si>
    <t>Categoria de Empréstimo do Banco Mundial</t>
  </si>
  <si>
    <t xml:space="preserve"> فئة إقراض البنك الدولي</t>
  </si>
  <si>
    <t>世界银行贷款类别</t>
  </si>
  <si>
    <t>Membre régional de la Banque asiatique de développement (BAD)</t>
  </si>
  <si>
    <t>1 = Oui</t>
  </si>
  <si>
    <t>Является ли данная страна региональным членом Азиатского Банка Развития?</t>
  </si>
  <si>
    <t>1 = Да</t>
  </si>
  <si>
    <t>Miembro Regional del BAsD</t>
  </si>
  <si>
    <t>1 = Sí</t>
  </si>
  <si>
    <t>Membro Regional do ADB</t>
  </si>
  <si>
    <t>1 = Sim</t>
  </si>
  <si>
    <t xml:space="preserve"> عضو إقليمي في بنك التنمية الآسيوي</t>
  </si>
  <si>
    <t>1 = نعم</t>
  </si>
  <si>
    <t>ADB区域成员</t>
  </si>
  <si>
    <t>1 = 是</t>
  </si>
  <si>
    <t>Contexte de financement de la santé (pour info uniquement)</t>
  </si>
  <si>
    <t>Sert à la feuille R2 pour l'évaluation du financement de la santé</t>
  </si>
  <si>
    <t>Особенности финансирования здравоохранения (только для информации)</t>
  </si>
  <si>
    <t xml:space="preserve">Используется в Таблице R2 для анализа финансирования здравоохранения </t>
  </si>
  <si>
    <t>Contexto de financiación de salud (solo a efectos informativos)</t>
  </si>
  <si>
    <t>Esto se utiliza en la Hoja R2 para referenciar la financiación de salud</t>
  </si>
  <si>
    <t>Contexto de Financiamento da Saúde (Só Informação)</t>
  </si>
  <si>
    <t>Isto é usado na Folha R2 para análise comparativa do financiamento da saúde</t>
  </si>
  <si>
    <t>سياق التمويل الصحي (معلوماتية فقط)</t>
  </si>
  <si>
    <t xml:space="preserve"> يستخدم هذا في الورقة R2 لقياس التمويل الصحي</t>
  </si>
  <si>
    <t>卫生融资背景（仅供参考）</t>
  </si>
  <si>
    <t>在工作表R2中将其作为卫生融资基准</t>
  </si>
  <si>
    <t>Dépenses de santé actuelles (en US$ courants)</t>
  </si>
  <si>
    <t>Source: WHO Global Health Expenditure Database (GHED), données préliminaires pour 2018</t>
  </si>
  <si>
    <t>Текущие расходы на здравоохранение (в текущих долларах США)</t>
  </si>
  <si>
    <t>трз_долл.США</t>
  </si>
  <si>
    <t>Источник: Глобальная база данных ВОЗ по расходам на здравоохранение (GHED) - предварительные данные за 2018 год</t>
  </si>
  <si>
    <t>Gasto de salud corriente (USD  corrientes)</t>
  </si>
  <si>
    <t>gsc_usd</t>
  </si>
  <si>
    <t>Fuente: Base de Datos Global de Gastos de Salud (GHED) de la OMS, Datos preliminares para 2018</t>
  </si>
  <si>
    <t>Despesas Actuais com a Saúde (CHE) (US$ actuais)</t>
  </si>
  <si>
    <t>Fonte: Global Health Expenditure Database (GHED) Dados preliminares para 2018</t>
  </si>
  <si>
    <t>الإنفاق الصحي الحالي (بالقيمة الحالية للدولار الأمريكي)</t>
  </si>
  <si>
    <t>تكاليف الانفاق الصحي_ بالدولار الأمريكي</t>
  </si>
  <si>
    <t>المصدر: قاعدة بيانات الإنفاق الصحي العالمية لمنظمة الصحة العالمية (GHED) البيانات الأولية لعام 2018</t>
  </si>
  <si>
    <t>当前卫生支出（美元现值）</t>
  </si>
  <si>
    <t>资料来源：世卫组织全球卫生支出数据库（GHED）2018年初步数据</t>
  </si>
  <si>
    <t>Dépenses générales de santé du gouvernement (en US$ courants)</t>
  </si>
  <si>
    <t>Общие государственные расходы на здравоохранение (в текущих долларах США)</t>
  </si>
  <si>
    <t>огрз_долл.США</t>
  </si>
  <si>
    <t>Gasto de salud de las administraciones públicas (USD corrientes)</t>
  </si>
  <si>
    <t>gsap_usd</t>
  </si>
  <si>
    <t>Despesas Gerais do Governo com a Saúde (GGHE) (US$ actuais)</t>
  </si>
  <si>
    <t>الإنفاق الحكومي العام على الصحة (بالقيمة الحالية للدولار الأمريكي)</t>
  </si>
  <si>
    <t xml:space="preserve">  الإنفاق الحكومي العام على الصحة  (GGHE)_ بالدولار الأمريكي</t>
  </si>
  <si>
    <t>一般政府卫生支出（美元现值）</t>
  </si>
  <si>
    <t>Dépenses de santé internes actuelles (en US$ courants)</t>
  </si>
  <si>
    <t>Общие внутренние государственные расходы на здравоохранение (ОВГРЗ) в стране (в текущих долларах США)</t>
  </si>
  <si>
    <t>овгрз_долл.США</t>
  </si>
  <si>
    <t>Gasto de salud de las administraciones públicas nacional (USD corrientes)</t>
  </si>
  <si>
    <t>gsapn_usd</t>
  </si>
  <si>
    <t>Despesas Nacionais Gerais do Governo com a Saúde (GGHED) (US$ actuais)</t>
  </si>
  <si>
    <t>Fonte: Global Health Expenditure Database (GHED) da OMS Dados preliminares para 2018</t>
  </si>
  <si>
    <t>الإنفاق الصحي الحكومي العام المحلي (بالقيمة الحالية للدولار الأمريكي)</t>
  </si>
  <si>
    <t xml:space="preserve"> الإنفاق الصحي الحكومي العام المحلي _ بالدولار الأمريكي</t>
  </si>
  <si>
    <t>国内一般政府卫生支出（美元现值）</t>
  </si>
  <si>
    <t>Внешние расходы на здравоохранение (в текущих долларах США)</t>
  </si>
  <si>
    <t>внеш.рз_долл.США</t>
  </si>
  <si>
    <t>Gasto de salud externo (USD corrientes)</t>
  </si>
  <si>
    <t>Despesas Externas com a Saúde (EXT) (US$ actuais)</t>
  </si>
  <si>
    <t xml:space="preserve"> الإنفاق الخارجي على الصحة (بالقيمة الحالية للدولار الأمريكي)</t>
  </si>
  <si>
    <t xml:space="preserve"> الإنفاق الخارجي على الصحة _ بالدولار الأمريكي</t>
  </si>
  <si>
    <t xml:space="preserve"> المصدر: قاعدة بيانات الإنفاق الصحي العالمية لمنظمة الصحة العالمية (GHED) البيانات الأولية لعام 2018</t>
  </si>
  <si>
    <t>外部卫生支出（美元现值）</t>
  </si>
  <si>
    <t>Dépenses d'investissement de santé (en US$ courants)</t>
  </si>
  <si>
    <t>Капитальные расходы на здравоохранение (в текущих долларах США)</t>
  </si>
  <si>
    <t>крз_долл.США</t>
  </si>
  <si>
    <t>Gasto de capital de salud (USD corrientes)</t>
  </si>
  <si>
    <t>gcs_usd</t>
  </si>
  <si>
    <t>Despesas de Capital com a Saúde (HK) (US$ actuais)</t>
  </si>
  <si>
    <t xml:space="preserve"> انفاق رأس المال الصحي (بالقيمة الحالية للدولار الأمريكي)</t>
  </si>
  <si>
    <t xml:space="preserve"> انفاق رأس المال الصحي_ بالدولار الأمريكي</t>
  </si>
  <si>
    <t>卫生资本支出（美元现值）</t>
  </si>
  <si>
    <t>医疗保健基础设施（仅供参考）</t>
  </si>
  <si>
    <t>Источник: GHO | DEVICES00 |Total density per 100 000 population: Hospitals | Assume cold-storage</t>
  </si>
  <si>
    <t>[es] Source: GHO | DEVICES00 |Total density per 100 000 population: Hospitals | Assume cold-storage</t>
  </si>
  <si>
    <t>Hospitais</t>
  </si>
  <si>
    <t>Fonte: GHO | DEVICES00 | Densidade total por 100.000 da população: Hospitais | Pressupõe armazenamento frigorífico</t>
  </si>
  <si>
    <t>[ar] Source: GHO | DEVICES00 |Total density per 100 000 population: Hospitals | Assume cold-storage</t>
  </si>
  <si>
    <t>医院</t>
  </si>
  <si>
    <t>资料来源：GHO | DEVICES00 |每10万人总密度：医院| 假设拥有冷库</t>
  </si>
  <si>
    <t>Источник: GHO |DEVICES02 | Total density per 100 000 population: Health centres | Assume cold-storage</t>
  </si>
  <si>
    <t>[es] Source: GHO |DEVICES02 | Total density per 100 000 population: Health centres | Assume cold-storage</t>
  </si>
  <si>
    <t>Centros de Saúde</t>
  </si>
  <si>
    <t>Fonte: GHO | DEVICES02 | Densidade total por 100.000 da população: Centros de saúde | Pressupõe armazenamento frigorífico</t>
  </si>
  <si>
    <t>[ar] Source: GHO |DEVICES02 | Total density per 100 000 population: Health centres | Assume cold-storage</t>
  </si>
  <si>
    <t>卫生中心</t>
  </si>
  <si>
    <t>资料来源：GHO | DEVICES00 |每10万人总密度：卫生中心 | 假设拥有冷库</t>
  </si>
  <si>
    <t>Источник: GHO | DEVICES01 | Total density per 100 000 population: Health posts | Assume NO cold-storage</t>
  </si>
  <si>
    <t>[es] Source: GHO | DEVICES01 | Total density per 100 000 population: Health posts | Assume NO cold-storage</t>
  </si>
  <si>
    <t>Fonte: GHO | DEVICES01 | Densidade total por 100.000 da população: Postos de saúde | Pressupõe NÃO armazenamento frigorífico</t>
  </si>
  <si>
    <t>[ar] Source: GHO | DEVICES01 | Total density per 100 000 population: Health posts | Assume NO cold-storage</t>
  </si>
  <si>
    <t>资料来源：GHO | DEVICES00 |每10万人总密度：卫生室 | 假设没有冷库</t>
  </si>
  <si>
    <t>A2.2 Identification de la population-cible pour les stades I-III</t>
  </si>
  <si>
    <t>A2.2 Выбор целевых популяций для Этапа I - III</t>
  </si>
  <si>
    <t>Производные данные</t>
  </si>
  <si>
    <t>Единица / Комментарий</t>
  </si>
  <si>
    <t>A2.2 Identificación de Poblaciones Objetivo para las Fase I a III</t>
  </si>
  <si>
    <t>Sugerencia</t>
  </si>
  <si>
    <t>A2.2 Identificação das Populações-Alvo para as Etapas I – III</t>
  </si>
  <si>
    <t xml:space="preserve"> A2.2 تحديد الفئات المستهدفة للمراحل من الأولى إلى الثالثة</t>
  </si>
  <si>
    <t>مشتقة</t>
  </si>
  <si>
    <t>الوحدة/ التعليق</t>
  </si>
  <si>
    <t>A2.2确定第一至第三阶段的目标人群</t>
  </si>
  <si>
    <t>Instructions: Confirmer les données concernant la population totale ou spécifier la population fondée sur des données nationales, si l'on préfère</t>
  </si>
  <si>
    <t>Инструкции: Подтвердите общую численность населения или уточните ее, используя данные из внутренних национальных источников, если это предпочтительнее</t>
  </si>
  <si>
    <t>Instrucciones: Confirmar los datos de población total o especificar la población con datos nacionales, si se prefiere</t>
  </si>
  <si>
    <t>Instruções: Confirme os dados da população total ou especifique a população usando dados nacionais, se preferir</t>
  </si>
  <si>
    <t>التعليمات: يرجى تأكيد إجمالي بيانات السكان أو تحديد السكان باستخدام البيانات الوطنية، إذا كان ذلك مفضلاً</t>
  </si>
  <si>
    <t>说明：请确认总人口数据，或利用国家数据注明人口（如果更适合）</t>
  </si>
  <si>
    <t>Population totale</t>
  </si>
  <si>
    <t>Общее население</t>
  </si>
  <si>
    <t>Población total</t>
  </si>
  <si>
    <t>População Total</t>
  </si>
  <si>
    <t>إجمالي عدد السكان</t>
  </si>
  <si>
    <t>总人口</t>
  </si>
  <si>
    <t>Nombre</t>
  </si>
  <si>
    <t>Количество</t>
  </si>
  <si>
    <t>Número</t>
  </si>
  <si>
    <t>الرقم</t>
  </si>
  <si>
    <t>数字</t>
  </si>
  <si>
    <t>Spécifier manuellement la population totale ici OU laisser en blanc pour utiliser les données WPP de l'ONU (révision de 2019)</t>
  </si>
  <si>
    <t>Введите вручную общую численность населения ИЛИ не заполняйте данную ячейку, если желаете использовать данные Мировых демографических прогнозов ООН (UN WPP) (в редакции за 2019 год)</t>
  </si>
  <si>
    <t>Especificar manualmente la población total O dejar en blanco para utilizar datos de ONU PPM (2019)</t>
  </si>
  <si>
    <t>Especifique manualmente a população total aqui OU deixe em branco para usar os dados da UN WPP (Revisão de 2019)</t>
  </si>
  <si>
    <t xml:space="preserve"> حدد إجمالي عدد السكان هنا يدويًا أو اتركه فارغًا لاستخدام بيانات بيانات التوقعات السكانية العالمية للأمم المتحدة UN WPP (مراجعة 2019)</t>
  </si>
  <si>
    <t>在此处手动注明总人口，留空以使用UN WPP（2019年修订版）数据</t>
  </si>
  <si>
    <t>Источник: Мировые демографические прогнозы ООН (UN WPP) 2019</t>
  </si>
  <si>
    <t>Fuente: ONU PPM 2019</t>
  </si>
  <si>
    <t>Fonte: UN WPP 2019</t>
  </si>
  <si>
    <t xml:space="preserve"> المصدر:بيانات التوقعات السكانية العالمية للأمم المتحدة UN WPP 2019
</t>
  </si>
  <si>
    <t>资料来源：UN WPP 2019</t>
  </si>
  <si>
    <t>[ru] Number</t>
  </si>
  <si>
    <t>Источник: UN WPP 2019</t>
  </si>
  <si>
    <t>[es] Number</t>
  </si>
  <si>
    <t>[es] Source: UN WPP 2019</t>
  </si>
  <si>
    <t>[ar] Source: UN WPP 2019</t>
  </si>
  <si>
    <t>Instructions: Sur la base des recommandations PNDV/SAGE, indiquer la population totale concernée (pour tous les stades I-III), pour chaque catégorie décrite. Noter que la priorisation de ces populations dans les stades I-III pourra être spécifiée à la section B1.2</t>
  </si>
  <si>
    <t>Инструкции: Следуя рекомендациям НППВ /СКГЭ, укажите общую численность (для всех этапов I - III) населения в соответствующих целевых группах для каждой выбранной популяции. Обратите внимание, что приоритетный порядок вакцинации выбранных популяций на этапах I-III может быть определен позднее в разделе B1.2.</t>
  </si>
  <si>
    <t>Instrucciones: En base al PNDV y las recomendaciones del SAGE, indicar el total (para todas las fases I a III) de la población objetivo pertinente, por cada grupo de población descrito. La priorización de estas poblaciones en las fases I a III se indicará más adelante en la sección B1.2.</t>
  </si>
  <si>
    <t>Instruções: Com base nas recomendações do PNDV/SAGE, queira preencher o total (em todas as etapas I – III) da população-alvo relevante, para cada população descrita. Note que a priorização dessas populações nas Etapas I-III pode ser especificada posteriormente na secção B1.2.</t>
  </si>
  <si>
    <t xml:space="preserve"> التعليمات: استنادًا إلى توصيات خطة النشر والتطعيم الوطنية (NDVP) للقاحات كوفيد-19/ فريق الخبراء الاستشاري الاستراتيجي المعني بالتحصين (SAGE) التابع لمنظمة الصحة العالمية، يرجى ملء الإجمالي (عبر جميع المراحل الأولى إلى الثالثة) من السكان المستهدفين ذوي الصلة ، لكل مجموعة سكانية موصوفة. يرجى ملاحظة أنه يمكن تحديد أولويات هؤلاء السكان على المراحل الأولى إلى الثالثة لاحقًا في القسم B1.2.</t>
  </si>
  <si>
    <t>说明：根据NDVP/SAGE建议，请针对所描述的每个群体填写相关目标人群的总人数（横跨第一至第三阶段）。请注意，可稍后在B1.2中指定在第一至第三阶段对这些群体做出的优先安排。</t>
  </si>
  <si>
    <t>Description de la population SAGE</t>
  </si>
  <si>
    <t xml:space="preserve">Категории популяций, определенные СКГЭ </t>
  </si>
  <si>
    <t>Descripción de la población según el SAGE</t>
  </si>
  <si>
    <t>Descrição do SAGE da População</t>
  </si>
  <si>
    <t>وصف السكان بحسب فريق الخبراء الاستشاري الاستراتيجي المعني بالتحصين (SAGE) التابع لمنظمة الصحة العالمية</t>
  </si>
  <si>
    <t>SAGE群体描述</t>
  </si>
  <si>
    <t>Personnel de santé à risque élevé à très élevé de contracter ou transmettre la maladie</t>
  </si>
  <si>
    <t xml:space="preserve">Работники здравоохранения, подвергающиеся риску (в диапазоне от высокого до очень высокого) заражения и передачи инфекции </t>
  </si>
  <si>
    <t>Personal sanitario en riesgo alto o muy alto de adquirir y transmitir la infección</t>
  </si>
  <si>
    <t>Trabalhadores da saúde com risco alto a muito alto de contrair e transmitir a infecção</t>
  </si>
  <si>
    <t>العاملون في مجال الصحة معرضون لمخاطر عالية إلى عالية جدًا للإصابة بالعدوى ونقلها</t>
  </si>
  <si>
    <t>有高到很高感染和传播感染风险的卫生工作者</t>
  </si>
  <si>
    <t>Personnel de santé participant à l'administration des vaccins (de routine spécifiques et COVID-19)</t>
  </si>
  <si>
    <t>Работники здравоохранения, проводящие иммунизацию (плановая в соответстивии с программой, а также против COVID-19)</t>
  </si>
  <si>
    <t>Personal sanitario que participa en la administración de la inmunización (del programa de rutina y de la COVID 19)</t>
  </si>
  <si>
    <t>Trabalhadores da saúde envolvidos na administração de imunização (programa de rotina específico e da COVID-19)</t>
  </si>
  <si>
    <t xml:space="preserve"> العاملون الصحيون المشاركون في تقديم التطعيم (الروتيني الخاص بالبرنامج و كوفيد-19)</t>
  </si>
  <si>
    <t>从事免疫接种的卫生工作者（包括例行计划和COVID-19）</t>
  </si>
  <si>
    <t>Personnel de santé à risque faible à modéré de contracter ou transmettre la maladie</t>
  </si>
  <si>
    <t xml:space="preserve">Работники здравоохранения, подвергающиеся риску (в диапазоне от низкого до умеренного) заражения и передачи инфекции </t>
  </si>
  <si>
    <t>Personal sanitario en riesgo de bajo a moderado de adquirir y transmitir la infección</t>
  </si>
  <si>
    <t>Trabalhadores da saúde com risco baixo a moderado de contrair e transmitir a infecção</t>
  </si>
  <si>
    <t xml:space="preserve"> العاملون الصحيون المعرضون لخطر منخفض إلى متوسط للإصابة بالعدوى ونقلها</t>
  </si>
  <si>
    <t>有低到中等感染和传播感染风险的卫生工作者</t>
  </si>
  <si>
    <t>NB: Priorisation/ordre de priorité spécifié en B1.2</t>
  </si>
  <si>
    <t>Примечание: Порядок приоритетности/последовательность вакцинации групп предусмотрена в B1.2</t>
  </si>
  <si>
    <t>Nota: La priorización / secuenciación se especificará en B1.2</t>
  </si>
  <si>
    <t>Nota: A priorização/sequenciamento está especificado em B1.2</t>
  </si>
  <si>
    <t>ملاحظة: تحديد الأولويات / التسلسل محدد في B1.2</t>
  </si>
  <si>
    <t>总数</t>
  </si>
  <si>
    <t>注释：B1.2中注明了优先安排顺序/排序</t>
  </si>
  <si>
    <t>Instructions: Si le total reflète l'intention du PNDV, l'entrer ici, en tant que chiffre de population OU pourcentage de la population totale</t>
  </si>
  <si>
    <t>Инструкции: Если общая численность соответствующего населения соответствует плану НППВ, укажите ее здесь в абсолютном выражении или в виде процента от общей численности населения</t>
  </si>
  <si>
    <t>Instrucciones: Si el total refleja la intención del PNDV, indicar aquí como número de población absoluto O como porcentaje de la población total</t>
  </si>
  <si>
    <t>Instruções: Se o total reflectir a intenção do PNDV, digite-o aqui como uma contagem absoluta da população OU como uma percentagem da população total</t>
  </si>
  <si>
    <t>التعليمات: إذا كان الإجمالي يعكس نية خطة النشر والتطعيم الوطنية (NDVP) للقاحات كوفيد-19، يرجى إدخاله هنا إما كعدد مطلق للسكان أو كنسبة مئوية من إجمالي السكان</t>
  </si>
  <si>
    <t>说明：如果总数反映了NDVP的意图，请在此处输入绝对人口数字或占总人口的百分比</t>
  </si>
  <si>
    <t>DONC, personnel de santé … en chiffre absolu OU</t>
  </si>
  <si>
    <t>} OU</t>
  </si>
  <si>
    <t>Nombre entier</t>
  </si>
  <si>
    <t>ТАКИМ ОБРАЗОМ, работники здравоохранения  … в абсолютном выражении ИЛИ</t>
  </si>
  <si>
    <t>ИЛИ</t>
  </si>
  <si>
    <t>Целое число</t>
  </si>
  <si>
    <t>POR TANTO, Personal sanitario… como número absoluto O</t>
  </si>
  <si>
    <t>} O</t>
  </si>
  <si>
    <t>Número entero</t>
  </si>
  <si>
    <t>PORTANTO, Trabalhadores da saúde … como número absoluto OU</t>
  </si>
  <si>
    <t>Número inteiro</t>
  </si>
  <si>
    <t>وبالتالي، فإن العاملين الصحيين ... كرقم مطلق أو</t>
  </si>
  <si>
    <t xml:space="preserve"> } أو</t>
  </si>
  <si>
    <t xml:space="preserve"> رقم صحيح</t>
  </si>
  <si>
    <t>因此，卫生工作者……以绝对数字，或</t>
  </si>
  <si>
    <t>} 或</t>
  </si>
  <si>
    <t>整数</t>
  </si>
  <si>
    <t>… en pourcentage</t>
  </si>
  <si>
    <t>Pourcentage de la population totale</t>
  </si>
  <si>
    <t>EXCLURE les travailleurs sociaux dans les établissements d'hébergement; max 10%</t>
  </si>
  <si>
    <t xml:space="preserve"> … в процентном выражении</t>
  </si>
  <si>
    <t xml:space="preserve">Процент от Общего населения </t>
  </si>
  <si>
    <t>НЕ ВКЛЮЧАЮТСЯ работники социальных служб в учреждениях интернатного типа; не более 10%</t>
  </si>
  <si>
    <t>…como porcentaje</t>
  </si>
  <si>
    <t>Porcentaje de la población total</t>
  </si>
  <si>
    <t>EXCLUIR Personal de cuidados sociales en instituciones residenciales; max 10%</t>
  </si>
  <si>
    <t>... como percentagem</t>
  </si>
  <si>
    <t>Percentagem da População Total</t>
  </si>
  <si>
    <t>EXCLUA Assistentes sociais em instituições residenciais; Máx. 10%</t>
  </si>
  <si>
    <t>... كنسبة مئوية</t>
  </si>
  <si>
    <t>النسبة المئوية لإجمالي السكان</t>
  </si>
  <si>
    <t>استثناء العاملين في مجال الرعاية الاجتماعية في المؤسسات السكنية؛ النسبة القصوى 10٪</t>
  </si>
  <si>
    <t>……以百分比</t>
  </si>
  <si>
    <t>占总人口的百分比</t>
  </si>
  <si>
    <t>排除在居住式机构工作的社会关怀工作人员；最高10％</t>
  </si>
  <si>
    <t>NB: Si le nombre absolu ET le pourcentage sont donnés, c'est le pourcentage qui sera utilisé</t>
  </si>
  <si>
    <t>Примечание: Если имеются полные данные И в абсолютном, И в процентном выражении, следует использовать значение в процентах</t>
  </si>
  <si>
    <t>Nota: Si se indica número absoluto Y porcentaje, se utilizará el porcentaje</t>
  </si>
  <si>
    <t>Nota: Se AMBOS o número absoluto E a percentagem forem preenchidos, será utilizada a percentagem</t>
  </si>
  <si>
    <t>ملاحظة: إذا تم إكمال كلا الرقمين المطلق والنسبة المئوية، فسيتم استخدام النسبة المئوية</t>
  </si>
  <si>
    <t>注释：如果既填写了绝对数字也填写了百分比，则使用百分比</t>
  </si>
  <si>
    <t>NB: Cette population sera vaccinée dans des sites fixes avec stockage réfrigéré (Mode d'administration 1)</t>
  </si>
  <si>
    <t>ПРИМЕЧАНИЕ: Вакцинация этой популяции будет проводиться на базе стационарных лечебных учреждений, в которых обеспечены условия холодильного хранения (стратегия организации прививок 1)</t>
  </si>
  <si>
    <t>Nota: Esta población será vacunada en establecimientos fijos con almacenamiento en frío (Modalidad de administración 1)</t>
  </si>
  <si>
    <t>NOTA: Esta população será vacinada em locais fixos com armazenamento frigorífico (Modalidade de Administração 1)</t>
  </si>
  <si>
    <t xml:space="preserve"> ملاحظة: سيتم تطعيم هذه المجموعة في مواقع ثابتة مع التخزين البارد (طريقة التسليم 1)</t>
  </si>
  <si>
    <t>注释：将在拥有冷库的固定站点（交付模式1）为该人群接种疫苗</t>
  </si>
  <si>
    <t>Instructions: Sur la base des recommandations PNDV/SAGE, indiquer la population ciblée (pour tous les stades I-III), pour chaque catégorie décrite. Noter que la priorisation de ces populations dans les stades I-III pourra être spécifiée à la section B1.2</t>
  </si>
  <si>
    <t xml:space="preserve">Инструкции: Следуя рекомендациям НППВ /СКГЭ, укажите общую численность (для всех этапов I - III) населения в соответствующих целевых группах, для каждой выбранной популяции. Обратите внимание, что приоритетный порядок вакцинации выбранных популяций на этапах I-III может быть определен позднее в разделе B1.2. </t>
  </si>
  <si>
    <t>التعليمات: استنادًا إلى توصيات خطة النشر والتطعيم الوطنية (NDVP) للقاحات كوفيد-19 / فريق الخبراء الاستشاري الاستراتيجي المعني بالتحصين (SAGE) التابع لمنظمة الصحة العالمية، يرجى ملء الإجمالي (عبر جميع المراحل الأولى إلى الثالثة) من السكان المستهدفين ذوي الصلة ، لكل مجموعة سكانية موصوفة. يرجى ملاحظة أنه يمكن تحديد أولويات هؤلاء السكان على  المراحل الأولى إلى الثالثة لاحقًا في القسم B1.2.</t>
  </si>
  <si>
    <t>NB : Ne pas compter ici deux fois les catégories d'âge à risque élevé</t>
  </si>
  <si>
    <t xml:space="preserve">Примечание: Не дублируйте в расчетах возрастные группы, затронутые высоким риском </t>
  </si>
  <si>
    <t>Nota: No contar aquí dos veces grupos de edad de alto riesgo</t>
  </si>
  <si>
    <t>Nota: Não conte duas vezes os grupos etários de alto risco aqui</t>
  </si>
  <si>
    <t>ملاحظة: يُرجى عدم تكرار حساب الفئات العمرية عالية الخطورة هنا</t>
  </si>
  <si>
    <t>注释：请不要在此处重复计算高风险年龄组</t>
  </si>
  <si>
    <t>Description de population SAGE</t>
  </si>
  <si>
    <t>Категории популяций, определенные СКГЭ</t>
  </si>
  <si>
    <t xml:space="preserve"> وصف السكان بحسب فريق الخبراء الاستشاري الاستراتيجي المعني بالتحصين (SAGE) التابع لمنظمة الصحة العالمية</t>
  </si>
  <si>
    <t>Personnel requis pour la production des vaccins et autre personnel de laboratoire à risque élevé</t>
  </si>
  <si>
    <t xml:space="preserve">Персонал, участие которого необходимо при производствен вакцин, а также другой персонал лабораторий, затронутый высоким риском </t>
  </si>
  <si>
    <t>Personal esencial para la fabricación de vacunas y otro personal de laboratorio de alto riesgo</t>
  </si>
  <si>
    <t>Pessoal necessário para a produção das vacinas e outro pessoal de laboratório de alto risco</t>
  </si>
  <si>
    <t xml:space="preserve"> الأفراد اللازمين لإنتاج اللقاح وغيرهم من العاملين في المختبرات عالية الخطورة</t>
  </si>
  <si>
    <t>疫苗生产所需人员及其他高风险实验室人员</t>
  </si>
  <si>
    <t xml:space="preserve">Enseignants et personnel scolaire hautement prioritaires </t>
  </si>
  <si>
    <t xml:space="preserve">Учителя и сотрудники школ, относящиеся к категории высокого приоритета  </t>
  </si>
  <si>
    <t>Profesores y personal de educación de alta prioridad</t>
  </si>
  <si>
    <t xml:space="preserve">Professores e pessoal escolar de alta prioridade </t>
  </si>
  <si>
    <t>المعلمون ذوو الأولوية العالية وموطفو المدرسة</t>
  </si>
  <si>
    <t>高优先级教师和学校职工</t>
  </si>
  <si>
    <t xml:space="preserve">Enseignants et personnel scolaire à faible priorité </t>
  </si>
  <si>
    <t xml:space="preserve">Учителя и сотрудники школ, не относящиеся к категории высокого приоритета </t>
  </si>
  <si>
    <t>Profesores y personal de educación de baja prioridad</t>
  </si>
  <si>
    <t xml:space="preserve">Professores e pessoal escolar de baixa prioridade </t>
  </si>
  <si>
    <t xml:space="preserve"> المعلمون وموظفوالمدرسة ذوي الأولوية المنخفضة</t>
  </si>
  <si>
    <t>低优先级教师和学校职工</t>
  </si>
  <si>
    <t>Autres enseignants et personnel scolaire</t>
  </si>
  <si>
    <t>Остальные учителя и сотрудники школ</t>
  </si>
  <si>
    <t>Resto de profesores y personal de educación</t>
  </si>
  <si>
    <t>Professores e pessoal escolar restantes.</t>
  </si>
  <si>
    <t>باقي المعلمين وموظفي المدرسة.</t>
  </si>
  <si>
    <t>其余教师和学校职工</t>
  </si>
  <si>
    <t xml:space="preserve">Autres travailleurs essentiels hors secteur de la santé et de l'éducation (par ex. agents de police, services municipaux, gardes d'enfants, travailleurs du secteur agricole et alimentaire, personnel des transports, employés du gouvernement essentiels pour le fonctionnement de l'État et non couverts par d'autres catégories). </t>
  </si>
  <si>
    <t xml:space="preserve">Работники других важнейших отраслей за исключением сектора здравоохранения и образования (примеры: сотрудники полиции, сотрудники
муниципальных служб, поставщики услуг по уходу за детьми, работники сельского хозяйства и пищевого сектора, работники транспортного
сектора, государственные служащие, деятельность которых связана с осуществлением важнейших государственных функций, не включенные в
другие категории). </t>
  </si>
  <si>
    <t>Otros trabajadores esenciales fuera de los sectores de la sanidad y la educación (ejemplos: agentes de policía, servicios municipales, cuidadores infantiles, trabajadores de la agricultura y la alimentación, trabajadores de transporte, trabajadores de la administración pública esenciales para el funcionamiento crítico del Estado no cubiertos por otras categorías)</t>
  </si>
  <si>
    <t xml:space="preserve">Outros trabalhadores essenciais fora dos sectores de saúde e educação (exemplos: polícias, serviços municipais, prestadores de cuidados infantis, trabalhadores agrícolas e do sector alimentar, trabalhadores do transporte, funcionários públicos essenciais a críticos para o funcionamento do estado não abrangidos por outras categorias). </t>
  </si>
  <si>
    <t>العاملون الأساسيون الآخرون خارج قطاعي الصحة والتعليم (الأمثلة: ضباط الشرطة، والخدمات البلدية، ومقدمو رعاية الأطفال، والعاملون في قطاع الزراعة والأغذية، والعاملون في قطاع  النقل، والعاملون الحكوميون الأساسيون للأداء الحيوي للدولة غير المشمولين بالفئات الأخرى).</t>
  </si>
  <si>
    <t>卫生和教育部门以外的其他必要工作者（例如：警务人员、市政服务、育儿服务人员、农业和食品工作者、运输人员、未包括在其他类别中的国家关键职能必不可缺的政府工作人员）。</t>
  </si>
  <si>
    <t>Personnel de protection des frontières chargé de dépister les cas importés et les travailleurs chargés de la gestion des flambées</t>
  </si>
  <si>
    <t>Лица, исполняющие обязанности по охране государственной границы и ведущие скрининг на предмет выявления завозных случаев
заболевания, а также лица, занятые в ликвидации вспышек заболевания.</t>
  </si>
  <si>
    <t>Personal de protección de fronteras que gestionan la detección de casos importados y trabajadores de gestión de brotes</t>
  </si>
  <si>
    <t xml:space="preserve">Triagem do pessoal de protecção das fronteiras para casos importados e trabalhadores para gestão de surtos </t>
  </si>
  <si>
    <t>يقوم موظفو حماية الحدود بفحص الحالات والعاملين الوافدين بهدف إدارة تفشي المرض</t>
  </si>
  <si>
    <t>负责筛查入境病例的边境防卫人员，以及疫情暴发管理人员</t>
  </si>
  <si>
    <t>Voyageurs essentiels à risque de s'infecter à l'étranger et de réintroduire la maladie dans leur pays à leur retour</t>
  </si>
  <si>
    <t>Лица, совершающие необходимые поездки, которые подвержены риску заражения за пределами страны и завозу инфекции по возвращении на
родину</t>
  </si>
  <si>
    <t xml:space="preserve">Viajeros esenciales en riesgo de adquirir la infección fuera del país de origen y de reintroducir la infección al regresar al país de origen </t>
  </si>
  <si>
    <t>Viajantes essenciais em risco de contrair a infecção fora do seu país de origem e reintroduzi-la ao retornar ao país de origem</t>
  </si>
  <si>
    <t xml:space="preserve"> المسافرون الأساسيون معرضون لخطر الإصابة بالعدوى خارج الوطن وإعادة العدوى عند العودة إلى الوطن</t>
  </si>
  <si>
    <t>面临着在原籍国外被感染并在返回原籍国后传播感染风险的必要旅行者</t>
  </si>
  <si>
    <t>Tous les voyageurs à risque de s'infecter à l'étranger et de réintroduire la maladie dans leur pays à leur retour</t>
  </si>
  <si>
    <t>Все лица, совершающие поездки и подвергающиеся риску заражения за пределами страны и завозу инфекции по возвращении на родину</t>
  </si>
  <si>
    <t xml:space="preserve">Todos los viajeros en riesgo de adquirir la infección fuera del país de origen y de reintroducir la infección al regresar al país de origen </t>
  </si>
  <si>
    <t>Todos os viajantes em risco de contrair a infecção fora do país de origem e reintroduzi-la ao retornar ao país de origem</t>
  </si>
  <si>
    <t>جميع المسافرين معرضون لخطر الإصابة بالعدوى خارج الوطن وإعادة العدوى عند العودة إلى الوطن.</t>
  </si>
  <si>
    <t>面临着在原籍国外被感染并在返回原籍国后传播感染风险的所有旅行者。</t>
  </si>
  <si>
    <t>Catégories sociales/professionnelles à risque accru de contracter et de transmettre la maladie parce qu'elles ne peuvent pas pratiquement respecter la distanciation physique</t>
  </si>
  <si>
    <t>Группы населения, подверженные высокому риску заражения и передачи инфекции в связи с социальными/трудовыми условиями ввиду
невозможности эффективного соблюдения безопасной дистанции</t>
  </si>
  <si>
    <t>Grupos sociales/trabajadores en alto riesgo de adquirir y transmitir la infección por imposibilidad de mantener una distancia física efectiva</t>
  </si>
  <si>
    <t>Grupos sociais/de empregados com elevado risco de contrair e transmitir a infecção por não se poderem distanciar fisicamente de forma eficaz</t>
  </si>
  <si>
    <t xml:space="preserve"> المجموعات الاجتماعية / التوظيفية المعرضة لخطر مرتفع للإصابة بالعدوى ونقلها لأنهم غير قادرين على ترك المسافة الجسدية بشكل فعّال</t>
  </si>
  <si>
    <t>因无法有效保持身体距离而有较高的感染和传播感染风险的社会/就业群体</t>
  </si>
  <si>
    <t>Réserve d'urgence de vaccins à utiliser pour répondre à une flambée ou l'atténuer (par exemple flambée grave localisée)</t>
  </si>
  <si>
    <t>Экстренный запас вакцин для использования в рамках принятия ответных мер на вспышку заболевания или смягчения ее последствий (например, при тяжелой локализированной вспышке).</t>
  </si>
  <si>
    <t>Reserva de emergencia de vacunas para la respuesta o mitigación de brotes (por ejemplo, un brote localizado grave)</t>
  </si>
  <si>
    <t>Reserva de emergência de vacinas para utilização em resposta a surtos ou mitigação (por exemplo, surto grave localizado).</t>
  </si>
  <si>
    <t xml:space="preserve"> احتياطي الطوارئ من اللقاحات للاستخدام في الاستجابة للتفشي المرضي أو التخفيف من حدته (على سبيل المثال، تفشي مرضي موضعي حاد).</t>
  </si>
  <si>
    <t>应急储备疫苗，用于应对或缓解疫情暴发（例如，严重局部暴发）。</t>
  </si>
  <si>
    <t>Примечание: Порядок приоритетности/последовательность вакцинации целевых групп предусмотрена в B1.2</t>
  </si>
  <si>
    <t xml:space="preserve"> الإجمالي</t>
  </si>
  <si>
    <t>注释：B1.2中注明了优先安排/顺序</t>
  </si>
  <si>
    <t>Instructions: Si le total correspond au PNDV, l'entrer ici en tant que population absolue OU pourcentage de la population totale</t>
  </si>
  <si>
    <t>Instruções: Se o total reflectir o PNDV, digite-o aqui como uma contagem absoluta da população OU como uma percentagem da população total</t>
  </si>
  <si>
    <t>التعليمات: إذا كان الإجمالي يعكس خطة النشر والتطعيم الوطنية (NDVP) للقاحات كوفيد-19، يرجى إدخاله هنا إما كعدد مطلق للسكان أو كنسبة مئوية من إجمالي السكان</t>
  </si>
  <si>
    <t>说明：如果总数反映了NDVP，请在此处输入绝对人口数字或占总人口的百分比</t>
  </si>
  <si>
    <t>DONC travailleurs essentiels et catégories apparentées… en nombre absolu OU</t>
  </si>
  <si>
    <t>EXCLURE les gardiens/le personnel des établissements d'hébergement</t>
  </si>
  <si>
    <t>ТАКИМ ОБРАЗОМ, работники важнейших служб и сопутствующие группы … в абсолютном выражении ИЛИ</t>
  </si>
  <si>
    <t>НЕ ВКЛЮЧАЮТСЯ сотрудники охраны/ персонал учреждений интернатного типа</t>
  </si>
  <si>
    <t>POR TANTO, Trabajadores esenciales y grupos relacionados  … como número absoluto O</t>
  </si>
  <si>
    <t>EXCLUIR conserjes / personal de instituciones residenciales</t>
  </si>
  <si>
    <t>PORTANTO, Trabalhadores essenciais e grupos relacionados … como número absoluto OU</t>
  </si>
  <si>
    <t>EXCLUA gestores/pessoal em instituições residenciais</t>
  </si>
  <si>
    <t>وبالتالي، يكون إدخال العاملين الأساسيين والمجموعات ذات الصلة ... كرقم مطلق أو</t>
  </si>
  <si>
    <t>رقم صحيح</t>
  </si>
  <si>
    <t>استثناء الحراس / الموظفين في المؤسسات السكنية</t>
  </si>
  <si>
    <t>因此，必要工作者和相关群体……以绝对数字或</t>
  </si>
  <si>
    <t>排除居住式机构的管理员/员工</t>
  </si>
  <si>
    <t>Не более 20%</t>
  </si>
  <si>
    <t>Máx. 20%</t>
  </si>
  <si>
    <t>النسبة القصوى 20٪</t>
  </si>
  <si>
    <t>最高20％</t>
  </si>
  <si>
    <t xml:space="preserve">Примечание: Если имеются полные данные И в абсолютном, И в процентрном выражении, следует использовать значение в процентах </t>
  </si>
  <si>
    <t>NB: Cette population sera vaccinée dans des sites fixes avec stockage au froid (Modalité d'administration 1) et lors de campagnes (Modalité d'administration 2)</t>
  </si>
  <si>
    <t>ПРИМЕЧАНИЕ: Вакцинация этой популяции будет проводиться на базе стационарных лечебных учреждений, в которых обеспечены условия холодильного хранения (стратегия организации прививок 1) и в рамках кампаний вакцинации (стратегия организации прививок 2)</t>
  </si>
  <si>
    <t>Nota: Esta población será vacunada en establecimientos fijos con almacenamiento en frío (Modalidad de administración 1) y durante campañas (Modalidad de administración 2)</t>
  </si>
  <si>
    <t>NOTA: Esta população será vacinada em locais fixos com armazenamento frigorífico (Modalidade de Administração 1) e durante campanhas (Modalidade de Administração 2)</t>
  </si>
  <si>
    <t>ملاحظة: سيتم تطعيم هذه المجموعة في مواقع ثابتة مع التخزين البارد (طريقة التسليم 1) وأثناء الحملات (طريقة التسليم 2)</t>
  </si>
  <si>
    <t>注释：将在拥有冷库的固定站点（交付模式1）以及计划接种活动（交付模式2）中为该人群接种疫苗</t>
  </si>
  <si>
    <t>Quel pourcentage des "Travailleurs essentiels et catégories apparentées" vivent ou travaillent près de sites fixes avec stockage au froid?</t>
  </si>
  <si>
    <t>Pourcentage de la catégorie ciblée</t>
  </si>
  <si>
    <t>Какой процент "работников важнейших служб и сопутствующих групп" проживает или работает вблизи стационарных лечебных учреждений, в которых обеспечены условия холодильного хранения?</t>
  </si>
  <si>
    <t>Процент от Целевой группы</t>
  </si>
  <si>
    <t>¿Qué porcentaje de "Trabajadores esenciales y grupos relacionados" vive o trabaja cerca de establecimientos fijos con almacenamiento en frío?</t>
  </si>
  <si>
    <t>Porcentaje del grupo objetivo</t>
  </si>
  <si>
    <t>Que percentagem dos "trabalhadores essenciais e grupos relacionados" vivem ou trabalham perto de locais fixos com armazenamento frigorífico?</t>
  </si>
  <si>
    <t>Percentagem da população-alvo</t>
  </si>
  <si>
    <t>ما هي نسبة "العاملين الأساسيين والمجموعات ذات الصلة" الذين يعيشون أو يعملون بالقرب من المواقع الثابتة مع التخزين البارد؟</t>
  </si>
  <si>
    <t>النسبة المئوية للمجموعة المستهدفة</t>
  </si>
  <si>
    <t>在拥有冷库的固定站点附近居住或工作的“必要工作者和相关群体”的百分比？</t>
  </si>
  <si>
    <t>目标群体的百分比</t>
  </si>
  <si>
    <t>NB: Ne pas compter ici deux fois les catégories d'âge à risque élevé</t>
  </si>
  <si>
    <t>Примечание: Не дублируйте в расчетах возрастные группы, затронутые высоким риском</t>
  </si>
  <si>
    <t>Description de la population du SAGE</t>
  </si>
  <si>
    <t>Catégories d'âge à haut risque de transmettre l'infection</t>
  </si>
  <si>
    <t>Возрастные группы, затронутые высоким риском передачи инфекции</t>
  </si>
  <si>
    <t>Grupos de edad en alto riesgo de transmitir la infección</t>
  </si>
  <si>
    <t>Faixas etárias com alto risco de transmitir a infecção</t>
  </si>
  <si>
    <t xml:space="preserve"> الفئات العمرية المعرضة بشدة لخطر نقل العدوى</t>
  </si>
  <si>
    <t>传播感染风险高的年龄组</t>
  </si>
  <si>
    <t>… OU nombre absolu</t>
  </si>
  <si>
    <t>… в абсолютном выражении ИЛИ</t>
  </si>
  <si>
    <t>…número absoluto O</t>
  </si>
  <si>
    <t>… número absoluto OU</t>
  </si>
  <si>
    <t>... رقم مطلق أو</t>
  </si>
  <si>
    <t>……以绝对数字或</t>
  </si>
  <si>
    <t>Pourcentage de la population à faible risque (en fonction de l'âge)</t>
  </si>
  <si>
    <t xml:space="preserve">Процент от Населения, подверженного (в силу возраста) низкому риску </t>
  </si>
  <si>
    <t>НЕ БОЛЕЕ 80%</t>
  </si>
  <si>
    <t xml:space="preserve">Porcentaje de población de bajo riesgo (por edad) </t>
  </si>
  <si>
    <t>Percentagem da população de baixo risco (por idade)</t>
  </si>
  <si>
    <t>Máx. 80%</t>
  </si>
  <si>
    <t xml:space="preserve"> نسبة السكان منخفضة المخاطر (حسب العمر)</t>
  </si>
  <si>
    <t>النسبة القصوى 80٪</t>
  </si>
  <si>
    <t>（按年龄）的低风险人群百分比</t>
  </si>
  <si>
    <t>最高80%</t>
  </si>
  <si>
    <t>Instructions: Sur la base des recommandations de PNDV/SAGE, sélectionner les âges limites décidés par le pays</t>
  </si>
  <si>
    <t>Инструкции: Следуя рекомендациям НППВ/СКГЭ, выберите соответствущий возрастной порог, установленный в стране.</t>
  </si>
  <si>
    <t>Instrucciones: En base al PNDV y las recomendaciones del SAGE, indicar el límite de edad concreto decidido por el país</t>
  </si>
  <si>
    <t>Instruções: Baseado nas recomendações do PNDV/SAGE, seleccione o limite de idade específico decidido pelo país.</t>
  </si>
  <si>
    <t>التعليمات: استنادًا إلى توصيات خطة النشر والتطعيم الوطنية (NDVP) للقاحات كوفيد-19 / فريق الخبراء الاستشاري الاستراتيجي المعني بالتحصين (SAGE) التابع لمنظمة الصحة العالمية، يرجى تحديد الحد الأدنى للعمر وفقًا لما يقرره البلد.</t>
  </si>
  <si>
    <t>说明：根据NDVP/SAGE建议，请选择该国决定的具体年龄截止点。</t>
  </si>
  <si>
    <t>Adultes d'un certain âge définis en fonction d'un risque dû à l'âge spécifique au pays/à la région; la limite spécifique d'âge est décidée au niveau du pays</t>
  </si>
  <si>
    <t>Лица пожилого возраста, круг которых определяют на основании возрастного критерия риска, специфичного для страны/региона; конкретный
 возрастной порог подлежит определению на уровне стран</t>
  </si>
  <si>
    <t>Adultos mayores definidos por riesgo basado en la edad, en función del país/región; límite de edad específico a decidir por el país</t>
  </si>
  <si>
    <t>Idosos definidos por risco com base na idade específicos do país/região; limite de idade específico a ser decidido a nível do país</t>
  </si>
  <si>
    <t>كبار السن الذين يتم تحديدهم حسب المخاطر القائمة على العمر الخاصة بالبلد / الإقليم؛ يتم تحديد العمر الفاصل الزمني المحدد على مستوى البلد</t>
  </si>
  <si>
    <t>国家/区域根据年龄相关风险来具体定义该国的老年人；具体年龄段由国家一级决定</t>
  </si>
  <si>
    <t>Sélectionner la limite d'âge</t>
  </si>
  <si>
    <t>Années | Pourcentage de la population totale</t>
  </si>
  <si>
    <t>Выберите значение возрастного порога</t>
  </si>
  <si>
    <t>Лет | процент от Общего населения</t>
  </si>
  <si>
    <t>Indicar límite de edad</t>
  </si>
  <si>
    <t>Años | Porcentaje de la población total</t>
  </si>
  <si>
    <t>Seleccione o limite de idade</t>
  </si>
  <si>
    <t>Anos | Percentagem da população total</t>
  </si>
  <si>
    <t>تحديد العمر الفاصل</t>
  </si>
  <si>
    <t xml:space="preserve"> سنوات | النسبة المئوية لمجموع السكان</t>
  </si>
  <si>
    <t>选择年龄截止点</t>
  </si>
  <si>
    <t>岁| 占总人口的百分比</t>
  </si>
  <si>
    <t>Instructions: Confirmer les données de population totale à risque élevé (en fonction de l'âge) ou spécifier la population en utilisant les données nationales, si l'on préfère</t>
  </si>
  <si>
    <t>Инструкции: Подтвердите общую численность популяции, подверженной высокому риску (в силу возраста) или укажите численность популяции, используя национальные данные, если это предпочтительнее</t>
  </si>
  <si>
    <t>Instrucciones: Confirmar los datos de población total de alto riesgo (por edad) o especificar la población con datos nacionales, si se prefiere</t>
  </si>
  <si>
    <t>Instruções: Confirme os dados da população total de alto risco (por idade) ou especifique a população usando dados nacionais, se preferir</t>
  </si>
  <si>
    <t xml:space="preserve"> التعليمات: يُرجى تأكيد إجمالي بيانات السكان عالية الخطورة (حسب العمر) أو تحديد السكان باستخدام البيانات الوطنية، إذا كان ذلك مفضلاً</t>
  </si>
  <si>
    <t>说明：请确认总高风险（按年龄）人口数据，或利用国家数据注明该人群（如果更适合）</t>
  </si>
  <si>
    <t>Spécifier manuellement ici la population d'un certain âge OU laisser en blanc pour utiliser les données UN WPP (révision de 2019)</t>
  </si>
  <si>
    <t xml:space="preserve">Укажите вручную численность лиц пожилого возраста здесь, ИЛИ не заполняйте данную ячейку, если желаете, чтобы в расчетах были применены данные ГДП ООН (в редакции за 2019 год) </t>
  </si>
  <si>
    <t>Indicar aquí la población de adultos mayores de forma manual O dejar en blanco para utilizar datos de ONU PPM (2019)</t>
  </si>
  <si>
    <t>Especifique manualmente a população de idosos aqui OU deixe em branco para usar os dados da UN WPP (Revisão de 2019)</t>
  </si>
  <si>
    <t xml:space="preserve"> حدد هنا فئة كبار السن يدويًا أو اتركه فارغًا لاستخدام بيانات التوقعات السكانية العالمية للأمم المتحدة UN WP (مراجعة 2019)</t>
  </si>
  <si>
    <t>在此处手动注明老年人口，或留空以使用UN WPP（2019年修订版）数据</t>
  </si>
  <si>
    <t>Laisser en blanc</t>
  </si>
  <si>
    <t xml:space="preserve">Не заполняйте </t>
  </si>
  <si>
    <t>Источник: МДП ООН 2019</t>
  </si>
  <si>
    <t>Dejar en blanco</t>
  </si>
  <si>
    <t>اتركه فارغا</t>
  </si>
  <si>
    <t>رقم</t>
  </si>
  <si>
    <t xml:space="preserve"> المصدر: بيانات التوقعات السكانية العالمية للأمم المتحدة UN WPP 2019</t>
  </si>
  <si>
    <t>[ru] 2024</t>
  </si>
  <si>
    <t>Оставьте данную ячейку пустой</t>
  </si>
  <si>
    <t>[es] 2024</t>
  </si>
  <si>
    <t>[es] Leave Blank</t>
  </si>
  <si>
    <t>[ar] 2024</t>
  </si>
  <si>
    <t>[ar] Leave Blank</t>
  </si>
  <si>
    <t>Instructions: Si le pays désire couvrir les personnes d'un certain âge vivant dans des établissements d'hébergement, remplir ci-dessous. Sinon inscrire 0</t>
  </si>
  <si>
    <t>Инструкции: если страна желает охватить вакцинацией лиц пожилого возраста, проживающих в учреждениях интернатного типа, заполните поля ниже. Если нет, укажите 0.</t>
  </si>
  <si>
    <t>Instrucciones: Si el país quiere abarcar a adultos mayores que viven en instituciones residenciales, indicar abajo. En caso contrario, introducir 0.</t>
  </si>
  <si>
    <t>Instruções: Se o país desejar incluir pessoas idosas que vivem em instituições residenciais, queira preencher abaixo. Ou então digite 0.</t>
  </si>
  <si>
    <t>التعليمات: إذا كان البلد يرغب في تغطية كبار السن الذين يعيشون في مؤسسات سكنية، يرجى ملء البيانات أدناه. عدا ذلك أدخل 0.</t>
  </si>
  <si>
    <t>说明：如果该国希望涵盖在居住式机构中的老年人，请在下面填写。 否则输入0。</t>
  </si>
  <si>
    <t>Combien habitent dans des établissements d'hébergement (chiffre absolu ou pourcentage de personnes d'un certain âge)?</t>
  </si>
  <si>
    <t>Сколько человек (в абсолютном или в процентном выражении от общей численности лиц пожилого возраста) проживает в учреждениях интернатного типа?</t>
  </si>
  <si>
    <t>¿Cuántos adultos mayores (número absoluto o porcentaje de personas mayores) viven en instituciones residenciales?</t>
  </si>
  <si>
    <t>Quantas pessoas (número absoluto ou percentagem de pessoas idosas) vivem em instituições residenciais?</t>
  </si>
  <si>
    <t xml:space="preserve"> ما هو عدد المسنين (العدد المطلق أو النسبة المئوية) الذين يعيشون في المؤسسات السكنية؟</t>
  </si>
  <si>
    <t>居住式机构的人数（绝对人数或占老年人的百分比）？</t>
  </si>
  <si>
    <t>… en nombre absolu OU</t>
  </si>
  <si>
    <t>Par ex. établissements d'hébergement; suppose que cette sous-catégorie de population est immobile</t>
  </si>
  <si>
    <t xml:space="preserve"> … в абсолютном выражении ИЛИ</t>
  </si>
  <si>
    <t xml:space="preserve"> } ИЛИ</t>
  </si>
  <si>
    <t>Общее количество</t>
  </si>
  <si>
    <t xml:space="preserve">например, дома престарелых с сестринским уходом; что предполагает отсутствие мобильности у этой подгруппы </t>
  </si>
  <si>
    <t>…como número absoluto O</t>
  </si>
  <si>
    <t>por ejemplo, residencias de mayores; asumiendo que esta subpoblación es invariable</t>
  </si>
  <si>
    <t>… como número absoluto OU</t>
  </si>
  <si>
    <t>por exemplo, lares de idosos; pressupõe que esta subpopulação não se pode deslocar</t>
  </si>
  <si>
    <t>... كرقم مطلق أو</t>
  </si>
  <si>
    <t>} أو</t>
  </si>
  <si>
    <t>على سبيل المثال دور الرعاية؛ يفترض أن هذه المجموعة الفرعية غير متحركة</t>
  </si>
  <si>
    <t>例如：疗养院；假设此亚群体已丧失活动能力</t>
  </si>
  <si>
    <t>Pourcentage de la population à risque élevé (en fonction de l'âge)</t>
  </si>
  <si>
    <t xml:space="preserve">Процент от Популяции, подверженной высокому риску (в силу возраста) </t>
  </si>
  <si>
    <t xml:space="preserve">Не более 10%; </t>
  </si>
  <si>
    <t xml:space="preserve">Porcentaje de población de alto riesgo (por edad) </t>
  </si>
  <si>
    <t>Percentagem da população de alto risco (por idade)</t>
  </si>
  <si>
    <t xml:space="preserve">Máx. 10%; </t>
  </si>
  <si>
    <t xml:space="preserve"> ... كنسبة مئوية</t>
  </si>
  <si>
    <t>النسبة المئوية للسكان المعرضين لمخاطر عالية (حسب العمر)</t>
  </si>
  <si>
    <t xml:space="preserve"> النسبة القصوى 10٪؛</t>
  </si>
  <si>
    <t>高风险人群（按年龄）的百分比</t>
  </si>
  <si>
    <t xml:space="preserve">最高10%； </t>
  </si>
  <si>
    <t>Un travailleur social pour combien de résidents?</t>
  </si>
  <si>
    <t>Un employé pour n résidants</t>
  </si>
  <si>
    <t>Déduire de ceci le nombre des travailleurs sociaux; seront vaccinés avec les résidants. Mettre zéro si cette catégorie n'est pas couverte</t>
  </si>
  <si>
    <t xml:space="preserve">Сколько резидентов учреждения обслуживает один социальный работник? </t>
  </si>
  <si>
    <t xml:space="preserve">Один работник для каждого n числа резидентов </t>
  </si>
  <si>
    <t>Используйте эти данные для расчета количества социальных работников - они будут вакцинированы вместе с резидентами учреждений; укажите ноль, если эта группа не будет охвачена вакцинацией.</t>
  </si>
  <si>
    <t>¿Un trabajador social cuida de cuántos residentes?</t>
  </si>
  <si>
    <t>Un trabajador por cada n residentes</t>
  </si>
  <si>
    <t>Derivar de aquí el número de trabajadores sociales - serán vacunados junto con los residentes; Introducir cero se no se abarca este grupo.</t>
  </si>
  <si>
    <t>Um empregado de assistência social cuida de quantos residentes?</t>
  </si>
  <si>
    <t>Um empregado para cada n residentes.</t>
  </si>
  <si>
    <t>Calcule o número de assistentes sociais com base nisso – serão vacinados junto com os residentes; Digite zero se não incluir este grupo.</t>
  </si>
  <si>
    <t xml:space="preserve"> كم واحد من موظفي الرعاية الاجتماعية يعتني بعدد الساكنين في المؤسسات السكنية؟</t>
  </si>
  <si>
    <t>موظف واحد لكل عدد من الساكنين.</t>
  </si>
  <si>
    <t>اشتقاق عدد العاملين في مجال الرعاية الاجتماعية من هذا - سيتم تطعيمهم مع الساكنين؛ أدخل صفرًا إذا لم تكن تغطي هذه المجموعة.</t>
  </si>
  <si>
    <t>一名社会关怀工作人员照顾多少位居民？</t>
  </si>
  <si>
    <t>每n位居民有一名工作人员负责。</t>
  </si>
  <si>
    <t>从而得出社会关怀工作人员的人数，他们将与居民一起接种疫苗；如果不涵盖这组人群，请输入零。</t>
  </si>
  <si>
    <t>Combien d'établissements d'hébergement pour personnes d'un certain âge y a-t-il dans le pays?</t>
  </si>
  <si>
    <t>Сколько в Вашей стране учреждений интернатного типа [домов престарелых] для лиц пожилого возраста?</t>
  </si>
  <si>
    <t>¿Cuántas instituciones residenciales de mayores hay en el país?</t>
  </si>
  <si>
    <t>Quantas instituições residenciais para idosos existem no país?</t>
  </si>
  <si>
    <t xml:space="preserve"> كم عدد المؤسسات السكنية لكبار السن الموجودة في البلد؟</t>
  </si>
  <si>
    <t>该国有多少所老年人居住式机构？</t>
  </si>
  <si>
    <t>Instructions: Si le pays souhaite vacciner les membres du foyer des personnes d'un certain âge ET ceux qui sont atteints de comorbidités, remplir ci-dessous. Sinon mettre 0</t>
  </si>
  <si>
    <t>Инструкции: Если Ваша страна желает вакцинировать лиц, проживающих в одном домохозяйстве с лицами пожилого возраста, И с лицами, имеющими сопутствующие заболевания, заполните ячейку ниже. Если нет, укажите 0.</t>
  </si>
  <si>
    <t>Instrucciones: Si el país desea vacunar a convivientes de adultos mayores Y a los que tienen condiciones de salud subyacentes, indicar abajo. En caso contrario, introducir 0.</t>
  </si>
  <si>
    <t>Instruções: Se o país desejar vacinar os membros da família de idosos E aqueles com patologias médicas subjacentes, preencha abaixo. Ou então digite 0.</t>
  </si>
  <si>
    <t>لتعليمات: إذا كان البلد يرغب في تطعيم أفراد الأسرة من كبار السن وأولئك الذين يعانون من ظروف صحية أساسية، يرجى ملء البيانات أدناه. عدا ذلك أدخل 0.</t>
  </si>
  <si>
    <t>说明：如果该国希望为老年人和伴有潜在健康问题个人的家庭成员接种疫苗，请在下面填写。否则输入0。</t>
  </si>
  <si>
    <t>Taille du foyer, pour info uniquement</t>
  </si>
  <si>
    <t>Taille moyenne des ménages (nombre de personnes)</t>
  </si>
  <si>
    <t>Source: https://population.un.org/Household/index.html | United Nations, Department of Economic and Social Affairs, Population Division (2019), Database on Household Size and Composition 2019</t>
  </si>
  <si>
    <t>Размер домохозяйств - только для  информации</t>
  </si>
  <si>
    <t xml:space="preserve">Средний размер домохозяйства (количество членов) </t>
  </si>
  <si>
    <t>Источник: https://population.un.org/Household/index.html | ООН, Департамент по экономическим и социальным вопросам, Отдел по вопросам народонаселения (2019). База данных о размере и составе домохозяйств за 2019 год.</t>
  </si>
  <si>
    <t>Tamaño del hogar - únicamente a efectos informativos</t>
  </si>
  <si>
    <t>Tamaño medio del hogar (número de convivientes)</t>
  </si>
  <si>
    <t>Fuente: https://population.un.org/Household/index.html | Naciones Unidas, Departamento de Asuntos Económicos y Sociales, División de Población (2019). Base de datos de tamaño y composición de los hogares 2019.</t>
  </si>
  <si>
    <t>Tamanho do agregado familiar – só para informação</t>
  </si>
  <si>
    <t>Tamanho do agregado familiar médio (número de membros)</t>
  </si>
  <si>
    <t>Fonte: https://population.un.org/Household/index.html | Nações Unidas, Departamento de Assuntos Económicos e Sociais, Divisão de População (2019). Database on Household Size and Composition 2019.</t>
  </si>
  <si>
    <t>حجم الأسرة - لمعلوماتك فقط</t>
  </si>
  <si>
    <t>متوسط حجم الأسرة (عدد الأفراد)</t>
  </si>
  <si>
    <t>المصدر: https://population.un.org/Household/index.html | الأمم المتحدة، إدارة الشؤون الاقتصادية والاجتماعية، شعبة السكان (2019). قاعدة بيانات عن حجم الأسرة وتكوينها 2019.</t>
  </si>
  <si>
    <t>家庭户规模——仅供参考</t>
  </si>
  <si>
    <t>平均家庭户规模（家庭成员人数）</t>
  </si>
  <si>
    <t>资料来源：https://population.un.org/Household/index.html | 联合国经济和社会事务部人口司（2019）。2019年家庭户规模和组成数据库。</t>
  </si>
  <si>
    <t>Autres membres du foyer à couvrir par adulte d'un certain âge/personne atteinte de comorbidités</t>
  </si>
  <si>
    <t>Nombre, peut être décimal; zéro est possible</t>
  </si>
  <si>
    <t>Combien de membres additionnels du foyer à vacciner pour chaque individu prioritaire ayant des antécédents médicaux ou dans la catégorie d'âge à risque élevé? Mettre zéro si les membres du foyer ne sont pas inclus</t>
  </si>
  <si>
    <t>Дополнительные члены домохозяйства, которых желаете охватить, из расчета на одно лицо пожилого возраста/ на одно лицо с сопутствующими заболеваниями</t>
  </si>
  <si>
    <t>Число, можно десятичное; разрешается ноль.</t>
  </si>
  <si>
    <t>Сколько дополнительных членов домохозяйств желаете вакцинировать для каждого приоритетного лица, имеющего сопутствующие заболевания или находящегося в возрасте, превышающем порог высокого риска? Укажите ноль, если не планируете прививать членов домохозяйств.</t>
  </si>
  <si>
    <t>Convivientes /personas con condiciones de salud subyacentes adicionales a abarcar por adulto mayor</t>
  </si>
  <si>
    <t>Número, puede ser decimal; se permite el cero</t>
  </si>
  <si>
    <t>Cuántos convivientes adicionales hay que vacunar por cada persona de grupo prioritario con condiciones de salud subyacentes o por encima del umbral de edad. Introduzca un cero si no abarca convivientes.</t>
  </si>
  <si>
    <t>Membros adicionais do agregado familiar a incluir por idoso/pessoa com patologias médicas subjacentes</t>
  </si>
  <si>
    <t>Número, pode ser decimal; Zero é permitido</t>
  </si>
  <si>
    <t>Quantos membros adicionais do agregado familiar a ser vacinados para cada indivíduo prioritário com patologias médicas subjacentes ou acima do limiar de idade de alto risco. Digite zero se não incluir membros do agregado familiar.</t>
  </si>
  <si>
    <t>أفراد الأسرة الإضافيون المراد تغطيتهم لكل شخص بالغ / شخص يعاني من ظروف صحية أساسية</t>
  </si>
  <si>
    <t>رقم، يمكن أن يكون عشري. مسموح بالصفر</t>
  </si>
  <si>
    <t>كم عدد أفراد الأسرة الإضافيين المطلوب تطعيمهم لكل فرد ذي أولوية يعاني من ظروف صحية أساسية أو أعلى من الحد الأدنى لسن الموارد البشرية. أدخل صفرًا إذا لم يكن يشمل أفراد الأسرة.</t>
  </si>
  <si>
    <t>针对每位老年人/伴有潜在健康问题个人须考虑的额外家庭成员人数</t>
  </si>
  <si>
    <t>数字，可为小数点；也可为零</t>
  </si>
  <si>
    <t>针对每位优先安排的基础病患者或高于HR年龄阈值的老年人，还要为多少名其他家庭成员接种疫苗？如果不包括家庭成员，则输入零。</t>
  </si>
  <si>
    <t>NB: Selon l'emplacement, les personnes d'un certain âge seront vaccinées dans des sites fixes avec stockage au froid (Modalité d'administration 1), lors de campagnes (Modalité d'administration 2), dans des établissements d'hébergement (Modalité d'administration 3) ou sur le terrain (Modalité d'administration 4)</t>
  </si>
  <si>
    <t xml:space="preserve">ПРИМЕЧАНИЕ: В зависимости от места проживания, вакцинация лиц пожилого возраста будет проводиться в стационарных лечебных учреждениях, в которых обеспечены условия холодильного хранения (стратегия организации прививок 1), в рамках прививочных кампаний (стратегия организации прививок 2), в учреждениях интернатного типа (стратегия организации прививок 3), или в рамках выездных прививочных сессий (стратегия организации прививок 4) </t>
  </si>
  <si>
    <t>NOTA: Dependiendo de su ubicación, los adultos mayores serán vacunados en establecimientos fijos con almacenamiento en frío (Modalidad de administración 1), en campañas (Modalidad de administración 2), en instituciones residenciales (Modalidad de administración 3) o por medio de actividades de divulgación (Modalidad de administración 4)</t>
  </si>
  <si>
    <t>NOTA: Dependendo do local, os idosos serão vacinados em locais fixos com armazenamento frigorífico (modalidade de administração 1), durante campanhas (modalidade de administração 2), em instituições residenciais (modalidade de administração 3), ou por actividades de alcance (modalidade de administração 4)</t>
  </si>
  <si>
    <t>ملاحظة: اعتمادًا على الموقع، سيتم تطعيم كبار السن في مواقع ثابتة مع التخزين البارد (طريقة التسليم 1)، أثناء الحملات (طريقة التسليم 2)، في المؤسسات السكنية (طريقة التسليم 3)، أو عن طريق الحملات الخارجية (طريقة التسليم 4)</t>
  </si>
  <si>
    <t>注释：取决于地理位置，将在拥有冷库的固定站点（交付模式1）、计划接种活动中（交付模式2）、居住式机构（交付模式3）或外展活动中（交付模式4）为老年人接种疫苗。</t>
  </si>
  <si>
    <t xml:space="preserve">Процент от данной Целевой группы </t>
  </si>
  <si>
    <t xml:space="preserve"> النسبة المئوية للمجموعة المستهدفة</t>
  </si>
  <si>
    <t>占目标群体的百分比</t>
  </si>
  <si>
    <t>Instructions: Sur la base des recommandations du PNDV/SAGE, remplir le total (pour les stades I-III) de la population cible concernée, pour les populations décrites, ventilées par stratégie d'administration des vaccins, en population absolue OU en pourcentage de la population totale. Noter que la priorisation de ces populations pour les stades I-III peut être spécifiée plus tard, à la section B1.2</t>
  </si>
  <si>
    <t>Инструкции: Следуя рекомендациям НППВ /СКГЭ, укажите общую численность (для всех этапов I - III) указанных групп населения с разбивкой по стратегии организации прививок  - в абсолютном выражении ИЛИ в процентах от общей численности населения. Обратите внимание, что приоритетный порядок вакцинации указанных популяций на этапах I-III может быть установлен позднее в разделе B1.2.</t>
  </si>
  <si>
    <t>Instrucciones: En base al PNDV y las recomendaciones del SAGE, indicar el total (para todas las fases I a III) de la población objetivo pertinente, para las poblaciones descritas, desglosadas por estrategia de administración de la vacunación, bien por población absoluta O como porcentaje de la población total. La priorización de estas poblaciones en las fases I a III se podrá indicar más adelante en la sección B1.2.</t>
  </si>
  <si>
    <t>Instruções: Com base nas recomendações do PNDV/SAGE, queira preencher o total (em todas as etapas I – III) da população-alvo relevante, para as populações descritas, discriminado pela estratégia de administração da vacinação – seja como uma contagem absoluta da população OU como uma percentagem da população total. Note que a priorização destas populações nas Etapas I-III pode ser especificada posteriormente na secção B1.2.</t>
  </si>
  <si>
    <t>التعليمات: استنادًا إلى توصيات خطة النشر والتطعيم الوطنية (NDVP) للقاحات كوفيد-19/ فريق الخبراء الاستشاري الاستراتيجي المعني بالتحصين (SAGE) التابع لمنظمة الصحة العالمية، يرجى ملء الإجمالي (عبر جميع المراحل الأولى والثالثة) من السكان المستهدفين ذوي الصلة، للمجموعات السكانية الموصوفة، والمقسمة حسب إستراتيجية تسليم التطعيم - إما كعدد مطلق للسكان أو كنسبة مئوية من إجمالي السكان. يرجى ملاحظة أنه يمكن تحديد أولويات هؤلاء السكان على المراحل الأولى والثالثة لاحقًا في القسم B1.2.</t>
  </si>
  <si>
    <t>说明：根据NDVP/SAGE建议，请针对所描述的每个群体填写相关目标人群的总人数（横跨第一至第三阶段），按疫苗接种策略细分，可基于绝对人口数字，或基于总人口的百分比。请注意，可稍后在B1.2中指定在第一至第三阶段对这些群体做出的优先安排。</t>
  </si>
  <si>
    <t>NB: Ne pas compter deux fois ici les catégories d'âge à risque élevé ou autres catégories prioritaires</t>
  </si>
  <si>
    <t xml:space="preserve">Примечание: Не дублируйте в этих расчетах возрастные группы, затронутые высоким риском или другие приоритетные группы </t>
  </si>
  <si>
    <t>Nota: No contar aquí dos veces grupos de edad de alto riesgo u otros grupos prioritarios</t>
  </si>
  <si>
    <t>Nota: Não conte duas vezes os grupos etários de alto risco ou outros grupos prioritários aqui</t>
  </si>
  <si>
    <t>ملاحظة: يُرجى عدم تكرار حساب الفئات العمرية عالية الخطورة أو الفئات الأخرى ذات الأولوية هنا</t>
  </si>
  <si>
    <t>注释：请不要在此处重复计算高风险年龄组或其他优先安排人群</t>
  </si>
  <si>
    <t>Description de population de SAGE</t>
  </si>
  <si>
    <t>Catégories sociodémographiques à risque nettement plus élevé de maladie grave ou de mort (par ex., selon le contexte du pays: catégories ethniques, raciales ou religieuses désavantagées ou persécutées et minorités sexuelles; personnes en situation de handicap; personnes vivant dans une extrême pauvreté, personnes sans domicile fixe et personnes vivant dans des agglomérations informelles ou des bidonvilles; travailleurs migrants à faible revenu; réfugiés et personnes déplacées à l'intérieur de leur pays, demandeurs d'asile, populations vivant dans des situations de conflit et celles qui sont touchées par des urgences humanitaires, migrants vulnérables en situation irrégulière; populations nomades et catégories de population difficiles à atteindre, comme celles vivant dans des zones rurales ou isolées)</t>
  </si>
  <si>
    <t xml:space="preserve">Социально-демографические группы населения с крайне высоким риском тяжелого течения заболевания или летального исхода (в зависимости от
конкретных обстоятельств в стране к этим категориям могут относиться: уязвимые группы или преследуемые этнические, расовые, гендерные и
религиозные группы и сексуальные меньшинства; люди с ограниченными физическими возможностями; люди, живущие в условиях крайней
нищеты, бездомные и лица, живущие в неформальных поселениях или городских трущобах; трудящиеся-мигранты с низким уровнем дохода;
беженцы, внутренне перемещенные лица, лица, ищущие убежища, население, затронутое конфликтами, или лица, затронутые чрезвычайными
гуманитарными ситуациями, уязвимые мигранты, затронутые ситуацией нестабильности; кочевое население; а также труднодоступные группы
населения, такие как жители сельских и отдаленных районов). </t>
  </si>
  <si>
    <t>Grupos sociodemográficos con riesgo significativamente más alto de enfermedad grave o muerte (dependiendo del contexto del país, los ejemplos pueden incluir: grupos étnicos, raciales, de género, religiosos y de minorías sexuales desfavorecidos o perseguidos; personas con discapacidad; personas que viven en la pobreza extrema, personas sin hogar y aquellas que viven en asentamientos informales o barrios marginales urbanos; trabajadores migrantes con bajos ingresos; personas refugiadas, desplazadas internas, solicitantes de asilo, poblaciones en situaciones de conflicto o afectadas por emergencias humanitarias, migrantes vulnerables en situación irregular; poblaciones nómadas; y grupos de población de difícil acceso, como los de zonas rurales y remotas).</t>
  </si>
  <si>
    <t>Grupos sociodemográficos com risco significativamente maior de doença grave ou morte (dependendo do contexto do país, os exemplos podem incluir: grupos étnicos, raciais, de género e religiosos desfavorecidos ou perseguidos e minorias sexuais; pessoas que vivem com deficiências; pessoas que vivem em extrema pobreza, pessoas desabrigadas e pessoas que vivem em assentamentos informais ou favelas urbanas; trabalhadores migrantes de baixa renda; refugiados, pessoas deslocadas internamente, requerentes de asilo, populações em situações de conflito ou pessoas afectadas por emergências humanitárias, migrantes vulneráveis em situações irregulares; populações nómadas; e grupos populacionais de difícil acesso, tais como aqueles em áreas rurais e remotas).</t>
  </si>
  <si>
    <t>المجموعات الاجتماعية والديموغرافية المعرضة بشكل كبير لخطر الإصابة بأمراض خطيرة أو الوفاة (اعتمادًا على سياق البلد، قد تشمل الأمثلة: المجموعات المحرومة أو المضطهدة العرقية والعرقية والجنسية والدينية والأقليات الجنسية؛ الأشخاص الذين يعانون من إعاقات؛ الأشخاص الذين يعيشون في فقر مدقع والمشردين وأولئك الذين يعيشون في مستوطنات غير رسمية أو أحياء فقيرة حضرية؛ عمال مهاجرون منخفضو الدخل؛ اللاجئون والنازحون داخليًا وطالبو اللجوء والسكان في حالات النزاع أو المتأثرون بحالات الطوارئ الإنسانية والمهاجرون المستضعفون في أوضاع غير نظامية والسكان الرحل؛  المجموعات السكانية التي يصعب الوصول إليها مثل تلك الموجودة في المناطق الريفية والنائية).</t>
  </si>
  <si>
    <t>患严重疾病或死亡风险显著增高的社会人口统计人群（根据各国具体情况，举例可能包括：弱势或受迫害的民族、种族、性别、宗教群体和性取向少数群体；残疾人士、极端贫困、无家可归和生活在非正式定居点或城市贫民窟的个人；低收入移民；难民、国内流离失所者、寻求庇护者、在冲突环境中或受人道主义突发事件影响的个人、处于非正常状况的脆弱移民；游牧人口；以及难以触及人口群体，例如居住在农村和偏远地区的个人）。</t>
  </si>
  <si>
    <t>Pour les besoins de l'établissement des coûts, cette catégorie diverse de population est divisée en 4 sous-catégories, selon le mode d'administration:</t>
  </si>
  <si>
    <t>Для целей расчета затрат, данная разнообразная популяция разделена на 4 подкатегории, в зависимости от стратегии организации прививок:</t>
  </si>
  <si>
    <t>A efectos de la estimación de costes, este grupo de población diverso se divide en 4 subcategorías, en base a la modalidad de administración:</t>
  </si>
  <si>
    <t>Para fins de cálculo de custos deste diversificado grupo populacional, ele é dividido em 4 subcategorias, com base na modalidade de administração (MA):</t>
  </si>
  <si>
    <t>لأغراض حساب تكلفة يتم تقسيم هذه المجموعة المتنوعة من السكان إلى 4 فئات فرعية، بناءً على طريقة التسليم:</t>
  </si>
  <si>
    <t>在针对这些多元化人群核算成本时，根据交付模式将其分为4个子类别：</t>
  </si>
  <si>
    <t>1. Ceux vivant dans des communautés accessibles, vaccinés dans des sites fixes et lors de campagnes (Modalité d'administration 1 et 2)</t>
  </si>
  <si>
    <t>1. Для лиц, проживающих в географически доступных сообществах, иммунизация будет организована в стационарных лечебных учреждениях и в рамках прививочных кампаний (стратегия организации прививок 1 и 2).</t>
  </si>
  <si>
    <t>1. Las personas que viven en comunidades accesibles, vacunadas en ubicaciones fijas y durante campañas (Modalidad de administración 1 y 2)</t>
  </si>
  <si>
    <t>1. Os que vivem em comunidades acessíveis,
vacinados em locais fixos e durante as campanhas (Modalidades de Administração 1 e 2)</t>
  </si>
  <si>
    <t xml:space="preserve"> 1. أولئك الذين يعيشون في مجتمعات يسهل الوصول إليها، يتم تلقيحهم في مواقع ثابتة وأثناء الحملات (طريقة التسليم 1 و 2) </t>
  </si>
  <si>
    <t>1. 居住在便利社区的人群，
在固定站点和计划接种活动中接种疫苗（交付模式1和2）</t>
  </si>
  <si>
    <t xml:space="preserve"> …  в абсолютном выражении ИЛИ</t>
  </si>
  <si>
    <t>… como número absoluto O</t>
  </si>
  <si>
    <t xml:space="preserve"> }أو </t>
  </si>
  <si>
    <t>Máx. 10%</t>
  </si>
  <si>
    <t>النسبة القصوى 10٪</t>
  </si>
  <si>
    <t>最高10%</t>
  </si>
  <si>
    <t>2. Ceux vivant dans des établissements d'hébergement/camps de réfugiés, vaccinés dans ces établissements d'hébergement/camps (Modalité d'administration 3)</t>
  </si>
  <si>
    <t>2. Для лиц, проживающих в учреждениях интернатного типа / в лагерях беженцев, будет организована вакцинация непосредственно в помещениях данных учреждений/ в лагерях (стратегия организации прививок 3).
Например: в лагерях беженцев.</t>
  </si>
  <si>
    <t>2. Las personas que viven en instalaciones residenciales /campos de refugiados, vacunadas en las instalaciones residenciales / campos (Modalidad de administración 3) Por ejemplo: campos de refugiados</t>
  </si>
  <si>
    <t>2. Aqueles que vivem em instalações residenciais/campos de refugiados,
vacinados nestas instalações residenciais/campos (Modalidade de Administração 3)
Por exemplo: Campos de refugiados</t>
  </si>
  <si>
    <t>2. "أولئك الذين يعيشون في مرافق سكنية / مخيمات للاجئين، يتم تطعيمهم  في هذه المنشآت السكنية/ المخيمات (طريقة التوصيل 3)
على سبيل المثال: مخيمات اللاجئين"</t>
  </si>
  <si>
    <t>2. 住在居住式机构/难民营的人群，
在这些居住式机构/营地接种疫苗（交付模式3）
例如：难民营</t>
  </si>
  <si>
    <t>Résidants (pas pour adultes d'un certain âge) … nombre absolu OU</t>
  </si>
  <si>
    <t>Suppose que cette sous-catégorie de population est immobile</t>
  </si>
  <si>
    <t xml:space="preserve">Для резидентов учреждений (не являющихся лицами пожилого возраста) … в абсолютном выражении ИЛИ </t>
  </si>
  <si>
    <t>Предполагается, что лица, входящие в данную субпопуляцию, имеют ограниченную мобильность.</t>
  </si>
  <si>
    <t>Residentes (no para personas mayores) … como número absoluto O</t>
  </si>
  <si>
    <t>Presupone que esta subpoblación no cambia</t>
  </si>
  <si>
    <t>Residentes (não para idosos) ... número absoluto OU</t>
  </si>
  <si>
    <t>Pressupõe que esta subpopulação não se pode deslocar</t>
  </si>
  <si>
    <t xml:space="preserve"> المقيمون (ليس لكبار السن) ... العدد المطلق أو</t>
  </si>
  <si>
    <t xml:space="preserve"> يفترض أن هذه المجموعة الفرعية غير متحركة</t>
  </si>
  <si>
    <t>居民（非老年人）……绝对人数或</t>
  </si>
  <si>
    <t>假设此亚群体已丧失活动能力</t>
  </si>
  <si>
    <t>Не более 10%</t>
  </si>
  <si>
    <t>Un membre du personnel pour combien de résidents?</t>
  </si>
  <si>
    <t>Déduire de ceci le nombre du personnel, qui sera vacciné avec les résidants. Mettre zéro si cette catégorie n'est pas couverte</t>
  </si>
  <si>
    <t xml:space="preserve">За сколькими резидентами осуществляет уход один сотрудник? </t>
  </si>
  <si>
    <t>Один сотрудник за каждыми n резидентами</t>
  </si>
  <si>
    <t xml:space="preserve">Используйте эти данные для расчета количества персонала уччреждения - они будут вакцинированы вместе с резидентами учреждений; укажите ноль, если эта группа не будет охвачена вакцинацией. </t>
  </si>
  <si>
    <t>¿De cuántos residentes cuida una persona trabajadora?</t>
  </si>
  <si>
    <t>Derivar de aquí el número de trabajadores - serán vacunados junto con los residentes; Introducir cero se no se abarca este grupo.</t>
  </si>
  <si>
    <t>Um empregado cuida de quantos residentes?</t>
  </si>
  <si>
    <t>Calcule o número de empregados com base nisso – serão vacinados junto com os residentes; Digite zero se não incluir este grupo.</t>
  </si>
  <si>
    <t xml:space="preserve"> أحد الموظفين يعتني بعدد السكان؟</t>
  </si>
  <si>
    <t xml:space="preserve"> موظف واحد لكل عدد من السكان</t>
  </si>
  <si>
    <t>اشتقاق عدد الموظفين من هذا - سيتم تطعيمهم مع الساكنين؛ صفر إذا لم يكن يغطي هذه المجموعة</t>
  </si>
  <si>
    <t>一名工作人员照顾多少位居民？</t>
  </si>
  <si>
    <t>每n位居民有1名工作人员负责</t>
  </si>
  <si>
    <t>从而得出工作人员人数，他们将与居民一起接种疫苗；如果不涵盖这组人群，请输入零。</t>
  </si>
  <si>
    <t>Combien d'établissements d'hébergement/camps (pas pour personnes d'un certain âge) y a-t-il dans votre pays?</t>
  </si>
  <si>
    <t>Сколько в Вашей стране таких учреждений интернатного типа / лагерей (не домов престарелых)?</t>
  </si>
  <si>
    <t>¿Cuántos establecimientos residenciales / campos de este tipo (no para adultos mayores) hay en el país?</t>
  </si>
  <si>
    <t>Quantas instituições residenciais/campos (não para idosos) existem no país?</t>
  </si>
  <si>
    <t xml:space="preserve"> كم عدد هذه المنشآت السكنية / المخيمات  (ليس  لكبار السن) الموجودة في البلد؟</t>
  </si>
  <si>
    <t>该国有多少个此类居住式机构/营地（非老年人）？</t>
  </si>
  <si>
    <t>3 Populations spéciales qui sont difficiles à atteindre et seront vaccinées sur le terrain (Modalité d'administration 4)
Par ex.: réfugiés, personnes déplacées à l'intérieur de leur pays, populations nomades</t>
  </si>
  <si>
    <t xml:space="preserve">3 Для особых труднодоступных популяций вакцинация будет организована в рамках выездных прививочных сессий (стратегия организации прививок 4). К таким популяциям относятся, например, беженцы, внутренне перемещенные лица, кочевое население. </t>
  </si>
  <si>
    <t>3. Las poblaciones especiales a las que es difícil llegar se vacunarán por servicios de extensión (Modalidad de administración 4). Por ejemplo: personas refugiadas, desplazadas internas, poblaciones nómadas</t>
  </si>
  <si>
    <t>3. Populações especiais de difícil acesso,
que serão vacinadas por actividades de alcance (Modalidade de Administração 4)
Por exemplo: Refugiados, pessoas deslocadas internamente, populações nómadas</t>
  </si>
  <si>
    <t xml:space="preserve"> 3.  "مجموعات خاصة يصعب الوصول إليها،  سيتم تطعيمها عن طريق الحملات الخارجية (طريقة التسليم 4) على سبيل المثال: اللاجئون والنازحون داخليا والسكان الرحل "</t>
  </si>
  <si>
    <t>3 难以触及的特殊人群，
将通过外展活动接种疫苗（交付模式4）
例如：难民、国内流离失所者、游牧人口</t>
  </si>
  <si>
    <t>Catégories de population difficiles à atteindre … nombre absolu OU</t>
  </si>
  <si>
    <t>Для труднодоступных популяций … в абсолютном выражении ИЛИ</t>
  </si>
  <si>
    <t>Grupos de población a los que es difícil llegar …como número absoluto O</t>
  </si>
  <si>
    <t>Grupos populacionais de difícil acesso ... número absoluto OU</t>
  </si>
  <si>
    <t xml:space="preserve"> المجموعات السكانية التي يصعب الوصول إليها ... العدد المطلق أو</t>
  </si>
  <si>
    <t>难以触及人口群体……绝对人数或</t>
  </si>
  <si>
    <t>Populations rurales, pour info uniquement</t>
  </si>
  <si>
    <t>Source: WDI (indicateurs du développement dans le monde)</t>
  </si>
  <si>
    <t xml:space="preserve">Сельское население - только для информации. </t>
  </si>
  <si>
    <t>Источник: Показатели мирового развития [ПМР]</t>
  </si>
  <si>
    <t>Población rural - únicamente a efectos informativos</t>
  </si>
  <si>
    <t>Fuente: WDI</t>
  </si>
  <si>
    <t>População rural – só para informação</t>
  </si>
  <si>
    <t>Fonte: WDI</t>
  </si>
  <si>
    <t>المصدر: مؤشرات التنمية العالمية</t>
  </si>
  <si>
    <t>农村人口——仅供参考</t>
  </si>
  <si>
    <t>资料来源：WDI</t>
  </si>
  <si>
    <t>Catégories de population difficiles à atteindre… nombre absolu OU</t>
  </si>
  <si>
    <t>Для труднодоступных групп популяций …… в абсолютном выражении ИЛИ</t>
  </si>
  <si>
    <t>يُرجى إدخال إجمالي السكان الذين سيحتاجون إلى الوصول إليهم عن طريق الحملات الخارجية، أو مضاعفة عدد المجموعات المتداخلة مثل "كبار السن"، "المجموعات المصابة بأمراض مصاحبة أو الحالات الصحية التي تم تحديدها على أنها معرضة بشكل كبير لخطر الإصابة بمرض شديد أو الوفاة" ، والسكان الخاصون الذين يصعب الوصول إليهم والذين يعيشون أيضًا في مناطق يصعب الوصول إليها ".</t>
  </si>
  <si>
    <t xml:space="preserve"> سكان الريف - لمعلوماتك فقط</t>
  </si>
  <si>
    <t>Données démographiques ou épidémiologiques informationnelles aidant à compléter cette section</t>
  </si>
  <si>
    <t>Информационные демографические и эпидемиологические данные для помощи в заполнении данного раздела</t>
  </si>
  <si>
    <t>Datos informativos demográficos y epidemiológicos para ayudar a cumplimentar esta sección</t>
  </si>
  <si>
    <t>Dados demográficos e epidemiológicos informativos para ajudar a completar esta secção</t>
  </si>
  <si>
    <t xml:space="preserve"> البيانات الديموغرافية والوبائية المعلوماتية للمساعدة في استكمال هذا القسم</t>
  </si>
  <si>
    <t>供参考的人口统计学和流行病学数据，以帮助完成这一部分</t>
  </si>
  <si>
    <t>Prévalence de l'obésité, à titre d'information uniquement</t>
  </si>
  <si>
    <t>Pourcentage des personnes de plus de 18 ans</t>
  </si>
  <si>
    <t>Pour info uniquement. Source: GHO - Prevalence of obesity among adults, BMI &gt;= 30 (estimation grossière) (%)</t>
  </si>
  <si>
    <t xml:space="preserve">Распространенность ожирения - только для информации </t>
  </si>
  <si>
    <t>Процент от лиц 18+</t>
  </si>
  <si>
    <t>Только для информации; Источник: ГОЗ - Распространенность ожирения среди взрослого населения, ИМТ &gt;= 30 (приблизительная оценка) (%).</t>
  </si>
  <si>
    <t>Prevalencia de la obesidad - únicamente a efectos informativos</t>
  </si>
  <si>
    <t>Porcentaje de los mayores de 18 años</t>
  </si>
  <si>
    <t>Únicamente a efectos informativos; Fuente: GHO - Prevalence of obesity among adults, BMI &gt;= 30 (crude estimate) (%)</t>
  </si>
  <si>
    <t>Prevalência de Obesidade – só para informação</t>
  </si>
  <si>
    <t>Percentagem de pessoas com mais de 18 anos</t>
  </si>
  <si>
    <t>Só para informação; Fonte: GHO – Prevalência de obesidade entre adultos, BMI &gt;= 30 (estimativa grosseira) (%)</t>
  </si>
  <si>
    <t xml:space="preserve"> انتشار السمنة - لمعلوماتك فقط</t>
  </si>
  <si>
    <t>النسبة المئوية لأولئك الذين تزيد أعمارهم عن 18 عامًا</t>
  </si>
  <si>
    <t xml:space="preserve"> لمعلوماتك فقط؛ المصدر: GHO - انتشار السمنة بين البالغين، مؤشر كتلة الجسم&gt; = 30 (تقدير أولي) (٪)</t>
  </si>
  <si>
    <t>肥胖患病率——仅供参考</t>
  </si>
  <si>
    <t>18岁以上人口所占百分比</t>
  </si>
  <si>
    <t>仅供参考；资料来源：GHO-成人肥胖率，BMI&gt; = 30（粗略估计）（％）</t>
  </si>
  <si>
    <t>Prévalence du diabète sucré, à titre d'information uniquement</t>
  </si>
  <si>
    <t>Pourcentage des personnes de 20 à 79 ans</t>
  </si>
  <si>
    <t>Pour info uniquement. Source: WDI SH.STA.DIAB.ZS | Prévalence du diabète (% de la population âgée de 20 à 79 ans)</t>
  </si>
  <si>
    <t>Распространенность сахарного диабета - только для информации</t>
  </si>
  <si>
    <t>Процент от лиц в возрасте 20-79</t>
  </si>
  <si>
    <t>Только для информации; Источник: ПМР SH.STA.DIAB.ZS | Распространенность диабета (% населения в возрасте от 20 до 79 лет)</t>
  </si>
  <si>
    <t>Prevalencia de Diabetes Mellitus - únicamente a efectos informativos</t>
  </si>
  <si>
    <t>Porcentaje de los de edad entre 20 y 29 años</t>
  </si>
  <si>
    <t>Únicamente a efectos informativos; Fuente: WDI SH.STA.DIAB.ZS | Diabetes prevalence (% of population ages 20 to 79)</t>
  </si>
  <si>
    <t>Prevalência da Diabetes Mellitus – só para informação</t>
  </si>
  <si>
    <t>Percentagem daqueles com idade entre 20 e 79 anos</t>
  </si>
  <si>
    <t>Só para informação; Fonte: WDI SH.STA.DIAB.ZS | Prevalência de diabetes (% da população idades de 20 a 79)</t>
  </si>
  <si>
    <t xml:space="preserve"> انتشار مرض السكري - لمعلوماتك فقط</t>
  </si>
  <si>
    <t>النسبة المئوية لأولئك الذين تتراوح أعمارهم بين 20-79</t>
  </si>
  <si>
    <t xml:space="preserve"> لمعلوماتك فقط؛ المصدر: WDI SH.STA.DIAB.ZS | انتشار مرض السكري (٪ من السكان الذين تتراوح أعمارهم بين 20 و 79 عامًا)</t>
  </si>
  <si>
    <t>糖尿病患病率——仅供参考</t>
  </si>
  <si>
    <t>20-79岁人口所占百分比</t>
  </si>
  <si>
    <t>仅供参考；资料来源：WDI SH.STA.DIAB.ZS | 糖尿病患病率（占20至79岁人口的百分比）</t>
  </si>
  <si>
    <t>Taux de natalité brut</t>
  </si>
  <si>
    <t>par 1000</t>
  </si>
  <si>
    <t xml:space="preserve">Общий коэффициент рождаемости (ОКР) </t>
  </si>
  <si>
    <t xml:space="preserve">На 1 000 </t>
  </si>
  <si>
    <t>Источник: SP.DYN.CBRT.IN | https://data.worldbank.org/indicator/SP.DYN.CBRT.IN</t>
  </si>
  <si>
    <t>Tasa bruta de natalidad TBN</t>
  </si>
  <si>
    <t>por 1.000</t>
  </si>
  <si>
    <t>Fuente: SP.DYN.CBRT.IN | https://data.worldbank.org/indicator/SP.DYN.CBRT.IN</t>
  </si>
  <si>
    <t>Taxa de nascimento grosseira (CBR)</t>
  </si>
  <si>
    <t>Fonte: SP.DYN.CBRT.IN | https://data.worldbank.org/indicator/SP.DYN.CBRT.IN</t>
  </si>
  <si>
    <t xml:space="preserve"> معدل المواليد الخام (CBR)</t>
  </si>
  <si>
    <t>اتركه فارغًا</t>
  </si>
  <si>
    <t xml:space="preserve"> لكل 1000</t>
  </si>
  <si>
    <t xml:space="preserve"> المصدر: SP.DYN.CBRT.IN | https://data.worldbank.org/indicator/SP.DYN.CBRT.IN</t>
  </si>
  <si>
    <t>粗出生率（CBR）</t>
  </si>
  <si>
    <t>每千人</t>
  </si>
  <si>
    <t>资料来源：SP.DYN.CBRT.IN | https://data.worldbank.org/indicator/SP.DYN.CBRT.IN</t>
  </si>
  <si>
    <t>NB: Ne pas compter en double ici les catégories d'âge à haut risque</t>
  </si>
  <si>
    <t xml:space="preserve">Примечание: не дублируйте в данных расчетах возрастные группы с высоким риском </t>
  </si>
  <si>
    <t>Instructions: Sur la base des recommandations du PNDV/SAGE, indiquer la population ciblée totale correspondante (pour tous les stades I-III), pour la population décrite ci-dessous. Noter que la priorisation de ces populations pour les stades I-III peut être spécifiée plus tard, à la section B1.2. On trouvera à droite des sources utiles de données.</t>
  </si>
  <si>
    <t>Инструкции: Следуя рекомендациям НППВ /СКГЭ, укажите общую численность (для всех этапов I - III) соответствующего целевого населения для указанных ниже популяций. Обратите внимание, что приоритетный порядок вакцинации указанных популяций на этапах I-III может быть установлен позднее в разделе B1.2. Справа указаны полезные источники данных.</t>
  </si>
  <si>
    <t>Instrucciones: En base al PNDV y las recomendaciones del SAGE, indicar el total (para todas las fases I a III) de la población objetivo pertinente, para la población descrita abajo. La priorización de estas poblaciones en las fases I a III se podrá indicar más adelante en la sección B1.2. A mano derecha se señalan fuentes de datos que pueden resultar útiles.</t>
  </si>
  <si>
    <t>Instruções: Com base nas recomendações do PNDV/SAGE, queira preencher o total (em todas as etapas I – III) da população-alvo relevante, para a população descrita abaixo. Note que a priorização destas populações nas Etapas I-III pode ser especificada posteriormente na secção B1.2. São fornecidas fontes de dados úteis à direita.</t>
  </si>
  <si>
    <t>التعليمات: بناءً على توصيات خطة النشر والتطعيم الوطنية (NDVP) للقاحات كوفيد-19 / فريق الخبراء الاستشاري الاستراتيجي المعني بالتحصين (SAGE) التابع لمنظمة الصحة العالمية، يرجى ملء الإجمالي (عبر جميع المراحل من الأولى إلى الثالثة) للسكان المستهدفين ذوي الصلة، للسكان الموصوفين أدناه. يرجى ملاحظة أنه يمكن تحديد أولويات هؤلاء السكان على المراحل من الأولى إلى الثالثة لاحقًا في القسم B1.2. يتم توفير مصادر البيانات المفيدة على اليمين.</t>
  </si>
  <si>
    <t>说明：根据NDVP/SAGE建议，请针对所描述的每个群体填写相关目标人群的总人数（横跨第一至第三阶段），按疫苗接种策略细分，可基于绝对人口数字，或基于总人口的百分比。请注意，可稍后在B1.2中指定在第一至第三阶段对这些群体做出的优先安排。右边提供了有帮助的数据源。</t>
  </si>
  <si>
    <t>Catégories à comorbidités ou états de santé considérées comme étant nettement plus à risque de maladie grave ou mort</t>
  </si>
  <si>
    <t>Группы лиц, которые страдают сопутствующими заболеваниями или расстройствами здоровья, в связи с которыми они затронуты крайне высоким риском тяжелого течения заболевания или летального исхода</t>
  </si>
  <si>
    <t>Grupos con comorbilidades o condiciones de salud que se considera tienen un riesgo significativamente más alto de enfermedad grave o muerte</t>
  </si>
  <si>
    <t>Grupos com comorbilidades ou estados de saúde definidos como de risco significativamente maior de doença grave ou morte</t>
  </si>
  <si>
    <t xml:space="preserve"> المجموعات المصابة بأمراض مصاحبة أو حالات صحية تم تحديدها على أنها معرضة بشكل كبير لخطر الإصابة بمرض شديد أو الوفاة</t>
  </si>
  <si>
    <t>合并症患者或其健康状况被认为患严重疾病或死亡风险显著增高的群体</t>
  </si>
  <si>
    <t>… nombre absolu OU</t>
  </si>
  <si>
    <t xml:space="preserve"> ... رقم مطلق أو</t>
  </si>
  <si>
    <t xml:space="preserve">Процент от популяции с низким риском (по возрасту) </t>
  </si>
  <si>
    <t>Не более 50%</t>
  </si>
  <si>
    <t>Porcentaje de población de bajo riesgo (por edad)</t>
  </si>
  <si>
    <t>Máx. 50%</t>
  </si>
  <si>
    <t>نسبة السكان منخفضة المخاطر (حسب العمر)</t>
  </si>
  <si>
    <t>النسبة القصوى 50٪</t>
  </si>
  <si>
    <t>低风险人群（按年龄）的百分比</t>
  </si>
  <si>
    <t>最高50%</t>
  </si>
  <si>
    <t>NB: Ne pas compter deux fois ici les autres catégories à risque élevé</t>
  </si>
  <si>
    <t xml:space="preserve">Примечание: не дублируйте в данных расчетах другие группы, подвергающиеся высокому риску  </t>
  </si>
  <si>
    <t>Nota: No contar aquí dos veces otros grupos de alto riesgo</t>
  </si>
  <si>
    <t>Nota: Não conte duas vezes outros grupos etários de alto risco aqui</t>
  </si>
  <si>
    <t>ملاحظة: يُرجى عدم تكرار حساب المجموعات الأخرى عالية الخطورة هنا</t>
  </si>
  <si>
    <t xml:space="preserve">注释：请不要在此处重复计算其他高风险群体 </t>
  </si>
  <si>
    <t>Description de population du SAGE</t>
  </si>
  <si>
    <t>Femmes enceintes</t>
  </si>
  <si>
    <t>Беременные женщины</t>
  </si>
  <si>
    <t>Mujeres embarazadas</t>
  </si>
  <si>
    <t>Mulheres grávidas</t>
  </si>
  <si>
    <t xml:space="preserve"> النساء الحوامل</t>
  </si>
  <si>
    <t>孕妇</t>
  </si>
  <si>
    <t>Si l'on ne désire pas couvrir les femmes enceintes, entrer 0</t>
  </si>
  <si>
    <t xml:space="preserve">Если вы не желаете включать в вакцинацию беременных женщин, укажите 0 </t>
  </si>
  <si>
    <t>Si no se quiere abarcar a mujeres embarazadas, indicar 0</t>
  </si>
  <si>
    <t>Se não for incluir mulheres grávidas, digite 0</t>
  </si>
  <si>
    <t xml:space="preserve"> إذا كنت لا تستخدم لتغطية النساء الحوامل، أدخل 0</t>
  </si>
  <si>
    <t>如果不打算包括孕妇，请输入0</t>
  </si>
  <si>
    <t>Grossesses par année</t>
  </si>
  <si>
    <t>Naissances annuelles pour 1000 personnes. Zéro est possible</t>
  </si>
  <si>
    <t xml:space="preserve">Количество беременностей в год </t>
  </si>
  <si>
    <t>Количество рождений на 1000 населения в год. Допускается указать ноль.</t>
  </si>
  <si>
    <t>Embarazos por año</t>
  </si>
  <si>
    <t>Nacimientos por cada 1.000 personas por año. Puede ser cero</t>
  </si>
  <si>
    <t>Gestações por ano</t>
  </si>
  <si>
    <t>Nascimentos por 1.000 habitantes por ano. Zero é permitido</t>
  </si>
  <si>
    <t>حالات الحمل في السنة</t>
  </si>
  <si>
    <t>المواليد لكل 1000 من السكان في السنة. مسموح بالصفر</t>
  </si>
  <si>
    <t>每年怀孕数字</t>
  </si>
  <si>
    <t>每年每千人当中的新生人口数。可为零</t>
  </si>
  <si>
    <t>Vérifications logiques pour les spécifications de la population ciblée: pas de données à entrer</t>
  </si>
  <si>
    <t xml:space="preserve">Логический контроль характеристик целевого населения - ввод данных не требуется </t>
  </si>
  <si>
    <t>Comprobaciones lógicas de las descripciones de poblaciones objetivo - no introducir datos</t>
  </si>
  <si>
    <t>Verificações lógicas para especificações da população-alvo – não é necessária entrada de dados</t>
  </si>
  <si>
    <t>فحوصات منطقية لمواصفات السكان المستهدفين - لا يلزم إدخال البيانات</t>
  </si>
  <si>
    <t>逻辑检查目标人群规范——无需输入数据</t>
  </si>
  <si>
    <t>Instructions: Pas besoin d'entrer de données ci-dessous mais vérifier si des erreurs ont été marquées "CHECK" (VÉRIFIER) plutôt que "OK". Dans ce cas, réviser les spécifications de la population ciblée et/ou le calendrier d'administration (B1.2)</t>
  </si>
  <si>
    <t>Инструкции: Вы не обязаны вводить данные в ячейки ниже, но проверьте, не была ли допущена ошибка при вводе данных, если ячейки помечены "ПРОВЕРИТЬ" вместе "ОК". Если выявлены ошибки, проверьте спецификации целевого населения и/или сроки организации прививок (B1.2)</t>
  </si>
  <si>
    <t>Instrucciones: No es necesario introducir datos aquí pero comprobar si aparecen errores con "COMPROBAR" en lugar de "OK". En ese caso, revisar las descripciones de las poblaciones objetivo y/o el calendario de administración (B1.2)</t>
  </si>
  <si>
    <t>Instruções: Não é necessária entrada de dados abaixo, mas verifique se há algum erro assinalado "VERIFICAR" em vez de "OK". Em caso afirmativo, reveja as especificações da população-alvo e/ou a altura da administração (B1.2)</t>
  </si>
  <si>
    <t>التعليمات: لا يلزم إدخال بيانات أدناه ولكن تحقق مما إذا كانت هناك أية أخطاء تم وضع علامة عليها "تحقق" بدلاً من "موافق". إذا كان الأمر كذلك، يرجى مراجعة مواصفات السكان المستهدفين و / أو توقيت التسليم (B1.2)</t>
  </si>
  <si>
    <t>说明：无需在下方输入任何数据，但请检查是否有任何标记为“检查”而非“确认”的错误。如果有，请审核目标人群规范和/或交付时间（B1.2）</t>
  </si>
  <si>
    <t>NB: Si des vérifications logiques ont échoué, réajuster les paramètres de la population ciblée</t>
  </si>
  <si>
    <t>Примечание: Если не удалось выполнить логический контроль данных, внесите корректировки в параметры целевых популяций</t>
  </si>
  <si>
    <t>Nota: Si alguna comprobación lógica da error, revisar los parámetros de las poblaciones objetivo</t>
  </si>
  <si>
    <t>Nota: Se alguma verificação lógica falhou, reajuste os parâmetros da população-alvo</t>
  </si>
  <si>
    <t xml:space="preserve"> ملاحظة: إذا فشلت أي عمليات تدقيق منطقية، يرجى إعادة ضبط مَعلمات المجموعة المستهدفة</t>
  </si>
  <si>
    <t>注释：如果任何逻辑检查失败，请重新调整目标人群参数</t>
  </si>
  <si>
    <t>Vérification additionnelle de population no1: ERROR (ERREUR) si la population ciblée est supérieure à la population totale</t>
  </si>
  <si>
    <t>Ici, une erreur "CHECK" (vérifier) signifie que la population prioritaire spécifiée dépasse la population totale</t>
  </si>
  <si>
    <t>Дополнительная проверка численности населения #1: ОШИБКА если численность целевого населения превышает общую численность населения</t>
  </si>
  <si>
    <t xml:space="preserve">"ПРОВЕРИТЬ" ошибку здесь означает, что численность популяции с высоким приоритетом превышает общую численность населения </t>
  </si>
  <si>
    <t>Comprobacion de población adicional #1: ERROR si la poblacion objetivo es mayor que la población total</t>
  </si>
  <si>
    <t>El error "COMPROBAR" aquí significa que la población de alta prioridad especificada es mayor que la población total</t>
  </si>
  <si>
    <t>População adicional verificação nº 1: ERRO se a população-alvo exceder a população total</t>
  </si>
  <si>
    <t>Um erro "VERIFICAR" aqui significa que a população de alta prioridade especificada excede a população total</t>
  </si>
  <si>
    <t xml:space="preserve"> الاختيار الإضافي للسكان رقم 1: خطأ إذا تجاوز عدد السكان المستهدف إجمالي عدد السكان</t>
  </si>
  <si>
    <t xml:space="preserve"> "تحقق" يعني خطأ هنا أن المحتوى ذي الأولوية العالية المحدد يتجاوز إجمالي عدد السكان</t>
  </si>
  <si>
    <t>额外的人口检查＃1：如果目标人群超过总人口，则为错误</t>
  </si>
  <si>
    <t>这里的“检查”错误表示所注明的高优先级人群数字高于总人口</t>
  </si>
  <si>
    <t>Vérification additionnelle de population no2</t>
  </si>
  <si>
    <t>S'il y a une erreur ici, ajuster le calendrier en B1.2 pour les catégories d'âge à risque élevé dans des établissements d'hébergement – ne pas prolonger le temps d'administration</t>
  </si>
  <si>
    <t>Дополнительная проверка численности населения #2</t>
  </si>
  <si>
    <t>Если здесь допущена ошибка  ̶  внесите корректировки в сроки вакцинации, установленные в разделе B1.2 для учреждений интернатного типа применительно к возрастным группам высокого риска  ̶  избегайте распределения вакцины малыми объемами</t>
  </si>
  <si>
    <t>Comprobacion de población adicional #2</t>
  </si>
  <si>
    <t>Si hay error aquí - ajustar el calendario en B1.2 para establecimientos residenciales de grupos de edad de alto riesgo - no dispersar en exceso la administración</t>
  </si>
  <si>
    <t>População adicional verificação nº 2</t>
  </si>
  <si>
    <t>Se houver algum erro aqui – ajuste o calendário em B1.2 para instituições residenciais para grupos etários de alto risco – não disperse demasiado a administração da vacina.</t>
  </si>
  <si>
    <t xml:space="preserve"> الاختيار السكاني الإضافي رقم 2</t>
  </si>
  <si>
    <t>إذا كان هناك أي خطأ هنا - يرجى ضبط التوقيت في B1.2 للمؤسسات السكنية للفئات العمرية عالية الخطورة - لا توزع التسليم بشكل ضئيل</t>
  </si>
  <si>
    <t>额外的人口检查 #2</t>
  </si>
  <si>
    <t>如果此处显示错误——请调整B1.2中的时间安排，即居住式机构的高风险年龄群体——请勿过于分散交付</t>
  </si>
  <si>
    <t>Vérification additionnelle de population no3</t>
  </si>
  <si>
    <t>S'il y a une erreur ici, ajuster le calendrier en B1.2 pour les catégories d'âge à risque faible dans des établissements d'hébergement – ne pas prolonger le temps d'administration</t>
  </si>
  <si>
    <t>Дополнительная проверка численности населения #3</t>
  </si>
  <si>
    <t>Comprobacion de población adicional #3</t>
  </si>
  <si>
    <t>Si hay error aquí - ajustar el calendario en B1.2 para establecimientos residenciales de grupos de edad de bajo riesgo - no dispersar en exceso la administración</t>
  </si>
  <si>
    <t>População adicional verificação nº 3</t>
  </si>
  <si>
    <t>Se houver algum erro aqui – ajuste o calendário em B1.2 para instituições residenciais para grupos etários de baixo risco – não disperse demasiado a administração da vacina.</t>
  </si>
  <si>
    <t xml:space="preserve"> الاختيار السكاني الإضافي رقم 3</t>
  </si>
  <si>
    <t xml:space="preserve"> إذا كان هناك أي خطأ هنا - يرجى ضبط التوقيت في B1.2 للمؤسسات السكنية للفئات العمرية منخفضة المخاطر - لا توزع التسليم بشكل ضئيل</t>
  </si>
  <si>
    <t>额外的人口检查 #3</t>
  </si>
  <si>
    <t>如果此处显示错误——请调整B1.2中的时间安排，即居住式机构的低风险年龄群体——请勿过于分散交付</t>
  </si>
  <si>
    <t>A2.3 Paramètres de prestation</t>
  </si>
  <si>
    <t>A2.3 Параметры проведения вакцинации</t>
  </si>
  <si>
    <t>Единица  / комментарий</t>
  </si>
  <si>
    <t>A2.3 Parámetros de administración</t>
  </si>
  <si>
    <t>A2.3 Parâmetros de Administração</t>
  </si>
  <si>
    <t xml:space="preserve"> A2.3 مَعلمات التسليم</t>
  </si>
  <si>
    <t>A2.3交付参数</t>
  </si>
  <si>
    <t>Contexte géographique (pour information uniquement)</t>
  </si>
  <si>
    <t>Географический контекст (только для информации)</t>
  </si>
  <si>
    <t>Contexto geográfico (únicamente a efectos informativos)</t>
  </si>
  <si>
    <t>Contexto Geográfico (Só para Informação)</t>
  </si>
  <si>
    <t>السياق الجغرافي (للمعلومات فقط)</t>
  </si>
  <si>
    <t>地理环境（仅供参考）</t>
  </si>
  <si>
    <t>Surface</t>
  </si>
  <si>
    <t>km2</t>
  </si>
  <si>
    <t>Площадь территории страны</t>
  </si>
  <si>
    <t>км2</t>
  </si>
  <si>
    <t>Superficie</t>
  </si>
  <si>
    <t>Área da superfície</t>
  </si>
  <si>
    <t xml:space="preserve"> مساحة السطح</t>
  </si>
  <si>
    <t xml:space="preserve"> كم مربع</t>
  </si>
  <si>
    <t>المصدر: مؤشرات التنمية العالمية WDI</t>
  </si>
  <si>
    <t>表面积</t>
  </si>
  <si>
    <t>平方公里</t>
  </si>
  <si>
    <t>Petit état insulaire du Pacifique?</t>
  </si>
  <si>
    <t>1 = Oui | 0 = Non</t>
  </si>
  <si>
    <t>Si PIC (pays insulaire du Pacifique), considérer une stratégie de vaccination universelle</t>
  </si>
  <si>
    <t>Ваша страна является небольшим островным государством в Тихом океане?</t>
  </si>
  <si>
    <t>1 = Да | 0 = Нет</t>
  </si>
  <si>
    <t>Если это одна из стран Тихоокеанских островов (PIC), рассмотрите стратегию всеобщей иммунизации</t>
  </si>
  <si>
    <t>¿Pequeño estado insular del Pacífico?</t>
  </si>
  <si>
    <t>1 = Sí | 0 = No</t>
  </si>
  <si>
    <t>Si es pequeño estado insular del Pacífico, pensar en aplicar una estrategia de inmunización universal</t>
  </si>
  <si>
    <t>Estado pequeno em ilha do Pacífico?</t>
  </si>
  <si>
    <t>1 = Sim | 0 = Não</t>
  </si>
  <si>
    <t>SE CPI (consentimento prévio informado), considere uma estratégia de imunização universal</t>
  </si>
  <si>
    <t>دولة جزر المحيط الهادئ الصغيرة؟</t>
  </si>
  <si>
    <t xml:space="preserve"> 1 = نعم | 0 = لا</t>
  </si>
  <si>
    <t>إذا كان الموافقة المسبقة عن علم ، ففكر في استراتيجية تحصين عالمية</t>
  </si>
  <si>
    <t>太平洋小岛国？</t>
  </si>
  <si>
    <t>1 = 是 | 0 = 不是</t>
  </si>
  <si>
    <t>如果是PIC，考虑采取统一的免疫接种策略</t>
  </si>
  <si>
    <t>Population urbaine</t>
  </si>
  <si>
    <t>Городское население</t>
  </si>
  <si>
    <t>Процент от общей популяции</t>
  </si>
  <si>
    <t>Источник: Показатели мирового развития [ПМР] SP.URB.TOTL.IN.ZS</t>
  </si>
  <si>
    <t>Población urbana</t>
  </si>
  <si>
    <t>Fuente: WDI SP.URB.TOTL.IN.ZS</t>
  </si>
  <si>
    <t>População urbana</t>
  </si>
  <si>
    <t>Percentagem da população total</t>
  </si>
  <si>
    <t>Fonte: WDI SP.URB.TOTL.IN.ZS</t>
  </si>
  <si>
    <t xml:space="preserve"> السكان الحضريون</t>
  </si>
  <si>
    <t>النسبة المئوية لإجمالي عدد السكان</t>
  </si>
  <si>
    <t>المصدر: WDI SP.URB.TOTL.IN.ZS</t>
  </si>
  <si>
    <t>城市人口</t>
  </si>
  <si>
    <t>资料来源：WDI SP.URB.TOTL.IN.ZS</t>
  </si>
  <si>
    <t>Population de la plus grande ville</t>
  </si>
  <si>
    <t>Pourcentage de la population urbaine</t>
  </si>
  <si>
    <t>Население крупнейшего города</t>
  </si>
  <si>
    <t>Процент от городского населения</t>
  </si>
  <si>
    <t xml:space="preserve">Источник: Показатели мирового развития [ПМР] </t>
  </si>
  <si>
    <t>Población de la ciudad más grande</t>
  </si>
  <si>
    <t>Porcentaje de la población urbana</t>
  </si>
  <si>
    <t xml:space="preserve">Fuente: WDI </t>
  </si>
  <si>
    <t>População na maior cidade</t>
  </si>
  <si>
    <t>Percentagem da população urbana</t>
  </si>
  <si>
    <t xml:space="preserve">Fonte: WDI </t>
  </si>
  <si>
    <t xml:space="preserve"> السكان في أكبر مدينة</t>
  </si>
  <si>
    <t xml:space="preserve"> النسبة المئوية للسكان الحضريين</t>
  </si>
  <si>
    <t>最大的城市人口</t>
  </si>
  <si>
    <t>城市人口百分比</t>
  </si>
  <si>
    <t xml:space="preserve">资料来源：WDI </t>
  </si>
  <si>
    <t>Situation fragile et affectée par un conflit?</t>
  </si>
  <si>
    <t>Considérer les frais de sécurité</t>
  </si>
  <si>
    <t>Les frais de sécurité seront activés automatiquement. Peut être annulé à la feuille A3</t>
  </si>
  <si>
    <t xml:space="preserve">В Вашей стране нестабильная и затронутая конфликтами ситуация? </t>
  </si>
  <si>
    <t>Предусмотеть затраты на обеспечение безопасности</t>
  </si>
  <si>
    <t>Затраты на обеспечение безопасности будут активированы по умолчанию. Корректировки могут быть внесены вручную в разделе A3.</t>
  </si>
  <si>
    <t>¿En situación de fragilidad o conflicto?</t>
  </si>
  <si>
    <t>Tener en cuenta costes de seguridad</t>
  </si>
  <si>
    <t xml:space="preserve"> 1 = Sí | 0 = No</t>
  </si>
  <si>
    <t>Los costes de seguridad se activarán por defecto. Se pueden modificar en la hoja A3.</t>
  </si>
  <si>
    <t>Situação frágil e afectada por conflitos?</t>
  </si>
  <si>
    <t>Os custos de segurança serão activados por defeito. Podem ser substituídos na Folha A3.</t>
  </si>
  <si>
    <t>الوضع الهش والوضع المتأثر بالصراع؟</t>
  </si>
  <si>
    <t>النظر في تكاليف الأمن</t>
  </si>
  <si>
    <t>سيتم تنشيط تكاليف الأمن بشكل افتراضي. يمكن تجاوزه في الورقة A3.</t>
  </si>
  <si>
    <t>脆弱和受冲突影响情况？</t>
  </si>
  <si>
    <t>1 = 有 | 0 = 没有</t>
  </si>
  <si>
    <t>将默认激活安全成本。可在工作表A3中覆写。</t>
  </si>
  <si>
    <t>Instructions: Spécifier les professionnels des ressources humaines de santé (RHS) qui peuvent être pris en considération en tant que vaccinateurs POTENTIELS. Noter que le modèle estime séparément le nombre de vaccinateurs requis et que cette section vise à évaluer l'offre POTENTIELLE de vaccinateurs par rapport au total des vaccinateurs requis. On peut spécifier des professionnels des RHS additionnels définis par l'utilisateur. ALTERNATIVEMENT, on peut spécifier un total général au lieu de la somme des professionnels individuels. Si cette section est laissée en blanc, les données des dernières estimations des Systèmes d’information sur les ressources humaines en santé seront utilisées.
NB: Cette version du modèle estime les besoins pour un seul type de vaccinateur. Les superviseurs et autres ne sont pas inclus dans cette version</t>
  </si>
  <si>
    <t>Инструкции: Уточните, какие ключевые кадровые ресурсы в здравоохранении (КРЗ) могут быть привлечены в качестве ПОТЕНЦИАЛЬНЫХ вакцинаторов. Обратите внимание, что  расчет необходимого числа вакцинаторов проводится в другом разделе Инструмента, а цель данного раздела - соотнести требуемое количество вакцинаторов с ПОТЕНЦИАЛЬНЫМ  количеством доступных вакцинаторов в стране. Пользователь может дополнительно указать конкретные кадровые ресурсы в здравоохранении. ИЛИ можно указать общее количество, вместо суммы по отдельным категориям кадров. Если этот раздел не будет заполняться, при расчетах будут применяться актуальные расчетные данные из реестров национальных кадровых ресурсов здравоохранения.
Примечание: Данная версия инструмента обеспечивает расчет потребности непосредственно в сотруднике-вакцинаторе. Руководители и другой персонал в расчетах не учитываются.</t>
  </si>
  <si>
    <t>Instrucciones: Especificar los cuadros de recursos humanos para la salud básicos que pueden considerarse como suministro POTENCIAL de vacunadores. Es necesario tener en cuenta que el modelo estima por separado los vacunadores necesarios y esta sección únicamente tiene por objeto contextualizar el número de vacunadores necesarios frente al suministro POTENCIAL de vacunadores. Como usuario, puede especificar otros cuadros de recursos humanos para la salud (RHS). O bien, puede indicar un total general en sustitución de la suma total de los distintos cuadros. Si esta sección se deja en blanco, se utilizarán los datos de las últimas estimaciones de las Cuentas nacionales del personal de salud.
Nota: Esta versión del modelo estima las necesidades para un solo cuadro de vacunadores. Los supervisores y otros no están incluidos en esta versión.</t>
  </si>
  <si>
    <t>Instruções: Especifique as funções principais de RHS (Recursos Humanos da Saúde) que podem ser consideradas como fonte POTENCIAL de vacinadores. Observe que o modelo calcula separadamente o número de vacinadores necessário e esta secção é para permitir que o número de vacinadores necessário seja contextualizado em relação ao fornecimento POTENCIAL de vacinadores. Podem ser especificadas funções de RHS adicionais definidas pelo utilizador. OU um total geral pode ser especificado em vez disso para substituir a soma total das funções individuais. Se esta secção for deixada em branco, serão utilizados os dados das últimas estimativas de National Health Workforce Accounts (NHWA).
Nota: Esta versão do modelo calcula as necessidades para um único tipo de vacinadores. Os supervisores e outros não estão incluídos nesta versão.</t>
  </si>
  <si>
    <t>"التعليمات: يرجى تحديد كوادر الموارد البشرية الأساسية الذين يمكن اعتبارهم تجهيزًا محتملاً للقائمين بالتطعيم. يُرجى ملاحظة أن النموذج يقدِّر بشكل منفصل القائمين بالتطعيم المطلوبين، ويهدف هذا القسم إلى السماح للقوى العاملة المطلوبة للتلقيح بأن تكون في سياقها مقابل التجهيز المحتمل للقائمين بالتطعيم يمكن تحديد كوادر الموارد البشرية الصحية الإضافية التي يحددها المستخدم. أو يمكن تحديد إجمالي كلي بدلاً من ذلك لتجاوز إجمالي مجموع البطاقات الفردية. إذا تُرك هذا القسم فارغًا، فسيتم استخدام البيانات من أحدث تقديرات حسابات القوى العاملة الصحية الوطنية.
ملاحظة: هذا الإصدار من النموذج يقدر الاحتياجات لكادر واحد من القائمين بالتطعيم. لم يتم تضمين المشرفين وغيرهم في هذا الإصدار ".</t>
  </si>
  <si>
    <t>说明：请注明可能被视为潜在疫苗接种者的HRH核心干部。请注意，该模型分别估算所需疫苗接种者人数，因此本部分旨在根据所需疫苗接种者人数来对比分析潜在的疫苗接种者。可以指定用户定义的其他HRH干部。或者可以填写总计，以取代每类干部的总和。如果此部分保留空白，将使用来自国家卫生人力报告中的最新估计数据。
注释：此版本模型估算了对一支疫苗接种干部的需求。此版本不包括主管和其他人员。</t>
  </si>
  <si>
    <t>Ressources humaines de santé (RHS, en tant que vaccinateurs potentiels, NON population-cible)</t>
  </si>
  <si>
    <t xml:space="preserve">Кадровые ресурсы в здравоохранении (как потенциальный источник вакцинаторов -  НЕ как целевое население для вакцинации) </t>
  </si>
  <si>
    <t>Recursos Humanos para la Salud (como suministro potencial de vacunadores, NO como población objetivo)</t>
  </si>
  <si>
    <t>Recursos Humanos da Saúde (como fornecimento potencial de vacinadores NÃO população-alvo)</t>
  </si>
  <si>
    <t>الموارد البشرية الصحية (كتجهيزمحتمل للقائمين بالتطعيم وليس السكان المستهدفين)</t>
  </si>
  <si>
    <t>卫生人力资源（作为潜在的疫苗接种者而不是目标人群）</t>
  </si>
  <si>
    <t>Médecins</t>
  </si>
  <si>
    <t>Source: estimations de l'OMS pour 2020 fondées sur les derniers chiffres des personnels de santé des National Health Workforce Accounts</t>
  </si>
  <si>
    <t>Врачи</t>
  </si>
  <si>
    <t>Источник: Оценка ВОЗ кадровых ресурсов здравоохранения за 2020 год на основании актуализированных данных о составе КРЗ в национальных отчетах стран</t>
  </si>
  <si>
    <t>Médicos</t>
  </si>
  <si>
    <t>Fuente: Estimación de la OMS de 2020 basada en el último informe sobre personal de salud en las Cuentas nacionales de personal de salud</t>
  </si>
  <si>
    <t>Fonte: Estimativa de pessoal da OMS em 2020 com base nos últimos relatórios de pessoal da saúde em National Health Workforce Accounts</t>
  </si>
  <si>
    <t>الأطباء</t>
  </si>
  <si>
    <t>المصدر: تقدير منظمة الصحة العالمية للمخزون في عام 2020 استنادًا إلى أحدث تقرير عن مخزون القوى العاملة الصحية في حسابات القوى العاملة الصحية الوطنية</t>
  </si>
  <si>
    <t>医生</t>
  </si>
  <si>
    <t>资料来源：世卫组织根据国家卫生人力报告中最新报告的卫生人力估算的2020年数字</t>
  </si>
  <si>
    <t>Infirmiers et infirmières</t>
  </si>
  <si>
    <t>Медсестры</t>
  </si>
  <si>
    <t>Personal de enfermería</t>
  </si>
  <si>
    <t>Enfermeiros</t>
  </si>
  <si>
    <t>الممرضات</t>
  </si>
  <si>
    <t xml:space="preserve"> المصدر: تقدير منظمة الصحة العالمية للمخزون في عام 2020 استنادًا إلى أحدث تقرير عن مخزون القوى العاملة الصحية في حسابات القوى العاملة الصحية الوطنية</t>
  </si>
  <si>
    <t>护士</t>
  </si>
  <si>
    <t>Sages-femmes</t>
  </si>
  <si>
    <t>Акушерки</t>
  </si>
  <si>
    <t>Comadronas</t>
  </si>
  <si>
    <t>Parteiras</t>
  </si>
  <si>
    <t>القابلات</t>
  </si>
  <si>
    <t>助产士</t>
  </si>
  <si>
    <t>Pharmaciens</t>
  </si>
  <si>
    <t>Фармацевты</t>
  </si>
  <si>
    <t>Personal farmacéutico</t>
  </si>
  <si>
    <t>Farmacêuticos (número)</t>
  </si>
  <si>
    <t>الصيادلة</t>
  </si>
  <si>
    <t>药剂师</t>
  </si>
  <si>
    <t>Définis par l'utilisateur</t>
  </si>
  <si>
    <t>Les pays peuvent ajouter d'autres professionnels si requis en tant que vaccinateurs potentiels. NB: Il ne s'agit PAS du personnel de santé à vacciner.</t>
  </si>
  <si>
    <t>Задается пользователем</t>
  </si>
  <si>
    <t>Страны могут дополнительно указать других работников, которых следует включить в кадровые ресурсы здравоохранения - как потенциальных вакцинаторов - ОБРАТИТЕ ВНИМАНИЕ, ЭТО НЕ  работники здравоохранения, которые должны быть вакцинированы</t>
  </si>
  <si>
    <t>Especificado por el usuario</t>
  </si>
  <si>
    <t>Los países pueden añadir cuadros adicionales, en caso necesario, para suministro de RHS (reserva de posibles vacunadores), TENER EN CUENTA QUE NO se refiere a personal sanitario a ser vacunado</t>
  </si>
  <si>
    <t>Definido pelo utilizador</t>
  </si>
  <si>
    <t>Os países podem acrescentar quadros adicionais se necessário para o fornecimento de RHS – equipa de vacinadores em potencial – NOTA ESTES NÃO SÃO trabalhadores da saúde a ser vacinados</t>
  </si>
  <si>
    <t>تحديد المستخدم</t>
  </si>
  <si>
    <t>يمكن للبلدان إضافة كوادر إضافية إذا لزم الأمر لإمدادات الموارد البشرية الصحية - مجموعة من القائمين بالتحصين المحتملين - ملاحظة لا يجب تطعيم العاملين الصحيين</t>
  </si>
  <si>
    <t>用户自定义</t>
  </si>
  <si>
    <t>各国可以根据需要补充额外的HRH干部，作为潜在的储备疫苗接种者——注意，这里指的不是将被接种疫苗的卫生工作者</t>
  </si>
  <si>
    <t>Total des professionnels des RHS pour impact potentiel en vaccinateurs [outrepasser ici pour fournir un nombre global]</t>
  </si>
  <si>
    <t>S'il n'y a pas de données ou que les données GHO n'ont pas été remises à jour, il FAUT outrepasser ici. Laisser en blanc pour utiliser les données NHWA</t>
  </si>
  <si>
    <t>Всего КРЗ как потенциальных вакцинаторов [внесите корректировки вручную и укажите общее количество]</t>
  </si>
  <si>
    <t>Если нет данных или данные ГОЗ не обновлены, ОБЯЗАТЕЛЬНО скорректируйте значение вручную. Не заполняйте эту ячейку, если желаете, чтобы в расчетах были использованы  данные из национальных отчетов о КРЗ</t>
  </si>
  <si>
    <t>Reserva total de RHS para posibles vacunadores [sustituir aquí para indicar un número total]</t>
  </si>
  <si>
    <t>Si no hay datos o los datos de la GHO no están actualizados, se DEBE sustituir aquí. Dejar en blanco para utilizar datos de la CNPS</t>
  </si>
  <si>
    <t>Fornecimento total de RHS para impacto potencial da vacinadores
[substitua aqui para fornecer um número global].</t>
  </si>
  <si>
    <t>Se não houver dados ou os dados do GHO (Global Health Observatory) não estiverem actualizados, DEVE substituir aqui. Deixe em branco para usar dados de NHWA</t>
  </si>
  <si>
    <t xml:space="preserve"> إجمالي تجهيزات الموارد البشرية الصحية لأثر محتمل على اللقاح [تجاوز هنا لتوفير رقم إجمالي]</t>
  </si>
  <si>
    <t>إذا لم يتم تحديث أي بيانات أو بيانات من GHO، فيجب تجاوزها هنا. اتركه فارغا لاستخدام بيانات NHWA</t>
  </si>
  <si>
    <t>HRH总供应量给潜在的疫苗接种者带来的影响
[覆写此处以提供总体数字]</t>
  </si>
  <si>
    <t>如果没有数据或来自GHO的数据未更新，则必须覆写此处。留空以使用NHWA数据</t>
  </si>
  <si>
    <t>RHS maximums redéployables, % des RHS… en nombre absolu OU</t>
  </si>
  <si>
    <t>Pourcentage du total des RHS</t>
  </si>
  <si>
    <t>Максимальное количество перераспределяемых КРЗ, % рабочей силы в здравоохранении  … в абсолютном выражении ИЛИ</t>
  </si>
  <si>
    <t xml:space="preserve">Процент от Общего количества КРЗ </t>
  </si>
  <si>
    <t>Número máximo de RHS que se puede reasignar, % del personal de salud … como número absoluto O</t>
  </si>
  <si>
    <t>Porcentaje del número total de RHS</t>
  </si>
  <si>
    <t>Nº máximo de RHS reafectáveis, % do pessoal da saúde ... como número absoluto OU</t>
  </si>
  <si>
    <t>Percentagem do fornecimento total de RHS</t>
  </si>
  <si>
    <t xml:space="preserve"> الحد الأقصى للموارد البشرية القابلة لإعادة النشر، النسبة المئوية للقوى العاملة الصحية ... كرقم مطلق أو</t>
  </si>
  <si>
    <t xml:space="preserve"> النسبة المئوية لإجمالي المعروض من الموارد البشرية الصحية</t>
  </si>
  <si>
    <t>可重新部署的HRH最高值，占卫生人力的百分比……以绝对数字或</t>
  </si>
  <si>
    <t>总HRH供应量的百分比</t>
  </si>
  <si>
    <t>Pourcentage du personnel de santé</t>
  </si>
  <si>
    <t>... в процентном выражении</t>
  </si>
  <si>
    <t xml:space="preserve">Процент от рабочей силы в здравоохранении </t>
  </si>
  <si>
    <t>… como porcentaje</t>
  </si>
  <si>
    <t>Porcentaje del personal de salud</t>
  </si>
  <si>
    <t>Percentagem do pessoal da saúde</t>
  </si>
  <si>
    <t xml:space="preserve"> نسبة القوى العاملة الصحية</t>
  </si>
  <si>
    <t>卫生人力的百分比</t>
  </si>
  <si>
    <t>Heures de travail par jour</t>
  </si>
  <si>
    <t>heures</t>
  </si>
  <si>
    <t>Количество рабочих часов в день</t>
  </si>
  <si>
    <t>Часы</t>
  </si>
  <si>
    <t>Horas de trabajo diarias</t>
  </si>
  <si>
    <t>horas</t>
  </si>
  <si>
    <t>Horas de trabalho por dia</t>
  </si>
  <si>
    <t xml:space="preserve"> ساعات العمل في اليوم</t>
  </si>
  <si>
    <t>الساعات</t>
  </si>
  <si>
    <t>每天工作时间</t>
  </si>
  <si>
    <t>小时</t>
  </si>
  <si>
    <t>Jours de travail par semaine</t>
  </si>
  <si>
    <t>jours</t>
  </si>
  <si>
    <t>Prendre en compte le temps requis pour la formation, la supervision et les pauses</t>
  </si>
  <si>
    <t>Количество рабочих дней в неделю</t>
  </si>
  <si>
    <t>Предусмотреть время для подготовки, контроля и перерывов на отдых</t>
  </si>
  <si>
    <t>Días de trabajo por semana</t>
  </si>
  <si>
    <t>días</t>
  </si>
  <si>
    <t>Computar el tiempo necesario para capacitación, supervisión, y descansos</t>
  </si>
  <si>
    <t>Dias de trabalho por semana</t>
  </si>
  <si>
    <t>dias</t>
  </si>
  <si>
    <t>Considere o tempo necessário para formação, supervisão e intervalos</t>
  </si>
  <si>
    <t>أيام العمل في الأسبوع</t>
  </si>
  <si>
    <t>الأيام</t>
  </si>
  <si>
    <t>ضع في اعتبارك الوقت اللازم للتدريب والإشراف والاستراحات</t>
  </si>
  <si>
    <t>每周工作天数</t>
  </si>
  <si>
    <t>考虑培训、监督和休息所需的时间</t>
  </si>
  <si>
    <t>Temps de déplacement et d'installation de l'équipe mobile (en heures) par jour de travail</t>
  </si>
  <si>
    <t>Sera déduit des heures de travail par jour; les heures restantes correspondront à la vaccination ininterrompue, sauf s'il n'y a plus personne à vacciner</t>
  </si>
  <si>
    <t>Время (в часах) для приезда мобильных бригад на место проведения вакцинации и для подготовки к проведению прививочной сессии, из расчета на один рабочий день</t>
  </si>
  <si>
    <t xml:space="preserve">Это время будет вычтено из общего количества рабочих часов в день  ̶  в оставшиеся часы вакцинация будет идти непрерывно, за исключением случаев, когда уже некого будет вакцинировать </t>
  </si>
  <si>
    <t>Tiempo (horas) de desplazamiento y preparación de los equipos móviles por cada día de trabajo</t>
  </si>
  <si>
    <t>Se restará de las horas de trabajo diarias - las horas restantes serán para vacunación ininterrumpida, salvo que no haya más personas que vacunar</t>
  </si>
  <si>
    <t>Tempo de deslocação e preparação da equipa móvel (horas) por dia de trabalho</t>
  </si>
  <si>
    <t>Serão subtraídas das horas de trabalho por dia – as horas restantes serão para vacinação sem interrupção, a menos que não haja mais pessoas para vacinar</t>
  </si>
  <si>
    <t xml:space="preserve"> سفر الفريق المتنقل ووقت الإعداد (ساعات) لكل يوم عمل</t>
  </si>
  <si>
    <t>ستُخصم من ساعات العمل في اليوم - الساعات المتبقية ستكون تلقيحًا غير متقطع ما لم يكن هناك المزيد من الأشخاص للتطعيم</t>
  </si>
  <si>
    <t>在每个工作日中，移动团队行程和准备所需的时间（小时）</t>
  </si>
  <si>
    <t>从每天的工作时间中扣除——剩余时间将用于不间断接种，除非没有更多的被接种疫苗的个人</t>
  </si>
  <si>
    <t>Ajustement pour la robustesse des RHS (pour définir une variante maximum et minimum)</t>
  </si>
  <si>
    <t>minutes</t>
  </si>
  <si>
    <t>Minutes de temps du personnel de travail requis pour vacciner par dose: ajouté à (variante supérieure) ou déduit de (variante inférieure) la variante moyenne dans la base de données vaccinales (T1)</t>
  </si>
  <si>
    <t>Корректировка с учетом уровня подгтовки КРЗ (для определения верхнего и нижнего вариантов)</t>
  </si>
  <si>
    <t>Минуты</t>
  </si>
  <si>
    <t>Сколько минут требуется одному работнику здравоохранения для проведения вакцинации в пересчете на одну дозу вакцины - добавить (верхний вариант) или вычесть (нижний вариант) к/от среднего варианта, указанного в базе данных по вакцинам  T1</t>
  </si>
  <si>
    <t>Ajustes de robustez del RHS (para definir variantes superior e inferior)</t>
  </si>
  <si>
    <t>min</t>
  </si>
  <si>
    <t>Minutos que requiere el trabajador de salud para administrar una dosis – añadido (variante superior) o restado (variante inferior) a/de la variante media en la base de datos de vacunas T1</t>
  </si>
  <si>
    <t>Ajustes de robustez dos RHS (para definir as variantes superior e inferior)</t>
  </si>
  <si>
    <t>min.</t>
  </si>
  <si>
    <t>Minutos do tempo do trabalhador da saúde necessários para vacinar por dose – adicionados (variante superior) ou subtraídos (variante inferior) da variante média na base de dados de vacinas T1</t>
  </si>
  <si>
    <t>تعديلات قوة الموارد البشرية الصحية HRH (لتحديد المتغير العلوي والسفلي)</t>
  </si>
  <si>
    <t>الدقائق</t>
  </si>
  <si>
    <t>دقائق من وقت العامل الصحي المطلوب للتلقيح لكل جرعة - مضافة (متغير أعلى) أو مطروح (متغير أقل) إلى متغير متوسط في قاعدة بيانات لقاحات T1</t>
  </si>
  <si>
    <t>HRH稳健性调整（定义上变量和下变量）</t>
  </si>
  <si>
    <t>分钟</t>
  </si>
  <si>
    <t>卫生工作者接种每剂疫苗所需时间分钟数——T1疫苗数据库的中间值加上（上变量）或减去（下变量）</t>
  </si>
  <si>
    <t>Pour le transport du personnel local: capacité maximum par voiture</t>
  </si>
  <si>
    <t>Tenir compte de la place requise pour les glacières et le stockage au sec</t>
  </si>
  <si>
    <t>Для транспортировки местного персонала: максимальное количество мест в машине</t>
  </si>
  <si>
    <t xml:space="preserve">предусмотреть место для термоконтейнеров и сухого хранения </t>
  </si>
  <si>
    <t>Para el transporte de personal nacional: Capacidad máxima por vehículo</t>
  </si>
  <si>
    <t>Tener en cuenta el espacio necesario para cajas frías y conservación en seco</t>
  </si>
  <si>
    <t>Para o transporte de pessoal interno: Capacidade máxima por carro</t>
  </si>
  <si>
    <t>Leve em conta o espaço necessário para caixas frigoríficas e armazenamento a seco</t>
  </si>
  <si>
    <t>لنقل الأفراد المحليين: السعة القصوى لكل سيارة</t>
  </si>
  <si>
    <t>ضع في اعتبارك المساحة اللازمة للصناديق الباردة والتخزين الجاف</t>
  </si>
  <si>
    <t>针对国内人员运输：每辆小车的最大容量</t>
  </si>
  <si>
    <t>考虑冷藏箱和干燥箱所需的空间</t>
  </si>
  <si>
    <t>Points de distribution et de service</t>
  </si>
  <si>
    <t>Пункты распределения вакцины и пункты предоставления услуг иммунизации</t>
  </si>
  <si>
    <t>Puntos de distribución y de prestación de servicios</t>
  </si>
  <si>
    <t>Pontos de Distribuição e de Serviço</t>
  </si>
  <si>
    <t>التوزيع ونقاط الخدمة</t>
  </si>
  <si>
    <t>配送和服务点</t>
  </si>
  <si>
    <t>Instructions: Indiquer le nombre total des points de distribution et de service dans le pays qui serviront à la vaccination contre la COVID-19, selon la description ci-dessous:</t>
  </si>
  <si>
    <t xml:space="preserve">Инструкции: укажите общее количество имеющихся на территории страны пунктов распределения вакцины и пунктов предоставления услуг иммунизации, которые будут использоваться для вакцинации против COVID-19, согласно описанию ниже: </t>
  </si>
  <si>
    <t>Instrucciones: Indicar el número total de puntos de distribución y de prestación de servicios en el país que se utilizarán para la vacunación de la COVID-19, según la descripción siguiente:</t>
  </si>
  <si>
    <t>Instruções: Indique o número total de pontos de distribuição e de serviço em todo o país que serão utilizados para a vacinação contra a Covid-19, de acordo com a descrição abaixo:</t>
  </si>
  <si>
    <t xml:space="preserve"> التعليمات: يرجى توضيح العدد الإجمالي لنقاط التوزيع ونقاط الخدمة على الصعيد الوطني والتي سيتم استخدامها للتطعيم ضد كوفيد-19، وفقًا للوصف أدناه:</t>
  </si>
  <si>
    <t>说明：请根据以下说明，注明用于Covid-19疫苗接种的全国配送点和服务点总数：</t>
  </si>
  <si>
    <t>Nombre de divisions administratives infranationales de niveau 1 (par ex. province/région/État): points de distribution à stockage au froid</t>
  </si>
  <si>
    <t>Chiffre entier, hors zéro</t>
  </si>
  <si>
    <t>"Régions" dans ce modèle: (i) points de distribution régionaux de stockage au froid, (ii) origines potentielles pour terrain et campagne</t>
  </si>
  <si>
    <t>Количество административных единиц (например провинций, регионов, штатов) на субнациональном уровне 1 - пункты распределения вакцины, в которых обеспечена возможность холодильного хранения</t>
  </si>
  <si>
    <t xml:space="preserve">Общее количество; отличное от нуля </t>
  </si>
  <si>
    <t xml:space="preserve">Для данной модели инструмента, считается, что "регионы"  - это: (i) региональные пункты распределения с холодильным хранением; (ii) потенциальные пункты для организации выездных меропирятий и прививочных кампаний </t>
  </si>
  <si>
    <t>Número de divisiones administrativas subnacionales de nivel 1 (provincia/región/estado…) - puntos de distribución de almacenamiento en frío</t>
  </si>
  <si>
    <t>Número entero; distinto de cero</t>
  </si>
  <si>
    <t>"Regiones" en este modelo: (i) puntos de distribución de almacenamiento en frío regionales; (ii) posible origen de extensión y campañas</t>
  </si>
  <si>
    <t>Número de divisões administrativas de nível subnacional 1 (por exemplo, província/região/estado) – pontos de distribuição de armazenamento frigorífico</t>
  </si>
  <si>
    <t>Número inteiro; Não zero</t>
  </si>
  <si>
    <t>"Regiões" neste modelo: (i) pontos regionais de distribuição de armazenamento frigorífico; (ii) origens potenciais para actividades de alcance e campanhas</t>
  </si>
  <si>
    <t xml:space="preserve"> عدد المشرفين على المستوى دون الوطني 1. الأقسام (مثل المقاطعة / المنطقة / الولاية) - نقاط توزيع التخزين البارد</t>
  </si>
  <si>
    <t>رقم صحيح؛ غير صفرية</t>
  </si>
  <si>
    <t>الأقاليم في هذا النموذج: (1) نقاط التوزيع الإقليمية للمخازن المبردة؛ (2) الأصول المحتملة للتوعية والحملات</t>
  </si>
  <si>
    <t>国家以下1级行政部门（例如省/区域/州）的冷冻冷藏配送点数目</t>
  </si>
  <si>
    <t>整数；非零</t>
  </si>
  <si>
    <t>该模型中的“区域”：（i）区域冷冻冷藏配送点；（ii）潜在的外展和计划接种活动的起源点</t>
  </si>
  <si>
    <t>Nombre de divisions administratives infranationales de niveau 2 (par ex. district): points de distribution à stockage au froid</t>
  </si>
  <si>
    <t>"Districts" dans ce modèle: (i) points de distribution de stockage au froid de district, (ii) origines potentielles pour terrain et campagne</t>
  </si>
  <si>
    <t xml:space="preserve">Количество административных единиц (например районов) на субнациональном уровне 2 - пункты распределения вакцины, в которых обеспечена возможность холодильного хранения </t>
  </si>
  <si>
    <t xml:space="preserve">Для данной модели инструмента, считается, что "районы"  - это: (i) районные пункты распределения с холодильным хранением; (ii) потенциальные пункты для организации выездных меропирятий и прививочных кампаний </t>
  </si>
  <si>
    <t>Número de divisiones administrativas subnacionales de nivel 2 (distrito…) - puntos de distribución de almacenamiento en frío</t>
  </si>
  <si>
    <t>"Distritos" en este modelo: (i) puntos de distribución de almacenamiento en frío de distrito; (ii) posible origen de extensión y campañas</t>
  </si>
  <si>
    <t>Número de divisões administrativas de nível subnacional 2 (por exemplo, distrito) – pontos de distribuição de armazenamento frigorífico</t>
  </si>
  <si>
    <t>"Distritos" neste modelo: (i) pontos distritais de distribuição de armazenamento frigorífico; (ii) origens potenciais para actividades de alcance e campanhas</t>
  </si>
  <si>
    <t xml:space="preserve"> عدد إداري المستوى دون الوطني 2. الأقسام (مثل المنطقة) - نقاط توزيع التخزين البارد</t>
  </si>
  <si>
    <t xml:space="preserve"> "الأقاليم"  في هذا النموذج: (1) نقاط توزيع مستودعات التبريد على مستوى المنطقة، (2) الأصول المحتملة للتوعية والحملات</t>
  </si>
  <si>
    <t>国家以下2级行政部门（例如地区）的冷冻冷藏配送点数目</t>
  </si>
  <si>
    <t>该模型中的“地区”：（i）地区级冷冻冷藏配送点；（ii）潜在的外展和计划接种活动的起源点</t>
  </si>
  <si>
    <t>Sites fixes avec stockage au froid</t>
  </si>
  <si>
    <t>Стационарные лечебные учреждения, в которых обеспечена возможность холодильного хранения</t>
  </si>
  <si>
    <t>Establecimientos  fijos con almacenamiento en frío</t>
  </si>
  <si>
    <t>Locais fixos com armazenamento frigorífico</t>
  </si>
  <si>
    <t>المواقع الثابتة مع التخزين البارد</t>
  </si>
  <si>
    <t>拥有冷库的固定站点</t>
  </si>
  <si>
    <t>Sites de campagne (sites fixes sans stockage au froid)</t>
  </si>
  <si>
    <t xml:space="preserve">Площадки для проведения прививочных кампаний (на базе стационарных лечебных учреждений, в которых нет возможностей холодильного хранения) </t>
  </si>
  <si>
    <t>Ubicaciones de campaña (Establecimientos fijos sin almacenamiento en frío)</t>
  </si>
  <si>
    <t>Locais de campanha (locais fixos sem armazenamento frigorífico)</t>
  </si>
  <si>
    <t>مواقع الحملة (المواقع الثابتة بدون تخزين بارد)</t>
  </si>
  <si>
    <t>计划接种活动站点（没有冷库的固定站点）</t>
  </si>
  <si>
    <t>Sites de proximité</t>
  </si>
  <si>
    <t>Modalité d'administration 4 (par ex. terrain | centres de population | sites PEV pour populations isolées)</t>
  </si>
  <si>
    <t>Площадки для организации выездных прививочных сессий</t>
  </si>
  <si>
    <t>Стратегия организации прививок  4 (например, выездные прививочные сессии) | Населенные пункты | Учреждения РПИ для населения, проживающего в удаленных районах)</t>
  </si>
  <si>
    <t>Ubicaciones de extensión</t>
  </si>
  <si>
    <t>Modalidad de administración  4 (ejemplo: extensión) | Centros de población | Ubicaciones PAI para poblaciones remotas</t>
  </si>
  <si>
    <t>Locais de actividades de alcance</t>
  </si>
  <si>
    <t>Modalidade de administração 4 (por exemplo, actividades de alcance) | Centros populacionais | Locais do PAV para populações remotas)</t>
  </si>
  <si>
    <t>مواقع الحملات الخارجية</t>
  </si>
  <si>
    <t xml:space="preserve"> طريقة التسليم 4 (على سبيل المثال، التواصل) | المراكز السكانية | مواقع EPI للسكان النائية)</t>
  </si>
  <si>
    <t>外展接种站点</t>
  </si>
  <si>
    <t>交付模式4（例如，外展）| 人口中心| 偏远地区的EPI站点）</t>
  </si>
  <si>
    <t>Pourcentage de la population difficile à atteindre vaccinée sur le terrain:</t>
  </si>
  <si>
    <t>Какой процент труднодоступного населения, вакцинируемого в рамках выездных прививочных сессий:</t>
  </si>
  <si>
    <t>Porcentaje de las poblaciones a las que es difícil llegar vacunadas por extensión:</t>
  </si>
  <si>
    <t>Que percentagem da população de difícil acesso foi vacinada por meio de actividades de alcance:</t>
  </si>
  <si>
    <t>ما هي نسبة السكان الذين يصعب الوصول إليهم الذين تم تطعيمهم عن طريق الحملات الخارجية:</t>
  </si>
  <si>
    <t>由外展活动接种的难以触及人口百分比：</t>
  </si>
  <si>
    <t>… devant être atteinte par équipe mobile de type A (équipe à une seule personne)</t>
  </si>
  <si>
    <t>Modalité d'administration 4 (par ex. terrain/mobile)</t>
  </si>
  <si>
    <t xml:space="preserve"> … должен быть обслужен мобильной бригадой типа А (бригада из одного сотрудника)</t>
  </si>
  <si>
    <t>Стратегия организации прививок  4 (например, выездные сессии, мобильные бригады)</t>
  </si>
  <si>
    <t>… es preciso llegar mediante equipo móvil Tipo A (equipo de una persona)</t>
  </si>
  <si>
    <t>Modalidad de administración  4 (ejemplo: extensión / móvil)</t>
  </si>
  <si>
    <t>... precisam de ser alcançadas por uma equipa móvel Tipo A (equipa de uma pessoa)</t>
  </si>
  <si>
    <t>Modalidade de administração 4 (por exemplo, actividades de alcance/locais móveis)</t>
  </si>
  <si>
    <t>... يجب الوصول إليها من قبل فريق متنقل من النوع أ (فريق فردي)</t>
  </si>
  <si>
    <t xml:space="preserve"> نسبة السكان الذين يصعب الوصول إليهم؛ غير الصفرية</t>
  </si>
  <si>
    <t>……需要由A类移动团队（单人组）触及</t>
  </si>
  <si>
    <t>难以触及人口百分比； 非零</t>
  </si>
  <si>
    <t>… devant être atteinte par équipe mobile de type B (équipe à plusieurs personnes)</t>
  </si>
  <si>
    <t xml:space="preserve">… должен быть обслужен мобильной бригадой типа Б (бригада из нескольких лиц) </t>
  </si>
  <si>
    <t>… es preciso llegar mediante equipo móvil Tipo B (equipo de varias personas)</t>
  </si>
  <si>
    <t>... precisam de ser alcançadas por uma equipa móvel Tipo B (equipa de várias pessoas)</t>
  </si>
  <si>
    <t>... يجب الوصول إليها من قبل فريق متنقل من النوع B (فريق متعدد الأشخاص)</t>
  </si>
  <si>
    <t>طريقة التسليم 4 (على سبيل المثال، التواصل / الجوّال)</t>
  </si>
  <si>
    <t>……需要由B类移动团队（多人组）触及</t>
  </si>
  <si>
    <t>难以接触人口百分比； 非零</t>
  </si>
  <si>
    <t>… [reste supposé] peut se rendre au site de proximité (le "camp de base")</t>
  </si>
  <si>
    <t>Pourcentage de la population difficile d'accès</t>
  </si>
  <si>
    <t>Modalité d'administration 4 (par ex. terrain)</t>
  </si>
  <si>
    <t xml:space="preserve"> … [предположительно все остальные] может самостоятельно явиться на площадку, где проводится выездная прививочная сессия ("в базовый лагерь"), для получения прививки?</t>
  </si>
  <si>
    <t>Процент от общей труднодоступной популяции</t>
  </si>
  <si>
    <t>Стратегия организации прививок  4 (например, выездные сессии)</t>
  </si>
  <si>
    <t xml:space="preserve"> … [por implicación, el resto] puede acudir a la ubicación de extensión ("el campamento base")</t>
  </si>
  <si>
    <t>Porcentaje de la población a la que es difícil llegar</t>
  </si>
  <si>
    <t>Modalidad de administración  4 (ejemplo: extensión)</t>
  </si>
  <si>
    <t>... [restante implícito] pode vir ao local de actividades de alcance (o centro de operações)</t>
  </si>
  <si>
    <t>Percentagem da população de difícil acesso</t>
  </si>
  <si>
    <t>Modalidade de administração 4 (por exemplo, actividades de alcance)</t>
  </si>
  <si>
    <t>... [الباقي الضمني] يمكن أن يأتي إلى موقع الحملات الخارجية ("المعسكر الأساسي")</t>
  </si>
  <si>
    <t>طريقة التسليم 4 (على سبيل المثال، الحملات الخارجية)</t>
  </si>
  <si>
    <t>……[默示余数]可前往外展站点（“大本营”）</t>
  </si>
  <si>
    <t>难以接触人口百分比</t>
  </si>
  <si>
    <t>交付模式4（例如，外展）</t>
  </si>
  <si>
    <t>Pour les vaccinations lors de campagnes et dans des établissements d'hébergement:</t>
  </si>
  <si>
    <t>Pour estimation des besoins en capacité de stockage au froid à différents niveaux</t>
  </si>
  <si>
    <t>Для вакцинации в рамках прививочных кампаний в учреждениях интернатного типа:</t>
  </si>
  <si>
    <t xml:space="preserve">Это требуется для расчета мощностей холодильного хранения, необходимого на различных уровнях </t>
  </si>
  <si>
    <t>Para vacunaciones durante campañas y en instituciones residenciales:</t>
  </si>
  <si>
    <t xml:space="preserve">Esto es para estimar las necesidades de capacidad de almacenamiento en frío en los distintos niveles </t>
  </si>
  <si>
    <t>Para vacinações durante campanhas e em instituições residenciais:</t>
  </si>
  <si>
    <t>Isso é para a estimativa das necessidades de capacidade de armazenamento frigorífico nos vários níveis</t>
  </si>
  <si>
    <t xml:space="preserve"> للتلقيح أثناء الحملات وفي المؤسسات السكنية:</t>
  </si>
  <si>
    <t>هذا لتقدير احتياجات سعة التخزين البارد على مختلف المستويات</t>
  </si>
  <si>
    <t>计划接种活动期间和在居住式机构开展的疫苗接种：</t>
  </si>
  <si>
    <t>这用于估算各个级别的冷冻冷藏容量需求</t>
  </si>
  <si>
    <t>… pourcentage venu de sites fixes</t>
  </si>
  <si>
    <t xml:space="preserve"> … процент вакцин, которые поступают из стационарных лечебных учреждений</t>
  </si>
  <si>
    <t xml:space="preserve"> … porcentaje con origen en establecimientos fijos</t>
  </si>
  <si>
    <t>... percentagem que origina de locais fixos</t>
  </si>
  <si>
    <t xml:space="preserve"> ... النسبة المئوية التي تنشأ من المواقع الثابتة</t>
  </si>
  <si>
    <t>……来自固定站点的百分比</t>
  </si>
  <si>
    <t>… pourcentage venu d'entrepôts au niveau du district</t>
  </si>
  <si>
    <t xml:space="preserve"> …процент вакцин, которые поступают со складов районного уровня </t>
  </si>
  <si>
    <t>... percentagem que origina de depósitos a nível distrital</t>
  </si>
  <si>
    <t xml:space="preserve"> ... النسبة المئوية التي تنشأ من المتاجر على مستوى المنطقة</t>
  </si>
  <si>
    <t>…… 来自地区级储存点的百分比</t>
  </si>
  <si>
    <t>… [reste sous-entendu] pourcentage venu d'entrepôts au niveau régional</t>
  </si>
  <si>
    <t xml:space="preserve"> … [предположительно все остальное] процент со складов регионального уровня </t>
  </si>
  <si>
    <t xml:space="preserve"> … [por implicación, el resto] porcentaje con origen en almacenes de nivel regional</t>
  </si>
  <si>
    <t>... [restante implícito] percentagem que origina de depósitos a nível regional</t>
  </si>
  <si>
    <t xml:space="preserve"> ... [الباقي الضمني] في المائة التي تنشأ من المتاجر على المستوى الإقليمي</t>
  </si>
  <si>
    <t>…… [默示余数] 来自区域级储存点的百分比</t>
  </si>
  <si>
    <t>Pour la vaccination sur le terrain:</t>
  </si>
  <si>
    <t>Для вакцинации в рамках выездных прививочных сессий:</t>
  </si>
  <si>
    <t>Para vacunación por extensión:</t>
  </si>
  <si>
    <t>Para vacinação por meio de actividades de alcance:</t>
  </si>
  <si>
    <t xml:space="preserve"> للتحصين عن طريق الحملات الخارجية:</t>
  </si>
  <si>
    <t>通过外展活动接种疫苗：</t>
  </si>
  <si>
    <t xml:space="preserve"> … процент из стационарных лечебных учреждений</t>
  </si>
  <si>
    <t>... النسبة المئوية التي تنشأ من المواقع الثابتة</t>
  </si>
  <si>
    <t>…… 来自固定站点的百分比</t>
  </si>
  <si>
    <t xml:space="preserve"> …процент со складов районного уровня </t>
  </si>
  <si>
    <t>... النسبة المئوية التي تنشأ من المتاجر على مستوى الإقليم</t>
  </si>
  <si>
    <t>... [الباقي الضمني] في المائة التي تنشأ من المتاجر على المستوى الإقليمي</t>
  </si>
  <si>
    <t>Logistique et chaîne du froid</t>
  </si>
  <si>
    <t>Логистика и холодовая цепь</t>
  </si>
  <si>
    <t>Logística y Cadena de frío</t>
  </si>
  <si>
    <t>Logística e cadeia de frio</t>
  </si>
  <si>
    <t>اللوجستيات وسلسلة البرودة</t>
  </si>
  <si>
    <t>物流与冷链</t>
  </si>
  <si>
    <t>Une période de temps, en jours, est de</t>
  </si>
  <si>
    <t>Changements interdits</t>
  </si>
  <si>
    <t xml:space="preserve">Один временной период, выраженный в днях, составляет </t>
  </si>
  <si>
    <t>Дней</t>
  </si>
  <si>
    <t>Изменения не допускаются</t>
  </si>
  <si>
    <t>Un periodo de tiempo, en días, es</t>
  </si>
  <si>
    <t>No se permiten cambios</t>
  </si>
  <si>
    <t>Um período de tempo, em dias, é</t>
  </si>
  <si>
    <t>Mudanças não permitidas</t>
  </si>
  <si>
    <t xml:space="preserve"> فترة زمنية واحدة، بالأيام، هي</t>
  </si>
  <si>
    <t>التغييرات غير مسموح بها</t>
  </si>
  <si>
    <t>一个时间段，以天为单位，为</t>
  </si>
  <si>
    <t>不允许更改</t>
  </si>
  <si>
    <t>Combiner expéditions internationales?</t>
  </si>
  <si>
    <t>Blanc signifie NON</t>
  </si>
  <si>
    <t>Si différents vaccins ont les mêmes exigences de température, les emballer et les expédier ensemble</t>
  </si>
  <si>
    <t>Объединенные международные поставки?</t>
  </si>
  <si>
    <t xml:space="preserve">Незаполненное поле означает НЕТ </t>
  </si>
  <si>
    <t xml:space="preserve">Если для разных вакцин требуются одинаковые температурные режимы хранения, эти вакцины упаковываются и отправляются вместе </t>
  </si>
  <si>
    <t>¿Combinar envíos internacionales?</t>
  </si>
  <si>
    <t>Si se deja en blanco, se considera un NO</t>
  </si>
  <si>
    <t>Si hay distintas vacunas con los mismos requisitos en cuanto a temperatura, embalar y enviar juntas</t>
  </si>
  <si>
    <t>Combinar expedições internacionais?</t>
  </si>
  <si>
    <t>Em branco pressupõe-se que NÃO</t>
  </si>
  <si>
    <t>Se vacinas diferentes tiverem as mesmas exigências de temperatura, embale e envie juntas</t>
  </si>
  <si>
    <t>الجمع بين الشحنات الدولية؟</t>
  </si>
  <si>
    <t xml:space="preserve"> يُفترض الفراغ على أنه لا</t>
  </si>
  <si>
    <t>إذا كانت اللقاحات المختلفة لها نفس متطلبات درجة الحرارة، فاحزموا وشحنوا معًا</t>
  </si>
  <si>
    <t>合并国际货运？</t>
  </si>
  <si>
    <t>留空则假定为“否”</t>
  </si>
  <si>
    <t>如果不同的疫苗具有相同的温度要求，则一并包装和运输</t>
  </si>
  <si>
    <t>Stock de sécurité de volume d'emballage secondaire de vaccination</t>
  </si>
  <si>
    <t>Facteur (donc 1,25 = 25% de plus)</t>
  </si>
  <si>
    <t>Source: WHO WHO/IVB/08.01 (2008), p. 24</t>
  </si>
  <si>
    <t>Резервный объем для вакцины во вторичной упаковке</t>
  </si>
  <si>
    <t>Коэффициент для расчета (например 1,25 = 25% дополнительно)</t>
  </si>
  <si>
    <t>Источник: ВОЗ WHO/IVB/08.01 2008 стр. 24</t>
  </si>
  <si>
    <t>Reserva de volumen de envasado secundario de la vacunación</t>
  </si>
  <si>
    <t>Factor (es decir, 1,25 = 25% extra)</t>
  </si>
  <si>
    <t>Fuente: OMS WHO/IVB/08.01 2008 pág 24</t>
  </si>
  <si>
    <t>Reserva de volume de embalagem secundária de vacinação</t>
  </si>
  <si>
    <t>Factor (isto é, 1,25 = 25% extra)</t>
  </si>
  <si>
    <t>Fonte: WHO WHO/IVB/08.01 2008 pág. 24</t>
  </si>
  <si>
    <t xml:space="preserve"> المخزن المؤقت لحجم العبوة الثانوية للتحصين</t>
  </si>
  <si>
    <t>العامل (أي 1.25 = 25٪ إضافي)</t>
  </si>
  <si>
    <t>المصدر: WHO WHO / IVB / 08.01 2008 pg 24</t>
  </si>
  <si>
    <t>疫苗接种二级包装容量缓冲</t>
  </si>
  <si>
    <t>系数（即1.25 = 额外增加25％）</t>
  </si>
  <si>
    <t>资料来源：世卫组织 世卫组织/IVB/08.01 2008 第24页</t>
  </si>
  <si>
    <t>Livraisons internationales par période</t>
  </si>
  <si>
    <t>Nombre entier; la période est d'un semestre</t>
  </si>
  <si>
    <t>Du pays du fabricant au point d'entrée du pays destinataire</t>
  </si>
  <si>
    <t>Количество международных поставок за один период</t>
  </si>
  <si>
    <t xml:space="preserve">Общее количество; Временной период  ̶  полугодие </t>
  </si>
  <si>
    <t>От страны производства до пункта въезда в страну назначения</t>
  </si>
  <si>
    <t>Envíos internacionales por periodo</t>
  </si>
  <si>
    <t>Número entero; El periodo de tiempo suele ser medio año</t>
  </si>
  <si>
    <t>Del país de fabricación al punto de entrada del país receptor</t>
  </si>
  <si>
    <t>Expedições internacionais por período</t>
  </si>
  <si>
    <t>Número inteiro; O período de tempo é um semestre</t>
  </si>
  <si>
    <t>Do país fabricante ao ponto de entrada do país receptor</t>
  </si>
  <si>
    <t>الشحنات الدولية لكل فترة</t>
  </si>
  <si>
    <t>رقم صحيح؛ الفترة الزمنية نصف عام</t>
  </si>
  <si>
    <t>من بلد المصنّع إلى نقطة دخول البلد المستقبِل</t>
  </si>
  <si>
    <t>每个时间段的国际货运量</t>
  </si>
  <si>
    <t>整数；时间段为半年</t>
  </si>
  <si>
    <t>从制造国到接收国的入境点</t>
  </si>
  <si>
    <t>Livraisons de vaccins des sites centraux à régionaux par période</t>
  </si>
  <si>
    <t xml:space="preserve">Количество доставок вакцин с центрального на региональный уровень за один период </t>
  </si>
  <si>
    <t xml:space="preserve">Общее количество; Временной период - полугодие </t>
  </si>
  <si>
    <t>Entregas de vacunación de central a regional por periodo</t>
  </si>
  <si>
    <t>Número entero; El periodo de tiempo es medio año</t>
  </si>
  <si>
    <t>Entregas de vacinas do ponto central para o regional por período</t>
  </si>
  <si>
    <t>تسليم التطعيمات من المركز إلى الإقليمي في كل فترة</t>
  </si>
  <si>
    <t>每个时间段内从中央到区域的疫苗交付量</t>
  </si>
  <si>
    <t>Livraisons de vaccins des sites régionaux à sites de district + établissements de santé par période</t>
  </si>
  <si>
    <t xml:space="preserve">Количество доставок вакцин с регионального на районный уровень + в медучреждения за один период </t>
  </si>
  <si>
    <t>Entregas de vacunación de regional a distrito + establecimientos de salud por periodo</t>
  </si>
  <si>
    <t>Entregas de vacinas do ponto regional para o distrital + unidades de saúde por período</t>
  </si>
  <si>
    <t>تسليم التطعيمات من  الإقليمي إلى المناطقي + المنشآت الصحية لكل فترة</t>
  </si>
  <si>
    <t>每个时间段从区域到地区 + 卫生设施的疫苗交付量</t>
  </si>
  <si>
    <t>Capacité de réserve de stockage au froid</t>
  </si>
  <si>
    <t>Capacité de réserve requise à tous les niveaux du stockage au froid</t>
  </si>
  <si>
    <t xml:space="preserve">Резервная мощность холодильного хранения </t>
  </si>
  <si>
    <t xml:space="preserve">Резервная мощность, требуемая на всех уровнях холодильного хранения </t>
  </si>
  <si>
    <t>Capacidad de reserva de almacenamiento en frío</t>
  </si>
  <si>
    <t>Capacidad de reserva necesaria en todos los niveles de la cadena de frío</t>
  </si>
  <si>
    <t>Capacidade de reserva de armazenamento a frio</t>
  </si>
  <si>
    <t>Capacidade de reserva necessária em todos os níveis de armazenamento frigorífico</t>
  </si>
  <si>
    <t>السعة الاحتياطية للتخزين البارد</t>
  </si>
  <si>
    <t>السعة الاحتياطية المطلوبة في جميع مستويات التخزين البارد</t>
  </si>
  <si>
    <t>冷库储备容量</t>
  </si>
  <si>
    <t>各级冷库所需要的储备容量</t>
  </si>
  <si>
    <t>Stockage à énergie solaire (plutôt qu'électricité de réseau)</t>
  </si>
  <si>
    <t>Proportion du stockage au froid total</t>
  </si>
  <si>
    <t>Ceci est pour le stockage au froid dans les sites fixes et les districts. On a supposé que le stockage au froid central et régional était raccordé au réseau électrique</t>
  </si>
  <si>
    <t>Холодильное оборудование с  прямым приводом от солнечной батареи (в сравнении с оборудованием на электроэнергии от сети)</t>
  </si>
  <si>
    <t>Процент от общего объема холодильного хранения</t>
  </si>
  <si>
    <t>Это касается холодильного хранения в стационарных лечебных учреждениях и в районах… предполагается, что на центральном и региональном уровне оборудование работает от сети</t>
  </si>
  <si>
    <t>Almacenamiento en frío por energía solar directa (no de red eléctrica)</t>
  </si>
  <si>
    <t>Proporción del almacenamiento en frío total</t>
  </si>
  <si>
    <t>Para almacenamiento en frío en ubicaciones fijas y distritos. Se supone que el almacenamiento en frío central y regional será por red eléctrica.</t>
  </si>
  <si>
    <t>Armazenamento em frigoríficos solares Direct-Drive (versus electricidade da rede)</t>
  </si>
  <si>
    <t>Proporção do armazenamento frigorífico total</t>
  </si>
  <si>
    <t>Isto é para o armazenamento frigorífico em locais fixos e distritos. Armazenamento frigorífico central e regional pressupõe ser alimentação da rede</t>
  </si>
  <si>
    <t xml:space="preserve"> التخزين البارد للطاقة الشمسية المباشرة (مقابل الكهرباء على الشبكة)</t>
  </si>
  <si>
    <t>نسبة التخزين البارد الكلي</t>
  </si>
  <si>
    <t>هذا مخصص للتخزين البارد في المواقع والمقاطعات الثابتة .. يُفترض أن يكون التخزين المبرد المركزي والإقليمي على الشبكة</t>
  </si>
  <si>
    <t>太阳能直驱式冷库（与并网相比）</t>
  </si>
  <si>
    <t>总冷库比例</t>
  </si>
  <si>
    <t>这指的是固定站点和地区的冷库。假定中央和区域冷库并网</t>
  </si>
  <si>
    <t>Utiliser des glacières à longue portée (4 jours de froid) sur le terrain?</t>
  </si>
  <si>
    <t>Par défaut: longue portée. "Non" = courte portée (2 jours); source: https://www.unicef.org/supply/media/6391/file/VaccineCarrierColdBox-guideline-2021.pdf</t>
  </si>
  <si>
    <t xml:space="preserve">Используете ли термоконтейнеры длительного хранения (например, поддерживающие холодную температуру в течение 4-х дней) для выездных мероприятий? </t>
  </si>
  <si>
    <t>Длительное хранение установлено по умолчанию. Укажите "Нет", если используете термоконтейнеры только для перевозки на короткие расстояния (2 дня); Источник: https://www.unicef.org/supply/media/4411/file/E004-cold-boxes-vaccine-carriers%20-procurement-guidelines.pdf</t>
  </si>
  <si>
    <t>¿Utilizar cajas frías de larga duración (4 días de frío) para extensión?</t>
  </si>
  <si>
    <t>Larga duración por defecto. "No" = corta duración (2 días); Fuente: https://www.unicef.org/supply/media/4411/file/E004-cold-boxes-vaccine-carriers%20-procurement-guidelines.pdf</t>
  </si>
  <si>
    <t>Usar caixas frigoríficas de longo prazo (4 dias frio) para as actividades de alcance?</t>
  </si>
  <si>
    <t>O padrão é de longo prazo. "Não" = curto prazo (2 dias); Fonte: https://www.unicef.org/supply/media/6391/file/VaccineCarrierColdBox-guideline-2021.pdf</t>
  </si>
  <si>
    <t>استخدم الصناديق الباردة طويلة المدى (4 أيام مثل الباردة) للتوعية؟</t>
  </si>
  <si>
    <t>الافتراضي طويل المدى. "لا" = المدى القصير (يومان) ؛</t>
  </si>
  <si>
    <t>外展接种中使用远程（比如保冷4天）冷藏箱吗？</t>
  </si>
  <si>
    <t>默认值为远程。“否” = 短程（2天）；资料来源： https://www.unicef.org/supply/media/4411/file/E004-cold-boxes-vaccine-carriers%20-procurement-guidelines.pdf</t>
  </si>
  <si>
    <t>A2.4 Sélection de vaccins, pertes et recours escompté à la vaccination</t>
  </si>
  <si>
    <t xml:space="preserve">A2.4 Выбор вакцин, потери вакцин и прогнозируемый уровень использования вакцин </t>
  </si>
  <si>
    <t>A2.4 Selección de vacunas, Desperdicio, Adopción esperada</t>
  </si>
  <si>
    <t>A2.4 Selecção de Vacinas, Desperdício e Expectativa de Aceitação</t>
  </si>
  <si>
    <t xml:space="preserve"> A2.4 اختيار اللقاح والهدر والتلقي المتوقع</t>
  </si>
  <si>
    <t>A2.4 疫苗选择、浪费和预期利用率</t>
  </si>
  <si>
    <t>Sélection de vaccins pour modalités d'administration</t>
  </si>
  <si>
    <t xml:space="preserve">Выбор вакцины в зависимости от стратегии организации прививок </t>
  </si>
  <si>
    <t>Selección de vacunas para modalidades de administración</t>
  </si>
  <si>
    <t>Selecção de vacinas para modalidades de administração</t>
  </si>
  <si>
    <t>اختيار اللقاح لطرق التسليم</t>
  </si>
  <si>
    <t>针对交付模式的疫苗选择</t>
  </si>
  <si>
    <t>Instructions: Sélectionner le type de vaccin qui sera utilisé pour l'évaluation des coûts. On peut sélectionner des types de vaccins différents pour chaque modalité de livraison. On peut aussi utiliser le même vaccin pour une ou plusieurs ou toutes les modalités de livraison</t>
  </si>
  <si>
    <t>Инструкции: Выберите тип вакцины, которая будет использована для расчета затрат. Вы можете выбрать разный тип вакцины для каждой стратегии организации прививок отдельно. Вы также можете использовать одну и ту же вакцину для одной или нескольких стратегий организации прививок.</t>
  </si>
  <si>
    <t>Количество доз на один курс вакцинации</t>
  </si>
  <si>
    <t>Instrucciones: Seleccionar el tipo de vacuna a utilizar para la estimación de costes. Se pueden seleccionar tipos de vacuna distintos para cada modalidad de administración. O se puede utilizar la misma vacuna para una, más de una o todas las modalidades de administración.</t>
  </si>
  <si>
    <t>Instruções: Seleccione o tipo de vacina a ser usada para o cálculo dos custos. Pode seleccionar tipos de vacinas diferentes para cada modalidade de administração. Pode também usar a mesma vacina para uma ou mais modalidades de administração ou para todas as modalidades.</t>
  </si>
  <si>
    <t xml:space="preserve"> التعليمات: الرجاء تحديد نوع اللقاح الذي سيتم استخدامه لحساب التكلفة. يمكنك اختيار أنواع لقاح منفصلة لكل طريقة تسليم. يمكنك أيضًا استخدام نفس اللقاح لواحد أو أكثر من طرق التسليم أو جميعها.</t>
  </si>
  <si>
    <t>说明：请选择将使用的疫苗类型以进行成本核算。可针对不同的交付模式选择不同的疫苗类型。也可以将同一种疫苗用于一种、多种或所有交付模式。</t>
  </si>
  <si>
    <t>每疗程的剂次</t>
  </si>
  <si>
    <t>Modalité de livraison 1: Sites fixes avec stockage au froid</t>
  </si>
  <si>
    <t xml:space="preserve">Стратегия организации прививок  1: На базе стационарных лечебных учреждений, в которых обеспечено холодильное хранение </t>
  </si>
  <si>
    <t>Modalidad de administracíon 1: Ubicaciones fijas con almacenamiento en frío</t>
  </si>
  <si>
    <t>Modalidade de administração 1: Locais fixos com armazenamento frigorífico</t>
  </si>
  <si>
    <t>طريقة التسليم 1: المواقع الثابتة ذات التخزين البارد</t>
  </si>
  <si>
    <t>交付模式1：拥有冷库的固定站点</t>
  </si>
  <si>
    <t>Modalité de livraison 2: Campagnes dans des sites fixes sans stockage au froid</t>
  </si>
  <si>
    <t xml:space="preserve">Стратегия организации прививок 2: Прививочные кампании на базе стационарных лечебных учреждений, в которых не обеспеченно холодильное хранение </t>
  </si>
  <si>
    <t>Modalidad de administracíon 2: Campañas en ubicaciones fijas sin almacenamiento en frío</t>
  </si>
  <si>
    <t>Modalidade de administração 2: Campanhas em locais fixos sem armazenamento frigorífico</t>
  </si>
  <si>
    <t>طريقة التسليم 2: الحملات في مواقع ثابتة بدون تخزين بارد</t>
  </si>
  <si>
    <t>交付模式2：在没有冷库的固定站点开展计划接种活动</t>
  </si>
  <si>
    <t>Modalité de livraison 3: Institutions d'hébergement</t>
  </si>
  <si>
    <t>Стратегия организации прививок  3: На базе учреждений интернатного типа</t>
  </si>
  <si>
    <t>Modalidad de administracíon 3: Instituciones residenciales</t>
  </si>
  <si>
    <t>Modalidade de administração 3: Instituições residenciais</t>
  </si>
  <si>
    <t>طريقة التسليم 3: المؤسسات السكنية</t>
  </si>
  <si>
    <t>交付模式3： 居住式机构</t>
  </si>
  <si>
    <t>Modalité d'administration 4: Sites mobiles et de terrain</t>
  </si>
  <si>
    <t xml:space="preserve">Стратегия организации прививок  4: Выездные прививочные сессии и мобильные прививочные пункты </t>
  </si>
  <si>
    <t>Modalidad de administracíon 4: Extensión y ubicaciones móviles</t>
  </si>
  <si>
    <t>Modalidade de administração 4: Actividades de alcance e locais móveis</t>
  </si>
  <si>
    <t>طريقة التسليم 4: الحملات الخارجية ومواقع الجوال</t>
  </si>
  <si>
    <t>交付模式4：外展和移动站点</t>
  </si>
  <si>
    <t>Cliquer ici pour changer les spécifications des vaccins</t>
  </si>
  <si>
    <t>Нажмите здесь, чтобы изменить спецификации вакцины</t>
  </si>
  <si>
    <t>Pulsar aquí para cambias las especificaciones de la vacuna</t>
  </si>
  <si>
    <t>Clique aqui para mudar as especificações da vacina</t>
  </si>
  <si>
    <t>انقر هنا لتغيير مواصفات اللقاح</t>
  </si>
  <si>
    <t>点击此处更改疫苗规格</t>
  </si>
  <si>
    <t>Prix final des vaccins (À TITRE INDICATIF UNIQUEMENT, fondé sur les prix indicatifs dans la base de donnée éditable par les utilisateurs)</t>
  </si>
  <si>
    <t>USD par DOSE (non par série)</t>
  </si>
  <si>
    <t>Финальная цена вакцины (ДЛЯ ОРИЕНТАЦИИ, на основании ориентировочных цен на вакцины, указанных в базе данных по вакцинам, где пользователь может вносить изменения)</t>
  </si>
  <si>
    <t>В долларах США за одну ДОЗУ вакцины (не за весь курс вакцинации)</t>
  </si>
  <si>
    <t>Precio final de la vacuna (INDICATIVO ÚNICAMENTE, basado en los precios indicativos de la base de datos de vacunas editable por el usuario)</t>
  </si>
  <si>
    <t>USD por DOSIS (no por curso)</t>
  </si>
  <si>
    <t>Preço final da vacina (APENAS INDICATIVO, com base em preços indicativos na base de dados de vacinas editável pelo utilizador)</t>
  </si>
  <si>
    <t>USD por DOSE (não por ciclo)</t>
  </si>
  <si>
    <t>سعر اللقاح النهائي (للإشارة فقط، استنادًا إلى الأسعار الإرشادية في قاعدة بيانات اللقاح القابلة للتحرير بواسطة المستخدم)</t>
  </si>
  <si>
    <t xml:space="preserve"> دولار أمريكي لكل جرعة (ليس لكل دورة)</t>
  </si>
  <si>
    <t>最终疫苗价格（仅为指示性价格，基于用户可编辑疫苗数据库中的指示性价格）</t>
  </si>
  <si>
    <t>每剂次美元成本（并非每个疗程）</t>
  </si>
  <si>
    <t>Y compris prépaiements et partage des coûts</t>
  </si>
  <si>
    <t>Включая предоплату и долевое участие в затратах</t>
  </si>
  <si>
    <t>Incluyendo pagos anticipados y participación de costes</t>
  </si>
  <si>
    <t>Incluindo pré-pagamentos e partilha de custos</t>
  </si>
  <si>
    <t>بما في ذلك المدفوعات المسبقة وتقاسم التكاليف</t>
  </si>
  <si>
    <t>包括预付款和成本分摊</t>
  </si>
  <si>
    <t>Pertes de vaccins (pour estimation de la demande)</t>
  </si>
  <si>
    <t>NB: Les allocations de stocks de vaccins de COVAX ne tiennent pas compte des pertes</t>
  </si>
  <si>
    <t xml:space="preserve">Потери вакцин (для расчета потребности) </t>
  </si>
  <si>
    <t xml:space="preserve">Примечание: Объемы вакцин, выделяемые в страны через механизм COVAX не учитывают потери вакцин </t>
  </si>
  <si>
    <t>Desperdicio de vacunas (para estimaciones de la demanda)</t>
  </si>
  <si>
    <t>Nota: Las asignaciones de suministro de Covax no calculan desperdicio de vacunas</t>
  </si>
  <si>
    <t>Desperdício de vacinas (para estimativas de procura)</t>
  </si>
  <si>
    <t>Nota: As alocações de fornecimento da Covax não calculam desperdícios de vacinas</t>
  </si>
  <si>
    <t>إهدار اللقاح (لتقديرات الطلب)</t>
  </si>
  <si>
    <t>ملاحظة: مخصصات إمداد كوفاكس لا تحسب في هدر اللقاح</t>
  </si>
  <si>
    <t>疫苗浪费（用于需求估算）</t>
  </si>
  <si>
    <t>注释：COVAX机制供应分配不计算疫苗浪费</t>
  </si>
  <si>
    <t>Taux par défaut de perte de vaccins</t>
  </si>
  <si>
    <t>Уровень потерь вакцины по умолчанию</t>
  </si>
  <si>
    <t>Tasa de desperdicio de vacuna por defecto</t>
  </si>
  <si>
    <t>Taxa padrão de desperdício de vacinas</t>
  </si>
  <si>
    <t>معدل إهدار اللقاح الافتراضي</t>
  </si>
  <si>
    <t>默认疫苗浪费率</t>
  </si>
  <si>
    <t>Facteur de multiplication de perte par défaut (WMF)</t>
  </si>
  <si>
    <t>Source de la formule: WHO WHO/IVB/08.01 (2008)</t>
  </si>
  <si>
    <t>Множитель для расчета потерь вакцины по умолчанию (WMF)</t>
  </si>
  <si>
    <t>Источник формулы  - публикация ВОЗ WHO/IVB/08.01 2008</t>
  </si>
  <si>
    <t>Factor de multiplicación del desperdicio (FMD) por defecto [es] Default Wastage Multiplication Factor (WMF)</t>
  </si>
  <si>
    <t>Fuente de la fórmula - OMS WHO/IVB/08.01 2008</t>
  </si>
  <si>
    <t>Factor de multiplicação de desperdício padrão (FMD)</t>
  </si>
  <si>
    <t>Fonte para a fórmula – WHO WHO/IVB/08.01 2008</t>
  </si>
  <si>
    <t xml:space="preserve"> عامل مضاعفة الهدر الافتراضي (WMF)</t>
  </si>
  <si>
    <t xml:space="preserve"> مصدر الصيغة - WHO / IVB / 08.01 2008</t>
  </si>
  <si>
    <t>默认损耗倍增系数（WMF）</t>
  </si>
  <si>
    <t>公式的来源——世卫组织 世卫组织/IVB/08.01 2008</t>
  </si>
  <si>
    <t>Taux de perte de vaccins: pour modalité d'administration:</t>
  </si>
  <si>
    <t>Si l'on désire outrepasser les paramètres par défaut; sinon laisser en blanc</t>
  </si>
  <si>
    <t>FMI</t>
  </si>
  <si>
    <t xml:space="preserve">Уровень потерь вакцины  в зависимости от стратегии организации прививок </t>
  </si>
  <si>
    <t>Если желаете вносить корректировки в значения по умолчанию  ̶  не заполняйте эту ячейку</t>
  </si>
  <si>
    <t>Множитель для расчета потерь вакцины (МПВ)</t>
  </si>
  <si>
    <t>Tasa de desperdicio de la vacuna - para la Modalidad de administración:</t>
  </si>
  <si>
    <t>Para anular el valor por defecto, dejar en blanco</t>
  </si>
  <si>
    <t>FMD</t>
  </si>
  <si>
    <t>Taxa de Desperdício de Vacinas – para a modalidade de administração:</t>
  </si>
  <si>
    <t>Se desejar substituir o padrão, caso contrário deixe em branco</t>
  </si>
  <si>
    <t>معدل إهدار اللقاح - لطريقة التسليم:</t>
  </si>
  <si>
    <t>ذا كنت ترغب في تجاوز الافتراضي، وإلا اتركه فارغًا</t>
  </si>
  <si>
    <t>疫苗浪费率——针对交付模式：</t>
  </si>
  <si>
    <t>如果希望覆写默认值，否则留空</t>
  </si>
  <si>
    <t>Cette section permet à l'utilisateur d'entrer des taux de perte de vaccins spécifiques au mode d'administration SI DÉSIRÉ; sinon laisser en blanc</t>
  </si>
  <si>
    <t xml:space="preserve">В этом разделе пользователь может, ПО ЖЕЛАНИЮ, указать уровни потерь для вакцины, применяемой в рамках конкретной стратегии организации прививок. Если нет, не заполняйте данную ячейку. </t>
  </si>
  <si>
    <t>Esta sección permite al usuario indicar una tasa de desperdicio de vacunas específica por modalidad de administración SI SE QUIERE; en caso contrario, dejar en blanco</t>
  </si>
  <si>
    <t>Esta secção permite ao utilizador inserir taxas de desperdício de vacina específicas da modalidade de administração SE DESEJAR, caso contrário deixe em branco</t>
  </si>
  <si>
    <t>يسمح هذا القسم للمستخدم بإدخال معدلات نفايات لقاح محددة بطريقة التسليم إذا رغب في ذلك، اتركه فارغًا بخلاف ذلك</t>
  </si>
  <si>
    <t>此部分允许用户在需要时输入针对特定交付模式的疫苗浪费率，否则留空</t>
  </si>
  <si>
    <t xml:space="preserve"> يسمح هذا القسم للمستخدم بإدخال معدلات نفايات لقاح محددة بطريقة التسليم إذا رغب في ذلك، اتركه فارغًا بخلاف ذلك</t>
  </si>
  <si>
    <t>Acceptation prévue du vaccin par mode d'administration et catégorie cible (critères d'éligibilité professionnels ou volontaires)</t>
  </si>
  <si>
    <t xml:space="preserve">Ожидаемый охват вакцинацией, в зависимости от стратегии организации прививок и целевой группы (вакцинация на основании критериев соответствия требованиям в связи с профессиональной деятельностью и добровольная вакцинация) </t>
  </si>
  <si>
    <t>Adopción esperada, por modalidad de administración y grupo objetivo (criterio de elegibilidad según lugar de trabajo frente a adopción voluntaria)</t>
  </si>
  <si>
    <t>Aceitação prevista das vacinas por modalidade de administração e grupo-alvo (critérios de elegibilidade baseados no trabalho versus voluntários)</t>
  </si>
  <si>
    <t>القبول المتوقع للقاح من خلال طريقة التسليم والمجموعة المستهدفة (معايير الأهلية القائمة على العمل مقابل الطوعية)</t>
  </si>
  <si>
    <t>每种交付模式和目标人群对疫苗的预期接受程度（对比基于工种的资格标准与自愿性的标准）</t>
  </si>
  <si>
    <t>Au travail | Modalité d'administration 1</t>
  </si>
  <si>
    <t>Pourcentage des personnes à qui la vaccination contre la COVID-19 a été proposée</t>
  </si>
  <si>
    <t>В связи с профессиональной деятельностью | Стратегия организации прививок  1</t>
  </si>
  <si>
    <t>Процент лиц, которым предлагается вакцинация против COVID-19</t>
  </si>
  <si>
    <t>En base al lugar de trabajo | Modalidad de administración 1</t>
  </si>
  <si>
    <t>Porcentaje de personas a las que se ofrece vacunación de la COVID-19</t>
  </si>
  <si>
    <t>Baseado no trabalho | Modalidade de administração 1</t>
  </si>
  <si>
    <t>Percentagem daqueles a quem se ofereceu a vacina contra a COVID-19</t>
  </si>
  <si>
    <t xml:space="preserve"> القائم على العمل | طريقة التسليم 1</t>
  </si>
  <si>
    <t>النسبة المئوية لأولئك الذين تم تقديم  لقاح كوفيد-19 لهم</t>
  </si>
  <si>
    <t>基于工种 | 交付模式1</t>
  </si>
  <si>
    <t>提供COVID-19疫苗接种的百分比</t>
  </si>
  <si>
    <t>Volontaire | Modalité d'administration 1</t>
  </si>
  <si>
    <t>Добровольно  | Стратегия организации прививок 1</t>
  </si>
  <si>
    <t>Voluntaria | Modalidad de administración 1</t>
  </si>
  <si>
    <t>Voluntário | Modalidade de administração 1</t>
  </si>
  <si>
    <t xml:space="preserve"> طوعي | طريقة التسليم 1</t>
  </si>
  <si>
    <t>自愿性 | 交付模式1</t>
  </si>
  <si>
    <t>Au travail | Modalité d'administration 2</t>
  </si>
  <si>
    <t>В связи с профессиональной деятельностью | Стратегия организации прививок 2</t>
  </si>
  <si>
    <t>En base al lugar de trabajo | Modalidad de administración 2</t>
  </si>
  <si>
    <t>Baseado no trabalho | Modalidade de administração 2</t>
  </si>
  <si>
    <t>القائم على العمل | طريقة التسليم 2</t>
  </si>
  <si>
    <t>基于工种 | 交付模式2</t>
  </si>
  <si>
    <t>Volontaire | Modalité d'administration 2</t>
  </si>
  <si>
    <t>Добровольно  | Стратегия организации прививок 2</t>
  </si>
  <si>
    <t>Voluntaria | Modalidad de administración 2</t>
  </si>
  <si>
    <t>Voluntário | Modalidade de administração 2</t>
  </si>
  <si>
    <t>طوعي | طريقة التسليم 2</t>
  </si>
  <si>
    <t>自愿性 | 交付模式2</t>
  </si>
  <si>
    <t>Modalité d'administration 3</t>
  </si>
  <si>
    <t>Стратегия организации прививок  3</t>
  </si>
  <si>
    <t>Modalidad de administración 3</t>
  </si>
  <si>
    <t>Modalidade de administração 3:</t>
  </si>
  <si>
    <t>طريقة التسليم 3</t>
  </si>
  <si>
    <t>交付模式3</t>
  </si>
  <si>
    <t>Modalité d'administration 4</t>
  </si>
  <si>
    <t>Стратегия организации прививок  4</t>
  </si>
  <si>
    <t>Modalidad de administración 4</t>
  </si>
  <si>
    <t>Modalidade de administração 4:</t>
  </si>
  <si>
    <t>طريقة التسليم 4</t>
  </si>
  <si>
    <t>交付模式4</t>
  </si>
  <si>
    <t>A2.5 Financement fondé sur les résultats (results-based financing ou RBF)</t>
  </si>
  <si>
    <t>A2.5 Бюджетирование, ориентированное на результаты (БОР)</t>
  </si>
  <si>
    <t>A2.5 Financiación en base a resultados (RBF)</t>
  </si>
  <si>
    <t>A2.5 Financiamento baseado em resultados (FBR)</t>
  </si>
  <si>
    <t>A2.5 التمويل المستند إلى النتائج (RBF)</t>
  </si>
  <si>
    <t>A2.5 基于成果的融资（RBF）</t>
  </si>
  <si>
    <t>Utiliser le RBF pour la livraison au dernier kilomètre?</t>
  </si>
  <si>
    <t>Le financement fondé sur les résultats devrait couvrir la livraison au dernier kilomètre, y compris RHS, génération de la demande, EPI, transport local, gestion des données, suivi, pharmacovigilance et sécurité. Les doses de vaccin, la chaîne du froid et les fournitures associées aux vaccins sont couvertes séparément</t>
  </si>
  <si>
    <t xml:space="preserve">Вы желаете использовать механизм бюджетирования, ориентированного на результат (БОР), для доставки вакцины на этапе "последней мили"? </t>
  </si>
  <si>
    <t>Бюджетирование, ориентированное на результат (БОР), должно охватывать расходы на доставку до конечного потребителя, в том числе КРЗ, формирование спроса, СИЗ, местный транспорт, управление данными, мониторинг и фармаконадзор и безопасность. Дозы вакцин, холодовая цепь и расходные материалы для иммунизации предоставляются отдельно.</t>
  </si>
  <si>
    <t>¿Se quiere utilizar financiación en base  resultados (RBF) para la entrega de última milla?</t>
  </si>
  <si>
    <t>La financiación en base a resultados debe abarcar la distribución de última milla, incluyendo RHS, generación de demanda, EPP, transporte local, gestión de datos, seguimiento y farmacovigilancia, y seguridad. Las dosis de vacuna, la cadena de frío y los suministros auxiliares para las vacunas van aparte.</t>
  </si>
  <si>
    <t>Deseja usar financiamento baseado em resultados (FBR) para entrega "até ao último km"?</t>
  </si>
  <si>
    <t>O financiamento baseado em resultados deve cobrir a entrega "até ao último km", incluindo RHS, geração de procura, EPI, transporte local, gestão de dados, monitorização, farmacovigilância e segurança. Doses de vacina, cadeia de frio e suprimentos relacionados com a vacina fornecidos separadamente.</t>
  </si>
  <si>
    <t xml:space="preserve"> هل ترغب في استخدام التمويل المستند إلى النتائج (RBF) لتسليم الميل الأخير؟</t>
  </si>
  <si>
    <t xml:space="preserve"> يجب أن يغطي التمويل المستند إلى النتائج تسليم الميل الأخير بما في ذلك. الموارد البشرية، وتوليد الطلب، ومعدات الحماية الشخصية، والنقل المحلي ، وإدارة البيانات، والمراقبة، واليقظة الدوائية، والأمن. يتم توفير جرعات اللقاح وسلسلة البرودة والإمدادات المتعلقة باللقاح بشكل منفصل.</t>
  </si>
  <si>
    <t>是否希望在最后一公里交付中使用基于成果的融资（RBF）？</t>
  </si>
  <si>
    <t>基于成果的融资应涵盖最后一公里交付，包括HRH、需求生成、PPE、本地运输、数据管理、监控、以及药物警戒性和安全性。将另行安排提供疫苗剂数、冷链和疫苗相关用品。</t>
  </si>
  <si>
    <t>NB: Certaines cellules seront grisées si elles ne sont pas applicables (donc si l'on a opté pour le financement fondé sur les apports)</t>
  </si>
  <si>
    <t>Si l'on a choisi RBF, il FAUT répondre ci-dessous</t>
  </si>
  <si>
    <t>Примечание: Некоторые ячейки ниже залиты серым цветом в том случае, если они не применимы (например, если выбран тип бюджетирования, ориентированный на ВХОДНЫЕ ДАННЫЕ)</t>
  </si>
  <si>
    <t>Если Вы выбрали БОР, ОБЯЗАТЕЛЬНО заполните ячейки ниже</t>
  </si>
  <si>
    <t>Nota: Algunas de las celdas siguientes aparecerán en gris si no son aplicables (por ejemplo, si se ha seleccionado financiación en base a insumos)</t>
  </si>
  <si>
    <t>Si se ha seleccionadado RBF, DEBERÁ cumplimentar las celdas siguientes</t>
  </si>
  <si>
    <t>Nota: Algumas células abaixo ficarão cinzentas se não forem aplicáveis (isto é, se seleccionado financiamento baseado em insumos)</t>
  </si>
  <si>
    <t>Se FBR foi seleccionado, DEVE completar as células abaixo</t>
  </si>
  <si>
    <t xml:space="preserve"> إذا تم تحديد RBF، فيجب إكمالها أدناه</t>
  </si>
  <si>
    <t>注释：如果不适用，下面的某些单元格将显示为灰色（即如果选择了基于投入的融资）</t>
  </si>
  <si>
    <t>如果选择了RBF，则必须填写以下内容</t>
  </si>
  <si>
    <t>Monnaie locale (LCU)</t>
  </si>
  <si>
    <t>UDL</t>
  </si>
  <si>
    <t>أسعار الوحدات (دورات التطعيم المكتملة)</t>
  </si>
  <si>
    <t>وحدة العملة المحلية (LCU)</t>
  </si>
  <si>
    <t>طوعي | طريقة التسليم 1</t>
  </si>
  <si>
    <t>Si on a opté pour RBF, s'en servir pour ces modalités d'administration?</t>
  </si>
  <si>
    <t>NB: 1 = financement fondé sur les apports, 0 = financement fondé sur les résultats</t>
  </si>
  <si>
    <t>Если Вы выбрали механизм БОР, уточните, в рамках каких стратегий организации прививок будет использоваться этот тип бюджетирования?</t>
  </si>
  <si>
    <t>Примечание: 1 = БОВ, 0 = БОР</t>
  </si>
  <si>
    <t>Si se ha seleccionadado RBF, ¿utilizar RBF para estas modalidades de administración?</t>
  </si>
  <si>
    <t>Nota: 1 = IBF, 0 = RBF</t>
  </si>
  <si>
    <t>Se FBR foi seleccionado, usar FBR para estas modalidades de administração?</t>
  </si>
  <si>
    <t>Nota: 1 = FBI, 0 = FBR</t>
  </si>
  <si>
    <t xml:space="preserve"> إذا تم اختيار RBF، استخدم RBF لطرائق التسليم هذه؟</t>
  </si>
  <si>
    <t xml:space="preserve"> ملاحظة: 1 = IBF ، 0 = RBF</t>
  </si>
  <si>
    <t>如果选择了RBF，是否将RBF用于这些交付模式？</t>
  </si>
  <si>
    <t>注释：1 = IBF，0 = RBF</t>
  </si>
  <si>
    <t>Modalité d'administration 1</t>
  </si>
  <si>
    <t>Стратегия организации прививок  1</t>
  </si>
  <si>
    <t xml:space="preserve"> Modalidad de administración 1</t>
  </si>
  <si>
    <t>Modalidade de administração 1</t>
  </si>
  <si>
    <t>طريقة التسليم 1</t>
  </si>
  <si>
    <t>交付模式1</t>
  </si>
  <si>
    <t>Modalité d'administration 2</t>
  </si>
  <si>
    <t>Стратегия организации прививок  2</t>
  </si>
  <si>
    <t xml:space="preserve"> Modalidad de administración 2</t>
  </si>
  <si>
    <t>Modalidade de administração 2</t>
  </si>
  <si>
    <t>طريقة التسليم 2</t>
  </si>
  <si>
    <t>交付模式2</t>
  </si>
  <si>
    <t xml:space="preserve"> Modalidad de administración 3</t>
  </si>
  <si>
    <t>Modalidade de administração 3</t>
  </si>
  <si>
    <t xml:space="preserve"> Modalidad de administración 4</t>
  </si>
  <si>
    <t>Modalidade de administração 4</t>
  </si>
  <si>
    <t>A2.6 Allocation de vaccins</t>
  </si>
  <si>
    <t xml:space="preserve"> A2.6 Снабжение вакцинами</t>
  </si>
  <si>
    <t>A2.6 Suministro de vacunas</t>
  </si>
  <si>
    <t>Unidad / comentario</t>
  </si>
  <si>
    <t>A2.6 Abastecimento de vacinas</t>
  </si>
  <si>
    <t>تجهيز اللقاح A2.6</t>
  </si>
  <si>
    <t>A2.6 疫苗供应量</t>
  </si>
  <si>
    <t>A2.6.1 Approvisionnement en vaccins contre la COVID-19 pour 2021 uniquement</t>
  </si>
  <si>
    <t>A2.6.1 Снабжение вакцинами через механизм COVAX только на 2021 год</t>
  </si>
  <si>
    <t>A2.6.1 Suministro de vacunas Covax para 2021 únicamente</t>
  </si>
  <si>
    <t>A2.6.1 Abastecimento de vacinas da plataforma Covax apenas para 2021</t>
  </si>
  <si>
    <t xml:space="preserve"> A2.6.1 تجهيزات لقاح كوفاكس  لعام 2021 فقط</t>
  </si>
  <si>
    <t>A2.6.1 仅限于2021年的COVAX机制疫苗供应量</t>
  </si>
  <si>
    <t>Statut de participation à COVAX</t>
  </si>
  <si>
    <t xml:space="preserve">Статус участника COVAX </t>
  </si>
  <si>
    <t>Condición de participación en COVAX</t>
  </si>
  <si>
    <t>Estado da Participação na Plataforma COVAX</t>
  </si>
  <si>
    <t>حالة المشاركة كوفاكس</t>
  </si>
  <si>
    <t>COVAX机制参与状态</t>
  </si>
  <si>
    <t>Statut Gavi 56</t>
  </si>
  <si>
    <t>Статус ГАВИ-56</t>
  </si>
  <si>
    <t>1 =Да</t>
  </si>
  <si>
    <t>Condición GAVI 56</t>
  </si>
  <si>
    <t>Estado da GAVI 56</t>
  </si>
  <si>
    <t>GAVI 56 الحالة</t>
  </si>
  <si>
    <t xml:space="preserve"> 1 = نعم</t>
  </si>
  <si>
    <t>GAVI 56状态</t>
  </si>
  <si>
    <t>Pays AMC (à garantie de marché)?</t>
  </si>
  <si>
    <t>Страна участвует в программе предварительных обязательств по закупкам (ПОЗ)?</t>
  </si>
  <si>
    <t>¿País del Compromiso Anticipado de Mercado (CAM)?</t>
  </si>
  <si>
    <t>País do Compromisso Antecipado de Mercado (AMC)?</t>
  </si>
  <si>
    <t>بلد الالتزام المتقدم للسوق (AMC)؟</t>
  </si>
  <si>
    <t>预先市场承诺（AMC）国家？</t>
  </si>
  <si>
    <t>Si pas AMC, accord d'achat garanti ou optionnel?</t>
  </si>
  <si>
    <t>Options: Engagé | Optionnel | Non-participant. Ignoré si AMC</t>
  </si>
  <si>
    <t>Если страна не участвует в ПОЗ, то использует ли механизм закупки через подтвержденные обязательства | закупка через опцион (CPA/OPA)?</t>
  </si>
  <si>
    <t xml:space="preserve">Варианты: Закупка через подтвержденные обязательства | Закупка через опцион | Страна не участвует в закупке; Пропустите, если страна - участник ПОЗ </t>
  </si>
  <si>
    <t>Si no es CAM, ¿Acuerdo de compra comprometido u opcional?</t>
  </si>
  <si>
    <t>Opciones: Comprometido | Opcional | No participante; Hacer casi omiso si es CAM</t>
  </si>
  <si>
    <t>Se não for do AMC, tem Compromisso ou Contrato de Compra Opcional?</t>
  </si>
  <si>
    <t>Opções: Compromisso | Opcional | Não-participante; Ignore se do AMC</t>
  </si>
  <si>
    <t xml:space="preserve"> إذا لم يكن AMC، أو اتفاقية شراء ملتزمة أو اختيارية؟</t>
  </si>
  <si>
    <t xml:space="preserve"> الخيارات: ملتزم | اختياري | غير مشارك تم تجاهله إذا AMC</t>
  </si>
  <si>
    <t>如果不是AMC，是否有承诺或可选购权协议？</t>
  </si>
  <si>
    <t>选项：承诺| 可选| 非参与者；如果为AMC，可忽略</t>
  </si>
  <si>
    <t>Approvisionnement COVAX disponible</t>
  </si>
  <si>
    <t>Доступное снабжение через COVAX</t>
  </si>
  <si>
    <t>Suministro Covax disponible</t>
  </si>
  <si>
    <t>Fornecimento disponível da plataforma Covax</t>
  </si>
  <si>
    <t>عرض كوفاكس المتاح</t>
  </si>
  <si>
    <t>可用的COVAX机制供应量</t>
  </si>
  <si>
    <t>Doses de vaccins demandées pour 2021 (AMC et autofinancées)</t>
  </si>
  <si>
    <t>Pourcentage de la population totale en 2020</t>
  </si>
  <si>
    <t>Options: Autofinancement: 10-50%; AMC: 3-20%</t>
  </si>
  <si>
    <t>Количество доз вакцины, запрошенных на 2021 (через ПОЗ и на условиях самофинансирования)</t>
  </si>
  <si>
    <t>Процент от общей популяции в 2020</t>
  </si>
  <si>
    <t>Варианты: Самофинансирование: 10 - 50%; ПОЗ 3 - 20%</t>
  </si>
  <si>
    <t>Dosis de vacuna solicitadas para 2021 (CAM y autoabastecimiento)</t>
  </si>
  <si>
    <t>Porcentaje de la población total en 2020</t>
  </si>
  <si>
    <t>Opciones: Autoabastecimiento: 10 a 50%; CAM 3 a 20%</t>
  </si>
  <si>
    <t>Doses de vacina solicitadas para 2021 (AMC e autofinanciamento)</t>
  </si>
  <si>
    <t>Percentagem da população total em 2020</t>
  </si>
  <si>
    <t>Opções: Autofinanciamento: 10 – 50%; AMC 3 – 20%</t>
  </si>
  <si>
    <t>جرعات اللقاح المطلوبة لعام 2021 (AMC والتمويل الذاتي)</t>
  </si>
  <si>
    <t xml:space="preserve"> النسبة المئوية لإجمالي السكان في عام 2020</t>
  </si>
  <si>
    <t xml:space="preserve"> الخيارات: التمويل الذاتي: 10-50٪ ؛ AMC 3 - 20٪</t>
  </si>
  <si>
    <t>针对2021年所请求的疫苗剂数（AMC和自筹资金）</t>
  </si>
  <si>
    <t>占2020年总人口的百分比</t>
  </si>
  <si>
    <t>选项：自筹资金：10 - 50%；AMC 3 - 20%</t>
  </si>
  <si>
    <t>Stade 1 (S1 2021)</t>
  </si>
  <si>
    <t>Этап 1 (Полугодие 1 2021)</t>
  </si>
  <si>
    <t>Fase 1 (H1 2021)</t>
  </si>
  <si>
    <t>Etapa 1 (S1 2021)</t>
  </si>
  <si>
    <t xml:space="preserve"> المرحلة 1 (H1 2021)</t>
  </si>
  <si>
    <t>الخيارات: التمويل الذاتي: 10-50٪ ؛ AMC 3 - 20٪</t>
  </si>
  <si>
    <t>عرض كوفاكس المتاح في المرحلة 1 (H2 2021)</t>
  </si>
  <si>
    <t>第一阶段（2021年上半年）</t>
  </si>
  <si>
    <t>Stade 2 (S2 2021)</t>
  </si>
  <si>
    <t>Этап 2 (Полугодие 2 2021)</t>
  </si>
  <si>
    <t>Fase 2 (H2 2021)</t>
  </si>
  <si>
    <t>Etapa 2 (S2 2021)</t>
  </si>
  <si>
    <t xml:space="preserve"> المرحلة 2 (H2 2021)</t>
  </si>
  <si>
    <t xml:space="preserve">النسبة المئوية لإجمالي السكان في عام 2020 </t>
  </si>
  <si>
    <t>عرض كوفاكس المتاح في المرحلة 2 (H1 2021)</t>
  </si>
  <si>
    <t>第一阶段（2021年下半年）</t>
  </si>
  <si>
    <t>Approvisionnements COVAX disponibles. Le total général peut dépasser 100% de la population totale</t>
  </si>
  <si>
    <t>Доступное снабжение вакцин через COVAХ; общее суммарное количество может превышать 100% общей популяции</t>
  </si>
  <si>
    <t>Suministro Covax disponible; Total general puede superar el 100% de la población</t>
  </si>
  <si>
    <t>Suprimento disponível da Covax; O total global pode exceder 100% da população total</t>
  </si>
  <si>
    <t xml:space="preserve"> H1 2022</t>
  </si>
  <si>
    <t>عرض كوفاكس المتاح ؛ يمكن أن يتجاوز الإجمالي الإجمالي 100٪ من إجمالي السكان</t>
  </si>
  <si>
    <t>COVAX机制可用供应量；总数可能超过总人口的100％</t>
  </si>
  <si>
    <t xml:space="preserve"> H2 2022</t>
  </si>
  <si>
    <t>النسبة المئوية لإجمالي السكان في عام 2020</t>
  </si>
  <si>
    <t>Nombre de doses par série</t>
  </si>
  <si>
    <t>Количество доз вакцины на один курс вакцинации</t>
  </si>
  <si>
    <t>Número de dosis por curso</t>
  </si>
  <si>
    <t>Número de doses por ciclo</t>
  </si>
  <si>
    <t>عدد الجرعات لكل دورة</t>
  </si>
  <si>
    <t>每疗程的剂数</t>
  </si>
  <si>
    <t>Nombre de doses</t>
  </si>
  <si>
    <t>Количество доз</t>
  </si>
  <si>
    <t>Número de doses</t>
  </si>
  <si>
    <t>عدد الجرعات</t>
  </si>
  <si>
    <t>剂数</t>
  </si>
  <si>
    <t>en "pourcentage de la population totale en 2020":</t>
  </si>
  <si>
    <t>как "процент от общего населения в 2020 г":</t>
  </si>
  <si>
    <t>como "porcentaje de la población total en 2020":</t>
  </si>
  <si>
    <t>como "percentagem da população total em 2020":</t>
  </si>
  <si>
    <t>كنسبة مئوية من إجمالي السكان في عام 2020:</t>
  </si>
  <si>
    <t>作为“占2020年总人口的百分比”：</t>
  </si>
  <si>
    <t>Pays à garantie de marché de Gavi pour 92 économies à revenu faible et moyen (AMC 92)</t>
  </si>
  <si>
    <t xml:space="preserve">Страны-участницы программы Гави COVAX по предварительным обязательствам по закупкам (ПОЗ) </t>
  </si>
  <si>
    <t>Países del Compromiso Anticipado de Mercado (CAM) COVAX Gavi</t>
  </si>
  <si>
    <t>Países do Compromisso Antecipado de Mercado (AMC) da COVAX da Gavi?</t>
  </si>
  <si>
    <t>بلدان الالتزام المسبق للسوق من Gavi COVAX (AMC)</t>
  </si>
  <si>
    <t>Gavi COVAX机制预先市场承诺（AMC）国家</t>
  </si>
  <si>
    <t>Doses entièrement subventionnées (2021)</t>
  </si>
  <si>
    <t>Количество полностью бесплатных доз вакцины (2021)</t>
  </si>
  <si>
    <t>Dosis subvencionadas al 100% (2021)</t>
  </si>
  <si>
    <t>Doses totalmente subsidiadas (2021)</t>
  </si>
  <si>
    <t>الجرعات المدعومة بالكامل (2021)</t>
  </si>
  <si>
    <t>全额补贴剂数（2021年）</t>
  </si>
  <si>
    <t>Doses à coût partagé (commandes en plus des doses entièrement subventionnées, en 2021)</t>
  </si>
  <si>
    <t>Количество доз вакцины, оплачиваемых через долевое участие в затратах (заказы дополнительно к бесплатным дозам; 2021)</t>
  </si>
  <si>
    <t>Dosis con participación de costes (pedidos por encimas de las dosis subvencionadas al 100%; 2021)</t>
  </si>
  <si>
    <t>Doses de partilha de custos (pedidos acima das doses totalmente subsidiadas; 2021)</t>
  </si>
  <si>
    <t>جرعات تقاسم التكلفة (الطلبات فوق الجرعات المدعومة بالكامل؛ 2021)</t>
  </si>
  <si>
    <t>分摊成本剂数（全额补贴剂数之外的订单；2021年）</t>
  </si>
  <si>
    <t>Prix complet à partage des coûts, par dose</t>
  </si>
  <si>
    <t>Полная цена за одну дозу вакцины через долевое участие стран</t>
  </si>
  <si>
    <t>Precio total por dosis con participación de costes</t>
  </si>
  <si>
    <t>Preço por dose com tudo incluído da partilha de custos</t>
  </si>
  <si>
    <t xml:space="preserve"> تقاسم التكلفة سعر محملة بالكامل لكل جرعة</t>
  </si>
  <si>
    <t>每剂分摊全额成本价格</t>
  </si>
  <si>
    <t>Subventionnement COVAX implicite (couvert par COVAX pour les pays AMC)</t>
  </si>
  <si>
    <t>Pour les pays AMC92. Suppose une série de 2 doses</t>
  </si>
  <si>
    <t>Предполагаемые субсидии COVAX (оплачивается COVAX для стран ПОЗ)</t>
  </si>
  <si>
    <t>Для 92 стран ПОЗ; При условии 2-х дозового режима вакцинации</t>
  </si>
  <si>
    <t>Subvención implícita Covax  (cubierta por Covax para países CAM)</t>
  </si>
  <si>
    <t>Para países CAM92; Supone un curso de 2 dosis</t>
  </si>
  <si>
    <t>Subsídio implícito da Covax (incluído pela Covax para países do AMC)</t>
  </si>
  <si>
    <t>Para os países do AMC92; Pressupõe um regime de 2 doses</t>
  </si>
  <si>
    <t>إعانة كوفاكس الضمنية (التي تغطيها كوفاكس لبلدان AMC)</t>
  </si>
  <si>
    <t xml:space="preserve"> بالنسبة لبلدان AMC92؛ يفترض نظام من 2 جرعة</t>
  </si>
  <si>
    <t>默示的COVAX机制补贴（由COVAX机制为AMC国家提供）</t>
  </si>
  <si>
    <t>对于AMC92国家；假设2剂给药方案</t>
  </si>
  <si>
    <t>Partage des coûts pour doses additionnelles</t>
  </si>
  <si>
    <t>Долевое участие для оплаты дополнительных доз вакцины</t>
  </si>
  <si>
    <t>Participación de costes para dosis adicionales</t>
  </si>
  <si>
    <t>Partilha de custos para doses adicionais</t>
  </si>
  <si>
    <t xml:space="preserve"> تقاسم التكاليف لجرعات إضافية</t>
  </si>
  <si>
    <t>额外剂数成本分摊</t>
  </si>
  <si>
    <t>Accord d'engagement d'achat (committed purchase arrangement ou CPA)</t>
  </si>
  <si>
    <t>NB: La quantité des doses de vaccin dépend des approvisionnements COVAX disponibles</t>
  </si>
  <si>
    <t>Соглашение с подтвержденным обязательством по закупке (CPA)</t>
  </si>
  <si>
    <t xml:space="preserve">Примечание: количество доз вакцины зависит от возможностей снабжения через COVAX </t>
  </si>
  <si>
    <t>Acuerdo de compra comprometida (CPA)</t>
  </si>
  <si>
    <t>Nota: La cantidad de dosis de vacuna dependerá del suministro Covax disponible</t>
  </si>
  <si>
    <t>Acordo de Compromisso de Compra (ACC)</t>
  </si>
  <si>
    <t>Nota: Quantidade de doses de vacina dependentes do fornecimento disponível da Covax</t>
  </si>
  <si>
    <t>الالتزام بترتيب الشراء (CPA)</t>
  </si>
  <si>
    <t>ملاحظة: تعتمد كمية جرعات اللقاح على إمداد كوفاكس المتاح</t>
  </si>
  <si>
    <t>承诺购买安排（CPA）</t>
  </si>
  <si>
    <t>注释：疫苗数量取决于可用的COVAX机制供应量</t>
  </si>
  <si>
    <t>Paiement initial par dose</t>
  </si>
  <si>
    <t>Авансовый платеж за 1 дозу вакцины</t>
  </si>
  <si>
    <t>Источник: COVAX</t>
  </si>
  <si>
    <t>Pago inicial por dosis</t>
  </si>
  <si>
    <t>Fuente: COVAX</t>
  </si>
  <si>
    <t>Pagamento adiantado por dose</t>
  </si>
  <si>
    <t>Fonte: COVAX</t>
  </si>
  <si>
    <t>دفعة مقدمة لكل جرعة</t>
  </si>
  <si>
    <t>المصدر: كوفاكس</t>
  </si>
  <si>
    <t>每剂预付款</t>
  </si>
  <si>
    <t>资料来源：COVAX机制</t>
  </si>
  <si>
    <t>Garantie financière</t>
  </si>
  <si>
    <t>Финансовые гарантии</t>
  </si>
  <si>
    <t>Garantía financiera</t>
  </si>
  <si>
    <t>Garantia financeira</t>
  </si>
  <si>
    <t>الضمان المالي</t>
  </si>
  <si>
    <t>财务担保</t>
  </si>
  <si>
    <t>Limite supérieure de prix final</t>
  </si>
  <si>
    <t>Si le prix final est supérieur, le participant à l'accord d'achat garanti peut annuler</t>
  </si>
  <si>
    <t>Верхнее предельное значение финальной цены</t>
  </si>
  <si>
    <t>Если финальная цена выше указанного значения, участник CPA может отказаться от закупки</t>
  </si>
  <si>
    <t>Precio final, límite superior</t>
  </si>
  <si>
    <t>Si el precio final es superior, el participante CPA puede cancelar la compra</t>
  </si>
  <si>
    <t>Limite superior do preço final</t>
  </si>
  <si>
    <t>Se o preço final for superior a isso, o participante do ACC pode cancelar</t>
  </si>
  <si>
    <t>الحد الأعلى النهائي للسعر</t>
  </si>
  <si>
    <t>إذا كان السعر النهائي أعلى من ذلك ، يمكن لمشارك CPA الإلغاء</t>
  </si>
  <si>
    <t>最终价格上限</t>
  </si>
  <si>
    <t>如果最终价格高于此价格，则CPA参与者可以取消</t>
  </si>
  <si>
    <t>Prix final</t>
  </si>
  <si>
    <t>Prix final pour doses d'accord d'achat garanti. Laisser en blanc pour mode par défaut</t>
  </si>
  <si>
    <t>Финальная цена</t>
  </si>
  <si>
    <t xml:space="preserve">Финальная цена для доз вакцины по CPA; оставьте эту ячейку пустой для использования значения по умолчанию </t>
  </si>
  <si>
    <t>Preio final</t>
  </si>
  <si>
    <t>Precio final de las dosis CPA; Dejar en blanco para utilizar valor por defecto</t>
  </si>
  <si>
    <t>Preço final</t>
  </si>
  <si>
    <t>Preço final para doses do ACC; Deixe em branco para usar o padrão</t>
  </si>
  <si>
    <t xml:space="preserve"> السعر النهائي</t>
  </si>
  <si>
    <t xml:space="preserve"> السعر النهائي لجرعات CPA؛ اتركه فارغا لاستخدام الافتراضي</t>
  </si>
  <si>
    <t>最终价格</t>
  </si>
  <si>
    <t>CPA剂数的最终价格；留空以使用默认值</t>
  </si>
  <si>
    <t>Paiement initial total</t>
  </si>
  <si>
    <t>Suppose une série de 2 doses; fondé sur la quantité demandée</t>
  </si>
  <si>
    <t>Всего авансовые платежи</t>
  </si>
  <si>
    <t>Предполагается 2-хдозовый режим вакцинации; на основании запрошенного количества</t>
  </si>
  <si>
    <t>Total pago inicial</t>
  </si>
  <si>
    <t>Supone un curso de 2 dosis; En base a la cantidad solicitada</t>
  </si>
  <si>
    <t>Pagamento total adiantado</t>
  </si>
  <si>
    <t>Pressupõe um regime de 2 doses; Baseado na quantidade pedida</t>
  </si>
  <si>
    <t>إجمالي الدفعة المقدمة</t>
  </si>
  <si>
    <t>يفترض نظامًا من جرعتين؛ بناء على الكمية المطلوبة</t>
  </si>
  <si>
    <t>预付款总额</t>
  </si>
  <si>
    <t>假设2剂给药方案；基于要求的数量</t>
  </si>
  <si>
    <t>Total de la garantie financière</t>
  </si>
  <si>
    <t>Всего финансовые гарантии</t>
  </si>
  <si>
    <t>Total garantía financiera</t>
  </si>
  <si>
    <t>Garantia financeira total</t>
  </si>
  <si>
    <t xml:space="preserve"> إجمالي الضمان المالي</t>
  </si>
  <si>
    <t>财务担保总额</t>
  </si>
  <si>
    <t>Prix final maximum (hors paiement initial et garantie financière)</t>
  </si>
  <si>
    <t>Suppose une série de 2 doses; ignoré pour l'instant</t>
  </si>
  <si>
    <t>Максимальная финальная цена (без учета авансового платежа и финансовой гарантии)</t>
  </si>
  <si>
    <t xml:space="preserve">Предполагается 2-хдозовый режим вакцинации; не принимается в расчет на данном этапе </t>
  </si>
  <si>
    <t>Precio final máximo (excluyendo pago inicial y garantía financiera)</t>
  </si>
  <si>
    <t>Supone un curso de 2 dosis; No se tiene en cuenta de momento</t>
  </si>
  <si>
    <t>Preço final máximo (excluindo pagamento adiantado e garantia financeira)</t>
  </si>
  <si>
    <t>Pressupõe um regime de 2 doses; Ignore por enquanto</t>
  </si>
  <si>
    <t>الحد الأقصى للسعر النهائي (باستثناء الضمان المقدم والضمان المالي)</t>
  </si>
  <si>
    <t xml:space="preserve"> يفترض نظامًا  من جرعتين ؛ مهمل الآن</t>
  </si>
  <si>
    <t>最高最终价格（排除预付款和财务担保）</t>
  </si>
  <si>
    <t>假设2剂给药方案；暂时忽略</t>
  </si>
  <si>
    <t>Total, basé sur prix final</t>
  </si>
  <si>
    <t xml:space="preserve">Всего, с учетом финальной цены  </t>
  </si>
  <si>
    <t xml:space="preserve">Предполагается 2-хдозовый режим вакцинации; с учетом доступного количества </t>
  </si>
  <si>
    <t>Total, basado en precio final</t>
  </si>
  <si>
    <t>Supone un curso de 2 dosis; En base a la cantidad disponible</t>
  </si>
  <si>
    <t>Total, baseado no preço final</t>
  </si>
  <si>
    <t>Pressupõe um regime de 2 doses; Baseado na quantidade disponível</t>
  </si>
  <si>
    <t>الإجمالي، على أساس السعر النهائي</t>
  </si>
  <si>
    <t xml:space="preserve"> يفترض نظامًا من جرعتين؛ على أساس الكمية المتاحة</t>
  </si>
  <si>
    <t>总计，基于最终价格</t>
  </si>
  <si>
    <t>假设2剂给药方案；基于可用数量</t>
  </si>
  <si>
    <t>Reste</t>
  </si>
  <si>
    <t>Total (basé sur le prix final) moins paiement initial. Alerte si nombre négatif</t>
  </si>
  <si>
    <t xml:space="preserve">Оставшаяся часть </t>
  </si>
  <si>
    <t xml:space="preserve">Всего (на основании финальной цены) за минусом авансового платежа; обратите внимание, если полученное значение является отрицательным </t>
  </si>
  <si>
    <t>Resto</t>
  </si>
  <si>
    <t>Total (basado en el precio final) menos el pago inicial; Aparece una alerta en caso de valor negativo</t>
  </si>
  <si>
    <t>Restante</t>
  </si>
  <si>
    <t>Total (baseado no preço final) menos o pagamento adiantado; Advertência em caso de número negativo</t>
  </si>
  <si>
    <t>الباقي</t>
  </si>
  <si>
    <t>الإجمالي (على أساس السعر النهائي) مطروحًا منه الدفعة المقدمة؛ تحذير إذا كان الرقم سالبا</t>
  </si>
  <si>
    <t>余数</t>
  </si>
  <si>
    <t>总计（基于最终价格）减去预付款；如果是负数，则会发出警告</t>
  </si>
  <si>
    <t>Accord optionnel d'achat (optional purchase agreement ou OPA)</t>
  </si>
  <si>
    <t>Соглашение об опционе (OPA)</t>
  </si>
  <si>
    <t>Acuerdo de compra opcional (OPA)</t>
  </si>
  <si>
    <t>Contrato de Compra Opcional (CCO)</t>
  </si>
  <si>
    <t>اتفاقية شراء اختيارية (OPA)</t>
  </si>
  <si>
    <t>可选购权协议（OPA）</t>
  </si>
  <si>
    <t>Авансовый платеж за одну дозу вакцины</t>
  </si>
  <si>
    <t>Garantie de partage des risques</t>
  </si>
  <si>
    <t>Гарантия по разделению рисков</t>
  </si>
  <si>
    <t>Garantía de reparto de riesgo</t>
  </si>
  <si>
    <t>Garantia de partilha de riscos</t>
  </si>
  <si>
    <t xml:space="preserve"> ضمان تقاسم المخاطر</t>
  </si>
  <si>
    <t>风险分担保证</t>
  </si>
  <si>
    <t>Fenêtre de décision 2 pour OPA: le pays veut-il poursuivre?</t>
  </si>
  <si>
    <t>Options: Oui | Non</t>
  </si>
  <si>
    <t>Une fois les commandes confirmées auprès du fabricant. Décision d'acheter? Pas actuellement utilisé</t>
  </si>
  <si>
    <t>Время для принятия решения в отношении OPA - знает ли страна как действовать?</t>
  </si>
  <si>
    <t>Варианты: Да | Нет</t>
  </si>
  <si>
    <t xml:space="preserve">Когда происходит подтверждение заказа у производителя - решение о покупке? В настоящий момент не используется </t>
  </si>
  <si>
    <t>Ventana de decisión 2 para OPA - ¿El país quiere proceder con la compra?</t>
  </si>
  <si>
    <t>Opciones: Sí | No</t>
  </si>
  <si>
    <t>Cuando los fabricantes confirmen el pedido - ¿Decisión de compra? No utilizado de momento</t>
  </si>
  <si>
    <t>Janela de decisão 2 para CCO – O país deseja prosseguir?</t>
  </si>
  <si>
    <t>Opções: Sim | Não</t>
  </si>
  <si>
    <t>Quando os pedidos são confirmados com os fabricantes – Decisão de comprar? Não é usado actualmente</t>
  </si>
  <si>
    <t>نافذة القرار 2 لـ OPA - هل البلد الذي يجب المضي قدمًا فيه؟</t>
  </si>
  <si>
    <t>الخيارات: نعم | لا</t>
  </si>
  <si>
    <t xml:space="preserve"> متى تم تأكيد الطلبات مع الشركات المصنعة - قرار الشراء؟ غير مستخدم حاليا</t>
  </si>
  <si>
    <t>OPA的决策窗口2——该国希望继续吗？</t>
  </si>
  <si>
    <t>选项：是 | 否</t>
  </si>
  <si>
    <t>与制造商确认订单时——决定购买？目前未使用</t>
  </si>
  <si>
    <t>Precio final</t>
  </si>
  <si>
    <t>السعر النهائي</t>
  </si>
  <si>
    <t>Suppose une série de 2 doses; fondé sur la quantité demandée; paiement à la signature de l'accord</t>
  </si>
  <si>
    <t xml:space="preserve">Предполагается 2-хдозовый режим вакцинации; на основании запрошенного количества; оплачивается при подписании соглашения </t>
  </si>
  <si>
    <t>Supone un curso de 2 dosis; En base a la cantidad solicitada; Pago a la firma del acuerdo</t>
  </si>
  <si>
    <t>Pressupõe um regime de 2 doses; Baseado na quantidade pedida; Pago na assinatura do contrato</t>
  </si>
  <si>
    <t>يفترض نظامًا من جرعتين؛ بناء على الكمية المطلوبة ؛ دفع عند توقيع الاتفاقية</t>
  </si>
  <si>
    <t>假设2剂给药方案；基于要求的数量；签署协议时支付</t>
  </si>
  <si>
    <t>Total de garantie de partage des risques</t>
  </si>
  <si>
    <t>Suppose une série de 2 doses; fondé sur la quantité demandée; paiement avant le 9 octobre 2020</t>
  </si>
  <si>
    <t>Всего гарантии по разделению рисков</t>
  </si>
  <si>
    <t>Предполагается 2-хдозовый режим вакцинации; на основании запрошенного количества; должно быть оплачено 9 октября 2020 г.</t>
  </si>
  <si>
    <t>Total garantía de reparto de riesgo</t>
  </si>
  <si>
    <t>Supone un curso de 2 dosis; En base a la cantidad solicitada; A pagar antes del 9 octubre 2020</t>
  </si>
  <si>
    <t>Garantia total de partilha de riscos</t>
  </si>
  <si>
    <t>Pressupõe um regime de 2 doses; Baseado na quantidade pedida; A ser pago a 9 de Outubro de 2020</t>
  </si>
  <si>
    <t xml:space="preserve"> ضمان كامل لتقاسم المخاطر</t>
  </si>
  <si>
    <t xml:space="preserve"> يفترض نظامًا  من جرعتين؛ بناء على الكمية المطلوبة ؛ يتم الدفع في موعد أقصاه 9 أكتوبر 2020</t>
  </si>
  <si>
    <t>风险分担保证总额</t>
  </si>
  <si>
    <t>假设2剂给药方案；基于要求的数量；2020年10月9日之前支付</t>
  </si>
  <si>
    <t>Total, basé sur le prix final</t>
  </si>
  <si>
    <t>Предполагается 2-хдозовый режим вакцинации; на основании доступного количества.</t>
  </si>
  <si>
    <t>Total (basé sur le prix final) moins paiement initial et garantie de partage des risques. Alerte si nombre négatif</t>
  </si>
  <si>
    <t>Оставшаяся часть</t>
  </si>
  <si>
    <t>Всего (на основании финальной цены) за минусом авансового платежа и гарантии по разделению рисков; обратите внимание, если полученное значение отрицательное</t>
  </si>
  <si>
    <t>Total (basado en el precio final) menos el pago inicial y garantía de reparto de riesgos; Aparece una alerta en caso de valor negativo</t>
  </si>
  <si>
    <t>Total (baseado no preço final) menos o pagamento adiantado e a garantia de partilha de riscos; Advertência em caso de número negativo</t>
  </si>
  <si>
    <t>الإجمالي (على أساس السعر النهائي) مطروحًا منه الدفعة المقدمة وضمان تقاسم المخاطر؛ تحذير إذا كان الرقم سالبا</t>
  </si>
  <si>
    <t>总计（基于最终价格）减去预付款和风险分担担保；如果是负数，则会发出警告</t>
  </si>
  <si>
    <t>A2.6.2 Approvisionnement en vaccins non-COVAX (2021-2023)</t>
  </si>
  <si>
    <t xml:space="preserve"> A2.6.2 Поставки вакцин не через механизм COVAX (2021-2023)</t>
  </si>
  <si>
    <t>A2.6.2 Suministro de vacunas no Covax (2021-2023)</t>
  </si>
  <si>
    <t>A2.6.2 Abastecimento de vacinas não da Covax (2021-2023)</t>
  </si>
  <si>
    <t>تجهيز اللقاحات من غير كوفاكس  A2.6.2 (2021-2023)</t>
  </si>
  <si>
    <t xml:space="preserve"> التعليمات: استخدم هذا القسم لإمداد جرعة اللقاح التي تم الحصول عليها خارج كوفاكس - بما في ذلك الإنتاج المحلي، والتبرعات العينية،</t>
  </si>
  <si>
    <t>A2.6.2 非COVAX机制疫苗供应量（2021-2023年）</t>
  </si>
  <si>
    <t>Instructions: Utiliser cette section pour les doses de vaccin obtenues hors COVAX, y compris production domestique, donations en nature</t>
  </si>
  <si>
    <t xml:space="preserve">Инструкции: Используйте этот раздел для расчета доз вакцин, поставляемых не через механизм COVAX -  например, для вакцины местного производства, для вакцины, получаемой по бартеру и так далее. </t>
  </si>
  <si>
    <t>Instrucciones: Utilizar esta sección para dosis de vacuna obtenidas al margen de Covax – incluyendo producción nacional, donaciones en especie</t>
  </si>
  <si>
    <t xml:space="preserve">Instruções: Utilize esta secção para o abastecimento de doses de vacinas obtidas fora da Covax – incluindo a produção nacional, doações em espécie </t>
  </si>
  <si>
    <t xml:space="preserve"> جرعات اللقاح غير كوفاكس (الدورات كنسبة مئوية من سكان 2020)</t>
  </si>
  <si>
    <t>说明：本部分涉及在COVAX机制以外获得的疫苗供应量，包括国内产量、实物捐赠</t>
  </si>
  <si>
    <t>Doses de vaccin hors COVAX (séries de vaccins en pourcentage de la population en 2020)</t>
  </si>
  <si>
    <t>Séries</t>
  </si>
  <si>
    <t>Дозы вакцины, не охваченные COVAX (количество курсов вакцинации, выраженное как процент от численности населения в 2020 г)</t>
  </si>
  <si>
    <t>Количество курсов вакцинации</t>
  </si>
  <si>
    <t>Dosis de vacuna no Covax (cursos como porcentaje de la población 2020)</t>
  </si>
  <si>
    <t>Cursos</t>
  </si>
  <si>
    <t>Doses de vacina não-Covax (ciclos como percentagem da população de 2020)</t>
  </si>
  <si>
    <t>Ciclos</t>
  </si>
  <si>
    <t>المرحلة 1 (H1 2021)</t>
  </si>
  <si>
    <t>الدورات</t>
  </si>
  <si>
    <t>非COVAX机制疫苗剂数（占2020年人口百分比的疗程数目）</t>
  </si>
  <si>
    <t>疗程数目</t>
  </si>
  <si>
    <t>Peut dépasser 100% (par ex. si la durabilité du vaccin requiert plusieurs séries par personne)</t>
  </si>
  <si>
    <t xml:space="preserve">Допустимо превышение 100% (например, если для обеспечения длительности защиты одно и тоже лицо должно получить несколько курсов вакцинации) </t>
  </si>
  <si>
    <t>Puede ser superior al 100% (por ejemplo, si la duración de la vacuna requiere múltiples cursos por persona)</t>
  </si>
  <si>
    <t>Permitido exceder 100% (por exemplo, se a durabilidade da vacina exigir vários ciclos por pessoa)</t>
  </si>
  <si>
    <t>] المرحلة 2 (H2 2021)</t>
  </si>
  <si>
    <t xml:space="preserve"> يُسمح بتجاوز 100٪ (على سبيل المثال، إذا كانت متانة اللقاح تتطلب دورات متعددة لكل شخص)</t>
  </si>
  <si>
    <t>允许超过100％（例如，如果疫苗的耐用性意味着需要每人多个疗程）</t>
  </si>
  <si>
    <t>第二阶段（2021年下半年）</t>
  </si>
  <si>
    <t xml:space="preserve"> التكلفة الإجمالية لجرعات اللقاح غير كوفاكس ، بالدولار الأمريكي</t>
  </si>
  <si>
    <t>Coût total des doses de vaccin hors COVAX, en USD</t>
  </si>
  <si>
    <t>Total pour toutes les doses de la période concernée et non par dose</t>
  </si>
  <si>
    <t>Общая стоимость доз вакцин, закупаемых не через COXAX, в долларах США</t>
  </si>
  <si>
    <t>Общая стомость всех доз вакцин за временной период, НЕ в расчете за одну дозу вакцины</t>
  </si>
  <si>
    <t>Coste total de las dosis de vacuna no Covax vaccine doses, USD</t>
  </si>
  <si>
    <t>Total de todas las dosis del periodo de tiempo, no por dosis</t>
  </si>
  <si>
    <t>Custo total das doses de vacina não-Covax, USD</t>
  </si>
  <si>
    <t>Total para todas as doses no período de tempo, não por dose</t>
  </si>
  <si>
    <t>إجمالي جميع الجرعات في الفترة الزمنية، وليس لكل جرعة</t>
  </si>
  <si>
    <t>非COVAX机制疫苗剂数总成本，按美元计算</t>
  </si>
  <si>
    <t>该时间段内所有剂数的总和，而不是每剂</t>
  </si>
  <si>
    <t>المرحلة 2 (H2 2021)</t>
  </si>
  <si>
    <t>A2.6.3 Approvisionnement total de vaccins disponibles (2021-2023)</t>
  </si>
  <si>
    <t>A2.6.3 Общее количество доступных вакцин, 2021-2023</t>
  </si>
  <si>
    <t>A2.6.3 Suministro total de vacunas disponible, 2021-2023</t>
  </si>
  <si>
    <t>A2.6.3 Abastecimento total de vacinas disponível, 2021-2023</t>
  </si>
  <si>
    <t xml:space="preserve"> A2.6.3 إجمالي إمدادات اللقاحات المتاحة ، 2021-2023</t>
  </si>
  <si>
    <t>A2.6.3 2021-2023年可用疫苗总供应量</t>
  </si>
  <si>
    <t>Total des doses de vaccin COVID-19 en pourcentage de la population de 2020</t>
  </si>
  <si>
    <t>Общее количество доз вакцин против COVID-19, выраженное как процент от численности населения в 2020</t>
  </si>
  <si>
    <t>Процент от общей популяции 2020</t>
  </si>
  <si>
    <t>Курсы вакцинации</t>
  </si>
  <si>
    <t>Total de dosis de la vacuna de la COVID-19 como porcentaje de la población 2020</t>
  </si>
  <si>
    <t>Total de doses de vacina contra a Covid-19 como percentagem da população de 2020</t>
  </si>
  <si>
    <t xml:space="preserve"> إجمالي جرعات لقاح Covid-19 كنسبة مئوية من سكان 2020</t>
  </si>
  <si>
    <t>Covid-19疫苗总剂数占2020年人口的百分比</t>
  </si>
  <si>
    <t>疗程</t>
  </si>
  <si>
    <t>A3. Coûts unitaires</t>
  </si>
  <si>
    <t>Monnaie locale (LCU) choisie pour coûts unitaires =</t>
  </si>
  <si>
    <t>A3. Удельная себестоимость</t>
  </si>
  <si>
    <t xml:space="preserve">Единица местной валюты (ЕМВ), в которой выражена удельная себестоимость = </t>
  </si>
  <si>
    <t>A3. Costes por unidad</t>
  </si>
  <si>
    <t xml:space="preserve">Unidad de divisa local (UDL) seleccionada para los costes por unidad = </t>
  </si>
  <si>
    <t>A3. Custo unitário</t>
  </si>
  <si>
    <t xml:space="preserve">Unidade de moeda local (UML) seleccionada para custos unitários = </t>
  </si>
  <si>
    <t xml:space="preserve"> A3. تكاليف الوحدة</t>
  </si>
  <si>
    <t>تحديد وحدة العملة المحلية (LCU) لتكاليف الوحدة =</t>
  </si>
  <si>
    <t>A3. 单位成本</t>
  </si>
  <si>
    <t xml:space="preserve">选择单位成本的本币单位（LCU）= </t>
  </si>
  <si>
    <t>Instructions générales: Cette section est à utiliser pour entrer les coûts unitaires spécifiques au pays. Les coûts unitaires peuvent être entrés en monnaie locale (LCU, en utilisant la monnaie choisie en A1.1) [colonne E] ou en USD [colonne F]. La colonne F prévaut si les valeurs sont entrées dans les deux monnaies. Certains noms d'articles [colonne C] peuvent aussi être modifiés par l'utilisateur final pour être plus adaptés aux besoins spécifiques. Pour de nombreux articles, on peut utiliser les prix par défaut. Les prix par défaut peuvent être de temps en temps remis à jour par l'équipe d'établissement des coûts: pour ce faire, sous le menu "Data" (Données), cliquer sur "Refresh All" (Tout actualiser)</t>
  </si>
  <si>
    <t>Общие инструкции: В данном разделе введите значения удельной себестоимости товаров/услуг для Вашей страны. Удельная стоимость может выражаться в единицах местной валюты (ЕМВ) (в валюте, указанной в разделе A1.1) [столбец E] или в долларах США [Столбец F]. Если значения вводятся в обеих валютах, предпочтение отдается валюте в столбце F. Чтобы расчеты отражали особенности каждой страны, в данном инструменте предусмотрена возможность внесения корректировок в наименования некоторых позиций [Столбец C].
Для многих позиций могут использоваться цены по умолчанию. Специалисты, занимающиеся расчетами затрат, могут периодически обновлять эти цены - для этого в меню "Данные" выберите "Обновить все".</t>
  </si>
  <si>
    <t>Instrucciones generales: Utilizar esta sección para introducir costes por unidad específicos del país. Los costes por unidad se pueden introducir como UDL (en la divisa seleccionada en A1.1) o en USD [Columna F]. Si se introducen valores en las dos divisas, la Columna F tendrá preferencia. Algunos nombres de partidas [Columna C] también pueden ser modificados por el usuario para permitir una mayor contextualización.
For many items, default prices can be used. Default prices may be updated by the costing team from time to time - to do so, under the menu "Data", click "Refresh All".</t>
  </si>
  <si>
    <t>Instruções Gerais: Use esta secção para digitar os custos unitários específicos do país. Os custos unitários podem ser digitados como UML (na moeda seleccionada em A1.1) [Coluna E] ou em USD [Coluna F]. A coluna F tem precedência se os valores forem digitados em ambas as moedas. Alguns nomes [Coluna C] para itens também podem ser editados pelo utilizador final para permitir uma maior personalização.
Para muitos itens, podem ser usados os preços padrão. Os preços padrão podem ser actualizados pela equipa de cálculo de custos de tempos em tempos – para isso, clique em "Actualizar tudo", no menu "Dados".</t>
  </si>
  <si>
    <t>تعليمات عامة : يرجى استخدام هذا القسم لإدخال تكاليف الوحدة الخاصة بالبلد. يمكن إدخال تكاليف الوحدة كوحدات العملة المحلية LCU (بالعملة المحددة في A1.1) [العمود E] أو بالدولار الأمريكي [العمود F]. يكون للعمود F الأسبقية إذا تم إدخال القيم في كلا العملتين. يمكن أيضًا تحرير بعض أسماء [العمود C] للعناصر بواسطة المستخدم النهائي للسماح بمزيد من التخصيص.
For many items, default prices can be used. Default prices may be updated by the costing team from time to time - to do so, under the menu "Data", click "Refresh All".</t>
  </si>
  <si>
    <t>一般性说明：请使用此部分输入针对具体国家的单位成本。可采用LCU（即A1.1中选择的币种）[E列]输入单位成本，或采用美元[F列]输入。如果两种货币都被输入，则以F列为准。终端用户还可以编辑某些项目的名称[C列]，以方便更多的自定义。
许多物品可使用默认价格。成本核算团队可能会不时更新默认价格——如欲更新，请在菜单“数据”下单击“全部刷新”。</t>
  </si>
  <si>
    <t>Remplacer par la monnaie locale (LCU) en cliquant ici</t>
  </si>
  <si>
    <t>Нажмите здесь, чтобы изменить единицу местной валюты</t>
  </si>
  <si>
    <t>Cambiar la UDL a utilizar pulsando aquí</t>
  </si>
  <si>
    <t>Mude a UML utilizada clicando aqui</t>
  </si>
  <si>
    <t>تغيير وحدة العملة المحلية LCU المستخدمة بالضغط هنا</t>
  </si>
  <si>
    <t>单击此处更改使用的LCU</t>
  </si>
  <si>
    <t>A3.1 RH pour la santé</t>
  </si>
  <si>
    <t>Outrepasser en USD</t>
  </si>
  <si>
    <t>Cacher</t>
  </si>
  <si>
    <t>A3.1 Кадровые ресурсы здравоохранения</t>
  </si>
  <si>
    <t>Скорректировать вручную в долларах США</t>
  </si>
  <si>
    <t>Скрыть</t>
  </si>
  <si>
    <t xml:space="preserve"> A3.1 Recursos Humanos de Salud</t>
  </si>
  <si>
    <t>Sustituir en USD</t>
  </si>
  <si>
    <t>Ocultar</t>
  </si>
  <si>
    <t>A3.1 Recursos Humanos para a Saúde</t>
  </si>
  <si>
    <t>Substituir por USD</t>
  </si>
  <si>
    <t xml:space="preserve"> A3.1 الموارد البشرية الصحية</t>
  </si>
  <si>
    <t>تجاوز بالدولار الأمريكي</t>
  </si>
  <si>
    <t>إخفاء</t>
  </si>
  <si>
    <t>A3.1 卫生人力资源</t>
  </si>
  <si>
    <t>覆写为美元</t>
  </si>
  <si>
    <t>隐藏</t>
  </si>
  <si>
    <t>Rémunération des vaccinateurs</t>
  </si>
  <si>
    <t>Il s'agit ici de coûts marginaux (indemnités journalières, prime de risque, etc.) et non du salaire de base</t>
  </si>
  <si>
    <t>Компенсационные выплаты для вакцинаторов</t>
  </si>
  <si>
    <t xml:space="preserve">Это - предельные издержки (суточные, надбавка за работу в опасных условиях), а не базовая заработная плата </t>
  </si>
  <si>
    <t>Compensación para vacunadores</t>
  </si>
  <si>
    <t>Aquí se pretende anotar costes marginales (dietas, plus por peligrosidad, etc.) no salario base</t>
  </si>
  <si>
    <t>Remuneração dos Vacinadores</t>
  </si>
  <si>
    <t>Isto destina-se a ser custos marginais (subsídios diários, adicional de periculosidade, etc.) e não o salário base</t>
  </si>
  <si>
    <t>تعويض القائم بالتطعيم</t>
  </si>
  <si>
    <t>يُقصد بذلك أن تكون تكاليف هامشية (بدلات يومية، وبدل مخاطر، وما إلى ذلك) وليس راتبًا أساسيًا</t>
  </si>
  <si>
    <t>疫苗接种者报酬</t>
  </si>
  <si>
    <t>这里指的是边际报酬（每日津贴、危险津贴等），而不是底薪</t>
  </si>
  <si>
    <t>Salaire supplémentaire (taux journalier)</t>
  </si>
  <si>
    <t>Zéro est permis</t>
  </si>
  <si>
    <t>Дополнительные выплаты (посуточная ставка)</t>
  </si>
  <si>
    <t>Допускается ноль</t>
  </si>
  <si>
    <t>Salario suplementario (por día)</t>
  </si>
  <si>
    <t>Se permite cero</t>
  </si>
  <si>
    <t>Salários Suplementares (taxa diária)</t>
  </si>
  <si>
    <t>Zero é permitido</t>
  </si>
  <si>
    <t>الأجور التكميلية (السعر اليومي)</t>
  </si>
  <si>
    <t>الصفر مسموح به</t>
  </si>
  <si>
    <t>补充工资（每日工资）</t>
  </si>
  <si>
    <t>可为零</t>
  </si>
  <si>
    <t>Salaire supplémentaire (taux horaire)</t>
  </si>
  <si>
    <t>Дополнительные выплаты (почасовая ставка)</t>
  </si>
  <si>
    <t>Salario suplementario (por hora)</t>
  </si>
  <si>
    <t>Salários Suplementares (taxa horária)</t>
  </si>
  <si>
    <t>الأجور التكميلية (سعر الساعة)</t>
  </si>
  <si>
    <t>补充工资（每小时工资）</t>
  </si>
  <si>
    <t>Paie par jour pour Modalité d'administration 1?</t>
  </si>
  <si>
    <t>Option par défaut: Oui</t>
  </si>
  <si>
    <t>Выплачиваются ли суточные, если используется стратегия организации прививок 1?</t>
  </si>
  <si>
    <t>Да по умолчанию</t>
  </si>
  <si>
    <t>¿Pagar dietas para Modalidad de administración 1?</t>
  </si>
  <si>
    <t>Valor por defecto es Sí</t>
  </si>
  <si>
    <t>Pagar subsídios diários para a Modalidade de administração 1?</t>
  </si>
  <si>
    <t>O padrão é Sim</t>
  </si>
  <si>
    <t>الدفع عن كل يوم لطريقة التسليم 1؟</t>
  </si>
  <si>
    <t xml:space="preserve"> الافتراضي هو نعم</t>
  </si>
  <si>
    <t>为交付模式1支付每日津贴?</t>
  </si>
  <si>
    <t>默认为“是”</t>
  </si>
  <si>
    <t>Paie par jour pour Modalité d'administration 2?</t>
  </si>
  <si>
    <t>Выплачиваются ли суточные, если используется стратегия организации прививок 2?</t>
  </si>
  <si>
    <t>¿Pagar dietas para Modalidad de administración 2?</t>
  </si>
  <si>
    <t>Pagar subsídios diários para a Modalidade de administração 2?</t>
  </si>
  <si>
    <t>الدفع عن كل يوم لطريقة التسليم 2؟</t>
  </si>
  <si>
    <t>为交付模式2支付每日津贴?</t>
  </si>
  <si>
    <t>Paie par jour pour Modalité d'administration 3?</t>
  </si>
  <si>
    <t>Выплачиваются ли суточные, если используется стратегия организации прививок 3?</t>
  </si>
  <si>
    <t>¿Pagar dietas para Modalidad de administración 3?</t>
  </si>
  <si>
    <t>Pagar subsídios diários para a Modalidade de administração 3?</t>
  </si>
  <si>
    <t>الدفع عن كل يوم لطريقة التسليم 3؟</t>
  </si>
  <si>
    <t>الافتراضي هو نعم</t>
  </si>
  <si>
    <t>为交付模式3支付每日津贴?</t>
  </si>
  <si>
    <t>Paie par jour pour Modalité d'administration 4?</t>
  </si>
  <si>
    <t>Выплачиваются ли суточные, если используется стратегия организации прививок 4?</t>
  </si>
  <si>
    <t>¿Pagar dietas para Modalidad de administración 4?</t>
  </si>
  <si>
    <t>Pagar subsídios diários para a Modalidade de administração 4?</t>
  </si>
  <si>
    <t>الدفع عن كل يوم لطريقة التسليم 4؟</t>
  </si>
  <si>
    <t>为交付模式4支付每日津贴?</t>
  </si>
  <si>
    <t>Salaires mensuels pour vaccinateurs nouvellement recrutés [Laisser en blanc pour utiliser données par défaut]</t>
  </si>
  <si>
    <t>Zéro est permis. Il s'agit de RHS non déployées. Source: Juliana Serje, Melanie Y. Bertram, Callum Brindley et Jeremy A. Lauer. 2018. “Global Health Worker Salary Estimates: An Econometric Analysis of Global Earnings Data.” Cost Effectiveness and Resource Allocation 16 (1): 10. https://doi.org/10.1186/s12962-018-0093-z | WHO-CHOICE | Mise à jour 2020</t>
  </si>
  <si>
    <t>Ежемесячная заработная плата для новых нанятых вакцинаторов [Чтобы использовать данные по умолчанию оставьте эту ячейку пустой]</t>
  </si>
  <si>
    <t>Допускается ноль. Это те КРЗ, которые не размещаются на других объектах. Источник: Serje, Juliana, Melanie Y. Bertram, Callum Brindley, and Jeremy A. Lauer. 2018. “Global Health Worker Salary Estimates: An Econometric Analysis of Global Earnings Data.” Cost Effectiveness and Resource Allocation 16 (1): 10. https://doi.org/10.1186/s12962-018-0093-z. | WHO-CHOICE | Updated to 2020</t>
  </si>
  <si>
    <t>Salario mensual para vacunadores de nueva contratación [Dejar en blanco para utilizar datos por defecto]</t>
  </si>
  <si>
    <t>Se permite cero. Para RHS no reubicado. Fuente: Serje, Juliana, Melanie Y. Bertram, Callum Brindley, y Jeremy A. Lauer. 2018. “Global Health Worker Salary Estimates: An Econometric Analysis of Global Earnings Data.” Cost Effectiveness and Resource Allocation 16 (1): 10. https://doi.org/10.1186/s12962-018-0093-z. | OMS-CHOICE | Actualizado a 2020</t>
  </si>
  <si>
    <t>Salários mensais para vacinadores recém-recrutados [Deixe em branco para usar dados padrão]</t>
  </si>
  <si>
    <t>Zero é permitido. Estes são para os RHS não reafectados. Fonte: Serje, Juliana, Melanie Y. Bertram, Callum Brindley, and Jeremy A. Lauer. 2018. "Global Health Worker Salary Estimates: An Econometric Analysis of Global Earnings Data." Cost Effectiveness and Resource Allocation 16 (1): 10. https://doi.org/10.1186/s12962-018-0093-z. | WHO-CHOICE | Actualizado até 2020</t>
  </si>
  <si>
    <t xml:space="preserve"> الصفر مسموح به. هذه للموارد البشرية غير المعاد توزيعها. المصدر: سيرجي وجوليانا وميلاني واي بيرترام وكالوم بريندلي وجيريمي إيه لاور. 2018. "تقديرات رواتب العاملين الصحيين العالمية: تحليل اقتصادي قياسي لبيانات الأرباح العالمية." فعالية التكلفة وتخصيص الموارد 16 (1): 10. https://doi.org/10.1186/s12962-018-0093-z. | منظمة الصحة العالمية - المختارة | محدث حتى عام 2020</t>
  </si>
  <si>
    <t>新招募的疫苗接种者月薪 [留空以使用默认数据]</t>
  </si>
  <si>
    <t>可为零。这里指的是未重新部署的HRH。资料来源：Serje，Juliana，Melanie Y. Bertram，Callum Brindley和Jeremy A. Lauer。2018。"全球卫生工作者薪资估算：对全球收入数据的计量经济学分析。”成本效益和资源分配16（1）：10。https://doi.org/10.1186/s12962-018-0093-z. | WHO-CHOICE  | 更新截至2020年。</t>
  </si>
  <si>
    <t>Coûts hors salaire par vaccinateur unique (formation et déploiement local)</t>
  </si>
  <si>
    <t>Затраты, не являющиеся заработной платой, на одного вакцинатора (подготовка на местном уровне и размещение).</t>
  </si>
  <si>
    <t>Costes no salariales por cada vacunador (Formación y despliegue local)</t>
  </si>
  <si>
    <t>Custos não salariais por cada vacinador (formação e mobilização locais)</t>
  </si>
  <si>
    <t>تكاليف غير الأجور لكل قائم بالتطعيم  فريد (التدريب المحلي والنشر)</t>
  </si>
  <si>
    <t>每位单独疫苗接种者的非工资成本（本地培训和部署）</t>
  </si>
  <si>
    <t>Formation locale</t>
  </si>
  <si>
    <t>Formation des vaccinateurs au niveau local (dans un établissement). NE PAS INCLURE les formations centralisées [voir A4.1]</t>
  </si>
  <si>
    <t>Подготовка на местном уровне</t>
  </si>
  <si>
    <t>Обучение вакцинаторов на местном уровне (в медучреждении). Подготовка на центральном уровне [см. A4.1] НЕ ВКЛЮЧАЕТСЯ.</t>
  </si>
  <si>
    <t>Formación local</t>
  </si>
  <si>
    <t>Formación de vacunadores a nivel local (en un establecimiento). EXCLUIDA la formación impartida desde central [Ref A4.1].</t>
  </si>
  <si>
    <t>Formação local</t>
  </si>
  <si>
    <t>Formação de vacinadores a nível local (dentro de uma instalação). Formação ministrada pela central [Ref. A4.1] EXCLUÍDO.</t>
  </si>
  <si>
    <t>التدريب المحلي</t>
  </si>
  <si>
    <t xml:space="preserve"> تدريب القائمين بالتطعيم على المستوى المحلي (داخل المنشأة الصحية). تم تسليم التدريب من المركز [المرجع A4.1] مستثنى.</t>
  </si>
  <si>
    <t>本地培训</t>
  </si>
  <si>
    <t>在本地（机构内）为疫苗接种者提供的培训。不包括中央提供的培训[参见 A4.1]。</t>
  </si>
  <si>
    <t>Accréditation locale</t>
  </si>
  <si>
    <t>Autorisation des systèmes de gestion des données et autres certifications, accréditations et autorisations</t>
  </si>
  <si>
    <t>Аттестация на местном уровне</t>
  </si>
  <si>
    <t>Авторизация в системе управления данными и получение необходимых свидетельств, аттестация, получение разрешений.</t>
  </si>
  <si>
    <t>Acreditación local</t>
  </si>
  <si>
    <t>Autorización del sistema de gestión de datos y otras certificaciones, acreditaciones y autorizaciones</t>
  </si>
  <si>
    <t>Credenciamento local</t>
  </si>
  <si>
    <t>Autorização do sistema de gestão de dados e outras certificações, credenciação, autorização</t>
  </si>
  <si>
    <t>الاعتماد المحلي</t>
  </si>
  <si>
    <t xml:space="preserve"> ترخيص نظام إدارة البيانات والشهادات الأخرى، والاعتماد، والترخيص</t>
  </si>
  <si>
    <t>本地资历证明</t>
  </si>
  <si>
    <t>数据管理系统授权和其他认证、资历证明、授权</t>
  </si>
  <si>
    <t>Recrutement</t>
  </si>
  <si>
    <t>Recrutement des vaccinateurs</t>
  </si>
  <si>
    <t>Найм</t>
  </si>
  <si>
    <t>Найм вакцинаторов</t>
  </si>
  <si>
    <t>Contratación</t>
  </si>
  <si>
    <t>Contratación de vacunadores</t>
  </si>
  <si>
    <t>Recrutamento</t>
  </si>
  <si>
    <t>Recrutamento de vacinadores</t>
  </si>
  <si>
    <t>التوظيف</t>
  </si>
  <si>
    <t xml:space="preserve"> تجنيد القائمين بالتطعيم</t>
  </si>
  <si>
    <t>招募</t>
  </si>
  <si>
    <t>招募疫苗接种者</t>
  </si>
  <si>
    <t>Uniforme, etc.</t>
  </si>
  <si>
    <t>Badges, uniformes</t>
  </si>
  <si>
    <t>Униформа и прочее</t>
  </si>
  <si>
    <t>Именные бейджи, униформа.</t>
  </si>
  <si>
    <t>Tarjetas de identificación</t>
  </si>
  <si>
    <t>Crachás, uniformes</t>
  </si>
  <si>
    <t xml:space="preserve"> الزي الرسمي، إلخ.</t>
  </si>
  <si>
    <t>بطاقات الاسم والزي الرسمي</t>
  </si>
  <si>
    <t>制服等</t>
  </si>
  <si>
    <t>身份牌、制服</t>
  </si>
  <si>
    <t>Autres frais par vaccinateur par jour, hors salaire (équipes mobiles)</t>
  </si>
  <si>
    <t>Другие затраты, не являющиеся заработной платой, на одного вакцинатора (для мобильных бригад).</t>
  </si>
  <si>
    <t>Otros costes no salariales por vacunador por día (Equipos móviles)</t>
  </si>
  <si>
    <t>Outros custos não salariais por vacinador por dia (equipas móveis)</t>
  </si>
  <si>
    <t>تكاليف أخرى غير الأجور لكل قائم بالتطعيم في اليوم الواحد (الفرق المتنقلة)</t>
  </si>
  <si>
    <t>每天每位接种疫苗者的其他非工资成本（移动团队）</t>
  </si>
  <si>
    <t>Rations alimentaires pour équipes mobiles</t>
  </si>
  <si>
    <t>Питание для мобильных бригад</t>
  </si>
  <si>
    <t>Alimentos para equipos móviles</t>
  </si>
  <si>
    <t>Alimentos para equipas móveis</t>
  </si>
  <si>
    <t>حصص غذائية للفرق المتنقلة</t>
  </si>
  <si>
    <t>移动团队的食品配给</t>
  </si>
  <si>
    <t>Logement pour équipes mobiles</t>
  </si>
  <si>
    <t>Проживание для мобильных бригад</t>
  </si>
  <si>
    <t>Alojamiento de equipos móviles</t>
  </si>
  <si>
    <t>Acomodação para equipas móveis</t>
  </si>
  <si>
    <t>الإقامة للفرق المتنقلة</t>
  </si>
  <si>
    <t>移动团队的住宿</t>
  </si>
  <si>
    <t>Dépenses variées pour équipes mobiles</t>
  </si>
  <si>
    <t>Par ex. autres indemnités</t>
  </si>
  <si>
    <t>Другие расходы для мобильных бригад</t>
  </si>
  <si>
    <t>Например, выплата других пособий</t>
  </si>
  <si>
    <t>Gastos varios de equipos móviles</t>
  </si>
  <si>
    <t>por ejemplo, otras contraprestaciones</t>
  </si>
  <si>
    <t>Despesas diversas para equipas móveis</t>
  </si>
  <si>
    <t>por ex.: outras ajudas de custo</t>
  </si>
  <si>
    <t>حساب متنوع للفرق المتنقلة</t>
  </si>
  <si>
    <t>على سبيل المثال بدلات أخرى</t>
  </si>
  <si>
    <t>移动团队的其他杂项支出</t>
  </si>
  <si>
    <t>例如其他津贴</t>
  </si>
  <si>
    <t>A3.2 Fournitures liées aux vaccins, y compris fret</t>
  </si>
  <si>
    <t>Douane?</t>
  </si>
  <si>
    <t>A3.2 Расходные материалы для вакцин, в т.ч. стоимость грузоперевозок</t>
  </si>
  <si>
    <t>Таможенное оформление?</t>
  </si>
  <si>
    <t>A3.2 Suminisitros relacionados con las vacunas, incluyendo portes</t>
  </si>
  <si>
    <t>¿Aduanas?</t>
  </si>
  <si>
    <t>A3.2 Suprimentos relacionados com as vacinas, incluindo o frete</t>
  </si>
  <si>
    <t>Alfândegas?</t>
  </si>
  <si>
    <t>A3.2 التجهيزات المتعلقة باللقاحات، بما في ذلك الشحن</t>
  </si>
  <si>
    <t>الجمارك؟</t>
  </si>
  <si>
    <t>A3.2 疫苗相关用品，包括货运</t>
  </si>
  <si>
    <t>通关？</t>
  </si>
  <si>
    <t>NB: Les prix unitaires des fournitures vaccinales sont outrepassés ici. Cette section peut être laissée en blanc: par défaut, les paramètres seront automatiquement remis à mise à jour.
Données électroniques: Selon le système utilisé/acquis, les coûts peuvent être inclus ici (en tant que coûts unitaires par dose) et/ou à la section A3.6 (par site/équipe et/ou par site-jour)</t>
  </si>
  <si>
    <t>Notas: Os preços unitários dos suprimentos relacionados com as vacinas são substituídos aqui. Pode deixar esta secção em branco para que, por padrão, os parâmetros sejam actualizados automaticamente.
Registos electrónicos: Dependendo do sistema utilizado/adquirido, os custos podem ser incluídos aqui (como custo unitário por dose) e/ou em A3.6 (por local/equipa e/ou por local-dia)</t>
  </si>
  <si>
    <t>Ces fournitures sont-elles sujettes à des droits de douane?</t>
  </si>
  <si>
    <t>Laisser ces cellules en blanc pour utiliser les coûts unitaires par défaut</t>
  </si>
  <si>
    <t>Cliquer ici pour modifier ou visualiser les spécifications des vaccins @ T1. Vaccins</t>
  </si>
  <si>
    <t xml:space="preserve">Для данных расходных материалов требуется таможенное оформление? </t>
  </si>
  <si>
    <t>Чтобы использовать значение удельной себестоимости по умолчанию, не заполняйте данные ячейки.</t>
  </si>
  <si>
    <t>Чтобы изменить или просмотреть спецификации для вакцин в T1 "Вакцины" нажмите здесь.</t>
  </si>
  <si>
    <t>¿Estos suministros precisan despacho de aduanas?</t>
  </si>
  <si>
    <t>Dejar estas celdas en blanco para utilizar costes unitarios por defecto</t>
  </si>
  <si>
    <t>Pulsar aquí para cambiar o visualizar las especificaciones de las vacunas @ T1. Vacunas</t>
  </si>
  <si>
    <t>Estes suprimentos estão sujeitos a desalfandegamento?</t>
  </si>
  <si>
    <t>Deixe estas células em branco para usar os custos unitários padrão</t>
  </si>
  <si>
    <t>Clique aqui para alterar ou visualizar as especificações das vacinas em T1. Vacinas</t>
  </si>
  <si>
    <t>هل تخضع هذه التجهيزات للتخليص الجمركي؟</t>
  </si>
  <si>
    <t>اترك هذه الخلايا فارغة لاستخدام تكاليف الوحدة الافتراضية</t>
  </si>
  <si>
    <t>انقر هنا لتغيير أو عرض مواصفات اللقاح @ T1. اللقاحات</t>
  </si>
  <si>
    <t>这些用品是否需要通关？</t>
  </si>
  <si>
    <t>将这些单元格留空以使用默认单位成本</t>
  </si>
  <si>
    <t>单击此处更改或查看T1疫苗规格</t>
  </si>
  <si>
    <t>Permet de calculer les coûts par dose pour les données électroniques vaccinales et apparentées. Les coûts peuvent aussi être calculés par site, par équipe et par site-jour</t>
  </si>
  <si>
    <t>Это позволяет расчитать затраты на электронный учет вакцинации и ведение учетно-отчетных документов в пересчете на одну дозу вакцины. Также, расчет может быть произведен на один объект/бригаду и на один день вакцинации на объекте.</t>
  </si>
  <si>
    <t>Esto permite estimar el coste por dosis para registros electrónicos de vacunación y otros registros relacionados. También se pueden estimar los costes por ubicación / por equipo y por ubicación y día.</t>
  </si>
  <si>
    <t>Isto permite o cálculo do custo por dose para os registos electrónicos da vacinação e a ela relacionados. Estes também podem ser calculados por local, por equipa e por local-dia.</t>
  </si>
  <si>
    <t>هذا يسمح بتكلفة كل جرعة للتلقيح الإلكتروني والسجلات ذات الصلة. يمكن أيضًا احتساب تكلفة هذه التكاليف لكل موقع / لكل فريق ولكل يوم في الموقع.</t>
  </si>
  <si>
    <t>可以在这里核算电子疫苗接种和相关记录的每剂成本，也可按每个站点/每个团队以及每天每个站点进行成本核算。</t>
  </si>
  <si>
    <t>Régler à la feuille T1 Vaccins le coût par dose du fonds d'indemnisation hors faute (en USD). Ne pas éditer cette rangée</t>
  </si>
  <si>
    <t>Определите затраты на фонд компенсационных выплат без наличия вины (паушальная компенсация без наличия вины в качестве полного и окончательного урегулирования любой претензии) из расчета на одну дозу вакцины (в долларах США) в таблице  T1 "Вакцина". Не вносите изменения в содержание данной строки.</t>
  </si>
  <si>
    <t>Introducir el coste por dosis (en USD) del fondo de indemnización sin culpa en la hoja T1 de vacunas. No modificar esta fila.</t>
  </si>
  <si>
    <t>Estabeleça o custo por dose do fundo de indemnização independentemente da responsabilidade (em USD) na Folha T1 Vacinas. Não edite esta linha.</t>
  </si>
  <si>
    <t>حدد تكلفة تمويل التعويض عن الأخطاء لكل جرعة (بالدولار الأمريكي) في لقاح الورقة T1. لا تقم بتحرير هذا الصف.</t>
  </si>
  <si>
    <t>在工作表T1疫苗中设置每剂无过失赔偿基金成本（美元）。请勿编辑此行。</t>
  </si>
  <si>
    <t>A3.3 EPI</t>
  </si>
  <si>
    <t>Quantité</t>
  </si>
  <si>
    <t xml:space="preserve">A3.3 СИЗ </t>
  </si>
  <si>
    <t>Скорректировать вручную в долларах США.</t>
  </si>
  <si>
    <t>A3.3 EPP</t>
  </si>
  <si>
    <t>Cantidad</t>
  </si>
  <si>
    <t>Quantidade</t>
  </si>
  <si>
    <t xml:space="preserve"> A3.3 معدات الوقاية الشخصية</t>
  </si>
  <si>
    <t>الكمية</t>
  </si>
  <si>
    <t>A3.3 PPE</t>
  </si>
  <si>
    <t>数量</t>
  </si>
  <si>
    <t>NB: Le type d'EPI, les quantités requises et les coûts unitaires de l'EPI peuvent être révisés et outrepassés ici. Cette section peut être laissée en blanc: par défaut, les paramètres seront automatiquement remis à mise à jour</t>
  </si>
  <si>
    <t>Примечания: Тип СИЗ, требуемое количество и удельную себестоимость СИЗ можно проверить и скорректировать вручную здесь. Вы можете не заполнять этот раздел. В таком случае, значения параметров по умолчанию обновляются автоматически.</t>
  </si>
  <si>
    <t>Notas: El tipo de EPP, las cantidades requeridas y los costes unitarios de los EPP pueden revisarse y sustituirse aquí. Puede dejar esta sección en blanco para que los parámetros se actualicen automáticamente por defecto.</t>
  </si>
  <si>
    <t>Notas: O tipo de EPI, quantidades necessárias e custos unitários dos EPI podem ser revistos e substituídos aqui. Pode deixar esta secção em branco para que, por padrão, os parâmetros sejam actualizados automaticamente.</t>
  </si>
  <si>
    <t>ملاحظات: يمكن هنا مراجعة نوع معدات الحماية الشخصية والكميات المطلوبة وتكاليف الوحدة الخاصة بمعدات الحماية الشخصية. يمكنك ترك هذا القسم فارغًا ليكون افتراضيًا للمَعلمات القابلة للتحديث التلقائي.</t>
  </si>
  <si>
    <t>注释：可在此处审核和覆写PPE的类型、所需数量和单位成本。可将此部分留空，以默认使用自动更新的参数。</t>
  </si>
  <si>
    <t>EPI par RHS par jour</t>
  </si>
  <si>
    <t>Laisser ces cellules en blanc pour utiliser les coûts unitaires et quantités par défaut</t>
  </si>
  <si>
    <t xml:space="preserve">Количество СИЗ на КРЗ в день </t>
  </si>
  <si>
    <t>Вы можете не заполнять этот раздел. В таком случае для удельной себестоимости и количества требуемых единиц будут использованы значения по умолчанию.</t>
  </si>
  <si>
    <t>EPP por RHS por día</t>
  </si>
  <si>
    <t>Dejar estas celdas en blanco para utilizar costes unitarios y cantidades por defecto</t>
  </si>
  <si>
    <t>EPI por RHS por dia</t>
  </si>
  <si>
    <t>Deixe estas células em branco para usar os custos unitários e quantidades padrão</t>
  </si>
  <si>
    <t>معدات الوقاية الشخصية لكل HRH في اليوم</t>
  </si>
  <si>
    <t>اترك هذه الخلايا فارغة لاستخدام تكاليف وكميات الوحدة الافتراضية</t>
  </si>
  <si>
    <t>每个HRH每天的PPE</t>
  </si>
  <si>
    <t>将这些单元格留空以使用默认单位成本和数量</t>
  </si>
  <si>
    <t>EPI par RHS unique</t>
  </si>
  <si>
    <t>Partir du principe que l'EPI peut être désinfecté/réutilisé. Quantités pour la durée de l'ensemble du programme (sur 3 ans)</t>
  </si>
  <si>
    <t xml:space="preserve">Количество СИЗ на одного КРЗ </t>
  </si>
  <si>
    <t>Предполагается повторная санобработка / повторное использование. Указывается количество на всю длительность программы (3 года).</t>
  </si>
  <si>
    <t>EPP por cada RHS</t>
  </si>
  <si>
    <t>Suponer que se pueden higienizar / reutilizar. Cantidades para la duración del programa entero (3 años)</t>
  </si>
  <si>
    <t>EPI por cada RHS</t>
  </si>
  <si>
    <t>Pressupõe que estes podem ser redesinfectados/reutilizados. Quantidades pela duração de todo o programa (3 anos)</t>
  </si>
  <si>
    <t>معدات الحماية الشخصية لكل HRH فريد</t>
  </si>
  <si>
    <t>افترض أنه يمكن إعادة تعقيمها / إعادة استخدامها. الكميات لكل مدة البرنامج بأكمله (3 سنوات)</t>
  </si>
  <si>
    <t>每个单独HRH的PPE</t>
  </si>
  <si>
    <t>假设可以再清洁/重复使用这些PPE。整个项目每个时间段的数量（3年）</t>
  </si>
  <si>
    <t>A3.4 Logistique</t>
  </si>
  <si>
    <t>Unités</t>
  </si>
  <si>
    <t>A3.4 Логистика</t>
  </si>
  <si>
    <t xml:space="preserve">Единица измерения </t>
  </si>
  <si>
    <t>Cкорректировать вручную в долларах США.</t>
  </si>
  <si>
    <t>Примечание</t>
  </si>
  <si>
    <t>A3.4 Logística</t>
  </si>
  <si>
    <t>Unidades</t>
  </si>
  <si>
    <t xml:space="preserve"> A3.4 اللوجستيات</t>
  </si>
  <si>
    <t>A3.4 物流</t>
  </si>
  <si>
    <t>单位</t>
  </si>
  <si>
    <t>Instructions: Vérifier les hypothèses concernant les coûts unitaires de transport at apparentés. Si le pays va imposer des tarif et droits de douane pour les doses de vaccin et les fournitures vaccinales, l'indiquer ici</t>
  </si>
  <si>
    <t>Инструкции: Проверьте предполагаемые значения удельной себестоимости для грузовых перевозок и сопутствующих расходов.
Если страна будет облагать вакцины и расходные материалы таможенными пошлинами или какими-либо тарифами, укажите их здесь.</t>
  </si>
  <si>
    <t>Instrucciones: Revisar las hipótesis de coste por unidad para transporte y costes asociados.
If the country will be imposing custom clearance duties or tarfiffs for the vaccine doses or vaccine-related supplies, enter it here.</t>
  </si>
  <si>
    <t>Instruções: Faça uma revisão dos pressupostos de custo unitário para frete e custos relacionados.
Se o país vai impor taxas ou tarifas alfandegárias para as doses de vacinas ou suprimentos relacionados com a vacina, digite-as aqui.</t>
  </si>
  <si>
    <t>التعليمات: يرجى مراجعة افتراضات تكلفة الوحدة للشحن والتكاليف ذات الصلة.
إذا كانت الدولة ستفرض رسوم التخليص الجمركي أو التعريفات على جرعات اللقاح أو التجهيزات المتعلقة باللقاح، فأدخلها هنا.</t>
  </si>
  <si>
    <t>说明：请审核运费和相关费用的单位成本假设值。
如果该国将对疫苗剂数或与疫苗相关的用品征收通关关税或税费，请在此处输入。</t>
  </si>
  <si>
    <t>Modèle de base: Suppose le transport depuis l'aéroport du fabricant jusqu'à l'arrivée dans UN entrepôt central du pays destinataire</t>
  </si>
  <si>
    <t>Базовая модель: Предполагается транспортировка продуктов из аэропорта страны изоготовителя до прибытия на ОДИН центральный склад /хранилище страны-получателя</t>
  </si>
  <si>
    <t>Modelo básico: Supone transporte desde el aeropuerto del fabricante hasta la llegada a UN almacén central en el país de destino</t>
  </si>
  <si>
    <t>Modelo básico: Pressupõe o transporte do aeroporto do fabricante até à chegada a UM depósito/armazém central no país de destino</t>
  </si>
  <si>
    <t xml:space="preserve"> اللوجستيات الدولية</t>
  </si>
  <si>
    <t xml:space="preserve"> النموذج الأساسي: يفترض النقل من مطار الشركة المصنعة حتى الوصول إلى مخزن / مستودع مركزي واحد في البلد المستلم</t>
  </si>
  <si>
    <t>基本模型：假设从制造商机场运到接收国的一个中央储存点/仓库</t>
  </si>
  <si>
    <t>Prix du fret aérien: premiers 100 kg</t>
  </si>
  <si>
    <t>Par kg</t>
  </si>
  <si>
    <t>Цена грузоперевозок авиатранспортом - до 100 кг</t>
  </si>
  <si>
    <t>За 1 кг</t>
  </si>
  <si>
    <t>Precio de carga aérea - Primeros 100 kg</t>
  </si>
  <si>
    <t>Por kg</t>
  </si>
  <si>
    <t>Preço do frete aéreo – Primeiros 100 kg</t>
  </si>
  <si>
    <t xml:space="preserve"> سعر الشحن الجوي - أول 100 كجم</t>
  </si>
  <si>
    <t>لكل كيلوغرام</t>
  </si>
  <si>
    <t>空运价格——第一个100kg</t>
  </si>
  <si>
    <t>每kg</t>
  </si>
  <si>
    <t>Prix du fret aérien: au-delà de 100 kg</t>
  </si>
  <si>
    <t>Цена грузоперевозок авиатранспортом - более 100 кг</t>
  </si>
  <si>
    <t>Precio de carga aérea - Más de 100 kg</t>
  </si>
  <si>
    <t>Preço do frete aéreo – Acima de 100 kg</t>
  </si>
  <si>
    <t xml:space="preserve"> سعر الشحن الجوي - فوق 100 كجم</t>
  </si>
  <si>
    <t>空运价格——100kg之外</t>
  </si>
  <si>
    <t>Coût du service d'escale par cargaison</t>
  </si>
  <si>
    <t>Par cargaison</t>
  </si>
  <si>
    <t>Стоимость наземного обслуживания за одну поставку.</t>
  </si>
  <si>
    <t>За одну поставку.</t>
  </si>
  <si>
    <t>Costes de asistencia en tierra por envío</t>
  </si>
  <si>
    <t>Por envío</t>
  </si>
  <si>
    <t>Custos de movimentação em terra por expedição</t>
  </si>
  <si>
    <t>Por expedição</t>
  </si>
  <si>
    <t xml:space="preserve"> تكاليف المناولة الأرضية لكل شحنة</t>
  </si>
  <si>
    <t>لكل شحنة</t>
  </si>
  <si>
    <t>每次运输的地勤费用</t>
  </si>
  <si>
    <t>每次运输</t>
  </si>
  <si>
    <t>Enregistreur électronique de température (laisser en blanc pour coûts par défaut)</t>
  </si>
  <si>
    <t>Par conteneur</t>
  </si>
  <si>
    <t>Электронные датчики мониторинга температуры (для использования значения по умолчанию оставьте эту ячейку пустой )</t>
  </si>
  <si>
    <t>За 1 контейнер</t>
  </si>
  <si>
    <t xml:space="preserve"> https://www.who.int/immunization_standards/vaccine_quality/Vaccines_Shipping_Guidelines082019.pdf</t>
  </si>
  <si>
    <t>Dispositivo electrónico de vigilancia de la temperatura (dejar en blanco para utilizar coste por defecto)</t>
  </si>
  <si>
    <t>Por contenedor</t>
  </si>
  <si>
    <t>Dispositivo electrónico de monitorização de temperatura (deixe em branco para o custo padrão)</t>
  </si>
  <si>
    <t>Por contentor</t>
  </si>
  <si>
    <t>جهاز مراقبة درجة الحرارة الإلكترونية (يُترك فارغًا للتكلفة الافتراضية)</t>
  </si>
  <si>
    <t>كل حاوية</t>
  </si>
  <si>
    <t>电子温度监控装置（留空以使用默认费用）</t>
  </si>
  <si>
    <t>每个容器</t>
  </si>
  <si>
    <t>Tarif spécial (par dose de vaccin)</t>
  </si>
  <si>
    <t>Par dose</t>
  </si>
  <si>
    <t>Des tarifs ne sont pas prévus, mais, le cas échéant, ils peuvent être spécifiés ici</t>
  </si>
  <si>
    <t>Специальный тариф (за одну дозу вакцины)</t>
  </si>
  <si>
    <t>За 1 дозу вакцины</t>
  </si>
  <si>
    <t>Тарифы не предусмотрены, но если они есть, укажите их здесь</t>
  </si>
  <si>
    <t>Arancel especial (por dosis de vacuna)</t>
  </si>
  <si>
    <t>Por dosis</t>
  </si>
  <si>
    <t>No se prevé que se apliquen aranceles, pero en caso de aplicarse, se especificarían aquí</t>
  </si>
  <si>
    <t>Tarifa especial (por dose de vacina)</t>
  </si>
  <si>
    <t>Por dose</t>
  </si>
  <si>
    <t>Não se espera que haja tarifas, mas se houver, aqui é onde podem ser especificadas</t>
  </si>
  <si>
    <t>التعريفة الخاصة (لكل جرعة لقاح)</t>
  </si>
  <si>
    <t xml:space="preserve"> لكل جرعة</t>
  </si>
  <si>
    <t xml:space="preserve"> ليس من المتوقع أن تكون هناك تعريفات جمركية، ولكن إذا كانت موجودة ، فإليك المكان الذي يمكن تحديدها فيه</t>
  </si>
  <si>
    <t>特种税费（每剂疫苗）</t>
  </si>
  <si>
    <t>每剂</t>
  </si>
  <si>
    <t>预计无需支付税费，但如果有，可在此处注明</t>
  </si>
  <si>
    <t>Droits de douane (ad valorem), en pourcentage</t>
  </si>
  <si>
    <t>Par valeur</t>
  </si>
  <si>
    <t>Таможенное оформление доз вакцины (Ad valorem - на объявленную стоимость), в процентном выражении</t>
  </si>
  <si>
    <t xml:space="preserve">На основании стоимости </t>
  </si>
  <si>
    <t>Despacho de aduanas por dosis de vacuna (Ad valorem), Porcentaje</t>
  </si>
  <si>
    <t>Por valor</t>
  </si>
  <si>
    <t>Desalfandegamento de dose de vacina (ad valorem), percentagem</t>
  </si>
  <si>
    <t>التخليص الجمركي لجرعة اللقاح (حسب القيمة)، النسبة المئوية</t>
  </si>
  <si>
    <t xml:space="preserve"> لكل قيمة</t>
  </si>
  <si>
    <t>ليس من المتوقع أن تكون هناك تعريفات جمركية، ولكن إذا كانت موجودة، فإليك المكان الذي يمكن تحديدها فيه</t>
  </si>
  <si>
    <t xml:space="preserve"> 疫苗通关（从价关税），百分比</t>
  </si>
  <si>
    <t>按价值</t>
  </si>
  <si>
    <t>Droits de douane pour fournitures vaccinales (ad valorem), en pourcentage</t>
  </si>
  <si>
    <t xml:space="preserve">Таможенное оформление расходных материалов для вакцинации (Ad valorem - на объявленную стоимость), в процентном выражении </t>
  </si>
  <si>
    <t>Despacho de aduanas de suministros auxiliares de la vacuna (Ad valorem), Porcentaje</t>
  </si>
  <si>
    <t>Desalfandegamento de suprimentos relacionados com a vacina (ad valorem), percentagem</t>
  </si>
  <si>
    <t>التخليص الجمركي للتجهيزات المتعلقة باللقاحات (حسب القيمة)، النسبة المئوية</t>
  </si>
  <si>
    <t>疫苗相关用品通关（从价关税），百分比</t>
  </si>
  <si>
    <t>Frais de services d'achat pour fournitures vaccinales, en pourcentage</t>
  </si>
  <si>
    <t>Pour le responsable des achats</t>
  </si>
  <si>
    <t>Оплата за закупку расходных материалов для вакцинации, в процентном выражении</t>
  </si>
  <si>
    <t>Для агентов по закупкам</t>
  </si>
  <si>
    <t>Tasas de servicios de adquisición de suministros auxiliares de las vacunas, Porcentaje</t>
  </si>
  <si>
    <t>Para el agente encargado de la adquisición</t>
  </si>
  <si>
    <t>Taxas de serviços de aquisição de suprimentos relacionados com a vacina, percentagem</t>
  </si>
  <si>
    <t>Para o agente de compras</t>
  </si>
  <si>
    <t>رسوم خدمات المشتريات المتعلقة باللقاحات، النسبة المئوية</t>
  </si>
  <si>
    <t>لوكيل الشراء</t>
  </si>
  <si>
    <t>疫苗相关用品采购服务费，百分比</t>
  </si>
  <si>
    <t>针对采购代理</t>
  </si>
  <si>
    <t>Instructions: Inclure les coûts unitaires de transport et frais apparentés pour les équipes de terrain</t>
  </si>
  <si>
    <t>Инструкции: Укажите удельную себестоимость транспортировки и прочие сопутствующие расходы для выездных бригад</t>
  </si>
  <si>
    <t>Instrucciones: Incluir coste por unidad para el transporte y otros gastos relacionados de los equipos de extensión</t>
  </si>
  <si>
    <t>Instruções: Inclua os custos unitários de transporte e outras despesas relacionadas para as equipas de actividades de alcance</t>
  </si>
  <si>
    <t xml:space="preserve"> التعليمات: يرجى تضمين تكاليف الوحدة للنقل والمصروفات الأخرى ذات الصلة لفرق التوعية</t>
  </si>
  <si>
    <t>说明：请包括外展团队的交通和其他相关费用的单位成本</t>
  </si>
  <si>
    <t>Terrain</t>
  </si>
  <si>
    <t>Выездные прививочные сессии</t>
  </si>
  <si>
    <t>Extensión</t>
  </si>
  <si>
    <t>Actividades de alcance</t>
  </si>
  <si>
    <t>Équipe mobile A (solo) par équipe par jour</t>
  </si>
  <si>
    <t>En cas de multiples modes de transport: utiliser une moyenne pondérée</t>
  </si>
  <si>
    <t xml:space="preserve">Мобильная бригада типа А (индивидуальная) - из расчета на одну бригаду в день </t>
  </si>
  <si>
    <t xml:space="preserve">Если используются различные типы транспорта - укажите средневзвешенное среднее значение </t>
  </si>
  <si>
    <t>Equipo Móvil A (Solo) Por equipo y día</t>
  </si>
  <si>
    <t>Si hay múltiples medios de transporte - utilizar media ponderada</t>
  </si>
  <si>
    <t>Equipa móvel A (indivíduo) por equipa por dia</t>
  </si>
  <si>
    <t>Se vários modos de transporte – use uma média ponderada</t>
  </si>
  <si>
    <t>الفريق الجوال أ (منفردًا) لكل فريق في اليوم</t>
  </si>
  <si>
    <t xml:space="preserve"> إذا كانت وسائط النقل متعددة - استخدم المتوسط المرجح</t>
  </si>
  <si>
    <t>移动团队A（单人组）每天每团队</t>
  </si>
  <si>
    <t>如果采用多种交通工具，请使用加权平均值</t>
  </si>
  <si>
    <t>Transports</t>
  </si>
  <si>
    <t>Par ex. coût total de possession (TCO) pour une moto par jour, y compris carburant</t>
  </si>
  <si>
    <t>Транспорт</t>
  </si>
  <si>
    <t xml:space="preserve">Например, полные затраты на мотоцикл за 1 день, в том числе на топливо </t>
  </si>
  <si>
    <t>Transporte</t>
  </si>
  <si>
    <t>CTP por moto por día, incluyendo combustible</t>
  </si>
  <si>
    <t>Digamos custo total de propriedade de uma motocicleta por dia, incl. combustível</t>
  </si>
  <si>
    <t>النقل</t>
  </si>
  <si>
    <t xml:space="preserve"> قل TCO لدراجة نارية في اليوم، بما في ذلك وقود</t>
  </si>
  <si>
    <t>交通</t>
  </si>
  <si>
    <t>比如摩托车的每天TCO，包括燃油</t>
  </si>
  <si>
    <t>Équipe mobile B (plusieurs personnes) par équipe par jour</t>
  </si>
  <si>
    <t xml:space="preserve">Мобильная бригада типа B (несколько сотрудников), из расчета на одну бригаду в день </t>
  </si>
  <si>
    <t>Equipo Móvil B (Multi-persona) Pr equipo y día</t>
  </si>
  <si>
    <t>Equipa móvel B (múltiplas pessoas) por equipa por dia</t>
  </si>
  <si>
    <t>Se houver vários modos de transporte – use uma média ponderada</t>
  </si>
  <si>
    <t>الفريق الجوال ب(متعدد الأشخاص) لكل فريق في اليوم</t>
  </si>
  <si>
    <t>إذا كانت وسائط النقل متعددة - استخدم المتوسط المرجح</t>
  </si>
  <si>
    <t>移动团队B（多人组）每天每团队</t>
  </si>
  <si>
    <t>Par ex. coût total de possession (TCO) pour un VTT par jour, y compris carburant</t>
  </si>
  <si>
    <t xml:space="preserve">Например, полные затраты на полноприводный автомобиль за 1 день, в том числе на топливо </t>
  </si>
  <si>
    <t>CTP por vehículo 4x4 por día, incluyendo combustible</t>
  </si>
  <si>
    <t>Digamos custo total de propriedade para um 4WD por dia, incl. combustível</t>
  </si>
  <si>
    <t xml:space="preserve"> قل TCO لـ 4WD في اليوم، بما في ذلك الوقود</t>
  </si>
  <si>
    <t>比如4WD的每天TCO，包括燃油</t>
  </si>
  <si>
    <t>A3.5 Stockage au froid et chaîne du froid</t>
  </si>
  <si>
    <t>A3.5 Холодильное хранение и холодовая цепь</t>
  </si>
  <si>
    <t>A3.5 Almacenaje en frío y cadena de frío</t>
  </si>
  <si>
    <t>A3.5 Armazenamento Frigorífico e Cadeia de Frio</t>
  </si>
  <si>
    <t>A3.5 التخزين البارد وسلسلة البرودة</t>
  </si>
  <si>
    <t>A3.5 冷库和冷链</t>
  </si>
  <si>
    <t>Instructions: Vérifier les hypothèses concernant les coûts unitaires pour l'électricité et les transports dans la chaîne du froid. Noter que des coûts par défaut peuvent être utilisés pour le matériel de la chaîne du froid: il suffit de laisser cette section en blanc.
Si un dédouanement est requis pour le matériel de la chaîne du froid, répondre OUI à la cellule correspondante</t>
  </si>
  <si>
    <t>Инструкции: Проверьте предполагаемые значения удельной себестоимости для потребления электроэрнергии и транспортировки в условиях холодовой цепи.
Вы можете не заполнять данный раздел. В таком случае, для расходных материалов холодовой цепи будут применяться значения по умолчанию.
Если для расходных материалов холодовой цепи требуется прохождение процедуры таможенного оформления, укажите ДА в соответствующей ячейке.</t>
  </si>
  <si>
    <t>Instrucciones: Revisar supuestos de coste por unidad para la electricidad y el transporte en cadena de frío. Se pueden utilizar costes por defecto para suministros de cadena de frío dejando esa sección en blanco 
If customs clearance will be required for cold-chain supplies, please indicate YES in the appropriate cell.</t>
  </si>
  <si>
    <t>Instruções: Faça uma revisão dos pressupostos de custo unitário para electricidade e transporte em cadeia de frio. Note que é possível usar os custos padrão para suprimentos da cadeia de frio deixando essa secção em branco.
Se for necessário o desalfandegamento para suprimentos da cadeia de frio, indique SIM na célula apropriada.</t>
  </si>
  <si>
    <t>التعليمات: يرجى مراجعة افتراضات تكلفة الوحدة لنقل الكهرباء وسلسلة البرودة. لاحظ أنه يمكن استخدام التكاليف الافتراضية لتجهيزات سلسلة البرودة من خلال ترك هذا القسم فارغًا.
إذا كان التخليص الجمركي مطلوبًا لإمدادات سلسلة البرودة، يرجى الإشارة إلى نعم في الخلية المناسبة.</t>
  </si>
  <si>
    <t>说明：请审核电力和冷链运输的单位成本假设值。请注意，可将该部分留空以使用冷链供应的默认成本。
如果冷链用品需要通关，请在相应的单元格中选择“是”。</t>
  </si>
  <si>
    <t>Électricité</t>
  </si>
  <si>
    <t>Энергоснабжение</t>
  </si>
  <si>
    <t>Energía</t>
  </si>
  <si>
    <t>Energia eléctrica</t>
  </si>
  <si>
    <t>الطاقة</t>
  </si>
  <si>
    <t>电力</t>
  </si>
  <si>
    <t>Électricité (par kWh)</t>
  </si>
  <si>
    <t xml:space="preserve">Электроэнергия (за 1 кВт/ч) </t>
  </si>
  <si>
    <t>Electricidad (por kWh)</t>
  </si>
  <si>
    <t>Electricidade (por kWh)</t>
  </si>
  <si>
    <t>الكهرباء (لكل كيلوواط ساعة)</t>
  </si>
  <si>
    <t>电力（每kWh）</t>
  </si>
  <si>
    <t>Fournitures pour la chaîne du froid</t>
  </si>
  <si>
    <t xml:space="preserve">Расходные материалы холодовой цепи </t>
  </si>
  <si>
    <t xml:space="preserve">Данные расходные материалы облагаются таможенными пошлинами? </t>
  </si>
  <si>
    <t>Suministros de cadena de frío</t>
  </si>
  <si>
    <t>Estos suministros, ¿están sujetos a despacho de aduanas?</t>
  </si>
  <si>
    <t>Suprimentos da cadeia de frio</t>
  </si>
  <si>
    <t>تجهيزات سلسلة البرودة</t>
  </si>
  <si>
    <t>冷链用品</t>
  </si>
  <si>
    <t>Laisser en blanc pour utiliser les prix par défaut. Par ex. E004/036 | https://supply.unicef.org/s0002363.html</t>
  </si>
  <si>
    <t>Не заполняйте, чтобы использовать ценовые значения по умолчанию, например, E004/036 | https://supply.unicef.org/s0002363.html</t>
  </si>
  <si>
    <t>Dejar en blanco para utilizar precios por defecto. por ejemplo, E004/036 | https://supply.unicef.org/s0002363.html</t>
  </si>
  <si>
    <t>Deixe em branco para usar os preços padrão, por ex., E004/036 | https://supply.unicef.org/s0002363.html</t>
  </si>
  <si>
    <t xml:space="preserve"> اتركه فارغًا لاستخدام الأسعار الافتراضية. على سبيل المثال، E004 / 036 | https://supply.unicef.org/s0002363.html</t>
  </si>
  <si>
    <t>留空以使用默认价格。例如，E004/036 | https://supply.unicef.org/s0002363.html</t>
  </si>
  <si>
    <t>Laisser en blanc pour utiliser les prix par défaut. Par ex. PQS E004/050 | https://supply.unicef.org/s0002475.html</t>
  </si>
  <si>
    <t>Не заполняйте, чтобы использовать ценовые значения по умолчанию, например PQS E004/050 | https://supply.unicef.org/s0002475.html</t>
  </si>
  <si>
    <t>Dejar en blanco para utilizar precios por defecto. por ejemplo, PQS E004/050 | https://supply.unicef.org/s0002475.html</t>
  </si>
  <si>
    <t>Deixe em branco para usar os preços padrão, por ex., PQS E004/050 | https://supply.unicef.org/s0002475.html</t>
  </si>
  <si>
    <t xml:space="preserve"> اتركه فارغًا لاستخدام الأسعار الافتراضية. على سبيل المثال PQS E004 / 050 | https://supply.unicef.org/s0002475.html</t>
  </si>
  <si>
    <t>留空以使用默认价格。例如，PQS E004/050 | https://supply.unicef.org/s0002475.html</t>
  </si>
  <si>
    <t>Laisser en blanc pour utiliser les prix par défaut. Par ex. https://supply.unicef.org/s0002221.html</t>
  </si>
  <si>
    <t>Не заполняйте, чтобы использовать ценовые значения по умолчанию, например https://supply.unicef.org/s0002221.html</t>
  </si>
  <si>
    <t>Dejar en blanco para utilizar precios por defecto. por ejemplo, https://supply.unicef.org/s0002221.html</t>
  </si>
  <si>
    <t>Deixe em branco para usar os preços padrão, por ex., https://supply.unicef.org/s0002221.html</t>
  </si>
  <si>
    <t>اتركه فارغًا لاستخدام الأسعار الافتراضية، على سبيل المثال، https://supply.unicef.org/s0002221.html</t>
  </si>
  <si>
    <t>留空以使用默认价格。例如，https://supply.unicef.org/s0002221.html</t>
  </si>
  <si>
    <t>De central à régional, calculé sur la base PAR VOYAGE et PAR LITRE</t>
  </si>
  <si>
    <t>从中央到区域——按每次行程加上每公里-升计算</t>
  </si>
  <si>
    <t>a. Logistique de la chaîne du froid et transports dans le pays, PAR VOYAGE</t>
  </si>
  <si>
    <t>a. Логистика холодовой цепи и внутренняя транспортировка, НА ОДНУ ПОЕЗДКУ</t>
  </si>
  <si>
    <t>a. Logística de cadena de frío y transporte nacional, POR DESPLAZAMIENTO</t>
  </si>
  <si>
    <t>a. Logística da cadeia de frio e transporte interno, POR VIAGEM</t>
  </si>
  <si>
    <t xml:space="preserve"> أ. لوجستيات سلسلة البرودة  والنقل المحلي، لكل رحلة</t>
  </si>
  <si>
    <t>a. 冷链物流和国内运输，每次行程</t>
  </si>
  <si>
    <t>Température ambiante</t>
  </si>
  <si>
    <t>Par voyage</t>
  </si>
  <si>
    <t>При комнатной температуре</t>
  </si>
  <si>
    <t>На одну поездку</t>
  </si>
  <si>
    <t>Temperatura ambiente</t>
  </si>
  <si>
    <t>por desplazamiento</t>
  </si>
  <si>
    <t>por viagem</t>
  </si>
  <si>
    <t>درجة حرارة الغرفة</t>
  </si>
  <si>
    <t>室内温度</t>
  </si>
  <si>
    <t>每次行程</t>
  </si>
  <si>
    <t>Réfrigéré (2 à 8 °C)</t>
  </si>
  <si>
    <t>С охлаждением (+2 - +8С)</t>
  </si>
  <si>
    <t>Refrigerado (2 a 8 ºC)</t>
  </si>
  <si>
    <t>Refrigerada (2ºC a 8ºC)</t>
  </si>
  <si>
    <t xml:space="preserve"> مبرد (2 إلى 8 درجة مئوية)</t>
  </si>
  <si>
    <t xml:space="preserve"> لكل رحلة</t>
  </si>
  <si>
    <t>冷藏（2至8C）</t>
  </si>
  <si>
    <t>Congelé (-20 °C)</t>
  </si>
  <si>
    <t>С заморозкой (-20С)</t>
  </si>
  <si>
    <t>Congelado (-20 ºC)</t>
  </si>
  <si>
    <t>Congelada (-20ºC)</t>
  </si>
  <si>
    <t xml:space="preserve"> مجمد (-20 درجة مئوية)</t>
  </si>
  <si>
    <t>冷冻（-20C）</t>
  </si>
  <si>
    <t>Ultra-froid (-60 à -80 °C)</t>
  </si>
  <si>
    <t>NB: Pas de modèle à grande échelle de stockage dans la chaîne de l'ultra-froid pour les pays à revenu faible et intermédiaire -&gt; la fonctionnalité de cet outil de calcul des coûts est limitée pour les besoins de la chaîne de l'ultra-froid</t>
  </si>
  <si>
    <t>С заморозкой при ультранизкой температуре (-60 - -80С)</t>
  </si>
  <si>
    <t>ПРИМЕЧАНИЕ: В СНД и ССД нет возможностей масштабного хранения при ультранизкой температуре  --&gt; поэтому функциональность данного инструмента-калькулятора для обеспечения потребностей в ультранизких температурах ограничена</t>
  </si>
  <si>
    <t>Frío extremo (-60 a -80 ºC)</t>
  </si>
  <si>
    <t>NOTA: No hay modelos de gran escala de almacenaje en cadena de frío extremo en países de ingresos bajos y países de ingresos medianos --&gt; esta herramienta de estimación de costes tiene una funcionalidad limitada para requisitos de cadena de frío extrema</t>
  </si>
  <si>
    <t>Ultra-fria (-60ºC a -80ºC)</t>
  </si>
  <si>
    <t>NOTA: Nenhum modelo em grande escala de armazenamento em cadeia de ultra-frio em PBR e PMR --&gt; esta ferramenta de cálculo de custos tem funcionalidade limitada para requisitos de cadeia de ultra-frio</t>
  </si>
  <si>
    <t>فائق البرودة (-60 إلى -80 درجة مئوية)</t>
  </si>
  <si>
    <t>ملاحظة: لا توجد نماذج كبيرة الحجم للتخزين شديد البرودة في البلدان ذات الدخل المنخفض والمتوسط -&gt; أداة حساب التكلفة هذه لها وظائف محدودة لمتطلبات سلسلة التبريد الفائق</t>
  </si>
  <si>
    <t>超冷（-60至-80C）</t>
  </si>
  <si>
    <t>注意：LIC和MIC不具备大规模超冷链存储模型 -&gt; 此成本核算工具功能有限，无法满足超冷链需求</t>
  </si>
  <si>
    <t>مبرد (2 إلى 8 درجة مئوية)</t>
  </si>
  <si>
    <t>مجمد (-20 درجة مئوية)</t>
  </si>
  <si>
    <t>De régional à districts et sites fixes, calculé sur la base PAR VOYAGE et PAR LITRE</t>
  </si>
  <si>
    <t>从区域到地区和固定站点——按每次行程加上每公里-升计算</t>
  </si>
  <si>
    <t xml:space="preserve"> أ. لوجستيات سلسلة التبريد والنقل المحلي ، لكل رحلة</t>
  </si>
  <si>
    <t>на одну поездку</t>
  </si>
  <si>
    <t>لكل رحلة</t>
  </si>
  <si>
    <t xml:space="preserve"> فائق البرودة (-60 إلى -80 درجة مئوية)</t>
  </si>
  <si>
    <t>] درجة حرارة الغرفة</t>
  </si>
  <si>
    <t>A3.6 Gestion et suivi des données sur place, pharmacovigilance</t>
  </si>
  <si>
    <t>A3.6 Управление и мониторинг данных на местном уровне, фармаконадзор</t>
  </si>
  <si>
    <t xml:space="preserve"> A3.6 Seguimiento y gestión de datos local, Farmacovigilancia</t>
  </si>
  <si>
    <t>A3.6 Gestão e Monitorização de Dados Locais, Farmacovigilância</t>
  </si>
  <si>
    <t>A3.6 إدارة البيانات المحلية ومراقبتها، التيقظ الدوائي</t>
  </si>
  <si>
    <t>A3.6 本地数据管理和监控、药物警戒</t>
  </si>
  <si>
    <t>Par site fixe (Modalité d'administration 1) ou par équipe (Modalités 2, 3, 4)</t>
  </si>
  <si>
    <t>Comptera comme dépense d'investissement</t>
  </si>
  <si>
    <t>На одно стационарное лечебное учреждение (стратегия организации прививок - СП1) или на одну бригаду (стратегия организации прививок - СП2,3,4)</t>
  </si>
  <si>
    <t>Будет рассчитываться как капитальные затраты</t>
  </si>
  <si>
    <t>Por Ubicación fija (DM1) o Por Equipo (DM2,3,4)</t>
  </si>
  <si>
    <t>Se contarán como gastos de capital</t>
  </si>
  <si>
    <t>Por local fixo (MA1) ou por equipa (MA2,3,4)</t>
  </si>
  <si>
    <t>Serão contados como despesas de capital</t>
  </si>
  <si>
    <t xml:space="preserve"> لكل موقع ثابت (DM1) أو لكل فريق (DM2،3،4)</t>
  </si>
  <si>
    <t>سوف تحسب على أنها نفقات رأس المال</t>
  </si>
  <si>
    <t>每个固定站点（DM1）或每个团队（DM2、3、4）</t>
  </si>
  <si>
    <t>将计入资本支出</t>
  </si>
  <si>
    <t>Par site et par jour</t>
  </si>
  <si>
    <t>Comptera comme dépense de fonctionnement</t>
  </si>
  <si>
    <t>На один пункт в день</t>
  </si>
  <si>
    <t>Будет рассчитываться как операционные затраты</t>
  </si>
  <si>
    <t>Por ubicación y día</t>
  </si>
  <si>
    <t>Se contarán como gastos operativos</t>
  </si>
  <si>
    <t>Por local por dia</t>
  </si>
  <si>
    <t>Serão contados como despesas operacionais</t>
  </si>
  <si>
    <t xml:space="preserve"> لكل موقع في اليوم</t>
  </si>
  <si>
    <t xml:space="preserve"> ستحسب كنفقات تشغيلية</t>
  </si>
  <si>
    <t>每天每个站点</t>
  </si>
  <si>
    <t>将计入运营支出</t>
  </si>
  <si>
    <t>A3.7 Génération de la demande et communications sur place</t>
  </si>
  <si>
    <t xml:space="preserve">A3.7 Формирование спроса и осуществление информационного взаимодействия на местном уровне </t>
  </si>
  <si>
    <t>A3.7 Generación de demanda y comunicación a nivel local</t>
  </si>
  <si>
    <t>A3.7 Geração de Procura e Comunicações Locais</t>
  </si>
  <si>
    <t>A3.7 توليد الطلب المحلي والاتصالات</t>
  </si>
  <si>
    <t>A3.7 本地需求生成与交流</t>
  </si>
  <si>
    <t>Instructions: Ajouter les coûts unitaires de la génération de la demande et de la communication par site et par personne éligible. Il peut s'agir d'un facteur de coût important: remplir soigneusement cette section. Des coûts séparés de génération de la demande peuvent être utilisés pour les personnes éligibles en raison de la nature de leur travail et en raison de critères non professionnels (volontaires)</t>
  </si>
  <si>
    <t>Инструкции: Укажите удельную себестоимость формирования спроса и осуществления информационного взаимодействия для одного объекта из расчета на одно лицо, удовлетворяющее критериям вакцинации. Будьте предельно внимальны при заполнении - данный раздел представляет собой существенный затратообразующий фактор.  Затраты на формирование спроса могут применяться отдельно для лиц, которые удовлетворяют критериям в связи с профессиональной деятельностью и для тех, кто удовлетворяет критериям, не связанным с работой (добровольная вакцинация).</t>
  </si>
  <si>
    <t xml:space="preserve">Instrucciones: Añadir costes unitarios de generación de demanda y de unidades de comunicación por ubicación y por persona elegible. Esto puede suponer una partida de costes significativa - introducir datos con precaución. Se pueden utilizar costes de generación de demanda separados para personas elegibles por la naturaleza de su trabajo, y personas elegibles por criterios no laborales (voluntarios). </t>
  </si>
  <si>
    <t>Instruções: Acrescente os custos de geração de procura e unidades de comunicação por local e por pessoa elegível. Isto pode ser um grande factor de custos – preencha estas células com cuidado. Custos separados de geração de procura podem ser usados para aqueles que são elegíveis devido à natureza do seu trabalho e para os que são elegíveis devido a critérios não de trabalho (voluntário).</t>
  </si>
  <si>
    <t>التعليمات: الرجاء إضافة تكاليف إنشاء الطلب ووحدات الاتصالات لكل موقع ولكل شخص مؤهل. يمكن أن يكون هذا دافعًا كبيرًا للتكاليف - يرجى إكمالها بعناية. يمكن استخدام تكاليف توليد الطلب المنفصلة لأولئك المؤهلين بسبب طبيعة عملهم ولأولئك المؤهلين بسبب معايير عدم العمل (طوعي).</t>
  </si>
  <si>
    <t>说明：请填写每个站点和每位符合接种资格个人的需求生成和交流单位成本。这可能是影响成本的重要因素，请仔细填写。对于因工作性质而符合资格的个人和因非工作条件（自愿性）而符合资格的个人，可使用各自单独的需求生成成本。</t>
  </si>
  <si>
    <t>Par site</t>
  </si>
  <si>
    <t>Tous types de points de prestation</t>
  </si>
  <si>
    <t>На один объект</t>
  </si>
  <si>
    <t xml:space="preserve">Все типы пунктов, предоставляющих услуги </t>
  </si>
  <si>
    <t>Por Ubicación</t>
  </si>
  <si>
    <t>Todo tipo de puntos de prestación de servicios</t>
  </si>
  <si>
    <t>Por local</t>
  </si>
  <si>
    <t>Todos os tipos de pontos de serviços</t>
  </si>
  <si>
    <t>لكل موقع</t>
  </si>
  <si>
    <t>جميع أنواع نقاط الخدمات</t>
  </si>
  <si>
    <t>每个站点</t>
  </si>
  <si>
    <t>所有类别的服务点</t>
  </si>
  <si>
    <t>Par personne éligible à la vaccination (professionnelle)</t>
  </si>
  <si>
    <t>Au travail, donc "public captif"</t>
  </si>
  <si>
    <t xml:space="preserve">На одно лицо, удовлетворяющее критериям для вакцинации (в связи с профессиональной деятельностью) </t>
  </si>
  <si>
    <t xml:space="preserve">Ввиду деятельности … в т.ч. Аудитория, для которой вакцинация обязательна </t>
  </si>
  <si>
    <t>Por persona elegible para la vacunación (criterios laborales)</t>
  </si>
  <si>
    <t>Criterios laborales … es decir, una audiencia "cautiva"</t>
  </si>
  <si>
    <t>Por pessoa elegível para a vacinação (com base no trabalho)</t>
  </si>
  <si>
    <t>Base no trabalho ... ou seja, um público "cativo".</t>
  </si>
  <si>
    <t>لكل شخص مؤهل للتطعيم (على أساس العمل)</t>
  </si>
  <si>
    <t>مستند إلى العمل ... أي جمهور "لايستطيع الاعتراض"</t>
  </si>
  <si>
    <t>每位符合资格接种疫苗的个人（基于工种）</t>
  </si>
  <si>
    <t>基于工种的……即“受制”受众</t>
  </si>
  <si>
    <t>Par personne éligible à la vaccination (volontaire)</t>
  </si>
  <si>
    <t>Volontaire, donc a besoin d'être convaincu et persuadé</t>
  </si>
  <si>
    <t xml:space="preserve">На одно лицо, удовлетворяющее критериям для вакцинации (добровольная вакцинация) </t>
  </si>
  <si>
    <t>Добровольно … в т.ч. лица, которых требуется убеждать и агитировать</t>
  </si>
  <si>
    <t>Por persona elegible para la vacunación (criterios voluntarios)</t>
  </si>
  <si>
    <t>Voluntarios … es decir, deben ser persuadidas y convencidas</t>
  </si>
  <si>
    <t>Por pessoa elegível para a vacinação (voluntário)</t>
  </si>
  <si>
    <t>Voluntário ... ou seja, precisa de ser convencido e persuadido</t>
  </si>
  <si>
    <t>لكل شخص مؤهل للتطعيم (طوعي)</t>
  </si>
  <si>
    <t xml:space="preserve"> طوعي ... أي يحتاج إلى الإقناع والاقتناع</t>
  </si>
  <si>
    <t>每位符合资格接种疫苗的个人（自愿性）</t>
  </si>
  <si>
    <t>自愿性……即需要被劝说和被说服</t>
  </si>
  <si>
    <t>A3.8 Sécurité</t>
  </si>
  <si>
    <t>A3.8 Безопасность</t>
  </si>
  <si>
    <t>A3.8 Securidad</t>
  </si>
  <si>
    <t>A3.8 Segurança Patrimonial</t>
  </si>
  <si>
    <t>A3.8 الأمن</t>
  </si>
  <si>
    <t>A3.8 安全</t>
  </si>
  <si>
    <t>NB: Par défaut, les frais de sécurité sont ajoutés UNIQUEMENT pour les situations fragiles et conflictuelles, mais on peut outrepasser ces paramètres</t>
  </si>
  <si>
    <t>Примачение: По умолчанию, затраты на обеспечение безопасности указываются ТОЛЬКО для стран с нестабильной и затронутой конфликтами ситуацией, однако эти значения могут быть скорректированы вручную.</t>
  </si>
  <si>
    <t>Nota: Por defecto, los costes de seguridad se añaden ÚNICAMENTE para Estados frágiles o afectados por conflicto (FCAS), pero esto se puede cambiar.</t>
  </si>
  <si>
    <t>Nota: Por padrão, os custos de segurança são adicionados SOMENTE para situações frágeis e afectadas por conflitos (SFAC), mas estas definições podem ser substituídas.</t>
  </si>
  <si>
    <t xml:space="preserve"> ملاحظة: بشكل افتراضي، تتم إضافة تكاليف الأمان فقط للحالات الهشة والمتأثرة بالصراع، ولكن يمكن تجاوز هذه الإعدادات.</t>
  </si>
  <si>
    <t>注意：默认情况下，仅为脆弱和受冲突影响情况纳入了安全成本，但可以覆写设置。</t>
  </si>
  <si>
    <t>OUTREPASSER ICI. Inclure frais de sécurité? --&gt;</t>
  </si>
  <si>
    <t>Si laissé en blanc, les frais de sécurité ne seront ajoutés que pour les pays fragiles ou en conflit (FCAS)</t>
  </si>
  <si>
    <t>СКОРРЕКТИРОВАТЬ ЗДЕСЬ. Вы желаете включить затраты на обеспечение безопасности? --&gt;</t>
  </si>
  <si>
    <t>Если Вы оставите это поле пустым, затраты на обеспечение безопансости будут добавлены только для стран с нестабильными и затронутыми конфликтами ситуациями (СНКС)</t>
  </si>
  <si>
    <t>SUSTITUIR/CAMBIAR AQUÍ. ¿Quiere incluir costes de seguridad? --&gt;</t>
  </si>
  <si>
    <t xml:space="preserve">Si se deja en blanco, los costes de seguridad se añadirán únicamente para países FCAS </t>
  </si>
  <si>
    <t>SUBSTITUA AQUI. Deseja incluir os custos de segurança patrimonial? --&gt;</t>
  </si>
  <si>
    <t>Se ficar em branco, os custos de segurança serão adicionados apenas para os países com SFAC</t>
  </si>
  <si>
    <t>إذا كانت فارغة، فستتم إضافة تكاليف الأمن فقط للدول الهشة والمتأثرة بالصراع FCAS</t>
  </si>
  <si>
    <t>在此处覆写。是否希望包括安全费用？ -&gt;</t>
  </si>
  <si>
    <t>如留空，则仅针对FCAS国家纳入安全成本</t>
  </si>
  <si>
    <t>Les cellules ci-dessous seront foncées si les réglages des coûts de sécurité sont désactivés</t>
  </si>
  <si>
    <t>Если расчет затрат на обеспечение безопасности отключен, ячейки ниже будут затемнены</t>
  </si>
  <si>
    <t xml:space="preserve">Las celdas de abajo aparecerán sombreadas si la opción de costes de seguridad está desactivada </t>
  </si>
  <si>
    <t>As células abaixo serão escurecidas se as definições de custos de segurança forem desactivadas</t>
  </si>
  <si>
    <t>سيتم تعتيم الخلايا أدناه إذا تم تعطيل إعدادات تكلفة الأمن</t>
  </si>
  <si>
    <t xml:space="preserve"> تم التجاهل إن لم تكن للدول الهشة والمتأثرة بالصراع FCAS أو تم تجاوز إعدادات تكلفة الأمن</t>
  </si>
  <si>
    <t>如果关闭了安全成本设置，则下面的单元格将变暗</t>
  </si>
  <si>
    <t>Sécurité lors du transport</t>
  </si>
  <si>
    <t>Ignoré si pays non FCAS ou paramètres des coûts de sécurité outrepassés</t>
  </si>
  <si>
    <t>Безопасность при транспортировке</t>
  </si>
  <si>
    <t>Не заполняйте, если страна не является СНКС или если затраты на безопасность корректируются вручную</t>
  </si>
  <si>
    <t>Seguridad durante el desplazamiento</t>
  </si>
  <si>
    <t>Hacer caso omiso si no es FCAS o si la opciones de coste de seguridad están desactivadas</t>
  </si>
  <si>
    <t>Segurança patrimonial durante o transporte</t>
  </si>
  <si>
    <t>Ignorado se não SFAC ou se as definições dos custos de segurança forem substituídas.</t>
  </si>
  <si>
    <t>الأمن أثناء النقل</t>
  </si>
  <si>
    <t>运输过程中的安全</t>
  </si>
  <si>
    <t>如果不是FCAS或已覆写了安全成本设置，则忽略</t>
  </si>
  <si>
    <t>Facteur de sécurité pour l'entrepôt central (coût relatif à la sécurité dans les sites fixes)</t>
  </si>
  <si>
    <t>Facteur</t>
  </si>
  <si>
    <t>Коэффициент безопасности для центрального склада (затраты аналогично затратам на безопасность в стационарных лечебных учреждениях)</t>
  </si>
  <si>
    <t>Коэффициент</t>
  </si>
  <si>
    <t>Factor de seguridad del almacén central (coste relativo a la seguridad en Ubicaciones fijas)</t>
  </si>
  <si>
    <t>Factor de segurança do armazém central (custo relativo à segurança em locais fixos)</t>
  </si>
  <si>
    <t>عامل أمن المخزن المركزي (التكلفة المتعلقة بالأمن في المواقع الثابتة)</t>
  </si>
  <si>
    <t xml:space="preserve">عامل </t>
  </si>
  <si>
    <t>中央储存点安全因素（相对于固定站点的安全成本）</t>
  </si>
  <si>
    <t>因素</t>
  </si>
  <si>
    <t>Sécurité par site fixe et par jour</t>
  </si>
  <si>
    <t xml:space="preserve">Обеспечение безопасности для одного стационарного лечебного учреждения из расчета на 1 день </t>
  </si>
  <si>
    <t>Не заполняйте, если страна не является СНКС или если затраты на обеспечение безопасности корректируются вручную</t>
  </si>
  <si>
    <t>Seguridad por Ubicación fija y día</t>
  </si>
  <si>
    <t>Segurança por local fixo por dia</t>
  </si>
  <si>
    <t xml:space="preserve"> الأمن لكل موقع ثابت يوميًا</t>
  </si>
  <si>
    <t>每个固定站点每天的安全成本</t>
  </si>
  <si>
    <t>Sera vraisemblablement externalisé et payé en tant que coût forfaitaire</t>
  </si>
  <si>
    <t>Предполагается, что эти услуги будут выполняться подрядчиком в режиме "все включено"</t>
  </si>
  <si>
    <t xml:space="preserve">Se supone que esto se subcontratará y se pagará un coste total </t>
  </si>
  <si>
    <t>Provavelmente, isto será terceirizado e pago como uma taxa com tudo incluído</t>
  </si>
  <si>
    <t xml:space="preserve"> يُفترض أنه سيتم الاستعانة بمصادر خارجية ودفع رسوم شاملة</t>
  </si>
  <si>
    <t>推测将外包这项服务，并作为全包费用支付</t>
  </si>
  <si>
    <t>Sécurité par équipe mobile et par jour</t>
  </si>
  <si>
    <t>Обеспечение безопасности для 1 мобильной бригады из расчета на 1 день</t>
  </si>
  <si>
    <t>Seguridad por Equipo móvil y día</t>
  </si>
  <si>
    <t>Segurança por equipa móvel por dia</t>
  </si>
  <si>
    <t>تم التجاهل إن لم تكن للدول الهشة والمتأثرة بالصراع FCAS أو تم تجاوز إعدادات تكلفة الأمن</t>
  </si>
  <si>
    <t>每个移动团队每天的安全成本</t>
  </si>
  <si>
    <t>A3.9 Interventions additionnelles</t>
  </si>
  <si>
    <t>A3.9 Дополнительные мероприятия</t>
  </si>
  <si>
    <t>A3.9 Intervenciones adicionales</t>
  </si>
  <si>
    <t>A3.9 Intervenções Adicionais</t>
  </si>
  <si>
    <t>A3.9 تدخلات إضافية</t>
  </si>
  <si>
    <t>A3.9 其他干预措施</t>
  </si>
  <si>
    <t>NB: Si aucune intervention additionnelle n'est désirée, mettre 0 sous coût unitaire</t>
  </si>
  <si>
    <t>Примечание: если дополнительные мероприятия не планируются, укажите 0 для удельной себестоимости</t>
  </si>
  <si>
    <t>Nota: Si nose desean intervenciones adicionaleses, poner 0 en costes por unidad</t>
  </si>
  <si>
    <t>Nota: Se não forem desejadas intervenções adicionais, basta inserir 0 para os custos unitários</t>
  </si>
  <si>
    <t>ملاحظة: إذا لم تكن هناك حاجة إلى تدخلات إضافية، فقط أدخل 0 تحت تكاليف الوحدة</t>
  </si>
  <si>
    <t>على سبيل المثال، جهاز ضغط الدم ، جهاز قياس جلوكوز الدم الشعري، إلخ.</t>
  </si>
  <si>
    <t>注意：如果不需要其他干预措施，只需在单位成本下输入0</t>
  </si>
  <si>
    <t>Par ex. tensiomètre, lecteur de glycémie capillaire, etc.</t>
  </si>
  <si>
    <t>Для одного объекта</t>
  </si>
  <si>
    <t xml:space="preserve">Например, прибор для измерения артериального давления, глюкометр с анализом капиллярной крови, и др. </t>
  </si>
  <si>
    <t>Por ubicación</t>
  </si>
  <si>
    <t>por ejemplo, equipo para medir la tensión arterial, dispositivo para medir la glucemia capilar, etc.</t>
  </si>
  <si>
    <t>por ex., aparelho de medir a tensão arterial, medidor de glicemia capilar, etc.</t>
  </si>
  <si>
    <t>على سبيل المثال، جهاز ضغط الدم، جهاز قياس جلوكوز الدم الشعري، إلخ.</t>
  </si>
  <si>
    <t>例如血压机、毛细管血糖仪等</t>
  </si>
  <si>
    <t>Par personne vaccinée et par dose</t>
  </si>
  <si>
    <t>Par ex. bandelettes, Glucostix, etc.</t>
  </si>
  <si>
    <t>Для одного вакцинированного лица из расчета на 1 дозу вакцины</t>
  </si>
  <si>
    <t>Например, индикаторные полоски, полоски Glucostix,  и т.д.</t>
  </si>
  <si>
    <t>Por persona vacunada y dosis</t>
  </si>
  <si>
    <t>por ejemplo, tiras reactivas, Glucostix, etc.</t>
  </si>
  <si>
    <t>Por pessoa vacinada por dose</t>
  </si>
  <si>
    <t>por ex., tiras de teste, tiras-teste de glicose, etc.</t>
  </si>
  <si>
    <t xml:space="preserve"> لكل شخص تم تطعيمه لكل جرعة</t>
  </si>
  <si>
    <t>على سبيل المثال، شريط الغمس، جلوكوستكس: شرائط كاشف جلوكوز الدم، إلخ.</t>
  </si>
  <si>
    <t>每位被接种者每剂疫苗</t>
  </si>
  <si>
    <t>例如，试纸条、葡萄糖浆等。</t>
  </si>
  <si>
    <t>A4. Coûts au niveau central</t>
  </si>
  <si>
    <t xml:space="preserve">A4. Централизованно покрываемые расходы </t>
  </si>
  <si>
    <t>A4. Costes de nivel central</t>
  </si>
  <si>
    <t>A4. Custos de nível central</t>
  </si>
  <si>
    <t>A4. تكاليف المستوى المركزي</t>
  </si>
  <si>
    <t>A4. 中央一级成本</t>
  </si>
  <si>
    <t>A4.1 Coûts au niveau central fondés sur l'outil VIRAT-VRAF 2.0 (2 décembre 2020) OMS-UNICEF-BM + activités PNDV</t>
  </si>
  <si>
    <t>A4.1 Централизованно покрываемые расходы в соответствии с инструментом ВОЗ-ЮНИСЕФ-ВБ  VIRAT-VRAF 2.0 (от 2 декабря 2020 г.) + мероприятия, предусмотренные в НППВ (национальном плане стран по организации поставок вакцин и проведению вакцинации)</t>
  </si>
  <si>
    <t>A4.1 Costes de nivel central basados en VIRAT-VRAF 2.0 de OMS/UNICEF/BM (2 de diciembre de 2020) + actividades del PNDV</t>
  </si>
  <si>
    <t>A4.1 Custos a nível central com base em WHO-UNICEF-WB VIRAT-VRAF 2.0 (2 de Dezembro de 2020) + actividades do PNDV</t>
  </si>
  <si>
    <t xml:space="preserve"> A4.1 التكاليف على المستوى المركزي استنادًا إلى WHO-UNICEF-WB VIRAT-VRAF 2.0 (2 ديسمبر 2020) + أنشطة خطة النشر والتطعيم الوطنية (NDVP) للقاحات كوفيد-19</t>
  </si>
  <si>
    <t>A4.1基于WHO-UNICEF-WB VIRAT-VRAF 2.0（2020年12月2日）+ NDVP活动的中央一级成本</t>
  </si>
  <si>
    <t>Article</t>
  </si>
  <si>
    <t>Unité</t>
  </si>
  <si>
    <t>Prix unitaire</t>
  </si>
  <si>
    <t>Total partiel</t>
  </si>
  <si>
    <t>Total de la catégorie</t>
  </si>
  <si>
    <t>OMS/UNICEF/BM VIRAT-VRAF 2.0</t>
  </si>
  <si>
    <t>Позиция</t>
  </si>
  <si>
    <t>Предложение</t>
  </si>
  <si>
    <t>Удельная себестоимость</t>
  </si>
  <si>
    <t>Промежуточный итог</t>
  </si>
  <si>
    <t>Всего для выбранной категории</t>
  </si>
  <si>
    <t>Инструмент ВОЗ/ЮНИСЕФ/ВБ VIRAT-VRAF 2.0</t>
  </si>
  <si>
    <t>Partida</t>
  </si>
  <si>
    <t>Unidad</t>
  </si>
  <si>
    <t>Precio por unidad</t>
  </si>
  <si>
    <t>Subtotal</t>
  </si>
  <si>
    <t>Total categoría</t>
  </si>
  <si>
    <t>VIRAT-VRAF 2.0 OMS/UNICEF/BM</t>
  </si>
  <si>
    <t>Unidade</t>
  </si>
  <si>
    <t>Preço unitário</t>
  </si>
  <si>
    <t>Categoria
Total</t>
  </si>
  <si>
    <t xml:space="preserve"> البند</t>
  </si>
  <si>
    <t>الإقتراح</t>
  </si>
  <si>
    <t>الوحدة</t>
  </si>
  <si>
    <t>سعر الوحدة</t>
  </si>
  <si>
    <t>المجموع الفرعي</t>
  </si>
  <si>
    <t>مجموع الفئة</t>
  </si>
  <si>
    <t>منظمة الصحة العالمية / اليونيسيف / البنك الدولي-أداة تقييم جاهزية إدخال اللقاح (VIRAT)-إطار تقييم الجاهزية للقاحات (VRAF)
 2.0</t>
  </si>
  <si>
    <t xml:space="preserve"> الملاحظات</t>
  </si>
  <si>
    <t>项目</t>
  </si>
  <si>
    <t>单价</t>
  </si>
  <si>
    <t>小计</t>
  </si>
  <si>
    <t>类别
总计</t>
  </si>
  <si>
    <t>Instructions générales: Cette section a pour objet d'aider les pays à présenter et à considérer les coûts centraux des activités spécifiées dans le VIRAT-VRAF et le PNDV, sur la base d'hypothèses raisonnables concernant les coûts suivants: assistance technique (AT), formation, supervision, analyses de lacunes, sondages. On trouvera à la colonne L une référence à chaque VIRAT-VRAF 2.0, avec de plus amples détails sur les activités à comptabiliser.
Les coûts centraux peuvent être imputés en LCU (dans la monnaie sélectionnée en A1.1) [colonne G] ou en USD [colonne H]. La colonne H prévaut si des données sont entrées dans les deux monnaies. Certains noms d'articles [colonne C] peuvent aussi être mis à jour par l'utilisateur final pour permettre davantage d'adaptation.
Des rangées supplémentaires sont prévues pour ajouter (le cas échéant) le coût d'articles supplémentaires dans chaque catégorie.
On commencera par entrer, en mois, la durée désirée pour les activités centralisées ci-dessous</t>
  </si>
  <si>
    <t>Référence</t>
  </si>
  <si>
    <t>Lien vers données supplémentaires concernant: fournitures médicales, équipement et exigences des services contractuels</t>
  </si>
  <si>
    <t>Lien vers données supplémentaires concernant: besoins en personnel et formation</t>
  </si>
  <si>
    <t>Общие инструкции: Цель данного раздела - помочь странам представить в табличном виде и рассчитать централизованно покрываемые расходы на мероприятия, предусмотренные в инструменте VIRAT-VRAF и НППВ, с учетом наиболее точных прогнозов обоснованных затрат на получение технической помощи (ТП), подготовку персонала, контроль работы персонала, анализ имеющихся пробелов и проведение опросов. Ссылка на каждый VIRAT-VRAF 2.0 дана в столбце L и может быть использована для дополнительных разъяснений по затратам на каждое отдельное мероприятие.
Централизованно покрываемые расходы можно указать в ЕМВ (в той валюте, которая выбрана в п. A1.1) Столбец G] или в долларах США [Столбец H]. Если значения введены в обеих валютах, предпочтение отдается валюте в столбце H. Наименования [Столбец C] некоторых позиций могут обновляться пользователями с учетом особенностей страны.
Дополнительные строки могут использоваться для расчета стоимости дополнительных позиций в каждой категории (при желании).
При заполнении таблицы в первую очередь введите желаемую длительность (в месяцах) централизованно покрываемых мероприятий.</t>
  </si>
  <si>
    <t>Ссылка</t>
  </si>
  <si>
    <t>Ссылка на дополнительные данные по:
предметам медицинского назначения, оборудованию и требованиям к услугам, предоставляемым по контракту</t>
  </si>
  <si>
    <t>Ссылка на дополнительные данные по:
требованиям к подбору и подготовке персонала</t>
  </si>
  <si>
    <t xml:space="preserve">Instrucciones generales: La finalidad de esta sección es ayudar a los países a tabular y tener en cuenta costes centrales de las actividades especificadas en el VIRAT-VRAF y en el PNDV, sobre la base de estimaciones de los costos razonables de asistencia técnica (AT), formación, supervisión, análisis de brechas, encuestas. La referencia a cada VIRAT-VRAF 2.0 aparece en la columna L y se puede utilizar en caso de necesitar mayor información sobre cada una de las actividades costeadas.
Los costes centrales se pueden introducir como UDL (en la divisa seleccionada en A1.1) [Columna G] o en USD [Columna H]. La Columna H tendrá preferencia si se introducen valores en las dos divisas. Algunos nombres de las partidas (Columna C] pueden ser modificados por el usuario para una mayor personalización.
Se incluyen líneas adicionales para costear partidas adicionales por categoría (en caso necesario).
Empezar introduciendo la duración deseada para las actividades de nivel central, en meses, abajo.
</t>
  </si>
  <si>
    <t>Referencia</t>
  </si>
  <si>
    <t>Enlace a datos adicionales sobre:
Suministros médicos, equipo y requisitos en cuanto a servicios contratados</t>
  </si>
  <si>
    <t>Enlace a datos adicionales sobre:
Requisitos de personal y formación</t>
  </si>
  <si>
    <t>Instruções gerais: O objectivo desta secção é ajudar os países a classificar e considerar os custos centrais para as actividades especificadas no VIRAT-VRAF e no PNDV, com base nas suas melhores hipóteses de custos razoáveis para ajuda técnica (AT), formação, supervisão, análise de lacunas, inquéritos. A referência a cada VIRAT-VRAF 2.0 é fornecida na coluna L e pode ser usada se for necessário um maior esclarecimento sobre cada uma das actividades orçadas.
Os custos unitários podem ser digitados como UML (na moeda seleccionada em A1.1) [Coluna G] ou em USD [Coluna H]. A coluna H tem precedência se os valores forem digitados em ambas as moedas. Alguns nomes [Coluna C] de itens também podem ser editados pelo utilizador final para permitir uma maior personalização.
Estão incluídas linhas adicionais para calcular os custos de itens adicionais por categoria (se desejar).
Comece digitando abaixo a duração desejada para as actividades de nível central em meses.</t>
  </si>
  <si>
    <t>Referência</t>
  </si>
  <si>
    <t>Ligação para dados suplementares sobre:
Requisitos de suprimentos médicos, equipamentos e serviços contratuais</t>
  </si>
  <si>
    <t>Ligação para dados suplementares sobre:
Requisitos de pessoal e formação</t>
  </si>
  <si>
    <t>إرشادات عامة: الغرض من هذا القسم هو مساعدة البلدان على جدولة والنظر في التكاليف المركزية للأنشطة المحددة في أداة تقييم جاهزية إدخال اللقاح (VIRAT)
-إطار تقييم الجاهزية للقاحات (VRAF)  و خطة النشر والتطعيم الوطنية (NDVP) للقاحات كوفيد-19، بناءً على أفضل افتراضاتهم للتكاليف المعقولة للمساعدة الفنية (TA) والتدريب والإشراف تحليلات الفجوة والمسوحات. يتم توفير الإشارة إلى كل أداة تقييم جاهزية إدخال اللقاح (VIRAT) -إطار تقييم الجاهزية للقاحات  2.0 في العمود L ويمكن استخدامها إذا كانت هناك حاجة إلى مزيد من التوضيح لكل نشاط من الأنشطة التي تم تحديد تكلفتها.
يمكن إدخال التكاليف المركزية كوحدات  العملة المحلية LCU (في الوضع الحالي المحدد في A1.1) [العمود G] أو بالدولار الأمريكي [العمود H]. يكون للعمود H الأسبقية إذا تم إدخال القيم في كلا العملتين. يمكن أيضًا تحديث بعض أسماء [العمود C] للعناصر بواسطة المستخدم النهائي للسماح بمزيد من التخصيص.
يتم تضمين صفوف إضافية لتكلفة العناصر الإضافية لكل فئة (إذا رغبت في ذلك).
يرجى البدء بإدخال المدة المطلوبة للأنشطة على المستوى المركزي بالأشهر أدناه.</t>
  </si>
  <si>
    <t>مرجع</t>
  </si>
  <si>
    <t>رابط إلى بيانات تكميلية حول:
المتطلبات من المستلزمات والمعدات الطبية وخدمات التعاقد</t>
  </si>
  <si>
    <t>رابط إلى بيانات تكميلية حول:
متطلبات التوظيف والتدريب</t>
  </si>
  <si>
    <t>一般性说明：本部分旨在帮助各国针对技术援助（TA）、培训、监督、差距分析、调查的合理费用做出的最佳假设，汇总并考虑VIRAT-VRAF和NDVP中指定的活动。L列注明了每一项VIRAT-VRAF 2.0，供需要进一步澄清已核算成本的每项活动使用。
可采用LCU（即A1.1中选择的币种）[G列]输入中央成本，或采用美元[H列]输入。如果两种货币都被输入，则以H列为准。终端用户还可以编辑某些项目的名称[C列]，以方便更多的自定义。
也包括了附加行，如有需要，可核算每个类别的其他项目成本。
请先在下方按月输入适用的中央一级活动持续时间段。</t>
  </si>
  <si>
    <t>有关以下项目的补充数据链接：
医疗用品、设备和合同服务要求</t>
  </si>
  <si>
    <t>有关以下项目的补充数据链接：
人员配备和培训要求</t>
  </si>
  <si>
    <t>Durée des initiatives au niveau central</t>
  </si>
  <si>
    <t xml:space="preserve">Продолжительность мероприятий, организуемых на центральном уровне </t>
  </si>
  <si>
    <t>Месяцев</t>
  </si>
  <si>
    <t>Duración de las actividades de nivel central</t>
  </si>
  <si>
    <t>Duração das iniciativas de nível central</t>
  </si>
  <si>
    <t>مدة المبادرات على المستوى المركزي</t>
  </si>
  <si>
    <t>أشهر</t>
  </si>
  <si>
    <t>中央一级倡议的持续时间段</t>
  </si>
  <si>
    <t>月份</t>
  </si>
  <si>
    <t>Comités au niveau central</t>
  </si>
  <si>
    <t>Comités</t>
  </si>
  <si>
    <t>Comité national de coordination, groupe de travail technique national (NTWG)</t>
  </si>
  <si>
    <t>Комитеты на центральном уровне</t>
  </si>
  <si>
    <t>Комитеты</t>
  </si>
  <si>
    <t>Национальный координационный комитет, Национальная техническая рабочая группа (НТРГ)</t>
  </si>
  <si>
    <t>Comités de nivel central</t>
  </si>
  <si>
    <t>Comité de Coordinación Nacional, Grupo de trabajo técnico (GTT) nacional</t>
  </si>
  <si>
    <t>Comités de nível central</t>
  </si>
  <si>
    <t>Comité de Coordenação Nacional, Grupo de Trabalho Técnico Nacional (GTTN)</t>
  </si>
  <si>
    <t>اللجان المركزية</t>
  </si>
  <si>
    <t>اللجان</t>
  </si>
  <si>
    <t>لجنة التنسيق الوطنية، مجموعة العمل الفنية الوطنية (NTWG)</t>
  </si>
  <si>
    <t>中央级别委员会</t>
  </si>
  <si>
    <t>委员会</t>
  </si>
  <si>
    <t>国家协调委员会，国家技术工作组（NTWG）</t>
  </si>
  <si>
    <t>Sous-comités au niveau central</t>
  </si>
  <si>
    <t>6 sous-comités décrits</t>
  </si>
  <si>
    <t>Подкомитеты на центральном уровне</t>
  </si>
  <si>
    <t xml:space="preserve">6 указанных подкомитетов </t>
  </si>
  <si>
    <t>Subcomités de nivel central</t>
  </si>
  <si>
    <t>6 subcomité descritos</t>
  </si>
  <si>
    <t>Subcomités de nível central</t>
  </si>
  <si>
    <t>6 subcomités descritos</t>
  </si>
  <si>
    <t>اللجان الفرعية على المستوى المركزي</t>
  </si>
  <si>
    <t xml:space="preserve"> وصف 6 لجان فرعية</t>
  </si>
  <si>
    <t>中央级别小组委员会</t>
  </si>
  <si>
    <t>描述的6个小组委员会</t>
  </si>
  <si>
    <t>Ateliers/engagement des parties prenantes/formation au niveau central</t>
  </si>
  <si>
    <t>Ateliers</t>
  </si>
  <si>
    <t>Рабочие семинары на центральном уровне / вовлечение участвующих сторон/ подготовка</t>
  </si>
  <si>
    <t>Рабочие семинары</t>
  </si>
  <si>
    <t>Talleres / relación con partes interesadas / formacón de nivel central</t>
  </si>
  <si>
    <t>Talleres</t>
  </si>
  <si>
    <t>Workshops de nível central/envolvimento das partes interessadas/formação</t>
  </si>
  <si>
    <t xml:space="preserve"> ورش عمل على المستوى المركزي / مشاركة / تدريب أصحاب المصلحة</t>
  </si>
  <si>
    <t>ورشات العمل</t>
  </si>
  <si>
    <t>中央级别研讨会/利益相关者活动/培训</t>
  </si>
  <si>
    <t>研讨会</t>
  </si>
  <si>
    <t>AT: Méthode d'acquisition des vaccins, y compris coût, vérification, acquisition, suivi</t>
  </si>
  <si>
    <t>ТП: Реализация закупок вакцин, в т.ч. стоимость самих вакцин, стоимость финансово-юридической проверки, стоимость услуг по закупкам и мониторинга</t>
  </si>
  <si>
    <t xml:space="preserve"> AT: Enfoque de adquisición de vacunas, incl. costes, diligencia debida, adquisición, seguimiento</t>
  </si>
  <si>
    <t>AT: Abordagem de aquisição de vacinas, incluindo custos, diligência devida, aquisição, monitorização</t>
  </si>
  <si>
    <t>المساعدة الفنية TA: نهج شراء اللقاح، بما في ذلك. التكاليف، والعناية الواجبة، والمشتريات، والرصد</t>
  </si>
  <si>
    <t>TA：疫苗获得方法，包括成本、尽职调查、获得、监控</t>
  </si>
  <si>
    <t>AT: Planification de la gestion des déchets médicaux, protocoles, procédure normalisée (combiner A6/H6)</t>
  </si>
  <si>
    <t>ТП: Планирование управления медицинскими отходами, протоколы, СОП (A6/H6)</t>
  </si>
  <si>
    <t xml:space="preserve"> AT: Planificación, protocoloes, POE de gestión de residuos médicos (combinar A6/H6)</t>
  </si>
  <si>
    <t>AT: Planeamento de gestão de resíduos clínicos, protocolos, POP (combinar A6/H6)</t>
  </si>
  <si>
    <t xml:space="preserve"> المساعدة الفنية TA: تخطيط إدارة النفايات الطبية، والبروتوكولات، وإجراءات التشغيل الموحدة (تجمع A6 / H6)</t>
  </si>
  <si>
    <t>TA：医疗废弃物管理规划、协议、SOP（结合A6/H6）</t>
  </si>
  <si>
    <t>Acquérir l'équipement de gestion des déchets [y compris dépenses d'investissement mais hors fournitures]</t>
  </si>
  <si>
    <t>Équipement proprement dit, pas assistance technique. Équipement de gestion des déchets au niveau central, régional et du district SAUF boîtes de sécurité (qui sont couvertes sous B2 Vaccins et fournitures)</t>
  </si>
  <si>
    <t>Закупка оборудования для утилизации отходов [в т.ч. капитальные инвестиции, но без учета расходных материалов]</t>
  </si>
  <si>
    <t>Непосредственно оборудование, не ТП (техническая помощь). Оборудование по утилизации отходов на центральном, региональном и районном уровнях НЕ ВКЛЮЧАЯ коробки для безопасной утилизации (расчет затрат на которые в п. B2 Вакцины и Расходные материалы)</t>
  </si>
  <si>
    <t>Adquisición de equipo de gestión de residuos [incl. inversiones de capital, pero exluyendo suministros]</t>
  </si>
  <si>
    <t>El equipo en sí, no la AT. Equipo de gestión de residuos de nivel central, regional y de distrito, EXCLUYENDO recipientes de seguridad (cuyo coste se calcula en B2 Vacunas y suministros)</t>
  </si>
  <si>
    <t>Aquisição de equipamento de gestão de resíduos [incluindo investimentos de capital, mas excluindo suprimentos].</t>
  </si>
  <si>
    <t>O equipamento real, não AT. Equipamento de gestão de resíduos a nível central, regional e distrital EXCLUINDO caixas de segurança (cujos custos são calculados em B2 Vacinas e Suprimentos)</t>
  </si>
  <si>
    <t>شراء معدات إدارة النفايات [بما في ذلك. استثمارات رأس المال باستثناء التجهيزات]</t>
  </si>
  <si>
    <t>采购废弃物管理设备[包括资本投资，但不包括用品]</t>
  </si>
  <si>
    <t>实际设备，不是TA。中央、区域和地区一级废弃物管理设备，不包括安全箱（安全箱的成本在B2疫苗和用品中核算）</t>
  </si>
  <si>
    <t>AT: PNDV</t>
  </si>
  <si>
    <t>ТП: Национальный план по организации поставок вакцин и проведения вакцинации (НППВ)</t>
  </si>
  <si>
    <t>AT: Plan Nacional de Despliegue y Vacunación (PNDV)</t>
  </si>
  <si>
    <t>AT: Plano Nacional de Distribuição e Vacinação (PNDV))</t>
  </si>
  <si>
    <t>المساعدة الفنية TA: خطة النشر والتطعيم الوطنية (NDVP)</t>
  </si>
  <si>
    <t>المعادلة الفعلية ، وليس المساعدة الفنية TA. معدات إدارة النفايات على المستوى المركزي والإقليمي وعلى مستوى المقاطعة باستثناء الصناديق الآمنة (التي يتم احتساب تكلفتها في إطار اللقاحات والملحقات B2)</t>
  </si>
  <si>
    <t>TA：国家部署和疫苗接种计划（NDVP）</t>
  </si>
  <si>
    <t>Soutien du secrétariat national (personnel et dépenses de bureau)</t>
  </si>
  <si>
    <t>Prix unitaire par personne par mois (y compris frais administratifs du personnel)</t>
  </si>
  <si>
    <t>Помощь для административного аппарата (персонал и расходы на поддержание офиса)</t>
  </si>
  <si>
    <t>Удельная себестоимость на одного сотрудника в месяц (включает расходы на содержание офиса, расходы на персонал)</t>
  </si>
  <si>
    <t>Apoyo de secretariado (gastos de personal y oficinas)</t>
  </si>
  <si>
    <t>Precio unitario por empleado/a y mes (incl. gastos de oficina del empleado/a)</t>
  </si>
  <si>
    <t>Apoio do Secretariado (pessoal e despesas de escritório)</t>
  </si>
  <si>
    <t>Preço unitário por empregado por mês (incl. despesas de escritório associadas ao pessoal)</t>
  </si>
  <si>
    <t>دعم الأمن (التوظيف ونفقات المكاتب)</t>
  </si>
  <si>
    <t>秘书处的支持服务（人员和办公室支出）</t>
  </si>
  <si>
    <t>每名员工每月单价（含与员工相关的办公费用）</t>
  </si>
  <si>
    <t>(On peut ajouter ici des articles supplémentaires, si on le désire)</t>
  </si>
  <si>
    <t xml:space="preserve">(При желании Вы можете добавить дополнительные позиции здесь) </t>
  </si>
  <si>
    <t>(aquí pueden añadirse partidas adicionales en caso necesario)</t>
  </si>
  <si>
    <t>(itens adicionais podem ser acrescentados aqui, se desejar)</t>
  </si>
  <si>
    <t xml:space="preserve"> (يمكن إضافة عناصر إضافية هنا إذا رغبت في ذلك)</t>
  </si>
  <si>
    <t>（如有需要，可以在此处补充其他项目）</t>
  </si>
  <si>
    <t>AT: Intégrée à la planification budgétaire gouvernementale + gestion des finances publiques</t>
  </si>
  <si>
    <t>ТП: Включение в планирование государственного бюджета + Управление государственными финансами (УГФ)</t>
  </si>
  <si>
    <t>AT: Integrada en planificación presupuestaria del gobierno y GFP</t>
  </si>
  <si>
    <t>AT: Integrado no planeamento orçamentário do governo + PGF (Planeamento e Gestão Financeira)</t>
  </si>
  <si>
    <t>المساعدة الفنية TA: مدمج في تخطيط الميزانية الحكومية + الإدارة المالية العامة</t>
  </si>
  <si>
    <t>TA：纳入政府预算规划 + PFM</t>
  </si>
  <si>
    <t>(يمكن إضافة عناصر إضافية هنا إذا رغبت في ذلك)</t>
  </si>
  <si>
    <t>Instructions: Envisager, si on le désire, d'ajouter le renforcement des capacités régulatrices</t>
  </si>
  <si>
    <t>Инструкции: При желании, можно добавить усиление потенциала в сфере регулирования.</t>
  </si>
  <si>
    <t>Instrucciones: Se puede pensar en añadir capacitación normativa en caso necesario.</t>
  </si>
  <si>
    <t>Instruções: Considere a possibilidade de adicionar a criação regulamentar de capacidade, se desejar.</t>
  </si>
  <si>
    <t>التعليمات: الرجاء النظر في إضافة بناء القدرات التنظيمية إذا رغبت في ذلك.</t>
  </si>
  <si>
    <t>说明：请考虑增加所需的监管能力建设。</t>
  </si>
  <si>
    <t>AT: Démarches régulatrices, documentation, importation et processus de mise en circulation des lots accélérés</t>
  </si>
  <si>
    <t>ТП: Порядок ускоренной регистрации вакцин, документирования, импорта и выпуска серии продуктов</t>
  </si>
  <si>
    <t>AT: Vías normativas agilizadas, documentación, importación y procesos de liberación de lotes</t>
  </si>
  <si>
    <t>AT: Aceleração dos processos de regulamentação, documentação, importação e libertação de lotes</t>
  </si>
  <si>
    <t>المساعدة الفنية TA: المسارات التنظيمية المعجلة، والتوثيق، وعمليات الاستيراد وإطلاق الدفعات</t>
  </si>
  <si>
    <t>TA：加快的监管途径、文件生成、进口和批号放行流程</t>
  </si>
  <si>
    <t>AT: Identifier les populations ciblées et leur emplacement géographique, leur nombre estimé et les modalités d'administration</t>
  </si>
  <si>
    <t>ТП: Определить целевые группы населения, их географическое расположение, расчетную численность и стратегию организации прививок для этих групп</t>
  </si>
  <si>
    <t>AT: Identificación de poblaciones objetivo y su ubicación geográfica, estimación de su tamaño, y modalidades de administración</t>
  </si>
  <si>
    <t>AT: Identificar as populações-alvo e a sua localização geográfica, números estimados e modalidades de administração</t>
  </si>
  <si>
    <t>المساعدة الفنية TA: تحديد السكان المستهدفين وموقعهم الجغرافي وتقدير الأرقام وطرق التسليم</t>
  </si>
  <si>
    <t>TA：确定目标人群及其地理位置、估算人数、交付模式</t>
  </si>
  <si>
    <t>TA: Lien avec surveillance de la COVID-19</t>
  </si>
  <si>
    <t>ТП: Связь с эпиднадзором за COVID-19</t>
  </si>
  <si>
    <t xml:space="preserve">AT: Vinculación con la vigilancia de la epidemiología de la Covid-19 </t>
  </si>
  <si>
    <t>AT: Link with Covid-19 disease surveillance</t>
  </si>
  <si>
    <t>المساعدة الفنية TA: الارتباط بمراقبة مرض كوفيد-19</t>
  </si>
  <si>
    <t>TA：与Covid-19疾病监测链接</t>
  </si>
  <si>
    <t>Instructions: cette section concerne surtout l'assistance technique (AT) pour la planification et les dispositions de prestation de services. Le personnel et les équipes de mise en œuvre doivent aussi être inclus ici mais pas les vaccinateurs ni leurs superviseurs. Ne pas inclure les coût de l'administration des vaccins (qui sont couverts ailleurs dans cet outil)</t>
  </si>
  <si>
    <t>Инструкции: Данный раздел в основном касается предоставления технической помощи (ТП), связанной  с планированием и организацией предоставления услуг. Сюда также следует включить расходы на укомплектование персоналом и формирование мобильных бригад, но НЕ включать расходы на оплату работы самих вакцинаторов или их местного руководства. Также не включайте стоимость вакцинации как таковой (эти расчеты производятся в другом разделе инструмента)</t>
  </si>
  <si>
    <t>Instrucciones : Esta sección se refiere principalmente a la asistencia técnica (AT) relacionada con la planificación y la organización de la prestación de los servicios. Se deben incluir aquí el personal y los equipos de implementación, pero no los vacunadores ni sus supervisores locales. No incluir los costes de la “prestación” en sí (estos se incluyen en otra sección de la herramienta)</t>
  </si>
  <si>
    <t>Instruções: Esta secção diz respeito principalmente à ajuda técnica (AT) relacionada ao planeamento e disposições para a prestação de serviços. As equipas de pessoal e de implementação também devem ser incluídas aqui, mas não os vacinadores ou os seus supervisores locais. Não inclua os custos de "entrega" em si (isto é calculado em outra parte da ferramenta).</t>
  </si>
  <si>
    <t xml:space="preserve"> التعليمات: يتعلق هذا القسم بشكل أساسي بالمساعدة الفنية (TA) المتعلقة بالتخطيط والترتيبات الخاصة بتقديم الخدمات. يجب أيضًا تضمين فرق التوظيف والتنفيذ هنا ولكن ليس القائمين بالتطعيم أو المشرفين المحليين. لا تقم بتضمين تكاليف "التسليم" نفسها (يتم احتساب هذه التكلفة في مكان آخر في الأداة.</t>
  </si>
  <si>
    <t>说明：本部分主要涉及与服务交付规划和安排相关的技术援助（TA），也包括人员配备和实施团队，但不包括疫苗接种者或其当地主管，也不包括“交付”本身的成本（这在工具的其他地方进行核算）。</t>
  </si>
  <si>
    <t>AT: Protocoles pour l'EPI et l'équipement de PCI</t>
  </si>
  <si>
    <t xml:space="preserve">ТП: Протоколы для СИЗ и оборудование для ПКЗ (профилактики и контроля заболеваний) </t>
  </si>
  <si>
    <t>AT: Protocolos para EPP y equipo de PCI</t>
  </si>
  <si>
    <t>AT: Protocolos para EPI e equipamento de PCI (Prevenção e Controlo de Infecções)</t>
  </si>
  <si>
    <t>المساعدة الفنية TA: بروتوكولات لمعدات الحماية الشخصية ومعدات  المذكرة الخاصة بالوقاية من العدوى ومكافحتها (IPC)</t>
  </si>
  <si>
    <t>TA：PPE和IPC设备协议</t>
  </si>
  <si>
    <t>AT: Microplanification, y compris modalités pour les activités de terrain, liste générale de fournisseurs, logistique, fournitures</t>
  </si>
  <si>
    <t>Finances, RH (capacité d'intensification), génération de la demande, communication des risques, surveillance et planification de la sécurité, analyse des lacunes</t>
  </si>
  <si>
    <t xml:space="preserve">ТП: Микропланирование, в том числе выездные прививочные сессии, списки поставщиков услуг, логистика, организация поставок </t>
  </si>
  <si>
    <t xml:space="preserve">Финансовые, кадровые ресурсы (резервный потенциал для быстрого развертывания), формирование спроса, осуществление информационного взаимодействия о рисках, эпиднадзор за безопасностью, планирование обеспечения безопасности, анализ пробелов </t>
  </si>
  <si>
    <t>AT: Microplanificación incl. modalidades de extensión, listas maestras de proveedores, logística, suministros</t>
  </si>
  <si>
    <t>Financieros, recursos humanos (con capacidad adicional para picos de demanda), generación de demand, comunicación de riesgos, vigilancia de seguridad, planificación de la seguridad, análisis de brechas</t>
  </si>
  <si>
    <t>AT: Micro-planeamento, incluindo modalidades de actividades de alcance, listas principais de fornecedores, logística, suprimentos</t>
  </si>
  <si>
    <t>Recursos financeiros, humanos (capacidade para "aumento súbito"), geração de procura, comunicações de risco, vigilância de segurança, planeamento de segurança patrimonial; análise de lacunas</t>
  </si>
  <si>
    <t>الموارد المالية والبشرية (القدرة على الاستجابة السريعة)، وتوليد الطلب، والاتصالات بشأن المخاطر، ومراقبة السلامة، والتخطيط الأمني؛ تحليل الفجوات</t>
  </si>
  <si>
    <t>TA：微观计划，包括外展模式、供应商总清单、物流、用品</t>
  </si>
  <si>
    <t>财务、人力资源（激增能力）、需求生成、风险沟通、安全监测、安全规划；差距分析</t>
  </si>
  <si>
    <t>AT: Agences de mise en œuvre et contrats: logistique vaccinale et gestion des déchets</t>
  </si>
  <si>
    <t xml:space="preserve">ТП: Агентства-подрядчики и контракты: логистика вакцин и управление отходами </t>
  </si>
  <si>
    <t>AT: Agencias y contratos de implementación: Logistica de las vacunas y gestión de residuos</t>
  </si>
  <si>
    <t>AT: Agências de implementação e contratos: Logística da vacina e gestão de resíduos</t>
  </si>
  <si>
    <t>المساعدة الفنية TA: التخطيط الجزئي، بما في ذلك طرائق الوصول، والقوائم الرئيسية لمقدمي الخدمات، واللوجستيات، والتجهيزات</t>
  </si>
  <si>
    <t>TA：执行机构与合同：疫苗物流和废弃物管理</t>
  </si>
  <si>
    <t>AT: Fournisseurs privés: recrutement, accréditation, procédures opératoires standardisées, plaintes, suivi</t>
  </si>
  <si>
    <t>ТП: Привлечение частных компаний-подрядчиков, аккредитация, СОП, процедура подачи жалоб, мониторинг</t>
  </si>
  <si>
    <t>AT: Participación de proveedores privados, acreditación, POE, quejas, seguimiento</t>
  </si>
  <si>
    <t>AT: Inscrição de fornecedores privados, credenciamento, POP, reclamações, monitorização</t>
  </si>
  <si>
    <t>المساعدة الفنية TA: الوكالات المنفذة والعقود: لوجستيات اللقاح وإدارة النفايات</t>
  </si>
  <si>
    <t>TA：私营服务提供商注册、认证、SOP、投诉、监控</t>
  </si>
  <si>
    <t>ТП: Протоколы для оформления согласий, отказов, защита от отказов (совместно E4/H8)</t>
  </si>
  <si>
    <t>AT: Protocolos para consentimento, recusas, protecção de recusas (combinar E4/H8)</t>
  </si>
  <si>
    <t xml:space="preserve"> حجم فريق التنفيذ على المستوى دون الوطني 1 لكل وحدة إدارية </t>
  </si>
  <si>
    <t>Instructions: Cette section comprend l'assistance technique (AT) pour élaborer les plans et le matériel de formation. Inclure aussi les coûts de la formation lorsqu'ils proviennent du niveau central (par ex. formation des formateurs et/ou apprentissage numérique) mais exclure la formation au niveau local (qui doit être calculée en A3.1).
L'AT pour la planification de la sécurité peut aussi être incluse ici, si on le désire, mais les frais de sécurité dans les entrepôts centraux et au niveau local sont couverts sous B4.2 et B5</t>
  </si>
  <si>
    <t>Инструкции: В данный раздел включена техническая помощь (ТП) в разработке планов подготовки персонала и сопутствующих учебных материалов. Сюда же следует включить затраты на проведение тренингов на центральном уровне (например, подготовка инструкторов, и/или дистанционное обучение), но НЕ включайте подготовку, организуемую на местном уровне (соответствующие расчеты выполняются в разделе A3.1).
Кроме того, в данный раздел следует включить, при желании, техническую помощь на планирование мер безопасности, однако затраты на обеспечение безопасности на центральных складах и на местном уровне покрываются в п. B4.2 и B5.</t>
  </si>
  <si>
    <t>Instrucciones : Esta sección incluye asistencia técnica (AT) para el desarrollo de planes y materiales de formación. Incluir también los costes de la formación si se originan a nivel central (por ejemplo, formación de formadores y/o aprendizaje digital), pero excluir formación a nivel local (que se incluye en A3.1).
Technical assistance for security planning also is to be included here if desired but security costs at the central stores and at the local level are covered under B4.2 and B5.</t>
  </si>
  <si>
    <t>Instruções: Esta secção inclui ajuda técnica (AT) para o desenvolvimento de planos e materiais de formação. Inclua também os custos de formação onde estes originam no nível central (por exemplo, formação de formadores e/ou aprendizagem digital), mas exclua a formação de nível local (que deve ser calculada em A3.1).
A ajuda técnica para o planeamento de segurança patrimonial também deve ser incluída aqui, se desejar, mas os custos de segurança patrimonial nos armazéns centrais e a nível local são incluídos em B4.2 e B5.</t>
  </si>
  <si>
    <t xml:space="preserve">التعليمات: يتضمن هذا القسم المساعدة الفنية (TA) لتطوير خطط ومواد التدريب. يرجى أيضًا تضمين تكاليف التدريب حيث تنشأ على المستوى المركزي (على سبيل المثال، تدريب المدربين TOT و / أو التعلم الرقمي) ولكن استثناء التدريب على المستوى المحلي (والتي يجب أن تُحسب في إطار A3.1)._x000D_
_x000D_
كما سيتم تضمين المساعدة الفنية للتخطيط الأمني ​​هنا إذا رغبت في ذلك، ولكن يتم تغطية تكاليف الأمن في المخازن المركزية وعلى المستوى المحلي بموجب B4.2 و B5. </t>
  </si>
  <si>
    <t>说明：本部分包括用于制定培训计划和材料的技术援助（TA）。也请包括源自中央一级的培训成本（例如，ToT和/或数码学习），但不包括本地一级的培训成本（应在A3.1中计算本地培训成本）。
如有需要，这里也包括有关安全规划的技术支持，但中央储存点和地方一级的安全成本应计入B4.2和B5项下。</t>
  </si>
  <si>
    <t>TA: Élaboration des plans de formation</t>
  </si>
  <si>
    <t>Virtuel et/ou en personne</t>
  </si>
  <si>
    <t xml:space="preserve">ТП: Разработка планов по подготовке </t>
  </si>
  <si>
    <t>В режиме он-лайн и/или с личным присутствием</t>
  </si>
  <si>
    <t>AT: Desarrollo de planes de formación</t>
  </si>
  <si>
    <t>Virtual o presencial</t>
  </si>
  <si>
    <t>AT: Desenvolvimento de planos de formação</t>
  </si>
  <si>
    <t>Virtual e/ou em pessoa</t>
  </si>
  <si>
    <t>المساعدة الفنية TA: تطوير خطط التدريب</t>
  </si>
  <si>
    <t>افتراضي و / أو شخصيًا</t>
  </si>
  <si>
    <t>TA: 制定培训计划</t>
  </si>
  <si>
    <t>虚拟和/或面对面</t>
  </si>
  <si>
    <t>AT: Traduire et adapter le matériel de formation de l'OMS et additionnel</t>
  </si>
  <si>
    <t>ТП: Перевод и адаптация материалов ВОЗ и других материалов для подготовки персонала</t>
  </si>
  <si>
    <t>AT: Traducción y adaptación de materiales de formación de la OMS y otros</t>
  </si>
  <si>
    <t>AT: Traduzir e adaptar materiais da OMS e de formação adicionais</t>
  </si>
  <si>
    <t>المساعدة الفنية TA: ترجمة وتكييف منظمة الصحة العالمية ومواد التدريب الإضافية</t>
  </si>
  <si>
    <t>TA：翻译和改编世卫组织和其他培训材料</t>
  </si>
  <si>
    <t>AT: Plans de sécurité pour le stockage central et régional et pour les vaccinateurs</t>
  </si>
  <si>
    <t xml:space="preserve">ТП: Планы по обеспечению безопасности для хранилищ на центральном и региональном уровнях и планов по обеспечению безопасности для вакцинаторов </t>
  </si>
  <si>
    <t>AT: Planes de seguridad para almacees centrales y regionales y para vacunadores</t>
  </si>
  <si>
    <t>AT: Planos de segurança patrimonial para armazenamento central, regional e para vacinadores</t>
  </si>
  <si>
    <t>المساعدة الفنية TA: الخطط الأمنية للتخزين المركزي والإقليمي وللقائمين بالتطعيم</t>
  </si>
  <si>
    <t>TA：中央、区域存储以及疫苗接种者的安全计划</t>
  </si>
  <si>
    <t>Mener la formation des formateurs des vaccinateurs (et leur supervision) [menée par un instructeur]</t>
  </si>
  <si>
    <t>Par formateur</t>
  </si>
  <si>
    <t>Former un superviseur par région, district et site fixe. NB: Formation au niveau local spécifiée sous A3.1</t>
  </si>
  <si>
    <t>Обучение инструкторов (и тренинги по осуществлению контроля) [проводятся инструкторами]</t>
  </si>
  <si>
    <t>На одного инструктора</t>
  </si>
  <si>
    <t>Подготовить ответственных руководителей для каждого региона, района и стационарного лечебного учреждения. ПРИМЕЧАНИЕ: Подготовка на местном уровне рассмотрена здесь A3.1.</t>
  </si>
  <si>
    <t>Realización de la Formación de formadores para vacunadores (y supervisión) [con Instructor]</t>
  </si>
  <si>
    <t>Por formador</t>
  </si>
  <si>
    <t>Impartir  formación a un supervisor por cada región, distrito y ubicación fija. Nota: La formación a nivel local se incluye en A3.1</t>
  </si>
  <si>
    <t>Realizar a Formação de Instrutores (e supervisão) de vacinadores [dada por instrutores].</t>
  </si>
  <si>
    <t>Por instrutor</t>
  </si>
  <si>
    <t>Formar um supervisor para cada região, distrito e local fixo. NOTA: Formação de nível local especificado em A3.1.</t>
  </si>
  <si>
    <t xml:space="preserve"> إجراء تدريب المدربين (والإشراف) للقائمين بالتطعيم [بقيادة المعلم]</t>
  </si>
  <si>
    <t>لكل مدرب</t>
  </si>
  <si>
    <t xml:space="preserve">مزيد من المعلومات حول تدريب القائمين بالتطعيم @ </t>
  </si>
  <si>
    <t>تدريب مشرف لكل منطقة ومقاطعة وموقع ثابت. ملاحظة: التدريب على المستوى المحلي المحدد في A3.1.</t>
  </si>
  <si>
    <t>开展疫苗接种者培训师（和监督）的培训[在导师辅导下]</t>
  </si>
  <si>
    <t>每名培训师</t>
  </si>
  <si>
    <t>为每个区域、地区和固定站点培训一名主管。注意：本地培训见A3.1。</t>
  </si>
  <si>
    <t>[et/ou] Mener la formation des formateurs de vaccinateurs (et leur supervision) [apprentissage numérique, à son rythme]</t>
  </si>
  <si>
    <t>Par vaccinateur</t>
  </si>
  <si>
    <t>NB: Formation au niveau local aussi spécifiée sous A3.1: ne pas compter en double</t>
  </si>
  <si>
    <t>[и/или] Провести тренинг для инструкторов-вакцинаторов (и для ответственных руководителей) [дистанционное обучение - свободный график проведения занятий]</t>
  </si>
  <si>
    <t>На одного вакцинатора</t>
  </si>
  <si>
    <t>ПРИМЕЧАНИЕ: Подготовка персонала, осуществляемая на местном уровне, также включена в п. A3.1 - не дублируйте в расчетах</t>
  </si>
  <si>
    <t>[y/o] Llevar a cabo la Formación de Formadores (y Supervisión) para vacunadores [Formación digital - autodidacta]</t>
  </si>
  <si>
    <t>Por vacunador</t>
  </si>
  <si>
    <t>NOTA: La formación a nivel local también se especifica en A3.1 - no incluir dos veces</t>
  </si>
  <si>
    <t>[e/ou] Realizar a Formação de Instrutores (e Supervisão) de vacinadores [Aprendizagem digital – próprio ritmo].</t>
  </si>
  <si>
    <t>Por vacinador</t>
  </si>
  <si>
    <t>NOTA: Formação de nível local também especificada em A3.1 – não conte duas vezes</t>
  </si>
  <si>
    <t>ملاحظة: العدد الأقصى للقائمين بالتحصين = 0 ، 0 منهم تم إعادة نشرهم و 0 لم يتم إعادة نشرهم / تم تجنيدهم حديثًا (متغير متوسط)</t>
  </si>
  <si>
    <t>لكل قائم بالتطعيم</t>
  </si>
  <si>
    <t>قم بتدريب مشرف لكل منطقة ومقاطعة وموقع ثابت. ملاحظة: التدريب على المستوى المحلي المحدد في A3.1.</t>
  </si>
  <si>
    <t>ملاحظة: التدريب على المستوى المحلي محدد أيضًا في A3.1 - لا تضاعف العد</t>
  </si>
  <si>
    <t>[和/或]开展疫苗接种者培训师（和监督）的培训[数码学习——自定进度]</t>
  </si>
  <si>
    <t>每名疫苗接种者</t>
  </si>
  <si>
    <t>注意：A3.1中也注明了本地一级的培训，请勿重复计算</t>
  </si>
  <si>
    <t>Coûts opérationnels supplémentaires/indemnités journalières pour superviseurs au niveau local</t>
  </si>
  <si>
    <t>Par superviseur</t>
  </si>
  <si>
    <t xml:space="preserve">Дополнительные операционные затраты / суточные для ответственных руководителей на местном уровне </t>
  </si>
  <si>
    <t xml:space="preserve">На одного ответственного руководителя </t>
  </si>
  <si>
    <t>Costes operativos suplementarios / dietas para supervisores a nivel local</t>
  </si>
  <si>
    <t>Por supervisor</t>
  </si>
  <si>
    <t>Custos operacionais suplementares/ajudas de custo diárias para supervisores a nível local</t>
  </si>
  <si>
    <t xml:space="preserve"> [و / أو] إجراء تدريب للقائمين بالتطعيم لتدريب المدربين (والإشراف) [التعلم الرقمي - التعلم الذاتي]</t>
  </si>
  <si>
    <t>لكل مشرف</t>
  </si>
  <si>
    <t>地方一级主管的补充运营成本/每日津贴</t>
  </si>
  <si>
    <t>每名主管</t>
  </si>
  <si>
    <t>Équipe de mise en œuvre au niveau central</t>
  </si>
  <si>
    <t>Personnel</t>
  </si>
  <si>
    <t>Бригада для реализации мероприятий на центральном уровне</t>
  </si>
  <si>
    <t>Персонал</t>
  </si>
  <si>
    <t xml:space="preserve">Equipo de implementación del nivel central </t>
  </si>
  <si>
    <t>Personal</t>
  </si>
  <si>
    <t>Equipa de implementação a nível central</t>
  </si>
  <si>
    <t>Pessoal</t>
  </si>
  <si>
    <t>المساعدة الفنية TA: بروتوكولات الموافقة والرفض وحماية حالات الرفض (تجمع بين E4 / H8)</t>
  </si>
  <si>
    <t>طاقم العمل</t>
  </si>
  <si>
    <t>中央一级实施团队</t>
  </si>
  <si>
    <t>人员</t>
  </si>
  <si>
    <t>Équipe de mise en œuvre au niveau infranational 2: taille par unité administrative</t>
  </si>
  <si>
    <t>Par équipe</t>
  </si>
  <si>
    <t>Par ex. une équipe provinciale | Prix unitaire par membre du personnel par mois (y compris frais administratifs correspondants)</t>
  </si>
  <si>
    <t xml:space="preserve">Численность бригады для проведения вакцинации на субнациональном уровне 1 из расчета на одну административную единицу </t>
  </si>
  <si>
    <t>На одну бригаду</t>
  </si>
  <si>
    <t>Например, это региональная бригада | Удельная стоимость на одного сотрудника в месяц  (включая офисные расходы, связанные с персоналом)</t>
  </si>
  <si>
    <t>Tamaño del equipo de implementación del nivel subnacional 1 por unidad administrativa</t>
  </si>
  <si>
    <t>Por equipo</t>
  </si>
  <si>
    <t>Por ejemplo, un equipo provincial | Precio unitario por empleado/a y mes (incl. gastos de oficina del empleado/a)</t>
  </si>
  <si>
    <t>Tamanho da equipa de implementação de nível subnacional 1 por unidade administrativa</t>
  </si>
  <si>
    <t>Por equipa</t>
  </si>
  <si>
    <t>Digamos uma equipa provincial | Preço unitário por empregado por mês (incl. despesas de escritório associadas ao pessoal)</t>
  </si>
  <si>
    <t>فريق التنفيذ على المستوى المركزي</t>
  </si>
  <si>
    <t>لكل فريق</t>
  </si>
  <si>
    <t>قل فريق المقاطعة | سعر الوحدة لكل موظف شهريًا (بما في ذلك المصروفات المكتبية المرتبطة بالموظفين)</t>
  </si>
  <si>
    <t>国家以下1级每个行政单位的实施团队规模</t>
  </si>
  <si>
    <t>每个团队</t>
  </si>
  <si>
    <t>比如一个省级团队| 每人每月单价（含与员工相关的办公费用）</t>
  </si>
  <si>
    <t>Équipe de mise en œuvre au niveau infranational 1: taille par unité administrative</t>
  </si>
  <si>
    <t>Par ex. une équipe de district | Prix unitaire par membre du personnel par mois (y compris frais administratifs correspondants)</t>
  </si>
  <si>
    <t xml:space="preserve">Численность бригады для проведения вакцинации на субнациональном уровне 2 из расчета на одну административную единицу </t>
  </si>
  <si>
    <t>Например, это районная бригада | Удельная стоимость на одного сотрудника в месяц  (включая офисные расходы, связанные с персоналом)</t>
  </si>
  <si>
    <t>Tamaño del equipo de implementación del nivel subnacional 2 por unidad administrativa</t>
  </si>
  <si>
    <t>Por ejemplo, un equipo de distrito | Precio unitario por empleado/a y mes (incl. gastos de oficina del empleado/a)</t>
  </si>
  <si>
    <t>Tamanho da equipa de implementação de nível subnacional 2 por unidade administrativa</t>
  </si>
  <si>
    <t>Digamos uma equipa distrital | Preço unitário por empregado por mês (incl. despesas de escritório associadas ao pessoal)</t>
  </si>
  <si>
    <t>قل فريق المنطقة | سعر الوحدة لكل موظف شهريًا (بما في ذلك المصروفات المكتبية المرتبطة بالموظفين)</t>
  </si>
  <si>
    <t>国家以下2级每个行政单位的实施团队规模</t>
  </si>
  <si>
    <t>比如一个地区级团队| 每人每月单价（含与员工相关的办公费用）</t>
  </si>
  <si>
    <t>Formation de la main-d'œuvre logistique</t>
  </si>
  <si>
    <t>Par personne</t>
  </si>
  <si>
    <t xml:space="preserve">Подготовка персонала, ответственного за логистику </t>
  </si>
  <si>
    <t>На одного сотрудника</t>
  </si>
  <si>
    <t>Formación del personal de logística</t>
  </si>
  <si>
    <t>Por persona</t>
  </si>
  <si>
    <t>Formação de mão de obra de logística</t>
  </si>
  <si>
    <t>Por pessoa</t>
  </si>
  <si>
    <t>تدريب القوى العاملة اللوجستية</t>
  </si>
  <si>
    <t>لكل شخص</t>
  </si>
  <si>
    <t>物流人力培训</t>
  </si>
  <si>
    <t>每人</t>
  </si>
  <si>
    <t>Instructions: Cette section peut inclure l'élaboration de registres électroniques de vaccination et de systèmes d'information correspondants. Si on le désire, on peut inclure ici les frais techniques et de développement, les frais d'équipement par site/équipe de vaccination, sous A3.5, les frais opérationnels, comme les télécommunications, sous A3.5, et tous les frais par dose livrée, sous A3.2 (dossiers électroniques).
Frais de supervision et indemnisation: peuvent être ajoutés sous cette section (spécifiés en tant que pourcentage en sus des vaccins et vaccinations, hors coûts centraux)</t>
  </si>
  <si>
    <t>Инструкции: В данный раздел может быть включена разработка электронных форм учета прививок и сопутствующих информационных систем. Если страна планирует выполнить эти мероприятия, включите в данный раздел расходы на техническую поддержку и расходы на разработку электронных форм учета и информационных систем, расходы на оборудование из расчета на один объект/на одну бригаду вакцинаторов в п. A3.5, операционные расходы например на телекомуникации в п. A3.5,  а также любые расходы на вакцинацию в расчете на одну дозу в п. A3.2 (Электронные формы учета).
Затраты на осуществление контоля и соответствия могут быть включены дополнительно в данный раздел (указываются как процент сверх стоимости вакцины и вакцинации, без учета централизованно покрываемых расходов).</t>
  </si>
  <si>
    <t>Instrucciones : Esta sección puede incluir el desarrollo de un sistema de registros de vacunación electrónicos e información relacionada. Si se quiere incluir, introducir costes técnicos y costes de desarrollo, costes de equipamiento por ubicación/ equipo de vacunación en A3.6, costes operativos como telecomunicaciones en A3.7, y costes por dosis administrada en A3.2 (Registros electrónicos).
Costes de supervisión y seguros – se pueden añadir en esta sección (especificados como un porcentaje del coste de las vacunas y el coste de administración de las vacunas, excluyendo los costes centrales)</t>
  </si>
  <si>
    <t>Instruções: Esta secção pode incluir o desenvolvimento de um registo electrónico de vacinação e sistemas de informação relacionados. Se desejar, inclua aqui custos técnicos e de desenvolvimento, custos de equipamento por local/equipa de vacinação em A3.5, custos operacionais tais como telecomunicações em A3.5 e qualquer custo por dose administrada em A3.2 (Registos Electrónicos).
Custos de supervisão e garantia – podem ser adicionados nesta secção (especificados como um percentual acima dos custos da vacina e da entrega da vacina, excluindo os custos centrais).</t>
  </si>
  <si>
    <t xml:space="preserve">التعليمات: قد يتضمن هذا القسم تطوير سجلات التطعيم الإلكترونية وأنظمة المعلومات ذات الصلة. إذا كان ذلك مطلوبًا، يرجى تضمين التكاليف الفنية وتكاليف التطوير هنا، وتكاليف المعدات لكل موقع / فريق التطعيم في A3.5 ، والتكاليف التشغيلية مثل الاتصالات في A3.5، وأي تكاليف التسليم لكل جرعة في A3.2 (السجلات الإلكترونية)._x000D_
_x000D_
تكاليف الإشراف والضمان - يمكن إضافتها ضمن هذا القسم (المحددة كنسبة مئوية أعلى من تكاليف توصيل اللقاح واللقاح، باستثناء التكاليف المركزية). </t>
  </si>
  <si>
    <t>说明：本部分可以包括疫苗接种电子记录和相关信息系统的开发。 如有需要，请在此处包括技术成本和开发成本。每个站点/疫苗接种团队的设备成本见A3.5，电信等运营成本见A3.5，任何每剂疫苗交付成本（电子记录）见A3.2。
可在这里纳入监督和保证成本（注明疫苗和疫苗交付成本之外的百分比，排除中央一级成本）。</t>
  </si>
  <si>
    <t>AT: Adapter/élaborer les cadres de surveillance et de suivi-évaluation (y compris indicateurs et instruments)</t>
  </si>
  <si>
    <t>ТП: Адаптировать / разработать систему для осуществления эпиднадзора, а также мониторинга и оценки (М&amp;О) (включая показатели и инструменты)</t>
  </si>
  <si>
    <t>AT: Adaptar/desarrollar marco de vigilancia y SyE (incl. indicadores y herramientas)</t>
  </si>
  <si>
    <t>AT: Adaptar/desenvolver a estrutura de vigilância e M&amp;A (incl. indicadores e instrumentos)</t>
  </si>
  <si>
    <t>المساعدة الفنية TA: تكييف / تطوير إطار عمل المراقبة والرصد والتقييم (بما في ذلك المؤشرات والأدوات)</t>
  </si>
  <si>
    <t>TA：调整/开发监测和M&amp;E框架（包括指标和工具）</t>
  </si>
  <si>
    <t>AT: Adapter/élaborer un système de données vaccinales sur papier ou électronique, prendre des mesures de protection des données et prévoir un mécanisme de réclamation</t>
  </si>
  <si>
    <t>ТП: Адаптировать /разработать систему форм учета вакцинации - электронных или на бумажном носителе, и обеспечить меры по защите данных и механизм предоставления и проверки данных</t>
  </si>
  <si>
    <t xml:space="preserve">AT: Adaptar/desarrollar sistemas de registros de vacunación electrónicos o en papel, garantizar medidas de protección de datos y mecanismo de quejas </t>
  </si>
  <si>
    <t>AT: Adaptar/desenvolver sistema de registos de vacinação em papel ou electrónico, garantir medidas de protecção de dados e mecanismo de reclamação</t>
  </si>
  <si>
    <t>المساعدة الفنية TA: تكييف / تطوير نظام سجلات التطعيم الورقي أو الإلكتروني، وضمان تدابير حماية البيانات وآلية التظلم</t>
  </si>
  <si>
    <t>TA：调整/编制纸质版或电子疫苗接种记录系统，确保包括数据保护措施和申诉机制</t>
  </si>
  <si>
    <t>Déployer/distribuer/piloter/fournir la formation requise pour les systèmes de registres vaccinaux</t>
  </si>
  <si>
    <t xml:space="preserve">Внедрить/ распределить/ протестировать/ провести тренинг по использованию системы учета вакцинации </t>
  </si>
  <si>
    <t xml:space="preserve">Desplegar / distribuir / pilotar/ impartir formación para el sistema de registros de vacunación </t>
  </si>
  <si>
    <t>Implantar/distribuir/realizar ensaios piloto/fornecer formação sobre o sistema de registos de vacinação</t>
  </si>
  <si>
    <t xml:space="preserve"> نشر / توزيع / تجريب / توفير التدريب لنظام سجلات التطعيم</t>
  </si>
  <si>
    <t>疫苗接种记录系统的部署/配送/试点/培训</t>
  </si>
  <si>
    <t>Sondage de couverture vaccinale</t>
  </si>
  <si>
    <t>Исследование охвата вакцинацией</t>
  </si>
  <si>
    <t>Encuesta de cobertura de la vacunación</t>
  </si>
  <si>
    <t>Inquérito de cobertura da vacinação</t>
  </si>
  <si>
    <t>مسح تغطية التطعيم</t>
  </si>
  <si>
    <t>疫苗接种覆盖率调查</t>
  </si>
  <si>
    <t>Évaluation post-introduction des vaccins contre la COVID-19</t>
  </si>
  <si>
    <t xml:space="preserve">Оценка вакцин против COVID-19 на этапе после внедрения  </t>
  </si>
  <si>
    <t>Evaluación post introducción de vacunas de la COVID-19</t>
  </si>
  <si>
    <t xml:space="preserve">Avaliação pós-introdução para as vacinas contra a COVID-19 </t>
  </si>
  <si>
    <t>تقييم ما بعد التقديم للقاحات كوفيد-19</t>
  </si>
  <si>
    <t>COVID-19疫苗引入后评价</t>
  </si>
  <si>
    <t>Étude d'efficacité et d'impact des vaccins</t>
  </si>
  <si>
    <t>Исследование эффективности применения вакцины и воздействия вакцины</t>
  </si>
  <si>
    <t>Estudio de efectividad e impacto de las vacunas</t>
  </si>
  <si>
    <t>Estudo de eficácia e impacto da vacina</t>
  </si>
  <si>
    <t xml:space="preserve"> فعّالية اللقاح ودراسة تأثيره</t>
  </si>
  <si>
    <t>疫苗有效性和影响研究</t>
  </si>
  <si>
    <t xml:space="preserve">(дополнительные позиции могут быть при желании, добавлены здесь) </t>
  </si>
  <si>
    <t>Coûts de supervision et d'indemnisation</t>
  </si>
  <si>
    <t>Pourcentage des coûts des vaccins et de l'administration des vaccins</t>
  </si>
  <si>
    <t xml:space="preserve">Затраты на осуществление контроля и соответствия </t>
  </si>
  <si>
    <t xml:space="preserve">Процент затрат на вакцины и вакцинацию </t>
  </si>
  <si>
    <t>Costes de supervisión y seguros</t>
  </si>
  <si>
    <t>Porcentaje del coste de las vacunas y el coste de administración de las vacunas</t>
  </si>
  <si>
    <t>Custos de Supervisão e Garantia</t>
  </si>
  <si>
    <t>Percentagem de custos da vacina e de entrega da vacina</t>
  </si>
  <si>
    <t xml:space="preserve"> تكاليف الإشراف والتأمين</t>
  </si>
  <si>
    <t>النسبة المئوية لتكاليف اللقاح وتكاليف تسليم اللقاح</t>
  </si>
  <si>
    <t>监督与保证成本</t>
  </si>
  <si>
    <t>疫苗和疫苗交付成本百分比</t>
  </si>
  <si>
    <t>Instructions: Cette section comprend l'AT pour divers aspects de la logistique et de l'infrastructure vaccinales</t>
  </si>
  <si>
    <t>Инструкции: Данный раздел включает техническую помощь (ТП) по различным аспектам логистики и инфраструктуры, связанной с вакцинами.</t>
  </si>
  <si>
    <t>Instrucciones: Esta sección incluye asistencia técnica (AT) para cuestiones de logística e infraestructura relacionadas con la vacuna.</t>
  </si>
  <si>
    <t>INSTRUÇÕES: Esta secção inclui ajuda técnica (TA) para vários aspectos da logística relacionada à vacina e à infra-estrutura.</t>
  </si>
  <si>
    <t>التعليمات: يتضمن هذا القسم المساعدة الفنية (TA) لجوانب مختلفة من اللوجيستيات والبنية التحتية المتعلقة باللقاح.</t>
  </si>
  <si>
    <t>说明：这部分包括针对疫苗相关物流和基础设施各个方面的技术援助（TA）。</t>
  </si>
  <si>
    <t>AT: Établir un groupe de travail national pour la logistique: mandat, procédure opératoire standardisée, principaux rôles et responsabilités</t>
  </si>
  <si>
    <t xml:space="preserve">ТП: Создание Национальной рабочей группы по логистике - ТЗ, СОП, ключевые роли и обязанности </t>
  </si>
  <si>
    <t>AT: Crear un Grupo de trabajo nacional de logística - TdR, POE, roles y responsabilidades clave</t>
  </si>
  <si>
    <t>AT: Estabelecer Grupo de Trabalho de Logística Nacional – TdR, POP, Funções e Responsabilidades Chave</t>
  </si>
  <si>
    <t>المساعدة الفنية TA: إنشاء مجموعة عمل لوجستية وطنية - المواصفات، إجراءات التشغيل الموحدة، الأدوار والمسؤوليات الرئيسية</t>
  </si>
  <si>
    <t>TA：建立国家物流工作组：TOR、SOP、重要角色和职责</t>
  </si>
  <si>
    <t>AT: Stratégie de distribution des vaccins depuis le point d'entrée</t>
  </si>
  <si>
    <t>ТП: Стратегия распределения вакцин из пункта прибытия [в страну]</t>
  </si>
  <si>
    <t xml:space="preserve">AT: Estrategia de distribución de las vacunas desde el punto de entrada </t>
  </si>
  <si>
    <t>AT: Estratégia de distribuição de vacinas a partir do ponto de entrada</t>
  </si>
  <si>
    <t>المساعدة الفنية TA: استراتيجية توزيع اللقاحات من نقطة الدخول</t>
  </si>
  <si>
    <t>TA：从入境点开始的疫苗配送策略</t>
  </si>
  <si>
    <t>AT: Planning, plan, évaluation des lacunes: besoins en infrastructure, y compris énergie, communication, eau</t>
  </si>
  <si>
    <t>NON les coûts réels des mises à niveau requises</t>
  </si>
  <si>
    <t xml:space="preserve">ТП: Картирование, планирование, оценка пробелов - потребности в инфраструктуре, в том числе энергоснабжение, коммуникации, водоснабжение </t>
  </si>
  <si>
    <t xml:space="preserve">Это НЕ стоимость требуемой модернизации </t>
  </si>
  <si>
    <t>AT: Mapeo, planificación, evaluación de brechas - necesidades de infraestructura, incl. energía, comunicaciones, agua</t>
  </si>
  <si>
    <t xml:space="preserve">NO se refiere al costo de las mejoras/ampliaciones necesarias </t>
  </si>
  <si>
    <t>AT: Mapa, plano, avaliação de lacunas – necessidades de infra-estrutura, incl. energia, comunicações, água</t>
  </si>
  <si>
    <t>NÃO os custos reais das actualizações necessárias</t>
  </si>
  <si>
    <t xml:space="preserve"> لكل شخص</t>
  </si>
  <si>
    <t>ليست التكاليف الفعلية للترقيات المطلوبة</t>
  </si>
  <si>
    <t>TA：映射、规划、差距评估——基础设施需求，包括能源、通讯、水</t>
  </si>
  <si>
    <t>不是所需升级的实际成本</t>
  </si>
  <si>
    <t>AT: Évaluation des lacunes: besoins en capacité de stockage à sec et dans la chaîne du froid à tous les niveaux</t>
  </si>
  <si>
    <t>NON les coûts réels des mises à niveau requises. Les besoins en capacité de la chaîne du froid sont évalués séparément dans cet outil</t>
  </si>
  <si>
    <t xml:space="preserve">ТП: Оценка пробелов: потребности в объемах сухого хранилища и холодовой цепи на всех уровнях </t>
  </si>
  <si>
    <t>Это НЕ стоимость требуемой модернизации. Расчет потребностей холодовой цепи производится в данном инструменте отдельно.</t>
  </si>
  <si>
    <t>AT: Evaluación de brechas: Capacidad de almacenaje en seco y cadena de frío a todos los niveles</t>
  </si>
  <si>
    <t>NO se refiere al costo de las mejoras/ampliaciones necesarias. El coste de las necesidades en cuanto a capacidad de la cadena de frío se estiman por separado en esta herramienta.</t>
  </si>
  <si>
    <t>AT: Avaliação de lacunas: Armazenamento a seco e capacidade da cadeia de frio necessária em todos os níveis</t>
  </si>
  <si>
    <t>NÃO os custos reais das actualizações necessárias. Os custos da capacidade da cadeia de frio devem ser calculados separadamente nesta ferramenta.</t>
  </si>
  <si>
    <t>المساعدة الفنية TA: خريطة، خطة، تقييم الثغرات - احتياجات البنية التحتية ، بما في ذلك الطاقة، الاتصالات، المياه</t>
  </si>
  <si>
    <t>ليست التكاليف الفعلية للترقيات المطلوبة. سعة سلسلة البرودة تُحسب بشكل منفصل في هذه الأداة..</t>
  </si>
  <si>
    <t>TA：差距评估：各层面的干存储和冷链容量需求</t>
  </si>
  <si>
    <t>不是所需升级的实际成本。此工具需要单独核算冷链容量需求成本。</t>
  </si>
  <si>
    <t>AT: Planification de la gestion des déchets médicaux, protocoles, procédures normalisées (combiner A6/H6)</t>
  </si>
  <si>
    <t>ТП: Планирование и управление утилизацией медицинских отходов, протоколы, СОПы (совместно A6/H6)</t>
  </si>
  <si>
    <t>AT: Planificación, protocolos, POE de la gestión de residuos médicos (combinar A6/H6)</t>
  </si>
  <si>
    <t>المساعدة الفنية TA: تقييم الفجوة: التخزين الجاف واحتياجات سعة سلسلة البرودة على جميع المستويات</t>
  </si>
  <si>
    <t>TA：医疗废弃物管理计划、协议、SOP（结合A6/H6）</t>
  </si>
  <si>
    <t>AT: Chaîne d'approvisionnement et logistique: intégrer le système existant d'information de gestion logistique des vaccins (VLMIS)</t>
  </si>
  <si>
    <t>Logistique de la chaîne du froid, gestion des stocks</t>
  </si>
  <si>
    <t>ТП: Интеграция цепи поставок и логистики в действующую Информационную систему управления логистикой вакцин (VLMIS)</t>
  </si>
  <si>
    <t xml:space="preserve">Логистика холодовой цепи, учет запасов </t>
  </si>
  <si>
    <t>AT: Integración en la cadena de suministro y la logística el sistema de gestión de la información logística (SGIL) de la vacuna</t>
  </si>
  <si>
    <t>Logística de la cadena de frío, gestión de existencias</t>
  </si>
  <si>
    <t>AT: A cadeia de suprimentos e logística integram o Sistema Informático de Gestão de Logística das Vacinas (VLMIS) existente</t>
  </si>
  <si>
    <t>Logística da cadeia de frio, manutenção de stock</t>
  </si>
  <si>
    <t>المساعدة الفنية TA: تخطيط إدارة النفايات الطبية، والبروتوكولات، وإجراءات التشغيل الموحدة (تجمع A6 / H6)</t>
  </si>
  <si>
    <t>لوجستيات سلسلة البرودة، حفظ المخزون</t>
  </si>
  <si>
    <t>TA：供应链和物流整合了现有的疫苗物流管理和信息系统（VLMIS）</t>
  </si>
  <si>
    <t>冷链物流，库存</t>
  </si>
  <si>
    <t>AT Protocoles d'assentiment, refus, protection des refus (combiner E4/H8)</t>
  </si>
  <si>
    <t>AT: Protocolos de consentimientos, rechazos, protección de los rechazos (combinar E4/H8)</t>
  </si>
  <si>
    <t>المساعدة الفنية TA: تدمج سلسلة التوريد والخدمات اللوجستية نظام المعلومات وإدارة لوجستيات اللقاحات الحالية (VLMIS)</t>
  </si>
  <si>
    <t>TA：同意、拒绝、保护拒绝的协议（结合 E4/H8）</t>
  </si>
  <si>
    <t>Instructions: Cette section inclut l'assistance technique (AT), la formation et l'établissement d'un système d'indemnisation. Les fonds requis pour ce système consistent en une somme fixe par dose (section T1) et sont calculés en R2.1.13.
NB: Au moment de l'élaboration de cette plateforme d'évaluation des coûts, on ne dispose pas d'outils spécifiques concernant les vaccins candidats et les activités correspondantes de surveillance et d'investigation des MAPI, MIIP et réactions indésirables graves (RIG). L'évaluation de ces coûts pourrait donc nécessiter des adaptations ultérieures</t>
  </si>
  <si>
    <t>Инструкции: В данный раздел включена техническая помощь (ТП), подготовка и создание системы компенсационных выплат. Финансовые средства на такую схему расчитываются в виде фиксированной суммы на одну дозу вакцины (см. T1) и отражены в таблице в разделе R2.1.13.
Примечание: На момент разработки данной платформы, отсутствуют определенные детали относительно вакцин-кандидатов и мероприятий по эпиднадзору за ПППИ, тяжелыми побочными реакциями, побочными проявлениями, вызывающими особый интерес и их расследования, поэтому для расчета сопутствующих затрат может потребоваться дальнейшая актуализация данных.</t>
  </si>
  <si>
    <t>Instrucciones: Esta sección incluye asistencia técnica (AT), formación, y creación de un mecanismo de indemnización. Los fondos de ese mecanismo se estiman según una cantidad fija por dosis (en la sección T1) y se tabulan en R2.1.13.
Nota: En el momento de desarrollo de esta herramienta de estimación de costes, las características específicas de los candidatos a vacuna y las actividades de vigilancia e investigación de los eventos adversos tras la vacunación (ESAVI), los eventos adversos severos y los eventos adversos de especial interés (AESI) relacionados con esas posibles vacunas no están disponibles, y por tanto la estimación de estos costes probablemente deberá ser adaptada más adelante.</t>
  </si>
  <si>
    <t>INSTRUÇÕES: Esta secção inclui ajuda técnica (AT), formação e o estabelecimento de um plano de indemnização. Os fundos para tal plano são calculados como um montante fixo por dose (na secção T1) e são classificados em R2.1.13.
Nota: Na altura do desenvolvimento desta plataforma de cálculo de custos, os dados específicos das vacinas candidatas e as actividades de farmacovigilância e investigação relacionadas aos EAPI, SAR, EAIE não estão disponíveis e, portanto, a estimativa de tais custos pode precisar de adaptações adicionais.</t>
  </si>
  <si>
    <t>التعليمات: يشمل هذا القسم المساعدة الفنية (TA)، والتدريب، وإنشاء نظام تعويضات. يتم احتساب الأموال الخاصة بمثل هذا النظام كمبلغ ثابت لكل جرعة (تحت القسم T1) ويتم جدولتها في R2.1.13.</t>
  </si>
  <si>
    <t>说明：本部分包括技术援助（TA）、培训和赔偿计划制定。该计划资金按每剂固定计算（在T1下），列于R2.1.13中。
注意：开发这个成本核算平台时，尚无法获得候选疫苗以及相关AEFI、SAR、AESI监测和调查活动具体细节，因此可能需要进一步调整此类成本估算。</t>
  </si>
  <si>
    <t>AT: Élaborer et disséminer les directives, procédures et outils de pharmacovigilance et surveillance active de manifestations indésirables spécifiques aux vaccins contre la COVID-19</t>
  </si>
  <si>
    <t>Reporting, investigation, évaluation de causalité, communication des risques et réponse</t>
  </si>
  <si>
    <t>ТП: Разработка и распространение руководств, методик, инструментов для осуществления фармаконадзора за вакцинами и ведения активного эпиднадзора за особыми побочными проявлениями, связанными с COVID-19</t>
  </si>
  <si>
    <t>Регистрация, расследование, оценка причинно-следственной связи, информационное взаимодействие о рисках и принятие ответных мер</t>
  </si>
  <si>
    <t>AT: Elaborar y difundir directrices, procedimientos y herramientas para la farmacovigilancia de vacunas y la vigilancia activa de eventos adversos relacionados con vacunas específicas de la COVID-19</t>
  </si>
  <si>
    <t>Notificación, investigación, evaluación de causalidad, comunicación de riesgos y respuesta</t>
  </si>
  <si>
    <t>AT: Desenvolver e disseminar directrizes, procedimentos, ferramentas para farmacovigilância das vacinas e vigilância activa de efeitos adversos específicos relacionados à vacina contra a Covid-19</t>
  </si>
  <si>
    <t>Relatórios, investigação, avaliação da causalidade, comunicação e resposta aos riscos</t>
  </si>
  <si>
    <t>المساعدة الفنية TA: تطوير ونشر مبادئ توجيهية وإجراءات وأدوات لليقظة الدوائية للقاح والمراقبة النشطة لأحداث ضائرة محددة متعلقة بلقاح كوفيد-19</t>
  </si>
  <si>
    <t xml:space="preserve"> الإبلاغ والتحقيق وتقييم السببية والإبلاغ عن المخاطر والاستجابة لها</t>
  </si>
  <si>
    <t>TA：制定和分发有关疫苗药物警戒性和主动监测Covid-19疫苗相关具体不良事件的指南、程序、工具</t>
  </si>
  <si>
    <t>报告、调查、因果关系评估、风险沟通和应对</t>
  </si>
  <si>
    <t>AT: Comité des MAPI: termes de référence</t>
  </si>
  <si>
    <t>ТП: Комитет по ПППИ - ТЗ</t>
  </si>
  <si>
    <t>AT: Comité ESAVI - TdR</t>
  </si>
  <si>
    <t>AT: Comité de EAPI – TdR</t>
  </si>
  <si>
    <t>TA：AEFI 委员会——TOR</t>
  </si>
  <si>
    <t>AT: Identifier les dispositions qui requièrent des fabricants qu'ils mettent en œuvre des plans de gestion des risques et qu'ils collectent des données de sécurité concernant les vaccins contre la COVID-19 et en informent les autorités nationales de réglementation</t>
  </si>
  <si>
    <t>ТП: Разработать положения, обязывающие фирмы-изготовители вакцин внедрять планы управления рисками и собирать и сообщать данные о проблемах с безопасностью вакцин против COVID-19 в НРО.</t>
  </si>
  <si>
    <t>AT: Identificar disposiciones que exijan a los fabricantes la implementación de planes de gestión de riesgos  y la recopilación y notificación de datos de seguridad de las vacunas de la COVID-19 a la ANR .</t>
  </si>
  <si>
    <t>AT: Identificar provisões que exijam que os fabricantes implementem planos de gestão de riscos e recolham e relatem dados de segurança da vacina contra a COVID-19 para a ARN.</t>
  </si>
  <si>
    <t>المساعدة الفنية: الروابط المؤسسية والعالمية وآليات التنسيق لليقظة الدوائية للقاحات</t>
  </si>
  <si>
    <t>TA：明确相关规定，要求制造商实施风险管理计划，并收集和向NRA报告COVID-19疫苗安全性数据。</t>
  </si>
  <si>
    <t>AT: Mécanismes de liaison et de coordination institutionnels et internationaux pour la pharmacovigilance vaccinale</t>
  </si>
  <si>
    <t xml:space="preserve">ТП: Институциональные и глобальные рычаги и механизмы координации действий для осуществления фармаконадзора за вакцинами </t>
  </si>
  <si>
    <t xml:space="preserve">AT: Vínculos y mecanismos de coordinación institucionales y globales para la farmacovigilancia de las vacunas </t>
  </si>
  <si>
    <t>AT: Ligações institucionais e globais, e mecanismos de coordenação, para a farmacovigilância das vacinas</t>
  </si>
  <si>
    <t>TA：用于疫苗药物警戒性的机构性和全球网络与协调机制</t>
  </si>
  <si>
    <t>AT: Établissement de systèmes et de politiques de compensation (à l'exclusion des fonds proprement dits pour indemnisation hors faute)</t>
  </si>
  <si>
    <t>ТП: Внедрение механизма и политики компенсационных выплат (сюда не включены фактические финансовые средства на применение концепции паушальной компенсации без наличия вины в качестве полного и окончательного урегулирования любой претензии)</t>
  </si>
  <si>
    <t>AT: Creación de mecanismos y políticas de compensación (excluyendo los fondos en sí para la indemnización sin culpa)</t>
  </si>
  <si>
    <t>AT: Estabelecimento de planos e políticas de indemnização (excluindo os fundos reais de indemnização independentemente da responsabilidade)</t>
  </si>
  <si>
    <t xml:space="preserve"> التحليل الفني: تحديد الأحكام التي تتطلب من الشركات المصنعة تنفيذ خطط إدارة المخاطر وجمع بيانات سلامة لقاح كوفيد-19 وإبلاغها إلى السلطات التنظيمية الوطنية (NRAs).</t>
  </si>
  <si>
    <t>TA：制定赔偿计划和政策（不包括无过失责任的实际资金）</t>
  </si>
  <si>
    <t>المراقبة النشطة لأحداث سلبية مرتبطة بلقاح كوفيد-19</t>
  </si>
  <si>
    <t>Formation des investigateurs de MAPI</t>
  </si>
  <si>
    <t>Подготовка специалистов по расследованию ПППИ</t>
  </si>
  <si>
    <t>На одного специалиста</t>
  </si>
  <si>
    <t>Formación de investigadores de ESAVI</t>
  </si>
  <si>
    <t>Formação de investigadores de EAPI</t>
  </si>
  <si>
    <t xml:space="preserve"> تدريب محققين الأحداث الضائرة التالية للتطعيم  (AEFI)</t>
  </si>
  <si>
    <t>培训AEFI调查人员</t>
  </si>
  <si>
    <t>Formation du Comité des MAPI</t>
  </si>
  <si>
    <t>Подготовка членов комитета по ПППИ</t>
  </si>
  <si>
    <t>На одного члена комитета</t>
  </si>
  <si>
    <t>Formación para el Comité ESAVI</t>
  </si>
  <si>
    <t>Formação do Comité de EAPI</t>
  </si>
  <si>
    <t>المساعدة الفنية TA: لجنة الأحداث الضائرة التالية للتطعيم  (AEFI)</t>
  </si>
  <si>
    <t>AEFI 委员会的培训</t>
  </si>
  <si>
    <t>Surveillance active des manifestations indésirables spécifiques aux vaccins contre la COVID-19</t>
  </si>
  <si>
    <t>Par point de service/distribution</t>
  </si>
  <si>
    <t>Активный эпиднадзор за определенными побочными проявлениями, связанными с вакциной против COVID-19</t>
  </si>
  <si>
    <t xml:space="preserve">На один пункт предоставления услуг/ на один пункт распределения вакцин </t>
  </si>
  <si>
    <t xml:space="preserve">Vigilancia activa de eventos adversos relacionados con vacunas específicas de la COVID-19 </t>
  </si>
  <si>
    <t>Por cada punto de servicio / punto de distribución</t>
  </si>
  <si>
    <t>Farmacovigilância activa de efeitos adversos específicos relacionados às vacinas contra a Covid-19</t>
  </si>
  <si>
    <t>Por ponto de serviço/ponto de distribuição</t>
  </si>
  <si>
    <t xml:space="preserve"> تدريب لجنة الأحداث الضائرة التالية للتطعيم  (AEFI)</t>
  </si>
  <si>
    <t>لكل نقطة خدمة / نقطة توزيع</t>
  </si>
  <si>
    <t>主动监测与Covid-19疫苗有具体相关性的不良事件</t>
  </si>
  <si>
    <t>每个服务点/配送点</t>
  </si>
  <si>
    <t>Établir une surveillance de site sentinelle de haute qualité</t>
  </si>
  <si>
    <t xml:space="preserve">Внедрить качественый дозорный эпиднадзор </t>
  </si>
  <si>
    <t>На один пункт вакцинации</t>
  </si>
  <si>
    <t>Establecer vigilancia de centros centinela de calidad</t>
  </si>
  <si>
    <t>Estabelecer farmacovigilância de alta qualidade no local sentinela</t>
  </si>
  <si>
    <t>المساعدة الفنية TA: الروابط المؤسسية والعالمية وآليات التنسيق، بهدف التيقظ الدوائي للقاحات</t>
  </si>
  <si>
    <t>建立高质量的岗哨站点监测</t>
  </si>
  <si>
    <t>Instructions: La génération de la demande et la communication peuvent représenter une large part du coût des vaccinations. L'AT, les coûts de développement des activités de communication et les coûts opérationnels centralisés correspondants sont calculés ici. Certains coûts infranationaux, comme ceux qui sont dus aux points focaux locaux de communication du risque et engagement communautaire (CREC ) et à l'engagement communautaire peuvent aussi être inclus ici. De nombreux aspects de la génération de demande locale sont cependant couverts à la section A3.6 (pour les activités provenant des points de vaccination, qui doivent être examinées ensemble afin d'en assurer la cohérence)</t>
  </si>
  <si>
    <t>Инструкции: Формирование спроса на вакцину и осуществление информационного взаимодействия по вопросам вакцинации могут быть существенным затратообразующим фактором для вакцинации. В данном разделе проводится расчет стоимости технической помощи (ТП), затрат на разработку мероприятий по осуществлению информационного взаимодействия и соответствующие централизованно покрываемые операционные расходы. Некоторые расходы для субнационального уровня, например, связанные с работой местных координаторов по информированию о рисках и вовлечением сообществ, также могут быть учтены в этом разделе. Однако расчет расходов по многим аспектам формирования спроса на местном уровне производится в п. A3.6 (для обеспечения согласованности расходов мероприятия, реализуемые в пунктах предоставления услуг вакцинации, должны рассматриваться вместе).</t>
  </si>
  <si>
    <t>Instrucciones: La generación de demanda y la comunicación pueden ser componentes significativos de los costes de la vacunación. La asistencia técnica (AT), costes de desarrollo de actividades de comunicación, y los costes operativos de nivel central para tales actividades, se calculan aquí. Algunos costes subnacionales, como los relativos a puntos focales de RCCE local y la participación comunitaria también, pueden incluirse aquí. No obstante, muchos de los aspectos de la generación de demanda local se calculan en la sección A3.6 (para actividades que se originan en los puntos de prestación del servicio de vacunación) – se deberán revisar conjuntamente para garantizar su alineación.</t>
  </si>
  <si>
    <t>INSTRUÇÕES: A geração de procura e as comunicações podem ser um grande factor nos custos da vacinação. A ajuda técnica (AT), os custos de desenvolvimento de actividades de comunicação e os custos operacionais a nível central para estes são calculados aqui. Alguns custos subnacionais, como os relacionados aos pontos focais de CREC locais e ao envolvimento da comunidade, também podem ser incluídos aqui. Entretanto, muitos aspectos da geração de procura local são calculados na secção A3.6 (para actividades originadas em pontos de vacinação – estes devem ser revistos em conjunto para assegurar o alinhamento.</t>
  </si>
  <si>
    <t xml:space="preserve"> التعليمات: قد يكون توليد الطلب والاتصالات محركًا كبيرًا لتكاليف التطعيم. يتم احتساب تكلفة المساعدة الفنية (TA) ، وتكاليف التطوير لأنشطة الاتصالات ، والتكاليف التشغيلية على المستوى المركزي لهذه التكاليف هنا. يمكن أيضًا تضمين بعض التكاليف دون الوطنية مثل تلك المتعلقة بجهات التواصل بشأن المخاطر وإشراك المجتمع (RCCE)</t>
  </si>
  <si>
    <t>说明：需求生成和沟通可能给疫苗接种成本带来很大影响。在这里对技术援助（TA）、沟通活动开发成本、以及中央一级的相关运营成本做出成本核算。也可以在此处包括某些国家以下各级的成本，例如与当地RCCE联络人和社区参与相关的成本。但应在A3.6下计算与本地需求生成相关的许多方面成本（针对在疫苗接种服务点开展的活动，应该一起审核这些内容以确保一致性。</t>
  </si>
  <si>
    <t>AT: Concevoir une stratégie de mobilisation sociale et d'engagement, y compris communication de crise, messages clés, matériel de communication et gestion des plaintes</t>
  </si>
  <si>
    <t>Y compris traduction</t>
  </si>
  <si>
    <t>ТП: Разработка стратегии социальной мобилизации и вовлечения населения, в том числе по осуществлению информационного взаимодействия в кризисных ситуациях, разработке важнейших информационных сообщений, информационных материалов, обработке жалоб</t>
  </si>
  <si>
    <t>А также перевод материалов на государственный язык</t>
  </si>
  <si>
    <t xml:space="preserve">AT: Diseño de la estrategia de movilización social y participación, incluyendo comunicación en caso de crisis, mensajes clave, materiales de comunicación, gestión de quejas </t>
  </si>
  <si>
    <t>incl. traducción</t>
  </si>
  <si>
    <t>AT: Conceber estratégia de mobilização social e envolvimento, incluindo comunicação de crise, mensagens-chave, materiais de comunicação, tratamento de reclamações</t>
  </si>
  <si>
    <t>incl. tradução</t>
  </si>
  <si>
    <t xml:space="preserve"> المحلية ومشاركة المجتمع هنا. ومع ذلك ، فقد تم تحديد تكاليف العديد من جوانب توليد الطلب المحلي في القسم أ 3-6 (للأنشطة التي تنشأ في نقاط خدمة التلقيح - يجب مراجعتها معًا لضمان المواءمة.</t>
  </si>
  <si>
    <t>بضمنه الترجمة</t>
  </si>
  <si>
    <t>TA：设计社会动员和参与策略，包括危机沟通、关键信息、传播材料、投诉处理</t>
  </si>
  <si>
    <t>包括翻译</t>
  </si>
  <si>
    <t>AT: Systèmes de collecte des données: réseaux sociaux, gestion des rumeurs, évaluation des données comportementales et sociales</t>
  </si>
  <si>
    <t>Prix par mois</t>
  </si>
  <si>
    <t>ТП: Системы сбора данных - анализ социальных СМИ, реагирование на слухи, оценка поведения и социального контента</t>
  </si>
  <si>
    <t>Цена в месяц</t>
  </si>
  <si>
    <t xml:space="preserve">AT: Sistemas de recopilación de datos - redes sociales, gestión de rumores, evaluación de datos sociales y de comportamientos </t>
  </si>
  <si>
    <t>Precio mensual</t>
  </si>
  <si>
    <t>AT: Sistemas de recolha de dados – redes sociais, gestão de boatos, avaliação de dados comportamentais e sociais</t>
  </si>
  <si>
    <t>Preço por mês</t>
  </si>
  <si>
    <t>المساعدة الفنية TA: تصميم استراتيجية للتعبئة الاجتماعية والمشاركة ، بما في ذلك اتصالات الأزمات والرسائل الرئيسية ومواد الاتصال ومعالجة الشكاوى</t>
  </si>
  <si>
    <t>السعر شهريا</t>
  </si>
  <si>
    <t>TA：数据收集系统——社交媒体、谣言处理、评估行为和社交数据</t>
  </si>
  <si>
    <t>每个月的价格</t>
  </si>
  <si>
    <t>AT: Message publics et matériel</t>
  </si>
  <si>
    <t xml:space="preserve">Сообщения и материалы для общественности </t>
  </si>
  <si>
    <t>AT: Mensajes públicos y materiales</t>
  </si>
  <si>
    <t>AT: Mensagens e materiais públicos</t>
  </si>
  <si>
    <t xml:space="preserve"> التكاليف التشغيلية: أنظمة جمع البيانات - وسائل التواصل الاجتماعي، وإدارة الشائعات، وتقييم البيانات السلوكية والاجتماعية</t>
  </si>
  <si>
    <t>TA：公开信息和材料</t>
  </si>
  <si>
    <t>منح المشاركة المجتمعية</t>
  </si>
  <si>
    <t>Coûts opérationnels: systèmes de collecte de données: réseaux sociaux, gestion des rumeurs, évaluation des données comportementales et sociales</t>
  </si>
  <si>
    <t>Операционные расходы: Системы сбора данных - анализ социальных СМИ, реагирование на слухи, оценка поведения и социального контента</t>
  </si>
  <si>
    <t>Costes operativos: Sistemas de recopilación de datos - redes sociales, gestión de rumores, evaluación de datos sociales y de comportamientos</t>
  </si>
  <si>
    <t>Custos operacionais: Sistemas de recolha de dados – redes sociais, gestão de boatos, avaliação de dados comportamentais e sociais</t>
  </si>
  <si>
    <t>المساعدة الفنية TA: نظم جمع البيانات - وسائل التواصل الاجتماعي، وإدارة الشائعات، وتقييم البيانات السلوكية والاجتماعية</t>
  </si>
  <si>
    <t>运营成本：数据收集系统——社交媒体、谣言处理、评估行为和社交数据</t>
  </si>
  <si>
    <t>Coûts opérationnels: équipe centrale de CREC, communication de crise</t>
  </si>
  <si>
    <t xml:space="preserve">Операционный расходы: Деятельность группы по информированию о рисках и вовлечению сообществ на центральном уровне, осуществление информационного взаимодействия в кризисных ситуациях </t>
  </si>
  <si>
    <t xml:space="preserve">Costes operativos: Equipo central de RCCE, comunicación en caso de crisis </t>
  </si>
  <si>
    <t>Custos operacionais: Equipa central de CREC, comunicação de crise</t>
  </si>
  <si>
    <t>المساعدة الفنية TA: الرسائل والمواد العامة</t>
  </si>
  <si>
    <t>运营成本：中央RCCE团队、危机沟通</t>
  </si>
  <si>
    <t>Communications dans les mass médias et sur les réseaux sociaux au niveau central</t>
  </si>
  <si>
    <t>Par habitant</t>
  </si>
  <si>
    <t>NB: Génération de la demande et communication au niveau local sous "livraison au dernier kilomètre"</t>
  </si>
  <si>
    <t xml:space="preserve">Информационное взаимодействие со СМИ и социальными СМИ на центральном уровне </t>
  </si>
  <si>
    <t>На душу населения</t>
  </si>
  <si>
    <t>ПРИМЕЧАНИЕ: Формирование спроса на местном уровне и осуществление информационного взаимодействия в рамках "предоставления услуг на этапе "последней мили"</t>
  </si>
  <si>
    <t xml:space="preserve">Comunicación de nivel central en medios de difusión masiva y redes sociales </t>
  </si>
  <si>
    <t>Per cápita</t>
  </si>
  <si>
    <t xml:space="preserve">NOTA: Generación de demanda y comunicación a nivel local en "Prestación de última milla" </t>
  </si>
  <si>
    <t>Comunicações pelos meios de comunicação de massa e redes sociais a nível central</t>
  </si>
  <si>
    <t>NOTA: Geração de procura e comunicações a nível local em entrega "até ao último km"</t>
  </si>
  <si>
    <t xml:space="preserve"> التكاليف التشغيلية: فريق التواصل بشأن المخاطر وإشراك المجتمع (RCCE) المركزي، اتصالات الأزمات</t>
  </si>
  <si>
    <t xml:space="preserve"> لكل فرد</t>
  </si>
  <si>
    <t xml:space="preserve"> ملاحظة: توليد الطلب على المستوى المحلي والاتصالات ضمن التسليم لآخر ميل"Last Mile Delivery"</t>
  </si>
  <si>
    <t>中央一级的大众媒体和社交媒体传播</t>
  </si>
  <si>
    <t>人均</t>
  </si>
  <si>
    <t>注意：“最后一公里交付”下的本地一级需求生成和沟通</t>
  </si>
  <si>
    <t>Formation des points focaux de CREC</t>
  </si>
  <si>
    <t xml:space="preserve">Подготовка координаторов по информированию о рисках и вовлечению сообществ </t>
  </si>
  <si>
    <t>На одно лицо</t>
  </si>
  <si>
    <t>Formación de puntos focales de RCCE</t>
  </si>
  <si>
    <t>Formação de pontos focais de CREC</t>
  </si>
  <si>
    <t xml:space="preserve"> وسائل الإعلام ووسائل التواصل الاجتماعي على المستوى المركزي</t>
  </si>
  <si>
    <t>RCCE联络点的培训</t>
  </si>
  <si>
    <t>Coûts opérationnels des points focaux de CREC</t>
  </si>
  <si>
    <t>Par ex. engagement avec les leaders communautaires et religieux locaux</t>
  </si>
  <si>
    <t xml:space="preserve">Операционные расходы на координаторов по информированию о рисках и вовлечению сообществ </t>
  </si>
  <si>
    <t xml:space="preserve">например, привлечение авторитетных представителей местного сообщества и религиозных лидеров </t>
  </si>
  <si>
    <t>Costes operativos de los puntos focales de RCCE</t>
  </si>
  <si>
    <t xml:space="preserve">Por ejemplo, la participación con líderes comunitarios y líderes religiosos locales </t>
  </si>
  <si>
    <t>Custos operacionais para os pontos focais de CREC</t>
  </si>
  <si>
    <t>por exemplo, envolvimento de líderes comunitários locais e líderes religiosos</t>
  </si>
  <si>
    <t>تدريب نقاط اتصال   التواصل بشأن المخاطر وإشراك المجتمع (RCCE)</t>
  </si>
  <si>
    <t>على سبيل المثال التعامل مع قادة المجتمع المحلي والزعماء الدينيين</t>
  </si>
  <si>
    <t>RCCE联络点的运营费用</t>
  </si>
  <si>
    <t>例如，与当地社区领袖和宗教领袖接洽</t>
  </si>
  <si>
    <t>Subventions d'engagement communautaire</t>
  </si>
  <si>
    <t>Communautés</t>
  </si>
  <si>
    <t xml:space="preserve">Гранты на вовлечение сообществ </t>
  </si>
  <si>
    <t>Сообщества</t>
  </si>
  <si>
    <t>ПРИМЕЧАНИЕ: Формирование спроса на местном уровне и осуществление информационного взаимодействия в рамках "предоставления услуг на этапе последней мили"</t>
  </si>
  <si>
    <t>Subvenciones para participación comunitaria</t>
  </si>
  <si>
    <t>Comunidades</t>
  </si>
  <si>
    <t>Subsídios de envolvimento comunitário</t>
  </si>
  <si>
    <t>المجتمعات</t>
  </si>
  <si>
    <t xml:space="preserve"> ملاحظة: توليد الطلب على المستوى المحلي والاتصالات ضمن التسليم لآخر ميل "Last Mile Delivery"</t>
  </si>
  <si>
    <t>社区参与补助金</t>
  </si>
  <si>
    <t>社区</t>
  </si>
  <si>
    <t>Sondages/entretiens pour obtenir des données comportementales et sociales locales</t>
  </si>
  <si>
    <t>Опросы/ интервью для получения данных о местных поведенческих особенностях населения и социальном контенте</t>
  </si>
  <si>
    <t>Encuestas / entrevistas para obtener datos sociales y de comportamientos al nivel local</t>
  </si>
  <si>
    <t>Inquérito/entrevistas para obter dados comportamentais e sociais locais</t>
  </si>
  <si>
    <t>التكاليف التشغيلية لنقاط الاتصال التابعة للمركز الإقليمي في مجال البيئة</t>
  </si>
  <si>
    <t>调查/访谈以获得当地的行为和社会数据</t>
  </si>
  <si>
    <t>Instructions: Cette section permet des activités liées au développement de la fourniture concomitante de services de santé essentiels, le cas échéant, en parallèle avec la vaccination contre la COVID-19. Cela peut être l'occasion de s'attaquer à des aspects sanitaires préexistants du pays, comme le dépistage des maladies non transmissibles (MNT), l'éducation pour la santé ou d'autres vaccinations ou services de santé, là où les populations cibles se recoupent</t>
  </si>
  <si>
    <t>Инструкции: В данный раздел включены мероприятия, связанные с использованием вакцинации против COVID-19 как возможности для одновременного предоставления иных важнейших услуг здравоохранения. Это может помочь решить имеющиеся проблемы в здравоохранении на уровне страны - например, проводить скрининг на НИЗ, санитарное просвещение, вводить другие вакцины или предоставлять иные услуг здравоохранения в случае, если конкретные целевые группы совпадают с группами для вакцинации против COVID-19.</t>
  </si>
  <si>
    <t>Instrucciones: Esta sección permite actividades relacionadas con la prestación de servicios de salud esenciales, de forma oportunista, conjuntamente con la vacunación de la COVID-19. Esta puede ser una oportunidad para abordar cuestiones de salud ya existentes en el país – por ejemplo, el cribado de enfermedades no transmisibles, la educación de salud, y la administración de otras vacunas o productos de salud en poblaciones objetivo coincidentes.</t>
  </si>
  <si>
    <t>INSTRUÇÕES: Esta secção permite actividades relacionadas ao desenvolvimento da prestação de serviços essenciais de saúde ao mesmo tempo, oportunisticamente, que a vacinação contra a Covid-19. Esta pode ser a oportunidade de tratar de considerações de saúde preexistentes no país – por exemplo, rastreio de doenças não comunicáveis, educação sanitária e administração de outras vacinas ou produtos de saúde onde as populações-alvo se sobrepõem.</t>
  </si>
  <si>
    <t>التعليمات: يسمح هذا القسم بالأنشطة المتعلقة بتطوير المشاركة في تقديم الخدمات الصحية الأساسية في نفس الوقت، حسب انتهاز الفرص، مثل التطعيم ضد فيروس كوفيد-19. يمكن أن تكون هذه فرصة لمعالجة الاعتبارات الصحية الموجودة مسبقًا في البلد - على سبيل المثال فحص الأمراض غير المعدية، والتثقيف الصحي، وتقديم اللقاحات أو السلع الصحية الأخرى حيث يتداخل السكان المستهدفون.</t>
  </si>
  <si>
    <t>说明：这里包括了与开发在Covid-19疫苗接种同时开展基本卫生服务相关的活动。这可能提供了机会，以解决该国先前存在的卫生问题，例如在重叠目标人群中开展NCD筛查、健康教育、其他疫苗接种或卫生用品提供。</t>
  </si>
  <si>
    <t>Élaboration d'interventions co-administrées/additionnelles</t>
  </si>
  <si>
    <t xml:space="preserve">Разработка мероприятий, которые могут быть реализованы одновременно/ дополнительно к вакцинации против COVID-19 </t>
  </si>
  <si>
    <t>Desarrollo de intervenciones adicionales o prestadas conjuntamente</t>
  </si>
  <si>
    <t>Desenvolvimento de entrega concomitante/intervenções adicionais</t>
  </si>
  <si>
    <t>تطوير التدخلات الإضافية / المشاركة في التسليم</t>
  </si>
  <si>
    <t>开发同时交付/其他干预措施</t>
  </si>
  <si>
    <t>BARRA DE  NAVEGACIÓN:</t>
  </si>
  <si>
    <t>B1. Estimatifs de la taille de la population cible et des besoins en vaccins</t>
  </si>
  <si>
    <t xml:space="preserve">B1. Расчет численности целевого населения и потребности в вакцинах </t>
  </si>
  <si>
    <t>B1. Estimación del tamaño de las poblaciones objetivo y de los requisitos de vacunas</t>
  </si>
  <si>
    <t>B1. Estimativa do Tamanho das Populações Alvo e Necessidades de Vacinas</t>
  </si>
  <si>
    <t xml:space="preserve"> B1. تقدير أحجام السكان المستهدفة ومتطلبات اللقاح</t>
  </si>
  <si>
    <t>B1. 估算目标人口规模和疫苗需求</t>
  </si>
  <si>
    <t>Instructions: Ajuster le calendrier et les priorités de l'introduction des vaccins à la section B1.2: nécessaire pour compléter cette plateforme d'évaluation des coûts</t>
  </si>
  <si>
    <t>Инструкции: Установите сроки и приоритетный порядок внедрения вакцины в разделе B1.2 - это необходимо для выполнения расчета затрат в данном инструменте.</t>
  </si>
  <si>
    <t>Instrucciones: Ajustar el calendario y la priorización de introducción de las vacunas en la sección B1.2 - es una parte necesaria de la cumplimentación de esta herramienta de estimación de costes.</t>
  </si>
  <si>
    <t>Instruções: Ajuste a altura e a priorização da introdução da vacina na secção B1.2 – esta é uma parte necessária para preencher esta plataforma de cálculo de custos.</t>
  </si>
  <si>
    <t>التعليمات: يرجى تعديل توقيت إدخال اللقاح وتحديد أولوياته في القسم B1.2 - وهذا جزء مطلوب لاستكمال منصة تقدير التكاليف هذه.</t>
  </si>
  <si>
    <t>说明：请在B1.2调整疫苗引入的时间和优先安排顺序，这是完成此成本核算平台的必要部分。</t>
  </si>
  <si>
    <t>B1.1 Population cible: Total | Estimation ascendante</t>
  </si>
  <si>
    <t>ANNÉE</t>
  </si>
  <si>
    <t>B1.1 Целевое население: Общая численность | Полный расчет</t>
  </si>
  <si>
    <t>ГОД</t>
  </si>
  <si>
    <t>B1.1 Población objetivo: Tamaño total | Estimación desde el terreno</t>
  </si>
  <si>
    <t>AÑO</t>
  </si>
  <si>
    <t>B1.1 População-Alvo: Tamanho total | Estimativa a partir do zero</t>
  </si>
  <si>
    <t>ANO</t>
  </si>
  <si>
    <t xml:space="preserve"> B1.1 السكان المستهدفون: الحجم الإجمالي | تقدير الأرضية</t>
  </si>
  <si>
    <t>السنة</t>
  </si>
  <si>
    <t>B1.1 目标人群：总人数| 初步估算</t>
  </si>
  <si>
    <t>年</t>
  </si>
  <si>
    <t>Modalité d'administration (MA)</t>
  </si>
  <si>
    <t xml:space="preserve">Стратегия организации прививок </t>
  </si>
  <si>
    <t>Modalidad de administración</t>
  </si>
  <si>
    <t>Modalidade de administração</t>
  </si>
  <si>
    <t>طريقة التسليم</t>
  </si>
  <si>
    <t>交付模式</t>
  </si>
  <si>
    <t>Noter que la population totale sera représentée dans chaque période (semestre)</t>
  </si>
  <si>
    <t xml:space="preserve">Обратите внимание, что общее население указывается отдельно для каждого этапа (полугодие) </t>
  </si>
  <si>
    <t>Nota: la poblacion total se representará para cada periodo (semestre)</t>
  </si>
  <si>
    <t>Note que a população total será representada em cada período (semestre)</t>
  </si>
  <si>
    <t>لاحظ أنه سيتم تمثيل إجمالي عدد السكان في كل فترة زمنية (نصف عام)</t>
  </si>
  <si>
    <t>请注意，总人口将出现在每个时间段（半年）</t>
  </si>
  <si>
    <t>Catégories secondaires de population</t>
  </si>
  <si>
    <t>Calculs pour sous-population (non MECE)</t>
  </si>
  <si>
    <t>Группы субпопуляций</t>
  </si>
  <si>
    <t>Расчет численности субпопуляций (к указанным категориям НЕ применяется принцип MECE (аббревиатура от Mutually Exclusive and Collectively Exhaustive ― «взаимно исключающие, совместно исчерпывающие»)</t>
  </si>
  <si>
    <t>Subgrupos de población</t>
  </si>
  <si>
    <t>Cálculos de subgrupos de población (no MECE)</t>
  </si>
  <si>
    <t>Grupos de subpopulação</t>
  </si>
  <si>
    <t>Cálculos da subpopulação (não MECE)</t>
  </si>
  <si>
    <t>المجموعات السكانية الفرعية</t>
  </si>
  <si>
    <t>حسابات السكان الفرعية (غير
حصرية ومتكاملة بشكل جماعي MECE)</t>
  </si>
  <si>
    <t>亚人群组</t>
  </si>
  <si>
    <t>亚人群计算（非MECE）</t>
  </si>
  <si>
    <t>Personnes d'un certain âge</t>
  </si>
  <si>
    <t>(total partiel)</t>
  </si>
  <si>
    <t>Лица пожилого возраста</t>
  </si>
  <si>
    <t>Adultos mayores</t>
  </si>
  <si>
    <t>Idosos</t>
  </si>
  <si>
    <t xml:space="preserve"> كبار السن</t>
  </si>
  <si>
    <t>老年人</t>
  </si>
  <si>
    <t>（小计）</t>
  </si>
  <si>
    <t>Enfants et jeunes adultes</t>
  </si>
  <si>
    <t>Дети и молодые взрослые</t>
  </si>
  <si>
    <t>Niños/niñas y adultos jóvenes</t>
  </si>
  <si>
    <t>Crianças e jovens</t>
  </si>
  <si>
    <t xml:space="preserve"> الأطفال والشباب</t>
  </si>
  <si>
    <t>儿童和年轻人</t>
  </si>
  <si>
    <t>Personnes difficiles à atteindre: TOUS LES ÂGES</t>
  </si>
  <si>
    <t>Труднодоступные популяции - ВСЕХ ВОЗРАСТОВ</t>
  </si>
  <si>
    <t>Personas a las que es difícil llegar - TODAS LAS EDADES</t>
  </si>
  <si>
    <t>Difícil acesso – TODAS AS IDADES</t>
  </si>
  <si>
    <t>المجموعات التي يصعب الوصول إليها - جميع الأعمار</t>
  </si>
  <si>
    <t>难以触及人群——所有年龄段</t>
  </si>
  <si>
    <t>… dont personnes d'un certain âge</t>
  </si>
  <si>
    <t xml:space="preserve">… из которых лица пожилого возраста </t>
  </si>
  <si>
    <t>…de las cuales, Audltos mayores</t>
  </si>
  <si>
    <t>… dos quais, Idosos</t>
  </si>
  <si>
    <t xml:space="preserve"> ... منها، كبار السن</t>
  </si>
  <si>
    <t>……其中，老年人</t>
  </si>
  <si>
    <t>… dont antécédents médicaux chez les adultes moins âgés</t>
  </si>
  <si>
    <t>… из которых лица, имеющие сопутствующие заболевания, но не входящие в группу лиц пожилого возраста</t>
  </si>
  <si>
    <t>…de las cuales, Patologías previas entre adultos no mayores</t>
  </si>
  <si>
    <t>… dos quais, Patologias médicas subjacentes entre adultos não idosos</t>
  </si>
  <si>
    <t>... منها، الظروف الصحية الكامنة بين البالغين من غير كبار السن</t>
  </si>
  <si>
    <t>……其中，有基础病的非老年人</t>
  </si>
  <si>
    <t>… dont femmes enceintes</t>
  </si>
  <si>
    <t xml:space="preserve">… из которых беременные женщины </t>
  </si>
  <si>
    <t>…de las cuales, Mujeres embarazadas</t>
  </si>
  <si>
    <t>… dos quais, Mulheres grávidas</t>
  </si>
  <si>
    <t>… منها النساء الحوامل</t>
  </si>
  <si>
    <t>……其中，孕妇</t>
  </si>
  <si>
    <t>… dont reste (jeunes adultes et enfants)</t>
  </si>
  <si>
    <t xml:space="preserve">… из которых оставшиеся лица (молодые взрослые и дети) </t>
  </si>
  <si>
    <t>…de las cuales, el resto (Adultos jóvenes y niñas/niños)</t>
  </si>
  <si>
    <t>… dos quais, restantes (jovens e crianças)</t>
  </si>
  <si>
    <t xml:space="preserve"> ... منها الباقي (صغار السن والأطفال)</t>
  </si>
  <si>
    <t>……其中，其余人士（年轻人和儿童）</t>
  </si>
  <si>
    <t>Relativement faciles à atteindre: TOUS LES ÂGES</t>
  </si>
  <si>
    <t xml:space="preserve">Популяции, доступ к которым НЕ затруднен - ВСЕХ ВОЗРАСТОВ </t>
  </si>
  <si>
    <t>Personas a las que es más fácil llegar - TODAS LAS EDADES</t>
  </si>
  <si>
    <t>Mais fáceis de alcançar – TODAS AS IDADES</t>
  </si>
  <si>
    <t>المجموعات التي يسهل الوصول إليها - جميع الأعمار</t>
  </si>
  <si>
    <t>易于触及人群——所有年龄段</t>
  </si>
  <si>
    <t>... منها، كبار السن</t>
  </si>
  <si>
    <t xml:space="preserve"> ... منها، الظروف الصحية الكامنة بين البالغين من غير كبار السن</t>
  </si>
  <si>
    <t>... منها الباقي  (صغار السن والأطفال)</t>
  </si>
  <si>
    <t>Populations cibles SAGE</t>
  </si>
  <si>
    <t>Les catégories ci-dessous doivent être MECE (mutuellement exclusives, collectivement exhaustives)</t>
  </si>
  <si>
    <t xml:space="preserve">Целевые популяции, определенные СКГЭ </t>
  </si>
  <si>
    <t>К категориям, перечисленным ниже, применяется принцип MECE (аббревиатура от Mutually Exclusive and Collectively Exhaustive ― «взаимно исключающие, совместно исчерпывающие»)</t>
  </si>
  <si>
    <t>Poblaciones objetivo del SAGE</t>
  </si>
  <si>
    <t>Las categorías inferiores a estas deberían ser mutuamente excluyentes, colectivamente exhaustivas (MECE)</t>
  </si>
  <si>
    <t>Populações-Alvo do SAGE</t>
  </si>
  <si>
    <t>As categorias abaixo devem ser mutuamente exclusivas, colectivamente exaustivas (MECE)</t>
  </si>
  <si>
    <t xml:space="preserve">السكان المستهدفون بحسب فريق الخبراء الاستشاري الاستراتيجي المعني بالتحصين (SAGE) التابع لمنظمة الصحة العالمية </t>
  </si>
  <si>
    <t xml:space="preserve"> يجب أن تكون الفئات أدناه حصرية وشاملة بشكل عام</t>
  </si>
  <si>
    <t>SAGE目标人群</t>
  </si>
  <si>
    <t>下方各类别之间应为相互独立、完全穷尽</t>
  </si>
  <si>
    <t>PERSONNEL DE SANTÉ</t>
  </si>
  <si>
    <t>MA1 professionnelle</t>
  </si>
  <si>
    <t>РАБОТНИКИ ЗДРАВООХРАНЕНИЯ</t>
  </si>
  <si>
    <t>Стратегия организации прививок СП1, вакцинация в связи с профессиональной деятельностью</t>
  </si>
  <si>
    <t>PERSONAL SANITARIO</t>
  </si>
  <si>
    <t>Trabajo MA1</t>
  </si>
  <si>
    <t>TRABALHADORES DA SAÚDE</t>
  </si>
  <si>
    <t>Trabalho MA1</t>
  </si>
  <si>
    <t xml:space="preserve"> العاملون الصحيون</t>
  </si>
  <si>
    <t>العمل DM1</t>
  </si>
  <si>
    <t>卫生工作者</t>
  </si>
  <si>
    <t>工作 DM1</t>
  </si>
  <si>
    <t>TRAVAILLEURS ESSENTIELS ET CATÉGORIES APPARENTÉES</t>
  </si>
  <si>
    <t>MA1/MA2 professionnelle</t>
  </si>
  <si>
    <t>РАБОТНИКИ ВАЖНЕЙШИХ СЛУЖБ И СВЯЗАННЫЕ С НИМИ ГРУППЫ</t>
  </si>
  <si>
    <t>Стратегия организации прививок СП1/СП2, вакцинация в связи с профессиональной деятельностью</t>
  </si>
  <si>
    <t>TRABAJADORES ESENCIALES Y GRUPOS RELACIONADOS</t>
  </si>
  <si>
    <t>Trabajo MA1/MA2</t>
  </si>
  <si>
    <t>TRABALHADORES ESSENCIAIS E GRUPOS RELACIONADOS</t>
  </si>
  <si>
    <t>Trabalho MA1/MA2</t>
  </si>
  <si>
    <t xml:space="preserve"> العاملون الأساسيون والمجموعات ذات الصلة</t>
  </si>
  <si>
    <t>العمل DM1 / DM2</t>
  </si>
  <si>
    <t>必要工作者和相关群体</t>
  </si>
  <si>
    <t>工作 DM1 / DM2</t>
  </si>
  <si>
    <t>CATÉGORIES D'ÂGE À HAUT RISQUE DE TRANSMETTRE L'INFECTION</t>
  </si>
  <si>
    <t>MA1/MA2 volontaire</t>
  </si>
  <si>
    <t xml:space="preserve">ВОЗРАСТНЫЕ ГРУППЫ, ПОДВЕРЖЕННЫЕ ВЫСОКОМУ РИСКУ РАСПРОСТРАНЕНИЯ ИНФЕКЦИИ </t>
  </si>
  <si>
    <t xml:space="preserve">Стратегия организации прививок СП1/СП2, добровольная вакцинация </t>
  </si>
  <si>
    <t>GRUPOS DE EDAD CON ALTO RIESGO DE TRANSMITIR LA INFECCIÓN</t>
  </si>
  <si>
    <t>Voluntario MA1/MA2</t>
  </si>
  <si>
    <t>FAIXAS ETÁRIAS COM ALTO RISCO DE TRANSMISSÃO DE INFECÇÃO</t>
  </si>
  <si>
    <t>Voluntário MA1/MA2</t>
  </si>
  <si>
    <t xml:space="preserve"> الفئات العمرية المعرضة لخطر كبير من انتقال العدوى</t>
  </si>
  <si>
    <t>طوعي DM1 / DM2</t>
  </si>
  <si>
    <t>自愿性 DM1 / DM2</t>
  </si>
  <si>
    <t>PERSONNES D'UN CERTAIN ÂGE</t>
  </si>
  <si>
    <t>ЛИЦА ПОЖИЛОГО ВОЗРАСТА</t>
  </si>
  <si>
    <t>ADULTOS MAYORES</t>
  </si>
  <si>
    <t>IDOSOS</t>
  </si>
  <si>
    <t>PERSONNES D'UN CERTAIN ÂGE dans des ÉTABLISSEMENTS D'HÉBERGEMENT</t>
  </si>
  <si>
    <t>MA3</t>
  </si>
  <si>
    <t>ЛИЦА ПОЖИЛОГО ВОЗРАСТА в УЧРЕЖДЕНИЯХ ИНТЕРНАТНОГО ТИПА</t>
  </si>
  <si>
    <t>Стратегия организации прививок СП3</t>
  </si>
  <si>
    <t>ADULTOS MAYORES en INSTITUCIONES RESIDENCIALES</t>
  </si>
  <si>
    <t>IDOSOS em INSTITUIÇÕES RESIDENCIAIS</t>
  </si>
  <si>
    <t xml:space="preserve"> كبار السن في المؤسسات السكنية</t>
  </si>
  <si>
    <t>居住式机构中的老年人</t>
  </si>
  <si>
    <t>ET TRAVAILLEURS SOCIAUX dans des ÉTABLISSEMENTS D'HÉBERGEMENT</t>
  </si>
  <si>
    <t>И СОЦИАЛЬНЫЕ РАБОТНИКИ в УЧРЕЖДЕНИЯХ ИНТЕРНАТНОГО ТИПА</t>
  </si>
  <si>
    <t>Y, TRABAJADORES DE CUIDADOS SOCIALES en INSTITUCIONES RESIDENCIALES</t>
  </si>
  <si>
    <t>E, ASSISTENTES SOCIAIS em INSTITUIÇÕES RESIDENCIAIS</t>
  </si>
  <si>
    <t xml:space="preserve"> وعاملو الرعاية الاجتماعية في المؤسسات السكنية</t>
  </si>
  <si>
    <t>以及在居住式机构中工作的社会关怀工作者</t>
  </si>
  <si>
    <t>PERSONNES D'UN CERTAIN ÂGE dans la communauté</t>
  </si>
  <si>
    <t>ЛИЦА ПОЖИЛОГО ВОЗРАСТА в сообществе</t>
  </si>
  <si>
    <t>ADULTOS MAYORES en la comunidad</t>
  </si>
  <si>
    <t>IDOSOS na comunidade</t>
  </si>
  <si>
    <t xml:space="preserve"> الكبارالبالغون في المجتمع</t>
  </si>
  <si>
    <t>社区中的老年人</t>
  </si>
  <si>
    <t>ET membres de leur foyer</t>
  </si>
  <si>
    <t>И лица, проживающие с ними в одном домохозяйстве</t>
  </si>
  <si>
    <t>Y, sus convivientes</t>
  </si>
  <si>
    <t>E, os membros do seu agregado familiar</t>
  </si>
  <si>
    <t>و ، أفراد أسرهم</t>
  </si>
  <si>
    <t>及其家庭成员</t>
  </si>
  <si>
    <t>PERSONNES D'UN CERTAIN ÂGE difficiles à atteindre</t>
  </si>
  <si>
    <t>MA4</t>
  </si>
  <si>
    <t>ЛИЦА ПОЖИЛОГО ВОЗРАСТА, доступ к которым затруднен</t>
  </si>
  <si>
    <t>Стратегия организации прививок СП4</t>
  </si>
  <si>
    <t>ADULTOS MAYORES a los que es difícil llegar</t>
  </si>
  <si>
    <t>IDOSOS de difícil acesso</t>
  </si>
  <si>
    <t xml:space="preserve"> كبار السن الذين يصعب الوصول إليهم</t>
  </si>
  <si>
    <t>难以触及的老年人</t>
  </si>
  <si>
    <t xml:space="preserve"> و ، أفراد أسرهم</t>
  </si>
  <si>
    <t>Catégories sociodémographiques à risque considérablement plus élevé de maladie grave ou mort</t>
  </si>
  <si>
    <t>Социально-демографические группы населения со значительно более высоким риском тяжелого течения заболевания или летального исхода</t>
  </si>
  <si>
    <t>Grupos sociodemográficos con riesgo significativamente más alto de enfermedad grave o muerte</t>
  </si>
  <si>
    <t>Grupos sociodemográficos com risco significativamente maior de doenças graves ou morte</t>
  </si>
  <si>
    <t>المجموعات الاجتماعية الديموغرافية المعرضة بشكل ملحوظ لخطر الإصابة بأمراض وخيمة أو الوفاة</t>
  </si>
  <si>
    <t>患严重疾病或死亡风险显著增高的社会人口统计人群</t>
  </si>
  <si>
    <t>… dont faciles à atteindre</t>
  </si>
  <si>
    <t>... лица, доступ к которым НЕ затруднен</t>
  </si>
  <si>
    <t>…de los cuales, a los que es fácil llegar</t>
  </si>
  <si>
    <t>… dos quais, de fácil acesso</t>
  </si>
  <si>
    <t xml:space="preserve"> ... منها ما يسهل الوصول إليها</t>
  </si>
  <si>
    <t>…… 其中，易于触及的人群</t>
  </si>
  <si>
    <t>… dont vivant dans des ÉTABLISSEMENTS D'HÉBERGEMENT</t>
  </si>
  <si>
    <t>... лица, проживающие в УЧРЕЖДЕНИЯХ ИНТЕРНАТНОГО ТИПА</t>
  </si>
  <si>
    <t>…de los cuales, los que viven en INSTITUCIONES RESIDENCIALES</t>
  </si>
  <si>
    <t>… dos quais, vivem em INSTITUIÇÕES RESIDENCIAIS</t>
  </si>
  <si>
    <t>.. منها، الذين يعيشون في مؤسسات سكنية</t>
  </si>
  <si>
    <t>…… 其中，在居住式机构居住的个人</t>
  </si>
  <si>
    <t>ET PERSONNEL des ÉTABLISSEMENTS D'HÉBERGEMENT</t>
  </si>
  <si>
    <t>... И ПЕРСОНАЛ УЧРЕЖДЕНИЙ ИНТЕРНАТНОГО ТИПА</t>
  </si>
  <si>
    <t>Y, PERSONAL en INSTITUCIONES RESIDENCIALES</t>
  </si>
  <si>
    <t>E, PESSOAL em INSTITUIÇÕES RESIDENCIAIS</t>
  </si>
  <si>
    <t xml:space="preserve"> و، الموظفون في المؤسسات السكنية</t>
  </si>
  <si>
    <t>以及居住式机构的工作人员</t>
  </si>
  <si>
    <t>Populations spéciales qui sont difficiles à atteindre</t>
  </si>
  <si>
    <t>Особые группы населения, доступ к которым затруднен</t>
  </si>
  <si>
    <t>Poblaciones especiales a las que es difícil llegar</t>
  </si>
  <si>
    <t>Populações especiais de difícil acesso</t>
  </si>
  <si>
    <t>المجموعات الخاصة التي يصعب الوصول إليها</t>
  </si>
  <si>
    <t>难以触及的特殊人群</t>
  </si>
  <si>
    <t>"Difficiles à atteindre" sans autre critère prioritaire</t>
  </si>
  <si>
    <t>Лица, доступ к которым затруднен, но при этом не удовлетворяющие другим критериям приоритетности</t>
  </si>
  <si>
    <t>A los que es "difícil llegar" pero no tienen otro criterio de prioridad</t>
  </si>
  <si>
    <t>"De difícil acesso", mas nenhum outro critério prioritário</t>
  </si>
  <si>
    <t>المجموعات التي يصعب الوصول إليها ولكن لا توجد معايير أخرى ذات أولوية</t>
  </si>
  <si>
    <t>"难以触及"但不符合其他优先安排条件</t>
  </si>
  <si>
    <t>Catégories à comorbidités ou états de santé considérés comme nettement plus à risque de maladie grave ou mort</t>
  </si>
  <si>
    <t>Группы лиц, которые страдают сопутствующими заболеваниями или расстройствами здоровья, в связи с которыми они затронуты крайне высоким
риском тяжелого течения заболевания или летального исхода</t>
  </si>
  <si>
    <t>Grupos com comorbilidades ou estados de saúde definidos como de risco significativamente maior de doenças graves ou morte</t>
  </si>
  <si>
    <t>Difficiles à atteindre avec état de santé antérieur (hors femmes enceintes)</t>
  </si>
  <si>
    <t>Труднодоступные лица, имеющие сопутствующие состояния здоровья (беременные женщины в эту группу не включаются)</t>
  </si>
  <si>
    <t>Comorbilidades, a los que es difícil llegar (excluyendo mujeres embarazadas)</t>
  </si>
  <si>
    <t>De difícil acesso com patologias médicas subjacentes (não mulheres grávidas)</t>
  </si>
  <si>
    <t>المجموعات ذات الظروف الصحية الأساسية التي يصعب الوصول إليها (ليس النساء الحوامل)</t>
  </si>
  <si>
    <t>难以触及且伴有潜在健康问题（非孕妇）</t>
  </si>
  <si>
    <t>] و ، أفراد أسرهم</t>
  </si>
  <si>
    <t>Relativement faciles à atteindre avec état de santé antérieur (hors femmes enceintes)</t>
  </si>
  <si>
    <t>Лица, доступ к которым не затруднен, но которые имеют сопутствующие состояния здоровья (беременные женщины в эту группу не включаются)</t>
  </si>
  <si>
    <t>Comorbilidad, a los que es más fácil llegar (excluyendo mujeres embarazadas)</t>
  </si>
  <si>
    <t>De mais fácil acesso com patologias médicas subjacentes (não mulheres grávidas)</t>
  </si>
  <si>
    <t>المجموعات التي يسهل الوصول إلى الظروف الصحية الأساسية (وليس النساء الحوامل)</t>
  </si>
  <si>
    <t>易于触及的人群，伴有潜在健康问题（非孕妇）</t>
  </si>
  <si>
    <t>Femmes enceinte difficiles à atteindre</t>
  </si>
  <si>
    <t>Беременные женщины, доступ к которым затруднен</t>
  </si>
  <si>
    <t>Mujeres embarazadas a las que es difícil llegar</t>
  </si>
  <si>
    <t>Mulheres grávidas de difícil acesso</t>
  </si>
  <si>
    <t xml:space="preserve"> المجموعات التي يصعب  الوصول إليها -  النساء الحوامل</t>
  </si>
  <si>
    <t>难以触及的孕妇</t>
  </si>
  <si>
    <t>Femmes enceinte faciles à atteindre</t>
  </si>
  <si>
    <t>Беременные женщины, доступ к которым НЕ затруднен</t>
  </si>
  <si>
    <t>Mujeres embarazadas a las que es fácil llegar</t>
  </si>
  <si>
    <t>Mulheres grávidas de fácil acesso</t>
  </si>
  <si>
    <t xml:space="preserve"> المجموعات التي يسهل الوصول إلىيها-  النساء الحوامل</t>
  </si>
  <si>
    <t>易于触及的孕妇</t>
  </si>
  <si>
    <t>Déduire</t>
  </si>
  <si>
    <t>Reste sans états de santé de haute priorité</t>
  </si>
  <si>
    <t>Vérifier que nombre pas négatif</t>
  </si>
  <si>
    <t xml:space="preserve">Это означает, что </t>
  </si>
  <si>
    <t xml:space="preserve">Остальные лица, не имеющие состояний здоровья, по которым они определялись бы в группу особого приоритета </t>
  </si>
  <si>
    <t>Убедитесь, что полученное значение не является отрицательным</t>
  </si>
  <si>
    <t xml:space="preserve">Inferir </t>
  </si>
  <si>
    <t>Resto sin condiciones de alta prioridad</t>
  </si>
  <si>
    <t>Comprobar que no sale un número negativo</t>
  </si>
  <si>
    <t>Dedução</t>
  </si>
  <si>
    <t>Restantes sem condições de qualificação de alta prioridade</t>
  </si>
  <si>
    <t>Garanta que não haja número negativo</t>
  </si>
  <si>
    <t>استنتج</t>
  </si>
  <si>
    <t xml:space="preserve"> الباقي بدون شروط تأهيل ذات أولوية عالية</t>
  </si>
  <si>
    <t xml:space="preserve"> تأكد من عدم وجود رقم سالب</t>
  </si>
  <si>
    <t>推断</t>
  </si>
  <si>
    <t>其余人，不符合高优先级资格条件</t>
  </si>
  <si>
    <t>确保不是负数</t>
  </si>
  <si>
    <t>B1.2 Calendrier de la vaccination de la population cible</t>
  </si>
  <si>
    <t>PÉRIODE SEMESTRIELLE</t>
  </si>
  <si>
    <t>B1.2 Сроки вакцинации целевого населения</t>
  </si>
  <si>
    <t>ВРЕМЕННОЙ ПЕРИОД - ПОЛУГОДИЕ</t>
  </si>
  <si>
    <t>B1.2 Calendario de vacunación de la población objetivo</t>
  </si>
  <si>
    <t>PERIODO SEMESTRAL</t>
  </si>
  <si>
    <t>B1.2 Altura da Vacinação das Populações-Alvo</t>
  </si>
  <si>
    <t>PERÍODO SEMESTRAL</t>
  </si>
  <si>
    <t xml:space="preserve"> B1.2 توقيت تطعيم السكان المستهدفين</t>
  </si>
  <si>
    <t>فترة زمنية  ذات نصف عام</t>
  </si>
  <si>
    <t>B1.2 目标人群疫苗接种时间</t>
  </si>
  <si>
    <t>半年时间段</t>
  </si>
  <si>
    <t>INSTRUCTIONS: Cette section très importante sert à spécifier les priorisations de différentes populations cibles du SAGE, pour les Stades I, II et III (en gros 2021-2023).
Chaque rangée de couleur beige représente une ou plusieurs sous-population(s) cible(s). La priorisation est exprimée en pourcentage de cette sous-population (rangée) qui doit être vaccinée pendant la période d'un semestre (colonne). Le total de chaque rangée représente le pourcentage de la sous-population à couvrir durant cette période de 3 ans (2021-2023). Ce total peut être de zéro (si l'on n'a pas l'intention de vacciner cette sous-population), moins de 100% si on ne prévoit pas de vacciner toute la sous-population, exactement 100% si la sous-population va être vaccinée avec une série de vaccins pendant la période de 3 ans, ou supérieure à 100% si la sous-population va être vaccinée avec plus d'une série de vaccins OU si l'on s'attend à des personnes additionnelles "nouvelles" dans la sous-population (par ex. personnel de santé nouvellement recruté, diabétiques nouvellement diagnostiqués) au cours de la période de 3 ans.
On trouvera ci-dessous un calculateur de surplus ou déficit de vaccins pour chaque période. On peut s'en servir pour voir immédiatement les effets de la priorisation par rapport aux doses de vaccin disponibles pour cette période.
La méthode recommandée pour remplir cette section est de commencer avec "0%" pour toutes les cellules. Ensuite identifier les sous-populations cibles les plus prioritaires et maximiser (en optant pour le plus gros pourcentage possible) dans la plus proche période de temps. Vérifier si le calculateur continue d'indiquer qu'il y a un "surplus" de doses de vaccin pour cette période; sinon, ajuster le degré de priorisation en conséquence pour que l'offre et la demande de vaccins correspondent. Ensuite, passer à la sous-population ciblée suivante et répéter ce processus. Une fois qu'il n'y a plus de doses de vaccins pour la période donnée (le calculateur passe de surplus à blanc ou déficit), ajuster le degré de priorisation pour que l'offre et la demande de vaccins correspondent; puis répéter ce processus pour la période suivante</t>
  </si>
  <si>
    <t>ИНСТРУКЦИИ: Это важный раздел, в котором определяется приоритетный порядок вакцинации различных целевых групп, определенных СКГЭ, на этапах I, II и III (приблизительно на период 2021-2023 гг.).
Каждая строка, выделенная заливкой бежевым цветом, представляет собой одну целевую субпопуляцию или группу из нескольких целевых субпопуляций. Порядок приоритетности определен как процентная доля конкретной субпопуляции (строка), которая будет вакцинирована в течение периода шести месяцев (столбец). Общее значение по каждому ряду представляет собой процентную долю субпопуляции, которая будет охвачена в указанный 3-хлетний период (2021-2023 гг.). Это значение может быть равно нулю (в случаев, если вакцинация конкретной субпопуляции не планируется), может быть менее 100%, если планируется прививать данную субпопуляцию не полностью; может быть равно 100%, если вся субпопуляция будет вакцинирована в течение 3-х лет; или же может превышать 100%, если будет проведено более одного курса вакцинации для данной популяции ИЛИ если ожидается, что в данную популяцию будут включены "новые" лица (например, если будут наняты новые работники здравоохранения или если у новых лиц будет диагностирован диабет и т.д.) в указанный 3-хлетний период.
Расчет избытка и нехватки вакцин для каждого периода представлен ниже. Вы можете воспользоваться этой опцией, чтобы наглядно увидеть, каким образом определение приоритетного порядка вакцинации конкретной группы связано с возможностями снабжения вакцины в указанный период.
При заполнении данного раздела рекомендуется сначала указать "0%" во всех ячейках. Затем найдите наиболее приоритетную субпопуляцию и увеличьте охват (укажите максимальное допустимое значение в процентах) для самого раннего периода. Проверьте, чтобы калькулятор продолжал показывать "избыток" доз вакцины для указанного периода и, если это не так, скорректируйте степень приоритизации так, чтобы сбалансировать наличие вакцины и потребность в ней. Далее, перейдите к следующей приоритетной целевой подгруппе и повторите все действия. Когда все дозы вакцины на указанный период будут использованы (Вы поймете это когда что калькулятор станет показывать "пусто" или "нехватку"), скорректируйте степень приоритизации так, чтобы сбалансировать наличие вакцины и потребность в ней и повторите все шаги для следующего временного периода.</t>
  </si>
  <si>
    <t>INSTRUCCIONES: Esta sección es crítica, y aquí se especifica la priorización de diversas poblaciones objetivo del SAGE, en las fases I, II y III (aproximadamente 2021-2023).
Cada fila color beige representa una o varias subpoblaciones objetivo. La priorización se especifica como el porcentaje de esa subpoblación (fila) que deberá ser vacunada en el periodo semestral (columna). El total de cada fila representa el porcentaje de la subpoblación a cubrir en este periodo de 3 años (2021-2023). Puede ser cero (si no hay planes para vacunar a esa subpoblación), menos del 100% si no se vacunará a la totalidad de la subpoblación, 100% si se vacunará a la subpoblación con una pauta en el periodo de 3 años, o mayor del 100% si se vacunará a la subpoblación con más de una pauta O si se espera que se sumen personas “nuevas” a la subpoblación (por ejemplo, personal sanitario de nueva contratación, personas diabéticas recién diagnosticadas, etc.) en el periodo de 3 años.
Justo debajo hay una calculadora de excedente o déficit de vacunas para cada periodo. Esta se puede utilizar para ver en el momento las implicaciones de la priorización frente al suministro de dosis de vacunas para ese periodo.
El proceso recomendado para cumplimentar esta sección es empezar primero con “0%” en todas las celdas. A continuación, buscar la subpoblación objetivo de mayor prioridad e introducir el valor máximo (el porcentaje más alto permitido) en el periodo más temprano. Comprobar que la calculadora indica que hay un ‘excedente’ de dosis de vacunas para ese periodo; si no lo hay, ajustar el grado de priorización para equilibrar el suministro y la demanda de vacunas. A continuación, pasar a la subpoblación objetivo prioritaria siguiente y repetir el proceso. Cuando se acaben las dosis de vacuna para ese periodo (la calculador pasa de excedente a ‘estar en blanco’ o a déficit), ajustar el grado de priorización para equilibrar el suministro y la demanda de vacunas y pasar a repetir el mismo proceso para el periodo siguiente.</t>
  </si>
  <si>
    <t>INSTRUÇÕES: Esta secção crítica é para especificar a priorização de várias populações-alvo do SAGE, nas Etapas I, II, e III (aproximadamente 2021-2023).
Cada linha de cor bege representa uma ou uma colecção de várias subpopulações alvo. A priorização é especificada como a percentagem dessa subpopulação (linha) que deve ser vacinada no semestre (coluna). O total de cada linha representa a percentagem da subpopulação a ser abrangida neste período de 3 anos (2021-2023). Isso pode ser zero (se não houver intenção de vacinar essa subpopulação), menos de 100% se nem toda a subpopulação for ser vacinada, exactamente 100% se a subpopulação for ser vacinada com um ciclo no período de 3 anos; ou mais de 100% se a subpopulação for ser vacinada com mais de um ciclo OU se houver expectativa de haver "novas" pessoas adicionais na subpopulação (por exemplo, trabalhadores da saúde recém-recrutados, diabéticos recém-diagnosticados, etc.) dentro do período de 3 anos.
Uma calculadora de excesso e défice de vacinas para cada período de tempo é fornecida logo abaixo. Esta pode ser usada para ver imediatamente as implicações da priorização em relação ao fornecimento de doses de vacina para aquele período de tempo.
O método recomendado para preencher esta secção é, primeiramente, começar com "0%" para todas as células. Em seguida, procure a subpopulação-alvo de maior prioridade e maximize-a (preencha a percentagem mais alta permitida) no período de tempo mais curto. Confirme que a calculadora ainda indica que há um "excesso" de doses de vacina para esse período e, se não houver, ajuste o grau de priorização para equilibrar a oferta e a procura de vacinas. Em seguida, passe para a próxima subpopulação-alvo prioritária e repita o processo. Quando as doses de vacinas estiverem esgotadas para esse período (a calculadora muda de excesso para "em branco" ou défice), ajuste o grau de priorização para equilibrar a oferta e a procura de vacinas e continue para repetir o mesmo processo para o próximo período de tempo.</t>
  </si>
  <si>
    <t xml:space="preserve"> التعليمات: هذا القسم الحاسم مخصص لتحديد أولويات المجموعات السكانية المستهدفة المختلفة لـ فريق الخبراء الاستشاري الاستراتيجي المعني بالتحصين (SAGE) التابع لمنظمة الصحة العالمية، خلال المرحلة الأولى والثانية والثالثة (تقريبًا 2021-2023).</t>
  </si>
  <si>
    <t>说明：这是非常关键的一部分，用于确定第一、第二和第三阶段（约2021-2023年）各类SAGE目标人群的优先安排。
每个米色行代表了一个或多个目标亚人群组的集合。优先安排指定为在半年时间段（列）内该亚人群组（行）接种疫苗的百分比。每行的总数代表了在这3年（2021-2023年）中要覆盖的亚人群组的百分比。这个数字可以为零（如果不打算为该亚人群组接种疫苗）；低于100％（如果不打算为该亚人群组的所有个人接种疫苗）；100％整（如果要在3年内为该亚人群组接种一个疗程的疫苗）；或高于100％（如果在3年内该亚人群组将接种不止一个疗程的疫苗，或预计会有其他“新”人加入该亚人群组，比如新招募的卫生工作者，新诊断的糖尿病患者等等）。
下方提供了每个时间段的疫苗盈余和赤字计算器，可以用来立即查看该时间段优先安排对疫苗供应量产生的影响。
建议填写此部分时首先确保所有单元格都以“0％”开头。接下来，寻找优先级最高的目标亚人群组，并在最早时间段内最大化该组（即填写最高允许百分比）。检查计算器是否仍指示该时间段内有“多余”的疫苗剂数，如果没有，请相应调整优先级以平衡疫苗的供需。接下来，转至下一个优先级目标人群组，并重复该过程。用尽该时间段内的所有疫苗剂数后（计算器从多余变为“空白”或不足），请调整优先级以平衡疫苗的供需，然后继续在下一个时间段重复相同的过程。</t>
  </si>
  <si>
    <t>Способ организации прививок</t>
  </si>
  <si>
    <t>Modalidad de administración (MA)</t>
  </si>
  <si>
    <t xml:space="preserve"> H2 2021</t>
  </si>
  <si>
    <t xml:space="preserve"> H2 2023</t>
  </si>
  <si>
    <t>Stade 1</t>
  </si>
  <si>
    <t>Stade 2</t>
  </si>
  <si>
    <t>Этап 1</t>
  </si>
  <si>
    <t>Этап 2</t>
  </si>
  <si>
    <t>Fase 1</t>
  </si>
  <si>
    <t>Fase 2</t>
  </si>
  <si>
    <t>Etapa 1</t>
  </si>
  <si>
    <t>Etapa 2</t>
  </si>
  <si>
    <t>يمثل كل صف بلون بيجى واحدًا أو مجموعة من مجموعات سكانية فرعية مستهدفة. يتم تحديد الأولويات على أنها النسبة المئوية لتلك المجموعة السكانية الفرعية (الصف) التي سيتم تحصينها في الفترة الزمنية نصف السنوية (العمود). يمثل إجمالي كل صف النسبة المئوية للسكان الفرعيين التي سيتم تغطيتها في فترة الثلاث سنوات هذه (2021-2023). يمكن أن يكون هذا صفرًا (إذا لم تكن هناك نية لتطعيم  تلك الفئة السكانية الفرعية) ، وأقل من 100٪ إن لم يكن كل السكان الفرعيين سيتم تطعيمهم، بالضبط 100٪ إذا تم تطعيم المجموعة السكانية الفرعية بدورة واحدة خلال فترة 3 سنوات؛ أو أكثر من 100٪ إذا تم تلقيح المجموعة السكانية الفرعية بأكثر من دورة واحدة أو إذا كان من المتوقع أن يكون هناك أشخاص "جدد" إضافيون في المجموعة السكانية الفرعية (مثل العاملين الصحيين المعينين حديثًا، ومرضى السكري الذين تم تشخيصهم حديثًا، وما إلى ذلك) في غضون 3 سنوات بريود.</t>
  </si>
  <si>
    <t>المرحلة 1</t>
  </si>
  <si>
    <t>المرحلة 2</t>
  </si>
  <si>
    <t>第一阶段</t>
  </si>
  <si>
    <t>第二阶段</t>
  </si>
  <si>
    <t>ÉDITER LES CELLULES GRISÉES CI-DESSOUS</t>
  </si>
  <si>
    <t>Total pour les 3 années</t>
  </si>
  <si>
    <t>Целевые популяции, определенные СКГЭ</t>
  </si>
  <si>
    <t>ВНЕСИТЕ ИЗМЕНЕНИЯ В ЗАТЕМНЕННЫЕ ЯЧЕЙКИ НИЖЕ</t>
  </si>
  <si>
    <t>Всего за 3 года</t>
  </si>
  <si>
    <t>EDITAR LAS CELDAS SOMBREADAS A CONTINUACIÓN</t>
  </si>
  <si>
    <t>Total a 3 años</t>
  </si>
  <si>
    <t>EDITE AS CÉLULAS SOMBREADAS ABAIXO</t>
  </si>
  <si>
    <t>total de 3 anos</t>
  </si>
  <si>
    <t>فريق الخبراء الاستشاري الاستراتيجي المعني بالتحصين (SAGE) التابع لمنظمة الصحة العالمية  السكان المستهدفون</t>
  </si>
  <si>
    <t xml:space="preserve"> يرجى تعديل الخلايا المظللة أدناه</t>
  </si>
  <si>
    <t>إجمالي 3 سنوات</t>
  </si>
  <si>
    <t>请编辑下方阴影单位格</t>
  </si>
  <si>
    <t>3年总计</t>
  </si>
  <si>
    <t>يتم توفير حاسبة فائض وعجز اللقاح لكل فترة زمنية أدناه. يمكن استخدام هذا لمعرفة الآثار المترتبة على تحديد الأولويات على الفور مقابل توفير جرعات اللقاح لتلك الفترة الزمنية.</t>
  </si>
  <si>
    <t>РАБОТНИКИ ВАЖНЕЙШИХ СЛУЖБ И СВЯЗАННЫЕ С НИМИ ГРУППЫ ЛИЦ</t>
  </si>
  <si>
    <t>Trabajo MA 1 / MA 2</t>
  </si>
  <si>
    <t xml:space="preserve">ВОЗРАСТНЫЕ ГРУППЫ, ЗАТРОНУТЫЕ ВЫСОКИМ РИСКОМ ПЕРЕДАЧИ ИНФЕКЦИИ </t>
  </si>
  <si>
    <t>الطريقة الموصى بها لإكمال هذا القسم هي أولاً البدء بـ "0٪" لجميع الخلايا. بعد ذلك، ابحث عن المجموعة السكانية المستهدفة ذات الأولوية القصوى وقم بالتكبير (املأ أعلى نسبة مئوية مسموح بها) في أقرب فترة زمنية. تحقق من أن الحاسبة لا تزال تشير إلى وجود "فائض" في جرعات اللقاح لتلك الفترة الزمنية، وإذا لم يكن الأمر كذلك، فيرجى ضبط درجة الأولوية وفقًا لذلك لموازنة العرض والطلب على اللقاحات. بعد ذلك، انتقل إلى المجموعة السكانية الفرعية المستهدفة ذات الأولوية التالية وكرر العملية. عندما يتم استنفاد جرعات اللقاح لتلك الفترة الزمنية (تتحول الحاسبة من الفائض إلى "الفراغ" أو العجز) ، اضبط درجة الأولوية لموازنة العرض والطلب على اللقاحات وانتقل إلى تكرار نفس العملية للفترة الزمنية التالية.</t>
  </si>
  <si>
    <t>كبار السن في المؤسسات السكنية</t>
  </si>
  <si>
    <t xml:space="preserve">И СОЦИАЛЬНЫЕ РАБОТНИКИ в УЧРЕЖДЕНИЯХ ИНТЕРНАТНОГО ТИПА </t>
  </si>
  <si>
    <t xml:space="preserve"> وعمال الرعاية الاجتماعية في المؤسسات السكنية</t>
  </si>
  <si>
    <t xml:space="preserve"> الكبار في المجتمع</t>
  </si>
  <si>
    <t xml:space="preserve"> و، أفراد أسرهم</t>
  </si>
  <si>
    <t xml:space="preserve"> المجموعات الاجتماعية الديموغرافية معرضة بشكل ملحوظ لخطر الإصابة بمرض شديد أو الموت</t>
  </si>
  <si>
    <t>...  المجموعات التي يسهل  الوصول إليها</t>
  </si>
  <si>
    <t xml:space="preserve"> .. منها، الذين يعيشون في مؤسسات سكنية</t>
  </si>
  <si>
    <t>... И ПЕРСОНАЛ В УЧРЕЖДЕНИЯХ ИНТЕРНАТНОГО ТИПА</t>
  </si>
  <si>
    <t xml:space="preserve"> المجموعات الخاصة التي يصعب الوصول إليها</t>
  </si>
  <si>
    <t xml:space="preserve"> "المجموعات التي يصعب الوصول إليها" ولكن لا توجد معايير أخرى ذات أولوية</t>
  </si>
  <si>
    <t>Comorbilidades, a los que es difícil llegar</t>
  </si>
  <si>
    <t xml:space="preserve"> الظروف الصحية الأساسية التي يصعب الوصول إليها (ليس النساء الحوامل)</t>
  </si>
  <si>
    <t xml:space="preserve"> سهولة الوصول للأشخاص الذين يعانون من حالات صحية أساسية (وليس النساء الحوامل)</t>
  </si>
  <si>
    <t>CACHER</t>
  </si>
  <si>
    <t>СКРЫТЬ</t>
  </si>
  <si>
    <t>OCULTAR</t>
  </si>
  <si>
    <t xml:space="preserve"> إخفاء</t>
  </si>
  <si>
    <t>المجموعات التي يصعب الوصول إلىها-  النساء الحوامل</t>
  </si>
  <si>
    <t>المجموعات التي يسهل الوصول إلىها- النساء الحوامل</t>
  </si>
  <si>
    <t>Inferir</t>
  </si>
  <si>
    <t xml:space="preserve"> الباقي  بدون شروط تأهيل ذات أولوية عالية</t>
  </si>
  <si>
    <t>Instructions: Ce calculateur de surplus/déficit permet de voir immédiatement les effets du timing des vaccinations. Faire en sorte que l'offre et la demande correspondent de près, donc avec une différence de moins de 1.000 séries de vaccins. Ces calculs sont aussi influencés par l'offre de vaccins (A2.6), le taux de recours à la vaccination escompté et les pertes (A2.4), ainsi que les spécifications de la population cible (A2.2)</t>
  </si>
  <si>
    <t>Инструкции: Инструмент расчета избытка/недостатка вакцин позволяет мгновенно наглядно продемонстрировать факторы, влияющие на сроки вакцинации. Убедитесь, что Ваши расчеты позволяют правильно сбалансировать снабжение вакцинами и потребность в них… расхождение не должно превышать 1000 курсов вакцинации. Расчеты также зависят от наличия вакцин  (A2.6), прогнозированного охвата и потерь (A2.4), и от характеристик целевого населения  (A2.2)</t>
  </si>
  <si>
    <t>Instrucciones: Esta calculadora de excedente/déficit sirve para ver en el momento las implicaciones del calendario de vacunación. Comprobar que el suministro y la demanda vayan casi a la par… con menos de 1 000 pautas de diferencia. En los cálculos influyen también el suministro de vacunas (A2.6), la adopción y el desperdicio esperados (A2.4) y las especificaciones de la población objetivo (A2.2).</t>
  </si>
  <si>
    <t>Instruções: A finalidade desta calculadora de excesso/défice é poder ver imediatamente as implicações da altura da vacinação. Assegure que a oferta e a procura estejam bem equilibradas ... menos de 1000 ciclos de discrepância. Os cálculos também são influenciados pelo fornecimento de vacinas (A2.6), pela aceitação e desperdício previstos (A2.4) e pelas especificações das populações-alvo (A2.2).</t>
  </si>
  <si>
    <t>التعليمات: تستخدم حاسبة الفائض / العجز هذه إمكانية رؤية الآثار المترتبة على توقيت التطعيم على الفور. تأكد من أن العرض والطلب متوازنان بشكل وثيق ... أقل من 1000 دورة تدريبية. تتأثر الحسابات أيضًا بتوريد اللقاحات (A2.6)، التلقي والهدر المتوقعين  (A2.4)، ومواصفات السكان المستهدفين (A2.2)</t>
  </si>
  <si>
    <t>说明：该盈余/赤字计算器的作用是可以立即看到疫苗接种时间安排产生的影响。确保供需关系紧密平衡……即疗程差异低于1000。计算值也受疫苗供应量（A2.6）、预期利用和浪费（A2.4）以及目标人群规范（A2.2）的影响</t>
  </si>
  <si>
    <t>Seuil de déclenchement</t>
  </si>
  <si>
    <t>Surplus ou déficit?</t>
  </si>
  <si>
    <t>Ajuster le calendrier de couverture en S1 et S2 2021 pour éviter les surplus ou déficits</t>
  </si>
  <si>
    <t>Пороговое значение, при превышении которого система выдает "ошибку"</t>
  </si>
  <si>
    <t>Избыток или нехватка?</t>
  </si>
  <si>
    <t>Измените сроки вакцинации в полугодии 1 и 2 2021 г.  чтобы не допустить избытка или нехватки вакцины</t>
  </si>
  <si>
    <t>[es] Trigger sensitivity</t>
  </si>
  <si>
    <t>¿Excedente o déficit?</t>
  </si>
  <si>
    <t>Ajustar el calendario de la cobertura en H1 y H2 2021 para evitar excedentes o déficit</t>
  </si>
  <si>
    <t>Limiar de indicação de erro</t>
  </si>
  <si>
    <t>Excesso ou défice?</t>
  </si>
  <si>
    <t>Ajuste a altura da cobertura no S1 e S2 2021 para evitar excedentes ou défices</t>
  </si>
  <si>
    <t>حساسية جهاز التنفس</t>
  </si>
  <si>
    <t>فائض أم عجز؟</t>
  </si>
  <si>
    <t>ضبط توقيت التغطية في النصف الأول والنصف الثاني من عام 2021 لتجنب الفوائض أو العجز</t>
  </si>
  <si>
    <t>触发灵敏度</t>
  </si>
  <si>
    <t>盈余还是赤字？</t>
  </si>
  <si>
    <t>调整2021年上半年和下半年的覆盖时间，以避免出现盈余或赤字</t>
  </si>
  <si>
    <t>Nombre de séries de vaccins requises (eu égard aux pertes et au taux de recours au vaccins prévu)</t>
  </si>
  <si>
    <t xml:space="preserve">Количество требуемых курсов вакцинации (с учетом потерь вакцины и ожидаемого уровня использования вакцины) </t>
  </si>
  <si>
    <t>Pautas de vacuna necesarias (teniendo en cuenta desperdicio de vacunas y adopción esperada)</t>
  </si>
  <si>
    <t>Ciclos de vacina necessários (considerando o desperdício de vacinas e a aceitação previstos)</t>
  </si>
  <si>
    <t>هناك حاجة لدورات اللقاحات (النظر في إهدار اللقاح والتلقي المتوقع)</t>
  </si>
  <si>
    <t>所需疫苗疗程（考虑到疫苗浪费和预期利用）</t>
  </si>
  <si>
    <t>Séries de vaccins fournies</t>
  </si>
  <si>
    <t xml:space="preserve">Количество курсов вакцинации, для которых обеспечено снабжение вакциной </t>
  </si>
  <si>
    <t>Pautas de vacuna suministradas</t>
  </si>
  <si>
    <t>Ciclos de vacina fornecidos</t>
  </si>
  <si>
    <t xml:space="preserve"> تم توفير دورات لقاح</t>
  </si>
  <si>
    <t>供应的疫苗疗程</t>
  </si>
  <si>
    <t>Surplus (+)/Déficit (-)</t>
  </si>
  <si>
    <t>Séries (et non doses) de vaccins</t>
  </si>
  <si>
    <t>Избыток (+) / Нехватка  (-)</t>
  </si>
  <si>
    <t>Количество курсов вакцинации (НЕ доз)</t>
  </si>
  <si>
    <t>Excedente (+) / Déficit (-)</t>
  </si>
  <si>
    <t>Pautas da vacuna (no dosis)</t>
  </si>
  <si>
    <t>Excesso (+) / Défice (-)</t>
  </si>
  <si>
    <t>Ciclos de vacina (não doses)</t>
  </si>
  <si>
    <t>الفائض (+) / العجز (-)</t>
  </si>
  <si>
    <t xml:space="preserve"> دورات اللقاح (وليس الجرعات)</t>
  </si>
  <si>
    <t>盈余（+）/ 赤字（-）</t>
  </si>
  <si>
    <t>疫苗疗程（不是剂数）</t>
  </si>
  <si>
    <t>Полугодие2 2021</t>
  </si>
  <si>
    <t xml:space="preserve"> H1 2021</t>
  </si>
  <si>
    <t>Chaque site et chaque période</t>
  </si>
  <si>
    <t>Стратегия организации прививок 1</t>
  </si>
  <si>
    <t>Каждый пункт в каждый временной период</t>
  </si>
  <si>
    <t>Modalidad de administración 1</t>
  </si>
  <si>
    <t>Todas las ubicaciones en cada periodo</t>
  </si>
  <si>
    <t>Todos os locais todos os períodos de tempo</t>
  </si>
  <si>
    <t>كل موقع في كل فترة زمنية</t>
  </si>
  <si>
    <t>交付模式 1</t>
  </si>
  <si>
    <t>在每个时间段内访问每个站点</t>
  </si>
  <si>
    <t>Стратегия организации прививок 2</t>
  </si>
  <si>
    <t>Modalidad de administración 2</t>
  </si>
  <si>
    <t>交付模式 2</t>
  </si>
  <si>
    <t>Une fois par site pendant l'ensemble du programme: distribuer en fonction de la couverture de la population</t>
  </si>
  <si>
    <t>Стратегия организации прививок 3</t>
  </si>
  <si>
    <t xml:space="preserve">Каждый пункт единоразово в течение всей программы вакцинации - распределить в соответствии с охватом населения </t>
  </si>
  <si>
    <t>Cada ubicación una vez durante todo el programa - distribuir según cobertura de la población</t>
  </si>
  <si>
    <t>Cada local uma vez durante todo o programa – distribuir de acordo com a cobertura da população</t>
  </si>
  <si>
    <t>كل موقع مرة واحدة خلال البرنامج بأكمله - وزع حسب التغطية السكانية</t>
  </si>
  <si>
    <t>交付模式 3</t>
  </si>
  <si>
    <t>在整个计划期间，访问每个站点一次——根据人口覆盖率分配</t>
  </si>
  <si>
    <t>Cette section est pour compenser l'erreur d'arrondissement et imposer la différence à la première occasion | CACHER</t>
  </si>
  <si>
    <t>Данный раздел предназначен для того, чтобы устранить ошибку при округлении и расхождение данных при первом появлении | СКРЫТЬ</t>
  </si>
  <si>
    <t>Esta sección es para corregir el error de redondeo e imponer la diferencia en la primera incidencia | OCULTAR</t>
  </si>
  <si>
    <t>Esta secção é para corrigir o erro de arredondamento e impor a diferença na primeira ocorrência | OCULTAR</t>
  </si>
  <si>
    <t>هذا القسم هنا لإصلاح خطأ التقريب وفرض الاختلاف في أول حدث | إخفاء</t>
  </si>
  <si>
    <t>本部分旨在修正舍入误差，并在第一次出现时应用差值 | 隐藏</t>
  </si>
  <si>
    <t>… Établissements résidentiels, risque faible</t>
  </si>
  <si>
    <t>Pas de nombres négatifs ici: ajuster le calendrier en B1.2 pour les établissements d'hébergement pour catégories à risque élevé; ne pas trop étaler la vaccination</t>
  </si>
  <si>
    <t xml:space="preserve"> … Низкий риск, учреждения интернатного типа </t>
  </si>
  <si>
    <t>Убедитесь, что указываемые здесь значения не являются отрицательными - внесите корректировки в сроки в п. B1.2 применительно к  учреждениям интернатного типа для возрастных категорий лиц, подвергающихся высокому риску  - do not spread out the delivery thinly</t>
  </si>
  <si>
    <t>…Instituciones residenciales LR (bajo riesgo)</t>
  </si>
  <si>
    <t>Comprobar que no hay números negativos aquí - ajustar el calendario en B1.2 en instituciones residenciales para grupos de edad de alto riesgo - no espaciar demasiado la administración</t>
  </si>
  <si>
    <t>… Instituições Residenciais de BR</t>
  </si>
  <si>
    <t>Certifique-se de que não há números negativos aqui – ajuste a altura em B1.2 para instituições residenciais para faixas etárias de alto risco – não disperse demasiado a administração da vacina</t>
  </si>
  <si>
    <t xml:space="preserve">… المؤسسات السكنية لموارد التعلم </t>
  </si>
  <si>
    <t>تأكد من عدم وجود أرقام سلبية هنا - يرجى ضبط التوقيت في B1.2 للمؤسسات السكنية للفئات العمرية عالية الخطورة - لا توزع التسليم بشكل ضئيل</t>
  </si>
  <si>
    <t>…… LR居住式机构</t>
  </si>
  <si>
    <t>[zh ]确保这里不是负数，请针对居住式机构的高风险年龄段调整B1.2中的时间，不要过于分散接种时间</t>
  </si>
  <si>
    <t>… Établissements résidentiels, risque élevé</t>
  </si>
  <si>
    <t>Pas de nombres négatifs ici: ajuster le calendrier en B1.2 pour les établissements d'hébergement pour catégories à risque faible; ne pas trop étaler la vaccination</t>
  </si>
  <si>
    <t>… Высокий риск, учреждения интернатного типа</t>
  </si>
  <si>
    <t>Убедитесь, что указываемые здесь значения не являются отрицательными - внесите корректировки в сроки в п. B1.2 применительно к  учреждениям интернатного типа для возрастных категорий лиц, подвергающихся низкому риску  - do not spread out the delivery thinly</t>
  </si>
  <si>
    <t xml:space="preserve">…Instituciones residenciales HR (alto riesgo) </t>
  </si>
  <si>
    <t>Comprobar que no hay números negativos aquí - ajustar el calendario en B1.2 en instituciones residenciales para grupos de edad de riesgo bajo - no espaciar demasiado la administración</t>
  </si>
  <si>
    <t>… Instituições Residenciais de AR</t>
  </si>
  <si>
    <t>Certifique-se de que não há números negativos aqui – ajuste a altura em B1.2 para instituições residenciais para faixas etárias de baixo risco – não disperse demasiado a administração da vacina</t>
  </si>
  <si>
    <t xml:space="preserve"> ... المؤسسات السكنية للموارد البشرية</t>
  </si>
  <si>
    <t xml:space="preserve"> تأكد من عدم وجود أرقام سلبية هنا - يرجى ضبط التوقيت في B1.2 للمؤسسات السكنية للفئات العمرية منخفضة المخاطر - لا توزع التسليم بشكل ضئيل</t>
  </si>
  <si>
    <t>…… HR居住式机构</t>
  </si>
  <si>
    <t>[zh ]确保这里不是负数，请针对居住式机构的低风险年龄段调整B1.2中的时间，不要过于分散接种时间</t>
  </si>
  <si>
    <t>… Établissements résidentiels, risque faible (séquençage en % interprété)</t>
  </si>
  <si>
    <t>… Низкий риск, учреждения интернатного типа (% приоритизированных учреждений)</t>
  </si>
  <si>
    <t>…Instituciones residenciales LR (interpretado en % secuenciación)</t>
  </si>
  <si>
    <t>… Instituições Residenciais de BR (interpretado como % de sequenciação)</t>
  </si>
  <si>
    <t>… المؤسسات السكنية لموارد التعلم (تفسير٪ التسلسل))</t>
  </si>
  <si>
    <t>…… LR居住式机构（诠释%排序）</t>
  </si>
  <si>
    <t>… Établissements résidentiels, risque élevé (séquençage en % interprété)</t>
  </si>
  <si>
    <t xml:space="preserve"> … Высокий риск, учреждения интернатного типа (% приоритизированных учреждений)</t>
  </si>
  <si>
    <t>…Instituciones residenciales HR (interpretado en % secuenciación)</t>
  </si>
  <si>
    <t>… Instituições Residenciais de AR (interpretado como % de sequenciação)</t>
  </si>
  <si>
    <t xml:space="preserve"> ... المؤسسات السكنية للموارد البشرية(تم تفسيرها ٪ التسلسل)</t>
  </si>
  <si>
    <t>…… HR居住式机构（诠释%排序）</t>
  </si>
  <si>
    <t>Répartir les visites selon la couverture de la population, en notant que si les risques élevés et faibles sont couverts en même temps, une seconde visite ne sera pas requise (sauf pour les 2es doses, le cas échéant)</t>
  </si>
  <si>
    <t>Стратегия организации прививок 4</t>
  </si>
  <si>
    <t>Распределите выезды вакцинаторов в соответствии с охватом населения - обратите внимание, что если в рамках одного посещения охвачены лица, подверженные высокому и низкому риску, то нет необходимости повторно посещать данное учреждение (кроме введения второй дозы вакцины, если это необходимо)</t>
  </si>
  <si>
    <t>Repartir visitas según cobertura de vacunación - si se abarca HR (alto riesgo) y LR (bajo riesgo) al mismo tiempo, no es necesario visitar de nuevo (salvo para la 2º dosis, si se precisa)</t>
  </si>
  <si>
    <t>Distribua as visitas de acordo com a cobertura da população – observe que se cobrir AR e BR ao mesmo tempo, não é necessário visitar novamente (excepto para a 2ª dose, se aplicável)</t>
  </si>
  <si>
    <t>قم بتوزيع الزيارات وفقًا للتغطية السكانية - مع ملاحظة أنه إذا قمت بتغطية الموارد البشرية  وموارد التعلم  في نفس الوقت، فلا داعي للزيارة مرة أخرى (باستثناء الجرعة 2، إن أمكن)</t>
  </si>
  <si>
    <t>交付模式 4</t>
  </si>
  <si>
    <t>根据人群覆盖范围进行访问，请注意，如果同时覆盖HR和LR，则无需再次访问（第2剂除外，如适用）</t>
  </si>
  <si>
    <t>B1.3 Matrice de répartition: Nombre de personnes à vacciner, comment et quand?</t>
  </si>
  <si>
    <t>B1.3 Матрица распределения: Сколько лиц вакцинировать, как и когда?</t>
  </si>
  <si>
    <t xml:space="preserve"> B1.3 Matriz de distribución: ¿A cuántas personas vacunar, cómo y cuándo?</t>
  </si>
  <si>
    <t>B1.3 Matriz de Distribuição: Quantos pessoas vacinar, como e quando?</t>
  </si>
  <si>
    <t>B1.3 مصفوفة التوزيع: كم عدد التطعيم وكيف ومتى؟</t>
  </si>
  <si>
    <t>فترة زمنية نصف عام</t>
  </si>
  <si>
    <t>B1.3 分配矩阵：要给多少人接种疫苗？如何及何时接种？</t>
  </si>
  <si>
    <t>Полугодие H1 2021</t>
  </si>
  <si>
    <t>العاملون الصحيون</t>
  </si>
  <si>
    <t>Trabajo MA1 / MA2</t>
  </si>
  <si>
    <t>العاملون الأساسيون والمجموعات ذات الصلة</t>
  </si>
  <si>
    <t>الفئات العمرية المعرضة لخطر كبير من انتقال العدوى</t>
  </si>
  <si>
    <t>وعاملو الرعاية الاجتماعية في المؤسسات السكنية</t>
  </si>
  <si>
    <t>و، أفراد أسرهم</t>
  </si>
  <si>
    <t>كبار السن الذين يصعب الوصول إليهم</t>
  </si>
  <si>
    <t xml:space="preserve"> ... المجموعات التي يسهل  الوصول إليها</t>
  </si>
  <si>
    <t>... лица, проживающие В УЧРЕЖДЕНИЯХ ИНТЕРНАТНОГО ТИПА</t>
  </si>
  <si>
    <t xml:space="preserve"> .. منها ، الذين يعيشون في مؤسسات سكنية</t>
  </si>
  <si>
    <t>و، الموظفون في المؤسسات السكنية</t>
  </si>
  <si>
    <t>المجموعات التي يسهل الوصول إلىيها ذات الظروف الصحية الأساسية (وليس النساء الحوامل)</t>
  </si>
  <si>
    <t>المجموعات التي  يصعب الوصول إلىها-  النساء الحوامل</t>
  </si>
  <si>
    <t>المجموعات التي يسهل الوصول إليها -  النساء الحوامل</t>
  </si>
  <si>
    <t>الباقي بدون شروط تأهيل ذات أولوية عالية</t>
  </si>
  <si>
    <t>Total à cibler pendant la période</t>
  </si>
  <si>
    <t>Всего в целевых группах в указанный период</t>
  </si>
  <si>
    <t>Total a abarcar en el periodo</t>
  </si>
  <si>
    <t>Total a ser visado durante o período</t>
  </si>
  <si>
    <t>الإجمالي لاستهدافه خلال الفترة</t>
  </si>
  <si>
    <t>该时间段内作为目标的总人数</t>
  </si>
  <si>
    <t>B1.3.1 Acceptation totale (série de vaccins)</t>
  </si>
  <si>
    <t>B1.3.1 Полный охват (курсы вакцинации)</t>
  </si>
  <si>
    <t>B1.3.1 Adopción completa (Pautas de vacuna)</t>
  </si>
  <si>
    <t>B1.3.1 Aceitação Total (ciclos de vacina)</t>
  </si>
  <si>
    <t>B1.3.1 القبول الكامل (دورات اللقاح)</t>
  </si>
  <si>
    <t>B1.3.1 全面利用（疫苗疗程）</t>
  </si>
  <si>
    <t>NB: Suppose que tous ceux à qui le vaccin contre la COVID-19 a été proposé accepteront cette offre | Pas de pertes de vaccins</t>
  </si>
  <si>
    <t>Modalité d'administration</t>
  </si>
  <si>
    <t>Ces estimations sont utiles pour les interventions d'estimation de la demande</t>
  </si>
  <si>
    <t>Примечание: Предполагается, что вакцинацию против COVID-19 пройдут все, кому она будет предложена| Без потерь вакцин</t>
  </si>
  <si>
    <t>Стратегия организации прививок</t>
  </si>
  <si>
    <t>Эти расчеты полезны для реализации мер по формированию спроса на вакцину</t>
  </si>
  <si>
    <t xml:space="preserve"> Nota: Presupone que todas las personas a las que se ofrezca la vacuna de la COVID-19 la aceptarán | Sin desperdicio de vacunas</t>
  </si>
  <si>
    <t>Estas estimaciones son últiles para intervenciones de generación de demanda</t>
  </si>
  <si>
    <t>Nota: Pressupõe que todos aqueles a quem a vacina contra a COVID-19 for oferecida aceitarão a oferta | Sem desperdício de vacinas</t>
  </si>
  <si>
    <t>Estas estimativas são úteis para intervenções de geração de procura</t>
  </si>
  <si>
    <t>ملاحظة: نفترض أن جميع أولئك الذين عرضوا لقاح كوفيد-19سيقبلون العرض | دون إهدار اللقاح</t>
  </si>
  <si>
    <t>هذه التقديرات مفيدة لتدخلات توليد الطلب</t>
  </si>
  <si>
    <t>注意：假设所有为其提供COVID-19疫苗的个人都接种疫苗| 无疫苗浪费</t>
  </si>
  <si>
    <t>这些估计值对于需求生成干预措施有帮助</t>
  </si>
  <si>
    <t>Professionnel | Modalité d'administration 1 ou 2</t>
  </si>
  <si>
    <t>Prévoir des différences de frais de communication et de recours au vaccin prévu</t>
  </si>
  <si>
    <t>Вакцинация в связи с профессиональной деятельностью | Стратегия организации прививок 1 or 2</t>
  </si>
  <si>
    <t>Возможны различия в затратах на осуществление информационного взаимодействия и ожидаемом уровне использования вакцины</t>
  </si>
  <si>
    <t>En base al trabajo | Modalidad de administración 1 o 2</t>
  </si>
  <si>
    <t>Tener en cuenta diferencias en costes de comunicación y adopción esperada</t>
  </si>
  <si>
    <t>Baseado no trabalho | Modalidade de administração 1 ou 2</t>
  </si>
  <si>
    <t>Trab MA1/MA2</t>
  </si>
  <si>
    <t>Leve em consideração diferenças nos custos de comunicação e a aceitação prevista</t>
  </si>
  <si>
    <t>القائم على العمل | طريقة التسليم 1 أو 2</t>
  </si>
  <si>
    <t xml:space="preserve"> اسمح بالاختلافات في تكاليف الاتصالات والتلقي المتوقع</t>
  </si>
  <si>
    <t>基于工种 | 交付模式 1或2</t>
  </si>
  <si>
    <t>考虑到沟通成本和预期利用的差异</t>
  </si>
  <si>
    <t>Professionnel | Modalité d'administration 1</t>
  </si>
  <si>
    <t>Вакцинация в связи с профессиональной деятельностью | Стратегия организации прививок 1</t>
  </si>
  <si>
    <t>En base al trabajo | Modalidad de administración 1</t>
  </si>
  <si>
    <t>基于工种 | 交付模式 1</t>
  </si>
  <si>
    <t>Professionnel | Modalité d'administration 2</t>
  </si>
  <si>
    <t>Вакцинация в связи с профессиональной деятельностью | Стратегия организации прививок 2</t>
  </si>
  <si>
    <t>En base al trabajo | Modalidad de administración  2</t>
  </si>
  <si>
    <t>基于工种 | 交付模式 2</t>
  </si>
  <si>
    <t>Volontaire | Modalité d'administration 1 ou 2</t>
  </si>
  <si>
    <t>Добровольная вакцинация | Стратегия организации прививок 1 или 2</t>
  </si>
  <si>
    <t xml:space="preserve">Стратегия организации прививок СП1/DM2, добровольная вакцинация </t>
  </si>
  <si>
    <t>Voluntaria| Modalidad de administración 1 o 2</t>
  </si>
  <si>
    <t>Voluntário | Modalidade de administração 1 ou 2</t>
  </si>
  <si>
    <t>Vol MA1/MA2</t>
  </si>
  <si>
    <t xml:space="preserve"> طوعي | طريقة التسليم 1 أو 2</t>
  </si>
  <si>
    <t xml:space="preserve"> الحجم DM1 / DM2</t>
  </si>
  <si>
    <t>自愿性 | 交付模式 1或2</t>
  </si>
  <si>
    <t>Добровольная вакцинация | Стратегия организации прививок 1</t>
  </si>
  <si>
    <t>Voluntaria| Modalidad de administración 1</t>
  </si>
  <si>
    <t>自愿性 | 交付模式 1</t>
  </si>
  <si>
    <t>Добровольная вакцинация | Стратегия организации прививок 2</t>
  </si>
  <si>
    <t>Voluntaria| Modalidad de administración 2</t>
  </si>
  <si>
    <t xml:space="preserve"> طوعي | طريقة التسليم 2</t>
  </si>
  <si>
    <t>自愿性 | 交付模式 2</t>
  </si>
  <si>
    <t>En base al trabajo | Modalidad de administración 2</t>
  </si>
  <si>
    <t xml:space="preserve"> القائم على العمل | طريقة التسليم 2</t>
  </si>
  <si>
    <t>NB: Suppose que tous ceux à qui le vaccin contre la COVID-19 a été proposé accepteront cette offre | Pas de pertes de vaccins | Arrondir (au chiffre SUPÉRIEUR)</t>
  </si>
  <si>
    <t>Примечание: Предполагается, что вакцинацию против COVID-19 пройдут все, кому она будет предложена| Без потерь вакцин| Округленное значение</t>
  </si>
  <si>
    <t>Nota: Presupone que todas las personas a las que se ofrezca la vacuna de la COVID-19 la aceptarán | Sin desperdicio de vacunas | Redondear hacia ARRIBA</t>
  </si>
  <si>
    <t>Nota: Pressupõe que todos aqueles a quem a vacina contra a COVID-19 for oferecida aceitarão a oferta | Sem desperdício de vacinas | Resumo</t>
  </si>
  <si>
    <t xml:space="preserve"> ملاحظة: نفترض أن جميع أولئك الذين تم تقديم  لقاحكوفيد-19 لهم سيقبلون العرض | دون إهدار اللقاح | أكمَلَ بالتَّقريب</t>
  </si>
  <si>
    <t>注意：假设所有为其提供COVID-19疫苗的个人都接种疫苗| 无疫苗浪费 | 向上舍入</t>
  </si>
  <si>
    <t>B1.3.2 Recours attendu (à la série de vaccins)</t>
  </si>
  <si>
    <t>B1.3.2 Ожидаемый охват (курсы вакцинации)</t>
  </si>
  <si>
    <t>B1.3.2 Adopción especrada (Pautas de vacuna)</t>
  </si>
  <si>
    <t>B1.3.2 Aceitação Prevista (ciclos da vacina)</t>
  </si>
  <si>
    <t xml:space="preserve"> B1.3.2 التلقي المتوقع (دورات اللقاح)</t>
  </si>
  <si>
    <t>B1.3.2 预期的利用（疫苗疗程）</t>
  </si>
  <si>
    <t>NB: Suppose le recours prévu au vaccin | Pas de pertes de vaccins | Arrondir (au chiffre SUPÉRIEUR)</t>
  </si>
  <si>
    <t>Recours attendu</t>
  </si>
  <si>
    <t>Ces estimations sont utiles pour la fourniture de services au dernier kilomètre</t>
  </si>
  <si>
    <t xml:space="preserve">Примечание: Используется допущение относительно уровня ожидаемого охвата| Нет потерь вакцин  | Округленное значение </t>
  </si>
  <si>
    <t>Ожидаемый охват</t>
  </si>
  <si>
    <t xml:space="preserve">Эти расчеты полезны для предоставления услуг на этапе "последней мили" </t>
  </si>
  <si>
    <t>Nota: Aplica la hipótesis sobre adopción de la vacuna | Sin desperdicio de vacunas | Redondear hacia ARRIBA</t>
  </si>
  <si>
    <t>[es] Expected Uptake</t>
  </si>
  <si>
    <t>[es] These estimates useful for last-mile service provision</t>
  </si>
  <si>
    <t>Nota: Aplica o pressuposto da aceitação prevista | Sem desperdício de vacinas | Resumo</t>
  </si>
  <si>
    <t>Aceitação prevista</t>
  </si>
  <si>
    <t>Estas estimativas são úteis para fornecimento de serviços "até ao último km"</t>
  </si>
  <si>
    <t>ملاحظة: يطبق افتراض الشراء المتوقع | دون إهدار اللقاح | أكمَلَ بالتَّقريب</t>
  </si>
  <si>
    <t>التلقي المتوقع</t>
  </si>
  <si>
    <t xml:space="preserve"> هذه التقديرات مفيدة لتوفير خدمة آخر ميل</t>
  </si>
  <si>
    <t>预期利用</t>
  </si>
  <si>
    <t>这些估计值对于提供最后一公里服务有帮助</t>
  </si>
  <si>
    <t xml:space="preserve">Примечание: Используется допущение относительно уровня ожидаемого использования вакцины| Нет потерь вакцин  | Округленное значение </t>
  </si>
  <si>
    <t>注意：应用预期的利用率假设 | 无疫苗浪费 | 向上舍入</t>
  </si>
  <si>
    <t>B1.4 Séries de vaccins requises, eu égard au taux de perte de vaccins</t>
  </si>
  <si>
    <t xml:space="preserve">B1.4 Количество требуемых курсов вакцинации с учетом уровня потерь вакцин </t>
  </si>
  <si>
    <t>B1.4 Pautas de vacuna que se precisan, teniendo en cuenta la Tasa de desperdicio de vacunas</t>
  </si>
  <si>
    <t>B1.4 Ciclos de Vacina Necessários, considerando a taxa de desperdício de vacinas</t>
  </si>
  <si>
    <t xml:space="preserve"> B1.4 دورات اللقاح المطلوبة، مع الأخذ في الاعتبار معدل إهدار اللقاح</t>
  </si>
  <si>
    <t>B1.4 所需疫苗疗程，考虑到疫苗的浪费率</t>
  </si>
  <si>
    <t>NB: Suppose que tous ceux à qui le vaccin contre la COVID-19 a été proposé accepteront cette offre | Mais un taux de pertes de vaccins a été appliqué</t>
  </si>
  <si>
    <t>Facteur de multiplication de perte (WMF)</t>
  </si>
  <si>
    <t xml:space="preserve">Примечание: Используется допущение, что вакцинацию против COVID-19 пройдут все, кому она будет предложена| Фактор потерь вакцин не применяется </t>
  </si>
  <si>
    <t>Множитель для расчета потерь вакцины</t>
  </si>
  <si>
    <t>Nota: Presupone que todas las personas a las que se ofrezca la vacuna de la COVID-19 la aceptarán | Pero se aplica la tasa de desperdicio de vacuna</t>
  </si>
  <si>
    <t>[es] WMF</t>
  </si>
  <si>
    <t>Nota: Pressupõe que todos aqueles a quem a vacina contra a COVID-19 for oferecida aceitarão a oferta | Mas é aplicada taxa de desperdício de vacinas</t>
  </si>
  <si>
    <t>ملاحظة: نفترض أن جميع أولئك الذين تم تقديم  لقاح كوفيد-19 لهم  سيقبلون العرض | لكن معدل إهدار اللقاح منطبق</t>
  </si>
  <si>
    <t>عامل مضاعفة الهدر الافتراضي (WMF)</t>
  </si>
  <si>
    <t>注意：假设所有为其提供COVID-19疫苗的个人都接种疫苗 | 但运用了疫苗浪费率</t>
  </si>
  <si>
    <t>NB: Suppose le recours prévu au vaccin | Mais un taux de pertes de vaccins a été appliqué</t>
  </si>
  <si>
    <t>Ces estimations sont utiles pour le nombre escompté de doses de vaccin utilisées</t>
  </si>
  <si>
    <t xml:space="preserve">Примечание: Используется допущение относительно уровня ожидаемого использования вакцины| Коэффициент потерь не применяется </t>
  </si>
  <si>
    <t xml:space="preserve">Эти расчеты полезны для оценки ожидаемого количества введенных доз вакцины </t>
  </si>
  <si>
    <t>Nota: Aplica la hipótesis sobre adopción de la vacuna | Pero se aplica la tasa de desperdicio de vacuna</t>
  </si>
  <si>
    <t>Estas estimaciones son útiles para conocer el número de dosis de vacuna que se espera utilizar</t>
  </si>
  <si>
    <t>Nota: Aplica o pressuposto da aceitação prevista | Mas é aplicada taxa de desperdício de vacinas</t>
  </si>
  <si>
    <t>Estas estimativas são úteis para as doses de vacina previstas usadas</t>
  </si>
  <si>
    <t>ملاحظة: يطبق افتراض الشراء المتوقع | لكن معدل إهدار اللقاح منطبق</t>
  </si>
  <si>
    <t>هذه التقديرات مفيدة لجرعات اللقاح المتوقعة المستخدمة</t>
  </si>
  <si>
    <t>注意：应用预期的利用率假设 | 但运用了疫苗浪费率</t>
  </si>
  <si>
    <t>这些估计值对预期使用的疫苗剂数有帮助</t>
  </si>
  <si>
    <t>B1.4.1 Sommaire: Séries de vaccins requises en 2021 (Stade 1 et 2)</t>
  </si>
  <si>
    <t>B1.4.1 Резюме - Количество курсов вакцинации, необходимых в 2021 (этап 1 и 2)</t>
  </si>
  <si>
    <t>B1.4.1 Resumen - Pautas de vacuna necesarias en 2021 (Fases 1 y 2)</t>
  </si>
  <si>
    <t>B1.4.1 Resumo – Ciclos de vacinas necessários em 2021 Etapas 1 e 2)</t>
  </si>
  <si>
    <t xml:space="preserve"> B1.4.1 ملخص - دورات اللقاحات اللازمة في عام 2021 (المرحلة 1 و 2)</t>
  </si>
  <si>
    <t>B1.4.1 总结——2021年需要的疫苗疗程（第一和第二阶段）</t>
  </si>
  <si>
    <t>Besoins (estimations fondées sur la demande)</t>
  </si>
  <si>
    <t>Approvisionnement</t>
  </si>
  <si>
    <t xml:space="preserve">Потребности (расчет на стороне спроса)  </t>
  </si>
  <si>
    <t>Снабжение</t>
  </si>
  <si>
    <t>Necesidades (Estimaciones del lado de la demanda)</t>
  </si>
  <si>
    <t>Suministro</t>
  </si>
  <si>
    <t>Necessidades (estimativas do lado da procura)</t>
  </si>
  <si>
    <t>Fornecimento</t>
  </si>
  <si>
    <t xml:space="preserve"> الاحتياجات (تقديرات الطلب)</t>
  </si>
  <si>
    <t>التجهيز</t>
  </si>
  <si>
    <t>需求（需求量估计值）</t>
  </si>
  <si>
    <t>供应</t>
  </si>
  <si>
    <t>Paramètres d'estimation des besoins --&gt;</t>
  </si>
  <si>
    <t>Recours complet + pertes</t>
  </si>
  <si>
    <t>Recours complet + zéro pertes</t>
  </si>
  <si>
    <t>Recours attendu + pertes</t>
  </si>
  <si>
    <t>Recours attendu + zéro pertes</t>
  </si>
  <si>
    <t>Параметры для оценки потребностей --&gt;</t>
  </si>
  <si>
    <t>Полный охват + потери</t>
  </si>
  <si>
    <t>Полный охват + нет потерь</t>
  </si>
  <si>
    <t>Ожидаемый охват + потери</t>
  </si>
  <si>
    <t xml:space="preserve">Ожидаемый охват + нет потерь </t>
  </si>
  <si>
    <t>Parámetros de estimación de necesidades --&gt;</t>
  </si>
  <si>
    <t>Adopción plena + desperdicio</t>
  </si>
  <si>
    <t>Adopción plena sin desperdicio</t>
  </si>
  <si>
    <t>Adopción esperada + desperdicio</t>
  </si>
  <si>
    <t>Adopción esperada sin desperdicio</t>
  </si>
  <si>
    <t>Parâmetros de estimativa de necessidades --&gt;</t>
  </si>
  <si>
    <t>Aceitação total + desperdício</t>
  </si>
  <si>
    <t>Aceitação total + sem desperdício</t>
  </si>
  <si>
    <t>Aceitação prevista + desperdício</t>
  </si>
  <si>
    <t>Aceitação prevista + sem desperdício</t>
  </si>
  <si>
    <t>معايير تقدير الاحتياجات -&gt;</t>
  </si>
  <si>
    <t xml:space="preserve"> التلقي الكامل + الهدر</t>
  </si>
  <si>
    <t>التلقي المتوقع + الهدر</t>
  </si>
  <si>
    <t>التلقي المتوقع + عدم الهدر</t>
  </si>
  <si>
    <t>需求估算参数 --&gt;</t>
  </si>
  <si>
    <t>全面利用 + 浪费</t>
  </si>
  <si>
    <t>全面利用 + 无浪费</t>
  </si>
  <si>
    <t>预期利用 + 浪费</t>
  </si>
  <si>
    <t>预期利用 + 无浪费</t>
  </si>
  <si>
    <t>Total des séries requises | fournies</t>
  </si>
  <si>
    <t>Общее необходимое количество курсов вакцинации  | обеспечено поставками</t>
  </si>
  <si>
    <t>Total de pautas necesarias| Suministradas</t>
  </si>
  <si>
    <t>Total de Ciclos Necessários | Fornecidos</t>
  </si>
  <si>
    <t>الإجمالي الدورات المطلوبة | تم تجهيزها</t>
  </si>
  <si>
    <t>所需疗程总计 | 已供应</t>
  </si>
  <si>
    <t>Pourcentage de la population de 2020</t>
  </si>
  <si>
    <t>L'allocation d'*APPROVISIONNEMENT* de 20% de COVAX est supposée fondée sur la population de 2020 (UN WPP révision de 2019; pas de pertes vaccinales)</t>
  </si>
  <si>
    <t>Процентная доля населения в 2020 г.</t>
  </si>
  <si>
    <t>Предполагается, что выделяемая 20%-ная *ПОСТАВКА* через механизм COVAX основана на численности населения в 2020 г. (МДП ООН, Пересмотр 2019 г.; Потерь вакцин нет)</t>
  </si>
  <si>
    <t>Porcentaje de la población 2020</t>
  </si>
  <si>
    <t>Se supone que la asignación del *SUMINISTRO* Covax 20% se basa en la población 2020 (ONU PPM Revisión 2019; Sin desperdicio de vacuna)</t>
  </si>
  <si>
    <t>Percentagem da população de 2020</t>
  </si>
  <si>
    <t>Alocação de *FORNECIMENTO* de 20% da plataforma Covax pressuposto ser baseado na população de 2020 (UN WPP Revisão de 2019; Sem desperdício de vacinas)</t>
  </si>
  <si>
    <t>النسبة المئوية للسكان 2020</t>
  </si>
  <si>
    <t>كوفاكس 20٪ * يُفترض تخصيص العرض * على أساس تعداد السكان لعام 2020 (مراجعة بيانات التوقعات السكانية العالمية للأمم المتحدة UN WPP 2019)؛ بدون إهدار للقاح)</t>
  </si>
  <si>
    <t>2020年人口百分比</t>
  </si>
  <si>
    <t>Covax 20％*供应*分配假设基于2020人口（UN WPP 2019年修订版；无疫苗浪费）</t>
  </si>
  <si>
    <t>B1.4.2 Sommaire: Séries de vaccins requises en 2021 Stade 1 (premiers 3% ~ S1 2021)</t>
  </si>
  <si>
    <t>B1.4.2 Резюме - Необходимое количество курсов вакцинации на этапе 1 в 2021 г. (Первые 3%  ~ Полугодие 1 2021)</t>
  </si>
  <si>
    <t>B1.4.2 Resumen - Pautas de vacuna necesarias en 2021 Fase 1 (el primer 3% ~ H1 2021)</t>
  </si>
  <si>
    <t>B1.4.2 Resumo – Ciclos de vacinas necessários em 2021, Etapa 1 (os primeiros 3% ~ S1 2021)</t>
  </si>
  <si>
    <t>B1.4.2  ملخص - دورات اللقاحات المطلوبة في 2021 المرحلة 1 (أول 3٪ ~ النصف الأول 2021)</t>
  </si>
  <si>
    <t>B1.4.2 总结——2021年第一阶段所需疫苗疗程（最早的3％〜2021年上半年）</t>
  </si>
  <si>
    <t>الاحتياجات (تقديرات الطلب)</t>
  </si>
  <si>
    <t xml:space="preserve"> 需求（需求量估计值）</t>
  </si>
  <si>
    <t>التلقي الكامل + بدون هدر</t>
  </si>
  <si>
    <t>B1.4.3 Sommaire: Séries de vaccins requises en 2021 (Stade 2)</t>
  </si>
  <si>
    <t xml:space="preserve">B1.4.3  Резюме - Необходимое количество курсов вакцинации на этапе 2 в 2021 г. </t>
  </si>
  <si>
    <t>B1.4.3 Resumen - Pautas de vacuna necesarias en 2021 Fase 2</t>
  </si>
  <si>
    <t>B1.4.3 Resumo – Ciclos de vacinas necessários em 2021, Etapa 2</t>
  </si>
  <si>
    <t xml:space="preserve"> B1.4.3 ملخص - دورات اللقاحات اللازمة في عام 2021، المرحلة 2</t>
  </si>
  <si>
    <t>B1.4.3 S总结——2021年第二阶段所需疫苗疗程</t>
  </si>
  <si>
    <t>BARRA DE NEVAGACIÓN:</t>
  </si>
  <si>
    <t>B2. Vaccins et stocks | Estimations ascendantes fondées sur une population cible définie</t>
  </si>
  <si>
    <t xml:space="preserve">B2. Вакцины и расходные материалы для иммунизации | Полный расчет с учетом численности целевого населения </t>
  </si>
  <si>
    <t xml:space="preserve"> B2. Vacunas y suministro | Estimaciones desde abajo en base a la población objetivo definida</t>
  </si>
  <si>
    <t>B2. Vacinas e Suprimentos | Estimativas a partir do zero baseadas em população-alvo definida</t>
  </si>
  <si>
    <t xml:space="preserve"> B2. اللقاحات والمستلزمات | تقديرات أساسية تستند إلى مجموعة سكانية مستهدفة محددة</t>
  </si>
  <si>
    <t>B2. 疫苗和用品| 根据定义的目标人群进行初步估算</t>
  </si>
  <si>
    <t>NB: Les cellules de cette feuille ne sont pas éditables par l'utilisateur: pour information uniquement</t>
  </si>
  <si>
    <t xml:space="preserve">Примечание: Ячейки в данной таблице не доступны для редактирования - только для информации </t>
  </si>
  <si>
    <t>Nota: No hay celdas editables por el usuario en esta hoja - a efectos informativos únicamente</t>
  </si>
  <si>
    <t>Nota: Nenhuma célula editável pelo utilizador nesta folha – só para informação</t>
  </si>
  <si>
    <t>لا توجد خلايا قابلة للتحرير من قبل المستخدم في هذه الصفحة - للعلم فقط</t>
  </si>
  <si>
    <t>注意：此工作表中没有用户可编辑的单元格——仅供参考</t>
  </si>
  <si>
    <t>Quantités (unités)</t>
  </si>
  <si>
    <t>Coûts (USD)</t>
  </si>
  <si>
    <t>Количество (единиц)</t>
  </si>
  <si>
    <t xml:space="preserve">Затраты (в долларах США) </t>
  </si>
  <si>
    <t>Cantidades (Unidades)</t>
  </si>
  <si>
    <t>Costes (USD)</t>
  </si>
  <si>
    <t>Quantidades (Unidades)</t>
  </si>
  <si>
    <t>Custos (USD)</t>
  </si>
  <si>
    <t>الكميات (الوحدات)</t>
  </si>
  <si>
    <t>التكاليف (دولار أمريكي)</t>
  </si>
  <si>
    <t>数量（单位）</t>
  </si>
  <si>
    <t>成本（美元）</t>
  </si>
  <si>
    <t>النصف الأول 2022</t>
  </si>
  <si>
    <t>Rémunération de l'acheteur</t>
  </si>
  <si>
    <t>Оплата услуг агента по закупкам</t>
  </si>
  <si>
    <t>Honorários de Agentes de Compras</t>
  </si>
  <si>
    <t>رسوم وكيل المشتريات</t>
  </si>
  <si>
    <t>采购代理费</t>
  </si>
  <si>
    <t>Offset (caché)</t>
  </si>
  <si>
    <t>Valeur des stocks chargés (hors rémunération de l'acheteur)</t>
  </si>
  <si>
    <t>Отклонение (скрыто)</t>
  </si>
  <si>
    <t xml:space="preserve">Стоимость поставленных расходных материалов (не включает оплату услуг агента по закупкам) </t>
  </si>
  <si>
    <t>Contrapartida (Oculta)</t>
  </si>
  <si>
    <t>Valor de suministros cargados (excl. tasas de agente de adquisición)</t>
  </si>
  <si>
    <t>Offset (Oculto)</t>
  </si>
  <si>
    <t>Valor dos suprimentos fornecidos (excl. honorários de agentes de compras)</t>
  </si>
  <si>
    <t>العنصر</t>
  </si>
  <si>
    <t>التعويض (مخفي)</t>
  </si>
  <si>
    <t>قيمة المستلزمات المحملة (باستثناء رسوم وكيل المشتريات)</t>
  </si>
  <si>
    <t>偏移（隐藏）</t>
  </si>
  <si>
    <t>已装货用品价值（不含采购代理费）</t>
  </si>
  <si>
    <t>B2.1.1 Modalité d'administration 1</t>
  </si>
  <si>
    <t>Nombre de séries:</t>
  </si>
  <si>
    <t>Pas de données sur les pertes puisque les pertes ont déjà été ajoutées aux fournitures vaccinales</t>
  </si>
  <si>
    <t>B2.1.1 Стратегия организации прививок 1</t>
  </si>
  <si>
    <t>Количество курсов вакцинации:</t>
  </si>
  <si>
    <t xml:space="preserve">Нет значений потерь вакцин - потери уже учтены в расчетах расходных материалов для вакцинации </t>
  </si>
  <si>
    <t>B2.1.1 Modalidad de administración 1</t>
  </si>
  <si>
    <t># Pautas:</t>
  </si>
  <si>
    <t>Sin # de desperdicio - pues el desperdicio ya se ha añadido a los suministros de las vacunas</t>
  </si>
  <si>
    <t>B2.1.1 Modalidade de Administração 1</t>
  </si>
  <si>
    <t>Nº de ciclos:</t>
  </si>
  <si>
    <t>Nos sem desperdício – porque o desperdício já foi adicionado a suprimentos relacionados com a vacina</t>
  </si>
  <si>
    <t>B2.1.1 طريقة التسليم 1</t>
  </si>
  <si>
    <t xml:space="preserve"> # الدورات:</t>
  </si>
  <si>
    <t>لا يوجد أي هدر - حيث تتم إضافة المهدر إلى المستلزمات ذات الصلة باللقاحات الموجودة بالفعل</t>
  </si>
  <si>
    <t>B2.1.1 交付模式1</t>
  </si>
  <si>
    <t># 疗程：</t>
  </si>
  <si>
    <t>无浪费＃——因为已将浪费加入疫苗相关用品中</t>
  </si>
  <si>
    <t>Dosis por pauta</t>
  </si>
  <si>
    <t>每个疗程剂数</t>
  </si>
  <si>
    <t>Doses de vaccin</t>
  </si>
  <si>
    <t>Additionner taux de pertes + doses par série</t>
  </si>
  <si>
    <t xml:space="preserve">Количество доз вакцины </t>
  </si>
  <si>
    <t xml:space="preserve">Добавить уровень потерь + количеств доз вакцины на один курс вакцинации </t>
  </si>
  <si>
    <t>Dosis de vacuna</t>
  </si>
  <si>
    <t>Añadir tasa de desperdicio + dosis por pauta</t>
  </si>
  <si>
    <t>Doses da vacina</t>
  </si>
  <si>
    <t>Adicione taxa de desperdício + doses por ciclo</t>
  </si>
  <si>
    <t>جرعات اللقاح</t>
  </si>
  <si>
    <t>أضف معدل الفاقد + الجرعات لكل دورة</t>
  </si>
  <si>
    <t>疫苗剂数</t>
  </si>
  <si>
    <t>加浪费率 + 每个疗程剂数</t>
  </si>
  <si>
    <t>Nombre prévu de MAPI requérant une enquête</t>
  </si>
  <si>
    <t xml:space="preserve">Ожидаемое количество ПППИ, требующих расследования </t>
  </si>
  <si>
    <t># esperado de ESAVI que deban ser investigados</t>
  </si>
  <si>
    <t>Nº previsto de EAPI investigáveis</t>
  </si>
  <si>
    <t>العدد المُتوقَّع من الأحداث الضائرة التالية للتطعيم القابلة للتدقيق</t>
  </si>
  <si>
    <t>预期可调查的AEFI数目</t>
  </si>
  <si>
    <t>NB: Facteur de multiplication de perte À INCORPORER dans la base de données des vaccins candidats</t>
  </si>
  <si>
    <t xml:space="preserve">Примечание: Множитель для расчета потерь вакцин ДОЛЖЕН БЫТЬ УКАЗАН в базе данных вакцин-кандидатов </t>
  </si>
  <si>
    <t>Nota: El Factor de Multiplicación de Desperdicio (FMD) DEBE SER incorporado a la base de datos de candidatos a vacuna</t>
  </si>
  <si>
    <t>Nota: Factor de multiplicação de desperdício A SER incorporado na base de dados de vacinas candidatas</t>
  </si>
  <si>
    <t xml:space="preserve">ملاحظة: عامل ضرب الهدر يتم إدماجه في  قاعدة بيانات اللقاحات المرشحة  </t>
  </si>
  <si>
    <t>注意：损耗倍增因子将被纳入疫苗候选数据库</t>
  </si>
  <si>
    <t>B2.1.2 Modalité d'administration 2</t>
  </si>
  <si>
    <t>B2.1.2 Стратегия организации прививок 2</t>
  </si>
  <si>
    <t>B2.1.2 Modalidad de adminstración 2</t>
  </si>
  <si>
    <t># pautas:</t>
  </si>
  <si>
    <t>B2.1.2 Modalidade de Administração 2</t>
  </si>
  <si>
    <t xml:space="preserve"> B2.1.2طريقة التسليم 2</t>
  </si>
  <si>
    <t>B2.1.2 交付模式2</t>
  </si>
  <si>
    <t>Количество доз вакцины</t>
  </si>
  <si>
    <t xml:space="preserve">Добавить уровень потерь + количество доз вакцины на один курс вакцинации </t>
  </si>
  <si>
    <t>أضف معدل الهدر + الجرعات لكل دورة</t>
  </si>
  <si>
    <t>Ожидаемое количество ПППИ, требующих расследования</t>
  </si>
  <si>
    <t>注意：浪费倍增因子将被纳入疫苗候选数据库</t>
  </si>
  <si>
    <t>B2.1.3 Modalité d'administration 3</t>
  </si>
  <si>
    <t>B2.1.3 Стратегия организации прививок 3</t>
  </si>
  <si>
    <t>B2.1.3 Modalidad de adminstración 3</t>
  </si>
  <si>
    <t>B2.1.3 Modalidade de Administração 3</t>
  </si>
  <si>
    <t>B2.1.3 طريقة التسليم 3</t>
  </si>
  <si>
    <t>B2.1.3 交付模式3</t>
  </si>
  <si>
    <t>B2.1.4 Modalité d'administration 4</t>
  </si>
  <si>
    <t>B2.1.4 Стратегия организации прививок 4</t>
  </si>
  <si>
    <t>B2.1.4 Modalidad de adminstración 4</t>
  </si>
  <si>
    <t>B2.1.4 Modalidade de Administração 4</t>
  </si>
  <si>
    <t>B2.1.4 طريقة التسليم 4</t>
  </si>
  <si>
    <t>B2.1.4 交付模式4</t>
  </si>
  <si>
    <t>Максимальное значение</t>
  </si>
  <si>
    <t>Máx.</t>
  </si>
  <si>
    <t>الحد الأقصى</t>
  </si>
  <si>
    <t>最高值</t>
  </si>
  <si>
    <t>Ajouter taux de pertes + doses par série</t>
  </si>
  <si>
    <t>B2.2 TOTAUX</t>
  </si>
  <si>
    <t>B2.2 ОБЩИЙ ИТОГ</t>
  </si>
  <si>
    <t>B2.2 TOTALES</t>
  </si>
  <si>
    <t>B2.2 TOTAIS</t>
  </si>
  <si>
    <t xml:space="preserve"> B2.2 الإجماليات</t>
  </si>
  <si>
    <t>B2.2 总数</t>
  </si>
  <si>
    <t xml:space="preserve">Требуется таможенное оформление? </t>
  </si>
  <si>
    <t xml:space="preserve"> Total</t>
  </si>
  <si>
    <t>¿Debe pasar despacho de aduanas?</t>
  </si>
  <si>
    <t>Sujeito a desalfandegamento?</t>
  </si>
  <si>
    <t>هل تخضع للتخليص الجمركي؟</t>
  </si>
  <si>
    <t>是否需要通关？</t>
  </si>
  <si>
    <t>Doses de vaccin (tous les vaccins)</t>
  </si>
  <si>
    <t>Количество доз вакцины (для всех вакцин)</t>
  </si>
  <si>
    <t>Dosis de vacuna (todas las vacunas)</t>
  </si>
  <si>
    <t>Doses de vacina (todas as vacinas)</t>
  </si>
  <si>
    <t>جرعات اللقاح (جميع اللقاحات)</t>
  </si>
  <si>
    <t>疫苗剂数（所有疫苗）</t>
  </si>
  <si>
    <t>Voir feuille A3.2 pour les modifier</t>
  </si>
  <si>
    <t>Чтобы изменить см. раздел A3.2</t>
  </si>
  <si>
    <t>Ver la hoja A3.2 para cambiar estos valores</t>
  </si>
  <si>
    <t>Consulte a Folha A3.2 para alterar estes</t>
  </si>
  <si>
    <t>يرجى مراجعة صفحة A3.2 لتغيير هذه العناصر</t>
  </si>
  <si>
    <t>请参见工作表A3.2进行更改</t>
  </si>
  <si>
    <t>Voir feuille A3.5 pour les modifier</t>
  </si>
  <si>
    <t>Чтобы изменить см. раздел A3.5</t>
  </si>
  <si>
    <t>Ver la hoja A3.5 para cambiar estos valores</t>
  </si>
  <si>
    <t>Consulte a Folha A3.5 para alterar estes</t>
  </si>
  <si>
    <t>يرجى مراجعة صفحة  A3.5 لتغيير هذه العناصر</t>
  </si>
  <si>
    <t>请参见工作表A3.5进行更改</t>
  </si>
  <si>
    <t>Total des fournitures vaccinales</t>
  </si>
  <si>
    <t>(hors dossiers électroniques et compensation)</t>
  </si>
  <si>
    <t xml:space="preserve">Всего расходных материалов для вакцинации </t>
  </si>
  <si>
    <t>(В этот раздел не включены расходы на электронные формы учета и компенсационные выплаты)</t>
  </si>
  <si>
    <t>Total de Suministros auxiliares de las vacunas</t>
  </si>
  <si>
    <t>(excluye Registros electrónicos e Indemnización)</t>
  </si>
  <si>
    <t>Total de Suprimentos Relacionados à Vacina</t>
  </si>
  <si>
    <t>(exclui Registos Electrónicos e Indemnização)</t>
  </si>
  <si>
    <t>إجمالي المستلزمات ذات الصلة باللقاحات</t>
  </si>
  <si>
    <t>(باستثناء السجلات الإلكترونية والتعويضات)</t>
  </si>
  <si>
    <t>疫苗相关用品总计</t>
  </si>
  <si>
    <t>（不包括电子记录和赔偿）</t>
  </si>
  <si>
    <t>Valeur totale des fournitures sujettes à dédouanement</t>
  </si>
  <si>
    <t xml:space="preserve">Общая стоимость расходных материалов, подлежащих таможенному оформлению </t>
  </si>
  <si>
    <t>Valor total de Suministros sujetos a despacho de aduanas</t>
  </si>
  <si>
    <t>Valor total dos suprimentos sujeitos a desalfandegamento</t>
  </si>
  <si>
    <t>القيمة الإجمالية للمستلزمات الخاضعة للتخليص الجمركي</t>
  </si>
  <si>
    <t>需通关的用品总值</t>
  </si>
  <si>
    <t>Dédouanement | Ad valorem</t>
  </si>
  <si>
    <t>Таможенное оформление | На основании заявленной стоимости (Ad valorem)</t>
  </si>
  <si>
    <t>Despacho de aduanas | Ad valorem</t>
  </si>
  <si>
    <t>Desalfandegamento | Ad valorem</t>
  </si>
  <si>
    <t>التخليص الجمركي | القيمة</t>
  </si>
  <si>
    <t>报关| 从价关税</t>
  </si>
  <si>
    <t>Оплата услуг по закупке</t>
  </si>
  <si>
    <t>Tasas del servicio de adquisiciones</t>
  </si>
  <si>
    <t>NB: Non actuellement calculés dans cet outil: transports internationaux, service d'escale, transport terrestre et stockage au sec (supposer capacité préexistante) pour les fournitures vaccinales</t>
  </si>
  <si>
    <t xml:space="preserve">Примечание: На данном этапе инструмент не позволяет выполнить следующие расчеты: стоимость международной доставки, наземное обслуживание груза, транспортировка, хранение на сухом складе (предполагается, что такие можности имеются) для расходных материалов для иммунизации </t>
  </si>
  <si>
    <t>Nota: Por el momento, esta herramienta no calcula: Envío internacional, manipulación en tierra, transporte terrestre, almacenaje en seco (se supone que hay capacidad preexistente) de suministros auxiliares de las vacunas</t>
  </si>
  <si>
    <t>Nota: Actualmente não são calculados nesta ferramenta: Transporte internacional, movimentação em terra, transporte terrestre, armazenamento a seco (pressupor capacidade preexistente) para suprimentos relacionados à vacina</t>
  </si>
  <si>
    <t>ملاحظة: لا يُحسب حاليًا في هذه الأداة: الشحن الدولي، والمناولة الأرضية، والنقل البري، والتخزين الجاف (بافتراض وجود سعة تخزين بالفعل) للمستلزمات ذات الصلة باللقاحات</t>
  </si>
  <si>
    <t>注意：此工具目前的计算不包括：疫苗相关用品的国际运输、地面管理、地面运输、干式存储（假定已有储存能力）</t>
  </si>
  <si>
    <t>B3.1 Transports internationaux (sur la base d'estimations de la demande)</t>
  </si>
  <si>
    <t xml:space="preserve">B3.1 Международные поставки (на основе расчета потребности) </t>
  </si>
  <si>
    <t>B3.1 Envío internacional (en base a estimaciones de la demanda)</t>
  </si>
  <si>
    <t>B3.1 Transporte Internacional (com base em estimativas da procura)</t>
  </si>
  <si>
    <t>B3.1 الشحن الدولي (استنادا إلى تقديرات الطلب)</t>
  </si>
  <si>
    <t>B3.1国际运输（根据需求估算）</t>
  </si>
  <si>
    <t>Combiner les envois?</t>
  </si>
  <si>
    <t>Combiner en un seul envoi différents types de vaccins avec des exigences de chaîne du froid semblables?</t>
  </si>
  <si>
    <t>Объединять поставки?</t>
  </si>
  <si>
    <t>Объединять в одну поставку различные типы вакцин, требующие аналогичных условий холодильного хранения?</t>
  </si>
  <si>
    <t>¿Combinar envíos?</t>
  </si>
  <si>
    <t>¿Combinar en un envío distintos tipos de vacuna con requisitos de cadena de frío similares?</t>
  </si>
  <si>
    <t>Combinar expedições?</t>
  </si>
  <si>
    <t>Combinar diferentes tipos de vacinas com requisitos semelhantes de armazenamento frigorífico numa expedição?</t>
  </si>
  <si>
    <t xml:space="preserve"> دمج الشحنات؟</t>
  </si>
  <si>
    <t>دمج أنواع لقاحات مختلفة مع متطلبات تخزين باردة مماثلة في شحنة واحدة؟</t>
  </si>
  <si>
    <t>合并装运？</t>
  </si>
  <si>
    <t>将冷库设备要求相近的不同类别疫苗组合在一起吗？</t>
  </si>
  <si>
    <t>Cargaisons internationales par période</t>
  </si>
  <si>
    <t>Suppose que les envois sont répartis également sur une période donnée (taille et timing)</t>
  </si>
  <si>
    <t xml:space="preserve">Количество международных поставок за конкретный период </t>
  </si>
  <si>
    <t>Предполагается, что поставки будут распределяться равномерно на протяжении конкретного периода (по размеру поставки и по времени доставки)</t>
  </si>
  <si>
    <t>Presupone que los envíos se distribuyen de manera uniforme en el periodo (tamaño y calendario)</t>
  </si>
  <si>
    <t>Pressupõe que as expedições são divididas igualmente ao longo de um período (tamanho e momento)</t>
  </si>
  <si>
    <t>بافتراض تقسيم الشحنات بالتساوي على مدار الفترة الزمنية (الحجم والتوقيت)</t>
  </si>
  <si>
    <t>每个时间段的国际运输</t>
  </si>
  <si>
    <t>假设在一个时间段内平均分配货运（规模和时间）</t>
  </si>
  <si>
    <t>Suppose que les envois vont d'un pays de fabrication (par vaccin) à un entrepôt central dans le pays d'arrivée</t>
  </si>
  <si>
    <t>Пункт назначения</t>
  </si>
  <si>
    <t>Предполагается, что поставки осуществляются из одной страны производства (для одной вакцины) на один центральный склад /хранилище в стране назначения</t>
  </si>
  <si>
    <t>Destino</t>
  </si>
  <si>
    <t xml:space="preserve">Presupone que los envíos son entre un país fabricante (por vacuna) y un almacén central en el país de destino </t>
  </si>
  <si>
    <t>Pressupõe que as expedições são entre um país fabricante (por vacina) e um depósito/armazém central no país de destino</t>
  </si>
  <si>
    <t>الوجهة</t>
  </si>
  <si>
    <t>بافتراض أن الشحنات بين بلد تصنيع واحد (لكل لقاح) ومستودع/مخزن مركزي واحد في بلد الوجهة</t>
  </si>
  <si>
    <t>目的地</t>
  </si>
  <si>
    <t>假设将货物从一个制造国（每种疫苗）运输到目的国的一个中央储存点/仓库</t>
  </si>
  <si>
    <t xml:space="preserve"> النصف الثاني 2023</t>
  </si>
  <si>
    <t>Pays d'origine de fabrication</t>
  </si>
  <si>
    <t>Doses requises (sur la base d'estimations de la demande)</t>
  </si>
  <si>
    <t xml:space="preserve">Страна производства </t>
  </si>
  <si>
    <t>Количество требуемых доз вакцины (на основании расчета потребности)</t>
  </si>
  <si>
    <t xml:space="preserve">Dosis necesarias (en base a estimaciones de la demanda) </t>
  </si>
  <si>
    <t>País de origem da fabricação</t>
  </si>
  <si>
    <t>Doses necessárias (com base em estimativas da procura)</t>
  </si>
  <si>
    <t>بلد مصدر التصنيع</t>
  </si>
  <si>
    <t>制造来源国</t>
  </si>
  <si>
    <t>所需剂数（根据需求估算）</t>
  </si>
  <si>
    <t>الجرعات المطلوبة (بناءً على تقديرات الطلب)</t>
  </si>
  <si>
    <t>Poids par dose (en g) de l'emballage secondaire</t>
  </si>
  <si>
    <t>Poids des vaccins dans leur emballage secondaire (en kg) par cargaison</t>
  </si>
  <si>
    <t xml:space="preserve">Вес на одну дозу (в граммах) во вторичной упаковке </t>
  </si>
  <si>
    <t>Вес вакцин (в кг) во вторичной упаковке на одну поставку</t>
  </si>
  <si>
    <t>Peso por dosis (g) en envasado secundario</t>
  </si>
  <si>
    <t>Peso de las vacunas en envasado secundario (kg) por envío</t>
  </si>
  <si>
    <t>Peso por dose (g) em embalagem secundária</t>
  </si>
  <si>
    <t>Peso das vacinas em embalagem secundária (kg) por expedição</t>
  </si>
  <si>
    <t>الوزن لكل جرعة (بالغرام) في التغليف الثانوي</t>
  </si>
  <si>
    <t>وزن اللقاحات في التغليف الثانوي (كجم) لكل شحنة</t>
  </si>
  <si>
    <t>二级包装中的每剂重量（g）</t>
  </si>
  <si>
    <t>每批货物二级包装中疫苗的重量（kg）</t>
  </si>
  <si>
    <t>Volume par dose (en cm3) de l'emballage secondaire</t>
  </si>
  <si>
    <t>Volume des vaccins dans leur emballage secondaire (en litres) par cargaison, y compris marge</t>
  </si>
  <si>
    <t>Объем на одну дозу (в см3) во вторичной упаковке</t>
  </si>
  <si>
    <t xml:space="preserve">Объем вакцин во вторичной упаковке (в литрах) на одну поставку, включая резервный запас </t>
  </si>
  <si>
    <t>Volumen por dosis (cm3) en envasado secundario</t>
  </si>
  <si>
    <t>Volumen de vacunas en envasado secundario (litros) por envío, incl. reserva</t>
  </si>
  <si>
    <t>Volume por dose (cm3) em embalagem secundária</t>
  </si>
  <si>
    <t>Volume de vacinas em embalagem secundária (litros) por expedição, incl. reserva</t>
  </si>
  <si>
    <t>二级包装中的每剂体积（cm3）</t>
  </si>
  <si>
    <t>每批货物二级包装中疫苗的体积（升），包括缓冲物</t>
  </si>
  <si>
    <t>Envois groupés</t>
  </si>
  <si>
    <t>Объединенные поставки</t>
  </si>
  <si>
    <t>Envíos combinados</t>
  </si>
  <si>
    <t>Expedições combinadas</t>
  </si>
  <si>
    <t xml:space="preserve">الشحنات مجمعة </t>
  </si>
  <si>
    <t>合并装运</t>
  </si>
  <si>
    <t>Vaccin</t>
  </si>
  <si>
    <t>Exigences du stockage au froid</t>
  </si>
  <si>
    <t>Compensation</t>
  </si>
  <si>
    <t>Réfrigérés (2 à 8 °C)</t>
  </si>
  <si>
    <t>Congelés (-20 °C)</t>
  </si>
  <si>
    <t>Nombre de conteneurs de taille adaptée aux palettes</t>
  </si>
  <si>
    <t>Charge utile maximum</t>
  </si>
  <si>
    <t>Limite de volume en deçà duquel il est moins cher d'utiliser des palettes</t>
  </si>
  <si>
    <t>Вакцина</t>
  </si>
  <si>
    <t>Отклонение</t>
  </si>
  <si>
    <t>Комнатная температура</t>
  </si>
  <si>
    <t>Охлаждение (от +2°Сдо + 8°C)</t>
  </si>
  <si>
    <t>Заморозка  (-20°C)</t>
  </si>
  <si>
    <t>Ультра-заморозка (от -60°С до -80°C)</t>
  </si>
  <si>
    <t>Количество контейнеров, соответствующих размерам паллеты</t>
  </si>
  <si>
    <t xml:space="preserve">Максимальный вес груза </t>
  </si>
  <si>
    <t xml:space="preserve">Предельный объем, при превышении которого дешевле использовать пеллеты </t>
  </si>
  <si>
    <t>Vacuna</t>
  </si>
  <si>
    <t>Contraprestación</t>
  </si>
  <si>
    <t>Refrigerada (2 a 8C)</t>
  </si>
  <si>
    <t>Congelada (-20C)</t>
  </si>
  <si>
    <t>Frío extremo (-60 to -80C)</t>
  </si>
  <si>
    <t>Número de contenedores tamaño pallet</t>
  </si>
  <si>
    <t>Carga útil máxima</t>
  </si>
  <si>
    <t>Umbral de volumen por encima del cual es más barato utilizar un pallet</t>
  </si>
  <si>
    <t>Vacina</t>
  </si>
  <si>
    <t>Requisitos de armazenamento frigorífico</t>
  </si>
  <si>
    <t>Número de recipientes dimensionados para paletes</t>
  </si>
  <si>
    <t>Limiar de volume acima do qual é mais barato usar palete</t>
  </si>
  <si>
    <t>اللقاح</t>
  </si>
  <si>
    <t>متطلبات التخزين البارد</t>
  </si>
  <si>
    <t>الموازنة</t>
  </si>
  <si>
    <t>مبردة (من 2 إلى 8 مئوية)</t>
  </si>
  <si>
    <t>مجمدة (-20 مئوية)</t>
  </si>
  <si>
    <t>فائقة التبريد (من -60 إلى -80 مئوية)</t>
  </si>
  <si>
    <t>عدد الحاويات بحجم البليت</t>
  </si>
  <si>
    <t>الحد الأقصى للحمولة الصافية</t>
  </si>
  <si>
    <t xml:space="preserve">حد الوزن الذي بعده يكون من الأرخص استخدام الحاويات </t>
  </si>
  <si>
    <t>冷库设备要求</t>
  </si>
  <si>
    <t>偏移</t>
  </si>
  <si>
    <t>室温</t>
  </si>
  <si>
    <t>托盘大小的容器数目</t>
  </si>
  <si>
    <t>最大运载量</t>
  </si>
  <si>
    <t>体积阈值，高于此阈值则使用托盘更便宜</t>
  </si>
  <si>
    <t>Nombre de conteneurs de taille adaptée aux colis</t>
  </si>
  <si>
    <t>Une fois que plus de n colis sont requis: moins cher d'opter pour la palette (selon simulation sur la feuille T9: Expédition; les hypothèses variables sont la densité des vaccins et les frais d'expédition)</t>
  </si>
  <si>
    <t xml:space="preserve">Количество контейнеров, объем которых соответствует объему посылки </t>
  </si>
  <si>
    <t>Если количество требуемых посылок превышает "n" ̶  дешевле использовать паллеты (см. имитационные расчеты в разделе "T Shipping" [Доставка] ~ переменные величины, используемые для допущений  ̶  это объемный вес вакцин и стоимость доставки)</t>
  </si>
  <si>
    <t>Número de contenedores tamaño paquete</t>
  </si>
  <si>
    <t>Una vez se pase de n paquetes - más barato utilizar un pallet (según simulación T Shipping ~ las presuposiciones sobre variables son densidad de vacuna y costes de envío )</t>
  </si>
  <si>
    <t>Número de recipientes dimensionados para pacotes</t>
  </si>
  <si>
    <t>Quando são necessários mais de n pacotes – é mais barato escolher palete (como na simulação na folha T9. Transporte ~ os pressupostos variáveis são a densidade das vacinas e taxas de transporte)</t>
  </si>
  <si>
    <t xml:space="preserve">عدد الحاويات بحجم الطرد </t>
  </si>
  <si>
    <t>بمجرد أن يكون المطلوب أكثر من عدد معين من الطرود - يكون من الأرخص  الشحن بحاويات البليت (وفقًا للمحاكاة على T Shipping ~ هناك افتراضات متغيرة هي كثافة اللقاح وأسعار الشحن)</t>
  </si>
  <si>
    <t>包裹大小的容器数目</t>
  </si>
  <si>
    <t>一旦需要运输的包裹数目超过n，则用托盘会更便宜（基于T运输模拟〜可变假设包括疫苗密度和运费）</t>
  </si>
  <si>
    <t>Pas d'informations concernant les coûts dans ce cas parce que la disponibilité des services de l'ultra-froid est limitée</t>
  </si>
  <si>
    <t xml:space="preserve">Нет расчета стоимости затрат, поскольку возможности обеспечения ультранизких температур ограничены </t>
  </si>
  <si>
    <t xml:space="preserve">No hay información de costes en este caso por la limitada disponibilidad de servicios de frío extremo </t>
  </si>
  <si>
    <t>Nenhuma informação de custos para esta já que serviços ultra-frios têm disponibilidade limitada</t>
  </si>
  <si>
    <t xml:space="preserve">لا توجد معلومات عن تكاليف هذا حيث أن الخدمات فائقة البرودة محدودة التوافر </t>
  </si>
  <si>
    <t>没有相关成本信息，因为超冷服务的可用性有限</t>
  </si>
  <si>
    <t>Количество контейнеров, объем которых соответствует объему паллеты</t>
  </si>
  <si>
    <t>Palette</t>
  </si>
  <si>
    <t>Colis</t>
  </si>
  <si>
    <t>Паллета</t>
  </si>
  <si>
    <t>Посылка</t>
  </si>
  <si>
    <t>Paquete</t>
  </si>
  <si>
    <t>Palete</t>
  </si>
  <si>
    <t>Pacote</t>
  </si>
  <si>
    <t>بليت</t>
  </si>
  <si>
    <t>طرد</t>
  </si>
  <si>
    <t>托盘</t>
  </si>
  <si>
    <t>包裹</t>
  </si>
  <si>
    <t>Poids de l'emballage de chaîne du froid (en kg) par cargaison</t>
  </si>
  <si>
    <t xml:space="preserve">Вес упаковки, обеспечивающей холодовую цепь (в кг) на одну поставку </t>
  </si>
  <si>
    <t>Peso del envasado de cadena de frío (kg) por envío</t>
  </si>
  <si>
    <t>Peso da embalagem da cadeia de frio (kg) por expedição</t>
  </si>
  <si>
    <t>وزن تغليف سلسلة التبريد (كجم) لكل شحنة</t>
  </si>
  <si>
    <t>每批货物冷链包装的重量（kg）</t>
  </si>
  <si>
    <t>Prix de l'emballage de chaîne du froid par cargaison</t>
  </si>
  <si>
    <t xml:space="preserve">Цена упаковки для обеспечения холодовой цепи на одну поставку </t>
  </si>
  <si>
    <t>Precio del envasado de cadena de frío por envío</t>
  </si>
  <si>
    <t>Peso da embalagem da cadeia de frio por expedição</t>
  </si>
  <si>
    <t xml:space="preserve">سعر تغليف سلسلة التبريد لكل شحنة </t>
  </si>
  <si>
    <t>每批货物冷链包装的价格</t>
  </si>
  <si>
    <t>Poids facturé et frais d'expédition</t>
  </si>
  <si>
    <t xml:space="preserve">Тарифицируемый вес и затраты на доставку </t>
  </si>
  <si>
    <t>Peso de facturación y costes de envío</t>
  </si>
  <si>
    <t>Peso de facturação e custos de expedição</t>
  </si>
  <si>
    <t>وزن حساب الفواتير وتكاليف الشحنة</t>
  </si>
  <si>
    <t>计费重量和运输成本</t>
  </si>
  <si>
    <t>Poids volumétrique des palettes</t>
  </si>
  <si>
    <t>Объемный вес паллеты</t>
  </si>
  <si>
    <t>Peso volumétrico del pallet</t>
  </si>
  <si>
    <t>Peso volumétrico da palete</t>
  </si>
  <si>
    <t>الوزن الحجمي للبليت</t>
  </si>
  <si>
    <t>托盘体积重量</t>
  </si>
  <si>
    <t>Poids volumétrique des colis</t>
  </si>
  <si>
    <t>Объемный вес посылки</t>
  </si>
  <si>
    <t>Peso volumétrico del paquete</t>
  </si>
  <si>
    <t>Peso volumétrico do pacote</t>
  </si>
  <si>
    <t>الوزن الحجمي للطرد</t>
  </si>
  <si>
    <t>包裹体积重量</t>
  </si>
  <si>
    <t>Poids volumétrique</t>
  </si>
  <si>
    <t>Объемный вес</t>
  </si>
  <si>
    <t>Peso volumétrico</t>
  </si>
  <si>
    <t xml:space="preserve">الوزن الحجمي </t>
  </si>
  <si>
    <t>体积重量</t>
  </si>
  <si>
    <t>Poids réel</t>
  </si>
  <si>
    <t>Фактический вес</t>
  </si>
  <si>
    <t>Peso real</t>
  </si>
  <si>
    <t>الوزن الفعلي</t>
  </si>
  <si>
    <t>实际重量</t>
  </si>
  <si>
    <t>Poids facturé</t>
  </si>
  <si>
    <t>Тарифицируемый вес</t>
  </si>
  <si>
    <t>Peso de facturación</t>
  </si>
  <si>
    <t>Peso de facturação</t>
  </si>
  <si>
    <t>وزن حساب الفواتير</t>
  </si>
  <si>
    <t>计费重量</t>
  </si>
  <si>
    <t>Coûts de transport par cargaison</t>
  </si>
  <si>
    <t xml:space="preserve">Расходы на пересылку из расчета на одну поставку </t>
  </si>
  <si>
    <t>Costes de envío por envío</t>
  </si>
  <si>
    <t>Custos de transporte por expedição</t>
  </si>
  <si>
    <t>تكاليف الشحن لكل شحنة</t>
  </si>
  <si>
    <t>每批货物的运输成本</t>
  </si>
  <si>
    <t>Coûts de transport par période</t>
  </si>
  <si>
    <t>Расходы на пересылку из расчета на один временной период</t>
  </si>
  <si>
    <t>Costes de envío por periodo</t>
  </si>
  <si>
    <t>Custos de transporte por período</t>
  </si>
  <si>
    <t>تكاليف الشحن لكل فترة</t>
  </si>
  <si>
    <t>每个时间段的运输成本</t>
  </si>
  <si>
    <t>Cargaisons</t>
  </si>
  <si>
    <t>Количество поставок</t>
  </si>
  <si>
    <t>Envíos</t>
  </si>
  <si>
    <t>Expedições</t>
  </si>
  <si>
    <t>الشحنات</t>
  </si>
  <si>
    <t>货物</t>
  </si>
  <si>
    <t>Envois séparés</t>
  </si>
  <si>
    <t>Отдельные поставки</t>
  </si>
  <si>
    <t>Envíos por separado</t>
  </si>
  <si>
    <t>Expedições separadas</t>
  </si>
  <si>
    <t>الشحنات منفصلة</t>
  </si>
  <si>
    <t>分别运输</t>
  </si>
  <si>
    <t>Требования к хранению с обеспечением холодовой цепи</t>
  </si>
  <si>
    <t>Refrigerada (2 to 8C)</t>
  </si>
  <si>
    <t>Poids de l'emballage de la chaîne du froid (en kg) par cargaison</t>
  </si>
  <si>
    <t>Preço da embalagem da cadeia de frio por expedição</t>
  </si>
  <si>
    <t>سعر تغليف سلسلة التبريد لكل شحنة</t>
  </si>
  <si>
    <t>Coûts de transport par cargaison (tous types de vaccins)</t>
  </si>
  <si>
    <t>Расходы на пересылку из расчета на одну поставку  (все типы вакцин)</t>
  </si>
  <si>
    <t>Costes de envío por envío (todos los tipos de vacuna)</t>
  </si>
  <si>
    <t>Custos de transporte por expedição (todos os tipos de vacina)</t>
  </si>
  <si>
    <t xml:space="preserve">تكاليف الشحن لكل شحنة (جميع أنواع اللقاحات) </t>
  </si>
  <si>
    <t>每批货物的运输成本（所有疫苗种类）</t>
  </si>
  <si>
    <t>Расходы на пересылку из расчета на один период</t>
  </si>
  <si>
    <t>B3.2 Enregistreur électronique de température</t>
  </si>
  <si>
    <t xml:space="preserve">B3.2 Электронный датчик мониторинга температуры </t>
  </si>
  <si>
    <t>B3.2 Dispositivo electrónico de vigilancia de la temperatura</t>
  </si>
  <si>
    <t>B3.2 Dispositivo Electrónico de Monitorização da Temperatura</t>
  </si>
  <si>
    <t>B3.2 جهاز رصد درجة الحرارة الإلكتروني</t>
  </si>
  <si>
    <t>B3.2 电子温度监控装置</t>
  </si>
  <si>
    <t>Enregistreur électronique de température</t>
  </si>
  <si>
    <t>Par conteneur par période</t>
  </si>
  <si>
    <t xml:space="preserve"> Электронный датчик мониторинга температуры</t>
  </si>
  <si>
    <t>Из расчета на один контейнер на один период</t>
  </si>
  <si>
    <t>Dispositivo electrónico de vigilancia de la temperatura</t>
  </si>
  <si>
    <t>por contenedor por periodo</t>
  </si>
  <si>
    <t>Dispositivo electrónico de monitorização da temperatura</t>
  </si>
  <si>
    <t>per recipiente por período</t>
  </si>
  <si>
    <t>جهاز رصد درجة الحرارة الإلكتروني</t>
  </si>
  <si>
    <t>لكل حاوية في كل فترة</t>
  </si>
  <si>
    <t>电子温度监控装置</t>
  </si>
  <si>
    <t>每个时间段每个容器</t>
  </si>
  <si>
    <t>B3.3 Dédouanement</t>
  </si>
  <si>
    <t>B3.3 Таможенное оформление</t>
  </si>
  <si>
    <t>B3.3 Despacho de aduanas</t>
  </si>
  <si>
    <t>B3.3 Desalfandegamento</t>
  </si>
  <si>
    <t>B3.3 التخليص الجمركي</t>
  </si>
  <si>
    <t>B3.3 报关</t>
  </si>
  <si>
    <t>Tarif spécial</t>
  </si>
  <si>
    <t>Специальный тариф</t>
  </si>
  <si>
    <t>На одну дозу</t>
  </si>
  <si>
    <t>Arancel especial</t>
  </si>
  <si>
    <t>por dosis</t>
  </si>
  <si>
    <t>Tarifa especial</t>
  </si>
  <si>
    <t>por dose</t>
  </si>
  <si>
    <t xml:space="preserve">التعريفة الخاصة </t>
  </si>
  <si>
    <t>لكل جرعة</t>
  </si>
  <si>
    <t>特殊税费</t>
  </si>
  <si>
    <t>Ad valorem</t>
  </si>
  <si>
    <t>По заявленной стоимости (Ad Valorem)</t>
  </si>
  <si>
    <t>На указанную стоимость</t>
  </si>
  <si>
    <t>por valor</t>
  </si>
  <si>
    <t xml:space="preserve"> التقدير حسب القيمة</t>
  </si>
  <si>
    <t>للقيمة</t>
  </si>
  <si>
    <t>从价关税</t>
  </si>
  <si>
    <t>Dédouanement des doses de vaccin par période</t>
  </si>
  <si>
    <t xml:space="preserve">Таможенное оформление доз вакцины в конкретный период </t>
  </si>
  <si>
    <t>Despachos de aduana para dosis de vacuna por periodo</t>
  </si>
  <si>
    <t>Desalfandegamento de doses de vacina por período</t>
  </si>
  <si>
    <t>التخليص الجمركي لجرعات اللقاح لكل فترة</t>
  </si>
  <si>
    <t>每个时间段的通关疫苗剂数</t>
  </si>
  <si>
    <t>B3.4 Service d'escale</t>
  </si>
  <si>
    <t>B3.4 Наземное обслуживание груза</t>
  </si>
  <si>
    <t>B3.4 Manipulación en tierra</t>
  </si>
  <si>
    <t>B3.4 Movimentação em Terra</t>
  </si>
  <si>
    <t>B3.4 المناولة الأرضية</t>
  </si>
  <si>
    <t>B3.4 地面管理</t>
  </si>
  <si>
    <t>Coût des services d'escale</t>
  </si>
  <si>
    <t xml:space="preserve">Стоимость наземного обслуживания груза </t>
  </si>
  <si>
    <t>Costes de manipulación en tierra</t>
  </si>
  <si>
    <t>Custos de movimentação em terra</t>
  </si>
  <si>
    <t>تكاليف المناولة الأرضية</t>
  </si>
  <si>
    <t>地面管理成本</t>
  </si>
  <si>
    <t>Total manutention et autres</t>
  </si>
  <si>
    <t xml:space="preserve">Всего за обслуживание и прочее </t>
  </si>
  <si>
    <t>Total manipulación y otros</t>
  </si>
  <si>
    <t>Total da movimentação e outros</t>
  </si>
  <si>
    <t>المناولة الإجمالية وغير ذلك</t>
  </si>
  <si>
    <t>管理总和及其他</t>
  </si>
  <si>
    <t>Fret par dose (pour estimer/dégrouper les doses de vaccin contre la COVID-19 en pleine charge)</t>
  </si>
  <si>
    <t>Доставка за одну дозу (рассчитать / отделить вакцинные дозы, полностью оплачиваемые COVAX)</t>
  </si>
  <si>
    <t>Envío por dosis (para estimar / desagregar dosis de vacuna + suministros auxiliares Covax)</t>
  </si>
  <si>
    <t>Transporte por dose (para calcular/separar as doses de vacina com tudo incluído da plataforma Covax)</t>
  </si>
  <si>
    <t>الشحن لكل جرعة (لتقدير / إلغاء حزم جرعات لقاحات كوفاكس المحملة بالكامل)</t>
  </si>
  <si>
    <t>每剂运费（以估算/分解Covax全额成本疫苗剂数）</t>
  </si>
  <si>
    <t>B4. Logistique intérieure: chaîne du froid et sécurité</t>
  </si>
  <si>
    <t xml:space="preserve"> B4. Внутренняя логистика - Холодовая цепь и безоопасность </t>
  </si>
  <si>
    <t>B4. Logística nacional - Cadena de frío y seguridad</t>
  </si>
  <si>
    <t>B4. Logística Nacional – Cadeia de Frio e Segurança Patrimonial</t>
  </si>
  <si>
    <t xml:space="preserve"> B4. اللوجستيات الداخلية - سلسلة التبريد والأمن</t>
  </si>
  <si>
    <t>B4. 国内物流——冷链与安全</t>
  </si>
  <si>
    <t>UTILISATEURS AVANCÉS: Les paramètres de la chaîne du froid peuvent être ajustés ici</t>
  </si>
  <si>
    <t>ДЛЯ ПРОДВИНУТЫХ ПОЛЬЗОВАТЕЛЕЙ: Возможна корректировка параметров холодовой цепи</t>
  </si>
  <si>
    <t>USUARIOS AVANZADOS: Se pueden ajustar aquí los parámetros de cadena de frío.</t>
  </si>
  <si>
    <t>UTILIZADORES AVANÇADOS: Os parâmetros da cadeia de frio podem ser ajustados aqui.</t>
  </si>
  <si>
    <t xml:space="preserve"> المستخدمون المتقدمون: يمكن ضبط نطاقات سلسلة التبريد هنا.</t>
  </si>
  <si>
    <t>高级用户：可以在此处调整冷链参数。</t>
  </si>
  <si>
    <t>B4.1 Chaîne du froid</t>
  </si>
  <si>
    <t>B4.1 Холодовая цепь</t>
  </si>
  <si>
    <t>B4.1 Cadena de frío</t>
  </si>
  <si>
    <t>B4.1 Cadeia de Frio</t>
  </si>
  <si>
    <t>سلسلة التبريد B4.1</t>
  </si>
  <si>
    <t>B4.1 冷链</t>
  </si>
  <si>
    <t>Hypothèses et calculs préliminaires concernant la logistique</t>
  </si>
  <si>
    <t xml:space="preserve">Допущения в отношении логистических процессов и предварительные расчеты </t>
  </si>
  <si>
    <t>Supuestos y cálculos previos de logística</t>
  </si>
  <si>
    <t>Pressupostos e Precálculos de Logística</t>
  </si>
  <si>
    <t>الافتراضات اللوجستية والعمليات الحسابية المسبقة</t>
  </si>
  <si>
    <t>物流假设和已设定的计算</t>
  </si>
  <si>
    <t>Nombre d'établissements de santé avec stockage au froid: sites fixes avec stockage au froid</t>
  </si>
  <si>
    <t xml:space="preserve">Количество ЛПУ с возможностью холодильного хранения - стационарные лечебные учреждения, в которых обеспечена возможность холодильного хранения </t>
  </si>
  <si>
    <t>Número de establecimientos de salud con almacenamiento en frío - Ubicaciones fijas con almacenamiento en frío</t>
  </si>
  <si>
    <t>Número de unidades de saúde com armazenamento frigorífico – Locais fixos com armazenamento frigorífico</t>
  </si>
  <si>
    <t xml:space="preserve">عدد المنشآت الصحية ذات مرافق التخزين البارد - مواقع ثابتة مع مرافق للتخزين </t>
  </si>
  <si>
    <t>拥有冷库的医疗机构数目——拥有冷库的固定站点</t>
  </si>
  <si>
    <t>Livraison des vaccins du centre aux sites fixes, par période</t>
  </si>
  <si>
    <t xml:space="preserve">Количество доставок вакцин с центрального склада в стационарные лекарственные учреждения за один временной период </t>
  </si>
  <si>
    <t>Envíos de vacunación de ubicación central a ubicaciones fijas, por periodo</t>
  </si>
  <si>
    <t>Entregas de vacinas de locais centrais para locais fixos, por período de tempo</t>
  </si>
  <si>
    <t>عمليات تسليم اللقاحات من المواقع المركزية إلى المواقع الثابتة، لكل فترة زمنية</t>
  </si>
  <si>
    <t>每个时间段内从中央交付到固定站点的疫苗</t>
  </si>
  <si>
    <t>% de population rurale</t>
  </si>
  <si>
    <t>Сельское население %</t>
  </si>
  <si>
    <t>% de población rural</t>
  </si>
  <si>
    <t>População rural %</t>
  </si>
  <si>
    <t xml:space="preserve"> سكان الريف %</t>
  </si>
  <si>
    <t>农村人口百分比</t>
  </si>
  <si>
    <t>% de population dans la plus grande ville</t>
  </si>
  <si>
    <t>Население в крупнейшем городе %</t>
  </si>
  <si>
    <t>% población en la ciudad de mayor tamaño</t>
  </si>
  <si>
    <t>População na maior cidade %</t>
  </si>
  <si>
    <t>السكان في أكبر مدينة %</t>
  </si>
  <si>
    <t xml:space="preserve"> 最大的城市人口百分比</t>
  </si>
  <si>
    <t>Surface (km2)</t>
  </si>
  <si>
    <t>Прощадь территории страны (км2)</t>
  </si>
  <si>
    <t>Superficie (km2)</t>
  </si>
  <si>
    <t>Área de Superfície (km2)</t>
  </si>
  <si>
    <t>مساحة السطح (كم مربع)</t>
  </si>
  <si>
    <t>表面积（sqkm）</t>
  </si>
  <si>
    <t>Pour la population en dehors de la plus grande ville</t>
  </si>
  <si>
    <t xml:space="preserve">Для населения, проживающего за пределами крупнейшего города </t>
  </si>
  <si>
    <t>Para población fuera de la ciudad de mayor tamaño</t>
  </si>
  <si>
    <t>Para a população fora da maior cidade</t>
  </si>
  <si>
    <t>للسكان خارج أكبر مدينة</t>
  </si>
  <si>
    <t>适用于最大城市以外的人口</t>
  </si>
  <si>
    <t>La moitié du rayon, en supposant que le pays est un cercle</t>
  </si>
  <si>
    <t>Если предположить, что страна имеет форму круга, сколько составляет половина длины радиуса?</t>
  </si>
  <si>
    <t>La mitad del radio, tomar el país como un círculo</t>
  </si>
  <si>
    <t>Metade do raio, pressupõe que o país é um círculo</t>
  </si>
  <si>
    <t>نصف نصف القطر، افترض أن البلد دائرة</t>
  </si>
  <si>
    <t>半径的一半，假设国家为圆形</t>
  </si>
  <si>
    <t>Pour la population à l'intérieur de la plus grande ville</t>
  </si>
  <si>
    <t>Для населения, проживающего внутри крупнейшего города</t>
  </si>
  <si>
    <t>Para población de la ciudad de mayor tamaño</t>
  </si>
  <si>
    <t>Para a população dentro da maior cidade</t>
  </si>
  <si>
    <t>للسكان داخل أكبر مدينة</t>
  </si>
  <si>
    <t>适用于最大城市以内的人口</t>
  </si>
  <si>
    <t>En supposant une distance de 10 km</t>
  </si>
  <si>
    <t>Utilisateurs avancés: Cette hypothèse concernant la distance de la plus grande ville peut être modifiée</t>
  </si>
  <si>
    <t>Distance-type entre le centre logistique principal et les sites à modalité d'administration 1 de la plus grande ville</t>
  </si>
  <si>
    <t xml:space="preserve">На основании допущения, что расстояние составляет 10 км </t>
  </si>
  <si>
    <t xml:space="preserve">Для продвинутых пользователей: данное допущение относительно расстояния для крупнейшего города может быть скорректировано </t>
  </si>
  <si>
    <t xml:space="preserve">Стандартное расстояние между центральным логистическим комплексом и пунктами на территории крупнейшего города, на базе которых проводится вакцинация согласно стратегии организации прививок -1 (СП1) </t>
  </si>
  <si>
    <t>Suponer una distancia de 10 km</t>
  </si>
  <si>
    <t>Usuarios avanzados: Este supuesto de distancia de la ciudad de mayor tamaño se puede modificar</t>
  </si>
  <si>
    <t xml:space="preserve">Distancia típica entre la base central de logística y las ubicaciones de MA1 en la ciudad de mayor tamaño </t>
  </si>
  <si>
    <t>Pressupõe que a distância são 10 km</t>
  </si>
  <si>
    <t>Utilizadores Avançados: Este pressuposto de maior distância da cidade pode ser modificado</t>
  </si>
  <si>
    <t>Distância típica entre o centro logístico central e os locais de MA1 dentro da maior cidade</t>
  </si>
  <si>
    <t>افترض أن المسافة هي 10 كم</t>
  </si>
  <si>
    <t>المستخدمون المتقدمون: يمكن تعديل افتراض مسافة أكبر مدينة هذا</t>
  </si>
  <si>
    <t>المسافة النموذجية بين مركز اللوجستيات المركزي ومواقع DM1 داخل أكبر مدينة</t>
  </si>
  <si>
    <t>假设距离为10km</t>
  </si>
  <si>
    <t>高级用户：可修改最大城市的距离假设</t>
  </si>
  <si>
    <t>中央物流枢纽与最大城市内DM1站点之间的有代表性的距离</t>
  </si>
  <si>
    <t>Distance moyenne pondérée (dans la plus grande ville et en dehors, en km)</t>
  </si>
  <si>
    <t>NB: Il s'agit d'un modèle très simple pour estimer la distance moyenne de l'entrepôt central aux sites fixes à stockage au froid</t>
  </si>
  <si>
    <t>Средневзвешенное расстояние (внутри и за пределами крупнейшего города) (км)</t>
  </si>
  <si>
    <t xml:space="preserve">Примечание: Это очень простая модель для расчета среднего расстояния от центрального склада до стационарных лечебных учреждений, в которых обеспечена возможность холодильного хранения </t>
  </si>
  <si>
    <t>Distancia media (km) ponderada (dentro y fuera de la ciudad de mayor tamaño)</t>
  </si>
  <si>
    <t xml:space="preserve">Nota: Este es un modelo muy sencillo para estimar la distancia media desde el almacén central a ubicaciones fijas con almacenamiento en frío </t>
  </si>
  <si>
    <t>Distância média ponderada (dentro e fora da maior cidade) (km)</t>
  </si>
  <si>
    <t>Nota: Este é um modelo muito simples para calcular a distância média entre o depósito central e os locais fixos com armazenamento frigorífico</t>
  </si>
  <si>
    <t xml:space="preserve">متوسط المسافة المرجحة (كم) (داخل وخارج أكبر مدينة) </t>
  </si>
  <si>
    <t>ملاحظة: هذا نموذج بسيط جدًا لتقدير متوسط المسافة من المخزن المركزي إلى المواقع الثابتة التي تحتوي على مرافق تخزين بارد</t>
  </si>
  <si>
    <t>（最大城市内外）的加权平均距离（km）</t>
  </si>
  <si>
    <t>注意：这是一个非常简单易用的模型，用于估算从中央储存点到拥有冷库的固定站点之间的平均距离</t>
  </si>
  <si>
    <t>Surface (km2) couverte par chaque région, en moyenne</t>
  </si>
  <si>
    <t xml:space="preserve">Площадь территории страны (км2), занимаемая в среднем каждым регионом </t>
  </si>
  <si>
    <t>Superficie (km2) que abarca cada región de media</t>
  </si>
  <si>
    <t>Área de superfície (km2) média coberta por cada região</t>
  </si>
  <si>
    <t>مساحة السطح (كم مربع) المغطاة بكل منطقة في المتوسط</t>
  </si>
  <si>
    <t>每个区域平均覆盖的表面积（sqkm）</t>
  </si>
  <si>
    <t>La moitié du rayon, hypothèse pour les déplacements du niveau régional au district (en km)</t>
  </si>
  <si>
    <t>Половина радиуса, допущение для регионального и районного уровня (в км)</t>
  </si>
  <si>
    <t>La mitad del radio, supuesto para el desplazamiento de la región al distrito (km)</t>
  </si>
  <si>
    <t>Metade do raio, pressuposto para viagens de regionais a distritais (km)</t>
  </si>
  <si>
    <t>نصف نصف القطر، افتراض السفر من منطقة إلى أخرى (كم ))</t>
  </si>
  <si>
    <t>半径的一半，假定为区域到地区的行程（km）</t>
  </si>
  <si>
    <t>Surface (km2) couverte par chaque site fixe</t>
  </si>
  <si>
    <t xml:space="preserve">Площадь территории страны (км2), занимаемая каждым стационарным лечебным учреждением </t>
  </si>
  <si>
    <t>Superficie (km2) que abarca cada ubicación fija</t>
  </si>
  <si>
    <t>Área de superfície (km2) coberta por cada local fixo</t>
  </si>
  <si>
    <t>مساحة السطح (كم مربع) المغطاة بكل موقع ثابت</t>
  </si>
  <si>
    <t>每个固定站点覆盖的表面积（sqkm）</t>
  </si>
  <si>
    <t>La moitié du rayon, en supposant que la zone desservie par le site fixe est ronde (en km)</t>
  </si>
  <si>
    <t>Если предположить, что зона обслуживания стационарного лечебного учреждения имеет форму круга, сколько составляет половина длины радиуса? (км)</t>
  </si>
  <si>
    <t>La mitad del radio, suponiendo que la zona de influencia de la ubicación fija es redonda (km)</t>
  </si>
  <si>
    <t>Metade do raio, pressupõe que a área de captação do local fixo seja redonda (km)</t>
  </si>
  <si>
    <t>نصف نصف القطر، افترض أن منطقة خدمة المواقع الثابتة دائرية(كم)</t>
  </si>
  <si>
    <t>半径的一半，假设固定站点服务区为圆形（km）</t>
  </si>
  <si>
    <t>Modalité d'administration 2: distances entre sites</t>
  </si>
  <si>
    <t>Расстояние по пункта вакцинации, используемого в рамках СП2</t>
  </si>
  <si>
    <t>Distancias de ubicaciones de MA2</t>
  </si>
  <si>
    <t>Distâncias dos locais de MA2</t>
  </si>
  <si>
    <t>مسافات المواقع طريقة التسليم 2</t>
  </si>
  <si>
    <t>DM2 站点距离</t>
  </si>
  <si>
    <t>Расстояние по пункта вакцинации, используемого в рамках СП4</t>
  </si>
  <si>
    <t>Distancias de ubicaciones de MA4</t>
  </si>
  <si>
    <t>Distâncias dos locais de MA4</t>
  </si>
  <si>
    <t>مسافات المواقع طريقة التسليم 4</t>
  </si>
  <si>
    <t>DM4 站点距离</t>
  </si>
  <si>
    <t>Distance des sites fixes aux institutions à modalité d'administration 3 (en km)</t>
  </si>
  <si>
    <t>Utilisateurs avancés: Cette hypothèse concernant la distance peut être modifiée</t>
  </si>
  <si>
    <t>Suppose que les institutions (centres de détention, établissements pour personnes âgées) ne sont pas loin des sites fixes</t>
  </si>
  <si>
    <t>Расстояние от стационарных лечебных учреждений до учреждений, где проводится вакцинация по СП 3 (км)</t>
  </si>
  <si>
    <t>Для продвинутых пользователей: данное допущение относительно расстояния может быть скорректировано</t>
  </si>
  <si>
    <t xml:space="preserve">На основании допущения, что учреждения (центры временного проживания, дома престарелых), в которых будет проводиться вакцинация, расположены недалеко от стационарных лечебных учреждений </t>
  </si>
  <si>
    <t>Distancia de ubicaciones fijas a Istituciones de MA3 (km)</t>
  </si>
  <si>
    <t xml:space="preserve">Usuarios avanzados: Este supuesto de distancia se puede modificar </t>
  </si>
  <si>
    <t>Supone que las instituciones (prisiones, residencias de personas mayores), por diseño, no estarán lejos de las ubicaciones fijas</t>
  </si>
  <si>
    <t>Distância de locais fixos a instituições de MA3 (km)</t>
  </si>
  <si>
    <t>Utilizadores Avançados: Este pressuposto de distância pode ser modificado</t>
  </si>
  <si>
    <t>Pressupõe que as instituições (centros de detenção, lares de idosos) não estarão longe de locais fixos intencionalmente</t>
  </si>
  <si>
    <t>المسافة من المواقع الثابتة إلى المؤسسات طريقة التسليم 3 (كم)</t>
  </si>
  <si>
    <t xml:space="preserve">المستخدمون المتقدمون: يمكن تعديل المسافة المفترضة هذه </t>
  </si>
  <si>
    <t>يفترض أن المؤسسات (مراكز الاحتجاز ودور المسنين) لن تكون بعيدة عن المواقع الثابتة بالتصميم</t>
  </si>
  <si>
    <t>固定站点与DM3机构之间的距离（km）</t>
  </si>
  <si>
    <t>高级用户：可调整这一距离假设</t>
  </si>
  <si>
    <t>在设计上假设机构（拘留所、疗养院）距离固定站点不远</t>
  </si>
  <si>
    <t>Hypothèses et calculs préliminaires concernant la chaîne du froid</t>
  </si>
  <si>
    <t>Холодовая цепь: Допущения и предварительные расчеты</t>
  </si>
  <si>
    <t>Supuestos y cálculos previos de la cadena de frío</t>
  </si>
  <si>
    <t>Pressupostos e precálculos sobre a cadeia de frio</t>
  </si>
  <si>
    <t>冷链假设和已设定的计算</t>
  </si>
  <si>
    <t>Volume des vaccins contre la COVID-19 dans des emballages secondaires (en litres) par période, avec une marge</t>
  </si>
  <si>
    <t xml:space="preserve">Объем вакцин против COVID-19 во вторичной упаковке (в литрах) на период, включая резервный запас </t>
  </si>
  <si>
    <t xml:space="preserve">Volumen de vacunas de la COVID-19 en envasado secundario (litros) por periodo, incluyendo reservas </t>
  </si>
  <si>
    <t>Volume de vacinas contra a COVID-19 em embalagem secundária (litros) por período, incluindo reserva</t>
  </si>
  <si>
    <t>حجم لقاحات كوفيد-19 في التغليف الثانوي (باللتر) لكل فترة، بما في ذلك الفواصل بين العبوات</t>
  </si>
  <si>
    <t>每个时间段二级包装中疫苗的体积（升），包括缓冲物</t>
  </si>
  <si>
    <t>Il s'agit d'hypothèses de besoins en volume maximaux, supposant que toutes les cargaisons arrivent et doivent être entreposées et que les vaccins n'ont pas encore été distribués sur place</t>
  </si>
  <si>
    <t xml:space="preserve">Это допущения относительно максимального требуемого объема  ̶  например, когда все поставки прибыли и должны быть размещены на хранение, но вакцины еще не распределены по стране </t>
  </si>
  <si>
    <t>Estos son supuestos de necesidades máximas en volumen, es decir, que todos los envíos llegan y necesitan almacenamiento, pero que las vacunas aún o se han distribuido a nivel nacional</t>
  </si>
  <si>
    <t>Estes são pressupostos de volume máximo necessário – ou seja, que todas as expedições chegam e precisam de ser armazenadas, mas as vacinas ainda não são distribuídas internamente</t>
  </si>
  <si>
    <t>هذه افتراضات بشأن الحد الأقصى من الاحتياجات الكمية - أي أن جميع الشحنات تصل وتحتاج إلى تخزين ولكن اللقاحات لم توزع محليًا بعد</t>
  </si>
  <si>
    <t>这些是所需的最大体积假设，即所有货运都到货并需要存储，但尚未在国内配送疫苗</t>
  </si>
  <si>
    <t>Pour chaque modalité d'administration, juste avant l'utilisation des vaccins dans un site fixe ou sur le terrain, où sont-ils stockés?</t>
  </si>
  <si>
    <t>Régions</t>
  </si>
  <si>
    <t>Sites fixes</t>
  </si>
  <si>
    <t xml:space="preserve">Применительно к каждой стратегии организации прививок, где хранятся вакцины перед тем, как они будут использованием в пункте вакцинации или для выездных прививочных сессий? </t>
  </si>
  <si>
    <t>Регионы</t>
  </si>
  <si>
    <t>Районы</t>
  </si>
  <si>
    <t xml:space="preserve">Стационарные лечебные учреждения </t>
  </si>
  <si>
    <t>Para cada modalidad de administración, justo antes de su uso en una ubicación o en extensión, ¿dónde se almacenan las vacunas?</t>
  </si>
  <si>
    <t>Regiones</t>
  </si>
  <si>
    <t>Distrits</t>
  </si>
  <si>
    <t>Ubicaciones fijas</t>
  </si>
  <si>
    <t>Para cada modalidade de administração, pouco antes de ser usada no local ou por actividade de alcance, onde as vacinas são armazenadas?</t>
  </si>
  <si>
    <t>Regiões</t>
  </si>
  <si>
    <t>Distritos</t>
  </si>
  <si>
    <t>Locais Fixos</t>
  </si>
  <si>
    <t>بالنسبة لكل طريقة تسليم، أين يتم تخزين اللقاحات قبل استخدامها مباشرة في الموقع أو في الحملات الخارجية؟</t>
  </si>
  <si>
    <t>الأقاليم</t>
  </si>
  <si>
    <t>المناطق</t>
  </si>
  <si>
    <t>المواقع الثابتة</t>
  </si>
  <si>
    <t>针对每种交付模式，在现场或外展活动中使用之前，疫苗存放在哪里？</t>
  </si>
  <si>
    <t>区域</t>
  </si>
  <si>
    <t>地区</t>
  </si>
  <si>
    <t>固定站点</t>
  </si>
  <si>
    <t>Par définition</t>
  </si>
  <si>
    <t>Стационарные лечебные учреждения</t>
  </si>
  <si>
    <t>По определению</t>
  </si>
  <si>
    <t>Por definición</t>
  </si>
  <si>
    <t>Por definição</t>
  </si>
  <si>
    <t xml:space="preserve"> بحكم التعريف</t>
  </si>
  <si>
    <t>根据定义</t>
  </si>
  <si>
    <t>Campagnes</t>
  </si>
  <si>
    <t>Прививочные кампании</t>
  </si>
  <si>
    <t>Campañas</t>
  </si>
  <si>
    <t>Campanhas</t>
  </si>
  <si>
    <t>الحملات</t>
  </si>
  <si>
    <t>计划接种活动</t>
  </si>
  <si>
    <t>Établissements d'hébergement</t>
  </si>
  <si>
    <t>Учреждения интернатного типа</t>
  </si>
  <si>
    <t>Instituciones residenciales</t>
  </si>
  <si>
    <t>Instituições Residenciais</t>
  </si>
  <si>
    <t>المؤسسات السكنية</t>
  </si>
  <si>
    <t>居住式机构</t>
  </si>
  <si>
    <t>Donc d'où part l'équipe de terrain?</t>
  </si>
  <si>
    <t>Например, пункт отправления мобильных бригад</t>
  </si>
  <si>
    <t>Es decir, ¿de dónde sale el equipo de extensión?</t>
  </si>
  <si>
    <t>ou seja, de onde parte a equipa de alcance?</t>
  </si>
  <si>
    <t>الحملات الخارجية</t>
  </si>
  <si>
    <t>أي، من أين يغادر فريق الحملات الخارجية؟</t>
  </si>
  <si>
    <t>外展活动</t>
  </si>
  <si>
    <t>即，外展团队从哪里出发？</t>
  </si>
  <si>
    <t>Note méthodologique: Tous les vaccins passent à travers les régions. Tous les vaccins à destination des sites fixes passent par des districts</t>
  </si>
  <si>
    <t>Примечание по методологии: Все вакцины проходят через регионы. Все вакцины попадают в стационарные лечебные учреждения через районы.</t>
  </si>
  <si>
    <t>Nota metodológica: Todas las vacunas pasan por las regiones. Todas las vacunas con destino en ubicaciones fijas pasan por los distritos.</t>
  </si>
  <si>
    <t>Nota metodológica: Todas as vacinas passam pelas regiões. Todas as vacinas que vão para locais fixos passam pelos distritos.</t>
  </si>
  <si>
    <t>ملاحظة منهجية: تتدفق جميع اللقاحات عبر الأقاليم. وتتدفق جميع اللقاحات التي تذهب إلى المواقع الثابتة عبر المناطق.</t>
  </si>
  <si>
    <t>方法论说明：所有疫苗流通均经过区域。所有运往固定站点的疫苗均流经各个地区。</t>
  </si>
  <si>
    <t>Volume des vaccins contre la COVID-19 dans des emballages secondaires (en litres) par période, avec une marge, dans TOUS LES DISTRICTS, par modalité d'administration</t>
  </si>
  <si>
    <t>Объем вакцин против COVID-19 во вторичной упаковке (в литрах) на период, включая резервный запас ВО ВСЕХ РАЙОНАХ, согласно стратегии организации прививок</t>
  </si>
  <si>
    <t>Volumen de vacunas de la COVID-19 en envasado secundario (litros) por periodo, incl. reservas, en TODOS LOS DISTRITOS, por modalidad de administración</t>
  </si>
  <si>
    <t>Volume de vacinas contra a COVID-19 em embalagem secundária (litros) por período, incluindo reserva, em TODOS OS DISTRITOS, por modalidade de administração</t>
  </si>
  <si>
    <t>حجم لقاحات كوفيد-19 في التغليف الثانوي (باللتر) لكل فترة، بما في ذلك الفواصل بين العبوات، في جميع المناطق، بحسب طريقة التسليم</t>
  </si>
  <si>
    <t>按交付模式，所有地区每个时间段二级包装中疫苗的体积（升），包括缓冲物</t>
  </si>
  <si>
    <t>Volume des vaccins contre la COVID-19 dans des emballages secondaires (en litres) par période, avec une marge, dans TOUS LES SITES FIXES, par modalité d'administration</t>
  </si>
  <si>
    <t xml:space="preserve">Объем вакцин против COVID-19 во вторичной упаковке (в литрах) на конкретный временной период, включая резервный запас, ВО ВСЕХ СТАЦИОНАРНЫХ ЛЕЧЕБНЫХ УЧРЕЖДЕНИЯХ, согласно стратегии организации прививок </t>
  </si>
  <si>
    <t xml:space="preserve">Volumen de vacunas de la COVID-19 en envasado secundario (litros) por periodo, incl. reservas, en TODAS LAS UBICACIONES FIJAS, por modalidad de administración </t>
  </si>
  <si>
    <t>Volume de vacinas contra a COVID-19 em embalagem secundária (litros) por período, incluindo reserva, em TODOS OS LOCAIS FIXOS, por modalidade de administração</t>
  </si>
  <si>
    <t>حجم لقاحات كوفيد-19 في التغليف الثانوي (باللتر) لكل فترة، بما في ذلك الفواصل بين العبوات، في جميع المواقع الثابتة، بحسب طريقة التسليم</t>
  </si>
  <si>
    <t>按交付模式，所有固定站点每个时间段二级包装中疫苗的体积（升），包括缓冲物</t>
  </si>
  <si>
    <t>Population vaccinée directement par les régions, par modalité d'administration</t>
  </si>
  <si>
    <t>Население, вакцинируемое напрямую в регионах, согласно стратегии организации прививок</t>
  </si>
  <si>
    <t>Póblación vacunada directamente por las regiones, por modalidad de administración</t>
  </si>
  <si>
    <t>População vacinada directamente por regiões, por modalidade de administração</t>
  </si>
  <si>
    <t>السكان الذين يتم تطعيمهم في الأقاليم مباشرة، بحسب طريقة التسليم</t>
  </si>
  <si>
    <t>按交付模式，由区域直接接种疫苗的人口</t>
  </si>
  <si>
    <t>Population vaccinée directement par les districts, par modalité d'administration</t>
  </si>
  <si>
    <t>Население, вакцинируемое напрямую в районах, согласно стратегии организации прививок</t>
  </si>
  <si>
    <t xml:space="preserve">Póblación vacunada directamente por distrito, por modalidad de administración </t>
  </si>
  <si>
    <t>População vacinada directamente por distritos, por modalidade de administração</t>
  </si>
  <si>
    <t>السكان الذين يتم تطعيمهم في المناطق مباشرة، بحسب طريقة التسليم</t>
  </si>
  <si>
    <t>按交付模式，由地区直接接种疫苗的人口</t>
  </si>
  <si>
    <t>Population vaccinée par les sites fixes, par mode d'administration</t>
  </si>
  <si>
    <t>Население, вакцинируемое напрямую в стационарных лечебных учреждениях, согласно стратегии организации прививок</t>
  </si>
  <si>
    <t xml:space="preserve">Требования к хранению вакцин с соблюдением условий холодовой цепи </t>
  </si>
  <si>
    <t>Póblación vacunada por ubicaciones fijas, por modalidad de administración</t>
  </si>
  <si>
    <t>Requisitos de almacenamiento en frío</t>
  </si>
  <si>
    <t>População vacinada directamente por locais fixos, por modalidade de administração</t>
  </si>
  <si>
    <t>السكان الذين يتم تطعيمهم في مواقع ثابتة، بحسب طريقة التسليم</t>
  </si>
  <si>
    <t>按交付模式，由固定站点接种疫苗的人口</t>
  </si>
  <si>
    <t>Population vaccinée dans les sites fixes, avec quelles exigences de la chaîne du froid?</t>
  </si>
  <si>
    <t>Если вакцинация населения проводится в стационарных лечебных учреждениях - каковы требования холодовой цепи?</t>
  </si>
  <si>
    <t xml:space="preserve">Póblación vacunada en ubicaciones fijas, ¿con qué requisitos de cadena de frío para la vacuna? </t>
  </si>
  <si>
    <t>População vacinada em locais fixos, utilizando quais requisitos da cadeia de frio da vacina?</t>
  </si>
  <si>
    <t xml:space="preserve">السكان الذين يتم تطعيمهم في مواقع ثابتة، باستخدام أي متطلبات لسلسلة تبريد اللقاحات؟ </t>
  </si>
  <si>
    <t>针对在固定站点接种疫苗的人群，有哪些冷链要求？</t>
  </si>
  <si>
    <t>Pour les vaccins pouvant être entreposés au sec, on n'a pas supposé de coût d'entreposage</t>
  </si>
  <si>
    <t xml:space="preserve">Предполагается, что хранение вакцин на сухом складе не требует затрат </t>
  </si>
  <si>
    <t>Las vacunas que se pueden almacenar en seco se considera que no tienen coste de almacenamiento</t>
  </si>
  <si>
    <t>Vacinas que podem ser armazenadas a seco pressupõe sem custo de armazenagem</t>
  </si>
  <si>
    <t>假定可储存在干燥储存处的疫苗不存在存储成本</t>
  </si>
  <si>
    <t>Réfrigération (2 à 8 °C)</t>
  </si>
  <si>
    <t>Refrigeración (2 to 8C)</t>
  </si>
  <si>
    <t>اللقاحات التي يمكن تخزينها في مرافق التخزين الجاف يفترض أنها لا تنطوي على تكلفة للتخزين</t>
  </si>
  <si>
    <t>Congélation (-20 °C)</t>
  </si>
  <si>
    <t>Congelación (-20C)</t>
  </si>
  <si>
    <t>Frais d'entretien selon l'outil PATH TCO: http://www.coldchaintco.org/calculate?t=TCO_DETAILED</t>
  </si>
  <si>
    <t>Pièces détachées par 10 ans</t>
  </si>
  <si>
    <t>Maintenance et réparations par 10 ans</t>
  </si>
  <si>
    <t>Par période</t>
  </si>
  <si>
    <t>Затраты на техническое обслуживание из инструмента ПАОЗ ССВ (Совокупная стоимость владения для оборудования ХЦ) http://www.coldchaintco.org/calculate?t=TCO_DETAILED</t>
  </si>
  <si>
    <t>Запасные части на 10 лет Spare Parts Per 10-years</t>
  </si>
  <si>
    <t xml:space="preserve">Техобслуживание и ремонт на 10 лет </t>
  </si>
  <si>
    <t xml:space="preserve">Из расчета на конкретный временной период </t>
  </si>
  <si>
    <t>Costes de mantenimiento utilizando la herramienta PATH TCO http://www.coldchaintco.org/calculate?t=TCO_DETAILED</t>
  </si>
  <si>
    <t>Piezas de respuesto cada 10 años</t>
  </si>
  <si>
    <t>Mantenimiento y reparaciones cada 10 años</t>
  </si>
  <si>
    <t>Por periodo</t>
  </si>
  <si>
    <t>Custos de manutenção da ferramenta PATH TCO http://www.coldchaintco.org/calculate?t=TCO_DETAILED</t>
  </si>
  <si>
    <t>Peças sobresselentes por 10 anos</t>
  </si>
  <si>
    <t>Manutenção e Reparação por 10 anos</t>
  </si>
  <si>
    <t>Por Período de Tempo</t>
  </si>
  <si>
    <t>تكاليف الصيانة من أداة PATH TCO http://www.coldchaintco.org/calculate?t=TCO_DETAILED</t>
  </si>
  <si>
    <t>قطع الغيار لكل 10 سنوات</t>
  </si>
  <si>
    <t>الصيانة والتصليح لكل 10 سنوات</t>
  </si>
  <si>
    <t>لكل فترة زمنية</t>
  </si>
  <si>
    <t>可采用PATH TCO工具计算维护成本 http://www.coldchaintco.org/calculate?t=TCO_DETAILED</t>
  </si>
  <si>
    <t>每10年所需的备件</t>
  </si>
  <si>
    <t>每10年所需的维护和修理</t>
  </si>
  <si>
    <t>每个时间段</t>
  </si>
  <si>
    <t>Chambre froide ou de congélation</t>
  </si>
  <si>
    <t xml:space="preserve">Холодильная комната или морозильная комната  </t>
  </si>
  <si>
    <t>Cámara frigorífica o de congelación</t>
  </si>
  <si>
    <t>Câmara de Frio ou Câmara Frigorífica (WICR/WIFR)</t>
  </si>
  <si>
    <t>غرفة مبردة أو غرفة مجمد (WICR/FR)</t>
  </si>
  <si>
    <t>速冻冷库/冷藏室（WICR/FR）</t>
  </si>
  <si>
    <t>Réfrigérateur à gaine réfrigérante</t>
  </si>
  <si>
    <t>Холодильник с ледовой обшивкой (ХЛО)</t>
  </si>
  <si>
    <t>Refrigerador de pared de hielo (ILR)</t>
  </si>
  <si>
    <t>Refrigeradores revestidos com gelo (ILR)</t>
  </si>
  <si>
    <t>ثلاجة مبطّنة بالثلج (ILR)</t>
  </si>
  <si>
    <t>冰衬冰箱（ILR）</t>
  </si>
  <si>
    <t>Congélateur</t>
  </si>
  <si>
    <t>Морозильник</t>
  </si>
  <si>
    <t>Congelador</t>
  </si>
  <si>
    <t>Frigorífico</t>
  </si>
  <si>
    <t>مجمد</t>
  </si>
  <si>
    <t>冷柜</t>
  </si>
  <si>
    <t>Réfrigérateur ou congélateur à énergie solaire</t>
  </si>
  <si>
    <t>Холодильник или морозильник с прямым приводом на солнечных батареях</t>
  </si>
  <si>
    <t xml:space="preserve">Refrigerador o congelador solar directo (SDD) </t>
  </si>
  <si>
    <t>Frigoríficos solares "direct drive" (SDD) ou Frigorífico</t>
  </si>
  <si>
    <t xml:space="preserve">ثلاجة أو مجمد تعمل بالطاقة الشمسية (SDD) </t>
  </si>
  <si>
    <t>太阳能直接驱动（SDD）冰箱或冷柜</t>
  </si>
  <si>
    <t>B4.1.1 Chaîne du froid de l'entrepôt central (chambre froide et/ou de congélation)</t>
  </si>
  <si>
    <t xml:space="preserve"> B4.1.1 Холодовая цепь на центральном складе (холодильная комната и/или морозильная комната)</t>
  </si>
  <si>
    <t>B4.1.1 Cadena de frío del almacén central (cámara frigorífica y/o de congelación)</t>
  </si>
  <si>
    <t>B4.1.1 Cadeia de Frio do Armazém Central (WICR e/ou WIFR)</t>
  </si>
  <si>
    <t>B4.1.1 سلسلة تبريد للتخزين المركزي (سواء WICR و/أو SWIFT)</t>
  </si>
  <si>
    <t>B4.1.1 中央储存点冷链（WICR和/或WIFR）</t>
  </si>
  <si>
    <t>Pic dans l'entrepôt central</t>
  </si>
  <si>
    <t xml:space="preserve">Количество международных поставок в конкретный временной период </t>
  </si>
  <si>
    <t>Максимальная нагрузка на центральном складе</t>
  </si>
  <si>
    <t>Pico en almacén central</t>
  </si>
  <si>
    <t>Pico no Armazém Central</t>
  </si>
  <si>
    <t>الشحنات الدولية لكل فترة زمنية</t>
  </si>
  <si>
    <t xml:space="preserve"> النصف الثاني 2021</t>
  </si>
  <si>
    <t>مخزن مركزي يمكن فحصه بالنظر</t>
  </si>
  <si>
    <t>中央储存点峰值</t>
  </si>
  <si>
    <t>Volume des vaccins contre la COVID-19 dans des emballages secondaires (en litres) par cargaison, avec une marge</t>
  </si>
  <si>
    <t>Объем вакцин против COVID-19 во вторичной упаковке (в литрах) на одну поставку, включая резервный запас</t>
  </si>
  <si>
    <t>Volumen de vacunas de la COVID-19 en envasado secundario (litros) por envío, incl. reservas</t>
  </si>
  <si>
    <t>Volume de vacinas contra a COVID-19 em embalagem secundária (litros) por expedição, incl. reserva</t>
  </si>
  <si>
    <t>حجم لقاحات كوفيد-19 في التغليف الثانوي (باللتر) لكل شحنة، بما في ذلك الفواصل بين العبوات</t>
  </si>
  <si>
    <t>每批货运二级包装中疫苗的体积（升），包括缓冲物</t>
  </si>
  <si>
    <t xml:space="preserve">   </t>
  </si>
  <si>
    <t>متطلبات مرافق التخزين البارد</t>
  </si>
  <si>
    <t>Note méthodologique: On prend pour la capacité requise la plus grande cargaison (plus une marge)</t>
  </si>
  <si>
    <t xml:space="preserve">Требования к хранению с соблюдением условий холодовой цепи </t>
  </si>
  <si>
    <t xml:space="preserve">Nota metodológica: El  envío de mayor tamaño (incl. reservas) se toma como la capacidad necesaria </t>
  </si>
  <si>
    <t>Nota metodológica: A maior expedição (mais reserva) é tomada como a capacidade necessária</t>
  </si>
  <si>
    <t>ملاحظة منهجية: يتم أخذ أكبر حجم للشحن (بالإضافة إلى الفواصل بين العبوات) كالسعة المطلوبة</t>
  </si>
  <si>
    <t>方法论说明：最大装运量（加缓冲物）为所需容量</t>
  </si>
  <si>
    <t>Volume de vaccins existants de routine requis (en litres)</t>
  </si>
  <si>
    <t>Litres</t>
  </si>
  <si>
    <t xml:space="preserve">Необходимый объем для хранения имеющихся плановых вакцин (в литрах) </t>
  </si>
  <si>
    <t>Литры</t>
  </si>
  <si>
    <t>Volumen necesario para vacunas de rutina existentes (litros)</t>
  </si>
  <si>
    <t>Litros</t>
  </si>
  <si>
    <t>Volume necessário de vacinas de rotina existente (litros)</t>
  </si>
  <si>
    <t>حجم اللقاحات الروتينية الحالية المطلوبة (باللتر)</t>
  </si>
  <si>
    <t>لتر</t>
  </si>
  <si>
    <t>现有常规疫苗需求量（升）</t>
  </si>
  <si>
    <t>升</t>
  </si>
  <si>
    <t>Remplir ici si connu</t>
  </si>
  <si>
    <t xml:space="preserve">Укажите здесь, если известно </t>
  </si>
  <si>
    <t>Indicar aquí si se conoce</t>
  </si>
  <si>
    <t>Preencha aqui, se souber</t>
  </si>
  <si>
    <t>املأ هنا إذا كانت معروفة</t>
  </si>
  <si>
    <t>如果知道，请在这里输入</t>
  </si>
  <si>
    <t>Si l'on connaît le volume requis de vaccins de routine existants, on peut l'entrer ici</t>
  </si>
  <si>
    <t xml:space="preserve">Если Вы знаете объем имеющихся плановых вакцин, укажите его здесь </t>
  </si>
  <si>
    <t>Si se conoce el volumen necesario de vacunas de rutina existentes, se puede introducir aquí</t>
  </si>
  <si>
    <t>Se o volume necessário de vacinas de rotina existente for conhecido, pode ser digitado aqui</t>
  </si>
  <si>
    <t>إذا كان حجم اللقاحات الروتينية الحالية المطلوبة معروفاً، فمن الممكن إدخاله هنا</t>
  </si>
  <si>
    <t>如果已知现有常规疫苗的需求量，可以在此处输入</t>
  </si>
  <si>
    <t>Unités de stockage au froid (chambres froides et de congélation) requises pour les vaccins contre la COVID-19 et de routine</t>
  </si>
  <si>
    <t>Capacité du réfrigérateur par unité</t>
  </si>
  <si>
    <t>Capacité du congélateur par unité</t>
  </si>
  <si>
    <t>kWh par période par unité</t>
  </si>
  <si>
    <t>Prix inférieur</t>
  </si>
  <si>
    <t>Prix supérieur</t>
  </si>
  <si>
    <t>Prix préqualifié</t>
  </si>
  <si>
    <t xml:space="preserve">Установки для холодильного хранения (холодильная комната и морозильная комната) для вакцина против COVID-19 + для плановых вакцин </t>
  </si>
  <si>
    <t>Емкость холодильника на одну единицу</t>
  </si>
  <si>
    <t xml:space="preserve">Емкость морозильника на одну единицу </t>
  </si>
  <si>
    <t xml:space="preserve">кВт/ч за конкретный период для одной единицы </t>
  </si>
  <si>
    <t xml:space="preserve">Нижняя цена </t>
  </si>
  <si>
    <t>Верхняя цена</t>
  </si>
  <si>
    <t>Единица измерения</t>
  </si>
  <si>
    <t>Unidades de almacenamiento en frío necesarias (cámaras frigoríficas y de congelación) para vacunas de la COVID-19 + vacunas de rutina</t>
  </si>
  <si>
    <t>Capacidad de refrigeradores por unidad</t>
  </si>
  <si>
    <t>Capacidad de congeladores por unidad</t>
  </si>
  <si>
    <t>kWh por periodo y unidad</t>
  </si>
  <si>
    <t>Precio más bajo</t>
  </si>
  <si>
    <t>Precio más alto</t>
  </si>
  <si>
    <t>Unidades de armazenamento frigorífico necessárias (WICR e WIFR) para as vacinas contra a COVID-19 e de rotina</t>
  </si>
  <si>
    <t>Capacidade do refrigerador por unidade</t>
  </si>
  <si>
    <t>Capacidade do frigorífico por unidade</t>
  </si>
  <si>
    <t>kWh por período por unidade</t>
  </si>
  <si>
    <t>Preço mais baixo</t>
  </si>
  <si>
    <t>Preço mais alto</t>
  </si>
  <si>
    <t>Preço pré-qualificado</t>
  </si>
  <si>
    <t>وحدات التخزين البارد المطلوبة (WICR و SWIFT) لكوفيد-19 + اللقاحات الروتينية</t>
  </si>
  <si>
    <t>سعة الثلاجة لكل وحدة</t>
  </si>
  <si>
    <t>سعة المجمد لكل وحدة</t>
  </si>
  <si>
    <t>كيلو واط/ساعة لكل فترة زمنية لكل وحدة</t>
  </si>
  <si>
    <t>سعر أقل</t>
  </si>
  <si>
    <t>سعر أعلى</t>
  </si>
  <si>
    <t>COVID-19 + 常规疫苗所需的冷库机组（WICR和WIFR）</t>
  </si>
  <si>
    <t>每台冰箱容量</t>
  </si>
  <si>
    <t>每台冷柜容量</t>
  </si>
  <si>
    <t>每时间段每台kWh</t>
  </si>
  <si>
    <t>较低价格</t>
  </si>
  <si>
    <t>较高价格</t>
  </si>
  <si>
    <t>机组</t>
  </si>
  <si>
    <t>NORMES DE PERFORMANCE, QUALITÉ ET SÉCURITÉ (PQS) DE L'OMS CONCERNANT LES ÉQUIPEMENTS DE LA CHAÎNE DU FROID (ECF), PAS DE RECOMMANDATION DE PRODUIT: À L'UTILISATEUR DE CHOISIR</t>
  </si>
  <si>
    <t xml:space="preserve">Установленные ВОЗ критерии PQS (эксплуатационные характеристики (эффективность,
производительность) – качество – безопасность) для ОЦХ - НЕ ОЗНАЧАЕТ УТВЕРЖДЕНИЕ ВОЗ КАКОГО-ЛИБО ПРОДУКТА - ПОЛЬЗОВАТЕЛЬ ВЫБИРАЕТ ТОТ ПРОДУКТ, КОТОРЫЙ ОН ЖЕЛАЕТ ИСПРОЛЬЗОВАТЬ </t>
  </si>
  <si>
    <t>EQUIPO  DE CADENA DE FRÍO PRECALIFICADO POR LA OMS - NO SE RESPALDA NINGÚN PRODUCTO CONCRETO - EL USUARIO PUEDE ELEGIR EL PRODUCTO QUE PREFIERA</t>
  </si>
  <si>
    <t>PQS de ECF da OMS – SEM ENDOSSO DE QUALQUER PRODUTO – O UTILIZADOR PODE ESCOLHER O PRODUTO COMO DESEJAR</t>
  </si>
  <si>
    <t>منظمة الصحة العالمية نظام الأداء والجودة والسلامة لمعدات سلسلة التبريد (PQS CCEs) - لا توجد مصادقة على أي منتج - على المستخدم اختيار المنتج المرغوب</t>
  </si>
  <si>
    <t>世卫组织PQS CCE——不支持任何产品——用户根据需要自行选择</t>
  </si>
  <si>
    <t>Source: GAVI [Covax-CCE-Budget-Template.xlsx], WHO PQS Catalogue [http://apps.who.int/immunization_standards/vaccine_quality/pqs_catalogue/ ]</t>
  </si>
  <si>
    <t>Источник: ГАВИ [Covax-CCE-Budget-Template.xlsx], Каталог ВОЗ PQS [ http://apps.who.int/immunization_standards/vaccine_quality/pqs_catalogue/ ]</t>
  </si>
  <si>
    <t>Fuente: GAVI [Covax-CCE-Budget-Template.xlsx], Catálogo PQS de la OMS [ http://apps.who.int/immunization_standards/vaccine_quality/pqs_catalogue/ ]</t>
  </si>
  <si>
    <t>Fonte: GAVI [Covax-CCE-Budget-Template.xlsx], WHO PQS Catalogue [ http://apps.who.int/immunization_standards/vaccine_quality/pqs_catalogue/ ]</t>
  </si>
  <si>
    <t>المصدر: التحالف العالمي من أجل اللقاحات والتمنيع (غافي) [Covax-CCE-Budget-Template.xlsx]، منظمة الصحة العالمية نظام الأداء والجودة والسلامة [ http://apps.who.int/immunization_standards/vaccine_quality/pqs_catalogue/]</t>
  </si>
  <si>
    <t>资料来源：GAVI [Covax-CCE-Budget-Template.xlsx]，世卫组织PQS目录 [http://apps.who.int/immunization_standards/vaccine_quality/pqs_catalogue/]</t>
  </si>
  <si>
    <t>Dispositifs de contrôle de la température à distance</t>
  </si>
  <si>
    <t xml:space="preserve">Дистанционные датчики мониторинга температуры </t>
  </si>
  <si>
    <t>Dispositivos de vigilancia remota de la temperatura</t>
  </si>
  <si>
    <t>Dispositivos Remotos de Monitorização da Temperatura</t>
  </si>
  <si>
    <t xml:space="preserve"> أجهزة مراقبة درجة الحرارة عن بُعد</t>
  </si>
  <si>
    <t>远程温度监控设备</t>
  </si>
  <si>
    <t xml:space="preserve">MOINS unités de stockage au froid existantes (chambres froides et de congélation) </t>
  </si>
  <si>
    <t>NB: Cette partie a un effet sur le calcul des dépenses d'investissement et NON sur celui des dépenses de fonctionnement</t>
  </si>
  <si>
    <t xml:space="preserve">МИНУС имеющиеся холодильные установки (холодильные комнаты и морозильные комнаты) </t>
  </si>
  <si>
    <t xml:space="preserve">ПРИМЕЧАНИЕ: Этот раздел влияет на расчет капитальных затрат, НЕ операционных затрат </t>
  </si>
  <si>
    <t>MENOS las unidades de almacenamiento en frío (cámaras frigoríficas y de congelación) existentes</t>
  </si>
  <si>
    <t>NOTA: Esta parte afecta los cálculos de gastos de capital, NO de gastos operativos</t>
  </si>
  <si>
    <t>MENOS unidades de armazenamento frigorífico existentes (WICR e WIFR)</t>
  </si>
  <si>
    <t>NOTA: Esta parte afecta o cálculo das despesas de capital, NÃO as despesas operacionais</t>
  </si>
  <si>
    <t>ناقص وحدات التخزين البارد الحالية (WICR و SWIFT)</t>
  </si>
  <si>
    <t>ملاحظة: يؤثر هذا الجزء على حساب النفقات الرأسمالية وليس على النفقات التشغيلية</t>
  </si>
  <si>
    <t>减去现有的冷库机组（WICR和WIFR）</t>
  </si>
  <si>
    <t>注意：这部分影响资本支出计算，而不是运营支出</t>
  </si>
  <si>
    <t>Total préexistant dans entrepôt central (REMPLIR ICI)</t>
  </si>
  <si>
    <t>Reste requis dans entrepôt central</t>
  </si>
  <si>
    <t xml:space="preserve">Всего уже имеется в наличии на центральном складе (УКАЖИТЕ ЗДЕСЬ) </t>
  </si>
  <si>
    <t xml:space="preserve">Остальное оборудование, которое требуется на центральном складе </t>
  </si>
  <si>
    <t xml:space="preserve"> Total ya existente en Almacén central (INDICAR AQUÍ)</t>
  </si>
  <si>
    <t>Resto necesario en Almacén central</t>
  </si>
  <si>
    <t>Total preexistente no armazém central (PREENCHA AQUI)</t>
  </si>
  <si>
    <t>Restante necessário no armazém central</t>
  </si>
  <si>
    <t>الإجمالي الموجود مسبقًا في المخزن المركزي (املأ هنا)</t>
  </si>
  <si>
    <t>الباقي المطلوب في المخزن المركزي</t>
  </si>
  <si>
    <t>中央储存点已存在的机组总数（在此处输入）</t>
  </si>
  <si>
    <t>中央储存点仍需要的机组</t>
  </si>
  <si>
    <t xml:space="preserve"> أجهزة رصد درجة الحرارة عن بُعد</t>
  </si>
  <si>
    <t>Utiliser le prix inférieur [1] ou supérieur [2]?</t>
  </si>
  <si>
    <t>Использовать нижнюю  [1] или верхнюю [2] цену?</t>
  </si>
  <si>
    <t>¿Utilizar precio más bajo [1] or más alto [2]?</t>
  </si>
  <si>
    <t>Usar o preço mais baixo [1] ou mais alto [2]?</t>
  </si>
  <si>
    <t>Mais baixo (lugares de mais fácil acesso)</t>
  </si>
  <si>
    <t>استخدم سعراً أقل [1] أو أعلى [2]؟</t>
  </si>
  <si>
    <t>使用较低的[1]还是较高的[2]价格？</t>
  </si>
  <si>
    <t>Dépenses d'investissement et de fonctionnement</t>
  </si>
  <si>
    <t>Капитальные и операционные затраты [ДЛЯ ВСЕХ РЕГИОНОВ]</t>
  </si>
  <si>
    <t>Нижняя цена</t>
  </si>
  <si>
    <t>Gastos de capital y operativos</t>
  </si>
  <si>
    <t>Despesas de capital e operacionais</t>
  </si>
  <si>
    <t>النفقات الرأسمالية والتشغيلية</t>
  </si>
  <si>
    <t>السعر الأقل</t>
  </si>
  <si>
    <t>السعر الأعلى</t>
  </si>
  <si>
    <t>资本和运营支出</t>
  </si>
  <si>
    <t>Pas d'information concernant les coûts ici puisque les services de l'ultra-froid sont limités</t>
  </si>
  <si>
    <t>没有相关的成本信息，因为超冷服务可用性有限</t>
  </si>
  <si>
    <t>Stockage au froid central: dépenses d'investissement</t>
  </si>
  <si>
    <t xml:space="preserve">Холодильное хранение на центральном уровне  - капитальные затраты </t>
  </si>
  <si>
    <t>Almacenamiento en frío a nivel central - Gastos de capital</t>
  </si>
  <si>
    <t>Armazenamento frigorífico central – Despesas de capital</t>
  </si>
  <si>
    <t>التخزين البارد المركزي - النفقات الرأسمالية</t>
  </si>
  <si>
    <t>中央冷库——资本支出</t>
  </si>
  <si>
    <t>Valeur (pour dédouanement)</t>
  </si>
  <si>
    <t xml:space="preserve">Стоимость (для целей таможенного оформления) </t>
  </si>
  <si>
    <t>Valor (para despacho de aduanas)</t>
  </si>
  <si>
    <t>Valor (para desalfandegamento)</t>
  </si>
  <si>
    <t>القيمة (للتخليص الجمركي)</t>
  </si>
  <si>
    <t>价值（清关用）</t>
  </si>
  <si>
    <t>No hay información de costes en este caso por la limitada disponibilidad de servicios de frío extremo</t>
  </si>
  <si>
    <t>Электроэнергия</t>
  </si>
  <si>
    <t>Electricidad</t>
  </si>
  <si>
    <t>Electricidade</t>
  </si>
  <si>
    <t>الكهرباء</t>
  </si>
  <si>
    <t>Stockage au froid central: dépenses de fonctionnement</t>
  </si>
  <si>
    <t>Pour tout l'équipement ECF requis pour la vaccination contre la COVID-19, pas uniquement ce qui a été acheté récemment</t>
  </si>
  <si>
    <t>Холодильное хранение на центральном уровне  - операционные затраты</t>
  </si>
  <si>
    <t xml:space="preserve">Для всего оборудования, необходимого для проведения вакцинации против COVID-19, НЕ ТОЛЬКО для нового приобретаемого оборудования </t>
  </si>
  <si>
    <t>Almacenamiento en frío a nivel central - Gastos operativos</t>
  </si>
  <si>
    <t>Para todo el equipo de cadena de frío necesario para la vacunación frente a la COVID-19, no solo el de nueva adquisición</t>
  </si>
  <si>
    <t>Armazenamento Frigorífico Central – Despesas Operacionais</t>
  </si>
  <si>
    <t>Para todo o equipamento ECF necessário para a vacinação contra a COVID-19, não apenas o recém-adquirido</t>
  </si>
  <si>
    <t>لكل معدات سلسة التبريد اللازمة للتطعيم ضد كوفيد-19، وليس فقط المشتريات الجديدة</t>
  </si>
  <si>
    <t>中央冷库——运营支出</t>
  </si>
  <si>
    <t>COVID-19疫苗接种所需的所有CCE设备，不仅限于新购设备</t>
  </si>
  <si>
    <t>B4.1.2 Chaîne du froid régionale</t>
  </si>
  <si>
    <t xml:space="preserve">B4.1.2 Холодовая цепь на региональном уровне </t>
  </si>
  <si>
    <t>B4.1.2 Cadena de frío regional</t>
  </si>
  <si>
    <t>B4.1.2 Cadeia de Frio Regional</t>
  </si>
  <si>
    <t>B4.1.2 سلسلة التبريد الإقليمية</t>
  </si>
  <si>
    <t>B4.1.2 区域冷链</t>
  </si>
  <si>
    <t>Hypothèses: 100% raccordée au réseau électrique; besoins en congélateurs pour briquettes définis par l'usager</t>
  </si>
  <si>
    <t xml:space="preserve">Допущения: 100% оборудования работает от сети; потребность в морозильниках для замороженных хладоэлементов определяет пользователь </t>
  </si>
  <si>
    <t>Supuestos: 100% con red de suministro eléctrico; las necesidades en cuanto a congeladores de paquetes de hielo definidas por los usuarios</t>
  </si>
  <si>
    <t>Pressupostos: 100% alimentação da rede; frigorífico de blocos de gelo deve ser definido pelo utilizador</t>
  </si>
  <si>
    <t>الافتراضات: 100% على الشبكة؛ احتياجات المجمدات بحزم الثلج يحددها المستخدم</t>
  </si>
  <si>
    <t>假设：100％并网；冰袋冷柜需求由用户定义</t>
  </si>
  <si>
    <t>Nombre de congélateurs pour briquettes par région</t>
  </si>
  <si>
    <t xml:space="preserve">Количество морозильников для замороженных хладоэлементов на один регион </t>
  </si>
  <si>
    <t># de congeladores de paquetes de hielo por región</t>
  </si>
  <si>
    <t>Nº de frigoríficos de blocos de gelo por região</t>
  </si>
  <si>
    <t># المجمدات بحزم الثلج لكل إقليم</t>
  </si>
  <si>
    <t>每个区域的冰袋冰柜#</t>
  </si>
  <si>
    <t>Envois du niveau central à régional par période</t>
  </si>
  <si>
    <t>Pic dans région moyenne</t>
  </si>
  <si>
    <t xml:space="preserve">Поставки с центрального уровня на региональный уровень за конкретный временной период </t>
  </si>
  <si>
    <t>Пиковое количество на один средний регион</t>
  </si>
  <si>
    <t>Envíos de base central a regional por periodo</t>
  </si>
  <si>
    <t>Pico en una región media</t>
  </si>
  <si>
    <t>Expedições de central para regional por período</t>
  </si>
  <si>
    <t>Pico em região média</t>
  </si>
  <si>
    <t>الشحنات من المركز إلى الإقليم لكل فترة زمنية</t>
  </si>
  <si>
    <t xml:space="preserve"> النصف الأول 2021</t>
  </si>
  <si>
    <t>الذروة في المنطقة المتوسطة</t>
  </si>
  <si>
    <t>每个时间段从中央发送到区域的货运</t>
  </si>
  <si>
    <t>平均区域峰值</t>
  </si>
  <si>
    <t>Volume des vaccins contre la COVID-19 dans des emballages secondaires (en litres) par cargaison, avec une marge [PAR RÉGION]</t>
  </si>
  <si>
    <t>Объем вакцин против COVID-19 во вторичной упаковке (в литрах) на одну поставку включая резервный запас [НА РЕГИОН]</t>
  </si>
  <si>
    <t>Volumen de vacunas de la COVID-19 en envasado secundario (litros) por envío, incl. reservas [POR REGIÓN]</t>
  </si>
  <si>
    <t>Volume de vacinas contra a COVID-19 em embalagem secundária (litros) por expedição, incl. reserva [POR REGIÃO}</t>
  </si>
  <si>
    <t>حجم لقاحات كوفيد-19 في التغليف الثانوي (باللتر) لكل شحنة، بما في ذلك الفواصل بين العبوات [لكل إقليم]</t>
  </si>
  <si>
    <t>每批货运二级包装中疫苗的体积（升），包括缓冲物[每个区域]</t>
  </si>
  <si>
    <t>Volume des vaccins existants de routine (en litres) [PAR RÉGION]</t>
  </si>
  <si>
    <t>Необходимый объем для хранения имеющихся плановых вакцин (в литрах) [НА ОДИН РЕГИОН]</t>
  </si>
  <si>
    <t xml:space="preserve">Литры </t>
  </si>
  <si>
    <t>Volumen necesario de vacunas de rutina existentes (litros) [POR REGIÓN]</t>
  </si>
  <si>
    <t>Volume necessário de vacinas de rotina existente (litros) [POR REGIÃO]</t>
  </si>
  <si>
    <t>حجم اللقاحات الروتينية الحالية المطلوبة (باللتر) [لكل إقليم]</t>
  </si>
  <si>
    <t>现有常规疫苗需求量（升）[每个区域]</t>
  </si>
  <si>
    <t>Укажите здесь, если известно</t>
  </si>
  <si>
    <t>Introducir aquí si se conoce</t>
  </si>
  <si>
    <t xml:space="preserve">املأ هنا إذا كان معلومًا </t>
  </si>
  <si>
    <t>Unités de stockage au froid requises [PAR RÉGION]</t>
  </si>
  <si>
    <t>kWh par période</t>
  </si>
  <si>
    <t>Требуемые установки для холодильного хранения [НА РЕГИОН]</t>
  </si>
  <si>
    <t>Unidades de almacenamiento en frío necesarias  [POR REGIÓN]</t>
  </si>
  <si>
    <t>kWh por periodo</t>
  </si>
  <si>
    <t>Unidades de armazenamento frigorífico necessárias [POR REGIÃO].</t>
  </si>
  <si>
    <t>kWh por período</t>
  </si>
  <si>
    <t>وحدات التخزين البارد المطلوبة [لكل إقليم]</t>
  </si>
  <si>
    <t xml:space="preserve">سعة الثلاجات لكل وحدة </t>
  </si>
  <si>
    <t xml:space="preserve">سعة المجمدات لكل وحدة </t>
  </si>
  <si>
    <t>كيلو واط/ساعة لكل فترة زمنية</t>
  </si>
  <si>
    <t>所需冷库机组 [每个区域]</t>
  </si>
  <si>
    <t>每台冷柜的容量</t>
  </si>
  <si>
    <t>每个时段的kWh</t>
  </si>
  <si>
    <t>NORMES PQS DE L'OMS CONCERNANT LES ECF, PAS DE RECOMMANDATION DE PRODUIT: À L'UTILISATEUR DE CHOISIR</t>
  </si>
  <si>
    <t xml:space="preserve">Установленные ВОЗ критерии PQS (эксплуатационные характеристики (эффективность,
производительность) – качество – безопасность) для ОЦХ - НЕ ОЗНАЧАЕТ УТВЕРЖДЕНИЕ КАКОГО-ЛИБО ПРОДУКТА - ПОЛЬЗОВАТЕЛЬ ВЫБИРАЕТ ТОТ ПРОДУКТ, КОТОРЫЙ ОН ЖЕЛАЕТ ИСПРОЛЬЗОВАТЬ </t>
  </si>
  <si>
    <t>PQS de ECF da OMS – SEM ENDOSSO DE QUALQUER PRODUTO – O UTILIZADOR PODE ESCOLHER O PRODUTO QUE DESEJAR</t>
  </si>
  <si>
    <t xml:space="preserve">Congélateurs pour briquettes </t>
  </si>
  <si>
    <t>Source: hypothèses d'évaluation des coûts de la chaîne du froid du 10 novembre 2020</t>
  </si>
  <si>
    <t>Морозильники для хладоэлементов</t>
  </si>
  <si>
    <t>Источник: Допущения для расчета затрат на холодовую цепь, 10 ноября 2020 г</t>
  </si>
  <si>
    <t>Congeladores de paquetes de hielo</t>
  </si>
  <si>
    <t>Fuente: Cold chain costing assumptions 10 Nov 2020</t>
  </si>
  <si>
    <t>Frigoríficos de blocos de gelo</t>
  </si>
  <si>
    <t>Fonte: Pressupostos de custos da cadeia de frio 10 Nov 2020</t>
  </si>
  <si>
    <t xml:space="preserve">مجمدات بحزم الثلج </t>
  </si>
  <si>
    <t>冰袋冷柜</t>
  </si>
  <si>
    <t>资料来源：冷链成本假设2020年11月10日</t>
  </si>
  <si>
    <t>المصدر: افتراضات تكاليف سلسلة التبريد 10 تشرين الثاني/نوفمبر 2020</t>
  </si>
  <si>
    <t>MOINS unités de stockage au froid existantes</t>
  </si>
  <si>
    <t>МИНУС имеющиеся холодильные установки</t>
  </si>
  <si>
    <t>MENOS las unidades de almacenamiento en frío existentes</t>
  </si>
  <si>
    <t>MENOS unidades de armazenamento frigorífico existentes</t>
  </si>
  <si>
    <t xml:space="preserve">ناقص وحدات التخزين البارد الحالية </t>
  </si>
  <si>
    <t>减去现有的冷库机组</t>
  </si>
  <si>
    <t>Total requis pour toutes les régions</t>
  </si>
  <si>
    <t>Total préexistant dans toutes les régions (REMPLIR ICI)</t>
  </si>
  <si>
    <t>Reste requis dans toutes les régions</t>
  </si>
  <si>
    <t>Всего требуется во всех регионах</t>
  </si>
  <si>
    <t>Всего уже имеется в наличии во всех регионах (УКАЖИТЕ ЗДЕСЬ)</t>
  </si>
  <si>
    <t>Остальное оборудование, которое требуется во всех регионах</t>
  </si>
  <si>
    <t>Total necesario en todas las regiones</t>
  </si>
  <si>
    <t xml:space="preserve"> Total ya existente en Todas las regiones (INDICAR AQUÍ)</t>
  </si>
  <si>
    <t>Resto necesario en Todas las regiones</t>
  </si>
  <si>
    <t>Total necessário em todas as regiões</t>
  </si>
  <si>
    <t>Total preexistente em todas as regiões (PREENCHA AQUI)</t>
  </si>
  <si>
    <t>Restante necessário em todas as regiões</t>
  </si>
  <si>
    <t>الإجمالي الموجود مسبقًا لكل الأقاليم (املأ هنا)</t>
  </si>
  <si>
    <t>所有区域的需求总数</t>
  </si>
  <si>
    <t>所有区域的现存总数（请在此处输入）</t>
  </si>
  <si>
    <t>所有区域仍需要的机组</t>
  </si>
  <si>
    <t>MOINS</t>
  </si>
  <si>
    <t>ÉGALE</t>
  </si>
  <si>
    <t>МИНУС</t>
  </si>
  <si>
    <t>РАВНО</t>
  </si>
  <si>
    <t>MENOS</t>
  </si>
  <si>
    <t>IGUAL</t>
  </si>
  <si>
    <t>ناقص</t>
  </si>
  <si>
    <t>يساوي</t>
  </si>
  <si>
    <t>减去</t>
  </si>
  <si>
    <t>等于</t>
  </si>
  <si>
    <t xml:space="preserve">Морозильники для хладоэлементов </t>
  </si>
  <si>
    <t>Prix supérieur ou inférieur</t>
  </si>
  <si>
    <t>Верхняя или Нижняя цена</t>
  </si>
  <si>
    <t>Precio más alto o más bajo</t>
  </si>
  <si>
    <t>Preço mais alto ou mais baixo</t>
  </si>
  <si>
    <t>السعر الأعلى أو الأقل</t>
  </si>
  <si>
    <t>较高或较低的价格</t>
  </si>
  <si>
    <t>Dépenses d'investissement et de fonctionnement [TOUTES LES RÉGIONS]</t>
  </si>
  <si>
    <t>Капитальные и операционные затраты [ВО ВСЕХ РЕГИОНАХ]</t>
  </si>
  <si>
    <t xml:space="preserve">Верхняя цена </t>
  </si>
  <si>
    <t>Gastos de capital y operativos [TODAS LAS REGIONES]</t>
  </si>
  <si>
    <t>Despesas de capital e operacionais [TODAS AS REGIÕES]</t>
  </si>
  <si>
    <t>النفقات الرأسمالية والتشغيلية [جميع الأقاليم]</t>
  </si>
  <si>
    <t>资本和运营支出 [所有区域]</t>
  </si>
  <si>
    <t>Total stockage au froid (toutes régions): dépenses d'investissement</t>
  </si>
  <si>
    <t xml:space="preserve">Всего (во всех регионах)  хранение с соблюдением холодовой цепи - капитальные затраты </t>
  </si>
  <si>
    <t>Total almacenamiento en frío (todas las regiones) - Gastos de capital</t>
  </si>
  <si>
    <t>Armazenamento frigorífico total (todas as regiões) – Despesas de capital</t>
  </si>
  <si>
    <t>الإجمالي (جميع الأقاليم) التخزين البارد - النفقات التشغيلية</t>
  </si>
  <si>
    <t>（所有区域）冷库总计——资本支出</t>
  </si>
  <si>
    <t>Total stockage au froid (toutes régions): dépenses de fonctionnement</t>
  </si>
  <si>
    <t xml:space="preserve"> Всего (во всех регионах) хранение с соблюдением холодовой цепи - операционные затраты </t>
  </si>
  <si>
    <t>Total almacenamiento en frío (todas las regiones) - Gastos operativos</t>
  </si>
  <si>
    <t>Armazenamento frigorífico total (todas as regiões) – Despesas operacionais</t>
  </si>
  <si>
    <t>（所有区域）冷库总计——运营支出</t>
  </si>
  <si>
    <t>B4.1.3 Chaîne du froid du district</t>
  </si>
  <si>
    <t xml:space="preserve"> B4.1.3 Холодовая цепь на районном уровне </t>
  </si>
  <si>
    <t>B4.1.3 Cadena de frío de distritos</t>
  </si>
  <si>
    <t>B4.1.3 Cadeia de Frio do Distrito</t>
  </si>
  <si>
    <t xml:space="preserve">B4.1.3 سلسلة تبريد المنطقة </t>
  </si>
  <si>
    <t>B4.1.3 地区冷链</t>
  </si>
  <si>
    <t>Hypothèses: proportion de districts raccordés au réseau électrique par rapport à solaires définie par l'utilisateur; pour les districts raccordés au réseau électrique, un nombre défini par l'utilisateur de congélateurs à briquettes</t>
  </si>
  <si>
    <t>Допущения: Соотношение оборудования в районах, работающего от сети и оборудования, работающего от солнечных батарей в районах, определяется пользователем. Для районов с оборудованием, работающем от сети, пользователь указывает необходимое количество морозильников для  хладоэлементов.</t>
  </si>
  <si>
    <t>Supuestos: Proporción de distritos con red de suministro eléctrico frente a solar definido por el usuario. El número de congeladores de paquetes de hielo en distritos con red de suministro eléctrico definido por el usuario.</t>
  </si>
  <si>
    <t>Pressupostos: Proporção definida pelo utilizador de distritos com alimentação da rede x solar. Distritos com alimentação da rede e número de frigoríficos de blocos de gelo definido pelo utilizador</t>
  </si>
  <si>
    <t>الافتراضات: يحدد المستخدم نسبة المناطق التي على الشبكة مقابل الطاقة الشمسية. المناطق التي على الشبكة بها عدد محدد من المجمدات بحزم الثلج</t>
  </si>
  <si>
    <t>假设：地区中用户定义的并网与太阳能的比例。并网地区中用户定义的冰袋冰柜数目</t>
  </si>
  <si>
    <t xml:space="preserve">Количество морозильников на район </t>
  </si>
  <si>
    <t># de congeladores de paquetes de hielo por distrito</t>
  </si>
  <si>
    <t>Nº de frigoríficos de blocos de gelo por distrito</t>
  </si>
  <si>
    <t># المجمدات بحزم الثلج لكل منطقة</t>
  </si>
  <si>
    <t>每个地区的冰袋冰柜#</t>
  </si>
  <si>
    <t>Districts requérant alimentation solaire directe, hors réseau</t>
  </si>
  <si>
    <t xml:space="preserve">Районы, в которых требуются солнечные батареи с прямым приводом </t>
  </si>
  <si>
    <t>Distritos que precisan SDD - sin red de suministro eléctrico</t>
  </si>
  <si>
    <t>Distritos que requerem SDD – fora da rede</t>
  </si>
  <si>
    <t>المناطق التي تتطلب وحدات تعمل بالطاقة الشمسية - خارج الشبكة</t>
  </si>
  <si>
    <t>需要SDD的地区——离网</t>
  </si>
  <si>
    <t>Districts raccordés au réseau électrique</t>
  </si>
  <si>
    <t xml:space="preserve">Районы, в которых оборудование работает от сети </t>
  </si>
  <si>
    <t>Distritos - con red de suministro eléctrico</t>
  </si>
  <si>
    <t>Distritos – alimentação da rede</t>
  </si>
  <si>
    <t>المناطق - على الشبكة</t>
  </si>
  <si>
    <t>地区——并网</t>
  </si>
  <si>
    <t>Envois du niveau régional à district/site fixe par période</t>
  </si>
  <si>
    <t>Pic dans district moyen</t>
  </si>
  <si>
    <t xml:space="preserve">Поставки с регионального на районный уровень /в Стационарные лечебные учреждения за конкретный период </t>
  </si>
  <si>
    <t>Пиковая нагрузка в среднем на район</t>
  </si>
  <si>
    <t>Envíos de almacén regional a distrito / ubicación fija por periodo</t>
  </si>
  <si>
    <t>Pico en un distrito medio</t>
  </si>
  <si>
    <t>Expedições de regional para distrito/local fixo por período</t>
  </si>
  <si>
    <t>Pico em distrito médio</t>
  </si>
  <si>
    <t>الشحنات من الإقليم إلى المنطقة/ المواقع الثابتة لكل فترة زمنية</t>
  </si>
  <si>
    <t>每个时间段从区域到地区/固定站点的货运</t>
  </si>
  <si>
    <t>平均地区峰值</t>
  </si>
  <si>
    <t>Volume de vaccins contre la COVID-19 dans emballage secondaire (en litres) par cargaison, y compris marge [PAR DISTRICT]</t>
  </si>
  <si>
    <t>Объем вакцин против COVID-19 во вторичной упаковке (в литрах) на поставку включая резервный запас [НА РАЙОН]</t>
  </si>
  <si>
    <t>Volumen de vacunas de la COVID-19 en envasado secundario (litros) por envío, incl. reservas [POR DISTRITO]</t>
  </si>
  <si>
    <t>Volume de vacinas contra a COVID-19 em embalagem secundária (litros) por expedição, incl. reserva [POR DISTRITO]</t>
  </si>
  <si>
    <t>حجم لقاحات كوفيد-19 في التغليف الثانوي (باللتر) لكل شحنة، بما في ذلك الفواصل بين العبوات [لكل منطقة]</t>
  </si>
  <si>
    <t>每批货运二级包装中疫苗的体积（升），包括缓冲物[每个地区]</t>
  </si>
  <si>
    <t>Объем вакцин против COVID-19 во вторичной упаковке (в литрах) на одну поставку, включая резервный запас [НА ОДИН РАЙОН]</t>
  </si>
  <si>
    <t xml:space="preserve">Методологическое примечание: Необходимая емкость определяется как равная максимальному объему поставки (плюс резервный запас) </t>
  </si>
  <si>
    <t>Nota metodológica: El  envío de mayor tamaño (incl. reservas) se toma como la capacidad necesaria</t>
  </si>
  <si>
    <t>Volume de vaccins de routine existants requis (en litres) [PAR DISTRICT]</t>
  </si>
  <si>
    <t>Необходимый объем для хранения имеющихся плановых вакцин (в литрах) [НА ОДИН РАЙОН]</t>
  </si>
  <si>
    <t>Volumen necesario de vacunas de rutina existentes (litros) [POR DISTRITO]</t>
  </si>
  <si>
    <t>Volume necessário de vacinas de rotina existente (litros) [POR DISTRITO]</t>
  </si>
  <si>
    <t>حجم اللقاحات الروتينية الحالية المطلوبة (باللتر) [لكل منطقة]</t>
  </si>
  <si>
    <t>现有常规疫苗需求量（升）[每个地区]</t>
  </si>
  <si>
    <t>Unités de stockage au froid requises</t>
  </si>
  <si>
    <t>Требуемые установки для холодильного хранения</t>
  </si>
  <si>
    <t xml:space="preserve">Unidades de almacenamiento en frío necesarias  </t>
  </si>
  <si>
    <t>Precios más alto</t>
  </si>
  <si>
    <t>Unidades de armazenamento frigorífico necessárias</t>
  </si>
  <si>
    <t>وحدات التخزين البارد المطلوبة</t>
  </si>
  <si>
    <t>所需冷库机组</t>
  </si>
  <si>
    <t>每个时间段kWh</t>
  </si>
  <si>
    <t>Solaire</t>
  </si>
  <si>
    <t>На солнечных батареях</t>
  </si>
  <si>
    <t xml:space="preserve">Установленные ВОЗ критерии PQS (эксплуатационные характеристики (эффективность, производительность) – качество – безопасность) для ОЦХ - НЕ ОЗНАЧАЕТ УТВЕРЖДЕНИЕ КАКОГО-ЛИБО ПРОДУКТА - ПОЛЬЗОВАТЕЛЬ ВЫБИРАЕТ ТОТ ПРОДУКТ, КОТОРЫЙ ОН ЖЕЛАЕТ ИСПРОЛЬЗОВАТЬ </t>
  </si>
  <si>
    <t>شمسية</t>
  </si>
  <si>
    <t>太阳能</t>
  </si>
  <si>
    <t>Raccordement au réseau électrique</t>
  </si>
  <si>
    <t>От сети</t>
  </si>
  <si>
    <t>Con red de suministro eléctrico</t>
  </si>
  <si>
    <t>Alimentação da rede</t>
  </si>
  <si>
    <t>على الشبكة</t>
  </si>
  <si>
    <t>并网</t>
  </si>
  <si>
    <t xml:space="preserve">أجهزة رصد درجة الحرارة عن بُعد </t>
  </si>
  <si>
    <t xml:space="preserve">Unidades </t>
  </si>
  <si>
    <t>ناقص وحدات التخزين البارد الحالية</t>
  </si>
  <si>
    <t>减去现有冷库机组</t>
  </si>
  <si>
    <t>Total requis pour tous les districts</t>
  </si>
  <si>
    <t>Total préexistant dans tous les districts (REMPLIR ICI)</t>
  </si>
  <si>
    <t>Reste requis dans tous les districts</t>
  </si>
  <si>
    <t>Всего требуется для всех районов</t>
  </si>
  <si>
    <t xml:space="preserve">Всего уже имеется в наличии на всех районах (УКАЖИТЕ ЗДЕСЬ) </t>
  </si>
  <si>
    <t>Остальное оборудование, которое требуется во всех районах</t>
  </si>
  <si>
    <t>Total necesario en todos los distritos</t>
  </si>
  <si>
    <t xml:space="preserve"> Total ya existente en Todos los distritos (INDICAR AQUÍ)</t>
  </si>
  <si>
    <t>Resto necesario en todos los distritos</t>
  </si>
  <si>
    <t>Total necessário em todos os distritos</t>
  </si>
  <si>
    <t>Total preexistente em todos os distritos (PREENCHA AQUI)</t>
  </si>
  <si>
    <t>Restante necessário em todos os distritos</t>
  </si>
  <si>
    <t>الإجمالي المطلوب في جميع المناطق</t>
  </si>
  <si>
    <t>الباقي المطلوب في جميع المناطق</t>
  </si>
  <si>
    <t>所有地区的需求总数</t>
  </si>
  <si>
    <t>所有地区的现存总数（请在此处输入）</t>
  </si>
  <si>
    <t>所有地区仍需要的机组</t>
  </si>
  <si>
    <t>максималь</t>
  </si>
  <si>
    <t>Mais alto (locais de mais difícil acesso)</t>
  </si>
  <si>
    <t>较高或较低价格</t>
  </si>
  <si>
    <t>Капитальные и операционных затраты</t>
  </si>
  <si>
    <t>Precios más bajo</t>
  </si>
  <si>
    <t xml:space="preserve">النفقات الرأسمالية والتشغيلية </t>
  </si>
  <si>
    <t>Uniquement pour les districts non raccordés au réseau</t>
  </si>
  <si>
    <t>Только для районов, в которых оборудование работает от сети</t>
  </si>
  <si>
    <t>Solo en distritos sin red de suministro eléctrico</t>
  </si>
  <si>
    <t>Somente distritos fora da rede</t>
  </si>
  <si>
    <t>في المناطق التي على الشبكة فقط</t>
  </si>
  <si>
    <t>仅在离网地区</t>
  </si>
  <si>
    <t>Total stockage au froid (tous districts): dépenses d'investissement</t>
  </si>
  <si>
    <t xml:space="preserve">Всего (во всех районах)  хранение с соблюдением холодовой цепи - капитальные затраты </t>
  </si>
  <si>
    <t>Total almacenamiento en frío (todos los distritos) - Gastos de capital</t>
  </si>
  <si>
    <t>Armazenamento frigorífico total (todos os distritos) – Despesas de capital</t>
  </si>
  <si>
    <t>（所有地区）冷库总计——资本支出</t>
  </si>
  <si>
    <t>Total stockage au froid (tous districts): dépenses de fonctionnement</t>
  </si>
  <si>
    <t xml:space="preserve">Всего (во всех районах) хранение с соблюдением холодовой цепи - операционные затраты </t>
  </si>
  <si>
    <t>Total almacenamiento en frío (todos los distritos) - Gastos operativos</t>
  </si>
  <si>
    <t>Armazenamento frigorífico total (todos os distritos) – Despesas operacionais</t>
  </si>
  <si>
    <t>（所有地区）冷库总计——运营支出</t>
  </si>
  <si>
    <t>B4.1.4 Sites fixes à chaîne du froid</t>
  </si>
  <si>
    <t>B4.1.4 Стационарные лечебные учреждения, в которых обеспечена возможность хранения с соблюдением холодовой цепи</t>
  </si>
  <si>
    <t>B4.1.4 Ubicaciones fijas con cadena de frío</t>
  </si>
  <si>
    <t>B4.1.4 Locais Fixos com Cadeia de Frio</t>
  </si>
  <si>
    <t xml:space="preserve">B4.1.4 المواقع الثابتة التي بها سلسلة تبريد </t>
  </si>
  <si>
    <t>B4.1.4 拥有冷链的固定站点</t>
  </si>
  <si>
    <t xml:space="preserve"> Допущения: Соотношение используемого в районах оборудования, работающего от сети и от солнечных батарей, определяется пользователем. Для районов с оборудованием, работающем от сети, пользователь указывает необходимое количество морозильников для  хладоэлементов.</t>
  </si>
  <si>
    <t>ذ</t>
  </si>
  <si>
    <t>Количество морозильников для замороженных хладоэлементов на одно стационарное лечебное учреждение</t>
  </si>
  <si>
    <t># de congeladores de paquetes de hielo por ubicación fija</t>
  </si>
  <si>
    <t>Nº de frigoríficos de blocos de gelo por local fixo</t>
  </si>
  <si>
    <t># المجمدات بحزم الثلج لكل موقع ثابت</t>
  </si>
  <si>
    <t>每个固定站点的冰袋冰柜#</t>
  </si>
  <si>
    <t>Стационарные лечебные учреждения, в которых требуются солнечные батареи с прямым приводом - не от сети</t>
  </si>
  <si>
    <t>Ubicaciones fijas que precisan SDD - sin red de suministro eléctrico</t>
  </si>
  <si>
    <t>Locais fixos que requerem SDD – fora da rede</t>
  </si>
  <si>
    <t>المواقع الثابتة التي تتطلب وحدات تعمل بالطاقة الشمسية - خارج الشبكة</t>
  </si>
  <si>
    <t>需要离网SDD的固定站点</t>
  </si>
  <si>
    <t>Стационарные лечебные учреждения, в которых оборудование работает от сети</t>
  </si>
  <si>
    <t>Ubicaciones fijas: con red de suministro eléctrico</t>
  </si>
  <si>
    <t>Locais fixos – alimentação da rede</t>
  </si>
  <si>
    <t>المواقع الثابتة التي على الشبكة</t>
  </si>
  <si>
    <t>固定站点 —— 并网</t>
  </si>
  <si>
    <t>Pic dans site fixe moyen</t>
  </si>
  <si>
    <t xml:space="preserve">Поставки с регионального на районный уровень за конкретный временной период </t>
  </si>
  <si>
    <t>Пиковая нагрузка в среднем на одно стационарное лечебное учреждение</t>
  </si>
  <si>
    <t>Pico en una ubicación fija media</t>
  </si>
  <si>
    <t>Pico em local fixo médio</t>
  </si>
  <si>
    <t>الذروة في المواقع الثابتة المتوسطة</t>
  </si>
  <si>
    <t>平均固定站点峰值</t>
  </si>
  <si>
    <t>Volume de vaccins contre la COVID-19 dans emballage secondaire (en litres) par cargaison, y compris marge [PAR SITE FIXE]</t>
  </si>
  <si>
    <t>Объем вакцин против COVID-19 во вторичной упаковке (в литрах) на одну поставку включая резервный запас [НА ОДНО СТАЦИОНАРНОЕ ЛЕЧЕБНОЕ УЧРЕЖДЕНИЕ]</t>
  </si>
  <si>
    <t>Volumen de vacunas de la COVID-19 en envasado secundario (litros) por envío, incl. reservas  [POR UBICACIÓN FIJA]</t>
  </si>
  <si>
    <t>Volume de vacinas contra a COVID-19 em embalagem secundária (litros) por expedição, incl. reserva [POR LOCAL FIXO]</t>
  </si>
  <si>
    <t>حجم لقاحات كوفيد-19 في التغليف الثانوي (باللتر) لكل شحنة، بما في ذلك الفواصل بين العبوات [لكل موقع ثابت]</t>
  </si>
  <si>
    <t>每批货运二级包装中疫苗的体积（升），包括缓冲物[每个固定站点]</t>
  </si>
  <si>
    <t>Объем вакцин против COVID-19 во вторичной упаковке (в литрах) на одну поставку, включая резервный запас [НА ОДНО СТАЦИОНАРНОЕ ЛЕЧЕБНОЕ УЧРЕЖДЕНИЕ]</t>
  </si>
  <si>
    <t>Volume de vaccins de routine existants requis (en litres) [PAR SITE FIXE]</t>
  </si>
  <si>
    <t>Необходимый объем для хранения имеющихся плановых вакцин (в литрах) [НА ОДНО СТАЦИОНАРНОЕ ЛЕЧЕБНОЕ УЧРЕЖДЕНИЕ]</t>
  </si>
  <si>
    <t>Volumen necesario de vacunas de rutina existentes (litros) [POR UBICACIÓN FIJA]</t>
  </si>
  <si>
    <t>Volume necessário de vacinas de rotina existente (litros) [POR LOCAL FIXO]</t>
  </si>
  <si>
    <t>حجم اللقاحات الروتينية الحالية المطلوبة (باللتر) [لكل موقع ثابت]</t>
  </si>
  <si>
    <t>现有常规疫苗需求量（升）[每个固定站点]</t>
  </si>
  <si>
    <t xml:space="preserve">Si se conoce el volumen necesario de vacunas de rutina existentes, se puede introducir aquí </t>
  </si>
  <si>
    <t>MENOS las unidades de almacenamiento en frío ya existentes</t>
  </si>
  <si>
    <t>Total requis pour tous les sites fixes</t>
  </si>
  <si>
    <t>Total préexistant dans tous les sites fixes (REMPLIR ICI)</t>
  </si>
  <si>
    <t>Reste requis dans tous les sites fixes</t>
  </si>
  <si>
    <t>Всего требуется во всех стационарных лечебных учреждениях</t>
  </si>
  <si>
    <t>Всего уже имеется в наличии во всех стационарных стационарных лечебных учреждениях (УКАЖИТЕ ЗДЕСЬ)</t>
  </si>
  <si>
    <t>Остальное оборудование, которое требуется во всех стационарных лечебных учреждениях</t>
  </si>
  <si>
    <t>Total necesario en todas las ubicaciones fijas</t>
  </si>
  <si>
    <t xml:space="preserve"> Total ya existente en Todas las ubicaciones fijas (INDICAR AQUÍ)</t>
  </si>
  <si>
    <t>Resto necesario en todas las ubicaciones fijas</t>
  </si>
  <si>
    <t>Total necessário em todos os locais fixos</t>
  </si>
  <si>
    <t>Total preexistente em todos os locais fixos (PREENCHA AQUI)</t>
  </si>
  <si>
    <t>Restante necessário em todos os locais fixos</t>
  </si>
  <si>
    <t>الإجمالي المطلوب في جميع المواقع الثابتة</t>
  </si>
  <si>
    <t>الإجمالي الموجود مسبقًا في جميع المواقع الثابتة (املأ هنا)</t>
  </si>
  <si>
    <t>الباقي المطلوب في جميع المواقع الثابتة</t>
  </si>
  <si>
    <t>所有固定站点的需求总数</t>
  </si>
  <si>
    <t>所有固定站点的现存总数（请在此处输入）</t>
  </si>
  <si>
    <t>所有固定站点仍需要的机组</t>
  </si>
  <si>
    <t>Верхняя или нижняя цена</t>
  </si>
  <si>
    <t>Капитальные и операционные затраты</t>
  </si>
  <si>
    <t>Uniquement dans les sites fixes raccordés au réseau électrique</t>
  </si>
  <si>
    <t>Только в стационарных лечебных учреждениях, в которых оборудование работает от сети</t>
  </si>
  <si>
    <t>Solo en ubicaciones fijas con suministro eléctricto</t>
  </si>
  <si>
    <t>Somente em locais fixos com alimentação da rede</t>
  </si>
  <si>
    <t>في المواقع الثابتة التي على الشبكة فقط</t>
  </si>
  <si>
    <t>仅在并网固定站点</t>
  </si>
  <si>
    <t>Total stockage au froid (tous sites fixes): dépenses d'investissement</t>
  </si>
  <si>
    <t xml:space="preserve">Всего (во всех стационарных лечебных учреждениях) хранение с соблюдением холодовой цепи - капитальные затраты </t>
  </si>
  <si>
    <t>Total almacenamiento en frío (todas las ubicaciones fijas) - Gastos de capital</t>
  </si>
  <si>
    <t>Armazenamento frigorífico total (todos os locais fixos) – Despesas de capital</t>
  </si>
  <si>
    <t>الإجمالي (جميع المواقع الثابتة) التخزين البارد - النفقات التشغيلية</t>
  </si>
  <si>
    <t>（所有固定站点）冷库总计——资本支出</t>
  </si>
  <si>
    <t>Total stockage au froid (tous sites fixes): dépenses de fonctionnement</t>
  </si>
  <si>
    <t xml:space="preserve">Всего (во всех стационарных лечебных учреждениях) хранение с соблюдением холодовой цепи - операционные затраты </t>
  </si>
  <si>
    <t>Total almacenamiento en frío (todas las ubicaciones fijas) - Gastos operativos</t>
  </si>
  <si>
    <t>Armazenamento frigorífico total (todos os locais fixos) – Despesas operacionais</t>
  </si>
  <si>
    <t xml:space="preserve"> （所有固定站点）冷库总计——运营支出</t>
  </si>
  <si>
    <t>B4.1.5 Résumé des nouveaux équipements de la chaîne du froid requis</t>
  </si>
  <si>
    <t xml:space="preserve"> B4.1.5 Краткий обзор требуемого нового ОХЦ</t>
  </si>
  <si>
    <t>B4.1.5 Resumen de nuevo equipo de cadena de frío necesario</t>
  </si>
  <si>
    <t>B4.1.5 Resumo de Novo ECF Necessário</t>
  </si>
  <si>
    <t>B4.1.5 ملخص معدات سلسلة التبريد الجديدة المطلوبة</t>
  </si>
  <si>
    <t>B4.1.5 所需新CCE汇总</t>
  </si>
  <si>
    <t>Nouvelles unités requises</t>
  </si>
  <si>
    <t>Центральный уровень</t>
  </si>
  <si>
    <t>Требуемые новые установки</t>
  </si>
  <si>
    <t>Nuevas unidades necesarias</t>
  </si>
  <si>
    <t>Novas unidades necessárias</t>
  </si>
  <si>
    <t>مركزية</t>
  </si>
  <si>
    <t>الوحدات الجديدة مطلوبة</t>
  </si>
  <si>
    <t>中央</t>
  </si>
  <si>
    <t>所需新机组</t>
  </si>
  <si>
    <t>Chambre froide</t>
  </si>
  <si>
    <t>Холодильные комнаты</t>
  </si>
  <si>
    <t>Cámaras frigoríficas</t>
  </si>
  <si>
    <t>Chambre de congélation</t>
  </si>
  <si>
    <t>Морозильные комнаты</t>
  </si>
  <si>
    <t>Cámaras de refrigeración</t>
  </si>
  <si>
    <t xml:space="preserve"> WIFR</t>
  </si>
  <si>
    <t>Холодильники с ледовой обшивкой</t>
  </si>
  <si>
    <t>Refrigeradores de pared de hielo (ILR)</t>
  </si>
  <si>
    <t>Réfrigérateur-congélateur à gaine réfrigérante ou congélateur</t>
  </si>
  <si>
    <t>Холодильник-морозильник с ледовой обшивкой или морозильник</t>
  </si>
  <si>
    <t>Cámara de congelación de pared de hielo (ILFR) o congelador</t>
  </si>
  <si>
    <t>ILFR ou Frigorífico</t>
  </si>
  <si>
    <t>ثلاجة أو مجمد مبطّن بالثلج (ILR)</t>
  </si>
  <si>
    <t>ILFR或冰柜</t>
  </si>
  <si>
    <t>Districts: solaire</t>
  </si>
  <si>
    <t>Районы - оборрудование на солнечных батареях</t>
  </si>
  <si>
    <t>Distritos - Solar</t>
  </si>
  <si>
    <t>Distritos – Solar</t>
  </si>
  <si>
    <t>المناطق - الطاقة الشمسية</t>
  </si>
  <si>
    <t>地区——太阳能</t>
  </si>
  <si>
    <t>Réfrigérateur solaire</t>
  </si>
  <si>
    <t xml:space="preserve">Холодильник на солнечной батарее с прямым приводом </t>
  </si>
  <si>
    <t>Refrigrerador SDD</t>
  </si>
  <si>
    <t>Frigorífico SDD</t>
  </si>
  <si>
    <t>ثلاجة تعمل بالطاقة الشمسية</t>
  </si>
  <si>
    <t>SDD冰箱</t>
  </si>
  <si>
    <t>Congélateur ou réfrigérateur-congélateur solaire</t>
  </si>
  <si>
    <t xml:space="preserve">Морозильник или холодильник-морозильник на солнечной батарее с прямым приводом </t>
  </si>
  <si>
    <t>Congelador o refrigerador-congelador SDD</t>
  </si>
  <si>
    <t>Frigorífico SDD ou Refrigerador-Frigorífico</t>
  </si>
  <si>
    <t>مجمد أو ثلاجة-مجمد تعمل بالطاقة الشمسية</t>
  </si>
  <si>
    <t>SDD冰柜或冷藏冷冻箱</t>
  </si>
  <si>
    <t>Districts: raccordés au réseau électrique</t>
  </si>
  <si>
    <t>Районы - оборудование, работающее от сети</t>
  </si>
  <si>
    <t>Distritos - Con red de suministro eléctrico</t>
  </si>
  <si>
    <t>Sites fixes: solaire</t>
  </si>
  <si>
    <t>Стационарные лечебные учреждения - оборудование, работающее на солнечных батареях</t>
  </si>
  <si>
    <t>Ubicaciones fijas - Solar</t>
  </si>
  <si>
    <t>Locais fixos – Solar</t>
  </si>
  <si>
    <t>المواقع الثابتة - الطاقة الشمسية</t>
  </si>
  <si>
    <t>固定站点——太阳能</t>
  </si>
  <si>
    <t>Sites fixes: raccordés au réseau électrique</t>
  </si>
  <si>
    <t>Стационарные лечебные учреждения - оборрудование, работающее от сети</t>
  </si>
  <si>
    <t>Ubicaciones fijas - Con red de suministro eléctrico</t>
  </si>
  <si>
    <t>مواقع ثابتة - على الشبكة</t>
  </si>
  <si>
    <t>固定站点——并网</t>
  </si>
  <si>
    <t>Autres</t>
  </si>
  <si>
    <t>Другое</t>
  </si>
  <si>
    <t>Otros</t>
  </si>
  <si>
    <t>Outros</t>
  </si>
  <si>
    <t>وحدات أخرى</t>
  </si>
  <si>
    <t>其他</t>
  </si>
  <si>
    <t>Dispositifs de contrôle de la température à distance dans les districts et sites fixes</t>
  </si>
  <si>
    <t>Дистанционные датчики мониторинга температуры  @ Districts and Fixed Sites</t>
  </si>
  <si>
    <t>Dispositivos de vigilancia remota de la temperatura en Distritos y Ubicaciones fijas</t>
  </si>
  <si>
    <t>Dispositivos Remotos de Monitorização da Temperatura em distritos e locais fixos</t>
  </si>
  <si>
    <t>地区和固定站点的远程温度监控设备</t>
  </si>
  <si>
    <t>Congélateurs à briquettes dans les régions et districts</t>
  </si>
  <si>
    <t xml:space="preserve">Морозильники для хладоэлементов на региональном и районном уровне </t>
  </si>
  <si>
    <t>Congeladores de paquetes de hielo en Regiones y Distritos</t>
  </si>
  <si>
    <t>Frigoríficos de blocos de gelo em regiões e distritos</t>
  </si>
  <si>
    <t>أجهزة رصد درجة الحرارة عن بُعد في المناطق والمواقع الثابتة</t>
  </si>
  <si>
    <t>区域和地区的冰袋冷柜</t>
  </si>
  <si>
    <t>Total des dépenses d'investissement pour la chaîne du froid</t>
  </si>
  <si>
    <t xml:space="preserve">Всего капитальных расходов на холодовую цепь </t>
  </si>
  <si>
    <t>Total gastos de capital para la cadena de frío</t>
  </si>
  <si>
    <t>Total das despesas de capital para a cadeia de frio</t>
  </si>
  <si>
    <t>إجمالي النفقات الرأسمالية على سسلة التبريد</t>
  </si>
  <si>
    <t>冷链资本支出总计</t>
  </si>
  <si>
    <t>Total pour unités de refroidissement</t>
  </si>
  <si>
    <t>Transports internationaux par unité</t>
  </si>
  <si>
    <t>Всего холодильных установок</t>
  </si>
  <si>
    <t xml:space="preserve">Международные поставки из расчета на одну единицу </t>
  </si>
  <si>
    <t>Total unidades de enfriamiento</t>
  </si>
  <si>
    <t>Envío internacional por unidad</t>
  </si>
  <si>
    <t>Total de unidades de refrigeração</t>
  </si>
  <si>
    <t>Expedição internacional por unidade</t>
  </si>
  <si>
    <t>إجمالي وحدات التبريد</t>
  </si>
  <si>
    <t>الشحن الدولي لكل وحدة</t>
  </si>
  <si>
    <t>冷却装置总计</t>
  </si>
  <si>
    <t>每单位国际运输</t>
  </si>
  <si>
    <t>Basé sur le budget Gavi pour l'équipement de la chaîne du froid (ECF)</t>
  </si>
  <si>
    <t>Dédouanement</t>
  </si>
  <si>
    <t>Applique le même montant ad valorem pour les fournitures vaccinales dépassant la valeur de l'ECF; à titre indicatif uniquement</t>
  </si>
  <si>
    <t>На основании расчетов Гави для бюджета ОХЦ</t>
  </si>
  <si>
    <t>Таможенное оформление</t>
  </si>
  <si>
    <t>В отношении стоимости ОХЦ применяется заявленная стоимость (ad valorem) так же, как и для расходных материалов для вакцинации; только ориентировочно</t>
  </si>
  <si>
    <t>En base al presupuesto de equipo de cadena de frío de la Gavi</t>
  </si>
  <si>
    <t>Despacho de aduanas</t>
  </si>
  <si>
    <t>Aplica el mismo ad valorem de los suministros de vacunas al valor del equipo de cadena de frío; a título indicativo únicamente</t>
  </si>
  <si>
    <t>Baseado em Orçamento de ECF da Gavi</t>
  </si>
  <si>
    <t>Desalfandegamento</t>
  </si>
  <si>
    <t>Aplica o mesmo ad valorem para o suprimento de vacinas sobre o valor do ECF; apenas indicativo</t>
  </si>
  <si>
    <t>استنادًا إلى ميزانية تحالف غافي لمعدات سلسلة التبريد</t>
  </si>
  <si>
    <t>التخليص الجمركي</t>
  </si>
  <si>
    <t>تطبق نفس القيمة على إمدادات اللقاحات على قيمة معدات سلسلة التبريد؛ إرشادية فقط</t>
  </si>
  <si>
    <t>基于Gavi CCE预算</t>
  </si>
  <si>
    <t>清关</t>
  </si>
  <si>
    <t>就CCE价值而言，采用与疫苗用品相同的从价，仅供参考</t>
  </si>
  <si>
    <t>Transports internationaux</t>
  </si>
  <si>
    <t>À titre indicatif uniquement</t>
  </si>
  <si>
    <t>Международные поставки</t>
  </si>
  <si>
    <t>Только ориентировочно</t>
  </si>
  <si>
    <t>Envío internacional</t>
  </si>
  <si>
    <t>A título indicativo únicamente</t>
  </si>
  <si>
    <t>Expedição internacional</t>
  </si>
  <si>
    <t>Apenas indicativo</t>
  </si>
  <si>
    <t>الشحن الدولي</t>
  </si>
  <si>
    <t>إرشادية فقط</t>
  </si>
  <si>
    <t>国际货运</t>
  </si>
  <si>
    <t>仅供参考</t>
  </si>
  <si>
    <t>Tasas de agente de adquisición</t>
  </si>
  <si>
    <t>NB: Non actuellement calculés dans cet outil: service d'escale, transport terrestre</t>
  </si>
  <si>
    <t xml:space="preserve">Примечание: на текущий момент данный инструмент не позволяет выполнять следующие расчеты: наземное обслуживание, наземный транспорт </t>
  </si>
  <si>
    <t>Nota: Por el momento, esta herramienta no calcula: Manipulación en tierra, transporte terrestre</t>
  </si>
  <si>
    <t>Nota: Actualmente não são calculados nesta ferramenta: Movimentação em terra, transporte terrestre</t>
  </si>
  <si>
    <t>ملاحظة: لا يتم حاليًا في هذه الأداة حسابها : المناولة على الأرض، النقل الأرضي</t>
  </si>
  <si>
    <t>注意：此工具目前的计算不包括：地面管理、地面运输</t>
  </si>
  <si>
    <t>B4.1.6 Transporte de Cadeia de Frio</t>
  </si>
  <si>
    <t>B4.1.5 Transports sous chaîne du froid du niveau central au niveau régional</t>
  </si>
  <si>
    <t>Транспортировка с соблюдением условий холодовой цепи с центрального на региональный уровень</t>
  </si>
  <si>
    <t>Transporte en cadena de frío desde base central a regional</t>
  </si>
  <si>
    <t>Transporte de cadeia de frio de central para regional</t>
  </si>
  <si>
    <t xml:space="preserve">نقل سلسلة التبريد من المركز إلى المناطق </t>
  </si>
  <si>
    <t>从中央到区域的冷链运输</t>
  </si>
  <si>
    <t>Por desplazamiento</t>
  </si>
  <si>
    <t>Por viagem</t>
  </si>
  <si>
    <t>NB: Il s'agit d'un MAX et non d'une SOMME… On suppose que le même camion amène tous les différents types de vaccins à un établissement donné, et que les coûts sont conformes aux mêmes exigences strictes</t>
  </si>
  <si>
    <t xml:space="preserve">Обратите внимание, что это МАКСИМАЛЬНОЕ значение, а НЕ СУММА  … на основании допущения, что один и тот же авторефрижератор обеспечивает перевозку вакцин разного типа в одно и то же ЛПУ, и затраты строго регламентированы </t>
  </si>
  <si>
    <t>Tener en cuenta que esto es MAX no SUM …se supone que el mismo camión lleva todos los tipos de vacuna al mismo establecimiento, y los costes siguen los requisitos más exigentes</t>
  </si>
  <si>
    <t>Note que isto é MÁX. e não SOMA ... o pressuposto é que seja o mesmo camião que leva todos os diferentes tipos de vacinas para a mesma instalação e os custos seguem o requisito mais rigoroso</t>
  </si>
  <si>
    <t>ملاحظة هذا هو الحد الأقصى وليس المجموع … والافتراض هو أن نفس الشاحنة تأخذ كل الأنواع المختلفة من اللقاحات إلى نفس المنشأة، وأن التكاليف تتبع المتطلبات الأكثر صرامة</t>
  </si>
  <si>
    <t>请注意，这是最高值而非总和……假设同一辆货车将各种不同类型的疫苗运送至同一设施，且成本遵循最严格的要求</t>
  </si>
  <si>
    <t>Охлаждение (от +2°С до + 8°C)</t>
  </si>
  <si>
    <t xml:space="preserve">Обратите внимание, что это МАКСИМАЛЬНОЕ значение, а НЕ СУММА  … на основании допущения, что один и тот же авторефрижератор обеспечиват перевозку вакцин разного типа в одно и то же ЛПУ, и затраты строго регламентированы </t>
  </si>
  <si>
    <t>请注意，这是最高值而非总和……假设是同一辆货车将各种不同类型的疫苗运送至同一设施，且成本遵循最严格的要求</t>
  </si>
  <si>
    <t>B4.2 Sécurité (pour pays FCAS)</t>
  </si>
  <si>
    <t>B4.2 Безопасность (для нестабильных и  затронутых конфликтом стран)</t>
  </si>
  <si>
    <t xml:space="preserve"> B4.2 Seguridad (par Estados frágiles y afectados por conflicto - FCAS)</t>
  </si>
  <si>
    <t>B4.2 Segurança patrimonial (para SFAC)</t>
  </si>
  <si>
    <t>B4.2 الأمن (من أجل FCAS)</t>
  </si>
  <si>
    <t>B4.2 安全（针对FCAS）</t>
  </si>
  <si>
    <t>Sécurité de l'entrepôt central</t>
  </si>
  <si>
    <t xml:space="preserve">Обеспечение безопасности на центральном складе </t>
  </si>
  <si>
    <t>Seguridad en base central</t>
  </si>
  <si>
    <t>Segurança patrimonial no armazém central</t>
  </si>
  <si>
    <t>الأمن في المخزن المركزي</t>
  </si>
  <si>
    <t>中央储存点的安全</t>
  </si>
  <si>
    <t>Sécurité pendant le transport des vaccins du niveau central à régional</t>
  </si>
  <si>
    <t>Обеспечение безопасности на этапе транспортировки вакцин с центрального на региональный уровень</t>
  </si>
  <si>
    <t>Seguridad durante el transporte de vacunas de la base central a regional</t>
  </si>
  <si>
    <t>Segurança durante o transporte de vacinas de central para regional</t>
  </si>
  <si>
    <t>الأمن أثناء نقل اللقاحات من المستوى المركزي إلى الإقليمي</t>
  </si>
  <si>
    <t>从中央到区域的疫苗运输过程中的安全性</t>
  </si>
  <si>
    <t>B5. Prestation de services au dernier kilomètre (hors vaccins et fournitures apparentées)</t>
  </si>
  <si>
    <t xml:space="preserve">B5. Предоставление услуг на этапе "последней мили" (не включает вакцины и сопутствующие расходные материалы) </t>
  </si>
  <si>
    <t>B5. Prestación de servicio de última milla (excluyendo vacunas y suministros auxiliares)</t>
  </si>
  <si>
    <t>B5. Entrega "até ao último km" (excluindo as vacinas e suprimentos relacionados)</t>
  </si>
  <si>
    <t>B5. تسليم خدمة الميل الأخير (باستثناء اللقاحات والمستلزمات ذات الصلة)</t>
  </si>
  <si>
    <t>B5. 最后一公里服务交付（不包括疫苗和相关用品）</t>
  </si>
  <si>
    <t>B5.0 Séries de vaccins à administrer: quand, comment, combien?</t>
  </si>
  <si>
    <t>Le mécanisme de paiement utilisé est-il le RBF?</t>
  </si>
  <si>
    <t>PÉRIODE D'UN SEMESTRE</t>
  </si>
  <si>
    <t>B5.4 Analyse de variance</t>
  </si>
  <si>
    <t>B5.0 Курсы вакцинации - когда, каким образом и сколько</t>
  </si>
  <si>
    <t>В механизме платежей учитывается БОР?</t>
  </si>
  <si>
    <t xml:space="preserve">B5.4 Дисперсионный анализ </t>
  </si>
  <si>
    <t>B5.0 Pautas de vacuna a administrar - Cuándo, cómo y cuántas</t>
  </si>
  <si>
    <t>El mecanismo de pago utilizado, ¿es el de financiación basada en resultados (RBF)?</t>
  </si>
  <si>
    <t>B5.4 Análisis de varianza</t>
  </si>
  <si>
    <t>B5.0 Ciclos de Vacinas a Serem Administrados – Quando, como e quantos.</t>
  </si>
  <si>
    <t>O mecanismo de pagamento utiliza FBR?</t>
  </si>
  <si>
    <t>B5.4 Análise de Variância</t>
  </si>
  <si>
    <t>B5.0 تسليم دفعات اللقاح - متى وكيف وكم</t>
  </si>
  <si>
    <t>هل آلية الدفع المستخدمة هي RBF؟</t>
  </si>
  <si>
    <t>فترة زمنية نصف سنوية</t>
  </si>
  <si>
    <t>ملاحظات:</t>
  </si>
  <si>
    <t>تحليل التباين B5.4</t>
  </si>
  <si>
    <t>B5.0 需要交付的疫苗疗程——交付时间、交付方法以及交付数量</t>
  </si>
  <si>
    <t>付款机制是否使用RBF？</t>
  </si>
  <si>
    <t>B5.4 变量分析</t>
  </si>
  <si>
    <t>Copié de B1: hypothèse de recours à la vaccination ESCOMPTÉ et non MAXIMUM | sans considération du taux de perte de vaccins</t>
  </si>
  <si>
    <t>Pour info uniquement: provient de la feuille B1</t>
  </si>
  <si>
    <t>Pourcentage</t>
  </si>
  <si>
    <t xml:space="preserve">Скопировано из B1 - допущения в отношении ОЖИДАЕМОГО, не МАКСИМАЛЬНОГО охвата | Уровень потерь вакцины не учитывается </t>
  </si>
  <si>
    <t>Только для информации - см. таблицу B1</t>
  </si>
  <si>
    <t>Процент</t>
  </si>
  <si>
    <t>Copiado de B1 - Supuesto de adopción ESPERADA no MÁXIMA | Sin tener en cuenta tasa de desperdicio de vacunas</t>
  </si>
  <si>
    <t>A efectos informativos únicamente - tomado de la hoja B1</t>
  </si>
  <si>
    <t>Porcentaje</t>
  </si>
  <si>
    <t>Copiado de B1 – PREVISTA não pressuposto de aceitação MÁXIMA | Sem considerar a taxa de desperdício de vacinas</t>
  </si>
  <si>
    <t>Só para informação – tirado da Folha B1</t>
  </si>
  <si>
    <t>Percentagem</t>
  </si>
  <si>
    <t>منسوخ من B1 - بافتراض التلقي المتوقع وليس الحد الأقصى | مع عدم اعتبار معدل هدر اللقاح</t>
  </si>
  <si>
    <t>للعلم فقط - مأخوذ من صفحة B1</t>
  </si>
  <si>
    <t>بالمئة</t>
  </si>
  <si>
    <t>从B1复制——预期的利用假设，而非最大利用假设| 不考虑疫苗浪费率</t>
  </si>
  <si>
    <t>仅供参考——取自工作表 B1</t>
  </si>
  <si>
    <t>百分比</t>
  </si>
  <si>
    <t>Variante supérieure (total)</t>
  </si>
  <si>
    <t>В связи с профессиональной деятельностью |  Стратегия организации прививок 1</t>
  </si>
  <si>
    <t xml:space="preserve">Верхний вариант (Всего) </t>
  </si>
  <si>
    <t>Variante más alta (Total)</t>
  </si>
  <si>
    <t>Variante superior (Total)</t>
  </si>
  <si>
    <t>مكان العمل | طريقة التسليم 1</t>
  </si>
  <si>
    <t>المتغير الأعلى (الإجمالي)</t>
  </si>
  <si>
    <t>上变量（总计）</t>
  </si>
  <si>
    <t>Variante inférieure (total)</t>
  </si>
  <si>
    <t>Добровольно | Стратегия организации прививок 1</t>
  </si>
  <si>
    <t>Нижний вариант (Всего)</t>
  </si>
  <si>
    <t>Variante más baja (Total)</t>
  </si>
  <si>
    <t>Variante inferior (Total)</t>
  </si>
  <si>
    <t>المتغير الأدنى (الإجمالي)</t>
  </si>
  <si>
    <t>下变量（总计）</t>
  </si>
  <si>
    <t>В связи с профессиональной деятельностью |  Стратегия организации прививок 2</t>
  </si>
  <si>
    <t>مكان العمل | طريقة التسليم 2</t>
  </si>
  <si>
    <t>Добровольно | Стратегия организации прививок 2</t>
  </si>
  <si>
    <t>B5.1 Financement fondé sur les résultats (RBF), hors vaccins et fournitures vaccinales</t>
  </si>
  <si>
    <t>Variante médiane (total)</t>
  </si>
  <si>
    <t xml:space="preserve">B5.1 Механизм бюджетирования, ориентированного на результат (БОР); вакцины и расходные материалы не включены </t>
  </si>
  <si>
    <t xml:space="preserve">Средний вариант (Всего) </t>
  </si>
  <si>
    <t>B5.1 Financiación en base a resultados (RBF), excluyendo vacunas y suministro auxiliares</t>
  </si>
  <si>
    <t>Variante Media (Total)</t>
  </si>
  <si>
    <t>B5.1 Financiamento Baseado em Resultados (FBR), excluindo vacinas e suprimentos de vacinas</t>
  </si>
  <si>
    <t>Variante média (Total)</t>
  </si>
  <si>
    <t>B5.1 التمويل القائم على النتائج (RBF)، باستثناء اللقاحات ومستلزمات اللقاحات</t>
  </si>
  <si>
    <t>المتغير الأوسط (الإجمالي)</t>
  </si>
  <si>
    <t>B5.1 基于成果的融资（RBF），不包括疫苗和相关用品</t>
  </si>
  <si>
    <t>中变量（总计）</t>
  </si>
  <si>
    <t>Cliquer ici pour changer les prix et paramètres RBF</t>
  </si>
  <si>
    <t>Prix unitaires (séries complètes de vaccination)</t>
  </si>
  <si>
    <t>Le RBF pour la prestation de service au dernier kilomètre est une option possible, qui peut être spécifiée séparément pour chaque modalité d'administration: voir feuille A2.3</t>
  </si>
  <si>
    <t xml:space="preserve">Чтобы изменить цены и параметры для применения БОР нажмите здесь </t>
  </si>
  <si>
    <t>Удельная себестоимость (Завершенные курсы вакцинации)</t>
  </si>
  <si>
    <t>Использование для этапа "последней мили" механизма бюджетирования, ориентированного на результат является одним из вариантов, и он может быть выбран независимо от стратегии организации прививок. См. A2.3</t>
  </si>
  <si>
    <t>Pulsar aquí para modificar precios y parámetros RBF</t>
  </si>
  <si>
    <t>Precios unitarios (Pautas de vacunación completas)</t>
  </si>
  <si>
    <t>La financiación en base a resultados es una opción para la prestación de última milla - se puede especificar por separado para cada una de las modalidades de administración. Ver la Hoja A2.3</t>
  </si>
  <si>
    <t>Clique aqui para alterar os preços e parâmetros de FBR</t>
  </si>
  <si>
    <t>Preços unitários (ciclos de vacinação completos)</t>
  </si>
  <si>
    <t>O financiamento baseado em resultados para a entrega "até ao último km" é uma opção – pode ser especificada independentemente para cada uma das modalidades de administração. Ver Folha A2.3</t>
  </si>
  <si>
    <t>انقر هنا لتغيير أسعار ومعايير التمويل القائم على النتائج</t>
  </si>
  <si>
    <t>التمويل القائم على النتائج لتقديم خدمة الميل الأخير هو خيار - يمكن تحديده بشكل مستقل لكل طريقة من طرائق التسليم</t>
  </si>
  <si>
    <t>点击这里更改RBF价格和参数</t>
  </si>
  <si>
    <t>单价（已完成的疫苗接种疗程）</t>
  </si>
  <si>
    <t>针对最后一公里服务交付采用基于成果融资为可选——可为每种交付模式分别指定。见工作表A2.3</t>
  </si>
  <si>
    <t>Coûts additionnels pour variante supérieure</t>
  </si>
  <si>
    <t>Дополнительные затраты - верхний вариант</t>
  </si>
  <si>
    <t>Costes adicionales de la Variante más alta</t>
  </si>
  <si>
    <t>Custos adicionais para a variante superior</t>
  </si>
  <si>
    <t>التكاليف الإضافية للمتغير الأعلى</t>
  </si>
  <si>
    <t>上变量的额外成本</t>
  </si>
  <si>
    <t>Coûts réduits pour variante inférieure</t>
  </si>
  <si>
    <t xml:space="preserve">Сокращенные затраты - нижний вариант </t>
  </si>
  <si>
    <t>Menores costes de la Variante más baja</t>
  </si>
  <si>
    <t>Custos reduzidos para a variante inferior</t>
  </si>
  <si>
    <t>التكاليف المنخفضة للمتغير الأقل</t>
  </si>
  <si>
    <t>下变量的降低成本</t>
  </si>
  <si>
    <t>(RBF hors vaccins et fournitures)</t>
  </si>
  <si>
    <t>(БОР, не включая вакцины и расходные материалы)</t>
  </si>
  <si>
    <t>(RBF excl. vacunas y suministros)</t>
  </si>
  <si>
    <t>(FBR excl. vacinas e suprimentos)</t>
  </si>
  <si>
    <t>(التمويل القائم على النتائج باستثناء اللقاحات ومستلزمات اللقاحات)</t>
  </si>
  <si>
    <t>（RBF 不包括疫苗和相关用品）</t>
  </si>
  <si>
    <t>B5.2 Financement fondé sur les apports, hors vaccins et fournitures apparentées (variante médiane)</t>
  </si>
  <si>
    <t>B5.2 Механизм бюджетирования, ориентированного на входные данные; вакцины и расходные материалы не включены (средний вариант)</t>
  </si>
  <si>
    <t>B5.2 Financiación en base a insumos, excluyendo vacunas y suministros auxiliares (Variante Media)</t>
  </si>
  <si>
    <t>B5.2 Financiamento Baseado em Insumos, excluindo vacinas e suprimentos relacionados (Variante média)</t>
  </si>
  <si>
    <t>B5.2 التمويل القائم على المدخلات، باستثناء اللقاحات والمستلزمات ذات الصلة (المتغير الأوسط)</t>
  </si>
  <si>
    <t>B5.2 基于投入的融资，不包括疫苗和相关用品（中变量）</t>
  </si>
  <si>
    <t>Le financement fondé sur les apports (IBF) est l'option par défaut pour l'administration au dernier kilomètre</t>
  </si>
  <si>
    <t>"По умолчанию" для расчета стоимости предоставления услуг на этапе "последней миле" используется механизм бюджетирования, ориентированного на входные данные.</t>
  </si>
  <si>
    <t>La financiación en base a insumos para la prestación de servicios de última milla es la modalidad "por defecto"</t>
  </si>
  <si>
    <t>Financiamento baseado em insumos para a entrega "até ao último km" é o "predefinido".</t>
  </si>
  <si>
    <t>التمويل القائم على المدخلات لخدمة تسليم الميل الأخير هو "الاعتيادي"</t>
  </si>
  <si>
    <t>“默认”针对最后一公里服务交付采用基于投入的融资</t>
  </si>
  <si>
    <t>RHS locales (toutes modalités d'administration)</t>
  </si>
  <si>
    <t>Местные КРЗ (для всех стратегий организации прививок)</t>
  </si>
  <si>
    <t>Recursos humanos para la salud (RHS) locales (todas las Modalidades de administración)</t>
  </si>
  <si>
    <t>RHS locais (todas as Modalidades de Administração)</t>
  </si>
  <si>
    <t xml:space="preserve">الموارد البشرية الصحية المحلية (جميع طرائق التسليم) </t>
  </si>
  <si>
    <t>本地HRH（所有交付模式）</t>
  </si>
  <si>
    <t>Coût total d'administration locale (hors vaccins et fournitures vaccinales)</t>
  </si>
  <si>
    <t>Всего затраты на проведение вакцинации на местном уровне (вакцины и расходные материалы не включены)</t>
  </si>
  <si>
    <t>Coste total de prestación a nivel local (excluyendo vacunas y suministros auxiliares)</t>
  </si>
  <si>
    <t>Custos totais de entrega local (excluindo vacinas e suprimentos relacionados)</t>
  </si>
  <si>
    <t>إجمالي تكاليف التسليم المحلي (باستثناء اللقاحات والمستلزمات ذات الصلة)</t>
  </si>
  <si>
    <t>本地交付成本总计（不包括疫苗和相关用品）</t>
  </si>
  <si>
    <t>Coût (IBF) par personne vaccinée</t>
  </si>
  <si>
    <t>Pour info uniquement</t>
  </si>
  <si>
    <t xml:space="preserve">(Бюджетирование, орниентированное на входные данные) стоимость на одно вакцинированное лицо </t>
  </si>
  <si>
    <t>Только для информации</t>
  </si>
  <si>
    <t>(Financiación en base a insumos) coste por persona vacunada</t>
  </si>
  <si>
    <t>Únicamente a efectos informativos</t>
  </si>
  <si>
    <t>(Financiamento baseado em insumos) custo por pessoa vacinada</t>
  </si>
  <si>
    <t>Só para informação</t>
  </si>
  <si>
    <t>(التمويل القائم على المدخلات) التكلفة لكل شخص يتم تطعيمه</t>
  </si>
  <si>
    <t>للعلم فقط</t>
  </si>
  <si>
    <t>（基于投入的融资）接受疫苗接种的人均成本</t>
  </si>
  <si>
    <t>B5.2.1. Agrégats pour le recensement des ressources</t>
  </si>
  <si>
    <t xml:space="preserve">B5.2.1. Агрегированные показатели для составления списка ресурсов </t>
  </si>
  <si>
    <t xml:space="preserve"> B5.2.1. Agregados para mapeo de recursos</t>
  </si>
  <si>
    <t>B5.2.1. Agregados para o Mapeamento de Recursos</t>
  </si>
  <si>
    <t>B5.2.1. التجميعات لتعيين الموارد</t>
  </si>
  <si>
    <t>B5.2.1. 资源映射聚合</t>
  </si>
  <si>
    <t>Salaires RHS (pour vaccinateurs nouveaux, non redéployés)</t>
  </si>
  <si>
    <t xml:space="preserve">Заработная плата КРЗ (для новых вакцинаторов, не размещенных на других объектах) </t>
  </si>
  <si>
    <t>Sueldos RHS (para vacunadores nuevos, no reasignados)</t>
  </si>
  <si>
    <t>Salários de RHS (para vacinadores novos, não reafectados)</t>
  </si>
  <si>
    <t>رواتب الموارد البشرية الصحية (بالنسبة لمقدمي التطعيمات الجدد غير الموزعين)</t>
  </si>
  <si>
    <t>HRH薪金（适用于新招募的，非调配的疫苗接种者）</t>
  </si>
  <si>
    <t>Salaires RHS (rémunération journalière)</t>
  </si>
  <si>
    <t xml:space="preserve">Ставка заработной платы (суточные) </t>
  </si>
  <si>
    <t>Salarios RHS (dietas)</t>
  </si>
  <si>
    <t>Salários de RHS (subsídios diários)</t>
  </si>
  <si>
    <t>رواتب الموارد البشرية الصحية (البدلات اليومية)</t>
  </si>
  <si>
    <t>HRH工资（每日津贴）</t>
  </si>
  <si>
    <t>Formation et déploiement local</t>
  </si>
  <si>
    <t xml:space="preserve">Подготовка на местном уровне и размещение на объектах </t>
  </si>
  <si>
    <t>Formación y despliegue local</t>
  </si>
  <si>
    <t>Formação local e mobilização</t>
  </si>
  <si>
    <t>التدريب المحلي والنشر</t>
  </si>
  <si>
    <t>本地培训和部署</t>
  </si>
  <si>
    <t>Frais des RHS</t>
  </si>
  <si>
    <t>Затраты КРЗ</t>
  </si>
  <si>
    <t>Gastos RHS</t>
  </si>
  <si>
    <t>Despesas de RHS</t>
  </si>
  <si>
    <t xml:space="preserve">نفقات الموارد البشرية الصحية </t>
  </si>
  <si>
    <t>HRH费用</t>
  </si>
  <si>
    <t xml:space="preserve">معدات الحماية الشخصية </t>
  </si>
  <si>
    <t>Génération de la demande et communication locales</t>
  </si>
  <si>
    <t>Формирование спроса и осуществление информационного взаимодействия на местном уровне</t>
  </si>
  <si>
    <t>Generación de demanda y comunicación a nivel local</t>
  </si>
  <si>
    <t>Geração de Procura e Comunicações Locais</t>
  </si>
  <si>
    <t>توليد الطلب المحلي والاتصالات</t>
  </si>
  <si>
    <t>本地需求生成和沟通</t>
  </si>
  <si>
    <t>Déplacements du personnel à l'intérieur du pays</t>
  </si>
  <si>
    <t>Перемещение персонала внутри страны</t>
  </si>
  <si>
    <t>Desplazamiento nacional del personal</t>
  </si>
  <si>
    <t>Viagens internas para o pessoal</t>
  </si>
  <si>
    <t>الانتقالات المحلية للعاملين</t>
  </si>
  <si>
    <t>人员的国内旅行</t>
  </si>
  <si>
    <t>Transport au dernier kilomètre</t>
  </si>
  <si>
    <t>Транспортировка на этапе "последней мили"</t>
  </si>
  <si>
    <t>Desplazamiento de última milla</t>
  </si>
  <si>
    <t>Transporte "até ao último km"</t>
  </si>
  <si>
    <t>نقل الميل الأخير</t>
  </si>
  <si>
    <t>最后一公里运输</t>
  </si>
  <si>
    <t>Gestion et suivi des données au niveau local, pharmacovigilance: dépenses d'investissement</t>
  </si>
  <si>
    <t>Управление данными и мониторинг данных на местном уровне, фармаконадзор - Capex</t>
  </si>
  <si>
    <t>Seguimiento y gestión de datos local, Farmacovigilancia - Capex</t>
  </si>
  <si>
    <t>Gestão e Monitorização de Dados Locais, Farmacovigilância – Capex</t>
  </si>
  <si>
    <t>إدارة البيانات المحلية ورصدها، واليقظة الدوائية - النفقات الرأسمالية (Capex)</t>
  </si>
  <si>
    <t>本地数据管理和监控，药物警戒——Capex</t>
  </si>
  <si>
    <t>Gestion et suivi des données au niveau local, pharmacovigilance: dépenses de fonctionnement</t>
  </si>
  <si>
    <t>Управление данными и мониторинг данных на местном уровне, фармаконадзор - Opex</t>
  </si>
  <si>
    <t>Seguimiento y gestión de datos local, Farmacovigilancia - Opex</t>
  </si>
  <si>
    <t>إدارة البيانات المحلية ورصدها، واليقظة الدوائية - النفقات التشغيلية (Opex)</t>
  </si>
  <si>
    <t>Interventions additionnelles</t>
  </si>
  <si>
    <t>Дополнительные мероприятия</t>
  </si>
  <si>
    <t>Intervenciones adicionales</t>
  </si>
  <si>
    <t>Intervenções adicionais</t>
  </si>
  <si>
    <t>تدخلات إضافية</t>
  </si>
  <si>
    <t>其他干预</t>
  </si>
  <si>
    <t>Vaccinateurs actuels</t>
  </si>
  <si>
    <t>Доступные вакцинаторы на текущий момент</t>
  </si>
  <si>
    <t>Vacunadores actuales</t>
  </si>
  <si>
    <t>Vacinadores actuais</t>
  </si>
  <si>
    <t>مقدمو التطعيمات الحاليون</t>
  </si>
  <si>
    <t>现有疫苗接种者</t>
  </si>
  <si>
    <t>Nouveaux vaccinateurs additionnels, par période</t>
  </si>
  <si>
    <t>Les vaccinateurs qui n'exercent plus doivent recevoir une nouvelle formation et un nouvel EPI</t>
  </si>
  <si>
    <t xml:space="preserve">Новые дополнительные вакцинаторы за один период </t>
  </si>
  <si>
    <t xml:space="preserve">Вакцинаторы, которые ранее прекратили свою деятельность, и которые должны пройти переподготовку и должны быть обеспечены СИЗ </t>
  </si>
  <si>
    <t>Nuevos vacunadores adicionales por periodo</t>
  </si>
  <si>
    <t>Los vacunadores fuera de servicio deberán recibir nueva formación y nuevo EPP</t>
  </si>
  <si>
    <t>Novos vacinadores adicionais por período</t>
  </si>
  <si>
    <t>Os vacinadores descomissionados precisariam de receber nova formação, novos EPI</t>
  </si>
  <si>
    <t>مقدمو التطعيمات الإضافيون الجدد لكل فترة زمنية</t>
  </si>
  <si>
    <t>مقدمو التطعيمات خارج الخدمة يجب إعادة تدريبهم على معدات الحماية الشخصية</t>
  </si>
  <si>
    <t>每个时间段新增疫苗接种者</t>
  </si>
  <si>
    <t>已离职的疫苗接种者需要重新接受培训，并重新配备PPE</t>
  </si>
  <si>
    <t xml:space="preserve">Всего (для всех стратегий организации прививок) вакцинатор-часов </t>
  </si>
  <si>
    <t>Total de horas de vacunadores (en todas las MA)</t>
  </si>
  <si>
    <t>Total (entre MA) de horas de vacinadores</t>
  </si>
  <si>
    <t>إجمالي ساعات عمل مقدمي التطعيمات (عبر طرائق التسليم)</t>
  </si>
  <si>
    <t>（跨所有DM的）疫苗接种者小时数总计</t>
  </si>
  <si>
    <t>Total des jours de vaccinateurs</t>
  </si>
  <si>
    <t>Всего вакцинатор-дней</t>
  </si>
  <si>
    <t>Total de días de vacunadores</t>
  </si>
  <si>
    <t>Total de vacinadores-dias</t>
  </si>
  <si>
    <t>إجمالي عدد أيام عمل مقدمي التطعيمات</t>
  </si>
  <si>
    <t>疫苗接种者天数总计</t>
  </si>
  <si>
    <t>Total des jours de vaccinateurs, payés à la journée</t>
  </si>
  <si>
    <t xml:space="preserve">Всего вакцинатор-дней - оплачивается суточными </t>
  </si>
  <si>
    <t>Total días de vacunadores - pagados con dietas</t>
  </si>
  <si>
    <t>Total de vacinadores-dias – pagos com subsídio diário</t>
  </si>
  <si>
    <t>إجمالي عدد أيام عمل مقدمي التطعيمات - المدفوعة مع البدلات اليومية</t>
  </si>
  <si>
    <t>疫苗接种者天数总计——以每日津贴支付</t>
  </si>
  <si>
    <t>Total (pour toutes modalités d'administration) des heures de vaccinateurs payées à la journée</t>
  </si>
  <si>
    <t>Всего (для всех стратегий организации прививок) вакцинатор-часов- оплачивается суточными</t>
  </si>
  <si>
    <t>Total de horas de vacunadores (en todas las MA) - pagadas con dietas</t>
  </si>
  <si>
    <t>Total (entre MA) de vacinadores-horas – pagos com subsídio diário</t>
  </si>
  <si>
    <t>إجمالي ساعات عمل مقدمي التطعيمات (عبر طرائق التسليم) - المدفوعة مع البدلات اليومية</t>
  </si>
  <si>
    <t>（跨所有DM的）疫苗接种者小时数总计——以每日津贴支付</t>
  </si>
  <si>
    <t>Glacières</t>
  </si>
  <si>
    <t>Термоконтейнеры</t>
  </si>
  <si>
    <t>Cajas frías</t>
  </si>
  <si>
    <t>Caixas frigoríficas</t>
  </si>
  <si>
    <t>صناديق التبريد</t>
  </si>
  <si>
    <t>冷藏箱</t>
  </si>
  <si>
    <t>Porte-vaccins</t>
  </si>
  <si>
    <t>Сумки-холодильники</t>
  </si>
  <si>
    <t>Portavacunas</t>
  </si>
  <si>
    <t>Transportadores de vacinas</t>
  </si>
  <si>
    <t>حاملات اللقاحات</t>
  </si>
  <si>
    <t>疫苗冷藏包</t>
  </si>
  <si>
    <t>Ressources humaines de santé (RHS) redéployables</t>
  </si>
  <si>
    <t>КРЗ, которые размещаются на других объектах</t>
  </si>
  <si>
    <t>RHS reasignables</t>
  </si>
  <si>
    <t>RHS reafectáveis</t>
  </si>
  <si>
    <t>الموارد البشرية الصحية القابلة لإعادة التوزيع</t>
  </si>
  <si>
    <t>可调配的HRH</t>
  </si>
  <si>
    <t>Vaccinateurs (équivalents temps plein ou ETP)</t>
  </si>
  <si>
    <t xml:space="preserve">Вакцинатор - Эквивалент полной занятости (ЭПЗ) </t>
  </si>
  <si>
    <t>Vacunadores equivalentes a tiempo completo (FTE)</t>
  </si>
  <si>
    <t>Vacinadores ETI</t>
  </si>
  <si>
    <t xml:space="preserve">معادل الدوام الكامل لمقدمي التطعيمات </t>
  </si>
  <si>
    <t>疫苗接种者FTE</t>
  </si>
  <si>
    <t>Vaccinateurs redéployés (ETP)</t>
  </si>
  <si>
    <t>Вакцинаторы, которые размещаются на другие объекты  - ЭПЗ</t>
  </si>
  <si>
    <t>Vacunadores reasignados (FTE)</t>
  </si>
  <si>
    <t>Vacinadores reafectados (ETI)</t>
  </si>
  <si>
    <t>مقدمو التطعيمات المعاد توزيعهم (معادل الدوام الكامل)</t>
  </si>
  <si>
    <t>调配的疫苗接种者（FTE）</t>
  </si>
  <si>
    <t>Vaccinateurs non redéployés (ETP)</t>
  </si>
  <si>
    <t>Вакцинаторы, которые не размещаются на другие объекты  - ЭПЗ</t>
  </si>
  <si>
    <t>Vacunadores no reasignados (FTE)</t>
  </si>
  <si>
    <t>Vacinadores não reafectados (ETI)</t>
  </si>
  <si>
    <t>مقدمو التطعيمات الغير معاد توزيعهم (معادل الدوام الكامل)</t>
  </si>
  <si>
    <t>非调配的疫苗接种者（FTE）</t>
  </si>
  <si>
    <t>Vaccinateurs redéployés (individus)</t>
  </si>
  <si>
    <t>Вакцинаторы, которые размещаются на другие объекты (лица)</t>
  </si>
  <si>
    <t>Vacunadores reasignados (personas)</t>
  </si>
  <si>
    <t>Vacinadores reafectados (pessoas)</t>
  </si>
  <si>
    <t>مقدمو التطعيمات المعاد توزيعهم (عدد الأشخاص)</t>
  </si>
  <si>
    <t>调配的疫苗接种者（人数）</t>
  </si>
  <si>
    <t>Vaccinateurs non redéployés (individus)</t>
  </si>
  <si>
    <t>Вакцинаторы, которые не размещаются на другие объекты (лица)</t>
  </si>
  <si>
    <t>Vacunadores no reasignados (personas)</t>
  </si>
  <si>
    <t>Vacinadores não reafectados (pessoas)</t>
  </si>
  <si>
    <t>مقدمو التطعيمات الغير معاد توزيعهم (عدد الأشخاص)</t>
  </si>
  <si>
    <t>非调配的疫苗接种者（人数）</t>
  </si>
  <si>
    <t>Déplacements à l'intérieur du pays pour le personnel</t>
  </si>
  <si>
    <t xml:space="preserve">Перемещение персонала по стране </t>
  </si>
  <si>
    <t>Desplazamiento nacional del personas</t>
  </si>
  <si>
    <t>الانتقالات الداخلية للعاماين</t>
  </si>
  <si>
    <t>Déplacement du site fixe le plus proche au site de campagne</t>
  </si>
  <si>
    <t>Проезд от ближайшего стационарного лечебного учреждения к пункту проведения прививочной кампании</t>
  </si>
  <si>
    <t>Desplazamiento de la ubicación fija más cercana a la ubicación de campaña</t>
  </si>
  <si>
    <t>Viagem do local fixo mais próximo para o local de campanha</t>
  </si>
  <si>
    <t>الانتقال من أقرب موقع ثابت إلى موقع الحملة</t>
  </si>
  <si>
    <t>从最近的固定站点到计划接种活动站点</t>
  </si>
  <si>
    <t>Déplacement du site fixe le plus proche à chaque établissement</t>
  </si>
  <si>
    <t>Проезд от ближайшего стационарного лечебного учреждения к каждому учреждению</t>
  </si>
  <si>
    <t>Desplazamiento de la ubicación fija más cercana a cada institución</t>
  </si>
  <si>
    <t>Viagem do local fixo mais próximo para cada instituição</t>
  </si>
  <si>
    <t>الانتقال من أقرب موقع ثابت إلى كل منشأة</t>
  </si>
  <si>
    <t>从最近的固定站点到每个机构</t>
  </si>
  <si>
    <t>Déplacement du site fixe le plus proche à chaque site isolé (notamment pour restocker)</t>
  </si>
  <si>
    <t>Проезд от ближайшего стационарного лечебного учреждения к каждому удаленному пункту (для обновления запаса вакцин и проч.)</t>
  </si>
  <si>
    <t>Desplazamiento de la ubicación fija más cercana a cada ubicación remota (para reponer vacunas y demás dispositivos y suministros)</t>
  </si>
  <si>
    <t>Deslocamento do local fixo mais próximo para cada local remoto (para reabastecer as vacinas etc.)</t>
  </si>
  <si>
    <t>الانتقال من أقرب موقع ثابت إلى كل موقع ناءٍ (لتجديد اللقاحات وغير ذلك)</t>
  </si>
  <si>
    <t>从最近的固定站点到每个偏远站点（以补充疫苗等）</t>
  </si>
  <si>
    <t>RH locales</t>
  </si>
  <si>
    <t>Кадровые ресурсы на местном уровне</t>
  </si>
  <si>
    <t>Recursos humanos locales</t>
  </si>
  <si>
    <t>Recursos humanos locais</t>
  </si>
  <si>
    <t>الموارد البشرية المحلية</t>
  </si>
  <si>
    <t>本地人力资源</t>
  </si>
  <si>
    <t>Rémunération des RHS (salaires des nouveaux vaccinateurs, non redéployés)</t>
  </si>
  <si>
    <t>Pour les vaccinateurs nouvellement recrutés plutôt que redéployés, permet d'inclure leur salaire</t>
  </si>
  <si>
    <t xml:space="preserve">Ставка для КРЗ (заработная плата для новых вакцинаторов, которые не размещаются на других объектах) </t>
  </si>
  <si>
    <t>Данный пункт позволяет указать  заработную плату новых вакцинаторов (в отличие от вакцинаторов, которые размещены на другие объекты)</t>
  </si>
  <si>
    <t>Salarios RHS (sueldos de vacunadores nuevos, no reasignados)</t>
  </si>
  <si>
    <t>Para vacunadores de nueva contratación, que no reasignados, esta partida permite la inclusión de sus sueldo</t>
  </si>
  <si>
    <t>Salários de RHS (salários para vacinadores novos, não reafectados)</t>
  </si>
  <si>
    <t>Para vacinadores recém-recrutados em vez de reafectados, este item permite a inclusão dos seus salários</t>
  </si>
  <si>
    <t>أجور الموارد البشريةالصحية (رواتب مقدمي التطعيمات الجدد الغير معاد توزيعهم)</t>
  </si>
  <si>
    <t>بالنسبة لمقدمي التطعيمات المعينين حديثًا وليس المعاد توزيعهم، يسمح هذا العنصر بإدراج رواتبهم</t>
  </si>
  <si>
    <t>HRH 工资（新招募的非调配疫苗接种者薪金）</t>
  </si>
  <si>
    <t>适用于新招募的疫苗接种者，而非调配人员，该项目允许将其工资包括在内</t>
  </si>
  <si>
    <t>Rémunération horaire des vaccinateurs</t>
  </si>
  <si>
    <t xml:space="preserve">Ставка вакцинатора (почасово) </t>
  </si>
  <si>
    <t>Salario por hora de vacunador</t>
  </si>
  <si>
    <t>Salário por hora dos vacinadores</t>
  </si>
  <si>
    <t>أجور مقدمي التطعيمات في الساعة</t>
  </si>
  <si>
    <t>疫苗接种者小时工资</t>
  </si>
  <si>
    <t>Temps</t>
  </si>
  <si>
    <t>Volume par dose (cm3)</t>
  </si>
  <si>
    <t>Jours entre les doses</t>
  </si>
  <si>
    <t>Combien de séries?</t>
  </si>
  <si>
    <t>Кол-во доз вакцины в одном курсе вакцинации</t>
  </si>
  <si>
    <t>Пункты вакцинации</t>
  </si>
  <si>
    <t>Время</t>
  </si>
  <si>
    <t xml:space="preserve">Объем на одну дозу (см3) </t>
  </si>
  <si>
    <t>Интервал между дозами (дней)</t>
  </si>
  <si>
    <t>Сколько курсов вакцинации?</t>
  </si>
  <si>
    <t>Ubicaciones</t>
  </si>
  <si>
    <t xml:space="preserve">Tiempo </t>
  </si>
  <si>
    <t>Volumen por dosis (cm3)</t>
  </si>
  <si>
    <t>Días entre dosis</t>
  </si>
  <si>
    <t>¿Cuántas pautas?</t>
  </si>
  <si>
    <t>Locais</t>
  </si>
  <si>
    <t>Hora</t>
  </si>
  <si>
    <t>Volume por dose (cm3)</t>
  </si>
  <si>
    <t>Dias entre doses</t>
  </si>
  <si>
    <t>Quantos ciclos?</t>
  </si>
  <si>
    <t>المواقع</t>
  </si>
  <si>
    <t>التوقيت</t>
  </si>
  <si>
    <t>حجم كل جرعة (سم3)</t>
  </si>
  <si>
    <t>عدد الأيام بين الجرعات</t>
  </si>
  <si>
    <t>كم عدد الدورات؟</t>
  </si>
  <si>
    <t>站点</t>
  </si>
  <si>
    <t>时间</t>
  </si>
  <si>
    <t>每剂体积（cm3）</t>
  </si>
  <si>
    <t>两剂之间相隔天数</t>
  </si>
  <si>
    <t>几个疗程？</t>
  </si>
  <si>
    <t xml:space="preserve"> الحد الأقصى</t>
  </si>
  <si>
    <t>Contexte d'administration</t>
  </si>
  <si>
    <t>Noter que les sites sont traités comme des "moyennes" de taille égale</t>
  </si>
  <si>
    <t xml:space="preserve">Контекст проведения вакцинации </t>
  </si>
  <si>
    <t xml:space="preserve">Обратите внимание, что все пункты считаются равными по размеру - "усредненными" </t>
  </si>
  <si>
    <t>Contexto de administración</t>
  </si>
  <si>
    <t>Las ubicaciones se consideran todas como tamaño "medio"</t>
  </si>
  <si>
    <t>Contexto da administração</t>
  </si>
  <si>
    <t>Note que os sites são tratados como "médias" do mesmo tamanho</t>
  </si>
  <si>
    <t>سياق التسليم</t>
  </si>
  <si>
    <t>لاحظ أن المواقع يتم التعامل معها على أنها "متوسطات" متساوية الحجم</t>
  </si>
  <si>
    <t>交付背景</t>
  </si>
  <si>
    <t>请注意，各站点被视为规模相等的“平均站点”</t>
  </si>
  <si>
    <t>Début de l'administration du service</t>
  </si>
  <si>
    <t>Activer UNE SEULE FOIS (avec "1") pour indiquer le début</t>
  </si>
  <si>
    <t>Начало предоставления услуг</t>
  </si>
  <si>
    <t>Инициировать (используя "1") для обозначения старта</t>
  </si>
  <si>
    <t>Inicio de la prestación del servicio</t>
  </si>
  <si>
    <t>Activar UNA VEZ (con "1") para indicar el inicio</t>
  </si>
  <si>
    <t>Início da prestação de serviços</t>
  </si>
  <si>
    <t>Accione UMA VEZ (com "1") para indicar o início</t>
  </si>
  <si>
    <t>بدء تقديم الخدمات</t>
  </si>
  <si>
    <t>ابدأ التشغيل مرة واحدة (مع "1") للإشارة إلى بدء التشغيل</t>
  </si>
  <si>
    <t>启动服务提供</t>
  </si>
  <si>
    <t>触发一次（用“ 1”表示）代表启动</t>
  </si>
  <si>
    <t>[CACHER]</t>
  </si>
  <si>
    <t>Activé</t>
  </si>
  <si>
    <t>[СКРЫТЬ]</t>
  </si>
  <si>
    <t>Инициировано</t>
  </si>
  <si>
    <t>[OCULTAR]</t>
  </si>
  <si>
    <t>Activado</t>
  </si>
  <si>
    <t>Accionado</t>
  </si>
  <si>
    <t xml:space="preserve"> [إخفاء]</t>
  </si>
  <si>
    <t>بدأ التشغيل</t>
  </si>
  <si>
    <t>[隐藏]</t>
  </si>
  <si>
    <t>已触发</t>
  </si>
  <si>
    <t>Y a-t-il des vaccinations pendant cette période?</t>
  </si>
  <si>
    <t xml:space="preserve">Плановая вакцинация проводится в этот период? </t>
  </si>
  <si>
    <t>¿Se realizan vacunaciones en este periodo?</t>
  </si>
  <si>
    <t>Vacinações em curso neste período?</t>
  </si>
  <si>
    <t>التطعيمات الجارية في هذه الفترة؟</t>
  </si>
  <si>
    <t>在该时间段开展疫苗接种吗？</t>
  </si>
  <si>
    <t>Sites pour commencer @ début de l'administration du service</t>
  </si>
  <si>
    <t xml:space="preserve">Пункты, с которых начнется вакцинация </t>
  </si>
  <si>
    <t>Ubicaciones con las que empezar en el inicio de prestación de los servicios</t>
  </si>
  <si>
    <t>Locais para começar a iniciação da prestação de serviços</t>
  </si>
  <si>
    <t>المواقع تبدأ بـ @ بدء تقديم الخدمة</t>
  </si>
  <si>
    <t>站点启动开始点@启动服务提供</t>
  </si>
  <si>
    <t>[UTILISATEURS AVANCÉS] Sites additionnels</t>
  </si>
  <si>
    <t>Nombre entier; en cas de doute, laisser en blanc</t>
  </si>
  <si>
    <t>[ДЛЯ ПРОДВИНУТЫХ ПОЛЬЗОВАТЕЛЕЙ] Дополнительные пункты вакцинации</t>
  </si>
  <si>
    <t>Общее количество; Если Вы не уверены, не заполняйте</t>
  </si>
  <si>
    <t>[USUARIOS AVANZADOS] Ubicaciones adicionales</t>
  </si>
  <si>
    <t>Número entero; dejar en blanco si no se sabe con certeza</t>
  </si>
  <si>
    <t>[UTILIZADORES AVANÇADOS] Locais adicionais</t>
  </si>
  <si>
    <t>Número inteiro; Deixe em branco se não tiver certeza</t>
  </si>
  <si>
    <t>[المستخدمون المتقدمون] مواقع إضافية</t>
  </si>
  <si>
    <t>الأرقام الكاملة؛ اترك الحقل فارغًا إذا لم تكن متأكدًا</t>
  </si>
  <si>
    <t>[高级用户] 更多站点</t>
  </si>
  <si>
    <t>整数；如果不确定，请留空</t>
  </si>
  <si>
    <t>Nouveaux sites</t>
  </si>
  <si>
    <t>Новые пункты вакцинации</t>
  </si>
  <si>
    <t>Nuevas ubicaciones</t>
  </si>
  <si>
    <t>Novos sites</t>
  </si>
  <si>
    <t>مواقع جديدة</t>
  </si>
  <si>
    <t>新站点</t>
  </si>
  <si>
    <t>Sites cumulatifs</t>
  </si>
  <si>
    <t>Совокупное количество пунктов вакцинации</t>
  </si>
  <si>
    <t>Ubicaciones acumuladas</t>
  </si>
  <si>
    <t>Locais cumulativos</t>
  </si>
  <si>
    <t>مواقع تراكمية</t>
  </si>
  <si>
    <t>累积站点</t>
  </si>
  <si>
    <t>Vaccinateurs par équipe</t>
  </si>
  <si>
    <t>Une équipe se rend dans un site; optimiser la taille des équipes</t>
  </si>
  <si>
    <t>Количество вакцинаторов в одной бригаде</t>
  </si>
  <si>
    <t xml:space="preserve">Одна бригада выезжает в один пункт; оптимизировать численность бригады </t>
  </si>
  <si>
    <t>Vacunadores por equipo</t>
  </si>
  <si>
    <t>Un equipo va a una ubicación, optimizar el tamaño del equipo</t>
  </si>
  <si>
    <t>Vacinadores por equipa</t>
  </si>
  <si>
    <t>Uma equipa vai para um local; Optimize o tamanho da equipa</t>
  </si>
  <si>
    <t>مقدمو التطعيمات لكل فريق</t>
  </si>
  <si>
    <t>ينتقل فريق إلى أحد المواقع؛ تعزيز حجم الفريق</t>
  </si>
  <si>
    <t>每个团队的疫苗接种者人数</t>
  </si>
  <si>
    <t>一个团队前往一个站点；优化团队的规模</t>
  </si>
  <si>
    <t>Nombre d'équipes</t>
  </si>
  <si>
    <t>Pour la Modalité d'administration 1… doit être égal au nombre de sites</t>
  </si>
  <si>
    <t>Количество бригад</t>
  </si>
  <si>
    <t xml:space="preserve">Для стратегии организации прививок 1 (СП1)  … должно быть равно количеству пунктов </t>
  </si>
  <si>
    <t>Número de equipos</t>
  </si>
  <si>
    <t>En la MA1, debe ser igual al número de ubicaciones</t>
  </si>
  <si>
    <t>Número de equipas</t>
  </si>
  <si>
    <t>Na MA1 ... deve ser igual ao número de locais</t>
  </si>
  <si>
    <t>عدد الفرق</t>
  </si>
  <si>
    <t>في طريقة التسليم 1 … يجب أن يساوي عدد المواقع</t>
  </si>
  <si>
    <t>团队数目</t>
  </si>
  <si>
    <t>在DM1……应等于站点的数目</t>
  </si>
  <si>
    <t>Vaccinateurs pour cette modalité d'administration</t>
  </si>
  <si>
    <t xml:space="preserve">Количество вакцинаторов для данной стратегии организации прививок </t>
  </si>
  <si>
    <t>Vacunadores para esta MA</t>
  </si>
  <si>
    <t>Vacinadores para esta MA</t>
  </si>
  <si>
    <t>مقدمو التطعيمات لطريقة التسليم هذه</t>
  </si>
  <si>
    <t>适用于此DM的疫苗接种者人数</t>
  </si>
  <si>
    <t>Total du volume de vaccins pour cette période (en litres)</t>
  </si>
  <si>
    <t>Volume de l'ensemble de la tranche de vaccins au point d'administration</t>
  </si>
  <si>
    <t xml:space="preserve">Всего объем вакцины на данный период (в литрах) </t>
  </si>
  <si>
    <t xml:space="preserve">Объем общей поставки вакцин при проведении вакцинации </t>
  </si>
  <si>
    <t>Total de volumen de vacuna por periodo (litros)</t>
  </si>
  <si>
    <t>Volumen de la totalidad de las vacunas en la administración</t>
  </si>
  <si>
    <t>Volume total de vacinas por período (litros)</t>
  </si>
  <si>
    <t>Volume de toda a parcela de vacinas na entrega</t>
  </si>
  <si>
    <t>إجمالي حجم اللقاحات لكل فترة زمنية (باللتر)</t>
  </si>
  <si>
    <t>حجم الشريحة الكاملة من اللقاحات عند تسليمها</t>
  </si>
  <si>
    <t>每个时间段的疫苗总体积（升）</t>
  </si>
  <si>
    <t>交付时整批疫苗的体积</t>
  </si>
  <si>
    <t>Temps de vaccinateur par site par dose (en heures)</t>
  </si>
  <si>
    <t>Sites de taille moyenne (moyenne des tailles)</t>
  </si>
  <si>
    <t>Время, которое требуется одному вакцинатору в одном пункте для введения одной дозы (часов)</t>
  </si>
  <si>
    <t xml:space="preserve">Средние (усредненные) по размеру пункты </t>
  </si>
  <si>
    <t>Tiempo del vacunador por ubicación y dosis (horas)</t>
  </si>
  <si>
    <t>Ubicaciones de tamaño medio</t>
  </si>
  <si>
    <t>Tempo do vacinador por local por dose (horas)</t>
  </si>
  <si>
    <t>Tamanho médio dos locais</t>
  </si>
  <si>
    <t>وقت مقدمي التطعيمات لكل موقع لكل جرعة (بالساعة)</t>
  </si>
  <si>
    <t xml:space="preserve"> مواقع متوسطة الحجم </t>
  </si>
  <si>
    <t>每站点每剂所用疫苗接种者时间（小时）</t>
  </si>
  <si>
    <t>平均（平均值）规模的站点</t>
  </si>
  <si>
    <t>Total des jours par site par dose</t>
  </si>
  <si>
    <t>Quantifié vers le haut sur la base des locaux</t>
  </si>
  <si>
    <t>Всего количество дней из расчета на один пункт для введения одной дозы</t>
  </si>
  <si>
    <t xml:space="preserve">Разбивка на подгруппы по учреждениям </t>
  </si>
  <si>
    <t>Total de días por ubicación y dosis</t>
  </si>
  <si>
    <t>Cuantificado hacia arriba en base a los establecimientos</t>
  </si>
  <si>
    <t>Total de dias por local por dose</t>
  </si>
  <si>
    <t>Quantificado com base nas instalações</t>
  </si>
  <si>
    <t>إجمالي الأيام لكل موقع لكل جرعة</t>
  </si>
  <si>
    <t>الكمية استنادًا إلى المرافق</t>
  </si>
  <si>
    <t>每个站点每剂的天数总计</t>
  </si>
  <si>
    <t>根据设施进行量化</t>
  </si>
  <si>
    <t>Total des jours par site par série</t>
  </si>
  <si>
    <t>Au cas où l'on aurait besoin de plus d'une dose</t>
  </si>
  <si>
    <t>Всего количество дней из расчета на один пункт для введения одного курса</t>
  </si>
  <si>
    <t xml:space="preserve">В случае, если требуется более одной дозы </t>
  </si>
  <si>
    <t>Total de días por ubicación y pauta</t>
  </si>
  <si>
    <t>En caso de precisar más de una dosis</t>
  </si>
  <si>
    <t>Total de dias por local por ciclo</t>
  </si>
  <si>
    <t>No caso de ser necessária mais de uma dose</t>
  </si>
  <si>
    <t>إجمالي الأيام لكل موقع لكل دورة</t>
  </si>
  <si>
    <t>في حالة الحاجة إلى أكثر من جرعة واحدة</t>
  </si>
  <si>
    <t>每个站点每疗程的天数总计</t>
  </si>
  <si>
    <t>如果需要多于一剂</t>
  </si>
  <si>
    <t>Durée de la vaccination, tous sites (étant donné le nombre d'équipes, en jours)</t>
  </si>
  <si>
    <t>MAX est le nombre de jours par période, hors week-ends et vacances</t>
  </si>
  <si>
    <t>Сколько времени требуется для проведения вакцинации на всех пунктах (с учетом количества бригад)? (дней)</t>
  </si>
  <si>
    <t>Максимальное значение определяется по количеству дней в одном периоде; не учитывайте выходные и праздники</t>
  </si>
  <si>
    <t>¿Tiempo de vacunación para todas las ubicaciones (con el # de equipos disponible)? (días)</t>
  </si>
  <si>
    <t>MAX debería ser el número de días por periodo, sin tener en cuenta fines de semana y días festivos</t>
  </si>
  <si>
    <t>Quanto tempo para vacinar todos os locais (dado nº de equipas)? (dias)</t>
  </si>
  <si>
    <t>MÁX. deve ser o número de dias por período; desconsiderando os fins de semana e feriados</t>
  </si>
  <si>
    <t>كم من الوقت مطلوب لتطعيم جميع المواقع (بحسب عدد الفرق)؟ (الأيام)</t>
  </si>
  <si>
    <t>يجب أن يكون الحد الأقصى لعدد الأيام في كل فترة زمنية، بغض النظر عن عطلات نهاية الأسبوع والأجازات</t>
  </si>
  <si>
    <t>为所有站点接种疫苗需要多长时间（考虑到团队的#）（天）?</t>
  </si>
  <si>
    <t>最大值应为每个时间段的天数；忽略周末和假期</t>
  </si>
  <si>
    <t>إجمالي أيام مقدمي التطعيمات</t>
  </si>
  <si>
    <t>Total des heures de vaccinateurs</t>
  </si>
  <si>
    <t>Pas quantifié vers le haut: est conçu comme une incitation supplémentaire</t>
  </si>
  <si>
    <t>Всего вакцинатор-часов</t>
  </si>
  <si>
    <t xml:space="preserve">Нет разбивки на подгруппы - используется для дополнительных стимулов </t>
  </si>
  <si>
    <t>Total de horas de vacunadores</t>
  </si>
  <si>
    <t>No cuantificar hacia arriba - para incentivo suplementario</t>
  </si>
  <si>
    <t>Total de vacinadores-horas</t>
  </si>
  <si>
    <t>Não quantificado – isto é para incentivo suplementar</t>
  </si>
  <si>
    <t>إجمالي ساعات مقدمي التطعيمات</t>
  </si>
  <si>
    <t>لم يتم تحديدها كميًا - هذا خاص بالحافز الإضافي</t>
  </si>
  <si>
    <t>疫苗接种者小时数总计</t>
  </si>
  <si>
    <t>未量化——适用于补充激励措施</t>
  </si>
  <si>
    <t>Total des jours-site</t>
  </si>
  <si>
    <t>Всего пункт-дней</t>
  </si>
  <si>
    <t>Total de horas de ubicación</t>
  </si>
  <si>
    <t>Total do local-dias</t>
  </si>
  <si>
    <t>إجمالي أيام الموقع</t>
  </si>
  <si>
    <t>站点天数总计</t>
  </si>
  <si>
    <t>Optimisateur des RHS</t>
  </si>
  <si>
    <t>Оптимизатор КРЗ</t>
  </si>
  <si>
    <t>Optimizador de RHS</t>
  </si>
  <si>
    <t xml:space="preserve">معزز الموارد البشرية الصحية </t>
  </si>
  <si>
    <t>HRH优化器</t>
  </si>
  <si>
    <t>Viser à ce que les équipes terminent pendant la période prévue (hors week-ends)</t>
  </si>
  <si>
    <t xml:space="preserve">Цель для бригад - завершить вакцинацию в конкретный временной период (минус выходные) </t>
  </si>
  <si>
    <t>El objetivo debe ser que los equipos acaben en el Periodo (sin contar fines de semana)</t>
  </si>
  <si>
    <t>Objectivo para que as equipas terminem dentro do período de tempo (menos fins de semana)</t>
  </si>
  <si>
    <t>الهدف الذي ستكمله الفرق خلال الفترة الزمنية (ناقص عطلات نهاية الأسبوع)</t>
  </si>
  <si>
    <t>目标是团队在此时间段内（减去周末）完成</t>
  </si>
  <si>
    <t>Génération de la demande locale et communication</t>
  </si>
  <si>
    <t xml:space="preserve">На один пункт вакцинации </t>
  </si>
  <si>
    <t xml:space="preserve">لكل موقع </t>
  </si>
  <si>
    <t>Par personne éligible à la vaccination (recours volontaire)</t>
  </si>
  <si>
    <t>На одно лицо, удовлетворяющее критериям вакцинации (охват лиц, прививаемых добровольно)</t>
  </si>
  <si>
    <t>Por persona elegible para la vacunación (adopción voluntaria)</t>
  </si>
  <si>
    <t>Por pessoa elegível para a vacinação (aceitação voluntária)</t>
  </si>
  <si>
    <t>لكل شخص مؤهل للتطعيم (تلقي طوعي)</t>
  </si>
  <si>
    <t>每位有资格接种疫苗的人（自愿性接种）</t>
  </si>
  <si>
    <t>Par personne éligible à la vaccination (recours professionnel)</t>
  </si>
  <si>
    <t>На одно лицо, удовлетворяющее критериям вакцинации (охват лиц, прививаемых в связи с их профессиональной деятельностью)</t>
  </si>
  <si>
    <t>Por persona elegible para la vacunación (adopción en base al trabajo)</t>
  </si>
  <si>
    <t>Por pessoa elegível para a vacinação (aceitação com base no trabalho)</t>
  </si>
  <si>
    <t>لكل شخص مؤهل للتطعيم (تلقي استنادًا إلى العمل)</t>
  </si>
  <si>
    <t>每位有资格接种疫苗的人（基于工种的接种）</t>
  </si>
  <si>
    <t>Logistique locale</t>
  </si>
  <si>
    <t>Логистика на местном уровне</t>
  </si>
  <si>
    <t>Logística local</t>
  </si>
  <si>
    <t xml:space="preserve"> اللوجستيات المحلية</t>
  </si>
  <si>
    <t>本地物流</t>
  </si>
  <si>
    <t>Équipe mobile de type A (solo) par équipe par jour</t>
  </si>
  <si>
    <t>Zéro (il s'agit d'un site fixe)</t>
  </si>
  <si>
    <t xml:space="preserve">Мобильная бригада типа А (индивидуальная) на одну бригаду в день </t>
  </si>
  <si>
    <t>Ноль (если вакцинация проводится в стационарном лечебном учреждении)</t>
  </si>
  <si>
    <t>Equipo móvil tipo A (Único) Por equipo y día</t>
  </si>
  <si>
    <t>Cero (ubicación fija)</t>
  </si>
  <si>
    <t>Equipa móvel tipo A (indivíduo) por equipa por dia</t>
  </si>
  <si>
    <t>Zero (este é um local fixo)</t>
  </si>
  <si>
    <t>الفريق المتنقل من النوع أ (منفرد) لكل فريق في اليوم</t>
  </si>
  <si>
    <t>صفر (هذا موقع ثابت)</t>
  </si>
  <si>
    <t>移动团队A（单人团队）每天每个团队</t>
  </si>
  <si>
    <t>零（此为固定站点）</t>
  </si>
  <si>
    <t>Équipe mobile de type B (groupe) par équipe par jour</t>
  </si>
  <si>
    <t xml:space="preserve">Мобильная бригада типа B (групповая) на одну бригаду в день </t>
  </si>
  <si>
    <t>Equipo móvil tipo B (Grupo) por equipo y día</t>
  </si>
  <si>
    <t>Equipa móvel tipo B (indivíduo) por equipa por dia</t>
  </si>
  <si>
    <t>نوع الفريق المتنقل ب (مجموعة) لكل فريق في اليوم</t>
  </si>
  <si>
    <t>移动团队B（多人团队）每天每个团队</t>
  </si>
  <si>
    <t>Sécurité par site par jour</t>
  </si>
  <si>
    <t>Considérer des ajustements pour les week-ends</t>
  </si>
  <si>
    <t>Обеспечение безопасности на один пункт вакцинации в день</t>
  </si>
  <si>
    <t>Внести корректировки с учетом выходных дней [Выполнить]</t>
  </si>
  <si>
    <t>Seguridad por ubicación y día</t>
  </si>
  <si>
    <t>Pensar en ajustar para fines de semana [POR HACER]</t>
  </si>
  <si>
    <t>Segurança patrimonial por local por dia</t>
  </si>
  <si>
    <t>Considere ajustes para fins de semana</t>
  </si>
  <si>
    <t>الأمن لكل موقع في اليوم</t>
  </si>
  <si>
    <t>اعتبار التعديلات بحسب عطلات نهاية الأسبوع [TODO]</t>
  </si>
  <si>
    <t>每个站点每天的安全</t>
  </si>
  <si>
    <t>考虑周末调整[TODO]</t>
  </si>
  <si>
    <t>Sécurité par équipe mobile par jour</t>
  </si>
  <si>
    <t xml:space="preserve">Обеспечение безопасности на одну мобильную бригаду в день </t>
  </si>
  <si>
    <t>Seguridad por equipo móvil y día</t>
  </si>
  <si>
    <t>الأمن لكل فريق من الفرق المتنقلة في اليوم الواحد</t>
  </si>
  <si>
    <t>每个移动团队每天的安全</t>
  </si>
  <si>
    <t>Gestion et suivi local des données, pharmacovigilance</t>
  </si>
  <si>
    <t>Управление данными и мониторинг данных на местном уровне, фармаконадзор</t>
  </si>
  <si>
    <t>Seguimiento y gestión de datos a nivel local, Farmacovigilancia</t>
  </si>
  <si>
    <t>Gestão e Monitorização de Dados Locais, Farmacovigilância</t>
  </si>
  <si>
    <t>إدارة البيانات المحلية ورصدها، اليقظة الدوائية</t>
  </si>
  <si>
    <t>本地数据管理和监控、药物警戒</t>
  </si>
  <si>
    <t>Par site par jour</t>
  </si>
  <si>
    <t>На один пункт вакцинации в день</t>
  </si>
  <si>
    <t>لكل موقع في اليوم</t>
  </si>
  <si>
    <t>每个站点每天</t>
  </si>
  <si>
    <t>DÉVELOPPER PLUS TARD SI NÉCESSAIRE</t>
  </si>
  <si>
    <t>ПРИ НЕОБХОДИМОСТИ РАЗРАБОТАТЬ ПОЗЖЕ</t>
  </si>
  <si>
    <t>DESARROLLAR MÁS ADELANTE EN CASO NECESARIO</t>
  </si>
  <si>
    <t>DESENVOLVER MAIS TARDE SE NECESSÁRIO</t>
  </si>
  <si>
    <t>قم بتطويرها لاحقًا حسب الحاجة</t>
  </si>
  <si>
    <t>以后需要时开发</t>
  </si>
  <si>
    <t>Par personne vaccinée</t>
  </si>
  <si>
    <t>На одно вакцинированное лицо</t>
  </si>
  <si>
    <t>Por persona vacunada</t>
  </si>
  <si>
    <t>Por pessoa vacinada</t>
  </si>
  <si>
    <t>每位被接种疫苗的个人</t>
  </si>
  <si>
    <t>لكل شخص يتم تطعيمه</t>
  </si>
  <si>
    <t>Кол-во доз в одном курсе вакцинации</t>
  </si>
  <si>
    <t xml:space="preserve">Vacuna </t>
  </si>
  <si>
    <t>Tiempo</t>
  </si>
  <si>
    <t>الأيام بين الجرعات</t>
  </si>
  <si>
    <t>Контекст проведения вакцинации</t>
  </si>
  <si>
    <t>Las ubicaciones se consideran todas como de tamaño "medio"</t>
  </si>
  <si>
    <t>Iniciação da prestação de serviços</t>
  </si>
  <si>
    <t xml:space="preserve"> بدء تقديم الخدمة</t>
  </si>
  <si>
    <t xml:space="preserve">Вакцинация проводится в этот период? </t>
  </si>
  <si>
    <t xml:space="preserve">Прививочные пункты, с которых начнется проведение вакцинации </t>
  </si>
  <si>
    <t>[ДЛЯ ПРОДВИНУТЫХ ПОЛЬЗОВАТЕЛЕЙ] Дополнительные пункты</t>
  </si>
  <si>
    <t>Déplacements à l'intérieur du pays vers les sites pendant cette période</t>
  </si>
  <si>
    <t>Проезд внутри страны к пунктам вакцинации в данный период</t>
  </si>
  <si>
    <t>Desplazamientos nacionales a ubicaciones en este periodo</t>
  </si>
  <si>
    <t>Viagens internas para locais neste período</t>
  </si>
  <si>
    <t>[الانتقالات المحلية إلى المواقع هذه الفترة الزمنيةar] Domestic Travel to Sites this Period</t>
  </si>
  <si>
    <t>在此时间段内前往站点的国内旅行</t>
  </si>
  <si>
    <t>Taille des équipes mobiles</t>
  </si>
  <si>
    <t>Размер приезжающей бригады</t>
  </si>
  <si>
    <t>Tamaño del equipo que se desplaza</t>
  </si>
  <si>
    <t>Tamanho da equipa em viagem</t>
  </si>
  <si>
    <t>حجم الفريق المتنقل</t>
  </si>
  <si>
    <t>旅行团队人数</t>
  </si>
  <si>
    <t>Une équipe par site</t>
  </si>
  <si>
    <t>Одна бригада на один пункт вакцинации</t>
  </si>
  <si>
    <t>Un equipo por ubicación</t>
  </si>
  <si>
    <t>Uma equipa por local</t>
  </si>
  <si>
    <t>فريق واحد لكل موقع</t>
  </si>
  <si>
    <t>每个团队疫苗接种者人数</t>
  </si>
  <si>
    <t>每个站点一个团队</t>
  </si>
  <si>
    <t>Volume total de vaccins par période (en litres)</t>
  </si>
  <si>
    <t>Sites de taille moyenne</t>
  </si>
  <si>
    <t>Doit être 1</t>
  </si>
  <si>
    <t>Всего количество дней для одного пункта для введения одной дозы</t>
  </si>
  <si>
    <t>Это значение должно быть равно 1</t>
  </si>
  <si>
    <t>Debe ser 1</t>
  </si>
  <si>
    <t>Este deve ser 1</t>
  </si>
  <si>
    <t>ينبغي أن يكون هذا 1</t>
  </si>
  <si>
    <t>此值应为1</t>
  </si>
  <si>
    <t>Всего количество дней для одного пункта для введения одного курса вакцинации</t>
  </si>
  <si>
    <t>Сколько времени требуется на проведение вакцинации во всех пунктах (при условии, что количество бригад равно #)? (дней)</t>
  </si>
  <si>
    <t>Максимальное значение  - количество дней в одном периоде; не учитывайте выходные и праздники</t>
  </si>
  <si>
    <t>Les équipes restent un jour par site</t>
  </si>
  <si>
    <t>Combien de temps jusqu'à ce que la glace fonde?</t>
  </si>
  <si>
    <t xml:space="preserve">Бригады, которое проводят один день в одном прививочном пункте </t>
  </si>
  <si>
    <t>Как скоро лед начинает таять?</t>
  </si>
  <si>
    <t>Los equipos pasan un día por ubicación</t>
  </si>
  <si>
    <t>¿Plazo hasta que se funda el hielo?</t>
  </si>
  <si>
    <t>As equipas passam um dia por local</t>
  </si>
  <si>
    <t>Quanto tempo até que o gelo derreta?</t>
  </si>
  <si>
    <t>تقضي الفرق يومًا واحدًا في كل موقع</t>
  </si>
  <si>
    <t>كم من الوقت قبل ذوبان الثلج؟</t>
  </si>
  <si>
    <t>团队在每个站点花一天时间</t>
  </si>
  <si>
    <t>冰要多久才会融化？</t>
  </si>
  <si>
    <t xml:space="preserve">Nombre d'équipes | Couvrir tous les sites pendant la période donnée (hors week-ends) </t>
  </si>
  <si>
    <t>Prendre en compte le temps de déplacement et les pauses</t>
  </si>
  <si>
    <t xml:space="preserve">Количество бригад |Завершить вакцинацию в прививочных пунктах в конкретный временной период  (без учета выходных) </t>
  </si>
  <si>
    <t>Учтите в расчетах время на проезд к прививочному пункту и перерывы на отдых</t>
  </si>
  <si>
    <t xml:space="preserve">Número de equipos | Acabar todas las ubicaciones en el Periodo (menos fines de semana) </t>
  </si>
  <si>
    <t>Tener en cuenta tiempo de desplazamiento y descansos</t>
  </si>
  <si>
    <t xml:space="preserve">Número de equipas | Terminar os locais dentro do período de tempo (menos fins de semana) </t>
  </si>
  <si>
    <t>Considere o tempo de deslocamento e intervalos</t>
  </si>
  <si>
    <t>عدد الفرق | إنهاء المواقع خلال الفترة الزمنية (ناقص عطلات نهاية الأسبوع)</t>
  </si>
  <si>
    <t>اعتبار وقت السفر والاستراحات</t>
  </si>
  <si>
    <t>团队数目 | 在时间段内（减去周末）完成站点</t>
  </si>
  <si>
    <t>考虑旅行和休息时间</t>
  </si>
  <si>
    <t>Considere ajustes para fins de semana [TODO]</t>
  </si>
  <si>
    <t xml:space="preserve">Обратите внимание, что все прививочные пункты считаются равными по размеру - "усредненными" </t>
  </si>
  <si>
    <t>Sites actuels pour cette période</t>
  </si>
  <si>
    <t>Функционирующие прививочные пункты в данный период</t>
  </si>
  <si>
    <t>Ubicaciones actuales en este periodo</t>
  </si>
  <si>
    <t>Locais actuais neste período</t>
  </si>
  <si>
    <t>المواقع الحالية هذه الفترة الزمنية</t>
  </si>
  <si>
    <t>本时间段内现有站点</t>
  </si>
  <si>
    <t>Déplacements à l'intérieur du pays pour cette période</t>
  </si>
  <si>
    <t>Проезд к пунктам вакцинации внутри страны в данный период</t>
  </si>
  <si>
    <t>الانتقالات المحلية إلى المواقع هذه الفترة الزمنية</t>
  </si>
  <si>
    <t>Taille de l'équipe mobile</t>
  </si>
  <si>
    <t>Численность мобильной бригады</t>
  </si>
  <si>
    <t>Одна бригада на прививочный пункт</t>
  </si>
  <si>
    <t>À optimiser</t>
  </si>
  <si>
    <t>Оптимизировать</t>
  </si>
  <si>
    <t>Optimizar equipos</t>
  </si>
  <si>
    <t>Optimize estas</t>
  </si>
  <si>
    <t>قم بتعزيز هذه</t>
  </si>
  <si>
    <t>优化这些</t>
  </si>
  <si>
    <t>Вакцинаторы для данной СП</t>
  </si>
  <si>
    <t xml:space="preserve">مواقع متوسطة الحجم </t>
  </si>
  <si>
    <t>Это должно быть равно 1</t>
  </si>
  <si>
    <t>Всего количество дней для одного пункта для введения одного курса</t>
  </si>
  <si>
    <t>Сколько времени требуется на проведение вакцинации во всех пунктах  (при условии, что количество бригад равно #)? (дней)</t>
  </si>
  <si>
    <t>Бригады, которое проводят один день в одном прививочном пункте</t>
  </si>
  <si>
    <t>Los equipos están un día por ubicación</t>
  </si>
  <si>
    <t>As equipas passam um dia em cada local</t>
  </si>
  <si>
    <t xml:space="preserve">Количество бригад |Завершить вакцинацию в прививочных пунктах в конкретный период  (без учета выходных) </t>
  </si>
  <si>
    <t>Учтите в расчетах время на проезд к прививочным пунктам и перерывы на отдых</t>
  </si>
  <si>
    <t xml:space="preserve">Número de equipos | Completar las ubicaciones en el Periodo (menos fines de semana) </t>
  </si>
  <si>
    <t>На одно лицо, удовлетворяющее критериям вакцинации (охват лиц, прививаемых В связи с профессиональной деятельностью)</t>
  </si>
  <si>
    <t>Equipo móvil tipo B (Grupo) Por equipo y día</t>
  </si>
  <si>
    <t>Equipa móvel tipo B (grupo) por equipa por dia</t>
  </si>
  <si>
    <t xml:space="preserve"> H1 2023</t>
  </si>
  <si>
    <t>Pour la Modalité d'administration 4: les sites mobiles des régions isolées seront couverts une seule fois avant de passer au suivant</t>
  </si>
  <si>
    <t xml:space="preserve">Для СП4 - в удаленных районах вакцинация в мобильных прививочных пунктах выполняется один раз, после чего бригады едут на другие пункты </t>
  </si>
  <si>
    <t>Para MA4 - las ubicaciones móviles en zonas remotas se abarcarán una vez, para después pasar a otra</t>
  </si>
  <si>
    <t>Para MA4 – locais móveis em áreas remotas serão cobertos uma vez e depois siga em frente</t>
  </si>
  <si>
    <t>بالنسبة إلى طريقة التسليم 4 - ستكون المواقع المتنقلة في المناطق النائية يتم تغطيتها مرة واحدة ثم يتم الانتقال إلى موقع آخر</t>
  </si>
  <si>
    <t>FDM4——将覆盖偏远地区移动站点一次，然后去下一个</t>
  </si>
  <si>
    <t>Проезд к прививочным пунктам внутри страны в данный период</t>
  </si>
  <si>
    <t>Population d'accès difficile, qui... peut se rendre au site de vaccination/"camp de base"</t>
  </si>
  <si>
    <t xml:space="preserve">Труднодоступное население, которое ... может самостоятельно явиться в пункт проведения вакцинации ("базовый лагерь") </t>
  </si>
  <si>
    <t>Población a la que es difícil llegar ... que puede acudir a la ubicación de administración de la vacunación / "campo base"</t>
  </si>
  <si>
    <t>População de difícil acesso que ... pode vir ao local de administração da vacina/"centro de operações"</t>
  </si>
  <si>
    <t>السكان الذين يصعب الوصول إليهم ... يمكنهم الوصول إلى موقع الاستلام / "BaseCamp"</t>
  </si>
  <si>
    <t>难以访问的人群……可以前来疫苗接种站点/“大本营”</t>
  </si>
  <si>
    <t>… doit être atteinte par une équipe mobile de type A (une personne)</t>
  </si>
  <si>
    <t xml:space="preserve"> … которое должна посетить мобильная бригада типа А (индивидуальная)</t>
  </si>
  <si>
    <t>…a la que debe acudir un Equipo móvil tipo A (equipo de una sola persona)</t>
  </si>
  <si>
    <t>... precisa de ser alcançada por uma equipa móvel Tipo A (equipa de uma pessoa)</t>
  </si>
  <si>
    <t>… ينبغي الوصول إليهم من قبل الفريق المتنقل من النوع أ (فريق شخص واحد)</t>
  </si>
  <si>
    <t>……需要由移动团队A（单人团队）触及</t>
  </si>
  <si>
    <t>… doit être atteinte par une équipe mobile de type B (plusieurs personnes)</t>
  </si>
  <si>
    <t>… которое должна посетить мобильная бригада типа Б (групповая)</t>
  </si>
  <si>
    <t>…a la que debe acudir un Equipo móvil tipo B (equipo de varias personas)</t>
  </si>
  <si>
    <t>... precisa de ser alcançada por uma equipa móvel Tipo B (equipa de várias pessoas)</t>
  </si>
  <si>
    <t>… ينبغي الوصول إليهم من قبل الفريق المتنقل من النوع ب (فريق متعدد الأشخاص)</t>
  </si>
  <si>
    <t>……需要由移动团队B（多人团队）触及</t>
  </si>
  <si>
    <t>Vaccinateurs par équipe (au "camp de base")</t>
  </si>
  <si>
    <t xml:space="preserve">Вакцинаторы в одной бригаде (в "базовом лагере") </t>
  </si>
  <si>
    <t>Vacunadores por equipo (en campo base)</t>
  </si>
  <si>
    <t>Vacinadores por equipa (no centro de operações)</t>
  </si>
  <si>
    <t>مقدمو التطعيمات لكل فريق (@Basecamp)</t>
  </si>
  <si>
    <t>每个团队疫苗接种者人数（@大本营）</t>
  </si>
  <si>
    <t>Vaccinateurs par équipe (mobile A)</t>
  </si>
  <si>
    <t>Équipe mobile A, d'une seule personne par définition</t>
  </si>
  <si>
    <t xml:space="preserve">Вакцинаторы в одной бригаде (мобильная бригада А) </t>
  </si>
  <si>
    <t>Мобильная бригада А по определению состоит из одного человека</t>
  </si>
  <si>
    <t>Vacunadores por equipo (móvil A)</t>
  </si>
  <si>
    <t>Equipo móvil A por definición, equipo de una persona</t>
  </si>
  <si>
    <t>Vacinadores por equipa (Móvel A)</t>
  </si>
  <si>
    <t>Equipa móvel A por definição, equipa de uma pessoa</t>
  </si>
  <si>
    <t>مقدمو التطعيمات لكل فريق (متنقل أ)</t>
  </si>
  <si>
    <t>الفريق المتنقل أ حسب التعريف فريق من شخص واحد</t>
  </si>
  <si>
    <t>每个团队疫苗接种者人数（移动团队A）</t>
  </si>
  <si>
    <t>移动团队A定义为一人团队</t>
  </si>
  <si>
    <t>Vaccinateurs par équipe (mobile B)</t>
  </si>
  <si>
    <t xml:space="preserve">Вакцинаторы в одной бригаде (мобильная бригада Б) </t>
  </si>
  <si>
    <t>Vacunadores por equipo (móvil B)</t>
  </si>
  <si>
    <t>Vacinadores por equipa (Móvel B)</t>
  </si>
  <si>
    <t>مقدمو التطعيمات لكل فريق (متنقل ب)</t>
  </si>
  <si>
    <t>每个团队疫苗接种者人数（移动团队B）</t>
  </si>
  <si>
    <t>Nombre total d'équipes "camp de base"</t>
  </si>
  <si>
    <t xml:space="preserve">Всего количество бригад для базового лагеря </t>
  </si>
  <si>
    <t>Número total de equipos de campo base</t>
  </si>
  <si>
    <t>Nº total de equipas do centro de operações</t>
  </si>
  <si>
    <t xml:space="preserve">إجمالي عدد فرق Basecamp </t>
  </si>
  <si>
    <t>大本营团队数目总计</t>
  </si>
  <si>
    <t>Équipes "camp de base" par "équipe des équipes"</t>
  </si>
  <si>
    <t>Бригады, работающие в базовом лагере из расчета на одну "бригаду из бригад"</t>
  </si>
  <si>
    <t>Equipos de campo base por "equipo de equipos"</t>
  </si>
  <si>
    <t>Equipas do centro de operações por "equipa de equipas"</t>
  </si>
  <si>
    <t>فرق BaseCamp لكل "فريق من الفرق"</t>
  </si>
  <si>
    <t>حسب التعريف</t>
  </si>
  <si>
    <t>每个“团队中的团队”大本营团队的数目</t>
  </si>
  <si>
    <t>Équipes mobiles A par "équipe des équipes"</t>
  </si>
  <si>
    <t xml:space="preserve">NON </t>
  </si>
  <si>
    <t>Мобильные бригады типа А на одну "бригаду из бригад"</t>
  </si>
  <si>
    <t xml:space="preserve">НЕТ </t>
  </si>
  <si>
    <t>Equipo móviles A por "equipo de equipos"</t>
  </si>
  <si>
    <t>Equipas móveis A por "equipa de equipas"</t>
  </si>
  <si>
    <t xml:space="preserve">NÃO </t>
  </si>
  <si>
    <t>الفريق المتنقل أ لكل "فريق من الفرق"</t>
  </si>
  <si>
    <t>每个“团队中的团队”移动团队A的数目</t>
  </si>
  <si>
    <t>Équipes mobiles B par "équipe des équipes"</t>
  </si>
  <si>
    <t>Мобильные бригады типа Б на одну "бригаду из бригад"</t>
  </si>
  <si>
    <t>Equipos móviles B por "equipo de equipos"</t>
  </si>
  <si>
    <t>Equipas móveis B por "equipa de equipas"</t>
  </si>
  <si>
    <t>الفريق المتنقل ب لكل "فريق من الفرق"</t>
  </si>
  <si>
    <t>每个“团队中的团队”移动团队B的数目</t>
  </si>
  <si>
    <t>Glacières requises</t>
  </si>
  <si>
    <t>Потребность в термоконтейнерах</t>
  </si>
  <si>
    <t>Cajas frías que se necesitan</t>
  </si>
  <si>
    <t>Caixas frigoríficas necessárias</t>
  </si>
  <si>
    <t>الصناديق الباردة المطلوبة</t>
  </si>
  <si>
    <t>所需冷藏箱</t>
  </si>
  <si>
    <t>Porte-vaccins requis</t>
  </si>
  <si>
    <t>Потребность в сумках-холодильниках</t>
  </si>
  <si>
    <t>Portavacunas que se necesitan</t>
  </si>
  <si>
    <t>Transportadores de vacinas necessários</t>
  </si>
  <si>
    <t xml:space="preserve"> حاملات اللقاحات المطلوبة</t>
  </si>
  <si>
    <t>所需疫苗冷藏包</t>
  </si>
  <si>
    <t>Total du volume de vaccins par période (en litres)</t>
  </si>
  <si>
    <t>Temps de vaccinateur par site par dose (en heures): "camp de base"</t>
  </si>
  <si>
    <t>Время, которое требуется одному вакцинатору в одном пункте для введения одной дозы (часов) - для базового лагеря</t>
  </si>
  <si>
    <t>Tiempo del vacunador por ubicación y dosis (horas) - campo base</t>
  </si>
  <si>
    <t>Tempo do vacinador por local por dose (horas) – Centro de operações</t>
  </si>
  <si>
    <t xml:space="preserve"> وقت مقدمي التطعيمات لكل موقع لكل جرعة (بالساعة) - Basecamp </t>
  </si>
  <si>
    <t>每站点每剂所用疫苗接种者时间（小时）——大本营</t>
  </si>
  <si>
    <t>Temps de vaccinateur par site par dose (en heures): équipe mobile A</t>
  </si>
  <si>
    <t>Время, которое требуется одному вакцинатору в одном пункте для введения одной дозы (часов) - для мобильной бригады типа А</t>
  </si>
  <si>
    <t>Tiempo del vacunador por ubicación y dosis (horas) - Móvil A</t>
  </si>
  <si>
    <t>Tempo do vacinador por local por dose (horas) – Móvel A</t>
  </si>
  <si>
    <t xml:space="preserve">وقت مقدمي التطعيمات لكل موقع لكل جرعة (بالساعة) - الفريق المتنقل أ </t>
  </si>
  <si>
    <t>每站点每剂所用疫苗接种者时间（小时）——移动团队A</t>
  </si>
  <si>
    <t>Temps de vaccinateur par site par dose (en heures): équipe mobile B</t>
  </si>
  <si>
    <t>Время, которое требуется одному вакцинатору в одном пункте для введения одной дозы (часов) - для мобильной бригады типа Б</t>
  </si>
  <si>
    <t>Tiempo del vacunador por ubicación y dosis (horas) - Móvil B</t>
  </si>
  <si>
    <t>Tempo do vacinador por local por dose (horas) – Móvel B</t>
  </si>
  <si>
    <t>وقت مقدمي التطعيمات لكل موقع لكل جرعة (بالساعة) - الفريق المتنقل ب</t>
  </si>
  <si>
    <t>每站点每剂所用疫苗接种者时间（小时）——移动团队B</t>
  </si>
  <si>
    <t>Total des jours par site par dose: "camp de base"</t>
  </si>
  <si>
    <t>Doit être juste dans les paramètres de la durée de conservation au froid</t>
  </si>
  <si>
    <t>Всего количество дней для одного пункта для введения одной дозы - Базовый лагерь</t>
  </si>
  <si>
    <t>Это должно соответствовать "холодному периоду"</t>
  </si>
  <si>
    <t>Total de días por ubicación y dosis - campo base</t>
  </si>
  <si>
    <t>Debe ser justo dentro del plazo de la "vida fría"</t>
  </si>
  <si>
    <t>Total de dias por local por dose – Centro de operações</t>
  </si>
  <si>
    <t>Isto deve estar apenas dentro da autonomia de conservação</t>
  </si>
  <si>
    <t>إجمالي الأيام لكل موقع لكل جرعة - Basecamp</t>
  </si>
  <si>
    <t>ينبغي أن يكون هذا ضمن صلاحية "الحياة الباردة" للقاحات فقط</t>
  </si>
  <si>
    <t>每个站点每剂的天数总计——大本营</t>
  </si>
  <si>
    <t>这应该刚好在“冷寿命”之内</t>
  </si>
  <si>
    <t>Total des jours par site par dose: équipe mobile A</t>
  </si>
  <si>
    <t>Всего количество дней для одного пункта для введения одной дозы - Мобильная бригада типа А</t>
  </si>
  <si>
    <t>Total de días por ubicación y dosis - Móvil A</t>
  </si>
  <si>
    <t>Total de dias por local por dose – Móvel A</t>
  </si>
  <si>
    <t xml:space="preserve">إجمالي الأيام لكل موقع لكل جرعة - الفريق المتنقل أ </t>
  </si>
  <si>
    <t>每个站点每剂的天数总计——移动团队A</t>
  </si>
  <si>
    <t>Total des jours par site par dose: équipe mobile B</t>
  </si>
  <si>
    <t>Всего количество дней для одного пункта для введения одной дозы - Мобильная бригада типа Б</t>
  </si>
  <si>
    <t>Total de días por ubicación y dosis - Móvil B</t>
  </si>
  <si>
    <t>Total de dias por local por dose – Móvel B</t>
  </si>
  <si>
    <t xml:space="preserve">إجمالي الأيام لكل موقع لكل جرعة - الفريق المتنقل ب </t>
  </si>
  <si>
    <t>每个站点每剂的天数总计——移动团队B</t>
  </si>
  <si>
    <t>Total des jours par site par série: "camp de base"</t>
  </si>
  <si>
    <t>Всего количество дней для одного пункта для введения одного курса - Базовый лагерь</t>
  </si>
  <si>
    <t>Total de días por ubicación y pauta - campo base</t>
  </si>
  <si>
    <t>Total de dias por local por ciclo – Centro de operações</t>
  </si>
  <si>
    <t>إجمالي الأيام لكل موقع لكل دورة - Basecamp</t>
  </si>
  <si>
    <t>每个站点每疗程的天数总计——大本营</t>
  </si>
  <si>
    <t>Total des jours par site par série: équipe mobile A</t>
  </si>
  <si>
    <t>Всего количество дней для одного пункта для введения одного курса - Мобильная бригада типа А</t>
  </si>
  <si>
    <t>Total de días por ubicación y pauta - Móvil A</t>
  </si>
  <si>
    <t>Total de dias por local por ciclo – Móvel A</t>
  </si>
  <si>
    <t xml:space="preserve">إجمالي الأيام لكل موقع لكل دورة - الفريق المتنقل أ </t>
  </si>
  <si>
    <t>每个站点每疗程的天数总计——移动团队A</t>
  </si>
  <si>
    <t>Total des jours par site par série: équipe mobile B</t>
  </si>
  <si>
    <t>Всего количество дней для одного пункта для введения одного курса - Мобильная бригада типа Б</t>
  </si>
  <si>
    <t>Total de días por ubicación y pauta - Móvil B</t>
  </si>
  <si>
    <t>Total de dias por local por ciclo – Móvel B</t>
  </si>
  <si>
    <t xml:space="preserve">إجمالي الأيام لكل موقع لكل دورة - الفريق المتنقل ب </t>
  </si>
  <si>
    <t>每个站点每疗程的天数总计——移动团队B</t>
  </si>
  <si>
    <t>(Maximum des totaux ci-dessus)</t>
  </si>
  <si>
    <t>(Максимальное значение вышеперечисленного)</t>
  </si>
  <si>
    <t>(Max. de los anteriores)</t>
  </si>
  <si>
    <t>(Máximo dos acima)</t>
  </si>
  <si>
    <t>(الحد الأقصى لكل ما سبق)</t>
  </si>
  <si>
    <t>（以上的最大值）</t>
  </si>
  <si>
    <t>Durée de la vaccination des zones de tous les sites (étant donné le nombre d'équipes, en jours)</t>
  </si>
  <si>
    <t>Сколько времени требуется для вакцинации во всех мобильных пунктах (учитывая, что количество бригад равно #)? (дней)</t>
  </si>
  <si>
    <t>¿Tiempo de vacunación de las zonas de todas las ubicaciones (con el # de equipos disponible)? (días)</t>
  </si>
  <si>
    <t>Quanto tempo para vacinar áreas em todos os locais (dado nº de equipas)? (dias)</t>
  </si>
  <si>
    <t>كم من الوقت مطلوب لتطعيم المناطق في جميع المواقع (بحسب عدد الفرق)؟ (الأيام)</t>
  </si>
  <si>
    <t>为全部站点所覆盖的面积开展疫苗接种需要多长时间（考虑到团队#）（天）？</t>
  </si>
  <si>
    <t>Максимальное значение определяется как количество дней в одном периоде; не учитывайте выходные и праздники</t>
  </si>
  <si>
    <t>Les équipes passent le temps de la conservation au froid par site</t>
  </si>
  <si>
    <t>"Camp de base" (par site)</t>
  </si>
  <si>
    <t>Une équipe et n membres de l'équipe</t>
  </si>
  <si>
    <t xml:space="preserve">Длительность "холодного периода", который бригады провели в одном пункте </t>
  </si>
  <si>
    <t>Базовый лагерь (на одну площадку)</t>
  </si>
  <si>
    <t>Одна бригада из N участников</t>
  </si>
  <si>
    <t>Los equipos pasan todo el plazo de "vida fría" por cada ubicación</t>
  </si>
  <si>
    <t>Campo base (por ubicación)</t>
  </si>
  <si>
    <t>Un equipo, y n miembros del equipos</t>
  </si>
  <si>
    <t>As equipas passam a duração da autonomia de conservação em cada local</t>
  </si>
  <si>
    <t>Centro de operações (por local)</t>
  </si>
  <si>
    <t>Uma equipa e n membros da equipa</t>
  </si>
  <si>
    <t>تقضي الفرق مدة "الحياة الباردة" في كل موقع</t>
  </si>
  <si>
    <t>BaseCamp (لكل موقع)</t>
  </si>
  <si>
    <t>فريق واحد، وعدد أعضاء الفريق</t>
  </si>
  <si>
    <t>每个站点团队所使用的“冷寿命”时长</t>
  </si>
  <si>
    <t>大本营（每个站点）</t>
  </si>
  <si>
    <t>一个团队，n名成员</t>
  </si>
  <si>
    <t>Ratio équipe mobile B:équipe mobile A</t>
  </si>
  <si>
    <t>Équipe mobile A (par site)</t>
  </si>
  <si>
    <t>Un membre de l'équipe et n équipes</t>
  </si>
  <si>
    <t>Соотношение количества мобильных бригад Б и А</t>
  </si>
  <si>
    <t xml:space="preserve">Мобильные бригады А (на один пункт) </t>
  </si>
  <si>
    <t>Один участник бригады, N бригад</t>
  </si>
  <si>
    <t>Ratio Móvil B: Móvil A</t>
  </si>
  <si>
    <t>Móvil A (por ubicación)</t>
  </si>
  <si>
    <t>Un miembro del equipo, y n equipos</t>
  </si>
  <si>
    <t>Móvel B: Móvel A rácio</t>
  </si>
  <si>
    <t>Móvel A (por local)</t>
  </si>
  <si>
    <t>Um membro da equipa e n equipas</t>
  </si>
  <si>
    <t>الفريق المتنقل ب: نسبة الفريق المتنقل أ</t>
  </si>
  <si>
    <t>الفريق المتنقل أ (لكل موقع)</t>
  </si>
  <si>
    <t xml:space="preserve">عضو واحد في الفريق، وعدد الفرق </t>
  </si>
  <si>
    <t>移动团队B：移动团队A的比例</t>
  </si>
  <si>
    <t>移动团队A（每个站点）</t>
  </si>
  <si>
    <t>一名团队成员，n个团队</t>
  </si>
  <si>
    <t>Équipe mobile B (par site)</t>
  </si>
  <si>
    <t>Fourchette: 2-4; le calendrier hebdomadaire de terrain est synchronisé d'office avec ceci, même s'il est possible de terminer un site plus vite</t>
  </si>
  <si>
    <t xml:space="preserve">Мобильные бригады Б (на один пункт) </t>
  </si>
  <si>
    <t xml:space="preserve">Диапазон 2-4; еженедельныый график для выездных прививочных сессий синхронизирован соответственно, даже если есть возможность завершить вакцинацию на площадке быстрее </t>
  </si>
  <si>
    <t>Móvil B (por ubicación)</t>
  </si>
  <si>
    <t>De 2 a 4; el calendario semanal de extensión se sincroniza a este valor incluso si es posible completar una ubicación con mayor rapidez</t>
  </si>
  <si>
    <t>Móvel B (por local)</t>
  </si>
  <si>
    <t>Faixa de 2-4; O programa semanal de actividades de alcance é sincronizado à força com este, mesmo que seja possível terminar um local mais rapidamente</t>
  </si>
  <si>
    <t>الفريق المتنقل ب (لكل موقع)</t>
  </si>
  <si>
    <t>يتراوح النطاق من 2 إلى 4؛ ويتزامن الجدول الزمني الأسبوعي للحملات الخارجية قسراً مع ذلك حتى لو كان من الممكن إنهاء الموقع بشكل أسرع</t>
  </si>
  <si>
    <t>移动团队B（每个站点）</t>
  </si>
  <si>
    <t>范围是2至4；即使有可能更快完成一个站点，每周的外展时间表也会制订为与此同步</t>
  </si>
  <si>
    <t>Terminer les sites pendant cette période (hors week-ends)</t>
  </si>
  <si>
    <t>Nombre d'"équipe des équipes"</t>
  </si>
  <si>
    <t>De facto une semaine de 4 jours (soit 2 sites x 2 jours par semaine, soit 1 site x 4 jours par semaine, selon la durée de conservation au froid)</t>
  </si>
  <si>
    <t xml:space="preserve">Завершить вакцинацию в прививочных пунктах в конкретный период  (без учета выходных) </t>
  </si>
  <si>
    <t>Количество дней</t>
  </si>
  <si>
    <t>Количество бригад из бригад</t>
  </si>
  <si>
    <t xml:space="preserve">Официально 4-хдневная рабочая неделя (2 дня по 2 прививочных пункта в день, или 4 дня по одному пункту в день, в зависимости от "холодного периода") </t>
  </si>
  <si>
    <t>Completar las ubicaciones en este periodo (menos fines de semana)</t>
  </si>
  <si>
    <t>Número de equipo de equipos</t>
  </si>
  <si>
    <t>En la práctica, una semana de 4 días laborables (bien 2 ubicaciones x 2 días de la semana, o 1 ubicación x 4 días de la semana, dependiendo de la "vida fría")</t>
  </si>
  <si>
    <t xml:space="preserve">Terminar os locais dentro deste período de tempo (menos fins de semana) </t>
  </si>
  <si>
    <t>Número de equipa de equipas</t>
  </si>
  <si>
    <t>Efectivamente, uma semana de trabalho de 4 dias (2 locais x 2 dias numa semana ou 1 local x 4 dias numa semana, dependendo da autonomia de conservação)</t>
  </si>
  <si>
    <t>إنهاء المواقع خلال هذه الفترة الزمنية (ناقص عطلات نهاية الأسبوع)</t>
  </si>
  <si>
    <t xml:space="preserve">عدد الفرق </t>
  </si>
  <si>
    <t>أسبوع العمل من 4 أيام (إما موقعان x يومان في الأسبوع أو موقع واحد × 4 أيام في الأسبوع حسب "الحياة الباردة"</t>
  </si>
  <si>
    <t>在此时间段内（减去周末）完成站点</t>
  </si>
  <si>
    <t>“团队中的团队”数目</t>
  </si>
  <si>
    <t>其实就是每周4个工作日（取决于“冷寿命”，可以是每周2个站点x 2天，或每周1个站点x 4天）</t>
  </si>
  <si>
    <t>На одно лицо, удовлетворяющее критериям вакцинации (охват лиц, прививаемых в связи с профессиональной деятельностью)</t>
  </si>
  <si>
    <t>Équipe mobile A (une personne) par équipe par jour</t>
  </si>
  <si>
    <t>Équipe mobile B (un groupe) par équipe par jour</t>
  </si>
  <si>
    <t>Considérer d'ajuster pour les week-ends</t>
  </si>
  <si>
    <t>R1. Rapports et visualisations des résultats</t>
  </si>
  <si>
    <t>R1. Итоговые отчеты и визуализация</t>
  </si>
  <si>
    <t>R1. Informes de resultados y visualizaciones</t>
  </si>
  <si>
    <t>R1. Relatórios de Realizações e Visualizações</t>
  </si>
  <si>
    <t xml:space="preserve"> R1. تقارير المخرجات والمرئيات</t>
  </si>
  <si>
    <t>R1. 输出报告和可视化</t>
  </si>
  <si>
    <t>R1.1 Total des coûts sur la durée</t>
  </si>
  <si>
    <t>R1.1 Всего затрат, за все время</t>
  </si>
  <si>
    <t>R1.1 Costes, en el tiempo</t>
  </si>
  <si>
    <t>R1.1 Custos Totais, ao longo do tempo</t>
  </si>
  <si>
    <t>R1.1 إجمالي التكاليف، بمرور الوقت</t>
  </si>
  <si>
    <t>R1.1 随时间推移的总成本</t>
  </si>
  <si>
    <t>Dernière mise à jour (base de données vaccinale):</t>
  </si>
  <si>
    <t>Последнее обновление (База данных по вакцинам):</t>
  </si>
  <si>
    <t>Última actualización (base de datos de vacunas):</t>
  </si>
  <si>
    <t>آخر تحديث (قاعدة بيانات اللقاحات):</t>
  </si>
  <si>
    <t>最近更新（疫苗数据库）：</t>
  </si>
  <si>
    <t>Vérifications logiques à la feuille A2</t>
  </si>
  <si>
    <t>Aller à la feuille A2 pour répondre aux vérifications logiques</t>
  </si>
  <si>
    <t>Логические проверки в Таблице A2</t>
  </si>
  <si>
    <t>Перейти к Таблице A2 для логической проверки и исправления ошибок</t>
  </si>
  <si>
    <t>Comprobaciones lógicas en la Hoja A2</t>
  </si>
  <si>
    <t>Ir a la Hoja A2 para corregir comprobaciones lógicas</t>
  </si>
  <si>
    <t>Verificações lógicas na Folha A2</t>
  </si>
  <si>
    <t>Vá para a Folha A2 para corrigir verificações lógicas</t>
  </si>
  <si>
    <t>الأساس المنطقي في صفحة A2</t>
  </si>
  <si>
    <t>انتقل إلى صفحة A2 لإصلاح الأساس المنطقي</t>
  </si>
  <si>
    <t>工作表A2中的逻辑检查</t>
  </si>
  <si>
    <t>转到工作表A2以处理逻辑检查</t>
  </si>
  <si>
    <t>Vérifications logiques à la feuille A3</t>
  </si>
  <si>
    <t>Логические проверки в Таблице A3</t>
  </si>
  <si>
    <t>Перейти к Таблице A3 для логической проверки и исправления ошибок</t>
  </si>
  <si>
    <t>Comprobaciones lógicas en la Hoja A3</t>
  </si>
  <si>
    <t>Ir a la Hoja A3 para corregir comprobaciones lógicas</t>
  </si>
  <si>
    <t>Verificações lógicas na Folha A3</t>
  </si>
  <si>
    <t>Vá para a Folha A3 para corrigir verificações lógicas</t>
  </si>
  <si>
    <t>الأساس المنطقي في صفحة A3</t>
  </si>
  <si>
    <t>انتقل إلى صفحة A3 لإصلاح الأساس المنطقي</t>
  </si>
  <si>
    <t>工作表A3中的逻辑检查</t>
  </si>
  <si>
    <t>转到工作表A3以处理逻辑检查</t>
  </si>
  <si>
    <t>Vérifications logiques à la feuille B1</t>
  </si>
  <si>
    <t>Логические проверки в Таблице B1</t>
  </si>
  <si>
    <t>Перейти к Таблице B1 для логической проверки и исправления ошибок</t>
  </si>
  <si>
    <t>Comprobaciones lógicas en la Hoja B1</t>
  </si>
  <si>
    <t>Ir a la Hoja B1 para corregir comprobaciones lógicas</t>
  </si>
  <si>
    <t>Verificações lógicas na Folha B1</t>
  </si>
  <si>
    <t>Vá para a Folha B1 para corrigir verificações lógicas</t>
  </si>
  <si>
    <t>الأساس المنطقي في صفحة B1</t>
  </si>
  <si>
    <t xml:space="preserve">انتقل إلى صفحة B1 لإصلاح الأساس المنطقي </t>
  </si>
  <si>
    <t>工作表B1中的逻辑检查</t>
  </si>
  <si>
    <t>转到工作表B1以处理逻辑检查</t>
  </si>
  <si>
    <t>Équilibre entre offre et demande?</t>
  </si>
  <si>
    <t>Обеспечен ли баланс снабжения и потребности?</t>
  </si>
  <si>
    <t>¿Equilibrio de suministro-demanda?</t>
  </si>
  <si>
    <t>Oferta-procura equilibradas?</t>
  </si>
  <si>
    <t>التوازن بين العرض والطلب؟</t>
  </si>
  <si>
    <t>供需是否平衡？</t>
  </si>
  <si>
    <t>NB: On trouvera ici le total des coûts estimé à l'aide de cette plateforme de calcul des coûts, sur la base d'hypothèses spécifiées par l'utilisateur concernant la priorisation des populations cibles, les paramètres d'administration et les coûts unitaires.
Les estimations moyennes des variantes utilisent le temps de vaccination par dose spécifié dans la base de données vaccinale (par défaut: 10 minutes); les variantes supérieure et inférieure se fondent sur des temps de vaccination plus longs ou plus courts que la variante moyenne, pour une durée spécifiée par l'utilisateur ([A2.3], par défaut 2,5 minutes de plus ou de moins).
Les coûts de la vaccination compris dans ce total sont les coûts opérationnels, des dépenses d'investissement intéressant les partenaires ainsi que des investissements et le coût de développement au niveau central pour des activités décrites dans les outils VIRAT-VRAF 2.0 et PNDV. Les coûts inclus sont ventilés plus en détail à la feuille R2</t>
  </si>
  <si>
    <t>Примечание: В данном разделе представлены результаты итоговых расчетов, выполненных с помощью данного инструмента. Расчеты основаны на принятых пользователем допущениях в отношении приоритетных групп для вакцинации, параметров проведения вакцинации и удельной себестоимости продуктов и услуг.
Средний вариант предполагает, что для введения одной дозы вакцины требуется время, указанное в базе данных по вакцинам (по  умолчанию - 10 минут), а верхний вариант и нижний вариант - более длительное и более короткое время соответственно, которое указано пользователем [A2.3] (по умолчанию - на 2,5 минуты больше и на 2,5 минуты меньше).
В представленые ниже итоговые расчеты включены операционные затраты, выборочно включены те капитальные затраты, которые представляют интерес для участвующих сторон, централизованные инвестиции и затраты на разработку для мероприятий, описанных в инструменте VIRAT-VRAF 2.0 и НСП. Детализированная информация по тем затратам, которые были использованы в расчетах, содержится в таблице R2.</t>
  </si>
  <si>
    <t>Nota: Se proporcionan aquí los costes totales estimados con esta herramienta de estimación de costes, en base a los supuestos sobre priorización de la población objetivo, parámetros de administración y costes unitarios especificados por el usuario.
Las estimaciones de variante media utilizan el tiempo de vacunación por dosis especificado en la base de datos de vacunas (defecto = 10 minutos), y las variantes más altas y más bajas utilizan tiempos de vacunación más largos y más cortos que la variante media, mediante una duración especificada por el usuario [A2.3] (por defecto, 2,5 minutos más y 2,5 minutos menos).
Los costes de vacunación incluidos en este total son costes operativos, determinados costes de capital de interés para los asociados, y costes de inversión y desarrollo de nivel central para las actividades descritas en el VIRAT-VRAF 2.0 y en el PNDV. El detalle de los costes que se incluyen aparecen desagregados en R2.</t>
  </si>
  <si>
    <t>Nota: Os custos totais estimados usando esta plataforma de cálculo de custos, baseados em pressupostos especificados pelo utilizador sobre a priorização da população-alvo, parâmetros de entrega e custos unitários são fornecidos aqui.
As estimativas da variante média utilizam o tempo de vacinação por dose especificado na base de dados de vacinas (padrão = 10 minutos), e as variantes superior e inferior utilizam tempos de vacinação mais longos e mais curtos do que a variante média, por uma duração especificada pelo utilizador [A2.3] duração (o padrão é 2,5 minutos mais longa e 2,5 minutos mais curta).
Os custos da vacinação incluídos neste total são custos operacionais, custos de capital seleccionados de interesse dos parceiros, investimentos de nível central e custos de desenvolvimento para actividades descritas no VIRAT-VRAF 2.0 e no PNDV. Os pormenores dos custos incluídos são desagregados em R2.</t>
  </si>
  <si>
    <t>ملاحظة: يتم هنا تقديم إجمالي التكاليف المقدرة باستخدام منصة التكلفة هذه، استنادًا إلى الافتراضات المحددة من قبل المستخدم حول تحديد الأولويات المجموعات السكانية المستهدفة، ومعايير التسليم، وتكاليف الوحدات.
تستخدم تقديرات المتغير الأوسط وقت التطعيم لكل جرعة محددة في قاعدة بيانات اللقاح (الافتراضي = 10 دقائق)، وتستخدم المتغيرات الأعلى والأدنى أوقات تطعيم أطول وأقصر من المتغير الأوسط، حسب مدة محددة من قبل المستخدم [A2.3] (الإعداد الافتراضي هو 2.5 دقيقة أطول و2.5 دقيقة أقصر).
وتشمل تكاليف التطعيم في هذا المجموع التكاليف التشغيلية، والتكاليف الرأسمالية المختارة التي تهم الشركاء، والاستثمارات على المستوى المركزي وتكاليف التنمية للانشطة الموصوفة في برنامج VIRAT-VRAF 2.0، والخطة الوطنية لتوزيع اللقاحات والتطعيم.
وترد تفاصيل التكاليف الواردة في هذا المرفق مفصلة في R2.</t>
  </si>
  <si>
    <t>注意：在这里利用此成本核算平台估算出总成本，基于用户对目标人群优先安排、交付参数和单位成本的具体假设。
中变量估计值使用了疫苗数据库中指定的每剂疫苗接种时间（默认值 = 10分钟），上变量和下变量分别使用了长于和短于中变量的疫苗接种时间（即用户指定的时间[A2.3]）（默认值分别为增加2.5分钟和减少2.5分钟）。
总额中的疫苗接种成本包括运营成本、合作伙伴感兴趣的特定资本成本以及VIRAT-VRAF 2.0和NDVP所述活动的中央一级投资和开发成本。R2对所包含的成本细节进行了分解。</t>
  </si>
  <si>
    <t>Total des coûts</t>
  </si>
  <si>
    <t>Всего затрат</t>
  </si>
  <si>
    <t>Costes totales</t>
  </si>
  <si>
    <t>Custos totais</t>
  </si>
  <si>
    <t>التكاليف الإجمالية</t>
  </si>
  <si>
    <t>Суммарный итог (в долларах США) - средний вариант</t>
  </si>
  <si>
    <t>Total general (USD) - Variante media</t>
  </si>
  <si>
    <t>Variante más alta</t>
  </si>
  <si>
    <t>Variante más baja</t>
  </si>
  <si>
    <t>(variante moyenne)…. cumulatif</t>
  </si>
  <si>
    <t>(средний вариант) …. суммарно</t>
  </si>
  <si>
    <t>(variante media) ….acumulada</t>
  </si>
  <si>
    <t>(variante média) .... cumulativos</t>
  </si>
  <si>
    <t>(المتغير الأوسط) ... تراكمي</t>
  </si>
  <si>
    <t>（中变量）……累积</t>
  </si>
  <si>
    <t>(variante supérieure)…. cumulatif</t>
  </si>
  <si>
    <t>(верхний вариант) …. суммарно</t>
  </si>
  <si>
    <t>(variante más alta) …acumulada</t>
  </si>
  <si>
    <t>(variante superior) .... cumulativos</t>
  </si>
  <si>
    <t>(المتغير الأعلى) ... تراكمي</t>
  </si>
  <si>
    <t>（上变量）……累积</t>
  </si>
  <si>
    <t>(variante inférieure)…. cumulatif</t>
  </si>
  <si>
    <t>(нижний вариант) …. суммарно</t>
  </si>
  <si>
    <t>(variante más baja) …acumulada</t>
  </si>
  <si>
    <t>(variante inferior) .... cumulativos</t>
  </si>
  <si>
    <t>(المتغير الأدنى) ... تراكمي</t>
  </si>
  <si>
    <t>（下变量）……累积</t>
  </si>
  <si>
    <t>Coûts cumulés</t>
  </si>
  <si>
    <t>Суммарные затраты</t>
  </si>
  <si>
    <t>Costes acumulados</t>
  </si>
  <si>
    <t>Custos Cumulativos</t>
  </si>
  <si>
    <t>التكاليف الإجمالية:</t>
  </si>
  <si>
    <t>总成本</t>
  </si>
  <si>
    <t>累积成本</t>
  </si>
  <si>
    <t>R1.2 Ventilation des coûts, par catégorie</t>
  </si>
  <si>
    <t xml:space="preserve">R1.2 Детализация зарат по категориям </t>
  </si>
  <si>
    <t>R1.2 Desglose de costes, por categoría</t>
  </si>
  <si>
    <t>R1.2 Discriminação dos Custos, por categoria</t>
  </si>
  <si>
    <t>R1.2 توزيع التكلفة، حسب الفئة</t>
  </si>
  <si>
    <t>R1.2 成本细分，按类别</t>
  </si>
  <si>
    <t>Poste</t>
  </si>
  <si>
    <t>المرجع</t>
  </si>
  <si>
    <t>Assistance technique autonome</t>
  </si>
  <si>
    <t>NB: Il s'agit d'un calcul des coûts "bottom up", fondé sur la population cible, le recours attendu à la vaccination et les pertes de vaccins et NON PAS sur l'offre et l'allocation</t>
  </si>
  <si>
    <t>Отдельно оказываемая техническая помощь</t>
  </si>
  <si>
    <t xml:space="preserve">Примечание: Это полные затраты с учетом численности целевого населения, ожидаемого уровня охвата прививками и уровня потерь вакцин - эти затраты не основаны на доступном снабжении вакцинами/ выделении вакцин  </t>
  </si>
  <si>
    <t>Asistencia técnica individual</t>
  </si>
  <si>
    <t>Nota: Esta es una estimación de coste desde abajo, en base a la población objetivo, la adopción esperada y el desperdicio de vacunas - NO basada en suministro / asignación</t>
  </si>
  <si>
    <t>Ajuda técnica autónoma</t>
  </si>
  <si>
    <t>Nota: Este é um cálculo de custos a partir do zero baseado na população-alvo, na aceitação esperada e no desperdício de vacinas – NÃO é baseado no fornecimento/alocação</t>
  </si>
  <si>
    <t>المساعدة التقنية المستقلة</t>
  </si>
  <si>
    <t>ملاحظة: هذا هو حساب التكلفة الأساسية استناداً إلى السكان المستهدفين، والقبول المتوقع، وإهدار اللقاح ــ ليس استناداً إلى العرض / التخصيص</t>
  </si>
  <si>
    <t>单独提供的技术援助</t>
  </si>
  <si>
    <t>注意：这是基于目标人群、预期利用率和疫苗浪费的初步成本核算，而非基于供应/分配</t>
  </si>
  <si>
    <t>Doses de vaccin, y compris fret</t>
  </si>
  <si>
    <t>Дозы вакцин, с учетом стоимости доставки</t>
  </si>
  <si>
    <t>Dosis de vacuna, incl. envío</t>
  </si>
  <si>
    <t>Doses da vacina, incl. transporte</t>
  </si>
  <si>
    <t>جرعات اللقاح، بما فيها الشحن</t>
  </si>
  <si>
    <t>疫苗剂量，含运费</t>
  </si>
  <si>
    <t>Fournitures vaccinales et dispositifs vaccinaux, y compris fret</t>
  </si>
  <si>
    <t>Расходные материалы/устройства для вакцинации, с учетом стоимости доставки</t>
  </si>
  <si>
    <t>Suministros / dispositivos auxiliares para las vacunas, incl. envío</t>
  </si>
  <si>
    <t>Suprimentos/Dispositivos relacionados à vacina, incl. transporte</t>
  </si>
  <si>
    <t>الإمدادات/الأجهزة المرتبطة باللقاح، بما فيها الشحن</t>
  </si>
  <si>
    <t>与疫苗相关的用品/设备，含运费</t>
  </si>
  <si>
    <t>RHS (formation, déploiement et rémunération des vaccinateurs)</t>
  </si>
  <si>
    <t>КРЗ (Подготовка персонала, размещение персонала, компенсационные выплаты)</t>
  </si>
  <si>
    <t>RHS (Formación, despliegue y compensación de vacunadores)</t>
  </si>
  <si>
    <t>RHS (formação, mobilização e remuneração de vacinadores)</t>
  </si>
  <si>
    <t>الموارد البشرية الصحية (تدريب مقدمي التطعيمات ونشرهم وتعويضهم)</t>
  </si>
  <si>
    <t>HRH（疫苗接种者的培训、部署和报酬）</t>
  </si>
  <si>
    <t>Logistique et transports dans le pays (hors chaîne du froid, sécurité)</t>
  </si>
  <si>
    <t>Внутренняя логистика и транспорт (не включается обеспечение холодовой цепи и безопасности)</t>
  </si>
  <si>
    <t>Logística y transporte nacional (excl. cadena de frío, seguridad)</t>
  </si>
  <si>
    <t>Logística e transporte nacionais (excl. cadeia de frio, segurança patrimonial)</t>
  </si>
  <si>
    <t>اللوجستيات الداخلية (باستثناء سلسلة التبريد والأمن)</t>
  </si>
  <si>
    <t>国内物流与运输（不含冷链、安全）</t>
  </si>
  <si>
    <t>Paiements RBF</t>
  </si>
  <si>
    <t>Выплаты с использованием механизма БОР</t>
  </si>
  <si>
    <t>Pagos RBF</t>
  </si>
  <si>
    <t>Pagamentos FBR</t>
  </si>
  <si>
    <t>مدفوعات التمويل القائم على النتائج (RBF)</t>
  </si>
  <si>
    <t>RBF付款</t>
  </si>
  <si>
    <t>Sécurité (par ex. pour pays FCAS, hors assistance technique)</t>
  </si>
  <si>
    <t>Обеспечение безопасности (например, для стран с нестабильной и затронутой конфликтами ситуацией; техническая помощь не включается)</t>
  </si>
  <si>
    <t>Seguridad (por ejemplo, para FCAS, excl. asistencia técnica)</t>
  </si>
  <si>
    <t>Segurança patrimonial (por ex., para SFAC; excl. ajuda técnica)</t>
  </si>
  <si>
    <t>الأمن (على سبيل المثال، بالنسبة إلى FCAS؛ باستثناء المساعدة التقنية)</t>
  </si>
  <si>
    <t>安全性（例如，针对FCAS；不含技术援助）</t>
  </si>
  <si>
    <t>Gestion et suivi des données, pharmacovigilance et supervision</t>
  </si>
  <si>
    <t>Управление и мониторинг данных, фармаконадзор и контроль исполнения</t>
  </si>
  <si>
    <t>Seguimiento y gestión de datos, Farmacovigilancia y Supervisión</t>
  </si>
  <si>
    <t>Gestão e Monitorização de Dados, Farmacovigilância e Supervisão</t>
  </si>
  <si>
    <t>إدارة البيانات ورصدها، واليقظة الدوائية، والرقابة</t>
  </si>
  <si>
    <t>数据管理和监控、药物警戒和监督</t>
  </si>
  <si>
    <t>Chaîne du froid</t>
  </si>
  <si>
    <t xml:space="preserve">Холодовая цепь </t>
  </si>
  <si>
    <t>Cadena de frío</t>
  </si>
  <si>
    <t>Cadeia de frio</t>
  </si>
  <si>
    <t>سلسلة التبريد</t>
  </si>
  <si>
    <t>冷链</t>
  </si>
  <si>
    <t>Par série; suppose que personne n'est vacciné que partiellement</t>
  </si>
  <si>
    <t>На один курс; предполагается, что все вакцинируемые получат полный курс прививок</t>
  </si>
  <si>
    <t>Por pauta; supone que no hay personas parcialmente vacunadas</t>
  </si>
  <si>
    <t>Por ciclo; Pressupõe que não há pessoas parcialmente vacinadas</t>
  </si>
  <si>
    <t>لكل دورة؛ لا يفترض وجود أشخاص تم تطعيمهم جزئيًا</t>
  </si>
  <si>
    <t>每疗程；假设不存在仅部分接种疫苗的个人</t>
  </si>
  <si>
    <t>Par dose (y compris doses perdues)</t>
  </si>
  <si>
    <t>На одну дозу (с учетом потерянных доз)</t>
  </si>
  <si>
    <t>Por dosis (incluyendo dosis desperdiciadas)</t>
  </si>
  <si>
    <t>por dose (incluindo as doses desperdiçadas)</t>
  </si>
  <si>
    <t>لكل جرعة (بما في ذلك الجرعات المهدرة)</t>
  </si>
  <si>
    <t>每剂（包括浪费的剂数）</t>
  </si>
  <si>
    <t>Ventilation des coûts</t>
  </si>
  <si>
    <t>Ventilation des coûts (au S1 2021, y compris coûts centraux)</t>
  </si>
  <si>
    <t>Детализация затрат</t>
  </si>
  <si>
    <t>Детализация затрат ( в Полугодии 1 2021, в том числе для централизованно покрываемых затрат)</t>
  </si>
  <si>
    <t>Desglose de costes</t>
  </si>
  <si>
    <t>Desglose de costes (en H1 2021, inc. costes centrales)</t>
  </si>
  <si>
    <t>Discriminação dos custos</t>
  </si>
  <si>
    <t>Discriminação dos custos (no S1 2021, incl. custos centrais)</t>
  </si>
  <si>
    <t>توزيع التكلفة</t>
  </si>
  <si>
    <t>توزيع التكلفة (في H1 2021، بما في ذلك التكاليف المركزية)</t>
  </si>
  <si>
    <t>成本细分</t>
  </si>
  <si>
    <t>成本细分（2021年上半年，含中央成本）</t>
  </si>
  <si>
    <t>R1.3 À quelle vitesse? (Variante médiane)</t>
  </si>
  <si>
    <t>R1.3 Как быстро? (Средний вариант)</t>
  </si>
  <si>
    <t>R1.3 ¿Con qué rapidez? (Variante media)</t>
  </si>
  <si>
    <t>R1.3 Com que rapidez? (Variante média)</t>
  </si>
  <si>
    <t>R1.3 كم سرعة؟ (المتغير الأوسط)</t>
  </si>
  <si>
    <t>R1.3 多快？（中变量）</t>
  </si>
  <si>
    <t>R1.3.1 Jours dans une période (compte tenu des week-ends), équipes de modalités d'administration simultanées</t>
  </si>
  <si>
    <t xml:space="preserve">Période (jours) = </t>
  </si>
  <si>
    <t xml:space="preserve">R1.3.1 Количество дней в одном периоде (с учетом выходных), если бригады вакцинаторов одновременно реализуют разные формы проведения вакцинации </t>
  </si>
  <si>
    <t xml:space="preserve">Период (дней) = </t>
  </si>
  <si>
    <t>R1.3.1 Días en un periodo (teniendo en cuenta fines de semana), equipos concurrentes de modalidad de administración</t>
  </si>
  <si>
    <t xml:space="preserve">Periodo (días) = </t>
  </si>
  <si>
    <t>R1.3.1 Dias dentro de um período (considerando fins de semana), equipas de modalidade de administração simultânea</t>
  </si>
  <si>
    <t xml:space="preserve">Período (dias) = </t>
  </si>
  <si>
    <t>R1.3.1 الأيام خلال الفترة الزمنية (مع الأخذ في الاعتبار عطلات نهاية الأسبوع)، فرق  التسليم المتزامنة</t>
  </si>
  <si>
    <t>الفترة الزمنية (بالأيام) =</t>
  </si>
  <si>
    <t>R1.3.1 一个时间段内（考虑周末）的天数，各交付模式团队同时开展工作</t>
  </si>
  <si>
    <t xml:space="preserve">时间段（天数）= </t>
  </si>
  <si>
    <t>NB: Les barres bleues dans cette section montrent le temps (en jours) par période de 180 jours requis pour la campagne de vaccination.
Le graphique montre la population cumulative que l'on prévoit de vacciner en 2021-2023 sur la base des hypothèses spécifiées en A2 et B1</t>
  </si>
  <si>
    <t>Примечание: В данном разделе полосой синего цвета показано, сколько времени (в днях) внутри периода длительностью 180 дней, потребуется для проведения кампании вакцинации, для каждого такого временного периода.
Линейная диаграмма демонстрирует суммарную численность населения, подлежащего вакцинации в 2021-2023 гг на основании допущений, использованных в таблицах A2 и B1.</t>
  </si>
  <si>
    <t>[Nota: Las barras azules en la sección muestran el tiempo (en días) por cada periodo de tiempo de 180 días que se precisarán para la campaña de vacunación en cada uno de estos periodos.
La gráfica lineal indica la población acumulada que se espera estará vacunada de 2021 a 2023 en base a los supuestos especificados en A2 y B1.</t>
  </si>
  <si>
    <t>Nota: As barras azuis na secção mostram o tempo (em dias) por período de 180 dias, que será necessário para a campanha de vacinação.
O gráfico de linhas indica a população cumulativa que deverá ser vacinada entre 2021-2023 com base nos pressupostos especificados em A2 e B1.</t>
  </si>
  <si>
    <t>ملاحظة: تعرض هذه الأشرطة الزرقاء في القسم الوقت (بالأيام) في كل فترة زمنية تبلغ 180 يومًا، وهو الوقت الذي ستحتاجه حملة التطعيم، لكل فترة زمنية.
ويبين المخطط  مجموع السكان المتوقع تطعيمهم من عام 2021 إلى 2023 استنادًا إلى الافتراضات المحددة في A2 وB1.</t>
  </si>
  <si>
    <t>注意：这部分的蓝色条显示每个时间段内疫苗接种活动所需的180天时间（以天为单位）。
线形图表示根据A2和B1中注明的假设，预计在2021-2023年内要接种的累计人口。</t>
  </si>
  <si>
    <t>(variante moyenne)</t>
  </si>
  <si>
    <t>(средний вариант)</t>
  </si>
  <si>
    <t>(variante media)</t>
  </si>
  <si>
    <t>(variante média)</t>
  </si>
  <si>
    <t>(المتغير الأوسط)</t>
  </si>
  <si>
    <t>（中变量）</t>
  </si>
  <si>
    <t>(variante supérieure)</t>
  </si>
  <si>
    <t>(верхний вариант)</t>
  </si>
  <si>
    <t>(variante más alta)</t>
  </si>
  <si>
    <t>(variante superior)</t>
  </si>
  <si>
    <t>(المتغير الأعلى)</t>
  </si>
  <si>
    <t>（上变量）</t>
  </si>
  <si>
    <t>(variante inférieure)</t>
  </si>
  <si>
    <t>(нижний вариант)</t>
  </si>
  <si>
    <t>(variante más baja)</t>
  </si>
  <si>
    <t>(variante inferior)</t>
  </si>
  <si>
    <t>(المتغير الأدنى)</t>
  </si>
  <si>
    <t>（下变量）</t>
  </si>
  <si>
    <t>Population vaccinée, avec les taux de recours à la vaccination prévus</t>
  </si>
  <si>
    <t xml:space="preserve">Вакцинированное население с учетом ожидаемых уровней охвата </t>
  </si>
  <si>
    <t>Población vacunada, según las tasas de adopción esperadas</t>
  </si>
  <si>
    <t>População vacinada, dadas as taxas de aceitação esperadas</t>
  </si>
  <si>
    <t>السكان الذين يتم تطعيمهم، نظراً لمعدلات التلقي المتوقعة</t>
  </si>
  <si>
    <t>要接种疫苗的人口，考虑到预期利用率</t>
  </si>
  <si>
    <t>Total cumulatif (pourcentage de population de 2023)</t>
  </si>
  <si>
    <t>Общая суммарная численность (процент от населения в 2023 г.)</t>
  </si>
  <si>
    <t>Total acumulado (porcentaje de la población de 2023)</t>
  </si>
  <si>
    <t>Total cumulativo (percentagem da população de 2023)</t>
  </si>
  <si>
    <t>الإجمالي التراكمي (النسبة المئوية من عدد السكان في 2023)</t>
  </si>
  <si>
    <t>累积总数（占2023年人口的百分比）</t>
  </si>
  <si>
    <t>D'ici à la fin de la période</t>
  </si>
  <si>
    <t>К окончанию периода</t>
  </si>
  <si>
    <t>Para final del periodo</t>
  </si>
  <si>
    <t>No final do período</t>
  </si>
  <si>
    <t>بنهاية الفترة الزمنية</t>
  </si>
  <si>
    <t>截至该时间段结束时</t>
  </si>
  <si>
    <t>R1.3.1.1 Efficacité des campagnes de terrain</t>
  </si>
  <si>
    <t xml:space="preserve"> R1.3.1.1 Эффективность выездных прививочных сессий</t>
  </si>
  <si>
    <t>R1.3.1.1 Eficacia de la extensión</t>
  </si>
  <si>
    <t>R1.3.1.1 Eficácia das Actividades de Alcance</t>
  </si>
  <si>
    <t>R1.3.1.1 كفاءة الحملات الخارجية</t>
  </si>
  <si>
    <t>R1.3.1.1 外展活动的效率</t>
  </si>
  <si>
    <t>NB: Pour les pays où les campagnes sur le terrain sont coûteuses, on peut envisager une stratégie de vaccination universelle pour les régions rurales isolées (couvrant tous les âges et les populations à risque élevé et faible en même temps). Cela économisera le coût de visites répétées au même endroit pour y vacciner différentes sous-populations. Les économies (visites répétées au sites périphériques) sont estimées ici.
Pour spécifier une stratégie de vaccination universelle, revoir la priorisation en B1 et spécifier, au pourcentage près, le même schéma de priorisation pour toutes les catégories de population ciblées difficiles à atteindre (Modalité d'administration 4)</t>
  </si>
  <si>
    <t>Примечание: Для стран, в которых организация выездных прививочных сессий требует больших затрат, можно рассмотреть стратегию всеобщей вакцинации (когда охватываются все возрастные группы - и высокого, и низкого риска) в удаленных сельских районах. Это позволит сэкономить расходы, связанные с организацией и проведением повторных поездок в одни и те же населенные пункты для вакцинации различных проживающих в них субпопуляций. Здесь подсчитаны затраты, которые могут быть сэкономлены (на повторные выезды в удаленные пункты).
Для того, чтобы выбрать стратегию всеобщей вакцинации, проверьте приоритетный порядок вакцинации в B1 и укажите то же самое распределение долей в процентном выражении для всех целевых групп населения, которые проживают в труднодоступных районах (Стратегия организации прививок 4).</t>
  </si>
  <si>
    <t>Nota: Para países donde los costes de extensión son altos, se puede estudiar una estrategia de vacunación universal (que abarque todas las edades y poblaciones de alto y bajo riesgo al mismo tiempo) en zonas aisladas de extensión rural. Esto ahorrará costes, al no tener que repetir las visitas a las mismas ubicaciones de extensión para vacunar a distintas subpoblaciones. El ahorro posible (por reiteradas visitas a ubicaciones de extensión) se estima aquí.
Para especificar una estrategia de vacunación universal, revisar la priorización en B1 y especificar el mismo patrón de porcentaje de priorización para todos los grupos de población objetivo a los que resulta difícil llegar (modalidad de administración 4).</t>
  </si>
  <si>
    <t>Nota: Para os países onde os custos das actividades de alcance são altos, uma estratégia de vacinação universal (abrangendo todas as idades, populações de alto e baixo risco ao mesmo tempo) pode ser considerada para áreas rurais remotas. Isso economizará custos decorrentes de visitas repetidas ao mesmo local de actividade de alcance para vacinar diferentes subpopulações. A economia (visitas repetidas aos locais de actividade de alcance) é calculada aqui.
Para especificar uma estratégia de vacinação universal, reveja a priorização em B1 e especifique exactamente o mesmo padrão de priorização percentual para todos os grupos de população-alvo que são difíceis de alcançar (modalidade de administração 4).</t>
  </si>
  <si>
    <t>ملاحظة:
بالنسبة للبلدان التي تكون فيها تكاليف الحملات الخارجية عالية، يمكن النظر في وضع استراتيجية للتطعيم الشامل (تغطي جميع الاعمار، والسكان المعرضين للخطر الشديد، وذوي المخاطر المنخفضة في الوقت نفسه) في المناطق الريفية النائية.
وهذا من شأنه أن يوفر التكاليف المترتبة على الزيارات المتكررة لنفس الموقع الخارجي لتطعيم مختلف المجموعات السكانية الفرعية.
وتقدر هنا الوفورات (من الزيارات المتكررة للمواقع الخارجية).
لتحديد استراتيجية تطعيم شامل، راجع ترتيب الأولويات في B1 وحدد نفس نمط تحديد النسب المئوية للأولويات من جميع فئات السكان المستهدفة التي يصعب الوصول إليها (طريقة التسليم 4).</t>
  </si>
  <si>
    <t>注意：对于外展活动成本较高的国家，可以考虑在偏远农村外展地区采用普遍疫苗接种策略（即同时覆盖所有年龄、高风险和低风险人群）。这样做可以节省因重复访问同一外展站点为不同亚人群组接种疫苗而产生的成本。这里估算了节省的成本（即重复访问外展站点的成本）。
要注明普遍疫苗接种策略，请审核B1中的优先安排顺序，并为难以触及的所有目标人群指定完全相同的优先安排百分比模式（交付模式4）。</t>
  </si>
  <si>
    <t>Visites répétées aux sites de terrain</t>
  </si>
  <si>
    <t xml:space="preserve">Повторные выезды в удаленные населенные пункты </t>
  </si>
  <si>
    <t>Visitas reiteradas a ubicaciones de extensión</t>
  </si>
  <si>
    <t>Visitas repetidas aos locais de actividades de alcance</t>
  </si>
  <si>
    <t>الزيارات المتكررة للمواقع الخارجية</t>
  </si>
  <si>
    <t>重复访问外展站点</t>
  </si>
  <si>
    <t>Stratégie inefficace (non universelle) pour Modalité d'administration 4</t>
  </si>
  <si>
    <t>&lt;-- En adoptant une stratégie de vaccination universelle plutôt que la stratégie de vacciner d'abord uniquement les personnes à risque élevé, on économisera sur n visites répétées aux sites de terrain</t>
  </si>
  <si>
    <t>Неэффективная (не предполагающая всеобщую вакцинацию) стратегия для СП4</t>
  </si>
  <si>
    <t>&lt;-- Принятие решения в пользу стратегии всеобщей вакцинации вместо вакцинации одних только групп высокого риска позволит сэкономить n количество повторных посещений населенных пунктов для проведения выездных прививочных сессий</t>
  </si>
  <si>
    <t>Estrategia poco eficiente (no universal) para la MA 4</t>
  </si>
  <si>
    <t>&lt;-- La adopción de una estrategia de vacunación universal, en lugar de una estrategia de vacunar primero únicamente a grupos de alto riesgo, ahorrará un número n de visitas reiteradas a ubicaciones de extensión</t>
  </si>
  <si>
    <t>Estratégia ineficiente (não universal) para DA4</t>
  </si>
  <si>
    <t>&lt;-- A adopção de uma estratégia de vacinação universal, em vez de apenas uma primeira estratégia de populações de alto risco, economizará no número de visitas repetidas aos locais de actividades de alcance</t>
  </si>
  <si>
    <t>استراتيجية غير فعّالة (غير شاملة) لطريقة التسليم 4</t>
  </si>
  <si>
    <t xml:space="preserve"> &lt;-- إن تبني إستراتيجية تحصين شاملة بدلاً من إستراتيجية الأعلى الخطورة أولاً فقط من شأنه أن يوفر عدداً من الزيارات المتكررة إلى المواقع الخارجية</t>
  </si>
  <si>
    <t>低效（非普遍）的DM4策略</t>
  </si>
  <si>
    <t>&lt;-- 采用普遍疫苗接种策略而不是仅为高风险人群接种疫苗将节省n次重复访问外展站点次数</t>
  </si>
  <si>
    <t>R1.3.2 Incidences et impact des ressources humaines</t>
  </si>
  <si>
    <t>R1.3.2 Потенциальное значение и эффект для кадровых ресурсов</t>
  </si>
  <si>
    <t>R1.3.2 Implicaciones e impacto en Recursos Humanos</t>
  </si>
  <si>
    <t>R1.3.2 Implicações e Impactos dos Recursos Humanos</t>
  </si>
  <si>
    <t xml:space="preserve">R1.3.2 التأثيرات والنتائج على الموارد البشرية </t>
  </si>
  <si>
    <t>R1.3.2 对人力资源的潜在含义和影响</t>
  </si>
  <si>
    <t>NB: Pour évaluer la robustesse des estimations, notamment concernant les variations sur la durée du temps requis pour vacciner, on peut spécifier ici des variantes supérieures, moyennes et inférieures.
On peut visualiser plus bas les effets de ces variantes sur les hausses subites de demande de vaccinateurs; le contexte de cette demande par rapport à l'offre de RHS de base disponibles y est également estimé.
Pour les pays dont la main-d'œuvre de santé est relativement peu nombreuse et déjà pleinement occupée à dispenser les services essentiels, le redéploiement des vaccinateurs peut porter atteinte à des services essentiels préexistants. Il faut donc envisager de recruter de nouveaux vaccinateurs, dans la mesure du possible</t>
  </si>
  <si>
    <t>Примечание: Для оценки корректности расчетов, в частности, чтобы увидеть как различается время, которое требуется для вакцинации, здесь можно указать верхний, средний и нижний варианты.
Ниже наглядно показано, как перечисленные варианты влияют на потребность в дополнительном увеличении количества вакцинаторов; кроме того, ниже приводятся расчеты, как формируется эта потребность исходя из уже имеющихся основных КРЗ.
Для стран, в которых численность рабочей силы в здравоохранении неблольшая и все они уже заняты в предоставлении жизненно важных услуг, размещение вакцинаторов на другие объекты может негативно отразиться на оказании важнейших услуг в здравоохранении. В этом случае, при возможности, стоит рассмотреть найм дополнительных новых вакцинаторов.</t>
  </si>
  <si>
    <t>Nota: Para estimar la solidez de las estimaciones, especialmente en cuanto a la variación en tiempo necesario para la vacunación, se pueden especificar aquí variantes más alta, media y más baja.
Las implicaciones de estas variantes en el pico de demanda de vacunadores se puede visualizar abajo; y se estima también el contexto de esta demanda en relación con la disponibilidad básica existente de RHS.
Para países con un número relativamente reducido de personal sanitario que además ya está plenamente ocupado en la prestación de servicios esenciales, la reasignación de vacunadores podría afectar a los servicios esenciales preexistentes. Por tanto, en la medida de lo posible, se debe estudiar la posibilidad de contratar nuevos vacunadores.</t>
  </si>
  <si>
    <t>Nota: Para calcular a robustez das estimativas, especialmente com relação à variação no tempo necessário para vacinar, as variantes superior, média e inferior podem ser especificadas aqui.
As implicações destas variantes na procura crescente de vacinadores podem ser visualizadas abaixo; e também é estimado o contexto para esta procura relativamente ao fornecimento principal de RHS existentes.
Para países onde a equipa de trabalhadores da saúde é relativamente pequena e já totalmente ocupada com a prestação de serviços essenciais, a reafectação de vacinadores pode vir a comprometer os serviços essenciais preexistentes. Portanto, devem-se considerar, sempre que possível, vacinadores recém-recrutados.</t>
  </si>
  <si>
    <t>ملاحظة: لتقدير دقة التقديرات، لا سيما فيما يتعلق بالتغير في الوقت اللازم للتطعيم، يمكن تحديد المتغيرات الأعلى والأوسط والأدنى هنا.
ويمكن أدناه تصور تأثيرات هذه المتغيرات على زيادة الطلب على مقدمي التطعيمات؛ كما يقدر سياق هذا الطلب بالنسبة إلى العرض الأساسي الحالي من الموارد البشرية الصحية.
وبالنسبة للبلدان التي تكون فيها القوة العاملة في مجال الصحة صغيرة نسبيًا، ومشغولة بالكامل بالفعل بتوفير الخدمات الاساسية، قد يؤدي نقل مقدمي التطعيمات إلى تهديد الخدمات الاساسية القائمة بالفعل. ومن ثم، ينبغي النظر في توظيف مقدمي تطعيمات جدد، حيثما أمكن ذلك.</t>
  </si>
  <si>
    <t>注意：要评估估计值强有力与否，尤其是在接种所需时间方面，可以在此处指定上、中和下变量。
可以在下面看到这些变量给疫苗接种者激增需求带来的影响；并估算了相对于现有核心HRH供应量而言，这一需求的背景。
对于那些卫生人力资源相对较少且已经全力以赴提供基本服务的国家而言，调配疫苗接种者可能会导致现有基本服务陷入困境。因此，在可能的情况下，应考虑招募新的疫苗接种者。</t>
  </si>
  <si>
    <t>Sélectionner la variante du modèle des RHS:</t>
  </si>
  <si>
    <t>Suggestion/par défaut:</t>
  </si>
  <si>
    <t>Vaccinateurs actuels (ETP)</t>
  </si>
  <si>
    <t>Выберите типовой вариант КРЗ:</t>
  </si>
  <si>
    <t>Допущение/по определению:</t>
  </si>
  <si>
    <t xml:space="preserve">Трудоустроенные вакцинаторы (ЭПЗ) -  </t>
  </si>
  <si>
    <t>Размещение вакцинаторов на других объектах (ЭПЗ) -</t>
  </si>
  <si>
    <t>Вакцинатор-дней -</t>
  </si>
  <si>
    <t xml:space="preserve">Потенциальный эффект на системе здравоохранения - </t>
  </si>
  <si>
    <t xml:space="preserve">Размещение вакцинаторов на других объектах (лиц) - </t>
  </si>
  <si>
    <t>Seleccionar la variante del modelo de RHS:</t>
  </si>
  <si>
    <t>Sugerencia / Defecto:</t>
  </si>
  <si>
    <t xml:space="preserve">Vacunadores actuales (FTE) - </t>
  </si>
  <si>
    <t>Reasignación de vacunadores (FTE) -</t>
  </si>
  <si>
    <t>Días de vacunadores -</t>
  </si>
  <si>
    <t xml:space="preserve">Impacto en el sistema de salud - </t>
  </si>
  <si>
    <t xml:space="preserve">Reasignación de vacunadores (Personas) - </t>
  </si>
  <si>
    <t>Seleccione a Variante do Modelo de RHS:</t>
  </si>
  <si>
    <t>Sugestão/Padrão:</t>
  </si>
  <si>
    <t xml:space="preserve">Vacinadores actuais (ETI) – </t>
  </si>
  <si>
    <t>Reafectação de vacinadores (ETI) –</t>
  </si>
  <si>
    <t>Vacinadores-dias –</t>
  </si>
  <si>
    <t xml:space="preserve">Impacto no sistema de saúde – </t>
  </si>
  <si>
    <t xml:space="preserve">Reafectação de vacinadores (Pessoas) – </t>
  </si>
  <si>
    <t>ويمكن أدناه تصور تأثيرات هذه المتغيرات على زيادة الطلب على مقدمي التطعيمات؛ كما يقدر سياق هذا الطلب بالنسبة إلى العرض الأساسي الحالي من الموارد البشرية الصحية.</t>
  </si>
  <si>
    <t>الاقتراح / الاعتيادي:</t>
  </si>
  <si>
    <t>مقدمو التطعيمات الحاليون (معادل الدوام الكامل) -</t>
  </si>
  <si>
    <t>إعادة توزيع مقدمي التطعيمات (معادل الدوام الكامل) -</t>
  </si>
  <si>
    <t>أيام مقدمي التطعيمات -</t>
  </si>
  <si>
    <t>التأثير على النظام الصحي -</t>
  </si>
  <si>
    <t>إعادة توزيع مقدمي التطعيمات (الأشخاص) -</t>
  </si>
  <si>
    <t>选择HRH模型变量：</t>
  </si>
  <si>
    <t>建议/默认：</t>
  </si>
  <si>
    <t>现有疫苗接种者（FTE）——</t>
  </si>
  <si>
    <t>调配疫苗接种者（FTE）——</t>
  </si>
  <si>
    <t>疫苗接种者天数 ——</t>
  </si>
  <si>
    <t>对卫生系统的影响 ——</t>
  </si>
  <si>
    <t>调配疫苗接种者（人数）——</t>
  </si>
  <si>
    <t>وبالنسبة للبلدان التي تكون فيها القوة العاملة في مجال الصحة صغيرة نسبيًا، وهي مشغولة بالكامل بالفعل بتوفير الخدمات الاساسية، قد يؤدي نقل مقدمي التطعيمات إلى تهديد الخدمات الاساسية القائمة بالفعل. ومن ثم، ينبغي النظر في توظيف مقدمي تطعيمات جدد، حيثما أمكن ذلك.</t>
  </si>
  <si>
    <t>ETP = équivalent temps plein</t>
  </si>
  <si>
    <t>ЭПЗ = Эквивалент полной занятости</t>
  </si>
  <si>
    <t>FTE = equivalentes a tiempo completo</t>
  </si>
  <si>
    <t>ETI = Equivalente a tempo inteiro</t>
  </si>
  <si>
    <t xml:space="preserve"> FTEs = معادل الدوام الكامل</t>
  </si>
  <si>
    <t>FTE = 全日制当量</t>
  </si>
  <si>
    <t>Vaccinateurs actuels (pas ETP)</t>
  </si>
  <si>
    <t>Pic</t>
  </si>
  <si>
    <t>Трудоустроенные вакцинаторы (не в эквиваленте полной занятости)</t>
  </si>
  <si>
    <t>Максимальное количество</t>
  </si>
  <si>
    <t>Vacunadores actuales (No FTE)</t>
  </si>
  <si>
    <t>Pico</t>
  </si>
  <si>
    <t>Vacinadores actuais (Não equivalentes a tempo inteiro)</t>
  </si>
  <si>
    <t xml:space="preserve">مقدمو التطعيمات الحاليون (ليس معادل الدوام الكامل) </t>
  </si>
  <si>
    <t>الذروة</t>
  </si>
  <si>
    <t>现有疫苗接种者（非全日制当量）</t>
  </si>
  <si>
    <t>高峰</t>
  </si>
  <si>
    <t>Noter que les vaccinateurs de la Modalité d'administration 1 sont statistiquement supposés être basés dans ces sites fixes et non faire partie du pool de vaccinateurs qui se rendent dans d'autres sites. Il ne s'agit pas de vaccinateurs à plein temps et ils peuvent accomplir d'autres tâches</t>
  </si>
  <si>
    <t>Обратите внимание, что вакцинаторы, задействованные в предоставлении услуг по СП1, постоянно находятся в стационарных лечебных учреждениях - они не входят в группу вакцинаторов для проведения выездных прививочных сессий на других объектах. Эти работники не работают вакцинаторами на полной ставке и могут выполнять и другие задачи.</t>
  </si>
  <si>
    <t>Tener en cuenta que los vacunadores de la MA1 estarán basados de forma permanente en las ubicaciones fijas - no son parte de la plantilla de vacunadores que se desplazan a otras ubicaciones. No son vacunadores a tiempo completo - y pueden realizar otras tareas.</t>
  </si>
  <si>
    <t>Note que se pressupõe que os vacinadores da MA1 terão como base estática os locais fixos – não fazem parte do grupo de vacinadoras que vão para outros locais. Não são vacinadores a tempo inteiro – e podem realizar outras tarefas.</t>
  </si>
  <si>
    <t>لاحظ أن مقدمي التطعيمات في طريقة التسليم 1 يفترض أن يكونوا ثابتين في تلك المواقع الثابتة - وليسوا جزءًا من مجموعة مقدمي التطعيمات الذين يذهبون إلى مواقع أخرى.
وهم ليسوا مقدمي تطعيمات بدوام كامل، ويمكنهم القيام بمهام أخرى.</t>
  </si>
  <si>
    <t>请注意，假定DM1的疫苗接种者在固定站点工作，而不属于需要前往其他站点的疫苗接种者池的一部分。他们不是全职疫苗接种者，且可以执行其他任务。</t>
  </si>
  <si>
    <t>Total des vaccinateurs actuels</t>
  </si>
  <si>
    <t>Всего трудоустроенных вакцинаторов</t>
  </si>
  <si>
    <t>Total de  vacunadores actuales</t>
  </si>
  <si>
    <t>Total actual de vacinadores</t>
  </si>
  <si>
    <t xml:space="preserve">إجمالي مقدمي التطعيمات الحاليين </t>
  </si>
  <si>
    <t>现有疫苗接种者总计</t>
  </si>
  <si>
    <t>Nouveaux vaccinateurs (individus et non ETP) pour la formation</t>
  </si>
  <si>
    <t>Новые вакцинаторы (кол-во лиц, не ЭПЗ) для подготовки</t>
  </si>
  <si>
    <t>Vacunadores nuevos (Personas, no FTE) para formación</t>
  </si>
  <si>
    <t>Novos vacinadores (pessoas, não ETI) para formação</t>
  </si>
  <si>
    <t xml:space="preserve">مقدمو التطعيمات الجدد (الأشخاص، ليس معادل الدوام الكامل) للتدريب </t>
  </si>
  <si>
    <t>接受培训的新疫苗接种者（人数，非FTE）</t>
  </si>
  <si>
    <t>Nombre maximum/de pointe de vaccinateurs</t>
  </si>
  <si>
    <t xml:space="preserve">Максимальное/ пиковое количество вакцинаторов </t>
  </si>
  <si>
    <t>Número máximo / Pico de vacunadores</t>
  </si>
  <si>
    <t>Número máximo/pico de vacinadores</t>
  </si>
  <si>
    <t>الحد الأقصى/ذروة عدد مقدمي التطعيمات</t>
  </si>
  <si>
    <t>疫苗接种者最多人数/高峰人数</t>
  </si>
  <si>
    <t>Jours-vaccinateur</t>
  </si>
  <si>
    <t>Вакцинатор-дни</t>
  </si>
  <si>
    <t>Días de vacunadores</t>
  </si>
  <si>
    <t>Vacinador-dias</t>
  </si>
  <si>
    <t>أيام مقدمي التطعيمات</t>
  </si>
  <si>
    <t>疫苗接种者天数</t>
  </si>
  <si>
    <t>Total des jours-vaccinateur</t>
  </si>
  <si>
    <t>إجمالي أيام مقدم التطعيمات</t>
  </si>
  <si>
    <t>疫苗接种者总天数</t>
  </si>
  <si>
    <t>Трудоустроенные вакцинаторы (Эквивалент полной занятости)</t>
  </si>
  <si>
    <t>Пиковое количество</t>
  </si>
  <si>
    <t>Vacunadores actuales (FTE)</t>
  </si>
  <si>
    <t>Vacinadores actuais (equivalentes a tempo inteiro)</t>
  </si>
  <si>
    <t>130</t>
  </si>
  <si>
    <t xml:space="preserve">مقدمو التطعيمات الحاليون (معادل الدوام الكامل) </t>
  </si>
  <si>
    <t>现有疫苗接种者（全日制当量）</t>
  </si>
  <si>
    <t>Total des ETP</t>
  </si>
  <si>
    <t>Всего в эквиваленте полной занятости</t>
  </si>
  <si>
    <t>Total FTE</t>
  </si>
  <si>
    <t>Total de equivalentes a tempo inteiro</t>
  </si>
  <si>
    <t>إجمالي معادل الدوام الكامل</t>
  </si>
  <si>
    <t>全日制当量总计</t>
  </si>
  <si>
    <t>R1.3.2.1. التأثير بالنسبة للعرض من الموارد البشرية الصحية</t>
  </si>
  <si>
    <t>IMPACT: en % de l'offre de RHS</t>
  </si>
  <si>
    <t xml:space="preserve">ЭФФЕКТ - в виде  % от обеспечения КРЗ </t>
  </si>
  <si>
    <t>IMPACTO - como % de RHS disponible</t>
  </si>
  <si>
    <t>IMPACTO – como % do fornecimento de RHS</t>
  </si>
  <si>
    <t>التأثير - كنسبة من العرض من الموارد البشرية الصحية</t>
  </si>
  <si>
    <t>影响——占HRH供应量的百分比</t>
  </si>
  <si>
    <t>Трудоустроенные вакцинаторы (Не в эквиваленте полной занятости)</t>
  </si>
  <si>
    <t>Vacinadores actuais (não equivalentes a tempo inteiro)</t>
  </si>
  <si>
    <t>Трудоустроенные вакцинаторы (В эквиваленте полной занятости)</t>
  </si>
  <si>
    <t>التأثير - إعادة توزيع مقدمي التطعيمات مقابل توظيف مقدمي تطعيمات جدد (استنادًا إلى معادل الدوام الكامل)</t>
  </si>
  <si>
    <t>IMPACT: redéploiement (ETP)</t>
  </si>
  <si>
    <t>ЭФФЕКТ - Размещение на других объектах (ЭПЗ)</t>
  </si>
  <si>
    <t>IMPACTO - Reasignación (FTE)</t>
  </si>
  <si>
    <t>IMPACTO – Reafectação (ETI)</t>
  </si>
  <si>
    <t>التأثير - إعادة التوزيع (معادل الدوام الكامل)</t>
  </si>
  <si>
    <t>影响——调配（FTE）</t>
  </si>
  <si>
    <t>Déploiement maximum de RHS</t>
  </si>
  <si>
    <t>Максимальное размещение КРЗ</t>
  </si>
  <si>
    <t>Reasignación máxima RHS</t>
  </si>
  <si>
    <t>Mobilização máxima de RHS</t>
  </si>
  <si>
    <t>الحد الأقصى لنشر الموارد البشرية الصحية</t>
  </si>
  <si>
    <t>HRH最大化部署</t>
  </si>
  <si>
    <t>Vaccinateurs redéployables</t>
  </si>
  <si>
    <t>Вакцинаторы, которые могут быть размещены  на других объектах</t>
  </si>
  <si>
    <t>Vacunadores reasignables</t>
  </si>
  <si>
    <t>Vacinadores reafectáveis</t>
  </si>
  <si>
    <t>مقدمو التطعيمات القابلون لإعادة التوزيع</t>
  </si>
  <si>
    <t>可调配的疫苗接种者</t>
  </si>
  <si>
    <t>Vaccinateurs redéployables (par ETP)</t>
  </si>
  <si>
    <t>Вакцинаторы, которые  размещены на других объектах (ЭПЗ)</t>
  </si>
  <si>
    <t>Vacunadores reasignados (por FTE)</t>
  </si>
  <si>
    <t>Vacinadores reafectados (por ETI)</t>
  </si>
  <si>
    <t>مقدمو التطعيمات المعاد توزيعهم (بحسب معادل الدوام الكامل)</t>
  </si>
  <si>
    <t>调配的疫苗接种者（按FTE）</t>
  </si>
  <si>
    <t>Vaccinateurs non redéployables (par ETP)</t>
  </si>
  <si>
    <t>Donc main-d'œuvre de vaccinateurs nouvellement recrutés pour préserver les services existants</t>
  </si>
  <si>
    <t>Вакцинаторы, которые не размещены на других объектах (ЭПЗ)</t>
  </si>
  <si>
    <t>Например, если с целью сохранения предоставления существующих услуг наняты новые вакцинаторы</t>
  </si>
  <si>
    <t>Vacunadores no reasignados (por FTE)</t>
  </si>
  <si>
    <t>es decir, vacunadores de nueva inducción, para conservar los servicios existentes</t>
  </si>
  <si>
    <t>Vacinadores não reafectados (por ETI)</t>
  </si>
  <si>
    <t>ou seja, vacinadores recém-admitidos, a fim de preservar os serviços existentes</t>
  </si>
  <si>
    <t>مقدمو التطعيمات غير المعاد توزيعهم (بحسب معادل الدوام الكامل)</t>
  </si>
  <si>
    <t>أي القوة العاملة من مقدمي التطعيمات حديثي التدريب، للحفاظ على الخدمات القائمة</t>
  </si>
  <si>
    <t>非调配疫苗接种者（按FTE）</t>
  </si>
  <si>
    <t>即新入职的疫苗接种者人力，从而保留现有服务</t>
  </si>
  <si>
    <t>Vaccinateurs redéployables (par individu)</t>
  </si>
  <si>
    <t>Вакцинаторы, которые размещены на других объектах (лиц)</t>
  </si>
  <si>
    <t>Vacunadores reasignados (por persona)</t>
  </si>
  <si>
    <t>Vacinadores reafectados (por pessoa)</t>
  </si>
  <si>
    <t>مقدمو التطعيمات المعاد توزيعهم (بحسب الأشخاص)</t>
  </si>
  <si>
    <t>调配的疫苗接种者（按人数）</t>
  </si>
  <si>
    <t>Vaccinateurs non redéployables (par individu)</t>
  </si>
  <si>
    <t>Вакцинаторы, которые не размещены на других объектах (лиц)</t>
  </si>
  <si>
    <t>Vacunadores no reasignados (por persona)</t>
  </si>
  <si>
    <t>Vacinadores não reafectados (por pessoa)</t>
  </si>
  <si>
    <t>مقدمو التطعيمات غير المعاد توزيعهم (بحسب الأشخاص)</t>
  </si>
  <si>
    <t>非调配疫苗接种者（按人数）</t>
  </si>
  <si>
    <t>R1.3.2.3 Ressources humaines: mesures supplémentaires pour optimisation et diagnostic: variante moyenne</t>
  </si>
  <si>
    <t xml:space="preserve">R1.3.2.3 Кадровые ресурсы - Дополнительные показатели для оптимизации и диагностики - средний вариант </t>
  </si>
  <si>
    <t>R1.3.2.3 Recursos humanos - Medidas suuplementarias para optimización y diagnóstico - Variante media</t>
  </si>
  <si>
    <t>R1.3.2.3 Recursos Humanos – Métricas suplementares para optimização e diagnóstico – Variante média</t>
  </si>
  <si>
    <t>R1.3.2.3 الموارد البشرية - مقاييس إضافية للتحسين والتشخيص - المتغير الأوسط</t>
  </si>
  <si>
    <t>R1.3.2.3 人力资源——优化和判断的补充指标——中变量</t>
  </si>
  <si>
    <t>Heures-vaccinateur</t>
  </si>
  <si>
    <t>Вакцинатор-часов</t>
  </si>
  <si>
    <t>Horas de vacunadores</t>
  </si>
  <si>
    <t>Vacinador-horas</t>
  </si>
  <si>
    <t>ساعات مقدمي التطعيمات</t>
  </si>
  <si>
    <t>疫苗接种者——小时</t>
  </si>
  <si>
    <t>Total des heures-vaccinateur</t>
  </si>
  <si>
    <t>Temps passé à vacciner uniquement, hors déplacements, installation, etc.</t>
  </si>
  <si>
    <t xml:space="preserve">Время, потраченное исключительно на вакцинацию - без учета проезда, подготовки и прочих действий. </t>
  </si>
  <si>
    <t xml:space="preserve">Tiempo dedicado únicamente a la vacunación - sin desplazamiento, preparación, etc. </t>
  </si>
  <si>
    <t>Tempo gasto apenas com a vacinação – sem transporte, preparativos, etc.</t>
  </si>
  <si>
    <t>الوقت المقضي في تقديم التطعيمات فقط - بدون سفر أو إعداد، إلخ</t>
  </si>
  <si>
    <t>疫苗接种者总计——小时</t>
  </si>
  <si>
    <t>仅花在疫苗接种上的时间——不包括旅行、设置等</t>
  </si>
  <si>
    <t>Jours-vaccinateur moyens par vaccinateur actuel par période</t>
  </si>
  <si>
    <t>Chaque vaccinateur travaille ce nombre de jours par période</t>
  </si>
  <si>
    <t xml:space="preserve">Среднее количество вакцинатор-дней на одного трудоустроенного вакцинатора за конкретный период </t>
  </si>
  <si>
    <t>Это то количество дней, которое работает каждый вакцинатор в конкретный временной период</t>
  </si>
  <si>
    <t>Media de días de vacunador por vacunador actual por periodo</t>
  </si>
  <si>
    <t>Cada vacunador trabaja este número de días por periodo</t>
  </si>
  <si>
    <t>Média de vacinador-dias por vacinador actual por período</t>
  </si>
  <si>
    <t>Cada vacinador trabalha este número de dias por período de tempo</t>
  </si>
  <si>
    <t>متوسط أيام مقدمي التطعيمات لكل مقدم تطعيمات حالي لكل فترة زمنية</t>
  </si>
  <si>
    <t>يعمل كل مقدم تطعيمات هذا العدد من الأيام في كل فترة زمنية</t>
  </si>
  <si>
    <t>疫苗接种者平均值——每个时段每个现有疫苗接种者的天数</t>
  </si>
  <si>
    <t>每个疫苗接种者每个时间段的工作天数</t>
  </si>
  <si>
    <t>Toutes modalités d'administration</t>
  </si>
  <si>
    <t>Все стратегии организации прививок</t>
  </si>
  <si>
    <t>Todas las modalidades de administración</t>
  </si>
  <si>
    <t>Todas as Modalidades de Administração</t>
  </si>
  <si>
    <t>كل طرائق التسليم</t>
  </si>
  <si>
    <t>所有交付模式</t>
  </si>
  <si>
    <t>Jours-vaccinateur moyens par vaccinateur actuel (calcul par heure)</t>
  </si>
  <si>
    <t>Chaque vaccinateur travaille ce nombre de jours par période (fondé sur un calcul des heures)</t>
  </si>
  <si>
    <t>Среднее количество вакцинатор-дней на трудоустроенного вакцинатора (почасовый расчет)</t>
  </si>
  <si>
    <t>Это то количество дней, которое работает каждый вакцинатор в конкретный временной период (почасовый расчет)</t>
  </si>
  <si>
    <t>Media de días de vacunador por vacunador actual (cálculo por horas)</t>
  </si>
  <si>
    <t>Cada vacunador trabaja este número de días por periodo (en base a cálculo de horas)</t>
  </si>
  <si>
    <t>Média de vacinador-dias por vacinador actual por período (cálculo por horas)</t>
  </si>
  <si>
    <t>Cada vacinador trabalha este número de dias por período de tempo (com base num cálculo de horas)</t>
  </si>
  <si>
    <t>متوسط أيام مقدم التطعيمات لكل مقدم تطعيمات حالي (حساب الساعة)</t>
  </si>
  <si>
    <t>يعمل كل مقدم تطعيمات هذا العدد من الأيام في كل فترة زمنية (استناداً إلى حساب الساعة)</t>
  </si>
  <si>
    <t>疫苗接种者平均值——每个现有疫苗接种者的天数（按小时计算）</t>
  </si>
  <si>
    <t>每个疫苗接种者每个时间段的工作天数（按小时计算）</t>
  </si>
  <si>
    <t>Heures moyennes par jour</t>
  </si>
  <si>
    <t>Heures moyenne passées à vacciner par journée de travail</t>
  </si>
  <si>
    <t>Среднее количество часов в день</t>
  </si>
  <si>
    <t xml:space="preserve">Среднее количство часов, потреченных на вакцинацию за один рабочий день </t>
  </si>
  <si>
    <t>Media de horas por día</t>
  </si>
  <si>
    <t xml:space="preserve">Media de horas dedicadas a la vacunación por día trabajado </t>
  </si>
  <si>
    <t>Média de horas por dia</t>
  </si>
  <si>
    <t>Média de horas gastas a vacinar por dia de trabalho</t>
  </si>
  <si>
    <t>متوسط الساعات لليوم</t>
  </si>
  <si>
    <t xml:space="preserve">متوسط الساعات التي قضيت في تقديم التطعيمات في يوم العمل الواحد </t>
  </si>
  <si>
    <t>每天平均小时数</t>
  </si>
  <si>
    <t>每个工作日平均疫苗接种时间</t>
  </si>
  <si>
    <t>Heures de vaccinateurs: variante moyenne</t>
  </si>
  <si>
    <t>Вакцинатор-часы - средний вариант</t>
  </si>
  <si>
    <t>Horas de vacunador - Variante media</t>
  </si>
  <si>
    <t>Horas de vacinador – Variante média</t>
  </si>
  <si>
    <t>ساعات مقدم التطعيمات - المتغير الأوسط</t>
  </si>
  <si>
    <t>疫苗接种者小时 ——中变量</t>
  </si>
  <si>
    <t>OUTREPASSER ICI si une autre méthode de calcul des coûts est utilisée pour la section ci-dessus</t>
  </si>
  <si>
    <t xml:space="preserve">СКОРРЕКТИРУЙТЕ ЗДЕСЬ, если для раздела выше использовался альтернативный расчет затрат </t>
  </si>
  <si>
    <t>SUSTITUIR AQUÍ si en la sección anterior se utiliza una estimación de costes alternativa</t>
  </si>
  <si>
    <t>SUBSTITUA AQUI se for ser usado cálculo de custos alternativo para a secção acima</t>
  </si>
  <si>
    <t>تجاوز هنا إذا تم استخدام التكلفة البديلة للقسم أعلاه</t>
  </si>
  <si>
    <t>如果上面部分使用了替代成本核算，则覆写此处</t>
  </si>
  <si>
    <t>8.2 Dépenses de fonctionnement</t>
  </si>
  <si>
    <t>8.2 Операционные расходы</t>
  </si>
  <si>
    <t>8.2 Gastos operativos</t>
  </si>
  <si>
    <t>8.2 Despesa Operacional</t>
  </si>
  <si>
    <t>8.2 النفقات التشغيلية</t>
  </si>
  <si>
    <t>8.2运营支出</t>
  </si>
  <si>
    <t>8.1 Assistance technique</t>
  </si>
  <si>
    <t>8.1 Техническая помощь</t>
  </si>
  <si>
    <t>8.1 Asistencia técnica</t>
  </si>
  <si>
    <t>8.1 Ajuda Técnica</t>
  </si>
  <si>
    <t>8.1 المساعدة الفنية</t>
  </si>
  <si>
    <t>8.1技术援助</t>
  </si>
  <si>
    <t>R2.1 – 8. Geração de Procura e Comunicações</t>
  </si>
  <si>
    <t>CVIC Оценки</t>
  </si>
  <si>
    <t>Las estimaciones CVIC</t>
  </si>
  <si>
    <t>estimativas CVIC</t>
  </si>
  <si>
    <t>تقديرات CVIC</t>
  </si>
  <si>
    <t>CVIC估计</t>
  </si>
  <si>
    <t>CVIC Estimates</t>
  </si>
  <si>
    <t>Les estimations CVIdC</t>
  </si>
  <si>
    <t>7.3 Compensation sans égard à la responsabilité</t>
  </si>
  <si>
    <t>7.3 Компенсационные выплаты без вины (паушальная компенсация)</t>
  </si>
  <si>
    <t>7.3 Indemnización sin culpa</t>
  </si>
  <si>
    <t>7.3 Indemnização independentemente da responsabilidade</t>
  </si>
  <si>
    <t>7.3 تعويض لعدم وجود خطأ</t>
  </si>
  <si>
    <t>7.3无过失赔偿</t>
  </si>
  <si>
    <t>Compensation sans égard à la responsabilité</t>
  </si>
  <si>
    <t>Компенсационные выплаты без вины</t>
  </si>
  <si>
    <t>Indemnización sin culpa</t>
  </si>
  <si>
    <t>Indemnização independentemente da responsabilidade</t>
  </si>
  <si>
    <t>تعويض لعدم وجود خطأ</t>
  </si>
  <si>
    <t>无过失赔偿</t>
  </si>
  <si>
    <t>7.2 Dépenses de fonctionnement</t>
  </si>
  <si>
    <t>7.2 Операционные расходы</t>
  </si>
  <si>
    <t>7.2 Gastos operativos</t>
  </si>
  <si>
    <t>7.2 Despesa Operacional</t>
  </si>
  <si>
    <t>7.2 النفقات التشغيلية</t>
  </si>
  <si>
    <t>7.2运营支出</t>
  </si>
  <si>
    <t>7.1 Assistance technique</t>
  </si>
  <si>
    <t>7.1 Техническая помощь</t>
  </si>
  <si>
    <t>7.1 Asistencia técnica</t>
  </si>
  <si>
    <t>7.1 Ajuda Técnica</t>
  </si>
  <si>
    <t>7.1 المساعدة الفنية</t>
  </si>
  <si>
    <t>7.1技术援助</t>
  </si>
  <si>
    <t>R2.1 – 7. Farmacovigilância de Segurança das Vacinas e Segurança da Injecção</t>
  </si>
  <si>
    <t>6.3 Évaluation</t>
  </si>
  <si>
    <t>6.3 Оценка</t>
  </si>
  <si>
    <t>6.3 Evaluación</t>
  </si>
  <si>
    <t>6.3 Avaliação</t>
  </si>
  <si>
    <t>6.3 التقييم</t>
  </si>
  <si>
    <t>6.3评价</t>
  </si>
  <si>
    <t>6.2 Dépenses de fonctionnement</t>
  </si>
  <si>
    <t>6.2 Операционные расходы</t>
  </si>
  <si>
    <t>6.2 Gastos Operativos</t>
  </si>
  <si>
    <t>6.2 Despesas Operacionais</t>
  </si>
  <si>
    <t>6.2 النفقات التشغيلية</t>
  </si>
  <si>
    <t>6.2运营支出</t>
  </si>
  <si>
    <t>Cartes de vaccination</t>
  </si>
  <si>
    <t>Прививочные карты</t>
  </si>
  <si>
    <t>Cartillas de vacunación</t>
  </si>
  <si>
    <t>Cartões de vacinação</t>
  </si>
  <si>
    <t>بطاقات التطعيم</t>
  </si>
  <si>
    <t>预防接种卡</t>
  </si>
  <si>
    <t>6.1 Assistance technique</t>
  </si>
  <si>
    <t>6.1 Техническая помощь</t>
  </si>
  <si>
    <t>6.1 Asistencia técnica</t>
  </si>
  <si>
    <t>6.1 Ajuda Técnica</t>
  </si>
  <si>
    <t>6.1 المساعدة الفنية</t>
  </si>
  <si>
    <t>6.1技术援助</t>
  </si>
  <si>
    <t>5.2 Dépenses de fonctionnement</t>
  </si>
  <si>
    <t>5.2 Операционные расходы</t>
  </si>
  <si>
    <t>5.2 Gastos operativos</t>
  </si>
  <si>
    <t>5.2 Despesas Operacionais</t>
  </si>
  <si>
    <t>5.2 النفقات التشغيلية</t>
  </si>
  <si>
    <t>5.2运营支出</t>
  </si>
  <si>
    <t>5.1 Dépenses d'investissement</t>
  </si>
  <si>
    <t>5.1 Капитальные расходы</t>
  </si>
  <si>
    <t>5.1 Gastos de capital</t>
  </si>
  <si>
    <t>5.1 Despesas de Capital</t>
  </si>
  <si>
    <t>5.1 النفقات الرأسمالية</t>
  </si>
  <si>
    <t>5.1资本支出</t>
  </si>
  <si>
    <t>Glacières, porte-vaccins et briquettes congelées</t>
  </si>
  <si>
    <t xml:space="preserve">Термоконтейнеры, сумки-холодильники, хладоэлементы  </t>
  </si>
  <si>
    <t>Cajas frías, portavacunas y paquetes de hielo</t>
  </si>
  <si>
    <t>Caixas frigoríficas, transportadores de vacinas e blocos de gelo</t>
  </si>
  <si>
    <t>الصناديق الباردة وناقلات اللقاح وحزم الثلج</t>
  </si>
  <si>
    <t>冷藏箱、疫苗运输箱和冰袋</t>
  </si>
  <si>
    <t>4.4 Sécurité</t>
  </si>
  <si>
    <t>4.4 Безопасность</t>
  </si>
  <si>
    <t>4.4 Seguridad</t>
  </si>
  <si>
    <t>4.4 Segurança Patrimonial</t>
  </si>
  <si>
    <t>4.4 الأمان</t>
  </si>
  <si>
    <t>4.4安全性</t>
  </si>
  <si>
    <t>4.3 Équipement de protection individuelle (EPI)</t>
  </si>
  <si>
    <t>4.3 Средства индивидуальной защиты (СИЗ)</t>
  </si>
  <si>
    <t>4.3 Equipo de protección personal (EPP)</t>
  </si>
  <si>
    <t>4.3 Equipamento de Protecção Individual (EPI)</t>
  </si>
  <si>
    <t>4.3 معدات الحماية الشخصية (PPE)</t>
  </si>
  <si>
    <t>4.3个人防护装备（PPE）</t>
  </si>
  <si>
    <t>4.2 Gestion des déchets</t>
  </si>
  <si>
    <t>4.2 Управление отходами</t>
  </si>
  <si>
    <t>4.2 Gestión de residuos</t>
  </si>
  <si>
    <t>4.2 Gestão de Resíduos</t>
  </si>
  <si>
    <t>4.2 إدارة النفايات</t>
  </si>
  <si>
    <t>4.2废弃物管理</t>
  </si>
  <si>
    <t>Gestion des déchets</t>
  </si>
  <si>
    <t xml:space="preserve"> Управление отходами</t>
  </si>
  <si>
    <t>Gestión de residuos</t>
  </si>
  <si>
    <t>Gestão de Resíduos</t>
  </si>
  <si>
    <t>إدارة النفايات</t>
  </si>
  <si>
    <t>废弃物管理</t>
  </si>
  <si>
    <t>4.1 Logistique et transports (hors chaîne du froid)</t>
  </si>
  <si>
    <t>4.1 Логистика и транспортировка (холодовая цепь не включается)</t>
  </si>
  <si>
    <t>4.1 Logística y transporte (excluyendo cadena de frío)</t>
  </si>
  <si>
    <t>4.1 Logística e Transporte (excluindo a cadeia de frio)</t>
  </si>
  <si>
    <t>4.1 الخدمات اللوجستية والنقل (باستثناء سلسلة التبريد)</t>
  </si>
  <si>
    <t>4.1物流与运输（不包括冷链）</t>
  </si>
  <si>
    <t>3.4 Autres</t>
  </si>
  <si>
    <t>3.4 Другое</t>
  </si>
  <si>
    <t>3.4 Otros</t>
  </si>
  <si>
    <t>3.4 Outras</t>
  </si>
  <si>
    <t>3.4 أخرى</t>
  </si>
  <si>
    <t>3.4其他</t>
  </si>
  <si>
    <t>3.2 Formation et supervision des vaccinateurs</t>
  </si>
  <si>
    <t xml:space="preserve">3.2 Подготовка вакцинаторов и обеспечение контроля за их работой </t>
  </si>
  <si>
    <t>3.2 Formación y supervisión de vacunadores</t>
  </si>
  <si>
    <t>3.2 Formação e Supervisão de Vacinadores</t>
  </si>
  <si>
    <t>3.2 تدريب وإشراف القائمين على التطعيم</t>
  </si>
  <si>
    <t>3.2疫苗接种者的培训和监督</t>
  </si>
  <si>
    <t>3.1 Assistance technique</t>
  </si>
  <si>
    <t>3.1 Техническая помощь</t>
  </si>
  <si>
    <t>3.1 Asistencia técnica</t>
  </si>
  <si>
    <t>3.1 Ajuda Técnica</t>
  </si>
  <si>
    <t>3.1 المساعدة الفنية</t>
  </si>
  <si>
    <t>3.1技术援助</t>
  </si>
  <si>
    <t>2.3 Fournitures et dispositifs vaccinaux</t>
  </si>
  <si>
    <t xml:space="preserve">2.3 Расходные материалы и устройства для проведения вакцинации </t>
  </si>
  <si>
    <t>2.3 Dispositivos y suministros auxiliares de la vacuna</t>
  </si>
  <si>
    <t>2.3 Suprimentos e Dispositivos relacionados com as vacinas</t>
  </si>
  <si>
    <t>2.3 التجهيزات والأجهزة المتعلقة باللقاحات</t>
  </si>
  <si>
    <t>2.3疫苗相关用品和设备</t>
  </si>
  <si>
    <t>Fournitures et dispositifs vaccinaux (hors gestion des déchets [4.2])</t>
  </si>
  <si>
    <t>Расходные материалы и устройства для проведения вакцинации (управление отходами не включается [4.2])</t>
  </si>
  <si>
    <t>Dispositivos y suministros auxiliares de la vacuna (excluyendo la gestión de residuos [4.2])</t>
  </si>
  <si>
    <t>Suprimentos e Dispositivos relacionados com as vacinas (excluindo a gestão de resíduos [4.2])</t>
  </si>
  <si>
    <t>التجهيزات والأجهزة المتعلقة باللقاحات (باستثناء إدارة النفايات [4.2])</t>
  </si>
  <si>
    <t>疫苗相关用品和设备（不包括废弃物管理[4.2]）</t>
  </si>
  <si>
    <t>2.2 Doses de vaccin</t>
  </si>
  <si>
    <t>2.2 Дозы вакцин</t>
  </si>
  <si>
    <t>2.2 Dosis de vacuna</t>
  </si>
  <si>
    <t>2.2 Doses da Vacina</t>
  </si>
  <si>
    <t>2.2 جرعات اللقاح</t>
  </si>
  <si>
    <t>2.2 疫苗剂数</t>
  </si>
  <si>
    <t>Ajustement pour doses COVAX pleine charge [ESTIMATIF UNIQUEMENT]</t>
  </si>
  <si>
    <t>Корректировка для полной стоимости доз вакцины, оплачиваемых через механизм COVAX [ТОЛЬКО РАСЧЕТНЫЕ ДАННЫЕ]</t>
  </si>
  <si>
    <t>Ajuste para dosis con todo incluido del COVAX [ESTIMACIÓN ÚNICAMENTE]</t>
  </si>
  <si>
    <t>Ajuste para doses da Covax com tudo incluído [APENAS ESTIMATIVA]</t>
  </si>
  <si>
    <t>تعديل جرعات كوفاكس Covax المحملة بالكامل [تقدير فقط]</t>
  </si>
  <si>
    <t>调整Covax全额补贴剂数[仅为估计值]</t>
  </si>
  <si>
    <t>IMPORTANT: Il s'agit de doses de vaccin uniquement (les fournitures et dispositifs ainsi que les transports correspondants sont calculés séparément)</t>
  </si>
  <si>
    <t xml:space="preserve">ВАЖНО: Это только дозы вакцин (то есть, расчет затрат на приобретение устройств для введения вакцин, приобретение расходных материалов и организацию доставки вакцин выполняется отдельно) </t>
  </si>
  <si>
    <t>IMPORTANTE: Estas son solo dosis de vacuna (es decir, los costes de los dispositivos, suministros auxiliares y envío de vacunas se estiman por separado)</t>
  </si>
  <si>
    <t>IMPORTANTE: Estas são doses de vacinas independentes (ou seja, os dispositivos e suprimentos relacionados com a vacina e o transporte são calculados separadamente).</t>
  </si>
  <si>
    <t>هام: هذه جرعات لقاح قائمة بذاتها (على سبيل المثال، يتم احتساب تكاليف الأجهزة والتجهيزات والشحن المتعلقة باللقاح بشكل منفصل)</t>
  </si>
  <si>
    <t>重要提示：这些仅包括疫苗剂数（即，对疫苗相关设备、用品和运输分开进行成本核算）</t>
  </si>
  <si>
    <t>Séries AMC92 entièrement subventionnées (quantité)</t>
  </si>
  <si>
    <t xml:space="preserve">Количество полностью бесплатных доз вакцины для стран ПОЗ-92 </t>
  </si>
  <si>
    <t>Pautas CAM92 con subvención total (cantidad)</t>
  </si>
  <si>
    <t>Ciclos totalmente subsidiados do AMC92 (quantidade)</t>
  </si>
  <si>
    <t>دورات AMC92 المدعومة بالكامل (الكمية)</t>
  </si>
  <si>
    <t>AMC92全额补贴疗程（数量）</t>
  </si>
  <si>
    <t>2.1 Doses de vaccin, fournitures et dispositifs correspondants (pleine charge)</t>
  </si>
  <si>
    <t>2.1 Дозы вакцин, устройства для введения вакцин и расходные материалы для вакцинации (полная стоимость)</t>
  </si>
  <si>
    <t>2.1 Dosis de vacuna y dispositivos y suministros auxiliares de la vacuna (todo incluido)</t>
  </si>
  <si>
    <t>2.1 Doses da vacina e dispositivos e suprimentos relacionados (tudo incluído)</t>
  </si>
  <si>
    <t>2.1 جرعات اللقاح والأجهزة والتجهيزات المتعلقة باللقاح (محملة بالكامل)</t>
  </si>
  <si>
    <t>2.1 疫苗剂数及与疫苗相关的设备和用品（含全额成本）</t>
  </si>
  <si>
    <t>Doses AMC92 entièrement subventionnées</t>
  </si>
  <si>
    <t xml:space="preserve">Полностью бесплатные дозы вакцины для стран ПОЗ-92 </t>
  </si>
  <si>
    <t>Dosis CAM92 con subvención total</t>
  </si>
  <si>
    <t>Doses totalmente subsidiadas do AMC92</t>
  </si>
  <si>
    <t>جرعات AMC92 المدعومة بالكامل</t>
  </si>
  <si>
    <t>AMC92全额补贴剂数</t>
  </si>
  <si>
    <t>IMPORTANT: Il s'agit de doses de vaccin pleine charge (les fournitures et dispositifs ainsi que les transports correspondants sont compris)</t>
  </si>
  <si>
    <t xml:space="preserve">ВАЖНО: Это полная стоимость доз вакцин (то есть, данная стоимость включает также и расчет затрат на приобретение устройств для введения вакцин, приобретение расходных материалов и организацию доставки вакцин) </t>
  </si>
  <si>
    <t>IMPORTANTE: Estas son  dosis de vacuna con todo incluido (es decir, incluye los costes de dispositivos, suministros auxiliares y envío de vacunas)</t>
  </si>
  <si>
    <t>IMPORTANTE: Estas são doses de vacinas com tudo incluído (ou seja, estão incluídos os dispositivos e suprimentos relacionados com a vacina e o transporte)</t>
  </si>
  <si>
    <t>هام: هذه جرعات لقاح محملة بالكامل (على سبيل المثال، يتم تضمين الأجهزة والإمدادات والشحن المتعلقة باللقاح)</t>
  </si>
  <si>
    <t>重要提示：这些是含全额成本的疫苗剂数（即包括与疫苗相关设备、用品和运输）</t>
  </si>
  <si>
    <t>R2.1 Catégories communes de coûts pour la vaccination contre la COVID-19 (PNDV 2.0)</t>
  </si>
  <si>
    <t>R2.1 Общие категории расчета затрат на иммунизацию против COVID-19 (НППВ 2.0)</t>
  </si>
  <si>
    <t>R2.1 Categorías frecuentes de costes para la inmunización frente a la COVID-19 (PNDV 2.0)</t>
  </si>
  <si>
    <t>R2.1 Categorias de custos comuns para a imunização contra a Covid-19 (PNDV 2.0)</t>
  </si>
  <si>
    <t>R2.1 فئات التكلفة الشائعة للتطعيم ضد  كوفيد-19 (خطة النشر والتطعيم الوطنية (NDVP) للقاحات كوفيد-19  2.0)</t>
  </si>
  <si>
    <t>R2.1 Covid-19免疫接种的常见成本核算类别（NDVP 2.0）</t>
  </si>
  <si>
    <t>6.4 Supervision et assurance qualité</t>
  </si>
  <si>
    <t>6.4 Контроль и обеспечение соответствия</t>
  </si>
  <si>
    <t>6.4 Supervisión y garantía</t>
  </si>
  <si>
    <t>6.4 Supervisão e Garantia</t>
  </si>
  <si>
    <t>6.4 الرقابة والتأكيد</t>
  </si>
  <si>
    <t>6.4监督与保证</t>
  </si>
  <si>
    <t>VIRAF-VIRAT 2.0 - J</t>
  </si>
  <si>
    <t>3.3 Rémunération des vaccinateurs</t>
  </si>
  <si>
    <t>3.3 Компенсационные выплаты для вакцинаторов</t>
  </si>
  <si>
    <t>3.3 Compensación de vacunadores</t>
  </si>
  <si>
    <t>3.3 Remuneração dos Vacinadores</t>
  </si>
  <si>
    <t xml:space="preserve">3.3 تعويض القائم بالتطعيم </t>
  </si>
  <si>
    <t>3.3疫苗接种者报酬</t>
  </si>
  <si>
    <t>Erreurs concernant la chaîne de l'ultra-froid dans la feuille B4</t>
  </si>
  <si>
    <t>Ошибки, связанные с УХЦ в Таблице B4</t>
  </si>
  <si>
    <t>Errores relacionados con UCC en la hoja B4</t>
  </si>
  <si>
    <t>Erros relacionados à UCC na Folha B4</t>
  </si>
  <si>
    <t>الأخطاء المتعلقة بـ سلسلة البرودة فائقة الانخفاض UCC في الورقة B4</t>
  </si>
  <si>
    <t>工作表B4中与UCC相关的错误</t>
  </si>
  <si>
    <t>per dose (wastage assumption applied)</t>
  </si>
  <si>
    <t>par dose (avec application des pertes supposées)</t>
  </si>
  <si>
    <t>на одну дозу (применяется допущение в отношении уровня потерь)</t>
  </si>
  <si>
    <t>por dosis (se aplica el supuesto en cuanto a desperdicio)</t>
  </si>
  <si>
    <t>por dose (aplicado pressuposto de desperdício)</t>
  </si>
  <si>
    <t>لكل جرعة (تطبيق افتراض الهدر)</t>
  </si>
  <si>
    <t>每剂（采用浪费假设）</t>
  </si>
  <si>
    <t>per dose excluding vaccines (wastage assumption applied)</t>
  </si>
  <si>
    <t>par dose hors vaccins (avec application des pertes supposées)</t>
  </si>
  <si>
    <t>на одну дозу без учета вакцин (применяется допущение в отношении уровня потерь)</t>
  </si>
  <si>
    <t>por dosis excluyendo vacunas (se aplica supuesto de desperdicio)</t>
  </si>
  <si>
    <t>por dose excluindo as vacinas (aplicado pressuposto de desperdício)</t>
  </si>
  <si>
    <t>لكل جرعة باستثناء اللقاحات (تم تطبيق افتراض الهدر)</t>
  </si>
  <si>
    <t>每剂（不包括疫苗）（采用浪费假设）</t>
  </si>
  <si>
    <t>Stock cumulatif de vaccin (pourcentage de la population de 2020), hors pertes</t>
  </si>
  <si>
    <t>Совокупные поставки вакцин (процент от населения в 2020 году), без учета потерь вакцин</t>
  </si>
  <si>
    <t>Suministro acumulado de vacuna (porcentaje de la población 2020) excluyendo desperdicio</t>
  </si>
  <si>
    <t>Fornecimento cumulativo de vacinas (percentagem da população de 2020) excluindo o desperdício</t>
  </si>
  <si>
    <t>العرض التراكمي للقاحات (النسبة المئوية من سكان 2020) باستثناء الهدر</t>
  </si>
  <si>
    <t>累计疫苗供应量（占2020年人口的百分比），不包括浪费</t>
  </si>
  <si>
    <t>Population cumulative prévue pour être vaccinés (% de la population 2023)</t>
  </si>
  <si>
    <t>Совокупное население Ожидаемое быть вакцинированы (% от 2023 населения)</t>
  </si>
  <si>
    <t>Población acumulada Se espera que sea Vacunados (% de la Población 2023)</t>
  </si>
  <si>
    <t>População acumulada esperada para serem vacinados (% de 2023 População)</t>
  </si>
  <si>
    <t>سكان التراكمي المتوقع أن يكون تلقيح (٪ من السكان 2023)</t>
  </si>
  <si>
    <t>累积人口预期被接种（2023人口％）</t>
  </si>
  <si>
    <t>Aller à la feuille B4 pour ajuster les vérifications logiques</t>
  </si>
  <si>
    <t xml:space="preserve">Перейти к B4 для проведения логических проверок и устранения ошибок </t>
  </si>
  <si>
    <t>Ir a la hoja B4 para corregir comprobaciones lógicas</t>
  </si>
  <si>
    <t>Vá para a Folha B4 para corrigir verificações lógicas</t>
  </si>
  <si>
    <t>انتقل إلى الورقة B4 لإصلاح عمليات التحقق المنطقية</t>
  </si>
  <si>
    <t>转到工作表B4以处理逻辑检查</t>
  </si>
  <si>
    <t>Note: This blue bars in section displays the time (in days) per time period of 180 days, that will be needed for the vaccination campaign.
The line chart indicates the cumulative population expected to be vaccinated from 2021-2023 based on the assumptions specified in A2 and B1.</t>
  </si>
  <si>
    <t>Grand Total (LCU)</t>
  </si>
  <si>
    <t>Total général (monnaie nationale ou LCU)</t>
  </si>
  <si>
    <t>Total general (UDL)</t>
  </si>
  <si>
    <t>Total Geral (LCU)</t>
  </si>
  <si>
    <t>总和（LCU)</t>
  </si>
  <si>
    <t>المجموع الكلي (LCU)</t>
  </si>
  <si>
    <t>Суммарный итог (в единице местной валюты)</t>
  </si>
  <si>
    <t>Facteur d'accélération de la chaîne de l'ultra-froid</t>
  </si>
  <si>
    <t>Коэффициент перегрузки УХЦ</t>
  </si>
  <si>
    <t>Factor de aceleración UCC</t>
  </si>
  <si>
    <t>Factor de aceleração da UCC</t>
  </si>
  <si>
    <t>عامل تسريع سلسلة البرودة الفائقة الانخفاض UCC</t>
  </si>
  <si>
    <t>UCC加速系数</t>
  </si>
  <si>
    <t>Nombre de jours, par défaut, requis par les équipes pour compléter les vaccinations pendant chaque période [Modalités d'administration 1-3]</t>
  </si>
  <si>
    <t>Количество дней по умолчанию, которое требуются бригадам для полного выполнения вакцинации в каждом периоде [СП 1-3]</t>
  </si>
  <si>
    <t>Número de días por defecto en que los equipos deben completar las vacunaciones en cada periodo [MA 1 a 3]</t>
  </si>
  <si>
    <t>Número padrão de dias para as equipas completarem a vacinação dentro de cada período de tempo [MA 1-3]</t>
  </si>
  <si>
    <t>عدد الأيام الافتراضي للفرق لإكمال التطعيمات خلال كل فترة زمنية [DM 1-3]</t>
  </si>
  <si>
    <t>团队在每个时间段内完成疫苗接种的默认天数[DM 1-3]</t>
  </si>
  <si>
    <t>Nombre MAXIMUM de jours requis par les équipes pour compléter les vaccinations pendant chaque période [Modalités d'administration 1-3] si l'on a recours à la chaîne de l'ultra-froid</t>
  </si>
  <si>
    <t>МАКСИМАЛЬНОЕ количество дней, которые требуются бригадам для полного выполнения вакцинации в каждом периоде [СП 1-3], если используется УХЦ</t>
  </si>
  <si>
    <t>Número de días MAX en que los equipos deben completar las vacunaciones en cada periodo [MA 1 a 3] si se utiliza UCC</t>
  </si>
  <si>
    <t>Número MÁX. de dias para as equipas completarem a vacinação dentro de cada período de tempo [MA 1-3] se for usada UCC</t>
  </si>
  <si>
    <t>الحد الأقصى لعدد الأيام للفرق لاستكمال التطعيمات خلال كل فترة زمنية [1-3 DM] إذا تم استخدام سلسلة البرودة الفائقة الانخفاض UCC</t>
  </si>
  <si>
    <t>如果使用了UCC，团队在每个时间段内完成疫苗接种的最多天数[DM 1-3]</t>
  </si>
  <si>
    <t>Nombre de jours, par défaut, requis par les équipes pour compléter les vaccinations pendant chaque période [Modalité d'administration 4]</t>
  </si>
  <si>
    <t>Количество дней по умолчанию, которое требуются бригадам для полного выполнения вакцинации в каждом периоде [СП 4]</t>
  </si>
  <si>
    <t>Número de días por defecto en que los equipos deben completar las vacunaciones en cada periodo [MA 4]</t>
  </si>
  <si>
    <t>Número padrão de dias para as equipas completarem a vacinação dentro de cada período de tempo [MA 4]</t>
  </si>
  <si>
    <t>عدد الأيام الافتراضي للفرق لإكمال التطعيمات في كل فترة زمنية [DM 4]</t>
  </si>
  <si>
    <t>团队在每个时间段内完成疫苗接种的默认天数 [DM 4]</t>
  </si>
  <si>
    <t>Nombre MAXIMUM de jours requis par les équipes pour compléter les vaccinations pendant chaque période [Modalités d'administration 1-3], par période</t>
  </si>
  <si>
    <t xml:space="preserve">МАКСИМАЛЬНОЕ количество дней, которые требуются бригадам для полного выполнения вакцинации в каждом периоде [СП 1-3] </t>
  </si>
  <si>
    <t>Número de días MAX en que los equipos deben completar las vacunaciones en cada periodo [MA 1 a 3] por periodo</t>
  </si>
  <si>
    <t>Número MÁX. de dias para as equipas completarem a vacinação dentro de cada período de tempo [MA 1-3] para cada período</t>
  </si>
  <si>
    <t>الحد الأقصى لعدد الأيام للفرق لاستكمال التطعيمات خلال كل فترة زمنية [DM 1-3] لكل فترة زمنية</t>
  </si>
  <si>
    <t>就每个时间段而言，团队在每个时间段内完成疫苗接种的最多天数[DM 1-3]</t>
  </si>
  <si>
    <t>Total de l'EPI réutilisable</t>
  </si>
  <si>
    <t>Общее количество СИЗ многоразового использования</t>
  </si>
  <si>
    <t>Total de EPP reutilizable</t>
  </si>
  <si>
    <t>Total de EPI reutilizáveis</t>
  </si>
  <si>
    <t>إجمالي معدات الوقاية الشخصية القابلة لإعادة الاستخدام</t>
  </si>
  <si>
    <t>可重复使用的PPE总数</t>
  </si>
  <si>
    <t>Total de l'EPI, usage par jour</t>
  </si>
  <si>
    <t xml:space="preserve">Общее количество используемых СИЗ в день </t>
  </si>
  <si>
    <t>Total de EPP de uso diario</t>
  </si>
  <si>
    <t>Total de EPI para uso diário</t>
  </si>
  <si>
    <t>إجمالي استخدام معدات الوقاية الشخصية اليومية</t>
  </si>
  <si>
    <t>每日使用的PPE总数</t>
  </si>
  <si>
    <t>Outrepasser ici pour accélérer le programme de vaccination</t>
  </si>
  <si>
    <t xml:space="preserve">Скорректировать вручную здесь для ускорения программы вакцинации </t>
  </si>
  <si>
    <t>Sustituir aquí para acelerar el programa de vacunación</t>
  </si>
  <si>
    <t>Substitua aqui para acelerar o programa de vacinação</t>
  </si>
  <si>
    <t>تجاوز هنا لتسريع برنامج التطعيم</t>
  </si>
  <si>
    <t>覆写此处，以加速疫苗接种计划</t>
  </si>
  <si>
    <t>Consider adjustment for weekends</t>
  </si>
  <si>
    <t>Внести корректировки с учетом выходных дней</t>
  </si>
  <si>
    <t>Pensar en ajustar para fines de semana</t>
  </si>
  <si>
    <t>اعتبار التعديلات بحسب عطلات نهاية الأسبوع</t>
  </si>
  <si>
    <t>考虑周末调整</t>
  </si>
  <si>
    <t>Équivalent du district</t>
  </si>
  <si>
    <t>Соответствует районному уровню</t>
  </si>
  <si>
    <t>Equivalente de distrito</t>
  </si>
  <si>
    <t>Equivalente a distrito</t>
  </si>
  <si>
    <t>معادل - المقاطعة</t>
  </si>
  <si>
    <t>相当于地区</t>
  </si>
  <si>
    <t>Tout vaccin</t>
  </si>
  <si>
    <t>Любой</t>
  </si>
  <si>
    <t>Cualquiera</t>
  </si>
  <si>
    <t>Qualquer tipo</t>
  </si>
  <si>
    <t>أي</t>
  </si>
  <si>
    <t>任何</t>
  </si>
  <si>
    <t>Is ultra-cold chain (UCC) used this period?</t>
  </si>
  <si>
    <t>¿Se utiliza cadena de frío extremo (UCC) en este periodo?</t>
  </si>
  <si>
    <t>A cadeia de ultra-frio (UCC) é utilizada neste período?</t>
  </si>
  <si>
    <t>هل تم استخدام سلسلة البرودة فائقة الانخفاض (UCC) في هذه الفترة؟</t>
  </si>
  <si>
    <t>在这个时间段内是否使用超冷链（UCC）？</t>
  </si>
  <si>
    <t>On ne dispose pas de données à ce sujet; hypothèse: 3x le montant d'un congélateur qui n'est pas dans la chaîne de l'ultra-froid (sur la base de différences de coût approximatives)</t>
  </si>
  <si>
    <t>Нет соответствующих данных - используется допущение: в 3 раза больше, чем морозильник, не обеспечивающий ультранизкую температуру (учитывая приблизительное различие в себестоимости)</t>
  </si>
  <si>
    <t>Sin datos disponibles - supuesto: 3 veces la de un congelador no de frío extremo (basado en diferencias de coste aproximadas)</t>
  </si>
  <si>
    <t>Não há dados disponíveis sobre isto – pressuposto: 3 vezes o de um congelador não da UCC (com base nas diferenças de custo aproximadas)</t>
  </si>
  <si>
    <t>لا توجد بيانات حول هذا - الافتراض: 3x من المجمد غير المستخدم في سلسلة البرودة فائقة الانخفاض UCC (بناءً على فروق التكلفة التقريبية)</t>
  </si>
  <si>
    <t>没有可用的相关数据——假设：非UCC冰柜的3倍（基于粗略估计的成本差异）</t>
  </si>
  <si>
    <t>La chaîne de l'ultra-froid (UCC) est-elle utilisée pendant cette période?</t>
  </si>
  <si>
    <t xml:space="preserve">Ультрахолодовая цепь (УХЦ / UCC) используется в данный период? </t>
  </si>
  <si>
    <t>Cargaisons internationales par période (personnalisation par l'utilisateur)</t>
  </si>
  <si>
    <t xml:space="preserve">Международные поставки за один период (пользовательская настройка) </t>
  </si>
  <si>
    <t>Envíos internacionales por periodo (a especificar por el usuario)</t>
  </si>
  <si>
    <t>Expedições internacionais por período (personalização do utilizador)</t>
  </si>
  <si>
    <t>الشحنات الدولية لكل فترة (تخصيص المستخدم)</t>
  </si>
  <si>
    <t>每个时间段的国际运输（用户定制）</t>
  </si>
  <si>
    <t>On peut aussi spécifier ici séparément les cargaisons internationales par période pour chaque période</t>
  </si>
  <si>
    <t xml:space="preserve">Для целей оптимизации, количество международных поставок в одном периоде можно также указать здесь - отдельно по каждому периоду.  </t>
  </si>
  <si>
    <t>Los envíos internacionales por periodo pueden especificarse también aquí de forma separada para cada periodo con el fin de optimizar.</t>
  </si>
  <si>
    <t>As expedições internacionais por período também podem ser especificadas aqui para cada período separadamente para optimizar.</t>
  </si>
  <si>
    <t>يمكن أيضًا تحديد الشحنات الدولية لكل فترة هنا لكل فترة على حدة لتحسينها.</t>
  </si>
  <si>
    <t>也可在此处为每个时间段分别指定国际货运量，以进行优化。</t>
  </si>
  <si>
    <t>Source: PATH | Pas de générateur car le réseau électrique est considéré comme fiable | La climatisation des locaux pour les climats chauds n'est pas comprise</t>
  </si>
  <si>
    <t xml:space="preserve">Источник: ПАОЗ | Генератор не требуется; считается, что обеспечено бесперебойное энергоснабжение| Кондиционирование воздуха в помещения для стран с жарким климатом не включено </t>
  </si>
  <si>
    <t>Fuente: PATH | Sin generador, pues se supone un suministro eléctrico fiable | No se incluye aire acondicionado de la sala para climas cálidos</t>
  </si>
  <si>
    <t>Fonte: PATH | Nenhum gerador já que se supõe que a electricidade é fiável | Ar condicionado ambiente para climas quentes não está incluído</t>
  </si>
  <si>
    <t>المصدر: PATH | لا يوجد مولد كهربائي حيث يفترض أن يكون تجعيز الطاقة الكهربائية موثوقًأ | لا يشمل تكييف الغرفة للمناخات الحارة</t>
  </si>
  <si>
    <t>资料来源：PATH |不包括发电机，假设有可靠的电力供应 | 不包括炎热地区的室内空调</t>
  </si>
  <si>
    <t>Цена на преквалифицированную продукцию</t>
  </si>
  <si>
    <t>Precio precalificado</t>
  </si>
  <si>
    <t>السعر المؤهل</t>
  </si>
  <si>
    <t>资格预审价格</t>
  </si>
  <si>
    <t>Lower (Easier to access facilities)</t>
  </si>
  <si>
    <t>Plus bas (locaux plus accessibles)</t>
  </si>
  <si>
    <t>Нижний (для учреждений, доступ к которым не затруднен)</t>
  </si>
  <si>
    <t>Más bajo (establecimientos de más fácil acceso)</t>
  </si>
  <si>
    <t>أقل (أسهل للوصول إلى المنشآت لصحية)</t>
  </si>
  <si>
    <t>较低的（较容易触及的设施）</t>
  </si>
  <si>
    <t>Upper (Harder to access facilities)</t>
  </si>
  <si>
    <t>Supérieur (facilités plus difficiles d'accès)</t>
  </si>
  <si>
    <t xml:space="preserve">Верхний (для учреждений, доступ к которым затруднен) </t>
  </si>
  <si>
    <t>Más alta (establecimientos de más difícil acceso)</t>
  </si>
  <si>
    <t>الأعلى (من الصعب الوصول إلى المنشأت الصحية)</t>
  </si>
  <si>
    <t>较高的（较难触及的设施）</t>
  </si>
  <si>
    <t>Envois du niveau central au niveau régional par période (personnalisation par l'utilisateur)</t>
  </si>
  <si>
    <t>Поставки с центрального уровня на региональный уровень за один период (пользовательская настройка)</t>
  </si>
  <si>
    <t>Envíos desde base central a regional por periodo (a definir por el usuario)</t>
  </si>
  <si>
    <t>Expedições de central para regional por período (personalização do utilizador)</t>
  </si>
  <si>
    <t>الشحنات من المرخازن  المركزية إلى المخازن  الإقليمية لكل فترة (تخصيص المستخدم)</t>
  </si>
  <si>
    <t>每个时间段从中央到区域的货运量（用户定制）</t>
  </si>
  <si>
    <t>On peut aussi spécifier séparément ici les envois par période pour chaque période</t>
  </si>
  <si>
    <t>Для целей оптимизации, количество поставок в одном периоде можно также указать здесь - отдельно по каждому периоду.</t>
  </si>
  <si>
    <t>Los envíos por periodo pueden especificarse también aquí de forma separada para cada periodo con el fin de optimizar.</t>
  </si>
  <si>
    <t>As expedições por período também podem ser especificadas aqui para cada período separadamente para optimizar.</t>
  </si>
  <si>
    <t>يمكن أيضًا تحديد الشحنات لكل فترة هنا لكل فترة على حدة لتحسينها.</t>
  </si>
  <si>
    <t>也可在此处为每个时间段分别指定货运量，以进行优化。</t>
  </si>
  <si>
    <t>Pas de choix de modèle</t>
  </si>
  <si>
    <t>Выбор модели не доступен</t>
  </si>
  <si>
    <t>Sin selección de modelo</t>
  </si>
  <si>
    <t>Sem escolha de modelo</t>
  </si>
  <si>
    <t>لا يوجد خيار نموذجي</t>
  </si>
  <si>
    <t>没有型号可选</t>
  </si>
  <si>
    <t>Maximum de jours où le vaccin de la chaîne de l'ultra-froid est stable entre 2 et 8 °C</t>
  </si>
  <si>
    <t>Максимальное количество дней, в течение которых вакцина, которая требует ультранизких температур, сохраняет стабильность при 2-8 °C</t>
  </si>
  <si>
    <t>Número máximo de días en que la vacuna de frío extremo es estable a 2-8C</t>
  </si>
  <si>
    <t>Nº máximo de dias em que a vacina da UCC é estável a 2 ºC–8 ºC</t>
  </si>
  <si>
    <t>الحد الأقصى لعدد الأيام التي يكون فيها لقاح سلسلة البرودة فائقة الانخفاض UCC ثابتًا عند 2-8 درجة مئوية</t>
  </si>
  <si>
    <t>UCC疫苗在2-8C温度下稳定的最长天数</t>
  </si>
  <si>
    <t>Un autre jour déduit pour transport</t>
  </si>
  <si>
    <t xml:space="preserve">Один дополнительный день вычитается для транспортировки </t>
  </si>
  <si>
    <t>Restar 1 día adicional para el transporte</t>
  </si>
  <si>
    <t>Subtraído mais 1 dia para o transporte</t>
  </si>
  <si>
    <t>يتم طرح يوم واحد إضافي للنقل</t>
  </si>
  <si>
    <t>再减去1天的运输时间</t>
  </si>
  <si>
    <t>UCC Only</t>
  </si>
  <si>
    <t>Chaîne de l'ultra-froid uniquement</t>
  </si>
  <si>
    <t>Только УХЦ</t>
  </si>
  <si>
    <t>Cadena de frío extremo únicamente</t>
  </si>
  <si>
    <t>Apenas UCC</t>
  </si>
  <si>
    <t>سلسلة البرودة فائقة الانخفاض UCC فقط</t>
  </si>
  <si>
    <t>仅适用于UCC</t>
  </si>
  <si>
    <t>Augmenter la fréquence des envois par période si l'on voit une flèche ROUGE</t>
  </si>
  <si>
    <t xml:space="preserve">Увеличьте частоту поставок в одном периоде, если где-либо в таблице появляется КРАСНАЯ стрелка </t>
  </si>
  <si>
    <t>Incrementar la frecuencia de envíos por periodo si aparecen flechas ROJAS</t>
  </si>
  <si>
    <t>Aumente a frequência das expedições por período se vir alguma seta VERMELHA</t>
  </si>
  <si>
    <t>قم بزيادة تكرار الشحنات لكل فترة زمنية في حالة مشاهدة أي أسهم باللون الأحمر</t>
  </si>
  <si>
    <t>如果看到红色箭头，则增加每个时间段的发货频率</t>
  </si>
  <si>
    <t>Envois du niveau régional au district et aux établissements de santé par période (personnalisation par l'utilisateur)</t>
  </si>
  <si>
    <t xml:space="preserve">Поставки с регионального уровня на районный уровень за один период + в медучреждения (пользовательская настройка) </t>
  </si>
  <si>
    <t>Envíos de regional a distrito + establecimientos de salud por periodo (a definir por el usuario)</t>
  </si>
  <si>
    <t>Expedições de regional para distrital + unidades de saúde por período (personalização do utilizador)</t>
  </si>
  <si>
    <t>الشحنات من المخازن الإقليمية  إلى مخازن المنطقة  + المنشآت الصحية لكل فترة (تخصيص المستخدم)</t>
  </si>
  <si>
    <t>每个时间段从区域到地区+卫生设施的货运量（用户定制）</t>
  </si>
  <si>
    <t>On peut aussi spécifier ici le nombre des envois par période pour les optimiser</t>
  </si>
  <si>
    <t>Réfrigéré (2 à 8 °C) (TOTAL y compris ultra-froid)</t>
  </si>
  <si>
    <t>Охлаждение (2-8 °С) (ВСЕГО в УХЦ)</t>
  </si>
  <si>
    <t>Refrigeración (2 a 8C) (TOTAL incl. frío extremo)</t>
  </si>
  <si>
    <t>Refrigerada (2 ºC a 8 ºC) (TOTAL incl. UCC)</t>
  </si>
  <si>
    <t>مبرد (من 2 إلى 8 درجة مئوية) (إجمالي بما في ذلك سلسلة البرودة فائقة الانخفاض UCC)</t>
  </si>
  <si>
    <t>冷藏（2至8C）（总计，包括UCC）</t>
  </si>
  <si>
    <t>et vaccins de la chaîne de l'ultra-froid (qui seront stockés entre 2 et 8 °C dans les districts)</t>
  </si>
  <si>
    <t>и вакцины, которые требуют УХЦ (эти вакцины будут храниться на районных складах при 2-8 °C)</t>
  </si>
  <si>
    <t>y vacunas de frío extremo (se conservarán a 2-8C en los distritos)</t>
  </si>
  <si>
    <t>e vacinas da UCC (serão armazenadas entre 2 ºC e 8 ºC nos distritos)</t>
  </si>
  <si>
    <t>ولقاحات سلسلة البرودة فائقة الانخفاض UCC (سيتم تخزينها في 2-8 درجة مئوية في المناطق)</t>
  </si>
  <si>
    <t>以及UCC疫苗（在地区将在2-8C下储藏）</t>
  </si>
  <si>
    <t>Volume de vaccins contre la COVID-19 dans leur emballage secondaire (en litres) par envoi, marge comprise [PAR DISTRICT]: pour scénario ultra-froid (niveau régional à terminus de district)</t>
  </si>
  <si>
    <t>Объем вакцин против COVID-19 во вторичной упаковке (в литрах) на одну поставку, включая резервный запас [НА ОДИН РАЙОН] - Для сценария с использованием УХЦ (с регионального на районный уровень - конечный пункт)</t>
  </si>
  <si>
    <t xml:space="preserve">Volumen de vacunas de la COVID-19 en envasado secundario (litros) por envío, incl. reservas [POR DISTRITO] - para escenario de cadena de frío extremo (regional a terminal de distrito) </t>
  </si>
  <si>
    <t>Volume de vacinas contra a COVID-19 em embalagem secundária (litros) por expedição, incl. reserva [POR DISTRITO] – Para cenário de UCC (de terminal regional para distrital)</t>
  </si>
  <si>
    <t>حجم لقاحات كوفيد-19 في العبوة الثانوية (لترات) لكل شحنة، بما في ذلك. المخزن المؤقت [لكل منطقة] - بالنسبة لسيناريو سلسلة البرودة فائقة الانخفاض UCC (من المخازن الإقليمية إلى مخازن المنطقة)</t>
  </si>
  <si>
    <t>每批货运二级包装中COVID-19疫苗的体积（升），包括缓冲物[每个地区]——针对UCC情况（区域到地区终点）</t>
  </si>
  <si>
    <t>Ultra-froid: y compris doses de vaccin destinées à des sites fixes qui sont transportées directement des entrepôts régionaux aux sites fixes entre 2 et 8 °C</t>
  </si>
  <si>
    <t>УХЦ: Включая дозы вакцин, предназначенные для стационарных лечебных учреждений, которые перевозятся напрямую с региональных складов в стационарные лечебные учреждения при 2-8 °C</t>
  </si>
  <si>
    <t>UCC: Incluyendo dosis de vacunas destinadas a ubicaciones fijas que se transportan directamente de almacenes regionales a ubicaciones fijas a entre 2-8C</t>
  </si>
  <si>
    <t>UCC: Incluindo doses de vacina destinadas a locais fixos que são transportadas directamente dos armazéns regionais para os locais fixos a 2 ºC–8 ºC</t>
  </si>
  <si>
    <t>سلسلة البرودة فائقة الانخفاض UCC: بما في ذلك جرعات اللقاح المخصصة للمواقع الثابتة التي يتم نقلها مباشرة من المخازن الإقليمية إلى المواقع الثابتة في 2-8 درجة مئوية</t>
  </si>
  <si>
    <t>UCC：包括在2-8C温度下从区域储存点直接运送到固定站点，且以固定站点为目的地的疫苗剂数</t>
  </si>
  <si>
    <t>Total chambre froide/de congélation</t>
  </si>
  <si>
    <t xml:space="preserve">Всего холодильных комнат/морозильных комнат </t>
  </si>
  <si>
    <t>Total cámaras refrigeradas / cámaras de congelación</t>
  </si>
  <si>
    <t>إجمالي غرفة التجميد (WIRF) /غرفة التبريد (WICR)</t>
  </si>
  <si>
    <t>总WICR/WIFR</t>
  </si>
  <si>
    <t>Total réfrigérateurs à gaine réfrigérante/solaires et congélateurs à briquettes</t>
  </si>
  <si>
    <t xml:space="preserve">Всего ХЛО/ХСБ/морозильники для хладоэлементов </t>
  </si>
  <si>
    <t>Total ILR/SDD/congeladores de paquetes de hielo</t>
  </si>
  <si>
    <t>Total de ILR (refrigeradores revestidos com gelo)/SDD (frigoríficos solares direct-drive)/Congeladores de blocos de gelo</t>
  </si>
  <si>
    <t>إجمالي  مجمدات حزم الثلج /محركات الطاقة الشمسية المباشرة (SDD) /ثلاجات مبطّنة بالثلج (ILRs)</t>
  </si>
  <si>
    <t>总ILR/SDD/冰袋冰柜</t>
  </si>
  <si>
    <t>Total chaîne de l'ultra-froid</t>
  </si>
  <si>
    <t>Всего УХЦ</t>
  </si>
  <si>
    <t>Total da UCC</t>
  </si>
  <si>
    <t>إجمالي سلسلة البرودة فائقة الانخفاض UCC</t>
  </si>
  <si>
    <t>总UCC</t>
  </si>
  <si>
    <t>Total dispositifs de contrôle de la température à distance</t>
  </si>
  <si>
    <t>Всего ДДМТ (датчики дистанционного мониторинга температуры)</t>
  </si>
  <si>
    <t>Total dispositivos de vigilancia remota de la temperatura (RTMD)</t>
  </si>
  <si>
    <t>Total de RTMD (Dispositivos Remotos de Monitorização de Temperatura)</t>
  </si>
  <si>
    <t xml:space="preserve">إجمالي  لوائح نقل المواد الخطرة (RTMD) </t>
  </si>
  <si>
    <t>总RTMD</t>
  </si>
  <si>
    <t>Transports internationaux par cargaison</t>
  </si>
  <si>
    <t xml:space="preserve">Количество международных поставок на одну единицу </t>
  </si>
  <si>
    <t>每单位国际运输量</t>
  </si>
  <si>
    <t>Mise à jour: 2021-01-20</t>
  </si>
  <si>
    <t>Обновлено: 2021-01-20</t>
  </si>
  <si>
    <t>Actualización: 2021-01-20</t>
  </si>
  <si>
    <t>Actualização: 2021-01-20</t>
  </si>
  <si>
    <t>تحديث: 2021-01-20</t>
  </si>
  <si>
    <t>更新时间：2021年1月20日</t>
  </si>
  <si>
    <t>Volume minimum (en litres) par conteneur (arrondir au litre supérieur)</t>
  </si>
  <si>
    <t>Минимальный объем (в литрах) на один контейнер (квантизировано)</t>
  </si>
  <si>
    <t>Volumen mínimo (l) por contenedor (cuantificar hacia arriba)</t>
  </si>
  <si>
    <t>Volume mín. (L) por recipiente (quantificar)</t>
  </si>
  <si>
    <t>الحجم الأدنى (لتر) لكل حاوية (تكميم)</t>
  </si>
  <si>
    <t>每箱最小容积（L）（细分）</t>
  </si>
  <si>
    <t>Par volume (en litres)</t>
  </si>
  <si>
    <t>На объем (в литрах)</t>
  </si>
  <si>
    <t>Por volumen (litros)</t>
  </si>
  <si>
    <t>Por volume (litros)</t>
  </si>
  <si>
    <t>لكل حجم (لتر)</t>
  </si>
  <si>
    <t>按体积（升）</t>
  </si>
  <si>
    <t>Vaccin de la chaîne de l'ultra-froid entre 2 et 8 °C</t>
  </si>
  <si>
    <t>Вакцина, требующая УХЦ, при 2-8 °C</t>
  </si>
  <si>
    <t>Vacuna UCC en 2 a 8C</t>
  </si>
  <si>
    <t>Vacina da UCC a 2ºC a 8ºC</t>
  </si>
  <si>
    <t>لقاح سلسلة البرودة الفائقة الانخفاض UCC في 2 إلى 8 درجة مئوية</t>
  </si>
  <si>
    <t>2至8C下的UCC疫苗</t>
  </si>
  <si>
    <t>Neige carbonique requise par période (en kg)</t>
  </si>
  <si>
    <t>Требуемое количество сухого льда на один период (кг)</t>
  </si>
  <si>
    <t>Hielo seco requerido por periodo (kg)</t>
  </si>
  <si>
    <t>Gelo seco necessário por período (kg)</t>
  </si>
  <si>
    <t>مطلوب ثلج جاف لكل فترة (كجم)</t>
  </si>
  <si>
    <t>每时间段所需干冰（kg）</t>
  </si>
  <si>
    <t>Transport de la chaîne du froid de l'entrepôt régional aux districts</t>
  </si>
  <si>
    <t>Транспортировка с соблюдением условий холодовой цепи с регионального склада в районы</t>
  </si>
  <si>
    <t>Transporte en cadena de frío de almacén regional a distritos</t>
  </si>
  <si>
    <t>Transporte da cadeia de frio de armazém regional para os distritos</t>
  </si>
  <si>
    <t>نقل سلسلة التبريد من المخزن الإقليمي إلى المناطق</t>
  </si>
  <si>
    <t>从区域储存点到地区的冷链运输</t>
  </si>
  <si>
    <t>Transport de la chaîne du froid du district aux sites fixes</t>
  </si>
  <si>
    <t>Транспортировка с соблюдением условий холодовой цепи с районного склада в стационарные лечебные учреждения</t>
  </si>
  <si>
    <t>Transporte en cadena de frío de distrito a ubicaciones fijas</t>
  </si>
  <si>
    <t>Transporte da cadeia de frio dos distritos para os locais fixos</t>
  </si>
  <si>
    <t>نقل سلسلة التبريد من المناطق إلى المواقع الثابتة</t>
  </si>
  <si>
    <t>从地区到固定站点的冷链运输</t>
  </si>
  <si>
    <t>Transport de la chaîne du froid de l'entrepôt régional aux districts (ULTRA-FROID UNIQUEMENT)</t>
  </si>
  <si>
    <t>Транспортировка с соблюдением условий холодовой цепи с регионального склада в стационарные лечебные учреждения (только для УХЦ)</t>
  </si>
  <si>
    <t>Transporte en cadena de frío de almacén regional a ubicaciones fijas (UCC ÚNICAMENTE)</t>
  </si>
  <si>
    <t>Transporte da cadeia de frio de armazém regional para os locais fixos (APENAS UCC)</t>
  </si>
  <si>
    <t>نقل سلسلة التبريد من المخزن الإقليمي إلى المواقع الثابتة (سلسلة البرودة الفائقة الانخفاض UCC فقط)</t>
  </si>
  <si>
    <t>从区域储存点到固定站点的冷链运输（仅适用于UCC）</t>
  </si>
  <si>
    <t>Chaîne de l'ultra-froid: caisson à glace carbonique + glace carbonique</t>
  </si>
  <si>
    <t xml:space="preserve">УХЦ - контейнер для сухого льда + сухой лед </t>
  </si>
  <si>
    <t>UCC - contenedor de hielo seco + hielo seco</t>
  </si>
  <si>
    <t>UCC – transportador de gelo seco + gelo seco</t>
  </si>
  <si>
    <t>سلسلة البرودة فائقة الانخفاض UCC - شاحنة نقل الثلج الجاف + ثلج جاف</t>
  </si>
  <si>
    <t>UCC——干冰运输箱+干冰</t>
  </si>
  <si>
    <t>Le modèle de calcul des coûts suppose 2-8 °C en dessous du niveau régional puisque BNT162b2 est stable pendant 5 jours à cette température. Des voyages fréquents sont requis, ce qui peut coûter cher!</t>
  </si>
  <si>
    <t>Данная модель расчета затрат предусматривает хранение вакцины при 2-8 °C на складах ниже регионального уровня - вакцину BNT162b2 можно хранить при этой температуре до до 5 дней с сохранением стабильности. Требуются частые поездки - это может быть затратно!</t>
  </si>
  <si>
    <t>El modelo de estimación de costes supondría 2-8C en niveles inferiores al regional - según los 5 días de estabilidad de la BNT162b2. Se precisan desplazamientos frecuentes - podría resultar caro!</t>
  </si>
  <si>
    <t>O modelo de cálculo de custos suporia 2 ºC–8 ºC em locais abaixo do nível regional – já que a BNT162b2 é estável por 5 dias a essa temperatura São necessárias viagens frequentes – pode ser dispendioso!</t>
  </si>
  <si>
    <t>يفترض نموذج تقدير التكلفة 2-8 درجة مئوية أقل من المستوى الإقليمي - لكل 5 أيام من الثبات لـ BNT162b2 . هناك حاجة إلى رحلات متكررة - قد تكون مكلفة!</t>
  </si>
  <si>
    <t>成本核算模型将假设区域层面以下为2-8C——针对BNT162b2的5天稳定性。需要频繁的行程——可能会很昂贵！</t>
  </si>
  <si>
    <t>Ultra-froid traité comme 2-8 °C en dessous des entrepôts régionaux</t>
  </si>
  <si>
    <t xml:space="preserve">УХЦ при 2-8 °С на уровне ниже регионального </t>
  </si>
  <si>
    <t>UCC tratado como 2-8C en niveles inferiores al regional</t>
  </si>
  <si>
    <t>UCC tratada como 2 ºC–8 ºC em locais abaixo dos armazéns regionais</t>
  </si>
  <si>
    <t>تتم معاملة  سلسلة البرودة فائقة الانخفاض UCC على أنها 2-8 درجة مئوية دون المخازن الإقليمية</t>
  </si>
  <si>
    <t>区域层面以下储存点UCC被视为2-8 C</t>
  </si>
  <si>
    <t>Suppose des coûts de transport semblables à ceux du personnel</t>
  </si>
  <si>
    <t xml:space="preserve">Предполагаются затраты на транспорт, аналогичные затратам на перевозку персонала </t>
  </si>
  <si>
    <t>Supone costes de transporte similares al transporte del personal</t>
  </si>
  <si>
    <t>Supõe custos de transporte semelhantes aos do transporte de pessoal</t>
  </si>
  <si>
    <t>يفترض تكاليف نقل مماثلة لنقل الأفراد</t>
  </si>
  <si>
    <t>假设与人员交通类似的交通成本</t>
  </si>
  <si>
    <t>NB: Les doses de vaccins de la chaîne de l'ultra-froid destinées à des sites fixes ne passeront pas par les districts</t>
  </si>
  <si>
    <t xml:space="preserve">ПРИМЕЧАНИЕ: Дозы вакцин, которые требуют УХЦ, и которые предназначены для использования на базе стационарных лечебных учреждений, будут перевозиться без остановки на районных складах </t>
  </si>
  <si>
    <t>Nota: Las dosis de vacuna UCC destinadas a ubicaciones fijas no pasarán por los distritos</t>
  </si>
  <si>
    <t>NOTA: As doses de vacina UCC destinadas a locais fixos não passarão pelos distritos</t>
  </si>
  <si>
    <t>ملاحظة: جرعات لقاح سلسلة البرودة فائقة الانخفاض UCC  المخصصة لمواقع ثابتة ستتجاوز المناطق</t>
  </si>
  <si>
    <t>注释：运往固定站点的UCC疫苗剂数将绕行地区</t>
  </si>
  <si>
    <t>NB: Il s'agit d'un MAXIMUM et non d'une somme… on a supposé que le même camion transportait tous les différents types de vaccin vers un établissement donné, et que les coûts étaient soumis aux exigences les plus strictes</t>
  </si>
  <si>
    <t xml:space="preserve">Обратите внимание, что это МАКСИМАЛЬНОЕ значение, а НЕ СУММАРНОЕ … применяется допущение, что данный авторефрижератор используется для доставки различных типов вакцин в одно и то же учреждение, а затраты расчитываются исходя из самых жестких требований </t>
  </si>
  <si>
    <t>Tener en cuenta que esto es MAX no SUM …se supone que será el mismo camión que lleve los distintos tipos de vacunas al mismo establecimiento, y los costes seguirán el requisito más exigente</t>
  </si>
  <si>
    <t>لاحظ أن هذا هو الأقصى MAX وليس المجمل SUM ... الافتراض هو أنها نفس الشاحنة التي تنقل جميع أنواع اللقاحات المختلفة إلى نفس المنشأة الصحية، وأن التكاليف تتبع المتطلبات الأكثر صرامة</t>
  </si>
  <si>
    <t>注释：这是最高值而非总和……假设同一辆货车将所有不同类型的疫苗运送到同一设施，应按照最严格的要求来核算成本</t>
  </si>
  <si>
    <t>B4.1.6 Cold chain transportation</t>
  </si>
  <si>
    <t>B4.1.6 Transports sous chaîne du froid</t>
  </si>
  <si>
    <t xml:space="preserve">B4.1.6 Транспортировка в условиях холодовой цепи </t>
  </si>
  <si>
    <t>B4.1.6 Transporte en cadena de frío</t>
  </si>
  <si>
    <t xml:space="preserve">B4.1.6 نقل سلسلة التبريد </t>
  </si>
  <si>
    <t>B4.1.6 冷链运输</t>
  </si>
  <si>
    <t>Pour tous les équipements nécessaires pour la vaccination CCE Covid-19, non seulement le nouveau acheté</t>
  </si>
  <si>
    <t>Для всех CCE оборудования, необходимого для COVID-19 вакцинации, а не только недавно купил</t>
  </si>
  <si>
    <t>Para todo el equipo necesario para la CCE COVID-19 de la vacunación, no sólo el que acaba de adquirir</t>
  </si>
  <si>
    <t>Para todo o equipamento necessário para CCE COVID-19 a vacinação, não apenas o recém-adquirido</t>
  </si>
  <si>
    <t>لجميع المعدات CCE اللازمة لتطعيم COVID-19، وليس فقط تم شراؤها حديثا</t>
  </si>
  <si>
    <t>对于所有需要COVID-19接种的CCE设备，不只是新购</t>
  </si>
  <si>
    <t>Réfrigéré (2 à 8C) (Total y compris UCC)</t>
  </si>
  <si>
    <t>Охлажденный (от 2 до 8 ° С) (всего в том числе UCC)</t>
  </si>
  <si>
    <t>Refrigerada (2 a 8C) (Total incluyendo UCC)</t>
  </si>
  <si>
    <t>Refrigerado (2 a 8C) (total incluindo UCC)</t>
  </si>
  <si>
    <t>المبردة (2 إلى 8C) (المجموع بما في ذلك UCC)</t>
  </si>
  <si>
    <t>冷藏（2至图8C）（总计包括UCC）</t>
  </si>
  <si>
    <t>Hors pertes</t>
  </si>
  <si>
    <t>Без потерь</t>
  </si>
  <si>
    <t>Sin desperdicio</t>
  </si>
  <si>
    <t>Sem desperdício</t>
  </si>
  <si>
    <t>بدون هدر</t>
  </si>
  <si>
    <t>不包括浪费</t>
  </si>
  <si>
    <t>Nota: Mapeado segundo R2.1 – 4.2 Gestão de Resíduos</t>
  </si>
  <si>
    <t>Nota: Mapeado segundo R2.1 – 6.2 Gestão de Dados</t>
  </si>
  <si>
    <t>Nota: Mapeado segundo R2.1 – 7.3 Indemnização independentemente da responsabilidade</t>
  </si>
  <si>
    <t>Nota: Mapeado segundo R2.1 – 5. Cadeia de abastecimento incluindo a cadeia de frio</t>
  </si>
  <si>
    <t xml:space="preserve">Термоконтейнеры, сумки-холодильники и хладоэлементы </t>
  </si>
  <si>
    <t>Total EPI</t>
  </si>
  <si>
    <t>Всего СИЗ</t>
  </si>
  <si>
    <t>Total EPP</t>
  </si>
  <si>
    <t>Total de EPI</t>
  </si>
  <si>
    <t>إجمالي معدات الوقاية الشخصية</t>
  </si>
  <si>
    <t>总PPE</t>
  </si>
  <si>
    <t xml:space="preserve">Количество </t>
  </si>
  <si>
    <t>Quantité (par vaccinateur-Jours)</t>
  </si>
  <si>
    <t>Количество (в вакцинатор-дней)</t>
  </si>
  <si>
    <t>Cantidad (por vacunador-Días)</t>
  </si>
  <si>
    <t>Quantidade (por vacinador-Dias)</t>
  </si>
  <si>
    <t>الكمية (لكل التطعيم-يوم)</t>
  </si>
  <si>
    <t>数量（每疫苗接种-天）</t>
  </si>
  <si>
    <t>Coût unitaire (USD)</t>
  </si>
  <si>
    <t>Стоимость единицы (USD)</t>
  </si>
  <si>
    <t>Costo unitario (USD)</t>
  </si>
  <si>
    <t>Custo Unitário (USD)</t>
  </si>
  <si>
    <t>تكلفة الوحدة (USD)</t>
  </si>
  <si>
    <t>单位成本（美元）</t>
  </si>
  <si>
    <t>Coût</t>
  </si>
  <si>
    <t>Стоимость</t>
  </si>
  <si>
    <t>Coste</t>
  </si>
  <si>
    <t>Custo</t>
  </si>
  <si>
    <t>الكلفة</t>
  </si>
  <si>
    <t>成本</t>
  </si>
  <si>
    <t>Vaccinateurs-Jours</t>
  </si>
  <si>
    <t>Вакцинатор-дней</t>
  </si>
  <si>
    <t>Vacunador-Días</t>
  </si>
  <si>
    <t>Vacinador-Dias</t>
  </si>
  <si>
    <t>التطعيم-يوم</t>
  </si>
  <si>
    <t>疫苗接种，天</t>
  </si>
  <si>
    <t>De nouveaux vaccinateurs supplémentaires</t>
  </si>
  <si>
    <t>Новые дополнительные вакцинаторы</t>
  </si>
  <si>
    <t>Nuevos vacunadores adicionales</t>
  </si>
  <si>
    <t>Novos vacinadores adicionais</t>
  </si>
  <si>
    <t>التلقيح إضافية جديدة</t>
  </si>
  <si>
    <t>新追加接种</t>
  </si>
  <si>
    <t>… dont populations spéciales difficiles à atteindre</t>
  </si>
  <si>
    <t xml:space="preserve">… из которых Особые группы населения, доступ к которым затруднен </t>
  </si>
  <si>
    <t>…de los cuales, poblaciones especiales a las que es difícil llegar</t>
  </si>
  <si>
    <t>... das quais, populações especiais de difícil acesso</t>
  </si>
  <si>
    <t>... من بينها ، مجموعات سكانية خاصة يصعب الوصول إليها</t>
  </si>
  <si>
    <t>……其中，难以触及的特殊人群</t>
  </si>
  <si>
    <t>Fonds d'indemnisation hors faute</t>
  </si>
  <si>
    <t xml:space="preserve">Фонд компенсационных выплат без вины </t>
  </si>
  <si>
    <t>Fondo de indemnización sin culpa</t>
  </si>
  <si>
    <t>Sem fundo de indemnização independentemente da responsabilidade</t>
  </si>
  <si>
    <t>صندوق تعويض الخطأ</t>
  </si>
  <si>
    <t>Управление отходами</t>
  </si>
  <si>
    <t>Dispositifs et fournitures vaccinales</t>
  </si>
  <si>
    <t xml:space="preserve">Устройства для введения вакцины и расходные материалы для вакцинации </t>
  </si>
  <si>
    <t>Dispositivos y suministros auxiliares de la vacuna</t>
  </si>
  <si>
    <t>Dispositivos e suprimentos relacionados com a vacina</t>
  </si>
  <si>
    <t>الأجهزة والتجهيزات المتعلقة باللقاحات</t>
  </si>
  <si>
    <t>疫苗相关设备和用品</t>
  </si>
  <si>
    <t>Valeur estimative des composantes du vaccin à pleine charge</t>
  </si>
  <si>
    <t xml:space="preserve">Расчетная полная стоимость компонентов вакцин </t>
  </si>
  <si>
    <t>Valor estimado de componentes de vacunas con todo incluido</t>
  </si>
  <si>
    <t>Valor estimado dos componentes da vacina com tudo incluído</t>
  </si>
  <si>
    <t>القيمة المقدرة لمكونات اللقاح المحملة بالكامل</t>
  </si>
  <si>
    <t>含全额成本疫苗组成部分的估计价值</t>
  </si>
  <si>
    <t>Vaccins à 1 dose (nombre de séries)</t>
  </si>
  <si>
    <t>Вакцина, предусматривающая введение одной дозы (количество курсов вакцинации)</t>
  </si>
  <si>
    <t>Vacunas de 1 dosis (número de esquemas)</t>
  </si>
  <si>
    <t>Vacinas de 1 dose (número de ciclos)</t>
  </si>
  <si>
    <t>جرعة واحدة من اللقاحات (عدد الدورات)</t>
  </si>
  <si>
    <t>1剂疫苗（疗程数目）</t>
  </si>
  <si>
    <t>Vaccins à 2 doses (nombre de séries)</t>
  </si>
  <si>
    <t>Вакцина, предусматривающая введение двух доз (количество курсов вакцинации)</t>
  </si>
  <si>
    <t>Vacunas de 2 dosis (número de esquemas)</t>
  </si>
  <si>
    <t>Vacinas de 2 doses (número de ciclos)</t>
  </si>
  <si>
    <t>لقاحات ذات جرعتين (عدد الدورات)</t>
  </si>
  <si>
    <t>2剂疫苗（疗程数目）</t>
  </si>
  <si>
    <t>Repeated visits</t>
  </si>
  <si>
    <t>Visites répétées</t>
  </si>
  <si>
    <t>Повторные поездки</t>
  </si>
  <si>
    <t>Visitas reiteradas</t>
  </si>
  <si>
    <t>Visitas repetidas</t>
  </si>
  <si>
    <t>زيارات متكررة</t>
  </si>
  <si>
    <t>重复访问</t>
  </si>
  <si>
    <t>contrôles logiques passés</t>
  </si>
  <si>
    <t>Logic vérifie l'échec - Erreurs =</t>
  </si>
  <si>
    <t>entrée ici</t>
  </si>
  <si>
    <t>ICI ENTREE pour passer outre LCU avec USD</t>
  </si>
  <si>
    <t>Sélectionnez ici</t>
  </si>
  <si>
    <t>Laisser vide</t>
  </si>
  <si>
    <t>Tenir compte des coûts de sécurité</t>
  </si>
  <si>
    <t>Considérons une stratégie universelle</t>
  </si>
  <si>
    <t>Toujours manquant:</t>
  </si>
  <si>
    <t>controles lógicos pasaron</t>
  </si>
  <si>
    <t>comprobaciones lógicas - Errores =</t>
  </si>
  <si>
    <t>Introducir</t>
  </si>
  <si>
    <t>Introducir a LCU ANULACIÓN con el USD</t>
  </si>
  <si>
    <t>Selecciona aquí</t>
  </si>
  <si>
    <t>Considere los costos de seguridad</t>
  </si>
  <si>
    <t>Considere una estrategia universal</t>
  </si>
  <si>
    <t>Sigue desaparecido:</t>
  </si>
  <si>
    <t>Déficit</t>
  </si>
  <si>
    <t>AUGMENTATION ^</t>
  </si>
  <si>
    <t>DIMINUTION ^</t>
  </si>
  <si>
    <t>Engagé</t>
  </si>
  <si>
    <t>Optionnel</t>
  </si>
  <si>
    <t>Participant non COVAX</t>
  </si>
  <si>
    <t>Superávit</t>
  </si>
  <si>
    <t>AUMENTO ^</t>
  </si>
  <si>
    <t>DISMINUCIÓN ^</t>
  </si>
  <si>
    <t>Participante no COVAX</t>
  </si>
  <si>
    <t>la variante media</t>
  </si>
  <si>
    <t>La variante superior</t>
  </si>
  <si>
    <t>La variante más baja</t>
  </si>
  <si>
    <t>Autre assistance technique pour RH et formation</t>
  </si>
  <si>
    <t xml:space="preserve">Прочая ТП для КР и для подготовки </t>
  </si>
  <si>
    <t>Otra AT para recursos humanos y formación</t>
  </si>
  <si>
    <t>Outra AT para RH e formação</t>
  </si>
  <si>
    <t>مساعد مدرب آخر للموارد البشرية والتدريب</t>
  </si>
  <si>
    <t>有关人力资源和培训的其他技术援助</t>
  </si>
  <si>
    <t>Autre formation et supervision des vaccinateurs</t>
  </si>
  <si>
    <t xml:space="preserve">Прочие мероприятия по подготовке вакцинаторов и обеспечению контроля за их работой </t>
  </si>
  <si>
    <t>Otros formación y supervisión de vacunadores</t>
  </si>
  <si>
    <t>Outra formação e supervisão de vacinadores</t>
  </si>
  <si>
    <t xml:space="preserve">تدريب وإشراف لقائم بالتطعيم آخر </t>
  </si>
  <si>
    <t>有关疫苗接种者的其他培训和监督</t>
  </si>
  <si>
    <t>Autre assistance technique (6.1)</t>
  </si>
  <si>
    <t>Прочая техническая помощь (6.1)</t>
  </si>
  <si>
    <t>Otra asistencia técnica (6.1)</t>
  </si>
  <si>
    <t>Outra Ajuda Técnica (6.1)</t>
  </si>
  <si>
    <t>المساعدة الفنية الأخرى (6.1)</t>
  </si>
  <si>
    <t>其他技术援助（6.1）</t>
  </si>
  <si>
    <t>Autres dépenses de fonctionnement (6.2)</t>
  </si>
  <si>
    <t>Прочие операционные расходы (6.2)</t>
  </si>
  <si>
    <t>Otros gastos operativos (6.2)</t>
  </si>
  <si>
    <t>Outras Despesas Operacionais (6.2)</t>
  </si>
  <si>
    <t>نفقات تشغيلية أخرى (6.2)</t>
  </si>
  <si>
    <t>其他业务支出（6.2）</t>
  </si>
  <si>
    <t>Autres évaluations (6.3)</t>
  </si>
  <si>
    <t>Прочие оценки (6.3)</t>
  </si>
  <si>
    <t>Otras evaluaciones (6.3)</t>
  </si>
  <si>
    <t>Outras Avaliações (6.3)</t>
  </si>
  <si>
    <t>التقييمات الأخرى (6.3)</t>
  </si>
  <si>
    <t>其他评价（6.3）</t>
  </si>
  <si>
    <t>Surveillance de la vaccination par un tiers pour en assurer l'équité et la qualité. Pourcentage du coût de la vaccination (Catégories 3 [RH] et 4 [Administration des vaccins])</t>
  </si>
  <si>
    <t>Надзор за организацией прививок, осуществляемый третьей стороной, для обеспечения справедливости и высокого качества услуг. Процент от стоимость вакцинации (Категория 3 [Кадровые ресурсы] и 4 [Организация вакцинации])</t>
  </si>
  <si>
    <t>[Administración de la vacunación]</t>
  </si>
  <si>
    <t>Supervisão de terceiros sobre a entrega para garantir justiça e qualidade. Percentagem dos custos de entrega (Categorias 3 [Recursos Humanos] e 4 [Administração das vacinas])</t>
  </si>
  <si>
    <t>إشراف الطرف الثالث على التسليم لضمان الإنصاف والجودة. النسبة المئوية لتكاليف التسليم (الفئتان 3 [الموارد البشرية] و 4 [تسليم التطعيم])</t>
  </si>
  <si>
    <t>第三方对交付的监督，以确保公平和质量。占交付成本百分比（类别3[人力资源]和4 [疫苗接种交付]）</t>
  </si>
  <si>
    <t>Autre assistance technique (7.1)</t>
  </si>
  <si>
    <t>Прочая техническая помощь (7.1)</t>
  </si>
  <si>
    <t>Otra asistencia técnica (7.1)</t>
  </si>
  <si>
    <t>Outra Ajuda Técnica (7.1)</t>
  </si>
  <si>
    <t>المساعدة الفنية الأخرى (7.1)</t>
  </si>
  <si>
    <t>其他技术援助（7.1）</t>
  </si>
  <si>
    <t>Autres frais de fonctionnement (7.2)</t>
  </si>
  <si>
    <t>Прочие операционные расходы  (7.2)</t>
  </si>
  <si>
    <t>Otros gastos operativos (7.2)</t>
  </si>
  <si>
    <t>Outras Despesas Operacionais (7.2)</t>
  </si>
  <si>
    <t>نفقات تشغيلية أخرى (7.2)</t>
  </si>
  <si>
    <t>其他业务支出（7.2）</t>
  </si>
  <si>
    <t>Autres frais de fonctionnement (8.2)</t>
  </si>
  <si>
    <t>Прочие операционные расходы  (8.2)</t>
  </si>
  <si>
    <t>Otros gastos operativos (8.2)</t>
  </si>
  <si>
    <t>Outras Despesas Operacionais (8.2)</t>
  </si>
  <si>
    <t>نفقات تشغيلية أخرى (8.2)</t>
  </si>
  <si>
    <t>其他业务支出（8.2）</t>
  </si>
  <si>
    <t>More info on vaccine doses, ancilliary supplies, PPE @ B2</t>
  </si>
  <si>
    <t>Plus d'informations sur les doses de vaccin, les produits secondaires et l'EPI @ B2</t>
  </si>
  <si>
    <t>有关疫苗剂数、辅助用品、PPE的更多信息 @ B2</t>
  </si>
  <si>
    <t>Plus d'informations sur la gestion des déchets @ B2</t>
  </si>
  <si>
    <t>Больше информации по дозам вакцин, вспомогательным расходным материалам, СИЗ см. в п. B2</t>
  </si>
  <si>
    <t>Больше информации по расходным материалам для утилизации отходов в п. B2</t>
  </si>
  <si>
    <t>Más información sobre dosis de vacuna, suministros auxiliares, EPP en B2</t>
  </si>
  <si>
    <t>Más información sobre suministros de gestión de residuos en B2</t>
  </si>
  <si>
    <t>Mais informações sobre doses de vacinas, suprimentos auxiliares, EPI em B2</t>
  </si>
  <si>
    <t>Mais informações sobre os suprimentos de gestão de resíduos em B2</t>
  </si>
  <si>
    <t xml:space="preserve"> مزيد من المعلومات حول جرعات اللقاح ، والتجهيزات الإضافية، معدات الوقاية الشخصية @ B2</t>
  </si>
  <si>
    <t xml:space="preserve">مزيد من المعلومات حول تجهيزات إدارة النفايات @B2 </t>
  </si>
  <si>
    <t>有关废弃物管理用品的更多信息@ B2</t>
  </si>
  <si>
    <t>TA: Supply-chain and logistics integrate existing Vaccine Logistics Management Information System (VLMIS)</t>
  </si>
  <si>
    <t>Instructions: Vaccinator compensation is a large cost driver - please complete this section carefully.
 Supplementary wages (such as per diems) can be computed either as a daily rate.
 In some contexts, it may be desireable to consider regular salaries for vaccinators - for example, if vaccinators are newly recruited and inducted into the health workforce. If this is not desired, please input 0 under the salary. Leaving this blank will result in a default value being used.</t>
  </si>
  <si>
    <t>Instructions: La rémunération des vaccinateurs est un facteur important de coût: remplir avec soin cette section.
Les rémunérations supplémentaires (à la journée notamment) peuvent être calculées en tant que taux journalier.
Dans certains contextes, il peut être souhaitable d'envisager de payer des salaires réguliers aux vaccinateurs, par exemple s'ils sont nouvellement recrutés au nombre des RHS. Si on ne désire pas le faire, entrer 0 sous salaire. Si on laisse le salaire en blanc, une valeur par défaut sera utilisée</t>
  </si>
  <si>
    <t xml:space="preserve">Инструкции: Компенсационные ваплаты для вакцинаторов представляют собой существенный затратообразующий фактор - будьте особо внимательны при заполнении этого раздела.
Для расчета дополнительных выплат (например, суточных) может применяться также посуточная ставка. 
В некоторых ситуациях имеет смысл рассмотреть выплату регулярной заработной платы вакцинаторам - например, если это новые нанятые сотрудники здравоохранения. Если такой подход нежелателен, укажите 0 в качестве заработной платы. Если Вы оставите данную ячейку пустой, будет применено значение по умолчанию. 
</t>
  </si>
  <si>
    <t>Instrucciones: La compensación de vacunadores supone una carga de coste significativa – cumplimentar esta sección con atención.
Los salarios suplementarios (como las dietas) se pueden computar como monto diario.
En algunos contextos, es posible que se prefiera indicar sueldos habituales para los vacunadores – por ejemplo, si los vacunadores son de nueva contratación y se han integrado en la fuerza laboral de salud. Si se prefiere no hacerlo así, introducir 0 en el sueldo. Si se deja en blanco, se aplicará el valor por defecto.</t>
  </si>
  <si>
    <t>Instruções: A remuneração dos vacinadores é um grande factor de custos – preencha esta secção cuidadosamente.
 Os salários suplementares (tais como subsídios diários) podem ser computados como uma taxa diária.
 Em alguns contextos, pode ser desejável considerar salários regulares para os vacinadores, por exemplo, se os vacinadores são recém-recrutados e receberam formação de acolhimento para integrar o pessoal da saúde. Se isto não for desejado, digite 0 em salário. Se deixar este espaço em branco será utilizado um valor padrão.</t>
  </si>
  <si>
    <t>说明：疫苗接种者报酬对成本影响非常大——请仔细填写本部分。
可按每日工资来计算补充工资（例如每日津贴）。
某些情况下，可能考虑为疫苗接种者支付固定工资。例如新招募的疫苗接种者，且通过了入职培训加入卫生部门。如果不想支付固定工资，请在工资栏中输入0。此处留空将导致使用默认值。</t>
  </si>
  <si>
    <t>Entrer 0 pour exclure les salaires des coûts</t>
  </si>
  <si>
    <t xml:space="preserve">Введите 0, чтобы изъять заработную плату из расходов </t>
  </si>
  <si>
    <t>Introducir 0 para excluir los sueldos de los costes</t>
  </si>
  <si>
    <t>Digite 0 para excluir os salários dos custos</t>
  </si>
  <si>
    <t>أدخل 0 لاستبعاد الرواتب من التكاليف</t>
  </si>
  <si>
    <t>输入0以将工资从成本中排除</t>
  </si>
  <si>
    <t>Par ex. frais isolés, non salariaux, par vaccinateur recruté, comme la formation, le recrutement, les uniformes, etc.</t>
  </si>
  <si>
    <t>например, единовременные расходы, не являющиеся заработной платой, для каждого нанятого вакцинатора - расходы на подготовку, найм, униформу и так далее.</t>
  </si>
  <si>
    <t>por ejemplo, gastos puntuales no salariales por cada vacunador contratado, como formación, selección, uniformes, etc.</t>
  </si>
  <si>
    <t>por exemplo, custos não salariais únicos para cada vacinador recrutado, tais como formação, recrutamento, uniformes, etc.</t>
  </si>
  <si>
    <t>على سبيل المثال، النفقات غير الأجر  المدفوعة لمرة واحدة لكل قائم بالتطعيم تم تجنيده، مثل التدريب، والتجنيد، والزي الرسمي، إلخ.</t>
  </si>
  <si>
    <t>例如，每位新聘疫苗接种者的一次性非工资性支出，比如培训、招聘、制服等。</t>
  </si>
  <si>
    <t>Par ex. rations alimentaires, logement et autres frais. Pour Modalité d'administration 4 (terrain) uniquement</t>
  </si>
  <si>
    <t>например, питание, размещение и прочие расходы. Только для СП 4 (Выездные прививочные сессии).</t>
  </si>
  <si>
    <t>por ejemplo, alimentos, alojamiento y otros gastos. Para MA4 (Extensión) únicamente.</t>
  </si>
  <si>
    <t>por exemplo, alimentos para equipas móveis, hospedagem e outras despesas. Apenas para MA4 (actividades de alcance).</t>
  </si>
  <si>
    <t>على سبيل المثال، حصص الإعاشة، والإقامة، والنفقات الأخرى. لـ DM4 (الوصول) فقط.</t>
  </si>
  <si>
    <t>例如食物配给、住宿和其他费用。 仅适用于DM4（外展接种活动）。</t>
  </si>
  <si>
    <t>Transport des vaccinateurs au point d'administration (Modalités d'administration 2, 3 et 4)</t>
  </si>
  <si>
    <t>Проезд вакцинатора к пункту предоставления услуг (Стратегия организации прививок 2, 3, и 4)</t>
  </si>
  <si>
    <t>Desplazamiento del vacunador al punto de prestación del servicio (Modalidad de administración 2, 3 y 4)</t>
  </si>
  <si>
    <t>Transporte do vacinador até ao ponto de serviço (Modalidade de Administração 2, 3, e 4)</t>
  </si>
  <si>
    <t>نقل اللقاح إلى نقطة الخدمة (طريقة التسليم 2 و 3 و 4)</t>
  </si>
  <si>
    <t>疫苗接种者前往服务点的交通（交付模式2、3、和4）</t>
  </si>
  <si>
    <t>Transport du personnel</t>
  </si>
  <si>
    <t>Служебный транспорт</t>
  </si>
  <si>
    <t>Transporte de personal</t>
  </si>
  <si>
    <t>Transporte de pessoal</t>
  </si>
  <si>
    <t>نقل الأفراد</t>
  </si>
  <si>
    <t>人员交通</t>
  </si>
  <si>
    <t>Par km</t>
  </si>
  <si>
    <t>На 1 км</t>
  </si>
  <si>
    <t>por km</t>
  </si>
  <si>
    <t>Por km</t>
  </si>
  <si>
    <t>لكل كيلومتر</t>
  </si>
  <si>
    <t>每km</t>
  </si>
  <si>
    <t>Carburant/tarif par km (partage d'une voiture)</t>
  </si>
  <si>
    <t xml:space="preserve">Топливо/ стоимость на 1 км (при совместном пользовании автомобилем) </t>
  </si>
  <si>
    <t>Combustible / coste por km (compartiendo vehículo)</t>
  </si>
  <si>
    <t>Combustível/tarifa por km (partilhando um carro)</t>
  </si>
  <si>
    <t>الوقود / الأجرة لكل كيلومتر (مشاركة السيارة)</t>
  </si>
  <si>
    <t>每km燃油/车费（共享汽车）</t>
  </si>
  <si>
    <t>Transport des vaccinateurs au dernier kilomètre pour vaccination de terrain au-delà du camp de base (Modalité d'administration 4)</t>
  </si>
  <si>
    <t>Транспорт для вакцинатора на этапе "последней мили" для проведения выездных прививочных сессий за пределами базового лагеря (Стратегия организации прививок 4 )</t>
  </si>
  <si>
    <t>Desplazamiento de última milla del vacunador para la extensión más allá de campo base (Modalidad de administración 4)</t>
  </si>
  <si>
    <t>Transporte até ao último km para o vacinador para actividades de alcance para além do centro de operações (Modalidade de Administração 4)</t>
  </si>
  <si>
    <t>نقل القائم بالتطعيم لآخر للوصول إلى ما بعد المعسكر الأساسي (طريقة التوصيل 4)</t>
  </si>
  <si>
    <t>疫苗接种者在大本营以外开展最后一公里外展接种活动（交付模式4）的交通</t>
  </si>
  <si>
    <t>Dépenses de fonctionnement (par ex. location de véhicules à contrôle de la température, coût logistique de la chaîne du froid)</t>
  </si>
  <si>
    <t>Операционные расходы (например, аренда транспортных средств с контролируемой температурой, сборы за логистику холодовой цепи)</t>
  </si>
  <si>
    <t>Gastos operativos (por ejemplo, alquiler de vehículos de temperatura controlada, gastos de logística de cadena de frío)</t>
  </si>
  <si>
    <t>Despesas operacionais (por exemplo, aluguer de veículos com temperatura controlada, custos da logística da cadeia de frio)</t>
  </si>
  <si>
    <t>النفقات التشغيلية (مثل استئجار المركبات التي يتم التحكم في درجة حرارتها، ورسوم الخدمات اللوجستية لسلسلة البرودة)</t>
  </si>
  <si>
    <t>运营支出（例如，租用温控车、冷链物流费）</t>
  </si>
  <si>
    <t>b. Logistique de la chaîne du froid et transports à l'intérieur du pays, PAR LITRE (par ex. pour couvrir des besoins additionnels en stockage au froid)</t>
  </si>
  <si>
    <t xml:space="preserve">b. Логистика холодовой цепи и транспортировка на территории страны, НА ОДИН ЛИТР (например, для выполнения дополнительных требований к хранению с соблюдением условий холодовой цепи) </t>
  </si>
  <si>
    <t>b. Logística de cadena de frío y transporte nacional, POR LITRO (por ejemplo, para cubrir requisitos adicionales de almacenamiento en frío)</t>
  </si>
  <si>
    <t>b. Logística da cadeia de frio e transporte interno, POR LITRO (por exemplo, para cobrir requisitos adicionais de armazenamento frigorífico)</t>
  </si>
  <si>
    <t>ب. لوجستيات سلسلة البرودة والنقل المحلي ، لكل لتر  (على سبيل المثال، لتغطية متطلبات التخزين البارد الإضافية)</t>
  </si>
  <si>
    <t>b. 冷链物流和国内运输，按每升计算（例如，满足额外的冷库需求）</t>
  </si>
  <si>
    <t>par litre</t>
  </si>
  <si>
    <t>На один литр</t>
  </si>
  <si>
    <t>por litro</t>
  </si>
  <si>
    <t>لكل لتر</t>
  </si>
  <si>
    <t>每升</t>
  </si>
  <si>
    <t>Hypothèse pour US$ 8,60 par litre: caisson isotherme à glace carbonique jetable ($100) + 7,2kg de glace carbonique obtenue sur place par caisson ($5 par kg de glace carbonique). Source: Coupa</t>
  </si>
  <si>
    <t>Используется допущение - 8,60 долл.США на один литр: контейнер многоразового использования для сухого льда объемом 25 л (100 долл.США) + 7,2 kg сухого льда, закупаемого у местных поставщиков, на один контейнер (5 долл.США за один кг сухого льда). Источник: Coupa</t>
  </si>
  <si>
    <t>Suponiendo USD 8,60 por litro: contenedor de hielo seco desechable de 25 L (USD 100) + 7,2 kg de hielo seco adquirido localmente por contenedor (USD 5 por kg de hielo seco). Fuente: Coupa</t>
  </si>
  <si>
    <t>Pressuposto para US$ 8.60 por litro: transportador descartável de gelo seco de 25 L (US$100) + 7,2 kg de gelo seco de origem local por transportador (US$5 por kg de gelo seco). Fonte: Coupa</t>
  </si>
  <si>
    <t>افتراض 8.60 دولارًا أمريكيًا لكل لتر: 25 لترًا لشاحن الثلج الجاف القابل للتصرف (100 دولار أمريكي) + 7.2 كجم من الثلج الجاف من مصادر محلية لكل شاحنة (5 دولارات لكل كيلوجرام من الثلج الجاف). المصدر: Coupa</t>
  </si>
  <si>
    <t>假设为每升8.60美元：25升一次性干冰运输箱（$100）+ 7.2kg本地干冰每个运输箱（每kg干冰$5）。资料来源：Coupa</t>
  </si>
  <si>
    <t>Le modèle de calcul des coûts supposerait 2-8 °C en dessous du niveau régional, puisque BNT162b2 est stable pendant 5 jours à cette température</t>
  </si>
  <si>
    <t xml:space="preserve"> Данная модель расчета затрат предусматривает хранение вакцины при 2-8 °C на складах ниже регионального уровня - вакцину BNT162b2 можно хранить при этой температуре до до 5 дней с сохранением стабильности. </t>
  </si>
  <si>
    <t>El modelo de estimación de costes supondría 2-8C por debajo del nivel regional - según los 5 días de estabilidad de la BNT162b2</t>
  </si>
  <si>
    <t>O modelo de cálculo de custos suporia 2 ºC–8 ºC em locais abaixo do nível regional – já que a BNT162b2 é estável por 5 dias a essa temperatura</t>
  </si>
  <si>
    <t xml:space="preserve">يفترض نموذج تقدير التكلفة 2-8 درجة مئوية أقل من المستوى الإقليمي - لكل 5 أيام من الثبات لـ BNT162b2 </t>
  </si>
  <si>
    <t>成本核算模型将假设区域层面以下为2-8C——针对BNT162b2的5天稳定性</t>
  </si>
  <si>
    <t>b. Logistique de la chaîne du froid et transports dans le pays, PAR LITRE (pour couvrir des besoins en stockage au froid additionnels)</t>
  </si>
  <si>
    <t>b. Logística de cadena de frío y transporte nacional, POR LITRO (para cubrir requisitos adicionales de almacenamiento en frío)</t>
  </si>
  <si>
    <t>b. Logística da cadeia de frio e transporte interno, POR LITRO (para cobrir requisitos adicionais de armazenamento frigorífico)</t>
  </si>
  <si>
    <t>ب. لوجستيات سلسلة البرودة والنقل المحلي، لكل لتر (لتغطية متطلبات التخزين البارد الإضافية)</t>
  </si>
  <si>
    <t>b. 冷链物流和国内运输，按每升计算（满足额外的冷库需求）</t>
  </si>
  <si>
    <t>Instructions: Ajouter les coûts unitaires de la gestion locale des données, les dépenses non renouvelables par site fixe ou équipe (par ex. équipement informatique, installation) et les dépenses de fonctionnement, comme les frais de transmission de données et les consommables</t>
  </si>
  <si>
    <t>Инструкции: Добавьте значение удельной себестоимости для управления данными на местном уровне. Укажите единовременные расходы (например, на приобретение, установку компьютерного оборудования и прочее) и периодические расходы, например на пересылку данных и на расходные материалы, из расчета на один стационарный пункт или на одну бригаду.</t>
  </si>
  <si>
    <t>Instrucciones: Añadir costes unitarios por gestión de datos a nivel local. Gastos puntuales por ubicación fija o equipo (por ejemplo, equipo informático, instalación, etc.) y costes recurrentes como pago de datos y consumibles.</t>
  </si>
  <si>
    <t>Instruções: Acrescente os custos unitários para a gestão local de dados. Custos únicos por local fixo ou equipa (por exemplo, equipamento de TI, instalação, etc.) e custos recorrentes, tais como taxas de dados e consumíveis.</t>
  </si>
  <si>
    <t>التعليمات: الرجاء إضافة تكاليف الوحدة لإدارة البيانات المحلية. التكاليف المدفوعة لمرة واحدة  لكل موقع أو فريق ثابت (مثل معدات تكنولوجيا المعلومات والتركيب وما إلى ذلك) والتكاليف المدفوعة لمرة واحدة  مثل رسوم البيانات والمواد الاستهلاكية.</t>
  </si>
  <si>
    <t>说明：请添加用于本地数据管理的单位成本。每个固定站点或团队的一次性成本（例如 IT设备、安装等）和经常性成本，例如数据成本和消耗品。</t>
  </si>
  <si>
    <t>Notes: The unit prices of vaccine-related supplies are overridden here. You may leave this section blank to will default to auto-updateable parameters.
Electronic records: Depending on the system used / procured, the costs can be included here (as a per dose unit cost) and/or in A3.6 (per site/team and/or per site-day)</t>
  </si>
  <si>
    <t>Примечание: Здесь можно вручную скорректировать размер удельной себестоимости продуктов для вакцинации. Вы можете не заполнять этот раздел. В таком случае, значения параметров по умолчанию обновляются автоматически.
Электронный учет: в зависимости от типа используемой /приобретаемой электронной системы учета данных,  затраты можно указать здесь (как удельная стоимость на одну дозу вакцины) и/или в разделе A3.6 (из расчета на объект/бригаду и/или на один день вакцинации на объекте).</t>
  </si>
  <si>
    <t>Notas: Aquí se sustituyen los precios por unidad de suministros relacionados con las vacunas. Se puede dejar esta sección en blanco para utilizar por defecto parámetros autoactualizables.
Electronic records: Depending on the system used / procured, the costs can be included here (as a per dose unit cost) and/or in A3.6 (per site/team and/or per site-day)</t>
  </si>
  <si>
    <t>ملاحظات: تم تجاوز أسعار الوحدة من التجهيزات المتعلقة باللقاح والتي تم تجاوزها هنا. يمكنك ترك هذا القسم فارغًا ليكون افتراضيًا للمَعلمات القابلة للتحديث التلقائي.
السجلات الإلكترونية: اعتمادًا على النظام المستخدم / الذي تم شراؤه، يمكن تضمين التكاليف هنا (حسب تكلفة وحدة الجرعة) و / أو في A3.6 (لكل موقع / فريق و / أو لكل موقع في اليوم)</t>
  </si>
  <si>
    <t>注释：在此处覆写与疫苗相关的用品单价。可将此部分留空，以默认使用自动更新的参数。
电子记录：取决于所使用/购置的系统，可以在此处纳入成本（每剂单位成本）和/或纳入A3.6（每个站点/团队和/或每天每个站点）。</t>
  </si>
  <si>
    <t>Healthcare Infrastructure (FYI Only)</t>
  </si>
  <si>
    <t>Infrastructure de santé (pour info uniquement)</t>
  </si>
  <si>
    <t xml:space="preserve">Инфраструктура здравоохранения (только для информации) </t>
  </si>
  <si>
    <t>Infraestructura de salud (a efectos informativos únicamente)</t>
  </si>
  <si>
    <t>Infra-estrutura de Cuidados da Saúde (só para informação)</t>
  </si>
  <si>
    <t>البنية التحتية للرعاية الصحية (لمعلوماتك فقط)</t>
  </si>
  <si>
    <t>Hôpitaux</t>
  </si>
  <si>
    <t>Больницы</t>
  </si>
  <si>
    <t>Hospitales</t>
  </si>
  <si>
    <t>المستشفيات</t>
  </si>
  <si>
    <t>Centres de santé</t>
  </si>
  <si>
    <t xml:space="preserve">Центры здоровья </t>
  </si>
  <si>
    <t>Centros de salud</t>
  </si>
  <si>
    <t>المراكز الصحية</t>
  </si>
  <si>
    <t>Health Posts</t>
  </si>
  <si>
    <t>Postes de santé</t>
  </si>
  <si>
    <t xml:space="preserve">Медицинские пункты </t>
  </si>
  <si>
    <t>Puestos de salud</t>
  </si>
  <si>
    <t>Postos de Saúde</t>
  </si>
  <si>
    <t>الوظائف الصحية</t>
  </si>
  <si>
    <t>卫生室</t>
  </si>
  <si>
    <t>Source: Indicateurs démographiques de développement humain pour 2020 (WDI SP.POP.TOTL, dernière mise à jour 18 décembre 2020), qui serviront à calculer l'allocation COVAX</t>
  </si>
  <si>
    <t>Источник: WDI SP.POP.TOTL за 2020 год - Последнее обновление 12/18/2020; данные будут использоваться для расчета вакцин, выделяемых в страны через механизм COVAX</t>
  </si>
  <si>
    <t>Fuente: WDI SP.POP.TOTL para 2020 - Última actualización 12/18/2020; se utilizará para calcular la asignación COVAX</t>
  </si>
  <si>
    <t>Fonte: WDI SP.POP.TOTL para 2020 – Última actualização 18/12/2020; será usada para calcular a alocação da COVAX</t>
  </si>
  <si>
    <t>المصدر: WDI SP.POP.TOTL لعام 2020 - آخر تحديث في 12/18/2020 ؛ سيتم استخدامها لحساب تخصيص كوفاكس COVAX</t>
  </si>
  <si>
    <t>资料来源：2020年WDI SP.POP.TOTL——上一次更新时间为2020年12月18日；将用于计算COVAX机制分配</t>
  </si>
  <si>
    <t>Autrement dit, proportion de cette population cible à atteindre grâce à la Modalité d'administration 1: 0% = tous Modalité d'administration 2, 100% = tous Modalité d'administration 1</t>
  </si>
  <si>
    <t>Или, иными словами, какая доля данного целевого населения должна быть охвачена по стратегии организации прививок 1. 0% = Все вакцинируются по СП2; 100% = Все вакцинируются по СП1</t>
  </si>
  <si>
    <t>O, dicho de otro modo, a qué proporción de esta población objetivo se llegará con la Modalidad de administración 1. 0% = Toda MA2; 100% = Toda MA1</t>
  </si>
  <si>
    <t>Ou, dito de outra forma, que proporção desta população-alvo deve ser alcançada pela Modalidade de Administração 1. 0% = Todos MA2; 100% = Todos MA1</t>
  </si>
  <si>
    <t>أو بعبارة أخرى، ما هي نسبة هؤلاء السكان المستهدفين التي سيتم الوصول إليهم من خلال طريقة التسليم 1. 0٪ = الكل DM2 ؛ 100٪ = كل DM1</t>
  </si>
  <si>
    <t>或者换句话说，采用交付模式1将触及的该目标人群的比例。0％=全部为DM2；100％=全部为DM1</t>
  </si>
  <si>
    <t>Modalidade de Administração 3</t>
  </si>
  <si>
    <t xml:space="preserve">NB: Ne pas compter en double la population générale difficile à atteindre ("Catégories de population difficiles à atteindre, telles que celles des régions rurales et isolées") </t>
  </si>
  <si>
    <t>ПРИМЕЧАНИЕ: Не дублируйте в расчетах общее труднодоступное население ("Группы популяций, доступ к которым затруднен, например, население сельских и удаленных областей"), описанное ниже</t>
  </si>
  <si>
    <t>NOTA: No hacer doble conteo de la población general a la que es difícil llegar ("Grupos de población a los que es difícil llegar como los de zonas rurales y remotas")  que se describe a continuación</t>
  </si>
  <si>
    <t>NOTA: Não conte duas vezes a população geral de difícil acesso ("Grupos populacionais de difícil acesso, tais como os de áreas rurais e remotas") descrita a seguir</t>
  </si>
  <si>
    <t>ملاحظة: يُرجى عدم تكرار الحساب العام للسكان الذين يصعب الوصول إليهم ("المجموعات السكانية التي يصعب الوصول إليها مثل تلك الموجودة في المناطق الريفية والنائية") الموضحة أدناه</t>
  </si>
  <si>
    <t>注释：请不要在此处重复计算下面描述的通常难以触及的人口（比如”居住在农村和偏远地区的难以触及人口群体“）</t>
  </si>
  <si>
    <t>Population générale difficile à atteindre | Modalité d'administration 4: éligibilité volontaire</t>
  </si>
  <si>
    <t>Общее труднодоступное население | Стратегия организации прививок 4 - добровольная вакцинация для лиц, удовлетворяющих критериям</t>
  </si>
  <si>
    <t>Población general a la que es difícil llegar | Modalidad de administración 4 - elegibilidad voluntaria</t>
  </si>
  <si>
    <t>População geral de difícil acesso | Modalidade de Administração 4 – elegibilidade: voluntário</t>
  </si>
  <si>
    <t>عامة السكان الذين يصعب الوصول إليهم | طريقة التسليم 4 - الأهلية الطوعية</t>
  </si>
  <si>
    <t>通常难以触及的人口 | 交付模式4——自愿接种</t>
  </si>
  <si>
    <t xml:space="preserve"> "Catégories de population difficiles à atteindre, telles que celles des régions rurales et isolées", qui seront vaccinées lors de campagnes de terrain (Modalité d'administration 4). Voir Note spéciale</t>
  </si>
  <si>
    <t>"Труднодоступные популяции, например, лица, поживающие в сельских или удаленных районах", для которых будут организованы выездные прививочные сессии (стратегия организации прививок 4). См. специальное примечание.</t>
  </si>
  <si>
    <t>"Grupos de población a los que es difícil llegar como los de zonas rurales y remotas", que serán vacunados por equipos de vacunacion en territorio o en la comunidad (Modalidad de administración 4). Ver nota especial.</t>
  </si>
  <si>
    <t>Grupos populacionais de difícil acesso, tais como os de áreas rurais e remotas, que serão vacinados por actividades de alcance (Modalidade de Administração 4). Consulte a Nota Especial.</t>
  </si>
  <si>
    <t>المجموعات السكانية التي يصعب الوصول إليها مثل تلك الموجودة في المناطق الريفية والنائية، الذين سيتم تطعيمهم عن طريق التوعية (طريقة التوصيل 4). انظر الملاحظة الخاصة.</t>
  </si>
  <si>
    <t>通常会采用外展活动（交付模式4）为”居住在农村和偏远地区的难以触及人口群体“接种疫苗。参见特别注释。</t>
  </si>
  <si>
    <t>Special Note: This is a potentially large group of people within the country AND overlaps with other priority populations, i.e. (i) "Older Adults" and (ii) "Groups with comorbidities or health states determined to be at significantly higher risk of severe disease or death".
 Please input the TOTAL POPULATION who will need to be reached by outreach, DOUBLE COUNTING overlapping groups such as "Older Adults" and "Groups with comorbidities or health states determined to be at significantly higher risk of severe disease or death". Please DO NOT double count special populations who are hard-to reach defined above.
 Or, put differently, out of the total of "Older Adults", "Groups with comorbidities or health states determined to be at significantly higher risk of severe disease or death", and non-prioritized groups, what proportion will need to be vaccinated by outreach (Delivery Modality 4)?</t>
  </si>
  <si>
    <t>Note spéciale: Il s'agit d'une catégorie potentiellement importante au sein du pays ET qui se recoupe avec d'autres populations prioritaires, à savoir (i) "Personnes d'un certain âge" et (ii) "Catégories à comorbidités ou états de santé à risque perçu comme nettement plus élevé de maladie grave ou de mort".
Entrer la POPULATION TOTALE à atteindre par des campagnes de terrain, EN COMPTANT EN DOUBLE les catégories qui se recoupent comme les "Personnes d'un certain âge" et les "Catégories à comorbidités ou états de santé à risque perçu comme nettement plus élevé de maladie grave ou de mort". NE PAS compter deux fois les populations spéciales difficiles à atteindre définies ci-dessus.
Autrement dit, dans un total de "Personnes d'un certain âge", "Catégories à comorbidités ou états de santé à risque perçu comme nettement plus élevé de maladie grave ou de mort" et catégories non prioritaires, quelle proportion devra être vaccinée sur le terrain (Modalité d'administration 4)?</t>
  </si>
  <si>
    <t>Специальное примечание: Это - потенциально многочисленная группа населения на территории страны И она частично совпадает с другими приоритетными популяциями, например такими, как: (i) "Лица пожилого возраста", (ii) "Группы лиц, которые страдают сопутствующими заболеваниями или расстройствами здоровья, в связи с которыми они затронуты крайне высоким риском тяжелого течения заболевания или летального исхода".
Укажите ОБЩЕЕ НАСЕЛЕНИЕ, которое должно быть вакцинировано в рамках выездных сессий, ДУБЛИРУЯ перекрывающие друг друга группы, например "Лица пожилого возраста", "Группы лиц, которые страдают сопутствующими заболеваниями или расстройствами здоровья, в связи с которыми они затронуты крайне высоким риском тяжелого течения заболевания или летального исхода".  НЕ дублируйте в расчетах особые группы популяций, доступ к которым затруднен, и которые указаны выше.
Или, иными словами, из общей численности населения, включающего  "Лиц пожилого возраста", "Группы лиц, которые страдают сопутствующими заболеваниями или расстройствами здоровья, в связи с которыми они затронуты крайне высоким риском тяжелого течения заболевания или летального исхода" и группы, не определенные как приоритетные, какая доля населения должна быть охвачена в рамках выездных прививочных сессий? (Стратегия организации прививок 4)?</t>
  </si>
  <si>
    <t>Nota especial: Este es posiblemente un grupo de población muy grande en el país Y ADEMÁS se solapa con otras poblaciones prioritarias como i) “Adultos mayores” y ii) “Grupos con comorbilidades o condiciones de salud con riesgo significativamente más alto de enfermedad grave o muerte”.
Introducir la POBLACIÓN TOTAL a la que se deba llegar por extensión, con CONTEO DOBLE de grupos superpuestos como “Adultos mayores” y “Grupos con comorbilidades o condiciones de salud que se han determinado suponen un riesgo significativamente mayor de enfermedad severa o muerte”. NO hacer conteo doble de poblaciones especiales a las que es difícil llegar según definido arriba.
O, dicho de otra forma, del total de “Adultos mayores”, Grupos con comorbilidades o condiciones de salud que se han determinado suponen un riesgo significativamente mayor de enfermedad severa o muerte” y grupos no priorizados, ¿qué proporción deberá ser vacunada por extensión (Modalidad de administración 4)?</t>
  </si>
  <si>
    <t>Nota Especial: Este é um grupo potencialmente grande de pessoas dentro do país E sobrepõe-se a outras populações prioritárias, isto é, (i) "Idosos" e (ii) "Grupos com comorbilidades ou estados de saúde definidos como de risco significativamente maior de doenças graves ou morte".
 Digite a POPULAÇÃO TOTAL que precisará de ser vacinada por meio de actividades de alcance, COM CONTAGEM DUPLA de grupos sobrepostos tais como "Idosos" e "Grupos com comorbilidades ou estados de saúde definidos como de risco significativamente maior de doenças graves ou morte". NÃO duplique a contagem das populações especiais de difícil acesso, definidas acima.
 Ou, dito de outra forma, do total de "Idosos", "Grupos com comorbilidades ou estados de saúde definidos como de risco significativamente maior de doenças graves ou morte" e grupos não priorizados, que proporção terá de ser vacinada por actividades de alcance (Modalidade de Administração 4)?</t>
  </si>
  <si>
    <t>"ملاحظة خاصة: هذه مجموعة كبيرة محتملة من الأشخاص داخل البلد وتتداخل مع فئات سكانية أخرى ذات أولوية ، مثل (1)" "كبار السن" و (2) "" المجموعات المصابة بأمراض مصاحبة أو حالات صحية تم تحديدها على أنها أعلى بكثير خطر الإصابة بمرض خطير أو الموت ".   "يرجى إدخال إجمالي السكان الذين سيحتاجون إلى الوصول إليهم عن طريق التوعية ، وحساب مزدوج للمجموعات المتداخلة مثل "كبار السن" و "المجموعات المصابة بأمراض مصاحبة أو حالات صحية تم تحديدها على أنها معرضة بشكل كبير لخطر الإصابة بمرض شديد أو الوفاة" ". يُرجى عدم تكرار حساب المجموعات السكانية الخاصة التي يصعب الوصول إليها المحددة أعلاه.
 أو ، بعبارة أخرى ، من إجمالي "كبار السن" ، "المجموعات المصابة بأمراض مصاحبة أو الحالات الصحية التي تم تحديد أنها معرضة بشكل كبير لخطر الإصابة بمرض شديد أو الموت" ، والمجموعات غير ذات الأولوية ، ما هي النسبة المطلوبة ليتم تحصينها عن طريق التوعية (طريقة التوصيل 4)؟ "</t>
  </si>
  <si>
    <t>特别注释：这在各国是个潜在的庞大群体，且与其他优先安排群体有所重叠，即（i）“老年人”和（ii）“合并症患者或其健康状况被认为患严重疾病或死亡风险显著增高的群体”。
请输入需要通过外展触及的总人数，重复计算各重叠群体，例如“老年人”和“合并症患者或其健康状况被认为患严重疾病或死亡风险显著增高的群体”。请不要将上述定义的难以触及特殊人口群体计算在内。
或者换句话说，在将“老年人”、“合并症患者或其健康状况被认为患严重疾病或死亡风险显著增高的群体”、以及非优先群体加起来的总数中， 需要采取外展活动（交付模式4）进行疫苗接种的比例是多少？</t>
  </si>
  <si>
    <t>Maximum 90%. Si l'on utilise une valeur supérieure, vérifier que la population ciblée ne dépasse pas la population totale</t>
  </si>
  <si>
    <t xml:space="preserve">Максимально 90%; Если Вы используете высокие значения, убедитесь, что численность установленного целевого населения не превышает численность общего населения </t>
  </si>
  <si>
    <t>Ma 90%; Si se usa un valor alto, comprobar que la población objetivo definida no excede la población total</t>
  </si>
  <si>
    <t>Máximo 90%; se utilizar um valor elevado, certifique-se de que a população-alvo definida não exceda a população total</t>
  </si>
  <si>
    <t>90٪ كحد أقصى ؛ في حالة استخدام قيمة عالية ، يرجى التأكد من أن المجموعة المستهدفة المحددة لا تتجاوز إجمالي عدد السكان</t>
  </si>
  <si>
    <t>最高90％；如果使用较高的值，请确保定义的目标人群数目不超过总人口数目</t>
  </si>
  <si>
    <t xml:space="preserve">Les vaccinateurs peuvent être (i) des personnels de santé redéployés ou (ii) des personnels de santé nouvellement recrutés. Ce modèle estime les besoins en RHS. Si ces besoins dépassent le nombre maximum des personnes redéployables, les vaccinateurs supplémentaires seront supposés nouvellement recrutés et un salaire mensuel sera calculé [qui peut être modifié en A3.1] </t>
  </si>
  <si>
    <t>Роль вакцинаторов могут выполнять (i) перераспределенные работники здравоохранения или (ii) новые работники здравоохранения. Данная модель позволяет рассчитать кадровые потребности в вакцинаторах. Если полученное количество вакцинаторов превышает максимальное количество работников здравоохранения, которые могут быть перераспределены, считается, что дополнительные вакцинаторы - это новые нанятые сотрудники и для них должен быть произведен расчет заработной платы [можно изменить в A3.1].</t>
  </si>
  <si>
    <t>Los  vacunadores pueden ser i) personal sanitario reasignado o ii) personal sanitario de nueva contratación. Este modelo estima las necesidades de recursos humanos de vacunadores. Si exceden del número máximo que puede ser reasignado, se supone que los vacunadores adicionales serán de nueva contratación y se estimará el coste de un sueldo mensual [puede cambiarse en A3.1].</t>
  </si>
  <si>
    <t>Os vacinadores podem ser (i) trabalhadores da saúde reafectados ou (ii) trabalhadores da saúde recém-recrutados. Este modelo calcula o número de vacinadores necessários. Se estes excederem o número máximo de pessoal reafectável, pressupõe-se que serão recrutados novos vacinadores adicionais e será calculado um salário mensal [pode ser alterado em A3.1].</t>
  </si>
  <si>
    <t>قد يكون العاملون في مجال التطعيم (1) عاملين صحيين معاد توزيعهم أو (2) عاملين صحيين معينين حديثًا. هذا النموذج يقدر احتياجات الموارد البشرية للتلقيح. إذا تجاوزت هذه الأرقام الحد الأقصى للأعداد القابلة لإعادة النشر ، فمن المفترض أن يتم تجنيد القائمين بالتحصين الإضافيين حديثًا وسيتم احتساب الراتب الشهري [يمكن تغييره في A3.1].</t>
  </si>
  <si>
    <t>疫苗接种者可以是（i）重新部署的卫生工作者或（ii）新招募的卫生工作者。 该模型对疫苗接种者的人力资源需求做出估计。如果需求超出了可重新部署的最高人数，则假定新招募了更多的疫苗接种者，并将计算月薪[可在A3.1中更改]。</t>
  </si>
  <si>
    <t>Le facteur de redéploiement est le pourcentage de la main-d'œuvre actuelle qui peut être redéployé pour la vaccination (estimation de l'OMS). Ce pourcentage varie en fonction des pays et se fonde sur l'indice de couverture sanitaire universelle (CSU) et la densité du personnel de santé</t>
  </si>
  <si>
    <t>Коэффициент перераспределения - это процент текущей рабочей силы в здравоохранении, которая может быть перераспределена для проведения вакцинации (по оценкам ВОЗ ). Этот коэффициент различается в зависимости от страны и зависит от последнего значения индекса всеобщего охвата услугами здравоохрания и уровня обеспеченности кадровыми ресурсами здравоохранения в стране.</t>
  </si>
  <si>
    <t>El factor de reasignación es el porcentaje de personal sanitario actual que puede ser reasignado para realizar vacunación [estimación de la OMS]. Varía por país y tiene en cuenta el último índice de cobertura sanitaria universal notificado y la densidad de la fuerza laboral de salud.</t>
  </si>
  <si>
    <t>O factor de reafectação é a percentagem do pessoal da saúde actual que pode ser reafectada para realizar a vacinação (estimativa da OMS). Varia por país e considera o mais recente índice CUS (Cobertura Universal de Saúde) comunicado e a densidade do pessoal da saúde.</t>
  </si>
  <si>
    <t>عامل إعادة التوزيع هو النسبة المئوية للقوى العاملة الصحية الحالية التي يمكن إعادة توزيعها لإجراء التلقيح (تقدير منظمة الصحة العالمية). وهو يختلف حسب البلد ويأخذ في الاعتبار أحدث مؤشر التغطية الصحية الشاملة وكثافة القوى العاملة الصحية التي تم الإبلاغ عنها.</t>
  </si>
  <si>
    <t>重新部署因子是可以重新部署以开展疫苗接种的当前卫生人力的百分比（世卫组织估计值）。它因国家而异，并考虑了最新报告的UHC指数和卫生人力密度。</t>
  </si>
  <si>
    <t>Si l'on met 100%, cela signifie que tous les vaccinateurs seront des personnels de santé redéployés. Contrairement à ce qui se passe pour les vaccinateurs nouvellement recrutés, le salaire des PdS redéployés n'est pas compris dans les coûts</t>
  </si>
  <si>
    <t>Если Вы указываете 100% - это означает, что все вакцинаторы будут перераспределенными работниками здравоохранения. В отличие от новых принятых на работу сотрудников здравоохранения, заработная плата для перераспределенных работников не включается в затраты.</t>
  </si>
  <si>
    <t>Si se introduce 100%, significa que todos los vacunadores serán personal sanitario reasignado. A diferencia de los vacunadores de nueva contratación, los sueldos de personal sanitario reasignado no se incluyen en los costes.</t>
  </si>
  <si>
    <t>Se introduzir 100% significa que todos os vacinadores serão trabalhadores da saúde reafectados. Ao contrário dos vacinadores recém-recrutados, os salários dos trabalhadores da saúde reafectados não estão incluídos nos custos.</t>
  </si>
  <si>
    <t>دخول 100٪ يعني أنه سيتم إعادة توزيع العاملين الصحيين على جميع القائمين بالتحصين. على عكس القائمين بالتلقيح المعينين حديثًا ، لم يتم تضمين رواتب العاملين الصحيين المعاد توزيعهم في التكاليف.</t>
  </si>
  <si>
    <t>输入100％表示所有疫苗接种者都将是重新部署的卫生工作者。与新招募的疫苗接种者不同的是，成本中不包括重新部署的卫生工作者的工资。</t>
  </si>
  <si>
    <t>الرقم كاملا</t>
  </si>
  <si>
    <t>Modalité d'administration 2 (par ex. campagnes d'un jour). Éviter d'utiliser trop peu de sites (par ex. non moins de la moitié des sites fixes à stockage au froid)</t>
  </si>
  <si>
    <t>Стратегия организации прививок 2 (например, однодневные прививочные кампании); не следует сильно ограничивать количество прививочных площадок (например, используйте не менее половины стационарных лечебных учреждений, в которых обеспечены возможности холодильного хранения)</t>
  </si>
  <si>
    <t>Modalidad de administración 2 (por ejemplo, campañas de un día). Evitar utilizar un número demasiado reducido de ubicaciones (por ejemplo, no menos de la mitad del número de ubicaciones fijas con almacenamiento en frío).</t>
  </si>
  <si>
    <t>Modalidade de Administração 2 (por exemplo, campanhas de um dia); Evite usar muito poucos locais (por exemplo, não menos do que a metade do número de locais fixos com armazenamento frigorífico)</t>
  </si>
  <si>
    <t>طريقة التسليم 2 (مثل حملات اليوم الواحد) ؛ تجنب استخدام عدد قليل جدًا من المواقع (على سبيل المثال ، ما لا يقل عن نصف عدد المواقع الثابتة مع التخزين البارد)</t>
  </si>
  <si>
    <t>交付模式2（例如，为时一天的计划接种活动）；避免站点数目过少（例如，不要低于有冷库的固定站点数目的一半）</t>
  </si>
  <si>
    <t>Éviter les vaccins à stockage ultra-froid</t>
  </si>
  <si>
    <t>Избегайте вакцин, требующих ультранизких температур</t>
  </si>
  <si>
    <t>Evitar vacunas que requieran ultra-frio</t>
  </si>
  <si>
    <t>Evite as vacinas ultra-frias</t>
  </si>
  <si>
    <t>تجنب اللقاحات شديدة البرودة</t>
  </si>
  <si>
    <t>避免使用超冷疫苗</t>
  </si>
  <si>
    <t>Il est suggéré de préférer pour cette modalité un vaccin dont les exigences sont les moins strictes. ÉVITER les vaccins de la chaîne de l’ultra-froid pour la Modalité d'administration 4 (terrain) car les hypothèses concernant les coûts pourraient s'avérer invalides</t>
  </si>
  <si>
    <t>Для данной стратегии организации прививок рекомендуется выбрать вакцину с наименее жесткими требованиями. ИЗБЕГАЙТЕ УХЦ [холодовой цепи для ультранизких температур] для вакцин, используемых по стратегии организации прививок 4 (Выездые прививочные сессии) поскольку издержки, закладываемые в смету, могут быть неактуальными.</t>
  </si>
  <si>
    <t xml:space="preserve">Se sugiere optar por una vacuna con los requisitos menos exigentes para esta modalidad. EVITAR vacunas de ultra-frio para la MA 4 (Extensión), ya que los supuestos de costes podrían no ser válidos. </t>
  </si>
  <si>
    <t>Sugerimos que prefira uma vacina com os requisitos menos rigorosos para esta modalidade. EVITE as vacinas da UCC para a MA4 (actividades de alcance), porque os pressupostos de custos podem não ser válidos.</t>
  </si>
  <si>
    <t>اقترح تفضيل لقاح مع أقل المتطلبات صرامة لهذه الطريقة. تجنب لقاحات سلسلة البرودة فائقة الانخفاض UCC لـ DM4 (علم الأمراض) لأن افتراضات التكاليف قد لا تكون صحيحة.</t>
  </si>
  <si>
    <t>建议针对这一模式选择要求最宽松的疫苗。避免在DM4（外展接种活动）中使用超冷链疫苗，因为成本假设可能无效。</t>
  </si>
  <si>
    <t>Recours prévu au vaccin, par modalité d'administration et critères d'éligibilité. Prendre en compte les facteurs spécifiques au pays puisque les taux de recours au vaccin peuvent varier considérablement d'un pays à l'autre. 100% = toutes les personnes éligibles se feront vacciner</t>
  </si>
  <si>
    <t>Ожидаемый охват для каждой стратегии организации прививок и каждого критерия соответствия. Примите во внимание факторы, харктерные для Вашей страны, поскольку уровни охвата вакциной в странах могут сильно различаться.  100% означает, что будут привиты все, кто удовлетворяет условиям вакцинации.</t>
  </si>
  <si>
    <t>Adopción esperada, por modalidad de administración y criterios de elegibilidad. Tener en cuenta factores específicos de país, pues las tasas de adopción pueden variar de forma significativa por país. 100% = todos los elegibles para la vacunación aceptarán la vacunación.</t>
  </si>
  <si>
    <t>Aceitação prevista, por modalidade de administração e critérios de elegibilidade. Considere factores específicos de cada país, já que as taxas de aceitação podem variar muito de país para país. 100% = todos os elegíveis para a vacinação aceitarão a vacinação.</t>
  </si>
  <si>
    <t>التلقي المتوقع، من خلال طريقة التسليم ومعايير الأهلية. يرجى النظر في العوامل الخاصة بكل بلد حيث قد تختلف معدلات التلقي بشكل كبير حسب البلد. 100٪ = جميع المستحقين للتطعيم سيقبلون التطعيم.</t>
  </si>
  <si>
    <t>根据交付模式和资格标准的预期利用率。请考虑具体国家因素，因为利用率可能因国家而异。100％=所有符合疫苗接种条件的人都将接种疫苗。</t>
  </si>
  <si>
    <t>NB: Le recours au vaccin prévu pour les personnes éligibles en vertu de leur occupation ("éligibilité professionnelle") peut être plus élevé que pour les personnes invitées à se faire vacciner sur la base de leur âge, de comorbidités ou d'états de santé ("volontaires")</t>
  </si>
  <si>
    <t>Примечание: Ожидаемый охват вакцинацией среди лиц, удовлетворяющих критериям соответствия по роду своей деятельности ("в связи с профессиональной деятельностью") может превышать охват лиц, которые приглашаются на вакцинацию в силу своего возраста, наличия сопутствующих заболеваний или состояний здоровья ("добровольно").</t>
  </si>
  <si>
    <t>Nota: Es posible que la adopción de la vacunación sea más alta entre personas elegibles por razón de su ocupación ("en base al trabajo") que por personas a las que se ofrece la vacunación por su edad, comorbilidades o condiciones de salud ("voluntaria")</t>
  </si>
  <si>
    <t>Nota: A aceitação esperada da vacinação por indivíduos elegíveis em virtude de sua ocupação ("baseado no trabalho") pode ser maior do que os que são convidados para a vacinação devido à sua idade, comorbilidades ou estados de saúde ("voluntários")</t>
  </si>
  <si>
    <t>ملحوظة: قد يكون التلقي المتوقع للتطعيم من قبل الأفراد المؤهلين بحكم وظيفتهم ("على أساس العمل") أعلى من أولئك الذين تمت دعوتهم للتطعيم بسبب العمر أو الأمراض المصاحبة أو الحالة الصحية ("طوعي")</t>
  </si>
  <si>
    <t>注释：预期因其职业（“基于工种”）而符合资格标准的个人接受疫苗接种的比例可能高于因其年龄、合并症或健康状况（“自愿性”）而被邀请接种疫苗的个人</t>
  </si>
  <si>
    <t>Further reading</t>
  </si>
  <si>
    <t>Pour en savoir plus</t>
  </si>
  <si>
    <t>Дополнительная литература</t>
  </si>
  <si>
    <t>Lectura adicional</t>
  </si>
  <si>
    <t>Leitura adicional</t>
  </si>
  <si>
    <t>قراءة متعمقة</t>
  </si>
  <si>
    <t>延伸阅读</t>
  </si>
  <si>
    <t>Lazarus, J.V., Ratzan, S.C., Palayew, A. et al. A global survey of potential acceptance of a COVID-19 vaccine. Nat Med 27, 225–228 (2021). https://doi.org/10.1038/s41591-020-1124-9</t>
  </si>
  <si>
    <t>Demande COVAX ou, après confirmation, allocation</t>
  </si>
  <si>
    <t xml:space="preserve">Запрос в COVAX или, если запрос подтвержден, выделение вакцин </t>
  </si>
  <si>
    <t>Solicitud Covax o, una vez confirmada, Asignación Covax</t>
  </si>
  <si>
    <t>Pedido da plataforma Covax ou, quando confirmado, Alocação</t>
  </si>
  <si>
    <t>طلب كوفاكس Covax أو التخصيص عند تأكيده</t>
  </si>
  <si>
    <t>Covax机制请求，或（确认后）Covax机制分配</t>
  </si>
  <si>
    <t>Instructions: For Covax participants (AMC92 or self-financing), please enter the Covax vaccine supply request, OR once allocations are confirmed, update this section with the confirmed allocation by half-year time periods. If the allocation is presented in terms of a number of doses rather than population coverage, a simple calculator is provided below to assist with the conversion.
 For AMC92 countries, if supply requests above the fully-subsidized amount are desired based on cost-sharing arrangements, please enter these the excess above the full-subsidized amount in 2022 onwards.</t>
  </si>
  <si>
    <t>Instructions: Pour les participants à COVAX (AMC92 ou autofinancés), entrer la demande de stocks de vaccins COVAX, OU, une fois les allocations confirmées, remettre cette section à jour en y ajoutant les allocations confirmées par semestre. Si l'allocation est présentée sous forme de nombre de doses plutôt que de couverture de la population, on trouvera ci-dessous un calculateur simple qui aidera à convertir les données.
Pour les pays AMC92, si l'on désire faire des demandes de stocks au-delà des montants pleinement subventionnés, sur la base d'arrangements de partage des coûts, entrer, à partir de 2022, ce qui dépasse les montants entièrement subventionnés</t>
  </si>
  <si>
    <t>Инструкции: Для стран-участников механизма COVAX это 92 страны, участвующие в программе ПОЗ или страны на самофинансировании) укажите, какой запрос на поставку вакцин был направлен в COVAX, ИЛИ, после того как поставка вакцины подтверждена, обновите информацию в данном разделе, указав объем поставок с разбивкой по полугодиям. Если объем поставок выражается через количество доз, а не через уровень охвата населения, преобразуйте эти данные, воспользовавшись простым калькулятором (см. ниже).
Если страна, входящая в группу ПОЗ-92, желает, дополнительно к полностью оплачиваемым дозам, приобрести вакцину на основе механизма долевого участия в затратах, укажите это дополнительное количество вакцины, начиная с 2022 года и далее.</t>
  </si>
  <si>
    <t>Instrucciones: Para participantes en el Covax (CAM92 o autofinanciación), introducir la solicitud de suministro de vacunas del Covax O, una vez confirmadas las asignaciones, actualizar esta sección con la asignación confirmada por periodos semestrales. Si la asignación se presenta en número de dosis y no como cobertura de la población, abajo hay una calculadora sencilla para ayudar en la conversión. 
Para países CAM92, si se solicitan suministros por encima de la cantidad con subvención total de acuerdo con el mecanismo de costes compartidos, introducir el exceso por encima de la cantidad subvencionada a partir de 2022.</t>
  </si>
  <si>
    <t>Instruções: Para os participantes da plataforma Covax (AMC92 ou autofinanciamento), introduza o pedido de fornecimento de vacina à Covax, OU, uma vez confirmadas as alocações, actualize esta secção com a alocação confirmada por semestres. Se a alocação for apresentada em termos de um número de doses em vez de cobertura populacional, é fornecida abaixo uma calculadora simples para ajudar na conversão.
 Para os países do AMC92, se desejarem fazer pedidos de fornecimento acima da quantidade totalmente subsidiada, com base em acordos de partilha de custos, introduza o excesso (acima da quantidade totalmente subsidiada) de 2022 em diante.</t>
  </si>
  <si>
    <t xml:space="preserve">"التعليمات: بالنسبة للمشاركين في (Covax AMC92 أو التمويل الذاتي) ، يرجى إدخال طلب توريد لقاح كوفاكس Covax، أو بمجرد تأكيد التخصيصات، قم بتحديث هذا القسم بالتخصيص المؤكد بفترات زمنية بنصف عام. إذا تم تقديم التخصيص من حيث عدد الجرعات بدلاً من تغطية السكان، يتم توفير آلة حاسبة بسيطة أدناه للمساعدة في التحويل. بالنسبة إلى بلدان AMC92، إذا كانت طلبات التوريد التي تزيد عن المبلغ المدعوم بالكامل مطلوبة بناءً على ترتيبات تقاسم التكاليف، فيرجى إدخال هذه الزيادة فوق المبلغ المدعوم بالكامل في عام 2022 فصاعدًا. " </t>
  </si>
  <si>
    <t xml:space="preserve">说明：对于COVAX机制参与者（AMC92或自筹资金），请输入Covax机制疫苗供应申请，或，一旦分配确认后，请更新此部分，注明每半年时间段的确认分配。如果分配是根据剂数而非人口覆盖率来表示的，则下面提供了一个简单的计算公式来帮助进行转换。
对于AMC92国家，如果希望根据费用分摊安排，提出高于全额补贴的供应请求，请输入2022年以后高于全额补贴的请求。 </t>
  </si>
  <si>
    <t>Stock disponible de COVAX pour le stade 1 (S1 2021); maximum 20%</t>
  </si>
  <si>
    <t>Доступные поставки вакцин через COVAX на этапе 1 (Полугодие 1, 2021); Максимальное значение 20%</t>
  </si>
  <si>
    <t>Suministro disponible del Covax en la Fase 1 (H1 2021); Max 20%</t>
  </si>
  <si>
    <t>Suprimento disponível da plataforma Covax na Etapa 1 (S1 2021); Máx. 20%</t>
  </si>
  <si>
    <t>العرض المتاح كوفاكس Covax في المرحلة 1 (H1 2021) ؛ 20٪ كحد أقصى</t>
  </si>
  <si>
    <t>第一阶段（2021年上半年）的Covax机制可用供应量；最高20％</t>
  </si>
  <si>
    <t>Stock disponible de COVAX pour le stade 2 (S2 2021)</t>
  </si>
  <si>
    <t>Доступные поставки вакцин через COVAX на этапе 2 (Полугодие 2, 2021)</t>
  </si>
  <si>
    <t>Suministro disponible del Covax en la Fase 2 (H2 2021)</t>
  </si>
  <si>
    <t>Suprimento disponível da plataforma Covax na Etapa 2 (S2 2021)</t>
  </si>
  <si>
    <t>العرض المتاح كوفاكس Covax في المرحلة 2 (H2 2021)</t>
  </si>
  <si>
    <t>第二阶段（2021年下半年）的Covax机制可用供应量</t>
  </si>
  <si>
    <t>Pour convertir le nombre de doses en pourcentage de la population de 2020, hors pertes, utiliser ce calculateur facile:</t>
  </si>
  <si>
    <t>Для того, чтобы преобразовать количество доз вакцины в процент населения, которое будет охвачено вакцинацией в 2020 г., без учета потерь вакцины, воспользуйтесь простой формулой:</t>
  </si>
  <si>
    <t>Para convertir el número de dosis en porcentaje de la población total en 2020, excluyendo el desperdicio, utilizar esta sencilla calculadora:</t>
  </si>
  <si>
    <t>Para converter o número de doses em percentagem da população total em 2020, excluindo desperdícios, use esta calculadora simples:</t>
  </si>
  <si>
    <t>لتحويل عدد الجرعات إلى نسبة مئوية من إجمالي السكان في عام 2020، باستثناء الهدر، استخدم هذه الآلة الحاسبة البسيطة:</t>
  </si>
  <si>
    <t>要将剂数转换为2020年总人口的百分比（不包括浪费），请使用这个简单的计算公式：</t>
  </si>
  <si>
    <t>NB: La population totale de 2020 pour les calculs COVAX est fondée sur les projections de la Banque mondiale pour 2020</t>
  </si>
  <si>
    <t>Примечание: В расчетах COVAX используется значение общей численности населения в 2020 году согласно прогнозам Всемирного Банка на 2020 год</t>
  </si>
  <si>
    <t>Nota: La población total en 2020 para los cálculos del Covax se basan en las proyecciones del Banco Mundial para 2020</t>
  </si>
  <si>
    <t>Nota: A população total em 2020 para os cálculos da plataforma Covax está baseada nas previsões do Banco Mundial para 2020</t>
  </si>
  <si>
    <t>ملحوظة: مجموع السكان في عام 2020 لحسابات كوفاكس يستند إلى توقعات البنك الدولي لعام 2020</t>
  </si>
  <si>
    <t>注释：Covax机制计算时使用的2020年总人口数目基于世界银行2020年预测</t>
  </si>
  <si>
    <t>USD par dose</t>
  </si>
  <si>
    <t>Доллары США на одну дозу</t>
  </si>
  <si>
    <t>USD por dosis</t>
  </si>
  <si>
    <t>USD por dose</t>
  </si>
  <si>
    <t>دولار أمريكي لكل جرعة</t>
  </si>
  <si>
    <t>每剂次美元成本</t>
  </si>
  <si>
    <t>Pour l'évaluation du coût des doses de vaccin fournies par COVAX, on utilise pour un vaccin à série de 1 dose (par ex. JNJ-78436735) le même prix moyen par série que pour un vaccin à 2 doses. Les frais d'administration du vaccin différeront</t>
  </si>
  <si>
    <t>Для расчета стоимости доз вакцин, поставляемых COVAX, средняя цена за один курс вакцинации с использованием вакцины, требующей введения только одной дозы (например, JNJ-78436735) будет аналогична цене за один курс вакцинации вакциной, требующей двух доз. Расходы на проведение вакцинации будут различаться.</t>
  </si>
  <si>
    <t>Para la estimación de costes de dosis de vacunas suministradas por el Covax, una vacuna con pauta de 1 dosis (por ejemplo, JNJ-78436735) utilizará el mismo precio medio por esquema que una vacuna con pauta de dos dosis. Serán distintos los costes de envío de las vacunas.</t>
  </si>
  <si>
    <t>Para o custo das doses de vacina fornecidas pela Covax, uma vacina de 1 dose (por exemplo, a JNJ-78436735) usará o mesmo preço médio por ciclo que uma vacina de 2 doses. Os custos de administração da vacina serão diferentes.</t>
  </si>
  <si>
    <t>لتكلفة جرعات اللقاح التي يتم توفيرها من قبل Covax، فإن لقاح دورة جرعة واحدة (على سبيل المثال JNJ-78436735) سيستخدم نفس متوسط ​​السعر لكل دورة مثل لقاح دورة جرعتين. سوف تختلف تكاليف توصيل اللقاح.</t>
  </si>
  <si>
    <t>为Covax机制提供的疫苗剂数核算成本时，1剂次疗程的疫苗（例如 JNJ-78436735）可以使用与2剂次疗程的疫苗相同的平均价格。疫苗交付成本会有所不同。</t>
  </si>
  <si>
    <t>Comments</t>
  </si>
  <si>
    <t>User Notes</t>
  </si>
  <si>
    <t>Technical Assistance</t>
  </si>
  <si>
    <t>Assistance technique</t>
  </si>
  <si>
    <t>Техническая помощь</t>
  </si>
  <si>
    <t>Asistencia técnica</t>
  </si>
  <si>
    <t>Ajuda Técnica</t>
  </si>
  <si>
    <t xml:space="preserve"> المساعدة الفنية</t>
  </si>
  <si>
    <t>技术援助</t>
  </si>
  <si>
    <t>1.1 Planification et coordination</t>
  </si>
  <si>
    <t>1.1 Планирование и координация</t>
  </si>
  <si>
    <t>1.1 Planificación y Coordinación</t>
  </si>
  <si>
    <t>1.1 Planejamento e Coordenação</t>
  </si>
  <si>
    <t>1.1 التخطيط والتنسيق</t>
  </si>
  <si>
    <t>1.1规划和协调</t>
  </si>
  <si>
    <t>1.2 établissement des coûts, la budgétisation et le financement</t>
  </si>
  <si>
    <t>1.2 Калькуляция, бюджет, и финансирование</t>
  </si>
  <si>
    <t>1.2 Costos, Presupuesto y Financiación</t>
  </si>
  <si>
    <t>1.2 Cálculo de custos, orçamento e Financiamento</t>
  </si>
  <si>
    <t>1.2 حساب التكاليف والميزانية والتمويل</t>
  </si>
  <si>
    <t>1.2成本核算，预算和融资</t>
  </si>
  <si>
    <t>1.3 préparation réglementaire</t>
  </si>
  <si>
    <t>1.3 Регулирующий готовности к</t>
  </si>
  <si>
    <t>1.3 Preparación de Regulación</t>
  </si>
  <si>
    <t>1.3 تنظيم الاستعداد</t>
  </si>
  <si>
    <t>1.3法规准备</t>
  </si>
  <si>
    <t>1.4 Identification de la population cible et priorisation</t>
  </si>
  <si>
    <t>1.4 Определение целевых групп населения и Приоритезация</t>
  </si>
  <si>
    <t>1.4 Identificación de la Población Objetivo y Priorización</t>
  </si>
  <si>
    <t>1.4 Identificação de alvo População e Prioritization</t>
  </si>
  <si>
    <t>1.4 تحديد الهدف السكان وتحديد الأولويات</t>
  </si>
  <si>
    <t>目标人群和优先级的1.4鉴定</t>
  </si>
  <si>
    <t>1,5-Covid 19 Surveillance des maladies</t>
  </si>
  <si>
    <t>1.5 Covid-19 и надзор за болезнями</t>
  </si>
  <si>
    <t>1,5 Covid-19 Vigilancia de Enfermedades</t>
  </si>
  <si>
    <t>1,5 Covid-19 Vigilância doença</t>
  </si>
  <si>
    <t>1.5 Covid 19 مراقبة الأمراض</t>
  </si>
  <si>
    <t>1.5 Covid-19疾病监测</t>
  </si>
  <si>
    <t>1.6 Prestation de services</t>
  </si>
  <si>
    <t>1.6 Служба доставки</t>
  </si>
  <si>
    <t>1.6 Entrega de Servicios</t>
  </si>
  <si>
    <t>1.6 تقديم الخدمات</t>
  </si>
  <si>
    <t>1.6服务交付</t>
  </si>
  <si>
    <t>1.7 achat de vaccins, la chaîne du froid, la logistique et l'infrastructure</t>
  </si>
  <si>
    <t>1,7 закупки вакцин, холодовая цепь, логистика и инфраструктуры</t>
  </si>
  <si>
    <t>1.7 Vacuna de adquisiciones, cadena de frío, logística e infraestructura</t>
  </si>
  <si>
    <t>1.7 Vacinas aquisições, da cadeia de frio, Logística, e Infra-estruturas</t>
  </si>
  <si>
    <t>1.7 قاح المشتريات، سلسلة الباردة، والخدمات اللوجستية، والبنية التحتية</t>
  </si>
  <si>
    <t>1.7疫苗采购，冷链，物流及基础建设</t>
  </si>
  <si>
    <t>Dépenses de santé Gouvernement général national + aide au développement pour la santé [GGHED + DAH] (nominale $ US)</t>
  </si>
  <si>
    <t>Бытовая Общее состояние здоровья Государственных расходы + помощь развитию здравоохранения [GGHED + Д] (номинальная US $)</t>
  </si>
  <si>
    <t>Los gastos generales doméstica Gobierno Salud + Ayuda al Desarrollo para la Salud [+ GGHED DAH] (US $ nominales)</t>
  </si>
  <si>
    <t>Despesas públicas Nacionais de Saúde do governo + Ajuda de Desenvolvimento de Saúde [GGHED + DAH] (US $ nominal)</t>
  </si>
  <si>
    <t>الإنفاق المحلي العام حكومة الصحة + مساعدات التنمية للصحة [GGHED + DAH] (اسمية $ US)</t>
  </si>
  <si>
    <t>国内一般政府卫生支出+开发医疗救助，[GGHED + DAH（标称US $）</t>
  </si>
  <si>
    <t>Les dépenses des administrations publiques (nominale $ US) 2021 projetée</t>
  </si>
  <si>
    <t>Общие расходы правительства (номинальная US $) 2021 проецируется</t>
  </si>
  <si>
    <t>General de Gastos del Gobierno (US $ nominales) 2021 proyectado</t>
  </si>
  <si>
    <t>De despesa pública (nominal US $) 2021 projetada</t>
  </si>
  <si>
    <t>الإنفاق الحكومي العام ($ الولايات المتحدة الاسمية) 2021 المتوقعة</t>
  </si>
  <si>
    <t>政府总支出（标称US $）预计2021</t>
  </si>
  <si>
    <t>Les dépenses des administrations publiques ($ US nominale) 2022 prévue</t>
  </si>
  <si>
    <t>Общие расходы правительства (номинальная US $) 2022 проецируется</t>
  </si>
  <si>
    <t>General de Gastos del Gobierno (US $ nominales) 2022 proyectado</t>
  </si>
  <si>
    <t>De despesa pública (nominal US $) 2022 projetada</t>
  </si>
  <si>
    <t>الإنفاق الحكومي العام ($ الولايات المتحدة الاسمية) 2022 المتوقعة</t>
  </si>
  <si>
    <t>政府总支出（标称US $）预计2022</t>
  </si>
  <si>
    <t>Les dépenses des administrations publiques (nominal $ US) 2023 projetée</t>
  </si>
  <si>
    <t>Общие расходы правительства (номинальная US $) 2023 проецируется</t>
  </si>
  <si>
    <t>General de Gastos del Gobierno (US $ nominales) 2023 proyectado</t>
  </si>
  <si>
    <t>De despesa pública (nominal US $) 2023 projetada</t>
  </si>
  <si>
    <t>الإنفاق الحكومي العام ($ الولايات المتحدة الاسمية) 2023 المتوقعة</t>
  </si>
  <si>
    <t>政府总支出（标称US $）预计2023</t>
  </si>
  <si>
    <t>Covid-19 Coûts de vaccination</t>
  </si>
  <si>
    <t>Covid-19 Расходы Вакцинация</t>
  </si>
  <si>
    <t>Gastos de vacunación Covid-19</t>
  </si>
  <si>
    <t>Custos de vacinação Covid-19</t>
  </si>
  <si>
    <t>تكاليف التطعيم Covid-19</t>
  </si>
  <si>
    <t>Covid-19接种费用</t>
  </si>
  <si>
    <t>Grand total en% des dépenses des administrations publiques</t>
  </si>
  <si>
    <t>Гранд Всего в% общих государственных расходов</t>
  </si>
  <si>
    <t>Gran total como% del gasto del gobierno general</t>
  </si>
  <si>
    <t>Total geral como% da despesa das administrações públicas</t>
  </si>
  <si>
    <t>المجموع الكلي كنسبة مئوية من الإنفاق الحكومي العام</t>
  </si>
  <si>
    <t>总计为政府总支出的％</t>
  </si>
  <si>
    <t>Grand total en% 2018 Dépenses de santé Gouvernement général national, plus d'aide au développement pour la santé</t>
  </si>
  <si>
    <t>Гранд Всего в% в 2018 году расходов Внутренние Общие здравоохранения Правительство плюс помощь развитию здравоохранения</t>
  </si>
  <si>
    <t>Gran total como% del gasto general 2018 doméstica Gobierno de la Salud, más de Ayuda al Desarrollo para la Salud</t>
  </si>
  <si>
    <t>Total geral como% de 2018 Geral Interno Saúde Governo Despesas além de Ajuda ao Desenvolvimento para a Saúde</t>
  </si>
  <si>
    <t>المجموع الكلي كنسبة مئوية من 2018 الإنفاق المحلي العام حكومة الصحة بالإضافة إلى المساعدات التنموية للصحة</t>
  </si>
  <si>
    <t>总计为2018国产普通政府卫生支出％加上发展医疗救助，</t>
  </si>
  <si>
    <t>commentaires</t>
  </si>
  <si>
    <t>Комментарии</t>
  </si>
  <si>
    <t>comentarios</t>
  </si>
  <si>
    <t>Comentários</t>
  </si>
  <si>
    <t>تعليقات</t>
  </si>
  <si>
    <t>Notes de l'utilisateur</t>
  </si>
  <si>
    <t>Замечания</t>
  </si>
  <si>
    <t>Notas para el usuario</t>
  </si>
  <si>
    <t>Notas do usuário</t>
  </si>
  <si>
    <t>ملاحظات العضو</t>
  </si>
  <si>
    <t>评说</t>
  </si>
  <si>
    <t>##&lt;'metadata_excel_version',scalar&gt;</t>
  </si>
  <si>
    <t>Coûts totaux (hors vaccins)</t>
  </si>
  <si>
    <t>Общие затраты (за исключением вакцин)</t>
  </si>
  <si>
    <t>Los costos totales (excluyendo vacunas)</t>
  </si>
  <si>
    <t>Os custos totais (excluindo vacinas)</t>
  </si>
  <si>
    <t>مجموع التكاليف (باستثناء اللقاحات)</t>
  </si>
  <si>
    <t>总成本（不包括疫苗）</t>
  </si>
  <si>
    <t>Les coûts cumulatifs (à l'exclusion des vaccins)</t>
  </si>
  <si>
    <t>Совокупные расходы (за исключением вакцин)</t>
  </si>
  <si>
    <t>Los costos acumulados (con exclusión de las vacunas)</t>
  </si>
  <si>
    <t>Custos cumulativos (excluindo vacinas)</t>
  </si>
  <si>
    <t>التكاليف التراكمية (باستثناء اللقاحات)</t>
  </si>
  <si>
    <t>累积费用（不包括疫苗）</t>
  </si>
  <si>
    <t>Total Costs (excluding vaccines)</t>
  </si>
  <si>
    <t>Cumulative Costs (excluding vaccines)</t>
  </si>
  <si>
    <t>Vaccinateurs actuels (ETP) -</t>
  </si>
  <si>
    <t>Redéploiement de vaccinateurs (ETP) -</t>
  </si>
  <si>
    <t>Jours vaccinateur -</t>
  </si>
  <si>
    <t>Impact sur le système de santé -</t>
  </si>
  <si>
    <t>Redéploiement des vaccinateurs (individus)  -</t>
  </si>
  <si>
    <t>Note: CVIC v2.1 requires Microsoft Excel 2016 (v16.0) or newer</t>
  </si>
  <si>
    <t>Remarque: CVIC v2.1 nécessite Microsoft Excel 2016 (v16.0) ou plus récent</t>
  </si>
  <si>
    <t>Примечание: CVIC v2.1 требует Microsoft Excel 2016 (v16.0) или более поздней версии</t>
  </si>
  <si>
    <t>Nota: v2.1 CVIC requiere Microsoft Excel 2016 (v16.0) o más reciente</t>
  </si>
  <si>
    <t>Nota: CVIC v2.1 requer o Microsoft Excel 2016 (v16.0) ou mais recente</t>
  </si>
  <si>
    <t>ملاحظة: CVIC V2.1 يتطلب مايكروسوفت اكسل 2016 (v16.0) أو أحدث</t>
  </si>
  <si>
    <t>注：中创软件V2.1需要的Microsoft Excel 2016（v16.0）或更高版本</t>
  </si>
  <si>
    <t>HIDE - WORKING BUT UNLIKELY TO BE USED</t>
  </si>
  <si>
    <t>HIDE - NO USER EDITABLE FUNCTIONALITY THIS ROW</t>
  </si>
  <si>
    <t>HIDE - WORKING BUT USE DISCOURAGED</t>
  </si>
  <si>
    <t>HIDE - WORKING BUT NOT USED</t>
  </si>
  <si>
    <t>ADVANCED</t>
  </si>
  <si>
    <t>##&lt;'doses_delivered'&gt;</t>
  </si>
  <si>
    <t>##&lt;'metadata_fully_immunized_persons',scalar&gt;</t>
  </si>
  <si>
    <t>HIDE - WORKING BUT NOT USEFUL</t>
  </si>
  <si>
    <t>HIDE - TMI</t>
  </si>
  <si>
    <t>HIDE - UNUSED</t>
  </si>
  <si>
    <t>HIDE - USE DISCOURAGED</t>
  </si>
  <si>
    <t>Dedicated to my daughter Xinlin who had to put up with her parent's WFH without childcare</t>
  </si>
  <si>
    <t>8. A grey navigation bar is provided at the top of each sheet. The navigation bar has orange buttons to help take guide you through the completion of the input requires in this costing tool. If you are lost at any stage, click "Menu" to take you back to the Quick Links Menu below.</t>
  </si>
  <si>
    <t>8. Chaque feuille est dotée, en haut, d'une barre de navigation gris. Cette barre de navigation a des boutons orange qui vous guident dans le parcours pour compléter vos entrées dans l'outil d'évaluation des coûts. Si vous vous perdez, cliquez sur "Menu", qui vous ramènera sur le Menu "Quick Links" (Liens rapides)</t>
  </si>
  <si>
    <t>8. En la parte superior de cada hoja hay una barra de navegación de color gris. La barra de navegación tiene botones de color naranja que le guiarán en la cumplimentación de los datos requeridos por la herramienta. Si se pierde en algún momento, pulse en "Menú" para volver al menú de Enlaces rápidos que aparece a continuación.</t>
  </si>
  <si>
    <t>8. É fornecida uma barra de navegação cinza na parte superior de cada folha. A barra de navegação tem botões cor de laranja para ajudar a guiá-lo até à conclusão das entradas requeridas nesta ferramenta de cálculo de custos. Se estiver perdido em qualquer etapa, clique em "Menu" para voltar ao Menu de Ligações Rápidas abaixo.</t>
  </si>
  <si>
    <t>Supplementary wages / per diems (Daily Rate)</t>
  </si>
  <si>
    <t>For example, IT infrastructure</t>
  </si>
  <si>
    <t>For example, transportation costs such as fuel</t>
  </si>
  <si>
    <t>For example, telecommunications / data charges, stationary, etc.</t>
  </si>
  <si>
    <t>For example, banners, buntings, posters, sign posting, social distancing measures, local demand generation and communications initiatives</t>
  </si>
  <si>
    <t>From Central to Regional - calculated based on PER TRIP basis PLUS PER LITER basis</t>
  </si>
  <si>
    <t>From Regional to Districts and Fixed Sites - calculated based on PER TRIP basis PLUS PER LITER basis</t>
  </si>
  <si>
    <t xml:space="preserve">С центрального уровня на региональный - из расчета НА ОДНУ ПОЕЗДКУ ПЛЮС из расчета НА 1 Л </t>
  </si>
  <si>
    <t>С регионального уровня на районный и в стационарные лечебные учреждения - из расчета НА ОДНУ ПОЕЗДКУ ПЛЮС из расчета НА 1 Л</t>
  </si>
  <si>
    <t>De Regional a Distritos y Ubicaciones fijas - calculado en base a POR DESPLAZAMIENTO MÁS coste POR LITRO</t>
  </si>
  <si>
    <t xml:space="preserve">De Central a Regional - calculado en base a POR DESPLAZAMIENTO MÁS coste POR LITRO </t>
  </si>
  <si>
    <t>De Central para Regional – calculado com base em POR VIAGEM MAIS POR LITRO</t>
  </si>
  <si>
    <t>De Regional para Distritos e locais fixos – calculado com base em POR VIAGEM MAIS POR LITRO</t>
  </si>
  <si>
    <t>من المركزي إلى الإقليمي</t>
  </si>
  <si>
    <t>من المناطق الإقليمية إلى المناطق والمواقع الثابتة - يتم حسابها على أساس كل رحلة  بالإضافة إلى أساس كل  لتر</t>
  </si>
  <si>
    <t>Donor E</t>
  </si>
  <si>
    <t>Budgetary Entity A</t>
  </si>
  <si>
    <t>Budgetary Entity B</t>
  </si>
  <si>
    <t>Budgetary Entity C</t>
  </si>
  <si>
    <t>Budgetary Entity D</t>
  </si>
  <si>
    <t>Budgetary Entity E</t>
  </si>
  <si>
    <t>Budgetary Entity F</t>
  </si>
  <si>
    <t>Budgetary Entity G</t>
  </si>
  <si>
    <t>Budgetary Entity H</t>
  </si>
  <si>
    <t>Budgetary Entity I</t>
  </si>
  <si>
    <t>(User defined HRH who can be vaccinator)</t>
  </si>
  <si>
    <t>For example, registration and electronic appointment notifications</t>
  </si>
  <si>
    <t>For example, registration and electronic appointment notifications, demand generation</t>
  </si>
  <si>
    <t>##&lt;'fully_immunized_persons'&gt;</t>
  </si>
  <si>
    <t>اختيار اللغة | Language selection | Sélection de la langue | Выбор языка | Selección de idioma | Seleção de idioma | 选择语言</t>
  </si>
  <si>
    <t>8.1 Technical assistance</t>
  </si>
  <si>
    <t>8.2 Operational expenditure</t>
  </si>
  <si>
    <t>7.1 Technical assistance</t>
  </si>
  <si>
    <t>7.2 Operational expenditure</t>
  </si>
  <si>
    <t>7.3 No fault compensation</t>
  </si>
  <si>
    <t>6.1 Technical assistance</t>
  </si>
  <si>
    <t>6.2 Operational expenditures</t>
  </si>
  <si>
    <t>6.4 Oversight and assurance</t>
  </si>
  <si>
    <t>5.2 Operational expenditure</t>
  </si>
  <si>
    <t>5.1 Capital expenditure</t>
  </si>
  <si>
    <t>4.3 Personal protective equipment (PPE)</t>
  </si>
  <si>
    <t>4.2 Waste management</t>
  </si>
  <si>
    <t>4.1 Logistics and transportation (excluding cold chain)</t>
  </si>
  <si>
    <t>3.3 Vaccinator compensation</t>
  </si>
  <si>
    <t>3.2 Vaccinator training and supervision</t>
  </si>
  <si>
    <t>3.1 Technical assistance</t>
  </si>
  <si>
    <t>2.3 Vaccine-related supplies and devices</t>
  </si>
  <si>
    <t>2.2 Vaccine doses</t>
  </si>
  <si>
    <t>1.7 Vaccine procurement, cold chain, logistics, and infrastructure</t>
  </si>
  <si>
    <t>1.6 Service delivery</t>
  </si>
  <si>
    <t>1.5 Covid-19 disease surveillance</t>
  </si>
  <si>
    <t>1.4 Identification of target population and prioritization</t>
  </si>
  <si>
    <t>1.3 Regulatory preparedness</t>
  </si>
  <si>
    <t>1.2 Costing, budgeting, and financing</t>
  </si>
  <si>
    <t>1.1 Planning and coordination</t>
  </si>
  <si>
    <t>Results-based financing should cover last mile delivery incl. HRH, demand generation, PPE, local transport, data management, monitoring, and pharmacovigilance, and security. Vaccine doses, cold chain, and vaccine-related supplies provided separately.</t>
  </si>
  <si>
    <t>TA: Develop and disseminate guidelines, procedures, tools for vaccine pharmacovigilance and active surveillance of specific Covid-19 vaccine related adverse events</t>
  </si>
  <si>
    <t>Data Management and Monitoring, pharmacovigilance, and Oversight</t>
  </si>
  <si>
    <t>TA: Institutional and global linkages and coordination mechanisms, for vaccine pharmacovigilance</t>
  </si>
  <si>
    <t>B5.2 Last mile service delivery (input-based financing), excluding vaccines and related supplies (Medium-Variant)</t>
  </si>
  <si>
    <t>Last mile service delivery (input-based financing) is the 'default'</t>
  </si>
  <si>
    <t>Last mile service delivery (input-based financing) cost per person vaccinated</t>
  </si>
  <si>
    <t>B5.1 Last mile service delivery (results-based financing [RBF]), excluding vaccines and vaccine supplies</t>
  </si>
  <si>
    <t>For kWh - used class average</t>
  </si>
  <si>
    <t>Source for kWh includes Nick's team @ Humbolt (CCE_DailyEnergyRequirements.xlsx received 8 May 2021)</t>
  </si>
  <si>
    <t>Fabricant</t>
  </si>
  <si>
    <t>производитель</t>
  </si>
  <si>
    <t>Fabricante</t>
  </si>
  <si>
    <t>الصانع</t>
  </si>
  <si>
    <t>制造商</t>
  </si>
  <si>
    <t>Tozinameran (Comirnaty)</t>
  </si>
  <si>
    <t>Pfizer Europe MA EEIG</t>
  </si>
  <si>
    <t>Ad26.COV2-S</t>
  </si>
  <si>
    <t>Janssen-Cilag International</t>
  </si>
  <si>
    <t>3.82</t>
  </si>
  <si>
    <t>ChAdOx1-S (SK Bioscience)</t>
  </si>
  <si>
    <t>SK Bioscience</t>
  </si>
  <si>
    <t>3.76</t>
  </si>
  <si>
    <t>ChAdOx1-S (Covishield)</t>
  </si>
  <si>
    <t>Serum Institute of India</t>
  </si>
  <si>
    <t>2.109</t>
  </si>
  <si>
    <t>ChAdOx1-S (AstraZeneca AB)</t>
  </si>
  <si>
    <t>AstraZeneca AB</t>
  </si>
  <si>
    <t>VeroCell (Pre-filled syringe)</t>
  </si>
  <si>
    <t>Beijing Institute of Biological Products</t>
  </si>
  <si>
    <t>94.9</t>
  </si>
  <si>
    <t>30</t>
  </si>
  <si>
    <t>VeroCell (Vial)</t>
  </si>
  <si>
    <t>21.2</t>
  </si>
  <si>
    <t>15</t>
  </si>
  <si>
    <t>CoronaVac (Pre-filled syringe)</t>
  </si>
  <si>
    <t>Sinovac Life Sciences</t>
  </si>
  <si>
    <t>41.65</t>
  </si>
  <si>
    <t>CoronaVac (Vial)</t>
  </si>
  <si>
    <t>16.3</t>
  </si>
  <si>
    <t>mRNA-1273 (Moderna)</t>
  </si>
  <si>
    <t>Moderna Biotech</t>
  </si>
  <si>
    <t>4.3</t>
  </si>
  <si>
    <t>BBV152 (Covaxin) 20-dose vial</t>
  </si>
  <si>
    <t>Bharat Biotech International</t>
  </si>
  <si>
    <t>20</t>
  </si>
  <si>
    <t>1.72</t>
  </si>
  <si>
    <t>NVX-CoV2373 (Nuvaxovid)</t>
  </si>
  <si>
    <t>Novavax</t>
  </si>
  <si>
    <t>2.05</t>
  </si>
  <si>
    <t>Updates: BBV152 (Covaxin), mRNA-1273 (Moderna), and NVX-CoV2373 (Nuvaxovid). Note: Vaccines Prices not publicly known - average of US$7 per dose assumed. Vaccine specifications are indicative and SUBJECT TO CHANGE.</t>
  </si>
  <si>
    <t>Combination</t>
  </si>
  <si>
    <t>A</t>
  </si>
  <si>
    <t>B</t>
  </si>
  <si>
    <t>C</t>
  </si>
  <si>
    <t>D</t>
  </si>
  <si>
    <t>Combination A</t>
  </si>
  <si>
    <t>Various</t>
  </si>
  <si>
    <t>CHECK INFINITY ISSUE IF BLANK / ZERO</t>
  </si>
  <si>
    <t>Combination B</t>
  </si>
  <si>
    <t>Combination C</t>
  </si>
  <si>
    <t>Combination D</t>
  </si>
  <si>
    <t>Filter to 2-dose vaccines; Refrigerated</t>
  </si>
  <si>
    <t>2-8C Tozinameran (Comirnaty)</t>
  </si>
  <si>
    <t>A2.1 Country Parameters</t>
  </si>
  <si>
    <t>Notes: The type of PPE, quantities required, and unit costs of PPE may be reviewed and overridden here. You may leave this section blank to will default to auto-updateable parameters.</t>
  </si>
  <si>
    <t>Custom PPE</t>
  </si>
  <si>
    <t>TA: Protocols for PPE and IPC equipment</t>
  </si>
  <si>
    <t>Total Reuseable PPE</t>
  </si>
  <si>
    <t>Total Daily Use PPE</t>
  </si>
  <si>
    <t>Instructions: Please consider adding regulatory capacity building if desired.</t>
  </si>
  <si>
    <t>B2. Vaccines and Supplies | Bottom-up estimations based on defined target population</t>
  </si>
  <si>
    <t>Note: This is bottom-up costing based on the target population, expected uptake, and vaccine wastage - NOT based on supply / allocation</t>
  </si>
  <si>
    <t>B1.1 Target Population: Total Size | Bottom-up estimation</t>
  </si>
  <si>
    <t>B1.3.1 Full uptake by the eligible, disregarding vaccine hesitancy (vaccine courses)</t>
  </si>
  <si>
    <t>B1.4.1 Summary - Vaccine courses needed in 2021 (Stage 1 and 2)</t>
  </si>
  <si>
    <t>B1.4.2 Summary - Vaccine courses needed in 2021 Stage 1 (The first 3% ~ H1 2021)</t>
  </si>
  <si>
    <t>B4.1.1 Central Store Cold Chain (WICR and/or WIFR)</t>
  </si>
  <si>
    <t>Enter zero if no plans to cover pregnant women.</t>
  </si>
  <si>
    <t>Mettre zéro si l'on ne prévoit pas de couvrir les femmes enceintes.</t>
  </si>
  <si>
    <t>Укажите ноль, если не планируете вакцинировать беременных женщин.</t>
  </si>
  <si>
    <t>Indicar cero si no se ha planificado abarcar mujeres embarazadas.</t>
  </si>
  <si>
    <t>Digite zero se não houver planos de incluir mulheres grávidas.</t>
  </si>
  <si>
    <t xml:space="preserve"> أدخل صفرًا إذا لم تكن هناك خطط لتغطية النساء الحوامل.</t>
  </si>
  <si>
    <t>如果不打算包括孕妇，请输入零</t>
  </si>
  <si>
    <t xml:space="preserve">Modalidad de administración 1 </t>
  </si>
  <si>
    <t xml:space="preserve"> طريقة التسليم 1</t>
  </si>
  <si>
    <t>Other Technical Assistance (8.1)</t>
  </si>
  <si>
    <t>Autre assistance technique (8.1)</t>
  </si>
  <si>
    <t>Прочая техническая помощь (8.1)</t>
  </si>
  <si>
    <t>Otra asistencia técnica (8.1)</t>
  </si>
  <si>
    <t>Outra Ajuda Técnica (8.1)</t>
  </si>
  <si>
    <t>المساعدة الفنية الأخرى (8.1)</t>
  </si>
  <si>
    <t>其他技术援助（8.1）</t>
  </si>
  <si>
    <t>B3. International Logistics</t>
  </si>
  <si>
    <t>B5.3 Delivery Modalities</t>
  </si>
  <si>
    <t>B5.2.2 Human Resources (Medium-Variant)</t>
  </si>
  <si>
    <t>B5.2.2 Ressources humaines (variante médiane)</t>
  </si>
  <si>
    <t xml:space="preserve">B5.2.2 Кадровые ресурсы (средний вариант) </t>
  </si>
  <si>
    <t xml:space="preserve"> B5.2.2 Recursos humanos (Variante media)</t>
  </si>
  <si>
    <t>B5.2.2 Recursos Humanos (Variante média)</t>
  </si>
  <si>
    <t>B5.2.2 الموارد البشرية (المتغير الأوسط)</t>
  </si>
  <si>
    <t>B5.2.2 人力资源（中变量）</t>
  </si>
  <si>
    <t>per primary course completed (assumes perfect uptake of 2nd dose; medium variant)</t>
  </si>
  <si>
    <t>per primary course completed (assumes perfect uptake of 2nd dose) excluding vaccines</t>
  </si>
  <si>
    <t>Ensure that there is at least one entry of 1 or more per column</t>
  </si>
  <si>
    <t>Price per person who has completed the primary course</t>
  </si>
  <si>
    <t>HIDDEN FUNCTION</t>
  </si>
  <si>
    <t>Instructions: Please select "YES" if you plan to use RBF for ONE OR MORE of the delivery modalities; Select "NO" if using input-based financing for ALL delivery modalities.</t>
  </si>
  <si>
    <t>B5.3.1 Modalité d'administration 1: sites fixes à stockage au froid</t>
  </si>
  <si>
    <t>B5.3.2 Delivery Modality 2: Campaigns at fixed sites (no cold storage)</t>
  </si>
  <si>
    <t>B5.3.2 Modalité d'administration 2: campagnes dans sites fixes (sans stockage au froid)</t>
  </si>
  <si>
    <t>B5.3.2 Стратегия организации прививок 2: Прививочные кампании в стационарных лечебных учреждениях (в которых не обеспечена возможность холодильного хранения)</t>
  </si>
  <si>
    <t>B5.3.2 Modalidad de administración 2: Campañas en ubicaciones fijas (sin almacenamiento en frío)</t>
  </si>
  <si>
    <t>B5.3.2 Modalidade de Administração 2: Campanhas em Locais Fixos (sem armazenamento frigorífico)</t>
  </si>
  <si>
    <t>B5.3.2 交付模式2：在固定站点（无冷库）的计划接种活动</t>
  </si>
  <si>
    <t>B5.3.3 Delivery Modality 3:  Residential Institution</t>
  </si>
  <si>
    <t>B5.3.3 Modalité d'administration 3: Établissements d'hébergement</t>
  </si>
  <si>
    <t xml:space="preserve"> B5.3.3 Стратегия организации прививок 3:  Учреждения интернатного типа</t>
  </si>
  <si>
    <t>B5.3.3 Modalidad de administración 3:  Institución residencial</t>
  </si>
  <si>
    <t>B5.3.3 Modalidade de Administração 3:  Instituição Residencial</t>
  </si>
  <si>
    <t>B5.3.3 交付模式3：居住式机构</t>
  </si>
  <si>
    <t>B5.3.4 Delivery Modality 4: Outreach and mobile Sites</t>
  </si>
  <si>
    <t>B5.3.4 Modalité d'administration 4: terrain et sites mobiles</t>
  </si>
  <si>
    <t>B5.3.4 Стратегия организации прививок 4: Выездные прививочные сессии и мобильные прививочные пункты</t>
  </si>
  <si>
    <t>B5.3.4 Modalidad de administración 4: Ubicaciones móviles y de extensión</t>
  </si>
  <si>
    <t>B5.3.4 Modalidade de Administração 4: Actividades de Alcance e Locais Móveis</t>
  </si>
  <si>
    <t>B5.3.4 交付模式4：外展和移动站点</t>
  </si>
  <si>
    <t>Instructions: Sélectionner "Oui" si l'on envisage d'utiliser le RBF pour UN OU PLUSIEURS des modes d'administration. Sélectionner "Non" si l'on opte pour ce mode de financement pour TOUS les modes d'administration</t>
  </si>
  <si>
    <t>Инструкции: Выберите "да", если Вы планируете использовать механизм БОР для ОДНОЙ или НЕСКОЛЬКИХ стратегий организации прививок, выберите "Нет", если для ВСЕХ стратегий организации прививок Вы желаете использовать именно этот тип финансирования.</t>
  </si>
  <si>
    <t>Instrucciones: Seleccionar “sí” si se va a utilizar la RBF para UNA o MÁS de las modalidades de administración; seleccionar “No” si se va a utilizar la financiación en base a insumos (IBF) para TODAS las modalidades de administración.</t>
  </si>
  <si>
    <t>Instruções: Seleccione "sim" se planeia usar FBR para UMA OU MAIS das modalidades de administração; Seleccione "Não" se for usar financiamento baseado em insumos para TODAS as modalidades de administração.</t>
  </si>
  <si>
    <t xml:space="preserve"> التعليمات: الرجاء تحديد "نعم" إذا كنت تخطط لاستخدام RBF لطريقة واحدة أو أكثر من طرق التسليم؛ حدد "رقم" في حالة استخدام التمويل المستند إلى مدخلات لجميع طرائق التسليم.
هل ترغب في استخدام التمويل المستند إلى النتائج (RBF) لتسليم الميل الأخير؟</t>
  </si>
  <si>
    <t>说明：如果打算针对一种或多种交付模式采用RBF，请选择“是的”；如果针对所有交付模式都采用基于投入的融资，则选择“不”。</t>
  </si>
  <si>
    <t>TA: Consent protocols</t>
  </si>
  <si>
    <t>AT: Protocoles de consentement</t>
  </si>
  <si>
    <t>ТП: Согласие протоколы</t>
  </si>
  <si>
    <t>AT: Protocolos de consentimiento</t>
  </si>
  <si>
    <t>AT: Protocolos para consentimento</t>
  </si>
  <si>
    <t>المساعدة الفنية TA: بروتوكولات الموافقة</t>
  </si>
  <si>
    <t>TA：有关同意</t>
  </si>
  <si>
    <t>B3. Logistique internationale</t>
  </si>
  <si>
    <t>B3. Международная логистика</t>
  </si>
  <si>
    <t>B3. logística internacional</t>
  </si>
  <si>
    <t>B3. Logística internacional</t>
  </si>
  <si>
    <t>B3. الخدمات اللوجستية الدولية</t>
  </si>
  <si>
    <t>B3。国际物流</t>
  </si>
  <si>
    <t>B5.3 Modalités de livraison</t>
  </si>
  <si>
    <t>B5.3 Модальности доставки</t>
  </si>
  <si>
    <t>B5.3 modalidades de entrega</t>
  </si>
  <si>
    <t>B5.3 Modalidades de entrega</t>
  </si>
  <si>
    <t>B5.3 طرائق التسليم</t>
  </si>
  <si>
    <t>B5.3交付方式</t>
  </si>
  <si>
    <t>Combinaison</t>
  </si>
  <si>
    <t>Assurez-vous qu'il y a au moins une entrée de 1 ou plusieurs par colonne</t>
  </si>
  <si>
    <t>Комбинация</t>
  </si>
  <si>
    <t>Убедитесь, что есть хотя бы одна запись 1 или более на столбцу</t>
  </si>
  <si>
    <t>Combinación</t>
  </si>
  <si>
    <t>Asegúrese de que haya al menos una entrada de 1 o más por columna</t>
  </si>
  <si>
    <t>Combinação</t>
  </si>
  <si>
    <t>Certifique-se de que há pelo menos uma entrada de 1 ou mais por coluna</t>
  </si>
  <si>
    <t>مزيج</t>
  </si>
  <si>
    <t>تأكد من وجود إدخال واحد على الأقل من 1 أو أكثر لكل عمود</t>
  </si>
  <si>
    <t>组合</t>
  </si>
  <si>
    <t>确保每列至少有一个1或更多</t>
  </si>
  <si>
    <t>A2.2.1 Health workers | Delivery Modality 1 (Fixed sites with cold storage) - work-based eligibility</t>
  </si>
  <si>
    <t>A2.2.1 Personnel de santé | Modalité d'administration 1 (sites fixes à stockage au froid): éligibilité à base professionnelle</t>
  </si>
  <si>
    <t>A2.2.1 Работники здравоохранения | Стратегия организации прививок 1 (на базе стационарных лечебных учреждений, в которых обеспечены условия холодильного хранения) - для лиц, которые удовлетворяют критериям вакцинации в связи со своей профессиональной деятельностью</t>
  </si>
  <si>
    <t>A2.2.1 Personal sanitario | Modalidad de administración 1 (Establecimientos fijas con almacenamiento en frío) - elegibilidad en base al trabajo</t>
  </si>
  <si>
    <t>A2.2.1 Trabalhadores da saúde | Modalidade de Administração 1 (Locais fixos com armazenamento frigorífico) – elegibilidade: com base no trabalho</t>
  </si>
  <si>
    <t>A2.2.1 العاملين الصحيين | طريقة التسليم 1 (المواقع الثابتة مع التخزين البارد) - الأهلية على أساس العمل</t>
  </si>
  <si>
    <t>A2.2.1卫生工作者|交付模式1（具有冷库的固定站点）——基于工种的资格标准</t>
  </si>
  <si>
    <t>EXCLUDE Social care workers in residential institutions (see A2.2.3)</t>
  </si>
  <si>
    <t>EXCLURE les travailleurs sociaux des établissements d'hébergement (voir A2.2.3)</t>
  </si>
  <si>
    <t>НЕ ВКЛЮЧАЮТСЯ социальные работники в учреждениях интернатного типа (см. A2.2.3)</t>
  </si>
  <si>
    <t>EXCLUIR Personal de cuidados sociales en instituciones residenciales (ver A2.2.3)</t>
  </si>
  <si>
    <t>EXCLUA Assistentes sociais em instituições residenciais (ver A2.2.3)</t>
  </si>
  <si>
    <t>استثناء العاملين في مجال الرعاية الاجتماعية في المؤسسات السكنية (انظر A2.2.3)</t>
  </si>
  <si>
    <t>排除在居住式机构工作的社会关怀工作人员（见A2.2.3）</t>
  </si>
  <si>
    <t>A2.2.2 Essential workers and related groups | Delivery Modality 1 and/or 2 (Fixed 'campaign' sites without cold storage) - work-based eligibility</t>
  </si>
  <si>
    <t>A2.2.2 Travailleurs essentiel et catégories apparentées | Modalité d'administration 1 et/ou 2 (sites fixes de terrain sans stockage au froid): éligibilité à base professionnelle</t>
  </si>
  <si>
    <t>A2.2.2 Работники важнейших отраслей и связанные с ними группы |Стратегия организации прививок 1 и/или 2 (прививочные кампании на базе стационарных учреждений, не оборудованных условиями холодильного хранения) - для лиц, которые удовлетворяют критериям вакцинации в связи со своей профессиональной деятельностью</t>
  </si>
  <si>
    <t>A2.2.2 Trabajadores esenciales y grupos relacionados | Modalidad de administración 1 y/o 2 (Ubicaciones "de campaña" fijas sin almacenamiento en frío) - elegibilidad en base al trabajo</t>
  </si>
  <si>
    <t>A2.2.2 Trabalhadores essenciais e grupos relacionados | Modalidade de Administração 1 e/ou 2 (locais fixos de "campanha" sem armazenamento frigorífico) – elegibilidade com base no trabalho</t>
  </si>
  <si>
    <t>A2.2.2 العاملون الأساسيون والمجموعات ذات الصلة | طريقة التسليم 1 و / أو 2 (مواقع "الحملة" الثابتة بدون التخزين البارد) - الأهلية على أساس العمل</t>
  </si>
  <si>
    <t>A2.2.2必要工作者和相关群体|交付模式1和/或2（没有冷库的固定“计划活动”站点）——基于工种的资格标准</t>
  </si>
  <si>
    <t>EXCLUDE Older adults (see A2.2.3)</t>
  </si>
  <si>
    <t>EXCLURE les personnes d'un certain âge (voir A2.2.3)</t>
  </si>
  <si>
    <t>НЕ ВКЛЮЧАЮТСЯ лица пожилого возраста (см. A2.2.3)</t>
  </si>
  <si>
    <t>EXCLUIR Adultos mayores (ver A2.2.3)</t>
  </si>
  <si>
    <t>EXCLUA idosos (ver A2.2.3)</t>
  </si>
  <si>
    <t>استثناء كبار السن (انظر A2.2.3)</t>
  </si>
  <si>
    <t>排除老年人（见A2.2.3）</t>
  </si>
  <si>
    <t>A2.2.3 Older adults defined by age-based risk specific to country/region; specific age cut-off to be decided at the country level | Delivery Modality 1, 2, 3 (Residential Institutions), and/or 4 (Multi-day outreach) - voluntary eligibility</t>
  </si>
  <si>
    <t>A2.2.3: Personnes d'un certain âge définies par un risque fondé sur l'âge, spécifique au pays/à la région; on décidera des limites d'âge au niveau des pays | Modalité d'administration 1, 2, 3 (établissements d'hébergement) et/ou 4 (terrain, sur plusieurs jours): éligibilité volontaire</t>
  </si>
  <si>
    <t>A2.2.3 Лица пожилого возраста, круг которых определяется на основании возрастного критерия риска, специфичного для страны/региона; конкретный возрастной порог подлежит определению на уровне стран | Стратегия организации прививок 1 , 2, 3 (на базе учреждений интернатного типа), и /или 4 (в рамках многодневных выездных прививочных сессий) - добровольная вакцинация для лиц, удовлетворяющих критериям</t>
  </si>
  <si>
    <t xml:space="preserve"> A2.2.3 Adultos mayores definidos por riesgo basado en la edad, en función del país/región; límite de edad específico a decidir por el país | Modalidad de administración 1, 2, 3 (Instituciones residenciales) y/o 4 (extensión en múltiples días) - elegibilidad voluntaria</t>
  </si>
  <si>
    <t>A2.2.3 Idosos definidos por risco baseado na idade específico do país/região; limite de idade específico a ser decidido a nível do país | Modalidade de Administração 1, 2, 3 (Instituições Residenciais) e/ou 4 (actividades de alcance em múltiplos dias) – elegibilidade: voluntário</t>
  </si>
  <si>
    <t>A2.2.3 كبار السن المحددين حسب المخاطر القائمة على العمر الخاصة بالبلد / المنطقة؛ يحدد العمر الفاصل الزمني المحدد على مستوى البلد | طريقة التسليم 1 و 2 و 3 (المؤسسات السكنية) و / أو 4 (التواصل متعدد الأيام) - الأهلية الطوعية</t>
  </si>
  <si>
    <t>A2.2.3根据具体国家/区域的年龄相关风险定义的老年人；具体年龄段由国家一级决定| 交付模式1、2、3（居住式机构）和/或4（多日外展接种活动）——自愿接种</t>
  </si>
  <si>
    <t>Do you wish to vaccinate household members of older adults AND those with underlying health conditions (A2.2.5)?</t>
  </si>
  <si>
    <t>Souhaitez-vous vacciner les membres du foyer des personnes d'un certain âge ET ceux qui sont atteints de comorbidités (A2.2.5)?</t>
  </si>
  <si>
    <t>Вы желаете вакцинировать лиц, проживающих в одном домохозяйстве с лицами пожилого возраста, И с лицами, имеющими сопутствующие заболевания (A2.2.5)?</t>
  </si>
  <si>
    <t>¿Se quiere vacunar a convivientes de adultos mayores Y a los que tienen condiciones de salud subyacentes (A2.2.5)?</t>
  </si>
  <si>
    <t>Deseja vacinar os membros da família de idosos E aqueles com patologias médicas subjacentes (A2.2.5)?</t>
  </si>
  <si>
    <t>هل ترغب في تطعيم أفراد الأسرة من كبار السن والأشخاص الذين يعانون من ظروف صحية أساسية (A2.2.5)؟</t>
  </si>
  <si>
    <t>是否希望为老年人以及伴有潜在健康问题个人的家庭成员接种疫苗（A2.2.5）？</t>
  </si>
  <si>
    <t>Among those living in easier-to-reach communities, what percent of the "Older adults" and other high risk groups [A2.2.5] live or work near fixed sites with cold storage?</t>
  </si>
  <si>
    <t>Delivery Modality 1 vs 2. Note: For older adults reached by Delivery Modality 4, please see [A2.2.4 Question 4]</t>
  </si>
  <si>
    <t>Parmi ceux vivant dans des communautés d'accès facile, quel pourcentage de personnes d'un certain âge et d'autres catégories à haut risque [A2.2.5] vivent ou travaillent près de sites fixes avec stockage au froid?</t>
  </si>
  <si>
    <t>Modalité d'administration 1 vs 2. NB: Pour les personnes d'un certain âge à Modalité d'administration 4, voir [A2.2.4 question 4]</t>
  </si>
  <si>
    <t xml:space="preserve">Для сообществ, проживающих в легкодоступных территориях, какой процент "лиц пожилого возраста" и других групп высокого риска [A2.2.5], проживает вблизи стационарных лечебных учреждений, в которых обеспечены условия холодильного хранения? </t>
  </si>
  <si>
    <t>Стратегия организации прививок 1 и 2. Примечание: Для лиц пожилого возраста, охваченных стратегией организации прививок 4, см. [A2.2.4 Вопрос  4]</t>
  </si>
  <si>
    <t>Entre los que viven en comunidades de más fácil acceso, ¿qué porcentaje de los "adultos mayores" y otros grupos de alto riesgo [A2.2.5] viven o trabajan cerca de establecimientos fijos con almacenamiento en frío?</t>
  </si>
  <si>
    <t>Modalidad de administración 1 frente a 2. Nota: Para adultos mayores de Modalidad de administración 4, ver [A2.2.4 Pregunta 4]</t>
  </si>
  <si>
    <t>Entre aqueles que vivem em comunidades de fácil acesso, qual percentagem dos "Idosos" e outros grupos de alto risco [A2.2.5] vive ou trabalha perto de locais fixos com armazenamento frigorífico?</t>
  </si>
  <si>
    <t>Modalidade de Administração 1 x 2. Nota: Para idosos alcançados pela Modalidade de Administração 4, queira ver [A2.2.4 Pergunta 4].</t>
  </si>
  <si>
    <t>من بين أولئك الذين يعيشون في مجتمعات يسهل الوصول إليها، ما هي نسبة "كبار السن" وغيرهم من الفئات المعرضة للخطر [A2.2.5] الذين يعيشون أو يعملون بالقرب من مواقع ثابتة لديها تسهيلات تخزين بارد؟</t>
  </si>
  <si>
    <t>طريقة التسليم 1 مقابل 2. ملاحظة: بالنسبة لكبار السن الذين تم الوصول إليهم عن طريق طريقة التسليم 4 ، يرجى الاطلاع على [A2.2.4 سؤال 4]</t>
  </si>
  <si>
    <t>就居住在交通便利社区中的人口而言，“老年人”和其他高风险人群[A2.2.5]在拥有冷库的固定站点附近生活或工作的百分比？</t>
  </si>
  <si>
    <t>交付模式1与2对比。注释：有关采取交付模式4触及的老年人，请见[A2.2.4 第4个问题]</t>
  </si>
  <si>
    <t>A2.2.4 Sociodemographic groups at significantly higher risk of severe disease or death | Delivery Modality 1, 2, 3, and/or 4 - voluntary eligibility</t>
  </si>
  <si>
    <t>A2.2.4 Catégories socioprofessionnelles à risque nettement plus élevé de maladie grave ou mort | Modalité d'administration 1, 2, 3, et/ou 4 : éligibilité volontaire</t>
  </si>
  <si>
    <t>A2.2.4 Социально-демографические группы населения со значительно более высоким риском тяжелого течения заболевания или летального исхода | Стратегия организации прививок 1, 2, 3, и/или 4 - добровольная вакцинация для лиц, удовлетворяющих критериям</t>
  </si>
  <si>
    <t>A2.2.4 Grupos sociodemográficos con riesgo significativamente más alto de enfermedad grave o muerte |Modalidad de administración 1, 2, 3 y/o 4 - elegibilidad voluntaria</t>
  </si>
  <si>
    <t>A2.2.4 Grupos sociodemográficos com risco significativamente maior de doença grave ou morte | Modalidade de Administração 1, 2, 3 e/ou 4 – elegibilidade: voluntário</t>
  </si>
  <si>
    <t>A2.2.4 المجموعات الاجتماعية الديموغرافية المعرضة بشكل ملحوظ لخطر الإصابة بأمراض وخيمة أو الوفاة | طريقة التسليم 1 و 2 و 3 و / أو 4 - الأهلية الطوعية</t>
  </si>
  <si>
    <t>A2.2.4 患严重疾病或死亡风险显著增高的社会人口统计人群 | 交付模式1、2、3、和/或4——自愿接种</t>
  </si>
  <si>
    <t>За исключением лиц пожилого возраста (см. A2.2.3).</t>
  </si>
  <si>
    <t>Max 10%; Note: Will use the same DM1 to DM2 proportion as A2.2.3</t>
  </si>
  <si>
    <t>Max 10%. NB: Même proportion Modalité d'administration 1/Modalité d'administration 2 que pour A2.2.3</t>
  </si>
  <si>
    <t>Максимально 10%; Примечание: используется аналогичное соотношение СП1 к СП 2 как для A2.2.3</t>
  </si>
  <si>
    <t>Max 10%; Nota: Se utilizará la misma proporción de MA1 a MA2 que A2.2.3</t>
  </si>
  <si>
    <t>Máx. 10%; Nota: Utilizará a mesma proporção de MA1 para MA2 que A2.2.3</t>
  </si>
  <si>
    <t>10٪ كحد أقصى؛ ملاحظة: سيتم استخدام نفس نسبة DM1 إلى DM2 مثل A2.2.3</t>
  </si>
  <si>
    <t>最高10%；注释：将使用与A2.2.3相同的DM1与DM2的比例</t>
  </si>
  <si>
    <t>A2.2.5 Groups with comorbidities or health states determined to be at significantly higher risk of severe disease or death | Delivery Modality 1, 2, 3, and/or 4 - voluntary eligibility</t>
  </si>
  <si>
    <t xml:space="preserve">A2.2.5 Catégories à comorbidités ou états de santé à risque perçu comme nettement plus élevé de maladie grave ou de mort | Modalité d'administration 1, 2, 3 et/ou 4: éligibilité volontaire </t>
  </si>
  <si>
    <t>A2.2.5 Группы лиц, которые страдают сопутствующими заболеваниями или расстройствами здоровья, в связи с которыми они затронуты крайне высоким риском тяжелого течения заболевания или летального исхода | Стратегия организации прививок 1, 2, 3, и/или 4 - добровольная вакцинация для лиц, удовлетворяющих критериям</t>
  </si>
  <si>
    <t>A2.2.5 Grupos con comorbilidades o condiciones de salud con riesgo significativamente más alto de enfermedad grave o muerte | Modalidad de administración 1, 2, 3 y/o 4 - elegibilidad voluntaria</t>
  </si>
  <si>
    <t>A2.2.5 Grupos com comorbilidades ou estados de saúde definidos como de risco significativamente maior de doenças graves ou morte | Modalidade de Administração 1, 2, 3 e/ou 4 – elegibilidade: voluntário</t>
  </si>
  <si>
    <t>A2.2.5 المجموعات المصابة بأمراض مصاحبة أو بحالات صحية تم تحديدها على أنها معرضة بشكل كبير لخطر الإصابة بمرض شديد أو الوفاة | طريقة التسليم 1 و 2 و 3 و / أو 4 - الأهلية الطوعية</t>
  </si>
  <si>
    <t>A2.2.5 合并症患者或其健康状况被认为患严重疾病或死亡风险显著增高的群体 | 交付模式1、2、3、和/或4——自愿接种</t>
  </si>
  <si>
    <t>EXCLUDE Older adults (see A2.2.3) and pregnant women</t>
  </si>
  <si>
    <t>EXCLURE les personnes d'un certain âge (voir A2.2.3) et les femmes enceintes</t>
  </si>
  <si>
    <t>За исключением лиц пожилого возраста (см. A2.2.3) и беременных женщин</t>
  </si>
  <si>
    <t xml:space="preserve"> EXCLUIR Adultos mayores (ver A2.2.3) y mujeres embarazadas</t>
  </si>
  <si>
    <t>EXCLUA Idosos (ver A2.2.3) e mulheres grávidas</t>
  </si>
  <si>
    <t>استثناء كبار السن (انظر A2.2.3) والنساء الحوامل</t>
  </si>
  <si>
    <t>排除老年人（见A2.2.3）和孕妇</t>
  </si>
  <si>
    <t>[A2.2.1]</t>
  </si>
  <si>
    <t xml:space="preserve"> [A2.2.1]</t>
  </si>
  <si>
    <t>[A2.2.2]</t>
  </si>
  <si>
    <t xml:space="preserve"> [A2.2.2]</t>
  </si>
  <si>
    <t>[A2.2.3]</t>
  </si>
  <si>
    <t xml:space="preserve"> [A2.2.3]</t>
  </si>
  <si>
    <t>[A2.2.4]</t>
  </si>
  <si>
    <t xml:space="preserve"> [A2.2.4]</t>
  </si>
  <si>
    <t>[A2.2.5]</t>
  </si>
  <si>
    <t xml:space="preserve"> [A2.2.5]</t>
  </si>
  <si>
    <t>B1.2.1 Sites to visit in a time period (FYI only)</t>
  </si>
  <si>
    <t>B1.2.1 Sites à visiter pendant une période (pour info uniquement)</t>
  </si>
  <si>
    <t>B1.2.1 Прививочные пункты, которые следует посетить в определенный временной период (только для информации)</t>
  </si>
  <si>
    <t xml:space="preserve"> B1.2.1 Ubicaciones a visitar en un periodo (a efectos informativos únicamente)</t>
  </si>
  <si>
    <t>B1.2.1 Locais a visitar num período de tempo (só para informação)</t>
  </si>
  <si>
    <t>B1.2.1 مواقع يجب زيارتها في فترة زمنية (لمعلوماتك فقط)</t>
  </si>
  <si>
    <t>B1.2.1 在时间段内要访问的站点（仅供参考）</t>
  </si>
  <si>
    <t>B2.1</t>
  </si>
  <si>
    <t>T1.1 Vaccine Combinations (2-dose primary course, refrigerated vaccines only)</t>
  </si>
  <si>
    <t>T1.1 Combinaisons de vaccins (cours primaire à 2 doses, vaccins réfrigérés uniquement)</t>
  </si>
  <si>
    <t>T1.1 Вакцинные комбинации (2-доза первичный курс, только холодильные вакцины)</t>
  </si>
  <si>
    <t>T1.1 Combinaciones de vacunas (Curso Primaria de 2 dosis, Vacunas refrigeradas solamente)</t>
  </si>
  <si>
    <t>T1.1 Combinações de vacinas (Curso primário de 2 dose, apenas vacinas refrigeradas)</t>
  </si>
  <si>
    <t>T1.1 مجموعات اللقاحات (دورة أساسية مزدوجة الجرعة، اللقاحات المبردة فقط)</t>
  </si>
  <si>
    <t>T1.1疫苗组合（仅2剂初级课程，仅限冷藏疫苗）</t>
  </si>
  <si>
    <t>B5.3.1 Delivery Modality 1: Fixed sites with cold-storage</t>
  </si>
  <si>
    <t>Instructions: Version 2.3 of the CVIC tool allows for a combination of multiple vaccine types to be used in each delivery modality, as long as these vaccines have similar specifications (i.e., storage requirement for all vaccines is refrigeration at 2-8C and a primary course is two doses). These combinations (A to D) can be constituted from the list of suitable vaccines listed below which have been automatically generated from the vaccine database and user-defined vaccines. Please enter a whole number greater than 0, which represents the share of each vaccine type towards each combination. This share can be represented as, for example, a percentage (totalling 100) or the number of doses contributed by each vaccine type.</t>
  </si>
  <si>
    <t>التعليمات: يسمح الإصدار 2.3 من أداة CVIC بمجموعة من أنواع اللقاح المتعددة التي سيتم استخدامها في كل طريقة تسليم، طالما أن هذه اللقاحات لها مواصفات مماثلة (IE، متطلبات التخزين لجميع اللقاحات هي التبريد في 2-8C ودورة أساسية هو جرعتان). يمكن تشكيل هذه المجموعات (A إلى D) من قائمة اللقاحات المناسبة المدرجة أدناه والتي تم إنشاؤها تلقائيا من قاعدة بيانات اللقاحات وقاحات المعرفة من قبل المستخدم. الرجاء إدخال رقم كامل أكبر من 0، والذي يمثل حصة كل نوع لقاح نحو كل مجموعة. يمكن تمثيل هذه المشاركة، على سبيل المثال، نسبة مئوية (مجموعها 100) أو عدد الجرعات التي ساهم بها كل نوع لقاح.</t>
  </si>
  <si>
    <t>Instructions: Training and deployment costs can be specified at the local (service point) level here and/or can be specified under central costs.  This can be used for local level training, recruitment, credentialing, and other costs such as uniforms other items required by each vaccinator. If the training program is delivered centrally - e.g. through a digital learning mechanism - and does not involve the local level, cost training from a central level (A4.1.06)</t>
  </si>
  <si>
    <t>Instructions: Les coûts de formation et de déploiement peuvent être spécifiés au niveau local (point de service) ici et/ou peuvent être spécifiés sous les coûts centraux. Peut servir pour la formation au niveau local, le recrutement, l'accréditation et d'autres coûts comme les uniformes et autres fournitures requises par chaque vaccinateur. Si le programme de formation est centralisé, par ex. par un mécanisme d'apprentissage en ligne, et non au niveau local, enregistrer les coûts au niveau central (feuille A4.1.06)</t>
  </si>
  <si>
    <t>Инструкции: Затраты на подготовку и размещение персонала можно указать для местного уровня (для уровня предоставления услуг иммунизации) здесь, и/или они могут быть указаны в разделе централизованно покрываемых расходов.  Это касается затрат на подготовку персонала на местном уровне, найма, аттестации и других расходов, например на покупку униформы и прочих индивидуальных предметов, необходимых для вакцинаторов. Если же программа подготовки реализуется централизованно - например, через использование механизма дистанционного обучения - и не включает реализацию мероприятий на местном уровне, расходы на подготовку персонала следует отнести к централизованно покрываемым расходам (A4.1.06).</t>
  </si>
  <si>
    <t>Instrucciones: Los costes de formación y despliegue se pueden especificar aquí a nivel local (punto de prestación de servicio) y/o especificar bajo costes centrales. Esto se puede utilizar para costes locales de formación, contratación, acreditación y otros costes como uniformes u otros artículos que precise cada vacunador. Si el programa de formación se imparte a nivel central, por ejemplo mediante un mecanismo de aprendizaje digital,  y no implica al nivel local, estimar los costes de formación a nivel central (A4.1.06).</t>
  </si>
  <si>
    <t>Instruções: Os custos de formação e afectação podem ser especificados a nível local (ponto de serviço) aqui e/ou podem ser especificados sob custos centrais.  Isto pode ser usado para formação a nível local, recrutamento, credenciamento e outros custos, tais como uniformes, outros itens necessários para cada vacinador. Se o programa de formação for ministrado de forma centralizada – por exemplo, através de um mecanismo de aprendizagem digital – e não envolver o nível local, calcule os custos da formação a partir de um nível central (A4.1.06)</t>
  </si>
  <si>
    <t>التعليمات: يمكن تحديد تكاليف التدريب والنشر على المستوى المحلي (نقطة الخدمة) هنا و / أو يمكن تحديدها ضمن التكاليف المركزية. يمكن استخدام هذا للتدريب على المستوى المحلي، والتوظيف، واعتماد المصادقة، والتكاليف الأخرى مثل الزي الرسمي، العناصر الأخرى التي يطلبها كل من يقوم بالتطعيم. إذا تم تقديم برنامج التدريب مركزيًا - على سبيل المثال من خلال آلية التعلم الرقمية - ولا يتضمن المستوى المحلي، وتكلفة التدريب من المستوى المركزي (A4.1.06)</t>
  </si>
  <si>
    <t>说明：可在这里的本地（服务点）层次注明培训和部署成本，和/或在中央成本下注明。此成本可包括本地培训、招募、资历证明以及其他费用，例如每位疫苗接种者所需要的制服和其他物品。如果集中开展培训计划，例如通过数码学习机制，且不涉及本地，则应将培训成本纳入中央成本（A4.1.06）</t>
  </si>
  <si>
    <t>A4.1.01 Planning and Coordination</t>
  </si>
  <si>
    <t>A4.1.01 Planification et coordination</t>
  </si>
  <si>
    <t>A4.1.01 Планирование и координация действий</t>
  </si>
  <si>
    <t>A4.1.01 Planificación y coordinación</t>
  </si>
  <si>
    <t>A4.1.01 Planeamento e Coordenação</t>
  </si>
  <si>
    <t xml:space="preserve"> A4.1.01 التخطيط والتنسيق</t>
  </si>
  <si>
    <t>A4.1.01 规划与协调</t>
  </si>
  <si>
    <t>A4.1.02 Budgeting</t>
  </si>
  <si>
    <t>A4.1.02 Budgétisation</t>
  </si>
  <si>
    <t>A4.1.02 Бюджетирование</t>
  </si>
  <si>
    <t>A4.1.02 Presupuestos</t>
  </si>
  <si>
    <t>A4.1.02 Elaboração do Orçamento</t>
  </si>
  <si>
    <t>A4.1.02 الميزانية</t>
  </si>
  <si>
    <t>A4.1.02 预算</t>
  </si>
  <si>
    <t>A4.1.03 Regulatory</t>
  </si>
  <si>
    <t>A4.1.03 Réglementation</t>
  </si>
  <si>
    <t>A4.1.03 Регуляторные аспекты</t>
  </si>
  <si>
    <t>A4.1.03 Normativos</t>
  </si>
  <si>
    <t>A4.1.03 Regulamenção</t>
  </si>
  <si>
    <t>A4.1.03 التنظيمي</t>
  </si>
  <si>
    <t>A4.1.03 监管</t>
  </si>
  <si>
    <t>A4.1.04 Prioritization, Targeting, and Covid-19 Surveillance</t>
  </si>
  <si>
    <t>A4.1.04 Priorisation, ciblage et surveillance de la COVID-19</t>
  </si>
  <si>
    <t>A4.1.04 Определение приоритетного порядка вакцинации, определение целевых групп, эпиднадзор за COVID-19</t>
  </si>
  <si>
    <t xml:space="preserve"> A4.1.04 Priorización, orientación y vigilancia de la Covid-19</t>
  </si>
  <si>
    <t>A4.1.04 Priorização, Direccionamento e Farmacovigilância da Covid-19</t>
  </si>
  <si>
    <t>A4.1.04 تحديد الأولويات والاستهداف ومراقبة كوفيد-19</t>
  </si>
  <si>
    <t>A4.1.04 优先安排、有的放矢和Covid-19监测</t>
  </si>
  <si>
    <t>A4.1.05 Service Delivery</t>
  </si>
  <si>
    <t>A4.1.05 Prestation de services</t>
  </si>
  <si>
    <t xml:space="preserve">A4.1.05 Предоставление услуг </t>
  </si>
  <si>
    <t>A4.1.05 Prestación de los servicios</t>
  </si>
  <si>
    <t>A4.1.05 Prestação de Serviços</t>
  </si>
  <si>
    <t xml:space="preserve"> A4.1.05 تقديم الخدمة</t>
  </si>
  <si>
    <t>A4.1.05 服务交付</t>
  </si>
  <si>
    <t>A4.1.06 Training &amp; Supervision</t>
  </si>
  <si>
    <t>A4.1.06 Formation et supervision</t>
  </si>
  <si>
    <t>A4.1.06 Подготовка и контроль исполнения</t>
  </si>
  <si>
    <t>A4.1.06 Formación y supervisión</t>
  </si>
  <si>
    <t>A4.1.06 Formação e Supervisão</t>
  </si>
  <si>
    <t>A4.1.06 التدريب والإشراف</t>
  </si>
  <si>
    <t>A4.1.06 培训与监督</t>
  </si>
  <si>
    <t>A4.1.07 Monitoring and Evaluation</t>
  </si>
  <si>
    <t>A4.1.07 Suivi-évaluation</t>
  </si>
  <si>
    <t xml:space="preserve">A4.1.07 Мониторинг и оценка </t>
  </si>
  <si>
    <t>A4.1.07 Seguimiento y evaluación</t>
  </si>
  <si>
    <t>A4.1.07 Monitorização e Avaliação</t>
  </si>
  <si>
    <t>A4.1.07 المراقبة والتقييم</t>
  </si>
  <si>
    <t>A4.1.07 监控与评价</t>
  </si>
  <si>
    <t>A4.1.08 Vaccine Procurement, Cold chain, Logistics, and Infrastructure</t>
  </si>
  <si>
    <t>A4.1.08 Vaccin, chaîne du froid, logistique et infrastructure</t>
  </si>
  <si>
    <t xml:space="preserve">A4.1.08 Вакцины, холодовая цепь, логистика и инфраструктура </t>
  </si>
  <si>
    <t>A4.1.08 Vacuna, cadena de frío, logística e infraestructura</t>
  </si>
  <si>
    <t>A4.1.08 Vacina, Cadeia de Frio, Logística e Infra-estrutura</t>
  </si>
  <si>
    <t xml:space="preserve"> A4.1.08  اللقاح وسلسلة البرودة والخدمات اللوجستية والبنية التحتية</t>
  </si>
  <si>
    <t>A4.1.08 疫苗、冷链、物流和基础设施</t>
  </si>
  <si>
    <t>A4.1.09 Vaccine Safety Surveillance</t>
  </si>
  <si>
    <t>A4.1.09 Surveillance de la sécurité des vaccins</t>
  </si>
  <si>
    <t xml:space="preserve"> A4.1.09 Эпиднадзор за безопасностью вакцин</t>
  </si>
  <si>
    <t>A4.1.09 Vigilancia de la securidad de la vacuna</t>
  </si>
  <si>
    <t>A4.1.09 Farmacovigilância de Segurança das Vacinas</t>
  </si>
  <si>
    <t>A4.1.09 مراقبة سلامة اللقاح</t>
  </si>
  <si>
    <t>A4.1.09 疫苗安全监测</t>
  </si>
  <si>
    <t>Vaccine Safety Surveillance (A4.1.09) and No Fault Compensation Fund</t>
  </si>
  <si>
    <t>A4.1.07 Central Operational Expenditures</t>
  </si>
  <si>
    <t>A4.1.07 Dépenses de fonctionnement centrales</t>
  </si>
  <si>
    <t xml:space="preserve">A4.1.07 Централизованно покрываемые операционные расходы </t>
  </si>
  <si>
    <t>A4.1.07 Gastos operativos de base central</t>
  </si>
  <si>
    <t>A4.1.07 Despesas Operacionais Centrais</t>
  </si>
  <si>
    <t>A4.1.07 نفقات التشغيل المركزية</t>
  </si>
  <si>
    <t>A4.1.07中央运营支出</t>
  </si>
  <si>
    <t>A4.1.10 Demand Generation and Communications</t>
  </si>
  <si>
    <t>A4.1.10 Génération de la demande et communication</t>
  </si>
  <si>
    <t xml:space="preserve"> A4.1.10 Формирование спроса на вакцину и осуществление информационного взаимодействия по вопросам вакцинации</t>
  </si>
  <si>
    <t>A4.1.10 Generación de demanda y comunicación</t>
  </si>
  <si>
    <t>A4.1.10 Geração de Procura e Comunicações</t>
  </si>
  <si>
    <t>A4.1.10 إنشاء الطلب والاتصالات</t>
  </si>
  <si>
    <t>A4.1.10 需求生成与沟通</t>
  </si>
  <si>
    <t>A4.1.10 Central Operational Expenditures</t>
  </si>
  <si>
    <t>A4.1.10 Dépenses de fonctionnement centrales</t>
  </si>
  <si>
    <t xml:space="preserve">A4.1.10 Централизованно покрываемые операционные расходы </t>
  </si>
  <si>
    <t>A4.1.10 Gastos operativos en base central</t>
  </si>
  <si>
    <t>A4.1.10 Despesas Operacionais Centrais</t>
  </si>
  <si>
    <t>A4.1.10 نفقات التشغيل المركزية</t>
  </si>
  <si>
    <t>A4.1.10中央运营支出</t>
  </si>
  <si>
    <t>A4.1.11 Opportunistic co-delivery of essential health services</t>
  </si>
  <si>
    <t>A4.1.11 Fourniture concomitante opportuniste d'autres services de santé essentiels</t>
  </si>
  <si>
    <t xml:space="preserve">A4.1.11 Использование возможностей, связанных с вакцинацией против COVID-19,  для одновременного предоставления иных важнейших услуг здравоохранения </t>
  </si>
  <si>
    <t xml:space="preserve"> A4.1.11 Prestación conjunta oportunista de servicios de salud esenciales </t>
  </si>
  <si>
    <t>A4.1.11 Prestação concomitante oportunista de serviços essenciais de saúde</t>
  </si>
  <si>
    <t>A4.1.11 الفرصة للمشاركة في تقديم الخدمات الصحية الأساسية</t>
  </si>
  <si>
    <t>A4.1.11 利用机会同时提供基本卫生服务</t>
  </si>
  <si>
    <t>Note: Mapped to R2.1.4.2 Waste Management</t>
  </si>
  <si>
    <t>NB: Associé à R2.1.4.2 Gestion des déchets</t>
  </si>
  <si>
    <t>Примечание: Увязано с R2.1.4.2 Управление отходами</t>
  </si>
  <si>
    <t>Nota: Mapeado a R2.1.4.2 Gestión de residuos</t>
  </si>
  <si>
    <t>ملاحظة: تعيين إلى R2.1.4.2 إدارة النفايات</t>
  </si>
  <si>
    <t>Note: Mapped to R2.1.6.2 Data Management</t>
  </si>
  <si>
    <t>NB: Associé à R2.1.6.2 Gestion des données</t>
  </si>
  <si>
    <t>Примечание: Увязано с R2.1.6.2 Управление данными</t>
  </si>
  <si>
    <t>Nota: Mapeado a R2.1.6.2 Gestión de datos</t>
  </si>
  <si>
    <t>ملاحظة: تعيين إلى R2.1.6.2 إدارة البيانات</t>
  </si>
  <si>
    <t>Note: Mapped to R2.1.7.3 No Fault Compensation</t>
  </si>
  <si>
    <t>NB: Associé à R2.1.7.3 Indemnisation hors faute</t>
  </si>
  <si>
    <t>Примечание: Увязано с R2.1.7.3 Выплата компенсаций без вины</t>
  </si>
  <si>
    <t>Nota: Mapeado a R2.1.7.3 Indemnización sin culpa</t>
  </si>
  <si>
    <t>ملاحظة: تعيين إلى R2.1.7.3 تعويض لعدم وجود خطأ</t>
  </si>
  <si>
    <t>R2.1.5冷链</t>
  </si>
  <si>
    <t>注释：映射到R2.1.4.2废弃物管理</t>
  </si>
  <si>
    <t>注释：映射到R2.1.6.2数据管理</t>
  </si>
  <si>
    <t>注释：映射到R2.1.7.3无过失赔偿</t>
  </si>
  <si>
    <t>R2.1.1 Cross-cutting Technical Assistance (TA) for Planning, Coordination and Delivery</t>
  </si>
  <si>
    <t>R2.1.1 Planification, coordination et administration: assistance technique (AT)</t>
  </si>
  <si>
    <t xml:space="preserve">R2.1.1 Планирование, координация и организация вакцинации: техническая помощь </t>
  </si>
  <si>
    <t>R2.1.1 Planificación, Coordinación y Administración: Asistencia técnica</t>
  </si>
  <si>
    <t>R2.1.1 Planeamento, Coordenação e Entrega: Ajuda Técnica</t>
  </si>
  <si>
    <t>R2.1.1 التخطيط والتنسيق والتسليم: المساعدة الفنية</t>
  </si>
  <si>
    <t>R2.1.1 规划、协调和交付：技术援助</t>
  </si>
  <si>
    <t>R2.1.2 Vaccine Doses and Related Devices &amp; Supplies</t>
  </si>
  <si>
    <t>R2.1.2 Doses de vaccin, fournitures et dispositifs correspondants</t>
  </si>
  <si>
    <t>R2.1.2 Дозы вакцин, устройства для введения вакцин и расходные материалы для вакцинации</t>
  </si>
  <si>
    <t>R2.1.2 Dosis de vacuna y dispositivos y suministros auxiliares</t>
  </si>
  <si>
    <t>R2.1.2 Doses da vacina e dispositivos e suprimentos relacionados</t>
  </si>
  <si>
    <t>R2.1.2 جرعات اللقاح والأجهزة والتجهيزات ذات الصلة</t>
  </si>
  <si>
    <t>R2.1.2 疫苗剂数及相关设备和用品</t>
  </si>
  <si>
    <t>R2.1.3 Vaccinators</t>
  </si>
  <si>
    <t>R2.1.3 vaccinateurs</t>
  </si>
  <si>
    <t>R2.1.3 Вакцинаторы</t>
  </si>
  <si>
    <t>R2.1.3 Los vacunadores</t>
  </si>
  <si>
    <t>R2.1.3 Os vacinadores</t>
  </si>
  <si>
    <t>R2.1.3 التلقيح</t>
  </si>
  <si>
    <t>R2.1.3确定接种</t>
  </si>
  <si>
    <t>R2.1.4 Vaccination Delivery</t>
  </si>
  <si>
    <t>R2.1.4 Administration des vaccins</t>
  </si>
  <si>
    <t xml:space="preserve">R2.1.4 Организация вакцинации </t>
  </si>
  <si>
    <t>R2.1.4 Administración de la vacunación</t>
  </si>
  <si>
    <t>R2.1.4 Administração da Vacina</t>
  </si>
  <si>
    <t>R2.1.4 تسليم التطعيم</t>
  </si>
  <si>
    <t>R2.1.4 疫苗交付</t>
  </si>
  <si>
    <t>Note: Mapped to R2.1.5 Supply Chain including Cold Chain</t>
  </si>
  <si>
    <t>NB: Associé à R2.1.5 Chaîne d'approvisionnement y compris chaîne du froid</t>
  </si>
  <si>
    <t>Примечание: Увязано с R2.1.5 Цепь поставки, включая холодовую цепь</t>
  </si>
  <si>
    <t>Nota: Mapeado a R2.1.5 Cadena de suministro incluyendo cadena de frío</t>
  </si>
  <si>
    <t>ملاحظة: تعيين إلى R2.1.5 سلسلة التوريد بما في ذلك سلسلة تبريد</t>
  </si>
  <si>
    <t>注释：映射到R2.1.5供应链，包括冷链</t>
  </si>
  <si>
    <t>R2.1.5 Cold Chain</t>
  </si>
  <si>
    <t>R2.1.5 Chaîne du froid</t>
  </si>
  <si>
    <t>R2.1.5 холодовой цепи</t>
  </si>
  <si>
    <t>R2.1.5 Cadena de Frío</t>
  </si>
  <si>
    <t>R2.1.5 Cadeia de Frio</t>
  </si>
  <si>
    <t>R2.1.5 سلسلة الباردة</t>
  </si>
  <si>
    <t>R2.1.6 Data Management, Monitoring &amp; Evaluation, and Oversight</t>
  </si>
  <si>
    <t>R2.1.6 Gestion et suivi-évaluation des données, supervision</t>
  </si>
  <si>
    <t xml:space="preserve">R2.1.6 Управление данными, мониторинг и оценка, надзор </t>
  </si>
  <si>
    <t>R2.1.6 Gestión de datos, Seguimiento y Evaluación, y Supervisión</t>
  </si>
  <si>
    <t>R2.1.6 Gestão de Dados, Monitorização e Avaliação, e Supervisão</t>
  </si>
  <si>
    <t>R2.1.6 إدارة البيانات، والرصد والتقييم، والإشراف</t>
  </si>
  <si>
    <t>R2.1.6 数据管理、监控和评价以及监督</t>
  </si>
  <si>
    <t>R2.1.7 Vaccine Safety Surveillance and Injection Safety</t>
  </si>
  <si>
    <t>R2.1.7 Surveillance de la sécurité des vaccins et sécurité des injections</t>
  </si>
  <si>
    <t>R2.1.7 Эпиднадзор за безопасностью вакцин и безопасность инъекций</t>
  </si>
  <si>
    <t>R2.1.7 Vigilancia de la seguridad de la vacuna y Seguridad de la inyección</t>
  </si>
  <si>
    <t>R2.1.7 مراقبة مأمونية اللقاح وسلامة الحقن</t>
  </si>
  <si>
    <t>R2.1.7 疫苗安全性监测和注射安全性</t>
  </si>
  <si>
    <t>R2.1.8 Demand Generation and Communications</t>
  </si>
  <si>
    <t>R2.1.8 Génération de la demande et communication</t>
  </si>
  <si>
    <t>R2.1.8 Формирование спроса на вакцину и осуществление информационного взаимодействия</t>
  </si>
  <si>
    <t>R2.1.8 Generación de demanda y comunicación</t>
  </si>
  <si>
    <t>R2.1.8 توليد الطلب والاتصالات</t>
  </si>
  <si>
    <t>R2.1.8 需求生成和沟通</t>
  </si>
  <si>
    <t>R2.1.9 Protecting Essential Health Services and Health Systems Strengthening</t>
  </si>
  <si>
    <t>R2.1.9 Protéger les services essentiels de la santé et les systèmes de santé Renforcement</t>
  </si>
  <si>
    <t>R2.1.9 Защита Essential службы здравоохранения и укрепления систем здравоохранения</t>
  </si>
  <si>
    <t>R2.1.9 La protección indispensable fortalecimiento de Servicios de Salud y Sistemas de Salud</t>
  </si>
  <si>
    <t>R2.1.9 Proteger Essencial Serviços de Saúde e Sistemas de Saúde Fortalecimento</t>
  </si>
  <si>
    <t>R2.1.9 حماية الأساسية للخدمات الصحية وتعزيز النظم الصحية</t>
  </si>
  <si>
    <t>R2.1.9保护基本卫生服务和卫生系统加强</t>
  </si>
  <si>
    <t>More info on vaccinator training @ R2.1.3</t>
  </si>
  <si>
    <t>Plus d'informations sur la formation des vaccinateurs @ R2.1.3</t>
  </si>
  <si>
    <t>Больше информации о подготовке вакцинаторов здесь: R2.1.3</t>
  </si>
  <si>
    <t>Más información sobre formación de vacunadores en R2.1.3</t>
  </si>
  <si>
    <t>Mais informações sobre formação de vacinadores em R2.1.3</t>
  </si>
  <si>
    <t>有关疫苗接种者培训的更多信息 @ R2.1.3</t>
  </si>
  <si>
    <t>有关疫苗接种者培训的更多信息@ R2.1.3</t>
  </si>
  <si>
    <t>More info on cold chain @ R2.1.5</t>
  </si>
  <si>
    <t>Plus d'informations sur la chaîne du froid @ R2.1.5</t>
  </si>
  <si>
    <t>Больше информации по холодовой цепи здесь: R2.1.5</t>
  </si>
  <si>
    <t>Más información sobre la cadena de frío en R2.1.5</t>
  </si>
  <si>
    <t>Mais informação sobre a cadeia de frio em R2.1.5</t>
  </si>
  <si>
    <t>مزيد من المعلومات حول سلسلة البرودة @ R2.1.5</t>
  </si>
  <si>
    <t>有关冷链的更多信息 @ R2.1.5</t>
  </si>
  <si>
    <t>More info on the no fault compensation fund @ R2.1.7</t>
  </si>
  <si>
    <t>Plus d'informations sur le fonds d'indemnisation hors faute @ R2.1.7</t>
  </si>
  <si>
    <t>Больше информации о фонде компенсационных выплат без наличия вины здесь: R2.1.7</t>
  </si>
  <si>
    <t>Más información sobre el fondo de indemnización sin culpa en R2.1.7</t>
  </si>
  <si>
    <t>Mais informações sobre o fundo de indemnização independentemente da responsabilidade em R2.1.7</t>
  </si>
  <si>
    <t>مزيد من المعلومات حول تمويل التعويض لعدم وجود خطأ @ R2.1.7</t>
  </si>
  <si>
    <t>无过失赔偿金的更多信息@ R2.1.7</t>
  </si>
  <si>
    <t>More info @ R2.1.8</t>
  </si>
  <si>
    <t>Plus d'informations @ R2.1.8</t>
  </si>
  <si>
    <t>Больше информации здесь @ R2.1.8</t>
  </si>
  <si>
    <t>Más información en R2.1.8</t>
  </si>
  <si>
    <t>Mais informação em R2.1.8</t>
  </si>
  <si>
    <t xml:space="preserve"> مزيد من المعلومات @ R2.1.8</t>
  </si>
  <si>
    <t>更多信息 @ R2.1.8</t>
  </si>
  <si>
    <t>B5.2.2 (Upper-Variant)</t>
  </si>
  <si>
    <t>B5.2.2 (Variante supérieure)</t>
  </si>
  <si>
    <t>B5.2.2 (Верхний вариант)</t>
  </si>
  <si>
    <t>B5.2.2 (Variante más alta)</t>
  </si>
  <si>
    <t>B5.2.2 (Variante superior)</t>
  </si>
  <si>
    <t>B5.2.2 (المتغير الأعلى)</t>
  </si>
  <si>
    <t>B5.2.2（上变量）</t>
  </si>
  <si>
    <t>B5.2.2 (Lower-Variant)</t>
  </si>
  <si>
    <t>B5.2.2 (Variante inférieure)</t>
  </si>
  <si>
    <t>B5.2.2 (Нижний вариант)</t>
  </si>
  <si>
    <t>B5.2.2 (Variante más baja)</t>
  </si>
  <si>
    <t>B5.2.2 (Variante inferior)</t>
  </si>
  <si>
    <t>B5.2.2 (المتغير الأدنى)</t>
  </si>
  <si>
    <t xml:space="preserve"> B5.2.2 (Lower-Variant)</t>
  </si>
  <si>
    <t>B5.2 (Upper-Variant)</t>
  </si>
  <si>
    <t>B5.2 (Variante supérieure)</t>
  </si>
  <si>
    <t>B5.2 Верхний вариант</t>
  </si>
  <si>
    <t>B5.2 (Variante más alta)</t>
  </si>
  <si>
    <t>B5.2 (Variante superior)</t>
  </si>
  <si>
    <t>B5.2 (المتغير الأعلى)</t>
  </si>
  <si>
    <t>B5.2（上变量）</t>
  </si>
  <si>
    <t>B5.2 (Lower-Variant)</t>
  </si>
  <si>
    <t>B5.2 (Variante inférieure)</t>
  </si>
  <si>
    <t>B5.2 Нижний вариант</t>
  </si>
  <si>
    <t>B5.2 (Variante más baja)</t>
  </si>
  <si>
    <t>B5.2 (Variante inferior)</t>
  </si>
  <si>
    <t>B5.2 (المتغير الأقل)</t>
  </si>
  <si>
    <t xml:space="preserve"> B5.2 (Lower-Variant)</t>
  </si>
  <si>
    <t>EXCLUDE Residential institutions (see A2.2.4)</t>
  </si>
  <si>
    <t>EXCLURE les établissements d'hébergement (voir A2.2.4)</t>
  </si>
  <si>
    <t>НЕ ВКЛЮЧАЮТСЯ учреждения интернатного типа (см. A2.2.4)</t>
  </si>
  <si>
    <t>EXCLUIR Instituciones residenciales (ver A2.2.4)</t>
  </si>
  <si>
    <t>EXCLUIR Instituições residenciais (ver A2.2.4)</t>
  </si>
  <si>
    <t>استثناء المؤسسات السكنية (انظر A2.2.4)</t>
  </si>
  <si>
    <t>排除居住式机构（见A2.2.4）</t>
  </si>
  <si>
    <t>Cost breakdown (in H1 2021, inc. central costs)</t>
  </si>
  <si>
    <t>R1.3.2.1 Impact relative to HRH supply</t>
  </si>
  <si>
    <t>R1.3.2.1 Impact par rapport à l'offre de RHS</t>
  </si>
  <si>
    <t xml:space="preserve">R1.3.2.1 Эффект с учетом обеспечения КРЗ </t>
  </si>
  <si>
    <t>R1.3.2.1 Impacto relativo a RHS disponible</t>
  </si>
  <si>
    <t>R1.3.2.1 Impacto Relativo ao Fornecimento de RHS</t>
  </si>
  <si>
    <t>R1.3.2.2 Impact - redeployment vs newly inducted vaccinators (based on FTEs)</t>
  </si>
  <si>
    <t>R1.3.2.2 Impact: redéploiement par rapport à vaccinateurs nouvellement recrutés (basé sur ETP)</t>
  </si>
  <si>
    <t>R1.3.2.2 Эффект - размещение на других объектах и найм новых вакцинаторов (на основе ЭПЗ)</t>
  </si>
  <si>
    <t>R1.3.2.2 Impacto - reasignación frente a vacunadores de nueva inducción (basado en FTE)</t>
  </si>
  <si>
    <t>R1.3.2.2 Impacto – Reafectação X Vacinadores recém-admitidos (com base em ETI)</t>
  </si>
  <si>
    <t>R1.3.2.1相对于HRH供应量的影响</t>
  </si>
  <si>
    <t>R1.3.2.2影响——调配疫苗接种者相对于新入职疫苗接种者（基于FTE）</t>
  </si>
  <si>
    <t xml:space="preserve">B5.3.1 Стратегия организации прививок 1: Стационарные лекарственные учреждения, в которых обеспечена возможность холодильного хранения </t>
  </si>
  <si>
    <t>B5.3.1 Modalidad de administración 1: Ubicaciones fijas con almacenamiento en frío</t>
  </si>
  <si>
    <t>B5.3.1 Modalidade de Administração 1: Locais Fixos com Armazenamento Frigorífico</t>
  </si>
  <si>
    <t>B5.3.1 طريقة التسليم 1 : مواقع ثابتة مع مرافق تخزين بارد</t>
  </si>
  <si>
    <t>B5.3.1 交付模式1: 拥有冷库的固定站点</t>
  </si>
  <si>
    <t>Total Expenditure on Vaccines from All Financing Sources (US$); Average of 2015-2019. Data Source: JRF (6520)</t>
  </si>
  <si>
    <t>B5.3.2 طريقة التسليم 2 : حملات في مواقع ثابتة (بدون مرافق تخزين بارد)</t>
  </si>
  <si>
    <t>B5.3.3 طريقة التسليم 3 : المؤسسات السكنية</t>
  </si>
  <si>
    <t xml:space="preserve">B5.3.4 طريقة التسليم 4 : الحملات والمواقع الخارجية </t>
  </si>
  <si>
    <r>
      <rPr>
        <sz val="10"/>
        <rFont val="Calibri Light"/>
        <family val="2"/>
        <scheme val="minor"/>
      </rPr>
      <t xml:space="preserve">© World Health Organization and the United Nations Children’s Fund (UNICEF), 2022. Some rights reserved. This work is available under the </t>
    </r>
    <r>
      <rPr>
        <sz val="10"/>
        <color rgb="FF0000FF"/>
        <rFont val="Calibri Light"/>
        <family val="2"/>
        <scheme val="minor"/>
      </rPr>
      <t>CC BY-NC-SA 3.0 IGO</t>
    </r>
    <r>
      <rPr>
        <sz val="10"/>
        <rFont val="Calibri Light"/>
        <family val="2"/>
        <scheme val="minor"/>
      </rPr>
      <t xml:space="preserve"> licence.</t>
    </r>
  </si>
  <si>
    <r>
      <t xml:space="preserve">WHO reference number: </t>
    </r>
    <r>
      <rPr>
        <sz val="10"/>
        <color rgb="FF0000FF"/>
        <rFont val="Calibri Light"/>
        <family val="2"/>
        <scheme val="minor"/>
      </rPr>
      <t>WHO/2019-nCoV/Vaccine_deployment_tool/2022.1</t>
    </r>
  </si>
  <si>
    <t>Dépenses totales sur les vaccins de toutes les sources de financement (USD); Moyenne de 2015-2019. Source de données: JRF (6520)</t>
  </si>
  <si>
    <t>Общие расходы на вакцины от всех источников финансирования (US $); В среднем 2015-2019 годов. Источник данных: JRF (6520)</t>
  </si>
  <si>
    <t>Gastos totales en vacunas de todas las fuentes de financiamiento (US $); Promedio de 2015-2019. Fuente de datos: JRF (6520)</t>
  </si>
  <si>
    <t>Despesas totais com vacinas de todas as fontes de financiamento (US $); Média de 2015-2019. Fonte de dados: JRF (6520)</t>
  </si>
  <si>
    <t>إجمالي النفقات على اللقاحات من جميع مصادر التمويل (دولار أمريكي)؛ متوسط 2015-2019. مصدر البيانات: JRF (6520)</t>
  </si>
  <si>
    <t>所有来源的疫苗总支出（美元）；2015 - 2019年平均值（数据源：JRF）（6520）</t>
  </si>
  <si>
    <t>Par cours primaire terminé (estimant une parfaite absorption de la 2e dose; variante moyenne)</t>
  </si>
  <si>
    <t xml:space="preserve">за полный завершенный курс первичной вакцинации (предполагает идеальное поглощение 2-й дозы; средний вариант) </t>
  </si>
  <si>
    <t>por esquema primario completado (asume adopción perfecta de la segunda dosis; variante mediana)</t>
  </si>
  <si>
    <t>Por curso primário concluído (assume uma absorção perfeita da 2ª dose; variante média)</t>
  </si>
  <si>
    <t xml:space="preserve">لكل دورة أولية مكتملة (يفترض امتصاص مثالي للجرعة الثانية؛ المتغير المتوسط) </t>
  </si>
  <si>
    <t>每位完成疫苗基本剂量的个人（假设在理想情況下接种了第2剂；中变量）</t>
  </si>
  <si>
    <t xml:space="preserve">Par cours primaire terminé (en estimant une absorption parfaite de la 2e dose) à l'exclusion des vaccins </t>
  </si>
  <si>
    <t xml:space="preserve">за полный завершенный курс первичной вакцинации (предполагает идеальное поглощение 2- й дозы), без вакцины </t>
  </si>
  <si>
    <t>por esquema primario completado (asume la adopción perfecta de la segunda dosis) excluyendo las vacunas</t>
  </si>
  <si>
    <t>Por curso primário concluído (assume uma absorção perfeita da 2ª dose) excluindo vacinas</t>
  </si>
  <si>
    <t>لكل دورة ابتدائية مكتملة (بافتراض امتصاص كامل للجرعة الثانية) باستثناء اللقاحات</t>
  </si>
  <si>
    <t>每位完成疫苗基本剂量的个人（假设在理想情況下接种了第2剂），不包括疫苗价格</t>
  </si>
  <si>
    <t>Prix par personne ayant  terminé le cours primaire</t>
  </si>
  <si>
    <t>Цена на человека, получившие полный завершенный курс первичной вакцинации</t>
  </si>
  <si>
    <t>Precio por persona que ha completado el curso principal</t>
  </si>
  <si>
    <t>Preço por pessoa que completou o curso primário</t>
  </si>
  <si>
    <t>السعر للفرد الذي أكمل الدورة الابتدائية</t>
  </si>
  <si>
    <t>每人完成疫苗基本剂量的单价</t>
  </si>
  <si>
    <t>INSTRUCTIONS: La version 2.3 de l'outil CVIC permet une combinaison de multiples types de vaccins multiples à utiliser dans chaque modalité de livraison, à condition que ces vaccins ont des spécifications similaires (c'est-à-dire que l'exigence de stockage pour tous les vaccins est la réfrigération à 2-8c et un cours primaire est deux doses). Ces combinaisons (A à D) peuvent être constituées de la liste des vaccins appropriés énumérés ci-dessous qui ont été générés automatiquement à partir de la base de données de vaccin et des vaccins définis par l'utilisateur. Veuillez entrer un nombre entier supérieur à 0, ce qui représente la part de chaque type de vaccin vers chaque combinaison. Cette action peut être représentée comme étant, par exemple, un pourcentage (total de 100) ou le nombre de doses apportées par chaque type de vaccin.</t>
  </si>
  <si>
    <t xml:space="preserve">Инструкции: Версия 2.3 Инструмента CVIC позволяет использовать комбинацию нескольких типов вакцин, которые будут использоваться в каждой модальности доставки, до тех пор, пока эти вакцины имеют аналогичные характеристики (т. Е. Требования к хранению для всех вакцин - охлаждение на 2-8C и курс первичной вакцинации две дозы). Эти комбинации (A до d Д) могут быть составлены из списка подходящих вакцин, перечисленных ниже, которые были автоматически генерированы из вакцинной базы данных и пользовательских вакцин. Пожалуйста, введите целое число, больше 0 , которое представляет собой долю каждого типа вакцины в направлении каждой комбинации. Эта доля может быть представлена как, например, процент (на общую сумму 100) или количество доз, внесенных каждым типом вакцина. </t>
  </si>
  <si>
    <t>Instrucciones: La versión 2.3 de la herramienta CVIC permite que se utilicen una combinación de múltiples tipos de vacunas en cada modalidad de entrega, siempre que estas vacunas tengan especificaciones similares (es decir, el requisito de almacenamiento para todas las vacunas sea la refrigeración en 2-8c y un curso principal es dos dosis). Estas combinaciones (A a D) se pueden constituir a partir de la lista de vacunas adecuadas enumeradas a continuación que se han generado automáticamente a partir de la base de datos de la vacuna y las vacunas definidas por el usuario. Ingrese un número entero mayor que 0, lo que representa la proporción de cada tipo de vacuna en cada combinación. Esta participación se puede representar como, por ejemplo, un porcentaje (totalizado 100) o el número de dosis contribuidas por cada tipo de vacuna.</t>
  </si>
  <si>
    <t>Instruções: A versão 2.3 da ferramenta CVIC permite que uma combinação de vários tipos de vacinas seja usada em cada modalidade de entrega, desde que essas vacinas tenham especificações semelhantes (ou seja, o requisito de armazenamento para todas as vacinas seja a refrigeração em 2-8C e um curso primário é duas doses). Essas combinações (a a d) podem ser constituídas da lista de vacinas adequadas listadas abaixo que foram geradas automaticamente a partir da base de dados da vacina e das vacinas definidas pelo usuário. Por favor, insira um número inteiro maior que 0, o que representa a parte de cada tipo de vacina para cada combinação. Esta parte pode ser representado como, por exemplo, uma porcentagem (totalização de 100) ou o número de doses contribuídas por cada tipo de vacina.</t>
  </si>
  <si>
    <t>说明：CVIC工具的2.3版允许在每个交付模式中使用多种疫苗类型的组合，只要这些疫苗具有相似规格（即所有疫苗的冷库要求是冷藏2-8C和疫苗基本剂量是两剂）。这些组合（A至D）可以从以下列表选择合适的疫苗，这些疫苗是从疫苗数据库和用户定义的疫苗自动产生。请输入大于0的整数，表示每个疫苗类型对该组合的比例。该比例可以百分比（总共100）或每种疫苗类型的剂数表示。</t>
  </si>
  <si>
    <t>1 USD = 0.90843707 EUR</t>
  </si>
  <si>
    <t>1 U.S. Dollar = 0.90843707 Euro</t>
  </si>
  <si>
    <t>1 Euro = 1.10079172 U.S. Dollar</t>
  </si>
  <si>
    <t>1 USD = 0.75795936 GBP</t>
  </si>
  <si>
    <t>1 U.S. Dollar = 0.75795936 U.K. Pound Sterling</t>
  </si>
  <si>
    <t>1 U.K. Pound Sterling = 1.31933195 U.S. Dollar</t>
  </si>
  <si>
    <t>1 USD = 121.74124263 JPY</t>
  </si>
  <si>
    <t>1 U.S. Dollar = 121.74124263 Japanese Yen</t>
  </si>
  <si>
    <t>1 Japanese Yen = 0.00821414 U.S. Dollar</t>
  </si>
  <si>
    <t>1 USD = 1.32983140 AUD</t>
  </si>
  <si>
    <t>1 U.S. Dollar = 1.32983140 Australian Dollar</t>
  </si>
  <si>
    <t>1 Australian Dollar = 0.75197502 U.S. Dollar</t>
  </si>
  <si>
    <t>1 USD = 0.92767813 CHF</t>
  </si>
  <si>
    <t>1 U.S. Dollar = 0.92767813 Swiss Franc</t>
  </si>
  <si>
    <t>1 Swiss Franc = 1.07796008 U.S. Dollar</t>
  </si>
  <si>
    <t>1 USD = 1.25207222 CAD</t>
  </si>
  <si>
    <t>1 U.S. Dollar = 1.25207222 Canadian Dollar</t>
  </si>
  <si>
    <t>1 Canadian Dollar = 0.79867598 U.S. Dollar</t>
  </si>
  <si>
    <t>1 USD = 6.86048361 TTD</t>
  </si>
  <si>
    <t>1 U.S. Dollar = 6.86048361 Trinidad Tobago Dollar</t>
  </si>
  <si>
    <t>1 Trinidad Tobago Dollar = 0.14576232 U.S. Dollar</t>
  </si>
  <si>
    <t>1 USD = 11,718.75000000 LAK</t>
  </si>
  <si>
    <t>1 U.S. Dollar = 11,718.75000000 Lao kip</t>
  </si>
  <si>
    <t>1 Lao kip = 0.00008533 U.S. Dollar</t>
  </si>
  <si>
    <t>1 USD = 11.65855637 BWP</t>
  </si>
  <si>
    <t>1 U.S. Dollar = 11.65855637 Botswana Pula</t>
  </si>
  <si>
    <t>1 Botswana Pula = 0.08577391 U.S. Dollar</t>
  </si>
  <si>
    <t>1 USD = 0.30509667 KWD</t>
  </si>
  <si>
    <t>1 U.S. Dollar = 0.30509667 Kuwaiti Dinar</t>
  </si>
  <si>
    <t>1 Kuwaiti Dinar = 3.27764970 U.S. Dollar</t>
  </si>
  <si>
    <t>1 USD = 22.39866756 CZK</t>
  </si>
  <si>
    <t>1 U.S. Dollar = 22.39866756 Czech Koruna</t>
  </si>
  <si>
    <t>1 Czech Koruna = 0.04464551 U.S. Dollar</t>
  </si>
  <si>
    <t>1 USD = 417.86207830 NGN</t>
  </si>
  <si>
    <t>1 U.S. Dollar = 417.86207830 Nigerian Naira</t>
  </si>
  <si>
    <t>1 Nigerian Naira = 0.00239313 U.S. Dollar</t>
  </si>
  <si>
    <t>1 USD = 3.59212378 TMT</t>
  </si>
  <si>
    <t>1 U.S. Dollar = 3.59212378 New Turkmenistan Manat</t>
  </si>
  <si>
    <t>1 New Turkmenistan Manat = 0.27838684 U.S. Dollar</t>
  </si>
  <si>
    <t>1 USD = 51.83293269 ETB</t>
  </si>
  <si>
    <t>1 U.S. Dollar = 51.83293269 Ethiopian birr</t>
  </si>
  <si>
    <t>1 Ethiopian birr = 0.01929275 U.S. Dollar</t>
  </si>
  <si>
    <t>1 USD = 101.47058824 CVE</t>
  </si>
  <si>
    <t>1 U.S. Dollar = 101.47058824 Cape Verde escudo</t>
  </si>
  <si>
    <t>1 Cape Verde escudo = 0.00985507 U.S. Dollar</t>
  </si>
  <si>
    <t>1 USD = 458.77659574 AOA</t>
  </si>
  <si>
    <t>1 U.S. Dollar = 458.77659574 Angolan kwanza</t>
  </si>
  <si>
    <t>1 Angolan kwanza = 0.00217971 U.S. Dollar</t>
  </si>
  <si>
    <t>1 USD = 4,087.67772512 KHR</t>
  </si>
  <si>
    <t>1 U.S. Dollar = 4,087.67772512 Cambodian riel</t>
  </si>
  <si>
    <t>1 Cambodian riel = 0.00024464 U.S. Dollar</t>
  </si>
  <si>
    <t>1 USD = 9.71860783 MAD</t>
  </si>
  <si>
    <t>1 U.S. Dollar = 9.71860783 Moroccan Dirham</t>
  </si>
  <si>
    <t>1 Moroccan Dirham = 0.10289540 U.S. Dollar</t>
  </si>
  <si>
    <t>1 USD = 4.49738312 RON</t>
  </si>
  <si>
    <t>1 U.S. Dollar = 4.49738312 Romanian New Leu</t>
  </si>
  <si>
    <t>1 Romanian New Leu = 0.22235153 U.S. Dollar</t>
  </si>
  <si>
    <t>1 USD = 2.83135726 BYN</t>
  </si>
  <si>
    <t>1 U.S. Dollar = 2.83135726 Belarussian Ruble</t>
  </si>
  <si>
    <t>1 Belarussian Ruble = 0.35318750 U.S. Dollar</t>
  </si>
  <si>
    <t>1 USD = 11.75579164 TJS</t>
  </si>
  <si>
    <t>1 U.S. Dollar = 11.75579164 Tajikistan Ruble</t>
  </si>
  <si>
    <t>1 Tajikistan Ruble = 0.08506445 U.S. Dollar</t>
  </si>
  <si>
    <t>1 USD = 55.43059126 GMD</t>
  </si>
  <si>
    <t>1 U.S. Dollar = 55.43059126 Gambian dalasi</t>
  </si>
  <si>
    <t>1 Gambian dalasi = 0.01804058 U.S. Dollar</t>
  </si>
  <si>
    <t>1 USD = 1.00825306 BSD</t>
  </si>
  <si>
    <t>1 U.S. Dollar = 1.00825306 Bahamian Dollar</t>
  </si>
  <si>
    <t>1 Bahamian Dollar = 0.99181449 U.S. Dollar</t>
  </si>
  <si>
    <t>1 USD = 109.42098853 XPF</t>
  </si>
  <si>
    <t>1 U.S. Dollar = 109.42098853 CFP Franc</t>
  </si>
  <si>
    <t>1 CFP Franc = 0.00913901 U.S. Dollar</t>
  </si>
  <si>
    <t>1 USD = 24.79873491 HNL</t>
  </si>
  <si>
    <t>1 U.S. Dollar = 24.79873491 Honduran Lempira</t>
  </si>
  <si>
    <t>1 Honduran Lempira = 0.04032464 U.S. Dollar</t>
  </si>
  <si>
    <t>1 USD = 14.55941931 SCR</t>
  </si>
  <si>
    <t>1 U.S. Dollar = 14.55941931 Seychelles rupee</t>
  </si>
  <si>
    <t>1 Seychelles rupee = 0.06868406 U.S. Dollar</t>
  </si>
  <si>
    <t>1 USD = 0.37797927 BHD</t>
  </si>
  <si>
    <t>1 U.S. Dollar = 0.37797927 Bahrain Dinar</t>
  </si>
  <si>
    <t>1 Bahrain Dinar = 2.64564774 U.S. Dollar</t>
  </si>
  <si>
    <t>1 USD = 0.38635624 OMR</t>
  </si>
  <si>
    <t>1 U.S. Dollar = 0.38635624 Omani Rial</t>
  </si>
  <si>
    <t>1 Omani Rial = 2.58828485 U.S. Dollar</t>
  </si>
  <si>
    <t>1 USD = 3.21334532 ILS</t>
  </si>
  <si>
    <t>1 U.S. Dollar = 3.21334532 Israeli New Sheqel</t>
  </si>
  <si>
    <t>1 Israeli New Sheqel = 0.31120216 U.S. Dollar</t>
  </si>
  <si>
    <t>1 USD = 4.73689497 LYD</t>
  </si>
  <si>
    <t>1 U.S. Dollar = 4.73689497 Libyan Dinar</t>
  </si>
  <si>
    <t>1 Libyan Dinar = 0.21110876 U.S. Dollar</t>
  </si>
  <si>
    <t>1 USD = 783.44515604 CLP</t>
  </si>
  <si>
    <t>1 U.S. Dollar = 783.44515604 Chilean Peso</t>
  </si>
  <si>
    <t>1 Chilean Peso = 0.00127641 U.S. Dollar</t>
  </si>
  <si>
    <t>1 USD = 1.37152943 BND</t>
  </si>
  <si>
    <t>1 U.S. Dollar = 1.37152943 Brunei Dollar</t>
  </si>
  <si>
    <t>1 Brunei Dollar = 0.72911304 U.S. Dollar</t>
  </si>
  <si>
    <t>1 USD = 451.75989943 KMF</t>
  </si>
  <si>
    <t>1 U.S. Dollar = 451.75989943 	Comoro franc</t>
  </si>
  <si>
    <t>1 	Comoro franc = 0.00221357 U.S. Dollar</t>
  </si>
  <si>
    <t>1 USD = 14.96876085 LSL</t>
  </si>
  <si>
    <t>1 U.S. Dollar = 14.96876085 Lesotho loti</t>
  </si>
  <si>
    <t>1 Lesotho loti = 0.06680580 U.S. Dollar</t>
  </si>
  <si>
    <t>1 USD = 2,341.20521173 TZS</t>
  </si>
  <si>
    <t>1 U.S. Dollar = 2,341.20521173 Tanzanian shilling</t>
  </si>
  <si>
    <t>1 Tanzanian shilling = 0.00042713 U.S. Dollar</t>
  </si>
  <si>
    <t>1 USD = 88.00787603 BDT</t>
  </si>
  <si>
    <t>1 U.S. Dollar = 88.00787603 Bangladeshi taka</t>
  </si>
  <si>
    <t>1 Bangladeshi taka = 0.01136262 U.S. Dollar</t>
  </si>
  <si>
    <t>1 USD = 3.66714522 QAR</t>
  </si>
  <si>
    <t>1 U.S. Dollar = 3.66714522 Qatari Rial</t>
  </si>
  <si>
    <t>1 Qatari Rial = 0.27269168 U.S. Dollar</t>
  </si>
  <si>
    <t>1 USD = 4.23991337 MYR</t>
  </si>
  <si>
    <t>1 U.S. Dollar = 4.23991337 Malaysian Ringgit</t>
  </si>
  <si>
    <t>1 Malaysian Ringgit = 0.23585388 U.S. Dollar</t>
  </si>
  <si>
    <t>1 USD = 495.00844254 KZT</t>
  </si>
  <si>
    <t>1 U.S. Dollar = 495.00844254 Kazakhstani Tenge</t>
  </si>
  <si>
    <t>1 Kazakhstani Tenge = 0.00202017 U.S. Dollar</t>
  </si>
  <si>
    <t>1 USD = 106.29861984 HTG</t>
  </si>
  <si>
    <t>1 U.S. Dollar = 106.29861984 Haitian gourde</t>
  </si>
  <si>
    <t>1 Haitian gourde = 0.00940746 U.S. Dollar</t>
  </si>
  <si>
    <t>1 USD = 154.56989247 JMD</t>
  </si>
  <si>
    <t>1 U.S. Dollar = 154.56989247 Jamaican Dollar</t>
  </si>
  <si>
    <t>1 Jamaican Dollar = 0.00646957 U.S. Dollar</t>
  </si>
  <si>
    <t>1 USD = 434.33376977 SSP</t>
  </si>
  <si>
    <t>1 U.S. Dollar = 434.33376977 South Sudanese pound</t>
  </si>
  <si>
    <t>1 South Sudanese pound = 0.00230238 U.S. Dollar</t>
  </si>
  <si>
    <t>1 USD = 36.76470588 MRU</t>
  </si>
  <si>
    <t>1 U.S. Dollar = 36.76470588 Mauritanian ouguiya</t>
  </si>
  <si>
    <t>1 Mauritanian ouguiya = 0.02720000 U.S. Dollar</t>
  </si>
  <si>
    <t>1 USD = 2,959.84900480 MNT</t>
  </si>
  <si>
    <t>1 U.S. Dollar = 2,959.84900480 Mongolian togrog</t>
  </si>
  <si>
    <t>1 Mongolian togrog = 0.00033786 U.S. Dollar</t>
  </si>
  <si>
    <t>1 USD = 7.82683132 HKD</t>
  </si>
  <si>
    <t>1 U.S. Dollar = 7.82683132 Hong Kong Dollar</t>
  </si>
  <si>
    <t>1 Hong Kong Dollar = 0.12776563 U.S. Dollar</t>
  </si>
  <si>
    <t>1 USD = 33.72606572 THB</t>
  </si>
  <si>
    <t>1 U.S. Dollar = 33.72606572 Thai Baht</t>
  </si>
  <si>
    <t>1 Thai Baht = 0.02965066 U.S. Dollar</t>
  </si>
  <si>
    <t>1 USD = 597.30199537 XOF</t>
  </si>
  <si>
    <t>1 U.S. Dollar = 597.30199537 West African CFA Franc</t>
  </si>
  <si>
    <t>1 West African CFA Franc = 0.00167419 U.S. Dollar</t>
  </si>
  <si>
    <t>1 USD = 43,098.15276322 IRR</t>
  </si>
  <si>
    <t>1 U.S. Dollar = 43,098.15276322 Iranian rial</t>
  </si>
  <si>
    <t>1 Iranian rial = 0.00002320 U.S. Dollar</t>
  </si>
  <si>
    <t>1 USD = 42.21294572 UYU</t>
  </si>
  <si>
    <t>1 U.S. Dollar = 42.21294572 Uruguayan Peso</t>
  </si>
  <si>
    <t>1 Uruguayan Peso = 0.02368942 U.S. Dollar</t>
  </si>
  <si>
    <t>1 USD = 20.85348162 SRD</t>
  </si>
  <si>
    <t>1 U.S. Dollar = 20.85348162 Surinamese dollar</t>
  </si>
  <si>
    <t>1 Surinamese dollar = 0.04795362 U.S. Dollar</t>
  </si>
  <si>
    <t>1 USD = 7.37431601 GHS</t>
  </si>
  <si>
    <t>1 U.S. Dollar = 7.37431601 Ghanaian Cedi</t>
  </si>
  <si>
    <t>1 Ghanaian Cedi = 0.13560580 U.S. Dollar</t>
  </si>
  <si>
    <t>1 USD = 1.00825306 CUP</t>
  </si>
  <si>
    <t>1 U.S. Dollar = 1.00825306 Cuban peso</t>
  </si>
  <si>
    <t>1 Cuban peso = 0.99181449 U.S. Dollar</t>
  </si>
  <si>
    <t>1 USD = 0.71080214 JOD</t>
  </si>
  <si>
    <t>1 U.S. Dollar = 0.71080214 Jordanian Dinar</t>
  </si>
  <si>
    <t>1 Jordanian Dinar = 1.40686128 U.S. Dollar</t>
  </si>
  <si>
    <t>1 USD = 1.77742963 BGN</t>
  </si>
  <si>
    <t>1 U.S. Dollar = 1.77742963 Bulgarian Lev</t>
  </si>
  <si>
    <t>1 Bulgarian Lev = 0.56261018 U.S. Dollar</t>
  </si>
  <si>
    <t>1 USD = 3.52457426 PGK</t>
  </si>
  <si>
    <t>1 U.S. Dollar = 3.52457426 Papua New Guinean kina</t>
  </si>
  <si>
    <t>1 Papua New Guinean kina = 0.28372221 U.S. Dollar</t>
  </si>
  <si>
    <t>1 USD = 11,155.20883980 UZS</t>
  </si>
  <si>
    <t>1 U.S. Dollar = 11,155.20883980 Uzbekistan Sum</t>
  </si>
  <si>
    <t>1 Uzbekistan Sum = 0.00008964 U.S. Dollar</t>
  </si>
  <si>
    <t>1 USD = 4,083.80681818 MGA</t>
  </si>
  <si>
    <t>1 U.S. Dollar = 4,083.80681818 Malagasy ariary</t>
  </si>
  <si>
    <t>1 Malagasy ariary = 0.00024487 U.S. Dollar</t>
  </si>
  <si>
    <t>1 USD = 8.17845629 SBD</t>
  </si>
  <si>
    <t>1 U.S. Dollar = 8.17845629 Solomon Islands dollar</t>
  </si>
  <si>
    <t>1 Solomon Islands dollar = 0.12227246 U.S. Dollar</t>
  </si>
  <si>
    <t>1 USD = 17.92394015 ZMW</t>
  </si>
  <si>
    <t>1 U.S. Dollar = 17.92394015 Zambian kwacha</t>
  </si>
  <si>
    <t>1 Zambian kwacha = 0.05579130 U.S. Dollar</t>
  </si>
  <si>
    <t>1 USD = 252.76947424 YER</t>
  </si>
  <si>
    <t>1 U.S. Dollar = 252.76947424 Yemeni rial</t>
  </si>
  <si>
    <t>1 Yemeni rial = 0.00395617 U.S. Dollar</t>
  </si>
  <si>
    <t>1 USD = 9.40672420 SEK</t>
  </si>
  <si>
    <t>1 U.S. Dollar = 9.40672420 Swedish Krona</t>
  </si>
  <si>
    <t>1 Swedish Krona = 0.10630693 U.S. Dollar</t>
  </si>
  <si>
    <t>1 USD = 286.39309871 LKR</t>
  </si>
  <si>
    <t>1 U.S. Dollar = 286.39309871 Sri Lanka Rupee</t>
  </si>
  <si>
    <t>1 Sri Lanka Rupee = 0.00349170 U.S. Dollar</t>
  </si>
  <si>
    <t>1 USD = 4.30032391 PLN</t>
  </si>
  <si>
    <t>1 U.S. Dollar = 4.30032391 Polish Zloty</t>
  </si>
  <si>
    <t>1 Polish Zloty = 0.23254062 U.S. Dollar</t>
  </si>
  <si>
    <t>1 USD = 100.30063090 RUB</t>
  </si>
  <si>
    <t>1 U.S. Dollar = 100.30063090 Russian Rouble</t>
  </si>
  <si>
    <t>1 Russian Rouble = 0.00997003 U.S. Dollar</t>
  </si>
  <si>
    <t>1 USD = 1.74124077 AZN</t>
  </si>
  <si>
    <t>1 U.S. Dollar = 1.74124077 Azerbaijan Manat</t>
  </si>
  <si>
    <t>1 Azerbaijan Manat = 0.57430312 U.S. Dollar</t>
  </si>
  <si>
    <t>1 USD = 36.11809045 NIO</t>
  </si>
  <si>
    <t>1 U.S. Dollar = 36.11809045 Nicaraguan Córdoba</t>
  </si>
  <si>
    <t>1 Nicaraguan Córdoba = 0.02768696 U.S. Dollar</t>
  </si>
  <si>
    <t>1 USD = 22.69736842 STN</t>
  </si>
  <si>
    <t>1 U.S. Dollar = 22.69736842 São Tomé and Príncipe Dobra</t>
  </si>
  <si>
    <t>1 São Tomé and Príncipe Dobra = 0.04405797 U.S. Dollar</t>
  </si>
  <si>
    <t>1 USD = 2,071.32564842 BIF</t>
  </si>
  <si>
    <t>1 U.S. Dollar = 2,071.32564842 Burundian franc</t>
  </si>
  <si>
    <t>1 Burundian franc = 0.00048278 U.S. Dollar</t>
  </si>
  <si>
    <t>1 USD = 112.50097827 ALL</t>
  </si>
  <si>
    <t>1 U.S. Dollar = 112.50097827 Albanian lek</t>
  </si>
  <si>
    <t>1 Albanian lek = 0.00888881 U.S. Dollar</t>
  </si>
  <si>
    <t>1 USD = 45.10983264 MUR</t>
  </si>
  <si>
    <t>1 U.S. Dollar = 45.10983264 Mauritian Rupee</t>
  </si>
  <si>
    <t>1 Mauritian Rupee = 0.02216812 U.S. Dollar</t>
  </si>
  <si>
    <t>1 USD = 55.09151679 DOP</t>
  </si>
  <si>
    <t>1 U.S. Dollar = 55.09151679 Dominican Peso</t>
  </si>
  <si>
    <t>1 Dominican Peso = 0.01815161 U.S. Dollar</t>
  </si>
  <si>
    <t>1 USD = 1.43500210 NZD</t>
  </si>
  <si>
    <t>1 U.S. Dollar = 1.43500210 New Zealand Dollar</t>
  </si>
  <si>
    <t>1 New Zealand Dollar = 0.69686309 U.S. Dollar</t>
  </si>
  <si>
    <t>1 USD = 6.88446276 HRK</t>
  </si>
  <si>
    <t>1 U.S. Dollar = 6.88446276 Croatian Kuna</t>
  </si>
  <si>
    <t>1 Croatian Kuna = 0.14525462 U.S. Dollar</t>
  </si>
  <si>
    <t>1 USD = 144.01218268 DZD</t>
  </si>
  <si>
    <t>1 U.S. Dollar = 144.01218268 Algerian Dinar</t>
  </si>
  <si>
    <t>1 Algerian Dinar = 0.00694386 U.S. Dollar</t>
  </si>
  <si>
    <t>1 USD = 110.76251234 ARS</t>
  </si>
  <si>
    <t>1 U.S. Dollar = 110.76251234 Argentine Peso</t>
  </si>
  <si>
    <t>1 Argentine Peso = 0.00902833 U.S. Dollar</t>
  </si>
  <si>
    <t>1 USD = 2.03602285 BZD</t>
  </si>
  <si>
    <t>1 U.S. Dollar = 2.03602285 Belize dollar</t>
  </si>
  <si>
    <t>1 Belize dollar = 0.49115362 U.S. Dollar</t>
  </si>
  <si>
    <t>1 USD = 9,021.96652720 GNF</t>
  </si>
  <si>
    <t>1 U.S. Dollar = 9,021.96652720 Guinean franc</t>
  </si>
  <si>
    <t>1 Guinean franc = 0.00011084 U.S. Dollar</t>
  </si>
  <si>
    <t>1 USD = 14.96876085 SZL</t>
  </si>
  <si>
    <t>1 U.S. Dollar = 14.96876085 Swazi lilangeni</t>
  </si>
  <si>
    <t>1 Swazi lilangeni = 0.06680580 U.S. Dollar</t>
  </si>
  <si>
    <t>1 USD = 584.34959350 SOS</t>
  </si>
  <si>
    <t>1 U.S. Dollar = 584.34959350 Somali shilling</t>
  </si>
  <si>
    <t>1 Somali shilling = 0.00171130 U.S. Dollar</t>
  </si>
  <si>
    <t>1 USD = 1.80078249 ANG</t>
  </si>
  <si>
    <t>1 U.S. Dollar = 1.80078249 Neth. Antillean Guilder</t>
  </si>
  <si>
    <t>1 Neth. Antillean Guilder = 0.55531415 U.S. Dollar</t>
  </si>
  <si>
    <t>1 USD = 181.89148718 PKR</t>
  </si>
  <si>
    <t>1 U.S. Dollar = 181.89148718 Pakistani Rupee</t>
  </si>
  <si>
    <t>1 Pakistani Rupee = 0.00549778 U.S. Dollar</t>
  </si>
  <si>
    <t>1 USD = 19.99373239 MXN</t>
  </si>
  <si>
    <t>1 U.S. Dollar = 19.99373239 Mexican Peso</t>
  </si>
  <si>
    <t>1 Mexican Peso = 0.05001567 U.S. Dollar</t>
  </si>
  <si>
    <t>1 USD = 29.28892229 UAH</t>
  </si>
  <si>
    <t>1 U.S. Dollar = 29.28892229 Ukrainian Hryvnia</t>
  </si>
  <si>
    <t>1 Ukrainian Hryvnia = 0.03414260 U.S. Dollar</t>
  </si>
  <si>
    <t>1 USD = 657.34247879 CRC</t>
  </si>
  <si>
    <t>1 U.S. Dollar = 657.34247879 Costa Rican Colón</t>
  </si>
  <si>
    <t>1 Costa Rican Colón = 0.00152128 U.S. Dollar</t>
  </si>
  <si>
    <t>1 USD = 211.32454550 GYD</t>
  </si>
  <si>
    <t>1 U.S. Dollar = 211.32454550 Guyanese dollar</t>
  </si>
  <si>
    <t>1 Guyanese dollar = 0.00473206 U.S. Dollar</t>
  </si>
  <si>
    <t>1 USD = 1,026.54129969 RWF</t>
  </si>
  <si>
    <t>1 U.S. Dollar = 1,026.54129969 Rwandan franc</t>
  </si>
  <si>
    <t>1 Rwandan franc = 0.00097414 U.S. Dollar</t>
  </si>
  <si>
    <t>1 USD = 15.22237910 ERN</t>
  </si>
  <si>
    <t>1 U.S. Dollar = 15.22237910 Eritrean nakfa</t>
  </si>
  <si>
    <t>1 Eritrean nakfa = 0.06569275 U.S. Dollar</t>
  </si>
  <si>
    <t>1 USD = 2.60841952 WST</t>
  </si>
  <si>
    <t>1 U.S. Dollar = 2.60841952 Samoan tala</t>
  </si>
  <si>
    <t>1 Samoan tala = 0.38337391 U.S. Dollar</t>
  </si>
  <si>
    <t>1 USD = 18.39125933 EGP</t>
  </si>
  <si>
    <t>1 U.S. Dollar = 18.39125933 Egyptian Pound</t>
  </si>
  <si>
    <t>1 Egyptian Pound = 0.05437366 U.S. Dollar</t>
  </si>
  <si>
    <t>1 USD = 1.35645328 SGD</t>
  </si>
  <si>
    <t>1 U.S. Dollar = 1.35645328 Singapore Dollar</t>
  </si>
  <si>
    <t>1 Singapore Dollar = 0.73721669 U.S. Dollar</t>
  </si>
  <si>
    <t>1 USD = 598.18700124 XAF</t>
  </si>
  <si>
    <t>1 U.S. Dollar = 598.18700124 Central African CFA Franc</t>
  </si>
  <si>
    <t>1 Central African CFA Franc = 0.00167172 U.S. Dollar</t>
  </si>
  <si>
    <t>1 USD = 496.08682160 AMD</t>
  </si>
  <si>
    <t>1 U.S. Dollar = 496.08682160 Armenia Dram</t>
  </si>
  <si>
    <t>1 Armenia Dram = 0.00201578 U.S. Dollar</t>
  </si>
  <si>
    <t>1 USD = 6,976.45428224 PYG</t>
  </si>
  <si>
    <t>1 U.S. Dollar = 6,976.45428224 Paraguayan Guaraní</t>
  </si>
  <si>
    <t>1 Paraguayan Guaraní = 0.00014334 U.S. Dollar</t>
  </si>
  <si>
    <t>1 USD = 14.96876085 NAD</t>
  </si>
  <si>
    <t>1 U.S. Dollar = 14.96876085 Namibian dollar</t>
  </si>
  <si>
    <t>1 Namibian dollar = 0.06680580 U.S. Dollar</t>
  </si>
  <si>
    <t>1 USD = 2,536.76470588 SYP</t>
  </si>
  <si>
    <t>1 U.S. Dollar = 2,536.76470588 Syrian pound</t>
  </si>
  <si>
    <t>1 Syrian pound = 0.00039420 U.S. Dollar</t>
  </si>
  <si>
    <t>1 USD = 8.14601436 MOP</t>
  </si>
  <si>
    <t>1 U.S. Dollar = 8.14601436 Macanese pataca</t>
  </si>
  <si>
    <t>1 Macanese pataca = 0.12275942 U.S. Dollar</t>
  </si>
  <si>
    <t>1 USD = 1.79777389 BAM</t>
  </si>
  <si>
    <t>1 U.S. Dollar = 1.79777389 Bosnia and Herzegovina convertible mark</t>
  </si>
  <si>
    <t>1 Bosnia and Herzegovina convertible mark = 0.55624348 U.S. Dollar</t>
  </si>
  <si>
    <t>1 USD = 76.19387221 INR</t>
  </si>
  <si>
    <t>1 U.S. Dollar = 76.19387221 Indian Rupee</t>
  </si>
  <si>
    <t>1 Indian Rupee = 0.01312442 U.S. Dollar</t>
  </si>
  <si>
    <t>1 USD = 14.84328151 TRY</t>
  </si>
  <si>
    <t>1 U.S. Dollar = 14.84328151 Turkish Lira</t>
  </si>
  <si>
    <t>1 Turkish Lira = 0.06737055 U.S. Dollar</t>
  </si>
  <si>
    <t>1 USD = 23,060.05397274 VND</t>
  </si>
  <si>
    <t>1 U.S. Dollar = 23,060.05397274 Vietnamese Dong</t>
  </si>
  <si>
    <t>1 Vietnamese Dong = 0.00004337 U.S. Dollar</t>
  </si>
  <si>
    <t>1 USD = 88.70117302 KGS</t>
  </si>
  <si>
    <t>1 U.S. Dollar = 88.70117302 Kyrgyzstan Som</t>
  </si>
  <si>
    <t>1 Kyrgyzstan Som = 0.01127381 U.S. Dollar</t>
  </si>
  <si>
    <t>1 USD = 88.40350949 AFN</t>
  </si>
  <si>
    <t>1 U.S. Dollar = 88.40350949 Afghan afghani</t>
  </si>
  <si>
    <t>1 Afghan afghani = 0.01131177 U.S. Dollar</t>
  </si>
  <si>
    <t>1 USD = 2.73687885 XCD</t>
  </si>
  <si>
    <t>1 U.S. Dollar = 2.73687885 East Caribbean Dollar</t>
  </si>
  <si>
    <t>1 East Caribbean Dollar = 0.36537971 U.S. Dollar</t>
  </si>
  <si>
    <t>1 USD = 825.20091848 MWK</t>
  </si>
  <si>
    <t>1 U.S. Dollar = 825.20091848 Malawian kwacha</t>
  </si>
  <si>
    <t>1 Malawian kwacha = 0.00121183 U.S. Dollar</t>
  </si>
  <si>
    <t>1 USD = 7.77727683 GTQ</t>
  </si>
  <si>
    <t>1 U.S. Dollar = 7.77727683 Guatemalan Quetzal</t>
  </si>
  <si>
    <t>1 Guatemalan Quetzal = 0.12857971 U.S. Dollar</t>
  </si>
  <si>
    <t>1 USD = 8.64641825 NOK</t>
  </si>
  <si>
    <t>1 U.S. Dollar = 8.64641825 Norwegian Krone</t>
  </si>
  <si>
    <t>1 Norwegian Krone = 0.11565483 U.S. Dollar</t>
  </si>
  <si>
    <t>1 USD = 1,542.23568419 LBP</t>
  </si>
  <si>
    <t>1 U.S. Dollar = 1,542.23568419 Lebanese Pound</t>
  </si>
  <si>
    <t>1 Lebanese Pound = 0.00064841 U.S. Dollar</t>
  </si>
  <si>
    <t>1 USD = 339.81896590 HUF</t>
  </si>
  <si>
    <t>1 U.S. Dollar = 339.81896590 Hungarian Forint</t>
  </si>
  <si>
    <t>1 Hungarian Forint = 0.00294274 U.S. Dollar</t>
  </si>
  <si>
    <t>1 USD = 3.74071994 PEN</t>
  </si>
  <si>
    <t>1 U.S. Dollar = 3.74071994 Peruvian Nuevo Sol</t>
  </si>
  <si>
    <t>1 Peruvian Nuevo Sol = 0.26732822 U.S. Dollar</t>
  </si>
  <si>
    <t>1 USD = 108.22731566 RSD</t>
  </si>
  <si>
    <t>1 U.S. Dollar = 108.22731566 Serbian Dinar</t>
  </si>
  <si>
    <t>1 Serbian Dinar = 0.00923981 U.S. Dollar</t>
  </si>
  <si>
    <t>1 USD = 8.84252614 SVC</t>
  </si>
  <si>
    <t>1 U.S. Dollar = 8.84252614 Salvadoran colon</t>
  </si>
  <si>
    <t>1 Salvadoran colon = 0.11308986 U.S. Dollar</t>
  </si>
  <si>
    <t>1 USD = 1.82818263 AWG</t>
  </si>
  <si>
    <t>1 U.S. Dollar = 1.82818263 Aruban florin</t>
  </si>
  <si>
    <t>1 Aruban florin = 0.54699130 U.S. Dollar</t>
  </si>
  <si>
    <t>1 USD = 1,796.12661391 MMK</t>
  </si>
  <si>
    <t>1 U.S. Dollar = 1,796.12661391 Myanma Kyat</t>
  </si>
  <si>
    <t>1 Myanma Kyat = 0.00055675 U.S. Dollar</t>
  </si>
  <si>
    <t>1 USD = 15.61368573 MVR</t>
  </si>
  <si>
    <t>1 U.S. Dollar = 15.61368573 Maldivian rufiyaa</t>
  </si>
  <si>
    <t>1 Maldivian rufiyaa = 0.06404638 U.S. Dollar</t>
  </si>
  <si>
    <t>1 USD = 4.32841692 VES</t>
  </si>
  <si>
    <t>1 U.S. Dollar = 4.32841692 Venezuelan Bolivar</t>
  </si>
  <si>
    <t>1 Venezuelan Bolivar = 0.23103135 U.S. Dollar</t>
  </si>
  <si>
    <t>1 USD = 122.54136747 NPR</t>
  </si>
  <si>
    <t>1 U.S. Dollar = 122.54136747 Nepalese Rupee</t>
  </si>
  <si>
    <t>1 Nepalese Rupee = 0.00816051 U.S. Dollar</t>
  </si>
  <si>
    <t>1 USD = 129.21203738 ISK</t>
  </si>
  <si>
    <t>1 U.S. Dollar = 129.21203738 Icelandic Krona</t>
  </si>
  <si>
    <t>1 Icelandic Krona = 0.00773922 U.S. Dollar</t>
  </si>
  <si>
    <t>1 USD = 0.75957938 GIP</t>
  </si>
  <si>
    <t>1 U.S. Dollar = 0.75957938 Gibraltar pound</t>
  </si>
  <si>
    <t>1 Gibraltar pound = 1.31651809 U.S. Dollar</t>
  </si>
  <si>
    <t>1 USD = 3.14394708 GEL</t>
  </si>
  <si>
    <t>1 U.S. Dollar = 3.14394708 Georgian lari</t>
  </si>
  <si>
    <t>1 Georgian lari = 0.31807151 U.S. Dollar</t>
  </si>
  <si>
    <t>1 USD = 56.49662003 MKD</t>
  </si>
  <si>
    <t>1 U.S. Dollar = 56.49662003 Macedonian denar</t>
  </si>
  <si>
    <t>1 Macedonian denar = 0.01770017 U.S. Dollar</t>
  </si>
  <si>
    <t>1 USD = 2.03948924 BBD</t>
  </si>
  <si>
    <t>1 U.S. Dollar = 2.03948924 Barbadian Dollar</t>
  </si>
  <si>
    <t>1 Barbadian Dollar = 0.49031884 U.S. Dollar</t>
  </si>
  <si>
    <t>1 USD = 179.82236678 DJF</t>
  </si>
  <si>
    <t>1 U.S. Dollar = 179.82236678 Djiboutian franc</t>
  </si>
  <si>
    <t>1 Djiboutian franc = 0.00556104 U.S. Dollar</t>
  </si>
  <si>
    <t>1 USD = 11,782.78688525 SLL</t>
  </si>
  <si>
    <t>1 U.S. Dollar = 11,782.78688525 Sierra Leonean leone</t>
  </si>
  <si>
    <t>1 Sierra Leonean leone = 0.00008487 U.S. Dollar</t>
  </si>
  <si>
    <t>1 USD = 115.65693137 KES</t>
  </si>
  <si>
    <t>1 U.S. Dollar = 115.65693137 Kenyan shilling</t>
  </si>
  <si>
    <t>1 Kenyan shilling = 0.00864626 U.S. Dollar</t>
  </si>
  <si>
    <t>1 USD = 3.74426339 AED</t>
  </si>
  <si>
    <t>1 U.S. Dollar = 3.74426339 U.A.E Dirham</t>
  </si>
  <si>
    <t>1 U.A.E Dirham = 0.26707523 U.S. Dollar</t>
  </si>
  <si>
    <t>1 USD = 52.11047133 PHP</t>
  </si>
  <si>
    <t>1 U.S. Dollar = 52.11047133 Philippine Peso</t>
  </si>
  <si>
    <t>1 Philippine Peso = 0.01919000 U.S. Dollar</t>
  </si>
  <si>
    <t>1 USD = 1,220.30230616 KRW</t>
  </si>
  <si>
    <t>1 U.S. Dollar = 1,220.30230616 South Korean Won</t>
  </si>
  <si>
    <t>1 South Korean Won = 0.00081947 U.S. Dollar</t>
  </si>
  <si>
    <t>1 USD = 36.38996357 MRO</t>
  </si>
  <si>
    <t>1 U.S. Dollar = 36.38996357 Mauritanian Ouguiya</t>
  </si>
  <si>
    <t>1 Mauritanian Ouguiya = 0.02748010 U.S. Dollar</t>
  </si>
  <si>
    <t>1 USD = 3,794.80735999 COP</t>
  </si>
  <si>
    <t>1 U.S. Dollar = 3,794.80735999 Colombian Peso</t>
  </si>
  <si>
    <t>1 Colombian Peso = 0.00026352 U.S. Dollar</t>
  </si>
  <si>
    <t>1 USD = 2.11158987 FJD</t>
  </si>
  <si>
    <t>1 U.S. Dollar = 2.11158987 Fiji Dollar</t>
  </si>
  <si>
    <t>1 Fiji Dollar = 0.47357681 U.S. Dollar</t>
  </si>
  <si>
    <t>1 USD = 2,018.96067416 CDF</t>
  </si>
  <si>
    <t>1 U.S. Dollar = 2,018.96067416 Congolese franc</t>
  </si>
  <si>
    <t>1 Congolese franc = 0.00049530 U.S. Dollar</t>
  </si>
  <si>
    <t>1 USD = 64.75225225 MZN</t>
  </si>
  <si>
    <t>1 U.S. Dollar = 64.75225225 Mozambican metical</t>
  </si>
  <si>
    <t>1 Mozambican metical = 0.01544348 U.S. Dollar</t>
  </si>
  <si>
    <t>1 USD = 3,657.76081425 UGX</t>
  </si>
  <si>
    <t>1 U.S. Dollar = 3,657.76081425 Ugandan shilling</t>
  </si>
  <si>
    <t>1 Ugandan shilling = 0.00027339 U.S. Dollar</t>
  </si>
  <si>
    <t>1 USD = 4.98463057 BRL</t>
  </si>
  <si>
    <t>1 U.S. Dollar = 4.98463057 Brazilian Real</t>
  </si>
  <si>
    <t>1 Brazilian Real = 0.20061667 U.S. Dollar</t>
  </si>
  <si>
    <t>1 USD = 6.36311749 CNY</t>
  </si>
  <si>
    <t>1 U.S. Dollar = 6.36311749 Chinese Yuan</t>
  </si>
  <si>
    <t>1 Chinese Yuan = 0.15715567 U.S. Dollar</t>
  </si>
  <si>
    <t>1 USD = 3.75265136 SAR</t>
  </si>
  <si>
    <t>1 U.S. Dollar = 3.75265136 Saudi Riyal</t>
  </si>
  <si>
    <t>1 Saudi Riyal = 0.26647826 U.S. Dollar</t>
  </si>
  <si>
    <t>1 USD = 14.57019193 ZAR</t>
  </si>
  <si>
    <t>1 U.S. Dollar = 14.57019193 South African Rand</t>
  </si>
  <si>
    <t>1 South African Rand = 0.06863328 U.S. Dollar</t>
  </si>
  <si>
    <t>1 USD = 18.40265222 MDL</t>
  </si>
  <si>
    <t>1 U.S. Dollar = 18.40265222 Moldova Lei</t>
  </si>
  <si>
    <t>1 Moldova Lei = 0.05433999 U.S. Dollar</t>
  </si>
  <si>
    <t>1 USD = 1.00412653 PAB</t>
  </si>
  <si>
    <t>1 U.S. Dollar = 1.00412653 Panamanian Balboa</t>
  </si>
  <si>
    <t>1 Panamanian Balboa = 0.99589043 U.S. Dollar</t>
  </si>
  <si>
    <t>1 USD = 154.56989247 LRD</t>
  </si>
  <si>
    <t>1 U.S. Dollar = 154.56989247 Liberian dollar</t>
  </si>
  <si>
    <t>1 Liberian dollar = 0.00646957 U.S. Dollar</t>
  </si>
  <si>
    <t>1 USD = 453.94736842 SDG</t>
  </si>
  <si>
    <t>1 U.S. Dollar = 453.94736842 Sudanese pound</t>
  </si>
  <si>
    <t>1 Sudanese pound = 0.00220290 U.S. Dollar</t>
  </si>
  <si>
    <t>1 USD = 2.25998323 TOP</t>
  </si>
  <si>
    <t>1 U.S. Dollar = 2.25998323 Tongan paʻanga</t>
  </si>
  <si>
    <t>1 Tongan paʻanga = 0.44248116 U.S. Dollar</t>
  </si>
  <si>
    <t>1 USD = 113.32282223 VUV</t>
  </si>
  <si>
    <t>1 U.S. Dollar = 113.32282223 Vanuatu vatu</t>
  </si>
  <si>
    <t>1 Vanuatu vatu = 0.00882435 U.S. Dollar</t>
  </si>
  <si>
    <t>1 USD = 6.76155317 DKK</t>
  </si>
  <si>
    <t>1 U.S. Dollar = 6.76155317 Danish Krone</t>
  </si>
  <si>
    <t>1 Danish Krone = 0.14789501 U.S. Dollar</t>
  </si>
  <si>
    <t>1 USD = 14,349.16255694 IDR</t>
  </si>
  <si>
    <t>1 U.S. Dollar = 14,349.16255694 Indonesian Rupiah</t>
  </si>
  <si>
    <t>1 Indonesian Rupiah = 0.00006969 U.S. Dollar</t>
  </si>
  <si>
    <t>1 USD = 2.98135205 TND</t>
  </si>
  <si>
    <t>1 U.S. Dollar = 2.98135205 Tunisian Dinar</t>
  </si>
  <si>
    <t>1 Tunisian Dinar = 0.33541829 U.S. Dollar</t>
  </si>
  <si>
    <t>1 USD = 28.65893881 TWD</t>
  </si>
  <si>
    <t xml:space="preserve">1 U.S. Dollar = 28.65893881 New Taiwan Dollar </t>
  </si>
  <si>
    <t>1 New Taiwan Dollar  = 0.03489313 U.S. Dollar</t>
  </si>
  <si>
    <t>1 USD = 1,498.59721260 IQD</t>
  </si>
  <si>
    <t>1 U.S. Dollar = 1,498.59721260 Iraqi dinar</t>
  </si>
  <si>
    <t>1 Iraqi dinar = 0.00066729 U.S. Dollar</t>
  </si>
  <si>
    <t>1 USD = 6.90726173 BOB</t>
  </si>
  <si>
    <t>1 U.S. Dollar = 6.90726173 Bolivian Boliviano</t>
  </si>
  <si>
    <t>1 Bolivian Boliviano = 0.14477517 U.S. Dollar</t>
  </si>
  <si>
    <t>18 February 2022 [u]</t>
  </si>
  <si>
    <t>28 March 2022</t>
  </si>
  <si>
    <t>https://www.who.int/publications/i/item/who-2019-ncov-vaccine_deployment_tool-2021.1</t>
  </si>
  <si>
    <t>2.31 Special Version for Custom Territories</t>
  </si>
  <si>
    <t>Custom territory</t>
  </si>
  <si>
    <t>CUS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</si>
</sst>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4" formatCode="_-&quot;RM&quot;* #,##0.00_-;\-&quot;RM&quot;* #,##0.00_-;_-&quot;RM&quot;* &quot;-&quot;??_-;_-@_-"/>
    <numFmt numFmtId="43" formatCode="_-* #,##0.00_-;\-* #,##0.00_-;_-* &quot;-&quot;??_-;_-@_-"/>
    <numFmt numFmtId="164" formatCode="_-[$$-409]* #,##0.00_ ;_-[$$-409]* \-#,##0.00\ ;_-[$$-409]* &quot;-&quot;??_ ;_-@_ "/>
    <numFmt numFmtId="165" formatCode="0.0%"/>
    <numFmt numFmtId="166" formatCode="_-* #,##0_-;\-* #,##0_-;_-* &quot;-&quot;??_-;_-@_-"/>
    <numFmt numFmtId="167" formatCode="0.000"/>
    <numFmt numFmtId="168" formatCode="_-[$$-409]* #,##0_ ;_-[$$-409]* \-#,##0\ ;_-[$$-409]* &quot;-&quot;??_ ;_-@_ "/>
    <numFmt numFmtId="169" formatCode="_-* #,##0.0_-;\-* #,##0.0_-;_-* &quot;-&quot;??_-;_-@_-"/>
    <numFmt numFmtId="170" formatCode="0.0"/>
    <numFmt numFmtId="171" formatCode="dd\ mmmm\ yyyy"/>
    <numFmt numFmtId="172" formatCode="_-* #,##0.0_-;\-* #,##0.0_-;_-* &quot;-&quot;?_-;_-@_-"/>
    <numFmt numFmtId="173" formatCode="_-[$$-409]* #,##0.0000_ ;_-[$$-409]* \-#,##0.0000\ ;_-[$$-409]* &quot;-&quot;??_ ;_-@_ "/>
    <numFmt numFmtId="174" formatCode="0.0000"/>
    <numFmt numFmtId="175" formatCode="_-* #,##0.00000_-;\-* #,##0.00000_-;_-* &quot;-&quot;??_-;_-@_-"/>
    <numFmt numFmtId="176" formatCode="_-[$$-409]* #,##0.000_ ;_-[$$-409]* \-#,##0.000\ ;_-[$$-409]* &quot;-&quot;??_ ;_-@_ "/>
  </numFmts>
  <fonts count="70" x14ac:knownFonts="1">
    <font>
      <sz val="10"/>
      <color theme="1"/>
      <name val="Calibri Light"/>
      <family val="2"/>
      <scheme val="minor"/>
    </font>
    <font>
      <sz val="11"/>
      <color theme="1"/>
      <name val="Calibri Light"/>
      <family val="2"/>
      <scheme val="minor"/>
    </font>
    <font>
      <b/>
      <sz val="11"/>
      <color theme="1"/>
      <name val="Calibri Light"/>
      <family val="2"/>
      <scheme val="minor"/>
    </font>
    <font>
      <i/>
      <sz val="11"/>
      <color theme="1"/>
      <name val="Calibri Light"/>
      <family val="2"/>
      <scheme val="minor"/>
    </font>
    <font>
      <sz val="8"/>
      <name val="Calibri Light"/>
      <family val="2"/>
      <scheme val="minor"/>
    </font>
    <font>
      <i/>
      <sz val="8"/>
      <color theme="1"/>
      <name val="Calibri Light"/>
      <family val="2"/>
      <scheme val="minor"/>
    </font>
    <font>
      <i/>
      <sz val="9"/>
      <color rgb="FF7F7F7F"/>
      <name val="Calibri Light"/>
      <family val="2"/>
      <scheme val="minor"/>
    </font>
    <font>
      <b/>
      <sz val="11"/>
      <color rgb="FF3F3F76"/>
      <name val="Calibri"/>
      <family val="2"/>
      <scheme val="major"/>
    </font>
    <font>
      <b/>
      <sz val="10"/>
      <color theme="1"/>
      <name val="Calibri Light"/>
      <family val="2"/>
      <scheme val="minor"/>
    </font>
    <font>
      <i/>
      <sz val="10"/>
      <color theme="1"/>
      <name val="Calibri Light"/>
      <family val="2"/>
      <scheme val="minor"/>
    </font>
    <font>
      <b/>
      <sz val="10"/>
      <color rgb="FFFA7D00"/>
      <name val="Calibri Light"/>
      <family val="2"/>
      <scheme val="minor"/>
    </font>
    <font>
      <b/>
      <sz val="15"/>
      <color theme="0"/>
      <name val="Calibri"/>
      <family val="2"/>
      <scheme val="major"/>
    </font>
    <font>
      <b/>
      <sz val="13"/>
      <color theme="0"/>
      <name val="Calibri"/>
      <family val="2"/>
      <scheme val="major"/>
    </font>
    <font>
      <b/>
      <sz val="11"/>
      <color theme="0"/>
      <name val="Calibri"/>
      <family val="2"/>
      <scheme val="major"/>
    </font>
    <font>
      <b/>
      <sz val="11"/>
      <color rgb="FF008DC9"/>
      <name val="Calibri Light"/>
      <family val="2"/>
      <scheme val="minor"/>
    </font>
    <font>
      <b/>
      <sz val="10"/>
      <color rgb="FF3F3F76"/>
      <name val="Calibri Light"/>
      <family val="2"/>
      <scheme val="minor"/>
    </font>
    <font>
      <b/>
      <sz val="10"/>
      <color theme="0"/>
      <name val="Calibri Light"/>
      <family val="2"/>
      <scheme val="minor"/>
    </font>
    <font>
      <sz val="10"/>
      <color theme="1"/>
      <name val="Calibri Light"/>
      <family val="2"/>
      <scheme val="minor"/>
    </font>
    <font>
      <sz val="10"/>
      <color rgb="FFFF0000"/>
      <name val="Calibri Light"/>
      <family val="2"/>
      <scheme val="minor"/>
    </font>
    <font>
      <b/>
      <sz val="10"/>
      <color rgb="FFFF0000"/>
      <name val="Calibri Light"/>
      <family val="2"/>
      <scheme val="minor"/>
    </font>
    <font>
      <sz val="11"/>
      <color theme="0"/>
      <name val="Calibri"/>
      <family val="2"/>
      <scheme val="major"/>
    </font>
    <font>
      <i/>
      <sz val="9"/>
      <color theme="0"/>
      <name val="Calibri Light"/>
      <family val="2"/>
      <scheme val="minor"/>
    </font>
    <font>
      <b/>
      <i/>
      <sz val="10"/>
      <color theme="1"/>
      <name val="Calibri Light"/>
      <family val="2"/>
      <scheme val="minor"/>
    </font>
    <font>
      <sz val="10"/>
      <color theme="0"/>
      <name val="Calibri"/>
      <family val="2"/>
      <scheme val="major"/>
    </font>
    <font>
      <sz val="9"/>
      <color theme="0"/>
      <name val="Calibri"/>
      <family val="2"/>
      <scheme val="major"/>
    </font>
    <font>
      <sz val="9"/>
      <color theme="1"/>
      <name val="Calibri Light"/>
      <family val="2"/>
      <scheme val="minor"/>
    </font>
    <font>
      <b/>
      <sz val="9"/>
      <color theme="1"/>
      <name val="Calibri Light"/>
      <family val="2"/>
      <scheme val="minor"/>
    </font>
    <font>
      <sz val="10"/>
      <color rgb="FF006100"/>
      <name val="Calibri Light"/>
      <family val="2"/>
      <scheme val="minor"/>
    </font>
    <font>
      <u/>
      <sz val="10"/>
      <color theme="10"/>
      <name val="Calibri Light"/>
      <family val="2"/>
      <scheme val="minor"/>
    </font>
    <font>
      <i/>
      <sz val="10"/>
      <name val="Calibri Light"/>
      <family val="2"/>
      <scheme val="minor"/>
    </font>
    <font>
      <i/>
      <sz val="11"/>
      <color theme="0"/>
      <name val="Calibri"/>
      <family val="2"/>
      <scheme val="major"/>
    </font>
    <font>
      <b/>
      <sz val="9"/>
      <color theme="0"/>
      <name val="Calibri"/>
      <family val="2"/>
      <scheme val="major"/>
    </font>
    <font>
      <sz val="15"/>
      <color theme="0"/>
      <name val="Calibri"/>
      <family val="2"/>
      <scheme val="major"/>
    </font>
    <font>
      <sz val="10"/>
      <color rgb="FF3F3F76"/>
      <name val="Calibri Light"/>
      <family val="2"/>
      <scheme val="minor"/>
    </font>
    <font>
      <sz val="10"/>
      <color theme="0"/>
      <name val="Calibri Light"/>
      <family val="2"/>
      <scheme val="minor"/>
    </font>
    <font>
      <b/>
      <sz val="24"/>
      <color rgb="FFFF0000"/>
      <name val="Calibri"/>
      <family val="2"/>
      <scheme val="major"/>
    </font>
    <font>
      <b/>
      <sz val="10"/>
      <color theme="0"/>
      <name val="Calibri"/>
      <family val="2"/>
      <scheme val="major"/>
    </font>
    <font>
      <sz val="13"/>
      <color theme="0"/>
      <name val="Calibri"/>
      <family val="2"/>
      <scheme val="major"/>
    </font>
    <font>
      <b/>
      <sz val="9"/>
      <color rgb="FF008DC9"/>
      <name val="Calibri Light"/>
      <family val="2"/>
      <scheme val="minor"/>
    </font>
    <font>
      <i/>
      <sz val="10"/>
      <color rgb="FFFF0000"/>
      <name val="Calibri Light"/>
      <family val="2"/>
      <scheme val="minor"/>
    </font>
    <font>
      <b/>
      <sz val="10"/>
      <color rgb="FF3F3F3F"/>
      <name val="Calibri Light"/>
      <family val="2"/>
      <scheme val="minor"/>
    </font>
    <font>
      <sz val="10"/>
      <name val="Calibri Light"/>
      <family val="2"/>
      <scheme val="minor"/>
    </font>
    <font>
      <b/>
      <sz val="14"/>
      <color theme="0"/>
      <name val="Calibri"/>
      <family val="2"/>
      <scheme val="major"/>
    </font>
    <font>
      <b/>
      <u/>
      <sz val="10"/>
      <color theme="10"/>
      <name val="Calibri Light"/>
      <family val="2"/>
      <scheme val="minor"/>
    </font>
    <font>
      <b/>
      <i/>
      <sz val="10"/>
      <color rgb="FFFF0000"/>
      <name val="Calibri Light"/>
      <family val="2"/>
      <scheme val="minor"/>
    </font>
    <font>
      <b/>
      <sz val="11"/>
      <color rgb="FFFF0000"/>
      <name val="Calibri Light"/>
      <family val="2"/>
      <scheme val="minor"/>
    </font>
    <font>
      <b/>
      <sz val="11"/>
      <color rgb="FFC00000"/>
      <name val="Calibri Light"/>
      <family val="2"/>
      <scheme val="minor"/>
    </font>
    <font>
      <sz val="12"/>
      <color theme="0"/>
      <name val="Calibri"/>
      <family val="2"/>
      <scheme val="major"/>
    </font>
    <font>
      <i/>
      <sz val="10"/>
      <color theme="0"/>
      <name val="Calibri Light"/>
      <family val="2"/>
      <scheme val="minor"/>
    </font>
    <font>
      <b/>
      <sz val="10"/>
      <name val="Calibri Light"/>
      <family val="2"/>
      <scheme val="minor"/>
    </font>
    <font>
      <b/>
      <sz val="12"/>
      <name val="Calibri Light"/>
      <family val="2"/>
      <scheme val="minor"/>
    </font>
    <font>
      <b/>
      <sz val="12"/>
      <color theme="0"/>
      <name val="Calibri"/>
      <family val="2"/>
      <scheme val="major"/>
    </font>
    <font>
      <b/>
      <sz val="10"/>
      <color rgb="FF008DC9"/>
      <name val="Calibri Light"/>
      <family val="2"/>
      <scheme val="minor"/>
    </font>
    <font>
      <sz val="10"/>
      <color theme="1" tint="0.34998626667073579"/>
      <name val="Calibri Light"/>
      <family val="2"/>
      <scheme val="minor"/>
    </font>
    <font>
      <b/>
      <sz val="12"/>
      <color rgb="FFFF0000"/>
      <name val="Calibri Light"/>
      <family val="2"/>
      <scheme val="minor"/>
    </font>
    <font>
      <b/>
      <sz val="14"/>
      <color theme="1"/>
      <name val="Calibri Light"/>
      <family val="2"/>
      <scheme val="minor"/>
    </font>
    <font>
      <b/>
      <sz val="11"/>
      <color theme="0"/>
      <name val="Calibri Light"/>
      <family val="2"/>
      <scheme val="minor"/>
    </font>
    <font>
      <sz val="10"/>
      <color rgb="FF000000"/>
      <name val="Calibri Light"/>
      <family val="2"/>
      <scheme val="minor"/>
    </font>
    <font>
      <i/>
      <sz val="10"/>
      <color theme="3"/>
      <name val="Calibri Light"/>
      <family val="2"/>
      <scheme val="minor"/>
    </font>
    <font>
      <sz val="9"/>
      <color indexed="81"/>
      <name val="Tahoma"/>
      <family val="2"/>
    </font>
    <font>
      <sz val="8"/>
      <color theme="0"/>
      <name val="Calibri"/>
      <family val="2"/>
      <scheme val="major"/>
    </font>
    <font>
      <i/>
      <sz val="9"/>
      <color theme="0"/>
      <name val="Calibri"/>
      <family val="2"/>
      <scheme val="major"/>
    </font>
    <font>
      <b/>
      <sz val="14"/>
      <color theme="0"/>
      <name val="Bahnschrift"/>
      <family val="2"/>
    </font>
    <font>
      <b/>
      <sz val="14"/>
      <color rgb="FF525252"/>
      <name val="Bahnschrift"/>
      <family val="2"/>
    </font>
    <font>
      <b/>
      <sz val="14"/>
      <color rgb="FF3A3A3A"/>
      <name val="Bahnschrift"/>
      <family val="2"/>
    </font>
    <font>
      <sz val="10"/>
      <color rgb="FFF2F2F2"/>
      <name val="Calibri Light"/>
      <family val="2"/>
      <scheme val="minor"/>
    </font>
    <font>
      <sz val="10"/>
      <color rgb="FFF5F5F5"/>
      <name val="Calibri Light"/>
      <family val="2"/>
      <scheme val="minor"/>
    </font>
    <font>
      <sz val="8"/>
      <color theme="0"/>
      <name val="Calibri Light"/>
      <family val="2"/>
      <scheme val="minor"/>
    </font>
    <font>
      <sz val="10"/>
      <color rgb="FF0000FF"/>
      <name val="Calibri Light"/>
      <family val="2"/>
      <scheme val="minor"/>
    </font>
    <font>
      <i/>
      <sz val="9"/>
      <color theme="0" tint="-0.14999847407452621"/>
      <name val="Calibri Light"/>
      <family val="2"/>
      <scheme val="minor"/>
    </font>
  </fonts>
  <fills count="29">
    <fill>
      <patternFill patternType="none"/>
    </fill>
    <fill>
      <patternFill patternType="gray125"/>
    </fill>
    <fill>
      <patternFill patternType="solid">
        <fgColor rgb="FFFFCC99"/>
      </patternFill>
    </fill>
    <fill>
      <patternFill patternType="solid">
        <fgColor rgb="FFF2F2F2"/>
      </patternFill>
    </fill>
    <fill>
      <patternFill patternType="solid">
        <fgColor rgb="FFFFFFCC"/>
      </patternFill>
    </fill>
    <fill>
      <patternFill patternType="solid">
        <fgColor rgb="FFFFFF00"/>
        <bgColor indexed="64"/>
      </patternFill>
    </fill>
    <fill>
      <patternFill patternType="solid">
        <fgColor rgb="FF008DC9"/>
        <bgColor indexed="64"/>
      </patternFill>
    </fill>
    <fill>
      <patternFill patternType="solid">
        <fgColor theme="7" tint="0.79998168889431442"/>
        <bgColor indexed="64"/>
      </patternFill>
    </fill>
    <fill>
      <patternFill patternType="solid">
        <fgColor rgb="FFC6EFCE"/>
      </patternFill>
    </fill>
    <fill>
      <patternFill patternType="solid">
        <fgColor theme="5" tint="0.79998168889431442"/>
        <bgColor indexed="64"/>
      </patternFill>
    </fill>
    <fill>
      <patternFill patternType="solid">
        <fgColor theme="5" tint="-0.249977111117893"/>
        <bgColor indexed="64"/>
      </patternFill>
    </fill>
    <fill>
      <patternFill patternType="solid">
        <fgColor theme="7"/>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rgb="FFC9EEFF"/>
        <bgColor indexed="64"/>
      </patternFill>
    </fill>
    <fill>
      <patternFill patternType="solid">
        <fgColor theme="9"/>
        <bgColor indexed="64"/>
      </patternFill>
    </fill>
    <fill>
      <patternFill patternType="solid">
        <fgColor rgb="FFFF7575"/>
        <bgColor indexed="64"/>
      </patternFill>
    </fill>
    <fill>
      <patternFill patternType="solid">
        <fgColor rgb="FFFFCC99"/>
        <bgColor indexed="64"/>
      </patternFill>
    </fill>
    <fill>
      <patternFill patternType="solid">
        <fgColor rgb="FFC00000"/>
        <bgColor indexed="64"/>
      </patternFill>
    </fill>
    <fill>
      <patternFill patternType="solid">
        <fgColor rgb="FFFF0000"/>
        <bgColor indexed="64"/>
      </patternFill>
    </fill>
    <fill>
      <patternFill patternType="solid">
        <fgColor theme="9" tint="-0.24994659260841701"/>
        <bgColor indexed="64"/>
      </patternFill>
    </fill>
    <fill>
      <patternFill patternType="solid">
        <fgColor theme="7" tint="-0.499984740745262"/>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34998626667073579"/>
        <bgColor indexed="64"/>
      </patternFill>
    </fill>
    <fill>
      <patternFill patternType="solid">
        <fgColor rgb="FF3A3A3A"/>
        <bgColor indexed="64"/>
      </patternFill>
    </fill>
    <fill>
      <patternFill patternType="solid">
        <fgColor theme="1"/>
        <bgColor indexed="64"/>
      </patternFill>
    </fill>
    <fill>
      <patternFill patternType="solid">
        <fgColor theme="2"/>
        <bgColor indexed="64"/>
      </patternFill>
    </fill>
    <fill>
      <patternFill patternType="solid">
        <fgColor theme="0" tint="-0.14999847407452621"/>
        <bgColor indexed="64"/>
      </patternFill>
    </fill>
  </fills>
  <borders count="20">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hair">
        <color rgb="FF008DC9"/>
      </bottom>
      <diagonal/>
    </border>
    <border>
      <left style="thin">
        <color theme="4" tint="0.39997558519241921"/>
      </left>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top style="thin">
        <color theme="4" tint="0.39997558519241921"/>
      </top>
      <bottom/>
      <diagonal/>
    </border>
    <border>
      <left style="medium">
        <color rgb="FF008DC9"/>
      </left>
      <right style="medium">
        <color rgb="FF008DC9"/>
      </right>
      <top style="medium">
        <color rgb="FF008DC9"/>
      </top>
      <bottom style="medium">
        <color rgb="FF008DC9"/>
      </bottom>
      <diagonal/>
    </border>
    <border>
      <left style="thin">
        <color rgb="FF7F7F7F"/>
      </left>
      <right style="thin">
        <color rgb="FF7F7F7F"/>
      </right>
      <top/>
      <bottom/>
      <diagonal/>
    </border>
    <border>
      <left style="thin">
        <color rgb="FF3F3F3F"/>
      </left>
      <right style="thin">
        <color rgb="FF3F3F3F"/>
      </right>
      <top style="thin">
        <color rgb="FF3F3F3F"/>
      </top>
      <bottom style="thin">
        <color rgb="FF3F3F3F"/>
      </bottom>
      <diagonal/>
    </border>
    <border>
      <left style="hair">
        <color rgb="FF3F3F3F"/>
      </left>
      <right style="hair">
        <color rgb="FF3F3F3F"/>
      </right>
      <top style="hair">
        <color rgb="FF3F3F3F"/>
      </top>
      <bottom style="hair">
        <color rgb="FF3F3F3F"/>
      </bottom>
      <diagonal/>
    </border>
    <border>
      <left/>
      <right style="thin">
        <color rgb="FFB2B2B2"/>
      </right>
      <top/>
      <bottom/>
      <diagonal/>
    </border>
    <border>
      <left/>
      <right/>
      <top/>
      <bottom style="thin">
        <color rgb="FF7F7F7F"/>
      </bottom>
      <diagonal/>
    </border>
    <border>
      <left style="thin">
        <color rgb="FF7F7F7F"/>
      </left>
      <right/>
      <top style="thin">
        <color rgb="FF7F7F7F"/>
      </top>
      <bottom/>
      <diagonal/>
    </border>
    <border>
      <left style="thin">
        <color rgb="FF7F7F7F"/>
      </left>
      <right style="thin">
        <color rgb="FF7F7F7F"/>
      </right>
      <top style="thin">
        <color rgb="FF7F7F7F"/>
      </top>
      <bottom/>
      <diagonal/>
    </border>
    <border>
      <left style="thin">
        <color rgb="FF7F7F7F"/>
      </left>
      <right/>
      <top style="thin">
        <color rgb="FF7F7F7F"/>
      </top>
      <bottom style="thin">
        <color rgb="FF7F7F7F"/>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hair">
        <color rgb="FF3F3F3F"/>
      </left>
      <right/>
      <top/>
      <bottom/>
      <diagonal/>
    </border>
  </borders>
  <cellStyleXfs count="26">
    <xf numFmtId="0" fontId="0" fillId="0" borderId="0">
      <alignment vertical="center"/>
    </xf>
    <xf numFmtId="9" fontId="1" fillId="0" borderId="0" applyFont="0" applyFill="0" applyBorder="0" applyAlignment="0" applyProtection="0"/>
    <xf numFmtId="0" fontId="13" fillId="6" borderId="0" applyNumberFormat="0" applyAlignment="0" applyProtection="0"/>
    <xf numFmtId="0" fontId="49" fillId="2" borderId="1" applyNumberFormat="0" applyAlignment="0">
      <protection locked="0"/>
    </xf>
    <xf numFmtId="0" fontId="49" fillId="3" borderId="1" applyNumberFormat="0" applyAlignment="0" applyProtection="0"/>
    <xf numFmtId="0" fontId="36" fillId="16" borderId="11" applyNumberFormat="0" applyProtection="0">
      <alignment horizontal="center" vertical="center"/>
    </xf>
    <xf numFmtId="0" fontId="5" fillId="4" borderId="2" applyNumberFormat="0" applyProtection="0">
      <alignment horizontal="left" vertical="center"/>
    </xf>
    <xf numFmtId="0" fontId="6" fillId="0" borderId="0" applyNumberFormat="0" applyFill="0" applyBorder="0" applyAlignment="0" applyProtection="0"/>
    <xf numFmtId="43" fontId="1" fillId="0" borderId="0" applyFont="0" applyFill="0" applyBorder="0" applyAlignment="0" applyProtection="0"/>
    <xf numFmtId="0" fontId="12" fillId="6" borderId="0" applyNumberFormat="0" applyProtection="0">
      <alignment horizontal="left"/>
    </xf>
    <xf numFmtId="0" fontId="8" fillId="0" borderId="3" applyNumberFormat="0" applyFill="0" applyAlignment="0" applyProtection="0"/>
    <xf numFmtId="0" fontId="11" fillId="6" borderId="0" applyNumberFormat="0" applyProtection="0">
      <alignment horizontal="left"/>
    </xf>
    <xf numFmtId="0" fontId="14" fillId="0" borderId="4" applyNumberFormat="0" applyAlignment="0" applyProtection="0"/>
    <xf numFmtId="0" fontId="18" fillId="0" borderId="0" applyNumberFormat="0" applyFill="0" applyBorder="0" applyAlignment="0" applyProtection="0"/>
    <xf numFmtId="0" fontId="17" fillId="17" borderId="0" applyNumberFormat="0">
      <alignment horizontal="center" vertical="center"/>
      <protection locked="0"/>
    </xf>
    <xf numFmtId="0" fontId="27" fillId="8" borderId="0" applyNumberFormat="0" applyBorder="0" applyAlignment="0" applyProtection="0"/>
    <xf numFmtId="0" fontId="28" fillId="0" borderId="0" applyNumberFormat="0" applyFill="0" applyBorder="0" applyAlignment="0" applyProtection="0"/>
    <xf numFmtId="44" fontId="17" fillId="0" borderId="0" applyFont="0" applyFill="0" applyBorder="0" applyAlignment="0" applyProtection="0"/>
    <xf numFmtId="0" fontId="29" fillId="9" borderId="0" applyAlignment="0">
      <protection locked="0"/>
    </xf>
    <xf numFmtId="0" fontId="49" fillId="3" borderId="10" applyNumberFormat="0" applyAlignment="0" applyProtection="0"/>
    <xf numFmtId="0" fontId="62" fillId="25" borderId="0" applyProtection="0">
      <alignment horizontal="left" vertical="center"/>
    </xf>
    <xf numFmtId="0" fontId="36" fillId="20" borderId="0" applyNumberFormat="0">
      <alignment horizontal="center" vertical="center"/>
    </xf>
    <xf numFmtId="0" fontId="36" fillId="21" borderId="0" applyNumberFormat="0">
      <alignment horizontal="center" vertical="center"/>
    </xf>
    <xf numFmtId="0" fontId="53" fillId="0" borderId="0"/>
    <xf numFmtId="0" fontId="65" fillId="0" borderId="0" applyNumberFormat="0" applyFill="0" applyBorder="0" applyAlignment="0"/>
    <xf numFmtId="0" fontId="5" fillId="17" borderId="2" applyNumberFormat="0">
      <alignment vertical="center"/>
      <protection locked="0"/>
    </xf>
  </cellStyleXfs>
  <cellXfs count="716">
    <xf numFmtId="0" fontId="0" fillId="0" borderId="0" xfId="0">
      <alignment vertical="center"/>
    </xf>
    <xf numFmtId="0" fontId="18" fillId="0" borderId="0" xfId="13" applyFill="1" applyAlignment="1">
      <alignment horizontal="center"/>
    </xf>
    <xf numFmtId="0" fontId="6" fillId="0" borderId="0" xfId="7"/>
    <xf numFmtId="0" fontId="49" fillId="3" borderId="1" xfId="4"/>
    <xf numFmtId="0" fontId="36" fillId="16" borderId="11" xfId="5">
      <alignment horizontal="center" vertical="center"/>
    </xf>
    <xf numFmtId="0" fontId="0" fillId="0" borderId="0" xfId="0" applyAlignment="1">
      <alignment horizontal="right"/>
    </xf>
    <xf numFmtId="0" fontId="0" fillId="0" borderId="0" xfId="0" applyFill="1" applyBorder="1" applyAlignment="1">
      <alignment horizontal="right"/>
    </xf>
    <xf numFmtId="0" fontId="0" fillId="0" borderId="0" xfId="0" quotePrefix="1" applyAlignment="1">
      <alignment horizontal="right"/>
    </xf>
    <xf numFmtId="0" fontId="13" fillId="6" borderId="0" xfId="2"/>
    <xf numFmtId="0" fontId="0" fillId="0" borderId="0" xfId="0" applyFont="1">
      <alignment vertical="center"/>
    </xf>
    <xf numFmtId="0" fontId="2" fillId="0" borderId="0" xfId="0" applyFont="1">
      <alignment vertical="center"/>
    </xf>
    <xf numFmtId="164" fontId="49" fillId="3" borderId="1" xfId="4" applyNumberFormat="1"/>
    <xf numFmtId="0" fontId="5" fillId="4" borderId="2" xfId="6">
      <alignment horizontal="left" vertical="center"/>
    </xf>
    <xf numFmtId="0" fontId="7" fillId="2" borderId="1" xfId="3" applyFont="1">
      <protection locked="0"/>
    </xf>
    <xf numFmtId="164" fontId="0" fillId="0" borderId="0" xfId="0" applyNumberFormat="1">
      <alignment vertical="center"/>
    </xf>
    <xf numFmtId="0" fontId="0" fillId="0" borderId="0" xfId="0">
      <alignment vertical="center"/>
    </xf>
    <xf numFmtId="166" fontId="0" fillId="0" borderId="0" xfId="8" applyNumberFormat="1" applyFont="1"/>
    <xf numFmtId="0" fontId="12" fillId="6" borderId="0" xfId="9">
      <alignment horizontal="left"/>
    </xf>
    <xf numFmtId="0" fontId="12" fillId="6" borderId="0" xfId="9" applyAlignment="1">
      <alignment horizontal="right"/>
    </xf>
    <xf numFmtId="0" fontId="13" fillId="6" borderId="0" xfId="2" applyAlignment="1">
      <alignment horizontal="right"/>
    </xf>
    <xf numFmtId="0" fontId="8" fillId="0" borderId="3" xfId="10"/>
    <xf numFmtId="0" fontId="8" fillId="0" borderId="3" xfId="10" applyAlignment="1">
      <alignment horizontal="right"/>
    </xf>
    <xf numFmtId="0" fontId="3" fillId="0" borderId="0" xfId="0" applyFont="1" applyAlignment="1">
      <alignment horizontal="right"/>
    </xf>
    <xf numFmtId="0" fontId="0" fillId="0" borderId="0" xfId="0" applyFont="1" applyAlignment="1">
      <alignment horizontal="right"/>
    </xf>
    <xf numFmtId="167" fontId="49" fillId="3" borderId="1" xfId="4" applyNumberFormat="1"/>
    <xf numFmtId="0" fontId="0" fillId="0" borderId="0" xfId="0" applyAlignment="1">
      <alignment horizontal="center"/>
    </xf>
    <xf numFmtId="166" fontId="0" fillId="0" borderId="0" xfId="0" applyNumberFormat="1">
      <alignment vertical="center"/>
    </xf>
    <xf numFmtId="0" fontId="11" fillId="6" borderId="0" xfId="11">
      <alignment horizontal="left"/>
    </xf>
    <xf numFmtId="0" fontId="11" fillId="6" borderId="0" xfId="11" applyAlignment="1">
      <alignment horizontal="right"/>
    </xf>
    <xf numFmtId="166" fontId="11" fillId="6" borderId="0" xfId="11" applyNumberFormat="1">
      <alignment horizontal="left"/>
    </xf>
    <xf numFmtId="0" fontId="14" fillId="0" borderId="4" xfId="12"/>
    <xf numFmtId="0" fontId="9" fillId="0" borderId="0" xfId="0" applyFont="1" applyAlignment="1">
      <alignment horizontal="right"/>
    </xf>
    <xf numFmtId="166" fontId="49" fillId="2" borderId="1" xfId="3" applyNumberFormat="1">
      <protection locked="0"/>
    </xf>
    <xf numFmtId="0" fontId="13" fillId="6" borderId="0" xfId="2" applyAlignment="1">
      <alignment horizontal="left"/>
    </xf>
    <xf numFmtId="0" fontId="8" fillId="0" borderId="0" xfId="0" applyFont="1">
      <alignment vertical="center"/>
    </xf>
    <xf numFmtId="0" fontId="49" fillId="2" borderId="1" xfId="3">
      <protection locked="0"/>
    </xf>
    <xf numFmtId="0" fontId="49" fillId="2" borderId="1" xfId="3" applyAlignment="1">
      <alignment horizontal="right"/>
      <protection locked="0"/>
    </xf>
    <xf numFmtId="168" fontId="0" fillId="0" borderId="0" xfId="0" applyNumberFormat="1">
      <alignment vertical="center"/>
    </xf>
    <xf numFmtId="0" fontId="0" fillId="5" borderId="0" xfId="0" applyFill="1">
      <alignment vertical="center"/>
    </xf>
    <xf numFmtId="164" fontId="49" fillId="2" borderId="1" xfId="3" applyNumberFormat="1">
      <protection locked="0"/>
    </xf>
    <xf numFmtId="9" fontId="49" fillId="2" borderId="1" xfId="3" applyNumberFormat="1">
      <protection locked="0"/>
    </xf>
    <xf numFmtId="0" fontId="14" fillId="0" borderId="4" xfId="12" applyAlignment="1">
      <alignment horizontal="center"/>
    </xf>
    <xf numFmtId="166" fontId="13" fillId="6" borderId="0" xfId="2" applyNumberFormat="1"/>
    <xf numFmtId="9" fontId="11" fillId="6" borderId="0" xfId="1" applyFont="1" applyFill="1"/>
    <xf numFmtId="9" fontId="0" fillId="0" borderId="0" xfId="1" applyFont="1"/>
    <xf numFmtId="9" fontId="13" fillId="6" borderId="0" xfId="1" applyFont="1" applyFill="1"/>
    <xf numFmtId="9" fontId="18" fillId="0" borderId="0" xfId="13" applyNumberFormat="1"/>
    <xf numFmtId="0" fontId="18" fillId="0" borderId="0" xfId="13"/>
    <xf numFmtId="166" fontId="13" fillId="6" borderId="0" xfId="2" applyNumberFormat="1" applyAlignment="1">
      <alignment horizontal="center"/>
    </xf>
    <xf numFmtId="0" fontId="14" fillId="0" borderId="4" xfId="12" applyAlignment="1">
      <alignment horizontal="center" wrapText="1"/>
    </xf>
    <xf numFmtId="9" fontId="14" fillId="0" borderId="4" xfId="12" applyNumberFormat="1" applyAlignment="1">
      <alignment horizontal="center"/>
    </xf>
    <xf numFmtId="0" fontId="8" fillId="0" borderId="0" xfId="0" applyFont="1" applyAlignment="1">
      <alignment horizontal="left"/>
    </xf>
    <xf numFmtId="166" fontId="17" fillId="0" borderId="0" xfId="8" applyNumberFormat="1" applyFont="1"/>
    <xf numFmtId="9" fontId="13" fillId="6" borderId="0" xfId="2" applyNumberFormat="1"/>
    <xf numFmtId="9" fontId="6" fillId="0" borderId="0" xfId="7" applyNumberFormat="1"/>
    <xf numFmtId="0" fontId="14" fillId="0" borderId="4" xfId="12" applyAlignment="1">
      <alignment horizontal="right"/>
    </xf>
    <xf numFmtId="166" fontId="6" fillId="0" borderId="0" xfId="7" applyNumberFormat="1"/>
    <xf numFmtId="165" fontId="49" fillId="3" borderId="1" xfId="4" applyNumberFormat="1"/>
    <xf numFmtId="0" fontId="20" fillId="6" borderId="0" xfId="2" applyFont="1"/>
    <xf numFmtId="166" fontId="20" fillId="6" borderId="0" xfId="8" applyNumberFormat="1" applyFont="1" applyFill="1"/>
    <xf numFmtId="166" fontId="20" fillId="6" borderId="0" xfId="2" applyNumberFormat="1" applyFont="1"/>
    <xf numFmtId="166" fontId="21" fillId="0" borderId="0" xfId="7" applyNumberFormat="1" applyFont="1"/>
    <xf numFmtId="166" fontId="0" fillId="0" borderId="0" xfId="0" applyNumberFormat="1" applyFill="1">
      <alignment vertical="center"/>
    </xf>
    <xf numFmtId="168" fontId="0" fillId="0" borderId="0" xfId="0" applyNumberFormat="1" applyFill="1">
      <alignment vertical="center"/>
    </xf>
    <xf numFmtId="0" fontId="0" fillId="0" borderId="0" xfId="0" quotePrefix="1" applyFont="1" applyAlignment="1">
      <alignment horizontal="right"/>
    </xf>
    <xf numFmtId="0" fontId="17" fillId="0" borderId="0" xfId="0" applyFont="1">
      <alignment vertical="center"/>
    </xf>
    <xf numFmtId="0" fontId="0" fillId="0" borderId="0" xfId="0" applyFont="1" applyFill="1" applyAlignment="1">
      <alignment horizontal="right"/>
    </xf>
    <xf numFmtId="9" fontId="49" fillId="3" borderId="1" xfId="4" applyNumberFormat="1"/>
    <xf numFmtId="0" fontId="0" fillId="0" borderId="0" xfId="0" quotePrefix="1">
      <alignment vertical="center"/>
    </xf>
    <xf numFmtId="0" fontId="0" fillId="0" borderId="0" xfId="0" quotePrefix="1" applyFont="1">
      <alignment vertical="center"/>
    </xf>
    <xf numFmtId="0" fontId="13" fillId="6" borderId="0" xfId="2" quotePrefix="1" applyAlignment="1">
      <alignment horizontal="right"/>
    </xf>
    <xf numFmtId="9" fontId="6" fillId="0" borderId="4" xfId="7" applyNumberFormat="1" applyBorder="1" applyAlignment="1">
      <alignment horizontal="center"/>
    </xf>
    <xf numFmtId="0" fontId="6" fillId="0" borderId="0" xfId="7" applyAlignment="1">
      <alignment horizontal="right"/>
    </xf>
    <xf numFmtId="0" fontId="6" fillId="0" borderId="0" xfId="7" applyFill="1"/>
    <xf numFmtId="166" fontId="11" fillId="6" borderId="0" xfId="8" applyNumberFormat="1" applyFont="1" applyFill="1"/>
    <xf numFmtId="168" fontId="11" fillId="6" borderId="0" xfId="11" applyNumberFormat="1">
      <alignment horizontal="left"/>
    </xf>
    <xf numFmtId="168" fontId="14" fillId="0" borderId="4" xfId="12" applyNumberFormat="1"/>
    <xf numFmtId="2" fontId="49" fillId="3" borderId="1" xfId="4" applyNumberFormat="1"/>
    <xf numFmtId="0" fontId="18" fillId="0" borderId="0" xfId="13" applyFont="1"/>
    <xf numFmtId="168" fontId="0" fillId="0" borderId="0" xfId="8" applyNumberFormat="1" applyFont="1"/>
    <xf numFmtId="166" fontId="23" fillId="6" borderId="0" xfId="8" applyNumberFormat="1" applyFont="1" applyFill="1"/>
    <xf numFmtId="0" fontId="27" fillId="8" borderId="0" xfId="15"/>
    <xf numFmtId="168" fontId="24" fillId="6" borderId="0" xfId="2" applyNumberFormat="1" applyFont="1"/>
    <xf numFmtId="168" fontId="25" fillId="0" borderId="0" xfId="8" applyNumberFormat="1" applyFont="1"/>
    <xf numFmtId="168" fontId="26" fillId="0" borderId="3" xfId="10" applyNumberFormat="1" applyFont="1"/>
    <xf numFmtId="0" fontId="0" fillId="0" borderId="0" xfId="0" applyFill="1">
      <alignment vertical="center"/>
    </xf>
    <xf numFmtId="0" fontId="28" fillId="0" borderId="0" xfId="16"/>
    <xf numFmtId="0" fontId="27" fillId="8" borderId="0" xfId="15" applyFont="1"/>
    <xf numFmtId="0" fontId="10" fillId="3" borderId="1" xfId="4" applyFont="1"/>
    <xf numFmtId="43" fontId="0" fillId="0" borderId="0" xfId="0" applyNumberFormat="1">
      <alignment vertical="center"/>
    </xf>
    <xf numFmtId="0" fontId="6" fillId="0" borderId="0" xfId="7" applyAlignment="1">
      <alignment horizontal="left"/>
    </xf>
    <xf numFmtId="166" fontId="18" fillId="0" borderId="0" xfId="13" applyNumberFormat="1"/>
    <xf numFmtId="0" fontId="8" fillId="0" borderId="0" xfId="0" applyFont="1" applyFill="1" applyAlignment="1">
      <alignment horizontal="left"/>
    </xf>
    <xf numFmtId="0" fontId="8" fillId="0" borderId="3" xfId="10" applyFont="1" applyAlignment="1">
      <alignment horizontal="right"/>
    </xf>
    <xf numFmtId="168" fontId="0" fillId="0" borderId="0" xfId="17" applyNumberFormat="1" applyFont="1"/>
    <xf numFmtId="168" fontId="25" fillId="0" borderId="0" xfId="8" applyNumberFormat="1" applyFont="1" applyFill="1"/>
    <xf numFmtId="168" fontId="0" fillId="0" borderId="0" xfId="0" applyNumberFormat="1" applyAlignment="1">
      <alignment horizontal="center"/>
    </xf>
    <xf numFmtId="0" fontId="8" fillId="0" borderId="0" xfId="0" applyFont="1" applyAlignment="1">
      <alignment horizontal="right"/>
    </xf>
    <xf numFmtId="0" fontId="9" fillId="0" borderId="0" xfId="0" quotePrefix="1" applyFont="1" applyAlignment="1">
      <alignment horizontal="right"/>
    </xf>
    <xf numFmtId="0" fontId="6" fillId="0" borderId="0" xfId="7" applyAlignment="1">
      <alignment wrapText="1"/>
    </xf>
    <xf numFmtId="0" fontId="19" fillId="0" borderId="0" xfId="13" applyFont="1"/>
    <xf numFmtId="164" fontId="49" fillId="3" borderId="1" xfId="4" applyNumberFormat="1" applyAlignment="1">
      <alignment horizontal="right"/>
    </xf>
    <xf numFmtId="166" fontId="36" fillId="16" borderId="11" xfId="5" applyNumberFormat="1">
      <alignment horizontal="center" vertical="center"/>
    </xf>
    <xf numFmtId="0" fontId="49" fillId="2" borderId="1" xfId="3" applyNumberFormat="1">
      <protection locked="0"/>
    </xf>
    <xf numFmtId="165" fontId="0" fillId="0" borderId="0" xfId="0" applyNumberFormat="1">
      <alignment vertical="center"/>
    </xf>
    <xf numFmtId="0" fontId="9" fillId="0" borderId="0" xfId="0" applyFont="1" applyFill="1" applyAlignment="1">
      <alignment horizontal="right"/>
    </xf>
    <xf numFmtId="166" fontId="13" fillId="6" borderId="0" xfId="2" applyNumberFormat="1" applyAlignment="1">
      <alignment horizontal="center"/>
    </xf>
    <xf numFmtId="0" fontId="0" fillId="0" borderId="0" xfId="0" quotePrefix="1" applyFont="1" applyFill="1" applyAlignment="1">
      <alignment horizontal="right"/>
    </xf>
    <xf numFmtId="0" fontId="0" fillId="0" borderId="0" xfId="0" applyNumberFormat="1">
      <alignment vertical="center"/>
    </xf>
    <xf numFmtId="22" fontId="0" fillId="0" borderId="0" xfId="0" applyNumberFormat="1">
      <alignment vertical="center"/>
    </xf>
    <xf numFmtId="169" fontId="0" fillId="0" borderId="0" xfId="0" applyNumberFormat="1">
      <alignment vertical="center"/>
    </xf>
    <xf numFmtId="170" fontId="0" fillId="0" borderId="0" xfId="0" applyNumberFormat="1">
      <alignment vertical="center"/>
    </xf>
    <xf numFmtId="0" fontId="13" fillId="10" borderId="0" xfId="2" applyFill="1"/>
    <xf numFmtId="166" fontId="13" fillId="10" borderId="0" xfId="2" applyNumberFormat="1" applyFill="1" applyAlignment="1">
      <alignment horizontal="center"/>
    </xf>
    <xf numFmtId="166" fontId="0" fillId="0" borderId="0" xfId="8" applyNumberFormat="1" applyFont="1" applyFill="1"/>
    <xf numFmtId="0" fontId="11" fillId="6" borderId="0" xfId="11" applyFont="1">
      <alignment horizontal="left"/>
    </xf>
    <xf numFmtId="43" fontId="49" fillId="2" borderId="1" xfId="3" applyNumberFormat="1">
      <protection locked="0"/>
    </xf>
    <xf numFmtId="168" fontId="49" fillId="3" borderId="1" xfId="4" applyNumberFormat="1"/>
    <xf numFmtId="168" fontId="8" fillId="0" borderId="3" xfId="10" applyNumberFormat="1"/>
    <xf numFmtId="166" fontId="8" fillId="0" borderId="3" xfId="10" applyNumberFormat="1"/>
    <xf numFmtId="0" fontId="14" fillId="0" borderId="4" xfId="12" applyAlignment="1">
      <alignment wrapText="1"/>
    </xf>
    <xf numFmtId="0" fontId="0" fillId="11" borderId="0" xfId="0" applyFill="1">
      <alignment vertical="center"/>
    </xf>
    <xf numFmtId="0" fontId="0" fillId="0" borderId="0" xfId="0">
      <alignment vertical="center"/>
    </xf>
    <xf numFmtId="0" fontId="13" fillId="6" borderId="0" xfId="2" applyAlignment="1">
      <alignment horizontal="center"/>
    </xf>
    <xf numFmtId="0" fontId="0" fillId="13" borderId="5" xfId="0" applyFont="1" applyFill="1" applyBorder="1">
      <alignment vertical="center"/>
    </xf>
    <xf numFmtId="2" fontId="0" fillId="0" borderId="0" xfId="0" applyNumberFormat="1">
      <alignment vertical="center"/>
    </xf>
    <xf numFmtId="14" fontId="0" fillId="0" borderId="0" xfId="0" applyNumberFormat="1">
      <alignment vertical="center"/>
    </xf>
    <xf numFmtId="2" fontId="0" fillId="0" borderId="0" xfId="0" applyNumberFormat="1">
      <alignment vertical="center"/>
    </xf>
    <xf numFmtId="0" fontId="16" fillId="12" borderId="6" xfId="0" applyFont="1" applyFill="1" applyBorder="1">
      <alignment vertical="center"/>
    </xf>
    <xf numFmtId="0" fontId="0" fillId="13" borderId="6" xfId="0" applyFont="1" applyFill="1" applyBorder="1">
      <alignment vertical="center"/>
    </xf>
    <xf numFmtId="0" fontId="0" fillId="13" borderId="7" xfId="0" applyFont="1" applyFill="1" applyBorder="1">
      <alignment vertical="center"/>
    </xf>
    <xf numFmtId="14" fontId="0" fillId="13" borderId="7" xfId="0" applyNumberFormat="1" applyFont="1" applyFill="1" applyBorder="1">
      <alignment vertical="center"/>
    </xf>
    <xf numFmtId="0" fontId="0" fillId="0" borderId="6" xfId="0" applyFont="1" applyBorder="1">
      <alignment vertical="center"/>
    </xf>
    <xf numFmtId="0" fontId="0" fillId="0" borderId="7" xfId="0" applyFont="1" applyBorder="1">
      <alignment vertical="center"/>
    </xf>
    <xf numFmtId="14" fontId="0" fillId="0" borderId="7" xfId="0" applyNumberFormat="1" applyFont="1" applyBorder="1">
      <alignment vertical="center"/>
    </xf>
    <xf numFmtId="2" fontId="0" fillId="13" borderId="7" xfId="0" applyNumberFormat="1" applyFont="1" applyFill="1" applyBorder="1">
      <alignment vertical="center"/>
    </xf>
    <xf numFmtId="2" fontId="0" fillId="0" borderId="7" xfId="0" applyNumberFormat="1" applyFont="1" applyBorder="1">
      <alignment vertical="center"/>
    </xf>
    <xf numFmtId="0" fontId="16" fillId="12" borderId="0" xfId="0" applyFont="1" applyFill="1" applyBorder="1">
      <alignment vertical="center"/>
    </xf>
    <xf numFmtId="14" fontId="16" fillId="12" borderId="0" xfId="0" applyNumberFormat="1" applyFont="1" applyFill="1" applyBorder="1">
      <alignment vertical="center"/>
    </xf>
    <xf numFmtId="2" fontId="16" fillId="12" borderId="0" xfId="0" applyNumberFormat="1" applyFont="1" applyFill="1" applyBorder="1">
      <alignment vertical="center"/>
    </xf>
    <xf numFmtId="0" fontId="18" fillId="0" borderId="0" xfId="13" quotePrefix="1" applyAlignment="1">
      <alignment horizontal="center"/>
    </xf>
    <xf numFmtId="0" fontId="6" fillId="0" borderId="0" xfId="7" quotePrefix="1"/>
    <xf numFmtId="170" fontId="49" fillId="3" borderId="1" xfId="4" applyNumberFormat="1"/>
    <xf numFmtId="0" fontId="5" fillId="4" borderId="2" xfId="6" quotePrefix="1">
      <alignment horizontal="left" vertical="center"/>
    </xf>
    <xf numFmtId="0" fontId="13" fillId="6" borderId="0" xfId="2" quotePrefix="1"/>
    <xf numFmtId="0" fontId="49" fillId="3" borderId="1" xfId="4" applyNumberFormat="1" applyAlignment="1">
      <alignment horizontal="right"/>
    </xf>
    <xf numFmtId="169" fontId="0" fillId="0" borderId="0" xfId="8" applyNumberFormat="1" applyFont="1"/>
    <xf numFmtId="0" fontId="49" fillId="3" borderId="1" xfId="4" applyNumberFormat="1"/>
    <xf numFmtId="0" fontId="13" fillId="6" borderId="0" xfId="2" applyAlignment="1"/>
    <xf numFmtId="168" fontId="31" fillId="6" borderId="0" xfId="2" applyNumberFormat="1" applyFont="1"/>
    <xf numFmtId="0" fontId="0" fillId="0" borderId="0" xfId="0">
      <alignment vertical="center"/>
    </xf>
    <xf numFmtId="169" fontId="49" fillId="3" borderId="1" xfId="4" applyNumberFormat="1"/>
    <xf numFmtId="168" fontId="8" fillId="0" borderId="0" xfId="0" applyNumberFormat="1" applyFont="1">
      <alignment vertical="center"/>
    </xf>
    <xf numFmtId="2" fontId="15" fillId="2" borderId="1" xfId="1" applyNumberFormat="1" applyFont="1" applyFill="1" applyBorder="1"/>
    <xf numFmtId="2" fontId="49" fillId="2" borderId="1" xfId="3" applyNumberFormat="1">
      <protection locked="0"/>
    </xf>
    <xf numFmtId="0" fontId="18" fillId="0" borderId="0" xfId="13" applyAlignment="1">
      <alignment horizontal="right"/>
    </xf>
    <xf numFmtId="0" fontId="32" fillId="6" borderId="0" xfId="11" applyFont="1">
      <alignment horizontal="left"/>
    </xf>
    <xf numFmtId="166" fontId="5" fillId="4" borderId="2" xfId="6" applyNumberFormat="1">
      <alignment horizontal="left" vertical="center"/>
    </xf>
    <xf numFmtId="168" fontId="9" fillId="0" borderId="0" xfId="0" applyNumberFormat="1" applyFont="1">
      <alignment vertical="center"/>
    </xf>
    <xf numFmtId="0" fontId="9" fillId="0" borderId="0" xfId="0" applyFont="1">
      <alignment vertical="center"/>
    </xf>
    <xf numFmtId="164" fontId="9" fillId="0" borderId="0" xfId="0" applyNumberFormat="1" applyFont="1">
      <alignment vertical="center"/>
    </xf>
    <xf numFmtId="166" fontId="8" fillId="0" borderId="3" xfId="8" applyNumberFormat="1" applyFont="1" applyBorder="1"/>
    <xf numFmtId="165" fontId="0" fillId="0" borderId="0" xfId="1" applyNumberFormat="1" applyFont="1"/>
    <xf numFmtId="9" fontId="11" fillId="6" borderId="0" xfId="11" applyNumberFormat="1">
      <alignment horizontal="left"/>
    </xf>
    <xf numFmtId="0" fontId="18" fillId="0" borderId="0" xfId="13" applyAlignment="1">
      <alignment horizontal="center" wrapText="1"/>
    </xf>
    <xf numFmtId="0" fontId="34" fillId="0" borderId="0" xfId="0" applyFont="1">
      <alignment vertical="center"/>
    </xf>
    <xf numFmtId="0" fontId="0" fillId="0" borderId="0" xfId="0" applyAlignment="1">
      <alignment vertical="center"/>
    </xf>
    <xf numFmtId="0" fontId="14" fillId="0" borderId="4" xfId="12" applyAlignment="1">
      <alignment horizontal="right" vertical="center"/>
    </xf>
    <xf numFmtId="0" fontId="0" fillId="14" borderId="0" xfId="0" applyFill="1">
      <alignment vertical="center"/>
    </xf>
    <xf numFmtId="0" fontId="49" fillId="3" borderId="1" xfId="4" applyAlignment="1">
      <alignment horizontal="right"/>
    </xf>
    <xf numFmtId="168" fontId="36" fillId="6" borderId="0" xfId="2" applyNumberFormat="1" applyFont="1" applyAlignment="1"/>
    <xf numFmtId="168" fontId="36" fillId="10" borderId="0" xfId="2" applyNumberFormat="1" applyFont="1" applyFill="1" applyAlignment="1"/>
    <xf numFmtId="166" fontId="12" fillId="6" borderId="0" xfId="9" applyNumberFormat="1">
      <alignment horizontal="left"/>
    </xf>
    <xf numFmtId="0" fontId="37" fillId="6" borderId="0" xfId="9" applyFont="1">
      <alignment horizontal="left"/>
    </xf>
    <xf numFmtId="166" fontId="37" fillId="6" borderId="0" xfId="9" applyNumberFormat="1" applyFont="1">
      <alignment horizontal="left"/>
    </xf>
    <xf numFmtId="166" fontId="20" fillId="6" borderId="0" xfId="9" applyNumberFormat="1" applyFont="1">
      <alignment horizontal="left"/>
    </xf>
    <xf numFmtId="164" fontId="9" fillId="0" borderId="0" xfId="8" applyNumberFormat="1" applyFont="1"/>
    <xf numFmtId="166" fontId="14" fillId="0" borderId="4" xfId="12" applyNumberFormat="1"/>
    <xf numFmtId="166" fontId="49" fillId="3" borderId="1" xfId="4" applyNumberFormat="1"/>
    <xf numFmtId="0" fontId="13" fillId="6" borderId="0" xfId="2" applyAlignment="1">
      <alignment horizontal="center"/>
    </xf>
    <xf numFmtId="0" fontId="13" fillId="6" borderId="0" xfId="2" applyAlignment="1">
      <alignment horizontal="center"/>
    </xf>
    <xf numFmtId="0" fontId="0" fillId="0" borderId="0" xfId="0">
      <alignment vertical="center"/>
    </xf>
    <xf numFmtId="0" fontId="0" fillId="15" borderId="0" xfId="0" applyFill="1">
      <alignment vertical="center"/>
    </xf>
    <xf numFmtId="0" fontId="0" fillId="0" borderId="0" xfId="0">
      <alignment vertical="center"/>
    </xf>
    <xf numFmtId="0" fontId="0" fillId="0" borderId="0" xfId="8" applyNumberFormat="1" applyFont="1"/>
    <xf numFmtId="0" fontId="0" fillId="0" borderId="0" xfId="0" applyAlignment="1">
      <alignment wrapText="1"/>
    </xf>
    <xf numFmtId="2" fontId="14" fillId="0" borderId="4" xfId="12" applyNumberFormat="1" applyAlignment="1">
      <alignment wrapText="1"/>
    </xf>
    <xf numFmtId="2" fontId="5" fillId="4" borderId="2" xfId="6" applyNumberFormat="1">
      <alignment horizontal="left" vertical="center"/>
    </xf>
    <xf numFmtId="168" fontId="13" fillId="6" borderId="0" xfId="2" applyNumberFormat="1"/>
    <xf numFmtId="168" fontId="0" fillId="0" borderId="0" xfId="0" applyNumberFormat="1" applyAlignment="1">
      <alignment wrapText="1"/>
    </xf>
    <xf numFmtId="0" fontId="8" fillId="0" borderId="3" xfId="10" applyFill="1" applyAlignment="1">
      <alignment horizontal="right"/>
    </xf>
    <xf numFmtId="0" fontId="13" fillId="6" borderId="0" xfId="2" applyAlignment="1">
      <alignment horizontal="center"/>
    </xf>
    <xf numFmtId="0" fontId="6" fillId="0" borderId="0" xfId="7" applyAlignment="1">
      <alignment horizontal="center"/>
    </xf>
    <xf numFmtId="0" fontId="0" fillId="0" borderId="0" xfId="0">
      <alignment vertical="center"/>
    </xf>
    <xf numFmtId="0" fontId="0" fillId="0" borderId="0" xfId="0">
      <alignment vertical="center"/>
    </xf>
    <xf numFmtId="168" fontId="20" fillId="6" borderId="0" xfId="2" applyNumberFormat="1" applyFont="1"/>
    <xf numFmtId="0" fontId="6" fillId="0" borderId="0" xfId="7" applyFill="1" applyBorder="1" applyAlignment="1">
      <alignment horizontal="right"/>
    </xf>
    <xf numFmtId="0" fontId="21" fillId="0" borderId="0" xfId="7" applyFont="1" applyAlignment="1">
      <alignment horizontal="right"/>
    </xf>
    <xf numFmtId="0" fontId="21" fillId="0" borderId="0" xfId="7" applyFont="1"/>
    <xf numFmtId="168" fontId="6" fillId="0" borderId="0" xfId="7" applyNumberFormat="1"/>
    <xf numFmtId="0" fontId="38" fillId="0" borderId="4" xfId="12" applyFont="1" applyAlignment="1">
      <alignment horizontal="center" wrapText="1"/>
    </xf>
    <xf numFmtId="166" fontId="9" fillId="0" borderId="0" xfId="0" applyNumberFormat="1" applyFont="1" applyFill="1">
      <alignment vertical="center"/>
    </xf>
    <xf numFmtId="166" fontId="6" fillId="0" borderId="0" xfId="7" applyNumberFormat="1" applyFont="1" applyFill="1"/>
    <xf numFmtId="2" fontId="13" fillId="6" borderId="0" xfId="2" applyNumberFormat="1"/>
    <xf numFmtId="9" fontId="0" fillId="0" borderId="0" xfId="1" applyNumberFormat="1" applyFont="1"/>
    <xf numFmtId="169" fontId="49" fillId="2" borderId="1" xfId="3" applyNumberFormat="1">
      <protection locked="0"/>
    </xf>
    <xf numFmtId="168" fontId="36" fillId="6" borderId="0" xfId="2" applyNumberFormat="1" applyFont="1"/>
    <xf numFmtId="168" fontId="49" fillId="3" borderId="10" xfId="19" applyNumberFormat="1"/>
    <xf numFmtId="0" fontId="49" fillId="3" borderId="10" xfId="19"/>
    <xf numFmtId="166" fontId="12" fillId="6" borderId="0" xfId="8" applyNumberFormat="1" applyFont="1" applyFill="1" applyAlignment="1">
      <alignment horizontal="center"/>
    </xf>
    <xf numFmtId="0" fontId="13" fillId="10" borderId="0" xfId="2" applyFill="1" applyAlignment="1">
      <alignment horizontal="right"/>
    </xf>
    <xf numFmtId="9" fontId="13" fillId="10" borderId="0" xfId="2" applyNumberFormat="1" applyFill="1"/>
    <xf numFmtId="9" fontId="13" fillId="10" borderId="0" xfId="1" applyFont="1" applyFill="1"/>
    <xf numFmtId="9" fontId="34" fillId="0" borderId="0" xfId="0" quotePrefix="1" applyNumberFormat="1" applyFont="1">
      <alignment vertical="center"/>
    </xf>
    <xf numFmtId="0" fontId="33" fillId="2" borderId="1" xfId="3" applyFont="1">
      <protection locked="0"/>
    </xf>
    <xf numFmtId="0" fontId="14" fillId="0" borderId="0" xfId="12" applyFill="1" applyBorder="1" applyAlignment="1">
      <alignment horizontal="center"/>
    </xf>
    <xf numFmtId="0" fontId="18" fillId="0" borderId="0" xfId="13" applyAlignment="1">
      <alignment horizontal="left"/>
    </xf>
    <xf numFmtId="0" fontId="13" fillId="6" borderId="0" xfId="2" applyAlignment="1">
      <alignment horizontal="center"/>
    </xf>
    <xf numFmtId="164" fontId="11" fillId="6" borderId="0" xfId="11" applyNumberFormat="1">
      <alignment horizontal="left"/>
    </xf>
    <xf numFmtId="164" fontId="13" fillId="6" borderId="0" xfId="2" applyNumberFormat="1" applyAlignment="1">
      <alignment horizontal="center"/>
    </xf>
    <xf numFmtId="164" fontId="0" fillId="0" borderId="0" xfId="0" applyNumberFormat="1" applyAlignment="1">
      <alignment horizontal="center"/>
    </xf>
    <xf numFmtId="164" fontId="6" fillId="0" borderId="0" xfId="7" applyNumberFormat="1"/>
    <xf numFmtId="164" fontId="13" fillId="6" borderId="0" xfId="2" applyNumberFormat="1"/>
    <xf numFmtId="0" fontId="8" fillId="0" borderId="0" xfId="0" applyFont="1" applyFill="1" applyBorder="1" applyAlignment="1">
      <alignment horizontal="left"/>
    </xf>
    <xf numFmtId="0" fontId="62" fillId="25" borderId="0" xfId="20">
      <alignment horizontal="left" vertical="center"/>
    </xf>
    <xf numFmtId="0" fontId="42" fillId="25" borderId="0" xfId="20" applyFont="1">
      <alignment horizontal="left" vertical="center"/>
    </xf>
    <xf numFmtId="9" fontId="17" fillId="17" borderId="0" xfId="14" applyNumberFormat="1">
      <alignment horizontal="center" vertical="center"/>
      <protection locked="0"/>
    </xf>
    <xf numFmtId="0" fontId="43" fillId="0" borderId="0" xfId="16" applyFont="1"/>
    <xf numFmtId="0" fontId="28" fillId="0" borderId="0" xfId="16" applyAlignment="1">
      <alignment horizontal="right"/>
    </xf>
    <xf numFmtId="0" fontId="8" fillId="0" borderId="0" xfId="0" applyFont="1" applyAlignment="1">
      <alignment wrapText="1"/>
    </xf>
    <xf numFmtId="0" fontId="8" fillId="0" borderId="0" xfId="0" applyFont="1" applyFill="1">
      <alignment vertical="center"/>
    </xf>
    <xf numFmtId="0" fontId="49" fillId="3" borderId="10" xfId="19" applyNumberFormat="1"/>
    <xf numFmtId="164" fontId="8" fillId="0" borderId="3" xfId="10" applyNumberFormat="1"/>
    <xf numFmtId="9" fontId="36" fillId="16" borderId="11" xfId="5" applyNumberFormat="1">
      <alignment horizontal="center" vertical="center"/>
    </xf>
    <xf numFmtId="0" fontId="13" fillId="6" borderId="0" xfId="2" applyAlignment="1">
      <alignment horizontal="center"/>
    </xf>
    <xf numFmtId="0" fontId="19" fillId="0" borderId="0" xfId="13" applyFont="1" applyAlignment="1">
      <alignment horizontal="center"/>
    </xf>
    <xf numFmtId="164" fontId="49" fillId="3" borderId="1" xfId="4" applyNumberFormat="1" applyAlignment="1">
      <alignment horizontal="center" vertical="center"/>
    </xf>
    <xf numFmtId="164" fontId="11" fillId="6" borderId="0" xfId="11" applyNumberFormat="1" applyAlignment="1">
      <alignment horizontal="left"/>
    </xf>
    <xf numFmtId="0" fontId="9" fillId="0" borderId="0" xfId="0" applyFont="1" applyAlignment="1">
      <alignment horizontal="left"/>
    </xf>
    <xf numFmtId="167" fontId="0" fillId="0" borderId="0" xfId="0" applyNumberFormat="1">
      <alignment vertical="center"/>
    </xf>
    <xf numFmtId="164" fontId="0" fillId="0" borderId="0" xfId="0" applyNumberFormat="1" applyFont="1" applyAlignment="1">
      <alignment horizontal="right"/>
    </xf>
    <xf numFmtId="0" fontId="0" fillId="0" borderId="0" xfId="0">
      <alignment vertical="center"/>
    </xf>
    <xf numFmtId="170" fontId="0" fillId="0" borderId="0" xfId="0" applyNumberFormat="1">
      <alignment vertical="center"/>
    </xf>
    <xf numFmtId="164" fontId="0" fillId="0" borderId="0" xfId="0" applyNumberFormat="1">
      <alignment vertical="center"/>
    </xf>
    <xf numFmtId="0" fontId="8" fillId="0" borderId="3" xfId="10" quotePrefix="1" applyAlignment="1">
      <alignment horizontal="right"/>
    </xf>
    <xf numFmtId="0" fontId="8" fillId="0" borderId="0" xfId="0" applyFont="1" applyAlignment="1">
      <alignment horizontal="center"/>
    </xf>
    <xf numFmtId="167" fontId="6" fillId="0" borderId="0" xfId="7" applyNumberFormat="1"/>
    <xf numFmtId="0" fontId="22" fillId="0" borderId="0" xfId="0" applyFont="1" applyAlignment="1">
      <alignment horizontal="right"/>
    </xf>
    <xf numFmtId="170" fontId="8" fillId="0" borderId="3" xfId="10" applyNumberFormat="1"/>
    <xf numFmtId="0" fontId="14" fillId="0" borderId="4" xfId="12" applyAlignment="1">
      <alignment horizontal="center"/>
    </xf>
    <xf numFmtId="166" fontId="49" fillId="3" borderId="10" xfId="19" applyNumberFormat="1"/>
    <xf numFmtId="0" fontId="14" fillId="0" borderId="4" xfId="12" applyAlignment="1">
      <alignment horizontal="center"/>
    </xf>
    <xf numFmtId="9" fontId="9" fillId="0" borderId="0" xfId="1" applyFont="1"/>
    <xf numFmtId="9" fontId="6" fillId="0" borderId="0" xfId="7" applyNumberFormat="1" applyAlignment="1">
      <alignment horizontal="center"/>
    </xf>
    <xf numFmtId="166" fontId="9" fillId="0" borderId="0" xfId="8" applyNumberFormat="1" applyFont="1"/>
    <xf numFmtId="0" fontId="14" fillId="0" borderId="4" xfId="12" applyAlignment="1">
      <alignment horizontal="center"/>
    </xf>
    <xf numFmtId="166" fontId="21" fillId="0" borderId="0" xfId="7" applyNumberFormat="1" applyFont="1" applyFill="1"/>
    <xf numFmtId="9" fontId="40" fillId="3" borderId="10" xfId="1" applyFont="1" applyFill="1" applyBorder="1"/>
    <xf numFmtId="169" fontId="12" fillId="6" borderId="0" xfId="9" applyNumberFormat="1">
      <alignment horizontal="left"/>
    </xf>
    <xf numFmtId="0" fontId="13" fillId="6" borderId="0" xfId="9" applyFont="1">
      <alignment horizontal="left"/>
    </xf>
    <xf numFmtId="0" fontId="6" fillId="0" borderId="0" xfId="7" applyFill="1" applyAlignment="1">
      <alignment horizontal="right"/>
    </xf>
    <xf numFmtId="0" fontId="36" fillId="6" borderId="0" xfId="2" applyFont="1"/>
    <xf numFmtId="166" fontId="36" fillId="6" borderId="0" xfId="2" applyNumberFormat="1" applyFont="1" applyAlignment="1">
      <alignment horizontal="center"/>
    </xf>
    <xf numFmtId="0" fontId="36" fillId="6" borderId="0" xfId="2" applyFont="1" applyAlignment="1">
      <alignment horizontal="right"/>
    </xf>
    <xf numFmtId="9" fontId="49" fillId="3" borderId="10" xfId="19" applyNumberFormat="1"/>
    <xf numFmtId="166" fontId="14" fillId="0" borderId="4" xfId="8" applyNumberFormat="1" applyFont="1" applyBorder="1" applyAlignment="1">
      <alignment horizontal="center"/>
    </xf>
    <xf numFmtId="166" fontId="40" fillId="3" borderId="10" xfId="8" applyNumberFormat="1" applyFont="1" applyFill="1" applyBorder="1"/>
    <xf numFmtId="0" fontId="14" fillId="0" borderId="4" xfId="12" applyAlignment="1">
      <alignment horizontal="center"/>
    </xf>
    <xf numFmtId="170" fontId="13" fillId="6" borderId="0" xfId="2" applyNumberFormat="1"/>
    <xf numFmtId="2" fontId="0" fillId="0" borderId="0" xfId="0" applyNumberFormat="1" applyAlignment="1">
      <alignment horizontal="right"/>
    </xf>
    <xf numFmtId="0" fontId="0" fillId="0" borderId="0" xfId="0" applyFill="1" applyAlignment="1">
      <alignment horizontal="right"/>
    </xf>
    <xf numFmtId="0" fontId="0" fillId="0" borderId="0" xfId="0">
      <alignment vertical="center"/>
    </xf>
    <xf numFmtId="0" fontId="0" fillId="0" borderId="0" xfId="0">
      <alignment vertical="center"/>
    </xf>
    <xf numFmtId="2" fontId="0" fillId="0" borderId="0" xfId="0" applyNumberFormat="1">
      <alignment vertical="center"/>
    </xf>
    <xf numFmtId="0" fontId="6" fillId="0" borderId="4" xfId="7" applyBorder="1"/>
    <xf numFmtId="171" fontId="18" fillId="0" borderId="0" xfId="13" applyNumberFormat="1" applyAlignment="1">
      <alignment horizontal="left"/>
    </xf>
    <xf numFmtId="0" fontId="8" fillId="0" borderId="12" xfId="0" applyFont="1" applyBorder="1" applyAlignment="1">
      <alignment horizontal="center" vertical="center" textRotation="90"/>
    </xf>
    <xf numFmtId="164" fontId="0" fillId="0" borderId="0" xfId="17" applyNumberFormat="1" applyFont="1"/>
    <xf numFmtId="0" fontId="0" fillId="0" borderId="0" xfId="17" applyNumberFormat="1" applyFont="1"/>
    <xf numFmtId="0" fontId="8" fillId="0" borderId="0" xfId="0" applyFont="1" applyAlignment="1">
      <alignment horizontal="center" wrapText="1"/>
    </xf>
    <xf numFmtId="0" fontId="27" fillId="8" borderId="0" xfId="15" applyNumberFormat="1"/>
    <xf numFmtId="0" fontId="0" fillId="0" borderId="0" xfId="0">
      <alignment vertical="center"/>
    </xf>
    <xf numFmtId="168" fontId="8" fillId="0" borderId="3" xfId="10" applyNumberFormat="1" applyAlignment="1">
      <alignment horizontal="right"/>
    </xf>
    <xf numFmtId="168" fontId="9" fillId="0" borderId="0" xfId="8" applyNumberFormat="1" applyFont="1"/>
    <xf numFmtId="168" fontId="49" fillId="2" borderId="1" xfId="3" applyNumberFormat="1">
      <protection locked="0"/>
    </xf>
    <xf numFmtId="0" fontId="13" fillId="6" borderId="0" xfId="2" applyFont="1" applyAlignment="1">
      <alignment horizontal="left"/>
    </xf>
    <xf numFmtId="0" fontId="14" fillId="0" borderId="4" xfId="12" applyAlignment="1">
      <alignment horizontal="center"/>
    </xf>
    <xf numFmtId="169" fontId="8" fillId="0" borderId="0" xfId="0" applyNumberFormat="1" applyFont="1">
      <alignment vertical="center"/>
    </xf>
    <xf numFmtId="169" fontId="8" fillId="0" borderId="3" xfId="10" applyNumberFormat="1"/>
    <xf numFmtId="169" fontId="18" fillId="0" borderId="0" xfId="13" applyNumberFormat="1"/>
    <xf numFmtId="169" fontId="18" fillId="0" borderId="0" xfId="13" applyNumberFormat="1" applyFont="1"/>
    <xf numFmtId="0" fontId="18" fillId="0" borderId="0" xfId="13" applyAlignment="1">
      <alignment horizontal="left"/>
    </xf>
    <xf numFmtId="0" fontId="14" fillId="0" borderId="4" xfId="12" applyAlignment="1">
      <alignment horizontal="center"/>
    </xf>
    <xf numFmtId="169" fontId="49" fillId="3" borderId="10" xfId="19" applyNumberFormat="1"/>
    <xf numFmtId="169" fontId="6" fillId="0" borderId="0" xfId="7" applyNumberFormat="1"/>
    <xf numFmtId="172" fontId="0" fillId="0" borderId="0" xfId="0" applyNumberFormat="1">
      <alignment vertical="center"/>
    </xf>
    <xf numFmtId="165" fontId="49" fillId="3" borderId="10" xfId="19" quotePrefix="1" applyNumberFormat="1"/>
    <xf numFmtId="169" fontId="14" fillId="0" borderId="4" xfId="12" applyNumberFormat="1"/>
    <xf numFmtId="2" fontId="0" fillId="0" borderId="0" xfId="17" applyNumberFormat="1" applyFont="1"/>
    <xf numFmtId="0" fontId="0" fillId="0" borderId="0" xfId="0">
      <alignment vertical="center"/>
    </xf>
    <xf numFmtId="168" fontId="0" fillId="0" borderId="0" xfId="0" applyNumberFormat="1">
      <alignment vertical="center"/>
    </xf>
    <xf numFmtId="166" fontId="13" fillId="6" borderId="0" xfId="2" applyNumberFormat="1" applyAlignment="1">
      <alignment vertical="center"/>
    </xf>
    <xf numFmtId="169" fontId="8" fillId="0" borderId="0" xfId="8" applyNumberFormat="1" applyFont="1"/>
    <xf numFmtId="169" fontId="19" fillId="0" borderId="0" xfId="13" applyNumberFormat="1" applyFont="1" applyAlignment="1">
      <alignment horizontal="center"/>
    </xf>
    <xf numFmtId="169" fontId="8" fillId="0" borderId="0" xfId="8" applyNumberFormat="1" applyFont="1" applyAlignment="1">
      <alignment horizontal="center"/>
    </xf>
    <xf numFmtId="169" fontId="8" fillId="0" borderId="0" xfId="0" applyNumberFormat="1" applyFont="1" applyAlignment="1">
      <alignment horizontal="center"/>
    </xf>
    <xf numFmtId="169" fontId="5" fillId="4" borderId="2" xfId="6" applyNumberFormat="1">
      <alignment horizontal="left" vertical="center"/>
    </xf>
    <xf numFmtId="0" fontId="18" fillId="0" borderId="0" xfId="13" applyFont="1" applyAlignment="1">
      <alignment horizontal="center"/>
    </xf>
    <xf numFmtId="169" fontId="18" fillId="0" borderId="0" xfId="13" applyNumberFormat="1" applyFont="1" applyAlignment="1">
      <alignment horizontal="center"/>
    </xf>
    <xf numFmtId="169" fontId="6" fillId="0" borderId="0" xfId="7" applyNumberFormat="1" applyAlignment="1">
      <alignment horizontal="right"/>
    </xf>
    <xf numFmtId="164" fontId="11" fillId="6" borderId="0" xfId="17" applyNumberFormat="1" applyFont="1" applyFill="1"/>
    <xf numFmtId="164" fontId="13" fillId="6" borderId="0" xfId="17" applyNumberFormat="1" applyFont="1" applyFill="1"/>
    <xf numFmtId="164" fontId="18" fillId="0" borderId="0" xfId="17" applyNumberFormat="1" applyFont="1"/>
    <xf numFmtId="164" fontId="27" fillId="8" borderId="0" xfId="17" applyNumberFormat="1" applyFont="1" applyFill="1"/>
    <xf numFmtId="164" fontId="0" fillId="0" borderId="0" xfId="17" applyNumberFormat="1" applyFont="1" applyAlignment="1">
      <alignment horizontal="center"/>
    </xf>
    <xf numFmtId="164" fontId="6" fillId="0" borderId="0" xfId="17" applyNumberFormat="1" applyFont="1"/>
    <xf numFmtId="168" fontId="20" fillId="6" borderId="0" xfId="9" applyNumberFormat="1" applyFont="1">
      <alignment horizontal="left"/>
    </xf>
    <xf numFmtId="168" fontId="9" fillId="0" borderId="0" xfId="0" applyNumberFormat="1" applyFont="1" applyFill="1" applyBorder="1">
      <alignment vertical="center"/>
    </xf>
    <xf numFmtId="168" fontId="9" fillId="0" borderId="0" xfId="0" applyNumberFormat="1" applyFont="1" applyAlignment="1">
      <alignment horizontal="right"/>
    </xf>
    <xf numFmtId="0" fontId="14" fillId="0" borderId="4" xfId="12" applyAlignment="1">
      <alignment horizontal="center"/>
    </xf>
    <xf numFmtId="43" fontId="6" fillId="0" borderId="0" xfId="7" applyNumberFormat="1"/>
    <xf numFmtId="172" fontId="6" fillId="0" borderId="0" xfId="7" applyNumberFormat="1"/>
    <xf numFmtId="168" fontId="47" fillId="6" borderId="0" xfId="11" applyNumberFormat="1" applyFont="1">
      <alignment horizontal="left"/>
    </xf>
    <xf numFmtId="168" fontId="47" fillId="6" borderId="0" xfId="9" applyNumberFormat="1" applyFont="1">
      <alignment horizontal="left"/>
    </xf>
    <xf numFmtId="0" fontId="9" fillId="0" borderId="3" xfId="10" applyFont="1"/>
    <xf numFmtId="0" fontId="19" fillId="0" borderId="0" xfId="13" applyFont="1" applyAlignment="1">
      <alignment horizontal="center"/>
    </xf>
    <xf numFmtId="0" fontId="12" fillId="6" borderId="0" xfId="9" applyAlignment="1">
      <alignment horizontal="center"/>
    </xf>
    <xf numFmtId="0" fontId="8" fillId="0" borderId="0" xfId="0" quotePrefix="1" applyFont="1">
      <alignment vertical="center"/>
    </xf>
    <xf numFmtId="0" fontId="9" fillId="0" borderId="0" xfId="0" quotePrefix="1" applyFont="1" applyAlignment="1">
      <alignment horizontal="right" wrapText="1"/>
    </xf>
    <xf numFmtId="0" fontId="9" fillId="0" borderId="0" xfId="0" applyFont="1" applyAlignment="1">
      <alignment horizontal="right" wrapText="1"/>
    </xf>
    <xf numFmtId="0" fontId="6" fillId="0" borderId="0" xfId="7" quotePrefix="1" applyAlignment="1">
      <alignment horizontal="center"/>
    </xf>
    <xf numFmtId="0" fontId="18" fillId="0" borderId="0" xfId="13" quotePrefix="1"/>
    <xf numFmtId="0" fontId="0" fillId="0" borderId="0" xfId="0" quotePrefix="1" applyFont="1" applyAlignment="1">
      <alignment horizontal="right" wrapText="1"/>
    </xf>
    <xf numFmtId="0" fontId="8" fillId="0" borderId="0" xfId="0" quotePrefix="1" applyFont="1" applyFill="1" applyBorder="1" applyAlignment="1">
      <alignment horizontal="right" wrapText="1"/>
    </xf>
    <xf numFmtId="0" fontId="27" fillId="8" borderId="0" xfId="15" applyAlignment="1">
      <alignment wrapText="1"/>
    </xf>
    <xf numFmtId="0" fontId="0" fillId="0" borderId="0" xfId="0" applyFont="1" applyAlignment="1">
      <alignment horizontal="right" wrapText="1"/>
    </xf>
    <xf numFmtId="0" fontId="8" fillId="0" borderId="0" xfId="0" applyFont="1" applyAlignment="1"/>
    <xf numFmtId="0" fontId="49" fillId="2" borderId="1" xfId="3" quotePrefix="1" applyAlignment="1">
      <protection locked="0"/>
    </xf>
    <xf numFmtId="0" fontId="8" fillId="0" borderId="3" xfId="10" quotePrefix="1" applyAlignment="1"/>
    <xf numFmtId="0" fontId="8" fillId="0" borderId="0" xfId="0" applyFont="1" applyAlignment="1">
      <alignment horizontal="left" wrapText="1"/>
    </xf>
    <xf numFmtId="0" fontId="22" fillId="0" borderId="0" xfId="0" applyFont="1">
      <alignment vertical="center"/>
    </xf>
    <xf numFmtId="166" fontId="8" fillId="0" borderId="0" xfId="8" applyNumberFormat="1" applyFont="1" applyAlignment="1">
      <alignment horizontal="center"/>
    </xf>
    <xf numFmtId="0" fontId="18" fillId="0" borderId="0" xfId="13" applyAlignment="1">
      <alignment horizontal="left"/>
    </xf>
    <xf numFmtId="0" fontId="13" fillId="6" borderId="0" xfId="2" applyAlignment="1">
      <alignment horizontal="center"/>
    </xf>
    <xf numFmtId="0" fontId="0" fillId="18" borderId="0" xfId="0" applyFill="1">
      <alignment vertical="center"/>
    </xf>
    <xf numFmtId="0" fontId="0" fillId="18" borderId="0" xfId="0" applyFont="1" applyFill="1" applyAlignment="1">
      <alignment horizontal="right"/>
    </xf>
    <xf numFmtId="0" fontId="16" fillId="18" borderId="0" xfId="0" applyFont="1" applyFill="1">
      <alignment vertical="center"/>
    </xf>
    <xf numFmtId="0" fontId="16" fillId="18" borderId="0" xfId="0" applyFont="1" applyFill="1" applyAlignment="1">
      <alignment horizontal="left"/>
    </xf>
    <xf numFmtId="0" fontId="18" fillId="0" borderId="0" xfId="13" applyFont="1" applyAlignment="1">
      <alignment horizontal="center" wrapText="1"/>
    </xf>
    <xf numFmtId="0" fontId="36" fillId="20" borderId="0" xfId="21">
      <alignment horizontal="center" vertical="center"/>
    </xf>
    <xf numFmtId="0" fontId="36" fillId="21" borderId="0" xfId="22">
      <alignment horizontal="center" vertical="center"/>
    </xf>
    <xf numFmtId="0" fontId="12" fillId="6" borderId="0" xfId="9" quotePrefix="1">
      <alignment horizontal="left"/>
    </xf>
    <xf numFmtId="0" fontId="12" fillId="10" borderId="0" xfId="9" applyFill="1">
      <alignment horizontal="left"/>
    </xf>
    <xf numFmtId="0" fontId="9" fillId="0" borderId="0" xfId="0" applyFont="1" applyFill="1" applyBorder="1" applyAlignment="1">
      <alignment horizontal="right"/>
    </xf>
    <xf numFmtId="0" fontId="36" fillId="20" borderId="0" xfId="21" applyFont="1" applyAlignment="1">
      <alignment horizontal="center"/>
    </xf>
    <xf numFmtId="10" fontId="49" fillId="3" borderId="1" xfId="4" quotePrefix="1" applyNumberFormat="1"/>
    <xf numFmtId="0" fontId="6" fillId="0" borderId="0" xfId="7" quotePrefix="1" applyAlignment="1">
      <alignment horizontal="left"/>
    </xf>
    <xf numFmtId="0" fontId="28" fillId="0" borderId="0" xfId="16" applyAlignment="1">
      <alignment vertical="center"/>
    </xf>
    <xf numFmtId="0" fontId="22" fillId="0" borderId="0" xfId="0" applyFont="1" applyAlignment="1">
      <alignment horizontal="left" wrapText="1"/>
    </xf>
    <xf numFmtId="0" fontId="0" fillId="0" borderId="0" xfId="0" applyFont="1" applyFill="1" applyAlignment="1">
      <alignment horizontal="right" wrapText="1"/>
    </xf>
    <xf numFmtId="0" fontId="12" fillId="10" borderId="0" xfId="9" applyFill="1" applyAlignment="1">
      <alignment horizontal="center"/>
    </xf>
    <xf numFmtId="0" fontId="18" fillId="0" borderId="0" xfId="13" applyFont="1" applyAlignment="1">
      <alignment horizontal="right"/>
    </xf>
    <xf numFmtId="166" fontId="49" fillId="2" borderId="1" xfId="3" quotePrefix="1" applyNumberFormat="1">
      <protection locked="0"/>
    </xf>
    <xf numFmtId="165" fontId="49" fillId="2" borderId="1" xfId="3" quotePrefix="1" applyNumberFormat="1">
      <protection locked="0"/>
    </xf>
    <xf numFmtId="0" fontId="41" fillId="2" borderId="1" xfId="3" quotePrefix="1" applyFont="1" applyAlignment="1">
      <alignment horizontal="right"/>
      <protection locked="0"/>
    </xf>
    <xf numFmtId="0" fontId="8" fillId="0" borderId="0" xfId="0" applyFont="1" applyFill="1" applyAlignment="1">
      <alignment horizontal="right"/>
    </xf>
    <xf numFmtId="0" fontId="27" fillId="8" borderId="0" xfId="15" applyAlignment="1">
      <alignment horizontal="right"/>
    </xf>
    <xf numFmtId="166" fontId="49" fillId="2" borderId="1" xfId="3" applyNumberFormat="1" applyAlignment="1">
      <alignment horizontal="right"/>
      <protection locked="0"/>
    </xf>
    <xf numFmtId="168" fontId="8" fillId="0" borderId="0" xfId="0" applyNumberFormat="1" applyFont="1" applyAlignment="1">
      <alignment horizontal="right"/>
    </xf>
    <xf numFmtId="0" fontId="0" fillId="0" borderId="0" xfId="0" applyAlignment="1"/>
    <xf numFmtId="0" fontId="0" fillId="0" borderId="0" xfId="0" applyAlignment="1">
      <alignment horizontal="right" wrapText="1"/>
    </xf>
    <xf numFmtId="168" fontId="62" fillId="25" borderId="0" xfId="20" applyNumberFormat="1">
      <alignment horizontal="left" vertical="center"/>
    </xf>
    <xf numFmtId="0" fontId="14" fillId="0" borderId="4" xfId="12" applyFont="1" applyAlignment="1">
      <alignment horizontal="left" wrapText="1"/>
    </xf>
    <xf numFmtId="0" fontId="14" fillId="0" borderId="4" xfId="12" applyAlignment="1">
      <alignment horizontal="left" wrapText="1"/>
    </xf>
    <xf numFmtId="0" fontId="41" fillId="2" borderId="1" xfId="3" applyFont="1" applyAlignment="1">
      <alignment horizontal="right"/>
      <protection locked="0"/>
    </xf>
    <xf numFmtId="0" fontId="13" fillId="6" borderId="0" xfId="2" applyAlignment="1">
      <alignment horizontal="center"/>
    </xf>
    <xf numFmtId="0" fontId="0" fillId="0" borderId="0" xfId="0" applyFill="1" applyAlignment="1">
      <alignment horizontal="right" wrapText="1"/>
    </xf>
    <xf numFmtId="10" fontId="49" fillId="2" borderId="1" xfId="1" applyNumberFormat="1" applyFont="1" applyFill="1" applyBorder="1" applyProtection="1">
      <protection locked="0"/>
    </xf>
    <xf numFmtId="10" fontId="49" fillId="3" borderId="10" xfId="19" applyNumberFormat="1"/>
    <xf numFmtId="168" fontId="8" fillId="0" borderId="3" xfId="10" applyNumberFormat="1" applyFill="1"/>
    <xf numFmtId="168" fontId="0" fillId="0" borderId="0" xfId="0" applyNumberFormat="1" applyFont="1">
      <alignment vertical="center"/>
    </xf>
    <xf numFmtId="2" fontId="49" fillId="3" borderId="1" xfId="4" applyNumberFormat="1" applyAlignment="1">
      <alignment horizontal="right"/>
    </xf>
    <xf numFmtId="0" fontId="14" fillId="0" borderId="4" xfId="12" applyAlignment="1">
      <alignment horizontal="center"/>
    </xf>
    <xf numFmtId="0" fontId="19" fillId="0" borderId="0" xfId="13" applyFont="1" applyAlignment="1">
      <alignment horizontal="left"/>
    </xf>
    <xf numFmtId="10" fontId="49" fillId="3" borderId="10" xfId="19" quotePrefix="1" applyNumberFormat="1"/>
    <xf numFmtId="2" fontId="49" fillId="3" borderId="10" xfId="19" applyNumberFormat="1"/>
    <xf numFmtId="166" fontId="49" fillId="3" borderId="10" xfId="19" applyNumberFormat="1" applyAlignment="1">
      <alignment horizontal="right"/>
    </xf>
    <xf numFmtId="165" fontId="49" fillId="3" borderId="10" xfId="19" applyNumberFormat="1"/>
    <xf numFmtId="10" fontId="49" fillId="3" borderId="1" xfId="4" applyNumberFormat="1"/>
    <xf numFmtId="164" fontId="14" fillId="0" borderId="4" xfId="12" applyNumberFormat="1" applyAlignment="1">
      <alignment horizontal="center"/>
    </xf>
    <xf numFmtId="168" fontId="12" fillId="6" borderId="0" xfId="9" applyNumberFormat="1">
      <alignment horizontal="left"/>
    </xf>
    <xf numFmtId="0" fontId="36" fillId="20" borderId="0" xfId="21" applyFont="1" applyAlignment="1">
      <alignment horizontal="center" vertical="center"/>
    </xf>
    <xf numFmtId="0" fontId="34" fillId="0" borderId="0" xfId="0" applyFont="1" applyAlignment="1"/>
    <xf numFmtId="0" fontId="36" fillId="20" borderId="0" xfId="21" applyAlignment="1">
      <alignment horizontal="center" vertical="center"/>
    </xf>
    <xf numFmtId="0" fontId="36" fillId="21" borderId="0" xfId="22" applyAlignment="1">
      <alignment horizontal="center" vertical="center"/>
    </xf>
    <xf numFmtId="0" fontId="50" fillId="2" borderId="1" xfId="3" applyFont="1" applyAlignment="1">
      <alignment horizontal="center" vertical="center" wrapText="1"/>
      <protection locked="0"/>
    </xf>
    <xf numFmtId="0" fontId="51" fillId="16" borderId="11" xfId="5" applyFont="1">
      <alignment horizontal="center" vertical="center"/>
    </xf>
    <xf numFmtId="166" fontId="49" fillId="2" borderId="1" xfId="8" quotePrefix="1" applyNumberFormat="1" applyFont="1" applyFill="1" applyBorder="1" applyAlignment="1" applyProtection="1">
      <protection locked="0"/>
    </xf>
    <xf numFmtId="166" fontId="8" fillId="0" borderId="3" xfId="8" quotePrefix="1" applyNumberFormat="1" applyFont="1" applyBorder="1" applyAlignment="1"/>
    <xf numFmtId="164" fontId="49" fillId="2" borderId="1" xfId="3" applyNumberFormat="1" applyProtection="1">
      <protection locked="0"/>
    </xf>
    <xf numFmtId="0" fontId="41" fillId="2" borderId="1" xfId="3" applyFont="1" applyAlignment="1" applyProtection="1">
      <alignment horizontal="right"/>
      <protection locked="0"/>
    </xf>
    <xf numFmtId="168" fontId="49" fillId="2" borderId="1" xfId="3" applyNumberFormat="1" applyProtection="1">
      <protection locked="0"/>
    </xf>
    <xf numFmtId="0" fontId="52" fillId="0" borderId="0" xfId="0" applyFont="1">
      <alignment vertical="center"/>
    </xf>
    <xf numFmtId="0" fontId="53" fillId="0" borderId="0" xfId="23"/>
    <xf numFmtId="0" fontId="27" fillId="8" borderId="0" xfId="15" applyFont="1" applyAlignment="1">
      <alignment wrapText="1"/>
    </xf>
    <xf numFmtId="0" fontId="49" fillId="3" borderId="10" xfId="19" quotePrefix="1"/>
    <xf numFmtId="0" fontId="0" fillId="0" borderId="0" xfId="0" quotePrefix="1" applyFill="1" applyAlignment="1">
      <alignment horizontal="right"/>
    </xf>
    <xf numFmtId="166" fontId="49" fillId="2" borderId="1" xfId="8" applyNumberFormat="1" applyFont="1" applyFill="1" applyBorder="1" applyProtection="1">
      <protection locked="0"/>
    </xf>
    <xf numFmtId="0" fontId="13" fillId="6" borderId="0" xfId="2" applyAlignment="1">
      <alignment horizontal="center"/>
    </xf>
    <xf numFmtId="0" fontId="19" fillId="0" borderId="0" xfId="13" applyFont="1" applyAlignment="1">
      <alignment horizontal="center"/>
    </xf>
    <xf numFmtId="166" fontId="12" fillId="6" borderId="0" xfId="8" applyNumberFormat="1" applyFont="1" applyFill="1" applyAlignment="1">
      <alignment horizontal="center"/>
    </xf>
    <xf numFmtId="0" fontId="34" fillId="18" borderId="0" xfId="0" applyFont="1" applyFill="1" applyAlignment="1">
      <alignment horizontal="right"/>
    </xf>
    <xf numFmtId="166" fontId="16" fillId="18" borderId="0" xfId="8" applyNumberFormat="1" applyFont="1" applyFill="1"/>
    <xf numFmtId="166" fontId="16" fillId="18" borderId="0" xfId="0" applyNumberFormat="1" applyFont="1" applyFill="1">
      <alignment vertical="center"/>
    </xf>
    <xf numFmtId="0" fontId="22" fillId="0" borderId="0" xfId="0" applyFont="1" applyAlignment="1">
      <alignment horizontal="center"/>
    </xf>
    <xf numFmtId="0" fontId="42" fillId="11" borderId="0" xfId="20" applyFont="1" applyFill="1" applyAlignment="1">
      <alignment horizontal="center" vertical="center"/>
    </xf>
    <xf numFmtId="168" fontId="5" fillId="4" borderId="2" xfId="6" applyNumberFormat="1">
      <alignment horizontal="left" vertical="center"/>
    </xf>
    <xf numFmtId="0" fontId="27" fillId="8" borderId="0" xfId="15" applyAlignment="1"/>
    <xf numFmtId="166" fontId="27" fillId="8" borderId="0" xfId="15" applyNumberFormat="1"/>
    <xf numFmtId="168" fontId="27" fillId="8" borderId="0" xfId="15" applyNumberFormat="1"/>
    <xf numFmtId="166" fontId="6" fillId="0" borderId="0" xfId="7" applyNumberFormat="1" applyAlignment="1">
      <alignment horizontal="right"/>
    </xf>
    <xf numFmtId="166" fontId="6" fillId="7" borderId="0" xfId="7" applyNumberFormat="1" applyFill="1"/>
    <xf numFmtId="166" fontId="6" fillId="7" borderId="0" xfId="7" applyNumberFormat="1" applyFill="1" applyAlignment="1">
      <alignment horizontal="right"/>
    </xf>
    <xf numFmtId="0" fontId="0" fillId="0" borderId="0" xfId="0" applyAlignment="1">
      <alignment wrapText="1"/>
    </xf>
    <xf numFmtId="0" fontId="13" fillId="6" borderId="0" xfId="2" applyFont="1" applyAlignment="1">
      <alignment horizontal="right"/>
    </xf>
    <xf numFmtId="0" fontId="34" fillId="0" borderId="0" xfId="23" applyFont="1"/>
    <xf numFmtId="0" fontId="0" fillId="0" borderId="0" xfId="0" quotePrefix="1" applyNumberFormat="1">
      <alignment vertical="center"/>
    </xf>
    <xf numFmtId="0" fontId="6" fillId="0" borderId="0" xfId="7" applyAlignment="1">
      <alignment horizontal="center" wrapText="1"/>
    </xf>
    <xf numFmtId="164" fontId="49" fillId="3" borderId="10" xfId="19" applyNumberFormat="1" applyProtection="1">
      <protection locked="0"/>
    </xf>
    <xf numFmtId="0" fontId="0" fillId="0" borderId="0" xfId="0" applyFont="1" applyFill="1">
      <alignment vertical="center"/>
    </xf>
    <xf numFmtId="0" fontId="8" fillId="0" borderId="0" xfId="0" applyFont="1" applyAlignment="1">
      <alignment horizontal="right" wrapText="1"/>
    </xf>
    <xf numFmtId="0" fontId="6" fillId="0" borderId="0" xfId="7" applyAlignment="1">
      <alignment horizontal="center"/>
    </xf>
    <xf numFmtId="0" fontId="12" fillId="18" borderId="0" xfId="9" applyFill="1" applyAlignment="1">
      <alignment horizontal="center"/>
    </xf>
    <xf numFmtId="0" fontId="49" fillId="2" borderId="14" xfId="3" applyFont="1" applyFill="1" applyBorder="1">
      <protection locked="0"/>
    </xf>
    <xf numFmtId="164" fontId="49" fillId="2" borderId="14" xfId="3" applyNumberFormat="1" applyFont="1" applyFill="1" applyBorder="1">
      <protection locked="0"/>
    </xf>
    <xf numFmtId="164" fontId="49" fillId="2" borderId="15" xfId="3" applyNumberFormat="1" applyFont="1" applyFill="1" applyBorder="1">
      <protection locked="0"/>
    </xf>
    <xf numFmtId="0" fontId="49" fillId="2" borderId="16" xfId="3" applyFont="1" applyFill="1" applyBorder="1">
      <protection locked="0"/>
    </xf>
    <xf numFmtId="164" fontId="49" fillId="2" borderId="16" xfId="3" applyNumberFormat="1" applyFont="1" applyFill="1" applyBorder="1">
      <protection locked="0"/>
    </xf>
    <xf numFmtId="164" fontId="49" fillId="2" borderId="1" xfId="3" applyNumberFormat="1" applyFont="1" applyFill="1" applyBorder="1">
      <protection locked="0"/>
    </xf>
    <xf numFmtId="0" fontId="52" fillId="0" borderId="4" xfId="12" applyFont="1" applyAlignment="1">
      <alignment horizontal="left" wrapText="1"/>
    </xf>
    <xf numFmtId="0" fontId="52" fillId="0" borderId="4" xfId="12" applyFont="1" applyAlignment="1">
      <alignment horizontal="center" wrapText="1"/>
    </xf>
    <xf numFmtId="0" fontId="8" fillId="5" borderId="0" xfId="0" applyFont="1" applyFill="1" applyAlignment="1">
      <alignment horizontal="center" wrapText="1"/>
    </xf>
    <xf numFmtId="0" fontId="19" fillId="0" borderId="0" xfId="13" quotePrefix="1" applyFont="1" applyAlignment="1">
      <alignment horizontal="left" vertical="center"/>
    </xf>
    <xf numFmtId="171" fontId="19" fillId="0" borderId="0" xfId="13" applyNumberFormat="1" applyFont="1" applyAlignment="1">
      <alignment horizontal="left" vertical="center"/>
    </xf>
    <xf numFmtId="0" fontId="6" fillId="0" borderId="0" xfId="7" applyFill="1" applyAlignment="1">
      <alignment horizontal="center" wrapText="1"/>
    </xf>
    <xf numFmtId="0" fontId="6" fillId="0" borderId="0" xfId="7" applyAlignment="1">
      <alignment textRotation="180"/>
    </xf>
    <xf numFmtId="0" fontId="6" fillId="0" borderId="0" xfId="7" applyAlignment="1">
      <alignment textRotation="90"/>
    </xf>
    <xf numFmtId="0" fontId="16" fillId="18" borderId="0" xfId="0" applyFont="1" applyFill="1" applyAlignment="1">
      <alignment horizontal="center"/>
    </xf>
    <xf numFmtId="9" fontId="49" fillId="3" borderId="10" xfId="19" applyNumberFormat="1" applyAlignment="1">
      <alignment horizontal="center" vertical="center"/>
    </xf>
    <xf numFmtId="9" fontId="21" fillId="0" borderId="0" xfId="1" applyFont="1" applyFill="1"/>
    <xf numFmtId="166" fontId="49" fillId="3" borderId="10" xfId="8" applyNumberFormat="1" applyFont="1" applyFill="1" applyBorder="1"/>
    <xf numFmtId="0" fontId="19" fillId="0" borderId="0" xfId="13" applyFont="1" applyAlignment="1">
      <alignment vertical="center" wrapText="1"/>
    </xf>
    <xf numFmtId="0" fontId="54" fillId="0" borderId="0" xfId="13" applyFont="1" applyAlignment="1">
      <alignment horizontal="right" vertical="center" wrapText="1"/>
    </xf>
    <xf numFmtId="10" fontId="49" fillId="3" borderId="1" xfId="1" applyNumberFormat="1" applyFont="1" applyFill="1" applyBorder="1"/>
    <xf numFmtId="0" fontId="38" fillId="22" borderId="4" xfId="12" applyFont="1" applyFill="1" applyAlignment="1">
      <alignment horizontal="center" wrapText="1"/>
    </xf>
    <xf numFmtId="166" fontId="0" fillId="22" borderId="0" xfId="0" applyNumberFormat="1" applyFill="1">
      <alignment vertical="center"/>
    </xf>
    <xf numFmtId="166" fontId="9" fillId="22" borderId="0" xfId="0" applyNumberFormat="1" applyFont="1" applyFill="1">
      <alignment vertical="center"/>
    </xf>
    <xf numFmtId="166" fontId="8" fillId="22" borderId="3" xfId="10" applyNumberFormat="1" applyFill="1"/>
    <xf numFmtId="165" fontId="0" fillId="22" borderId="0" xfId="1" applyNumberFormat="1" applyFont="1" applyFill="1"/>
    <xf numFmtId="0" fontId="0" fillId="0" borderId="0" xfId="0">
      <alignment vertical="center"/>
    </xf>
    <xf numFmtId="164" fontId="0" fillId="0" borderId="0" xfId="0" applyNumberFormat="1">
      <alignment vertical="center"/>
    </xf>
    <xf numFmtId="0" fontId="55" fillId="23" borderId="0" xfId="0" applyFont="1" applyFill="1">
      <alignment vertical="center"/>
    </xf>
    <xf numFmtId="0" fontId="0" fillId="23" borderId="0" xfId="0" applyFill="1">
      <alignment vertical="center"/>
    </xf>
    <xf numFmtId="0" fontId="0" fillId="0" borderId="0" xfId="0">
      <alignment vertical="center"/>
    </xf>
    <xf numFmtId="0" fontId="56" fillId="24" borderId="17" xfId="0" applyFont="1" applyFill="1" applyBorder="1">
      <alignment vertical="center"/>
    </xf>
    <xf numFmtId="0" fontId="57" fillId="0" borderId="0" xfId="0" applyFont="1">
      <alignment vertical="center"/>
    </xf>
    <xf numFmtId="3" fontId="57" fillId="0" borderId="0" xfId="0" applyNumberFormat="1" applyFont="1" applyBorder="1" applyAlignment="1"/>
    <xf numFmtId="3" fontId="57" fillId="0" borderId="0" xfId="0" applyNumberFormat="1" applyFont="1" applyFill="1" applyBorder="1" applyAlignment="1"/>
    <xf numFmtId="3" fontId="58" fillId="0" borderId="0" xfId="0" applyNumberFormat="1" applyFont="1" applyBorder="1" applyAlignment="1"/>
    <xf numFmtId="0" fontId="57" fillId="0" borderId="0" xfId="0" applyFont="1" applyAlignment="1">
      <alignment horizontal="left"/>
    </xf>
    <xf numFmtId="3" fontId="57" fillId="0" borderId="0" xfId="0" applyNumberFormat="1" applyFont="1">
      <alignment vertical="center"/>
    </xf>
    <xf numFmtId="168" fontId="57" fillId="0" borderId="0" xfId="0" applyNumberFormat="1" applyFont="1">
      <alignment vertical="center"/>
    </xf>
    <xf numFmtId="0" fontId="56" fillId="24" borderId="18" xfId="0" applyFont="1" applyFill="1" applyBorder="1" applyAlignment="1">
      <alignment horizontal="center"/>
    </xf>
    <xf numFmtId="0" fontId="56" fillId="24" borderId="18" xfId="0" applyFont="1" applyFill="1" applyBorder="1">
      <alignment vertical="center"/>
    </xf>
    <xf numFmtId="164" fontId="49" fillId="3" borderId="10" xfId="19" applyNumberFormat="1"/>
    <xf numFmtId="0" fontId="0" fillId="0" borderId="0" xfId="0" applyAlignment="1">
      <alignment horizontal="center"/>
    </xf>
    <xf numFmtId="0" fontId="19" fillId="0" borderId="0" xfId="13" applyFont="1" applyFill="1" applyBorder="1" applyAlignment="1">
      <alignment horizontal="left"/>
    </xf>
    <xf numFmtId="0" fontId="19" fillId="0" borderId="0" xfId="13" quotePrefix="1" applyFont="1"/>
    <xf numFmtId="0" fontId="44" fillId="0" borderId="0" xfId="13" applyFont="1" applyFill="1" applyBorder="1" applyAlignment="1">
      <alignment horizontal="left"/>
    </xf>
    <xf numFmtId="0" fontId="19" fillId="0" borderId="0" xfId="13" quotePrefix="1" applyFont="1" applyFill="1" applyBorder="1" applyAlignment="1">
      <alignment horizontal="left"/>
    </xf>
    <xf numFmtId="0" fontId="6" fillId="11" borderId="4" xfId="7" applyFill="1" applyBorder="1"/>
    <xf numFmtId="0" fontId="14" fillId="0" borderId="4" xfId="12" applyAlignment="1">
      <alignment horizontal="center" vertical="center" wrapText="1"/>
    </xf>
    <xf numFmtId="164" fontId="23" fillId="6" borderId="0" xfId="8" applyNumberFormat="1" applyFont="1" applyFill="1"/>
    <xf numFmtId="0" fontId="60" fillId="6" borderId="0" xfId="2" applyFont="1" applyAlignment="1">
      <alignment horizontal="center" vertical="center" wrapText="1"/>
    </xf>
    <xf numFmtId="0" fontId="6" fillId="0" borderId="0" xfId="7" applyAlignment="1">
      <alignment horizontal="center" vertical="center"/>
    </xf>
    <xf numFmtId="0" fontId="13" fillId="16" borderId="11" xfId="5" applyFont="1">
      <alignment horizontal="center" vertical="center"/>
    </xf>
    <xf numFmtId="9" fontId="49" fillId="3" borderId="10" xfId="1" applyFont="1" applyFill="1" applyBorder="1"/>
    <xf numFmtId="0" fontId="14" fillId="0" borderId="4" xfId="12" applyAlignment="1">
      <alignment horizontal="center" wrapText="1"/>
    </xf>
    <xf numFmtId="0" fontId="42" fillId="25" borderId="0" xfId="20" applyFont="1" applyAlignment="1">
      <alignment horizontal="center" vertical="center"/>
    </xf>
    <xf numFmtId="0" fontId="21" fillId="0" borderId="0" xfId="7" applyFont="1" applyFill="1"/>
    <xf numFmtId="0" fontId="39" fillId="0" borderId="0" xfId="13" applyFont="1"/>
    <xf numFmtId="165" fontId="49" fillId="3" borderId="1" xfId="1" applyNumberFormat="1" applyFont="1" applyFill="1" applyBorder="1"/>
    <xf numFmtId="10" fontId="49" fillId="3" borderId="1" xfId="4" applyNumberFormat="1" applyProtection="1">
      <protection locked="0"/>
    </xf>
    <xf numFmtId="168" fontId="26" fillId="0" borderId="3" xfId="10" applyNumberFormat="1" applyFont="1" applyFill="1"/>
    <xf numFmtId="4" fontId="49" fillId="2" borderId="1" xfId="8" applyNumberFormat="1" applyFont="1" applyFill="1" applyBorder="1" applyProtection="1">
      <protection locked="0"/>
    </xf>
    <xf numFmtId="4" fontId="15" fillId="2" borderId="1" xfId="8" applyNumberFormat="1" applyFont="1" applyFill="1" applyBorder="1"/>
    <xf numFmtId="4" fontId="49" fillId="2" borderId="1" xfId="3" applyNumberFormat="1">
      <protection locked="0"/>
    </xf>
    <xf numFmtId="166" fontId="8" fillId="0" borderId="0" xfId="8" applyNumberFormat="1" applyFont="1"/>
    <xf numFmtId="0" fontId="53" fillId="0" borderId="0" xfId="23"/>
    <xf numFmtId="0" fontId="0" fillId="0" borderId="0" xfId="0">
      <alignment vertical="center"/>
    </xf>
    <xf numFmtId="0" fontId="41" fillId="2" borderId="1" xfId="3" applyFont="1">
      <protection locked="0"/>
    </xf>
    <xf numFmtId="3" fontId="49" fillId="3" borderId="10" xfId="19" applyNumberFormat="1"/>
    <xf numFmtId="164" fontId="0" fillId="0" borderId="0" xfId="0" applyNumberFormat="1" applyFill="1">
      <alignment vertical="center"/>
    </xf>
    <xf numFmtId="0" fontId="0" fillId="0" borderId="0" xfId="0">
      <alignment vertical="center"/>
    </xf>
    <xf numFmtId="0" fontId="5" fillId="4" borderId="2" xfId="6" applyAlignment="1">
      <alignment vertical="center" wrapText="1"/>
    </xf>
    <xf numFmtId="0" fontId="6" fillId="18" borderId="0" xfId="7" applyFill="1"/>
    <xf numFmtId="0" fontId="14" fillId="0" borderId="4" xfId="12" applyAlignment="1">
      <alignment horizontal="center" wrapText="1"/>
    </xf>
    <xf numFmtId="0" fontId="53" fillId="0" borderId="0" xfId="23"/>
    <xf numFmtId="0" fontId="0" fillId="0" borderId="0" xfId="0">
      <alignment vertical="center"/>
    </xf>
    <xf numFmtId="0" fontId="53" fillId="0" borderId="0" xfId="23"/>
    <xf numFmtId="0" fontId="0" fillId="0" borderId="0" xfId="0">
      <alignment vertical="center"/>
    </xf>
    <xf numFmtId="0" fontId="13" fillId="6" borderId="0" xfId="2" quotePrefix="1" applyAlignment="1">
      <alignment horizontal="left"/>
    </xf>
    <xf numFmtId="0" fontId="13" fillId="6" borderId="0" xfId="2" quotePrefix="1" applyAlignment="1">
      <alignment vertical="center"/>
    </xf>
    <xf numFmtId="2" fontId="6" fillId="0" borderId="0" xfId="7" applyNumberFormat="1"/>
    <xf numFmtId="0" fontId="0" fillId="0" borderId="0" xfId="0">
      <alignment vertical="center"/>
    </xf>
    <xf numFmtId="169" fontId="0" fillId="0" borderId="0" xfId="8" applyNumberFormat="1" applyFont="1" applyFill="1"/>
    <xf numFmtId="164" fontId="9" fillId="0" borderId="0" xfId="0" applyNumberFormat="1" applyFont="1" applyFill="1">
      <alignment vertical="center"/>
    </xf>
    <xf numFmtId="0" fontId="0" fillId="0" borderId="0" xfId="0">
      <alignment vertical="center"/>
    </xf>
    <xf numFmtId="0" fontId="0" fillId="0" borderId="0" xfId="0">
      <alignment vertical="center"/>
    </xf>
    <xf numFmtId="168" fontId="0" fillId="0" borderId="0" xfId="17" applyNumberFormat="1" applyFont="1" applyFill="1"/>
    <xf numFmtId="10" fontId="27" fillId="8" borderId="0" xfId="1" applyNumberFormat="1" applyFont="1" applyFill="1"/>
    <xf numFmtId="0" fontId="53" fillId="0" borderId="0" xfId="23"/>
    <xf numFmtId="0" fontId="0" fillId="0" borderId="0" xfId="0">
      <alignment vertical="center"/>
    </xf>
    <xf numFmtId="166" fontId="49" fillId="2" borderId="1" xfId="3" applyNumberFormat="1" applyProtection="1">
      <protection locked="0"/>
    </xf>
    <xf numFmtId="0" fontId="0" fillId="0" borderId="0" xfId="0">
      <alignment vertical="center"/>
    </xf>
    <xf numFmtId="0" fontId="53" fillId="0" borderId="0" xfId="23"/>
    <xf numFmtId="0" fontId="0" fillId="0" borderId="0" xfId="0">
      <alignment vertical="center"/>
    </xf>
    <xf numFmtId="0" fontId="0" fillId="0" borderId="0" xfId="0">
      <alignment vertical="center"/>
    </xf>
    <xf numFmtId="0" fontId="0" fillId="0" borderId="0" xfId="0" applyAlignment="1">
      <alignment horizontal="left"/>
    </xf>
    <xf numFmtId="0" fontId="0" fillId="0" borderId="0" xfId="0">
      <alignment vertical="center"/>
    </xf>
    <xf numFmtId="0" fontId="18" fillId="0" borderId="0" xfId="13" applyAlignment="1">
      <alignment wrapText="1"/>
    </xf>
    <xf numFmtId="0" fontId="53" fillId="0" borderId="0" xfId="23"/>
    <xf numFmtId="0" fontId="0" fillId="0" borderId="0" xfId="0">
      <alignment vertical="center"/>
    </xf>
    <xf numFmtId="0" fontId="18" fillId="0" borderId="0" xfId="13" applyFill="1"/>
    <xf numFmtId="169" fontId="8" fillId="0" borderId="0" xfId="0" applyNumberFormat="1" applyFont="1" applyFill="1">
      <alignment vertical="center"/>
    </xf>
    <xf numFmtId="0" fontId="53" fillId="0" borderId="0" xfId="23"/>
    <xf numFmtId="0" fontId="0" fillId="0" borderId="0" xfId="0">
      <alignment vertical="center"/>
    </xf>
    <xf numFmtId="0" fontId="8" fillId="0" borderId="3" xfId="10" applyAlignment="1">
      <alignment horizontal="right" wrapText="1"/>
    </xf>
    <xf numFmtId="0" fontId="0" fillId="0" borderId="0" xfId="0">
      <alignment vertical="center"/>
    </xf>
    <xf numFmtId="0" fontId="0" fillId="0" borderId="0" xfId="0">
      <alignment vertical="center"/>
    </xf>
    <xf numFmtId="0" fontId="0" fillId="0" borderId="0" xfId="0">
      <alignment vertical="center"/>
    </xf>
    <xf numFmtId="0" fontId="0" fillId="0" borderId="0" xfId="0" applyNumberFormat="1" applyFill="1">
      <alignment vertical="center"/>
    </xf>
    <xf numFmtId="0" fontId="0" fillId="0" borderId="0" xfId="0">
      <alignment vertical="center"/>
    </xf>
    <xf numFmtId="0" fontId="0" fillId="0" borderId="0" xfId="0">
      <alignment vertical="center"/>
    </xf>
    <xf numFmtId="173" fontId="0" fillId="0" borderId="0" xfId="8" applyNumberFormat="1" applyFont="1"/>
    <xf numFmtId="0" fontId="0" fillId="26" borderId="0" xfId="17" applyNumberFormat="1" applyFont="1" applyFill="1"/>
    <xf numFmtId="43" fontId="6" fillId="0" borderId="0" xfId="7" applyNumberFormat="1" applyFill="1"/>
    <xf numFmtId="174" fontId="6" fillId="0" borderId="0" xfId="7" applyNumberFormat="1"/>
    <xf numFmtId="175" fontId="0" fillId="0" borderId="0" xfId="8" applyNumberFormat="1" applyFont="1"/>
    <xf numFmtId="176" fontId="6" fillId="0" borderId="0" xfId="7" applyNumberFormat="1"/>
    <xf numFmtId="171" fontId="19" fillId="0" borderId="0" xfId="13" quotePrefix="1" applyNumberFormat="1" applyFont="1" applyAlignment="1">
      <alignment horizontal="left" vertical="center"/>
    </xf>
    <xf numFmtId="0" fontId="0" fillId="0" borderId="0" xfId="0">
      <alignment vertical="center"/>
    </xf>
    <xf numFmtId="171" fontId="19" fillId="0" borderId="0" xfId="13" applyNumberFormat="1" applyFont="1" applyAlignment="1">
      <alignment horizontal="left"/>
    </xf>
    <xf numFmtId="0" fontId="9" fillId="0" borderId="0" xfId="0" applyFont="1" applyFill="1">
      <alignment vertical="center"/>
    </xf>
    <xf numFmtId="0" fontId="6" fillId="5" borderId="0" xfId="7" quotePrefix="1" applyFill="1" applyAlignment="1"/>
    <xf numFmtId="168" fontId="6" fillId="27" borderId="0" xfId="7" applyNumberFormat="1" applyFill="1"/>
    <xf numFmtId="168" fontId="0" fillId="27" borderId="0" xfId="0" applyNumberFormat="1" applyFill="1">
      <alignment vertical="center"/>
    </xf>
    <xf numFmtId="168" fontId="0" fillId="27" borderId="0" xfId="17" applyNumberFormat="1" applyFont="1" applyFill="1"/>
    <xf numFmtId="166" fontId="6" fillId="0" borderId="0" xfId="8" applyNumberFormat="1" applyFont="1" applyFill="1"/>
    <xf numFmtId="0" fontId="0" fillId="0" borderId="0" xfId="0">
      <alignment vertical="center"/>
    </xf>
    <xf numFmtId="0" fontId="63" fillId="25" borderId="0" xfId="20" applyFont="1">
      <alignment horizontal="left" vertical="center"/>
    </xf>
    <xf numFmtId="0" fontId="53" fillId="0" borderId="0" xfId="23"/>
    <xf numFmtId="0" fontId="0" fillId="0" borderId="0" xfId="0">
      <alignment vertical="center"/>
    </xf>
    <xf numFmtId="0" fontId="65" fillId="0" borderId="0" xfId="24" applyAlignment="1">
      <alignment horizontal="right"/>
    </xf>
    <xf numFmtId="0" fontId="53" fillId="0" borderId="0" xfId="23"/>
    <xf numFmtId="0" fontId="0" fillId="0" borderId="0" xfId="0">
      <alignment vertical="center"/>
    </xf>
    <xf numFmtId="0" fontId="53" fillId="0" borderId="0" xfId="23" applyAlignment="1"/>
    <xf numFmtId="0" fontId="0" fillId="0" borderId="0" xfId="0">
      <alignment vertical="center"/>
    </xf>
    <xf numFmtId="0" fontId="0" fillId="0" borderId="0" xfId="0" applyFill="1" applyAlignment="1">
      <alignment wrapText="1"/>
    </xf>
    <xf numFmtId="0" fontId="8" fillId="0" borderId="0" xfId="0" applyFont="1" applyAlignment="1">
      <alignment horizontal="left"/>
    </xf>
    <xf numFmtId="0" fontId="34" fillId="0" borderId="0" xfId="23" applyFont="1" applyFill="1"/>
    <xf numFmtId="0" fontId="28" fillId="0" borderId="0" xfId="16" applyFill="1"/>
    <xf numFmtId="0" fontId="14" fillId="0" borderId="4" xfId="12" applyFill="1" applyAlignment="1">
      <alignment horizontal="center"/>
    </xf>
    <xf numFmtId="0" fontId="8" fillId="0" borderId="0" xfId="0" applyFont="1" applyFill="1" applyAlignment="1">
      <alignment horizontal="center"/>
    </xf>
    <xf numFmtId="0" fontId="0" fillId="0" borderId="0" xfId="0" applyAlignment="1">
      <alignment wrapText="1"/>
    </xf>
    <xf numFmtId="9" fontId="21" fillId="0" borderId="0" xfId="7" applyNumberFormat="1" applyFont="1"/>
    <xf numFmtId="0" fontId="0" fillId="0" borderId="0" xfId="0" applyFill="1" applyAlignment="1"/>
    <xf numFmtId="4" fontId="0" fillId="0" borderId="0" xfId="0" applyNumberFormat="1" applyFill="1">
      <alignment vertical="center"/>
    </xf>
    <xf numFmtId="0" fontId="62" fillId="25" borderId="0" xfId="20" applyAlignment="1">
      <alignment horizontal="left" vertical="center"/>
    </xf>
    <xf numFmtId="0" fontId="11" fillId="6" borderId="0" xfId="11" applyAlignment="1">
      <alignment horizontal="left"/>
    </xf>
    <xf numFmtId="0" fontId="0" fillId="0" borderId="0" xfId="0" applyFill="1" applyAlignment="1">
      <alignment horizontal="left"/>
    </xf>
    <xf numFmtId="0" fontId="0" fillId="0" borderId="0" xfId="0" applyFont="1" applyAlignment="1">
      <alignment horizontal="left"/>
    </xf>
    <xf numFmtId="0" fontId="0" fillId="18" borderId="0" xfId="0" applyFill="1" applyAlignment="1">
      <alignment horizontal="left"/>
    </xf>
    <xf numFmtId="0" fontId="18" fillId="0" borderId="0" xfId="13" applyFont="1" applyAlignment="1">
      <alignment horizontal="left"/>
    </xf>
    <xf numFmtId="0" fontId="34" fillId="0" borderId="0" xfId="0" applyFont="1" applyAlignment="1">
      <alignment horizontal="left"/>
    </xf>
    <xf numFmtId="0" fontId="0" fillId="0" borderId="0" xfId="0" applyFont="1" applyFill="1" applyAlignment="1">
      <alignment horizontal="left"/>
    </xf>
    <xf numFmtId="0" fontId="42" fillId="25" borderId="0" xfId="20" applyFont="1" applyAlignment="1">
      <alignment horizontal="left" vertical="center"/>
    </xf>
    <xf numFmtId="0" fontId="5" fillId="17" borderId="2" xfId="25">
      <alignment vertical="center"/>
      <protection locked="0"/>
    </xf>
    <xf numFmtId="0" fontId="0" fillId="0" borderId="0" xfId="0" applyAlignment="1">
      <alignment horizontal="right" vertical="center"/>
    </xf>
    <xf numFmtId="0" fontId="8" fillId="0" borderId="0" xfId="0" applyFont="1" applyAlignment="1">
      <alignment vertical="center"/>
    </xf>
    <xf numFmtId="0" fontId="6" fillId="0" borderId="0" xfId="7" applyAlignment="1"/>
    <xf numFmtId="166" fontId="49" fillId="2" borderId="1" xfId="3" applyNumberFormat="1" applyAlignment="1">
      <protection locked="0"/>
    </xf>
    <xf numFmtId="168" fontId="49" fillId="2" borderId="1" xfId="3" applyNumberFormat="1" applyAlignment="1" applyProtection="1">
      <protection locked="0"/>
    </xf>
    <xf numFmtId="168" fontId="0" fillId="0" borderId="0" xfId="0" applyNumberFormat="1" applyAlignment="1">
      <alignment vertical="center"/>
    </xf>
    <xf numFmtId="168" fontId="8" fillId="0" borderId="0" xfId="0" applyNumberFormat="1" applyFont="1" applyAlignment="1">
      <alignment vertical="center"/>
    </xf>
    <xf numFmtId="0" fontId="5" fillId="17" borderId="2" xfId="25" applyAlignment="1">
      <alignment vertical="center"/>
      <protection locked="0"/>
    </xf>
    <xf numFmtId="0" fontId="14" fillId="0" borderId="4" xfId="12" applyFill="1" applyAlignment="1">
      <alignment horizontal="right"/>
    </xf>
    <xf numFmtId="168" fontId="34" fillId="0" borderId="0" xfId="0" applyNumberFormat="1" applyFont="1">
      <alignment vertical="center"/>
    </xf>
    <xf numFmtId="168" fontId="48" fillId="0" borderId="0" xfId="0" applyNumberFormat="1" applyFont="1">
      <alignment vertical="center"/>
    </xf>
    <xf numFmtId="0" fontId="9" fillId="0" borderId="0" xfId="0" applyFont="1" applyFill="1" applyAlignment="1">
      <alignment horizontal="center" vertical="center"/>
    </xf>
    <xf numFmtId="0" fontId="64" fillId="25" borderId="0" xfId="20" applyFont="1">
      <alignment horizontal="left" vertical="center"/>
    </xf>
    <xf numFmtId="166" fontId="0" fillId="0" borderId="0" xfId="8" applyNumberFormat="1" applyFont="1" applyAlignment="1">
      <alignment vertical="center"/>
    </xf>
    <xf numFmtId="166" fontId="8" fillId="0" borderId="0" xfId="8" applyNumberFormat="1" applyFont="1" applyAlignment="1">
      <alignment vertical="center"/>
    </xf>
    <xf numFmtId="0" fontId="19" fillId="0" borderId="0" xfId="13" applyFont="1" applyAlignment="1">
      <alignment horizontal="left"/>
    </xf>
    <xf numFmtId="0" fontId="8" fillId="0" borderId="0" xfId="0" applyFont="1" applyAlignment="1">
      <alignment horizontal="left"/>
    </xf>
    <xf numFmtId="0" fontId="19" fillId="0" borderId="0" xfId="13" applyFont="1" applyAlignment="1">
      <alignment horizontal="center" vertical="center"/>
    </xf>
    <xf numFmtId="2" fontId="27" fillId="8" borderId="0" xfId="15" applyNumberFormat="1" applyAlignment="1">
      <alignment wrapText="1"/>
    </xf>
    <xf numFmtId="0" fontId="6" fillId="0" borderId="0" xfId="7" applyFill="1" applyAlignment="1">
      <alignment wrapText="1"/>
    </xf>
    <xf numFmtId="0" fontId="5" fillId="4" borderId="2" xfId="6" quotePrefix="1" applyAlignment="1">
      <alignment vertical="center" wrapText="1"/>
    </xf>
    <xf numFmtId="0" fontId="0" fillId="0" borderId="0" xfId="0" applyAlignment="1">
      <alignment horizontal="right" vertical="center" wrapText="1"/>
    </xf>
    <xf numFmtId="164" fontId="13" fillId="6" borderId="0" xfId="2" applyNumberFormat="1" applyAlignment="1">
      <alignment horizontal="left"/>
    </xf>
    <xf numFmtId="0" fontId="0" fillId="0" borderId="0" xfId="0" applyFill="1" applyBorder="1" applyAlignment="1">
      <alignment horizontal="right" wrapText="1"/>
    </xf>
    <xf numFmtId="0" fontId="6" fillId="0" borderId="0" xfId="7" applyAlignment="1">
      <alignment horizontal="right" wrapText="1"/>
    </xf>
    <xf numFmtId="0" fontId="27" fillId="8" borderId="0" xfId="15" applyAlignment="1">
      <alignment horizontal="center" wrapText="1"/>
    </xf>
    <xf numFmtId="0" fontId="62" fillId="11" borderId="0" xfId="20" applyFill="1">
      <alignment horizontal="left" vertical="center"/>
    </xf>
    <xf numFmtId="0" fontId="6" fillId="0" borderId="0" xfId="7" applyFill="1" applyAlignment="1">
      <alignment horizontal="right" wrapText="1"/>
    </xf>
    <xf numFmtId="165" fontId="6" fillId="0" borderId="0" xfId="7" applyNumberFormat="1"/>
    <xf numFmtId="0" fontId="6" fillId="0" borderId="0" xfId="7" applyAlignment="1">
      <alignment vertical="center"/>
    </xf>
    <xf numFmtId="0" fontId="9" fillId="0" borderId="0" xfId="0" applyFont="1" applyFill="1" applyAlignment="1">
      <alignment horizontal="right" wrapText="1"/>
    </xf>
    <xf numFmtId="0" fontId="14" fillId="0" borderId="4" xfId="12" applyAlignment="1">
      <alignment horizontal="right" wrapText="1"/>
    </xf>
    <xf numFmtId="0" fontId="65" fillId="0" borderId="0" xfId="24" applyAlignment="1">
      <alignment vertical="center"/>
    </xf>
    <xf numFmtId="0" fontId="27" fillId="8" borderId="0" xfId="15" applyAlignment="1">
      <alignment vertical="center"/>
    </xf>
    <xf numFmtId="0" fontId="0" fillId="0" borderId="0" xfId="0" applyAlignment="1">
      <alignment horizontal="left" vertical="center"/>
    </xf>
    <xf numFmtId="0" fontId="12" fillId="6" borderId="0" xfId="9" applyAlignment="1">
      <alignment horizontal="left"/>
    </xf>
    <xf numFmtId="0" fontId="8" fillId="0" borderId="0" xfId="0" applyFont="1" applyAlignment="1">
      <alignment horizontal="left" vertical="center"/>
    </xf>
    <xf numFmtId="0" fontId="8" fillId="0" borderId="0" xfId="0" applyFont="1" applyFill="1" applyAlignment="1">
      <alignment horizontal="left" vertical="center"/>
    </xf>
    <xf numFmtId="0" fontId="0" fillId="0" borderId="0" xfId="0" applyFill="1" applyAlignment="1">
      <alignment horizontal="left" vertical="center"/>
    </xf>
    <xf numFmtId="0" fontId="0" fillId="0" borderId="0" xfId="0" applyFont="1" applyAlignment="1">
      <alignment horizontal="left" vertical="center"/>
    </xf>
    <xf numFmtId="0" fontId="12" fillId="10" borderId="0" xfId="9" applyFill="1" applyAlignment="1">
      <alignment horizontal="left"/>
    </xf>
    <xf numFmtId="0" fontId="19" fillId="0" borderId="0" xfId="13" quotePrefix="1" applyFont="1" applyAlignment="1">
      <alignment horizontal="left"/>
    </xf>
    <xf numFmtId="0" fontId="18" fillId="0" borderId="0" xfId="13" quotePrefix="1" applyFont="1" applyAlignment="1">
      <alignment horizontal="left"/>
    </xf>
    <xf numFmtId="0" fontId="18" fillId="0" borderId="0" xfId="13" quotePrefix="1" applyAlignment="1">
      <alignment horizontal="left"/>
    </xf>
    <xf numFmtId="0" fontId="13" fillId="10" borderId="0" xfId="2" applyFill="1" applyAlignment="1">
      <alignment horizontal="left"/>
    </xf>
    <xf numFmtId="0" fontId="2" fillId="0" borderId="0" xfId="0" applyFont="1" applyAlignment="1">
      <alignment horizontal="left" vertical="center"/>
    </xf>
    <xf numFmtId="0" fontId="36" fillId="6" borderId="0" xfId="2" applyFont="1" applyAlignment="1">
      <alignment horizontal="left"/>
    </xf>
    <xf numFmtId="0" fontId="6" fillId="0" borderId="0" xfId="7" applyFill="1" applyAlignment="1">
      <alignment horizontal="left"/>
    </xf>
    <xf numFmtId="166" fontId="20" fillId="6" borderId="0" xfId="9" applyNumberFormat="1" applyFont="1" applyAlignment="1">
      <alignment horizontal="left"/>
    </xf>
    <xf numFmtId="0" fontId="18" fillId="0" borderId="0" xfId="13" applyFont="1" applyAlignment="1">
      <alignment horizontal="right" vertical="center" wrapText="1"/>
    </xf>
    <xf numFmtId="0" fontId="5" fillId="4" borderId="2" xfId="6" applyAlignment="1">
      <alignment horizontal="left" vertical="center"/>
    </xf>
    <xf numFmtId="0" fontId="36" fillId="18" borderId="0" xfId="22" applyFill="1">
      <alignment horizontal="center" vertical="center"/>
    </xf>
    <xf numFmtId="0" fontId="65" fillId="0" borderId="0" xfId="24" applyFill="1" applyAlignment="1">
      <alignment horizontal="right"/>
    </xf>
    <xf numFmtId="0" fontId="65" fillId="0" borderId="0" xfId="24" applyFill="1"/>
    <xf numFmtId="0" fontId="65" fillId="0" borderId="0" xfId="24" applyFill="1" applyAlignment="1">
      <alignment horizontal="left"/>
    </xf>
    <xf numFmtId="0" fontId="65" fillId="0" borderId="0" xfId="24" applyNumberFormat="1" applyFill="1"/>
    <xf numFmtId="0" fontId="65" fillId="0" borderId="0" xfId="24" applyNumberFormat="1" applyFill="1" applyAlignment="1">
      <alignment horizontal="left"/>
    </xf>
    <xf numFmtId="0" fontId="34" fillId="18" borderId="0" xfId="0" applyFont="1" applyFill="1">
      <alignment vertical="center"/>
    </xf>
    <xf numFmtId="0" fontId="66" fillId="0" borderId="0" xfId="0" applyFont="1" applyFill="1" applyAlignment="1">
      <alignment horizontal="left" vertical="center"/>
    </xf>
    <xf numFmtId="0" fontId="14" fillId="0" borderId="4" xfId="12" applyAlignment="1">
      <alignment horizontal="right" vertical="center" wrapText="1"/>
    </xf>
    <xf numFmtId="0" fontId="19" fillId="0" borderId="0" xfId="13" applyFont="1" applyAlignment="1">
      <alignment vertical="center"/>
    </xf>
    <xf numFmtId="0" fontId="8" fillId="0" borderId="0" xfId="0" quotePrefix="1" applyFont="1" applyFill="1" applyAlignment="1">
      <alignment horizontal="right" wrapText="1"/>
    </xf>
    <xf numFmtId="0" fontId="53" fillId="0" borderId="0" xfId="23" applyFill="1"/>
    <xf numFmtId="0" fontId="53" fillId="0" borderId="0" xfId="23" applyFill="1" applyAlignment="1"/>
    <xf numFmtId="0" fontId="41" fillId="2" borderId="1" xfId="3" quotePrefix="1" applyFont="1" applyAlignment="1" applyProtection="1">
      <alignment horizontal="right"/>
      <protection locked="0"/>
    </xf>
    <xf numFmtId="168" fontId="0" fillId="0" borderId="0" xfId="8" applyNumberFormat="1" applyFont="1" applyFill="1"/>
    <xf numFmtId="0" fontId="8" fillId="0" borderId="0" xfId="0" applyFont="1" applyAlignment="1">
      <alignment horizontal="center" vertical="center"/>
    </xf>
    <xf numFmtId="1" fontId="49" fillId="2" borderId="1" xfId="3" applyNumberFormat="1" applyAlignment="1">
      <alignment vertical="center"/>
      <protection locked="0"/>
    </xf>
    <xf numFmtId="0" fontId="49" fillId="3" borderId="10" xfId="19" applyAlignment="1">
      <alignment vertical="center"/>
    </xf>
    <xf numFmtId="1" fontId="49" fillId="3" borderId="10" xfId="19" applyNumberFormat="1" applyAlignment="1">
      <alignment vertical="center"/>
    </xf>
    <xf numFmtId="0" fontId="8" fillId="0" borderId="3" xfId="10" applyAlignment="1">
      <alignment vertical="center"/>
    </xf>
    <xf numFmtId="0" fontId="0" fillId="28" borderId="0" xfId="0" applyFill="1">
      <alignment vertical="center"/>
    </xf>
    <xf numFmtId="0" fontId="13" fillId="6" borderId="0" xfId="2" applyAlignment="1">
      <alignment vertical="center"/>
    </xf>
    <xf numFmtId="0" fontId="21" fillId="6" borderId="0" xfId="9" applyFont="1">
      <alignment horizontal="left"/>
    </xf>
    <xf numFmtId="0" fontId="67" fillId="18" borderId="0" xfId="0" applyFont="1" applyFill="1">
      <alignment vertical="center"/>
    </xf>
    <xf numFmtId="0" fontId="0" fillId="0" borderId="0" xfId="0">
      <alignment vertical="center"/>
    </xf>
    <xf numFmtId="0" fontId="0" fillId="0" borderId="0" xfId="0" applyFill="1">
      <alignment vertical="center"/>
    </xf>
    <xf numFmtId="168" fontId="0" fillId="0" borderId="0" xfId="0" applyNumberFormat="1" applyFont="1" applyAlignment="1"/>
    <xf numFmtId="9" fontId="69" fillId="0" borderId="0" xfId="1" applyFont="1" applyAlignment="1">
      <alignment vertical="center"/>
    </xf>
    <xf numFmtId="0" fontId="0" fillId="0" borderId="0" xfId="0">
      <alignment vertical="center"/>
    </xf>
    <xf numFmtId="0" fontId="49" fillId="2" borderId="1" xfId="3" applyProtection="1">
      <protection locked="0"/>
    </xf>
    <xf numFmtId="0" fontId="0" fillId="0" borderId="0" xfId="0">
      <alignment vertical="center"/>
    </xf>
    <xf numFmtId="0" fontId="19" fillId="0" borderId="0" xfId="13" applyFont="1" applyAlignment="1">
      <alignment horizontal="left" vertical="center" wrapText="1"/>
    </xf>
    <xf numFmtId="0" fontId="0" fillId="0" borderId="0" xfId="0">
      <alignment vertical="center"/>
    </xf>
    <xf numFmtId="0" fontId="0" fillId="0" borderId="8" xfId="0" applyFont="1" applyBorder="1" applyAlignment="1">
      <alignment horizontal="left" vertical="center" wrapText="1"/>
    </xf>
    <xf numFmtId="0" fontId="19" fillId="0" borderId="0" xfId="13" applyFont="1" applyAlignment="1">
      <alignment horizontal="left"/>
    </xf>
    <xf numFmtId="0" fontId="0" fillId="0" borderId="0" xfId="0" applyAlignment="1">
      <alignment horizontal="left" wrapText="1"/>
    </xf>
    <xf numFmtId="0" fontId="0" fillId="0" borderId="0" xfId="0" applyFont="1" applyAlignment="1">
      <alignment wrapText="1"/>
    </xf>
    <xf numFmtId="0" fontId="0" fillId="0" borderId="0" xfId="0" applyAlignment="1">
      <alignment wrapText="1"/>
    </xf>
    <xf numFmtId="0" fontId="35" fillId="0" borderId="0" xfId="13" applyFont="1" applyFill="1" applyAlignment="1">
      <alignment horizontal="center"/>
    </xf>
    <xf numFmtId="0" fontId="27" fillId="8" borderId="0" xfId="15" applyAlignment="1">
      <alignment horizontal="left" vertical="top"/>
    </xf>
    <xf numFmtId="0" fontId="27" fillId="8" borderId="0" xfId="15" applyAlignment="1">
      <alignment horizontal="left" vertical="top" wrapText="1"/>
    </xf>
    <xf numFmtId="0" fontId="19" fillId="0" borderId="9" xfId="13" quotePrefix="1" applyFont="1" applyFill="1" applyBorder="1" applyAlignment="1">
      <alignment horizontal="left" vertical="center"/>
    </xf>
    <xf numFmtId="0" fontId="19" fillId="0" borderId="0" xfId="13" applyFont="1" applyAlignment="1">
      <alignment horizontal="left" vertical="top" wrapText="1"/>
    </xf>
    <xf numFmtId="0" fontId="27" fillId="8" borderId="0" xfId="15" applyFont="1" applyAlignment="1">
      <alignment vertical="top" wrapText="1"/>
    </xf>
    <xf numFmtId="0" fontId="27" fillId="8" borderId="0" xfId="15" applyFont="1" applyAlignment="1">
      <alignment horizontal="left" vertical="top" wrapText="1"/>
    </xf>
    <xf numFmtId="0" fontId="0" fillId="0" borderId="0" xfId="0" applyFill="1">
      <alignment vertical="center"/>
    </xf>
    <xf numFmtId="0" fontId="27" fillId="8" borderId="0" xfId="15" applyAlignment="1">
      <alignment horizontal="left"/>
    </xf>
    <xf numFmtId="0" fontId="44" fillId="0" borderId="0" xfId="13" applyFont="1" applyFill="1" applyAlignment="1">
      <alignment horizontal="left" vertical="top" wrapText="1"/>
    </xf>
    <xf numFmtId="0" fontId="27" fillId="8" borderId="0" xfId="15" applyFont="1" applyAlignment="1">
      <alignment horizontal="left" wrapText="1"/>
    </xf>
    <xf numFmtId="0" fontId="18" fillId="0" borderId="13" xfId="13" applyFill="1" applyBorder="1" applyAlignment="1">
      <alignment horizontal="center" wrapText="1"/>
    </xf>
    <xf numFmtId="0" fontId="28" fillId="0" borderId="0" xfId="16" applyAlignment="1">
      <alignment horizontal="center" vertical="center" wrapText="1"/>
    </xf>
    <xf numFmtId="168" fontId="14" fillId="0" borderId="4" xfId="12" applyNumberFormat="1" applyAlignment="1">
      <alignment horizontal="center"/>
    </xf>
    <xf numFmtId="0" fontId="14" fillId="0" borderId="4" xfId="12" applyAlignment="1">
      <alignment horizontal="center" wrapText="1"/>
    </xf>
    <xf numFmtId="0" fontId="14" fillId="0" borderId="0" xfId="12" applyBorder="1" applyAlignment="1">
      <alignment horizontal="center"/>
    </xf>
    <xf numFmtId="0" fontId="16" fillId="18" borderId="0" xfId="0" applyFont="1" applyFill="1" applyAlignment="1">
      <alignment horizontal="center"/>
    </xf>
    <xf numFmtId="166" fontId="48" fillId="18" borderId="0" xfId="8" applyNumberFormat="1" applyFont="1" applyFill="1" applyAlignment="1">
      <alignment horizontal="left"/>
    </xf>
    <xf numFmtId="166" fontId="34" fillId="18" borderId="0" xfId="8" applyNumberFormat="1" applyFont="1" applyFill="1" applyAlignment="1">
      <alignment horizontal="left"/>
    </xf>
    <xf numFmtId="0" fontId="48" fillId="18" borderId="0" xfId="0" applyFont="1" applyFill="1" applyAlignment="1">
      <alignment horizontal="center"/>
    </xf>
    <xf numFmtId="0" fontId="13" fillId="15" borderId="0" xfId="2" applyFont="1" applyFill="1" applyAlignment="1">
      <alignment horizontal="center"/>
    </xf>
    <xf numFmtId="0" fontId="13" fillId="6" borderId="0" xfId="2" applyAlignment="1">
      <alignment horizontal="center"/>
    </xf>
    <xf numFmtId="0" fontId="8" fillId="0" borderId="0" xfId="0" applyFont="1" applyAlignment="1">
      <alignment horizontal="left"/>
    </xf>
    <xf numFmtId="0" fontId="8" fillId="0" borderId="0" xfId="0" applyFont="1" applyAlignment="1">
      <alignment horizontal="left" wrapText="1"/>
    </xf>
    <xf numFmtId="166" fontId="13" fillId="6" borderId="0" xfId="2" applyNumberFormat="1" applyAlignment="1">
      <alignment horizontal="center"/>
    </xf>
    <xf numFmtId="166" fontId="12" fillId="6" borderId="0" xfId="8" applyNumberFormat="1" applyFont="1" applyFill="1" applyAlignment="1">
      <alignment horizontal="center"/>
    </xf>
    <xf numFmtId="168" fontId="12" fillId="6" borderId="0" xfId="9" applyNumberFormat="1" applyAlignment="1">
      <alignment horizontal="center"/>
    </xf>
    <xf numFmtId="166" fontId="8" fillId="0" borderId="0" xfId="8" applyNumberFormat="1" applyFont="1" applyAlignment="1">
      <alignment horizontal="center"/>
    </xf>
    <xf numFmtId="168" fontId="8" fillId="0" borderId="0" xfId="0" applyNumberFormat="1" applyFont="1" applyAlignment="1">
      <alignment horizontal="center"/>
    </xf>
    <xf numFmtId="0" fontId="0" fillId="0" borderId="0" xfId="0" applyAlignment="1">
      <alignment horizontal="center"/>
    </xf>
    <xf numFmtId="0" fontId="21" fillId="6" borderId="0" xfId="9" applyFont="1">
      <alignment horizontal="left"/>
    </xf>
    <xf numFmtId="0" fontId="6" fillId="0" borderId="0" xfId="7" applyAlignment="1">
      <alignment horizontal="center"/>
    </xf>
    <xf numFmtId="0" fontId="12" fillId="6" borderId="0" xfId="9">
      <alignment horizontal="left"/>
    </xf>
    <xf numFmtId="0" fontId="19" fillId="0" borderId="0" xfId="13" applyFont="1" applyAlignment="1">
      <alignment horizontal="left" wrapText="1"/>
    </xf>
    <xf numFmtId="171" fontId="61" fillId="16" borderId="19" xfId="5" applyNumberFormat="1" applyFont="1" applyBorder="1" applyAlignment="1">
      <alignment horizontal="left" vertical="center"/>
    </xf>
    <xf numFmtId="171" fontId="61" fillId="16" borderId="0" xfId="5" applyNumberFormat="1" applyFont="1" applyBorder="1" applyAlignment="1">
      <alignment horizontal="left" vertical="center"/>
    </xf>
    <xf numFmtId="0" fontId="12" fillId="18" borderId="0" xfId="9" applyFill="1" applyAlignment="1">
      <alignment horizontal="center"/>
    </xf>
    <xf numFmtId="0" fontId="8" fillId="0" borderId="0" xfId="0" applyFont="1" applyAlignment="1">
      <alignment horizontal="center" vertical="center"/>
    </xf>
    <xf numFmtId="0" fontId="42" fillId="19" borderId="12" xfId="0" applyFont="1" applyFill="1" applyBorder="1" applyAlignment="1">
      <alignment horizontal="center" vertical="center" textRotation="180"/>
    </xf>
  </cellXfs>
  <cellStyles count="26">
    <cellStyle name="Advanced Users" xfId="22" xr:uid="{4979643C-1E8C-4166-923C-0567FF2BC4C0}"/>
    <cellStyle name="All Users" xfId="21" xr:uid="{CD492885-3FCB-44E7-AAC5-58780005E748}"/>
    <cellStyle name="Calculation" xfId="4" builtinId="22" customBuiltin="1"/>
    <cellStyle name="Check Cell" xfId="5" builtinId="23" customBuiltin="1"/>
    <cellStyle name="Chooser" xfId="14" xr:uid="{9C38A2D7-52EA-4245-908A-515FCD13143E}"/>
    <cellStyle name="Comma" xfId="8" builtinId="3"/>
    <cellStyle name="Currency" xfId="17" builtinId="4"/>
    <cellStyle name="Explanatory Text" xfId="7" builtinId="53" customBuiltin="1"/>
    <cellStyle name="Good" xfId="15" builtinId="26" customBuiltin="1"/>
    <cellStyle name="Heading 1" xfId="11" builtinId="16" customBuiltin="1"/>
    <cellStyle name="Heading 2" xfId="9" builtinId="17" customBuiltin="1"/>
    <cellStyle name="Heading 3" xfId="2" builtinId="18" customBuiltin="1"/>
    <cellStyle name="Heading 4" xfId="12" builtinId="19" customBuiltin="1"/>
    <cellStyle name="Hyperlink" xfId="16" builtinId="8"/>
    <cellStyle name="Input" xfId="3" builtinId="20" customBuiltin="1"/>
    <cellStyle name="Input to Optimize" xfId="18" xr:uid="{457F0E9A-AFC8-4103-9B4F-FBCCDF25B0F1}"/>
    <cellStyle name="Machine_Read_Labels" xfId="24" xr:uid="{8A22EC0C-AB86-4D1E-8933-73F9954FC8EE}"/>
    <cellStyle name="Navigation Bar" xfId="20" xr:uid="{BD10874A-C4FD-4440-8820-58AAC16E2B80}"/>
    <cellStyle name="Normal" xfId="0" builtinId="0" customBuiltin="1"/>
    <cellStyle name="Note" xfId="6" builtinId="10" customBuiltin="1"/>
    <cellStyle name="Output" xfId="19" builtinId="21" customBuiltin="1"/>
    <cellStyle name="Percent" xfId="1" builtinId="5"/>
    <cellStyle name="Total" xfId="10" builtinId="25" customBuiltin="1"/>
    <cellStyle name="Translation" xfId="23" xr:uid="{1E9AA3EC-DFAE-47E5-BFB0-E4531EC6D519}"/>
    <cellStyle name="User Notes" xfId="25" xr:uid="{391AE946-DCD6-4903-B564-2C68FF627737}"/>
    <cellStyle name="Warning Text" xfId="13" builtinId="11" customBuiltin="1"/>
  </cellStyles>
  <dxfs count="391">
    <dxf>
      <font>
        <strike val="0"/>
        <outline val="0"/>
        <shadow val="0"/>
        <u val="none"/>
        <vertAlign val="baseline"/>
        <sz val="10"/>
        <color theme="1"/>
        <name val="Calibri Light"/>
        <family val="2"/>
        <scheme val="minor"/>
      </font>
      <numFmt numFmtId="166" formatCode="_-* #,##0_-;\-* #,##0_-;_-* &quot;-&quot;??_-;_-@_-"/>
    </dxf>
    <dxf>
      <font>
        <strike val="0"/>
        <outline val="0"/>
        <shadow val="0"/>
        <u val="none"/>
        <vertAlign val="baseline"/>
        <sz val="10"/>
        <color theme="1"/>
        <name val="Calibri Light"/>
        <family val="2"/>
        <scheme val="minor"/>
      </font>
    </dxf>
    <dxf>
      <font>
        <strike val="0"/>
        <outline val="0"/>
        <shadow val="0"/>
        <u val="none"/>
        <vertAlign val="baseline"/>
        <sz val="10"/>
        <color theme="1"/>
        <name val="Calibri Light"/>
        <family val="2"/>
        <scheme val="minor"/>
      </font>
    </dxf>
    <dxf>
      <font>
        <strike val="0"/>
        <outline val="0"/>
        <shadow val="0"/>
        <u val="none"/>
        <vertAlign val="baseline"/>
        <sz val="10"/>
        <color theme="1"/>
        <name val="Calibri Light"/>
        <family val="2"/>
        <scheme val="minor"/>
      </font>
    </dxf>
    <dxf>
      <numFmt numFmtId="2" formatCode="0.00"/>
    </dxf>
    <dxf>
      <numFmt numFmtId="2" formatCode="0.00"/>
    </dxf>
    <dxf>
      <font>
        <b val="0"/>
        <i val="0"/>
        <strike val="0"/>
        <condense val="0"/>
        <extend val="0"/>
        <outline val="0"/>
        <shadow val="0"/>
        <u val="none"/>
        <vertAlign val="baseline"/>
        <sz val="10"/>
        <color rgb="FF000000"/>
        <name val="Calibri Light"/>
        <family val="2"/>
        <scheme val="minor"/>
      </font>
      <numFmt numFmtId="168" formatCode="_-[$$-409]* #,##0_ ;_-[$$-409]* \-#,##0\ ;_-[$$-409]* &quot;-&quot;??_ ;_-@_ "/>
    </dxf>
    <dxf>
      <font>
        <b val="0"/>
        <i val="0"/>
        <strike val="0"/>
        <condense val="0"/>
        <extend val="0"/>
        <outline val="0"/>
        <shadow val="0"/>
        <u val="none"/>
        <vertAlign val="baseline"/>
        <sz val="10"/>
        <color rgb="FF000000"/>
        <name val="Calibri Light"/>
        <family val="2"/>
        <scheme val="minor"/>
      </font>
      <numFmt numFmtId="3" formatCode="#,##0"/>
      <alignment horizontal="general" vertical="bottom" textRotation="0" wrapText="0" indent="0" justifyLastLine="0" shrinkToFit="0" readingOrder="0"/>
    </dxf>
    <dxf>
      <font>
        <b val="0"/>
        <i val="0"/>
        <strike val="0"/>
        <condense val="0"/>
        <extend val="0"/>
        <outline val="0"/>
        <shadow val="0"/>
        <u val="none"/>
        <vertAlign val="baseline"/>
        <sz val="10"/>
        <color rgb="FF000000"/>
        <name val="Calibri Light"/>
        <family val="2"/>
        <scheme val="minor"/>
      </font>
      <numFmt numFmtId="3" formatCode="#,##0"/>
      <alignment horizontal="general" vertical="bottom" textRotation="0" wrapText="0" indent="0" justifyLastLine="0" shrinkToFit="0" readingOrder="0"/>
    </dxf>
    <dxf>
      <font>
        <b val="0"/>
        <i val="0"/>
        <strike val="0"/>
        <condense val="0"/>
        <extend val="0"/>
        <outline val="0"/>
        <shadow val="0"/>
        <u val="none"/>
        <vertAlign val="baseline"/>
        <sz val="10"/>
        <color rgb="FF000000"/>
        <name val="Calibri Light"/>
        <family val="2"/>
        <scheme val="minor"/>
      </font>
      <numFmt numFmtId="3" formatCode="#,##0"/>
      <alignment horizontal="general" vertical="bottom" textRotation="0" wrapText="0" indent="0" justifyLastLine="0" shrinkToFit="0" readingOrder="0"/>
    </dxf>
    <dxf>
      <font>
        <b val="0"/>
        <i val="0"/>
        <strike val="0"/>
        <condense val="0"/>
        <extend val="0"/>
        <outline val="0"/>
        <shadow val="0"/>
        <u val="none"/>
        <vertAlign val="baseline"/>
        <sz val="10"/>
        <color rgb="FF000000"/>
        <name val="Calibri Light"/>
        <family val="2"/>
        <scheme val="minor"/>
      </font>
      <numFmt numFmtId="3" formatCode="#,##0"/>
      <alignment horizontal="general" vertical="bottom" textRotation="0" wrapText="0" indent="0" justifyLastLine="0" shrinkToFit="0" readingOrder="0"/>
    </dxf>
    <dxf>
      <font>
        <b val="0"/>
        <i val="0"/>
        <strike val="0"/>
        <condense val="0"/>
        <extend val="0"/>
        <outline val="0"/>
        <shadow val="0"/>
        <u val="none"/>
        <vertAlign val="baseline"/>
        <sz val="10"/>
        <color rgb="FF000000"/>
        <name val="Calibri Light"/>
        <family val="2"/>
        <scheme val="minor"/>
      </font>
      <numFmt numFmtId="3" formatCode="#,##0"/>
      <alignment horizontal="general" vertical="bottom" textRotation="0" wrapText="0" indent="0" justifyLastLine="0" shrinkToFit="0" readingOrder="0"/>
    </dxf>
    <dxf>
      <font>
        <b val="0"/>
        <i val="0"/>
        <strike val="0"/>
        <condense val="0"/>
        <extend val="0"/>
        <outline val="0"/>
        <shadow val="0"/>
        <u val="none"/>
        <vertAlign val="baseline"/>
        <sz val="10"/>
        <color rgb="FF000000"/>
        <name val="Calibri Light"/>
        <family val="2"/>
        <scheme val="minor"/>
      </font>
      <numFmt numFmtId="3" formatCode="#,##0"/>
      <alignment horizontal="general" vertical="bottom" textRotation="0" wrapText="0" indent="0" justifyLastLine="0" shrinkToFit="0" readingOrder="0"/>
    </dxf>
    <dxf>
      <font>
        <b val="0"/>
        <i val="0"/>
        <strike val="0"/>
        <condense val="0"/>
        <extend val="0"/>
        <outline val="0"/>
        <shadow val="0"/>
        <u val="none"/>
        <vertAlign val="baseline"/>
        <sz val="10"/>
        <color rgb="FF000000"/>
        <name val="Calibri Light"/>
        <family val="2"/>
        <scheme val="minor"/>
      </font>
      <numFmt numFmtId="3" formatCode="#,##0"/>
      <alignment horizontal="general" vertical="bottom" textRotation="0" wrapText="0" indent="0" justifyLastLine="0" shrinkToFit="0" readingOrder="0"/>
    </dxf>
    <dxf>
      <font>
        <b val="0"/>
        <i val="0"/>
        <strike val="0"/>
        <condense val="0"/>
        <extend val="0"/>
        <outline val="0"/>
        <shadow val="0"/>
        <u val="none"/>
        <vertAlign val="baseline"/>
        <sz val="10"/>
        <color rgb="FF000000"/>
        <name val="Calibri Light"/>
        <family val="2"/>
        <scheme val="minor"/>
      </font>
      <numFmt numFmtId="3" formatCode="#,##0"/>
      <alignment horizontal="general" vertical="bottom" textRotation="0" wrapText="0" indent="0" justifyLastLine="0" shrinkToFit="0" readingOrder="0"/>
    </dxf>
    <dxf>
      <font>
        <b val="0"/>
        <i val="0"/>
        <strike val="0"/>
        <condense val="0"/>
        <extend val="0"/>
        <outline val="0"/>
        <shadow val="0"/>
        <u val="none"/>
        <vertAlign val="baseline"/>
        <sz val="10"/>
        <color rgb="FF000000"/>
        <name val="Calibri Light"/>
        <family val="2"/>
        <scheme val="minor"/>
      </font>
      <numFmt numFmtId="3" formatCode="#,##0"/>
      <alignment horizontal="general" vertical="bottom" textRotation="0" wrapText="0" indent="0" justifyLastLine="0" shrinkToFit="0" readingOrder="0"/>
    </dxf>
    <dxf>
      <font>
        <b val="0"/>
        <i val="0"/>
        <strike val="0"/>
        <condense val="0"/>
        <extend val="0"/>
        <outline val="0"/>
        <shadow val="0"/>
        <u val="none"/>
        <vertAlign val="baseline"/>
        <sz val="10"/>
        <color rgb="FF000000"/>
        <name val="Calibri Light"/>
        <family val="2"/>
        <scheme val="minor"/>
      </font>
      <numFmt numFmtId="3" formatCode="#,##0"/>
      <alignment horizontal="general" vertical="bottom" textRotation="0" wrapText="0" indent="0" justifyLastLine="0" shrinkToFit="0" readingOrder="0"/>
    </dxf>
    <dxf>
      <font>
        <b val="0"/>
        <i val="0"/>
        <strike val="0"/>
        <condense val="0"/>
        <extend val="0"/>
        <outline val="0"/>
        <shadow val="0"/>
        <u val="none"/>
        <vertAlign val="baseline"/>
        <sz val="10"/>
        <color rgb="FF000000"/>
        <name val="Calibri Light"/>
        <family val="2"/>
        <scheme val="minor"/>
      </font>
      <numFmt numFmtId="3" formatCode="#,##0"/>
      <alignment horizontal="general" vertical="bottom" textRotation="0" wrapText="0" indent="0" justifyLastLine="0" shrinkToFit="0" readingOrder="0"/>
    </dxf>
    <dxf>
      <font>
        <b val="0"/>
        <i val="0"/>
        <strike val="0"/>
        <condense val="0"/>
        <extend val="0"/>
        <outline val="0"/>
        <shadow val="0"/>
        <u val="none"/>
        <vertAlign val="baseline"/>
        <sz val="10"/>
        <color rgb="FF000000"/>
        <name val="Calibri Light"/>
        <family val="2"/>
        <scheme val="minor"/>
      </font>
      <numFmt numFmtId="3" formatCode="#,##0"/>
      <alignment horizontal="general" vertical="bottom" textRotation="0" wrapText="0" indent="0" justifyLastLine="0" shrinkToFit="0" readingOrder="0"/>
    </dxf>
    <dxf>
      <font>
        <b val="0"/>
        <i val="0"/>
        <strike val="0"/>
        <condense val="0"/>
        <extend val="0"/>
        <outline val="0"/>
        <shadow val="0"/>
        <u val="none"/>
        <vertAlign val="baseline"/>
        <sz val="10"/>
        <color rgb="FF000000"/>
        <name val="Calibri Light"/>
        <family val="2"/>
        <scheme val="minor"/>
      </font>
      <numFmt numFmtId="3" formatCode="#,##0"/>
      <alignment horizontal="general" vertical="bottom" textRotation="0" wrapText="0" indent="0" justifyLastLine="0" shrinkToFit="0" readingOrder="0"/>
    </dxf>
    <dxf>
      <font>
        <b val="0"/>
        <i val="0"/>
        <strike val="0"/>
        <condense val="0"/>
        <extend val="0"/>
        <outline val="0"/>
        <shadow val="0"/>
        <u val="none"/>
        <vertAlign val="baseline"/>
        <sz val="10"/>
        <color rgb="FF000000"/>
        <name val="Calibri Light"/>
        <family val="2"/>
        <scheme val="minor"/>
      </font>
      <numFmt numFmtId="3" formatCode="#,##0"/>
      <alignment horizontal="general" vertical="bottom" textRotation="0" wrapText="0" indent="0" justifyLastLine="0" shrinkToFit="0" readingOrder="0"/>
    </dxf>
    <dxf>
      <font>
        <b val="0"/>
        <i val="0"/>
        <strike val="0"/>
        <condense val="0"/>
        <extend val="0"/>
        <outline val="0"/>
        <shadow val="0"/>
        <u val="none"/>
        <vertAlign val="baseline"/>
        <sz val="10"/>
        <color rgb="FF000000"/>
        <name val="Calibri Light"/>
        <family val="2"/>
        <scheme val="minor"/>
      </font>
    </dxf>
    <dxf>
      <font>
        <b val="0"/>
        <i val="0"/>
        <strike val="0"/>
        <condense val="0"/>
        <extend val="0"/>
        <outline val="0"/>
        <shadow val="0"/>
        <u val="none"/>
        <vertAlign val="baseline"/>
        <sz val="10"/>
        <color rgb="FF000000"/>
        <name val="Calibri Light"/>
        <family val="2"/>
        <scheme val="minor"/>
      </font>
    </dxf>
    <dxf>
      <font>
        <b val="0"/>
        <i val="0"/>
        <strike val="0"/>
        <condense val="0"/>
        <extend val="0"/>
        <outline val="0"/>
        <shadow val="0"/>
        <u val="none"/>
        <vertAlign val="baseline"/>
        <sz val="10"/>
        <color rgb="FF000000"/>
        <name val="Calibri Light"/>
        <family val="2"/>
        <scheme val="minor"/>
      </font>
    </dxf>
    <dxf>
      <font>
        <b val="0"/>
        <i val="0"/>
        <strike val="0"/>
        <condense val="0"/>
        <extend val="0"/>
        <outline val="0"/>
        <shadow val="0"/>
        <u val="none"/>
        <vertAlign val="baseline"/>
        <sz val="10"/>
        <color rgb="FF000000"/>
        <name val="Calibri Light"/>
        <family val="2"/>
        <scheme val="minor"/>
      </font>
    </dxf>
    <dxf>
      <border outline="0">
        <top style="thin">
          <color theme="0"/>
        </top>
      </border>
    </dxf>
    <dxf>
      <font>
        <b val="0"/>
        <i val="0"/>
        <strike val="0"/>
        <condense val="0"/>
        <extend val="0"/>
        <outline val="0"/>
        <shadow val="0"/>
        <u val="none"/>
        <vertAlign val="baseline"/>
        <sz val="10"/>
        <color rgb="FF000000"/>
        <name val="Calibri Light"/>
        <family val="2"/>
        <scheme val="minor"/>
      </font>
      <alignment horizontal="general" vertical="bottom" textRotation="0" wrapText="0" indent="0" justifyLastLine="0" shrinkToFit="0" readingOrder="0"/>
    </dxf>
    <dxf>
      <border outline="0">
        <bottom style="thin">
          <color theme="0"/>
        </bottom>
      </border>
    </dxf>
    <dxf>
      <font>
        <b/>
        <i val="0"/>
        <strike val="0"/>
        <condense val="0"/>
        <extend val="0"/>
        <outline val="0"/>
        <shadow val="0"/>
        <u val="none"/>
        <vertAlign val="baseline"/>
        <sz val="11"/>
        <color theme="0"/>
        <name val="Calibri Light"/>
        <family val="2"/>
        <scheme val="minor"/>
      </font>
      <fill>
        <patternFill patternType="solid">
          <fgColor indexed="64"/>
          <bgColor theme="0" tint="-0.34998626667073579"/>
        </patternFill>
      </fill>
      <alignment horizontal="center" vertical="bottom" textRotation="0" wrapText="0" indent="0" justifyLastLine="0" shrinkToFit="0" readingOrder="0"/>
      <border diagonalUp="0" diagonalDown="0" outline="0">
        <left style="thin">
          <color theme="0"/>
        </left>
        <right style="thin">
          <color theme="0"/>
        </right>
        <top/>
        <bottom/>
      </border>
    </dxf>
    <dxf>
      <numFmt numFmtId="164" formatCode="_-[$$-409]* #,##0.00_ ;_-[$$-409]* \-#,##0.00\ ;_-[$$-409]* &quot;-&quot;??_ ;_-@_ "/>
    </dxf>
    <dxf>
      <numFmt numFmtId="164" formatCode="_-[$$-409]* #,##0.00_ ;_-[$$-409]* \-#,##0.00\ ;_-[$$-409]* &quot;-&quot;??_ ;_-@_ "/>
    </dxf>
    <dxf>
      <numFmt numFmtId="164" formatCode="_-[$$-409]* #,##0.00_ ;_-[$$-409]* \-#,##0.00\ ;_-[$$-409]* &quot;-&quot;??_ ;_-@_ "/>
    </dxf>
    <dxf>
      <numFmt numFmtId="164" formatCode="_-[$$-409]* #,##0.00_ ;_-[$$-409]* \-#,##0.00\ ;_-[$$-409]* &quot;-&quot;??_ ;_-@_ "/>
    </dxf>
    <dxf>
      <numFmt numFmtId="164" formatCode="_-[$$-409]* #,##0.00_ ;_-[$$-409]* \-#,##0.00\ ;_-[$$-409]* &quot;-&quot;??_ ;_-@_ "/>
    </dxf>
    <dxf>
      <numFmt numFmtId="164" formatCode="_-[$$-409]* #,##0.00_ ;_-[$$-409]* \-#,##0.00\ ;_-[$$-409]* &quot;-&quot;??_ ;_-@_ "/>
    </dxf>
    <dxf>
      <numFmt numFmtId="168" formatCode="_-[$$-409]* #,##0_ ;_-[$$-409]* \-#,##0\ ;_-[$$-409]* &quot;-&quot;??_ ;_-@_ "/>
    </dxf>
    <dxf>
      <numFmt numFmtId="168" formatCode="_-[$$-409]* #,##0_ ;_-[$$-409]* \-#,##0\ ;_-[$$-409]* &quot;-&quot;??_ ;_-@_ "/>
    </dxf>
    <dxf>
      <numFmt numFmtId="168" formatCode="_-[$$-409]* #,##0_ ;_-[$$-409]* \-#,##0\ ;_-[$$-409]* &quot;-&quot;??_ ;_-@_ "/>
    </dxf>
    <dxf>
      <numFmt numFmtId="168" formatCode="_-[$$-409]* #,##0_ ;_-[$$-409]* \-#,##0\ ;_-[$$-409]* &quot;-&quot;??_ ;_-@_ "/>
    </dxf>
    <dxf>
      <numFmt numFmtId="168" formatCode="_-[$$-409]* #,##0_ ;_-[$$-409]* \-#,##0\ ;_-[$$-409]* &quot;-&quot;??_ ;_-@_ "/>
    </dxf>
    <dxf>
      <numFmt numFmtId="168" formatCode="_-[$$-409]* #,##0_ ;_-[$$-409]* \-#,##0\ ;_-[$$-409]* &quot;-&quot;??_ ;_-@_ "/>
    </dxf>
    <dxf>
      <numFmt numFmtId="168" formatCode="_-[$$-409]* #,##0_ ;_-[$$-409]* \-#,##0\ ;_-[$$-409]* &quot;-&quot;??_ ;_-@_ "/>
    </dxf>
    <dxf>
      <numFmt numFmtId="168" formatCode="_-[$$-409]* #,##0_ ;_-[$$-409]* \-#,##0\ ;_-[$$-409]* &quot;-&quot;??_ ;_-@_ "/>
    </dxf>
    <dxf>
      <numFmt numFmtId="168" formatCode="_-[$$-409]* #,##0_ ;_-[$$-409]* \-#,##0\ ;_-[$$-409]* &quot;-&quot;??_ ;_-@_ "/>
    </dxf>
    <dxf>
      <numFmt numFmtId="168" formatCode="_-[$$-409]* #,##0_ ;_-[$$-409]* \-#,##0\ ;_-[$$-409]* &quot;-&quot;??_ ;_-@_ "/>
    </dxf>
    <dxf>
      <numFmt numFmtId="168" formatCode="_-[$$-409]* #,##0_ ;_-[$$-409]* \-#,##0\ ;_-[$$-409]* &quot;-&quot;??_ ;_-@_ "/>
    </dxf>
    <dxf>
      <numFmt numFmtId="168" formatCode="_-[$$-409]* #,##0_ ;_-[$$-409]* \-#,##0\ ;_-[$$-409]* &quot;-&quot;??_ ;_-@_ "/>
    </dxf>
    <dxf>
      <font>
        <b val="0"/>
        <i val="0"/>
        <strike val="0"/>
        <condense val="0"/>
        <extend val="0"/>
        <outline val="0"/>
        <shadow val="0"/>
        <u val="none"/>
        <vertAlign val="baseline"/>
        <sz val="10"/>
        <color theme="1"/>
        <name val="Calibri Light"/>
        <family val="2"/>
        <scheme val="minor"/>
      </font>
      <numFmt numFmtId="168" formatCode="_-[$$-409]* #,##0_ ;_-[$$-409]* \-#,##0\ ;_-[$$-409]* &quot;-&quot;??_ ;_-@_ "/>
    </dxf>
    <dxf>
      <numFmt numFmtId="2" formatCode="0.00"/>
    </dxf>
    <dxf>
      <font>
        <b val="0"/>
        <i val="0"/>
        <strike val="0"/>
        <condense val="0"/>
        <extend val="0"/>
        <outline val="0"/>
        <shadow val="0"/>
        <u val="none"/>
        <vertAlign val="baseline"/>
        <sz val="10"/>
        <color theme="1"/>
        <name val="Calibri Light"/>
        <family val="2"/>
        <scheme val="minor"/>
      </font>
      <numFmt numFmtId="168" formatCode="_-[$$-409]* #,##0_ ;_-[$$-409]* \-#,##0\ ;_-[$$-409]* &quot;-&quot;??_ ;_-@_ "/>
    </dxf>
    <dxf>
      <font>
        <b val="0"/>
        <i val="0"/>
        <strike val="0"/>
        <condense val="0"/>
        <extend val="0"/>
        <outline val="0"/>
        <shadow val="0"/>
        <u val="none"/>
        <vertAlign val="baseline"/>
        <sz val="10"/>
        <color theme="1"/>
        <name val="Calibri Light"/>
        <family val="2"/>
        <scheme val="minor"/>
      </font>
      <numFmt numFmtId="168" formatCode="_-[$$-409]* #,##0_ ;_-[$$-409]* \-#,##0\ ;_-[$$-409]* &quot;-&quot;??_ ;_-@_ "/>
    </dxf>
    <dxf>
      <font>
        <b val="0"/>
        <i val="0"/>
        <strike val="0"/>
        <condense val="0"/>
        <extend val="0"/>
        <outline val="0"/>
        <shadow val="0"/>
        <u val="none"/>
        <vertAlign val="baseline"/>
        <sz val="10"/>
        <color theme="1"/>
        <name val="Calibri Light"/>
        <family val="2"/>
        <scheme val="minor"/>
      </font>
      <numFmt numFmtId="168" formatCode="_-[$$-409]* #,##0_ ;_-[$$-409]* \-#,##0\ ;_-[$$-409]* &quot;-&quot;??_ ;_-@_ "/>
    </dxf>
    <dxf>
      <font>
        <b val="0"/>
        <i val="0"/>
        <strike val="0"/>
        <condense val="0"/>
        <extend val="0"/>
        <outline val="0"/>
        <shadow val="0"/>
        <u val="none"/>
        <vertAlign val="baseline"/>
        <sz val="10"/>
        <color theme="1"/>
        <name val="Calibri Light"/>
        <family val="2"/>
        <scheme val="minor"/>
      </font>
      <numFmt numFmtId="168" formatCode="_-[$$-409]* #,##0_ ;_-[$$-409]* \-#,##0\ ;_-[$$-409]* &quot;-&quot;??_ ;_-@_ "/>
    </dxf>
    <dxf>
      <font>
        <b val="0"/>
        <i val="0"/>
        <strike val="0"/>
        <condense val="0"/>
        <extend val="0"/>
        <outline val="0"/>
        <shadow val="0"/>
        <u val="none"/>
        <vertAlign val="baseline"/>
        <sz val="10"/>
        <color theme="1"/>
        <name val="Calibri Light"/>
        <family val="2"/>
        <scheme val="minor"/>
      </font>
      <numFmt numFmtId="168" formatCode="_-[$$-409]* #,##0_ ;_-[$$-409]* \-#,##0\ ;_-[$$-409]* &quot;-&quot;??_ ;_-@_ "/>
    </dxf>
    <dxf>
      <font>
        <b val="0"/>
        <i val="0"/>
        <strike val="0"/>
        <condense val="0"/>
        <extend val="0"/>
        <outline val="0"/>
        <shadow val="0"/>
        <u val="none"/>
        <vertAlign val="baseline"/>
        <sz val="10"/>
        <color theme="1"/>
        <name val="Calibri Light"/>
        <family val="2"/>
        <scheme val="minor"/>
      </font>
      <numFmt numFmtId="168" formatCode="_-[$$-409]* #,##0_ ;_-[$$-409]* \-#,##0\ ;_-[$$-409]* &quot;-&quot;??_ ;_-@_ "/>
    </dxf>
    <dxf>
      <numFmt numFmtId="168" formatCode="_-[$$-409]* #,##0_ ;_-[$$-409]* \-#,##0\ ;_-[$$-409]* &quot;-&quot;??_ ;_-@_ "/>
    </dxf>
    <dxf>
      <numFmt numFmtId="168" formatCode="_-[$$-409]* #,##0_ ;_-[$$-409]* \-#,##0\ ;_-[$$-409]* &quot;-&quot;??_ ;_-@_ "/>
    </dxf>
    <dxf>
      <numFmt numFmtId="168" formatCode="_-[$$-409]* #,##0_ ;_-[$$-409]* \-#,##0\ ;_-[$$-409]* &quot;-&quot;??_ ;_-@_ "/>
    </dxf>
    <dxf>
      <numFmt numFmtId="168" formatCode="_-[$$-409]* #,##0_ ;_-[$$-409]* \-#,##0\ ;_-[$$-409]* &quot;-&quot;??_ ;_-@_ "/>
    </dxf>
    <dxf>
      <numFmt numFmtId="168" formatCode="_-[$$-409]* #,##0_ ;_-[$$-409]* \-#,##0\ ;_-[$$-409]* &quot;-&quot;??_ ;_-@_ "/>
    </dxf>
    <dxf>
      <numFmt numFmtId="170" formatCode="0.0"/>
    </dxf>
    <dxf>
      <font>
        <b val="0"/>
        <i val="0"/>
        <strike val="0"/>
        <condense val="0"/>
        <extend val="0"/>
        <outline val="0"/>
        <shadow val="0"/>
        <u val="none"/>
        <vertAlign val="baseline"/>
        <sz val="10"/>
        <color theme="1"/>
        <name val="Calibri Light"/>
        <family val="2"/>
        <scheme val="minor"/>
      </font>
    </dxf>
    <dxf>
      <font>
        <b val="0"/>
        <i val="0"/>
        <strike val="0"/>
        <condense val="0"/>
        <extend val="0"/>
        <outline val="0"/>
        <shadow val="0"/>
        <u val="none"/>
        <vertAlign val="baseline"/>
        <sz val="10"/>
        <color theme="1"/>
        <name val="Calibri Light"/>
        <family val="2"/>
        <scheme val="minor"/>
      </font>
      <numFmt numFmtId="168" formatCode="_-[$$-409]* #,##0_ ;_-[$$-409]* \-#,##0\ ;_-[$$-409]* &quot;-&quot;??_ ;_-@_ "/>
    </dxf>
    <dxf>
      <font>
        <b val="0"/>
        <i val="0"/>
        <strike val="0"/>
        <condense val="0"/>
        <extend val="0"/>
        <outline val="0"/>
        <shadow val="0"/>
        <u val="none"/>
        <vertAlign val="baseline"/>
        <sz val="10"/>
        <color theme="1"/>
        <name val="Calibri Light"/>
        <family val="2"/>
        <scheme val="minor"/>
      </font>
      <numFmt numFmtId="2" formatCode="0.00"/>
      <fill>
        <patternFill patternType="solid">
          <fgColor theme="4" tint="0.79998168889431442"/>
          <bgColor theme="4" tint="0.79998168889431442"/>
        </patternFill>
      </fill>
      <border diagonalUp="0" diagonalDown="0">
        <left/>
        <right/>
        <top style="thin">
          <color theme="4" tint="0.39997558519241921"/>
        </top>
        <bottom/>
        <vertical/>
        <horizontal/>
      </border>
    </dxf>
    <dxf>
      <font>
        <b val="0"/>
        <i val="0"/>
        <strike val="0"/>
        <condense val="0"/>
        <extend val="0"/>
        <outline val="0"/>
        <shadow val="0"/>
        <u val="none"/>
        <vertAlign val="baseline"/>
        <sz val="10"/>
        <color theme="1"/>
        <name val="Calibri Light"/>
        <family val="2"/>
        <scheme val="minor"/>
      </font>
      <numFmt numFmtId="19" formatCode="yyyy/mm/dd"/>
      <fill>
        <patternFill patternType="solid">
          <fgColor theme="4" tint="0.79998168889431442"/>
          <bgColor theme="4" tint="0.79998168889431442"/>
        </patternFill>
      </fill>
      <border diagonalUp="0" diagonalDown="0">
        <left/>
        <right/>
        <top style="thin">
          <color theme="4" tint="0.39997558519241921"/>
        </top>
        <bottom/>
        <vertical/>
        <horizontal/>
      </border>
    </dxf>
    <dxf>
      <font>
        <b val="0"/>
        <i val="0"/>
        <strike val="0"/>
        <condense val="0"/>
        <extend val="0"/>
        <outline val="0"/>
        <shadow val="0"/>
        <u val="none"/>
        <vertAlign val="baseline"/>
        <sz val="10"/>
        <color theme="1"/>
        <name val="Calibri Light"/>
        <family val="2"/>
        <scheme val="minor"/>
      </font>
      <fill>
        <patternFill patternType="solid">
          <fgColor theme="4" tint="0.79998168889431442"/>
          <bgColor theme="4" tint="0.79998168889431442"/>
        </patternFill>
      </fill>
      <border diagonalUp="0" diagonalDown="0">
        <left/>
        <right/>
        <top style="thin">
          <color theme="4" tint="0.39997558519241921"/>
        </top>
        <bottom/>
        <vertical/>
        <horizontal/>
      </border>
    </dxf>
    <dxf>
      <font>
        <b val="0"/>
        <i val="0"/>
        <strike val="0"/>
        <condense val="0"/>
        <extend val="0"/>
        <outline val="0"/>
        <shadow val="0"/>
        <u val="none"/>
        <vertAlign val="baseline"/>
        <sz val="10"/>
        <color theme="1"/>
        <name val="Calibri Light"/>
        <family val="2"/>
        <scheme val="minor"/>
      </font>
      <fill>
        <patternFill patternType="solid">
          <fgColor theme="4" tint="0.79998168889431442"/>
          <bgColor theme="4" tint="0.79998168889431442"/>
        </patternFill>
      </fill>
      <border diagonalUp="0" diagonalDown="0">
        <left/>
        <right/>
        <top style="thin">
          <color theme="4" tint="0.39997558519241921"/>
        </top>
        <bottom/>
        <vertical/>
        <horizontal/>
      </border>
    </dxf>
    <dxf>
      <border outline="0">
        <right style="thin">
          <color theme="4" tint="0.39997558519241921"/>
        </right>
        <top style="thin">
          <color theme="4" tint="0.39997558519241921"/>
        </top>
        <bottom style="thin">
          <color theme="4" tint="0.39997558519241921"/>
        </bottom>
      </border>
    </dxf>
    <dxf>
      <numFmt numFmtId="167" formatCode="0.000"/>
    </dxf>
    <dxf>
      <numFmt numFmtId="0" formatCode="General"/>
    </dxf>
    <dxf>
      <numFmt numFmtId="0" formatCode="General"/>
    </dxf>
    <dxf>
      <numFmt numFmtId="0" formatCode="General"/>
    </dxf>
    <dxf>
      <numFmt numFmtId="0" formatCode="General"/>
    </dxf>
    <dxf>
      <numFmt numFmtId="0" formatCode="General"/>
    </dxf>
    <dxf>
      <numFmt numFmtId="177" formatCode="yyyy/mm/dd\ hh:mm"/>
    </dxf>
    <dxf>
      <numFmt numFmtId="0" formatCode="General"/>
    </dxf>
    <dxf>
      <numFmt numFmtId="0" formatCode="General"/>
    </dxf>
    <dxf>
      <numFmt numFmtId="0" formatCode="General"/>
    </dxf>
    <dxf>
      <font>
        <b val="0"/>
        <i val="0"/>
        <strike val="0"/>
        <condense val="0"/>
        <extend val="0"/>
        <outline val="0"/>
        <shadow val="0"/>
        <u val="none"/>
        <vertAlign val="baseline"/>
        <sz val="10"/>
        <color theme="1"/>
        <name val="Calibri Light"/>
        <family val="2"/>
        <scheme val="minor"/>
      </font>
      <numFmt numFmtId="166" formatCode="_-* #,##0_-;\-* #,##0_-;_-* &quot;-&quot;??_-;_-@_-"/>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font>
        <color theme="0"/>
      </font>
      <fill>
        <patternFill>
          <bgColor theme="9"/>
        </patternFill>
      </fill>
    </dxf>
    <dxf>
      <font>
        <color theme="0"/>
      </font>
      <fill>
        <patternFill>
          <bgColor theme="9"/>
        </patternFill>
      </fill>
    </dxf>
    <dxf>
      <fill>
        <patternFill patternType="none">
          <fgColor indexed="64"/>
          <bgColor auto="1"/>
        </patternFill>
      </fill>
      <alignment horizontal="general" vertical="bottom" textRotation="0" wrapText="0" indent="0" justifyLastLine="0" shrinkToFit="0" readingOrder="0"/>
    </dxf>
    <dxf>
      <fill>
        <patternFill patternType="none">
          <fgColor indexed="64"/>
          <bgColor auto="1"/>
        </patternFill>
      </fill>
      <alignment horizontal="general" vertical="bottom" textRotation="0" wrapText="0" indent="0" justifyLastLine="0" shrinkToFit="0" readingOrder="0"/>
    </dxf>
    <dxf>
      <fill>
        <patternFill patternType="none">
          <fgColor indexed="64"/>
          <bgColor auto="1"/>
        </patternFill>
      </fill>
      <alignment horizontal="general" vertical="bottom" textRotation="0" wrapText="0" indent="0" justifyLastLine="0" shrinkToFit="0" readingOrder="0"/>
    </dxf>
    <dxf>
      <fill>
        <patternFill patternType="none">
          <fgColor indexed="64"/>
          <bgColor auto="1"/>
        </patternFill>
      </fill>
      <alignment horizontal="general" vertical="bottom" textRotation="0" wrapText="0" indent="0" justifyLastLine="0" shrinkToFit="0" readingOrder="0"/>
    </dxf>
    <dxf>
      <fill>
        <patternFill patternType="none">
          <fgColor indexed="64"/>
          <bgColor auto="1"/>
        </patternFill>
      </fill>
      <alignment horizontal="general" vertical="bottom" textRotation="0" wrapText="0" indent="0" justifyLastLine="0" shrinkToFit="0" readingOrder="0"/>
    </dxf>
    <dxf>
      <fill>
        <patternFill patternType="none">
          <fgColor indexed="64"/>
          <bgColor auto="1"/>
        </patternFill>
      </fill>
      <alignment horizontal="general" vertical="bottom" textRotation="0" wrapText="0" indent="0" justifyLastLine="0" shrinkToFit="0" readingOrder="0"/>
    </dxf>
    <dxf>
      <fill>
        <patternFill patternType="none">
          <fgColor indexed="64"/>
          <bgColor auto="1"/>
        </patternFill>
      </fill>
      <alignment horizontal="general" vertical="bottom" textRotation="0" wrapText="0" indent="0" justifyLastLine="0" shrinkToFit="0" readingOrder="0"/>
    </dxf>
    <dxf>
      <fill>
        <patternFill patternType="none">
          <fgColor indexed="64"/>
          <bgColor auto="1"/>
        </patternFill>
      </fill>
      <alignment horizontal="general" vertical="bottom" textRotation="0" wrapText="0" indent="0" justifyLastLine="0" shrinkToFit="0" readingOrder="0"/>
    </dxf>
    <dxf>
      <fill>
        <patternFill patternType="none">
          <fgColor indexed="64"/>
          <bgColor auto="1"/>
        </patternFill>
      </fill>
      <alignment horizontal="general" vertical="bottom" textRotation="0" wrapText="0" indent="0" justifyLastLine="0" shrinkToFit="0" readingOrder="0"/>
    </dxf>
    <dxf>
      <fill>
        <patternFill patternType="none">
          <fgColor indexed="64"/>
          <bgColor auto="1"/>
        </patternFill>
      </fill>
      <alignment horizontal="general" vertical="bottom" textRotation="0" wrapText="0" indent="0" justifyLastLine="0" shrinkToFit="0" readingOrder="0"/>
    </dxf>
    <dxf>
      <fill>
        <patternFill patternType="none">
          <fgColor indexed="64"/>
          <bgColor auto="1"/>
        </patternFill>
      </fill>
      <alignment horizontal="general" vertical="bottom"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alignment horizontal="general" vertical="bottom"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alignment horizontal="general" vertical="bottom" textRotation="0" wrapText="0" indent="0" justifyLastLine="0" shrinkToFit="0" readingOrder="0"/>
    </dxf>
    <dxf>
      <fill>
        <patternFill patternType="none">
          <fgColor indexed="64"/>
          <bgColor auto="1"/>
        </patternFill>
      </fill>
      <alignment horizontal="general" vertical="bottom" textRotation="0" wrapText="0" indent="0" justifyLastLine="0" shrinkToFit="0" readingOrder="0"/>
    </dxf>
    <dxf>
      <fill>
        <patternFill patternType="none">
          <fgColor indexed="64"/>
          <bgColor auto="1"/>
        </patternFill>
      </fil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val="0"/>
        <i val="0"/>
        <strike val="0"/>
        <condense val="0"/>
        <extend val="0"/>
        <outline val="0"/>
        <shadow val="0"/>
        <u val="none"/>
        <vertAlign val="baseline"/>
        <sz val="10"/>
        <color theme="1"/>
        <name val="Calibri Light"/>
        <family val="2"/>
        <scheme val="minor"/>
      </font>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ont>
        <color theme="0"/>
      </font>
      <fill>
        <patternFill>
          <bgColor theme="9"/>
        </patternFill>
      </fill>
    </dxf>
    <dxf>
      <font>
        <color theme="0"/>
      </font>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ont>
        <color theme="0"/>
      </font>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ont>
        <color theme="0"/>
      </font>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ill>
        <patternFill patternType="darkGray"/>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ill>
        <patternFill patternType="darkGray"/>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ill>
        <patternFill patternType="darkGray"/>
      </fill>
    </dxf>
    <dxf>
      <fill>
        <patternFill patternType="darkGray"/>
      </fill>
    </dxf>
    <dxf>
      <fill>
        <patternFill patternType="darkGray"/>
      </fill>
    </dxf>
    <dxf>
      <fill>
        <patternFill patternType="darkGray"/>
      </fill>
    </dxf>
    <dxf>
      <fill>
        <patternFill patternType="darkGray"/>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s>
  <tableStyles count="0" defaultTableStyle="TableStyleMedium2" defaultPivotStyle="PivotStyleLight16"/>
  <colors>
    <mruColors>
      <color rgb="FFF5F5F5"/>
      <color rgb="FFF2F2F2"/>
      <color rgb="FFFF0000"/>
      <color rgb="FF3A3A3A"/>
      <color rgb="FF008DC9"/>
      <color rgb="FFFFCC99"/>
      <color rgb="FF525252"/>
      <color rgb="FF00AFFE"/>
      <color rgb="FFC9EE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onnections" Target="connection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eetMetadata" Target="metadata.xml"/><Relationship Id="rId47" Type="http://schemas.openxmlformats.org/officeDocument/2006/relationships/customXml" Target="../customXml/item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46"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'R1. OUTPUTS'!$C$27</c:f>
          <c:strCache>
            <c:ptCount val="1"/>
            <c:pt idx="0">
              <c:v>Total Costs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4862085397092648"/>
          <c:y val="0.17258664977655794"/>
          <c:w val="0.62629773331531591"/>
          <c:h val="0.54837673611111115"/>
        </c:manualLayout>
      </c:layout>
      <c:barChart>
        <c:barDir val="col"/>
        <c:grouping val="clustered"/>
        <c:varyColors val="0"/>
        <c:ser>
          <c:idx val="0"/>
          <c:order val="0"/>
          <c:tx>
            <c:strRef>
              <c:f>'R1. OUTPUTS'!$C$15</c:f>
              <c:strCache>
                <c:ptCount val="1"/>
                <c:pt idx="0">
                  <c:v>Grand Total (USD) - Medium Variant</c:v>
                </c:pt>
              </c:strCache>
            </c:strRef>
          </c:tx>
          <c:spPr>
            <a:solidFill>
              <a:srgbClr val="008DC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'R1. OUTPUTS'!$G$14:$L$14</c:f>
              <c:strCache>
                <c:ptCount val="6"/>
                <c:pt idx="0">
                  <c:v>H1 2021</c:v>
                </c:pt>
                <c:pt idx="1">
                  <c:v>H2 2021</c:v>
                </c:pt>
                <c:pt idx="2">
                  <c:v>H1 2022</c:v>
                </c:pt>
                <c:pt idx="3">
                  <c:v>H2 2022</c:v>
                </c:pt>
                <c:pt idx="4">
                  <c:v>H1 2023</c:v>
                </c:pt>
                <c:pt idx="5">
                  <c:v>H2 2023</c:v>
                </c:pt>
              </c:strCache>
            </c:strRef>
          </c:cat>
          <c:val>
            <c:numRef>
              <c:f>'R1. OUTPUTS'!$G$15:$L$15</c:f>
              <c:numCache>
                <c:formatCode>_-[$$-409]* #,##0_ ;_-[$$-409]* \-#,##0\ ;_-[$$-409]* "-"??_ ;_-@_ </c:formatCode>
                <c:ptCount val="6"/>
                <c:pt idx="0">
                  <c:v>#N/A</c:v>
                </c:pt>
                <c:pt idx="1">
                  <c:v>#N/A</c:v>
                </c:pt>
                <c:pt idx="2">
                  <c:v>#N/A</c:v>
                </c:pt>
                <c:pt idx="3">
                  <c:v>#N/A</c:v>
                </c:pt>
                <c:pt idx="4">
                  <c:v>#N/A</c:v>
                </c:pt>
                <c:pt idx="5">
                  <c:v>#N/A</c:v>
                </c:pt>
              </c:numCache>
            </c:numRef>
          </c:val>
          <c:extLst>
            <c:ext xmlns:c16="http://schemas.microsoft.com/office/drawing/2014/chart" uri="{C3380CC4-5D6E-409C-BE32-E72D297353CC}">
              <c16:uniqueId val="{00000000-F132-4BDD-8651-85A2F2834217}"/>
            </c:ext>
          </c:extLst>
        </c:ser>
        <c:dLbls>
          <c:showLegendKey val="0"/>
          <c:showVal val="0"/>
          <c:showCatName val="0"/>
          <c:showSerName val="0"/>
          <c:showPercent val="0"/>
          <c:showBubbleSize val="0"/>
        </c:dLbls>
        <c:gapWidth val="50"/>
        <c:axId val="1585943600"/>
        <c:axId val="517324479"/>
      </c:barChart>
      <c:lineChart>
        <c:grouping val="standard"/>
        <c:varyColors val="0"/>
        <c:ser>
          <c:idx val="1"/>
          <c:order val="1"/>
          <c:tx>
            <c:strRef>
              <c:f>'R1. OUTPUTS'!$C$16</c:f>
              <c:strCache>
                <c:ptCount val="1"/>
                <c:pt idx="0">
                  <c:v>Upper Variant</c:v>
                </c:pt>
              </c:strCache>
            </c:strRef>
          </c:tx>
          <c:spPr>
            <a:ln w="28575" cap="rnd">
              <a:noFill/>
              <a:round/>
            </a:ln>
            <a:effectLst/>
          </c:spPr>
          <c:marker>
            <c:symbol val="dash"/>
            <c:size val="10"/>
            <c:spPr>
              <a:solidFill>
                <a:srgbClr val="FF0000"/>
              </a:solidFill>
              <a:ln w="9525">
                <a:noFill/>
              </a:ln>
              <a:effectLst/>
            </c:spPr>
          </c:marker>
          <c:cat>
            <c:strRef>
              <c:f>'R1. OUTPUTS'!$G$14:$L$14</c:f>
              <c:strCache>
                <c:ptCount val="6"/>
                <c:pt idx="0">
                  <c:v>H1 2021</c:v>
                </c:pt>
                <c:pt idx="1">
                  <c:v>H2 2021</c:v>
                </c:pt>
                <c:pt idx="2">
                  <c:v>H1 2022</c:v>
                </c:pt>
                <c:pt idx="3">
                  <c:v>H2 2022</c:v>
                </c:pt>
                <c:pt idx="4">
                  <c:v>H1 2023</c:v>
                </c:pt>
                <c:pt idx="5">
                  <c:v>H2 2023</c:v>
                </c:pt>
              </c:strCache>
            </c:strRef>
          </c:cat>
          <c:val>
            <c:numRef>
              <c:f>'R1. OUTPUTS'!$G$16:$L$16</c:f>
              <c:numCache>
                <c:formatCode>_-[$$-409]* #,##0_ ;_-[$$-409]* \-#,##0\ ;_-[$$-409]* "-"??_ ;_-@_ </c:formatCode>
                <c:ptCount val="6"/>
                <c:pt idx="0">
                  <c:v>#N/A</c:v>
                </c:pt>
                <c:pt idx="1">
                  <c:v>#N/A</c:v>
                </c:pt>
                <c:pt idx="2">
                  <c:v>#N/A</c:v>
                </c:pt>
                <c:pt idx="3">
                  <c:v>#N/A</c:v>
                </c:pt>
                <c:pt idx="4">
                  <c:v>#N/A</c:v>
                </c:pt>
                <c:pt idx="5">
                  <c:v>#N/A</c:v>
                </c:pt>
              </c:numCache>
            </c:numRef>
          </c:val>
          <c:smooth val="0"/>
          <c:extLst>
            <c:ext xmlns:c16="http://schemas.microsoft.com/office/drawing/2014/chart" uri="{C3380CC4-5D6E-409C-BE32-E72D297353CC}">
              <c16:uniqueId val="{00000001-09A9-4F41-89F8-3BC25862EC2C}"/>
            </c:ext>
          </c:extLst>
        </c:ser>
        <c:ser>
          <c:idx val="2"/>
          <c:order val="2"/>
          <c:tx>
            <c:strRef>
              <c:f>'R1. OUTPUTS'!$C$17</c:f>
              <c:strCache>
                <c:ptCount val="1"/>
                <c:pt idx="0">
                  <c:v>Lower Variant</c:v>
                </c:pt>
              </c:strCache>
            </c:strRef>
          </c:tx>
          <c:spPr>
            <a:ln w="28575" cap="rnd">
              <a:noFill/>
              <a:round/>
            </a:ln>
            <a:effectLst/>
          </c:spPr>
          <c:marker>
            <c:symbol val="dash"/>
            <c:size val="10"/>
            <c:spPr>
              <a:solidFill>
                <a:srgbClr val="7030A0"/>
              </a:solidFill>
              <a:ln w="9525">
                <a:noFill/>
              </a:ln>
              <a:effectLst/>
            </c:spPr>
          </c:marker>
          <c:cat>
            <c:strRef>
              <c:f>'R1. OUTPUTS'!$G$14:$L$14</c:f>
              <c:strCache>
                <c:ptCount val="6"/>
                <c:pt idx="0">
                  <c:v>H1 2021</c:v>
                </c:pt>
                <c:pt idx="1">
                  <c:v>H2 2021</c:v>
                </c:pt>
                <c:pt idx="2">
                  <c:v>H1 2022</c:v>
                </c:pt>
                <c:pt idx="3">
                  <c:v>H2 2022</c:v>
                </c:pt>
                <c:pt idx="4">
                  <c:v>H1 2023</c:v>
                </c:pt>
                <c:pt idx="5">
                  <c:v>H2 2023</c:v>
                </c:pt>
              </c:strCache>
            </c:strRef>
          </c:cat>
          <c:val>
            <c:numRef>
              <c:f>'R1. OUTPUTS'!$G$17:$L$17</c:f>
              <c:numCache>
                <c:formatCode>_-[$$-409]* #,##0_ ;_-[$$-409]* \-#,##0\ ;_-[$$-409]* "-"??_ ;_-@_ </c:formatCode>
                <c:ptCount val="6"/>
                <c:pt idx="0">
                  <c:v>#N/A</c:v>
                </c:pt>
                <c:pt idx="1">
                  <c:v>#N/A</c:v>
                </c:pt>
                <c:pt idx="2">
                  <c:v>#N/A</c:v>
                </c:pt>
                <c:pt idx="3">
                  <c:v>#N/A</c:v>
                </c:pt>
                <c:pt idx="4">
                  <c:v>#N/A</c:v>
                </c:pt>
                <c:pt idx="5">
                  <c:v>#N/A</c:v>
                </c:pt>
              </c:numCache>
            </c:numRef>
          </c:val>
          <c:smooth val="0"/>
          <c:extLst>
            <c:ext xmlns:c16="http://schemas.microsoft.com/office/drawing/2014/chart" uri="{C3380CC4-5D6E-409C-BE32-E72D297353CC}">
              <c16:uniqueId val="{00000002-09A9-4F41-89F8-3BC25862EC2C}"/>
            </c:ext>
          </c:extLst>
        </c:ser>
        <c:dLbls>
          <c:showLegendKey val="0"/>
          <c:showVal val="0"/>
          <c:showCatName val="0"/>
          <c:showSerName val="0"/>
          <c:showPercent val="0"/>
          <c:showBubbleSize val="0"/>
        </c:dLbls>
        <c:marker val="1"/>
        <c:smooth val="0"/>
        <c:axId val="1585943600"/>
        <c:axId val="517324479"/>
      </c:lineChart>
      <c:catAx>
        <c:axId val="1585943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7324479"/>
        <c:crosses val="autoZero"/>
        <c:auto val="1"/>
        <c:lblAlgn val="ctr"/>
        <c:lblOffset val="100"/>
        <c:noMultiLvlLbl val="0"/>
      </c:catAx>
      <c:valAx>
        <c:axId val="517324479"/>
        <c:scaling>
          <c:orientation val="minMax"/>
        </c:scaling>
        <c:delete val="0"/>
        <c:axPos val="l"/>
        <c:majorGridlines>
          <c:spPr>
            <a:ln w="9525" cap="flat" cmpd="sng" algn="ctr">
              <a:solidFill>
                <a:schemeClr val="tx1">
                  <a:lumMod val="15000"/>
                  <a:lumOff val="85000"/>
                </a:schemeClr>
              </a:solidFill>
              <a:round/>
            </a:ln>
            <a:effectLst/>
          </c:spPr>
        </c:majorGridlines>
        <c:numFmt formatCode="_-[$$-409]* #,##0_ ;_-[$$-409]* \-#,##0\ ;_-[$$-409]* &quot;-&quot;??_ ;_-@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85943600"/>
        <c:crosses val="autoZero"/>
        <c:crossBetween val="between"/>
        <c:dispUnits>
          <c:builtInUnit val="millions"/>
          <c:dispUnitsLbl>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r"/>
      <c:layout>
        <c:manualLayout>
          <c:xMode val="edge"/>
          <c:yMode val="edge"/>
          <c:x val="0.76170035090774768"/>
          <c:y val="0.34028044618037229"/>
          <c:w val="0.2250814127137577"/>
          <c:h val="0.4428685034659910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'R1. OUTPUTS'!$I$211</c:f>
          <c:strCache>
            <c:ptCount val="1"/>
            <c:pt idx="0">
              <c:v>Vaccinator Redeployment (FTEs) -Medium Variant</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'R1. OUTPUTS'!$C$246</c:f>
              <c:strCache>
                <c:ptCount val="1"/>
                <c:pt idx="0">
                  <c:v>Redeployed Vaccinators (by FTEs)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'R1. OUTPUTS'!$G$102:$L$102</c:f>
              <c:strCache>
                <c:ptCount val="6"/>
                <c:pt idx="0">
                  <c:v>H1 2021</c:v>
                </c:pt>
                <c:pt idx="1">
                  <c:v>H2 2021</c:v>
                </c:pt>
                <c:pt idx="2">
                  <c:v>H1 2022</c:v>
                </c:pt>
                <c:pt idx="3">
                  <c:v>H2 2022</c:v>
                </c:pt>
                <c:pt idx="4">
                  <c:v>H1 2023</c:v>
                </c:pt>
                <c:pt idx="5">
                  <c:v>H2 2023</c:v>
                </c:pt>
              </c:strCache>
            </c:strRef>
          </c:cat>
          <c:val>
            <c:numRef>
              <c:f>'R1. OUTPUTS'!$G$246:$L$246</c:f>
              <c:numCache>
                <c:formatCode>_-* #,##0_-;\-* #,##0_-;_-* "-"??_-;_-@_-</c:formatCode>
                <c:ptCount val="6"/>
                <c:pt idx="0">
                  <c:v>#N/A</c:v>
                </c:pt>
                <c:pt idx="1">
                  <c:v>#N/A</c:v>
                </c:pt>
                <c:pt idx="2">
                  <c:v>#N/A</c:v>
                </c:pt>
                <c:pt idx="3">
                  <c:v>#N/A</c:v>
                </c:pt>
                <c:pt idx="4">
                  <c:v>#N/A</c:v>
                </c:pt>
                <c:pt idx="5">
                  <c:v>#N/A</c:v>
                </c:pt>
              </c:numCache>
            </c:numRef>
          </c:val>
          <c:extLst>
            <c:ext xmlns:c16="http://schemas.microsoft.com/office/drawing/2014/chart" uri="{C3380CC4-5D6E-409C-BE32-E72D297353CC}">
              <c16:uniqueId val="{00000000-B867-478D-9BF6-679317A0E7D0}"/>
            </c:ext>
          </c:extLst>
        </c:ser>
        <c:ser>
          <c:idx val="1"/>
          <c:order val="1"/>
          <c:tx>
            <c:strRef>
              <c:f>'R1. OUTPUTS'!$C$247</c:f>
              <c:strCache>
                <c:ptCount val="1"/>
                <c:pt idx="0">
                  <c:v>Non-Redeployed Vaccinators (by FTEs)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'R1. OUTPUTS'!$G$102:$L$102</c:f>
              <c:strCache>
                <c:ptCount val="6"/>
                <c:pt idx="0">
                  <c:v>H1 2021</c:v>
                </c:pt>
                <c:pt idx="1">
                  <c:v>H2 2021</c:v>
                </c:pt>
                <c:pt idx="2">
                  <c:v>H1 2022</c:v>
                </c:pt>
                <c:pt idx="3">
                  <c:v>H2 2022</c:v>
                </c:pt>
                <c:pt idx="4">
                  <c:v>H1 2023</c:v>
                </c:pt>
                <c:pt idx="5">
                  <c:v>H2 2023</c:v>
                </c:pt>
              </c:strCache>
            </c:strRef>
          </c:cat>
          <c:val>
            <c:numRef>
              <c:f>'R1. OUTPUTS'!$G$247:$L$247</c:f>
              <c:numCache>
                <c:formatCode>General</c:formatCode>
                <c:ptCount val="6"/>
                <c:pt idx="0">
                  <c:v>#N/A</c:v>
                </c:pt>
                <c:pt idx="1">
                  <c:v>#N/A</c:v>
                </c:pt>
                <c:pt idx="2">
                  <c:v>#N/A</c:v>
                </c:pt>
                <c:pt idx="3">
                  <c:v>#N/A</c:v>
                </c:pt>
                <c:pt idx="4">
                  <c:v>#N/A</c:v>
                </c:pt>
                <c:pt idx="5">
                  <c:v>#N/A</c:v>
                </c:pt>
              </c:numCache>
            </c:numRef>
          </c:val>
          <c:extLst>
            <c:ext xmlns:c16="http://schemas.microsoft.com/office/drawing/2014/chart" uri="{C3380CC4-5D6E-409C-BE32-E72D297353CC}">
              <c16:uniqueId val="{00000001-B867-478D-9BF6-679317A0E7D0}"/>
            </c:ext>
          </c:extLst>
        </c:ser>
        <c:dLbls>
          <c:showLegendKey val="0"/>
          <c:showVal val="0"/>
          <c:showCatName val="0"/>
          <c:showSerName val="0"/>
          <c:showPercent val="0"/>
          <c:showBubbleSize val="0"/>
        </c:dLbls>
        <c:gapWidth val="25"/>
        <c:overlap val="100"/>
        <c:axId val="1328789535"/>
        <c:axId val="1306564671"/>
      </c:barChart>
      <c:catAx>
        <c:axId val="1328789535"/>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Period</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6564671"/>
        <c:crosses val="autoZero"/>
        <c:auto val="1"/>
        <c:lblAlgn val="ctr"/>
        <c:lblOffset val="100"/>
        <c:noMultiLvlLbl val="0"/>
      </c:catAx>
      <c:valAx>
        <c:axId val="130656467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2878953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'R1. OUTPUTS'!$L$211</c:f>
          <c:strCache>
            <c:ptCount val="1"/>
            <c:pt idx="0">
              <c:v>Vaccinator Redeployment (Persons) - Medium Variant</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'R1. OUTPUTS'!$C$249</c:f>
              <c:strCache>
                <c:ptCount val="1"/>
                <c:pt idx="0">
                  <c:v>Redeployed Vaccinators (by person)</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'R1. OUTPUTS'!$G$102:$L$102</c:f>
              <c:strCache>
                <c:ptCount val="6"/>
                <c:pt idx="0">
                  <c:v>H1 2021</c:v>
                </c:pt>
                <c:pt idx="1">
                  <c:v>H2 2021</c:v>
                </c:pt>
                <c:pt idx="2">
                  <c:v>H1 2022</c:v>
                </c:pt>
                <c:pt idx="3">
                  <c:v>H2 2022</c:v>
                </c:pt>
                <c:pt idx="4">
                  <c:v>H1 2023</c:v>
                </c:pt>
                <c:pt idx="5">
                  <c:v>H2 2023</c:v>
                </c:pt>
              </c:strCache>
            </c:strRef>
          </c:cat>
          <c:val>
            <c:numRef>
              <c:f>'R1. OUTPUTS'!$G$249:$L$249</c:f>
              <c:numCache>
                <c:formatCode>_-* #,##0_-;\-* #,##0_-;_-* "-"??_-;_-@_-</c:formatCode>
                <c:ptCount val="6"/>
                <c:pt idx="0">
                  <c:v>#N/A</c:v>
                </c:pt>
                <c:pt idx="1">
                  <c:v>#N/A</c:v>
                </c:pt>
                <c:pt idx="2">
                  <c:v>#N/A</c:v>
                </c:pt>
                <c:pt idx="3">
                  <c:v>#N/A</c:v>
                </c:pt>
                <c:pt idx="4">
                  <c:v>#N/A</c:v>
                </c:pt>
                <c:pt idx="5">
                  <c:v>#N/A</c:v>
                </c:pt>
              </c:numCache>
            </c:numRef>
          </c:val>
          <c:extLst>
            <c:ext xmlns:c16="http://schemas.microsoft.com/office/drawing/2014/chart" uri="{C3380CC4-5D6E-409C-BE32-E72D297353CC}">
              <c16:uniqueId val="{00000000-34A6-484B-9C88-6EE3975D810D}"/>
            </c:ext>
          </c:extLst>
        </c:ser>
        <c:ser>
          <c:idx val="1"/>
          <c:order val="1"/>
          <c:tx>
            <c:strRef>
              <c:f>'R1. OUTPUTS'!$C$250</c:f>
              <c:strCache>
                <c:ptCount val="1"/>
                <c:pt idx="0">
                  <c:v>Non-Redeployed Vaccinators (by person)</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'R1. OUTPUTS'!$G$102:$L$102</c:f>
              <c:strCache>
                <c:ptCount val="6"/>
                <c:pt idx="0">
                  <c:v>H1 2021</c:v>
                </c:pt>
                <c:pt idx="1">
                  <c:v>H2 2021</c:v>
                </c:pt>
                <c:pt idx="2">
                  <c:v>H1 2022</c:v>
                </c:pt>
                <c:pt idx="3">
                  <c:v>H2 2022</c:v>
                </c:pt>
                <c:pt idx="4">
                  <c:v>H1 2023</c:v>
                </c:pt>
                <c:pt idx="5">
                  <c:v>H2 2023</c:v>
                </c:pt>
              </c:strCache>
            </c:strRef>
          </c:cat>
          <c:val>
            <c:numRef>
              <c:f>'R1. OUTPUTS'!$G$250:$L$250</c:f>
              <c:numCache>
                <c:formatCode>General</c:formatCode>
                <c:ptCount val="6"/>
                <c:pt idx="0">
                  <c:v>#N/A</c:v>
                </c:pt>
                <c:pt idx="1">
                  <c:v>#N/A</c:v>
                </c:pt>
                <c:pt idx="2">
                  <c:v>#N/A</c:v>
                </c:pt>
                <c:pt idx="3">
                  <c:v>#N/A</c:v>
                </c:pt>
                <c:pt idx="4">
                  <c:v>#N/A</c:v>
                </c:pt>
                <c:pt idx="5">
                  <c:v>#N/A</c:v>
                </c:pt>
              </c:numCache>
            </c:numRef>
          </c:val>
          <c:extLst>
            <c:ext xmlns:c16="http://schemas.microsoft.com/office/drawing/2014/chart" uri="{C3380CC4-5D6E-409C-BE32-E72D297353CC}">
              <c16:uniqueId val="{00000001-34A6-484B-9C88-6EE3975D810D}"/>
            </c:ext>
          </c:extLst>
        </c:ser>
        <c:dLbls>
          <c:showLegendKey val="0"/>
          <c:showVal val="0"/>
          <c:showCatName val="0"/>
          <c:showSerName val="0"/>
          <c:showPercent val="0"/>
          <c:showBubbleSize val="0"/>
        </c:dLbls>
        <c:gapWidth val="25"/>
        <c:overlap val="100"/>
        <c:axId val="1328789535"/>
        <c:axId val="1306564671"/>
      </c:barChart>
      <c:catAx>
        <c:axId val="1328789535"/>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Period</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6564671"/>
        <c:crosses val="autoZero"/>
        <c:auto val="1"/>
        <c:lblAlgn val="ctr"/>
        <c:lblOffset val="100"/>
        <c:noMultiLvlLbl val="0"/>
      </c:catAx>
      <c:valAx>
        <c:axId val="130656467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2878953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'R1. OUTPUTS'!$C$45</c:f>
          <c:strCache>
            <c:ptCount val="1"/>
            <c:pt idx="0">
              <c:v>Total Costs (excluding vaccines)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4862085397092648"/>
          <c:y val="0.17258664977655794"/>
          <c:w val="0.62629773331531591"/>
          <c:h val="0.53073784722222217"/>
        </c:manualLayout>
      </c:layout>
      <c:barChart>
        <c:barDir val="col"/>
        <c:grouping val="clustered"/>
        <c:varyColors val="0"/>
        <c:ser>
          <c:idx val="0"/>
          <c:order val="0"/>
          <c:tx>
            <c:strRef>
              <c:f>'R1. OUTPUTS'!$C$15</c:f>
              <c:strCache>
                <c:ptCount val="1"/>
                <c:pt idx="0">
                  <c:v>Grand Total (USD) - Medium Variant</c:v>
                </c:pt>
              </c:strCache>
            </c:strRef>
          </c:tx>
          <c:spPr>
            <a:solidFill>
              <a:srgbClr val="008DC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'R1. OUTPUTS'!$G$14:$L$14</c:f>
              <c:strCache>
                <c:ptCount val="6"/>
                <c:pt idx="0">
                  <c:v>H1 2021</c:v>
                </c:pt>
                <c:pt idx="1">
                  <c:v>H2 2021</c:v>
                </c:pt>
                <c:pt idx="2">
                  <c:v>H1 2022</c:v>
                </c:pt>
                <c:pt idx="3">
                  <c:v>H2 2022</c:v>
                </c:pt>
                <c:pt idx="4">
                  <c:v>H1 2023</c:v>
                </c:pt>
                <c:pt idx="5">
                  <c:v>H2 2023</c:v>
                </c:pt>
              </c:strCache>
            </c:strRef>
          </c:cat>
          <c:val>
            <c:numRef>
              <c:f>'R1. OUTPUTS'!$G$46:$L$46</c:f>
              <c:numCache>
                <c:formatCode>_-[$$-409]* #,##0_ ;_-[$$-409]* \-#,##0\ ;_-[$$-409]* "-"??_ ;_-@_ </c:formatCode>
                <c:ptCount val="6"/>
                <c:pt idx="0">
                  <c:v>#N/A</c:v>
                </c:pt>
                <c:pt idx="1">
                  <c:v>#N/A</c:v>
                </c:pt>
                <c:pt idx="2">
                  <c:v>#N/A</c:v>
                </c:pt>
                <c:pt idx="3">
                  <c:v>#N/A</c:v>
                </c:pt>
                <c:pt idx="4">
                  <c:v>#N/A</c:v>
                </c:pt>
                <c:pt idx="5">
                  <c:v>#N/A</c:v>
                </c:pt>
              </c:numCache>
            </c:numRef>
          </c:val>
          <c:extLst>
            <c:ext xmlns:c16="http://schemas.microsoft.com/office/drawing/2014/chart" uri="{C3380CC4-5D6E-409C-BE32-E72D297353CC}">
              <c16:uniqueId val="{00000000-8E7B-45B3-8097-EBCB90C322FA}"/>
            </c:ext>
          </c:extLst>
        </c:ser>
        <c:dLbls>
          <c:showLegendKey val="0"/>
          <c:showVal val="0"/>
          <c:showCatName val="0"/>
          <c:showSerName val="0"/>
          <c:showPercent val="0"/>
          <c:showBubbleSize val="0"/>
        </c:dLbls>
        <c:gapWidth val="50"/>
        <c:axId val="1585943600"/>
        <c:axId val="517324479"/>
      </c:barChart>
      <c:lineChart>
        <c:grouping val="standard"/>
        <c:varyColors val="0"/>
        <c:ser>
          <c:idx val="1"/>
          <c:order val="1"/>
          <c:tx>
            <c:strRef>
              <c:f>'R1. OUTPUTS'!$C$16</c:f>
              <c:strCache>
                <c:ptCount val="1"/>
                <c:pt idx="0">
                  <c:v>Upper Variant</c:v>
                </c:pt>
              </c:strCache>
            </c:strRef>
          </c:tx>
          <c:spPr>
            <a:ln w="25400" cap="rnd">
              <a:noFill/>
              <a:round/>
            </a:ln>
            <a:effectLst/>
          </c:spPr>
          <c:marker>
            <c:symbol val="dash"/>
            <c:size val="10"/>
            <c:spPr>
              <a:solidFill>
                <a:srgbClr val="FF0000"/>
              </a:solidFill>
              <a:ln w="9525">
                <a:noFill/>
              </a:ln>
              <a:effectLst/>
            </c:spPr>
          </c:marker>
          <c:cat>
            <c:strRef>
              <c:f>'R1. OUTPUTS'!$G$14:$L$14</c:f>
              <c:strCache>
                <c:ptCount val="6"/>
                <c:pt idx="0">
                  <c:v>H1 2021</c:v>
                </c:pt>
                <c:pt idx="1">
                  <c:v>H2 2021</c:v>
                </c:pt>
                <c:pt idx="2">
                  <c:v>H1 2022</c:v>
                </c:pt>
                <c:pt idx="3">
                  <c:v>H2 2022</c:v>
                </c:pt>
                <c:pt idx="4">
                  <c:v>H1 2023</c:v>
                </c:pt>
                <c:pt idx="5">
                  <c:v>H2 2023</c:v>
                </c:pt>
              </c:strCache>
            </c:strRef>
          </c:cat>
          <c:val>
            <c:numRef>
              <c:f>'R1. OUTPUTS'!$G$47:$L$47</c:f>
              <c:numCache>
                <c:formatCode>_-[$$-409]* #,##0_ ;_-[$$-409]* \-#,##0\ ;_-[$$-409]* "-"??_ ;_-@_ </c:formatCode>
                <c:ptCount val="6"/>
                <c:pt idx="0">
                  <c:v>#N/A</c:v>
                </c:pt>
                <c:pt idx="1">
                  <c:v>#N/A</c:v>
                </c:pt>
                <c:pt idx="2">
                  <c:v>#N/A</c:v>
                </c:pt>
                <c:pt idx="3">
                  <c:v>#N/A</c:v>
                </c:pt>
                <c:pt idx="4">
                  <c:v>#N/A</c:v>
                </c:pt>
                <c:pt idx="5">
                  <c:v>#N/A</c:v>
                </c:pt>
              </c:numCache>
            </c:numRef>
          </c:val>
          <c:smooth val="0"/>
          <c:extLst>
            <c:ext xmlns:c16="http://schemas.microsoft.com/office/drawing/2014/chart" uri="{C3380CC4-5D6E-409C-BE32-E72D297353CC}">
              <c16:uniqueId val="{00000001-8E7B-45B3-8097-EBCB90C322FA}"/>
            </c:ext>
          </c:extLst>
        </c:ser>
        <c:ser>
          <c:idx val="2"/>
          <c:order val="2"/>
          <c:tx>
            <c:strRef>
              <c:f>'R1. OUTPUTS'!$C$17</c:f>
              <c:strCache>
                <c:ptCount val="1"/>
                <c:pt idx="0">
                  <c:v>Lower Variant</c:v>
                </c:pt>
              </c:strCache>
            </c:strRef>
          </c:tx>
          <c:spPr>
            <a:ln w="25400" cap="rnd">
              <a:noFill/>
              <a:round/>
            </a:ln>
            <a:effectLst/>
          </c:spPr>
          <c:marker>
            <c:symbol val="dash"/>
            <c:size val="10"/>
            <c:spPr>
              <a:solidFill>
                <a:srgbClr val="7030A0"/>
              </a:solidFill>
              <a:ln w="9525">
                <a:noFill/>
              </a:ln>
              <a:effectLst/>
            </c:spPr>
          </c:marker>
          <c:cat>
            <c:strRef>
              <c:f>'R1. OUTPUTS'!$G$14:$L$14</c:f>
              <c:strCache>
                <c:ptCount val="6"/>
                <c:pt idx="0">
                  <c:v>H1 2021</c:v>
                </c:pt>
                <c:pt idx="1">
                  <c:v>H2 2021</c:v>
                </c:pt>
                <c:pt idx="2">
                  <c:v>H1 2022</c:v>
                </c:pt>
                <c:pt idx="3">
                  <c:v>H2 2022</c:v>
                </c:pt>
                <c:pt idx="4">
                  <c:v>H1 2023</c:v>
                </c:pt>
                <c:pt idx="5">
                  <c:v>H2 2023</c:v>
                </c:pt>
              </c:strCache>
            </c:strRef>
          </c:cat>
          <c:val>
            <c:numRef>
              <c:f>'R1. OUTPUTS'!$G$48:$L$48</c:f>
              <c:numCache>
                <c:formatCode>_-[$$-409]* #,##0_ ;_-[$$-409]* \-#,##0\ ;_-[$$-409]* "-"??_ ;_-@_ </c:formatCode>
                <c:ptCount val="6"/>
                <c:pt idx="0">
                  <c:v>#N/A</c:v>
                </c:pt>
                <c:pt idx="1">
                  <c:v>#N/A</c:v>
                </c:pt>
                <c:pt idx="2">
                  <c:v>#N/A</c:v>
                </c:pt>
                <c:pt idx="3">
                  <c:v>#N/A</c:v>
                </c:pt>
                <c:pt idx="4">
                  <c:v>#N/A</c:v>
                </c:pt>
                <c:pt idx="5">
                  <c:v>#N/A</c:v>
                </c:pt>
              </c:numCache>
            </c:numRef>
          </c:val>
          <c:smooth val="0"/>
          <c:extLst>
            <c:ext xmlns:c16="http://schemas.microsoft.com/office/drawing/2014/chart" uri="{C3380CC4-5D6E-409C-BE32-E72D297353CC}">
              <c16:uniqueId val="{00000002-8E7B-45B3-8097-EBCB90C322FA}"/>
            </c:ext>
          </c:extLst>
        </c:ser>
        <c:dLbls>
          <c:showLegendKey val="0"/>
          <c:showVal val="0"/>
          <c:showCatName val="0"/>
          <c:showSerName val="0"/>
          <c:showPercent val="0"/>
          <c:showBubbleSize val="0"/>
        </c:dLbls>
        <c:marker val="1"/>
        <c:smooth val="0"/>
        <c:axId val="1585943600"/>
        <c:axId val="517324479"/>
      </c:lineChart>
      <c:catAx>
        <c:axId val="1585943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7324479"/>
        <c:crosses val="autoZero"/>
        <c:auto val="1"/>
        <c:lblAlgn val="ctr"/>
        <c:lblOffset val="100"/>
        <c:noMultiLvlLbl val="0"/>
      </c:catAx>
      <c:valAx>
        <c:axId val="517324479"/>
        <c:scaling>
          <c:orientation val="minMax"/>
        </c:scaling>
        <c:delete val="0"/>
        <c:axPos val="l"/>
        <c:majorGridlines>
          <c:spPr>
            <a:ln w="9525" cap="flat" cmpd="sng" algn="ctr">
              <a:solidFill>
                <a:schemeClr val="tx1">
                  <a:lumMod val="15000"/>
                  <a:lumOff val="85000"/>
                </a:schemeClr>
              </a:solidFill>
              <a:round/>
            </a:ln>
            <a:effectLst/>
          </c:spPr>
        </c:majorGridlines>
        <c:numFmt formatCode="_-[$$-409]* #,##0_ ;_-[$$-409]* \-#,##0\ ;_-[$$-409]* &quot;-&quot;??_ ;_-@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85943600"/>
        <c:crosses val="autoZero"/>
        <c:crossBetween val="between"/>
        <c:dispUnits>
          <c:builtInUnit val="millions"/>
          <c:dispUnitsLbl>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r"/>
      <c:layout>
        <c:manualLayout>
          <c:xMode val="edge"/>
          <c:yMode val="edge"/>
          <c:x val="0.76170035090774768"/>
          <c:y val="0.34028044618037229"/>
          <c:w val="0.2250814127137577"/>
          <c:h val="0.4428685034659910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'R1. OUTPUTS'!$L$45</c:f>
          <c:strCache>
            <c:ptCount val="1"/>
            <c:pt idx="0">
              <c:v>Cumulative Costs (excluding vaccines)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'R1. OUTPUTS'!$C$15</c:f>
              <c:strCache>
                <c:ptCount val="1"/>
                <c:pt idx="0">
                  <c:v>Grand Total (USD) - Medium Variant</c:v>
                </c:pt>
              </c:strCache>
            </c:strRef>
          </c:tx>
          <c:spPr>
            <a:solidFill>
              <a:srgbClr val="008DC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'R1. OUTPUTS'!$G$14:$L$14</c:f>
              <c:strCache>
                <c:ptCount val="6"/>
                <c:pt idx="0">
                  <c:v>H1 2021</c:v>
                </c:pt>
                <c:pt idx="1">
                  <c:v>H2 2021</c:v>
                </c:pt>
                <c:pt idx="2">
                  <c:v>H1 2022</c:v>
                </c:pt>
                <c:pt idx="3">
                  <c:v>H2 2022</c:v>
                </c:pt>
                <c:pt idx="4">
                  <c:v>H1 2023</c:v>
                </c:pt>
                <c:pt idx="5">
                  <c:v>H2 2023</c:v>
                </c:pt>
              </c:strCache>
            </c:strRef>
          </c:cat>
          <c:val>
            <c:numRef>
              <c:f>'R1. OUTPUTS'!$G$52:$L$52</c:f>
              <c:numCache>
                <c:formatCode>_-[$$-409]* #,##0_ ;_-[$$-409]* \-#,##0\ ;_-[$$-409]* "-"??_ ;_-@_ </c:formatCode>
                <c:ptCount val="6"/>
                <c:pt idx="0">
                  <c:v>#N/A</c:v>
                </c:pt>
                <c:pt idx="1">
                  <c:v>#N/A</c:v>
                </c:pt>
                <c:pt idx="2">
                  <c:v>#N/A</c:v>
                </c:pt>
                <c:pt idx="3">
                  <c:v>#N/A</c:v>
                </c:pt>
                <c:pt idx="4">
                  <c:v>#N/A</c:v>
                </c:pt>
                <c:pt idx="5">
                  <c:v>#N/A</c:v>
                </c:pt>
              </c:numCache>
            </c:numRef>
          </c:val>
          <c:extLst>
            <c:ext xmlns:c16="http://schemas.microsoft.com/office/drawing/2014/chart" uri="{C3380CC4-5D6E-409C-BE32-E72D297353CC}">
              <c16:uniqueId val="{00000000-18E4-45E2-B096-615E372656F5}"/>
            </c:ext>
          </c:extLst>
        </c:ser>
        <c:dLbls>
          <c:showLegendKey val="0"/>
          <c:showVal val="0"/>
          <c:showCatName val="0"/>
          <c:showSerName val="0"/>
          <c:showPercent val="0"/>
          <c:showBubbleSize val="0"/>
        </c:dLbls>
        <c:gapWidth val="50"/>
        <c:axId val="1585943600"/>
        <c:axId val="517324479"/>
      </c:barChart>
      <c:lineChart>
        <c:grouping val="standard"/>
        <c:varyColors val="0"/>
        <c:ser>
          <c:idx val="1"/>
          <c:order val="1"/>
          <c:tx>
            <c:strRef>
              <c:f>'R1. OUTPUTS'!$C$16</c:f>
              <c:strCache>
                <c:ptCount val="1"/>
                <c:pt idx="0">
                  <c:v>Upper Variant</c:v>
                </c:pt>
              </c:strCache>
            </c:strRef>
          </c:tx>
          <c:spPr>
            <a:ln w="25400" cap="rnd">
              <a:noFill/>
              <a:round/>
            </a:ln>
            <a:effectLst/>
          </c:spPr>
          <c:marker>
            <c:symbol val="dash"/>
            <c:size val="10"/>
            <c:spPr>
              <a:solidFill>
                <a:srgbClr val="FF0000"/>
              </a:solidFill>
              <a:ln w="9525">
                <a:noFill/>
              </a:ln>
              <a:effectLst/>
            </c:spPr>
          </c:marker>
          <c:cat>
            <c:strRef>
              <c:f>'R1. OUTPUTS'!$G$14:$L$14</c:f>
              <c:strCache>
                <c:ptCount val="6"/>
                <c:pt idx="0">
                  <c:v>H1 2021</c:v>
                </c:pt>
                <c:pt idx="1">
                  <c:v>H2 2021</c:v>
                </c:pt>
                <c:pt idx="2">
                  <c:v>H1 2022</c:v>
                </c:pt>
                <c:pt idx="3">
                  <c:v>H2 2022</c:v>
                </c:pt>
                <c:pt idx="4">
                  <c:v>H1 2023</c:v>
                </c:pt>
                <c:pt idx="5">
                  <c:v>H2 2023</c:v>
                </c:pt>
              </c:strCache>
            </c:strRef>
          </c:cat>
          <c:val>
            <c:numRef>
              <c:f>'R1. OUTPUTS'!$G$53:$L$53</c:f>
              <c:numCache>
                <c:formatCode>_-[$$-409]* #,##0_ ;_-[$$-409]* \-#,##0\ ;_-[$$-409]* "-"??_ ;_-@_ </c:formatCode>
                <c:ptCount val="6"/>
                <c:pt idx="0">
                  <c:v>#N/A</c:v>
                </c:pt>
                <c:pt idx="1">
                  <c:v>#N/A</c:v>
                </c:pt>
                <c:pt idx="2">
                  <c:v>#N/A</c:v>
                </c:pt>
                <c:pt idx="3">
                  <c:v>#N/A</c:v>
                </c:pt>
                <c:pt idx="4">
                  <c:v>#N/A</c:v>
                </c:pt>
                <c:pt idx="5">
                  <c:v>#N/A</c:v>
                </c:pt>
              </c:numCache>
            </c:numRef>
          </c:val>
          <c:smooth val="0"/>
          <c:extLst>
            <c:ext xmlns:c16="http://schemas.microsoft.com/office/drawing/2014/chart" uri="{C3380CC4-5D6E-409C-BE32-E72D297353CC}">
              <c16:uniqueId val="{00000001-18E4-45E2-B096-615E372656F5}"/>
            </c:ext>
          </c:extLst>
        </c:ser>
        <c:ser>
          <c:idx val="2"/>
          <c:order val="2"/>
          <c:tx>
            <c:strRef>
              <c:f>'R1. OUTPUTS'!$C$17</c:f>
              <c:strCache>
                <c:ptCount val="1"/>
                <c:pt idx="0">
                  <c:v>Lower Variant</c:v>
                </c:pt>
              </c:strCache>
            </c:strRef>
          </c:tx>
          <c:spPr>
            <a:ln w="25400" cap="rnd">
              <a:noFill/>
              <a:round/>
            </a:ln>
            <a:effectLst/>
          </c:spPr>
          <c:marker>
            <c:symbol val="dash"/>
            <c:size val="10"/>
            <c:spPr>
              <a:solidFill>
                <a:srgbClr val="7030A0"/>
              </a:solidFill>
              <a:ln w="9525">
                <a:noFill/>
              </a:ln>
              <a:effectLst/>
            </c:spPr>
          </c:marker>
          <c:cat>
            <c:strRef>
              <c:f>'R1. OUTPUTS'!$G$14:$L$14</c:f>
              <c:strCache>
                <c:ptCount val="6"/>
                <c:pt idx="0">
                  <c:v>H1 2021</c:v>
                </c:pt>
                <c:pt idx="1">
                  <c:v>H2 2021</c:v>
                </c:pt>
                <c:pt idx="2">
                  <c:v>H1 2022</c:v>
                </c:pt>
                <c:pt idx="3">
                  <c:v>H2 2022</c:v>
                </c:pt>
                <c:pt idx="4">
                  <c:v>H1 2023</c:v>
                </c:pt>
                <c:pt idx="5">
                  <c:v>H2 2023</c:v>
                </c:pt>
              </c:strCache>
            </c:strRef>
          </c:cat>
          <c:val>
            <c:numRef>
              <c:f>'R1. OUTPUTS'!$G$54:$L$54</c:f>
              <c:numCache>
                <c:formatCode>_-[$$-409]* #,##0_ ;_-[$$-409]* \-#,##0\ ;_-[$$-409]* "-"??_ ;_-@_ </c:formatCode>
                <c:ptCount val="6"/>
                <c:pt idx="0">
                  <c:v>#N/A</c:v>
                </c:pt>
                <c:pt idx="1">
                  <c:v>#N/A</c:v>
                </c:pt>
                <c:pt idx="2">
                  <c:v>#N/A</c:v>
                </c:pt>
                <c:pt idx="3">
                  <c:v>#N/A</c:v>
                </c:pt>
                <c:pt idx="4">
                  <c:v>#N/A</c:v>
                </c:pt>
                <c:pt idx="5">
                  <c:v>#N/A</c:v>
                </c:pt>
              </c:numCache>
            </c:numRef>
          </c:val>
          <c:smooth val="0"/>
          <c:extLst>
            <c:ext xmlns:c16="http://schemas.microsoft.com/office/drawing/2014/chart" uri="{C3380CC4-5D6E-409C-BE32-E72D297353CC}">
              <c16:uniqueId val="{00000002-18E4-45E2-B096-615E372656F5}"/>
            </c:ext>
          </c:extLst>
        </c:ser>
        <c:dLbls>
          <c:showLegendKey val="0"/>
          <c:showVal val="0"/>
          <c:showCatName val="0"/>
          <c:showSerName val="0"/>
          <c:showPercent val="0"/>
          <c:showBubbleSize val="0"/>
        </c:dLbls>
        <c:marker val="1"/>
        <c:smooth val="0"/>
        <c:axId val="1585943600"/>
        <c:axId val="517324479"/>
      </c:lineChart>
      <c:catAx>
        <c:axId val="1585943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7324479"/>
        <c:crosses val="autoZero"/>
        <c:auto val="1"/>
        <c:lblAlgn val="ctr"/>
        <c:lblOffset val="100"/>
        <c:noMultiLvlLbl val="0"/>
      </c:catAx>
      <c:valAx>
        <c:axId val="517324479"/>
        <c:scaling>
          <c:orientation val="minMax"/>
        </c:scaling>
        <c:delete val="0"/>
        <c:axPos val="l"/>
        <c:majorGridlines>
          <c:spPr>
            <a:ln w="9525" cap="flat" cmpd="sng" algn="ctr">
              <a:solidFill>
                <a:schemeClr val="tx1">
                  <a:lumMod val="15000"/>
                  <a:lumOff val="85000"/>
                </a:schemeClr>
              </a:solidFill>
              <a:round/>
            </a:ln>
            <a:effectLst/>
          </c:spPr>
        </c:majorGridlines>
        <c:numFmt formatCode="_-[$$-409]* #,##0_ ;_-[$$-409]* \-#,##0\ ;_-[$$-409]* &quot;-&quot;??_ ;_-@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85943600"/>
        <c:crosses val="autoZero"/>
        <c:crossBetween val="between"/>
        <c:dispUnits>
          <c:builtInUnit val="millions"/>
          <c:dispUnitsLbl>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'R2. Resource Mapping'!$N$19</c:f>
          <c:strCache>
            <c:ptCount val="1"/>
            <c:pt idx="0">
              <c:v>Financing sources, by time period</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'R2. Resource Mapping'!$B$10</c:f>
              <c:strCache>
                <c:ptCount val="1"/>
                <c:pt idx="0">
                  <c:v>Domestic</c:v>
                </c:pt>
              </c:strCache>
            </c:strRef>
          </c:tx>
          <c:spPr>
            <a:solidFill>
              <a:schemeClr val="accent1"/>
            </a:solidFill>
            <a:ln>
              <a:noFill/>
            </a:ln>
            <a:effectLst/>
          </c:spPr>
          <c:invertIfNegative val="0"/>
          <c:cat>
            <c:strRef>
              <c:f>'R2. Resource Mapping'!$C$9:$H$9</c:f>
              <c:strCache>
                <c:ptCount val="6"/>
                <c:pt idx="0">
                  <c:v>H1 2021</c:v>
                </c:pt>
                <c:pt idx="1">
                  <c:v>H2 2021</c:v>
                </c:pt>
                <c:pt idx="2">
                  <c:v>H1 2022</c:v>
                </c:pt>
                <c:pt idx="3">
                  <c:v>H2 2022</c:v>
                </c:pt>
                <c:pt idx="4">
                  <c:v>H1 2023</c:v>
                </c:pt>
                <c:pt idx="5">
                  <c:v>H2 2023</c:v>
                </c:pt>
              </c:strCache>
            </c:strRef>
          </c:cat>
          <c:val>
            <c:numRef>
              <c:f>'R2. Resource Mapping'!$C$10:$H$10</c:f>
              <c:numCache>
                <c:formatCode>_-[$$-409]* #,##0_ ;_-[$$-409]* \-#,##0\ ;_-[$$-409]* "-"??_ ;_-@_ </c:formatCode>
                <c:ptCount val="6"/>
                <c:pt idx="0">
                  <c:v>#N/A</c:v>
                </c:pt>
                <c:pt idx="1">
                  <c:v>#N/A</c:v>
                </c:pt>
                <c:pt idx="2">
                  <c:v>#N/A</c:v>
                </c:pt>
                <c:pt idx="3">
                  <c:v>#N/A</c:v>
                </c:pt>
                <c:pt idx="4">
                  <c:v>#N/A</c:v>
                </c:pt>
                <c:pt idx="5">
                  <c:v>#N/A</c:v>
                </c:pt>
              </c:numCache>
            </c:numRef>
          </c:val>
          <c:extLst>
            <c:ext xmlns:c16="http://schemas.microsoft.com/office/drawing/2014/chart" uri="{C3380CC4-5D6E-409C-BE32-E72D297353CC}">
              <c16:uniqueId val="{00000000-37B3-41D7-A251-070D0EC3C971}"/>
            </c:ext>
          </c:extLst>
        </c:ser>
        <c:ser>
          <c:idx val="1"/>
          <c:order val="1"/>
          <c:tx>
            <c:strRef>
              <c:f>'R2. Resource Mapping'!$B$11</c:f>
              <c:strCache>
                <c:ptCount val="1"/>
                <c:pt idx="0">
                  <c:v>GAVI</c:v>
                </c:pt>
              </c:strCache>
            </c:strRef>
          </c:tx>
          <c:spPr>
            <a:solidFill>
              <a:schemeClr val="accent2"/>
            </a:solidFill>
            <a:ln>
              <a:noFill/>
            </a:ln>
            <a:effectLst/>
          </c:spPr>
          <c:invertIfNegative val="0"/>
          <c:cat>
            <c:strRef>
              <c:f>'R2. Resource Mapping'!$C$9:$H$9</c:f>
              <c:strCache>
                <c:ptCount val="6"/>
                <c:pt idx="0">
                  <c:v>H1 2021</c:v>
                </c:pt>
                <c:pt idx="1">
                  <c:v>H2 2021</c:v>
                </c:pt>
                <c:pt idx="2">
                  <c:v>H1 2022</c:v>
                </c:pt>
                <c:pt idx="3">
                  <c:v>H2 2022</c:v>
                </c:pt>
                <c:pt idx="4">
                  <c:v>H1 2023</c:v>
                </c:pt>
                <c:pt idx="5">
                  <c:v>H2 2023</c:v>
                </c:pt>
              </c:strCache>
            </c:strRef>
          </c:cat>
          <c:val>
            <c:numRef>
              <c:f>'R2. Resource Mapping'!$C$11:$H$11</c:f>
              <c:numCache>
                <c:formatCode>_-[$$-409]* #,##0_ ;_-[$$-409]* \-#,##0\ ;_-[$$-409]* "-"??_ ;_-@_ </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37B3-41D7-A251-070D0EC3C971}"/>
            </c:ext>
          </c:extLst>
        </c:ser>
        <c:ser>
          <c:idx val="2"/>
          <c:order val="2"/>
          <c:tx>
            <c:strRef>
              <c:f>'R2. Resource Mapping'!$B$12</c:f>
              <c:strCache>
                <c:ptCount val="1"/>
                <c:pt idx="0">
                  <c:v>WB</c:v>
                </c:pt>
              </c:strCache>
            </c:strRef>
          </c:tx>
          <c:spPr>
            <a:solidFill>
              <a:schemeClr val="accent3"/>
            </a:solidFill>
            <a:ln>
              <a:noFill/>
            </a:ln>
            <a:effectLst/>
          </c:spPr>
          <c:invertIfNegative val="0"/>
          <c:cat>
            <c:strRef>
              <c:f>'R2. Resource Mapping'!$C$9:$H$9</c:f>
              <c:strCache>
                <c:ptCount val="6"/>
                <c:pt idx="0">
                  <c:v>H1 2021</c:v>
                </c:pt>
                <c:pt idx="1">
                  <c:v>H2 2021</c:v>
                </c:pt>
                <c:pt idx="2">
                  <c:v>H1 2022</c:v>
                </c:pt>
                <c:pt idx="3">
                  <c:v>H2 2022</c:v>
                </c:pt>
                <c:pt idx="4">
                  <c:v>H1 2023</c:v>
                </c:pt>
                <c:pt idx="5">
                  <c:v>H2 2023</c:v>
                </c:pt>
              </c:strCache>
            </c:strRef>
          </c:cat>
          <c:val>
            <c:numRef>
              <c:f>'R2. Resource Mapping'!$C$12:$H$12</c:f>
              <c:numCache>
                <c:formatCode>_-[$$-409]* #,##0_ ;_-[$$-409]* \-#,##0\ ;_-[$$-409]* "-"??_ ;_-@_ </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37B3-41D7-A251-070D0EC3C971}"/>
            </c:ext>
          </c:extLst>
        </c:ser>
        <c:ser>
          <c:idx val="3"/>
          <c:order val="3"/>
          <c:tx>
            <c:strRef>
              <c:f>'R2. Resource Mapping'!$B$13</c:f>
              <c:strCache>
                <c:ptCount val="1"/>
                <c:pt idx="0">
                  <c:v>IADB</c:v>
                </c:pt>
              </c:strCache>
            </c:strRef>
          </c:tx>
          <c:spPr>
            <a:solidFill>
              <a:schemeClr val="accent4"/>
            </a:solidFill>
            <a:ln>
              <a:noFill/>
            </a:ln>
            <a:effectLst/>
          </c:spPr>
          <c:invertIfNegative val="0"/>
          <c:cat>
            <c:strRef>
              <c:f>'R2. Resource Mapping'!$C$9:$H$9</c:f>
              <c:strCache>
                <c:ptCount val="6"/>
                <c:pt idx="0">
                  <c:v>H1 2021</c:v>
                </c:pt>
                <c:pt idx="1">
                  <c:v>H2 2021</c:v>
                </c:pt>
                <c:pt idx="2">
                  <c:v>H1 2022</c:v>
                </c:pt>
                <c:pt idx="3">
                  <c:v>H2 2022</c:v>
                </c:pt>
                <c:pt idx="4">
                  <c:v>H1 2023</c:v>
                </c:pt>
                <c:pt idx="5">
                  <c:v>H2 2023</c:v>
                </c:pt>
              </c:strCache>
            </c:strRef>
          </c:cat>
          <c:val>
            <c:numRef>
              <c:f>'R2. Resource Mapping'!$C$13:$H$13</c:f>
              <c:numCache>
                <c:formatCode>_-[$$-409]* #,##0_ ;_-[$$-409]* \-#,##0\ ;_-[$$-409]* "-"??_ ;_-@_ </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3-37B3-41D7-A251-070D0EC3C971}"/>
            </c:ext>
          </c:extLst>
        </c:ser>
        <c:ser>
          <c:idx val="4"/>
          <c:order val="4"/>
          <c:tx>
            <c:strRef>
              <c:f>'R2. Resource Mapping'!$B$14</c:f>
              <c:strCache>
                <c:ptCount val="1"/>
                <c:pt idx="0">
                  <c:v>ADB</c:v>
                </c:pt>
              </c:strCache>
            </c:strRef>
          </c:tx>
          <c:spPr>
            <a:solidFill>
              <a:schemeClr val="accent5"/>
            </a:solidFill>
            <a:ln>
              <a:noFill/>
            </a:ln>
            <a:effectLst/>
          </c:spPr>
          <c:invertIfNegative val="0"/>
          <c:cat>
            <c:strRef>
              <c:f>'R2. Resource Mapping'!$C$9:$H$9</c:f>
              <c:strCache>
                <c:ptCount val="6"/>
                <c:pt idx="0">
                  <c:v>H1 2021</c:v>
                </c:pt>
                <c:pt idx="1">
                  <c:v>H2 2021</c:v>
                </c:pt>
                <c:pt idx="2">
                  <c:v>H1 2022</c:v>
                </c:pt>
                <c:pt idx="3">
                  <c:v>H2 2022</c:v>
                </c:pt>
                <c:pt idx="4">
                  <c:v>H1 2023</c:v>
                </c:pt>
                <c:pt idx="5">
                  <c:v>H2 2023</c:v>
                </c:pt>
              </c:strCache>
            </c:strRef>
          </c:cat>
          <c:val>
            <c:numRef>
              <c:f>'R2. Resource Mapping'!$C$14:$H$14</c:f>
              <c:numCache>
                <c:formatCode>_-[$$-409]* #,##0_ ;_-[$$-409]* \-#,##0\ ;_-[$$-409]* "-"??_ ;_-@_ </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4-37B3-41D7-A251-070D0EC3C971}"/>
            </c:ext>
          </c:extLst>
        </c:ser>
        <c:ser>
          <c:idx val="5"/>
          <c:order val="5"/>
          <c:tx>
            <c:strRef>
              <c:f>'R2. Resource Mapping'!$B$15</c:f>
              <c:strCache>
                <c:ptCount val="1"/>
                <c:pt idx="0">
                  <c:v>AfDB</c:v>
                </c:pt>
              </c:strCache>
            </c:strRef>
          </c:tx>
          <c:spPr>
            <a:solidFill>
              <a:schemeClr val="accent6"/>
            </a:solidFill>
            <a:ln>
              <a:noFill/>
            </a:ln>
            <a:effectLst/>
          </c:spPr>
          <c:invertIfNegative val="0"/>
          <c:cat>
            <c:strRef>
              <c:f>'R2. Resource Mapping'!$C$9:$H$9</c:f>
              <c:strCache>
                <c:ptCount val="6"/>
                <c:pt idx="0">
                  <c:v>H1 2021</c:v>
                </c:pt>
                <c:pt idx="1">
                  <c:v>H2 2021</c:v>
                </c:pt>
                <c:pt idx="2">
                  <c:v>H1 2022</c:v>
                </c:pt>
                <c:pt idx="3">
                  <c:v>H2 2022</c:v>
                </c:pt>
                <c:pt idx="4">
                  <c:v>H1 2023</c:v>
                </c:pt>
                <c:pt idx="5">
                  <c:v>H2 2023</c:v>
                </c:pt>
              </c:strCache>
            </c:strRef>
          </c:cat>
          <c:val>
            <c:numRef>
              <c:f>'R2. Resource Mapping'!$C$15:$H$15</c:f>
              <c:numCache>
                <c:formatCode>_-[$$-409]* #,##0_ ;_-[$$-409]* \-#,##0\ ;_-[$$-409]* "-"??_ ;_-@_ </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5-37B3-41D7-A251-070D0EC3C971}"/>
            </c:ext>
          </c:extLst>
        </c:ser>
        <c:ser>
          <c:idx val="6"/>
          <c:order val="6"/>
          <c:tx>
            <c:strRef>
              <c:f>'R2. Resource Mapping'!$B$16</c:f>
              <c:strCache>
                <c:ptCount val="1"/>
                <c:pt idx="0">
                  <c:v>Consortium A: e.g. GAVI/WB</c:v>
                </c:pt>
              </c:strCache>
            </c:strRef>
          </c:tx>
          <c:spPr>
            <a:solidFill>
              <a:schemeClr val="accent1">
                <a:lumMod val="60000"/>
              </a:schemeClr>
            </a:solidFill>
            <a:ln>
              <a:noFill/>
            </a:ln>
            <a:effectLst/>
          </c:spPr>
          <c:invertIfNegative val="0"/>
          <c:cat>
            <c:strRef>
              <c:f>'R2. Resource Mapping'!$C$9:$H$9</c:f>
              <c:strCache>
                <c:ptCount val="6"/>
                <c:pt idx="0">
                  <c:v>H1 2021</c:v>
                </c:pt>
                <c:pt idx="1">
                  <c:v>H2 2021</c:v>
                </c:pt>
                <c:pt idx="2">
                  <c:v>H1 2022</c:v>
                </c:pt>
                <c:pt idx="3">
                  <c:v>H2 2022</c:v>
                </c:pt>
                <c:pt idx="4">
                  <c:v>H1 2023</c:v>
                </c:pt>
                <c:pt idx="5">
                  <c:v>H2 2023</c:v>
                </c:pt>
              </c:strCache>
            </c:strRef>
          </c:cat>
          <c:val>
            <c:numRef>
              <c:f>'R2. Resource Mapping'!$C$16:$H$16</c:f>
              <c:numCache>
                <c:formatCode>_-[$$-409]* #,##0_ ;_-[$$-409]* \-#,##0\ ;_-[$$-409]* "-"??_ ;_-@_ </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7-37B3-41D7-A251-070D0EC3C971}"/>
            </c:ext>
          </c:extLst>
        </c:ser>
        <c:ser>
          <c:idx val="7"/>
          <c:order val="7"/>
          <c:tx>
            <c:strRef>
              <c:f>'R2. Resource Mapping'!$B$17</c:f>
              <c:strCache>
                <c:ptCount val="1"/>
                <c:pt idx="0">
                  <c:v>Consortium B</c:v>
                </c:pt>
              </c:strCache>
            </c:strRef>
          </c:tx>
          <c:spPr>
            <a:solidFill>
              <a:schemeClr val="accent2">
                <a:lumMod val="60000"/>
              </a:schemeClr>
            </a:solidFill>
            <a:ln>
              <a:noFill/>
            </a:ln>
            <a:effectLst/>
          </c:spPr>
          <c:invertIfNegative val="0"/>
          <c:cat>
            <c:strRef>
              <c:f>'R2. Resource Mapping'!$C$9:$H$9</c:f>
              <c:strCache>
                <c:ptCount val="6"/>
                <c:pt idx="0">
                  <c:v>H1 2021</c:v>
                </c:pt>
                <c:pt idx="1">
                  <c:v>H2 2021</c:v>
                </c:pt>
                <c:pt idx="2">
                  <c:v>H1 2022</c:v>
                </c:pt>
                <c:pt idx="3">
                  <c:v>H2 2022</c:v>
                </c:pt>
                <c:pt idx="4">
                  <c:v>H1 2023</c:v>
                </c:pt>
                <c:pt idx="5">
                  <c:v>H2 2023</c:v>
                </c:pt>
              </c:strCache>
            </c:strRef>
          </c:cat>
          <c:val>
            <c:numRef>
              <c:f>'R2. Resource Mapping'!$C$17:$H$17</c:f>
              <c:numCache>
                <c:formatCode>_-[$$-409]* #,##0_ ;_-[$$-409]* \-#,##0\ ;_-[$$-409]* "-"??_ ;_-@_ </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8-37B3-41D7-A251-070D0EC3C971}"/>
            </c:ext>
          </c:extLst>
        </c:ser>
        <c:ser>
          <c:idx val="8"/>
          <c:order val="8"/>
          <c:tx>
            <c:strRef>
              <c:f>'R2. Resource Mapping'!$B$18</c:f>
              <c:strCache>
                <c:ptCount val="1"/>
                <c:pt idx="0">
                  <c:v>Consortium C</c:v>
                </c:pt>
              </c:strCache>
            </c:strRef>
          </c:tx>
          <c:spPr>
            <a:solidFill>
              <a:schemeClr val="accent3">
                <a:lumMod val="60000"/>
              </a:schemeClr>
            </a:solidFill>
            <a:ln>
              <a:noFill/>
            </a:ln>
            <a:effectLst/>
          </c:spPr>
          <c:invertIfNegative val="0"/>
          <c:cat>
            <c:strRef>
              <c:f>'R2. Resource Mapping'!$C$9:$H$9</c:f>
              <c:strCache>
                <c:ptCount val="6"/>
                <c:pt idx="0">
                  <c:v>H1 2021</c:v>
                </c:pt>
                <c:pt idx="1">
                  <c:v>H2 2021</c:v>
                </c:pt>
                <c:pt idx="2">
                  <c:v>H1 2022</c:v>
                </c:pt>
                <c:pt idx="3">
                  <c:v>H2 2022</c:v>
                </c:pt>
                <c:pt idx="4">
                  <c:v>H1 2023</c:v>
                </c:pt>
                <c:pt idx="5">
                  <c:v>H2 2023</c:v>
                </c:pt>
              </c:strCache>
            </c:strRef>
          </c:cat>
          <c:val>
            <c:numRef>
              <c:f>'R2. Resource Mapping'!$C$18:$H$18</c:f>
              <c:numCache>
                <c:formatCode>_-[$$-409]* #,##0_ ;_-[$$-409]* \-#,##0\ ;_-[$$-409]* "-"??_ ;_-@_ </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9-37B3-41D7-A251-070D0EC3C971}"/>
            </c:ext>
          </c:extLst>
        </c:ser>
        <c:ser>
          <c:idx val="9"/>
          <c:order val="9"/>
          <c:tx>
            <c:strRef>
              <c:f>'R2. Resource Mapping'!$B$19</c:f>
              <c:strCache>
                <c:ptCount val="1"/>
                <c:pt idx="0">
                  <c:v>Single-Donor A</c:v>
                </c:pt>
              </c:strCache>
            </c:strRef>
          </c:tx>
          <c:spPr>
            <a:solidFill>
              <a:schemeClr val="accent4">
                <a:lumMod val="60000"/>
              </a:schemeClr>
            </a:solidFill>
            <a:ln>
              <a:noFill/>
            </a:ln>
            <a:effectLst/>
          </c:spPr>
          <c:invertIfNegative val="0"/>
          <c:cat>
            <c:strRef>
              <c:f>'R2. Resource Mapping'!$C$9:$H$9</c:f>
              <c:strCache>
                <c:ptCount val="6"/>
                <c:pt idx="0">
                  <c:v>H1 2021</c:v>
                </c:pt>
                <c:pt idx="1">
                  <c:v>H2 2021</c:v>
                </c:pt>
                <c:pt idx="2">
                  <c:v>H1 2022</c:v>
                </c:pt>
                <c:pt idx="3">
                  <c:v>H2 2022</c:v>
                </c:pt>
                <c:pt idx="4">
                  <c:v>H1 2023</c:v>
                </c:pt>
                <c:pt idx="5">
                  <c:v>H2 2023</c:v>
                </c:pt>
              </c:strCache>
            </c:strRef>
          </c:cat>
          <c:val>
            <c:numRef>
              <c:f>'R2. Resource Mapping'!$C$19:$H$19</c:f>
              <c:numCache>
                <c:formatCode>_-[$$-409]* #,##0_ ;_-[$$-409]* \-#,##0\ ;_-[$$-409]* "-"??_ ;_-@_ </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A-37B3-41D7-A251-070D0EC3C971}"/>
            </c:ext>
          </c:extLst>
        </c:ser>
        <c:ser>
          <c:idx val="10"/>
          <c:order val="10"/>
          <c:tx>
            <c:strRef>
              <c:f>'R2. Resource Mapping'!$B$20</c:f>
              <c:strCache>
                <c:ptCount val="1"/>
                <c:pt idx="0">
                  <c:v>Donor B</c:v>
                </c:pt>
              </c:strCache>
            </c:strRef>
          </c:tx>
          <c:spPr>
            <a:solidFill>
              <a:schemeClr val="accent5">
                <a:lumMod val="60000"/>
              </a:schemeClr>
            </a:solidFill>
            <a:ln>
              <a:noFill/>
            </a:ln>
            <a:effectLst/>
          </c:spPr>
          <c:invertIfNegative val="0"/>
          <c:cat>
            <c:strRef>
              <c:f>'R2. Resource Mapping'!$C$9:$H$9</c:f>
              <c:strCache>
                <c:ptCount val="6"/>
                <c:pt idx="0">
                  <c:v>H1 2021</c:v>
                </c:pt>
                <c:pt idx="1">
                  <c:v>H2 2021</c:v>
                </c:pt>
                <c:pt idx="2">
                  <c:v>H1 2022</c:v>
                </c:pt>
                <c:pt idx="3">
                  <c:v>H2 2022</c:v>
                </c:pt>
                <c:pt idx="4">
                  <c:v>H1 2023</c:v>
                </c:pt>
                <c:pt idx="5">
                  <c:v>H2 2023</c:v>
                </c:pt>
              </c:strCache>
            </c:strRef>
          </c:cat>
          <c:val>
            <c:numRef>
              <c:f>'R2. Resource Mapping'!$C$20:$H$20</c:f>
              <c:numCache>
                <c:formatCode>_-[$$-409]* #,##0_ ;_-[$$-409]* \-#,##0\ ;_-[$$-409]* "-"??_ ;_-@_ </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B-37B3-41D7-A251-070D0EC3C971}"/>
            </c:ext>
          </c:extLst>
        </c:ser>
        <c:ser>
          <c:idx val="11"/>
          <c:order val="11"/>
          <c:tx>
            <c:strRef>
              <c:f>'R2. Resource Mapping'!$B$21</c:f>
              <c:strCache>
                <c:ptCount val="1"/>
                <c:pt idx="0">
                  <c:v>Donor C</c:v>
                </c:pt>
              </c:strCache>
            </c:strRef>
          </c:tx>
          <c:spPr>
            <a:solidFill>
              <a:schemeClr val="accent6">
                <a:lumMod val="60000"/>
              </a:schemeClr>
            </a:solidFill>
            <a:ln>
              <a:noFill/>
            </a:ln>
            <a:effectLst/>
          </c:spPr>
          <c:invertIfNegative val="0"/>
          <c:cat>
            <c:strRef>
              <c:f>'R2. Resource Mapping'!$C$9:$H$9</c:f>
              <c:strCache>
                <c:ptCount val="6"/>
                <c:pt idx="0">
                  <c:v>H1 2021</c:v>
                </c:pt>
                <c:pt idx="1">
                  <c:v>H2 2021</c:v>
                </c:pt>
                <c:pt idx="2">
                  <c:v>H1 2022</c:v>
                </c:pt>
                <c:pt idx="3">
                  <c:v>H2 2022</c:v>
                </c:pt>
                <c:pt idx="4">
                  <c:v>H1 2023</c:v>
                </c:pt>
                <c:pt idx="5">
                  <c:v>H2 2023</c:v>
                </c:pt>
              </c:strCache>
            </c:strRef>
          </c:cat>
          <c:val>
            <c:numRef>
              <c:f>'R2. Resource Mapping'!$C$21:$H$21</c:f>
              <c:numCache>
                <c:formatCode>_-[$$-409]* #,##0_ ;_-[$$-409]* \-#,##0\ ;_-[$$-409]* "-"??_ ;_-@_ </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C-37B3-41D7-A251-070D0EC3C971}"/>
            </c:ext>
          </c:extLst>
        </c:ser>
        <c:ser>
          <c:idx val="12"/>
          <c:order val="12"/>
          <c:tx>
            <c:strRef>
              <c:f>'R2. Resource Mapping'!$B$22</c:f>
              <c:strCache>
                <c:ptCount val="1"/>
                <c:pt idx="0">
                  <c:v>Donor D</c:v>
                </c:pt>
              </c:strCache>
            </c:strRef>
          </c:tx>
          <c:spPr>
            <a:solidFill>
              <a:schemeClr val="accent1">
                <a:lumMod val="80000"/>
                <a:lumOff val="20000"/>
              </a:schemeClr>
            </a:solidFill>
            <a:ln>
              <a:noFill/>
            </a:ln>
            <a:effectLst/>
          </c:spPr>
          <c:invertIfNegative val="0"/>
          <c:cat>
            <c:strRef>
              <c:f>'R2. Resource Mapping'!$C$9:$H$9</c:f>
              <c:strCache>
                <c:ptCount val="6"/>
                <c:pt idx="0">
                  <c:v>H1 2021</c:v>
                </c:pt>
                <c:pt idx="1">
                  <c:v>H2 2021</c:v>
                </c:pt>
                <c:pt idx="2">
                  <c:v>H1 2022</c:v>
                </c:pt>
                <c:pt idx="3">
                  <c:v>H2 2022</c:v>
                </c:pt>
                <c:pt idx="4">
                  <c:v>H1 2023</c:v>
                </c:pt>
                <c:pt idx="5">
                  <c:v>H2 2023</c:v>
                </c:pt>
              </c:strCache>
            </c:strRef>
          </c:cat>
          <c:val>
            <c:numRef>
              <c:f>'R2. Resource Mapping'!$C$22:$H$22</c:f>
              <c:numCache>
                <c:formatCode>_-[$$-409]* #,##0_ ;_-[$$-409]* \-#,##0\ ;_-[$$-409]* "-"??_ ;_-@_ </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D-37B3-41D7-A251-070D0EC3C971}"/>
            </c:ext>
          </c:extLst>
        </c:ser>
        <c:ser>
          <c:idx val="13"/>
          <c:order val="13"/>
          <c:tx>
            <c:strRef>
              <c:f>'R2. Resource Mapping'!$B$23</c:f>
              <c:strCache>
                <c:ptCount val="1"/>
                <c:pt idx="0">
                  <c:v>Donor E</c:v>
                </c:pt>
              </c:strCache>
            </c:strRef>
          </c:tx>
          <c:spPr>
            <a:solidFill>
              <a:schemeClr val="accent2">
                <a:lumMod val="80000"/>
                <a:lumOff val="20000"/>
              </a:schemeClr>
            </a:solidFill>
            <a:ln>
              <a:noFill/>
            </a:ln>
            <a:effectLst/>
          </c:spPr>
          <c:invertIfNegative val="0"/>
          <c:cat>
            <c:strRef>
              <c:f>'R2. Resource Mapping'!$C$9:$H$9</c:f>
              <c:strCache>
                <c:ptCount val="6"/>
                <c:pt idx="0">
                  <c:v>H1 2021</c:v>
                </c:pt>
                <c:pt idx="1">
                  <c:v>H2 2021</c:v>
                </c:pt>
                <c:pt idx="2">
                  <c:v>H1 2022</c:v>
                </c:pt>
                <c:pt idx="3">
                  <c:v>H2 2022</c:v>
                </c:pt>
                <c:pt idx="4">
                  <c:v>H1 2023</c:v>
                </c:pt>
                <c:pt idx="5">
                  <c:v>H2 2023</c:v>
                </c:pt>
              </c:strCache>
            </c:strRef>
          </c:cat>
          <c:val>
            <c:numRef>
              <c:f>'R2. Resource Mapping'!$C$23:$H$23</c:f>
              <c:numCache>
                <c:formatCode>_-[$$-409]* #,##0_ ;_-[$$-409]* \-#,##0\ ;_-[$$-409]* "-"??_ ;_-@_ </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E-37B3-41D7-A251-070D0EC3C971}"/>
            </c:ext>
          </c:extLst>
        </c:ser>
        <c:dLbls>
          <c:showLegendKey val="0"/>
          <c:showVal val="0"/>
          <c:showCatName val="0"/>
          <c:showSerName val="0"/>
          <c:showPercent val="0"/>
          <c:showBubbleSize val="0"/>
        </c:dLbls>
        <c:gapWidth val="50"/>
        <c:overlap val="100"/>
        <c:axId val="1005513503"/>
        <c:axId val="1005515999"/>
      </c:barChart>
      <c:catAx>
        <c:axId val="10055135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05515999"/>
        <c:crosses val="autoZero"/>
        <c:auto val="1"/>
        <c:lblAlgn val="ctr"/>
        <c:lblOffset val="100"/>
        <c:noMultiLvlLbl val="0"/>
      </c:catAx>
      <c:valAx>
        <c:axId val="1005515999"/>
        <c:scaling>
          <c:orientation val="minMax"/>
        </c:scaling>
        <c:delete val="0"/>
        <c:axPos val="l"/>
        <c:majorGridlines>
          <c:spPr>
            <a:ln w="9525" cap="flat" cmpd="sng" algn="ctr">
              <a:solidFill>
                <a:schemeClr val="tx1">
                  <a:lumMod val="15000"/>
                  <a:lumOff val="85000"/>
                </a:schemeClr>
              </a:solidFill>
              <a:round/>
            </a:ln>
            <a:effectLst/>
          </c:spPr>
        </c:majorGridlines>
        <c:numFmt formatCode="_-[$$-409]* #,##0_ ;_-[$$-409]* \-#,##0\ ;_-[$$-409]* &quot;-&quot;??_ ;_-@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05513503"/>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'R2. Resource Mapping'!$N$9</c:f>
          <c:strCache>
            <c:ptCount val="1"/>
            <c:pt idx="0">
              <c:v>Total (2021-2023), by financing source</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D4F-4245-BB92-D271635AFEE4}"/>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2D4F-4245-BB92-D271635AFEE4}"/>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2D4F-4245-BB92-D271635AFEE4}"/>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2D4F-4245-BB92-D271635AFEE4}"/>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2D4F-4245-BB92-D271635AFEE4}"/>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2D4F-4245-BB92-D271635AFEE4}"/>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2D4F-4245-BB92-D271635AFEE4}"/>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2D4F-4245-BB92-D271635AFEE4}"/>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2D4F-4245-BB92-D271635AFEE4}"/>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2D4F-4245-BB92-D271635AFEE4}"/>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15-2D4F-4245-BB92-D271635AFEE4}"/>
              </c:ext>
            </c:extLst>
          </c:dPt>
          <c:dPt>
            <c:idx val="11"/>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17-2D4F-4245-BB92-D271635AFEE4}"/>
              </c:ext>
            </c:extLst>
          </c:dPt>
          <c:dPt>
            <c:idx val="12"/>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19-2D4F-4245-BB92-D271635AFEE4}"/>
              </c:ext>
            </c:extLst>
          </c:dPt>
          <c:dPt>
            <c:idx val="13"/>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1B-2D4F-4245-BB92-D271635AFEE4}"/>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'R2. Resource Mapping'!$B$10:$B$23</c:f>
              <c:strCache>
                <c:ptCount val="14"/>
                <c:pt idx="0">
                  <c:v>Domestic</c:v>
                </c:pt>
                <c:pt idx="1">
                  <c:v>GAVI</c:v>
                </c:pt>
                <c:pt idx="2">
                  <c:v>WB</c:v>
                </c:pt>
                <c:pt idx="3">
                  <c:v>IADB</c:v>
                </c:pt>
                <c:pt idx="4">
                  <c:v>ADB</c:v>
                </c:pt>
                <c:pt idx="5">
                  <c:v>AfDB</c:v>
                </c:pt>
                <c:pt idx="6">
                  <c:v>Consortium A: e.g. GAVI/WB</c:v>
                </c:pt>
                <c:pt idx="7">
                  <c:v>Consortium B</c:v>
                </c:pt>
                <c:pt idx="8">
                  <c:v>Consortium C</c:v>
                </c:pt>
                <c:pt idx="9">
                  <c:v>Single-Donor A</c:v>
                </c:pt>
                <c:pt idx="10">
                  <c:v>Donor B</c:v>
                </c:pt>
                <c:pt idx="11">
                  <c:v>Donor C</c:v>
                </c:pt>
                <c:pt idx="12">
                  <c:v>Donor D</c:v>
                </c:pt>
                <c:pt idx="13">
                  <c:v>Donor E</c:v>
                </c:pt>
              </c:strCache>
            </c:strRef>
          </c:cat>
          <c:val>
            <c:numRef>
              <c:f>'R2. Resource Mapping'!$I$10:$I$23</c:f>
              <c:numCache>
                <c:formatCode>_-[$$-409]* #,##0_ ;_-[$$-409]* \-#,##0\ ;_-[$$-409]* "-"??_ ;_-@_ </c:formatCode>
                <c:ptCount val="14"/>
                <c:pt idx="0">
                  <c:v>#N/A</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00-6032-4617-A9FD-D6665E5377D4}"/>
            </c:ext>
          </c:extLst>
        </c:ser>
        <c:dLbls>
          <c:showLegendKey val="0"/>
          <c:showVal val="0"/>
          <c:showCatName val="0"/>
          <c:showSerName val="0"/>
          <c:showPercent val="0"/>
          <c:showBubbleSize val="0"/>
          <c:showLeaderLines val="1"/>
        </c:dLbls>
        <c:firstSliceAng val="9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'R2. Resource Mapping'!$N$63</c:f>
          <c:strCache>
            <c:ptCount val="1"/>
            <c:pt idx="0">
              <c:v>Covid-19 vaccination financing against selected health financing indicators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'R2. Resource Mapping'!$B$67</c:f>
              <c:strCache>
                <c:ptCount val="1"/>
                <c:pt idx="0">
                  <c:v>Grand Total as % of 2018 GGHED +DAH</c:v>
                </c:pt>
              </c:strCache>
            </c:strRef>
          </c:tx>
          <c:spPr>
            <a:ln w="28575" cap="rnd">
              <a:solidFill>
                <a:schemeClr val="accent1"/>
              </a:solidFill>
              <a:prstDash val="sysDot"/>
              <a:round/>
            </a:ln>
            <a:effectLst/>
          </c:spPr>
          <c:marker>
            <c:symbol val="diamond"/>
            <c:size val="10"/>
            <c:spPr>
              <a:solidFill>
                <a:schemeClr val="accent1"/>
              </a:solidFill>
              <a:ln w="9525">
                <a:solidFill>
                  <a:schemeClr val="accent1"/>
                </a:solidFill>
              </a:ln>
              <a:effectLst/>
            </c:spPr>
          </c:marker>
          <c:cat>
            <c:numRef>
              <c:extLst>
                <c:ext xmlns:c15="http://schemas.microsoft.com/office/drawing/2012/chart" uri="{02D57815-91ED-43cb-92C2-25804820EDAC}">
                  <c15:fullRef>
                    <c15:sqref>'R2. Resource Mapping'!$C$57:$G$57</c15:sqref>
                  </c15:fullRef>
                </c:ext>
              </c:extLst>
              <c:f>('R2. Resource Mapping'!$C$57,'R2. Resource Mapping'!$E$57,'R2. Resource Mapping'!$G$57)</c:f>
              <c:numCache>
                <c:formatCode>General</c:formatCode>
                <c:ptCount val="3"/>
                <c:pt idx="0">
                  <c:v>2021</c:v>
                </c:pt>
                <c:pt idx="1">
                  <c:v>2022</c:v>
                </c:pt>
                <c:pt idx="2">
                  <c:v>2023</c:v>
                </c:pt>
              </c:numCache>
            </c:numRef>
          </c:cat>
          <c:val>
            <c:numRef>
              <c:extLst>
                <c:ext xmlns:c15="http://schemas.microsoft.com/office/drawing/2012/chart" uri="{02D57815-91ED-43cb-92C2-25804820EDAC}">
                  <c15:fullRef>
                    <c15:sqref>'R2. Resource Mapping'!$C$67:$G$67</c15:sqref>
                  </c15:fullRef>
                </c:ext>
              </c:extLst>
              <c:f>('R2. Resource Mapping'!$C$67,'R2. Resource Mapping'!$E$67,'R2. Resource Mapping'!$G$67)</c:f>
              <c:numCache>
                <c:formatCode>General</c:formatCode>
                <c:ptCount val="3"/>
                <c:pt idx="0" formatCode="0.0%">
                  <c:v>#N/A</c:v>
                </c:pt>
                <c:pt idx="1" formatCode="0.0%">
                  <c:v>#N/A</c:v>
                </c:pt>
                <c:pt idx="2" formatCode="0.0%">
                  <c:v>#N/A</c:v>
                </c:pt>
              </c:numCache>
            </c:numRef>
          </c:val>
          <c:smooth val="0"/>
          <c:extLst>
            <c:ext xmlns:c16="http://schemas.microsoft.com/office/drawing/2014/chart" uri="{C3380CC4-5D6E-409C-BE32-E72D297353CC}">
              <c16:uniqueId val="{00000000-B7CE-46FB-B2C4-BCAC661CF347}"/>
            </c:ext>
          </c:extLst>
        </c:ser>
        <c:ser>
          <c:idx val="1"/>
          <c:order val="1"/>
          <c:tx>
            <c:strRef>
              <c:f>'R2. Resource Mapping'!$B$69</c:f>
              <c:strCache>
                <c:ptCount val="1"/>
                <c:pt idx="0">
                  <c:v>Domestic as % of 2018 GGHED</c:v>
                </c:pt>
              </c:strCache>
            </c:strRef>
          </c:tx>
          <c:spPr>
            <a:ln w="28575" cap="rnd">
              <a:solidFill>
                <a:schemeClr val="accent2"/>
              </a:solidFill>
              <a:prstDash val="sysDot"/>
              <a:round/>
            </a:ln>
            <a:effectLst/>
          </c:spPr>
          <c:marker>
            <c:symbol val="diamond"/>
            <c:size val="10"/>
            <c:spPr>
              <a:solidFill>
                <a:schemeClr val="accent2"/>
              </a:solidFill>
              <a:ln w="9525">
                <a:solidFill>
                  <a:schemeClr val="accent2"/>
                </a:solidFill>
              </a:ln>
              <a:effectLst/>
            </c:spPr>
          </c:marker>
          <c:cat>
            <c:numRef>
              <c:extLst>
                <c:ext xmlns:c15="http://schemas.microsoft.com/office/drawing/2012/chart" uri="{02D57815-91ED-43cb-92C2-25804820EDAC}">
                  <c15:fullRef>
                    <c15:sqref>'R2. Resource Mapping'!$C$57:$G$57</c15:sqref>
                  </c15:fullRef>
                </c:ext>
              </c:extLst>
              <c:f>('R2. Resource Mapping'!$C$57,'R2. Resource Mapping'!$E$57,'R2. Resource Mapping'!$G$57)</c:f>
              <c:numCache>
                <c:formatCode>General</c:formatCode>
                <c:ptCount val="3"/>
                <c:pt idx="0">
                  <c:v>2021</c:v>
                </c:pt>
                <c:pt idx="1">
                  <c:v>2022</c:v>
                </c:pt>
                <c:pt idx="2">
                  <c:v>2023</c:v>
                </c:pt>
              </c:numCache>
            </c:numRef>
          </c:cat>
          <c:val>
            <c:numRef>
              <c:extLst>
                <c:ext xmlns:c15="http://schemas.microsoft.com/office/drawing/2012/chart" uri="{02D57815-91ED-43cb-92C2-25804820EDAC}">
                  <c15:fullRef>
                    <c15:sqref>'R2. Resource Mapping'!$C$69:$G$69</c15:sqref>
                  </c15:fullRef>
                </c:ext>
              </c:extLst>
              <c:f>('R2. Resource Mapping'!$C$69,'R2. Resource Mapping'!$E$69,'R2. Resource Mapping'!$G$69)</c:f>
              <c:numCache>
                <c:formatCode>General</c:formatCode>
                <c:ptCount val="3"/>
                <c:pt idx="0" formatCode="0.0%">
                  <c:v>#N/A</c:v>
                </c:pt>
                <c:pt idx="1" formatCode="0.0%">
                  <c:v>#N/A</c:v>
                </c:pt>
                <c:pt idx="2" formatCode="0.0%">
                  <c:v>#N/A</c:v>
                </c:pt>
              </c:numCache>
            </c:numRef>
          </c:val>
          <c:smooth val="0"/>
          <c:extLst>
            <c:ext xmlns:c16="http://schemas.microsoft.com/office/drawing/2014/chart" uri="{C3380CC4-5D6E-409C-BE32-E72D297353CC}">
              <c16:uniqueId val="{00000001-B7CE-46FB-B2C4-BCAC661CF347}"/>
            </c:ext>
          </c:extLst>
        </c:ser>
        <c:ser>
          <c:idx val="2"/>
          <c:order val="2"/>
          <c:tx>
            <c:strRef>
              <c:f>'R2. Resource Mapping'!$B$70</c:f>
              <c:strCache>
                <c:ptCount val="1"/>
                <c:pt idx="0">
                  <c:v>External as % of 2018 EXT</c:v>
                </c:pt>
              </c:strCache>
            </c:strRef>
          </c:tx>
          <c:spPr>
            <a:ln w="28575" cap="rnd">
              <a:solidFill>
                <a:schemeClr val="accent3"/>
              </a:solidFill>
              <a:prstDash val="sysDot"/>
              <a:round/>
            </a:ln>
            <a:effectLst/>
          </c:spPr>
          <c:marker>
            <c:symbol val="diamond"/>
            <c:size val="10"/>
            <c:spPr>
              <a:solidFill>
                <a:schemeClr val="accent3"/>
              </a:solidFill>
              <a:ln w="9525">
                <a:solidFill>
                  <a:schemeClr val="accent3"/>
                </a:solidFill>
              </a:ln>
              <a:effectLst/>
            </c:spPr>
          </c:marker>
          <c:cat>
            <c:numRef>
              <c:extLst>
                <c:ext xmlns:c15="http://schemas.microsoft.com/office/drawing/2012/chart" uri="{02D57815-91ED-43cb-92C2-25804820EDAC}">
                  <c15:fullRef>
                    <c15:sqref>'R2. Resource Mapping'!$C$57:$G$57</c15:sqref>
                  </c15:fullRef>
                </c:ext>
              </c:extLst>
              <c:f>('R2. Resource Mapping'!$C$57,'R2. Resource Mapping'!$E$57,'R2. Resource Mapping'!$G$57)</c:f>
              <c:numCache>
                <c:formatCode>General</c:formatCode>
                <c:ptCount val="3"/>
                <c:pt idx="0">
                  <c:v>2021</c:v>
                </c:pt>
                <c:pt idx="1">
                  <c:v>2022</c:v>
                </c:pt>
                <c:pt idx="2">
                  <c:v>2023</c:v>
                </c:pt>
              </c:numCache>
            </c:numRef>
          </c:cat>
          <c:val>
            <c:numRef>
              <c:extLst>
                <c:ext xmlns:c15="http://schemas.microsoft.com/office/drawing/2012/chart" uri="{02D57815-91ED-43cb-92C2-25804820EDAC}">
                  <c15:fullRef>
                    <c15:sqref>'R2. Resource Mapping'!$C$70:$G$70</c15:sqref>
                  </c15:fullRef>
                </c:ext>
              </c:extLst>
              <c:f>('R2. Resource Mapping'!$C$70,'R2. Resource Mapping'!$E$70,'R2. Resource Mapping'!$G$70)</c:f>
              <c:numCache>
                <c:formatCode>General</c:formatCode>
                <c:ptCount val="3"/>
                <c:pt idx="0" formatCode="0.0%">
                  <c:v>0</c:v>
                </c:pt>
                <c:pt idx="1" formatCode="0.0%">
                  <c:v>0</c:v>
                </c:pt>
                <c:pt idx="2" formatCode="0.0%">
                  <c:v>0</c:v>
                </c:pt>
              </c:numCache>
            </c:numRef>
          </c:val>
          <c:smooth val="0"/>
          <c:extLst>
            <c:ext xmlns:c16="http://schemas.microsoft.com/office/drawing/2014/chart" uri="{C3380CC4-5D6E-409C-BE32-E72D297353CC}">
              <c16:uniqueId val="{00000002-B7CE-46FB-B2C4-BCAC661CF347}"/>
            </c:ext>
          </c:extLst>
        </c:ser>
        <c:dLbls>
          <c:showLegendKey val="0"/>
          <c:showVal val="0"/>
          <c:showCatName val="0"/>
          <c:showSerName val="0"/>
          <c:showPercent val="0"/>
          <c:showBubbleSize val="0"/>
        </c:dLbls>
        <c:marker val="1"/>
        <c:smooth val="0"/>
        <c:axId val="1100550112"/>
        <c:axId val="1100548448"/>
        <c:extLst>
          <c:ext xmlns:c15="http://schemas.microsoft.com/office/drawing/2012/chart" uri="{02D57815-91ED-43cb-92C2-25804820EDAC}">
            <c15:filteredLineSeries>
              <c15:ser>
                <c:idx val="3"/>
                <c:order val="3"/>
                <c:tx>
                  <c:strRef>
                    <c:extLst>
                      <c:ext uri="{02D57815-91ED-43cb-92C2-25804820EDAC}">
                        <c15:formulaRef>
                          <c15:sqref>'R2. Resource Mapping'!$B$71</c15:sqref>
                        </c15:formulaRef>
                      </c:ext>
                    </c:extLst>
                    <c:strCache>
                      <c:ptCount val="1"/>
                      <c:pt idx="0">
                        <c:v>Capital Expenditures as % of 2018 HK</c:v>
                      </c:pt>
                    </c:strCache>
                  </c:strRef>
                </c:tx>
                <c:spPr>
                  <a:ln w="28575" cap="rnd">
                    <a:solidFill>
                      <a:schemeClr val="accent4"/>
                    </a:solidFill>
                    <a:prstDash val="sysDot"/>
                    <a:round/>
                  </a:ln>
                  <a:effectLst/>
                </c:spPr>
                <c:marker>
                  <c:symbol val="diamond"/>
                  <c:size val="10"/>
                  <c:spPr>
                    <a:solidFill>
                      <a:schemeClr val="accent4"/>
                    </a:solidFill>
                    <a:ln w="9525">
                      <a:solidFill>
                        <a:schemeClr val="accent4"/>
                      </a:solidFill>
                    </a:ln>
                    <a:effectLst/>
                  </c:spPr>
                </c:marker>
                <c:cat>
                  <c:numRef>
                    <c:extLst>
                      <c:ext uri="{02D57815-91ED-43cb-92C2-25804820EDAC}">
                        <c15:fullRef>
                          <c15:sqref>'R2. Resource Mapping'!$C$57:$G$57</c15:sqref>
                        </c15:fullRef>
                        <c15:formulaRef>
                          <c15:sqref>('R2. Resource Mapping'!$C$57,'R2. Resource Mapping'!$E$57,'R2. Resource Mapping'!$G$57)</c15:sqref>
                        </c15:formulaRef>
                      </c:ext>
                    </c:extLst>
                    <c:numCache>
                      <c:formatCode>General</c:formatCode>
                      <c:ptCount val="3"/>
                      <c:pt idx="0">
                        <c:v>2021</c:v>
                      </c:pt>
                      <c:pt idx="1">
                        <c:v>2022</c:v>
                      </c:pt>
                      <c:pt idx="2">
                        <c:v>2023</c:v>
                      </c:pt>
                    </c:numCache>
                  </c:numRef>
                </c:cat>
                <c:val>
                  <c:numRef>
                    <c:extLst>
                      <c:ext uri="{02D57815-91ED-43cb-92C2-25804820EDAC}">
                        <c15:fullRef>
                          <c15:sqref>'R2. Resource Mapping'!$C$71:$G$71</c15:sqref>
                        </c15:fullRef>
                        <c15:formulaRef>
                          <c15:sqref>('R2. Resource Mapping'!$C$71,'R2. Resource Mapping'!$E$71,'R2. Resource Mapping'!$G$71)</c15:sqref>
                        </c15:formulaRef>
                      </c:ext>
                    </c:extLst>
                    <c:numCache>
                      <c:formatCode>General</c:formatCode>
                      <c:ptCount val="3"/>
                      <c:pt idx="0" formatCode="0.0%">
                        <c:v>#N/A</c:v>
                      </c:pt>
                      <c:pt idx="1" formatCode="0.0%">
                        <c:v>#N/A</c:v>
                      </c:pt>
                      <c:pt idx="2" formatCode="0.0%">
                        <c:v>#N/A</c:v>
                      </c:pt>
                    </c:numCache>
                  </c:numRef>
                </c:val>
                <c:smooth val="0"/>
                <c:extLst>
                  <c:ext xmlns:c16="http://schemas.microsoft.com/office/drawing/2014/chart" uri="{C3380CC4-5D6E-409C-BE32-E72D297353CC}">
                    <c16:uniqueId val="{00000003-B7CE-46FB-B2C4-BCAC661CF347}"/>
                  </c:ext>
                </c:extLst>
              </c15:ser>
            </c15:filteredLineSeries>
          </c:ext>
        </c:extLst>
      </c:lineChart>
      <c:catAx>
        <c:axId val="1100550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00548448"/>
        <c:crosses val="autoZero"/>
        <c:auto val="1"/>
        <c:lblAlgn val="ctr"/>
        <c:lblOffset val="100"/>
        <c:noMultiLvlLbl val="0"/>
      </c:catAx>
      <c:valAx>
        <c:axId val="110054844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0055011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Pallet or Parcel?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'T9. Shipping'!$V$38</c:f>
              <c:strCache>
                <c:ptCount val="1"/>
                <c:pt idx="0">
                  <c:v>Weight of vaccines</c:v>
                </c:pt>
              </c:strCache>
            </c:strRef>
          </c:tx>
          <c:spPr>
            <a:ln w="28575" cap="rnd">
              <a:solidFill>
                <a:schemeClr val="accent3"/>
              </a:solidFill>
              <a:round/>
            </a:ln>
            <a:effectLst/>
          </c:spPr>
          <c:marker>
            <c:symbol val="none"/>
          </c:marker>
          <c:val>
            <c:numRef>
              <c:f>'T9. Shipping'!$V$39:$V$1168</c:f>
              <c:numCache>
                <c:formatCode>General</c:formatCode>
                <c:ptCount val="1130"/>
                <c:pt idx="0">
                  <c:v>0.5</c:v>
                </c:pt>
                <c:pt idx="1">
                  <c:v>1</c:v>
                </c:pt>
                <c:pt idx="2">
                  <c:v>1.5</c:v>
                </c:pt>
                <c:pt idx="3">
                  <c:v>2</c:v>
                </c:pt>
                <c:pt idx="4">
                  <c:v>2.5</c:v>
                </c:pt>
                <c:pt idx="5">
                  <c:v>3</c:v>
                </c:pt>
                <c:pt idx="6">
                  <c:v>3.5</c:v>
                </c:pt>
                <c:pt idx="7">
                  <c:v>4</c:v>
                </c:pt>
                <c:pt idx="8">
                  <c:v>4.5</c:v>
                </c:pt>
                <c:pt idx="9">
                  <c:v>5</c:v>
                </c:pt>
                <c:pt idx="10">
                  <c:v>5.5</c:v>
                </c:pt>
                <c:pt idx="11">
                  <c:v>6</c:v>
                </c:pt>
                <c:pt idx="12">
                  <c:v>6.5</c:v>
                </c:pt>
                <c:pt idx="13">
                  <c:v>7</c:v>
                </c:pt>
                <c:pt idx="14">
                  <c:v>7.5</c:v>
                </c:pt>
                <c:pt idx="15">
                  <c:v>8</c:v>
                </c:pt>
                <c:pt idx="16">
                  <c:v>8.5</c:v>
                </c:pt>
                <c:pt idx="17">
                  <c:v>9</c:v>
                </c:pt>
                <c:pt idx="18">
                  <c:v>9.5</c:v>
                </c:pt>
                <c:pt idx="19">
                  <c:v>10</c:v>
                </c:pt>
                <c:pt idx="20">
                  <c:v>10.5</c:v>
                </c:pt>
                <c:pt idx="21">
                  <c:v>11</c:v>
                </c:pt>
                <c:pt idx="22">
                  <c:v>11.5</c:v>
                </c:pt>
                <c:pt idx="23">
                  <c:v>12</c:v>
                </c:pt>
                <c:pt idx="24">
                  <c:v>12.5</c:v>
                </c:pt>
                <c:pt idx="25">
                  <c:v>13</c:v>
                </c:pt>
                <c:pt idx="26">
                  <c:v>13.5</c:v>
                </c:pt>
                <c:pt idx="27">
                  <c:v>14</c:v>
                </c:pt>
                <c:pt idx="28">
                  <c:v>14.5</c:v>
                </c:pt>
                <c:pt idx="29">
                  <c:v>15</c:v>
                </c:pt>
                <c:pt idx="30">
                  <c:v>15.5</c:v>
                </c:pt>
                <c:pt idx="31">
                  <c:v>16</c:v>
                </c:pt>
                <c:pt idx="32">
                  <c:v>16.5</c:v>
                </c:pt>
                <c:pt idx="33">
                  <c:v>17</c:v>
                </c:pt>
                <c:pt idx="34">
                  <c:v>17.5</c:v>
                </c:pt>
                <c:pt idx="35">
                  <c:v>18</c:v>
                </c:pt>
                <c:pt idx="36">
                  <c:v>18.5</c:v>
                </c:pt>
                <c:pt idx="37">
                  <c:v>19</c:v>
                </c:pt>
                <c:pt idx="38">
                  <c:v>19.5</c:v>
                </c:pt>
                <c:pt idx="39">
                  <c:v>20</c:v>
                </c:pt>
                <c:pt idx="40">
                  <c:v>20.5</c:v>
                </c:pt>
                <c:pt idx="41">
                  <c:v>21</c:v>
                </c:pt>
                <c:pt idx="42">
                  <c:v>21.5</c:v>
                </c:pt>
                <c:pt idx="43">
                  <c:v>22</c:v>
                </c:pt>
                <c:pt idx="44">
                  <c:v>22.5</c:v>
                </c:pt>
                <c:pt idx="45">
                  <c:v>23</c:v>
                </c:pt>
                <c:pt idx="46">
                  <c:v>23.5</c:v>
                </c:pt>
                <c:pt idx="47">
                  <c:v>24</c:v>
                </c:pt>
                <c:pt idx="48">
                  <c:v>24.5</c:v>
                </c:pt>
                <c:pt idx="49">
                  <c:v>25</c:v>
                </c:pt>
                <c:pt idx="50">
                  <c:v>25.5</c:v>
                </c:pt>
                <c:pt idx="51">
                  <c:v>26</c:v>
                </c:pt>
                <c:pt idx="52">
                  <c:v>26.5</c:v>
                </c:pt>
                <c:pt idx="53">
                  <c:v>27</c:v>
                </c:pt>
                <c:pt idx="54">
                  <c:v>27.5</c:v>
                </c:pt>
                <c:pt idx="55">
                  <c:v>28</c:v>
                </c:pt>
                <c:pt idx="56">
                  <c:v>28.5</c:v>
                </c:pt>
                <c:pt idx="57">
                  <c:v>29</c:v>
                </c:pt>
                <c:pt idx="58">
                  <c:v>29.5</c:v>
                </c:pt>
                <c:pt idx="59">
                  <c:v>30</c:v>
                </c:pt>
                <c:pt idx="60">
                  <c:v>30.5</c:v>
                </c:pt>
                <c:pt idx="61">
                  <c:v>31</c:v>
                </c:pt>
                <c:pt idx="62">
                  <c:v>31.5</c:v>
                </c:pt>
                <c:pt idx="63">
                  <c:v>32</c:v>
                </c:pt>
                <c:pt idx="64">
                  <c:v>32.5</c:v>
                </c:pt>
                <c:pt idx="65">
                  <c:v>33</c:v>
                </c:pt>
                <c:pt idx="66">
                  <c:v>33.5</c:v>
                </c:pt>
                <c:pt idx="67">
                  <c:v>34</c:v>
                </c:pt>
                <c:pt idx="68">
                  <c:v>34.5</c:v>
                </c:pt>
                <c:pt idx="69">
                  <c:v>35</c:v>
                </c:pt>
                <c:pt idx="70">
                  <c:v>35.5</c:v>
                </c:pt>
                <c:pt idx="71">
                  <c:v>36</c:v>
                </c:pt>
                <c:pt idx="72">
                  <c:v>36.5</c:v>
                </c:pt>
                <c:pt idx="73">
                  <c:v>37</c:v>
                </c:pt>
                <c:pt idx="74">
                  <c:v>37.5</c:v>
                </c:pt>
                <c:pt idx="75">
                  <c:v>38</c:v>
                </c:pt>
                <c:pt idx="76">
                  <c:v>38.5</c:v>
                </c:pt>
                <c:pt idx="77">
                  <c:v>39</c:v>
                </c:pt>
                <c:pt idx="78">
                  <c:v>39.5</c:v>
                </c:pt>
                <c:pt idx="79">
                  <c:v>40</c:v>
                </c:pt>
                <c:pt idx="80">
                  <c:v>40.5</c:v>
                </c:pt>
                <c:pt idx="81">
                  <c:v>41</c:v>
                </c:pt>
                <c:pt idx="82">
                  <c:v>41.5</c:v>
                </c:pt>
                <c:pt idx="83">
                  <c:v>42</c:v>
                </c:pt>
                <c:pt idx="84">
                  <c:v>42.5</c:v>
                </c:pt>
                <c:pt idx="85">
                  <c:v>43</c:v>
                </c:pt>
                <c:pt idx="86">
                  <c:v>43.5</c:v>
                </c:pt>
                <c:pt idx="87">
                  <c:v>44</c:v>
                </c:pt>
                <c:pt idx="88">
                  <c:v>44.5</c:v>
                </c:pt>
                <c:pt idx="89">
                  <c:v>45</c:v>
                </c:pt>
                <c:pt idx="90">
                  <c:v>45.5</c:v>
                </c:pt>
                <c:pt idx="91">
                  <c:v>46</c:v>
                </c:pt>
                <c:pt idx="92">
                  <c:v>46.5</c:v>
                </c:pt>
                <c:pt idx="93">
                  <c:v>47</c:v>
                </c:pt>
                <c:pt idx="94">
                  <c:v>47.5</c:v>
                </c:pt>
                <c:pt idx="95">
                  <c:v>48</c:v>
                </c:pt>
                <c:pt idx="96">
                  <c:v>48.5</c:v>
                </c:pt>
                <c:pt idx="97">
                  <c:v>49</c:v>
                </c:pt>
                <c:pt idx="98">
                  <c:v>49.5</c:v>
                </c:pt>
                <c:pt idx="99">
                  <c:v>50</c:v>
                </c:pt>
                <c:pt idx="100">
                  <c:v>50.5</c:v>
                </c:pt>
                <c:pt idx="101">
                  <c:v>51</c:v>
                </c:pt>
                <c:pt idx="102">
                  <c:v>51.5</c:v>
                </c:pt>
                <c:pt idx="103">
                  <c:v>52</c:v>
                </c:pt>
                <c:pt idx="104">
                  <c:v>52.5</c:v>
                </c:pt>
                <c:pt idx="105">
                  <c:v>53</c:v>
                </c:pt>
                <c:pt idx="106">
                  <c:v>53.5</c:v>
                </c:pt>
                <c:pt idx="107">
                  <c:v>54</c:v>
                </c:pt>
                <c:pt idx="108">
                  <c:v>54.5</c:v>
                </c:pt>
                <c:pt idx="109">
                  <c:v>55</c:v>
                </c:pt>
                <c:pt idx="110">
                  <c:v>55.5</c:v>
                </c:pt>
                <c:pt idx="111">
                  <c:v>56</c:v>
                </c:pt>
                <c:pt idx="112">
                  <c:v>56.5</c:v>
                </c:pt>
                <c:pt idx="113">
                  <c:v>57</c:v>
                </c:pt>
                <c:pt idx="114">
                  <c:v>57.5</c:v>
                </c:pt>
                <c:pt idx="115">
                  <c:v>58</c:v>
                </c:pt>
                <c:pt idx="116">
                  <c:v>58.5</c:v>
                </c:pt>
                <c:pt idx="117">
                  <c:v>59</c:v>
                </c:pt>
                <c:pt idx="118">
                  <c:v>59.5</c:v>
                </c:pt>
                <c:pt idx="119">
                  <c:v>60</c:v>
                </c:pt>
                <c:pt idx="120">
                  <c:v>60.5</c:v>
                </c:pt>
                <c:pt idx="121">
                  <c:v>61</c:v>
                </c:pt>
                <c:pt idx="122">
                  <c:v>61.5</c:v>
                </c:pt>
                <c:pt idx="123">
                  <c:v>62</c:v>
                </c:pt>
                <c:pt idx="124">
                  <c:v>62.5</c:v>
                </c:pt>
                <c:pt idx="125">
                  <c:v>63</c:v>
                </c:pt>
                <c:pt idx="126">
                  <c:v>63.5</c:v>
                </c:pt>
                <c:pt idx="127">
                  <c:v>64</c:v>
                </c:pt>
                <c:pt idx="128">
                  <c:v>64.5</c:v>
                </c:pt>
                <c:pt idx="129">
                  <c:v>65</c:v>
                </c:pt>
                <c:pt idx="130">
                  <c:v>65.5</c:v>
                </c:pt>
                <c:pt idx="131">
                  <c:v>66</c:v>
                </c:pt>
                <c:pt idx="132">
                  <c:v>66.5</c:v>
                </c:pt>
                <c:pt idx="133">
                  <c:v>67</c:v>
                </c:pt>
                <c:pt idx="134">
                  <c:v>67.5</c:v>
                </c:pt>
                <c:pt idx="135">
                  <c:v>68</c:v>
                </c:pt>
                <c:pt idx="136">
                  <c:v>68.5</c:v>
                </c:pt>
                <c:pt idx="137">
                  <c:v>69</c:v>
                </c:pt>
                <c:pt idx="138">
                  <c:v>69.5</c:v>
                </c:pt>
                <c:pt idx="139">
                  <c:v>70</c:v>
                </c:pt>
                <c:pt idx="140">
                  <c:v>70.5</c:v>
                </c:pt>
                <c:pt idx="141">
                  <c:v>71</c:v>
                </c:pt>
                <c:pt idx="142">
                  <c:v>71.5</c:v>
                </c:pt>
                <c:pt idx="143">
                  <c:v>72</c:v>
                </c:pt>
                <c:pt idx="144">
                  <c:v>72.5</c:v>
                </c:pt>
                <c:pt idx="145">
                  <c:v>73</c:v>
                </c:pt>
                <c:pt idx="146">
                  <c:v>73.5</c:v>
                </c:pt>
                <c:pt idx="147">
                  <c:v>74</c:v>
                </c:pt>
                <c:pt idx="148">
                  <c:v>74.5</c:v>
                </c:pt>
                <c:pt idx="149">
                  <c:v>75</c:v>
                </c:pt>
                <c:pt idx="150">
                  <c:v>75.5</c:v>
                </c:pt>
                <c:pt idx="151">
                  <c:v>76</c:v>
                </c:pt>
                <c:pt idx="152">
                  <c:v>76.5</c:v>
                </c:pt>
                <c:pt idx="153">
                  <c:v>77</c:v>
                </c:pt>
                <c:pt idx="154">
                  <c:v>77.5</c:v>
                </c:pt>
                <c:pt idx="155">
                  <c:v>78</c:v>
                </c:pt>
                <c:pt idx="156">
                  <c:v>78.5</c:v>
                </c:pt>
                <c:pt idx="157">
                  <c:v>79</c:v>
                </c:pt>
                <c:pt idx="158">
                  <c:v>79.5</c:v>
                </c:pt>
                <c:pt idx="159">
                  <c:v>80</c:v>
                </c:pt>
                <c:pt idx="160">
                  <c:v>80.5</c:v>
                </c:pt>
                <c:pt idx="161">
                  <c:v>81</c:v>
                </c:pt>
                <c:pt idx="162">
                  <c:v>81.5</c:v>
                </c:pt>
                <c:pt idx="163">
                  <c:v>82</c:v>
                </c:pt>
                <c:pt idx="164">
                  <c:v>82.5</c:v>
                </c:pt>
                <c:pt idx="165">
                  <c:v>83</c:v>
                </c:pt>
                <c:pt idx="166">
                  <c:v>83.5</c:v>
                </c:pt>
                <c:pt idx="167">
                  <c:v>84</c:v>
                </c:pt>
                <c:pt idx="168">
                  <c:v>84.5</c:v>
                </c:pt>
                <c:pt idx="169">
                  <c:v>85</c:v>
                </c:pt>
                <c:pt idx="170">
                  <c:v>85.5</c:v>
                </c:pt>
                <c:pt idx="171">
                  <c:v>86</c:v>
                </c:pt>
                <c:pt idx="172">
                  <c:v>86.5</c:v>
                </c:pt>
                <c:pt idx="173">
                  <c:v>87</c:v>
                </c:pt>
                <c:pt idx="174">
                  <c:v>87.5</c:v>
                </c:pt>
                <c:pt idx="175">
                  <c:v>88</c:v>
                </c:pt>
                <c:pt idx="176">
                  <c:v>88.5</c:v>
                </c:pt>
                <c:pt idx="177">
                  <c:v>89</c:v>
                </c:pt>
                <c:pt idx="178">
                  <c:v>89.5</c:v>
                </c:pt>
                <c:pt idx="179">
                  <c:v>90</c:v>
                </c:pt>
                <c:pt idx="180">
                  <c:v>90.5</c:v>
                </c:pt>
                <c:pt idx="181">
                  <c:v>91</c:v>
                </c:pt>
                <c:pt idx="182">
                  <c:v>91.5</c:v>
                </c:pt>
                <c:pt idx="183">
                  <c:v>92</c:v>
                </c:pt>
                <c:pt idx="184">
                  <c:v>92.5</c:v>
                </c:pt>
                <c:pt idx="185">
                  <c:v>93</c:v>
                </c:pt>
                <c:pt idx="186">
                  <c:v>93.5</c:v>
                </c:pt>
                <c:pt idx="187">
                  <c:v>94</c:v>
                </c:pt>
                <c:pt idx="188">
                  <c:v>94.5</c:v>
                </c:pt>
                <c:pt idx="189">
                  <c:v>95</c:v>
                </c:pt>
                <c:pt idx="190">
                  <c:v>95.5</c:v>
                </c:pt>
                <c:pt idx="191">
                  <c:v>96</c:v>
                </c:pt>
                <c:pt idx="192">
                  <c:v>96.5</c:v>
                </c:pt>
                <c:pt idx="193">
                  <c:v>97</c:v>
                </c:pt>
                <c:pt idx="194">
                  <c:v>97.5</c:v>
                </c:pt>
                <c:pt idx="195">
                  <c:v>98</c:v>
                </c:pt>
                <c:pt idx="196">
                  <c:v>98.5</c:v>
                </c:pt>
                <c:pt idx="197">
                  <c:v>99</c:v>
                </c:pt>
                <c:pt idx="198">
                  <c:v>99.5</c:v>
                </c:pt>
                <c:pt idx="199">
                  <c:v>100</c:v>
                </c:pt>
                <c:pt idx="200">
                  <c:v>100.5</c:v>
                </c:pt>
                <c:pt idx="201">
                  <c:v>101</c:v>
                </c:pt>
                <c:pt idx="202">
                  <c:v>101.5</c:v>
                </c:pt>
                <c:pt idx="203">
                  <c:v>102</c:v>
                </c:pt>
                <c:pt idx="204">
                  <c:v>102.5</c:v>
                </c:pt>
                <c:pt idx="205">
                  <c:v>103</c:v>
                </c:pt>
                <c:pt idx="206">
                  <c:v>103.5</c:v>
                </c:pt>
                <c:pt idx="207">
                  <c:v>104</c:v>
                </c:pt>
                <c:pt idx="208">
                  <c:v>104.5</c:v>
                </c:pt>
                <c:pt idx="209">
                  <c:v>105</c:v>
                </c:pt>
                <c:pt idx="210">
                  <c:v>105.5</c:v>
                </c:pt>
                <c:pt idx="211">
                  <c:v>106</c:v>
                </c:pt>
                <c:pt idx="212">
                  <c:v>106.5</c:v>
                </c:pt>
                <c:pt idx="213">
                  <c:v>107</c:v>
                </c:pt>
                <c:pt idx="214">
                  <c:v>107.5</c:v>
                </c:pt>
                <c:pt idx="215">
                  <c:v>108</c:v>
                </c:pt>
                <c:pt idx="216">
                  <c:v>108.5</c:v>
                </c:pt>
                <c:pt idx="217">
                  <c:v>109</c:v>
                </c:pt>
                <c:pt idx="218">
                  <c:v>109.5</c:v>
                </c:pt>
                <c:pt idx="219">
                  <c:v>110</c:v>
                </c:pt>
                <c:pt idx="220">
                  <c:v>110.5</c:v>
                </c:pt>
                <c:pt idx="221">
                  <c:v>111</c:v>
                </c:pt>
                <c:pt idx="222">
                  <c:v>111.5</c:v>
                </c:pt>
                <c:pt idx="223">
                  <c:v>112</c:v>
                </c:pt>
                <c:pt idx="224">
                  <c:v>112.5</c:v>
                </c:pt>
                <c:pt idx="225">
                  <c:v>113</c:v>
                </c:pt>
                <c:pt idx="226">
                  <c:v>113.5</c:v>
                </c:pt>
                <c:pt idx="227">
                  <c:v>114</c:v>
                </c:pt>
                <c:pt idx="228">
                  <c:v>114.5</c:v>
                </c:pt>
                <c:pt idx="229">
                  <c:v>115</c:v>
                </c:pt>
                <c:pt idx="230">
                  <c:v>115.5</c:v>
                </c:pt>
                <c:pt idx="231">
                  <c:v>116</c:v>
                </c:pt>
                <c:pt idx="232">
                  <c:v>116.5</c:v>
                </c:pt>
                <c:pt idx="233">
                  <c:v>117</c:v>
                </c:pt>
                <c:pt idx="234">
                  <c:v>117.5</c:v>
                </c:pt>
                <c:pt idx="235">
                  <c:v>118</c:v>
                </c:pt>
                <c:pt idx="236">
                  <c:v>118.5</c:v>
                </c:pt>
                <c:pt idx="237">
                  <c:v>119</c:v>
                </c:pt>
                <c:pt idx="238">
                  <c:v>119.5</c:v>
                </c:pt>
                <c:pt idx="239">
                  <c:v>120</c:v>
                </c:pt>
                <c:pt idx="240">
                  <c:v>120.5</c:v>
                </c:pt>
                <c:pt idx="241">
                  <c:v>121</c:v>
                </c:pt>
                <c:pt idx="242">
                  <c:v>121.5</c:v>
                </c:pt>
                <c:pt idx="243">
                  <c:v>122</c:v>
                </c:pt>
                <c:pt idx="244">
                  <c:v>122.5</c:v>
                </c:pt>
                <c:pt idx="245">
                  <c:v>123</c:v>
                </c:pt>
                <c:pt idx="246">
                  <c:v>123.5</c:v>
                </c:pt>
                <c:pt idx="247">
                  <c:v>124</c:v>
                </c:pt>
                <c:pt idx="248">
                  <c:v>124.5</c:v>
                </c:pt>
                <c:pt idx="249">
                  <c:v>125</c:v>
                </c:pt>
                <c:pt idx="250">
                  <c:v>125.5</c:v>
                </c:pt>
                <c:pt idx="251">
                  <c:v>126</c:v>
                </c:pt>
                <c:pt idx="252">
                  <c:v>126.5</c:v>
                </c:pt>
                <c:pt idx="253">
                  <c:v>127</c:v>
                </c:pt>
                <c:pt idx="254">
                  <c:v>127.5</c:v>
                </c:pt>
                <c:pt idx="255">
                  <c:v>128</c:v>
                </c:pt>
                <c:pt idx="256">
                  <c:v>128.5</c:v>
                </c:pt>
                <c:pt idx="257">
                  <c:v>129</c:v>
                </c:pt>
                <c:pt idx="258">
                  <c:v>129.5</c:v>
                </c:pt>
                <c:pt idx="259">
                  <c:v>130</c:v>
                </c:pt>
                <c:pt idx="260">
                  <c:v>130.5</c:v>
                </c:pt>
                <c:pt idx="261">
                  <c:v>131</c:v>
                </c:pt>
                <c:pt idx="262">
                  <c:v>131.5</c:v>
                </c:pt>
                <c:pt idx="263">
                  <c:v>132</c:v>
                </c:pt>
                <c:pt idx="264">
                  <c:v>132.5</c:v>
                </c:pt>
                <c:pt idx="265">
                  <c:v>133</c:v>
                </c:pt>
                <c:pt idx="266">
                  <c:v>133.5</c:v>
                </c:pt>
                <c:pt idx="267">
                  <c:v>134</c:v>
                </c:pt>
                <c:pt idx="268">
                  <c:v>134.5</c:v>
                </c:pt>
                <c:pt idx="269">
                  <c:v>135</c:v>
                </c:pt>
                <c:pt idx="270">
                  <c:v>135.5</c:v>
                </c:pt>
                <c:pt idx="271">
                  <c:v>136</c:v>
                </c:pt>
                <c:pt idx="272">
                  <c:v>136.5</c:v>
                </c:pt>
                <c:pt idx="273">
                  <c:v>137</c:v>
                </c:pt>
                <c:pt idx="274">
                  <c:v>137.5</c:v>
                </c:pt>
                <c:pt idx="275">
                  <c:v>138</c:v>
                </c:pt>
                <c:pt idx="276">
                  <c:v>138.5</c:v>
                </c:pt>
                <c:pt idx="277">
                  <c:v>139</c:v>
                </c:pt>
                <c:pt idx="278">
                  <c:v>139.5</c:v>
                </c:pt>
                <c:pt idx="279">
                  <c:v>140</c:v>
                </c:pt>
                <c:pt idx="280">
                  <c:v>140.5</c:v>
                </c:pt>
                <c:pt idx="281">
                  <c:v>141</c:v>
                </c:pt>
                <c:pt idx="282">
                  <c:v>141.5</c:v>
                </c:pt>
                <c:pt idx="283">
                  <c:v>142</c:v>
                </c:pt>
                <c:pt idx="284">
                  <c:v>142.5</c:v>
                </c:pt>
                <c:pt idx="285">
                  <c:v>143</c:v>
                </c:pt>
                <c:pt idx="286">
                  <c:v>143.5</c:v>
                </c:pt>
                <c:pt idx="287">
                  <c:v>144</c:v>
                </c:pt>
                <c:pt idx="288">
                  <c:v>144.5</c:v>
                </c:pt>
                <c:pt idx="289">
                  <c:v>145</c:v>
                </c:pt>
                <c:pt idx="290">
                  <c:v>145.5</c:v>
                </c:pt>
                <c:pt idx="291">
                  <c:v>146</c:v>
                </c:pt>
                <c:pt idx="292">
                  <c:v>146.5</c:v>
                </c:pt>
                <c:pt idx="293">
                  <c:v>147</c:v>
                </c:pt>
                <c:pt idx="294">
                  <c:v>147.5</c:v>
                </c:pt>
                <c:pt idx="295">
                  <c:v>148</c:v>
                </c:pt>
                <c:pt idx="296">
                  <c:v>148.5</c:v>
                </c:pt>
                <c:pt idx="297">
                  <c:v>149</c:v>
                </c:pt>
                <c:pt idx="298">
                  <c:v>149.5</c:v>
                </c:pt>
                <c:pt idx="299">
                  <c:v>150</c:v>
                </c:pt>
                <c:pt idx="300">
                  <c:v>150.5</c:v>
                </c:pt>
                <c:pt idx="301">
                  <c:v>151</c:v>
                </c:pt>
                <c:pt idx="302">
                  <c:v>151.5</c:v>
                </c:pt>
                <c:pt idx="303">
                  <c:v>152</c:v>
                </c:pt>
                <c:pt idx="304">
                  <c:v>152.5</c:v>
                </c:pt>
                <c:pt idx="305">
                  <c:v>153</c:v>
                </c:pt>
                <c:pt idx="306">
                  <c:v>153.5</c:v>
                </c:pt>
                <c:pt idx="307">
                  <c:v>154</c:v>
                </c:pt>
                <c:pt idx="308">
                  <c:v>154.5</c:v>
                </c:pt>
                <c:pt idx="309">
                  <c:v>155</c:v>
                </c:pt>
                <c:pt idx="310">
                  <c:v>155.5</c:v>
                </c:pt>
                <c:pt idx="311">
                  <c:v>156</c:v>
                </c:pt>
                <c:pt idx="312">
                  <c:v>156.5</c:v>
                </c:pt>
                <c:pt idx="313">
                  <c:v>157</c:v>
                </c:pt>
                <c:pt idx="314">
                  <c:v>157.5</c:v>
                </c:pt>
                <c:pt idx="315">
                  <c:v>158</c:v>
                </c:pt>
                <c:pt idx="316">
                  <c:v>158.5</c:v>
                </c:pt>
                <c:pt idx="317">
                  <c:v>159</c:v>
                </c:pt>
                <c:pt idx="318">
                  <c:v>159.5</c:v>
                </c:pt>
                <c:pt idx="319">
                  <c:v>160</c:v>
                </c:pt>
                <c:pt idx="320">
                  <c:v>160.5</c:v>
                </c:pt>
                <c:pt idx="321">
                  <c:v>161</c:v>
                </c:pt>
                <c:pt idx="322">
                  <c:v>161.5</c:v>
                </c:pt>
                <c:pt idx="323">
                  <c:v>162</c:v>
                </c:pt>
                <c:pt idx="324">
                  <c:v>162.5</c:v>
                </c:pt>
                <c:pt idx="325">
                  <c:v>163</c:v>
                </c:pt>
                <c:pt idx="326">
                  <c:v>163.5</c:v>
                </c:pt>
                <c:pt idx="327">
                  <c:v>164</c:v>
                </c:pt>
                <c:pt idx="328">
                  <c:v>164.5</c:v>
                </c:pt>
                <c:pt idx="329">
                  <c:v>165</c:v>
                </c:pt>
                <c:pt idx="330">
                  <c:v>165.5</c:v>
                </c:pt>
                <c:pt idx="331">
                  <c:v>166</c:v>
                </c:pt>
                <c:pt idx="332">
                  <c:v>166.5</c:v>
                </c:pt>
                <c:pt idx="333">
                  <c:v>167</c:v>
                </c:pt>
                <c:pt idx="334">
                  <c:v>167.5</c:v>
                </c:pt>
                <c:pt idx="335">
                  <c:v>168</c:v>
                </c:pt>
                <c:pt idx="336">
                  <c:v>168.5</c:v>
                </c:pt>
                <c:pt idx="337">
                  <c:v>169</c:v>
                </c:pt>
                <c:pt idx="338">
                  <c:v>169.5</c:v>
                </c:pt>
                <c:pt idx="339">
                  <c:v>170</c:v>
                </c:pt>
                <c:pt idx="340">
                  <c:v>170.5</c:v>
                </c:pt>
                <c:pt idx="341">
                  <c:v>171</c:v>
                </c:pt>
                <c:pt idx="342">
                  <c:v>171.5</c:v>
                </c:pt>
                <c:pt idx="343">
                  <c:v>172</c:v>
                </c:pt>
                <c:pt idx="344">
                  <c:v>172.5</c:v>
                </c:pt>
                <c:pt idx="345">
                  <c:v>173</c:v>
                </c:pt>
                <c:pt idx="346">
                  <c:v>173.5</c:v>
                </c:pt>
                <c:pt idx="347">
                  <c:v>174</c:v>
                </c:pt>
                <c:pt idx="348">
                  <c:v>174.5</c:v>
                </c:pt>
                <c:pt idx="349">
                  <c:v>175</c:v>
                </c:pt>
                <c:pt idx="350">
                  <c:v>175.5</c:v>
                </c:pt>
                <c:pt idx="351">
                  <c:v>176</c:v>
                </c:pt>
                <c:pt idx="352">
                  <c:v>176.5</c:v>
                </c:pt>
                <c:pt idx="353">
                  <c:v>177</c:v>
                </c:pt>
                <c:pt idx="354">
                  <c:v>177.5</c:v>
                </c:pt>
                <c:pt idx="355">
                  <c:v>178</c:v>
                </c:pt>
                <c:pt idx="356">
                  <c:v>178.5</c:v>
                </c:pt>
                <c:pt idx="357">
                  <c:v>179</c:v>
                </c:pt>
                <c:pt idx="358">
                  <c:v>179.5</c:v>
                </c:pt>
                <c:pt idx="359">
                  <c:v>180</c:v>
                </c:pt>
                <c:pt idx="360">
                  <c:v>180.5</c:v>
                </c:pt>
                <c:pt idx="361">
                  <c:v>181</c:v>
                </c:pt>
                <c:pt idx="362">
                  <c:v>181.5</c:v>
                </c:pt>
                <c:pt idx="363">
                  <c:v>182</c:v>
                </c:pt>
                <c:pt idx="364">
                  <c:v>182.5</c:v>
                </c:pt>
                <c:pt idx="365">
                  <c:v>183</c:v>
                </c:pt>
                <c:pt idx="366">
                  <c:v>183.5</c:v>
                </c:pt>
                <c:pt idx="367">
                  <c:v>184</c:v>
                </c:pt>
                <c:pt idx="368">
                  <c:v>184.5</c:v>
                </c:pt>
                <c:pt idx="369">
                  <c:v>185</c:v>
                </c:pt>
                <c:pt idx="370">
                  <c:v>185.5</c:v>
                </c:pt>
                <c:pt idx="371">
                  <c:v>186</c:v>
                </c:pt>
                <c:pt idx="372">
                  <c:v>186.5</c:v>
                </c:pt>
                <c:pt idx="373">
                  <c:v>187</c:v>
                </c:pt>
                <c:pt idx="374">
                  <c:v>187.5</c:v>
                </c:pt>
                <c:pt idx="375">
                  <c:v>188</c:v>
                </c:pt>
                <c:pt idx="376">
                  <c:v>188.5</c:v>
                </c:pt>
                <c:pt idx="377">
                  <c:v>189</c:v>
                </c:pt>
                <c:pt idx="378">
                  <c:v>189.5</c:v>
                </c:pt>
                <c:pt idx="379">
                  <c:v>190</c:v>
                </c:pt>
                <c:pt idx="380">
                  <c:v>190.5</c:v>
                </c:pt>
                <c:pt idx="381">
                  <c:v>191</c:v>
                </c:pt>
                <c:pt idx="382">
                  <c:v>191.5</c:v>
                </c:pt>
                <c:pt idx="383">
                  <c:v>192</c:v>
                </c:pt>
                <c:pt idx="384">
                  <c:v>192.5</c:v>
                </c:pt>
                <c:pt idx="385">
                  <c:v>193</c:v>
                </c:pt>
                <c:pt idx="386">
                  <c:v>193.5</c:v>
                </c:pt>
                <c:pt idx="387">
                  <c:v>194</c:v>
                </c:pt>
                <c:pt idx="388">
                  <c:v>194.5</c:v>
                </c:pt>
                <c:pt idx="389">
                  <c:v>195</c:v>
                </c:pt>
                <c:pt idx="390">
                  <c:v>195.5</c:v>
                </c:pt>
                <c:pt idx="391">
                  <c:v>196</c:v>
                </c:pt>
                <c:pt idx="392">
                  <c:v>196.5</c:v>
                </c:pt>
                <c:pt idx="393">
                  <c:v>197</c:v>
                </c:pt>
                <c:pt idx="394">
                  <c:v>197.5</c:v>
                </c:pt>
                <c:pt idx="395">
                  <c:v>198</c:v>
                </c:pt>
                <c:pt idx="396">
                  <c:v>198.5</c:v>
                </c:pt>
                <c:pt idx="397">
                  <c:v>199</c:v>
                </c:pt>
                <c:pt idx="398">
                  <c:v>199.5</c:v>
                </c:pt>
                <c:pt idx="399">
                  <c:v>200</c:v>
                </c:pt>
                <c:pt idx="400">
                  <c:v>200.5</c:v>
                </c:pt>
                <c:pt idx="401">
                  <c:v>201</c:v>
                </c:pt>
                <c:pt idx="402">
                  <c:v>201.5</c:v>
                </c:pt>
                <c:pt idx="403">
                  <c:v>202</c:v>
                </c:pt>
                <c:pt idx="404">
                  <c:v>202.5</c:v>
                </c:pt>
                <c:pt idx="405">
                  <c:v>203</c:v>
                </c:pt>
                <c:pt idx="406">
                  <c:v>203.5</c:v>
                </c:pt>
                <c:pt idx="407">
                  <c:v>204</c:v>
                </c:pt>
                <c:pt idx="408">
                  <c:v>204.5</c:v>
                </c:pt>
                <c:pt idx="409">
                  <c:v>205</c:v>
                </c:pt>
                <c:pt idx="410">
                  <c:v>205.5</c:v>
                </c:pt>
                <c:pt idx="411">
                  <c:v>206</c:v>
                </c:pt>
                <c:pt idx="412">
                  <c:v>206.5</c:v>
                </c:pt>
                <c:pt idx="413">
                  <c:v>207</c:v>
                </c:pt>
                <c:pt idx="414">
                  <c:v>207.5</c:v>
                </c:pt>
                <c:pt idx="415">
                  <c:v>208</c:v>
                </c:pt>
                <c:pt idx="416">
                  <c:v>208.5</c:v>
                </c:pt>
                <c:pt idx="417">
                  <c:v>209</c:v>
                </c:pt>
                <c:pt idx="418">
                  <c:v>209.5</c:v>
                </c:pt>
                <c:pt idx="419">
                  <c:v>210</c:v>
                </c:pt>
                <c:pt idx="420">
                  <c:v>210.5</c:v>
                </c:pt>
                <c:pt idx="421">
                  <c:v>211</c:v>
                </c:pt>
                <c:pt idx="422">
                  <c:v>211.5</c:v>
                </c:pt>
                <c:pt idx="423">
                  <c:v>212</c:v>
                </c:pt>
                <c:pt idx="424">
                  <c:v>212.5</c:v>
                </c:pt>
                <c:pt idx="425">
                  <c:v>213</c:v>
                </c:pt>
                <c:pt idx="426">
                  <c:v>213.5</c:v>
                </c:pt>
                <c:pt idx="427">
                  <c:v>214</c:v>
                </c:pt>
                <c:pt idx="428">
                  <c:v>214.5</c:v>
                </c:pt>
                <c:pt idx="429">
                  <c:v>215</c:v>
                </c:pt>
                <c:pt idx="430">
                  <c:v>215.5</c:v>
                </c:pt>
                <c:pt idx="431">
                  <c:v>216</c:v>
                </c:pt>
                <c:pt idx="432">
                  <c:v>216.5</c:v>
                </c:pt>
                <c:pt idx="433">
                  <c:v>217</c:v>
                </c:pt>
                <c:pt idx="434">
                  <c:v>217.5</c:v>
                </c:pt>
                <c:pt idx="435">
                  <c:v>218</c:v>
                </c:pt>
                <c:pt idx="436">
                  <c:v>218.5</c:v>
                </c:pt>
                <c:pt idx="437">
                  <c:v>219</c:v>
                </c:pt>
                <c:pt idx="438">
                  <c:v>219.5</c:v>
                </c:pt>
                <c:pt idx="439">
                  <c:v>220</c:v>
                </c:pt>
                <c:pt idx="440">
                  <c:v>220.5</c:v>
                </c:pt>
                <c:pt idx="441">
                  <c:v>221</c:v>
                </c:pt>
                <c:pt idx="442">
                  <c:v>221.5</c:v>
                </c:pt>
                <c:pt idx="443">
                  <c:v>222</c:v>
                </c:pt>
                <c:pt idx="444">
                  <c:v>222.5</c:v>
                </c:pt>
                <c:pt idx="445">
                  <c:v>223</c:v>
                </c:pt>
                <c:pt idx="446">
                  <c:v>223.5</c:v>
                </c:pt>
                <c:pt idx="447">
                  <c:v>224</c:v>
                </c:pt>
                <c:pt idx="448">
                  <c:v>224.5</c:v>
                </c:pt>
                <c:pt idx="449">
                  <c:v>225</c:v>
                </c:pt>
                <c:pt idx="450">
                  <c:v>225.5</c:v>
                </c:pt>
                <c:pt idx="451">
                  <c:v>226</c:v>
                </c:pt>
                <c:pt idx="452">
                  <c:v>226.5</c:v>
                </c:pt>
                <c:pt idx="453">
                  <c:v>227</c:v>
                </c:pt>
                <c:pt idx="454">
                  <c:v>227.5</c:v>
                </c:pt>
                <c:pt idx="455">
                  <c:v>228</c:v>
                </c:pt>
                <c:pt idx="456">
                  <c:v>228.5</c:v>
                </c:pt>
                <c:pt idx="457">
                  <c:v>229</c:v>
                </c:pt>
                <c:pt idx="458">
                  <c:v>229.5</c:v>
                </c:pt>
                <c:pt idx="459">
                  <c:v>230</c:v>
                </c:pt>
                <c:pt idx="460">
                  <c:v>230.5</c:v>
                </c:pt>
                <c:pt idx="461">
                  <c:v>231</c:v>
                </c:pt>
                <c:pt idx="462">
                  <c:v>231.5</c:v>
                </c:pt>
                <c:pt idx="463">
                  <c:v>232</c:v>
                </c:pt>
                <c:pt idx="464">
                  <c:v>232.5</c:v>
                </c:pt>
                <c:pt idx="465">
                  <c:v>233</c:v>
                </c:pt>
                <c:pt idx="466">
                  <c:v>233.5</c:v>
                </c:pt>
                <c:pt idx="467">
                  <c:v>234</c:v>
                </c:pt>
                <c:pt idx="468">
                  <c:v>234.5</c:v>
                </c:pt>
                <c:pt idx="469">
                  <c:v>235</c:v>
                </c:pt>
                <c:pt idx="470">
                  <c:v>235.5</c:v>
                </c:pt>
                <c:pt idx="471">
                  <c:v>236</c:v>
                </c:pt>
                <c:pt idx="472">
                  <c:v>236.5</c:v>
                </c:pt>
                <c:pt idx="473">
                  <c:v>237</c:v>
                </c:pt>
                <c:pt idx="474">
                  <c:v>237.5</c:v>
                </c:pt>
                <c:pt idx="475">
                  <c:v>238</c:v>
                </c:pt>
                <c:pt idx="476">
                  <c:v>238.5</c:v>
                </c:pt>
                <c:pt idx="477">
                  <c:v>239</c:v>
                </c:pt>
                <c:pt idx="478">
                  <c:v>239.5</c:v>
                </c:pt>
                <c:pt idx="479">
                  <c:v>240</c:v>
                </c:pt>
                <c:pt idx="480">
                  <c:v>240.5</c:v>
                </c:pt>
                <c:pt idx="481">
                  <c:v>241</c:v>
                </c:pt>
                <c:pt idx="482">
                  <c:v>241.5</c:v>
                </c:pt>
                <c:pt idx="483">
                  <c:v>242</c:v>
                </c:pt>
                <c:pt idx="484">
                  <c:v>242.5</c:v>
                </c:pt>
                <c:pt idx="485">
                  <c:v>243</c:v>
                </c:pt>
                <c:pt idx="486">
                  <c:v>243.5</c:v>
                </c:pt>
                <c:pt idx="487">
                  <c:v>244</c:v>
                </c:pt>
                <c:pt idx="488">
                  <c:v>244.5</c:v>
                </c:pt>
                <c:pt idx="489">
                  <c:v>245</c:v>
                </c:pt>
                <c:pt idx="490">
                  <c:v>245.5</c:v>
                </c:pt>
                <c:pt idx="491">
                  <c:v>246</c:v>
                </c:pt>
                <c:pt idx="492">
                  <c:v>246.5</c:v>
                </c:pt>
                <c:pt idx="493">
                  <c:v>247</c:v>
                </c:pt>
                <c:pt idx="494">
                  <c:v>247.5</c:v>
                </c:pt>
                <c:pt idx="495">
                  <c:v>248</c:v>
                </c:pt>
                <c:pt idx="496">
                  <c:v>248.5</c:v>
                </c:pt>
                <c:pt idx="497">
                  <c:v>249</c:v>
                </c:pt>
                <c:pt idx="498">
                  <c:v>249.5</c:v>
                </c:pt>
                <c:pt idx="499">
                  <c:v>250</c:v>
                </c:pt>
                <c:pt idx="500">
                  <c:v>250.5</c:v>
                </c:pt>
                <c:pt idx="501">
                  <c:v>251</c:v>
                </c:pt>
                <c:pt idx="502">
                  <c:v>251.5</c:v>
                </c:pt>
                <c:pt idx="503">
                  <c:v>252</c:v>
                </c:pt>
                <c:pt idx="504">
                  <c:v>252.5</c:v>
                </c:pt>
                <c:pt idx="505">
                  <c:v>253</c:v>
                </c:pt>
                <c:pt idx="506">
                  <c:v>253.5</c:v>
                </c:pt>
                <c:pt idx="507">
                  <c:v>254</c:v>
                </c:pt>
                <c:pt idx="508">
                  <c:v>254.5</c:v>
                </c:pt>
                <c:pt idx="509">
                  <c:v>255</c:v>
                </c:pt>
                <c:pt idx="510">
                  <c:v>255.5</c:v>
                </c:pt>
                <c:pt idx="511">
                  <c:v>256</c:v>
                </c:pt>
                <c:pt idx="512">
                  <c:v>256.5</c:v>
                </c:pt>
                <c:pt idx="513">
                  <c:v>257</c:v>
                </c:pt>
                <c:pt idx="514">
                  <c:v>257.5</c:v>
                </c:pt>
                <c:pt idx="515">
                  <c:v>258</c:v>
                </c:pt>
                <c:pt idx="516">
                  <c:v>258.5</c:v>
                </c:pt>
                <c:pt idx="517">
                  <c:v>259</c:v>
                </c:pt>
                <c:pt idx="518">
                  <c:v>259.5</c:v>
                </c:pt>
                <c:pt idx="519">
                  <c:v>260</c:v>
                </c:pt>
                <c:pt idx="520">
                  <c:v>260.5</c:v>
                </c:pt>
                <c:pt idx="521">
                  <c:v>261</c:v>
                </c:pt>
                <c:pt idx="522">
                  <c:v>261.5</c:v>
                </c:pt>
                <c:pt idx="523">
                  <c:v>262</c:v>
                </c:pt>
                <c:pt idx="524">
                  <c:v>262.5</c:v>
                </c:pt>
                <c:pt idx="525">
                  <c:v>263</c:v>
                </c:pt>
                <c:pt idx="526">
                  <c:v>263.5</c:v>
                </c:pt>
                <c:pt idx="527">
                  <c:v>264</c:v>
                </c:pt>
                <c:pt idx="528">
                  <c:v>264.5</c:v>
                </c:pt>
                <c:pt idx="529">
                  <c:v>265</c:v>
                </c:pt>
                <c:pt idx="530">
                  <c:v>265.5</c:v>
                </c:pt>
                <c:pt idx="531">
                  <c:v>266</c:v>
                </c:pt>
                <c:pt idx="532">
                  <c:v>266.5</c:v>
                </c:pt>
                <c:pt idx="533">
                  <c:v>267</c:v>
                </c:pt>
                <c:pt idx="534">
                  <c:v>267.5</c:v>
                </c:pt>
                <c:pt idx="535">
                  <c:v>268</c:v>
                </c:pt>
                <c:pt idx="536">
                  <c:v>268.5</c:v>
                </c:pt>
                <c:pt idx="537">
                  <c:v>269</c:v>
                </c:pt>
                <c:pt idx="538">
                  <c:v>269.5</c:v>
                </c:pt>
                <c:pt idx="539">
                  <c:v>270</c:v>
                </c:pt>
                <c:pt idx="540">
                  <c:v>270.5</c:v>
                </c:pt>
                <c:pt idx="541">
                  <c:v>271</c:v>
                </c:pt>
                <c:pt idx="542">
                  <c:v>271.5</c:v>
                </c:pt>
                <c:pt idx="543">
                  <c:v>272</c:v>
                </c:pt>
                <c:pt idx="544">
                  <c:v>272.5</c:v>
                </c:pt>
                <c:pt idx="545">
                  <c:v>273</c:v>
                </c:pt>
                <c:pt idx="546">
                  <c:v>273.5</c:v>
                </c:pt>
                <c:pt idx="547">
                  <c:v>274</c:v>
                </c:pt>
                <c:pt idx="548">
                  <c:v>274.5</c:v>
                </c:pt>
                <c:pt idx="549">
                  <c:v>275</c:v>
                </c:pt>
                <c:pt idx="550">
                  <c:v>275.5</c:v>
                </c:pt>
                <c:pt idx="551">
                  <c:v>276</c:v>
                </c:pt>
                <c:pt idx="552">
                  <c:v>276.5</c:v>
                </c:pt>
                <c:pt idx="553">
                  <c:v>277</c:v>
                </c:pt>
                <c:pt idx="554">
                  <c:v>277.5</c:v>
                </c:pt>
                <c:pt idx="555">
                  <c:v>278</c:v>
                </c:pt>
                <c:pt idx="556">
                  <c:v>278.5</c:v>
                </c:pt>
                <c:pt idx="557">
                  <c:v>279</c:v>
                </c:pt>
                <c:pt idx="558">
                  <c:v>279.5</c:v>
                </c:pt>
                <c:pt idx="559">
                  <c:v>280</c:v>
                </c:pt>
                <c:pt idx="560">
                  <c:v>280.5</c:v>
                </c:pt>
                <c:pt idx="561">
                  <c:v>281</c:v>
                </c:pt>
                <c:pt idx="562">
                  <c:v>281.5</c:v>
                </c:pt>
                <c:pt idx="563">
                  <c:v>282</c:v>
                </c:pt>
                <c:pt idx="564">
                  <c:v>282.5</c:v>
                </c:pt>
                <c:pt idx="565">
                  <c:v>283</c:v>
                </c:pt>
                <c:pt idx="566">
                  <c:v>283.5</c:v>
                </c:pt>
                <c:pt idx="567">
                  <c:v>284</c:v>
                </c:pt>
                <c:pt idx="568">
                  <c:v>284.5</c:v>
                </c:pt>
                <c:pt idx="569">
                  <c:v>285</c:v>
                </c:pt>
                <c:pt idx="570">
                  <c:v>285.5</c:v>
                </c:pt>
                <c:pt idx="571">
                  <c:v>286</c:v>
                </c:pt>
                <c:pt idx="572">
                  <c:v>286.5</c:v>
                </c:pt>
                <c:pt idx="573">
                  <c:v>287</c:v>
                </c:pt>
                <c:pt idx="574">
                  <c:v>287.5</c:v>
                </c:pt>
                <c:pt idx="575">
                  <c:v>288</c:v>
                </c:pt>
                <c:pt idx="576">
                  <c:v>288.5</c:v>
                </c:pt>
                <c:pt idx="577">
                  <c:v>289</c:v>
                </c:pt>
                <c:pt idx="578">
                  <c:v>289.5</c:v>
                </c:pt>
                <c:pt idx="579">
                  <c:v>290</c:v>
                </c:pt>
                <c:pt idx="580">
                  <c:v>290.5</c:v>
                </c:pt>
                <c:pt idx="581">
                  <c:v>291</c:v>
                </c:pt>
                <c:pt idx="582">
                  <c:v>291.5</c:v>
                </c:pt>
                <c:pt idx="583">
                  <c:v>292</c:v>
                </c:pt>
                <c:pt idx="584">
                  <c:v>292.5</c:v>
                </c:pt>
                <c:pt idx="585">
                  <c:v>293</c:v>
                </c:pt>
                <c:pt idx="586">
                  <c:v>293.5</c:v>
                </c:pt>
                <c:pt idx="587">
                  <c:v>294</c:v>
                </c:pt>
                <c:pt idx="588">
                  <c:v>294.5</c:v>
                </c:pt>
                <c:pt idx="589">
                  <c:v>295</c:v>
                </c:pt>
                <c:pt idx="590">
                  <c:v>295.5</c:v>
                </c:pt>
                <c:pt idx="591">
                  <c:v>296</c:v>
                </c:pt>
                <c:pt idx="592">
                  <c:v>296.5</c:v>
                </c:pt>
                <c:pt idx="593">
                  <c:v>297</c:v>
                </c:pt>
                <c:pt idx="594">
                  <c:v>297.5</c:v>
                </c:pt>
                <c:pt idx="595">
                  <c:v>298</c:v>
                </c:pt>
                <c:pt idx="596">
                  <c:v>298.5</c:v>
                </c:pt>
                <c:pt idx="597">
                  <c:v>299</c:v>
                </c:pt>
                <c:pt idx="598">
                  <c:v>299.5</c:v>
                </c:pt>
                <c:pt idx="599">
                  <c:v>300</c:v>
                </c:pt>
                <c:pt idx="600">
                  <c:v>300.5</c:v>
                </c:pt>
                <c:pt idx="601">
                  <c:v>301</c:v>
                </c:pt>
                <c:pt idx="602">
                  <c:v>301.5</c:v>
                </c:pt>
                <c:pt idx="603">
                  <c:v>302</c:v>
                </c:pt>
                <c:pt idx="604">
                  <c:v>302.5</c:v>
                </c:pt>
                <c:pt idx="605">
                  <c:v>303</c:v>
                </c:pt>
                <c:pt idx="606">
                  <c:v>303.5</c:v>
                </c:pt>
                <c:pt idx="607">
                  <c:v>304</c:v>
                </c:pt>
                <c:pt idx="608">
                  <c:v>304.5</c:v>
                </c:pt>
                <c:pt idx="609">
                  <c:v>305</c:v>
                </c:pt>
                <c:pt idx="610">
                  <c:v>305.5</c:v>
                </c:pt>
                <c:pt idx="611">
                  <c:v>306</c:v>
                </c:pt>
                <c:pt idx="612">
                  <c:v>306.5</c:v>
                </c:pt>
                <c:pt idx="613">
                  <c:v>307</c:v>
                </c:pt>
                <c:pt idx="614">
                  <c:v>307.5</c:v>
                </c:pt>
                <c:pt idx="615">
                  <c:v>308</c:v>
                </c:pt>
                <c:pt idx="616">
                  <c:v>308.5</c:v>
                </c:pt>
                <c:pt idx="617">
                  <c:v>309</c:v>
                </c:pt>
                <c:pt idx="618">
                  <c:v>309.5</c:v>
                </c:pt>
                <c:pt idx="619">
                  <c:v>310</c:v>
                </c:pt>
                <c:pt idx="620">
                  <c:v>310.5</c:v>
                </c:pt>
                <c:pt idx="621">
                  <c:v>311</c:v>
                </c:pt>
                <c:pt idx="622">
                  <c:v>311.5</c:v>
                </c:pt>
                <c:pt idx="623">
                  <c:v>312</c:v>
                </c:pt>
                <c:pt idx="624">
                  <c:v>312.5</c:v>
                </c:pt>
                <c:pt idx="625">
                  <c:v>313</c:v>
                </c:pt>
                <c:pt idx="626">
                  <c:v>313.5</c:v>
                </c:pt>
                <c:pt idx="627">
                  <c:v>314</c:v>
                </c:pt>
                <c:pt idx="628">
                  <c:v>314.5</c:v>
                </c:pt>
                <c:pt idx="629">
                  <c:v>315</c:v>
                </c:pt>
                <c:pt idx="630">
                  <c:v>315.5</c:v>
                </c:pt>
                <c:pt idx="631">
                  <c:v>316</c:v>
                </c:pt>
                <c:pt idx="632">
                  <c:v>316.5</c:v>
                </c:pt>
                <c:pt idx="633">
                  <c:v>317</c:v>
                </c:pt>
                <c:pt idx="634">
                  <c:v>317.5</c:v>
                </c:pt>
                <c:pt idx="635">
                  <c:v>318</c:v>
                </c:pt>
                <c:pt idx="636">
                  <c:v>318.5</c:v>
                </c:pt>
                <c:pt idx="637">
                  <c:v>319</c:v>
                </c:pt>
                <c:pt idx="638">
                  <c:v>319.5</c:v>
                </c:pt>
                <c:pt idx="639">
                  <c:v>320</c:v>
                </c:pt>
                <c:pt idx="640">
                  <c:v>320.5</c:v>
                </c:pt>
                <c:pt idx="641">
                  <c:v>321</c:v>
                </c:pt>
                <c:pt idx="642">
                  <c:v>321.5</c:v>
                </c:pt>
                <c:pt idx="643">
                  <c:v>322</c:v>
                </c:pt>
                <c:pt idx="644">
                  <c:v>322.5</c:v>
                </c:pt>
                <c:pt idx="645">
                  <c:v>323</c:v>
                </c:pt>
                <c:pt idx="646">
                  <c:v>323.5</c:v>
                </c:pt>
                <c:pt idx="647">
                  <c:v>324</c:v>
                </c:pt>
                <c:pt idx="648">
                  <c:v>324.5</c:v>
                </c:pt>
                <c:pt idx="649">
                  <c:v>325</c:v>
                </c:pt>
                <c:pt idx="650">
                  <c:v>325.5</c:v>
                </c:pt>
                <c:pt idx="651">
                  <c:v>326</c:v>
                </c:pt>
                <c:pt idx="652">
                  <c:v>326.5</c:v>
                </c:pt>
                <c:pt idx="653">
                  <c:v>327</c:v>
                </c:pt>
                <c:pt idx="654">
                  <c:v>327.5</c:v>
                </c:pt>
                <c:pt idx="655">
                  <c:v>328</c:v>
                </c:pt>
                <c:pt idx="656">
                  <c:v>328.5</c:v>
                </c:pt>
                <c:pt idx="657">
                  <c:v>329</c:v>
                </c:pt>
                <c:pt idx="658">
                  <c:v>329.5</c:v>
                </c:pt>
                <c:pt idx="659">
                  <c:v>330</c:v>
                </c:pt>
                <c:pt idx="660">
                  <c:v>330.5</c:v>
                </c:pt>
                <c:pt idx="661">
                  <c:v>331</c:v>
                </c:pt>
                <c:pt idx="662">
                  <c:v>331.5</c:v>
                </c:pt>
                <c:pt idx="663">
                  <c:v>332</c:v>
                </c:pt>
                <c:pt idx="664">
                  <c:v>332.5</c:v>
                </c:pt>
                <c:pt idx="665">
                  <c:v>333</c:v>
                </c:pt>
                <c:pt idx="666">
                  <c:v>333.5</c:v>
                </c:pt>
                <c:pt idx="667">
                  <c:v>334</c:v>
                </c:pt>
                <c:pt idx="668">
                  <c:v>334.5</c:v>
                </c:pt>
                <c:pt idx="669">
                  <c:v>335</c:v>
                </c:pt>
                <c:pt idx="670">
                  <c:v>335.5</c:v>
                </c:pt>
                <c:pt idx="671">
                  <c:v>336</c:v>
                </c:pt>
                <c:pt idx="672">
                  <c:v>336.5</c:v>
                </c:pt>
                <c:pt idx="673">
                  <c:v>337</c:v>
                </c:pt>
                <c:pt idx="674">
                  <c:v>337.5</c:v>
                </c:pt>
                <c:pt idx="675">
                  <c:v>338</c:v>
                </c:pt>
                <c:pt idx="676">
                  <c:v>338.5</c:v>
                </c:pt>
                <c:pt idx="677">
                  <c:v>339</c:v>
                </c:pt>
                <c:pt idx="678">
                  <c:v>339.5</c:v>
                </c:pt>
                <c:pt idx="679">
                  <c:v>340</c:v>
                </c:pt>
                <c:pt idx="680">
                  <c:v>340.5</c:v>
                </c:pt>
                <c:pt idx="681">
                  <c:v>341</c:v>
                </c:pt>
                <c:pt idx="682">
                  <c:v>341.5</c:v>
                </c:pt>
                <c:pt idx="683">
                  <c:v>342</c:v>
                </c:pt>
                <c:pt idx="684">
                  <c:v>342.5</c:v>
                </c:pt>
                <c:pt idx="685">
                  <c:v>343</c:v>
                </c:pt>
                <c:pt idx="686">
                  <c:v>343.5</c:v>
                </c:pt>
                <c:pt idx="687">
                  <c:v>344</c:v>
                </c:pt>
                <c:pt idx="688">
                  <c:v>344.5</c:v>
                </c:pt>
                <c:pt idx="689">
                  <c:v>345</c:v>
                </c:pt>
                <c:pt idx="690">
                  <c:v>345.5</c:v>
                </c:pt>
                <c:pt idx="691">
                  <c:v>346</c:v>
                </c:pt>
                <c:pt idx="692">
                  <c:v>346.5</c:v>
                </c:pt>
                <c:pt idx="693">
                  <c:v>347</c:v>
                </c:pt>
                <c:pt idx="694">
                  <c:v>347.5</c:v>
                </c:pt>
                <c:pt idx="695">
                  <c:v>348</c:v>
                </c:pt>
                <c:pt idx="696">
                  <c:v>348.5</c:v>
                </c:pt>
                <c:pt idx="697">
                  <c:v>349</c:v>
                </c:pt>
                <c:pt idx="698">
                  <c:v>349.5</c:v>
                </c:pt>
                <c:pt idx="699">
                  <c:v>350</c:v>
                </c:pt>
                <c:pt idx="700">
                  <c:v>350.5</c:v>
                </c:pt>
                <c:pt idx="701">
                  <c:v>351</c:v>
                </c:pt>
                <c:pt idx="702">
                  <c:v>351.5</c:v>
                </c:pt>
                <c:pt idx="703">
                  <c:v>352</c:v>
                </c:pt>
                <c:pt idx="704">
                  <c:v>352.5</c:v>
                </c:pt>
                <c:pt idx="705">
                  <c:v>353</c:v>
                </c:pt>
                <c:pt idx="706">
                  <c:v>353.5</c:v>
                </c:pt>
                <c:pt idx="707">
                  <c:v>354</c:v>
                </c:pt>
                <c:pt idx="708">
                  <c:v>354.5</c:v>
                </c:pt>
                <c:pt idx="709">
                  <c:v>355</c:v>
                </c:pt>
                <c:pt idx="710">
                  <c:v>355.5</c:v>
                </c:pt>
                <c:pt idx="711">
                  <c:v>356</c:v>
                </c:pt>
                <c:pt idx="712">
                  <c:v>356.5</c:v>
                </c:pt>
                <c:pt idx="713">
                  <c:v>357</c:v>
                </c:pt>
                <c:pt idx="714">
                  <c:v>357.5</c:v>
                </c:pt>
                <c:pt idx="715">
                  <c:v>358</c:v>
                </c:pt>
                <c:pt idx="716">
                  <c:v>358.5</c:v>
                </c:pt>
                <c:pt idx="717">
                  <c:v>359</c:v>
                </c:pt>
                <c:pt idx="718">
                  <c:v>359.5</c:v>
                </c:pt>
                <c:pt idx="719">
                  <c:v>360</c:v>
                </c:pt>
                <c:pt idx="720">
                  <c:v>360.5</c:v>
                </c:pt>
                <c:pt idx="721">
                  <c:v>361</c:v>
                </c:pt>
                <c:pt idx="722">
                  <c:v>361.5</c:v>
                </c:pt>
                <c:pt idx="723">
                  <c:v>362</c:v>
                </c:pt>
                <c:pt idx="724">
                  <c:v>362.5</c:v>
                </c:pt>
                <c:pt idx="725">
                  <c:v>363</c:v>
                </c:pt>
                <c:pt idx="726">
                  <c:v>363.5</c:v>
                </c:pt>
                <c:pt idx="727">
                  <c:v>364</c:v>
                </c:pt>
                <c:pt idx="728">
                  <c:v>364.5</c:v>
                </c:pt>
                <c:pt idx="729">
                  <c:v>365</c:v>
                </c:pt>
                <c:pt idx="730">
                  <c:v>365.5</c:v>
                </c:pt>
                <c:pt idx="731">
                  <c:v>366</c:v>
                </c:pt>
                <c:pt idx="732">
                  <c:v>366.5</c:v>
                </c:pt>
                <c:pt idx="733">
                  <c:v>367</c:v>
                </c:pt>
                <c:pt idx="734">
                  <c:v>367.5</c:v>
                </c:pt>
                <c:pt idx="735">
                  <c:v>368</c:v>
                </c:pt>
                <c:pt idx="736">
                  <c:v>368.5</c:v>
                </c:pt>
                <c:pt idx="737">
                  <c:v>369</c:v>
                </c:pt>
                <c:pt idx="738">
                  <c:v>369.5</c:v>
                </c:pt>
                <c:pt idx="739">
                  <c:v>370</c:v>
                </c:pt>
                <c:pt idx="740">
                  <c:v>370.5</c:v>
                </c:pt>
                <c:pt idx="741">
                  <c:v>371</c:v>
                </c:pt>
                <c:pt idx="742">
                  <c:v>371.5</c:v>
                </c:pt>
                <c:pt idx="743">
                  <c:v>372</c:v>
                </c:pt>
                <c:pt idx="744">
                  <c:v>372.5</c:v>
                </c:pt>
                <c:pt idx="745">
                  <c:v>373</c:v>
                </c:pt>
                <c:pt idx="746">
                  <c:v>373.5</c:v>
                </c:pt>
                <c:pt idx="747">
                  <c:v>374</c:v>
                </c:pt>
                <c:pt idx="748">
                  <c:v>374.5</c:v>
                </c:pt>
                <c:pt idx="749">
                  <c:v>375</c:v>
                </c:pt>
                <c:pt idx="750">
                  <c:v>375.5</c:v>
                </c:pt>
                <c:pt idx="751">
                  <c:v>376</c:v>
                </c:pt>
                <c:pt idx="752">
                  <c:v>376.5</c:v>
                </c:pt>
                <c:pt idx="753">
                  <c:v>377</c:v>
                </c:pt>
                <c:pt idx="754">
                  <c:v>377.5</c:v>
                </c:pt>
                <c:pt idx="755">
                  <c:v>378</c:v>
                </c:pt>
                <c:pt idx="756">
                  <c:v>378.5</c:v>
                </c:pt>
                <c:pt idx="757">
                  <c:v>379</c:v>
                </c:pt>
                <c:pt idx="758">
                  <c:v>379.5</c:v>
                </c:pt>
                <c:pt idx="759">
                  <c:v>380</c:v>
                </c:pt>
                <c:pt idx="760">
                  <c:v>380.5</c:v>
                </c:pt>
                <c:pt idx="761">
                  <c:v>381</c:v>
                </c:pt>
                <c:pt idx="762">
                  <c:v>381.5</c:v>
                </c:pt>
                <c:pt idx="763">
                  <c:v>382</c:v>
                </c:pt>
                <c:pt idx="764">
                  <c:v>382.5</c:v>
                </c:pt>
                <c:pt idx="765">
                  <c:v>383</c:v>
                </c:pt>
                <c:pt idx="766">
                  <c:v>383.5</c:v>
                </c:pt>
                <c:pt idx="767">
                  <c:v>384</c:v>
                </c:pt>
                <c:pt idx="768">
                  <c:v>384.5</c:v>
                </c:pt>
                <c:pt idx="769">
                  <c:v>385</c:v>
                </c:pt>
                <c:pt idx="770">
                  <c:v>385.5</c:v>
                </c:pt>
                <c:pt idx="771">
                  <c:v>386</c:v>
                </c:pt>
                <c:pt idx="772">
                  <c:v>386.5</c:v>
                </c:pt>
                <c:pt idx="773">
                  <c:v>387</c:v>
                </c:pt>
                <c:pt idx="774">
                  <c:v>387.5</c:v>
                </c:pt>
                <c:pt idx="775">
                  <c:v>388</c:v>
                </c:pt>
                <c:pt idx="776">
                  <c:v>388.5</c:v>
                </c:pt>
                <c:pt idx="777">
                  <c:v>389</c:v>
                </c:pt>
                <c:pt idx="778">
                  <c:v>389.5</c:v>
                </c:pt>
                <c:pt idx="779">
                  <c:v>390</c:v>
                </c:pt>
                <c:pt idx="780">
                  <c:v>390.5</c:v>
                </c:pt>
                <c:pt idx="781">
                  <c:v>391</c:v>
                </c:pt>
                <c:pt idx="782">
                  <c:v>391.5</c:v>
                </c:pt>
                <c:pt idx="783">
                  <c:v>392</c:v>
                </c:pt>
                <c:pt idx="784">
                  <c:v>392.5</c:v>
                </c:pt>
                <c:pt idx="785">
                  <c:v>393</c:v>
                </c:pt>
                <c:pt idx="786">
                  <c:v>393.5</c:v>
                </c:pt>
                <c:pt idx="787">
                  <c:v>394</c:v>
                </c:pt>
                <c:pt idx="788">
                  <c:v>394.5</c:v>
                </c:pt>
                <c:pt idx="789">
                  <c:v>395</c:v>
                </c:pt>
                <c:pt idx="790">
                  <c:v>395.5</c:v>
                </c:pt>
                <c:pt idx="791">
                  <c:v>396</c:v>
                </c:pt>
                <c:pt idx="792">
                  <c:v>396.5</c:v>
                </c:pt>
                <c:pt idx="793">
                  <c:v>397</c:v>
                </c:pt>
                <c:pt idx="794">
                  <c:v>397.5</c:v>
                </c:pt>
                <c:pt idx="795">
                  <c:v>398</c:v>
                </c:pt>
                <c:pt idx="796">
                  <c:v>398.5</c:v>
                </c:pt>
                <c:pt idx="797">
                  <c:v>399</c:v>
                </c:pt>
                <c:pt idx="798">
                  <c:v>399.5</c:v>
                </c:pt>
                <c:pt idx="799">
                  <c:v>400</c:v>
                </c:pt>
                <c:pt idx="800">
                  <c:v>400.5</c:v>
                </c:pt>
                <c:pt idx="801">
                  <c:v>401</c:v>
                </c:pt>
                <c:pt idx="802">
                  <c:v>401.5</c:v>
                </c:pt>
                <c:pt idx="803">
                  <c:v>402</c:v>
                </c:pt>
                <c:pt idx="804">
                  <c:v>402.5</c:v>
                </c:pt>
                <c:pt idx="805">
                  <c:v>403</c:v>
                </c:pt>
                <c:pt idx="806">
                  <c:v>403.5</c:v>
                </c:pt>
                <c:pt idx="807">
                  <c:v>404</c:v>
                </c:pt>
                <c:pt idx="808">
                  <c:v>404.5</c:v>
                </c:pt>
                <c:pt idx="809">
                  <c:v>405</c:v>
                </c:pt>
                <c:pt idx="810">
                  <c:v>405.5</c:v>
                </c:pt>
                <c:pt idx="811">
                  <c:v>406</c:v>
                </c:pt>
                <c:pt idx="812">
                  <c:v>406.5</c:v>
                </c:pt>
                <c:pt idx="813">
                  <c:v>407</c:v>
                </c:pt>
                <c:pt idx="814">
                  <c:v>407.5</c:v>
                </c:pt>
                <c:pt idx="815">
                  <c:v>408</c:v>
                </c:pt>
                <c:pt idx="816">
                  <c:v>408.5</c:v>
                </c:pt>
                <c:pt idx="817">
                  <c:v>409</c:v>
                </c:pt>
                <c:pt idx="818">
                  <c:v>409.5</c:v>
                </c:pt>
                <c:pt idx="819">
                  <c:v>410</c:v>
                </c:pt>
                <c:pt idx="820">
                  <c:v>410.5</c:v>
                </c:pt>
                <c:pt idx="821">
                  <c:v>411</c:v>
                </c:pt>
                <c:pt idx="822">
                  <c:v>411.5</c:v>
                </c:pt>
                <c:pt idx="823">
                  <c:v>412</c:v>
                </c:pt>
                <c:pt idx="824">
                  <c:v>412.5</c:v>
                </c:pt>
                <c:pt idx="825">
                  <c:v>413</c:v>
                </c:pt>
                <c:pt idx="826">
                  <c:v>413.5</c:v>
                </c:pt>
                <c:pt idx="827">
                  <c:v>414</c:v>
                </c:pt>
                <c:pt idx="828">
                  <c:v>414.5</c:v>
                </c:pt>
                <c:pt idx="829">
                  <c:v>415</c:v>
                </c:pt>
                <c:pt idx="830">
                  <c:v>415.5</c:v>
                </c:pt>
                <c:pt idx="831">
                  <c:v>416</c:v>
                </c:pt>
                <c:pt idx="832">
                  <c:v>416.5</c:v>
                </c:pt>
                <c:pt idx="833">
                  <c:v>417</c:v>
                </c:pt>
                <c:pt idx="834">
                  <c:v>417.5</c:v>
                </c:pt>
                <c:pt idx="835">
                  <c:v>418</c:v>
                </c:pt>
                <c:pt idx="836">
                  <c:v>418.5</c:v>
                </c:pt>
                <c:pt idx="837">
                  <c:v>419</c:v>
                </c:pt>
                <c:pt idx="838">
                  <c:v>419.5</c:v>
                </c:pt>
                <c:pt idx="839">
                  <c:v>420</c:v>
                </c:pt>
                <c:pt idx="840">
                  <c:v>420.5</c:v>
                </c:pt>
                <c:pt idx="841">
                  <c:v>421</c:v>
                </c:pt>
                <c:pt idx="842">
                  <c:v>421.5</c:v>
                </c:pt>
                <c:pt idx="843">
                  <c:v>422</c:v>
                </c:pt>
                <c:pt idx="844">
                  <c:v>422.5</c:v>
                </c:pt>
                <c:pt idx="845">
                  <c:v>423</c:v>
                </c:pt>
                <c:pt idx="846">
                  <c:v>423.5</c:v>
                </c:pt>
                <c:pt idx="847">
                  <c:v>424</c:v>
                </c:pt>
                <c:pt idx="848">
                  <c:v>424.5</c:v>
                </c:pt>
                <c:pt idx="849">
                  <c:v>425</c:v>
                </c:pt>
                <c:pt idx="850">
                  <c:v>425.5</c:v>
                </c:pt>
                <c:pt idx="851">
                  <c:v>426</c:v>
                </c:pt>
                <c:pt idx="852">
                  <c:v>426.5</c:v>
                </c:pt>
                <c:pt idx="853">
                  <c:v>427</c:v>
                </c:pt>
                <c:pt idx="854">
                  <c:v>427.5</c:v>
                </c:pt>
                <c:pt idx="855">
                  <c:v>428</c:v>
                </c:pt>
                <c:pt idx="856">
                  <c:v>428.5</c:v>
                </c:pt>
                <c:pt idx="857">
                  <c:v>429</c:v>
                </c:pt>
                <c:pt idx="858">
                  <c:v>429.5</c:v>
                </c:pt>
                <c:pt idx="859">
                  <c:v>430</c:v>
                </c:pt>
                <c:pt idx="860">
                  <c:v>430.5</c:v>
                </c:pt>
                <c:pt idx="861">
                  <c:v>431</c:v>
                </c:pt>
                <c:pt idx="862">
                  <c:v>431.5</c:v>
                </c:pt>
                <c:pt idx="863">
                  <c:v>432</c:v>
                </c:pt>
                <c:pt idx="864">
                  <c:v>432.5</c:v>
                </c:pt>
                <c:pt idx="865">
                  <c:v>433</c:v>
                </c:pt>
                <c:pt idx="866">
                  <c:v>433.5</c:v>
                </c:pt>
                <c:pt idx="867">
                  <c:v>434</c:v>
                </c:pt>
                <c:pt idx="868">
                  <c:v>434.5</c:v>
                </c:pt>
                <c:pt idx="869">
                  <c:v>435</c:v>
                </c:pt>
                <c:pt idx="870">
                  <c:v>435.5</c:v>
                </c:pt>
                <c:pt idx="871">
                  <c:v>436</c:v>
                </c:pt>
                <c:pt idx="872">
                  <c:v>436.5</c:v>
                </c:pt>
                <c:pt idx="873">
                  <c:v>437</c:v>
                </c:pt>
                <c:pt idx="874">
                  <c:v>437.5</c:v>
                </c:pt>
                <c:pt idx="875">
                  <c:v>438</c:v>
                </c:pt>
                <c:pt idx="876">
                  <c:v>438.5</c:v>
                </c:pt>
                <c:pt idx="877">
                  <c:v>439</c:v>
                </c:pt>
                <c:pt idx="878">
                  <c:v>439.5</c:v>
                </c:pt>
                <c:pt idx="879">
                  <c:v>440</c:v>
                </c:pt>
                <c:pt idx="880">
                  <c:v>440.5</c:v>
                </c:pt>
                <c:pt idx="881">
                  <c:v>441</c:v>
                </c:pt>
                <c:pt idx="882">
                  <c:v>441.5</c:v>
                </c:pt>
                <c:pt idx="883">
                  <c:v>442</c:v>
                </c:pt>
                <c:pt idx="884">
                  <c:v>442.5</c:v>
                </c:pt>
                <c:pt idx="885">
                  <c:v>443</c:v>
                </c:pt>
                <c:pt idx="886">
                  <c:v>443.5</c:v>
                </c:pt>
                <c:pt idx="887">
                  <c:v>444</c:v>
                </c:pt>
                <c:pt idx="888">
                  <c:v>444.5</c:v>
                </c:pt>
                <c:pt idx="889">
                  <c:v>445</c:v>
                </c:pt>
                <c:pt idx="890">
                  <c:v>445.5</c:v>
                </c:pt>
                <c:pt idx="891">
                  <c:v>446</c:v>
                </c:pt>
                <c:pt idx="892">
                  <c:v>446.5</c:v>
                </c:pt>
                <c:pt idx="893">
                  <c:v>447</c:v>
                </c:pt>
                <c:pt idx="894">
                  <c:v>447.5</c:v>
                </c:pt>
                <c:pt idx="895">
                  <c:v>448</c:v>
                </c:pt>
                <c:pt idx="896">
                  <c:v>448.5</c:v>
                </c:pt>
                <c:pt idx="897">
                  <c:v>449</c:v>
                </c:pt>
                <c:pt idx="898">
                  <c:v>449.5</c:v>
                </c:pt>
                <c:pt idx="899">
                  <c:v>450</c:v>
                </c:pt>
                <c:pt idx="900">
                  <c:v>450.5</c:v>
                </c:pt>
                <c:pt idx="901">
                  <c:v>451</c:v>
                </c:pt>
                <c:pt idx="902">
                  <c:v>451.5</c:v>
                </c:pt>
                <c:pt idx="903">
                  <c:v>452</c:v>
                </c:pt>
                <c:pt idx="904">
                  <c:v>452.5</c:v>
                </c:pt>
                <c:pt idx="905">
                  <c:v>453</c:v>
                </c:pt>
                <c:pt idx="906">
                  <c:v>453.5</c:v>
                </c:pt>
                <c:pt idx="907">
                  <c:v>454</c:v>
                </c:pt>
                <c:pt idx="908">
                  <c:v>454.5</c:v>
                </c:pt>
                <c:pt idx="909">
                  <c:v>455</c:v>
                </c:pt>
                <c:pt idx="910">
                  <c:v>455.5</c:v>
                </c:pt>
                <c:pt idx="911">
                  <c:v>456</c:v>
                </c:pt>
                <c:pt idx="912">
                  <c:v>456.5</c:v>
                </c:pt>
                <c:pt idx="913">
                  <c:v>457</c:v>
                </c:pt>
                <c:pt idx="914">
                  <c:v>457.5</c:v>
                </c:pt>
                <c:pt idx="915">
                  <c:v>458</c:v>
                </c:pt>
                <c:pt idx="916">
                  <c:v>458.5</c:v>
                </c:pt>
                <c:pt idx="917">
                  <c:v>459</c:v>
                </c:pt>
                <c:pt idx="918">
                  <c:v>459.5</c:v>
                </c:pt>
                <c:pt idx="919">
                  <c:v>460</c:v>
                </c:pt>
                <c:pt idx="920">
                  <c:v>460.5</c:v>
                </c:pt>
                <c:pt idx="921">
                  <c:v>461</c:v>
                </c:pt>
                <c:pt idx="922">
                  <c:v>461.5</c:v>
                </c:pt>
                <c:pt idx="923">
                  <c:v>462</c:v>
                </c:pt>
                <c:pt idx="924">
                  <c:v>462.5</c:v>
                </c:pt>
                <c:pt idx="925">
                  <c:v>463</c:v>
                </c:pt>
                <c:pt idx="926">
                  <c:v>463.5</c:v>
                </c:pt>
                <c:pt idx="927">
                  <c:v>464</c:v>
                </c:pt>
                <c:pt idx="928">
                  <c:v>464.5</c:v>
                </c:pt>
                <c:pt idx="929">
                  <c:v>465</c:v>
                </c:pt>
                <c:pt idx="930">
                  <c:v>465.5</c:v>
                </c:pt>
                <c:pt idx="931">
                  <c:v>466</c:v>
                </c:pt>
                <c:pt idx="932">
                  <c:v>466.5</c:v>
                </c:pt>
                <c:pt idx="933">
                  <c:v>467</c:v>
                </c:pt>
                <c:pt idx="934">
                  <c:v>467.5</c:v>
                </c:pt>
                <c:pt idx="935">
                  <c:v>468</c:v>
                </c:pt>
                <c:pt idx="936">
                  <c:v>468.5</c:v>
                </c:pt>
                <c:pt idx="937">
                  <c:v>469</c:v>
                </c:pt>
                <c:pt idx="938">
                  <c:v>469.5</c:v>
                </c:pt>
                <c:pt idx="939">
                  <c:v>470</c:v>
                </c:pt>
                <c:pt idx="940">
                  <c:v>470.5</c:v>
                </c:pt>
                <c:pt idx="941">
                  <c:v>471</c:v>
                </c:pt>
                <c:pt idx="942">
                  <c:v>471.5</c:v>
                </c:pt>
                <c:pt idx="943">
                  <c:v>472</c:v>
                </c:pt>
                <c:pt idx="944">
                  <c:v>472.5</c:v>
                </c:pt>
                <c:pt idx="945">
                  <c:v>473</c:v>
                </c:pt>
                <c:pt idx="946">
                  <c:v>473.5</c:v>
                </c:pt>
                <c:pt idx="947">
                  <c:v>474</c:v>
                </c:pt>
                <c:pt idx="948">
                  <c:v>474.5</c:v>
                </c:pt>
                <c:pt idx="949">
                  <c:v>475</c:v>
                </c:pt>
                <c:pt idx="950">
                  <c:v>475.5</c:v>
                </c:pt>
                <c:pt idx="951">
                  <c:v>476</c:v>
                </c:pt>
                <c:pt idx="952">
                  <c:v>476.5</c:v>
                </c:pt>
                <c:pt idx="953">
                  <c:v>477</c:v>
                </c:pt>
                <c:pt idx="954">
                  <c:v>477.5</c:v>
                </c:pt>
                <c:pt idx="955">
                  <c:v>478</c:v>
                </c:pt>
                <c:pt idx="956">
                  <c:v>478.5</c:v>
                </c:pt>
                <c:pt idx="957">
                  <c:v>479</c:v>
                </c:pt>
                <c:pt idx="958">
                  <c:v>479.5</c:v>
                </c:pt>
                <c:pt idx="959">
                  <c:v>480</c:v>
                </c:pt>
                <c:pt idx="960">
                  <c:v>480.5</c:v>
                </c:pt>
                <c:pt idx="961">
                  <c:v>481</c:v>
                </c:pt>
                <c:pt idx="962">
                  <c:v>481.5</c:v>
                </c:pt>
                <c:pt idx="963">
                  <c:v>482</c:v>
                </c:pt>
                <c:pt idx="964">
                  <c:v>482.5</c:v>
                </c:pt>
                <c:pt idx="965">
                  <c:v>483</c:v>
                </c:pt>
                <c:pt idx="966">
                  <c:v>483.5</c:v>
                </c:pt>
                <c:pt idx="967">
                  <c:v>484</c:v>
                </c:pt>
                <c:pt idx="968">
                  <c:v>484.5</c:v>
                </c:pt>
                <c:pt idx="969">
                  <c:v>485</c:v>
                </c:pt>
                <c:pt idx="970">
                  <c:v>485.5</c:v>
                </c:pt>
                <c:pt idx="971">
                  <c:v>486</c:v>
                </c:pt>
                <c:pt idx="972">
                  <c:v>486.5</c:v>
                </c:pt>
                <c:pt idx="973">
                  <c:v>487</c:v>
                </c:pt>
                <c:pt idx="974">
                  <c:v>487.5</c:v>
                </c:pt>
                <c:pt idx="975">
                  <c:v>488</c:v>
                </c:pt>
                <c:pt idx="976">
                  <c:v>488.5</c:v>
                </c:pt>
                <c:pt idx="977">
                  <c:v>489</c:v>
                </c:pt>
                <c:pt idx="978">
                  <c:v>489.5</c:v>
                </c:pt>
                <c:pt idx="979">
                  <c:v>490</c:v>
                </c:pt>
                <c:pt idx="980">
                  <c:v>490.5</c:v>
                </c:pt>
                <c:pt idx="981">
                  <c:v>491</c:v>
                </c:pt>
                <c:pt idx="982">
                  <c:v>491.5</c:v>
                </c:pt>
                <c:pt idx="983">
                  <c:v>492</c:v>
                </c:pt>
                <c:pt idx="984">
                  <c:v>492.5</c:v>
                </c:pt>
                <c:pt idx="985">
                  <c:v>493</c:v>
                </c:pt>
                <c:pt idx="986">
                  <c:v>493.5</c:v>
                </c:pt>
                <c:pt idx="987">
                  <c:v>494</c:v>
                </c:pt>
                <c:pt idx="988">
                  <c:v>494.5</c:v>
                </c:pt>
                <c:pt idx="989">
                  <c:v>495</c:v>
                </c:pt>
                <c:pt idx="990">
                  <c:v>495.5</c:v>
                </c:pt>
                <c:pt idx="991">
                  <c:v>496</c:v>
                </c:pt>
                <c:pt idx="992">
                  <c:v>496.5</c:v>
                </c:pt>
                <c:pt idx="993">
                  <c:v>497</c:v>
                </c:pt>
                <c:pt idx="994">
                  <c:v>497.5</c:v>
                </c:pt>
                <c:pt idx="995">
                  <c:v>498</c:v>
                </c:pt>
                <c:pt idx="996">
                  <c:v>498.5</c:v>
                </c:pt>
                <c:pt idx="997">
                  <c:v>499</c:v>
                </c:pt>
                <c:pt idx="998">
                  <c:v>499.5</c:v>
                </c:pt>
                <c:pt idx="999">
                  <c:v>500</c:v>
                </c:pt>
                <c:pt idx="1000">
                  <c:v>500.5</c:v>
                </c:pt>
                <c:pt idx="1001">
                  <c:v>501</c:v>
                </c:pt>
                <c:pt idx="1002">
                  <c:v>501.5</c:v>
                </c:pt>
                <c:pt idx="1003">
                  <c:v>502</c:v>
                </c:pt>
                <c:pt idx="1004">
                  <c:v>502.5</c:v>
                </c:pt>
                <c:pt idx="1005">
                  <c:v>503</c:v>
                </c:pt>
                <c:pt idx="1006">
                  <c:v>503.5</c:v>
                </c:pt>
                <c:pt idx="1007">
                  <c:v>504</c:v>
                </c:pt>
                <c:pt idx="1008">
                  <c:v>504.5</c:v>
                </c:pt>
                <c:pt idx="1009">
                  <c:v>505</c:v>
                </c:pt>
                <c:pt idx="1010">
                  <c:v>505.5</c:v>
                </c:pt>
                <c:pt idx="1011">
                  <c:v>506</c:v>
                </c:pt>
                <c:pt idx="1012">
                  <c:v>506.5</c:v>
                </c:pt>
                <c:pt idx="1013">
                  <c:v>507</c:v>
                </c:pt>
                <c:pt idx="1014">
                  <c:v>507.5</c:v>
                </c:pt>
                <c:pt idx="1015">
                  <c:v>508</c:v>
                </c:pt>
                <c:pt idx="1016">
                  <c:v>508.5</c:v>
                </c:pt>
                <c:pt idx="1017">
                  <c:v>509</c:v>
                </c:pt>
                <c:pt idx="1018">
                  <c:v>509.5</c:v>
                </c:pt>
                <c:pt idx="1019">
                  <c:v>510</c:v>
                </c:pt>
                <c:pt idx="1020">
                  <c:v>510.5</c:v>
                </c:pt>
                <c:pt idx="1021">
                  <c:v>511</c:v>
                </c:pt>
                <c:pt idx="1022">
                  <c:v>511.5</c:v>
                </c:pt>
                <c:pt idx="1023">
                  <c:v>512</c:v>
                </c:pt>
                <c:pt idx="1024">
                  <c:v>512.5</c:v>
                </c:pt>
                <c:pt idx="1025">
                  <c:v>513</c:v>
                </c:pt>
                <c:pt idx="1026">
                  <c:v>513.5</c:v>
                </c:pt>
                <c:pt idx="1027">
                  <c:v>514</c:v>
                </c:pt>
                <c:pt idx="1028">
                  <c:v>514.5</c:v>
                </c:pt>
                <c:pt idx="1029">
                  <c:v>515</c:v>
                </c:pt>
                <c:pt idx="1030">
                  <c:v>515.5</c:v>
                </c:pt>
                <c:pt idx="1031">
                  <c:v>516</c:v>
                </c:pt>
                <c:pt idx="1032">
                  <c:v>516.5</c:v>
                </c:pt>
                <c:pt idx="1033">
                  <c:v>517</c:v>
                </c:pt>
                <c:pt idx="1034">
                  <c:v>517.5</c:v>
                </c:pt>
                <c:pt idx="1035">
                  <c:v>518</c:v>
                </c:pt>
                <c:pt idx="1036">
                  <c:v>518.5</c:v>
                </c:pt>
                <c:pt idx="1037">
                  <c:v>519</c:v>
                </c:pt>
                <c:pt idx="1038">
                  <c:v>519.5</c:v>
                </c:pt>
                <c:pt idx="1039">
                  <c:v>520</c:v>
                </c:pt>
                <c:pt idx="1040">
                  <c:v>520.5</c:v>
                </c:pt>
                <c:pt idx="1041">
                  <c:v>521</c:v>
                </c:pt>
                <c:pt idx="1042">
                  <c:v>521.5</c:v>
                </c:pt>
                <c:pt idx="1043">
                  <c:v>522</c:v>
                </c:pt>
                <c:pt idx="1044">
                  <c:v>522.5</c:v>
                </c:pt>
                <c:pt idx="1045">
                  <c:v>523</c:v>
                </c:pt>
                <c:pt idx="1046">
                  <c:v>523.5</c:v>
                </c:pt>
                <c:pt idx="1047">
                  <c:v>524</c:v>
                </c:pt>
                <c:pt idx="1048">
                  <c:v>524.5</c:v>
                </c:pt>
                <c:pt idx="1049">
                  <c:v>525</c:v>
                </c:pt>
                <c:pt idx="1050">
                  <c:v>525.5</c:v>
                </c:pt>
                <c:pt idx="1051">
                  <c:v>526</c:v>
                </c:pt>
                <c:pt idx="1052">
                  <c:v>526.5</c:v>
                </c:pt>
                <c:pt idx="1053">
                  <c:v>527</c:v>
                </c:pt>
                <c:pt idx="1054">
                  <c:v>527.5</c:v>
                </c:pt>
                <c:pt idx="1055">
                  <c:v>528</c:v>
                </c:pt>
                <c:pt idx="1056">
                  <c:v>528.5</c:v>
                </c:pt>
                <c:pt idx="1057">
                  <c:v>529</c:v>
                </c:pt>
                <c:pt idx="1058">
                  <c:v>529.5</c:v>
                </c:pt>
                <c:pt idx="1059">
                  <c:v>530</c:v>
                </c:pt>
                <c:pt idx="1060">
                  <c:v>530.5</c:v>
                </c:pt>
                <c:pt idx="1061">
                  <c:v>531</c:v>
                </c:pt>
                <c:pt idx="1062">
                  <c:v>531.5</c:v>
                </c:pt>
                <c:pt idx="1063">
                  <c:v>532</c:v>
                </c:pt>
                <c:pt idx="1064">
                  <c:v>532.5</c:v>
                </c:pt>
                <c:pt idx="1065">
                  <c:v>533</c:v>
                </c:pt>
                <c:pt idx="1066">
                  <c:v>533.5</c:v>
                </c:pt>
                <c:pt idx="1067">
                  <c:v>534</c:v>
                </c:pt>
                <c:pt idx="1068">
                  <c:v>534.5</c:v>
                </c:pt>
                <c:pt idx="1069">
                  <c:v>535</c:v>
                </c:pt>
                <c:pt idx="1070">
                  <c:v>535.5</c:v>
                </c:pt>
                <c:pt idx="1071">
                  <c:v>536</c:v>
                </c:pt>
                <c:pt idx="1072">
                  <c:v>536.5</c:v>
                </c:pt>
                <c:pt idx="1073">
                  <c:v>537</c:v>
                </c:pt>
                <c:pt idx="1074">
                  <c:v>537.5</c:v>
                </c:pt>
                <c:pt idx="1075">
                  <c:v>538</c:v>
                </c:pt>
                <c:pt idx="1076">
                  <c:v>538.5</c:v>
                </c:pt>
                <c:pt idx="1077">
                  <c:v>539</c:v>
                </c:pt>
                <c:pt idx="1078">
                  <c:v>539.5</c:v>
                </c:pt>
                <c:pt idx="1079">
                  <c:v>540</c:v>
                </c:pt>
                <c:pt idx="1080">
                  <c:v>540.5</c:v>
                </c:pt>
                <c:pt idx="1081">
                  <c:v>541</c:v>
                </c:pt>
                <c:pt idx="1082">
                  <c:v>541.5</c:v>
                </c:pt>
                <c:pt idx="1083">
                  <c:v>542</c:v>
                </c:pt>
                <c:pt idx="1084">
                  <c:v>542.5</c:v>
                </c:pt>
                <c:pt idx="1085">
                  <c:v>543</c:v>
                </c:pt>
                <c:pt idx="1086">
                  <c:v>543.5</c:v>
                </c:pt>
                <c:pt idx="1087">
                  <c:v>544</c:v>
                </c:pt>
                <c:pt idx="1088">
                  <c:v>544.5</c:v>
                </c:pt>
                <c:pt idx="1089">
                  <c:v>545</c:v>
                </c:pt>
                <c:pt idx="1090">
                  <c:v>545.5</c:v>
                </c:pt>
                <c:pt idx="1091">
                  <c:v>546</c:v>
                </c:pt>
                <c:pt idx="1092">
                  <c:v>546.5</c:v>
                </c:pt>
                <c:pt idx="1093">
                  <c:v>547</c:v>
                </c:pt>
                <c:pt idx="1094">
                  <c:v>547.5</c:v>
                </c:pt>
                <c:pt idx="1095">
                  <c:v>548</c:v>
                </c:pt>
                <c:pt idx="1096">
                  <c:v>548.5</c:v>
                </c:pt>
                <c:pt idx="1097">
                  <c:v>549</c:v>
                </c:pt>
                <c:pt idx="1098">
                  <c:v>549.5</c:v>
                </c:pt>
                <c:pt idx="1099">
                  <c:v>550</c:v>
                </c:pt>
                <c:pt idx="1100">
                  <c:v>550.5</c:v>
                </c:pt>
                <c:pt idx="1101">
                  <c:v>551</c:v>
                </c:pt>
                <c:pt idx="1102">
                  <c:v>551.5</c:v>
                </c:pt>
                <c:pt idx="1103">
                  <c:v>552</c:v>
                </c:pt>
                <c:pt idx="1104">
                  <c:v>552.5</c:v>
                </c:pt>
                <c:pt idx="1105">
                  <c:v>553</c:v>
                </c:pt>
                <c:pt idx="1106">
                  <c:v>553.5</c:v>
                </c:pt>
                <c:pt idx="1107">
                  <c:v>554</c:v>
                </c:pt>
                <c:pt idx="1108">
                  <c:v>554.5</c:v>
                </c:pt>
                <c:pt idx="1109">
                  <c:v>555</c:v>
                </c:pt>
                <c:pt idx="1110">
                  <c:v>555.5</c:v>
                </c:pt>
                <c:pt idx="1111">
                  <c:v>556</c:v>
                </c:pt>
                <c:pt idx="1112">
                  <c:v>556.5</c:v>
                </c:pt>
                <c:pt idx="1113">
                  <c:v>557</c:v>
                </c:pt>
                <c:pt idx="1114">
                  <c:v>557.5</c:v>
                </c:pt>
                <c:pt idx="1115">
                  <c:v>558</c:v>
                </c:pt>
                <c:pt idx="1116">
                  <c:v>558.5</c:v>
                </c:pt>
                <c:pt idx="1117">
                  <c:v>559</c:v>
                </c:pt>
                <c:pt idx="1118">
                  <c:v>559.5</c:v>
                </c:pt>
                <c:pt idx="1119">
                  <c:v>560</c:v>
                </c:pt>
                <c:pt idx="1120">
                  <c:v>560.5</c:v>
                </c:pt>
                <c:pt idx="1121">
                  <c:v>561</c:v>
                </c:pt>
                <c:pt idx="1122">
                  <c:v>561.5</c:v>
                </c:pt>
                <c:pt idx="1123">
                  <c:v>562</c:v>
                </c:pt>
                <c:pt idx="1124">
                  <c:v>562.5</c:v>
                </c:pt>
                <c:pt idx="1125">
                  <c:v>563</c:v>
                </c:pt>
                <c:pt idx="1126">
                  <c:v>563.5</c:v>
                </c:pt>
                <c:pt idx="1127">
                  <c:v>564</c:v>
                </c:pt>
                <c:pt idx="1128">
                  <c:v>564.5</c:v>
                </c:pt>
                <c:pt idx="1129">
                  <c:v>565</c:v>
                </c:pt>
              </c:numCache>
            </c:numRef>
          </c:val>
          <c:smooth val="0"/>
          <c:extLst>
            <c:ext xmlns:c16="http://schemas.microsoft.com/office/drawing/2014/chart" uri="{C3380CC4-5D6E-409C-BE32-E72D297353CC}">
              <c16:uniqueId val="{00000000-3414-4C8D-9567-75FA7309FE71}"/>
            </c:ext>
          </c:extLst>
        </c:ser>
        <c:dLbls>
          <c:showLegendKey val="0"/>
          <c:showVal val="0"/>
          <c:showCatName val="0"/>
          <c:showSerName val="0"/>
          <c:showPercent val="0"/>
          <c:showBubbleSize val="0"/>
        </c:dLbls>
        <c:marker val="1"/>
        <c:smooth val="0"/>
        <c:axId val="1374161647"/>
        <c:axId val="1954012511"/>
      </c:lineChart>
      <c:lineChart>
        <c:grouping val="standard"/>
        <c:varyColors val="0"/>
        <c:ser>
          <c:idx val="1"/>
          <c:order val="1"/>
          <c:tx>
            <c:strRef>
              <c:f>'T9. Shipping'!$AD$38</c:f>
              <c:strCache>
                <c:ptCount val="1"/>
                <c:pt idx="0">
                  <c:v>Pallet only Price</c:v>
                </c:pt>
              </c:strCache>
            </c:strRef>
          </c:tx>
          <c:spPr>
            <a:ln w="28575" cap="rnd">
              <a:solidFill>
                <a:schemeClr val="accent2"/>
              </a:solidFill>
              <a:round/>
            </a:ln>
            <a:effectLst/>
          </c:spPr>
          <c:marker>
            <c:symbol val="none"/>
          </c:marker>
          <c:val>
            <c:numRef>
              <c:f>'T9. Shipping'!$AD$39:$AD$1168</c:f>
              <c:numCache>
                <c:formatCode>_-[$$-409]* #,##0_ ;_-[$$-409]* \-#,##0\ ;_-[$$-409]* "-"??_ ;_-@_ </c:formatCode>
                <c:ptCount val="1130"/>
                <c:pt idx="0">
                  <c:v>5888.3799199999994</c:v>
                </c:pt>
                <c:pt idx="1">
                  <c:v>5888.3799199999994</c:v>
                </c:pt>
                <c:pt idx="2">
                  <c:v>5888.3799199999994</c:v>
                </c:pt>
                <c:pt idx="3">
                  <c:v>5888.3799199999994</c:v>
                </c:pt>
                <c:pt idx="4">
                  <c:v>5888.3799199999994</c:v>
                </c:pt>
                <c:pt idx="5">
                  <c:v>5888.3799199999994</c:v>
                </c:pt>
                <c:pt idx="6">
                  <c:v>5888.3799199999994</c:v>
                </c:pt>
                <c:pt idx="7">
                  <c:v>5888.3799199999994</c:v>
                </c:pt>
                <c:pt idx="8">
                  <c:v>5888.3799199999994</c:v>
                </c:pt>
                <c:pt idx="9">
                  <c:v>5888.3799199999994</c:v>
                </c:pt>
                <c:pt idx="10">
                  <c:v>5888.3799199999994</c:v>
                </c:pt>
                <c:pt idx="11">
                  <c:v>5888.3799199999994</c:v>
                </c:pt>
                <c:pt idx="12">
                  <c:v>5888.3799199999994</c:v>
                </c:pt>
                <c:pt idx="13">
                  <c:v>5888.3799199999994</c:v>
                </c:pt>
                <c:pt idx="14">
                  <c:v>5888.3799199999994</c:v>
                </c:pt>
                <c:pt idx="15">
                  <c:v>5888.3799199999994</c:v>
                </c:pt>
                <c:pt idx="16">
                  <c:v>5888.3799199999994</c:v>
                </c:pt>
                <c:pt idx="17">
                  <c:v>5888.3799199999994</c:v>
                </c:pt>
                <c:pt idx="18">
                  <c:v>5888.3799199999994</c:v>
                </c:pt>
                <c:pt idx="19">
                  <c:v>5888.3799199999994</c:v>
                </c:pt>
                <c:pt idx="20">
                  <c:v>5888.3799199999994</c:v>
                </c:pt>
                <c:pt idx="21">
                  <c:v>5888.3799199999994</c:v>
                </c:pt>
                <c:pt idx="22">
                  <c:v>5888.3799199999994</c:v>
                </c:pt>
                <c:pt idx="23">
                  <c:v>5888.3799199999994</c:v>
                </c:pt>
                <c:pt idx="24">
                  <c:v>5888.3799199999994</c:v>
                </c:pt>
                <c:pt idx="25">
                  <c:v>5888.3799199999994</c:v>
                </c:pt>
                <c:pt idx="26">
                  <c:v>5888.3799199999994</c:v>
                </c:pt>
                <c:pt idx="27">
                  <c:v>5888.3799199999994</c:v>
                </c:pt>
                <c:pt idx="28">
                  <c:v>5888.3799199999994</c:v>
                </c:pt>
                <c:pt idx="29">
                  <c:v>5888.3799199999994</c:v>
                </c:pt>
                <c:pt idx="30">
                  <c:v>5888.3799199999994</c:v>
                </c:pt>
                <c:pt idx="31">
                  <c:v>5888.3799199999994</c:v>
                </c:pt>
                <c:pt idx="32">
                  <c:v>5888.3799199999994</c:v>
                </c:pt>
                <c:pt idx="33">
                  <c:v>5888.3799199999994</c:v>
                </c:pt>
                <c:pt idx="34">
                  <c:v>5888.3799199999994</c:v>
                </c:pt>
                <c:pt idx="35">
                  <c:v>5888.3799199999994</c:v>
                </c:pt>
                <c:pt idx="36">
                  <c:v>5888.3799199999994</c:v>
                </c:pt>
                <c:pt idx="37">
                  <c:v>5888.3799199999994</c:v>
                </c:pt>
                <c:pt idx="38">
                  <c:v>5888.3799199999994</c:v>
                </c:pt>
                <c:pt idx="39">
                  <c:v>5888.3799199999994</c:v>
                </c:pt>
                <c:pt idx="40">
                  <c:v>5888.3799199999994</c:v>
                </c:pt>
                <c:pt idx="41">
                  <c:v>5888.3799199999994</c:v>
                </c:pt>
                <c:pt idx="42">
                  <c:v>5888.3799199999994</c:v>
                </c:pt>
                <c:pt idx="43">
                  <c:v>5888.3799199999994</c:v>
                </c:pt>
                <c:pt idx="44">
                  <c:v>5888.3799199999994</c:v>
                </c:pt>
                <c:pt idx="45">
                  <c:v>5888.3799199999994</c:v>
                </c:pt>
                <c:pt idx="46">
                  <c:v>5888.3799199999994</c:v>
                </c:pt>
                <c:pt idx="47">
                  <c:v>5888.3799199999994</c:v>
                </c:pt>
                <c:pt idx="48">
                  <c:v>5888.3799199999994</c:v>
                </c:pt>
                <c:pt idx="49">
                  <c:v>5888.3799199999994</c:v>
                </c:pt>
                <c:pt idx="50">
                  <c:v>5888.3799199999994</c:v>
                </c:pt>
                <c:pt idx="51">
                  <c:v>5888.3799199999994</c:v>
                </c:pt>
                <c:pt idx="52">
                  <c:v>5888.3799199999994</c:v>
                </c:pt>
                <c:pt idx="53">
                  <c:v>5888.3799199999994</c:v>
                </c:pt>
                <c:pt idx="54">
                  <c:v>5888.3799199999994</c:v>
                </c:pt>
                <c:pt idx="55">
                  <c:v>5888.3799199999994</c:v>
                </c:pt>
                <c:pt idx="56">
                  <c:v>5888.3799199999994</c:v>
                </c:pt>
                <c:pt idx="57">
                  <c:v>5888.3799199999994</c:v>
                </c:pt>
                <c:pt idx="58">
                  <c:v>5888.3799199999994</c:v>
                </c:pt>
                <c:pt idx="59">
                  <c:v>5888.3799199999994</c:v>
                </c:pt>
                <c:pt idx="60">
                  <c:v>5888.3799199999994</c:v>
                </c:pt>
                <c:pt idx="61">
                  <c:v>5888.3799199999994</c:v>
                </c:pt>
                <c:pt idx="62">
                  <c:v>5888.3799199999994</c:v>
                </c:pt>
                <c:pt idx="63">
                  <c:v>5888.3799199999994</c:v>
                </c:pt>
                <c:pt idx="64">
                  <c:v>5888.3799199999994</c:v>
                </c:pt>
                <c:pt idx="65">
                  <c:v>5888.3799199999994</c:v>
                </c:pt>
                <c:pt idx="66">
                  <c:v>5888.3799199999994</c:v>
                </c:pt>
                <c:pt idx="67">
                  <c:v>5888.3799199999994</c:v>
                </c:pt>
                <c:pt idx="68">
                  <c:v>5888.3799199999994</c:v>
                </c:pt>
                <c:pt idx="69">
                  <c:v>5888.3799199999994</c:v>
                </c:pt>
                <c:pt idx="70">
                  <c:v>5888.3799199999994</c:v>
                </c:pt>
                <c:pt idx="71">
                  <c:v>5888.3799199999994</c:v>
                </c:pt>
                <c:pt idx="72">
                  <c:v>5888.3799199999994</c:v>
                </c:pt>
                <c:pt idx="73">
                  <c:v>5888.3799199999994</c:v>
                </c:pt>
                <c:pt idx="74">
                  <c:v>5888.3799199999994</c:v>
                </c:pt>
                <c:pt idx="75">
                  <c:v>5888.3799199999994</c:v>
                </c:pt>
                <c:pt idx="76">
                  <c:v>5888.3799199999994</c:v>
                </c:pt>
                <c:pt idx="77">
                  <c:v>5888.3799199999994</c:v>
                </c:pt>
                <c:pt idx="78">
                  <c:v>5888.3799199999994</c:v>
                </c:pt>
                <c:pt idx="79">
                  <c:v>5888.3799199999994</c:v>
                </c:pt>
                <c:pt idx="80">
                  <c:v>5888.3799199999994</c:v>
                </c:pt>
                <c:pt idx="81">
                  <c:v>5888.3799199999994</c:v>
                </c:pt>
                <c:pt idx="82">
                  <c:v>5888.3799199999994</c:v>
                </c:pt>
                <c:pt idx="83">
                  <c:v>5888.3799199999994</c:v>
                </c:pt>
                <c:pt idx="84">
                  <c:v>5888.3799199999994</c:v>
                </c:pt>
                <c:pt idx="85">
                  <c:v>5888.3799199999994</c:v>
                </c:pt>
                <c:pt idx="86">
                  <c:v>5888.3799199999994</c:v>
                </c:pt>
                <c:pt idx="87">
                  <c:v>5888.3799199999994</c:v>
                </c:pt>
                <c:pt idx="88">
                  <c:v>5888.3799199999994</c:v>
                </c:pt>
                <c:pt idx="89">
                  <c:v>5888.3799199999994</c:v>
                </c:pt>
                <c:pt idx="90">
                  <c:v>5888.3799199999994</c:v>
                </c:pt>
                <c:pt idx="91">
                  <c:v>5888.3799199999994</c:v>
                </c:pt>
                <c:pt idx="92">
                  <c:v>5888.3799199999994</c:v>
                </c:pt>
                <c:pt idx="93">
                  <c:v>5888.3799199999994</c:v>
                </c:pt>
                <c:pt idx="94">
                  <c:v>5888.3799199999994</c:v>
                </c:pt>
                <c:pt idx="95">
                  <c:v>5888.3799199999994</c:v>
                </c:pt>
                <c:pt idx="96">
                  <c:v>5888.3799199999994</c:v>
                </c:pt>
                <c:pt idx="97">
                  <c:v>5888.3799199999994</c:v>
                </c:pt>
                <c:pt idx="98">
                  <c:v>5888.3799199999994</c:v>
                </c:pt>
                <c:pt idx="99">
                  <c:v>5888.3799199999994</c:v>
                </c:pt>
                <c:pt idx="100">
                  <c:v>5888.3799199999994</c:v>
                </c:pt>
                <c:pt idx="101">
                  <c:v>5888.3799199999994</c:v>
                </c:pt>
                <c:pt idx="102">
                  <c:v>5888.3799199999994</c:v>
                </c:pt>
                <c:pt idx="103">
                  <c:v>5888.3799199999994</c:v>
                </c:pt>
                <c:pt idx="104">
                  <c:v>5888.3799199999994</c:v>
                </c:pt>
                <c:pt idx="105">
                  <c:v>5888.3799199999994</c:v>
                </c:pt>
                <c:pt idx="106">
                  <c:v>5888.3799199999994</c:v>
                </c:pt>
                <c:pt idx="107">
                  <c:v>5888.3799199999994</c:v>
                </c:pt>
                <c:pt idx="108">
                  <c:v>5888.3799199999994</c:v>
                </c:pt>
                <c:pt idx="109">
                  <c:v>5888.3799199999994</c:v>
                </c:pt>
                <c:pt idx="110">
                  <c:v>5888.3799199999994</c:v>
                </c:pt>
                <c:pt idx="111">
                  <c:v>5888.3799199999994</c:v>
                </c:pt>
                <c:pt idx="112">
                  <c:v>5888.3799199999994</c:v>
                </c:pt>
                <c:pt idx="113">
                  <c:v>5888.3799199999994</c:v>
                </c:pt>
                <c:pt idx="114">
                  <c:v>5888.3799199999994</c:v>
                </c:pt>
                <c:pt idx="115">
                  <c:v>5888.3799199999994</c:v>
                </c:pt>
                <c:pt idx="116">
                  <c:v>5888.3799199999994</c:v>
                </c:pt>
                <c:pt idx="117">
                  <c:v>5888.3799199999994</c:v>
                </c:pt>
                <c:pt idx="118">
                  <c:v>5888.3799199999994</c:v>
                </c:pt>
                <c:pt idx="119">
                  <c:v>5888.3799199999994</c:v>
                </c:pt>
                <c:pt idx="120">
                  <c:v>5888.3799199999994</c:v>
                </c:pt>
                <c:pt idx="121">
                  <c:v>5888.3799199999994</c:v>
                </c:pt>
                <c:pt idx="122">
                  <c:v>5888.3799199999994</c:v>
                </c:pt>
                <c:pt idx="123">
                  <c:v>5888.3799199999994</c:v>
                </c:pt>
                <c:pt idx="124">
                  <c:v>5888.3799199999994</c:v>
                </c:pt>
                <c:pt idx="125">
                  <c:v>5888.3799199999994</c:v>
                </c:pt>
                <c:pt idx="126">
                  <c:v>5888.3799199999994</c:v>
                </c:pt>
                <c:pt idx="127">
                  <c:v>5888.3799199999994</c:v>
                </c:pt>
                <c:pt idx="128">
                  <c:v>5888.3799199999994</c:v>
                </c:pt>
                <c:pt idx="129">
                  <c:v>5888.3799199999994</c:v>
                </c:pt>
                <c:pt idx="130">
                  <c:v>5888.3799199999994</c:v>
                </c:pt>
                <c:pt idx="131">
                  <c:v>5888.3799199999994</c:v>
                </c:pt>
                <c:pt idx="132">
                  <c:v>5888.3799199999994</c:v>
                </c:pt>
                <c:pt idx="133">
                  <c:v>5888.3799199999994</c:v>
                </c:pt>
                <c:pt idx="134">
                  <c:v>5888.3799199999994</c:v>
                </c:pt>
                <c:pt idx="135">
                  <c:v>5888.3799199999994</c:v>
                </c:pt>
                <c:pt idx="136">
                  <c:v>5888.3799199999994</c:v>
                </c:pt>
                <c:pt idx="137">
                  <c:v>5888.3799199999994</c:v>
                </c:pt>
                <c:pt idx="138">
                  <c:v>5888.3799199999994</c:v>
                </c:pt>
                <c:pt idx="139">
                  <c:v>5888.3799199999994</c:v>
                </c:pt>
                <c:pt idx="140">
                  <c:v>5888.3799199999994</c:v>
                </c:pt>
                <c:pt idx="141">
                  <c:v>5888.3799199999994</c:v>
                </c:pt>
                <c:pt idx="142">
                  <c:v>5888.3799199999994</c:v>
                </c:pt>
                <c:pt idx="143">
                  <c:v>5888.3799199999994</c:v>
                </c:pt>
                <c:pt idx="144">
                  <c:v>5888.3799199999994</c:v>
                </c:pt>
                <c:pt idx="145">
                  <c:v>5888.3799199999994</c:v>
                </c:pt>
                <c:pt idx="146">
                  <c:v>5888.3799199999994</c:v>
                </c:pt>
                <c:pt idx="147">
                  <c:v>5888.3799199999994</c:v>
                </c:pt>
                <c:pt idx="148">
                  <c:v>5888.3799199999994</c:v>
                </c:pt>
                <c:pt idx="149">
                  <c:v>5888.3799199999994</c:v>
                </c:pt>
                <c:pt idx="150">
                  <c:v>5888.3799199999994</c:v>
                </c:pt>
                <c:pt idx="151">
                  <c:v>5888.3799199999994</c:v>
                </c:pt>
                <c:pt idx="152">
                  <c:v>5888.3799199999994</c:v>
                </c:pt>
                <c:pt idx="153">
                  <c:v>5888.3799199999994</c:v>
                </c:pt>
                <c:pt idx="154">
                  <c:v>5888.3799199999994</c:v>
                </c:pt>
                <c:pt idx="155">
                  <c:v>5888.3799199999994</c:v>
                </c:pt>
                <c:pt idx="156">
                  <c:v>5888.3799199999994</c:v>
                </c:pt>
                <c:pt idx="157">
                  <c:v>5888.3799199999994</c:v>
                </c:pt>
                <c:pt idx="158">
                  <c:v>5888.3799199999994</c:v>
                </c:pt>
                <c:pt idx="159">
                  <c:v>5888.3799199999994</c:v>
                </c:pt>
                <c:pt idx="160">
                  <c:v>5888.3799199999994</c:v>
                </c:pt>
                <c:pt idx="161">
                  <c:v>5888.3799199999994</c:v>
                </c:pt>
                <c:pt idx="162">
                  <c:v>5888.3799199999994</c:v>
                </c:pt>
                <c:pt idx="163">
                  <c:v>5888.3799199999994</c:v>
                </c:pt>
                <c:pt idx="164">
                  <c:v>5888.3799199999994</c:v>
                </c:pt>
                <c:pt idx="165">
                  <c:v>5888.3799199999994</c:v>
                </c:pt>
                <c:pt idx="166">
                  <c:v>5888.3799199999994</c:v>
                </c:pt>
                <c:pt idx="167">
                  <c:v>5888.3799199999994</c:v>
                </c:pt>
                <c:pt idx="168">
                  <c:v>5888.3799199999994</c:v>
                </c:pt>
                <c:pt idx="169">
                  <c:v>5888.3799199999994</c:v>
                </c:pt>
                <c:pt idx="170">
                  <c:v>5888.3799199999994</c:v>
                </c:pt>
                <c:pt idx="171">
                  <c:v>5888.3799199999994</c:v>
                </c:pt>
                <c:pt idx="172">
                  <c:v>5888.3799199999994</c:v>
                </c:pt>
                <c:pt idx="173">
                  <c:v>5888.3799199999994</c:v>
                </c:pt>
                <c:pt idx="174">
                  <c:v>5888.3799199999994</c:v>
                </c:pt>
                <c:pt idx="175">
                  <c:v>5888.3799199999994</c:v>
                </c:pt>
                <c:pt idx="176">
                  <c:v>5888.3799199999994</c:v>
                </c:pt>
                <c:pt idx="177">
                  <c:v>5888.3799199999994</c:v>
                </c:pt>
                <c:pt idx="178">
                  <c:v>5888.3799199999994</c:v>
                </c:pt>
                <c:pt idx="179">
                  <c:v>5888.3799199999994</c:v>
                </c:pt>
                <c:pt idx="180">
                  <c:v>5888.3799199999994</c:v>
                </c:pt>
                <c:pt idx="181">
                  <c:v>5888.3799199999994</c:v>
                </c:pt>
                <c:pt idx="182">
                  <c:v>5888.3799199999994</c:v>
                </c:pt>
                <c:pt idx="183">
                  <c:v>5888.3799199999994</c:v>
                </c:pt>
                <c:pt idx="184">
                  <c:v>5888.3799199999994</c:v>
                </c:pt>
                <c:pt idx="185">
                  <c:v>5888.3799199999994</c:v>
                </c:pt>
                <c:pt idx="186">
                  <c:v>5888.3799199999994</c:v>
                </c:pt>
                <c:pt idx="187">
                  <c:v>5888.3799199999994</c:v>
                </c:pt>
                <c:pt idx="188">
                  <c:v>5888.3799199999994</c:v>
                </c:pt>
                <c:pt idx="189">
                  <c:v>5888.3799199999994</c:v>
                </c:pt>
                <c:pt idx="190">
                  <c:v>5888.3799199999994</c:v>
                </c:pt>
                <c:pt idx="191">
                  <c:v>5888.3799199999994</c:v>
                </c:pt>
                <c:pt idx="192">
                  <c:v>5888.3799199999994</c:v>
                </c:pt>
                <c:pt idx="193">
                  <c:v>5888.3799199999994</c:v>
                </c:pt>
                <c:pt idx="194">
                  <c:v>5888.3799199999994</c:v>
                </c:pt>
                <c:pt idx="195">
                  <c:v>5888.3799199999994</c:v>
                </c:pt>
                <c:pt idx="196">
                  <c:v>5888.3799199999994</c:v>
                </c:pt>
                <c:pt idx="197">
                  <c:v>5888.3799199999994</c:v>
                </c:pt>
                <c:pt idx="198">
                  <c:v>5888.3799199999994</c:v>
                </c:pt>
                <c:pt idx="199">
                  <c:v>5888.3799199999994</c:v>
                </c:pt>
                <c:pt idx="200">
                  <c:v>5888.3799199999994</c:v>
                </c:pt>
                <c:pt idx="201">
                  <c:v>5888.3799199999994</c:v>
                </c:pt>
                <c:pt idx="202">
                  <c:v>5888.3799199999994</c:v>
                </c:pt>
                <c:pt idx="203">
                  <c:v>5888.3799199999994</c:v>
                </c:pt>
                <c:pt idx="204">
                  <c:v>5888.3799199999994</c:v>
                </c:pt>
                <c:pt idx="205">
                  <c:v>5888.3799199999994</c:v>
                </c:pt>
                <c:pt idx="206">
                  <c:v>5888.3799199999994</c:v>
                </c:pt>
                <c:pt idx="207">
                  <c:v>5888.3799199999994</c:v>
                </c:pt>
                <c:pt idx="208">
                  <c:v>5888.3799199999994</c:v>
                </c:pt>
                <c:pt idx="209">
                  <c:v>5888.3799199999994</c:v>
                </c:pt>
                <c:pt idx="210">
                  <c:v>5888.3799199999994</c:v>
                </c:pt>
                <c:pt idx="211">
                  <c:v>5888.3799199999994</c:v>
                </c:pt>
                <c:pt idx="212">
                  <c:v>5888.3799199999994</c:v>
                </c:pt>
                <c:pt idx="213">
                  <c:v>5888.3799199999994</c:v>
                </c:pt>
                <c:pt idx="214">
                  <c:v>5888.3799199999994</c:v>
                </c:pt>
                <c:pt idx="215">
                  <c:v>5888.3799199999994</c:v>
                </c:pt>
                <c:pt idx="216">
                  <c:v>5888.3799199999994</c:v>
                </c:pt>
                <c:pt idx="217">
                  <c:v>5888.3799199999994</c:v>
                </c:pt>
                <c:pt idx="218">
                  <c:v>5888.3799199999994</c:v>
                </c:pt>
                <c:pt idx="219">
                  <c:v>5888.3799199999994</c:v>
                </c:pt>
                <c:pt idx="220">
                  <c:v>5888.3799199999994</c:v>
                </c:pt>
                <c:pt idx="221">
                  <c:v>5888.3799199999994</c:v>
                </c:pt>
                <c:pt idx="222">
                  <c:v>5888.3799199999994</c:v>
                </c:pt>
                <c:pt idx="223">
                  <c:v>5888.3799199999994</c:v>
                </c:pt>
                <c:pt idx="224">
                  <c:v>5888.3799199999994</c:v>
                </c:pt>
                <c:pt idx="225">
                  <c:v>5888.3799199999994</c:v>
                </c:pt>
                <c:pt idx="226">
                  <c:v>5888.3799199999994</c:v>
                </c:pt>
                <c:pt idx="227">
                  <c:v>5888.3799199999994</c:v>
                </c:pt>
                <c:pt idx="228">
                  <c:v>5888.3799199999994</c:v>
                </c:pt>
                <c:pt idx="229">
                  <c:v>5888.3799199999994</c:v>
                </c:pt>
                <c:pt idx="230">
                  <c:v>5888.3799199999994</c:v>
                </c:pt>
                <c:pt idx="231">
                  <c:v>5888.3799199999994</c:v>
                </c:pt>
                <c:pt idx="232">
                  <c:v>5888.3799199999994</c:v>
                </c:pt>
                <c:pt idx="233">
                  <c:v>5888.3799199999994</c:v>
                </c:pt>
                <c:pt idx="234">
                  <c:v>5888.3799199999994</c:v>
                </c:pt>
                <c:pt idx="235">
                  <c:v>5888.3799199999994</c:v>
                </c:pt>
                <c:pt idx="236">
                  <c:v>5888.3799199999994</c:v>
                </c:pt>
                <c:pt idx="237">
                  <c:v>5888.3799199999994</c:v>
                </c:pt>
                <c:pt idx="238">
                  <c:v>5888.3799199999994</c:v>
                </c:pt>
                <c:pt idx="239">
                  <c:v>5888.3799199999994</c:v>
                </c:pt>
                <c:pt idx="240">
                  <c:v>5888.3799199999994</c:v>
                </c:pt>
                <c:pt idx="241">
                  <c:v>5888.3799199999994</c:v>
                </c:pt>
                <c:pt idx="242">
                  <c:v>5888.3799199999994</c:v>
                </c:pt>
                <c:pt idx="243">
                  <c:v>5888.3799199999994</c:v>
                </c:pt>
                <c:pt idx="244">
                  <c:v>5888.3799199999994</c:v>
                </c:pt>
                <c:pt idx="245">
                  <c:v>5888.3799199999994</c:v>
                </c:pt>
                <c:pt idx="246">
                  <c:v>5888.3799199999994</c:v>
                </c:pt>
                <c:pt idx="247">
                  <c:v>5888.3799199999994</c:v>
                </c:pt>
                <c:pt idx="248">
                  <c:v>5888.3799199999994</c:v>
                </c:pt>
                <c:pt idx="249">
                  <c:v>5888.3799199999994</c:v>
                </c:pt>
                <c:pt idx="250">
                  <c:v>5888.3799199999994</c:v>
                </c:pt>
                <c:pt idx="251">
                  <c:v>5888.3799199999994</c:v>
                </c:pt>
                <c:pt idx="252">
                  <c:v>5888.3799199999994</c:v>
                </c:pt>
                <c:pt idx="253">
                  <c:v>5888.3799199999994</c:v>
                </c:pt>
                <c:pt idx="254">
                  <c:v>5888.3799199999994</c:v>
                </c:pt>
                <c:pt idx="255">
                  <c:v>5888.3799199999994</c:v>
                </c:pt>
                <c:pt idx="256">
                  <c:v>5888.3799199999994</c:v>
                </c:pt>
                <c:pt idx="257">
                  <c:v>5888.3799199999994</c:v>
                </c:pt>
                <c:pt idx="258">
                  <c:v>5888.3799199999994</c:v>
                </c:pt>
                <c:pt idx="259">
                  <c:v>5888.3799199999994</c:v>
                </c:pt>
                <c:pt idx="260">
                  <c:v>5888.3799199999994</c:v>
                </c:pt>
                <c:pt idx="261">
                  <c:v>5888.3799199999994</c:v>
                </c:pt>
                <c:pt idx="262">
                  <c:v>5888.3799199999994</c:v>
                </c:pt>
                <c:pt idx="263">
                  <c:v>5888.3799199999994</c:v>
                </c:pt>
                <c:pt idx="264">
                  <c:v>5888.3799199999994</c:v>
                </c:pt>
                <c:pt idx="265">
                  <c:v>5888.3799199999994</c:v>
                </c:pt>
                <c:pt idx="266">
                  <c:v>5888.3799199999994</c:v>
                </c:pt>
                <c:pt idx="267">
                  <c:v>5888.3799199999994</c:v>
                </c:pt>
                <c:pt idx="268">
                  <c:v>5888.3799199999994</c:v>
                </c:pt>
                <c:pt idx="269">
                  <c:v>5888.3799199999994</c:v>
                </c:pt>
                <c:pt idx="270">
                  <c:v>5888.3799199999994</c:v>
                </c:pt>
                <c:pt idx="271">
                  <c:v>5888.3799199999994</c:v>
                </c:pt>
                <c:pt idx="272">
                  <c:v>5888.3799199999994</c:v>
                </c:pt>
                <c:pt idx="273">
                  <c:v>5888.3799199999994</c:v>
                </c:pt>
                <c:pt idx="274">
                  <c:v>5888.3799199999994</c:v>
                </c:pt>
                <c:pt idx="275">
                  <c:v>5888.3799199999994</c:v>
                </c:pt>
                <c:pt idx="276">
                  <c:v>5888.3799199999994</c:v>
                </c:pt>
                <c:pt idx="277">
                  <c:v>5888.3799199999994</c:v>
                </c:pt>
                <c:pt idx="278">
                  <c:v>5888.3799199999994</c:v>
                </c:pt>
                <c:pt idx="279">
                  <c:v>5888.3799199999994</c:v>
                </c:pt>
                <c:pt idx="280">
                  <c:v>5888.3799199999994</c:v>
                </c:pt>
                <c:pt idx="281">
                  <c:v>5888.3799199999994</c:v>
                </c:pt>
                <c:pt idx="282">
                  <c:v>5888.3799199999994</c:v>
                </c:pt>
                <c:pt idx="283">
                  <c:v>5888.3799199999994</c:v>
                </c:pt>
                <c:pt idx="284">
                  <c:v>5888.3799199999994</c:v>
                </c:pt>
                <c:pt idx="285">
                  <c:v>5888.3799199999994</c:v>
                </c:pt>
                <c:pt idx="286">
                  <c:v>5888.3799199999994</c:v>
                </c:pt>
                <c:pt idx="287">
                  <c:v>5888.3799199999994</c:v>
                </c:pt>
                <c:pt idx="288">
                  <c:v>5888.3799199999994</c:v>
                </c:pt>
                <c:pt idx="289">
                  <c:v>5888.3799199999994</c:v>
                </c:pt>
                <c:pt idx="290">
                  <c:v>5888.3799199999994</c:v>
                </c:pt>
                <c:pt idx="291">
                  <c:v>5888.3799199999994</c:v>
                </c:pt>
                <c:pt idx="292">
                  <c:v>5888.3799199999994</c:v>
                </c:pt>
                <c:pt idx="293">
                  <c:v>5888.3799199999994</c:v>
                </c:pt>
                <c:pt idx="294">
                  <c:v>5888.3799199999994</c:v>
                </c:pt>
                <c:pt idx="295">
                  <c:v>5888.3799199999994</c:v>
                </c:pt>
                <c:pt idx="296">
                  <c:v>5888.3799199999994</c:v>
                </c:pt>
                <c:pt idx="297">
                  <c:v>5888.3799199999994</c:v>
                </c:pt>
                <c:pt idx="298">
                  <c:v>5888.3799199999994</c:v>
                </c:pt>
                <c:pt idx="299">
                  <c:v>5888.3799199999994</c:v>
                </c:pt>
                <c:pt idx="300">
                  <c:v>5888.3799199999994</c:v>
                </c:pt>
                <c:pt idx="301">
                  <c:v>5888.3799199999994</c:v>
                </c:pt>
                <c:pt idx="302">
                  <c:v>5888.3799199999994</c:v>
                </c:pt>
                <c:pt idx="303">
                  <c:v>5888.3799199999994</c:v>
                </c:pt>
                <c:pt idx="304">
                  <c:v>5888.3799199999994</c:v>
                </c:pt>
                <c:pt idx="305">
                  <c:v>5888.3799199999994</c:v>
                </c:pt>
                <c:pt idx="306">
                  <c:v>5888.3799199999994</c:v>
                </c:pt>
                <c:pt idx="307">
                  <c:v>5888.3799199999994</c:v>
                </c:pt>
                <c:pt idx="308">
                  <c:v>5888.3799199999994</c:v>
                </c:pt>
                <c:pt idx="309">
                  <c:v>5888.3799199999994</c:v>
                </c:pt>
                <c:pt idx="310">
                  <c:v>5888.3799199999994</c:v>
                </c:pt>
                <c:pt idx="311">
                  <c:v>5888.3799199999994</c:v>
                </c:pt>
                <c:pt idx="312">
                  <c:v>5888.3799199999994</c:v>
                </c:pt>
                <c:pt idx="313">
                  <c:v>5888.3799199999994</c:v>
                </c:pt>
                <c:pt idx="314">
                  <c:v>5888.3799199999994</c:v>
                </c:pt>
                <c:pt idx="315">
                  <c:v>5888.3799199999994</c:v>
                </c:pt>
                <c:pt idx="316">
                  <c:v>5888.3799199999994</c:v>
                </c:pt>
                <c:pt idx="317">
                  <c:v>5888.3799199999994</c:v>
                </c:pt>
                <c:pt idx="318">
                  <c:v>5888.3799199999994</c:v>
                </c:pt>
                <c:pt idx="319">
                  <c:v>5888.3799199999994</c:v>
                </c:pt>
                <c:pt idx="320">
                  <c:v>5888.3799199999994</c:v>
                </c:pt>
                <c:pt idx="321">
                  <c:v>5888.3799199999994</c:v>
                </c:pt>
                <c:pt idx="322">
                  <c:v>5888.3799199999994</c:v>
                </c:pt>
                <c:pt idx="323">
                  <c:v>5888.3799199999994</c:v>
                </c:pt>
                <c:pt idx="324">
                  <c:v>5888.3799199999994</c:v>
                </c:pt>
                <c:pt idx="325">
                  <c:v>5888.3799199999994</c:v>
                </c:pt>
                <c:pt idx="326">
                  <c:v>5888.3799199999994</c:v>
                </c:pt>
                <c:pt idx="327">
                  <c:v>5888.3799199999994</c:v>
                </c:pt>
                <c:pt idx="328">
                  <c:v>5888.3799199999994</c:v>
                </c:pt>
                <c:pt idx="329">
                  <c:v>5888.3799199999994</c:v>
                </c:pt>
                <c:pt idx="330">
                  <c:v>5888.3799199999994</c:v>
                </c:pt>
                <c:pt idx="331">
                  <c:v>5888.3799199999994</c:v>
                </c:pt>
                <c:pt idx="332">
                  <c:v>5888.3799199999994</c:v>
                </c:pt>
                <c:pt idx="333">
                  <c:v>5888.3799199999994</c:v>
                </c:pt>
                <c:pt idx="334">
                  <c:v>5888.3799199999994</c:v>
                </c:pt>
                <c:pt idx="335">
                  <c:v>5888.3799199999994</c:v>
                </c:pt>
                <c:pt idx="336">
                  <c:v>5888.3799199999994</c:v>
                </c:pt>
                <c:pt idx="337">
                  <c:v>5888.3799199999994</c:v>
                </c:pt>
                <c:pt idx="338">
                  <c:v>5888.3799199999994</c:v>
                </c:pt>
                <c:pt idx="339">
                  <c:v>5888.3799199999994</c:v>
                </c:pt>
                <c:pt idx="340">
                  <c:v>5888.3799199999994</c:v>
                </c:pt>
                <c:pt idx="341">
                  <c:v>5888.3799199999994</c:v>
                </c:pt>
                <c:pt idx="342">
                  <c:v>5888.3799199999994</c:v>
                </c:pt>
                <c:pt idx="343">
                  <c:v>5888.3799199999994</c:v>
                </c:pt>
                <c:pt idx="344">
                  <c:v>5888.3799199999994</c:v>
                </c:pt>
                <c:pt idx="345">
                  <c:v>5888.3799199999994</c:v>
                </c:pt>
                <c:pt idx="346">
                  <c:v>5888.3799199999994</c:v>
                </c:pt>
                <c:pt idx="347">
                  <c:v>5888.3799199999994</c:v>
                </c:pt>
                <c:pt idx="348">
                  <c:v>5888.3799199999994</c:v>
                </c:pt>
                <c:pt idx="349">
                  <c:v>5888.3799199999994</c:v>
                </c:pt>
                <c:pt idx="350">
                  <c:v>5888.3799199999994</c:v>
                </c:pt>
                <c:pt idx="351">
                  <c:v>5888.3799199999994</c:v>
                </c:pt>
                <c:pt idx="352">
                  <c:v>5888.3799199999994</c:v>
                </c:pt>
                <c:pt idx="353">
                  <c:v>5888.3799199999994</c:v>
                </c:pt>
                <c:pt idx="354">
                  <c:v>5888.3799199999994</c:v>
                </c:pt>
                <c:pt idx="355">
                  <c:v>5888.3799199999994</c:v>
                </c:pt>
                <c:pt idx="356">
                  <c:v>5888.3799199999994</c:v>
                </c:pt>
                <c:pt idx="357">
                  <c:v>5888.3799199999994</c:v>
                </c:pt>
                <c:pt idx="358">
                  <c:v>5888.3799199999994</c:v>
                </c:pt>
                <c:pt idx="359">
                  <c:v>5888.3799199999994</c:v>
                </c:pt>
                <c:pt idx="360">
                  <c:v>5888.3799199999994</c:v>
                </c:pt>
                <c:pt idx="361">
                  <c:v>5888.3799199999994</c:v>
                </c:pt>
                <c:pt idx="362">
                  <c:v>5888.3799199999994</c:v>
                </c:pt>
                <c:pt idx="363">
                  <c:v>5888.3799199999994</c:v>
                </c:pt>
                <c:pt idx="364">
                  <c:v>5888.3799199999994</c:v>
                </c:pt>
                <c:pt idx="365">
                  <c:v>5888.3799199999994</c:v>
                </c:pt>
                <c:pt idx="366">
                  <c:v>5888.3799199999994</c:v>
                </c:pt>
                <c:pt idx="367">
                  <c:v>5888.3799199999994</c:v>
                </c:pt>
                <c:pt idx="368">
                  <c:v>5888.3799199999994</c:v>
                </c:pt>
                <c:pt idx="369">
                  <c:v>5888.3799199999994</c:v>
                </c:pt>
                <c:pt idx="370">
                  <c:v>5888.3799199999994</c:v>
                </c:pt>
                <c:pt idx="371">
                  <c:v>5888.3799199999994</c:v>
                </c:pt>
                <c:pt idx="372">
                  <c:v>5888.3799199999994</c:v>
                </c:pt>
                <c:pt idx="373">
                  <c:v>5888.3799199999994</c:v>
                </c:pt>
                <c:pt idx="374">
                  <c:v>5888.3799199999994</c:v>
                </c:pt>
                <c:pt idx="375">
                  <c:v>5888.3799199999994</c:v>
                </c:pt>
                <c:pt idx="376">
                  <c:v>5888.3799199999994</c:v>
                </c:pt>
                <c:pt idx="377">
                  <c:v>5888.3799199999994</c:v>
                </c:pt>
                <c:pt idx="378">
                  <c:v>5888.3799199999994</c:v>
                </c:pt>
                <c:pt idx="379">
                  <c:v>5888.3799199999994</c:v>
                </c:pt>
                <c:pt idx="380">
                  <c:v>5888.3799199999994</c:v>
                </c:pt>
                <c:pt idx="381">
                  <c:v>5888.3799199999994</c:v>
                </c:pt>
                <c:pt idx="382">
                  <c:v>5888.3799199999994</c:v>
                </c:pt>
                <c:pt idx="383">
                  <c:v>5888.3799199999994</c:v>
                </c:pt>
                <c:pt idx="384">
                  <c:v>5888.3799199999994</c:v>
                </c:pt>
                <c:pt idx="385">
                  <c:v>5888.3799199999994</c:v>
                </c:pt>
                <c:pt idx="386">
                  <c:v>5888.3799199999994</c:v>
                </c:pt>
                <c:pt idx="387">
                  <c:v>5888.3799199999994</c:v>
                </c:pt>
                <c:pt idx="388">
                  <c:v>5888.3799199999994</c:v>
                </c:pt>
                <c:pt idx="389">
                  <c:v>5888.3799199999994</c:v>
                </c:pt>
                <c:pt idx="390">
                  <c:v>5888.3799199999994</c:v>
                </c:pt>
                <c:pt idx="391">
                  <c:v>5888.3799199999994</c:v>
                </c:pt>
                <c:pt idx="392">
                  <c:v>5888.3799199999994</c:v>
                </c:pt>
                <c:pt idx="393">
                  <c:v>5888.3799199999994</c:v>
                </c:pt>
                <c:pt idx="394">
                  <c:v>5888.3799199999994</c:v>
                </c:pt>
                <c:pt idx="395">
                  <c:v>5888.3799199999994</c:v>
                </c:pt>
                <c:pt idx="396">
                  <c:v>5888.3799199999994</c:v>
                </c:pt>
                <c:pt idx="397">
                  <c:v>5888.3799199999994</c:v>
                </c:pt>
                <c:pt idx="398">
                  <c:v>5888.3799199999994</c:v>
                </c:pt>
                <c:pt idx="399">
                  <c:v>5888.3799199999994</c:v>
                </c:pt>
                <c:pt idx="400">
                  <c:v>5888.3799199999994</c:v>
                </c:pt>
                <c:pt idx="401">
                  <c:v>5888.3799199999994</c:v>
                </c:pt>
                <c:pt idx="402">
                  <c:v>5888.3799199999994</c:v>
                </c:pt>
                <c:pt idx="403">
                  <c:v>5888.3799199999994</c:v>
                </c:pt>
                <c:pt idx="404">
                  <c:v>5888.3799199999994</c:v>
                </c:pt>
                <c:pt idx="405">
                  <c:v>5888.3799199999994</c:v>
                </c:pt>
                <c:pt idx="406">
                  <c:v>5888.3799199999994</c:v>
                </c:pt>
                <c:pt idx="407">
                  <c:v>5888.3799199999994</c:v>
                </c:pt>
                <c:pt idx="408">
                  <c:v>5888.3799199999994</c:v>
                </c:pt>
                <c:pt idx="409">
                  <c:v>5888.3799199999994</c:v>
                </c:pt>
                <c:pt idx="410">
                  <c:v>5888.3799199999994</c:v>
                </c:pt>
                <c:pt idx="411">
                  <c:v>5888.3799199999994</c:v>
                </c:pt>
                <c:pt idx="412">
                  <c:v>5888.3799199999994</c:v>
                </c:pt>
                <c:pt idx="413">
                  <c:v>5888.3799199999994</c:v>
                </c:pt>
                <c:pt idx="414">
                  <c:v>5888.3799199999994</c:v>
                </c:pt>
                <c:pt idx="415">
                  <c:v>5888.3799199999994</c:v>
                </c:pt>
                <c:pt idx="416">
                  <c:v>5888.3799199999994</c:v>
                </c:pt>
                <c:pt idx="417">
                  <c:v>5888.3799199999994</c:v>
                </c:pt>
                <c:pt idx="418">
                  <c:v>5888.3799199999994</c:v>
                </c:pt>
                <c:pt idx="419">
                  <c:v>5888.3799199999994</c:v>
                </c:pt>
                <c:pt idx="420">
                  <c:v>5888.3799199999994</c:v>
                </c:pt>
                <c:pt idx="421">
                  <c:v>5888.3799199999994</c:v>
                </c:pt>
                <c:pt idx="422">
                  <c:v>5888.3799199999994</c:v>
                </c:pt>
                <c:pt idx="423">
                  <c:v>5888.3799199999994</c:v>
                </c:pt>
                <c:pt idx="424">
                  <c:v>5888.3799199999994</c:v>
                </c:pt>
                <c:pt idx="425">
                  <c:v>5888.3799199999994</c:v>
                </c:pt>
                <c:pt idx="426">
                  <c:v>5888.3799199999994</c:v>
                </c:pt>
                <c:pt idx="427">
                  <c:v>5888.3799199999994</c:v>
                </c:pt>
                <c:pt idx="428">
                  <c:v>5888.3799199999994</c:v>
                </c:pt>
                <c:pt idx="429">
                  <c:v>5888.3799199999994</c:v>
                </c:pt>
                <c:pt idx="430">
                  <c:v>5888.3799199999994</c:v>
                </c:pt>
                <c:pt idx="431">
                  <c:v>5888.3799199999994</c:v>
                </c:pt>
                <c:pt idx="432">
                  <c:v>5888.3799199999994</c:v>
                </c:pt>
                <c:pt idx="433">
                  <c:v>5888.3799199999994</c:v>
                </c:pt>
                <c:pt idx="434">
                  <c:v>5888.3799199999994</c:v>
                </c:pt>
                <c:pt idx="435">
                  <c:v>5888.3799199999994</c:v>
                </c:pt>
                <c:pt idx="436">
                  <c:v>5888.3799199999994</c:v>
                </c:pt>
                <c:pt idx="437">
                  <c:v>5888.3799199999994</c:v>
                </c:pt>
                <c:pt idx="438">
                  <c:v>5888.3799199999994</c:v>
                </c:pt>
                <c:pt idx="439">
                  <c:v>5888.3799199999994</c:v>
                </c:pt>
                <c:pt idx="440">
                  <c:v>5888.3799199999994</c:v>
                </c:pt>
                <c:pt idx="441">
                  <c:v>5888.3799199999994</c:v>
                </c:pt>
                <c:pt idx="442">
                  <c:v>5888.3799199999994</c:v>
                </c:pt>
                <c:pt idx="443">
                  <c:v>5888.3799199999994</c:v>
                </c:pt>
                <c:pt idx="444">
                  <c:v>5888.3799199999994</c:v>
                </c:pt>
                <c:pt idx="445">
                  <c:v>5888.3799199999994</c:v>
                </c:pt>
                <c:pt idx="446">
                  <c:v>5888.3799199999994</c:v>
                </c:pt>
                <c:pt idx="447">
                  <c:v>5888.3799199999994</c:v>
                </c:pt>
                <c:pt idx="448">
                  <c:v>5888.3799199999994</c:v>
                </c:pt>
                <c:pt idx="449">
                  <c:v>5888.3799199999994</c:v>
                </c:pt>
                <c:pt idx="450">
                  <c:v>5888.3799199999994</c:v>
                </c:pt>
                <c:pt idx="451">
                  <c:v>5888.3799199999994</c:v>
                </c:pt>
                <c:pt idx="452">
                  <c:v>5888.3799199999994</c:v>
                </c:pt>
                <c:pt idx="453">
                  <c:v>5888.3799199999994</c:v>
                </c:pt>
                <c:pt idx="454">
                  <c:v>5888.3799199999994</c:v>
                </c:pt>
                <c:pt idx="455">
                  <c:v>5888.3799199999994</c:v>
                </c:pt>
                <c:pt idx="456">
                  <c:v>5888.3799199999994</c:v>
                </c:pt>
                <c:pt idx="457">
                  <c:v>5888.3799199999994</c:v>
                </c:pt>
                <c:pt idx="458">
                  <c:v>5888.3799199999994</c:v>
                </c:pt>
                <c:pt idx="459">
                  <c:v>5888.3799199999994</c:v>
                </c:pt>
                <c:pt idx="460">
                  <c:v>5888.3799199999994</c:v>
                </c:pt>
                <c:pt idx="461">
                  <c:v>5888.3799199999994</c:v>
                </c:pt>
                <c:pt idx="462">
                  <c:v>5888.3799199999994</c:v>
                </c:pt>
                <c:pt idx="463">
                  <c:v>5888.3799199999994</c:v>
                </c:pt>
                <c:pt idx="464">
                  <c:v>5888.3799199999994</c:v>
                </c:pt>
                <c:pt idx="465">
                  <c:v>5888.3799199999994</c:v>
                </c:pt>
                <c:pt idx="466">
                  <c:v>5888.3799199999994</c:v>
                </c:pt>
                <c:pt idx="467">
                  <c:v>5888.3799199999994</c:v>
                </c:pt>
                <c:pt idx="468">
                  <c:v>5888.3799199999994</c:v>
                </c:pt>
                <c:pt idx="469">
                  <c:v>5888.3799199999994</c:v>
                </c:pt>
                <c:pt idx="470">
                  <c:v>5888.3799199999994</c:v>
                </c:pt>
                <c:pt idx="471">
                  <c:v>5888.3799199999994</c:v>
                </c:pt>
                <c:pt idx="472">
                  <c:v>5888.3799199999994</c:v>
                </c:pt>
                <c:pt idx="473">
                  <c:v>5888.3799199999994</c:v>
                </c:pt>
                <c:pt idx="474">
                  <c:v>5888.3799199999994</c:v>
                </c:pt>
                <c:pt idx="475">
                  <c:v>5888.3799199999994</c:v>
                </c:pt>
                <c:pt idx="476">
                  <c:v>5888.3799199999994</c:v>
                </c:pt>
                <c:pt idx="477">
                  <c:v>5888.3799199999994</c:v>
                </c:pt>
                <c:pt idx="478">
                  <c:v>5888.3799199999994</c:v>
                </c:pt>
                <c:pt idx="479">
                  <c:v>5888.3799199999994</c:v>
                </c:pt>
                <c:pt idx="480">
                  <c:v>5888.3799199999994</c:v>
                </c:pt>
                <c:pt idx="481">
                  <c:v>5888.3799199999994</c:v>
                </c:pt>
                <c:pt idx="482">
                  <c:v>5888.3799199999994</c:v>
                </c:pt>
                <c:pt idx="483">
                  <c:v>5888.3799199999994</c:v>
                </c:pt>
                <c:pt idx="484">
                  <c:v>5888.3799199999994</c:v>
                </c:pt>
                <c:pt idx="485">
                  <c:v>5888.3799199999994</c:v>
                </c:pt>
                <c:pt idx="486">
                  <c:v>5888.3799199999994</c:v>
                </c:pt>
                <c:pt idx="487">
                  <c:v>5888.3799199999994</c:v>
                </c:pt>
                <c:pt idx="488">
                  <c:v>5888.3799199999994</c:v>
                </c:pt>
                <c:pt idx="489">
                  <c:v>5888.3799199999994</c:v>
                </c:pt>
                <c:pt idx="490">
                  <c:v>5888.3799199999994</c:v>
                </c:pt>
                <c:pt idx="491">
                  <c:v>5888.3799199999994</c:v>
                </c:pt>
                <c:pt idx="492">
                  <c:v>5888.3799199999994</c:v>
                </c:pt>
                <c:pt idx="493">
                  <c:v>5888.3799199999994</c:v>
                </c:pt>
                <c:pt idx="494">
                  <c:v>5888.3799199999994</c:v>
                </c:pt>
                <c:pt idx="495">
                  <c:v>5888.3799199999994</c:v>
                </c:pt>
                <c:pt idx="496">
                  <c:v>5888.3799199999994</c:v>
                </c:pt>
                <c:pt idx="497">
                  <c:v>5888.3799199999994</c:v>
                </c:pt>
                <c:pt idx="498">
                  <c:v>5888.3799199999994</c:v>
                </c:pt>
                <c:pt idx="499">
                  <c:v>5888.3799199999994</c:v>
                </c:pt>
                <c:pt idx="500">
                  <c:v>5888.3799199999994</c:v>
                </c:pt>
                <c:pt idx="501">
                  <c:v>5888.3799199999994</c:v>
                </c:pt>
                <c:pt idx="502">
                  <c:v>5888.3799199999994</c:v>
                </c:pt>
                <c:pt idx="503">
                  <c:v>5888.3799199999994</c:v>
                </c:pt>
                <c:pt idx="504">
                  <c:v>5888.3799199999994</c:v>
                </c:pt>
                <c:pt idx="505">
                  <c:v>5888.3799199999994</c:v>
                </c:pt>
                <c:pt idx="506">
                  <c:v>5888.3799199999994</c:v>
                </c:pt>
                <c:pt idx="507">
                  <c:v>5888.3799199999994</c:v>
                </c:pt>
                <c:pt idx="508">
                  <c:v>5888.3799199999994</c:v>
                </c:pt>
                <c:pt idx="509">
                  <c:v>5888.3799199999994</c:v>
                </c:pt>
                <c:pt idx="510">
                  <c:v>5888.3799199999994</c:v>
                </c:pt>
                <c:pt idx="511">
                  <c:v>5888.3799199999994</c:v>
                </c:pt>
                <c:pt idx="512">
                  <c:v>5888.3799199999994</c:v>
                </c:pt>
                <c:pt idx="513">
                  <c:v>5888.3799199999994</c:v>
                </c:pt>
                <c:pt idx="514">
                  <c:v>5888.3799199999994</c:v>
                </c:pt>
                <c:pt idx="515">
                  <c:v>5888.3799199999994</c:v>
                </c:pt>
                <c:pt idx="516">
                  <c:v>5888.3799199999994</c:v>
                </c:pt>
                <c:pt idx="517">
                  <c:v>5888.3799199999994</c:v>
                </c:pt>
                <c:pt idx="518">
                  <c:v>5888.3799199999994</c:v>
                </c:pt>
                <c:pt idx="519">
                  <c:v>5888.3799199999994</c:v>
                </c:pt>
                <c:pt idx="520">
                  <c:v>5888.3799199999994</c:v>
                </c:pt>
                <c:pt idx="521">
                  <c:v>5888.3799199999994</c:v>
                </c:pt>
                <c:pt idx="522">
                  <c:v>5888.3799199999994</c:v>
                </c:pt>
                <c:pt idx="523">
                  <c:v>5888.3799199999994</c:v>
                </c:pt>
                <c:pt idx="524">
                  <c:v>5888.3799199999994</c:v>
                </c:pt>
                <c:pt idx="525">
                  <c:v>5888.3799199999994</c:v>
                </c:pt>
                <c:pt idx="526">
                  <c:v>5888.3799199999994</c:v>
                </c:pt>
                <c:pt idx="527">
                  <c:v>5888.3799199999994</c:v>
                </c:pt>
                <c:pt idx="528">
                  <c:v>5888.3799199999994</c:v>
                </c:pt>
                <c:pt idx="529">
                  <c:v>5888.3799199999994</c:v>
                </c:pt>
                <c:pt idx="530">
                  <c:v>5888.3799199999994</c:v>
                </c:pt>
                <c:pt idx="531">
                  <c:v>5888.3799199999994</c:v>
                </c:pt>
                <c:pt idx="532">
                  <c:v>5888.3799199999994</c:v>
                </c:pt>
                <c:pt idx="533">
                  <c:v>5888.3799199999994</c:v>
                </c:pt>
                <c:pt idx="534">
                  <c:v>5888.3799199999994</c:v>
                </c:pt>
                <c:pt idx="535">
                  <c:v>5888.3799199999994</c:v>
                </c:pt>
                <c:pt idx="536">
                  <c:v>5888.3799199999994</c:v>
                </c:pt>
                <c:pt idx="537">
                  <c:v>5888.3799199999994</c:v>
                </c:pt>
                <c:pt idx="538">
                  <c:v>5888.3799199999994</c:v>
                </c:pt>
                <c:pt idx="539">
                  <c:v>5888.3799199999994</c:v>
                </c:pt>
                <c:pt idx="540">
                  <c:v>5888.3799199999994</c:v>
                </c:pt>
                <c:pt idx="541">
                  <c:v>5888.3799199999994</c:v>
                </c:pt>
                <c:pt idx="542">
                  <c:v>5888.3799199999994</c:v>
                </c:pt>
                <c:pt idx="543">
                  <c:v>5888.3799199999994</c:v>
                </c:pt>
                <c:pt idx="544">
                  <c:v>5888.3799199999994</c:v>
                </c:pt>
                <c:pt idx="545">
                  <c:v>5888.3799199999994</c:v>
                </c:pt>
                <c:pt idx="546">
                  <c:v>5888.3799199999994</c:v>
                </c:pt>
                <c:pt idx="547">
                  <c:v>5888.3799199999994</c:v>
                </c:pt>
                <c:pt idx="548">
                  <c:v>5888.3799199999994</c:v>
                </c:pt>
                <c:pt idx="549">
                  <c:v>5888.3799199999994</c:v>
                </c:pt>
                <c:pt idx="550">
                  <c:v>5888.3799199999994</c:v>
                </c:pt>
                <c:pt idx="551">
                  <c:v>5888.3799199999994</c:v>
                </c:pt>
                <c:pt idx="552">
                  <c:v>5888.3799199999994</c:v>
                </c:pt>
                <c:pt idx="553">
                  <c:v>5888.3799199999994</c:v>
                </c:pt>
                <c:pt idx="554">
                  <c:v>5888.3799199999994</c:v>
                </c:pt>
                <c:pt idx="555">
                  <c:v>5888.3799199999994</c:v>
                </c:pt>
                <c:pt idx="556">
                  <c:v>5888.3799199999994</c:v>
                </c:pt>
                <c:pt idx="557">
                  <c:v>5888.3799199999994</c:v>
                </c:pt>
                <c:pt idx="558">
                  <c:v>5888.3799199999994</c:v>
                </c:pt>
                <c:pt idx="559">
                  <c:v>5888.3799199999994</c:v>
                </c:pt>
                <c:pt idx="560">
                  <c:v>5888.3799199999994</c:v>
                </c:pt>
                <c:pt idx="561">
                  <c:v>5888.3799199999994</c:v>
                </c:pt>
                <c:pt idx="562">
                  <c:v>5888.3799199999994</c:v>
                </c:pt>
                <c:pt idx="563">
                  <c:v>5888.3799199999994</c:v>
                </c:pt>
                <c:pt idx="564">
                  <c:v>5888.3799199999994</c:v>
                </c:pt>
                <c:pt idx="565">
                  <c:v>5888.3799199999994</c:v>
                </c:pt>
                <c:pt idx="566">
                  <c:v>5888.3799199999994</c:v>
                </c:pt>
                <c:pt idx="567">
                  <c:v>5888.3799199999994</c:v>
                </c:pt>
                <c:pt idx="568">
                  <c:v>5888.3799199999994</c:v>
                </c:pt>
                <c:pt idx="569">
                  <c:v>5888.3799199999994</c:v>
                </c:pt>
                <c:pt idx="570">
                  <c:v>5888.3799199999994</c:v>
                </c:pt>
                <c:pt idx="571">
                  <c:v>5888.3799199999994</c:v>
                </c:pt>
                <c:pt idx="572">
                  <c:v>5888.3799199999994</c:v>
                </c:pt>
                <c:pt idx="573">
                  <c:v>5888.3799199999994</c:v>
                </c:pt>
                <c:pt idx="574">
                  <c:v>5888.3799199999994</c:v>
                </c:pt>
                <c:pt idx="575">
                  <c:v>5888.3799199999994</c:v>
                </c:pt>
                <c:pt idx="576">
                  <c:v>5888.3799199999994</c:v>
                </c:pt>
                <c:pt idx="577">
                  <c:v>5888.3799199999994</c:v>
                </c:pt>
                <c:pt idx="578">
                  <c:v>5888.3799199999994</c:v>
                </c:pt>
                <c:pt idx="579">
                  <c:v>5888.3799199999994</c:v>
                </c:pt>
                <c:pt idx="580">
                  <c:v>5888.3799199999994</c:v>
                </c:pt>
                <c:pt idx="581">
                  <c:v>5888.3799199999994</c:v>
                </c:pt>
                <c:pt idx="582">
                  <c:v>5888.3799199999994</c:v>
                </c:pt>
                <c:pt idx="583">
                  <c:v>5888.3799199999994</c:v>
                </c:pt>
                <c:pt idx="584">
                  <c:v>5888.3799199999994</c:v>
                </c:pt>
                <c:pt idx="585">
                  <c:v>5888.3799199999994</c:v>
                </c:pt>
                <c:pt idx="586">
                  <c:v>5888.3799199999994</c:v>
                </c:pt>
                <c:pt idx="587">
                  <c:v>5888.3799199999994</c:v>
                </c:pt>
                <c:pt idx="588">
                  <c:v>5888.3799199999994</c:v>
                </c:pt>
                <c:pt idx="589">
                  <c:v>5888.3799199999994</c:v>
                </c:pt>
                <c:pt idx="590">
                  <c:v>5888.3799199999994</c:v>
                </c:pt>
                <c:pt idx="591">
                  <c:v>5888.3799199999994</c:v>
                </c:pt>
                <c:pt idx="592">
                  <c:v>5888.3799199999994</c:v>
                </c:pt>
                <c:pt idx="593">
                  <c:v>5888.3799199999994</c:v>
                </c:pt>
                <c:pt idx="594">
                  <c:v>5888.3799199999994</c:v>
                </c:pt>
                <c:pt idx="595">
                  <c:v>5888.3799199999994</c:v>
                </c:pt>
                <c:pt idx="596">
                  <c:v>5888.3799199999994</c:v>
                </c:pt>
                <c:pt idx="597">
                  <c:v>5888.3799199999994</c:v>
                </c:pt>
                <c:pt idx="598">
                  <c:v>5888.3799199999994</c:v>
                </c:pt>
                <c:pt idx="599">
                  <c:v>5888.3799199999994</c:v>
                </c:pt>
                <c:pt idx="600">
                  <c:v>5888.3799199999994</c:v>
                </c:pt>
                <c:pt idx="601">
                  <c:v>5888.3799199999994</c:v>
                </c:pt>
                <c:pt idx="602">
                  <c:v>5888.3799199999994</c:v>
                </c:pt>
                <c:pt idx="603">
                  <c:v>5888.3799199999994</c:v>
                </c:pt>
                <c:pt idx="604">
                  <c:v>5888.3799199999994</c:v>
                </c:pt>
                <c:pt idx="605">
                  <c:v>5888.3799199999994</c:v>
                </c:pt>
                <c:pt idx="606">
                  <c:v>5888.3799199999994</c:v>
                </c:pt>
                <c:pt idx="607">
                  <c:v>5888.3799199999994</c:v>
                </c:pt>
                <c:pt idx="608">
                  <c:v>5888.3799199999994</c:v>
                </c:pt>
                <c:pt idx="609">
                  <c:v>5888.3799199999994</c:v>
                </c:pt>
                <c:pt idx="610">
                  <c:v>5888.3799199999994</c:v>
                </c:pt>
                <c:pt idx="611">
                  <c:v>5888.3799199999994</c:v>
                </c:pt>
                <c:pt idx="612">
                  <c:v>5888.3799199999994</c:v>
                </c:pt>
                <c:pt idx="613">
                  <c:v>5888.3799199999994</c:v>
                </c:pt>
                <c:pt idx="614">
                  <c:v>5888.3799199999994</c:v>
                </c:pt>
                <c:pt idx="615">
                  <c:v>5888.3799199999994</c:v>
                </c:pt>
                <c:pt idx="616">
                  <c:v>5888.3799199999994</c:v>
                </c:pt>
                <c:pt idx="617">
                  <c:v>5888.3799199999994</c:v>
                </c:pt>
                <c:pt idx="618">
                  <c:v>5888.3799199999994</c:v>
                </c:pt>
                <c:pt idx="619">
                  <c:v>5888.3799199999994</c:v>
                </c:pt>
                <c:pt idx="620">
                  <c:v>5888.3799199999994</c:v>
                </c:pt>
                <c:pt idx="621">
                  <c:v>5888.3799199999994</c:v>
                </c:pt>
                <c:pt idx="622">
                  <c:v>5888.3799199999994</c:v>
                </c:pt>
                <c:pt idx="623">
                  <c:v>5888.3799199999994</c:v>
                </c:pt>
                <c:pt idx="624">
                  <c:v>5888.3799199999994</c:v>
                </c:pt>
                <c:pt idx="625">
                  <c:v>5888.3799199999994</c:v>
                </c:pt>
                <c:pt idx="626">
                  <c:v>5888.3799199999994</c:v>
                </c:pt>
                <c:pt idx="627">
                  <c:v>5888.3799199999994</c:v>
                </c:pt>
                <c:pt idx="628">
                  <c:v>5888.3799199999994</c:v>
                </c:pt>
                <c:pt idx="629">
                  <c:v>5888.3799199999994</c:v>
                </c:pt>
                <c:pt idx="630">
                  <c:v>5888.3799199999994</c:v>
                </c:pt>
                <c:pt idx="631">
                  <c:v>5888.3799199999994</c:v>
                </c:pt>
                <c:pt idx="632">
                  <c:v>5888.3799199999994</c:v>
                </c:pt>
                <c:pt idx="633">
                  <c:v>5888.3799199999994</c:v>
                </c:pt>
                <c:pt idx="634">
                  <c:v>5888.3799199999994</c:v>
                </c:pt>
                <c:pt idx="635">
                  <c:v>5888.3799199999994</c:v>
                </c:pt>
                <c:pt idx="636">
                  <c:v>5888.3799199999994</c:v>
                </c:pt>
                <c:pt idx="637">
                  <c:v>5888.3799199999994</c:v>
                </c:pt>
                <c:pt idx="638">
                  <c:v>5888.3799199999994</c:v>
                </c:pt>
                <c:pt idx="639">
                  <c:v>5888.3799199999994</c:v>
                </c:pt>
                <c:pt idx="640">
                  <c:v>5888.3799199999994</c:v>
                </c:pt>
                <c:pt idx="641">
                  <c:v>5888.3799199999994</c:v>
                </c:pt>
                <c:pt idx="642">
                  <c:v>5888.3799199999994</c:v>
                </c:pt>
                <c:pt idx="643">
                  <c:v>5888.3799199999994</c:v>
                </c:pt>
                <c:pt idx="644">
                  <c:v>5888.3799199999994</c:v>
                </c:pt>
                <c:pt idx="645">
                  <c:v>5888.3799199999994</c:v>
                </c:pt>
                <c:pt idx="646">
                  <c:v>5888.3799199999994</c:v>
                </c:pt>
                <c:pt idx="647">
                  <c:v>5888.3799199999994</c:v>
                </c:pt>
                <c:pt idx="648">
                  <c:v>5888.3799199999994</c:v>
                </c:pt>
                <c:pt idx="649">
                  <c:v>5888.3799199999994</c:v>
                </c:pt>
                <c:pt idx="650">
                  <c:v>5888.3799199999994</c:v>
                </c:pt>
                <c:pt idx="651">
                  <c:v>5888.3799199999994</c:v>
                </c:pt>
                <c:pt idx="652">
                  <c:v>5888.3799199999994</c:v>
                </c:pt>
                <c:pt idx="653">
                  <c:v>5888.3799199999994</c:v>
                </c:pt>
                <c:pt idx="654">
                  <c:v>5888.3799199999994</c:v>
                </c:pt>
                <c:pt idx="655">
                  <c:v>5888.3799199999994</c:v>
                </c:pt>
                <c:pt idx="656">
                  <c:v>5888.3799199999994</c:v>
                </c:pt>
                <c:pt idx="657">
                  <c:v>5888.3799199999994</c:v>
                </c:pt>
                <c:pt idx="658">
                  <c:v>5888.3799199999994</c:v>
                </c:pt>
                <c:pt idx="659">
                  <c:v>5888.3799199999994</c:v>
                </c:pt>
                <c:pt idx="660">
                  <c:v>5888.3799199999994</c:v>
                </c:pt>
                <c:pt idx="661">
                  <c:v>5888.3799199999994</c:v>
                </c:pt>
                <c:pt idx="662">
                  <c:v>5888.3799199999994</c:v>
                </c:pt>
                <c:pt idx="663">
                  <c:v>5888.3799199999994</c:v>
                </c:pt>
                <c:pt idx="664">
                  <c:v>5888.3799199999994</c:v>
                </c:pt>
                <c:pt idx="665">
                  <c:v>5888.3799199999994</c:v>
                </c:pt>
                <c:pt idx="666">
                  <c:v>5888.3799199999994</c:v>
                </c:pt>
                <c:pt idx="667">
                  <c:v>5888.3799199999994</c:v>
                </c:pt>
                <c:pt idx="668">
                  <c:v>5888.3799199999994</c:v>
                </c:pt>
                <c:pt idx="669">
                  <c:v>5888.3799199999994</c:v>
                </c:pt>
                <c:pt idx="670">
                  <c:v>5888.3799199999994</c:v>
                </c:pt>
                <c:pt idx="671">
                  <c:v>5888.3799199999994</c:v>
                </c:pt>
                <c:pt idx="672">
                  <c:v>5888.3799199999994</c:v>
                </c:pt>
                <c:pt idx="673">
                  <c:v>5888.3799199999994</c:v>
                </c:pt>
                <c:pt idx="674">
                  <c:v>5888.3799199999994</c:v>
                </c:pt>
                <c:pt idx="675">
                  <c:v>5888.3799199999994</c:v>
                </c:pt>
                <c:pt idx="676">
                  <c:v>5888.3799199999994</c:v>
                </c:pt>
                <c:pt idx="677">
                  <c:v>5888.3799199999994</c:v>
                </c:pt>
                <c:pt idx="678">
                  <c:v>5888.3799199999994</c:v>
                </c:pt>
                <c:pt idx="679">
                  <c:v>5888.3799199999994</c:v>
                </c:pt>
                <c:pt idx="680">
                  <c:v>5888.3799199999994</c:v>
                </c:pt>
                <c:pt idx="681">
                  <c:v>5888.3799199999994</c:v>
                </c:pt>
                <c:pt idx="682">
                  <c:v>5888.3799199999994</c:v>
                </c:pt>
                <c:pt idx="683">
                  <c:v>5888.3799199999994</c:v>
                </c:pt>
                <c:pt idx="684">
                  <c:v>5888.3799199999994</c:v>
                </c:pt>
                <c:pt idx="685">
                  <c:v>5888.3799199999994</c:v>
                </c:pt>
                <c:pt idx="686">
                  <c:v>5888.3799199999994</c:v>
                </c:pt>
                <c:pt idx="687">
                  <c:v>5888.3799199999994</c:v>
                </c:pt>
                <c:pt idx="688">
                  <c:v>5888.3799199999994</c:v>
                </c:pt>
                <c:pt idx="689">
                  <c:v>5888.3799199999994</c:v>
                </c:pt>
                <c:pt idx="690">
                  <c:v>5888.3799199999994</c:v>
                </c:pt>
                <c:pt idx="691">
                  <c:v>5888.3799199999994</c:v>
                </c:pt>
                <c:pt idx="692">
                  <c:v>5888.3799199999994</c:v>
                </c:pt>
                <c:pt idx="693">
                  <c:v>5888.3799199999994</c:v>
                </c:pt>
                <c:pt idx="694">
                  <c:v>5888.3799199999994</c:v>
                </c:pt>
                <c:pt idx="695">
                  <c:v>5888.3799199999994</c:v>
                </c:pt>
                <c:pt idx="696">
                  <c:v>5888.3799199999994</c:v>
                </c:pt>
                <c:pt idx="697">
                  <c:v>5888.3799199999994</c:v>
                </c:pt>
                <c:pt idx="698">
                  <c:v>5888.3799199999994</c:v>
                </c:pt>
                <c:pt idx="699">
                  <c:v>5888.3799199999994</c:v>
                </c:pt>
                <c:pt idx="700">
                  <c:v>5888.3799199999994</c:v>
                </c:pt>
                <c:pt idx="701">
                  <c:v>5888.3799199999994</c:v>
                </c:pt>
                <c:pt idx="702">
                  <c:v>5888.3799199999994</c:v>
                </c:pt>
                <c:pt idx="703">
                  <c:v>5888.3799199999994</c:v>
                </c:pt>
                <c:pt idx="704">
                  <c:v>5888.3799199999994</c:v>
                </c:pt>
                <c:pt idx="705">
                  <c:v>5888.3799199999994</c:v>
                </c:pt>
                <c:pt idx="706">
                  <c:v>5888.3799199999994</c:v>
                </c:pt>
                <c:pt idx="707">
                  <c:v>5888.3799199999994</c:v>
                </c:pt>
                <c:pt idx="708">
                  <c:v>5888.3799199999994</c:v>
                </c:pt>
                <c:pt idx="709">
                  <c:v>5888.3799199999994</c:v>
                </c:pt>
                <c:pt idx="710">
                  <c:v>5888.3799199999994</c:v>
                </c:pt>
                <c:pt idx="711">
                  <c:v>5888.3799199999994</c:v>
                </c:pt>
                <c:pt idx="712">
                  <c:v>5888.3799199999994</c:v>
                </c:pt>
                <c:pt idx="713">
                  <c:v>5888.3799199999994</c:v>
                </c:pt>
                <c:pt idx="714">
                  <c:v>5888.3799199999994</c:v>
                </c:pt>
                <c:pt idx="715">
                  <c:v>5888.3799199999994</c:v>
                </c:pt>
                <c:pt idx="716">
                  <c:v>5888.3799199999994</c:v>
                </c:pt>
                <c:pt idx="717">
                  <c:v>5888.3799199999994</c:v>
                </c:pt>
                <c:pt idx="718">
                  <c:v>5888.3799199999994</c:v>
                </c:pt>
                <c:pt idx="719">
                  <c:v>5888.3799199999994</c:v>
                </c:pt>
                <c:pt idx="720">
                  <c:v>5888.3799199999994</c:v>
                </c:pt>
                <c:pt idx="721">
                  <c:v>5888.3799199999994</c:v>
                </c:pt>
                <c:pt idx="722">
                  <c:v>5888.3799199999994</c:v>
                </c:pt>
                <c:pt idx="723">
                  <c:v>5888.3799199999994</c:v>
                </c:pt>
                <c:pt idx="724">
                  <c:v>5888.3799199999994</c:v>
                </c:pt>
                <c:pt idx="725">
                  <c:v>5888.3799199999994</c:v>
                </c:pt>
                <c:pt idx="726">
                  <c:v>5888.3799199999994</c:v>
                </c:pt>
                <c:pt idx="727">
                  <c:v>5888.3799199999994</c:v>
                </c:pt>
                <c:pt idx="728">
                  <c:v>5888.3799199999994</c:v>
                </c:pt>
                <c:pt idx="729">
                  <c:v>5888.3799199999994</c:v>
                </c:pt>
                <c:pt idx="730">
                  <c:v>5888.3799199999994</c:v>
                </c:pt>
                <c:pt idx="731">
                  <c:v>5888.3799199999994</c:v>
                </c:pt>
                <c:pt idx="732">
                  <c:v>5888.3799199999994</c:v>
                </c:pt>
                <c:pt idx="733">
                  <c:v>5888.3799199999994</c:v>
                </c:pt>
                <c:pt idx="734">
                  <c:v>5888.3799199999994</c:v>
                </c:pt>
                <c:pt idx="735">
                  <c:v>5888.3799199999994</c:v>
                </c:pt>
                <c:pt idx="736">
                  <c:v>5888.3799199999994</c:v>
                </c:pt>
                <c:pt idx="737">
                  <c:v>5888.3799199999994</c:v>
                </c:pt>
                <c:pt idx="738">
                  <c:v>5888.3799199999994</c:v>
                </c:pt>
                <c:pt idx="739">
                  <c:v>5888.3799199999994</c:v>
                </c:pt>
                <c:pt idx="740">
                  <c:v>5888.3799199999994</c:v>
                </c:pt>
                <c:pt idx="741">
                  <c:v>5888.3799199999994</c:v>
                </c:pt>
                <c:pt idx="742">
                  <c:v>5888.3799199999994</c:v>
                </c:pt>
                <c:pt idx="743">
                  <c:v>5888.3799199999994</c:v>
                </c:pt>
                <c:pt idx="744">
                  <c:v>5888.3799199999994</c:v>
                </c:pt>
                <c:pt idx="745">
                  <c:v>5888.3799199999994</c:v>
                </c:pt>
                <c:pt idx="746">
                  <c:v>5888.3799199999994</c:v>
                </c:pt>
                <c:pt idx="747">
                  <c:v>5888.3799199999994</c:v>
                </c:pt>
                <c:pt idx="748">
                  <c:v>5888.3799199999994</c:v>
                </c:pt>
                <c:pt idx="749">
                  <c:v>5888.3799199999994</c:v>
                </c:pt>
                <c:pt idx="750">
                  <c:v>5888.3799199999994</c:v>
                </c:pt>
                <c:pt idx="751">
                  <c:v>5888.3799199999994</c:v>
                </c:pt>
                <c:pt idx="752">
                  <c:v>5888.3799199999994</c:v>
                </c:pt>
                <c:pt idx="753">
                  <c:v>5888.3799199999994</c:v>
                </c:pt>
                <c:pt idx="754">
                  <c:v>5888.3799199999994</c:v>
                </c:pt>
                <c:pt idx="755">
                  <c:v>5888.3799199999994</c:v>
                </c:pt>
                <c:pt idx="756">
                  <c:v>5888.3799199999994</c:v>
                </c:pt>
                <c:pt idx="757">
                  <c:v>5888.3799199999994</c:v>
                </c:pt>
                <c:pt idx="758">
                  <c:v>5888.3799199999994</c:v>
                </c:pt>
                <c:pt idx="759">
                  <c:v>5888.3799199999994</c:v>
                </c:pt>
                <c:pt idx="760">
                  <c:v>5888.3799199999994</c:v>
                </c:pt>
                <c:pt idx="761">
                  <c:v>5888.3799199999994</c:v>
                </c:pt>
                <c:pt idx="762">
                  <c:v>5888.3799199999994</c:v>
                </c:pt>
                <c:pt idx="763">
                  <c:v>5888.3799199999994</c:v>
                </c:pt>
                <c:pt idx="764">
                  <c:v>5888.3799199999994</c:v>
                </c:pt>
                <c:pt idx="765">
                  <c:v>5888.3799199999994</c:v>
                </c:pt>
                <c:pt idx="766">
                  <c:v>5888.3799199999994</c:v>
                </c:pt>
                <c:pt idx="767">
                  <c:v>5888.3799199999994</c:v>
                </c:pt>
                <c:pt idx="768">
                  <c:v>5888.3799199999994</c:v>
                </c:pt>
                <c:pt idx="769">
                  <c:v>5888.3799199999994</c:v>
                </c:pt>
                <c:pt idx="770">
                  <c:v>5888.3799199999994</c:v>
                </c:pt>
                <c:pt idx="771">
                  <c:v>5888.3799199999994</c:v>
                </c:pt>
                <c:pt idx="772">
                  <c:v>5888.3799199999994</c:v>
                </c:pt>
                <c:pt idx="773">
                  <c:v>5888.3799199999994</c:v>
                </c:pt>
                <c:pt idx="774">
                  <c:v>5888.3799199999994</c:v>
                </c:pt>
                <c:pt idx="775">
                  <c:v>5888.3799199999994</c:v>
                </c:pt>
                <c:pt idx="776">
                  <c:v>5888.3799199999994</c:v>
                </c:pt>
                <c:pt idx="777">
                  <c:v>5888.3799199999994</c:v>
                </c:pt>
                <c:pt idx="778">
                  <c:v>5888.3799199999994</c:v>
                </c:pt>
                <c:pt idx="779">
                  <c:v>5888.3799199999994</c:v>
                </c:pt>
                <c:pt idx="780">
                  <c:v>5888.3799199999994</c:v>
                </c:pt>
                <c:pt idx="781">
                  <c:v>5888.3799199999994</c:v>
                </c:pt>
                <c:pt idx="782">
                  <c:v>5888.3799199999994</c:v>
                </c:pt>
                <c:pt idx="783">
                  <c:v>5888.3799199999994</c:v>
                </c:pt>
                <c:pt idx="784">
                  <c:v>5888.3799199999994</c:v>
                </c:pt>
                <c:pt idx="785">
                  <c:v>5888.3799199999994</c:v>
                </c:pt>
                <c:pt idx="786">
                  <c:v>5888.3799199999994</c:v>
                </c:pt>
                <c:pt idx="787">
                  <c:v>5888.3799199999994</c:v>
                </c:pt>
                <c:pt idx="788">
                  <c:v>5888.3799199999994</c:v>
                </c:pt>
                <c:pt idx="789">
                  <c:v>5888.3799199999994</c:v>
                </c:pt>
                <c:pt idx="790">
                  <c:v>5888.3799199999994</c:v>
                </c:pt>
                <c:pt idx="791">
                  <c:v>5888.3799199999994</c:v>
                </c:pt>
                <c:pt idx="792">
                  <c:v>5888.3799199999994</c:v>
                </c:pt>
                <c:pt idx="793">
                  <c:v>5888.3799199999994</c:v>
                </c:pt>
                <c:pt idx="794">
                  <c:v>5890.1</c:v>
                </c:pt>
                <c:pt idx="795">
                  <c:v>5893.1</c:v>
                </c:pt>
                <c:pt idx="796">
                  <c:v>5896.1</c:v>
                </c:pt>
                <c:pt idx="797">
                  <c:v>5899.1</c:v>
                </c:pt>
                <c:pt idx="798">
                  <c:v>5902.1</c:v>
                </c:pt>
                <c:pt idx="799">
                  <c:v>5905.1</c:v>
                </c:pt>
                <c:pt idx="800">
                  <c:v>5908.1</c:v>
                </c:pt>
                <c:pt idx="801">
                  <c:v>5911.1</c:v>
                </c:pt>
                <c:pt idx="802">
                  <c:v>5914.1</c:v>
                </c:pt>
                <c:pt idx="803">
                  <c:v>5917.1</c:v>
                </c:pt>
                <c:pt idx="804">
                  <c:v>5920.1</c:v>
                </c:pt>
                <c:pt idx="805">
                  <c:v>5923.1</c:v>
                </c:pt>
                <c:pt idx="806">
                  <c:v>5926.1</c:v>
                </c:pt>
                <c:pt idx="807">
                  <c:v>5929.1</c:v>
                </c:pt>
                <c:pt idx="808">
                  <c:v>5932.1</c:v>
                </c:pt>
                <c:pt idx="809">
                  <c:v>5935.1</c:v>
                </c:pt>
                <c:pt idx="810">
                  <c:v>5938.1</c:v>
                </c:pt>
                <c:pt idx="811">
                  <c:v>5941.1</c:v>
                </c:pt>
                <c:pt idx="812">
                  <c:v>5944.1</c:v>
                </c:pt>
                <c:pt idx="813">
                  <c:v>5947.1</c:v>
                </c:pt>
                <c:pt idx="814">
                  <c:v>5950.1</c:v>
                </c:pt>
                <c:pt idx="815">
                  <c:v>5953.1</c:v>
                </c:pt>
                <c:pt idx="816">
                  <c:v>5956.1</c:v>
                </c:pt>
                <c:pt idx="817">
                  <c:v>5959.1</c:v>
                </c:pt>
                <c:pt idx="818">
                  <c:v>5962.1</c:v>
                </c:pt>
                <c:pt idx="819">
                  <c:v>5965.1</c:v>
                </c:pt>
                <c:pt idx="820">
                  <c:v>5968.1</c:v>
                </c:pt>
                <c:pt idx="821">
                  <c:v>5971.1</c:v>
                </c:pt>
                <c:pt idx="822">
                  <c:v>5974.1</c:v>
                </c:pt>
                <c:pt idx="823">
                  <c:v>5977.1</c:v>
                </c:pt>
                <c:pt idx="824">
                  <c:v>5980.1</c:v>
                </c:pt>
                <c:pt idx="825">
                  <c:v>5983.1</c:v>
                </c:pt>
                <c:pt idx="826">
                  <c:v>5986.1</c:v>
                </c:pt>
                <c:pt idx="827">
                  <c:v>5989.1</c:v>
                </c:pt>
                <c:pt idx="828">
                  <c:v>5992.1</c:v>
                </c:pt>
                <c:pt idx="829">
                  <c:v>5995.1</c:v>
                </c:pt>
                <c:pt idx="830">
                  <c:v>5998.1</c:v>
                </c:pt>
                <c:pt idx="831">
                  <c:v>6001.1</c:v>
                </c:pt>
                <c:pt idx="832">
                  <c:v>6004.1</c:v>
                </c:pt>
                <c:pt idx="833">
                  <c:v>6007.1</c:v>
                </c:pt>
                <c:pt idx="834">
                  <c:v>6010.1</c:v>
                </c:pt>
                <c:pt idx="835">
                  <c:v>6013.1</c:v>
                </c:pt>
                <c:pt idx="836">
                  <c:v>6016.1</c:v>
                </c:pt>
                <c:pt idx="837">
                  <c:v>6019.1</c:v>
                </c:pt>
                <c:pt idx="838">
                  <c:v>6022.1</c:v>
                </c:pt>
                <c:pt idx="839">
                  <c:v>6025.1</c:v>
                </c:pt>
                <c:pt idx="840">
                  <c:v>6028.1</c:v>
                </c:pt>
                <c:pt idx="841">
                  <c:v>6031.1</c:v>
                </c:pt>
                <c:pt idx="842">
                  <c:v>6034.1</c:v>
                </c:pt>
                <c:pt idx="843">
                  <c:v>6037.1</c:v>
                </c:pt>
                <c:pt idx="844">
                  <c:v>6040.1</c:v>
                </c:pt>
                <c:pt idx="845">
                  <c:v>6043.1</c:v>
                </c:pt>
                <c:pt idx="846">
                  <c:v>6046.1</c:v>
                </c:pt>
                <c:pt idx="847">
                  <c:v>6049.1</c:v>
                </c:pt>
                <c:pt idx="848">
                  <c:v>6052.1</c:v>
                </c:pt>
                <c:pt idx="849">
                  <c:v>6055.1</c:v>
                </c:pt>
                <c:pt idx="850">
                  <c:v>6058.1</c:v>
                </c:pt>
                <c:pt idx="851">
                  <c:v>6061.1</c:v>
                </c:pt>
                <c:pt idx="852">
                  <c:v>6064.1</c:v>
                </c:pt>
                <c:pt idx="853">
                  <c:v>6067.1</c:v>
                </c:pt>
                <c:pt idx="854">
                  <c:v>6070.1</c:v>
                </c:pt>
                <c:pt idx="855">
                  <c:v>6073.1</c:v>
                </c:pt>
                <c:pt idx="856">
                  <c:v>6076.1</c:v>
                </c:pt>
                <c:pt idx="857">
                  <c:v>6079.1</c:v>
                </c:pt>
                <c:pt idx="858">
                  <c:v>6082.1</c:v>
                </c:pt>
                <c:pt idx="859">
                  <c:v>6085.1</c:v>
                </c:pt>
                <c:pt idx="860">
                  <c:v>6088.1</c:v>
                </c:pt>
                <c:pt idx="861">
                  <c:v>6091.1</c:v>
                </c:pt>
                <c:pt idx="862">
                  <c:v>6094.1</c:v>
                </c:pt>
                <c:pt idx="863">
                  <c:v>6097.1</c:v>
                </c:pt>
                <c:pt idx="864">
                  <c:v>6100.1</c:v>
                </c:pt>
                <c:pt idx="865">
                  <c:v>6103.1</c:v>
                </c:pt>
                <c:pt idx="866">
                  <c:v>6106.1</c:v>
                </c:pt>
                <c:pt idx="867">
                  <c:v>6109.1</c:v>
                </c:pt>
                <c:pt idx="868">
                  <c:v>6112.1</c:v>
                </c:pt>
                <c:pt idx="869">
                  <c:v>6115.1</c:v>
                </c:pt>
                <c:pt idx="870">
                  <c:v>6118.1</c:v>
                </c:pt>
                <c:pt idx="871">
                  <c:v>6121.1</c:v>
                </c:pt>
                <c:pt idx="872">
                  <c:v>6124.1</c:v>
                </c:pt>
                <c:pt idx="873">
                  <c:v>6127.1</c:v>
                </c:pt>
                <c:pt idx="874">
                  <c:v>6130.1</c:v>
                </c:pt>
                <c:pt idx="875">
                  <c:v>6133.1</c:v>
                </c:pt>
                <c:pt idx="876">
                  <c:v>6136.1</c:v>
                </c:pt>
                <c:pt idx="877">
                  <c:v>6139.1</c:v>
                </c:pt>
                <c:pt idx="878">
                  <c:v>6142.1</c:v>
                </c:pt>
                <c:pt idx="879">
                  <c:v>6145.1</c:v>
                </c:pt>
                <c:pt idx="880">
                  <c:v>6148.1</c:v>
                </c:pt>
                <c:pt idx="881">
                  <c:v>6151.1</c:v>
                </c:pt>
                <c:pt idx="882">
                  <c:v>6154.1</c:v>
                </c:pt>
                <c:pt idx="883">
                  <c:v>6157.1</c:v>
                </c:pt>
                <c:pt idx="884">
                  <c:v>6160.1</c:v>
                </c:pt>
                <c:pt idx="885">
                  <c:v>6163.1</c:v>
                </c:pt>
                <c:pt idx="886">
                  <c:v>6166.1</c:v>
                </c:pt>
                <c:pt idx="887">
                  <c:v>6169.1</c:v>
                </c:pt>
                <c:pt idx="888">
                  <c:v>6172.1</c:v>
                </c:pt>
                <c:pt idx="889">
                  <c:v>6175.1</c:v>
                </c:pt>
                <c:pt idx="890">
                  <c:v>6178.1</c:v>
                </c:pt>
                <c:pt idx="891">
                  <c:v>6181.1</c:v>
                </c:pt>
                <c:pt idx="892">
                  <c:v>6184.1</c:v>
                </c:pt>
                <c:pt idx="893">
                  <c:v>6187.1</c:v>
                </c:pt>
                <c:pt idx="894">
                  <c:v>6190.1</c:v>
                </c:pt>
                <c:pt idx="895">
                  <c:v>6193.1</c:v>
                </c:pt>
                <c:pt idx="896">
                  <c:v>6196.1</c:v>
                </c:pt>
                <c:pt idx="897">
                  <c:v>6199.1</c:v>
                </c:pt>
                <c:pt idx="898">
                  <c:v>6202.1</c:v>
                </c:pt>
                <c:pt idx="899">
                  <c:v>6205.1</c:v>
                </c:pt>
                <c:pt idx="900">
                  <c:v>6208.1</c:v>
                </c:pt>
                <c:pt idx="901">
                  <c:v>6211.1</c:v>
                </c:pt>
                <c:pt idx="902">
                  <c:v>6214.1</c:v>
                </c:pt>
                <c:pt idx="903">
                  <c:v>6217.1</c:v>
                </c:pt>
                <c:pt idx="904">
                  <c:v>6220.1</c:v>
                </c:pt>
                <c:pt idx="905">
                  <c:v>6223.1</c:v>
                </c:pt>
                <c:pt idx="906">
                  <c:v>6226.1</c:v>
                </c:pt>
                <c:pt idx="907">
                  <c:v>6229.1</c:v>
                </c:pt>
                <c:pt idx="908">
                  <c:v>6232.1</c:v>
                </c:pt>
                <c:pt idx="909">
                  <c:v>6235.1</c:v>
                </c:pt>
                <c:pt idx="910">
                  <c:v>6238.1</c:v>
                </c:pt>
                <c:pt idx="911">
                  <c:v>6241.1</c:v>
                </c:pt>
                <c:pt idx="912">
                  <c:v>6244.1</c:v>
                </c:pt>
                <c:pt idx="913">
                  <c:v>6247.1</c:v>
                </c:pt>
                <c:pt idx="914">
                  <c:v>6250.1</c:v>
                </c:pt>
                <c:pt idx="915">
                  <c:v>6253.1</c:v>
                </c:pt>
                <c:pt idx="916">
                  <c:v>6256.1</c:v>
                </c:pt>
                <c:pt idx="917">
                  <c:v>6259.1</c:v>
                </c:pt>
                <c:pt idx="918">
                  <c:v>6262.1</c:v>
                </c:pt>
                <c:pt idx="919">
                  <c:v>6265.1</c:v>
                </c:pt>
                <c:pt idx="920">
                  <c:v>6268.1</c:v>
                </c:pt>
                <c:pt idx="921">
                  <c:v>6271.1</c:v>
                </c:pt>
                <c:pt idx="922">
                  <c:v>6274.1</c:v>
                </c:pt>
                <c:pt idx="923">
                  <c:v>6277.1</c:v>
                </c:pt>
                <c:pt idx="924">
                  <c:v>6280.1</c:v>
                </c:pt>
                <c:pt idx="925">
                  <c:v>6283.1</c:v>
                </c:pt>
                <c:pt idx="926">
                  <c:v>6286.1</c:v>
                </c:pt>
                <c:pt idx="927">
                  <c:v>6289.1</c:v>
                </c:pt>
                <c:pt idx="928">
                  <c:v>6292.1</c:v>
                </c:pt>
                <c:pt idx="929">
                  <c:v>6295.1</c:v>
                </c:pt>
                <c:pt idx="930">
                  <c:v>6298.1</c:v>
                </c:pt>
                <c:pt idx="931">
                  <c:v>6301.1</c:v>
                </c:pt>
                <c:pt idx="932">
                  <c:v>6304.1</c:v>
                </c:pt>
                <c:pt idx="933">
                  <c:v>6307.1</c:v>
                </c:pt>
                <c:pt idx="934">
                  <c:v>6310.1</c:v>
                </c:pt>
                <c:pt idx="935">
                  <c:v>6313.1</c:v>
                </c:pt>
                <c:pt idx="936">
                  <c:v>6316.1</c:v>
                </c:pt>
                <c:pt idx="937">
                  <c:v>6319.1</c:v>
                </c:pt>
                <c:pt idx="938">
                  <c:v>6322.1</c:v>
                </c:pt>
                <c:pt idx="939">
                  <c:v>6325.1</c:v>
                </c:pt>
                <c:pt idx="940">
                  <c:v>6328.1</c:v>
                </c:pt>
                <c:pt idx="941">
                  <c:v>6331.1</c:v>
                </c:pt>
                <c:pt idx="942">
                  <c:v>6334.1</c:v>
                </c:pt>
                <c:pt idx="943">
                  <c:v>6337.1</c:v>
                </c:pt>
                <c:pt idx="944">
                  <c:v>6340.1</c:v>
                </c:pt>
                <c:pt idx="945">
                  <c:v>6343.1</c:v>
                </c:pt>
                <c:pt idx="946">
                  <c:v>6346.1</c:v>
                </c:pt>
                <c:pt idx="947">
                  <c:v>6349.1</c:v>
                </c:pt>
                <c:pt idx="948">
                  <c:v>6352.1</c:v>
                </c:pt>
                <c:pt idx="949">
                  <c:v>6355.1</c:v>
                </c:pt>
                <c:pt idx="950">
                  <c:v>6358.1</c:v>
                </c:pt>
                <c:pt idx="951">
                  <c:v>6361.1</c:v>
                </c:pt>
                <c:pt idx="952">
                  <c:v>6364.1</c:v>
                </c:pt>
                <c:pt idx="953">
                  <c:v>6367.1</c:v>
                </c:pt>
                <c:pt idx="954">
                  <c:v>6370.1</c:v>
                </c:pt>
                <c:pt idx="955">
                  <c:v>6373.1</c:v>
                </c:pt>
                <c:pt idx="956">
                  <c:v>6376.1</c:v>
                </c:pt>
                <c:pt idx="957">
                  <c:v>6379.1</c:v>
                </c:pt>
                <c:pt idx="958">
                  <c:v>6382.1</c:v>
                </c:pt>
                <c:pt idx="959">
                  <c:v>6385.1</c:v>
                </c:pt>
                <c:pt idx="960">
                  <c:v>6388.1</c:v>
                </c:pt>
                <c:pt idx="961">
                  <c:v>6391.1</c:v>
                </c:pt>
                <c:pt idx="962">
                  <c:v>6394.1</c:v>
                </c:pt>
                <c:pt idx="963">
                  <c:v>6397.1</c:v>
                </c:pt>
                <c:pt idx="964">
                  <c:v>6400.1</c:v>
                </c:pt>
                <c:pt idx="965">
                  <c:v>6403.1</c:v>
                </c:pt>
                <c:pt idx="966">
                  <c:v>6406.1</c:v>
                </c:pt>
                <c:pt idx="967">
                  <c:v>6409.1</c:v>
                </c:pt>
                <c:pt idx="968">
                  <c:v>6412.1</c:v>
                </c:pt>
                <c:pt idx="969">
                  <c:v>6415.1</c:v>
                </c:pt>
                <c:pt idx="970">
                  <c:v>6418.1</c:v>
                </c:pt>
                <c:pt idx="971">
                  <c:v>6421.1</c:v>
                </c:pt>
                <c:pt idx="972">
                  <c:v>6424.1</c:v>
                </c:pt>
                <c:pt idx="973">
                  <c:v>6427.1</c:v>
                </c:pt>
                <c:pt idx="974">
                  <c:v>6430.1</c:v>
                </c:pt>
                <c:pt idx="975">
                  <c:v>6433.1</c:v>
                </c:pt>
                <c:pt idx="976">
                  <c:v>6436.1</c:v>
                </c:pt>
                <c:pt idx="977">
                  <c:v>6439.1</c:v>
                </c:pt>
                <c:pt idx="978">
                  <c:v>6442.1</c:v>
                </c:pt>
                <c:pt idx="979">
                  <c:v>6445.1</c:v>
                </c:pt>
                <c:pt idx="980">
                  <c:v>6448.1</c:v>
                </c:pt>
                <c:pt idx="981">
                  <c:v>6451.1</c:v>
                </c:pt>
                <c:pt idx="982">
                  <c:v>6454.1</c:v>
                </c:pt>
                <c:pt idx="983">
                  <c:v>6457.1</c:v>
                </c:pt>
                <c:pt idx="984">
                  <c:v>6460.1</c:v>
                </c:pt>
                <c:pt idx="985">
                  <c:v>6463.1</c:v>
                </c:pt>
                <c:pt idx="986">
                  <c:v>6466.1</c:v>
                </c:pt>
                <c:pt idx="987">
                  <c:v>6469.1</c:v>
                </c:pt>
                <c:pt idx="988">
                  <c:v>6472.1</c:v>
                </c:pt>
                <c:pt idx="989">
                  <c:v>6475.1</c:v>
                </c:pt>
                <c:pt idx="990">
                  <c:v>6478.1</c:v>
                </c:pt>
                <c:pt idx="991">
                  <c:v>6481.1</c:v>
                </c:pt>
                <c:pt idx="992">
                  <c:v>6484.1</c:v>
                </c:pt>
                <c:pt idx="993">
                  <c:v>6487.1</c:v>
                </c:pt>
                <c:pt idx="994">
                  <c:v>6490.1</c:v>
                </c:pt>
                <c:pt idx="995">
                  <c:v>6493.1</c:v>
                </c:pt>
                <c:pt idx="996">
                  <c:v>6496.1</c:v>
                </c:pt>
                <c:pt idx="997">
                  <c:v>6499.1</c:v>
                </c:pt>
                <c:pt idx="998">
                  <c:v>6502.1</c:v>
                </c:pt>
                <c:pt idx="999">
                  <c:v>6505.1</c:v>
                </c:pt>
                <c:pt idx="1000">
                  <c:v>6508.1</c:v>
                </c:pt>
                <c:pt idx="1001">
                  <c:v>6511.1</c:v>
                </c:pt>
                <c:pt idx="1002">
                  <c:v>6514.1</c:v>
                </c:pt>
                <c:pt idx="1003">
                  <c:v>6517.1</c:v>
                </c:pt>
                <c:pt idx="1004">
                  <c:v>6520.1</c:v>
                </c:pt>
                <c:pt idx="1005">
                  <c:v>6523.1</c:v>
                </c:pt>
                <c:pt idx="1006">
                  <c:v>6526.1</c:v>
                </c:pt>
                <c:pt idx="1007">
                  <c:v>6529.1</c:v>
                </c:pt>
                <c:pt idx="1008">
                  <c:v>6532.1</c:v>
                </c:pt>
                <c:pt idx="1009">
                  <c:v>6535.1</c:v>
                </c:pt>
                <c:pt idx="1010">
                  <c:v>6538.1</c:v>
                </c:pt>
                <c:pt idx="1011">
                  <c:v>6541.1</c:v>
                </c:pt>
                <c:pt idx="1012">
                  <c:v>6544.1</c:v>
                </c:pt>
                <c:pt idx="1013">
                  <c:v>6547.1</c:v>
                </c:pt>
                <c:pt idx="1014">
                  <c:v>6550.1</c:v>
                </c:pt>
                <c:pt idx="1015">
                  <c:v>6553.1</c:v>
                </c:pt>
                <c:pt idx="1016">
                  <c:v>6556.1</c:v>
                </c:pt>
                <c:pt idx="1017">
                  <c:v>6559.1</c:v>
                </c:pt>
                <c:pt idx="1018">
                  <c:v>6562.1</c:v>
                </c:pt>
                <c:pt idx="1019">
                  <c:v>6565.1</c:v>
                </c:pt>
                <c:pt idx="1020">
                  <c:v>6568.1</c:v>
                </c:pt>
                <c:pt idx="1021">
                  <c:v>6571.1</c:v>
                </c:pt>
                <c:pt idx="1022">
                  <c:v>6574.1</c:v>
                </c:pt>
                <c:pt idx="1023">
                  <c:v>6577.1</c:v>
                </c:pt>
                <c:pt idx="1024">
                  <c:v>6580.1</c:v>
                </c:pt>
                <c:pt idx="1025">
                  <c:v>6583.1</c:v>
                </c:pt>
                <c:pt idx="1026">
                  <c:v>6586.1</c:v>
                </c:pt>
                <c:pt idx="1027">
                  <c:v>6589.1</c:v>
                </c:pt>
                <c:pt idx="1028">
                  <c:v>6592.1</c:v>
                </c:pt>
                <c:pt idx="1029">
                  <c:v>6595.1</c:v>
                </c:pt>
                <c:pt idx="1030">
                  <c:v>6598.1</c:v>
                </c:pt>
                <c:pt idx="1031">
                  <c:v>6601.1</c:v>
                </c:pt>
                <c:pt idx="1032">
                  <c:v>6604.1</c:v>
                </c:pt>
                <c:pt idx="1033">
                  <c:v>6607.1</c:v>
                </c:pt>
                <c:pt idx="1034">
                  <c:v>6610.1</c:v>
                </c:pt>
                <c:pt idx="1035">
                  <c:v>6613.1</c:v>
                </c:pt>
                <c:pt idx="1036">
                  <c:v>6616.1</c:v>
                </c:pt>
                <c:pt idx="1037">
                  <c:v>6619.1</c:v>
                </c:pt>
                <c:pt idx="1038">
                  <c:v>6622.1</c:v>
                </c:pt>
                <c:pt idx="1039">
                  <c:v>6625.1</c:v>
                </c:pt>
                <c:pt idx="1040">
                  <c:v>6628.1</c:v>
                </c:pt>
                <c:pt idx="1041">
                  <c:v>6631.1</c:v>
                </c:pt>
                <c:pt idx="1042">
                  <c:v>6634.1</c:v>
                </c:pt>
                <c:pt idx="1043">
                  <c:v>6637.1</c:v>
                </c:pt>
                <c:pt idx="1044">
                  <c:v>6640.1</c:v>
                </c:pt>
                <c:pt idx="1045">
                  <c:v>6643.1</c:v>
                </c:pt>
                <c:pt idx="1046">
                  <c:v>6646.1</c:v>
                </c:pt>
                <c:pt idx="1047">
                  <c:v>6649.1</c:v>
                </c:pt>
                <c:pt idx="1048">
                  <c:v>6652.1</c:v>
                </c:pt>
                <c:pt idx="1049">
                  <c:v>6655.1</c:v>
                </c:pt>
                <c:pt idx="1050">
                  <c:v>6658.1</c:v>
                </c:pt>
                <c:pt idx="1051">
                  <c:v>6661.1</c:v>
                </c:pt>
                <c:pt idx="1052">
                  <c:v>6664.1</c:v>
                </c:pt>
                <c:pt idx="1053">
                  <c:v>6667.1</c:v>
                </c:pt>
                <c:pt idx="1054">
                  <c:v>6670.1</c:v>
                </c:pt>
                <c:pt idx="1055">
                  <c:v>6673.1</c:v>
                </c:pt>
                <c:pt idx="1056">
                  <c:v>6676.1</c:v>
                </c:pt>
                <c:pt idx="1057">
                  <c:v>6679.1</c:v>
                </c:pt>
                <c:pt idx="1058">
                  <c:v>6682.1</c:v>
                </c:pt>
                <c:pt idx="1059">
                  <c:v>6685.1</c:v>
                </c:pt>
                <c:pt idx="1060">
                  <c:v>6688.1</c:v>
                </c:pt>
                <c:pt idx="1061">
                  <c:v>6691.1</c:v>
                </c:pt>
                <c:pt idx="1062">
                  <c:v>6694.1</c:v>
                </c:pt>
                <c:pt idx="1063">
                  <c:v>6697.1</c:v>
                </c:pt>
                <c:pt idx="1064">
                  <c:v>6700.1</c:v>
                </c:pt>
                <c:pt idx="1065">
                  <c:v>6703.1</c:v>
                </c:pt>
                <c:pt idx="1066">
                  <c:v>6706.1</c:v>
                </c:pt>
                <c:pt idx="1067">
                  <c:v>6709.1</c:v>
                </c:pt>
                <c:pt idx="1068">
                  <c:v>6712.1</c:v>
                </c:pt>
                <c:pt idx="1069">
                  <c:v>6715.1</c:v>
                </c:pt>
                <c:pt idx="1070">
                  <c:v>6718.1</c:v>
                </c:pt>
                <c:pt idx="1071">
                  <c:v>6721.1</c:v>
                </c:pt>
                <c:pt idx="1072">
                  <c:v>6724.1</c:v>
                </c:pt>
                <c:pt idx="1073">
                  <c:v>6727.1</c:v>
                </c:pt>
                <c:pt idx="1074">
                  <c:v>6730.1</c:v>
                </c:pt>
                <c:pt idx="1075">
                  <c:v>6733.1</c:v>
                </c:pt>
                <c:pt idx="1076">
                  <c:v>6736.1</c:v>
                </c:pt>
                <c:pt idx="1077">
                  <c:v>6739.1</c:v>
                </c:pt>
                <c:pt idx="1078">
                  <c:v>6742.1</c:v>
                </c:pt>
                <c:pt idx="1079">
                  <c:v>6745.1</c:v>
                </c:pt>
                <c:pt idx="1080">
                  <c:v>6748.1</c:v>
                </c:pt>
                <c:pt idx="1081">
                  <c:v>6751.1</c:v>
                </c:pt>
                <c:pt idx="1082">
                  <c:v>6754.1</c:v>
                </c:pt>
                <c:pt idx="1083">
                  <c:v>6757.1</c:v>
                </c:pt>
                <c:pt idx="1084">
                  <c:v>6760.1</c:v>
                </c:pt>
                <c:pt idx="1085">
                  <c:v>6763.1</c:v>
                </c:pt>
                <c:pt idx="1086">
                  <c:v>6766.1</c:v>
                </c:pt>
                <c:pt idx="1087">
                  <c:v>6769.1</c:v>
                </c:pt>
                <c:pt idx="1088">
                  <c:v>6772.1</c:v>
                </c:pt>
                <c:pt idx="1089">
                  <c:v>6775.1</c:v>
                </c:pt>
                <c:pt idx="1090">
                  <c:v>6778.1</c:v>
                </c:pt>
                <c:pt idx="1091">
                  <c:v>6781.1</c:v>
                </c:pt>
                <c:pt idx="1092">
                  <c:v>6784.1</c:v>
                </c:pt>
                <c:pt idx="1093">
                  <c:v>6787.1</c:v>
                </c:pt>
                <c:pt idx="1094">
                  <c:v>6790.1</c:v>
                </c:pt>
                <c:pt idx="1095">
                  <c:v>6793.1</c:v>
                </c:pt>
                <c:pt idx="1096">
                  <c:v>6796.1</c:v>
                </c:pt>
                <c:pt idx="1097">
                  <c:v>6799.1</c:v>
                </c:pt>
                <c:pt idx="1098">
                  <c:v>6802.1</c:v>
                </c:pt>
                <c:pt idx="1099">
                  <c:v>6805.1</c:v>
                </c:pt>
                <c:pt idx="1100">
                  <c:v>6808.1</c:v>
                </c:pt>
                <c:pt idx="1101">
                  <c:v>6811.1</c:v>
                </c:pt>
                <c:pt idx="1102">
                  <c:v>6814.1</c:v>
                </c:pt>
                <c:pt idx="1103">
                  <c:v>6817.1</c:v>
                </c:pt>
                <c:pt idx="1104">
                  <c:v>6820.1</c:v>
                </c:pt>
                <c:pt idx="1105">
                  <c:v>6823.1</c:v>
                </c:pt>
                <c:pt idx="1106">
                  <c:v>6826.1</c:v>
                </c:pt>
                <c:pt idx="1107">
                  <c:v>6829.1</c:v>
                </c:pt>
                <c:pt idx="1108">
                  <c:v>6832.1</c:v>
                </c:pt>
                <c:pt idx="1109">
                  <c:v>6835.1</c:v>
                </c:pt>
                <c:pt idx="1110">
                  <c:v>6838.1</c:v>
                </c:pt>
                <c:pt idx="1111">
                  <c:v>6841.1</c:v>
                </c:pt>
                <c:pt idx="1112">
                  <c:v>6844.1</c:v>
                </c:pt>
                <c:pt idx="1113">
                  <c:v>6847.1</c:v>
                </c:pt>
                <c:pt idx="1114">
                  <c:v>6850.1</c:v>
                </c:pt>
                <c:pt idx="1115">
                  <c:v>6853.1</c:v>
                </c:pt>
                <c:pt idx="1116">
                  <c:v>6856.1</c:v>
                </c:pt>
                <c:pt idx="1117">
                  <c:v>6859.1</c:v>
                </c:pt>
                <c:pt idx="1118">
                  <c:v>6862.1</c:v>
                </c:pt>
                <c:pt idx="1119">
                  <c:v>6865.1</c:v>
                </c:pt>
                <c:pt idx="1120">
                  <c:v>6868.1</c:v>
                </c:pt>
                <c:pt idx="1121">
                  <c:v>11376.759839999999</c:v>
                </c:pt>
                <c:pt idx="1122">
                  <c:v>11376.759839999999</c:v>
                </c:pt>
                <c:pt idx="1123">
                  <c:v>11376.759839999999</c:v>
                </c:pt>
                <c:pt idx="1124">
                  <c:v>11376.759839999999</c:v>
                </c:pt>
                <c:pt idx="1125">
                  <c:v>11376.759839999999</c:v>
                </c:pt>
                <c:pt idx="1126">
                  <c:v>11376.759839999999</c:v>
                </c:pt>
                <c:pt idx="1127">
                  <c:v>11376.759839999999</c:v>
                </c:pt>
                <c:pt idx="1128">
                  <c:v>11376.759839999999</c:v>
                </c:pt>
                <c:pt idx="1129">
                  <c:v>11376.759839999999</c:v>
                </c:pt>
              </c:numCache>
            </c:numRef>
          </c:val>
          <c:smooth val="0"/>
          <c:extLst>
            <c:ext xmlns:c16="http://schemas.microsoft.com/office/drawing/2014/chart" uri="{C3380CC4-5D6E-409C-BE32-E72D297353CC}">
              <c16:uniqueId val="{00000004-3414-4C8D-9567-75FA7309FE71}"/>
            </c:ext>
          </c:extLst>
        </c:ser>
        <c:ser>
          <c:idx val="2"/>
          <c:order val="2"/>
          <c:tx>
            <c:strRef>
              <c:f>'T9. Shipping'!$AK$38</c:f>
              <c:strCache>
                <c:ptCount val="1"/>
                <c:pt idx="0">
                  <c:v> Parcel only price </c:v>
                </c:pt>
              </c:strCache>
            </c:strRef>
          </c:tx>
          <c:spPr>
            <a:ln w="28575" cap="rnd">
              <a:solidFill>
                <a:schemeClr val="accent1"/>
              </a:solidFill>
              <a:round/>
            </a:ln>
            <a:effectLst/>
          </c:spPr>
          <c:marker>
            <c:symbol val="none"/>
          </c:marker>
          <c:val>
            <c:numRef>
              <c:f>'T9. Shipping'!$AK$39:$AK$1168</c:f>
              <c:numCache>
                <c:formatCode>_-[$$-409]* #,##0_ ;_-[$$-409]* \-#,##0\ ;_-[$$-409]* "-"??_ ;_-@_ </c:formatCode>
                <c:ptCount val="1130"/>
                <c:pt idx="0">
                  <c:v>996</c:v>
                </c:pt>
                <c:pt idx="1">
                  <c:v>1001</c:v>
                </c:pt>
                <c:pt idx="2">
                  <c:v>1006</c:v>
                </c:pt>
                <c:pt idx="3">
                  <c:v>1011</c:v>
                </c:pt>
                <c:pt idx="4">
                  <c:v>1016</c:v>
                </c:pt>
                <c:pt idx="5">
                  <c:v>1021</c:v>
                </c:pt>
                <c:pt idx="6">
                  <c:v>1026</c:v>
                </c:pt>
                <c:pt idx="7">
                  <c:v>1031</c:v>
                </c:pt>
                <c:pt idx="8">
                  <c:v>1036</c:v>
                </c:pt>
                <c:pt idx="9">
                  <c:v>1041</c:v>
                </c:pt>
                <c:pt idx="10">
                  <c:v>1046</c:v>
                </c:pt>
                <c:pt idx="11">
                  <c:v>1051</c:v>
                </c:pt>
                <c:pt idx="12">
                  <c:v>1056</c:v>
                </c:pt>
                <c:pt idx="13">
                  <c:v>1061</c:v>
                </c:pt>
                <c:pt idx="14">
                  <c:v>1066</c:v>
                </c:pt>
                <c:pt idx="15">
                  <c:v>1071</c:v>
                </c:pt>
                <c:pt idx="16">
                  <c:v>1076</c:v>
                </c:pt>
                <c:pt idx="17">
                  <c:v>1081</c:v>
                </c:pt>
                <c:pt idx="18">
                  <c:v>1086</c:v>
                </c:pt>
                <c:pt idx="19">
                  <c:v>1091</c:v>
                </c:pt>
                <c:pt idx="20">
                  <c:v>1096</c:v>
                </c:pt>
                <c:pt idx="21">
                  <c:v>1101</c:v>
                </c:pt>
                <c:pt idx="22">
                  <c:v>1106</c:v>
                </c:pt>
                <c:pt idx="23">
                  <c:v>1111</c:v>
                </c:pt>
                <c:pt idx="24">
                  <c:v>1116</c:v>
                </c:pt>
                <c:pt idx="25">
                  <c:v>2112</c:v>
                </c:pt>
                <c:pt idx="26">
                  <c:v>2117</c:v>
                </c:pt>
                <c:pt idx="27">
                  <c:v>2122</c:v>
                </c:pt>
                <c:pt idx="28">
                  <c:v>2127</c:v>
                </c:pt>
                <c:pt idx="29">
                  <c:v>2132</c:v>
                </c:pt>
                <c:pt idx="30">
                  <c:v>2137</c:v>
                </c:pt>
                <c:pt idx="31">
                  <c:v>2142</c:v>
                </c:pt>
                <c:pt idx="32">
                  <c:v>2147</c:v>
                </c:pt>
                <c:pt idx="33">
                  <c:v>2152</c:v>
                </c:pt>
                <c:pt idx="34">
                  <c:v>2157</c:v>
                </c:pt>
                <c:pt idx="35">
                  <c:v>2162</c:v>
                </c:pt>
                <c:pt idx="36">
                  <c:v>2167</c:v>
                </c:pt>
                <c:pt idx="37">
                  <c:v>2172</c:v>
                </c:pt>
                <c:pt idx="38">
                  <c:v>2177</c:v>
                </c:pt>
                <c:pt idx="39">
                  <c:v>2182</c:v>
                </c:pt>
                <c:pt idx="40">
                  <c:v>2187</c:v>
                </c:pt>
                <c:pt idx="41">
                  <c:v>2192</c:v>
                </c:pt>
                <c:pt idx="42">
                  <c:v>2197</c:v>
                </c:pt>
                <c:pt idx="43">
                  <c:v>2202</c:v>
                </c:pt>
                <c:pt idx="44">
                  <c:v>2207</c:v>
                </c:pt>
                <c:pt idx="45">
                  <c:v>2212</c:v>
                </c:pt>
                <c:pt idx="46">
                  <c:v>2217</c:v>
                </c:pt>
                <c:pt idx="47">
                  <c:v>2222</c:v>
                </c:pt>
                <c:pt idx="48">
                  <c:v>2227</c:v>
                </c:pt>
                <c:pt idx="49">
                  <c:v>2232</c:v>
                </c:pt>
                <c:pt idx="50">
                  <c:v>2237</c:v>
                </c:pt>
                <c:pt idx="51">
                  <c:v>3182.2</c:v>
                </c:pt>
                <c:pt idx="52">
                  <c:v>3185.2</c:v>
                </c:pt>
                <c:pt idx="53">
                  <c:v>3188.2</c:v>
                </c:pt>
                <c:pt idx="54">
                  <c:v>3191.2</c:v>
                </c:pt>
                <c:pt idx="55">
                  <c:v>3194.2</c:v>
                </c:pt>
                <c:pt idx="56">
                  <c:v>3197.2</c:v>
                </c:pt>
                <c:pt idx="57">
                  <c:v>3200.2</c:v>
                </c:pt>
                <c:pt idx="58">
                  <c:v>3203.2</c:v>
                </c:pt>
                <c:pt idx="59">
                  <c:v>3206.2</c:v>
                </c:pt>
                <c:pt idx="60">
                  <c:v>3209.2</c:v>
                </c:pt>
                <c:pt idx="61">
                  <c:v>3212.2</c:v>
                </c:pt>
                <c:pt idx="62">
                  <c:v>3215.2</c:v>
                </c:pt>
                <c:pt idx="63">
                  <c:v>3218.2</c:v>
                </c:pt>
                <c:pt idx="64">
                  <c:v>3221.2</c:v>
                </c:pt>
                <c:pt idx="65">
                  <c:v>3224.2</c:v>
                </c:pt>
                <c:pt idx="66">
                  <c:v>3227.2</c:v>
                </c:pt>
                <c:pt idx="67">
                  <c:v>3230.2</c:v>
                </c:pt>
                <c:pt idx="68">
                  <c:v>3233.2</c:v>
                </c:pt>
                <c:pt idx="69">
                  <c:v>3236.2</c:v>
                </c:pt>
                <c:pt idx="70">
                  <c:v>3239.2</c:v>
                </c:pt>
                <c:pt idx="71">
                  <c:v>3242.2</c:v>
                </c:pt>
                <c:pt idx="72">
                  <c:v>3245.2</c:v>
                </c:pt>
                <c:pt idx="73">
                  <c:v>3248.2</c:v>
                </c:pt>
                <c:pt idx="74">
                  <c:v>3251.2</c:v>
                </c:pt>
                <c:pt idx="75">
                  <c:v>3254.2</c:v>
                </c:pt>
                <c:pt idx="76">
                  <c:v>3257.2</c:v>
                </c:pt>
                <c:pt idx="77">
                  <c:v>4135.6000000000004</c:v>
                </c:pt>
                <c:pt idx="78">
                  <c:v>4138.6000000000004</c:v>
                </c:pt>
                <c:pt idx="79">
                  <c:v>4141.6000000000004</c:v>
                </c:pt>
                <c:pt idx="80">
                  <c:v>4144.6000000000004</c:v>
                </c:pt>
                <c:pt idx="81">
                  <c:v>4147.6000000000004</c:v>
                </c:pt>
                <c:pt idx="82">
                  <c:v>4150.6000000000004</c:v>
                </c:pt>
                <c:pt idx="83">
                  <c:v>4153.6000000000004</c:v>
                </c:pt>
                <c:pt idx="84">
                  <c:v>4156.6000000000004</c:v>
                </c:pt>
                <c:pt idx="85">
                  <c:v>4159.6000000000004</c:v>
                </c:pt>
                <c:pt idx="86">
                  <c:v>4162.6000000000004</c:v>
                </c:pt>
                <c:pt idx="87">
                  <c:v>4165.6000000000004</c:v>
                </c:pt>
                <c:pt idx="88">
                  <c:v>4168.6000000000004</c:v>
                </c:pt>
                <c:pt idx="89">
                  <c:v>4171.6000000000004</c:v>
                </c:pt>
                <c:pt idx="90">
                  <c:v>4174.6000000000004</c:v>
                </c:pt>
                <c:pt idx="91">
                  <c:v>4177.6000000000004</c:v>
                </c:pt>
                <c:pt idx="92">
                  <c:v>4180.6000000000004</c:v>
                </c:pt>
                <c:pt idx="93">
                  <c:v>4183.6000000000004</c:v>
                </c:pt>
                <c:pt idx="94">
                  <c:v>4186.6000000000004</c:v>
                </c:pt>
                <c:pt idx="95">
                  <c:v>4189.6000000000004</c:v>
                </c:pt>
                <c:pt idx="96">
                  <c:v>4192.6000000000004</c:v>
                </c:pt>
                <c:pt idx="97">
                  <c:v>4195.6000000000004</c:v>
                </c:pt>
                <c:pt idx="98">
                  <c:v>4198.6000000000004</c:v>
                </c:pt>
                <c:pt idx="99">
                  <c:v>4201.6000000000004</c:v>
                </c:pt>
                <c:pt idx="100">
                  <c:v>4204.6000000000004</c:v>
                </c:pt>
                <c:pt idx="101">
                  <c:v>4207.6000000000004</c:v>
                </c:pt>
                <c:pt idx="102">
                  <c:v>4210.6000000000004</c:v>
                </c:pt>
                <c:pt idx="103">
                  <c:v>5089</c:v>
                </c:pt>
                <c:pt idx="104">
                  <c:v>5092</c:v>
                </c:pt>
                <c:pt idx="105">
                  <c:v>5095</c:v>
                </c:pt>
                <c:pt idx="106">
                  <c:v>5098</c:v>
                </c:pt>
                <c:pt idx="107">
                  <c:v>5101</c:v>
                </c:pt>
                <c:pt idx="108">
                  <c:v>5104</c:v>
                </c:pt>
                <c:pt idx="109">
                  <c:v>5107</c:v>
                </c:pt>
                <c:pt idx="110">
                  <c:v>5110</c:v>
                </c:pt>
                <c:pt idx="111">
                  <c:v>5113</c:v>
                </c:pt>
                <c:pt idx="112">
                  <c:v>5116</c:v>
                </c:pt>
                <c:pt idx="113">
                  <c:v>5119</c:v>
                </c:pt>
                <c:pt idx="114">
                  <c:v>5122</c:v>
                </c:pt>
                <c:pt idx="115">
                  <c:v>5125</c:v>
                </c:pt>
                <c:pt idx="116">
                  <c:v>5128</c:v>
                </c:pt>
                <c:pt idx="117">
                  <c:v>5131</c:v>
                </c:pt>
                <c:pt idx="118">
                  <c:v>5134</c:v>
                </c:pt>
                <c:pt idx="119">
                  <c:v>5137</c:v>
                </c:pt>
                <c:pt idx="120">
                  <c:v>5140</c:v>
                </c:pt>
                <c:pt idx="121">
                  <c:v>5143</c:v>
                </c:pt>
                <c:pt idx="122">
                  <c:v>5146</c:v>
                </c:pt>
                <c:pt idx="123">
                  <c:v>5149</c:v>
                </c:pt>
                <c:pt idx="124">
                  <c:v>5152</c:v>
                </c:pt>
                <c:pt idx="125">
                  <c:v>5155</c:v>
                </c:pt>
                <c:pt idx="126">
                  <c:v>5158</c:v>
                </c:pt>
                <c:pt idx="127">
                  <c:v>5161</c:v>
                </c:pt>
                <c:pt idx="128">
                  <c:v>5164</c:v>
                </c:pt>
                <c:pt idx="129">
                  <c:v>6042.4</c:v>
                </c:pt>
                <c:pt idx="130">
                  <c:v>6045.4</c:v>
                </c:pt>
                <c:pt idx="131">
                  <c:v>6048.4</c:v>
                </c:pt>
                <c:pt idx="132">
                  <c:v>6051.4</c:v>
                </c:pt>
                <c:pt idx="133">
                  <c:v>6054.4</c:v>
                </c:pt>
                <c:pt idx="134">
                  <c:v>6057.4</c:v>
                </c:pt>
                <c:pt idx="135">
                  <c:v>6060.4</c:v>
                </c:pt>
                <c:pt idx="136">
                  <c:v>6063.4</c:v>
                </c:pt>
                <c:pt idx="137">
                  <c:v>6066.4</c:v>
                </c:pt>
                <c:pt idx="138">
                  <c:v>6069.4</c:v>
                </c:pt>
                <c:pt idx="139">
                  <c:v>6072.4</c:v>
                </c:pt>
                <c:pt idx="140">
                  <c:v>6075.4</c:v>
                </c:pt>
                <c:pt idx="141">
                  <c:v>6078.4</c:v>
                </c:pt>
                <c:pt idx="142">
                  <c:v>6081.4</c:v>
                </c:pt>
                <c:pt idx="143">
                  <c:v>6084.4</c:v>
                </c:pt>
                <c:pt idx="144">
                  <c:v>6087.4</c:v>
                </c:pt>
                <c:pt idx="145">
                  <c:v>6090.4</c:v>
                </c:pt>
                <c:pt idx="146">
                  <c:v>6093.4</c:v>
                </c:pt>
                <c:pt idx="147">
                  <c:v>6096.4</c:v>
                </c:pt>
                <c:pt idx="148">
                  <c:v>6099.4</c:v>
                </c:pt>
                <c:pt idx="149">
                  <c:v>6102.4</c:v>
                </c:pt>
                <c:pt idx="150">
                  <c:v>6105.4</c:v>
                </c:pt>
                <c:pt idx="151">
                  <c:v>6108.4</c:v>
                </c:pt>
                <c:pt idx="152">
                  <c:v>6111.4</c:v>
                </c:pt>
                <c:pt idx="153">
                  <c:v>6114.4</c:v>
                </c:pt>
                <c:pt idx="154">
                  <c:v>6992.7999999999993</c:v>
                </c:pt>
                <c:pt idx="155">
                  <c:v>6995.7999999999993</c:v>
                </c:pt>
                <c:pt idx="156">
                  <c:v>6998.7999999999993</c:v>
                </c:pt>
                <c:pt idx="157">
                  <c:v>7001.7999999999993</c:v>
                </c:pt>
                <c:pt idx="158">
                  <c:v>7004.7999999999993</c:v>
                </c:pt>
                <c:pt idx="159">
                  <c:v>7007.7999999999993</c:v>
                </c:pt>
                <c:pt idx="160">
                  <c:v>7010.7999999999993</c:v>
                </c:pt>
                <c:pt idx="161">
                  <c:v>7013.7999999999993</c:v>
                </c:pt>
                <c:pt idx="162">
                  <c:v>7016.7999999999993</c:v>
                </c:pt>
                <c:pt idx="163">
                  <c:v>7019.7999999999993</c:v>
                </c:pt>
                <c:pt idx="164">
                  <c:v>7022.7999999999993</c:v>
                </c:pt>
                <c:pt idx="165">
                  <c:v>7025.7999999999993</c:v>
                </c:pt>
                <c:pt idx="166">
                  <c:v>7028.7999999999993</c:v>
                </c:pt>
                <c:pt idx="167">
                  <c:v>7031.7999999999993</c:v>
                </c:pt>
                <c:pt idx="168">
                  <c:v>7034.7999999999993</c:v>
                </c:pt>
                <c:pt idx="169">
                  <c:v>7037.7999999999993</c:v>
                </c:pt>
                <c:pt idx="170">
                  <c:v>7040.7999999999993</c:v>
                </c:pt>
                <c:pt idx="171">
                  <c:v>7043.7999999999993</c:v>
                </c:pt>
                <c:pt idx="172">
                  <c:v>7046.7999999999993</c:v>
                </c:pt>
                <c:pt idx="173">
                  <c:v>7049.7999999999993</c:v>
                </c:pt>
                <c:pt idx="174">
                  <c:v>7052.7999999999993</c:v>
                </c:pt>
                <c:pt idx="175">
                  <c:v>7055.7999999999993</c:v>
                </c:pt>
                <c:pt idx="176">
                  <c:v>7058.7999999999993</c:v>
                </c:pt>
                <c:pt idx="177">
                  <c:v>7061.7999999999993</c:v>
                </c:pt>
                <c:pt idx="178">
                  <c:v>7064.7999999999993</c:v>
                </c:pt>
                <c:pt idx="179">
                  <c:v>7067.7999999999993</c:v>
                </c:pt>
                <c:pt idx="180">
                  <c:v>7946.2</c:v>
                </c:pt>
                <c:pt idx="181">
                  <c:v>7949.2</c:v>
                </c:pt>
                <c:pt idx="182">
                  <c:v>7952.2</c:v>
                </c:pt>
                <c:pt idx="183">
                  <c:v>7955.2</c:v>
                </c:pt>
                <c:pt idx="184">
                  <c:v>7958.2</c:v>
                </c:pt>
                <c:pt idx="185">
                  <c:v>7961.2</c:v>
                </c:pt>
                <c:pt idx="186">
                  <c:v>7964.2</c:v>
                </c:pt>
                <c:pt idx="187">
                  <c:v>7967.2</c:v>
                </c:pt>
                <c:pt idx="188">
                  <c:v>7970.2</c:v>
                </c:pt>
                <c:pt idx="189">
                  <c:v>7973.2</c:v>
                </c:pt>
                <c:pt idx="190">
                  <c:v>7976.2</c:v>
                </c:pt>
                <c:pt idx="191">
                  <c:v>7979.2</c:v>
                </c:pt>
                <c:pt idx="192">
                  <c:v>7982.2</c:v>
                </c:pt>
                <c:pt idx="193">
                  <c:v>7985.2</c:v>
                </c:pt>
                <c:pt idx="194">
                  <c:v>7988.2</c:v>
                </c:pt>
                <c:pt idx="195">
                  <c:v>7991.2</c:v>
                </c:pt>
                <c:pt idx="196">
                  <c:v>7994.2</c:v>
                </c:pt>
                <c:pt idx="197">
                  <c:v>7997.2</c:v>
                </c:pt>
                <c:pt idx="198">
                  <c:v>8000.2</c:v>
                </c:pt>
                <c:pt idx="199">
                  <c:v>8003.2</c:v>
                </c:pt>
                <c:pt idx="200">
                  <c:v>8006.2</c:v>
                </c:pt>
                <c:pt idx="201">
                  <c:v>8009.2</c:v>
                </c:pt>
                <c:pt idx="202">
                  <c:v>8012.2</c:v>
                </c:pt>
                <c:pt idx="203">
                  <c:v>8015.2</c:v>
                </c:pt>
                <c:pt idx="204">
                  <c:v>8018.2</c:v>
                </c:pt>
                <c:pt idx="205">
                  <c:v>8021.2</c:v>
                </c:pt>
                <c:pt idx="206">
                  <c:v>8899.6</c:v>
                </c:pt>
                <c:pt idx="207">
                  <c:v>8902.6</c:v>
                </c:pt>
                <c:pt idx="208">
                  <c:v>8905.6</c:v>
                </c:pt>
                <c:pt idx="209">
                  <c:v>8908.6</c:v>
                </c:pt>
                <c:pt idx="210">
                  <c:v>8911.6</c:v>
                </c:pt>
                <c:pt idx="211">
                  <c:v>8914.6</c:v>
                </c:pt>
                <c:pt idx="212">
                  <c:v>8917.6</c:v>
                </c:pt>
                <c:pt idx="213">
                  <c:v>8920.6</c:v>
                </c:pt>
                <c:pt idx="214">
                  <c:v>8923.6</c:v>
                </c:pt>
                <c:pt idx="215">
                  <c:v>8926.6</c:v>
                </c:pt>
                <c:pt idx="216">
                  <c:v>8929.6</c:v>
                </c:pt>
                <c:pt idx="217">
                  <c:v>8932.6</c:v>
                </c:pt>
                <c:pt idx="218">
                  <c:v>8935.6</c:v>
                </c:pt>
                <c:pt idx="219">
                  <c:v>8938.6</c:v>
                </c:pt>
                <c:pt idx="220">
                  <c:v>8941.6</c:v>
                </c:pt>
                <c:pt idx="221">
                  <c:v>8944.6</c:v>
                </c:pt>
                <c:pt idx="222">
                  <c:v>8947.6</c:v>
                </c:pt>
                <c:pt idx="223">
                  <c:v>8950.6</c:v>
                </c:pt>
                <c:pt idx="224">
                  <c:v>8953.6</c:v>
                </c:pt>
                <c:pt idx="225">
                  <c:v>8956.6</c:v>
                </c:pt>
                <c:pt idx="226">
                  <c:v>8959.6</c:v>
                </c:pt>
                <c:pt idx="227">
                  <c:v>8962.6</c:v>
                </c:pt>
                <c:pt idx="228">
                  <c:v>8965.6</c:v>
                </c:pt>
                <c:pt idx="229">
                  <c:v>8968.6</c:v>
                </c:pt>
                <c:pt idx="230">
                  <c:v>8971.6</c:v>
                </c:pt>
                <c:pt idx="231">
                  <c:v>8974.6</c:v>
                </c:pt>
                <c:pt idx="232">
                  <c:v>9853</c:v>
                </c:pt>
                <c:pt idx="233">
                  <c:v>9856</c:v>
                </c:pt>
                <c:pt idx="234">
                  <c:v>9859</c:v>
                </c:pt>
                <c:pt idx="235">
                  <c:v>9862</c:v>
                </c:pt>
                <c:pt idx="236">
                  <c:v>9865</c:v>
                </c:pt>
                <c:pt idx="237">
                  <c:v>9868</c:v>
                </c:pt>
                <c:pt idx="238">
                  <c:v>9871</c:v>
                </c:pt>
                <c:pt idx="239">
                  <c:v>9874</c:v>
                </c:pt>
                <c:pt idx="240">
                  <c:v>9877</c:v>
                </c:pt>
                <c:pt idx="241">
                  <c:v>9880</c:v>
                </c:pt>
                <c:pt idx="242">
                  <c:v>9883</c:v>
                </c:pt>
                <c:pt idx="243">
                  <c:v>9886</c:v>
                </c:pt>
                <c:pt idx="244">
                  <c:v>9889</c:v>
                </c:pt>
                <c:pt idx="245">
                  <c:v>9892</c:v>
                </c:pt>
                <c:pt idx="246">
                  <c:v>9895</c:v>
                </c:pt>
                <c:pt idx="247">
                  <c:v>9898</c:v>
                </c:pt>
                <c:pt idx="248">
                  <c:v>9901</c:v>
                </c:pt>
                <c:pt idx="249">
                  <c:v>9904</c:v>
                </c:pt>
                <c:pt idx="250">
                  <c:v>9907</c:v>
                </c:pt>
                <c:pt idx="251">
                  <c:v>9910</c:v>
                </c:pt>
                <c:pt idx="252">
                  <c:v>9913</c:v>
                </c:pt>
                <c:pt idx="253">
                  <c:v>9916</c:v>
                </c:pt>
                <c:pt idx="254">
                  <c:v>9919</c:v>
                </c:pt>
                <c:pt idx="255">
                  <c:v>9922</c:v>
                </c:pt>
                <c:pt idx="256">
                  <c:v>9925</c:v>
                </c:pt>
                <c:pt idx="257">
                  <c:v>9928</c:v>
                </c:pt>
                <c:pt idx="258">
                  <c:v>10806.4</c:v>
                </c:pt>
                <c:pt idx="259">
                  <c:v>10809.4</c:v>
                </c:pt>
                <c:pt idx="260">
                  <c:v>10812.4</c:v>
                </c:pt>
                <c:pt idx="261">
                  <c:v>10815.4</c:v>
                </c:pt>
                <c:pt idx="262">
                  <c:v>10818.4</c:v>
                </c:pt>
                <c:pt idx="263">
                  <c:v>10821.4</c:v>
                </c:pt>
                <c:pt idx="264">
                  <c:v>10824.4</c:v>
                </c:pt>
                <c:pt idx="265">
                  <c:v>10827.4</c:v>
                </c:pt>
                <c:pt idx="266">
                  <c:v>10830.4</c:v>
                </c:pt>
                <c:pt idx="267">
                  <c:v>10833.4</c:v>
                </c:pt>
                <c:pt idx="268">
                  <c:v>10836.4</c:v>
                </c:pt>
                <c:pt idx="269">
                  <c:v>10839.4</c:v>
                </c:pt>
                <c:pt idx="270">
                  <c:v>10842.4</c:v>
                </c:pt>
                <c:pt idx="271">
                  <c:v>10845.4</c:v>
                </c:pt>
                <c:pt idx="272">
                  <c:v>10848.4</c:v>
                </c:pt>
                <c:pt idx="273">
                  <c:v>10851.4</c:v>
                </c:pt>
                <c:pt idx="274">
                  <c:v>10854.4</c:v>
                </c:pt>
                <c:pt idx="275">
                  <c:v>10857.4</c:v>
                </c:pt>
                <c:pt idx="276">
                  <c:v>10860.4</c:v>
                </c:pt>
                <c:pt idx="277">
                  <c:v>10863.4</c:v>
                </c:pt>
                <c:pt idx="278">
                  <c:v>10866.4</c:v>
                </c:pt>
                <c:pt idx="279">
                  <c:v>10869.4</c:v>
                </c:pt>
                <c:pt idx="280">
                  <c:v>10872.4</c:v>
                </c:pt>
                <c:pt idx="281">
                  <c:v>10875.4</c:v>
                </c:pt>
                <c:pt idx="282">
                  <c:v>10878.4</c:v>
                </c:pt>
                <c:pt idx="283">
                  <c:v>11756.8</c:v>
                </c:pt>
                <c:pt idx="284">
                  <c:v>11759.8</c:v>
                </c:pt>
                <c:pt idx="285">
                  <c:v>11762.8</c:v>
                </c:pt>
                <c:pt idx="286">
                  <c:v>11765.8</c:v>
                </c:pt>
                <c:pt idx="287">
                  <c:v>11768.8</c:v>
                </c:pt>
                <c:pt idx="288">
                  <c:v>11771.8</c:v>
                </c:pt>
                <c:pt idx="289">
                  <c:v>11774.8</c:v>
                </c:pt>
                <c:pt idx="290">
                  <c:v>11777.8</c:v>
                </c:pt>
                <c:pt idx="291">
                  <c:v>11780.8</c:v>
                </c:pt>
                <c:pt idx="292">
                  <c:v>11783.8</c:v>
                </c:pt>
                <c:pt idx="293">
                  <c:v>11786.8</c:v>
                </c:pt>
                <c:pt idx="294">
                  <c:v>11789.8</c:v>
                </c:pt>
                <c:pt idx="295">
                  <c:v>11792.8</c:v>
                </c:pt>
                <c:pt idx="296">
                  <c:v>11795.8</c:v>
                </c:pt>
                <c:pt idx="297">
                  <c:v>11798.8</c:v>
                </c:pt>
                <c:pt idx="298">
                  <c:v>11801.8</c:v>
                </c:pt>
                <c:pt idx="299">
                  <c:v>11804.8</c:v>
                </c:pt>
                <c:pt idx="300">
                  <c:v>11807.8</c:v>
                </c:pt>
                <c:pt idx="301">
                  <c:v>11810.8</c:v>
                </c:pt>
                <c:pt idx="302">
                  <c:v>11813.8</c:v>
                </c:pt>
                <c:pt idx="303">
                  <c:v>11816.8</c:v>
                </c:pt>
                <c:pt idx="304">
                  <c:v>11819.8</c:v>
                </c:pt>
                <c:pt idx="305">
                  <c:v>11822.8</c:v>
                </c:pt>
                <c:pt idx="306">
                  <c:v>11825.8</c:v>
                </c:pt>
                <c:pt idx="307">
                  <c:v>11828.8</c:v>
                </c:pt>
                <c:pt idx="308">
                  <c:v>11831.8</c:v>
                </c:pt>
                <c:pt idx="309">
                  <c:v>12710.2</c:v>
                </c:pt>
                <c:pt idx="310">
                  <c:v>12713.2</c:v>
                </c:pt>
                <c:pt idx="311">
                  <c:v>12716.2</c:v>
                </c:pt>
                <c:pt idx="312">
                  <c:v>12719.2</c:v>
                </c:pt>
                <c:pt idx="313">
                  <c:v>12722.2</c:v>
                </c:pt>
                <c:pt idx="314">
                  <c:v>12725.2</c:v>
                </c:pt>
                <c:pt idx="315">
                  <c:v>12728.2</c:v>
                </c:pt>
                <c:pt idx="316">
                  <c:v>12731.2</c:v>
                </c:pt>
                <c:pt idx="317">
                  <c:v>12734.2</c:v>
                </c:pt>
                <c:pt idx="318">
                  <c:v>12737.2</c:v>
                </c:pt>
                <c:pt idx="319">
                  <c:v>12740.2</c:v>
                </c:pt>
                <c:pt idx="320">
                  <c:v>12743.2</c:v>
                </c:pt>
                <c:pt idx="321">
                  <c:v>12746.2</c:v>
                </c:pt>
                <c:pt idx="322">
                  <c:v>12749.2</c:v>
                </c:pt>
                <c:pt idx="323">
                  <c:v>12752.2</c:v>
                </c:pt>
                <c:pt idx="324">
                  <c:v>12755.2</c:v>
                </c:pt>
                <c:pt idx="325">
                  <c:v>12758.2</c:v>
                </c:pt>
                <c:pt idx="326">
                  <c:v>12761.2</c:v>
                </c:pt>
                <c:pt idx="327">
                  <c:v>12764.2</c:v>
                </c:pt>
                <c:pt idx="328">
                  <c:v>12767.2</c:v>
                </c:pt>
                <c:pt idx="329">
                  <c:v>12770.2</c:v>
                </c:pt>
                <c:pt idx="330">
                  <c:v>12773.2</c:v>
                </c:pt>
                <c:pt idx="331">
                  <c:v>12776.2</c:v>
                </c:pt>
                <c:pt idx="332">
                  <c:v>12779.2</c:v>
                </c:pt>
                <c:pt idx="333">
                  <c:v>12782.2</c:v>
                </c:pt>
                <c:pt idx="334">
                  <c:v>12785.2</c:v>
                </c:pt>
                <c:pt idx="335">
                  <c:v>13663.599999999999</c:v>
                </c:pt>
                <c:pt idx="336">
                  <c:v>13666.599999999999</c:v>
                </c:pt>
                <c:pt idx="337">
                  <c:v>13669.599999999999</c:v>
                </c:pt>
                <c:pt idx="338">
                  <c:v>13672.599999999999</c:v>
                </c:pt>
                <c:pt idx="339">
                  <c:v>13675.599999999999</c:v>
                </c:pt>
                <c:pt idx="340">
                  <c:v>13678.599999999999</c:v>
                </c:pt>
                <c:pt idx="341">
                  <c:v>13681.599999999999</c:v>
                </c:pt>
                <c:pt idx="342">
                  <c:v>13684.599999999999</c:v>
                </c:pt>
                <c:pt idx="343">
                  <c:v>13687.599999999999</c:v>
                </c:pt>
                <c:pt idx="344">
                  <c:v>13690.599999999999</c:v>
                </c:pt>
                <c:pt idx="345">
                  <c:v>13693.599999999999</c:v>
                </c:pt>
                <c:pt idx="346">
                  <c:v>13696.599999999999</c:v>
                </c:pt>
                <c:pt idx="347">
                  <c:v>13699.599999999999</c:v>
                </c:pt>
                <c:pt idx="348">
                  <c:v>13702.599999999999</c:v>
                </c:pt>
                <c:pt idx="349">
                  <c:v>13705.599999999999</c:v>
                </c:pt>
                <c:pt idx="350">
                  <c:v>13708.599999999999</c:v>
                </c:pt>
                <c:pt idx="351">
                  <c:v>13711.599999999999</c:v>
                </c:pt>
                <c:pt idx="352">
                  <c:v>13714.599999999999</c:v>
                </c:pt>
                <c:pt idx="353">
                  <c:v>13717.599999999999</c:v>
                </c:pt>
                <c:pt idx="354">
                  <c:v>13720.599999999999</c:v>
                </c:pt>
                <c:pt idx="355">
                  <c:v>13723.599999999999</c:v>
                </c:pt>
                <c:pt idx="356">
                  <c:v>13726.599999999999</c:v>
                </c:pt>
                <c:pt idx="357">
                  <c:v>13729.599999999999</c:v>
                </c:pt>
                <c:pt idx="358">
                  <c:v>13732.599999999999</c:v>
                </c:pt>
                <c:pt idx="359">
                  <c:v>13735.599999999999</c:v>
                </c:pt>
                <c:pt idx="360">
                  <c:v>13738.599999999999</c:v>
                </c:pt>
                <c:pt idx="361">
                  <c:v>14617</c:v>
                </c:pt>
                <c:pt idx="362">
                  <c:v>14620</c:v>
                </c:pt>
                <c:pt idx="363">
                  <c:v>14623</c:v>
                </c:pt>
                <c:pt idx="364">
                  <c:v>14626</c:v>
                </c:pt>
                <c:pt idx="365">
                  <c:v>14629</c:v>
                </c:pt>
                <c:pt idx="366">
                  <c:v>14632</c:v>
                </c:pt>
                <c:pt idx="367">
                  <c:v>14635</c:v>
                </c:pt>
                <c:pt idx="368">
                  <c:v>14638</c:v>
                </c:pt>
                <c:pt idx="369">
                  <c:v>14641</c:v>
                </c:pt>
                <c:pt idx="370">
                  <c:v>14644</c:v>
                </c:pt>
                <c:pt idx="371">
                  <c:v>14647</c:v>
                </c:pt>
                <c:pt idx="372">
                  <c:v>14650</c:v>
                </c:pt>
                <c:pt idx="373">
                  <c:v>14653</c:v>
                </c:pt>
                <c:pt idx="374">
                  <c:v>14656</c:v>
                </c:pt>
                <c:pt idx="375">
                  <c:v>14659</c:v>
                </c:pt>
                <c:pt idx="376">
                  <c:v>14662</c:v>
                </c:pt>
                <c:pt idx="377">
                  <c:v>14665</c:v>
                </c:pt>
                <c:pt idx="378">
                  <c:v>14668</c:v>
                </c:pt>
                <c:pt idx="379">
                  <c:v>14671</c:v>
                </c:pt>
                <c:pt idx="380">
                  <c:v>14674</c:v>
                </c:pt>
                <c:pt idx="381">
                  <c:v>14677</c:v>
                </c:pt>
                <c:pt idx="382">
                  <c:v>14680</c:v>
                </c:pt>
                <c:pt idx="383">
                  <c:v>14683</c:v>
                </c:pt>
                <c:pt idx="384">
                  <c:v>14686</c:v>
                </c:pt>
                <c:pt idx="385">
                  <c:v>14689</c:v>
                </c:pt>
                <c:pt idx="386">
                  <c:v>14692</c:v>
                </c:pt>
                <c:pt idx="387">
                  <c:v>15570.4</c:v>
                </c:pt>
                <c:pt idx="388">
                  <c:v>15573.4</c:v>
                </c:pt>
                <c:pt idx="389">
                  <c:v>15576.4</c:v>
                </c:pt>
                <c:pt idx="390">
                  <c:v>15579.4</c:v>
                </c:pt>
                <c:pt idx="391">
                  <c:v>15582.4</c:v>
                </c:pt>
                <c:pt idx="392">
                  <c:v>15585.4</c:v>
                </c:pt>
                <c:pt idx="393">
                  <c:v>15588.4</c:v>
                </c:pt>
                <c:pt idx="394">
                  <c:v>15591.4</c:v>
                </c:pt>
                <c:pt idx="395">
                  <c:v>15594.4</c:v>
                </c:pt>
                <c:pt idx="396">
                  <c:v>15597.4</c:v>
                </c:pt>
                <c:pt idx="397">
                  <c:v>15600.4</c:v>
                </c:pt>
                <c:pt idx="398">
                  <c:v>15603.4</c:v>
                </c:pt>
                <c:pt idx="399">
                  <c:v>15606.4</c:v>
                </c:pt>
                <c:pt idx="400">
                  <c:v>15609.4</c:v>
                </c:pt>
                <c:pt idx="401">
                  <c:v>15612.4</c:v>
                </c:pt>
                <c:pt idx="402">
                  <c:v>15615.4</c:v>
                </c:pt>
                <c:pt idx="403">
                  <c:v>15618.4</c:v>
                </c:pt>
                <c:pt idx="404">
                  <c:v>15621.4</c:v>
                </c:pt>
                <c:pt idx="405">
                  <c:v>15624.4</c:v>
                </c:pt>
                <c:pt idx="406">
                  <c:v>15627.4</c:v>
                </c:pt>
                <c:pt idx="407">
                  <c:v>15630.4</c:v>
                </c:pt>
                <c:pt idx="408">
                  <c:v>15633.4</c:v>
                </c:pt>
                <c:pt idx="409">
                  <c:v>15636.4</c:v>
                </c:pt>
                <c:pt idx="410">
                  <c:v>15639.4</c:v>
                </c:pt>
                <c:pt idx="411">
                  <c:v>15642.4</c:v>
                </c:pt>
                <c:pt idx="412">
                  <c:v>16520.8</c:v>
                </c:pt>
                <c:pt idx="413">
                  <c:v>16523.8</c:v>
                </c:pt>
                <c:pt idx="414">
                  <c:v>16526.8</c:v>
                </c:pt>
                <c:pt idx="415">
                  <c:v>16529.8</c:v>
                </c:pt>
                <c:pt idx="416">
                  <c:v>16532.8</c:v>
                </c:pt>
                <c:pt idx="417">
                  <c:v>16535.8</c:v>
                </c:pt>
                <c:pt idx="418">
                  <c:v>16538.8</c:v>
                </c:pt>
                <c:pt idx="419">
                  <c:v>16541.8</c:v>
                </c:pt>
                <c:pt idx="420">
                  <c:v>16544.8</c:v>
                </c:pt>
                <c:pt idx="421">
                  <c:v>16547.8</c:v>
                </c:pt>
                <c:pt idx="422">
                  <c:v>16550.8</c:v>
                </c:pt>
                <c:pt idx="423">
                  <c:v>16553.8</c:v>
                </c:pt>
                <c:pt idx="424">
                  <c:v>16556.8</c:v>
                </c:pt>
                <c:pt idx="425">
                  <c:v>16559.8</c:v>
                </c:pt>
                <c:pt idx="426">
                  <c:v>16562.8</c:v>
                </c:pt>
                <c:pt idx="427">
                  <c:v>16565.8</c:v>
                </c:pt>
                <c:pt idx="428">
                  <c:v>16568.8</c:v>
                </c:pt>
                <c:pt idx="429">
                  <c:v>16571.8</c:v>
                </c:pt>
                <c:pt idx="430">
                  <c:v>16574.8</c:v>
                </c:pt>
                <c:pt idx="431">
                  <c:v>16577.8</c:v>
                </c:pt>
                <c:pt idx="432">
                  <c:v>16580.8</c:v>
                </c:pt>
                <c:pt idx="433">
                  <c:v>16583.8</c:v>
                </c:pt>
                <c:pt idx="434">
                  <c:v>16586.8</c:v>
                </c:pt>
                <c:pt idx="435">
                  <c:v>16589.8</c:v>
                </c:pt>
                <c:pt idx="436">
                  <c:v>16592.8</c:v>
                </c:pt>
                <c:pt idx="437">
                  <c:v>16595.8</c:v>
                </c:pt>
                <c:pt idx="438">
                  <c:v>17474.2</c:v>
                </c:pt>
                <c:pt idx="439">
                  <c:v>17477.2</c:v>
                </c:pt>
                <c:pt idx="440">
                  <c:v>17480.2</c:v>
                </c:pt>
                <c:pt idx="441">
                  <c:v>17483.2</c:v>
                </c:pt>
                <c:pt idx="442">
                  <c:v>17486.2</c:v>
                </c:pt>
                <c:pt idx="443">
                  <c:v>17489.2</c:v>
                </c:pt>
                <c:pt idx="444">
                  <c:v>17492.2</c:v>
                </c:pt>
                <c:pt idx="445">
                  <c:v>17495.2</c:v>
                </c:pt>
                <c:pt idx="446">
                  <c:v>17498.2</c:v>
                </c:pt>
                <c:pt idx="447">
                  <c:v>17501.2</c:v>
                </c:pt>
                <c:pt idx="448">
                  <c:v>17504.2</c:v>
                </c:pt>
                <c:pt idx="449">
                  <c:v>17507.2</c:v>
                </c:pt>
                <c:pt idx="450">
                  <c:v>17510.2</c:v>
                </c:pt>
                <c:pt idx="451">
                  <c:v>17513.2</c:v>
                </c:pt>
                <c:pt idx="452">
                  <c:v>17516.2</c:v>
                </c:pt>
                <c:pt idx="453">
                  <c:v>17519.2</c:v>
                </c:pt>
                <c:pt idx="454">
                  <c:v>17522.2</c:v>
                </c:pt>
                <c:pt idx="455">
                  <c:v>17525.2</c:v>
                </c:pt>
                <c:pt idx="456">
                  <c:v>17528.2</c:v>
                </c:pt>
                <c:pt idx="457">
                  <c:v>17531.2</c:v>
                </c:pt>
                <c:pt idx="458">
                  <c:v>17534.2</c:v>
                </c:pt>
                <c:pt idx="459">
                  <c:v>17537.2</c:v>
                </c:pt>
                <c:pt idx="460">
                  <c:v>17540.2</c:v>
                </c:pt>
                <c:pt idx="461">
                  <c:v>17543.2</c:v>
                </c:pt>
                <c:pt idx="462">
                  <c:v>17546.2</c:v>
                </c:pt>
                <c:pt idx="463">
                  <c:v>17549.2</c:v>
                </c:pt>
                <c:pt idx="464">
                  <c:v>18427.599999999999</c:v>
                </c:pt>
                <c:pt idx="465">
                  <c:v>18430.599999999999</c:v>
                </c:pt>
                <c:pt idx="466">
                  <c:v>18433.599999999999</c:v>
                </c:pt>
                <c:pt idx="467">
                  <c:v>18436.599999999999</c:v>
                </c:pt>
                <c:pt idx="468">
                  <c:v>18439.599999999999</c:v>
                </c:pt>
                <c:pt idx="469">
                  <c:v>18442.599999999999</c:v>
                </c:pt>
                <c:pt idx="470">
                  <c:v>18445.599999999999</c:v>
                </c:pt>
                <c:pt idx="471">
                  <c:v>18448.599999999999</c:v>
                </c:pt>
                <c:pt idx="472">
                  <c:v>18451.599999999999</c:v>
                </c:pt>
                <c:pt idx="473">
                  <c:v>18454.599999999999</c:v>
                </c:pt>
                <c:pt idx="474">
                  <c:v>18457.599999999999</c:v>
                </c:pt>
                <c:pt idx="475">
                  <c:v>18460.599999999999</c:v>
                </c:pt>
                <c:pt idx="476">
                  <c:v>18463.599999999999</c:v>
                </c:pt>
                <c:pt idx="477">
                  <c:v>18466.599999999999</c:v>
                </c:pt>
                <c:pt idx="478">
                  <c:v>18469.599999999999</c:v>
                </c:pt>
                <c:pt idx="479">
                  <c:v>18472.599999999999</c:v>
                </c:pt>
                <c:pt idx="480">
                  <c:v>18475.599999999999</c:v>
                </c:pt>
                <c:pt idx="481">
                  <c:v>18478.599999999999</c:v>
                </c:pt>
                <c:pt idx="482">
                  <c:v>18481.599999999999</c:v>
                </c:pt>
                <c:pt idx="483">
                  <c:v>18484.599999999999</c:v>
                </c:pt>
                <c:pt idx="484">
                  <c:v>18487.599999999999</c:v>
                </c:pt>
                <c:pt idx="485">
                  <c:v>18490.599999999999</c:v>
                </c:pt>
                <c:pt idx="486">
                  <c:v>18493.599999999999</c:v>
                </c:pt>
                <c:pt idx="487">
                  <c:v>18496.599999999999</c:v>
                </c:pt>
                <c:pt idx="488">
                  <c:v>18499.599999999999</c:v>
                </c:pt>
                <c:pt idx="489">
                  <c:v>18502.599999999999</c:v>
                </c:pt>
                <c:pt idx="490">
                  <c:v>19381</c:v>
                </c:pt>
                <c:pt idx="491">
                  <c:v>19384</c:v>
                </c:pt>
                <c:pt idx="492">
                  <c:v>19387</c:v>
                </c:pt>
                <c:pt idx="493">
                  <c:v>19390</c:v>
                </c:pt>
                <c:pt idx="494">
                  <c:v>19393</c:v>
                </c:pt>
                <c:pt idx="495">
                  <c:v>19396</c:v>
                </c:pt>
                <c:pt idx="496">
                  <c:v>19399</c:v>
                </c:pt>
                <c:pt idx="497">
                  <c:v>19402</c:v>
                </c:pt>
                <c:pt idx="498">
                  <c:v>19405</c:v>
                </c:pt>
                <c:pt idx="499">
                  <c:v>19408</c:v>
                </c:pt>
                <c:pt idx="500">
                  <c:v>19411</c:v>
                </c:pt>
                <c:pt idx="501">
                  <c:v>19414</c:v>
                </c:pt>
                <c:pt idx="502">
                  <c:v>19417</c:v>
                </c:pt>
                <c:pt idx="503">
                  <c:v>19420</c:v>
                </c:pt>
                <c:pt idx="504">
                  <c:v>19423</c:v>
                </c:pt>
                <c:pt idx="505">
                  <c:v>19426</c:v>
                </c:pt>
                <c:pt idx="506">
                  <c:v>19429</c:v>
                </c:pt>
                <c:pt idx="507">
                  <c:v>19432</c:v>
                </c:pt>
                <c:pt idx="508">
                  <c:v>19435</c:v>
                </c:pt>
                <c:pt idx="509">
                  <c:v>19438</c:v>
                </c:pt>
                <c:pt idx="510">
                  <c:v>19441</c:v>
                </c:pt>
                <c:pt idx="511">
                  <c:v>19444</c:v>
                </c:pt>
                <c:pt idx="512">
                  <c:v>19447</c:v>
                </c:pt>
                <c:pt idx="513">
                  <c:v>19450</c:v>
                </c:pt>
                <c:pt idx="514">
                  <c:v>19453</c:v>
                </c:pt>
                <c:pt idx="515">
                  <c:v>19456</c:v>
                </c:pt>
                <c:pt idx="516">
                  <c:v>20334.400000000001</c:v>
                </c:pt>
                <c:pt idx="517">
                  <c:v>20337.400000000001</c:v>
                </c:pt>
                <c:pt idx="518">
                  <c:v>20340.400000000001</c:v>
                </c:pt>
                <c:pt idx="519">
                  <c:v>20343.400000000001</c:v>
                </c:pt>
                <c:pt idx="520">
                  <c:v>20346.400000000001</c:v>
                </c:pt>
                <c:pt idx="521">
                  <c:v>20349.400000000001</c:v>
                </c:pt>
                <c:pt idx="522">
                  <c:v>20352.400000000001</c:v>
                </c:pt>
                <c:pt idx="523">
                  <c:v>20355.400000000001</c:v>
                </c:pt>
                <c:pt idx="524">
                  <c:v>20358.400000000001</c:v>
                </c:pt>
                <c:pt idx="525">
                  <c:v>20361.400000000001</c:v>
                </c:pt>
                <c:pt idx="526">
                  <c:v>20364.400000000001</c:v>
                </c:pt>
                <c:pt idx="527">
                  <c:v>20367.400000000001</c:v>
                </c:pt>
                <c:pt idx="528">
                  <c:v>20370.400000000001</c:v>
                </c:pt>
                <c:pt idx="529">
                  <c:v>20373.400000000001</c:v>
                </c:pt>
                <c:pt idx="530">
                  <c:v>20376.400000000001</c:v>
                </c:pt>
                <c:pt idx="531">
                  <c:v>20379.400000000001</c:v>
                </c:pt>
                <c:pt idx="532">
                  <c:v>20382.400000000001</c:v>
                </c:pt>
                <c:pt idx="533">
                  <c:v>20385.400000000001</c:v>
                </c:pt>
                <c:pt idx="534">
                  <c:v>20388.400000000001</c:v>
                </c:pt>
                <c:pt idx="535">
                  <c:v>20391.400000000001</c:v>
                </c:pt>
                <c:pt idx="536">
                  <c:v>20394.400000000001</c:v>
                </c:pt>
                <c:pt idx="537">
                  <c:v>20397.400000000001</c:v>
                </c:pt>
                <c:pt idx="538">
                  <c:v>20400.400000000001</c:v>
                </c:pt>
                <c:pt idx="539">
                  <c:v>20403.400000000001</c:v>
                </c:pt>
                <c:pt idx="540">
                  <c:v>20406.400000000001</c:v>
                </c:pt>
                <c:pt idx="541">
                  <c:v>21284.799999999999</c:v>
                </c:pt>
                <c:pt idx="542">
                  <c:v>21287.8</c:v>
                </c:pt>
                <c:pt idx="543">
                  <c:v>21290.799999999999</c:v>
                </c:pt>
                <c:pt idx="544">
                  <c:v>21293.8</c:v>
                </c:pt>
                <c:pt idx="545">
                  <c:v>21296.799999999999</c:v>
                </c:pt>
                <c:pt idx="546">
                  <c:v>21299.8</c:v>
                </c:pt>
                <c:pt idx="547">
                  <c:v>21302.799999999999</c:v>
                </c:pt>
                <c:pt idx="548">
                  <c:v>21305.8</c:v>
                </c:pt>
                <c:pt idx="549">
                  <c:v>21308.799999999999</c:v>
                </c:pt>
                <c:pt idx="550">
                  <c:v>21311.8</c:v>
                </c:pt>
                <c:pt idx="551">
                  <c:v>21314.799999999999</c:v>
                </c:pt>
                <c:pt idx="552">
                  <c:v>21317.8</c:v>
                </c:pt>
                <c:pt idx="553">
                  <c:v>21320.799999999999</c:v>
                </c:pt>
                <c:pt idx="554">
                  <c:v>21323.8</c:v>
                </c:pt>
                <c:pt idx="555">
                  <c:v>21326.799999999999</c:v>
                </c:pt>
                <c:pt idx="556">
                  <c:v>21329.8</c:v>
                </c:pt>
                <c:pt idx="557">
                  <c:v>21332.799999999999</c:v>
                </c:pt>
                <c:pt idx="558">
                  <c:v>21335.8</c:v>
                </c:pt>
                <c:pt idx="559">
                  <c:v>21338.799999999999</c:v>
                </c:pt>
                <c:pt idx="560">
                  <c:v>21341.8</c:v>
                </c:pt>
                <c:pt idx="561">
                  <c:v>21344.799999999999</c:v>
                </c:pt>
                <c:pt idx="562">
                  <c:v>21347.8</c:v>
                </c:pt>
                <c:pt idx="563">
                  <c:v>21350.799999999999</c:v>
                </c:pt>
                <c:pt idx="564">
                  <c:v>21353.8</c:v>
                </c:pt>
                <c:pt idx="565">
                  <c:v>21356.799999999999</c:v>
                </c:pt>
                <c:pt idx="566">
                  <c:v>21359.8</c:v>
                </c:pt>
                <c:pt idx="567">
                  <c:v>22238.2</c:v>
                </c:pt>
                <c:pt idx="568">
                  <c:v>22241.200000000001</c:v>
                </c:pt>
                <c:pt idx="569">
                  <c:v>22244.2</c:v>
                </c:pt>
                <c:pt idx="570">
                  <c:v>22247.200000000001</c:v>
                </c:pt>
                <c:pt idx="571">
                  <c:v>22250.2</c:v>
                </c:pt>
                <c:pt idx="572">
                  <c:v>22253.200000000001</c:v>
                </c:pt>
                <c:pt idx="573">
                  <c:v>22256.2</c:v>
                </c:pt>
                <c:pt idx="574">
                  <c:v>22259.200000000001</c:v>
                </c:pt>
                <c:pt idx="575">
                  <c:v>22262.2</c:v>
                </c:pt>
                <c:pt idx="576">
                  <c:v>22265.200000000001</c:v>
                </c:pt>
                <c:pt idx="577">
                  <c:v>22268.2</c:v>
                </c:pt>
                <c:pt idx="578">
                  <c:v>22271.200000000001</c:v>
                </c:pt>
                <c:pt idx="579">
                  <c:v>22274.2</c:v>
                </c:pt>
                <c:pt idx="580">
                  <c:v>22277.200000000001</c:v>
                </c:pt>
                <c:pt idx="581">
                  <c:v>22280.2</c:v>
                </c:pt>
                <c:pt idx="582">
                  <c:v>22283.200000000001</c:v>
                </c:pt>
                <c:pt idx="583">
                  <c:v>22286.2</c:v>
                </c:pt>
                <c:pt idx="584">
                  <c:v>22289.200000000001</c:v>
                </c:pt>
                <c:pt idx="585">
                  <c:v>22292.2</c:v>
                </c:pt>
                <c:pt idx="586">
                  <c:v>22295.200000000001</c:v>
                </c:pt>
                <c:pt idx="587">
                  <c:v>22298.2</c:v>
                </c:pt>
                <c:pt idx="588">
                  <c:v>22301.200000000001</c:v>
                </c:pt>
                <c:pt idx="589">
                  <c:v>22304.2</c:v>
                </c:pt>
                <c:pt idx="590">
                  <c:v>22307.200000000001</c:v>
                </c:pt>
                <c:pt idx="591">
                  <c:v>22310.2</c:v>
                </c:pt>
                <c:pt idx="592">
                  <c:v>22313.200000000001</c:v>
                </c:pt>
                <c:pt idx="593">
                  <c:v>23191.599999999999</c:v>
                </c:pt>
                <c:pt idx="594">
                  <c:v>23194.6</c:v>
                </c:pt>
                <c:pt idx="595">
                  <c:v>23197.599999999999</c:v>
                </c:pt>
                <c:pt idx="596">
                  <c:v>23200.6</c:v>
                </c:pt>
                <c:pt idx="597">
                  <c:v>23203.599999999999</c:v>
                </c:pt>
                <c:pt idx="598">
                  <c:v>23206.6</c:v>
                </c:pt>
                <c:pt idx="599">
                  <c:v>23209.599999999999</c:v>
                </c:pt>
                <c:pt idx="600">
                  <c:v>23212.6</c:v>
                </c:pt>
                <c:pt idx="601">
                  <c:v>23215.599999999999</c:v>
                </c:pt>
                <c:pt idx="602">
                  <c:v>23218.6</c:v>
                </c:pt>
                <c:pt idx="603">
                  <c:v>23221.599999999999</c:v>
                </c:pt>
                <c:pt idx="604">
                  <c:v>23224.6</c:v>
                </c:pt>
                <c:pt idx="605">
                  <c:v>23227.599999999999</c:v>
                </c:pt>
                <c:pt idx="606">
                  <c:v>23230.6</c:v>
                </c:pt>
                <c:pt idx="607">
                  <c:v>23233.599999999999</c:v>
                </c:pt>
                <c:pt idx="608">
                  <c:v>23236.6</c:v>
                </c:pt>
                <c:pt idx="609">
                  <c:v>23239.599999999999</c:v>
                </c:pt>
                <c:pt idx="610">
                  <c:v>23242.6</c:v>
                </c:pt>
                <c:pt idx="611">
                  <c:v>23245.599999999999</c:v>
                </c:pt>
                <c:pt idx="612">
                  <c:v>23248.6</c:v>
                </c:pt>
                <c:pt idx="613">
                  <c:v>23251.599999999999</c:v>
                </c:pt>
                <c:pt idx="614">
                  <c:v>23254.6</c:v>
                </c:pt>
                <c:pt idx="615">
                  <c:v>23257.599999999999</c:v>
                </c:pt>
                <c:pt idx="616">
                  <c:v>23260.6</c:v>
                </c:pt>
                <c:pt idx="617">
                  <c:v>23263.599999999999</c:v>
                </c:pt>
                <c:pt idx="618">
                  <c:v>23266.6</c:v>
                </c:pt>
                <c:pt idx="619">
                  <c:v>24145</c:v>
                </c:pt>
                <c:pt idx="620">
                  <c:v>24148</c:v>
                </c:pt>
                <c:pt idx="621">
                  <c:v>24151</c:v>
                </c:pt>
                <c:pt idx="622">
                  <c:v>24154</c:v>
                </c:pt>
                <c:pt idx="623">
                  <c:v>24157</c:v>
                </c:pt>
                <c:pt idx="624">
                  <c:v>24160</c:v>
                </c:pt>
                <c:pt idx="625">
                  <c:v>24163</c:v>
                </c:pt>
                <c:pt idx="626">
                  <c:v>24166</c:v>
                </c:pt>
                <c:pt idx="627">
                  <c:v>24169</c:v>
                </c:pt>
                <c:pt idx="628">
                  <c:v>24172</c:v>
                </c:pt>
                <c:pt idx="629">
                  <c:v>24175</c:v>
                </c:pt>
                <c:pt idx="630">
                  <c:v>24178</c:v>
                </c:pt>
                <c:pt idx="631">
                  <c:v>24181</c:v>
                </c:pt>
                <c:pt idx="632">
                  <c:v>24184</c:v>
                </c:pt>
                <c:pt idx="633">
                  <c:v>24187</c:v>
                </c:pt>
                <c:pt idx="634">
                  <c:v>24190</c:v>
                </c:pt>
                <c:pt idx="635">
                  <c:v>24193</c:v>
                </c:pt>
                <c:pt idx="636">
                  <c:v>24196</c:v>
                </c:pt>
                <c:pt idx="637">
                  <c:v>24199</c:v>
                </c:pt>
                <c:pt idx="638">
                  <c:v>24202</c:v>
                </c:pt>
                <c:pt idx="639">
                  <c:v>24205</c:v>
                </c:pt>
                <c:pt idx="640">
                  <c:v>24208</c:v>
                </c:pt>
                <c:pt idx="641">
                  <c:v>24211</c:v>
                </c:pt>
                <c:pt idx="642">
                  <c:v>24214</c:v>
                </c:pt>
                <c:pt idx="643">
                  <c:v>24217</c:v>
                </c:pt>
                <c:pt idx="644">
                  <c:v>24220</c:v>
                </c:pt>
                <c:pt idx="645">
                  <c:v>25098.400000000001</c:v>
                </c:pt>
                <c:pt idx="646">
                  <c:v>25101.4</c:v>
                </c:pt>
                <c:pt idx="647">
                  <c:v>25104.400000000001</c:v>
                </c:pt>
                <c:pt idx="648">
                  <c:v>25107.4</c:v>
                </c:pt>
                <c:pt idx="649">
                  <c:v>25110.400000000001</c:v>
                </c:pt>
                <c:pt idx="650">
                  <c:v>25113.4</c:v>
                </c:pt>
                <c:pt idx="651">
                  <c:v>25116.400000000001</c:v>
                </c:pt>
                <c:pt idx="652">
                  <c:v>25119.4</c:v>
                </c:pt>
                <c:pt idx="653">
                  <c:v>25122.400000000001</c:v>
                </c:pt>
                <c:pt idx="654">
                  <c:v>25125.4</c:v>
                </c:pt>
                <c:pt idx="655">
                  <c:v>25128.400000000001</c:v>
                </c:pt>
                <c:pt idx="656">
                  <c:v>25131.4</c:v>
                </c:pt>
                <c:pt idx="657">
                  <c:v>25134.400000000001</c:v>
                </c:pt>
                <c:pt idx="658">
                  <c:v>25137.4</c:v>
                </c:pt>
                <c:pt idx="659">
                  <c:v>25140.400000000001</c:v>
                </c:pt>
                <c:pt idx="660">
                  <c:v>25143.4</c:v>
                </c:pt>
                <c:pt idx="661">
                  <c:v>25146.400000000001</c:v>
                </c:pt>
                <c:pt idx="662">
                  <c:v>25149.4</c:v>
                </c:pt>
                <c:pt idx="663">
                  <c:v>25152.400000000001</c:v>
                </c:pt>
                <c:pt idx="664">
                  <c:v>25155.4</c:v>
                </c:pt>
                <c:pt idx="665">
                  <c:v>25158.400000000001</c:v>
                </c:pt>
                <c:pt idx="666">
                  <c:v>25161.4</c:v>
                </c:pt>
                <c:pt idx="667">
                  <c:v>25164.400000000001</c:v>
                </c:pt>
                <c:pt idx="668">
                  <c:v>25167.4</c:v>
                </c:pt>
                <c:pt idx="669">
                  <c:v>25170.400000000001</c:v>
                </c:pt>
                <c:pt idx="670">
                  <c:v>26048.799999999999</c:v>
                </c:pt>
                <c:pt idx="671">
                  <c:v>26051.8</c:v>
                </c:pt>
                <c:pt idx="672">
                  <c:v>26054.799999999999</c:v>
                </c:pt>
                <c:pt idx="673">
                  <c:v>26057.8</c:v>
                </c:pt>
                <c:pt idx="674">
                  <c:v>26060.799999999999</c:v>
                </c:pt>
                <c:pt idx="675">
                  <c:v>26063.8</c:v>
                </c:pt>
                <c:pt idx="676">
                  <c:v>26066.799999999999</c:v>
                </c:pt>
                <c:pt idx="677">
                  <c:v>26069.8</c:v>
                </c:pt>
                <c:pt idx="678">
                  <c:v>26072.799999999999</c:v>
                </c:pt>
                <c:pt idx="679">
                  <c:v>26075.8</c:v>
                </c:pt>
                <c:pt idx="680">
                  <c:v>26078.799999999999</c:v>
                </c:pt>
                <c:pt idx="681">
                  <c:v>26081.8</c:v>
                </c:pt>
                <c:pt idx="682">
                  <c:v>26084.799999999999</c:v>
                </c:pt>
                <c:pt idx="683">
                  <c:v>26087.8</c:v>
                </c:pt>
                <c:pt idx="684">
                  <c:v>26090.799999999999</c:v>
                </c:pt>
                <c:pt idx="685">
                  <c:v>26093.8</c:v>
                </c:pt>
                <c:pt idx="686">
                  <c:v>26096.799999999999</c:v>
                </c:pt>
                <c:pt idx="687">
                  <c:v>26099.8</c:v>
                </c:pt>
                <c:pt idx="688">
                  <c:v>26102.799999999999</c:v>
                </c:pt>
                <c:pt idx="689">
                  <c:v>26105.8</c:v>
                </c:pt>
                <c:pt idx="690">
                  <c:v>26108.799999999999</c:v>
                </c:pt>
                <c:pt idx="691">
                  <c:v>26111.8</c:v>
                </c:pt>
                <c:pt idx="692">
                  <c:v>26114.799999999999</c:v>
                </c:pt>
                <c:pt idx="693">
                  <c:v>26117.8</c:v>
                </c:pt>
                <c:pt idx="694">
                  <c:v>26120.799999999999</c:v>
                </c:pt>
                <c:pt idx="695">
                  <c:v>26123.8</c:v>
                </c:pt>
                <c:pt idx="696">
                  <c:v>27002.199999999997</c:v>
                </c:pt>
                <c:pt idx="697">
                  <c:v>27005.199999999997</c:v>
                </c:pt>
                <c:pt idx="698">
                  <c:v>27008.199999999997</c:v>
                </c:pt>
                <c:pt idx="699">
                  <c:v>27011.199999999997</c:v>
                </c:pt>
                <c:pt idx="700">
                  <c:v>27014.199999999997</c:v>
                </c:pt>
                <c:pt idx="701">
                  <c:v>27017.199999999997</c:v>
                </c:pt>
                <c:pt idx="702">
                  <c:v>27020.199999999997</c:v>
                </c:pt>
                <c:pt idx="703">
                  <c:v>27023.199999999997</c:v>
                </c:pt>
                <c:pt idx="704">
                  <c:v>27026.199999999997</c:v>
                </c:pt>
                <c:pt idx="705">
                  <c:v>27029.199999999997</c:v>
                </c:pt>
                <c:pt idx="706">
                  <c:v>27032.199999999997</c:v>
                </c:pt>
                <c:pt idx="707">
                  <c:v>27035.199999999997</c:v>
                </c:pt>
                <c:pt idx="708">
                  <c:v>27038.199999999997</c:v>
                </c:pt>
                <c:pt idx="709">
                  <c:v>27041.199999999997</c:v>
                </c:pt>
                <c:pt idx="710">
                  <c:v>27044.199999999997</c:v>
                </c:pt>
                <c:pt idx="711">
                  <c:v>27047.199999999997</c:v>
                </c:pt>
                <c:pt idx="712">
                  <c:v>27050.199999999997</c:v>
                </c:pt>
                <c:pt idx="713">
                  <c:v>27053.199999999997</c:v>
                </c:pt>
                <c:pt idx="714">
                  <c:v>27056.199999999997</c:v>
                </c:pt>
                <c:pt idx="715">
                  <c:v>27059.199999999997</c:v>
                </c:pt>
                <c:pt idx="716">
                  <c:v>27062.199999999997</c:v>
                </c:pt>
                <c:pt idx="717">
                  <c:v>27065.199999999997</c:v>
                </c:pt>
                <c:pt idx="718">
                  <c:v>27068.199999999997</c:v>
                </c:pt>
                <c:pt idx="719">
                  <c:v>27071.199999999997</c:v>
                </c:pt>
                <c:pt idx="720">
                  <c:v>27074.199999999997</c:v>
                </c:pt>
                <c:pt idx="721">
                  <c:v>27077.199999999997</c:v>
                </c:pt>
                <c:pt idx="722">
                  <c:v>27955.599999999999</c:v>
                </c:pt>
                <c:pt idx="723">
                  <c:v>27958.6</c:v>
                </c:pt>
                <c:pt idx="724">
                  <c:v>27961.599999999999</c:v>
                </c:pt>
                <c:pt idx="725">
                  <c:v>27964.6</c:v>
                </c:pt>
                <c:pt idx="726">
                  <c:v>27967.599999999999</c:v>
                </c:pt>
                <c:pt idx="727">
                  <c:v>27970.6</c:v>
                </c:pt>
                <c:pt idx="728">
                  <c:v>27973.599999999999</c:v>
                </c:pt>
                <c:pt idx="729">
                  <c:v>27976.6</c:v>
                </c:pt>
                <c:pt idx="730">
                  <c:v>27979.599999999999</c:v>
                </c:pt>
                <c:pt idx="731">
                  <c:v>27982.6</c:v>
                </c:pt>
                <c:pt idx="732">
                  <c:v>27985.599999999999</c:v>
                </c:pt>
                <c:pt idx="733">
                  <c:v>27988.6</c:v>
                </c:pt>
                <c:pt idx="734">
                  <c:v>27991.599999999999</c:v>
                </c:pt>
                <c:pt idx="735">
                  <c:v>27994.6</c:v>
                </c:pt>
                <c:pt idx="736">
                  <c:v>27997.599999999999</c:v>
                </c:pt>
                <c:pt idx="737">
                  <c:v>28000.6</c:v>
                </c:pt>
                <c:pt idx="738">
                  <c:v>28003.599999999999</c:v>
                </c:pt>
                <c:pt idx="739">
                  <c:v>28006.6</c:v>
                </c:pt>
                <c:pt idx="740">
                  <c:v>28009.599999999999</c:v>
                </c:pt>
                <c:pt idx="741">
                  <c:v>28012.6</c:v>
                </c:pt>
                <c:pt idx="742">
                  <c:v>28015.599999999999</c:v>
                </c:pt>
                <c:pt idx="743">
                  <c:v>28018.6</c:v>
                </c:pt>
                <c:pt idx="744">
                  <c:v>28021.599999999999</c:v>
                </c:pt>
                <c:pt idx="745">
                  <c:v>28024.6</c:v>
                </c:pt>
                <c:pt idx="746">
                  <c:v>28027.599999999999</c:v>
                </c:pt>
                <c:pt idx="747">
                  <c:v>28030.6</c:v>
                </c:pt>
                <c:pt idx="748">
                  <c:v>28909</c:v>
                </c:pt>
                <c:pt idx="749">
                  <c:v>28912</c:v>
                </c:pt>
                <c:pt idx="750">
                  <c:v>28915</c:v>
                </c:pt>
                <c:pt idx="751">
                  <c:v>28918</c:v>
                </c:pt>
                <c:pt idx="752">
                  <c:v>28921</c:v>
                </c:pt>
                <c:pt idx="753">
                  <c:v>28924</c:v>
                </c:pt>
                <c:pt idx="754">
                  <c:v>28927</c:v>
                </c:pt>
                <c:pt idx="755">
                  <c:v>28930</c:v>
                </c:pt>
                <c:pt idx="756">
                  <c:v>28933</c:v>
                </c:pt>
                <c:pt idx="757">
                  <c:v>28936</c:v>
                </c:pt>
                <c:pt idx="758">
                  <c:v>28939</c:v>
                </c:pt>
                <c:pt idx="759">
                  <c:v>28942</c:v>
                </c:pt>
                <c:pt idx="760">
                  <c:v>28945</c:v>
                </c:pt>
                <c:pt idx="761">
                  <c:v>28948</c:v>
                </c:pt>
                <c:pt idx="762">
                  <c:v>28951</c:v>
                </c:pt>
                <c:pt idx="763">
                  <c:v>28954</c:v>
                </c:pt>
                <c:pt idx="764">
                  <c:v>28957</c:v>
                </c:pt>
                <c:pt idx="765">
                  <c:v>28960</c:v>
                </c:pt>
                <c:pt idx="766">
                  <c:v>28963</c:v>
                </c:pt>
                <c:pt idx="767">
                  <c:v>28966</c:v>
                </c:pt>
                <c:pt idx="768">
                  <c:v>28969</c:v>
                </c:pt>
                <c:pt idx="769">
                  <c:v>28972</c:v>
                </c:pt>
                <c:pt idx="770">
                  <c:v>28975</c:v>
                </c:pt>
                <c:pt idx="771">
                  <c:v>28978</c:v>
                </c:pt>
                <c:pt idx="772">
                  <c:v>28981</c:v>
                </c:pt>
                <c:pt idx="773">
                  <c:v>28984</c:v>
                </c:pt>
                <c:pt idx="774">
                  <c:v>29862.400000000001</c:v>
                </c:pt>
                <c:pt idx="775">
                  <c:v>29865.4</c:v>
                </c:pt>
                <c:pt idx="776">
                  <c:v>29868.400000000001</c:v>
                </c:pt>
                <c:pt idx="777">
                  <c:v>29871.4</c:v>
                </c:pt>
                <c:pt idx="778">
                  <c:v>29874.400000000001</c:v>
                </c:pt>
                <c:pt idx="779">
                  <c:v>29877.4</c:v>
                </c:pt>
                <c:pt idx="780">
                  <c:v>29880.400000000001</c:v>
                </c:pt>
                <c:pt idx="781">
                  <c:v>29883.4</c:v>
                </c:pt>
                <c:pt idx="782">
                  <c:v>29886.400000000001</c:v>
                </c:pt>
                <c:pt idx="783">
                  <c:v>29889.4</c:v>
                </c:pt>
                <c:pt idx="784">
                  <c:v>29892.400000000001</c:v>
                </c:pt>
                <c:pt idx="785">
                  <c:v>29895.4</c:v>
                </c:pt>
                <c:pt idx="786">
                  <c:v>29898.400000000001</c:v>
                </c:pt>
                <c:pt idx="787">
                  <c:v>29901.4</c:v>
                </c:pt>
                <c:pt idx="788">
                  <c:v>29904.400000000001</c:v>
                </c:pt>
                <c:pt idx="789">
                  <c:v>29907.4</c:v>
                </c:pt>
                <c:pt idx="790">
                  <c:v>29910.400000000001</c:v>
                </c:pt>
                <c:pt idx="791">
                  <c:v>29913.4</c:v>
                </c:pt>
                <c:pt idx="792">
                  <c:v>29916.400000000001</c:v>
                </c:pt>
                <c:pt idx="793">
                  <c:v>29919.4</c:v>
                </c:pt>
                <c:pt idx="794">
                  <c:v>29922.400000000001</c:v>
                </c:pt>
                <c:pt idx="795">
                  <c:v>29925.4</c:v>
                </c:pt>
                <c:pt idx="796">
                  <c:v>29928.400000000001</c:v>
                </c:pt>
                <c:pt idx="797">
                  <c:v>29931.4</c:v>
                </c:pt>
                <c:pt idx="798">
                  <c:v>29934.400000000001</c:v>
                </c:pt>
                <c:pt idx="799">
                  <c:v>30812.799999999999</c:v>
                </c:pt>
                <c:pt idx="800">
                  <c:v>30815.8</c:v>
                </c:pt>
                <c:pt idx="801">
                  <c:v>30818.799999999999</c:v>
                </c:pt>
                <c:pt idx="802">
                  <c:v>30821.8</c:v>
                </c:pt>
                <c:pt idx="803">
                  <c:v>30824.799999999999</c:v>
                </c:pt>
                <c:pt idx="804">
                  <c:v>30827.8</c:v>
                </c:pt>
                <c:pt idx="805">
                  <c:v>30830.799999999999</c:v>
                </c:pt>
                <c:pt idx="806">
                  <c:v>30833.8</c:v>
                </c:pt>
                <c:pt idx="807">
                  <c:v>30836.799999999999</c:v>
                </c:pt>
                <c:pt idx="808">
                  <c:v>30839.8</c:v>
                </c:pt>
                <c:pt idx="809">
                  <c:v>30842.799999999999</c:v>
                </c:pt>
                <c:pt idx="810">
                  <c:v>30845.8</c:v>
                </c:pt>
                <c:pt idx="811">
                  <c:v>30848.799999999999</c:v>
                </c:pt>
                <c:pt idx="812">
                  <c:v>30851.8</c:v>
                </c:pt>
                <c:pt idx="813">
                  <c:v>30854.799999999999</c:v>
                </c:pt>
                <c:pt idx="814">
                  <c:v>30857.8</c:v>
                </c:pt>
                <c:pt idx="815">
                  <c:v>30860.799999999999</c:v>
                </c:pt>
                <c:pt idx="816">
                  <c:v>30863.8</c:v>
                </c:pt>
                <c:pt idx="817">
                  <c:v>30866.799999999999</c:v>
                </c:pt>
                <c:pt idx="818">
                  <c:v>30869.8</c:v>
                </c:pt>
                <c:pt idx="819">
                  <c:v>30872.799999999999</c:v>
                </c:pt>
                <c:pt idx="820">
                  <c:v>30875.8</c:v>
                </c:pt>
                <c:pt idx="821">
                  <c:v>30878.799999999999</c:v>
                </c:pt>
                <c:pt idx="822">
                  <c:v>30881.8</c:v>
                </c:pt>
                <c:pt idx="823">
                  <c:v>30884.799999999999</c:v>
                </c:pt>
                <c:pt idx="824">
                  <c:v>30887.8</c:v>
                </c:pt>
                <c:pt idx="825">
                  <c:v>31766.199999999997</c:v>
                </c:pt>
                <c:pt idx="826">
                  <c:v>31769.199999999997</c:v>
                </c:pt>
                <c:pt idx="827">
                  <c:v>31772.199999999997</c:v>
                </c:pt>
                <c:pt idx="828">
                  <c:v>31775.199999999997</c:v>
                </c:pt>
                <c:pt idx="829">
                  <c:v>31778.199999999997</c:v>
                </c:pt>
                <c:pt idx="830">
                  <c:v>31781.199999999997</c:v>
                </c:pt>
                <c:pt idx="831">
                  <c:v>31784.199999999997</c:v>
                </c:pt>
                <c:pt idx="832">
                  <c:v>31787.199999999997</c:v>
                </c:pt>
                <c:pt idx="833">
                  <c:v>31790.199999999997</c:v>
                </c:pt>
                <c:pt idx="834">
                  <c:v>31793.199999999997</c:v>
                </c:pt>
                <c:pt idx="835">
                  <c:v>31796.199999999997</c:v>
                </c:pt>
                <c:pt idx="836">
                  <c:v>31799.199999999997</c:v>
                </c:pt>
                <c:pt idx="837">
                  <c:v>31802.199999999997</c:v>
                </c:pt>
                <c:pt idx="838">
                  <c:v>31805.199999999997</c:v>
                </c:pt>
                <c:pt idx="839">
                  <c:v>31808.199999999997</c:v>
                </c:pt>
                <c:pt idx="840">
                  <c:v>31811.199999999997</c:v>
                </c:pt>
                <c:pt idx="841">
                  <c:v>31814.199999999997</c:v>
                </c:pt>
                <c:pt idx="842">
                  <c:v>31817.199999999997</c:v>
                </c:pt>
                <c:pt idx="843">
                  <c:v>31820.199999999997</c:v>
                </c:pt>
                <c:pt idx="844">
                  <c:v>31823.199999999997</c:v>
                </c:pt>
                <c:pt idx="845">
                  <c:v>31826.199999999997</c:v>
                </c:pt>
                <c:pt idx="846">
                  <c:v>31829.199999999997</c:v>
                </c:pt>
                <c:pt idx="847">
                  <c:v>31832.199999999997</c:v>
                </c:pt>
                <c:pt idx="848">
                  <c:v>31835.199999999997</c:v>
                </c:pt>
                <c:pt idx="849">
                  <c:v>31838.199999999997</c:v>
                </c:pt>
                <c:pt idx="850">
                  <c:v>31841.199999999997</c:v>
                </c:pt>
                <c:pt idx="851">
                  <c:v>32719.599999999999</c:v>
                </c:pt>
                <c:pt idx="852">
                  <c:v>32722.6</c:v>
                </c:pt>
                <c:pt idx="853">
                  <c:v>32725.599999999999</c:v>
                </c:pt>
                <c:pt idx="854">
                  <c:v>32728.6</c:v>
                </c:pt>
                <c:pt idx="855">
                  <c:v>32731.599999999999</c:v>
                </c:pt>
                <c:pt idx="856">
                  <c:v>32734.6</c:v>
                </c:pt>
                <c:pt idx="857">
                  <c:v>32737.599999999999</c:v>
                </c:pt>
                <c:pt idx="858">
                  <c:v>32740.6</c:v>
                </c:pt>
                <c:pt idx="859">
                  <c:v>32743.599999999999</c:v>
                </c:pt>
                <c:pt idx="860">
                  <c:v>32746.6</c:v>
                </c:pt>
                <c:pt idx="861">
                  <c:v>32749.599999999999</c:v>
                </c:pt>
                <c:pt idx="862">
                  <c:v>32752.6</c:v>
                </c:pt>
                <c:pt idx="863">
                  <c:v>32755.599999999999</c:v>
                </c:pt>
                <c:pt idx="864">
                  <c:v>32758.6</c:v>
                </c:pt>
                <c:pt idx="865">
                  <c:v>32761.599999999999</c:v>
                </c:pt>
                <c:pt idx="866">
                  <c:v>32764.6</c:v>
                </c:pt>
                <c:pt idx="867">
                  <c:v>32767.599999999999</c:v>
                </c:pt>
                <c:pt idx="868">
                  <c:v>32770.6</c:v>
                </c:pt>
                <c:pt idx="869">
                  <c:v>32773.599999999999</c:v>
                </c:pt>
                <c:pt idx="870">
                  <c:v>32776.6</c:v>
                </c:pt>
                <c:pt idx="871">
                  <c:v>32779.599999999999</c:v>
                </c:pt>
                <c:pt idx="872">
                  <c:v>32782.6</c:v>
                </c:pt>
                <c:pt idx="873">
                  <c:v>32785.599999999999</c:v>
                </c:pt>
                <c:pt idx="874">
                  <c:v>32788.6</c:v>
                </c:pt>
                <c:pt idx="875">
                  <c:v>32791.599999999999</c:v>
                </c:pt>
                <c:pt idx="876">
                  <c:v>32794.6</c:v>
                </c:pt>
                <c:pt idx="877">
                  <c:v>33673</c:v>
                </c:pt>
                <c:pt idx="878">
                  <c:v>33676</c:v>
                </c:pt>
                <c:pt idx="879">
                  <c:v>33679</c:v>
                </c:pt>
                <c:pt idx="880">
                  <c:v>33682</c:v>
                </c:pt>
                <c:pt idx="881">
                  <c:v>33685</c:v>
                </c:pt>
                <c:pt idx="882">
                  <c:v>33688</c:v>
                </c:pt>
                <c:pt idx="883">
                  <c:v>33691</c:v>
                </c:pt>
                <c:pt idx="884">
                  <c:v>33694</c:v>
                </c:pt>
                <c:pt idx="885">
                  <c:v>33697</c:v>
                </c:pt>
                <c:pt idx="886">
                  <c:v>33700</c:v>
                </c:pt>
                <c:pt idx="887">
                  <c:v>33703</c:v>
                </c:pt>
                <c:pt idx="888">
                  <c:v>33706</c:v>
                </c:pt>
                <c:pt idx="889">
                  <c:v>33709</c:v>
                </c:pt>
                <c:pt idx="890">
                  <c:v>33712</c:v>
                </c:pt>
                <c:pt idx="891">
                  <c:v>33715</c:v>
                </c:pt>
                <c:pt idx="892">
                  <c:v>33718</c:v>
                </c:pt>
                <c:pt idx="893">
                  <c:v>33721</c:v>
                </c:pt>
                <c:pt idx="894">
                  <c:v>33724</c:v>
                </c:pt>
                <c:pt idx="895">
                  <c:v>33727</c:v>
                </c:pt>
                <c:pt idx="896">
                  <c:v>33730</c:v>
                </c:pt>
                <c:pt idx="897">
                  <c:v>33733</c:v>
                </c:pt>
                <c:pt idx="898">
                  <c:v>33736</c:v>
                </c:pt>
                <c:pt idx="899">
                  <c:v>33739</c:v>
                </c:pt>
                <c:pt idx="900">
                  <c:v>33742</c:v>
                </c:pt>
                <c:pt idx="901">
                  <c:v>33745</c:v>
                </c:pt>
                <c:pt idx="902">
                  <c:v>33748</c:v>
                </c:pt>
                <c:pt idx="903">
                  <c:v>34626.400000000001</c:v>
                </c:pt>
                <c:pt idx="904">
                  <c:v>34629.4</c:v>
                </c:pt>
                <c:pt idx="905">
                  <c:v>34632.400000000001</c:v>
                </c:pt>
                <c:pt idx="906">
                  <c:v>34635.4</c:v>
                </c:pt>
                <c:pt idx="907">
                  <c:v>34638.400000000001</c:v>
                </c:pt>
                <c:pt idx="908">
                  <c:v>34641.4</c:v>
                </c:pt>
                <c:pt idx="909">
                  <c:v>34644.400000000001</c:v>
                </c:pt>
                <c:pt idx="910">
                  <c:v>34647.4</c:v>
                </c:pt>
                <c:pt idx="911">
                  <c:v>34650.400000000001</c:v>
                </c:pt>
                <c:pt idx="912">
                  <c:v>34653.4</c:v>
                </c:pt>
                <c:pt idx="913">
                  <c:v>34656.400000000001</c:v>
                </c:pt>
                <c:pt idx="914">
                  <c:v>34659.4</c:v>
                </c:pt>
                <c:pt idx="915">
                  <c:v>34662.400000000001</c:v>
                </c:pt>
                <c:pt idx="916">
                  <c:v>34665.4</c:v>
                </c:pt>
                <c:pt idx="917">
                  <c:v>34668.400000000001</c:v>
                </c:pt>
                <c:pt idx="918">
                  <c:v>34671.4</c:v>
                </c:pt>
                <c:pt idx="919">
                  <c:v>34674.400000000001</c:v>
                </c:pt>
                <c:pt idx="920">
                  <c:v>34677.4</c:v>
                </c:pt>
                <c:pt idx="921">
                  <c:v>34680.400000000001</c:v>
                </c:pt>
                <c:pt idx="922">
                  <c:v>34683.4</c:v>
                </c:pt>
                <c:pt idx="923">
                  <c:v>34686.400000000001</c:v>
                </c:pt>
                <c:pt idx="924">
                  <c:v>34689.4</c:v>
                </c:pt>
                <c:pt idx="925">
                  <c:v>34692.400000000001</c:v>
                </c:pt>
                <c:pt idx="926">
                  <c:v>34695.4</c:v>
                </c:pt>
                <c:pt idx="927">
                  <c:v>34698.400000000001</c:v>
                </c:pt>
                <c:pt idx="928">
                  <c:v>35576.800000000003</c:v>
                </c:pt>
                <c:pt idx="929">
                  <c:v>35579.800000000003</c:v>
                </c:pt>
                <c:pt idx="930">
                  <c:v>35582.800000000003</c:v>
                </c:pt>
                <c:pt idx="931">
                  <c:v>35585.800000000003</c:v>
                </c:pt>
                <c:pt idx="932">
                  <c:v>35588.800000000003</c:v>
                </c:pt>
                <c:pt idx="933">
                  <c:v>35591.800000000003</c:v>
                </c:pt>
                <c:pt idx="934">
                  <c:v>35594.800000000003</c:v>
                </c:pt>
                <c:pt idx="935">
                  <c:v>35597.800000000003</c:v>
                </c:pt>
                <c:pt idx="936">
                  <c:v>35600.800000000003</c:v>
                </c:pt>
                <c:pt idx="937">
                  <c:v>35603.800000000003</c:v>
                </c:pt>
                <c:pt idx="938">
                  <c:v>35606.800000000003</c:v>
                </c:pt>
                <c:pt idx="939">
                  <c:v>35609.800000000003</c:v>
                </c:pt>
                <c:pt idx="940">
                  <c:v>35612.800000000003</c:v>
                </c:pt>
                <c:pt idx="941">
                  <c:v>35615.800000000003</c:v>
                </c:pt>
                <c:pt idx="942">
                  <c:v>35618.800000000003</c:v>
                </c:pt>
                <c:pt idx="943">
                  <c:v>35621.800000000003</c:v>
                </c:pt>
                <c:pt idx="944">
                  <c:v>35624.800000000003</c:v>
                </c:pt>
                <c:pt idx="945">
                  <c:v>35627.800000000003</c:v>
                </c:pt>
                <c:pt idx="946">
                  <c:v>35630.800000000003</c:v>
                </c:pt>
                <c:pt idx="947">
                  <c:v>35633.800000000003</c:v>
                </c:pt>
                <c:pt idx="948">
                  <c:v>35636.800000000003</c:v>
                </c:pt>
                <c:pt idx="949">
                  <c:v>35639.800000000003</c:v>
                </c:pt>
                <c:pt idx="950">
                  <c:v>35642.800000000003</c:v>
                </c:pt>
                <c:pt idx="951">
                  <c:v>35645.800000000003</c:v>
                </c:pt>
                <c:pt idx="952">
                  <c:v>35648.800000000003</c:v>
                </c:pt>
                <c:pt idx="953">
                  <c:v>35651.800000000003</c:v>
                </c:pt>
                <c:pt idx="954">
                  <c:v>36530.199999999997</c:v>
                </c:pt>
                <c:pt idx="955">
                  <c:v>36533.199999999997</c:v>
                </c:pt>
                <c:pt idx="956">
                  <c:v>36536.199999999997</c:v>
                </c:pt>
                <c:pt idx="957">
                  <c:v>36539.199999999997</c:v>
                </c:pt>
                <c:pt idx="958">
                  <c:v>36542.199999999997</c:v>
                </c:pt>
                <c:pt idx="959">
                  <c:v>36545.199999999997</c:v>
                </c:pt>
                <c:pt idx="960">
                  <c:v>36548.199999999997</c:v>
                </c:pt>
                <c:pt idx="961">
                  <c:v>36551.199999999997</c:v>
                </c:pt>
                <c:pt idx="962">
                  <c:v>36554.199999999997</c:v>
                </c:pt>
                <c:pt idx="963">
                  <c:v>36557.199999999997</c:v>
                </c:pt>
                <c:pt idx="964">
                  <c:v>36560.199999999997</c:v>
                </c:pt>
                <c:pt idx="965">
                  <c:v>36563.199999999997</c:v>
                </c:pt>
                <c:pt idx="966">
                  <c:v>36566.199999999997</c:v>
                </c:pt>
                <c:pt idx="967">
                  <c:v>36569.199999999997</c:v>
                </c:pt>
                <c:pt idx="968">
                  <c:v>36572.199999999997</c:v>
                </c:pt>
                <c:pt idx="969">
                  <c:v>36575.199999999997</c:v>
                </c:pt>
                <c:pt idx="970">
                  <c:v>36578.199999999997</c:v>
                </c:pt>
                <c:pt idx="971">
                  <c:v>36581.199999999997</c:v>
                </c:pt>
                <c:pt idx="972">
                  <c:v>36584.199999999997</c:v>
                </c:pt>
                <c:pt idx="973">
                  <c:v>36587.199999999997</c:v>
                </c:pt>
                <c:pt idx="974">
                  <c:v>36590.199999999997</c:v>
                </c:pt>
                <c:pt idx="975">
                  <c:v>36593.199999999997</c:v>
                </c:pt>
                <c:pt idx="976">
                  <c:v>36596.199999999997</c:v>
                </c:pt>
                <c:pt idx="977">
                  <c:v>36599.199999999997</c:v>
                </c:pt>
                <c:pt idx="978">
                  <c:v>36602.199999999997</c:v>
                </c:pt>
                <c:pt idx="979">
                  <c:v>36605.199999999997</c:v>
                </c:pt>
                <c:pt idx="980">
                  <c:v>37483.599999999999</c:v>
                </c:pt>
                <c:pt idx="981">
                  <c:v>37486.6</c:v>
                </c:pt>
                <c:pt idx="982">
                  <c:v>37489.599999999999</c:v>
                </c:pt>
                <c:pt idx="983">
                  <c:v>37492.6</c:v>
                </c:pt>
                <c:pt idx="984">
                  <c:v>37495.599999999999</c:v>
                </c:pt>
                <c:pt idx="985">
                  <c:v>37498.6</c:v>
                </c:pt>
                <c:pt idx="986">
                  <c:v>37501.599999999999</c:v>
                </c:pt>
                <c:pt idx="987">
                  <c:v>37504.6</c:v>
                </c:pt>
                <c:pt idx="988">
                  <c:v>37507.599999999999</c:v>
                </c:pt>
                <c:pt idx="989">
                  <c:v>37510.6</c:v>
                </c:pt>
                <c:pt idx="990">
                  <c:v>37513.599999999999</c:v>
                </c:pt>
                <c:pt idx="991">
                  <c:v>37516.6</c:v>
                </c:pt>
                <c:pt idx="992">
                  <c:v>37519.599999999999</c:v>
                </c:pt>
                <c:pt idx="993">
                  <c:v>37522.6</c:v>
                </c:pt>
                <c:pt idx="994">
                  <c:v>37525.599999999999</c:v>
                </c:pt>
                <c:pt idx="995">
                  <c:v>37528.6</c:v>
                </c:pt>
                <c:pt idx="996">
                  <c:v>37531.599999999999</c:v>
                </c:pt>
                <c:pt idx="997">
                  <c:v>37534.6</c:v>
                </c:pt>
                <c:pt idx="998">
                  <c:v>37537.599999999999</c:v>
                </c:pt>
                <c:pt idx="999">
                  <c:v>37540.6</c:v>
                </c:pt>
                <c:pt idx="1000">
                  <c:v>37543.599999999999</c:v>
                </c:pt>
                <c:pt idx="1001">
                  <c:v>37546.6</c:v>
                </c:pt>
                <c:pt idx="1002">
                  <c:v>37549.599999999999</c:v>
                </c:pt>
                <c:pt idx="1003">
                  <c:v>37552.6</c:v>
                </c:pt>
                <c:pt idx="1004">
                  <c:v>37555.599999999999</c:v>
                </c:pt>
                <c:pt idx="1005">
                  <c:v>37558.6</c:v>
                </c:pt>
                <c:pt idx="1006">
                  <c:v>38437</c:v>
                </c:pt>
                <c:pt idx="1007">
                  <c:v>38440</c:v>
                </c:pt>
                <c:pt idx="1008">
                  <c:v>38443</c:v>
                </c:pt>
                <c:pt idx="1009">
                  <c:v>38446</c:v>
                </c:pt>
                <c:pt idx="1010">
                  <c:v>38449</c:v>
                </c:pt>
                <c:pt idx="1011">
                  <c:v>38452</c:v>
                </c:pt>
                <c:pt idx="1012">
                  <c:v>38455</c:v>
                </c:pt>
                <c:pt idx="1013">
                  <c:v>38458</c:v>
                </c:pt>
                <c:pt idx="1014">
                  <c:v>38461</c:v>
                </c:pt>
                <c:pt idx="1015">
                  <c:v>38464</c:v>
                </c:pt>
                <c:pt idx="1016">
                  <c:v>38467</c:v>
                </c:pt>
                <c:pt idx="1017">
                  <c:v>38470</c:v>
                </c:pt>
                <c:pt idx="1018">
                  <c:v>38473</c:v>
                </c:pt>
                <c:pt idx="1019">
                  <c:v>38476</c:v>
                </c:pt>
                <c:pt idx="1020">
                  <c:v>38479</c:v>
                </c:pt>
                <c:pt idx="1021">
                  <c:v>38482</c:v>
                </c:pt>
                <c:pt idx="1022">
                  <c:v>38485</c:v>
                </c:pt>
                <c:pt idx="1023">
                  <c:v>38488</c:v>
                </c:pt>
                <c:pt idx="1024">
                  <c:v>38491</c:v>
                </c:pt>
                <c:pt idx="1025">
                  <c:v>38494</c:v>
                </c:pt>
                <c:pt idx="1026">
                  <c:v>38497</c:v>
                </c:pt>
                <c:pt idx="1027">
                  <c:v>38500</c:v>
                </c:pt>
                <c:pt idx="1028">
                  <c:v>38503</c:v>
                </c:pt>
                <c:pt idx="1029">
                  <c:v>38506</c:v>
                </c:pt>
                <c:pt idx="1030">
                  <c:v>38509</c:v>
                </c:pt>
                <c:pt idx="1031">
                  <c:v>38512</c:v>
                </c:pt>
                <c:pt idx="1032">
                  <c:v>39390.400000000001</c:v>
                </c:pt>
                <c:pt idx="1033">
                  <c:v>39393.4</c:v>
                </c:pt>
                <c:pt idx="1034">
                  <c:v>39396.400000000001</c:v>
                </c:pt>
                <c:pt idx="1035">
                  <c:v>39399.4</c:v>
                </c:pt>
                <c:pt idx="1036">
                  <c:v>39402.400000000001</c:v>
                </c:pt>
                <c:pt idx="1037">
                  <c:v>39405.4</c:v>
                </c:pt>
                <c:pt idx="1038">
                  <c:v>39408.400000000001</c:v>
                </c:pt>
                <c:pt idx="1039">
                  <c:v>39411.4</c:v>
                </c:pt>
                <c:pt idx="1040">
                  <c:v>39414.400000000001</c:v>
                </c:pt>
                <c:pt idx="1041">
                  <c:v>39417.4</c:v>
                </c:pt>
                <c:pt idx="1042">
                  <c:v>39420.400000000001</c:v>
                </c:pt>
                <c:pt idx="1043">
                  <c:v>39423.4</c:v>
                </c:pt>
                <c:pt idx="1044">
                  <c:v>39426.400000000001</c:v>
                </c:pt>
                <c:pt idx="1045">
                  <c:v>39429.4</c:v>
                </c:pt>
                <c:pt idx="1046">
                  <c:v>39432.400000000001</c:v>
                </c:pt>
                <c:pt idx="1047">
                  <c:v>39435.4</c:v>
                </c:pt>
                <c:pt idx="1048">
                  <c:v>39438.400000000001</c:v>
                </c:pt>
                <c:pt idx="1049">
                  <c:v>39441.4</c:v>
                </c:pt>
                <c:pt idx="1050">
                  <c:v>39444.400000000001</c:v>
                </c:pt>
                <c:pt idx="1051">
                  <c:v>39447.4</c:v>
                </c:pt>
                <c:pt idx="1052">
                  <c:v>39450.400000000001</c:v>
                </c:pt>
                <c:pt idx="1053">
                  <c:v>39453.4</c:v>
                </c:pt>
                <c:pt idx="1054">
                  <c:v>39456.400000000001</c:v>
                </c:pt>
                <c:pt idx="1055">
                  <c:v>39459.4</c:v>
                </c:pt>
                <c:pt idx="1056">
                  <c:v>39462.400000000001</c:v>
                </c:pt>
                <c:pt idx="1057">
                  <c:v>40340.800000000003</c:v>
                </c:pt>
                <c:pt idx="1058">
                  <c:v>40343.800000000003</c:v>
                </c:pt>
                <c:pt idx="1059">
                  <c:v>40346.800000000003</c:v>
                </c:pt>
                <c:pt idx="1060">
                  <c:v>40349.800000000003</c:v>
                </c:pt>
                <c:pt idx="1061">
                  <c:v>40352.800000000003</c:v>
                </c:pt>
                <c:pt idx="1062">
                  <c:v>40355.800000000003</c:v>
                </c:pt>
                <c:pt idx="1063">
                  <c:v>40358.800000000003</c:v>
                </c:pt>
                <c:pt idx="1064">
                  <c:v>40361.800000000003</c:v>
                </c:pt>
                <c:pt idx="1065">
                  <c:v>40364.800000000003</c:v>
                </c:pt>
                <c:pt idx="1066">
                  <c:v>40367.800000000003</c:v>
                </c:pt>
                <c:pt idx="1067">
                  <c:v>40370.800000000003</c:v>
                </c:pt>
                <c:pt idx="1068">
                  <c:v>40373.800000000003</c:v>
                </c:pt>
                <c:pt idx="1069">
                  <c:v>40376.800000000003</c:v>
                </c:pt>
                <c:pt idx="1070">
                  <c:v>40379.800000000003</c:v>
                </c:pt>
                <c:pt idx="1071">
                  <c:v>40382.800000000003</c:v>
                </c:pt>
                <c:pt idx="1072">
                  <c:v>40385.800000000003</c:v>
                </c:pt>
                <c:pt idx="1073">
                  <c:v>40388.800000000003</c:v>
                </c:pt>
                <c:pt idx="1074">
                  <c:v>40391.800000000003</c:v>
                </c:pt>
                <c:pt idx="1075">
                  <c:v>40394.800000000003</c:v>
                </c:pt>
                <c:pt idx="1076">
                  <c:v>40397.800000000003</c:v>
                </c:pt>
                <c:pt idx="1077">
                  <c:v>40400.800000000003</c:v>
                </c:pt>
                <c:pt idx="1078">
                  <c:v>40403.800000000003</c:v>
                </c:pt>
                <c:pt idx="1079">
                  <c:v>40406.800000000003</c:v>
                </c:pt>
                <c:pt idx="1080">
                  <c:v>40409.800000000003</c:v>
                </c:pt>
                <c:pt idx="1081">
                  <c:v>40412.800000000003</c:v>
                </c:pt>
                <c:pt idx="1082">
                  <c:v>40415.800000000003</c:v>
                </c:pt>
                <c:pt idx="1083">
                  <c:v>41294.199999999997</c:v>
                </c:pt>
                <c:pt idx="1084">
                  <c:v>41297.199999999997</c:v>
                </c:pt>
                <c:pt idx="1085">
                  <c:v>41300.199999999997</c:v>
                </c:pt>
                <c:pt idx="1086">
                  <c:v>41303.199999999997</c:v>
                </c:pt>
                <c:pt idx="1087">
                  <c:v>41306.199999999997</c:v>
                </c:pt>
                <c:pt idx="1088">
                  <c:v>41309.199999999997</c:v>
                </c:pt>
                <c:pt idx="1089">
                  <c:v>41312.199999999997</c:v>
                </c:pt>
                <c:pt idx="1090">
                  <c:v>41315.199999999997</c:v>
                </c:pt>
                <c:pt idx="1091">
                  <c:v>41318.199999999997</c:v>
                </c:pt>
                <c:pt idx="1092">
                  <c:v>41321.199999999997</c:v>
                </c:pt>
                <c:pt idx="1093">
                  <c:v>41324.199999999997</c:v>
                </c:pt>
                <c:pt idx="1094">
                  <c:v>41327.199999999997</c:v>
                </c:pt>
                <c:pt idx="1095">
                  <c:v>41330.199999999997</c:v>
                </c:pt>
                <c:pt idx="1096">
                  <c:v>41333.199999999997</c:v>
                </c:pt>
                <c:pt idx="1097">
                  <c:v>41336.199999999997</c:v>
                </c:pt>
                <c:pt idx="1098">
                  <c:v>41339.199999999997</c:v>
                </c:pt>
                <c:pt idx="1099">
                  <c:v>41342.199999999997</c:v>
                </c:pt>
                <c:pt idx="1100">
                  <c:v>41345.199999999997</c:v>
                </c:pt>
                <c:pt idx="1101">
                  <c:v>41348.199999999997</c:v>
                </c:pt>
                <c:pt idx="1102">
                  <c:v>41351.199999999997</c:v>
                </c:pt>
                <c:pt idx="1103">
                  <c:v>41354.199999999997</c:v>
                </c:pt>
                <c:pt idx="1104">
                  <c:v>41357.199999999997</c:v>
                </c:pt>
                <c:pt idx="1105">
                  <c:v>41360.199999999997</c:v>
                </c:pt>
                <c:pt idx="1106">
                  <c:v>41363.199999999997</c:v>
                </c:pt>
                <c:pt idx="1107">
                  <c:v>41366.199999999997</c:v>
                </c:pt>
                <c:pt idx="1108">
                  <c:v>41369.199999999997</c:v>
                </c:pt>
                <c:pt idx="1109">
                  <c:v>42247.6</c:v>
                </c:pt>
                <c:pt idx="1110">
                  <c:v>42250.6</c:v>
                </c:pt>
                <c:pt idx="1111">
                  <c:v>42253.599999999999</c:v>
                </c:pt>
                <c:pt idx="1112">
                  <c:v>42256.6</c:v>
                </c:pt>
                <c:pt idx="1113">
                  <c:v>42259.6</c:v>
                </c:pt>
                <c:pt idx="1114">
                  <c:v>42262.6</c:v>
                </c:pt>
                <c:pt idx="1115">
                  <c:v>42265.599999999999</c:v>
                </c:pt>
                <c:pt idx="1116">
                  <c:v>42268.6</c:v>
                </c:pt>
                <c:pt idx="1117">
                  <c:v>42271.6</c:v>
                </c:pt>
                <c:pt idx="1118">
                  <c:v>42274.6</c:v>
                </c:pt>
                <c:pt idx="1119">
                  <c:v>42277.599999999999</c:v>
                </c:pt>
                <c:pt idx="1120">
                  <c:v>42280.6</c:v>
                </c:pt>
                <c:pt idx="1121">
                  <c:v>42283.6</c:v>
                </c:pt>
                <c:pt idx="1122">
                  <c:v>42286.6</c:v>
                </c:pt>
                <c:pt idx="1123">
                  <c:v>42289.599999999999</c:v>
                </c:pt>
                <c:pt idx="1124">
                  <c:v>42292.6</c:v>
                </c:pt>
                <c:pt idx="1125">
                  <c:v>42295.6</c:v>
                </c:pt>
                <c:pt idx="1126">
                  <c:v>42298.6</c:v>
                </c:pt>
                <c:pt idx="1127">
                  <c:v>42301.599999999999</c:v>
                </c:pt>
                <c:pt idx="1128">
                  <c:v>42304.6</c:v>
                </c:pt>
                <c:pt idx="1129">
                  <c:v>42307.6</c:v>
                </c:pt>
              </c:numCache>
            </c:numRef>
          </c:val>
          <c:smooth val="0"/>
          <c:extLst>
            <c:ext xmlns:c16="http://schemas.microsoft.com/office/drawing/2014/chart" uri="{C3380CC4-5D6E-409C-BE32-E72D297353CC}">
              <c16:uniqueId val="{00000005-3414-4C8D-9567-75FA7309FE71}"/>
            </c:ext>
          </c:extLst>
        </c:ser>
        <c:dLbls>
          <c:showLegendKey val="0"/>
          <c:showVal val="0"/>
          <c:showCatName val="0"/>
          <c:showSerName val="0"/>
          <c:showPercent val="0"/>
          <c:showBubbleSize val="0"/>
        </c:dLbls>
        <c:marker val="1"/>
        <c:smooth val="0"/>
        <c:axId val="1959337663"/>
        <c:axId val="1954019999"/>
      </c:lineChart>
      <c:catAx>
        <c:axId val="1374161647"/>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Payload</a:t>
                </a:r>
                <a:r>
                  <a:rPr lang="en-US" baseline="0"/>
                  <a:t> Volume, liters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54012511"/>
        <c:crosses val="autoZero"/>
        <c:auto val="1"/>
        <c:lblAlgn val="ctr"/>
        <c:lblOffset val="100"/>
        <c:tickLblSkip val="100"/>
        <c:noMultiLvlLbl val="0"/>
      </c:catAx>
      <c:valAx>
        <c:axId val="195401251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Payload</a:t>
                </a:r>
                <a:r>
                  <a:rPr lang="en-US" baseline="0"/>
                  <a:t> Weight (excl. packaging), kg</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74161647"/>
        <c:crosses val="autoZero"/>
        <c:crossBetween val="between"/>
      </c:valAx>
      <c:valAx>
        <c:axId val="1954019999"/>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Shipping Price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409]* #,##0_ ;_-[$$-409]* \-#,##0\ ;_-[$$-409]* &quot;-&quot;??_ ;_-@_ "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59337663"/>
        <c:crosses val="max"/>
        <c:crossBetween val="between"/>
      </c:valAx>
      <c:catAx>
        <c:axId val="1959337663"/>
        <c:scaling>
          <c:orientation val="minMax"/>
        </c:scaling>
        <c:delete val="1"/>
        <c:axPos val="b"/>
        <c:majorTickMark val="out"/>
        <c:minorTickMark val="none"/>
        <c:tickLblPos val="nextTo"/>
        <c:crossAx val="1954019999"/>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Pallet or Parcel?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'T9. Shipping'!$AL$38</c:f>
              <c:strCache>
                <c:ptCount val="1"/>
                <c:pt idx="0">
                  <c:v> Best Price (per liter) </c:v>
                </c:pt>
              </c:strCache>
            </c:strRef>
          </c:tx>
          <c:spPr>
            <a:ln w="12700" cap="rnd">
              <a:solidFill>
                <a:srgbClr val="FF0000"/>
              </a:solidFill>
              <a:round/>
            </a:ln>
            <a:effectLst/>
          </c:spPr>
          <c:marker>
            <c:symbol val="none"/>
          </c:marker>
          <c:val>
            <c:numRef>
              <c:f>'T9. Shipping'!$AL$39:$AL$1168</c:f>
              <c:numCache>
                <c:formatCode>_-[$$-409]* #,##0_ ;_-[$$-409]* \-#,##0\ ;_-[$$-409]* "-"??_ ;_-@_ </c:formatCode>
                <c:ptCount val="1130"/>
                <c:pt idx="0">
                  <c:v>996</c:v>
                </c:pt>
                <c:pt idx="1">
                  <c:v>500.5</c:v>
                </c:pt>
                <c:pt idx="2">
                  <c:v>335.33333333333331</c:v>
                </c:pt>
                <c:pt idx="3">
                  <c:v>252.75</c:v>
                </c:pt>
                <c:pt idx="4">
                  <c:v>203.2</c:v>
                </c:pt>
                <c:pt idx="5">
                  <c:v>170.16666666666666</c:v>
                </c:pt>
                <c:pt idx="6">
                  <c:v>146.57142857142858</c:v>
                </c:pt>
                <c:pt idx="7">
                  <c:v>128.875</c:v>
                </c:pt>
                <c:pt idx="8">
                  <c:v>115.11111111111111</c:v>
                </c:pt>
                <c:pt idx="9">
                  <c:v>104.1</c:v>
                </c:pt>
                <c:pt idx="10">
                  <c:v>95.090909090909093</c:v>
                </c:pt>
                <c:pt idx="11">
                  <c:v>87.583333333333329</c:v>
                </c:pt>
                <c:pt idx="12">
                  <c:v>81.230769230769226</c:v>
                </c:pt>
                <c:pt idx="13">
                  <c:v>75.785714285714292</c:v>
                </c:pt>
                <c:pt idx="14">
                  <c:v>71.066666666666663</c:v>
                </c:pt>
                <c:pt idx="15">
                  <c:v>66.9375</c:v>
                </c:pt>
                <c:pt idx="16">
                  <c:v>63.294117647058826</c:v>
                </c:pt>
                <c:pt idx="17">
                  <c:v>60.055555555555557</c:v>
                </c:pt>
                <c:pt idx="18">
                  <c:v>57.157894736842103</c:v>
                </c:pt>
                <c:pt idx="19">
                  <c:v>54.55</c:v>
                </c:pt>
                <c:pt idx="20">
                  <c:v>52.19047619047619</c:v>
                </c:pt>
                <c:pt idx="21">
                  <c:v>50.045454545454547</c:v>
                </c:pt>
                <c:pt idx="22">
                  <c:v>48.086956521739133</c:v>
                </c:pt>
                <c:pt idx="23">
                  <c:v>46.291666666666664</c:v>
                </c:pt>
                <c:pt idx="24">
                  <c:v>44.64</c:v>
                </c:pt>
                <c:pt idx="25">
                  <c:v>81.230769230769226</c:v>
                </c:pt>
                <c:pt idx="26">
                  <c:v>78.407407407407405</c:v>
                </c:pt>
                <c:pt idx="27">
                  <c:v>75.785714285714292</c:v>
                </c:pt>
                <c:pt idx="28">
                  <c:v>73.34482758620689</c:v>
                </c:pt>
                <c:pt idx="29">
                  <c:v>71.066666666666663</c:v>
                </c:pt>
                <c:pt idx="30">
                  <c:v>68.935483870967744</c:v>
                </c:pt>
                <c:pt idx="31">
                  <c:v>66.9375</c:v>
                </c:pt>
                <c:pt idx="32">
                  <c:v>65.060606060606062</c:v>
                </c:pt>
                <c:pt idx="33">
                  <c:v>63.294117647058826</c:v>
                </c:pt>
                <c:pt idx="34">
                  <c:v>61.628571428571426</c:v>
                </c:pt>
                <c:pt idx="35">
                  <c:v>60.055555555555557</c:v>
                </c:pt>
                <c:pt idx="36">
                  <c:v>58.567567567567565</c:v>
                </c:pt>
                <c:pt idx="37">
                  <c:v>57.157894736842103</c:v>
                </c:pt>
                <c:pt idx="38">
                  <c:v>55.820512820512818</c:v>
                </c:pt>
                <c:pt idx="39">
                  <c:v>54.55</c:v>
                </c:pt>
                <c:pt idx="40">
                  <c:v>53.341463414634148</c:v>
                </c:pt>
                <c:pt idx="41">
                  <c:v>52.19047619047619</c:v>
                </c:pt>
                <c:pt idx="42">
                  <c:v>51.093023255813954</c:v>
                </c:pt>
                <c:pt idx="43">
                  <c:v>50.045454545454547</c:v>
                </c:pt>
                <c:pt idx="44">
                  <c:v>49.044444444444444</c:v>
                </c:pt>
                <c:pt idx="45">
                  <c:v>48.086956521739133</c:v>
                </c:pt>
                <c:pt idx="46">
                  <c:v>47.170212765957444</c:v>
                </c:pt>
                <c:pt idx="47">
                  <c:v>46.291666666666664</c:v>
                </c:pt>
                <c:pt idx="48">
                  <c:v>45.448979591836732</c:v>
                </c:pt>
                <c:pt idx="49">
                  <c:v>44.64</c:v>
                </c:pt>
                <c:pt idx="50">
                  <c:v>43.862745098039213</c:v>
                </c:pt>
                <c:pt idx="51">
                  <c:v>61.196153846153841</c:v>
                </c:pt>
                <c:pt idx="52">
                  <c:v>60.098113207547165</c:v>
                </c:pt>
                <c:pt idx="53">
                  <c:v>59.040740740740738</c:v>
                </c:pt>
                <c:pt idx="54">
                  <c:v>58.021818181818176</c:v>
                </c:pt>
                <c:pt idx="55">
                  <c:v>57.039285714285711</c:v>
                </c:pt>
                <c:pt idx="56">
                  <c:v>56.091228070175433</c:v>
                </c:pt>
                <c:pt idx="57">
                  <c:v>55.175862068965515</c:v>
                </c:pt>
                <c:pt idx="58">
                  <c:v>54.291525423728814</c:v>
                </c:pt>
                <c:pt idx="59">
                  <c:v>53.43666666666666</c:v>
                </c:pt>
                <c:pt idx="60">
                  <c:v>52.609836065573766</c:v>
                </c:pt>
                <c:pt idx="61">
                  <c:v>51.809677419354834</c:v>
                </c:pt>
                <c:pt idx="62">
                  <c:v>51.034920634920631</c:v>
                </c:pt>
                <c:pt idx="63">
                  <c:v>50.284374999999997</c:v>
                </c:pt>
                <c:pt idx="64">
                  <c:v>49.556923076923077</c:v>
                </c:pt>
                <c:pt idx="65">
                  <c:v>48.851515151515152</c:v>
                </c:pt>
                <c:pt idx="66">
                  <c:v>48.167164179104475</c:v>
                </c:pt>
                <c:pt idx="67">
                  <c:v>47.502941176470586</c:v>
                </c:pt>
                <c:pt idx="68">
                  <c:v>46.857971014492747</c:v>
                </c:pt>
                <c:pt idx="69">
                  <c:v>46.231428571428566</c:v>
                </c:pt>
                <c:pt idx="70">
                  <c:v>45.622535211267603</c:v>
                </c:pt>
                <c:pt idx="71">
                  <c:v>45.030555555555551</c:v>
                </c:pt>
                <c:pt idx="72">
                  <c:v>44.454794520547942</c:v>
                </c:pt>
                <c:pt idx="73">
                  <c:v>43.894594594594594</c:v>
                </c:pt>
                <c:pt idx="74">
                  <c:v>43.349333333333334</c:v>
                </c:pt>
                <c:pt idx="75">
                  <c:v>42.818421052631578</c:v>
                </c:pt>
                <c:pt idx="76">
                  <c:v>42.301298701298698</c:v>
                </c:pt>
                <c:pt idx="77">
                  <c:v>53.020512820512828</c:v>
                </c:pt>
                <c:pt idx="78">
                  <c:v>52.387341772151906</c:v>
                </c:pt>
                <c:pt idx="79">
                  <c:v>51.77</c:v>
                </c:pt>
                <c:pt idx="80">
                  <c:v>51.167901234567907</c:v>
                </c:pt>
                <c:pt idx="81">
                  <c:v>50.580487804878054</c:v>
                </c:pt>
                <c:pt idx="82">
                  <c:v>50.007228915662658</c:v>
                </c:pt>
                <c:pt idx="83">
                  <c:v>49.44761904761905</c:v>
                </c:pt>
                <c:pt idx="84">
                  <c:v>48.90117647058824</c:v>
                </c:pt>
                <c:pt idx="85">
                  <c:v>48.367441860465121</c:v>
                </c:pt>
                <c:pt idx="86">
                  <c:v>47.845977011494256</c:v>
                </c:pt>
                <c:pt idx="87">
                  <c:v>47.336363636363643</c:v>
                </c:pt>
                <c:pt idx="88">
                  <c:v>46.838202247191013</c:v>
                </c:pt>
                <c:pt idx="89">
                  <c:v>46.351111111111116</c:v>
                </c:pt>
                <c:pt idx="90">
                  <c:v>45.874725274725279</c:v>
                </c:pt>
                <c:pt idx="91">
                  <c:v>45.408695652173918</c:v>
                </c:pt>
                <c:pt idx="92">
                  <c:v>44.952688172043011</c:v>
                </c:pt>
                <c:pt idx="93">
                  <c:v>44.506382978723408</c:v>
                </c:pt>
                <c:pt idx="94">
                  <c:v>44.069473684210529</c:v>
                </c:pt>
                <c:pt idx="95">
                  <c:v>43.641666666666673</c:v>
                </c:pt>
                <c:pt idx="96">
                  <c:v>43.22268041237114</c:v>
                </c:pt>
                <c:pt idx="97">
                  <c:v>42.812244897959189</c:v>
                </c:pt>
                <c:pt idx="98">
                  <c:v>42.410101010101016</c:v>
                </c:pt>
                <c:pt idx="99">
                  <c:v>42.016000000000005</c:v>
                </c:pt>
                <c:pt idx="100">
                  <c:v>41.629702970297032</c:v>
                </c:pt>
                <c:pt idx="101">
                  <c:v>41.250980392156869</c:v>
                </c:pt>
                <c:pt idx="102">
                  <c:v>40.879611650485444</c:v>
                </c:pt>
                <c:pt idx="103">
                  <c:v>48.932692307692307</c:v>
                </c:pt>
                <c:pt idx="104">
                  <c:v>48.495238095238093</c:v>
                </c:pt>
                <c:pt idx="105">
                  <c:v>48.066037735849058</c:v>
                </c:pt>
                <c:pt idx="106">
                  <c:v>47.644859813084111</c:v>
                </c:pt>
                <c:pt idx="107">
                  <c:v>47.231481481481481</c:v>
                </c:pt>
                <c:pt idx="108">
                  <c:v>46.825688073394495</c:v>
                </c:pt>
                <c:pt idx="109">
                  <c:v>46.427272727272729</c:v>
                </c:pt>
                <c:pt idx="110">
                  <c:v>46.036036036036037</c:v>
                </c:pt>
                <c:pt idx="111">
                  <c:v>45.651785714285715</c:v>
                </c:pt>
                <c:pt idx="112">
                  <c:v>45.274336283185839</c:v>
                </c:pt>
                <c:pt idx="113">
                  <c:v>44.903508771929822</c:v>
                </c:pt>
                <c:pt idx="114">
                  <c:v>44.539130434782606</c:v>
                </c:pt>
                <c:pt idx="115">
                  <c:v>44.181034482758619</c:v>
                </c:pt>
                <c:pt idx="116">
                  <c:v>43.82905982905983</c:v>
                </c:pt>
                <c:pt idx="117">
                  <c:v>43.483050847457626</c:v>
                </c:pt>
                <c:pt idx="118">
                  <c:v>43.142857142857146</c:v>
                </c:pt>
                <c:pt idx="119">
                  <c:v>42.80833333333333</c:v>
                </c:pt>
                <c:pt idx="120">
                  <c:v>42.47933884297521</c:v>
                </c:pt>
                <c:pt idx="121">
                  <c:v>42.155737704918032</c:v>
                </c:pt>
                <c:pt idx="122">
                  <c:v>41.837398373983739</c:v>
                </c:pt>
                <c:pt idx="123">
                  <c:v>41.524193548387096</c:v>
                </c:pt>
                <c:pt idx="124">
                  <c:v>41.216000000000001</c:v>
                </c:pt>
                <c:pt idx="125">
                  <c:v>40.912698412698411</c:v>
                </c:pt>
                <c:pt idx="126">
                  <c:v>40.614173228346459</c:v>
                </c:pt>
                <c:pt idx="127">
                  <c:v>40.3203125</c:v>
                </c:pt>
                <c:pt idx="128">
                  <c:v>40.031007751937985</c:v>
                </c:pt>
                <c:pt idx="129">
                  <c:v>45.295230153846148</c:v>
                </c:pt>
                <c:pt idx="130">
                  <c:v>44.949465038167936</c:v>
                </c:pt>
                <c:pt idx="131">
                  <c:v>44.608938787878785</c:v>
                </c:pt>
                <c:pt idx="132">
                  <c:v>44.273533233082702</c:v>
                </c:pt>
                <c:pt idx="133">
                  <c:v>43.943133731343281</c:v>
                </c:pt>
                <c:pt idx="134">
                  <c:v>43.617629037037034</c:v>
                </c:pt>
                <c:pt idx="135">
                  <c:v>43.296911176470587</c:v>
                </c:pt>
                <c:pt idx="136">
                  <c:v>42.98087532846715</c:v>
                </c:pt>
                <c:pt idx="137">
                  <c:v>42.669419710144922</c:v>
                </c:pt>
                <c:pt idx="138">
                  <c:v>42.362445467625896</c:v>
                </c:pt>
                <c:pt idx="139">
                  <c:v>42.059856571428568</c:v>
                </c:pt>
                <c:pt idx="140">
                  <c:v>41.76155971631205</c:v>
                </c:pt>
                <c:pt idx="141">
                  <c:v>41.46746422535211</c:v>
                </c:pt>
                <c:pt idx="142">
                  <c:v>41.177481958041952</c:v>
                </c:pt>
                <c:pt idx="143">
                  <c:v>40.891527222222216</c:v>
                </c:pt>
                <c:pt idx="144">
                  <c:v>40.609516689655166</c:v>
                </c:pt>
                <c:pt idx="145">
                  <c:v>40.331369315068486</c:v>
                </c:pt>
                <c:pt idx="146">
                  <c:v>40.057006258503399</c:v>
                </c:pt>
                <c:pt idx="147">
                  <c:v>39.786350810810809</c:v>
                </c:pt>
                <c:pt idx="148">
                  <c:v>39.519328322147643</c:v>
                </c:pt>
                <c:pt idx="149">
                  <c:v>39.255866133333328</c:v>
                </c:pt>
                <c:pt idx="150">
                  <c:v>38.995893509933772</c:v>
                </c:pt>
                <c:pt idx="151">
                  <c:v>38.739341578947368</c:v>
                </c:pt>
                <c:pt idx="152">
                  <c:v>38.486143267973851</c:v>
                </c:pt>
                <c:pt idx="153">
                  <c:v>38.236233246753244</c:v>
                </c:pt>
                <c:pt idx="154">
                  <c:v>37.989547870967741</c:v>
                </c:pt>
                <c:pt idx="155">
                  <c:v>37.746025128205126</c:v>
                </c:pt>
                <c:pt idx="156">
                  <c:v>37.505604585987257</c:v>
                </c:pt>
                <c:pt idx="157">
                  <c:v>37.268227341772146</c:v>
                </c:pt>
                <c:pt idx="158">
                  <c:v>37.033835974842766</c:v>
                </c:pt>
                <c:pt idx="159">
                  <c:v>36.802374499999999</c:v>
                </c:pt>
                <c:pt idx="160">
                  <c:v>36.573788322981365</c:v>
                </c:pt>
                <c:pt idx="161">
                  <c:v>36.348024197530862</c:v>
                </c:pt>
                <c:pt idx="162">
                  <c:v>36.125030184049074</c:v>
                </c:pt>
                <c:pt idx="163">
                  <c:v>35.904755609756094</c:v>
                </c:pt>
                <c:pt idx="164">
                  <c:v>35.687151030303028</c:v>
                </c:pt>
                <c:pt idx="165">
                  <c:v>35.472168192771079</c:v>
                </c:pt>
                <c:pt idx="166">
                  <c:v>35.259759999999993</c:v>
                </c:pt>
                <c:pt idx="167">
                  <c:v>35.049880476190474</c:v>
                </c:pt>
                <c:pt idx="168">
                  <c:v>34.842484733727808</c:v>
                </c:pt>
                <c:pt idx="169">
                  <c:v>34.63752894117647</c:v>
                </c:pt>
                <c:pt idx="170">
                  <c:v>34.434970292397658</c:v>
                </c:pt>
                <c:pt idx="171">
                  <c:v>34.234766976744183</c:v>
                </c:pt>
                <c:pt idx="172">
                  <c:v>34.036878150289013</c:v>
                </c:pt>
                <c:pt idx="173">
                  <c:v>33.841263908045974</c:v>
                </c:pt>
                <c:pt idx="174">
                  <c:v>33.647885257142853</c:v>
                </c:pt>
                <c:pt idx="175">
                  <c:v>33.456704090909085</c:v>
                </c:pt>
                <c:pt idx="176">
                  <c:v>33.267683163841802</c:v>
                </c:pt>
                <c:pt idx="177">
                  <c:v>33.08078606741573</c:v>
                </c:pt>
                <c:pt idx="178">
                  <c:v>32.895977206703904</c:v>
                </c:pt>
                <c:pt idx="179">
                  <c:v>32.713221777777775</c:v>
                </c:pt>
                <c:pt idx="180">
                  <c:v>32.532485745856349</c:v>
                </c:pt>
                <c:pt idx="181">
                  <c:v>32.353735824175821</c:v>
                </c:pt>
                <c:pt idx="182">
                  <c:v>32.17693945355191</c:v>
                </c:pt>
                <c:pt idx="183">
                  <c:v>32.002064782608691</c:v>
                </c:pt>
                <c:pt idx="184">
                  <c:v>31.829080648648645</c:v>
                </c:pt>
                <c:pt idx="185">
                  <c:v>31.65795655913978</c:v>
                </c:pt>
                <c:pt idx="186">
                  <c:v>31.488662673796789</c:v>
                </c:pt>
                <c:pt idx="187">
                  <c:v>31.321169787234041</c:v>
                </c:pt>
                <c:pt idx="188">
                  <c:v>31.15544931216931</c:v>
                </c:pt>
                <c:pt idx="189">
                  <c:v>30.991473263157893</c:v>
                </c:pt>
                <c:pt idx="190">
                  <c:v>30.829214240837693</c:v>
                </c:pt>
                <c:pt idx="191">
                  <c:v>30.668645416666664</c:v>
                </c:pt>
                <c:pt idx="192">
                  <c:v>30.509740518134713</c:v>
                </c:pt>
                <c:pt idx="193">
                  <c:v>30.352473814432987</c:v>
                </c:pt>
                <c:pt idx="194">
                  <c:v>30.1968201025641</c:v>
                </c:pt>
                <c:pt idx="195">
                  <c:v>30.042754693877548</c:v>
                </c:pt>
                <c:pt idx="196">
                  <c:v>29.890253401015226</c:v>
                </c:pt>
                <c:pt idx="197">
                  <c:v>29.739292525252523</c:v>
                </c:pt>
                <c:pt idx="198">
                  <c:v>29.589848844221102</c:v>
                </c:pt>
                <c:pt idx="199">
                  <c:v>29.441899599999996</c:v>
                </c:pt>
                <c:pt idx="200">
                  <c:v>29.295422487562185</c:v>
                </c:pt>
                <c:pt idx="201">
                  <c:v>29.150395643564355</c:v>
                </c:pt>
                <c:pt idx="202">
                  <c:v>29.006797635467976</c:v>
                </c:pt>
                <c:pt idx="203">
                  <c:v>28.86460745098039</c:v>
                </c:pt>
                <c:pt idx="204">
                  <c:v>28.723804487804877</c:v>
                </c:pt>
                <c:pt idx="205">
                  <c:v>28.584368543689319</c:v>
                </c:pt>
                <c:pt idx="206">
                  <c:v>28.446279806763282</c:v>
                </c:pt>
                <c:pt idx="207">
                  <c:v>28.309518846153843</c:v>
                </c:pt>
                <c:pt idx="208">
                  <c:v>28.174066602870809</c:v>
                </c:pt>
                <c:pt idx="209">
                  <c:v>28.039904380952379</c:v>
                </c:pt>
                <c:pt idx="210">
                  <c:v>27.907013838862557</c:v>
                </c:pt>
                <c:pt idx="211">
                  <c:v>27.775376981132073</c:v>
                </c:pt>
                <c:pt idx="212">
                  <c:v>27.64497615023474</c:v>
                </c:pt>
                <c:pt idx="213">
                  <c:v>27.515794018691587</c:v>
                </c:pt>
                <c:pt idx="214">
                  <c:v>27.387813581395346</c:v>
                </c:pt>
                <c:pt idx="215">
                  <c:v>27.261018148148146</c:v>
                </c:pt>
                <c:pt idx="216">
                  <c:v>27.135391336405526</c:v>
                </c:pt>
                <c:pt idx="217">
                  <c:v>27.01091706422018</c:v>
                </c:pt>
                <c:pt idx="218">
                  <c:v>26.887579543378994</c:v>
                </c:pt>
                <c:pt idx="219">
                  <c:v>26.765363272727271</c:v>
                </c:pt>
                <c:pt idx="220">
                  <c:v>26.644253031674204</c:v>
                </c:pt>
                <c:pt idx="221">
                  <c:v>26.524233873873872</c:v>
                </c:pt>
                <c:pt idx="222">
                  <c:v>26.405291121076232</c:v>
                </c:pt>
                <c:pt idx="223">
                  <c:v>26.287410357142853</c:v>
                </c:pt>
                <c:pt idx="224">
                  <c:v>26.17057742222222</c:v>
                </c:pt>
                <c:pt idx="225">
                  <c:v>26.054778407079642</c:v>
                </c:pt>
                <c:pt idx="226">
                  <c:v>25.939999647577089</c:v>
                </c:pt>
                <c:pt idx="227">
                  <c:v>25.826227719298242</c:v>
                </c:pt>
                <c:pt idx="228">
                  <c:v>25.713449432314409</c:v>
                </c:pt>
                <c:pt idx="229">
                  <c:v>25.601651826086954</c:v>
                </c:pt>
                <c:pt idx="230">
                  <c:v>25.490822164502163</c:v>
                </c:pt>
                <c:pt idx="231">
                  <c:v>25.380947931034481</c:v>
                </c:pt>
                <c:pt idx="232">
                  <c:v>25.272016824034331</c:v>
                </c:pt>
                <c:pt idx="233">
                  <c:v>25.164016752136749</c:v>
                </c:pt>
                <c:pt idx="234">
                  <c:v>25.056935829787232</c:v>
                </c:pt>
                <c:pt idx="235">
                  <c:v>24.950762372881353</c:v>
                </c:pt>
                <c:pt idx="236">
                  <c:v>24.845484894514765</c:v>
                </c:pt>
                <c:pt idx="237">
                  <c:v>24.741092100840334</c:v>
                </c:pt>
                <c:pt idx="238">
                  <c:v>24.637572887029286</c:v>
                </c:pt>
                <c:pt idx="239">
                  <c:v>24.534916333333332</c:v>
                </c:pt>
                <c:pt idx="240">
                  <c:v>24.433111701244812</c:v>
                </c:pt>
                <c:pt idx="241">
                  <c:v>24.332148429752063</c:v>
                </c:pt>
                <c:pt idx="242">
                  <c:v>24.232016131687239</c:v>
                </c:pt>
                <c:pt idx="243">
                  <c:v>24.132704590163932</c:v>
                </c:pt>
                <c:pt idx="244">
                  <c:v>24.034203755102038</c:v>
                </c:pt>
                <c:pt idx="245">
                  <c:v>23.936503739837395</c:v>
                </c:pt>
                <c:pt idx="246">
                  <c:v>23.839594817813762</c:v>
                </c:pt>
                <c:pt idx="247">
                  <c:v>23.743467419354836</c:v>
                </c:pt>
                <c:pt idx="248">
                  <c:v>23.648112128514054</c:v>
                </c:pt>
                <c:pt idx="249">
                  <c:v>23.553519679999997</c:v>
                </c:pt>
                <c:pt idx="250">
                  <c:v>23.459680956175298</c:v>
                </c:pt>
                <c:pt idx="251">
                  <c:v>23.366586984126982</c:v>
                </c:pt>
                <c:pt idx="252">
                  <c:v>23.27422893280632</c:v>
                </c:pt>
                <c:pt idx="253">
                  <c:v>23.182598110236217</c:v>
                </c:pt>
                <c:pt idx="254">
                  <c:v>23.091685960784311</c:v>
                </c:pt>
                <c:pt idx="255">
                  <c:v>23.001484062499998</c:v>
                </c:pt>
                <c:pt idx="256">
                  <c:v>22.911984124513616</c:v>
                </c:pt>
                <c:pt idx="257">
                  <c:v>22.823177984496123</c:v>
                </c:pt>
                <c:pt idx="258">
                  <c:v>22.735057606177605</c:v>
                </c:pt>
                <c:pt idx="259">
                  <c:v>22.647615076923074</c:v>
                </c:pt>
                <c:pt idx="260">
                  <c:v>22.560842605363984</c:v>
                </c:pt>
                <c:pt idx="261">
                  <c:v>22.474732519083968</c:v>
                </c:pt>
                <c:pt idx="262">
                  <c:v>22.389277262357414</c:v>
                </c:pt>
                <c:pt idx="263">
                  <c:v>22.304469393939392</c:v>
                </c:pt>
                <c:pt idx="264">
                  <c:v>22.220301584905659</c:v>
                </c:pt>
                <c:pt idx="265">
                  <c:v>22.136766616541351</c:v>
                </c:pt>
                <c:pt idx="266">
                  <c:v>22.053857378277151</c:v>
                </c:pt>
                <c:pt idx="267">
                  <c:v>21.97156686567164</c:v>
                </c:pt>
                <c:pt idx="268">
                  <c:v>21.88988817843866</c:v>
                </c:pt>
                <c:pt idx="269">
                  <c:v>21.808814518518517</c:v>
                </c:pt>
                <c:pt idx="270">
                  <c:v>21.728339188191878</c:v>
                </c:pt>
                <c:pt idx="271">
                  <c:v>21.648455588235294</c:v>
                </c:pt>
                <c:pt idx="272">
                  <c:v>21.569157216117215</c:v>
                </c:pt>
                <c:pt idx="273">
                  <c:v>21.490437664233575</c:v>
                </c:pt>
                <c:pt idx="274">
                  <c:v>21.412290618181817</c:v>
                </c:pt>
                <c:pt idx="275">
                  <c:v>21.334709855072461</c:v>
                </c:pt>
                <c:pt idx="276">
                  <c:v>21.257689241877255</c:v>
                </c:pt>
                <c:pt idx="277">
                  <c:v>21.181222733812948</c:v>
                </c:pt>
                <c:pt idx="278">
                  <c:v>21.105304372759853</c:v>
                </c:pt>
                <c:pt idx="279">
                  <c:v>21.029928285714284</c:v>
                </c:pt>
                <c:pt idx="280">
                  <c:v>20.95508868327402</c:v>
                </c:pt>
                <c:pt idx="281">
                  <c:v>20.880779858156025</c:v>
                </c:pt>
                <c:pt idx="282">
                  <c:v>20.806996183745582</c:v>
                </c:pt>
                <c:pt idx="283">
                  <c:v>20.733732112676055</c:v>
                </c:pt>
                <c:pt idx="284">
                  <c:v>20.660982175438594</c:v>
                </c:pt>
                <c:pt idx="285">
                  <c:v>20.588740979020976</c:v>
                </c:pt>
                <c:pt idx="286">
                  <c:v>20.517003205574913</c:v>
                </c:pt>
                <c:pt idx="287">
                  <c:v>20.445763611111108</c:v>
                </c:pt>
                <c:pt idx="288">
                  <c:v>20.375017024221449</c:v>
                </c:pt>
                <c:pt idx="289">
                  <c:v>20.304758344827583</c:v>
                </c:pt>
                <c:pt idx="290">
                  <c:v>20.234982542955326</c:v>
                </c:pt>
                <c:pt idx="291">
                  <c:v>20.165684657534243</c:v>
                </c:pt>
                <c:pt idx="292">
                  <c:v>20.096859795221842</c:v>
                </c:pt>
                <c:pt idx="293">
                  <c:v>20.0285031292517</c:v>
                </c:pt>
                <c:pt idx="294">
                  <c:v>19.960609898305083</c:v>
                </c:pt>
                <c:pt idx="295">
                  <c:v>19.893175405405405</c:v>
                </c:pt>
                <c:pt idx="296">
                  <c:v>19.826195016835015</c:v>
                </c:pt>
                <c:pt idx="297">
                  <c:v>19.759664161073822</c:v>
                </c:pt>
                <c:pt idx="298">
                  <c:v>19.693578327759194</c:v>
                </c:pt>
                <c:pt idx="299">
                  <c:v>19.627933066666664</c:v>
                </c:pt>
                <c:pt idx="300">
                  <c:v>19.56272398671096</c:v>
                </c:pt>
                <c:pt idx="301">
                  <c:v>19.497946754966886</c:v>
                </c:pt>
                <c:pt idx="302">
                  <c:v>19.433597095709569</c:v>
                </c:pt>
                <c:pt idx="303">
                  <c:v>19.369670789473684</c:v>
                </c:pt>
                <c:pt idx="304">
                  <c:v>19.306163672131145</c:v>
                </c:pt>
                <c:pt idx="305">
                  <c:v>19.243071633986926</c:v>
                </c:pt>
                <c:pt idx="306">
                  <c:v>19.180390618892506</c:v>
                </c:pt>
                <c:pt idx="307">
                  <c:v>19.118116623376622</c:v>
                </c:pt>
                <c:pt idx="308">
                  <c:v>19.056245695792878</c:v>
                </c:pt>
                <c:pt idx="309">
                  <c:v>18.99477393548387</c:v>
                </c:pt>
                <c:pt idx="310">
                  <c:v>18.933697491961414</c:v>
                </c:pt>
                <c:pt idx="311">
                  <c:v>18.873012564102563</c:v>
                </c:pt>
                <c:pt idx="312">
                  <c:v>18.812715399361021</c:v>
                </c:pt>
                <c:pt idx="313">
                  <c:v>18.752802292993628</c:v>
                </c:pt>
                <c:pt idx="314">
                  <c:v>18.693269587301586</c:v>
                </c:pt>
                <c:pt idx="315">
                  <c:v>18.634113670886073</c:v>
                </c:pt>
                <c:pt idx="316">
                  <c:v>18.575330977917979</c:v>
                </c:pt>
                <c:pt idx="317">
                  <c:v>18.516917987421383</c:v>
                </c:pt>
                <c:pt idx="318">
                  <c:v>18.458871222570529</c:v>
                </c:pt>
                <c:pt idx="319">
                  <c:v>18.40118725</c:v>
                </c:pt>
                <c:pt idx="320">
                  <c:v>18.343862679127724</c:v>
                </c:pt>
                <c:pt idx="321">
                  <c:v>18.286894161490682</c:v>
                </c:pt>
                <c:pt idx="322">
                  <c:v>18.230278390092877</c:v>
                </c:pt>
                <c:pt idx="323">
                  <c:v>18.174012098765431</c:v>
                </c:pt>
                <c:pt idx="324">
                  <c:v>18.118092061538459</c:v>
                </c:pt>
                <c:pt idx="325">
                  <c:v>18.062515092024537</c:v>
                </c:pt>
                <c:pt idx="326">
                  <c:v>18.007278042813454</c:v>
                </c:pt>
                <c:pt idx="327">
                  <c:v>17.952377804878047</c:v>
                </c:pt>
                <c:pt idx="328">
                  <c:v>17.897811306990878</c:v>
                </c:pt>
                <c:pt idx="329">
                  <c:v>17.843575515151514</c:v>
                </c:pt>
                <c:pt idx="330">
                  <c:v>17.789667432024167</c:v>
                </c:pt>
                <c:pt idx="331">
                  <c:v>17.73608409638554</c:v>
                </c:pt>
                <c:pt idx="332">
                  <c:v>17.682822582582581</c:v>
                </c:pt>
                <c:pt idx="333">
                  <c:v>17.629879999999996</c:v>
                </c:pt>
                <c:pt idx="334">
                  <c:v>17.577253492537313</c:v>
                </c:pt>
                <c:pt idx="335">
                  <c:v>17.524940238095237</c:v>
                </c:pt>
                <c:pt idx="336">
                  <c:v>17.472937448071214</c:v>
                </c:pt>
                <c:pt idx="337">
                  <c:v>17.421242366863904</c:v>
                </c:pt>
                <c:pt idx="338">
                  <c:v>17.369852271386428</c:v>
                </c:pt>
                <c:pt idx="339">
                  <c:v>17.318764470588235</c:v>
                </c:pt>
                <c:pt idx="340">
                  <c:v>17.267976304985336</c:v>
                </c:pt>
                <c:pt idx="341">
                  <c:v>17.217485146198829</c:v>
                </c:pt>
                <c:pt idx="342">
                  <c:v>17.167288396501455</c:v>
                </c:pt>
                <c:pt idx="343">
                  <c:v>17.117383488372091</c:v>
                </c:pt>
                <c:pt idx="344">
                  <c:v>17.067767884057968</c:v>
                </c:pt>
                <c:pt idx="345">
                  <c:v>17.018439075144506</c:v>
                </c:pt>
                <c:pt idx="346">
                  <c:v>16.969394582132562</c:v>
                </c:pt>
                <c:pt idx="347">
                  <c:v>16.920631954022987</c:v>
                </c:pt>
                <c:pt idx="348">
                  <c:v>16.872148767908307</c:v>
                </c:pt>
                <c:pt idx="349">
                  <c:v>16.823942628571427</c:v>
                </c:pt>
                <c:pt idx="350">
                  <c:v>16.776011168091166</c:v>
                </c:pt>
                <c:pt idx="351">
                  <c:v>16.728352045454542</c:v>
                </c:pt>
                <c:pt idx="352">
                  <c:v>16.680962946175637</c:v>
                </c:pt>
                <c:pt idx="353">
                  <c:v>16.633841581920901</c:v>
                </c:pt>
                <c:pt idx="354">
                  <c:v>16.586985690140843</c:v>
                </c:pt>
                <c:pt idx="355">
                  <c:v>16.540393033707865</c:v>
                </c:pt>
                <c:pt idx="356">
                  <c:v>16.494061400560224</c:v>
                </c:pt>
                <c:pt idx="357">
                  <c:v>16.447988603351952</c:v>
                </c:pt>
                <c:pt idx="358">
                  <c:v>16.402172479108632</c:v>
                </c:pt>
                <c:pt idx="359">
                  <c:v>16.356610888888888</c:v>
                </c:pt>
                <c:pt idx="360">
                  <c:v>16.311301717451521</c:v>
                </c:pt>
                <c:pt idx="361">
                  <c:v>16.266242872928174</c:v>
                </c:pt>
                <c:pt idx="362">
                  <c:v>16.221432286501376</c:v>
                </c:pt>
                <c:pt idx="363">
                  <c:v>16.176867912087911</c:v>
                </c:pt>
                <c:pt idx="364">
                  <c:v>16.132547726027397</c:v>
                </c:pt>
                <c:pt idx="365">
                  <c:v>16.088469726775955</c:v>
                </c:pt>
                <c:pt idx="366">
                  <c:v>16.044631934604904</c:v>
                </c:pt>
                <c:pt idx="367">
                  <c:v>16.001032391304346</c:v>
                </c:pt>
                <c:pt idx="368">
                  <c:v>15.957669159891598</c:v>
                </c:pt>
                <c:pt idx="369">
                  <c:v>15.914540324324323</c:v>
                </c:pt>
                <c:pt idx="370">
                  <c:v>15.871643989218327</c:v>
                </c:pt>
                <c:pt idx="371">
                  <c:v>15.82897827956989</c:v>
                </c:pt>
                <c:pt idx="372">
                  <c:v>15.786541340482572</c:v>
                </c:pt>
                <c:pt idx="373">
                  <c:v>15.744331336898394</c:v>
                </c:pt>
                <c:pt idx="374">
                  <c:v>15.702346453333332</c:v>
                </c:pt>
                <c:pt idx="375">
                  <c:v>15.66058489361702</c:v>
                </c:pt>
                <c:pt idx="376">
                  <c:v>15.619044880636602</c:v>
                </c:pt>
                <c:pt idx="377">
                  <c:v>15.577724656084655</c:v>
                </c:pt>
                <c:pt idx="378">
                  <c:v>15.536622480211081</c:v>
                </c:pt>
                <c:pt idx="379">
                  <c:v>15.495736631578946</c:v>
                </c:pt>
                <c:pt idx="380">
                  <c:v>15.455065406824145</c:v>
                </c:pt>
                <c:pt idx="381">
                  <c:v>15.414607120418847</c:v>
                </c:pt>
                <c:pt idx="382">
                  <c:v>15.37436010443864</c:v>
                </c:pt>
                <c:pt idx="383">
                  <c:v>15.334322708333332</c:v>
                </c:pt>
                <c:pt idx="384">
                  <c:v>15.294493298701298</c:v>
                </c:pt>
                <c:pt idx="385">
                  <c:v>15.254870259067356</c:v>
                </c:pt>
                <c:pt idx="386">
                  <c:v>15.21545198966408</c:v>
                </c:pt>
                <c:pt idx="387">
                  <c:v>15.176236907216493</c:v>
                </c:pt>
                <c:pt idx="388">
                  <c:v>15.137223444730076</c:v>
                </c:pt>
                <c:pt idx="389">
                  <c:v>15.09841005128205</c:v>
                </c:pt>
                <c:pt idx="390">
                  <c:v>15.059795191815855</c:v>
                </c:pt>
                <c:pt idx="391">
                  <c:v>15.021377346938774</c:v>
                </c:pt>
                <c:pt idx="392">
                  <c:v>14.983155012722644</c:v>
                </c:pt>
                <c:pt idx="393">
                  <c:v>14.945126700507613</c:v>
                </c:pt>
                <c:pt idx="394">
                  <c:v>14.90729093670886</c:v>
                </c:pt>
                <c:pt idx="395">
                  <c:v>14.869646262626262</c:v>
                </c:pt>
                <c:pt idx="396">
                  <c:v>14.832191234256925</c:v>
                </c:pt>
                <c:pt idx="397">
                  <c:v>14.794924422110551</c:v>
                </c:pt>
                <c:pt idx="398">
                  <c:v>14.757844411027568</c:v>
                </c:pt>
                <c:pt idx="399">
                  <c:v>14.720949799999998</c:v>
                </c:pt>
                <c:pt idx="400">
                  <c:v>14.684239201995011</c:v>
                </c:pt>
                <c:pt idx="401">
                  <c:v>14.647711243781092</c:v>
                </c:pt>
                <c:pt idx="402">
                  <c:v>14.611364565756823</c:v>
                </c:pt>
                <c:pt idx="403">
                  <c:v>14.575197821782178</c:v>
                </c:pt>
                <c:pt idx="404">
                  <c:v>14.539209679012345</c:v>
                </c:pt>
                <c:pt idx="405">
                  <c:v>14.503398817733988</c:v>
                </c:pt>
                <c:pt idx="406">
                  <c:v>14.46776393120393</c:v>
                </c:pt>
                <c:pt idx="407">
                  <c:v>14.432303725490195</c:v>
                </c:pt>
                <c:pt idx="408">
                  <c:v>14.397016919315401</c:v>
                </c:pt>
                <c:pt idx="409">
                  <c:v>14.361902243902438</c:v>
                </c:pt>
                <c:pt idx="410">
                  <c:v>14.326958442822383</c:v>
                </c:pt>
                <c:pt idx="411">
                  <c:v>14.292184271844659</c:v>
                </c:pt>
                <c:pt idx="412">
                  <c:v>14.257578498789345</c:v>
                </c:pt>
                <c:pt idx="413">
                  <c:v>14.223139903381641</c:v>
                </c:pt>
                <c:pt idx="414">
                  <c:v>14.188867277108432</c:v>
                </c:pt>
                <c:pt idx="415">
                  <c:v>14.154759423076921</c:v>
                </c:pt>
                <c:pt idx="416">
                  <c:v>14.120815155875299</c:v>
                </c:pt>
                <c:pt idx="417">
                  <c:v>14.087033301435405</c:v>
                </c:pt>
                <c:pt idx="418">
                  <c:v>14.053412696897373</c:v>
                </c:pt>
                <c:pt idx="419">
                  <c:v>14.019952190476189</c:v>
                </c:pt>
                <c:pt idx="420">
                  <c:v>13.986650641330165</c:v>
                </c:pt>
                <c:pt idx="421">
                  <c:v>13.953506919431279</c:v>
                </c:pt>
                <c:pt idx="422">
                  <c:v>13.920519905437351</c:v>
                </c:pt>
                <c:pt idx="423">
                  <c:v>13.887688490566036</c:v>
                </c:pt>
                <c:pt idx="424">
                  <c:v>13.855011576470586</c:v>
                </c:pt>
                <c:pt idx="425">
                  <c:v>13.82248807511737</c:v>
                </c:pt>
                <c:pt idx="426">
                  <c:v>13.790116908665103</c:v>
                </c:pt>
                <c:pt idx="427">
                  <c:v>13.757897009345793</c:v>
                </c:pt>
                <c:pt idx="428">
                  <c:v>13.725827319347317</c:v>
                </c:pt>
                <c:pt idx="429">
                  <c:v>13.693906790697673</c:v>
                </c:pt>
                <c:pt idx="430">
                  <c:v>13.662134385150811</c:v>
                </c:pt>
                <c:pt idx="431">
                  <c:v>13.630509074074073</c:v>
                </c:pt>
                <c:pt idx="432">
                  <c:v>13.599029838337181</c:v>
                </c:pt>
                <c:pt idx="433">
                  <c:v>13.567695668202763</c:v>
                </c:pt>
                <c:pt idx="434">
                  <c:v>13.536505563218389</c:v>
                </c:pt>
                <c:pt idx="435">
                  <c:v>13.50545853211009</c:v>
                </c:pt>
                <c:pt idx="436">
                  <c:v>13.474553592677344</c:v>
                </c:pt>
                <c:pt idx="437">
                  <c:v>13.443789771689497</c:v>
                </c:pt>
                <c:pt idx="438">
                  <c:v>13.413166104783597</c:v>
                </c:pt>
                <c:pt idx="439">
                  <c:v>13.382681636363635</c:v>
                </c:pt>
                <c:pt idx="440">
                  <c:v>13.352335419501133</c:v>
                </c:pt>
                <c:pt idx="441">
                  <c:v>13.322126515837102</c:v>
                </c:pt>
                <c:pt idx="442">
                  <c:v>13.292053995485325</c:v>
                </c:pt>
                <c:pt idx="443">
                  <c:v>13.262116936936936</c:v>
                </c:pt>
                <c:pt idx="444">
                  <c:v>13.23231442696629</c:v>
                </c:pt>
                <c:pt idx="445">
                  <c:v>13.202645560538116</c:v>
                </c:pt>
                <c:pt idx="446">
                  <c:v>13.173109440715882</c:v>
                </c:pt>
                <c:pt idx="447">
                  <c:v>13.143705178571427</c:v>
                </c:pt>
                <c:pt idx="448">
                  <c:v>13.114431893095768</c:v>
                </c:pt>
                <c:pt idx="449">
                  <c:v>13.08528871111111</c:v>
                </c:pt>
                <c:pt idx="450">
                  <c:v>13.056274767184034</c:v>
                </c:pt>
                <c:pt idx="451">
                  <c:v>13.027389203539821</c:v>
                </c:pt>
                <c:pt idx="452">
                  <c:v>12.998631169977923</c:v>
                </c:pt>
                <c:pt idx="453">
                  <c:v>12.969999823788545</c:v>
                </c:pt>
                <c:pt idx="454">
                  <c:v>12.941494329670329</c:v>
                </c:pt>
                <c:pt idx="455">
                  <c:v>12.913113859649121</c:v>
                </c:pt>
                <c:pt idx="456">
                  <c:v>12.884857592997811</c:v>
                </c:pt>
                <c:pt idx="457">
                  <c:v>12.856724716157204</c:v>
                </c:pt>
                <c:pt idx="458">
                  <c:v>12.828714422657951</c:v>
                </c:pt>
                <c:pt idx="459">
                  <c:v>12.800825913043477</c:v>
                </c:pt>
                <c:pt idx="460">
                  <c:v>12.773058394793924</c:v>
                </c:pt>
                <c:pt idx="461">
                  <c:v>12.745411082251081</c:v>
                </c:pt>
                <c:pt idx="462">
                  <c:v>12.717883196544275</c:v>
                </c:pt>
                <c:pt idx="463">
                  <c:v>12.69047396551724</c:v>
                </c:pt>
                <c:pt idx="464">
                  <c:v>12.663182623655914</c:v>
                </c:pt>
                <c:pt idx="465">
                  <c:v>12.636008412017166</c:v>
                </c:pt>
                <c:pt idx="466">
                  <c:v>12.608950578158456</c:v>
                </c:pt>
                <c:pt idx="467">
                  <c:v>12.582008376068375</c:v>
                </c:pt>
                <c:pt idx="468">
                  <c:v>12.555181066098079</c:v>
                </c:pt>
                <c:pt idx="469">
                  <c:v>12.528467914893616</c:v>
                </c:pt>
                <c:pt idx="470">
                  <c:v>12.501868195329086</c:v>
                </c:pt>
                <c:pt idx="471">
                  <c:v>12.475381186440677</c:v>
                </c:pt>
                <c:pt idx="472">
                  <c:v>12.449006173361521</c:v>
                </c:pt>
                <c:pt idx="473">
                  <c:v>12.422742447257383</c:v>
                </c:pt>
                <c:pt idx="474">
                  <c:v>12.396589305263157</c:v>
                </c:pt>
                <c:pt idx="475">
                  <c:v>12.370546050420167</c:v>
                </c:pt>
                <c:pt idx="476">
                  <c:v>12.344611991614254</c:v>
                </c:pt>
                <c:pt idx="477">
                  <c:v>12.318786443514643</c:v>
                </c:pt>
                <c:pt idx="478">
                  <c:v>12.293068726513569</c:v>
                </c:pt>
                <c:pt idx="479">
                  <c:v>12.267458166666666</c:v>
                </c:pt>
                <c:pt idx="480">
                  <c:v>12.241954095634094</c:v>
                </c:pt>
                <c:pt idx="481">
                  <c:v>12.216555850622406</c:v>
                </c:pt>
                <c:pt idx="482">
                  <c:v>12.191262774327122</c:v>
                </c:pt>
                <c:pt idx="483">
                  <c:v>12.166074214876032</c:v>
                </c:pt>
                <c:pt idx="484">
                  <c:v>12.140989525773195</c:v>
                </c:pt>
                <c:pt idx="485">
                  <c:v>12.116008065843619</c:v>
                </c:pt>
                <c:pt idx="486">
                  <c:v>12.091129199178644</c:v>
                </c:pt>
                <c:pt idx="487">
                  <c:v>12.066352295081966</c:v>
                </c:pt>
                <c:pt idx="488">
                  <c:v>12.041676728016359</c:v>
                </c:pt>
                <c:pt idx="489">
                  <c:v>12.017101877551019</c:v>
                </c:pt>
                <c:pt idx="490">
                  <c:v>11.992627128309572</c:v>
                </c:pt>
                <c:pt idx="491">
                  <c:v>11.968251869918697</c:v>
                </c:pt>
                <c:pt idx="492">
                  <c:v>11.943975496957403</c:v>
                </c:pt>
                <c:pt idx="493">
                  <c:v>11.919797408906881</c:v>
                </c:pt>
                <c:pt idx="494">
                  <c:v>11.895717010101009</c:v>
                </c:pt>
                <c:pt idx="495">
                  <c:v>11.871733709677418</c:v>
                </c:pt>
                <c:pt idx="496">
                  <c:v>11.847846921529174</c:v>
                </c:pt>
                <c:pt idx="497">
                  <c:v>11.824056064257027</c:v>
                </c:pt>
                <c:pt idx="498">
                  <c:v>11.800360561122243</c:v>
                </c:pt>
                <c:pt idx="499">
                  <c:v>11.776759839999999</c:v>
                </c:pt>
                <c:pt idx="500">
                  <c:v>11.753253333333332</c:v>
                </c:pt>
                <c:pt idx="501">
                  <c:v>11.729840478087649</c:v>
                </c:pt>
                <c:pt idx="502">
                  <c:v>11.706520715705764</c:v>
                </c:pt>
                <c:pt idx="503">
                  <c:v>11.683293492063491</c:v>
                </c:pt>
                <c:pt idx="504">
                  <c:v>11.660158257425742</c:v>
                </c:pt>
                <c:pt idx="505">
                  <c:v>11.63711446640316</c:v>
                </c:pt>
                <c:pt idx="506">
                  <c:v>11.614161577909268</c:v>
                </c:pt>
                <c:pt idx="507">
                  <c:v>11.591299055118109</c:v>
                </c:pt>
                <c:pt idx="508">
                  <c:v>11.568526365422395</c:v>
                </c:pt>
                <c:pt idx="509">
                  <c:v>11.545842980392155</c:v>
                </c:pt>
                <c:pt idx="510">
                  <c:v>11.523248375733854</c:v>
                </c:pt>
                <c:pt idx="511">
                  <c:v>11.500742031249999</c:v>
                </c:pt>
                <c:pt idx="512">
                  <c:v>11.47832343079922</c:v>
                </c:pt>
                <c:pt idx="513">
                  <c:v>11.455992062256808</c:v>
                </c:pt>
                <c:pt idx="514">
                  <c:v>11.433747417475727</c:v>
                </c:pt>
                <c:pt idx="515">
                  <c:v>11.411588992248062</c:v>
                </c:pt>
                <c:pt idx="516">
                  <c:v>11.389516286266923</c:v>
                </c:pt>
                <c:pt idx="517">
                  <c:v>11.367528803088803</c:v>
                </c:pt>
                <c:pt idx="518">
                  <c:v>11.345626050096339</c:v>
                </c:pt>
                <c:pt idx="519">
                  <c:v>11.323807538461537</c:v>
                </c:pt>
                <c:pt idx="520">
                  <c:v>11.302072783109404</c:v>
                </c:pt>
                <c:pt idx="521">
                  <c:v>11.280421302681992</c:v>
                </c:pt>
                <c:pt idx="522">
                  <c:v>11.258852619502868</c:v>
                </c:pt>
                <c:pt idx="523">
                  <c:v>11.237366259541984</c:v>
                </c:pt>
                <c:pt idx="524">
                  <c:v>11.215961752380951</c:v>
                </c:pt>
                <c:pt idx="525">
                  <c:v>11.194638631178707</c:v>
                </c:pt>
                <c:pt idx="526">
                  <c:v>11.173396432637571</c:v>
                </c:pt>
                <c:pt idx="527">
                  <c:v>11.152234696969696</c:v>
                </c:pt>
                <c:pt idx="528">
                  <c:v>11.131152967863892</c:v>
                </c:pt>
                <c:pt idx="529">
                  <c:v>11.11015079245283</c:v>
                </c:pt>
                <c:pt idx="530">
                  <c:v>11.089227721280601</c:v>
                </c:pt>
                <c:pt idx="531">
                  <c:v>11.068383308270676</c:v>
                </c:pt>
                <c:pt idx="532">
                  <c:v>11.047617110694183</c:v>
                </c:pt>
                <c:pt idx="533">
                  <c:v>11.026928689138575</c:v>
                </c:pt>
                <c:pt idx="534">
                  <c:v>11.006317607476634</c:v>
                </c:pt>
                <c:pt idx="535">
                  <c:v>10.98578343283582</c:v>
                </c:pt>
                <c:pt idx="536">
                  <c:v>10.965325735567969</c:v>
                </c:pt>
                <c:pt idx="537">
                  <c:v>10.94494408921933</c:v>
                </c:pt>
                <c:pt idx="538">
                  <c:v>10.924638070500926</c:v>
                </c:pt>
                <c:pt idx="539">
                  <c:v>10.904407259259258</c:v>
                </c:pt>
                <c:pt idx="540">
                  <c:v>10.884251238447318</c:v>
                </c:pt>
                <c:pt idx="541">
                  <c:v>10.864169594095939</c:v>
                </c:pt>
                <c:pt idx="542">
                  <c:v>10.844161915285451</c:v>
                </c:pt>
                <c:pt idx="543">
                  <c:v>10.824227794117647</c:v>
                </c:pt>
                <c:pt idx="544">
                  <c:v>10.804366825688072</c:v>
                </c:pt>
                <c:pt idx="545">
                  <c:v>10.784578608058608</c:v>
                </c:pt>
                <c:pt idx="546">
                  <c:v>10.764862742230346</c:v>
                </c:pt>
                <c:pt idx="547">
                  <c:v>10.745218832116787</c:v>
                </c:pt>
                <c:pt idx="548">
                  <c:v>10.725646484517304</c:v>
                </c:pt>
                <c:pt idx="549">
                  <c:v>10.706145309090909</c:v>
                </c:pt>
                <c:pt idx="550">
                  <c:v>10.686714918330308</c:v>
                </c:pt>
                <c:pt idx="551">
                  <c:v>10.66735492753623</c:v>
                </c:pt>
                <c:pt idx="552">
                  <c:v>10.648064954792043</c:v>
                </c:pt>
                <c:pt idx="553">
                  <c:v>10.628844620938628</c:v>
                </c:pt>
                <c:pt idx="554">
                  <c:v>10.609693549549549</c:v>
                </c:pt>
                <c:pt idx="555">
                  <c:v>10.590611366906474</c:v>
                </c:pt>
                <c:pt idx="556">
                  <c:v>10.571597701974865</c:v>
                </c:pt>
                <c:pt idx="557">
                  <c:v>10.552652186379927</c:v>
                </c:pt>
                <c:pt idx="558">
                  <c:v>10.533774454382826</c:v>
                </c:pt>
                <c:pt idx="559">
                  <c:v>10.514964142857142</c:v>
                </c:pt>
                <c:pt idx="560">
                  <c:v>10.496220891265596</c:v>
                </c:pt>
                <c:pt idx="561">
                  <c:v>10.47754434163701</c:v>
                </c:pt>
                <c:pt idx="562">
                  <c:v>10.458934138543516</c:v>
                </c:pt>
                <c:pt idx="563">
                  <c:v>10.440389929078012</c:v>
                </c:pt>
                <c:pt idx="564">
                  <c:v>10.421911362831857</c:v>
                </c:pt>
                <c:pt idx="565">
                  <c:v>10.403498091872791</c:v>
                </c:pt>
                <c:pt idx="566">
                  <c:v>10.385149770723103</c:v>
                </c:pt>
                <c:pt idx="567">
                  <c:v>10.366866056338027</c:v>
                </c:pt>
                <c:pt idx="568">
                  <c:v>10.348646608084357</c:v>
                </c:pt>
                <c:pt idx="569">
                  <c:v>10.330491087719297</c:v>
                </c:pt>
                <c:pt idx="570">
                  <c:v>10.312399159369527</c:v>
                </c:pt>
                <c:pt idx="571">
                  <c:v>10.294370489510488</c:v>
                </c:pt>
                <c:pt idx="572">
                  <c:v>10.276404746945898</c:v>
                </c:pt>
                <c:pt idx="573">
                  <c:v>10.258501602787456</c:v>
                </c:pt>
                <c:pt idx="574">
                  <c:v>10.240660730434781</c:v>
                </c:pt>
                <c:pt idx="575">
                  <c:v>10.222881805555554</c:v>
                </c:pt>
                <c:pt idx="576">
                  <c:v>10.205164506065858</c:v>
                </c:pt>
                <c:pt idx="577">
                  <c:v>10.187508512110725</c:v>
                </c:pt>
                <c:pt idx="578">
                  <c:v>10.169913506044905</c:v>
                </c:pt>
                <c:pt idx="579">
                  <c:v>10.152379172413792</c:v>
                </c:pt>
                <c:pt idx="580">
                  <c:v>10.134905197934595</c:v>
                </c:pt>
                <c:pt idx="581">
                  <c:v>10.117491271477663</c:v>
                </c:pt>
                <c:pt idx="582">
                  <c:v>10.100137084048026</c:v>
                </c:pt>
                <c:pt idx="583">
                  <c:v>10.082842328767121</c:v>
                </c:pt>
                <c:pt idx="584">
                  <c:v>10.065606700854699</c:v>
                </c:pt>
                <c:pt idx="585">
                  <c:v>10.048429897610921</c:v>
                </c:pt>
                <c:pt idx="586">
                  <c:v>10.031311618398636</c:v>
                </c:pt>
                <c:pt idx="587">
                  <c:v>10.01425156462585</c:v>
                </c:pt>
                <c:pt idx="588">
                  <c:v>9.9972494397283516</c:v>
                </c:pt>
                <c:pt idx="589">
                  <c:v>9.9803049491525417</c:v>
                </c:pt>
                <c:pt idx="590">
                  <c:v>9.9634178003384086</c:v>
                </c:pt>
                <c:pt idx="591">
                  <c:v>9.9465877027027023</c:v>
                </c:pt>
                <c:pt idx="592">
                  <c:v>9.9298143676222583</c:v>
                </c:pt>
                <c:pt idx="593">
                  <c:v>9.9130975084175077</c:v>
                </c:pt>
                <c:pt idx="594">
                  <c:v>9.8964368403361327</c:v>
                </c:pt>
                <c:pt idx="595">
                  <c:v>9.8798320805369109</c:v>
                </c:pt>
                <c:pt idx="596">
                  <c:v>9.8632829480737012</c:v>
                </c:pt>
                <c:pt idx="597">
                  <c:v>9.8467891638795972</c:v>
                </c:pt>
                <c:pt idx="598">
                  <c:v>9.8303504507512507</c:v>
                </c:pt>
                <c:pt idx="599">
                  <c:v>9.8139665333333319</c:v>
                </c:pt>
                <c:pt idx="600">
                  <c:v>9.7976371381031608</c:v>
                </c:pt>
                <c:pt idx="601">
                  <c:v>9.7813619933554801</c:v>
                </c:pt>
                <c:pt idx="602">
                  <c:v>9.7651408291873949</c:v>
                </c:pt>
                <c:pt idx="603">
                  <c:v>9.7489733774834431</c:v>
                </c:pt>
                <c:pt idx="604">
                  <c:v>9.7328593719008261</c:v>
                </c:pt>
                <c:pt idx="605">
                  <c:v>9.7167985478547845</c:v>
                </c:pt>
                <c:pt idx="606">
                  <c:v>9.700790642504117</c:v>
                </c:pt>
                <c:pt idx="607">
                  <c:v>9.684835394736842</c:v>
                </c:pt>
                <c:pt idx="608">
                  <c:v>9.6689325451559931</c:v>
                </c:pt>
                <c:pt idx="609">
                  <c:v>9.6530818360655726</c:v>
                </c:pt>
                <c:pt idx="610">
                  <c:v>9.6372830114566277</c:v>
                </c:pt>
                <c:pt idx="611">
                  <c:v>9.6215358169934628</c:v>
                </c:pt>
                <c:pt idx="612">
                  <c:v>9.6058399999999988</c:v>
                </c:pt>
                <c:pt idx="613">
                  <c:v>9.5901953094462531</c:v>
                </c:pt>
                <c:pt idx="614">
                  <c:v>9.5746014959349584</c:v>
                </c:pt>
                <c:pt idx="615">
                  <c:v>9.559058311688311</c:v>
                </c:pt>
                <c:pt idx="616">
                  <c:v>9.5435655105348456</c:v>
                </c:pt>
                <c:pt idx="617">
                  <c:v>9.528122847896439</c:v>
                </c:pt>
                <c:pt idx="618">
                  <c:v>9.5127300807754427</c:v>
                </c:pt>
                <c:pt idx="619">
                  <c:v>9.4973869677419351</c:v>
                </c:pt>
                <c:pt idx="620">
                  <c:v>9.4820932689210942</c:v>
                </c:pt>
                <c:pt idx="621">
                  <c:v>9.4668487459807071</c:v>
                </c:pt>
                <c:pt idx="622">
                  <c:v>9.4516531621187792</c:v>
                </c:pt>
                <c:pt idx="623">
                  <c:v>9.4365062820512815</c:v>
                </c:pt>
                <c:pt idx="624">
                  <c:v>9.4214078719999996</c:v>
                </c:pt>
                <c:pt idx="625">
                  <c:v>9.4063576996805107</c:v>
                </c:pt>
                <c:pt idx="626">
                  <c:v>9.3913555342902697</c:v>
                </c:pt>
                <c:pt idx="627">
                  <c:v>9.3764011464968142</c:v>
                </c:pt>
                <c:pt idx="628">
                  <c:v>9.3614943084260727</c:v>
                </c:pt>
                <c:pt idx="629">
                  <c:v>9.346634793650793</c:v>
                </c:pt>
                <c:pt idx="630">
                  <c:v>9.3318223771790798</c:v>
                </c:pt>
                <c:pt idx="631">
                  <c:v>9.3170568354430365</c:v>
                </c:pt>
                <c:pt idx="632">
                  <c:v>9.3023379462875191</c:v>
                </c:pt>
                <c:pt idx="633">
                  <c:v>9.2876654889589894</c:v>
                </c:pt>
                <c:pt idx="634">
                  <c:v>9.2730392440944875</c:v>
                </c:pt>
                <c:pt idx="635">
                  <c:v>9.2584589937106916</c:v>
                </c:pt>
                <c:pt idx="636">
                  <c:v>9.243924521193092</c:v>
                </c:pt>
                <c:pt idx="637">
                  <c:v>9.2294356112852647</c:v>
                </c:pt>
                <c:pt idx="638">
                  <c:v>9.2149920500782461</c:v>
                </c:pt>
                <c:pt idx="639">
                  <c:v>9.2005936249999998</c:v>
                </c:pt>
                <c:pt idx="640">
                  <c:v>9.186240124804991</c:v>
                </c:pt>
                <c:pt idx="641">
                  <c:v>9.1719313395638622</c:v>
                </c:pt>
                <c:pt idx="642">
                  <c:v>9.1576670606531874</c:v>
                </c:pt>
                <c:pt idx="643">
                  <c:v>9.1434470807453412</c:v>
                </c:pt>
                <c:pt idx="644">
                  <c:v>9.1292711937984485</c:v>
                </c:pt>
                <c:pt idx="645">
                  <c:v>9.1151391950464387</c:v>
                </c:pt>
                <c:pt idx="646">
                  <c:v>9.1010508809891792</c:v>
                </c:pt>
                <c:pt idx="647">
                  <c:v>9.0870060493827154</c:v>
                </c:pt>
                <c:pt idx="648">
                  <c:v>9.0730044992295831</c:v>
                </c:pt>
                <c:pt idx="649">
                  <c:v>9.0590460307692293</c:v>
                </c:pt>
                <c:pt idx="650">
                  <c:v>9.0451304454685086</c:v>
                </c:pt>
                <c:pt idx="651">
                  <c:v>9.0312575460122684</c:v>
                </c:pt>
                <c:pt idx="652">
                  <c:v>9.0174271362940264</c:v>
                </c:pt>
                <c:pt idx="653">
                  <c:v>9.0036390214067268</c:v>
                </c:pt>
                <c:pt idx="654">
                  <c:v>8.9898930076335866</c:v>
                </c:pt>
                <c:pt idx="655">
                  <c:v>8.9761889024390236</c:v>
                </c:pt>
                <c:pt idx="656">
                  <c:v>8.9625265144596646</c:v>
                </c:pt>
                <c:pt idx="657">
                  <c:v>8.948905653495439</c:v>
                </c:pt>
                <c:pt idx="658">
                  <c:v>8.9353261305007585</c:v>
                </c:pt>
                <c:pt idx="659">
                  <c:v>8.9217877575757569</c:v>
                </c:pt>
                <c:pt idx="660">
                  <c:v>8.9082903479576387</c:v>
                </c:pt>
                <c:pt idx="661">
                  <c:v>8.8948337160120836</c:v>
                </c:pt>
                <c:pt idx="662">
                  <c:v>8.8814176772247357</c:v>
                </c:pt>
                <c:pt idx="663">
                  <c:v>8.8680420481927698</c:v>
                </c:pt>
                <c:pt idx="664">
                  <c:v>8.8547066466165401</c:v>
                </c:pt>
                <c:pt idx="665">
                  <c:v>8.8414112912912906</c:v>
                </c:pt>
                <c:pt idx="666">
                  <c:v>8.8281558020989497</c:v>
                </c:pt>
                <c:pt idx="667">
                  <c:v>8.8149399999999982</c:v>
                </c:pt>
                <c:pt idx="668">
                  <c:v>8.80176370702541</c:v>
                </c:pt>
                <c:pt idx="669">
                  <c:v>8.7886267462686565</c:v>
                </c:pt>
                <c:pt idx="670">
                  <c:v>8.7755289418777931</c:v>
                </c:pt>
                <c:pt idx="671">
                  <c:v>8.7624701190476184</c:v>
                </c:pt>
                <c:pt idx="672">
                  <c:v>8.7494501040118866</c:v>
                </c:pt>
                <c:pt idx="673">
                  <c:v>8.7364687240356069</c:v>
                </c:pt>
                <c:pt idx="674">
                  <c:v>8.7235258074074071</c:v>
                </c:pt>
                <c:pt idx="675">
                  <c:v>8.710621183431952</c:v>
                </c:pt>
                <c:pt idx="676">
                  <c:v>8.6977546824224508</c:v>
                </c:pt>
                <c:pt idx="677">
                  <c:v>8.6849261356932139</c:v>
                </c:pt>
                <c:pt idx="678">
                  <c:v>8.6721353755522816</c:v>
                </c:pt>
                <c:pt idx="679">
                  <c:v>8.6593822352941174</c:v>
                </c:pt>
                <c:pt idx="680">
                  <c:v>8.6466665491923624</c:v>
                </c:pt>
                <c:pt idx="681">
                  <c:v>8.6339881524926678</c:v>
                </c:pt>
                <c:pt idx="682">
                  <c:v>8.6213468814055627</c:v>
                </c:pt>
                <c:pt idx="683">
                  <c:v>8.6087425730994145</c:v>
                </c:pt>
                <c:pt idx="684">
                  <c:v>8.5961750656934299</c:v>
                </c:pt>
                <c:pt idx="685">
                  <c:v>8.5836441982507274</c:v>
                </c:pt>
                <c:pt idx="686">
                  <c:v>8.5711498107714696</c:v>
                </c:pt>
                <c:pt idx="687">
                  <c:v>8.5586917441860457</c:v>
                </c:pt>
                <c:pt idx="688">
                  <c:v>8.5462698403483301</c:v>
                </c:pt>
                <c:pt idx="689">
                  <c:v>8.533883942028984</c:v>
                </c:pt>
                <c:pt idx="690">
                  <c:v>8.5215338929088276</c:v>
                </c:pt>
                <c:pt idx="691">
                  <c:v>8.5092195375722532</c:v>
                </c:pt>
                <c:pt idx="692">
                  <c:v>8.4969407215007209</c:v>
                </c:pt>
                <c:pt idx="693">
                  <c:v>8.484697291066281</c:v>
                </c:pt>
                <c:pt idx="694">
                  <c:v>8.4724890935251782</c:v>
                </c:pt>
                <c:pt idx="695">
                  <c:v>8.4603159770114935</c:v>
                </c:pt>
                <c:pt idx="696">
                  <c:v>8.4481777905308455</c:v>
                </c:pt>
                <c:pt idx="697">
                  <c:v>8.4360743839541534</c:v>
                </c:pt>
                <c:pt idx="698">
                  <c:v>8.4240056080114449</c:v>
                </c:pt>
                <c:pt idx="699">
                  <c:v>8.4119713142857133</c:v>
                </c:pt>
                <c:pt idx="700">
                  <c:v>8.399971355206846</c:v>
                </c:pt>
                <c:pt idx="701">
                  <c:v>8.3880055840455832</c:v>
                </c:pt>
                <c:pt idx="702">
                  <c:v>8.3760738549075384</c:v>
                </c:pt>
                <c:pt idx="703">
                  <c:v>8.3641760227272712</c:v>
                </c:pt>
                <c:pt idx="704">
                  <c:v>8.3523119432624107</c:v>
                </c:pt>
                <c:pt idx="705">
                  <c:v>8.3404814730878183</c:v>
                </c:pt>
                <c:pt idx="706">
                  <c:v>8.328684469589815</c:v>
                </c:pt>
                <c:pt idx="707">
                  <c:v>8.3169207909604506</c:v>
                </c:pt>
                <c:pt idx="708">
                  <c:v>8.3051902961918191</c:v>
                </c:pt>
                <c:pt idx="709">
                  <c:v>8.2934928450704213</c:v>
                </c:pt>
                <c:pt idx="710">
                  <c:v>8.2818282981715878</c:v>
                </c:pt>
                <c:pt idx="711">
                  <c:v>8.2701965168539324</c:v>
                </c:pt>
                <c:pt idx="712">
                  <c:v>8.2585973632538554</c:v>
                </c:pt>
                <c:pt idx="713">
                  <c:v>8.2470307002801118</c:v>
                </c:pt>
                <c:pt idx="714">
                  <c:v>8.2354963916083914</c:v>
                </c:pt>
                <c:pt idx="715">
                  <c:v>8.223994301675976</c:v>
                </c:pt>
                <c:pt idx="716">
                  <c:v>8.2125242956764293</c:v>
                </c:pt>
                <c:pt idx="717">
                  <c:v>8.201086239554316</c:v>
                </c:pt>
                <c:pt idx="718">
                  <c:v>8.1896799999999992</c:v>
                </c:pt>
                <c:pt idx="719">
                  <c:v>8.1783054444444439</c:v>
                </c:pt>
                <c:pt idx="720">
                  <c:v>8.1669624410540909</c:v>
                </c:pt>
                <c:pt idx="721">
                  <c:v>8.1556508587257603</c:v>
                </c:pt>
                <c:pt idx="722">
                  <c:v>8.1443705670816033</c:v>
                </c:pt>
                <c:pt idx="723">
                  <c:v>8.1331214364640871</c:v>
                </c:pt>
                <c:pt idx="724">
                  <c:v>8.1219033379310339</c:v>
                </c:pt>
                <c:pt idx="725">
                  <c:v>8.1107161432506878</c:v>
                </c:pt>
                <c:pt idx="726">
                  <c:v>8.0995597248968352</c:v>
                </c:pt>
                <c:pt idx="727">
                  <c:v>8.0884339560439553</c:v>
                </c:pt>
                <c:pt idx="728">
                  <c:v>8.0773387105624135</c:v>
                </c:pt>
                <c:pt idx="729">
                  <c:v>8.0662738630136985</c:v>
                </c:pt>
                <c:pt idx="730">
                  <c:v>8.0552392886456907</c:v>
                </c:pt>
                <c:pt idx="731">
                  <c:v>8.0442348633879774</c:v>
                </c:pt>
                <c:pt idx="732">
                  <c:v>8.0332604638472027</c:v>
                </c:pt>
                <c:pt idx="733">
                  <c:v>8.0223159673024522</c:v>
                </c:pt>
                <c:pt idx="734">
                  <c:v>8.0114012517006792</c:v>
                </c:pt>
                <c:pt idx="735">
                  <c:v>8.0005161956521729</c:v>
                </c:pt>
                <c:pt idx="736">
                  <c:v>7.9896606784260511</c:v>
                </c:pt>
                <c:pt idx="737">
                  <c:v>7.9788345799457989</c:v>
                </c:pt>
                <c:pt idx="738">
                  <c:v>7.9680377807848437</c:v>
                </c:pt>
                <c:pt idx="739">
                  <c:v>7.9572701621621613</c:v>
                </c:pt>
                <c:pt idx="740">
                  <c:v>7.9465316059379205</c:v>
                </c:pt>
                <c:pt idx="741">
                  <c:v>7.9358219946091637</c:v>
                </c:pt>
                <c:pt idx="742">
                  <c:v>7.9251412113055171</c:v>
                </c:pt>
                <c:pt idx="743">
                  <c:v>7.9144891397849451</c:v>
                </c:pt>
                <c:pt idx="744">
                  <c:v>7.9038656644295298</c:v>
                </c:pt>
                <c:pt idx="745">
                  <c:v>7.8932706702412858</c:v>
                </c:pt>
                <c:pt idx="746">
                  <c:v>7.882704042838018</c:v>
                </c:pt>
                <c:pt idx="747">
                  <c:v>7.8721656684491972</c:v>
                </c:pt>
                <c:pt idx="748">
                  <c:v>7.8616554339118814</c:v>
                </c:pt>
                <c:pt idx="749">
                  <c:v>7.8511732266666661</c:v>
                </c:pt>
                <c:pt idx="750">
                  <c:v>7.840718934753661</c:v>
                </c:pt>
                <c:pt idx="751">
                  <c:v>7.8302924468085102</c:v>
                </c:pt>
                <c:pt idx="752">
                  <c:v>7.8198936520584326</c:v>
                </c:pt>
                <c:pt idx="753">
                  <c:v>7.8095224403183012</c:v>
                </c:pt>
                <c:pt idx="754">
                  <c:v>7.7991787019867544</c:v>
                </c:pt>
                <c:pt idx="755">
                  <c:v>7.7888623280423275</c:v>
                </c:pt>
                <c:pt idx="756">
                  <c:v>7.778573210039629</c:v>
                </c:pt>
                <c:pt idx="757">
                  <c:v>7.7683112401055405</c:v>
                </c:pt>
                <c:pt idx="758">
                  <c:v>7.7580763109354409</c:v>
                </c:pt>
                <c:pt idx="759">
                  <c:v>7.7478683157894732</c:v>
                </c:pt>
                <c:pt idx="760">
                  <c:v>7.7376871484888294</c:v>
                </c:pt>
                <c:pt idx="761">
                  <c:v>7.7275327034120727</c:v>
                </c:pt>
                <c:pt idx="762">
                  <c:v>7.7174048754914804</c:v>
                </c:pt>
                <c:pt idx="763">
                  <c:v>7.7073035602094233</c:v>
                </c:pt>
                <c:pt idx="764">
                  <c:v>7.6972286535947703</c:v>
                </c:pt>
                <c:pt idx="765">
                  <c:v>7.6871800522193201</c:v>
                </c:pt>
                <c:pt idx="766">
                  <c:v>7.6771576531942625</c:v>
                </c:pt>
                <c:pt idx="767">
                  <c:v>7.6671613541666659</c:v>
                </c:pt>
                <c:pt idx="768">
                  <c:v>7.6571910533159944</c:v>
                </c:pt>
                <c:pt idx="769">
                  <c:v>7.6472466493506488</c:v>
                </c:pt>
                <c:pt idx="770">
                  <c:v>7.6373280415045386</c:v>
                </c:pt>
                <c:pt idx="771">
                  <c:v>7.6274351295336782</c:v>
                </c:pt>
                <c:pt idx="772">
                  <c:v>7.6175678137128067</c:v>
                </c:pt>
                <c:pt idx="773">
                  <c:v>7.6077259948320402</c:v>
                </c:pt>
                <c:pt idx="774">
                  <c:v>7.5979095741935474</c:v>
                </c:pt>
                <c:pt idx="775">
                  <c:v>7.5881184536082467</c:v>
                </c:pt>
                <c:pt idx="776">
                  <c:v>7.5783525353925345</c:v>
                </c:pt>
                <c:pt idx="777">
                  <c:v>7.5686117223650378</c:v>
                </c:pt>
                <c:pt idx="778">
                  <c:v>7.5588959178433885</c:v>
                </c:pt>
                <c:pt idx="779">
                  <c:v>7.549205025641025</c:v>
                </c:pt>
                <c:pt idx="780">
                  <c:v>7.5395389500640198</c:v>
                </c:pt>
                <c:pt idx="781">
                  <c:v>7.5298975959079275</c:v>
                </c:pt>
                <c:pt idx="782">
                  <c:v>7.5202808684546607</c:v>
                </c:pt>
                <c:pt idx="783">
                  <c:v>7.510688673469387</c:v>
                </c:pt>
                <c:pt idx="784">
                  <c:v>7.5011209171974516</c:v>
                </c:pt>
                <c:pt idx="785">
                  <c:v>7.4915775063613221</c:v>
                </c:pt>
                <c:pt idx="786">
                  <c:v>7.48205834815756</c:v>
                </c:pt>
                <c:pt idx="787">
                  <c:v>7.4725633502538065</c:v>
                </c:pt>
                <c:pt idx="788">
                  <c:v>7.463092420785804</c:v>
                </c:pt>
                <c:pt idx="789">
                  <c:v>7.4536454683544298</c:v>
                </c:pt>
                <c:pt idx="790">
                  <c:v>7.4442224020227554</c:v>
                </c:pt>
                <c:pt idx="791">
                  <c:v>7.4348231313131308</c:v>
                </c:pt>
                <c:pt idx="792">
                  <c:v>7.4254475662042871</c:v>
                </c:pt>
                <c:pt idx="793">
                  <c:v>7.4160956171284624</c:v>
                </c:pt>
                <c:pt idx="794">
                  <c:v>7.408930817610063</c:v>
                </c:pt>
                <c:pt idx="795">
                  <c:v>7.403391959798995</c:v>
                </c:pt>
                <c:pt idx="796">
                  <c:v>7.3978670012547054</c:v>
                </c:pt>
                <c:pt idx="797">
                  <c:v>7.3923558897243113</c:v>
                </c:pt>
                <c:pt idx="798">
                  <c:v>7.3868585732165215</c:v>
                </c:pt>
                <c:pt idx="799">
                  <c:v>7.3813750000000002</c:v>
                </c:pt>
                <c:pt idx="800">
                  <c:v>7.3759051186017484</c:v>
                </c:pt>
                <c:pt idx="801">
                  <c:v>7.3704488778054866</c:v>
                </c:pt>
                <c:pt idx="802">
                  <c:v>7.3650062266500624</c:v>
                </c:pt>
                <c:pt idx="803">
                  <c:v>7.3595771144278608</c:v>
                </c:pt>
                <c:pt idx="804">
                  <c:v>7.3541614906832304</c:v>
                </c:pt>
                <c:pt idx="805">
                  <c:v>7.3487593052109181</c:v>
                </c:pt>
                <c:pt idx="806">
                  <c:v>7.3433705080545231</c:v>
                </c:pt>
                <c:pt idx="807">
                  <c:v>7.3379950495049506</c:v>
                </c:pt>
                <c:pt idx="808">
                  <c:v>7.3326328800988883</c:v>
                </c:pt>
                <c:pt idx="809">
                  <c:v>7.327283950617284</c:v>
                </c:pt>
                <c:pt idx="810">
                  <c:v>7.3219482120838473</c:v>
                </c:pt>
                <c:pt idx="811">
                  <c:v>7.316625615763547</c:v>
                </c:pt>
                <c:pt idx="812">
                  <c:v>7.3113161131611317</c:v>
                </c:pt>
                <c:pt idx="813">
                  <c:v>7.3060196560196564</c:v>
                </c:pt>
                <c:pt idx="814">
                  <c:v>7.3007361963190185</c:v>
                </c:pt>
                <c:pt idx="815">
                  <c:v>7.2954656862745102</c:v>
                </c:pt>
                <c:pt idx="816">
                  <c:v>7.2902080783353735</c:v>
                </c:pt>
                <c:pt idx="817">
                  <c:v>7.2849633251833747</c:v>
                </c:pt>
                <c:pt idx="818">
                  <c:v>7.2797313797313805</c:v>
                </c:pt>
                <c:pt idx="819">
                  <c:v>7.274512195121952</c:v>
                </c:pt>
                <c:pt idx="820">
                  <c:v>7.2693057247259443</c:v>
                </c:pt>
                <c:pt idx="821">
                  <c:v>7.2641119221411197</c:v>
                </c:pt>
                <c:pt idx="822">
                  <c:v>7.258930741190766</c:v>
                </c:pt>
                <c:pt idx="823">
                  <c:v>7.2537621359223303</c:v>
                </c:pt>
                <c:pt idx="824">
                  <c:v>7.2486060606060612</c:v>
                </c:pt>
                <c:pt idx="825">
                  <c:v>7.2434624697336565</c:v>
                </c:pt>
                <c:pt idx="826">
                  <c:v>7.2383313180169289</c:v>
                </c:pt>
                <c:pt idx="827">
                  <c:v>7.2332125603864741</c:v>
                </c:pt>
                <c:pt idx="828">
                  <c:v>7.2281061519903504</c:v>
                </c:pt>
                <c:pt idx="829">
                  <c:v>7.2230120481927713</c:v>
                </c:pt>
                <c:pt idx="830">
                  <c:v>7.217930204572804</c:v>
                </c:pt>
                <c:pt idx="831">
                  <c:v>7.2128605769230774</c:v>
                </c:pt>
                <c:pt idx="832">
                  <c:v>7.2078031212484994</c:v>
                </c:pt>
                <c:pt idx="833">
                  <c:v>7.202757793764988</c:v>
                </c:pt>
                <c:pt idx="834">
                  <c:v>7.1977245508982044</c:v>
                </c:pt>
                <c:pt idx="835">
                  <c:v>7.1927033492822972</c:v>
                </c:pt>
                <c:pt idx="836">
                  <c:v>7.1876941457586625</c:v>
                </c:pt>
                <c:pt idx="837">
                  <c:v>7.1826968973747025</c:v>
                </c:pt>
                <c:pt idx="838">
                  <c:v>7.1777115613825986</c:v>
                </c:pt>
                <c:pt idx="839">
                  <c:v>7.1727380952380955</c:v>
                </c:pt>
                <c:pt idx="840">
                  <c:v>7.1677764565992872</c:v>
                </c:pt>
                <c:pt idx="841">
                  <c:v>7.1628266033254162</c:v>
                </c:pt>
                <c:pt idx="842">
                  <c:v>7.1578884934756823</c:v>
                </c:pt>
                <c:pt idx="843">
                  <c:v>7.1529620853080571</c:v>
                </c:pt>
                <c:pt idx="844">
                  <c:v>7.1480473372781068</c:v>
                </c:pt>
                <c:pt idx="845">
                  <c:v>7.1431442080378256</c:v>
                </c:pt>
                <c:pt idx="846">
                  <c:v>7.1382526564344753</c:v>
                </c:pt>
                <c:pt idx="847">
                  <c:v>7.1333726415094345</c:v>
                </c:pt>
                <c:pt idx="848">
                  <c:v>7.1285041224970556</c:v>
                </c:pt>
                <c:pt idx="849">
                  <c:v>7.1236470588235301</c:v>
                </c:pt>
                <c:pt idx="850">
                  <c:v>7.1188014101057586</c:v>
                </c:pt>
                <c:pt idx="851">
                  <c:v>7.1139671361502348</c:v>
                </c:pt>
                <c:pt idx="852">
                  <c:v>7.1091441969519344</c:v>
                </c:pt>
                <c:pt idx="853">
                  <c:v>7.1043325526932088</c:v>
                </c:pt>
                <c:pt idx="854">
                  <c:v>7.0995321637426905</c:v>
                </c:pt>
                <c:pt idx="855">
                  <c:v>7.0947429906542059</c:v>
                </c:pt>
                <c:pt idx="856">
                  <c:v>7.0899649941656948</c:v>
                </c:pt>
                <c:pt idx="857">
                  <c:v>7.0851981351981355</c:v>
                </c:pt>
                <c:pt idx="858">
                  <c:v>7.0804423748544822</c:v>
                </c:pt>
                <c:pt idx="859">
                  <c:v>7.0756976744186053</c:v>
                </c:pt>
                <c:pt idx="860">
                  <c:v>7.0709639953542398</c:v>
                </c:pt>
                <c:pt idx="861">
                  <c:v>7.066241299303945</c:v>
                </c:pt>
                <c:pt idx="862">
                  <c:v>7.0615295480880649</c:v>
                </c:pt>
                <c:pt idx="863">
                  <c:v>7.0568287037037045</c:v>
                </c:pt>
                <c:pt idx="864">
                  <c:v>7.0521387283237003</c:v>
                </c:pt>
                <c:pt idx="865">
                  <c:v>7.0474595842956127</c:v>
                </c:pt>
                <c:pt idx="866">
                  <c:v>7.042791234140716</c:v>
                </c:pt>
                <c:pt idx="867">
                  <c:v>7.0381336405529957</c:v>
                </c:pt>
                <c:pt idx="868">
                  <c:v>7.0334867663981591</c:v>
                </c:pt>
                <c:pt idx="869">
                  <c:v>7.028850574712644</c:v>
                </c:pt>
                <c:pt idx="870">
                  <c:v>7.0242250287026406</c:v>
                </c:pt>
                <c:pt idx="871">
                  <c:v>7.0196100917431199</c:v>
                </c:pt>
                <c:pt idx="872">
                  <c:v>7.0150057273768622</c:v>
                </c:pt>
                <c:pt idx="873">
                  <c:v>7.0104118993135014</c:v>
                </c:pt>
                <c:pt idx="874">
                  <c:v>7.0058285714285722</c:v>
                </c:pt>
                <c:pt idx="875">
                  <c:v>7.0012557077625575</c:v>
                </c:pt>
                <c:pt idx="876">
                  <c:v>6.9966932725199547</c:v>
                </c:pt>
                <c:pt idx="877">
                  <c:v>6.9921412300683379</c:v>
                </c:pt>
                <c:pt idx="878">
                  <c:v>6.9875995449374297</c:v>
                </c:pt>
                <c:pt idx="879">
                  <c:v>6.9830681818181821</c:v>
                </c:pt>
                <c:pt idx="880">
                  <c:v>6.9785471055618622</c:v>
                </c:pt>
                <c:pt idx="881">
                  <c:v>6.9740362811791385</c:v>
                </c:pt>
                <c:pt idx="882">
                  <c:v>6.9695356738391849</c:v>
                </c:pt>
                <c:pt idx="883">
                  <c:v>6.9650452488687788</c:v>
                </c:pt>
                <c:pt idx="884">
                  <c:v>6.9605649717514124</c:v>
                </c:pt>
                <c:pt idx="885">
                  <c:v>6.9560948081264113</c:v>
                </c:pt>
                <c:pt idx="886">
                  <c:v>6.9516347237880503</c:v>
                </c:pt>
                <c:pt idx="887">
                  <c:v>6.947184684684685</c:v>
                </c:pt>
                <c:pt idx="888">
                  <c:v>6.9427446569178857</c:v>
                </c:pt>
                <c:pt idx="889">
                  <c:v>6.9383146067415735</c:v>
                </c:pt>
                <c:pt idx="890">
                  <c:v>6.9338945005611681</c:v>
                </c:pt>
                <c:pt idx="891">
                  <c:v>6.9294843049327355</c:v>
                </c:pt>
                <c:pt idx="892">
                  <c:v>6.9250839865621501</c:v>
                </c:pt>
                <c:pt idx="893">
                  <c:v>6.9206935123042506</c:v>
                </c:pt>
                <c:pt idx="894">
                  <c:v>6.9163128491620114</c:v>
                </c:pt>
                <c:pt idx="895">
                  <c:v>6.9119419642857149</c:v>
                </c:pt>
                <c:pt idx="896">
                  <c:v>6.90758082497213</c:v>
                </c:pt>
                <c:pt idx="897">
                  <c:v>6.9032293986636972</c:v>
                </c:pt>
                <c:pt idx="898">
                  <c:v>6.8988876529477201</c:v>
                </c:pt>
                <c:pt idx="899">
                  <c:v>6.8945555555555558</c:v>
                </c:pt>
                <c:pt idx="900">
                  <c:v>6.890233074361821</c:v>
                </c:pt>
                <c:pt idx="901">
                  <c:v>6.8859201773835927</c:v>
                </c:pt>
                <c:pt idx="902">
                  <c:v>6.8816168327796241</c:v>
                </c:pt>
                <c:pt idx="903">
                  <c:v>6.8773230088495581</c:v>
                </c:pt>
                <c:pt idx="904">
                  <c:v>6.8730386740331495</c:v>
                </c:pt>
                <c:pt idx="905">
                  <c:v>6.8687637969094926</c:v>
                </c:pt>
                <c:pt idx="906">
                  <c:v>6.8644983461962514</c:v>
                </c:pt>
                <c:pt idx="907">
                  <c:v>6.8602422907488991</c:v>
                </c:pt>
                <c:pt idx="908">
                  <c:v>6.8559955995599564</c:v>
                </c:pt>
                <c:pt idx="909">
                  <c:v>6.8517582417582421</c:v>
                </c:pt>
                <c:pt idx="910">
                  <c:v>6.8475301866081235</c:v>
                </c:pt>
                <c:pt idx="911">
                  <c:v>6.8433114035087721</c:v>
                </c:pt>
                <c:pt idx="912">
                  <c:v>6.839101861993429</c:v>
                </c:pt>
                <c:pt idx="913">
                  <c:v>6.8349015317286659</c:v>
                </c:pt>
                <c:pt idx="914">
                  <c:v>6.8307103825136615</c:v>
                </c:pt>
                <c:pt idx="915">
                  <c:v>6.8265283842794764</c:v>
                </c:pt>
                <c:pt idx="916">
                  <c:v>6.8223555070883322</c:v>
                </c:pt>
                <c:pt idx="917">
                  <c:v>6.818191721132898</c:v>
                </c:pt>
                <c:pt idx="918">
                  <c:v>6.8140369967355827</c:v>
                </c:pt>
                <c:pt idx="919">
                  <c:v>6.8098913043478264</c:v>
                </c:pt>
                <c:pt idx="920">
                  <c:v>6.8057546145494028</c:v>
                </c:pt>
                <c:pt idx="921">
                  <c:v>6.801626898047723</c:v>
                </c:pt>
                <c:pt idx="922">
                  <c:v>6.7975081256771404</c:v>
                </c:pt>
                <c:pt idx="923">
                  <c:v>6.7933982683982688</c:v>
                </c:pt>
                <c:pt idx="924">
                  <c:v>6.7892972972972974</c:v>
                </c:pt>
                <c:pt idx="925">
                  <c:v>6.7852051835853135</c:v>
                </c:pt>
                <c:pt idx="926">
                  <c:v>6.7811218985976272</c:v>
                </c:pt>
                <c:pt idx="927">
                  <c:v>6.7770474137931043</c:v>
                </c:pt>
                <c:pt idx="928">
                  <c:v>6.7729817007534985</c:v>
                </c:pt>
                <c:pt idx="929">
                  <c:v>6.7689247311827963</c:v>
                </c:pt>
                <c:pt idx="930">
                  <c:v>6.7648764769065526</c:v>
                </c:pt>
                <c:pt idx="931">
                  <c:v>6.7608369098712453</c:v>
                </c:pt>
                <c:pt idx="932">
                  <c:v>6.7568060021436231</c:v>
                </c:pt>
                <c:pt idx="933">
                  <c:v>6.7527837259100645</c:v>
                </c:pt>
                <c:pt idx="934">
                  <c:v>6.7487700534759361</c:v>
                </c:pt>
                <c:pt idx="935">
                  <c:v>6.7447649572649579</c:v>
                </c:pt>
                <c:pt idx="936">
                  <c:v>6.7407684098185703</c:v>
                </c:pt>
                <c:pt idx="937">
                  <c:v>6.7367803837953097</c:v>
                </c:pt>
                <c:pt idx="938">
                  <c:v>6.7328008519701816</c:v>
                </c:pt>
                <c:pt idx="939">
                  <c:v>6.7288297872340426</c:v>
                </c:pt>
                <c:pt idx="940">
                  <c:v>6.7248671625929868</c:v>
                </c:pt>
                <c:pt idx="941">
                  <c:v>6.7209129511677288</c:v>
                </c:pt>
                <c:pt idx="942">
                  <c:v>6.7169671261930013</c:v>
                </c:pt>
                <c:pt idx="943">
                  <c:v>6.7130296610169493</c:v>
                </c:pt>
                <c:pt idx="944">
                  <c:v>6.7091005291005299</c:v>
                </c:pt>
                <c:pt idx="945">
                  <c:v>6.7051797040169134</c:v>
                </c:pt>
                <c:pt idx="946">
                  <c:v>6.7012671594508983</c:v>
                </c:pt>
                <c:pt idx="947">
                  <c:v>6.6973628691983125</c:v>
                </c:pt>
                <c:pt idx="948">
                  <c:v>6.6934668071654375</c:v>
                </c:pt>
                <c:pt idx="949">
                  <c:v>6.6895789473684211</c:v>
                </c:pt>
                <c:pt idx="950">
                  <c:v>6.6856992639327029</c:v>
                </c:pt>
                <c:pt idx="951">
                  <c:v>6.6818277310924374</c:v>
                </c:pt>
                <c:pt idx="952">
                  <c:v>6.6779643231899266</c:v>
                </c:pt>
                <c:pt idx="953">
                  <c:v>6.6741090146750528</c:v>
                </c:pt>
                <c:pt idx="954">
                  <c:v>6.6702617801047124</c:v>
                </c:pt>
                <c:pt idx="955">
                  <c:v>6.6664225941422597</c:v>
                </c:pt>
                <c:pt idx="956">
                  <c:v>6.6625914315569492</c:v>
                </c:pt>
                <c:pt idx="957">
                  <c:v>6.6587682672233823</c:v>
                </c:pt>
                <c:pt idx="958">
                  <c:v>6.6549530761209601</c:v>
                </c:pt>
                <c:pt idx="959">
                  <c:v>6.6511458333333335</c:v>
                </c:pt>
                <c:pt idx="960">
                  <c:v>6.6473465140478671</c:v>
                </c:pt>
                <c:pt idx="961">
                  <c:v>6.6435550935550935</c:v>
                </c:pt>
                <c:pt idx="962">
                  <c:v>6.6397715472481833</c:v>
                </c:pt>
                <c:pt idx="963">
                  <c:v>6.6359958506224066</c:v>
                </c:pt>
                <c:pt idx="964">
                  <c:v>6.6322279792746119</c:v>
                </c:pt>
                <c:pt idx="965">
                  <c:v>6.6284679089026923</c:v>
                </c:pt>
                <c:pt idx="966">
                  <c:v>6.6247156153050675</c:v>
                </c:pt>
                <c:pt idx="967">
                  <c:v>6.620971074380166</c:v>
                </c:pt>
                <c:pt idx="968">
                  <c:v>6.617234262125903</c:v>
                </c:pt>
                <c:pt idx="969">
                  <c:v>6.6135051546391752</c:v>
                </c:pt>
                <c:pt idx="970">
                  <c:v>6.6097837281153451</c:v>
                </c:pt>
                <c:pt idx="971">
                  <c:v>6.606069958847737</c:v>
                </c:pt>
                <c:pt idx="972">
                  <c:v>6.6023638232271331</c:v>
                </c:pt>
                <c:pt idx="973">
                  <c:v>6.5986652977412739</c:v>
                </c:pt>
                <c:pt idx="974">
                  <c:v>6.5949743589743592</c:v>
                </c:pt>
                <c:pt idx="975">
                  <c:v>6.5912909836065579</c:v>
                </c:pt>
                <c:pt idx="976">
                  <c:v>6.5876151484135113</c:v>
                </c:pt>
                <c:pt idx="977">
                  <c:v>6.583946830265849</c:v>
                </c:pt>
                <c:pt idx="978">
                  <c:v>6.580286006128703</c:v>
                </c:pt>
                <c:pt idx="979">
                  <c:v>6.5766326530612247</c:v>
                </c:pt>
                <c:pt idx="980">
                  <c:v>6.5729867482161062</c:v>
                </c:pt>
                <c:pt idx="981">
                  <c:v>6.5693482688391045</c:v>
                </c:pt>
                <c:pt idx="982">
                  <c:v>6.5657171922685658</c:v>
                </c:pt>
                <c:pt idx="983">
                  <c:v>6.5620934959349597</c:v>
                </c:pt>
                <c:pt idx="984">
                  <c:v>6.5584771573604064</c:v>
                </c:pt>
                <c:pt idx="985">
                  <c:v>6.554868154158215</c:v>
                </c:pt>
                <c:pt idx="986">
                  <c:v>6.5512664640324214</c:v>
                </c:pt>
                <c:pt idx="987">
                  <c:v>6.5476720647773279</c:v>
                </c:pt>
                <c:pt idx="988">
                  <c:v>6.5440849342770475</c:v>
                </c:pt>
                <c:pt idx="989">
                  <c:v>6.5405050505050513</c:v>
                </c:pt>
                <c:pt idx="990">
                  <c:v>6.5369323915237141</c:v>
                </c:pt>
                <c:pt idx="991">
                  <c:v>6.5333669354838717</c:v>
                </c:pt>
                <c:pt idx="992">
                  <c:v>6.5298086606243713</c:v>
                </c:pt>
                <c:pt idx="993">
                  <c:v>6.5262575452716298</c:v>
                </c:pt>
                <c:pt idx="994">
                  <c:v>6.5227135678391965</c:v>
                </c:pt>
                <c:pt idx="995">
                  <c:v>6.5191767068273094</c:v>
                </c:pt>
                <c:pt idx="996">
                  <c:v>6.5156469408224682</c:v>
                </c:pt>
                <c:pt idx="997">
                  <c:v>6.5121242484969946</c:v>
                </c:pt>
                <c:pt idx="998">
                  <c:v>6.5086086086086086</c:v>
                </c:pt>
                <c:pt idx="999">
                  <c:v>6.5051000000000005</c:v>
                </c:pt>
                <c:pt idx="1000">
                  <c:v>6.5015984015984021</c:v>
                </c:pt>
                <c:pt idx="1001">
                  <c:v>6.4981037924151703</c:v>
                </c:pt>
                <c:pt idx="1002">
                  <c:v>6.4946161515453644</c:v>
                </c:pt>
                <c:pt idx="1003">
                  <c:v>6.4911354581673306</c:v>
                </c:pt>
                <c:pt idx="1004">
                  <c:v>6.4876616915422893</c:v>
                </c:pt>
                <c:pt idx="1005">
                  <c:v>6.4841948310139168</c:v>
                </c:pt>
                <c:pt idx="1006">
                  <c:v>6.4807348560079445</c:v>
                </c:pt>
                <c:pt idx="1007">
                  <c:v>6.4772817460317462</c:v>
                </c:pt>
                <c:pt idx="1008">
                  <c:v>6.4738354806739347</c:v>
                </c:pt>
                <c:pt idx="1009">
                  <c:v>6.470396039603961</c:v>
                </c:pt>
                <c:pt idx="1010">
                  <c:v>6.4669634025717118</c:v>
                </c:pt>
                <c:pt idx="1011">
                  <c:v>6.463537549407115</c:v>
                </c:pt>
                <c:pt idx="1012">
                  <c:v>6.4601184600197437</c:v>
                </c:pt>
                <c:pt idx="1013">
                  <c:v>6.4567061143984228</c:v>
                </c:pt>
                <c:pt idx="1014">
                  <c:v>6.4533004926108379</c:v>
                </c:pt>
                <c:pt idx="1015">
                  <c:v>6.4499015748031496</c:v>
                </c:pt>
                <c:pt idx="1016">
                  <c:v>6.4465093411996071</c:v>
                </c:pt>
                <c:pt idx="1017">
                  <c:v>6.4431237721021617</c:v>
                </c:pt>
                <c:pt idx="1018">
                  <c:v>6.4397448478900889</c:v>
                </c:pt>
                <c:pt idx="1019">
                  <c:v>6.436372549019608</c:v>
                </c:pt>
                <c:pt idx="1020">
                  <c:v>6.433006856023507</c:v>
                </c:pt>
                <c:pt idx="1021">
                  <c:v>6.4296477495107638</c:v>
                </c:pt>
                <c:pt idx="1022">
                  <c:v>6.4262952101661783</c:v>
                </c:pt>
                <c:pt idx="1023">
                  <c:v>6.4229492187500004</c:v>
                </c:pt>
                <c:pt idx="1024">
                  <c:v>6.4196097560975609</c:v>
                </c:pt>
                <c:pt idx="1025">
                  <c:v>6.416276803118909</c:v>
                </c:pt>
                <c:pt idx="1026">
                  <c:v>6.4129503407984423</c:v>
                </c:pt>
                <c:pt idx="1027">
                  <c:v>6.4096303501945533</c:v>
                </c:pt>
                <c:pt idx="1028">
                  <c:v>6.406316812439262</c:v>
                </c:pt>
                <c:pt idx="1029">
                  <c:v>6.4030097087378648</c:v>
                </c:pt>
                <c:pt idx="1030">
                  <c:v>6.3997090203685749</c:v>
                </c:pt>
                <c:pt idx="1031">
                  <c:v>6.3964147286821706</c:v>
                </c:pt>
                <c:pt idx="1032">
                  <c:v>6.3931268151016463</c:v>
                </c:pt>
                <c:pt idx="1033">
                  <c:v>6.3898452611218568</c:v>
                </c:pt>
                <c:pt idx="1034">
                  <c:v>6.3865700483091787</c:v>
                </c:pt>
                <c:pt idx="1035">
                  <c:v>6.3833011583011583</c:v>
                </c:pt>
                <c:pt idx="1036">
                  <c:v>6.3800385728061721</c:v>
                </c:pt>
                <c:pt idx="1037">
                  <c:v>6.3767822736030828</c:v>
                </c:pt>
                <c:pt idx="1038">
                  <c:v>6.3735322425409047</c:v>
                </c:pt>
                <c:pt idx="1039">
                  <c:v>6.3702884615384621</c:v>
                </c:pt>
                <c:pt idx="1040">
                  <c:v>6.3670509125840544</c:v>
                </c:pt>
                <c:pt idx="1041">
                  <c:v>6.363819577735125</c:v>
                </c:pt>
                <c:pt idx="1042">
                  <c:v>6.3605944391179294</c:v>
                </c:pt>
                <c:pt idx="1043">
                  <c:v>6.357375478927203</c:v>
                </c:pt>
                <c:pt idx="1044">
                  <c:v>6.3541626794258379</c:v>
                </c:pt>
                <c:pt idx="1045">
                  <c:v>6.3509560229445512</c:v>
                </c:pt>
                <c:pt idx="1046">
                  <c:v>6.3477554918815668</c:v>
                </c:pt>
                <c:pt idx="1047">
                  <c:v>6.3445610687022906</c:v>
                </c:pt>
                <c:pt idx="1048">
                  <c:v>6.3413727359389895</c:v>
                </c:pt>
                <c:pt idx="1049">
                  <c:v>6.3381904761904764</c:v>
                </c:pt>
                <c:pt idx="1050">
                  <c:v>6.3350142721217892</c:v>
                </c:pt>
                <c:pt idx="1051">
                  <c:v>6.3318441064638789</c:v>
                </c:pt>
                <c:pt idx="1052">
                  <c:v>6.3286799620132959</c:v>
                </c:pt>
                <c:pt idx="1053">
                  <c:v>6.3255218216318791</c:v>
                </c:pt>
                <c:pt idx="1054">
                  <c:v>6.3223696682464459</c:v>
                </c:pt>
                <c:pt idx="1055">
                  <c:v>6.319223484848485</c:v>
                </c:pt>
                <c:pt idx="1056">
                  <c:v>6.3160832544938508</c:v>
                </c:pt>
                <c:pt idx="1057">
                  <c:v>6.3129489603024576</c:v>
                </c:pt>
                <c:pt idx="1058">
                  <c:v>6.3098205854579792</c:v>
                </c:pt>
                <c:pt idx="1059">
                  <c:v>6.3066981132075473</c:v>
                </c:pt>
                <c:pt idx="1060">
                  <c:v>6.3035815268614517</c:v>
                </c:pt>
                <c:pt idx="1061">
                  <c:v>6.3004708097928441</c:v>
                </c:pt>
                <c:pt idx="1062">
                  <c:v>6.2973659454374413</c:v>
                </c:pt>
                <c:pt idx="1063">
                  <c:v>6.2942669172932337</c:v>
                </c:pt>
                <c:pt idx="1064">
                  <c:v>6.291173708920188</c:v>
                </c:pt>
                <c:pt idx="1065">
                  <c:v>6.2880863039399628</c:v>
                </c:pt>
                <c:pt idx="1066">
                  <c:v>6.2850046860356139</c:v>
                </c:pt>
                <c:pt idx="1067">
                  <c:v>6.2819288389513108</c:v>
                </c:pt>
                <c:pt idx="1068">
                  <c:v>6.2788587464920491</c:v>
                </c:pt>
                <c:pt idx="1069">
                  <c:v>6.2757943925233652</c:v>
                </c:pt>
                <c:pt idx="1070">
                  <c:v>6.272735760971055</c:v>
                </c:pt>
                <c:pt idx="1071">
                  <c:v>6.2696828358208956</c:v>
                </c:pt>
                <c:pt idx="1072">
                  <c:v>6.2666356011183604</c:v>
                </c:pt>
                <c:pt idx="1073">
                  <c:v>6.2635940409683428</c:v>
                </c:pt>
                <c:pt idx="1074">
                  <c:v>6.2605581395348837</c:v>
                </c:pt>
                <c:pt idx="1075">
                  <c:v>6.2575278810408923</c:v>
                </c:pt>
                <c:pt idx="1076">
                  <c:v>6.2545032497678736</c:v>
                </c:pt>
                <c:pt idx="1077">
                  <c:v>6.2514842300556586</c:v>
                </c:pt>
                <c:pt idx="1078">
                  <c:v>6.2484708063021319</c:v>
                </c:pt>
                <c:pt idx="1079">
                  <c:v>6.2454629629629634</c:v>
                </c:pt>
                <c:pt idx="1080">
                  <c:v>6.2424606845513413</c:v>
                </c:pt>
                <c:pt idx="1081">
                  <c:v>6.2394639556377083</c:v>
                </c:pt>
                <c:pt idx="1082">
                  <c:v>6.2364727608494928</c:v>
                </c:pt>
                <c:pt idx="1083">
                  <c:v>6.2334870848708492</c:v>
                </c:pt>
                <c:pt idx="1084">
                  <c:v>6.2305069124423964</c:v>
                </c:pt>
                <c:pt idx="1085">
                  <c:v>6.2275322283609578</c:v>
                </c:pt>
                <c:pt idx="1086">
                  <c:v>6.2245630174793014</c:v>
                </c:pt>
                <c:pt idx="1087">
                  <c:v>6.2215992647058824</c:v>
                </c:pt>
                <c:pt idx="1088">
                  <c:v>6.2186409550045916</c:v>
                </c:pt>
                <c:pt idx="1089">
                  <c:v>6.2156880733944959</c:v>
                </c:pt>
                <c:pt idx="1090">
                  <c:v>6.2127406049495875</c:v>
                </c:pt>
                <c:pt idx="1091">
                  <c:v>6.2097985347985354</c:v>
                </c:pt>
                <c:pt idx="1092">
                  <c:v>6.2068618481244284</c:v>
                </c:pt>
                <c:pt idx="1093">
                  <c:v>6.2039305301645342</c:v>
                </c:pt>
                <c:pt idx="1094">
                  <c:v>6.2010045662100461</c:v>
                </c:pt>
                <c:pt idx="1095">
                  <c:v>6.19808394160584</c:v>
                </c:pt>
                <c:pt idx="1096">
                  <c:v>6.1951686417502279</c:v>
                </c:pt>
                <c:pt idx="1097">
                  <c:v>6.1922586520947176</c:v>
                </c:pt>
                <c:pt idx="1098">
                  <c:v>6.1893539581437675</c:v>
                </c:pt>
                <c:pt idx="1099">
                  <c:v>6.1864545454545459</c:v>
                </c:pt>
                <c:pt idx="1100">
                  <c:v>6.1835603996366943</c:v>
                </c:pt>
                <c:pt idx="1101">
                  <c:v>6.1806715063520876</c:v>
                </c:pt>
                <c:pt idx="1102">
                  <c:v>6.177787851314597</c:v>
                </c:pt>
                <c:pt idx="1103">
                  <c:v>6.1749094202898558</c:v>
                </c:pt>
                <c:pt idx="1104">
                  <c:v>6.1720361990950225</c:v>
                </c:pt>
                <c:pt idx="1105">
                  <c:v>6.1691681735985533</c:v>
                </c:pt>
                <c:pt idx="1106">
                  <c:v>6.1663053297199646</c:v>
                </c:pt>
                <c:pt idx="1107">
                  <c:v>6.1634476534296034</c:v>
                </c:pt>
                <c:pt idx="1108">
                  <c:v>6.1605951307484226</c:v>
                </c:pt>
                <c:pt idx="1109">
                  <c:v>6.1577477477477478</c:v>
                </c:pt>
                <c:pt idx="1110">
                  <c:v>6.154905490549055</c:v>
                </c:pt>
                <c:pt idx="1111">
                  <c:v>6.152068345323741</c:v>
                </c:pt>
                <c:pt idx="1112">
                  <c:v>6.1492362982929025</c:v>
                </c:pt>
                <c:pt idx="1113">
                  <c:v>6.1464093357271095</c:v>
                </c:pt>
                <c:pt idx="1114">
                  <c:v>6.1435874439461884</c:v>
                </c:pt>
                <c:pt idx="1115">
                  <c:v>6.1407706093189969</c:v>
                </c:pt>
                <c:pt idx="1116">
                  <c:v>6.137958818263205</c:v>
                </c:pt>
                <c:pt idx="1117">
                  <c:v>6.1351520572450804</c:v>
                </c:pt>
                <c:pt idx="1118">
                  <c:v>6.1323503127792671</c:v>
                </c:pt>
                <c:pt idx="1119">
                  <c:v>6.1295535714285716</c:v>
                </c:pt>
                <c:pt idx="1120">
                  <c:v>6.1267618198037468</c:v>
                </c:pt>
                <c:pt idx="1121">
                  <c:v>10.139714652406417</c:v>
                </c:pt>
                <c:pt idx="1122">
                  <c:v>10.13068552092609</c:v>
                </c:pt>
                <c:pt idx="1123">
                  <c:v>10.121672455516013</c:v>
                </c:pt>
                <c:pt idx="1124">
                  <c:v>10.112675413333331</c:v>
                </c:pt>
                <c:pt idx="1125">
                  <c:v>10.103694351687388</c:v>
                </c:pt>
                <c:pt idx="1126">
                  <c:v>10.094729228039041</c:v>
                </c:pt>
                <c:pt idx="1127">
                  <c:v>10.08578</c:v>
                </c:pt>
                <c:pt idx="1128">
                  <c:v>10.076846625332152</c:v>
                </c:pt>
                <c:pt idx="1129">
                  <c:v>10.067929061946902</c:v>
                </c:pt>
              </c:numCache>
            </c:numRef>
          </c:val>
          <c:smooth val="0"/>
          <c:extLst>
            <c:ext xmlns:c16="http://schemas.microsoft.com/office/drawing/2014/chart" uri="{C3380CC4-5D6E-409C-BE32-E72D297353CC}">
              <c16:uniqueId val="{00000000-97B8-46AE-9163-E36C09295B1D}"/>
            </c:ext>
          </c:extLst>
        </c:ser>
        <c:dLbls>
          <c:showLegendKey val="0"/>
          <c:showVal val="0"/>
          <c:showCatName val="0"/>
          <c:showSerName val="0"/>
          <c:showPercent val="0"/>
          <c:showBubbleSize val="0"/>
        </c:dLbls>
        <c:marker val="1"/>
        <c:smooth val="0"/>
        <c:axId val="1374161647"/>
        <c:axId val="1954012511"/>
      </c:lineChart>
      <c:lineChart>
        <c:grouping val="standard"/>
        <c:varyColors val="0"/>
        <c:ser>
          <c:idx val="1"/>
          <c:order val="1"/>
          <c:tx>
            <c:strRef>
              <c:f>'T9. Shipping'!$AD$38</c:f>
              <c:strCache>
                <c:ptCount val="1"/>
                <c:pt idx="0">
                  <c:v>Pallet only Price</c:v>
                </c:pt>
              </c:strCache>
            </c:strRef>
          </c:tx>
          <c:spPr>
            <a:ln w="28575" cap="rnd">
              <a:solidFill>
                <a:schemeClr val="accent2"/>
              </a:solidFill>
              <a:round/>
            </a:ln>
            <a:effectLst/>
          </c:spPr>
          <c:marker>
            <c:symbol val="none"/>
          </c:marker>
          <c:val>
            <c:numRef>
              <c:f>'T9. Shipping'!$AD$39:$AD$1168</c:f>
              <c:numCache>
                <c:formatCode>_-[$$-409]* #,##0_ ;_-[$$-409]* \-#,##0\ ;_-[$$-409]* "-"??_ ;_-@_ </c:formatCode>
                <c:ptCount val="1130"/>
                <c:pt idx="0">
                  <c:v>5888.3799199999994</c:v>
                </c:pt>
                <c:pt idx="1">
                  <c:v>5888.3799199999994</c:v>
                </c:pt>
                <c:pt idx="2">
                  <c:v>5888.3799199999994</c:v>
                </c:pt>
                <c:pt idx="3">
                  <c:v>5888.3799199999994</c:v>
                </c:pt>
                <c:pt idx="4">
                  <c:v>5888.3799199999994</c:v>
                </c:pt>
                <c:pt idx="5">
                  <c:v>5888.3799199999994</c:v>
                </c:pt>
                <c:pt idx="6">
                  <c:v>5888.3799199999994</c:v>
                </c:pt>
                <c:pt idx="7">
                  <c:v>5888.3799199999994</c:v>
                </c:pt>
                <c:pt idx="8">
                  <c:v>5888.3799199999994</c:v>
                </c:pt>
                <c:pt idx="9">
                  <c:v>5888.3799199999994</c:v>
                </c:pt>
                <c:pt idx="10">
                  <c:v>5888.3799199999994</c:v>
                </c:pt>
                <c:pt idx="11">
                  <c:v>5888.3799199999994</c:v>
                </c:pt>
                <c:pt idx="12">
                  <c:v>5888.3799199999994</c:v>
                </c:pt>
                <c:pt idx="13">
                  <c:v>5888.3799199999994</c:v>
                </c:pt>
                <c:pt idx="14">
                  <c:v>5888.3799199999994</c:v>
                </c:pt>
                <c:pt idx="15">
                  <c:v>5888.3799199999994</c:v>
                </c:pt>
                <c:pt idx="16">
                  <c:v>5888.3799199999994</c:v>
                </c:pt>
                <c:pt idx="17">
                  <c:v>5888.3799199999994</c:v>
                </c:pt>
                <c:pt idx="18">
                  <c:v>5888.3799199999994</c:v>
                </c:pt>
                <c:pt idx="19">
                  <c:v>5888.3799199999994</c:v>
                </c:pt>
                <c:pt idx="20">
                  <c:v>5888.3799199999994</c:v>
                </c:pt>
                <c:pt idx="21">
                  <c:v>5888.3799199999994</c:v>
                </c:pt>
                <c:pt idx="22">
                  <c:v>5888.3799199999994</c:v>
                </c:pt>
                <c:pt idx="23">
                  <c:v>5888.3799199999994</c:v>
                </c:pt>
                <c:pt idx="24">
                  <c:v>5888.3799199999994</c:v>
                </c:pt>
                <c:pt idx="25">
                  <c:v>5888.3799199999994</c:v>
                </c:pt>
                <c:pt idx="26">
                  <c:v>5888.3799199999994</c:v>
                </c:pt>
                <c:pt idx="27">
                  <c:v>5888.3799199999994</c:v>
                </c:pt>
                <c:pt idx="28">
                  <c:v>5888.3799199999994</c:v>
                </c:pt>
                <c:pt idx="29">
                  <c:v>5888.3799199999994</c:v>
                </c:pt>
                <c:pt idx="30">
                  <c:v>5888.3799199999994</c:v>
                </c:pt>
                <c:pt idx="31">
                  <c:v>5888.3799199999994</c:v>
                </c:pt>
                <c:pt idx="32">
                  <c:v>5888.3799199999994</c:v>
                </c:pt>
                <c:pt idx="33">
                  <c:v>5888.3799199999994</c:v>
                </c:pt>
                <c:pt idx="34">
                  <c:v>5888.3799199999994</c:v>
                </c:pt>
                <c:pt idx="35">
                  <c:v>5888.3799199999994</c:v>
                </c:pt>
                <c:pt idx="36">
                  <c:v>5888.3799199999994</c:v>
                </c:pt>
                <c:pt idx="37">
                  <c:v>5888.3799199999994</c:v>
                </c:pt>
                <c:pt idx="38">
                  <c:v>5888.3799199999994</c:v>
                </c:pt>
                <c:pt idx="39">
                  <c:v>5888.3799199999994</c:v>
                </c:pt>
                <c:pt idx="40">
                  <c:v>5888.3799199999994</c:v>
                </c:pt>
                <c:pt idx="41">
                  <c:v>5888.3799199999994</c:v>
                </c:pt>
                <c:pt idx="42">
                  <c:v>5888.3799199999994</c:v>
                </c:pt>
                <c:pt idx="43">
                  <c:v>5888.3799199999994</c:v>
                </c:pt>
                <c:pt idx="44">
                  <c:v>5888.3799199999994</c:v>
                </c:pt>
                <c:pt idx="45">
                  <c:v>5888.3799199999994</c:v>
                </c:pt>
                <c:pt idx="46">
                  <c:v>5888.3799199999994</c:v>
                </c:pt>
                <c:pt idx="47">
                  <c:v>5888.3799199999994</c:v>
                </c:pt>
                <c:pt idx="48">
                  <c:v>5888.3799199999994</c:v>
                </c:pt>
                <c:pt idx="49">
                  <c:v>5888.3799199999994</c:v>
                </c:pt>
                <c:pt idx="50">
                  <c:v>5888.3799199999994</c:v>
                </c:pt>
                <c:pt idx="51">
                  <c:v>5888.3799199999994</c:v>
                </c:pt>
                <c:pt idx="52">
                  <c:v>5888.3799199999994</c:v>
                </c:pt>
                <c:pt idx="53">
                  <c:v>5888.3799199999994</c:v>
                </c:pt>
                <c:pt idx="54">
                  <c:v>5888.3799199999994</c:v>
                </c:pt>
                <c:pt idx="55">
                  <c:v>5888.3799199999994</c:v>
                </c:pt>
                <c:pt idx="56">
                  <c:v>5888.3799199999994</c:v>
                </c:pt>
                <c:pt idx="57">
                  <c:v>5888.3799199999994</c:v>
                </c:pt>
                <c:pt idx="58">
                  <c:v>5888.3799199999994</c:v>
                </c:pt>
                <c:pt idx="59">
                  <c:v>5888.3799199999994</c:v>
                </c:pt>
                <c:pt idx="60">
                  <c:v>5888.3799199999994</c:v>
                </c:pt>
                <c:pt idx="61">
                  <c:v>5888.3799199999994</c:v>
                </c:pt>
                <c:pt idx="62">
                  <c:v>5888.3799199999994</c:v>
                </c:pt>
                <c:pt idx="63">
                  <c:v>5888.3799199999994</c:v>
                </c:pt>
                <c:pt idx="64">
                  <c:v>5888.3799199999994</c:v>
                </c:pt>
                <c:pt idx="65">
                  <c:v>5888.3799199999994</c:v>
                </c:pt>
                <c:pt idx="66">
                  <c:v>5888.3799199999994</c:v>
                </c:pt>
                <c:pt idx="67">
                  <c:v>5888.3799199999994</c:v>
                </c:pt>
                <c:pt idx="68">
                  <c:v>5888.3799199999994</c:v>
                </c:pt>
                <c:pt idx="69">
                  <c:v>5888.3799199999994</c:v>
                </c:pt>
                <c:pt idx="70">
                  <c:v>5888.3799199999994</c:v>
                </c:pt>
                <c:pt idx="71">
                  <c:v>5888.3799199999994</c:v>
                </c:pt>
                <c:pt idx="72">
                  <c:v>5888.3799199999994</c:v>
                </c:pt>
                <c:pt idx="73">
                  <c:v>5888.3799199999994</c:v>
                </c:pt>
                <c:pt idx="74">
                  <c:v>5888.3799199999994</c:v>
                </c:pt>
                <c:pt idx="75">
                  <c:v>5888.3799199999994</c:v>
                </c:pt>
                <c:pt idx="76">
                  <c:v>5888.3799199999994</c:v>
                </c:pt>
                <c:pt idx="77">
                  <c:v>5888.3799199999994</c:v>
                </c:pt>
                <c:pt idx="78">
                  <c:v>5888.3799199999994</c:v>
                </c:pt>
                <c:pt idx="79">
                  <c:v>5888.3799199999994</c:v>
                </c:pt>
                <c:pt idx="80">
                  <c:v>5888.3799199999994</c:v>
                </c:pt>
                <c:pt idx="81">
                  <c:v>5888.3799199999994</c:v>
                </c:pt>
                <c:pt idx="82">
                  <c:v>5888.3799199999994</c:v>
                </c:pt>
                <c:pt idx="83">
                  <c:v>5888.3799199999994</c:v>
                </c:pt>
                <c:pt idx="84">
                  <c:v>5888.3799199999994</c:v>
                </c:pt>
                <c:pt idx="85">
                  <c:v>5888.3799199999994</c:v>
                </c:pt>
                <c:pt idx="86">
                  <c:v>5888.3799199999994</c:v>
                </c:pt>
                <c:pt idx="87">
                  <c:v>5888.3799199999994</c:v>
                </c:pt>
                <c:pt idx="88">
                  <c:v>5888.3799199999994</c:v>
                </c:pt>
                <c:pt idx="89">
                  <c:v>5888.3799199999994</c:v>
                </c:pt>
                <c:pt idx="90">
                  <c:v>5888.3799199999994</c:v>
                </c:pt>
                <c:pt idx="91">
                  <c:v>5888.3799199999994</c:v>
                </c:pt>
                <c:pt idx="92">
                  <c:v>5888.3799199999994</c:v>
                </c:pt>
                <c:pt idx="93">
                  <c:v>5888.3799199999994</c:v>
                </c:pt>
                <c:pt idx="94">
                  <c:v>5888.3799199999994</c:v>
                </c:pt>
                <c:pt idx="95">
                  <c:v>5888.3799199999994</c:v>
                </c:pt>
                <c:pt idx="96">
                  <c:v>5888.3799199999994</c:v>
                </c:pt>
                <c:pt idx="97">
                  <c:v>5888.3799199999994</c:v>
                </c:pt>
                <c:pt idx="98">
                  <c:v>5888.3799199999994</c:v>
                </c:pt>
                <c:pt idx="99">
                  <c:v>5888.3799199999994</c:v>
                </c:pt>
                <c:pt idx="100">
                  <c:v>5888.3799199999994</c:v>
                </c:pt>
                <c:pt idx="101">
                  <c:v>5888.3799199999994</c:v>
                </c:pt>
                <c:pt idx="102">
                  <c:v>5888.3799199999994</c:v>
                </c:pt>
                <c:pt idx="103">
                  <c:v>5888.3799199999994</c:v>
                </c:pt>
                <c:pt idx="104">
                  <c:v>5888.3799199999994</c:v>
                </c:pt>
                <c:pt idx="105">
                  <c:v>5888.3799199999994</c:v>
                </c:pt>
                <c:pt idx="106">
                  <c:v>5888.3799199999994</c:v>
                </c:pt>
                <c:pt idx="107">
                  <c:v>5888.3799199999994</c:v>
                </c:pt>
                <c:pt idx="108">
                  <c:v>5888.3799199999994</c:v>
                </c:pt>
                <c:pt idx="109">
                  <c:v>5888.3799199999994</c:v>
                </c:pt>
                <c:pt idx="110">
                  <c:v>5888.3799199999994</c:v>
                </c:pt>
                <c:pt idx="111">
                  <c:v>5888.3799199999994</c:v>
                </c:pt>
                <c:pt idx="112">
                  <c:v>5888.3799199999994</c:v>
                </c:pt>
                <c:pt idx="113">
                  <c:v>5888.3799199999994</c:v>
                </c:pt>
                <c:pt idx="114">
                  <c:v>5888.3799199999994</c:v>
                </c:pt>
                <c:pt idx="115">
                  <c:v>5888.3799199999994</c:v>
                </c:pt>
                <c:pt idx="116">
                  <c:v>5888.3799199999994</c:v>
                </c:pt>
                <c:pt idx="117">
                  <c:v>5888.3799199999994</c:v>
                </c:pt>
                <c:pt idx="118">
                  <c:v>5888.3799199999994</c:v>
                </c:pt>
                <c:pt idx="119">
                  <c:v>5888.3799199999994</c:v>
                </c:pt>
                <c:pt idx="120">
                  <c:v>5888.3799199999994</c:v>
                </c:pt>
                <c:pt idx="121">
                  <c:v>5888.3799199999994</c:v>
                </c:pt>
                <c:pt idx="122">
                  <c:v>5888.3799199999994</c:v>
                </c:pt>
                <c:pt idx="123">
                  <c:v>5888.3799199999994</c:v>
                </c:pt>
                <c:pt idx="124">
                  <c:v>5888.3799199999994</c:v>
                </c:pt>
                <c:pt idx="125">
                  <c:v>5888.3799199999994</c:v>
                </c:pt>
                <c:pt idx="126">
                  <c:v>5888.3799199999994</c:v>
                </c:pt>
                <c:pt idx="127">
                  <c:v>5888.3799199999994</c:v>
                </c:pt>
                <c:pt idx="128">
                  <c:v>5888.3799199999994</c:v>
                </c:pt>
                <c:pt idx="129">
                  <c:v>5888.3799199999994</c:v>
                </c:pt>
                <c:pt idx="130">
                  <c:v>5888.3799199999994</c:v>
                </c:pt>
                <c:pt idx="131">
                  <c:v>5888.3799199999994</c:v>
                </c:pt>
                <c:pt idx="132">
                  <c:v>5888.3799199999994</c:v>
                </c:pt>
                <c:pt idx="133">
                  <c:v>5888.3799199999994</c:v>
                </c:pt>
                <c:pt idx="134">
                  <c:v>5888.3799199999994</c:v>
                </c:pt>
                <c:pt idx="135">
                  <c:v>5888.3799199999994</c:v>
                </c:pt>
                <c:pt idx="136">
                  <c:v>5888.3799199999994</c:v>
                </c:pt>
                <c:pt idx="137">
                  <c:v>5888.3799199999994</c:v>
                </c:pt>
                <c:pt idx="138">
                  <c:v>5888.3799199999994</c:v>
                </c:pt>
                <c:pt idx="139">
                  <c:v>5888.3799199999994</c:v>
                </c:pt>
                <c:pt idx="140">
                  <c:v>5888.3799199999994</c:v>
                </c:pt>
                <c:pt idx="141">
                  <c:v>5888.3799199999994</c:v>
                </c:pt>
                <c:pt idx="142">
                  <c:v>5888.3799199999994</c:v>
                </c:pt>
                <c:pt idx="143">
                  <c:v>5888.3799199999994</c:v>
                </c:pt>
                <c:pt idx="144">
                  <c:v>5888.3799199999994</c:v>
                </c:pt>
                <c:pt idx="145">
                  <c:v>5888.3799199999994</c:v>
                </c:pt>
                <c:pt idx="146">
                  <c:v>5888.3799199999994</c:v>
                </c:pt>
                <c:pt idx="147">
                  <c:v>5888.3799199999994</c:v>
                </c:pt>
                <c:pt idx="148">
                  <c:v>5888.3799199999994</c:v>
                </c:pt>
                <c:pt idx="149">
                  <c:v>5888.3799199999994</c:v>
                </c:pt>
                <c:pt idx="150">
                  <c:v>5888.3799199999994</c:v>
                </c:pt>
                <c:pt idx="151">
                  <c:v>5888.3799199999994</c:v>
                </c:pt>
                <c:pt idx="152">
                  <c:v>5888.3799199999994</c:v>
                </c:pt>
                <c:pt idx="153">
                  <c:v>5888.3799199999994</c:v>
                </c:pt>
                <c:pt idx="154">
                  <c:v>5888.3799199999994</c:v>
                </c:pt>
                <c:pt idx="155">
                  <c:v>5888.3799199999994</c:v>
                </c:pt>
                <c:pt idx="156">
                  <c:v>5888.3799199999994</c:v>
                </c:pt>
                <c:pt idx="157">
                  <c:v>5888.3799199999994</c:v>
                </c:pt>
                <c:pt idx="158">
                  <c:v>5888.3799199999994</c:v>
                </c:pt>
                <c:pt idx="159">
                  <c:v>5888.3799199999994</c:v>
                </c:pt>
                <c:pt idx="160">
                  <c:v>5888.3799199999994</c:v>
                </c:pt>
                <c:pt idx="161">
                  <c:v>5888.3799199999994</c:v>
                </c:pt>
                <c:pt idx="162">
                  <c:v>5888.3799199999994</c:v>
                </c:pt>
                <c:pt idx="163">
                  <c:v>5888.3799199999994</c:v>
                </c:pt>
                <c:pt idx="164">
                  <c:v>5888.3799199999994</c:v>
                </c:pt>
                <c:pt idx="165">
                  <c:v>5888.3799199999994</c:v>
                </c:pt>
                <c:pt idx="166">
                  <c:v>5888.3799199999994</c:v>
                </c:pt>
                <c:pt idx="167">
                  <c:v>5888.3799199999994</c:v>
                </c:pt>
                <c:pt idx="168">
                  <c:v>5888.3799199999994</c:v>
                </c:pt>
                <c:pt idx="169">
                  <c:v>5888.3799199999994</c:v>
                </c:pt>
                <c:pt idx="170">
                  <c:v>5888.3799199999994</c:v>
                </c:pt>
                <c:pt idx="171">
                  <c:v>5888.3799199999994</c:v>
                </c:pt>
                <c:pt idx="172">
                  <c:v>5888.3799199999994</c:v>
                </c:pt>
                <c:pt idx="173">
                  <c:v>5888.3799199999994</c:v>
                </c:pt>
                <c:pt idx="174">
                  <c:v>5888.3799199999994</c:v>
                </c:pt>
                <c:pt idx="175">
                  <c:v>5888.3799199999994</c:v>
                </c:pt>
                <c:pt idx="176">
                  <c:v>5888.3799199999994</c:v>
                </c:pt>
                <c:pt idx="177">
                  <c:v>5888.3799199999994</c:v>
                </c:pt>
                <c:pt idx="178">
                  <c:v>5888.3799199999994</c:v>
                </c:pt>
                <c:pt idx="179">
                  <c:v>5888.3799199999994</c:v>
                </c:pt>
                <c:pt idx="180">
                  <c:v>5888.3799199999994</c:v>
                </c:pt>
                <c:pt idx="181">
                  <c:v>5888.3799199999994</c:v>
                </c:pt>
                <c:pt idx="182">
                  <c:v>5888.3799199999994</c:v>
                </c:pt>
                <c:pt idx="183">
                  <c:v>5888.3799199999994</c:v>
                </c:pt>
                <c:pt idx="184">
                  <c:v>5888.3799199999994</c:v>
                </c:pt>
                <c:pt idx="185">
                  <c:v>5888.3799199999994</c:v>
                </c:pt>
                <c:pt idx="186">
                  <c:v>5888.3799199999994</c:v>
                </c:pt>
                <c:pt idx="187">
                  <c:v>5888.3799199999994</c:v>
                </c:pt>
                <c:pt idx="188">
                  <c:v>5888.3799199999994</c:v>
                </c:pt>
                <c:pt idx="189">
                  <c:v>5888.3799199999994</c:v>
                </c:pt>
                <c:pt idx="190">
                  <c:v>5888.3799199999994</c:v>
                </c:pt>
                <c:pt idx="191">
                  <c:v>5888.3799199999994</c:v>
                </c:pt>
                <c:pt idx="192">
                  <c:v>5888.3799199999994</c:v>
                </c:pt>
                <c:pt idx="193">
                  <c:v>5888.3799199999994</c:v>
                </c:pt>
                <c:pt idx="194">
                  <c:v>5888.3799199999994</c:v>
                </c:pt>
                <c:pt idx="195">
                  <c:v>5888.3799199999994</c:v>
                </c:pt>
                <c:pt idx="196">
                  <c:v>5888.3799199999994</c:v>
                </c:pt>
                <c:pt idx="197">
                  <c:v>5888.3799199999994</c:v>
                </c:pt>
                <c:pt idx="198">
                  <c:v>5888.3799199999994</c:v>
                </c:pt>
                <c:pt idx="199">
                  <c:v>5888.3799199999994</c:v>
                </c:pt>
                <c:pt idx="200">
                  <c:v>5888.3799199999994</c:v>
                </c:pt>
                <c:pt idx="201">
                  <c:v>5888.3799199999994</c:v>
                </c:pt>
                <c:pt idx="202">
                  <c:v>5888.3799199999994</c:v>
                </c:pt>
                <c:pt idx="203">
                  <c:v>5888.3799199999994</c:v>
                </c:pt>
                <c:pt idx="204">
                  <c:v>5888.3799199999994</c:v>
                </c:pt>
                <c:pt idx="205">
                  <c:v>5888.3799199999994</c:v>
                </c:pt>
                <c:pt idx="206">
                  <c:v>5888.3799199999994</c:v>
                </c:pt>
                <c:pt idx="207">
                  <c:v>5888.3799199999994</c:v>
                </c:pt>
                <c:pt idx="208">
                  <c:v>5888.3799199999994</c:v>
                </c:pt>
                <c:pt idx="209">
                  <c:v>5888.3799199999994</c:v>
                </c:pt>
                <c:pt idx="210">
                  <c:v>5888.3799199999994</c:v>
                </c:pt>
                <c:pt idx="211">
                  <c:v>5888.3799199999994</c:v>
                </c:pt>
                <c:pt idx="212">
                  <c:v>5888.3799199999994</c:v>
                </c:pt>
                <c:pt idx="213">
                  <c:v>5888.3799199999994</c:v>
                </c:pt>
                <c:pt idx="214">
                  <c:v>5888.3799199999994</c:v>
                </c:pt>
                <c:pt idx="215">
                  <c:v>5888.3799199999994</c:v>
                </c:pt>
                <c:pt idx="216">
                  <c:v>5888.3799199999994</c:v>
                </c:pt>
                <c:pt idx="217">
                  <c:v>5888.3799199999994</c:v>
                </c:pt>
                <c:pt idx="218">
                  <c:v>5888.3799199999994</c:v>
                </c:pt>
                <c:pt idx="219">
                  <c:v>5888.3799199999994</c:v>
                </c:pt>
                <c:pt idx="220">
                  <c:v>5888.3799199999994</c:v>
                </c:pt>
                <c:pt idx="221">
                  <c:v>5888.3799199999994</c:v>
                </c:pt>
                <c:pt idx="222">
                  <c:v>5888.3799199999994</c:v>
                </c:pt>
                <c:pt idx="223">
                  <c:v>5888.3799199999994</c:v>
                </c:pt>
                <c:pt idx="224">
                  <c:v>5888.3799199999994</c:v>
                </c:pt>
                <c:pt idx="225">
                  <c:v>5888.3799199999994</c:v>
                </c:pt>
                <c:pt idx="226">
                  <c:v>5888.3799199999994</c:v>
                </c:pt>
                <c:pt idx="227">
                  <c:v>5888.3799199999994</c:v>
                </c:pt>
                <c:pt idx="228">
                  <c:v>5888.3799199999994</c:v>
                </c:pt>
                <c:pt idx="229">
                  <c:v>5888.3799199999994</c:v>
                </c:pt>
                <c:pt idx="230">
                  <c:v>5888.3799199999994</c:v>
                </c:pt>
                <c:pt idx="231">
                  <c:v>5888.3799199999994</c:v>
                </c:pt>
                <c:pt idx="232">
                  <c:v>5888.3799199999994</c:v>
                </c:pt>
                <c:pt idx="233">
                  <c:v>5888.3799199999994</c:v>
                </c:pt>
                <c:pt idx="234">
                  <c:v>5888.3799199999994</c:v>
                </c:pt>
                <c:pt idx="235">
                  <c:v>5888.3799199999994</c:v>
                </c:pt>
                <c:pt idx="236">
                  <c:v>5888.3799199999994</c:v>
                </c:pt>
                <c:pt idx="237">
                  <c:v>5888.3799199999994</c:v>
                </c:pt>
                <c:pt idx="238">
                  <c:v>5888.3799199999994</c:v>
                </c:pt>
                <c:pt idx="239">
                  <c:v>5888.3799199999994</c:v>
                </c:pt>
                <c:pt idx="240">
                  <c:v>5888.3799199999994</c:v>
                </c:pt>
                <c:pt idx="241">
                  <c:v>5888.3799199999994</c:v>
                </c:pt>
                <c:pt idx="242">
                  <c:v>5888.3799199999994</c:v>
                </c:pt>
                <c:pt idx="243">
                  <c:v>5888.3799199999994</c:v>
                </c:pt>
                <c:pt idx="244">
                  <c:v>5888.3799199999994</c:v>
                </c:pt>
                <c:pt idx="245">
                  <c:v>5888.3799199999994</c:v>
                </c:pt>
                <c:pt idx="246">
                  <c:v>5888.3799199999994</c:v>
                </c:pt>
                <c:pt idx="247">
                  <c:v>5888.3799199999994</c:v>
                </c:pt>
                <c:pt idx="248">
                  <c:v>5888.3799199999994</c:v>
                </c:pt>
                <c:pt idx="249">
                  <c:v>5888.3799199999994</c:v>
                </c:pt>
                <c:pt idx="250">
                  <c:v>5888.3799199999994</c:v>
                </c:pt>
                <c:pt idx="251">
                  <c:v>5888.3799199999994</c:v>
                </c:pt>
                <c:pt idx="252">
                  <c:v>5888.3799199999994</c:v>
                </c:pt>
                <c:pt idx="253">
                  <c:v>5888.3799199999994</c:v>
                </c:pt>
                <c:pt idx="254">
                  <c:v>5888.3799199999994</c:v>
                </c:pt>
                <c:pt idx="255">
                  <c:v>5888.3799199999994</c:v>
                </c:pt>
                <c:pt idx="256">
                  <c:v>5888.3799199999994</c:v>
                </c:pt>
                <c:pt idx="257">
                  <c:v>5888.3799199999994</c:v>
                </c:pt>
                <c:pt idx="258">
                  <c:v>5888.3799199999994</c:v>
                </c:pt>
                <c:pt idx="259">
                  <c:v>5888.3799199999994</c:v>
                </c:pt>
                <c:pt idx="260">
                  <c:v>5888.3799199999994</c:v>
                </c:pt>
                <c:pt idx="261">
                  <c:v>5888.3799199999994</c:v>
                </c:pt>
                <c:pt idx="262">
                  <c:v>5888.3799199999994</c:v>
                </c:pt>
                <c:pt idx="263">
                  <c:v>5888.3799199999994</c:v>
                </c:pt>
                <c:pt idx="264">
                  <c:v>5888.3799199999994</c:v>
                </c:pt>
                <c:pt idx="265">
                  <c:v>5888.3799199999994</c:v>
                </c:pt>
                <c:pt idx="266">
                  <c:v>5888.3799199999994</c:v>
                </c:pt>
                <c:pt idx="267">
                  <c:v>5888.3799199999994</c:v>
                </c:pt>
                <c:pt idx="268">
                  <c:v>5888.3799199999994</c:v>
                </c:pt>
                <c:pt idx="269">
                  <c:v>5888.3799199999994</c:v>
                </c:pt>
                <c:pt idx="270">
                  <c:v>5888.3799199999994</c:v>
                </c:pt>
                <c:pt idx="271">
                  <c:v>5888.3799199999994</c:v>
                </c:pt>
                <c:pt idx="272">
                  <c:v>5888.3799199999994</c:v>
                </c:pt>
                <c:pt idx="273">
                  <c:v>5888.3799199999994</c:v>
                </c:pt>
                <c:pt idx="274">
                  <c:v>5888.3799199999994</c:v>
                </c:pt>
                <c:pt idx="275">
                  <c:v>5888.3799199999994</c:v>
                </c:pt>
                <c:pt idx="276">
                  <c:v>5888.3799199999994</c:v>
                </c:pt>
                <c:pt idx="277">
                  <c:v>5888.3799199999994</c:v>
                </c:pt>
                <c:pt idx="278">
                  <c:v>5888.3799199999994</c:v>
                </c:pt>
                <c:pt idx="279">
                  <c:v>5888.3799199999994</c:v>
                </c:pt>
                <c:pt idx="280">
                  <c:v>5888.3799199999994</c:v>
                </c:pt>
                <c:pt idx="281">
                  <c:v>5888.3799199999994</c:v>
                </c:pt>
                <c:pt idx="282">
                  <c:v>5888.3799199999994</c:v>
                </c:pt>
                <c:pt idx="283">
                  <c:v>5888.3799199999994</c:v>
                </c:pt>
                <c:pt idx="284">
                  <c:v>5888.3799199999994</c:v>
                </c:pt>
                <c:pt idx="285">
                  <c:v>5888.3799199999994</c:v>
                </c:pt>
                <c:pt idx="286">
                  <c:v>5888.3799199999994</c:v>
                </c:pt>
                <c:pt idx="287">
                  <c:v>5888.3799199999994</c:v>
                </c:pt>
                <c:pt idx="288">
                  <c:v>5888.3799199999994</c:v>
                </c:pt>
                <c:pt idx="289">
                  <c:v>5888.3799199999994</c:v>
                </c:pt>
                <c:pt idx="290">
                  <c:v>5888.3799199999994</c:v>
                </c:pt>
                <c:pt idx="291">
                  <c:v>5888.3799199999994</c:v>
                </c:pt>
                <c:pt idx="292">
                  <c:v>5888.3799199999994</c:v>
                </c:pt>
                <c:pt idx="293">
                  <c:v>5888.3799199999994</c:v>
                </c:pt>
                <c:pt idx="294">
                  <c:v>5888.3799199999994</c:v>
                </c:pt>
                <c:pt idx="295">
                  <c:v>5888.3799199999994</c:v>
                </c:pt>
                <c:pt idx="296">
                  <c:v>5888.3799199999994</c:v>
                </c:pt>
                <c:pt idx="297">
                  <c:v>5888.3799199999994</c:v>
                </c:pt>
                <c:pt idx="298">
                  <c:v>5888.3799199999994</c:v>
                </c:pt>
                <c:pt idx="299">
                  <c:v>5888.3799199999994</c:v>
                </c:pt>
                <c:pt idx="300">
                  <c:v>5888.3799199999994</c:v>
                </c:pt>
                <c:pt idx="301">
                  <c:v>5888.3799199999994</c:v>
                </c:pt>
                <c:pt idx="302">
                  <c:v>5888.3799199999994</c:v>
                </c:pt>
                <c:pt idx="303">
                  <c:v>5888.3799199999994</c:v>
                </c:pt>
                <c:pt idx="304">
                  <c:v>5888.3799199999994</c:v>
                </c:pt>
                <c:pt idx="305">
                  <c:v>5888.3799199999994</c:v>
                </c:pt>
                <c:pt idx="306">
                  <c:v>5888.3799199999994</c:v>
                </c:pt>
                <c:pt idx="307">
                  <c:v>5888.3799199999994</c:v>
                </c:pt>
                <c:pt idx="308">
                  <c:v>5888.3799199999994</c:v>
                </c:pt>
                <c:pt idx="309">
                  <c:v>5888.3799199999994</c:v>
                </c:pt>
                <c:pt idx="310">
                  <c:v>5888.3799199999994</c:v>
                </c:pt>
                <c:pt idx="311">
                  <c:v>5888.3799199999994</c:v>
                </c:pt>
                <c:pt idx="312">
                  <c:v>5888.3799199999994</c:v>
                </c:pt>
                <c:pt idx="313">
                  <c:v>5888.3799199999994</c:v>
                </c:pt>
                <c:pt idx="314">
                  <c:v>5888.3799199999994</c:v>
                </c:pt>
                <c:pt idx="315">
                  <c:v>5888.3799199999994</c:v>
                </c:pt>
                <c:pt idx="316">
                  <c:v>5888.3799199999994</c:v>
                </c:pt>
                <c:pt idx="317">
                  <c:v>5888.3799199999994</c:v>
                </c:pt>
                <c:pt idx="318">
                  <c:v>5888.3799199999994</c:v>
                </c:pt>
                <c:pt idx="319">
                  <c:v>5888.3799199999994</c:v>
                </c:pt>
                <c:pt idx="320">
                  <c:v>5888.3799199999994</c:v>
                </c:pt>
                <c:pt idx="321">
                  <c:v>5888.3799199999994</c:v>
                </c:pt>
                <c:pt idx="322">
                  <c:v>5888.3799199999994</c:v>
                </c:pt>
                <c:pt idx="323">
                  <c:v>5888.3799199999994</c:v>
                </c:pt>
                <c:pt idx="324">
                  <c:v>5888.3799199999994</c:v>
                </c:pt>
                <c:pt idx="325">
                  <c:v>5888.3799199999994</c:v>
                </c:pt>
                <c:pt idx="326">
                  <c:v>5888.3799199999994</c:v>
                </c:pt>
                <c:pt idx="327">
                  <c:v>5888.3799199999994</c:v>
                </c:pt>
                <c:pt idx="328">
                  <c:v>5888.3799199999994</c:v>
                </c:pt>
                <c:pt idx="329">
                  <c:v>5888.3799199999994</c:v>
                </c:pt>
                <c:pt idx="330">
                  <c:v>5888.3799199999994</c:v>
                </c:pt>
                <c:pt idx="331">
                  <c:v>5888.3799199999994</c:v>
                </c:pt>
                <c:pt idx="332">
                  <c:v>5888.3799199999994</c:v>
                </c:pt>
                <c:pt idx="333">
                  <c:v>5888.3799199999994</c:v>
                </c:pt>
                <c:pt idx="334">
                  <c:v>5888.3799199999994</c:v>
                </c:pt>
                <c:pt idx="335">
                  <c:v>5888.3799199999994</c:v>
                </c:pt>
                <c:pt idx="336">
                  <c:v>5888.3799199999994</c:v>
                </c:pt>
                <c:pt idx="337">
                  <c:v>5888.3799199999994</c:v>
                </c:pt>
                <c:pt idx="338">
                  <c:v>5888.3799199999994</c:v>
                </c:pt>
                <c:pt idx="339">
                  <c:v>5888.3799199999994</c:v>
                </c:pt>
                <c:pt idx="340">
                  <c:v>5888.3799199999994</c:v>
                </c:pt>
                <c:pt idx="341">
                  <c:v>5888.3799199999994</c:v>
                </c:pt>
                <c:pt idx="342">
                  <c:v>5888.3799199999994</c:v>
                </c:pt>
                <c:pt idx="343">
                  <c:v>5888.3799199999994</c:v>
                </c:pt>
                <c:pt idx="344">
                  <c:v>5888.3799199999994</c:v>
                </c:pt>
                <c:pt idx="345">
                  <c:v>5888.3799199999994</c:v>
                </c:pt>
                <c:pt idx="346">
                  <c:v>5888.3799199999994</c:v>
                </c:pt>
                <c:pt idx="347">
                  <c:v>5888.3799199999994</c:v>
                </c:pt>
                <c:pt idx="348">
                  <c:v>5888.3799199999994</c:v>
                </c:pt>
                <c:pt idx="349">
                  <c:v>5888.3799199999994</c:v>
                </c:pt>
                <c:pt idx="350">
                  <c:v>5888.3799199999994</c:v>
                </c:pt>
                <c:pt idx="351">
                  <c:v>5888.3799199999994</c:v>
                </c:pt>
                <c:pt idx="352">
                  <c:v>5888.3799199999994</c:v>
                </c:pt>
                <c:pt idx="353">
                  <c:v>5888.3799199999994</c:v>
                </c:pt>
                <c:pt idx="354">
                  <c:v>5888.3799199999994</c:v>
                </c:pt>
                <c:pt idx="355">
                  <c:v>5888.3799199999994</c:v>
                </c:pt>
                <c:pt idx="356">
                  <c:v>5888.3799199999994</c:v>
                </c:pt>
                <c:pt idx="357">
                  <c:v>5888.3799199999994</c:v>
                </c:pt>
                <c:pt idx="358">
                  <c:v>5888.3799199999994</c:v>
                </c:pt>
                <c:pt idx="359">
                  <c:v>5888.3799199999994</c:v>
                </c:pt>
                <c:pt idx="360">
                  <c:v>5888.3799199999994</c:v>
                </c:pt>
                <c:pt idx="361">
                  <c:v>5888.3799199999994</c:v>
                </c:pt>
                <c:pt idx="362">
                  <c:v>5888.3799199999994</c:v>
                </c:pt>
                <c:pt idx="363">
                  <c:v>5888.3799199999994</c:v>
                </c:pt>
                <c:pt idx="364">
                  <c:v>5888.3799199999994</c:v>
                </c:pt>
                <c:pt idx="365">
                  <c:v>5888.3799199999994</c:v>
                </c:pt>
                <c:pt idx="366">
                  <c:v>5888.3799199999994</c:v>
                </c:pt>
                <c:pt idx="367">
                  <c:v>5888.3799199999994</c:v>
                </c:pt>
                <c:pt idx="368">
                  <c:v>5888.3799199999994</c:v>
                </c:pt>
                <c:pt idx="369">
                  <c:v>5888.3799199999994</c:v>
                </c:pt>
                <c:pt idx="370">
                  <c:v>5888.3799199999994</c:v>
                </c:pt>
                <c:pt idx="371">
                  <c:v>5888.3799199999994</c:v>
                </c:pt>
                <c:pt idx="372">
                  <c:v>5888.3799199999994</c:v>
                </c:pt>
                <c:pt idx="373">
                  <c:v>5888.3799199999994</c:v>
                </c:pt>
                <c:pt idx="374">
                  <c:v>5888.3799199999994</c:v>
                </c:pt>
                <c:pt idx="375">
                  <c:v>5888.3799199999994</c:v>
                </c:pt>
                <c:pt idx="376">
                  <c:v>5888.3799199999994</c:v>
                </c:pt>
                <c:pt idx="377">
                  <c:v>5888.3799199999994</c:v>
                </c:pt>
                <c:pt idx="378">
                  <c:v>5888.3799199999994</c:v>
                </c:pt>
                <c:pt idx="379">
                  <c:v>5888.3799199999994</c:v>
                </c:pt>
                <c:pt idx="380">
                  <c:v>5888.3799199999994</c:v>
                </c:pt>
                <c:pt idx="381">
                  <c:v>5888.3799199999994</c:v>
                </c:pt>
                <c:pt idx="382">
                  <c:v>5888.3799199999994</c:v>
                </c:pt>
                <c:pt idx="383">
                  <c:v>5888.3799199999994</c:v>
                </c:pt>
                <c:pt idx="384">
                  <c:v>5888.3799199999994</c:v>
                </c:pt>
                <c:pt idx="385">
                  <c:v>5888.3799199999994</c:v>
                </c:pt>
                <c:pt idx="386">
                  <c:v>5888.3799199999994</c:v>
                </c:pt>
                <c:pt idx="387">
                  <c:v>5888.3799199999994</c:v>
                </c:pt>
                <c:pt idx="388">
                  <c:v>5888.3799199999994</c:v>
                </c:pt>
                <c:pt idx="389">
                  <c:v>5888.3799199999994</c:v>
                </c:pt>
                <c:pt idx="390">
                  <c:v>5888.3799199999994</c:v>
                </c:pt>
                <c:pt idx="391">
                  <c:v>5888.3799199999994</c:v>
                </c:pt>
                <c:pt idx="392">
                  <c:v>5888.3799199999994</c:v>
                </c:pt>
                <c:pt idx="393">
                  <c:v>5888.3799199999994</c:v>
                </c:pt>
                <c:pt idx="394">
                  <c:v>5888.3799199999994</c:v>
                </c:pt>
                <c:pt idx="395">
                  <c:v>5888.3799199999994</c:v>
                </c:pt>
                <c:pt idx="396">
                  <c:v>5888.3799199999994</c:v>
                </c:pt>
                <c:pt idx="397">
                  <c:v>5888.3799199999994</c:v>
                </c:pt>
                <c:pt idx="398">
                  <c:v>5888.3799199999994</c:v>
                </c:pt>
                <c:pt idx="399">
                  <c:v>5888.3799199999994</c:v>
                </c:pt>
                <c:pt idx="400">
                  <c:v>5888.3799199999994</c:v>
                </c:pt>
                <c:pt idx="401">
                  <c:v>5888.3799199999994</c:v>
                </c:pt>
                <c:pt idx="402">
                  <c:v>5888.3799199999994</c:v>
                </c:pt>
                <c:pt idx="403">
                  <c:v>5888.3799199999994</c:v>
                </c:pt>
                <c:pt idx="404">
                  <c:v>5888.3799199999994</c:v>
                </c:pt>
                <c:pt idx="405">
                  <c:v>5888.3799199999994</c:v>
                </c:pt>
                <c:pt idx="406">
                  <c:v>5888.3799199999994</c:v>
                </c:pt>
                <c:pt idx="407">
                  <c:v>5888.3799199999994</c:v>
                </c:pt>
                <c:pt idx="408">
                  <c:v>5888.3799199999994</c:v>
                </c:pt>
                <c:pt idx="409">
                  <c:v>5888.3799199999994</c:v>
                </c:pt>
                <c:pt idx="410">
                  <c:v>5888.3799199999994</c:v>
                </c:pt>
                <c:pt idx="411">
                  <c:v>5888.3799199999994</c:v>
                </c:pt>
                <c:pt idx="412">
                  <c:v>5888.3799199999994</c:v>
                </c:pt>
                <c:pt idx="413">
                  <c:v>5888.3799199999994</c:v>
                </c:pt>
                <c:pt idx="414">
                  <c:v>5888.3799199999994</c:v>
                </c:pt>
                <c:pt idx="415">
                  <c:v>5888.3799199999994</c:v>
                </c:pt>
                <c:pt idx="416">
                  <c:v>5888.3799199999994</c:v>
                </c:pt>
                <c:pt idx="417">
                  <c:v>5888.3799199999994</c:v>
                </c:pt>
                <c:pt idx="418">
                  <c:v>5888.3799199999994</c:v>
                </c:pt>
                <c:pt idx="419">
                  <c:v>5888.3799199999994</c:v>
                </c:pt>
                <c:pt idx="420">
                  <c:v>5888.3799199999994</c:v>
                </c:pt>
                <c:pt idx="421">
                  <c:v>5888.3799199999994</c:v>
                </c:pt>
                <c:pt idx="422">
                  <c:v>5888.3799199999994</c:v>
                </c:pt>
                <c:pt idx="423">
                  <c:v>5888.3799199999994</c:v>
                </c:pt>
                <c:pt idx="424">
                  <c:v>5888.3799199999994</c:v>
                </c:pt>
                <c:pt idx="425">
                  <c:v>5888.3799199999994</c:v>
                </c:pt>
                <c:pt idx="426">
                  <c:v>5888.3799199999994</c:v>
                </c:pt>
                <c:pt idx="427">
                  <c:v>5888.3799199999994</c:v>
                </c:pt>
                <c:pt idx="428">
                  <c:v>5888.3799199999994</c:v>
                </c:pt>
                <c:pt idx="429">
                  <c:v>5888.3799199999994</c:v>
                </c:pt>
                <c:pt idx="430">
                  <c:v>5888.3799199999994</c:v>
                </c:pt>
                <c:pt idx="431">
                  <c:v>5888.3799199999994</c:v>
                </c:pt>
                <c:pt idx="432">
                  <c:v>5888.3799199999994</c:v>
                </c:pt>
                <c:pt idx="433">
                  <c:v>5888.3799199999994</c:v>
                </c:pt>
                <c:pt idx="434">
                  <c:v>5888.3799199999994</c:v>
                </c:pt>
                <c:pt idx="435">
                  <c:v>5888.3799199999994</c:v>
                </c:pt>
                <c:pt idx="436">
                  <c:v>5888.3799199999994</c:v>
                </c:pt>
                <c:pt idx="437">
                  <c:v>5888.3799199999994</c:v>
                </c:pt>
                <c:pt idx="438">
                  <c:v>5888.3799199999994</c:v>
                </c:pt>
                <c:pt idx="439">
                  <c:v>5888.3799199999994</c:v>
                </c:pt>
                <c:pt idx="440">
                  <c:v>5888.3799199999994</c:v>
                </c:pt>
                <c:pt idx="441">
                  <c:v>5888.3799199999994</c:v>
                </c:pt>
                <c:pt idx="442">
                  <c:v>5888.3799199999994</c:v>
                </c:pt>
                <c:pt idx="443">
                  <c:v>5888.3799199999994</c:v>
                </c:pt>
                <c:pt idx="444">
                  <c:v>5888.3799199999994</c:v>
                </c:pt>
                <c:pt idx="445">
                  <c:v>5888.3799199999994</c:v>
                </c:pt>
                <c:pt idx="446">
                  <c:v>5888.3799199999994</c:v>
                </c:pt>
                <c:pt idx="447">
                  <c:v>5888.3799199999994</c:v>
                </c:pt>
                <c:pt idx="448">
                  <c:v>5888.3799199999994</c:v>
                </c:pt>
                <c:pt idx="449">
                  <c:v>5888.3799199999994</c:v>
                </c:pt>
                <c:pt idx="450">
                  <c:v>5888.3799199999994</c:v>
                </c:pt>
                <c:pt idx="451">
                  <c:v>5888.3799199999994</c:v>
                </c:pt>
                <c:pt idx="452">
                  <c:v>5888.3799199999994</c:v>
                </c:pt>
                <c:pt idx="453">
                  <c:v>5888.3799199999994</c:v>
                </c:pt>
                <c:pt idx="454">
                  <c:v>5888.3799199999994</c:v>
                </c:pt>
                <c:pt idx="455">
                  <c:v>5888.3799199999994</c:v>
                </c:pt>
                <c:pt idx="456">
                  <c:v>5888.3799199999994</c:v>
                </c:pt>
                <c:pt idx="457">
                  <c:v>5888.3799199999994</c:v>
                </c:pt>
                <c:pt idx="458">
                  <c:v>5888.3799199999994</c:v>
                </c:pt>
                <c:pt idx="459">
                  <c:v>5888.3799199999994</c:v>
                </c:pt>
                <c:pt idx="460">
                  <c:v>5888.3799199999994</c:v>
                </c:pt>
                <c:pt idx="461">
                  <c:v>5888.3799199999994</c:v>
                </c:pt>
                <c:pt idx="462">
                  <c:v>5888.3799199999994</c:v>
                </c:pt>
                <c:pt idx="463">
                  <c:v>5888.3799199999994</c:v>
                </c:pt>
                <c:pt idx="464">
                  <c:v>5888.3799199999994</c:v>
                </c:pt>
                <c:pt idx="465">
                  <c:v>5888.3799199999994</c:v>
                </c:pt>
                <c:pt idx="466">
                  <c:v>5888.3799199999994</c:v>
                </c:pt>
                <c:pt idx="467">
                  <c:v>5888.3799199999994</c:v>
                </c:pt>
                <c:pt idx="468">
                  <c:v>5888.3799199999994</c:v>
                </c:pt>
                <c:pt idx="469">
                  <c:v>5888.3799199999994</c:v>
                </c:pt>
                <c:pt idx="470">
                  <c:v>5888.3799199999994</c:v>
                </c:pt>
                <c:pt idx="471">
                  <c:v>5888.3799199999994</c:v>
                </c:pt>
                <c:pt idx="472">
                  <c:v>5888.3799199999994</c:v>
                </c:pt>
                <c:pt idx="473">
                  <c:v>5888.3799199999994</c:v>
                </c:pt>
                <c:pt idx="474">
                  <c:v>5888.3799199999994</c:v>
                </c:pt>
                <c:pt idx="475">
                  <c:v>5888.3799199999994</c:v>
                </c:pt>
                <c:pt idx="476">
                  <c:v>5888.3799199999994</c:v>
                </c:pt>
                <c:pt idx="477">
                  <c:v>5888.3799199999994</c:v>
                </c:pt>
                <c:pt idx="478">
                  <c:v>5888.3799199999994</c:v>
                </c:pt>
                <c:pt idx="479">
                  <c:v>5888.3799199999994</c:v>
                </c:pt>
                <c:pt idx="480">
                  <c:v>5888.3799199999994</c:v>
                </c:pt>
                <c:pt idx="481">
                  <c:v>5888.3799199999994</c:v>
                </c:pt>
                <c:pt idx="482">
                  <c:v>5888.3799199999994</c:v>
                </c:pt>
                <c:pt idx="483">
                  <c:v>5888.3799199999994</c:v>
                </c:pt>
                <c:pt idx="484">
                  <c:v>5888.3799199999994</c:v>
                </c:pt>
                <c:pt idx="485">
                  <c:v>5888.3799199999994</c:v>
                </c:pt>
                <c:pt idx="486">
                  <c:v>5888.3799199999994</c:v>
                </c:pt>
                <c:pt idx="487">
                  <c:v>5888.3799199999994</c:v>
                </c:pt>
                <c:pt idx="488">
                  <c:v>5888.3799199999994</c:v>
                </c:pt>
                <c:pt idx="489">
                  <c:v>5888.3799199999994</c:v>
                </c:pt>
                <c:pt idx="490">
                  <c:v>5888.3799199999994</c:v>
                </c:pt>
                <c:pt idx="491">
                  <c:v>5888.3799199999994</c:v>
                </c:pt>
                <c:pt idx="492">
                  <c:v>5888.3799199999994</c:v>
                </c:pt>
                <c:pt idx="493">
                  <c:v>5888.3799199999994</c:v>
                </c:pt>
                <c:pt idx="494">
                  <c:v>5888.3799199999994</c:v>
                </c:pt>
                <c:pt idx="495">
                  <c:v>5888.3799199999994</c:v>
                </c:pt>
                <c:pt idx="496">
                  <c:v>5888.3799199999994</c:v>
                </c:pt>
                <c:pt idx="497">
                  <c:v>5888.3799199999994</c:v>
                </c:pt>
                <c:pt idx="498">
                  <c:v>5888.3799199999994</c:v>
                </c:pt>
                <c:pt idx="499">
                  <c:v>5888.3799199999994</c:v>
                </c:pt>
                <c:pt idx="500">
                  <c:v>5888.3799199999994</c:v>
                </c:pt>
                <c:pt idx="501">
                  <c:v>5888.3799199999994</c:v>
                </c:pt>
                <c:pt idx="502">
                  <c:v>5888.3799199999994</c:v>
                </c:pt>
                <c:pt idx="503">
                  <c:v>5888.3799199999994</c:v>
                </c:pt>
                <c:pt idx="504">
                  <c:v>5888.3799199999994</c:v>
                </c:pt>
                <c:pt idx="505">
                  <c:v>5888.3799199999994</c:v>
                </c:pt>
                <c:pt idx="506">
                  <c:v>5888.3799199999994</c:v>
                </c:pt>
                <c:pt idx="507">
                  <c:v>5888.3799199999994</c:v>
                </c:pt>
                <c:pt idx="508">
                  <c:v>5888.3799199999994</c:v>
                </c:pt>
                <c:pt idx="509">
                  <c:v>5888.3799199999994</c:v>
                </c:pt>
                <c:pt idx="510">
                  <c:v>5888.3799199999994</c:v>
                </c:pt>
                <c:pt idx="511">
                  <c:v>5888.3799199999994</c:v>
                </c:pt>
                <c:pt idx="512">
                  <c:v>5888.3799199999994</c:v>
                </c:pt>
                <c:pt idx="513">
                  <c:v>5888.3799199999994</c:v>
                </c:pt>
                <c:pt idx="514">
                  <c:v>5888.3799199999994</c:v>
                </c:pt>
                <c:pt idx="515">
                  <c:v>5888.3799199999994</c:v>
                </c:pt>
                <c:pt idx="516">
                  <c:v>5888.3799199999994</c:v>
                </c:pt>
                <c:pt idx="517">
                  <c:v>5888.3799199999994</c:v>
                </c:pt>
                <c:pt idx="518">
                  <c:v>5888.3799199999994</c:v>
                </c:pt>
                <c:pt idx="519">
                  <c:v>5888.3799199999994</c:v>
                </c:pt>
                <c:pt idx="520">
                  <c:v>5888.3799199999994</c:v>
                </c:pt>
                <c:pt idx="521">
                  <c:v>5888.3799199999994</c:v>
                </c:pt>
                <c:pt idx="522">
                  <c:v>5888.3799199999994</c:v>
                </c:pt>
                <c:pt idx="523">
                  <c:v>5888.3799199999994</c:v>
                </c:pt>
                <c:pt idx="524">
                  <c:v>5888.3799199999994</c:v>
                </c:pt>
                <c:pt idx="525">
                  <c:v>5888.3799199999994</c:v>
                </c:pt>
                <c:pt idx="526">
                  <c:v>5888.3799199999994</c:v>
                </c:pt>
                <c:pt idx="527">
                  <c:v>5888.3799199999994</c:v>
                </c:pt>
                <c:pt idx="528">
                  <c:v>5888.3799199999994</c:v>
                </c:pt>
                <c:pt idx="529">
                  <c:v>5888.3799199999994</c:v>
                </c:pt>
                <c:pt idx="530">
                  <c:v>5888.3799199999994</c:v>
                </c:pt>
                <c:pt idx="531">
                  <c:v>5888.3799199999994</c:v>
                </c:pt>
                <c:pt idx="532">
                  <c:v>5888.3799199999994</c:v>
                </c:pt>
                <c:pt idx="533">
                  <c:v>5888.3799199999994</c:v>
                </c:pt>
                <c:pt idx="534">
                  <c:v>5888.3799199999994</c:v>
                </c:pt>
                <c:pt idx="535">
                  <c:v>5888.3799199999994</c:v>
                </c:pt>
                <c:pt idx="536">
                  <c:v>5888.3799199999994</c:v>
                </c:pt>
                <c:pt idx="537">
                  <c:v>5888.3799199999994</c:v>
                </c:pt>
                <c:pt idx="538">
                  <c:v>5888.3799199999994</c:v>
                </c:pt>
                <c:pt idx="539">
                  <c:v>5888.3799199999994</c:v>
                </c:pt>
                <c:pt idx="540">
                  <c:v>5888.3799199999994</c:v>
                </c:pt>
                <c:pt idx="541">
                  <c:v>5888.3799199999994</c:v>
                </c:pt>
                <c:pt idx="542">
                  <c:v>5888.3799199999994</c:v>
                </c:pt>
                <c:pt idx="543">
                  <c:v>5888.3799199999994</c:v>
                </c:pt>
                <c:pt idx="544">
                  <c:v>5888.3799199999994</c:v>
                </c:pt>
                <c:pt idx="545">
                  <c:v>5888.3799199999994</c:v>
                </c:pt>
                <c:pt idx="546">
                  <c:v>5888.3799199999994</c:v>
                </c:pt>
                <c:pt idx="547">
                  <c:v>5888.3799199999994</c:v>
                </c:pt>
                <c:pt idx="548">
                  <c:v>5888.3799199999994</c:v>
                </c:pt>
                <c:pt idx="549">
                  <c:v>5888.3799199999994</c:v>
                </c:pt>
                <c:pt idx="550">
                  <c:v>5888.3799199999994</c:v>
                </c:pt>
                <c:pt idx="551">
                  <c:v>5888.3799199999994</c:v>
                </c:pt>
                <c:pt idx="552">
                  <c:v>5888.3799199999994</c:v>
                </c:pt>
                <c:pt idx="553">
                  <c:v>5888.3799199999994</c:v>
                </c:pt>
                <c:pt idx="554">
                  <c:v>5888.3799199999994</c:v>
                </c:pt>
                <c:pt idx="555">
                  <c:v>5888.3799199999994</c:v>
                </c:pt>
                <c:pt idx="556">
                  <c:v>5888.3799199999994</c:v>
                </c:pt>
                <c:pt idx="557">
                  <c:v>5888.3799199999994</c:v>
                </c:pt>
                <c:pt idx="558">
                  <c:v>5888.3799199999994</c:v>
                </c:pt>
                <c:pt idx="559">
                  <c:v>5888.3799199999994</c:v>
                </c:pt>
                <c:pt idx="560">
                  <c:v>5888.3799199999994</c:v>
                </c:pt>
                <c:pt idx="561">
                  <c:v>5888.3799199999994</c:v>
                </c:pt>
                <c:pt idx="562">
                  <c:v>5888.3799199999994</c:v>
                </c:pt>
                <c:pt idx="563">
                  <c:v>5888.3799199999994</c:v>
                </c:pt>
                <c:pt idx="564">
                  <c:v>5888.3799199999994</c:v>
                </c:pt>
                <c:pt idx="565">
                  <c:v>5888.3799199999994</c:v>
                </c:pt>
                <c:pt idx="566">
                  <c:v>5888.3799199999994</c:v>
                </c:pt>
                <c:pt idx="567">
                  <c:v>5888.3799199999994</c:v>
                </c:pt>
                <c:pt idx="568">
                  <c:v>5888.3799199999994</c:v>
                </c:pt>
                <c:pt idx="569">
                  <c:v>5888.3799199999994</c:v>
                </c:pt>
                <c:pt idx="570">
                  <c:v>5888.3799199999994</c:v>
                </c:pt>
                <c:pt idx="571">
                  <c:v>5888.3799199999994</c:v>
                </c:pt>
                <c:pt idx="572">
                  <c:v>5888.3799199999994</c:v>
                </c:pt>
                <c:pt idx="573">
                  <c:v>5888.3799199999994</c:v>
                </c:pt>
                <c:pt idx="574">
                  <c:v>5888.3799199999994</c:v>
                </c:pt>
                <c:pt idx="575">
                  <c:v>5888.3799199999994</c:v>
                </c:pt>
                <c:pt idx="576">
                  <c:v>5888.3799199999994</c:v>
                </c:pt>
                <c:pt idx="577">
                  <c:v>5888.3799199999994</c:v>
                </c:pt>
                <c:pt idx="578">
                  <c:v>5888.3799199999994</c:v>
                </c:pt>
                <c:pt idx="579">
                  <c:v>5888.3799199999994</c:v>
                </c:pt>
                <c:pt idx="580">
                  <c:v>5888.3799199999994</c:v>
                </c:pt>
                <c:pt idx="581">
                  <c:v>5888.3799199999994</c:v>
                </c:pt>
                <c:pt idx="582">
                  <c:v>5888.3799199999994</c:v>
                </c:pt>
                <c:pt idx="583">
                  <c:v>5888.3799199999994</c:v>
                </c:pt>
                <c:pt idx="584">
                  <c:v>5888.3799199999994</c:v>
                </c:pt>
                <c:pt idx="585">
                  <c:v>5888.3799199999994</c:v>
                </c:pt>
                <c:pt idx="586">
                  <c:v>5888.3799199999994</c:v>
                </c:pt>
                <c:pt idx="587">
                  <c:v>5888.3799199999994</c:v>
                </c:pt>
                <c:pt idx="588">
                  <c:v>5888.3799199999994</c:v>
                </c:pt>
                <c:pt idx="589">
                  <c:v>5888.3799199999994</c:v>
                </c:pt>
                <c:pt idx="590">
                  <c:v>5888.3799199999994</c:v>
                </c:pt>
                <c:pt idx="591">
                  <c:v>5888.3799199999994</c:v>
                </c:pt>
                <c:pt idx="592">
                  <c:v>5888.3799199999994</c:v>
                </c:pt>
                <c:pt idx="593">
                  <c:v>5888.3799199999994</c:v>
                </c:pt>
                <c:pt idx="594">
                  <c:v>5888.3799199999994</c:v>
                </c:pt>
                <c:pt idx="595">
                  <c:v>5888.3799199999994</c:v>
                </c:pt>
                <c:pt idx="596">
                  <c:v>5888.3799199999994</c:v>
                </c:pt>
                <c:pt idx="597">
                  <c:v>5888.3799199999994</c:v>
                </c:pt>
                <c:pt idx="598">
                  <c:v>5888.3799199999994</c:v>
                </c:pt>
                <c:pt idx="599">
                  <c:v>5888.3799199999994</c:v>
                </c:pt>
                <c:pt idx="600">
                  <c:v>5888.3799199999994</c:v>
                </c:pt>
                <c:pt idx="601">
                  <c:v>5888.3799199999994</c:v>
                </c:pt>
                <c:pt idx="602">
                  <c:v>5888.3799199999994</c:v>
                </c:pt>
                <c:pt idx="603">
                  <c:v>5888.3799199999994</c:v>
                </c:pt>
                <c:pt idx="604">
                  <c:v>5888.3799199999994</c:v>
                </c:pt>
                <c:pt idx="605">
                  <c:v>5888.3799199999994</c:v>
                </c:pt>
                <c:pt idx="606">
                  <c:v>5888.3799199999994</c:v>
                </c:pt>
                <c:pt idx="607">
                  <c:v>5888.3799199999994</c:v>
                </c:pt>
                <c:pt idx="608">
                  <c:v>5888.3799199999994</c:v>
                </c:pt>
                <c:pt idx="609">
                  <c:v>5888.3799199999994</c:v>
                </c:pt>
                <c:pt idx="610">
                  <c:v>5888.3799199999994</c:v>
                </c:pt>
                <c:pt idx="611">
                  <c:v>5888.3799199999994</c:v>
                </c:pt>
                <c:pt idx="612">
                  <c:v>5888.3799199999994</c:v>
                </c:pt>
                <c:pt idx="613">
                  <c:v>5888.3799199999994</c:v>
                </c:pt>
                <c:pt idx="614">
                  <c:v>5888.3799199999994</c:v>
                </c:pt>
                <c:pt idx="615">
                  <c:v>5888.3799199999994</c:v>
                </c:pt>
                <c:pt idx="616">
                  <c:v>5888.3799199999994</c:v>
                </c:pt>
                <c:pt idx="617">
                  <c:v>5888.3799199999994</c:v>
                </c:pt>
                <c:pt idx="618">
                  <c:v>5888.3799199999994</c:v>
                </c:pt>
                <c:pt idx="619">
                  <c:v>5888.3799199999994</c:v>
                </c:pt>
                <c:pt idx="620">
                  <c:v>5888.3799199999994</c:v>
                </c:pt>
                <c:pt idx="621">
                  <c:v>5888.3799199999994</c:v>
                </c:pt>
                <c:pt idx="622">
                  <c:v>5888.3799199999994</c:v>
                </c:pt>
                <c:pt idx="623">
                  <c:v>5888.3799199999994</c:v>
                </c:pt>
                <c:pt idx="624">
                  <c:v>5888.3799199999994</c:v>
                </c:pt>
                <c:pt idx="625">
                  <c:v>5888.3799199999994</c:v>
                </c:pt>
                <c:pt idx="626">
                  <c:v>5888.3799199999994</c:v>
                </c:pt>
                <c:pt idx="627">
                  <c:v>5888.3799199999994</c:v>
                </c:pt>
                <c:pt idx="628">
                  <c:v>5888.3799199999994</c:v>
                </c:pt>
                <c:pt idx="629">
                  <c:v>5888.3799199999994</c:v>
                </c:pt>
                <c:pt idx="630">
                  <c:v>5888.3799199999994</c:v>
                </c:pt>
                <c:pt idx="631">
                  <c:v>5888.3799199999994</c:v>
                </c:pt>
                <c:pt idx="632">
                  <c:v>5888.3799199999994</c:v>
                </c:pt>
                <c:pt idx="633">
                  <c:v>5888.3799199999994</c:v>
                </c:pt>
                <c:pt idx="634">
                  <c:v>5888.3799199999994</c:v>
                </c:pt>
                <c:pt idx="635">
                  <c:v>5888.3799199999994</c:v>
                </c:pt>
                <c:pt idx="636">
                  <c:v>5888.3799199999994</c:v>
                </c:pt>
                <c:pt idx="637">
                  <c:v>5888.3799199999994</c:v>
                </c:pt>
                <c:pt idx="638">
                  <c:v>5888.3799199999994</c:v>
                </c:pt>
                <c:pt idx="639">
                  <c:v>5888.3799199999994</c:v>
                </c:pt>
                <c:pt idx="640">
                  <c:v>5888.3799199999994</c:v>
                </c:pt>
                <c:pt idx="641">
                  <c:v>5888.3799199999994</c:v>
                </c:pt>
                <c:pt idx="642">
                  <c:v>5888.3799199999994</c:v>
                </c:pt>
                <c:pt idx="643">
                  <c:v>5888.3799199999994</c:v>
                </c:pt>
                <c:pt idx="644">
                  <c:v>5888.3799199999994</c:v>
                </c:pt>
                <c:pt idx="645">
                  <c:v>5888.3799199999994</c:v>
                </c:pt>
                <c:pt idx="646">
                  <c:v>5888.3799199999994</c:v>
                </c:pt>
                <c:pt idx="647">
                  <c:v>5888.3799199999994</c:v>
                </c:pt>
                <c:pt idx="648">
                  <c:v>5888.3799199999994</c:v>
                </c:pt>
                <c:pt idx="649">
                  <c:v>5888.3799199999994</c:v>
                </c:pt>
                <c:pt idx="650">
                  <c:v>5888.3799199999994</c:v>
                </c:pt>
                <c:pt idx="651">
                  <c:v>5888.3799199999994</c:v>
                </c:pt>
                <c:pt idx="652">
                  <c:v>5888.3799199999994</c:v>
                </c:pt>
                <c:pt idx="653">
                  <c:v>5888.3799199999994</c:v>
                </c:pt>
                <c:pt idx="654">
                  <c:v>5888.3799199999994</c:v>
                </c:pt>
                <c:pt idx="655">
                  <c:v>5888.3799199999994</c:v>
                </c:pt>
                <c:pt idx="656">
                  <c:v>5888.3799199999994</c:v>
                </c:pt>
                <c:pt idx="657">
                  <c:v>5888.3799199999994</c:v>
                </c:pt>
                <c:pt idx="658">
                  <c:v>5888.3799199999994</c:v>
                </c:pt>
                <c:pt idx="659">
                  <c:v>5888.3799199999994</c:v>
                </c:pt>
                <c:pt idx="660">
                  <c:v>5888.3799199999994</c:v>
                </c:pt>
                <c:pt idx="661">
                  <c:v>5888.3799199999994</c:v>
                </c:pt>
                <c:pt idx="662">
                  <c:v>5888.3799199999994</c:v>
                </c:pt>
                <c:pt idx="663">
                  <c:v>5888.3799199999994</c:v>
                </c:pt>
                <c:pt idx="664">
                  <c:v>5888.3799199999994</c:v>
                </c:pt>
                <c:pt idx="665">
                  <c:v>5888.3799199999994</c:v>
                </c:pt>
                <c:pt idx="666">
                  <c:v>5888.3799199999994</c:v>
                </c:pt>
                <c:pt idx="667">
                  <c:v>5888.3799199999994</c:v>
                </c:pt>
                <c:pt idx="668">
                  <c:v>5888.3799199999994</c:v>
                </c:pt>
                <c:pt idx="669">
                  <c:v>5888.3799199999994</c:v>
                </c:pt>
                <c:pt idx="670">
                  <c:v>5888.3799199999994</c:v>
                </c:pt>
                <c:pt idx="671">
                  <c:v>5888.3799199999994</c:v>
                </c:pt>
                <c:pt idx="672">
                  <c:v>5888.3799199999994</c:v>
                </c:pt>
                <c:pt idx="673">
                  <c:v>5888.3799199999994</c:v>
                </c:pt>
                <c:pt idx="674">
                  <c:v>5888.3799199999994</c:v>
                </c:pt>
                <c:pt idx="675">
                  <c:v>5888.3799199999994</c:v>
                </c:pt>
                <c:pt idx="676">
                  <c:v>5888.3799199999994</c:v>
                </c:pt>
                <c:pt idx="677">
                  <c:v>5888.3799199999994</c:v>
                </c:pt>
                <c:pt idx="678">
                  <c:v>5888.3799199999994</c:v>
                </c:pt>
                <c:pt idx="679">
                  <c:v>5888.3799199999994</c:v>
                </c:pt>
                <c:pt idx="680">
                  <c:v>5888.3799199999994</c:v>
                </c:pt>
                <c:pt idx="681">
                  <c:v>5888.3799199999994</c:v>
                </c:pt>
                <c:pt idx="682">
                  <c:v>5888.3799199999994</c:v>
                </c:pt>
                <c:pt idx="683">
                  <c:v>5888.3799199999994</c:v>
                </c:pt>
                <c:pt idx="684">
                  <c:v>5888.3799199999994</c:v>
                </c:pt>
                <c:pt idx="685">
                  <c:v>5888.3799199999994</c:v>
                </c:pt>
                <c:pt idx="686">
                  <c:v>5888.3799199999994</c:v>
                </c:pt>
                <c:pt idx="687">
                  <c:v>5888.3799199999994</c:v>
                </c:pt>
                <c:pt idx="688">
                  <c:v>5888.3799199999994</c:v>
                </c:pt>
                <c:pt idx="689">
                  <c:v>5888.3799199999994</c:v>
                </c:pt>
                <c:pt idx="690">
                  <c:v>5888.3799199999994</c:v>
                </c:pt>
                <c:pt idx="691">
                  <c:v>5888.3799199999994</c:v>
                </c:pt>
                <c:pt idx="692">
                  <c:v>5888.3799199999994</c:v>
                </c:pt>
                <c:pt idx="693">
                  <c:v>5888.3799199999994</c:v>
                </c:pt>
                <c:pt idx="694">
                  <c:v>5888.3799199999994</c:v>
                </c:pt>
                <c:pt idx="695">
                  <c:v>5888.3799199999994</c:v>
                </c:pt>
                <c:pt idx="696">
                  <c:v>5888.3799199999994</c:v>
                </c:pt>
                <c:pt idx="697">
                  <c:v>5888.3799199999994</c:v>
                </c:pt>
                <c:pt idx="698">
                  <c:v>5888.3799199999994</c:v>
                </c:pt>
                <c:pt idx="699">
                  <c:v>5888.3799199999994</c:v>
                </c:pt>
                <c:pt idx="700">
                  <c:v>5888.3799199999994</c:v>
                </c:pt>
                <c:pt idx="701">
                  <c:v>5888.3799199999994</c:v>
                </c:pt>
                <c:pt idx="702">
                  <c:v>5888.3799199999994</c:v>
                </c:pt>
                <c:pt idx="703">
                  <c:v>5888.3799199999994</c:v>
                </c:pt>
                <c:pt idx="704">
                  <c:v>5888.3799199999994</c:v>
                </c:pt>
                <c:pt idx="705">
                  <c:v>5888.3799199999994</c:v>
                </c:pt>
                <c:pt idx="706">
                  <c:v>5888.3799199999994</c:v>
                </c:pt>
                <c:pt idx="707">
                  <c:v>5888.3799199999994</c:v>
                </c:pt>
                <c:pt idx="708">
                  <c:v>5888.3799199999994</c:v>
                </c:pt>
                <c:pt idx="709">
                  <c:v>5888.3799199999994</c:v>
                </c:pt>
                <c:pt idx="710">
                  <c:v>5888.3799199999994</c:v>
                </c:pt>
                <c:pt idx="711">
                  <c:v>5888.3799199999994</c:v>
                </c:pt>
                <c:pt idx="712">
                  <c:v>5888.3799199999994</c:v>
                </c:pt>
                <c:pt idx="713">
                  <c:v>5888.3799199999994</c:v>
                </c:pt>
                <c:pt idx="714">
                  <c:v>5888.3799199999994</c:v>
                </c:pt>
                <c:pt idx="715">
                  <c:v>5888.3799199999994</c:v>
                </c:pt>
                <c:pt idx="716">
                  <c:v>5888.3799199999994</c:v>
                </c:pt>
                <c:pt idx="717">
                  <c:v>5888.3799199999994</c:v>
                </c:pt>
                <c:pt idx="718">
                  <c:v>5888.3799199999994</c:v>
                </c:pt>
                <c:pt idx="719">
                  <c:v>5888.3799199999994</c:v>
                </c:pt>
                <c:pt idx="720">
                  <c:v>5888.3799199999994</c:v>
                </c:pt>
                <c:pt idx="721">
                  <c:v>5888.3799199999994</c:v>
                </c:pt>
                <c:pt idx="722">
                  <c:v>5888.3799199999994</c:v>
                </c:pt>
                <c:pt idx="723">
                  <c:v>5888.3799199999994</c:v>
                </c:pt>
                <c:pt idx="724">
                  <c:v>5888.3799199999994</c:v>
                </c:pt>
                <c:pt idx="725">
                  <c:v>5888.3799199999994</c:v>
                </c:pt>
                <c:pt idx="726">
                  <c:v>5888.3799199999994</c:v>
                </c:pt>
                <c:pt idx="727">
                  <c:v>5888.3799199999994</c:v>
                </c:pt>
                <c:pt idx="728">
                  <c:v>5888.3799199999994</c:v>
                </c:pt>
                <c:pt idx="729">
                  <c:v>5888.3799199999994</c:v>
                </c:pt>
                <c:pt idx="730">
                  <c:v>5888.3799199999994</c:v>
                </c:pt>
                <c:pt idx="731">
                  <c:v>5888.3799199999994</c:v>
                </c:pt>
                <c:pt idx="732">
                  <c:v>5888.3799199999994</c:v>
                </c:pt>
                <c:pt idx="733">
                  <c:v>5888.3799199999994</c:v>
                </c:pt>
                <c:pt idx="734">
                  <c:v>5888.3799199999994</c:v>
                </c:pt>
                <c:pt idx="735">
                  <c:v>5888.3799199999994</c:v>
                </c:pt>
                <c:pt idx="736">
                  <c:v>5888.3799199999994</c:v>
                </c:pt>
                <c:pt idx="737">
                  <c:v>5888.3799199999994</c:v>
                </c:pt>
                <c:pt idx="738">
                  <c:v>5888.3799199999994</c:v>
                </c:pt>
                <c:pt idx="739">
                  <c:v>5888.3799199999994</c:v>
                </c:pt>
                <c:pt idx="740">
                  <c:v>5888.3799199999994</c:v>
                </c:pt>
                <c:pt idx="741">
                  <c:v>5888.3799199999994</c:v>
                </c:pt>
                <c:pt idx="742">
                  <c:v>5888.3799199999994</c:v>
                </c:pt>
                <c:pt idx="743">
                  <c:v>5888.3799199999994</c:v>
                </c:pt>
                <c:pt idx="744">
                  <c:v>5888.3799199999994</c:v>
                </c:pt>
                <c:pt idx="745">
                  <c:v>5888.3799199999994</c:v>
                </c:pt>
                <c:pt idx="746">
                  <c:v>5888.3799199999994</c:v>
                </c:pt>
                <c:pt idx="747">
                  <c:v>5888.3799199999994</c:v>
                </c:pt>
                <c:pt idx="748">
                  <c:v>5888.3799199999994</c:v>
                </c:pt>
                <c:pt idx="749">
                  <c:v>5888.3799199999994</c:v>
                </c:pt>
                <c:pt idx="750">
                  <c:v>5888.3799199999994</c:v>
                </c:pt>
                <c:pt idx="751">
                  <c:v>5888.3799199999994</c:v>
                </c:pt>
                <c:pt idx="752">
                  <c:v>5888.3799199999994</c:v>
                </c:pt>
                <c:pt idx="753">
                  <c:v>5888.3799199999994</c:v>
                </c:pt>
                <c:pt idx="754">
                  <c:v>5888.3799199999994</c:v>
                </c:pt>
                <c:pt idx="755">
                  <c:v>5888.3799199999994</c:v>
                </c:pt>
                <c:pt idx="756">
                  <c:v>5888.3799199999994</c:v>
                </c:pt>
                <c:pt idx="757">
                  <c:v>5888.3799199999994</c:v>
                </c:pt>
                <c:pt idx="758">
                  <c:v>5888.3799199999994</c:v>
                </c:pt>
                <c:pt idx="759">
                  <c:v>5888.3799199999994</c:v>
                </c:pt>
                <c:pt idx="760">
                  <c:v>5888.3799199999994</c:v>
                </c:pt>
                <c:pt idx="761">
                  <c:v>5888.3799199999994</c:v>
                </c:pt>
                <c:pt idx="762">
                  <c:v>5888.3799199999994</c:v>
                </c:pt>
                <c:pt idx="763">
                  <c:v>5888.3799199999994</c:v>
                </c:pt>
                <c:pt idx="764">
                  <c:v>5888.3799199999994</c:v>
                </c:pt>
                <c:pt idx="765">
                  <c:v>5888.3799199999994</c:v>
                </c:pt>
                <c:pt idx="766">
                  <c:v>5888.3799199999994</c:v>
                </c:pt>
                <c:pt idx="767">
                  <c:v>5888.3799199999994</c:v>
                </c:pt>
                <c:pt idx="768">
                  <c:v>5888.3799199999994</c:v>
                </c:pt>
                <c:pt idx="769">
                  <c:v>5888.3799199999994</c:v>
                </c:pt>
                <c:pt idx="770">
                  <c:v>5888.3799199999994</c:v>
                </c:pt>
                <c:pt idx="771">
                  <c:v>5888.3799199999994</c:v>
                </c:pt>
                <c:pt idx="772">
                  <c:v>5888.3799199999994</c:v>
                </c:pt>
                <c:pt idx="773">
                  <c:v>5888.3799199999994</c:v>
                </c:pt>
                <c:pt idx="774">
                  <c:v>5888.3799199999994</c:v>
                </c:pt>
                <c:pt idx="775">
                  <c:v>5888.3799199999994</c:v>
                </c:pt>
                <c:pt idx="776">
                  <c:v>5888.3799199999994</c:v>
                </c:pt>
                <c:pt idx="777">
                  <c:v>5888.3799199999994</c:v>
                </c:pt>
                <c:pt idx="778">
                  <c:v>5888.3799199999994</c:v>
                </c:pt>
                <c:pt idx="779">
                  <c:v>5888.3799199999994</c:v>
                </c:pt>
                <c:pt idx="780">
                  <c:v>5888.3799199999994</c:v>
                </c:pt>
                <c:pt idx="781">
                  <c:v>5888.3799199999994</c:v>
                </c:pt>
                <c:pt idx="782">
                  <c:v>5888.3799199999994</c:v>
                </c:pt>
                <c:pt idx="783">
                  <c:v>5888.3799199999994</c:v>
                </c:pt>
                <c:pt idx="784">
                  <c:v>5888.3799199999994</c:v>
                </c:pt>
                <c:pt idx="785">
                  <c:v>5888.3799199999994</c:v>
                </c:pt>
                <c:pt idx="786">
                  <c:v>5888.3799199999994</c:v>
                </c:pt>
                <c:pt idx="787">
                  <c:v>5888.3799199999994</c:v>
                </c:pt>
                <c:pt idx="788">
                  <c:v>5888.3799199999994</c:v>
                </c:pt>
                <c:pt idx="789">
                  <c:v>5888.3799199999994</c:v>
                </c:pt>
                <c:pt idx="790">
                  <c:v>5888.3799199999994</c:v>
                </c:pt>
                <c:pt idx="791">
                  <c:v>5888.3799199999994</c:v>
                </c:pt>
                <c:pt idx="792">
                  <c:v>5888.3799199999994</c:v>
                </c:pt>
                <c:pt idx="793">
                  <c:v>5888.3799199999994</c:v>
                </c:pt>
                <c:pt idx="794">
                  <c:v>5890.1</c:v>
                </c:pt>
                <c:pt idx="795">
                  <c:v>5893.1</c:v>
                </c:pt>
                <c:pt idx="796">
                  <c:v>5896.1</c:v>
                </c:pt>
                <c:pt idx="797">
                  <c:v>5899.1</c:v>
                </c:pt>
                <c:pt idx="798">
                  <c:v>5902.1</c:v>
                </c:pt>
                <c:pt idx="799">
                  <c:v>5905.1</c:v>
                </c:pt>
                <c:pt idx="800">
                  <c:v>5908.1</c:v>
                </c:pt>
                <c:pt idx="801">
                  <c:v>5911.1</c:v>
                </c:pt>
                <c:pt idx="802">
                  <c:v>5914.1</c:v>
                </c:pt>
                <c:pt idx="803">
                  <c:v>5917.1</c:v>
                </c:pt>
                <c:pt idx="804">
                  <c:v>5920.1</c:v>
                </c:pt>
                <c:pt idx="805">
                  <c:v>5923.1</c:v>
                </c:pt>
                <c:pt idx="806">
                  <c:v>5926.1</c:v>
                </c:pt>
                <c:pt idx="807">
                  <c:v>5929.1</c:v>
                </c:pt>
                <c:pt idx="808">
                  <c:v>5932.1</c:v>
                </c:pt>
                <c:pt idx="809">
                  <c:v>5935.1</c:v>
                </c:pt>
                <c:pt idx="810">
                  <c:v>5938.1</c:v>
                </c:pt>
                <c:pt idx="811">
                  <c:v>5941.1</c:v>
                </c:pt>
                <c:pt idx="812">
                  <c:v>5944.1</c:v>
                </c:pt>
                <c:pt idx="813">
                  <c:v>5947.1</c:v>
                </c:pt>
                <c:pt idx="814">
                  <c:v>5950.1</c:v>
                </c:pt>
                <c:pt idx="815">
                  <c:v>5953.1</c:v>
                </c:pt>
                <c:pt idx="816">
                  <c:v>5956.1</c:v>
                </c:pt>
                <c:pt idx="817">
                  <c:v>5959.1</c:v>
                </c:pt>
                <c:pt idx="818">
                  <c:v>5962.1</c:v>
                </c:pt>
                <c:pt idx="819">
                  <c:v>5965.1</c:v>
                </c:pt>
                <c:pt idx="820">
                  <c:v>5968.1</c:v>
                </c:pt>
                <c:pt idx="821">
                  <c:v>5971.1</c:v>
                </c:pt>
                <c:pt idx="822">
                  <c:v>5974.1</c:v>
                </c:pt>
                <c:pt idx="823">
                  <c:v>5977.1</c:v>
                </c:pt>
                <c:pt idx="824">
                  <c:v>5980.1</c:v>
                </c:pt>
                <c:pt idx="825">
                  <c:v>5983.1</c:v>
                </c:pt>
                <c:pt idx="826">
                  <c:v>5986.1</c:v>
                </c:pt>
                <c:pt idx="827">
                  <c:v>5989.1</c:v>
                </c:pt>
                <c:pt idx="828">
                  <c:v>5992.1</c:v>
                </c:pt>
                <c:pt idx="829">
                  <c:v>5995.1</c:v>
                </c:pt>
                <c:pt idx="830">
                  <c:v>5998.1</c:v>
                </c:pt>
                <c:pt idx="831">
                  <c:v>6001.1</c:v>
                </c:pt>
                <c:pt idx="832">
                  <c:v>6004.1</c:v>
                </c:pt>
                <c:pt idx="833">
                  <c:v>6007.1</c:v>
                </c:pt>
                <c:pt idx="834">
                  <c:v>6010.1</c:v>
                </c:pt>
                <c:pt idx="835">
                  <c:v>6013.1</c:v>
                </c:pt>
                <c:pt idx="836">
                  <c:v>6016.1</c:v>
                </c:pt>
                <c:pt idx="837">
                  <c:v>6019.1</c:v>
                </c:pt>
                <c:pt idx="838">
                  <c:v>6022.1</c:v>
                </c:pt>
                <c:pt idx="839">
                  <c:v>6025.1</c:v>
                </c:pt>
                <c:pt idx="840">
                  <c:v>6028.1</c:v>
                </c:pt>
                <c:pt idx="841">
                  <c:v>6031.1</c:v>
                </c:pt>
                <c:pt idx="842">
                  <c:v>6034.1</c:v>
                </c:pt>
                <c:pt idx="843">
                  <c:v>6037.1</c:v>
                </c:pt>
                <c:pt idx="844">
                  <c:v>6040.1</c:v>
                </c:pt>
                <c:pt idx="845">
                  <c:v>6043.1</c:v>
                </c:pt>
                <c:pt idx="846">
                  <c:v>6046.1</c:v>
                </c:pt>
                <c:pt idx="847">
                  <c:v>6049.1</c:v>
                </c:pt>
                <c:pt idx="848">
                  <c:v>6052.1</c:v>
                </c:pt>
                <c:pt idx="849">
                  <c:v>6055.1</c:v>
                </c:pt>
                <c:pt idx="850">
                  <c:v>6058.1</c:v>
                </c:pt>
                <c:pt idx="851">
                  <c:v>6061.1</c:v>
                </c:pt>
                <c:pt idx="852">
                  <c:v>6064.1</c:v>
                </c:pt>
                <c:pt idx="853">
                  <c:v>6067.1</c:v>
                </c:pt>
                <c:pt idx="854">
                  <c:v>6070.1</c:v>
                </c:pt>
                <c:pt idx="855">
                  <c:v>6073.1</c:v>
                </c:pt>
                <c:pt idx="856">
                  <c:v>6076.1</c:v>
                </c:pt>
                <c:pt idx="857">
                  <c:v>6079.1</c:v>
                </c:pt>
                <c:pt idx="858">
                  <c:v>6082.1</c:v>
                </c:pt>
                <c:pt idx="859">
                  <c:v>6085.1</c:v>
                </c:pt>
                <c:pt idx="860">
                  <c:v>6088.1</c:v>
                </c:pt>
                <c:pt idx="861">
                  <c:v>6091.1</c:v>
                </c:pt>
                <c:pt idx="862">
                  <c:v>6094.1</c:v>
                </c:pt>
                <c:pt idx="863">
                  <c:v>6097.1</c:v>
                </c:pt>
                <c:pt idx="864">
                  <c:v>6100.1</c:v>
                </c:pt>
                <c:pt idx="865">
                  <c:v>6103.1</c:v>
                </c:pt>
                <c:pt idx="866">
                  <c:v>6106.1</c:v>
                </c:pt>
                <c:pt idx="867">
                  <c:v>6109.1</c:v>
                </c:pt>
                <c:pt idx="868">
                  <c:v>6112.1</c:v>
                </c:pt>
                <c:pt idx="869">
                  <c:v>6115.1</c:v>
                </c:pt>
                <c:pt idx="870">
                  <c:v>6118.1</c:v>
                </c:pt>
                <c:pt idx="871">
                  <c:v>6121.1</c:v>
                </c:pt>
                <c:pt idx="872">
                  <c:v>6124.1</c:v>
                </c:pt>
                <c:pt idx="873">
                  <c:v>6127.1</c:v>
                </c:pt>
                <c:pt idx="874">
                  <c:v>6130.1</c:v>
                </c:pt>
                <c:pt idx="875">
                  <c:v>6133.1</c:v>
                </c:pt>
                <c:pt idx="876">
                  <c:v>6136.1</c:v>
                </c:pt>
                <c:pt idx="877">
                  <c:v>6139.1</c:v>
                </c:pt>
                <c:pt idx="878">
                  <c:v>6142.1</c:v>
                </c:pt>
                <c:pt idx="879">
                  <c:v>6145.1</c:v>
                </c:pt>
                <c:pt idx="880">
                  <c:v>6148.1</c:v>
                </c:pt>
                <c:pt idx="881">
                  <c:v>6151.1</c:v>
                </c:pt>
                <c:pt idx="882">
                  <c:v>6154.1</c:v>
                </c:pt>
                <c:pt idx="883">
                  <c:v>6157.1</c:v>
                </c:pt>
                <c:pt idx="884">
                  <c:v>6160.1</c:v>
                </c:pt>
                <c:pt idx="885">
                  <c:v>6163.1</c:v>
                </c:pt>
                <c:pt idx="886">
                  <c:v>6166.1</c:v>
                </c:pt>
                <c:pt idx="887">
                  <c:v>6169.1</c:v>
                </c:pt>
                <c:pt idx="888">
                  <c:v>6172.1</c:v>
                </c:pt>
                <c:pt idx="889">
                  <c:v>6175.1</c:v>
                </c:pt>
                <c:pt idx="890">
                  <c:v>6178.1</c:v>
                </c:pt>
                <c:pt idx="891">
                  <c:v>6181.1</c:v>
                </c:pt>
                <c:pt idx="892">
                  <c:v>6184.1</c:v>
                </c:pt>
                <c:pt idx="893">
                  <c:v>6187.1</c:v>
                </c:pt>
                <c:pt idx="894">
                  <c:v>6190.1</c:v>
                </c:pt>
                <c:pt idx="895">
                  <c:v>6193.1</c:v>
                </c:pt>
                <c:pt idx="896">
                  <c:v>6196.1</c:v>
                </c:pt>
                <c:pt idx="897">
                  <c:v>6199.1</c:v>
                </c:pt>
                <c:pt idx="898">
                  <c:v>6202.1</c:v>
                </c:pt>
                <c:pt idx="899">
                  <c:v>6205.1</c:v>
                </c:pt>
                <c:pt idx="900">
                  <c:v>6208.1</c:v>
                </c:pt>
                <c:pt idx="901">
                  <c:v>6211.1</c:v>
                </c:pt>
                <c:pt idx="902">
                  <c:v>6214.1</c:v>
                </c:pt>
                <c:pt idx="903">
                  <c:v>6217.1</c:v>
                </c:pt>
                <c:pt idx="904">
                  <c:v>6220.1</c:v>
                </c:pt>
                <c:pt idx="905">
                  <c:v>6223.1</c:v>
                </c:pt>
                <c:pt idx="906">
                  <c:v>6226.1</c:v>
                </c:pt>
                <c:pt idx="907">
                  <c:v>6229.1</c:v>
                </c:pt>
                <c:pt idx="908">
                  <c:v>6232.1</c:v>
                </c:pt>
                <c:pt idx="909">
                  <c:v>6235.1</c:v>
                </c:pt>
                <c:pt idx="910">
                  <c:v>6238.1</c:v>
                </c:pt>
                <c:pt idx="911">
                  <c:v>6241.1</c:v>
                </c:pt>
                <c:pt idx="912">
                  <c:v>6244.1</c:v>
                </c:pt>
                <c:pt idx="913">
                  <c:v>6247.1</c:v>
                </c:pt>
                <c:pt idx="914">
                  <c:v>6250.1</c:v>
                </c:pt>
                <c:pt idx="915">
                  <c:v>6253.1</c:v>
                </c:pt>
                <c:pt idx="916">
                  <c:v>6256.1</c:v>
                </c:pt>
                <c:pt idx="917">
                  <c:v>6259.1</c:v>
                </c:pt>
                <c:pt idx="918">
                  <c:v>6262.1</c:v>
                </c:pt>
                <c:pt idx="919">
                  <c:v>6265.1</c:v>
                </c:pt>
                <c:pt idx="920">
                  <c:v>6268.1</c:v>
                </c:pt>
                <c:pt idx="921">
                  <c:v>6271.1</c:v>
                </c:pt>
                <c:pt idx="922">
                  <c:v>6274.1</c:v>
                </c:pt>
                <c:pt idx="923">
                  <c:v>6277.1</c:v>
                </c:pt>
                <c:pt idx="924">
                  <c:v>6280.1</c:v>
                </c:pt>
                <c:pt idx="925">
                  <c:v>6283.1</c:v>
                </c:pt>
                <c:pt idx="926">
                  <c:v>6286.1</c:v>
                </c:pt>
                <c:pt idx="927">
                  <c:v>6289.1</c:v>
                </c:pt>
                <c:pt idx="928">
                  <c:v>6292.1</c:v>
                </c:pt>
                <c:pt idx="929">
                  <c:v>6295.1</c:v>
                </c:pt>
                <c:pt idx="930">
                  <c:v>6298.1</c:v>
                </c:pt>
                <c:pt idx="931">
                  <c:v>6301.1</c:v>
                </c:pt>
                <c:pt idx="932">
                  <c:v>6304.1</c:v>
                </c:pt>
                <c:pt idx="933">
                  <c:v>6307.1</c:v>
                </c:pt>
                <c:pt idx="934">
                  <c:v>6310.1</c:v>
                </c:pt>
                <c:pt idx="935">
                  <c:v>6313.1</c:v>
                </c:pt>
                <c:pt idx="936">
                  <c:v>6316.1</c:v>
                </c:pt>
                <c:pt idx="937">
                  <c:v>6319.1</c:v>
                </c:pt>
                <c:pt idx="938">
                  <c:v>6322.1</c:v>
                </c:pt>
                <c:pt idx="939">
                  <c:v>6325.1</c:v>
                </c:pt>
                <c:pt idx="940">
                  <c:v>6328.1</c:v>
                </c:pt>
                <c:pt idx="941">
                  <c:v>6331.1</c:v>
                </c:pt>
                <c:pt idx="942">
                  <c:v>6334.1</c:v>
                </c:pt>
                <c:pt idx="943">
                  <c:v>6337.1</c:v>
                </c:pt>
                <c:pt idx="944">
                  <c:v>6340.1</c:v>
                </c:pt>
                <c:pt idx="945">
                  <c:v>6343.1</c:v>
                </c:pt>
                <c:pt idx="946">
                  <c:v>6346.1</c:v>
                </c:pt>
                <c:pt idx="947">
                  <c:v>6349.1</c:v>
                </c:pt>
                <c:pt idx="948">
                  <c:v>6352.1</c:v>
                </c:pt>
                <c:pt idx="949">
                  <c:v>6355.1</c:v>
                </c:pt>
                <c:pt idx="950">
                  <c:v>6358.1</c:v>
                </c:pt>
                <c:pt idx="951">
                  <c:v>6361.1</c:v>
                </c:pt>
                <c:pt idx="952">
                  <c:v>6364.1</c:v>
                </c:pt>
                <c:pt idx="953">
                  <c:v>6367.1</c:v>
                </c:pt>
                <c:pt idx="954">
                  <c:v>6370.1</c:v>
                </c:pt>
                <c:pt idx="955">
                  <c:v>6373.1</c:v>
                </c:pt>
                <c:pt idx="956">
                  <c:v>6376.1</c:v>
                </c:pt>
                <c:pt idx="957">
                  <c:v>6379.1</c:v>
                </c:pt>
                <c:pt idx="958">
                  <c:v>6382.1</c:v>
                </c:pt>
                <c:pt idx="959">
                  <c:v>6385.1</c:v>
                </c:pt>
                <c:pt idx="960">
                  <c:v>6388.1</c:v>
                </c:pt>
                <c:pt idx="961">
                  <c:v>6391.1</c:v>
                </c:pt>
                <c:pt idx="962">
                  <c:v>6394.1</c:v>
                </c:pt>
                <c:pt idx="963">
                  <c:v>6397.1</c:v>
                </c:pt>
                <c:pt idx="964">
                  <c:v>6400.1</c:v>
                </c:pt>
                <c:pt idx="965">
                  <c:v>6403.1</c:v>
                </c:pt>
                <c:pt idx="966">
                  <c:v>6406.1</c:v>
                </c:pt>
                <c:pt idx="967">
                  <c:v>6409.1</c:v>
                </c:pt>
                <c:pt idx="968">
                  <c:v>6412.1</c:v>
                </c:pt>
                <c:pt idx="969">
                  <c:v>6415.1</c:v>
                </c:pt>
                <c:pt idx="970">
                  <c:v>6418.1</c:v>
                </c:pt>
                <c:pt idx="971">
                  <c:v>6421.1</c:v>
                </c:pt>
                <c:pt idx="972">
                  <c:v>6424.1</c:v>
                </c:pt>
                <c:pt idx="973">
                  <c:v>6427.1</c:v>
                </c:pt>
                <c:pt idx="974">
                  <c:v>6430.1</c:v>
                </c:pt>
                <c:pt idx="975">
                  <c:v>6433.1</c:v>
                </c:pt>
                <c:pt idx="976">
                  <c:v>6436.1</c:v>
                </c:pt>
                <c:pt idx="977">
                  <c:v>6439.1</c:v>
                </c:pt>
                <c:pt idx="978">
                  <c:v>6442.1</c:v>
                </c:pt>
                <c:pt idx="979">
                  <c:v>6445.1</c:v>
                </c:pt>
                <c:pt idx="980">
                  <c:v>6448.1</c:v>
                </c:pt>
                <c:pt idx="981">
                  <c:v>6451.1</c:v>
                </c:pt>
                <c:pt idx="982">
                  <c:v>6454.1</c:v>
                </c:pt>
                <c:pt idx="983">
                  <c:v>6457.1</c:v>
                </c:pt>
                <c:pt idx="984">
                  <c:v>6460.1</c:v>
                </c:pt>
                <c:pt idx="985">
                  <c:v>6463.1</c:v>
                </c:pt>
                <c:pt idx="986">
                  <c:v>6466.1</c:v>
                </c:pt>
                <c:pt idx="987">
                  <c:v>6469.1</c:v>
                </c:pt>
                <c:pt idx="988">
                  <c:v>6472.1</c:v>
                </c:pt>
                <c:pt idx="989">
                  <c:v>6475.1</c:v>
                </c:pt>
                <c:pt idx="990">
                  <c:v>6478.1</c:v>
                </c:pt>
                <c:pt idx="991">
                  <c:v>6481.1</c:v>
                </c:pt>
                <c:pt idx="992">
                  <c:v>6484.1</c:v>
                </c:pt>
                <c:pt idx="993">
                  <c:v>6487.1</c:v>
                </c:pt>
                <c:pt idx="994">
                  <c:v>6490.1</c:v>
                </c:pt>
                <c:pt idx="995">
                  <c:v>6493.1</c:v>
                </c:pt>
                <c:pt idx="996">
                  <c:v>6496.1</c:v>
                </c:pt>
                <c:pt idx="997">
                  <c:v>6499.1</c:v>
                </c:pt>
                <c:pt idx="998">
                  <c:v>6502.1</c:v>
                </c:pt>
                <c:pt idx="999">
                  <c:v>6505.1</c:v>
                </c:pt>
                <c:pt idx="1000">
                  <c:v>6508.1</c:v>
                </c:pt>
                <c:pt idx="1001">
                  <c:v>6511.1</c:v>
                </c:pt>
                <c:pt idx="1002">
                  <c:v>6514.1</c:v>
                </c:pt>
                <c:pt idx="1003">
                  <c:v>6517.1</c:v>
                </c:pt>
                <c:pt idx="1004">
                  <c:v>6520.1</c:v>
                </c:pt>
                <c:pt idx="1005">
                  <c:v>6523.1</c:v>
                </c:pt>
                <c:pt idx="1006">
                  <c:v>6526.1</c:v>
                </c:pt>
                <c:pt idx="1007">
                  <c:v>6529.1</c:v>
                </c:pt>
                <c:pt idx="1008">
                  <c:v>6532.1</c:v>
                </c:pt>
                <c:pt idx="1009">
                  <c:v>6535.1</c:v>
                </c:pt>
                <c:pt idx="1010">
                  <c:v>6538.1</c:v>
                </c:pt>
                <c:pt idx="1011">
                  <c:v>6541.1</c:v>
                </c:pt>
                <c:pt idx="1012">
                  <c:v>6544.1</c:v>
                </c:pt>
                <c:pt idx="1013">
                  <c:v>6547.1</c:v>
                </c:pt>
                <c:pt idx="1014">
                  <c:v>6550.1</c:v>
                </c:pt>
                <c:pt idx="1015">
                  <c:v>6553.1</c:v>
                </c:pt>
                <c:pt idx="1016">
                  <c:v>6556.1</c:v>
                </c:pt>
                <c:pt idx="1017">
                  <c:v>6559.1</c:v>
                </c:pt>
                <c:pt idx="1018">
                  <c:v>6562.1</c:v>
                </c:pt>
                <c:pt idx="1019">
                  <c:v>6565.1</c:v>
                </c:pt>
                <c:pt idx="1020">
                  <c:v>6568.1</c:v>
                </c:pt>
                <c:pt idx="1021">
                  <c:v>6571.1</c:v>
                </c:pt>
                <c:pt idx="1022">
                  <c:v>6574.1</c:v>
                </c:pt>
                <c:pt idx="1023">
                  <c:v>6577.1</c:v>
                </c:pt>
                <c:pt idx="1024">
                  <c:v>6580.1</c:v>
                </c:pt>
                <c:pt idx="1025">
                  <c:v>6583.1</c:v>
                </c:pt>
                <c:pt idx="1026">
                  <c:v>6586.1</c:v>
                </c:pt>
                <c:pt idx="1027">
                  <c:v>6589.1</c:v>
                </c:pt>
                <c:pt idx="1028">
                  <c:v>6592.1</c:v>
                </c:pt>
                <c:pt idx="1029">
                  <c:v>6595.1</c:v>
                </c:pt>
                <c:pt idx="1030">
                  <c:v>6598.1</c:v>
                </c:pt>
                <c:pt idx="1031">
                  <c:v>6601.1</c:v>
                </c:pt>
                <c:pt idx="1032">
                  <c:v>6604.1</c:v>
                </c:pt>
                <c:pt idx="1033">
                  <c:v>6607.1</c:v>
                </c:pt>
                <c:pt idx="1034">
                  <c:v>6610.1</c:v>
                </c:pt>
                <c:pt idx="1035">
                  <c:v>6613.1</c:v>
                </c:pt>
                <c:pt idx="1036">
                  <c:v>6616.1</c:v>
                </c:pt>
                <c:pt idx="1037">
                  <c:v>6619.1</c:v>
                </c:pt>
                <c:pt idx="1038">
                  <c:v>6622.1</c:v>
                </c:pt>
                <c:pt idx="1039">
                  <c:v>6625.1</c:v>
                </c:pt>
                <c:pt idx="1040">
                  <c:v>6628.1</c:v>
                </c:pt>
                <c:pt idx="1041">
                  <c:v>6631.1</c:v>
                </c:pt>
                <c:pt idx="1042">
                  <c:v>6634.1</c:v>
                </c:pt>
                <c:pt idx="1043">
                  <c:v>6637.1</c:v>
                </c:pt>
                <c:pt idx="1044">
                  <c:v>6640.1</c:v>
                </c:pt>
                <c:pt idx="1045">
                  <c:v>6643.1</c:v>
                </c:pt>
                <c:pt idx="1046">
                  <c:v>6646.1</c:v>
                </c:pt>
                <c:pt idx="1047">
                  <c:v>6649.1</c:v>
                </c:pt>
                <c:pt idx="1048">
                  <c:v>6652.1</c:v>
                </c:pt>
                <c:pt idx="1049">
                  <c:v>6655.1</c:v>
                </c:pt>
                <c:pt idx="1050">
                  <c:v>6658.1</c:v>
                </c:pt>
                <c:pt idx="1051">
                  <c:v>6661.1</c:v>
                </c:pt>
                <c:pt idx="1052">
                  <c:v>6664.1</c:v>
                </c:pt>
                <c:pt idx="1053">
                  <c:v>6667.1</c:v>
                </c:pt>
                <c:pt idx="1054">
                  <c:v>6670.1</c:v>
                </c:pt>
                <c:pt idx="1055">
                  <c:v>6673.1</c:v>
                </c:pt>
                <c:pt idx="1056">
                  <c:v>6676.1</c:v>
                </c:pt>
                <c:pt idx="1057">
                  <c:v>6679.1</c:v>
                </c:pt>
                <c:pt idx="1058">
                  <c:v>6682.1</c:v>
                </c:pt>
                <c:pt idx="1059">
                  <c:v>6685.1</c:v>
                </c:pt>
                <c:pt idx="1060">
                  <c:v>6688.1</c:v>
                </c:pt>
                <c:pt idx="1061">
                  <c:v>6691.1</c:v>
                </c:pt>
                <c:pt idx="1062">
                  <c:v>6694.1</c:v>
                </c:pt>
                <c:pt idx="1063">
                  <c:v>6697.1</c:v>
                </c:pt>
                <c:pt idx="1064">
                  <c:v>6700.1</c:v>
                </c:pt>
                <c:pt idx="1065">
                  <c:v>6703.1</c:v>
                </c:pt>
                <c:pt idx="1066">
                  <c:v>6706.1</c:v>
                </c:pt>
                <c:pt idx="1067">
                  <c:v>6709.1</c:v>
                </c:pt>
                <c:pt idx="1068">
                  <c:v>6712.1</c:v>
                </c:pt>
                <c:pt idx="1069">
                  <c:v>6715.1</c:v>
                </c:pt>
                <c:pt idx="1070">
                  <c:v>6718.1</c:v>
                </c:pt>
                <c:pt idx="1071">
                  <c:v>6721.1</c:v>
                </c:pt>
                <c:pt idx="1072">
                  <c:v>6724.1</c:v>
                </c:pt>
                <c:pt idx="1073">
                  <c:v>6727.1</c:v>
                </c:pt>
                <c:pt idx="1074">
                  <c:v>6730.1</c:v>
                </c:pt>
                <c:pt idx="1075">
                  <c:v>6733.1</c:v>
                </c:pt>
                <c:pt idx="1076">
                  <c:v>6736.1</c:v>
                </c:pt>
                <c:pt idx="1077">
                  <c:v>6739.1</c:v>
                </c:pt>
                <c:pt idx="1078">
                  <c:v>6742.1</c:v>
                </c:pt>
                <c:pt idx="1079">
                  <c:v>6745.1</c:v>
                </c:pt>
                <c:pt idx="1080">
                  <c:v>6748.1</c:v>
                </c:pt>
                <c:pt idx="1081">
                  <c:v>6751.1</c:v>
                </c:pt>
                <c:pt idx="1082">
                  <c:v>6754.1</c:v>
                </c:pt>
                <c:pt idx="1083">
                  <c:v>6757.1</c:v>
                </c:pt>
                <c:pt idx="1084">
                  <c:v>6760.1</c:v>
                </c:pt>
                <c:pt idx="1085">
                  <c:v>6763.1</c:v>
                </c:pt>
                <c:pt idx="1086">
                  <c:v>6766.1</c:v>
                </c:pt>
                <c:pt idx="1087">
                  <c:v>6769.1</c:v>
                </c:pt>
                <c:pt idx="1088">
                  <c:v>6772.1</c:v>
                </c:pt>
                <c:pt idx="1089">
                  <c:v>6775.1</c:v>
                </c:pt>
                <c:pt idx="1090">
                  <c:v>6778.1</c:v>
                </c:pt>
                <c:pt idx="1091">
                  <c:v>6781.1</c:v>
                </c:pt>
                <c:pt idx="1092">
                  <c:v>6784.1</c:v>
                </c:pt>
                <c:pt idx="1093">
                  <c:v>6787.1</c:v>
                </c:pt>
                <c:pt idx="1094">
                  <c:v>6790.1</c:v>
                </c:pt>
                <c:pt idx="1095">
                  <c:v>6793.1</c:v>
                </c:pt>
                <c:pt idx="1096">
                  <c:v>6796.1</c:v>
                </c:pt>
                <c:pt idx="1097">
                  <c:v>6799.1</c:v>
                </c:pt>
                <c:pt idx="1098">
                  <c:v>6802.1</c:v>
                </c:pt>
                <c:pt idx="1099">
                  <c:v>6805.1</c:v>
                </c:pt>
                <c:pt idx="1100">
                  <c:v>6808.1</c:v>
                </c:pt>
                <c:pt idx="1101">
                  <c:v>6811.1</c:v>
                </c:pt>
                <c:pt idx="1102">
                  <c:v>6814.1</c:v>
                </c:pt>
                <c:pt idx="1103">
                  <c:v>6817.1</c:v>
                </c:pt>
                <c:pt idx="1104">
                  <c:v>6820.1</c:v>
                </c:pt>
                <c:pt idx="1105">
                  <c:v>6823.1</c:v>
                </c:pt>
                <c:pt idx="1106">
                  <c:v>6826.1</c:v>
                </c:pt>
                <c:pt idx="1107">
                  <c:v>6829.1</c:v>
                </c:pt>
                <c:pt idx="1108">
                  <c:v>6832.1</c:v>
                </c:pt>
                <c:pt idx="1109">
                  <c:v>6835.1</c:v>
                </c:pt>
                <c:pt idx="1110">
                  <c:v>6838.1</c:v>
                </c:pt>
                <c:pt idx="1111">
                  <c:v>6841.1</c:v>
                </c:pt>
                <c:pt idx="1112">
                  <c:v>6844.1</c:v>
                </c:pt>
                <c:pt idx="1113">
                  <c:v>6847.1</c:v>
                </c:pt>
                <c:pt idx="1114">
                  <c:v>6850.1</c:v>
                </c:pt>
                <c:pt idx="1115">
                  <c:v>6853.1</c:v>
                </c:pt>
                <c:pt idx="1116">
                  <c:v>6856.1</c:v>
                </c:pt>
                <c:pt idx="1117">
                  <c:v>6859.1</c:v>
                </c:pt>
                <c:pt idx="1118">
                  <c:v>6862.1</c:v>
                </c:pt>
                <c:pt idx="1119">
                  <c:v>6865.1</c:v>
                </c:pt>
                <c:pt idx="1120">
                  <c:v>6868.1</c:v>
                </c:pt>
                <c:pt idx="1121">
                  <c:v>11376.759839999999</c:v>
                </c:pt>
                <c:pt idx="1122">
                  <c:v>11376.759839999999</c:v>
                </c:pt>
                <c:pt idx="1123">
                  <c:v>11376.759839999999</c:v>
                </c:pt>
                <c:pt idx="1124">
                  <c:v>11376.759839999999</c:v>
                </c:pt>
                <c:pt idx="1125">
                  <c:v>11376.759839999999</c:v>
                </c:pt>
                <c:pt idx="1126">
                  <c:v>11376.759839999999</c:v>
                </c:pt>
                <c:pt idx="1127">
                  <c:v>11376.759839999999</c:v>
                </c:pt>
                <c:pt idx="1128">
                  <c:v>11376.759839999999</c:v>
                </c:pt>
                <c:pt idx="1129">
                  <c:v>11376.759839999999</c:v>
                </c:pt>
              </c:numCache>
            </c:numRef>
          </c:val>
          <c:smooth val="0"/>
          <c:extLst>
            <c:ext xmlns:c16="http://schemas.microsoft.com/office/drawing/2014/chart" uri="{C3380CC4-5D6E-409C-BE32-E72D297353CC}">
              <c16:uniqueId val="{00000001-97B8-46AE-9163-E36C09295B1D}"/>
            </c:ext>
          </c:extLst>
        </c:ser>
        <c:ser>
          <c:idx val="2"/>
          <c:order val="2"/>
          <c:tx>
            <c:strRef>
              <c:f>'T9. Shipping'!$AK$38</c:f>
              <c:strCache>
                <c:ptCount val="1"/>
                <c:pt idx="0">
                  <c:v> Parcel only price </c:v>
                </c:pt>
              </c:strCache>
            </c:strRef>
          </c:tx>
          <c:spPr>
            <a:ln w="28575" cap="rnd">
              <a:solidFill>
                <a:schemeClr val="accent1"/>
              </a:solidFill>
              <a:round/>
            </a:ln>
            <a:effectLst/>
          </c:spPr>
          <c:marker>
            <c:symbol val="none"/>
          </c:marker>
          <c:val>
            <c:numRef>
              <c:f>'T9. Shipping'!$AK$39:$AK$1168</c:f>
              <c:numCache>
                <c:formatCode>_-[$$-409]* #,##0_ ;_-[$$-409]* \-#,##0\ ;_-[$$-409]* "-"??_ ;_-@_ </c:formatCode>
                <c:ptCount val="1130"/>
                <c:pt idx="0">
                  <c:v>996</c:v>
                </c:pt>
                <c:pt idx="1">
                  <c:v>1001</c:v>
                </c:pt>
                <c:pt idx="2">
                  <c:v>1006</c:v>
                </c:pt>
                <c:pt idx="3">
                  <c:v>1011</c:v>
                </c:pt>
                <c:pt idx="4">
                  <c:v>1016</c:v>
                </c:pt>
                <c:pt idx="5">
                  <c:v>1021</c:v>
                </c:pt>
                <c:pt idx="6">
                  <c:v>1026</c:v>
                </c:pt>
                <c:pt idx="7">
                  <c:v>1031</c:v>
                </c:pt>
                <c:pt idx="8">
                  <c:v>1036</c:v>
                </c:pt>
                <c:pt idx="9">
                  <c:v>1041</c:v>
                </c:pt>
                <c:pt idx="10">
                  <c:v>1046</c:v>
                </c:pt>
                <c:pt idx="11">
                  <c:v>1051</c:v>
                </c:pt>
                <c:pt idx="12">
                  <c:v>1056</c:v>
                </c:pt>
                <c:pt idx="13">
                  <c:v>1061</c:v>
                </c:pt>
                <c:pt idx="14">
                  <c:v>1066</c:v>
                </c:pt>
                <c:pt idx="15">
                  <c:v>1071</c:v>
                </c:pt>
                <c:pt idx="16">
                  <c:v>1076</c:v>
                </c:pt>
                <c:pt idx="17">
                  <c:v>1081</c:v>
                </c:pt>
                <c:pt idx="18">
                  <c:v>1086</c:v>
                </c:pt>
                <c:pt idx="19">
                  <c:v>1091</c:v>
                </c:pt>
                <c:pt idx="20">
                  <c:v>1096</c:v>
                </c:pt>
                <c:pt idx="21">
                  <c:v>1101</c:v>
                </c:pt>
                <c:pt idx="22">
                  <c:v>1106</c:v>
                </c:pt>
                <c:pt idx="23">
                  <c:v>1111</c:v>
                </c:pt>
                <c:pt idx="24">
                  <c:v>1116</c:v>
                </c:pt>
                <c:pt idx="25">
                  <c:v>2112</c:v>
                </c:pt>
                <c:pt idx="26">
                  <c:v>2117</c:v>
                </c:pt>
                <c:pt idx="27">
                  <c:v>2122</c:v>
                </c:pt>
                <c:pt idx="28">
                  <c:v>2127</c:v>
                </c:pt>
                <c:pt idx="29">
                  <c:v>2132</c:v>
                </c:pt>
                <c:pt idx="30">
                  <c:v>2137</c:v>
                </c:pt>
                <c:pt idx="31">
                  <c:v>2142</c:v>
                </c:pt>
                <c:pt idx="32">
                  <c:v>2147</c:v>
                </c:pt>
                <c:pt idx="33">
                  <c:v>2152</c:v>
                </c:pt>
                <c:pt idx="34">
                  <c:v>2157</c:v>
                </c:pt>
                <c:pt idx="35">
                  <c:v>2162</c:v>
                </c:pt>
                <c:pt idx="36">
                  <c:v>2167</c:v>
                </c:pt>
                <c:pt idx="37">
                  <c:v>2172</c:v>
                </c:pt>
                <c:pt idx="38">
                  <c:v>2177</c:v>
                </c:pt>
                <c:pt idx="39">
                  <c:v>2182</c:v>
                </c:pt>
                <c:pt idx="40">
                  <c:v>2187</c:v>
                </c:pt>
                <c:pt idx="41">
                  <c:v>2192</c:v>
                </c:pt>
                <c:pt idx="42">
                  <c:v>2197</c:v>
                </c:pt>
                <c:pt idx="43">
                  <c:v>2202</c:v>
                </c:pt>
                <c:pt idx="44">
                  <c:v>2207</c:v>
                </c:pt>
                <c:pt idx="45">
                  <c:v>2212</c:v>
                </c:pt>
                <c:pt idx="46">
                  <c:v>2217</c:v>
                </c:pt>
                <c:pt idx="47">
                  <c:v>2222</c:v>
                </c:pt>
                <c:pt idx="48">
                  <c:v>2227</c:v>
                </c:pt>
                <c:pt idx="49">
                  <c:v>2232</c:v>
                </c:pt>
                <c:pt idx="50">
                  <c:v>2237</c:v>
                </c:pt>
                <c:pt idx="51">
                  <c:v>3182.2</c:v>
                </c:pt>
                <c:pt idx="52">
                  <c:v>3185.2</c:v>
                </c:pt>
                <c:pt idx="53">
                  <c:v>3188.2</c:v>
                </c:pt>
                <c:pt idx="54">
                  <c:v>3191.2</c:v>
                </c:pt>
                <c:pt idx="55">
                  <c:v>3194.2</c:v>
                </c:pt>
                <c:pt idx="56">
                  <c:v>3197.2</c:v>
                </c:pt>
                <c:pt idx="57">
                  <c:v>3200.2</c:v>
                </c:pt>
                <c:pt idx="58">
                  <c:v>3203.2</c:v>
                </c:pt>
                <c:pt idx="59">
                  <c:v>3206.2</c:v>
                </c:pt>
                <c:pt idx="60">
                  <c:v>3209.2</c:v>
                </c:pt>
                <c:pt idx="61">
                  <c:v>3212.2</c:v>
                </c:pt>
                <c:pt idx="62">
                  <c:v>3215.2</c:v>
                </c:pt>
                <c:pt idx="63">
                  <c:v>3218.2</c:v>
                </c:pt>
                <c:pt idx="64">
                  <c:v>3221.2</c:v>
                </c:pt>
                <c:pt idx="65">
                  <c:v>3224.2</c:v>
                </c:pt>
                <c:pt idx="66">
                  <c:v>3227.2</c:v>
                </c:pt>
                <c:pt idx="67">
                  <c:v>3230.2</c:v>
                </c:pt>
                <c:pt idx="68">
                  <c:v>3233.2</c:v>
                </c:pt>
                <c:pt idx="69">
                  <c:v>3236.2</c:v>
                </c:pt>
                <c:pt idx="70">
                  <c:v>3239.2</c:v>
                </c:pt>
                <c:pt idx="71">
                  <c:v>3242.2</c:v>
                </c:pt>
                <c:pt idx="72">
                  <c:v>3245.2</c:v>
                </c:pt>
                <c:pt idx="73">
                  <c:v>3248.2</c:v>
                </c:pt>
                <c:pt idx="74">
                  <c:v>3251.2</c:v>
                </c:pt>
                <c:pt idx="75">
                  <c:v>3254.2</c:v>
                </c:pt>
                <c:pt idx="76">
                  <c:v>3257.2</c:v>
                </c:pt>
                <c:pt idx="77">
                  <c:v>4135.6000000000004</c:v>
                </c:pt>
                <c:pt idx="78">
                  <c:v>4138.6000000000004</c:v>
                </c:pt>
                <c:pt idx="79">
                  <c:v>4141.6000000000004</c:v>
                </c:pt>
                <c:pt idx="80">
                  <c:v>4144.6000000000004</c:v>
                </c:pt>
                <c:pt idx="81">
                  <c:v>4147.6000000000004</c:v>
                </c:pt>
                <c:pt idx="82">
                  <c:v>4150.6000000000004</c:v>
                </c:pt>
                <c:pt idx="83">
                  <c:v>4153.6000000000004</c:v>
                </c:pt>
                <c:pt idx="84">
                  <c:v>4156.6000000000004</c:v>
                </c:pt>
                <c:pt idx="85">
                  <c:v>4159.6000000000004</c:v>
                </c:pt>
                <c:pt idx="86">
                  <c:v>4162.6000000000004</c:v>
                </c:pt>
                <c:pt idx="87">
                  <c:v>4165.6000000000004</c:v>
                </c:pt>
                <c:pt idx="88">
                  <c:v>4168.6000000000004</c:v>
                </c:pt>
                <c:pt idx="89">
                  <c:v>4171.6000000000004</c:v>
                </c:pt>
                <c:pt idx="90">
                  <c:v>4174.6000000000004</c:v>
                </c:pt>
                <c:pt idx="91">
                  <c:v>4177.6000000000004</c:v>
                </c:pt>
                <c:pt idx="92">
                  <c:v>4180.6000000000004</c:v>
                </c:pt>
                <c:pt idx="93">
                  <c:v>4183.6000000000004</c:v>
                </c:pt>
                <c:pt idx="94">
                  <c:v>4186.6000000000004</c:v>
                </c:pt>
                <c:pt idx="95">
                  <c:v>4189.6000000000004</c:v>
                </c:pt>
                <c:pt idx="96">
                  <c:v>4192.6000000000004</c:v>
                </c:pt>
                <c:pt idx="97">
                  <c:v>4195.6000000000004</c:v>
                </c:pt>
                <c:pt idx="98">
                  <c:v>4198.6000000000004</c:v>
                </c:pt>
                <c:pt idx="99">
                  <c:v>4201.6000000000004</c:v>
                </c:pt>
                <c:pt idx="100">
                  <c:v>4204.6000000000004</c:v>
                </c:pt>
                <c:pt idx="101">
                  <c:v>4207.6000000000004</c:v>
                </c:pt>
                <c:pt idx="102">
                  <c:v>4210.6000000000004</c:v>
                </c:pt>
                <c:pt idx="103">
                  <c:v>5089</c:v>
                </c:pt>
                <c:pt idx="104">
                  <c:v>5092</c:v>
                </c:pt>
                <c:pt idx="105">
                  <c:v>5095</c:v>
                </c:pt>
                <c:pt idx="106">
                  <c:v>5098</c:v>
                </c:pt>
                <c:pt idx="107">
                  <c:v>5101</c:v>
                </c:pt>
                <c:pt idx="108">
                  <c:v>5104</c:v>
                </c:pt>
                <c:pt idx="109">
                  <c:v>5107</c:v>
                </c:pt>
                <c:pt idx="110">
                  <c:v>5110</c:v>
                </c:pt>
                <c:pt idx="111">
                  <c:v>5113</c:v>
                </c:pt>
                <c:pt idx="112">
                  <c:v>5116</c:v>
                </c:pt>
                <c:pt idx="113">
                  <c:v>5119</c:v>
                </c:pt>
                <c:pt idx="114">
                  <c:v>5122</c:v>
                </c:pt>
                <c:pt idx="115">
                  <c:v>5125</c:v>
                </c:pt>
                <c:pt idx="116">
                  <c:v>5128</c:v>
                </c:pt>
                <c:pt idx="117">
                  <c:v>5131</c:v>
                </c:pt>
                <c:pt idx="118">
                  <c:v>5134</c:v>
                </c:pt>
                <c:pt idx="119">
                  <c:v>5137</c:v>
                </c:pt>
                <c:pt idx="120">
                  <c:v>5140</c:v>
                </c:pt>
                <c:pt idx="121">
                  <c:v>5143</c:v>
                </c:pt>
                <c:pt idx="122">
                  <c:v>5146</c:v>
                </c:pt>
                <c:pt idx="123">
                  <c:v>5149</c:v>
                </c:pt>
                <c:pt idx="124">
                  <c:v>5152</c:v>
                </c:pt>
                <c:pt idx="125">
                  <c:v>5155</c:v>
                </c:pt>
                <c:pt idx="126">
                  <c:v>5158</c:v>
                </c:pt>
                <c:pt idx="127">
                  <c:v>5161</c:v>
                </c:pt>
                <c:pt idx="128">
                  <c:v>5164</c:v>
                </c:pt>
                <c:pt idx="129">
                  <c:v>6042.4</c:v>
                </c:pt>
                <c:pt idx="130">
                  <c:v>6045.4</c:v>
                </c:pt>
                <c:pt idx="131">
                  <c:v>6048.4</c:v>
                </c:pt>
                <c:pt idx="132">
                  <c:v>6051.4</c:v>
                </c:pt>
                <c:pt idx="133">
                  <c:v>6054.4</c:v>
                </c:pt>
                <c:pt idx="134">
                  <c:v>6057.4</c:v>
                </c:pt>
                <c:pt idx="135">
                  <c:v>6060.4</c:v>
                </c:pt>
                <c:pt idx="136">
                  <c:v>6063.4</c:v>
                </c:pt>
                <c:pt idx="137">
                  <c:v>6066.4</c:v>
                </c:pt>
                <c:pt idx="138">
                  <c:v>6069.4</c:v>
                </c:pt>
                <c:pt idx="139">
                  <c:v>6072.4</c:v>
                </c:pt>
                <c:pt idx="140">
                  <c:v>6075.4</c:v>
                </c:pt>
                <c:pt idx="141">
                  <c:v>6078.4</c:v>
                </c:pt>
                <c:pt idx="142">
                  <c:v>6081.4</c:v>
                </c:pt>
                <c:pt idx="143">
                  <c:v>6084.4</c:v>
                </c:pt>
                <c:pt idx="144">
                  <c:v>6087.4</c:v>
                </c:pt>
                <c:pt idx="145">
                  <c:v>6090.4</c:v>
                </c:pt>
                <c:pt idx="146">
                  <c:v>6093.4</c:v>
                </c:pt>
                <c:pt idx="147">
                  <c:v>6096.4</c:v>
                </c:pt>
                <c:pt idx="148">
                  <c:v>6099.4</c:v>
                </c:pt>
                <c:pt idx="149">
                  <c:v>6102.4</c:v>
                </c:pt>
                <c:pt idx="150">
                  <c:v>6105.4</c:v>
                </c:pt>
                <c:pt idx="151">
                  <c:v>6108.4</c:v>
                </c:pt>
                <c:pt idx="152">
                  <c:v>6111.4</c:v>
                </c:pt>
                <c:pt idx="153">
                  <c:v>6114.4</c:v>
                </c:pt>
                <c:pt idx="154">
                  <c:v>6992.7999999999993</c:v>
                </c:pt>
                <c:pt idx="155">
                  <c:v>6995.7999999999993</c:v>
                </c:pt>
                <c:pt idx="156">
                  <c:v>6998.7999999999993</c:v>
                </c:pt>
                <c:pt idx="157">
                  <c:v>7001.7999999999993</c:v>
                </c:pt>
                <c:pt idx="158">
                  <c:v>7004.7999999999993</c:v>
                </c:pt>
                <c:pt idx="159">
                  <c:v>7007.7999999999993</c:v>
                </c:pt>
                <c:pt idx="160">
                  <c:v>7010.7999999999993</c:v>
                </c:pt>
                <c:pt idx="161">
                  <c:v>7013.7999999999993</c:v>
                </c:pt>
                <c:pt idx="162">
                  <c:v>7016.7999999999993</c:v>
                </c:pt>
                <c:pt idx="163">
                  <c:v>7019.7999999999993</c:v>
                </c:pt>
                <c:pt idx="164">
                  <c:v>7022.7999999999993</c:v>
                </c:pt>
                <c:pt idx="165">
                  <c:v>7025.7999999999993</c:v>
                </c:pt>
                <c:pt idx="166">
                  <c:v>7028.7999999999993</c:v>
                </c:pt>
                <c:pt idx="167">
                  <c:v>7031.7999999999993</c:v>
                </c:pt>
                <c:pt idx="168">
                  <c:v>7034.7999999999993</c:v>
                </c:pt>
                <c:pt idx="169">
                  <c:v>7037.7999999999993</c:v>
                </c:pt>
                <c:pt idx="170">
                  <c:v>7040.7999999999993</c:v>
                </c:pt>
                <c:pt idx="171">
                  <c:v>7043.7999999999993</c:v>
                </c:pt>
                <c:pt idx="172">
                  <c:v>7046.7999999999993</c:v>
                </c:pt>
                <c:pt idx="173">
                  <c:v>7049.7999999999993</c:v>
                </c:pt>
                <c:pt idx="174">
                  <c:v>7052.7999999999993</c:v>
                </c:pt>
                <c:pt idx="175">
                  <c:v>7055.7999999999993</c:v>
                </c:pt>
                <c:pt idx="176">
                  <c:v>7058.7999999999993</c:v>
                </c:pt>
                <c:pt idx="177">
                  <c:v>7061.7999999999993</c:v>
                </c:pt>
                <c:pt idx="178">
                  <c:v>7064.7999999999993</c:v>
                </c:pt>
                <c:pt idx="179">
                  <c:v>7067.7999999999993</c:v>
                </c:pt>
                <c:pt idx="180">
                  <c:v>7946.2</c:v>
                </c:pt>
                <c:pt idx="181">
                  <c:v>7949.2</c:v>
                </c:pt>
                <c:pt idx="182">
                  <c:v>7952.2</c:v>
                </c:pt>
                <c:pt idx="183">
                  <c:v>7955.2</c:v>
                </c:pt>
                <c:pt idx="184">
                  <c:v>7958.2</c:v>
                </c:pt>
                <c:pt idx="185">
                  <c:v>7961.2</c:v>
                </c:pt>
                <c:pt idx="186">
                  <c:v>7964.2</c:v>
                </c:pt>
                <c:pt idx="187">
                  <c:v>7967.2</c:v>
                </c:pt>
                <c:pt idx="188">
                  <c:v>7970.2</c:v>
                </c:pt>
                <c:pt idx="189">
                  <c:v>7973.2</c:v>
                </c:pt>
                <c:pt idx="190">
                  <c:v>7976.2</c:v>
                </c:pt>
                <c:pt idx="191">
                  <c:v>7979.2</c:v>
                </c:pt>
                <c:pt idx="192">
                  <c:v>7982.2</c:v>
                </c:pt>
                <c:pt idx="193">
                  <c:v>7985.2</c:v>
                </c:pt>
                <c:pt idx="194">
                  <c:v>7988.2</c:v>
                </c:pt>
                <c:pt idx="195">
                  <c:v>7991.2</c:v>
                </c:pt>
                <c:pt idx="196">
                  <c:v>7994.2</c:v>
                </c:pt>
                <c:pt idx="197">
                  <c:v>7997.2</c:v>
                </c:pt>
                <c:pt idx="198">
                  <c:v>8000.2</c:v>
                </c:pt>
                <c:pt idx="199">
                  <c:v>8003.2</c:v>
                </c:pt>
                <c:pt idx="200">
                  <c:v>8006.2</c:v>
                </c:pt>
                <c:pt idx="201">
                  <c:v>8009.2</c:v>
                </c:pt>
                <c:pt idx="202">
                  <c:v>8012.2</c:v>
                </c:pt>
                <c:pt idx="203">
                  <c:v>8015.2</c:v>
                </c:pt>
                <c:pt idx="204">
                  <c:v>8018.2</c:v>
                </c:pt>
                <c:pt idx="205">
                  <c:v>8021.2</c:v>
                </c:pt>
                <c:pt idx="206">
                  <c:v>8899.6</c:v>
                </c:pt>
                <c:pt idx="207">
                  <c:v>8902.6</c:v>
                </c:pt>
                <c:pt idx="208">
                  <c:v>8905.6</c:v>
                </c:pt>
                <c:pt idx="209">
                  <c:v>8908.6</c:v>
                </c:pt>
                <c:pt idx="210">
                  <c:v>8911.6</c:v>
                </c:pt>
                <c:pt idx="211">
                  <c:v>8914.6</c:v>
                </c:pt>
                <c:pt idx="212">
                  <c:v>8917.6</c:v>
                </c:pt>
                <c:pt idx="213">
                  <c:v>8920.6</c:v>
                </c:pt>
                <c:pt idx="214">
                  <c:v>8923.6</c:v>
                </c:pt>
                <c:pt idx="215">
                  <c:v>8926.6</c:v>
                </c:pt>
                <c:pt idx="216">
                  <c:v>8929.6</c:v>
                </c:pt>
                <c:pt idx="217">
                  <c:v>8932.6</c:v>
                </c:pt>
                <c:pt idx="218">
                  <c:v>8935.6</c:v>
                </c:pt>
                <c:pt idx="219">
                  <c:v>8938.6</c:v>
                </c:pt>
                <c:pt idx="220">
                  <c:v>8941.6</c:v>
                </c:pt>
                <c:pt idx="221">
                  <c:v>8944.6</c:v>
                </c:pt>
                <c:pt idx="222">
                  <c:v>8947.6</c:v>
                </c:pt>
                <c:pt idx="223">
                  <c:v>8950.6</c:v>
                </c:pt>
                <c:pt idx="224">
                  <c:v>8953.6</c:v>
                </c:pt>
                <c:pt idx="225">
                  <c:v>8956.6</c:v>
                </c:pt>
                <c:pt idx="226">
                  <c:v>8959.6</c:v>
                </c:pt>
                <c:pt idx="227">
                  <c:v>8962.6</c:v>
                </c:pt>
                <c:pt idx="228">
                  <c:v>8965.6</c:v>
                </c:pt>
                <c:pt idx="229">
                  <c:v>8968.6</c:v>
                </c:pt>
                <c:pt idx="230">
                  <c:v>8971.6</c:v>
                </c:pt>
                <c:pt idx="231">
                  <c:v>8974.6</c:v>
                </c:pt>
                <c:pt idx="232">
                  <c:v>9853</c:v>
                </c:pt>
                <c:pt idx="233">
                  <c:v>9856</c:v>
                </c:pt>
                <c:pt idx="234">
                  <c:v>9859</c:v>
                </c:pt>
                <c:pt idx="235">
                  <c:v>9862</c:v>
                </c:pt>
                <c:pt idx="236">
                  <c:v>9865</c:v>
                </c:pt>
                <c:pt idx="237">
                  <c:v>9868</c:v>
                </c:pt>
                <c:pt idx="238">
                  <c:v>9871</c:v>
                </c:pt>
                <c:pt idx="239">
                  <c:v>9874</c:v>
                </c:pt>
                <c:pt idx="240">
                  <c:v>9877</c:v>
                </c:pt>
                <c:pt idx="241">
                  <c:v>9880</c:v>
                </c:pt>
                <c:pt idx="242">
                  <c:v>9883</c:v>
                </c:pt>
                <c:pt idx="243">
                  <c:v>9886</c:v>
                </c:pt>
                <c:pt idx="244">
                  <c:v>9889</c:v>
                </c:pt>
                <c:pt idx="245">
                  <c:v>9892</c:v>
                </c:pt>
                <c:pt idx="246">
                  <c:v>9895</c:v>
                </c:pt>
                <c:pt idx="247">
                  <c:v>9898</c:v>
                </c:pt>
                <c:pt idx="248">
                  <c:v>9901</c:v>
                </c:pt>
                <c:pt idx="249">
                  <c:v>9904</c:v>
                </c:pt>
                <c:pt idx="250">
                  <c:v>9907</c:v>
                </c:pt>
                <c:pt idx="251">
                  <c:v>9910</c:v>
                </c:pt>
                <c:pt idx="252">
                  <c:v>9913</c:v>
                </c:pt>
                <c:pt idx="253">
                  <c:v>9916</c:v>
                </c:pt>
                <c:pt idx="254">
                  <c:v>9919</c:v>
                </c:pt>
                <c:pt idx="255">
                  <c:v>9922</c:v>
                </c:pt>
                <c:pt idx="256">
                  <c:v>9925</c:v>
                </c:pt>
                <c:pt idx="257">
                  <c:v>9928</c:v>
                </c:pt>
                <c:pt idx="258">
                  <c:v>10806.4</c:v>
                </c:pt>
                <c:pt idx="259">
                  <c:v>10809.4</c:v>
                </c:pt>
                <c:pt idx="260">
                  <c:v>10812.4</c:v>
                </c:pt>
                <c:pt idx="261">
                  <c:v>10815.4</c:v>
                </c:pt>
                <c:pt idx="262">
                  <c:v>10818.4</c:v>
                </c:pt>
                <c:pt idx="263">
                  <c:v>10821.4</c:v>
                </c:pt>
                <c:pt idx="264">
                  <c:v>10824.4</c:v>
                </c:pt>
                <c:pt idx="265">
                  <c:v>10827.4</c:v>
                </c:pt>
                <c:pt idx="266">
                  <c:v>10830.4</c:v>
                </c:pt>
                <c:pt idx="267">
                  <c:v>10833.4</c:v>
                </c:pt>
                <c:pt idx="268">
                  <c:v>10836.4</c:v>
                </c:pt>
                <c:pt idx="269">
                  <c:v>10839.4</c:v>
                </c:pt>
                <c:pt idx="270">
                  <c:v>10842.4</c:v>
                </c:pt>
                <c:pt idx="271">
                  <c:v>10845.4</c:v>
                </c:pt>
                <c:pt idx="272">
                  <c:v>10848.4</c:v>
                </c:pt>
                <c:pt idx="273">
                  <c:v>10851.4</c:v>
                </c:pt>
                <c:pt idx="274">
                  <c:v>10854.4</c:v>
                </c:pt>
                <c:pt idx="275">
                  <c:v>10857.4</c:v>
                </c:pt>
                <c:pt idx="276">
                  <c:v>10860.4</c:v>
                </c:pt>
                <c:pt idx="277">
                  <c:v>10863.4</c:v>
                </c:pt>
                <c:pt idx="278">
                  <c:v>10866.4</c:v>
                </c:pt>
                <c:pt idx="279">
                  <c:v>10869.4</c:v>
                </c:pt>
                <c:pt idx="280">
                  <c:v>10872.4</c:v>
                </c:pt>
                <c:pt idx="281">
                  <c:v>10875.4</c:v>
                </c:pt>
                <c:pt idx="282">
                  <c:v>10878.4</c:v>
                </c:pt>
                <c:pt idx="283">
                  <c:v>11756.8</c:v>
                </c:pt>
                <c:pt idx="284">
                  <c:v>11759.8</c:v>
                </c:pt>
                <c:pt idx="285">
                  <c:v>11762.8</c:v>
                </c:pt>
                <c:pt idx="286">
                  <c:v>11765.8</c:v>
                </c:pt>
                <c:pt idx="287">
                  <c:v>11768.8</c:v>
                </c:pt>
                <c:pt idx="288">
                  <c:v>11771.8</c:v>
                </c:pt>
                <c:pt idx="289">
                  <c:v>11774.8</c:v>
                </c:pt>
                <c:pt idx="290">
                  <c:v>11777.8</c:v>
                </c:pt>
                <c:pt idx="291">
                  <c:v>11780.8</c:v>
                </c:pt>
                <c:pt idx="292">
                  <c:v>11783.8</c:v>
                </c:pt>
                <c:pt idx="293">
                  <c:v>11786.8</c:v>
                </c:pt>
                <c:pt idx="294">
                  <c:v>11789.8</c:v>
                </c:pt>
                <c:pt idx="295">
                  <c:v>11792.8</c:v>
                </c:pt>
                <c:pt idx="296">
                  <c:v>11795.8</c:v>
                </c:pt>
                <c:pt idx="297">
                  <c:v>11798.8</c:v>
                </c:pt>
                <c:pt idx="298">
                  <c:v>11801.8</c:v>
                </c:pt>
                <c:pt idx="299">
                  <c:v>11804.8</c:v>
                </c:pt>
                <c:pt idx="300">
                  <c:v>11807.8</c:v>
                </c:pt>
                <c:pt idx="301">
                  <c:v>11810.8</c:v>
                </c:pt>
                <c:pt idx="302">
                  <c:v>11813.8</c:v>
                </c:pt>
                <c:pt idx="303">
                  <c:v>11816.8</c:v>
                </c:pt>
                <c:pt idx="304">
                  <c:v>11819.8</c:v>
                </c:pt>
                <c:pt idx="305">
                  <c:v>11822.8</c:v>
                </c:pt>
                <c:pt idx="306">
                  <c:v>11825.8</c:v>
                </c:pt>
                <c:pt idx="307">
                  <c:v>11828.8</c:v>
                </c:pt>
                <c:pt idx="308">
                  <c:v>11831.8</c:v>
                </c:pt>
                <c:pt idx="309">
                  <c:v>12710.2</c:v>
                </c:pt>
                <c:pt idx="310">
                  <c:v>12713.2</c:v>
                </c:pt>
                <c:pt idx="311">
                  <c:v>12716.2</c:v>
                </c:pt>
                <c:pt idx="312">
                  <c:v>12719.2</c:v>
                </c:pt>
                <c:pt idx="313">
                  <c:v>12722.2</c:v>
                </c:pt>
                <c:pt idx="314">
                  <c:v>12725.2</c:v>
                </c:pt>
                <c:pt idx="315">
                  <c:v>12728.2</c:v>
                </c:pt>
                <c:pt idx="316">
                  <c:v>12731.2</c:v>
                </c:pt>
                <c:pt idx="317">
                  <c:v>12734.2</c:v>
                </c:pt>
                <c:pt idx="318">
                  <c:v>12737.2</c:v>
                </c:pt>
                <c:pt idx="319">
                  <c:v>12740.2</c:v>
                </c:pt>
                <c:pt idx="320">
                  <c:v>12743.2</c:v>
                </c:pt>
                <c:pt idx="321">
                  <c:v>12746.2</c:v>
                </c:pt>
                <c:pt idx="322">
                  <c:v>12749.2</c:v>
                </c:pt>
                <c:pt idx="323">
                  <c:v>12752.2</c:v>
                </c:pt>
                <c:pt idx="324">
                  <c:v>12755.2</c:v>
                </c:pt>
                <c:pt idx="325">
                  <c:v>12758.2</c:v>
                </c:pt>
                <c:pt idx="326">
                  <c:v>12761.2</c:v>
                </c:pt>
                <c:pt idx="327">
                  <c:v>12764.2</c:v>
                </c:pt>
                <c:pt idx="328">
                  <c:v>12767.2</c:v>
                </c:pt>
                <c:pt idx="329">
                  <c:v>12770.2</c:v>
                </c:pt>
                <c:pt idx="330">
                  <c:v>12773.2</c:v>
                </c:pt>
                <c:pt idx="331">
                  <c:v>12776.2</c:v>
                </c:pt>
                <c:pt idx="332">
                  <c:v>12779.2</c:v>
                </c:pt>
                <c:pt idx="333">
                  <c:v>12782.2</c:v>
                </c:pt>
                <c:pt idx="334">
                  <c:v>12785.2</c:v>
                </c:pt>
                <c:pt idx="335">
                  <c:v>13663.599999999999</c:v>
                </c:pt>
                <c:pt idx="336">
                  <c:v>13666.599999999999</c:v>
                </c:pt>
                <c:pt idx="337">
                  <c:v>13669.599999999999</c:v>
                </c:pt>
                <c:pt idx="338">
                  <c:v>13672.599999999999</c:v>
                </c:pt>
                <c:pt idx="339">
                  <c:v>13675.599999999999</c:v>
                </c:pt>
                <c:pt idx="340">
                  <c:v>13678.599999999999</c:v>
                </c:pt>
                <c:pt idx="341">
                  <c:v>13681.599999999999</c:v>
                </c:pt>
                <c:pt idx="342">
                  <c:v>13684.599999999999</c:v>
                </c:pt>
                <c:pt idx="343">
                  <c:v>13687.599999999999</c:v>
                </c:pt>
                <c:pt idx="344">
                  <c:v>13690.599999999999</c:v>
                </c:pt>
                <c:pt idx="345">
                  <c:v>13693.599999999999</c:v>
                </c:pt>
                <c:pt idx="346">
                  <c:v>13696.599999999999</c:v>
                </c:pt>
                <c:pt idx="347">
                  <c:v>13699.599999999999</c:v>
                </c:pt>
                <c:pt idx="348">
                  <c:v>13702.599999999999</c:v>
                </c:pt>
                <c:pt idx="349">
                  <c:v>13705.599999999999</c:v>
                </c:pt>
                <c:pt idx="350">
                  <c:v>13708.599999999999</c:v>
                </c:pt>
                <c:pt idx="351">
                  <c:v>13711.599999999999</c:v>
                </c:pt>
                <c:pt idx="352">
                  <c:v>13714.599999999999</c:v>
                </c:pt>
                <c:pt idx="353">
                  <c:v>13717.599999999999</c:v>
                </c:pt>
                <c:pt idx="354">
                  <c:v>13720.599999999999</c:v>
                </c:pt>
                <c:pt idx="355">
                  <c:v>13723.599999999999</c:v>
                </c:pt>
                <c:pt idx="356">
                  <c:v>13726.599999999999</c:v>
                </c:pt>
                <c:pt idx="357">
                  <c:v>13729.599999999999</c:v>
                </c:pt>
                <c:pt idx="358">
                  <c:v>13732.599999999999</c:v>
                </c:pt>
                <c:pt idx="359">
                  <c:v>13735.599999999999</c:v>
                </c:pt>
                <c:pt idx="360">
                  <c:v>13738.599999999999</c:v>
                </c:pt>
                <c:pt idx="361">
                  <c:v>14617</c:v>
                </c:pt>
                <c:pt idx="362">
                  <c:v>14620</c:v>
                </c:pt>
                <c:pt idx="363">
                  <c:v>14623</c:v>
                </c:pt>
                <c:pt idx="364">
                  <c:v>14626</c:v>
                </c:pt>
                <c:pt idx="365">
                  <c:v>14629</c:v>
                </c:pt>
                <c:pt idx="366">
                  <c:v>14632</c:v>
                </c:pt>
                <c:pt idx="367">
                  <c:v>14635</c:v>
                </c:pt>
                <c:pt idx="368">
                  <c:v>14638</c:v>
                </c:pt>
                <c:pt idx="369">
                  <c:v>14641</c:v>
                </c:pt>
                <c:pt idx="370">
                  <c:v>14644</c:v>
                </c:pt>
                <c:pt idx="371">
                  <c:v>14647</c:v>
                </c:pt>
                <c:pt idx="372">
                  <c:v>14650</c:v>
                </c:pt>
                <c:pt idx="373">
                  <c:v>14653</c:v>
                </c:pt>
                <c:pt idx="374">
                  <c:v>14656</c:v>
                </c:pt>
                <c:pt idx="375">
                  <c:v>14659</c:v>
                </c:pt>
                <c:pt idx="376">
                  <c:v>14662</c:v>
                </c:pt>
                <c:pt idx="377">
                  <c:v>14665</c:v>
                </c:pt>
                <c:pt idx="378">
                  <c:v>14668</c:v>
                </c:pt>
                <c:pt idx="379">
                  <c:v>14671</c:v>
                </c:pt>
                <c:pt idx="380">
                  <c:v>14674</c:v>
                </c:pt>
                <c:pt idx="381">
                  <c:v>14677</c:v>
                </c:pt>
                <c:pt idx="382">
                  <c:v>14680</c:v>
                </c:pt>
                <c:pt idx="383">
                  <c:v>14683</c:v>
                </c:pt>
                <c:pt idx="384">
                  <c:v>14686</c:v>
                </c:pt>
                <c:pt idx="385">
                  <c:v>14689</c:v>
                </c:pt>
                <c:pt idx="386">
                  <c:v>14692</c:v>
                </c:pt>
                <c:pt idx="387">
                  <c:v>15570.4</c:v>
                </c:pt>
                <c:pt idx="388">
                  <c:v>15573.4</c:v>
                </c:pt>
                <c:pt idx="389">
                  <c:v>15576.4</c:v>
                </c:pt>
                <c:pt idx="390">
                  <c:v>15579.4</c:v>
                </c:pt>
                <c:pt idx="391">
                  <c:v>15582.4</c:v>
                </c:pt>
                <c:pt idx="392">
                  <c:v>15585.4</c:v>
                </c:pt>
                <c:pt idx="393">
                  <c:v>15588.4</c:v>
                </c:pt>
                <c:pt idx="394">
                  <c:v>15591.4</c:v>
                </c:pt>
                <c:pt idx="395">
                  <c:v>15594.4</c:v>
                </c:pt>
                <c:pt idx="396">
                  <c:v>15597.4</c:v>
                </c:pt>
                <c:pt idx="397">
                  <c:v>15600.4</c:v>
                </c:pt>
                <c:pt idx="398">
                  <c:v>15603.4</c:v>
                </c:pt>
                <c:pt idx="399">
                  <c:v>15606.4</c:v>
                </c:pt>
                <c:pt idx="400">
                  <c:v>15609.4</c:v>
                </c:pt>
                <c:pt idx="401">
                  <c:v>15612.4</c:v>
                </c:pt>
                <c:pt idx="402">
                  <c:v>15615.4</c:v>
                </c:pt>
                <c:pt idx="403">
                  <c:v>15618.4</c:v>
                </c:pt>
                <c:pt idx="404">
                  <c:v>15621.4</c:v>
                </c:pt>
                <c:pt idx="405">
                  <c:v>15624.4</c:v>
                </c:pt>
                <c:pt idx="406">
                  <c:v>15627.4</c:v>
                </c:pt>
                <c:pt idx="407">
                  <c:v>15630.4</c:v>
                </c:pt>
                <c:pt idx="408">
                  <c:v>15633.4</c:v>
                </c:pt>
                <c:pt idx="409">
                  <c:v>15636.4</c:v>
                </c:pt>
                <c:pt idx="410">
                  <c:v>15639.4</c:v>
                </c:pt>
                <c:pt idx="411">
                  <c:v>15642.4</c:v>
                </c:pt>
                <c:pt idx="412">
                  <c:v>16520.8</c:v>
                </c:pt>
                <c:pt idx="413">
                  <c:v>16523.8</c:v>
                </c:pt>
                <c:pt idx="414">
                  <c:v>16526.8</c:v>
                </c:pt>
                <c:pt idx="415">
                  <c:v>16529.8</c:v>
                </c:pt>
                <c:pt idx="416">
                  <c:v>16532.8</c:v>
                </c:pt>
                <c:pt idx="417">
                  <c:v>16535.8</c:v>
                </c:pt>
                <c:pt idx="418">
                  <c:v>16538.8</c:v>
                </c:pt>
                <c:pt idx="419">
                  <c:v>16541.8</c:v>
                </c:pt>
                <c:pt idx="420">
                  <c:v>16544.8</c:v>
                </c:pt>
                <c:pt idx="421">
                  <c:v>16547.8</c:v>
                </c:pt>
                <c:pt idx="422">
                  <c:v>16550.8</c:v>
                </c:pt>
                <c:pt idx="423">
                  <c:v>16553.8</c:v>
                </c:pt>
                <c:pt idx="424">
                  <c:v>16556.8</c:v>
                </c:pt>
                <c:pt idx="425">
                  <c:v>16559.8</c:v>
                </c:pt>
                <c:pt idx="426">
                  <c:v>16562.8</c:v>
                </c:pt>
                <c:pt idx="427">
                  <c:v>16565.8</c:v>
                </c:pt>
                <c:pt idx="428">
                  <c:v>16568.8</c:v>
                </c:pt>
                <c:pt idx="429">
                  <c:v>16571.8</c:v>
                </c:pt>
                <c:pt idx="430">
                  <c:v>16574.8</c:v>
                </c:pt>
                <c:pt idx="431">
                  <c:v>16577.8</c:v>
                </c:pt>
                <c:pt idx="432">
                  <c:v>16580.8</c:v>
                </c:pt>
                <c:pt idx="433">
                  <c:v>16583.8</c:v>
                </c:pt>
                <c:pt idx="434">
                  <c:v>16586.8</c:v>
                </c:pt>
                <c:pt idx="435">
                  <c:v>16589.8</c:v>
                </c:pt>
                <c:pt idx="436">
                  <c:v>16592.8</c:v>
                </c:pt>
                <c:pt idx="437">
                  <c:v>16595.8</c:v>
                </c:pt>
                <c:pt idx="438">
                  <c:v>17474.2</c:v>
                </c:pt>
                <c:pt idx="439">
                  <c:v>17477.2</c:v>
                </c:pt>
                <c:pt idx="440">
                  <c:v>17480.2</c:v>
                </c:pt>
                <c:pt idx="441">
                  <c:v>17483.2</c:v>
                </c:pt>
                <c:pt idx="442">
                  <c:v>17486.2</c:v>
                </c:pt>
                <c:pt idx="443">
                  <c:v>17489.2</c:v>
                </c:pt>
                <c:pt idx="444">
                  <c:v>17492.2</c:v>
                </c:pt>
                <c:pt idx="445">
                  <c:v>17495.2</c:v>
                </c:pt>
                <c:pt idx="446">
                  <c:v>17498.2</c:v>
                </c:pt>
                <c:pt idx="447">
                  <c:v>17501.2</c:v>
                </c:pt>
                <c:pt idx="448">
                  <c:v>17504.2</c:v>
                </c:pt>
                <c:pt idx="449">
                  <c:v>17507.2</c:v>
                </c:pt>
                <c:pt idx="450">
                  <c:v>17510.2</c:v>
                </c:pt>
                <c:pt idx="451">
                  <c:v>17513.2</c:v>
                </c:pt>
                <c:pt idx="452">
                  <c:v>17516.2</c:v>
                </c:pt>
                <c:pt idx="453">
                  <c:v>17519.2</c:v>
                </c:pt>
                <c:pt idx="454">
                  <c:v>17522.2</c:v>
                </c:pt>
                <c:pt idx="455">
                  <c:v>17525.2</c:v>
                </c:pt>
                <c:pt idx="456">
                  <c:v>17528.2</c:v>
                </c:pt>
                <c:pt idx="457">
                  <c:v>17531.2</c:v>
                </c:pt>
                <c:pt idx="458">
                  <c:v>17534.2</c:v>
                </c:pt>
                <c:pt idx="459">
                  <c:v>17537.2</c:v>
                </c:pt>
                <c:pt idx="460">
                  <c:v>17540.2</c:v>
                </c:pt>
                <c:pt idx="461">
                  <c:v>17543.2</c:v>
                </c:pt>
                <c:pt idx="462">
                  <c:v>17546.2</c:v>
                </c:pt>
                <c:pt idx="463">
                  <c:v>17549.2</c:v>
                </c:pt>
                <c:pt idx="464">
                  <c:v>18427.599999999999</c:v>
                </c:pt>
                <c:pt idx="465">
                  <c:v>18430.599999999999</c:v>
                </c:pt>
                <c:pt idx="466">
                  <c:v>18433.599999999999</c:v>
                </c:pt>
                <c:pt idx="467">
                  <c:v>18436.599999999999</c:v>
                </c:pt>
                <c:pt idx="468">
                  <c:v>18439.599999999999</c:v>
                </c:pt>
                <c:pt idx="469">
                  <c:v>18442.599999999999</c:v>
                </c:pt>
                <c:pt idx="470">
                  <c:v>18445.599999999999</c:v>
                </c:pt>
                <c:pt idx="471">
                  <c:v>18448.599999999999</c:v>
                </c:pt>
                <c:pt idx="472">
                  <c:v>18451.599999999999</c:v>
                </c:pt>
                <c:pt idx="473">
                  <c:v>18454.599999999999</c:v>
                </c:pt>
                <c:pt idx="474">
                  <c:v>18457.599999999999</c:v>
                </c:pt>
                <c:pt idx="475">
                  <c:v>18460.599999999999</c:v>
                </c:pt>
                <c:pt idx="476">
                  <c:v>18463.599999999999</c:v>
                </c:pt>
                <c:pt idx="477">
                  <c:v>18466.599999999999</c:v>
                </c:pt>
                <c:pt idx="478">
                  <c:v>18469.599999999999</c:v>
                </c:pt>
                <c:pt idx="479">
                  <c:v>18472.599999999999</c:v>
                </c:pt>
                <c:pt idx="480">
                  <c:v>18475.599999999999</c:v>
                </c:pt>
                <c:pt idx="481">
                  <c:v>18478.599999999999</c:v>
                </c:pt>
                <c:pt idx="482">
                  <c:v>18481.599999999999</c:v>
                </c:pt>
                <c:pt idx="483">
                  <c:v>18484.599999999999</c:v>
                </c:pt>
                <c:pt idx="484">
                  <c:v>18487.599999999999</c:v>
                </c:pt>
                <c:pt idx="485">
                  <c:v>18490.599999999999</c:v>
                </c:pt>
                <c:pt idx="486">
                  <c:v>18493.599999999999</c:v>
                </c:pt>
                <c:pt idx="487">
                  <c:v>18496.599999999999</c:v>
                </c:pt>
                <c:pt idx="488">
                  <c:v>18499.599999999999</c:v>
                </c:pt>
                <c:pt idx="489">
                  <c:v>18502.599999999999</c:v>
                </c:pt>
                <c:pt idx="490">
                  <c:v>19381</c:v>
                </c:pt>
                <c:pt idx="491">
                  <c:v>19384</c:v>
                </c:pt>
                <c:pt idx="492">
                  <c:v>19387</c:v>
                </c:pt>
                <c:pt idx="493">
                  <c:v>19390</c:v>
                </c:pt>
                <c:pt idx="494">
                  <c:v>19393</c:v>
                </c:pt>
                <c:pt idx="495">
                  <c:v>19396</c:v>
                </c:pt>
                <c:pt idx="496">
                  <c:v>19399</c:v>
                </c:pt>
                <c:pt idx="497">
                  <c:v>19402</c:v>
                </c:pt>
                <c:pt idx="498">
                  <c:v>19405</c:v>
                </c:pt>
                <c:pt idx="499">
                  <c:v>19408</c:v>
                </c:pt>
                <c:pt idx="500">
                  <c:v>19411</c:v>
                </c:pt>
                <c:pt idx="501">
                  <c:v>19414</c:v>
                </c:pt>
                <c:pt idx="502">
                  <c:v>19417</c:v>
                </c:pt>
                <c:pt idx="503">
                  <c:v>19420</c:v>
                </c:pt>
                <c:pt idx="504">
                  <c:v>19423</c:v>
                </c:pt>
                <c:pt idx="505">
                  <c:v>19426</c:v>
                </c:pt>
                <c:pt idx="506">
                  <c:v>19429</c:v>
                </c:pt>
                <c:pt idx="507">
                  <c:v>19432</c:v>
                </c:pt>
                <c:pt idx="508">
                  <c:v>19435</c:v>
                </c:pt>
                <c:pt idx="509">
                  <c:v>19438</c:v>
                </c:pt>
                <c:pt idx="510">
                  <c:v>19441</c:v>
                </c:pt>
                <c:pt idx="511">
                  <c:v>19444</c:v>
                </c:pt>
                <c:pt idx="512">
                  <c:v>19447</c:v>
                </c:pt>
                <c:pt idx="513">
                  <c:v>19450</c:v>
                </c:pt>
                <c:pt idx="514">
                  <c:v>19453</c:v>
                </c:pt>
                <c:pt idx="515">
                  <c:v>19456</c:v>
                </c:pt>
                <c:pt idx="516">
                  <c:v>20334.400000000001</c:v>
                </c:pt>
                <c:pt idx="517">
                  <c:v>20337.400000000001</c:v>
                </c:pt>
                <c:pt idx="518">
                  <c:v>20340.400000000001</c:v>
                </c:pt>
                <c:pt idx="519">
                  <c:v>20343.400000000001</c:v>
                </c:pt>
                <c:pt idx="520">
                  <c:v>20346.400000000001</c:v>
                </c:pt>
                <c:pt idx="521">
                  <c:v>20349.400000000001</c:v>
                </c:pt>
                <c:pt idx="522">
                  <c:v>20352.400000000001</c:v>
                </c:pt>
                <c:pt idx="523">
                  <c:v>20355.400000000001</c:v>
                </c:pt>
                <c:pt idx="524">
                  <c:v>20358.400000000001</c:v>
                </c:pt>
                <c:pt idx="525">
                  <c:v>20361.400000000001</c:v>
                </c:pt>
                <c:pt idx="526">
                  <c:v>20364.400000000001</c:v>
                </c:pt>
                <c:pt idx="527">
                  <c:v>20367.400000000001</c:v>
                </c:pt>
                <c:pt idx="528">
                  <c:v>20370.400000000001</c:v>
                </c:pt>
                <c:pt idx="529">
                  <c:v>20373.400000000001</c:v>
                </c:pt>
                <c:pt idx="530">
                  <c:v>20376.400000000001</c:v>
                </c:pt>
                <c:pt idx="531">
                  <c:v>20379.400000000001</c:v>
                </c:pt>
                <c:pt idx="532">
                  <c:v>20382.400000000001</c:v>
                </c:pt>
                <c:pt idx="533">
                  <c:v>20385.400000000001</c:v>
                </c:pt>
                <c:pt idx="534">
                  <c:v>20388.400000000001</c:v>
                </c:pt>
                <c:pt idx="535">
                  <c:v>20391.400000000001</c:v>
                </c:pt>
                <c:pt idx="536">
                  <c:v>20394.400000000001</c:v>
                </c:pt>
                <c:pt idx="537">
                  <c:v>20397.400000000001</c:v>
                </c:pt>
                <c:pt idx="538">
                  <c:v>20400.400000000001</c:v>
                </c:pt>
                <c:pt idx="539">
                  <c:v>20403.400000000001</c:v>
                </c:pt>
                <c:pt idx="540">
                  <c:v>20406.400000000001</c:v>
                </c:pt>
                <c:pt idx="541">
                  <c:v>21284.799999999999</c:v>
                </c:pt>
                <c:pt idx="542">
                  <c:v>21287.8</c:v>
                </c:pt>
                <c:pt idx="543">
                  <c:v>21290.799999999999</c:v>
                </c:pt>
                <c:pt idx="544">
                  <c:v>21293.8</c:v>
                </c:pt>
                <c:pt idx="545">
                  <c:v>21296.799999999999</c:v>
                </c:pt>
                <c:pt idx="546">
                  <c:v>21299.8</c:v>
                </c:pt>
                <c:pt idx="547">
                  <c:v>21302.799999999999</c:v>
                </c:pt>
                <c:pt idx="548">
                  <c:v>21305.8</c:v>
                </c:pt>
                <c:pt idx="549">
                  <c:v>21308.799999999999</c:v>
                </c:pt>
                <c:pt idx="550">
                  <c:v>21311.8</c:v>
                </c:pt>
                <c:pt idx="551">
                  <c:v>21314.799999999999</c:v>
                </c:pt>
                <c:pt idx="552">
                  <c:v>21317.8</c:v>
                </c:pt>
                <c:pt idx="553">
                  <c:v>21320.799999999999</c:v>
                </c:pt>
                <c:pt idx="554">
                  <c:v>21323.8</c:v>
                </c:pt>
                <c:pt idx="555">
                  <c:v>21326.799999999999</c:v>
                </c:pt>
                <c:pt idx="556">
                  <c:v>21329.8</c:v>
                </c:pt>
                <c:pt idx="557">
                  <c:v>21332.799999999999</c:v>
                </c:pt>
                <c:pt idx="558">
                  <c:v>21335.8</c:v>
                </c:pt>
                <c:pt idx="559">
                  <c:v>21338.799999999999</c:v>
                </c:pt>
                <c:pt idx="560">
                  <c:v>21341.8</c:v>
                </c:pt>
                <c:pt idx="561">
                  <c:v>21344.799999999999</c:v>
                </c:pt>
                <c:pt idx="562">
                  <c:v>21347.8</c:v>
                </c:pt>
                <c:pt idx="563">
                  <c:v>21350.799999999999</c:v>
                </c:pt>
                <c:pt idx="564">
                  <c:v>21353.8</c:v>
                </c:pt>
                <c:pt idx="565">
                  <c:v>21356.799999999999</c:v>
                </c:pt>
                <c:pt idx="566">
                  <c:v>21359.8</c:v>
                </c:pt>
                <c:pt idx="567">
                  <c:v>22238.2</c:v>
                </c:pt>
                <c:pt idx="568">
                  <c:v>22241.200000000001</c:v>
                </c:pt>
                <c:pt idx="569">
                  <c:v>22244.2</c:v>
                </c:pt>
                <c:pt idx="570">
                  <c:v>22247.200000000001</c:v>
                </c:pt>
                <c:pt idx="571">
                  <c:v>22250.2</c:v>
                </c:pt>
                <c:pt idx="572">
                  <c:v>22253.200000000001</c:v>
                </c:pt>
                <c:pt idx="573">
                  <c:v>22256.2</c:v>
                </c:pt>
                <c:pt idx="574">
                  <c:v>22259.200000000001</c:v>
                </c:pt>
                <c:pt idx="575">
                  <c:v>22262.2</c:v>
                </c:pt>
                <c:pt idx="576">
                  <c:v>22265.200000000001</c:v>
                </c:pt>
                <c:pt idx="577">
                  <c:v>22268.2</c:v>
                </c:pt>
                <c:pt idx="578">
                  <c:v>22271.200000000001</c:v>
                </c:pt>
                <c:pt idx="579">
                  <c:v>22274.2</c:v>
                </c:pt>
                <c:pt idx="580">
                  <c:v>22277.200000000001</c:v>
                </c:pt>
                <c:pt idx="581">
                  <c:v>22280.2</c:v>
                </c:pt>
                <c:pt idx="582">
                  <c:v>22283.200000000001</c:v>
                </c:pt>
                <c:pt idx="583">
                  <c:v>22286.2</c:v>
                </c:pt>
                <c:pt idx="584">
                  <c:v>22289.200000000001</c:v>
                </c:pt>
                <c:pt idx="585">
                  <c:v>22292.2</c:v>
                </c:pt>
                <c:pt idx="586">
                  <c:v>22295.200000000001</c:v>
                </c:pt>
                <c:pt idx="587">
                  <c:v>22298.2</c:v>
                </c:pt>
                <c:pt idx="588">
                  <c:v>22301.200000000001</c:v>
                </c:pt>
                <c:pt idx="589">
                  <c:v>22304.2</c:v>
                </c:pt>
                <c:pt idx="590">
                  <c:v>22307.200000000001</c:v>
                </c:pt>
                <c:pt idx="591">
                  <c:v>22310.2</c:v>
                </c:pt>
                <c:pt idx="592">
                  <c:v>22313.200000000001</c:v>
                </c:pt>
                <c:pt idx="593">
                  <c:v>23191.599999999999</c:v>
                </c:pt>
                <c:pt idx="594">
                  <c:v>23194.6</c:v>
                </c:pt>
                <c:pt idx="595">
                  <c:v>23197.599999999999</c:v>
                </c:pt>
                <c:pt idx="596">
                  <c:v>23200.6</c:v>
                </c:pt>
                <c:pt idx="597">
                  <c:v>23203.599999999999</c:v>
                </c:pt>
                <c:pt idx="598">
                  <c:v>23206.6</c:v>
                </c:pt>
                <c:pt idx="599">
                  <c:v>23209.599999999999</c:v>
                </c:pt>
                <c:pt idx="600">
                  <c:v>23212.6</c:v>
                </c:pt>
                <c:pt idx="601">
                  <c:v>23215.599999999999</c:v>
                </c:pt>
                <c:pt idx="602">
                  <c:v>23218.6</c:v>
                </c:pt>
                <c:pt idx="603">
                  <c:v>23221.599999999999</c:v>
                </c:pt>
                <c:pt idx="604">
                  <c:v>23224.6</c:v>
                </c:pt>
                <c:pt idx="605">
                  <c:v>23227.599999999999</c:v>
                </c:pt>
                <c:pt idx="606">
                  <c:v>23230.6</c:v>
                </c:pt>
                <c:pt idx="607">
                  <c:v>23233.599999999999</c:v>
                </c:pt>
                <c:pt idx="608">
                  <c:v>23236.6</c:v>
                </c:pt>
                <c:pt idx="609">
                  <c:v>23239.599999999999</c:v>
                </c:pt>
                <c:pt idx="610">
                  <c:v>23242.6</c:v>
                </c:pt>
                <c:pt idx="611">
                  <c:v>23245.599999999999</c:v>
                </c:pt>
                <c:pt idx="612">
                  <c:v>23248.6</c:v>
                </c:pt>
                <c:pt idx="613">
                  <c:v>23251.599999999999</c:v>
                </c:pt>
                <c:pt idx="614">
                  <c:v>23254.6</c:v>
                </c:pt>
                <c:pt idx="615">
                  <c:v>23257.599999999999</c:v>
                </c:pt>
                <c:pt idx="616">
                  <c:v>23260.6</c:v>
                </c:pt>
                <c:pt idx="617">
                  <c:v>23263.599999999999</c:v>
                </c:pt>
                <c:pt idx="618">
                  <c:v>23266.6</c:v>
                </c:pt>
                <c:pt idx="619">
                  <c:v>24145</c:v>
                </c:pt>
                <c:pt idx="620">
                  <c:v>24148</c:v>
                </c:pt>
                <c:pt idx="621">
                  <c:v>24151</c:v>
                </c:pt>
                <c:pt idx="622">
                  <c:v>24154</c:v>
                </c:pt>
                <c:pt idx="623">
                  <c:v>24157</c:v>
                </c:pt>
                <c:pt idx="624">
                  <c:v>24160</c:v>
                </c:pt>
                <c:pt idx="625">
                  <c:v>24163</c:v>
                </c:pt>
                <c:pt idx="626">
                  <c:v>24166</c:v>
                </c:pt>
                <c:pt idx="627">
                  <c:v>24169</c:v>
                </c:pt>
                <c:pt idx="628">
                  <c:v>24172</c:v>
                </c:pt>
                <c:pt idx="629">
                  <c:v>24175</c:v>
                </c:pt>
                <c:pt idx="630">
                  <c:v>24178</c:v>
                </c:pt>
                <c:pt idx="631">
                  <c:v>24181</c:v>
                </c:pt>
                <c:pt idx="632">
                  <c:v>24184</c:v>
                </c:pt>
                <c:pt idx="633">
                  <c:v>24187</c:v>
                </c:pt>
                <c:pt idx="634">
                  <c:v>24190</c:v>
                </c:pt>
                <c:pt idx="635">
                  <c:v>24193</c:v>
                </c:pt>
                <c:pt idx="636">
                  <c:v>24196</c:v>
                </c:pt>
                <c:pt idx="637">
                  <c:v>24199</c:v>
                </c:pt>
                <c:pt idx="638">
                  <c:v>24202</c:v>
                </c:pt>
                <c:pt idx="639">
                  <c:v>24205</c:v>
                </c:pt>
                <c:pt idx="640">
                  <c:v>24208</c:v>
                </c:pt>
                <c:pt idx="641">
                  <c:v>24211</c:v>
                </c:pt>
                <c:pt idx="642">
                  <c:v>24214</c:v>
                </c:pt>
                <c:pt idx="643">
                  <c:v>24217</c:v>
                </c:pt>
                <c:pt idx="644">
                  <c:v>24220</c:v>
                </c:pt>
                <c:pt idx="645">
                  <c:v>25098.400000000001</c:v>
                </c:pt>
                <c:pt idx="646">
                  <c:v>25101.4</c:v>
                </c:pt>
                <c:pt idx="647">
                  <c:v>25104.400000000001</c:v>
                </c:pt>
                <c:pt idx="648">
                  <c:v>25107.4</c:v>
                </c:pt>
                <c:pt idx="649">
                  <c:v>25110.400000000001</c:v>
                </c:pt>
                <c:pt idx="650">
                  <c:v>25113.4</c:v>
                </c:pt>
                <c:pt idx="651">
                  <c:v>25116.400000000001</c:v>
                </c:pt>
                <c:pt idx="652">
                  <c:v>25119.4</c:v>
                </c:pt>
                <c:pt idx="653">
                  <c:v>25122.400000000001</c:v>
                </c:pt>
                <c:pt idx="654">
                  <c:v>25125.4</c:v>
                </c:pt>
                <c:pt idx="655">
                  <c:v>25128.400000000001</c:v>
                </c:pt>
                <c:pt idx="656">
                  <c:v>25131.4</c:v>
                </c:pt>
                <c:pt idx="657">
                  <c:v>25134.400000000001</c:v>
                </c:pt>
                <c:pt idx="658">
                  <c:v>25137.4</c:v>
                </c:pt>
                <c:pt idx="659">
                  <c:v>25140.400000000001</c:v>
                </c:pt>
                <c:pt idx="660">
                  <c:v>25143.4</c:v>
                </c:pt>
                <c:pt idx="661">
                  <c:v>25146.400000000001</c:v>
                </c:pt>
                <c:pt idx="662">
                  <c:v>25149.4</c:v>
                </c:pt>
                <c:pt idx="663">
                  <c:v>25152.400000000001</c:v>
                </c:pt>
                <c:pt idx="664">
                  <c:v>25155.4</c:v>
                </c:pt>
                <c:pt idx="665">
                  <c:v>25158.400000000001</c:v>
                </c:pt>
                <c:pt idx="666">
                  <c:v>25161.4</c:v>
                </c:pt>
                <c:pt idx="667">
                  <c:v>25164.400000000001</c:v>
                </c:pt>
                <c:pt idx="668">
                  <c:v>25167.4</c:v>
                </c:pt>
                <c:pt idx="669">
                  <c:v>25170.400000000001</c:v>
                </c:pt>
                <c:pt idx="670">
                  <c:v>26048.799999999999</c:v>
                </c:pt>
                <c:pt idx="671">
                  <c:v>26051.8</c:v>
                </c:pt>
                <c:pt idx="672">
                  <c:v>26054.799999999999</c:v>
                </c:pt>
                <c:pt idx="673">
                  <c:v>26057.8</c:v>
                </c:pt>
                <c:pt idx="674">
                  <c:v>26060.799999999999</c:v>
                </c:pt>
                <c:pt idx="675">
                  <c:v>26063.8</c:v>
                </c:pt>
                <c:pt idx="676">
                  <c:v>26066.799999999999</c:v>
                </c:pt>
                <c:pt idx="677">
                  <c:v>26069.8</c:v>
                </c:pt>
                <c:pt idx="678">
                  <c:v>26072.799999999999</c:v>
                </c:pt>
                <c:pt idx="679">
                  <c:v>26075.8</c:v>
                </c:pt>
                <c:pt idx="680">
                  <c:v>26078.799999999999</c:v>
                </c:pt>
                <c:pt idx="681">
                  <c:v>26081.8</c:v>
                </c:pt>
                <c:pt idx="682">
                  <c:v>26084.799999999999</c:v>
                </c:pt>
                <c:pt idx="683">
                  <c:v>26087.8</c:v>
                </c:pt>
                <c:pt idx="684">
                  <c:v>26090.799999999999</c:v>
                </c:pt>
                <c:pt idx="685">
                  <c:v>26093.8</c:v>
                </c:pt>
                <c:pt idx="686">
                  <c:v>26096.799999999999</c:v>
                </c:pt>
                <c:pt idx="687">
                  <c:v>26099.8</c:v>
                </c:pt>
                <c:pt idx="688">
                  <c:v>26102.799999999999</c:v>
                </c:pt>
                <c:pt idx="689">
                  <c:v>26105.8</c:v>
                </c:pt>
                <c:pt idx="690">
                  <c:v>26108.799999999999</c:v>
                </c:pt>
                <c:pt idx="691">
                  <c:v>26111.8</c:v>
                </c:pt>
                <c:pt idx="692">
                  <c:v>26114.799999999999</c:v>
                </c:pt>
                <c:pt idx="693">
                  <c:v>26117.8</c:v>
                </c:pt>
                <c:pt idx="694">
                  <c:v>26120.799999999999</c:v>
                </c:pt>
                <c:pt idx="695">
                  <c:v>26123.8</c:v>
                </c:pt>
                <c:pt idx="696">
                  <c:v>27002.199999999997</c:v>
                </c:pt>
                <c:pt idx="697">
                  <c:v>27005.199999999997</c:v>
                </c:pt>
                <c:pt idx="698">
                  <c:v>27008.199999999997</c:v>
                </c:pt>
                <c:pt idx="699">
                  <c:v>27011.199999999997</c:v>
                </c:pt>
                <c:pt idx="700">
                  <c:v>27014.199999999997</c:v>
                </c:pt>
                <c:pt idx="701">
                  <c:v>27017.199999999997</c:v>
                </c:pt>
                <c:pt idx="702">
                  <c:v>27020.199999999997</c:v>
                </c:pt>
                <c:pt idx="703">
                  <c:v>27023.199999999997</c:v>
                </c:pt>
                <c:pt idx="704">
                  <c:v>27026.199999999997</c:v>
                </c:pt>
                <c:pt idx="705">
                  <c:v>27029.199999999997</c:v>
                </c:pt>
                <c:pt idx="706">
                  <c:v>27032.199999999997</c:v>
                </c:pt>
                <c:pt idx="707">
                  <c:v>27035.199999999997</c:v>
                </c:pt>
                <c:pt idx="708">
                  <c:v>27038.199999999997</c:v>
                </c:pt>
                <c:pt idx="709">
                  <c:v>27041.199999999997</c:v>
                </c:pt>
                <c:pt idx="710">
                  <c:v>27044.199999999997</c:v>
                </c:pt>
                <c:pt idx="711">
                  <c:v>27047.199999999997</c:v>
                </c:pt>
                <c:pt idx="712">
                  <c:v>27050.199999999997</c:v>
                </c:pt>
                <c:pt idx="713">
                  <c:v>27053.199999999997</c:v>
                </c:pt>
                <c:pt idx="714">
                  <c:v>27056.199999999997</c:v>
                </c:pt>
                <c:pt idx="715">
                  <c:v>27059.199999999997</c:v>
                </c:pt>
                <c:pt idx="716">
                  <c:v>27062.199999999997</c:v>
                </c:pt>
                <c:pt idx="717">
                  <c:v>27065.199999999997</c:v>
                </c:pt>
                <c:pt idx="718">
                  <c:v>27068.199999999997</c:v>
                </c:pt>
                <c:pt idx="719">
                  <c:v>27071.199999999997</c:v>
                </c:pt>
                <c:pt idx="720">
                  <c:v>27074.199999999997</c:v>
                </c:pt>
                <c:pt idx="721">
                  <c:v>27077.199999999997</c:v>
                </c:pt>
                <c:pt idx="722">
                  <c:v>27955.599999999999</c:v>
                </c:pt>
                <c:pt idx="723">
                  <c:v>27958.6</c:v>
                </c:pt>
                <c:pt idx="724">
                  <c:v>27961.599999999999</c:v>
                </c:pt>
                <c:pt idx="725">
                  <c:v>27964.6</c:v>
                </c:pt>
                <c:pt idx="726">
                  <c:v>27967.599999999999</c:v>
                </c:pt>
                <c:pt idx="727">
                  <c:v>27970.6</c:v>
                </c:pt>
                <c:pt idx="728">
                  <c:v>27973.599999999999</c:v>
                </c:pt>
                <c:pt idx="729">
                  <c:v>27976.6</c:v>
                </c:pt>
                <c:pt idx="730">
                  <c:v>27979.599999999999</c:v>
                </c:pt>
                <c:pt idx="731">
                  <c:v>27982.6</c:v>
                </c:pt>
                <c:pt idx="732">
                  <c:v>27985.599999999999</c:v>
                </c:pt>
                <c:pt idx="733">
                  <c:v>27988.6</c:v>
                </c:pt>
                <c:pt idx="734">
                  <c:v>27991.599999999999</c:v>
                </c:pt>
                <c:pt idx="735">
                  <c:v>27994.6</c:v>
                </c:pt>
                <c:pt idx="736">
                  <c:v>27997.599999999999</c:v>
                </c:pt>
                <c:pt idx="737">
                  <c:v>28000.6</c:v>
                </c:pt>
                <c:pt idx="738">
                  <c:v>28003.599999999999</c:v>
                </c:pt>
                <c:pt idx="739">
                  <c:v>28006.6</c:v>
                </c:pt>
                <c:pt idx="740">
                  <c:v>28009.599999999999</c:v>
                </c:pt>
                <c:pt idx="741">
                  <c:v>28012.6</c:v>
                </c:pt>
                <c:pt idx="742">
                  <c:v>28015.599999999999</c:v>
                </c:pt>
                <c:pt idx="743">
                  <c:v>28018.6</c:v>
                </c:pt>
                <c:pt idx="744">
                  <c:v>28021.599999999999</c:v>
                </c:pt>
                <c:pt idx="745">
                  <c:v>28024.6</c:v>
                </c:pt>
                <c:pt idx="746">
                  <c:v>28027.599999999999</c:v>
                </c:pt>
                <c:pt idx="747">
                  <c:v>28030.6</c:v>
                </c:pt>
                <c:pt idx="748">
                  <c:v>28909</c:v>
                </c:pt>
                <c:pt idx="749">
                  <c:v>28912</c:v>
                </c:pt>
                <c:pt idx="750">
                  <c:v>28915</c:v>
                </c:pt>
                <c:pt idx="751">
                  <c:v>28918</c:v>
                </c:pt>
                <c:pt idx="752">
                  <c:v>28921</c:v>
                </c:pt>
                <c:pt idx="753">
                  <c:v>28924</c:v>
                </c:pt>
                <c:pt idx="754">
                  <c:v>28927</c:v>
                </c:pt>
                <c:pt idx="755">
                  <c:v>28930</c:v>
                </c:pt>
                <c:pt idx="756">
                  <c:v>28933</c:v>
                </c:pt>
                <c:pt idx="757">
                  <c:v>28936</c:v>
                </c:pt>
                <c:pt idx="758">
                  <c:v>28939</c:v>
                </c:pt>
                <c:pt idx="759">
                  <c:v>28942</c:v>
                </c:pt>
                <c:pt idx="760">
                  <c:v>28945</c:v>
                </c:pt>
                <c:pt idx="761">
                  <c:v>28948</c:v>
                </c:pt>
                <c:pt idx="762">
                  <c:v>28951</c:v>
                </c:pt>
                <c:pt idx="763">
                  <c:v>28954</c:v>
                </c:pt>
                <c:pt idx="764">
                  <c:v>28957</c:v>
                </c:pt>
                <c:pt idx="765">
                  <c:v>28960</c:v>
                </c:pt>
                <c:pt idx="766">
                  <c:v>28963</c:v>
                </c:pt>
                <c:pt idx="767">
                  <c:v>28966</c:v>
                </c:pt>
                <c:pt idx="768">
                  <c:v>28969</c:v>
                </c:pt>
                <c:pt idx="769">
                  <c:v>28972</c:v>
                </c:pt>
                <c:pt idx="770">
                  <c:v>28975</c:v>
                </c:pt>
                <c:pt idx="771">
                  <c:v>28978</c:v>
                </c:pt>
                <c:pt idx="772">
                  <c:v>28981</c:v>
                </c:pt>
                <c:pt idx="773">
                  <c:v>28984</c:v>
                </c:pt>
                <c:pt idx="774">
                  <c:v>29862.400000000001</c:v>
                </c:pt>
                <c:pt idx="775">
                  <c:v>29865.4</c:v>
                </c:pt>
                <c:pt idx="776">
                  <c:v>29868.400000000001</c:v>
                </c:pt>
                <c:pt idx="777">
                  <c:v>29871.4</c:v>
                </c:pt>
                <c:pt idx="778">
                  <c:v>29874.400000000001</c:v>
                </c:pt>
                <c:pt idx="779">
                  <c:v>29877.4</c:v>
                </c:pt>
                <c:pt idx="780">
                  <c:v>29880.400000000001</c:v>
                </c:pt>
                <c:pt idx="781">
                  <c:v>29883.4</c:v>
                </c:pt>
                <c:pt idx="782">
                  <c:v>29886.400000000001</c:v>
                </c:pt>
                <c:pt idx="783">
                  <c:v>29889.4</c:v>
                </c:pt>
                <c:pt idx="784">
                  <c:v>29892.400000000001</c:v>
                </c:pt>
                <c:pt idx="785">
                  <c:v>29895.4</c:v>
                </c:pt>
                <c:pt idx="786">
                  <c:v>29898.400000000001</c:v>
                </c:pt>
                <c:pt idx="787">
                  <c:v>29901.4</c:v>
                </c:pt>
                <c:pt idx="788">
                  <c:v>29904.400000000001</c:v>
                </c:pt>
                <c:pt idx="789">
                  <c:v>29907.4</c:v>
                </c:pt>
                <c:pt idx="790">
                  <c:v>29910.400000000001</c:v>
                </c:pt>
                <c:pt idx="791">
                  <c:v>29913.4</c:v>
                </c:pt>
                <c:pt idx="792">
                  <c:v>29916.400000000001</c:v>
                </c:pt>
                <c:pt idx="793">
                  <c:v>29919.4</c:v>
                </c:pt>
                <c:pt idx="794">
                  <c:v>29922.400000000001</c:v>
                </c:pt>
                <c:pt idx="795">
                  <c:v>29925.4</c:v>
                </c:pt>
                <c:pt idx="796">
                  <c:v>29928.400000000001</c:v>
                </c:pt>
                <c:pt idx="797">
                  <c:v>29931.4</c:v>
                </c:pt>
                <c:pt idx="798">
                  <c:v>29934.400000000001</c:v>
                </c:pt>
                <c:pt idx="799">
                  <c:v>30812.799999999999</c:v>
                </c:pt>
                <c:pt idx="800">
                  <c:v>30815.8</c:v>
                </c:pt>
                <c:pt idx="801">
                  <c:v>30818.799999999999</c:v>
                </c:pt>
                <c:pt idx="802">
                  <c:v>30821.8</c:v>
                </c:pt>
                <c:pt idx="803">
                  <c:v>30824.799999999999</c:v>
                </c:pt>
                <c:pt idx="804">
                  <c:v>30827.8</c:v>
                </c:pt>
                <c:pt idx="805">
                  <c:v>30830.799999999999</c:v>
                </c:pt>
                <c:pt idx="806">
                  <c:v>30833.8</c:v>
                </c:pt>
                <c:pt idx="807">
                  <c:v>30836.799999999999</c:v>
                </c:pt>
                <c:pt idx="808">
                  <c:v>30839.8</c:v>
                </c:pt>
                <c:pt idx="809">
                  <c:v>30842.799999999999</c:v>
                </c:pt>
                <c:pt idx="810">
                  <c:v>30845.8</c:v>
                </c:pt>
                <c:pt idx="811">
                  <c:v>30848.799999999999</c:v>
                </c:pt>
                <c:pt idx="812">
                  <c:v>30851.8</c:v>
                </c:pt>
                <c:pt idx="813">
                  <c:v>30854.799999999999</c:v>
                </c:pt>
                <c:pt idx="814">
                  <c:v>30857.8</c:v>
                </c:pt>
                <c:pt idx="815">
                  <c:v>30860.799999999999</c:v>
                </c:pt>
                <c:pt idx="816">
                  <c:v>30863.8</c:v>
                </c:pt>
                <c:pt idx="817">
                  <c:v>30866.799999999999</c:v>
                </c:pt>
                <c:pt idx="818">
                  <c:v>30869.8</c:v>
                </c:pt>
                <c:pt idx="819">
                  <c:v>30872.799999999999</c:v>
                </c:pt>
                <c:pt idx="820">
                  <c:v>30875.8</c:v>
                </c:pt>
                <c:pt idx="821">
                  <c:v>30878.799999999999</c:v>
                </c:pt>
                <c:pt idx="822">
                  <c:v>30881.8</c:v>
                </c:pt>
                <c:pt idx="823">
                  <c:v>30884.799999999999</c:v>
                </c:pt>
                <c:pt idx="824">
                  <c:v>30887.8</c:v>
                </c:pt>
                <c:pt idx="825">
                  <c:v>31766.199999999997</c:v>
                </c:pt>
                <c:pt idx="826">
                  <c:v>31769.199999999997</c:v>
                </c:pt>
                <c:pt idx="827">
                  <c:v>31772.199999999997</c:v>
                </c:pt>
                <c:pt idx="828">
                  <c:v>31775.199999999997</c:v>
                </c:pt>
                <c:pt idx="829">
                  <c:v>31778.199999999997</c:v>
                </c:pt>
                <c:pt idx="830">
                  <c:v>31781.199999999997</c:v>
                </c:pt>
                <c:pt idx="831">
                  <c:v>31784.199999999997</c:v>
                </c:pt>
                <c:pt idx="832">
                  <c:v>31787.199999999997</c:v>
                </c:pt>
                <c:pt idx="833">
                  <c:v>31790.199999999997</c:v>
                </c:pt>
                <c:pt idx="834">
                  <c:v>31793.199999999997</c:v>
                </c:pt>
                <c:pt idx="835">
                  <c:v>31796.199999999997</c:v>
                </c:pt>
                <c:pt idx="836">
                  <c:v>31799.199999999997</c:v>
                </c:pt>
                <c:pt idx="837">
                  <c:v>31802.199999999997</c:v>
                </c:pt>
                <c:pt idx="838">
                  <c:v>31805.199999999997</c:v>
                </c:pt>
                <c:pt idx="839">
                  <c:v>31808.199999999997</c:v>
                </c:pt>
                <c:pt idx="840">
                  <c:v>31811.199999999997</c:v>
                </c:pt>
                <c:pt idx="841">
                  <c:v>31814.199999999997</c:v>
                </c:pt>
                <c:pt idx="842">
                  <c:v>31817.199999999997</c:v>
                </c:pt>
                <c:pt idx="843">
                  <c:v>31820.199999999997</c:v>
                </c:pt>
                <c:pt idx="844">
                  <c:v>31823.199999999997</c:v>
                </c:pt>
                <c:pt idx="845">
                  <c:v>31826.199999999997</c:v>
                </c:pt>
                <c:pt idx="846">
                  <c:v>31829.199999999997</c:v>
                </c:pt>
                <c:pt idx="847">
                  <c:v>31832.199999999997</c:v>
                </c:pt>
                <c:pt idx="848">
                  <c:v>31835.199999999997</c:v>
                </c:pt>
                <c:pt idx="849">
                  <c:v>31838.199999999997</c:v>
                </c:pt>
                <c:pt idx="850">
                  <c:v>31841.199999999997</c:v>
                </c:pt>
                <c:pt idx="851">
                  <c:v>32719.599999999999</c:v>
                </c:pt>
                <c:pt idx="852">
                  <c:v>32722.6</c:v>
                </c:pt>
                <c:pt idx="853">
                  <c:v>32725.599999999999</c:v>
                </c:pt>
                <c:pt idx="854">
                  <c:v>32728.6</c:v>
                </c:pt>
                <c:pt idx="855">
                  <c:v>32731.599999999999</c:v>
                </c:pt>
                <c:pt idx="856">
                  <c:v>32734.6</c:v>
                </c:pt>
                <c:pt idx="857">
                  <c:v>32737.599999999999</c:v>
                </c:pt>
                <c:pt idx="858">
                  <c:v>32740.6</c:v>
                </c:pt>
                <c:pt idx="859">
                  <c:v>32743.599999999999</c:v>
                </c:pt>
                <c:pt idx="860">
                  <c:v>32746.6</c:v>
                </c:pt>
                <c:pt idx="861">
                  <c:v>32749.599999999999</c:v>
                </c:pt>
                <c:pt idx="862">
                  <c:v>32752.6</c:v>
                </c:pt>
                <c:pt idx="863">
                  <c:v>32755.599999999999</c:v>
                </c:pt>
                <c:pt idx="864">
                  <c:v>32758.6</c:v>
                </c:pt>
                <c:pt idx="865">
                  <c:v>32761.599999999999</c:v>
                </c:pt>
                <c:pt idx="866">
                  <c:v>32764.6</c:v>
                </c:pt>
                <c:pt idx="867">
                  <c:v>32767.599999999999</c:v>
                </c:pt>
                <c:pt idx="868">
                  <c:v>32770.6</c:v>
                </c:pt>
                <c:pt idx="869">
                  <c:v>32773.599999999999</c:v>
                </c:pt>
                <c:pt idx="870">
                  <c:v>32776.6</c:v>
                </c:pt>
                <c:pt idx="871">
                  <c:v>32779.599999999999</c:v>
                </c:pt>
                <c:pt idx="872">
                  <c:v>32782.6</c:v>
                </c:pt>
                <c:pt idx="873">
                  <c:v>32785.599999999999</c:v>
                </c:pt>
                <c:pt idx="874">
                  <c:v>32788.6</c:v>
                </c:pt>
                <c:pt idx="875">
                  <c:v>32791.599999999999</c:v>
                </c:pt>
                <c:pt idx="876">
                  <c:v>32794.6</c:v>
                </c:pt>
                <c:pt idx="877">
                  <c:v>33673</c:v>
                </c:pt>
                <c:pt idx="878">
                  <c:v>33676</c:v>
                </c:pt>
                <c:pt idx="879">
                  <c:v>33679</c:v>
                </c:pt>
                <c:pt idx="880">
                  <c:v>33682</c:v>
                </c:pt>
                <c:pt idx="881">
                  <c:v>33685</c:v>
                </c:pt>
                <c:pt idx="882">
                  <c:v>33688</c:v>
                </c:pt>
                <c:pt idx="883">
                  <c:v>33691</c:v>
                </c:pt>
                <c:pt idx="884">
                  <c:v>33694</c:v>
                </c:pt>
                <c:pt idx="885">
                  <c:v>33697</c:v>
                </c:pt>
                <c:pt idx="886">
                  <c:v>33700</c:v>
                </c:pt>
                <c:pt idx="887">
                  <c:v>33703</c:v>
                </c:pt>
                <c:pt idx="888">
                  <c:v>33706</c:v>
                </c:pt>
                <c:pt idx="889">
                  <c:v>33709</c:v>
                </c:pt>
                <c:pt idx="890">
                  <c:v>33712</c:v>
                </c:pt>
                <c:pt idx="891">
                  <c:v>33715</c:v>
                </c:pt>
                <c:pt idx="892">
                  <c:v>33718</c:v>
                </c:pt>
                <c:pt idx="893">
                  <c:v>33721</c:v>
                </c:pt>
                <c:pt idx="894">
                  <c:v>33724</c:v>
                </c:pt>
                <c:pt idx="895">
                  <c:v>33727</c:v>
                </c:pt>
                <c:pt idx="896">
                  <c:v>33730</c:v>
                </c:pt>
                <c:pt idx="897">
                  <c:v>33733</c:v>
                </c:pt>
                <c:pt idx="898">
                  <c:v>33736</c:v>
                </c:pt>
                <c:pt idx="899">
                  <c:v>33739</c:v>
                </c:pt>
                <c:pt idx="900">
                  <c:v>33742</c:v>
                </c:pt>
                <c:pt idx="901">
                  <c:v>33745</c:v>
                </c:pt>
                <c:pt idx="902">
                  <c:v>33748</c:v>
                </c:pt>
                <c:pt idx="903">
                  <c:v>34626.400000000001</c:v>
                </c:pt>
                <c:pt idx="904">
                  <c:v>34629.4</c:v>
                </c:pt>
                <c:pt idx="905">
                  <c:v>34632.400000000001</c:v>
                </c:pt>
                <c:pt idx="906">
                  <c:v>34635.4</c:v>
                </c:pt>
                <c:pt idx="907">
                  <c:v>34638.400000000001</c:v>
                </c:pt>
                <c:pt idx="908">
                  <c:v>34641.4</c:v>
                </c:pt>
                <c:pt idx="909">
                  <c:v>34644.400000000001</c:v>
                </c:pt>
                <c:pt idx="910">
                  <c:v>34647.4</c:v>
                </c:pt>
                <c:pt idx="911">
                  <c:v>34650.400000000001</c:v>
                </c:pt>
                <c:pt idx="912">
                  <c:v>34653.4</c:v>
                </c:pt>
                <c:pt idx="913">
                  <c:v>34656.400000000001</c:v>
                </c:pt>
                <c:pt idx="914">
                  <c:v>34659.4</c:v>
                </c:pt>
                <c:pt idx="915">
                  <c:v>34662.400000000001</c:v>
                </c:pt>
                <c:pt idx="916">
                  <c:v>34665.4</c:v>
                </c:pt>
                <c:pt idx="917">
                  <c:v>34668.400000000001</c:v>
                </c:pt>
                <c:pt idx="918">
                  <c:v>34671.4</c:v>
                </c:pt>
                <c:pt idx="919">
                  <c:v>34674.400000000001</c:v>
                </c:pt>
                <c:pt idx="920">
                  <c:v>34677.4</c:v>
                </c:pt>
                <c:pt idx="921">
                  <c:v>34680.400000000001</c:v>
                </c:pt>
                <c:pt idx="922">
                  <c:v>34683.4</c:v>
                </c:pt>
                <c:pt idx="923">
                  <c:v>34686.400000000001</c:v>
                </c:pt>
                <c:pt idx="924">
                  <c:v>34689.4</c:v>
                </c:pt>
                <c:pt idx="925">
                  <c:v>34692.400000000001</c:v>
                </c:pt>
                <c:pt idx="926">
                  <c:v>34695.4</c:v>
                </c:pt>
                <c:pt idx="927">
                  <c:v>34698.400000000001</c:v>
                </c:pt>
                <c:pt idx="928">
                  <c:v>35576.800000000003</c:v>
                </c:pt>
                <c:pt idx="929">
                  <c:v>35579.800000000003</c:v>
                </c:pt>
                <c:pt idx="930">
                  <c:v>35582.800000000003</c:v>
                </c:pt>
                <c:pt idx="931">
                  <c:v>35585.800000000003</c:v>
                </c:pt>
                <c:pt idx="932">
                  <c:v>35588.800000000003</c:v>
                </c:pt>
                <c:pt idx="933">
                  <c:v>35591.800000000003</c:v>
                </c:pt>
                <c:pt idx="934">
                  <c:v>35594.800000000003</c:v>
                </c:pt>
                <c:pt idx="935">
                  <c:v>35597.800000000003</c:v>
                </c:pt>
                <c:pt idx="936">
                  <c:v>35600.800000000003</c:v>
                </c:pt>
                <c:pt idx="937">
                  <c:v>35603.800000000003</c:v>
                </c:pt>
                <c:pt idx="938">
                  <c:v>35606.800000000003</c:v>
                </c:pt>
                <c:pt idx="939">
                  <c:v>35609.800000000003</c:v>
                </c:pt>
                <c:pt idx="940">
                  <c:v>35612.800000000003</c:v>
                </c:pt>
                <c:pt idx="941">
                  <c:v>35615.800000000003</c:v>
                </c:pt>
                <c:pt idx="942">
                  <c:v>35618.800000000003</c:v>
                </c:pt>
                <c:pt idx="943">
                  <c:v>35621.800000000003</c:v>
                </c:pt>
                <c:pt idx="944">
                  <c:v>35624.800000000003</c:v>
                </c:pt>
                <c:pt idx="945">
                  <c:v>35627.800000000003</c:v>
                </c:pt>
                <c:pt idx="946">
                  <c:v>35630.800000000003</c:v>
                </c:pt>
                <c:pt idx="947">
                  <c:v>35633.800000000003</c:v>
                </c:pt>
                <c:pt idx="948">
                  <c:v>35636.800000000003</c:v>
                </c:pt>
                <c:pt idx="949">
                  <c:v>35639.800000000003</c:v>
                </c:pt>
                <c:pt idx="950">
                  <c:v>35642.800000000003</c:v>
                </c:pt>
                <c:pt idx="951">
                  <c:v>35645.800000000003</c:v>
                </c:pt>
                <c:pt idx="952">
                  <c:v>35648.800000000003</c:v>
                </c:pt>
                <c:pt idx="953">
                  <c:v>35651.800000000003</c:v>
                </c:pt>
                <c:pt idx="954">
                  <c:v>36530.199999999997</c:v>
                </c:pt>
                <c:pt idx="955">
                  <c:v>36533.199999999997</c:v>
                </c:pt>
                <c:pt idx="956">
                  <c:v>36536.199999999997</c:v>
                </c:pt>
                <c:pt idx="957">
                  <c:v>36539.199999999997</c:v>
                </c:pt>
                <c:pt idx="958">
                  <c:v>36542.199999999997</c:v>
                </c:pt>
                <c:pt idx="959">
                  <c:v>36545.199999999997</c:v>
                </c:pt>
                <c:pt idx="960">
                  <c:v>36548.199999999997</c:v>
                </c:pt>
                <c:pt idx="961">
                  <c:v>36551.199999999997</c:v>
                </c:pt>
                <c:pt idx="962">
                  <c:v>36554.199999999997</c:v>
                </c:pt>
                <c:pt idx="963">
                  <c:v>36557.199999999997</c:v>
                </c:pt>
                <c:pt idx="964">
                  <c:v>36560.199999999997</c:v>
                </c:pt>
                <c:pt idx="965">
                  <c:v>36563.199999999997</c:v>
                </c:pt>
                <c:pt idx="966">
                  <c:v>36566.199999999997</c:v>
                </c:pt>
                <c:pt idx="967">
                  <c:v>36569.199999999997</c:v>
                </c:pt>
                <c:pt idx="968">
                  <c:v>36572.199999999997</c:v>
                </c:pt>
                <c:pt idx="969">
                  <c:v>36575.199999999997</c:v>
                </c:pt>
                <c:pt idx="970">
                  <c:v>36578.199999999997</c:v>
                </c:pt>
                <c:pt idx="971">
                  <c:v>36581.199999999997</c:v>
                </c:pt>
                <c:pt idx="972">
                  <c:v>36584.199999999997</c:v>
                </c:pt>
                <c:pt idx="973">
                  <c:v>36587.199999999997</c:v>
                </c:pt>
                <c:pt idx="974">
                  <c:v>36590.199999999997</c:v>
                </c:pt>
                <c:pt idx="975">
                  <c:v>36593.199999999997</c:v>
                </c:pt>
                <c:pt idx="976">
                  <c:v>36596.199999999997</c:v>
                </c:pt>
                <c:pt idx="977">
                  <c:v>36599.199999999997</c:v>
                </c:pt>
                <c:pt idx="978">
                  <c:v>36602.199999999997</c:v>
                </c:pt>
                <c:pt idx="979">
                  <c:v>36605.199999999997</c:v>
                </c:pt>
                <c:pt idx="980">
                  <c:v>37483.599999999999</c:v>
                </c:pt>
                <c:pt idx="981">
                  <c:v>37486.6</c:v>
                </c:pt>
                <c:pt idx="982">
                  <c:v>37489.599999999999</c:v>
                </c:pt>
                <c:pt idx="983">
                  <c:v>37492.6</c:v>
                </c:pt>
                <c:pt idx="984">
                  <c:v>37495.599999999999</c:v>
                </c:pt>
                <c:pt idx="985">
                  <c:v>37498.6</c:v>
                </c:pt>
                <c:pt idx="986">
                  <c:v>37501.599999999999</c:v>
                </c:pt>
                <c:pt idx="987">
                  <c:v>37504.6</c:v>
                </c:pt>
                <c:pt idx="988">
                  <c:v>37507.599999999999</c:v>
                </c:pt>
                <c:pt idx="989">
                  <c:v>37510.6</c:v>
                </c:pt>
                <c:pt idx="990">
                  <c:v>37513.599999999999</c:v>
                </c:pt>
                <c:pt idx="991">
                  <c:v>37516.6</c:v>
                </c:pt>
                <c:pt idx="992">
                  <c:v>37519.599999999999</c:v>
                </c:pt>
                <c:pt idx="993">
                  <c:v>37522.6</c:v>
                </c:pt>
                <c:pt idx="994">
                  <c:v>37525.599999999999</c:v>
                </c:pt>
                <c:pt idx="995">
                  <c:v>37528.6</c:v>
                </c:pt>
                <c:pt idx="996">
                  <c:v>37531.599999999999</c:v>
                </c:pt>
                <c:pt idx="997">
                  <c:v>37534.6</c:v>
                </c:pt>
                <c:pt idx="998">
                  <c:v>37537.599999999999</c:v>
                </c:pt>
                <c:pt idx="999">
                  <c:v>37540.6</c:v>
                </c:pt>
                <c:pt idx="1000">
                  <c:v>37543.599999999999</c:v>
                </c:pt>
                <c:pt idx="1001">
                  <c:v>37546.6</c:v>
                </c:pt>
                <c:pt idx="1002">
                  <c:v>37549.599999999999</c:v>
                </c:pt>
                <c:pt idx="1003">
                  <c:v>37552.6</c:v>
                </c:pt>
                <c:pt idx="1004">
                  <c:v>37555.599999999999</c:v>
                </c:pt>
                <c:pt idx="1005">
                  <c:v>37558.6</c:v>
                </c:pt>
                <c:pt idx="1006">
                  <c:v>38437</c:v>
                </c:pt>
                <c:pt idx="1007">
                  <c:v>38440</c:v>
                </c:pt>
                <c:pt idx="1008">
                  <c:v>38443</c:v>
                </c:pt>
                <c:pt idx="1009">
                  <c:v>38446</c:v>
                </c:pt>
                <c:pt idx="1010">
                  <c:v>38449</c:v>
                </c:pt>
                <c:pt idx="1011">
                  <c:v>38452</c:v>
                </c:pt>
                <c:pt idx="1012">
                  <c:v>38455</c:v>
                </c:pt>
                <c:pt idx="1013">
                  <c:v>38458</c:v>
                </c:pt>
                <c:pt idx="1014">
                  <c:v>38461</c:v>
                </c:pt>
                <c:pt idx="1015">
                  <c:v>38464</c:v>
                </c:pt>
                <c:pt idx="1016">
                  <c:v>38467</c:v>
                </c:pt>
                <c:pt idx="1017">
                  <c:v>38470</c:v>
                </c:pt>
                <c:pt idx="1018">
                  <c:v>38473</c:v>
                </c:pt>
                <c:pt idx="1019">
                  <c:v>38476</c:v>
                </c:pt>
                <c:pt idx="1020">
                  <c:v>38479</c:v>
                </c:pt>
                <c:pt idx="1021">
                  <c:v>38482</c:v>
                </c:pt>
                <c:pt idx="1022">
                  <c:v>38485</c:v>
                </c:pt>
                <c:pt idx="1023">
                  <c:v>38488</c:v>
                </c:pt>
                <c:pt idx="1024">
                  <c:v>38491</c:v>
                </c:pt>
                <c:pt idx="1025">
                  <c:v>38494</c:v>
                </c:pt>
                <c:pt idx="1026">
                  <c:v>38497</c:v>
                </c:pt>
                <c:pt idx="1027">
                  <c:v>38500</c:v>
                </c:pt>
                <c:pt idx="1028">
                  <c:v>38503</c:v>
                </c:pt>
                <c:pt idx="1029">
                  <c:v>38506</c:v>
                </c:pt>
                <c:pt idx="1030">
                  <c:v>38509</c:v>
                </c:pt>
                <c:pt idx="1031">
                  <c:v>38512</c:v>
                </c:pt>
                <c:pt idx="1032">
                  <c:v>39390.400000000001</c:v>
                </c:pt>
                <c:pt idx="1033">
                  <c:v>39393.4</c:v>
                </c:pt>
                <c:pt idx="1034">
                  <c:v>39396.400000000001</c:v>
                </c:pt>
                <c:pt idx="1035">
                  <c:v>39399.4</c:v>
                </c:pt>
                <c:pt idx="1036">
                  <c:v>39402.400000000001</c:v>
                </c:pt>
                <c:pt idx="1037">
                  <c:v>39405.4</c:v>
                </c:pt>
                <c:pt idx="1038">
                  <c:v>39408.400000000001</c:v>
                </c:pt>
                <c:pt idx="1039">
                  <c:v>39411.4</c:v>
                </c:pt>
                <c:pt idx="1040">
                  <c:v>39414.400000000001</c:v>
                </c:pt>
                <c:pt idx="1041">
                  <c:v>39417.4</c:v>
                </c:pt>
                <c:pt idx="1042">
                  <c:v>39420.400000000001</c:v>
                </c:pt>
                <c:pt idx="1043">
                  <c:v>39423.4</c:v>
                </c:pt>
                <c:pt idx="1044">
                  <c:v>39426.400000000001</c:v>
                </c:pt>
                <c:pt idx="1045">
                  <c:v>39429.4</c:v>
                </c:pt>
                <c:pt idx="1046">
                  <c:v>39432.400000000001</c:v>
                </c:pt>
                <c:pt idx="1047">
                  <c:v>39435.4</c:v>
                </c:pt>
                <c:pt idx="1048">
                  <c:v>39438.400000000001</c:v>
                </c:pt>
                <c:pt idx="1049">
                  <c:v>39441.4</c:v>
                </c:pt>
                <c:pt idx="1050">
                  <c:v>39444.400000000001</c:v>
                </c:pt>
                <c:pt idx="1051">
                  <c:v>39447.4</c:v>
                </c:pt>
                <c:pt idx="1052">
                  <c:v>39450.400000000001</c:v>
                </c:pt>
                <c:pt idx="1053">
                  <c:v>39453.4</c:v>
                </c:pt>
                <c:pt idx="1054">
                  <c:v>39456.400000000001</c:v>
                </c:pt>
                <c:pt idx="1055">
                  <c:v>39459.4</c:v>
                </c:pt>
                <c:pt idx="1056">
                  <c:v>39462.400000000001</c:v>
                </c:pt>
                <c:pt idx="1057">
                  <c:v>40340.800000000003</c:v>
                </c:pt>
                <c:pt idx="1058">
                  <c:v>40343.800000000003</c:v>
                </c:pt>
                <c:pt idx="1059">
                  <c:v>40346.800000000003</c:v>
                </c:pt>
                <c:pt idx="1060">
                  <c:v>40349.800000000003</c:v>
                </c:pt>
                <c:pt idx="1061">
                  <c:v>40352.800000000003</c:v>
                </c:pt>
                <c:pt idx="1062">
                  <c:v>40355.800000000003</c:v>
                </c:pt>
                <c:pt idx="1063">
                  <c:v>40358.800000000003</c:v>
                </c:pt>
                <c:pt idx="1064">
                  <c:v>40361.800000000003</c:v>
                </c:pt>
                <c:pt idx="1065">
                  <c:v>40364.800000000003</c:v>
                </c:pt>
                <c:pt idx="1066">
                  <c:v>40367.800000000003</c:v>
                </c:pt>
                <c:pt idx="1067">
                  <c:v>40370.800000000003</c:v>
                </c:pt>
                <c:pt idx="1068">
                  <c:v>40373.800000000003</c:v>
                </c:pt>
                <c:pt idx="1069">
                  <c:v>40376.800000000003</c:v>
                </c:pt>
                <c:pt idx="1070">
                  <c:v>40379.800000000003</c:v>
                </c:pt>
                <c:pt idx="1071">
                  <c:v>40382.800000000003</c:v>
                </c:pt>
                <c:pt idx="1072">
                  <c:v>40385.800000000003</c:v>
                </c:pt>
                <c:pt idx="1073">
                  <c:v>40388.800000000003</c:v>
                </c:pt>
                <c:pt idx="1074">
                  <c:v>40391.800000000003</c:v>
                </c:pt>
                <c:pt idx="1075">
                  <c:v>40394.800000000003</c:v>
                </c:pt>
                <c:pt idx="1076">
                  <c:v>40397.800000000003</c:v>
                </c:pt>
                <c:pt idx="1077">
                  <c:v>40400.800000000003</c:v>
                </c:pt>
                <c:pt idx="1078">
                  <c:v>40403.800000000003</c:v>
                </c:pt>
                <c:pt idx="1079">
                  <c:v>40406.800000000003</c:v>
                </c:pt>
                <c:pt idx="1080">
                  <c:v>40409.800000000003</c:v>
                </c:pt>
                <c:pt idx="1081">
                  <c:v>40412.800000000003</c:v>
                </c:pt>
                <c:pt idx="1082">
                  <c:v>40415.800000000003</c:v>
                </c:pt>
                <c:pt idx="1083">
                  <c:v>41294.199999999997</c:v>
                </c:pt>
                <c:pt idx="1084">
                  <c:v>41297.199999999997</c:v>
                </c:pt>
                <c:pt idx="1085">
                  <c:v>41300.199999999997</c:v>
                </c:pt>
                <c:pt idx="1086">
                  <c:v>41303.199999999997</c:v>
                </c:pt>
                <c:pt idx="1087">
                  <c:v>41306.199999999997</c:v>
                </c:pt>
                <c:pt idx="1088">
                  <c:v>41309.199999999997</c:v>
                </c:pt>
                <c:pt idx="1089">
                  <c:v>41312.199999999997</c:v>
                </c:pt>
                <c:pt idx="1090">
                  <c:v>41315.199999999997</c:v>
                </c:pt>
                <c:pt idx="1091">
                  <c:v>41318.199999999997</c:v>
                </c:pt>
                <c:pt idx="1092">
                  <c:v>41321.199999999997</c:v>
                </c:pt>
                <c:pt idx="1093">
                  <c:v>41324.199999999997</c:v>
                </c:pt>
                <c:pt idx="1094">
                  <c:v>41327.199999999997</c:v>
                </c:pt>
                <c:pt idx="1095">
                  <c:v>41330.199999999997</c:v>
                </c:pt>
                <c:pt idx="1096">
                  <c:v>41333.199999999997</c:v>
                </c:pt>
                <c:pt idx="1097">
                  <c:v>41336.199999999997</c:v>
                </c:pt>
                <c:pt idx="1098">
                  <c:v>41339.199999999997</c:v>
                </c:pt>
                <c:pt idx="1099">
                  <c:v>41342.199999999997</c:v>
                </c:pt>
                <c:pt idx="1100">
                  <c:v>41345.199999999997</c:v>
                </c:pt>
                <c:pt idx="1101">
                  <c:v>41348.199999999997</c:v>
                </c:pt>
                <c:pt idx="1102">
                  <c:v>41351.199999999997</c:v>
                </c:pt>
                <c:pt idx="1103">
                  <c:v>41354.199999999997</c:v>
                </c:pt>
                <c:pt idx="1104">
                  <c:v>41357.199999999997</c:v>
                </c:pt>
                <c:pt idx="1105">
                  <c:v>41360.199999999997</c:v>
                </c:pt>
                <c:pt idx="1106">
                  <c:v>41363.199999999997</c:v>
                </c:pt>
                <c:pt idx="1107">
                  <c:v>41366.199999999997</c:v>
                </c:pt>
                <c:pt idx="1108">
                  <c:v>41369.199999999997</c:v>
                </c:pt>
                <c:pt idx="1109">
                  <c:v>42247.6</c:v>
                </c:pt>
                <c:pt idx="1110">
                  <c:v>42250.6</c:v>
                </c:pt>
                <c:pt idx="1111">
                  <c:v>42253.599999999999</c:v>
                </c:pt>
                <c:pt idx="1112">
                  <c:v>42256.6</c:v>
                </c:pt>
                <c:pt idx="1113">
                  <c:v>42259.6</c:v>
                </c:pt>
                <c:pt idx="1114">
                  <c:v>42262.6</c:v>
                </c:pt>
                <c:pt idx="1115">
                  <c:v>42265.599999999999</c:v>
                </c:pt>
                <c:pt idx="1116">
                  <c:v>42268.6</c:v>
                </c:pt>
                <c:pt idx="1117">
                  <c:v>42271.6</c:v>
                </c:pt>
                <c:pt idx="1118">
                  <c:v>42274.6</c:v>
                </c:pt>
                <c:pt idx="1119">
                  <c:v>42277.599999999999</c:v>
                </c:pt>
                <c:pt idx="1120">
                  <c:v>42280.6</c:v>
                </c:pt>
                <c:pt idx="1121">
                  <c:v>42283.6</c:v>
                </c:pt>
                <c:pt idx="1122">
                  <c:v>42286.6</c:v>
                </c:pt>
                <c:pt idx="1123">
                  <c:v>42289.599999999999</c:v>
                </c:pt>
                <c:pt idx="1124">
                  <c:v>42292.6</c:v>
                </c:pt>
                <c:pt idx="1125">
                  <c:v>42295.6</c:v>
                </c:pt>
                <c:pt idx="1126">
                  <c:v>42298.6</c:v>
                </c:pt>
                <c:pt idx="1127">
                  <c:v>42301.599999999999</c:v>
                </c:pt>
                <c:pt idx="1128">
                  <c:v>42304.6</c:v>
                </c:pt>
                <c:pt idx="1129">
                  <c:v>42307.6</c:v>
                </c:pt>
              </c:numCache>
            </c:numRef>
          </c:val>
          <c:smooth val="0"/>
          <c:extLst>
            <c:ext xmlns:c16="http://schemas.microsoft.com/office/drawing/2014/chart" uri="{C3380CC4-5D6E-409C-BE32-E72D297353CC}">
              <c16:uniqueId val="{00000002-97B8-46AE-9163-E36C09295B1D}"/>
            </c:ext>
          </c:extLst>
        </c:ser>
        <c:dLbls>
          <c:showLegendKey val="0"/>
          <c:showVal val="0"/>
          <c:showCatName val="0"/>
          <c:showSerName val="0"/>
          <c:showPercent val="0"/>
          <c:showBubbleSize val="0"/>
        </c:dLbls>
        <c:marker val="1"/>
        <c:smooth val="0"/>
        <c:axId val="1959337663"/>
        <c:axId val="1954019999"/>
      </c:lineChart>
      <c:catAx>
        <c:axId val="1374161647"/>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Payload</a:t>
                </a:r>
                <a:r>
                  <a:rPr lang="en-US" baseline="0"/>
                  <a:t> Volume, liters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54012511"/>
        <c:crosses val="autoZero"/>
        <c:auto val="1"/>
        <c:lblAlgn val="ctr"/>
        <c:lblOffset val="100"/>
        <c:tickLblSkip val="100"/>
        <c:noMultiLvlLbl val="0"/>
      </c:catAx>
      <c:valAx>
        <c:axId val="1954012511"/>
        <c:scaling>
          <c:logBase val="10"/>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Shipping</a:t>
                </a:r>
                <a:r>
                  <a:rPr lang="en-US" baseline="0"/>
                  <a:t> Price per Liter</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409]* #,##0_ ;_-[$$-409]* \-#,##0\ ;_-[$$-409]* &quot;-&quot;??_ ;_-@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74161647"/>
        <c:crosses val="autoZero"/>
        <c:crossBetween val="between"/>
      </c:valAx>
      <c:valAx>
        <c:axId val="1954019999"/>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Shipping Price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409]* #,##0_ ;_-[$$-409]* \-#,##0\ ;_-[$$-409]* &quot;-&quot;??_ ;_-@_ "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59337663"/>
        <c:crosses val="max"/>
        <c:crossBetween val="between"/>
      </c:valAx>
      <c:catAx>
        <c:axId val="1959337663"/>
        <c:scaling>
          <c:orientation val="minMax"/>
        </c:scaling>
        <c:delete val="1"/>
        <c:axPos val="b"/>
        <c:majorTickMark val="out"/>
        <c:minorTickMark val="none"/>
        <c:tickLblPos val="nextTo"/>
        <c:crossAx val="1954019999"/>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'R1. OUTPUTS'!$C$80</c:f>
          <c:strCache>
            <c:ptCount val="1"/>
            <c:pt idx="0">
              <c:v>Cost Breakdown</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5AA4-4808-A57A-790EBB2800E7}"/>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5AA4-4808-A57A-790EBB2800E7}"/>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5AA4-4808-A57A-790EBB2800E7}"/>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5AA4-4808-A57A-790EBB2800E7}"/>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5AA4-4808-A57A-790EBB2800E7}"/>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5AA4-4808-A57A-790EBB2800E7}"/>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5AA4-4808-A57A-790EBB2800E7}"/>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25A8-47B7-8503-359075AFFFF4}"/>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BB0F-4C92-8733-FB9DBB1AF94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'R1. OUTPUTS'!$C$66:$C$74</c:f>
              <c:strCache>
                <c:ptCount val="9"/>
                <c:pt idx="0">
                  <c:v>Cross-cutting Technical Assistance (TA) for Planning, Coordination and Delivery</c:v>
                </c:pt>
                <c:pt idx="1">
                  <c:v>Vaccine Doses and Related Devices &amp; Supplies</c:v>
                </c:pt>
                <c:pt idx="2">
                  <c:v>Vaccinators</c:v>
                </c:pt>
                <c:pt idx="3">
                  <c:v>Vaccination Delivery</c:v>
                </c:pt>
                <c:pt idx="4">
                  <c:v>Cold Chain</c:v>
                </c:pt>
                <c:pt idx="5">
                  <c:v>Data Management, Monitoring &amp; Evaluation, and Oversight</c:v>
                </c:pt>
                <c:pt idx="6">
                  <c:v>Vaccine Safety Surveillance and Injection Safety</c:v>
                </c:pt>
                <c:pt idx="7">
                  <c:v>Demand Generation and Communications</c:v>
                </c:pt>
                <c:pt idx="8">
                  <c:v>Protecting Essential Health Services and Health Systems Strengthening</c:v>
                </c:pt>
              </c:strCache>
            </c:strRef>
          </c:cat>
          <c:val>
            <c:numRef>
              <c:f>'R1. OUTPUTS'!$D$66:$D$74</c:f>
              <c:numCache>
                <c:formatCode>_-[$$-409]* #,##0_ ;_-[$$-409]* \-#,##0\ ;_-[$$-409]* "-"??_ ;_-@_ </c:formatCode>
                <c:ptCount val="9"/>
                <c:pt idx="0">
                  <c:v>#N/A</c:v>
                </c:pt>
                <c:pt idx="1">
                  <c:v>#N/A</c:v>
                </c:pt>
                <c:pt idx="2">
                  <c:v>#N/A</c:v>
                </c:pt>
                <c:pt idx="3">
                  <c:v>0</c:v>
                </c:pt>
                <c:pt idx="4">
                  <c:v>#N/A</c:v>
                </c:pt>
                <c:pt idx="5">
                  <c:v>#N/A</c:v>
                </c:pt>
                <c:pt idx="6">
                  <c:v>#N/A</c:v>
                </c:pt>
                <c:pt idx="7">
                  <c:v>#N/A</c:v>
                </c:pt>
                <c:pt idx="8">
                  <c:v>#N/A</c:v>
                </c:pt>
              </c:numCache>
            </c:numRef>
          </c:val>
          <c:extLst>
            <c:ext xmlns:c16="http://schemas.microsoft.com/office/drawing/2014/chart" uri="{C3380CC4-5D6E-409C-BE32-E72D297353CC}">
              <c16:uniqueId val="{00000000-1001-4200-91CE-5646E16E32EB}"/>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'R1. OUTPUTS'!$C$138</c:f>
          <c:strCache>
            <c:ptCount val="1"/>
            <c:pt idx="0">
              <c:v>Cumulative Population Expected to be Vaccinated,
% of 2023 Population</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'R1. OUTPUTS'!$C$134</c:f>
              <c:strCache>
                <c:ptCount val="1"/>
                <c:pt idx="0">
                  <c:v>Cumulative total (percent of 2023 population)</c:v>
                </c:pt>
              </c:strCache>
            </c:strRef>
          </c:tx>
          <c:spPr>
            <a:ln w="38100" cap="rnd">
              <a:solidFill>
                <a:srgbClr val="008DC9"/>
              </a:solidFill>
              <a:round/>
            </a:ln>
            <a:effectLst/>
          </c:spPr>
          <c:marker>
            <c:symbol val="none"/>
          </c:marker>
          <c:dLbls>
            <c:dLbl>
              <c:idx val="0"/>
              <c:tx>
                <c:rich>
                  <a:bodyPr/>
                  <a:lstStyle/>
                  <a:p>
                    <a:fld id="{D79CF0EC-AEE3-42E9-B991-5F51BECE353E}" type="CELLRANGE">
                      <a:rPr lang="en-US"/>
                      <a:pPr/>
                      <a:t>[CELLRANGE]</a:t>
                    </a:fld>
                    <a:endParaRPr lang="en-US" baseline="0"/>
                  </a:p>
                  <a:p>
                    <a:fld id="{8E3873C6-6A9C-447C-B7FB-36856F3A50D2}" type="VALUE">
                      <a:rPr lang="en-US"/>
                      <a:pPr/>
                      <a:t>[VALUE]</a:t>
                    </a:fld>
                    <a:endParaRPr lang="en-MY"/>
                  </a:p>
                </c:rich>
              </c:tx>
              <c:dLblPos val="t"/>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D177-40A4-97BD-002FDDBC557A}"/>
                </c:ext>
              </c:extLst>
            </c:dLbl>
            <c:dLbl>
              <c:idx val="1"/>
              <c:tx>
                <c:rich>
                  <a:bodyPr/>
                  <a:lstStyle/>
                  <a:p>
                    <a:fld id="{37579658-A055-4FBB-AD29-6C377595A2B2}" type="CELLRANGE">
                      <a:rPr lang="en-US"/>
                      <a:pPr/>
                      <a:t>[CELLRANGE]</a:t>
                    </a:fld>
                    <a:endParaRPr lang="en-US" baseline="0"/>
                  </a:p>
                  <a:p>
                    <a:fld id="{EA89021D-52BA-4940-B3A6-F10B7F1EC98F}" type="VALUE">
                      <a:rPr lang="en-US"/>
                      <a:pPr/>
                      <a:t>[VALUE]</a:t>
                    </a:fld>
                    <a:endParaRPr lang="en-MY"/>
                  </a:p>
                </c:rich>
              </c:tx>
              <c:dLblPos val="t"/>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D177-40A4-97BD-002FDDBC557A}"/>
                </c:ext>
              </c:extLst>
            </c:dLbl>
            <c:dLbl>
              <c:idx val="2"/>
              <c:tx>
                <c:rich>
                  <a:bodyPr/>
                  <a:lstStyle/>
                  <a:p>
                    <a:fld id="{82BE1145-F9E3-44FA-B9FA-057C9DEBC9BD}" type="CELLRANGE">
                      <a:rPr lang="en-US"/>
                      <a:pPr/>
                      <a:t>[CELLRANGE]</a:t>
                    </a:fld>
                    <a:endParaRPr lang="en-US" baseline="0"/>
                  </a:p>
                  <a:p>
                    <a:fld id="{4B082559-FAE3-497C-94D9-FCB39DB9969E}" type="VALUE">
                      <a:rPr lang="en-US"/>
                      <a:pPr/>
                      <a:t>[VALUE]</a:t>
                    </a:fld>
                    <a:endParaRPr lang="en-MY"/>
                  </a:p>
                </c:rich>
              </c:tx>
              <c:dLblPos val="t"/>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D177-40A4-97BD-002FDDBC557A}"/>
                </c:ext>
              </c:extLst>
            </c:dLbl>
            <c:dLbl>
              <c:idx val="3"/>
              <c:tx>
                <c:rich>
                  <a:bodyPr/>
                  <a:lstStyle/>
                  <a:p>
                    <a:fld id="{94E531EE-FCB1-48BD-9662-493CA356202A}" type="CELLRANGE">
                      <a:rPr lang="en-US"/>
                      <a:pPr/>
                      <a:t>[CELLRANGE]</a:t>
                    </a:fld>
                    <a:endParaRPr lang="en-US" baseline="0"/>
                  </a:p>
                  <a:p>
                    <a:fld id="{2232B69C-A465-429B-80A8-7B412E1EC312}" type="VALUE">
                      <a:rPr lang="en-US"/>
                      <a:pPr/>
                      <a:t>[VALUE]</a:t>
                    </a:fld>
                    <a:endParaRPr lang="en-MY"/>
                  </a:p>
                </c:rich>
              </c:tx>
              <c:dLblPos val="t"/>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D177-40A4-97BD-002FDDBC557A}"/>
                </c:ext>
              </c:extLst>
            </c:dLbl>
            <c:dLbl>
              <c:idx val="4"/>
              <c:tx>
                <c:rich>
                  <a:bodyPr/>
                  <a:lstStyle/>
                  <a:p>
                    <a:fld id="{D0994FF1-E569-488D-98B4-776D8785815B}" type="CELLRANGE">
                      <a:rPr lang="en-US"/>
                      <a:pPr/>
                      <a:t>[CELLRANGE]</a:t>
                    </a:fld>
                    <a:endParaRPr lang="en-US" baseline="0"/>
                  </a:p>
                  <a:p>
                    <a:fld id="{13C8E604-2945-4C94-A766-EF6FD7BDB98E}" type="VALUE">
                      <a:rPr lang="en-US"/>
                      <a:pPr/>
                      <a:t>[VALUE]</a:t>
                    </a:fld>
                    <a:endParaRPr lang="en-MY"/>
                  </a:p>
                </c:rich>
              </c:tx>
              <c:dLblPos val="t"/>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D177-40A4-97BD-002FDDBC557A}"/>
                </c:ext>
              </c:extLst>
            </c:dLbl>
            <c:dLbl>
              <c:idx val="5"/>
              <c:tx>
                <c:rich>
                  <a:bodyPr/>
                  <a:lstStyle/>
                  <a:p>
                    <a:fld id="{2F37DB04-7D55-40A0-B900-1D8F852DF8EF}" type="CELLRANGE">
                      <a:rPr lang="en-US"/>
                      <a:pPr/>
                      <a:t>[CELLRANGE]</a:t>
                    </a:fld>
                    <a:endParaRPr lang="en-US" baseline="0"/>
                  </a:p>
                  <a:p>
                    <a:fld id="{C8943F00-23A6-446E-9E07-E539A98FA31A}" type="VALUE">
                      <a:rPr lang="en-US"/>
                      <a:pPr/>
                      <a:t>[VALUE]</a:t>
                    </a:fld>
                    <a:endParaRPr lang="en-MY"/>
                  </a:p>
                </c:rich>
              </c:tx>
              <c:dLblPos val="t"/>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D177-40A4-97BD-002FDDBC557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'R1. OUTPUTS'!$G$102:$L$102</c:f>
              <c:strCache>
                <c:ptCount val="6"/>
                <c:pt idx="0">
                  <c:v>H1 2021</c:v>
                </c:pt>
                <c:pt idx="1">
                  <c:v>H2 2021</c:v>
                </c:pt>
                <c:pt idx="2">
                  <c:v>H1 2022</c:v>
                </c:pt>
                <c:pt idx="3">
                  <c:v>H2 2022</c:v>
                </c:pt>
                <c:pt idx="4">
                  <c:v>H1 2023</c:v>
                </c:pt>
                <c:pt idx="5">
                  <c:v>H2 2023</c:v>
                </c:pt>
              </c:strCache>
            </c:strRef>
          </c:cat>
          <c:val>
            <c:numRef>
              <c:f>'R1. OUTPUTS'!$G$134:$L$134</c:f>
              <c:numCache>
                <c:formatCode>0.0%</c:formatCode>
                <c:ptCount val="6"/>
                <c:pt idx="0">
                  <c:v>#N/A</c:v>
                </c:pt>
                <c:pt idx="1">
                  <c:v>#N/A</c:v>
                </c:pt>
                <c:pt idx="2">
                  <c:v>#N/A</c:v>
                </c:pt>
                <c:pt idx="3">
                  <c:v>#N/A</c:v>
                </c:pt>
                <c:pt idx="4">
                  <c:v>#N/A</c:v>
                </c:pt>
                <c:pt idx="5">
                  <c:v>#N/A</c:v>
                </c:pt>
              </c:numCache>
            </c:numRef>
          </c:val>
          <c:smooth val="0"/>
          <c:extLst>
            <c:ext xmlns:c15="http://schemas.microsoft.com/office/drawing/2012/chart" uri="{02D57815-91ED-43cb-92C2-25804820EDAC}">
              <c15:datalabelsRange>
                <c15:f>'R1. OUTPUTS'!$G$133:$L$133</c15:f>
                <c15:dlblRangeCache>
                  <c:ptCount val="6"/>
                  <c:pt idx="0">
                    <c:v> #N/A </c:v>
                  </c:pt>
                  <c:pt idx="1">
                    <c:v> #N/A </c:v>
                  </c:pt>
                  <c:pt idx="2">
                    <c:v> #N/A </c:v>
                  </c:pt>
                  <c:pt idx="3">
                    <c:v> #N/A </c:v>
                  </c:pt>
                  <c:pt idx="4">
                    <c:v> #N/A </c:v>
                  </c:pt>
                  <c:pt idx="5">
                    <c:v> #N/A </c:v>
                  </c:pt>
                </c15:dlblRangeCache>
              </c15:datalabelsRange>
            </c:ext>
            <c:ext xmlns:c16="http://schemas.microsoft.com/office/drawing/2014/chart" uri="{C3380CC4-5D6E-409C-BE32-E72D297353CC}">
              <c16:uniqueId val="{00000000-D177-40A4-97BD-002FDDBC557A}"/>
            </c:ext>
          </c:extLst>
        </c:ser>
        <c:ser>
          <c:idx val="1"/>
          <c:order val="1"/>
          <c:tx>
            <c:strRef>
              <c:f>'R1. OUTPUTS'!$C$136</c:f>
              <c:strCache>
                <c:ptCount val="1"/>
                <c:pt idx="0">
                  <c:v>Cumulative vaccine supply (percent of 2020 population) excluding wastage</c:v>
                </c:pt>
              </c:strCache>
            </c:strRef>
          </c:tx>
          <c:spPr>
            <a:ln w="28575" cap="rnd">
              <a:solidFill>
                <a:srgbClr val="008DC9"/>
              </a:solidFill>
              <a:prstDash val="sysDot"/>
              <a:round/>
            </a:ln>
            <a:effectLst/>
          </c:spPr>
          <c:marker>
            <c:symbol val="none"/>
          </c:marker>
          <c:val>
            <c:numRef>
              <c:f>'R1. OUTPUTS'!$G$136:$L$136</c:f>
              <c:numCache>
                <c:formatCode>0.0%</c:formatCode>
                <c:ptCount val="6"/>
                <c:pt idx="0">
                  <c:v>0.03</c:v>
                </c:pt>
                <c:pt idx="1">
                  <c:v>0.2</c:v>
                </c:pt>
                <c:pt idx="2">
                  <c:v>0.2</c:v>
                </c:pt>
                <c:pt idx="3">
                  <c:v>0.2</c:v>
                </c:pt>
                <c:pt idx="4">
                  <c:v>0.2</c:v>
                </c:pt>
                <c:pt idx="5">
                  <c:v>0.2</c:v>
                </c:pt>
              </c:numCache>
            </c:numRef>
          </c:val>
          <c:smooth val="0"/>
          <c:extLst>
            <c:ext xmlns:c16="http://schemas.microsoft.com/office/drawing/2014/chart" uri="{C3380CC4-5D6E-409C-BE32-E72D297353CC}">
              <c16:uniqueId val="{00000001-3290-498D-855C-B2C51B46CB81}"/>
            </c:ext>
          </c:extLst>
        </c:ser>
        <c:dLbls>
          <c:showLegendKey val="0"/>
          <c:showVal val="0"/>
          <c:showCatName val="0"/>
          <c:showSerName val="0"/>
          <c:showPercent val="0"/>
          <c:showBubbleSize val="0"/>
        </c:dLbls>
        <c:smooth val="0"/>
        <c:axId val="1328789535"/>
        <c:axId val="1306564671"/>
      </c:lineChart>
      <c:catAx>
        <c:axId val="1328789535"/>
        <c:scaling>
          <c:orientation val="minMax"/>
        </c:scaling>
        <c:delete val="0"/>
        <c:axPos val="b"/>
        <c:title>
          <c:tx>
            <c:strRef>
              <c:f>'R1. OUTPUTS'!$C$137</c:f>
              <c:strCache>
                <c:ptCount val="1"/>
                <c:pt idx="0">
                  <c:v>By End of the Period</c:v>
                </c:pt>
              </c:strCache>
            </c:strRef>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6564671"/>
        <c:crosses val="autoZero"/>
        <c:auto val="1"/>
        <c:lblAlgn val="ctr"/>
        <c:lblOffset val="100"/>
        <c:noMultiLvlLbl val="0"/>
      </c:catAx>
      <c:valAx>
        <c:axId val="1306564671"/>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28789535"/>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'R1. OUTPUTS'!$H$211</c:f>
          <c:strCache>
            <c:ptCount val="1"/>
            <c:pt idx="0">
              <c:v>Current Vaccinators (FTEs) - Medium Variant</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'R1. OUTPUTS'!$C$230</c:f>
              <c:strCache>
                <c:ptCount val="1"/>
                <c:pt idx="0">
                  <c:v>Delivery Modality 1</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'R1. OUTPUTS'!$G$213:$L$213</c:f>
              <c:strCache>
                <c:ptCount val="6"/>
                <c:pt idx="0">
                  <c:v>H1 2021</c:v>
                </c:pt>
                <c:pt idx="1">
                  <c:v>H2 2021</c:v>
                </c:pt>
                <c:pt idx="2">
                  <c:v>H1 2022</c:v>
                </c:pt>
                <c:pt idx="3">
                  <c:v>H2 2022</c:v>
                </c:pt>
                <c:pt idx="4">
                  <c:v>H1 2023</c:v>
                </c:pt>
                <c:pt idx="5">
                  <c:v>H2 2023</c:v>
                </c:pt>
              </c:strCache>
            </c:strRef>
          </c:cat>
          <c:val>
            <c:numRef>
              <c:f>'R1. OUTPUTS'!$G$230:$L$230</c:f>
              <c:numCache>
                <c:formatCode>_-* #,##0_-;\-* #,##0_-;_-* "-"??_-;_-@_-</c:formatCode>
                <c:ptCount val="6"/>
                <c:pt idx="0">
                  <c:v>#N/A</c:v>
                </c:pt>
                <c:pt idx="1">
                  <c:v>#N/A</c:v>
                </c:pt>
                <c:pt idx="2">
                  <c:v>#N/A</c:v>
                </c:pt>
                <c:pt idx="3">
                  <c:v>#N/A</c:v>
                </c:pt>
                <c:pt idx="4">
                  <c:v>#N/A</c:v>
                </c:pt>
                <c:pt idx="5">
                  <c:v>#N/A</c:v>
                </c:pt>
              </c:numCache>
            </c:numRef>
          </c:val>
          <c:extLst>
            <c:ext xmlns:c16="http://schemas.microsoft.com/office/drawing/2014/chart" uri="{C3380CC4-5D6E-409C-BE32-E72D297353CC}">
              <c16:uniqueId val="{00000006-C59B-47E4-9EE7-CBDBD20446D5}"/>
            </c:ext>
          </c:extLst>
        </c:ser>
        <c:ser>
          <c:idx val="1"/>
          <c:order val="1"/>
          <c:tx>
            <c:strRef>
              <c:f>'R1. OUTPUTS'!$C$231</c:f>
              <c:strCache>
                <c:ptCount val="1"/>
                <c:pt idx="0">
                  <c:v>Delivery Modality 2</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'R1. OUTPUTS'!$G$213:$L$213</c:f>
              <c:strCache>
                <c:ptCount val="6"/>
                <c:pt idx="0">
                  <c:v>H1 2021</c:v>
                </c:pt>
                <c:pt idx="1">
                  <c:v>H2 2021</c:v>
                </c:pt>
                <c:pt idx="2">
                  <c:v>H1 2022</c:v>
                </c:pt>
                <c:pt idx="3">
                  <c:v>H2 2022</c:v>
                </c:pt>
                <c:pt idx="4">
                  <c:v>H1 2023</c:v>
                </c:pt>
                <c:pt idx="5">
                  <c:v>H2 2023</c:v>
                </c:pt>
              </c:strCache>
            </c:strRef>
          </c:cat>
          <c:val>
            <c:numRef>
              <c:f>'R1. OUTPUTS'!$G$231:$L$231</c:f>
              <c:numCache>
                <c:formatCode>_-* #,##0_-;\-* #,##0_-;_-* "-"??_-;_-@_-</c:formatCode>
                <c:ptCount val="6"/>
                <c:pt idx="0">
                  <c:v>#N/A</c:v>
                </c:pt>
                <c:pt idx="1">
                  <c:v>#N/A</c:v>
                </c:pt>
                <c:pt idx="2">
                  <c:v>#N/A</c:v>
                </c:pt>
                <c:pt idx="3">
                  <c:v>#N/A</c:v>
                </c:pt>
                <c:pt idx="4">
                  <c:v>#N/A</c:v>
                </c:pt>
                <c:pt idx="5">
                  <c:v>#N/A</c:v>
                </c:pt>
              </c:numCache>
            </c:numRef>
          </c:val>
          <c:extLst>
            <c:ext xmlns:c16="http://schemas.microsoft.com/office/drawing/2014/chart" uri="{C3380CC4-5D6E-409C-BE32-E72D297353CC}">
              <c16:uniqueId val="{00000001-0A88-4EA6-AEC6-56CE9010381B}"/>
            </c:ext>
          </c:extLst>
        </c:ser>
        <c:ser>
          <c:idx val="2"/>
          <c:order val="2"/>
          <c:tx>
            <c:strRef>
              <c:f>'R1. OUTPUTS'!$C$232</c:f>
              <c:strCache>
                <c:ptCount val="1"/>
                <c:pt idx="0">
                  <c:v>Delivery Modality 3</c:v>
                </c:pt>
              </c:strCache>
            </c:strRef>
          </c:tx>
          <c:spPr>
            <a:solidFill>
              <a:schemeClr val="accent3"/>
            </a:solidFill>
            <a:ln>
              <a:noFill/>
            </a:ln>
            <a:effectLst/>
          </c:spPr>
          <c:invertIfNegative val="0"/>
          <c:cat>
            <c:strRef>
              <c:f>'R1. OUTPUTS'!$G$213:$L$213</c:f>
              <c:strCache>
                <c:ptCount val="6"/>
                <c:pt idx="0">
                  <c:v>H1 2021</c:v>
                </c:pt>
                <c:pt idx="1">
                  <c:v>H2 2021</c:v>
                </c:pt>
                <c:pt idx="2">
                  <c:v>H1 2022</c:v>
                </c:pt>
                <c:pt idx="3">
                  <c:v>H2 2022</c:v>
                </c:pt>
                <c:pt idx="4">
                  <c:v>H1 2023</c:v>
                </c:pt>
                <c:pt idx="5">
                  <c:v>H2 2023</c:v>
                </c:pt>
              </c:strCache>
            </c:strRef>
          </c:cat>
          <c:val>
            <c:numRef>
              <c:f>'R1. OUTPUTS'!$G$232:$L$232</c:f>
              <c:numCache>
                <c:formatCode>_-* #,##0_-;\-* #,##0_-;_-* "-"??_-;_-@_-</c:formatCode>
                <c:ptCount val="6"/>
                <c:pt idx="0">
                  <c:v>#N/A</c:v>
                </c:pt>
                <c:pt idx="1">
                  <c:v>#N/A</c:v>
                </c:pt>
                <c:pt idx="2">
                  <c:v>#N/A</c:v>
                </c:pt>
                <c:pt idx="3">
                  <c:v>#N/A</c:v>
                </c:pt>
                <c:pt idx="4">
                  <c:v>#N/A</c:v>
                </c:pt>
                <c:pt idx="5">
                  <c:v>#N/A</c:v>
                </c:pt>
              </c:numCache>
            </c:numRef>
          </c:val>
          <c:extLst>
            <c:ext xmlns:c16="http://schemas.microsoft.com/office/drawing/2014/chart" uri="{C3380CC4-5D6E-409C-BE32-E72D297353CC}">
              <c16:uniqueId val="{00000002-0A88-4EA6-AEC6-56CE9010381B}"/>
            </c:ext>
          </c:extLst>
        </c:ser>
        <c:ser>
          <c:idx val="3"/>
          <c:order val="3"/>
          <c:tx>
            <c:strRef>
              <c:f>'R1. OUTPUTS'!$C$233</c:f>
              <c:strCache>
                <c:ptCount val="1"/>
                <c:pt idx="0">
                  <c:v>Delivery Modality 4</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'R1. OUTPUTS'!$G$213:$L$213</c:f>
              <c:strCache>
                <c:ptCount val="6"/>
                <c:pt idx="0">
                  <c:v>H1 2021</c:v>
                </c:pt>
                <c:pt idx="1">
                  <c:v>H2 2021</c:v>
                </c:pt>
                <c:pt idx="2">
                  <c:v>H1 2022</c:v>
                </c:pt>
                <c:pt idx="3">
                  <c:v>H2 2022</c:v>
                </c:pt>
                <c:pt idx="4">
                  <c:v>H1 2023</c:v>
                </c:pt>
                <c:pt idx="5">
                  <c:v>H2 2023</c:v>
                </c:pt>
              </c:strCache>
            </c:strRef>
          </c:cat>
          <c:val>
            <c:numRef>
              <c:f>'R1. OUTPUTS'!$G$233:$L$233</c:f>
              <c:numCache>
                <c:formatCode>_-* #,##0_-;\-* #,##0_-;_-* "-"??_-;_-@_-</c:formatCode>
                <c:ptCount val="6"/>
                <c:pt idx="0">
                  <c:v>#N/A</c:v>
                </c:pt>
                <c:pt idx="1">
                  <c:v>#N/A</c:v>
                </c:pt>
                <c:pt idx="2">
                  <c:v>#N/A</c:v>
                </c:pt>
                <c:pt idx="3">
                  <c:v>#N/A</c:v>
                </c:pt>
                <c:pt idx="4">
                  <c:v>#N/A</c:v>
                </c:pt>
                <c:pt idx="5">
                  <c:v>#N/A</c:v>
                </c:pt>
              </c:numCache>
            </c:numRef>
          </c:val>
          <c:extLst>
            <c:ext xmlns:c16="http://schemas.microsoft.com/office/drawing/2014/chart" uri="{C3380CC4-5D6E-409C-BE32-E72D297353CC}">
              <c16:uniqueId val="{00000003-0A88-4EA6-AEC6-56CE9010381B}"/>
            </c:ext>
          </c:extLst>
        </c:ser>
        <c:dLbls>
          <c:showLegendKey val="0"/>
          <c:showVal val="0"/>
          <c:showCatName val="0"/>
          <c:showSerName val="0"/>
          <c:showPercent val="0"/>
          <c:showBubbleSize val="0"/>
        </c:dLbls>
        <c:gapWidth val="25"/>
        <c:overlap val="100"/>
        <c:axId val="1328789535"/>
        <c:axId val="1306564671"/>
      </c:barChart>
      <c:lineChart>
        <c:grouping val="standard"/>
        <c:varyColors val="0"/>
        <c:ser>
          <c:idx val="4"/>
          <c:order val="4"/>
          <c:tx>
            <c:strRef>
              <c:f>'R1. OUTPUTS'!$C$234</c:f>
              <c:strCache>
                <c:ptCount val="1"/>
                <c:pt idx="0">
                  <c:v>Total Full-time Equivalents</c:v>
                </c:pt>
              </c:strCache>
            </c:strRef>
          </c:tx>
          <c:spPr>
            <a:ln w="25400" cap="rnd">
              <a:noFill/>
              <a:round/>
            </a:ln>
            <a:effectLst/>
          </c:spPr>
          <c:marker>
            <c:symbol val="triangle"/>
            <c:size val="10"/>
            <c:spPr>
              <a:solidFill>
                <a:srgbClr val="FF0000">
                  <a:alpha val="25000"/>
                </a:srgbClr>
              </a:solidFill>
              <a:ln w="9525">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1"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'R1. OUTPUTS'!$G$102:$L$102</c:f>
              <c:strCache>
                <c:ptCount val="6"/>
                <c:pt idx="0">
                  <c:v>H1 2021</c:v>
                </c:pt>
                <c:pt idx="1">
                  <c:v>H2 2021</c:v>
                </c:pt>
                <c:pt idx="2">
                  <c:v>H1 2022</c:v>
                </c:pt>
                <c:pt idx="3">
                  <c:v>H2 2022</c:v>
                </c:pt>
                <c:pt idx="4">
                  <c:v>H1 2023</c:v>
                </c:pt>
                <c:pt idx="5">
                  <c:v>H2 2023</c:v>
                </c:pt>
              </c:strCache>
            </c:strRef>
          </c:cat>
          <c:val>
            <c:numRef>
              <c:f>'R1. OUTPUTS'!$G$234:$L$234</c:f>
              <c:numCache>
                <c:formatCode>_-* #,##0_-;\-* #,##0_-;_-* "-"??_-;_-@_-</c:formatCode>
                <c:ptCount val="6"/>
                <c:pt idx="0">
                  <c:v>#N/A</c:v>
                </c:pt>
                <c:pt idx="1">
                  <c:v>#N/A</c:v>
                </c:pt>
                <c:pt idx="2">
                  <c:v>#N/A</c:v>
                </c:pt>
                <c:pt idx="3">
                  <c:v>#N/A</c:v>
                </c:pt>
                <c:pt idx="4">
                  <c:v>#N/A</c:v>
                </c:pt>
                <c:pt idx="5">
                  <c:v>#N/A</c:v>
                </c:pt>
              </c:numCache>
            </c:numRef>
          </c:val>
          <c:smooth val="0"/>
          <c:extLst>
            <c:ext xmlns:c16="http://schemas.microsoft.com/office/drawing/2014/chart" uri="{C3380CC4-5D6E-409C-BE32-E72D297353CC}">
              <c16:uniqueId val="{00000004-0A88-4EA6-AEC6-56CE9010381B}"/>
            </c:ext>
          </c:extLst>
        </c:ser>
        <c:dLbls>
          <c:showLegendKey val="0"/>
          <c:showVal val="0"/>
          <c:showCatName val="0"/>
          <c:showSerName val="0"/>
          <c:showPercent val="0"/>
          <c:showBubbleSize val="0"/>
        </c:dLbls>
        <c:marker val="1"/>
        <c:smooth val="0"/>
        <c:axId val="1328789535"/>
        <c:axId val="1306564671"/>
      </c:lineChart>
      <c:catAx>
        <c:axId val="1328789535"/>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Period</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6564671"/>
        <c:crosses val="autoZero"/>
        <c:auto val="1"/>
        <c:lblAlgn val="ctr"/>
        <c:lblOffset val="100"/>
        <c:noMultiLvlLbl val="0"/>
      </c:catAx>
      <c:valAx>
        <c:axId val="130656467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2878953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'R1. OUTPUTS'!$L$27</c:f>
          <c:strCache>
            <c:ptCount val="1"/>
            <c:pt idx="0">
              <c:v>Cumulative Costs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'R1. OUTPUTS'!$C$15</c:f>
              <c:strCache>
                <c:ptCount val="1"/>
                <c:pt idx="0">
                  <c:v>Grand Total (USD) - Medium Variant</c:v>
                </c:pt>
              </c:strCache>
            </c:strRef>
          </c:tx>
          <c:spPr>
            <a:solidFill>
              <a:srgbClr val="008DC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'R1. OUTPUTS'!$G$14:$L$14</c:f>
              <c:strCache>
                <c:ptCount val="6"/>
                <c:pt idx="0">
                  <c:v>H1 2021</c:v>
                </c:pt>
                <c:pt idx="1">
                  <c:v>H2 2021</c:v>
                </c:pt>
                <c:pt idx="2">
                  <c:v>H1 2022</c:v>
                </c:pt>
                <c:pt idx="3">
                  <c:v>H2 2022</c:v>
                </c:pt>
                <c:pt idx="4">
                  <c:v>H1 2023</c:v>
                </c:pt>
                <c:pt idx="5">
                  <c:v>H2 2023</c:v>
                </c:pt>
              </c:strCache>
            </c:strRef>
          </c:cat>
          <c:val>
            <c:numRef>
              <c:f>'R1. OUTPUTS'!$G$21:$L$21</c:f>
              <c:numCache>
                <c:formatCode>_-[$$-409]* #,##0_ ;_-[$$-409]* \-#,##0\ ;_-[$$-409]* "-"??_ ;_-@_ </c:formatCode>
                <c:ptCount val="6"/>
                <c:pt idx="0">
                  <c:v>#N/A</c:v>
                </c:pt>
                <c:pt idx="1">
                  <c:v>#N/A</c:v>
                </c:pt>
                <c:pt idx="2">
                  <c:v>#N/A</c:v>
                </c:pt>
                <c:pt idx="3">
                  <c:v>#N/A</c:v>
                </c:pt>
                <c:pt idx="4">
                  <c:v>#N/A</c:v>
                </c:pt>
                <c:pt idx="5">
                  <c:v>#N/A</c:v>
                </c:pt>
              </c:numCache>
            </c:numRef>
          </c:val>
          <c:extLst>
            <c:ext xmlns:c16="http://schemas.microsoft.com/office/drawing/2014/chart" uri="{C3380CC4-5D6E-409C-BE32-E72D297353CC}">
              <c16:uniqueId val="{00000000-9425-41E6-8040-03E693894B61}"/>
            </c:ext>
          </c:extLst>
        </c:ser>
        <c:dLbls>
          <c:showLegendKey val="0"/>
          <c:showVal val="0"/>
          <c:showCatName val="0"/>
          <c:showSerName val="0"/>
          <c:showPercent val="0"/>
          <c:showBubbleSize val="0"/>
        </c:dLbls>
        <c:gapWidth val="50"/>
        <c:axId val="1585943600"/>
        <c:axId val="517324479"/>
      </c:barChart>
      <c:lineChart>
        <c:grouping val="standard"/>
        <c:varyColors val="0"/>
        <c:ser>
          <c:idx val="1"/>
          <c:order val="1"/>
          <c:tx>
            <c:strRef>
              <c:f>'R1. OUTPUTS'!$C$16</c:f>
              <c:strCache>
                <c:ptCount val="1"/>
                <c:pt idx="0">
                  <c:v>Upper Variant</c:v>
                </c:pt>
              </c:strCache>
            </c:strRef>
          </c:tx>
          <c:spPr>
            <a:ln w="28575" cap="rnd">
              <a:noFill/>
              <a:round/>
            </a:ln>
            <a:effectLst/>
          </c:spPr>
          <c:marker>
            <c:symbol val="dash"/>
            <c:size val="10"/>
            <c:spPr>
              <a:solidFill>
                <a:srgbClr val="FF0000"/>
              </a:solidFill>
              <a:ln w="9525">
                <a:noFill/>
              </a:ln>
              <a:effectLst/>
            </c:spPr>
          </c:marker>
          <c:cat>
            <c:strRef>
              <c:f>'R1. OUTPUTS'!$G$14:$L$14</c:f>
              <c:strCache>
                <c:ptCount val="6"/>
                <c:pt idx="0">
                  <c:v>H1 2021</c:v>
                </c:pt>
                <c:pt idx="1">
                  <c:v>H2 2021</c:v>
                </c:pt>
                <c:pt idx="2">
                  <c:v>H1 2022</c:v>
                </c:pt>
                <c:pt idx="3">
                  <c:v>H2 2022</c:v>
                </c:pt>
                <c:pt idx="4">
                  <c:v>H1 2023</c:v>
                </c:pt>
                <c:pt idx="5">
                  <c:v>H2 2023</c:v>
                </c:pt>
              </c:strCache>
            </c:strRef>
          </c:cat>
          <c:val>
            <c:numRef>
              <c:f>'R1. OUTPUTS'!$G$22:$L$22</c:f>
              <c:numCache>
                <c:formatCode>_-[$$-409]* #,##0_ ;_-[$$-409]* \-#,##0\ ;_-[$$-409]* "-"??_ ;_-@_ </c:formatCode>
                <c:ptCount val="6"/>
                <c:pt idx="0">
                  <c:v>#N/A</c:v>
                </c:pt>
                <c:pt idx="1">
                  <c:v>#N/A</c:v>
                </c:pt>
                <c:pt idx="2">
                  <c:v>#N/A</c:v>
                </c:pt>
                <c:pt idx="3">
                  <c:v>#N/A</c:v>
                </c:pt>
                <c:pt idx="4">
                  <c:v>#N/A</c:v>
                </c:pt>
                <c:pt idx="5">
                  <c:v>#N/A</c:v>
                </c:pt>
              </c:numCache>
            </c:numRef>
          </c:val>
          <c:smooth val="0"/>
          <c:extLst>
            <c:ext xmlns:c16="http://schemas.microsoft.com/office/drawing/2014/chart" uri="{C3380CC4-5D6E-409C-BE32-E72D297353CC}">
              <c16:uniqueId val="{00000001-6F28-4EC2-9F4B-8C1DF6E7A740}"/>
            </c:ext>
          </c:extLst>
        </c:ser>
        <c:ser>
          <c:idx val="2"/>
          <c:order val="2"/>
          <c:tx>
            <c:strRef>
              <c:f>'R1. OUTPUTS'!$C$17</c:f>
              <c:strCache>
                <c:ptCount val="1"/>
                <c:pt idx="0">
                  <c:v>Lower Variant</c:v>
                </c:pt>
              </c:strCache>
            </c:strRef>
          </c:tx>
          <c:spPr>
            <a:ln w="28575" cap="rnd">
              <a:noFill/>
              <a:round/>
            </a:ln>
            <a:effectLst/>
          </c:spPr>
          <c:marker>
            <c:symbol val="dash"/>
            <c:size val="10"/>
            <c:spPr>
              <a:solidFill>
                <a:srgbClr val="7030A0"/>
              </a:solidFill>
              <a:ln w="9525">
                <a:noFill/>
              </a:ln>
              <a:effectLst/>
            </c:spPr>
          </c:marker>
          <c:cat>
            <c:strRef>
              <c:f>'R1. OUTPUTS'!$G$14:$L$14</c:f>
              <c:strCache>
                <c:ptCount val="6"/>
                <c:pt idx="0">
                  <c:v>H1 2021</c:v>
                </c:pt>
                <c:pt idx="1">
                  <c:v>H2 2021</c:v>
                </c:pt>
                <c:pt idx="2">
                  <c:v>H1 2022</c:v>
                </c:pt>
                <c:pt idx="3">
                  <c:v>H2 2022</c:v>
                </c:pt>
                <c:pt idx="4">
                  <c:v>H1 2023</c:v>
                </c:pt>
                <c:pt idx="5">
                  <c:v>H2 2023</c:v>
                </c:pt>
              </c:strCache>
            </c:strRef>
          </c:cat>
          <c:val>
            <c:numRef>
              <c:f>'R1. OUTPUTS'!$G$23:$L$23</c:f>
              <c:numCache>
                <c:formatCode>_-[$$-409]* #,##0_ ;_-[$$-409]* \-#,##0\ ;_-[$$-409]* "-"??_ ;_-@_ </c:formatCode>
                <c:ptCount val="6"/>
                <c:pt idx="0">
                  <c:v>#N/A</c:v>
                </c:pt>
                <c:pt idx="1">
                  <c:v>#N/A</c:v>
                </c:pt>
                <c:pt idx="2">
                  <c:v>#N/A</c:v>
                </c:pt>
                <c:pt idx="3">
                  <c:v>#N/A</c:v>
                </c:pt>
                <c:pt idx="4">
                  <c:v>#N/A</c:v>
                </c:pt>
                <c:pt idx="5">
                  <c:v>#N/A</c:v>
                </c:pt>
              </c:numCache>
            </c:numRef>
          </c:val>
          <c:smooth val="0"/>
          <c:extLst>
            <c:ext xmlns:c16="http://schemas.microsoft.com/office/drawing/2014/chart" uri="{C3380CC4-5D6E-409C-BE32-E72D297353CC}">
              <c16:uniqueId val="{00000002-6F28-4EC2-9F4B-8C1DF6E7A740}"/>
            </c:ext>
          </c:extLst>
        </c:ser>
        <c:dLbls>
          <c:showLegendKey val="0"/>
          <c:showVal val="0"/>
          <c:showCatName val="0"/>
          <c:showSerName val="0"/>
          <c:showPercent val="0"/>
          <c:showBubbleSize val="0"/>
        </c:dLbls>
        <c:marker val="1"/>
        <c:smooth val="0"/>
        <c:axId val="1585943600"/>
        <c:axId val="517324479"/>
      </c:lineChart>
      <c:catAx>
        <c:axId val="1585943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7324479"/>
        <c:crosses val="autoZero"/>
        <c:auto val="1"/>
        <c:lblAlgn val="ctr"/>
        <c:lblOffset val="100"/>
        <c:noMultiLvlLbl val="0"/>
      </c:catAx>
      <c:valAx>
        <c:axId val="517324479"/>
        <c:scaling>
          <c:orientation val="minMax"/>
        </c:scaling>
        <c:delete val="0"/>
        <c:axPos val="l"/>
        <c:majorGridlines>
          <c:spPr>
            <a:ln w="9525" cap="flat" cmpd="sng" algn="ctr">
              <a:solidFill>
                <a:schemeClr val="tx1">
                  <a:lumMod val="15000"/>
                  <a:lumOff val="85000"/>
                </a:schemeClr>
              </a:solidFill>
              <a:round/>
            </a:ln>
            <a:effectLst/>
          </c:spPr>
        </c:majorGridlines>
        <c:numFmt formatCode="_-[$$-409]* #,##0_ ;_-[$$-409]* \-#,##0\ ;_-[$$-409]* &quot;-&quot;??_ ;_-@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85943600"/>
        <c:crosses val="autoZero"/>
        <c:crossBetween val="between"/>
        <c:dispUnits>
          <c:builtInUnit val="millions"/>
          <c:dispUnitsLbl>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'R1. OUTPUTS'!$L$80</c:f>
          <c:strCache>
            <c:ptCount val="1"/>
            <c:pt idx="0">
              <c:v>Cost breakdown (in H1 2021, inc. central costs)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1211-4300-85DA-18C92C740A1B}"/>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1211-4300-85DA-18C92C740A1B}"/>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1211-4300-85DA-18C92C740A1B}"/>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1211-4300-85DA-18C92C740A1B}"/>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1211-4300-85DA-18C92C740A1B}"/>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1211-4300-85DA-18C92C740A1B}"/>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1211-4300-85DA-18C92C740A1B}"/>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4E14-496E-AFD3-9AD43D4728DC}"/>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7333-4FEE-9B10-24F68DDFF32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'R1. OUTPUTS'!$C$66:$C$74</c:f>
              <c:strCache>
                <c:ptCount val="9"/>
                <c:pt idx="0">
                  <c:v>Cross-cutting Technical Assistance (TA) for Planning, Coordination and Delivery</c:v>
                </c:pt>
                <c:pt idx="1">
                  <c:v>Vaccine Doses and Related Devices &amp; Supplies</c:v>
                </c:pt>
                <c:pt idx="2">
                  <c:v>Vaccinators</c:v>
                </c:pt>
                <c:pt idx="3">
                  <c:v>Vaccination Delivery</c:v>
                </c:pt>
                <c:pt idx="4">
                  <c:v>Cold Chain</c:v>
                </c:pt>
                <c:pt idx="5">
                  <c:v>Data Management, Monitoring &amp; Evaluation, and Oversight</c:v>
                </c:pt>
                <c:pt idx="6">
                  <c:v>Vaccine Safety Surveillance and Injection Safety</c:v>
                </c:pt>
                <c:pt idx="7">
                  <c:v>Demand Generation and Communications</c:v>
                </c:pt>
                <c:pt idx="8">
                  <c:v>Protecting Essential Health Services and Health Systems Strengthening</c:v>
                </c:pt>
              </c:strCache>
            </c:strRef>
          </c:cat>
          <c:val>
            <c:numRef>
              <c:f>'R1. OUTPUTS'!$G$66:$G$74</c:f>
              <c:numCache>
                <c:formatCode>_-[$$-409]* #,##0_ ;_-[$$-409]* \-#,##0\ ;_-[$$-409]* "-"??_ ;_-@_ </c:formatCode>
                <c:ptCount val="9"/>
                <c:pt idx="0">
                  <c:v>#N/A</c:v>
                </c:pt>
                <c:pt idx="1">
                  <c:v>#N/A</c:v>
                </c:pt>
                <c:pt idx="2">
                  <c:v>#N/A</c:v>
                </c:pt>
                <c:pt idx="3">
                  <c:v>0</c:v>
                </c:pt>
                <c:pt idx="4">
                  <c:v>#N/A</c:v>
                </c:pt>
                <c:pt idx="5">
                  <c:v>#N/A</c:v>
                </c:pt>
                <c:pt idx="6">
                  <c:v>#N/A</c:v>
                </c:pt>
                <c:pt idx="7">
                  <c:v>#N/A</c:v>
                </c:pt>
                <c:pt idx="8">
                  <c:v>#N/A</c:v>
                </c:pt>
              </c:numCache>
            </c:numRef>
          </c:val>
          <c:extLst>
            <c:ext xmlns:c16="http://schemas.microsoft.com/office/drawing/2014/chart" uri="{C3380CC4-5D6E-409C-BE32-E72D297353CC}">
              <c16:uniqueId val="{0000000E-1211-4300-85DA-18C92C740A1B}"/>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'R1. OUTPUTS'!$K$211</c:f>
          <c:strCache>
            <c:ptCount val="1"/>
            <c:pt idx="0">
              <c:v>Impact on Health System - Medium Variant</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'R1. OUTPUTS'!$C$219</c:f>
              <c:strCache>
                <c:ptCount val="1"/>
                <c:pt idx="0">
                  <c:v>New vaccinators (Persons, not FTEs) for training</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'R1. OUTPUTS'!$G$213:$L$213</c:f>
              <c:strCache>
                <c:ptCount val="6"/>
                <c:pt idx="0">
                  <c:v>H1 2021</c:v>
                </c:pt>
                <c:pt idx="1">
                  <c:v>H2 2021</c:v>
                </c:pt>
                <c:pt idx="2">
                  <c:v>H1 2022</c:v>
                </c:pt>
                <c:pt idx="3">
                  <c:v>H2 2022</c:v>
                </c:pt>
                <c:pt idx="4">
                  <c:v>H1 2023</c:v>
                </c:pt>
                <c:pt idx="5">
                  <c:v>H2 2023</c:v>
                </c:pt>
              </c:strCache>
            </c:strRef>
          </c:cat>
          <c:val>
            <c:numRef>
              <c:f>'R1. OUTPUTS'!$G$219:$L$219</c:f>
              <c:numCache>
                <c:formatCode>_-* #,##0_-;\-* #,##0_-;_-* "-"??_-;_-@_-</c:formatCode>
                <c:ptCount val="6"/>
                <c:pt idx="0">
                  <c:v>#N/A</c:v>
                </c:pt>
                <c:pt idx="1">
                  <c:v>#N/A</c:v>
                </c:pt>
                <c:pt idx="2">
                  <c:v>#N/A</c:v>
                </c:pt>
                <c:pt idx="3">
                  <c:v>#N/A</c:v>
                </c:pt>
                <c:pt idx="4">
                  <c:v>#N/A</c:v>
                </c:pt>
                <c:pt idx="5">
                  <c:v>#N/A</c:v>
                </c:pt>
              </c:numCache>
            </c:numRef>
          </c:val>
          <c:extLst>
            <c:ext xmlns:c16="http://schemas.microsoft.com/office/drawing/2014/chart" uri="{C3380CC4-5D6E-409C-BE32-E72D297353CC}">
              <c16:uniqueId val="{00000000-6E19-448F-8CB4-9EE28A3C1B53}"/>
            </c:ext>
          </c:extLst>
        </c:ser>
        <c:dLbls>
          <c:showLegendKey val="0"/>
          <c:showVal val="0"/>
          <c:showCatName val="0"/>
          <c:showSerName val="0"/>
          <c:showPercent val="0"/>
          <c:showBubbleSize val="0"/>
        </c:dLbls>
        <c:gapWidth val="50"/>
        <c:axId val="307274463"/>
        <c:axId val="612474623"/>
      </c:barChart>
      <c:lineChart>
        <c:grouping val="standard"/>
        <c:varyColors val="0"/>
        <c:ser>
          <c:idx val="1"/>
          <c:order val="1"/>
          <c:tx>
            <c:strRef>
              <c:f>'R1. OUTPUTS'!$C$240</c:f>
              <c:strCache>
                <c:ptCount val="1"/>
                <c:pt idx="0">
                  <c:v>Current Vaccinators (Full-Time Equivalents) - IMPACT - as % of HRH Supply</c:v>
                </c:pt>
              </c:strCache>
            </c:strRef>
          </c:tx>
          <c:spPr>
            <a:ln w="28575"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'R1. OUTPUTS'!$G$239:$L$239</c:f>
              <c:numCache>
                <c:formatCode>0.0%</c:formatCode>
                <c:ptCount val="6"/>
                <c:pt idx="0">
                  <c:v>#N/A</c:v>
                </c:pt>
                <c:pt idx="1">
                  <c:v>#N/A</c:v>
                </c:pt>
                <c:pt idx="2">
                  <c:v>#N/A</c:v>
                </c:pt>
                <c:pt idx="3">
                  <c:v>#N/A</c:v>
                </c:pt>
                <c:pt idx="4">
                  <c:v>#N/A</c:v>
                </c:pt>
                <c:pt idx="5">
                  <c:v>#N/A</c:v>
                </c:pt>
              </c:numCache>
            </c:numRef>
          </c:val>
          <c:smooth val="0"/>
          <c:extLst>
            <c:ext xmlns:c16="http://schemas.microsoft.com/office/drawing/2014/chart" uri="{C3380CC4-5D6E-409C-BE32-E72D297353CC}">
              <c16:uniqueId val="{00000001-6E19-448F-8CB4-9EE28A3C1B53}"/>
            </c:ext>
          </c:extLst>
        </c:ser>
        <c:dLbls>
          <c:showLegendKey val="0"/>
          <c:showVal val="0"/>
          <c:showCatName val="0"/>
          <c:showSerName val="0"/>
          <c:showPercent val="0"/>
          <c:showBubbleSize val="0"/>
        </c:dLbls>
        <c:marker val="1"/>
        <c:smooth val="0"/>
        <c:axId val="1972520367"/>
        <c:axId val="172267439"/>
      </c:lineChart>
      <c:catAx>
        <c:axId val="30727446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474623"/>
        <c:crosses val="autoZero"/>
        <c:auto val="1"/>
        <c:lblAlgn val="ctr"/>
        <c:lblOffset val="100"/>
        <c:noMultiLvlLbl val="0"/>
      </c:catAx>
      <c:valAx>
        <c:axId val="612474623"/>
        <c:scaling>
          <c:orientation val="minMax"/>
        </c:scaling>
        <c:delete val="0"/>
        <c:axPos val="l"/>
        <c:majorGridlines>
          <c:spPr>
            <a:ln w="9525" cap="flat" cmpd="sng" algn="ctr">
              <a:solidFill>
                <a:schemeClr val="tx1">
                  <a:lumMod val="15000"/>
                  <a:lumOff val="85000"/>
                </a:schemeClr>
              </a:solidFill>
              <a:round/>
            </a:ln>
            <a:effectLst/>
          </c:spPr>
        </c:majorGridlines>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7274463"/>
        <c:crosses val="autoZero"/>
        <c:crossBetween val="between"/>
      </c:valAx>
      <c:valAx>
        <c:axId val="172267439"/>
        <c:scaling>
          <c:orientation val="minMax"/>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72520367"/>
        <c:crosses val="max"/>
        <c:crossBetween val="between"/>
      </c:valAx>
      <c:catAx>
        <c:axId val="1972520367"/>
        <c:scaling>
          <c:orientation val="minMax"/>
        </c:scaling>
        <c:delete val="1"/>
        <c:axPos val="b"/>
        <c:majorTickMark val="out"/>
        <c:minorTickMark val="none"/>
        <c:tickLblPos val="nextTo"/>
        <c:crossAx val="172267439"/>
        <c:crosses val="autoZero"/>
        <c:auto val="1"/>
        <c:lblAlgn val="ctr"/>
        <c:lblOffset val="100"/>
        <c:noMultiLvlLbl val="0"/>
      </c:cat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'R1. OUTPUTS'!$J$211</c:f>
          <c:strCache>
            <c:ptCount val="1"/>
            <c:pt idx="0">
              <c:v>Vaccinator Days -Medium Variant</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'R1. OUTPUTS'!$C$223</c:f>
              <c:strCache>
                <c:ptCount val="1"/>
                <c:pt idx="0">
                  <c:v>Delivery Modality 1</c:v>
                </c:pt>
              </c:strCache>
            </c:strRef>
          </c:tx>
          <c:spPr>
            <a:solidFill>
              <a:schemeClr val="accent1"/>
            </a:solidFill>
            <a:ln>
              <a:noFill/>
            </a:ln>
            <a:effectLst/>
          </c:spPr>
          <c:invertIfNegative val="0"/>
          <c:cat>
            <c:strRef>
              <c:f>'R1. OUTPUTS'!$G$213:$L$213</c:f>
              <c:strCache>
                <c:ptCount val="6"/>
                <c:pt idx="0">
                  <c:v>H1 2021</c:v>
                </c:pt>
                <c:pt idx="1">
                  <c:v>H2 2021</c:v>
                </c:pt>
                <c:pt idx="2">
                  <c:v>H1 2022</c:v>
                </c:pt>
                <c:pt idx="3">
                  <c:v>H2 2022</c:v>
                </c:pt>
                <c:pt idx="4">
                  <c:v>H1 2023</c:v>
                </c:pt>
                <c:pt idx="5">
                  <c:v>H2 2023</c:v>
                </c:pt>
              </c:strCache>
            </c:strRef>
          </c:cat>
          <c:val>
            <c:numRef>
              <c:f>'R1. OUTPUTS'!$G$223:$L$223</c:f>
              <c:numCache>
                <c:formatCode>_-* #,##0_-;\-* #,##0_-;_-* "-"??_-;_-@_-</c:formatCode>
                <c:ptCount val="6"/>
                <c:pt idx="0">
                  <c:v>#N/A</c:v>
                </c:pt>
                <c:pt idx="1">
                  <c:v>#N/A</c:v>
                </c:pt>
                <c:pt idx="2">
                  <c:v>#N/A</c:v>
                </c:pt>
                <c:pt idx="3">
                  <c:v>#N/A</c:v>
                </c:pt>
                <c:pt idx="4">
                  <c:v>#N/A</c:v>
                </c:pt>
                <c:pt idx="5">
                  <c:v>#N/A</c:v>
                </c:pt>
              </c:numCache>
            </c:numRef>
          </c:val>
          <c:extLst>
            <c:ext xmlns:c16="http://schemas.microsoft.com/office/drawing/2014/chart" uri="{C3380CC4-5D6E-409C-BE32-E72D297353CC}">
              <c16:uniqueId val="{00000000-1625-4340-BBAC-DFFCB9E64CE9}"/>
            </c:ext>
          </c:extLst>
        </c:ser>
        <c:ser>
          <c:idx val="1"/>
          <c:order val="1"/>
          <c:tx>
            <c:strRef>
              <c:f>'R1. OUTPUTS'!$C$224</c:f>
              <c:strCache>
                <c:ptCount val="1"/>
                <c:pt idx="0">
                  <c:v>Delivery Modality 2</c:v>
                </c:pt>
              </c:strCache>
            </c:strRef>
          </c:tx>
          <c:spPr>
            <a:solidFill>
              <a:schemeClr val="accent2"/>
            </a:solidFill>
            <a:ln>
              <a:noFill/>
            </a:ln>
            <a:effectLst/>
          </c:spPr>
          <c:invertIfNegative val="0"/>
          <c:cat>
            <c:strRef>
              <c:f>'R1. OUTPUTS'!$G$213:$L$213</c:f>
              <c:strCache>
                <c:ptCount val="6"/>
                <c:pt idx="0">
                  <c:v>H1 2021</c:v>
                </c:pt>
                <c:pt idx="1">
                  <c:v>H2 2021</c:v>
                </c:pt>
                <c:pt idx="2">
                  <c:v>H1 2022</c:v>
                </c:pt>
                <c:pt idx="3">
                  <c:v>H2 2022</c:v>
                </c:pt>
                <c:pt idx="4">
                  <c:v>H1 2023</c:v>
                </c:pt>
                <c:pt idx="5">
                  <c:v>H2 2023</c:v>
                </c:pt>
              </c:strCache>
            </c:strRef>
          </c:cat>
          <c:val>
            <c:numRef>
              <c:f>'R1. OUTPUTS'!$G$224:$L$224</c:f>
              <c:numCache>
                <c:formatCode>_-* #,##0_-;\-* #,##0_-;_-* "-"??_-;_-@_-</c:formatCode>
                <c:ptCount val="6"/>
                <c:pt idx="0">
                  <c:v>#N/A</c:v>
                </c:pt>
                <c:pt idx="1">
                  <c:v>#N/A</c:v>
                </c:pt>
                <c:pt idx="2">
                  <c:v>#N/A</c:v>
                </c:pt>
                <c:pt idx="3">
                  <c:v>#N/A</c:v>
                </c:pt>
                <c:pt idx="4">
                  <c:v>#N/A</c:v>
                </c:pt>
                <c:pt idx="5">
                  <c:v>#N/A</c:v>
                </c:pt>
              </c:numCache>
            </c:numRef>
          </c:val>
          <c:extLst>
            <c:ext xmlns:c16="http://schemas.microsoft.com/office/drawing/2014/chart" uri="{C3380CC4-5D6E-409C-BE32-E72D297353CC}">
              <c16:uniqueId val="{00000001-1625-4340-BBAC-DFFCB9E64CE9}"/>
            </c:ext>
          </c:extLst>
        </c:ser>
        <c:ser>
          <c:idx val="2"/>
          <c:order val="2"/>
          <c:tx>
            <c:strRef>
              <c:f>'R1. OUTPUTS'!$C$225</c:f>
              <c:strCache>
                <c:ptCount val="1"/>
                <c:pt idx="0">
                  <c:v>Delivery Modality 3</c:v>
                </c:pt>
              </c:strCache>
            </c:strRef>
          </c:tx>
          <c:spPr>
            <a:solidFill>
              <a:schemeClr val="accent3"/>
            </a:solidFill>
            <a:ln>
              <a:noFill/>
            </a:ln>
            <a:effectLst/>
          </c:spPr>
          <c:invertIfNegative val="0"/>
          <c:cat>
            <c:strRef>
              <c:f>'R1. OUTPUTS'!$G$213:$L$213</c:f>
              <c:strCache>
                <c:ptCount val="6"/>
                <c:pt idx="0">
                  <c:v>H1 2021</c:v>
                </c:pt>
                <c:pt idx="1">
                  <c:v>H2 2021</c:v>
                </c:pt>
                <c:pt idx="2">
                  <c:v>H1 2022</c:v>
                </c:pt>
                <c:pt idx="3">
                  <c:v>H2 2022</c:v>
                </c:pt>
                <c:pt idx="4">
                  <c:v>H1 2023</c:v>
                </c:pt>
                <c:pt idx="5">
                  <c:v>H2 2023</c:v>
                </c:pt>
              </c:strCache>
            </c:strRef>
          </c:cat>
          <c:val>
            <c:numRef>
              <c:f>'R1. OUTPUTS'!$G$225:$L$225</c:f>
              <c:numCache>
                <c:formatCode>_-* #,##0_-;\-* #,##0_-;_-* "-"??_-;_-@_-</c:formatCode>
                <c:ptCount val="6"/>
                <c:pt idx="0">
                  <c:v>#N/A</c:v>
                </c:pt>
                <c:pt idx="1">
                  <c:v>#N/A</c:v>
                </c:pt>
                <c:pt idx="2">
                  <c:v>#N/A</c:v>
                </c:pt>
                <c:pt idx="3">
                  <c:v>#N/A</c:v>
                </c:pt>
                <c:pt idx="4">
                  <c:v>#N/A</c:v>
                </c:pt>
                <c:pt idx="5">
                  <c:v>#N/A</c:v>
                </c:pt>
              </c:numCache>
            </c:numRef>
          </c:val>
          <c:extLst>
            <c:ext xmlns:c16="http://schemas.microsoft.com/office/drawing/2014/chart" uri="{C3380CC4-5D6E-409C-BE32-E72D297353CC}">
              <c16:uniqueId val="{00000002-1625-4340-BBAC-DFFCB9E64CE9}"/>
            </c:ext>
          </c:extLst>
        </c:ser>
        <c:ser>
          <c:idx val="3"/>
          <c:order val="3"/>
          <c:tx>
            <c:strRef>
              <c:f>'R1. OUTPUTS'!$C$226</c:f>
              <c:strCache>
                <c:ptCount val="1"/>
                <c:pt idx="0">
                  <c:v>Delivery Modality 4</c:v>
                </c:pt>
              </c:strCache>
            </c:strRef>
          </c:tx>
          <c:spPr>
            <a:solidFill>
              <a:schemeClr val="accent4"/>
            </a:solidFill>
            <a:ln>
              <a:noFill/>
            </a:ln>
            <a:effectLst/>
          </c:spPr>
          <c:invertIfNegative val="0"/>
          <c:cat>
            <c:strRef>
              <c:f>'R1. OUTPUTS'!$G$213:$L$213</c:f>
              <c:strCache>
                <c:ptCount val="6"/>
                <c:pt idx="0">
                  <c:v>H1 2021</c:v>
                </c:pt>
                <c:pt idx="1">
                  <c:v>H2 2021</c:v>
                </c:pt>
                <c:pt idx="2">
                  <c:v>H1 2022</c:v>
                </c:pt>
                <c:pt idx="3">
                  <c:v>H2 2022</c:v>
                </c:pt>
                <c:pt idx="4">
                  <c:v>H1 2023</c:v>
                </c:pt>
                <c:pt idx="5">
                  <c:v>H2 2023</c:v>
                </c:pt>
              </c:strCache>
            </c:strRef>
          </c:cat>
          <c:val>
            <c:numRef>
              <c:f>'R1. OUTPUTS'!$G$226:$L$226</c:f>
              <c:numCache>
                <c:formatCode>_-* #,##0_-;\-* #,##0_-;_-* "-"??_-;_-@_-</c:formatCode>
                <c:ptCount val="6"/>
                <c:pt idx="0">
                  <c:v>#N/A</c:v>
                </c:pt>
                <c:pt idx="1">
                  <c:v>#N/A</c:v>
                </c:pt>
                <c:pt idx="2">
                  <c:v>#N/A</c:v>
                </c:pt>
                <c:pt idx="3">
                  <c:v>#N/A</c:v>
                </c:pt>
                <c:pt idx="4">
                  <c:v>#N/A</c:v>
                </c:pt>
                <c:pt idx="5">
                  <c:v>#N/A</c:v>
                </c:pt>
              </c:numCache>
            </c:numRef>
          </c:val>
          <c:extLst>
            <c:ext xmlns:c16="http://schemas.microsoft.com/office/drawing/2014/chart" uri="{C3380CC4-5D6E-409C-BE32-E72D297353CC}">
              <c16:uniqueId val="{00000003-1625-4340-BBAC-DFFCB9E64CE9}"/>
            </c:ext>
          </c:extLst>
        </c:ser>
        <c:dLbls>
          <c:showLegendKey val="0"/>
          <c:showVal val="0"/>
          <c:showCatName val="0"/>
          <c:showSerName val="0"/>
          <c:showPercent val="0"/>
          <c:showBubbleSize val="0"/>
        </c:dLbls>
        <c:gapWidth val="25"/>
        <c:overlap val="100"/>
        <c:axId val="1328789535"/>
        <c:axId val="1306564671"/>
      </c:barChart>
      <c:lineChart>
        <c:grouping val="standard"/>
        <c:varyColors val="0"/>
        <c:ser>
          <c:idx val="4"/>
          <c:order val="4"/>
          <c:tx>
            <c:strRef>
              <c:f>'R1. OUTPUTS'!$C$227</c:f>
              <c:strCache>
                <c:ptCount val="1"/>
                <c:pt idx="0">
                  <c:v>Total Vaccinator-Days</c:v>
                </c:pt>
              </c:strCache>
            </c:strRef>
          </c:tx>
          <c:spPr>
            <a:ln w="25400" cap="rnd">
              <a:noFill/>
              <a:round/>
            </a:ln>
            <a:effectLst/>
          </c:spPr>
          <c:marker>
            <c:symbol val="triangle"/>
            <c:size val="10"/>
            <c:spPr>
              <a:solidFill>
                <a:srgbClr val="FF0000">
                  <a:alpha val="25000"/>
                </a:srgbClr>
              </a:solidFill>
              <a:ln w="9525">
                <a:noFill/>
              </a:ln>
              <a:effectLst/>
            </c:spPr>
          </c:marker>
          <c:cat>
            <c:strRef>
              <c:f>'R1. OUTPUTS'!$G$102:$L$102</c:f>
              <c:strCache>
                <c:ptCount val="6"/>
                <c:pt idx="0">
                  <c:v>H1 2021</c:v>
                </c:pt>
                <c:pt idx="1">
                  <c:v>H2 2021</c:v>
                </c:pt>
                <c:pt idx="2">
                  <c:v>H1 2022</c:v>
                </c:pt>
                <c:pt idx="3">
                  <c:v>H2 2022</c:v>
                </c:pt>
                <c:pt idx="4">
                  <c:v>H1 2023</c:v>
                </c:pt>
                <c:pt idx="5">
                  <c:v>H2 2023</c:v>
                </c:pt>
              </c:strCache>
            </c:strRef>
          </c:cat>
          <c:val>
            <c:numRef>
              <c:f>'R1. OUTPUTS'!$G$227:$L$227</c:f>
              <c:numCache>
                <c:formatCode>_-* #,##0_-;\-* #,##0_-;_-* "-"??_-;_-@_-</c:formatCode>
                <c:ptCount val="6"/>
                <c:pt idx="0">
                  <c:v>#N/A</c:v>
                </c:pt>
                <c:pt idx="1">
                  <c:v>#N/A</c:v>
                </c:pt>
                <c:pt idx="2">
                  <c:v>#N/A</c:v>
                </c:pt>
                <c:pt idx="3">
                  <c:v>#N/A</c:v>
                </c:pt>
                <c:pt idx="4">
                  <c:v>#N/A</c:v>
                </c:pt>
                <c:pt idx="5">
                  <c:v>#N/A</c:v>
                </c:pt>
              </c:numCache>
            </c:numRef>
          </c:val>
          <c:smooth val="0"/>
          <c:extLst>
            <c:ext xmlns:c16="http://schemas.microsoft.com/office/drawing/2014/chart" uri="{C3380CC4-5D6E-409C-BE32-E72D297353CC}">
              <c16:uniqueId val="{00000004-1625-4340-BBAC-DFFCB9E64CE9}"/>
            </c:ext>
          </c:extLst>
        </c:ser>
        <c:dLbls>
          <c:showLegendKey val="0"/>
          <c:showVal val="0"/>
          <c:showCatName val="0"/>
          <c:showSerName val="0"/>
          <c:showPercent val="0"/>
          <c:showBubbleSize val="0"/>
        </c:dLbls>
        <c:marker val="1"/>
        <c:smooth val="0"/>
        <c:axId val="1328789535"/>
        <c:axId val="1306564671"/>
      </c:lineChart>
      <c:catAx>
        <c:axId val="1328789535"/>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Period</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6564671"/>
        <c:crosses val="autoZero"/>
        <c:auto val="1"/>
        <c:lblAlgn val="ctr"/>
        <c:lblOffset val="100"/>
        <c:noMultiLvlLbl val="0"/>
      </c:catAx>
      <c:valAx>
        <c:axId val="130656467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2878953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'R1. OUTPUTS'!$L$318</c:f>
          <c:strCache>
            <c:ptCount val="1"/>
            <c:pt idx="0">
              <c:v>Vaccinator Hours - Medium Variant</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'R1. OUTPUTS'!$C$291</c:f>
              <c:strCache>
                <c:ptCount val="1"/>
                <c:pt idx="0">
                  <c:v>Delivery Modality 1</c:v>
                </c:pt>
              </c:strCache>
            </c:strRef>
          </c:tx>
          <c:spPr>
            <a:solidFill>
              <a:schemeClr val="accent1"/>
            </a:solidFill>
            <a:ln>
              <a:noFill/>
            </a:ln>
            <a:effectLst/>
          </c:spPr>
          <c:invertIfNegative val="0"/>
          <c:cat>
            <c:strRef>
              <c:f>'R1. OUTPUTS'!$G$102:$L$102</c:f>
              <c:strCache>
                <c:ptCount val="6"/>
                <c:pt idx="0">
                  <c:v>H1 2021</c:v>
                </c:pt>
                <c:pt idx="1">
                  <c:v>H2 2021</c:v>
                </c:pt>
                <c:pt idx="2">
                  <c:v>H1 2022</c:v>
                </c:pt>
                <c:pt idx="3">
                  <c:v>H2 2022</c:v>
                </c:pt>
                <c:pt idx="4">
                  <c:v>H1 2023</c:v>
                </c:pt>
                <c:pt idx="5">
                  <c:v>H2 2023</c:v>
                </c:pt>
              </c:strCache>
            </c:strRef>
          </c:cat>
          <c:val>
            <c:numRef>
              <c:f>'R1. OUTPUTS'!$G$291:$L$291</c:f>
              <c:numCache>
                <c:formatCode>_-* #,##0_-;\-* #,##0_-;_-* "-"??_-;_-@_-</c:formatCode>
                <c:ptCount val="6"/>
                <c:pt idx="0">
                  <c:v>#N/A</c:v>
                </c:pt>
                <c:pt idx="1">
                  <c:v>#N/A</c:v>
                </c:pt>
                <c:pt idx="2">
                  <c:v>#N/A</c:v>
                </c:pt>
                <c:pt idx="3">
                  <c:v>#N/A</c:v>
                </c:pt>
                <c:pt idx="4">
                  <c:v>#N/A</c:v>
                </c:pt>
                <c:pt idx="5">
                  <c:v>#N/A</c:v>
                </c:pt>
              </c:numCache>
            </c:numRef>
          </c:val>
          <c:extLst>
            <c:ext xmlns:c16="http://schemas.microsoft.com/office/drawing/2014/chart" uri="{C3380CC4-5D6E-409C-BE32-E72D297353CC}">
              <c16:uniqueId val="{00000000-E0F7-4D4D-BFCD-B1901A96488E}"/>
            </c:ext>
          </c:extLst>
        </c:ser>
        <c:ser>
          <c:idx val="1"/>
          <c:order val="1"/>
          <c:tx>
            <c:strRef>
              <c:f>'R1. OUTPUTS'!$C$292</c:f>
              <c:strCache>
                <c:ptCount val="1"/>
                <c:pt idx="0">
                  <c:v>Delivery Modality 2</c:v>
                </c:pt>
              </c:strCache>
            </c:strRef>
          </c:tx>
          <c:spPr>
            <a:solidFill>
              <a:schemeClr val="accent2"/>
            </a:solidFill>
            <a:ln>
              <a:noFill/>
            </a:ln>
            <a:effectLst/>
          </c:spPr>
          <c:invertIfNegative val="0"/>
          <c:cat>
            <c:strRef>
              <c:f>'R1. OUTPUTS'!$G$102:$L$102</c:f>
              <c:strCache>
                <c:ptCount val="6"/>
                <c:pt idx="0">
                  <c:v>H1 2021</c:v>
                </c:pt>
                <c:pt idx="1">
                  <c:v>H2 2021</c:v>
                </c:pt>
                <c:pt idx="2">
                  <c:v>H1 2022</c:v>
                </c:pt>
                <c:pt idx="3">
                  <c:v>H2 2022</c:v>
                </c:pt>
                <c:pt idx="4">
                  <c:v>H1 2023</c:v>
                </c:pt>
                <c:pt idx="5">
                  <c:v>H2 2023</c:v>
                </c:pt>
              </c:strCache>
            </c:strRef>
          </c:cat>
          <c:val>
            <c:numRef>
              <c:f>'R1. OUTPUTS'!$G$292:$L$292</c:f>
              <c:numCache>
                <c:formatCode>_-* #,##0_-;\-* #,##0_-;_-* "-"??_-;_-@_-</c:formatCode>
                <c:ptCount val="6"/>
                <c:pt idx="0">
                  <c:v>#N/A</c:v>
                </c:pt>
                <c:pt idx="1">
                  <c:v>#N/A</c:v>
                </c:pt>
                <c:pt idx="2">
                  <c:v>#N/A</c:v>
                </c:pt>
                <c:pt idx="3">
                  <c:v>#N/A</c:v>
                </c:pt>
                <c:pt idx="4">
                  <c:v>#N/A</c:v>
                </c:pt>
                <c:pt idx="5">
                  <c:v>#N/A</c:v>
                </c:pt>
              </c:numCache>
            </c:numRef>
          </c:val>
          <c:extLst>
            <c:ext xmlns:c16="http://schemas.microsoft.com/office/drawing/2014/chart" uri="{C3380CC4-5D6E-409C-BE32-E72D297353CC}">
              <c16:uniqueId val="{00000001-E0F7-4D4D-BFCD-B1901A96488E}"/>
            </c:ext>
          </c:extLst>
        </c:ser>
        <c:ser>
          <c:idx val="2"/>
          <c:order val="2"/>
          <c:tx>
            <c:strRef>
              <c:f>'R1. OUTPUTS'!$C$293</c:f>
              <c:strCache>
                <c:ptCount val="1"/>
                <c:pt idx="0">
                  <c:v>Delivery Modality 3</c:v>
                </c:pt>
              </c:strCache>
            </c:strRef>
          </c:tx>
          <c:spPr>
            <a:solidFill>
              <a:schemeClr val="accent3"/>
            </a:solidFill>
            <a:ln>
              <a:noFill/>
            </a:ln>
            <a:effectLst/>
          </c:spPr>
          <c:invertIfNegative val="0"/>
          <c:cat>
            <c:strRef>
              <c:f>'R1. OUTPUTS'!$G$102:$L$102</c:f>
              <c:strCache>
                <c:ptCount val="6"/>
                <c:pt idx="0">
                  <c:v>H1 2021</c:v>
                </c:pt>
                <c:pt idx="1">
                  <c:v>H2 2021</c:v>
                </c:pt>
                <c:pt idx="2">
                  <c:v>H1 2022</c:v>
                </c:pt>
                <c:pt idx="3">
                  <c:v>H2 2022</c:v>
                </c:pt>
                <c:pt idx="4">
                  <c:v>H1 2023</c:v>
                </c:pt>
                <c:pt idx="5">
                  <c:v>H2 2023</c:v>
                </c:pt>
              </c:strCache>
            </c:strRef>
          </c:cat>
          <c:val>
            <c:numRef>
              <c:f>'R1. OUTPUTS'!$G$293:$L$293</c:f>
              <c:numCache>
                <c:formatCode>_-* #,##0_-;\-* #,##0_-;_-* "-"??_-;_-@_-</c:formatCode>
                <c:ptCount val="6"/>
                <c:pt idx="0">
                  <c:v>#N/A</c:v>
                </c:pt>
                <c:pt idx="1">
                  <c:v>#N/A</c:v>
                </c:pt>
                <c:pt idx="2">
                  <c:v>#N/A</c:v>
                </c:pt>
                <c:pt idx="3">
                  <c:v>#N/A</c:v>
                </c:pt>
                <c:pt idx="4">
                  <c:v>#N/A</c:v>
                </c:pt>
                <c:pt idx="5">
                  <c:v>#N/A</c:v>
                </c:pt>
              </c:numCache>
            </c:numRef>
          </c:val>
          <c:extLst>
            <c:ext xmlns:c16="http://schemas.microsoft.com/office/drawing/2014/chart" uri="{C3380CC4-5D6E-409C-BE32-E72D297353CC}">
              <c16:uniqueId val="{00000002-E0F7-4D4D-BFCD-B1901A96488E}"/>
            </c:ext>
          </c:extLst>
        </c:ser>
        <c:ser>
          <c:idx val="3"/>
          <c:order val="3"/>
          <c:tx>
            <c:strRef>
              <c:f>'R1. OUTPUTS'!$C$294</c:f>
              <c:strCache>
                <c:ptCount val="1"/>
                <c:pt idx="0">
                  <c:v>Delivery Modality 4</c:v>
                </c:pt>
              </c:strCache>
            </c:strRef>
          </c:tx>
          <c:spPr>
            <a:solidFill>
              <a:schemeClr val="accent4"/>
            </a:solidFill>
            <a:ln>
              <a:noFill/>
            </a:ln>
            <a:effectLst/>
          </c:spPr>
          <c:invertIfNegative val="0"/>
          <c:cat>
            <c:strRef>
              <c:f>'R1. OUTPUTS'!$G$102:$L$102</c:f>
              <c:strCache>
                <c:ptCount val="6"/>
                <c:pt idx="0">
                  <c:v>H1 2021</c:v>
                </c:pt>
                <c:pt idx="1">
                  <c:v>H2 2021</c:v>
                </c:pt>
                <c:pt idx="2">
                  <c:v>H1 2022</c:v>
                </c:pt>
                <c:pt idx="3">
                  <c:v>H2 2022</c:v>
                </c:pt>
                <c:pt idx="4">
                  <c:v>H1 2023</c:v>
                </c:pt>
                <c:pt idx="5">
                  <c:v>H2 2023</c:v>
                </c:pt>
              </c:strCache>
            </c:strRef>
          </c:cat>
          <c:val>
            <c:numRef>
              <c:f>'R1. OUTPUTS'!$G$294:$L$294</c:f>
              <c:numCache>
                <c:formatCode>_-* #,##0_-;\-* #,##0_-;_-* "-"??_-;_-@_-</c:formatCode>
                <c:ptCount val="6"/>
                <c:pt idx="0">
                  <c:v>#N/A</c:v>
                </c:pt>
                <c:pt idx="1">
                  <c:v>#N/A</c:v>
                </c:pt>
                <c:pt idx="2">
                  <c:v>#N/A</c:v>
                </c:pt>
                <c:pt idx="3">
                  <c:v>#N/A</c:v>
                </c:pt>
                <c:pt idx="4">
                  <c:v>#N/A</c:v>
                </c:pt>
                <c:pt idx="5">
                  <c:v>#N/A</c:v>
                </c:pt>
              </c:numCache>
            </c:numRef>
          </c:val>
          <c:extLst>
            <c:ext xmlns:c16="http://schemas.microsoft.com/office/drawing/2014/chart" uri="{C3380CC4-5D6E-409C-BE32-E72D297353CC}">
              <c16:uniqueId val="{00000003-E0F7-4D4D-BFCD-B1901A96488E}"/>
            </c:ext>
          </c:extLst>
        </c:ser>
        <c:dLbls>
          <c:showLegendKey val="0"/>
          <c:showVal val="0"/>
          <c:showCatName val="0"/>
          <c:showSerName val="0"/>
          <c:showPercent val="0"/>
          <c:showBubbleSize val="0"/>
        </c:dLbls>
        <c:gapWidth val="25"/>
        <c:overlap val="100"/>
        <c:axId val="1328789535"/>
        <c:axId val="1306564671"/>
      </c:barChart>
      <c:lineChart>
        <c:grouping val="standard"/>
        <c:varyColors val="0"/>
        <c:ser>
          <c:idx val="4"/>
          <c:order val="4"/>
          <c:tx>
            <c:strRef>
              <c:f>'R1. OUTPUTS'!$C$295</c:f>
              <c:strCache>
                <c:ptCount val="1"/>
                <c:pt idx="0">
                  <c:v>Total Vaccinator-Hours</c:v>
                </c:pt>
              </c:strCache>
            </c:strRef>
          </c:tx>
          <c:spPr>
            <a:ln w="25400" cap="rnd">
              <a:noFill/>
              <a:round/>
            </a:ln>
            <a:effectLst/>
          </c:spPr>
          <c:marker>
            <c:symbol val="triangle"/>
            <c:size val="10"/>
            <c:spPr>
              <a:solidFill>
                <a:srgbClr val="FF0000">
                  <a:alpha val="25000"/>
                </a:srgbClr>
              </a:solidFill>
              <a:ln w="9525">
                <a:noFill/>
              </a:ln>
              <a:effectLst/>
            </c:spPr>
          </c:marker>
          <c:cat>
            <c:strRef>
              <c:f>'R1. OUTPUTS'!$G$102:$L$102</c:f>
              <c:strCache>
                <c:ptCount val="6"/>
                <c:pt idx="0">
                  <c:v>H1 2021</c:v>
                </c:pt>
                <c:pt idx="1">
                  <c:v>H2 2021</c:v>
                </c:pt>
                <c:pt idx="2">
                  <c:v>H1 2022</c:v>
                </c:pt>
                <c:pt idx="3">
                  <c:v>H2 2022</c:v>
                </c:pt>
                <c:pt idx="4">
                  <c:v>H1 2023</c:v>
                </c:pt>
                <c:pt idx="5">
                  <c:v>H2 2023</c:v>
                </c:pt>
              </c:strCache>
            </c:strRef>
          </c:cat>
          <c:val>
            <c:numRef>
              <c:f>'R1. OUTPUTS'!$G$295:$L$295</c:f>
              <c:numCache>
                <c:formatCode>_-* #,##0_-;\-* #,##0_-;_-* "-"??_-;_-@_-</c:formatCode>
                <c:ptCount val="6"/>
                <c:pt idx="0">
                  <c:v>#N/A</c:v>
                </c:pt>
                <c:pt idx="1">
                  <c:v>#N/A</c:v>
                </c:pt>
                <c:pt idx="2">
                  <c:v>#N/A</c:v>
                </c:pt>
                <c:pt idx="3">
                  <c:v>#N/A</c:v>
                </c:pt>
                <c:pt idx="4">
                  <c:v>#N/A</c:v>
                </c:pt>
                <c:pt idx="5">
                  <c:v>#N/A</c:v>
                </c:pt>
              </c:numCache>
            </c:numRef>
          </c:val>
          <c:smooth val="0"/>
          <c:extLst>
            <c:ext xmlns:c16="http://schemas.microsoft.com/office/drawing/2014/chart" uri="{C3380CC4-5D6E-409C-BE32-E72D297353CC}">
              <c16:uniqueId val="{00000004-E0F7-4D4D-BFCD-B1901A96488E}"/>
            </c:ext>
          </c:extLst>
        </c:ser>
        <c:dLbls>
          <c:showLegendKey val="0"/>
          <c:showVal val="0"/>
          <c:showCatName val="0"/>
          <c:showSerName val="0"/>
          <c:showPercent val="0"/>
          <c:showBubbleSize val="0"/>
        </c:dLbls>
        <c:marker val="1"/>
        <c:smooth val="0"/>
        <c:axId val="1328789535"/>
        <c:axId val="1306564671"/>
      </c:lineChart>
      <c:catAx>
        <c:axId val="1328789535"/>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Period</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6564671"/>
        <c:crosses val="autoZero"/>
        <c:auto val="1"/>
        <c:lblAlgn val="ctr"/>
        <c:lblOffset val="100"/>
        <c:noMultiLvlLbl val="0"/>
      </c:catAx>
      <c:valAx>
        <c:axId val="130656467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2878953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4.png"/><Relationship Id="rId3" Type="http://schemas.openxmlformats.org/officeDocument/2006/relationships/hyperlink" Target="#Help"/><Relationship Id="rId7" Type="http://schemas.openxmlformats.org/officeDocument/2006/relationships/image" Target="../media/image3.png"/><Relationship Id="rId2" Type="http://schemas.openxmlformats.org/officeDocument/2006/relationships/hyperlink" Target="#'R1. OUTPUTS'!A1"/><Relationship Id="rId1" Type="http://schemas.openxmlformats.org/officeDocument/2006/relationships/hyperlink" Target="#QuickLinks"/><Relationship Id="rId6" Type="http://schemas.openxmlformats.org/officeDocument/2006/relationships/image" Target="../media/image2.png"/><Relationship Id="rId5" Type="http://schemas.openxmlformats.org/officeDocument/2006/relationships/image" Target="../media/image1.png"/><Relationship Id="rId10" Type="http://schemas.openxmlformats.org/officeDocument/2006/relationships/image" Target="../media/image6.png"/><Relationship Id="rId4" Type="http://schemas.openxmlformats.org/officeDocument/2006/relationships/hyperlink" Target="#'A2. INPUT Population &amp; Delivery'!A1"/><Relationship Id="rId9" Type="http://schemas.openxmlformats.org/officeDocument/2006/relationships/image" Target="../media/image5.png"/></Relationships>
</file>

<file path=xl/drawings/_rels/drawing10.xml.rels><?xml version="1.0" encoding="UTF-8" standalone="yes"?>
<Relationships xmlns="http://schemas.openxmlformats.org/package/2006/relationships"><Relationship Id="rId8" Type="http://schemas.openxmlformats.org/officeDocument/2006/relationships/hyperlink" Target="#Help"/><Relationship Id="rId13" Type="http://schemas.openxmlformats.org/officeDocument/2006/relationships/chart" Target="../charts/chart10.xml"/><Relationship Id="rId18"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hyperlink" Target="#QuickLinks"/><Relationship Id="rId12" Type="http://schemas.openxmlformats.org/officeDocument/2006/relationships/chart" Target="../charts/chart9.xml"/><Relationship Id="rId17" Type="http://schemas.openxmlformats.org/officeDocument/2006/relationships/chart" Target="../charts/chart12.xml"/><Relationship Id="rId2" Type="http://schemas.openxmlformats.org/officeDocument/2006/relationships/chart" Target="../charts/chart2.xml"/><Relationship Id="rId16" Type="http://schemas.openxmlformats.org/officeDocument/2006/relationships/image" Target="../media/image7.png"/><Relationship Id="rId20" Type="http://schemas.openxmlformats.org/officeDocument/2006/relationships/image" Target="../media/image6.png"/><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8.xml"/><Relationship Id="rId5" Type="http://schemas.openxmlformats.org/officeDocument/2006/relationships/chart" Target="../charts/chart5.xml"/><Relationship Id="rId15" Type="http://schemas.openxmlformats.org/officeDocument/2006/relationships/image" Target="../media/image3.png"/><Relationship Id="rId10" Type="http://schemas.openxmlformats.org/officeDocument/2006/relationships/chart" Target="../charts/chart7.xml"/><Relationship Id="rId19" Type="http://schemas.openxmlformats.org/officeDocument/2006/relationships/image" Target="../media/image16.png"/><Relationship Id="rId4" Type="http://schemas.openxmlformats.org/officeDocument/2006/relationships/chart" Target="../charts/chart4.xml"/><Relationship Id="rId9" Type="http://schemas.openxmlformats.org/officeDocument/2006/relationships/hyperlink" Target="#'R2. Resource Mapping'!A1"/><Relationship Id="rId14" Type="http://schemas.openxmlformats.org/officeDocument/2006/relationships/chart" Target="../charts/chart11.xml"/></Relationships>
</file>

<file path=xl/drawings/_rels/drawing11.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hyperlink" Target="#Help"/><Relationship Id="rId7" Type="http://schemas.openxmlformats.org/officeDocument/2006/relationships/chart" Target="../charts/chart16.xml"/><Relationship Id="rId2" Type="http://schemas.openxmlformats.org/officeDocument/2006/relationships/hyperlink" Target="#'R1. OUTPUTS'!A1"/><Relationship Id="rId1" Type="http://schemas.openxmlformats.org/officeDocument/2006/relationships/hyperlink" Target="#QuickLinks"/><Relationship Id="rId6" Type="http://schemas.openxmlformats.org/officeDocument/2006/relationships/chart" Target="../charts/chart15.xml"/><Relationship Id="rId11" Type="http://schemas.openxmlformats.org/officeDocument/2006/relationships/image" Target="../media/image6.png"/><Relationship Id="rId5" Type="http://schemas.openxmlformats.org/officeDocument/2006/relationships/chart" Target="../charts/chart14.xml"/><Relationship Id="rId10" Type="http://schemas.openxmlformats.org/officeDocument/2006/relationships/image" Target="../media/image17.png"/><Relationship Id="rId4" Type="http://schemas.openxmlformats.org/officeDocument/2006/relationships/hyperlink" Target="#'T1. Vaccines'!A1"/><Relationship Id="rId9" Type="http://schemas.openxmlformats.org/officeDocument/2006/relationships/image" Target="../media/image7.png"/></Relationships>
</file>

<file path=xl/drawings/_rels/drawing12.xml.rels><?xml version="1.0" encoding="UTF-8" standalone="yes"?>
<Relationships xmlns="http://schemas.openxmlformats.org/package/2006/relationships"><Relationship Id="rId3" Type="http://schemas.openxmlformats.org/officeDocument/2006/relationships/hyperlink" Target="#Help"/><Relationship Id="rId2" Type="http://schemas.openxmlformats.org/officeDocument/2006/relationships/hyperlink" Target="#'R1. OUTPUTS'!A1"/><Relationship Id="rId1" Type="http://schemas.openxmlformats.org/officeDocument/2006/relationships/hyperlink" Target="#QuickLinks"/></Relationships>
</file>

<file path=xl/drawings/_rels/drawing13.xml.rels><?xml version="1.0" encoding="UTF-8" standalone="yes"?>
<Relationships xmlns="http://schemas.openxmlformats.org/package/2006/relationships"><Relationship Id="rId2" Type="http://schemas.openxmlformats.org/officeDocument/2006/relationships/chart" Target="../charts/chart18.xml"/><Relationship Id="rId1" Type="http://schemas.openxmlformats.org/officeDocument/2006/relationships/chart" Target="../charts/chart17.xml"/></Relationships>
</file>

<file path=xl/drawings/_rels/drawing2.xml.rels><?xml version="1.0" encoding="UTF-8" standalone="yes"?>
<Relationships xmlns="http://schemas.openxmlformats.org/package/2006/relationships"><Relationship Id="rId8" Type="http://schemas.openxmlformats.org/officeDocument/2006/relationships/image" Target="../media/image6.png"/><Relationship Id="rId3" Type="http://schemas.openxmlformats.org/officeDocument/2006/relationships/hyperlink" Target="#Help"/><Relationship Id="rId7" Type="http://schemas.openxmlformats.org/officeDocument/2006/relationships/image" Target="../media/image8.png"/><Relationship Id="rId2" Type="http://schemas.openxmlformats.org/officeDocument/2006/relationships/hyperlink" Target="#'R1. OUTPUTS'!A1"/><Relationship Id="rId1" Type="http://schemas.openxmlformats.org/officeDocument/2006/relationships/hyperlink" Target="#QuickLinks"/><Relationship Id="rId6" Type="http://schemas.openxmlformats.org/officeDocument/2006/relationships/image" Target="../media/image7.png"/><Relationship Id="rId5" Type="http://schemas.openxmlformats.org/officeDocument/2006/relationships/image" Target="../media/image3.png"/><Relationship Id="rId4" Type="http://schemas.openxmlformats.org/officeDocument/2006/relationships/hyperlink" Target="#'A3. INPUT Unit Costs'!A1"/></Relationships>
</file>

<file path=xl/drawings/_rels/drawing3.xml.rels><?xml version="1.0" encoding="UTF-8" standalone="yes"?>
<Relationships xmlns="http://schemas.openxmlformats.org/package/2006/relationships"><Relationship Id="rId8" Type="http://schemas.openxmlformats.org/officeDocument/2006/relationships/image" Target="../media/image6.png"/><Relationship Id="rId3" Type="http://schemas.openxmlformats.org/officeDocument/2006/relationships/hyperlink" Target="#Help"/><Relationship Id="rId7" Type="http://schemas.openxmlformats.org/officeDocument/2006/relationships/image" Target="../media/image9.png"/><Relationship Id="rId2" Type="http://schemas.openxmlformats.org/officeDocument/2006/relationships/hyperlink" Target="#'R1. OUTPUTS'!A1"/><Relationship Id="rId1" Type="http://schemas.openxmlformats.org/officeDocument/2006/relationships/hyperlink" Target="#QuickLinks"/><Relationship Id="rId6" Type="http://schemas.openxmlformats.org/officeDocument/2006/relationships/image" Target="../media/image7.png"/><Relationship Id="rId5" Type="http://schemas.openxmlformats.org/officeDocument/2006/relationships/image" Target="../media/image3.png"/><Relationship Id="rId4" Type="http://schemas.openxmlformats.org/officeDocument/2006/relationships/hyperlink" Target="#'A4. INPUT Central Costs'!A1"/></Relationships>
</file>

<file path=xl/drawings/_rels/drawing4.xml.rels><?xml version="1.0" encoding="UTF-8" standalone="yes"?>
<Relationships xmlns="http://schemas.openxmlformats.org/package/2006/relationships"><Relationship Id="rId8" Type="http://schemas.openxmlformats.org/officeDocument/2006/relationships/image" Target="../media/image6.png"/><Relationship Id="rId3" Type="http://schemas.openxmlformats.org/officeDocument/2006/relationships/hyperlink" Target="#Help"/><Relationship Id="rId7" Type="http://schemas.openxmlformats.org/officeDocument/2006/relationships/image" Target="../media/image10.png"/><Relationship Id="rId2" Type="http://schemas.openxmlformats.org/officeDocument/2006/relationships/hyperlink" Target="#'R1. OUTPUTS'!A1"/><Relationship Id="rId1" Type="http://schemas.openxmlformats.org/officeDocument/2006/relationships/hyperlink" Target="#QuickLinks"/><Relationship Id="rId6" Type="http://schemas.openxmlformats.org/officeDocument/2006/relationships/image" Target="../media/image7.png"/><Relationship Id="rId5" Type="http://schemas.openxmlformats.org/officeDocument/2006/relationships/image" Target="../media/image3.png"/><Relationship Id="rId4" Type="http://schemas.openxmlformats.org/officeDocument/2006/relationships/hyperlink" Target="#'B1. Target Population'!A1"/></Relationships>
</file>

<file path=xl/drawings/_rels/drawing5.xml.rels><?xml version="1.0" encoding="UTF-8" standalone="yes"?>
<Relationships xmlns="http://schemas.openxmlformats.org/package/2006/relationships"><Relationship Id="rId8" Type="http://schemas.openxmlformats.org/officeDocument/2006/relationships/image" Target="../media/image11.png"/><Relationship Id="rId3" Type="http://schemas.openxmlformats.org/officeDocument/2006/relationships/hyperlink" Target="#Help"/><Relationship Id="rId7" Type="http://schemas.openxmlformats.org/officeDocument/2006/relationships/image" Target="../media/image7.png"/><Relationship Id="rId2" Type="http://schemas.openxmlformats.org/officeDocument/2006/relationships/hyperlink" Target="#'R1. OUTPUTS'!A1"/><Relationship Id="rId1" Type="http://schemas.openxmlformats.org/officeDocument/2006/relationships/hyperlink" Target="#QuickLinks"/><Relationship Id="rId6" Type="http://schemas.openxmlformats.org/officeDocument/2006/relationships/image" Target="../media/image3.png"/><Relationship Id="rId5" Type="http://schemas.openxmlformats.org/officeDocument/2006/relationships/hyperlink" Target="#'B1. Target Population'!A57"/><Relationship Id="rId4" Type="http://schemas.openxmlformats.org/officeDocument/2006/relationships/hyperlink" Target="#'B2. Vaccines and Supplies'!A1"/><Relationship Id="rId9" Type="http://schemas.openxmlformats.org/officeDocument/2006/relationships/image" Target="../media/image6.png"/></Relationships>
</file>

<file path=xl/drawings/_rels/drawing6.xml.rels><?xml version="1.0" encoding="UTF-8" standalone="yes"?>
<Relationships xmlns="http://schemas.openxmlformats.org/package/2006/relationships"><Relationship Id="rId8" Type="http://schemas.openxmlformats.org/officeDocument/2006/relationships/image" Target="../media/image6.png"/><Relationship Id="rId3" Type="http://schemas.openxmlformats.org/officeDocument/2006/relationships/hyperlink" Target="#Help"/><Relationship Id="rId7" Type="http://schemas.openxmlformats.org/officeDocument/2006/relationships/image" Target="../media/image12.png"/><Relationship Id="rId2" Type="http://schemas.openxmlformats.org/officeDocument/2006/relationships/hyperlink" Target="#'R1. OUTPUTS'!A1"/><Relationship Id="rId1" Type="http://schemas.openxmlformats.org/officeDocument/2006/relationships/hyperlink" Target="#QuickLinks"/><Relationship Id="rId6" Type="http://schemas.openxmlformats.org/officeDocument/2006/relationships/image" Target="../media/image7.png"/><Relationship Id="rId5" Type="http://schemas.openxmlformats.org/officeDocument/2006/relationships/image" Target="../media/image3.png"/><Relationship Id="rId4" Type="http://schemas.openxmlformats.org/officeDocument/2006/relationships/hyperlink" Target="#'B3. International Logistics'!A1"/></Relationships>
</file>

<file path=xl/drawings/_rels/drawing7.xml.rels><?xml version="1.0" encoding="UTF-8" standalone="yes"?>
<Relationships xmlns="http://schemas.openxmlformats.org/package/2006/relationships"><Relationship Id="rId8" Type="http://schemas.openxmlformats.org/officeDocument/2006/relationships/image" Target="../media/image6.png"/><Relationship Id="rId3" Type="http://schemas.openxmlformats.org/officeDocument/2006/relationships/hyperlink" Target="#Help"/><Relationship Id="rId7" Type="http://schemas.openxmlformats.org/officeDocument/2006/relationships/image" Target="../media/image13.png"/><Relationship Id="rId2" Type="http://schemas.openxmlformats.org/officeDocument/2006/relationships/hyperlink" Target="#'R1. OUTPUTS'!A1"/><Relationship Id="rId1" Type="http://schemas.openxmlformats.org/officeDocument/2006/relationships/hyperlink" Target="#QuickLinks"/><Relationship Id="rId6" Type="http://schemas.openxmlformats.org/officeDocument/2006/relationships/image" Target="../media/image7.png"/><Relationship Id="rId5" Type="http://schemas.openxmlformats.org/officeDocument/2006/relationships/image" Target="../media/image3.png"/><Relationship Id="rId4" Type="http://schemas.openxmlformats.org/officeDocument/2006/relationships/hyperlink" Target="#'B4. Domestic Logistics'!A1"/></Relationships>
</file>

<file path=xl/drawings/_rels/drawing8.xml.rels><?xml version="1.0" encoding="UTF-8" standalone="yes"?>
<Relationships xmlns="http://schemas.openxmlformats.org/package/2006/relationships"><Relationship Id="rId8" Type="http://schemas.openxmlformats.org/officeDocument/2006/relationships/image" Target="../media/image6.png"/><Relationship Id="rId3" Type="http://schemas.openxmlformats.org/officeDocument/2006/relationships/hyperlink" Target="#Help"/><Relationship Id="rId7" Type="http://schemas.openxmlformats.org/officeDocument/2006/relationships/image" Target="../media/image14.png"/><Relationship Id="rId2" Type="http://schemas.openxmlformats.org/officeDocument/2006/relationships/hyperlink" Target="#'R1. OUTPUTS'!A1"/><Relationship Id="rId1" Type="http://schemas.openxmlformats.org/officeDocument/2006/relationships/hyperlink" Target="#QuickLinks"/><Relationship Id="rId6" Type="http://schemas.openxmlformats.org/officeDocument/2006/relationships/image" Target="../media/image7.png"/><Relationship Id="rId5" Type="http://schemas.openxmlformats.org/officeDocument/2006/relationships/image" Target="../media/image3.png"/><Relationship Id="rId4" Type="http://schemas.openxmlformats.org/officeDocument/2006/relationships/hyperlink" Target="#'B5. Last Mile Delivery'!A1"/></Relationships>
</file>

<file path=xl/drawings/_rels/drawing9.xml.rels><?xml version="1.0" encoding="UTF-8" standalone="yes"?>
<Relationships xmlns="http://schemas.openxmlformats.org/package/2006/relationships"><Relationship Id="rId3" Type="http://schemas.openxmlformats.org/officeDocument/2006/relationships/hyperlink" Target="#Help"/><Relationship Id="rId7" Type="http://schemas.openxmlformats.org/officeDocument/2006/relationships/image" Target="../media/image6.png"/><Relationship Id="rId2" Type="http://schemas.openxmlformats.org/officeDocument/2006/relationships/hyperlink" Target="#'R1. OUTPUTS'!A1"/><Relationship Id="rId1" Type="http://schemas.openxmlformats.org/officeDocument/2006/relationships/hyperlink" Target="#QuickLinks"/><Relationship Id="rId6" Type="http://schemas.openxmlformats.org/officeDocument/2006/relationships/image" Target="../media/image15.png"/><Relationship Id="rId5" Type="http://schemas.openxmlformats.org/officeDocument/2006/relationships/image" Target="../media/image7.png"/><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absolute">
    <xdr:from>
      <xdr:col>2</xdr:col>
      <xdr:colOff>485775</xdr:colOff>
      <xdr:row>0</xdr:row>
      <xdr:rowOff>66675</xdr:rowOff>
    </xdr:from>
    <xdr:to>
      <xdr:col>2</xdr:col>
      <xdr:colOff>1565775</xdr:colOff>
      <xdr:row>0</xdr:row>
      <xdr:rowOff>534675</xdr:rowOff>
    </xdr:to>
    <xdr:sp macro="" textlink="Lang_Button_Menu">
      <xdr:nvSpPr>
        <xdr:cNvPr id="22" name="TextBox 21">
          <a:hlinkClick xmlns:r="http://schemas.openxmlformats.org/officeDocument/2006/relationships" r:id="rId1"/>
          <a:extLst>
            <a:ext uri="{FF2B5EF4-FFF2-40B4-BE49-F238E27FC236}">
              <a16:creationId xmlns:a16="http://schemas.microsoft.com/office/drawing/2014/main" id="{DB30DAA6-7573-4DE8-AD1E-90CA4CB95D15}"/>
            </a:ext>
          </a:extLst>
        </xdr:cNvPr>
        <xdr:cNvSpPr txBox="1">
          <a:spLocks noChangeAspect="1"/>
        </xdr:cNvSpPr>
      </xdr:nvSpPr>
      <xdr:spPr>
        <a:xfrm>
          <a:off x="2990850" y="66675"/>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90B6C71B-679B-44FB-8B00-CE5A70ECD6C0}" type="TxLink">
            <a:rPr lang="en-US" sz="1100" b="1" i="0" u="none" strike="noStrike">
              <a:solidFill>
                <a:schemeClr val="bg1"/>
              </a:solidFill>
              <a:latin typeface="Segoe UI Semilight"/>
              <a:cs typeface="Segoe UI Semilight"/>
              <a:sym typeface="Webdings" panose="05030102010509060703" pitchFamily="18" charset="2"/>
            </a:rPr>
            <a:pPr algn="ctr"/>
            <a:t>
Menu</a:t>
          </a:fld>
          <a:endParaRPr lang="en-US" sz="1400" b="1">
            <a:solidFill>
              <a:schemeClr val="bg1"/>
            </a:solidFill>
          </a:endParaRPr>
        </a:p>
      </xdr:txBody>
    </xdr:sp>
    <xdr:clientData/>
  </xdr:twoCellAnchor>
  <xdr:twoCellAnchor editAs="absolute">
    <xdr:from>
      <xdr:col>3</xdr:col>
      <xdr:colOff>1092200</xdr:colOff>
      <xdr:row>0</xdr:row>
      <xdr:rowOff>66675</xdr:rowOff>
    </xdr:from>
    <xdr:to>
      <xdr:col>3</xdr:col>
      <xdr:colOff>2172200</xdr:colOff>
      <xdr:row>0</xdr:row>
      <xdr:rowOff>534675</xdr:rowOff>
    </xdr:to>
    <xdr:sp macro="" textlink="Lang_Button_Results">
      <xdr:nvSpPr>
        <xdr:cNvPr id="23" name="TextBox 22">
          <a:hlinkClick xmlns:r="http://schemas.openxmlformats.org/officeDocument/2006/relationships" r:id="rId2"/>
          <a:extLst>
            <a:ext uri="{FF2B5EF4-FFF2-40B4-BE49-F238E27FC236}">
              <a16:creationId xmlns:a16="http://schemas.microsoft.com/office/drawing/2014/main" id="{FCF49C75-0008-41A8-9CA1-22004D75F998}"/>
            </a:ext>
          </a:extLst>
        </xdr:cNvPr>
        <xdr:cNvSpPr txBox="1">
          <a:spLocks noChangeAspect="1"/>
        </xdr:cNvSpPr>
      </xdr:nvSpPr>
      <xdr:spPr>
        <a:xfrm>
          <a:off x="5454650" y="66675"/>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BA1F561E-7142-4369-B70C-0A8D861277A4}" type="TxLink">
            <a:rPr lang="en-US" sz="1100" b="1" i="0" u="none" strike="noStrike">
              <a:solidFill>
                <a:schemeClr val="bg1"/>
              </a:solidFill>
              <a:latin typeface="Segoe UI Semilight"/>
              <a:cs typeface="Segoe UI Semilight"/>
              <a:sym typeface="Webdings" panose="05030102010509060703" pitchFamily="18" charset="2"/>
            </a:rPr>
            <a:pPr algn="ctr"/>
            <a:t>
Results</a:t>
          </a:fld>
          <a:endParaRPr lang="en-US" sz="1400" b="1">
            <a:solidFill>
              <a:schemeClr val="bg1"/>
            </a:solidFill>
          </a:endParaRPr>
        </a:p>
      </xdr:txBody>
    </xdr:sp>
    <xdr:clientData/>
  </xdr:twoCellAnchor>
  <xdr:twoCellAnchor editAs="absolute">
    <xdr:from>
      <xdr:col>3</xdr:col>
      <xdr:colOff>2324100</xdr:colOff>
      <xdr:row>0</xdr:row>
      <xdr:rowOff>66675</xdr:rowOff>
    </xdr:from>
    <xdr:to>
      <xdr:col>3</xdr:col>
      <xdr:colOff>3404100</xdr:colOff>
      <xdr:row>0</xdr:row>
      <xdr:rowOff>534675</xdr:rowOff>
    </xdr:to>
    <xdr:sp macro="" textlink="Lang_Button_Help">
      <xdr:nvSpPr>
        <xdr:cNvPr id="25" name="TextBox 24">
          <a:hlinkClick xmlns:r="http://schemas.openxmlformats.org/officeDocument/2006/relationships" r:id="rId3"/>
          <a:extLst>
            <a:ext uri="{FF2B5EF4-FFF2-40B4-BE49-F238E27FC236}">
              <a16:creationId xmlns:a16="http://schemas.microsoft.com/office/drawing/2014/main" id="{CB15331C-AFFC-4167-8988-DE6F59F2C7BB}"/>
            </a:ext>
          </a:extLst>
        </xdr:cNvPr>
        <xdr:cNvSpPr txBox="1">
          <a:spLocks noChangeAspect="1"/>
        </xdr:cNvSpPr>
      </xdr:nvSpPr>
      <xdr:spPr>
        <a:xfrm>
          <a:off x="6686550" y="66675"/>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8805F5E8-2905-49FA-B2E8-B588B8D1DF91}" type="TxLink">
            <a:rPr lang="en-US" sz="1100" b="1" i="0" u="none" strike="noStrike">
              <a:solidFill>
                <a:schemeClr val="bg1"/>
              </a:solidFill>
              <a:latin typeface="Segoe UI Semilight"/>
              <a:cs typeface="Segoe UI Semilight"/>
              <a:sym typeface="Webdings" panose="05030102010509060703" pitchFamily="18" charset="2"/>
            </a:rPr>
            <a:pPr algn="ctr"/>
            <a:t>
Help</a:t>
          </a:fld>
          <a:endParaRPr lang="en-US" sz="1400" b="1">
            <a:solidFill>
              <a:schemeClr val="bg1"/>
            </a:solidFill>
          </a:endParaRPr>
        </a:p>
      </xdr:txBody>
    </xdr:sp>
    <xdr:clientData/>
  </xdr:twoCellAnchor>
  <xdr:twoCellAnchor editAs="absolute">
    <xdr:from>
      <xdr:col>2</xdr:col>
      <xdr:colOff>1717675</xdr:colOff>
      <xdr:row>0</xdr:row>
      <xdr:rowOff>66675</xdr:rowOff>
    </xdr:from>
    <xdr:to>
      <xdr:col>3</xdr:col>
      <xdr:colOff>940300</xdr:colOff>
      <xdr:row>0</xdr:row>
      <xdr:rowOff>534675</xdr:rowOff>
    </xdr:to>
    <xdr:sp macro="" textlink="Lang_Button_NextPage">
      <xdr:nvSpPr>
        <xdr:cNvPr id="26" name="TextBox 25">
          <a:hlinkClick xmlns:r="http://schemas.openxmlformats.org/officeDocument/2006/relationships" r:id="rId4"/>
          <a:extLst>
            <a:ext uri="{FF2B5EF4-FFF2-40B4-BE49-F238E27FC236}">
              <a16:creationId xmlns:a16="http://schemas.microsoft.com/office/drawing/2014/main" id="{649AE966-3335-4768-8928-2396419A9325}"/>
            </a:ext>
          </a:extLst>
        </xdr:cNvPr>
        <xdr:cNvSpPr txBox="1">
          <a:spLocks noChangeAspect="1"/>
        </xdr:cNvSpPr>
      </xdr:nvSpPr>
      <xdr:spPr>
        <a:xfrm>
          <a:off x="4222750" y="66675"/>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4BAAC1DE-7D4E-4AFF-8EB0-914E843FEE43}" type="TxLink">
            <a:rPr lang="en-US" sz="1100" b="1" i="0" u="none" strike="noStrike">
              <a:solidFill>
                <a:schemeClr val="bg1"/>
              </a:solidFill>
              <a:latin typeface="Segoe UI Semilight"/>
              <a:cs typeface="Segoe UI Semilight"/>
              <a:sym typeface="Webdings" panose="05030102010509060703" pitchFamily="18" charset="2"/>
            </a:rPr>
            <a:pPr algn="ctr"/>
            <a:t>
Next Page</a:t>
          </a:fld>
          <a:endParaRPr lang="en-US" sz="1400" b="1">
            <a:solidFill>
              <a:schemeClr val="bg1"/>
            </a:solidFill>
          </a:endParaRPr>
        </a:p>
      </xdr:txBody>
    </xdr:sp>
    <xdr:clientData/>
  </xdr:twoCellAnchor>
  <xdr:twoCellAnchor editAs="oneCell">
    <xdr:from>
      <xdr:col>2</xdr:col>
      <xdr:colOff>266700</xdr:colOff>
      <xdr:row>62</xdr:row>
      <xdr:rowOff>76200</xdr:rowOff>
    </xdr:from>
    <xdr:to>
      <xdr:col>2</xdr:col>
      <xdr:colOff>1346700</xdr:colOff>
      <xdr:row>64</xdr:row>
      <xdr:rowOff>134624</xdr:rowOff>
    </xdr:to>
    <xdr:sp macro="" textlink="Lang_Button_NextItem">
      <xdr:nvSpPr>
        <xdr:cNvPr id="28" name="TextBox 27">
          <a:hlinkClick xmlns:r="http://schemas.openxmlformats.org/officeDocument/2006/relationships" r:id="rId4"/>
          <a:extLst>
            <a:ext uri="{FF2B5EF4-FFF2-40B4-BE49-F238E27FC236}">
              <a16:creationId xmlns:a16="http://schemas.microsoft.com/office/drawing/2014/main" id="{6BA80BC8-FDCD-4FEA-A904-5D1F4DAD1AA7}"/>
            </a:ext>
          </a:extLst>
        </xdr:cNvPr>
        <xdr:cNvSpPr txBox="1">
          <a:spLocks noChangeAspect="1"/>
        </xdr:cNvSpPr>
      </xdr:nvSpPr>
      <xdr:spPr>
        <a:xfrm>
          <a:off x="2771775" y="19202400"/>
          <a:ext cx="1080000" cy="467999"/>
        </a:xfrm>
        <a:prstGeom prst="rect">
          <a:avLst/>
        </a:prstGeom>
        <a:solidFill>
          <a:schemeClr val="accent2"/>
        </a:solidFill>
        <a:ln w="38100">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36D6D5D5-65A6-4B2D-923D-4D43C62AD312}" type="TxLink">
            <a:rPr lang="en-US" sz="1100" b="1" i="0" u="none" strike="noStrike">
              <a:solidFill>
                <a:schemeClr val="bg1"/>
              </a:solidFill>
              <a:latin typeface="Segoe UI Semilight"/>
              <a:cs typeface="Segoe UI Semilight"/>
              <a:sym typeface="Webdings" panose="05030102010509060703" pitchFamily="18" charset="2"/>
            </a:rPr>
            <a:pPr algn="ctr"/>
            <a:t>
Next Item</a:t>
          </a:fld>
          <a:endParaRPr lang="en-US" sz="1400" b="1">
            <a:solidFill>
              <a:schemeClr val="bg1"/>
            </a:solidFill>
          </a:endParaRPr>
        </a:p>
      </xdr:txBody>
    </xdr:sp>
    <xdr:clientData/>
  </xdr:twoCellAnchor>
  <xdr:twoCellAnchor editAs="oneCell">
    <xdr:from>
      <xdr:col>1</xdr:col>
      <xdr:colOff>126547</xdr:colOff>
      <xdr:row>45</xdr:row>
      <xdr:rowOff>2720</xdr:rowOff>
    </xdr:from>
    <xdr:to>
      <xdr:col>3</xdr:col>
      <xdr:colOff>1234181</xdr:colOff>
      <xdr:row>47</xdr:row>
      <xdr:rowOff>126489</xdr:rowOff>
    </xdr:to>
    <xdr:pic>
      <xdr:nvPicPr>
        <xdr:cNvPr id="2" name="Picture 1">
          <a:extLst>
            <a:ext uri="{FF2B5EF4-FFF2-40B4-BE49-F238E27FC236}">
              <a16:creationId xmlns:a16="http://schemas.microsoft.com/office/drawing/2014/main" id="{CB210800-611C-4BA9-A45E-7B4144200EFE}"/>
            </a:ext>
          </a:extLst>
        </xdr:cNvPr>
        <xdr:cNvPicPr>
          <a:picLocks noChangeAspect="1"/>
        </xdr:cNvPicPr>
      </xdr:nvPicPr>
      <xdr:blipFill>
        <a:blip xmlns:r="http://schemas.openxmlformats.org/officeDocument/2006/relationships" r:embed="rId5"/>
        <a:stretch>
          <a:fillRect/>
        </a:stretch>
      </xdr:blipFill>
      <xdr:spPr>
        <a:xfrm>
          <a:off x="251733" y="16483691"/>
          <a:ext cx="5352381" cy="444898"/>
        </a:xfrm>
        <a:prstGeom prst="rect">
          <a:avLst/>
        </a:prstGeom>
      </xdr:spPr>
    </xdr:pic>
    <xdr:clientData/>
  </xdr:twoCellAnchor>
  <xdr:twoCellAnchor editAs="oneCell">
    <xdr:from>
      <xdr:col>3</xdr:col>
      <xdr:colOff>1398817</xdr:colOff>
      <xdr:row>43</xdr:row>
      <xdr:rowOff>535563</xdr:rowOff>
    </xdr:from>
    <xdr:to>
      <xdr:col>3</xdr:col>
      <xdr:colOff>2503717</xdr:colOff>
      <xdr:row>48</xdr:row>
      <xdr:rowOff>74670</xdr:rowOff>
    </xdr:to>
    <xdr:pic>
      <xdr:nvPicPr>
        <xdr:cNvPr id="3" name="Picture 2">
          <a:extLst>
            <a:ext uri="{FF2B5EF4-FFF2-40B4-BE49-F238E27FC236}">
              <a16:creationId xmlns:a16="http://schemas.microsoft.com/office/drawing/2014/main" id="{CD824E2E-E999-403B-A6BF-D26D84F248DA}"/>
            </a:ext>
          </a:extLst>
        </xdr:cNvPr>
        <xdr:cNvPicPr>
          <a:picLocks noChangeAspect="1"/>
        </xdr:cNvPicPr>
      </xdr:nvPicPr>
      <xdr:blipFill>
        <a:blip xmlns:r="http://schemas.openxmlformats.org/officeDocument/2006/relationships" r:embed="rId6"/>
        <a:stretch>
          <a:fillRect/>
        </a:stretch>
      </xdr:blipFill>
      <xdr:spPr>
        <a:xfrm>
          <a:off x="5761267" y="15489813"/>
          <a:ext cx="1104900" cy="805932"/>
        </a:xfrm>
        <a:prstGeom prst="rect">
          <a:avLst/>
        </a:prstGeom>
      </xdr:spPr>
    </xdr:pic>
    <xdr:clientData/>
  </xdr:twoCellAnchor>
  <xdr:twoCellAnchor>
    <xdr:from>
      <xdr:col>1</xdr:col>
      <xdr:colOff>66675</xdr:colOff>
      <xdr:row>1</xdr:row>
      <xdr:rowOff>200024</xdr:rowOff>
    </xdr:from>
    <xdr:to>
      <xdr:col>2</xdr:col>
      <xdr:colOff>1837351</xdr:colOff>
      <xdr:row>1</xdr:row>
      <xdr:rowOff>1190024</xdr:rowOff>
    </xdr:to>
    <xdr:grpSp>
      <xdr:nvGrpSpPr>
        <xdr:cNvPr id="8" name="Group 7">
          <a:extLst>
            <a:ext uri="{FF2B5EF4-FFF2-40B4-BE49-F238E27FC236}">
              <a16:creationId xmlns:a16="http://schemas.microsoft.com/office/drawing/2014/main" id="{C66A45F5-85F1-44F3-B8DF-4A2C5E53E656}"/>
            </a:ext>
          </a:extLst>
        </xdr:cNvPr>
        <xdr:cNvGrpSpPr/>
      </xdr:nvGrpSpPr>
      <xdr:grpSpPr>
        <a:xfrm>
          <a:off x="190500" y="771524"/>
          <a:ext cx="4151926" cy="990000"/>
          <a:chOff x="438150" y="638174"/>
          <a:chExt cx="4142401" cy="990000"/>
        </a:xfrm>
      </xdr:grpSpPr>
      <xdr:pic>
        <xdr:nvPicPr>
          <xdr:cNvPr id="5" name="Picture 4">
            <a:extLst>
              <a:ext uri="{FF2B5EF4-FFF2-40B4-BE49-F238E27FC236}">
                <a16:creationId xmlns:a16="http://schemas.microsoft.com/office/drawing/2014/main" id="{5F42E7C3-6993-4074-B301-0579F4D05C69}"/>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38150" y="771525"/>
            <a:ext cx="2390775" cy="735910"/>
          </a:xfrm>
          <a:prstGeom prst="rect">
            <a:avLst/>
          </a:prstGeom>
        </xdr:spPr>
      </xdr:pic>
      <xdr:pic>
        <xdr:nvPicPr>
          <xdr:cNvPr id="7" name="Picture 6">
            <a:extLst>
              <a:ext uri="{FF2B5EF4-FFF2-40B4-BE49-F238E27FC236}">
                <a16:creationId xmlns:a16="http://schemas.microsoft.com/office/drawing/2014/main" id="{5541EDF5-A312-4BE5-9267-6C14A43B57B5}"/>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971800" y="638174"/>
            <a:ext cx="1608751" cy="990000"/>
          </a:xfrm>
          <a:prstGeom prst="rect">
            <a:avLst/>
          </a:prstGeom>
        </xdr:spPr>
      </xdr:pic>
    </xdr:grpSp>
    <xdr:clientData/>
  </xdr:twoCellAnchor>
  <xdr:twoCellAnchor editAs="oneCell">
    <xdr:from>
      <xdr:col>4</xdr:col>
      <xdr:colOff>1238250</xdr:colOff>
      <xdr:row>1</xdr:row>
      <xdr:rowOff>47030</xdr:rowOff>
    </xdr:from>
    <xdr:to>
      <xdr:col>7</xdr:col>
      <xdr:colOff>171450</xdr:colOff>
      <xdr:row>2</xdr:row>
      <xdr:rowOff>104180</xdr:rowOff>
    </xdr:to>
    <xdr:pic>
      <xdr:nvPicPr>
        <xdr:cNvPr id="9" name="Picture 8">
          <a:extLst>
            <a:ext uri="{FF2B5EF4-FFF2-40B4-BE49-F238E27FC236}">
              <a16:creationId xmlns:a16="http://schemas.microsoft.com/office/drawing/2014/main" id="{43E715B4-36D0-4B87-99A8-046F42161D0C}"/>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xdr:blipFill>
      <xdr:spPr>
        <a:xfrm>
          <a:off x="9353550" y="618530"/>
          <a:ext cx="1323975" cy="1323975"/>
        </a:xfrm>
        <a:prstGeom prst="rect">
          <a:avLst/>
        </a:prstGeom>
      </xdr:spPr>
    </xdr:pic>
    <xdr:clientData/>
  </xdr:twoCellAnchor>
  <xdr:twoCellAnchor editAs="oneCell">
    <xdr:from>
      <xdr:col>3</xdr:col>
      <xdr:colOff>133350</xdr:colOff>
      <xdr:row>1</xdr:row>
      <xdr:rowOff>342900</xdr:rowOff>
    </xdr:from>
    <xdr:to>
      <xdr:col>3</xdr:col>
      <xdr:colOff>2990493</xdr:colOff>
      <xdr:row>2</xdr:row>
      <xdr:rowOff>28456</xdr:rowOff>
    </xdr:to>
    <xdr:pic>
      <xdr:nvPicPr>
        <xdr:cNvPr id="11" name="Picture 10">
          <a:extLst>
            <a:ext uri="{FF2B5EF4-FFF2-40B4-BE49-F238E27FC236}">
              <a16:creationId xmlns:a16="http://schemas.microsoft.com/office/drawing/2014/main" id="{485BB128-5224-4CC9-84A8-3CC72ECDEDC9}"/>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4495800" y="914400"/>
          <a:ext cx="2857143" cy="95238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275568</xdr:colOff>
      <xdr:row>25</xdr:row>
      <xdr:rowOff>152400</xdr:rowOff>
    </xdr:from>
    <xdr:to>
      <xdr:col>3</xdr:col>
      <xdr:colOff>911118</xdr:colOff>
      <xdr:row>43</xdr:row>
      <xdr:rowOff>108225</xdr:rowOff>
    </xdr:to>
    <xdr:graphicFrame macro="">
      <xdr:nvGraphicFramePr>
        <xdr:cNvPr id="2" name="Chart 1">
          <a:extLst>
            <a:ext uri="{FF2B5EF4-FFF2-40B4-BE49-F238E27FC236}">
              <a16:creationId xmlns:a16="http://schemas.microsoft.com/office/drawing/2014/main" id="{1223DAE4-E03A-450A-B263-45E12D95163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275568</xdr:colOff>
      <xdr:row>78</xdr:row>
      <xdr:rowOff>76200</xdr:rowOff>
    </xdr:from>
    <xdr:to>
      <xdr:col>3</xdr:col>
      <xdr:colOff>911118</xdr:colOff>
      <xdr:row>96</xdr:row>
      <xdr:rowOff>41550</xdr:rowOff>
    </xdr:to>
    <xdr:graphicFrame macro="">
      <xdr:nvGraphicFramePr>
        <xdr:cNvPr id="3" name="Chart 2">
          <a:extLst>
            <a:ext uri="{FF2B5EF4-FFF2-40B4-BE49-F238E27FC236}">
              <a16:creationId xmlns:a16="http://schemas.microsoft.com/office/drawing/2014/main" id="{6BB6A6C4-D993-431B-9944-3CEB6A930D8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275567</xdr:colOff>
      <xdr:row>136</xdr:row>
      <xdr:rowOff>95249</xdr:rowOff>
    </xdr:from>
    <xdr:to>
      <xdr:col>3</xdr:col>
      <xdr:colOff>911117</xdr:colOff>
      <xdr:row>152</xdr:row>
      <xdr:rowOff>41549</xdr:rowOff>
    </xdr:to>
    <xdr:graphicFrame macro="">
      <xdr:nvGraphicFramePr>
        <xdr:cNvPr id="4" name="Chart 3">
          <a:extLst>
            <a:ext uri="{FF2B5EF4-FFF2-40B4-BE49-F238E27FC236}">
              <a16:creationId xmlns:a16="http://schemas.microsoft.com/office/drawing/2014/main" id="{E2F90763-F733-42FC-A886-D5684F876BE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275568</xdr:colOff>
      <xdr:row>251</xdr:row>
      <xdr:rowOff>66674</xdr:rowOff>
    </xdr:from>
    <xdr:to>
      <xdr:col>3</xdr:col>
      <xdr:colOff>911118</xdr:colOff>
      <xdr:row>269</xdr:row>
      <xdr:rowOff>32024</xdr:rowOff>
    </xdr:to>
    <xdr:graphicFrame macro="">
      <xdr:nvGraphicFramePr>
        <xdr:cNvPr id="5" name="Chart 4">
          <a:extLst>
            <a:ext uri="{FF2B5EF4-FFF2-40B4-BE49-F238E27FC236}">
              <a16:creationId xmlns:a16="http://schemas.microsoft.com/office/drawing/2014/main" id="{A0D141DB-10DE-49C8-B23D-AC3D7A9198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3</xdr:col>
      <xdr:colOff>981075</xdr:colOff>
      <xdr:row>25</xdr:row>
      <xdr:rowOff>152400</xdr:rowOff>
    </xdr:from>
    <xdr:to>
      <xdr:col>8</xdr:col>
      <xdr:colOff>740325</xdr:colOff>
      <xdr:row>43</xdr:row>
      <xdr:rowOff>108225</xdr:rowOff>
    </xdr:to>
    <xdr:graphicFrame macro="">
      <xdr:nvGraphicFramePr>
        <xdr:cNvPr id="6" name="Chart 5">
          <a:extLst>
            <a:ext uri="{FF2B5EF4-FFF2-40B4-BE49-F238E27FC236}">
              <a16:creationId xmlns:a16="http://schemas.microsoft.com/office/drawing/2014/main" id="{E9879FAE-4219-4038-98D7-1AD9E467F5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3</xdr:col>
      <xdr:colOff>981075</xdr:colOff>
      <xdr:row>78</xdr:row>
      <xdr:rowOff>76200</xdr:rowOff>
    </xdr:from>
    <xdr:to>
      <xdr:col>8</xdr:col>
      <xdr:colOff>740325</xdr:colOff>
      <xdr:row>96</xdr:row>
      <xdr:rowOff>41550</xdr:rowOff>
    </xdr:to>
    <xdr:graphicFrame macro="">
      <xdr:nvGraphicFramePr>
        <xdr:cNvPr id="7" name="Chart 6">
          <a:extLst>
            <a:ext uri="{FF2B5EF4-FFF2-40B4-BE49-F238E27FC236}">
              <a16:creationId xmlns:a16="http://schemas.microsoft.com/office/drawing/2014/main" id="{595DCFFB-960B-4F0C-9B49-AB5B24BCD9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2</xdr:col>
      <xdr:colOff>2047875</xdr:colOff>
      <xdr:row>0</xdr:row>
      <xdr:rowOff>66675</xdr:rowOff>
    </xdr:from>
    <xdr:to>
      <xdr:col>2</xdr:col>
      <xdr:colOff>3127875</xdr:colOff>
      <xdr:row>0</xdr:row>
      <xdr:rowOff>534675</xdr:rowOff>
    </xdr:to>
    <xdr:sp macro="" textlink="Lang_Button_Menu">
      <xdr:nvSpPr>
        <xdr:cNvPr id="8" name="TextBox 7">
          <a:hlinkClick xmlns:r="http://schemas.openxmlformats.org/officeDocument/2006/relationships" r:id="rId7"/>
          <a:extLst>
            <a:ext uri="{FF2B5EF4-FFF2-40B4-BE49-F238E27FC236}">
              <a16:creationId xmlns:a16="http://schemas.microsoft.com/office/drawing/2014/main" id="{A595358D-B46E-4EC2-90D8-F3F5ED23C111}"/>
            </a:ext>
          </a:extLst>
        </xdr:cNvPr>
        <xdr:cNvSpPr txBox="1">
          <a:spLocks noChangeAspect="1"/>
        </xdr:cNvSpPr>
      </xdr:nvSpPr>
      <xdr:spPr>
        <a:xfrm>
          <a:off x="3067050" y="66675"/>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B1A08D64-CD9F-486F-B85A-89611B30498A}" type="TxLink">
            <a:rPr lang="en-US" sz="1100" b="1" i="0" u="none" strike="noStrike">
              <a:solidFill>
                <a:schemeClr val="bg1"/>
              </a:solidFill>
              <a:latin typeface="Segoe UI Semilight"/>
              <a:cs typeface="Segoe UI Semilight"/>
              <a:sym typeface="Webdings" panose="05030102010509060703" pitchFamily="18" charset="2"/>
            </a:rPr>
            <a:pPr algn="ctr"/>
            <a:t>
Menu</a:t>
          </a:fld>
          <a:endParaRPr lang="en-US" sz="1400" b="1">
            <a:solidFill>
              <a:schemeClr val="bg1"/>
            </a:solidFill>
          </a:endParaRPr>
        </a:p>
      </xdr:txBody>
    </xdr:sp>
    <xdr:clientData/>
  </xdr:twoCellAnchor>
  <xdr:twoCellAnchor editAs="absolute">
    <xdr:from>
      <xdr:col>2</xdr:col>
      <xdr:colOff>4314825</xdr:colOff>
      <xdr:row>0</xdr:row>
      <xdr:rowOff>66675</xdr:rowOff>
    </xdr:from>
    <xdr:to>
      <xdr:col>3</xdr:col>
      <xdr:colOff>584700</xdr:colOff>
      <xdr:row>0</xdr:row>
      <xdr:rowOff>534675</xdr:rowOff>
    </xdr:to>
    <xdr:sp macro="" textlink="Lang_Button_Help">
      <xdr:nvSpPr>
        <xdr:cNvPr id="11" name="TextBox 10">
          <a:hlinkClick xmlns:r="http://schemas.openxmlformats.org/officeDocument/2006/relationships" r:id="rId8"/>
          <a:extLst>
            <a:ext uri="{FF2B5EF4-FFF2-40B4-BE49-F238E27FC236}">
              <a16:creationId xmlns:a16="http://schemas.microsoft.com/office/drawing/2014/main" id="{BE810F26-E97D-425F-8599-34BF4E30A81A}"/>
            </a:ext>
          </a:extLst>
        </xdr:cNvPr>
        <xdr:cNvSpPr txBox="1">
          <a:spLocks noChangeAspect="1"/>
        </xdr:cNvSpPr>
      </xdr:nvSpPr>
      <xdr:spPr>
        <a:xfrm>
          <a:off x="4791075" y="66675"/>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A4EF96B6-383D-4E2C-89FD-F7622904A5F4}" type="TxLink">
            <a:rPr lang="en-US" sz="1100" b="1" i="0" u="none" strike="noStrike">
              <a:solidFill>
                <a:schemeClr val="bg1"/>
              </a:solidFill>
              <a:latin typeface="Segoe UI Semilight"/>
              <a:cs typeface="Segoe UI Semilight"/>
              <a:sym typeface="Webdings" panose="05030102010509060703" pitchFamily="18" charset="2"/>
            </a:rPr>
            <a:pPr algn="ctr"/>
            <a:t>
Help</a:t>
          </a:fld>
          <a:endParaRPr lang="en-US" sz="1400" b="1">
            <a:solidFill>
              <a:schemeClr val="bg1"/>
            </a:solidFill>
          </a:endParaRPr>
        </a:p>
      </xdr:txBody>
    </xdr:sp>
    <xdr:clientData/>
  </xdr:twoCellAnchor>
  <xdr:twoCellAnchor editAs="absolute">
    <xdr:from>
      <xdr:col>2</xdr:col>
      <xdr:colOff>3181350</xdr:colOff>
      <xdr:row>0</xdr:row>
      <xdr:rowOff>66675</xdr:rowOff>
    </xdr:from>
    <xdr:to>
      <xdr:col>2</xdr:col>
      <xdr:colOff>4261350</xdr:colOff>
      <xdr:row>0</xdr:row>
      <xdr:rowOff>534675</xdr:rowOff>
    </xdr:to>
    <xdr:sp macro="" textlink="Lang_Button_NextPage">
      <xdr:nvSpPr>
        <xdr:cNvPr id="12" name="TextBox 11">
          <a:hlinkClick xmlns:r="http://schemas.openxmlformats.org/officeDocument/2006/relationships" r:id="rId9"/>
          <a:extLst>
            <a:ext uri="{FF2B5EF4-FFF2-40B4-BE49-F238E27FC236}">
              <a16:creationId xmlns:a16="http://schemas.microsoft.com/office/drawing/2014/main" id="{E80517EE-876E-42AD-B726-8AFE79F7E2DB}"/>
            </a:ext>
          </a:extLst>
        </xdr:cNvPr>
        <xdr:cNvSpPr txBox="1">
          <a:spLocks noChangeAspect="1"/>
        </xdr:cNvSpPr>
      </xdr:nvSpPr>
      <xdr:spPr>
        <a:xfrm>
          <a:off x="3657600" y="66675"/>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BD35E991-09FA-4016-B5E6-D04F23482406}" type="TxLink">
            <a:rPr lang="en-US" sz="1100" b="1" i="0" u="none" strike="noStrike">
              <a:solidFill>
                <a:schemeClr val="bg1"/>
              </a:solidFill>
              <a:latin typeface="Segoe UI Semilight"/>
              <a:cs typeface="Segoe UI Semilight"/>
              <a:sym typeface="Webdings" panose="05030102010509060703" pitchFamily="18" charset="2"/>
            </a:rPr>
            <a:pPr algn="ctr"/>
            <a:t>
Next Page</a:t>
          </a:fld>
          <a:endParaRPr lang="en-US" sz="1400" b="1">
            <a:solidFill>
              <a:schemeClr val="bg1"/>
            </a:solidFill>
          </a:endParaRPr>
        </a:p>
      </xdr:txBody>
    </xdr:sp>
    <xdr:clientData/>
  </xdr:twoCellAnchor>
  <xdr:twoCellAnchor editAs="oneCell">
    <xdr:from>
      <xdr:col>1</xdr:col>
      <xdr:colOff>275568</xdr:colOff>
      <xdr:row>269</xdr:row>
      <xdr:rowOff>85725</xdr:rowOff>
    </xdr:from>
    <xdr:to>
      <xdr:col>3</xdr:col>
      <xdr:colOff>911118</xdr:colOff>
      <xdr:row>287</xdr:row>
      <xdr:rowOff>51075</xdr:rowOff>
    </xdr:to>
    <xdr:graphicFrame macro="">
      <xdr:nvGraphicFramePr>
        <xdr:cNvPr id="10" name="Chart 9">
          <a:extLst>
            <a:ext uri="{FF2B5EF4-FFF2-40B4-BE49-F238E27FC236}">
              <a16:creationId xmlns:a16="http://schemas.microsoft.com/office/drawing/2014/main" id="{19475D0C-A57A-47C3-8985-D443659B2D7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1</xdr:col>
      <xdr:colOff>275568</xdr:colOff>
      <xdr:row>316</xdr:row>
      <xdr:rowOff>109702</xdr:rowOff>
    </xdr:from>
    <xdr:to>
      <xdr:col>3</xdr:col>
      <xdr:colOff>911118</xdr:colOff>
      <xdr:row>334</xdr:row>
      <xdr:rowOff>65527</xdr:rowOff>
    </xdr:to>
    <xdr:graphicFrame macro="">
      <xdr:nvGraphicFramePr>
        <xdr:cNvPr id="14" name="Chart 13">
          <a:extLst>
            <a:ext uri="{FF2B5EF4-FFF2-40B4-BE49-F238E27FC236}">
              <a16:creationId xmlns:a16="http://schemas.microsoft.com/office/drawing/2014/main" id="{F0B43C5D-33D6-4495-AF00-BC677CC037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3</xdr:col>
      <xdr:colOff>981075</xdr:colOff>
      <xdr:row>316</xdr:row>
      <xdr:rowOff>109702</xdr:rowOff>
    </xdr:from>
    <xdr:to>
      <xdr:col>8</xdr:col>
      <xdr:colOff>740325</xdr:colOff>
      <xdr:row>334</xdr:row>
      <xdr:rowOff>65527</xdr:rowOff>
    </xdr:to>
    <xdr:graphicFrame macro="">
      <xdr:nvGraphicFramePr>
        <xdr:cNvPr id="15" name="Chart 14">
          <a:extLst>
            <a:ext uri="{FF2B5EF4-FFF2-40B4-BE49-F238E27FC236}">
              <a16:creationId xmlns:a16="http://schemas.microsoft.com/office/drawing/2014/main" id="{97E19A5F-448D-4F49-AE7E-BB6F724EFF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3</xdr:col>
      <xdr:colOff>981075</xdr:colOff>
      <xdr:row>251</xdr:row>
      <xdr:rowOff>66674</xdr:rowOff>
    </xdr:from>
    <xdr:to>
      <xdr:col>8</xdr:col>
      <xdr:colOff>740325</xdr:colOff>
      <xdr:row>269</xdr:row>
      <xdr:rowOff>32024</xdr:rowOff>
    </xdr:to>
    <xdr:graphicFrame macro="">
      <xdr:nvGraphicFramePr>
        <xdr:cNvPr id="16" name="Chart 15">
          <a:extLst>
            <a:ext uri="{FF2B5EF4-FFF2-40B4-BE49-F238E27FC236}">
              <a16:creationId xmlns:a16="http://schemas.microsoft.com/office/drawing/2014/main" id="{75B612C0-87B4-463D-872F-DA722DF30A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3</xdr:col>
      <xdr:colOff>981075</xdr:colOff>
      <xdr:row>269</xdr:row>
      <xdr:rowOff>85725</xdr:rowOff>
    </xdr:from>
    <xdr:to>
      <xdr:col>8</xdr:col>
      <xdr:colOff>740325</xdr:colOff>
      <xdr:row>287</xdr:row>
      <xdr:rowOff>51075</xdr:rowOff>
    </xdr:to>
    <xdr:graphicFrame macro="">
      <xdr:nvGraphicFramePr>
        <xdr:cNvPr id="17" name="Chart 16">
          <a:extLst>
            <a:ext uri="{FF2B5EF4-FFF2-40B4-BE49-F238E27FC236}">
              <a16:creationId xmlns:a16="http://schemas.microsoft.com/office/drawing/2014/main" id="{2D9CD408-CA96-476F-B0A9-D2FB95B537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0</xdr:col>
      <xdr:colOff>142875</xdr:colOff>
      <xdr:row>1</xdr:row>
      <xdr:rowOff>142875</xdr:rowOff>
    </xdr:from>
    <xdr:to>
      <xdr:col>2</xdr:col>
      <xdr:colOff>3266101</xdr:colOff>
      <xdr:row>1</xdr:row>
      <xdr:rowOff>1132875</xdr:rowOff>
    </xdr:to>
    <xdr:grpSp>
      <xdr:nvGrpSpPr>
        <xdr:cNvPr id="18" name="Group 17">
          <a:extLst>
            <a:ext uri="{FF2B5EF4-FFF2-40B4-BE49-F238E27FC236}">
              <a16:creationId xmlns:a16="http://schemas.microsoft.com/office/drawing/2014/main" id="{DD322A40-7C1A-407F-B8B1-150655DF9925}"/>
            </a:ext>
          </a:extLst>
        </xdr:cNvPr>
        <xdr:cNvGrpSpPr/>
      </xdr:nvGrpSpPr>
      <xdr:grpSpPr>
        <a:xfrm>
          <a:off x="142875" y="714375"/>
          <a:ext cx="3599476" cy="990000"/>
          <a:chOff x="438150" y="638174"/>
          <a:chExt cx="4142401" cy="990000"/>
        </a:xfrm>
      </xdr:grpSpPr>
      <xdr:pic>
        <xdr:nvPicPr>
          <xdr:cNvPr id="19" name="Picture 18">
            <a:extLst>
              <a:ext uri="{FF2B5EF4-FFF2-40B4-BE49-F238E27FC236}">
                <a16:creationId xmlns:a16="http://schemas.microsoft.com/office/drawing/2014/main" id="{33D071AA-2FB7-4860-8FD0-1C67802CDF17}"/>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438150" y="771525"/>
            <a:ext cx="2390775" cy="735910"/>
          </a:xfrm>
          <a:prstGeom prst="rect">
            <a:avLst/>
          </a:prstGeom>
        </xdr:spPr>
      </xdr:pic>
      <xdr:pic>
        <xdr:nvPicPr>
          <xdr:cNvPr id="20" name="Picture 19">
            <a:extLst>
              <a:ext uri="{FF2B5EF4-FFF2-40B4-BE49-F238E27FC236}">
                <a16:creationId xmlns:a16="http://schemas.microsoft.com/office/drawing/2014/main" id="{C8D7B420-6FDC-4EF9-8EAF-66CA467404B1}"/>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2971800" y="638174"/>
            <a:ext cx="1608751" cy="990000"/>
          </a:xfrm>
          <a:prstGeom prst="rect">
            <a:avLst/>
          </a:prstGeom>
        </xdr:spPr>
      </xdr:pic>
    </xdr:grpSp>
    <xdr:clientData/>
  </xdr:twoCellAnchor>
  <xdr:twoCellAnchor editAs="oneCell">
    <xdr:from>
      <xdr:col>1</xdr:col>
      <xdr:colOff>275568</xdr:colOff>
      <xdr:row>43</xdr:row>
      <xdr:rowOff>152400</xdr:rowOff>
    </xdr:from>
    <xdr:to>
      <xdr:col>3</xdr:col>
      <xdr:colOff>911118</xdr:colOff>
      <xdr:row>61</xdr:row>
      <xdr:rowOff>117750</xdr:rowOff>
    </xdr:to>
    <xdr:graphicFrame macro="">
      <xdr:nvGraphicFramePr>
        <xdr:cNvPr id="21" name="Chart 20">
          <a:extLst>
            <a:ext uri="{FF2B5EF4-FFF2-40B4-BE49-F238E27FC236}">
              <a16:creationId xmlns:a16="http://schemas.microsoft.com/office/drawing/2014/main" id="{68C94F1C-1AF4-42DB-9082-FB80EC06B3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3</xdr:col>
      <xdr:colOff>981075</xdr:colOff>
      <xdr:row>43</xdr:row>
      <xdr:rowOff>152400</xdr:rowOff>
    </xdr:from>
    <xdr:to>
      <xdr:col>8</xdr:col>
      <xdr:colOff>740325</xdr:colOff>
      <xdr:row>61</xdr:row>
      <xdr:rowOff>117750</xdr:rowOff>
    </xdr:to>
    <xdr:graphicFrame macro="">
      <xdr:nvGraphicFramePr>
        <xdr:cNvPr id="22" name="Chart 21">
          <a:extLst>
            <a:ext uri="{FF2B5EF4-FFF2-40B4-BE49-F238E27FC236}">
              <a16:creationId xmlns:a16="http://schemas.microsoft.com/office/drawing/2014/main" id="{D647CF15-D7FC-4C49-BBF0-C0292EE085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8</xdr:col>
      <xdr:colOff>838200</xdr:colOff>
      <xdr:row>1</xdr:row>
      <xdr:rowOff>57151</xdr:rowOff>
    </xdr:from>
    <xdr:to>
      <xdr:col>9</xdr:col>
      <xdr:colOff>180975</xdr:colOff>
      <xdr:row>1</xdr:row>
      <xdr:rowOff>1238251</xdr:rowOff>
    </xdr:to>
    <xdr:pic>
      <xdr:nvPicPr>
        <xdr:cNvPr id="23" name="Picture 22">
          <a:extLst>
            <a:ext uri="{FF2B5EF4-FFF2-40B4-BE49-F238E27FC236}">
              <a16:creationId xmlns:a16="http://schemas.microsoft.com/office/drawing/2014/main" id="{E087ADAC-7DB2-4847-951E-C1C4AD1FC66F}"/>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xdr:blipFill>
      <xdr:spPr>
        <a:xfrm>
          <a:off x="12125325" y="628651"/>
          <a:ext cx="1181100" cy="1181100"/>
        </a:xfrm>
        <a:prstGeom prst="rect">
          <a:avLst/>
        </a:prstGeom>
      </xdr:spPr>
    </xdr:pic>
    <xdr:clientData/>
  </xdr:twoCellAnchor>
  <xdr:twoCellAnchor editAs="oneCell">
    <xdr:from>
      <xdr:col>2</xdr:col>
      <xdr:colOff>3371850</xdr:colOff>
      <xdr:row>1</xdr:row>
      <xdr:rowOff>248245</xdr:rowOff>
    </xdr:from>
    <xdr:to>
      <xdr:col>3</xdr:col>
      <xdr:colOff>1418868</xdr:colOff>
      <xdr:row>1</xdr:row>
      <xdr:rowOff>1200626</xdr:rowOff>
    </xdr:to>
    <xdr:pic>
      <xdr:nvPicPr>
        <xdr:cNvPr id="24" name="Picture 23">
          <a:extLst>
            <a:ext uri="{FF2B5EF4-FFF2-40B4-BE49-F238E27FC236}">
              <a16:creationId xmlns:a16="http://schemas.microsoft.com/office/drawing/2014/main" id="{0D687995-FDB9-4658-808E-8CA1ED84733B}"/>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4391025" y="819745"/>
          <a:ext cx="2857143" cy="95238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absolute">
    <xdr:from>
      <xdr:col>1</xdr:col>
      <xdr:colOff>3914775</xdr:colOff>
      <xdr:row>0</xdr:row>
      <xdr:rowOff>57150</xdr:rowOff>
    </xdr:from>
    <xdr:to>
      <xdr:col>1</xdr:col>
      <xdr:colOff>4994775</xdr:colOff>
      <xdr:row>0</xdr:row>
      <xdr:rowOff>525150</xdr:rowOff>
    </xdr:to>
    <xdr:sp macro="" textlink="Lang_Button_Menu">
      <xdr:nvSpPr>
        <xdr:cNvPr id="3" name="TextBox 2">
          <a:hlinkClick xmlns:r="http://schemas.openxmlformats.org/officeDocument/2006/relationships" r:id="rId1"/>
          <a:extLst>
            <a:ext uri="{FF2B5EF4-FFF2-40B4-BE49-F238E27FC236}">
              <a16:creationId xmlns:a16="http://schemas.microsoft.com/office/drawing/2014/main" id="{AB98CE43-B700-4CAB-BDF4-42990BFD5D64}"/>
            </a:ext>
          </a:extLst>
        </xdr:cNvPr>
        <xdr:cNvSpPr txBox="1">
          <a:spLocks noChangeAspect="1"/>
        </xdr:cNvSpPr>
      </xdr:nvSpPr>
      <xdr:spPr>
        <a:xfrm>
          <a:off x="4105275" y="57150"/>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8132D473-88CB-4FBE-9698-172384298029}" type="TxLink">
            <a:rPr lang="en-US" sz="1100" b="1" i="0" u="none" strike="noStrike">
              <a:solidFill>
                <a:schemeClr val="bg1"/>
              </a:solidFill>
              <a:latin typeface="Segoe UI Semilight"/>
              <a:cs typeface="Segoe UI Semilight"/>
              <a:sym typeface="Webdings" panose="05030102010509060703" pitchFamily="18" charset="2"/>
            </a:rPr>
            <a:pPr algn="ctr"/>
            <a:t>
Menu</a:t>
          </a:fld>
          <a:endParaRPr lang="en-US" sz="1400" b="1">
            <a:solidFill>
              <a:schemeClr val="bg1"/>
            </a:solidFill>
          </a:endParaRPr>
        </a:p>
      </xdr:txBody>
    </xdr:sp>
    <xdr:clientData/>
  </xdr:twoCellAnchor>
  <xdr:twoCellAnchor editAs="absolute">
    <xdr:from>
      <xdr:col>2</xdr:col>
      <xdr:colOff>245442</xdr:colOff>
      <xdr:row>0</xdr:row>
      <xdr:rowOff>57150</xdr:rowOff>
    </xdr:from>
    <xdr:to>
      <xdr:col>2</xdr:col>
      <xdr:colOff>1338280</xdr:colOff>
      <xdr:row>0</xdr:row>
      <xdr:rowOff>525150</xdr:rowOff>
    </xdr:to>
    <xdr:sp macro="" textlink="Lang_Button_Results">
      <xdr:nvSpPr>
        <xdr:cNvPr id="4" name="TextBox 3">
          <a:hlinkClick xmlns:r="http://schemas.openxmlformats.org/officeDocument/2006/relationships" r:id="rId2"/>
          <a:extLst>
            <a:ext uri="{FF2B5EF4-FFF2-40B4-BE49-F238E27FC236}">
              <a16:creationId xmlns:a16="http://schemas.microsoft.com/office/drawing/2014/main" id="{83ACCB4D-9EBA-4480-8BA0-5437DC40861D}"/>
            </a:ext>
          </a:extLst>
        </xdr:cNvPr>
        <xdr:cNvSpPr txBox="1">
          <a:spLocks noChangeAspect="1"/>
        </xdr:cNvSpPr>
      </xdr:nvSpPr>
      <xdr:spPr>
        <a:xfrm>
          <a:off x="6503367" y="57150"/>
          <a:ext cx="1092838"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538CA430-E496-485D-8572-2BC3D19EAB8B}" type="TxLink">
            <a:rPr lang="en-US" sz="1100" b="1" i="0" u="none" strike="noStrike">
              <a:solidFill>
                <a:schemeClr val="bg1"/>
              </a:solidFill>
              <a:latin typeface="Segoe UI Semilight"/>
              <a:cs typeface="Segoe UI Semilight"/>
              <a:sym typeface="Webdings" panose="05030102010509060703" pitchFamily="18" charset="2"/>
            </a:rPr>
            <a:pPr algn="ctr"/>
            <a:t>
Results</a:t>
          </a:fld>
          <a:endParaRPr lang="en-US" sz="1400" b="1">
            <a:solidFill>
              <a:schemeClr val="bg1"/>
            </a:solidFill>
          </a:endParaRPr>
        </a:p>
      </xdr:txBody>
    </xdr:sp>
    <xdr:clientData/>
  </xdr:twoCellAnchor>
  <xdr:twoCellAnchor editAs="absolute">
    <xdr:from>
      <xdr:col>2</xdr:col>
      <xdr:colOff>1457325</xdr:colOff>
      <xdr:row>0</xdr:row>
      <xdr:rowOff>57150</xdr:rowOff>
    </xdr:from>
    <xdr:to>
      <xdr:col>3</xdr:col>
      <xdr:colOff>921388</xdr:colOff>
      <xdr:row>0</xdr:row>
      <xdr:rowOff>525150</xdr:rowOff>
    </xdr:to>
    <xdr:sp macro="" textlink="Lang_Button_Help">
      <xdr:nvSpPr>
        <xdr:cNvPr id="6" name="TextBox 5">
          <a:hlinkClick xmlns:r="http://schemas.openxmlformats.org/officeDocument/2006/relationships" r:id="rId3"/>
          <a:extLst>
            <a:ext uri="{FF2B5EF4-FFF2-40B4-BE49-F238E27FC236}">
              <a16:creationId xmlns:a16="http://schemas.microsoft.com/office/drawing/2014/main" id="{C6136B2A-BDAB-43CF-B6B9-5CBB020CFEAC}"/>
            </a:ext>
          </a:extLst>
        </xdr:cNvPr>
        <xdr:cNvSpPr txBox="1">
          <a:spLocks noChangeAspect="1"/>
        </xdr:cNvSpPr>
      </xdr:nvSpPr>
      <xdr:spPr>
        <a:xfrm>
          <a:off x="7715250" y="57150"/>
          <a:ext cx="1092838"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7FBA8905-D3DE-417B-AB6C-1E22F6A0C011}" type="TxLink">
            <a:rPr lang="en-US" sz="1100" b="1" i="0" u="none" strike="noStrike">
              <a:solidFill>
                <a:schemeClr val="bg1"/>
              </a:solidFill>
              <a:latin typeface="Segoe UI Semilight"/>
              <a:cs typeface="Segoe UI Semilight"/>
              <a:sym typeface="Webdings" panose="05030102010509060703" pitchFamily="18" charset="2"/>
            </a:rPr>
            <a:pPr algn="ctr"/>
            <a:t>
Help</a:t>
          </a:fld>
          <a:endParaRPr lang="en-US" sz="1400" b="1">
            <a:solidFill>
              <a:schemeClr val="bg1"/>
            </a:solidFill>
          </a:endParaRPr>
        </a:p>
      </xdr:txBody>
    </xdr:sp>
    <xdr:clientData/>
  </xdr:twoCellAnchor>
  <xdr:twoCellAnchor editAs="absolute">
    <xdr:from>
      <xdr:col>1</xdr:col>
      <xdr:colOff>5113821</xdr:colOff>
      <xdr:row>0</xdr:row>
      <xdr:rowOff>57150</xdr:rowOff>
    </xdr:from>
    <xdr:to>
      <xdr:col>2</xdr:col>
      <xdr:colOff>126396</xdr:colOff>
      <xdr:row>0</xdr:row>
      <xdr:rowOff>525150</xdr:rowOff>
    </xdr:to>
    <xdr:sp macro="" textlink="Lang_Button_NextPage">
      <xdr:nvSpPr>
        <xdr:cNvPr id="7" name="TextBox 6">
          <a:hlinkClick xmlns:r="http://schemas.openxmlformats.org/officeDocument/2006/relationships" r:id="rId4"/>
          <a:extLst>
            <a:ext uri="{FF2B5EF4-FFF2-40B4-BE49-F238E27FC236}">
              <a16:creationId xmlns:a16="http://schemas.microsoft.com/office/drawing/2014/main" id="{B9F880DB-4054-4955-90D1-0BC0F4DFBE69}"/>
            </a:ext>
          </a:extLst>
        </xdr:cNvPr>
        <xdr:cNvSpPr txBox="1">
          <a:spLocks noChangeAspect="1"/>
        </xdr:cNvSpPr>
      </xdr:nvSpPr>
      <xdr:spPr>
        <a:xfrm>
          <a:off x="5304321" y="57150"/>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31417A7F-668E-455C-95D8-9611B2B0DF80}" type="TxLink">
            <a:rPr lang="en-US" sz="1100" b="1" i="0" u="none" strike="noStrike">
              <a:solidFill>
                <a:schemeClr val="bg1"/>
              </a:solidFill>
              <a:latin typeface="Segoe UI Semilight"/>
              <a:cs typeface="Segoe UI Semilight"/>
              <a:sym typeface="Webdings" panose="05030102010509060703" pitchFamily="18" charset="2"/>
            </a:rPr>
            <a:pPr algn="ctr"/>
            <a:t>
Next Page</a:t>
          </a:fld>
          <a:endParaRPr lang="en-US" sz="1400" b="1">
            <a:solidFill>
              <a:schemeClr val="bg1"/>
            </a:solidFill>
          </a:endParaRPr>
        </a:p>
      </xdr:txBody>
    </xdr:sp>
    <xdr:clientData/>
  </xdr:twoCellAnchor>
  <xdr:twoCellAnchor editAs="oneCell">
    <xdr:from>
      <xdr:col>10</xdr:col>
      <xdr:colOff>476250</xdr:colOff>
      <xdr:row>75</xdr:row>
      <xdr:rowOff>28574</xdr:rowOff>
    </xdr:from>
    <xdr:to>
      <xdr:col>10</xdr:col>
      <xdr:colOff>1302440</xdr:colOff>
      <xdr:row>79</xdr:row>
      <xdr:rowOff>66674</xdr:rowOff>
    </xdr:to>
    <xdr:sp macro="" textlink="Lang_SelectHere">
      <xdr:nvSpPr>
        <xdr:cNvPr id="12" name="Arrow: Down 11">
          <a:extLst>
            <a:ext uri="{FF2B5EF4-FFF2-40B4-BE49-F238E27FC236}">
              <a16:creationId xmlns:a16="http://schemas.microsoft.com/office/drawing/2014/main" id="{E2947579-6B32-4758-9E70-3C96DFFCC8E3}"/>
            </a:ext>
          </a:extLst>
        </xdr:cNvPr>
        <xdr:cNvSpPr/>
      </xdr:nvSpPr>
      <xdr:spPr>
        <a:xfrm>
          <a:off x="15754350" y="16468724"/>
          <a:ext cx="819150" cy="733425"/>
        </a:xfrm>
        <a:prstGeom prst="down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lIns="3600" tIns="3600" rIns="3600" bIns="3600" rtlCol="0" anchor="ctr"/>
        <a:lstStyle/>
        <a:p>
          <a:pPr algn="ctr"/>
          <a:fld id="{4FBAE71F-284B-4914-A589-6E0341542A6F}" type="TxLink">
            <a:rPr lang="en-US" altLang="ja-JP" sz="1100" b="1" i="0" u="none" strike="noStrike">
              <a:solidFill>
                <a:schemeClr val="bg1"/>
              </a:solidFill>
              <a:latin typeface="+mj-lt"/>
              <a:cs typeface="Segoe UI Semilight"/>
            </a:rPr>
            <a:pPr algn="ctr"/>
            <a:t>Select Here</a:t>
          </a:fld>
          <a:endParaRPr lang="en-US" sz="1400" b="1">
            <a:solidFill>
              <a:schemeClr val="bg1"/>
            </a:solidFill>
            <a:latin typeface="+mj-lt"/>
          </a:endParaRPr>
        </a:p>
      </xdr:txBody>
    </xdr:sp>
    <xdr:clientData/>
  </xdr:twoCellAnchor>
  <xdr:twoCellAnchor editAs="oneCell">
    <xdr:from>
      <xdr:col>11</xdr:col>
      <xdr:colOff>276225</xdr:colOff>
      <xdr:row>75</xdr:row>
      <xdr:rowOff>28575</xdr:rowOff>
    </xdr:from>
    <xdr:to>
      <xdr:col>11</xdr:col>
      <xdr:colOff>1102415</xdr:colOff>
      <xdr:row>79</xdr:row>
      <xdr:rowOff>66675</xdr:rowOff>
    </xdr:to>
    <xdr:sp macro="" textlink="Lang_SelectHere">
      <xdr:nvSpPr>
        <xdr:cNvPr id="14" name="Arrow: Down 13">
          <a:extLst>
            <a:ext uri="{FF2B5EF4-FFF2-40B4-BE49-F238E27FC236}">
              <a16:creationId xmlns:a16="http://schemas.microsoft.com/office/drawing/2014/main" id="{F4EB0816-B4FA-4E6E-9860-94FC8A8AE5D5}"/>
            </a:ext>
          </a:extLst>
        </xdr:cNvPr>
        <xdr:cNvSpPr/>
      </xdr:nvSpPr>
      <xdr:spPr>
        <a:xfrm>
          <a:off x="17059275" y="16468725"/>
          <a:ext cx="819150" cy="733425"/>
        </a:xfrm>
        <a:prstGeom prst="down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lIns="3600" tIns="3600" rIns="3600" bIns="3600" rtlCol="0" anchor="ctr"/>
        <a:lstStyle/>
        <a:p>
          <a:pPr algn="ctr"/>
          <a:fld id="{C91E5845-73D9-426C-B082-89BBC930037F}" type="TxLink">
            <a:rPr lang="en-US" altLang="ja-JP" sz="1100" b="1" i="0" u="none" strike="noStrike">
              <a:solidFill>
                <a:schemeClr val="bg1"/>
              </a:solidFill>
              <a:latin typeface="+mj-lt"/>
              <a:cs typeface="Segoe UI Semilight"/>
            </a:rPr>
            <a:pPr algn="ctr"/>
            <a:t>Select Here</a:t>
          </a:fld>
          <a:endParaRPr lang="en-US" sz="1400" b="1">
            <a:solidFill>
              <a:schemeClr val="bg1"/>
            </a:solidFill>
            <a:latin typeface="+mj-lt"/>
          </a:endParaRPr>
        </a:p>
      </xdr:txBody>
    </xdr:sp>
    <xdr:clientData/>
  </xdr:twoCellAnchor>
  <xdr:twoCellAnchor editAs="absolute">
    <xdr:from>
      <xdr:col>10</xdr:col>
      <xdr:colOff>94007</xdr:colOff>
      <xdr:row>17</xdr:row>
      <xdr:rowOff>113825</xdr:rowOff>
    </xdr:from>
    <xdr:to>
      <xdr:col>13</xdr:col>
      <xdr:colOff>1584107</xdr:colOff>
      <xdr:row>30</xdr:row>
      <xdr:rowOff>126800</xdr:rowOff>
    </xdr:to>
    <xdr:graphicFrame macro="">
      <xdr:nvGraphicFramePr>
        <xdr:cNvPr id="15" name="Chart 14">
          <a:extLst>
            <a:ext uri="{FF2B5EF4-FFF2-40B4-BE49-F238E27FC236}">
              <a16:creationId xmlns:a16="http://schemas.microsoft.com/office/drawing/2014/main" id="{9474DEB6-3487-4E5E-A2F8-862C4C298FE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absolute">
    <xdr:from>
      <xdr:col>10</xdr:col>
      <xdr:colOff>94007</xdr:colOff>
      <xdr:row>6</xdr:row>
      <xdr:rowOff>11475</xdr:rowOff>
    </xdr:from>
    <xdr:to>
      <xdr:col>13</xdr:col>
      <xdr:colOff>1584107</xdr:colOff>
      <xdr:row>17</xdr:row>
      <xdr:rowOff>33975</xdr:rowOff>
    </xdr:to>
    <xdr:graphicFrame macro="">
      <xdr:nvGraphicFramePr>
        <xdr:cNvPr id="16" name="Chart 15">
          <a:extLst>
            <a:ext uri="{FF2B5EF4-FFF2-40B4-BE49-F238E27FC236}">
              <a16:creationId xmlns:a16="http://schemas.microsoft.com/office/drawing/2014/main" id="{31741E02-AC53-4AFC-B5C9-CD5658F741C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10</xdr:col>
      <xdr:colOff>94007</xdr:colOff>
      <xdr:row>44</xdr:row>
      <xdr:rowOff>71832</xdr:rowOff>
    </xdr:from>
    <xdr:to>
      <xdr:col>13</xdr:col>
      <xdr:colOff>1584107</xdr:colOff>
      <xdr:row>60</xdr:row>
      <xdr:rowOff>18132</xdr:rowOff>
    </xdr:to>
    <xdr:graphicFrame macro="">
      <xdr:nvGraphicFramePr>
        <xdr:cNvPr id="13" name="Chart 12">
          <a:extLst>
            <a:ext uri="{FF2B5EF4-FFF2-40B4-BE49-F238E27FC236}">
              <a16:creationId xmlns:a16="http://schemas.microsoft.com/office/drawing/2014/main" id="{C5DBFF81-C152-430E-9F2E-CFB15921E4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142875</xdr:colOff>
      <xdr:row>1</xdr:row>
      <xdr:rowOff>142875</xdr:rowOff>
    </xdr:from>
    <xdr:to>
      <xdr:col>1</xdr:col>
      <xdr:colOff>4094776</xdr:colOff>
      <xdr:row>1</xdr:row>
      <xdr:rowOff>1132875</xdr:rowOff>
    </xdr:to>
    <xdr:grpSp>
      <xdr:nvGrpSpPr>
        <xdr:cNvPr id="17" name="Group 16">
          <a:extLst>
            <a:ext uri="{FF2B5EF4-FFF2-40B4-BE49-F238E27FC236}">
              <a16:creationId xmlns:a16="http://schemas.microsoft.com/office/drawing/2014/main" id="{F74D9AB0-AF9A-4F5F-ACB1-93096808D3B9}"/>
            </a:ext>
          </a:extLst>
        </xdr:cNvPr>
        <xdr:cNvGrpSpPr/>
      </xdr:nvGrpSpPr>
      <xdr:grpSpPr>
        <a:xfrm>
          <a:off x="142875" y="714375"/>
          <a:ext cx="4142401" cy="990000"/>
          <a:chOff x="438150" y="638174"/>
          <a:chExt cx="4142401" cy="990000"/>
        </a:xfrm>
      </xdr:grpSpPr>
      <xdr:pic>
        <xdr:nvPicPr>
          <xdr:cNvPr id="18" name="Picture 17">
            <a:extLst>
              <a:ext uri="{FF2B5EF4-FFF2-40B4-BE49-F238E27FC236}">
                <a16:creationId xmlns:a16="http://schemas.microsoft.com/office/drawing/2014/main" id="{0B9AFCA2-A25F-4361-B678-6FA02C1A2CEE}"/>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38150" y="771525"/>
            <a:ext cx="2390775" cy="735910"/>
          </a:xfrm>
          <a:prstGeom prst="rect">
            <a:avLst/>
          </a:prstGeom>
        </xdr:spPr>
      </xdr:pic>
      <xdr:pic>
        <xdr:nvPicPr>
          <xdr:cNvPr id="19" name="Picture 18">
            <a:extLst>
              <a:ext uri="{FF2B5EF4-FFF2-40B4-BE49-F238E27FC236}">
                <a16:creationId xmlns:a16="http://schemas.microsoft.com/office/drawing/2014/main" id="{C0E7944D-6058-4BEA-8C09-8C604827B4CA}"/>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2971800" y="638174"/>
            <a:ext cx="1608751" cy="990000"/>
          </a:xfrm>
          <a:prstGeom prst="rect">
            <a:avLst/>
          </a:prstGeom>
        </xdr:spPr>
      </xdr:pic>
    </xdr:grpSp>
    <xdr:clientData/>
  </xdr:twoCellAnchor>
  <xdr:twoCellAnchor editAs="oneCell">
    <xdr:from>
      <xdr:col>8</xdr:col>
      <xdr:colOff>904875</xdr:colOff>
      <xdr:row>1</xdr:row>
      <xdr:rowOff>142876</xdr:rowOff>
    </xdr:from>
    <xdr:to>
      <xdr:col>9</xdr:col>
      <xdr:colOff>285750</xdr:colOff>
      <xdr:row>1</xdr:row>
      <xdr:rowOff>1152526</xdr:rowOff>
    </xdr:to>
    <xdr:pic>
      <xdr:nvPicPr>
        <xdr:cNvPr id="23" name="Picture 22">
          <a:extLst>
            <a:ext uri="{FF2B5EF4-FFF2-40B4-BE49-F238E27FC236}">
              <a16:creationId xmlns:a16="http://schemas.microsoft.com/office/drawing/2014/main" id="{95C04627-33C7-4FBE-954E-F10393DD3165}"/>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xdr:blipFill>
      <xdr:spPr>
        <a:xfrm>
          <a:off x="16935450" y="714376"/>
          <a:ext cx="1009650" cy="1009650"/>
        </a:xfrm>
        <a:prstGeom prst="rect">
          <a:avLst/>
        </a:prstGeom>
      </xdr:spPr>
    </xdr:pic>
    <xdr:clientData/>
  </xdr:twoCellAnchor>
  <xdr:twoCellAnchor editAs="oneCell">
    <xdr:from>
      <xdr:col>1</xdr:col>
      <xdr:colOff>4200525</xdr:colOff>
      <xdr:row>1</xdr:row>
      <xdr:rowOff>238720</xdr:rowOff>
    </xdr:from>
    <xdr:to>
      <xdr:col>2</xdr:col>
      <xdr:colOff>990243</xdr:colOff>
      <xdr:row>1</xdr:row>
      <xdr:rowOff>1191101</xdr:rowOff>
    </xdr:to>
    <xdr:pic>
      <xdr:nvPicPr>
        <xdr:cNvPr id="24" name="Picture 23">
          <a:extLst>
            <a:ext uri="{FF2B5EF4-FFF2-40B4-BE49-F238E27FC236}">
              <a16:creationId xmlns:a16="http://schemas.microsoft.com/office/drawing/2014/main" id="{77D586D2-B498-4021-A289-3A3A1306FE58}"/>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4391025" y="810220"/>
          <a:ext cx="2857143" cy="95238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3</xdr:col>
      <xdr:colOff>1238250</xdr:colOff>
      <xdr:row>0</xdr:row>
      <xdr:rowOff>66675</xdr:rowOff>
    </xdr:from>
    <xdr:to>
      <xdr:col>5</xdr:col>
      <xdr:colOff>213225</xdr:colOff>
      <xdr:row>0</xdr:row>
      <xdr:rowOff>534675</xdr:rowOff>
    </xdr:to>
    <xdr:sp macro="" textlink="Lang_Button_Menu">
      <xdr:nvSpPr>
        <xdr:cNvPr id="4" name="TextBox 3">
          <a:hlinkClick xmlns:r="http://schemas.openxmlformats.org/officeDocument/2006/relationships" r:id="rId1"/>
          <a:extLst>
            <a:ext uri="{FF2B5EF4-FFF2-40B4-BE49-F238E27FC236}">
              <a16:creationId xmlns:a16="http://schemas.microsoft.com/office/drawing/2014/main" id="{4B4FEE3E-9992-4926-8146-7F292C3A4598}"/>
            </a:ext>
          </a:extLst>
        </xdr:cNvPr>
        <xdr:cNvSpPr txBox="1">
          <a:spLocks noChangeAspect="1"/>
        </xdr:cNvSpPr>
      </xdr:nvSpPr>
      <xdr:spPr>
        <a:xfrm>
          <a:off x="3581400" y="66675"/>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08FF5E0E-66DE-4BEA-B3CD-7CD8810F6F27}" type="TxLink">
            <a:rPr lang="en-US" sz="1100" b="1" i="0" u="none" strike="noStrike">
              <a:solidFill>
                <a:schemeClr val="bg1"/>
              </a:solidFill>
              <a:latin typeface="Segoe UI Semilight"/>
              <a:cs typeface="Segoe UI Semilight"/>
              <a:sym typeface="Webdings" panose="05030102010509060703" pitchFamily="18" charset="2"/>
            </a:rPr>
            <a:pPr algn="ctr"/>
            <a:t>
Menu</a:t>
          </a:fld>
          <a:endParaRPr lang="en-US" sz="1400" b="1">
            <a:solidFill>
              <a:schemeClr val="bg1"/>
            </a:solidFill>
          </a:endParaRPr>
        </a:p>
      </xdr:txBody>
    </xdr:sp>
    <xdr:clientData/>
  </xdr:twoCellAnchor>
  <xdr:twoCellAnchor editAs="oneCell">
    <xdr:from>
      <xdr:col>5</xdr:col>
      <xdr:colOff>280988</xdr:colOff>
      <xdr:row>0</xdr:row>
      <xdr:rowOff>66675</xdr:rowOff>
    </xdr:from>
    <xdr:to>
      <xdr:col>6</xdr:col>
      <xdr:colOff>579938</xdr:colOff>
      <xdr:row>0</xdr:row>
      <xdr:rowOff>534675</xdr:rowOff>
    </xdr:to>
    <xdr:sp macro="" textlink="Lang_Button_Results">
      <xdr:nvSpPr>
        <xdr:cNvPr id="5" name="TextBox 4">
          <a:hlinkClick xmlns:r="http://schemas.openxmlformats.org/officeDocument/2006/relationships" r:id="rId2"/>
          <a:extLst>
            <a:ext uri="{FF2B5EF4-FFF2-40B4-BE49-F238E27FC236}">
              <a16:creationId xmlns:a16="http://schemas.microsoft.com/office/drawing/2014/main" id="{6EC24A11-5E26-49B5-A25A-0DD5C40594E6}"/>
            </a:ext>
          </a:extLst>
        </xdr:cNvPr>
        <xdr:cNvSpPr txBox="1">
          <a:spLocks noChangeAspect="1"/>
        </xdr:cNvSpPr>
      </xdr:nvSpPr>
      <xdr:spPr>
        <a:xfrm>
          <a:off x="4729163" y="66675"/>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A65BA192-D861-4BA0-9D31-CEC2B240CB9C}" type="TxLink">
            <a:rPr lang="en-US" sz="1100" b="1" i="0" u="none" strike="noStrike">
              <a:solidFill>
                <a:schemeClr val="bg1"/>
              </a:solidFill>
              <a:latin typeface="Segoe UI Semilight"/>
              <a:cs typeface="Segoe UI Semilight"/>
              <a:sym typeface="Webdings" panose="05030102010509060703" pitchFamily="18" charset="2"/>
            </a:rPr>
            <a:pPr algn="ctr"/>
            <a:t>
Results</a:t>
          </a:fld>
          <a:endParaRPr lang="en-US" sz="1400" b="1">
            <a:solidFill>
              <a:schemeClr val="bg1"/>
            </a:solidFill>
          </a:endParaRPr>
        </a:p>
      </xdr:txBody>
    </xdr:sp>
    <xdr:clientData/>
  </xdr:twoCellAnchor>
  <xdr:twoCellAnchor editAs="oneCell">
    <xdr:from>
      <xdr:col>6</xdr:col>
      <xdr:colOff>647700</xdr:colOff>
      <xdr:row>0</xdr:row>
      <xdr:rowOff>66675</xdr:rowOff>
    </xdr:from>
    <xdr:to>
      <xdr:col>10</xdr:col>
      <xdr:colOff>1770</xdr:colOff>
      <xdr:row>0</xdr:row>
      <xdr:rowOff>534675</xdr:rowOff>
    </xdr:to>
    <xdr:sp macro="" textlink="Lang_Button_Help">
      <xdr:nvSpPr>
        <xdr:cNvPr id="7" name="TextBox 6">
          <a:hlinkClick xmlns:r="http://schemas.openxmlformats.org/officeDocument/2006/relationships" r:id="rId3"/>
          <a:extLst>
            <a:ext uri="{FF2B5EF4-FFF2-40B4-BE49-F238E27FC236}">
              <a16:creationId xmlns:a16="http://schemas.microsoft.com/office/drawing/2014/main" id="{395B45FF-FCE1-433E-BAF1-7AF017953A90}"/>
            </a:ext>
          </a:extLst>
        </xdr:cNvPr>
        <xdr:cNvSpPr txBox="1">
          <a:spLocks noChangeAspect="1"/>
        </xdr:cNvSpPr>
      </xdr:nvSpPr>
      <xdr:spPr>
        <a:xfrm>
          <a:off x="5610225" y="66675"/>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5F79AF32-36C2-4012-BA9D-DD9E49114112}" type="TxLink">
            <a:rPr lang="en-US" sz="1100" b="1" i="0" u="none" strike="noStrike">
              <a:solidFill>
                <a:schemeClr val="bg1"/>
              </a:solidFill>
              <a:latin typeface="Segoe UI Semilight"/>
              <a:cs typeface="Segoe UI Semilight"/>
              <a:sym typeface="Webdings" panose="05030102010509060703" pitchFamily="18" charset="2"/>
            </a:rPr>
            <a:pPr algn="ctr"/>
            <a:t>
Help</a:t>
          </a:fld>
          <a:endParaRPr lang="en-US" sz="1400" b="1">
            <a:solidFill>
              <a:schemeClr val="bg1"/>
            </a:solidFill>
          </a:endParaRPr>
        </a:p>
      </xdr:txBody>
    </xdr:sp>
    <xdr:clientData/>
  </xdr:twoCellAnchor>
  <xdr:twoCellAnchor editAs="oneCell">
    <xdr:from>
      <xdr:col>1</xdr:col>
      <xdr:colOff>1</xdr:colOff>
      <xdr:row>20</xdr:row>
      <xdr:rowOff>76201</xdr:rowOff>
    </xdr:from>
    <xdr:to>
      <xdr:col>2</xdr:col>
      <xdr:colOff>19051</xdr:colOff>
      <xdr:row>26</xdr:row>
      <xdr:rowOff>85725</xdr:rowOff>
    </xdr:to>
    <xdr:sp macro="" textlink="Lang_InputHere">
      <xdr:nvSpPr>
        <xdr:cNvPr id="8" name="Arrow: Down 7">
          <a:extLst>
            <a:ext uri="{FF2B5EF4-FFF2-40B4-BE49-F238E27FC236}">
              <a16:creationId xmlns:a16="http://schemas.microsoft.com/office/drawing/2014/main" id="{CF49E0DF-849F-42DB-99F8-48298006BB8D}"/>
            </a:ext>
          </a:extLst>
        </xdr:cNvPr>
        <xdr:cNvSpPr/>
      </xdr:nvSpPr>
      <xdr:spPr>
        <a:xfrm>
          <a:off x="238126" y="4800601"/>
          <a:ext cx="628650" cy="981074"/>
        </a:xfrm>
        <a:prstGeom prst="down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lIns="3600" tIns="3600" rIns="3600" bIns="3600" rtlCol="0" anchor="ctr"/>
        <a:lstStyle/>
        <a:p>
          <a:pPr algn="ctr"/>
          <a:fld id="{E8A491D4-2DBA-4F7E-BCE9-2BE36DD6798C}" type="TxLink">
            <a:rPr lang="en-US" altLang="ja-JP" sz="1100" b="1" i="0" u="none" strike="noStrike">
              <a:solidFill>
                <a:schemeClr val="bg1"/>
              </a:solidFill>
              <a:latin typeface="+mj-lt"/>
              <a:cs typeface="Segoe UI Semilight"/>
            </a:rPr>
            <a:pPr algn="ctr"/>
            <a:t>Input Here</a:t>
          </a:fld>
          <a:endParaRPr lang="en-US" sz="1400" b="1">
            <a:solidFill>
              <a:schemeClr val="bg1"/>
            </a:solidFill>
            <a:latin typeface="+mj-lt"/>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5</xdr:col>
      <xdr:colOff>295275</xdr:colOff>
      <xdr:row>36</xdr:row>
      <xdr:rowOff>104774</xdr:rowOff>
    </xdr:from>
    <xdr:to>
      <xdr:col>12</xdr:col>
      <xdr:colOff>549825</xdr:colOff>
      <xdr:row>68</xdr:row>
      <xdr:rowOff>73574</xdr:rowOff>
    </xdr:to>
    <xdr:graphicFrame macro="">
      <xdr:nvGraphicFramePr>
        <xdr:cNvPr id="2" name="Chart 1">
          <a:extLst>
            <a:ext uri="{FF2B5EF4-FFF2-40B4-BE49-F238E27FC236}">
              <a16:creationId xmlns:a16="http://schemas.microsoft.com/office/drawing/2014/main" id="{EA14DFEE-0875-4EE0-BB02-921B8B03D1D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371475</xdr:colOff>
      <xdr:row>36</xdr:row>
      <xdr:rowOff>161925</xdr:rowOff>
    </xdr:from>
    <xdr:to>
      <xdr:col>18</xdr:col>
      <xdr:colOff>340275</xdr:colOff>
      <xdr:row>68</xdr:row>
      <xdr:rowOff>130725</xdr:rowOff>
    </xdr:to>
    <xdr:graphicFrame macro="">
      <xdr:nvGraphicFramePr>
        <xdr:cNvPr id="3" name="Chart 2">
          <a:extLst>
            <a:ext uri="{FF2B5EF4-FFF2-40B4-BE49-F238E27FC236}">
              <a16:creationId xmlns:a16="http://schemas.microsoft.com/office/drawing/2014/main" id="{A3567417-6557-4B36-A7EB-1E344F6411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609601</xdr:colOff>
      <xdr:row>2</xdr:row>
      <xdr:rowOff>28574</xdr:rowOff>
    </xdr:from>
    <xdr:to>
      <xdr:col>4</xdr:col>
      <xdr:colOff>1438275</xdr:colOff>
      <xdr:row>6</xdr:row>
      <xdr:rowOff>95249</xdr:rowOff>
    </xdr:to>
    <xdr:sp macro="" textlink="Lang_InputHere">
      <xdr:nvSpPr>
        <xdr:cNvPr id="3" name="Arrow: Down 2">
          <a:extLst>
            <a:ext uri="{FF2B5EF4-FFF2-40B4-BE49-F238E27FC236}">
              <a16:creationId xmlns:a16="http://schemas.microsoft.com/office/drawing/2014/main" id="{61370F78-7F14-4E4A-942F-7AD0D35FD6A7}"/>
            </a:ext>
          </a:extLst>
        </xdr:cNvPr>
        <xdr:cNvSpPr/>
      </xdr:nvSpPr>
      <xdr:spPr>
        <a:xfrm>
          <a:off x="7505701" y="1866899"/>
          <a:ext cx="828674" cy="857250"/>
        </a:xfrm>
        <a:prstGeom prst="downArrow">
          <a:avLst/>
        </a:prstGeom>
        <a:solidFill>
          <a:srgbClr val="FF0000">
            <a:alpha val="7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lIns="3600" tIns="3600" rIns="3600" bIns="3600" rtlCol="0" anchor="ctr"/>
        <a:lstStyle/>
        <a:p>
          <a:pPr algn="ctr"/>
          <a:fld id="{D96A303F-55A9-46F7-A20A-1773CECA8C5F}" type="TxLink">
            <a:rPr lang="en-US" altLang="ja-JP" sz="1100" b="1" i="0" u="none" strike="noStrike">
              <a:solidFill>
                <a:schemeClr val="bg1"/>
              </a:solidFill>
              <a:latin typeface="+mj-lt"/>
              <a:cs typeface="Segoe UI Semilight"/>
            </a:rPr>
            <a:pPr algn="ctr"/>
            <a:t>Input Here</a:t>
          </a:fld>
          <a:endParaRPr lang="en-US" sz="1400" b="1">
            <a:solidFill>
              <a:schemeClr val="bg1"/>
            </a:solidFill>
            <a:latin typeface="+mj-lt"/>
          </a:endParaRPr>
        </a:p>
      </xdr:txBody>
    </xdr:sp>
    <xdr:clientData/>
  </xdr:twoCellAnchor>
  <xdr:twoCellAnchor editAs="oneCell">
    <xdr:from>
      <xdr:col>3</xdr:col>
      <xdr:colOff>1914524</xdr:colOff>
      <xdr:row>0</xdr:row>
      <xdr:rowOff>54768</xdr:rowOff>
    </xdr:from>
    <xdr:to>
      <xdr:col>3</xdr:col>
      <xdr:colOff>2994524</xdr:colOff>
      <xdr:row>0</xdr:row>
      <xdr:rowOff>522768</xdr:rowOff>
    </xdr:to>
    <xdr:sp macro="" textlink="Lang_Button_Menu">
      <xdr:nvSpPr>
        <xdr:cNvPr id="2" name="TextBox 1">
          <a:hlinkClick xmlns:r="http://schemas.openxmlformats.org/officeDocument/2006/relationships" r:id="rId1"/>
          <a:extLst>
            <a:ext uri="{FF2B5EF4-FFF2-40B4-BE49-F238E27FC236}">
              <a16:creationId xmlns:a16="http://schemas.microsoft.com/office/drawing/2014/main" id="{10ED0131-FF16-448D-8B85-E499CE8857C6}"/>
            </a:ext>
          </a:extLst>
        </xdr:cNvPr>
        <xdr:cNvSpPr txBox="1">
          <a:spLocks/>
        </xdr:cNvSpPr>
      </xdr:nvSpPr>
      <xdr:spPr>
        <a:xfrm>
          <a:off x="2800349" y="54768"/>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F9491165-A6F5-4C2F-99FA-17F1FDF5F649}" type="TxLink">
            <a:rPr lang="en-US" sz="1100" b="1" i="0" u="none" strike="noStrike">
              <a:solidFill>
                <a:schemeClr val="bg1"/>
              </a:solidFill>
              <a:latin typeface="Segoe UI Semilight"/>
              <a:cs typeface="Segoe UI Semilight"/>
              <a:sym typeface="Webdings" panose="05030102010509060703" pitchFamily="18" charset="2"/>
            </a:rPr>
            <a:pPr algn="ctr"/>
            <a:t>
Menu</a:t>
          </a:fld>
          <a:endParaRPr lang="en-US" sz="1400" b="1">
            <a:solidFill>
              <a:schemeClr val="bg1"/>
            </a:solidFill>
          </a:endParaRPr>
        </a:p>
      </xdr:txBody>
    </xdr:sp>
    <xdr:clientData/>
  </xdr:twoCellAnchor>
  <xdr:twoCellAnchor editAs="absolute">
    <xdr:from>
      <xdr:col>3</xdr:col>
      <xdr:colOff>4289424</xdr:colOff>
      <xdr:row>0</xdr:row>
      <xdr:rowOff>54768</xdr:rowOff>
    </xdr:from>
    <xdr:to>
      <xdr:col>3</xdr:col>
      <xdr:colOff>5369424</xdr:colOff>
      <xdr:row>0</xdr:row>
      <xdr:rowOff>522768</xdr:rowOff>
    </xdr:to>
    <xdr:sp macro="" textlink="Lang_Button_Results">
      <xdr:nvSpPr>
        <xdr:cNvPr id="5" name="TextBox 4">
          <a:hlinkClick xmlns:r="http://schemas.openxmlformats.org/officeDocument/2006/relationships" r:id="rId2"/>
          <a:extLst>
            <a:ext uri="{FF2B5EF4-FFF2-40B4-BE49-F238E27FC236}">
              <a16:creationId xmlns:a16="http://schemas.microsoft.com/office/drawing/2014/main" id="{42336D27-407E-4BC8-AA76-87C99D673F37}"/>
            </a:ext>
          </a:extLst>
        </xdr:cNvPr>
        <xdr:cNvSpPr txBox="1">
          <a:spLocks/>
        </xdr:cNvSpPr>
      </xdr:nvSpPr>
      <xdr:spPr>
        <a:xfrm>
          <a:off x="5175249" y="54768"/>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D69D3C58-8C45-4844-B926-7A493DD6FCD6}" type="TxLink">
            <a:rPr lang="en-US" sz="1100" b="1" i="0" u="none" strike="noStrike">
              <a:solidFill>
                <a:schemeClr val="bg1"/>
              </a:solidFill>
              <a:latin typeface="Segoe UI Semilight"/>
              <a:cs typeface="Segoe UI Semilight"/>
              <a:sym typeface="Webdings" panose="05030102010509060703" pitchFamily="18" charset="2"/>
            </a:rPr>
            <a:pPr algn="ctr"/>
            <a:t>
Results</a:t>
          </a:fld>
          <a:endParaRPr lang="en-US" sz="1400" b="1">
            <a:solidFill>
              <a:schemeClr val="bg1"/>
            </a:solidFill>
          </a:endParaRPr>
        </a:p>
      </xdr:txBody>
    </xdr:sp>
    <xdr:clientData/>
  </xdr:twoCellAnchor>
  <xdr:twoCellAnchor editAs="oneCell">
    <xdr:from>
      <xdr:col>3</xdr:col>
      <xdr:colOff>5476874</xdr:colOff>
      <xdr:row>0</xdr:row>
      <xdr:rowOff>54768</xdr:rowOff>
    </xdr:from>
    <xdr:to>
      <xdr:col>4</xdr:col>
      <xdr:colOff>546599</xdr:colOff>
      <xdr:row>0</xdr:row>
      <xdr:rowOff>522768</xdr:rowOff>
    </xdr:to>
    <xdr:sp macro="" textlink="Lang_Button_Help">
      <xdr:nvSpPr>
        <xdr:cNvPr id="7" name="TextBox 6">
          <a:hlinkClick xmlns:r="http://schemas.openxmlformats.org/officeDocument/2006/relationships" r:id="rId3"/>
          <a:extLst>
            <a:ext uri="{FF2B5EF4-FFF2-40B4-BE49-F238E27FC236}">
              <a16:creationId xmlns:a16="http://schemas.microsoft.com/office/drawing/2014/main" id="{B0CDBD25-7061-4B23-877E-ABBA78065209}"/>
            </a:ext>
          </a:extLst>
        </xdr:cNvPr>
        <xdr:cNvSpPr txBox="1">
          <a:spLocks/>
        </xdr:cNvSpPr>
      </xdr:nvSpPr>
      <xdr:spPr>
        <a:xfrm>
          <a:off x="6362699" y="54768"/>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B44B10C8-A10F-4CCA-B8AA-A97324CD5AD4}" type="TxLink">
            <a:rPr lang="en-US" sz="1100" b="1" i="0" u="none" strike="noStrike">
              <a:solidFill>
                <a:schemeClr val="bg1"/>
              </a:solidFill>
              <a:latin typeface="Segoe UI Semilight"/>
              <a:cs typeface="Segoe UI Semilight"/>
              <a:sym typeface="Webdings" panose="05030102010509060703" pitchFamily="18" charset="2"/>
            </a:rPr>
            <a:pPr algn="ctr"/>
            <a:t>
Help</a:t>
          </a:fld>
          <a:endParaRPr lang="en-US" sz="1400" b="1">
            <a:solidFill>
              <a:schemeClr val="bg1"/>
            </a:solidFill>
          </a:endParaRPr>
        </a:p>
      </xdr:txBody>
    </xdr:sp>
    <xdr:clientData/>
  </xdr:twoCellAnchor>
  <xdr:twoCellAnchor editAs="oneCell">
    <xdr:from>
      <xdr:col>3</xdr:col>
      <xdr:colOff>3101974</xdr:colOff>
      <xdr:row>0</xdr:row>
      <xdr:rowOff>54768</xdr:rowOff>
    </xdr:from>
    <xdr:to>
      <xdr:col>3</xdr:col>
      <xdr:colOff>4181974</xdr:colOff>
      <xdr:row>0</xdr:row>
      <xdr:rowOff>522768</xdr:rowOff>
    </xdr:to>
    <xdr:sp macro="" textlink="Lang_Button_NextPage">
      <xdr:nvSpPr>
        <xdr:cNvPr id="8" name="TextBox 7">
          <a:hlinkClick xmlns:r="http://schemas.openxmlformats.org/officeDocument/2006/relationships" r:id="rId4"/>
          <a:extLst>
            <a:ext uri="{FF2B5EF4-FFF2-40B4-BE49-F238E27FC236}">
              <a16:creationId xmlns:a16="http://schemas.microsoft.com/office/drawing/2014/main" id="{CACD7533-6B23-43C1-B9FF-DC5CFC3A2510}"/>
            </a:ext>
          </a:extLst>
        </xdr:cNvPr>
        <xdr:cNvSpPr txBox="1">
          <a:spLocks/>
        </xdr:cNvSpPr>
      </xdr:nvSpPr>
      <xdr:spPr>
        <a:xfrm>
          <a:off x="3987799" y="54768"/>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A8A035DE-943C-442C-BEA4-C2CD5C9E9224}" type="TxLink">
            <a:rPr lang="en-US" sz="1100" b="1" i="0" u="none" strike="noStrike">
              <a:solidFill>
                <a:schemeClr val="bg1"/>
              </a:solidFill>
              <a:latin typeface="Segoe UI Semilight"/>
              <a:cs typeface="Segoe UI Semilight"/>
              <a:sym typeface="Webdings" panose="05030102010509060703" pitchFamily="18" charset="2"/>
            </a:rPr>
            <a:pPr algn="ctr"/>
            <a:t>
Next Page</a:t>
          </a:fld>
          <a:endParaRPr lang="en-US" sz="1400" b="1">
            <a:solidFill>
              <a:schemeClr val="bg1"/>
            </a:solidFill>
          </a:endParaRPr>
        </a:p>
      </xdr:txBody>
    </xdr:sp>
    <xdr:clientData/>
  </xdr:twoCellAnchor>
  <xdr:twoCellAnchor editAs="oneCell">
    <xdr:from>
      <xdr:col>4</xdr:col>
      <xdr:colOff>95249</xdr:colOff>
      <xdr:row>352</xdr:row>
      <xdr:rowOff>100012</xdr:rowOff>
    </xdr:from>
    <xdr:to>
      <xdr:col>4</xdr:col>
      <xdr:colOff>1355249</xdr:colOff>
      <xdr:row>354</xdr:row>
      <xdr:rowOff>156849</xdr:rowOff>
    </xdr:to>
    <xdr:sp macro="" textlink="">
      <xdr:nvSpPr>
        <xdr:cNvPr id="11" name="TextBox 10">
          <a:hlinkClick xmlns:r="http://schemas.openxmlformats.org/officeDocument/2006/relationships" r:id="rId4"/>
          <a:extLst>
            <a:ext uri="{FF2B5EF4-FFF2-40B4-BE49-F238E27FC236}">
              <a16:creationId xmlns:a16="http://schemas.microsoft.com/office/drawing/2014/main" id="{B157DDCF-DACD-4487-9942-21F9E130630A}"/>
            </a:ext>
          </a:extLst>
        </xdr:cNvPr>
        <xdr:cNvSpPr txBox="1">
          <a:spLocks/>
        </xdr:cNvSpPr>
      </xdr:nvSpPr>
      <xdr:spPr>
        <a:xfrm>
          <a:off x="6210299" y="75795187"/>
          <a:ext cx="1260000" cy="466412"/>
        </a:xfrm>
        <a:prstGeom prst="rect">
          <a:avLst/>
        </a:prstGeom>
        <a:solidFill>
          <a:schemeClr val="accent2"/>
        </a:solidFill>
        <a:ln w="38100">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r>
            <a:rPr lang="en-US" sz="1100" b="1">
              <a:sym typeface="Webdings" panose="05030102010509060703" pitchFamily="18" charset="2"/>
            </a:rPr>
            <a:t></a:t>
          </a:r>
          <a:endParaRPr lang="en-US" sz="1100" b="1"/>
        </a:p>
        <a:p>
          <a:pPr algn="ctr"/>
          <a:r>
            <a:rPr lang="en-US" sz="1100" b="1"/>
            <a:t>Next Item</a:t>
          </a:r>
        </a:p>
      </xdr:txBody>
    </xdr:sp>
    <xdr:clientData/>
  </xdr:twoCellAnchor>
  <xdr:twoCellAnchor>
    <xdr:from>
      <xdr:col>0</xdr:col>
      <xdr:colOff>219075</xdr:colOff>
      <xdr:row>1</xdr:row>
      <xdr:rowOff>114300</xdr:rowOff>
    </xdr:from>
    <xdr:to>
      <xdr:col>3</xdr:col>
      <xdr:colOff>3475651</xdr:colOff>
      <xdr:row>1</xdr:row>
      <xdr:rowOff>1104300</xdr:rowOff>
    </xdr:to>
    <xdr:grpSp>
      <xdr:nvGrpSpPr>
        <xdr:cNvPr id="16" name="Group 15">
          <a:extLst>
            <a:ext uri="{FF2B5EF4-FFF2-40B4-BE49-F238E27FC236}">
              <a16:creationId xmlns:a16="http://schemas.microsoft.com/office/drawing/2014/main" id="{BE8F87D5-193F-4868-92E4-90859976FF9A}"/>
            </a:ext>
          </a:extLst>
        </xdr:cNvPr>
        <xdr:cNvGrpSpPr/>
      </xdr:nvGrpSpPr>
      <xdr:grpSpPr>
        <a:xfrm>
          <a:off x="219075" y="685800"/>
          <a:ext cx="4142401" cy="990000"/>
          <a:chOff x="438150" y="638174"/>
          <a:chExt cx="4142401" cy="990000"/>
        </a:xfrm>
      </xdr:grpSpPr>
      <xdr:pic>
        <xdr:nvPicPr>
          <xdr:cNvPr id="17" name="Picture 16">
            <a:extLst>
              <a:ext uri="{FF2B5EF4-FFF2-40B4-BE49-F238E27FC236}">
                <a16:creationId xmlns:a16="http://schemas.microsoft.com/office/drawing/2014/main" id="{D0EA9875-54EE-4F07-A832-6702E26C9A1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38150" y="771525"/>
            <a:ext cx="2390775" cy="735910"/>
          </a:xfrm>
          <a:prstGeom prst="rect">
            <a:avLst/>
          </a:prstGeom>
        </xdr:spPr>
      </xdr:pic>
      <xdr:pic>
        <xdr:nvPicPr>
          <xdr:cNvPr id="18" name="Picture 17">
            <a:extLst>
              <a:ext uri="{FF2B5EF4-FFF2-40B4-BE49-F238E27FC236}">
                <a16:creationId xmlns:a16="http://schemas.microsoft.com/office/drawing/2014/main" id="{670CB3F8-AA2E-42E8-A297-1FD31EE852A6}"/>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971800" y="638174"/>
            <a:ext cx="1608751" cy="990000"/>
          </a:xfrm>
          <a:prstGeom prst="rect">
            <a:avLst/>
          </a:prstGeom>
        </xdr:spPr>
      </xdr:pic>
    </xdr:grpSp>
    <xdr:clientData/>
  </xdr:twoCellAnchor>
  <xdr:twoCellAnchor editAs="oneCell">
    <xdr:from>
      <xdr:col>8</xdr:col>
      <xdr:colOff>1624012</xdr:colOff>
      <xdr:row>1</xdr:row>
      <xdr:rowOff>142875</xdr:rowOff>
    </xdr:from>
    <xdr:to>
      <xdr:col>8</xdr:col>
      <xdr:colOff>2671762</xdr:colOff>
      <xdr:row>1</xdr:row>
      <xdr:rowOff>1190625</xdr:rowOff>
    </xdr:to>
    <xdr:pic>
      <xdr:nvPicPr>
        <xdr:cNvPr id="12" name="Picture 11">
          <a:extLst>
            <a:ext uri="{FF2B5EF4-FFF2-40B4-BE49-F238E27FC236}">
              <a16:creationId xmlns:a16="http://schemas.microsoft.com/office/drawing/2014/main" id="{C6C47097-1B23-4F93-AE95-EFFD5EB6458C}"/>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xdr:blipFill>
      <xdr:spPr>
        <a:xfrm>
          <a:off x="13920787" y="714375"/>
          <a:ext cx="1047750" cy="1047750"/>
        </a:xfrm>
        <a:prstGeom prst="rect">
          <a:avLst/>
        </a:prstGeom>
      </xdr:spPr>
    </xdr:pic>
    <xdr:clientData/>
  </xdr:twoCellAnchor>
  <xdr:twoCellAnchor editAs="oneCell">
    <xdr:from>
      <xdr:col>3</xdr:col>
      <xdr:colOff>3676650</xdr:colOff>
      <xdr:row>1</xdr:row>
      <xdr:rowOff>219670</xdr:rowOff>
    </xdr:from>
    <xdr:to>
      <xdr:col>4</xdr:col>
      <xdr:colOff>523518</xdr:colOff>
      <xdr:row>1</xdr:row>
      <xdr:rowOff>1172051</xdr:rowOff>
    </xdr:to>
    <xdr:pic>
      <xdr:nvPicPr>
        <xdr:cNvPr id="13" name="Picture 12">
          <a:extLst>
            <a:ext uri="{FF2B5EF4-FFF2-40B4-BE49-F238E27FC236}">
              <a16:creationId xmlns:a16="http://schemas.microsoft.com/office/drawing/2014/main" id="{F9AECE09-DE02-4CE0-ACEA-635528DF7876}"/>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4562475" y="791170"/>
          <a:ext cx="2857143" cy="95238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2514600</xdr:colOff>
      <xdr:row>0</xdr:row>
      <xdr:rowOff>57150</xdr:rowOff>
    </xdr:from>
    <xdr:to>
      <xdr:col>2</xdr:col>
      <xdr:colOff>3594600</xdr:colOff>
      <xdr:row>0</xdr:row>
      <xdr:rowOff>525150</xdr:rowOff>
    </xdr:to>
    <xdr:sp macro="" textlink="Lang_Button_Menu">
      <xdr:nvSpPr>
        <xdr:cNvPr id="36" name="TextBox 35">
          <a:hlinkClick xmlns:r="http://schemas.openxmlformats.org/officeDocument/2006/relationships" r:id="rId1"/>
          <a:extLst>
            <a:ext uri="{FF2B5EF4-FFF2-40B4-BE49-F238E27FC236}">
              <a16:creationId xmlns:a16="http://schemas.microsoft.com/office/drawing/2014/main" id="{7EBB431E-0C6C-4629-9E66-E9BAE4C06CA6}"/>
            </a:ext>
          </a:extLst>
        </xdr:cNvPr>
        <xdr:cNvSpPr txBox="1">
          <a:spLocks noChangeAspect="1"/>
        </xdr:cNvSpPr>
      </xdr:nvSpPr>
      <xdr:spPr>
        <a:xfrm>
          <a:off x="2990850" y="57150"/>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47D3DD30-F199-44FE-8AA6-07F0A8BB5B7D}" type="TxLink">
            <a:rPr lang="en-US" sz="1100" b="1" i="0" u="none" strike="noStrike">
              <a:solidFill>
                <a:schemeClr val="bg1"/>
              </a:solidFill>
              <a:latin typeface="Segoe UI Semilight"/>
              <a:cs typeface="Segoe UI Semilight"/>
              <a:sym typeface="Webdings" panose="05030102010509060703" pitchFamily="18" charset="2"/>
            </a:rPr>
            <a:pPr algn="ctr"/>
            <a:t>
Menu</a:t>
          </a:fld>
          <a:endParaRPr lang="en-US" sz="1400" b="1">
            <a:solidFill>
              <a:schemeClr val="bg1"/>
            </a:solidFill>
          </a:endParaRPr>
        </a:p>
      </xdr:txBody>
    </xdr:sp>
    <xdr:clientData/>
  </xdr:twoCellAnchor>
  <xdr:twoCellAnchor editAs="oneCell">
    <xdr:from>
      <xdr:col>3</xdr:col>
      <xdr:colOff>965200</xdr:colOff>
      <xdr:row>0</xdr:row>
      <xdr:rowOff>57150</xdr:rowOff>
    </xdr:from>
    <xdr:to>
      <xdr:col>4</xdr:col>
      <xdr:colOff>892675</xdr:colOff>
      <xdr:row>0</xdr:row>
      <xdr:rowOff>525150</xdr:rowOff>
    </xdr:to>
    <xdr:sp macro="" textlink="Lang_Button_Results">
      <xdr:nvSpPr>
        <xdr:cNvPr id="37" name="TextBox 36">
          <a:hlinkClick xmlns:r="http://schemas.openxmlformats.org/officeDocument/2006/relationships" r:id="rId2"/>
          <a:extLst>
            <a:ext uri="{FF2B5EF4-FFF2-40B4-BE49-F238E27FC236}">
              <a16:creationId xmlns:a16="http://schemas.microsoft.com/office/drawing/2014/main" id="{CAC58515-7CD1-47D6-8401-1590B1FE39A6}"/>
            </a:ext>
          </a:extLst>
        </xdr:cNvPr>
        <xdr:cNvSpPr txBox="1">
          <a:spLocks noChangeAspect="1"/>
        </xdr:cNvSpPr>
      </xdr:nvSpPr>
      <xdr:spPr>
        <a:xfrm>
          <a:off x="5422900" y="57150"/>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58FC67AA-058B-40C2-BC87-89F7EAE1B88E}" type="TxLink">
            <a:rPr lang="en-US" sz="1100" b="1" i="0" u="none" strike="noStrike">
              <a:solidFill>
                <a:schemeClr val="bg1"/>
              </a:solidFill>
              <a:latin typeface="Segoe UI Semilight"/>
              <a:cs typeface="Segoe UI Semilight"/>
              <a:sym typeface="Webdings" panose="05030102010509060703" pitchFamily="18" charset="2"/>
            </a:rPr>
            <a:pPr algn="ctr"/>
            <a:t>
Results</a:t>
          </a:fld>
          <a:endParaRPr lang="en-US" sz="1400" b="1">
            <a:solidFill>
              <a:schemeClr val="bg1"/>
            </a:solidFill>
          </a:endParaRPr>
        </a:p>
      </xdr:txBody>
    </xdr:sp>
    <xdr:clientData/>
  </xdr:twoCellAnchor>
  <xdr:twoCellAnchor editAs="oneCell">
    <xdr:from>
      <xdr:col>4</xdr:col>
      <xdr:colOff>1028700</xdr:colOff>
      <xdr:row>0</xdr:row>
      <xdr:rowOff>57150</xdr:rowOff>
    </xdr:from>
    <xdr:to>
      <xdr:col>5</xdr:col>
      <xdr:colOff>890486</xdr:colOff>
      <xdr:row>0</xdr:row>
      <xdr:rowOff>525150</xdr:rowOff>
    </xdr:to>
    <xdr:sp macro="" textlink="Lang_Button_Help">
      <xdr:nvSpPr>
        <xdr:cNvPr id="39" name="TextBox 38">
          <a:hlinkClick xmlns:r="http://schemas.openxmlformats.org/officeDocument/2006/relationships" r:id="rId3"/>
          <a:extLst>
            <a:ext uri="{FF2B5EF4-FFF2-40B4-BE49-F238E27FC236}">
              <a16:creationId xmlns:a16="http://schemas.microsoft.com/office/drawing/2014/main" id="{C92DD44C-6647-41F4-A8D5-FB85CD388D81}"/>
            </a:ext>
          </a:extLst>
        </xdr:cNvPr>
        <xdr:cNvSpPr txBox="1">
          <a:spLocks noChangeAspect="1"/>
        </xdr:cNvSpPr>
      </xdr:nvSpPr>
      <xdr:spPr>
        <a:xfrm>
          <a:off x="6638925" y="57150"/>
          <a:ext cx="1080986"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04271099-E96E-4022-95FB-3ADEE6DBBE2E}" type="TxLink">
            <a:rPr lang="en-US" sz="1100" b="1" i="0" u="none" strike="noStrike">
              <a:solidFill>
                <a:schemeClr val="bg1"/>
              </a:solidFill>
              <a:latin typeface="Segoe UI Semilight"/>
              <a:cs typeface="Segoe UI Semilight"/>
              <a:sym typeface="Webdings" panose="05030102010509060703" pitchFamily="18" charset="2"/>
            </a:rPr>
            <a:pPr algn="ctr"/>
            <a:t>
Help</a:t>
          </a:fld>
          <a:endParaRPr lang="en-US" sz="1400" b="1">
            <a:solidFill>
              <a:schemeClr val="bg1"/>
            </a:solidFill>
          </a:endParaRPr>
        </a:p>
      </xdr:txBody>
    </xdr:sp>
    <xdr:clientData/>
  </xdr:twoCellAnchor>
  <xdr:twoCellAnchor editAs="oneCell">
    <xdr:from>
      <xdr:col>2</xdr:col>
      <xdr:colOff>3730625</xdr:colOff>
      <xdr:row>0</xdr:row>
      <xdr:rowOff>57150</xdr:rowOff>
    </xdr:from>
    <xdr:to>
      <xdr:col>3</xdr:col>
      <xdr:colOff>829175</xdr:colOff>
      <xdr:row>0</xdr:row>
      <xdr:rowOff>525150</xdr:rowOff>
    </xdr:to>
    <xdr:sp macro="" textlink="Lang_Button_NextPage">
      <xdr:nvSpPr>
        <xdr:cNvPr id="40" name="TextBox 39">
          <a:hlinkClick xmlns:r="http://schemas.openxmlformats.org/officeDocument/2006/relationships" r:id="rId4"/>
          <a:extLst>
            <a:ext uri="{FF2B5EF4-FFF2-40B4-BE49-F238E27FC236}">
              <a16:creationId xmlns:a16="http://schemas.microsoft.com/office/drawing/2014/main" id="{385D0FB2-28AF-4866-8DDB-7E4DFE7BB957}"/>
            </a:ext>
          </a:extLst>
        </xdr:cNvPr>
        <xdr:cNvSpPr txBox="1">
          <a:spLocks noChangeAspect="1"/>
        </xdr:cNvSpPr>
      </xdr:nvSpPr>
      <xdr:spPr>
        <a:xfrm>
          <a:off x="4206875" y="57150"/>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A2F2CCDF-E4F0-4273-8A2A-BA269576E1BB}" type="TxLink">
            <a:rPr lang="en-US" sz="1100" b="1" i="0" u="none" strike="noStrike">
              <a:solidFill>
                <a:schemeClr val="bg1"/>
              </a:solidFill>
              <a:latin typeface="Segoe UI Semilight"/>
              <a:cs typeface="Segoe UI Semilight"/>
              <a:sym typeface="Webdings" panose="05030102010509060703" pitchFamily="18" charset="2"/>
            </a:rPr>
            <a:pPr algn="ctr"/>
            <a:t>
Next Page</a:t>
          </a:fld>
          <a:endParaRPr lang="en-US" sz="1400" b="1">
            <a:solidFill>
              <a:schemeClr val="bg1"/>
            </a:solidFill>
          </a:endParaRPr>
        </a:p>
      </xdr:txBody>
    </xdr:sp>
    <xdr:clientData/>
  </xdr:twoCellAnchor>
  <xdr:twoCellAnchor editAs="oneCell">
    <xdr:from>
      <xdr:col>4</xdr:col>
      <xdr:colOff>695325</xdr:colOff>
      <xdr:row>192</xdr:row>
      <xdr:rowOff>85725</xdr:rowOff>
    </xdr:from>
    <xdr:to>
      <xdr:col>5</xdr:col>
      <xdr:colOff>556125</xdr:colOff>
      <xdr:row>194</xdr:row>
      <xdr:rowOff>144150</xdr:rowOff>
    </xdr:to>
    <xdr:sp macro="" textlink="Lang_Button_NextItem">
      <xdr:nvSpPr>
        <xdr:cNvPr id="41" name="TextBox 40">
          <a:hlinkClick xmlns:r="http://schemas.openxmlformats.org/officeDocument/2006/relationships" r:id="rId4"/>
          <a:extLst>
            <a:ext uri="{FF2B5EF4-FFF2-40B4-BE49-F238E27FC236}">
              <a16:creationId xmlns:a16="http://schemas.microsoft.com/office/drawing/2014/main" id="{97A048E4-F334-4CE6-915A-B01730DD0878}"/>
            </a:ext>
          </a:extLst>
        </xdr:cNvPr>
        <xdr:cNvSpPr txBox="1">
          <a:spLocks noChangeAspect="1"/>
        </xdr:cNvSpPr>
      </xdr:nvSpPr>
      <xdr:spPr>
        <a:xfrm>
          <a:off x="6305550" y="37814250"/>
          <a:ext cx="1080000" cy="468000"/>
        </a:xfrm>
        <a:prstGeom prst="rect">
          <a:avLst/>
        </a:prstGeom>
        <a:solidFill>
          <a:schemeClr val="accent2"/>
        </a:solidFill>
        <a:ln w="38100">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8C15320A-F9AC-41AA-8D14-470E13BCD5DB}" type="TxLink">
            <a:rPr lang="en-US" sz="1100" b="1" i="0" u="none" strike="noStrike">
              <a:solidFill>
                <a:schemeClr val="bg1"/>
              </a:solidFill>
              <a:latin typeface="Segoe UI Semilight"/>
              <a:cs typeface="Segoe UI Semilight"/>
              <a:sym typeface="Webdings" panose="05030102010509060703" pitchFamily="18" charset="2"/>
            </a:rPr>
            <a:pPr algn="ctr"/>
            <a:t>
Next Item</a:t>
          </a:fld>
          <a:endParaRPr lang="en-US" sz="1400" b="1">
            <a:solidFill>
              <a:schemeClr val="bg1"/>
            </a:solidFill>
          </a:endParaRPr>
        </a:p>
      </xdr:txBody>
    </xdr:sp>
    <xdr:clientData/>
  </xdr:twoCellAnchor>
  <xdr:twoCellAnchor>
    <xdr:from>
      <xdr:col>0</xdr:col>
      <xdr:colOff>209550</xdr:colOff>
      <xdr:row>1</xdr:row>
      <xdr:rowOff>142875</xdr:rowOff>
    </xdr:from>
    <xdr:to>
      <xdr:col>2</xdr:col>
      <xdr:colOff>3875701</xdr:colOff>
      <xdr:row>1</xdr:row>
      <xdr:rowOff>1132875</xdr:rowOff>
    </xdr:to>
    <xdr:grpSp>
      <xdr:nvGrpSpPr>
        <xdr:cNvPr id="12" name="Group 11">
          <a:extLst>
            <a:ext uri="{FF2B5EF4-FFF2-40B4-BE49-F238E27FC236}">
              <a16:creationId xmlns:a16="http://schemas.microsoft.com/office/drawing/2014/main" id="{EBD802CF-5175-411B-BE42-967B1BA34D77}"/>
            </a:ext>
          </a:extLst>
        </xdr:cNvPr>
        <xdr:cNvGrpSpPr/>
      </xdr:nvGrpSpPr>
      <xdr:grpSpPr>
        <a:xfrm>
          <a:off x="209550" y="714375"/>
          <a:ext cx="4142401" cy="990000"/>
          <a:chOff x="438150" y="638174"/>
          <a:chExt cx="4142401" cy="990000"/>
        </a:xfrm>
      </xdr:grpSpPr>
      <xdr:pic>
        <xdr:nvPicPr>
          <xdr:cNvPr id="14" name="Picture 13">
            <a:extLst>
              <a:ext uri="{FF2B5EF4-FFF2-40B4-BE49-F238E27FC236}">
                <a16:creationId xmlns:a16="http://schemas.microsoft.com/office/drawing/2014/main" id="{22E12241-0289-4250-A120-C6462212AEE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38150" y="771525"/>
            <a:ext cx="2390775" cy="735910"/>
          </a:xfrm>
          <a:prstGeom prst="rect">
            <a:avLst/>
          </a:prstGeom>
        </xdr:spPr>
      </xdr:pic>
      <xdr:pic>
        <xdr:nvPicPr>
          <xdr:cNvPr id="15" name="Picture 14">
            <a:extLst>
              <a:ext uri="{FF2B5EF4-FFF2-40B4-BE49-F238E27FC236}">
                <a16:creationId xmlns:a16="http://schemas.microsoft.com/office/drawing/2014/main" id="{A35AA2DA-E587-40E2-9426-C8AE7184F714}"/>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971800" y="638174"/>
            <a:ext cx="1608751" cy="990000"/>
          </a:xfrm>
          <a:prstGeom prst="rect">
            <a:avLst/>
          </a:prstGeom>
        </xdr:spPr>
      </xdr:pic>
    </xdr:grpSp>
    <xdr:clientData/>
  </xdr:twoCellAnchor>
  <xdr:twoCellAnchor editAs="oneCell">
    <xdr:from>
      <xdr:col>9</xdr:col>
      <xdr:colOff>2724150</xdr:colOff>
      <xdr:row>1</xdr:row>
      <xdr:rowOff>110490</xdr:rowOff>
    </xdr:from>
    <xdr:to>
      <xdr:col>9</xdr:col>
      <xdr:colOff>3827145</xdr:colOff>
      <xdr:row>1</xdr:row>
      <xdr:rowOff>1213485</xdr:rowOff>
    </xdr:to>
    <xdr:pic>
      <xdr:nvPicPr>
        <xdr:cNvPr id="10" name="Picture 9">
          <a:extLst>
            <a:ext uri="{FF2B5EF4-FFF2-40B4-BE49-F238E27FC236}">
              <a16:creationId xmlns:a16="http://schemas.microsoft.com/office/drawing/2014/main" id="{85BB4D5C-7879-4CBF-9323-CCA540FAEB0E}"/>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xdr:blipFill>
      <xdr:spPr>
        <a:xfrm>
          <a:off x="12449175" y="681990"/>
          <a:ext cx="1102995" cy="1102995"/>
        </a:xfrm>
        <a:prstGeom prst="rect">
          <a:avLst/>
        </a:prstGeom>
      </xdr:spPr>
    </xdr:pic>
    <xdr:clientData/>
  </xdr:twoCellAnchor>
  <xdr:twoCellAnchor editAs="oneCell">
    <xdr:from>
      <xdr:col>3</xdr:col>
      <xdr:colOff>76200</xdr:colOff>
      <xdr:row>1</xdr:row>
      <xdr:rowOff>219670</xdr:rowOff>
    </xdr:from>
    <xdr:to>
      <xdr:col>5</xdr:col>
      <xdr:colOff>561618</xdr:colOff>
      <xdr:row>1</xdr:row>
      <xdr:rowOff>1172051</xdr:rowOff>
    </xdr:to>
    <xdr:pic>
      <xdr:nvPicPr>
        <xdr:cNvPr id="11" name="Picture 10">
          <a:extLst>
            <a:ext uri="{FF2B5EF4-FFF2-40B4-BE49-F238E27FC236}">
              <a16:creationId xmlns:a16="http://schemas.microsoft.com/office/drawing/2014/main" id="{348EEC83-4F20-4067-A6B2-98D01DE194C3}"/>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4533900" y="791170"/>
          <a:ext cx="2857143" cy="9523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2571750</xdr:colOff>
      <xdr:row>0</xdr:row>
      <xdr:rowOff>57150</xdr:rowOff>
    </xdr:from>
    <xdr:to>
      <xdr:col>2</xdr:col>
      <xdr:colOff>3651750</xdr:colOff>
      <xdr:row>0</xdr:row>
      <xdr:rowOff>525150</xdr:rowOff>
    </xdr:to>
    <xdr:sp macro="" textlink="Lang_Button_Menu">
      <xdr:nvSpPr>
        <xdr:cNvPr id="2" name="TextBox 1">
          <a:hlinkClick xmlns:r="http://schemas.openxmlformats.org/officeDocument/2006/relationships" r:id="rId1"/>
          <a:extLst>
            <a:ext uri="{FF2B5EF4-FFF2-40B4-BE49-F238E27FC236}">
              <a16:creationId xmlns:a16="http://schemas.microsoft.com/office/drawing/2014/main" id="{8392E67A-403A-4518-8D36-30E29310D9E6}"/>
            </a:ext>
          </a:extLst>
        </xdr:cNvPr>
        <xdr:cNvSpPr txBox="1">
          <a:spLocks noChangeAspect="1"/>
        </xdr:cNvSpPr>
      </xdr:nvSpPr>
      <xdr:spPr>
        <a:xfrm>
          <a:off x="3048000" y="57150"/>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77AA5535-C901-4AEA-BC50-08195F0392A4}" type="TxLink">
            <a:rPr lang="en-US" sz="1100" b="1" i="0" u="none" strike="noStrike">
              <a:solidFill>
                <a:schemeClr val="bg1"/>
              </a:solidFill>
              <a:latin typeface="Segoe UI Semilight"/>
              <a:cs typeface="Segoe UI Semilight"/>
              <a:sym typeface="Webdings" panose="05030102010509060703" pitchFamily="18" charset="2"/>
            </a:rPr>
            <a:pPr algn="ctr"/>
            <a:t>
Menu</a:t>
          </a:fld>
          <a:endParaRPr lang="en-US" sz="1400" b="1">
            <a:solidFill>
              <a:schemeClr val="bg1"/>
            </a:solidFill>
          </a:endParaRPr>
        </a:p>
      </xdr:txBody>
    </xdr:sp>
    <xdr:clientData/>
  </xdr:twoCellAnchor>
  <xdr:twoCellAnchor editAs="oneCell">
    <xdr:from>
      <xdr:col>2</xdr:col>
      <xdr:colOff>4966189</xdr:colOff>
      <xdr:row>0</xdr:row>
      <xdr:rowOff>57150</xdr:rowOff>
    </xdr:from>
    <xdr:to>
      <xdr:col>3</xdr:col>
      <xdr:colOff>693139</xdr:colOff>
      <xdr:row>0</xdr:row>
      <xdr:rowOff>525150</xdr:rowOff>
    </xdr:to>
    <xdr:sp macro="" textlink="Lang_Button_Results">
      <xdr:nvSpPr>
        <xdr:cNvPr id="3" name="TextBox 2">
          <a:hlinkClick xmlns:r="http://schemas.openxmlformats.org/officeDocument/2006/relationships" r:id="rId2"/>
          <a:extLst>
            <a:ext uri="{FF2B5EF4-FFF2-40B4-BE49-F238E27FC236}">
              <a16:creationId xmlns:a16="http://schemas.microsoft.com/office/drawing/2014/main" id="{396BB1CE-913D-46BE-B32F-9DAA5867E1B6}"/>
            </a:ext>
          </a:extLst>
        </xdr:cNvPr>
        <xdr:cNvSpPr txBox="1">
          <a:spLocks noChangeAspect="1"/>
        </xdr:cNvSpPr>
      </xdr:nvSpPr>
      <xdr:spPr>
        <a:xfrm>
          <a:off x="5442439" y="57150"/>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1DDEB226-4AA3-4B7D-80B1-7A44096B3D72}" type="TxLink">
            <a:rPr lang="en-US" sz="1100" b="1" i="0" u="none" strike="noStrike">
              <a:solidFill>
                <a:schemeClr val="bg1"/>
              </a:solidFill>
              <a:latin typeface="Segoe UI Semilight"/>
              <a:cs typeface="Segoe UI Semilight"/>
              <a:sym typeface="Webdings" panose="05030102010509060703" pitchFamily="18" charset="2"/>
            </a:rPr>
            <a:pPr algn="ctr"/>
            <a:t>
Results</a:t>
          </a:fld>
          <a:endParaRPr lang="en-US" sz="1400" b="1">
            <a:solidFill>
              <a:schemeClr val="bg1"/>
            </a:solidFill>
          </a:endParaRPr>
        </a:p>
      </xdr:txBody>
    </xdr:sp>
    <xdr:clientData/>
  </xdr:twoCellAnchor>
  <xdr:twoCellAnchor editAs="oneCell">
    <xdr:from>
      <xdr:col>3</xdr:col>
      <xdr:colOff>809625</xdr:colOff>
      <xdr:row>0</xdr:row>
      <xdr:rowOff>57150</xdr:rowOff>
    </xdr:from>
    <xdr:to>
      <xdr:col>4</xdr:col>
      <xdr:colOff>879976</xdr:colOff>
      <xdr:row>0</xdr:row>
      <xdr:rowOff>525150</xdr:rowOff>
    </xdr:to>
    <xdr:sp macro="" textlink="Lang_Button_Help">
      <xdr:nvSpPr>
        <xdr:cNvPr id="5" name="TextBox 4">
          <a:hlinkClick xmlns:r="http://schemas.openxmlformats.org/officeDocument/2006/relationships" r:id="rId3"/>
          <a:extLst>
            <a:ext uri="{FF2B5EF4-FFF2-40B4-BE49-F238E27FC236}">
              <a16:creationId xmlns:a16="http://schemas.microsoft.com/office/drawing/2014/main" id="{BCC60634-91E8-430F-86F3-2D0E2E7E77E5}"/>
            </a:ext>
          </a:extLst>
        </xdr:cNvPr>
        <xdr:cNvSpPr txBox="1">
          <a:spLocks noChangeAspect="1"/>
        </xdr:cNvSpPr>
      </xdr:nvSpPr>
      <xdr:spPr>
        <a:xfrm>
          <a:off x="6638925" y="57150"/>
          <a:ext cx="1080001"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18FBDEDA-13E2-4F90-B650-8BD7517C7294}" type="TxLink">
            <a:rPr lang="en-US" sz="1100" b="1" i="0" u="none" strike="noStrike">
              <a:solidFill>
                <a:schemeClr val="bg1"/>
              </a:solidFill>
              <a:latin typeface="Segoe UI Semilight"/>
              <a:cs typeface="Segoe UI Semilight"/>
              <a:sym typeface="Webdings" panose="05030102010509060703" pitchFamily="18" charset="2"/>
            </a:rPr>
            <a:pPr algn="ctr"/>
            <a:t>
Help</a:t>
          </a:fld>
          <a:endParaRPr lang="en-US" sz="1400" b="1">
            <a:solidFill>
              <a:schemeClr val="bg1"/>
            </a:solidFill>
          </a:endParaRPr>
        </a:p>
      </xdr:txBody>
    </xdr:sp>
    <xdr:clientData/>
  </xdr:twoCellAnchor>
  <xdr:twoCellAnchor editAs="oneCell">
    <xdr:from>
      <xdr:col>2</xdr:col>
      <xdr:colOff>3768237</xdr:colOff>
      <xdr:row>0</xdr:row>
      <xdr:rowOff>57150</xdr:rowOff>
    </xdr:from>
    <xdr:to>
      <xdr:col>2</xdr:col>
      <xdr:colOff>4849702</xdr:colOff>
      <xdr:row>0</xdr:row>
      <xdr:rowOff>525150</xdr:rowOff>
    </xdr:to>
    <xdr:sp macro="" textlink="Lang_Button_NextPage">
      <xdr:nvSpPr>
        <xdr:cNvPr id="6" name="TextBox 5">
          <a:hlinkClick xmlns:r="http://schemas.openxmlformats.org/officeDocument/2006/relationships" r:id="rId4"/>
          <a:extLst>
            <a:ext uri="{FF2B5EF4-FFF2-40B4-BE49-F238E27FC236}">
              <a16:creationId xmlns:a16="http://schemas.microsoft.com/office/drawing/2014/main" id="{A1902333-4C33-449A-BCF5-31771974BDCF}"/>
            </a:ext>
          </a:extLst>
        </xdr:cNvPr>
        <xdr:cNvSpPr txBox="1">
          <a:spLocks noChangeAspect="1"/>
        </xdr:cNvSpPr>
      </xdr:nvSpPr>
      <xdr:spPr>
        <a:xfrm>
          <a:off x="4244487" y="57150"/>
          <a:ext cx="1081465"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9689EA2C-31CA-41E1-896B-F3579F2053DD}" type="TxLink">
            <a:rPr lang="en-US" sz="1100" b="1" i="0" u="none" strike="noStrike">
              <a:solidFill>
                <a:schemeClr val="bg1"/>
              </a:solidFill>
              <a:latin typeface="Segoe UI Semilight"/>
              <a:cs typeface="Segoe UI Semilight"/>
              <a:sym typeface="Webdings" panose="05030102010509060703" pitchFamily="18" charset="2"/>
            </a:rPr>
            <a:pPr algn="ctr"/>
            <a:t>
Next Page</a:t>
          </a:fld>
          <a:endParaRPr lang="en-US" sz="1400" b="1">
            <a:solidFill>
              <a:schemeClr val="bg1"/>
            </a:solidFill>
          </a:endParaRPr>
        </a:p>
      </xdr:txBody>
    </xdr:sp>
    <xdr:clientData/>
  </xdr:twoCellAnchor>
  <xdr:twoCellAnchor editAs="oneCell">
    <xdr:from>
      <xdr:col>6</xdr:col>
      <xdr:colOff>695325</xdr:colOff>
      <xdr:row>165</xdr:row>
      <xdr:rowOff>114300</xdr:rowOff>
    </xdr:from>
    <xdr:to>
      <xdr:col>7</xdr:col>
      <xdr:colOff>594224</xdr:colOff>
      <xdr:row>168</xdr:row>
      <xdr:rowOff>10799</xdr:rowOff>
    </xdr:to>
    <xdr:sp macro="" textlink="Lang_Button_NextItem">
      <xdr:nvSpPr>
        <xdr:cNvPr id="8" name="TextBox 7">
          <a:hlinkClick xmlns:r="http://schemas.openxmlformats.org/officeDocument/2006/relationships" r:id="rId4"/>
          <a:extLst>
            <a:ext uri="{FF2B5EF4-FFF2-40B4-BE49-F238E27FC236}">
              <a16:creationId xmlns:a16="http://schemas.microsoft.com/office/drawing/2014/main" id="{AFE79E63-5032-4E35-9B80-869F9C92724A}"/>
            </a:ext>
          </a:extLst>
        </xdr:cNvPr>
        <xdr:cNvSpPr txBox="1">
          <a:spLocks noChangeAspect="1"/>
        </xdr:cNvSpPr>
      </xdr:nvSpPr>
      <xdr:spPr>
        <a:xfrm>
          <a:off x="9544050" y="34632900"/>
          <a:ext cx="1079999" cy="467999"/>
        </a:xfrm>
        <a:prstGeom prst="rect">
          <a:avLst/>
        </a:prstGeom>
        <a:solidFill>
          <a:schemeClr val="accent2"/>
        </a:solidFill>
        <a:ln w="38100">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6962AE13-34F8-4AED-82D7-AC40FD18B373}" type="TxLink">
            <a:rPr lang="en-US" sz="1100" b="1" i="0" u="none" strike="noStrike">
              <a:solidFill>
                <a:schemeClr val="bg1"/>
              </a:solidFill>
              <a:latin typeface="Segoe UI Semilight"/>
              <a:cs typeface="Segoe UI Semilight"/>
              <a:sym typeface="Webdings" panose="05030102010509060703" pitchFamily="18" charset="2"/>
            </a:rPr>
            <a:pPr algn="ctr"/>
            <a:t>
Next Item</a:t>
          </a:fld>
          <a:endParaRPr lang="en-US" sz="1400" b="1">
            <a:solidFill>
              <a:schemeClr val="bg1"/>
            </a:solidFill>
          </a:endParaRPr>
        </a:p>
      </xdr:txBody>
    </xdr:sp>
    <xdr:clientData/>
  </xdr:twoCellAnchor>
  <xdr:twoCellAnchor editAs="oneCell">
    <xdr:from>
      <xdr:col>3</xdr:col>
      <xdr:colOff>66675</xdr:colOff>
      <xdr:row>7</xdr:row>
      <xdr:rowOff>952499</xdr:rowOff>
    </xdr:from>
    <xdr:to>
      <xdr:col>3</xdr:col>
      <xdr:colOff>885825</xdr:colOff>
      <xdr:row>7</xdr:row>
      <xdr:rowOff>2107405</xdr:rowOff>
    </xdr:to>
    <xdr:sp macro="" textlink="Lang_InputHere">
      <xdr:nvSpPr>
        <xdr:cNvPr id="10" name="Arrow: Down 9">
          <a:extLst>
            <a:ext uri="{FF2B5EF4-FFF2-40B4-BE49-F238E27FC236}">
              <a16:creationId xmlns:a16="http://schemas.microsoft.com/office/drawing/2014/main" id="{6A048792-48D3-4FA2-B90C-97971175AA75}"/>
            </a:ext>
          </a:extLst>
        </xdr:cNvPr>
        <xdr:cNvSpPr/>
      </xdr:nvSpPr>
      <xdr:spPr>
        <a:xfrm>
          <a:off x="5895975" y="3771899"/>
          <a:ext cx="819150" cy="1402556"/>
        </a:xfrm>
        <a:prstGeom prst="down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lIns="3600" tIns="3600" rIns="3600" bIns="3600" rtlCol="0" anchor="ctr"/>
        <a:lstStyle/>
        <a:p>
          <a:pPr algn="ctr"/>
          <a:fld id="{797229F7-68F9-4B66-8EBA-6A44A2A4EA4F}" type="TxLink">
            <a:rPr lang="en-US" altLang="ja-JP" sz="1100" b="1" i="0" u="none" strike="noStrike">
              <a:solidFill>
                <a:schemeClr val="bg1"/>
              </a:solidFill>
              <a:latin typeface="+mj-lt"/>
              <a:cs typeface="Segoe UI Semilight"/>
            </a:rPr>
            <a:pPr algn="ctr"/>
            <a:t>Input Here</a:t>
          </a:fld>
          <a:endParaRPr lang="en-US" sz="1400" b="1">
            <a:solidFill>
              <a:schemeClr val="bg1"/>
            </a:solidFill>
            <a:latin typeface="+mj-lt"/>
          </a:endParaRPr>
        </a:p>
      </xdr:txBody>
    </xdr:sp>
    <xdr:clientData/>
  </xdr:twoCellAnchor>
  <xdr:twoCellAnchor editAs="oneCell">
    <xdr:from>
      <xdr:col>6</xdr:col>
      <xdr:colOff>799367</xdr:colOff>
      <xdr:row>7</xdr:row>
      <xdr:rowOff>904875</xdr:rowOff>
    </xdr:from>
    <xdr:to>
      <xdr:col>7</xdr:col>
      <xdr:colOff>438150</xdr:colOff>
      <xdr:row>7</xdr:row>
      <xdr:rowOff>2181225</xdr:rowOff>
    </xdr:to>
    <xdr:sp macro="" textlink="Lang_InputHere">
      <xdr:nvSpPr>
        <xdr:cNvPr id="11" name="Arrow: Down 10">
          <a:extLst>
            <a:ext uri="{FF2B5EF4-FFF2-40B4-BE49-F238E27FC236}">
              <a16:creationId xmlns:a16="http://schemas.microsoft.com/office/drawing/2014/main" id="{FE7FC546-DADC-4EEB-AE5C-EC7AB6788151}"/>
            </a:ext>
          </a:extLst>
        </xdr:cNvPr>
        <xdr:cNvSpPr/>
      </xdr:nvSpPr>
      <xdr:spPr>
        <a:xfrm>
          <a:off x="9543317" y="3724275"/>
          <a:ext cx="819883" cy="1600200"/>
        </a:xfrm>
        <a:prstGeom prst="down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lIns="3600" tIns="3600" rIns="3600" bIns="3600" rtlCol="0" anchor="ctr"/>
        <a:lstStyle/>
        <a:p>
          <a:pPr algn="ctr"/>
          <a:fld id="{E8A491D4-2DBA-4F7E-BCE9-2BE36DD6798C}" type="TxLink">
            <a:rPr lang="en-US" altLang="ja-JP" sz="1100" b="1" i="0" u="none" strike="noStrike">
              <a:solidFill>
                <a:schemeClr val="bg1"/>
              </a:solidFill>
              <a:latin typeface="+mj-lt"/>
              <a:cs typeface="Segoe UI Semilight"/>
            </a:rPr>
            <a:pPr algn="ctr"/>
            <a:t>Input Here</a:t>
          </a:fld>
          <a:endParaRPr lang="en-US" sz="1400" b="1">
            <a:solidFill>
              <a:schemeClr val="bg1"/>
            </a:solidFill>
            <a:latin typeface="+mj-lt"/>
          </a:endParaRPr>
        </a:p>
      </xdr:txBody>
    </xdr:sp>
    <xdr:clientData/>
  </xdr:twoCellAnchor>
  <xdr:twoCellAnchor>
    <xdr:from>
      <xdr:col>2</xdr:col>
      <xdr:colOff>228600</xdr:colOff>
      <xdr:row>1</xdr:row>
      <xdr:rowOff>123825</xdr:rowOff>
    </xdr:from>
    <xdr:to>
      <xdr:col>2</xdr:col>
      <xdr:colOff>4371001</xdr:colOff>
      <xdr:row>1</xdr:row>
      <xdr:rowOff>1113825</xdr:rowOff>
    </xdr:to>
    <xdr:grpSp>
      <xdr:nvGrpSpPr>
        <xdr:cNvPr id="15" name="Group 14">
          <a:extLst>
            <a:ext uri="{FF2B5EF4-FFF2-40B4-BE49-F238E27FC236}">
              <a16:creationId xmlns:a16="http://schemas.microsoft.com/office/drawing/2014/main" id="{179FD5DD-788B-4589-895C-2438CC0B82A6}"/>
            </a:ext>
          </a:extLst>
        </xdr:cNvPr>
        <xdr:cNvGrpSpPr/>
      </xdr:nvGrpSpPr>
      <xdr:grpSpPr>
        <a:xfrm>
          <a:off x="704850" y="695325"/>
          <a:ext cx="4142401" cy="990000"/>
          <a:chOff x="438150" y="638174"/>
          <a:chExt cx="4142401" cy="990000"/>
        </a:xfrm>
      </xdr:grpSpPr>
      <xdr:pic>
        <xdr:nvPicPr>
          <xdr:cNvPr id="16" name="Picture 15">
            <a:extLst>
              <a:ext uri="{FF2B5EF4-FFF2-40B4-BE49-F238E27FC236}">
                <a16:creationId xmlns:a16="http://schemas.microsoft.com/office/drawing/2014/main" id="{5F647B2B-7597-4960-8747-BF6CAAD8B23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38150" y="771525"/>
            <a:ext cx="2390775" cy="735910"/>
          </a:xfrm>
          <a:prstGeom prst="rect">
            <a:avLst/>
          </a:prstGeom>
        </xdr:spPr>
      </xdr:pic>
      <xdr:pic>
        <xdr:nvPicPr>
          <xdr:cNvPr id="17" name="Picture 16">
            <a:extLst>
              <a:ext uri="{FF2B5EF4-FFF2-40B4-BE49-F238E27FC236}">
                <a16:creationId xmlns:a16="http://schemas.microsoft.com/office/drawing/2014/main" id="{1CB831BB-E5AD-44F0-96A9-615D03DB8D35}"/>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971800" y="638174"/>
            <a:ext cx="1608751" cy="990000"/>
          </a:xfrm>
          <a:prstGeom prst="rect">
            <a:avLst/>
          </a:prstGeom>
        </xdr:spPr>
      </xdr:pic>
    </xdr:grpSp>
    <xdr:clientData/>
  </xdr:twoCellAnchor>
  <xdr:twoCellAnchor editAs="oneCell">
    <xdr:from>
      <xdr:col>9</xdr:col>
      <xdr:colOff>66675</xdr:colOff>
      <xdr:row>1</xdr:row>
      <xdr:rowOff>19050</xdr:rowOff>
    </xdr:from>
    <xdr:to>
      <xdr:col>10</xdr:col>
      <xdr:colOff>200025</xdr:colOff>
      <xdr:row>1</xdr:row>
      <xdr:rowOff>1247775</xdr:rowOff>
    </xdr:to>
    <xdr:pic>
      <xdr:nvPicPr>
        <xdr:cNvPr id="12" name="Picture 11">
          <a:extLst>
            <a:ext uri="{FF2B5EF4-FFF2-40B4-BE49-F238E27FC236}">
              <a16:creationId xmlns:a16="http://schemas.microsoft.com/office/drawing/2014/main" id="{DA2382EF-B3AC-42B8-8604-72178445CE32}"/>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xdr:blipFill>
      <xdr:spPr>
        <a:xfrm>
          <a:off x="12268200" y="590550"/>
          <a:ext cx="1228725" cy="1228725"/>
        </a:xfrm>
        <a:prstGeom prst="rect">
          <a:avLst/>
        </a:prstGeom>
      </xdr:spPr>
    </xdr:pic>
    <xdr:clientData/>
  </xdr:twoCellAnchor>
  <xdr:twoCellAnchor editAs="oneCell">
    <xdr:from>
      <xdr:col>2</xdr:col>
      <xdr:colOff>4524375</xdr:colOff>
      <xdr:row>1</xdr:row>
      <xdr:rowOff>210145</xdr:rowOff>
    </xdr:from>
    <xdr:to>
      <xdr:col>5</xdr:col>
      <xdr:colOff>132993</xdr:colOff>
      <xdr:row>1</xdr:row>
      <xdr:rowOff>1162526</xdr:rowOff>
    </xdr:to>
    <xdr:pic>
      <xdr:nvPicPr>
        <xdr:cNvPr id="13" name="Picture 12">
          <a:extLst>
            <a:ext uri="{FF2B5EF4-FFF2-40B4-BE49-F238E27FC236}">
              <a16:creationId xmlns:a16="http://schemas.microsoft.com/office/drawing/2014/main" id="{6001998E-5341-460B-9811-F4624786ECFB}"/>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5000625" y="781645"/>
          <a:ext cx="2857143" cy="95238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1533525</xdr:colOff>
      <xdr:row>0</xdr:row>
      <xdr:rowOff>54823</xdr:rowOff>
    </xdr:from>
    <xdr:to>
      <xdr:col>2</xdr:col>
      <xdr:colOff>2613525</xdr:colOff>
      <xdr:row>0</xdr:row>
      <xdr:rowOff>522823</xdr:rowOff>
    </xdr:to>
    <xdr:sp macro="" textlink="Lang_Button_Menu">
      <xdr:nvSpPr>
        <xdr:cNvPr id="2" name="TextBox 1">
          <a:hlinkClick xmlns:r="http://schemas.openxmlformats.org/officeDocument/2006/relationships" r:id="rId1"/>
          <a:extLst>
            <a:ext uri="{FF2B5EF4-FFF2-40B4-BE49-F238E27FC236}">
              <a16:creationId xmlns:a16="http://schemas.microsoft.com/office/drawing/2014/main" id="{80D4603F-D4C0-49A1-923F-4167A4329657}"/>
            </a:ext>
          </a:extLst>
        </xdr:cNvPr>
        <xdr:cNvSpPr txBox="1">
          <a:spLocks noChangeAspect="1"/>
        </xdr:cNvSpPr>
      </xdr:nvSpPr>
      <xdr:spPr>
        <a:xfrm>
          <a:off x="2333625" y="54823"/>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9E27A353-39AC-4794-8CE4-CD38F2E117D9}" type="TxLink">
            <a:rPr lang="en-US" sz="1100" b="1" i="0" u="none" strike="noStrike">
              <a:solidFill>
                <a:schemeClr val="bg1"/>
              </a:solidFill>
              <a:latin typeface="Segoe UI Semilight"/>
              <a:cs typeface="Segoe UI Semilight"/>
              <a:sym typeface="Webdings" panose="05030102010509060703" pitchFamily="18" charset="2"/>
            </a:rPr>
            <a:pPr algn="ctr"/>
            <a:t>
Menu</a:t>
          </a:fld>
          <a:endParaRPr lang="en-US" sz="1400" b="1">
            <a:solidFill>
              <a:schemeClr val="bg1"/>
            </a:solidFill>
          </a:endParaRPr>
        </a:p>
      </xdr:txBody>
    </xdr:sp>
    <xdr:clientData/>
  </xdr:twoCellAnchor>
  <xdr:twoCellAnchor editAs="oneCell">
    <xdr:from>
      <xdr:col>3</xdr:col>
      <xdr:colOff>962551</xdr:colOff>
      <xdr:row>0</xdr:row>
      <xdr:rowOff>54823</xdr:rowOff>
    </xdr:from>
    <xdr:to>
      <xdr:col>4</xdr:col>
      <xdr:colOff>547126</xdr:colOff>
      <xdr:row>0</xdr:row>
      <xdr:rowOff>522823</xdr:rowOff>
    </xdr:to>
    <xdr:sp macro="" textlink="Lang_Button_Results">
      <xdr:nvSpPr>
        <xdr:cNvPr id="3" name="TextBox 2">
          <a:hlinkClick xmlns:r="http://schemas.openxmlformats.org/officeDocument/2006/relationships" r:id="rId2"/>
          <a:extLst>
            <a:ext uri="{FF2B5EF4-FFF2-40B4-BE49-F238E27FC236}">
              <a16:creationId xmlns:a16="http://schemas.microsoft.com/office/drawing/2014/main" id="{A650D302-93B3-4F9C-B91D-4DCFD9E6FB1E}"/>
            </a:ext>
          </a:extLst>
        </xdr:cNvPr>
        <xdr:cNvSpPr txBox="1">
          <a:spLocks noChangeAspect="1"/>
        </xdr:cNvSpPr>
      </xdr:nvSpPr>
      <xdr:spPr>
        <a:xfrm>
          <a:off x="5782201" y="54823"/>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006C74F9-0926-46AD-9B46-F7F92AAB35A4}" type="TxLink">
            <a:rPr lang="en-US" sz="1100" b="1" i="0" u="none" strike="noStrike">
              <a:solidFill>
                <a:schemeClr val="bg1"/>
              </a:solidFill>
              <a:latin typeface="Segoe UI Semilight"/>
              <a:cs typeface="Segoe UI Semilight"/>
              <a:sym typeface="Webdings" panose="05030102010509060703" pitchFamily="18" charset="2"/>
            </a:rPr>
            <a:pPr algn="ctr"/>
            <a:t>
Results</a:t>
          </a:fld>
          <a:endParaRPr lang="en-US" sz="1400" b="1">
            <a:solidFill>
              <a:schemeClr val="bg1"/>
            </a:solidFill>
          </a:endParaRPr>
        </a:p>
      </xdr:txBody>
    </xdr:sp>
    <xdr:clientData/>
  </xdr:twoCellAnchor>
  <xdr:twoCellAnchor editAs="oneCell">
    <xdr:from>
      <xdr:col>4</xdr:col>
      <xdr:colOff>638175</xdr:colOff>
      <xdr:row>0</xdr:row>
      <xdr:rowOff>54823</xdr:rowOff>
    </xdr:from>
    <xdr:to>
      <xdr:col>5</xdr:col>
      <xdr:colOff>222750</xdr:colOff>
      <xdr:row>0</xdr:row>
      <xdr:rowOff>522823</xdr:rowOff>
    </xdr:to>
    <xdr:sp macro="" textlink="Lang_Button_Help">
      <xdr:nvSpPr>
        <xdr:cNvPr id="5" name="TextBox 4">
          <a:hlinkClick xmlns:r="http://schemas.openxmlformats.org/officeDocument/2006/relationships" r:id="rId3"/>
          <a:extLst>
            <a:ext uri="{FF2B5EF4-FFF2-40B4-BE49-F238E27FC236}">
              <a16:creationId xmlns:a16="http://schemas.microsoft.com/office/drawing/2014/main" id="{79D53DDA-1F3B-483F-9EA5-F843CD3E2D6D}"/>
            </a:ext>
          </a:extLst>
        </xdr:cNvPr>
        <xdr:cNvSpPr txBox="1">
          <a:spLocks noChangeAspect="1"/>
        </xdr:cNvSpPr>
      </xdr:nvSpPr>
      <xdr:spPr>
        <a:xfrm>
          <a:off x="6953250" y="54823"/>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4CBDCB5A-DEA1-47A9-AF3B-C2016F225B60}" type="TxLink">
            <a:rPr lang="en-US" sz="1100" b="1" i="0" u="none" strike="noStrike">
              <a:solidFill>
                <a:schemeClr val="bg1"/>
              </a:solidFill>
              <a:latin typeface="Segoe UI Semilight"/>
              <a:cs typeface="Segoe UI Semilight"/>
              <a:sym typeface="Webdings" panose="05030102010509060703" pitchFamily="18" charset="2"/>
            </a:rPr>
            <a:pPr algn="ctr"/>
            <a:t>
Help</a:t>
          </a:fld>
          <a:endParaRPr lang="en-US" sz="1400" b="1">
            <a:solidFill>
              <a:schemeClr val="bg1"/>
            </a:solidFill>
          </a:endParaRPr>
        </a:p>
      </xdr:txBody>
    </xdr:sp>
    <xdr:clientData/>
  </xdr:twoCellAnchor>
  <xdr:twoCellAnchor editAs="oneCell">
    <xdr:from>
      <xdr:col>2</xdr:col>
      <xdr:colOff>3811053</xdr:colOff>
      <xdr:row>0</xdr:row>
      <xdr:rowOff>54823</xdr:rowOff>
    </xdr:from>
    <xdr:to>
      <xdr:col>3</xdr:col>
      <xdr:colOff>871503</xdr:colOff>
      <xdr:row>0</xdr:row>
      <xdr:rowOff>522823</xdr:rowOff>
    </xdr:to>
    <xdr:sp macro="" textlink="Lang_Button_NextPage">
      <xdr:nvSpPr>
        <xdr:cNvPr id="6" name="TextBox 5">
          <a:hlinkClick xmlns:r="http://schemas.openxmlformats.org/officeDocument/2006/relationships" r:id="rId4"/>
          <a:extLst>
            <a:ext uri="{FF2B5EF4-FFF2-40B4-BE49-F238E27FC236}">
              <a16:creationId xmlns:a16="http://schemas.microsoft.com/office/drawing/2014/main" id="{7F99CA8D-64AA-403C-BA70-CB2D08C50494}"/>
            </a:ext>
          </a:extLst>
        </xdr:cNvPr>
        <xdr:cNvSpPr txBox="1">
          <a:spLocks noChangeAspect="1"/>
        </xdr:cNvSpPr>
      </xdr:nvSpPr>
      <xdr:spPr>
        <a:xfrm>
          <a:off x="4611153" y="54823"/>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DCB24EF1-0B13-4293-A865-4F9A03FBF0EE}" type="TxLink">
            <a:rPr lang="en-US" sz="1100" b="1" i="0" u="none" strike="noStrike">
              <a:solidFill>
                <a:schemeClr val="bg1"/>
              </a:solidFill>
              <a:latin typeface="Segoe UI Semilight"/>
              <a:cs typeface="Segoe UI Semilight"/>
              <a:sym typeface="Webdings" panose="05030102010509060703" pitchFamily="18" charset="2"/>
            </a:rPr>
            <a:pPr algn="ctr"/>
            <a:t>
Next Page</a:t>
          </a:fld>
          <a:endParaRPr lang="en-US" sz="1400" b="1">
            <a:solidFill>
              <a:schemeClr val="bg1"/>
            </a:solidFill>
          </a:endParaRPr>
        </a:p>
      </xdr:txBody>
    </xdr:sp>
    <xdr:clientData/>
  </xdr:twoCellAnchor>
  <xdr:twoCellAnchor editAs="oneCell">
    <xdr:from>
      <xdr:col>9</xdr:col>
      <xdr:colOff>56736</xdr:colOff>
      <xdr:row>84</xdr:row>
      <xdr:rowOff>74958</xdr:rowOff>
    </xdr:from>
    <xdr:to>
      <xdr:col>10</xdr:col>
      <xdr:colOff>69936</xdr:colOff>
      <xdr:row>85</xdr:row>
      <xdr:rowOff>384761</xdr:rowOff>
    </xdr:to>
    <xdr:sp macro="" textlink="Lang_Button_NextItem">
      <xdr:nvSpPr>
        <xdr:cNvPr id="7" name="TextBox 6">
          <a:hlinkClick xmlns:r="http://schemas.openxmlformats.org/officeDocument/2006/relationships" r:id="rId4"/>
          <a:extLst>
            <a:ext uri="{FF2B5EF4-FFF2-40B4-BE49-F238E27FC236}">
              <a16:creationId xmlns:a16="http://schemas.microsoft.com/office/drawing/2014/main" id="{1CF3CE51-5B20-41BB-A8FE-4408F79218DD}"/>
            </a:ext>
          </a:extLst>
        </xdr:cNvPr>
        <xdr:cNvSpPr txBox="1">
          <a:spLocks noChangeAspect="1"/>
        </xdr:cNvSpPr>
      </xdr:nvSpPr>
      <xdr:spPr>
        <a:xfrm>
          <a:off x="13848936" y="18382008"/>
          <a:ext cx="1080000" cy="471728"/>
        </a:xfrm>
        <a:prstGeom prst="rect">
          <a:avLst/>
        </a:prstGeom>
        <a:solidFill>
          <a:schemeClr val="accent2"/>
        </a:solidFill>
        <a:ln w="38100">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05B84DA0-2C4F-445B-96BE-D3F6D7B1DFDF}" type="TxLink">
            <a:rPr lang="en-US" sz="1100" b="1" i="0" u="none" strike="noStrike">
              <a:solidFill>
                <a:schemeClr val="bg1"/>
              </a:solidFill>
              <a:latin typeface="Segoe UI Semilight"/>
              <a:cs typeface="Segoe UI Semilight"/>
              <a:sym typeface="Webdings" panose="05030102010509060703" pitchFamily="18" charset="2"/>
            </a:rPr>
            <a:pPr algn="ctr"/>
            <a:t>
Next Item</a:t>
          </a:fld>
          <a:endParaRPr lang="en-US" sz="1400" b="1">
            <a:solidFill>
              <a:schemeClr val="bg1"/>
            </a:solidFill>
          </a:endParaRPr>
        </a:p>
      </xdr:txBody>
    </xdr:sp>
    <xdr:clientData/>
  </xdr:twoCellAnchor>
  <xdr:twoCellAnchor editAs="oneCell">
    <xdr:from>
      <xdr:col>8</xdr:col>
      <xdr:colOff>1414713</xdr:colOff>
      <xdr:row>53</xdr:row>
      <xdr:rowOff>1705474</xdr:rowOff>
    </xdr:from>
    <xdr:to>
      <xdr:col>9</xdr:col>
      <xdr:colOff>910891</xdr:colOff>
      <xdr:row>56</xdr:row>
      <xdr:rowOff>24804</xdr:rowOff>
    </xdr:to>
    <xdr:sp macro="" textlink="Lang_InputHere">
      <xdr:nvSpPr>
        <xdr:cNvPr id="8" name="Arrow: Down 7">
          <a:extLst>
            <a:ext uri="{FF2B5EF4-FFF2-40B4-BE49-F238E27FC236}">
              <a16:creationId xmlns:a16="http://schemas.microsoft.com/office/drawing/2014/main" id="{051C1ECA-91DF-4F5A-923E-27C97DFC8C18}"/>
            </a:ext>
          </a:extLst>
        </xdr:cNvPr>
        <xdr:cNvSpPr/>
      </xdr:nvSpPr>
      <xdr:spPr>
        <a:xfrm rot="2700000">
          <a:off x="13795087" y="12889950"/>
          <a:ext cx="824405" cy="991603"/>
        </a:xfrm>
        <a:prstGeom prst="downArrow">
          <a:avLst/>
        </a:prstGeom>
        <a:solidFill>
          <a:srgbClr val="FF0000">
            <a:alpha val="69804"/>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lIns="3600" tIns="3600" rIns="3600" bIns="3600" rtlCol="0" anchor="ctr"/>
        <a:lstStyle/>
        <a:p>
          <a:pPr algn="ctr"/>
          <a:fld id="{BEC3B536-7768-45EA-A8F5-4C1A36AEF470}" type="TxLink">
            <a:rPr lang="en-US" altLang="ja-JP" sz="1100" b="1" i="0" u="none" strike="noStrike">
              <a:solidFill>
                <a:schemeClr val="bg1"/>
              </a:solidFill>
              <a:latin typeface="+mj-lt"/>
              <a:cs typeface="Segoe UI Semilight"/>
            </a:rPr>
            <a:pPr algn="ctr"/>
            <a:t>Input Here</a:t>
          </a:fld>
          <a:endParaRPr lang="en-US" sz="1400" b="1">
            <a:solidFill>
              <a:schemeClr val="bg1"/>
            </a:solidFill>
            <a:latin typeface="+mj-lt"/>
          </a:endParaRPr>
        </a:p>
      </xdr:txBody>
    </xdr:sp>
    <xdr:clientData/>
  </xdr:twoCellAnchor>
  <xdr:twoCellAnchor editAs="oneCell">
    <xdr:from>
      <xdr:col>2</xdr:col>
      <xdr:colOff>2704573</xdr:colOff>
      <xdr:row>0</xdr:row>
      <xdr:rowOff>54823</xdr:rowOff>
    </xdr:from>
    <xdr:to>
      <xdr:col>2</xdr:col>
      <xdr:colOff>3720005</xdr:colOff>
      <xdr:row>0</xdr:row>
      <xdr:rowOff>522823</xdr:rowOff>
    </xdr:to>
    <xdr:sp macro="" textlink="Lang_Button_NextItem">
      <xdr:nvSpPr>
        <xdr:cNvPr id="9" name="TextBox 8">
          <a:hlinkClick xmlns:r="http://schemas.openxmlformats.org/officeDocument/2006/relationships" r:id="rId5"/>
          <a:extLst>
            <a:ext uri="{FF2B5EF4-FFF2-40B4-BE49-F238E27FC236}">
              <a16:creationId xmlns:a16="http://schemas.microsoft.com/office/drawing/2014/main" id="{6E505E1D-2A2B-43CB-8AC6-B35B5389FA69}"/>
            </a:ext>
          </a:extLst>
        </xdr:cNvPr>
        <xdr:cNvSpPr txBox="1">
          <a:spLocks noChangeAspect="1"/>
        </xdr:cNvSpPr>
      </xdr:nvSpPr>
      <xdr:spPr>
        <a:xfrm>
          <a:off x="3504673" y="54823"/>
          <a:ext cx="1015432" cy="468000"/>
        </a:xfrm>
        <a:prstGeom prst="rect">
          <a:avLst/>
        </a:prstGeom>
        <a:solidFill>
          <a:schemeClr val="accent2"/>
        </a:solidFill>
        <a:ln w="38100">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2F9BB693-2289-427C-8527-05AD39032186}" type="TxLink">
            <a:rPr lang="en-US" sz="1100" b="1" i="0" u="none" strike="noStrike">
              <a:solidFill>
                <a:schemeClr val="bg1"/>
              </a:solidFill>
              <a:latin typeface="Segoe UI Semilight"/>
              <a:cs typeface="Segoe UI Semilight"/>
              <a:sym typeface="Webdings" panose="05030102010509060703" pitchFamily="18" charset="2"/>
            </a:rPr>
            <a:pPr algn="ctr"/>
            <a:t>
Next Item</a:t>
          </a:fld>
          <a:endParaRPr lang="en-US" sz="1400" b="1">
            <a:solidFill>
              <a:schemeClr val="bg1"/>
            </a:solidFill>
          </a:endParaRPr>
        </a:p>
      </xdr:txBody>
    </xdr:sp>
    <xdr:clientData/>
  </xdr:twoCellAnchor>
  <xdr:twoCellAnchor>
    <xdr:from>
      <xdr:col>1</xdr:col>
      <xdr:colOff>104775</xdr:colOff>
      <xdr:row>1</xdr:row>
      <xdr:rowOff>142875</xdr:rowOff>
    </xdr:from>
    <xdr:to>
      <xdr:col>2</xdr:col>
      <xdr:colOff>3637576</xdr:colOff>
      <xdr:row>1</xdr:row>
      <xdr:rowOff>1132875</xdr:rowOff>
    </xdr:to>
    <xdr:grpSp>
      <xdr:nvGrpSpPr>
        <xdr:cNvPr id="10" name="Group 9">
          <a:extLst>
            <a:ext uri="{FF2B5EF4-FFF2-40B4-BE49-F238E27FC236}">
              <a16:creationId xmlns:a16="http://schemas.microsoft.com/office/drawing/2014/main" id="{E911EB0A-8A50-4324-BC0C-E8262A3647C6}"/>
            </a:ext>
          </a:extLst>
        </xdr:cNvPr>
        <xdr:cNvGrpSpPr/>
      </xdr:nvGrpSpPr>
      <xdr:grpSpPr>
        <a:xfrm>
          <a:off x="285750" y="714375"/>
          <a:ext cx="4151926" cy="990000"/>
          <a:chOff x="438150" y="638174"/>
          <a:chExt cx="4142401" cy="990000"/>
        </a:xfrm>
      </xdr:grpSpPr>
      <xdr:pic>
        <xdr:nvPicPr>
          <xdr:cNvPr id="11" name="Picture 10">
            <a:extLst>
              <a:ext uri="{FF2B5EF4-FFF2-40B4-BE49-F238E27FC236}">
                <a16:creationId xmlns:a16="http://schemas.microsoft.com/office/drawing/2014/main" id="{0B6778A1-C749-466C-8CC0-E6E3EB5945FA}"/>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38150" y="771525"/>
            <a:ext cx="2390775" cy="735910"/>
          </a:xfrm>
          <a:prstGeom prst="rect">
            <a:avLst/>
          </a:prstGeom>
        </xdr:spPr>
      </xdr:pic>
      <xdr:pic>
        <xdr:nvPicPr>
          <xdr:cNvPr id="12" name="Picture 11">
            <a:extLst>
              <a:ext uri="{FF2B5EF4-FFF2-40B4-BE49-F238E27FC236}">
                <a16:creationId xmlns:a16="http://schemas.microsoft.com/office/drawing/2014/main" id="{D917B65F-3895-4F77-B9C7-657DA63A8013}"/>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971800" y="638174"/>
            <a:ext cx="1608751" cy="990000"/>
          </a:xfrm>
          <a:prstGeom prst="rect">
            <a:avLst/>
          </a:prstGeom>
        </xdr:spPr>
      </xdr:pic>
    </xdr:grpSp>
    <xdr:clientData/>
  </xdr:twoCellAnchor>
  <xdr:twoCellAnchor editAs="oneCell">
    <xdr:from>
      <xdr:col>10</xdr:col>
      <xdr:colOff>180975</xdr:colOff>
      <xdr:row>1</xdr:row>
      <xdr:rowOff>49531</xdr:rowOff>
    </xdr:from>
    <xdr:to>
      <xdr:col>10</xdr:col>
      <xdr:colOff>1320165</xdr:colOff>
      <xdr:row>1</xdr:row>
      <xdr:rowOff>1188721</xdr:rowOff>
    </xdr:to>
    <xdr:pic>
      <xdr:nvPicPr>
        <xdr:cNvPr id="13" name="Picture 12">
          <a:extLst>
            <a:ext uri="{FF2B5EF4-FFF2-40B4-BE49-F238E27FC236}">
              <a16:creationId xmlns:a16="http://schemas.microsoft.com/office/drawing/2014/main" id="{1B7EFB55-7641-42C9-87A5-2814E8086493}"/>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xdr:blipFill>
      <xdr:spPr>
        <a:xfrm>
          <a:off x="15039975" y="621031"/>
          <a:ext cx="1139190" cy="1139190"/>
        </a:xfrm>
        <a:prstGeom prst="rect">
          <a:avLst/>
        </a:prstGeom>
      </xdr:spPr>
    </xdr:pic>
    <xdr:clientData/>
  </xdr:twoCellAnchor>
  <xdr:twoCellAnchor editAs="oneCell">
    <xdr:from>
      <xdr:col>2</xdr:col>
      <xdr:colOff>3781425</xdr:colOff>
      <xdr:row>1</xdr:row>
      <xdr:rowOff>238720</xdr:rowOff>
    </xdr:from>
    <xdr:to>
      <xdr:col>4</xdr:col>
      <xdr:colOff>1123593</xdr:colOff>
      <xdr:row>1</xdr:row>
      <xdr:rowOff>1191101</xdr:rowOff>
    </xdr:to>
    <xdr:pic>
      <xdr:nvPicPr>
        <xdr:cNvPr id="14" name="Picture 13">
          <a:extLst>
            <a:ext uri="{FF2B5EF4-FFF2-40B4-BE49-F238E27FC236}">
              <a16:creationId xmlns:a16="http://schemas.microsoft.com/office/drawing/2014/main" id="{3359EC8A-F2FE-4686-949B-1EE1F68C7BBF}"/>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4581525" y="810220"/>
          <a:ext cx="2857143" cy="95238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1352550</xdr:colOff>
      <xdr:row>0</xdr:row>
      <xdr:rowOff>57150</xdr:rowOff>
    </xdr:from>
    <xdr:to>
      <xdr:col>3</xdr:col>
      <xdr:colOff>203700</xdr:colOff>
      <xdr:row>0</xdr:row>
      <xdr:rowOff>525150</xdr:rowOff>
    </xdr:to>
    <xdr:sp macro="" textlink="Lang_Button_Menu">
      <xdr:nvSpPr>
        <xdr:cNvPr id="3" name="TextBox 2">
          <a:hlinkClick xmlns:r="http://schemas.openxmlformats.org/officeDocument/2006/relationships" r:id="rId1"/>
          <a:extLst>
            <a:ext uri="{FF2B5EF4-FFF2-40B4-BE49-F238E27FC236}">
              <a16:creationId xmlns:a16="http://schemas.microsoft.com/office/drawing/2014/main" id="{E74C146D-9599-425D-A5ED-FFBD45BA5EAD}"/>
            </a:ext>
          </a:extLst>
        </xdr:cNvPr>
        <xdr:cNvSpPr txBox="1">
          <a:spLocks noChangeAspect="1"/>
        </xdr:cNvSpPr>
      </xdr:nvSpPr>
      <xdr:spPr>
        <a:xfrm>
          <a:off x="3238500" y="57150"/>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D2098A1D-5976-4A59-A3DE-5E84A45EA7C9}" type="TxLink">
            <a:rPr lang="en-US" sz="1100" b="1" i="0" u="none" strike="noStrike">
              <a:solidFill>
                <a:schemeClr val="bg1"/>
              </a:solidFill>
              <a:latin typeface="Segoe UI Semilight"/>
              <a:cs typeface="Segoe UI Semilight"/>
              <a:sym typeface="Webdings" panose="05030102010509060703" pitchFamily="18" charset="2"/>
            </a:rPr>
            <a:pPr algn="ctr"/>
            <a:t>
Menu</a:t>
          </a:fld>
          <a:endParaRPr lang="en-US" sz="1400" b="1">
            <a:solidFill>
              <a:schemeClr val="bg1"/>
            </a:solidFill>
          </a:endParaRPr>
        </a:p>
      </xdr:txBody>
    </xdr:sp>
    <xdr:clientData/>
  </xdr:twoCellAnchor>
  <xdr:twoCellAnchor editAs="oneCell">
    <xdr:from>
      <xdr:col>4</xdr:col>
      <xdr:colOff>971550</xdr:colOff>
      <xdr:row>0</xdr:row>
      <xdr:rowOff>57150</xdr:rowOff>
    </xdr:from>
    <xdr:to>
      <xdr:col>5</xdr:col>
      <xdr:colOff>146550</xdr:colOff>
      <xdr:row>0</xdr:row>
      <xdr:rowOff>525150</xdr:rowOff>
    </xdr:to>
    <xdr:sp macro="" textlink="Lang_Button_Results">
      <xdr:nvSpPr>
        <xdr:cNvPr id="4" name="TextBox 3">
          <a:hlinkClick xmlns:r="http://schemas.openxmlformats.org/officeDocument/2006/relationships" r:id="rId2"/>
          <a:extLst>
            <a:ext uri="{FF2B5EF4-FFF2-40B4-BE49-F238E27FC236}">
              <a16:creationId xmlns:a16="http://schemas.microsoft.com/office/drawing/2014/main" id="{0EF8DEBD-73A1-492F-852F-D562FA986099}"/>
            </a:ext>
          </a:extLst>
        </xdr:cNvPr>
        <xdr:cNvSpPr txBox="1">
          <a:spLocks noChangeAspect="1"/>
        </xdr:cNvSpPr>
      </xdr:nvSpPr>
      <xdr:spPr>
        <a:xfrm>
          <a:off x="5600700" y="57150"/>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AAF7A2D5-D84C-4DDD-9773-FEA9E7CA7736}" type="TxLink">
            <a:rPr lang="en-US" sz="1100" b="1" i="0" u="none" strike="noStrike">
              <a:solidFill>
                <a:schemeClr val="bg1"/>
              </a:solidFill>
              <a:latin typeface="Segoe UI Semilight"/>
              <a:cs typeface="Segoe UI Semilight"/>
              <a:sym typeface="Webdings" panose="05030102010509060703" pitchFamily="18" charset="2"/>
            </a:rPr>
            <a:pPr algn="ctr"/>
            <a:t>
Results</a:t>
          </a:fld>
          <a:endParaRPr lang="en-US" sz="1400" b="1">
            <a:solidFill>
              <a:schemeClr val="bg1"/>
            </a:solidFill>
          </a:endParaRPr>
        </a:p>
      </xdr:txBody>
    </xdr:sp>
    <xdr:clientData/>
  </xdr:twoCellAnchor>
  <xdr:twoCellAnchor editAs="oneCell">
    <xdr:from>
      <xdr:col>5</xdr:col>
      <xdr:colOff>247650</xdr:colOff>
      <xdr:row>0</xdr:row>
      <xdr:rowOff>57150</xdr:rowOff>
    </xdr:from>
    <xdr:to>
      <xdr:col>6</xdr:col>
      <xdr:colOff>308475</xdr:colOff>
      <xdr:row>0</xdr:row>
      <xdr:rowOff>525150</xdr:rowOff>
    </xdr:to>
    <xdr:sp macro="" textlink="Lang_Button_Help">
      <xdr:nvSpPr>
        <xdr:cNvPr id="6" name="TextBox 5">
          <a:hlinkClick xmlns:r="http://schemas.openxmlformats.org/officeDocument/2006/relationships" r:id="rId3"/>
          <a:extLst>
            <a:ext uri="{FF2B5EF4-FFF2-40B4-BE49-F238E27FC236}">
              <a16:creationId xmlns:a16="http://schemas.microsoft.com/office/drawing/2014/main" id="{990FB43F-28FE-4AEF-BA38-002411069BDC}"/>
            </a:ext>
          </a:extLst>
        </xdr:cNvPr>
        <xdr:cNvSpPr txBox="1">
          <a:spLocks noChangeAspect="1"/>
        </xdr:cNvSpPr>
      </xdr:nvSpPr>
      <xdr:spPr>
        <a:xfrm>
          <a:off x="6781800" y="57150"/>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5F428EE9-E1D8-4439-AA57-4CF8DDB20BFB}" type="TxLink">
            <a:rPr lang="en-US" sz="1100" b="1" i="0" u="none" strike="noStrike">
              <a:solidFill>
                <a:schemeClr val="bg1"/>
              </a:solidFill>
              <a:latin typeface="Segoe UI Semilight"/>
              <a:cs typeface="Segoe UI Semilight"/>
              <a:sym typeface="Webdings" panose="05030102010509060703" pitchFamily="18" charset="2"/>
            </a:rPr>
            <a:pPr algn="ctr"/>
            <a:t>
Help</a:t>
          </a:fld>
          <a:endParaRPr lang="en-US" sz="1400" b="1">
            <a:solidFill>
              <a:schemeClr val="bg1"/>
            </a:solidFill>
          </a:endParaRPr>
        </a:p>
      </xdr:txBody>
    </xdr:sp>
    <xdr:clientData/>
  </xdr:twoCellAnchor>
  <xdr:twoCellAnchor editAs="oneCell">
    <xdr:from>
      <xdr:col>3</xdr:col>
      <xdr:colOff>304800</xdr:colOff>
      <xdr:row>0</xdr:row>
      <xdr:rowOff>57150</xdr:rowOff>
    </xdr:from>
    <xdr:to>
      <xdr:col>4</xdr:col>
      <xdr:colOff>870450</xdr:colOff>
      <xdr:row>0</xdr:row>
      <xdr:rowOff>525150</xdr:rowOff>
    </xdr:to>
    <xdr:sp macro="" textlink="Lang_Button_NextPage">
      <xdr:nvSpPr>
        <xdr:cNvPr id="7" name="TextBox 6">
          <a:hlinkClick xmlns:r="http://schemas.openxmlformats.org/officeDocument/2006/relationships" r:id="rId4"/>
          <a:extLst>
            <a:ext uri="{FF2B5EF4-FFF2-40B4-BE49-F238E27FC236}">
              <a16:creationId xmlns:a16="http://schemas.microsoft.com/office/drawing/2014/main" id="{5B29E29C-21D8-4FED-99C1-1E194F797F0A}"/>
            </a:ext>
          </a:extLst>
        </xdr:cNvPr>
        <xdr:cNvSpPr txBox="1">
          <a:spLocks noChangeAspect="1"/>
        </xdr:cNvSpPr>
      </xdr:nvSpPr>
      <xdr:spPr>
        <a:xfrm>
          <a:off x="4419600" y="57150"/>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6F44D7D3-8EE3-4DF7-BF17-DDF0B45664D9}" type="TxLink">
            <a:rPr lang="en-US" sz="1100" b="1" i="0" u="none" strike="noStrike">
              <a:solidFill>
                <a:schemeClr val="bg1"/>
              </a:solidFill>
              <a:latin typeface="Segoe UI Semilight"/>
              <a:cs typeface="Segoe UI Semilight"/>
              <a:sym typeface="Webdings" panose="05030102010509060703" pitchFamily="18" charset="2"/>
            </a:rPr>
            <a:pPr algn="ctr"/>
            <a:t>
Next Page</a:t>
          </a:fld>
          <a:endParaRPr lang="en-US" sz="1400" b="1">
            <a:solidFill>
              <a:schemeClr val="bg1"/>
            </a:solidFill>
          </a:endParaRPr>
        </a:p>
      </xdr:txBody>
    </xdr:sp>
    <xdr:clientData/>
  </xdr:twoCellAnchor>
  <xdr:twoCellAnchor>
    <xdr:from>
      <xdr:col>0</xdr:col>
      <xdr:colOff>133350</xdr:colOff>
      <xdr:row>1</xdr:row>
      <xdr:rowOff>142875</xdr:rowOff>
    </xdr:from>
    <xdr:to>
      <xdr:col>2</xdr:col>
      <xdr:colOff>170476</xdr:colOff>
      <xdr:row>1</xdr:row>
      <xdr:rowOff>1132875</xdr:rowOff>
    </xdr:to>
    <xdr:grpSp>
      <xdr:nvGrpSpPr>
        <xdr:cNvPr id="8" name="Group 7">
          <a:extLst>
            <a:ext uri="{FF2B5EF4-FFF2-40B4-BE49-F238E27FC236}">
              <a16:creationId xmlns:a16="http://schemas.microsoft.com/office/drawing/2014/main" id="{462B84C4-0A89-4482-B39A-3A02C8DD0FFB}"/>
            </a:ext>
          </a:extLst>
        </xdr:cNvPr>
        <xdr:cNvGrpSpPr/>
      </xdr:nvGrpSpPr>
      <xdr:grpSpPr>
        <a:xfrm>
          <a:off x="133350" y="714375"/>
          <a:ext cx="3981450" cy="990000"/>
          <a:chOff x="438150" y="638174"/>
          <a:chExt cx="4142401" cy="990000"/>
        </a:xfrm>
      </xdr:grpSpPr>
      <xdr:pic>
        <xdr:nvPicPr>
          <xdr:cNvPr id="9" name="Picture 8">
            <a:extLst>
              <a:ext uri="{FF2B5EF4-FFF2-40B4-BE49-F238E27FC236}">
                <a16:creationId xmlns:a16="http://schemas.microsoft.com/office/drawing/2014/main" id="{BA78B33C-9C6A-4EFA-82BF-FFFE9A8FB96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38150" y="771525"/>
            <a:ext cx="2390775" cy="735910"/>
          </a:xfrm>
          <a:prstGeom prst="rect">
            <a:avLst/>
          </a:prstGeom>
        </xdr:spPr>
      </xdr:pic>
      <xdr:pic>
        <xdr:nvPicPr>
          <xdr:cNvPr id="10" name="Picture 9">
            <a:extLst>
              <a:ext uri="{FF2B5EF4-FFF2-40B4-BE49-F238E27FC236}">
                <a16:creationId xmlns:a16="http://schemas.microsoft.com/office/drawing/2014/main" id="{BC9E3228-E549-403F-BC1E-72E30D882BC8}"/>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971800" y="638174"/>
            <a:ext cx="1608751" cy="990000"/>
          </a:xfrm>
          <a:prstGeom prst="rect">
            <a:avLst/>
          </a:prstGeom>
        </xdr:spPr>
      </xdr:pic>
    </xdr:grpSp>
    <xdr:clientData/>
  </xdr:twoCellAnchor>
  <xdr:twoCellAnchor editAs="oneCell">
    <xdr:from>
      <xdr:col>12</xdr:col>
      <xdr:colOff>314325</xdr:colOff>
      <xdr:row>1</xdr:row>
      <xdr:rowOff>95250</xdr:rowOff>
    </xdr:from>
    <xdr:to>
      <xdr:col>16</xdr:col>
      <xdr:colOff>171450</xdr:colOff>
      <xdr:row>2</xdr:row>
      <xdr:rowOff>0</xdr:rowOff>
    </xdr:to>
    <xdr:pic>
      <xdr:nvPicPr>
        <xdr:cNvPr id="11" name="Picture 10">
          <a:extLst>
            <a:ext uri="{FF2B5EF4-FFF2-40B4-BE49-F238E27FC236}">
              <a16:creationId xmlns:a16="http://schemas.microsoft.com/office/drawing/2014/main" id="{AB161DF0-AB27-4B33-BB22-CAB99F8E5439}"/>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xdr:blipFill>
      <xdr:spPr>
        <a:xfrm>
          <a:off x="13982700" y="666750"/>
          <a:ext cx="1171575" cy="1171575"/>
        </a:xfrm>
        <a:prstGeom prst="rect">
          <a:avLst/>
        </a:prstGeom>
      </xdr:spPr>
    </xdr:pic>
    <xdr:clientData/>
  </xdr:twoCellAnchor>
  <xdr:twoCellAnchor editAs="oneCell">
    <xdr:from>
      <xdr:col>3</xdr:col>
      <xdr:colOff>104775</xdr:colOff>
      <xdr:row>1</xdr:row>
      <xdr:rowOff>229195</xdr:rowOff>
    </xdr:from>
    <xdr:to>
      <xdr:col>5</xdr:col>
      <xdr:colOff>542568</xdr:colOff>
      <xdr:row>1</xdr:row>
      <xdr:rowOff>1181576</xdr:rowOff>
    </xdr:to>
    <xdr:pic>
      <xdr:nvPicPr>
        <xdr:cNvPr id="12" name="Picture 11">
          <a:extLst>
            <a:ext uri="{FF2B5EF4-FFF2-40B4-BE49-F238E27FC236}">
              <a16:creationId xmlns:a16="http://schemas.microsoft.com/office/drawing/2014/main" id="{5F275369-4025-47BF-AF33-399D2C25B659}"/>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4219575" y="800695"/>
          <a:ext cx="2857143" cy="95238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3067671</xdr:colOff>
      <xdr:row>0</xdr:row>
      <xdr:rowOff>57150</xdr:rowOff>
    </xdr:from>
    <xdr:to>
      <xdr:col>2</xdr:col>
      <xdr:colOff>985371</xdr:colOff>
      <xdr:row>0</xdr:row>
      <xdr:rowOff>525150</xdr:rowOff>
    </xdr:to>
    <xdr:sp macro="" textlink="Lang_Button_Menu">
      <xdr:nvSpPr>
        <xdr:cNvPr id="3" name="TextBox 2">
          <a:hlinkClick xmlns:r="http://schemas.openxmlformats.org/officeDocument/2006/relationships" r:id="rId1"/>
          <a:extLst>
            <a:ext uri="{FF2B5EF4-FFF2-40B4-BE49-F238E27FC236}">
              <a16:creationId xmlns:a16="http://schemas.microsoft.com/office/drawing/2014/main" id="{143EA78D-021C-41D5-9C72-232BE5D9A2FD}"/>
            </a:ext>
          </a:extLst>
        </xdr:cNvPr>
        <xdr:cNvSpPr txBox="1">
          <a:spLocks noChangeAspect="1"/>
        </xdr:cNvSpPr>
      </xdr:nvSpPr>
      <xdr:spPr>
        <a:xfrm>
          <a:off x="3401046" y="57150"/>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08691129-1D93-4305-8DB2-D369A538D387}" type="TxLink">
            <a:rPr lang="en-US" sz="1100" b="1" i="0" u="none" strike="noStrike">
              <a:solidFill>
                <a:schemeClr val="bg1"/>
              </a:solidFill>
              <a:latin typeface="Segoe UI Semilight"/>
              <a:cs typeface="Segoe UI Semilight"/>
              <a:sym typeface="Webdings" panose="05030102010509060703" pitchFamily="18" charset="2"/>
            </a:rPr>
            <a:pPr algn="ctr"/>
            <a:t>
Menu</a:t>
          </a:fld>
          <a:endParaRPr lang="en-US" sz="1400" b="1">
            <a:solidFill>
              <a:schemeClr val="bg1"/>
            </a:solidFill>
          </a:endParaRPr>
        </a:p>
      </xdr:txBody>
    </xdr:sp>
    <xdr:clientData/>
  </xdr:twoCellAnchor>
  <xdr:twoCellAnchor editAs="oneCell">
    <xdr:from>
      <xdr:col>8</xdr:col>
      <xdr:colOff>106638</xdr:colOff>
      <xdr:row>0</xdr:row>
      <xdr:rowOff>57150</xdr:rowOff>
    </xdr:from>
    <xdr:to>
      <xdr:col>9</xdr:col>
      <xdr:colOff>193554</xdr:colOff>
      <xdr:row>0</xdr:row>
      <xdr:rowOff>525150</xdr:rowOff>
    </xdr:to>
    <xdr:sp macro="" textlink="Lang_Button_Results">
      <xdr:nvSpPr>
        <xdr:cNvPr id="4" name="TextBox 3">
          <a:hlinkClick xmlns:r="http://schemas.openxmlformats.org/officeDocument/2006/relationships" r:id="rId2"/>
          <a:extLst>
            <a:ext uri="{FF2B5EF4-FFF2-40B4-BE49-F238E27FC236}">
              <a16:creationId xmlns:a16="http://schemas.microsoft.com/office/drawing/2014/main" id="{CDC25478-1FA1-4B06-8F39-6DE690CE2266}"/>
            </a:ext>
          </a:extLst>
        </xdr:cNvPr>
        <xdr:cNvSpPr txBox="1">
          <a:spLocks noChangeAspect="1"/>
        </xdr:cNvSpPr>
      </xdr:nvSpPr>
      <xdr:spPr>
        <a:xfrm>
          <a:off x="5650188" y="57150"/>
          <a:ext cx="1077516"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29CE7D9D-6312-4EA8-A856-62DCF661C965}" type="TxLink">
            <a:rPr lang="en-US" sz="1100" b="1" i="0" u="none" strike="noStrike">
              <a:solidFill>
                <a:schemeClr val="bg1"/>
              </a:solidFill>
              <a:latin typeface="Segoe UI Semilight"/>
              <a:cs typeface="Segoe UI Semilight"/>
              <a:sym typeface="Webdings" panose="05030102010509060703" pitchFamily="18" charset="2"/>
            </a:rPr>
            <a:pPr algn="ctr"/>
            <a:t>
Results</a:t>
          </a:fld>
          <a:endParaRPr lang="en-US" sz="1400" b="1">
            <a:solidFill>
              <a:schemeClr val="bg1"/>
            </a:solidFill>
          </a:endParaRPr>
        </a:p>
      </xdr:txBody>
    </xdr:sp>
    <xdr:clientData/>
  </xdr:twoCellAnchor>
  <xdr:twoCellAnchor editAs="oneCell">
    <xdr:from>
      <xdr:col>9</xdr:col>
      <xdr:colOff>238125</xdr:colOff>
      <xdr:row>0</xdr:row>
      <xdr:rowOff>57150</xdr:rowOff>
    </xdr:from>
    <xdr:to>
      <xdr:col>10</xdr:col>
      <xdr:colOff>327525</xdr:colOff>
      <xdr:row>0</xdr:row>
      <xdr:rowOff>525150</xdr:rowOff>
    </xdr:to>
    <xdr:sp macro="" textlink="Lang_Button_Help">
      <xdr:nvSpPr>
        <xdr:cNvPr id="6" name="TextBox 5">
          <a:hlinkClick xmlns:r="http://schemas.openxmlformats.org/officeDocument/2006/relationships" r:id="rId3"/>
          <a:extLst>
            <a:ext uri="{FF2B5EF4-FFF2-40B4-BE49-F238E27FC236}">
              <a16:creationId xmlns:a16="http://schemas.microsoft.com/office/drawing/2014/main" id="{5EFBA2B1-AD14-45B8-B591-AC55745DF4E7}"/>
            </a:ext>
          </a:extLst>
        </xdr:cNvPr>
        <xdr:cNvSpPr txBox="1">
          <a:spLocks noChangeAspect="1"/>
        </xdr:cNvSpPr>
      </xdr:nvSpPr>
      <xdr:spPr>
        <a:xfrm>
          <a:off x="6772275" y="57150"/>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AE44F707-8ABF-47D9-B5EC-0CF7A334BCF0}" type="TxLink">
            <a:rPr lang="en-US" sz="1100" b="1" i="0" u="none" strike="noStrike">
              <a:solidFill>
                <a:schemeClr val="bg1"/>
              </a:solidFill>
              <a:latin typeface="Segoe UI Semilight"/>
              <a:cs typeface="Segoe UI Semilight"/>
              <a:sym typeface="Webdings" panose="05030102010509060703" pitchFamily="18" charset="2"/>
            </a:rPr>
            <a:pPr algn="ctr"/>
            <a:t>
Help</a:t>
          </a:fld>
          <a:endParaRPr lang="en-US" sz="1400" b="1">
            <a:solidFill>
              <a:schemeClr val="bg1"/>
            </a:solidFill>
          </a:endParaRPr>
        </a:p>
      </xdr:txBody>
    </xdr:sp>
    <xdr:clientData/>
  </xdr:twoCellAnchor>
  <xdr:twoCellAnchor editAs="oneCell">
    <xdr:from>
      <xdr:col>2</xdr:col>
      <xdr:colOff>1029942</xdr:colOff>
      <xdr:row>0</xdr:row>
      <xdr:rowOff>57150</xdr:rowOff>
    </xdr:from>
    <xdr:to>
      <xdr:col>8</xdr:col>
      <xdr:colOff>62067</xdr:colOff>
      <xdr:row>0</xdr:row>
      <xdr:rowOff>525150</xdr:rowOff>
    </xdr:to>
    <xdr:sp macro="" textlink="Lang_Button_NextPage">
      <xdr:nvSpPr>
        <xdr:cNvPr id="7" name="TextBox 6">
          <a:hlinkClick xmlns:r="http://schemas.openxmlformats.org/officeDocument/2006/relationships" r:id="rId4"/>
          <a:extLst>
            <a:ext uri="{FF2B5EF4-FFF2-40B4-BE49-F238E27FC236}">
              <a16:creationId xmlns:a16="http://schemas.microsoft.com/office/drawing/2014/main" id="{B298A36E-DDDA-4688-9AC1-0EE6F61D055D}"/>
            </a:ext>
          </a:extLst>
        </xdr:cNvPr>
        <xdr:cNvSpPr txBox="1">
          <a:spLocks noChangeAspect="1"/>
        </xdr:cNvSpPr>
      </xdr:nvSpPr>
      <xdr:spPr>
        <a:xfrm>
          <a:off x="4525617" y="57150"/>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5365D962-6350-427E-992E-C6BCBFFF1DA6}" type="TxLink">
            <a:rPr lang="en-US" sz="1100" b="1" i="0" u="none" strike="noStrike">
              <a:solidFill>
                <a:schemeClr val="bg1"/>
              </a:solidFill>
              <a:latin typeface="Segoe UI Semilight"/>
              <a:cs typeface="Segoe UI Semilight"/>
              <a:sym typeface="Webdings" panose="05030102010509060703" pitchFamily="18" charset="2"/>
            </a:rPr>
            <a:pPr algn="ctr"/>
            <a:t>
Next Page</a:t>
          </a:fld>
          <a:endParaRPr lang="en-US" sz="1400" b="1">
            <a:solidFill>
              <a:schemeClr val="bg1"/>
            </a:solidFill>
          </a:endParaRPr>
        </a:p>
      </xdr:txBody>
    </xdr:sp>
    <xdr:clientData/>
  </xdr:twoCellAnchor>
  <xdr:twoCellAnchor>
    <xdr:from>
      <xdr:col>0</xdr:col>
      <xdr:colOff>161925</xdr:colOff>
      <xdr:row>1</xdr:row>
      <xdr:rowOff>133350</xdr:rowOff>
    </xdr:from>
    <xdr:to>
      <xdr:col>2</xdr:col>
      <xdr:colOff>808651</xdr:colOff>
      <xdr:row>1</xdr:row>
      <xdr:rowOff>1123350</xdr:rowOff>
    </xdr:to>
    <xdr:grpSp>
      <xdr:nvGrpSpPr>
        <xdr:cNvPr id="8" name="Group 7">
          <a:extLst>
            <a:ext uri="{FF2B5EF4-FFF2-40B4-BE49-F238E27FC236}">
              <a16:creationId xmlns:a16="http://schemas.microsoft.com/office/drawing/2014/main" id="{4CE68C63-164E-4019-B2BF-64B587C87210}"/>
            </a:ext>
          </a:extLst>
        </xdr:cNvPr>
        <xdr:cNvGrpSpPr/>
      </xdr:nvGrpSpPr>
      <xdr:grpSpPr>
        <a:xfrm>
          <a:off x="161925" y="704850"/>
          <a:ext cx="4142401" cy="990000"/>
          <a:chOff x="438150" y="638174"/>
          <a:chExt cx="4142401" cy="990000"/>
        </a:xfrm>
      </xdr:grpSpPr>
      <xdr:pic>
        <xdr:nvPicPr>
          <xdr:cNvPr id="9" name="Picture 8">
            <a:extLst>
              <a:ext uri="{FF2B5EF4-FFF2-40B4-BE49-F238E27FC236}">
                <a16:creationId xmlns:a16="http://schemas.microsoft.com/office/drawing/2014/main" id="{05D5A312-F963-4C1A-B5B1-60330BD222C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38150" y="771525"/>
            <a:ext cx="2390775" cy="735910"/>
          </a:xfrm>
          <a:prstGeom prst="rect">
            <a:avLst/>
          </a:prstGeom>
        </xdr:spPr>
      </xdr:pic>
      <xdr:pic>
        <xdr:nvPicPr>
          <xdr:cNvPr id="10" name="Picture 9">
            <a:extLst>
              <a:ext uri="{FF2B5EF4-FFF2-40B4-BE49-F238E27FC236}">
                <a16:creationId xmlns:a16="http://schemas.microsoft.com/office/drawing/2014/main" id="{1140A0C0-11A9-4983-80BD-3CF20393C9E8}"/>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971800" y="638174"/>
            <a:ext cx="1608751" cy="990000"/>
          </a:xfrm>
          <a:prstGeom prst="rect">
            <a:avLst/>
          </a:prstGeom>
        </xdr:spPr>
      </xdr:pic>
    </xdr:grpSp>
    <xdr:clientData/>
  </xdr:twoCellAnchor>
  <xdr:twoCellAnchor editAs="oneCell">
    <xdr:from>
      <xdr:col>1</xdr:col>
      <xdr:colOff>1943100</xdr:colOff>
      <xdr:row>0</xdr:row>
      <xdr:rowOff>57150</xdr:rowOff>
    </xdr:from>
    <xdr:to>
      <xdr:col>1</xdr:col>
      <xdr:colOff>3023100</xdr:colOff>
      <xdr:row>0</xdr:row>
      <xdr:rowOff>525150</xdr:rowOff>
    </xdr:to>
    <xdr:sp macro="" textlink="Lang_Button_Menu">
      <xdr:nvSpPr>
        <xdr:cNvPr id="11" name="TextBox 10">
          <a:hlinkClick xmlns:r="http://schemas.openxmlformats.org/officeDocument/2006/relationships" r:id="rId1"/>
          <a:extLst>
            <a:ext uri="{FF2B5EF4-FFF2-40B4-BE49-F238E27FC236}">
              <a16:creationId xmlns:a16="http://schemas.microsoft.com/office/drawing/2014/main" id="{FBBCBAA8-54A3-4422-9640-4811FB69FC4A}"/>
            </a:ext>
          </a:extLst>
        </xdr:cNvPr>
        <xdr:cNvSpPr txBox="1">
          <a:spLocks noChangeAspect="1"/>
        </xdr:cNvSpPr>
      </xdr:nvSpPr>
      <xdr:spPr>
        <a:xfrm>
          <a:off x="2276475" y="57150"/>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D2098A1D-5976-4A59-A3DE-5E84A45EA7C9}" type="TxLink">
            <a:rPr lang="en-US" sz="1100" b="1" i="0" u="none" strike="noStrike">
              <a:solidFill>
                <a:schemeClr val="bg1"/>
              </a:solidFill>
              <a:latin typeface="Segoe UI Semilight"/>
              <a:cs typeface="Segoe UI Semilight"/>
              <a:sym typeface="Webdings" panose="05030102010509060703" pitchFamily="18" charset="2"/>
            </a:rPr>
            <a:pPr algn="ctr"/>
            <a:t>
Menu</a:t>
          </a:fld>
          <a:endParaRPr lang="en-US" sz="1400" b="1">
            <a:solidFill>
              <a:schemeClr val="bg1"/>
            </a:solidFill>
          </a:endParaRPr>
        </a:p>
      </xdr:txBody>
    </xdr:sp>
    <xdr:clientData/>
  </xdr:twoCellAnchor>
  <xdr:twoCellAnchor editAs="oneCell">
    <xdr:from>
      <xdr:col>16</xdr:col>
      <xdr:colOff>5819775</xdr:colOff>
      <xdr:row>1</xdr:row>
      <xdr:rowOff>106681</xdr:rowOff>
    </xdr:from>
    <xdr:to>
      <xdr:col>16</xdr:col>
      <xdr:colOff>6882765</xdr:colOff>
      <xdr:row>1</xdr:row>
      <xdr:rowOff>1169671</xdr:rowOff>
    </xdr:to>
    <xdr:pic>
      <xdr:nvPicPr>
        <xdr:cNvPr id="12" name="Picture 11">
          <a:extLst>
            <a:ext uri="{FF2B5EF4-FFF2-40B4-BE49-F238E27FC236}">
              <a16:creationId xmlns:a16="http://schemas.microsoft.com/office/drawing/2014/main" id="{A620C83D-418B-446F-918D-E553F67BDF2D}"/>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xdr:blipFill>
      <xdr:spPr>
        <a:xfrm>
          <a:off x="18269510" y="678181"/>
          <a:ext cx="1062990" cy="1062990"/>
        </a:xfrm>
        <a:prstGeom prst="rect">
          <a:avLst/>
        </a:prstGeom>
      </xdr:spPr>
    </xdr:pic>
    <xdr:clientData/>
  </xdr:twoCellAnchor>
  <xdr:twoCellAnchor editAs="oneCell">
    <xdr:from>
      <xdr:col>2</xdr:col>
      <xdr:colOff>933450</xdr:colOff>
      <xdr:row>1</xdr:row>
      <xdr:rowOff>191095</xdr:rowOff>
    </xdr:from>
    <xdr:to>
      <xdr:col>9</xdr:col>
      <xdr:colOff>752118</xdr:colOff>
      <xdr:row>1</xdr:row>
      <xdr:rowOff>1143476</xdr:rowOff>
    </xdr:to>
    <xdr:pic>
      <xdr:nvPicPr>
        <xdr:cNvPr id="13" name="Picture 12">
          <a:extLst>
            <a:ext uri="{FF2B5EF4-FFF2-40B4-BE49-F238E27FC236}">
              <a16:creationId xmlns:a16="http://schemas.microsoft.com/office/drawing/2014/main" id="{5169B671-EBA9-49BC-9736-F6618419EDE8}"/>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4429125" y="762595"/>
          <a:ext cx="2857143" cy="95238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2514600</xdr:colOff>
      <xdr:row>0</xdr:row>
      <xdr:rowOff>57150</xdr:rowOff>
    </xdr:from>
    <xdr:to>
      <xdr:col>2</xdr:col>
      <xdr:colOff>3594600</xdr:colOff>
      <xdr:row>0</xdr:row>
      <xdr:rowOff>525150</xdr:rowOff>
    </xdr:to>
    <xdr:sp macro="" textlink="Lang_Button_Menu">
      <xdr:nvSpPr>
        <xdr:cNvPr id="3" name="TextBox 2">
          <a:hlinkClick xmlns:r="http://schemas.openxmlformats.org/officeDocument/2006/relationships" r:id="rId1"/>
          <a:extLst>
            <a:ext uri="{FF2B5EF4-FFF2-40B4-BE49-F238E27FC236}">
              <a16:creationId xmlns:a16="http://schemas.microsoft.com/office/drawing/2014/main" id="{6B3C8B03-4388-4919-829E-FC7419842132}"/>
            </a:ext>
          </a:extLst>
        </xdr:cNvPr>
        <xdr:cNvSpPr txBox="1">
          <a:spLocks noChangeAspect="1"/>
        </xdr:cNvSpPr>
      </xdr:nvSpPr>
      <xdr:spPr>
        <a:xfrm>
          <a:off x="3200400" y="57150"/>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BF4A4F01-C947-4F8D-AAE9-2C65C0E8EC65}" type="TxLink">
            <a:rPr lang="en-US" sz="1100" b="1" i="0" u="none" strike="noStrike">
              <a:solidFill>
                <a:schemeClr val="bg1"/>
              </a:solidFill>
              <a:latin typeface="Segoe UI Semilight"/>
              <a:cs typeface="Segoe UI Semilight"/>
              <a:sym typeface="Webdings" panose="05030102010509060703" pitchFamily="18" charset="2"/>
            </a:rPr>
            <a:pPr algn="ctr"/>
            <a:t>
Menu</a:t>
          </a:fld>
          <a:endParaRPr lang="en-US" sz="1400" b="1">
            <a:solidFill>
              <a:schemeClr val="bg1"/>
            </a:solidFill>
          </a:endParaRPr>
        </a:p>
      </xdr:txBody>
    </xdr:sp>
    <xdr:clientData/>
  </xdr:twoCellAnchor>
  <xdr:twoCellAnchor editAs="oneCell">
    <xdr:from>
      <xdr:col>3</xdr:col>
      <xdr:colOff>1063625</xdr:colOff>
      <xdr:row>0</xdr:row>
      <xdr:rowOff>57150</xdr:rowOff>
    </xdr:from>
    <xdr:to>
      <xdr:col>3</xdr:col>
      <xdr:colOff>2143625</xdr:colOff>
      <xdr:row>0</xdr:row>
      <xdr:rowOff>525150</xdr:rowOff>
    </xdr:to>
    <xdr:sp macro="" textlink="Lang_Button_Results">
      <xdr:nvSpPr>
        <xdr:cNvPr id="4" name="TextBox 3">
          <a:hlinkClick xmlns:r="http://schemas.openxmlformats.org/officeDocument/2006/relationships" r:id="rId2"/>
          <a:extLst>
            <a:ext uri="{FF2B5EF4-FFF2-40B4-BE49-F238E27FC236}">
              <a16:creationId xmlns:a16="http://schemas.microsoft.com/office/drawing/2014/main" id="{677E9FF3-9A36-4592-9774-C3C773DCCB50}"/>
            </a:ext>
          </a:extLst>
        </xdr:cNvPr>
        <xdr:cNvSpPr txBox="1">
          <a:spLocks noChangeAspect="1"/>
        </xdr:cNvSpPr>
      </xdr:nvSpPr>
      <xdr:spPr>
        <a:xfrm>
          <a:off x="5511800" y="57150"/>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4AD1C083-79F1-4A4A-A756-30279645C218}" type="TxLink">
            <a:rPr lang="en-US" sz="1100" b="1" i="0" u="none" strike="noStrike">
              <a:solidFill>
                <a:schemeClr val="bg1"/>
              </a:solidFill>
              <a:latin typeface="Segoe UI Semilight"/>
              <a:cs typeface="Segoe UI Semilight"/>
              <a:sym typeface="Webdings" panose="05030102010509060703" pitchFamily="18" charset="2"/>
            </a:rPr>
            <a:pPr algn="ctr"/>
            <a:t>
Results</a:t>
          </a:fld>
          <a:endParaRPr lang="en-US" sz="1400" b="1">
            <a:solidFill>
              <a:schemeClr val="bg1"/>
            </a:solidFill>
          </a:endParaRPr>
        </a:p>
      </xdr:txBody>
    </xdr:sp>
    <xdr:clientData/>
  </xdr:twoCellAnchor>
  <xdr:twoCellAnchor editAs="oneCell">
    <xdr:from>
      <xdr:col>3</xdr:col>
      <xdr:colOff>2219325</xdr:colOff>
      <xdr:row>0</xdr:row>
      <xdr:rowOff>57150</xdr:rowOff>
    </xdr:from>
    <xdr:to>
      <xdr:col>9</xdr:col>
      <xdr:colOff>241800</xdr:colOff>
      <xdr:row>0</xdr:row>
      <xdr:rowOff>525150</xdr:rowOff>
    </xdr:to>
    <xdr:sp macro="" textlink="Lang_Button_Help">
      <xdr:nvSpPr>
        <xdr:cNvPr id="6" name="TextBox 5">
          <a:hlinkClick xmlns:r="http://schemas.openxmlformats.org/officeDocument/2006/relationships" r:id="rId3"/>
          <a:extLst>
            <a:ext uri="{FF2B5EF4-FFF2-40B4-BE49-F238E27FC236}">
              <a16:creationId xmlns:a16="http://schemas.microsoft.com/office/drawing/2014/main" id="{0A234A69-4BDF-47CC-BDED-666E84755A5B}"/>
            </a:ext>
          </a:extLst>
        </xdr:cNvPr>
        <xdr:cNvSpPr txBox="1">
          <a:spLocks noChangeAspect="1"/>
        </xdr:cNvSpPr>
      </xdr:nvSpPr>
      <xdr:spPr>
        <a:xfrm>
          <a:off x="6667500" y="57150"/>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29627D1A-D1A1-429D-AB91-D05FE57F83A8}" type="TxLink">
            <a:rPr lang="en-US" sz="1100" b="1" i="0" u="none" strike="noStrike">
              <a:solidFill>
                <a:schemeClr val="bg1"/>
              </a:solidFill>
              <a:latin typeface="Segoe UI Semilight"/>
              <a:cs typeface="Segoe UI Semilight"/>
              <a:sym typeface="Webdings" panose="05030102010509060703" pitchFamily="18" charset="2"/>
            </a:rPr>
            <a:pPr algn="ctr"/>
            <a:t>
Help</a:t>
          </a:fld>
          <a:endParaRPr lang="en-US" sz="1400" b="1">
            <a:solidFill>
              <a:schemeClr val="bg1"/>
            </a:solidFill>
          </a:endParaRPr>
        </a:p>
      </xdr:txBody>
    </xdr:sp>
    <xdr:clientData/>
  </xdr:twoCellAnchor>
  <xdr:twoCellAnchor editAs="oneCell">
    <xdr:from>
      <xdr:col>2</xdr:col>
      <xdr:colOff>3670300</xdr:colOff>
      <xdr:row>0</xdr:row>
      <xdr:rowOff>57150</xdr:rowOff>
    </xdr:from>
    <xdr:to>
      <xdr:col>3</xdr:col>
      <xdr:colOff>987925</xdr:colOff>
      <xdr:row>0</xdr:row>
      <xdr:rowOff>525150</xdr:rowOff>
    </xdr:to>
    <xdr:sp macro="" textlink="Lang_Button_NextPage">
      <xdr:nvSpPr>
        <xdr:cNvPr id="7" name="TextBox 6">
          <a:hlinkClick xmlns:r="http://schemas.openxmlformats.org/officeDocument/2006/relationships" r:id="rId4"/>
          <a:extLst>
            <a:ext uri="{FF2B5EF4-FFF2-40B4-BE49-F238E27FC236}">
              <a16:creationId xmlns:a16="http://schemas.microsoft.com/office/drawing/2014/main" id="{5D41F219-B187-4203-AF70-CB5225836824}"/>
            </a:ext>
          </a:extLst>
        </xdr:cNvPr>
        <xdr:cNvSpPr txBox="1">
          <a:spLocks noChangeAspect="1"/>
        </xdr:cNvSpPr>
      </xdr:nvSpPr>
      <xdr:spPr>
        <a:xfrm>
          <a:off x="4356100" y="57150"/>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24553C59-DE2A-4F2F-A179-1AFE4F8BD531}" type="TxLink">
            <a:rPr lang="en-US" sz="1100" b="1" i="0" u="none" strike="noStrike">
              <a:solidFill>
                <a:schemeClr val="bg1"/>
              </a:solidFill>
              <a:latin typeface="Segoe UI Semilight"/>
              <a:cs typeface="Segoe UI Semilight"/>
              <a:sym typeface="Webdings" panose="05030102010509060703" pitchFamily="18" charset="2"/>
            </a:rPr>
            <a:pPr algn="ctr"/>
            <a:t>
Next Page</a:t>
          </a:fld>
          <a:endParaRPr lang="en-US" sz="1400" b="1">
            <a:solidFill>
              <a:schemeClr val="bg1"/>
            </a:solidFill>
          </a:endParaRPr>
        </a:p>
      </xdr:txBody>
    </xdr:sp>
    <xdr:clientData/>
  </xdr:twoCellAnchor>
  <xdr:twoCellAnchor>
    <xdr:from>
      <xdr:col>0</xdr:col>
      <xdr:colOff>152400</xdr:colOff>
      <xdr:row>1</xdr:row>
      <xdr:rowOff>142875</xdr:rowOff>
    </xdr:from>
    <xdr:to>
      <xdr:col>2</xdr:col>
      <xdr:colOff>3618526</xdr:colOff>
      <xdr:row>1</xdr:row>
      <xdr:rowOff>1132875</xdr:rowOff>
    </xdr:to>
    <xdr:grpSp>
      <xdr:nvGrpSpPr>
        <xdr:cNvPr id="8" name="Group 7">
          <a:extLst>
            <a:ext uri="{FF2B5EF4-FFF2-40B4-BE49-F238E27FC236}">
              <a16:creationId xmlns:a16="http://schemas.microsoft.com/office/drawing/2014/main" id="{DF857334-FA0F-40B9-B0D4-566661C8295B}"/>
            </a:ext>
          </a:extLst>
        </xdr:cNvPr>
        <xdr:cNvGrpSpPr/>
      </xdr:nvGrpSpPr>
      <xdr:grpSpPr>
        <a:xfrm>
          <a:off x="152400" y="714375"/>
          <a:ext cx="4151926" cy="990000"/>
          <a:chOff x="438150" y="638174"/>
          <a:chExt cx="4142401" cy="990000"/>
        </a:xfrm>
      </xdr:grpSpPr>
      <xdr:pic>
        <xdr:nvPicPr>
          <xdr:cNvPr id="9" name="Picture 8">
            <a:extLst>
              <a:ext uri="{FF2B5EF4-FFF2-40B4-BE49-F238E27FC236}">
                <a16:creationId xmlns:a16="http://schemas.microsoft.com/office/drawing/2014/main" id="{A69E3E1C-469C-4892-9F6E-8C45BDFAC27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38150" y="771525"/>
            <a:ext cx="2390775" cy="735910"/>
          </a:xfrm>
          <a:prstGeom prst="rect">
            <a:avLst/>
          </a:prstGeom>
        </xdr:spPr>
      </xdr:pic>
      <xdr:pic>
        <xdr:nvPicPr>
          <xdr:cNvPr id="10" name="Picture 9">
            <a:extLst>
              <a:ext uri="{FF2B5EF4-FFF2-40B4-BE49-F238E27FC236}">
                <a16:creationId xmlns:a16="http://schemas.microsoft.com/office/drawing/2014/main" id="{9D5DCB27-638C-44C3-8166-F37CBA2F7F8D}"/>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971800" y="638174"/>
            <a:ext cx="1608751" cy="990000"/>
          </a:xfrm>
          <a:prstGeom prst="rect">
            <a:avLst/>
          </a:prstGeom>
        </xdr:spPr>
      </xdr:pic>
    </xdr:grpSp>
    <xdr:clientData/>
  </xdr:twoCellAnchor>
  <xdr:twoCellAnchor editAs="oneCell">
    <xdr:from>
      <xdr:col>15</xdr:col>
      <xdr:colOff>0</xdr:colOff>
      <xdr:row>1</xdr:row>
      <xdr:rowOff>76201</xdr:rowOff>
    </xdr:from>
    <xdr:to>
      <xdr:col>15</xdr:col>
      <xdr:colOff>1143000</xdr:colOff>
      <xdr:row>1</xdr:row>
      <xdr:rowOff>1219201</xdr:rowOff>
    </xdr:to>
    <xdr:pic>
      <xdr:nvPicPr>
        <xdr:cNvPr id="11" name="Picture 10">
          <a:extLst>
            <a:ext uri="{FF2B5EF4-FFF2-40B4-BE49-F238E27FC236}">
              <a16:creationId xmlns:a16="http://schemas.microsoft.com/office/drawing/2014/main" id="{32C7C9AF-C3C3-45BE-BB6E-27645F069193}"/>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xdr:blipFill>
      <xdr:spPr>
        <a:xfrm>
          <a:off x="14706600" y="647701"/>
          <a:ext cx="1143000" cy="1143000"/>
        </a:xfrm>
        <a:prstGeom prst="rect">
          <a:avLst/>
        </a:prstGeom>
      </xdr:spPr>
    </xdr:pic>
    <xdr:clientData/>
  </xdr:twoCellAnchor>
  <xdr:twoCellAnchor editAs="oneCell">
    <xdr:from>
      <xdr:col>3</xdr:col>
      <xdr:colOff>38100</xdr:colOff>
      <xdr:row>1</xdr:row>
      <xdr:rowOff>276820</xdr:rowOff>
    </xdr:from>
    <xdr:to>
      <xdr:col>3</xdr:col>
      <xdr:colOff>2895243</xdr:colOff>
      <xdr:row>1</xdr:row>
      <xdr:rowOff>1229201</xdr:rowOff>
    </xdr:to>
    <xdr:pic>
      <xdr:nvPicPr>
        <xdr:cNvPr id="12" name="Picture 11">
          <a:extLst>
            <a:ext uri="{FF2B5EF4-FFF2-40B4-BE49-F238E27FC236}">
              <a16:creationId xmlns:a16="http://schemas.microsoft.com/office/drawing/2014/main" id="{EFD3DF5C-4091-4E0E-AFA0-A7EECCE48D9D}"/>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4486275" y="848320"/>
          <a:ext cx="2857143" cy="95238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1857375</xdr:colOff>
      <xdr:row>0</xdr:row>
      <xdr:rowOff>57150</xdr:rowOff>
    </xdr:from>
    <xdr:to>
      <xdr:col>2</xdr:col>
      <xdr:colOff>2937375</xdr:colOff>
      <xdr:row>0</xdr:row>
      <xdr:rowOff>525150</xdr:rowOff>
    </xdr:to>
    <xdr:sp macro="" textlink="Lang_Button_Menu">
      <xdr:nvSpPr>
        <xdr:cNvPr id="3" name="TextBox 2">
          <a:hlinkClick xmlns:r="http://schemas.openxmlformats.org/officeDocument/2006/relationships" r:id="rId1"/>
          <a:extLst>
            <a:ext uri="{FF2B5EF4-FFF2-40B4-BE49-F238E27FC236}">
              <a16:creationId xmlns:a16="http://schemas.microsoft.com/office/drawing/2014/main" id="{FEC02B40-69D8-4359-BC27-14371EEFF0D2}"/>
            </a:ext>
          </a:extLst>
        </xdr:cNvPr>
        <xdr:cNvSpPr txBox="1">
          <a:spLocks noChangeAspect="1"/>
        </xdr:cNvSpPr>
      </xdr:nvSpPr>
      <xdr:spPr>
        <a:xfrm>
          <a:off x="3076575" y="57150"/>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943B3965-AFFD-4F4C-8E90-F9DBB88328EC}" type="TxLink">
            <a:rPr lang="en-US" sz="1100" b="1" i="0" u="none" strike="noStrike">
              <a:solidFill>
                <a:schemeClr val="bg1"/>
              </a:solidFill>
              <a:latin typeface="Segoe UI Semilight"/>
              <a:cs typeface="Segoe UI Semilight"/>
              <a:sym typeface="Webdings" panose="05030102010509060703" pitchFamily="18" charset="2"/>
            </a:rPr>
            <a:pPr algn="ctr"/>
            <a:t>
Menu</a:t>
          </a:fld>
          <a:endParaRPr lang="en-US" sz="1400" b="1">
            <a:solidFill>
              <a:schemeClr val="bg1"/>
            </a:solidFill>
          </a:endParaRPr>
        </a:p>
      </xdr:txBody>
    </xdr:sp>
    <xdr:clientData/>
  </xdr:twoCellAnchor>
  <xdr:twoCellAnchor editAs="oneCell">
    <xdr:from>
      <xdr:col>3</xdr:col>
      <xdr:colOff>819150</xdr:colOff>
      <xdr:row>0</xdr:row>
      <xdr:rowOff>57150</xdr:rowOff>
    </xdr:from>
    <xdr:to>
      <xdr:col>5</xdr:col>
      <xdr:colOff>327525</xdr:colOff>
      <xdr:row>0</xdr:row>
      <xdr:rowOff>525150</xdr:rowOff>
    </xdr:to>
    <xdr:sp macro="" textlink="Lang_Button_Results">
      <xdr:nvSpPr>
        <xdr:cNvPr id="5" name="TextBox 3">
          <a:hlinkClick xmlns:r="http://schemas.openxmlformats.org/officeDocument/2006/relationships" r:id="rId2"/>
          <a:extLst>
            <a:ext uri="{FF2B5EF4-FFF2-40B4-BE49-F238E27FC236}">
              <a16:creationId xmlns:a16="http://schemas.microsoft.com/office/drawing/2014/main" id="{DAF3D00B-6E1E-4938-9803-C08781660FA9}"/>
            </a:ext>
          </a:extLst>
        </xdr:cNvPr>
        <xdr:cNvSpPr txBox="1">
          <a:spLocks noChangeAspect="1"/>
        </xdr:cNvSpPr>
      </xdr:nvSpPr>
      <xdr:spPr>
        <a:xfrm>
          <a:off x="5457825" y="57150"/>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42950430-647A-4F5C-B19A-A6EC7632FA21}" type="TxLink">
            <a:rPr lang="en-US" sz="1100" b="1" i="0" u="none" strike="noStrike">
              <a:solidFill>
                <a:schemeClr val="bg1"/>
              </a:solidFill>
              <a:latin typeface="Segoe UI Semilight"/>
              <a:cs typeface="Segoe UI Semilight"/>
              <a:sym typeface="Webdings" panose="05030102010509060703" pitchFamily="18" charset="2"/>
            </a:rPr>
            <a:pPr algn="ctr"/>
            <a:t>
Results</a:t>
          </a:fld>
          <a:endParaRPr lang="en-US" sz="1400" b="1">
            <a:solidFill>
              <a:schemeClr val="bg1"/>
            </a:solidFill>
          </a:endParaRPr>
        </a:p>
      </xdr:txBody>
    </xdr:sp>
    <xdr:clientData/>
  </xdr:twoCellAnchor>
  <xdr:twoCellAnchor editAs="oneCell">
    <xdr:from>
      <xdr:col>5</xdr:col>
      <xdr:colOff>438150</xdr:colOff>
      <xdr:row>0</xdr:row>
      <xdr:rowOff>57150</xdr:rowOff>
    </xdr:from>
    <xdr:to>
      <xdr:col>8</xdr:col>
      <xdr:colOff>203700</xdr:colOff>
      <xdr:row>0</xdr:row>
      <xdr:rowOff>525150</xdr:rowOff>
    </xdr:to>
    <xdr:sp macro="" textlink="Lang_Button_Help">
      <xdr:nvSpPr>
        <xdr:cNvPr id="6" name="TextBox 5">
          <a:hlinkClick xmlns:r="http://schemas.openxmlformats.org/officeDocument/2006/relationships" r:id="rId3"/>
          <a:extLst>
            <a:ext uri="{FF2B5EF4-FFF2-40B4-BE49-F238E27FC236}">
              <a16:creationId xmlns:a16="http://schemas.microsoft.com/office/drawing/2014/main" id="{6321DB22-9376-42FB-BFF5-A0E9CB235B98}"/>
            </a:ext>
          </a:extLst>
        </xdr:cNvPr>
        <xdr:cNvSpPr txBox="1">
          <a:spLocks noChangeAspect="1"/>
        </xdr:cNvSpPr>
      </xdr:nvSpPr>
      <xdr:spPr>
        <a:xfrm>
          <a:off x="6638925" y="57150"/>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F9ECBFB1-6045-488F-92A4-2F0CD836B0E1}" type="TxLink">
            <a:rPr lang="en-US" sz="1100" b="1" i="0" u="none" strike="noStrike">
              <a:solidFill>
                <a:schemeClr val="bg1"/>
              </a:solidFill>
              <a:latin typeface="Segoe UI Semilight"/>
              <a:cs typeface="Segoe UI Semilight"/>
              <a:sym typeface="Webdings" panose="05030102010509060703" pitchFamily="18" charset="2"/>
            </a:rPr>
            <a:pPr algn="ctr"/>
            <a:t>
Help</a:t>
          </a:fld>
          <a:endParaRPr lang="en-US" sz="1400" b="1">
            <a:solidFill>
              <a:schemeClr val="bg1"/>
            </a:solidFill>
          </a:endParaRPr>
        </a:p>
      </xdr:txBody>
    </xdr:sp>
    <xdr:clientData/>
  </xdr:twoCellAnchor>
  <xdr:twoCellAnchor editAs="oneCell">
    <xdr:from>
      <xdr:col>2</xdr:col>
      <xdr:colOff>3048000</xdr:colOff>
      <xdr:row>0</xdr:row>
      <xdr:rowOff>57150</xdr:rowOff>
    </xdr:from>
    <xdr:to>
      <xdr:col>3</xdr:col>
      <xdr:colOff>708525</xdr:colOff>
      <xdr:row>0</xdr:row>
      <xdr:rowOff>525150</xdr:rowOff>
    </xdr:to>
    <xdr:sp macro="" textlink="Lang_Button_NextPage">
      <xdr:nvSpPr>
        <xdr:cNvPr id="7" name="TextBox 6">
          <a:hlinkClick xmlns:r="http://schemas.openxmlformats.org/officeDocument/2006/relationships" r:id="rId2"/>
          <a:extLst>
            <a:ext uri="{FF2B5EF4-FFF2-40B4-BE49-F238E27FC236}">
              <a16:creationId xmlns:a16="http://schemas.microsoft.com/office/drawing/2014/main" id="{8A5E9E2E-1FB4-49B9-BCF2-F2B0F29C6D8D}"/>
            </a:ext>
          </a:extLst>
        </xdr:cNvPr>
        <xdr:cNvSpPr txBox="1">
          <a:spLocks noChangeAspect="1"/>
        </xdr:cNvSpPr>
      </xdr:nvSpPr>
      <xdr:spPr>
        <a:xfrm>
          <a:off x="4267200" y="57150"/>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AE8620CF-C11E-4A4C-B159-DA9E040E2732}" type="TxLink">
            <a:rPr lang="en-US" sz="1100" b="1" i="0" u="none" strike="noStrike">
              <a:solidFill>
                <a:schemeClr val="bg1"/>
              </a:solidFill>
              <a:latin typeface="Segoe UI Semilight"/>
              <a:cs typeface="Segoe UI Semilight"/>
              <a:sym typeface="Webdings" panose="05030102010509060703" pitchFamily="18" charset="2"/>
            </a:rPr>
            <a:pPr algn="ctr"/>
            <a:t>
Next Page</a:t>
          </a:fld>
          <a:endParaRPr lang="en-US" sz="1400" b="1">
            <a:solidFill>
              <a:schemeClr val="bg1"/>
            </a:solidFill>
          </a:endParaRPr>
        </a:p>
      </xdr:txBody>
    </xdr:sp>
    <xdr:clientData/>
  </xdr:twoCellAnchor>
  <xdr:twoCellAnchor>
    <xdr:from>
      <xdr:col>0</xdr:col>
      <xdr:colOff>142875</xdr:colOff>
      <xdr:row>1</xdr:row>
      <xdr:rowOff>142875</xdr:rowOff>
    </xdr:from>
    <xdr:to>
      <xdr:col>2</xdr:col>
      <xdr:colOff>3066076</xdr:colOff>
      <xdr:row>1</xdr:row>
      <xdr:rowOff>1132875</xdr:rowOff>
    </xdr:to>
    <xdr:grpSp>
      <xdr:nvGrpSpPr>
        <xdr:cNvPr id="8" name="Group 7">
          <a:extLst>
            <a:ext uri="{FF2B5EF4-FFF2-40B4-BE49-F238E27FC236}">
              <a16:creationId xmlns:a16="http://schemas.microsoft.com/office/drawing/2014/main" id="{7730031F-DD76-4839-8E54-3008AFD3F979}"/>
            </a:ext>
          </a:extLst>
        </xdr:cNvPr>
        <xdr:cNvGrpSpPr/>
      </xdr:nvGrpSpPr>
      <xdr:grpSpPr>
        <a:xfrm>
          <a:off x="142875" y="714375"/>
          <a:ext cx="4142401" cy="990000"/>
          <a:chOff x="438150" y="638174"/>
          <a:chExt cx="4142401" cy="990000"/>
        </a:xfrm>
      </xdr:grpSpPr>
      <xdr:pic>
        <xdr:nvPicPr>
          <xdr:cNvPr id="9" name="Picture 8">
            <a:extLst>
              <a:ext uri="{FF2B5EF4-FFF2-40B4-BE49-F238E27FC236}">
                <a16:creationId xmlns:a16="http://schemas.microsoft.com/office/drawing/2014/main" id="{11845370-8EEA-4B4D-B788-30C2AD78734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38150" y="771525"/>
            <a:ext cx="2390775" cy="735910"/>
          </a:xfrm>
          <a:prstGeom prst="rect">
            <a:avLst/>
          </a:prstGeom>
        </xdr:spPr>
      </xdr:pic>
      <xdr:pic>
        <xdr:nvPicPr>
          <xdr:cNvPr id="10" name="Picture 9">
            <a:extLst>
              <a:ext uri="{FF2B5EF4-FFF2-40B4-BE49-F238E27FC236}">
                <a16:creationId xmlns:a16="http://schemas.microsoft.com/office/drawing/2014/main" id="{62BED2F2-2244-4AB9-BF28-C5A91B666E7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971800" y="638174"/>
            <a:ext cx="1608751" cy="990000"/>
          </a:xfrm>
          <a:prstGeom prst="rect">
            <a:avLst/>
          </a:prstGeom>
        </xdr:spPr>
      </xdr:pic>
    </xdr:grpSp>
    <xdr:clientData/>
  </xdr:twoCellAnchor>
  <xdr:twoCellAnchor editAs="oneCell">
    <xdr:from>
      <xdr:col>15</xdr:col>
      <xdr:colOff>804862</xdr:colOff>
      <xdr:row>1</xdr:row>
      <xdr:rowOff>123825</xdr:rowOff>
    </xdr:from>
    <xdr:to>
      <xdr:col>16</xdr:col>
      <xdr:colOff>862012</xdr:colOff>
      <xdr:row>1</xdr:row>
      <xdr:rowOff>1238250</xdr:rowOff>
    </xdr:to>
    <xdr:pic>
      <xdr:nvPicPr>
        <xdr:cNvPr id="11" name="Picture 10">
          <a:extLst>
            <a:ext uri="{FF2B5EF4-FFF2-40B4-BE49-F238E27FC236}">
              <a16:creationId xmlns:a16="http://schemas.microsoft.com/office/drawing/2014/main" id="{014355E5-F540-4804-BBB2-55D68464CFF8}"/>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xdr:blipFill>
      <xdr:spPr>
        <a:xfrm>
          <a:off x="14349412" y="695325"/>
          <a:ext cx="1114425" cy="1114425"/>
        </a:xfrm>
        <a:prstGeom prst="rect">
          <a:avLst/>
        </a:prstGeom>
      </xdr:spPr>
    </xdr:pic>
    <xdr:clientData/>
  </xdr:twoCellAnchor>
  <xdr:twoCellAnchor editAs="oneCell">
    <xdr:from>
      <xdr:col>2</xdr:col>
      <xdr:colOff>3200400</xdr:colOff>
      <xdr:row>1</xdr:row>
      <xdr:rowOff>248245</xdr:rowOff>
    </xdr:from>
    <xdr:to>
      <xdr:col>7</xdr:col>
      <xdr:colOff>104418</xdr:colOff>
      <xdr:row>1</xdr:row>
      <xdr:rowOff>1200626</xdr:rowOff>
    </xdr:to>
    <xdr:pic>
      <xdr:nvPicPr>
        <xdr:cNvPr id="12" name="Picture 11">
          <a:extLst>
            <a:ext uri="{FF2B5EF4-FFF2-40B4-BE49-F238E27FC236}">
              <a16:creationId xmlns:a16="http://schemas.microsoft.com/office/drawing/2014/main" id="{E8BF4FE1-0B6F-436A-B6BE-E12CAF9C9692}"/>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4419600" y="819745"/>
          <a:ext cx="2857143" cy="952381"/>
        </a:xfrm>
        <a:prstGeom prst="rect">
          <a:avLst/>
        </a:prstGeom>
      </xdr:spPr>
    </xdr:pic>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headers="0" connectionId="1" xr16:uid="{7B6D71C1-74D4-4964-881E-9461A9BCFD77}" autoFormatId="16" applyNumberFormats="0" applyBorderFormats="0" applyFontFormats="0" applyPatternFormats="0" applyAlignmentFormats="0" applyWidthHeightFormats="0">
  <queryTableRefresh headersInLastRefresh="0" nextId="51">
    <queryTableFields count="50">
      <queryTableField id="1" name="Column1" tableColumnId="1"/>
      <queryTableField id="2" name="Column2" tableColumnId="2"/>
      <queryTableField id="3" name="Column3" tableColumnId="3"/>
      <queryTableField id="4" name="Column4" tableColumnId="4"/>
      <queryTableField id="5" name="Column5" tableColumnId="5"/>
      <queryTableField id="6" name="Column6" tableColumnId="6"/>
      <queryTableField id="7" name="Column7" tableColumnId="7"/>
      <queryTableField id="8" name="Column8" tableColumnId="8"/>
      <queryTableField id="9" name="Column9" tableColumnId="9"/>
      <queryTableField id="10" name="Column10" tableColumnId="10"/>
      <queryTableField id="11" name="Column11" tableColumnId="11"/>
      <queryTableField id="12" name="Column12" tableColumnId="12"/>
      <queryTableField id="13" name="Column13" tableColumnId="13"/>
      <queryTableField id="14" name="Column14" tableColumnId="14"/>
      <queryTableField id="15" name="Column15" tableColumnId="15"/>
      <queryTableField id="16" name="Column16" tableColumnId="16"/>
      <queryTableField id="17" name="Column17" tableColumnId="17"/>
      <queryTableField id="18" name="Column18" tableColumnId="18"/>
      <queryTableField id="19" name="Column19" tableColumnId="19"/>
      <queryTableField id="20" name="Column20" tableColumnId="20"/>
      <queryTableField id="21" name="Column21" tableColumnId="21"/>
      <queryTableField id="22" name="Column22" tableColumnId="22"/>
      <queryTableField id="23" name="Column23" tableColumnId="23"/>
      <queryTableField id="24" name="Column24" tableColumnId="24"/>
      <queryTableField id="25" name="Column25" tableColumnId="25"/>
      <queryTableField id="26" name="Column26" tableColumnId="26"/>
      <queryTableField id="27" name="Column27" tableColumnId="27"/>
      <queryTableField id="28" name="Column28" tableColumnId="28"/>
      <queryTableField id="29" name="Column29" tableColumnId="29"/>
      <queryTableField id="30" name="Column30" tableColumnId="30"/>
      <queryTableField id="31" name="Column31" tableColumnId="31"/>
      <queryTableField id="32" name="Column32" tableColumnId="32"/>
      <queryTableField id="33" name="Column33" tableColumnId="33"/>
      <queryTableField id="34" name="Column34" tableColumnId="34"/>
      <queryTableField id="35" name="Column35" tableColumnId="35"/>
      <queryTableField id="36" name="Column36" tableColumnId="36"/>
      <queryTableField id="37" name="Column37" tableColumnId="37"/>
      <queryTableField id="38" name="Column38" tableColumnId="38"/>
      <queryTableField id="39" name="Column39" tableColumnId="39"/>
      <queryTableField id="40" name="Column40" tableColumnId="40"/>
      <queryTableField id="41" name="Column41" tableColumnId="41"/>
      <queryTableField id="42" name="Column42" tableColumnId="42"/>
      <queryTableField id="43" name="Column43" tableColumnId="43"/>
      <queryTableField id="44" name="Column44" tableColumnId="44"/>
      <queryTableField id="45" name="Column45" tableColumnId="45"/>
      <queryTableField id="46" name="Column46" tableColumnId="46"/>
      <queryTableField id="47" name="Column47" tableColumnId="47"/>
      <queryTableField id="48" name="Column48" tableColumnId="48"/>
      <queryTableField id="49" name="Column49" tableColumnId="49"/>
      <queryTableField id="50" name="Column50" tableColumnId="50"/>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1" connectionId="2" xr16:uid="{FA5C1AB2-85A3-4CB7-9FAC-181EE1E20A89}" autoFormatId="16" applyNumberFormats="0" applyBorderFormats="0" applyFontFormats="0" applyPatternFormats="0" applyAlignmentFormats="0" applyWidthHeightFormats="0">
  <queryTableRefresh nextId="12">
    <queryTableFields count="11">
      <queryTableField id="1" name="title" tableColumnId="1"/>
      <queryTableField id="2" name="link" tableColumnId="2"/>
      <queryTableField id="3" name="description" tableColumnId="3"/>
      <queryTableField id="4" name="pubDate" tableColumnId="4"/>
      <queryTableField id="5" name="baseCurrency" tableColumnId="5"/>
      <queryTableField id="6" name="baseName" tableColumnId="6"/>
      <queryTableField id="7" name="targetCurrency" tableColumnId="7"/>
      <queryTableField id="8" name="targetName" tableColumnId="8"/>
      <queryTableField id="9" name="exchangeRate" tableColumnId="9"/>
      <queryTableField id="10" name="inverseRate" tableColumnId="10"/>
      <queryTableField id="11" name="inverseDescription" tableColumnId="11"/>
    </queryTableFields>
  </queryTableRefresh>
</queryTable>
</file>

<file path=xl/tables/_rels/table11.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8B4341F1-EFDB-4460-B4B6-715052EA9598}" name="Language_Parameters" displayName="Language_Parameters" ref="A10:AP17" totalsRowShown="0">
  <autoFilter ref="A10:AP17" xr:uid="{B6E84576-A28E-40A8-AB1C-92EEE64987C6}"/>
  <tableColumns count="42">
    <tableColumn id="1" xr3:uid="{17FC4A0C-446D-4636-B79D-5F0A5CA47631}" name="Language_Native" dataDxfId="169"/>
    <tableColumn id="2" xr3:uid="{13392A1C-8C35-4451-BCEF-31EA276EE87A}" name="Language"/>
    <tableColumn id="17" xr3:uid="{73683C0E-6244-4D31-A37F-C11AA0BDD204}" name="ISO 639-1"/>
    <tableColumn id="3" xr3:uid="{6501A071-FE28-4318-8158-C44D1753C649}" name="Language_Order"/>
    <tableColumn id="4" xr3:uid="{99489760-8F2D-4391-AFE4-53BE28A9031A}" name="Button_Menu" dataDxfId="168"/>
    <tableColumn id="5" xr3:uid="{FC647BA3-9FB3-4B9D-898D-FE86D681AC11}" name="Button_NextItem" dataDxfId="167"/>
    <tableColumn id="6" xr3:uid="{47863A26-2F3A-42C3-BD75-D0C80C4E5506}" name="Button_NextPage" dataDxfId="166"/>
    <tableColumn id="7" xr3:uid="{F7ED9AB1-39C3-402A-9B72-CAE964F7DCBD}" name="Button_Results" dataDxfId="165"/>
    <tableColumn id="8" xr3:uid="{BAEE6A73-A777-41C7-ACF0-3897E0B1E4FD}" name="Button_Help" dataDxfId="164"/>
    <tableColumn id="40" xr3:uid="{1449C1D2-9542-4ED1-878C-94E8A45A62AF}" name="Vaccine Database Notice" dataDxfId="163">
      <calculatedColumnFormula>'T1i. Vaccines'!B33</calculatedColumnFormula>
    </tableColumn>
    <tableColumn id="41" xr3:uid="{BCF02AEA-D513-4C6D-A7EE-C943FDCEB74F}" name="Vaccine Database Notice StartPage" dataDxfId="162">
      <calculatedColumnFormula>'T1i. Vaccines'!C33</calculatedColumnFormula>
    </tableColumn>
    <tableColumn id="42" xr3:uid="{B030FDA4-70D2-41ED-BA3A-1F36AB157054}" name="Vaccine_Database_LastUpdate" dataDxfId="161">
      <calculatedColumnFormula>'T1i. Vaccines'!D33</calculatedColumnFormula>
    </tableColumn>
    <tableColumn id="43" xr3:uid="{7F6C98DF-BEB5-4921-B53C-6D21FA36BB74}" name="Covax Notice" dataDxfId="160">
      <calculatedColumnFormula>'T1i. Vaccines'!E33</calculatedColumnFormula>
    </tableColumn>
    <tableColumn id="14" xr3:uid="{7DA27846-DE5D-4D8C-AC4B-FEB31FAFBD4C}" name="Disclaimer_Text" dataDxfId="159"/>
    <tableColumn id="9" xr3:uid="{27BC31DC-244E-4530-9F66-0729A1D1ED1F}" name="Disclaimer_Accepted" dataDxfId="158"/>
    <tableColumn id="10" xr3:uid="{722FCA5E-5A66-4F21-AD25-77AE22DCF9D4}" name="Disclaimer_Rejected" dataDxfId="157"/>
    <tableColumn id="15" xr3:uid="{6275D694-FA79-4905-8A2E-62ABFC7BFC80}" name="T1_Notice" dataDxfId="156"/>
    <tableColumn id="16" xr3:uid="{5E30CBD6-3029-4272-B901-05118CBECC59}" name="A1_Notice" dataDxfId="155"/>
    <tableColumn id="19" xr3:uid="{32351AAB-5CFC-4EB2-841E-69B49FA559A0}" name="Check" dataDxfId="154"/>
    <tableColumn id="20" xr3:uid="{A61202D6-35FF-4FE0-BC50-FDBBC50BE633}" name="Logic Passed" dataDxfId="153"/>
    <tableColumn id="28" xr3:uid="{877C4D02-0462-4DB9-ABF4-6F8BF4B97309}" name="Logic Failed" dataDxfId="152"/>
    <tableColumn id="13" xr3:uid="{CA631126-2070-44CB-AE87-20ADC9EDC35E}" name="Input Here" dataDxfId="151"/>
    <tableColumn id="30" xr3:uid="{14553257-DA44-4F45-81A9-8068004D2596}" name="Input Here Override" dataDxfId="150"/>
    <tableColumn id="39" xr3:uid="{08CE35C9-2D0B-4CEC-B798-9DCE42266119}" name="Select Here" dataDxfId="149"/>
    <tableColumn id="18" xr3:uid="{D44D24AC-C848-4973-9944-BA9748FA57BB}" name="Leave Blank" dataDxfId="148"/>
    <tableColumn id="31" xr3:uid="{34AF88C4-9EE0-4A53-A516-DBCE8823AF49}" name="Consider Security" dataDxfId="147"/>
    <tableColumn id="32" xr3:uid="{84D2E62C-0779-4845-8293-8D3727BD38CC}" name="Consider Universal" dataDxfId="146"/>
    <tableColumn id="29" xr3:uid="{B0C2EC9F-7EFB-415A-8A3C-B03D88AC5C30}" name="LCU" dataDxfId="145"/>
    <tableColumn id="33" xr3:uid="{A65C03D8-1A88-4DEA-9625-71A38EF0B430}" name="Still missing" dataDxfId="144"/>
    <tableColumn id="11" xr3:uid="{479C6B19-6385-4A15-AAF5-2C38D006470C}" name="Yes" dataDxfId="143"/>
    <tableColumn id="12" xr3:uid="{3A9A53A3-7D43-4532-9063-470903160BA9}" name="No" dataDxfId="142"/>
    <tableColumn id="21" xr3:uid="{A2E64FD6-29A9-4BA0-B387-D40F999FA604}" name="Surplus" dataDxfId="141"/>
    <tableColumn id="22" xr3:uid="{4C96581E-80B7-41EB-99B5-D842F7B0833F}" name="Deficit" dataDxfId="140"/>
    <tableColumn id="34" xr3:uid="{F5EF558C-2520-4786-A393-12F6104F6034}" name="Increase" dataDxfId="139"/>
    <tableColumn id="35" xr3:uid="{5A184D13-CFA9-44CF-8C4E-C307821B4889}" name="Decrease" dataDxfId="138"/>
    <tableColumn id="23" xr3:uid="{8CA0B480-63FE-4C63-8160-EC07552C872A}" name="Committed" dataDxfId="137"/>
    <tableColumn id="24" xr3:uid="{717D6401-7662-45A3-85BE-7E346E2A9C61}" name="Optional" dataDxfId="136"/>
    <tableColumn id="25" xr3:uid="{C19CE6E8-F831-4D63-B5C6-CA0FFCC65C94}" name="Non-Covax Participant" dataDxfId="135"/>
    <tableColumn id="36" xr3:uid="{63E34FE7-6A69-4DC8-8885-BB70473EF5E1}" name="Medium Variant" dataDxfId="134"/>
    <tableColumn id="37" xr3:uid="{849835AF-8F17-44A8-B35E-FDA8C64C01F5}" name="Upper Variant" dataDxfId="133"/>
    <tableColumn id="38" xr3:uid="{63ADD7AF-11F1-4925-8355-B6BCF8B47603}" name="Lower Variant" dataDxfId="132"/>
    <tableColumn id="26" xr3:uid="{C2E3AA23-33E8-43DA-8545-8D75E6D41009}" name="Avoid ultra-cold vaccines" dataDxfId="131"/>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B7B9ED1A-F3BA-4D7A-933B-EB6DB3C5BB9C}" name="SP.POP.TOTL.2020" displayName="SP.POP.TOTL.2020" ref="A1:B260" totalsRowShown="0">
  <autoFilter ref="A1:B260" xr:uid="{FF9C03FA-614A-4EA4-947E-0EE2B8E5DE48}"/>
  <tableColumns count="2">
    <tableColumn id="1" xr3:uid="{595B6E8F-7D1F-41B1-9275-D5BB5949E906}" name="Country Code"/>
    <tableColumn id="2" xr3:uid="{39E40BC6-2D66-4DC5-8085-0005D52CE33D}" name="2020 [YR2020]" dataDxfId="78" dataCellStyle="Comma"/>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75AFFE5-94EA-434C-A63B-38A2D3C17DF0}" name="FOREX1" displayName="FOREX1" ref="A1:K150" tableType="queryTable" totalsRowShown="0">
  <autoFilter ref="A1:K150" xr:uid="{561FDCDB-4C70-4591-B1D8-3634545D0C27}"/>
  <tableColumns count="11">
    <tableColumn id="1" xr3:uid="{A7DF7FDE-E10E-4232-8758-AF9B1C417B26}" uniqueName="1" name="title" queryTableFieldId="1" dataDxfId="77"/>
    <tableColumn id="2" xr3:uid="{F90668E5-7408-48E0-B2F7-7A88689521D0}" uniqueName="2" name="link" queryTableFieldId="2" dataDxfId="76"/>
    <tableColumn id="3" xr3:uid="{10C492C6-1691-4484-AEA2-9CDC13A57936}" uniqueName="3" name="description" queryTableFieldId="3" dataDxfId="75"/>
    <tableColumn id="4" xr3:uid="{B3962EAF-7257-4F25-A30C-8D96BB74C4F5}" uniqueName="4" name="pubDate" queryTableFieldId="4" dataDxfId="74"/>
    <tableColumn id="5" xr3:uid="{FEA86956-EB3B-4074-B997-EDC4CEE28B89}" uniqueName="5" name="baseCurrency" queryTableFieldId="5" dataDxfId="73"/>
    <tableColumn id="6" xr3:uid="{189EE6F3-033A-410B-81CD-3B1C5F29BA5A}" uniqueName="6" name="baseName" queryTableFieldId="6" dataDxfId="72"/>
    <tableColumn id="7" xr3:uid="{950082BC-BFD4-4F35-9BE1-F15B8FD6FC04}" uniqueName="7" name="targetCurrency" queryTableFieldId="7" dataDxfId="71"/>
    <tableColumn id="8" xr3:uid="{FA4B9793-B843-4055-BACB-85BA60A53466}" uniqueName="8" name="targetName" queryTableFieldId="8" dataDxfId="70"/>
    <tableColumn id="9" xr3:uid="{0D932F32-E728-4258-81F6-6151BEBDF19C}" uniqueName="9" name="exchangeRate" queryTableFieldId="9"/>
    <tableColumn id="10" xr3:uid="{5755873D-128B-4CCB-8E27-BFAC21751101}" uniqueName="10" name="inverseRate" queryTableFieldId="10"/>
    <tableColumn id="11" xr3:uid="{A1E6EDAC-B5CC-4301-9F6D-257AA91F2032}" uniqueName="11" name="inverseDescription" queryTableFieldId="11" dataDxfId="69"/>
  </tableColumns>
  <tableStyleInfo name="TableStyleMedium7"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D1B3EF8E-A657-46CB-A054-F816B5BAAAF8}" name="FOREX2" displayName="FOREX2" ref="A1:C151" totalsRowShown="0">
  <autoFilter ref="A1:C151" xr:uid="{DE18EE0E-D0AC-411E-A50A-D7FCD3399DD2}"/>
  <tableColumns count="3">
    <tableColumn id="1" xr3:uid="{F8CD5DC0-6E66-4763-AED2-8B0361FD8A9D}" name="Currency">
      <calculatedColumnFormula>'T6a. FOREX (XML)'!G1</calculatedColumnFormula>
    </tableColumn>
    <tableColumn id="2" xr3:uid="{7E9A3DA4-2F93-4B98-ADB1-0E997E360E04}" name="Name">
      <calculatedColumnFormula>'T6a. FOREX (XML)'!H1</calculatedColumnFormula>
    </tableColumn>
    <tableColumn id="3" xr3:uid="{E5017555-8CE3-4AF2-A4E3-2D2CFD1D7F27}" name="Exchange Rate" dataDxfId="68">
      <calculatedColumnFormula>'T6a. FOREX (XML)'!I1</calculatedColumnFormula>
    </tableColumn>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7AB489C8-ED94-419F-91C2-CA8E6E724BF3}" name="Household_Size" displayName="Household_Size" ref="B1:E254" totalsRowShown="0" tableBorderDxfId="67">
  <autoFilter ref="B1:E254" xr:uid="{BD57E137-C16E-42D7-B0E7-58B6ABE94100}">
    <filterColumn colId="3">
      <filters blank="1"/>
    </filterColumn>
  </autoFilter>
  <tableColumns count="4">
    <tableColumn id="1" xr3:uid="{55930809-415E-4BF9-8BAA-1BC9DDB70F9B}" name="TLC" dataDxfId="66">
      <calculatedColumnFormula>VLOOKUP('T7. UN Households'!$A2,ISO2TLC[],3,FALSE)</calculatedColumnFormula>
    </tableColumn>
    <tableColumn id="2" xr3:uid="{3B2966D6-A9E0-4ABC-8C88-7CDB4214A842}" name="Data source category" dataDxfId="65"/>
    <tableColumn id="3" xr3:uid="{29A0E363-AB63-4EC3-9AE9-4BFDECF9A46B}" name="Reference date (dd/mm/yyyy)" dataDxfId="64"/>
    <tableColumn id="4" xr3:uid="{2740A54B-611F-4D9C-865B-7B953FD91F59}" name="Average household size (number of members)" dataDxfId="63"/>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EB407F1-6472-4BBE-9CE1-13E7B1D2026B}" name="ISO2TLC" displayName="ISO2TLC" ref="A1:D250" totalsRowShown="0">
  <autoFilter ref="A1:D250" xr:uid="{19EC4D45-6F99-4607-AA01-F01A8E03015C}"/>
  <tableColumns count="4">
    <tableColumn id="1" xr3:uid="{3DF10FFA-1612-4F96-907A-2596242A2293}" name="Column1"/>
    <tableColumn id="2" xr3:uid="{0FF96B5C-DD96-41E8-98FF-90DD72CB23A0}" name="Column2"/>
    <tableColumn id="3" xr3:uid="{2B13E57A-937F-4A4C-8978-80908687E126}" name="Column3"/>
    <tableColumn id="4" xr3:uid="{A4812202-4753-4B77-A8A6-312A9DC2EAA5}" name="Column4"/>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7A445109-6832-4ADF-AC67-772DB0110C9B}" name="NHWA" displayName="NHWA" ref="A1:K195" totalsRowShown="0">
  <autoFilter ref="A1:K195" xr:uid="{23C9ACFB-578E-4CF4-AD4F-F815F44A463A}"/>
  <tableColumns count="11">
    <tableColumn id="1" xr3:uid="{B23DB719-7F6B-42A3-AD1B-5B1F9FE20FD8}" name="ISO3"/>
    <tableColumn id="2" xr3:uid="{C8CE88A8-5E67-4657-A3EF-7D229F0FF354}" name="Redeployment factor"/>
    <tableColumn id="3" xr3:uid="{3152F7C9-8CA3-47CF-A673-9DF610BC72E6}" name="Stock medical doctors"/>
    <tableColumn id="4" xr3:uid="{022B995B-F177-461C-85E1-C4B1F3E79E83}" name="Stock nursing personnel"/>
    <tableColumn id="5" xr3:uid="{92273D56-94E2-4E42-93F5-B9E002E0CB91}" name="Stock midwifery personnel"/>
    <tableColumn id="6" xr3:uid="{4A14328B-03FB-428D-BA32-7EDC027DA27D}" name="Stock pharmacists"/>
    <tableColumn id="7" xr3:uid="{B91E8933-7359-47CB-8A68-A021BD7680A7}" name="Graduates medical doctors"/>
    <tableColumn id="8" xr3:uid="{17CA7F32-5E27-4745-B3CD-2B1E3E2874C0}" name="Graduates nursing personnel"/>
    <tableColumn id="9" xr3:uid="{00FD5B2F-1ED2-4EAD-BC22-7715378B6FC5}" name="Graduates midwifery personnel"/>
    <tableColumn id="10" xr3:uid="{A4C5B4A6-CAD6-4BB6-A9CC-59B407140538}" name="Graduates pharmacists"/>
    <tableColumn id="11" xr3:uid="{14EBE18D-4599-4553-9019-E99277ECB4D2}" name="Potential staff redeployment">
      <calculatedColumnFormula>B2*SUM(C2:F2)</calculatedColumnFormula>
    </tableColumn>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170209CA-F090-4361-B84A-47A6DF08820F}" name="CCE" displayName="CCE" ref="A1:V172" totalsRowShown="0" headerRowDxfId="62" dataDxfId="61" headerRowCellStyle="Currency" dataCellStyle="Currency">
  <autoFilter ref="A1:V172" xr:uid="{BD049945-E486-4DA7-93C9-C46502A887E2}"/>
  <tableColumns count="22">
    <tableColumn id="1" xr3:uid="{DD1F27EB-5736-4688-8569-1F1B164C4D30}" name="Model">
      <calculatedColumnFormula>B2</calculatedColumnFormula>
    </tableColumn>
    <tableColumn id="2" xr3:uid="{A3A88FA1-B5E3-403C-9BC1-86863B4018CC}" name="Equipment model"/>
    <tableColumn id="3" xr3:uid="{175FD812-FC76-44FC-ACC5-755DF33A904E}" name="Category"/>
    <tableColumn id="4" xr3:uid="{5AA082FA-52C2-4719-9629-109CC5F8F18C}" name="Type of equipment and source of energy"/>
    <tableColumn id="5" xr3:uid="{D468EA2C-4A5A-42E1-9417-D2A15A586AA8}" name="Capacity segment (L)"/>
    <tableColumn id="6" xr3:uid="{1D7F61B8-65A0-4DE6-BABC-8C2A3DB7150B}" name="Equipment make"/>
    <tableColumn id="7" xr3:uid="{CFFDB8F6-866D-4DE2-A904-204B0CDD0856}" name="Vaccine capacity (L)"/>
    <tableColumn id="8" xr3:uid="{216DAB66-A20D-4094-91C2-297223FD94CE}" name="Freezer gross volume (L)"/>
    <tableColumn id="9" xr3:uid="{C1B5FD13-A3B4-4D6D-80BF-2BE2A7EFEAF5}" name="Holdover/_x000a_Autonomy (days)" dataDxfId="60"/>
    <tableColumn id="10" xr3:uid="{90D4C2F3-CD17-46A3-9C6C-DC63036C8EDE}" name="PQS indicative equipment unit price $US" dataDxfId="59"/>
    <tableColumn id="11" xr3:uid="{A98EB1DB-F603-4444-9D7F-ECCAF488E935}" name="Service bundle  indicative cost $US (Lower limit)" dataDxfId="58">
      <calculatedColumnFormula>O2</calculatedColumnFormula>
    </tableColumn>
    <tableColumn id="12" xr3:uid="{113038BA-AD37-4147-BF47-BCEF88A82846}" name="Service bundle indicative cost $US (Upper limit)" dataDxfId="57">
      <calculatedColumnFormula>P2</calculatedColumnFormula>
    </tableColumn>
    <tableColumn id="13" xr3:uid="{461D9805-14DD-40AE-AC87-53749E7E6D25}" name="Total unit cost $US (lower limit)" dataDxfId="56">
      <calculatedColumnFormula>$J2+K2</calculatedColumnFormula>
    </tableColumn>
    <tableColumn id="14" xr3:uid="{BB917CBC-5308-4792-BE8A-4332926ED795}" name="Total unit cost $US (upper limit)" dataDxfId="55">
      <calculatedColumnFormula>$J2+L2</calculatedColumnFormula>
    </tableColumn>
    <tableColumn id="15" xr3:uid="{B1D214A5-6335-410B-9A06-0C242ADD35AE}" name="Service bundle  indicative cost $US (Lower limit with Ground Mounts for Solar panels)" dataDxfId="54" dataCellStyle="Currency"/>
    <tableColumn id="16" xr3:uid="{9D7FA440-3C57-4E97-B748-0EB0FDC1CB6A}" name="Service bundle indicative cost $US (Upper limit with ground mounted solar panels for SDD)" dataDxfId="53" dataCellStyle="Currency"/>
    <tableColumn id="17" xr3:uid="{305E2B8C-4B3A-4DBF-96EF-0C1C9476FB83}" name="Service bundle  indicative cost $US (Lower limit Pole mounts)" dataDxfId="52" dataCellStyle="Currency"/>
    <tableColumn id="18" xr3:uid="{DEDF7B21-EE2D-4007-B67C-84E5D12AA9CD}" name="Service bundle indicative cost $US (Upper limit with Pole Mounts )" dataDxfId="51" dataCellStyle="Currency"/>
    <tableColumn id="19" xr3:uid="{8DBF6497-F16E-432F-AD43-2C4C4ACEDABE}" name="Total unit cost $US_x000a_(lower limit ILR+ Ground mount)" dataDxfId="50" dataCellStyle="Currency">
      <calculatedColumnFormula>J2+O2</calculatedColumnFormula>
    </tableColumn>
    <tableColumn id="20" xr3:uid="{BA241FD9-9509-4FA4-B7D3-66F10336E378}" name="Total unit cost $US _x000a_(upper limit ILR+ Ground mount)" dataDxfId="49" dataCellStyle="Currency">
      <calculatedColumnFormula>J2+P2</calculatedColumnFormula>
    </tableColumn>
    <tableColumn id="21" xr3:uid="{4735FB55-7305-4225-AFE9-194F62D4957F}" name="kWh per day" dataDxfId="48"/>
    <tableColumn id="22" xr3:uid="{BF37D797-CA40-4FFB-84B0-58F96CCDCD37}" name="Capacity Segment - rename" dataDxfId="47" dataCellStyle="Currency"/>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AAE80306-E904-4CC9-99D8-0AF7A6AC21C3}" name="GGX_USD" displayName="GGX_USD" ref="A1:D168" totalsRowShown="0">
  <autoFilter ref="A1:D168" xr:uid="{B8990FAB-BA35-434A-9A7B-276C0907A05D}"/>
  <tableColumns count="4">
    <tableColumn id="1" xr3:uid="{39BBEF19-72DC-4EC2-A5F0-E7D68E8CC365}" name="ISO"/>
    <tableColumn id="2" xr3:uid="{A7E02555-01CE-4FBF-BEBD-53445825468E}" name="2021" dataDxfId="46">
      <calculatedColumnFormula>IF($M2="","",I2*1000000000/$M2)</calculatedColumnFormula>
    </tableColumn>
    <tableColumn id="3" xr3:uid="{F23D8527-3B11-413A-BB03-3D32E1F8156F}" name="2022" dataDxfId="45">
      <calculatedColumnFormula>IF($M2="","",J2*1000000000/$M2)</calculatedColumnFormula>
    </tableColumn>
    <tableColumn id="4" xr3:uid="{34FCCF57-0285-4755-AA6E-7AA82C361882}" name="2023" dataDxfId="44">
      <calculatedColumnFormula>IF($M2="","",K2*1000000000/$M2)</calculatedColumnFormula>
    </tableColumn>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D1C72857-553A-42A6-963A-2394B3E1A8E5}" name="GHED_Nathalie" displayName="GHED_Nathalie" ref="A3:T193" totalsRowShown="0">
  <autoFilter ref="A3:T193" xr:uid="{712F730E-7D6C-44A5-BBC9-6DC7B595A1A5}"/>
  <tableColumns count="20">
    <tableColumn id="1" xr3:uid="{388F1272-FF59-4BC4-BCB1-8DB7B4BF41E5}" name="iso"/>
    <tableColumn id="2" xr3:uid="{0C918B0D-4113-4FD0-BA70-DC28F8146873}" name="Countries"/>
    <tableColumn id="3" xr3:uid="{95246580-6C6D-444D-92F9-5A02D5BD15CB}" name="2018"/>
    <tableColumn id="4" xr3:uid="{38B7A981-F0CA-47A8-A3AB-C5F9D1A4DBEE}" name="20182" dataDxfId="43">
      <calculatedColumnFormula>E4+F4</calculatedColumnFormula>
    </tableColumn>
    <tableColumn id="5" xr3:uid="{EC6E7761-7191-4C44-B663-A62385C28437}" name="20183"/>
    <tableColumn id="6" xr3:uid="{0E30A7A3-4A01-4B1E-ACE0-1B034337435A}" name="20184"/>
    <tableColumn id="7" xr3:uid="{5D37B361-0936-471F-B7CE-A7CDD42686EF}" name="20185"/>
    <tableColumn id="8" xr3:uid="{6CA7813F-AE37-4BFB-81B6-DA4CCE1F7CE0}" name="20186"/>
    <tableColumn id="9" xr3:uid="{69445D16-96F4-4EBB-9886-4D7ED8C5199F}" name="20187"/>
    <tableColumn id="10" xr3:uid="{9B9FAE54-50D6-425A-9CC4-79219A8C224F}" name="20188"/>
    <tableColumn id="11" xr3:uid="{A044DE2C-2911-45A8-9E61-1C609DA20FB1}" name="20189"/>
    <tableColumn id="12" xr3:uid="{68D8FDAF-FBEC-415B-A1B0-E199B1AD1944}" name="15-18 average"/>
    <tableColumn id="13" xr3:uid="{E86901DA-8E54-4F0D-A4F2-0F1006455FBF}" name="15-18 average10">
      <calculatedColumnFormula>N4+O4</calculatedColumnFormula>
    </tableColumn>
    <tableColumn id="14" xr3:uid="{D7D6F714-219F-41F3-9E15-8597EB1E54BD}" name="15-18 average11"/>
    <tableColumn id="15" xr3:uid="{2EFEAB46-65B7-4895-9CE0-461DADBD1252}" name="15-18 average12"/>
    <tableColumn id="16" xr3:uid="{55B87EB6-CCCE-4F46-AB8C-86CEAFF01113}" name="15-18 average13"/>
    <tableColumn id="17" xr3:uid="{514E9C72-FAF0-4E8C-B11D-5AC17D654CFB}" name="15-18 average14"/>
    <tableColumn id="18" xr3:uid="{F53D546B-5633-429A-AE55-4525CE57ACE4}" name="15-18 average15"/>
    <tableColumn id="19" xr3:uid="{3BE6A598-ED34-46CB-8107-2B1479402496}" name="15-18 average16"/>
    <tableColumn id="20" xr3:uid="{4B9B2A93-F657-40E8-B9C8-AD416581EAC6}" name="15-18 average17"/>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F18F1882-868C-4D03-B84A-B055ADE643A5}" name="HGF_Salaries_2020" displayName="HGF_Salaries_2020" ref="A1:H195" totalsRowShown="0" headerRowDxfId="42" dataCellStyle="Normal">
  <autoFilter ref="A1:H195" xr:uid="{380AC64B-D8D6-45AB-91B0-18C04E0DCA2E}"/>
  <tableColumns count="8">
    <tableColumn id="1" xr3:uid="{93ABC7E6-10DA-48B4-8DC2-AA43DA034A34}" name="ISO3" dataCellStyle="Normal"/>
    <tableColumn id="2" xr3:uid="{0147F381-3CA8-4F7C-A5D7-832683FF47EE}" name="Professionals" dataDxfId="41" dataCellStyle="Normal"/>
    <tableColumn id="3" xr3:uid="{44DA9D6B-D5FE-45B0-B746-F4D5A20186BD}" name="Nurses" dataDxfId="40" dataCellStyle="Normal"/>
    <tableColumn id="4" xr3:uid="{372CD2BB-5EAD-4460-AB2A-70BF139614BA}" name="Technicians" dataDxfId="39" dataCellStyle="Normal"/>
    <tableColumn id="5" xr3:uid="{11EA02CA-907E-4A75-AC87-FE6CC18CF09E}" name="Cleaner" dataDxfId="38" dataCellStyle="Normal"/>
    <tableColumn id="6" xr3:uid="{A93F1999-32DA-4180-BC47-A65DA61AAFD0}" name="Clerk/Secretary" dataDxfId="37" dataCellStyle="Normal"/>
    <tableColumn id="7" xr3:uid="{C331F1B7-13A9-4C58-A506-3B67A5FE1AA9}" name="Patient Support" dataDxfId="36" dataCellStyle="Normal"/>
    <tableColumn id="8" xr3:uid="{60E31287-30F5-4554-A374-AED6CCF44669}" name="Medical Assistant" dataDxfId="35" dataCellStyle="Normal"/>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3E7DD5FF-3EB5-4DCC-B453-CEC13B5F054B}" name="cvic_update_payload" displayName="cvic_update_payload" ref="A2:AX39" tableType="queryTable" headerRowCount="0" totalsRowShown="0">
  <tableColumns count="50">
    <tableColumn id="1" xr3:uid="{E0FC007B-50E6-4946-9E4A-C2C06D3AF067}" uniqueName="1" name="Column1" queryTableFieldId="1" dataDxfId="128"/>
    <tableColumn id="2" xr3:uid="{BC01DE44-F171-4842-9FFA-411E2E2E4369}" uniqueName="2" name="Column2" queryTableFieldId="2" dataDxfId="127"/>
    <tableColumn id="3" xr3:uid="{0FD52E3A-7E29-43C7-85E0-93710876AD54}" uniqueName="3" name="Column3" queryTableFieldId="3" dataDxfId="126"/>
    <tableColumn id="4" xr3:uid="{3949C707-4A95-4AB9-8519-CBFFBB8C3A0E}" uniqueName="4" name="Column4" queryTableFieldId="4" dataDxfId="125"/>
    <tableColumn id="5" xr3:uid="{CD6269C9-9A79-4837-94A0-354C2E39FFF8}" uniqueName="5" name="Column5" queryTableFieldId="5" dataDxfId="124"/>
    <tableColumn id="6" xr3:uid="{6660B717-C228-4226-BFE3-D6E25745541B}" uniqueName="6" name="Column6" queryTableFieldId="6" dataDxfId="123"/>
    <tableColumn id="7" xr3:uid="{F4CEE9F9-9797-4744-92C3-0A91E3C29CA1}" uniqueName="7" name="Column7" queryTableFieldId="7" dataDxfId="122"/>
    <tableColumn id="8" xr3:uid="{F1F697CB-9737-4690-87A2-4388CAA6CE0A}" uniqueName="8" name="Column8" queryTableFieldId="8" dataDxfId="121"/>
    <tableColumn id="9" xr3:uid="{EA45BA2F-F53D-417A-ACB3-E8E11D88CF1E}" uniqueName="9" name="Column9" queryTableFieldId="9" dataDxfId="120"/>
    <tableColumn id="10" xr3:uid="{B4BDF65C-4436-48CD-ABED-19E366E2BC1E}" uniqueName="10" name="Column10" queryTableFieldId="10" dataDxfId="119"/>
    <tableColumn id="11" xr3:uid="{7DAD17A6-3C6A-41DA-AD15-64035BBFEB3B}" uniqueName="11" name="Column11" queryTableFieldId="11" dataDxfId="118"/>
    <tableColumn id="12" xr3:uid="{6D15A0A2-5F28-4052-90C6-661B8FF6CB57}" uniqueName="12" name="Column12" queryTableFieldId="12" dataDxfId="117"/>
    <tableColumn id="13" xr3:uid="{2F67782E-8CD4-47B3-AC09-B5D792F88A1D}" uniqueName="13" name="Column13" queryTableFieldId="13" dataDxfId="116"/>
    <tableColumn id="14" xr3:uid="{5B341162-CF20-45F1-A8C9-69BC65A67D73}" uniqueName="14" name="Column14" queryTableFieldId="14" dataDxfId="115"/>
    <tableColumn id="15" xr3:uid="{57B754A0-078B-4DBC-81C9-A47D6021C58A}" uniqueName="15" name="Column15" queryTableFieldId="15" dataDxfId="114"/>
    <tableColumn id="16" xr3:uid="{53EC6689-EEF3-42D9-9F4E-E4D1D68C8E52}" uniqueName="16" name="Column16" queryTableFieldId="16" dataDxfId="113"/>
    <tableColumn id="17" xr3:uid="{BA880CC9-6812-426B-B12D-DD1575D17BDB}" uniqueName="17" name="Column17" queryTableFieldId="17" dataDxfId="112"/>
    <tableColumn id="18" xr3:uid="{CABC991B-B781-4ACD-AD2E-BF82BF99AEB4}" uniqueName="18" name="Column18" queryTableFieldId="18" dataDxfId="111"/>
    <tableColumn id="19" xr3:uid="{D63B91CC-A1EE-4BE9-89D0-7BE0D39953F8}" uniqueName="19" name="Column19" queryTableFieldId="19" dataDxfId="110"/>
    <tableColumn id="20" xr3:uid="{3A2045EF-0D6F-4892-BECF-8080149AD703}" uniqueName="20" name="Column20" queryTableFieldId="20" dataDxfId="109"/>
    <tableColumn id="21" xr3:uid="{C195B57F-73B2-4BF4-B24D-5229B8B04C9A}" uniqueName="21" name="Column21" queryTableFieldId="21" dataDxfId="108"/>
    <tableColumn id="22" xr3:uid="{977937DA-E692-475F-944E-D677F795813C}" uniqueName="22" name="Column22" queryTableFieldId="22" dataDxfId="107"/>
    <tableColumn id="23" xr3:uid="{C5D5A93E-61CA-4661-9792-A40EDE251AAF}" uniqueName="23" name="Column23" queryTableFieldId="23" dataDxfId="106"/>
    <tableColumn id="24" xr3:uid="{0F421FAC-0832-4B74-A2F2-F3C4174EAF76}" uniqueName="24" name="Column24" queryTableFieldId="24" dataDxfId="105"/>
    <tableColumn id="25" xr3:uid="{25207D24-EB30-4DBC-8D96-FFCF895E2037}" uniqueName="25" name="Column25" queryTableFieldId="25" dataDxfId="104"/>
    <tableColumn id="26" xr3:uid="{0B254418-794D-4366-892A-052B962F3743}" uniqueName="26" name="Column26" queryTableFieldId="26" dataDxfId="103"/>
    <tableColumn id="27" xr3:uid="{9A922EA6-412A-4E5D-B2CF-1E24005F69B1}" uniqueName="27" name="Column27" queryTableFieldId="27" dataDxfId="102"/>
    <tableColumn id="28" xr3:uid="{84C6258C-7004-4C71-A15A-199B4FA36AFA}" uniqueName="28" name="Column28" queryTableFieldId="28" dataDxfId="101"/>
    <tableColumn id="29" xr3:uid="{52D859E8-13A5-4CB3-BFA9-C7575717848D}" uniqueName="29" name="Column29" queryTableFieldId="29" dataDxfId="100"/>
    <tableColumn id="30" xr3:uid="{ECB6450E-E23B-4A52-A17E-EDA3EFD6CFD0}" uniqueName="30" name="Column30" queryTableFieldId="30" dataDxfId="99"/>
    <tableColumn id="31" xr3:uid="{24C19AD2-47C0-4B7C-83B7-62ABC1AAA526}" uniqueName="31" name="Column31" queryTableFieldId="31" dataDxfId="98"/>
    <tableColumn id="32" xr3:uid="{4A45E60E-72BD-4097-BF13-946165516538}" uniqueName="32" name="Column32" queryTableFieldId="32" dataDxfId="97"/>
    <tableColumn id="33" xr3:uid="{10D69282-BAEA-4EC4-96D1-492E3D2135BD}" uniqueName="33" name="Column33" queryTableFieldId="33" dataDxfId="96"/>
    <tableColumn id="34" xr3:uid="{F36ECBBD-2604-4B7C-B14E-AB4446807AD7}" uniqueName="34" name="Column34" queryTableFieldId="34" dataDxfId="95"/>
    <tableColumn id="35" xr3:uid="{93F8A755-CEBF-413E-BBA3-0888DBA18807}" uniqueName="35" name="Column35" queryTableFieldId="35" dataDxfId="94"/>
    <tableColumn id="36" xr3:uid="{3F9E9733-7AE7-4A57-B721-CE1ED329D7C5}" uniqueName="36" name="Column36" queryTableFieldId="36" dataDxfId="93"/>
    <tableColumn id="37" xr3:uid="{52BF82DA-21E6-4F0F-A186-FF94EBBEBD83}" uniqueName="37" name="Column37" queryTableFieldId="37" dataDxfId="92"/>
    <tableColumn id="38" xr3:uid="{2C6969B8-0001-461D-A0B3-95D11D3739E0}" uniqueName="38" name="Column38" queryTableFieldId="38" dataDxfId="91"/>
    <tableColumn id="39" xr3:uid="{89F2420F-4544-433E-A6B0-44323A94A6D9}" uniqueName="39" name="Column39" queryTableFieldId="39" dataDxfId="90"/>
    <tableColumn id="40" xr3:uid="{22419F70-C940-40B8-8B22-D17BDA9ACBEA}" uniqueName="40" name="Column40" queryTableFieldId="40" dataDxfId="89"/>
    <tableColumn id="41" xr3:uid="{D4D0D1EA-B6C5-47EA-9252-BD722A4D4F34}" uniqueName="41" name="Column41" queryTableFieldId="41" dataDxfId="88"/>
    <tableColumn id="42" xr3:uid="{91F59A54-2158-4D05-8511-E6F5ABD65E56}" uniqueName="42" name="Column42" queryTableFieldId="42" dataDxfId="87"/>
    <tableColumn id="43" xr3:uid="{8296CC14-48DD-47B3-A211-4204E0B3D3CC}" uniqueName="43" name="Column43" queryTableFieldId="43" dataDxfId="86"/>
    <tableColumn id="44" xr3:uid="{693B1F94-8836-4238-9B24-9735E260FE26}" uniqueName="44" name="Column44" queryTableFieldId="44" dataDxfId="85"/>
    <tableColumn id="45" xr3:uid="{E7110DCD-C6DB-405E-BD5E-329F08ED7615}" uniqueName="45" name="Column45" queryTableFieldId="45" dataDxfId="84"/>
    <tableColumn id="46" xr3:uid="{FD29CEEE-B0D2-4082-ACF3-88C38666C18B}" uniqueName="46" name="Column46" queryTableFieldId="46" dataDxfId="83"/>
    <tableColumn id="47" xr3:uid="{12458BD3-4E3A-4376-A335-5652991306B6}" uniqueName="47" name="Column47" queryTableFieldId="47" dataDxfId="82"/>
    <tableColumn id="48" xr3:uid="{DB1EE871-83E2-442D-B4D7-20227965896B}" uniqueName="48" name="Column48" queryTableFieldId="48" dataDxfId="81"/>
    <tableColumn id="49" xr3:uid="{4066A71D-EBDC-4EAA-BC6D-EEFE2E7E819F}" uniqueName="49" name="Column49" queryTableFieldId="49" dataDxfId="80"/>
    <tableColumn id="50" xr3:uid="{59FCFE9C-697C-4E92-B6C8-84F73AD5DFBF}" uniqueName="50" name="Column50" queryTableFieldId="50" dataDxfId="79"/>
  </tableColumns>
  <tableStyleInfo name="TableStyleMedium7"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6C1D4E2-41BC-42AE-9169-56D8E2BB2784}" name="WHO_GHED_2018_total" displayName="WHO_GHED_2018_total" ref="A1:H753" totalsRowShown="0" headerRowDxfId="34">
  <autoFilter ref="A1:H753" xr:uid="{81E408C2-4B7D-433F-941E-36652A4D7573}"/>
  <tableColumns count="8">
    <tableColumn id="1" xr3:uid="{26A93B77-F264-4B52-8FDE-65F4AF050725}" name="index">
      <calculatedColumnFormula>_xlfn.CONCAT(G2,H2)</calculatedColumnFormula>
    </tableColumn>
    <tableColumn id="2" xr3:uid="{B466961B-46B0-483C-879B-8051A969D4DE}" name="che_usd" dataDxfId="33"/>
    <tableColumn id="3" xr3:uid="{C98CA224-7A03-4A9B-BE1E-6C3740037565}" name="gghe_usd" dataDxfId="32"/>
    <tableColumn id="4" xr3:uid="{F7D9F1F7-0EBA-484D-B13E-2D6C5A4E75D6}" name="gghed_usd" dataDxfId="31"/>
    <tableColumn id="5" xr3:uid="{5A193BCC-886F-4B6D-9A9A-33BBE1F6966A}" name="ext_usd" dataDxfId="30"/>
    <tableColumn id="6" xr3:uid="{E7A4B82D-9E7E-420A-8B5B-05A71B37C72E}" name="hk_usd" dataDxfId="29"/>
    <tableColumn id="7" xr3:uid="{9772A8C0-C56D-4965-9E35-0727EE5A1340}" name="code"/>
    <tableColumn id="8" xr3:uid="{8DD078B4-B5BB-4344-9298-C87F8A6DA54A}" name="year"/>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87CBE85B-5934-48CD-BEDC-950404115F60}" name="Vaccine_Expenditures_6520" displayName="Vaccine_Expenditures_6520" ref="A3:S198" totalsRowShown="0" headerRowDxfId="28" dataDxfId="26" headerRowBorderDxfId="27" tableBorderDxfId="25">
  <autoFilter ref="A3:S198" xr:uid="{C2659F94-2ECB-4ACE-824B-A90CAC8BB845}"/>
  <tableColumns count="19">
    <tableColumn id="1" xr3:uid="{B79E415A-FC54-4484-8569-69FED0F1B141}" name="ISO Code" dataDxfId="24"/>
    <tableColumn id="2" xr3:uid="{39AF16BF-AE55-474E-B173-69B7CE68A4D1}" name="Country" dataDxfId="23"/>
    <tableColumn id="3" xr3:uid="{8F127EFC-91ED-488E-8F11-D3BA638C791E}" name="Region" dataDxfId="22"/>
    <tableColumn id="4" xr3:uid="{3731CE0A-D4AB-48C2-86D3-285A1E32B758}" name="Income" dataDxfId="21"/>
    <tableColumn id="5" xr3:uid="{4030DB57-4EAF-4669-9A64-A53ACCC7BD18}" name="2006" dataDxfId="20"/>
    <tableColumn id="6" xr3:uid="{77A24987-B450-4268-8CFC-3F90CEBB745F}" name="2007" dataDxfId="19"/>
    <tableColumn id="7" xr3:uid="{D982C22B-9547-4E2C-8739-6F6210291620}" name="2008" dataDxfId="18"/>
    <tableColumn id="8" xr3:uid="{CCF765AB-7024-42B3-8503-154B63A46BBF}" name="2009" dataDxfId="17"/>
    <tableColumn id="9" xr3:uid="{DD997F01-AC90-4004-A963-D4D4E031232D}" name="2010" dataDxfId="16"/>
    <tableColumn id="10" xr3:uid="{40999183-61C0-471E-9A28-53F4AC984884}" name="2011" dataDxfId="15"/>
    <tableColumn id="11" xr3:uid="{052EC723-8398-4429-9DE7-A595E695735C}" name="2012" dataDxfId="14"/>
    <tableColumn id="12" xr3:uid="{73A4CEDA-B7BA-44A9-86F4-8AF4E9056937}" name="2013" dataDxfId="13"/>
    <tableColumn id="13" xr3:uid="{AB0A6E62-AF2B-47AC-8DC1-1C04F292D64A}" name="2014" dataDxfId="12"/>
    <tableColumn id="14" xr3:uid="{658BDF7D-B104-4B29-9B49-07E08C2F4114}" name="2015" dataDxfId="11"/>
    <tableColumn id="15" xr3:uid="{F2CC361D-82D2-44AE-8155-284BD0D706F2}" name="2016" dataDxfId="10"/>
    <tableColumn id="16" xr3:uid="{3FAD7512-AB72-4E2D-B1BA-DBEC31F96CEE}" name="2017" dataDxfId="9"/>
    <tableColumn id="17" xr3:uid="{B1B42718-D6DC-46E4-BFD0-61E107AFB22D}" name="2018" dataDxfId="8"/>
    <tableColumn id="18" xr3:uid="{3205C8FA-A818-43C9-A557-D9D0C8A966D4}" name="2019" dataDxfId="7"/>
    <tableColumn id="19" xr3:uid="{E78E8169-317C-43AF-A74E-6FAB6F20BADD}" name="Average of available data last 5 years" dataDxfId="6">
      <calculatedColumnFormula>IF(ISERROR(AVERAGE(N4:R4)),"",AVERAGE(N4:R4))</calculatedColumnFormula>
    </tableColumn>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3438DF65-B56E-4678-8711-5E4EA1C770B5}" name="SP.DYN.CBRT.IN" displayName="SP.DYN.CBRT.IN" ref="A1:B265" totalsRowShown="0">
  <autoFilter ref="A1:B265" xr:uid="{5A623356-8E99-41DB-9195-1813474E06D0}"/>
  <tableColumns count="2">
    <tableColumn id="1" xr3:uid="{D8FE2B22-8CCE-43ED-B053-F4A73EDBF558}" name="Country Code"/>
    <tableColumn id="2" xr3:uid="{BFE220A6-23EF-4057-A2F7-C62A44326166}" name="SP.DYN.CBRT.IN (2018)"/>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9F2C1121-0048-4726-A9F4-72256DC8A625}" name="SH.STA.DIAB.ZS" displayName="SH.STA.DIAB.ZS" ref="A1:B265" totalsRowShown="0">
  <autoFilter ref="A1:B265" xr:uid="{45FC30C3-28C9-498D-986D-DEA51E38B9CC}"/>
  <tableColumns count="2">
    <tableColumn id="1" xr3:uid="{5BCE42E3-D5BE-4163-98CE-B72EB3FF13AF}" name="Country Code"/>
    <tableColumn id="2" xr3:uid="{5D2F490F-251D-4671-B4F0-68E01BFCC7F1}" name="SH.STA.DIAB.ZS (2019)" dataDxfId="5"/>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F2E679B-BD6D-4A8D-B198-326E3E13D16F}" name="SP.URB.TOTL.IN.ZS" displayName="SP.URB.TOTL.IN.ZS" ref="A1:B265" totalsRowShown="0">
  <autoFilter ref="A1:B265" xr:uid="{5AB56B57-0A8A-4644-B56E-EC2DC19E3843}"/>
  <tableColumns count="2">
    <tableColumn id="1" xr3:uid="{1EB0458C-2198-44FA-9C9B-737A7557AC4F}" name="Country Code"/>
    <tableColumn id="2" xr3:uid="{905840E3-11CE-4127-92CA-94B06D1E5CB3}" name="SP.URB.TOTL.IN.ZS (2019)" dataDxfId="4"/>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46F0BE2E-8F53-4A33-885A-BF38E58B0B19}" name="AG.SRF.TOTL.K2" displayName="AG.SRF.TOTL.K2" ref="A1:B265" totalsRowShown="0" headerRowDxfId="3" dataDxfId="2">
  <autoFilter ref="A1:B265" xr:uid="{DD5B485C-3E05-4366-9463-49DD6C80CE6E}"/>
  <tableColumns count="2">
    <tableColumn id="1" xr3:uid="{07BF7987-9315-4A8D-BE60-B1F885CD0C45}" name="Country Code" dataDxfId="1"/>
    <tableColumn id="2" xr3:uid="{26BB0BEC-911D-41B3-8836-8C7D31D9B11A}" name="AG.SRF.TOTL.K2 (2018)" dataDxfId="0" dataCellStyle="Comma"/>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8FE85C64-CAA9-4201-B32A-D9916F52D513}" name="EN.URB.LCTY.UR.ZS" displayName="EN.URB.LCTY.UR.ZS" ref="A1:B265" totalsRowShown="0">
  <autoFilter ref="A1:B265" xr:uid="{7BE69428-9B1C-4301-8511-9FD29064253C}"/>
  <tableColumns count="2">
    <tableColumn id="1" xr3:uid="{9866D798-10FB-440B-8077-E26A88EB24AC}" name="Country Code"/>
    <tableColumn id="2" xr3:uid="{E81AA49C-E6A0-46E2-98E8-C93273654922}" name="EN.URB.LCTY.UR.ZS (2019)"/>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63DEBF0-8352-4C46-ACA8-AB9ABC3CB39A}" name="Country_Codes" displayName="Country_Codes" ref="A1:B200" totalsRowShown="0">
  <autoFilter ref="A1:B200" xr:uid="{6F7CB4AA-6BCF-4838-A1E1-F9DE80F1675D}"/>
  <sortState xmlns:xlrd2="http://schemas.microsoft.com/office/spreadsheetml/2017/richdata2" ref="A2:B200">
    <sortCondition ref="A2:A200"/>
  </sortState>
  <tableColumns count="2">
    <tableColumn id="1" xr3:uid="{C8441BCC-57A5-4505-BB5C-608ACE5E67E1}" name="COUNTRY (DISPLAY)"/>
    <tableColumn id="2" xr3:uid="{3A301CF9-D16F-4CB4-B1E9-591BE469362E}" name="COUNTRY (CODE)"/>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B3807603-1CE2-49D4-BDC1-22F184F286FB}" name="UN_WPP_AgeOffset" displayName="UN_WPP_AgeOffset" ref="D1:E6" totalsRowShown="0">
  <autoFilter ref="D1:E6" xr:uid="{DDA4A990-6509-4AA4-B69B-8A0BEB89E196}"/>
  <tableColumns count="2">
    <tableColumn id="1" xr3:uid="{A2C7DBAD-29F1-4E48-B1B8-1A6F9DE4824A}" name="Column1"/>
    <tableColumn id="2" xr3:uid="{40064623-6A85-48CE-9641-5C03287574D0}" name="Offset"/>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769CFC9D-10A7-400F-BA46-1FF48A572652}" name="WB_WHO" displayName="WB_WHO" ref="A1:AL195" totalsRowShown="0">
  <autoFilter ref="A1:AL195" xr:uid="{CD73BA74-1316-4E82-9EB6-192E61E7B605}"/>
  <sortState xmlns:xlrd2="http://schemas.microsoft.com/office/spreadsheetml/2017/richdata2" ref="A2:AL195">
    <sortCondition ref="B1:B195"/>
  </sortState>
  <tableColumns count="38">
    <tableColumn id="1" xr3:uid="{1BDAB79A-87ED-4611-9AEA-55318F18865C}" name="Country_Code"/>
    <tableColumn id="2" xr3:uid="{2ED104A1-D7A3-494D-9A59-CBC7CB23F765}" name="Country_Name"/>
    <tableColumn id="3" xr3:uid="{BDCFFE90-DC05-4F1A-BF36-B33D2AEE2438}" name="WHO_Region"/>
    <tableColumn id="4" xr3:uid="{46BBC092-76CD-460C-946A-381D8EC0E5FF}" name="WB_Region"/>
    <tableColumn id="5" xr3:uid="{ACEC6AFF-2AFE-4BF6-A3DD-3C23E62BC179}" name="WB_Income_Group"/>
    <tableColumn id="6" xr3:uid="{4AC8AE7B-6495-4731-8E2C-9FEFE4FDE932}" name="WB_Lending_Category"/>
    <tableColumn id="7" xr3:uid="{D6E9AF73-4261-4F94-A596-349F36A84BC0}" name="WB_Pac_Island_State"/>
    <tableColumn id="8" xr3:uid="{D2CF8480-9BC9-48F9-BE13-FD8F0AC57580}" name="WB_Fragile_State"/>
    <tableColumn id="9" xr3:uid="{2FBB665D-BCC6-46CB-91FF-33621DC3B70F}" name="WB_HIPC"/>
    <tableColumn id="10" xr3:uid="{DB5E8666-03F9-4C42-B0B8-1D161CD823F4}" name="DEVICES00 n"/>
    <tableColumn id="11" xr3:uid="{55F7F77A-60B1-492F-99E8-4729AA2E336F}" name="DEVICES01 n"/>
    <tableColumn id="12" xr3:uid="{7CE2F911-50F9-4D8B-A0F3-18FB796ECB93}" name="DEVICES02 n"/>
    <tableColumn id="13" xr3:uid="{07D447B3-85B3-405B-9F4B-D8E459CF020E}" name="DEVICES03 n"/>
    <tableColumn id="14" xr3:uid="{DD7C5AEF-9931-4B6F-A88F-0FCB20B38FDC}" name="DEVICES04 n"/>
    <tableColumn id="15" xr3:uid="{E0B817AB-C221-4F6D-90B7-1F1DECD0A524}" name="DEVICES05 n"/>
    <tableColumn id="16" xr3:uid="{05345272-F062-478C-A210-C74E9FAEB83B}" name="HRH_40 n"/>
    <tableColumn id="17" xr3:uid="{DA294FB9-1817-4F95-8C32-FED07CB1CA17}" name="HWF_0001 n"/>
    <tableColumn id="18" xr3:uid="{8C15DB6B-82C7-43BB-8193-229D43F5C9EA}" name="HWF_0002 n"/>
    <tableColumn id="19" xr3:uid="{4A217A9D-9346-4299-B03D-6EF1493A0D39}" name="HWF_0003 n"/>
    <tableColumn id="20" xr3:uid="{F13035E4-140D-4B76-AE42-4E0FDF966EF3}" name="HWF_0004 n"/>
    <tableColumn id="21" xr3:uid="{68D63DBD-1711-4ED6-8379-DC961D6FDF85}" name="HWF_0005 n"/>
    <tableColumn id="22" xr3:uid="{B4A5B215-4DC8-47B9-B683-9E0959FE12FD}" name="HWF_0006 n"/>
    <tableColumn id="23" xr3:uid="{B80734DF-3065-4421-B190-2BB3E2AE8203}" name="HWF_0007 n"/>
    <tableColumn id="24" xr3:uid="{BC7E68E0-57B9-44F4-AF2B-ED3514182298}" name="HWF_0008 n"/>
    <tableColumn id="25" xr3:uid="{2B21F80B-5F81-46D9-90A5-B94158B49B23}" name="HWF_0009 n"/>
    <tableColumn id="26" xr3:uid="{D941C7DD-B473-4C41-901C-685BA9DF8C09}" name="HWF_0010 n"/>
    <tableColumn id="27" xr3:uid="{C72F194A-7E2B-48A1-94E2-CCEBB8742933}" name="HWF_0011 n"/>
    <tableColumn id="28" xr3:uid="{BEF50463-6A21-4447-9EFB-34D9D2E74C20}" name="HWF_0012 n"/>
    <tableColumn id="29" xr3:uid="{29020704-288B-4AB7-9FC7-705DECF08CB1}" name="HWF_0013 n"/>
    <tableColumn id="30" xr3:uid="{0A4E43A6-9265-486E-8FD5-6182C272CF12}" name="HWF_0014 n"/>
    <tableColumn id="31" xr3:uid="{AFB19B19-8588-4E39-B226-552158DFE885}" name="HWF_0015 n"/>
    <tableColumn id="32" xr3:uid="{E7954299-FDC1-4A4D-ADF2-144C195AD08E}" name="HWF_0016 n"/>
    <tableColumn id="33" xr3:uid="{A1B574B8-5496-4B51-995E-B8C5EC0A2801}" name="HWF_0017 n"/>
    <tableColumn id="34" xr3:uid="{1066FB08-FA96-4D5B-B373-E3CAE50C02E9}" name="HWF_0018 n"/>
    <tableColumn id="35" xr3:uid="{F3145556-0530-45C4-967E-9899E624CB20}" name="HWF_0019 n"/>
    <tableColumn id="36" xr3:uid="{46B18DA4-21F8-4BD8-894A-0A5BB370A01F}" name="HWF_0020 n"/>
    <tableColumn id="37" xr3:uid="{04BB0A63-F2FA-45BB-8CAE-B67AB4ACC91B}" name="HWF_0024 n"/>
    <tableColumn id="38" xr3:uid="{49303F46-D9E8-4CA9-99C2-AFB09706E7CD}" name="NCD_BMI_30C n"/>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99D37B0-0347-4A05-A592-0A3E4EB832C4}" name="GAVI_56" displayName="GAVI_56" ref="C1:E57" totalsRowShown="0">
  <autoFilter ref="C1:E57" xr:uid="{99DC24C0-4579-4903-9537-2C9246880FAE}"/>
  <tableColumns count="3">
    <tableColumn id="1" xr3:uid="{4946EBF2-D3F7-4A24-B48A-50128E8F2CC0}" name="GAVI56">
      <calculatedColumnFormula>VLOOKUP(B2,Country_Codes[],2,FALSE)</calculatedColumnFormula>
    </tableColumn>
    <tableColumn id="2" xr3:uid="{2F29054A-E099-4DEB-A997-218D9A5EDF1B}" name="GAVI 56">
      <calculatedColumnFormula>VLOOKUP(C2,WB_WHO_Country_Database,2,FALSE)</calculatedColumnFormula>
    </tableColumn>
    <tableColumn id="3" xr3:uid="{205E0E71-D369-4AA3-BEFC-2260E97BE51F}" name="GAVI 562"/>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F075E9F-B706-478F-9FE6-1D80CCEBDFC1}" name="AMC_92" displayName="AMC_92" ref="M1:N93" totalsRowShown="0">
  <autoFilter ref="M1:N93" xr:uid="{724FE051-037F-4EFD-A3CA-A5FB4823F7DE}"/>
  <tableColumns count="2">
    <tableColumn id="1" xr3:uid="{D1BEDEE9-739A-4C37-961B-286B8DCD0DA9}" name="AMC"/>
    <tableColumn id="2" xr3:uid="{32EEF9DB-24D8-410E-87EC-7423BDE61202}" name="AMC92"/>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D802141-8EB8-4691-9215-60CE59BF3360}" name="ADB_Regional_Membership" displayName="ADB_Regional_Membership" ref="S1:U50" totalsRowShown="0">
  <autoFilter ref="S1:U50" xr:uid="{06B22746-7AE1-4230-83B8-291AF5A168BD}"/>
  <tableColumns count="3">
    <tableColumn id="1" xr3:uid="{23F24C2B-04B9-476A-8357-0A21A20EDBB0}" name="Country">
      <calculatedColumnFormula>VLOOKUP(R2,Country_Codes[],2,FALSE)</calculatedColumnFormula>
    </tableColumn>
    <tableColumn id="2" xr3:uid="{D2B0090A-E66D-46E3-951F-A3A06B1B1C5D}" name="ADB"/>
    <tableColumn id="3" xr3:uid="{41FD1FDA-BD6E-46A6-97FE-127BD3BC4984}" name="Year"/>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F3A8BE3-412B-497C-AE05-8C093B690599}" name="UN_WPP" displayName="UN_WPP" ref="C1:I1006" totalsRowShown="0">
  <autoFilter ref="C1:I1006" xr:uid="{D39B5483-4244-4356-A0BA-5F588EC1F68D}"/>
  <tableColumns count="7">
    <tableColumn id="1" xr3:uid="{A73E4B08-0E76-484F-988D-D05924948876}" name="CountryYear"/>
    <tableColumn id="7" xr3:uid="{70757B23-0721-4530-A905-073EB42B620B}" name="Pop_50_AND_OVER"/>
    <tableColumn id="2" xr3:uid="{B529347A-E0D8-40EB-AEC4-9F1EB15428BE}" name="Pop_55_AND_OVER"/>
    <tableColumn id="3" xr3:uid="{F1A40EEB-D6CF-43DA-BD8E-3BBA8D1FB7A3}" name="Pop_60_AND_OVER"/>
    <tableColumn id="4" xr3:uid="{ADD3B2D5-6027-4F96-A875-FF5C1A971472}" name="Pop_65_AND_OVER"/>
    <tableColumn id="5" xr3:uid="{37B6907C-3B68-4739-B7F8-15A97BB3EF26}" name="Pop_70_AND_OVER"/>
    <tableColumn id="6" xr3:uid="{FA5A3573-38E4-42C3-901A-50D41AA6F145}" name="Total_Populatio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libri Light">
      <a:majorFont>
        <a:latin typeface="Calibri"/>
        <a:ea typeface=""/>
        <a:cs typeface=""/>
      </a:majorFont>
      <a:minorFont>
        <a:latin typeface="Calibri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reativecommons.org/licenses/by-nc-sa/3.0/igo" TargetMode="External"/><Relationship Id="rId2" Type="http://schemas.openxmlformats.org/officeDocument/2006/relationships/hyperlink" Target="https://www.who.int/publications/i/item/who-2019-ncov-vaccine_deployment_tool-2021.1" TargetMode="External"/><Relationship Id="rId1" Type="http://schemas.openxmlformats.org/officeDocument/2006/relationships/hyperlink" Target="mailto:CVICosting@who.int"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printerSettings" Target="../printerSettings/printerSettings18.bin"/><Relationship Id="rId4" Type="http://schemas.openxmlformats.org/officeDocument/2006/relationships/table" Target="../tables/table8.xml"/></Relationships>
</file>

<file path=xl/worksheets/_rels/sheet1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doi.org/10.1038/s41591-020-1124-9" TargetMode="External"/><Relationship Id="rId2" Type="http://schemas.openxmlformats.org/officeDocument/2006/relationships/hyperlink" Target="http://www.healthdata.org/gbd/2019" TargetMode="External"/><Relationship Id="rId1" Type="http://schemas.openxmlformats.org/officeDocument/2006/relationships/hyperlink" Target="https://www.who.int/data/gho"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25.bin"/><Relationship Id="rId1" Type="http://schemas.openxmlformats.org/officeDocument/2006/relationships/hyperlink" Target="https://apps.who.int/iris/bitstream/handle/10665/183584/WHO_IVB_15.03_eng.pdf?sequence=1" TargetMode="External"/></Relationships>
</file>

<file path=xl/worksheets/_rels/sheet26.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vmlDrawing" Target="../drawings/vmlDrawing1.vml"/><Relationship Id="rId1" Type="http://schemas.openxmlformats.org/officeDocument/2006/relationships/printerSettings" Target="../printerSettings/printerSettings31.bin"/><Relationship Id="rId4" Type="http://schemas.openxmlformats.org/officeDocument/2006/relationships/comments" Target="../comments1.xml"/></Relationships>
</file>

<file path=xl/worksheets/_rels/sheet33.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2" Type="http://schemas.openxmlformats.org/officeDocument/2006/relationships/table" Target="../tables/table25.xml"/><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2" Type="http://schemas.openxmlformats.org/officeDocument/2006/relationships/table" Target="../tables/table26.xml"/><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mailto:&#26377;&#20851;&#24223;&#24323;&#29289;&#31649;&#29702;&#29992;&#21697;&#30340;&#26356;&#22810;&#20449;&#24687;@%20B2"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E5985-0F33-4870-ADE3-228BE98761BA}">
  <sheetPr codeName="Sheet1">
    <tabColor rgb="FFC00000"/>
  </sheetPr>
  <dimension ref="A1:BM68"/>
  <sheetViews>
    <sheetView showGridLines="0" tabSelected="1" workbookViewId="0"/>
  </sheetViews>
  <sheetFormatPr defaultRowHeight="12.75" x14ac:dyDescent="0.2"/>
  <cols>
    <col min="1" max="1" width="1.85546875" customWidth="1"/>
    <col min="2" max="2" width="35.7109375" customWidth="1"/>
    <col min="3" max="3" width="27.85546875" customWidth="1"/>
    <col min="4" max="4" width="56.28515625" customWidth="1"/>
    <col min="5" max="5" width="25.42578125" customWidth="1"/>
    <col min="6" max="6" width="1.5703125" style="165" hidden="1" customWidth="1"/>
    <col min="7" max="7" width="10.42578125" customWidth="1"/>
    <col min="9" max="9" width="4" style="299" hidden="1" customWidth="1"/>
    <col min="10" max="65" width="4" style="403" hidden="1" customWidth="1"/>
  </cols>
  <sheetData>
    <row r="1" spans="1:65" s="224" customFormat="1" ht="45" customHeight="1" x14ac:dyDescent="0.2">
      <c r="A1" s="224" t="str">
        <f ca="1">IF(OFFSET(J1,0,Lang_Order*Lang__A1)="","",OFFSET(J1,0,Lang_Order*Lang__A1))</f>
        <v>NAVIGATION BAR:</v>
      </c>
      <c r="F1" s="224" t="s">
        <v>3031</v>
      </c>
      <c r="I1" s="299">
        <v>8</v>
      </c>
      <c r="J1" s="403" t="s">
        <v>2910</v>
      </c>
      <c r="K1" s="403"/>
      <c r="L1" s="403"/>
      <c r="M1" s="403"/>
      <c r="N1" s="403"/>
      <c r="O1" s="403"/>
      <c r="P1" s="403"/>
      <c r="Q1" s="403"/>
      <c r="R1" s="403" t="s">
        <v>4634</v>
      </c>
      <c r="S1" s="403"/>
      <c r="T1" s="403"/>
      <c r="U1" s="403"/>
      <c r="V1" s="403"/>
      <c r="W1" s="403"/>
      <c r="X1" s="403"/>
      <c r="Y1" s="403"/>
      <c r="Z1" s="403" t="s">
        <v>4635</v>
      </c>
      <c r="AA1" s="403"/>
      <c r="AB1" s="403"/>
      <c r="AC1" s="403"/>
      <c r="AD1" s="403"/>
      <c r="AE1" s="403"/>
      <c r="AF1" s="403"/>
      <c r="AG1" s="403"/>
      <c r="AH1" s="403" t="s">
        <v>4636</v>
      </c>
      <c r="AI1" s="403"/>
      <c r="AJ1" s="403"/>
      <c r="AK1" s="403"/>
      <c r="AL1" s="403"/>
      <c r="AM1" s="403"/>
      <c r="AN1" s="403"/>
      <c r="AO1" s="403"/>
      <c r="AP1" s="403" t="s">
        <v>4637</v>
      </c>
      <c r="AQ1" s="403"/>
      <c r="AR1" s="403"/>
      <c r="AS1" s="403"/>
      <c r="AT1" s="403"/>
      <c r="AU1" s="403"/>
      <c r="AV1" s="403"/>
      <c r="AW1" s="403"/>
      <c r="AX1" s="403" t="s">
        <v>5311</v>
      </c>
      <c r="AY1" s="403"/>
      <c r="AZ1" s="403"/>
      <c r="BA1" s="403"/>
      <c r="BB1" s="403"/>
      <c r="BC1" s="403"/>
      <c r="BD1" s="403"/>
      <c r="BE1" s="403"/>
      <c r="BF1" s="403" t="s">
        <v>4639</v>
      </c>
      <c r="BG1" s="403"/>
      <c r="BH1" s="403"/>
      <c r="BI1" s="403"/>
      <c r="BJ1" s="403"/>
      <c r="BK1" s="403"/>
      <c r="BL1" s="403"/>
      <c r="BM1" s="403"/>
    </row>
    <row r="2" spans="1:65" s="299" customFormat="1" ht="99.95" customHeight="1" x14ac:dyDescent="0.2">
      <c r="D2" s="599"/>
      <c r="E2"/>
      <c r="J2" s="403"/>
      <c r="K2" s="403"/>
      <c r="L2" s="403"/>
      <c r="M2" s="403"/>
      <c r="N2" s="403"/>
      <c r="O2" s="403"/>
      <c r="P2" s="403"/>
      <c r="Q2" s="403"/>
      <c r="R2" s="403"/>
      <c r="S2" s="403"/>
      <c r="T2" s="403"/>
      <c r="U2" s="403"/>
      <c r="V2" s="403"/>
      <c r="W2" s="403"/>
      <c r="X2" s="403"/>
      <c r="Y2" s="403"/>
      <c r="Z2" s="403"/>
      <c r="AA2" s="403"/>
      <c r="AB2" s="403"/>
      <c r="AC2" s="403"/>
      <c r="AD2" s="403"/>
      <c r="AE2" s="403"/>
      <c r="AF2" s="403"/>
      <c r="AG2" s="403"/>
      <c r="AH2" s="403"/>
      <c r="AI2" s="403"/>
      <c r="AJ2" s="403"/>
      <c r="AK2" s="403"/>
      <c r="AL2" s="403"/>
      <c r="AM2" s="403"/>
      <c r="AN2" s="403"/>
      <c r="AO2" s="403"/>
      <c r="AP2" s="403"/>
      <c r="AQ2" s="403"/>
      <c r="AR2" s="403"/>
      <c r="AS2" s="403"/>
      <c r="AT2" s="403"/>
      <c r="AU2" s="403"/>
      <c r="AV2" s="403"/>
      <c r="AW2" s="403"/>
      <c r="AX2" s="403"/>
      <c r="AY2" s="403"/>
      <c r="AZ2" s="403"/>
      <c r="BA2" s="403"/>
      <c r="BB2" s="403"/>
      <c r="BC2" s="403"/>
      <c r="BD2" s="403"/>
      <c r="BE2" s="403"/>
      <c r="BF2" s="403"/>
      <c r="BG2" s="403"/>
      <c r="BH2" s="403"/>
      <c r="BI2" s="403"/>
      <c r="BJ2" s="403"/>
      <c r="BK2" s="403"/>
      <c r="BL2" s="403"/>
      <c r="BM2" s="403"/>
    </row>
    <row r="3" spans="1:65" s="402" customFormat="1" x14ac:dyDescent="0.2">
      <c r="I3" s="299"/>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c r="AO3" s="403"/>
      <c r="AP3" s="403"/>
      <c r="AQ3" s="403"/>
      <c r="AR3" s="403"/>
      <c r="AS3" s="403"/>
      <c r="AT3" s="403"/>
      <c r="AU3" s="403"/>
      <c r="AV3" s="403"/>
      <c r="AW3" s="403"/>
      <c r="AX3" s="403"/>
      <c r="AY3" s="403"/>
      <c r="AZ3" s="403"/>
      <c r="BA3" s="403"/>
      <c r="BB3" s="403"/>
      <c r="BC3" s="403"/>
      <c r="BD3" s="403"/>
      <c r="BE3" s="403"/>
      <c r="BF3" s="403"/>
      <c r="BG3" s="403"/>
      <c r="BH3" s="403"/>
      <c r="BI3" s="403"/>
      <c r="BJ3" s="403"/>
      <c r="BK3" s="403"/>
      <c r="BL3" s="403"/>
      <c r="BM3" s="403"/>
    </row>
    <row r="4" spans="1:65" s="27" customFormat="1" ht="19.5" x14ac:dyDescent="0.3">
      <c r="A4" s="27" t="str">
        <f ca="1">IF(OFFSET(J4,0,Lang_Order*Lang__A1)="","",OFFSET(J4,0,Lang_Order*Lang__A1))</f>
        <v>A1. WELCOME to COVID-19 Vaccine Introduction and deployment Costing tool (CVIC Tool) Start Page</v>
      </c>
      <c r="F4" s="115"/>
      <c r="I4" s="299"/>
      <c r="J4" s="403" t="s">
        <v>4055</v>
      </c>
      <c r="K4" s="403"/>
      <c r="L4" s="403"/>
      <c r="M4" s="403"/>
      <c r="N4" s="403"/>
      <c r="O4" s="403"/>
      <c r="P4" s="403"/>
      <c r="Q4" s="403"/>
      <c r="R4" s="403" t="s">
        <v>5312</v>
      </c>
      <c r="S4" s="403"/>
      <c r="T4" s="403"/>
      <c r="U4" s="403"/>
      <c r="V4" s="403"/>
      <c r="W4" s="403"/>
      <c r="X4" s="403"/>
      <c r="Y4" s="403"/>
      <c r="Z4" s="403" t="s">
        <v>5313</v>
      </c>
      <c r="AA4" s="403"/>
      <c r="AB4" s="403"/>
      <c r="AC4" s="403"/>
      <c r="AD4" s="403"/>
      <c r="AE4" s="403"/>
      <c r="AF4" s="403"/>
      <c r="AG4" s="403"/>
      <c r="AH4" s="403" t="s">
        <v>5314</v>
      </c>
      <c r="AI4" s="403"/>
      <c r="AJ4" s="403"/>
      <c r="AK4" s="403"/>
      <c r="AL4" s="403"/>
      <c r="AM4" s="403"/>
      <c r="AN4" s="403"/>
      <c r="AO4" s="403"/>
      <c r="AP4" s="403" t="s">
        <v>5315</v>
      </c>
      <c r="AQ4" s="403"/>
      <c r="AR4" s="403"/>
      <c r="AS4" s="403"/>
      <c r="AT4" s="403"/>
      <c r="AU4" s="403"/>
      <c r="AV4" s="403"/>
      <c r="AW4" s="403"/>
      <c r="AX4" s="403" t="s">
        <v>5316</v>
      </c>
      <c r="AY4" s="403"/>
      <c r="AZ4" s="403"/>
      <c r="BA4" s="403"/>
      <c r="BB4" s="403"/>
      <c r="BC4" s="403"/>
      <c r="BD4" s="403"/>
      <c r="BE4" s="403"/>
      <c r="BF4" s="403" t="s">
        <v>5317</v>
      </c>
      <c r="BG4" s="403"/>
      <c r="BH4" s="403"/>
      <c r="BI4" s="403"/>
      <c r="BJ4" s="403"/>
      <c r="BK4" s="403"/>
      <c r="BL4" s="403"/>
      <c r="BM4" s="403"/>
    </row>
    <row r="5" spans="1:65" s="299" customFormat="1" x14ac:dyDescent="0.2">
      <c r="J5" s="403"/>
      <c r="K5" s="403"/>
      <c r="L5" s="403"/>
      <c r="M5" s="403"/>
      <c r="N5" s="403"/>
      <c r="O5" s="403"/>
      <c r="P5" s="403"/>
      <c r="Q5" s="403"/>
      <c r="R5" s="403"/>
      <c r="S5" s="403"/>
      <c r="T5" s="403"/>
      <c r="U5" s="403"/>
      <c r="V5" s="403"/>
      <c r="W5" s="403"/>
      <c r="X5" s="403"/>
      <c r="Y5" s="403"/>
      <c r="Z5" s="403"/>
      <c r="AA5" s="403"/>
      <c r="AB5" s="403"/>
      <c r="AC5" s="403"/>
      <c r="AD5" s="403"/>
      <c r="AE5" s="403"/>
      <c r="AF5" s="403"/>
      <c r="AG5" s="403"/>
      <c r="AH5" s="403"/>
      <c r="AI5" s="403"/>
      <c r="AJ5" s="403"/>
      <c r="AK5" s="403"/>
      <c r="AL5" s="403"/>
      <c r="AM5" s="403"/>
      <c r="AN5" s="403"/>
      <c r="AO5" s="403"/>
      <c r="AP5" s="403"/>
      <c r="AQ5" s="403"/>
      <c r="AR5" s="403"/>
      <c r="AS5" s="403"/>
      <c r="AT5" s="403"/>
      <c r="AU5" s="403"/>
      <c r="AV5" s="403"/>
      <c r="AW5" s="403"/>
      <c r="AX5" s="403"/>
      <c r="AY5" s="403"/>
      <c r="AZ5" s="403"/>
      <c r="BA5" s="403"/>
      <c r="BB5" s="403"/>
      <c r="BC5" s="403"/>
      <c r="BD5" s="403"/>
      <c r="BE5" s="403"/>
      <c r="BF5" s="403"/>
      <c r="BG5" s="403"/>
      <c r="BH5" s="403"/>
      <c r="BI5" s="403"/>
      <c r="BJ5" s="403"/>
      <c r="BK5" s="403"/>
      <c r="BL5" s="403"/>
      <c r="BM5" s="403"/>
    </row>
    <row r="6" spans="1:65" s="299" customFormat="1" ht="15" x14ac:dyDescent="0.25">
      <c r="B6" s="55" t="str">
        <f ca="1">IF(OFFSET(K6,0,Lang_Order*Lang__A1)="","",OFFSET(K6,0,Lang_Order*Lang__A1))</f>
        <v>Language Selection</v>
      </c>
      <c r="C6" s="35" t="s">
        <v>4012</v>
      </c>
      <c r="D6" s="528" t="s">
        <v>14154</v>
      </c>
      <c r="E6" s="47"/>
      <c r="F6" s="526"/>
      <c r="G6" s="526"/>
      <c r="H6" s="526"/>
      <c r="I6" s="526"/>
      <c r="J6" s="525"/>
      <c r="K6" s="525" t="s">
        <v>4011</v>
      </c>
      <c r="L6" s="403"/>
      <c r="M6" s="403"/>
      <c r="N6" s="403"/>
      <c r="O6" s="403"/>
      <c r="P6" s="403"/>
      <c r="Q6" s="403"/>
      <c r="R6" s="403"/>
      <c r="S6" s="403" t="s">
        <v>5318</v>
      </c>
      <c r="T6" s="403"/>
      <c r="U6" s="403"/>
      <c r="V6" s="403"/>
      <c r="W6" s="403"/>
      <c r="X6" s="403"/>
      <c r="Y6" s="403"/>
      <c r="Z6" s="403"/>
      <c r="AA6" s="403" t="s">
        <v>5319</v>
      </c>
      <c r="AB6" s="403"/>
      <c r="AC6" s="403"/>
      <c r="AD6" s="403"/>
      <c r="AE6" s="403"/>
      <c r="AF6" s="403"/>
      <c r="AG6" s="403"/>
      <c r="AH6" s="403"/>
      <c r="AI6" s="403" t="s">
        <v>5320</v>
      </c>
      <c r="AJ6" s="403"/>
      <c r="AK6" s="403"/>
      <c r="AL6" s="403"/>
      <c r="AM6" s="403"/>
      <c r="AN6" s="403"/>
      <c r="AO6" s="403"/>
      <c r="AP6" s="403"/>
      <c r="AQ6" s="403" t="s">
        <v>5321</v>
      </c>
      <c r="AR6" s="403"/>
      <c r="AS6" s="403"/>
      <c r="AT6" s="403"/>
      <c r="AU6" s="403"/>
      <c r="AV6" s="403"/>
      <c r="AW6" s="403"/>
      <c r="AX6" s="403"/>
      <c r="AY6" s="403" t="s">
        <v>5322</v>
      </c>
      <c r="AZ6" s="403"/>
      <c r="BA6" s="403"/>
      <c r="BB6" s="403"/>
      <c r="BC6" s="403"/>
      <c r="BD6" s="403"/>
      <c r="BE6" s="403"/>
      <c r="BF6" s="403"/>
      <c r="BG6" s="403" t="s">
        <v>5323</v>
      </c>
      <c r="BH6" s="403"/>
      <c r="BI6" s="403"/>
      <c r="BJ6" s="403"/>
      <c r="BK6" s="403"/>
      <c r="BL6" s="403"/>
      <c r="BM6" s="403"/>
    </row>
    <row r="7" spans="1:65" s="299" customFormat="1" x14ac:dyDescent="0.2">
      <c r="C7" s="490" t="str">
        <f ca="1">IF(OFFSET(L7,0,Lang_Order*Lang__A1)="","",OFFSET(L7,0,Lang_Order*Lang__A1))</f>
        <v>If you change the language, please review all dropdown menu responses to ensure they are answered in the language currently selected</v>
      </c>
      <c r="J7" s="403"/>
      <c r="K7" s="403"/>
      <c r="L7" s="403" t="s">
        <v>4408</v>
      </c>
      <c r="M7" s="403"/>
      <c r="N7" s="403"/>
      <c r="O7" s="403"/>
      <c r="P7" s="403"/>
      <c r="Q7" s="403"/>
      <c r="R7" s="403"/>
      <c r="S7" s="403"/>
      <c r="T7" s="403" t="s">
        <v>5324</v>
      </c>
      <c r="U7" s="403"/>
      <c r="V7" s="403"/>
      <c r="W7" s="403"/>
      <c r="X7" s="403"/>
      <c r="Y7" s="403"/>
      <c r="Z7" s="403"/>
      <c r="AA7" s="403"/>
      <c r="AB7" s="403" t="s">
        <v>5325</v>
      </c>
      <c r="AC7" s="403"/>
      <c r="AD7" s="403"/>
      <c r="AE7" s="403"/>
      <c r="AF7" s="403"/>
      <c r="AG7" s="403"/>
      <c r="AH7" s="403"/>
      <c r="AI7" s="403"/>
      <c r="AJ7" s="403" t="s">
        <v>5326</v>
      </c>
      <c r="AK7" s="403"/>
      <c r="AL7" s="403"/>
      <c r="AM7" s="403"/>
      <c r="AN7" s="403"/>
      <c r="AO7" s="403"/>
      <c r="AP7" s="403"/>
      <c r="AQ7" s="403"/>
      <c r="AR7" s="403" t="s">
        <v>5327</v>
      </c>
      <c r="AS7" s="403"/>
      <c r="AT7" s="403"/>
      <c r="AU7" s="403"/>
      <c r="AV7" s="403"/>
      <c r="AW7" s="403"/>
      <c r="AX7" s="403"/>
      <c r="AY7" s="403"/>
      <c r="AZ7" s="403" t="s">
        <v>5328</v>
      </c>
      <c r="BA7" s="403"/>
      <c r="BB7" s="403"/>
      <c r="BC7" s="403"/>
      <c r="BD7" s="403"/>
      <c r="BE7" s="403"/>
      <c r="BF7" s="403"/>
      <c r="BG7" s="403"/>
      <c r="BH7" s="403" t="s">
        <v>5329</v>
      </c>
      <c r="BI7" s="403"/>
      <c r="BJ7" s="403"/>
      <c r="BK7" s="403"/>
      <c r="BL7" s="403"/>
      <c r="BM7" s="403"/>
    </row>
    <row r="8" spans="1:65" s="17" customFormat="1" ht="17.25" x14ac:dyDescent="0.3">
      <c r="A8" s="17" t="str">
        <f ca="1">IF(OFFSET(J8,0,Lang_Order*Lang__A1)="","",OFFSET(J8,0,Lang_Order*Lang__A1))</f>
        <v>A1.1 Updates and Disclaimer</v>
      </c>
      <c r="I8" s="299"/>
      <c r="J8" s="403" t="s">
        <v>2682</v>
      </c>
      <c r="K8" s="403"/>
      <c r="L8" s="403"/>
      <c r="M8" s="403"/>
      <c r="N8" s="403"/>
      <c r="O8" s="403"/>
      <c r="P8" s="403"/>
      <c r="Q8" s="403"/>
      <c r="R8" s="403" t="s">
        <v>5330</v>
      </c>
      <c r="S8" s="403"/>
      <c r="T8" s="403"/>
      <c r="U8" s="403"/>
      <c r="V8" s="403"/>
      <c r="W8" s="403"/>
      <c r="X8" s="403"/>
      <c r="Y8" s="403"/>
      <c r="Z8" s="403" t="s">
        <v>5331</v>
      </c>
      <c r="AA8" s="403"/>
      <c r="AB8" s="403"/>
      <c r="AC8" s="403"/>
      <c r="AD8" s="403"/>
      <c r="AE8" s="403"/>
      <c r="AF8" s="403"/>
      <c r="AG8" s="403"/>
      <c r="AH8" s="403" t="s">
        <v>5332</v>
      </c>
      <c r="AI8" s="403"/>
      <c r="AJ8" s="403"/>
      <c r="AK8" s="403"/>
      <c r="AL8" s="403"/>
      <c r="AM8" s="403"/>
      <c r="AN8" s="403"/>
      <c r="AO8" s="403"/>
      <c r="AP8" s="403" t="s">
        <v>5333</v>
      </c>
      <c r="AQ8" s="403"/>
      <c r="AR8" s="403"/>
      <c r="AS8" s="403"/>
      <c r="AT8" s="403"/>
      <c r="AU8" s="403"/>
      <c r="AV8" s="403"/>
      <c r="AW8" s="403"/>
      <c r="AX8" s="403" t="s">
        <v>5334</v>
      </c>
      <c r="AY8" s="403"/>
      <c r="AZ8" s="403"/>
      <c r="BA8" s="403"/>
      <c r="BB8" s="403"/>
      <c r="BC8" s="403"/>
      <c r="BD8" s="403"/>
      <c r="BE8" s="403"/>
      <c r="BF8" s="403" t="s">
        <v>5335</v>
      </c>
      <c r="BG8" s="403"/>
      <c r="BH8" s="403"/>
      <c r="BI8" s="403"/>
      <c r="BJ8" s="403"/>
      <c r="BK8" s="403"/>
      <c r="BL8" s="403"/>
      <c r="BM8" s="403"/>
    </row>
    <row r="9" spans="1:65" ht="15" x14ac:dyDescent="0.2">
      <c r="B9" s="167" t="str">
        <f ca="1">IF(OFFSET(K9,0,Lang_Order*Lang__A1)="","",OFFSET(K9,0,Lang_Order*Lang__A1))</f>
        <v>Version</v>
      </c>
      <c r="C9" s="442" t="s">
        <v>15208</v>
      </c>
      <c r="D9" s="605" t="str">
        <f ca="1">IF(INFO("RELEASE")&lt;&gt;"16.0",G9,"Microsoft Excel 2016+ / 16.0+")</f>
        <v>Microsoft Excel 2016+ / 16.0+</v>
      </c>
      <c r="G9" s="165" t="str">
        <f ca="1">IF(OFFSET(P9,0,Lang_Order*Lang__A1)="","",OFFSET(P9,0,Lang_Order*Lang__A1))</f>
        <v>Note: CVIC v2.1 requires Microsoft Excel 2016 (v16.0) or newer</v>
      </c>
      <c r="K9" s="403" t="s">
        <v>2663</v>
      </c>
      <c r="P9" s="403" t="s">
        <v>14102</v>
      </c>
      <c r="S9" s="403" t="s">
        <v>2663</v>
      </c>
      <c r="X9" s="564" t="s">
        <v>14103</v>
      </c>
      <c r="AA9" s="403" t="s">
        <v>5336</v>
      </c>
      <c r="AF9" s="564" t="s">
        <v>14104</v>
      </c>
      <c r="AI9" s="403" t="s">
        <v>5337</v>
      </c>
      <c r="AN9" s="564" t="s">
        <v>14105</v>
      </c>
      <c r="AQ9" s="403" t="s">
        <v>5338</v>
      </c>
      <c r="AV9" s="564" t="s">
        <v>14106</v>
      </c>
      <c r="AY9" s="403" t="s">
        <v>5339</v>
      </c>
      <c r="BD9" s="564" t="s">
        <v>14107</v>
      </c>
      <c r="BG9" s="403" t="s">
        <v>5340</v>
      </c>
      <c r="BL9" s="564" t="s">
        <v>14108</v>
      </c>
    </row>
    <row r="10" spans="1:65" ht="15" x14ac:dyDescent="0.2">
      <c r="B10" s="167" t="str">
        <f ca="1">IF(OFFSET(K10,0,Lang_Order*Lang__A1)="","",OFFSET(K10,0,Lang_Order*Lang__A1))</f>
        <v>Last Update (Tool)</v>
      </c>
      <c r="C10" s="550" t="s">
        <v>15206</v>
      </c>
      <c r="D10" s="86" t="s">
        <v>15207</v>
      </c>
      <c r="K10" s="403" t="s">
        <v>2679</v>
      </c>
      <c r="S10" s="403" t="s">
        <v>5341</v>
      </c>
      <c r="AA10" s="403" t="s">
        <v>5342</v>
      </c>
      <c r="AI10" s="403" t="s">
        <v>5343</v>
      </c>
      <c r="AQ10" s="403" t="s">
        <v>5344</v>
      </c>
      <c r="AY10" s="403" t="s">
        <v>5345</v>
      </c>
      <c r="BG10" s="403" t="s">
        <v>5346</v>
      </c>
    </row>
    <row r="11" spans="1:65" s="150" customFormat="1" ht="44.25" customHeight="1" x14ac:dyDescent="0.2">
      <c r="B11" s="167" t="str">
        <f ca="1">IF(OFFSET(K11,0,Lang_Order*Lang__A1)="","",OFFSET(K11,0,Lang_Order*Lang__A1))</f>
        <v>Notice:</v>
      </c>
      <c r="C11" s="670" t="str">
        <f>Lang_VaccineDatabaseNoticeStartPage</f>
        <v>Please note that default unit prices, incl. for vaccine related supplies, are unstable due to market conditions and vaccine specifications are preliminary and indicative only. SUBJECT TO CHANGE.</v>
      </c>
      <c r="D11" s="670"/>
      <c r="F11" s="165"/>
      <c r="I11" s="299"/>
      <c r="K11" s="403" t="s">
        <v>3110</v>
      </c>
      <c r="L11" s="403"/>
      <c r="M11" s="403"/>
      <c r="N11" s="403"/>
      <c r="O11" s="403"/>
      <c r="P11" s="403"/>
      <c r="Q11" s="403"/>
      <c r="R11" s="403"/>
      <c r="S11" s="403" t="s">
        <v>5347</v>
      </c>
      <c r="T11" s="403"/>
      <c r="U11" s="403"/>
      <c r="V11" s="403"/>
      <c r="W11" s="403"/>
      <c r="X11" s="403"/>
      <c r="Y11" s="403"/>
      <c r="Z11" s="403"/>
      <c r="AA11" s="403" t="s">
        <v>5348</v>
      </c>
      <c r="AB11" s="403"/>
      <c r="AC11" s="403"/>
      <c r="AD11" s="403"/>
      <c r="AE11" s="403"/>
      <c r="AF11" s="403"/>
      <c r="AG11" s="403"/>
      <c r="AH11" s="403"/>
      <c r="AI11" s="403" t="s">
        <v>5349</v>
      </c>
      <c r="AJ11" s="403"/>
      <c r="AK11" s="403"/>
      <c r="AL11" s="403"/>
      <c r="AM11" s="403"/>
      <c r="AN11" s="403"/>
      <c r="AO11" s="403"/>
      <c r="AP11" s="403"/>
      <c r="AQ11" s="403" t="s">
        <v>5350</v>
      </c>
      <c r="AR11" s="403"/>
      <c r="AS11" s="403"/>
      <c r="AT11" s="403"/>
      <c r="AU11" s="403"/>
      <c r="AV11" s="403"/>
      <c r="AW11" s="403"/>
      <c r="AX11" s="403"/>
      <c r="AY11" s="403" t="s">
        <v>5351</v>
      </c>
      <c r="AZ11" s="403"/>
      <c r="BA11" s="403"/>
      <c r="BB11" s="403"/>
      <c r="BC11" s="403"/>
      <c r="BD11" s="403"/>
      <c r="BE11" s="403"/>
      <c r="BF11" s="403"/>
      <c r="BG11" s="403" t="s">
        <v>5352</v>
      </c>
      <c r="BH11" s="403"/>
      <c r="BI11" s="403"/>
      <c r="BJ11" s="403"/>
      <c r="BK11" s="403"/>
      <c r="BL11" s="403"/>
      <c r="BM11" s="403"/>
    </row>
    <row r="12" spans="1:65" ht="50.25" customHeight="1" thickBot="1" x14ac:dyDescent="0.3">
      <c r="B12" s="647" t="str">
        <f ca="1">IF(OFFSET(K12,0,Lang_Order*Lang__A1)="","",OFFSET(K12,0,Lang_Order*Lang__A1))</f>
        <v>Last Update (Vaccine database)</v>
      </c>
      <c r="C12" s="443" t="str">
        <f>Lang_VaccineDatabaseLastUpdate</f>
        <v>18 February 2022 [u]</v>
      </c>
      <c r="D12" s="166"/>
      <c r="E12" s="164" t="str">
        <f ca="1">IF(OFFSET(N12,0,Lang_Order*Lang__A1)="","",OFFSET(N12,0,Lang_Order*Lang__A1))</f>
        <v>Please check and confirm that you have read, understand, and accept the disclaimer ↓</v>
      </c>
      <c r="G12" s="41" t="str">
        <f ca="1">IF(OFFSET(P12,0,Lang_Order*Lang__A1)="","",OFFSET(P12,0,Lang_Order*Lang__A1))</f>
        <v>Check</v>
      </c>
      <c r="K12" s="403" t="s">
        <v>2680</v>
      </c>
      <c r="N12" s="403" t="s">
        <v>4056</v>
      </c>
      <c r="P12" s="403" t="s">
        <v>36</v>
      </c>
      <c r="S12" s="403" t="s">
        <v>5353</v>
      </c>
      <c r="V12" s="403" t="s">
        <v>5354</v>
      </c>
      <c r="X12" s="403" t="s">
        <v>5355</v>
      </c>
      <c r="AA12" s="403" t="s">
        <v>5356</v>
      </c>
      <c r="AD12" s="403" t="s">
        <v>5357</v>
      </c>
      <c r="AF12" s="403" t="s">
        <v>5358</v>
      </c>
      <c r="AI12" s="403" t="s">
        <v>5359</v>
      </c>
      <c r="AL12" s="403" t="s">
        <v>5360</v>
      </c>
      <c r="AN12" s="403" t="s">
        <v>5361</v>
      </c>
      <c r="AQ12" s="403" t="s">
        <v>5362</v>
      </c>
      <c r="AT12" s="403" t="s">
        <v>5363</v>
      </c>
      <c r="AV12" s="403" t="s">
        <v>5364</v>
      </c>
      <c r="AY12" s="403" t="s">
        <v>5365</v>
      </c>
      <c r="BB12" s="403" t="s">
        <v>5366</v>
      </c>
      <c r="BD12" s="403" t="s">
        <v>5180</v>
      </c>
      <c r="BG12" s="403" t="s">
        <v>5367</v>
      </c>
      <c r="BJ12" s="403" t="s">
        <v>5368</v>
      </c>
      <c r="BL12" s="403" t="s">
        <v>5206</v>
      </c>
    </row>
    <row r="13" spans="1:65" ht="334.5" customHeight="1" thickBot="1" x14ac:dyDescent="0.25">
      <c r="A13" s="85"/>
      <c r="B13" s="167" t="str">
        <f ca="1">IF(OFFSET(K13,0,Lang_Order*Lang__A1)="","",OFFSET(K13,0,Lang_Order*Lang__A1))</f>
        <v>Disclaimers</v>
      </c>
      <c r="C13" s="672" t="str">
        <f ca="1">IF(OFFSET(L13,0,Lang_Order*Lang__A1)="","",OFFSET(L13,0,Lang_Order*Lang__A1))</f>
        <v>This is a COVID-19 vaccination costing estimation tool: The tool is meant to help governments, partners, and other stakeholders estimate the introductory and deployment cost of COVID-19 vaccine procurement and service delivery, before detailed planning can take place. These costs include central activities, international and domestic logistics, service delivery, and demand generation and communications. The tool focuses on operational costs and selected capital expenditures.
Estimations are based on typical conditions: As a global/regional cost estimation tool, the costing model is based on a model of typical service delivery conditions which may not fit all country contexts. This can affect the accuracy of the estimates for any given country.
Outputs are based on users-specified parameters, including unit costs: As a costing model, the final output are based on population and service delivery parameters, and unit prices for specific inputs such as the vaccine final price, supplies, human resources, etc. End users are expected to edit these parameters based on their knowledge of local conditions. The final output is also sensitive to end user editable parameters such as how the target population is defined and quantified, human resources allocated to the vaccination program, and the number and type of health facilities involved in the program.
COVID-19 vaccine candidate and other parameters are not final: Due to the rapid introduction of COVID-19 vaccination, key specifications are not finalized and assumptions have to be made.</v>
      </c>
      <c r="D13" s="672" t="str">
        <f ca="1">IF(OFFSET(M13,0,Lang_Order*Lang__A1)="","",OFFSET(M13,0,Lang_Order*Lang__A1))</f>
        <v/>
      </c>
      <c r="E13" s="395"/>
      <c r="F13" s="165">
        <f>IF(E13=Lang_Disclaimer_Text,1,0)</f>
        <v>0</v>
      </c>
      <c r="G13" s="4" t="str">
        <f>IF(E13=Lang_Disclaimer_Text,"OK",Lang_CHECK)</f>
        <v>CHECK</v>
      </c>
      <c r="I13" s="369"/>
      <c r="J13" s="566"/>
      <c r="K13" s="566" t="s">
        <v>2947</v>
      </c>
      <c r="L13" s="566" t="s">
        <v>5645</v>
      </c>
      <c r="M13" s="566"/>
      <c r="N13" s="566"/>
      <c r="O13" s="566"/>
      <c r="P13" s="566"/>
      <c r="Q13" s="566"/>
      <c r="R13" s="566"/>
      <c r="S13" s="566" t="s">
        <v>5369</v>
      </c>
      <c r="T13" s="566" t="s">
        <v>5646</v>
      </c>
      <c r="U13" s="566"/>
      <c r="V13" s="566"/>
      <c r="W13" s="566"/>
      <c r="X13" s="566"/>
      <c r="Y13" s="566"/>
      <c r="Z13" s="566"/>
      <c r="AA13" s="566" t="s">
        <v>5370</v>
      </c>
      <c r="AB13" s="566" t="s">
        <v>5647</v>
      </c>
      <c r="AC13" s="566"/>
      <c r="AD13" s="566"/>
      <c r="AE13" s="566"/>
      <c r="AF13" s="566"/>
      <c r="AG13" s="566"/>
      <c r="AH13" s="566"/>
      <c r="AI13" s="566" t="s">
        <v>5371</v>
      </c>
      <c r="AJ13" s="566" t="s">
        <v>5648</v>
      </c>
      <c r="AK13" s="566"/>
      <c r="AL13" s="566"/>
      <c r="AM13" s="566"/>
      <c r="AN13" s="566"/>
      <c r="AO13" s="566"/>
      <c r="AP13" s="566"/>
      <c r="AQ13" s="566" t="s">
        <v>5372</v>
      </c>
      <c r="AR13" s="566" t="s">
        <v>5649</v>
      </c>
      <c r="AS13" s="566"/>
      <c r="AT13" s="566"/>
      <c r="AU13" s="566"/>
      <c r="AV13" s="566"/>
      <c r="AW13" s="566"/>
      <c r="AX13" s="566"/>
      <c r="AY13" s="566" t="s">
        <v>5373</v>
      </c>
      <c r="AZ13" s="566" t="s">
        <v>5650</v>
      </c>
      <c r="BA13" s="566"/>
      <c r="BB13" s="566"/>
      <c r="BC13" s="566"/>
      <c r="BD13" s="566"/>
      <c r="BE13" s="566"/>
      <c r="BF13" s="566"/>
      <c r="BG13" s="566" t="s">
        <v>5374</v>
      </c>
      <c r="BH13" s="566" t="s">
        <v>5651</v>
      </c>
      <c r="BI13" s="566"/>
      <c r="BJ13" s="566"/>
      <c r="BK13" s="566"/>
      <c r="BL13" s="566"/>
      <c r="BM13" s="566"/>
    </row>
    <row r="14" spans="1:65" s="562" customFormat="1" x14ac:dyDescent="0.2">
      <c r="A14" s="85"/>
      <c r="F14" s="165"/>
      <c r="J14" s="561"/>
      <c r="K14" s="561"/>
      <c r="L14" s="561"/>
      <c r="M14" s="561"/>
      <c r="N14" s="561"/>
      <c r="O14" s="561"/>
      <c r="P14" s="561"/>
      <c r="Q14" s="561"/>
      <c r="R14" s="561"/>
      <c r="S14" s="561"/>
      <c r="T14" s="561"/>
      <c r="U14" s="561"/>
      <c r="V14" s="561"/>
      <c r="W14" s="561"/>
      <c r="X14" s="561"/>
      <c r="Y14" s="561"/>
      <c r="Z14" s="561"/>
      <c r="AA14" s="561"/>
      <c r="AB14" s="561"/>
      <c r="AC14" s="561"/>
      <c r="AD14" s="561"/>
      <c r="AE14" s="561"/>
      <c r="AF14" s="561"/>
      <c r="AG14" s="561"/>
      <c r="AH14" s="561"/>
      <c r="AI14" s="561"/>
      <c r="AJ14" s="561"/>
      <c r="AK14" s="561"/>
      <c r="AL14" s="561"/>
      <c r="AM14" s="561"/>
      <c r="AN14" s="561"/>
      <c r="AO14" s="561"/>
      <c r="AP14" s="561"/>
      <c r="AQ14" s="561"/>
      <c r="AR14" s="561"/>
      <c r="AS14" s="561"/>
      <c r="AT14" s="561"/>
      <c r="AU14" s="561"/>
      <c r="AV14" s="561"/>
      <c r="AW14" s="561"/>
      <c r="AX14" s="561"/>
      <c r="AY14" s="561"/>
      <c r="AZ14" s="561"/>
      <c r="BA14" s="561"/>
      <c r="BB14" s="561"/>
      <c r="BC14" s="561"/>
      <c r="BD14" s="561"/>
      <c r="BE14" s="561"/>
      <c r="BF14" s="561"/>
      <c r="BG14" s="561"/>
      <c r="BH14" s="561"/>
      <c r="BI14" s="561"/>
      <c r="BJ14" s="561"/>
      <c r="BK14" s="561"/>
      <c r="BL14" s="561"/>
      <c r="BM14" s="561"/>
    </row>
    <row r="15" spans="1:65" ht="31.5" x14ac:dyDescent="0.5">
      <c r="A15" s="85"/>
      <c r="B15" s="677" t="str">
        <f>IF(Disclaimer_Accepted=1,Lang_Disclaimer_Accepted,Lang_Disclaimer_Rejected)</f>
        <v>Please review and accept the disclaimer before proceeding</v>
      </c>
      <c r="C15" s="677"/>
      <c r="D15" s="677"/>
      <c r="E15" s="677"/>
      <c r="F15" s="165">
        <f>IF(E13=Lang_Disclaimer_Text,1,0)</f>
        <v>0</v>
      </c>
    </row>
    <row r="16" spans="1:65" x14ac:dyDescent="0.2">
      <c r="H16" s="646" t="s">
        <v>14120</v>
      </c>
    </row>
    <row r="17" spans="1:65" s="17" customFormat="1" ht="17.25" x14ac:dyDescent="0.3">
      <c r="A17" s="17" t="str">
        <f ca="1">IF(OFFSET(J17,0,Lang_Order*Lang__A1)="","",OFFSET(J17,0,Lang_Order*Lang__A1))</f>
        <v>A1.2 General Instructions</v>
      </c>
      <c r="H17" s="351" t="s">
        <v>197</v>
      </c>
      <c r="I17" s="299"/>
      <c r="J17" s="403" t="s">
        <v>2938</v>
      </c>
      <c r="K17" s="403"/>
      <c r="L17" s="403"/>
      <c r="M17" s="403"/>
      <c r="N17" s="403"/>
      <c r="O17" s="403"/>
      <c r="P17" s="403"/>
      <c r="Q17" s="403"/>
      <c r="R17" s="403" t="s">
        <v>5375</v>
      </c>
      <c r="S17" s="403"/>
      <c r="T17" s="403"/>
      <c r="U17" s="403"/>
      <c r="V17" s="403"/>
      <c r="W17" s="403"/>
      <c r="X17" s="403"/>
      <c r="Y17" s="403"/>
      <c r="Z17" s="403" t="s">
        <v>5376</v>
      </c>
      <c r="AA17" s="403"/>
      <c r="AB17" s="403"/>
      <c r="AC17" s="403"/>
      <c r="AD17" s="403"/>
      <c r="AE17" s="403"/>
      <c r="AF17" s="403"/>
      <c r="AG17" s="403"/>
      <c r="AH17" s="403" t="s">
        <v>5377</v>
      </c>
      <c r="AI17" s="403"/>
      <c r="AJ17" s="403"/>
      <c r="AK17" s="403"/>
      <c r="AL17" s="403"/>
      <c r="AM17" s="403"/>
      <c r="AN17" s="403"/>
      <c r="AO17" s="403"/>
      <c r="AP17" s="403" t="s">
        <v>5378</v>
      </c>
      <c r="AQ17" s="403"/>
      <c r="AR17" s="403"/>
      <c r="AS17" s="403"/>
      <c r="AT17" s="403"/>
      <c r="AU17" s="403"/>
      <c r="AV17" s="403"/>
      <c r="AW17" s="403"/>
      <c r="AX17" s="403" t="s">
        <v>5379</v>
      </c>
      <c r="AY17" s="403"/>
      <c r="AZ17" s="403"/>
      <c r="BA17" s="403"/>
      <c r="BB17" s="403"/>
      <c r="BC17" s="403"/>
      <c r="BD17" s="403"/>
      <c r="BE17" s="403"/>
      <c r="BF17" s="403" t="s">
        <v>5380</v>
      </c>
      <c r="BG17" s="403"/>
      <c r="BH17" s="403"/>
      <c r="BI17" s="403"/>
      <c r="BJ17" s="403"/>
      <c r="BK17" s="403"/>
      <c r="BL17" s="403"/>
      <c r="BM17" s="403"/>
    </row>
    <row r="18" spans="1:65" s="299" customFormat="1" x14ac:dyDescent="0.2">
      <c r="J18" s="403"/>
      <c r="K18" s="403"/>
      <c r="L18" s="403"/>
      <c r="M18" s="403"/>
      <c r="N18" s="403"/>
      <c r="O18" s="403"/>
      <c r="P18" s="403"/>
      <c r="Q18" s="403"/>
      <c r="R18" s="403"/>
      <c r="S18" s="403"/>
      <c r="T18" s="403"/>
      <c r="U18" s="403"/>
      <c r="V18" s="403"/>
      <c r="W18" s="403"/>
      <c r="X18" s="403"/>
      <c r="Y18" s="403"/>
      <c r="Z18" s="403"/>
      <c r="AA18" s="403"/>
      <c r="AB18" s="403"/>
      <c r="AC18" s="403"/>
      <c r="AD18" s="403"/>
      <c r="AE18" s="403"/>
      <c r="AF18" s="403"/>
      <c r="AG18" s="403"/>
      <c r="AH18" s="403"/>
      <c r="AI18" s="403"/>
      <c r="AJ18" s="403"/>
      <c r="AK18" s="403"/>
      <c r="AL18" s="403"/>
      <c r="AM18" s="403"/>
      <c r="AN18" s="403"/>
      <c r="AO18" s="403"/>
      <c r="AP18" s="403"/>
      <c r="AQ18" s="403"/>
      <c r="AR18" s="403"/>
      <c r="AS18" s="403"/>
      <c r="AT18" s="403"/>
      <c r="AU18" s="403"/>
      <c r="AV18" s="403"/>
      <c r="AW18" s="403"/>
      <c r="AX18" s="403"/>
      <c r="AY18" s="403"/>
      <c r="AZ18" s="403"/>
      <c r="BA18" s="403"/>
      <c r="BB18" s="403"/>
      <c r="BC18" s="403"/>
      <c r="BD18" s="403"/>
      <c r="BE18" s="403"/>
      <c r="BF18" s="403"/>
      <c r="BG18" s="403"/>
      <c r="BH18" s="403"/>
      <c r="BI18" s="403"/>
      <c r="BJ18" s="403"/>
      <c r="BK18" s="403"/>
      <c r="BL18" s="403"/>
      <c r="BM18" s="403"/>
    </row>
    <row r="19" spans="1:65" s="299" customFormat="1" ht="15" x14ac:dyDescent="0.25">
      <c r="B19" s="55" t="str">
        <f ca="1">IF(OFFSET(K19,0,Lang_Order*Lang__A1)="","",OFFSET(K19,0,Lang_Order*Lang__A1))</f>
        <v>E-mail Address for Support:</v>
      </c>
      <c r="C19" s="86" t="s">
        <v>4432</v>
      </c>
      <c r="J19" s="403"/>
      <c r="K19" s="403" t="s">
        <v>4247</v>
      </c>
      <c r="L19" s="403"/>
      <c r="M19" s="403"/>
      <c r="N19" s="403"/>
      <c r="O19" s="403"/>
      <c r="P19" s="403"/>
      <c r="Q19" s="403"/>
      <c r="R19" s="403"/>
      <c r="S19" s="403" t="s">
        <v>5381</v>
      </c>
      <c r="T19" s="403"/>
      <c r="U19" s="403"/>
      <c r="V19" s="403"/>
      <c r="W19" s="403"/>
      <c r="X19" s="403"/>
      <c r="Y19" s="403"/>
      <c r="Z19" s="403"/>
      <c r="AA19" s="403" t="s">
        <v>5382</v>
      </c>
      <c r="AB19" s="403"/>
      <c r="AC19" s="403"/>
      <c r="AD19" s="403"/>
      <c r="AE19" s="403"/>
      <c r="AF19" s="403"/>
      <c r="AG19" s="403"/>
      <c r="AH19" s="403"/>
      <c r="AI19" s="403" t="s">
        <v>5383</v>
      </c>
      <c r="AJ19" s="403"/>
      <c r="AK19" s="403"/>
      <c r="AL19" s="403"/>
      <c r="AM19" s="403"/>
      <c r="AN19" s="403"/>
      <c r="AO19" s="403"/>
      <c r="AP19" s="403"/>
      <c r="AQ19" s="403" t="s">
        <v>5384</v>
      </c>
      <c r="AR19" s="403"/>
      <c r="AS19" s="403"/>
      <c r="AT19" s="403"/>
      <c r="AU19" s="403"/>
      <c r="AV19" s="403"/>
      <c r="AW19" s="403"/>
      <c r="AX19" s="403"/>
      <c r="AY19" s="403" t="s">
        <v>5385</v>
      </c>
      <c r="AZ19" s="403"/>
      <c r="BA19" s="403"/>
      <c r="BB19" s="403"/>
      <c r="BC19" s="403"/>
      <c r="BD19" s="403"/>
      <c r="BE19" s="403"/>
      <c r="BF19" s="403"/>
      <c r="BG19" s="403" t="s">
        <v>5386</v>
      </c>
      <c r="BH19" s="403"/>
      <c r="BI19" s="403"/>
      <c r="BJ19" s="403"/>
      <c r="BK19" s="403"/>
      <c r="BL19" s="403"/>
      <c r="BM19" s="403"/>
    </row>
    <row r="20" spans="1:65" s="299" customFormat="1" x14ac:dyDescent="0.2">
      <c r="J20" s="403"/>
      <c r="K20" s="403"/>
      <c r="L20" s="403"/>
      <c r="M20" s="403"/>
      <c r="N20" s="403"/>
      <c r="O20" s="403"/>
      <c r="P20" s="403"/>
      <c r="Q20" s="403"/>
      <c r="R20" s="403"/>
      <c r="S20" s="403"/>
      <c r="T20" s="403"/>
      <c r="U20" s="403"/>
      <c r="V20" s="403"/>
      <c r="W20" s="403"/>
      <c r="X20" s="403"/>
      <c r="Y20" s="403"/>
      <c r="Z20" s="403"/>
      <c r="AA20" s="403"/>
      <c r="AB20" s="403"/>
      <c r="AC20" s="403"/>
      <c r="AD20" s="403"/>
      <c r="AE20" s="403"/>
      <c r="AF20" s="403"/>
      <c r="AG20" s="403"/>
      <c r="AH20" s="403"/>
      <c r="AI20" s="403"/>
      <c r="AJ20" s="403"/>
      <c r="AK20" s="403"/>
      <c r="AL20" s="403"/>
      <c r="AM20" s="403"/>
      <c r="AN20" s="403"/>
      <c r="AO20" s="403"/>
      <c r="AP20" s="403"/>
      <c r="AQ20" s="403"/>
      <c r="AR20" s="403"/>
      <c r="AS20" s="403"/>
      <c r="AT20" s="403"/>
      <c r="AU20" s="403"/>
      <c r="AV20" s="403"/>
      <c r="AW20" s="403"/>
      <c r="AX20" s="403"/>
      <c r="AY20" s="403"/>
      <c r="AZ20" s="403"/>
      <c r="BA20" s="403"/>
      <c r="BB20" s="403"/>
      <c r="BC20" s="403"/>
      <c r="BD20" s="403"/>
      <c r="BE20" s="403"/>
      <c r="BF20" s="403"/>
      <c r="BG20" s="403"/>
      <c r="BH20" s="403"/>
      <c r="BI20" s="403"/>
      <c r="BJ20" s="403"/>
      <c r="BK20" s="403"/>
      <c r="BL20" s="403"/>
      <c r="BM20" s="403"/>
    </row>
    <row r="21" spans="1:65" x14ac:dyDescent="0.2">
      <c r="B21" s="673" t="str">
        <f t="shared" ref="B21:E22" ca="1" si="0">IF(OFFSET(K21,0,Lang_Order*Lang__A1)="","",OFFSET(K21,0,Lang_Order*Lang__A1))</f>
        <v>1. Red text font, as used in this sentence, is for important instructions, cautions, and notes.</v>
      </c>
      <c r="C21" s="673" t="str">
        <f t="shared" ca="1" si="0"/>
        <v/>
      </c>
      <c r="D21" s="673" t="str">
        <f t="shared" ca="1" si="0"/>
        <v/>
      </c>
      <c r="E21" s="673" t="str">
        <f t="shared" ca="1" si="0"/>
        <v/>
      </c>
      <c r="K21" s="403" t="s">
        <v>4057</v>
      </c>
      <c r="S21" s="403" t="s">
        <v>5387</v>
      </c>
      <c r="AA21" s="403" t="s">
        <v>5388</v>
      </c>
      <c r="AI21" s="403" t="s">
        <v>5389</v>
      </c>
      <c r="AQ21" s="403" t="s">
        <v>5390</v>
      </c>
      <c r="AY21" s="403" t="s">
        <v>5391</v>
      </c>
      <c r="BG21" s="403" t="s">
        <v>5392</v>
      </c>
    </row>
    <row r="22" spans="1:65" ht="57.75" customHeight="1" x14ac:dyDescent="0.2">
      <c r="B22" s="675" t="str">
        <f t="shared" ca="1" si="0"/>
        <v>2. This costing tool requires country-specific inputs. Input cells are color-coded for your convenience and ease of data entry. Inputs are required in sheets A2, A3, A4, and B1. Advanced users may customize certain parameters elsewhere, for example in B4.
Inputs which are required for all users are marked with a dark green cell with the number "1". Advanced users who wish to customize certain aspects of the costing model can optionally modify inputs associated with a dark brown cell with the number "2" - otherwise, these can can be left at default settings.</v>
      </c>
      <c r="C22" s="675" t="str">
        <f t="shared" ca="1" si="0"/>
        <v/>
      </c>
      <c r="D22" s="675" t="str">
        <f t="shared" ca="1" si="0"/>
        <v/>
      </c>
      <c r="E22" s="675" t="str">
        <f t="shared" ca="1" si="0"/>
        <v/>
      </c>
      <c r="K22" s="403" t="s">
        <v>3989</v>
      </c>
      <c r="S22" s="403" t="s">
        <v>5393</v>
      </c>
      <c r="AA22" s="403" t="s">
        <v>5394</v>
      </c>
      <c r="AI22" s="403" t="s">
        <v>5395</v>
      </c>
      <c r="AQ22" s="403" t="s">
        <v>5396</v>
      </c>
      <c r="AY22" s="403" t="s">
        <v>2642</v>
      </c>
      <c r="BG22" s="403" t="s">
        <v>5397</v>
      </c>
    </row>
    <row r="23" spans="1:65" s="369" customFormat="1" x14ac:dyDescent="0.2">
      <c r="B23" s="299"/>
      <c r="C23" s="393">
        <v>1</v>
      </c>
      <c r="D23" s="299"/>
      <c r="E23" s="299"/>
      <c r="F23" s="392"/>
      <c r="I23" s="299"/>
      <c r="J23" s="403"/>
      <c r="K23" s="403"/>
      <c r="L23" s="403">
        <v>1</v>
      </c>
      <c r="M23" s="403"/>
      <c r="N23" s="403"/>
      <c r="O23" s="403"/>
      <c r="P23" s="403"/>
      <c r="Q23" s="403"/>
      <c r="R23" s="403"/>
      <c r="S23" s="403"/>
      <c r="T23" s="403">
        <v>1</v>
      </c>
      <c r="U23" s="403"/>
      <c r="V23" s="403"/>
      <c r="W23" s="403"/>
      <c r="X23" s="403"/>
      <c r="Y23" s="403"/>
      <c r="Z23" s="403"/>
      <c r="AA23" s="403"/>
      <c r="AB23" s="403">
        <v>1</v>
      </c>
      <c r="AC23" s="403"/>
      <c r="AD23" s="403"/>
      <c r="AE23" s="403"/>
      <c r="AF23" s="403"/>
      <c r="AG23" s="403"/>
      <c r="AH23" s="403"/>
      <c r="AI23" s="403"/>
      <c r="AJ23" s="403">
        <v>1</v>
      </c>
      <c r="AK23" s="403"/>
      <c r="AL23" s="403"/>
      <c r="AM23" s="403"/>
      <c r="AN23" s="403"/>
      <c r="AO23" s="403"/>
      <c r="AP23" s="403"/>
      <c r="AQ23" s="403"/>
      <c r="AR23" s="403" t="s">
        <v>3124</v>
      </c>
      <c r="AS23" s="403"/>
      <c r="AT23" s="403"/>
      <c r="AU23" s="403"/>
      <c r="AV23" s="403"/>
      <c r="AW23" s="403"/>
      <c r="AX23" s="403"/>
      <c r="AY23" s="403"/>
      <c r="AZ23" s="403">
        <v>1</v>
      </c>
      <c r="BA23" s="403"/>
      <c r="BB23" s="403"/>
      <c r="BC23" s="403"/>
      <c r="BD23" s="403"/>
      <c r="BE23" s="403"/>
      <c r="BF23" s="403"/>
      <c r="BG23" s="403"/>
      <c r="BH23" s="403">
        <v>1</v>
      </c>
      <c r="BI23" s="403"/>
      <c r="BJ23" s="403"/>
      <c r="BK23" s="403"/>
      <c r="BL23" s="403"/>
      <c r="BM23" s="403"/>
    </row>
    <row r="24" spans="1:65" s="369" customFormat="1" x14ac:dyDescent="0.2">
      <c r="B24" s="299"/>
      <c r="C24" s="394">
        <v>2</v>
      </c>
      <c r="D24" s="299"/>
      <c r="E24" s="299"/>
      <c r="F24" s="392"/>
      <c r="I24" s="299"/>
      <c r="J24" s="403"/>
      <c r="K24" s="403"/>
      <c r="L24" s="403">
        <v>2</v>
      </c>
      <c r="M24" s="403"/>
      <c r="N24" s="403"/>
      <c r="O24" s="403"/>
      <c r="P24" s="403"/>
      <c r="Q24" s="403"/>
      <c r="R24" s="403"/>
      <c r="S24" s="403"/>
      <c r="T24" s="403">
        <v>2</v>
      </c>
      <c r="U24" s="403"/>
      <c r="V24" s="403"/>
      <c r="W24" s="403"/>
      <c r="X24" s="403"/>
      <c r="Y24" s="403"/>
      <c r="Z24" s="403"/>
      <c r="AA24" s="403"/>
      <c r="AB24" s="403">
        <v>2</v>
      </c>
      <c r="AC24" s="403"/>
      <c r="AD24" s="403"/>
      <c r="AE24" s="403"/>
      <c r="AF24" s="403"/>
      <c r="AG24" s="403"/>
      <c r="AH24" s="403"/>
      <c r="AI24" s="403"/>
      <c r="AJ24" s="403">
        <v>2</v>
      </c>
      <c r="AK24" s="403"/>
      <c r="AL24" s="403"/>
      <c r="AM24" s="403"/>
      <c r="AN24" s="403"/>
      <c r="AO24" s="403"/>
      <c r="AP24" s="403"/>
      <c r="AQ24" s="403"/>
      <c r="AR24" s="403" t="s">
        <v>3131</v>
      </c>
      <c r="AS24" s="403"/>
      <c r="AT24" s="403"/>
      <c r="AU24" s="403"/>
      <c r="AV24" s="403"/>
      <c r="AW24" s="403"/>
      <c r="AX24" s="403"/>
      <c r="AY24" s="403"/>
      <c r="AZ24" s="403">
        <v>2</v>
      </c>
      <c r="BA24" s="403"/>
      <c r="BB24" s="403"/>
      <c r="BC24" s="403"/>
      <c r="BD24" s="403"/>
      <c r="BE24" s="403"/>
      <c r="BF24" s="403"/>
      <c r="BG24" s="403"/>
      <c r="BH24" s="403">
        <v>2</v>
      </c>
      <c r="BI24" s="403"/>
      <c r="BJ24" s="403"/>
      <c r="BK24" s="403"/>
      <c r="BL24" s="403"/>
      <c r="BM24" s="403"/>
    </row>
    <row r="25" spans="1:65" ht="28.5" customHeight="1" x14ac:dyDescent="0.2">
      <c r="B25" s="676" t="str">
        <f ca="1">IF(OFFSET(K25,0,Lang_Order*Lang__A1)="","",OFFSET(K25,0,Lang_Order*Lang__A1))</f>
        <v>3. Please look for cells with the orange shade - cells of this color are for the user to input data. Some cells require numbers but some require specific options which can be selected using a drop down menu.</v>
      </c>
      <c r="C25" s="676" t="str">
        <f ca="1">IF(OFFSET(L25,0,Lang_Order*Lang__A1)="","",OFFSET(L25,0,Lang_Order*Lang__A1))</f>
        <v/>
      </c>
      <c r="D25" s="676" t="str">
        <f ca="1">IF(OFFSET(M25,0,Lang_Order*Lang__A1)="","",OFFSET(M25,0,Lang_Order*Lang__A1))</f>
        <v/>
      </c>
      <c r="E25" s="676" t="str">
        <f ca="1">IF(OFFSET(N25,0,Lang_Order*Lang__A1)="","",OFFSET(N25,0,Lang_Order*Lang__A1))</f>
        <v/>
      </c>
      <c r="K25" s="403" t="s">
        <v>2939</v>
      </c>
      <c r="S25" s="403" t="s">
        <v>5398</v>
      </c>
      <c r="AA25" s="403" t="s">
        <v>5399</v>
      </c>
      <c r="AI25" s="403" t="s">
        <v>5400</v>
      </c>
      <c r="AQ25" s="403" t="s">
        <v>5401</v>
      </c>
      <c r="AY25" s="403" t="s">
        <v>5402</v>
      </c>
      <c r="BG25" s="403" t="s">
        <v>5403</v>
      </c>
    </row>
    <row r="26" spans="1:65" x14ac:dyDescent="0.2">
      <c r="B26" s="216"/>
      <c r="C26" s="35" t="str">
        <f ca="1">IF(OFFSET(L26,0,Lang_Order*Lang__A1)="","",OFFSET(L26,0,Lang_Order*Lang__A1))</f>
        <v>Enter inputs in cells like this</v>
      </c>
      <c r="L26" s="403" t="s">
        <v>2945</v>
      </c>
      <c r="T26" s="403" t="s">
        <v>5404</v>
      </c>
      <c r="AB26" s="403" t="s">
        <v>5405</v>
      </c>
      <c r="AJ26" s="403" t="s">
        <v>5406</v>
      </c>
      <c r="AR26" s="403" t="s">
        <v>5407</v>
      </c>
      <c r="AZ26" s="403" t="s">
        <v>5408</v>
      </c>
      <c r="BH26" s="403" t="s">
        <v>5409</v>
      </c>
    </row>
    <row r="27" spans="1:65" x14ac:dyDescent="0.2">
      <c r="B27" s="216"/>
    </row>
    <row r="28" spans="1:65" x14ac:dyDescent="0.2">
      <c r="B28" s="369" t="str">
        <f ca="1">IF(OFFSET(K28,0,Lang_Order*Lang__A1)="","",OFFSET(K28,0,Lang_Order*Lang__A1))</f>
        <v>4. Cells with a green shade provide suggestions and instructions for inputs - either defaults or basic calculations from public databases and/or other inputed data.</v>
      </c>
      <c r="K28" s="403" t="s">
        <v>3911</v>
      </c>
      <c r="S28" s="403" t="s">
        <v>5410</v>
      </c>
      <c r="AA28" s="403" t="s">
        <v>5411</v>
      </c>
      <c r="AI28" s="403" t="s">
        <v>5412</v>
      </c>
      <c r="AQ28" s="403" t="s">
        <v>5413</v>
      </c>
      <c r="AY28" s="403" t="s">
        <v>5414</v>
      </c>
      <c r="BG28" s="403" t="s">
        <v>5415</v>
      </c>
    </row>
    <row r="29" spans="1:65" x14ac:dyDescent="0.2">
      <c r="B29" s="216"/>
      <c r="C29" s="81" t="str">
        <f ca="1">IF(OFFSET(L29,0,Lang_Order*Lang__A1)="","",OFFSET(L29,0,Lang_Order*Lang__A1))</f>
        <v>Suggestions are in green</v>
      </c>
      <c r="L29" s="403" t="s">
        <v>2940</v>
      </c>
      <c r="T29" s="403" t="s">
        <v>5416</v>
      </c>
      <c r="AB29" s="403" t="s">
        <v>5417</v>
      </c>
      <c r="AJ29" s="403" t="s">
        <v>5418</v>
      </c>
      <c r="AR29" s="403" t="s">
        <v>5419</v>
      </c>
      <c r="AZ29" s="403" t="s">
        <v>5420</v>
      </c>
      <c r="BH29" s="403" t="s">
        <v>5421</v>
      </c>
    </row>
    <row r="30" spans="1:65" x14ac:dyDescent="0.2">
      <c r="B30" s="216"/>
    </row>
    <row r="31" spans="1:65" s="194" customFormat="1" x14ac:dyDescent="0.2">
      <c r="B31" s="369" t="str">
        <f ca="1">IF(OFFSET(K31,0,Lang_Order*Lang__A1)="","",OFFSET(K31,0,Lang_Order*Lang__A1))</f>
        <v>5. Pink cells with the word "CHECK" - indicate that there is an error with the input. Please review. Once the input is valid, the cell changes color to green and states "OK".</v>
      </c>
      <c r="F31" s="165"/>
      <c r="I31" s="299"/>
      <c r="J31" s="403"/>
      <c r="K31" s="403" t="s">
        <v>2943</v>
      </c>
      <c r="L31" s="403"/>
      <c r="M31" s="403"/>
      <c r="N31" s="403"/>
      <c r="O31" s="403"/>
      <c r="P31" s="403"/>
      <c r="Q31" s="403"/>
      <c r="R31" s="403"/>
      <c r="S31" s="403" t="s">
        <v>5422</v>
      </c>
      <c r="T31" s="403"/>
      <c r="U31" s="403"/>
      <c r="V31" s="403"/>
      <c r="W31" s="403"/>
      <c r="X31" s="403"/>
      <c r="Y31" s="403"/>
      <c r="Z31" s="403"/>
      <c r="AA31" s="403" t="s">
        <v>5423</v>
      </c>
      <c r="AB31" s="403"/>
      <c r="AC31" s="403"/>
      <c r="AD31" s="403"/>
      <c r="AE31" s="403"/>
      <c r="AF31" s="403"/>
      <c r="AG31" s="403"/>
      <c r="AH31" s="403"/>
      <c r="AI31" s="403" t="s">
        <v>5424</v>
      </c>
      <c r="AJ31" s="403"/>
      <c r="AK31" s="403"/>
      <c r="AL31" s="403"/>
      <c r="AM31" s="403"/>
      <c r="AN31" s="403"/>
      <c r="AO31" s="403"/>
      <c r="AP31" s="403"/>
      <c r="AQ31" s="403" t="s">
        <v>5425</v>
      </c>
      <c r="AR31" s="403"/>
      <c r="AS31" s="403"/>
      <c r="AT31" s="403"/>
      <c r="AU31" s="403"/>
      <c r="AV31" s="403"/>
      <c r="AW31" s="403"/>
      <c r="AX31" s="403"/>
      <c r="AY31" s="403" t="s">
        <v>5426</v>
      </c>
      <c r="AZ31" s="403"/>
      <c r="BA31" s="403"/>
      <c r="BB31" s="403"/>
      <c r="BC31" s="403"/>
      <c r="BD31" s="403"/>
      <c r="BE31" s="403"/>
      <c r="BF31" s="403"/>
      <c r="BG31" s="403" t="s">
        <v>5427</v>
      </c>
      <c r="BH31" s="403"/>
      <c r="BI31" s="403"/>
      <c r="BJ31" s="403"/>
      <c r="BK31" s="403"/>
      <c r="BL31" s="403"/>
      <c r="BM31" s="403"/>
    </row>
    <row r="32" spans="1:65" x14ac:dyDescent="0.2">
      <c r="B32" s="216"/>
      <c r="C32" s="4" t="str">
        <f ca="1">IF(OFFSET(L32,0,Lang_Order*Lang__A1)="","",OFFSET(L32,0,Lang_Order*Lang__A1))</f>
        <v>CHECK</v>
      </c>
      <c r="L32" s="403" t="s">
        <v>2942</v>
      </c>
      <c r="T32" s="403" t="s">
        <v>5428</v>
      </c>
      <c r="AB32" s="403" t="s">
        <v>5239</v>
      </c>
      <c r="AJ32" s="403" t="s">
        <v>5429</v>
      </c>
      <c r="AR32" s="403" t="s">
        <v>5271</v>
      </c>
      <c r="AZ32" s="403" t="s">
        <v>5180</v>
      </c>
      <c r="BH32" s="403" t="s">
        <v>5430</v>
      </c>
    </row>
    <row r="33" spans="2:65" x14ac:dyDescent="0.2">
      <c r="B33" s="216"/>
      <c r="C33" s="4" t="str">
        <f ca="1">IF(OFFSET(L33,0,Lang_Order*Lang__A1)="","",OFFSET(L33,0,Lang_Order*Lang__A1))</f>
        <v>OK</v>
      </c>
      <c r="L33" s="403" t="s">
        <v>2941</v>
      </c>
      <c r="T33" s="403" t="s">
        <v>2941</v>
      </c>
      <c r="AB33" s="403" t="s">
        <v>5431</v>
      </c>
      <c r="AJ33" s="403" t="s">
        <v>2941</v>
      </c>
      <c r="AR33" s="403" t="s">
        <v>2941</v>
      </c>
      <c r="AZ33" s="403" t="s">
        <v>5432</v>
      </c>
      <c r="BH33" s="403" t="s">
        <v>5433</v>
      </c>
    </row>
    <row r="34" spans="2:65" x14ac:dyDescent="0.2">
      <c r="B34" s="216"/>
    </row>
    <row r="35" spans="2:65" x14ac:dyDescent="0.2">
      <c r="B35" s="369" t="str">
        <f ca="1">IF(OFFSET(K35,0,Lang_Order*Lang__A1)="","",OFFSET(K35,0,Lang_Order*Lang__A1))</f>
        <v>6. Cells which have a grey shade and orange or black text are to display calculations. This is informational only and should not be edited.</v>
      </c>
      <c r="K35" s="403" t="s">
        <v>2944</v>
      </c>
      <c r="S35" s="403" t="s">
        <v>5434</v>
      </c>
      <c r="AA35" s="403" t="s">
        <v>5435</v>
      </c>
      <c r="AI35" s="403" t="s">
        <v>5436</v>
      </c>
      <c r="AQ35" s="403" t="s">
        <v>5437</v>
      </c>
      <c r="AY35" s="403" t="s">
        <v>5438</v>
      </c>
      <c r="BG35" s="403" t="s">
        <v>5439</v>
      </c>
    </row>
    <row r="36" spans="2:65" x14ac:dyDescent="0.2">
      <c r="B36" s="216"/>
      <c r="C36" s="3" t="str">
        <f ca="1">IF(OFFSET(L36,0,Lang_Order*Lang__A1)="","",OFFSET(L36,0,Lang_Order*Lang__A1))</f>
        <v>Calculations only</v>
      </c>
      <c r="L36" s="403" t="s">
        <v>2946</v>
      </c>
      <c r="T36" s="403" t="s">
        <v>5440</v>
      </c>
      <c r="AB36" s="403" t="s">
        <v>5441</v>
      </c>
      <c r="AJ36" s="403" t="s">
        <v>5442</v>
      </c>
      <c r="AR36" s="403" t="s">
        <v>5443</v>
      </c>
      <c r="AZ36" s="403" t="s">
        <v>5444</v>
      </c>
      <c r="BH36" s="403" t="s">
        <v>5445</v>
      </c>
    </row>
    <row r="37" spans="2:65" x14ac:dyDescent="0.2">
      <c r="B37" s="216"/>
      <c r="C37" s="342"/>
    </row>
    <row r="38" spans="2:65" x14ac:dyDescent="0.2">
      <c r="B38" s="369" t="str">
        <f ca="1">IF(OFFSET(K38,0,Lang_Order*Lang__A1)="","",OFFSET(K38,0,Lang_Order*Lang__A1))</f>
        <v>7. Additional minor clarifications and Notes are in yellow cells or in light grey text.</v>
      </c>
      <c r="C38" t="str">
        <f ca="1">IF(OFFSET(L38,0,Lang_Order*Lang__A1)="","",OFFSET(L38,0,Lang_Order*Lang__A1))</f>
        <v/>
      </c>
      <c r="K38" s="403" t="s">
        <v>4238</v>
      </c>
      <c r="S38" s="403" t="s">
        <v>5446</v>
      </c>
      <c r="AA38" s="403" t="s">
        <v>5447</v>
      </c>
      <c r="AI38" s="403" t="s">
        <v>5448</v>
      </c>
      <c r="AQ38" s="403" t="s">
        <v>5449</v>
      </c>
      <c r="AY38" s="403" t="s">
        <v>5450</v>
      </c>
      <c r="BG38" s="403" t="s">
        <v>5451</v>
      </c>
    </row>
    <row r="39" spans="2:65" x14ac:dyDescent="0.2">
      <c r="B39" s="216"/>
      <c r="C39" s="12" t="str">
        <f ca="1">IF(OFFSET(L39,0,Lang_Order*Lang__A1)="","",OFFSET(L39,0,Lang_Order*Lang__A1))</f>
        <v>Notes</v>
      </c>
      <c r="L39" s="403" t="s">
        <v>16</v>
      </c>
      <c r="T39" s="403" t="s">
        <v>16</v>
      </c>
      <c r="AB39" s="403" t="s">
        <v>5452</v>
      </c>
      <c r="AJ39" s="403" t="s">
        <v>5453</v>
      </c>
      <c r="AR39" s="403" t="s">
        <v>5453</v>
      </c>
      <c r="AZ39" s="403" t="s">
        <v>5454</v>
      </c>
      <c r="BH39" s="403" t="s">
        <v>5455</v>
      </c>
    </row>
    <row r="40" spans="2:65" x14ac:dyDescent="0.2">
      <c r="B40" s="216"/>
      <c r="C40" s="2" t="str">
        <f ca="1">IF(OFFSET(L40,0,Lang_Order*Lang__A1)="","",OFFSET(L40,0,Lang_Order*Lang__A1))</f>
        <v>Further explanation or details</v>
      </c>
      <c r="L40" s="403" t="s">
        <v>2869</v>
      </c>
      <c r="T40" s="403" t="s">
        <v>5456</v>
      </c>
      <c r="AB40" s="403" t="s">
        <v>5457</v>
      </c>
      <c r="AJ40" s="403" t="s">
        <v>5458</v>
      </c>
      <c r="AR40" s="403" t="s">
        <v>5459</v>
      </c>
      <c r="AZ40" s="403" t="s">
        <v>5460</v>
      </c>
      <c r="BH40" s="403" t="s">
        <v>5461</v>
      </c>
    </row>
    <row r="41" spans="2:65" x14ac:dyDescent="0.2">
      <c r="B41" s="216"/>
    </row>
    <row r="42" spans="2:65" ht="27.75" customHeight="1" x14ac:dyDescent="0.2">
      <c r="B42" s="676" t="str">
        <f ca="1">IF(OFFSET(K42,0,Lang_Order*Lang__A1)="","",OFFSET(K42,0,Lang_Order*Lang__A1))</f>
        <v>8. A grey navigation bar is provided at the top of each sheet. The navigation bar has orange buttons to help take guide you through the completion of the input requires in this costing tool. If you are lost at any stage, click "Menu" to take you back to the Quick Links Menu below.</v>
      </c>
      <c r="C42" s="676" t="str">
        <f ca="1">IF(OFFSET(L42,0,Lang_Order*Lang__A1)="","",OFFSET(L42,0,Lang_Order*Lang__A1))</f>
        <v/>
      </c>
      <c r="D42" s="676" t="str">
        <f ca="1">IF(OFFSET(M42,0,Lang_Order*Lang__A1)="","",OFFSET(M42,0,Lang_Order*Lang__A1))</f>
        <v/>
      </c>
      <c r="E42" s="676" t="str">
        <f ca="1">IF(OFFSET(N42,0,Lang_Order*Lang__A1)="","",OFFSET(N42,0,Lang_Order*Lang__A1))</f>
        <v/>
      </c>
      <c r="K42" s="403" t="s">
        <v>14121</v>
      </c>
      <c r="S42" s="403" t="s">
        <v>14122</v>
      </c>
      <c r="AA42" s="403" t="s">
        <v>5462</v>
      </c>
      <c r="AI42" s="403" t="s">
        <v>14123</v>
      </c>
      <c r="AQ42" s="403" t="s">
        <v>14124</v>
      </c>
      <c r="AY42" s="403" t="s">
        <v>5463</v>
      </c>
      <c r="BG42" s="403" t="s">
        <v>5464</v>
      </c>
    </row>
    <row r="43" spans="2:65" s="194" customFormat="1" x14ac:dyDescent="0.2">
      <c r="B43" s="216"/>
      <c r="F43" s="165"/>
      <c r="I43" s="299"/>
      <c r="J43" s="403"/>
      <c r="K43" s="403"/>
      <c r="L43" s="403"/>
      <c r="M43" s="403"/>
      <c r="N43" s="403"/>
      <c r="O43" s="403"/>
      <c r="P43" s="403"/>
      <c r="Q43" s="403"/>
      <c r="R43" s="403"/>
      <c r="S43" s="403"/>
      <c r="T43" s="403"/>
      <c r="U43" s="403"/>
      <c r="V43" s="403"/>
      <c r="W43" s="403"/>
      <c r="X43" s="403"/>
      <c r="Y43" s="403"/>
      <c r="Z43" s="403"/>
      <c r="AA43" s="403"/>
      <c r="AB43" s="403"/>
      <c r="AC43" s="403"/>
      <c r="AD43" s="403"/>
      <c r="AE43" s="403"/>
      <c r="AF43" s="403"/>
      <c r="AG43" s="403"/>
      <c r="AH43" s="403"/>
      <c r="AI43" s="403"/>
      <c r="AJ43" s="403"/>
      <c r="AK43" s="403"/>
      <c r="AL43" s="403"/>
      <c r="AM43" s="403"/>
      <c r="AN43" s="403"/>
      <c r="AO43" s="403"/>
      <c r="AP43" s="403"/>
      <c r="AQ43" s="403"/>
      <c r="AR43" s="403"/>
      <c r="AS43" s="403"/>
      <c r="AT43" s="403"/>
      <c r="AU43" s="403"/>
      <c r="AV43" s="403"/>
      <c r="AW43" s="403"/>
      <c r="AX43" s="403"/>
      <c r="AY43" s="403"/>
      <c r="AZ43" s="403"/>
      <c r="BA43" s="403"/>
      <c r="BB43" s="403"/>
      <c r="BC43" s="403"/>
      <c r="BD43" s="403"/>
      <c r="BE43" s="403"/>
      <c r="BF43" s="403"/>
      <c r="BG43" s="403"/>
      <c r="BH43" s="403"/>
      <c r="BI43" s="403"/>
      <c r="BJ43" s="403"/>
      <c r="BK43" s="403"/>
      <c r="BL43" s="403"/>
      <c r="BM43" s="403"/>
    </row>
    <row r="44" spans="2:65" s="281" customFormat="1" ht="48.75" customHeight="1" x14ac:dyDescent="0.2">
      <c r="B44" s="674" t="str">
        <f ca="1">IF(OFFSET(K44,0,Lang_Order*Lang__A1)="","",OFFSET(K44,0,Lang_Order*Lang__A1))</f>
        <v>9. As many aspects of Covid-19 vaccination are not finalized, many parameters in this model such as default unit prices, quantities of commodities, and vaccine specifications can be updated even after this tool is deployed. To do so, click "Refresh All" under the menu "Data" above. Please note that a security warning may be displayed - please "Enable Content". We recommend you make a backup of the completed tool before performing an update.</v>
      </c>
      <c r="C44" s="674" t="str">
        <f ca="1">IF(OFFSET(L44,0,Lang_Order*Lang__A1)="","",OFFSET(L44,0,Lang_Order*Lang__A1))</f>
        <v/>
      </c>
      <c r="D44" s="674" t="str">
        <f ca="1">IF(OFFSET(M44,0,Lang_Order*Lang__A1)="","",OFFSET(M44,0,Lang_Order*Lang__A1))</f>
        <v/>
      </c>
      <c r="E44" s="674" t="str">
        <f ca="1">IF(OFFSET(N44,0,Lang_Order*Lang__A1)="","",OFFSET(N44,0,Lang_Order*Lang__A1))</f>
        <v/>
      </c>
      <c r="F44" s="165"/>
      <c r="I44" s="299"/>
      <c r="J44" s="403"/>
      <c r="K44" s="403" t="s">
        <v>4394</v>
      </c>
      <c r="L44" s="403"/>
      <c r="M44" s="403"/>
      <c r="N44" s="403"/>
      <c r="O44" s="403"/>
      <c r="P44" s="403"/>
      <c r="Q44" s="403"/>
      <c r="R44" s="403"/>
      <c r="S44" s="403" t="s">
        <v>5465</v>
      </c>
      <c r="T44" s="403"/>
      <c r="U44" s="403"/>
      <c r="V44" s="403"/>
      <c r="W44" s="403"/>
      <c r="X44" s="403"/>
      <c r="Y44" s="403"/>
      <c r="Z44" s="403"/>
      <c r="AA44" s="403" t="s">
        <v>5466</v>
      </c>
      <c r="AB44" s="403"/>
      <c r="AC44" s="403"/>
      <c r="AD44" s="403"/>
      <c r="AE44" s="403"/>
      <c r="AF44" s="403"/>
      <c r="AG44" s="403"/>
      <c r="AH44" s="403"/>
      <c r="AI44" s="403" t="s">
        <v>5467</v>
      </c>
      <c r="AJ44" s="403"/>
      <c r="AK44" s="403"/>
      <c r="AL44" s="403"/>
      <c r="AM44" s="403"/>
      <c r="AN44" s="403"/>
      <c r="AO44" s="403"/>
      <c r="AP44" s="403"/>
      <c r="AQ44" s="403" t="s">
        <v>5468</v>
      </c>
      <c r="AR44" s="403"/>
      <c r="AS44" s="403"/>
      <c r="AT44" s="403"/>
      <c r="AU44" s="403"/>
      <c r="AV44" s="403"/>
      <c r="AW44" s="403"/>
      <c r="AX44" s="403"/>
      <c r="AY44" s="403" t="s">
        <v>5469</v>
      </c>
      <c r="AZ44" s="403"/>
      <c r="BA44" s="403"/>
      <c r="BB44" s="403"/>
      <c r="BC44" s="403"/>
      <c r="BD44" s="403"/>
      <c r="BE44" s="403"/>
      <c r="BF44" s="403"/>
      <c r="BG44" s="403" t="s">
        <v>5470</v>
      </c>
      <c r="BH44" s="403"/>
      <c r="BI44" s="403"/>
      <c r="BJ44" s="403"/>
      <c r="BK44" s="403"/>
      <c r="BL44" s="403"/>
      <c r="BM44" s="403"/>
    </row>
    <row r="45" spans="2:65" s="281" customFormat="1" x14ac:dyDescent="0.2">
      <c r="B45" s="299"/>
      <c r="F45" s="165"/>
      <c r="I45" s="299"/>
      <c r="J45" s="403"/>
      <c r="K45" s="403"/>
      <c r="L45" s="403"/>
      <c r="M45" s="403"/>
      <c r="N45" s="403"/>
      <c r="O45" s="403"/>
      <c r="P45" s="403"/>
      <c r="Q45" s="403"/>
      <c r="R45" s="403"/>
      <c r="S45" s="403"/>
      <c r="T45" s="403"/>
      <c r="U45" s="403"/>
      <c r="V45" s="403"/>
      <c r="W45" s="403"/>
      <c r="X45" s="403"/>
      <c r="Y45" s="403"/>
      <c r="Z45" s="403"/>
      <c r="AA45" s="403"/>
      <c r="AB45" s="403"/>
      <c r="AC45" s="403"/>
      <c r="AD45" s="403"/>
      <c r="AE45" s="403"/>
      <c r="AF45" s="403"/>
      <c r="AG45" s="403"/>
      <c r="AH45" s="403"/>
      <c r="AI45" s="403"/>
      <c r="AJ45" s="403"/>
      <c r="AK45" s="403"/>
      <c r="AL45" s="403"/>
      <c r="AM45" s="403"/>
      <c r="AN45" s="403"/>
      <c r="AO45" s="403"/>
      <c r="AP45" s="403"/>
      <c r="AQ45" s="403"/>
      <c r="AR45" s="403"/>
      <c r="AS45" s="403"/>
      <c r="AT45" s="403"/>
      <c r="AU45" s="403"/>
      <c r="AV45" s="403"/>
      <c r="AW45" s="403"/>
      <c r="AX45" s="403"/>
      <c r="AY45" s="403"/>
      <c r="AZ45" s="403"/>
      <c r="BA45" s="403"/>
      <c r="BB45" s="403"/>
      <c r="BC45" s="403"/>
      <c r="BD45" s="403"/>
      <c r="BE45" s="403"/>
      <c r="BF45" s="403"/>
      <c r="BG45" s="403"/>
      <c r="BH45" s="403"/>
      <c r="BI45" s="403"/>
      <c r="BJ45" s="403"/>
      <c r="BK45" s="403"/>
      <c r="BL45" s="403"/>
      <c r="BM45" s="403"/>
    </row>
    <row r="46" spans="2:65" s="299" customFormat="1" x14ac:dyDescent="0.2">
      <c r="F46" s="165"/>
      <c r="J46" s="403"/>
      <c r="K46" s="403"/>
      <c r="L46" s="403"/>
      <c r="M46" s="403"/>
      <c r="N46" s="403"/>
      <c r="O46" s="403"/>
      <c r="P46" s="403"/>
      <c r="Q46" s="403"/>
      <c r="R46" s="403"/>
      <c r="S46" s="403"/>
      <c r="T46" s="403"/>
      <c r="U46" s="403"/>
      <c r="V46" s="403"/>
      <c r="W46" s="403"/>
      <c r="X46" s="403"/>
      <c r="Y46" s="403"/>
      <c r="Z46" s="403"/>
      <c r="AA46" s="403"/>
      <c r="AB46" s="403"/>
      <c r="AC46" s="403"/>
      <c r="AD46" s="403"/>
      <c r="AE46" s="403"/>
      <c r="AF46" s="403"/>
      <c r="AG46" s="403"/>
      <c r="AH46" s="403"/>
      <c r="AI46" s="403"/>
      <c r="AJ46" s="403"/>
      <c r="AK46" s="403"/>
      <c r="AL46" s="403"/>
      <c r="AM46" s="403"/>
      <c r="AN46" s="403"/>
      <c r="AO46" s="403"/>
      <c r="AP46" s="403"/>
      <c r="AQ46" s="403"/>
      <c r="AR46" s="403"/>
      <c r="AS46" s="403"/>
      <c r="AT46" s="403"/>
      <c r="AU46" s="403"/>
      <c r="AV46" s="403"/>
      <c r="AW46" s="403"/>
      <c r="AX46" s="403"/>
      <c r="AY46" s="403"/>
      <c r="AZ46" s="403"/>
      <c r="BA46" s="403"/>
      <c r="BB46" s="403"/>
      <c r="BC46" s="403"/>
      <c r="BD46" s="403"/>
      <c r="BE46" s="403"/>
      <c r="BF46" s="403"/>
      <c r="BG46" s="403"/>
      <c r="BH46" s="403"/>
      <c r="BI46" s="403"/>
      <c r="BJ46" s="403"/>
      <c r="BK46" s="403"/>
      <c r="BL46" s="403"/>
      <c r="BM46" s="403"/>
    </row>
    <row r="47" spans="2:65" s="281" customFormat="1" x14ac:dyDescent="0.2">
      <c r="B47" s="291"/>
      <c r="F47" s="165"/>
      <c r="I47" s="299"/>
      <c r="J47" s="403"/>
      <c r="K47" s="403"/>
      <c r="L47" s="403"/>
      <c r="M47" s="403"/>
      <c r="N47" s="403"/>
      <c r="O47" s="403"/>
      <c r="P47" s="403"/>
      <c r="Q47" s="403"/>
      <c r="R47" s="403"/>
      <c r="S47" s="403"/>
      <c r="T47" s="403"/>
      <c r="U47" s="403"/>
      <c r="V47" s="403"/>
      <c r="W47" s="403"/>
      <c r="X47" s="403"/>
      <c r="Y47" s="403"/>
      <c r="Z47" s="403"/>
      <c r="AA47" s="403"/>
      <c r="AB47" s="403"/>
      <c r="AC47" s="403"/>
      <c r="AD47" s="403"/>
      <c r="AE47" s="403"/>
      <c r="AF47" s="403"/>
      <c r="AG47" s="403"/>
      <c r="AH47" s="403"/>
      <c r="AI47" s="403"/>
      <c r="AJ47" s="403"/>
      <c r="AK47" s="403"/>
      <c r="AL47" s="403"/>
      <c r="AM47" s="403"/>
      <c r="AN47" s="403"/>
      <c r="AO47" s="403"/>
      <c r="AP47" s="403"/>
      <c r="AQ47" s="403"/>
      <c r="AR47" s="403"/>
      <c r="AS47" s="403"/>
      <c r="AT47" s="403"/>
      <c r="AU47" s="403"/>
      <c r="AV47" s="403"/>
      <c r="AW47" s="403"/>
      <c r="AX47" s="403"/>
      <c r="AY47" s="403"/>
      <c r="AZ47" s="403"/>
      <c r="BA47" s="403"/>
      <c r="BB47" s="403"/>
      <c r="BC47" s="403"/>
      <c r="BD47" s="403"/>
      <c r="BE47" s="403"/>
      <c r="BF47" s="403"/>
      <c r="BG47" s="403"/>
      <c r="BH47" s="403"/>
      <c r="BI47" s="403"/>
      <c r="BJ47" s="403"/>
      <c r="BK47" s="403"/>
      <c r="BL47" s="403"/>
      <c r="BM47" s="403"/>
    </row>
    <row r="48" spans="2:65" s="281" customFormat="1" x14ac:dyDescent="0.2">
      <c r="B48" s="291"/>
      <c r="F48" s="165"/>
      <c r="I48" s="299"/>
      <c r="J48" s="403"/>
      <c r="K48" s="403"/>
      <c r="L48" s="403"/>
      <c r="M48" s="403"/>
      <c r="N48" s="403"/>
      <c r="O48" s="403"/>
      <c r="P48" s="403"/>
      <c r="Q48" s="403"/>
      <c r="R48" s="403"/>
      <c r="S48" s="403"/>
      <c r="T48" s="403"/>
      <c r="U48" s="403"/>
      <c r="V48" s="403"/>
      <c r="W48" s="403"/>
      <c r="X48" s="403"/>
      <c r="Y48" s="403"/>
      <c r="Z48" s="403"/>
      <c r="AA48" s="403"/>
      <c r="AB48" s="403"/>
      <c r="AC48" s="403"/>
      <c r="AD48" s="403"/>
      <c r="AE48" s="403"/>
      <c r="AF48" s="403"/>
      <c r="AG48" s="403"/>
      <c r="AH48" s="403"/>
      <c r="AI48" s="403"/>
      <c r="AJ48" s="403"/>
      <c r="AK48" s="403"/>
      <c r="AL48" s="403"/>
      <c r="AM48" s="403"/>
      <c r="AN48" s="403"/>
      <c r="AO48" s="403"/>
      <c r="AP48" s="403"/>
      <c r="AQ48" s="403"/>
      <c r="AR48" s="403"/>
      <c r="AS48" s="403"/>
      <c r="AT48" s="403"/>
      <c r="AU48" s="403"/>
      <c r="AV48" s="403"/>
      <c r="AW48" s="403"/>
      <c r="AX48" s="403"/>
      <c r="AY48" s="403"/>
      <c r="AZ48" s="403"/>
      <c r="BA48" s="403"/>
      <c r="BB48" s="403"/>
      <c r="BC48" s="403"/>
      <c r="BD48" s="403"/>
      <c r="BE48" s="403"/>
      <c r="BF48" s="403"/>
      <c r="BG48" s="403"/>
      <c r="BH48" s="403"/>
      <c r="BI48" s="403"/>
      <c r="BJ48" s="403"/>
      <c r="BK48" s="403"/>
      <c r="BL48" s="403"/>
      <c r="BM48" s="403"/>
    </row>
    <row r="49" spans="1:65" x14ac:dyDescent="0.2">
      <c r="B49" s="216"/>
    </row>
    <row r="50" spans="1:65" s="8" customFormat="1" ht="15" x14ac:dyDescent="0.25">
      <c r="A50" s="8" t="str">
        <f ca="1">IF(OFFSET(J50,0,Lang_Order*Lang__A1)="","",OFFSET(J50,0,Lang_Order*Lang__A1))</f>
        <v>A1.3 Quick Links Menu</v>
      </c>
      <c r="I50" s="299"/>
      <c r="J50" s="403" t="s">
        <v>2911</v>
      </c>
      <c r="K50" s="403"/>
      <c r="L50" s="403"/>
      <c r="M50" s="403"/>
      <c r="N50" s="403"/>
      <c r="O50" s="403"/>
      <c r="P50" s="403"/>
      <c r="Q50" s="403"/>
      <c r="R50" s="403" t="s">
        <v>5471</v>
      </c>
      <c r="S50" s="403"/>
      <c r="T50" s="403"/>
      <c r="U50" s="403"/>
      <c r="V50" s="403"/>
      <c r="W50" s="403"/>
      <c r="X50" s="403"/>
      <c r="Y50" s="403"/>
      <c r="Z50" s="403" t="s">
        <v>5472</v>
      </c>
      <c r="AA50" s="403"/>
      <c r="AB50" s="403"/>
      <c r="AC50" s="403"/>
      <c r="AD50" s="403"/>
      <c r="AE50" s="403"/>
      <c r="AF50" s="403"/>
      <c r="AG50" s="403"/>
      <c r="AH50" s="403" t="s">
        <v>5473</v>
      </c>
      <c r="AI50" s="403"/>
      <c r="AJ50" s="403"/>
      <c r="AK50" s="403"/>
      <c r="AL50" s="403"/>
      <c r="AM50" s="403"/>
      <c r="AN50" s="403"/>
      <c r="AO50" s="403"/>
      <c r="AP50" s="403" t="s">
        <v>5474</v>
      </c>
      <c r="AQ50" s="403"/>
      <c r="AR50" s="403"/>
      <c r="AS50" s="403"/>
      <c r="AT50" s="403"/>
      <c r="AU50" s="403"/>
      <c r="AV50" s="403"/>
      <c r="AW50" s="403"/>
      <c r="AX50" s="403" t="s">
        <v>5475</v>
      </c>
      <c r="AY50" s="403"/>
      <c r="AZ50" s="403"/>
      <c r="BA50" s="403"/>
      <c r="BB50" s="403"/>
      <c r="BC50" s="403"/>
      <c r="BD50" s="403"/>
      <c r="BE50" s="403"/>
      <c r="BF50" s="403" t="s">
        <v>5476</v>
      </c>
      <c r="BG50" s="403"/>
      <c r="BH50" s="403"/>
      <c r="BI50" s="403"/>
      <c r="BJ50" s="403"/>
      <c r="BK50" s="403"/>
      <c r="BL50" s="403"/>
      <c r="BM50" s="403"/>
    </row>
    <row r="51" spans="1:65" s="194" customFormat="1" ht="30" x14ac:dyDescent="0.25">
      <c r="B51" s="55" t="str">
        <f ca="1">IF(OFFSET(K51,0,Lang_Order*Lang__A1)="","",OFFSET(K51,0,Lang_Order*Lang__A1))</f>
        <v>Ref</v>
      </c>
      <c r="C51" s="120" t="str">
        <f ca="1">IF(OFFSET(L51,0,Lang_Order*Lang__A1)="","",OFFSET(L51,0,Lang_Order*Lang__A1))</f>
        <v>Name of Sheet
(Click to jump to sheet)</v>
      </c>
      <c r="D51" s="30" t="str">
        <f ca="1">IF(OFFSET(M51,0,Lang_Order*Lang__A1)="","",OFFSET(M51,0,Lang_Order*Lang__A1))</f>
        <v>Description</v>
      </c>
      <c r="E51" s="30" t="str">
        <f ca="1">IF(OFFSET(N51,0,Lang_Order*Lang__A1)="","",OFFSET(N51,0,Lang_Order*Lang__A1))</f>
        <v>Is user input needed?</v>
      </c>
      <c r="F51" s="165"/>
      <c r="I51" s="299"/>
      <c r="J51" s="403"/>
      <c r="K51" s="403" t="s">
        <v>2928</v>
      </c>
      <c r="L51" s="403" t="s">
        <v>4058</v>
      </c>
      <c r="M51" s="403" t="s">
        <v>2929</v>
      </c>
      <c r="N51" s="403" t="s">
        <v>2930</v>
      </c>
      <c r="O51" s="403"/>
      <c r="P51" s="403"/>
      <c r="Q51" s="403"/>
      <c r="R51" s="403"/>
      <c r="S51" s="403" t="s">
        <v>5477</v>
      </c>
      <c r="T51" s="403" t="s">
        <v>5478</v>
      </c>
      <c r="U51" s="403" t="s">
        <v>2929</v>
      </c>
      <c r="V51" s="403" t="s">
        <v>5479</v>
      </c>
      <c r="W51" s="403"/>
      <c r="X51" s="403"/>
      <c r="Y51" s="403"/>
      <c r="Z51" s="403"/>
      <c r="AA51" s="403" t="s">
        <v>5480</v>
      </c>
      <c r="AB51" s="403" t="s">
        <v>5481</v>
      </c>
      <c r="AC51" s="403" t="s">
        <v>5482</v>
      </c>
      <c r="AD51" s="403" t="s">
        <v>5483</v>
      </c>
      <c r="AE51" s="403"/>
      <c r="AF51" s="403"/>
      <c r="AG51" s="403"/>
      <c r="AH51" s="403"/>
      <c r="AI51" s="403" t="s">
        <v>2928</v>
      </c>
      <c r="AJ51" s="403" t="s">
        <v>5484</v>
      </c>
      <c r="AK51" s="403" t="s">
        <v>5485</v>
      </c>
      <c r="AL51" s="403" t="s">
        <v>5486</v>
      </c>
      <c r="AM51" s="403"/>
      <c r="AN51" s="403"/>
      <c r="AO51" s="403"/>
      <c r="AP51" s="403"/>
      <c r="AQ51" s="403" t="s">
        <v>2928</v>
      </c>
      <c r="AR51" s="403" t="s">
        <v>5487</v>
      </c>
      <c r="AS51" s="403" t="s">
        <v>5488</v>
      </c>
      <c r="AT51" s="403" t="s">
        <v>5489</v>
      </c>
      <c r="AU51" s="403"/>
      <c r="AV51" s="403"/>
      <c r="AW51" s="403"/>
      <c r="AX51" s="403"/>
      <c r="AY51" s="403" t="s">
        <v>5490</v>
      </c>
      <c r="AZ51" s="403" t="s">
        <v>5491</v>
      </c>
      <c r="BA51" s="403" t="s">
        <v>5492</v>
      </c>
      <c r="BB51" s="403" t="s">
        <v>5493</v>
      </c>
      <c r="BC51" s="403"/>
      <c r="BD51" s="403"/>
      <c r="BE51" s="403"/>
      <c r="BF51" s="403"/>
      <c r="BG51" s="403" t="s">
        <v>5494</v>
      </c>
      <c r="BH51" s="403" t="s">
        <v>5495</v>
      </c>
      <c r="BI51" s="403" t="s">
        <v>5496</v>
      </c>
      <c r="BJ51" s="403" t="s">
        <v>5497</v>
      </c>
      <c r="BK51" s="403"/>
      <c r="BL51" s="403"/>
      <c r="BM51" s="403"/>
    </row>
    <row r="52" spans="1:65" ht="25.5" x14ac:dyDescent="0.2">
      <c r="B52" s="97" t="s">
        <v>2915</v>
      </c>
      <c r="C52" s="227" t="s">
        <v>2932</v>
      </c>
      <c r="D52" s="185" t="str">
        <f t="shared" ref="D52:D62" ca="1" si="1">IF(OFFSET(M52,0,Lang_Order*Lang__A1)="","",OFFSET(M52,0,Lang_Order*Lang__A1))</f>
        <v>Specify country context, target population, delivery parameters, and vaccine supply</v>
      </c>
      <c r="E52" s="34" t="str">
        <f t="shared" ref="E52:E62" ca="1" si="2">IF(OFFSET(N52,0,Lang_Order*Lang__A1)="","",OFFSET(N52,0,Lang_Order*Lang__A1))</f>
        <v>YES</v>
      </c>
      <c r="L52" s="403" t="s">
        <v>2932</v>
      </c>
      <c r="M52" s="403" t="s">
        <v>3991</v>
      </c>
      <c r="N52" s="403" t="s">
        <v>2931</v>
      </c>
      <c r="T52" s="403" t="s">
        <v>5498</v>
      </c>
      <c r="U52" s="403" t="s">
        <v>5499</v>
      </c>
      <c r="V52" s="403" t="s">
        <v>5500</v>
      </c>
      <c r="AB52" s="403" t="s">
        <v>5501</v>
      </c>
      <c r="AC52" s="403" t="s">
        <v>5502</v>
      </c>
      <c r="AD52" s="403" t="s">
        <v>5503</v>
      </c>
      <c r="AJ52" s="403" t="s">
        <v>5504</v>
      </c>
      <c r="AK52" s="403" t="s">
        <v>5505</v>
      </c>
      <c r="AL52" s="403" t="s">
        <v>5506</v>
      </c>
      <c r="AR52" s="403" t="s">
        <v>5507</v>
      </c>
      <c r="AS52" s="403" t="s">
        <v>5508</v>
      </c>
      <c r="AT52" s="403" t="s">
        <v>5509</v>
      </c>
      <c r="AZ52" s="403" t="s">
        <v>5510</v>
      </c>
      <c r="BA52" s="403" t="s">
        <v>5511</v>
      </c>
      <c r="BB52" s="403" t="s">
        <v>4037</v>
      </c>
      <c r="BH52" s="403" t="s">
        <v>5512</v>
      </c>
      <c r="BI52" s="403" t="s">
        <v>5513</v>
      </c>
      <c r="BJ52" s="403" t="s">
        <v>4041</v>
      </c>
    </row>
    <row r="53" spans="1:65" x14ac:dyDescent="0.2">
      <c r="B53" s="97" t="s">
        <v>2916</v>
      </c>
      <c r="C53" s="227" t="s">
        <v>2913</v>
      </c>
      <c r="D53" s="185" t="str">
        <f t="shared" ca="1" si="1"/>
        <v>Input country-specific units costs for labor, services, and supplies</v>
      </c>
      <c r="E53" s="34" t="str">
        <f t="shared" ca="1" si="2"/>
        <v>YES</v>
      </c>
      <c r="L53" s="403" t="s">
        <v>2913</v>
      </c>
      <c r="M53" s="403" t="s">
        <v>3990</v>
      </c>
      <c r="N53" s="403" t="s">
        <v>2931</v>
      </c>
      <c r="T53" s="403" t="s">
        <v>5514</v>
      </c>
      <c r="U53" s="403" t="s">
        <v>5515</v>
      </c>
      <c r="V53" s="403" t="s">
        <v>5500</v>
      </c>
      <c r="AB53" s="403" t="s">
        <v>5516</v>
      </c>
      <c r="AC53" s="403" t="s">
        <v>5517</v>
      </c>
      <c r="AD53" s="403" t="s">
        <v>5503</v>
      </c>
      <c r="AJ53" s="403" t="s">
        <v>5518</v>
      </c>
      <c r="AK53" s="403" t="s">
        <v>5519</v>
      </c>
      <c r="AL53" s="403" t="s">
        <v>5506</v>
      </c>
      <c r="AR53" s="403" t="s">
        <v>5520</v>
      </c>
      <c r="AS53" s="403" t="s">
        <v>5521</v>
      </c>
      <c r="AT53" s="403" t="s">
        <v>5509</v>
      </c>
      <c r="AZ53" s="403" t="s">
        <v>5522</v>
      </c>
      <c r="BA53" s="403" t="s">
        <v>5523</v>
      </c>
      <c r="BB53" s="403" t="s">
        <v>4037</v>
      </c>
      <c r="BH53" s="403" t="s">
        <v>5524</v>
      </c>
      <c r="BI53" s="403" t="s">
        <v>5525</v>
      </c>
      <c r="BJ53" s="403" t="s">
        <v>4041</v>
      </c>
    </row>
    <row r="54" spans="1:65" x14ac:dyDescent="0.2">
      <c r="B54" s="97" t="s">
        <v>2917</v>
      </c>
      <c r="C54" s="227" t="s">
        <v>2914</v>
      </c>
      <c r="D54" s="185" t="str">
        <f t="shared" ca="1" si="1"/>
        <v>Tabulate country-specific units costs for central-level activities</v>
      </c>
      <c r="E54" s="34" t="str">
        <f t="shared" ca="1" si="2"/>
        <v>YES</v>
      </c>
      <c r="L54" s="403" t="s">
        <v>2914</v>
      </c>
      <c r="M54" s="403" t="s">
        <v>3992</v>
      </c>
      <c r="N54" s="403" t="s">
        <v>2931</v>
      </c>
      <c r="T54" s="403" t="s">
        <v>5526</v>
      </c>
      <c r="U54" s="403" t="s">
        <v>5527</v>
      </c>
      <c r="V54" s="403" t="s">
        <v>5500</v>
      </c>
      <c r="AB54" s="403" t="s">
        <v>5528</v>
      </c>
      <c r="AC54" s="403" t="s">
        <v>5529</v>
      </c>
      <c r="AD54" s="403" t="s">
        <v>5503</v>
      </c>
      <c r="AJ54" s="403" t="s">
        <v>5530</v>
      </c>
      <c r="AK54" s="403" t="s">
        <v>5531</v>
      </c>
      <c r="AL54" s="403" t="s">
        <v>5532</v>
      </c>
      <c r="AR54" s="403" t="s">
        <v>5533</v>
      </c>
      <c r="AS54" s="403" t="s">
        <v>5534</v>
      </c>
      <c r="AT54" s="403" t="s">
        <v>5509</v>
      </c>
      <c r="AZ54" s="403" t="s">
        <v>5535</v>
      </c>
      <c r="BA54" s="403" t="s">
        <v>5536</v>
      </c>
      <c r="BB54" s="403" t="s">
        <v>4037</v>
      </c>
      <c r="BH54" s="403" t="s">
        <v>5537</v>
      </c>
      <c r="BI54" s="403" t="s">
        <v>5538</v>
      </c>
      <c r="BJ54" s="403" t="s">
        <v>4041</v>
      </c>
    </row>
    <row r="55" spans="1:65" ht="25.5" x14ac:dyDescent="0.2">
      <c r="B55" s="97" t="s">
        <v>2918</v>
      </c>
      <c r="C55" s="227" t="s">
        <v>2920</v>
      </c>
      <c r="D55" s="185" t="str">
        <f t="shared" ca="1" si="1"/>
        <v>Estimate the target population size, timing of vaccination, and vaccine dose requirements</v>
      </c>
      <c r="E55" s="34" t="str">
        <f t="shared" ca="1" si="2"/>
        <v>YES</v>
      </c>
      <c r="L55" s="403" t="s">
        <v>2920</v>
      </c>
      <c r="M55" s="403" t="s">
        <v>3993</v>
      </c>
      <c r="N55" s="403" t="s">
        <v>2931</v>
      </c>
      <c r="T55" s="403" t="s">
        <v>5539</v>
      </c>
      <c r="U55" s="403" t="s">
        <v>5540</v>
      </c>
      <c r="V55" s="403" t="s">
        <v>5500</v>
      </c>
      <c r="AB55" s="403" t="s">
        <v>5541</v>
      </c>
      <c r="AC55" s="403" t="s">
        <v>5542</v>
      </c>
      <c r="AD55" s="403" t="s">
        <v>5503</v>
      </c>
      <c r="AJ55" s="403" t="s">
        <v>5543</v>
      </c>
      <c r="AK55" s="403" t="s">
        <v>5544</v>
      </c>
      <c r="AL55" s="403" t="s">
        <v>5532</v>
      </c>
      <c r="AR55" s="403" t="s">
        <v>5545</v>
      </c>
      <c r="AS55" s="403" t="s">
        <v>5546</v>
      </c>
      <c r="AT55" s="403" t="s">
        <v>5509</v>
      </c>
      <c r="AZ55" s="403" t="s">
        <v>5547</v>
      </c>
      <c r="BA55" s="403" t="s">
        <v>5548</v>
      </c>
      <c r="BB55" s="403" t="s">
        <v>4037</v>
      </c>
      <c r="BH55" s="403" t="s">
        <v>5549</v>
      </c>
      <c r="BI55" s="403" t="s">
        <v>5550</v>
      </c>
      <c r="BJ55" s="403" t="s">
        <v>4041</v>
      </c>
    </row>
    <row r="56" spans="1:65" x14ac:dyDescent="0.2">
      <c r="B56" s="97" t="s">
        <v>2665</v>
      </c>
      <c r="C56" s="227" t="s">
        <v>2921</v>
      </c>
      <c r="D56" s="185" t="str">
        <f t="shared" ca="1" si="1"/>
        <v>Estimate the quantity and cost of vaccines and supplies</v>
      </c>
      <c r="E56" t="str">
        <f t="shared" ca="1" si="2"/>
        <v>NO</v>
      </c>
      <c r="L56" s="403" t="s">
        <v>2921</v>
      </c>
      <c r="M56" s="403" t="s">
        <v>2934</v>
      </c>
      <c r="N56" s="403" t="s">
        <v>2489</v>
      </c>
      <c r="T56" s="403" t="s">
        <v>5551</v>
      </c>
      <c r="U56" s="403" t="s">
        <v>5552</v>
      </c>
      <c r="V56" s="403" t="s">
        <v>5553</v>
      </c>
      <c r="AB56" s="403" t="s">
        <v>5554</v>
      </c>
      <c r="AC56" s="403" t="s">
        <v>5555</v>
      </c>
      <c r="AD56" s="403" t="s">
        <v>5556</v>
      </c>
      <c r="AJ56" s="403" t="s">
        <v>5557</v>
      </c>
      <c r="AK56" s="403" t="s">
        <v>5558</v>
      </c>
      <c r="AL56" s="403" t="s">
        <v>2489</v>
      </c>
      <c r="AR56" s="403" t="s">
        <v>5559</v>
      </c>
      <c r="AS56" s="403" t="s">
        <v>5560</v>
      </c>
      <c r="AT56" s="403" t="s">
        <v>5561</v>
      </c>
      <c r="AZ56" s="403" t="s">
        <v>5562</v>
      </c>
      <c r="BA56" s="403" t="s">
        <v>5563</v>
      </c>
      <c r="BB56" s="403" t="s">
        <v>4046</v>
      </c>
      <c r="BH56" s="403" t="s">
        <v>5564</v>
      </c>
      <c r="BI56" s="403" t="s">
        <v>5565</v>
      </c>
      <c r="BJ56" s="403" t="s">
        <v>5566</v>
      </c>
    </row>
    <row r="57" spans="1:65" x14ac:dyDescent="0.2">
      <c r="B57" s="97" t="s">
        <v>2919</v>
      </c>
      <c r="C57" s="227" t="s">
        <v>2907</v>
      </c>
      <c r="D57" s="185" t="str">
        <f t="shared" ca="1" si="1"/>
        <v>Estimate international shipping, import duties, and handling</v>
      </c>
      <c r="E57" s="194" t="str">
        <f t="shared" ca="1" si="2"/>
        <v>NO</v>
      </c>
      <c r="L57" s="403" t="s">
        <v>2907</v>
      </c>
      <c r="M57" s="403" t="s">
        <v>2935</v>
      </c>
      <c r="N57" s="403" t="s">
        <v>2489</v>
      </c>
      <c r="T57" s="403" t="s">
        <v>5567</v>
      </c>
      <c r="U57" s="403" t="s">
        <v>5568</v>
      </c>
      <c r="V57" s="403" t="s">
        <v>5553</v>
      </c>
      <c r="AB57" s="403" t="s">
        <v>5569</v>
      </c>
      <c r="AC57" s="403" t="s">
        <v>5570</v>
      </c>
      <c r="AD57" s="403" t="s">
        <v>5556</v>
      </c>
      <c r="AJ57" s="403" t="s">
        <v>5571</v>
      </c>
      <c r="AK57" s="403" t="s">
        <v>5572</v>
      </c>
      <c r="AL57" s="403" t="s">
        <v>2489</v>
      </c>
      <c r="AR57" s="403" t="s">
        <v>5573</v>
      </c>
      <c r="AS57" s="403" t="s">
        <v>5574</v>
      </c>
      <c r="AT57" s="403" t="s">
        <v>5561</v>
      </c>
      <c r="AZ57" s="403" t="s">
        <v>5575</v>
      </c>
      <c r="BA57" s="403" t="s">
        <v>5576</v>
      </c>
      <c r="BB57" s="403" t="s">
        <v>4046</v>
      </c>
      <c r="BH57" s="403" t="s">
        <v>5577</v>
      </c>
      <c r="BI57" s="403" t="s">
        <v>5578</v>
      </c>
      <c r="BJ57" s="403" t="s">
        <v>5566</v>
      </c>
    </row>
    <row r="58" spans="1:65" x14ac:dyDescent="0.2">
      <c r="B58" s="97" t="s">
        <v>2849</v>
      </c>
      <c r="C58" s="227" t="s">
        <v>2658</v>
      </c>
      <c r="D58" s="185" t="str">
        <f t="shared" ca="1" si="1"/>
        <v>Estimate cold chain, logistics, and security</v>
      </c>
      <c r="E58" s="85" t="str">
        <f t="shared" ca="1" si="2"/>
        <v>Optional (for advanced customization)</v>
      </c>
      <c r="L58" s="403" t="s">
        <v>2658</v>
      </c>
      <c r="M58" s="403" t="s">
        <v>3994</v>
      </c>
      <c r="N58" s="403" t="s">
        <v>3995</v>
      </c>
      <c r="T58" s="403" t="s">
        <v>5579</v>
      </c>
      <c r="U58" s="403" t="s">
        <v>5580</v>
      </c>
      <c r="V58" s="403" t="s">
        <v>5581</v>
      </c>
      <c r="AB58" s="403" t="s">
        <v>5582</v>
      </c>
      <c r="AC58" s="403" t="s">
        <v>5583</v>
      </c>
      <c r="AD58" s="403" t="s">
        <v>5584</v>
      </c>
      <c r="AJ58" s="403" t="s">
        <v>5585</v>
      </c>
      <c r="AK58" s="403" t="s">
        <v>5586</v>
      </c>
      <c r="AL58" s="403" t="s">
        <v>5587</v>
      </c>
      <c r="AR58" s="403" t="s">
        <v>5588</v>
      </c>
      <c r="AS58" s="403" t="s">
        <v>5589</v>
      </c>
      <c r="AT58" s="403" t="s">
        <v>5590</v>
      </c>
      <c r="AZ58" s="403" t="s">
        <v>5591</v>
      </c>
      <c r="BA58" s="403" t="s">
        <v>5592</v>
      </c>
      <c r="BB58" s="403" t="s">
        <v>5593</v>
      </c>
      <c r="BH58" s="403" t="s">
        <v>5594</v>
      </c>
      <c r="BI58" s="403" t="s">
        <v>5595</v>
      </c>
      <c r="BJ58" s="403" t="s">
        <v>5596</v>
      </c>
    </row>
    <row r="59" spans="1:65" x14ac:dyDescent="0.2">
      <c r="B59" s="97" t="s">
        <v>2922</v>
      </c>
      <c r="C59" s="227" t="s">
        <v>2923</v>
      </c>
      <c r="D59" s="185" t="str">
        <f t="shared" ca="1" si="1"/>
        <v>Estimate last mile service delivery</v>
      </c>
      <c r="E59" s="85" t="str">
        <f t="shared" ca="1" si="2"/>
        <v>Optional (for advanced customization)</v>
      </c>
      <c r="L59" s="403" t="s">
        <v>2923</v>
      </c>
      <c r="M59" s="403" t="s">
        <v>2936</v>
      </c>
      <c r="N59" s="564" t="s">
        <v>3995</v>
      </c>
      <c r="T59" s="403" t="s">
        <v>5597</v>
      </c>
      <c r="U59" s="403" t="s">
        <v>5598</v>
      </c>
      <c r="V59" s="564" t="s">
        <v>5581</v>
      </c>
      <c r="AB59" s="403" t="s">
        <v>5599</v>
      </c>
      <c r="AC59" s="403" t="s">
        <v>5600</v>
      </c>
      <c r="AD59" s="564" t="s">
        <v>5584</v>
      </c>
      <c r="AJ59" s="403" t="s">
        <v>5601</v>
      </c>
      <c r="AK59" s="403" t="s">
        <v>5602</v>
      </c>
      <c r="AL59" s="564" t="s">
        <v>5587</v>
      </c>
      <c r="AR59" s="403" t="s">
        <v>5603</v>
      </c>
      <c r="AS59" s="403" t="s">
        <v>5604</v>
      </c>
      <c r="AT59" s="564" t="s">
        <v>5590</v>
      </c>
      <c r="AZ59" s="403" t="s">
        <v>5605</v>
      </c>
      <c r="BA59" s="403" t="s">
        <v>5606</v>
      </c>
      <c r="BB59" s="564" t="s">
        <v>5593</v>
      </c>
      <c r="BH59" s="403" t="s">
        <v>5607</v>
      </c>
      <c r="BI59" s="403" t="s">
        <v>5608</v>
      </c>
      <c r="BJ59" s="564" t="s">
        <v>5596</v>
      </c>
    </row>
    <row r="60" spans="1:65" x14ac:dyDescent="0.2">
      <c r="B60" s="97" t="s">
        <v>2926</v>
      </c>
      <c r="C60" s="227" t="s">
        <v>2924</v>
      </c>
      <c r="D60" s="185" t="str">
        <f t="shared" ca="1" si="1"/>
        <v>Results of this costing tool</v>
      </c>
      <c r="E60" s="194" t="str">
        <f t="shared" ca="1" si="2"/>
        <v>NO</v>
      </c>
      <c r="L60" s="403" t="s">
        <v>2924</v>
      </c>
      <c r="M60" s="403" t="s">
        <v>2933</v>
      </c>
      <c r="N60" s="403" t="s">
        <v>2489</v>
      </c>
      <c r="T60" s="403" t="s">
        <v>5609</v>
      </c>
      <c r="U60" s="403" t="s">
        <v>5610</v>
      </c>
      <c r="V60" s="403" t="s">
        <v>5553</v>
      </c>
      <c r="AB60" s="403" t="s">
        <v>5611</v>
      </c>
      <c r="AC60" s="403" t="s">
        <v>5612</v>
      </c>
      <c r="AD60" s="403" t="s">
        <v>5556</v>
      </c>
      <c r="AJ60" s="403" t="s">
        <v>5613</v>
      </c>
      <c r="AK60" s="403" t="s">
        <v>5614</v>
      </c>
      <c r="AL60" s="403" t="s">
        <v>2489</v>
      </c>
      <c r="AR60" s="403" t="s">
        <v>5615</v>
      </c>
      <c r="AS60" s="403" t="s">
        <v>5616</v>
      </c>
      <c r="AT60" s="403" t="s">
        <v>5561</v>
      </c>
      <c r="AZ60" s="403" t="s">
        <v>5617</v>
      </c>
      <c r="BA60" s="403" t="s">
        <v>5618</v>
      </c>
      <c r="BB60" s="403" t="s">
        <v>4046</v>
      </c>
      <c r="BH60" s="403" t="s">
        <v>5619</v>
      </c>
      <c r="BI60" s="403" t="s">
        <v>5620</v>
      </c>
      <c r="BJ60" s="403" t="s">
        <v>5566</v>
      </c>
    </row>
    <row r="61" spans="1:65" x14ac:dyDescent="0.2">
      <c r="B61" s="97" t="s">
        <v>2927</v>
      </c>
      <c r="C61" s="227" t="s">
        <v>3988</v>
      </c>
      <c r="D61" s="185" t="str">
        <f t="shared" ca="1" si="1"/>
        <v>A resource mapping tool</v>
      </c>
      <c r="E61" s="34" t="str">
        <f t="shared" ca="1" si="2"/>
        <v>YES</v>
      </c>
      <c r="L61" s="403" t="s">
        <v>3988</v>
      </c>
      <c r="M61" s="403" t="s">
        <v>3987</v>
      </c>
      <c r="N61" s="403" t="s">
        <v>2931</v>
      </c>
      <c r="T61" s="403" t="s">
        <v>5621</v>
      </c>
      <c r="U61" s="403" t="s">
        <v>5622</v>
      </c>
      <c r="V61" s="403" t="s">
        <v>5500</v>
      </c>
      <c r="AB61" s="403" t="s">
        <v>5623</v>
      </c>
      <c r="AC61" s="403" t="s">
        <v>5624</v>
      </c>
      <c r="AD61" s="403" t="s">
        <v>5503</v>
      </c>
      <c r="AJ61" s="403" t="s">
        <v>5625</v>
      </c>
      <c r="AK61" s="403" t="s">
        <v>5626</v>
      </c>
      <c r="AL61" s="403" t="s">
        <v>5532</v>
      </c>
      <c r="AR61" s="403" t="s">
        <v>5627</v>
      </c>
      <c r="AS61" s="403" t="s">
        <v>5628</v>
      </c>
      <c r="AT61" s="403" t="s">
        <v>5509</v>
      </c>
      <c r="AZ61" s="403" t="s">
        <v>5629</v>
      </c>
      <c r="BA61" s="403" t="s">
        <v>5630</v>
      </c>
      <c r="BB61" s="403" t="s">
        <v>4037</v>
      </c>
      <c r="BH61" s="403" t="s">
        <v>5631</v>
      </c>
      <c r="BI61" s="403" t="s">
        <v>5632</v>
      </c>
      <c r="BJ61" s="403" t="s">
        <v>4041</v>
      </c>
    </row>
    <row r="62" spans="1:65" x14ac:dyDescent="0.2">
      <c r="B62" s="97" t="s">
        <v>2925</v>
      </c>
      <c r="C62" s="227" t="s">
        <v>2664</v>
      </c>
      <c r="D62" s="185" t="str">
        <f t="shared" ca="1" si="1"/>
        <v>Update the COVID-19 vaccine specification database</v>
      </c>
      <c r="E62" s="299" t="str">
        <f t="shared" ca="1" si="2"/>
        <v>Optional (for advanced customization)</v>
      </c>
      <c r="L62" s="403" t="s">
        <v>2664</v>
      </c>
      <c r="M62" s="403" t="s">
        <v>2937</v>
      </c>
      <c r="N62" s="403" t="s">
        <v>3995</v>
      </c>
      <c r="T62" s="403" t="s">
        <v>5633</v>
      </c>
      <c r="U62" s="403" t="s">
        <v>5634</v>
      </c>
      <c r="V62" s="403" t="s">
        <v>5581</v>
      </c>
      <c r="AB62" s="403" t="s">
        <v>5635</v>
      </c>
      <c r="AC62" s="403" t="s">
        <v>5636</v>
      </c>
      <c r="AD62" s="403" t="s">
        <v>5584</v>
      </c>
      <c r="AJ62" s="403" t="s">
        <v>5637</v>
      </c>
      <c r="AK62" s="403" t="s">
        <v>5638</v>
      </c>
      <c r="AL62" s="403" t="s">
        <v>5587</v>
      </c>
      <c r="AR62" s="403" t="s">
        <v>5639</v>
      </c>
      <c r="AS62" s="403" t="s">
        <v>5640</v>
      </c>
      <c r="AT62" s="403" t="s">
        <v>5590</v>
      </c>
      <c r="AZ62" s="403" t="s">
        <v>5641</v>
      </c>
      <c r="BA62" s="403" t="s">
        <v>5642</v>
      </c>
      <c r="BB62" s="403" t="s">
        <v>5593</v>
      </c>
      <c r="BH62" s="403" t="s">
        <v>5643</v>
      </c>
      <c r="BI62" s="403" t="s">
        <v>5644</v>
      </c>
      <c r="BJ62" s="403" t="s">
        <v>5596</v>
      </c>
    </row>
    <row r="64" spans="1:65" s="27" customFormat="1" ht="19.5" x14ac:dyDescent="0.3">
      <c r="A64" s="115"/>
      <c r="I64" s="299"/>
      <c r="J64" s="403"/>
      <c r="K64" s="403"/>
      <c r="L64" s="403"/>
      <c r="M64" s="403"/>
      <c r="N64" s="403"/>
      <c r="O64" s="403"/>
      <c r="P64" s="403"/>
      <c r="Q64" s="403"/>
      <c r="R64" s="403"/>
      <c r="S64" s="403"/>
      <c r="T64" s="403"/>
      <c r="U64" s="403"/>
      <c r="V64" s="403"/>
      <c r="W64" s="403"/>
      <c r="X64" s="403"/>
      <c r="Y64" s="403"/>
      <c r="Z64" s="403"/>
      <c r="AA64" s="403"/>
      <c r="AB64" s="403"/>
      <c r="AC64" s="403"/>
      <c r="AD64" s="403"/>
      <c r="AE64" s="403"/>
      <c r="AF64" s="403"/>
      <c r="AG64" s="403"/>
      <c r="AH64" s="403"/>
      <c r="AI64" s="403"/>
      <c r="AJ64" s="403"/>
      <c r="AK64" s="403"/>
      <c r="AL64" s="403"/>
      <c r="AM64" s="403"/>
      <c r="AN64" s="403"/>
      <c r="AO64" s="403"/>
      <c r="AP64" s="403"/>
      <c r="AQ64" s="403"/>
      <c r="AR64" s="403"/>
      <c r="AS64" s="403"/>
      <c r="AT64" s="403"/>
      <c r="AU64" s="403"/>
      <c r="AV64" s="403"/>
      <c r="AW64" s="403"/>
      <c r="AX64" s="403"/>
      <c r="AY64" s="403"/>
      <c r="AZ64" s="403"/>
      <c r="BA64" s="403"/>
      <c r="BB64" s="403"/>
      <c r="BC64" s="403"/>
      <c r="BD64" s="403"/>
      <c r="BE64" s="403"/>
      <c r="BF64" s="403"/>
      <c r="BG64" s="403"/>
      <c r="BH64" s="403"/>
      <c r="BI64" s="403"/>
      <c r="BJ64" s="403"/>
      <c r="BK64" s="403"/>
      <c r="BL64" s="403"/>
      <c r="BM64" s="403"/>
    </row>
    <row r="67" spans="1:8" x14ac:dyDescent="0.2">
      <c r="A67" s="671" t="s">
        <v>14727</v>
      </c>
      <c r="B67" s="671"/>
      <c r="C67" s="671"/>
      <c r="D67" s="671"/>
      <c r="E67" s="671"/>
      <c r="F67" s="671"/>
      <c r="G67" s="671"/>
      <c r="H67" s="671"/>
    </row>
    <row r="68" spans="1:8" x14ac:dyDescent="0.2">
      <c r="A68" s="567" t="s">
        <v>14728</v>
      </c>
      <c r="B68" s="567"/>
      <c r="C68" s="567"/>
      <c r="D68" s="567"/>
      <c r="E68" s="567"/>
      <c r="F68" s="567"/>
      <c r="G68" s="567"/>
      <c r="H68" s="567"/>
    </row>
  </sheetData>
  <sheetProtection algorithmName="SHA-512" hashValue="HvgGkfERZFXfR4kxPi/kV9Q/iCgYpAbkfZeanhizuCXpFIFYxiZ98ivOC8pNZloQ5jLVCP2SluHDfxIogLVQeQ==" saltValue="+XEPYKZhfuhxFBIL4GuTgw==" spinCount="100000" sheet="1" objects="1" scenarios="1"/>
  <mergeCells count="9">
    <mergeCell ref="C11:D11"/>
    <mergeCell ref="A67:H67"/>
    <mergeCell ref="C13:D13"/>
    <mergeCell ref="B21:E21"/>
    <mergeCell ref="B44:E44"/>
    <mergeCell ref="B22:E22"/>
    <mergeCell ref="B25:E25"/>
    <mergeCell ref="B42:E42"/>
    <mergeCell ref="B15:E15"/>
  </mergeCells>
  <conditionalFormatting sqref="G13">
    <cfRule type="containsText" dxfId="390" priority="2" operator="containsText" text="OK">
      <formula>NOT(ISERROR(SEARCH("OK",G13)))</formula>
    </cfRule>
  </conditionalFormatting>
  <conditionalFormatting sqref="C33">
    <cfRule type="containsText" dxfId="389" priority="1" operator="containsText" text="OK">
      <formula>NOT(ISERROR(SEARCH("OK",C33)))</formula>
    </cfRule>
  </conditionalFormatting>
  <hyperlinks>
    <hyperlink ref="C52" location="'A2. INPUT Population &amp; Delivery'!A1" display="INPUT Population &amp; Delivery" xr:uid="{50C61734-0B08-40A1-A31F-FAF7FAF76E66}"/>
    <hyperlink ref="C53" location="'A3. INPUT Unit Costs'!A1" display="INPUT Unit Costs" xr:uid="{F81D9F8A-33FD-4669-808D-797417C6B650}"/>
    <hyperlink ref="C54" location="'A4. INPUT Central Costs'!A1" display="INPUT Central Costs" xr:uid="{13B5069F-B0E4-4CD0-BADE-05BEE153D9D7}"/>
    <hyperlink ref="C55" location="'B1. Target Population'!A1" display="Target Population" xr:uid="{C75A6FCA-A05D-47D2-AD1A-402352E85BAE}"/>
    <hyperlink ref="C56" location="'B2. Vaccines and Supplies'!A1" display="Vaccines and Supplies" xr:uid="{2485E19A-4213-47D8-8BCF-4935467B1489}"/>
    <hyperlink ref="C57" location="'B3. International Logistics'!A1" display="International Logistics" xr:uid="{BB9A3706-EF51-457E-B10F-73BD932BD209}"/>
    <hyperlink ref="C58" location="'B4. Domestic Logistics'!A1" display="Domestic Logistics" xr:uid="{65E45136-FFDB-4CD6-83DB-2C3BD202DA1D}"/>
    <hyperlink ref="C59" location="'B5. Last Mile Delivery'!A1" display="Last Mile Delivery" xr:uid="{A9A1ED97-BDDE-4FC6-BFCF-C3A8C1F274A1}"/>
    <hyperlink ref="C60" location="'R1. OUTPUTS'!A1" display="OUTPUTS" xr:uid="{2367D2E4-7DEC-4656-8D31-8572A307F654}"/>
    <hyperlink ref="C61" location="'R2. Resource Mapping'!A1" display="Donor Mapping" xr:uid="{1BF7B1D4-1209-488A-A52E-7A09ABA8E74C}"/>
    <hyperlink ref="C62" location="'T1. Vaccines'!A1" display="Vaccines" xr:uid="{ACC86CAC-DF59-4159-B82C-7A21007B2D85}"/>
    <hyperlink ref="C19" r:id="rId1" xr:uid="{412D9E59-289F-46E3-B438-39661164213A}"/>
    <hyperlink ref="D10" r:id="rId2" xr:uid="{7B00DEDC-B6AE-48E8-8295-B2D24318E70E}"/>
    <hyperlink ref="A67" r:id="rId3" display="https://creativecommons.org/licenses/by-nc-sa/3.0/igo" xr:uid="{64FBAC19-6ED6-4EBF-A1AC-756AE9CCE1A9}"/>
  </hyperlinks>
  <pageMargins left="0.7" right="0.7" top="0.75" bottom="0.75" header="0.3" footer="0.3"/>
  <pageSetup paperSize="9" orientation="portrait" r:id="rId4"/>
  <drawing r:id="rId5"/>
  <extLst>
    <ext xmlns:x14="http://schemas.microsoft.com/office/spreadsheetml/2009/9/main" uri="{CCE6A557-97BC-4b89-ADB6-D9C93CAAB3DF}">
      <x14:dataValidations xmlns:xm="http://schemas.microsoft.com/office/excel/2006/main" count="2">
        <x14:dataValidation type="list" allowBlank="1" showInputMessage="1" showErrorMessage="1" xr:uid="{3A56ED7B-BC4C-45DC-94F3-1499148C1156}">
          <x14:formula1>
            <xm:f>'T0. Language Parameters'!$N$2:$N$3</xm:f>
          </x14:formula1>
          <xm:sqref>E13</xm:sqref>
        </x14:dataValidation>
        <x14:dataValidation type="list" allowBlank="1" showInputMessage="1" showErrorMessage="1" xr:uid="{D89BD10F-A90A-4014-9918-E410BF31CBFE}">
          <x14:formula1>
            <xm:f>'T0. Language Parameters'!$A$11:$A$17</xm:f>
          </x14:formula1>
          <xm:sqref>C6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D703D-FD03-4EC8-87A5-9A99EA442F15}">
  <sheetPr codeName="Sheet3">
    <tabColor theme="5"/>
  </sheetPr>
  <dimension ref="A1:DN495"/>
  <sheetViews>
    <sheetView showGridLines="0" zoomScaleNormal="100" workbookViewId="0"/>
  </sheetViews>
  <sheetFormatPr defaultRowHeight="12.75" x14ac:dyDescent="0.2"/>
  <cols>
    <col min="1" max="1" width="2.42578125" customWidth="1"/>
    <col min="2" max="2" width="4.7109375" customWidth="1"/>
    <col min="3" max="3" width="72.140625" customWidth="1"/>
    <col min="4" max="4" width="27.5703125" customWidth="1"/>
    <col min="5" max="5" width="5.85546875" style="122" customWidth="1"/>
    <col min="6" max="6" width="1.42578125" style="122" customWidth="1"/>
    <col min="7" max="12" width="27.5703125" customWidth="1"/>
    <col min="13" max="13" width="85.140625" customWidth="1"/>
    <col min="14" max="28" width="3" style="403" hidden="1" customWidth="1"/>
    <col min="29" max="29" width="3" style="564" hidden="1" customWidth="1"/>
    <col min="30" max="118" width="3" style="403" hidden="1" customWidth="1"/>
  </cols>
  <sheetData>
    <row r="1" spans="1:118" s="224" customFormat="1" ht="45" customHeight="1" x14ac:dyDescent="0.2">
      <c r="A1" s="225" t="str">
        <f ca="1">IF(OFFSET(O1,0,Lang_Order*Lang__R1)="","",OFFSET(O1,0,Lang_Order*Lang__R1))</f>
        <v>NAVIGATION BAR:</v>
      </c>
      <c r="N1" s="403">
        <v>15</v>
      </c>
      <c r="O1" s="403" t="s">
        <v>2910</v>
      </c>
      <c r="P1" s="403"/>
      <c r="Q1" s="403"/>
      <c r="R1" s="403"/>
      <c r="S1" s="403"/>
      <c r="T1" s="403"/>
      <c r="U1" s="403"/>
      <c r="V1" s="403"/>
      <c r="W1" s="403"/>
      <c r="X1" s="403"/>
      <c r="Y1" s="403"/>
      <c r="Z1" s="403"/>
      <c r="AA1" s="403"/>
      <c r="AB1" s="403"/>
      <c r="AC1" s="564"/>
      <c r="AD1" s="403" t="s">
        <v>4634</v>
      </c>
      <c r="AE1" s="403"/>
      <c r="AF1" s="403"/>
      <c r="AG1" s="403"/>
      <c r="AH1" s="403"/>
      <c r="AI1" s="403"/>
      <c r="AJ1" s="403"/>
      <c r="AK1" s="403"/>
      <c r="AL1" s="403"/>
      <c r="AM1" s="403"/>
      <c r="AN1" s="403"/>
      <c r="AO1" s="403"/>
      <c r="AP1" s="403"/>
      <c r="AQ1" s="403"/>
      <c r="AR1" s="403"/>
      <c r="AS1" s="403" t="s">
        <v>4635</v>
      </c>
      <c r="AT1" s="403"/>
      <c r="AU1" s="403"/>
      <c r="AV1" s="403"/>
      <c r="AW1" s="403"/>
      <c r="AX1" s="403"/>
      <c r="AY1" s="403"/>
      <c r="AZ1" s="403"/>
      <c r="BA1" s="403"/>
      <c r="BB1" s="403"/>
      <c r="BC1" s="403"/>
      <c r="BD1" s="403"/>
      <c r="BE1" s="403"/>
      <c r="BF1" s="403"/>
      <c r="BG1" s="403"/>
      <c r="BH1" s="403" t="s">
        <v>4636</v>
      </c>
      <c r="BI1" s="403"/>
      <c r="BJ1" s="403"/>
      <c r="BK1" s="403"/>
      <c r="BL1" s="403"/>
      <c r="BM1" s="403"/>
      <c r="BN1" s="403"/>
      <c r="BO1" s="403"/>
      <c r="BP1" s="403"/>
      <c r="BQ1" s="403"/>
      <c r="BR1" s="403"/>
      <c r="BS1" s="403"/>
      <c r="BT1" s="403"/>
      <c r="BU1" s="403"/>
      <c r="BV1" s="403"/>
      <c r="BW1" s="403" t="s">
        <v>4637</v>
      </c>
      <c r="BX1" s="403"/>
      <c r="BY1" s="403"/>
      <c r="BZ1" s="403"/>
      <c r="CA1" s="403"/>
      <c r="CB1" s="403"/>
      <c r="CC1" s="403"/>
      <c r="CD1" s="403"/>
      <c r="CE1" s="403"/>
      <c r="CF1" s="403"/>
      <c r="CG1" s="403"/>
      <c r="CH1" s="403"/>
      <c r="CI1" s="403"/>
      <c r="CJ1" s="403"/>
      <c r="CK1" s="403"/>
      <c r="CL1" s="403" t="s">
        <v>4638</v>
      </c>
      <c r="CM1" s="403"/>
      <c r="CN1" s="403"/>
      <c r="CO1" s="403"/>
      <c r="CP1" s="403"/>
      <c r="CQ1" s="403"/>
      <c r="CR1" s="403"/>
      <c r="CS1" s="403"/>
      <c r="CT1" s="403"/>
      <c r="CU1" s="403"/>
      <c r="CV1" s="403"/>
      <c r="CW1" s="403"/>
      <c r="CX1" s="403"/>
      <c r="CY1" s="403"/>
      <c r="CZ1" s="403"/>
      <c r="DA1" s="403" t="s">
        <v>4639</v>
      </c>
      <c r="DB1" s="403"/>
      <c r="DC1" s="403"/>
      <c r="DD1" s="403"/>
      <c r="DE1" s="403"/>
      <c r="DF1" s="403"/>
      <c r="DG1" s="403"/>
      <c r="DH1" s="403"/>
      <c r="DI1" s="403"/>
      <c r="DJ1" s="403"/>
      <c r="DK1" s="403"/>
      <c r="DL1" s="403"/>
      <c r="DM1" s="403"/>
      <c r="DN1" s="403"/>
    </row>
    <row r="2" spans="1:118" s="299" customFormat="1" ht="99.95" customHeight="1" x14ac:dyDescent="0.2">
      <c r="N2" s="403"/>
      <c r="O2" s="403"/>
      <c r="P2" s="403"/>
      <c r="Q2" s="403"/>
      <c r="R2" s="403"/>
      <c r="S2" s="403"/>
      <c r="T2" s="403"/>
      <c r="U2" s="403"/>
      <c r="V2" s="403"/>
      <c r="W2" s="403"/>
      <c r="X2" s="403"/>
      <c r="Y2" s="403"/>
      <c r="Z2" s="403"/>
      <c r="AA2" s="403"/>
      <c r="AB2" s="403"/>
      <c r="AC2" s="564"/>
      <c r="AD2" s="403"/>
      <c r="AE2" s="403"/>
      <c r="AF2" s="403"/>
      <c r="AG2" s="403"/>
      <c r="AH2" s="403"/>
      <c r="AI2" s="403"/>
      <c r="AJ2" s="403"/>
      <c r="AK2" s="403"/>
      <c r="AL2" s="403"/>
      <c r="AM2" s="403"/>
      <c r="AN2" s="403"/>
      <c r="AO2" s="403"/>
      <c r="AP2" s="403"/>
      <c r="AQ2" s="403"/>
      <c r="AR2" s="403"/>
      <c r="AS2" s="403"/>
      <c r="AT2" s="403"/>
      <c r="AU2" s="403"/>
      <c r="AV2" s="403"/>
      <c r="AW2" s="403"/>
      <c r="AX2" s="403"/>
      <c r="AY2" s="403"/>
      <c r="AZ2" s="403"/>
      <c r="BA2" s="403"/>
      <c r="BB2" s="403"/>
      <c r="BC2" s="403"/>
      <c r="BD2" s="403"/>
      <c r="BE2" s="403"/>
      <c r="BF2" s="403"/>
      <c r="BG2" s="403"/>
      <c r="BH2" s="403"/>
      <c r="BI2" s="403"/>
      <c r="BJ2" s="403"/>
      <c r="BK2" s="403"/>
      <c r="BL2" s="403"/>
      <c r="BM2" s="403"/>
      <c r="BN2" s="403"/>
      <c r="BO2" s="403"/>
      <c r="BP2" s="403"/>
      <c r="BQ2" s="403"/>
      <c r="BR2" s="403"/>
      <c r="BS2" s="403"/>
      <c r="BT2" s="403"/>
      <c r="BU2" s="403"/>
      <c r="BV2" s="403"/>
      <c r="BW2" s="403"/>
      <c r="BX2" s="403"/>
      <c r="BY2" s="403"/>
      <c r="BZ2" s="403"/>
      <c r="CA2" s="403"/>
      <c r="CB2" s="403"/>
      <c r="CC2" s="403"/>
      <c r="CD2" s="403"/>
      <c r="CE2" s="403"/>
      <c r="CF2" s="403"/>
      <c r="CG2" s="403"/>
      <c r="CH2" s="403"/>
      <c r="CI2" s="403"/>
      <c r="CJ2" s="403"/>
      <c r="CK2" s="403"/>
      <c r="CL2" s="403"/>
      <c r="CM2" s="403"/>
      <c r="CN2" s="403"/>
      <c r="CO2" s="403"/>
      <c r="CP2" s="403"/>
      <c r="CQ2" s="403"/>
      <c r="CR2" s="403"/>
      <c r="CS2" s="403"/>
      <c r="CT2" s="403"/>
      <c r="CU2" s="403"/>
      <c r="CV2" s="403"/>
      <c r="CW2" s="403"/>
      <c r="CX2" s="403"/>
      <c r="CY2" s="403"/>
      <c r="CZ2" s="403"/>
      <c r="DA2" s="403"/>
      <c r="DB2" s="403"/>
      <c r="DC2" s="403"/>
      <c r="DD2" s="403"/>
      <c r="DE2" s="403"/>
      <c r="DF2" s="403"/>
      <c r="DG2" s="403"/>
      <c r="DH2" s="403"/>
      <c r="DI2" s="403"/>
      <c r="DJ2" s="403"/>
      <c r="DK2" s="403"/>
      <c r="DL2" s="403"/>
      <c r="DM2" s="403"/>
      <c r="DN2" s="403"/>
    </row>
    <row r="3" spans="1:118" s="27" customFormat="1" ht="19.5" x14ac:dyDescent="0.3">
      <c r="A3" s="27" t="str">
        <f ca="1">IF(OFFSET(O3,0,Lang_Order*Lang__R1)="","",OFFSET(O3,0,Lang_Order*Lang__R1))</f>
        <v>R1. Output Reports and Visualizations</v>
      </c>
      <c r="N3" s="403"/>
      <c r="O3" s="403" t="s">
        <v>2954</v>
      </c>
      <c r="P3" s="403"/>
      <c r="Q3" s="403"/>
      <c r="R3" s="403"/>
      <c r="S3" s="403"/>
      <c r="T3" s="403"/>
      <c r="U3" s="403"/>
      <c r="V3" s="403"/>
      <c r="W3" s="403"/>
      <c r="X3" s="403"/>
      <c r="Y3" s="403"/>
      <c r="Z3" s="403"/>
      <c r="AA3" s="403"/>
      <c r="AB3" s="403"/>
      <c r="AC3" s="564"/>
      <c r="AD3" s="403" t="s">
        <v>12429</v>
      </c>
      <c r="AE3" s="403"/>
      <c r="AF3" s="403"/>
      <c r="AG3" s="403"/>
      <c r="AH3" s="403"/>
      <c r="AI3" s="403"/>
      <c r="AJ3" s="403"/>
      <c r="AK3" s="403"/>
      <c r="AL3" s="403"/>
      <c r="AM3" s="403"/>
      <c r="AN3" s="403"/>
      <c r="AO3" s="403"/>
      <c r="AP3" s="403"/>
      <c r="AQ3" s="403"/>
      <c r="AR3" s="403"/>
      <c r="AS3" s="403" t="s">
        <v>12430</v>
      </c>
      <c r="AT3" s="403"/>
      <c r="AU3" s="403"/>
      <c r="AV3" s="403"/>
      <c r="AW3" s="403"/>
      <c r="AX3" s="403"/>
      <c r="AY3" s="403"/>
      <c r="AZ3" s="403"/>
      <c r="BA3" s="403"/>
      <c r="BB3" s="403"/>
      <c r="BC3" s="403"/>
      <c r="BD3" s="403"/>
      <c r="BE3" s="403"/>
      <c r="BF3" s="403"/>
      <c r="BG3" s="403"/>
      <c r="BH3" s="403" t="s">
        <v>12431</v>
      </c>
      <c r="BI3" s="403"/>
      <c r="BJ3" s="403"/>
      <c r="BK3" s="403"/>
      <c r="BL3" s="403"/>
      <c r="BM3" s="403"/>
      <c r="BN3" s="403"/>
      <c r="BO3" s="403"/>
      <c r="BP3" s="403"/>
      <c r="BQ3" s="403"/>
      <c r="BR3" s="403"/>
      <c r="BS3" s="403"/>
      <c r="BT3" s="403"/>
      <c r="BU3" s="403"/>
      <c r="BV3" s="403"/>
      <c r="BW3" s="403" t="s">
        <v>12432</v>
      </c>
      <c r="BX3" s="403"/>
      <c r="BY3" s="403"/>
      <c r="BZ3" s="403"/>
      <c r="CA3" s="403"/>
      <c r="CB3" s="403"/>
      <c r="CC3" s="403"/>
      <c r="CD3" s="403"/>
      <c r="CE3" s="403"/>
      <c r="CF3" s="403"/>
      <c r="CG3" s="403"/>
      <c r="CH3" s="403"/>
      <c r="CI3" s="403"/>
      <c r="CJ3" s="403"/>
      <c r="CK3" s="403"/>
      <c r="CL3" s="403" t="s">
        <v>12433</v>
      </c>
      <c r="CM3" s="403"/>
      <c r="CN3" s="403"/>
      <c r="CO3" s="403"/>
      <c r="CP3" s="403"/>
      <c r="CQ3" s="403"/>
      <c r="CR3" s="403"/>
      <c r="CS3" s="403"/>
      <c r="CT3" s="403"/>
      <c r="CU3" s="403"/>
      <c r="CV3" s="403"/>
      <c r="CW3" s="403"/>
      <c r="CX3" s="403"/>
      <c r="CY3" s="403"/>
      <c r="CZ3" s="403"/>
      <c r="DA3" s="403" t="s">
        <v>12434</v>
      </c>
      <c r="DB3" s="403"/>
      <c r="DC3" s="403"/>
      <c r="DD3" s="403"/>
      <c r="DE3" s="403"/>
      <c r="DF3" s="403"/>
      <c r="DG3" s="403"/>
      <c r="DH3" s="403"/>
      <c r="DI3" s="403"/>
      <c r="DJ3" s="403"/>
      <c r="DK3" s="403"/>
      <c r="DL3" s="403"/>
      <c r="DM3" s="403"/>
      <c r="DN3" s="403"/>
    </row>
    <row r="4" spans="1:118" ht="31.5" customHeight="1" x14ac:dyDescent="0.2">
      <c r="A4" s="567"/>
      <c r="C4" s="5" t="str">
        <f ca="1">IF(OFFSET(Q4,0,Lang_Order*Lang__R1)="","",OFFSET(Q4,0,Lang_Order*Lang__R1))</f>
        <v>Last Update (Vaccine database):</v>
      </c>
      <c r="D4" s="552" t="str">
        <f>Lang_VaccineDatabaseLastUpdate</f>
        <v>18 February 2022 [u]</v>
      </c>
      <c r="E4" s="710" t="str">
        <f>Lang_VaccineDatabaseNoticeStartPage</f>
        <v>Please note that default unit prices, incl. for vaccine related supplies, are unstable due to market conditions and vaccine specifications are preliminary and indicative only. SUBJECT TO CHANGE.</v>
      </c>
      <c r="F4" s="710"/>
      <c r="G4" s="710"/>
      <c r="H4" s="710"/>
      <c r="I4" s="710"/>
      <c r="J4" s="710"/>
      <c r="K4" s="710"/>
      <c r="L4" s="710"/>
      <c r="Q4" s="403" t="s">
        <v>3111</v>
      </c>
      <c r="AF4" s="403" t="s">
        <v>12441</v>
      </c>
      <c r="AU4" s="403" t="s">
        <v>12442</v>
      </c>
      <c r="BJ4" s="403" t="s">
        <v>12443</v>
      </c>
      <c r="BY4" s="403" t="s">
        <v>5362</v>
      </c>
      <c r="CN4" s="403" t="s">
        <v>12444</v>
      </c>
      <c r="DC4" s="403" t="s">
        <v>12445</v>
      </c>
    </row>
    <row r="5" spans="1:118" s="299" customFormat="1" x14ac:dyDescent="0.2">
      <c r="C5" s="5"/>
      <c r="D5" s="275"/>
      <c r="E5" s="100"/>
      <c r="N5" s="403"/>
      <c r="O5" s="403"/>
      <c r="P5" s="403"/>
      <c r="Q5" s="403"/>
      <c r="R5" s="403"/>
      <c r="S5" s="403"/>
      <c r="T5" s="403"/>
      <c r="V5" s="403"/>
      <c r="W5" s="403"/>
      <c r="X5" s="403"/>
      <c r="Y5" s="403"/>
      <c r="Z5" s="403"/>
      <c r="AA5" s="403"/>
      <c r="AB5" s="403"/>
      <c r="AC5" s="564"/>
      <c r="AD5" s="403"/>
      <c r="AE5" s="403"/>
      <c r="AF5" s="403"/>
      <c r="AG5" s="403"/>
      <c r="AH5" s="403"/>
      <c r="AJ5" s="403"/>
      <c r="AK5" s="403"/>
      <c r="AL5" s="403"/>
      <c r="AM5" s="403"/>
      <c r="AN5" s="403"/>
      <c r="AO5" s="403"/>
      <c r="AP5" s="403"/>
      <c r="AQ5" s="403"/>
      <c r="AR5" s="403"/>
      <c r="AS5" s="403"/>
      <c r="AT5" s="403"/>
      <c r="AU5" s="403"/>
      <c r="AV5" s="403"/>
      <c r="AX5" s="403"/>
      <c r="AY5" s="403"/>
      <c r="AZ5" s="403"/>
      <c r="BA5" s="403"/>
      <c r="BB5" s="403"/>
      <c r="BC5" s="403"/>
      <c r="BD5" s="403"/>
      <c r="BE5" s="403"/>
      <c r="BF5" s="403"/>
      <c r="BG5" s="403"/>
      <c r="BH5" s="403"/>
      <c r="BI5" s="403"/>
      <c r="BJ5" s="403"/>
      <c r="BL5" s="403"/>
      <c r="BM5" s="403"/>
      <c r="BN5" s="403"/>
      <c r="BO5" s="403"/>
      <c r="BP5" s="403"/>
      <c r="BQ5" s="403"/>
      <c r="BR5" s="403"/>
      <c r="BS5" s="403"/>
      <c r="BT5" s="403"/>
      <c r="BU5" s="403"/>
      <c r="BV5" s="403"/>
      <c r="BW5" s="403"/>
      <c r="BX5" s="403"/>
      <c r="BZ5" s="403"/>
      <c r="CA5" s="403"/>
      <c r="CB5" s="403"/>
      <c r="CC5" s="403"/>
      <c r="CD5" s="403"/>
      <c r="CE5" s="403"/>
      <c r="CF5" s="403"/>
      <c r="CG5" s="403"/>
      <c r="CH5" s="403"/>
      <c r="CI5" s="403"/>
      <c r="CJ5" s="403"/>
      <c r="CK5" s="403"/>
      <c r="CL5" s="403"/>
      <c r="CN5" s="403"/>
      <c r="CO5" s="403"/>
      <c r="CP5" s="403"/>
      <c r="CQ5" s="403"/>
      <c r="CR5" s="403"/>
      <c r="CS5" s="403"/>
      <c r="CT5" s="403"/>
      <c r="CU5" s="403"/>
      <c r="CV5" s="403"/>
      <c r="CW5" s="403"/>
      <c r="CX5" s="403"/>
      <c r="CY5" s="403"/>
      <c r="CZ5" s="403"/>
      <c r="DB5" s="403"/>
      <c r="DC5" s="403"/>
      <c r="DD5" s="403"/>
      <c r="DE5" s="403"/>
      <c r="DF5" s="403"/>
      <c r="DG5" s="403"/>
      <c r="DH5" s="403"/>
      <c r="DI5" s="403"/>
      <c r="DJ5" s="403"/>
      <c r="DK5" s="403"/>
      <c r="DL5" s="403"/>
      <c r="DM5" s="403"/>
      <c r="DN5" s="403"/>
    </row>
    <row r="6" spans="1:118" s="567" customFormat="1" x14ac:dyDescent="0.2">
      <c r="D6" s="648" t="str">
        <f ca="1">'A1. START HERE'!D9</f>
        <v>Microsoft Excel 2016+ / 16.0+</v>
      </c>
    </row>
    <row r="7" spans="1:118" s="299" customFormat="1" x14ac:dyDescent="0.2">
      <c r="C7" s="5" t="str">
        <f ca="1">IF(OFFSET(Q7,0,Lang_Order*Lang__R1)="","",OFFSET(Q7,0,Lang_Order*Lang__R1))</f>
        <v>Logic Checks in Sheet A2</v>
      </c>
      <c r="D7" s="711" t="str">
        <f ca="1">LogicChecks_A2</f>
        <v>Logic checks failed - Errors = 32</v>
      </c>
      <c r="E7" s="712"/>
      <c r="G7" s="86" t="str">
        <f ca="1">IF(OFFSET(U7,0,Lang_Order*Lang__R1)="","",OFFSET(U7,0,Lang_Order*Lang__R1))</f>
        <v>Go to Sheet A2 to fix logic checks</v>
      </c>
      <c r="N7" s="403"/>
      <c r="O7" s="403"/>
      <c r="P7" s="403"/>
      <c r="Q7" s="403" t="s">
        <v>3996</v>
      </c>
      <c r="R7" s="403"/>
      <c r="S7" s="403"/>
      <c r="T7" s="403"/>
      <c r="U7" s="403" t="s">
        <v>4001</v>
      </c>
      <c r="V7" s="403"/>
      <c r="W7" s="403"/>
      <c r="X7" s="403"/>
      <c r="Y7" s="403"/>
      <c r="Z7" s="403"/>
      <c r="AA7" s="403"/>
      <c r="AB7" s="403"/>
      <c r="AC7" s="564"/>
      <c r="AD7" s="403"/>
      <c r="AE7" s="403"/>
      <c r="AF7" s="403" t="s">
        <v>12446</v>
      </c>
      <c r="AG7" s="403"/>
      <c r="AH7" s="403"/>
      <c r="AI7" s="403"/>
      <c r="AJ7" s="403" t="s">
        <v>12447</v>
      </c>
      <c r="AK7" s="403"/>
      <c r="AL7" s="403"/>
      <c r="AM7" s="403"/>
      <c r="AN7" s="403"/>
      <c r="AO7" s="403"/>
      <c r="AP7" s="403"/>
      <c r="AQ7" s="403"/>
      <c r="AR7" s="403"/>
      <c r="AS7" s="403"/>
      <c r="AT7" s="403"/>
      <c r="AU7" s="403" t="s">
        <v>12448</v>
      </c>
      <c r="AV7" s="403"/>
      <c r="AW7" s="403"/>
      <c r="AX7" s="403"/>
      <c r="AY7" s="403" t="s">
        <v>12449</v>
      </c>
      <c r="AZ7" s="403"/>
      <c r="BA7" s="403"/>
      <c r="BB7" s="403"/>
      <c r="BC7" s="403"/>
      <c r="BD7" s="403"/>
      <c r="BE7" s="403"/>
      <c r="BF7" s="403"/>
      <c r="BG7" s="403"/>
      <c r="BH7" s="403"/>
      <c r="BI7" s="403"/>
      <c r="BJ7" s="403" t="s">
        <v>12450</v>
      </c>
      <c r="BK7" s="403"/>
      <c r="BL7" s="403"/>
      <c r="BM7" s="403"/>
      <c r="BN7" s="403" t="s">
        <v>12451</v>
      </c>
      <c r="BO7" s="403"/>
      <c r="BP7" s="403"/>
      <c r="BQ7" s="403"/>
      <c r="BR7" s="403"/>
      <c r="BS7" s="403"/>
      <c r="BT7" s="403"/>
      <c r="BU7" s="403"/>
      <c r="BV7" s="403"/>
      <c r="BW7" s="403"/>
      <c r="BX7" s="403"/>
      <c r="BY7" s="403" t="s">
        <v>12452</v>
      </c>
      <c r="BZ7" s="403"/>
      <c r="CA7" s="403"/>
      <c r="CB7" s="403"/>
      <c r="CC7" s="403" t="s">
        <v>12453</v>
      </c>
      <c r="CD7" s="403"/>
      <c r="CE7" s="403"/>
      <c r="CF7" s="403"/>
      <c r="CG7" s="403"/>
      <c r="CH7" s="403"/>
      <c r="CI7" s="403"/>
      <c r="CJ7" s="403"/>
      <c r="CK7" s="403"/>
      <c r="CL7" s="403"/>
      <c r="CM7" s="403"/>
      <c r="CN7" s="403" t="s">
        <v>12454</v>
      </c>
      <c r="CO7" s="403"/>
      <c r="CP7" s="403"/>
      <c r="CQ7" s="403"/>
      <c r="CR7" s="403" t="s">
        <v>12455</v>
      </c>
      <c r="CS7" s="403"/>
      <c r="CT7" s="403"/>
      <c r="CU7" s="403"/>
      <c r="CV7" s="403"/>
      <c r="CW7" s="403"/>
      <c r="CX7" s="403"/>
      <c r="CY7" s="403"/>
      <c r="CZ7" s="403"/>
      <c r="DA7" s="403"/>
      <c r="DB7" s="403"/>
      <c r="DC7" s="403" t="s">
        <v>12456</v>
      </c>
      <c r="DD7" s="403"/>
      <c r="DE7" s="403"/>
      <c r="DF7" s="403"/>
      <c r="DG7" s="403" t="s">
        <v>12457</v>
      </c>
      <c r="DH7" s="403"/>
      <c r="DI7" s="403"/>
      <c r="DJ7" s="403"/>
      <c r="DK7" s="403"/>
      <c r="DL7" s="403"/>
      <c r="DM7" s="403"/>
      <c r="DN7" s="403"/>
    </row>
    <row r="8" spans="1:118" s="299" customFormat="1" x14ac:dyDescent="0.2">
      <c r="C8" s="5" t="str">
        <f ca="1">IF(OFFSET(Q8,0,Lang_Order*Lang__R1)="","",OFFSET(Q8,0,Lang_Order*Lang__R1))</f>
        <v>Logic Checks in Sheet A3</v>
      </c>
      <c r="D8" s="711" t="str">
        <f ca="1">LogicChecks_A3</f>
        <v>Logic checks failed - Errors = 20</v>
      </c>
      <c r="E8" s="712"/>
      <c r="G8" s="86" t="str">
        <f ca="1">IF(OFFSET(U8,0,Lang_Order*Lang__R1)="","",OFFSET(U8,0,Lang_Order*Lang__R1))</f>
        <v>Go to Sheet A3 to fix logic checks</v>
      </c>
      <c r="N8" s="403"/>
      <c r="O8" s="403"/>
      <c r="P8" s="403"/>
      <c r="Q8" s="403" t="s">
        <v>3997</v>
      </c>
      <c r="R8" s="403"/>
      <c r="S8" s="403"/>
      <c r="T8" s="403"/>
      <c r="U8" s="403" t="s">
        <v>3999</v>
      </c>
      <c r="V8" s="403"/>
      <c r="W8" s="403"/>
      <c r="X8" s="403"/>
      <c r="Y8" s="403"/>
      <c r="Z8" s="403"/>
      <c r="AA8" s="403"/>
      <c r="AB8" s="403"/>
      <c r="AC8" s="564"/>
      <c r="AD8" s="403"/>
      <c r="AE8" s="403"/>
      <c r="AF8" s="403" t="s">
        <v>12458</v>
      </c>
      <c r="AG8" s="403"/>
      <c r="AH8" s="403"/>
      <c r="AI8" s="403"/>
      <c r="AJ8" s="403" t="s">
        <v>12447</v>
      </c>
      <c r="AK8" s="403"/>
      <c r="AL8" s="403"/>
      <c r="AM8" s="403"/>
      <c r="AN8" s="403"/>
      <c r="AO8" s="403"/>
      <c r="AP8" s="403"/>
      <c r="AQ8" s="403"/>
      <c r="AR8" s="403"/>
      <c r="AS8" s="403"/>
      <c r="AT8" s="403"/>
      <c r="AU8" s="403" t="s">
        <v>12459</v>
      </c>
      <c r="AV8" s="403"/>
      <c r="AW8" s="403"/>
      <c r="AX8" s="403"/>
      <c r="AY8" s="403" t="s">
        <v>12460</v>
      </c>
      <c r="AZ8" s="403"/>
      <c r="BA8" s="403"/>
      <c r="BB8" s="403"/>
      <c r="BC8" s="403"/>
      <c r="BD8" s="403"/>
      <c r="BE8" s="403"/>
      <c r="BF8" s="403"/>
      <c r="BG8" s="403"/>
      <c r="BH8" s="403"/>
      <c r="BI8" s="403"/>
      <c r="BJ8" s="403" t="s">
        <v>12461</v>
      </c>
      <c r="BK8" s="403"/>
      <c r="BL8" s="403"/>
      <c r="BM8" s="403"/>
      <c r="BN8" s="403" t="s">
        <v>12462</v>
      </c>
      <c r="BO8" s="403"/>
      <c r="BP8" s="403"/>
      <c r="BQ8" s="403"/>
      <c r="BR8" s="403"/>
      <c r="BS8" s="403"/>
      <c r="BT8" s="403"/>
      <c r="BU8" s="403"/>
      <c r="BV8" s="403"/>
      <c r="BW8" s="403"/>
      <c r="BX8" s="403"/>
      <c r="BY8" s="403" t="s">
        <v>12463</v>
      </c>
      <c r="BZ8" s="403"/>
      <c r="CA8" s="403"/>
      <c r="CB8" s="403"/>
      <c r="CC8" s="403" t="s">
        <v>12464</v>
      </c>
      <c r="CD8" s="403"/>
      <c r="CE8" s="403"/>
      <c r="CF8" s="403"/>
      <c r="CG8" s="403"/>
      <c r="CH8" s="403"/>
      <c r="CI8" s="403"/>
      <c r="CJ8" s="403"/>
      <c r="CK8" s="403"/>
      <c r="CL8" s="403"/>
      <c r="CM8" s="403"/>
      <c r="CN8" s="403" t="s">
        <v>12465</v>
      </c>
      <c r="CO8" s="403"/>
      <c r="CP8" s="403"/>
      <c r="CQ8" s="403"/>
      <c r="CR8" s="403" t="s">
        <v>12466</v>
      </c>
      <c r="CS8" s="403"/>
      <c r="CT8" s="403"/>
      <c r="CU8" s="403"/>
      <c r="CV8" s="403"/>
      <c r="CW8" s="403"/>
      <c r="CX8" s="403"/>
      <c r="CY8" s="403"/>
      <c r="CZ8" s="403"/>
      <c r="DA8" s="403"/>
      <c r="DB8" s="403"/>
      <c r="DC8" s="403" t="s">
        <v>12467</v>
      </c>
      <c r="DD8" s="403"/>
      <c r="DE8" s="403"/>
      <c r="DF8" s="403"/>
      <c r="DG8" s="403" t="s">
        <v>12468</v>
      </c>
      <c r="DH8" s="403"/>
      <c r="DI8" s="403"/>
      <c r="DJ8" s="403"/>
      <c r="DK8" s="403"/>
      <c r="DL8" s="403"/>
      <c r="DM8" s="403"/>
      <c r="DN8" s="403"/>
    </row>
    <row r="9" spans="1:118" s="299" customFormat="1" x14ac:dyDescent="0.2">
      <c r="C9" s="5" t="str">
        <f ca="1">IF(OFFSET(Q9,0,Lang_Order*Lang__R1)="","",OFFSET(Q9,0,Lang_Order*Lang__R1))</f>
        <v>Logic Checks in Sheet B1</v>
      </c>
      <c r="D9" s="711" t="str">
        <f>LogicChecks_B1</f>
        <v>Logic checks failed - Errors = 1</v>
      </c>
      <c r="E9" s="712"/>
      <c r="G9" s="86" t="str">
        <f ca="1">IF(OFFSET(U9,0,Lang_Order*Lang__R1)="","",OFFSET(U9,0,Lang_Order*Lang__R1))</f>
        <v>Go to Sheet B1 to fix logic checks</v>
      </c>
      <c r="N9" s="403"/>
      <c r="O9" s="403"/>
      <c r="P9" s="403"/>
      <c r="Q9" s="403" t="s">
        <v>3998</v>
      </c>
      <c r="R9" s="403"/>
      <c r="S9" s="403"/>
      <c r="T9" s="403"/>
      <c r="U9" s="403" t="s">
        <v>4000</v>
      </c>
      <c r="V9" s="403"/>
      <c r="W9" s="403"/>
      <c r="X9" s="403"/>
      <c r="Y9" s="403"/>
      <c r="Z9" s="403"/>
      <c r="AA9" s="403"/>
      <c r="AB9" s="403"/>
      <c r="AC9" s="564"/>
      <c r="AD9" s="403"/>
      <c r="AE9" s="403"/>
      <c r="AF9" s="403" t="s">
        <v>12469</v>
      </c>
      <c r="AG9" s="403"/>
      <c r="AH9" s="403"/>
      <c r="AI9" s="403"/>
      <c r="AJ9" s="403" t="s">
        <v>12447</v>
      </c>
      <c r="AK9" s="403"/>
      <c r="AL9" s="403"/>
      <c r="AM9" s="403"/>
      <c r="AN9" s="403"/>
      <c r="AO9" s="403"/>
      <c r="AP9" s="403"/>
      <c r="AQ9" s="403"/>
      <c r="AR9" s="403"/>
      <c r="AS9" s="403"/>
      <c r="AT9" s="403"/>
      <c r="AU9" s="403" t="s">
        <v>12470</v>
      </c>
      <c r="AV9" s="403"/>
      <c r="AW9" s="403"/>
      <c r="AX9" s="403"/>
      <c r="AY9" s="403" t="s">
        <v>12471</v>
      </c>
      <c r="AZ9" s="403"/>
      <c r="BA9" s="403"/>
      <c r="BB9" s="403"/>
      <c r="BC9" s="403"/>
      <c r="BD9" s="403"/>
      <c r="BE9" s="403"/>
      <c r="BF9" s="403"/>
      <c r="BG9" s="403"/>
      <c r="BH9" s="403"/>
      <c r="BI9" s="403"/>
      <c r="BJ9" s="403" t="s">
        <v>12472</v>
      </c>
      <c r="BK9" s="403"/>
      <c r="BL9" s="403"/>
      <c r="BM9" s="403"/>
      <c r="BN9" s="403" t="s">
        <v>12473</v>
      </c>
      <c r="BO9" s="403"/>
      <c r="BP9" s="403"/>
      <c r="BQ9" s="403"/>
      <c r="BR9" s="403"/>
      <c r="BS9" s="403"/>
      <c r="BT9" s="403"/>
      <c r="BU9" s="403"/>
      <c r="BV9" s="403"/>
      <c r="BW9" s="403"/>
      <c r="BX9" s="403"/>
      <c r="BY9" s="403" t="s">
        <v>12474</v>
      </c>
      <c r="BZ9" s="403"/>
      <c r="CA9" s="403"/>
      <c r="CB9" s="403"/>
      <c r="CC9" s="403" t="s">
        <v>12475</v>
      </c>
      <c r="CD9" s="403"/>
      <c r="CE9" s="403"/>
      <c r="CF9" s="403"/>
      <c r="CG9" s="403"/>
      <c r="CH9" s="403"/>
      <c r="CI9" s="403"/>
      <c r="CJ9" s="403"/>
      <c r="CK9" s="403"/>
      <c r="CL9" s="403"/>
      <c r="CM9" s="403"/>
      <c r="CN9" s="403" t="s">
        <v>12476</v>
      </c>
      <c r="CO9" s="403"/>
      <c r="CP9" s="403"/>
      <c r="CQ9" s="403"/>
      <c r="CR9" s="403" t="s">
        <v>12477</v>
      </c>
      <c r="CS9" s="403"/>
      <c r="CT9" s="403"/>
      <c r="CU9" s="403"/>
      <c r="CV9" s="403"/>
      <c r="CW9" s="403"/>
      <c r="CX9" s="403"/>
      <c r="CY9" s="403"/>
      <c r="CZ9" s="403"/>
      <c r="DA9" s="403"/>
      <c r="DB9" s="403"/>
      <c r="DC9" s="403" t="s">
        <v>12478</v>
      </c>
      <c r="DD9" s="403"/>
      <c r="DE9" s="403"/>
      <c r="DF9" s="403"/>
      <c r="DG9" s="403" t="s">
        <v>12479</v>
      </c>
      <c r="DH9" s="403"/>
      <c r="DI9" s="403"/>
      <c r="DJ9" s="403"/>
      <c r="DK9" s="403"/>
      <c r="DL9" s="403"/>
      <c r="DM9" s="403"/>
      <c r="DN9" s="403"/>
    </row>
    <row r="10" spans="1:118" s="463" customFormat="1" x14ac:dyDescent="0.2">
      <c r="C10" s="5" t="str">
        <f ca="1">IF(OFFSET(Q10,0,Lang_Order*Lang__R1)="","",OFFSET(Q10,0,Lang_Order*Lang__R1))</f>
        <v>Supply-demand balanced?</v>
      </c>
      <c r="D10" s="711" t="str">
        <f>IF('B1. Target Population'!$N$87="OK",Lang_LogicPassed,Lang_LogicFailed)</f>
        <v xml:space="preserve">Logic checks failed - Errors = </v>
      </c>
      <c r="E10" s="712"/>
      <c r="G10" s="86" t="str">
        <f ca="1">IF(OFFSET(U10,0,Lang_Order*Lang__R1)="","",OFFSET(U10,0,Lang_Order*Lang__R1))</f>
        <v>Go to Sheet B1 to fix logic checks</v>
      </c>
      <c r="N10" s="403"/>
      <c r="O10" s="403"/>
      <c r="P10" s="403"/>
      <c r="Q10" s="403" t="s">
        <v>4395</v>
      </c>
      <c r="R10" s="403"/>
      <c r="S10" s="403"/>
      <c r="T10" s="403"/>
      <c r="U10" s="403" t="s">
        <v>4000</v>
      </c>
      <c r="V10" s="403"/>
      <c r="W10" s="403"/>
      <c r="X10" s="403"/>
      <c r="Y10" s="403"/>
      <c r="Z10" s="403"/>
      <c r="AA10" s="403"/>
      <c r="AB10" s="403"/>
      <c r="AC10" s="564"/>
      <c r="AD10" s="403"/>
      <c r="AE10" s="403"/>
      <c r="AF10" s="403" t="s">
        <v>12480</v>
      </c>
      <c r="AG10" s="403"/>
      <c r="AH10" s="403"/>
      <c r="AI10" s="403"/>
      <c r="AJ10" s="403" t="s">
        <v>12447</v>
      </c>
      <c r="AK10" s="403"/>
      <c r="AL10" s="403"/>
      <c r="AM10" s="403"/>
      <c r="AN10" s="403"/>
      <c r="AO10" s="403"/>
      <c r="AP10" s="403"/>
      <c r="AQ10" s="403"/>
      <c r="AR10" s="403"/>
      <c r="AS10" s="403"/>
      <c r="AT10" s="403"/>
      <c r="AU10" s="403" t="s">
        <v>12481</v>
      </c>
      <c r="AV10" s="403"/>
      <c r="AW10" s="403"/>
      <c r="AX10" s="403"/>
      <c r="AY10" s="403" t="s">
        <v>12471</v>
      </c>
      <c r="AZ10" s="403"/>
      <c r="BA10" s="403"/>
      <c r="BB10" s="403"/>
      <c r="BC10" s="403"/>
      <c r="BD10" s="403"/>
      <c r="BE10" s="403"/>
      <c r="BF10" s="403"/>
      <c r="BG10" s="403"/>
      <c r="BH10" s="403"/>
      <c r="BI10" s="403"/>
      <c r="BJ10" s="403" t="s">
        <v>12482</v>
      </c>
      <c r="BK10" s="403"/>
      <c r="BL10" s="403"/>
      <c r="BM10" s="403"/>
      <c r="BN10" s="403" t="s">
        <v>12473</v>
      </c>
      <c r="BO10" s="403"/>
      <c r="BP10" s="403"/>
      <c r="BQ10" s="403"/>
      <c r="BR10" s="403"/>
      <c r="BS10" s="403"/>
      <c r="BT10" s="403"/>
      <c r="BU10" s="403"/>
      <c r="BV10" s="403"/>
      <c r="BW10" s="403"/>
      <c r="BX10" s="403"/>
      <c r="BY10" s="403" t="s">
        <v>12483</v>
      </c>
      <c r="BZ10" s="403"/>
      <c r="CA10" s="403"/>
      <c r="CB10" s="403"/>
      <c r="CC10" s="403" t="s">
        <v>12475</v>
      </c>
      <c r="CD10" s="403"/>
      <c r="CE10" s="403"/>
      <c r="CF10" s="403"/>
      <c r="CG10" s="403"/>
      <c r="CH10" s="403"/>
      <c r="CI10" s="403"/>
      <c r="CJ10" s="403"/>
      <c r="CK10" s="403"/>
      <c r="CL10" s="403"/>
      <c r="CM10" s="403"/>
      <c r="CN10" s="403" t="s">
        <v>12484</v>
      </c>
      <c r="CO10" s="403"/>
      <c r="CP10" s="403"/>
      <c r="CQ10" s="403"/>
      <c r="CR10" s="403" t="s">
        <v>12477</v>
      </c>
      <c r="CS10" s="403"/>
      <c r="CT10" s="403"/>
      <c r="CU10" s="403"/>
      <c r="CV10" s="403"/>
      <c r="CW10" s="403"/>
      <c r="CX10" s="403"/>
      <c r="CY10" s="403"/>
      <c r="CZ10" s="403"/>
      <c r="DA10" s="403"/>
      <c r="DB10" s="403"/>
      <c r="DC10" s="403" t="s">
        <v>12485</v>
      </c>
      <c r="DD10" s="403"/>
      <c r="DE10" s="403"/>
      <c r="DF10" s="403"/>
      <c r="DG10" s="403" t="s">
        <v>12479</v>
      </c>
      <c r="DH10" s="403"/>
      <c r="DI10" s="403"/>
      <c r="DJ10" s="403"/>
      <c r="DK10" s="403"/>
      <c r="DL10" s="403"/>
      <c r="DM10" s="403"/>
      <c r="DN10" s="403"/>
    </row>
    <row r="11" spans="1:118" s="299" customFormat="1" x14ac:dyDescent="0.2">
      <c r="A11" s="567"/>
      <c r="C11" s="5" t="str">
        <f ca="1">IF(OFFSET(Q11,0,Lang_Order*Lang__R1)="","",OFFSET(Q11,0,Lang_Order*Lang__R1))</f>
        <v>UCC-related errors in Sheet B4</v>
      </c>
      <c r="D11" s="711" t="str">
        <f>LogicChecks_B4</f>
        <v>Logic checks passed</v>
      </c>
      <c r="E11" s="712"/>
      <c r="G11" s="571" t="str">
        <f ca="1">IF(OFFSET(U11,0,Lang_Order*Lang__R1)="","",OFFSET(U11,0,Lang_Order*Lang__R1))</f>
        <v>Go to sheet B4 to fix logic checks</v>
      </c>
      <c r="N11" s="403"/>
      <c r="O11" s="403"/>
      <c r="P11" s="403"/>
      <c r="Q11" s="403" t="s">
        <v>4521</v>
      </c>
      <c r="R11" s="403"/>
      <c r="S11" s="403"/>
      <c r="T11" s="403"/>
      <c r="U11" s="403" t="s">
        <v>4522</v>
      </c>
      <c r="V11" s="403"/>
      <c r="W11" s="403"/>
      <c r="X11" s="403"/>
      <c r="Y11" s="403"/>
      <c r="Z11" s="403"/>
      <c r="AA11" s="403"/>
      <c r="AB11" s="403"/>
      <c r="AC11" s="564"/>
      <c r="AD11" s="403"/>
      <c r="AE11" s="403"/>
      <c r="AF11" s="403" t="s">
        <v>13163</v>
      </c>
      <c r="AG11" s="403"/>
      <c r="AH11" s="403"/>
      <c r="AI11" s="403"/>
      <c r="AJ11" s="403" t="s">
        <v>13195</v>
      </c>
      <c r="AK11" s="403"/>
      <c r="AL11" s="403"/>
      <c r="AM11" s="403"/>
      <c r="AN11" s="403"/>
      <c r="AO11" s="403"/>
      <c r="AP11" s="403"/>
      <c r="AQ11" s="403"/>
      <c r="AR11" s="403"/>
      <c r="AS11" s="403"/>
      <c r="AU11" s="403" t="s">
        <v>13164</v>
      </c>
      <c r="AV11" s="403"/>
      <c r="AW11" s="403"/>
      <c r="AX11" s="403"/>
      <c r="AY11" s="403" t="s">
        <v>13196</v>
      </c>
      <c r="AZ11" s="403"/>
      <c r="BA11" s="403"/>
      <c r="BB11" s="403"/>
      <c r="BC11" s="403"/>
      <c r="BD11" s="403"/>
      <c r="BE11" s="403"/>
      <c r="BF11" s="403"/>
      <c r="BG11" s="403"/>
      <c r="BI11" s="403"/>
      <c r="BJ11" s="403" t="s">
        <v>13165</v>
      </c>
      <c r="BK11" s="403"/>
      <c r="BL11" s="403"/>
      <c r="BM11" s="403"/>
      <c r="BN11" s="403" t="s">
        <v>13197</v>
      </c>
      <c r="BO11" s="403"/>
      <c r="BP11" s="403"/>
      <c r="BQ11" s="403"/>
      <c r="BR11" s="403"/>
      <c r="BS11" s="403"/>
      <c r="BT11" s="403"/>
      <c r="BU11" s="403"/>
      <c r="BW11" s="403"/>
      <c r="BX11" s="403"/>
      <c r="BY11" s="403" t="s">
        <v>13166</v>
      </c>
      <c r="BZ11" s="403"/>
      <c r="CA11" s="403"/>
      <c r="CB11" s="403"/>
      <c r="CC11" s="403" t="s">
        <v>13198</v>
      </c>
      <c r="CD11" s="403"/>
      <c r="CE11" s="403"/>
      <c r="CF11" s="403"/>
      <c r="CG11" s="403"/>
      <c r="CH11" s="403"/>
      <c r="CI11" s="403"/>
      <c r="CK11" s="403"/>
      <c r="CL11" s="403"/>
      <c r="CM11" s="403"/>
      <c r="CN11" s="403" t="s">
        <v>13167</v>
      </c>
      <c r="CO11" s="403"/>
      <c r="CP11" s="403"/>
      <c r="CQ11" s="403"/>
      <c r="CR11" s="403" t="s">
        <v>13199</v>
      </c>
      <c r="CS11" s="403"/>
      <c r="CT11" s="403"/>
      <c r="CU11" s="403"/>
      <c r="CV11" s="403"/>
      <c r="CW11" s="403"/>
      <c r="CY11" s="403"/>
      <c r="CZ11" s="403"/>
      <c r="DA11" s="403"/>
      <c r="DB11" s="403"/>
      <c r="DC11" s="403" t="s">
        <v>13168</v>
      </c>
      <c r="DD11" s="403"/>
      <c r="DE11" s="403"/>
      <c r="DF11" s="403"/>
      <c r="DG11" s="403" t="s">
        <v>13200</v>
      </c>
      <c r="DH11" s="403"/>
      <c r="DI11" s="403"/>
      <c r="DJ11" s="403"/>
      <c r="DK11" s="403"/>
      <c r="DL11" s="403"/>
      <c r="DM11" s="403"/>
      <c r="DN11" s="403"/>
    </row>
    <row r="12" spans="1:118" s="17" customFormat="1" ht="17.25" x14ac:dyDescent="0.3">
      <c r="A12" s="17" t="str">
        <f ca="1">IF(OFFSET(O12,0,Lang_Order*Lang__R1)="","",OFFSET(O12,0,Lang_Order*Lang__R1))</f>
        <v>R1.1 Total Costs, over time</v>
      </c>
      <c r="N12" s="403"/>
      <c r="O12" s="403" t="s">
        <v>3064</v>
      </c>
      <c r="P12" s="403"/>
      <c r="Q12" s="403"/>
      <c r="R12" s="403"/>
      <c r="S12" s="403"/>
      <c r="T12" s="403"/>
      <c r="U12" s="403"/>
      <c r="V12" s="403"/>
      <c r="W12" s="403"/>
      <c r="X12" s="403"/>
      <c r="Y12" s="403"/>
      <c r="Z12" s="403"/>
      <c r="AA12" s="403"/>
      <c r="AB12" s="403"/>
      <c r="AC12" s="564"/>
      <c r="AD12" s="403" t="s">
        <v>12435</v>
      </c>
      <c r="AE12" s="403"/>
      <c r="AF12" s="403"/>
      <c r="AG12" s="403"/>
      <c r="AH12" s="403"/>
      <c r="AI12" s="403"/>
      <c r="AJ12" s="403"/>
      <c r="AK12" s="403"/>
      <c r="AL12" s="403"/>
      <c r="AM12" s="403"/>
      <c r="AN12" s="403"/>
      <c r="AO12" s="403"/>
      <c r="AP12" s="403"/>
      <c r="AQ12" s="403"/>
      <c r="AR12" s="403"/>
      <c r="AS12" s="403" t="s">
        <v>12436</v>
      </c>
      <c r="AT12" s="403"/>
      <c r="AU12" s="403"/>
      <c r="AV12" s="403"/>
      <c r="AW12" s="403"/>
      <c r="AX12" s="403"/>
      <c r="AY12" s="403"/>
      <c r="AZ12" s="403"/>
      <c r="BA12" s="403"/>
      <c r="BB12" s="403"/>
      <c r="BC12" s="403"/>
      <c r="BD12" s="403"/>
      <c r="BE12" s="403"/>
      <c r="BF12" s="403"/>
      <c r="BG12" s="403"/>
      <c r="BH12" s="403" t="s">
        <v>12437</v>
      </c>
      <c r="BI12" s="403"/>
      <c r="BJ12" s="403"/>
      <c r="BK12" s="403"/>
      <c r="BL12" s="403"/>
      <c r="BM12" s="403"/>
      <c r="BN12" s="403"/>
      <c r="BO12" s="403"/>
      <c r="BP12" s="403"/>
      <c r="BQ12" s="403"/>
      <c r="BR12" s="403"/>
      <c r="BS12" s="403"/>
      <c r="BT12" s="403"/>
      <c r="BU12" s="403"/>
      <c r="BV12" s="403"/>
      <c r="BW12" s="403" t="s">
        <v>12438</v>
      </c>
      <c r="BX12" s="403"/>
      <c r="BY12" s="403"/>
      <c r="BZ12" s="403"/>
      <c r="CA12" s="403"/>
      <c r="CB12" s="403"/>
      <c r="CC12" s="403"/>
      <c r="CD12" s="403"/>
      <c r="CE12" s="403"/>
      <c r="CF12" s="403"/>
      <c r="CG12" s="403"/>
      <c r="CH12" s="403"/>
      <c r="CI12" s="403"/>
      <c r="CJ12" s="403"/>
      <c r="CK12" s="403"/>
      <c r="CL12" s="403" t="s">
        <v>12439</v>
      </c>
      <c r="CM12" s="403"/>
      <c r="CN12" s="403"/>
      <c r="CO12" s="403"/>
      <c r="CP12" s="403"/>
      <c r="CQ12" s="403"/>
      <c r="CR12" s="403"/>
      <c r="CS12" s="403"/>
      <c r="CT12" s="403"/>
      <c r="CU12" s="403"/>
      <c r="CV12" s="403"/>
      <c r="CW12" s="403"/>
      <c r="CX12" s="403"/>
      <c r="CY12" s="403"/>
      <c r="CZ12" s="403"/>
      <c r="DA12" s="403" t="s">
        <v>12440</v>
      </c>
      <c r="DB12" s="403"/>
      <c r="DC12" s="403"/>
      <c r="DD12" s="403"/>
      <c r="DE12" s="403"/>
      <c r="DF12" s="403"/>
      <c r="DG12" s="403"/>
      <c r="DH12" s="403"/>
      <c r="DI12" s="403"/>
      <c r="DJ12" s="403"/>
      <c r="DK12" s="403"/>
      <c r="DL12" s="403"/>
      <c r="DM12" s="403"/>
      <c r="DN12" s="403"/>
    </row>
    <row r="13" spans="1:118" s="241" customFormat="1" ht="82.5" customHeight="1" x14ac:dyDescent="0.2">
      <c r="C13" s="683" t="str">
        <f t="shared" ref="C13:L14" ca="1" si="0">IF(OFFSET(Q13,0,Lang_Order*Lang__R1)="","",OFFSET(Q13,0,Lang_Order*Lang__R1))</f>
        <v>Note: Total costs estimated using this costing platform, based on user-specified assumptions on target population prioritization, delivery parameters, and unit costs are provided here.
Medium variant estimates use the vaccination time per dose specified in the vaccine database (default = 10 mins), and the upper and lower variants use vaccination times longer and shorter than the medium variant, by a user-specified [A2.3] duration (default is 2.5 mins longer and 2.5 mins shorter).
The costs for vaccination included in this total are operational costs, selected capital costs of interest to partners, and central-level investments and development costs for activities described in the VIRAT-VRAF 2.0 and NDVP. Details of the costs included are disaggregated in R2.</v>
      </c>
      <c r="D13" s="683" t="str">
        <f t="shared" ca="1" si="0"/>
        <v/>
      </c>
      <c r="E13" s="683" t="str">
        <f t="shared" ca="1" si="0"/>
        <v/>
      </c>
      <c r="F13" s="683" t="str">
        <f t="shared" ca="1" si="0"/>
        <v/>
      </c>
      <c r="G13" s="683" t="str">
        <f t="shared" ca="1" si="0"/>
        <v/>
      </c>
      <c r="H13" s="683" t="str">
        <f t="shared" ca="1" si="0"/>
        <v/>
      </c>
      <c r="I13" s="683" t="str">
        <f t="shared" ca="1" si="0"/>
        <v/>
      </c>
      <c r="J13" s="683" t="str">
        <f t="shared" ca="1" si="0"/>
        <v/>
      </c>
      <c r="K13" s="683" t="str">
        <f t="shared" ca="1" si="0"/>
        <v/>
      </c>
      <c r="L13" s="683" t="str">
        <f t="shared" ca="1" si="0"/>
        <v/>
      </c>
      <c r="N13" s="403"/>
      <c r="O13" s="403"/>
      <c r="P13" s="403"/>
      <c r="Q13" s="403" t="s">
        <v>4203</v>
      </c>
      <c r="R13" s="403"/>
      <c r="S13" s="403"/>
      <c r="T13" s="403"/>
      <c r="U13" s="403"/>
      <c r="V13" s="403"/>
      <c r="W13" s="403"/>
      <c r="X13" s="403"/>
      <c r="Y13" s="403"/>
      <c r="Z13" s="403"/>
      <c r="AA13" s="403"/>
      <c r="AB13" s="403"/>
      <c r="AC13" s="564"/>
      <c r="AD13" s="403"/>
      <c r="AE13" s="403"/>
      <c r="AF13" s="403" t="s">
        <v>12486</v>
      </c>
      <c r="AG13" s="403"/>
      <c r="AH13" s="403"/>
      <c r="AI13" s="403"/>
      <c r="AJ13" s="403"/>
      <c r="AK13" s="403"/>
      <c r="AL13" s="403"/>
      <c r="AM13" s="403"/>
      <c r="AN13" s="403"/>
      <c r="AO13" s="403"/>
      <c r="AP13" s="403"/>
      <c r="AQ13" s="403"/>
      <c r="AR13" s="403"/>
      <c r="AS13" s="403"/>
      <c r="AT13" s="403"/>
      <c r="AU13" s="403" t="s">
        <v>12487</v>
      </c>
      <c r="AV13" s="403"/>
      <c r="AW13" s="403"/>
      <c r="AX13" s="403"/>
      <c r="AY13" s="403"/>
      <c r="AZ13" s="403"/>
      <c r="BA13" s="403"/>
      <c r="BB13" s="403"/>
      <c r="BC13" s="403"/>
      <c r="BD13" s="403"/>
      <c r="BE13" s="403"/>
      <c r="BF13" s="403"/>
      <c r="BG13" s="403"/>
      <c r="BH13" s="403"/>
      <c r="BI13" s="403"/>
      <c r="BJ13" s="403" t="s">
        <v>12488</v>
      </c>
      <c r="BK13" s="403"/>
      <c r="BL13" s="403"/>
      <c r="BM13" s="403"/>
      <c r="BN13" s="403"/>
      <c r="BO13" s="403"/>
      <c r="BP13" s="403"/>
      <c r="BQ13" s="403"/>
      <c r="BR13" s="403"/>
      <c r="BS13" s="403"/>
      <c r="BT13" s="403"/>
      <c r="BU13" s="403"/>
      <c r="BV13" s="403"/>
      <c r="BW13" s="403"/>
      <c r="BX13" s="403"/>
      <c r="BY13" s="403" t="s">
        <v>12489</v>
      </c>
      <c r="BZ13" s="403"/>
      <c r="CA13" s="403"/>
      <c r="CB13" s="403"/>
      <c r="CC13" s="403"/>
      <c r="CD13" s="403"/>
      <c r="CE13" s="403"/>
      <c r="CF13" s="403"/>
      <c r="CG13" s="403"/>
      <c r="CH13" s="403"/>
      <c r="CI13" s="403"/>
      <c r="CJ13" s="403"/>
      <c r="CK13" s="403"/>
      <c r="CL13" s="403"/>
      <c r="CM13" s="403"/>
      <c r="CN13" s="403" t="s">
        <v>12490</v>
      </c>
      <c r="CO13" s="403"/>
      <c r="CP13" s="403"/>
      <c r="CQ13" s="403"/>
      <c r="CR13" s="403"/>
      <c r="CS13" s="403"/>
      <c r="CT13" s="403"/>
      <c r="CU13" s="403"/>
      <c r="CV13" s="403"/>
      <c r="CW13" s="403"/>
      <c r="CX13" s="403"/>
      <c r="CY13" s="403"/>
      <c r="CZ13" s="403"/>
      <c r="DA13" s="403"/>
      <c r="DB13" s="403"/>
      <c r="DC13" s="403" t="s">
        <v>12491</v>
      </c>
      <c r="DD13" s="403"/>
      <c r="DE13" s="403"/>
      <c r="DF13" s="403"/>
      <c r="DG13" s="403"/>
      <c r="DH13" s="403"/>
      <c r="DI13" s="403"/>
      <c r="DJ13" s="403"/>
      <c r="DK13" s="403"/>
      <c r="DL13" s="403"/>
      <c r="DM13" s="403"/>
      <c r="DN13" s="403"/>
    </row>
    <row r="14" spans="1:118" ht="15" x14ac:dyDescent="0.25">
      <c r="C14" s="41" t="str">
        <f t="shared" ca="1" si="0"/>
        <v>Total Costs</v>
      </c>
      <c r="D14" s="41" t="str">
        <f t="shared" ca="1" si="0"/>
        <v>Total</v>
      </c>
      <c r="E14" s="41" t="str">
        <f t="shared" ca="1" si="0"/>
        <v/>
      </c>
      <c r="F14" s="41" t="str">
        <f t="shared" ca="1" si="0"/>
        <v/>
      </c>
      <c r="G14" s="30" t="str">
        <f t="shared" ca="1" si="0"/>
        <v>H1 2021</v>
      </c>
      <c r="H14" s="30" t="str">
        <f t="shared" ca="1" si="0"/>
        <v>H2 2021</v>
      </c>
      <c r="I14" s="30" t="str">
        <f t="shared" ca="1" si="0"/>
        <v>H1 2022</v>
      </c>
      <c r="J14" s="30" t="str">
        <f t="shared" ca="1" si="0"/>
        <v>H2 2022</v>
      </c>
      <c r="K14" s="30" t="str">
        <f t="shared" ca="1" si="0"/>
        <v>H1 2023</v>
      </c>
      <c r="L14" s="30" t="str">
        <f t="shared" ca="1" si="0"/>
        <v>H2 2023</v>
      </c>
      <c r="Q14" s="403" t="s">
        <v>3063</v>
      </c>
      <c r="R14" s="403" t="s">
        <v>1605</v>
      </c>
      <c r="U14" s="403" t="s">
        <v>1597</v>
      </c>
      <c r="V14" s="403" t="s">
        <v>1598</v>
      </c>
      <c r="W14" s="403" t="s">
        <v>1599</v>
      </c>
      <c r="X14" s="403" t="s">
        <v>1600</v>
      </c>
      <c r="Y14" s="403" t="s">
        <v>1602</v>
      </c>
      <c r="Z14" s="403" t="s">
        <v>1601</v>
      </c>
      <c r="AF14" s="403" t="s">
        <v>12492</v>
      </c>
      <c r="AG14" s="403" t="s">
        <v>1605</v>
      </c>
      <c r="AJ14" s="403" t="s">
        <v>4663</v>
      </c>
      <c r="AK14" s="403" t="s">
        <v>4664</v>
      </c>
      <c r="AL14" s="403" t="s">
        <v>4665</v>
      </c>
      <c r="AM14" s="403" t="s">
        <v>4666</v>
      </c>
      <c r="AN14" s="403" t="s">
        <v>4667</v>
      </c>
      <c r="AO14" s="403" t="s">
        <v>4668</v>
      </c>
      <c r="AU14" s="403" t="s">
        <v>12493</v>
      </c>
      <c r="AV14" s="403" t="s">
        <v>4676</v>
      </c>
      <c r="AY14" s="403" t="s">
        <v>4670</v>
      </c>
      <c r="AZ14" s="403" t="s">
        <v>4671</v>
      </c>
      <c r="BA14" s="403" t="s">
        <v>4672</v>
      </c>
      <c r="BB14" s="403" t="s">
        <v>4673</v>
      </c>
      <c r="BC14" s="403" t="s">
        <v>4674</v>
      </c>
      <c r="BD14" s="403" t="s">
        <v>4675</v>
      </c>
      <c r="BJ14" s="403" t="s">
        <v>12494</v>
      </c>
      <c r="BK14" s="403" t="s">
        <v>1605</v>
      </c>
      <c r="BN14" s="403" t="s">
        <v>1597</v>
      </c>
      <c r="BO14" s="403" t="s">
        <v>1598</v>
      </c>
      <c r="BP14" s="403" t="s">
        <v>1599</v>
      </c>
      <c r="BQ14" s="403" t="s">
        <v>1600</v>
      </c>
      <c r="BR14" s="403" t="s">
        <v>1602</v>
      </c>
      <c r="BS14" s="403" t="s">
        <v>1601</v>
      </c>
      <c r="BY14" s="403" t="s">
        <v>12495</v>
      </c>
      <c r="BZ14" s="403" t="s">
        <v>1605</v>
      </c>
      <c r="CC14" s="403" t="s">
        <v>4663</v>
      </c>
      <c r="CD14" s="403" t="s">
        <v>4664</v>
      </c>
      <c r="CE14" s="403" t="s">
        <v>4665</v>
      </c>
      <c r="CF14" s="403" t="s">
        <v>4666</v>
      </c>
      <c r="CG14" s="403" t="s">
        <v>4667</v>
      </c>
      <c r="CH14" s="403" t="s">
        <v>4668</v>
      </c>
      <c r="CN14" s="403" t="s">
        <v>12496</v>
      </c>
      <c r="CO14" s="403" t="s">
        <v>4686</v>
      </c>
      <c r="CR14" s="403" t="s">
        <v>4680</v>
      </c>
      <c r="CS14" s="403" t="s">
        <v>4681</v>
      </c>
      <c r="CT14" s="403" t="s">
        <v>4682</v>
      </c>
      <c r="CU14" s="403" t="s">
        <v>4683</v>
      </c>
      <c r="CV14" s="403" t="s">
        <v>4684</v>
      </c>
      <c r="CW14" s="403" t="s">
        <v>4685</v>
      </c>
      <c r="DD14" s="403" t="s">
        <v>4694</v>
      </c>
      <c r="DG14" s="403" t="s">
        <v>4688</v>
      </c>
      <c r="DH14" s="403" t="s">
        <v>4689</v>
      </c>
      <c r="DI14" s="403" t="s">
        <v>4690</v>
      </c>
      <c r="DJ14" s="403" t="s">
        <v>4691</v>
      </c>
      <c r="DK14" s="403" t="s">
        <v>4692</v>
      </c>
      <c r="DL14" s="403" t="s">
        <v>4693</v>
      </c>
    </row>
    <row r="15" spans="1:118" ht="13.5" thickBot="1" x14ac:dyDescent="0.25">
      <c r="C15" s="21" t="str">
        <f ca="1">IF(OFFSET(Q15,0,Lang_Order*Lang__R1)="","",OFFSET(Q15,0,Lang_Order*Lang__R1))</f>
        <v>Grand Total (USD) - Medium Variant</v>
      </c>
      <c r="D15" s="118" t="e">
        <f>SUM(G15:L15)</f>
        <v>#N/A</v>
      </c>
      <c r="E15" s="118"/>
      <c r="F15" s="118"/>
      <c r="G15" s="118" t="e">
        <f t="shared" ref="G15:L15" si="1">SUM(G66:G74)</f>
        <v>#N/A</v>
      </c>
      <c r="H15" s="118" t="e">
        <f t="shared" ca="1" si="1"/>
        <v>#N/A</v>
      </c>
      <c r="I15" s="118" t="e">
        <f t="shared" ca="1" si="1"/>
        <v>#N/A</v>
      </c>
      <c r="J15" s="118" t="e">
        <f t="shared" ca="1" si="1"/>
        <v>#N/A</v>
      </c>
      <c r="K15" s="118" t="e">
        <f t="shared" ca="1" si="1"/>
        <v>#N/A</v>
      </c>
      <c r="L15" s="118" t="e">
        <f t="shared" ca="1" si="1"/>
        <v>#N/A</v>
      </c>
      <c r="Q15" s="403" t="s">
        <v>3049</v>
      </c>
      <c r="AF15" s="403" t="s">
        <v>4708</v>
      </c>
      <c r="AU15" s="403" t="s">
        <v>12497</v>
      </c>
      <c r="BJ15" s="403" t="s">
        <v>12498</v>
      </c>
      <c r="BY15" s="403" t="s">
        <v>4711</v>
      </c>
      <c r="CN15" s="403" t="s">
        <v>4712</v>
      </c>
      <c r="DC15" s="403" t="s">
        <v>4713</v>
      </c>
    </row>
    <row r="16" spans="1:118" s="241" customFormat="1" ht="13.5" thickTop="1" x14ac:dyDescent="0.2">
      <c r="C16" s="5" t="str">
        <f ca="1">IF(OFFSET(Q16,0,Lang_Order*Lang__R1)="","",OFFSET(Q16,0,Lang_Order*Lang__R1))</f>
        <v>Upper Variant</v>
      </c>
      <c r="D16" s="37" t="e">
        <f t="shared" ref="D16:D17" si="2">SUM(G16:L16)</f>
        <v>#N/A</v>
      </c>
      <c r="E16" s="37"/>
      <c r="F16" s="37"/>
      <c r="G16" s="37" t="e">
        <f>G15+'B5. Last Mile Delivery'!W16</f>
        <v>#N/A</v>
      </c>
      <c r="H16" s="300" t="e">
        <f ca="1">H15+'B5. Last Mile Delivery'!X16</f>
        <v>#N/A</v>
      </c>
      <c r="I16" s="300" t="e">
        <f ca="1">I15+'B5. Last Mile Delivery'!Y16</f>
        <v>#N/A</v>
      </c>
      <c r="J16" s="300" t="e">
        <f ca="1">J15+'B5. Last Mile Delivery'!Z16</f>
        <v>#N/A</v>
      </c>
      <c r="K16" s="300" t="e">
        <f ca="1">K15+'B5. Last Mile Delivery'!AA16</f>
        <v>#N/A</v>
      </c>
      <c r="L16" s="300" t="e">
        <f ca="1">L15+'B5. Last Mile Delivery'!AB16</f>
        <v>#N/A</v>
      </c>
      <c r="N16" s="403"/>
      <c r="O16" s="403"/>
      <c r="P16" s="403"/>
      <c r="Q16" s="403" t="s">
        <v>3053</v>
      </c>
      <c r="R16" s="403"/>
      <c r="S16" s="403"/>
      <c r="T16" s="403"/>
      <c r="U16" s="403"/>
      <c r="V16" s="403"/>
      <c r="W16" s="403"/>
      <c r="X16" s="403"/>
      <c r="Y16" s="403"/>
      <c r="Z16" s="403"/>
      <c r="AA16" s="403"/>
      <c r="AB16" s="403"/>
      <c r="AC16" s="564"/>
      <c r="AD16" s="403"/>
      <c r="AE16" s="403"/>
      <c r="AF16" s="403" t="s">
        <v>5232</v>
      </c>
      <c r="AG16" s="403"/>
      <c r="AH16" s="403"/>
      <c r="AI16" s="403"/>
      <c r="AJ16" s="403"/>
      <c r="AK16" s="403"/>
      <c r="AL16" s="403"/>
      <c r="AM16" s="403"/>
      <c r="AN16" s="403"/>
      <c r="AO16" s="403"/>
      <c r="AP16" s="403"/>
      <c r="AQ16" s="403"/>
      <c r="AR16" s="403"/>
      <c r="AS16" s="403"/>
      <c r="AT16" s="403"/>
      <c r="AU16" s="403" t="s">
        <v>5259</v>
      </c>
      <c r="AV16" s="403"/>
      <c r="AW16" s="403"/>
      <c r="AX16" s="403"/>
      <c r="AY16" s="403"/>
      <c r="AZ16" s="403"/>
      <c r="BA16" s="403"/>
      <c r="BB16" s="403"/>
      <c r="BC16" s="403"/>
      <c r="BD16" s="403"/>
      <c r="BE16" s="403"/>
      <c r="BF16" s="403"/>
      <c r="BG16" s="403"/>
      <c r="BH16" s="403"/>
      <c r="BI16" s="403"/>
      <c r="BJ16" s="403" t="s">
        <v>12499</v>
      </c>
      <c r="BK16" s="403"/>
      <c r="BL16" s="403"/>
      <c r="BM16" s="403"/>
      <c r="BN16" s="403"/>
      <c r="BO16" s="403"/>
      <c r="BP16" s="403"/>
      <c r="BQ16" s="403"/>
      <c r="BR16" s="403"/>
      <c r="BS16" s="403"/>
      <c r="BT16" s="403"/>
      <c r="BU16" s="403"/>
      <c r="BV16" s="403"/>
      <c r="BW16" s="403"/>
      <c r="BX16" s="403"/>
      <c r="BY16" s="403" t="s">
        <v>5290</v>
      </c>
      <c r="BZ16" s="403"/>
      <c r="CA16" s="403"/>
      <c r="CB16" s="403"/>
      <c r="CC16" s="403"/>
      <c r="CD16" s="403"/>
      <c r="CE16" s="403"/>
      <c r="CF16" s="403"/>
      <c r="CG16" s="403"/>
      <c r="CH16" s="403"/>
      <c r="CI16" s="403"/>
      <c r="CJ16" s="403"/>
      <c r="CK16" s="403"/>
      <c r="CL16" s="403"/>
      <c r="CM16" s="403"/>
      <c r="CN16" s="403" t="s">
        <v>5199</v>
      </c>
      <c r="CO16" s="403"/>
      <c r="CP16" s="403"/>
      <c r="CQ16" s="403"/>
      <c r="CR16" s="403"/>
      <c r="CS16" s="403"/>
      <c r="CT16" s="403"/>
      <c r="CU16" s="403"/>
      <c r="CV16" s="403"/>
      <c r="CW16" s="403"/>
      <c r="CX16" s="403"/>
      <c r="CY16" s="403"/>
      <c r="CZ16" s="403"/>
      <c r="DA16" s="403"/>
      <c r="DB16" s="403"/>
      <c r="DC16" s="403" t="s">
        <v>5224</v>
      </c>
      <c r="DD16" s="403"/>
      <c r="DE16" s="403"/>
      <c r="DF16" s="403"/>
      <c r="DG16" s="403"/>
      <c r="DH16" s="403"/>
      <c r="DI16" s="403"/>
      <c r="DJ16" s="403"/>
      <c r="DK16" s="403"/>
      <c r="DL16" s="403"/>
      <c r="DM16" s="403"/>
      <c r="DN16" s="403"/>
    </row>
    <row r="17" spans="1:118" s="241" customFormat="1" x14ac:dyDescent="0.2">
      <c r="C17" s="5" t="str">
        <f ca="1">IF(OFFSET(Q17,0,Lang_Order*Lang__R1)="","",OFFSET(Q17,0,Lang_Order*Lang__R1))</f>
        <v>Lower Variant</v>
      </c>
      <c r="D17" s="37" t="e">
        <f t="shared" si="2"/>
        <v>#N/A</v>
      </c>
      <c r="E17" s="37"/>
      <c r="F17" s="37"/>
      <c r="G17" s="37" t="e">
        <f>G15-'B5. Last Mile Delivery'!W18</f>
        <v>#N/A</v>
      </c>
      <c r="H17" s="300" t="e">
        <f ca="1">H15-'B5. Last Mile Delivery'!X18</f>
        <v>#N/A</v>
      </c>
      <c r="I17" s="300" t="e">
        <f ca="1">I15-'B5. Last Mile Delivery'!Y18</f>
        <v>#N/A</v>
      </c>
      <c r="J17" s="300" t="e">
        <f ca="1">J15-'B5. Last Mile Delivery'!Z18</f>
        <v>#N/A</v>
      </c>
      <c r="K17" s="300" t="e">
        <f ca="1">K15-'B5. Last Mile Delivery'!AA18</f>
        <v>#N/A</v>
      </c>
      <c r="L17" s="300" t="e">
        <f ca="1">L15-'B5. Last Mile Delivery'!AB18</f>
        <v>#N/A</v>
      </c>
      <c r="N17" s="403"/>
      <c r="O17" s="403"/>
      <c r="P17" s="403"/>
      <c r="Q17" s="403" t="s">
        <v>3054</v>
      </c>
      <c r="R17" s="403"/>
      <c r="S17" s="403"/>
      <c r="T17" s="403"/>
      <c r="U17" s="403"/>
      <c r="V17" s="403"/>
      <c r="W17" s="403"/>
      <c r="X17" s="403"/>
      <c r="Y17" s="403"/>
      <c r="Z17" s="403"/>
      <c r="AA17" s="403"/>
      <c r="AB17" s="403"/>
      <c r="AC17" s="564"/>
      <c r="AD17" s="403"/>
      <c r="AE17" s="403"/>
      <c r="AF17" s="403" t="s">
        <v>5233</v>
      </c>
      <c r="AG17" s="403"/>
      <c r="AH17" s="403"/>
      <c r="AI17" s="403"/>
      <c r="AJ17" s="403"/>
      <c r="AK17" s="403"/>
      <c r="AL17" s="403"/>
      <c r="AM17" s="403"/>
      <c r="AN17" s="403"/>
      <c r="AO17" s="403"/>
      <c r="AP17" s="403"/>
      <c r="AQ17" s="403"/>
      <c r="AR17" s="403"/>
      <c r="AS17" s="403"/>
      <c r="AT17" s="403"/>
      <c r="AU17" s="403" t="s">
        <v>5260</v>
      </c>
      <c r="AV17" s="403"/>
      <c r="AW17" s="403"/>
      <c r="AX17" s="403"/>
      <c r="AY17" s="403"/>
      <c r="AZ17" s="403"/>
      <c r="BA17" s="403"/>
      <c r="BB17" s="403"/>
      <c r="BC17" s="403"/>
      <c r="BD17" s="403"/>
      <c r="BE17" s="403"/>
      <c r="BF17" s="403"/>
      <c r="BG17" s="403"/>
      <c r="BH17" s="403"/>
      <c r="BI17" s="403"/>
      <c r="BJ17" s="403" t="s">
        <v>12500</v>
      </c>
      <c r="BK17" s="403"/>
      <c r="BL17" s="403"/>
      <c r="BM17" s="403"/>
      <c r="BN17" s="403"/>
      <c r="BO17" s="403"/>
      <c r="BP17" s="403"/>
      <c r="BQ17" s="403"/>
      <c r="BR17" s="403"/>
      <c r="BS17" s="403"/>
      <c r="BT17" s="403"/>
      <c r="BU17" s="403"/>
      <c r="BV17" s="403"/>
      <c r="BW17" s="403"/>
      <c r="BX17" s="403"/>
      <c r="BY17" s="403" t="s">
        <v>5291</v>
      </c>
      <c r="BZ17" s="403"/>
      <c r="CA17" s="403"/>
      <c r="CB17" s="403"/>
      <c r="CC17" s="403"/>
      <c r="CD17" s="403"/>
      <c r="CE17" s="403"/>
      <c r="CF17" s="403"/>
      <c r="CG17" s="403"/>
      <c r="CH17" s="403"/>
      <c r="CI17" s="403"/>
      <c r="CJ17" s="403"/>
      <c r="CK17" s="403"/>
      <c r="CL17" s="403"/>
      <c r="CM17" s="403"/>
      <c r="CN17" s="403" t="s">
        <v>5200</v>
      </c>
      <c r="CO17" s="403"/>
      <c r="CP17" s="403"/>
      <c r="CQ17" s="403"/>
      <c r="CR17" s="403"/>
      <c r="CS17" s="403"/>
      <c r="CT17" s="403"/>
      <c r="CU17" s="403"/>
      <c r="CV17" s="403"/>
      <c r="CW17" s="403"/>
      <c r="CX17" s="403"/>
      <c r="CY17" s="403"/>
      <c r="CZ17" s="403"/>
      <c r="DA17" s="403"/>
      <c r="DB17" s="403"/>
      <c r="DC17" s="403" t="s">
        <v>5225</v>
      </c>
      <c r="DD17" s="403"/>
      <c r="DE17" s="403"/>
      <c r="DF17" s="403"/>
      <c r="DG17" s="403"/>
      <c r="DH17" s="403"/>
      <c r="DI17" s="403"/>
      <c r="DJ17" s="403"/>
      <c r="DK17" s="403"/>
      <c r="DL17" s="403"/>
      <c r="DM17" s="403"/>
      <c r="DN17" s="403"/>
    </row>
    <row r="18" spans="1:118" s="241" customFormat="1" x14ac:dyDescent="0.2">
      <c r="N18" s="403"/>
      <c r="O18" s="403"/>
      <c r="P18" s="403"/>
      <c r="Q18" s="403"/>
      <c r="R18" s="403"/>
      <c r="S18" s="403"/>
      <c r="T18" s="403"/>
      <c r="U18" s="403"/>
      <c r="V18" s="403"/>
      <c r="W18" s="403"/>
      <c r="X18" s="403"/>
      <c r="Y18" s="403"/>
      <c r="Z18" s="403"/>
      <c r="AA18" s="403"/>
      <c r="AB18" s="403"/>
      <c r="AC18" s="564"/>
      <c r="AD18" s="403"/>
      <c r="AE18" s="403"/>
      <c r="AF18" s="403"/>
      <c r="AG18" s="403"/>
      <c r="AH18" s="403"/>
      <c r="AI18" s="403"/>
      <c r="AJ18" s="403"/>
      <c r="AK18" s="403"/>
      <c r="AL18" s="403"/>
      <c r="AM18" s="403"/>
      <c r="AN18" s="403"/>
      <c r="AO18" s="403"/>
      <c r="AP18" s="403"/>
      <c r="AQ18" s="403"/>
      <c r="AR18" s="403"/>
      <c r="AS18" s="403"/>
      <c r="AT18" s="403"/>
      <c r="AU18" s="403"/>
      <c r="AV18" s="403"/>
      <c r="AW18" s="403"/>
      <c r="AX18" s="403"/>
      <c r="AY18" s="403"/>
      <c r="AZ18" s="403"/>
      <c r="BA18" s="403"/>
      <c r="BB18" s="403"/>
      <c r="BC18" s="403"/>
      <c r="BD18" s="403"/>
      <c r="BE18" s="403"/>
      <c r="BF18" s="403"/>
      <c r="BG18" s="403"/>
      <c r="BH18" s="403"/>
      <c r="BI18" s="403"/>
      <c r="BJ18" s="403"/>
      <c r="BK18" s="403"/>
      <c r="BL18" s="403"/>
      <c r="BM18" s="403"/>
      <c r="BN18" s="403"/>
      <c r="BO18" s="403"/>
      <c r="BP18" s="403"/>
      <c r="BQ18" s="403"/>
      <c r="BR18" s="403"/>
      <c r="BS18" s="403"/>
      <c r="BT18" s="403"/>
      <c r="BU18" s="403"/>
      <c r="BV18" s="403"/>
      <c r="BW18" s="403"/>
      <c r="BX18" s="403"/>
      <c r="BY18" s="403"/>
      <c r="BZ18" s="403"/>
      <c r="CA18" s="403"/>
      <c r="CB18" s="403"/>
      <c r="CC18" s="403"/>
      <c r="CD18" s="403"/>
      <c r="CE18" s="403"/>
      <c r="CF18" s="403"/>
      <c r="CG18" s="403"/>
      <c r="CH18" s="403"/>
      <c r="CI18" s="403"/>
      <c r="CJ18" s="403"/>
      <c r="CK18" s="403"/>
      <c r="CL18" s="403"/>
      <c r="CM18" s="403"/>
      <c r="CN18" s="403"/>
      <c r="CO18" s="403"/>
      <c r="CP18" s="403"/>
      <c r="CQ18" s="403"/>
      <c r="CR18" s="403"/>
      <c r="CS18" s="403"/>
      <c r="CT18" s="403"/>
      <c r="CU18" s="403"/>
      <c r="CV18" s="403"/>
      <c r="CW18" s="403"/>
      <c r="CX18" s="403"/>
      <c r="CY18" s="403"/>
      <c r="CZ18" s="403"/>
      <c r="DA18" s="403"/>
      <c r="DB18" s="403"/>
      <c r="DC18" s="403"/>
      <c r="DD18" s="403"/>
      <c r="DE18" s="403"/>
      <c r="DF18" s="403"/>
      <c r="DG18" s="403"/>
      <c r="DH18" s="403"/>
      <c r="DI18" s="403"/>
      <c r="DJ18" s="403"/>
      <c r="DK18" s="403"/>
      <c r="DL18" s="403"/>
      <c r="DM18" s="403"/>
      <c r="DN18" s="403"/>
    </row>
    <row r="19" spans="1:118" s="122" customFormat="1" x14ac:dyDescent="0.2">
      <c r="A19" s="543"/>
      <c r="C19" s="105" t="str">
        <f ca="1">IF(OFFSET(Q19,0,Lang_Order*Lang__R1)="","",OFFSET(Q19,0,Lang_Order*Lang__R1))</f>
        <v>per dose (wastage assumption applied)</v>
      </c>
      <c r="D19" s="160" t="e">
        <f>D15/'B2. Vaccines and Supplies'!L95</f>
        <v>#N/A</v>
      </c>
      <c r="E19" s="160"/>
      <c r="F19" s="158"/>
      <c r="G19" s="160" t="e">
        <f>IF('B4. Domestic Logistics'!J37=1,G15/'B2. Vaccines and Supplies'!F95,"")</f>
        <v>#N/A</v>
      </c>
      <c r="H19" s="160" t="e">
        <f>IF('B4. Domestic Logistics'!K37=1,H15/'B2. Vaccines and Supplies'!G95,"")</f>
        <v>#N/A</v>
      </c>
      <c r="I19" s="160" t="e">
        <f>IF('B4. Domestic Logistics'!L37=1,I15/'B2. Vaccines and Supplies'!H95,"")</f>
        <v>#N/A</v>
      </c>
      <c r="J19" s="160" t="e">
        <f>IF('B4. Domestic Logistics'!M37=1,J15/'B2. Vaccines and Supplies'!I95,"")</f>
        <v>#N/A</v>
      </c>
      <c r="K19" s="160" t="e">
        <f>IF('B4. Domestic Logistics'!N37=1,K15/'B2. Vaccines and Supplies'!J95,"")</f>
        <v>#N/A</v>
      </c>
      <c r="L19" s="160" t="e">
        <f>IF('B4. Domestic Logistics'!O37=1,L15/'B2. Vaccines and Supplies'!K95,"")</f>
        <v>#N/A</v>
      </c>
      <c r="N19" s="403"/>
      <c r="O19" s="403"/>
      <c r="P19" s="403"/>
      <c r="Q19" s="403" t="s">
        <v>13169</v>
      </c>
      <c r="R19" s="403"/>
      <c r="S19" s="403"/>
      <c r="T19" s="403"/>
      <c r="U19" s="403"/>
      <c r="V19" s="403"/>
      <c r="W19" s="403"/>
      <c r="X19" s="403"/>
      <c r="Y19" s="403"/>
      <c r="Z19" s="403"/>
      <c r="AA19" s="403"/>
      <c r="AB19" s="403"/>
      <c r="AC19" s="564"/>
      <c r="AD19" s="403"/>
      <c r="AE19" s="403"/>
      <c r="AF19" s="403" t="s">
        <v>13170</v>
      </c>
      <c r="AG19" s="403"/>
      <c r="AH19" s="403"/>
      <c r="AI19" s="403"/>
      <c r="AJ19" s="403"/>
      <c r="AK19" s="403"/>
      <c r="AL19" s="403"/>
      <c r="AM19" s="403"/>
      <c r="AN19" s="403"/>
      <c r="AO19" s="403"/>
      <c r="AP19" s="403"/>
      <c r="AQ19" s="403"/>
      <c r="AR19" s="403"/>
      <c r="AS19" s="403"/>
      <c r="AU19" s="403" t="s">
        <v>13171</v>
      </c>
      <c r="AV19" s="403"/>
      <c r="AW19" s="403"/>
      <c r="AX19" s="403"/>
      <c r="AY19" s="403"/>
      <c r="AZ19" s="403"/>
      <c r="BA19" s="403"/>
      <c r="BB19" s="403"/>
      <c r="BC19" s="403"/>
      <c r="BD19" s="403"/>
      <c r="BE19" s="403"/>
      <c r="BF19" s="403"/>
      <c r="BG19" s="403"/>
      <c r="BI19" s="403"/>
      <c r="BJ19" s="403" t="s">
        <v>13172</v>
      </c>
      <c r="BK19" s="403"/>
      <c r="BL19" s="403"/>
      <c r="BM19" s="403"/>
      <c r="BN19" s="403"/>
      <c r="BO19" s="403"/>
      <c r="BP19" s="403"/>
      <c r="BQ19" s="403"/>
      <c r="BR19" s="403"/>
      <c r="BS19" s="403"/>
      <c r="BT19" s="403"/>
      <c r="BU19" s="403"/>
      <c r="BW19" s="403"/>
      <c r="BX19" s="403"/>
      <c r="BY19" s="403" t="s">
        <v>13173</v>
      </c>
      <c r="BZ19" s="403"/>
      <c r="CA19" s="403"/>
      <c r="CB19" s="403"/>
      <c r="CC19" s="403"/>
      <c r="CD19" s="403"/>
      <c r="CE19" s="403"/>
      <c r="CF19" s="403"/>
      <c r="CG19" s="403"/>
      <c r="CH19" s="403"/>
      <c r="CI19" s="403"/>
      <c r="CK19" s="403"/>
      <c r="CL19" s="403"/>
      <c r="CM19" s="403"/>
      <c r="CN19" s="403" t="s">
        <v>13174</v>
      </c>
      <c r="CO19" s="403"/>
      <c r="CP19" s="403"/>
      <c r="CQ19" s="403"/>
      <c r="CR19" s="403"/>
      <c r="CS19" s="403"/>
      <c r="CT19" s="403"/>
      <c r="CU19" s="403"/>
      <c r="CV19" s="403"/>
      <c r="CW19" s="403"/>
      <c r="CY19" s="403"/>
      <c r="CZ19" s="403"/>
      <c r="DA19" s="403"/>
      <c r="DB19" s="403"/>
      <c r="DC19" s="403" t="s">
        <v>13175</v>
      </c>
      <c r="DD19" s="403"/>
      <c r="DE19" s="403"/>
      <c r="DF19" s="403"/>
      <c r="DG19" s="403"/>
      <c r="DH19" s="403"/>
      <c r="DI19" s="403"/>
      <c r="DJ19" s="403"/>
      <c r="DK19" s="403"/>
      <c r="DL19" s="403"/>
      <c r="DM19" s="403"/>
      <c r="DN19" s="403"/>
    </row>
    <row r="20" spans="1:118" s="122" customFormat="1" x14ac:dyDescent="0.2">
      <c r="A20" s="567"/>
      <c r="C20" s="618" t="str">
        <f ca="1">IF(OFFSET(Q20,0,Lang_Order*Lang__R1)="","",OFFSET(Q20,0,Lang_Order*Lang__R1))</f>
        <v>per primary course completed (assumes perfect uptake of 2nd dose; medium variant)</v>
      </c>
      <c r="D20" s="160" t="e">
        <f>D15/'B1. Target Population'!J178</f>
        <v>#N/A</v>
      </c>
      <c r="E20" s="160"/>
      <c r="F20" s="158"/>
      <c r="G20" s="160" t="e">
        <f>IF('B4. Domestic Logistics'!J37=1,G15/'B1. Target Population'!D178,"")</f>
        <v>#N/A</v>
      </c>
      <c r="H20" s="160" t="e">
        <f>IF('B4. Domestic Logistics'!K37=1,H15/'B1. Target Population'!E178,"")</f>
        <v>#N/A</v>
      </c>
      <c r="I20" s="160" t="e">
        <f>IF('B4. Domestic Logistics'!L37=1,I15/'B1. Target Population'!F178,"")</f>
        <v>#N/A</v>
      </c>
      <c r="J20" s="160" t="e">
        <f>IF('B4. Domestic Logistics'!M37=1,J15/'B1. Target Population'!G178,"")</f>
        <v>#N/A</v>
      </c>
      <c r="K20" s="160" t="e">
        <f>IF('B4. Domestic Logistics'!N37=1,K15/'B1. Target Population'!H178,"")</f>
        <v>#N/A</v>
      </c>
      <c r="L20" s="160" t="e">
        <f>IF('B4. Domestic Logistics'!O37=1,L15/'B1. Target Population'!I178,"")</f>
        <v>#N/A</v>
      </c>
      <c r="N20" s="403"/>
      <c r="O20" s="403"/>
      <c r="P20" s="403"/>
      <c r="Q20" s="403" t="s">
        <v>14283</v>
      </c>
      <c r="R20" s="403"/>
      <c r="S20" s="403"/>
      <c r="T20" s="403"/>
      <c r="U20" s="403"/>
      <c r="V20" s="403"/>
      <c r="W20" s="403"/>
      <c r="X20" s="403"/>
      <c r="Y20" s="403"/>
      <c r="Z20" s="403"/>
      <c r="AA20" s="403"/>
      <c r="AB20" s="403"/>
      <c r="AC20" s="564"/>
      <c r="AD20" s="403"/>
      <c r="AE20" s="403"/>
      <c r="AF20" s="403" t="s">
        <v>14735</v>
      </c>
      <c r="AG20" s="403"/>
      <c r="AH20" s="403"/>
      <c r="AI20" s="403"/>
      <c r="AJ20" s="403"/>
      <c r="AK20" s="403"/>
      <c r="AL20" s="403"/>
      <c r="AM20" s="403"/>
      <c r="AN20" s="403"/>
      <c r="AO20" s="403"/>
      <c r="AP20" s="403"/>
      <c r="AQ20" s="403"/>
      <c r="AR20" s="403"/>
      <c r="AS20" s="403"/>
      <c r="AU20" s="403" t="s">
        <v>14736</v>
      </c>
      <c r="AV20" s="403"/>
      <c r="AW20" s="403"/>
      <c r="AX20" s="403"/>
      <c r="AY20" s="403"/>
      <c r="AZ20" s="403"/>
      <c r="BA20" s="403"/>
      <c r="BB20" s="403"/>
      <c r="BC20" s="403"/>
      <c r="BD20" s="403"/>
      <c r="BE20" s="403"/>
      <c r="BF20" s="403"/>
      <c r="BG20" s="403"/>
      <c r="BI20" s="403"/>
      <c r="BJ20" s="403" t="s">
        <v>14737</v>
      </c>
      <c r="BK20" s="403"/>
      <c r="BL20" s="403"/>
      <c r="BM20" s="403"/>
      <c r="BN20" s="403"/>
      <c r="BO20" s="403"/>
      <c r="BP20" s="403"/>
      <c r="BQ20" s="403"/>
      <c r="BR20" s="403"/>
      <c r="BS20" s="403"/>
      <c r="BT20" s="403"/>
      <c r="BU20" s="403"/>
      <c r="BW20" s="403"/>
      <c r="BX20" s="403"/>
      <c r="BY20" s="403" t="s">
        <v>14738</v>
      </c>
      <c r="BZ20" s="403"/>
      <c r="CA20" s="403"/>
      <c r="CB20" s="403"/>
      <c r="CC20" s="403"/>
      <c r="CD20" s="403"/>
      <c r="CE20" s="403"/>
      <c r="CF20" s="403"/>
      <c r="CG20" s="403"/>
      <c r="CH20" s="403"/>
      <c r="CI20" s="403"/>
      <c r="CK20" s="403"/>
      <c r="CL20" s="403"/>
      <c r="CM20" s="403"/>
      <c r="CN20" s="403" t="s">
        <v>14739</v>
      </c>
      <c r="CO20" s="403"/>
      <c r="CP20" s="403"/>
      <c r="CQ20" s="403"/>
      <c r="CR20" s="403"/>
      <c r="CS20" s="403"/>
      <c r="CT20" s="403"/>
      <c r="CU20" s="403"/>
      <c r="CV20" s="403"/>
      <c r="CW20" s="403"/>
      <c r="CY20" s="403"/>
      <c r="CZ20" s="403"/>
      <c r="DA20" s="403"/>
      <c r="DB20" s="403"/>
      <c r="DC20" s="403" t="s">
        <v>14740</v>
      </c>
      <c r="DD20" s="403"/>
      <c r="DE20" s="403"/>
      <c r="DF20" s="403"/>
      <c r="DG20" s="403"/>
      <c r="DH20" s="403"/>
      <c r="DI20" s="403"/>
      <c r="DJ20" s="403"/>
      <c r="DK20" s="403"/>
      <c r="DL20" s="403"/>
      <c r="DM20" s="403"/>
      <c r="DN20" s="403"/>
    </row>
    <row r="21" spans="1:118" s="150" customFormat="1" x14ac:dyDescent="0.2">
      <c r="C21" s="31" t="str">
        <f ca="1">IF(OFFSET(Q21,0,Lang_Order*Lang__R1)="","",OFFSET(Q21,0,Lang_Order*Lang__R1))</f>
        <v>(medium variant) …. cumulative</v>
      </c>
      <c r="D21" s="160"/>
      <c r="E21" s="160"/>
      <c r="F21" s="158"/>
      <c r="G21" s="158" t="e">
        <f>G15</f>
        <v>#N/A</v>
      </c>
      <c r="H21" s="158" t="e">
        <f ca="1">G21+H15</f>
        <v>#N/A</v>
      </c>
      <c r="I21" s="158" t="e">
        <f t="shared" ref="I21:L21" ca="1" si="3">H21+I15</f>
        <v>#N/A</v>
      </c>
      <c r="J21" s="158" t="e">
        <f t="shared" ca="1" si="3"/>
        <v>#N/A</v>
      </c>
      <c r="K21" s="158" t="e">
        <f t="shared" ca="1" si="3"/>
        <v>#N/A</v>
      </c>
      <c r="L21" s="158" t="e">
        <f t="shared" ca="1" si="3"/>
        <v>#N/A</v>
      </c>
      <c r="N21" s="403"/>
      <c r="O21" s="403"/>
      <c r="P21" s="403"/>
      <c r="Q21" s="403" t="s">
        <v>3050</v>
      </c>
      <c r="R21" s="403"/>
      <c r="S21" s="403"/>
      <c r="T21" s="403"/>
      <c r="U21" s="403"/>
      <c r="V21" s="403"/>
      <c r="W21" s="403"/>
      <c r="X21" s="403"/>
      <c r="Y21" s="403"/>
      <c r="Z21" s="403"/>
      <c r="AA21" s="403"/>
      <c r="AB21" s="403"/>
      <c r="AC21" s="564"/>
      <c r="AD21" s="403"/>
      <c r="AE21" s="403"/>
      <c r="AF21" s="403" t="s">
        <v>12501</v>
      </c>
      <c r="AG21" s="403"/>
      <c r="AH21" s="403"/>
      <c r="AI21" s="403"/>
      <c r="AJ21" s="403"/>
      <c r="AK21" s="403"/>
      <c r="AL21" s="403"/>
      <c r="AM21" s="403"/>
      <c r="AN21" s="403"/>
      <c r="AO21" s="403"/>
      <c r="AP21" s="403"/>
      <c r="AQ21" s="403"/>
      <c r="AR21" s="403"/>
      <c r="AS21" s="403"/>
      <c r="AT21" s="403"/>
      <c r="AU21" s="403" t="s">
        <v>12502</v>
      </c>
      <c r="AV21" s="403"/>
      <c r="AW21" s="403"/>
      <c r="AX21" s="403"/>
      <c r="AY21" s="403"/>
      <c r="AZ21" s="403"/>
      <c r="BA21" s="403"/>
      <c r="BB21" s="403"/>
      <c r="BC21" s="403"/>
      <c r="BD21" s="403"/>
      <c r="BE21" s="403"/>
      <c r="BF21" s="403"/>
      <c r="BG21" s="403"/>
      <c r="BH21" s="403"/>
      <c r="BI21" s="403"/>
      <c r="BJ21" s="403" t="s">
        <v>12503</v>
      </c>
      <c r="BK21" s="403"/>
      <c r="BL21" s="403"/>
      <c r="BM21" s="403"/>
      <c r="BN21" s="403"/>
      <c r="BO21" s="403"/>
      <c r="BP21" s="403"/>
      <c r="BQ21" s="403"/>
      <c r="BR21" s="403"/>
      <c r="BS21" s="403"/>
      <c r="BT21" s="403"/>
      <c r="BU21" s="403"/>
      <c r="BV21" s="403"/>
      <c r="BW21" s="403"/>
      <c r="BX21" s="403"/>
      <c r="BY21" s="403" t="s">
        <v>12504</v>
      </c>
      <c r="BZ21" s="403"/>
      <c r="CA21" s="403"/>
      <c r="CB21" s="403"/>
      <c r="CC21" s="403"/>
      <c r="CD21" s="403"/>
      <c r="CE21" s="403"/>
      <c r="CF21" s="403"/>
      <c r="CG21" s="403"/>
      <c r="CH21" s="403"/>
      <c r="CI21" s="403"/>
      <c r="CJ21" s="403"/>
      <c r="CK21" s="403"/>
      <c r="CL21" s="403"/>
      <c r="CM21" s="403"/>
      <c r="CN21" s="403" t="s">
        <v>12505</v>
      </c>
      <c r="CO21" s="403"/>
      <c r="CP21" s="403"/>
      <c r="CQ21" s="403"/>
      <c r="CR21" s="403"/>
      <c r="CS21" s="403"/>
      <c r="CT21" s="403"/>
      <c r="CU21" s="403"/>
      <c r="CV21" s="403"/>
      <c r="CW21" s="403"/>
      <c r="CX21" s="403"/>
      <c r="CY21" s="403"/>
      <c r="CZ21" s="403"/>
      <c r="DA21" s="403"/>
      <c r="DB21" s="403"/>
      <c r="DC21" s="403" t="s">
        <v>12506</v>
      </c>
      <c r="DD21" s="403"/>
      <c r="DE21" s="403"/>
      <c r="DF21" s="403"/>
      <c r="DG21" s="403"/>
      <c r="DH21" s="403"/>
      <c r="DI21" s="403"/>
      <c r="DJ21" s="403"/>
      <c r="DK21" s="403"/>
      <c r="DL21" s="403"/>
      <c r="DM21" s="403"/>
      <c r="DN21" s="403"/>
    </row>
    <row r="22" spans="1:118" s="241" customFormat="1" x14ac:dyDescent="0.2">
      <c r="C22" s="31" t="str">
        <f ca="1">IF(OFFSET(Q22,0,Lang_Order*Lang__R1)="","",OFFSET(Q22,0,Lang_Order*Lang__R1))</f>
        <v>(upper variant) …. cumulative</v>
      </c>
      <c r="D22" s="160"/>
      <c r="E22" s="160"/>
      <c r="F22" s="158"/>
      <c r="G22" s="158" t="e">
        <f t="shared" ref="G22:G23" si="4">G16</f>
        <v>#N/A</v>
      </c>
      <c r="H22" s="158" t="e">
        <f t="shared" ref="H22:H23" ca="1" si="5">G22+H16</f>
        <v>#N/A</v>
      </c>
      <c r="I22" s="158" t="e">
        <f t="shared" ref="I22:I23" ca="1" si="6">H22+I16</f>
        <v>#N/A</v>
      </c>
      <c r="J22" s="158" t="e">
        <f t="shared" ref="J22:J23" ca="1" si="7">I22+J16</f>
        <v>#N/A</v>
      </c>
      <c r="K22" s="158" t="e">
        <f t="shared" ref="K22:K23" ca="1" si="8">J22+K16</f>
        <v>#N/A</v>
      </c>
      <c r="L22" s="158" t="e">
        <f t="shared" ref="L22:L23" ca="1" si="9">K22+L16</f>
        <v>#N/A</v>
      </c>
      <c r="N22" s="403"/>
      <c r="O22" s="403"/>
      <c r="P22" s="403"/>
      <c r="Q22" s="403" t="s">
        <v>3051</v>
      </c>
      <c r="R22" s="403"/>
      <c r="S22" s="403"/>
      <c r="T22" s="403"/>
      <c r="U22" s="403"/>
      <c r="V22" s="403"/>
      <c r="W22" s="403"/>
      <c r="X22" s="403"/>
      <c r="Y22" s="403"/>
      <c r="Z22" s="403"/>
      <c r="AA22" s="403"/>
      <c r="AB22" s="403"/>
      <c r="AC22" s="564"/>
      <c r="AD22" s="403"/>
      <c r="AE22" s="403"/>
      <c r="AF22" s="403" t="s">
        <v>12507</v>
      </c>
      <c r="AG22" s="403"/>
      <c r="AH22" s="403"/>
      <c r="AI22" s="403"/>
      <c r="AJ22" s="403"/>
      <c r="AK22" s="403"/>
      <c r="AL22" s="403"/>
      <c r="AM22" s="403"/>
      <c r="AN22" s="403"/>
      <c r="AO22" s="403"/>
      <c r="AP22" s="403"/>
      <c r="AQ22" s="403"/>
      <c r="AR22" s="403"/>
      <c r="AS22" s="403"/>
      <c r="AT22" s="403"/>
      <c r="AU22" s="403" t="s">
        <v>12508</v>
      </c>
      <c r="AV22" s="403"/>
      <c r="AW22" s="403"/>
      <c r="AX22" s="403"/>
      <c r="AY22" s="403"/>
      <c r="AZ22" s="403"/>
      <c r="BA22" s="403"/>
      <c r="BB22" s="403"/>
      <c r="BC22" s="403"/>
      <c r="BD22" s="403"/>
      <c r="BE22" s="403"/>
      <c r="BF22" s="403"/>
      <c r="BG22" s="403"/>
      <c r="BH22" s="403"/>
      <c r="BI22" s="403"/>
      <c r="BJ22" s="403" t="s">
        <v>12509</v>
      </c>
      <c r="BK22" s="403"/>
      <c r="BL22" s="403"/>
      <c r="BM22" s="403"/>
      <c r="BN22" s="403"/>
      <c r="BO22" s="403"/>
      <c r="BP22" s="403"/>
      <c r="BQ22" s="403"/>
      <c r="BR22" s="403"/>
      <c r="BS22" s="403"/>
      <c r="BT22" s="403"/>
      <c r="BU22" s="403"/>
      <c r="BV22" s="403"/>
      <c r="BW22" s="403"/>
      <c r="BX22" s="403"/>
      <c r="BY22" s="403" t="s">
        <v>12510</v>
      </c>
      <c r="BZ22" s="403"/>
      <c r="CA22" s="403"/>
      <c r="CB22" s="403"/>
      <c r="CC22" s="403"/>
      <c r="CD22" s="403"/>
      <c r="CE22" s="403"/>
      <c r="CF22" s="403"/>
      <c r="CG22" s="403"/>
      <c r="CH22" s="403"/>
      <c r="CI22" s="403"/>
      <c r="CJ22" s="403"/>
      <c r="CK22" s="403"/>
      <c r="CL22" s="403"/>
      <c r="CM22" s="403"/>
      <c r="CN22" s="403" t="s">
        <v>12511</v>
      </c>
      <c r="CO22" s="403"/>
      <c r="CP22" s="403"/>
      <c r="CQ22" s="403"/>
      <c r="CR22" s="403"/>
      <c r="CS22" s="403"/>
      <c r="CT22" s="403"/>
      <c r="CU22" s="403"/>
      <c r="CV22" s="403"/>
      <c r="CW22" s="403"/>
      <c r="CX22" s="403"/>
      <c r="CY22" s="403"/>
      <c r="CZ22" s="403"/>
      <c r="DA22" s="403"/>
      <c r="DB22" s="403"/>
      <c r="DC22" s="403" t="s">
        <v>12512</v>
      </c>
      <c r="DD22" s="403"/>
      <c r="DE22" s="403"/>
      <c r="DF22" s="403"/>
      <c r="DG22" s="403"/>
      <c r="DH22" s="403"/>
      <c r="DI22" s="403"/>
      <c r="DJ22" s="403"/>
      <c r="DK22" s="403"/>
      <c r="DL22" s="403"/>
      <c r="DM22" s="403"/>
      <c r="DN22" s="403"/>
    </row>
    <row r="23" spans="1:118" s="241" customFormat="1" x14ac:dyDescent="0.2">
      <c r="C23" s="31" t="str">
        <f ca="1">IF(OFFSET(Q23,0,Lang_Order*Lang__R1)="","",OFFSET(Q23,0,Lang_Order*Lang__R1))</f>
        <v>(lower variant) …. cumulative</v>
      </c>
      <c r="D23" s="160"/>
      <c r="E23" s="160"/>
      <c r="F23" s="158"/>
      <c r="G23" s="158" t="e">
        <f t="shared" si="4"/>
        <v>#N/A</v>
      </c>
      <c r="H23" s="158" t="e">
        <f t="shared" ca="1" si="5"/>
        <v>#N/A</v>
      </c>
      <c r="I23" s="158" t="e">
        <f t="shared" ca="1" si="6"/>
        <v>#N/A</v>
      </c>
      <c r="J23" s="158" t="e">
        <f t="shared" ca="1" si="7"/>
        <v>#N/A</v>
      </c>
      <c r="K23" s="158" t="e">
        <f t="shared" ca="1" si="8"/>
        <v>#N/A</v>
      </c>
      <c r="L23" s="158" t="e">
        <f t="shared" ca="1" si="9"/>
        <v>#N/A</v>
      </c>
      <c r="N23" s="403"/>
      <c r="O23" s="403"/>
      <c r="P23" s="403"/>
      <c r="Q23" s="403" t="s">
        <v>3052</v>
      </c>
      <c r="R23" s="403"/>
      <c r="S23" s="403"/>
      <c r="T23" s="403"/>
      <c r="U23" s="403"/>
      <c r="V23" s="403"/>
      <c r="W23" s="403"/>
      <c r="X23" s="403"/>
      <c r="Y23" s="403"/>
      <c r="Z23" s="403"/>
      <c r="AA23" s="403"/>
      <c r="AB23" s="403"/>
      <c r="AC23" s="564"/>
      <c r="AD23" s="403"/>
      <c r="AE23" s="403"/>
      <c r="AF23" s="403" t="s">
        <v>12513</v>
      </c>
      <c r="AG23" s="403"/>
      <c r="AH23" s="403"/>
      <c r="AI23" s="403"/>
      <c r="AJ23" s="403"/>
      <c r="AK23" s="403"/>
      <c r="AL23" s="403"/>
      <c r="AM23" s="403"/>
      <c r="AN23" s="403"/>
      <c r="AO23" s="403"/>
      <c r="AP23" s="403"/>
      <c r="AQ23" s="403"/>
      <c r="AR23" s="403"/>
      <c r="AS23" s="403"/>
      <c r="AT23" s="403"/>
      <c r="AU23" s="403" t="s">
        <v>12514</v>
      </c>
      <c r="AV23" s="403"/>
      <c r="AW23" s="403"/>
      <c r="AX23" s="403"/>
      <c r="AY23" s="403"/>
      <c r="AZ23" s="403"/>
      <c r="BA23" s="403"/>
      <c r="BB23" s="403"/>
      <c r="BC23" s="403"/>
      <c r="BD23" s="403"/>
      <c r="BE23" s="403"/>
      <c r="BF23" s="403"/>
      <c r="BG23" s="403"/>
      <c r="BH23" s="403"/>
      <c r="BI23" s="403"/>
      <c r="BJ23" s="403" t="s">
        <v>12515</v>
      </c>
      <c r="BK23" s="403"/>
      <c r="BL23" s="403"/>
      <c r="BM23" s="403"/>
      <c r="BN23" s="403"/>
      <c r="BO23" s="403"/>
      <c r="BP23" s="403"/>
      <c r="BQ23" s="403"/>
      <c r="BR23" s="403"/>
      <c r="BS23" s="403"/>
      <c r="BT23" s="403"/>
      <c r="BU23" s="403"/>
      <c r="BV23" s="403"/>
      <c r="BW23" s="403"/>
      <c r="BX23" s="403"/>
      <c r="BY23" s="403" t="s">
        <v>12516</v>
      </c>
      <c r="BZ23" s="403"/>
      <c r="CA23" s="403"/>
      <c r="CB23" s="403"/>
      <c r="CC23" s="403"/>
      <c r="CD23" s="403"/>
      <c r="CE23" s="403"/>
      <c r="CF23" s="403"/>
      <c r="CG23" s="403"/>
      <c r="CH23" s="403"/>
      <c r="CI23" s="403"/>
      <c r="CJ23" s="403"/>
      <c r="CK23" s="403"/>
      <c r="CL23" s="403"/>
      <c r="CM23" s="403"/>
      <c r="CN23" s="403" t="s">
        <v>12517</v>
      </c>
      <c r="CO23" s="403"/>
      <c r="CP23" s="403"/>
      <c r="CQ23" s="403"/>
      <c r="CR23" s="403"/>
      <c r="CS23" s="403"/>
      <c r="CT23" s="403"/>
      <c r="CU23" s="403"/>
      <c r="CV23" s="403"/>
      <c r="CW23" s="403"/>
      <c r="CX23" s="403"/>
      <c r="CY23" s="403"/>
      <c r="CZ23" s="403"/>
      <c r="DA23" s="403"/>
      <c r="DB23" s="403"/>
      <c r="DC23" s="403" t="s">
        <v>12518</v>
      </c>
      <c r="DD23" s="403"/>
      <c r="DE23" s="403"/>
      <c r="DF23" s="403"/>
      <c r="DG23" s="403"/>
      <c r="DH23" s="403"/>
      <c r="DI23" s="403"/>
      <c r="DJ23" s="403"/>
      <c r="DK23" s="403"/>
      <c r="DL23" s="403"/>
      <c r="DM23" s="403"/>
      <c r="DN23" s="403"/>
    </row>
    <row r="24" spans="1:118" x14ac:dyDescent="0.2">
      <c r="C24" s="5"/>
      <c r="D24" s="37"/>
      <c r="E24" s="37"/>
      <c r="F24" s="37"/>
      <c r="G24" s="37"/>
      <c r="H24" s="37"/>
      <c r="I24" s="37"/>
      <c r="J24" s="37"/>
      <c r="K24" s="37"/>
      <c r="L24" s="37"/>
    </row>
    <row r="25" spans="1:118" ht="13.5" thickBot="1" x14ac:dyDescent="0.25">
      <c r="C25" s="190" t="str">
        <f ca="1">IF(OFFSET(Q25,0,Lang_Order*Lang__R1)="","",OFFSET(Q25,0,Lang_Order*Lang__R1))</f>
        <v>Grand Total (LCU)</v>
      </c>
      <c r="D25" s="161" t="e">
        <f>D15*USD2LCU</f>
        <v>#N/A</v>
      </c>
      <c r="E25" s="161">
        <f>LCU</f>
        <v>0</v>
      </c>
      <c r="F25" s="161"/>
      <c r="G25" s="161" t="e">
        <f t="shared" ref="G25:L25" si="10">G15*USD2LCU</f>
        <v>#N/A</v>
      </c>
      <c r="H25" s="161" t="e">
        <f t="shared" ca="1" si="10"/>
        <v>#N/A</v>
      </c>
      <c r="I25" s="161" t="e">
        <f t="shared" ca="1" si="10"/>
        <v>#N/A</v>
      </c>
      <c r="J25" s="161" t="e">
        <f t="shared" ca="1" si="10"/>
        <v>#N/A</v>
      </c>
      <c r="K25" s="161" t="e">
        <f t="shared" ca="1" si="10"/>
        <v>#N/A</v>
      </c>
      <c r="L25" s="161" t="e">
        <f t="shared" ca="1" si="10"/>
        <v>#N/A</v>
      </c>
      <c r="Q25" s="403" t="s">
        <v>13202</v>
      </c>
      <c r="AF25" s="403" t="s">
        <v>13203</v>
      </c>
      <c r="AU25" s="403" t="s">
        <v>13208</v>
      </c>
      <c r="BJ25" s="403" t="s">
        <v>13204</v>
      </c>
      <c r="BY25" s="403" t="s">
        <v>13205</v>
      </c>
      <c r="CN25" s="403" t="s">
        <v>13207</v>
      </c>
      <c r="DC25" s="403" t="s">
        <v>13206</v>
      </c>
    </row>
    <row r="26" spans="1:118" ht="13.5" thickTop="1" x14ac:dyDescent="0.2"/>
    <row r="27" spans="1:118" s="122" customFormat="1" x14ac:dyDescent="0.2">
      <c r="C27" s="425" t="str">
        <f ca="1">IF(OFFSET(Q27,0,Lang_Order*Lang__R1)="","",OFFSET(Q27,0,Lang_Order*Lang__R1))</f>
        <v>Total Costs</v>
      </c>
      <c r="L27" s="425" t="str">
        <f ca="1">IF(OFFSET(Z27,0,Lang_Order*Lang__R1)="","",OFFSET(Z27,0,Lang_Order*Lang__R1))</f>
        <v>Cumulative Costs</v>
      </c>
      <c r="N27" s="403"/>
      <c r="O27" s="403"/>
      <c r="P27" s="403"/>
      <c r="Q27" s="403" t="s">
        <v>3063</v>
      </c>
      <c r="R27" s="403"/>
      <c r="S27" s="403"/>
      <c r="T27" s="403"/>
      <c r="U27" s="403"/>
      <c r="V27" s="403"/>
      <c r="W27" s="403"/>
      <c r="X27" s="403"/>
      <c r="Y27" s="403"/>
      <c r="Z27" s="403" t="s">
        <v>4208</v>
      </c>
      <c r="AA27" s="403"/>
      <c r="AB27" s="403"/>
      <c r="AC27" s="564"/>
      <c r="AD27" s="403"/>
      <c r="AE27" s="403"/>
      <c r="AF27" s="403" t="s">
        <v>12492</v>
      </c>
      <c r="AG27" s="403"/>
      <c r="AH27" s="403"/>
      <c r="AI27" s="403"/>
      <c r="AJ27" s="403"/>
      <c r="AK27" s="403"/>
      <c r="AL27" s="403"/>
      <c r="AM27" s="403"/>
      <c r="AN27" s="403"/>
      <c r="AO27" s="403" t="s">
        <v>12519</v>
      </c>
      <c r="AP27" s="403"/>
      <c r="AQ27" s="403"/>
      <c r="AR27" s="403"/>
      <c r="AS27" s="403"/>
      <c r="AT27" s="403"/>
      <c r="AU27" s="403" t="s">
        <v>12493</v>
      </c>
      <c r="AV27" s="403"/>
      <c r="AW27" s="403"/>
      <c r="AX27" s="403"/>
      <c r="AY27" s="403"/>
      <c r="AZ27" s="403"/>
      <c r="BA27" s="403"/>
      <c r="BB27" s="403"/>
      <c r="BC27" s="403"/>
      <c r="BD27" s="403" t="s">
        <v>12520</v>
      </c>
      <c r="BE27" s="403"/>
      <c r="BF27" s="403"/>
      <c r="BG27" s="403"/>
      <c r="BH27" s="403"/>
      <c r="BI27" s="403"/>
      <c r="BJ27" s="403" t="s">
        <v>12494</v>
      </c>
      <c r="BK27" s="403"/>
      <c r="BL27" s="403"/>
      <c r="BM27" s="403"/>
      <c r="BN27" s="403"/>
      <c r="BO27" s="403"/>
      <c r="BP27" s="403"/>
      <c r="BQ27" s="403"/>
      <c r="BR27" s="403"/>
      <c r="BS27" s="403" t="s">
        <v>12521</v>
      </c>
      <c r="BT27" s="403"/>
      <c r="BU27" s="403"/>
      <c r="BV27" s="403"/>
      <c r="BW27" s="403"/>
      <c r="BX27" s="403"/>
      <c r="BY27" s="403" t="s">
        <v>12495</v>
      </c>
      <c r="BZ27" s="403"/>
      <c r="CA27" s="403"/>
      <c r="CB27" s="403"/>
      <c r="CC27" s="403"/>
      <c r="CD27" s="403"/>
      <c r="CE27" s="403"/>
      <c r="CF27" s="403"/>
      <c r="CG27" s="403"/>
      <c r="CH27" s="403" t="s">
        <v>12522</v>
      </c>
      <c r="CI27" s="403"/>
      <c r="CJ27" s="403"/>
      <c r="CK27" s="403"/>
      <c r="CL27" s="403"/>
      <c r="CM27" s="403"/>
      <c r="CN27" s="403" t="s">
        <v>12496</v>
      </c>
      <c r="CO27" s="403"/>
      <c r="CP27" s="403"/>
      <c r="CQ27" s="403"/>
      <c r="CR27" s="403"/>
      <c r="CS27" s="403"/>
      <c r="CT27" s="403"/>
      <c r="CU27" s="403"/>
      <c r="CV27" s="403"/>
      <c r="CW27" s="403" t="s">
        <v>12523</v>
      </c>
      <c r="CX27" s="403"/>
      <c r="CY27" s="403"/>
      <c r="CZ27" s="403"/>
      <c r="DA27" s="403"/>
      <c r="DB27" s="403"/>
      <c r="DC27" s="403" t="s">
        <v>12524</v>
      </c>
      <c r="DD27" s="403"/>
      <c r="DE27" s="403"/>
      <c r="DF27" s="403"/>
      <c r="DG27" s="403"/>
      <c r="DH27" s="403"/>
      <c r="DI27" s="403"/>
      <c r="DJ27" s="403"/>
      <c r="DK27" s="403"/>
      <c r="DL27" s="403" t="s">
        <v>12525</v>
      </c>
      <c r="DM27" s="403"/>
      <c r="DN27" s="403"/>
    </row>
    <row r="28" spans="1:118" s="122" customFormat="1" x14ac:dyDescent="0.2">
      <c r="N28" s="403"/>
      <c r="O28" s="403"/>
      <c r="P28" s="403"/>
      <c r="Q28" s="403"/>
      <c r="R28" s="403"/>
      <c r="S28" s="403"/>
      <c r="T28" s="403"/>
      <c r="U28" s="403"/>
      <c r="V28" s="403"/>
      <c r="W28" s="403"/>
      <c r="X28" s="403"/>
      <c r="Y28" s="403"/>
      <c r="Z28" s="403"/>
      <c r="AA28" s="403"/>
      <c r="AB28" s="403"/>
      <c r="AC28" s="564"/>
      <c r="AD28" s="403"/>
      <c r="AE28" s="403"/>
      <c r="AF28" s="403"/>
      <c r="AG28" s="403"/>
      <c r="AH28" s="403"/>
      <c r="AI28" s="403"/>
      <c r="AJ28" s="403"/>
      <c r="AK28" s="403"/>
      <c r="AL28" s="403"/>
      <c r="AM28" s="403"/>
      <c r="AN28" s="403"/>
      <c r="AO28" s="403"/>
      <c r="AP28" s="403"/>
      <c r="AQ28" s="403"/>
      <c r="AR28" s="403"/>
      <c r="AS28" s="403"/>
      <c r="AT28" s="403"/>
      <c r="AU28" s="403"/>
      <c r="AV28" s="403"/>
      <c r="AW28" s="403"/>
      <c r="AX28" s="403"/>
      <c r="AY28" s="403"/>
      <c r="AZ28" s="403"/>
      <c r="BA28" s="403"/>
      <c r="BB28" s="403"/>
      <c r="BC28" s="403"/>
      <c r="BD28" s="403"/>
      <c r="BE28" s="403"/>
      <c r="BF28" s="403"/>
      <c r="BG28" s="403"/>
      <c r="BH28" s="403"/>
      <c r="BI28" s="403"/>
      <c r="BJ28" s="403"/>
      <c r="BK28" s="403"/>
      <c r="BL28" s="403"/>
      <c r="BM28" s="403"/>
      <c r="BN28" s="403"/>
      <c r="BO28" s="403"/>
      <c r="BP28" s="403"/>
      <c r="BQ28" s="403"/>
      <c r="BR28" s="403"/>
      <c r="BS28" s="403"/>
      <c r="BT28" s="403"/>
      <c r="BU28" s="403"/>
      <c r="BV28" s="403"/>
      <c r="BW28" s="403"/>
      <c r="BX28" s="403"/>
      <c r="BY28" s="403"/>
      <c r="BZ28" s="403"/>
      <c r="CA28" s="403"/>
      <c r="CB28" s="403"/>
      <c r="CC28" s="403"/>
      <c r="CD28" s="403"/>
      <c r="CE28" s="403"/>
      <c r="CF28" s="403"/>
      <c r="CG28" s="403"/>
      <c r="CH28" s="403"/>
      <c r="CI28" s="403"/>
      <c r="CJ28" s="403"/>
      <c r="CK28" s="403"/>
      <c r="CL28" s="403"/>
      <c r="CM28" s="403"/>
      <c r="CN28" s="403"/>
      <c r="CO28" s="403"/>
      <c r="CP28" s="403"/>
      <c r="CQ28" s="403"/>
      <c r="CR28" s="403"/>
      <c r="CS28" s="403"/>
      <c r="CT28" s="403"/>
      <c r="CU28" s="403"/>
      <c r="CV28" s="403"/>
      <c r="CW28" s="403"/>
      <c r="CX28" s="403"/>
      <c r="CY28" s="403"/>
      <c r="CZ28" s="403"/>
      <c r="DA28" s="403"/>
      <c r="DB28" s="403"/>
      <c r="DC28" s="403"/>
      <c r="DD28" s="403"/>
      <c r="DE28" s="403"/>
      <c r="DF28" s="403"/>
      <c r="DG28" s="403"/>
      <c r="DH28" s="403"/>
      <c r="DI28" s="403"/>
      <c r="DJ28" s="403"/>
      <c r="DK28" s="403"/>
      <c r="DL28" s="403"/>
      <c r="DM28" s="403"/>
      <c r="DN28" s="403"/>
    </row>
    <row r="29" spans="1:118" s="122" customFormat="1" x14ac:dyDescent="0.2">
      <c r="N29" s="403"/>
      <c r="O29" s="403"/>
      <c r="P29" s="403"/>
      <c r="Q29" s="403"/>
      <c r="R29" s="403"/>
      <c r="S29" s="403"/>
      <c r="T29" s="403"/>
      <c r="U29" s="403"/>
      <c r="V29" s="403"/>
      <c r="W29" s="403"/>
      <c r="X29" s="403"/>
      <c r="Y29" s="403"/>
      <c r="Z29" s="403"/>
      <c r="AA29" s="403"/>
      <c r="AB29" s="403"/>
      <c r="AC29" s="564"/>
      <c r="AD29" s="403"/>
      <c r="AE29" s="403"/>
      <c r="AF29" s="403"/>
      <c r="AG29" s="403"/>
      <c r="AH29" s="403"/>
      <c r="AI29" s="403"/>
      <c r="AJ29" s="403"/>
      <c r="AK29" s="403"/>
      <c r="AL29" s="403"/>
      <c r="AM29" s="403"/>
      <c r="AN29" s="403"/>
      <c r="AO29" s="403"/>
      <c r="AP29" s="403"/>
      <c r="AQ29" s="403"/>
      <c r="AR29" s="403"/>
      <c r="AS29" s="403"/>
      <c r="AT29" s="403"/>
      <c r="AU29" s="403"/>
      <c r="AV29" s="403"/>
      <c r="AW29" s="403"/>
      <c r="AX29" s="403"/>
      <c r="AY29" s="403"/>
      <c r="AZ29" s="403"/>
      <c r="BA29" s="403"/>
      <c r="BB29" s="403"/>
      <c r="BC29" s="403"/>
      <c r="BD29" s="403"/>
      <c r="BE29" s="403"/>
      <c r="BF29" s="403"/>
      <c r="BG29" s="403"/>
      <c r="BH29" s="403"/>
      <c r="BI29" s="403"/>
      <c r="BJ29" s="403"/>
      <c r="BK29" s="403"/>
      <c r="BL29" s="403"/>
      <c r="BM29" s="403"/>
      <c r="BN29" s="403"/>
      <c r="BO29" s="403"/>
      <c r="BP29" s="403"/>
      <c r="BQ29" s="403"/>
      <c r="BR29" s="403"/>
      <c r="BS29" s="403"/>
      <c r="BT29" s="403"/>
      <c r="BU29" s="403"/>
      <c r="BV29" s="403"/>
      <c r="BW29" s="403"/>
      <c r="BX29" s="403"/>
      <c r="BY29" s="403"/>
      <c r="BZ29" s="403"/>
      <c r="CA29" s="403"/>
      <c r="CB29" s="403"/>
      <c r="CC29" s="403"/>
      <c r="CD29" s="403"/>
      <c r="CE29" s="403"/>
      <c r="CF29" s="403"/>
      <c r="CG29" s="403"/>
      <c r="CH29" s="403"/>
      <c r="CI29" s="403"/>
      <c r="CJ29" s="403"/>
      <c r="CK29" s="403"/>
      <c r="CL29" s="403"/>
      <c r="CM29" s="403"/>
      <c r="CN29" s="403"/>
      <c r="CO29" s="403"/>
      <c r="CP29" s="403"/>
      <c r="CQ29" s="403"/>
      <c r="CR29" s="403"/>
      <c r="CS29" s="403"/>
      <c r="CT29" s="403"/>
      <c r="CU29" s="403"/>
      <c r="CV29" s="403"/>
      <c r="CW29" s="403"/>
      <c r="CX29" s="403"/>
      <c r="CY29" s="403"/>
      <c r="CZ29" s="403"/>
      <c r="DA29" s="403"/>
      <c r="DB29" s="403"/>
      <c r="DC29" s="403"/>
      <c r="DD29" s="403"/>
      <c r="DE29" s="403"/>
      <c r="DF29" s="403"/>
      <c r="DG29" s="403"/>
      <c r="DH29" s="403"/>
      <c r="DI29" s="403"/>
      <c r="DJ29" s="403"/>
      <c r="DK29" s="403"/>
      <c r="DL29" s="403"/>
      <c r="DM29" s="403"/>
      <c r="DN29" s="403"/>
    </row>
    <row r="30" spans="1:118" s="122" customFormat="1" x14ac:dyDescent="0.2">
      <c r="N30" s="403"/>
      <c r="O30" s="403"/>
      <c r="P30" s="403"/>
      <c r="Q30" s="403"/>
      <c r="R30" s="403"/>
      <c r="S30" s="403"/>
      <c r="T30" s="403"/>
      <c r="U30" s="403"/>
      <c r="V30" s="403"/>
      <c r="W30" s="403"/>
      <c r="X30" s="403"/>
      <c r="Y30" s="403"/>
      <c r="Z30" s="403"/>
      <c r="AA30" s="403"/>
      <c r="AB30" s="403"/>
      <c r="AC30" s="564"/>
      <c r="AD30" s="403"/>
      <c r="AE30" s="403"/>
      <c r="AF30" s="403"/>
      <c r="AG30" s="403"/>
      <c r="AH30" s="403"/>
      <c r="AI30" s="403"/>
      <c r="AJ30" s="403"/>
      <c r="AK30" s="403"/>
      <c r="AL30" s="403"/>
      <c r="AM30" s="403"/>
      <c r="AN30" s="403"/>
      <c r="AO30" s="403"/>
      <c r="AP30" s="403"/>
      <c r="AQ30" s="403"/>
      <c r="AR30" s="403"/>
      <c r="AS30" s="403"/>
      <c r="AT30" s="403"/>
      <c r="AU30" s="403"/>
      <c r="AV30" s="403"/>
      <c r="AW30" s="403"/>
      <c r="AX30" s="403"/>
      <c r="AY30" s="403"/>
      <c r="AZ30" s="403"/>
      <c r="BA30" s="403"/>
      <c r="BB30" s="403"/>
      <c r="BC30" s="403"/>
      <c r="BD30" s="403"/>
      <c r="BE30" s="403"/>
      <c r="BF30" s="403"/>
      <c r="BG30" s="403"/>
      <c r="BH30" s="403"/>
      <c r="BI30" s="403"/>
      <c r="BJ30" s="403"/>
      <c r="BK30" s="403"/>
      <c r="BL30" s="403"/>
      <c r="BM30" s="403"/>
      <c r="BN30" s="403"/>
      <c r="BO30" s="403"/>
      <c r="BP30" s="403"/>
      <c r="BQ30" s="403"/>
      <c r="BR30" s="403"/>
      <c r="BS30" s="403"/>
      <c r="BT30" s="403"/>
      <c r="BU30" s="403"/>
      <c r="BV30" s="403"/>
      <c r="BW30" s="403"/>
      <c r="BX30" s="403"/>
      <c r="BY30" s="403"/>
      <c r="BZ30" s="403"/>
      <c r="CA30" s="403"/>
      <c r="CB30" s="403"/>
      <c r="CC30" s="403"/>
      <c r="CD30" s="403"/>
      <c r="CE30" s="403"/>
      <c r="CF30" s="403"/>
      <c r="CG30" s="403"/>
      <c r="CH30" s="403"/>
      <c r="CI30" s="403"/>
      <c r="CJ30" s="403"/>
      <c r="CK30" s="403"/>
      <c r="CL30" s="403"/>
      <c r="CM30" s="403"/>
      <c r="CN30" s="403"/>
      <c r="CO30" s="403"/>
      <c r="CP30" s="403"/>
      <c r="CQ30" s="403"/>
      <c r="CR30" s="403"/>
      <c r="CS30" s="403"/>
      <c r="CT30" s="403"/>
      <c r="CU30" s="403"/>
      <c r="CV30" s="403"/>
      <c r="CW30" s="403"/>
      <c r="CX30" s="403"/>
      <c r="CY30" s="403"/>
      <c r="CZ30" s="403"/>
      <c r="DA30" s="403"/>
      <c r="DB30" s="403"/>
      <c r="DC30" s="403"/>
      <c r="DD30" s="403"/>
      <c r="DE30" s="403"/>
      <c r="DF30" s="403"/>
      <c r="DG30" s="403"/>
      <c r="DH30" s="403"/>
      <c r="DI30" s="403"/>
      <c r="DJ30" s="403"/>
      <c r="DK30" s="403"/>
      <c r="DL30" s="403"/>
      <c r="DM30" s="403"/>
      <c r="DN30" s="403"/>
    </row>
    <row r="31" spans="1:118" s="122" customFormat="1" x14ac:dyDescent="0.2">
      <c r="N31" s="403"/>
      <c r="O31" s="403"/>
      <c r="P31" s="403"/>
      <c r="Q31" s="403"/>
      <c r="R31" s="403"/>
      <c r="S31" s="403"/>
      <c r="T31" s="403"/>
      <c r="U31" s="403"/>
      <c r="V31" s="403"/>
      <c r="W31" s="403"/>
      <c r="X31" s="403"/>
      <c r="Y31" s="403"/>
      <c r="Z31" s="403"/>
      <c r="AA31" s="403"/>
      <c r="AB31" s="403"/>
      <c r="AC31" s="564"/>
      <c r="AD31" s="403"/>
      <c r="AE31" s="403"/>
      <c r="AF31" s="403"/>
      <c r="AG31" s="403"/>
      <c r="AH31" s="403"/>
      <c r="AI31" s="403"/>
      <c r="AJ31" s="403"/>
      <c r="AK31" s="403"/>
      <c r="AL31" s="403"/>
      <c r="AM31" s="403"/>
      <c r="AN31" s="403"/>
      <c r="AO31" s="403"/>
      <c r="AP31" s="403"/>
      <c r="AQ31" s="403"/>
      <c r="AR31" s="403"/>
      <c r="AS31" s="403"/>
      <c r="AT31" s="403"/>
      <c r="AU31" s="403"/>
      <c r="AV31" s="403"/>
      <c r="AW31" s="403"/>
      <c r="AX31" s="403"/>
      <c r="AY31" s="403"/>
      <c r="AZ31" s="403"/>
      <c r="BA31" s="403"/>
      <c r="BB31" s="403"/>
      <c r="BC31" s="403"/>
      <c r="BD31" s="403"/>
      <c r="BE31" s="403"/>
      <c r="BF31" s="403"/>
      <c r="BG31" s="403"/>
      <c r="BH31" s="403"/>
      <c r="BI31" s="403"/>
      <c r="BJ31" s="403"/>
      <c r="BK31" s="403"/>
      <c r="BL31" s="403"/>
      <c r="BM31" s="403"/>
      <c r="BN31" s="403"/>
      <c r="BO31" s="403"/>
      <c r="BP31" s="403"/>
      <c r="BQ31" s="403"/>
      <c r="BR31" s="403"/>
      <c r="BS31" s="403"/>
      <c r="BT31" s="403"/>
      <c r="BU31" s="403"/>
      <c r="BV31" s="403"/>
      <c r="BW31" s="403"/>
      <c r="BX31" s="403"/>
      <c r="BY31" s="403"/>
      <c r="BZ31" s="403"/>
      <c r="CA31" s="403"/>
      <c r="CB31" s="403"/>
      <c r="CC31" s="403"/>
      <c r="CD31" s="403"/>
      <c r="CE31" s="403"/>
      <c r="CF31" s="403"/>
      <c r="CG31" s="403"/>
      <c r="CH31" s="403"/>
      <c r="CI31" s="403"/>
      <c r="CJ31" s="403"/>
      <c r="CK31" s="403"/>
      <c r="CL31" s="403"/>
      <c r="CM31" s="403"/>
      <c r="CN31" s="403"/>
      <c r="CO31" s="403"/>
      <c r="CP31" s="403"/>
      <c r="CQ31" s="403"/>
      <c r="CR31" s="403"/>
      <c r="CS31" s="403"/>
      <c r="CT31" s="403"/>
      <c r="CU31" s="403"/>
      <c r="CV31" s="403"/>
      <c r="CW31" s="403"/>
      <c r="CX31" s="403"/>
      <c r="CY31" s="403"/>
      <c r="CZ31" s="403"/>
      <c r="DA31" s="403"/>
      <c r="DB31" s="403"/>
      <c r="DC31" s="403"/>
      <c r="DD31" s="403"/>
      <c r="DE31" s="403"/>
      <c r="DF31" s="403"/>
      <c r="DG31" s="403"/>
      <c r="DH31" s="403"/>
      <c r="DI31" s="403"/>
      <c r="DJ31" s="403"/>
      <c r="DK31" s="403"/>
      <c r="DL31" s="403"/>
      <c r="DM31" s="403"/>
      <c r="DN31" s="403"/>
    </row>
    <row r="32" spans="1:118" s="122" customFormat="1" x14ac:dyDescent="0.2">
      <c r="N32" s="403"/>
      <c r="O32" s="403"/>
      <c r="P32" s="403"/>
      <c r="Q32" s="564"/>
      <c r="Z32" s="564"/>
      <c r="AA32" s="403"/>
      <c r="AB32" s="403"/>
      <c r="AC32" s="564"/>
      <c r="AD32" s="403"/>
      <c r="AE32" s="403"/>
      <c r="AF32" s="564"/>
      <c r="AN32" s="403"/>
      <c r="AO32" s="403"/>
      <c r="AP32" s="403"/>
      <c r="AQ32" s="403"/>
      <c r="AR32" s="403"/>
      <c r="AS32" s="403"/>
      <c r="AT32" s="403"/>
      <c r="AU32" s="564"/>
      <c r="BC32" s="403"/>
      <c r="BD32" s="403"/>
      <c r="BE32" s="403"/>
      <c r="BF32" s="403"/>
      <c r="BG32" s="403"/>
      <c r="BH32" s="403"/>
      <c r="BI32" s="403"/>
      <c r="BJ32" s="564"/>
      <c r="BQ32" s="403"/>
      <c r="BR32" s="403"/>
      <c r="BS32" s="403"/>
      <c r="BT32" s="403"/>
      <c r="BU32" s="403"/>
      <c r="BV32" s="403"/>
      <c r="BW32" s="403"/>
      <c r="BX32" s="403"/>
      <c r="BY32" s="564"/>
      <c r="CE32" s="403"/>
      <c r="CF32" s="403"/>
      <c r="CG32" s="403"/>
      <c r="CH32" s="403"/>
      <c r="CI32" s="403"/>
      <c r="CJ32" s="403"/>
      <c r="CK32" s="403"/>
      <c r="CL32" s="403"/>
      <c r="CM32" s="403"/>
      <c r="CN32" s="564"/>
      <c r="CP32" s="403"/>
      <c r="CQ32" s="403"/>
      <c r="CR32" s="403"/>
      <c r="CS32" s="403"/>
      <c r="CT32" s="403"/>
      <c r="CU32" s="403"/>
      <c r="CV32" s="403"/>
      <c r="CW32" s="403"/>
      <c r="CX32" s="403"/>
      <c r="CY32" s="403"/>
      <c r="CZ32" s="403"/>
      <c r="DA32" s="403"/>
      <c r="DB32" s="403"/>
      <c r="DC32" s="564"/>
      <c r="DD32" s="403"/>
      <c r="DE32" s="403"/>
      <c r="DF32" s="403"/>
      <c r="DG32" s="403"/>
      <c r="DH32" s="403"/>
      <c r="DI32" s="403"/>
      <c r="DJ32" s="403"/>
      <c r="DK32" s="403"/>
      <c r="DL32" s="403"/>
      <c r="DM32" s="403"/>
      <c r="DN32" s="403"/>
    </row>
    <row r="33" spans="3:118" s="567" customFormat="1" x14ac:dyDescent="0.2">
      <c r="N33" s="564"/>
      <c r="O33" s="564"/>
      <c r="P33" s="564"/>
      <c r="Z33" s="564"/>
      <c r="AA33" s="564"/>
      <c r="AB33" s="564"/>
      <c r="AC33" s="564"/>
      <c r="AD33" s="564"/>
      <c r="AE33" s="564"/>
      <c r="AF33" s="564"/>
      <c r="AN33" s="564"/>
      <c r="AO33" s="564"/>
      <c r="AP33" s="564"/>
      <c r="AQ33" s="564"/>
      <c r="AR33" s="564"/>
      <c r="AS33" s="564"/>
      <c r="AT33" s="564"/>
      <c r="AU33" s="564"/>
      <c r="BC33" s="564"/>
      <c r="BD33" s="564"/>
      <c r="BE33" s="564"/>
      <c r="BF33" s="564"/>
      <c r="BG33" s="564"/>
      <c r="BH33" s="564"/>
      <c r="BI33" s="564"/>
      <c r="BJ33" s="564"/>
      <c r="BQ33" s="564"/>
      <c r="BR33" s="564"/>
      <c r="BS33" s="564"/>
      <c r="BT33" s="564"/>
      <c r="BU33" s="564"/>
      <c r="BV33" s="564"/>
      <c r="BW33" s="564"/>
      <c r="BX33" s="564"/>
      <c r="BY33" s="564"/>
      <c r="CE33" s="564"/>
      <c r="CF33" s="564"/>
      <c r="CG33" s="564"/>
      <c r="CH33" s="564"/>
      <c r="CI33" s="564"/>
      <c r="CJ33" s="564"/>
      <c r="CK33" s="564"/>
      <c r="CL33" s="564"/>
      <c r="CM33" s="564"/>
      <c r="CN33" s="564"/>
      <c r="CP33" s="564"/>
      <c r="CQ33" s="564"/>
      <c r="CR33" s="564"/>
      <c r="CS33" s="564"/>
      <c r="CT33" s="564"/>
      <c r="CU33" s="564"/>
      <c r="CV33" s="564"/>
      <c r="CW33" s="564"/>
      <c r="CX33" s="564"/>
      <c r="CY33" s="564"/>
      <c r="CZ33" s="564"/>
      <c r="DA33" s="564"/>
      <c r="DB33" s="564"/>
      <c r="DC33" s="564"/>
      <c r="DD33" s="564"/>
      <c r="DE33" s="564"/>
      <c r="DF33" s="564"/>
      <c r="DG33" s="564"/>
      <c r="DH33" s="564"/>
      <c r="DI33" s="564"/>
      <c r="DJ33" s="564"/>
      <c r="DK33" s="564"/>
      <c r="DL33" s="564"/>
      <c r="DM33" s="564"/>
      <c r="DN33" s="564"/>
    </row>
    <row r="34" spans="3:118" s="567" customFormat="1" x14ac:dyDescent="0.2">
      <c r="N34" s="564"/>
      <c r="O34" s="564"/>
      <c r="P34" s="564"/>
      <c r="Q34" s="564"/>
      <c r="R34" s="564"/>
      <c r="S34" s="564"/>
      <c r="T34" s="564"/>
      <c r="U34" s="564"/>
      <c r="V34" s="564"/>
      <c r="W34" s="564"/>
      <c r="X34" s="564"/>
      <c r="Y34" s="564"/>
      <c r="Z34" s="564"/>
      <c r="AA34" s="564"/>
      <c r="AB34" s="564"/>
      <c r="AC34" s="564"/>
      <c r="AD34" s="564"/>
      <c r="AE34" s="564"/>
      <c r="AF34" s="564"/>
      <c r="AG34" s="564"/>
      <c r="AH34" s="564"/>
      <c r="AI34" s="564"/>
      <c r="AJ34" s="564"/>
      <c r="AK34" s="564"/>
      <c r="AL34" s="564"/>
      <c r="AM34" s="564"/>
      <c r="AN34" s="564"/>
      <c r="AO34" s="564"/>
      <c r="AP34" s="564"/>
      <c r="AQ34" s="564"/>
      <c r="AR34" s="564"/>
      <c r="AS34" s="564"/>
      <c r="AT34" s="564"/>
      <c r="AU34" s="564"/>
      <c r="AV34" s="564"/>
      <c r="AW34" s="564"/>
      <c r="AX34" s="564"/>
      <c r="AY34" s="564"/>
      <c r="AZ34" s="564"/>
      <c r="BA34" s="564"/>
      <c r="BB34" s="564"/>
      <c r="BC34" s="564"/>
      <c r="BD34" s="564"/>
      <c r="BE34" s="564"/>
      <c r="BF34" s="564"/>
      <c r="BG34" s="564"/>
      <c r="BH34" s="564"/>
      <c r="BI34" s="564"/>
      <c r="BJ34" s="564"/>
      <c r="BK34" s="564"/>
      <c r="BL34" s="564"/>
      <c r="BM34" s="564"/>
      <c r="BN34" s="564"/>
      <c r="BO34" s="564"/>
      <c r="BP34" s="564"/>
      <c r="BQ34" s="564"/>
      <c r="BR34" s="564"/>
      <c r="BS34" s="564"/>
      <c r="BT34" s="564"/>
      <c r="BU34" s="564"/>
      <c r="BV34" s="564"/>
      <c r="BW34" s="564"/>
      <c r="BX34" s="564"/>
      <c r="BY34" s="564"/>
      <c r="BZ34" s="564"/>
      <c r="CA34" s="564"/>
      <c r="CB34" s="564"/>
      <c r="CC34" s="564"/>
      <c r="CD34" s="564"/>
      <c r="CE34" s="564"/>
      <c r="CF34" s="564"/>
      <c r="CG34" s="564"/>
      <c r="CH34" s="564"/>
      <c r="CI34" s="564"/>
      <c r="CJ34" s="564"/>
      <c r="CK34" s="564"/>
      <c r="CL34" s="564"/>
      <c r="CM34" s="564"/>
      <c r="CN34" s="564"/>
      <c r="CO34" s="564"/>
      <c r="CP34" s="564"/>
      <c r="CQ34" s="564"/>
      <c r="CR34" s="564"/>
      <c r="CS34" s="564"/>
      <c r="CT34" s="564"/>
      <c r="CU34" s="564"/>
      <c r="CV34" s="564"/>
      <c r="CW34" s="564"/>
      <c r="CX34" s="564"/>
      <c r="CY34" s="564"/>
      <c r="CZ34" s="564"/>
      <c r="DA34" s="564"/>
      <c r="DB34" s="564"/>
      <c r="DC34" s="564"/>
      <c r="DD34" s="564"/>
      <c r="DE34" s="564"/>
      <c r="DF34" s="564"/>
      <c r="DG34" s="564"/>
      <c r="DH34" s="564"/>
      <c r="DI34" s="564"/>
      <c r="DJ34" s="564"/>
      <c r="DK34" s="564"/>
      <c r="DL34" s="564"/>
      <c r="DM34" s="564"/>
      <c r="DN34" s="564"/>
    </row>
    <row r="35" spans="3:118" s="567" customFormat="1" x14ac:dyDescent="0.2">
      <c r="N35" s="564"/>
      <c r="O35" s="564"/>
      <c r="P35" s="564"/>
      <c r="Q35" s="564"/>
      <c r="R35" s="564"/>
      <c r="S35" s="564"/>
      <c r="T35" s="564"/>
      <c r="U35" s="564"/>
      <c r="V35" s="564"/>
      <c r="W35" s="564"/>
      <c r="X35" s="564"/>
      <c r="Y35" s="564"/>
      <c r="Z35" s="564"/>
      <c r="AA35" s="564"/>
      <c r="AB35" s="564"/>
      <c r="AC35" s="564"/>
      <c r="AD35" s="564"/>
      <c r="AE35" s="564"/>
      <c r="AF35" s="564"/>
      <c r="AG35" s="564"/>
      <c r="AH35" s="564"/>
      <c r="AI35" s="564"/>
      <c r="AJ35" s="564"/>
      <c r="AK35" s="564"/>
      <c r="AL35" s="564"/>
      <c r="AM35" s="564"/>
      <c r="AN35" s="564"/>
      <c r="AO35" s="564"/>
      <c r="AP35" s="564"/>
      <c r="AQ35" s="564"/>
      <c r="AR35" s="564"/>
      <c r="AS35" s="564"/>
      <c r="AT35" s="564"/>
      <c r="AU35" s="564"/>
      <c r="AV35" s="564"/>
      <c r="AW35" s="564"/>
      <c r="AX35" s="564"/>
      <c r="AY35" s="564"/>
      <c r="AZ35" s="564"/>
      <c r="BA35" s="564"/>
      <c r="BB35" s="564"/>
      <c r="BC35" s="564"/>
      <c r="BD35" s="564"/>
      <c r="BE35" s="564"/>
      <c r="BF35" s="564"/>
      <c r="BG35" s="564"/>
      <c r="BH35" s="564"/>
      <c r="BI35" s="564"/>
      <c r="BJ35" s="564"/>
      <c r="BK35" s="564"/>
      <c r="BL35" s="564"/>
      <c r="BM35" s="564"/>
      <c r="BN35" s="564"/>
      <c r="BO35" s="564"/>
      <c r="BP35" s="564"/>
      <c r="BQ35" s="564"/>
      <c r="BR35" s="564"/>
      <c r="BS35" s="564"/>
      <c r="BT35" s="564"/>
      <c r="BU35" s="564"/>
      <c r="BV35" s="564"/>
      <c r="BW35" s="564"/>
      <c r="BX35" s="564"/>
      <c r="BY35" s="564"/>
      <c r="BZ35" s="564"/>
      <c r="CA35" s="564"/>
      <c r="CB35" s="564"/>
      <c r="CC35" s="564"/>
      <c r="CD35" s="564"/>
      <c r="CE35" s="564"/>
      <c r="CF35" s="564"/>
      <c r="CG35" s="564"/>
      <c r="CH35" s="564"/>
      <c r="CI35" s="564"/>
      <c r="CJ35" s="564"/>
      <c r="CK35" s="564"/>
      <c r="CL35" s="564"/>
      <c r="CM35" s="564"/>
      <c r="CN35" s="564"/>
      <c r="CO35" s="564"/>
      <c r="CP35" s="564"/>
      <c r="CQ35" s="564"/>
      <c r="CR35" s="564"/>
      <c r="CS35" s="564"/>
      <c r="CT35" s="564"/>
      <c r="CU35" s="564"/>
      <c r="CV35" s="564"/>
      <c r="CW35" s="564"/>
      <c r="CX35" s="564"/>
      <c r="CY35" s="564"/>
      <c r="CZ35" s="564"/>
      <c r="DA35" s="564"/>
      <c r="DB35" s="564"/>
      <c r="DC35" s="564"/>
      <c r="DD35" s="564"/>
      <c r="DE35" s="564"/>
      <c r="DF35" s="564"/>
      <c r="DG35" s="564"/>
      <c r="DH35" s="564"/>
      <c r="DI35" s="564"/>
      <c r="DJ35" s="564"/>
      <c r="DK35" s="564"/>
      <c r="DL35" s="564"/>
      <c r="DM35" s="564"/>
      <c r="DN35" s="564"/>
    </row>
    <row r="36" spans="3:118" s="567" customFormat="1" x14ac:dyDescent="0.2">
      <c r="N36" s="564"/>
      <c r="O36" s="564"/>
      <c r="P36" s="564"/>
      <c r="Q36" s="564"/>
      <c r="R36" s="564"/>
      <c r="S36" s="564"/>
      <c r="T36" s="564"/>
      <c r="U36" s="564"/>
      <c r="V36" s="564"/>
      <c r="W36" s="564"/>
      <c r="X36" s="564"/>
      <c r="Y36" s="564"/>
      <c r="Z36" s="564"/>
      <c r="AA36" s="564"/>
      <c r="AB36" s="564"/>
      <c r="AC36" s="564"/>
      <c r="AD36" s="564"/>
      <c r="AE36" s="564"/>
      <c r="AF36" s="564"/>
      <c r="AG36" s="564"/>
      <c r="AH36" s="564"/>
      <c r="AI36" s="564"/>
      <c r="AJ36" s="564"/>
      <c r="AK36" s="564"/>
      <c r="AL36" s="564"/>
      <c r="AM36" s="564"/>
      <c r="AN36" s="564"/>
      <c r="AO36" s="564"/>
      <c r="AP36" s="564"/>
      <c r="AQ36" s="564"/>
      <c r="AR36" s="564"/>
      <c r="AS36" s="564"/>
      <c r="AT36" s="564"/>
      <c r="AU36" s="564"/>
      <c r="AV36" s="564"/>
      <c r="AW36" s="564"/>
      <c r="AX36" s="564"/>
      <c r="AY36" s="564"/>
      <c r="AZ36" s="564"/>
      <c r="BA36" s="564"/>
      <c r="BB36" s="564"/>
      <c r="BC36" s="564"/>
      <c r="BD36" s="564"/>
      <c r="BE36" s="564"/>
      <c r="BF36" s="564"/>
      <c r="BG36" s="564"/>
      <c r="BH36" s="564"/>
      <c r="BI36" s="564"/>
      <c r="BJ36" s="564"/>
      <c r="BK36" s="564"/>
      <c r="BL36" s="564"/>
      <c r="BM36" s="564"/>
      <c r="BN36" s="564"/>
      <c r="BO36" s="564"/>
      <c r="BP36" s="564"/>
      <c r="BQ36" s="564"/>
      <c r="BR36" s="564"/>
      <c r="BS36" s="564"/>
      <c r="BT36" s="564"/>
      <c r="BU36" s="564"/>
      <c r="BV36" s="564"/>
      <c r="BW36" s="564"/>
      <c r="BX36" s="564"/>
      <c r="BY36" s="564"/>
      <c r="BZ36" s="564"/>
      <c r="CA36" s="564"/>
      <c r="CB36" s="564"/>
      <c r="CC36" s="564"/>
      <c r="CD36" s="564"/>
      <c r="CE36" s="564"/>
      <c r="CF36" s="564"/>
      <c r="CG36" s="564"/>
      <c r="CH36" s="564"/>
      <c r="CI36" s="564"/>
      <c r="CJ36" s="564"/>
      <c r="CK36" s="564"/>
      <c r="CL36" s="564"/>
      <c r="CM36" s="564"/>
      <c r="CN36" s="564"/>
      <c r="CO36" s="564"/>
      <c r="CP36" s="564"/>
      <c r="CQ36" s="564"/>
      <c r="CR36" s="564"/>
      <c r="CS36" s="564"/>
      <c r="CT36" s="564"/>
      <c r="CU36" s="564"/>
      <c r="CV36" s="564"/>
      <c r="CW36" s="564"/>
      <c r="CX36" s="564"/>
      <c r="CY36" s="564"/>
      <c r="CZ36" s="564"/>
      <c r="DA36" s="564"/>
      <c r="DB36" s="564"/>
      <c r="DC36" s="564"/>
      <c r="DD36" s="564"/>
      <c r="DE36" s="564"/>
      <c r="DF36" s="564"/>
      <c r="DG36" s="564"/>
      <c r="DH36" s="564"/>
      <c r="DI36" s="564"/>
      <c r="DJ36" s="564"/>
      <c r="DK36" s="564"/>
      <c r="DL36" s="564"/>
      <c r="DM36" s="564"/>
      <c r="DN36" s="564"/>
    </row>
    <row r="37" spans="3:118" s="567" customFormat="1" x14ac:dyDescent="0.2">
      <c r="N37" s="564"/>
      <c r="O37" s="564"/>
      <c r="P37" s="564"/>
      <c r="Q37" s="564"/>
      <c r="R37" s="564"/>
      <c r="S37" s="564"/>
      <c r="T37" s="564"/>
      <c r="U37" s="564"/>
      <c r="V37" s="564"/>
      <c r="W37" s="564"/>
      <c r="X37" s="564"/>
      <c r="Y37" s="564"/>
      <c r="Z37" s="564"/>
      <c r="AA37" s="564"/>
      <c r="AB37" s="564"/>
      <c r="AC37" s="564"/>
      <c r="AD37" s="564"/>
      <c r="AE37" s="564"/>
      <c r="AF37" s="564"/>
      <c r="AG37" s="564"/>
      <c r="AH37" s="564"/>
      <c r="AI37" s="564"/>
      <c r="AJ37" s="564"/>
      <c r="AK37" s="564"/>
      <c r="AL37" s="564"/>
      <c r="AM37" s="564"/>
      <c r="AN37" s="564"/>
      <c r="AO37" s="564"/>
      <c r="AP37" s="564"/>
      <c r="AQ37" s="564"/>
      <c r="AR37" s="564"/>
      <c r="AS37" s="564"/>
      <c r="AT37" s="564"/>
      <c r="AU37" s="564"/>
      <c r="AV37" s="564"/>
      <c r="AW37" s="564"/>
      <c r="AX37" s="564"/>
      <c r="AY37" s="564"/>
      <c r="AZ37" s="564"/>
      <c r="BA37" s="564"/>
      <c r="BB37" s="564"/>
      <c r="BC37" s="564"/>
      <c r="BD37" s="564"/>
      <c r="BE37" s="564"/>
      <c r="BF37" s="564"/>
      <c r="BG37" s="564"/>
      <c r="BH37" s="564"/>
      <c r="BI37" s="564"/>
      <c r="BJ37" s="564"/>
      <c r="BK37" s="564"/>
      <c r="BL37" s="564"/>
      <c r="BM37" s="564"/>
      <c r="BN37" s="564"/>
      <c r="BO37" s="564"/>
      <c r="BP37" s="564"/>
      <c r="BQ37" s="564"/>
      <c r="BR37" s="564"/>
      <c r="BS37" s="564"/>
      <c r="BT37" s="564"/>
      <c r="BU37" s="564"/>
      <c r="BV37" s="564"/>
      <c r="BW37" s="564"/>
      <c r="BX37" s="564"/>
      <c r="BY37" s="564"/>
      <c r="BZ37" s="564"/>
      <c r="CA37" s="564"/>
      <c r="CB37" s="564"/>
      <c r="CC37" s="564"/>
      <c r="CD37" s="564"/>
      <c r="CE37" s="564"/>
      <c r="CF37" s="564"/>
      <c r="CG37" s="564"/>
      <c r="CH37" s="564"/>
      <c r="CI37" s="564"/>
      <c r="CJ37" s="564"/>
      <c r="CK37" s="564"/>
      <c r="CL37" s="564"/>
      <c r="CM37" s="564"/>
      <c r="CN37" s="564"/>
      <c r="CO37" s="564"/>
      <c r="CP37" s="564"/>
      <c r="CQ37" s="564"/>
      <c r="CR37" s="564"/>
      <c r="CS37" s="564"/>
      <c r="CT37" s="564"/>
      <c r="CU37" s="564"/>
      <c r="CV37" s="564"/>
      <c r="CW37" s="564"/>
      <c r="CX37" s="564"/>
      <c r="CY37" s="564"/>
      <c r="CZ37" s="564"/>
      <c r="DA37" s="564"/>
      <c r="DB37" s="564"/>
      <c r="DC37" s="564"/>
      <c r="DD37" s="564"/>
      <c r="DE37" s="564"/>
      <c r="DF37" s="564"/>
      <c r="DG37" s="564"/>
      <c r="DH37" s="564"/>
      <c r="DI37" s="564"/>
      <c r="DJ37" s="564"/>
      <c r="DK37" s="564"/>
      <c r="DL37" s="564"/>
      <c r="DM37" s="564"/>
      <c r="DN37" s="564"/>
    </row>
    <row r="38" spans="3:118" s="567" customFormat="1" x14ac:dyDescent="0.2">
      <c r="N38" s="564"/>
      <c r="O38" s="564"/>
      <c r="P38" s="564"/>
      <c r="Q38" s="564"/>
      <c r="R38" s="564"/>
      <c r="S38" s="564"/>
      <c r="T38" s="564"/>
      <c r="U38" s="564"/>
      <c r="V38" s="564"/>
      <c r="W38" s="564"/>
      <c r="X38" s="564"/>
      <c r="Y38" s="564"/>
      <c r="Z38" s="564"/>
      <c r="AA38" s="564"/>
      <c r="AB38" s="564"/>
      <c r="AC38" s="564"/>
      <c r="AD38" s="564"/>
      <c r="AE38" s="564"/>
      <c r="AF38" s="564"/>
      <c r="AG38" s="564"/>
      <c r="AH38" s="564"/>
      <c r="AI38" s="564"/>
      <c r="AJ38" s="564"/>
      <c r="AK38" s="564"/>
      <c r="AL38" s="564"/>
      <c r="AM38" s="564"/>
      <c r="AN38" s="564"/>
      <c r="AO38" s="564"/>
      <c r="AP38" s="564"/>
      <c r="AQ38" s="564"/>
      <c r="AR38" s="564"/>
      <c r="AS38" s="564"/>
      <c r="AT38" s="564"/>
      <c r="AU38" s="564"/>
      <c r="AV38" s="564"/>
      <c r="AW38" s="564"/>
      <c r="AX38" s="564"/>
      <c r="AY38" s="564"/>
      <c r="AZ38" s="564"/>
      <c r="BA38" s="564"/>
      <c r="BB38" s="564"/>
      <c r="BC38" s="564"/>
      <c r="BD38" s="564"/>
      <c r="BE38" s="564"/>
      <c r="BF38" s="564"/>
      <c r="BG38" s="564"/>
      <c r="BH38" s="564"/>
      <c r="BI38" s="564"/>
      <c r="BJ38" s="564"/>
      <c r="BK38" s="564"/>
      <c r="BL38" s="564"/>
      <c r="BM38" s="564"/>
      <c r="BN38" s="564"/>
      <c r="BO38" s="564"/>
      <c r="BP38" s="564"/>
      <c r="BQ38" s="564"/>
      <c r="BR38" s="564"/>
      <c r="BS38" s="564"/>
      <c r="BT38" s="564"/>
      <c r="BU38" s="564"/>
      <c r="BV38" s="564"/>
      <c r="BW38" s="564"/>
      <c r="BX38" s="564"/>
      <c r="BY38" s="564"/>
      <c r="BZ38" s="564"/>
      <c r="CA38" s="564"/>
      <c r="CB38" s="564"/>
      <c r="CC38" s="564"/>
      <c r="CD38" s="564"/>
      <c r="CE38" s="564"/>
      <c r="CF38" s="564"/>
      <c r="CG38" s="564"/>
      <c r="CH38" s="564"/>
      <c r="CI38" s="564"/>
      <c r="CJ38" s="564"/>
      <c r="CK38" s="564"/>
      <c r="CL38" s="564"/>
      <c r="CM38" s="564"/>
      <c r="CN38" s="564"/>
      <c r="CO38" s="564"/>
      <c r="CP38" s="564"/>
      <c r="CQ38" s="564"/>
      <c r="CR38" s="564"/>
      <c r="CS38" s="564"/>
      <c r="CT38" s="564"/>
      <c r="CU38" s="564"/>
      <c r="CV38" s="564"/>
      <c r="CW38" s="564"/>
      <c r="CX38" s="564"/>
      <c r="CY38" s="564"/>
      <c r="CZ38" s="564"/>
      <c r="DA38" s="564"/>
      <c r="DB38" s="564"/>
      <c r="DC38" s="564"/>
      <c r="DD38" s="564"/>
      <c r="DE38" s="564"/>
      <c r="DF38" s="564"/>
      <c r="DG38" s="564"/>
      <c r="DH38" s="564"/>
      <c r="DI38" s="564"/>
      <c r="DJ38" s="564"/>
      <c r="DK38" s="564"/>
      <c r="DL38" s="564"/>
      <c r="DM38" s="564"/>
      <c r="DN38" s="564"/>
    </row>
    <row r="39" spans="3:118" s="567" customFormat="1" x14ac:dyDescent="0.2">
      <c r="N39" s="564"/>
      <c r="O39" s="564"/>
      <c r="P39" s="564"/>
      <c r="Q39" s="564"/>
      <c r="R39" s="564"/>
      <c r="S39" s="564"/>
      <c r="T39" s="564"/>
      <c r="U39" s="564"/>
      <c r="V39" s="564"/>
      <c r="W39" s="564"/>
      <c r="X39" s="564"/>
      <c r="Y39" s="564"/>
      <c r="Z39" s="564"/>
      <c r="AA39" s="564"/>
      <c r="AB39" s="564"/>
      <c r="AC39" s="564"/>
      <c r="AD39" s="564"/>
      <c r="AE39" s="564"/>
      <c r="AF39" s="564"/>
      <c r="AG39" s="564"/>
      <c r="AH39" s="564"/>
      <c r="AI39" s="564"/>
      <c r="AJ39" s="564"/>
      <c r="AK39" s="564"/>
      <c r="AL39" s="564"/>
      <c r="AM39" s="564"/>
      <c r="AN39" s="564"/>
      <c r="AO39" s="564"/>
      <c r="AP39" s="564"/>
      <c r="AQ39" s="564"/>
      <c r="AR39" s="564"/>
      <c r="AS39" s="564"/>
      <c r="AT39" s="564"/>
      <c r="AU39" s="564"/>
      <c r="AV39" s="564"/>
      <c r="AW39" s="564"/>
      <c r="AX39" s="564"/>
      <c r="AY39" s="564"/>
      <c r="AZ39" s="564"/>
      <c r="BA39" s="564"/>
      <c r="BB39" s="564"/>
      <c r="BC39" s="564"/>
      <c r="BD39" s="564"/>
      <c r="BE39" s="564"/>
      <c r="BF39" s="564"/>
      <c r="BG39" s="564"/>
      <c r="BH39" s="564"/>
      <c r="BI39" s="564"/>
      <c r="BJ39" s="564"/>
      <c r="BK39" s="564"/>
      <c r="BL39" s="564"/>
      <c r="BM39" s="564"/>
      <c r="BN39" s="564"/>
      <c r="BO39" s="564"/>
      <c r="BP39" s="564"/>
      <c r="BQ39" s="564"/>
      <c r="BR39" s="564"/>
      <c r="BS39" s="564"/>
      <c r="BT39" s="564"/>
      <c r="BU39" s="564"/>
      <c r="BV39" s="564"/>
      <c r="BW39" s="564"/>
      <c r="BX39" s="564"/>
      <c r="BY39" s="564"/>
      <c r="BZ39" s="564"/>
      <c r="CA39" s="564"/>
      <c r="CB39" s="564"/>
      <c r="CC39" s="564"/>
      <c r="CD39" s="564"/>
      <c r="CE39" s="564"/>
      <c r="CF39" s="564"/>
      <c r="CG39" s="564"/>
      <c r="CH39" s="564"/>
      <c r="CI39" s="564"/>
      <c r="CJ39" s="564"/>
      <c r="CK39" s="564"/>
      <c r="CL39" s="564"/>
      <c r="CM39" s="564"/>
      <c r="CN39" s="564"/>
      <c r="CO39" s="564"/>
      <c r="CP39" s="564"/>
      <c r="CQ39" s="564"/>
      <c r="CR39" s="564"/>
      <c r="CS39" s="564"/>
      <c r="CT39" s="564"/>
      <c r="CU39" s="564"/>
      <c r="CV39" s="564"/>
      <c r="CW39" s="564"/>
      <c r="CX39" s="564"/>
      <c r="CY39" s="564"/>
      <c r="CZ39" s="564"/>
      <c r="DA39" s="564"/>
      <c r="DB39" s="564"/>
      <c r="DC39" s="564"/>
      <c r="DD39" s="564"/>
      <c r="DE39" s="564"/>
      <c r="DF39" s="564"/>
      <c r="DG39" s="564"/>
      <c r="DH39" s="564"/>
      <c r="DI39" s="564"/>
      <c r="DJ39" s="564"/>
      <c r="DK39" s="564"/>
      <c r="DL39" s="564"/>
      <c r="DM39" s="564"/>
      <c r="DN39" s="564"/>
    </row>
    <row r="40" spans="3:118" s="567" customFormat="1" x14ac:dyDescent="0.2">
      <c r="N40" s="564"/>
      <c r="O40" s="564"/>
      <c r="P40" s="564"/>
      <c r="Q40" s="564"/>
      <c r="R40" s="564"/>
      <c r="S40" s="564"/>
      <c r="T40" s="564"/>
      <c r="U40" s="564"/>
      <c r="V40" s="564"/>
      <c r="W40" s="564"/>
      <c r="X40" s="564"/>
      <c r="Y40" s="564"/>
      <c r="Z40" s="564"/>
      <c r="AA40" s="564"/>
      <c r="AB40" s="564"/>
      <c r="AC40" s="564"/>
      <c r="AD40" s="564"/>
      <c r="AE40" s="564"/>
      <c r="AF40" s="564"/>
      <c r="AG40" s="564"/>
      <c r="AH40" s="564"/>
      <c r="AI40" s="564"/>
      <c r="AJ40" s="564"/>
      <c r="AK40" s="564"/>
      <c r="AL40" s="564"/>
      <c r="AM40" s="564"/>
      <c r="AN40" s="564"/>
      <c r="AO40" s="564"/>
      <c r="AP40" s="564"/>
      <c r="AQ40" s="564"/>
      <c r="AR40" s="564"/>
      <c r="AS40" s="564"/>
      <c r="AT40" s="564"/>
      <c r="AU40" s="564"/>
      <c r="AV40" s="564"/>
      <c r="AW40" s="564"/>
      <c r="AX40" s="564"/>
      <c r="AY40" s="564"/>
      <c r="AZ40" s="564"/>
      <c r="BA40" s="564"/>
      <c r="BB40" s="564"/>
      <c r="BC40" s="564"/>
      <c r="BD40" s="564"/>
      <c r="BE40" s="564"/>
      <c r="BF40" s="564"/>
      <c r="BG40" s="564"/>
      <c r="BH40" s="564"/>
      <c r="BI40" s="564"/>
      <c r="BJ40" s="564"/>
      <c r="BK40" s="564"/>
      <c r="BL40" s="564"/>
      <c r="BM40" s="564"/>
      <c r="BN40" s="564"/>
      <c r="BO40" s="564"/>
      <c r="BP40" s="564"/>
      <c r="BQ40" s="564"/>
      <c r="BR40" s="564"/>
      <c r="BS40" s="564"/>
      <c r="BT40" s="564"/>
      <c r="BU40" s="564"/>
      <c r="BV40" s="564"/>
      <c r="BW40" s="564"/>
      <c r="BX40" s="564"/>
      <c r="BY40" s="564"/>
      <c r="BZ40" s="564"/>
      <c r="CA40" s="564"/>
      <c r="CB40" s="564"/>
      <c r="CC40" s="564"/>
      <c r="CD40" s="564"/>
      <c r="CE40" s="564"/>
      <c r="CF40" s="564"/>
      <c r="CG40" s="564"/>
      <c r="CH40" s="564"/>
      <c r="CI40" s="564"/>
      <c r="CJ40" s="564"/>
      <c r="CK40" s="564"/>
      <c r="CL40" s="564"/>
      <c r="CM40" s="564"/>
      <c r="CN40" s="564"/>
      <c r="CO40" s="564"/>
      <c r="CP40" s="564"/>
      <c r="CQ40" s="564"/>
      <c r="CR40" s="564"/>
      <c r="CS40" s="564"/>
      <c r="CT40" s="564"/>
      <c r="CU40" s="564"/>
      <c r="CV40" s="564"/>
      <c r="CW40" s="564"/>
      <c r="CX40" s="564"/>
      <c r="CY40" s="564"/>
      <c r="CZ40" s="564"/>
      <c r="DA40" s="564"/>
      <c r="DB40" s="564"/>
      <c r="DC40" s="564"/>
      <c r="DD40" s="564"/>
      <c r="DE40" s="564"/>
      <c r="DF40" s="564"/>
      <c r="DG40" s="564"/>
      <c r="DH40" s="564"/>
      <c r="DI40" s="564"/>
      <c r="DJ40" s="564"/>
      <c r="DK40" s="564"/>
      <c r="DL40" s="564"/>
      <c r="DM40" s="564"/>
      <c r="DN40" s="564"/>
    </row>
    <row r="41" spans="3:118" s="567" customFormat="1" x14ac:dyDescent="0.2">
      <c r="N41" s="564"/>
      <c r="O41" s="564"/>
      <c r="P41" s="564"/>
      <c r="Q41" s="564"/>
      <c r="R41" s="564"/>
      <c r="S41" s="564"/>
      <c r="T41" s="564"/>
      <c r="U41" s="564"/>
      <c r="V41" s="564"/>
      <c r="W41" s="564"/>
      <c r="X41" s="564"/>
      <c r="Y41" s="564"/>
      <c r="Z41" s="564"/>
      <c r="AA41" s="564"/>
      <c r="AB41" s="564"/>
      <c r="AC41" s="564"/>
      <c r="AD41" s="564"/>
      <c r="AE41" s="564"/>
      <c r="AF41" s="564"/>
      <c r="AG41" s="564"/>
      <c r="AH41" s="564"/>
      <c r="AI41" s="564"/>
      <c r="AJ41" s="564"/>
      <c r="AK41" s="564"/>
      <c r="AL41" s="564"/>
      <c r="AM41" s="564"/>
      <c r="AN41" s="564"/>
      <c r="AO41" s="564"/>
      <c r="AP41" s="564"/>
      <c r="AQ41" s="564"/>
      <c r="AR41" s="564"/>
      <c r="AS41" s="564"/>
      <c r="AT41" s="564"/>
      <c r="AU41" s="564"/>
      <c r="AV41" s="564"/>
      <c r="AW41" s="564"/>
      <c r="AX41" s="564"/>
      <c r="AY41" s="564"/>
      <c r="AZ41" s="564"/>
      <c r="BA41" s="564"/>
      <c r="BB41" s="564"/>
      <c r="BC41" s="564"/>
      <c r="BD41" s="564"/>
      <c r="BE41" s="564"/>
      <c r="BF41" s="564"/>
      <c r="BG41" s="564"/>
      <c r="BH41" s="564"/>
      <c r="BI41" s="564"/>
      <c r="BJ41" s="564"/>
      <c r="BK41" s="564"/>
      <c r="BL41" s="564"/>
      <c r="BM41" s="564"/>
      <c r="BN41" s="564"/>
      <c r="BO41" s="564"/>
      <c r="BP41" s="564"/>
      <c r="BQ41" s="564"/>
      <c r="BR41" s="564"/>
      <c r="BS41" s="564"/>
      <c r="BT41" s="564"/>
      <c r="BU41" s="564"/>
      <c r="BV41" s="564"/>
      <c r="BW41" s="564"/>
      <c r="BX41" s="564"/>
      <c r="BY41" s="564"/>
      <c r="BZ41" s="564"/>
      <c r="CA41" s="564"/>
      <c r="CB41" s="564"/>
      <c r="CC41" s="564"/>
      <c r="CD41" s="564"/>
      <c r="CE41" s="564"/>
      <c r="CF41" s="564"/>
      <c r="CG41" s="564"/>
      <c r="CH41" s="564"/>
      <c r="CI41" s="564"/>
      <c r="CJ41" s="564"/>
      <c r="CK41" s="564"/>
      <c r="CL41" s="564"/>
      <c r="CM41" s="564"/>
      <c r="CN41" s="564"/>
      <c r="CO41" s="564"/>
      <c r="CP41" s="564"/>
      <c r="CQ41" s="564"/>
      <c r="CR41" s="564"/>
      <c r="CS41" s="564"/>
      <c r="CT41" s="564"/>
      <c r="CU41" s="564"/>
      <c r="CV41" s="564"/>
      <c r="CW41" s="564"/>
      <c r="CX41" s="564"/>
      <c r="CY41" s="564"/>
      <c r="CZ41" s="564"/>
      <c r="DA41" s="564"/>
      <c r="DB41" s="564"/>
      <c r="DC41" s="564"/>
      <c r="DD41" s="564"/>
      <c r="DE41" s="564"/>
      <c r="DF41" s="564"/>
      <c r="DG41" s="564"/>
      <c r="DH41" s="564"/>
      <c r="DI41" s="564"/>
      <c r="DJ41" s="564"/>
      <c r="DK41" s="564"/>
      <c r="DL41" s="564"/>
      <c r="DM41" s="564"/>
      <c r="DN41" s="564"/>
    </row>
    <row r="42" spans="3:118" s="567" customFormat="1" x14ac:dyDescent="0.2">
      <c r="N42" s="564"/>
      <c r="O42" s="564"/>
      <c r="P42" s="564"/>
      <c r="Q42" s="564"/>
      <c r="R42" s="564"/>
      <c r="S42" s="564"/>
      <c r="T42" s="564"/>
      <c r="U42" s="564"/>
      <c r="V42" s="564"/>
      <c r="W42" s="564"/>
      <c r="X42" s="564"/>
      <c r="Y42" s="564"/>
      <c r="Z42" s="564"/>
      <c r="AA42" s="564"/>
      <c r="AB42" s="564"/>
      <c r="AC42" s="564"/>
      <c r="AD42" s="564"/>
      <c r="AE42" s="564"/>
      <c r="AF42" s="564"/>
      <c r="AG42" s="564"/>
      <c r="AH42" s="564"/>
      <c r="AI42" s="564"/>
      <c r="AJ42" s="564"/>
      <c r="AK42" s="564"/>
      <c r="AL42" s="564"/>
      <c r="AM42" s="564"/>
      <c r="AN42" s="564"/>
      <c r="AO42" s="564"/>
      <c r="AP42" s="564"/>
      <c r="AQ42" s="564"/>
      <c r="AR42" s="564"/>
      <c r="AS42" s="564"/>
      <c r="AT42" s="564"/>
      <c r="AU42" s="564"/>
      <c r="AV42" s="564"/>
      <c r="AW42" s="564"/>
      <c r="AX42" s="564"/>
      <c r="AY42" s="564"/>
      <c r="AZ42" s="564"/>
      <c r="BA42" s="564"/>
      <c r="BB42" s="564"/>
      <c r="BC42" s="564"/>
      <c r="BD42" s="564"/>
      <c r="BE42" s="564"/>
      <c r="BF42" s="564"/>
      <c r="BG42" s="564"/>
      <c r="BH42" s="564"/>
      <c r="BI42" s="564"/>
      <c r="BJ42" s="564"/>
      <c r="BK42" s="564"/>
      <c r="BL42" s="564"/>
      <c r="BM42" s="564"/>
      <c r="BN42" s="564"/>
      <c r="BO42" s="564"/>
      <c r="BP42" s="564"/>
      <c r="BQ42" s="564"/>
      <c r="BR42" s="564"/>
      <c r="BS42" s="564"/>
      <c r="BT42" s="564"/>
      <c r="BU42" s="564"/>
      <c r="BV42" s="564"/>
      <c r="BW42" s="564"/>
      <c r="BX42" s="564"/>
      <c r="BY42" s="564"/>
      <c r="BZ42" s="564"/>
      <c r="CA42" s="564"/>
      <c r="CB42" s="564"/>
      <c r="CC42" s="564"/>
      <c r="CD42" s="564"/>
      <c r="CE42" s="564"/>
      <c r="CF42" s="564"/>
      <c r="CG42" s="564"/>
      <c r="CH42" s="564"/>
      <c r="CI42" s="564"/>
      <c r="CJ42" s="564"/>
      <c r="CK42" s="564"/>
      <c r="CL42" s="564"/>
      <c r="CM42" s="564"/>
      <c r="CN42" s="564"/>
      <c r="CO42" s="564"/>
      <c r="CP42" s="564"/>
      <c r="CQ42" s="564"/>
      <c r="CR42" s="564"/>
      <c r="CS42" s="564"/>
      <c r="CT42" s="564"/>
      <c r="CU42" s="564"/>
      <c r="CV42" s="564"/>
      <c r="CW42" s="564"/>
      <c r="CX42" s="564"/>
      <c r="CY42" s="564"/>
      <c r="CZ42" s="564"/>
      <c r="DA42" s="564"/>
      <c r="DB42" s="564"/>
      <c r="DC42" s="564"/>
      <c r="DD42" s="564"/>
      <c r="DE42" s="564"/>
      <c r="DF42" s="564"/>
      <c r="DG42" s="564"/>
      <c r="DH42" s="564"/>
      <c r="DI42" s="564"/>
      <c r="DJ42" s="564"/>
      <c r="DK42" s="564"/>
      <c r="DL42" s="564"/>
      <c r="DM42" s="564"/>
      <c r="DN42" s="564"/>
    </row>
    <row r="43" spans="3:118" s="567" customFormat="1" x14ac:dyDescent="0.2">
      <c r="N43" s="564"/>
      <c r="O43" s="564"/>
      <c r="P43" s="564"/>
      <c r="Q43" s="564"/>
      <c r="R43" s="564"/>
      <c r="S43" s="564"/>
      <c r="T43" s="564"/>
      <c r="U43" s="564"/>
      <c r="V43" s="564"/>
      <c r="W43" s="564"/>
      <c r="X43" s="564"/>
      <c r="Y43" s="564"/>
      <c r="Z43" s="564"/>
      <c r="AA43" s="564"/>
      <c r="AB43" s="564"/>
      <c r="AC43" s="564"/>
      <c r="AD43" s="564"/>
      <c r="AE43" s="564"/>
      <c r="AF43" s="564"/>
      <c r="AG43" s="564"/>
      <c r="AH43" s="564"/>
      <c r="AI43" s="564"/>
      <c r="AJ43" s="564"/>
      <c r="AK43" s="564"/>
      <c r="AL43" s="564"/>
      <c r="AM43" s="564"/>
      <c r="AN43" s="564"/>
      <c r="AO43" s="564"/>
      <c r="AP43" s="564"/>
      <c r="AQ43" s="564"/>
      <c r="AR43" s="564"/>
      <c r="AS43" s="564"/>
      <c r="AT43" s="564"/>
      <c r="AU43" s="564"/>
      <c r="AV43" s="564"/>
      <c r="AW43" s="564"/>
      <c r="AX43" s="564"/>
      <c r="AY43" s="564"/>
      <c r="AZ43" s="564"/>
      <c r="BA43" s="564"/>
      <c r="BB43" s="564"/>
      <c r="BC43" s="564"/>
      <c r="BD43" s="564"/>
      <c r="BE43" s="564"/>
      <c r="BF43" s="564"/>
      <c r="BG43" s="564"/>
      <c r="BH43" s="564"/>
      <c r="BI43" s="564"/>
      <c r="BJ43" s="564"/>
      <c r="BK43" s="564"/>
      <c r="BL43" s="564"/>
      <c r="BM43" s="564"/>
      <c r="BN43" s="564"/>
      <c r="BO43" s="564"/>
      <c r="BP43" s="564"/>
      <c r="BQ43" s="564"/>
      <c r="BR43" s="564"/>
      <c r="BS43" s="564"/>
      <c r="BT43" s="564"/>
      <c r="BU43" s="564"/>
      <c r="BV43" s="564"/>
      <c r="BW43" s="564"/>
      <c r="BX43" s="564"/>
      <c r="BY43" s="564"/>
      <c r="BZ43" s="564"/>
      <c r="CA43" s="564"/>
      <c r="CB43" s="564"/>
      <c r="CC43" s="564"/>
      <c r="CD43" s="564"/>
      <c r="CE43" s="564"/>
      <c r="CF43" s="564"/>
      <c r="CG43" s="564"/>
      <c r="CH43" s="564"/>
      <c r="CI43" s="564"/>
      <c r="CJ43" s="564"/>
      <c r="CK43" s="564"/>
      <c r="CL43" s="564"/>
      <c r="CM43" s="564"/>
      <c r="CN43" s="564"/>
      <c r="CO43" s="564"/>
      <c r="CP43" s="564"/>
      <c r="CQ43" s="564"/>
      <c r="CR43" s="564"/>
      <c r="CS43" s="564"/>
      <c r="CT43" s="564"/>
      <c r="CU43" s="564"/>
      <c r="CV43" s="564"/>
      <c r="CW43" s="564"/>
      <c r="CX43" s="564"/>
      <c r="CY43" s="564"/>
      <c r="CZ43" s="564"/>
      <c r="DA43" s="564"/>
      <c r="DB43" s="564"/>
      <c r="DC43" s="564"/>
      <c r="DD43" s="564"/>
      <c r="DE43" s="564"/>
      <c r="DF43" s="564"/>
      <c r="DG43" s="564"/>
      <c r="DH43" s="564"/>
      <c r="DI43" s="564"/>
      <c r="DJ43" s="564"/>
      <c r="DK43" s="564"/>
      <c r="DL43" s="564"/>
      <c r="DM43" s="564"/>
      <c r="DN43" s="564"/>
    </row>
    <row r="44" spans="3:118" s="567" customFormat="1" x14ac:dyDescent="0.2">
      <c r="N44" s="564"/>
      <c r="O44" s="564"/>
      <c r="P44" s="564"/>
      <c r="Q44" s="564"/>
      <c r="R44" s="564"/>
      <c r="S44" s="564"/>
      <c r="T44" s="564"/>
      <c r="U44" s="564"/>
      <c r="V44" s="564"/>
      <c r="W44" s="564"/>
      <c r="X44" s="564"/>
      <c r="Y44" s="564"/>
      <c r="Z44" s="564"/>
      <c r="AA44" s="564"/>
      <c r="AB44" s="564"/>
      <c r="AC44" s="564"/>
      <c r="AD44" s="564"/>
      <c r="AE44" s="564"/>
      <c r="AF44" s="564"/>
      <c r="AG44" s="564"/>
      <c r="AH44" s="564"/>
      <c r="AI44" s="564"/>
      <c r="AJ44" s="564"/>
      <c r="AK44" s="564"/>
      <c r="AL44" s="564"/>
      <c r="AM44" s="564"/>
      <c r="AN44" s="564"/>
      <c r="AO44" s="564"/>
      <c r="AP44" s="564"/>
      <c r="AQ44" s="564"/>
      <c r="AR44" s="564"/>
      <c r="AS44" s="564"/>
      <c r="AT44" s="564"/>
      <c r="AU44" s="564"/>
      <c r="AV44" s="564"/>
      <c r="AW44" s="564"/>
      <c r="AX44" s="564"/>
      <c r="AY44" s="564"/>
      <c r="AZ44" s="564"/>
      <c r="BA44" s="564"/>
      <c r="BB44" s="564"/>
      <c r="BC44" s="564"/>
      <c r="BD44" s="564"/>
      <c r="BE44" s="564"/>
      <c r="BF44" s="564"/>
      <c r="BG44" s="564"/>
      <c r="BH44" s="564"/>
      <c r="BI44" s="564"/>
      <c r="BJ44" s="564"/>
      <c r="BK44" s="564"/>
      <c r="BL44" s="564"/>
      <c r="BM44" s="564"/>
      <c r="BN44" s="564"/>
      <c r="BO44" s="564"/>
      <c r="BP44" s="564"/>
      <c r="BQ44" s="564"/>
      <c r="BR44" s="564"/>
      <c r="BS44" s="564"/>
      <c r="BT44" s="564"/>
      <c r="BU44" s="564"/>
      <c r="BV44" s="564"/>
      <c r="BW44" s="564"/>
      <c r="BX44" s="564"/>
      <c r="BY44" s="564"/>
      <c r="BZ44" s="564"/>
      <c r="CA44" s="564"/>
      <c r="CB44" s="564"/>
      <c r="CC44" s="564"/>
      <c r="CD44" s="564"/>
      <c r="CE44" s="564"/>
      <c r="CF44" s="564"/>
      <c r="CG44" s="564"/>
      <c r="CH44" s="564"/>
      <c r="CI44" s="564"/>
      <c r="CJ44" s="564"/>
      <c r="CK44" s="564"/>
      <c r="CL44" s="564"/>
      <c r="CM44" s="564"/>
      <c r="CN44" s="564"/>
      <c r="CO44" s="564"/>
      <c r="CP44" s="564"/>
      <c r="CQ44" s="564"/>
      <c r="CR44" s="564"/>
      <c r="CS44" s="564"/>
      <c r="CT44" s="564"/>
      <c r="CU44" s="564"/>
      <c r="CV44" s="564"/>
      <c r="CW44" s="564"/>
      <c r="CX44" s="564"/>
      <c r="CY44" s="564"/>
      <c r="CZ44" s="564"/>
      <c r="DA44" s="564"/>
      <c r="DB44" s="564"/>
      <c r="DC44" s="564"/>
      <c r="DD44" s="564"/>
      <c r="DE44" s="564"/>
      <c r="DF44" s="564"/>
      <c r="DG44" s="564"/>
      <c r="DH44" s="564"/>
      <c r="DI44" s="564"/>
      <c r="DJ44" s="564"/>
      <c r="DK44" s="564"/>
      <c r="DL44" s="564"/>
      <c r="DM44" s="564"/>
      <c r="DN44" s="564"/>
    </row>
    <row r="45" spans="3:118" s="567" customFormat="1" x14ac:dyDescent="0.2">
      <c r="C45" s="425" t="str">
        <f ca="1">IF(OFFSET(Q45,0,Lang_Order*Lang__R1)="","",OFFSET(Q45,0,Lang_Order*Lang__R1))</f>
        <v>Total Costs (excluding vaccines)</v>
      </c>
      <c r="L45" s="425" t="str">
        <f ca="1">IF(OFFSET(Z45,0,Lang_Order*Lang__R1)="","",OFFSET(Z45,0,Lang_Order*Lang__R1))</f>
        <v>Cumulative Costs (excluding vaccines)</v>
      </c>
      <c r="N45" s="564"/>
      <c r="O45" s="564"/>
      <c r="P45" s="564"/>
      <c r="Q45" s="564" t="s">
        <v>14095</v>
      </c>
      <c r="Z45" s="564" t="s">
        <v>14096</v>
      </c>
      <c r="AA45" s="564"/>
      <c r="AB45" s="564"/>
      <c r="AC45" s="564"/>
      <c r="AD45" s="564"/>
      <c r="AE45" s="564"/>
      <c r="AF45" s="564" t="s">
        <v>14083</v>
      </c>
      <c r="AN45" s="564"/>
      <c r="AO45" s="564" t="s">
        <v>14089</v>
      </c>
      <c r="AP45" s="564"/>
      <c r="AQ45" s="564"/>
      <c r="AR45" s="564"/>
      <c r="AS45" s="564"/>
      <c r="AT45" s="564"/>
      <c r="AU45" s="564" t="s">
        <v>14084</v>
      </c>
      <c r="BC45" s="564"/>
      <c r="BD45" s="564" t="s">
        <v>14090</v>
      </c>
      <c r="BE45" s="564"/>
      <c r="BF45" s="564"/>
      <c r="BG45" s="564"/>
      <c r="BH45" s="564"/>
      <c r="BI45" s="564"/>
      <c r="BJ45" s="564" t="s">
        <v>14085</v>
      </c>
      <c r="BQ45" s="564"/>
      <c r="BR45" s="564"/>
      <c r="BS45" s="564" t="s">
        <v>14091</v>
      </c>
      <c r="BT45" s="564"/>
      <c r="BU45" s="564"/>
      <c r="BV45" s="564"/>
      <c r="BW45" s="564"/>
      <c r="BX45" s="564"/>
      <c r="BY45" s="564" t="s">
        <v>14086</v>
      </c>
      <c r="CE45" s="564"/>
      <c r="CF45" s="564"/>
      <c r="CG45" s="564"/>
      <c r="CH45" s="564" t="s">
        <v>14092</v>
      </c>
      <c r="CI45" s="564"/>
      <c r="CJ45" s="564"/>
      <c r="CK45" s="564"/>
      <c r="CL45" s="564"/>
      <c r="CM45" s="564"/>
      <c r="CN45" s="564" t="s">
        <v>14087</v>
      </c>
      <c r="CP45" s="564"/>
      <c r="CQ45" s="564"/>
      <c r="CR45" s="564"/>
      <c r="CS45" s="564"/>
      <c r="CT45" s="564"/>
      <c r="CU45" s="564"/>
      <c r="CV45" s="564"/>
      <c r="CW45" s="564" t="s">
        <v>14093</v>
      </c>
      <c r="CX45" s="564"/>
      <c r="CY45" s="564"/>
      <c r="CZ45" s="564"/>
      <c r="DA45" s="564"/>
      <c r="DB45" s="564"/>
      <c r="DC45" s="564" t="s">
        <v>14088</v>
      </c>
      <c r="DD45" s="564"/>
      <c r="DE45" s="564"/>
      <c r="DF45" s="564"/>
      <c r="DG45" s="564"/>
      <c r="DH45" s="564"/>
      <c r="DI45" s="564"/>
      <c r="DJ45" s="564"/>
      <c r="DK45" s="564"/>
      <c r="DL45" s="564" t="s">
        <v>14094</v>
      </c>
      <c r="DM45" s="564"/>
      <c r="DN45" s="564"/>
    </row>
    <row r="46" spans="3:118" s="567" customFormat="1" x14ac:dyDescent="0.2">
      <c r="D46" s="597" t="e">
        <f t="shared" ref="D46:D48" ca="1" si="11">D15-D$67</f>
        <v>#N/A</v>
      </c>
      <c r="E46" s="165"/>
      <c r="F46" s="165"/>
      <c r="G46" s="597" t="e">
        <f t="shared" ref="G46:K46" ca="1" si="12">G15-G$67</f>
        <v>#N/A</v>
      </c>
      <c r="H46" s="597" t="e">
        <f t="shared" ca="1" si="12"/>
        <v>#N/A</v>
      </c>
      <c r="I46" s="597" t="e">
        <f t="shared" ca="1" si="12"/>
        <v>#N/A</v>
      </c>
      <c r="J46" s="597" t="e">
        <f t="shared" ca="1" si="12"/>
        <v>#N/A</v>
      </c>
      <c r="K46" s="597" t="e">
        <f t="shared" ca="1" si="12"/>
        <v>#N/A</v>
      </c>
      <c r="L46" s="597" t="e">
        <f ca="1">L15-L$67</f>
        <v>#N/A</v>
      </c>
      <c r="N46" s="564"/>
      <c r="O46" s="564"/>
      <c r="P46" s="564"/>
      <c r="Q46" s="564"/>
      <c r="R46" s="564"/>
      <c r="S46" s="564"/>
      <c r="T46" s="564"/>
      <c r="U46" s="564"/>
      <c r="V46" s="564"/>
      <c r="W46" s="564"/>
      <c r="X46" s="564"/>
      <c r="Y46" s="564"/>
      <c r="Z46" s="564"/>
      <c r="AA46" s="564"/>
      <c r="AB46" s="564"/>
      <c r="AC46" s="564"/>
      <c r="AD46" s="564"/>
      <c r="AE46" s="564"/>
      <c r="AF46" s="564"/>
      <c r="AG46" s="564"/>
      <c r="AH46" s="564"/>
      <c r="AI46" s="564"/>
      <c r="AJ46" s="564"/>
      <c r="AK46" s="564"/>
      <c r="AL46" s="564"/>
      <c r="AM46" s="564"/>
      <c r="AN46" s="564"/>
      <c r="AO46" s="564"/>
      <c r="AP46" s="564"/>
      <c r="AQ46" s="564"/>
      <c r="AR46" s="564"/>
      <c r="AS46" s="564"/>
      <c r="AT46" s="564"/>
      <c r="AU46" s="564"/>
      <c r="AV46" s="564"/>
      <c r="AW46" s="564"/>
      <c r="AX46" s="564"/>
      <c r="AY46" s="564"/>
      <c r="AZ46" s="564"/>
      <c r="BA46" s="564"/>
      <c r="BB46" s="564"/>
      <c r="BC46" s="564"/>
      <c r="BD46" s="564"/>
      <c r="BE46" s="564"/>
      <c r="BF46" s="564"/>
      <c r="BG46" s="564"/>
      <c r="BH46" s="564"/>
      <c r="BI46" s="564"/>
      <c r="BJ46" s="564"/>
      <c r="BK46" s="564"/>
      <c r="BL46" s="564"/>
      <c r="BM46" s="564"/>
      <c r="BN46" s="564"/>
      <c r="BO46" s="564"/>
      <c r="BP46" s="564"/>
      <c r="BQ46" s="564"/>
      <c r="BR46" s="564"/>
      <c r="BS46" s="564"/>
      <c r="BT46" s="564"/>
      <c r="BU46" s="564"/>
      <c r="BV46" s="564"/>
      <c r="BW46" s="564"/>
      <c r="BX46" s="564"/>
      <c r="BY46" s="564"/>
      <c r="BZ46" s="564"/>
      <c r="CA46" s="564"/>
      <c r="CB46" s="564"/>
      <c r="CC46" s="564"/>
      <c r="CD46" s="564"/>
      <c r="CE46" s="564"/>
      <c r="CF46" s="564"/>
      <c r="CG46" s="564"/>
      <c r="CH46" s="564"/>
      <c r="CI46" s="564"/>
      <c r="CJ46" s="564"/>
      <c r="CK46" s="564"/>
      <c r="CL46" s="564"/>
      <c r="CM46" s="564"/>
      <c r="CN46" s="564"/>
      <c r="CO46" s="564"/>
      <c r="CP46" s="564"/>
      <c r="CQ46" s="564"/>
      <c r="CR46" s="564"/>
      <c r="CS46" s="564"/>
      <c r="CT46" s="564"/>
      <c r="CU46" s="564"/>
      <c r="CV46" s="564"/>
      <c r="CW46" s="564"/>
      <c r="CX46" s="564"/>
      <c r="CY46" s="564"/>
      <c r="CZ46" s="564"/>
      <c r="DA46" s="564"/>
      <c r="DB46" s="564"/>
      <c r="DC46" s="564"/>
      <c r="DD46" s="564"/>
      <c r="DE46" s="564"/>
      <c r="DF46" s="564"/>
      <c r="DG46" s="564"/>
      <c r="DH46" s="564"/>
      <c r="DI46" s="564"/>
      <c r="DJ46" s="564"/>
      <c r="DK46" s="564"/>
      <c r="DL46" s="564"/>
      <c r="DM46" s="564"/>
      <c r="DN46" s="564"/>
    </row>
    <row r="47" spans="3:118" s="567" customFormat="1" x14ac:dyDescent="0.2">
      <c r="D47" s="597" t="e">
        <f t="shared" ca="1" si="11"/>
        <v>#N/A</v>
      </c>
      <c r="E47" s="165"/>
      <c r="F47" s="165"/>
      <c r="G47" s="597" t="e">
        <f t="shared" ref="G47:L47" ca="1" si="13">G16-G$67</f>
        <v>#N/A</v>
      </c>
      <c r="H47" s="597" t="e">
        <f t="shared" ca="1" si="13"/>
        <v>#N/A</v>
      </c>
      <c r="I47" s="597" t="e">
        <f t="shared" ca="1" si="13"/>
        <v>#N/A</v>
      </c>
      <c r="J47" s="597" t="e">
        <f t="shared" ca="1" si="13"/>
        <v>#N/A</v>
      </c>
      <c r="K47" s="597" t="e">
        <f t="shared" ca="1" si="13"/>
        <v>#N/A</v>
      </c>
      <c r="L47" s="597" t="e">
        <f t="shared" ca="1" si="13"/>
        <v>#N/A</v>
      </c>
      <c r="N47" s="564"/>
      <c r="O47" s="564"/>
      <c r="P47" s="564"/>
      <c r="Q47" s="564"/>
      <c r="R47" s="564"/>
      <c r="S47" s="564"/>
      <c r="T47" s="564"/>
      <c r="U47" s="564"/>
      <c r="V47" s="564"/>
      <c r="W47" s="564"/>
      <c r="X47" s="564"/>
      <c r="Y47" s="564"/>
      <c r="Z47" s="564"/>
      <c r="AA47" s="564"/>
      <c r="AB47" s="564"/>
      <c r="AC47" s="564"/>
      <c r="AD47" s="564"/>
      <c r="AE47" s="564"/>
      <c r="AF47" s="564"/>
      <c r="AG47" s="564"/>
      <c r="AH47" s="564"/>
      <c r="AI47" s="564"/>
      <c r="AJ47" s="564"/>
      <c r="AK47" s="564"/>
      <c r="AL47" s="564"/>
      <c r="AM47" s="564"/>
      <c r="AN47" s="564"/>
      <c r="AO47" s="564"/>
      <c r="AP47" s="564"/>
      <c r="AQ47" s="564"/>
      <c r="AR47" s="564"/>
      <c r="AS47" s="564"/>
      <c r="AT47" s="564"/>
      <c r="AU47" s="564"/>
      <c r="AV47" s="564"/>
      <c r="AW47" s="564"/>
      <c r="AX47" s="564"/>
      <c r="AY47" s="564"/>
      <c r="AZ47" s="564"/>
      <c r="BA47" s="564"/>
      <c r="BB47" s="564"/>
      <c r="BC47" s="564"/>
      <c r="BD47" s="564"/>
      <c r="BE47" s="564"/>
      <c r="BF47" s="564"/>
      <c r="BG47" s="564"/>
      <c r="BH47" s="564"/>
      <c r="BI47" s="564"/>
      <c r="BJ47" s="564"/>
      <c r="BK47" s="564"/>
      <c r="BL47" s="564"/>
      <c r="BM47" s="564"/>
      <c r="BN47" s="564"/>
      <c r="BO47" s="564"/>
      <c r="BP47" s="564"/>
      <c r="BQ47" s="564"/>
      <c r="BR47" s="564"/>
      <c r="BS47" s="564"/>
      <c r="BT47" s="564"/>
      <c r="BU47" s="564"/>
      <c r="BV47" s="564"/>
      <c r="BW47" s="564"/>
      <c r="BX47" s="564"/>
      <c r="BY47" s="564"/>
      <c r="BZ47" s="564"/>
      <c r="CA47" s="564"/>
      <c r="CB47" s="564"/>
      <c r="CC47" s="564"/>
      <c r="CD47" s="564"/>
      <c r="CE47" s="564"/>
      <c r="CF47" s="564"/>
      <c r="CG47" s="564"/>
      <c r="CH47" s="564"/>
      <c r="CI47" s="564"/>
      <c r="CJ47" s="564"/>
      <c r="CK47" s="564"/>
      <c r="CL47" s="564"/>
      <c r="CM47" s="564"/>
      <c r="CN47" s="564"/>
      <c r="CO47" s="564"/>
      <c r="CP47" s="564"/>
      <c r="CQ47" s="564"/>
      <c r="CR47" s="564"/>
      <c r="CS47" s="564"/>
      <c r="CT47" s="564"/>
      <c r="CU47" s="564"/>
      <c r="CV47" s="564"/>
      <c r="CW47" s="564"/>
      <c r="CX47" s="564"/>
      <c r="CY47" s="564"/>
      <c r="CZ47" s="564"/>
      <c r="DA47" s="564"/>
      <c r="DB47" s="564"/>
      <c r="DC47" s="564"/>
      <c r="DD47" s="564"/>
      <c r="DE47" s="564"/>
      <c r="DF47" s="564"/>
      <c r="DG47" s="564"/>
      <c r="DH47" s="564"/>
      <c r="DI47" s="564"/>
      <c r="DJ47" s="564"/>
      <c r="DK47" s="564"/>
      <c r="DL47" s="564"/>
      <c r="DM47" s="564"/>
      <c r="DN47" s="564"/>
    </row>
    <row r="48" spans="3:118" s="567" customFormat="1" x14ac:dyDescent="0.2">
      <c r="D48" s="597" t="e">
        <f t="shared" ca="1" si="11"/>
        <v>#N/A</v>
      </c>
      <c r="E48" s="165"/>
      <c r="F48" s="165"/>
      <c r="G48" s="597" t="e">
        <f t="shared" ref="G48:L48" ca="1" si="14">G17-G$67</f>
        <v>#N/A</v>
      </c>
      <c r="H48" s="597" t="e">
        <f t="shared" ca="1" si="14"/>
        <v>#N/A</v>
      </c>
      <c r="I48" s="597" t="e">
        <f t="shared" ca="1" si="14"/>
        <v>#N/A</v>
      </c>
      <c r="J48" s="597" t="e">
        <f t="shared" ca="1" si="14"/>
        <v>#N/A</v>
      </c>
      <c r="K48" s="597" t="e">
        <f t="shared" ca="1" si="14"/>
        <v>#N/A</v>
      </c>
      <c r="L48" s="597" t="e">
        <f t="shared" ca="1" si="14"/>
        <v>#N/A</v>
      </c>
      <c r="N48" s="564"/>
      <c r="O48" s="564"/>
      <c r="P48" s="564"/>
      <c r="Q48" s="564"/>
      <c r="R48" s="564"/>
      <c r="S48" s="564"/>
      <c r="T48" s="564"/>
      <c r="U48" s="564"/>
      <c r="V48" s="564"/>
      <c r="W48" s="564"/>
      <c r="X48" s="564"/>
      <c r="Y48" s="564"/>
      <c r="Z48" s="564"/>
      <c r="AA48" s="564"/>
      <c r="AB48" s="564"/>
      <c r="AC48" s="564"/>
      <c r="AD48" s="564"/>
      <c r="AE48" s="564"/>
      <c r="AF48" s="564"/>
      <c r="AG48" s="564"/>
      <c r="AH48" s="564"/>
      <c r="AI48" s="564"/>
      <c r="AJ48" s="564"/>
      <c r="AK48" s="564"/>
      <c r="AL48" s="564"/>
      <c r="AM48" s="564"/>
      <c r="AN48" s="564"/>
      <c r="AO48" s="564"/>
      <c r="AP48" s="564"/>
      <c r="AQ48" s="564"/>
      <c r="AR48" s="564"/>
      <c r="AS48" s="564"/>
      <c r="AT48" s="564"/>
      <c r="AU48" s="564"/>
      <c r="AV48" s="564"/>
      <c r="AW48" s="564"/>
      <c r="AX48" s="564"/>
      <c r="AY48" s="564"/>
      <c r="AZ48" s="564"/>
      <c r="BA48" s="564"/>
      <c r="BB48" s="564"/>
      <c r="BC48" s="564"/>
      <c r="BD48" s="564"/>
      <c r="BE48" s="564"/>
      <c r="BF48" s="564"/>
      <c r="BG48" s="564"/>
      <c r="BH48" s="564"/>
      <c r="BI48" s="564"/>
      <c r="BJ48" s="564"/>
      <c r="BK48" s="564"/>
      <c r="BL48" s="564"/>
      <c r="BM48" s="564"/>
      <c r="BN48" s="564"/>
      <c r="BO48" s="564"/>
      <c r="BP48" s="564"/>
      <c r="BQ48" s="564"/>
      <c r="BR48" s="564"/>
      <c r="BS48" s="564"/>
      <c r="BT48" s="564"/>
      <c r="BU48" s="564"/>
      <c r="BV48" s="564"/>
      <c r="BW48" s="564"/>
      <c r="BX48" s="564"/>
      <c r="BY48" s="564"/>
      <c r="BZ48" s="564"/>
      <c r="CA48" s="564"/>
      <c r="CB48" s="564"/>
      <c r="CC48" s="564"/>
      <c r="CD48" s="564"/>
      <c r="CE48" s="564"/>
      <c r="CF48" s="564"/>
      <c r="CG48" s="564"/>
      <c r="CH48" s="564"/>
      <c r="CI48" s="564"/>
      <c r="CJ48" s="564"/>
      <c r="CK48" s="564"/>
      <c r="CL48" s="564"/>
      <c r="CM48" s="564"/>
      <c r="CN48" s="564"/>
      <c r="CO48" s="564"/>
      <c r="CP48" s="564"/>
      <c r="CQ48" s="564"/>
      <c r="CR48" s="564"/>
      <c r="CS48" s="564"/>
      <c r="CT48" s="564"/>
      <c r="CU48" s="564"/>
      <c r="CV48" s="564"/>
      <c r="CW48" s="564"/>
      <c r="CX48" s="564"/>
      <c r="CY48" s="564"/>
      <c r="CZ48" s="564"/>
      <c r="DA48" s="564"/>
      <c r="DB48" s="564"/>
      <c r="DC48" s="564"/>
      <c r="DD48" s="564"/>
      <c r="DE48" s="564"/>
      <c r="DF48" s="564"/>
      <c r="DG48" s="564"/>
      <c r="DH48" s="564"/>
      <c r="DI48" s="564"/>
      <c r="DJ48" s="564"/>
      <c r="DK48" s="564"/>
      <c r="DL48" s="564"/>
      <c r="DM48" s="564"/>
      <c r="DN48" s="564"/>
    </row>
    <row r="49" spans="1:118" s="567" customFormat="1" x14ac:dyDescent="0.2">
      <c r="E49" s="165"/>
      <c r="F49" s="165"/>
      <c r="G49" s="165"/>
      <c r="H49" s="165"/>
      <c r="I49" s="165"/>
      <c r="J49" s="165"/>
      <c r="K49" s="165"/>
      <c r="L49" s="165"/>
      <c r="N49" s="564"/>
      <c r="O49" s="564"/>
      <c r="P49" s="564"/>
      <c r="Q49" s="564"/>
      <c r="R49" s="564"/>
      <c r="S49" s="564"/>
      <c r="T49" s="564"/>
      <c r="U49" s="564"/>
      <c r="V49" s="564"/>
      <c r="W49" s="564"/>
      <c r="X49" s="564"/>
      <c r="Y49" s="564"/>
      <c r="Z49" s="564"/>
      <c r="AA49" s="564"/>
      <c r="AB49" s="564"/>
      <c r="AC49" s="564"/>
      <c r="AD49" s="564"/>
      <c r="AE49" s="564"/>
      <c r="AF49" s="564"/>
      <c r="AG49" s="564"/>
      <c r="AH49" s="564"/>
      <c r="AI49" s="564"/>
      <c r="AJ49" s="564"/>
      <c r="AK49" s="564"/>
      <c r="AL49" s="564"/>
      <c r="AM49" s="564"/>
      <c r="AN49" s="564"/>
      <c r="AO49" s="564"/>
      <c r="AP49" s="564"/>
      <c r="AQ49" s="564"/>
      <c r="AR49" s="564"/>
      <c r="AS49" s="564"/>
      <c r="AT49" s="564"/>
      <c r="AU49" s="564"/>
      <c r="AV49" s="564"/>
      <c r="AW49" s="564"/>
      <c r="AX49" s="564"/>
      <c r="AY49" s="564"/>
      <c r="AZ49" s="564"/>
      <c r="BA49" s="564"/>
      <c r="BB49" s="564"/>
      <c r="BC49" s="564"/>
      <c r="BD49" s="564"/>
      <c r="BE49" s="564"/>
      <c r="BF49" s="564"/>
      <c r="BG49" s="564"/>
      <c r="BH49" s="564"/>
      <c r="BI49" s="564"/>
      <c r="BJ49" s="564"/>
      <c r="BK49" s="564"/>
      <c r="BL49" s="564"/>
      <c r="BM49" s="564"/>
      <c r="BN49" s="564"/>
      <c r="BO49" s="564"/>
      <c r="BP49" s="564"/>
      <c r="BQ49" s="564"/>
      <c r="BR49" s="564"/>
      <c r="BS49" s="564"/>
      <c r="BT49" s="564"/>
      <c r="BU49" s="564"/>
      <c r="BV49" s="564"/>
      <c r="BW49" s="564"/>
      <c r="BX49" s="564"/>
      <c r="BY49" s="564"/>
      <c r="BZ49" s="564"/>
      <c r="CA49" s="564"/>
      <c r="CB49" s="564"/>
      <c r="CC49" s="564"/>
      <c r="CD49" s="564"/>
      <c r="CE49" s="564"/>
      <c r="CF49" s="564"/>
      <c r="CG49" s="564"/>
      <c r="CH49" s="564"/>
      <c r="CI49" s="564"/>
      <c r="CJ49" s="564"/>
      <c r="CK49" s="564"/>
      <c r="CL49" s="564"/>
      <c r="CM49" s="564"/>
      <c r="CN49" s="564"/>
      <c r="CO49" s="564"/>
      <c r="CP49" s="564"/>
      <c r="CQ49" s="564"/>
      <c r="CR49" s="564"/>
      <c r="CS49" s="564"/>
      <c r="CT49" s="564"/>
      <c r="CU49" s="564"/>
      <c r="CV49" s="564"/>
      <c r="CW49" s="564"/>
      <c r="CX49" s="564"/>
      <c r="CY49" s="564"/>
      <c r="CZ49" s="564"/>
      <c r="DA49" s="564"/>
      <c r="DB49" s="564"/>
      <c r="DC49" s="564"/>
      <c r="DD49" s="564"/>
      <c r="DE49" s="564"/>
      <c r="DF49" s="564"/>
      <c r="DG49" s="564"/>
      <c r="DH49" s="564"/>
      <c r="DI49" s="564"/>
      <c r="DJ49" s="564"/>
      <c r="DK49" s="564"/>
      <c r="DL49" s="564"/>
      <c r="DM49" s="564"/>
      <c r="DN49" s="564"/>
    </row>
    <row r="50" spans="1:118" s="567" customFormat="1" x14ac:dyDescent="0.2">
      <c r="E50" s="165"/>
      <c r="F50" s="165"/>
      <c r="G50" s="165"/>
      <c r="H50" s="165"/>
      <c r="I50" s="165"/>
      <c r="J50" s="165"/>
      <c r="K50" s="165"/>
      <c r="L50" s="165"/>
      <c r="N50" s="564"/>
      <c r="O50" s="564"/>
      <c r="P50" s="564"/>
      <c r="Q50" s="564"/>
      <c r="R50" s="564"/>
      <c r="S50" s="564"/>
      <c r="T50" s="564"/>
      <c r="U50" s="564"/>
      <c r="V50" s="564"/>
      <c r="W50" s="564"/>
      <c r="X50" s="564"/>
      <c r="Y50" s="564"/>
      <c r="Z50" s="564"/>
      <c r="AA50" s="564"/>
      <c r="AB50" s="564"/>
      <c r="AC50" s="564"/>
      <c r="AD50" s="564"/>
      <c r="AE50" s="564"/>
      <c r="AF50" s="564"/>
      <c r="AG50" s="564"/>
      <c r="AH50" s="564"/>
      <c r="AI50" s="564"/>
      <c r="AJ50" s="564"/>
      <c r="AK50" s="564"/>
      <c r="AL50" s="564"/>
      <c r="AM50" s="564"/>
      <c r="AN50" s="564"/>
      <c r="AO50" s="564"/>
      <c r="AP50" s="564"/>
      <c r="AQ50" s="564"/>
      <c r="AR50" s="564"/>
      <c r="AS50" s="564"/>
      <c r="AT50" s="564"/>
      <c r="AU50" s="564"/>
      <c r="AV50" s="564"/>
      <c r="AW50" s="564"/>
      <c r="AX50" s="564"/>
      <c r="AY50" s="564"/>
      <c r="AZ50" s="564"/>
      <c r="BA50" s="564"/>
      <c r="BB50" s="564"/>
      <c r="BC50" s="564"/>
      <c r="BD50" s="564"/>
      <c r="BE50" s="564"/>
      <c r="BF50" s="564"/>
      <c r="BG50" s="564"/>
      <c r="BH50" s="564"/>
      <c r="BI50" s="564"/>
      <c r="BJ50" s="564"/>
      <c r="BK50" s="564"/>
      <c r="BL50" s="564"/>
      <c r="BM50" s="564"/>
      <c r="BN50" s="564"/>
      <c r="BO50" s="564"/>
      <c r="BP50" s="564"/>
      <c r="BQ50" s="564"/>
      <c r="BR50" s="564"/>
      <c r="BS50" s="564"/>
      <c r="BT50" s="564"/>
      <c r="BU50" s="564"/>
      <c r="BV50" s="564"/>
      <c r="BW50" s="564"/>
      <c r="BX50" s="564"/>
      <c r="BY50" s="564"/>
      <c r="BZ50" s="564"/>
      <c r="CA50" s="564"/>
      <c r="CB50" s="564"/>
      <c r="CC50" s="564"/>
      <c r="CD50" s="564"/>
      <c r="CE50" s="564"/>
      <c r="CF50" s="564"/>
      <c r="CG50" s="564"/>
      <c r="CH50" s="564"/>
      <c r="CI50" s="564"/>
      <c r="CJ50" s="564"/>
      <c r="CK50" s="564"/>
      <c r="CL50" s="564"/>
      <c r="CM50" s="564"/>
      <c r="CN50" s="564"/>
      <c r="CO50" s="564"/>
      <c r="CP50" s="564"/>
      <c r="CQ50" s="564"/>
      <c r="CR50" s="564"/>
      <c r="CS50" s="564"/>
      <c r="CT50" s="564"/>
      <c r="CU50" s="564"/>
      <c r="CV50" s="564"/>
      <c r="CW50" s="564"/>
      <c r="CX50" s="564"/>
      <c r="CY50" s="564"/>
      <c r="CZ50" s="564"/>
      <c r="DA50" s="564"/>
      <c r="DB50" s="564"/>
      <c r="DC50" s="564"/>
      <c r="DD50" s="564"/>
      <c r="DE50" s="564"/>
      <c r="DF50" s="564"/>
      <c r="DG50" s="564"/>
      <c r="DH50" s="564"/>
      <c r="DI50" s="564"/>
      <c r="DJ50" s="564"/>
      <c r="DK50" s="564"/>
      <c r="DL50" s="564"/>
      <c r="DM50" s="564"/>
      <c r="DN50" s="564"/>
    </row>
    <row r="51" spans="1:118" s="567" customFormat="1" x14ac:dyDescent="0.2">
      <c r="E51" s="165"/>
      <c r="F51" s="165"/>
      <c r="G51" s="165"/>
      <c r="H51" s="165"/>
      <c r="I51" s="165"/>
      <c r="J51" s="165"/>
      <c r="K51" s="165"/>
      <c r="L51" s="165"/>
      <c r="N51" s="564"/>
      <c r="O51" s="564"/>
      <c r="P51" s="564"/>
      <c r="Q51" s="564"/>
      <c r="R51" s="564"/>
      <c r="S51" s="564"/>
      <c r="T51" s="564"/>
      <c r="U51" s="564"/>
      <c r="V51" s="564"/>
      <c r="W51" s="564"/>
      <c r="X51" s="564"/>
      <c r="Y51" s="564"/>
      <c r="Z51" s="564"/>
      <c r="AA51" s="564"/>
      <c r="AB51" s="564"/>
      <c r="AC51" s="564"/>
      <c r="AD51" s="564"/>
      <c r="AE51" s="564"/>
      <c r="AF51" s="564"/>
      <c r="AG51" s="564"/>
      <c r="AH51" s="564"/>
      <c r="AI51" s="564"/>
      <c r="AJ51" s="564"/>
      <c r="AK51" s="564"/>
      <c r="AL51" s="564"/>
      <c r="AM51" s="564"/>
      <c r="AN51" s="564"/>
      <c r="AO51" s="564"/>
      <c r="AP51" s="564"/>
      <c r="AQ51" s="564"/>
      <c r="AR51" s="564"/>
      <c r="AS51" s="564"/>
      <c r="AT51" s="564"/>
      <c r="AU51" s="564"/>
      <c r="AV51" s="564"/>
      <c r="AW51" s="564"/>
      <c r="AX51" s="564"/>
      <c r="AY51" s="564"/>
      <c r="AZ51" s="564"/>
      <c r="BA51" s="564"/>
      <c r="BB51" s="564"/>
      <c r="BC51" s="564"/>
      <c r="BD51" s="564"/>
      <c r="BE51" s="564"/>
      <c r="BF51" s="564"/>
      <c r="BG51" s="564"/>
      <c r="BH51" s="564"/>
      <c r="BI51" s="564"/>
      <c r="BJ51" s="564"/>
      <c r="BK51" s="564"/>
      <c r="BL51" s="564"/>
      <c r="BM51" s="564"/>
      <c r="BN51" s="564"/>
      <c r="BO51" s="564"/>
      <c r="BP51" s="564"/>
      <c r="BQ51" s="564"/>
      <c r="BR51" s="564"/>
      <c r="BS51" s="564"/>
      <c r="BT51" s="564"/>
      <c r="BU51" s="564"/>
      <c r="BV51" s="564"/>
      <c r="BW51" s="564"/>
      <c r="BX51" s="564"/>
      <c r="BY51" s="564"/>
      <c r="BZ51" s="564"/>
      <c r="CA51" s="564"/>
      <c r="CB51" s="564"/>
      <c r="CC51" s="564"/>
      <c r="CD51" s="564"/>
      <c r="CE51" s="564"/>
      <c r="CF51" s="564"/>
      <c r="CG51" s="564"/>
      <c r="CH51" s="564"/>
      <c r="CI51" s="564"/>
      <c r="CJ51" s="564"/>
      <c r="CK51" s="564"/>
      <c r="CL51" s="564"/>
      <c r="CM51" s="564"/>
      <c r="CN51" s="564"/>
      <c r="CO51" s="564"/>
      <c r="CP51" s="564"/>
      <c r="CQ51" s="564"/>
      <c r="CR51" s="564"/>
      <c r="CS51" s="564"/>
      <c r="CT51" s="564"/>
      <c r="CU51" s="564"/>
      <c r="CV51" s="564"/>
      <c r="CW51" s="564"/>
      <c r="CX51" s="564"/>
      <c r="CY51" s="564"/>
      <c r="CZ51" s="564"/>
      <c r="DA51" s="564"/>
      <c r="DB51" s="564"/>
      <c r="DC51" s="564"/>
      <c r="DD51" s="564"/>
      <c r="DE51" s="564"/>
      <c r="DF51" s="564"/>
      <c r="DG51" s="564"/>
      <c r="DH51" s="564"/>
      <c r="DI51" s="564"/>
      <c r="DJ51" s="564"/>
      <c r="DK51" s="564"/>
      <c r="DL51" s="564"/>
      <c r="DM51" s="564"/>
      <c r="DN51" s="564"/>
    </row>
    <row r="52" spans="1:118" s="122" customFormat="1" x14ac:dyDescent="0.2">
      <c r="D52" s="300"/>
      <c r="E52" s="165"/>
      <c r="F52" s="165"/>
      <c r="G52" s="598" t="e">
        <f t="shared" ref="G52:G54" ca="1" si="15">G46</f>
        <v>#N/A</v>
      </c>
      <c r="H52" s="598" t="e">
        <f t="shared" ref="H52:H54" ca="1" si="16">G52+H46</f>
        <v>#N/A</v>
      </c>
      <c r="I52" s="598" t="e">
        <f t="shared" ref="I52:I54" ca="1" si="17">H52+I46</f>
        <v>#N/A</v>
      </c>
      <c r="J52" s="598" t="e">
        <f t="shared" ref="J52:J54" ca="1" si="18">I52+J46</f>
        <v>#N/A</v>
      </c>
      <c r="K52" s="598" t="e">
        <f t="shared" ref="K52:K54" ca="1" si="19">J52+K46</f>
        <v>#N/A</v>
      </c>
      <c r="L52" s="598" t="e">
        <f t="shared" ref="L52:L54" ca="1" si="20">K52+L46</f>
        <v>#N/A</v>
      </c>
      <c r="N52" s="403"/>
      <c r="O52" s="403"/>
      <c r="P52" s="403"/>
      <c r="Q52" s="403"/>
      <c r="R52" s="403"/>
      <c r="S52" s="403"/>
      <c r="T52" s="403"/>
      <c r="U52" s="403"/>
      <c r="V52" s="403"/>
      <c r="W52" s="403"/>
      <c r="X52" s="403"/>
      <c r="Y52" s="403"/>
      <c r="Z52" s="403"/>
      <c r="AA52" s="403"/>
      <c r="AB52" s="403"/>
      <c r="AC52" s="564"/>
      <c r="AD52" s="403"/>
      <c r="AE52" s="403"/>
      <c r="AF52" s="403"/>
      <c r="AG52" s="403"/>
      <c r="AH52" s="403"/>
      <c r="AI52" s="403"/>
      <c r="AJ52" s="403"/>
      <c r="AK52" s="403"/>
      <c r="AL52" s="403"/>
      <c r="AM52" s="403"/>
      <c r="AN52" s="403"/>
      <c r="AO52" s="403"/>
      <c r="AP52" s="403"/>
      <c r="AQ52" s="403"/>
      <c r="AR52" s="403"/>
      <c r="AS52" s="403"/>
      <c r="AT52" s="403"/>
      <c r="AU52" s="403"/>
      <c r="AV52" s="403"/>
      <c r="AW52" s="403"/>
      <c r="AX52" s="403"/>
      <c r="AY52" s="403"/>
      <c r="AZ52" s="403"/>
      <c r="BA52" s="403"/>
      <c r="BB52" s="403"/>
      <c r="BC52" s="403"/>
      <c r="BD52" s="403"/>
      <c r="BE52" s="403"/>
      <c r="BF52" s="403"/>
      <c r="BG52" s="403"/>
      <c r="BH52" s="403"/>
      <c r="BI52" s="403"/>
      <c r="BJ52" s="403"/>
      <c r="BK52" s="403"/>
      <c r="BL52" s="403"/>
      <c r="BM52" s="403"/>
      <c r="BN52" s="403"/>
      <c r="BO52" s="403"/>
      <c r="BP52" s="403"/>
      <c r="BQ52" s="403"/>
      <c r="BR52" s="403"/>
      <c r="BS52" s="403"/>
      <c r="BT52" s="403"/>
      <c r="BU52" s="403"/>
      <c r="BV52" s="403"/>
      <c r="BW52" s="403"/>
      <c r="BX52" s="403"/>
      <c r="BY52" s="403"/>
      <c r="BZ52" s="403"/>
      <c r="CA52" s="403"/>
      <c r="CB52" s="403"/>
      <c r="CC52" s="403"/>
      <c r="CD52" s="403"/>
      <c r="CE52" s="403"/>
      <c r="CF52" s="403"/>
      <c r="CG52" s="403"/>
      <c r="CH52" s="403"/>
      <c r="CI52" s="403"/>
      <c r="CJ52" s="403"/>
      <c r="CK52" s="403"/>
      <c r="CL52" s="403"/>
      <c r="CM52" s="403"/>
      <c r="CN52" s="403"/>
      <c r="CO52" s="403"/>
      <c r="CP52" s="403"/>
      <c r="CQ52" s="403"/>
      <c r="CR52" s="403"/>
      <c r="CS52" s="403"/>
      <c r="CT52" s="403"/>
      <c r="CU52" s="403"/>
      <c r="CV52" s="403"/>
      <c r="CW52" s="403"/>
      <c r="CX52" s="403"/>
      <c r="CY52" s="403"/>
      <c r="CZ52" s="403"/>
      <c r="DA52" s="403"/>
      <c r="DB52" s="403"/>
      <c r="DC52" s="403"/>
      <c r="DD52" s="403"/>
      <c r="DE52" s="403"/>
      <c r="DF52" s="403"/>
      <c r="DG52" s="403"/>
      <c r="DH52" s="403"/>
      <c r="DI52" s="403"/>
      <c r="DJ52" s="403"/>
      <c r="DK52" s="403"/>
      <c r="DL52" s="403"/>
      <c r="DM52" s="403"/>
      <c r="DN52" s="403"/>
    </row>
    <row r="53" spans="1:118" s="122" customFormat="1" x14ac:dyDescent="0.2">
      <c r="D53" s="300"/>
      <c r="E53" s="165"/>
      <c r="F53" s="165"/>
      <c r="G53" s="598" t="e">
        <f t="shared" ca="1" si="15"/>
        <v>#N/A</v>
      </c>
      <c r="H53" s="598" t="e">
        <f t="shared" ca="1" si="16"/>
        <v>#N/A</v>
      </c>
      <c r="I53" s="598" t="e">
        <f t="shared" ca="1" si="17"/>
        <v>#N/A</v>
      </c>
      <c r="J53" s="598" t="e">
        <f t="shared" ca="1" si="18"/>
        <v>#N/A</v>
      </c>
      <c r="K53" s="598" t="e">
        <f t="shared" ca="1" si="19"/>
        <v>#N/A</v>
      </c>
      <c r="L53" s="598" t="e">
        <f t="shared" ca="1" si="20"/>
        <v>#N/A</v>
      </c>
      <c r="N53" s="403"/>
      <c r="O53" s="403"/>
      <c r="P53" s="403"/>
      <c r="Q53" s="403"/>
      <c r="R53" s="403"/>
      <c r="S53" s="403"/>
      <c r="T53" s="403"/>
      <c r="U53" s="403"/>
      <c r="V53" s="403"/>
      <c r="W53" s="403"/>
      <c r="X53" s="403"/>
      <c r="Y53" s="403"/>
      <c r="Z53" s="403"/>
      <c r="AA53" s="403"/>
      <c r="AB53" s="403"/>
      <c r="AC53" s="564"/>
      <c r="AD53" s="403"/>
      <c r="AE53" s="403"/>
      <c r="AF53" s="403"/>
      <c r="AG53" s="403"/>
      <c r="AH53" s="403"/>
      <c r="AI53" s="403"/>
      <c r="AJ53" s="403"/>
      <c r="AK53" s="403"/>
      <c r="AL53" s="403"/>
      <c r="AM53" s="403"/>
      <c r="AN53" s="403"/>
      <c r="AO53" s="403"/>
      <c r="AP53" s="403"/>
      <c r="AQ53" s="403"/>
      <c r="AR53" s="403"/>
      <c r="AS53" s="403"/>
      <c r="AT53" s="403"/>
      <c r="AU53" s="403"/>
      <c r="AV53" s="403"/>
      <c r="AW53" s="403"/>
      <c r="AX53" s="403"/>
      <c r="AY53" s="403"/>
      <c r="AZ53" s="403"/>
      <c r="BA53" s="403"/>
      <c r="BB53" s="403"/>
      <c r="BC53" s="403"/>
      <c r="BD53" s="403"/>
      <c r="BE53" s="403"/>
      <c r="BF53" s="403"/>
      <c r="BG53" s="403"/>
      <c r="BH53" s="403"/>
      <c r="BI53" s="403"/>
      <c r="BJ53" s="403"/>
      <c r="BK53" s="403"/>
      <c r="BL53" s="403"/>
      <c r="BM53" s="403"/>
      <c r="BN53" s="403"/>
      <c r="BO53" s="403"/>
      <c r="BP53" s="403"/>
      <c r="BQ53" s="403"/>
      <c r="BR53" s="403"/>
      <c r="BS53" s="403"/>
      <c r="BT53" s="403"/>
      <c r="BU53" s="403"/>
      <c r="BV53" s="403"/>
      <c r="BW53" s="403"/>
      <c r="BX53" s="403"/>
      <c r="BY53" s="403"/>
      <c r="BZ53" s="403"/>
      <c r="CA53" s="403"/>
      <c r="CB53" s="403"/>
      <c r="CC53" s="403"/>
      <c r="CD53" s="403"/>
      <c r="CE53" s="403"/>
      <c r="CF53" s="403"/>
      <c r="CG53" s="403"/>
      <c r="CH53" s="403"/>
      <c r="CI53" s="403"/>
      <c r="CJ53" s="403"/>
      <c r="CK53" s="403"/>
      <c r="CL53" s="403"/>
      <c r="CM53" s="403"/>
      <c r="CN53" s="403"/>
      <c r="CO53" s="403"/>
      <c r="CP53" s="403"/>
      <c r="CQ53" s="403"/>
      <c r="CR53" s="403"/>
      <c r="CS53" s="403"/>
      <c r="CT53" s="403"/>
      <c r="CU53" s="403"/>
      <c r="CV53" s="403"/>
      <c r="CW53" s="403"/>
      <c r="CX53" s="403"/>
      <c r="CY53" s="403"/>
      <c r="CZ53" s="403"/>
      <c r="DA53" s="403"/>
      <c r="DB53" s="403"/>
      <c r="DC53" s="403"/>
      <c r="DD53" s="403"/>
      <c r="DE53" s="403"/>
      <c r="DF53" s="403"/>
      <c r="DG53" s="403"/>
      <c r="DH53" s="403"/>
      <c r="DI53" s="403"/>
      <c r="DJ53" s="403"/>
      <c r="DK53" s="403"/>
      <c r="DL53" s="403"/>
      <c r="DM53" s="403"/>
      <c r="DN53" s="403"/>
    </row>
    <row r="54" spans="1:118" s="122" customFormat="1" x14ac:dyDescent="0.2">
      <c r="D54" s="300"/>
      <c r="E54" s="165"/>
      <c r="F54" s="165"/>
      <c r="G54" s="598" t="e">
        <f t="shared" ca="1" si="15"/>
        <v>#N/A</v>
      </c>
      <c r="H54" s="598" t="e">
        <f t="shared" ca="1" si="16"/>
        <v>#N/A</v>
      </c>
      <c r="I54" s="598" t="e">
        <f t="shared" ca="1" si="17"/>
        <v>#N/A</v>
      </c>
      <c r="J54" s="598" t="e">
        <f t="shared" ca="1" si="18"/>
        <v>#N/A</v>
      </c>
      <c r="K54" s="598" t="e">
        <f t="shared" ca="1" si="19"/>
        <v>#N/A</v>
      </c>
      <c r="L54" s="598" t="e">
        <f t="shared" ca="1" si="20"/>
        <v>#N/A</v>
      </c>
      <c r="N54" s="403"/>
      <c r="O54" s="403"/>
      <c r="P54" s="403"/>
      <c r="Q54" s="403"/>
      <c r="R54" s="403"/>
      <c r="S54" s="403"/>
      <c r="T54" s="403"/>
      <c r="U54" s="403"/>
      <c r="V54" s="403"/>
      <c r="W54" s="403"/>
      <c r="X54" s="403"/>
      <c r="Y54" s="403"/>
      <c r="Z54" s="403"/>
      <c r="AA54" s="403"/>
      <c r="AB54" s="403"/>
      <c r="AC54" s="564"/>
      <c r="AD54" s="403"/>
      <c r="AE54" s="403"/>
      <c r="AF54" s="403"/>
      <c r="AG54" s="403"/>
      <c r="AH54" s="403"/>
      <c r="AI54" s="403"/>
      <c r="AJ54" s="403"/>
      <c r="AK54" s="403"/>
      <c r="AL54" s="403"/>
      <c r="AM54" s="403"/>
      <c r="AN54" s="403"/>
      <c r="AO54" s="403"/>
      <c r="AP54" s="403"/>
      <c r="AQ54" s="403"/>
      <c r="AR54" s="403"/>
      <c r="AS54" s="403"/>
      <c r="AT54" s="403"/>
      <c r="AU54" s="403"/>
      <c r="AV54" s="403"/>
      <c r="AW54" s="403"/>
      <c r="AX54" s="403"/>
      <c r="AY54" s="403"/>
      <c r="AZ54" s="403"/>
      <c r="BA54" s="403"/>
      <c r="BB54" s="403"/>
      <c r="BC54" s="403"/>
      <c r="BD54" s="403"/>
      <c r="BE54" s="403"/>
      <c r="BF54" s="403"/>
      <c r="BG54" s="403"/>
      <c r="BH54" s="403"/>
      <c r="BI54" s="403"/>
      <c r="BJ54" s="403"/>
      <c r="BK54" s="403"/>
      <c r="BL54" s="403"/>
      <c r="BM54" s="403"/>
      <c r="BN54" s="403"/>
      <c r="BO54" s="403"/>
      <c r="BP54" s="403"/>
      <c r="BQ54" s="403"/>
      <c r="BR54" s="403"/>
      <c r="BS54" s="403"/>
      <c r="BT54" s="403"/>
      <c r="BU54" s="403"/>
      <c r="BV54" s="403"/>
      <c r="BW54" s="403"/>
      <c r="BX54" s="403"/>
      <c r="BY54" s="403"/>
      <c r="BZ54" s="403"/>
      <c r="CA54" s="403"/>
      <c r="CB54" s="403"/>
      <c r="CC54" s="403"/>
      <c r="CD54" s="403"/>
      <c r="CE54" s="403"/>
      <c r="CF54" s="403"/>
      <c r="CG54" s="403"/>
      <c r="CH54" s="403"/>
      <c r="CI54" s="403"/>
      <c r="CJ54" s="403"/>
      <c r="CK54" s="403"/>
      <c r="CL54" s="403"/>
      <c r="CM54" s="403"/>
      <c r="CN54" s="403"/>
      <c r="CO54" s="403"/>
      <c r="CP54" s="403"/>
      <c r="CQ54" s="403"/>
      <c r="CR54" s="403"/>
      <c r="CS54" s="403"/>
      <c r="CT54" s="403"/>
      <c r="CU54" s="403"/>
      <c r="CV54" s="403"/>
      <c r="CW54" s="403"/>
      <c r="CX54" s="403"/>
      <c r="CY54" s="403"/>
      <c r="CZ54" s="403"/>
      <c r="DA54" s="403"/>
      <c r="DB54" s="403"/>
      <c r="DC54" s="403"/>
      <c r="DD54" s="403"/>
      <c r="DE54" s="403"/>
      <c r="DF54" s="403"/>
      <c r="DG54" s="403"/>
      <c r="DH54" s="403"/>
      <c r="DI54" s="403"/>
      <c r="DJ54" s="403"/>
      <c r="DK54" s="403"/>
      <c r="DL54" s="403"/>
      <c r="DM54" s="403"/>
      <c r="DN54" s="403"/>
    </row>
    <row r="55" spans="1:118" s="122" customFormat="1" x14ac:dyDescent="0.2">
      <c r="N55" s="403"/>
      <c r="O55" s="403"/>
      <c r="P55" s="403"/>
      <c r="Q55" s="403"/>
      <c r="R55" s="403"/>
      <c r="S55" s="403"/>
      <c r="T55" s="403"/>
      <c r="U55" s="403"/>
      <c r="V55" s="403"/>
      <c r="W55" s="403"/>
      <c r="X55" s="403"/>
      <c r="Y55" s="403"/>
      <c r="Z55" s="403"/>
      <c r="AA55" s="403"/>
      <c r="AB55" s="403"/>
      <c r="AC55" s="564"/>
      <c r="AD55" s="403"/>
      <c r="AE55" s="403"/>
      <c r="AF55" s="403"/>
      <c r="AG55" s="403"/>
      <c r="AH55" s="403"/>
      <c r="AI55" s="403"/>
      <c r="AJ55" s="403"/>
      <c r="AK55" s="403"/>
      <c r="AL55" s="403"/>
      <c r="AM55" s="403"/>
      <c r="AN55" s="403"/>
      <c r="AO55" s="403"/>
      <c r="AP55" s="403"/>
      <c r="AQ55" s="403"/>
      <c r="AR55" s="403"/>
      <c r="AS55" s="403"/>
      <c r="AT55" s="403"/>
      <c r="AU55" s="403"/>
      <c r="AV55" s="403"/>
      <c r="AW55" s="403"/>
      <c r="AX55" s="403"/>
      <c r="AY55" s="403"/>
      <c r="AZ55" s="403"/>
      <c r="BA55" s="403"/>
      <c r="BB55" s="403"/>
      <c r="BC55" s="403"/>
      <c r="BD55" s="403"/>
      <c r="BE55" s="403"/>
      <c r="BF55" s="403"/>
      <c r="BG55" s="403"/>
      <c r="BH55" s="403"/>
      <c r="BI55" s="403"/>
      <c r="BJ55" s="403"/>
      <c r="BK55" s="403"/>
      <c r="BL55" s="403"/>
      <c r="BM55" s="403"/>
      <c r="BN55" s="403"/>
      <c r="BO55" s="403"/>
      <c r="BP55" s="403"/>
      <c r="BQ55" s="403"/>
      <c r="BR55" s="403"/>
      <c r="BS55" s="403"/>
      <c r="BT55" s="403"/>
      <c r="BU55" s="403"/>
      <c r="BV55" s="403"/>
      <c r="BW55" s="403"/>
      <c r="BX55" s="403"/>
      <c r="BY55" s="403"/>
      <c r="BZ55" s="403"/>
      <c r="CA55" s="403"/>
      <c r="CB55" s="403"/>
      <c r="CC55" s="403"/>
      <c r="CD55" s="403"/>
      <c r="CE55" s="403"/>
      <c r="CF55" s="403"/>
      <c r="CG55" s="403"/>
      <c r="CH55" s="403"/>
      <c r="CI55" s="403"/>
      <c r="CJ55" s="403"/>
      <c r="CK55" s="403"/>
      <c r="CL55" s="403"/>
      <c r="CM55" s="403"/>
      <c r="CN55" s="403"/>
      <c r="CO55" s="403"/>
      <c r="CP55" s="403"/>
      <c r="CQ55" s="403"/>
      <c r="CR55" s="403"/>
      <c r="CS55" s="403"/>
      <c r="CT55" s="403"/>
      <c r="CU55" s="403"/>
      <c r="CV55" s="403"/>
      <c r="CW55" s="403"/>
      <c r="CX55" s="403"/>
      <c r="CY55" s="403"/>
      <c r="CZ55" s="403"/>
      <c r="DA55" s="403"/>
      <c r="DB55" s="403"/>
      <c r="DC55" s="403"/>
      <c r="DD55" s="403"/>
      <c r="DE55" s="403"/>
      <c r="DF55" s="403"/>
      <c r="DG55" s="403"/>
      <c r="DH55" s="403"/>
      <c r="DI55" s="403"/>
      <c r="DJ55" s="403"/>
      <c r="DK55" s="403"/>
      <c r="DL55" s="403"/>
      <c r="DM55" s="403"/>
      <c r="DN55" s="403"/>
    </row>
    <row r="56" spans="1:118" s="122" customFormat="1" x14ac:dyDescent="0.2">
      <c r="N56" s="403"/>
      <c r="O56" s="403"/>
      <c r="P56" s="403"/>
      <c r="Q56" s="403"/>
      <c r="R56" s="403"/>
      <c r="S56" s="403"/>
      <c r="T56" s="403"/>
      <c r="U56" s="403"/>
      <c r="V56" s="403"/>
      <c r="W56" s="403"/>
      <c r="X56" s="403"/>
      <c r="Y56" s="403"/>
      <c r="Z56" s="403"/>
      <c r="AA56" s="403"/>
      <c r="AB56" s="403"/>
      <c r="AC56" s="564"/>
      <c r="AD56" s="403"/>
      <c r="AE56" s="403"/>
      <c r="AF56" s="403"/>
      <c r="AG56" s="403"/>
      <c r="AH56" s="403"/>
      <c r="AI56" s="403"/>
      <c r="AJ56" s="403"/>
      <c r="AK56" s="403"/>
      <c r="AL56" s="403"/>
      <c r="AM56" s="403"/>
      <c r="AN56" s="403"/>
      <c r="AO56" s="403"/>
      <c r="AP56" s="403"/>
      <c r="AQ56" s="403"/>
      <c r="AR56" s="403"/>
      <c r="AS56" s="403"/>
      <c r="AT56" s="403"/>
      <c r="AU56" s="403"/>
      <c r="AV56" s="403"/>
      <c r="AW56" s="403"/>
      <c r="AX56" s="403"/>
      <c r="AY56" s="403"/>
      <c r="AZ56" s="403"/>
      <c r="BA56" s="403"/>
      <c r="BB56" s="403"/>
      <c r="BC56" s="403"/>
      <c r="BD56" s="403"/>
      <c r="BE56" s="403"/>
      <c r="BF56" s="403"/>
      <c r="BG56" s="403"/>
      <c r="BH56" s="403"/>
      <c r="BI56" s="403"/>
      <c r="BJ56" s="403"/>
      <c r="BK56" s="403"/>
      <c r="BL56" s="403"/>
      <c r="BM56" s="403"/>
      <c r="BN56" s="403"/>
      <c r="BO56" s="403"/>
      <c r="BP56" s="403"/>
      <c r="BQ56" s="403"/>
      <c r="BR56" s="403"/>
      <c r="BS56" s="403"/>
      <c r="BT56" s="403"/>
      <c r="BU56" s="403"/>
      <c r="BV56" s="403"/>
      <c r="BW56" s="403"/>
      <c r="BX56" s="403"/>
      <c r="BY56" s="403"/>
      <c r="BZ56" s="403"/>
      <c r="CA56" s="403"/>
      <c r="CB56" s="403"/>
      <c r="CC56" s="403"/>
      <c r="CD56" s="403"/>
      <c r="CE56" s="403"/>
      <c r="CF56" s="403"/>
      <c r="CG56" s="403"/>
      <c r="CH56" s="403"/>
      <c r="CI56" s="403"/>
      <c r="CJ56" s="403"/>
      <c r="CK56" s="403"/>
      <c r="CL56" s="403"/>
      <c r="CM56" s="403"/>
      <c r="CN56" s="403"/>
      <c r="CO56" s="403"/>
      <c r="CP56" s="403"/>
      <c r="CQ56" s="403"/>
      <c r="CR56" s="403"/>
      <c r="CS56" s="403"/>
      <c r="CT56" s="403"/>
      <c r="CU56" s="403"/>
      <c r="CV56" s="403"/>
      <c r="CW56" s="403"/>
      <c r="CX56" s="403"/>
      <c r="CY56" s="403"/>
      <c r="CZ56" s="403"/>
      <c r="DA56" s="403"/>
      <c r="DB56" s="403"/>
      <c r="DC56" s="403"/>
      <c r="DD56" s="403"/>
      <c r="DE56" s="403"/>
      <c r="DF56" s="403"/>
      <c r="DG56" s="403"/>
      <c r="DH56" s="403"/>
      <c r="DI56" s="403"/>
      <c r="DJ56" s="403"/>
      <c r="DK56" s="403"/>
      <c r="DL56" s="403"/>
      <c r="DM56" s="403"/>
      <c r="DN56" s="403"/>
    </row>
    <row r="57" spans="1:118" s="122" customFormat="1" x14ac:dyDescent="0.2">
      <c r="N57" s="403"/>
      <c r="O57" s="403"/>
      <c r="P57" s="403"/>
      <c r="Q57" s="403"/>
      <c r="R57" s="403"/>
      <c r="S57" s="403"/>
      <c r="T57" s="403"/>
      <c r="U57" s="403"/>
      <c r="V57" s="403"/>
      <c r="W57" s="403"/>
      <c r="X57" s="403"/>
      <c r="Y57" s="403"/>
      <c r="Z57" s="403"/>
      <c r="AA57" s="403"/>
      <c r="AB57" s="403"/>
      <c r="AC57" s="564"/>
      <c r="AD57" s="403"/>
      <c r="AE57" s="403"/>
      <c r="AF57" s="403"/>
      <c r="AG57" s="403"/>
      <c r="AH57" s="403"/>
      <c r="AI57" s="403"/>
      <c r="AJ57" s="403"/>
      <c r="AK57" s="403"/>
      <c r="AL57" s="403"/>
      <c r="AM57" s="403"/>
      <c r="AN57" s="403"/>
      <c r="AO57" s="403"/>
      <c r="AP57" s="403"/>
      <c r="AQ57" s="403"/>
      <c r="AR57" s="403"/>
      <c r="AS57" s="403"/>
      <c r="AT57" s="403"/>
      <c r="AU57" s="403"/>
      <c r="AV57" s="403"/>
      <c r="AW57" s="403"/>
      <c r="AX57" s="403"/>
      <c r="AY57" s="403"/>
      <c r="AZ57" s="403"/>
      <c r="BA57" s="403"/>
      <c r="BB57" s="403"/>
      <c r="BC57" s="403"/>
      <c r="BD57" s="403"/>
      <c r="BE57" s="403"/>
      <c r="BF57" s="403"/>
      <c r="BG57" s="403"/>
      <c r="BH57" s="403"/>
      <c r="BI57" s="403"/>
      <c r="BJ57" s="403"/>
      <c r="BK57" s="403"/>
      <c r="BL57" s="403"/>
      <c r="BM57" s="403"/>
      <c r="BN57" s="403"/>
      <c r="BO57" s="403"/>
      <c r="BP57" s="403"/>
      <c r="BQ57" s="403"/>
      <c r="BR57" s="403"/>
      <c r="BS57" s="403"/>
      <c r="BT57" s="403"/>
      <c r="BU57" s="403"/>
      <c r="BV57" s="403"/>
      <c r="BW57" s="403"/>
      <c r="BX57" s="403"/>
      <c r="BY57" s="403"/>
      <c r="BZ57" s="403"/>
      <c r="CA57" s="403"/>
      <c r="CB57" s="403"/>
      <c r="CC57" s="403"/>
      <c r="CD57" s="403"/>
      <c r="CE57" s="403"/>
      <c r="CF57" s="403"/>
      <c r="CG57" s="403"/>
      <c r="CH57" s="403"/>
      <c r="CI57" s="403"/>
      <c r="CJ57" s="403"/>
      <c r="CK57" s="403"/>
      <c r="CL57" s="403"/>
      <c r="CM57" s="403"/>
      <c r="CN57" s="403"/>
      <c r="CO57" s="403"/>
      <c r="CP57" s="403"/>
      <c r="CQ57" s="403"/>
      <c r="CR57" s="403"/>
      <c r="CS57" s="403"/>
      <c r="CT57" s="403"/>
      <c r="CU57" s="403"/>
      <c r="CV57" s="403"/>
      <c r="CW57" s="403"/>
      <c r="CX57" s="403"/>
      <c r="CY57" s="403"/>
      <c r="CZ57" s="403"/>
      <c r="DA57" s="403"/>
      <c r="DB57" s="403"/>
      <c r="DC57" s="403"/>
      <c r="DD57" s="403"/>
      <c r="DE57" s="403"/>
      <c r="DF57" s="403"/>
      <c r="DG57" s="403"/>
      <c r="DH57" s="403"/>
      <c r="DI57" s="403"/>
      <c r="DJ57" s="403"/>
      <c r="DK57" s="403"/>
      <c r="DL57" s="403"/>
      <c r="DM57" s="403"/>
      <c r="DN57" s="403"/>
    </row>
    <row r="58" spans="1:118" s="122" customFormat="1" x14ac:dyDescent="0.2">
      <c r="N58" s="403"/>
      <c r="O58" s="403"/>
      <c r="P58" s="403"/>
      <c r="Q58" s="403"/>
      <c r="R58" s="403"/>
      <c r="S58" s="403"/>
      <c r="T58" s="403"/>
      <c r="U58" s="403"/>
      <c r="V58" s="403"/>
      <c r="W58" s="403"/>
      <c r="X58" s="403"/>
      <c r="Y58" s="403"/>
      <c r="Z58" s="403"/>
      <c r="AA58" s="403"/>
      <c r="AB58" s="403"/>
      <c r="AC58" s="564"/>
      <c r="AD58" s="403"/>
      <c r="AE58" s="403"/>
      <c r="AF58" s="403"/>
      <c r="AG58" s="403"/>
      <c r="AH58" s="403"/>
      <c r="AI58" s="403"/>
      <c r="AJ58" s="403"/>
      <c r="AK58" s="403"/>
      <c r="AL58" s="403"/>
      <c r="AM58" s="403"/>
      <c r="AN58" s="403"/>
      <c r="AO58" s="403"/>
      <c r="AP58" s="403"/>
      <c r="AQ58" s="403"/>
      <c r="AR58" s="403"/>
      <c r="AS58" s="403"/>
      <c r="AT58" s="403"/>
      <c r="AU58" s="403"/>
      <c r="AV58" s="403"/>
      <c r="AW58" s="403"/>
      <c r="AX58" s="403"/>
      <c r="AY58" s="403"/>
      <c r="AZ58" s="403"/>
      <c r="BA58" s="403"/>
      <c r="BB58" s="403"/>
      <c r="BC58" s="403"/>
      <c r="BD58" s="403"/>
      <c r="BE58" s="403"/>
      <c r="BF58" s="403"/>
      <c r="BG58" s="403"/>
      <c r="BH58" s="403"/>
      <c r="BI58" s="403"/>
      <c r="BJ58" s="403"/>
      <c r="BK58" s="403"/>
      <c r="BL58" s="403"/>
      <c r="BM58" s="403"/>
      <c r="BN58" s="403"/>
      <c r="BO58" s="403"/>
      <c r="BP58" s="403"/>
      <c r="BQ58" s="403"/>
      <c r="BR58" s="403"/>
      <c r="BS58" s="403"/>
      <c r="BT58" s="403"/>
      <c r="BU58" s="403"/>
      <c r="BV58" s="403"/>
      <c r="BW58" s="403"/>
      <c r="BX58" s="403"/>
      <c r="BY58" s="403"/>
      <c r="BZ58" s="403"/>
      <c r="CA58" s="403"/>
      <c r="CB58" s="403"/>
      <c r="CC58" s="403"/>
      <c r="CD58" s="403"/>
      <c r="CE58" s="403"/>
      <c r="CF58" s="403"/>
      <c r="CG58" s="403"/>
      <c r="CH58" s="403"/>
      <c r="CI58" s="403"/>
      <c r="CJ58" s="403"/>
      <c r="CK58" s="403"/>
      <c r="CL58" s="403"/>
      <c r="CM58" s="403"/>
      <c r="CN58" s="403"/>
      <c r="CO58" s="403"/>
      <c r="CP58" s="403"/>
      <c r="CQ58" s="403"/>
      <c r="CR58" s="403"/>
      <c r="CS58" s="403"/>
      <c r="CT58" s="403"/>
      <c r="CU58" s="403"/>
      <c r="CV58" s="403"/>
      <c r="CW58" s="403"/>
      <c r="CX58" s="403"/>
      <c r="CY58" s="403"/>
      <c r="CZ58" s="403"/>
      <c r="DA58" s="403"/>
      <c r="DB58" s="403"/>
      <c r="DC58" s="403"/>
      <c r="DD58" s="403"/>
      <c r="DE58" s="403"/>
      <c r="DF58" s="403"/>
      <c r="DG58" s="403"/>
      <c r="DH58" s="403"/>
      <c r="DI58" s="403"/>
      <c r="DJ58" s="403"/>
      <c r="DK58" s="403"/>
      <c r="DL58" s="403"/>
      <c r="DM58" s="403"/>
      <c r="DN58" s="403"/>
    </row>
    <row r="59" spans="1:118" s="122" customFormat="1" x14ac:dyDescent="0.2">
      <c r="N59" s="403"/>
      <c r="O59" s="403"/>
      <c r="P59" s="403"/>
      <c r="Q59" s="403"/>
      <c r="R59" s="403"/>
      <c r="S59" s="403"/>
      <c r="T59" s="403"/>
      <c r="U59" s="403"/>
      <c r="V59" s="403"/>
      <c r="W59" s="403"/>
      <c r="X59" s="403"/>
      <c r="Y59" s="403"/>
      <c r="Z59" s="403"/>
      <c r="AA59" s="403"/>
      <c r="AB59" s="403"/>
      <c r="AC59" s="564"/>
      <c r="AD59" s="403"/>
      <c r="AE59" s="403"/>
      <c r="AF59" s="403"/>
      <c r="AG59" s="403"/>
      <c r="AH59" s="403"/>
      <c r="AI59" s="403"/>
      <c r="AJ59" s="403"/>
      <c r="AK59" s="403"/>
      <c r="AL59" s="403"/>
      <c r="AM59" s="403"/>
      <c r="AN59" s="403"/>
      <c r="AO59" s="403"/>
      <c r="AP59" s="403"/>
      <c r="AQ59" s="403"/>
      <c r="AR59" s="403"/>
      <c r="AS59" s="403"/>
      <c r="AT59" s="403"/>
      <c r="AU59" s="403"/>
      <c r="AV59" s="403"/>
      <c r="AW59" s="403"/>
      <c r="AX59" s="403"/>
      <c r="AY59" s="403"/>
      <c r="AZ59" s="403"/>
      <c r="BA59" s="403"/>
      <c r="BB59" s="403"/>
      <c r="BC59" s="403"/>
      <c r="BD59" s="403"/>
      <c r="BE59" s="403"/>
      <c r="BF59" s="403"/>
      <c r="BG59" s="403"/>
      <c r="BH59" s="403"/>
      <c r="BI59" s="403"/>
      <c r="BJ59" s="403"/>
      <c r="BK59" s="403"/>
      <c r="BL59" s="403"/>
      <c r="BM59" s="403"/>
      <c r="BN59" s="403"/>
      <c r="BO59" s="403"/>
      <c r="BP59" s="403"/>
      <c r="BQ59" s="403"/>
      <c r="BR59" s="403"/>
      <c r="BS59" s="403"/>
      <c r="BT59" s="403"/>
      <c r="BU59" s="403"/>
      <c r="BV59" s="403"/>
      <c r="BW59" s="403"/>
      <c r="BX59" s="403"/>
      <c r="BY59" s="403"/>
      <c r="BZ59" s="403"/>
      <c r="CA59" s="403"/>
      <c r="CB59" s="403"/>
      <c r="CC59" s="403"/>
      <c r="CD59" s="403"/>
      <c r="CE59" s="403"/>
      <c r="CF59" s="403"/>
      <c r="CG59" s="403"/>
      <c r="CH59" s="403"/>
      <c r="CI59" s="403"/>
      <c r="CJ59" s="403"/>
      <c r="CK59" s="403"/>
      <c r="CL59" s="403"/>
      <c r="CM59" s="403"/>
      <c r="CN59" s="403"/>
      <c r="CO59" s="403"/>
      <c r="CP59" s="403"/>
      <c r="CQ59" s="403"/>
      <c r="CR59" s="403"/>
      <c r="CS59" s="403"/>
      <c r="CT59" s="403"/>
      <c r="CU59" s="403"/>
      <c r="CV59" s="403"/>
      <c r="CW59" s="403"/>
      <c r="CX59" s="403"/>
      <c r="CY59" s="403"/>
      <c r="CZ59" s="403"/>
      <c r="DA59" s="403"/>
      <c r="DB59" s="403"/>
      <c r="DC59" s="403"/>
      <c r="DD59" s="403"/>
      <c r="DE59" s="403"/>
      <c r="DF59" s="403"/>
      <c r="DG59" s="403"/>
      <c r="DH59" s="403"/>
      <c r="DI59" s="403"/>
      <c r="DJ59" s="403"/>
      <c r="DK59" s="403"/>
      <c r="DL59" s="403"/>
      <c r="DM59" s="403"/>
      <c r="DN59" s="403"/>
    </row>
    <row r="60" spans="1:118" s="122" customFormat="1" x14ac:dyDescent="0.2">
      <c r="N60" s="403"/>
      <c r="O60" s="403"/>
      <c r="P60" s="403"/>
      <c r="Q60" s="403"/>
      <c r="R60" s="403"/>
      <c r="S60" s="403"/>
      <c r="T60" s="403"/>
      <c r="U60" s="403"/>
      <c r="V60" s="403"/>
      <c r="W60" s="403"/>
      <c r="X60" s="403"/>
      <c r="Y60" s="403"/>
      <c r="Z60" s="403"/>
      <c r="AA60" s="403"/>
      <c r="AB60" s="403"/>
      <c r="AC60" s="564"/>
      <c r="AD60" s="403"/>
      <c r="AE60" s="403"/>
      <c r="AF60" s="403"/>
      <c r="AG60" s="403"/>
      <c r="AH60" s="403"/>
      <c r="AI60" s="403"/>
      <c r="AJ60" s="403"/>
      <c r="AK60" s="403"/>
      <c r="AL60" s="403"/>
      <c r="AM60" s="403"/>
      <c r="AN60" s="403"/>
      <c r="AO60" s="403"/>
      <c r="AP60" s="403"/>
      <c r="AQ60" s="403"/>
      <c r="AR60" s="403"/>
      <c r="AS60" s="403"/>
      <c r="AT60" s="403"/>
      <c r="AU60" s="403"/>
      <c r="AV60" s="403"/>
      <c r="AW60" s="403"/>
      <c r="AX60" s="403"/>
      <c r="AY60" s="403"/>
      <c r="AZ60" s="403"/>
      <c r="BA60" s="403"/>
      <c r="BB60" s="403"/>
      <c r="BC60" s="403"/>
      <c r="BD60" s="403"/>
      <c r="BE60" s="403"/>
      <c r="BF60" s="403"/>
      <c r="BG60" s="403"/>
      <c r="BH60" s="403"/>
      <c r="BI60" s="403"/>
      <c r="BJ60" s="403"/>
      <c r="BK60" s="403"/>
      <c r="BL60" s="403"/>
      <c r="BM60" s="403"/>
      <c r="BN60" s="403"/>
      <c r="BO60" s="403"/>
      <c r="BP60" s="403"/>
      <c r="BQ60" s="403"/>
      <c r="BR60" s="403"/>
      <c r="BS60" s="403"/>
      <c r="BT60" s="403"/>
      <c r="BU60" s="403"/>
      <c r="BV60" s="403"/>
      <c r="BW60" s="403"/>
      <c r="BX60" s="403"/>
      <c r="BY60" s="403"/>
      <c r="BZ60" s="403"/>
      <c r="CA60" s="403"/>
      <c r="CB60" s="403"/>
      <c r="CC60" s="403"/>
      <c r="CD60" s="403"/>
      <c r="CE60" s="403"/>
      <c r="CF60" s="403"/>
      <c r="CG60" s="403"/>
      <c r="CH60" s="403"/>
      <c r="CI60" s="403"/>
      <c r="CJ60" s="403"/>
      <c r="CK60" s="403"/>
      <c r="CL60" s="403"/>
      <c r="CM60" s="403"/>
      <c r="CN60" s="403"/>
      <c r="CO60" s="403"/>
      <c r="CP60" s="403"/>
      <c r="CQ60" s="403"/>
      <c r="CR60" s="403"/>
      <c r="CS60" s="403"/>
      <c r="CT60" s="403"/>
      <c r="CU60" s="403"/>
      <c r="CV60" s="403"/>
      <c r="CW60" s="403"/>
      <c r="CX60" s="403"/>
      <c r="CY60" s="403"/>
      <c r="CZ60" s="403"/>
      <c r="DA60" s="403"/>
      <c r="DB60" s="403"/>
      <c r="DC60" s="403"/>
      <c r="DD60" s="403"/>
      <c r="DE60" s="403"/>
      <c r="DF60" s="403"/>
      <c r="DG60" s="403"/>
      <c r="DH60" s="403"/>
      <c r="DI60" s="403"/>
      <c r="DJ60" s="403"/>
      <c r="DK60" s="403"/>
      <c r="DL60" s="403"/>
      <c r="DM60" s="403"/>
      <c r="DN60" s="403"/>
    </row>
    <row r="61" spans="1:118" x14ac:dyDescent="0.2">
      <c r="C61" s="122"/>
    </row>
    <row r="62" spans="1:118" s="194" customFormat="1" x14ac:dyDescent="0.2">
      <c r="N62" s="403"/>
      <c r="O62" s="403"/>
      <c r="P62" s="403"/>
      <c r="Q62" s="403"/>
      <c r="R62" s="403"/>
      <c r="S62" s="403"/>
      <c r="T62" s="403"/>
      <c r="U62" s="403"/>
      <c r="V62" s="403"/>
      <c r="W62" s="403"/>
      <c r="X62" s="403"/>
      <c r="Y62" s="403"/>
      <c r="Z62" s="403"/>
      <c r="AA62" s="403"/>
      <c r="AB62" s="403"/>
      <c r="AC62" s="564"/>
      <c r="AD62" s="403"/>
      <c r="AE62" s="403"/>
      <c r="AF62" s="403"/>
      <c r="AG62" s="403"/>
      <c r="AH62" s="403"/>
      <c r="AI62" s="403"/>
      <c r="AJ62" s="403"/>
      <c r="AK62" s="403"/>
      <c r="AL62" s="403"/>
      <c r="AM62" s="403"/>
      <c r="AN62" s="403"/>
      <c r="AO62" s="403"/>
      <c r="AP62" s="403"/>
      <c r="AQ62" s="403"/>
      <c r="AR62" s="403"/>
      <c r="AS62" s="403"/>
      <c r="AT62" s="403"/>
      <c r="AU62" s="403"/>
      <c r="AV62" s="403"/>
      <c r="AW62" s="403"/>
      <c r="AX62" s="403"/>
      <c r="AY62" s="403"/>
      <c r="AZ62" s="403"/>
      <c r="BA62" s="403"/>
      <c r="BB62" s="403"/>
      <c r="BC62" s="403"/>
      <c r="BD62" s="403"/>
      <c r="BE62" s="403"/>
      <c r="BF62" s="403"/>
      <c r="BG62" s="403"/>
      <c r="BH62" s="403"/>
      <c r="BI62" s="403"/>
      <c r="BJ62" s="403"/>
      <c r="BK62" s="403"/>
      <c r="BL62" s="403"/>
      <c r="BM62" s="403"/>
      <c r="BN62" s="403"/>
      <c r="BO62" s="403"/>
      <c r="BP62" s="403"/>
      <c r="BQ62" s="403"/>
      <c r="BR62" s="403"/>
      <c r="BS62" s="403"/>
      <c r="BT62" s="403"/>
      <c r="BU62" s="403"/>
      <c r="BV62" s="403"/>
      <c r="BW62" s="403"/>
      <c r="BX62" s="403"/>
      <c r="BY62" s="403"/>
      <c r="BZ62" s="403"/>
      <c r="CA62" s="403"/>
      <c r="CB62" s="403"/>
      <c r="CC62" s="403"/>
      <c r="CD62" s="403"/>
      <c r="CE62" s="403"/>
      <c r="CF62" s="403"/>
      <c r="CG62" s="403"/>
      <c r="CH62" s="403"/>
      <c r="CI62" s="403"/>
      <c r="CJ62" s="403"/>
      <c r="CK62" s="403"/>
      <c r="CL62" s="403"/>
      <c r="CM62" s="403"/>
      <c r="CN62" s="403"/>
      <c r="CO62" s="403"/>
      <c r="CP62" s="403"/>
      <c r="CQ62" s="403"/>
      <c r="CR62" s="403"/>
      <c r="CS62" s="403"/>
      <c r="CT62" s="403"/>
      <c r="CU62" s="403"/>
      <c r="CV62" s="403"/>
      <c r="CW62" s="403"/>
      <c r="CX62" s="403"/>
      <c r="CY62" s="403"/>
      <c r="CZ62" s="403"/>
      <c r="DA62" s="403"/>
      <c r="DB62" s="403"/>
      <c r="DC62" s="403"/>
      <c r="DD62" s="403"/>
      <c r="DE62" s="403"/>
      <c r="DF62" s="403"/>
      <c r="DG62" s="403"/>
      <c r="DH62" s="403"/>
      <c r="DI62" s="403"/>
      <c r="DJ62" s="403"/>
      <c r="DK62" s="403"/>
      <c r="DL62" s="403"/>
      <c r="DM62" s="403"/>
      <c r="DN62" s="403"/>
    </row>
    <row r="63" spans="1:118" s="17" customFormat="1" ht="17.25" x14ac:dyDescent="0.3">
      <c r="A63" s="17" t="str">
        <f ca="1">IF(OFFSET(O63,0,Lang_Order*Lang__R1)="","",OFFSET(O63,0,Lang_Order*Lang__R1))</f>
        <v>R1.2 Cost Breakdown, by Category</v>
      </c>
      <c r="N63" s="403"/>
      <c r="O63" s="403" t="s">
        <v>2955</v>
      </c>
      <c r="P63" s="403"/>
      <c r="Q63" s="403"/>
      <c r="R63" s="403"/>
      <c r="S63" s="403"/>
      <c r="T63" s="403"/>
      <c r="U63" s="403"/>
      <c r="V63" s="403"/>
      <c r="W63" s="403"/>
      <c r="X63" s="403"/>
      <c r="Y63" s="403"/>
      <c r="Z63" s="403"/>
      <c r="AA63" s="403"/>
      <c r="AB63" s="403"/>
      <c r="AC63" s="564"/>
      <c r="AD63" s="403" t="s">
        <v>12526</v>
      </c>
      <c r="AE63" s="403"/>
      <c r="AF63" s="403"/>
      <c r="AG63" s="403"/>
      <c r="AH63" s="403"/>
      <c r="AI63" s="403"/>
      <c r="AJ63" s="403"/>
      <c r="AK63" s="403"/>
      <c r="AL63" s="403"/>
      <c r="AM63" s="403"/>
      <c r="AN63" s="403"/>
      <c r="AO63" s="403"/>
      <c r="AP63" s="403"/>
      <c r="AQ63" s="403"/>
      <c r="AR63" s="403"/>
      <c r="AS63" s="403" t="s">
        <v>12527</v>
      </c>
      <c r="AT63" s="403"/>
      <c r="AU63" s="403"/>
      <c r="AV63" s="403"/>
      <c r="AW63" s="403"/>
      <c r="AX63" s="403"/>
      <c r="AY63" s="403"/>
      <c r="AZ63" s="403"/>
      <c r="BA63" s="403"/>
      <c r="BB63" s="403"/>
      <c r="BC63" s="403"/>
      <c r="BD63" s="403"/>
      <c r="BE63" s="403"/>
      <c r="BF63" s="403"/>
      <c r="BG63" s="403"/>
      <c r="BH63" s="403" t="s">
        <v>12528</v>
      </c>
      <c r="BI63" s="403"/>
      <c r="BJ63" s="403"/>
      <c r="BK63" s="403"/>
      <c r="BL63" s="403"/>
      <c r="BM63" s="403"/>
      <c r="BN63" s="403"/>
      <c r="BO63" s="403"/>
      <c r="BP63" s="403"/>
      <c r="BQ63" s="403"/>
      <c r="BR63" s="403"/>
      <c r="BS63" s="403"/>
      <c r="BT63" s="403"/>
      <c r="BU63" s="403"/>
      <c r="BV63" s="403"/>
      <c r="BW63" s="403" t="s">
        <v>12529</v>
      </c>
      <c r="BX63" s="403"/>
      <c r="BY63" s="403"/>
      <c r="BZ63" s="403"/>
      <c r="CA63" s="403"/>
      <c r="CB63" s="403"/>
      <c r="CC63" s="403"/>
      <c r="CD63" s="403"/>
      <c r="CE63" s="403"/>
      <c r="CF63" s="403"/>
      <c r="CG63" s="403"/>
      <c r="CH63" s="403"/>
      <c r="CI63" s="403"/>
      <c r="CJ63" s="403"/>
      <c r="CK63" s="403"/>
      <c r="CL63" s="403" t="s">
        <v>12530</v>
      </c>
      <c r="CM63" s="403"/>
      <c r="CN63" s="403"/>
      <c r="CO63" s="403"/>
      <c r="CP63" s="403"/>
      <c r="CQ63" s="403"/>
      <c r="CR63" s="403"/>
      <c r="CS63" s="403"/>
      <c r="CT63" s="403"/>
      <c r="CU63" s="403"/>
      <c r="CV63" s="403"/>
      <c r="CW63" s="403"/>
      <c r="CX63" s="403"/>
      <c r="CY63" s="403"/>
      <c r="CZ63" s="403"/>
      <c r="DA63" s="403" t="s">
        <v>12531</v>
      </c>
      <c r="DB63" s="403"/>
      <c r="DC63" s="403"/>
      <c r="DD63" s="403"/>
      <c r="DE63" s="403"/>
      <c r="DF63" s="403"/>
      <c r="DG63" s="403"/>
      <c r="DH63" s="403"/>
      <c r="DI63" s="403"/>
      <c r="DJ63" s="403"/>
      <c r="DK63" s="403"/>
      <c r="DL63" s="403"/>
      <c r="DM63" s="403"/>
      <c r="DN63" s="403"/>
    </row>
    <row r="65" spans="1:118" ht="15" x14ac:dyDescent="0.25">
      <c r="B65" s="30" t="str">
        <f t="shared" ref="B65:L65" ca="1" si="21">IF(OFFSET(P65,0,Lang_Order*Lang__R1)="","",OFFSET(P65,0,Lang_Order*Lang__R1))</f>
        <v>Reference</v>
      </c>
      <c r="C65" s="30" t="str">
        <f t="shared" ca="1" si="21"/>
        <v>Item</v>
      </c>
      <c r="D65" s="41" t="str">
        <f t="shared" ca="1" si="21"/>
        <v>Total</v>
      </c>
      <c r="E65" s="41" t="str">
        <f t="shared" ca="1" si="21"/>
        <v/>
      </c>
      <c r="F65" s="41" t="str">
        <f t="shared" ca="1" si="21"/>
        <v/>
      </c>
      <c r="G65" s="30" t="str">
        <f t="shared" ca="1" si="21"/>
        <v>H1 2021</v>
      </c>
      <c r="H65" s="30" t="str">
        <f t="shared" ca="1" si="21"/>
        <v>H2 2021</v>
      </c>
      <c r="I65" s="30" t="str">
        <f t="shared" ca="1" si="21"/>
        <v>H1 2022</v>
      </c>
      <c r="J65" s="30" t="str">
        <f t="shared" ca="1" si="21"/>
        <v>H2 2022</v>
      </c>
      <c r="K65" s="30" t="str">
        <f t="shared" ca="1" si="21"/>
        <v>H1 2023</v>
      </c>
      <c r="L65" s="30" t="str">
        <f t="shared" ca="1" si="21"/>
        <v>H2 2023</v>
      </c>
      <c r="P65" s="403" t="s">
        <v>3977</v>
      </c>
      <c r="Q65" s="403" t="s">
        <v>1635</v>
      </c>
      <c r="R65" s="403" t="s">
        <v>1605</v>
      </c>
      <c r="U65" s="403" t="s">
        <v>1597</v>
      </c>
      <c r="V65" s="403" t="s">
        <v>1598</v>
      </c>
      <c r="W65" s="403" t="s">
        <v>1599</v>
      </c>
      <c r="X65" s="403" t="s">
        <v>1600</v>
      </c>
      <c r="Y65" s="403" t="s">
        <v>1602</v>
      </c>
      <c r="Z65" s="403" t="s">
        <v>1601</v>
      </c>
      <c r="AE65" s="403" t="s">
        <v>8642</v>
      </c>
      <c r="AF65" s="403" t="s">
        <v>12532</v>
      </c>
      <c r="AG65" s="403" t="s">
        <v>1605</v>
      </c>
      <c r="AJ65" s="403" t="s">
        <v>4663</v>
      </c>
      <c r="AK65" s="403" t="s">
        <v>4664</v>
      </c>
      <c r="AL65" s="403" t="s">
        <v>4665</v>
      </c>
      <c r="AM65" s="403" t="s">
        <v>4666</v>
      </c>
      <c r="AN65" s="403" t="s">
        <v>4667</v>
      </c>
      <c r="AO65" s="403" t="s">
        <v>4668</v>
      </c>
      <c r="AT65" s="403" t="s">
        <v>8646</v>
      </c>
      <c r="AU65" s="403" t="s">
        <v>8614</v>
      </c>
      <c r="AV65" s="403" t="s">
        <v>4676</v>
      </c>
      <c r="AY65" s="403" t="s">
        <v>4670</v>
      </c>
      <c r="AZ65" s="403" t="s">
        <v>4671</v>
      </c>
      <c r="BA65" s="403" t="s">
        <v>4672</v>
      </c>
      <c r="BB65" s="403" t="s">
        <v>4673</v>
      </c>
      <c r="BC65" s="403" t="s">
        <v>4674</v>
      </c>
      <c r="BD65" s="403" t="s">
        <v>4675</v>
      </c>
      <c r="BI65" s="403" t="s">
        <v>8650</v>
      </c>
      <c r="BJ65" s="403" t="s">
        <v>8620</v>
      </c>
      <c r="BK65" s="403" t="s">
        <v>1605</v>
      </c>
      <c r="BN65" s="403" t="s">
        <v>1597</v>
      </c>
      <c r="BO65" s="403" t="s">
        <v>1598</v>
      </c>
      <c r="BP65" s="403" t="s">
        <v>1599</v>
      </c>
      <c r="BQ65" s="403" t="s">
        <v>1600</v>
      </c>
      <c r="BR65" s="403" t="s">
        <v>1602</v>
      </c>
      <c r="BS65" s="403" t="s">
        <v>1601</v>
      </c>
      <c r="BX65" s="403" t="s">
        <v>8654</v>
      </c>
      <c r="BY65" s="403" t="s">
        <v>1635</v>
      </c>
      <c r="BZ65" s="403" t="s">
        <v>1605</v>
      </c>
      <c r="CC65" s="403" t="s">
        <v>4663</v>
      </c>
      <c r="CD65" s="403" t="s">
        <v>4664</v>
      </c>
      <c r="CE65" s="403" t="s">
        <v>4665</v>
      </c>
      <c r="CF65" s="403" t="s">
        <v>4666</v>
      </c>
      <c r="CG65" s="403" t="s">
        <v>4667</v>
      </c>
      <c r="CH65" s="403" t="s">
        <v>4668</v>
      </c>
      <c r="CM65" s="403" t="s">
        <v>12533</v>
      </c>
      <c r="CN65" s="403" t="s">
        <v>9999</v>
      </c>
      <c r="CO65" s="403" t="s">
        <v>4686</v>
      </c>
      <c r="CR65" s="403" t="s">
        <v>4680</v>
      </c>
      <c r="CS65" s="403" t="s">
        <v>4681</v>
      </c>
      <c r="CT65" s="403" t="s">
        <v>4682</v>
      </c>
      <c r="CU65" s="403" t="s">
        <v>4683</v>
      </c>
      <c r="CV65" s="403" t="s">
        <v>4684</v>
      </c>
      <c r="CW65" s="403" t="s">
        <v>4685</v>
      </c>
      <c r="DB65" s="403" t="s">
        <v>5494</v>
      </c>
      <c r="DC65" s="403" t="s">
        <v>8637</v>
      </c>
      <c r="DD65" s="403" t="s">
        <v>4694</v>
      </c>
      <c r="DG65" s="403" t="s">
        <v>4688</v>
      </c>
      <c r="DH65" s="403" t="s">
        <v>4689</v>
      </c>
      <c r="DI65" s="403" t="s">
        <v>4690</v>
      </c>
      <c r="DJ65" s="403" t="s">
        <v>4691</v>
      </c>
      <c r="DK65" s="403" t="s">
        <v>4692</v>
      </c>
      <c r="DL65" s="403" t="s">
        <v>4693</v>
      </c>
    </row>
    <row r="66" spans="1:118" x14ac:dyDescent="0.2">
      <c r="B66" s="5" t="str">
        <f ca="1">LEFT('R2. Resource Mapping'!B76,6)</f>
        <v>R2.1.1</v>
      </c>
      <c r="C66" s="5" t="str">
        <f ca="1">MID('R2. Resource Mapping'!B76,8,99)</f>
        <v>Cross-cutting Technical Assistance (TA) for Planning, Coordination and Delivery</v>
      </c>
      <c r="D66" s="37" t="e">
        <f>SUM(G66:L66)</f>
        <v>#N/A</v>
      </c>
      <c r="E66" s="616" t="e">
        <f>D66/D$15</f>
        <v>#N/A</v>
      </c>
      <c r="F66" s="37"/>
      <c r="G66" s="37" t="e">
        <f>'R2. Resource Mapping'!C76</f>
        <v>#N/A</v>
      </c>
      <c r="H66" s="300"/>
      <c r="I66" s="300"/>
      <c r="J66" s="300"/>
      <c r="K66" s="300"/>
      <c r="L66" s="300"/>
      <c r="M66" s="463"/>
      <c r="Q66" s="403" t="s">
        <v>4423</v>
      </c>
      <c r="AA66" s="403" t="s">
        <v>14252</v>
      </c>
      <c r="AF66" s="403" t="s">
        <v>12534</v>
      </c>
      <c r="AP66" s="403" t="s">
        <v>12535</v>
      </c>
      <c r="AU66" s="403" t="s">
        <v>12536</v>
      </c>
      <c r="BE66" s="403" t="s">
        <v>12537</v>
      </c>
      <c r="BJ66" s="403" t="s">
        <v>12538</v>
      </c>
      <c r="BT66" s="403" t="s">
        <v>12539</v>
      </c>
      <c r="BY66" s="403" t="s">
        <v>12540</v>
      </c>
      <c r="CI66" s="403" t="s">
        <v>12541</v>
      </c>
      <c r="CN66" s="403" t="s">
        <v>12542</v>
      </c>
      <c r="CX66" s="403" t="s">
        <v>12543</v>
      </c>
      <c r="DC66" s="403" t="s">
        <v>12544</v>
      </c>
      <c r="DM66" s="403" t="s">
        <v>12545</v>
      </c>
    </row>
    <row r="67" spans="1:118" s="463" customFormat="1" x14ac:dyDescent="0.2">
      <c r="B67" s="5" t="str">
        <f ca="1">LEFT('R2. Resource Mapping'!B88,6)</f>
        <v>R2.1.2</v>
      </c>
      <c r="C67" s="5" t="str">
        <f ca="1">MID('R2. Resource Mapping'!B88,8,99)</f>
        <v>Vaccine Doses and Related Devices &amp; Supplies</v>
      </c>
      <c r="D67" s="300" t="e">
        <f t="shared" ref="D67:D68" ca="1" si="22">SUM(G67:L67)</f>
        <v>#N/A</v>
      </c>
      <c r="E67" s="616" t="e">
        <f t="shared" ref="E67:E68" ca="1" si="23">D67/D$15</f>
        <v>#N/A</v>
      </c>
      <c r="F67" s="300"/>
      <c r="G67" s="300" t="e">
        <f ca="1">'R2. Resource Mapping'!C88</f>
        <v>#N/A</v>
      </c>
      <c r="H67" s="300" t="e">
        <f ca="1">'R2. Resource Mapping'!D88</f>
        <v>#N/A</v>
      </c>
      <c r="I67" s="300" t="e">
        <f ca="1">'R2. Resource Mapping'!E88</f>
        <v>#N/A</v>
      </c>
      <c r="J67" s="300" t="e">
        <f ca="1">'R2. Resource Mapping'!F88</f>
        <v>#N/A</v>
      </c>
      <c r="K67" s="300" t="e">
        <f ca="1">'R2. Resource Mapping'!G88</f>
        <v>#N/A</v>
      </c>
      <c r="L67" s="300" t="e">
        <f ca="1">'R2. Resource Mapping'!H88</f>
        <v>#N/A</v>
      </c>
      <c r="M67" s="221" t="e">
        <f>D66/'B2. Vaccines and Supplies'!$L$95</f>
        <v>#N/A</v>
      </c>
      <c r="N67" s="403"/>
      <c r="O67" s="403"/>
      <c r="P67" s="403"/>
      <c r="Q67" s="403" t="s">
        <v>4424</v>
      </c>
      <c r="R67" s="403"/>
      <c r="S67" s="403"/>
      <c r="T67" s="403"/>
      <c r="U67" s="403"/>
      <c r="V67" s="403"/>
      <c r="W67" s="403"/>
      <c r="X67" s="403"/>
      <c r="Y67" s="403"/>
      <c r="Z67" s="403"/>
      <c r="AA67" s="403"/>
      <c r="AB67" s="403"/>
      <c r="AC67" s="564"/>
      <c r="AD67" s="403"/>
      <c r="AE67" s="403"/>
      <c r="AF67" s="403" t="s">
        <v>12546</v>
      </c>
      <c r="AG67" s="403"/>
      <c r="AH67" s="403"/>
      <c r="AI67" s="403"/>
      <c r="AJ67" s="403"/>
      <c r="AK67" s="403"/>
      <c r="AL67" s="403"/>
      <c r="AM67" s="403"/>
      <c r="AN67" s="403"/>
      <c r="AO67" s="403"/>
      <c r="AP67" s="403"/>
      <c r="AQ67" s="403"/>
      <c r="AR67" s="403"/>
      <c r="AS67" s="403"/>
      <c r="AT67" s="403"/>
      <c r="AU67" s="403" t="s">
        <v>12547</v>
      </c>
      <c r="AV67" s="403"/>
      <c r="AW67" s="403"/>
      <c r="AX67" s="403"/>
      <c r="AY67" s="403"/>
      <c r="AZ67" s="403"/>
      <c r="BA67" s="403"/>
      <c r="BB67" s="403"/>
      <c r="BC67" s="403"/>
      <c r="BD67" s="403"/>
      <c r="BE67" s="403"/>
      <c r="BF67" s="403"/>
      <c r="BG67" s="403"/>
      <c r="BH67" s="403"/>
      <c r="BI67" s="403"/>
      <c r="BJ67" s="403" t="s">
        <v>12548</v>
      </c>
      <c r="BK67" s="403"/>
      <c r="BL67" s="403"/>
      <c r="BM67" s="403"/>
      <c r="BN67" s="403"/>
      <c r="BO67" s="403"/>
      <c r="BP67" s="403"/>
      <c r="BQ67" s="403"/>
      <c r="BR67" s="403"/>
      <c r="BS67" s="403"/>
      <c r="BT67" s="403"/>
      <c r="BU67" s="403"/>
      <c r="BV67" s="403"/>
      <c r="BW67" s="403"/>
      <c r="BX67" s="403"/>
      <c r="BY67" s="403" t="s">
        <v>12549</v>
      </c>
      <c r="BZ67" s="403"/>
      <c r="CA67" s="403"/>
      <c r="CB67" s="403"/>
      <c r="CC67" s="403"/>
      <c r="CD67" s="403"/>
      <c r="CE67" s="403"/>
      <c r="CF67" s="403"/>
      <c r="CG67" s="403"/>
      <c r="CH67" s="403"/>
      <c r="CI67" s="403"/>
      <c r="CJ67" s="403"/>
      <c r="CK67" s="403"/>
      <c r="CL67" s="403"/>
      <c r="CM67" s="403"/>
      <c r="CN67" s="403" t="s">
        <v>12550</v>
      </c>
      <c r="CO67" s="403"/>
      <c r="CP67" s="403"/>
      <c r="CQ67" s="403"/>
      <c r="CR67" s="403"/>
      <c r="CS67" s="403"/>
      <c r="CT67" s="403"/>
      <c r="CU67" s="403"/>
      <c r="CV67" s="403"/>
      <c r="CW67" s="403"/>
      <c r="CX67" s="403"/>
      <c r="CY67" s="403"/>
      <c r="CZ67" s="403"/>
      <c r="DA67" s="403"/>
      <c r="DB67" s="403"/>
      <c r="DC67" s="403" t="s">
        <v>12551</v>
      </c>
      <c r="DD67" s="403"/>
      <c r="DE67" s="403"/>
      <c r="DF67" s="403"/>
      <c r="DG67" s="403"/>
      <c r="DH67" s="403"/>
      <c r="DI67" s="403"/>
      <c r="DJ67" s="403"/>
      <c r="DK67" s="403"/>
      <c r="DL67" s="403"/>
      <c r="DM67" s="403"/>
      <c r="DN67" s="403"/>
    </row>
    <row r="68" spans="1:118" x14ac:dyDescent="0.2">
      <c r="B68" s="5" t="str">
        <f ca="1">LEFT('R2. Resource Mapping'!B129,6)</f>
        <v>R2.1.3</v>
      </c>
      <c r="C68" s="5" t="str">
        <f ca="1">MID('R2. Resource Mapping'!B129,8,99)</f>
        <v>Vaccinators</v>
      </c>
      <c r="D68" s="37" t="e">
        <f t="shared" si="22"/>
        <v>#N/A</v>
      </c>
      <c r="E68" s="616" t="e">
        <f t="shared" si="23"/>
        <v>#N/A</v>
      </c>
      <c r="F68" s="37"/>
      <c r="G68" s="63" t="e">
        <f>'R2. Resource Mapping'!C129</f>
        <v>#N/A</v>
      </c>
      <c r="H68" s="63" t="e">
        <f>'R2. Resource Mapping'!D129</f>
        <v>#N/A</v>
      </c>
      <c r="I68" s="63" t="e">
        <f>'R2. Resource Mapping'!E129</f>
        <v>#N/A</v>
      </c>
      <c r="J68" s="63" t="e">
        <f>'R2. Resource Mapping'!F129</f>
        <v>#N/A</v>
      </c>
      <c r="K68" s="63" t="e">
        <f>'R2. Resource Mapping'!G129</f>
        <v>#N/A</v>
      </c>
      <c r="L68" s="63" t="e">
        <f>'R2. Resource Mapping'!H129</f>
        <v>#N/A</v>
      </c>
      <c r="M68" s="221" t="e">
        <f ca="1">D67/'B2. Vaccines and Supplies'!$L$95</f>
        <v>#N/A</v>
      </c>
      <c r="Q68" s="403" t="s">
        <v>4425</v>
      </c>
      <c r="AF68" s="403" t="s">
        <v>12552</v>
      </c>
      <c r="AU68" s="403" t="s">
        <v>12553</v>
      </c>
      <c r="BJ68" s="403" t="s">
        <v>12554</v>
      </c>
      <c r="BY68" s="403" t="s">
        <v>12555</v>
      </c>
      <c r="CN68" s="403" t="s">
        <v>12556</v>
      </c>
      <c r="DC68" s="403" t="s">
        <v>12557</v>
      </c>
    </row>
    <row r="69" spans="1:118" s="463" customFormat="1" x14ac:dyDescent="0.2">
      <c r="B69" s="5" t="str">
        <f ca="1">LEFT('R2. Resource Mapping'!B152,6)</f>
        <v>R2.1.4</v>
      </c>
      <c r="C69" s="5" t="str">
        <f ca="1">MID('R2. Resource Mapping'!B152,8,99)</f>
        <v>Vaccination Delivery</v>
      </c>
      <c r="D69" s="300" t="e">
        <f>SUM(G69:L69)</f>
        <v>#DIV/0!</v>
      </c>
      <c r="E69" s="616" t="e">
        <f>D69/D$15</f>
        <v>#DIV/0!</v>
      </c>
      <c r="F69" s="300"/>
      <c r="G69" s="300" t="e">
        <f>'R2. Resource Mapping'!C152</f>
        <v>#DIV/0!</v>
      </c>
      <c r="H69" s="300" t="e">
        <f>'R2. Resource Mapping'!D152</f>
        <v>#DIV/0!</v>
      </c>
      <c r="I69" s="300" t="e">
        <f>'R2. Resource Mapping'!E152</f>
        <v>#DIV/0!</v>
      </c>
      <c r="J69" s="300" t="e">
        <f>'R2. Resource Mapping'!F152</f>
        <v>#DIV/0!</v>
      </c>
      <c r="K69" s="300" t="e">
        <f>'R2. Resource Mapping'!G152</f>
        <v>#DIV/0!</v>
      </c>
      <c r="L69" s="300" t="e">
        <f>'R2. Resource Mapping'!H152</f>
        <v>#DIV/0!</v>
      </c>
      <c r="M69" s="221" t="e">
        <f>D68/'B2. Vaccines and Supplies'!$L$95</f>
        <v>#N/A</v>
      </c>
      <c r="N69" s="403"/>
      <c r="O69" s="403"/>
      <c r="P69" s="403"/>
      <c r="Q69" s="403" t="s">
        <v>4426</v>
      </c>
      <c r="R69" s="403"/>
      <c r="S69" s="403"/>
      <c r="T69" s="403"/>
      <c r="U69" s="403"/>
      <c r="V69" s="403"/>
      <c r="W69" s="403"/>
      <c r="X69" s="403"/>
      <c r="Y69" s="403"/>
      <c r="Z69" s="403"/>
      <c r="AA69" s="403"/>
      <c r="AB69" s="403"/>
      <c r="AC69" s="564"/>
      <c r="AD69" s="403"/>
      <c r="AE69" s="403"/>
      <c r="AF69" s="403" t="s">
        <v>5030</v>
      </c>
      <c r="AG69" s="403"/>
      <c r="AH69" s="403"/>
      <c r="AI69" s="403"/>
      <c r="AJ69" s="403"/>
      <c r="AK69" s="403"/>
      <c r="AL69" s="403"/>
      <c r="AM69" s="403"/>
      <c r="AN69" s="403"/>
      <c r="AO69" s="403"/>
      <c r="AP69" s="403"/>
      <c r="AQ69" s="403"/>
      <c r="AR69" s="403"/>
      <c r="AS69" s="403"/>
      <c r="AT69" s="403"/>
      <c r="AU69" s="403" t="s">
        <v>5031</v>
      </c>
      <c r="AV69" s="403"/>
      <c r="AW69" s="403"/>
      <c r="AX69" s="403"/>
      <c r="AY69" s="403"/>
      <c r="AZ69" s="403"/>
      <c r="BA69" s="403"/>
      <c r="BB69" s="403"/>
      <c r="BC69" s="403"/>
      <c r="BD69" s="403"/>
      <c r="BE69" s="403"/>
      <c r="BF69" s="403"/>
      <c r="BG69" s="403"/>
      <c r="BH69" s="403"/>
      <c r="BI69" s="403"/>
      <c r="BJ69" s="403" t="s">
        <v>5032</v>
      </c>
      <c r="BK69" s="403"/>
      <c r="BL69" s="403"/>
      <c r="BM69" s="403"/>
      <c r="BN69" s="403"/>
      <c r="BO69" s="403"/>
      <c r="BP69" s="403"/>
      <c r="BQ69" s="403"/>
      <c r="BR69" s="403"/>
      <c r="BS69" s="403"/>
      <c r="BT69" s="403"/>
      <c r="BU69" s="403"/>
      <c r="BV69" s="403"/>
      <c r="BW69" s="403"/>
      <c r="BX69" s="403"/>
      <c r="BY69" s="403" t="s">
        <v>5030</v>
      </c>
      <c r="BZ69" s="403"/>
      <c r="CA69" s="403"/>
      <c r="CB69" s="403"/>
      <c r="CC69" s="403"/>
      <c r="CD69" s="403"/>
      <c r="CE69" s="403"/>
      <c r="CF69" s="403"/>
      <c r="CG69" s="403"/>
      <c r="CH69" s="403"/>
      <c r="CI69" s="403"/>
      <c r="CJ69" s="403"/>
      <c r="CK69" s="403"/>
      <c r="CL69" s="403"/>
      <c r="CM69" s="403"/>
      <c r="CN69" s="403" t="s">
        <v>5033</v>
      </c>
      <c r="CO69" s="403"/>
      <c r="CP69" s="403"/>
      <c r="CQ69" s="403"/>
      <c r="CR69" s="403"/>
      <c r="CS69" s="403"/>
      <c r="CT69" s="403"/>
      <c r="CU69" s="403"/>
      <c r="CV69" s="403"/>
      <c r="CW69" s="403"/>
      <c r="CX69" s="403"/>
      <c r="CY69" s="403"/>
      <c r="CZ69" s="403"/>
      <c r="DA69" s="403"/>
      <c r="DB69" s="403"/>
      <c r="DC69" s="403" t="s">
        <v>3165</v>
      </c>
      <c r="DD69" s="403"/>
      <c r="DE69" s="403"/>
      <c r="DF69" s="403"/>
      <c r="DG69" s="403"/>
      <c r="DH69" s="403"/>
      <c r="DI69" s="403"/>
      <c r="DJ69" s="403"/>
      <c r="DK69" s="403"/>
      <c r="DL69" s="403"/>
      <c r="DM69" s="403"/>
      <c r="DN69" s="403"/>
    </row>
    <row r="70" spans="1:118" s="463" customFormat="1" x14ac:dyDescent="0.2">
      <c r="B70" s="5" t="str">
        <f ca="1">LEFT('R2. Resource Mapping'!B177,6)</f>
        <v>R2.1.5</v>
      </c>
      <c r="C70" s="5" t="str">
        <f ca="1">MID('R2. Resource Mapping'!B177,8,99)</f>
        <v>Cold Chain</v>
      </c>
      <c r="D70" s="300" t="e">
        <f>SUM(G70:L70)</f>
        <v>#N/A</v>
      </c>
      <c r="E70" s="616" t="e">
        <f>D70/D$15</f>
        <v>#N/A</v>
      </c>
      <c r="F70" s="300"/>
      <c r="G70" s="63" t="e">
        <f>'R2. Resource Mapping'!C177</f>
        <v>#N/A</v>
      </c>
      <c r="H70" s="63" t="e">
        <f>'R2. Resource Mapping'!D177</f>
        <v>#N/A</v>
      </c>
      <c r="I70" s="63" t="e">
        <f>'R2. Resource Mapping'!E177</f>
        <v>#N/A</v>
      </c>
      <c r="J70" s="63" t="e">
        <f>'R2. Resource Mapping'!F177</f>
        <v>#N/A</v>
      </c>
      <c r="K70" s="63" t="e">
        <f>'R2. Resource Mapping'!G177</f>
        <v>#N/A</v>
      </c>
      <c r="L70" s="63" t="e">
        <f>'R2. Resource Mapping'!H177</f>
        <v>#N/A</v>
      </c>
      <c r="M70" s="221" t="e">
        <f>D69/'B2. Vaccines and Supplies'!$L$95</f>
        <v>#DIV/0!</v>
      </c>
      <c r="N70" s="403"/>
      <c r="O70" s="403"/>
      <c r="P70" s="403"/>
      <c r="Q70" s="403" t="s">
        <v>4427</v>
      </c>
      <c r="R70" s="403"/>
      <c r="S70" s="403"/>
      <c r="T70" s="403"/>
      <c r="U70" s="403"/>
      <c r="V70" s="403"/>
      <c r="W70" s="403"/>
      <c r="X70" s="403"/>
      <c r="Y70" s="403"/>
      <c r="Z70" s="403"/>
      <c r="AA70" s="403"/>
      <c r="AB70" s="403"/>
      <c r="AC70" s="564"/>
      <c r="AD70" s="403"/>
      <c r="AE70" s="403"/>
      <c r="AF70" s="403" t="s">
        <v>12558</v>
      </c>
      <c r="AG70" s="403"/>
      <c r="AH70" s="403"/>
      <c r="AI70" s="403"/>
      <c r="AJ70" s="403"/>
      <c r="AK70" s="403"/>
      <c r="AL70" s="403"/>
      <c r="AM70" s="403"/>
      <c r="AN70" s="403"/>
      <c r="AO70" s="403"/>
      <c r="AP70" s="403"/>
      <c r="AQ70" s="403"/>
      <c r="AR70" s="403"/>
      <c r="AS70" s="403"/>
      <c r="AT70" s="403"/>
      <c r="AU70" s="403" t="s">
        <v>12559</v>
      </c>
      <c r="AV70" s="403"/>
      <c r="AW70" s="403"/>
      <c r="AX70" s="403"/>
      <c r="AY70" s="403"/>
      <c r="AZ70" s="403"/>
      <c r="BA70" s="403"/>
      <c r="BB70" s="403"/>
      <c r="BC70" s="403"/>
      <c r="BD70" s="403"/>
      <c r="BE70" s="403"/>
      <c r="BF70" s="403"/>
      <c r="BG70" s="403"/>
      <c r="BH70" s="403"/>
      <c r="BI70" s="403"/>
      <c r="BJ70" s="403" t="s">
        <v>12560</v>
      </c>
      <c r="BK70" s="403"/>
      <c r="BL70" s="403"/>
      <c r="BM70" s="403"/>
      <c r="BN70" s="403"/>
      <c r="BO70" s="403"/>
      <c r="BP70" s="403"/>
      <c r="BQ70" s="403"/>
      <c r="BR70" s="403"/>
      <c r="BS70" s="403"/>
      <c r="BT70" s="403"/>
      <c r="BU70" s="403"/>
      <c r="BV70" s="403"/>
      <c r="BW70" s="403"/>
      <c r="BX70" s="403"/>
      <c r="BY70" s="403" t="s">
        <v>12561</v>
      </c>
      <c r="BZ70" s="403"/>
      <c r="CA70" s="403"/>
      <c r="CB70" s="403"/>
      <c r="CC70" s="403"/>
      <c r="CD70" s="403"/>
      <c r="CE70" s="403"/>
      <c r="CF70" s="403"/>
      <c r="CG70" s="403"/>
      <c r="CH70" s="403"/>
      <c r="CI70" s="403"/>
      <c r="CJ70" s="403"/>
      <c r="CK70" s="403"/>
      <c r="CL70" s="403"/>
      <c r="CM70" s="403"/>
      <c r="CN70" s="403" t="s">
        <v>12562</v>
      </c>
      <c r="CO70" s="403"/>
      <c r="CP70" s="403"/>
      <c r="CQ70" s="403"/>
      <c r="CR70" s="403"/>
      <c r="CS70" s="403"/>
      <c r="CT70" s="403"/>
      <c r="CU70" s="403"/>
      <c r="CV70" s="403"/>
      <c r="CW70" s="403"/>
      <c r="CX70" s="403"/>
      <c r="CY70" s="403"/>
      <c r="CZ70" s="403"/>
      <c r="DA70" s="403"/>
      <c r="DB70" s="403"/>
      <c r="DC70" s="403" t="s">
        <v>12563</v>
      </c>
      <c r="DD70" s="403"/>
      <c r="DE70" s="403"/>
      <c r="DF70" s="403"/>
      <c r="DG70" s="403"/>
      <c r="DH70" s="403"/>
      <c r="DI70" s="403"/>
      <c r="DJ70" s="403"/>
      <c r="DK70" s="403"/>
      <c r="DL70" s="403"/>
      <c r="DM70" s="403"/>
      <c r="DN70" s="403"/>
    </row>
    <row r="71" spans="1:118" s="299" customFormat="1" x14ac:dyDescent="0.2">
      <c r="B71" s="5" t="str">
        <f ca="1">LEFT('R2. Resource Mapping'!B198,6)</f>
        <v>R2.1.6</v>
      </c>
      <c r="C71" s="5" t="str">
        <f ca="1">MID('R2. Resource Mapping'!B198,8,99)</f>
        <v>Data Management, Monitoring &amp; Evaluation, and Oversight</v>
      </c>
      <c r="D71" s="300" t="e">
        <f t="shared" ref="D71" si="24">SUM(G71:L71)</f>
        <v>#N/A</v>
      </c>
      <c r="E71" s="616" t="e">
        <f t="shared" ref="E71:E74" si="25">D71/D$15</f>
        <v>#N/A</v>
      </c>
      <c r="F71" s="300"/>
      <c r="G71" s="300" t="e">
        <f>'R2. Resource Mapping'!C198</f>
        <v>#N/A</v>
      </c>
      <c r="H71" s="300" t="e">
        <f>'R2. Resource Mapping'!D198</f>
        <v>#N/A</v>
      </c>
      <c r="I71" s="300" t="e">
        <f>'R2. Resource Mapping'!E198</f>
        <v>#N/A</v>
      </c>
      <c r="J71" s="300" t="e">
        <f>'R2. Resource Mapping'!F198</f>
        <v>#N/A</v>
      </c>
      <c r="K71" s="300" t="e">
        <f>'R2. Resource Mapping'!G198</f>
        <v>#N/A</v>
      </c>
      <c r="L71" s="300" t="e">
        <f>'R2. Resource Mapping'!H198</f>
        <v>#N/A</v>
      </c>
      <c r="M71" s="221" t="e">
        <f>D70/'B2. Vaccines and Supplies'!$L$95</f>
        <v>#N/A</v>
      </c>
      <c r="N71" s="403"/>
      <c r="O71" s="403"/>
      <c r="P71" s="403"/>
      <c r="Q71" s="403" t="s">
        <v>14182</v>
      </c>
      <c r="R71" s="403"/>
      <c r="S71" s="403"/>
      <c r="T71" s="403"/>
      <c r="U71" s="403"/>
      <c r="V71" s="403"/>
      <c r="W71" s="403"/>
      <c r="X71" s="403"/>
      <c r="Y71" s="403"/>
      <c r="Z71" s="403"/>
      <c r="AA71" s="403"/>
      <c r="AB71" s="403"/>
      <c r="AC71" s="564"/>
      <c r="AD71" s="403"/>
      <c r="AE71" s="403"/>
      <c r="AF71" s="403" t="s">
        <v>12564</v>
      </c>
      <c r="AG71" s="403"/>
      <c r="AH71" s="403"/>
      <c r="AI71" s="403"/>
      <c r="AJ71" s="403"/>
      <c r="AK71" s="403"/>
      <c r="AL71" s="403"/>
      <c r="AM71" s="403"/>
      <c r="AN71" s="403"/>
      <c r="AO71" s="403"/>
      <c r="AP71" s="403"/>
      <c r="AQ71" s="403"/>
      <c r="AR71" s="403"/>
      <c r="AS71" s="403"/>
      <c r="AT71" s="403"/>
      <c r="AU71" s="403" t="s">
        <v>12565</v>
      </c>
      <c r="AV71" s="403"/>
      <c r="AW71" s="403"/>
      <c r="AX71" s="403"/>
      <c r="AY71" s="403"/>
      <c r="AZ71" s="403"/>
      <c r="BA71" s="403"/>
      <c r="BB71" s="403"/>
      <c r="BC71" s="403"/>
      <c r="BD71" s="403"/>
      <c r="BE71" s="403"/>
      <c r="BF71" s="403"/>
      <c r="BG71" s="403"/>
      <c r="BH71" s="403"/>
      <c r="BI71" s="403"/>
      <c r="BJ71" s="403" t="s">
        <v>12566</v>
      </c>
      <c r="BK71" s="403"/>
      <c r="BL71" s="403"/>
      <c r="BM71" s="403"/>
      <c r="BN71" s="403"/>
      <c r="BO71" s="403"/>
      <c r="BP71" s="403"/>
      <c r="BQ71" s="403"/>
      <c r="BR71" s="403"/>
      <c r="BS71" s="403"/>
      <c r="BT71" s="403"/>
      <c r="BU71" s="403"/>
      <c r="BV71" s="403"/>
      <c r="BW71" s="403"/>
      <c r="BX71" s="403"/>
      <c r="BY71" s="403" t="s">
        <v>12567</v>
      </c>
      <c r="BZ71" s="403"/>
      <c r="CA71" s="403"/>
      <c r="CB71" s="403"/>
      <c r="CC71" s="403"/>
      <c r="CD71" s="403"/>
      <c r="CE71" s="403"/>
      <c r="CF71" s="403"/>
      <c r="CG71" s="403"/>
      <c r="CH71" s="403"/>
      <c r="CI71" s="403"/>
      <c r="CJ71" s="403"/>
      <c r="CK71" s="403"/>
      <c r="CL71" s="403"/>
      <c r="CM71" s="403"/>
      <c r="CN71" s="403" t="s">
        <v>12568</v>
      </c>
      <c r="CO71" s="403"/>
      <c r="CP71" s="403"/>
      <c r="CQ71" s="403"/>
      <c r="CR71" s="403"/>
      <c r="CS71" s="403"/>
      <c r="CT71" s="403"/>
      <c r="CU71" s="403"/>
      <c r="CV71" s="403"/>
      <c r="CW71" s="403"/>
      <c r="CX71" s="403"/>
      <c r="CY71" s="403"/>
      <c r="CZ71" s="403"/>
      <c r="DA71" s="403"/>
      <c r="DB71" s="403"/>
      <c r="DC71" s="403" t="s">
        <v>12569</v>
      </c>
      <c r="DD71" s="403"/>
      <c r="DE71" s="403"/>
      <c r="DF71" s="403"/>
      <c r="DG71" s="403"/>
      <c r="DH71" s="403"/>
      <c r="DI71" s="403"/>
      <c r="DJ71" s="403"/>
      <c r="DK71" s="403"/>
      <c r="DL71" s="403"/>
      <c r="DM71" s="403"/>
      <c r="DN71" s="403"/>
    </row>
    <row r="72" spans="1:118" x14ac:dyDescent="0.2">
      <c r="B72" s="5" t="str">
        <f ca="1">LEFT('R2. Resource Mapping'!B221,6)</f>
        <v>R2.1.7</v>
      </c>
      <c r="C72" s="5" t="str">
        <f ca="1">MID('R2. Resource Mapping'!B221,8,99)</f>
        <v>Vaccine Safety Surveillance and Injection Safety</v>
      </c>
      <c r="D72" s="37" t="e">
        <f>SUM(G72:L72)</f>
        <v>#N/A</v>
      </c>
      <c r="E72" s="616" t="e">
        <f t="shared" si="25"/>
        <v>#N/A</v>
      </c>
      <c r="F72" s="37"/>
      <c r="G72" s="37" t="e">
        <f>'R2. Resource Mapping'!C221</f>
        <v>#N/A</v>
      </c>
      <c r="H72" s="300" t="e">
        <f>'R2. Resource Mapping'!D221</f>
        <v>#N/A</v>
      </c>
      <c r="I72" s="300" t="e">
        <f>'R2. Resource Mapping'!E221</f>
        <v>#N/A</v>
      </c>
      <c r="J72" s="300" t="e">
        <f>'R2. Resource Mapping'!F221</f>
        <v>#N/A</v>
      </c>
      <c r="K72" s="300" t="e">
        <f>'R2. Resource Mapping'!G221</f>
        <v>#N/A</v>
      </c>
      <c r="L72" s="300" t="e">
        <f>'R2. Resource Mapping'!H221</f>
        <v>#N/A</v>
      </c>
      <c r="M72" s="221" t="e">
        <f>D71/'B2. Vaccines and Supplies'!$L$95</f>
        <v>#N/A</v>
      </c>
      <c r="Q72" s="403" t="s">
        <v>14528</v>
      </c>
      <c r="AF72" s="403" t="s">
        <v>12570</v>
      </c>
      <c r="AU72" s="403" t="s">
        <v>12571</v>
      </c>
      <c r="BJ72" s="403" t="s">
        <v>12572</v>
      </c>
      <c r="BY72" s="403" t="s">
        <v>12573</v>
      </c>
      <c r="CN72" s="403" t="s">
        <v>12574</v>
      </c>
      <c r="DC72" s="403" t="s">
        <v>12575</v>
      </c>
    </row>
    <row r="73" spans="1:118" s="463" customFormat="1" x14ac:dyDescent="0.2">
      <c r="B73" s="5" t="str">
        <f ca="1">LEFT('R2. Resource Mapping'!B236,6)</f>
        <v>R2.1.8</v>
      </c>
      <c r="C73" s="5" t="str">
        <f ca="1">MID('R2. Resource Mapping'!B236,8,99)</f>
        <v>Demand Generation and Communications</v>
      </c>
      <c r="D73" s="300" t="e">
        <f>SUM(G73:L73)</f>
        <v>#N/A</v>
      </c>
      <c r="E73" s="616" t="e">
        <f t="shared" si="25"/>
        <v>#N/A</v>
      </c>
      <c r="F73" s="300"/>
      <c r="G73" s="300" t="e">
        <f>'R2. Resource Mapping'!C236</f>
        <v>#N/A</v>
      </c>
      <c r="H73" s="300" t="e">
        <f>'R2. Resource Mapping'!D236</f>
        <v>#N/A</v>
      </c>
      <c r="I73" s="300" t="e">
        <f>'R2. Resource Mapping'!E236</f>
        <v>#N/A</v>
      </c>
      <c r="J73" s="300" t="e">
        <f>'R2. Resource Mapping'!F236</f>
        <v>#N/A</v>
      </c>
      <c r="K73" s="300" t="e">
        <f>'R2. Resource Mapping'!G236</f>
        <v>#N/A</v>
      </c>
      <c r="L73" s="300" t="e">
        <f>'R2. Resource Mapping'!H236</f>
        <v>#N/A</v>
      </c>
      <c r="M73" s="221" t="e">
        <f>D72/'B2. Vaccines and Supplies'!$L$95</f>
        <v>#N/A</v>
      </c>
      <c r="N73" s="403"/>
      <c r="O73" s="403"/>
      <c r="P73" s="403"/>
      <c r="Q73" s="403" t="s">
        <v>4397</v>
      </c>
      <c r="R73" s="403"/>
      <c r="S73" s="403"/>
      <c r="T73" s="403"/>
      <c r="U73" s="403"/>
      <c r="V73" s="403"/>
      <c r="W73" s="403"/>
      <c r="X73" s="403"/>
      <c r="Y73" s="403"/>
      <c r="Z73" s="403"/>
      <c r="AA73" s="403"/>
      <c r="AB73" s="403"/>
      <c r="AC73" s="564"/>
      <c r="AD73" s="403"/>
      <c r="AE73" s="403"/>
      <c r="AF73" s="403" t="s">
        <v>12576</v>
      </c>
      <c r="AG73" s="403"/>
      <c r="AH73" s="403"/>
      <c r="AI73" s="403"/>
      <c r="AJ73" s="403"/>
      <c r="AK73" s="403"/>
      <c r="AL73" s="403"/>
      <c r="AM73" s="403"/>
      <c r="AN73" s="403"/>
      <c r="AO73" s="403"/>
      <c r="AP73" s="403"/>
      <c r="AQ73" s="403"/>
      <c r="AR73" s="403"/>
      <c r="AS73" s="403"/>
      <c r="AT73" s="403"/>
      <c r="AU73" s="403" t="s">
        <v>12577</v>
      </c>
      <c r="AV73" s="403"/>
      <c r="AW73" s="403"/>
      <c r="AX73" s="403"/>
      <c r="AY73" s="403"/>
      <c r="AZ73" s="403"/>
      <c r="BA73" s="403"/>
      <c r="BB73" s="403"/>
      <c r="BC73" s="403"/>
      <c r="BD73" s="403"/>
      <c r="BE73" s="403"/>
      <c r="BF73" s="403"/>
      <c r="BG73" s="403"/>
      <c r="BH73" s="403"/>
      <c r="BI73" s="403"/>
      <c r="BJ73" s="403" t="s">
        <v>12578</v>
      </c>
      <c r="BK73" s="403"/>
      <c r="BL73" s="403"/>
      <c r="BM73" s="403"/>
      <c r="BN73" s="403"/>
      <c r="BO73" s="403"/>
      <c r="BP73" s="403"/>
      <c r="BQ73" s="403"/>
      <c r="BR73" s="403"/>
      <c r="BS73" s="403"/>
      <c r="BT73" s="403"/>
      <c r="BU73" s="403"/>
      <c r="BV73" s="403"/>
      <c r="BW73" s="403"/>
      <c r="BX73" s="403"/>
      <c r="BY73" s="403" t="s">
        <v>12579</v>
      </c>
      <c r="BZ73" s="403"/>
      <c r="CA73" s="403"/>
      <c r="CB73" s="403"/>
      <c r="CC73" s="403"/>
      <c r="CD73" s="403"/>
      <c r="CE73" s="403"/>
      <c r="CF73" s="403"/>
      <c r="CG73" s="403"/>
      <c r="CH73" s="403"/>
      <c r="CI73" s="403"/>
      <c r="CJ73" s="403"/>
      <c r="CK73" s="403"/>
      <c r="CL73" s="403"/>
      <c r="CM73" s="403"/>
      <c r="CN73" s="403" t="s">
        <v>12580</v>
      </c>
      <c r="CO73" s="403"/>
      <c r="CP73" s="403"/>
      <c r="CQ73" s="403"/>
      <c r="CR73" s="403"/>
      <c r="CS73" s="403"/>
      <c r="CT73" s="403"/>
      <c r="CU73" s="403"/>
      <c r="CV73" s="403"/>
      <c r="CW73" s="403"/>
      <c r="CX73" s="403"/>
      <c r="CY73" s="403"/>
      <c r="CZ73" s="403"/>
      <c r="DA73" s="403"/>
      <c r="DB73" s="403"/>
      <c r="DC73" s="403" t="s">
        <v>12581</v>
      </c>
      <c r="DD73" s="403"/>
      <c r="DE73" s="403"/>
      <c r="DF73" s="403"/>
      <c r="DG73" s="403"/>
      <c r="DH73" s="403"/>
      <c r="DI73" s="403"/>
      <c r="DJ73" s="403"/>
      <c r="DK73" s="403"/>
      <c r="DL73" s="403"/>
      <c r="DM73" s="403"/>
      <c r="DN73" s="403"/>
    </row>
    <row r="74" spans="1:118" s="463" customFormat="1" x14ac:dyDescent="0.2">
      <c r="B74" s="5" t="str">
        <f ca="1">LEFT('R2. Resource Mapping'!B247,6)</f>
        <v>R2.1.9</v>
      </c>
      <c r="C74" s="5" t="str">
        <f ca="1">MID('R2. Resource Mapping'!B247,8,99)</f>
        <v>Protecting Essential Health Services and Health Systems Strengthening</v>
      </c>
      <c r="D74" s="300" t="e">
        <f>SUM(G74:L74)</f>
        <v>#N/A</v>
      </c>
      <c r="E74" s="616" t="e">
        <f t="shared" si="25"/>
        <v>#N/A</v>
      </c>
      <c r="F74" s="300"/>
      <c r="G74" s="300" t="e">
        <f>'R2. Resource Mapping'!C247</f>
        <v>#N/A</v>
      </c>
      <c r="H74" s="300" t="e">
        <f>'R2. Resource Mapping'!D247</f>
        <v>#N/A</v>
      </c>
      <c r="I74" s="300" t="e">
        <f>'R2. Resource Mapping'!E247</f>
        <v>#N/A</v>
      </c>
      <c r="J74" s="300" t="e">
        <f>'R2. Resource Mapping'!F247</f>
        <v>#N/A</v>
      </c>
      <c r="K74" s="300" t="e">
        <f>'R2. Resource Mapping'!G247</f>
        <v>#N/A</v>
      </c>
      <c r="L74" s="300" t="e">
        <f>'R2. Resource Mapping'!H247</f>
        <v>#N/A</v>
      </c>
      <c r="M74" s="221" t="e">
        <f>D73/'B2. Vaccines and Supplies'!$L$95</f>
        <v>#N/A</v>
      </c>
      <c r="N74" s="403"/>
      <c r="O74" s="403"/>
      <c r="P74" s="403"/>
      <c r="Q74" s="403" t="s">
        <v>4396</v>
      </c>
      <c r="R74" s="403"/>
      <c r="S74" s="403"/>
      <c r="T74" s="403"/>
      <c r="U74" s="403"/>
      <c r="V74" s="403"/>
      <c r="W74" s="403"/>
      <c r="X74" s="403"/>
      <c r="Y74" s="403"/>
      <c r="Z74" s="403"/>
      <c r="AA74" s="403"/>
      <c r="AB74" s="403"/>
      <c r="AC74" s="564"/>
      <c r="AD74" s="403"/>
      <c r="AE74" s="403"/>
      <c r="AF74" s="403" t="s">
        <v>12582</v>
      </c>
      <c r="AG74" s="403"/>
      <c r="AH74" s="403"/>
      <c r="AI74" s="403"/>
      <c r="AJ74" s="403"/>
      <c r="AK74" s="403"/>
      <c r="AL74" s="403"/>
      <c r="AM74" s="403"/>
      <c r="AN74" s="403"/>
      <c r="AO74" s="403"/>
      <c r="AP74" s="403"/>
      <c r="AQ74" s="403"/>
      <c r="AR74" s="403"/>
      <c r="AS74" s="403"/>
      <c r="AT74" s="403"/>
      <c r="AU74" s="403" t="s">
        <v>12583</v>
      </c>
      <c r="AV74" s="403"/>
      <c r="AW74" s="403"/>
      <c r="AX74" s="403"/>
      <c r="AY74" s="403"/>
      <c r="AZ74" s="403"/>
      <c r="BA74" s="403"/>
      <c r="BB74" s="403"/>
      <c r="BC74" s="403"/>
      <c r="BD74" s="403"/>
      <c r="BE74" s="403"/>
      <c r="BF74" s="403"/>
      <c r="BG74" s="403"/>
      <c r="BH74" s="403"/>
      <c r="BI74" s="403"/>
      <c r="BJ74" s="403" t="s">
        <v>12584</v>
      </c>
      <c r="BK74" s="403"/>
      <c r="BL74" s="403"/>
      <c r="BM74" s="403"/>
      <c r="BN74" s="403"/>
      <c r="BO74" s="403"/>
      <c r="BP74" s="403"/>
      <c r="BQ74" s="403"/>
      <c r="BR74" s="403"/>
      <c r="BS74" s="403"/>
      <c r="BT74" s="403"/>
      <c r="BU74" s="403"/>
      <c r="BV74" s="403"/>
      <c r="BW74" s="403"/>
      <c r="BX74" s="403"/>
      <c r="BY74" s="403" t="s">
        <v>12585</v>
      </c>
      <c r="BZ74" s="403"/>
      <c r="CA74" s="403"/>
      <c r="CB74" s="403"/>
      <c r="CC74" s="403"/>
      <c r="CD74" s="403"/>
      <c r="CE74" s="403"/>
      <c r="CF74" s="403"/>
      <c r="CG74" s="403"/>
      <c r="CH74" s="403"/>
      <c r="CI74" s="403"/>
      <c r="CJ74" s="403"/>
      <c r="CK74" s="403"/>
      <c r="CL74" s="403"/>
      <c r="CM74" s="403"/>
      <c r="CN74" s="403" t="s">
        <v>12586</v>
      </c>
      <c r="CO74" s="403"/>
      <c r="CP74" s="403"/>
      <c r="CQ74" s="403"/>
      <c r="CR74" s="403"/>
      <c r="CS74" s="403"/>
      <c r="CT74" s="403"/>
      <c r="CU74" s="403"/>
      <c r="CV74" s="403"/>
      <c r="CW74" s="403"/>
      <c r="CX74" s="403"/>
      <c r="CY74" s="403"/>
      <c r="CZ74" s="403"/>
      <c r="DA74" s="403"/>
      <c r="DB74" s="403"/>
      <c r="DC74" s="403" t="s">
        <v>12587</v>
      </c>
      <c r="DD74" s="403"/>
      <c r="DE74" s="403"/>
      <c r="DF74" s="403"/>
      <c r="DG74" s="403"/>
      <c r="DH74" s="403"/>
      <c r="DI74" s="403"/>
      <c r="DJ74" s="403"/>
      <c r="DK74" s="403"/>
      <c r="DL74" s="403"/>
      <c r="DM74" s="403"/>
      <c r="DN74" s="403"/>
    </row>
    <row r="75" spans="1:118" s="150" customFormat="1" x14ac:dyDescent="0.2">
      <c r="E75" s="617"/>
      <c r="M75" s="2"/>
      <c r="N75" s="403"/>
      <c r="O75" s="403"/>
      <c r="P75" s="403"/>
      <c r="Q75" s="403"/>
      <c r="R75" s="403"/>
      <c r="S75" s="403"/>
      <c r="T75" s="403"/>
      <c r="U75" s="403"/>
      <c r="V75" s="403"/>
      <c r="W75" s="403"/>
      <c r="X75" s="403"/>
      <c r="Y75" s="403"/>
      <c r="Z75" s="403"/>
      <c r="AA75" s="403"/>
      <c r="AB75" s="403"/>
      <c r="AC75" s="564"/>
      <c r="AD75" s="403"/>
      <c r="AE75" s="403"/>
      <c r="AF75" s="403" t="s">
        <v>12588</v>
      </c>
      <c r="AG75" s="403"/>
      <c r="AH75" s="403"/>
      <c r="AI75" s="403"/>
      <c r="AJ75" s="403"/>
      <c r="AK75" s="403"/>
      <c r="AL75" s="403"/>
      <c r="AM75" s="403"/>
      <c r="AN75" s="403"/>
      <c r="AO75" s="403"/>
      <c r="AP75" s="403"/>
      <c r="AQ75" s="403"/>
      <c r="AR75" s="403"/>
      <c r="AS75" s="403"/>
      <c r="AT75" s="403"/>
      <c r="AU75" s="403" t="s">
        <v>12589</v>
      </c>
      <c r="AV75" s="403"/>
      <c r="AW75" s="403"/>
      <c r="AX75" s="403"/>
      <c r="AY75" s="403"/>
      <c r="AZ75" s="403"/>
      <c r="BA75" s="403"/>
      <c r="BB75" s="403"/>
      <c r="BC75" s="403"/>
      <c r="BD75" s="403"/>
      <c r="BE75" s="403"/>
      <c r="BF75" s="403"/>
      <c r="BG75" s="403"/>
      <c r="BH75" s="403"/>
      <c r="BI75" s="403"/>
      <c r="BJ75" s="403" t="s">
        <v>12590</v>
      </c>
      <c r="BK75" s="403"/>
      <c r="BL75" s="403"/>
      <c r="BM75" s="403"/>
      <c r="BN75" s="403"/>
      <c r="BO75" s="403"/>
      <c r="BP75" s="403"/>
      <c r="BQ75" s="403"/>
      <c r="BR75" s="403"/>
      <c r="BS75" s="403"/>
      <c r="BT75" s="403"/>
      <c r="BU75" s="403"/>
      <c r="BV75" s="403"/>
      <c r="BW75" s="403"/>
      <c r="BX75" s="403"/>
      <c r="BY75" s="403" t="s">
        <v>12591</v>
      </c>
      <c r="BZ75" s="403"/>
      <c r="CA75" s="403"/>
      <c r="CB75" s="403"/>
      <c r="CC75" s="403"/>
      <c r="CD75" s="403"/>
      <c r="CE75" s="403"/>
      <c r="CF75" s="403"/>
      <c r="CG75" s="403"/>
      <c r="CH75" s="403"/>
      <c r="CI75" s="403"/>
      <c r="CJ75" s="403"/>
      <c r="CK75" s="403"/>
      <c r="CL75" s="403"/>
      <c r="CM75" s="403"/>
      <c r="CN75" s="403" t="s">
        <v>12592</v>
      </c>
      <c r="CO75" s="403"/>
      <c r="CP75" s="403"/>
      <c r="CQ75" s="403"/>
      <c r="CR75" s="403"/>
      <c r="CS75" s="403"/>
      <c r="CT75" s="403"/>
      <c r="CU75" s="403"/>
      <c r="CV75" s="403"/>
      <c r="CW75" s="403"/>
      <c r="CX75" s="403"/>
      <c r="CY75" s="403"/>
      <c r="CZ75" s="403"/>
      <c r="DA75" s="403"/>
      <c r="DB75" s="403"/>
      <c r="DC75" s="403" t="s">
        <v>12593</v>
      </c>
      <c r="DD75" s="403"/>
      <c r="DE75" s="403"/>
      <c r="DF75" s="403"/>
      <c r="DG75" s="403"/>
      <c r="DH75" s="403"/>
      <c r="DI75" s="403"/>
      <c r="DJ75" s="403"/>
      <c r="DK75" s="403"/>
      <c r="DL75" s="403"/>
      <c r="DM75" s="403"/>
      <c r="DN75" s="403"/>
    </row>
    <row r="76" spans="1:118" s="150" customFormat="1" hidden="1" x14ac:dyDescent="0.2">
      <c r="A76" s="567"/>
      <c r="C76" s="514"/>
      <c r="D76" s="514"/>
      <c r="E76" s="617"/>
      <c r="F76" s="514"/>
      <c r="G76" s="514"/>
      <c r="M76" s="2"/>
      <c r="N76" s="403"/>
      <c r="O76" s="403"/>
      <c r="P76" s="403"/>
      <c r="Q76" s="403" t="s">
        <v>4398</v>
      </c>
      <c r="R76" s="403"/>
      <c r="S76" s="403"/>
      <c r="T76" s="403"/>
      <c r="U76" s="403"/>
      <c r="V76" s="403"/>
      <c r="W76" s="403"/>
      <c r="X76" s="403"/>
      <c r="Y76" s="403"/>
      <c r="Z76" s="403"/>
      <c r="AA76" s="403"/>
      <c r="AB76" s="403"/>
      <c r="AC76" s="564"/>
      <c r="AD76" s="403"/>
      <c r="AE76" s="403"/>
      <c r="AF76" s="403"/>
      <c r="AG76" s="403"/>
      <c r="AH76" s="403"/>
      <c r="AI76" s="403"/>
      <c r="AJ76" s="403"/>
      <c r="AK76" s="403"/>
      <c r="AL76" s="403"/>
      <c r="AM76" s="403"/>
      <c r="AN76" s="403"/>
      <c r="AO76" s="403"/>
      <c r="AP76" s="403"/>
      <c r="AQ76" s="403"/>
      <c r="AR76" s="403"/>
      <c r="AS76" s="403"/>
      <c r="AT76" s="403"/>
      <c r="AU76" s="403"/>
      <c r="AV76" s="403"/>
      <c r="AW76" s="403"/>
      <c r="AX76" s="403"/>
      <c r="AY76" s="403"/>
      <c r="AZ76" s="403"/>
      <c r="BA76" s="403"/>
      <c r="BB76" s="403"/>
      <c r="BC76" s="403"/>
      <c r="BD76" s="403"/>
      <c r="BE76" s="403"/>
      <c r="BF76" s="403"/>
      <c r="BG76" s="403"/>
      <c r="BH76" s="403"/>
      <c r="BI76" s="403"/>
      <c r="BJ76" s="403"/>
      <c r="BK76" s="403"/>
      <c r="BL76" s="403"/>
      <c r="BM76" s="403"/>
      <c r="BN76" s="403"/>
      <c r="BO76" s="403"/>
      <c r="BP76" s="403"/>
      <c r="BQ76" s="403"/>
      <c r="BR76" s="403"/>
      <c r="BS76" s="403"/>
      <c r="BT76" s="403"/>
      <c r="BU76" s="403"/>
      <c r="BV76" s="403"/>
      <c r="BW76" s="403"/>
      <c r="BX76" s="403"/>
      <c r="BY76" s="403"/>
      <c r="BZ76" s="403"/>
      <c r="CA76" s="403"/>
      <c r="CB76" s="403"/>
      <c r="CC76" s="403"/>
      <c r="CD76" s="403"/>
      <c r="CE76" s="403"/>
      <c r="CF76" s="403"/>
      <c r="CG76" s="403"/>
      <c r="CH76" s="403"/>
      <c r="CI76" s="403"/>
      <c r="CJ76" s="403"/>
      <c r="CK76" s="403"/>
      <c r="CL76" s="403"/>
      <c r="CM76" s="403"/>
      <c r="CN76" s="403"/>
      <c r="CO76" s="403"/>
      <c r="CP76" s="403"/>
      <c r="CQ76" s="403"/>
      <c r="CR76" s="403"/>
      <c r="CS76" s="403"/>
      <c r="CT76" s="403"/>
      <c r="CU76" s="403"/>
      <c r="CV76" s="403"/>
      <c r="CW76" s="403"/>
      <c r="CX76" s="403"/>
      <c r="CY76" s="403"/>
      <c r="CZ76" s="403"/>
      <c r="DA76" s="403"/>
      <c r="DB76" s="403"/>
      <c r="DC76" s="403"/>
      <c r="DD76" s="403"/>
      <c r="DE76" s="403"/>
      <c r="DF76" s="403"/>
      <c r="DG76" s="403"/>
      <c r="DH76" s="403"/>
      <c r="DI76" s="403"/>
      <c r="DJ76" s="403"/>
      <c r="DK76" s="403"/>
      <c r="DL76" s="403"/>
      <c r="DM76" s="403"/>
      <c r="DN76" s="403"/>
    </row>
    <row r="77" spans="1:118" s="150" customFormat="1" x14ac:dyDescent="0.2">
      <c r="A77" s="567"/>
      <c r="C77" s="618" t="str">
        <f ca="1">IF(OFFSET(Q77,0,Lang_Order*Lang__R1)="","",OFFSET(Q77,0,Lang_Order*Lang__R1))</f>
        <v>per primary course completed (assumes perfect uptake of 2nd dose) excluding vaccines</v>
      </c>
      <c r="D77" s="516" t="e">
        <f>SUM(D66,D68:D74)/'B1. Target Population'!J178</f>
        <v>#N/A</v>
      </c>
      <c r="E77" s="617"/>
      <c r="F77" s="159"/>
      <c r="G77" s="160" t="e">
        <f>IF('B4. Domestic Logistics'!J37=1,SUM(G66,G68:G74)/'B1. Target Population'!D178,"")</f>
        <v>#N/A</v>
      </c>
      <c r="H77" s="160" t="e">
        <f>IF('B4. Domestic Logistics'!K37=1,SUM(H66,H68:H74)/'B1. Target Population'!E178,"")</f>
        <v>#N/A</v>
      </c>
      <c r="I77" s="160" t="e">
        <f>IF('B4. Domestic Logistics'!L37=1,SUM(I66,I68:I74)/'B1. Target Population'!F178,"")</f>
        <v>#N/A</v>
      </c>
      <c r="J77" s="160" t="e">
        <f>IF('B4. Domestic Logistics'!M37=1,SUM(J66,J68:J74)/'B1. Target Population'!G178,"")</f>
        <v>#N/A</v>
      </c>
      <c r="K77" s="160" t="e">
        <f>IF('B4. Domestic Logistics'!N37=1,SUM(K66,K68:K74)/'B1. Target Population'!H178,"")</f>
        <v>#N/A</v>
      </c>
      <c r="L77" s="160" t="e">
        <f>IF('B4. Domestic Logistics'!O37=1,SUM(L66,L68:L74)/'B1. Target Population'!I178,"")</f>
        <v>#N/A</v>
      </c>
      <c r="M77" s="12" t="str">
        <f ca="1">IF(OFFSET(AA77,0,Lang_Order*Lang__R1)="","",OFFSET(AA77,0,Lang_Order*Lang__R1))</f>
        <v>Per course; Assumes no partially vaccinated persons</v>
      </c>
      <c r="N77" s="403"/>
      <c r="O77" s="403"/>
      <c r="P77" s="403"/>
      <c r="Q77" s="403" t="s">
        <v>14284</v>
      </c>
      <c r="R77" s="403"/>
      <c r="S77" s="403"/>
      <c r="T77" s="403"/>
      <c r="U77" s="403"/>
      <c r="V77" s="403"/>
      <c r="W77" s="403"/>
      <c r="X77" s="403"/>
      <c r="Y77" s="403"/>
      <c r="Z77" s="403"/>
      <c r="AA77" s="564" t="s">
        <v>3941</v>
      </c>
      <c r="AB77" s="403"/>
      <c r="AC77" s="564"/>
      <c r="AD77" s="403"/>
      <c r="AE77" s="403"/>
      <c r="AF77" s="403" t="s">
        <v>14741</v>
      </c>
      <c r="AG77" s="403"/>
      <c r="AH77" s="403"/>
      <c r="AI77" s="403"/>
      <c r="AJ77" s="403"/>
      <c r="AK77" s="403"/>
      <c r="AL77" s="403"/>
      <c r="AM77" s="403"/>
      <c r="AN77" s="403"/>
      <c r="AO77" s="403"/>
      <c r="AP77" s="403" t="s">
        <v>12594</v>
      </c>
      <c r="AQ77" s="403"/>
      <c r="AR77" s="403"/>
      <c r="AS77" s="403"/>
      <c r="AU77" s="403" t="s">
        <v>14742</v>
      </c>
      <c r="AV77" s="403"/>
      <c r="AW77" s="403"/>
      <c r="AX77" s="403"/>
      <c r="AY77" s="403"/>
      <c r="AZ77" s="403"/>
      <c r="BA77" s="403"/>
      <c r="BB77" s="403"/>
      <c r="BC77" s="403"/>
      <c r="BD77" s="403"/>
      <c r="BE77" s="403" t="s">
        <v>12595</v>
      </c>
      <c r="BF77" s="403"/>
      <c r="BG77" s="403"/>
      <c r="BI77" s="403"/>
      <c r="BJ77" s="403" t="s">
        <v>14743</v>
      </c>
      <c r="BK77" s="403"/>
      <c r="BL77" s="403"/>
      <c r="BM77" s="403"/>
      <c r="BN77" s="403"/>
      <c r="BO77" s="403"/>
      <c r="BP77" s="403"/>
      <c r="BQ77" s="403"/>
      <c r="BR77" s="403"/>
      <c r="BS77" s="403"/>
      <c r="BT77" s="403" t="s">
        <v>12596</v>
      </c>
      <c r="BU77" s="403"/>
      <c r="BW77" s="403"/>
      <c r="BX77" s="403"/>
      <c r="BY77" s="403" t="s">
        <v>14744</v>
      </c>
      <c r="BZ77" s="403"/>
      <c r="CA77" s="403"/>
      <c r="CB77" s="403"/>
      <c r="CC77" s="403"/>
      <c r="CD77" s="403"/>
      <c r="CE77" s="403"/>
      <c r="CF77" s="403"/>
      <c r="CG77" s="403"/>
      <c r="CH77" s="403"/>
      <c r="CI77" s="403" t="s">
        <v>12597</v>
      </c>
      <c r="CK77" s="403"/>
      <c r="CL77" s="403"/>
      <c r="CM77" s="403"/>
      <c r="CN77" s="403" t="s">
        <v>14745</v>
      </c>
      <c r="CO77" s="403"/>
      <c r="CP77" s="403"/>
      <c r="CQ77" s="403"/>
      <c r="CR77" s="403"/>
      <c r="CS77" s="403"/>
      <c r="CT77" s="403"/>
      <c r="CU77" s="403"/>
      <c r="CV77" s="403"/>
      <c r="CW77" s="403"/>
      <c r="CX77" s="403" t="s">
        <v>12598</v>
      </c>
      <c r="CY77" s="403"/>
      <c r="CZ77" s="403"/>
      <c r="DA77" s="403"/>
      <c r="DB77" s="403"/>
      <c r="DC77" s="403" t="s">
        <v>14746</v>
      </c>
      <c r="DD77" s="403"/>
      <c r="DE77" s="403"/>
      <c r="DF77" s="403"/>
      <c r="DG77" s="403"/>
      <c r="DH77" s="403"/>
      <c r="DI77" s="403"/>
      <c r="DJ77" s="403"/>
      <c r="DK77" s="403"/>
      <c r="DL77" s="403"/>
      <c r="DM77" s="403" t="s">
        <v>12599</v>
      </c>
      <c r="DN77" s="403"/>
    </row>
    <row r="78" spans="1:118" s="150" customFormat="1" x14ac:dyDescent="0.2">
      <c r="A78" s="567"/>
      <c r="C78" s="618" t="str">
        <f ca="1">IF(OFFSET(Q78,0,Lang_Order*Lang__R1)="","",OFFSET(Q78,0,Lang_Order*Lang__R1))</f>
        <v>per dose excluding vaccines (wastage assumption applied)</v>
      </c>
      <c r="D78" s="516" t="e">
        <f>SUM(D66,D68:D74)/'B2. Vaccines and Supplies'!L95</f>
        <v>#N/A</v>
      </c>
      <c r="E78" s="617"/>
      <c r="F78" s="159"/>
      <c r="G78" s="160" t="e">
        <f>IF('B4. Domestic Logistics'!J37=1,SUM(G66,G68:G74)/'B2. Vaccines and Supplies'!F95,"")</f>
        <v>#N/A</v>
      </c>
      <c r="H78" s="160" t="e">
        <f>IF('B4. Domestic Logistics'!K37=1,SUM(H66,H68:H74)/'B2. Vaccines and Supplies'!G95,"")</f>
        <v>#N/A</v>
      </c>
      <c r="I78" s="160" t="e">
        <f>IF('B4. Domestic Logistics'!L37=1,SUM(I66,I68:I74)/'B2. Vaccines and Supplies'!H95,"")</f>
        <v>#N/A</v>
      </c>
      <c r="J78" s="160" t="e">
        <f>IF('B4. Domestic Logistics'!M37=1,SUM(J66,J68:J74)/'B2. Vaccines and Supplies'!I95,"")</f>
        <v>#N/A</v>
      </c>
      <c r="K78" s="160" t="e">
        <f>IF('B4. Domestic Logistics'!N37=1,SUM(K66,K68:K74)/'B2. Vaccines and Supplies'!J95,"")</f>
        <v>#N/A</v>
      </c>
      <c r="L78" s="160" t="e">
        <f>IF('B4. Domestic Logistics'!O37=1,SUM(L66,L68:L74)/'B2. Vaccines and Supplies'!K95,"")</f>
        <v>#N/A</v>
      </c>
      <c r="M78" s="12" t="str">
        <f ca="1">IF(OFFSET(AA78,0,Lang_Order*Lang__R1)="","",OFFSET(AA78,0,Lang_Order*Lang__R1))</f>
        <v>Per dose (including wasted doses)</v>
      </c>
      <c r="N78" s="403"/>
      <c r="O78" s="403"/>
      <c r="P78" s="403"/>
      <c r="Q78" s="403" t="s">
        <v>13176</v>
      </c>
      <c r="R78" s="403"/>
      <c r="S78" s="403"/>
      <c r="T78" s="403"/>
      <c r="U78" s="403"/>
      <c r="V78" s="403"/>
      <c r="W78" s="403"/>
      <c r="X78" s="403"/>
      <c r="Y78" s="403"/>
      <c r="Z78" s="403"/>
      <c r="AA78" s="564" t="s">
        <v>4399</v>
      </c>
      <c r="AB78" s="403"/>
      <c r="AC78" s="564"/>
      <c r="AD78" s="403"/>
      <c r="AE78" s="403"/>
      <c r="AF78" s="403" t="s">
        <v>13177</v>
      </c>
      <c r="AG78" s="403"/>
      <c r="AH78" s="403"/>
      <c r="AI78" s="403"/>
      <c r="AJ78" s="403"/>
      <c r="AK78" s="403"/>
      <c r="AL78" s="403"/>
      <c r="AM78" s="403"/>
      <c r="AN78" s="403"/>
      <c r="AO78" s="403"/>
      <c r="AP78" s="403" t="s">
        <v>12600</v>
      </c>
      <c r="AQ78" s="403"/>
      <c r="AR78" s="403"/>
      <c r="AS78" s="403"/>
      <c r="AU78" s="403" t="s">
        <v>13178</v>
      </c>
      <c r="AV78" s="403"/>
      <c r="AW78" s="403"/>
      <c r="AX78" s="403"/>
      <c r="AY78" s="403"/>
      <c r="AZ78" s="403"/>
      <c r="BA78" s="403"/>
      <c r="BB78" s="403"/>
      <c r="BC78" s="403"/>
      <c r="BD78" s="403"/>
      <c r="BE78" s="403" t="s">
        <v>12601</v>
      </c>
      <c r="BF78" s="403"/>
      <c r="BG78" s="403"/>
      <c r="BI78" s="403"/>
      <c r="BJ78" s="403" t="s">
        <v>13179</v>
      </c>
      <c r="BK78" s="403"/>
      <c r="BL78" s="403"/>
      <c r="BM78" s="403"/>
      <c r="BN78" s="403"/>
      <c r="BO78" s="403"/>
      <c r="BP78" s="403"/>
      <c r="BQ78" s="403"/>
      <c r="BR78" s="403"/>
      <c r="BS78" s="403"/>
      <c r="BT78" s="403" t="s">
        <v>12602</v>
      </c>
      <c r="BU78" s="403"/>
      <c r="BW78" s="403"/>
      <c r="BX78" s="403"/>
      <c r="BY78" s="403" t="s">
        <v>13180</v>
      </c>
      <c r="BZ78" s="403"/>
      <c r="CA78" s="403"/>
      <c r="CB78" s="403"/>
      <c r="CC78" s="403"/>
      <c r="CD78" s="403"/>
      <c r="CE78" s="403"/>
      <c r="CF78" s="403"/>
      <c r="CG78" s="403"/>
      <c r="CH78" s="403"/>
      <c r="CI78" s="403" t="s">
        <v>12603</v>
      </c>
      <c r="CK78" s="403"/>
      <c r="CL78" s="403"/>
      <c r="CM78" s="403"/>
      <c r="CN78" s="403" t="s">
        <v>13181</v>
      </c>
      <c r="CO78" s="403"/>
      <c r="CP78" s="403"/>
      <c r="CQ78" s="403"/>
      <c r="CR78" s="403"/>
      <c r="CS78" s="403"/>
      <c r="CT78" s="403"/>
      <c r="CU78" s="403"/>
      <c r="CV78" s="403"/>
      <c r="CW78" s="403"/>
      <c r="CX78" s="403" t="s">
        <v>12604</v>
      </c>
      <c r="CY78" s="403"/>
      <c r="CZ78" s="403"/>
      <c r="DA78" s="403"/>
      <c r="DB78" s="403"/>
      <c r="DC78" s="403" t="s">
        <v>13182</v>
      </c>
      <c r="DD78" s="403"/>
      <c r="DE78" s="403"/>
      <c r="DF78" s="403"/>
      <c r="DG78" s="403"/>
      <c r="DH78" s="403"/>
      <c r="DI78" s="403"/>
      <c r="DJ78" s="403"/>
      <c r="DK78" s="403"/>
      <c r="DL78" s="403"/>
      <c r="DM78" s="403" t="s">
        <v>12605</v>
      </c>
      <c r="DN78" s="403"/>
    </row>
    <row r="79" spans="1:118" s="150" customFormat="1" x14ac:dyDescent="0.2">
      <c r="N79" s="403"/>
      <c r="O79" s="403"/>
      <c r="P79" s="403"/>
      <c r="Q79" s="403"/>
      <c r="R79" s="403"/>
      <c r="S79" s="403"/>
      <c r="T79" s="403"/>
      <c r="U79" s="403"/>
      <c r="V79" s="403"/>
      <c r="W79" s="403"/>
      <c r="X79" s="403"/>
      <c r="Y79" s="403"/>
      <c r="Z79" s="403"/>
      <c r="AA79" s="403"/>
      <c r="AB79" s="403"/>
      <c r="AC79" s="564"/>
      <c r="AD79" s="403"/>
      <c r="AE79" s="403"/>
      <c r="AF79" s="403"/>
      <c r="AG79" s="403"/>
      <c r="AH79" s="403"/>
      <c r="AI79" s="403"/>
      <c r="AJ79" s="403"/>
      <c r="AK79" s="403"/>
      <c r="AL79" s="403"/>
      <c r="AM79" s="403"/>
      <c r="AN79" s="403"/>
      <c r="AO79" s="403"/>
      <c r="AP79" s="403"/>
      <c r="AQ79" s="403"/>
      <c r="AR79" s="403"/>
      <c r="AS79" s="403"/>
      <c r="AT79" s="403"/>
      <c r="AU79" s="403"/>
      <c r="AV79" s="403"/>
      <c r="AW79" s="403"/>
      <c r="AX79" s="403"/>
      <c r="AY79" s="403"/>
      <c r="AZ79" s="403"/>
      <c r="BA79" s="403"/>
      <c r="BB79" s="403"/>
      <c r="BC79" s="403"/>
      <c r="BD79" s="403"/>
      <c r="BE79" s="403"/>
      <c r="BF79" s="403"/>
      <c r="BG79" s="403"/>
      <c r="BH79" s="403"/>
      <c r="BI79" s="403"/>
      <c r="BJ79" s="403"/>
      <c r="BK79" s="403"/>
      <c r="BL79" s="403"/>
      <c r="BM79" s="403"/>
      <c r="BN79" s="403"/>
      <c r="BO79" s="403"/>
      <c r="BP79" s="403"/>
      <c r="BQ79" s="403"/>
      <c r="BR79" s="403"/>
      <c r="BS79" s="403"/>
      <c r="BT79" s="403"/>
      <c r="BU79" s="403"/>
      <c r="BV79" s="403"/>
      <c r="BW79" s="403"/>
      <c r="BX79" s="403"/>
      <c r="BY79" s="403"/>
      <c r="BZ79" s="403"/>
      <c r="CA79" s="403"/>
      <c r="CB79" s="403"/>
      <c r="CC79" s="403"/>
      <c r="CD79" s="403"/>
      <c r="CE79" s="403"/>
      <c r="CF79" s="403"/>
      <c r="CG79" s="403"/>
      <c r="CH79" s="403"/>
      <c r="CI79" s="403"/>
      <c r="CJ79" s="403"/>
      <c r="CK79" s="403"/>
      <c r="CL79" s="403"/>
      <c r="CM79" s="403"/>
      <c r="CN79" s="403"/>
      <c r="CO79" s="403"/>
      <c r="CP79" s="403"/>
      <c r="CQ79" s="403"/>
      <c r="CR79" s="403"/>
      <c r="CS79" s="403"/>
      <c r="CT79" s="403"/>
      <c r="CU79" s="403"/>
      <c r="CV79" s="403"/>
      <c r="CW79" s="403"/>
      <c r="CX79" s="403"/>
      <c r="CY79" s="403"/>
      <c r="CZ79" s="403"/>
      <c r="DA79" s="403"/>
      <c r="DB79" s="403"/>
      <c r="DC79" s="403"/>
      <c r="DD79" s="403"/>
      <c r="DE79" s="403"/>
      <c r="DF79" s="403"/>
      <c r="DG79" s="403"/>
      <c r="DH79" s="403"/>
      <c r="DI79" s="403"/>
      <c r="DJ79" s="403"/>
      <c r="DK79" s="403"/>
      <c r="DL79" s="403"/>
      <c r="DM79" s="403"/>
      <c r="DN79" s="403"/>
    </row>
    <row r="80" spans="1:118" x14ac:dyDescent="0.2">
      <c r="C80" s="425" t="str">
        <f ca="1">IF(OFFSET(Q80,0,Lang_Order*Lang__R1)="","",OFFSET(Q80,0,Lang_Order*Lang__R1))</f>
        <v>Cost Breakdown</v>
      </c>
      <c r="D80" s="37"/>
      <c r="E80" s="37"/>
      <c r="F80" s="37"/>
      <c r="G80" s="37"/>
      <c r="H80" s="37"/>
      <c r="I80" s="37"/>
      <c r="J80" s="37"/>
      <c r="K80" s="37"/>
      <c r="L80" s="425" t="str">
        <f ca="1">IF(OFFSET(Z80,0,Lang_Order*Lang__R1)="","",OFFSET(Z80,0,Lang_Order*Lang__R1))</f>
        <v>Cost breakdown (in H1 2021, inc. central costs)</v>
      </c>
      <c r="M80" t="s">
        <v>2642</v>
      </c>
      <c r="Q80" s="403" t="s">
        <v>4209</v>
      </c>
      <c r="Z80" s="403" t="s">
        <v>14705</v>
      </c>
      <c r="AF80" s="403" t="s">
        <v>12606</v>
      </c>
      <c r="AO80" s="403" t="s">
        <v>12607</v>
      </c>
      <c r="AU80" s="403" t="s">
        <v>12608</v>
      </c>
      <c r="BD80" s="403" t="s">
        <v>12609</v>
      </c>
      <c r="BJ80" s="403" t="s">
        <v>12610</v>
      </c>
      <c r="BS80" s="403" t="s">
        <v>12611</v>
      </c>
      <c r="BY80" s="403" t="s">
        <v>12612</v>
      </c>
      <c r="CH80" s="403" t="s">
        <v>12613</v>
      </c>
      <c r="CN80" s="403" t="s">
        <v>12614</v>
      </c>
      <c r="CW80" s="403" t="s">
        <v>12615</v>
      </c>
      <c r="DC80" s="403" t="s">
        <v>12616</v>
      </c>
      <c r="DL80" s="403" t="s">
        <v>12617</v>
      </c>
    </row>
    <row r="82" spans="5:118" x14ac:dyDescent="0.2">
      <c r="E82"/>
      <c r="F82"/>
      <c r="Q82" s="564"/>
      <c r="R82" s="564"/>
      <c r="S82" s="564"/>
      <c r="T82" s="564"/>
      <c r="U82" s="564"/>
      <c r="V82" s="564"/>
      <c r="W82" s="564"/>
      <c r="X82" s="564"/>
      <c r="Y82" s="564"/>
      <c r="Z82" s="564"/>
      <c r="AA82" s="564"/>
      <c r="AB82" s="564"/>
      <c r="AD82" s="564"/>
      <c r="AE82" s="564"/>
      <c r="AF82" s="564"/>
      <c r="AG82" s="564"/>
      <c r="AH82" s="564"/>
      <c r="AI82" s="564"/>
      <c r="AJ82" s="564"/>
      <c r="AK82" s="564"/>
      <c r="AL82" s="564"/>
      <c r="AM82" s="564"/>
      <c r="AN82" s="564"/>
      <c r="AO82" s="564"/>
      <c r="AP82" s="564"/>
      <c r="AQ82" s="564"/>
      <c r="AR82" s="564"/>
      <c r="AS82" s="564"/>
      <c r="AT82" s="564"/>
      <c r="AU82" s="564"/>
      <c r="AV82" s="564"/>
      <c r="AW82" s="564"/>
      <c r="AX82" s="564"/>
      <c r="AY82" s="564"/>
      <c r="AZ82" s="564"/>
      <c r="BA82" s="564"/>
      <c r="BB82" s="564"/>
      <c r="BC82" s="564"/>
      <c r="BD82" s="564"/>
      <c r="BE82" s="564"/>
      <c r="BF82" s="564"/>
      <c r="BG82" s="564"/>
      <c r="BH82" s="564"/>
      <c r="BI82" s="564"/>
      <c r="BJ82" s="564"/>
      <c r="BK82" s="564"/>
      <c r="BL82" s="564"/>
      <c r="BM82" s="564"/>
      <c r="BN82" s="564"/>
      <c r="BO82" s="564"/>
      <c r="BP82" s="564"/>
      <c r="BQ82" s="564"/>
      <c r="BR82" s="564"/>
      <c r="BS82" s="564"/>
      <c r="BT82" s="564"/>
      <c r="BU82" s="564"/>
      <c r="BV82" s="564"/>
      <c r="BW82" s="564"/>
      <c r="BX82" s="564"/>
      <c r="BY82" s="564"/>
      <c r="BZ82" s="564"/>
      <c r="CA82" s="564"/>
      <c r="CB82" s="564"/>
      <c r="CC82" s="564"/>
      <c r="CD82" s="564"/>
      <c r="CE82" s="564"/>
      <c r="CF82" s="564"/>
      <c r="CG82" s="564"/>
      <c r="CH82" s="564"/>
      <c r="CI82" s="564"/>
      <c r="CJ82" s="564"/>
      <c r="CK82" s="564"/>
      <c r="CL82" s="564"/>
      <c r="CM82" s="564"/>
      <c r="CN82" s="564"/>
      <c r="CO82" s="564"/>
      <c r="CP82" s="564"/>
      <c r="CQ82" s="564"/>
      <c r="CR82" s="564"/>
      <c r="CS82" s="564"/>
      <c r="CT82" s="564"/>
      <c r="CU82" s="564"/>
      <c r="CV82" s="564"/>
      <c r="CW82" s="564"/>
      <c r="CX82" s="564"/>
      <c r="CY82" s="564"/>
      <c r="CZ82" s="564"/>
      <c r="DA82" s="564"/>
      <c r="DB82" s="564"/>
      <c r="DC82" s="564"/>
      <c r="DD82" s="564"/>
      <c r="DE82" s="564"/>
      <c r="DF82" s="564"/>
      <c r="DG82" s="564"/>
      <c r="DH82" s="564"/>
      <c r="DI82" s="564"/>
      <c r="DJ82" s="564"/>
      <c r="DK82" s="564"/>
      <c r="DL82" s="564"/>
      <c r="DM82" s="564"/>
      <c r="DN82" s="564"/>
    </row>
    <row r="83" spans="5:118" s="567" customFormat="1" x14ac:dyDescent="0.2">
      <c r="N83" s="564"/>
      <c r="O83" s="564"/>
      <c r="P83" s="564"/>
      <c r="Q83" s="564"/>
      <c r="R83" s="564"/>
      <c r="S83" s="564"/>
      <c r="T83" s="564"/>
      <c r="U83" s="564"/>
      <c r="V83" s="564"/>
      <c r="W83" s="564"/>
      <c r="X83" s="564"/>
      <c r="Y83" s="564"/>
      <c r="Z83" s="564"/>
      <c r="AA83" s="564"/>
      <c r="AB83" s="564"/>
      <c r="AC83" s="564"/>
      <c r="AD83" s="564"/>
      <c r="AE83" s="564"/>
      <c r="AF83" s="564"/>
      <c r="AG83" s="564"/>
      <c r="AH83" s="564"/>
      <c r="AI83" s="564"/>
      <c r="AJ83" s="564"/>
      <c r="AK83" s="564"/>
      <c r="AL83" s="564"/>
      <c r="AM83" s="564"/>
      <c r="AN83" s="564"/>
      <c r="AO83" s="564"/>
      <c r="AP83" s="564"/>
      <c r="AQ83" s="564"/>
      <c r="AR83" s="564"/>
      <c r="AS83" s="564"/>
      <c r="AT83" s="564"/>
      <c r="AU83" s="564"/>
      <c r="AV83" s="564"/>
      <c r="AW83" s="564"/>
      <c r="AX83" s="564"/>
      <c r="AY83" s="564"/>
      <c r="AZ83" s="564"/>
      <c r="BA83" s="564"/>
      <c r="BB83" s="564"/>
      <c r="BC83" s="564"/>
      <c r="BD83" s="564"/>
      <c r="BE83" s="564"/>
      <c r="BF83" s="564"/>
      <c r="BG83" s="564"/>
      <c r="BH83" s="564"/>
      <c r="BI83" s="564"/>
      <c r="BJ83" s="564"/>
      <c r="BK83" s="564"/>
      <c r="BL83" s="564"/>
      <c r="BM83" s="564"/>
      <c r="BN83" s="564"/>
      <c r="BO83" s="564"/>
      <c r="BP83" s="564"/>
      <c r="BQ83" s="564"/>
      <c r="BR83" s="564"/>
      <c r="BS83" s="564"/>
      <c r="BT83" s="564"/>
      <c r="BU83" s="564"/>
      <c r="BV83" s="564"/>
      <c r="BW83" s="564"/>
      <c r="BX83" s="564"/>
      <c r="BY83" s="564"/>
      <c r="BZ83" s="564"/>
      <c r="CA83" s="564"/>
      <c r="CB83" s="564"/>
      <c r="CC83" s="564"/>
      <c r="CD83" s="564"/>
      <c r="CE83" s="564"/>
      <c r="CF83" s="564"/>
      <c r="CG83" s="564"/>
      <c r="CH83" s="564"/>
      <c r="CI83" s="564"/>
      <c r="CJ83" s="564"/>
      <c r="CK83" s="564"/>
      <c r="CL83" s="564"/>
      <c r="CM83" s="564"/>
      <c r="CN83" s="564"/>
      <c r="CO83" s="564"/>
      <c r="CP83" s="564"/>
      <c r="CQ83" s="564"/>
      <c r="CR83" s="564"/>
      <c r="CS83" s="564"/>
      <c r="CT83" s="564"/>
      <c r="CU83" s="564"/>
      <c r="CV83" s="564"/>
      <c r="CW83" s="564"/>
      <c r="CX83" s="564"/>
      <c r="CY83" s="564"/>
      <c r="CZ83" s="564"/>
      <c r="DA83" s="564"/>
      <c r="DB83" s="564"/>
      <c r="DC83" s="564"/>
      <c r="DD83" s="564"/>
      <c r="DE83" s="564"/>
      <c r="DF83" s="564"/>
      <c r="DG83" s="564"/>
      <c r="DH83" s="564"/>
      <c r="DI83" s="564"/>
      <c r="DJ83" s="564"/>
      <c r="DK83" s="564"/>
      <c r="DL83" s="564"/>
      <c r="DM83" s="564"/>
      <c r="DN83" s="564"/>
    </row>
    <row r="84" spans="5:118" s="567" customFormat="1" x14ac:dyDescent="0.2">
      <c r="N84" s="564"/>
      <c r="O84" s="564"/>
      <c r="P84" s="564"/>
      <c r="Q84" s="564"/>
      <c r="R84" s="564"/>
      <c r="S84" s="564"/>
      <c r="T84" s="564"/>
      <c r="U84" s="564"/>
      <c r="V84" s="564"/>
      <c r="W84" s="564"/>
      <c r="X84" s="564"/>
      <c r="Y84" s="564"/>
      <c r="Z84" s="564"/>
      <c r="AA84" s="564"/>
      <c r="AB84" s="564"/>
      <c r="AC84" s="564"/>
      <c r="AD84" s="564"/>
      <c r="AE84" s="564"/>
      <c r="AF84" s="564"/>
      <c r="AG84" s="564"/>
      <c r="AH84" s="564"/>
      <c r="AI84" s="564"/>
      <c r="AJ84" s="564"/>
      <c r="AK84" s="564"/>
      <c r="AL84" s="564"/>
      <c r="AM84" s="564"/>
      <c r="AN84" s="564"/>
      <c r="AO84" s="564"/>
      <c r="AP84" s="564"/>
      <c r="AQ84" s="564"/>
      <c r="AR84" s="564"/>
      <c r="AS84" s="564"/>
      <c r="AT84" s="564"/>
      <c r="AU84" s="564"/>
      <c r="AV84" s="564"/>
      <c r="AW84" s="564"/>
      <c r="AX84" s="564"/>
      <c r="AY84" s="564"/>
      <c r="AZ84" s="564"/>
      <c r="BA84" s="564"/>
      <c r="BB84" s="564"/>
      <c r="BC84" s="564"/>
      <c r="BD84" s="564"/>
      <c r="BE84" s="564"/>
      <c r="BF84" s="564"/>
      <c r="BG84" s="564"/>
      <c r="BH84" s="564"/>
      <c r="BI84" s="564"/>
      <c r="BJ84" s="564"/>
      <c r="BK84" s="564"/>
      <c r="BL84" s="564"/>
      <c r="BM84" s="564"/>
      <c r="BN84" s="564"/>
      <c r="BO84" s="564"/>
      <c r="BP84" s="564"/>
      <c r="BQ84" s="564"/>
      <c r="BR84" s="564"/>
      <c r="BS84" s="564"/>
      <c r="BT84" s="564"/>
      <c r="BU84" s="564"/>
      <c r="BV84" s="564"/>
      <c r="BW84" s="564"/>
      <c r="BX84" s="564"/>
      <c r="BY84" s="564"/>
      <c r="BZ84" s="564"/>
      <c r="CA84" s="564"/>
      <c r="CB84" s="564"/>
      <c r="CC84" s="564"/>
      <c r="CD84" s="564"/>
      <c r="CE84" s="564"/>
      <c r="CF84" s="564"/>
      <c r="CG84" s="564"/>
      <c r="CH84" s="564"/>
      <c r="CI84" s="564"/>
      <c r="CJ84" s="564"/>
      <c r="CK84" s="564"/>
      <c r="CL84" s="564"/>
      <c r="CM84" s="564"/>
      <c r="CN84" s="564"/>
      <c r="CO84" s="564"/>
      <c r="CP84" s="564"/>
      <c r="CQ84" s="564"/>
      <c r="CR84" s="564"/>
      <c r="CS84" s="564"/>
      <c r="CT84" s="564"/>
      <c r="CU84" s="564"/>
      <c r="CV84" s="564"/>
      <c r="CW84" s="564"/>
      <c r="CX84" s="564"/>
      <c r="CY84" s="564"/>
      <c r="CZ84" s="564"/>
      <c r="DA84" s="564"/>
      <c r="DB84" s="564"/>
      <c r="DC84" s="564"/>
      <c r="DD84" s="564"/>
      <c r="DE84" s="564"/>
      <c r="DF84" s="564"/>
      <c r="DG84" s="564"/>
      <c r="DH84" s="564"/>
      <c r="DI84" s="564"/>
      <c r="DJ84" s="564"/>
      <c r="DK84" s="564"/>
      <c r="DL84" s="564"/>
      <c r="DM84" s="564"/>
      <c r="DN84" s="564"/>
    </row>
    <row r="85" spans="5:118" s="567" customFormat="1" x14ac:dyDescent="0.2">
      <c r="N85" s="564"/>
      <c r="O85" s="564"/>
      <c r="P85" s="564"/>
      <c r="Q85" s="564"/>
      <c r="R85" s="564"/>
      <c r="S85" s="564"/>
      <c r="T85" s="564"/>
      <c r="U85" s="564"/>
      <c r="V85" s="564"/>
      <c r="W85" s="564"/>
      <c r="X85" s="564"/>
      <c r="Y85" s="564"/>
      <c r="Z85" s="564"/>
      <c r="AA85" s="564"/>
      <c r="AB85" s="564"/>
      <c r="AC85" s="564"/>
      <c r="AD85" s="564"/>
      <c r="AE85" s="564"/>
      <c r="AF85" s="564"/>
      <c r="AG85" s="564"/>
      <c r="AH85" s="564"/>
      <c r="AI85" s="564"/>
      <c r="AJ85" s="564"/>
      <c r="AK85" s="564"/>
      <c r="AL85" s="564"/>
      <c r="AM85" s="564"/>
      <c r="AN85" s="564"/>
      <c r="AO85" s="564"/>
      <c r="AP85" s="564"/>
      <c r="AQ85" s="564"/>
      <c r="AR85" s="564"/>
      <c r="AS85" s="564"/>
      <c r="AT85" s="564"/>
      <c r="AU85" s="564"/>
      <c r="AV85" s="564"/>
      <c r="AW85" s="564"/>
      <c r="AX85" s="564"/>
      <c r="AY85" s="564"/>
      <c r="AZ85" s="564"/>
      <c r="BA85" s="564"/>
      <c r="BB85" s="564"/>
      <c r="BC85" s="564"/>
      <c r="BD85" s="564"/>
      <c r="BE85" s="564"/>
      <c r="BF85" s="564"/>
      <c r="BG85" s="564"/>
      <c r="BH85" s="564"/>
      <c r="BI85" s="564"/>
      <c r="BJ85" s="564"/>
      <c r="BK85" s="564"/>
      <c r="BL85" s="564"/>
      <c r="BM85" s="564"/>
      <c r="BN85" s="564"/>
      <c r="BO85" s="564"/>
      <c r="BP85" s="564"/>
      <c r="BQ85" s="564"/>
      <c r="BR85" s="564"/>
      <c r="BS85" s="564"/>
      <c r="BT85" s="564"/>
      <c r="BU85" s="564"/>
      <c r="BV85" s="564"/>
      <c r="BW85" s="564"/>
      <c r="BX85" s="564"/>
      <c r="BY85" s="564"/>
      <c r="BZ85" s="564"/>
      <c r="CA85" s="564"/>
      <c r="CB85" s="564"/>
      <c r="CC85" s="564"/>
      <c r="CD85" s="564"/>
      <c r="CE85" s="564"/>
      <c r="CF85" s="564"/>
      <c r="CG85" s="564"/>
      <c r="CH85" s="564"/>
      <c r="CI85" s="564"/>
      <c r="CJ85" s="564"/>
      <c r="CK85" s="564"/>
      <c r="CL85" s="564"/>
      <c r="CM85" s="564"/>
      <c r="CN85" s="564"/>
      <c r="CO85" s="564"/>
      <c r="CP85" s="564"/>
      <c r="CQ85" s="564"/>
      <c r="CR85" s="564"/>
      <c r="CS85" s="564"/>
      <c r="CT85" s="564"/>
      <c r="CU85" s="564"/>
      <c r="CV85" s="564"/>
      <c r="CW85" s="564"/>
      <c r="CX85" s="564"/>
      <c r="CY85" s="564"/>
      <c r="CZ85" s="564"/>
      <c r="DA85" s="564"/>
      <c r="DB85" s="564"/>
      <c r="DC85" s="564"/>
      <c r="DD85" s="564"/>
      <c r="DE85" s="564"/>
      <c r="DF85" s="564"/>
      <c r="DG85" s="564"/>
      <c r="DH85" s="564"/>
      <c r="DI85" s="564"/>
      <c r="DJ85" s="564"/>
      <c r="DK85" s="564"/>
      <c r="DL85" s="564"/>
      <c r="DM85" s="564"/>
      <c r="DN85" s="564"/>
    </row>
    <row r="86" spans="5:118" x14ac:dyDescent="0.2">
      <c r="E86"/>
      <c r="F86"/>
      <c r="Q86" s="564"/>
      <c r="R86" s="564"/>
      <c r="S86" s="564"/>
      <c r="T86" s="564"/>
      <c r="U86" s="564"/>
      <c r="V86" s="564"/>
      <c r="W86" s="564"/>
      <c r="X86" s="564"/>
      <c r="Y86" s="564"/>
      <c r="Z86" s="564"/>
      <c r="AA86" s="564"/>
      <c r="AB86" s="564"/>
      <c r="AD86" s="564"/>
      <c r="AE86" s="564"/>
      <c r="AF86" s="564"/>
      <c r="AG86" s="564"/>
      <c r="AH86" s="564"/>
      <c r="AI86" s="564"/>
      <c r="AJ86" s="564"/>
      <c r="AK86" s="564"/>
      <c r="AL86" s="564"/>
      <c r="AM86" s="564"/>
      <c r="AN86" s="564"/>
      <c r="AO86" s="564"/>
      <c r="AP86" s="564"/>
      <c r="AQ86" s="564"/>
      <c r="AR86" s="564"/>
      <c r="AS86" s="564"/>
      <c r="AT86" s="564"/>
      <c r="AU86" s="564"/>
      <c r="AV86" s="564"/>
      <c r="AW86" s="564"/>
      <c r="AX86" s="564"/>
      <c r="AY86" s="564"/>
      <c r="AZ86" s="564"/>
      <c r="BA86" s="564"/>
      <c r="BB86" s="564"/>
      <c r="BC86" s="564"/>
      <c r="BD86" s="564"/>
      <c r="BE86" s="564"/>
      <c r="BF86" s="564"/>
      <c r="BG86" s="564"/>
      <c r="BH86" s="564"/>
      <c r="BI86" s="564"/>
      <c r="BJ86" s="564"/>
      <c r="BK86" s="564"/>
      <c r="BL86" s="564"/>
      <c r="BM86" s="564"/>
      <c r="BN86" s="564"/>
      <c r="BO86" s="564"/>
      <c r="BP86" s="564"/>
      <c r="BQ86" s="564"/>
      <c r="BR86" s="564"/>
      <c r="BS86" s="564"/>
      <c r="BT86" s="564"/>
      <c r="BU86" s="564"/>
      <c r="BV86" s="564"/>
      <c r="BW86" s="564"/>
      <c r="BX86" s="564"/>
      <c r="BY86" s="564"/>
      <c r="BZ86" s="564"/>
      <c r="CA86" s="564"/>
      <c r="CB86" s="564"/>
      <c r="CC86" s="564"/>
      <c r="CD86" s="564"/>
      <c r="CE86" s="564"/>
      <c r="CF86" s="564"/>
      <c r="CG86" s="564"/>
      <c r="CH86" s="564"/>
      <c r="CI86" s="564"/>
      <c r="CJ86" s="564"/>
      <c r="CK86" s="564"/>
      <c r="CL86" s="564"/>
      <c r="CM86" s="564"/>
      <c r="CN86" s="564"/>
      <c r="CO86" s="564"/>
      <c r="CP86" s="564"/>
      <c r="CQ86" s="564"/>
      <c r="CR86" s="564"/>
      <c r="CS86" s="564"/>
      <c r="CT86" s="564"/>
      <c r="CU86" s="564"/>
      <c r="CV86" s="564"/>
      <c r="CW86" s="564"/>
      <c r="CX86" s="564"/>
      <c r="CY86" s="564"/>
      <c r="CZ86" s="564"/>
      <c r="DA86" s="564"/>
      <c r="DB86" s="564"/>
      <c r="DC86" s="564"/>
      <c r="DD86" s="564"/>
      <c r="DE86" s="564"/>
      <c r="DF86" s="564"/>
      <c r="DG86" s="564"/>
      <c r="DH86" s="564"/>
      <c r="DI86" s="564"/>
      <c r="DJ86" s="564"/>
      <c r="DK86" s="564"/>
      <c r="DL86" s="564"/>
      <c r="DM86" s="564"/>
      <c r="DN86" s="564"/>
    </row>
    <row r="87" spans="5:118" x14ac:dyDescent="0.2">
      <c r="E87"/>
      <c r="F87"/>
      <c r="Q87" s="564"/>
      <c r="R87" s="564"/>
      <c r="S87" s="564"/>
      <c r="T87" s="564"/>
      <c r="U87" s="564"/>
      <c r="V87" s="564"/>
      <c r="W87" s="564"/>
      <c r="X87" s="564"/>
      <c r="Y87" s="564"/>
      <c r="Z87" s="564"/>
      <c r="AA87" s="564"/>
      <c r="AB87" s="564"/>
      <c r="AD87" s="564"/>
      <c r="AE87" s="564"/>
      <c r="AF87" s="564"/>
      <c r="AG87" s="564"/>
      <c r="AH87" s="564"/>
      <c r="AI87" s="564"/>
      <c r="AJ87" s="564"/>
      <c r="AK87" s="564"/>
      <c r="AL87" s="564"/>
      <c r="AM87" s="564"/>
      <c r="AN87" s="564"/>
      <c r="AO87" s="564"/>
      <c r="AP87" s="564"/>
      <c r="AQ87" s="564"/>
      <c r="AR87" s="564"/>
      <c r="AS87" s="564"/>
      <c r="AT87" s="564"/>
      <c r="AU87" s="564"/>
      <c r="AV87" s="564"/>
      <c r="AW87" s="564"/>
      <c r="AX87" s="564"/>
      <c r="AY87" s="564"/>
      <c r="AZ87" s="564"/>
      <c r="BA87" s="564"/>
      <c r="BB87" s="564"/>
      <c r="BC87" s="564"/>
      <c r="BD87" s="564"/>
      <c r="BE87" s="564"/>
      <c r="BF87" s="564"/>
      <c r="BG87" s="564"/>
      <c r="BH87" s="564"/>
      <c r="BI87" s="564"/>
      <c r="BJ87" s="564"/>
      <c r="BK87" s="564"/>
      <c r="BL87" s="564"/>
      <c r="BM87" s="564"/>
      <c r="BN87" s="564"/>
      <c r="BO87" s="564"/>
      <c r="BP87" s="564"/>
      <c r="BQ87" s="564"/>
      <c r="BR87" s="564"/>
      <c r="BS87" s="564"/>
      <c r="BT87" s="564"/>
      <c r="BU87" s="564"/>
      <c r="BV87" s="564"/>
      <c r="BW87" s="564"/>
      <c r="BX87" s="564"/>
      <c r="BY87" s="564"/>
      <c r="BZ87" s="564"/>
      <c r="CA87" s="564"/>
      <c r="CB87" s="564"/>
      <c r="CC87" s="564"/>
      <c r="CD87" s="564"/>
      <c r="CE87" s="564"/>
      <c r="CF87" s="564"/>
      <c r="CG87" s="564"/>
      <c r="CH87" s="564"/>
      <c r="CI87" s="564"/>
      <c r="CJ87" s="564"/>
      <c r="CK87" s="564"/>
      <c r="CL87" s="564"/>
      <c r="CM87" s="564"/>
      <c r="CN87" s="564"/>
      <c r="CO87" s="564"/>
      <c r="CP87" s="564"/>
      <c r="CQ87" s="564"/>
      <c r="CR87" s="564"/>
      <c r="CS87" s="564"/>
      <c r="CT87" s="564"/>
      <c r="CU87" s="564"/>
      <c r="CV87" s="564"/>
      <c r="CW87" s="564"/>
      <c r="CX87" s="564"/>
      <c r="CY87" s="564"/>
      <c r="CZ87" s="564"/>
      <c r="DA87" s="564"/>
      <c r="DB87" s="564"/>
      <c r="DC87" s="564"/>
      <c r="DD87" s="564"/>
      <c r="DE87" s="564"/>
      <c r="DF87" s="564"/>
      <c r="DG87" s="564"/>
      <c r="DH87" s="564"/>
      <c r="DI87" s="564"/>
      <c r="DJ87" s="564"/>
      <c r="DK87" s="564"/>
      <c r="DL87" s="564"/>
      <c r="DM87" s="564"/>
      <c r="DN87" s="564"/>
    </row>
    <row r="88" spans="5:118" x14ac:dyDescent="0.2">
      <c r="E88"/>
      <c r="F88"/>
      <c r="Q88" s="564"/>
      <c r="R88" s="564"/>
      <c r="S88" s="564"/>
      <c r="T88" s="564"/>
      <c r="U88" s="564"/>
      <c r="V88" s="564"/>
      <c r="W88" s="564"/>
      <c r="X88" s="564"/>
      <c r="Y88" s="564"/>
      <c r="Z88" s="564"/>
      <c r="AA88" s="564"/>
      <c r="AB88" s="564"/>
      <c r="AD88" s="564"/>
      <c r="AE88" s="564"/>
      <c r="AF88" s="564"/>
      <c r="AG88" s="564"/>
      <c r="AH88" s="564"/>
      <c r="AI88" s="564"/>
      <c r="AJ88" s="564"/>
      <c r="AK88" s="564"/>
      <c r="AL88" s="564"/>
      <c r="AM88" s="564"/>
      <c r="AN88" s="564"/>
      <c r="AO88" s="564"/>
      <c r="AP88" s="564"/>
      <c r="AQ88" s="564"/>
      <c r="AR88" s="564"/>
      <c r="AS88" s="564"/>
      <c r="AT88" s="564"/>
      <c r="AU88" s="564"/>
      <c r="AV88" s="564"/>
      <c r="AW88" s="564"/>
      <c r="AX88" s="564"/>
      <c r="AY88" s="564"/>
      <c r="AZ88" s="564"/>
      <c r="BA88" s="564"/>
      <c r="BB88" s="564"/>
      <c r="BC88" s="564"/>
      <c r="BD88" s="564"/>
      <c r="BE88" s="564"/>
      <c r="BF88" s="564"/>
      <c r="BG88" s="564"/>
      <c r="BH88" s="564"/>
      <c r="BI88" s="564"/>
      <c r="BJ88" s="564"/>
      <c r="BK88" s="564"/>
      <c r="BL88" s="564"/>
      <c r="BM88" s="564"/>
      <c r="BN88" s="564"/>
      <c r="BO88" s="564"/>
      <c r="BP88" s="564"/>
      <c r="BQ88" s="564"/>
      <c r="BR88" s="564"/>
      <c r="BS88" s="564"/>
      <c r="BT88" s="564"/>
      <c r="BU88" s="564"/>
      <c r="BV88" s="564"/>
      <c r="BW88" s="564"/>
      <c r="BX88" s="564"/>
      <c r="BY88" s="564"/>
      <c r="BZ88" s="564"/>
      <c r="CA88" s="564"/>
      <c r="CB88" s="564"/>
      <c r="CC88" s="564"/>
      <c r="CD88" s="564"/>
      <c r="CE88" s="564"/>
      <c r="CF88" s="564"/>
      <c r="CG88" s="564"/>
      <c r="CH88" s="564"/>
      <c r="CI88" s="564"/>
      <c r="CJ88" s="564"/>
      <c r="CK88" s="564"/>
      <c r="CL88" s="564"/>
      <c r="CM88" s="564"/>
      <c r="CN88" s="564"/>
      <c r="CO88" s="564"/>
      <c r="CP88" s="564"/>
      <c r="CQ88" s="564"/>
      <c r="CR88" s="564"/>
      <c r="CS88" s="564"/>
      <c r="CT88" s="564"/>
      <c r="CU88" s="564"/>
      <c r="CV88" s="564"/>
      <c r="CW88" s="564"/>
      <c r="CX88" s="564"/>
      <c r="CY88" s="564"/>
      <c r="CZ88" s="564"/>
      <c r="DA88" s="564"/>
      <c r="DB88" s="564"/>
      <c r="DC88" s="564"/>
      <c r="DD88" s="564"/>
      <c r="DE88" s="564"/>
      <c r="DF88" s="564"/>
      <c r="DG88" s="564"/>
      <c r="DH88" s="564"/>
      <c r="DI88" s="564"/>
      <c r="DJ88" s="564"/>
      <c r="DK88" s="564"/>
      <c r="DL88" s="564"/>
      <c r="DM88" s="564"/>
      <c r="DN88" s="564"/>
    </row>
    <row r="89" spans="5:118" x14ac:dyDescent="0.2">
      <c r="E89"/>
      <c r="F89"/>
      <c r="Q89" s="564"/>
      <c r="R89" s="564"/>
      <c r="S89" s="564"/>
      <c r="T89" s="564"/>
      <c r="U89" s="564"/>
      <c r="V89" s="564"/>
      <c r="W89" s="564"/>
      <c r="X89" s="564"/>
      <c r="Y89" s="564"/>
      <c r="Z89" s="564"/>
      <c r="AA89" s="564"/>
      <c r="AB89" s="564"/>
      <c r="AD89" s="564"/>
      <c r="AE89" s="564"/>
      <c r="AF89" s="564"/>
      <c r="AG89" s="564"/>
      <c r="AH89" s="564"/>
      <c r="AI89" s="564"/>
      <c r="AJ89" s="564"/>
      <c r="AK89" s="564"/>
      <c r="AL89" s="564"/>
      <c r="AM89" s="564"/>
      <c r="AN89" s="564"/>
      <c r="AO89" s="564"/>
      <c r="AP89" s="564"/>
      <c r="AQ89" s="564"/>
      <c r="AR89" s="564"/>
      <c r="AS89" s="564"/>
      <c r="AT89" s="564"/>
      <c r="AU89" s="564"/>
      <c r="AV89" s="564"/>
      <c r="AW89" s="564"/>
      <c r="AX89" s="564"/>
      <c r="AY89" s="564"/>
      <c r="AZ89" s="564"/>
      <c r="BA89" s="564"/>
      <c r="BB89" s="564"/>
      <c r="BC89" s="564"/>
      <c r="BD89" s="564"/>
      <c r="BE89" s="564"/>
      <c r="BF89" s="564"/>
      <c r="BG89" s="564"/>
      <c r="BH89" s="564"/>
      <c r="BI89" s="564"/>
      <c r="BJ89" s="564"/>
      <c r="BK89" s="564"/>
      <c r="BL89" s="564"/>
      <c r="BM89" s="564"/>
      <c r="BN89" s="564"/>
      <c r="BO89" s="564"/>
      <c r="BP89" s="564"/>
      <c r="BQ89" s="564"/>
      <c r="BR89" s="564"/>
      <c r="BS89" s="564"/>
      <c r="BT89" s="564"/>
      <c r="BU89" s="564"/>
      <c r="BV89" s="564"/>
      <c r="BW89" s="564"/>
      <c r="BX89" s="564"/>
      <c r="BY89" s="564"/>
      <c r="BZ89" s="564"/>
      <c r="CA89" s="564"/>
      <c r="CB89" s="564"/>
      <c r="CC89" s="564"/>
      <c r="CD89" s="564"/>
      <c r="CE89" s="564"/>
      <c r="CF89" s="564"/>
      <c r="CG89" s="564"/>
      <c r="CH89" s="564"/>
      <c r="CI89" s="564"/>
      <c r="CJ89" s="564"/>
      <c r="CK89" s="564"/>
      <c r="CL89" s="564"/>
      <c r="CM89" s="564"/>
      <c r="CN89" s="564"/>
      <c r="CO89" s="564"/>
      <c r="CP89" s="564"/>
      <c r="CQ89" s="564"/>
      <c r="CR89" s="564"/>
      <c r="CS89" s="564"/>
      <c r="CT89" s="564"/>
      <c r="CU89" s="564"/>
      <c r="CV89" s="564"/>
      <c r="CW89" s="564"/>
      <c r="CX89" s="564"/>
      <c r="CY89" s="564"/>
      <c r="CZ89" s="564"/>
      <c r="DA89" s="564"/>
      <c r="DB89" s="564"/>
      <c r="DC89" s="564"/>
      <c r="DD89" s="564"/>
      <c r="DE89" s="564"/>
      <c r="DF89" s="564"/>
      <c r="DG89" s="564"/>
      <c r="DH89" s="564"/>
      <c r="DI89" s="564"/>
      <c r="DJ89" s="564"/>
      <c r="DK89" s="564"/>
      <c r="DL89" s="564"/>
      <c r="DM89" s="564"/>
      <c r="DN89" s="564"/>
    </row>
    <row r="90" spans="5:118" x14ac:dyDescent="0.2">
      <c r="E90"/>
      <c r="F90"/>
      <c r="Q90" s="564"/>
      <c r="R90" s="564"/>
      <c r="S90" s="564"/>
      <c r="T90" s="564"/>
      <c r="U90" s="564"/>
      <c r="V90" s="564"/>
      <c r="W90" s="564"/>
      <c r="X90" s="564"/>
      <c r="Y90" s="564"/>
      <c r="Z90" s="564"/>
      <c r="AA90" s="564"/>
      <c r="AB90" s="564"/>
      <c r="AD90" s="564"/>
      <c r="AE90" s="564"/>
      <c r="AF90" s="564"/>
      <c r="AG90" s="564"/>
      <c r="AH90" s="564"/>
      <c r="AI90" s="564"/>
      <c r="AJ90" s="564"/>
      <c r="AK90" s="564"/>
      <c r="AL90" s="564"/>
      <c r="AM90" s="564"/>
      <c r="AN90" s="564"/>
      <c r="AO90" s="564"/>
      <c r="AP90" s="564"/>
      <c r="AQ90" s="564"/>
      <c r="AR90" s="564"/>
      <c r="AS90" s="564"/>
      <c r="AT90" s="564"/>
      <c r="AU90" s="564"/>
      <c r="AV90" s="564"/>
      <c r="AW90" s="564"/>
      <c r="AX90" s="564"/>
      <c r="AY90" s="564"/>
      <c r="AZ90" s="564"/>
      <c r="BA90" s="564"/>
      <c r="BB90" s="564"/>
      <c r="BC90" s="564"/>
      <c r="BD90" s="564"/>
      <c r="BE90" s="564"/>
      <c r="BF90" s="564"/>
      <c r="BG90" s="564"/>
      <c r="BH90" s="564"/>
      <c r="BI90" s="564"/>
      <c r="BJ90" s="564"/>
      <c r="BK90" s="564"/>
      <c r="BL90" s="564"/>
      <c r="BM90" s="564"/>
      <c r="BN90" s="564"/>
      <c r="BO90" s="564"/>
      <c r="BP90" s="564"/>
      <c r="BQ90" s="564"/>
      <c r="BR90" s="564"/>
      <c r="BS90" s="564"/>
      <c r="BT90" s="564"/>
      <c r="BU90" s="564"/>
      <c r="BV90" s="564"/>
      <c r="BW90" s="564"/>
      <c r="BX90" s="564"/>
      <c r="BY90" s="564"/>
      <c r="BZ90" s="564"/>
      <c r="CA90" s="564"/>
      <c r="CB90" s="564"/>
      <c r="CC90" s="564"/>
      <c r="CD90" s="564"/>
      <c r="CE90" s="564"/>
      <c r="CF90" s="564"/>
      <c r="CG90" s="564"/>
      <c r="CH90" s="564"/>
      <c r="CI90" s="564"/>
      <c r="CJ90" s="564"/>
      <c r="CK90" s="564"/>
      <c r="CL90" s="564"/>
      <c r="CM90" s="564"/>
      <c r="CN90" s="564"/>
      <c r="CO90" s="564"/>
      <c r="CP90" s="564"/>
      <c r="CQ90" s="564"/>
      <c r="CR90" s="564"/>
      <c r="CS90" s="564"/>
      <c r="CT90" s="564"/>
      <c r="CU90" s="564"/>
      <c r="CV90" s="564"/>
      <c r="CW90" s="564"/>
      <c r="CX90" s="564"/>
      <c r="CY90" s="564"/>
      <c r="CZ90" s="564"/>
      <c r="DA90" s="564"/>
      <c r="DB90" s="564"/>
      <c r="DC90" s="564"/>
      <c r="DD90" s="564"/>
      <c r="DE90" s="564"/>
      <c r="DF90" s="564"/>
      <c r="DG90" s="564"/>
      <c r="DH90" s="564"/>
      <c r="DI90" s="564"/>
      <c r="DJ90" s="564"/>
      <c r="DK90" s="564"/>
      <c r="DL90" s="564"/>
      <c r="DM90" s="564"/>
      <c r="DN90" s="564"/>
    </row>
    <row r="91" spans="5:118" x14ac:dyDescent="0.2">
      <c r="E91"/>
      <c r="F91"/>
      <c r="Q91" s="564"/>
      <c r="R91" s="564"/>
      <c r="S91" s="564"/>
      <c r="T91" s="564"/>
      <c r="U91" s="564"/>
      <c r="V91" s="564"/>
      <c r="W91" s="564"/>
      <c r="X91" s="564"/>
      <c r="Y91" s="564"/>
      <c r="Z91" s="564"/>
      <c r="AA91" s="564"/>
      <c r="AB91" s="564"/>
      <c r="AD91" s="564"/>
      <c r="AE91" s="564"/>
      <c r="AF91" s="564"/>
      <c r="AG91" s="564"/>
      <c r="AH91" s="564"/>
      <c r="AI91" s="564"/>
      <c r="AJ91" s="564"/>
      <c r="AK91" s="564"/>
      <c r="AL91" s="564"/>
      <c r="AM91" s="564"/>
      <c r="AN91" s="564"/>
      <c r="AO91" s="564"/>
      <c r="AP91" s="564"/>
      <c r="AQ91" s="564"/>
      <c r="AR91" s="564"/>
      <c r="AS91" s="564"/>
      <c r="AT91" s="564"/>
      <c r="AU91" s="564"/>
      <c r="AV91" s="564"/>
      <c r="AW91" s="564"/>
      <c r="AX91" s="564"/>
      <c r="AY91" s="564"/>
      <c r="AZ91" s="564"/>
      <c r="BA91" s="564"/>
      <c r="BB91" s="564"/>
      <c r="BC91" s="564"/>
      <c r="BD91" s="564"/>
      <c r="BE91" s="564"/>
      <c r="BF91" s="564"/>
      <c r="BG91" s="564"/>
      <c r="BH91" s="564"/>
      <c r="BI91" s="564"/>
      <c r="BJ91" s="564"/>
      <c r="BK91" s="564"/>
      <c r="BL91" s="564"/>
      <c r="BM91" s="564"/>
      <c r="BN91" s="564"/>
      <c r="BO91" s="564"/>
      <c r="BP91" s="564"/>
      <c r="BQ91" s="564"/>
      <c r="BR91" s="564"/>
      <c r="BS91" s="564"/>
      <c r="BT91" s="564"/>
      <c r="BU91" s="564"/>
      <c r="BV91" s="564"/>
      <c r="BW91" s="564"/>
      <c r="BX91" s="564"/>
      <c r="BY91" s="564"/>
      <c r="BZ91" s="564"/>
      <c r="CA91" s="564"/>
      <c r="CB91" s="564"/>
      <c r="CC91" s="564"/>
      <c r="CD91" s="564"/>
      <c r="CE91" s="564"/>
      <c r="CF91" s="564"/>
      <c r="CG91" s="564"/>
      <c r="CH91" s="564"/>
      <c r="CI91" s="564"/>
      <c r="CJ91" s="564"/>
      <c r="CK91" s="564"/>
      <c r="CL91" s="564"/>
      <c r="CM91" s="564"/>
      <c r="CN91" s="564"/>
      <c r="CO91" s="564"/>
      <c r="CP91" s="564"/>
      <c r="CQ91" s="564"/>
      <c r="CR91" s="564"/>
      <c r="CS91" s="564"/>
      <c r="CT91" s="564"/>
      <c r="CU91" s="564"/>
      <c r="CV91" s="564"/>
      <c r="CW91" s="564"/>
      <c r="CX91" s="564"/>
      <c r="CY91" s="564"/>
      <c r="CZ91" s="564"/>
      <c r="DA91" s="564"/>
      <c r="DB91" s="564"/>
      <c r="DC91" s="564"/>
      <c r="DD91" s="564"/>
      <c r="DE91" s="564"/>
      <c r="DF91" s="564"/>
      <c r="DG91" s="564"/>
      <c r="DH91" s="564"/>
      <c r="DI91" s="564"/>
      <c r="DJ91" s="564"/>
      <c r="DK91" s="564"/>
      <c r="DL91" s="564"/>
      <c r="DM91" s="564"/>
      <c r="DN91" s="564"/>
    </row>
    <row r="92" spans="5:118" x14ac:dyDescent="0.2">
      <c r="E92"/>
      <c r="F92"/>
      <c r="Q92" s="564"/>
      <c r="R92" s="564"/>
      <c r="S92" s="564"/>
      <c r="T92" s="564"/>
      <c r="U92" s="564"/>
      <c r="V92" s="564"/>
      <c r="W92" s="564"/>
      <c r="X92" s="564"/>
      <c r="Y92" s="564"/>
      <c r="Z92" s="564"/>
      <c r="AA92" s="564"/>
      <c r="AB92" s="564"/>
      <c r="AD92" s="564"/>
      <c r="AE92" s="564"/>
      <c r="AF92" s="564"/>
      <c r="AG92" s="564"/>
      <c r="AH92" s="564"/>
      <c r="AI92" s="564"/>
      <c r="AJ92" s="564"/>
      <c r="AK92" s="564"/>
      <c r="AL92" s="564"/>
      <c r="AM92" s="564"/>
      <c r="AN92" s="564"/>
      <c r="AO92" s="564"/>
      <c r="AP92" s="564"/>
      <c r="AQ92" s="564"/>
      <c r="AR92" s="564"/>
      <c r="AS92" s="564"/>
      <c r="AT92" s="564"/>
      <c r="AU92" s="564"/>
      <c r="AV92" s="564"/>
      <c r="AW92" s="564"/>
      <c r="AX92" s="564"/>
      <c r="AY92" s="564"/>
      <c r="AZ92" s="564"/>
      <c r="BA92" s="564"/>
      <c r="BB92" s="564"/>
      <c r="BC92" s="564"/>
      <c r="BD92" s="564"/>
      <c r="BE92" s="564"/>
      <c r="BF92" s="564"/>
      <c r="BG92" s="564"/>
      <c r="BH92" s="564"/>
      <c r="BI92" s="564"/>
      <c r="BJ92" s="564"/>
      <c r="BK92" s="564"/>
      <c r="BL92" s="564"/>
      <c r="BM92" s="564"/>
      <c r="BN92" s="564"/>
      <c r="BO92" s="564"/>
      <c r="BP92" s="564"/>
      <c r="BQ92" s="564"/>
      <c r="BR92" s="564"/>
      <c r="BS92" s="564"/>
      <c r="BT92" s="564"/>
      <c r="BU92" s="564"/>
      <c r="BV92" s="564"/>
      <c r="BW92" s="564"/>
      <c r="BX92" s="564"/>
      <c r="BY92" s="564"/>
      <c r="BZ92" s="564"/>
      <c r="CA92" s="564"/>
      <c r="CB92" s="564"/>
      <c r="CC92" s="564"/>
      <c r="CD92" s="564"/>
      <c r="CE92" s="564"/>
      <c r="CF92" s="564"/>
      <c r="CG92" s="564"/>
      <c r="CH92" s="564"/>
      <c r="CI92" s="564"/>
      <c r="CJ92" s="564"/>
      <c r="CK92" s="564"/>
      <c r="CL92" s="564"/>
      <c r="CM92" s="564"/>
      <c r="CN92" s="564"/>
      <c r="CO92" s="564"/>
      <c r="CP92" s="564"/>
      <c r="CQ92" s="564"/>
      <c r="CR92" s="564"/>
      <c r="CS92" s="564"/>
      <c r="CT92" s="564"/>
      <c r="CU92" s="564"/>
      <c r="CV92" s="564"/>
      <c r="CW92" s="564"/>
      <c r="CX92" s="564"/>
      <c r="CY92" s="564"/>
      <c r="CZ92" s="564"/>
      <c r="DA92" s="564"/>
      <c r="DB92" s="564"/>
      <c r="DC92" s="564"/>
      <c r="DD92" s="564"/>
      <c r="DE92" s="564"/>
      <c r="DF92" s="564"/>
      <c r="DG92" s="564"/>
      <c r="DH92" s="564"/>
      <c r="DI92" s="564"/>
      <c r="DJ92" s="564"/>
      <c r="DK92" s="564"/>
      <c r="DL92" s="564"/>
      <c r="DM92" s="564"/>
      <c r="DN92" s="564"/>
    </row>
    <row r="98" spans="1:118" s="17" customFormat="1" ht="17.25" x14ac:dyDescent="0.3">
      <c r="A98" s="17" t="str">
        <f ca="1">IF(OFFSET(O98,0,Lang_Order*Lang__R1)="","",OFFSET(O98,0,Lang_Order*Lang__R1))</f>
        <v>R1.3 How fast? (Medium Variant)</v>
      </c>
      <c r="N98" s="403"/>
      <c r="O98" s="403" t="s">
        <v>3043</v>
      </c>
      <c r="P98" s="403"/>
      <c r="Q98" s="403"/>
      <c r="R98" s="403"/>
      <c r="S98" s="403"/>
      <c r="T98" s="403"/>
      <c r="U98" s="403"/>
      <c r="V98" s="403"/>
      <c r="W98" s="403"/>
      <c r="X98" s="403"/>
      <c r="Y98" s="403"/>
      <c r="Z98" s="403"/>
      <c r="AA98" s="403"/>
      <c r="AB98" s="403"/>
      <c r="AC98" s="564"/>
      <c r="AD98" s="403" t="s">
        <v>12618</v>
      </c>
      <c r="AE98" s="403"/>
      <c r="AF98" s="403"/>
      <c r="AG98" s="403"/>
      <c r="AH98" s="403"/>
      <c r="AI98" s="403"/>
      <c r="AJ98" s="403"/>
      <c r="AK98" s="403"/>
      <c r="AL98" s="403"/>
      <c r="AM98" s="403"/>
      <c r="AN98" s="403"/>
      <c r="AO98" s="403"/>
      <c r="AP98" s="403"/>
      <c r="AQ98" s="403"/>
      <c r="AR98" s="403"/>
      <c r="AS98" s="403" t="s">
        <v>12619</v>
      </c>
      <c r="AT98" s="403"/>
      <c r="AU98" s="403"/>
      <c r="AV98" s="403"/>
      <c r="AW98" s="403"/>
      <c r="AX98" s="403"/>
      <c r="AY98" s="403"/>
      <c r="AZ98" s="403"/>
      <c r="BA98" s="403"/>
      <c r="BB98" s="403"/>
      <c r="BC98" s="403"/>
      <c r="BD98" s="403"/>
      <c r="BE98" s="403"/>
      <c r="BF98" s="403"/>
      <c r="BG98" s="403"/>
      <c r="BH98" s="403" t="s">
        <v>12620</v>
      </c>
      <c r="BI98" s="403"/>
      <c r="BJ98" s="403"/>
      <c r="BK98" s="403"/>
      <c r="BL98" s="403"/>
      <c r="BM98" s="403"/>
      <c r="BN98" s="403"/>
      <c r="BO98" s="403"/>
      <c r="BP98" s="403"/>
      <c r="BQ98" s="403"/>
      <c r="BR98" s="403"/>
      <c r="BS98" s="403"/>
      <c r="BT98" s="403"/>
      <c r="BU98" s="403"/>
      <c r="BV98" s="403"/>
      <c r="BW98" s="403" t="s">
        <v>12621</v>
      </c>
      <c r="BX98" s="403"/>
      <c r="BY98" s="403"/>
      <c r="BZ98" s="403"/>
      <c r="CA98" s="403"/>
      <c r="CB98" s="403"/>
      <c r="CC98" s="403"/>
      <c r="CD98" s="403"/>
      <c r="CE98" s="403"/>
      <c r="CF98" s="403"/>
      <c r="CG98" s="403"/>
      <c r="CH98" s="403"/>
      <c r="CI98" s="403"/>
      <c r="CJ98" s="403"/>
      <c r="CK98" s="403"/>
      <c r="CL98" s="403" t="s">
        <v>12622</v>
      </c>
      <c r="CM98" s="403"/>
      <c r="CN98" s="403"/>
      <c r="CO98" s="403"/>
      <c r="CP98" s="403"/>
      <c r="CQ98" s="403"/>
      <c r="CR98" s="403"/>
      <c r="CS98" s="403"/>
      <c r="CT98" s="403"/>
      <c r="CU98" s="403"/>
      <c r="CV98" s="403"/>
      <c r="CW98" s="403"/>
      <c r="CX98" s="403"/>
      <c r="CY98" s="403"/>
      <c r="CZ98" s="403"/>
      <c r="DA98" s="403" t="s">
        <v>12623</v>
      </c>
      <c r="DB98" s="403"/>
      <c r="DC98" s="403"/>
      <c r="DD98" s="403"/>
      <c r="DE98" s="403"/>
      <c r="DF98" s="403"/>
      <c r="DG98" s="403"/>
      <c r="DH98" s="403"/>
      <c r="DI98" s="403"/>
      <c r="DJ98" s="403"/>
      <c r="DK98" s="403"/>
      <c r="DL98" s="403"/>
      <c r="DM98" s="403"/>
      <c r="DN98" s="403"/>
    </row>
    <row r="100" spans="1:118" s="150" customFormat="1" ht="15" x14ac:dyDescent="0.25">
      <c r="B100" s="8" t="str">
        <f ca="1">IF(OFFSET(P100,0,Lang_Order*Lang__R1)="","",OFFSET(P100,0,Lang_Order*Lang__R1))</f>
        <v>R1.3.1 Days within a period (considering weekends), concurrent delivery modality teams</v>
      </c>
      <c r="C100" s="8"/>
      <c r="D100" s="8"/>
      <c r="E100" s="8"/>
      <c r="F100" s="8"/>
      <c r="G100" s="8"/>
      <c r="H100" s="424" t="str">
        <f ca="1">IF(OFFSET(V100,0,Lang_Order*Lang__R1)="","",OFFSET(V100,0,Lang_Order*Lang__R1))</f>
        <v xml:space="preserve">Period (days) = </v>
      </c>
      <c r="I100" s="33">
        <f>Time_period</f>
        <v>180</v>
      </c>
      <c r="J100" s="8"/>
      <c r="K100" s="8"/>
      <c r="L100" s="8"/>
      <c r="N100" s="403"/>
      <c r="O100" s="403"/>
      <c r="P100" s="403" t="s">
        <v>4204</v>
      </c>
      <c r="Q100" s="403"/>
      <c r="R100" s="403"/>
      <c r="S100" s="403"/>
      <c r="T100" s="403"/>
      <c r="U100" s="403"/>
      <c r="V100" s="403" t="s">
        <v>4216</v>
      </c>
      <c r="W100" s="403"/>
      <c r="X100" s="403"/>
      <c r="Y100" s="403"/>
      <c r="Z100" s="403"/>
      <c r="AA100" s="403"/>
      <c r="AB100" s="403"/>
      <c r="AC100" s="564"/>
      <c r="AD100" s="403"/>
      <c r="AE100" s="403" t="s">
        <v>12624</v>
      </c>
      <c r="AF100" s="403"/>
      <c r="AG100" s="403"/>
      <c r="AH100" s="403"/>
      <c r="AI100" s="403"/>
      <c r="AJ100" s="403"/>
      <c r="AK100" s="403" t="s">
        <v>12625</v>
      </c>
      <c r="AL100" s="403"/>
      <c r="AM100" s="403"/>
      <c r="AN100" s="403"/>
      <c r="AO100" s="403"/>
      <c r="AP100" s="403"/>
      <c r="AQ100" s="403"/>
      <c r="AR100" s="403"/>
      <c r="AS100" s="403"/>
      <c r="AT100" s="403" t="s">
        <v>12626</v>
      </c>
      <c r="AU100" s="403"/>
      <c r="AV100" s="403"/>
      <c r="AW100" s="403"/>
      <c r="AX100" s="403"/>
      <c r="AY100" s="403"/>
      <c r="AZ100" s="403" t="s">
        <v>12627</v>
      </c>
      <c r="BA100" s="403"/>
      <c r="BB100" s="403"/>
      <c r="BC100" s="403"/>
      <c r="BD100" s="403"/>
      <c r="BE100" s="403"/>
      <c r="BF100" s="403"/>
      <c r="BG100" s="403"/>
      <c r="BH100" s="403"/>
      <c r="BI100" s="403" t="s">
        <v>12628</v>
      </c>
      <c r="BJ100" s="403"/>
      <c r="BK100" s="403"/>
      <c r="BL100" s="403"/>
      <c r="BM100" s="403"/>
      <c r="BN100" s="403"/>
      <c r="BO100" s="403" t="s">
        <v>12629</v>
      </c>
      <c r="BP100" s="403"/>
      <c r="BQ100" s="403"/>
      <c r="BR100" s="403"/>
      <c r="BS100" s="403"/>
      <c r="BT100" s="403"/>
      <c r="BU100" s="403"/>
      <c r="BV100" s="403"/>
      <c r="BW100" s="403"/>
      <c r="BX100" s="403" t="s">
        <v>12630</v>
      </c>
      <c r="BY100" s="403"/>
      <c r="BZ100" s="403"/>
      <c r="CA100" s="403"/>
      <c r="CB100" s="403"/>
      <c r="CC100" s="403"/>
      <c r="CD100" s="403" t="s">
        <v>12631</v>
      </c>
      <c r="CE100" s="403"/>
      <c r="CF100" s="403"/>
      <c r="CG100" s="403"/>
      <c r="CH100" s="403"/>
      <c r="CI100" s="403"/>
      <c r="CJ100" s="403"/>
      <c r="CK100" s="403"/>
      <c r="CL100" s="403"/>
      <c r="CM100" s="403" t="s">
        <v>12632</v>
      </c>
      <c r="CN100" s="403"/>
      <c r="CO100" s="403"/>
      <c r="CP100" s="403"/>
      <c r="CQ100" s="403"/>
      <c r="CR100" s="403"/>
      <c r="CS100" s="403" t="s">
        <v>12633</v>
      </c>
      <c r="CT100" s="403"/>
      <c r="CU100" s="403"/>
      <c r="CV100" s="403"/>
      <c r="CW100" s="403"/>
      <c r="CX100" s="403"/>
      <c r="CY100" s="403"/>
      <c r="CZ100" s="403"/>
      <c r="DA100" s="403"/>
      <c r="DB100" s="403" t="s">
        <v>12634</v>
      </c>
      <c r="DC100" s="403"/>
      <c r="DD100" s="403"/>
      <c r="DE100" s="403"/>
      <c r="DF100" s="403"/>
      <c r="DG100" s="403"/>
      <c r="DH100" s="403" t="s">
        <v>12635</v>
      </c>
      <c r="DI100" s="403"/>
      <c r="DJ100" s="403"/>
      <c r="DK100" s="403"/>
      <c r="DL100" s="403"/>
      <c r="DM100" s="403"/>
      <c r="DN100" s="403"/>
    </row>
    <row r="101" spans="1:118" s="463" customFormat="1" x14ac:dyDescent="0.2">
      <c r="B101" s="567"/>
      <c r="C101" s="679" t="str">
        <f ca="1">IF(OFFSET(Q101,0,Lang_Order*Lang__R1)="","",OFFSET(Q101,0,Lang_Order*Lang__R1))</f>
        <v>Note: This blue bars in section displays the time (in days) per time period of 180 days, that will be needed for the vaccination campaign.
The line chart indicates the cumulative population expected to be vaccinated from 2021-2023 based on the assumptions specified in A2 and B1.</v>
      </c>
      <c r="D101" s="679"/>
      <c r="E101" s="679"/>
      <c r="F101" s="679"/>
      <c r="G101" s="679"/>
      <c r="H101" s="679"/>
      <c r="I101" s="679"/>
      <c r="J101" s="679"/>
      <c r="K101" s="679"/>
      <c r="L101" s="679"/>
      <c r="N101" s="403"/>
      <c r="O101" s="403"/>
      <c r="P101" s="403"/>
      <c r="Q101" s="566" t="s">
        <v>13201</v>
      </c>
      <c r="R101" s="403"/>
      <c r="S101" s="403"/>
      <c r="T101" s="403"/>
      <c r="U101" s="403"/>
      <c r="V101" s="403"/>
      <c r="W101" s="403"/>
      <c r="X101" s="403"/>
      <c r="Y101" s="403"/>
      <c r="Z101" s="403"/>
      <c r="AA101" s="403"/>
      <c r="AB101" s="403"/>
      <c r="AC101" s="564"/>
      <c r="AD101" s="403"/>
      <c r="AE101" s="403"/>
      <c r="AF101" s="403" t="s">
        <v>12636</v>
      </c>
      <c r="AG101" s="403"/>
      <c r="AH101" s="403"/>
      <c r="AI101" s="403"/>
      <c r="AJ101" s="403"/>
      <c r="AK101" s="403"/>
      <c r="AL101" s="403"/>
      <c r="AM101" s="403"/>
      <c r="AN101" s="403"/>
      <c r="AO101" s="403"/>
      <c r="AP101" s="403"/>
      <c r="AQ101" s="403"/>
      <c r="AR101" s="403"/>
      <c r="AS101" s="403"/>
      <c r="AT101" s="403"/>
      <c r="AU101" s="403" t="s">
        <v>12637</v>
      </c>
      <c r="AV101" s="403"/>
      <c r="AW101" s="403"/>
      <c r="AX101" s="403"/>
      <c r="AY101" s="403"/>
      <c r="AZ101" s="403"/>
      <c r="BA101" s="403"/>
      <c r="BB101" s="403"/>
      <c r="BC101" s="403"/>
      <c r="BD101" s="403"/>
      <c r="BE101" s="403"/>
      <c r="BF101" s="403"/>
      <c r="BG101" s="403"/>
      <c r="BH101" s="403"/>
      <c r="BI101" s="403"/>
      <c r="BJ101" s="403" t="s">
        <v>12638</v>
      </c>
      <c r="BK101" s="403"/>
      <c r="BL101" s="403"/>
      <c r="BM101" s="403"/>
      <c r="BN101" s="403"/>
      <c r="BO101" s="403"/>
      <c r="BP101" s="403"/>
      <c r="BQ101" s="403"/>
      <c r="BR101" s="403"/>
      <c r="BS101" s="403"/>
      <c r="BT101" s="403"/>
      <c r="BU101" s="403"/>
      <c r="BV101" s="403"/>
      <c r="BW101" s="403"/>
      <c r="BX101" s="403"/>
      <c r="BY101" s="403" t="s">
        <v>12639</v>
      </c>
      <c r="BZ101" s="403"/>
      <c r="CA101" s="403"/>
      <c r="CB101" s="403"/>
      <c r="CC101" s="403"/>
      <c r="CD101" s="403"/>
      <c r="CE101" s="403"/>
      <c r="CF101" s="403"/>
      <c r="CG101" s="403"/>
      <c r="CH101" s="403"/>
      <c r="CI101" s="403"/>
      <c r="CJ101" s="403"/>
      <c r="CK101" s="403"/>
      <c r="CL101" s="403"/>
      <c r="CM101" s="403"/>
      <c r="CN101" s="403" t="s">
        <v>12640</v>
      </c>
      <c r="CO101" s="403"/>
      <c r="CP101" s="403"/>
      <c r="CQ101" s="403"/>
      <c r="CR101" s="403"/>
      <c r="CS101" s="403"/>
      <c r="CT101" s="403"/>
      <c r="CU101" s="403"/>
      <c r="CV101" s="403"/>
      <c r="CW101" s="403"/>
      <c r="CX101" s="403"/>
      <c r="CY101" s="403"/>
      <c r="CZ101" s="403"/>
      <c r="DA101" s="403"/>
      <c r="DB101" s="403"/>
      <c r="DC101" s="403" t="s">
        <v>12641</v>
      </c>
      <c r="DD101" s="403"/>
      <c r="DE101" s="403"/>
      <c r="DF101" s="403"/>
      <c r="DG101" s="403"/>
      <c r="DH101" s="403"/>
      <c r="DI101" s="403"/>
      <c r="DJ101" s="403"/>
      <c r="DK101" s="403"/>
      <c r="DL101" s="403"/>
      <c r="DM101" s="403"/>
      <c r="DN101" s="403"/>
    </row>
    <row r="102" spans="1:118" ht="15" x14ac:dyDescent="0.25">
      <c r="B102" s="150"/>
      <c r="C102" s="369" t="str">
        <f ca="1">IF(OFFSET(Q102,0,Lang_Order*Lang__R1)="","",OFFSET(Q102,0,Lang_Order*Lang__R1))</f>
        <v/>
      </c>
      <c r="D102" s="369" t="str">
        <f ca="1">IF(OFFSET(R102,0,Lang_Order*Lang__R1)="","",OFFSET(R102,0,Lang_Order*Lang__R1))</f>
        <v/>
      </c>
      <c r="E102" s="369" t="str">
        <f ca="1">IF(OFFSET(S102,0,Lang_Order*Lang__R1)="","",OFFSET(S102,0,Lang_Order*Lang__R1))</f>
        <v/>
      </c>
      <c r="F102" s="150"/>
      <c r="G102" s="30" t="str">
        <f t="shared" ref="G102:L102" ca="1" si="26">IF(OFFSET(U102,0,Lang_Order*Lang__R1)="","",OFFSET(U102,0,Lang_Order*Lang__R1))</f>
        <v>H1 2021</v>
      </c>
      <c r="H102" s="30" t="str">
        <f t="shared" ca="1" si="26"/>
        <v>H2 2021</v>
      </c>
      <c r="I102" s="30" t="str">
        <f t="shared" ca="1" si="26"/>
        <v>H1 2022</v>
      </c>
      <c r="J102" s="30" t="str">
        <f t="shared" ca="1" si="26"/>
        <v>H2 2022</v>
      </c>
      <c r="K102" s="30" t="str">
        <f t="shared" ca="1" si="26"/>
        <v>H1 2023</v>
      </c>
      <c r="L102" s="30" t="str">
        <f t="shared" ca="1" si="26"/>
        <v>H2 2023</v>
      </c>
      <c r="U102" s="403" t="s">
        <v>1597</v>
      </c>
      <c r="V102" s="403" t="s">
        <v>1598</v>
      </c>
      <c r="W102" s="403" t="s">
        <v>1599</v>
      </c>
      <c r="X102" s="403" t="s">
        <v>1600</v>
      </c>
      <c r="Y102" s="403" t="s">
        <v>1602</v>
      </c>
      <c r="Z102" s="403" t="s">
        <v>1601</v>
      </c>
      <c r="AJ102" s="403" t="s">
        <v>4663</v>
      </c>
      <c r="AK102" s="403" t="s">
        <v>4664</v>
      </c>
      <c r="AL102" s="403" t="s">
        <v>4665</v>
      </c>
      <c r="AM102" s="403" t="s">
        <v>4666</v>
      </c>
      <c r="AN102" s="403" t="s">
        <v>4667</v>
      </c>
      <c r="AO102" s="403" t="s">
        <v>4668</v>
      </c>
      <c r="AY102" s="403" t="s">
        <v>4670</v>
      </c>
      <c r="AZ102" s="403" t="s">
        <v>4671</v>
      </c>
      <c r="BA102" s="403" t="s">
        <v>4672</v>
      </c>
      <c r="BB102" s="403" t="s">
        <v>4673</v>
      </c>
      <c r="BC102" s="403" t="s">
        <v>4674</v>
      </c>
      <c r="BD102" s="403" t="s">
        <v>4675</v>
      </c>
      <c r="BN102" s="403" t="s">
        <v>1597</v>
      </c>
      <c r="BO102" s="403" t="s">
        <v>1598</v>
      </c>
      <c r="BP102" s="403" t="s">
        <v>1599</v>
      </c>
      <c r="BQ102" s="403" t="s">
        <v>1600</v>
      </c>
      <c r="BR102" s="403" t="s">
        <v>1602</v>
      </c>
      <c r="BS102" s="403" t="s">
        <v>1601</v>
      </c>
      <c r="CC102" s="403" t="s">
        <v>4663</v>
      </c>
      <c r="CD102" s="403" t="s">
        <v>4664</v>
      </c>
      <c r="CE102" s="403" t="s">
        <v>4665</v>
      </c>
      <c r="CF102" s="403" t="s">
        <v>4666</v>
      </c>
      <c r="CG102" s="403" t="s">
        <v>4667</v>
      </c>
      <c r="CH102" s="403" t="s">
        <v>4668</v>
      </c>
      <c r="CR102" s="403" t="s">
        <v>4680</v>
      </c>
      <c r="CS102" s="403" t="s">
        <v>4681</v>
      </c>
      <c r="CT102" s="403" t="s">
        <v>4682</v>
      </c>
      <c r="CU102" s="403" t="s">
        <v>4683</v>
      </c>
      <c r="CV102" s="403" t="s">
        <v>4684</v>
      </c>
      <c r="CW102" s="403" t="s">
        <v>4685</v>
      </c>
      <c r="DG102" s="403" t="s">
        <v>4688</v>
      </c>
      <c r="DH102" s="403" t="s">
        <v>4689</v>
      </c>
      <c r="DI102" s="403" t="s">
        <v>4690</v>
      </c>
      <c r="DJ102" s="403" t="s">
        <v>4691</v>
      </c>
      <c r="DK102" s="403" t="s">
        <v>4692</v>
      </c>
      <c r="DL102" s="403" t="s">
        <v>4693</v>
      </c>
    </row>
    <row r="103" spans="1:118" hidden="1" x14ac:dyDescent="0.2">
      <c r="B103" s="645" t="s">
        <v>14117</v>
      </c>
      <c r="C103" s="5" t="str">
        <f t="shared" ref="C103:D106" ca="1" si="27">IF(OFFSET(Q103,0,Lang_Order*Lang__R1)="","",OFFSET(Q103,0,Lang_Order*Lang__R1))</f>
        <v>Delivery Modality 1</v>
      </c>
      <c r="D103" t="str">
        <f t="shared" ca="1" si="27"/>
        <v>(medium variant)</v>
      </c>
      <c r="G103" t="e">
        <f>'B5. Last Mile Delivery'!J108</f>
        <v>#N/A</v>
      </c>
      <c r="H103" s="150" t="e">
        <f>'B5. Last Mile Delivery'!K108</f>
        <v>#N/A</v>
      </c>
      <c r="I103" s="150" t="e">
        <f>'B5. Last Mile Delivery'!L108</f>
        <v>#N/A</v>
      </c>
      <c r="J103" s="150" t="e">
        <f>'B5. Last Mile Delivery'!M108</f>
        <v>#N/A</v>
      </c>
      <c r="K103" s="150" t="e">
        <f>'B5. Last Mile Delivery'!N108</f>
        <v>#N/A</v>
      </c>
      <c r="L103" s="150" t="e">
        <f>'B5. Last Mile Delivery'!O108</f>
        <v>#N/A</v>
      </c>
      <c r="Q103" s="403" t="s">
        <v>1632</v>
      </c>
      <c r="R103" s="403" t="s">
        <v>3055</v>
      </c>
      <c r="AF103" s="403" t="s">
        <v>7476</v>
      </c>
      <c r="AG103" s="403" t="s">
        <v>12642</v>
      </c>
      <c r="AU103" s="403" t="s">
        <v>9664</v>
      </c>
      <c r="AV103" s="403" t="s">
        <v>12643</v>
      </c>
      <c r="BJ103" s="403" t="s">
        <v>9666</v>
      </c>
      <c r="BK103" s="403" t="s">
        <v>12644</v>
      </c>
      <c r="BY103" s="403" t="s">
        <v>7479</v>
      </c>
      <c r="BZ103" s="403" t="s">
        <v>12645</v>
      </c>
      <c r="CN103" s="403" t="s">
        <v>7480</v>
      </c>
      <c r="CO103" s="403" t="s">
        <v>12646</v>
      </c>
      <c r="DC103" s="403" t="s">
        <v>7481</v>
      </c>
      <c r="DD103" s="403" t="s">
        <v>12647</v>
      </c>
    </row>
    <row r="104" spans="1:118" hidden="1" x14ac:dyDescent="0.2">
      <c r="B104" s="645" t="s">
        <v>14117</v>
      </c>
      <c r="C104" s="5" t="str">
        <f t="shared" ca="1" si="27"/>
        <v>Delivery Modality 2</v>
      </c>
      <c r="D104" s="241" t="str">
        <f t="shared" ca="1" si="27"/>
        <v>(medium variant)</v>
      </c>
      <c r="G104" t="e">
        <f>'B5. Last Mile Delivery'!J160</f>
        <v>#N/A</v>
      </c>
      <c r="H104" s="150" t="e">
        <f>'B5. Last Mile Delivery'!K160</f>
        <v>#N/A</v>
      </c>
      <c r="I104" s="150" t="e">
        <f>'B5. Last Mile Delivery'!L160</f>
        <v>#N/A</v>
      </c>
      <c r="J104" s="150" t="e">
        <f>'B5. Last Mile Delivery'!M160</f>
        <v>#N/A</v>
      </c>
      <c r="K104" s="150" t="e">
        <f>'B5. Last Mile Delivery'!N160</f>
        <v>#N/A</v>
      </c>
      <c r="L104" s="150" t="e">
        <f>'B5. Last Mile Delivery'!O160</f>
        <v>#N/A</v>
      </c>
      <c r="Q104" s="403" t="s">
        <v>1639</v>
      </c>
      <c r="R104" s="403" t="s">
        <v>3055</v>
      </c>
      <c r="AF104" s="403" t="s">
        <v>7482</v>
      </c>
      <c r="AG104" s="403" t="s">
        <v>12642</v>
      </c>
      <c r="AU104" s="403" t="s">
        <v>9672</v>
      </c>
      <c r="AV104" s="403" t="s">
        <v>12643</v>
      </c>
      <c r="BJ104" s="403" t="s">
        <v>9673</v>
      </c>
      <c r="BK104" s="403" t="s">
        <v>12644</v>
      </c>
      <c r="BY104" s="403" t="s">
        <v>7485</v>
      </c>
      <c r="BZ104" s="403" t="s">
        <v>12645</v>
      </c>
      <c r="CN104" s="403" t="s">
        <v>7486</v>
      </c>
      <c r="CO104" s="403" t="s">
        <v>12646</v>
      </c>
      <c r="DC104" s="403" t="s">
        <v>7487</v>
      </c>
      <c r="DD104" s="403" t="s">
        <v>12647</v>
      </c>
    </row>
    <row r="105" spans="1:118" hidden="1" x14ac:dyDescent="0.2">
      <c r="B105" s="645" t="s">
        <v>14117</v>
      </c>
      <c r="C105" s="5" t="str">
        <f t="shared" ca="1" si="27"/>
        <v>Delivery Modality 3</v>
      </c>
      <c r="D105" s="241" t="str">
        <f t="shared" ca="1" si="27"/>
        <v>(medium variant)</v>
      </c>
      <c r="G105" t="e">
        <f>'B5. Last Mile Delivery'!J208</f>
        <v>#N/A</v>
      </c>
      <c r="H105" s="150" t="e">
        <f>'B5. Last Mile Delivery'!K208</f>
        <v>#N/A</v>
      </c>
      <c r="I105" s="150" t="e">
        <f>'B5. Last Mile Delivery'!L208</f>
        <v>#N/A</v>
      </c>
      <c r="J105" s="150" t="e">
        <f>'B5. Last Mile Delivery'!M208</f>
        <v>#N/A</v>
      </c>
      <c r="K105" s="150" t="e">
        <f>'B5. Last Mile Delivery'!N208</f>
        <v>#N/A</v>
      </c>
      <c r="L105" s="150" t="e">
        <f>'B5. Last Mile Delivery'!O208</f>
        <v>#N/A</v>
      </c>
      <c r="Q105" s="403" t="s">
        <v>1564</v>
      </c>
      <c r="R105" s="403" t="s">
        <v>3055</v>
      </c>
      <c r="AF105" s="403" t="s">
        <v>7418</v>
      </c>
      <c r="AG105" s="403" t="s">
        <v>12642</v>
      </c>
      <c r="AU105" s="403" t="s">
        <v>9676</v>
      </c>
      <c r="AV105" s="403" t="s">
        <v>12643</v>
      </c>
      <c r="BJ105" s="403" t="s">
        <v>7420</v>
      </c>
      <c r="BK105" s="403" t="s">
        <v>12644</v>
      </c>
      <c r="BY105" s="403" t="s">
        <v>7489</v>
      </c>
      <c r="BZ105" s="403" t="s">
        <v>12645</v>
      </c>
      <c r="CN105" s="403" t="s">
        <v>7422</v>
      </c>
      <c r="CO105" s="403" t="s">
        <v>12646</v>
      </c>
      <c r="DC105" s="403" t="s">
        <v>7423</v>
      </c>
      <c r="DD105" s="403" t="s">
        <v>12647</v>
      </c>
    </row>
    <row r="106" spans="1:118" hidden="1" x14ac:dyDescent="0.2">
      <c r="B106" s="645" t="s">
        <v>14117</v>
      </c>
      <c r="C106" s="5" t="str">
        <f t="shared" ca="1" si="27"/>
        <v>Delivery Modality 4</v>
      </c>
      <c r="D106" s="241" t="str">
        <f t="shared" ca="1" si="27"/>
        <v>(medium variant)</v>
      </c>
      <c r="G106" t="e">
        <f>'B5. Last Mile Delivery'!J280</f>
        <v>#N/A</v>
      </c>
      <c r="H106" s="150" t="e">
        <f>'B5. Last Mile Delivery'!K280</f>
        <v>#N/A</v>
      </c>
      <c r="I106" s="150" t="e">
        <f>'B5. Last Mile Delivery'!L280</f>
        <v>#N/A</v>
      </c>
      <c r="J106" s="150" t="e">
        <f>'B5. Last Mile Delivery'!M280</f>
        <v>#N/A</v>
      </c>
      <c r="K106" s="150" t="e">
        <f>'B5. Last Mile Delivery'!N280</f>
        <v>#N/A</v>
      </c>
      <c r="L106" s="150" t="e">
        <f>'B5. Last Mile Delivery'!O280</f>
        <v>#N/A</v>
      </c>
      <c r="Q106" s="403" t="s">
        <v>1565</v>
      </c>
      <c r="R106" s="403" t="s">
        <v>3055</v>
      </c>
      <c r="AF106" s="403" t="s">
        <v>7424</v>
      </c>
      <c r="AG106" s="403" t="s">
        <v>12642</v>
      </c>
      <c r="AU106" s="403" t="s">
        <v>9726</v>
      </c>
      <c r="AV106" s="403" t="s">
        <v>12643</v>
      </c>
      <c r="BJ106" s="403" t="s">
        <v>7426</v>
      </c>
      <c r="BK106" s="403" t="s">
        <v>12644</v>
      </c>
      <c r="BY106" s="403" t="s">
        <v>7491</v>
      </c>
      <c r="BZ106" s="403" t="s">
        <v>12645</v>
      </c>
      <c r="CN106" s="403" t="s">
        <v>7428</v>
      </c>
      <c r="CO106" s="403" t="s">
        <v>12646</v>
      </c>
      <c r="DC106" s="403" t="s">
        <v>7429</v>
      </c>
      <c r="DD106" s="403" t="s">
        <v>12647</v>
      </c>
    </row>
    <row r="107" spans="1:118" hidden="1" x14ac:dyDescent="0.2">
      <c r="B107" s="645" t="s">
        <v>14117</v>
      </c>
    </row>
    <row r="108" spans="1:118" s="241" customFormat="1" hidden="1" x14ac:dyDescent="0.2">
      <c r="B108" s="645" t="s">
        <v>14117</v>
      </c>
      <c r="C108" s="5" t="str">
        <f t="shared" ref="C108:D111" ca="1" si="28">IF(OFFSET(Q108,0,Lang_Order*Lang__R1)="","",OFFSET(Q108,0,Lang_Order*Lang__R1))</f>
        <v>Delivery Modality 1</v>
      </c>
      <c r="D108" s="241" t="str">
        <f t="shared" ca="1" si="28"/>
        <v>(upper variant)</v>
      </c>
      <c r="G108" s="241" t="e">
        <f>'B5. Last Mile Delivery'!W108</f>
        <v>#N/A</v>
      </c>
      <c r="H108" s="241" t="e">
        <f>'B5. Last Mile Delivery'!X108</f>
        <v>#N/A</v>
      </c>
      <c r="I108" s="241" t="e">
        <f>'B5. Last Mile Delivery'!Y108</f>
        <v>#N/A</v>
      </c>
      <c r="J108" s="241" t="e">
        <f>'B5. Last Mile Delivery'!Z108</f>
        <v>#N/A</v>
      </c>
      <c r="K108" s="241" t="e">
        <f>'B5. Last Mile Delivery'!AA108</f>
        <v>#N/A</v>
      </c>
      <c r="L108" s="241" t="e">
        <f>'B5. Last Mile Delivery'!AB108</f>
        <v>#N/A</v>
      </c>
      <c r="N108" s="403"/>
      <c r="O108" s="403"/>
      <c r="P108" s="403"/>
      <c r="Q108" s="403" t="s">
        <v>1632</v>
      </c>
      <c r="R108" s="403" t="s">
        <v>3056</v>
      </c>
      <c r="S108" s="403"/>
      <c r="T108" s="403"/>
      <c r="U108" s="403"/>
      <c r="V108" s="403"/>
      <c r="W108" s="403"/>
      <c r="X108" s="403"/>
      <c r="Y108" s="403"/>
      <c r="Z108" s="403"/>
      <c r="AA108" s="403"/>
      <c r="AB108" s="403"/>
      <c r="AC108" s="564"/>
      <c r="AD108" s="403"/>
      <c r="AE108" s="403"/>
      <c r="AF108" s="403" t="s">
        <v>7476</v>
      </c>
      <c r="AG108" s="403" t="s">
        <v>12648</v>
      </c>
      <c r="AH108" s="403"/>
      <c r="AI108" s="403"/>
      <c r="AJ108" s="403"/>
      <c r="AK108" s="403"/>
      <c r="AL108" s="403"/>
      <c r="AM108" s="403"/>
      <c r="AN108" s="403"/>
      <c r="AO108" s="403"/>
      <c r="AP108" s="403"/>
      <c r="AQ108" s="403"/>
      <c r="AR108" s="403"/>
      <c r="AS108" s="403"/>
      <c r="AT108" s="403"/>
      <c r="AU108" s="403" t="s">
        <v>9664</v>
      </c>
      <c r="AV108" s="403" t="s">
        <v>12649</v>
      </c>
      <c r="AW108" s="403"/>
      <c r="AX108" s="403"/>
      <c r="AY108" s="403"/>
      <c r="AZ108" s="403"/>
      <c r="BA108" s="403"/>
      <c r="BB108" s="403"/>
      <c r="BC108" s="403"/>
      <c r="BD108" s="403"/>
      <c r="BE108" s="403"/>
      <c r="BF108" s="403"/>
      <c r="BG108" s="403"/>
      <c r="BH108" s="403"/>
      <c r="BI108" s="403"/>
      <c r="BJ108" s="403" t="s">
        <v>9666</v>
      </c>
      <c r="BK108" s="403" t="s">
        <v>12650</v>
      </c>
      <c r="BL108" s="403"/>
      <c r="BM108" s="403"/>
      <c r="BN108" s="403"/>
      <c r="BO108" s="403"/>
      <c r="BP108" s="403"/>
      <c r="BQ108" s="403"/>
      <c r="BR108" s="403"/>
      <c r="BS108" s="403"/>
      <c r="BT108" s="403"/>
      <c r="BU108" s="403"/>
      <c r="BV108" s="403"/>
      <c r="BW108" s="403"/>
      <c r="BX108" s="403"/>
      <c r="BY108" s="403" t="s">
        <v>7479</v>
      </c>
      <c r="BZ108" s="403" t="s">
        <v>12651</v>
      </c>
      <c r="CA108" s="403"/>
      <c r="CB108" s="403"/>
      <c r="CC108" s="403"/>
      <c r="CD108" s="403"/>
      <c r="CE108" s="403"/>
      <c r="CF108" s="403"/>
      <c r="CG108" s="403"/>
      <c r="CH108" s="403"/>
      <c r="CI108" s="403"/>
      <c r="CJ108" s="403"/>
      <c r="CK108" s="403"/>
      <c r="CL108" s="403"/>
      <c r="CM108" s="403"/>
      <c r="CN108" s="403" t="s">
        <v>7480</v>
      </c>
      <c r="CO108" s="403" t="s">
        <v>12652</v>
      </c>
      <c r="CP108" s="403"/>
      <c r="CQ108" s="403"/>
      <c r="CR108" s="403"/>
      <c r="CS108" s="403"/>
      <c r="CT108" s="403"/>
      <c r="CU108" s="403"/>
      <c r="CV108" s="403"/>
      <c r="CW108" s="403"/>
      <c r="CX108" s="403"/>
      <c r="CY108" s="403"/>
      <c r="CZ108" s="403"/>
      <c r="DA108" s="403"/>
      <c r="DB108" s="403"/>
      <c r="DC108" s="403" t="s">
        <v>7481</v>
      </c>
      <c r="DD108" s="403" t="s">
        <v>12653</v>
      </c>
      <c r="DE108" s="403"/>
      <c r="DF108" s="403"/>
      <c r="DG108" s="403"/>
      <c r="DH108" s="403"/>
      <c r="DI108" s="403"/>
      <c r="DJ108" s="403"/>
      <c r="DK108" s="403"/>
      <c r="DL108" s="403"/>
      <c r="DM108" s="403"/>
      <c r="DN108" s="403"/>
    </row>
    <row r="109" spans="1:118" s="241" customFormat="1" hidden="1" x14ac:dyDescent="0.2">
      <c r="B109" s="645" t="s">
        <v>14117</v>
      </c>
      <c r="C109" s="5" t="str">
        <f t="shared" ca="1" si="28"/>
        <v>Delivery Modality 2</v>
      </c>
      <c r="D109" s="241" t="str">
        <f t="shared" ca="1" si="28"/>
        <v>(upper variant)</v>
      </c>
      <c r="G109" s="241" t="e">
        <f>'B5. Last Mile Delivery'!W160</f>
        <v>#N/A</v>
      </c>
      <c r="H109" s="241" t="e">
        <f>'B5. Last Mile Delivery'!X160</f>
        <v>#N/A</v>
      </c>
      <c r="I109" s="241" t="e">
        <f>'B5. Last Mile Delivery'!Y160</f>
        <v>#N/A</v>
      </c>
      <c r="J109" s="241" t="e">
        <f>'B5. Last Mile Delivery'!Z160</f>
        <v>#N/A</v>
      </c>
      <c r="K109" s="241" t="e">
        <f>'B5. Last Mile Delivery'!AA160</f>
        <v>#N/A</v>
      </c>
      <c r="L109" s="241" t="e">
        <f>'B5. Last Mile Delivery'!AB160</f>
        <v>#N/A</v>
      </c>
      <c r="N109" s="403"/>
      <c r="O109" s="403"/>
      <c r="P109" s="403"/>
      <c r="Q109" s="403" t="s">
        <v>1639</v>
      </c>
      <c r="R109" s="403" t="s">
        <v>3056</v>
      </c>
      <c r="S109" s="403"/>
      <c r="T109" s="403"/>
      <c r="U109" s="403"/>
      <c r="V109" s="403"/>
      <c r="W109" s="403"/>
      <c r="X109" s="403"/>
      <c r="Y109" s="403"/>
      <c r="Z109" s="403"/>
      <c r="AA109" s="403"/>
      <c r="AB109" s="403"/>
      <c r="AC109" s="564"/>
      <c r="AD109" s="403"/>
      <c r="AE109" s="403"/>
      <c r="AF109" s="403" t="s">
        <v>7482</v>
      </c>
      <c r="AG109" s="403" t="s">
        <v>12648</v>
      </c>
      <c r="AH109" s="403"/>
      <c r="AI109" s="403"/>
      <c r="AJ109" s="403"/>
      <c r="AK109" s="403"/>
      <c r="AL109" s="403"/>
      <c r="AM109" s="403"/>
      <c r="AN109" s="403"/>
      <c r="AO109" s="403"/>
      <c r="AP109" s="403"/>
      <c r="AQ109" s="403"/>
      <c r="AR109" s="403"/>
      <c r="AS109" s="403"/>
      <c r="AT109" s="403"/>
      <c r="AU109" s="403" t="s">
        <v>9672</v>
      </c>
      <c r="AV109" s="403" t="s">
        <v>12649</v>
      </c>
      <c r="AW109" s="403"/>
      <c r="AX109" s="403"/>
      <c r="AY109" s="403"/>
      <c r="AZ109" s="403"/>
      <c r="BA109" s="403"/>
      <c r="BB109" s="403"/>
      <c r="BC109" s="403"/>
      <c r="BD109" s="403"/>
      <c r="BE109" s="403"/>
      <c r="BF109" s="403"/>
      <c r="BG109" s="403"/>
      <c r="BH109" s="403"/>
      <c r="BI109" s="403"/>
      <c r="BJ109" s="403" t="s">
        <v>9673</v>
      </c>
      <c r="BK109" s="403" t="s">
        <v>12650</v>
      </c>
      <c r="BL109" s="403"/>
      <c r="BM109" s="403"/>
      <c r="BN109" s="403"/>
      <c r="BO109" s="403"/>
      <c r="BP109" s="403"/>
      <c r="BQ109" s="403"/>
      <c r="BR109" s="403"/>
      <c r="BS109" s="403"/>
      <c r="BT109" s="403"/>
      <c r="BU109" s="403"/>
      <c r="BV109" s="403"/>
      <c r="BW109" s="403"/>
      <c r="BX109" s="403"/>
      <c r="BY109" s="403" t="s">
        <v>7485</v>
      </c>
      <c r="BZ109" s="403" t="s">
        <v>12651</v>
      </c>
      <c r="CA109" s="403"/>
      <c r="CB109" s="403"/>
      <c r="CC109" s="403"/>
      <c r="CD109" s="403"/>
      <c r="CE109" s="403"/>
      <c r="CF109" s="403"/>
      <c r="CG109" s="403"/>
      <c r="CH109" s="403"/>
      <c r="CI109" s="403"/>
      <c r="CJ109" s="403"/>
      <c r="CK109" s="403"/>
      <c r="CL109" s="403"/>
      <c r="CM109" s="403"/>
      <c r="CN109" s="403" t="s">
        <v>7486</v>
      </c>
      <c r="CO109" s="403" t="s">
        <v>12652</v>
      </c>
      <c r="CP109" s="403"/>
      <c r="CQ109" s="403"/>
      <c r="CR109" s="403"/>
      <c r="CS109" s="403"/>
      <c r="CT109" s="403"/>
      <c r="CU109" s="403"/>
      <c r="CV109" s="403"/>
      <c r="CW109" s="403"/>
      <c r="CX109" s="403"/>
      <c r="CY109" s="403"/>
      <c r="CZ109" s="403"/>
      <c r="DA109" s="403"/>
      <c r="DB109" s="403"/>
      <c r="DC109" s="403" t="s">
        <v>7487</v>
      </c>
      <c r="DD109" s="403" t="s">
        <v>12653</v>
      </c>
      <c r="DE109" s="403"/>
      <c r="DF109" s="403"/>
      <c r="DG109" s="403"/>
      <c r="DH109" s="403"/>
      <c r="DI109" s="403"/>
      <c r="DJ109" s="403"/>
      <c r="DK109" s="403"/>
      <c r="DL109" s="403"/>
      <c r="DM109" s="403"/>
      <c r="DN109" s="403"/>
    </row>
    <row r="110" spans="1:118" s="241" customFormat="1" hidden="1" x14ac:dyDescent="0.2">
      <c r="B110" s="645" t="s">
        <v>14117</v>
      </c>
      <c r="C110" s="5" t="str">
        <f t="shared" ca="1" si="28"/>
        <v>Delivery Modality 3</v>
      </c>
      <c r="D110" s="241" t="str">
        <f t="shared" ca="1" si="28"/>
        <v>(upper variant)</v>
      </c>
      <c r="G110" s="241" t="e">
        <f>'B5. Last Mile Delivery'!W208</f>
        <v>#N/A</v>
      </c>
      <c r="H110" s="241" t="e">
        <f>'B5. Last Mile Delivery'!X208</f>
        <v>#N/A</v>
      </c>
      <c r="I110" s="241" t="e">
        <f>'B5. Last Mile Delivery'!Y208</f>
        <v>#N/A</v>
      </c>
      <c r="J110" s="241" t="e">
        <f>'B5. Last Mile Delivery'!Z208</f>
        <v>#N/A</v>
      </c>
      <c r="K110" s="241" t="e">
        <f>'B5. Last Mile Delivery'!AA208</f>
        <v>#N/A</v>
      </c>
      <c r="L110" s="241" t="e">
        <f>'B5. Last Mile Delivery'!AB208</f>
        <v>#N/A</v>
      </c>
      <c r="N110" s="403"/>
      <c r="O110" s="403"/>
      <c r="P110" s="403"/>
      <c r="Q110" s="403" t="s">
        <v>1564</v>
      </c>
      <c r="R110" s="403" t="s">
        <v>3056</v>
      </c>
      <c r="S110" s="403"/>
      <c r="T110" s="403"/>
      <c r="U110" s="403"/>
      <c r="V110" s="403"/>
      <c r="W110" s="403"/>
      <c r="X110" s="403"/>
      <c r="Y110" s="403"/>
      <c r="Z110" s="403"/>
      <c r="AA110" s="403"/>
      <c r="AB110" s="403"/>
      <c r="AC110" s="564"/>
      <c r="AD110" s="403"/>
      <c r="AE110" s="403"/>
      <c r="AF110" s="403" t="s">
        <v>7418</v>
      </c>
      <c r="AG110" s="403" t="s">
        <v>12648</v>
      </c>
      <c r="AH110" s="403"/>
      <c r="AI110" s="403"/>
      <c r="AJ110" s="403"/>
      <c r="AK110" s="403"/>
      <c r="AL110" s="403"/>
      <c r="AM110" s="403"/>
      <c r="AN110" s="403"/>
      <c r="AO110" s="403"/>
      <c r="AP110" s="403"/>
      <c r="AQ110" s="403"/>
      <c r="AR110" s="403"/>
      <c r="AS110" s="403"/>
      <c r="AT110" s="403"/>
      <c r="AU110" s="403" t="s">
        <v>9676</v>
      </c>
      <c r="AV110" s="403" t="s">
        <v>12649</v>
      </c>
      <c r="AW110" s="403"/>
      <c r="AX110" s="403"/>
      <c r="AY110" s="403"/>
      <c r="AZ110" s="403"/>
      <c r="BA110" s="403"/>
      <c r="BB110" s="403"/>
      <c r="BC110" s="403"/>
      <c r="BD110" s="403"/>
      <c r="BE110" s="403"/>
      <c r="BF110" s="403"/>
      <c r="BG110" s="403"/>
      <c r="BH110" s="403"/>
      <c r="BI110" s="403"/>
      <c r="BJ110" s="403" t="s">
        <v>7420</v>
      </c>
      <c r="BK110" s="403" t="s">
        <v>12650</v>
      </c>
      <c r="BL110" s="403"/>
      <c r="BM110" s="403"/>
      <c r="BN110" s="403"/>
      <c r="BO110" s="403"/>
      <c r="BP110" s="403"/>
      <c r="BQ110" s="403"/>
      <c r="BR110" s="403"/>
      <c r="BS110" s="403"/>
      <c r="BT110" s="403"/>
      <c r="BU110" s="403"/>
      <c r="BV110" s="403"/>
      <c r="BW110" s="403"/>
      <c r="BX110" s="403"/>
      <c r="BY110" s="403" t="s">
        <v>7489</v>
      </c>
      <c r="BZ110" s="403" t="s">
        <v>12651</v>
      </c>
      <c r="CA110" s="403"/>
      <c r="CB110" s="403"/>
      <c r="CC110" s="403"/>
      <c r="CD110" s="403"/>
      <c r="CE110" s="403"/>
      <c r="CF110" s="403"/>
      <c r="CG110" s="403"/>
      <c r="CH110" s="403"/>
      <c r="CI110" s="403"/>
      <c r="CJ110" s="403"/>
      <c r="CK110" s="403"/>
      <c r="CL110" s="403"/>
      <c r="CM110" s="403"/>
      <c r="CN110" s="403" t="s">
        <v>7422</v>
      </c>
      <c r="CO110" s="403" t="s">
        <v>12652</v>
      </c>
      <c r="CP110" s="403"/>
      <c r="CQ110" s="403"/>
      <c r="CR110" s="403"/>
      <c r="CS110" s="403"/>
      <c r="CT110" s="403"/>
      <c r="CU110" s="403"/>
      <c r="CV110" s="403"/>
      <c r="CW110" s="403"/>
      <c r="CX110" s="403"/>
      <c r="CY110" s="403"/>
      <c r="CZ110" s="403"/>
      <c r="DA110" s="403"/>
      <c r="DB110" s="403"/>
      <c r="DC110" s="403" t="s">
        <v>7423</v>
      </c>
      <c r="DD110" s="403" t="s">
        <v>12653</v>
      </c>
      <c r="DE110" s="403"/>
      <c r="DF110" s="403"/>
      <c r="DG110" s="403"/>
      <c r="DH110" s="403"/>
      <c r="DI110" s="403"/>
      <c r="DJ110" s="403"/>
      <c r="DK110" s="403"/>
      <c r="DL110" s="403"/>
      <c r="DM110" s="403"/>
      <c r="DN110" s="403"/>
    </row>
    <row r="111" spans="1:118" s="241" customFormat="1" hidden="1" x14ac:dyDescent="0.2">
      <c r="B111" s="645" t="s">
        <v>14117</v>
      </c>
      <c r="C111" s="5" t="str">
        <f t="shared" ca="1" si="28"/>
        <v>Delivery Modality 4</v>
      </c>
      <c r="D111" s="241" t="str">
        <f t="shared" ca="1" si="28"/>
        <v>(upper variant)</v>
      </c>
      <c r="G111" s="241" t="e">
        <f>'B5. Last Mile Delivery'!W280</f>
        <v>#N/A</v>
      </c>
      <c r="H111" s="241" t="e">
        <f>'B5. Last Mile Delivery'!X280</f>
        <v>#N/A</v>
      </c>
      <c r="I111" s="241" t="e">
        <f>'B5. Last Mile Delivery'!Y280</f>
        <v>#N/A</v>
      </c>
      <c r="J111" s="241" t="e">
        <f>'B5. Last Mile Delivery'!Z280</f>
        <v>#N/A</v>
      </c>
      <c r="K111" s="241" t="e">
        <f>'B5. Last Mile Delivery'!AA280</f>
        <v>#N/A</v>
      </c>
      <c r="L111" s="241" t="e">
        <f>'B5. Last Mile Delivery'!AB280</f>
        <v>#N/A</v>
      </c>
      <c r="N111" s="403"/>
      <c r="O111" s="403"/>
      <c r="P111" s="403"/>
      <c r="Q111" s="403" t="s">
        <v>1565</v>
      </c>
      <c r="R111" s="403" t="s">
        <v>3056</v>
      </c>
      <c r="S111" s="403"/>
      <c r="T111" s="403"/>
      <c r="U111" s="403"/>
      <c r="V111" s="403"/>
      <c r="W111" s="403"/>
      <c r="X111" s="403"/>
      <c r="Y111" s="403"/>
      <c r="Z111" s="403"/>
      <c r="AA111" s="403"/>
      <c r="AB111" s="403"/>
      <c r="AC111" s="564"/>
      <c r="AD111" s="403"/>
      <c r="AE111" s="403"/>
      <c r="AF111" s="403" t="s">
        <v>7424</v>
      </c>
      <c r="AG111" s="403" t="s">
        <v>12648</v>
      </c>
      <c r="AH111" s="403"/>
      <c r="AI111" s="403"/>
      <c r="AJ111" s="403"/>
      <c r="AK111" s="403"/>
      <c r="AL111" s="403"/>
      <c r="AM111" s="403"/>
      <c r="AN111" s="403"/>
      <c r="AO111" s="403"/>
      <c r="AP111" s="403"/>
      <c r="AQ111" s="403"/>
      <c r="AR111" s="403"/>
      <c r="AS111" s="403"/>
      <c r="AT111" s="403"/>
      <c r="AU111" s="403" t="s">
        <v>9726</v>
      </c>
      <c r="AV111" s="403" t="s">
        <v>12649</v>
      </c>
      <c r="AW111" s="403"/>
      <c r="AX111" s="403"/>
      <c r="AY111" s="403"/>
      <c r="AZ111" s="403"/>
      <c r="BA111" s="403"/>
      <c r="BB111" s="403"/>
      <c r="BC111" s="403"/>
      <c r="BD111" s="403"/>
      <c r="BE111" s="403"/>
      <c r="BF111" s="403"/>
      <c r="BG111" s="403"/>
      <c r="BH111" s="403"/>
      <c r="BI111" s="403"/>
      <c r="BJ111" s="403" t="s">
        <v>7426</v>
      </c>
      <c r="BK111" s="403" t="s">
        <v>12650</v>
      </c>
      <c r="BL111" s="403"/>
      <c r="BM111" s="403"/>
      <c r="BN111" s="403"/>
      <c r="BO111" s="403"/>
      <c r="BP111" s="403"/>
      <c r="BQ111" s="403"/>
      <c r="BR111" s="403"/>
      <c r="BS111" s="403"/>
      <c r="BT111" s="403"/>
      <c r="BU111" s="403"/>
      <c r="BV111" s="403"/>
      <c r="BW111" s="403"/>
      <c r="BX111" s="403"/>
      <c r="BY111" s="403" t="s">
        <v>7491</v>
      </c>
      <c r="BZ111" s="403" t="s">
        <v>12651</v>
      </c>
      <c r="CA111" s="403"/>
      <c r="CB111" s="403"/>
      <c r="CC111" s="403"/>
      <c r="CD111" s="403"/>
      <c r="CE111" s="403"/>
      <c r="CF111" s="403"/>
      <c r="CG111" s="403"/>
      <c r="CH111" s="403"/>
      <c r="CI111" s="403"/>
      <c r="CJ111" s="403"/>
      <c r="CK111" s="403"/>
      <c r="CL111" s="403"/>
      <c r="CM111" s="403"/>
      <c r="CN111" s="403" t="s">
        <v>7428</v>
      </c>
      <c r="CO111" s="403" t="s">
        <v>12652</v>
      </c>
      <c r="CP111" s="403"/>
      <c r="CQ111" s="403"/>
      <c r="CR111" s="403"/>
      <c r="CS111" s="403"/>
      <c r="CT111" s="403"/>
      <c r="CU111" s="403"/>
      <c r="CV111" s="403"/>
      <c r="CW111" s="403"/>
      <c r="CX111" s="403"/>
      <c r="CY111" s="403"/>
      <c r="CZ111" s="403"/>
      <c r="DA111" s="403"/>
      <c r="DB111" s="403"/>
      <c r="DC111" s="403" t="s">
        <v>7429</v>
      </c>
      <c r="DD111" s="403" t="s">
        <v>12653</v>
      </c>
      <c r="DE111" s="403"/>
      <c r="DF111" s="403"/>
      <c r="DG111" s="403"/>
      <c r="DH111" s="403"/>
      <c r="DI111" s="403"/>
      <c r="DJ111" s="403"/>
      <c r="DK111" s="403"/>
      <c r="DL111" s="403"/>
      <c r="DM111" s="403"/>
      <c r="DN111" s="403"/>
    </row>
    <row r="112" spans="1:118" s="241" customFormat="1" hidden="1" x14ac:dyDescent="0.2">
      <c r="B112" s="645" t="s">
        <v>14117</v>
      </c>
      <c r="N112" s="403"/>
      <c r="O112" s="403"/>
      <c r="P112" s="403"/>
      <c r="Q112" s="403"/>
      <c r="R112" s="403"/>
      <c r="S112" s="403"/>
      <c r="T112" s="403"/>
      <c r="U112" s="403"/>
      <c r="V112" s="403"/>
      <c r="W112" s="403"/>
      <c r="X112" s="403"/>
      <c r="Y112" s="403"/>
      <c r="Z112" s="403"/>
      <c r="AA112" s="403"/>
      <c r="AB112" s="403"/>
      <c r="AC112" s="564"/>
      <c r="AD112" s="403"/>
      <c r="AE112" s="403"/>
      <c r="AF112" s="403"/>
      <c r="AG112" s="403"/>
      <c r="AH112" s="403"/>
      <c r="AI112" s="403"/>
      <c r="AJ112" s="403"/>
      <c r="AK112" s="403"/>
      <c r="AL112" s="403"/>
      <c r="AM112" s="403"/>
      <c r="AN112" s="403"/>
      <c r="AO112" s="403"/>
      <c r="AP112" s="403"/>
      <c r="AQ112" s="403"/>
      <c r="AR112" s="403"/>
      <c r="AS112" s="403"/>
      <c r="AT112" s="403"/>
      <c r="AU112" s="403"/>
      <c r="AV112" s="403"/>
      <c r="AW112" s="403"/>
      <c r="AX112" s="403"/>
      <c r="AY112" s="403"/>
      <c r="AZ112" s="403"/>
      <c r="BA112" s="403"/>
      <c r="BB112" s="403"/>
      <c r="BC112" s="403"/>
      <c r="BD112" s="403"/>
      <c r="BE112" s="403"/>
      <c r="BF112" s="403"/>
      <c r="BG112" s="403"/>
      <c r="BH112" s="403"/>
      <c r="BI112" s="403"/>
      <c r="BJ112" s="403"/>
      <c r="BK112" s="403"/>
      <c r="BL112" s="403"/>
      <c r="BM112" s="403"/>
      <c r="BN112" s="403"/>
      <c r="BO112" s="403"/>
      <c r="BP112" s="403"/>
      <c r="BQ112" s="403"/>
      <c r="BR112" s="403"/>
      <c r="BS112" s="403"/>
      <c r="BT112" s="403"/>
      <c r="BU112" s="403"/>
      <c r="BV112" s="403"/>
      <c r="BW112" s="403"/>
      <c r="BX112" s="403"/>
      <c r="BY112" s="403"/>
      <c r="BZ112" s="403"/>
      <c r="CA112" s="403"/>
      <c r="CB112" s="403"/>
      <c r="CC112" s="403"/>
      <c r="CD112" s="403"/>
      <c r="CE112" s="403"/>
      <c r="CF112" s="403"/>
      <c r="CG112" s="403"/>
      <c r="CH112" s="403"/>
      <c r="CI112" s="403"/>
      <c r="CJ112" s="403"/>
      <c r="CK112" s="403"/>
      <c r="CL112" s="403"/>
      <c r="CM112" s="403"/>
      <c r="CN112" s="403"/>
      <c r="CO112" s="403"/>
      <c r="CP112" s="403"/>
      <c r="CQ112" s="403"/>
      <c r="CR112" s="403"/>
      <c r="CS112" s="403"/>
      <c r="CT112" s="403"/>
      <c r="CU112" s="403"/>
      <c r="CV112" s="403"/>
      <c r="CW112" s="403"/>
      <c r="CX112" s="403"/>
      <c r="CY112" s="403"/>
      <c r="CZ112" s="403"/>
      <c r="DA112" s="403"/>
      <c r="DB112" s="403"/>
      <c r="DC112" s="403"/>
      <c r="DD112" s="403"/>
      <c r="DE112" s="403"/>
      <c r="DF112" s="403"/>
      <c r="DG112" s="403"/>
      <c r="DH112" s="403"/>
      <c r="DI112" s="403"/>
      <c r="DJ112" s="403"/>
      <c r="DK112" s="403"/>
      <c r="DL112" s="403"/>
      <c r="DM112" s="403"/>
      <c r="DN112" s="403"/>
    </row>
    <row r="113" spans="2:118" s="241" customFormat="1" hidden="1" x14ac:dyDescent="0.2">
      <c r="B113" s="645" t="s">
        <v>14117</v>
      </c>
      <c r="C113" s="5" t="str">
        <f t="shared" ref="C113:D116" ca="1" si="29">IF(OFFSET(Q113,0,Lang_Order*Lang__R1)="","",OFFSET(Q113,0,Lang_Order*Lang__R1))</f>
        <v>Delivery Modality 1</v>
      </c>
      <c r="D113" s="241" t="str">
        <f t="shared" ca="1" si="29"/>
        <v>(lower variant)</v>
      </c>
      <c r="G113" s="241" t="e">
        <f>'B5. Last Mile Delivery'!AI108</f>
        <v>#N/A</v>
      </c>
      <c r="H113" s="241" t="e">
        <f>'B5. Last Mile Delivery'!AJ108</f>
        <v>#N/A</v>
      </c>
      <c r="I113" s="241" t="e">
        <f>'B5. Last Mile Delivery'!AK108</f>
        <v>#N/A</v>
      </c>
      <c r="J113" s="241" t="e">
        <f>'B5. Last Mile Delivery'!AL108</f>
        <v>#N/A</v>
      </c>
      <c r="K113" s="241" t="e">
        <f>'B5. Last Mile Delivery'!AM108</f>
        <v>#N/A</v>
      </c>
      <c r="L113" s="241" t="e">
        <f>'B5. Last Mile Delivery'!AN108</f>
        <v>#N/A</v>
      </c>
      <c r="N113" s="403"/>
      <c r="O113" s="403"/>
      <c r="P113" s="403"/>
      <c r="Q113" s="403" t="s">
        <v>1632</v>
      </c>
      <c r="R113" s="403" t="s">
        <v>3057</v>
      </c>
      <c r="S113" s="403"/>
      <c r="T113" s="403"/>
      <c r="U113" s="403"/>
      <c r="V113" s="403"/>
      <c r="W113" s="403"/>
      <c r="X113" s="403"/>
      <c r="Y113" s="403"/>
      <c r="Z113" s="403"/>
      <c r="AA113" s="403"/>
      <c r="AB113" s="403"/>
      <c r="AC113" s="564"/>
      <c r="AD113" s="403"/>
      <c r="AE113" s="403"/>
      <c r="AF113" s="403" t="s">
        <v>7476</v>
      </c>
      <c r="AG113" s="403" t="s">
        <v>12654</v>
      </c>
      <c r="AH113" s="403"/>
      <c r="AI113" s="403"/>
      <c r="AJ113" s="403"/>
      <c r="AK113" s="403"/>
      <c r="AL113" s="403"/>
      <c r="AM113" s="403"/>
      <c r="AN113" s="403"/>
      <c r="AO113" s="403"/>
      <c r="AP113" s="403"/>
      <c r="AQ113" s="403"/>
      <c r="AR113" s="403"/>
      <c r="AS113" s="403"/>
      <c r="AT113" s="403"/>
      <c r="AU113" s="403" t="s">
        <v>9664</v>
      </c>
      <c r="AV113" s="403" t="s">
        <v>12655</v>
      </c>
      <c r="AW113" s="403"/>
      <c r="AX113" s="403"/>
      <c r="AY113" s="403"/>
      <c r="AZ113" s="403"/>
      <c r="BA113" s="403"/>
      <c r="BB113" s="403"/>
      <c r="BC113" s="403"/>
      <c r="BD113" s="403"/>
      <c r="BE113" s="403"/>
      <c r="BF113" s="403"/>
      <c r="BG113" s="403"/>
      <c r="BH113" s="403"/>
      <c r="BI113" s="403"/>
      <c r="BJ113" s="403" t="s">
        <v>9666</v>
      </c>
      <c r="BK113" s="403" t="s">
        <v>12656</v>
      </c>
      <c r="BL113" s="403"/>
      <c r="BM113" s="403"/>
      <c r="BN113" s="403"/>
      <c r="BO113" s="403"/>
      <c r="BP113" s="403"/>
      <c r="BQ113" s="403"/>
      <c r="BR113" s="403"/>
      <c r="BS113" s="403"/>
      <c r="BT113" s="403"/>
      <c r="BU113" s="403"/>
      <c r="BV113" s="403"/>
      <c r="BW113" s="403"/>
      <c r="BX113" s="403"/>
      <c r="BY113" s="403" t="s">
        <v>7479</v>
      </c>
      <c r="BZ113" s="403" t="s">
        <v>12657</v>
      </c>
      <c r="CA113" s="403"/>
      <c r="CB113" s="403"/>
      <c r="CC113" s="403"/>
      <c r="CD113" s="403"/>
      <c r="CE113" s="403"/>
      <c r="CF113" s="403"/>
      <c r="CG113" s="403"/>
      <c r="CH113" s="403"/>
      <c r="CI113" s="403"/>
      <c r="CJ113" s="403"/>
      <c r="CK113" s="403"/>
      <c r="CL113" s="403"/>
      <c r="CM113" s="403"/>
      <c r="CN113" s="403" t="s">
        <v>7480</v>
      </c>
      <c r="CO113" s="403" t="s">
        <v>12658</v>
      </c>
      <c r="CP113" s="403"/>
      <c r="CQ113" s="403"/>
      <c r="CR113" s="403"/>
      <c r="CS113" s="403"/>
      <c r="CT113" s="403"/>
      <c r="CU113" s="403"/>
      <c r="CV113" s="403"/>
      <c r="CW113" s="403"/>
      <c r="CX113" s="403"/>
      <c r="CY113" s="403"/>
      <c r="CZ113" s="403"/>
      <c r="DA113" s="403"/>
      <c r="DB113" s="403"/>
      <c r="DC113" s="403" t="s">
        <v>7481</v>
      </c>
      <c r="DD113" s="403" t="s">
        <v>12659</v>
      </c>
      <c r="DE113" s="403"/>
      <c r="DF113" s="403"/>
      <c r="DG113" s="403"/>
      <c r="DH113" s="403"/>
      <c r="DI113" s="403"/>
      <c r="DJ113" s="403"/>
      <c r="DK113" s="403"/>
      <c r="DL113" s="403"/>
      <c r="DM113" s="403"/>
      <c r="DN113" s="403"/>
    </row>
    <row r="114" spans="2:118" s="241" customFormat="1" hidden="1" x14ac:dyDescent="0.2">
      <c r="B114" s="645" t="s">
        <v>14117</v>
      </c>
      <c r="C114" s="5" t="str">
        <f t="shared" ca="1" si="29"/>
        <v>Delivery Modality 2</v>
      </c>
      <c r="D114" s="241" t="str">
        <f t="shared" ca="1" si="29"/>
        <v>(lower variant)</v>
      </c>
      <c r="G114" s="241" t="e">
        <f>'B5. Last Mile Delivery'!AI160</f>
        <v>#N/A</v>
      </c>
      <c r="H114" s="241" t="e">
        <f>'B5. Last Mile Delivery'!AJ160</f>
        <v>#N/A</v>
      </c>
      <c r="I114" s="241" t="e">
        <f>'B5. Last Mile Delivery'!AK160</f>
        <v>#N/A</v>
      </c>
      <c r="J114" s="241" t="e">
        <f>'B5. Last Mile Delivery'!AL160</f>
        <v>#N/A</v>
      </c>
      <c r="K114" s="241" t="e">
        <f>'B5. Last Mile Delivery'!AM160</f>
        <v>#N/A</v>
      </c>
      <c r="L114" s="241" t="e">
        <f>'B5. Last Mile Delivery'!AN160</f>
        <v>#N/A</v>
      </c>
      <c r="N114" s="403"/>
      <c r="O114" s="403"/>
      <c r="P114" s="403"/>
      <c r="Q114" s="403" t="s">
        <v>1639</v>
      </c>
      <c r="R114" s="403" t="s">
        <v>3057</v>
      </c>
      <c r="S114" s="403"/>
      <c r="T114" s="403"/>
      <c r="U114" s="403"/>
      <c r="V114" s="403"/>
      <c r="W114" s="403"/>
      <c r="X114" s="403"/>
      <c r="Y114" s="403"/>
      <c r="Z114" s="403"/>
      <c r="AA114" s="403"/>
      <c r="AB114" s="403"/>
      <c r="AC114" s="564"/>
      <c r="AD114" s="403"/>
      <c r="AE114" s="403"/>
      <c r="AF114" s="403" t="s">
        <v>7482</v>
      </c>
      <c r="AG114" s="403" t="s">
        <v>12654</v>
      </c>
      <c r="AH114" s="403"/>
      <c r="AI114" s="403"/>
      <c r="AJ114" s="403"/>
      <c r="AK114" s="403"/>
      <c r="AL114" s="403"/>
      <c r="AM114" s="403"/>
      <c r="AN114" s="403"/>
      <c r="AO114" s="403"/>
      <c r="AP114" s="403"/>
      <c r="AQ114" s="403"/>
      <c r="AR114" s="403"/>
      <c r="AS114" s="403"/>
      <c r="AT114" s="403"/>
      <c r="AU114" s="403" t="s">
        <v>9672</v>
      </c>
      <c r="AV114" s="403" t="s">
        <v>12655</v>
      </c>
      <c r="AW114" s="403"/>
      <c r="AX114" s="403"/>
      <c r="AY114" s="403"/>
      <c r="AZ114" s="403"/>
      <c r="BA114" s="403"/>
      <c r="BB114" s="403"/>
      <c r="BC114" s="403"/>
      <c r="BD114" s="403"/>
      <c r="BE114" s="403"/>
      <c r="BF114" s="403"/>
      <c r="BG114" s="403"/>
      <c r="BH114" s="403"/>
      <c r="BI114" s="403"/>
      <c r="BJ114" s="403" t="s">
        <v>9673</v>
      </c>
      <c r="BK114" s="403" t="s">
        <v>12656</v>
      </c>
      <c r="BL114" s="403"/>
      <c r="BM114" s="403"/>
      <c r="BN114" s="403"/>
      <c r="BO114" s="403"/>
      <c r="BP114" s="403"/>
      <c r="BQ114" s="403"/>
      <c r="BR114" s="403"/>
      <c r="BS114" s="403"/>
      <c r="BT114" s="403"/>
      <c r="BU114" s="403"/>
      <c r="BV114" s="403"/>
      <c r="BW114" s="403"/>
      <c r="BX114" s="403"/>
      <c r="BY114" s="403" t="s">
        <v>7485</v>
      </c>
      <c r="BZ114" s="403" t="s">
        <v>12657</v>
      </c>
      <c r="CA114" s="403"/>
      <c r="CB114" s="403"/>
      <c r="CC114" s="403"/>
      <c r="CD114" s="403"/>
      <c r="CE114" s="403"/>
      <c r="CF114" s="403"/>
      <c r="CG114" s="403"/>
      <c r="CH114" s="403"/>
      <c r="CI114" s="403"/>
      <c r="CJ114" s="403"/>
      <c r="CK114" s="403"/>
      <c r="CL114" s="403"/>
      <c r="CM114" s="403"/>
      <c r="CN114" s="403" t="s">
        <v>7486</v>
      </c>
      <c r="CO114" s="403" t="s">
        <v>12658</v>
      </c>
      <c r="CP114" s="403"/>
      <c r="CQ114" s="403"/>
      <c r="CR114" s="403"/>
      <c r="CS114" s="403"/>
      <c r="CT114" s="403"/>
      <c r="CU114" s="403"/>
      <c r="CV114" s="403"/>
      <c r="CW114" s="403"/>
      <c r="CX114" s="403"/>
      <c r="CY114" s="403"/>
      <c r="CZ114" s="403"/>
      <c r="DA114" s="403"/>
      <c r="DB114" s="403"/>
      <c r="DC114" s="403" t="s">
        <v>7487</v>
      </c>
      <c r="DD114" s="403" t="s">
        <v>12659</v>
      </c>
      <c r="DE114" s="403"/>
      <c r="DF114" s="403"/>
      <c r="DG114" s="403"/>
      <c r="DH114" s="403"/>
      <c r="DI114" s="403"/>
      <c r="DJ114" s="403"/>
      <c r="DK114" s="403"/>
      <c r="DL114" s="403"/>
      <c r="DM114" s="403"/>
      <c r="DN114" s="403"/>
    </row>
    <row r="115" spans="2:118" s="241" customFormat="1" hidden="1" x14ac:dyDescent="0.2">
      <c r="B115" s="645" t="s">
        <v>14117</v>
      </c>
      <c r="C115" s="5" t="str">
        <f t="shared" ca="1" si="29"/>
        <v>Delivery Modality 3</v>
      </c>
      <c r="D115" s="241" t="str">
        <f t="shared" ca="1" si="29"/>
        <v>(lower variant)</v>
      </c>
      <c r="G115" s="241" t="e">
        <f>'B5. Last Mile Delivery'!AI208</f>
        <v>#N/A</v>
      </c>
      <c r="H115" s="241" t="e">
        <f>'B5. Last Mile Delivery'!AJ208</f>
        <v>#N/A</v>
      </c>
      <c r="I115" s="241" t="e">
        <f>'B5. Last Mile Delivery'!AK208</f>
        <v>#N/A</v>
      </c>
      <c r="J115" s="241" t="e">
        <f>'B5. Last Mile Delivery'!AL208</f>
        <v>#N/A</v>
      </c>
      <c r="K115" s="241" t="e">
        <f>'B5. Last Mile Delivery'!AM208</f>
        <v>#N/A</v>
      </c>
      <c r="L115" s="241" t="e">
        <f>'B5. Last Mile Delivery'!AN208</f>
        <v>#N/A</v>
      </c>
      <c r="N115" s="403"/>
      <c r="O115" s="403"/>
      <c r="P115" s="403"/>
      <c r="Q115" s="403" t="s">
        <v>1564</v>
      </c>
      <c r="R115" s="403" t="s">
        <v>3057</v>
      </c>
      <c r="S115" s="403"/>
      <c r="T115" s="403"/>
      <c r="U115" s="403"/>
      <c r="V115" s="403"/>
      <c r="W115" s="403"/>
      <c r="X115" s="403"/>
      <c r="Y115" s="403"/>
      <c r="Z115" s="403"/>
      <c r="AA115" s="403"/>
      <c r="AB115" s="403"/>
      <c r="AC115" s="564"/>
      <c r="AD115" s="403"/>
      <c r="AE115" s="403"/>
      <c r="AF115" s="403" t="s">
        <v>7418</v>
      </c>
      <c r="AG115" s="403" t="s">
        <v>12654</v>
      </c>
      <c r="AH115" s="403"/>
      <c r="AI115" s="403"/>
      <c r="AJ115" s="403"/>
      <c r="AK115" s="403"/>
      <c r="AL115" s="403"/>
      <c r="AM115" s="403"/>
      <c r="AN115" s="403"/>
      <c r="AO115" s="403"/>
      <c r="AP115" s="403"/>
      <c r="AQ115" s="403"/>
      <c r="AR115" s="403"/>
      <c r="AS115" s="403"/>
      <c r="AT115" s="403"/>
      <c r="AU115" s="403" t="s">
        <v>9676</v>
      </c>
      <c r="AV115" s="403" t="s">
        <v>12655</v>
      </c>
      <c r="AW115" s="403"/>
      <c r="AX115" s="403"/>
      <c r="AY115" s="403"/>
      <c r="AZ115" s="403"/>
      <c r="BA115" s="403"/>
      <c r="BB115" s="403"/>
      <c r="BC115" s="403"/>
      <c r="BD115" s="403"/>
      <c r="BE115" s="403"/>
      <c r="BF115" s="403"/>
      <c r="BG115" s="403"/>
      <c r="BH115" s="403"/>
      <c r="BI115" s="403"/>
      <c r="BJ115" s="403" t="s">
        <v>7420</v>
      </c>
      <c r="BK115" s="403" t="s">
        <v>12656</v>
      </c>
      <c r="BL115" s="403"/>
      <c r="BM115" s="403"/>
      <c r="BN115" s="403"/>
      <c r="BO115" s="403"/>
      <c r="BP115" s="403"/>
      <c r="BQ115" s="403"/>
      <c r="BR115" s="403"/>
      <c r="BS115" s="403"/>
      <c r="BT115" s="403"/>
      <c r="BU115" s="403"/>
      <c r="BV115" s="403"/>
      <c r="BW115" s="403"/>
      <c r="BX115" s="403"/>
      <c r="BY115" s="403" t="s">
        <v>7489</v>
      </c>
      <c r="BZ115" s="403" t="s">
        <v>12657</v>
      </c>
      <c r="CA115" s="403"/>
      <c r="CB115" s="403"/>
      <c r="CC115" s="403"/>
      <c r="CD115" s="403"/>
      <c r="CE115" s="403"/>
      <c r="CF115" s="403"/>
      <c r="CG115" s="403"/>
      <c r="CH115" s="403"/>
      <c r="CI115" s="403"/>
      <c r="CJ115" s="403"/>
      <c r="CK115" s="403"/>
      <c r="CL115" s="403"/>
      <c r="CM115" s="403"/>
      <c r="CN115" s="403" t="s">
        <v>7422</v>
      </c>
      <c r="CO115" s="403" t="s">
        <v>12658</v>
      </c>
      <c r="CP115" s="403"/>
      <c r="CQ115" s="403"/>
      <c r="CR115" s="403"/>
      <c r="CS115" s="403"/>
      <c r="CT115" s="403"/>
      <c r="CU115" s="403"/>
      <c r="CV115" s="403"/>
      <c r="CW115" s="403"/>
      <c r="CX115" s="403"/>
      <c r="CY115" s="403"/>
      <c r="CZ115" s="403"/>
      <c r="DA115" s="403"/>
      <c r="DB115" s="403"/>
      <c r="DC115" s="403" t="s">
        <v>7423</v>
      </c>
      <c r="DD115" s="403" t="s">
        <v>12659</v>
      </c>
      <c r="DE115" s="403"/>
      <c r="DF115" s="403"/>
      <c r="DG115" s="403"/>
      <c r="DH115" s="403"/>
      <c r="DI115" s="403"/>
      <c r="DJ115" s="403"/>
      <c r="DK115" s="403"/>
      <c r="DL115" s="403"/>
      <c r="DM115" s="403"/>
      <c r="DN115" s="403"/>
    </row>
    <row r="116" spans="2:118" s="241" customFormat="1" hidden="1" x14ac:dyDescent="0.2">
      <c r="B116" s="645" t="s">
        <v>14117</v>
      </c>
      <c r="C116" s="5" t="str">
        <f t="shared" ca="1" si="29"/>
        <v>Delivery Modality 4</v>
      </c>
      <c r="D116" s="241" t="str">
        <f t="shared" ca="1" si="29"/>
        <v>(lower variant)</v>
      </c>
      <c r="G116" s="241" t="e">
        <f>'B5. Last Mile Delivery'!AI280</f>
        <v>#N/A</v>
      </c>
      <c r="H116" s="241" t="e">
        <f>'B5. Last Mile Delivery'!AJ280</f>
        <v>#N/A</v>
      </c>
      <c r="I116" s="241" t="e">
        <f>'B5. Last Mile Delivery'!AK280</f>
        <v>#N/A</v>
      </c>
      <c r="J116" s="241" t="e">
        <f>'B5. Last Mile Delivery'!AL280</f>
        <v>#N/A</v>
      </c>
      <c r="K116" s="241" t="e">
        <f>'B5. Last Mile Delivery'!AM280</f>
        <v>#N/A</v>
      </c>
      <c r="L116" s="241" t="e">
        <f>'B5. Last Mile Delivery'!AN280</f>
        <v>#N/A</v>
      </c>
      <c r="N116" s="403"/>
      <c r="O116" s="403"/>
      <c r="P116" s="403"/>
      <c r="Q116" s="403" t="s">
        <v>1565</v>
      </c>
      <c r="R116" s="403" t="s">
        <v>3057</v>
      </c>
      <c r="S116" s="403"/>
      <c r="T116" s="403"/>
      <c r="U116" s="403"/>
      <c r="V116" s="403"/>
      <c r="W116" s="403"/>
      <c r="X116" s="403"/>
      <c r="Y116" s="403"/>
      <c r="Z116" s="403"/>
      <c r="AA116" s="403"/>
      <c r="AB116" s="403"/>
      <c r="AC116" s="564"/>
      <c r="AD116" s="403"/>
      <c r="AE116" s="403"/>
      <c r="AF116" s="403" t="s">
        <v>7424</v>
      </c>
      <c r="AG116" s="403" t="s">
        <v>12654</v>
      </c>
      <c r="AH116" s="403"/>
      <c r="AI116" s="403"/>
      <c r="AJ116" s="403"/>
      <c r="AK116" s="403"/>
      <c r="AL116" s="403"/>
      <c r="AM116" s="403"/>
      <c r="AN116" s="403"/>
      <c r="AO116" s="403"/>
      <c r="AP116" s="403"/>
      <c r="AQ116" s="403"/>
      <c r="AR116" s="403"/>
      <c r="AS116" s="403"/>
      <c r="AT116" s="403"/>
      <c r="AU116" s="403" t="s">
        <v>9726</v>
      </c>
      <c r="AV116" s="403" t="s">
        <v>12655</v>
      </c>
      <c r="AW116" s="403"/>
      <c r="AX116" s="403"/>
      <c r="AY116" s="403"/>
      <c r="AZ116" s="403"/>
      <c r="BA116" s="403"/>
      <c r="BB116" s="403"/>
      <c r="BC116" s="403"/>
      <c r="BD116" s="403"/>
      <c r="BE116" s="403"/>
      <c r="BF116" s="403"/>
      <c r="BG116" s="403"/>
      <c r="BH116" s="403"/>
      <c r="BI116" s="403"/>
      <c r="BJ116" s="403" t="s">
        <v>7426</v>
      </c>
      <c r="BK116" s="403" t="s">
        <v>12656</v>
      </c>
      <c r="BL116" s="403"/>
      <c r="BM116" s="403"/>
      <c r="BN116" s="403"/>
      <c r="BO116" s="403"/>
      <c r="BP116" s="403"/>
      <c r="BQ116" s="403"/>
      <c r="BR116" s="403"/>
      <c r="BS116" s="403"/>
      <c r="BT116" s="403"/>
      <c r="BU116" s="403"/>
      <c r="BV116" s="403"/>
      <c r="BW116" s="403"/>
      <c r="BX116" s="403"/>
      <c r="BY116" s="403" t="s">
        <v>7491</v>
      </c>
      <c r="BZ116" s="403" t="s">
        <v>12657</v>
      </c>
      <c r="CA116" s="403"/>
      <c r="CB116" s="403"/>
      <c r="CC116" s="403"/>
      <c r="CD116" s="403"/>
      <c r="CE116" s="403"/>
      <c r="CF116" s="403"/>
      <c r="CG116" s="403"/>
      <c r="CH116" s="403"/>
      <c r="CI116" s="403"/>
      <c r="CJ116" s="403"/>
      <c r="CK116" s="403"/>
      <c r="CL116" s="403"/>
      <c r="CM116" s="403"/>
      <c r="CN116" s="403" t="s">
        <v>7428</v>
      </c>
      <c r="CO116" s="403" t="s">
        <v>12658</v>
      </c>
      <c r="CP116" s="403"/>
      <c r="CQ116" s="403"/>
      <c r="CR116" s="403"/>
      <c r="CS116" s="403"/>
      <c r="CT116" s="403"/>
      <c r="CU116" s="403"/>
      <c r="CV116" s="403"/>
      <c r="CW116" s="403"/>
      <c r="CX116" s="403"/>
      <c r="CY116" s="403"/>
      <c r="CZ116" s="403"/>
      <c r="DA116" s="403"/>
      <c r="DB116" s="403"/>
      <c r="DC116" s="403" t="s">
        <v>7429</v>
      </c>
      <c r="DD116" s="403" t="s">
        <v>12659</v>
      </c>
      <c r="DE116" s="403"/>
      <c r="DF116" s="403"/>
      <c r="DG116" s="403"/>
      <c r="DH116" s="403"/>
      <c r="DI116" s="403"/>
      <c r="DJ116" s="403"/>
      <c r="DK116" s="403"/>
      <c r="DL116" s="403"/>
      <c r="DM116" s="403"/>
      <c r="DN116" s="403"/>
    </row>
    <row r="117" spans="2:118" s="241" customFormat="1" hidden="1" x14ac:dyDescent="0.2">
      <c r="B117" s="645" t="s">
        <v>14117</v>
      </c>
      <c r="N117" s="403"/>
      <c r="O117" s="403"/>
      <c r="P117" s="403"/>
      <c r="Q117" s="403"/>
      <c r="R117" s="403"/>
      <c r="S117" s="403"/>
      <c r="T117" s="403"/>
      <c r="U117" s="403"/>
      <c r="V117" s="403"/>
      <c r="W117" s="403"/>
      <c r="X117" s="403"/>
      <c r="Y117" s="403"/>
      <c r="Z117" s="403"/>
      <c r="AA117" s="403"/>
      <c r="AB117" s="403"/>
      <c r="AC117" s="564"/>
      <c r="AD117" s="403"/>
      <c r="AE117" s="403"/>
      <c r="AF117" s="403"/>
      <c r="AG117" s="403"/>
      <c r="AH117" s="403"/>
      <c r="AI117" s="403"/>
      <c r="AJ117" s="403"/>
      <c r="AK117" s="403"/>
      <c r="AL117" s="403"/>
      <c r="AM117" s="403"/>
      <c r="AN117" s="403"/>
      <c r="AO117" s="403"/>
      <c r="AP117" s="403"/>
      <c r="AQ117" s="403"/>
      <c r="AR117" s="403"/>
      <c r="AS117" s="403"/>
      <c r="AT117" s="403"/>
      <c r="AU117" s="403"/>
      <c r="AV117" s="403"/>
      <c r="AW117" s="403"/>
      <c r="AX117" s="403"/>
      <c r="AY117" s="403"/>
      <c r="AZ117" s="403"/>
      <c r="BA117" s="403"/>
      <c r="BB117" s="403"/>
      <c r="BC117" s="403"/>
      <c r="BD117" s="403"/>
      <c r="BE117" s="403"/>
      <c r="BF117" s="403"/>
      <c r="BG117" s="403"/>
      <c r="BH117" s="403"/>
      <c r="BI117" s="403"/>
      <c r="BJ117" s="403"/>
      <c r="BK117" s="403"/>
      <c r="BL117" s="403"/>
      <c r="BM117" s="403"/>
      <c r="BN117" s="403"/>
      <c r="BO117" s="403"/>
      <c r="BP117" s="403"/>
      <c r="BQ117" s="403"/>
      <c r="BR117" s="403"/>
      <c r="BS117" s="403"/>
      <c r="BT117" s="403"/>
      <c r="BU117" s="403"/>
      <c r="BV117" s="403"/>
      <c r="BW117" s="403"/>
      <c r="BX117" s="403"/>
      <c r="BY117" s="403"/>
      <c r="BZ117" s="403"/>
      <c r="CA117" s="403"/>
      <c r="CB117" s="403"/>
      <c r="CC117" s="403"/>
      <c r="CD117" s="403"/>
      <c r="CE117" s="403"/>
      <c r="CF117" s="403"/>
      <c r="CG117" s="403"/>
      <c r="CH117" s="403"/>
      <c r="CI117" s="403"/>
      <c r="CJ117" s="403"/>
      <c r="CK117" s="403"/>
      <c r="CL117" s="403"/>
      <c r="CM117" s="403"/>
      <c r="CN117" s="403"/>
      <c r="CO117" s="403"/>
      <c r="CP117" s="403"/>
      <c r="CQ117" s="403"/>
      <c r="CR117" s="403"/>
      <c r="CS117" s="403"/>
      <c r="CT117" s="403"/>
      <c r="CU117" s="403"/>
      <c r="CV117" s="403"/>
      <c r="CW117" s="403"/>
      <c r="CX117" s="403"/>
      <c r="CY117" s="403"/>
      <c r="CZ117" s="403"/>
      <c r="DA117" s="403"/>
      <c r="DB117" s="403"/>
      <c r="DC117" s="403"/>
      <c r="DD117" s="403"/>
      <c r="DE117" s="403"/>
      <c r="DF117" s="403"/>
      <c r="DG117" s="403"/>
      <c r="DH117" s="403"/>
      <c r="DI117" s="403"/>
      <c r="DJ117" s="403"/>
      <c r="DK117" s="403"/>
      <c r="DL117" s="403"/>
      <c r="DM117" s="403"/>
      <c r="DN117" s="403"/>
    </row>
    <row r="118" spans="2:118" x14ac:dyDescent="0.2">
      <c r="C118" s="5" t="str">
        <f t="shared" ref="C118:D121" ca="1" si="30">IF(OFFSET(Q118,0,Lang_Order*Lang__R1)="","",OFFSET(Q118,0,Lang_Order*Lang__R1))</f>
        <v>Delivery Modality 1</v>
      </c>
      <c r="D118" s="2" t="str">
        <f t="shared" ca="1" si="30"/>
        <v>(medium variant)</v>
      </c>
      <c r="G118" t="e">
        <f t="shared" ref="G118:L120" si="31">(ROUNDDOWN(G103/HRH_DaysPerWeek,0)*7)+MOD(G103,HRH_DaysPerWeek)</f>
        <v>#N/A</v>
      </c>
      <c r="H118" s="150" t="e">
        <f t="shared" si="31"/>
        <v>#N/A</v>
      </c>
      <c r="I118" s="150" t="e">
        <f t="shared" si="31"/>
        <v>#N/A</v>
      </c>
      <c r="J118" s="150" t="e">
        <f t="shared" si="31"/>
        <v>#N/A</v>
      </c>
      <c r="K118" s="150" t="e">
        <f t="shared" si="31"/>
        <v>#N/A</v>
      </c>
      <c r="L118" s="150" t="e">
        <f t="shared" si="31"/>
        <v>#N/A</v>
      </c>
      <c r="Q118" s="403" t="s">
        <v>1632</v>
      </c>
      <c r="R118" s="403" t="s">
        <v>3055</v>
      </c>
      <c r="AF118" s="403" t="s">
        <v>7476</v>
      </c>
      <c r="AG118" s="403" t="s">
        <v>12642</v>
      </c>
      <c r="AU118" s="403" t="s">
        <v>9664</v>
      </c>
      <c r="AV118" s="403" t="s">
        <v>12643</v>
      </c>
      <c r="BJ118" s="403" t="s">
        <v>9666</v>
      </c>
      <c r="BK118" s="403" t="s">
        <v>12644</v>
      </c>
      <c r="BY118" s="403" t="s">
        <v>7479</v>
      </c>
      <c r="BZ118" s="403" t="s">
        <v>12645</v>
      </c>
      <c r="CN118" s="403" t="s">
        <v>7480</v>
      </c>
      <c r="CO118" s="403" t="s">
        <v>12646</v>
      </c>
      <c r="DC118" s="403" t="s">
        <v>7481</v>
      </c>
      <c r="DD118" s="403" t="s">
        <v>12647</v>
      </c>
    </row>
    <row r="119" spans="2:118" x14ac:dyDescent="0.2">
      <c r="C119" s="5" t="str">
        <f t="shared" ca="1" si="30"/>
        <v>Delivery Modality 2</v>
      </c>
      <c r="D119" s="2" t="str">
        <f t="shared" ca="1" si="30"/>
        <v>(medium variant)</v>
      </c>
      <c r="G119" s="150" t="e">
        <f t="shared" si="31"/>
        <v>#N/A</v>
      </c>
      <c r="H119" s="150" t="e">
        <f t="shared" si="31"/>
        <v>#N/A</v>
      </c>
      <c r="I119" s="150" t="e">
        <f t="shared" si="31"/>
        <v>#N/A</v>
      </c>
      <c r="J119" s="150" t="e">
        <f t="shared" si="31"/>
        <v>#N/A</v>
      </c>
      <c r="K119" s="150" t="e">
        <f t="shared" si="31"/>
        <v>#N/A</v>
      </c>
      <c r="L119" s="150" t="e">
        <f t="shared" si="31"/>
        <v>#N/A</v>
      </c>
      <c r="Q119" s="403" t="s">
        <v>1639</v>
      </c>
      <c r="R119" s="403" t="s">
        <v>3055</v>
      </c>
      <c r="AF119" s="403" t="s">
        <v>7482</v>
      </c>
      <c r="AG119" s="403" t="s">
        <v>12642</v>
      </c>
      <c r="AU119" s="403" t="s">
        <v>9672</v>
      </c>
      <c r="AV119" s="403" t="s">
        <v>12643</v>
      </c>
      <c r="BJ119" s="403" t="s">
        <v>9673</v>
      </c>
      <c r="BK119" s="403" t="s">
        <v>12644</v>
      </c>
      <c r="BY119" s="403" t="s">
        <v>7485</v>
      </c>
      <c r="BZ119" s="403" t="s">
        <v>12645</v>
      </c>
      <c r="CN119" s="403" t="s">
        <v>7486</v>
      </c>
      <c r="CO119" s="403" t="s">
        <v>12646</v>
      </c>
      <c r="DC119" s="403" t="s">
        <v>7487</v>
      </c>
      <c r="DD119" s="403" t="s">
        <v>12647</v>
      </c>
    </row>
    <row r="120" spans="2:118" x14ac:dyDescent="0.2">
      <c r="C120" s="5" t="str">
        <f t="shared" ca="1" si="30"/>
        <v>Delivery Modality 3</v>
      </c>
      <c r="D120" s="2" t="str">
        <f t="shared" ca="1" si="30"/>
        <v>(medium variant)</v>
      </c>
      <c r="G120" s="150" t="e">
        <f t="shared" si="31"/>
        <v>#N/A</v>
      </c>
      <c r="H120" s="150" t="e">
        <f t="shared" si="31"/>
        <v>#N/A</v>
      </c>
      <c r="I120" s="150" t="e">
        <f t="shared" si="31"/>
        <v>#N/A</v>
      </c>
      <c r="J120" s="150" t="e">
        <f t="shared" si="31"/>
        <v>#N/A</v>
      </c>
      <c r="K120" s="150" t="e">
        <f t="shared" si="31"/>
        <v>#N/A</v>
      </c>
      <c r="L120" s="150" t="e">
        <f t="shared" si="31"/>
        <v>#N/A</v>
      </c>
      <c r="Q120" s="403" t="s">
        <v>1564</v>
      </c>
      <c r="R120" s="403" t="s">
        <v>3055</v>
      </c>
      <c r="AF120" s="403" t="s">
        <v>7418</v>
      </c>
      <c r="AG120" s="403" t="s">
        <v>12642</v>
      </c>
      <c r="AU120" s="403" t="s">
        <v>9676</v>
      </c>
      <c r="AV120" s="403" t="s">
        <v>12643</v>
      </c>
      <c r="BJ120" s="403" t="s">
        <v>7420</v>
      </c>
      <c r="BK120" s="403" t="s">
        <v>12644</v>
      </c>
      <c r="BY120" s="403" t="s">
        <v>7489</v>
      </c>
      <c r="BZ120" s="403" t="s">
        <v>12645</v>
      </c>
      <c r="CN120" s="403" t="s">
        <v>7422</v>
      </c>
      <c r="CO120" s="403" t="s">
        <v>12646</v>
      </c>
      <c r="DC120" s="403" t="s">
        <v>7423</v>
      </c>
      <c r="DD120" s="403" t="s">
        <v>12647</v>
      </c>
    </row>
    <row r="121" spans="2:118" x14ac:dyDescent="0.2">
      <c r="C121" s="5" t="str">
        <f t="shared" ca="1" si="30"/>
        <v>Delivery Modality 4</v>
      </c>
      <c r="D121" s="2" t="str">
        <f t="shared" ca="1" si="30"/>
        <v>(medium variant)</v>
      </c>
      <c r="G121" s="150" t="e">
        <f t="shared" ref="G121:L121" si="32">(ROUNDDOWN(G106/4,0)*7)+MOD(G106,4)</f>
        <v>#N/A</v>
      </c>
      <c r="H121" s="194" t="e">
        <f t="shared" si="32"/>
        <v>#N/A</v>
      </c>
      <c r="I121" s="194" t="e">
        <f t="shared" si="32"/>
        <v>#N/A</v>
      </c>
      <c r="J121" s="194" t="e">
        <f t="shared" si="32"/>
        <v>#N/A</v>
      </c>
      <c r="K121" s="194" t="e">
        <f t="shared" si="32"/>
        <v>#N/A</v>
      </c>
      <c r="L121" s="194" t="e">
        <f t="shared" si="32"/>
        <v>#N/A</v>
      </c>
      <c r="M121" s="194"/>
      <c r="Q121" s="403" t="s">
        <v>1565</v>
      </c>
      <c r="R121" s="403" t="s">
        <v>3055</v>
      </c>
      <c r="AF121" s="403" t="s">
        <v>7424</v>
      </c>
      <c r="AG121" s="403" t="s">
        <v>12642</v>
      </c>
      <c r="AU121" s="403" t="s">
        <v>9726</v>
      </c>
      <c r="AV121" s="403" t="s">
        <v>12643</v>
      </c>
      <c r="BJ121" s="403" t="s">
        <v>7426</v>
      </c>
      <c r="BK121" s="403" t="s">
        <v>12644</v>
      </c>
      <c r="BY121" s="403" t="s">
        <v>7491</v>
      </c>
      <c r="BZ121" s="403" t="s">
        <v>12645</v>
      </c>
      <c r="CN121" s="403" t="s">
        <v>7428</v>
      </c>
      <c r="CO121" s="403" t="s">
        <v>12646</v>
      </c>
      <c r="DC121" s="403" t="s">
        <v>7429</v>
      </c>
      <c r="DD121" s="403" t="s">
        <v>12647</v>
      </c>
    </row>
    <row r="122" spans="2:118" x14ac:dyDescent="0.2">
      <c r="D122" s="2"/>
    </row>
    <row r="123" spans="2:118" s="241" customFormat="1" x14ac:dyDescent="0.2">
      <c r="C123" s="5" t="str">
        <f t="shared" ref="C123:D126" ca="1" si="33">IF(OFFSET(Q123,0,Lang_Order*Lang__R1)="","",OFFSET(Q123,0,Lang_Order*Lang__R1))</f>
        <v>Delivery Modality 1</v>
      </c>
      <c r="D123" s="2" t="str">
        <f t="shared" ca="1" si="33"/>
        <v>(upper variant)</v>
      </c>
      <c r="G123" s="241" t="e">
        <f t="shared" ref="G123:L125" si="34">(ROUNDDOWN(G108/HRH_DaysPerWeek,0)*7)+MOD(G108,HRH_DaysPerWeek)</f>
        <v>#N/A</v>
      </c>
      <c r="H123" s="241" t="e">
        <f t="shared" si="34"/>
        <v>#N/A</v>
      </c>
      <c r="I123" s="241" t="e">
        <f t="shared" si="34"/>
        <v>#N/A</v>
      </c>
      <c r="J123" s="241" t="e">
        <f t="shared" si="34"/>
        <v>#N/A</v>
      </c>
      <c r="K123" s="241" t="e">
        <f t="shared" si="34"/>
        <v>#N/A</v>
      </c>
      <c r="L123" s="241" t="e">
        <f t="shared" si="34"/>
        <v>#N/A</v>
      </c>
      <c r="N123" s="403"/>
      <c r="O123" s="403"/>
      <c r="P123" s="403"/>
      <c r="Q123" s="403" t="s">
        <v>1632</v>
      </c>
      <c r="R123" s="403" t="s">
        <v>3056</v>
      </c>
      <c r="S123" s="403"/>
      <c r="T123" s="403"/>
      <c r="U123" s="403"/>
      <c r="V123" s="403"/>
      <c r="W123" s="403"/>
      <c r="X123" s="403"/>
      <c r="Y123" s="403"/>
      <c r="Z123" s="403"/>
      <c r="AA123" s="403"/>
      <c r="AB123" s="403"/>
      <c r="AC123" s="564"/>
      <c r="AD123" s="403"/>
      <c r="AE123" s="403"/>
      <c r="AF123" s="403" t="s">
        <v>7476</v>
      </c>
      <c r="AG123" s="403" t="s">
        <v>12648</v>
      </c>
      <c r="AH123" s="403"/>
      <c r="AI123" s="403"/>
      <c r="AJ123" s="403"/>
      <c r="AK123" s="403"/>
      <c r="AL123" s="403"/>
      <c r="AM123" s="403"/>
      <c r="AN123" s="403"/>
      <c r="AO123" s="403"/>
      <c r="AP123" s="403"/>
      <c r="AQ123" s="403"/>
      <c r="AR123" s="403"/>
      <c r="AS123" s="403"/>
      <c r="AT123" s="403"/>
      <c r="AU123" s="403" t="s">
        <v>9664</v>
      </c>
      <c r="AV123" s="403" t="s">
        <v>12649</v>
      </c>
      <c r="AW123" s="403"/>
      <c r="AX123" s="403"/>
      <c r="AY123" s="403"/>
      <c r="AZ123" s="403"/>
      <c r="BA123" s="403"/>
      <c r="BB123" s="403"/>
      <c r="BC123" s="403"/>
      <c r="BD123" s="403"/>
      <c r="BE123" s="403"/>
      <c r="BF123" s="403"/>
      <c r="BG123" s="403"/>
      <c r="BH123" s="403"/>
      <c r="BI123" s="403"/>
      <c r="BJ123" s="403" t="s">
        <v>9666</v>
      </c>
      <c r="BK123" s="403" t="s">
        <v>12650</v>
      </c>
      <c r="BL123" s="403"/>
      <c r="BM123" s="403"/>
      <c r="BN123" s="403"/>
      <c r="BO123" s="403"/>
      <c r="BP123" s="403"/>
      <c r="BQ123" s="403"/>
      <c r="BR123" s="403"/>
      <c r="BS123" s="403"/>
      <c r="BT123" s="403"/>
      <c r="BU123" s="403"/>
      <c r="BV123" s="403"/>
      <c r="BW123" s="403"/>
      <c r="BX123" s="403"/>
      <c r="BY123" s="403" t="s">
        <v>7479</v>
      </c>
      <c r="BZ123" s="403" t="s">
        <v>12651</v>
      </c>
      <c r="CA123" s="403"/>
      <c r="CB123" s="403"/>
      <c r="CC123" s="403"/>
      <c r="CD123" s="403"/>
      <c r="CE123" s="403"/>
      <c r="CF123" s="403"/>
      <c r="CG123" s="403"/>
      <c r="CH123" s="403"/>
      <c r="CI123" s="403"/>
      <c r="CJ123" s="403"/>
      <c r="CK123" s="403"/>
      <c r="CL123" s="403"/>
      <c r="CM123" s="403"/>
      <c r="CN123" s="403" t="s">
        <v>7480</v>
      </c>
      <c r="CO123" s="403" t="s">
        <v>12652</v>
      </c>
      <c r="CP123" s="403"/>
      <c r="CQ123" s="403"/>
      <c r="CR123" s="403"/>
      <c r="CS123" s="403"/>
      <c r="CT123" s="403"/>
      <c r="CU123" s="403"/>
      <c r="CV123" s="403"/>
      <c r="CW123" s="403"/>
      <c r="CX123" s="403"/>
      <c r="CY123" s="403"/>
      <c r="CZ123" s="403"/>
      <c r="DA123" s="403"/>
      <c r="DB123" s="403"/>
      <c r="DC123" s="403" t="s">
        <v>7481</v>
      </c>
      <c r="DD123" s="403" t="s">
        <v>12653</v>
      </c>
      <c r="DE123" s="403"/>
      <c r="DF123" s="403"/>
      <c r="DG123" s="403"/>
      <c r="DH123" s="403"/>
      <c r="DI123" s="403"/>
      <c r="DJ123" s="403"/>
      <c r="DK123" s="403"/>
      <c r="DL123" s="403"/>
      <c r="DM123" s="403"/>
      <c r="DN123" s="403"/>
    </row>
    <row r="124" spans="2:118" s="241" customFormat="1" x14ac:dyDescent="0.2">
      <c r="C124" s="5" t="str">
        <f t="shared" ca="1" si="33"/>
        <v>Delivery Modality 2</v>
      </c>
      <c r="D124" s="2" t="str">
        <f t="shared" ca="1" si="33"/>
        <v>(upper variant)</v>
      </c>
      <c r="G124" s="241" t="e">
        <f t="shared" si="34"/>
        <v>#N/A</v>
      </c>
      <c r="H124" s="241" t="e">
        <f t="shared" si="34"/>
        <v>#N/A</v>
      </c>
      <c r="I124" s="241" t="e">
        <f t="shared" si="34"/>
        <v>#N/A</v>
      </c>
      <c r="J124" s="241" t="e">
        <f t="shared" si="34"/>
        <v>#N/A</v>
      </c>
      <c r="K124" s="241" t="e">
        <f t="shared" si="34"/>
        <v>#N/A</v>
      </c>
      <c r="L124" s="241" t="e">
        <f t="shared" si="34"/>
        <v>#N/A</v>
      </c>
      <c r="N124" s="403"/>
      <c r="O124" s="403"/>
      <c r="P124" s="403"/>
      <c r="Q124" s="403" t="s">
        <v>1639</v>
      </c>
      <c r="R124" s="403" t="s">
        <v>3056</v>
      </c>
      <c r="S124" s="403"/>
      <c r="T124" s="403"/>
      <c r="U124" s="403"/>
      <c r="V124" s="403"/>
      <c r="W124" s="403"/>
      <c r="X124" s="403"/>
      <c r="Y124" s="403"/>
      <c r="Z124" s="403"/>
      <c r="AA124" s="403"/>
      <c r="AB124" s="403"/>
      <c r="AC124" s="564"/>
      <c r="AD124" s="403"/>
      <c r="AE124" s="403"/>
      <c r="AF124" s="403" t="s">
        <v>7482</v>
      </c>
      <c r="AG124" s="403" t="s">
        <v>12648</v>
      </c>
      <c r="AH124" s="403"/>
      <c r="AI124" s="403"/>
      <c r="AJ124" s="403"/>
      <c r="AK124" s="403"/>
      <c r="AL124" s="403"/>
      <c r="AM124" s="403"/>
      <c r="AN124" s="403"/>
      <c r="AO124" s="403"/>
      <c r="AP124" s="403"/>
      <c r="AQ124" s="403"/>
      <c r="AR124" s="403"/>
      <c r="AS124" s="403"/>
      <c r="AT124" s="403"/>
      <c r="AU124" s="403" t="s">
        <v>9672</v>
      </c>
      <c r="AV124" s="403" t="s">
        <v>12649</v>
      </c>
      <c r="AW124" s="403"/>
      <c r="AX124" s="403"/>
      <c r="AY124" s="403"/>
      <c r="AZ124" s="403"/>
      <c r="BA124" s="403"/>
      <c r="BB124" s="403"/>
      <c r="BC124" s="403"/>
      <c r="BD124" s="403"/>
      <c r="BE124" s="403"/>
      <c r="BF124" s="403"/>
      <c r="BG124" s="403"/>
      <c r="BH124" s="403"/>
      <c r="BI124" s="403"/>
      <c r="BJ124" s="403" t="s">
        <v>9673</v>
      </c>
      <c r="BK124" s="403" t="s">
        <v>12650</v>
      </c>
      <c r="BL124" s="403"/>
      <c r="BM124" s="403"/>
      <c r="BN124" s="403"/>
      <c r="BO124" s="403"/>
      <c r="BP124" s="403"/>
      <c r="BQ124" s="403"/>
      <c r="BR124" s="403"/>
      <c r="BS124" s="403"/>
      <c r="BT124" s="403"/>
      <c r="BU124" s="403"/>
      <c r="BV124" s="403"/>
      <c r="BW124" s="403"/>
      <c r="BX124" s="403"/>
      <c r="BY124" s="403" t="s">
        <v>7485</v>
      </c>
      <c r="BZ124" s="403" t="s">
        <v>12651</v>
      </c>
      <c r="CA124" s="403"/>
      <c r="CB124" s="403"/>
      <c r="CC124" s="403"/>
      <c r="CD124" s="403"/>
      <c r="CE124" s="403"/>
      <c r="CF124" s="403"/>
      <c r="CG124" s="403"/>
      <c r="CH124" s="403"/>
      <c r="CI124" s="403"/>
      <c r="CJ124" s="403"/>
      <c r="CK124" s="403"/>
      <c r="CL124" s="403"/>
      <c r="CM124" s="403"/>
      <c r="CN124" s="403" t="s">
        <v>7486</v>
      </c>
      <c r="CO124" s="403" t="s">
        <v>12652</v>
      </c>
      <c r="CP124" s="403"/>
      <c r="CQ124" s="403"/>
      <c r="CR124" s="403"/>
      <c r="CS124" s="403"/>
      <c r="CT124" s="403"/>
      <c r="CU124" s="403"/>
      <c r="CV124" s="403"/>
      <c r="CW124" s="403"/>
      <c r="CX124" s="403"/>
      <c r="CY124" s="403"/>
      <c r="CZ124" s="403"/>
      <c r="DA124" s="403"/>
      <c r="DB124" s="403"/>
      <c r="DC124" s="403" t="s">
        <v>7487</v>
      </c>
      <c r="DD124" s="403" t="s">
        <v>12653</v>
      </c>
      <c r="DE124" s="403"/>
      <c r="DF124" s="403"/>
      <c r="DG124" s="403"/>
      <c r="DH124" s="403"/>
      <c r="DI124" s="403"/>
      <c r="DJ124" s="403"/>
      <c r="DK124" s="403"/>
      <c r="DL124" s="403"/>
      <c r="DM124" s="403"/>
      <c r="DN124" s="403"/>
    </row>
    <row r="125" spans="2:118" s="241" customFormat="1" x14ac:dyDescent="0.2">
      <c r="C125" s="5" t="str">
        <f t="shared" ca="1" si="33"/>
        <v>Delivery Modality 3</v>
      </c>
      <c r="D125" s="2" t="str">
        <f t="shared" ca="1" si="33"/>
        <v>(upper variant)</v>
      </c>
      <c r="G125" s="241" t="e">
        <f t="shared" si="34"/>
        <v>#N/A</v>
      </c>
      <c r="H125" s="241" t="e">
        <f t="shared" si="34"/>
        <v>#N/A</v>
      </c>
      <c r="I125" s="241" t="e">
        <f t="shared" si="34"/>
        <v>#N/A</v>
      </c>
      <c r="J125" s="241" t="e">
        <f t="shared" si="34"/>
        <v>#N/A</v>
      </c>
      <c r="K125" s="241" t="e">
        <f t="shared" si="34"/>
        <v>#N/A</v>
      </c>
      <c r="L125" s="241" t="e">
        <f t="shared" si="34"/>
        <v>#N/A</v>
      </c>
      <c r="N125" s="403"/>
      <c r="O125" s="403"/>
      <c r="P125" s="403"/>
      <c r="Q125" s="403" t="s">
        <v>1564</v>
      </c>
      <c r="R125" s="403" t="s">
        <v>3056</v>
      </c>
      <c r="S125" s="403"/>
      <c r="T125" s="403"/>
      <c r="U125" s="403"/>
      <c r="V125" s="403"/>
      <c r="W125" s="403"/>
      <c r="X125" s="403"/>
      <c r="Y125" s="403"/>
      <c r="Z125" s="403"/>
      <c r="AA125" s="403"/>
      <c r="AB125" s="403"/>
      <c r="AC125" s="564"/>
      <c r="AD125" s="403"/>
      <c r="AE125" s="403"/>
      <c r="AF125" s="403" t="s">
        <v>7418</v>
      </c>
      <c r="AG125" s="403" t="s">
        <v>12648</v>
      </c>
      <c r="AH125" s="403"/>
      <c r="AI125" s="403"/>
      <c r="AJ125" s="403"/>
      <c r="AK125" s="403"/>
      <c r="AL125" s="403"/>
      <c r="AM125" s="403"/>
      <c r="AN125" s="403"/>
      <c r="AO125" s="403"/>
      <c r="AP125" s="403"/>
      <c r="AQ125" s="403"/>
      <c r="AR125" s="403"/>
      <c r="AS125" s="403"/>
      <c r="AT125" s="403"/>
      <c r="AU125" s="403" t="s">
        <v>9676</v>
      </c>
      <c r="AV125" s="403" t="s">
        <v>12649</v>
      </c>
      <c r="AW125" s="403"/>
      <c r="AX125" s="403"/>
      <c r="AY125" s="403"/>
      <c r="AZ125" s="403"/>
      <c r="BA125" s="403"/>
      <c r="BB125" s="403"/>
      <c r="BC125" s="403"/>
      <c r="BD125" s="403"/>
      <c r="BE125" s="403"/>
      <c r="BF125" s="403"/>
      <c r="BG125" s="403"/>
      <c r="BH125" s="403"/>
      <c r="BI125" s="403"/>
      <c r="BJ125" s="403" t="s">
        <v>7420</v>
      </c>
      <c r="BK125" s="403" t="s">
        <v>12650</v>
      </c>
      <c r="BL125" s="403"/>
      <c r="BM125" s="403"/>
      <c r="BN125" s="403"/>
      <c r="BO125" s="403"/>
      <c r="BP125" s="403"/>
      <c r="BQ125" s="403"/>
      <c r="BR125" s="403"/>
      <c r="BS125" s="403"/>
      <c r="BT125" s="403"/>
      <c r="BU125" s="403"/>
      <c r="BV125" s="403"/>
      <c r="BW125" s="403"/>
      <c r="BX125" s="403"/>
      <c r="BY125" s="403" t="s">
        <v>7489</v>
      </c>
      <c r="BZ125" s="403" t="s">
        <v>12651</v>
      </c>
      <c r="CA125" s="403"/>
      <c r="CB125" s="403"/>
      <c r="CC125" s="403"/>
      <c r="CD125" s="403"/>
      <c r="CE125" s="403"/>
      <c r="CF125" s="403"/>
      <c r="CG125" s="403"/>
      <c r="CH125" s="403"/>
      <c r="CI125" s="403"/>
      <c r="CJ125" s="403"/>
      <c r="CK125" s="403"/>
      <c r="CL125" s="403"/>
      <c r="CM125" s="403"/>
      <c r="CN125" s="403" t="s">
        <v>7422</v>
      </c>
      <c r="CO125" s="403" t="s">
        <v>12652</v>
      </c>
      <c r="CP125" s="403"/>
      <c r="CQ125" s="403"/>
      <c r="CR125" s="403"/>
      <c r="CS125" s="403"/>
      <c r="CT125" s="403"/>
      <c r="CU125" s="403"/>
      <c r="CV125" s="403"/>
      <c r="CW125" s="403"/>
      <c r="CX125" s="403"/>
      <c r="CY125" s="403"/>
      <c r="CZ125" s="403"/>
      <c r="DA125" s="403"/>
      <c r="DB125" s="403"/>
      <c r="DC125" s="403" t="s">
        <v>7423</v>
      </c>
      <c r="DD125" s="403" t="s">
        <v>12653</v>
      </c>
      <c r="DE125" s="403"/>
      <c r="DF125" s="403"/>
      <c r="DG125" s="403"/>
      <c r="DH125" s="403"/>
      <c r="DI125" s="403"/>
      <c r="DJ125" s="403"/>
      <c r="DK125" s="403"/>
      <c r="DL125" s="403"/>
      <c r="DM125" s="403"/>
      <c r="DN125" s="403"/>
    </row>
    <row r="126" spans="2:118" s="241" customFormat="1" x14ac:dyDescent="0.2">
      <c r="C126" s="5" t="str">
        <f t="shared" ca="1" si="33"/>
        <v>Delivery Modality 4</v>
      </c>
      <c r="D126" s="2" t="str">
        <f t="shared" ca="1" si="33"/>
        <v>(upper variant)</v>
      </c>
      <c r="G126" s="241" t="e">
        <f t="shared" ref="G126:L126" si="35">(ROUNDDOWN(G111/4,0)*7)+MOD(G111,4)</f>
        <v>#N/A</v>
      </c>
      <c r="H126" s="241" t="e">
        <f t="shared" si="35"/>
        <v>#N/A</v>
      </c>
      <c r="I126" s="241" t="e">
        <f t="shared" si="35"/>
        <v>#N/A</v>
      </c>
      <c r="J126" s="241" t="e">
        <f t="shared" si="35"/>
        <v>#N/A</v>
      </c>
      <c r="K126" s="241" t="e">
        <f t="shared" si="35"/>
        <v>#N/A</v>
      </c>
      <c r="L126" s="241" t="e">
        <f t="shared" si="35"/>
        <v>#N/A</v>
      </c>
      <c r="N126" s="403"/>
      <c r="O126" s="403"/>
      <c r="P126" s="403"/>
      <c r="Q126" s="403" t="s">
        <v>1565</v>
      </c>
      <c r="R126" s="403" t="s">
        <v>3056</v>
      </c>
      <c r="S126" s="403"/>
      <c r="T126" s="403"/>
      <c r="U126" s="403"/>
      <c r="V126" s="403"/>
      <c r="W126" s="403"/>
      <c r="X126" s="403"/>
      <c r="Y126" s="403"/>
      <c r="Z126" s="403"/>
      <c r="AA126" s="403"/>
      <c r="AB126" s="403"/>
      <c r="AC126" s="564"/>
      <c r="AD126" s="403"/>
      <c r="AE126" s="403"/>
      <c r="AF126" s="403" t="s">
        <v>7424</v>
      </c>
      <c r="AG126" s="403" t="s">
        <v>12648</v>
      </c>
      <c r="AH126" s="403"/>
      <c r="AI126" s="403"/>
      <c r="AJ126" s="403"/>
      <c r="AK126" s="403"/>
      <c r="AL126" s="403"/>
      <c r="AM126" s="403"/>
      <c r="AN126" s="403"/>
      <c r="AO126" s="403"/>
      <c r="AP126" s="403"/>
      <c r="AQ126" s="403"/>
      <c r="AR126" s="403"/>
      <c r="AS126" s="403"/>
      <c r="AT126" s="403"/>
      <c r="AU126" s="403" t="s">
        <v>9726</v>
      </c>
      <c r="AV126" s="403" t="s">
        <v>12649</v>
      </c>
      <c r="AW126" s="403"/>
      <c r="AX126" s="403"/>
      <c r="AY126" s="403"/>
      <c r="AZ126" s="403"/>
      <c r="BA126" s="403"/>
      <c r="BB126" s="403"/>
      <c r="BC126" s="403"/>
      <c r="BD126" s="403"/>
      <c r="BE126" s="403"/>
      <c r="BF126" s="403"/>
      <c r="BG126" s="403"/>
      <c r="BH126" s="403"/>
      <c r="BI126" s="403"/>
      <c r="BJ126" s="403" t="s">
        <v>7426</v>
      </c>
      <c r="BK126" s="403" t="s">
        <v>12650</v>
      </c>
      <c r="BL126" s="403"/>
      <c r="BM126" s="403"/>
      <c r="BN126" s="403"/>
      <c r="BO126" s="403"/>
      <c r="BP126" s="403"/>
      <c r="BQ126" s="403"/>
      <c r="BR126" s="403"/>
      <c r="BS126" s="403"/>
      <c r="BT126" s="403"/>
      <c r="BU126" s="403"/>
      <c r="BV126" s="403"/>
      <c r="BW126" s="403"/>
      <c r="BX126" s="403"/>
      <c r="BY126" s="403" t="s">
        <v>7491</v>
      </c>
      <c r="BZ126" s="403" t="s">
        <v>12651</v>
      </c>
      <c r="CA126" s="403"/>
      <c r="CB126" s="403"/>
      <c r="CC126" s="403"/>
      <c r="CD126" s="403"/>
      <c r="CE126" s="403"/>
      <c r="CF126" s="403"/>
      <c r="CG126" s="403"/>
      <c r="CH126" s="403"/>
      <c r="CI126" s="403"/>
      <c r="CJ126" s="403"/>
      <c r="CK126" s="403"/>
      <c r="CL126" s="403"/>
      <c r="CM126" s="403"/>
      <c r="CN126" s="403" t="s">
        <v>7428</v>
      </c>
      <c r="CO126" s="403" t="s">
        <v>12652</v>
      </c>
      <c r="CP126" s="403"/>
      <c r="CQ126" s="403"/>
      <c r="CR126" s="403"/>
      <c r="CS126" s="403"/>
      <c r="CT126" s="403"/>
      <c r="CU126" s="403"/>
      <c r="CV126" s="403"/>
      <c r="CW126" s="403"/>
      <c r="CX126" s="403"/>
      <c r="CY126" s="403"/>
      <c r="CZ126" s="403"/>
      <c r="DA126" s="403"/>
      <c r="DB126" s="403"/>
      <c r="DC126" s="403" t="s">
        <v>7429</v>
      </c>
      <c r="DD126" s="403" t="s">
        <v>12653</v>
      </c>
      <c r="DE126" s="403"/>
      <c r="DF126" s="403"/>
      <c r="DG126" s="403"/>
      <c r="DH126" s="403"/>
      <c r="DI126" s="403"/>
      <c r="DJ126" s="403"/>
      <c r="DK126" s="403"/>
      <c r="DL126" s="403"/>
      <c r="DM126" s="403"/>
      <c r="DN126" s="403"/>
    </row>
    <row r="127" spans="2:118" s="241" customFormat="1" x14ac:dyDescent="0.2">
      <c r="D127" s="2"/>
      <c r="N127" s="403"/>
      <c r="O127" s="403"/>
      <c r="P127" s="403"/>
      <c r="Q127" s="403"/>
      <c r="R127" s="403"/>
      <c r="S127" s="403"/>
      <c r="T127" s="403"/>
      <c r="U127" s="403"/>
      <c r="V127" s="403"/>
      <c r="W127" s="403"/>
      <c r="X127" s="403"/>
      <c r="Y127" s="403"/>
      <c r="Z127" s="403"/>
      <c r="AA127" s="403"/>
      <c r="AB127" s="403"/>
      <c r="AC127" s="564"/>
      <c r="AD127" s="403"/>
      <c r="AE127" s="403"/>
      <c r="AF127" s="403"/>
      <c r="AG127" s="403"/>
      <c r="AH127" s="403"/>
      <c r="AI127" s="403"/>
      <c r="AJ127" s="403"/>
      <c r="AK127" s="403"/>
      <c r="AL127" s="403"/>
      <c r="AM127" s="403"/>
      <c r="AN127" s="403"/>
      <c r="AO127" s="403"/>
      <c r="AP127" s="403"/>
      <c r="AQ127" s="403"/>
      <c r="AR127" s="403"/>
      <c r="AS127" s="403"/>
      <c r="AT127" s="403"/>
      <c r="AU127" s="403"/>
      <c r="AV127" s="403"/>
      <c r="AW127" s="403"/>
      <c r="AX127" s="403"/>
      <c r="AY127" s="403"/>
      <c r="AZ127" s="403"/>
      <c r="BA127" s="403"/>
      <c r="BB127" s="403"/>
      <c r="BC127" s="403"/>
      <c r="BD127" s="403"/>
      <c r="BE127" s="403"/>
      <c r="BF127" s="403"/>
      <c r="BG127" s="403"/>
      <c r="BH127" s="403"/>
      <c r="BI127" s="403"/>
      <c r="BJ127" s="403"/>
      <c r="BK127" s="403"/>
      <c r="BL127" s="403"/>
      <c r="BM127" s="403"/>
      <c r="BN127" s="403"/>
      <c r="BO127" s="403"/>
      <c r="BP127" s="403"/>
      <c r="BQ127" s="403"/>
      <c r="BR127" s="403"/>
      <c r="BS127" s="403"/>
      <c r="BT127" s="403"/>
      <c r="BU127" s="403"/>
      <c r="BV127" s="403"/>
      <c r="BW127" s="403"/>
      <c r="BX127" s="403"/>
      <c r="BY127" s="403"/>
      <c r="BZ127" s="403"/>
      <c r="CA127" s="403"/>
      <c r="CB127" s="403"/>
      <c r="CC127" s="403"/>
      <c r="CD127" s="403"/>
      <c r="CE127" s="403"/>
      <c r="CF127" s="403"/>
      <c r="CG127" s="403"/>
      <c r="CH127" s="403"/>
      <c r="CI127" s="403"/>
      <c r="CJ127" s="403"/>
      <c r="CK127" s="403"/>
      <c r="CL127" s="403"/>
      <c r="CM127" s="403"/>
      <c r="CN127" s="403"/>
      <c r="CO127" s="403"/>
      <c r="CP127" s="403"/>
      <c r="CQ127" s="403"/>
      <c r="CR127" s="403"/>
      <c r="CS127" s="403"/>
      <c r="CT127" s="403"/>
      <c r="CU127" s="403"/>
      <c r="CV127" s="403"/>
      <c r="CW127" s="403"/>
      <c r="CX127" s="403"/>
      <c r="CY127" s="403"/>
      <c r="CZ127" s="403"/>
      <c r="DA127" s="403"/>
      <c r="DB127" s="403"/>
      <c r="DC127" s="403"/>
      <c r="DD127" s="403"/>
      <c r="DE127" s="403"/>
      <c r="DF127" s="403"/>
      <c r="DG127" s="403"/>
      <c r="DH127" s="403"/>
      <c r="DI127" s="403"/>
      <c r="DJ127" s="403"/>
      <c r="DK127" s="403"/>
      <c r="DL127" s="403"/>
      <c r="DM127" s="403"/>
      <c r="DN127" s="403"/>
    </row>
    <row r="128" spans="2:118" s="241" customFormat="1" x14ac:dyDescent="0.2">
      <c r="C128" s="5" t="str">
        <f t="shared" ref="C128:D131" ca="1" si="36">IF(OFFSET(Q128,0,Lang_Order*Lang__R1)="","",OFFSET(Q128,0,Lang_Order*Lang__R1))</f>
        <v>Delivery Modality 1</v>
      </c>
      <c r="D128" s="2" t="str">
        <f t="shared" ca="1" si="36"/>
        <v>(lower variant)</v>
      </c>
      <c r="G128" s="241" t="e">
        <f t="shared" ref="G128:L130" si="37">(ROUNDDOWN(G113/HRH_DaysPerWeek,0)*7)+MOD(G113,HRH_DaysPerWeek)</f>
        <v>#N/A</v>
      </c>
      <c r="H128" s="241" t="e">
        <f t="shared" si="37"/>
        <v>#N/A</v>
      </c>
      <c r="I128" s="241" t="e">
        <f t="shared" si="37"/>
        <v>#N/A</v>
      </c>
      <c r="J128" s="241" t="e">
        <f t="shared" si="37"/>
        <v>#N/A</v>
      </c>
      <c r="K128" s="241" t="e">
        <f t="shared" si="37"/>
        <v>#N/A</v>
      </c>
      <c r="L128" s="241" t="e">
        <f t="shared" si="37"/>
        <v>#N/A</v>
      </c>
      <c r="N128" s="403"/>
      <c r="O128" s="403"/>
      <c r="P128" s="403"/>
      <c r="Q128" s="403" t="s">
        <v>1632</v>
      </c>
      <c r="R128" s="403" t="s">
        <v>3057</v>
      </c>
      <c r="S128" s="403"/>
      <c r="T128" s="403"/>
      <c r="U128" s="403"/>
      <c r="V128" s="403"/>
      <c r="W128" s="403"/>
      <c r="X128" s="403"/>
      <c r="Y128" s="403"/>
      <c r="Z128" s="403"/>
      <c r="AA128" s="403"/>
      <c r="AB128" s="403"/>
      <c r="AC128" s="564"/>
      <c r="AD128" s="403"/>
      <c r="AE128" s="403"/>
      <c r="AF128" s="403" t="s">
        <v>7476</v>
      </c>
      <c r="AG128" s="403" t="s">
        <v>12654</v>
      </c>
      <c r="AH128" s="403"/>
      <c r="AI128" s="403"/>
      <c r="AJ128" s="403"/>
      <c r="AK128" s="403"/>
      <c r="AL128" s="403"/>
      <c r="AM128" s="403"/>
      <c r="AN128" s="403"/>
      <c r="AO128" s="403"/>
      <c r="AP128" s="403"/>
      <c r="AQ128" s="403"/>
      <c r="AR128" s="403"/>
      <c r="AS128" s="403"/>
      <c r="AT128" s="403"/>
      <c r="AU128" s="403" t="s">
        <v>9664</v>
      </c>
      <c r="AV128" s="403" t="s">
        <v>12655</v>
      </c>
      <c r="AW128" s="403"/>
      <c r="AX128" s="403"/>
      <c r="AY128" s="403"/>
      <c r="AZ128" s="403"/>
      <c r="BA128" s="403"/>
      <c r="BB128" s="403"/>
      <c r="BC128" s="403"/>
      <c r="BD128" s="403"/>
      <c r="BE128" s="403"/>
      <c r="BF128" s="403"/>
      <c r="BG128" s="403"/>
      <c r="BH128" s="403"/>
      <c r="BI128" s="403"/>
      <c r="BJ128" s="403" t="s">
        <v>9666</v>
      </c>
      <c r="BK128" s="403" t="s">
        <v>12656</v>
      </c>
      <c r="BL128" s="403"/>
      <c r="BM128" s="403"/>
      <c r="BN128" s="403"/>
      <c r="BO128" s="403"/>
      <c r="BP128" s="403"/>
      <c r="BQ128" s="403"/>
      <c r="BR128" s="403"/>
      <c r="BS128" s="403"/>
      <c r="BT128" s="403"/>
      <c r="BU128" s="403"/>
      <c r="BV128" s="403"/>
      <c r="BW128" s="403"/>
      <c r="BX128" s="403"/>
      <c r="BY128" s="403" t="s">
        <v>7479</v>
      </c>
      <c r="BZ128" s="403" t="s">
        <v>12657</v>
      </c>
      <c r="CA128" s="403"/>
      <c r="CB128" s="403"/>
      <c r="CC128" s="403"/>
      <c r="CD128" s="403"/>
      <c r="CE128" s="403"/>
      <c r="CF128" s="403"/>
      <c r="CG128" s="403"/>
      <c r="CH128" s="403"/>
      <c r="CI128" s="403"/>
      <c r="CJ128" s="403"/>
      <c r="CK128" s="403"/>
      <c r="CL128" s="403"/>
      <c r="CM128" s="403"/>
      <c r="CN128" s="403" t="s">
        <v>7480</v>
      </c>
      <c r="CO128" s="403" t="s">
        <v>12658</v>
      </c>
      <c r="CP128" s="403"/>
      <c r="CQ128" s="403"/>
      <c r="CR128" s="403"/>
      <c r="CS128" s="403"/>
      <c r="CT128" s="403"/>
      <c r="CU128" s="403"/>
      <c r="CV128" s="403"/>
      <c r="CW128" s="403"/>
      <c r="CX128" s="403"/>
      <c r="CY128" s="403"/>
      <c r="CZ128" s="403"/>
      <c r="DA128" s="403"/>
      <c r="DB128" s="403"/>
      <c r="DC128" s="403" t="s">
        <v>7481</v>
      </c>
      <c r="DD128" s="403" t="s">
        <v>12659</v>
      </c>
      <c r="DE128" s="403"/>
      <c r="DF128" s="403"/>
      <c r="DG128" s="403"/>
      <c r="DH128" s="403"/>
      <c r="DI128" s="403"/>
      <c r="DJ128" s="403"/>
      <c r="DK128" s="403"/>
      <c r="DL128" s="403"/>
      <c r="DM128" s="403"/>
      <c r="DN128" s="403"/>
    </row>
    <row r="129" spans="1:118" s="241" customFormat="1" x14ac:dyDescent="0.2">
      <c r="C129" s="5" t="str">
        <f t="shared" ca="1" si="36"/>
        <v>Delivery Modality 2</v>
      </c>
      <c r="D129" s="2" t="str">
        <f t="shared" ca="1" si="36"/>
        <v>(lower variant)</v>
      </c>
      <c r="G129" s="241" t="e">
        <f t="shared" si="37"/>
        <v>#N/A</v>
      </c>
      <c r="H129" s="241" t="e">
        <f t="shared" si="37"/>
        <v>#N/A</v>
      </c>
      <c r="I129" s="241" t="e">
        <f t="shared" si="37"/>
        <v>#N/A</v>
      </c>
      <c r="J129" s="241" t="e">
        <f t="shared" si="37"/>
        <v>#N/A</v>
      </c>
      <c r="K129" s="241" t="e">
        <f t="shared" si="37"/>
        <v>#N/A</v>
      </c>
      <c r="L129" s="241" t="e">
        <f t="shared" si="37"/>
        <v>#N/A</v>
      </c>
      <c r="N129" s="403"/>
      <c r="O129" s="403"/>
      <c r="P129" s="403"/>
      <c r="Q129" s="403" t="s">
        <v>1639</v>
      </c>
      <c r="R129" s="403" t="s">
        <v>3057</v>
      </c>
      <c r="S129" s="403"/>
      <c r="T129" s="403"/>
      <c r="U129" s="403"/>
      <c r="V129" s="403"/>
      <c r="W129" s="403"/>
      <c r="X129" s="403"/>
      <c r="Y129" s="403"/>
      <c r="Z129" s="403"/>
      <c r="AA129" s="403"/>
      <c r="AB129" s="403"/>
      <c r="AC129" s="564"/>
      <c r="AD129" s="403"/>
      <c r="AE129" s="403"/>
      <c r="AF129" s="403" t="s">
        <v>7482</v>
      </c>
      <c r="AG129" s="403" t="s">
        <v>12654</v>
      </c>
      <c r="AH129" s="403"/>
      <c r="AI129" s="403"/>
      <c r="AJ129" s="403"/>
      <c r="AK129" s="403"/>
      <c r="AL129" s="403"/>
      <c r="AM129" s="403"/>
      <c r="AN129" s="403"/>
      <c r="AO129" s="403"/>
      <c r="AP129" s="403"/>
      <c r="AQ129" s="403"/>
      <c r="AR129" s="403"/>
      <c r="AS129" s="403"/>
      <c r="AT129" s="403"/>
      <c r="AU129" s="403" t="s">
        <v>9672</v>
      </c>
      <c r="AV129" s="403" t="s">
        <v>12655</v>
      </c>
      <c r="AW129" s="403"/>
      <c r="AX129" s="403"/>
      <c r="AY129" s="403"/>
      <c r="AZ129" s="403"/>
      <c r="BA129" s="403"/>
      <c r="BB129" s="403"/>
      <c r="BC129" s="403"/>
      <c r="BD129" s="403"/>
      <c r="BE129" s="403"/>
      <c r="BF129" s="403"/>
      <c r="BG129" s="403"/>
      <c r="BH129" s="403"/>
      <c r="BI129" s="403"/>
      <c r="BJ129" s="403" t="s">
        <v>9673</v>
      </c>
      <c r="BK129" s="403" t="s">
        <v>12656</v>
      </c>
      <c r="BL129" s="403"/>
      <c r="BM129" s="403"/>
      <c r="BN129" s="403"/>
      <c r="BO129" s="403"/>
      <c r="BP129" s="403"/>
      <c r="BQ129" s="403"/>
      <c r="BR129" s="403"/>
      <c r="BS129" s="403"/>
      <c r="BT129" s="403"/>
      <c r="BU129" s="403"/>
      <c r="BV129" s="403"/>
      <c r="BW129" s="403"/>
      <c r="BX129" s="403"/>
      <c r="BY129" s="403" t="s">
        <v>7485</v>
      </c>
      <c r="BZ129" s="403" t="s">
        <v>12657</v>
      </c>
      <c r="CA129" s="403"/>
      <c r="CB129" s="403"/>
      <c r="CC129" s="403"/>
      <c r="CD129" s="403"/>
      <c r="CE129" s="403"/>
      <c r="CF129" s="403"/>
      <c r="CG129" s="403"/>
      <c r="CH129" s="403"/>
      <c r="CI129" s="403"/>
      <c r="CJ129" s="403"/>
      <c r="CK129" s="403"/>
      <c r="CL129" s="403"/>
      <c r="CM129" s="403"/>
      <c r="CN129" s="403" t="s">
        <v>7486</v>
      </c>
      <c r="CO129" s="403" t="s">
        <v>12658</v>
      </c>
      <c r="CP129" s="403"/>
      <c r="CQ129" s="403"/>
      <c r="CR129" s="403"/>
      <c r="CS129" s="403"/>
      <c r="CT129" s="403"/>
      <c r="CU129" s="403"/>
      <c r="CV129" s="403"/>
      <c r="CW129" s="403"/>
      <c r="CX129" s="403"/>
      <c r="CY129" s="403"/>
      <c r="CZ129" s="403"/>
      <c r="DA129" s="403"/>
      <c r="DB129" s="403"/>
      <c r="DC129" s="403" t="s">
        <v>7487</v>
      </c>
      <c r="DD129" s="403" t="s">
        <v>12659</v>
      </c>
      <c r="DE129" s="403"/>
      <c r="DF129" s="403"/>
      <c r="DG129" s="403"/>
      <c r="DH129" s="403"/>
      <c r="DI129" s="403"/>
      <c r="DJ129" s="403"/>
      <c r="DK129" s="403"/>
      <c r="DL129" s="403"/>
      <c r="DM129" s="403"/>
      <c r="DN129" s="403"/>
    </row>
    <row r="130" spans="1:118" s="241" customFormat="1" x14ac:dyDescent="0.2">
      <c r="C130" s="5" t="str">
        <f t="shared" ca="1" si="36"/>
        <v>Delivery Modality 3</v>
      </c>
      <c r="D130" s="2" t="str">
        <f t="shared" ca="1" si="36"/>
        <v>(lower variant)</v>
      </c>
      <c r="G130" s="241" t="e">
        <f t="shared" si="37"/>
        <v>#N/A</v>
      </c>
      <c r="H130" s="241" t="e">
        <f t="shared" si="37"/>
        <v>#N/A</v>
      </c>
      <c r="I130" s="241" t="e">
        <f t="shared" si="37"/>
        <v>#N/A</v>
      </c>
      <c r="J130" s="241" t="e">
        <f t="shared" si="37"/>
        <v>#N/A</v>
      </c>
      <c r="K130" s="241" t="e">
        <f t="shared" si="37"/>
        <v>#N/A</v>
      </c>
      <c r="L130" s="241" t="e">
        <f t="shared" si="37"/>
        <v>#N/A</v>
      </c>
      <c r="N130" s="403"/>
      <c r="O130" s="403"/>
      <c r="P130" s="403"/>
      <c r="Q130" s="403" t="s">
        <v>1564</v>
      </c>
      <c r="R130" s="403" t="s">
        <v>3057</v>
      </c>
      <c r="S130" s="403"/>
      <c r="T130" s="403"/>
      <c r="U130" s="403"/>
      <c r="V130" s="403"/>
      <c r="W130" s="403"/>
      <c r="X130" s="403"/>
      <c r="Y130" s="403"/>
      <c r="Z130" s="403"/>
      <c r="AA130" s="403"/>
      <c r="AB130" s="403"/>
      <c r="AC130" s="564"/>
      <c r="AD130" s="403"/>
      <c r="AE130" s="403"/>
      <c r="AF130" s="403" t="s">
        <v>7418</v>
      </c>
      <c r="AG130" s="403" t="s">
        <v>12654</v>
      </c>
      <c r="AH130" s="403"/>
      <c r="AI130" s="403"/>
      <c r="AJ130" s="403"/>
      <c r="AK130" s="403"/>
      <c r="AL130" s="403"/>
      <c r="AM130" s="403"/>
      <c r="AN130" s="403"/>
      <c r="AO130" s="403"/>
      <c r="AP130" s="403"/>
      <c r="AQ130" s="403"/>
      <c r="AR130" s="403"/>
      <c r="AS130" s="403"/>
      <c r="AT130" s="403"/>
      <c r="AU130" s="403" t="s">
        <v>9676</v>
      </c>
      <c r="AV130" s="403" t="s">
        <v>12655</v>
      </c>
      <c r="AW130" s="403"/>
      <c r="AX130" s="403"/>
      <c r="AY130" s="403"/>
      <c r="AZ130" s="403"/>
      <c r="BA130" s="403"/>
      <c r="BB130" s="403"/>
      <c r="BC130" s="403"/>
      <c r="BD130" s="403"/>
      <c r="BE130" s="403"/>
      <c r="BF130" s="403"/>
      <c r="BG130" s="403"/>
      <c r="BH130" s="403"/>
      <c r="BI130" s="403"/>
      <c r="BJ130" s="403" t="s">
        <v>7420</v>
      </c>
      <c r="BK130" s="403" t="s">
        <v>12656</v>
      </c>
      <c r="BL130" s="403"/>
      <c r="BM130" s="403"/>
      <c r="BN130" s="403"/>
      <c r="BO130" s="403"/>
      <c r="BP130" s="403"/>
      <c r="BQ130" s="403"/>
      <c r="BR130" s="403"/>
      <c r="BS130" s="403"/>
      <c r="BT130" s="403"/>
      <c r="BU130" s="403"/>
      <c r="BV130" s="403"/>
      <c r="BW130" s="403"/>
      <c r="BX130" s="403"/>
      <c r="BY130" s="403" t="s">
        <v>7489</v>
      </c>
      <c r="BZ130" s="403" t="s">
        <v>12657</v>
      </c>
      <c r="CA130" s="403"/>
      <c r="CB130" s="403"/>
      <c r="CC130" s="403"/>
      <c r="CD130" s="403"/>
      <c r="CE130" s="403"/>
      <c r="CF130" s="403"/>
      <c r="CG130" s="403"/>
      <c r="CH130" s="403"/>
      <c r="CI130" s="403"/>
      <c r="CJ130" s="403"/>
      <c r="CK130" s="403"/>
      <c r="CL130" s="403"/>
      <c r="CM130" s="403"/>
      <c r="CN130" s="403" t="s">
        <v>7422</v>
      </c>
      <c r="CO130" s="403" t="s">
        <v>12658</v>
      </c>
      <c r="CP130" s="403"/>
      <c r="CQ130" s="403"/>
      <c r="CR130" s="403"/>
      <c r="CS130" s="403"/>
      <c r="CT130" s="403"/>
      <c r="CU130" s="403"/>
      <c r="CV130" s="403"/>
      <c r="CW130" s="403"/>
      <c r="CX130" s="403"/>
      <c r="CY130" s="403"/>
      <c r="CZ130" s="403"/>
      <c r="DA130" s="403"/>
      <c r="DB130" s="403"/>
      <c r="DC130" s="403" t="s">
        <v>7423</v>
      </c>
      <c r="DD130" s="403" t="s">
        <v>12659</v>
      </c>
      <c r="DE130" s="403"/>
      <c r="DF130" s="403"/>
      <c r="DG130" s="403"/>
      <c r="DH130" s="403"/>
      <c r="DI130" s="403"/>
      <c r="DJ130" s="403"/>
      <c r="DK130" s="403"/>
      <c r="DL130" s="403"/>
      <c r="DM130" s="403"/>
      <c r="DN130" s="403"/>
    </row>
    <row r="131" spans="1:118" s="241" customFormat="1" x14ac:dyDescent="0.2">
      <c r="C131" s="5" t="str">
        <f t="shared" ca="1" si="36"/>
        <v>Delivery Modality 4</v>
      </c>
      <c r="D131" s="2" t="str">
        <f t="shared" ca="1" si="36"/>
        <v>(lower variant)</v>
      </c>
      <c r="G131" s="241" t="e">
        <f t="shared" ref="G131:L131" si="38">(ROUNDDOWN(G116/4,0)*7)+MOD(G116,4)</f>
        <v>#N/A</v>
      </c>
      <c r="H131" s="241" t="e">
        <f t="shared" si="38"/>
        <v>#N/A</v>
      </c>
      <c r="I131" s="241" t="e">
        <f t="shared" si="38"/>
        <v>#N/A</v>
      </c>
      <c r="J131" s="241" t="e">
        <f t="shared" si="38"/>
        <v>#N/A</v>
      </c>
      <c r="K131" s="241" t="e">
        <f t="shared" si="38"/>
        <v>#N/A</v>
      </c>
      <c r="L131" s="241" t="e">
        <f t="shared" si="38"/>
        <v>#N/A</v>
      </c>
      <c r="N131" s="403"/>
      <c r="O131" s="403"/>
      <c r="P131" s="403"/>
      <c r="Q131" s="403" t="s">
        <v>1565</v>
      </c>
      <c r="R131" s="403" t="s">
        <v>3057</v>
      </c>
      <c r="S131" s="403"/>
      <c r="T131" s="403"/>
      <c r="U131" s="403"/>
      <c r="V131" s="403"/>
      <c r="W131" s="403"/>
      <c r="X131" s="403"/>
      <c r="Y131" s="403"/>
      <c r="Z131" s="403"/>
      <c r="AA131" s="403"/>
      <c r="AB131" s="403"/>
      <c r="AC131" s="564"/>
      <c r="AD131" s="403"/>
      <c r="AE131" s="403"/>
      <c r="AF131" s="403" t="s">
        <v>7424</v>
      </c>
      <c r="AG131" s="403" t="s">
        <v>12654</v>
      </c>
      <c r="AH131" s="403"/>
      <c r="AI131" s="403"/>
      <c r="AJ131" s="403"/>
      <c r="AK131" s="403"/>
      <c r="AL131" s="403"/>
      <c r="AM131" s="403"/>
      <c r="AN131" s="403"/>
      <c r="AO131" s="403"/>
      <c r="AP131" s="403"/>
      <c r="AQ131" s="403"/>
      <c r="AR131" s="403"/>
      <c r="AS131" s="403"/>
      <c r="AT131" s="403"/>
      <c r="AU131" s="403" t="s">
        <v>9726</v>
      </c>
      <c r="AV131" s="403" t="s">
        <v>12655</v>
      </c>
      <c r="AW131" s="403"/>
      <c r="AX131" s="403"/>
      <c r="AY131" s="403"/>
      <c r="AZ131" s="403"/>
      <c r="BA131" s="403"/>
      <c r="BB131" s="403"/>
      <c r="BC131" s="403"/>
      <c r="BD131" s="403"/>
      <c r="BE131" s="403"/>
      <c r="BF131" s="403"/>
      <c r="BG131" s="403"/>
      <c r="BH131" s="403"/>
      <c r="BI131" s="403"/>
      <c r="BJ131" s="403" t="s">
        <v>7426</v>
      </c>
      <c r="BK131" s="403" t="s">
        <v>12656</v>
      </c>
      <c r="BL131" s="403"/>
      <c r="BM131" s="403"/>
      <c r="BN131" s="403"/>
      <c r="BO131" s="403"/>
      <c r="BP131" s="403"/>
      <c r="BQ131" s="403"/>
      <c r="BR131" s="403"/>
      <c r="BS131" s="403"/>
      <c r="BT131" s="403"/>
      <c r="BU131" s="403"/>
      <c r="BV131" s="403"/>
      <c r="BW131" s="403"/>
      <c r="BX131" s="403"/>
      <c r="BY131" s="403" t="s">
        <v>7491</v>
      </c>
      <c r="BZ131" s="403" t="s">
        <v>12657</v>
      </c>
      <c r="CA131" s="403"/>
      <c r="CB131" s="403"/>
      <c r="CC131" s="403"/>
      <c r="CD131" s="403"/>
      <c r="CE131" s="403"/>
      <c r="CF131" s="403"/>
      <c r="CG131" s="403"/>
      <c r="CH131" s="403"/>
      <c r="CI131" s="403"/>
      <c r="CJ131" s="403"/>
      <c r="CK131" s="403"/>
      <c r="CL131" s="403"/>
      <c r="CM131" s="403"/>
      <c r="CN131" s="403" t="s">
        <v>7428</v>
      </c>
      <c r="CO131" s="403" t="s">
        <v>12658</v>
      </c>
      <c r="CP131" s="403"/>
      <c r="CQ131" s="403"/>
      <c r="CR131" s="403"/>
      <c r="CS131" s="403"/>
      <c r="CT131" s="403"/>
      <c r="CU131" s="403"/>
      <c r="CV131" s="403"/>
      <c r="CW131" s="403"/>
      <c r="CX131" s="403"/>
      <c r="CY131" s="403"/>
      <c r="CZ131" s="403"/>
      <c r="DA131" s="403"/>
      <c r="DB131" s="403"/>
      <c r="DC131" s="403" t="s">
        <v>7429</v>
      </c>
      <c r="DD131" s="403" t="s">
        <v>12659</v>
      </c>
      <c r="DE131" s="403"/>
      <c r="DF131" s="403"/>
      <c r="DG131" s="403"/>
      <c r="DH131" s="403"/>
      <c r="DI131" s="403"/>
      <c r="DJ131" s="403"/>
      <c r="DK131" s="403"/>
      <c r="DL131" s="403"/>
      <c r="DM131" s="403"/>
      <c r="DN131" s="403"/>
    </row>
    <row r="132" spans="1:118" s="241" customFormat="1" x14ac:dyDescent="0.2">
      <c r="N132" s="403"/>
      <c r="O132" s="403"/>
      <c r="P132" s="403"/>
      <c r="Q132" s="403"/>
      <c r="R132" s="403"/>
      <c r="S132" s="403"/>
      <c r="T132" s="403"/>
      <c r="U132" s="403"/>
      <c r="V132" s="403"/>
      <c r="W132" s="403"/>
      <c r="X132" s="403"/>
      <c r="Y132" s="403"/>
      <c r="Z132" s="403"/>
      <c r="AA132" s="403"/>
      <c r="AB132" s="403"/>
      <c r="AC132" s="564"/>
      <c r="AD132" s="403"/>
      <c r="AE132" s="403"/>
      <c r="AF132" s="403"/>
      <c r="AG132" s="403"/>
      <c r="AH132" s="403"/>
      <c r="AI132" s="403"/>
      <c r="AJ132" s="403"/>
      <c r="AK132" s="403"/>
      <c r="AL132" s="403"/>
      <c r="AM132" s="403"/>
      <c r="AN132" s="403"/>
      <c r="AO132" s="403"/>
      <c r="AP132" s="403"/>
      <c r="AQ132" s="403"/>
      <c r="AR132" s="403"/>
      <c r="AS132" s="403"/>
      <c r="AT132" s="403"/>
      <c r="AU132" s="403"/>
      <c r="AV132" s="403"/>
      <c r="AW132" s="403"/>
      <c r="AX132" s="403"/>
      <c r="AY132" s="403"/>
      <c r="AZ132" s="403"/>
      <c r="BA132" s="403"/>
      <c r="BB132" s="403"/>
      <c r="BC132" s="403"/>
      <c r="BD132" s="403"/>
      <c r="BE132" s="403"/>
      <c r="BF132" s="403"/>
      <c r="BG132" s="403"/>
      <c r="BH132" s="403"/>
      <c r="BI132" s="403"/>
      <c r="BJ132" s="403"/>
      <c r="BK132" s="403"/>
      <c r="BL132" s="403"/>
      <c r="BM132" s="403"/>
      <c r="BN132" s="403"/>
      <c r="BO132" s="403"/>
      <c r="BP132" s="403"/>
      <c r="BQ132" s="403"/>
      <c r="BR132" s="403"/>
      <c r="BS132" s="403"/>
      <c r="BT132" s="403"/>
      <c r="BU132" s="403"/>
      <c r="BV132" s="403"/>
      <c r="BW132" s="403"/>
      <c r="BX132" s="403"/>
      <c r="BY132" s="403"/>
      <c r="BZ132" s="403"/>
      <c r="CA132" s="403"/>
      <c r="CB132" s="403"/>
      <c r="CC132" s="403"/>
      <c r="CD132" s="403"/>
      <c r="CE132" s="403"/>
      <c r="CF132" s="403"/>
      <c r="CG132" s="403"/>
      <c r="CH132" s="403"/>
      <c r="CI132" s="403"/>
      <c r="CJ132" s="403"/>
      <c r="CK132" s="403"/>
      <c r="CL132" s="403"/>
      <c r="CM132" s="403"/>
      <c r="CN132" s="403"/>
      <c r="CO132" s="403"/>
      <c r="CP132" s="403"/>
      <c r="CQ132" s="403"/>
      <c r="CR132" s="403"/>
      <c r="CS132" s="403"/>
      <c r="CT132" s="403"/>
      <c r="CU132" s="403"/>
      <c r="CV132" s="403"/>
      <c r="CW132" s="403"/>
      <c r="CX132" s="403"/>
      <c r="CY132" s="403"/>
      <c r="CZ132" s="403"/>
      <c r="DA132" s="403"/>
      <c r="DB132" s="403"/>
      <c r="DC132" s="403"/>
      <c r="DD132" s="403"/>
      <c r="DE132" s="403"/>
      <c r="DF132" s="403"/>
      <c r="DG132" s="403"/>
      <c r="DH132" s="403"/>
      <c r="DI132" s="403"/>
      <c r="DJ132" s="403"/>
      <c r="DK132" s="403"/>
      <c r="DL132" s="403"/>
      <c r="DM132" s="403"/>
      <c r="DN132" s="403"/>
    </row>
    <row r="133" spans="1:118" ht="13.5" thickBot="1" x14ac:dyDescent="0.25">
      <c r="C133" s="21" t="str">
        <f t="shared" ref="C133:C138" ca="1" si="39">IF(OFFSET(Q133,0,Lang_Order*Lang__R1)="","",OFFSET(Q133,0,Lang_Order*Lang__R1))</f>
        <v>Population Vaccinated, given expected uptake rates</v>
      </c>
      <c r="D133" s="20"/>
      <c r="E133" s="20"/>
      <c r="F133" s="20"/>
      <c r="G133" s="119" t="e">
        <f>'B1. Target Population'!D178</f>
        <v>#N/A</v>
      </c>
      <c r="H133" s="119" t="e">
        <f>'B1. Target Population'!E178+G133</f>
        <v>#N/A</v>
      </c>
      <c r="I133" s="119" t="e">
        <f>'B1. Target Population'!F178+H133</f>
        <v>#N/A</v>
      </c>
      <c r="J133" s="119" t="e">
        <f>'B1. Target Population'!G178+I133</f>
        <v>#N/A</v>
      </c>
      <c r="K133" s="119" t="e">
        <f>'B1. Target Population'!H178+J133</f>
        <v>#N/A</v>
      </c>
      <c r="L133" s="119" t="e">
        <f>'B1. Target Population'!I178+K133</f>
        <v>#N/A</v>
      </c>
      <c r="Q133" s="403" t="s">
        <v>2683</v>
      </c>
      <c r="AF133" s="403" t="s">
        <v>12660</v>
      </c>
      <c r="AU133" s="403" t="s">
        <v>12661</v>
      </c>
      <c r="BJ133" s="403" t="s">
        <v>12662</v>
      </c>
      <c r="BY133" s="403" t="s">
        <v>12663</v>
      </c>
      <c r="CN133" s="403" t="s">
        <v>12664</v>
      </c>
      <c r="DC133" s="403" t="s">
        <v>12665</v>
      </c>
    </row>
    <row r="134" spans="1:118" ht="13.5" thickTop="1" x14ac:dyDescent="0.2">
      <c r="C134" s="31" t="str">
        <f t="shared" ca="1" si="39"/>
        <v>Cumulative total (percent of 2023 population)</v>
      </c>
      <c r="D134" s="56" t="e">
        <f>'B1. Target Population'!I7</f>
        <v>#N/A</v>
      </c>
      <c r="G134" s="162" t="e">
        <f>G133/$D134</f>
        <v>#N/A</v>
      </c>
      <c r="H134" s="162" t="e">
        <f t="shared" ref="H134:L134" si="40">H133/$D134</f>
        <v>#N/A</v>
      </c>
      <c r="I134" s="162" t="e">
        <f t="shared" si="40"/>
        <v>#N/A</v>
      </c>
      <c r="J134" s="162" t="e">
        <f t="shared" si="40"/>
        <v>#N/A</v>
      </c>
      <c r="K134" s="162" t="e">
        <f t="shared" si="40"/>
        <v>#N/A</v>
      </c>
      <c r="L134" s="162" t="e">
        <f t="shared" si="40"/>
        <v>#N/A</v>
      </c>
      <c r="M134" s="567"/>
      <c r="Q134" s="403" t="s">
        <v>4401</v>
      </c>
      <c r="AF134" s="403" t="s">
        <v>12666</v>
      </c>
      <c r="AU134" s="403" t="s">
        <v>12667</v>
      </c>
      <c r="BJ134" s="403" t="s">
        <v>12668</v>
      </c>
      <c r="BY134" s="403" t="s">
        <v>12669</v>
      </c>
      <c r="CN134" s="403" t="s">
        <v>12670</v>
      </c>
      <c r="DC134" s="403" t="s">
        <v>12671</v>
      </c>
    </row>
    <row r="135" spans="1:118" hidden="1" x14ac:dyDescent="0.2">
      <c r="A135" s="567"/>
      <c r="B135" s="645" t="s">
        <v>14117</v>
      </c>
      <c r="C135" s="31" t="str">
        <f t="shared" ca="1" si="39"/>
        <v>Cumulative Population Expected to be Vaccinated,
% of 2023 Population</v>
      </c>
      <c r="G135" s="104">
        <f>'A2. INPUT Population &amp; Delivery'!E347</f>
        <v>0.03</v>
      </c>
      <c r="H135" s="104">
        <f>'A2. INPUT Population &amp; Delivery'!E348</f>
        <v>0.17</v>
      </c>
      <c r="I135" s="104">
        <f>'A2. INPUT Population &amp; Delivery'!E349</f>
        <v>0</v>
      </c>
      <c r="J135" s="104">
        <f>'A2. INPUT Population &amp; Delivery'!E350</f>
        <v>0</v>
      </c>
      <c r="K135" s="104">
        <f>'A2. INPUT Population &amp; Delivery'!E351</f>
        <v>0</v>
      </c>
      <c r="L135" s="104">
        <f>'A2. INPUT Population &amp; Delivery'!E352</f>
        <v>0</v>
      </c>
      <c r="Q135" s="564" t="s">
        <v>4402</v>
      </c>
      <c r="R135" s="564"/>
      <c r="S135" s="564"/>
      <c r="T135" s="564"/>
      <c r="U135" s="564"/>
      <c r="V135" s="564"/>
      <c r="W135" s="564"/>
      <c r="X135" s="564"/>
      <c r="Y135" s="564"/>
      <c r="Z135" s="564"/>
      <c r="AA135" s="564"/>
      <c r="AB135" s="564"/>
      <c r="AD135" s="564"/>
      <c r="AE135" s="564"/>
      <c r="AF135" s="564" t="s">
        <v>13189</v>
      </c>
      <c r="AG135" s="564"/>
      <c r="AH135" s="564"/>
      <c r="AI135" s="564"/>
      <c r="AJ135" s="564"/>
      <c r="AK135" s="564"/>
      <c r="AL135" s="564"/>
      <c r="AM135" s="564"/>
      <c r="AN135" s="564"/>
      <c r="AO135" s="564"/>
      <c r="AP135" s="564"/>
      <c r="AQ135" s="564"/>
      <c r="AR135" s="564"/>
      <c r="AS135" s="564"/>
      <c r="AT135" s="564"/>
      <c r="AU135" s="564" t="s">
        <v>13190</v>
      </c>
      <c r="AV135" s="564"/>
      <c r="AW135" s="564"/>
      <c r="AX135" s="564"/>
      <c r="AY135" s="564"/>
      <c r="AZ135" s="564"/>
      <c r="BA135" s="564"/>
      <c r="BB135" s="564"/>
      <c r="BC135" s="564"/>
      <c r="BD135" s="564"/>
      <c r="BE135" s="564"/>
      <c r="BF135" s="564"/>
      <c r="BG135" s="564"/>
      <c r="BH135" s="564"/>
      <c r="BI135" s="564"/>
      <c r="BJ135" s="564" t="s">
        <v>13191</v>
      </c>
      <c r="BK135" s="564"/>
      <c r="BL135" s="564"/>
      <c r="BM135" s="564"/>
      <c r="BN135" s="564"/>
      <c r="BO135" s="564"/>
      <c r="BP135" s="564"/>
      <c r="BQ135" s="564"/>
      <c r="BR135" s="564"/>
      <c r="BS135" s="564"/>
      <c r="BT135" s="564"/>
      <c r="BU135" s="564"/>
      <c r="BV135" s="564"/>
      <c r="BW135" s="564"/>
      <c r="BX135" s="564"/>
      <c r="BY135" s="564" t="s">
        <v>13192</v>
      </c>
      <c r="BZ135" s="564"/>
      <c r="CA135" s="564"/>
      <c r="CB135" s="564"/>
      <c r="CC135" s="564"/>
      <c r="CD135" s="564"/>
      <c r="CE135" s="564"/>
      <c r="CF135" s="564"/>
      <c r="CG135" s="564"/>
      <c r="CH135" s="564"/>
      <c r="CI135" s="564"/>
      <c r="CJ135" s="564"/>
      <c r="CK135" s="564"/>
      <c r="CL135" s="564"/>
      <c r="CM135" s="564"/>
      <c r="CN135" s="564" t="s">
        <v>13193</v>
      </c>
      <c r="CO135" s="564"/>
      <c r="CP135" s="564"/>
      <c r="CQ135" s="564"/>
      <c r="CR135" s="564"/>
      <c r="CS135" s="564"/>
      <c r="CT135" s="564"/>
      <c r="CU135" s="564"/>
      <c r="CV135" s="564"/>
      <c r="CW135" s="564"/>
      <c r="CY135" s="564"/>
      <c r="CZ135" s="564"/>
      <c r="DA135" s="564"/>
      <c r="DB135" s="564"/>
      <c r="DC135" s="564" t="s">
        <v>13194</v>
      </c>
      <c r="DD135" s="564"/>
      <c r="DE135" s="564"/>
      <c r="DF135" s="564"/>
      <c r="DG135" s="564"/>
      <c r="DH135" s="564"/>
      <c r="DI135" s="564"/>
      <c r="DJ135" s="564"/>
      <c r="DK135" s="564"/>
      <c r="DL135" s="564"/>
      <c r="DM135" s="564"/>
      <c r="DN135" s="564"/>
    </row>
    <row r="136" spans="1:118" x14ac:dyDescent="0.2">
      <c r="A136" s="567"/>
      <c r="C136" s="31" t="str">
        <f t="shared" ca="1" si="39"/>
        <v>Cumulative vaccine supply (percent of 2020 population) excluding wastage</v>
      </c>
      <c r="G136" s="104">
        <f>G135</f>
        <v>0.03</v>
      </c>
      <c r="H136" s="104">
        <f>G136+H135</f>
        <v>0.2</v>
      </c>
      <c r="I136" s="104">
        <f t="shared" ref="I136:L136" si="41">H136+I135</f>
        <v>0.2</v>
      </c>
      <c r="J136" s="104">
        <f t="shared" si="41"/>
        <v>0.2</v>
      </c>
      <c r="K136" s="104">
        <f t="shared" si="41"/>
        <v>0.2</v>
      </c>
      <c r="L136" s="104">
        <f t="shared" si="41"/>
        <v>0.2</v>
      </c>
      <c r="Q136" s="403" t="s">
        <v>4552</v>
      </c>
      <c r="AF136" s="403" t="s">
        <v>13183</v>
      </c>
      <c r="AU136" s="403" t="s">
        <v>13184</v>
      </c>
      <c r="BJ136" s="403" t="s">
        <v>13185</v>
      </c>
      <c r="BY136" s="403" t="s">
        <v>13186</v>
      </c>
      <c r="CN136" s="403" t="s">
        <v>13187</v>
      </c>
      <c r="DC136" s="403" t="s">
        <v>13188</v>
      </c>
    </row>
    <row r="137" spans="1:118" x14ac:dyDescent="0.2">
      <c r="A137" s="567"/>
      <c r="C137" s="425" t="str">
        <f t="shared" ca="1" si="39"/>
        <v>By End of the Period</v>
      </c>
      <c r="Q137" s="403" t="s">
        <v>4407</v>
      </c>
      <c r="AF137" s="403" t="s">
        <v>12672</v>
      </c>
      <c r="AU137" s="403" t="s">
        <v>12673</v>
      </c>
      <c r="BJ137" s="403" t="s">
        <v>12674</v>
      </c>
      <c r="BY137" s="403" t="s">
        <v>12675</v>
      </c>
      <c r="CN137" s="403" t="s">
        <v>12676</v>
      </c>
      <c r="DC137" s="403" t="s">
        <v>12677</v>
      </c>
    </row>
    <row r="138" spans="1:118" x14ac:dyDescent="0.2">
      <c r="A138" s="567"/>
      <c r="C138" s="570" t="str">
        <f t="shared" ca="1" si="39"/>
        <v>Cumulative Population Expected to be Vaccinated,
% of 2023 Population</v>
      </c>
      <c r="Q138" s="521" t="s">
        <v>4402</v>
      </c>
      <c r="AF138" s="564" t="s">
        <v>13189</v>
      </c>
      <c r="AU138" s="564" t="s">
        <v>13190</v>
      </c>
      <c r="BJ138" s="564" t="s">
        <v>13191</v>
      </c>
      <c r="BY138" s="564" t="s">
        <v>13192</v>
      </c>
      <c r="CN138" s="564" t="s">
        <v>13193</v>
      </c>
      <c r="DC138" s="564" t="s">
        <v>13194</v>
      </c>
    </row>
    <row r="139" spans="1:118" ht="39.75" customHeight="1" x14ac:dyDescent="0.2">
      <c r="AF139" s="564"/>
    </row>
    <row r="151" spans="2:118" s="567" customFormat="1" x14ac:dyDescent="0.2">
      <c r="N151" s="564"/>
      <c r="O151" s="564"/>
      <c r="P151" s="564"/>
      <c r="Q151" s="564"/>
      <c r="R151" s="564"/>
      <c r="S151" s="564"/>
      <c r="T151" s="564"/>
      <c r="U151" s="564"/>
      <c r="V151" s="564"/>
      <c r="W151" s="564"/>
      <c r="X151" s="564"/>
      <c r="Y151" s="564"/>
      <c r="Z151" s="564"/>
      <c r="AA151" s="564"/>
      <c r="AB151" s="564"/>
      <c r="AC151" s="564"/>
      <c r="AD151" s="564"/>
      <c r="AE151" s="564"/>
      <c r="AF151" s="564"/>
      <c r="AG151" s="564"/>
      <c r="AH151" s="564"/>
      <c r="AI151" s="564"/>
      <c r="AJ151" s="564"/>
      <c r="AK151" s="564"/>
      <c r="AL151" s="564"/>
      <c r="AM151" s="564"/>
      <c r="AN151" s="564"/>
      <c r="AO151" s="564"/>
      <c r="AP151" s="564"/>
      <c r="AQ151" s="564"/>
      <c r="AR151" s="564"/>
      <c r="AS151" s="564"/>
      <c r="AT151" s="564"/>
      <c r="AU151" s="564"/>
      <c r="AV151" s="564"/>
      <c r="AW151" s="564"/>
      <c r="AX151" s="564"/>
      <c r="AY151" s="564"/>
      <c r="AZ151" s="564"/>
      <c r="BA151" s="564"/>
      <c r="BB151" s="564"/>
      <c r="BC151" s="564"/>
      <c r="BD151" s="564"/>
      <c r="BE151" s="564"/>
      <c r="BF151" s="564"/>
      <c r="BG151" s="564"/>
      <c r="BH151" s="564"/>
      <c r="BI151" s="564"/>
      <c r="BJ151" s="564"/>
      <c r="BK151" s="564"/>
      <c r="BL151" s="564"/>
      <c r="BM151" s="564"/>
      <c r="BN151" s="564"/>
      <c r="BO151" s="564"/>
      <c r="BP151" s="564"/>
      <c r="BQ151" s="564"/>
      <c r="BR151" s="564"/>
      <c r="BS151" s="564"/>
      <c r="BT151" s="564"/>
      <c r="BU151" s="564"/>
      <c r="BV151" s="564"/>
      <c r="BW151" s="564"/>
      <c r="BX151" s="564"/>
      <c r="BY151" s="564"/>
      <c r="BZ151" s="564"/>
      <c r="CA151" s="564"/>
      <c r="CB151" s="564"/>
      <c r="CC151" s="564"/>
      <c r="CD151" s="564"/>
      <c r="CE151" s="564"/>
      <c r="CF151" s="564"/>
      <c r="CG151" s="564"/>
      <c r="CH151" s="564"/>
      <c r="CI151" s="564"/>
      <c r="CJ151" s="564"/>
      <c r="CK151" s="564"/>
      <c r="CL151" s="564"/>
      <c r="CM151" s="564"/>
      <c r="CN151" s="564"/>
      <c r="CO151" s="564"/>
      <c r="CP151" s="564"/>
      <c r="CQ151" s="564"/>
      <c r="CR151" s="564"/>
      <c r="CS151" s="564"/>
      <c r="CT151" s="564"/>
      <c r="CU151" s="564"/>
      <c r="CV151" s="564"/>
      <c r="CW151" s="564"/>
      <c r="CX151" s="564"/>
      <c r="CY151" s="564"/>
      <c r="CZ151" s="564"/>
      <c r="DA151" s="564"/>
      <c r="DB151" s="564"/>
      <c r="DC151" s="564"/>
      <c r="DD151" s="564"/>
      <c r="DE151" s="564"/>
      <c r="DF151" s="564"/>
      <c r="DG151" s="564"/>
      <c r="DH151" s="564"/>
      <c r="DI151" s="564"/>
      <c r="DJ151" s="564"/>
      <c r="DK151" s="564"/>
      <c r="DL151" s="564"/>
      <c r="DM151" s="564"/>
      <c r="DN151" s="564"/>
    </row>
    <row r="154" spans="2:118" s="241" customFormat="1" ht="15" x14ac:dyDescent="0.25">
      <c r="C154" s="33" t="str">
        <f ca="1">IF(OFFSET(Q154,0,Lang_Order*Lang__R1)="","",OFFSET(Q154,0,Lang_Order*Lang__R1))</f>
        <v>R1.3.1.1 Outreach Efficiency</v>
      </c>
      <c r="D154" s="268"/>
      <c r="E154" s="8"/>
      <c r="F154" s="8"/>
      <c r="G154" s="268"/>
      <c r="H154" s="268"/>
      <c r="I154" s="268"/>
      <c r="J154" s="268"/>
      <c r="K154" s="268"/>
      <c r="L154" s="268"/>
      <c r="M154" s="2"/>
      <c r="N154" s="403"/>
      <c r="O154" s="403"/>
      <c r="P154" s="403"/>
      <c r="Q154" s="403" t="s">
        <v>3072</v>
      </c>
      <c r="R154" s="403"/>
      <c r="S154" s="403"/>
      <c r="T154" s="403"/>
      <c r="U154" s="403"/>
      <c r="V154" s="403"/>
      <c r="W154" s="403"/>
      <c r="X154" s="403"/>
      <c r="Y154" s="403"/>
      <c r="Z154" s="403"/>
      <c r="AA154" s="403"/>
      <c r="AB154" s="403"/>
      <c r="AC154" s="564"/>
      <c r="AD154" s="403"/>
      <c r="AE154" s="403"/>
      <c r="AF154" s="403" t="s">
        <v>12678</v>
      </c>
      <c r="AG154" s="403"/>
      <c r="AH154" s="403"/>
      <c r="AI154" s="403"/>
      <c r="AJ154" s="403"/>
      <c r="AK154" s="403"/>
      <c r="AL154" s="403"/>
      <c r="AM154" s="403"/>
      <c r="AN154" s="403"/>
      <c r="AO154" s="403"/>
      <c r="AP154" s="403"/>
      <c r="AQ154" s="403"/>
      <c r="AR154" s="403"/>
      <c r="AS154" s="403"/>
      <c r="AT154" s="403"/>
      <c r="AU154" s="403" t="s">
        <v>12679</v>
      </c>
      <c r="AV154" s="403"/>
      <c r="AW154" s="403"/>
      <c r="AX154" s="403"/>
      <c r="AY154" s="403"/>
      <c r="AZ154" s="403"/>
      <c r="BA154" s="403"/>
      <c r="BB154" s="403"/>
      <c r="BC154" s="403"/>
      <c r="BD154" s="403"/>
      <c r="BE154" s="403"/>
      <c r="BF154" s="403"/>
      <c r="BG154" s="403"/>
      <c r="BH154" s="403"/>
      <c r="BI154" s="403"/>
      <c r="BJ154" s="403" t="s">
        <v>12680</v>
      </c>
      <c r="BK154" s="403"/>
      <c r="BL154" s="403"/>
      <c r="BM154" s="403"/>
      <c r="BN154" s="403"/>
      <c r="BO154" s="403"/>
      <c r="BP154" s="403"/>
      <c r="BQ154" s="403"/>
      <c r="BR154" s="403"/>
      <c r="BS154" s="403"/>
      <c r="BT154" s="403"/>
      <c r="BU154" s="403"/>
      <c r="BV154" s="403"/>
      <c r="BW154" s="403"/>
      <c r="BX154" s="403"/>
      <c r="BY154" s="403" t="s">
        <v>12681</v>
      </c>
      <c r="BZ154" s="403"/>
      <c r="CA154" s="403"/>
      <c r="CB154" s="403"/>
      <c r="CC154" s="403"/>
      <c r="CD154" s="403"/>
      <c r="CE154" s="403"/>
      <c r="CF154" s="403"/>
      <c r="CG154" s="403"/>
      <c r="CH154" s="403"/>
      <c r="CI154" s="403"/>
      <c r="CJ154" s="403"/>
      <c r="CK154" s="403"/>
      <c r="CL154" s="403"/>
      <c r="CM154" s="403"/>
      <c r="CN154" s="403" t="s">
        <v>12682</v>
      </c>
      <c r="CO154" s="403"/>
      <c r="CP154" s="403"/>
      <c r="CQ154" s="403"/>
      <c r="CR154" s="403"/>
      <c r="CS154" s="403"/>
      <c r="CT154" s="403"/>
      <c r="CU154" s="403"/>
      <c r="CV154" s="403"/>
      <c r="CW154" s="403"/>
      <c r="CX154" s="403"/>
      <c r="CY154" s="403"/>
      <c r="CZ154" s="403"/>
      <c r="DA154" s="403"/>
      <c r="DB154" s="403"/>
      <c r="DC154" s="403" t="s">
        <v>12683</v>
      </c>
      <c r="DD154" s="403"/>
      <c r="DE154" s="403"/>
      <c r="DF154" s="403"/>
      <c r="DG154" s="403"/>
      <c r="DH154" s="403"/>
      <c r="DI154" s="403"/>
      <c r="DJ154" s="403"/>
      <c r="DK154" s="403"/>
      <c r="DL154" s="403"/>
      <c r="DM154" s="403"/>
      <c r="DN154" s="403"/>
    </row>
    <row r="155" spans="2:118" s="299" customFormat="1" ht="42" customHeight="1" x14ac:dyDescent="0.2">
      <c r="C155" s="679" t="str">
        <f ca="1">IF(OFFSET(Q155,0,Lang_Order*Lang__R1)="","",OFFSET(Q155,0,Lang_Order*Lang__R1))</f>
        <v>Note: For countries where outreach costs are high, a universal vaccination strategy (covering all ages, high-risk and low-risk populations at the same time) in remote rural outreach areas can be considered. Doing so will save costs arising for repeated visits to the same outreach site to vaccinate different sub-populations. The savings (repeated visits to outreach sites) is estimated here.
To specify a universal vaccination strategy, review the prioritization in B1 and specify the exact same percentage prioritization pattern for all target population groups who are hard-to-reach (delivery modality 4).</v>
      </c>
      <c r="D155" s="679" t="str">
        <f t="shared" ref="D155:L155" ca="1" si="42">IF(OFFSET(R155,0,Lang_Order*Lang__R1)="","",OFFSET(R155,0,Lang_Order*Lang__R1))</f>
        <v/>
      </c>
      <c r="E155" s="679" t="str">
        <f t="shared" ca="1" si="42"/>
        <v/>
      </c>
      <c r="F155" s="679" t="str">
        <f t="shared" ca="1" si="42"/>
        <v/>
      </c>
      <c r="G155" s="679" t="str">
        <f t="shared" ca="1" si="42"/>
        <v/>
      </c>
      <c r="H155" s="679" t="str">
        <f t="shared" ca="1" si="42"/>
        <v/>
      </c>
      <c r="I155" s="679" t="str">
        <f t="shared" ca="1" si="42"/>
        <v/>
      </c>
      <c r="J155" s="679" t="str">
        <f t="shared" ca="1" si="42"/>
        <v/>
      </c>
      <c r="K155" s="679" t="str">
        <f t="shared" ca="1" si="42"/>
        <v/>
      </c>
      <c r="L155" s="679" t="str">
        <f t="shared" ca="1" si="42"/>
        <v/>
      </c>
      <c r="N155" s="403"/>
      <c r="O155" s="403"/>
      <c r="P155" s="403"/>
      <c r="Q155" s="403" t="s">
        <v>4205</v>
      </c>
      <c r="R155" s="403"/>
      <c r="S155" s="403"/>
      <c r="T155" s="403"/>
      <c r="U155" s="403"/>
      <c r="V155" s="403"/>
      <c r="W155" s="403"/>
      <c r="X155" s="403"/>
      <c r="Y155" s="403"/>
      <c r="Z155" s="403"/>
      <c r="AA155" s="403"/>
      <c r="AB155" s="403"/>
      <c r="AC155" s="564"/>
      <c r="AD155" s="403"/>
      <c r="AE155" s="403"/>
      <c r="AF155" s="403" t="s">
        <v>12684</v>
      </c>
      <c r="AG155" s="403"/>
      <c r="AH155" s="403"/>
      <c r="AI155" s="403"/>
      <c r="AJ155" s="403"/>
      <c r="AK155" s="403"/>
      <c r="AL155" s="403"/>
      <c r="AM155" s="403"/>
      <c r="AN155" s="403"/>
      <c r="AO155" s="403"/>
      <c r="AP155" s="403"/>
      <c r="AQ155" s="403"/>
      <c r="AR155" s="403"/>
      <c r="AS155" s="403"/>
      <c r="AT155" s="403"/>
      <c r="AU155" s="403" t="s">
        <v>12685</v>
      </c>
      <c r="AV155" s="403"/>
      <c r="AW155" s="403"/>
      <c r="AX155" s="403"/>
      <c r="AY155" s="403"/>
      <c r="AZ155" s="403"/>
      <c r="BA155" s="403"/>
      <c r="BB155" s="403"/>
      <c r="BC155" s="403"/>
      <c r="BD155" s="403"/>
      <c r="BE155" s="403"/>
      <c r="BF155" s="403"/>
      <c r="BG155" s="403"/>
      <c r="BH155" s="403"/>
      <c r="BI155" s="403"/>
      <c r="BJ155" s="403" t="s">
        <v>12686</v>
      </c>
      <c r="BK155" s="403"/>
      <c r="BL155" s="403"/>
      <c r="BM155" s="403"/>
      <c r="BN155" s="403"/>
      <c r="BO155" s="403"/>
      <c r="BP155" s="403"/>
      <c r="BQ155" s="403"/>
      <c r="BR155" s="403"/>
      <c r="BS155" s="403"/>
      <c r="BT155" s="403"/>
      <c r="BU155" s="403"/>
      <c r="BV155" s="403"/>
      <c r="BW155" s="403"/>
      <c r="BX155" s="403"/>
      <c r="BY155" s="403" t="s">
        <v>12687</v>
      </c>
      <c r="BZ155" s="403"/>
      <c r="CA155" s="403"/>
      <c r="CB155" s="403"/>
      <c r="CC155" s="403"/>
      <c r="CD155" s="403"/>
      <c r="CE155" s="403"/>
      <c r="CF155" s="403"/>
      <c r="CG155" s="403"/>
      <c r="CH155" s="403"/>
      <c r="CI155" s="403"/>
      <c r="CJ155" s="403"/>
      <c r="CK155" s="403"/>
      <c r="CL155" s="403"/>
      <c r="CM155" s="403"/>
      <c r="CN155" s="403" t="s">
        <v>12688</v>
      </c>
      <c r="CO155" s="403"/>
      <c r="CP155" s="403"/>
      <c r="CQ155" s="403"/>
      <c r="CR155" s="403"/>
      <c r="CS155" s="403"/>
      <c r="CT155" s="403"/>
      <c r="CU155" s="403"/>
      <c r="CV155" s="403"/>
      <c r="CW155" s="403"/>
      <c r="CX155" s="403"/>
      <c r="CY155" s="403"/>
      <c r="CZ155" s="403"/>
      <c r="DA155" s="403"/>
      <c r="DB155" s="403"/>
      <c r="DC155" s="403" t="s">
        <v>12689</v>
      </c>
      <c r="DD155" s="403"/>
      <c r="DE155" s="403"/>
      <c r="DF155" s="403"/>
      <c r="DG155" s="403"/>
      <c r="DH155" s="403"/>
      <c r="DI155" s="403"/>
      <c r="DJ155" s="403"/>
      <c r="DK155" s="403"/>
      <c r="DL155" s="403"/>
      <c r="DM155" s="403"/>
      <c r="DN155" s="403"/>
    </row>
    <row r="156" spans="2:118" ht="15" x14ac:dyDescent="0.25">
      <c r="C156" s="241"/>
      <c r="D156" s="30" t="str">
        <f ca="1">IF(OFFSET(R156,0,Lang_Order*Lang__R1)="","",OFFSET(R156,0,Lang_Order*Lang__R1))</f>
        <v>Repeated visits to outreach sites</v>
      </c>
      <c r="R156" s="403" t="s">
        <v>3038</v>
      </c>
      <c r="AG156" s="403" t="s">
        <v>12690</v>
      </c>
      <c r="AV156" s="403" t="s">
        <v>12691</v>
      </c>
      <c r="BK156" s="403" t="s">
        <v>12692</v>
      </c>
      <c r="BZ156" s="403" t="s">
        <v>12693</v>
      </c>
      <c r="CO156" s="403" t="s">
        <v>12694</v>
      </c>
      <c r="DD156" s="403" t="s">
        <v>12695</v>
      </c>
    </row>
    <row r="157" spans="2:118" ht="13.5" thickBot="1" x14ac:dyDescent="0.25">
      <c r="C157" s="21" t="str">
        <f ca="1">IF(OFFSET(Q157,0,Lang_Order*Lang__R1)="","",OFFSET(Q157,0,Lang_Order*Lang__R1))</f>
        <v>Inefficient (non-universal) strategy for DM4</v>
      </c>
      <c r="D157" s="20">
        <f>'B1. Target Population'!J110-Critical_Sites</f>
        <v>0</v>
      </c>
      <c r="E157" s="47" t="str">
        <f ca="1">IF(OFFSET(S157,0,Lang_Order*Lang__R1)="","",OFFSET(S157,0,Lang_Order*Lang__R1))</f>
        <v>&lt;-- Adopting a universal vaccination strategy rather than a high-risk only first strategy will save on n number of repeated visits to outreach sites</v>
      </c>
      <c r="M157" s="2"/>
      <c r="Q157" s="403" t="s">
        <v>3073</v>
      </c>
      <c r="S157" s="403" t="s">
        <v>3139</v>
      </c>
      <c r="AF157" s="403" t="s">
        <v>12696</v>
      </c>
      <c r="AH157" s="403" t="s">
        <v>12697</v>
      </c>
      <c r="AU157" s="403" t="s">
        <v>12698</v>
      </c>
      <c r="AW157" s="403" t="s">
        <v>12699</v>
      </c>
      <c r="BJ157" s="403" t="s">
        <v>12700</v>
      </c>
      <c r="BL157" s="403" t="s">
        <v>12701</v>
      </c>
      <c r="BY157" s="403" t="s">
        <v>12702</v>
      </c>
      <c r="CA157" s="403" t="s">
        <v>12703</v>
      </c>
      <c r="CN157" s="403" t="s">
        <v>12704</v>
      </c>
      <c r="CP157" s="403" t="s">
        <v>12705</v>
      </c>
      <c r="DC157" s="403" t="s">
        <v>12706</v>
      </c>
      <c r="DE157" s="403" t="s">
        <v>12707</v>
      </c>
    </row>
    <row r="158" spans="2:118" s="150" customFormat="1" ht="13.5" thickTop="1" x14ac:dyDescent="0.2">
      <c r="N158" s="403"/>
      <c r="O158" s="403"/>
      <c r="P158" s="403"/>
      <c r="Q158" s="403"/>
      <c r="R158" s="403"/>
      <c r="S158" s="403"/>
      <c r="T158" s="403"/>
      <c r="U158" s="403"/>
      <c r="V158" s="403"/>
      <c r="W158" s="403"/>
      <c r="X158" s="403"/>
      <c r="Y158" s="403"/>
      <c r="Z158" s="403"/>
      <c r="AA158" s="403"/>
      <c r="AB158" s="403"/>
      <c r="AC158" s="564"/>
      <c r="AD158" s="403"/>
      <c r="AE158" s="403"/>
      <c r="AF158" s="403"/>
      <c r="AG158" s="403"/>
      <c r="AH158" s="403"/>
      <c r="AI158" s="403"/>
      <c r="AJ158" s="403"/>
      <c r="AK158" s="403"/>
      <c r="AL158" s="403"/>
      <c r="AM158" s="403"/>
      <c r="AN158" s="403"/>
      <c r="AO158" s="403"/>
      <c r="AP158" s="403"/>
      <c r="AQ158" s="403"/>
      <c r="AR158" s="403"/>
      <c r="AS158" s="403"/>
      <c r="AT158" s="403"/>
      <c r="AU158" s="403"/>
      <c r="AV158" s="403"/>
      <c r="AW158" s="403"/>
      <c r="AX158" s="403"/>
      <c r="AY158" s="403"/>
      <c r="AZ158" s="403"/>
      <c r="BA158" s="403"/>
      <c r="BB158" s="403"/>
      <c r="BC158" s="403"/>
      <c r="BD158" s="403"/>
      <c r="BE158" s="403"/>
      <c r="BF158" s="403"/>
      <c r="BG158" s="403"/>
      <c r="BH158" s="403"/>
      <c r="BI158" s="403"/>
      <c r="BJ158" s="403"/>
      <c r="BK158" s="403"/>
      <c r="BL158" s="403"/>
      <c r="BM158" s="403"/>
      <c r="BN158" s="403"/>
      <c r="BO158" s="403"/>
      <c r="BP158" s="403"/>
      <c r="BQ158" s="403"/>
      <c r="BR158" s="403"/>
      <c r="BS158" s="403"/>
      <c r="BT158" s="403"/>
      <c r="BU158" s="403"/>
      <c r="BV158" s="403"/>
      <c r="BW158" s="403"/>
      <c r="BX158" s="403"/>
      <c r="BY158" s="403"/>
      <c r="BZ158" s="403"/>
      <c r="CA158" s="403"/>
      <c r="CB158" s="403"/>
      <c r="CC158" s="403"/>
      <c r="CD158" s="403"/>
      <c r="CE158" s="403"/>
      <c r="CF158" s="403"/>
      <c r="CG158" s="403"/>
      <c r="CH158" s="403"/>
      <c r="CI158" s="403"/>
      <c r="CJ158" s="403"/>
      <c r="CK158" s="403"/>
      <c r="CL158" s="403"/>
      <c r="CM158" s="403"/>
      <c r="CN158" s="403"/>
      <c r="CO158" s="403"/>
      <c r="CP158" s="403"/>
      <c r="CQ158" s="403"/>
      <c r="CR158" s="403"/>
      <c r="CS158" s="403"/>
      <c r="CT158" s="403"/>
      <c r="CU158" s="403"/>
      <c r="CV158" s="403"/>
      <c r="CW158" s="403"/>
      <c r="CX158" s="403"/>
      <c r="CY158" s="403"/>
      <c r="CZ158" s="403"/>
      <c r="DA158" s="403"/>
      <c r="DB158" s="403"/>
      <c r="DC158" s="403"/>
      <c r="DD158" s="403"/>
      <c r="DE158" s="403"/>
      <c r="DF158" s="403"/>
      <c r="DG158" s="403"/>
      <c r="DH158" s="403"/>
      <c r="DI158" s="403"/>
      <c r="DJ158" s="403"/>
      <c r="DK158" s="403"/>
      <c r="DL158" s="403"/>
      <c r="DM158" s="403"/>
      <c r="DN158" s="403"/>
    </row>
    <row r="159" spans="2:118" ht="15" x14ac:dyDescent="0.25">
      <c r="B159" s="8" t="str">
        <f ca="1">IF(OFFSET(P159,0,Lang_Order*Lang__R1)="","",OFFSET(P159,0,Lang_Order*Lang__R1))</f>
        <v>R1.3.2 Human Resources Implications and Impact</v>
      </c>
      <c r="C159" s="8"/>
      <c r="D159" s="8" t="str">
        <f t="shared" ref="D159:K159" ca="1" si="43">IF(OFFSET(R159,0,Lang_Order*Lang__R1)="","",OFFSET(R159,0,Lang_Order*Lang__R1))</f>
        <v/>
      </c>
      <c r="E159" s="8" t="str">
        <f t="shared" ca="1" si="43"/>
        <v/>
      </c>
      <c r="F159" s="8" t="str">
        <f t="shared" ca="1" si="43"/>
        <v/>
      </c>
      <c r="G159" s="8" t="str">
        <f t="shared" ca="1" si="43"/>
        <v/>
      </c>
      <c r="H159" s="8" t="str">
        <f t="shared" ca="1" si="43"/>
        <v/>
      </c>
      <c r="I159" s="8" t="str">
        <f t="shared" ca="1" si="43"/>
        <v/>
      </c>
      <c r="J159" s="8" t="str">
        <f t="shared" ca="1" si="43"/>
        <v/>
      </c>
      <c r="K159" s="8" t="str">
        <f t="shared" ca="1" si="43"/>
        <v/>
      </c>
      <c r="L159" s="8"/>
      <c r="P159" s="403" t="s">
        <v>3070</v>
      </c>
      <c r="AE159" s="403" t="s">
        <v>12708</v>
      </c>
      <c r="AT159" s="403" t="s">
        <v>12709</v>
      </c>
      <c r="BI159" s="403" t="s">
        <v>12710</v>
      </c>
      <c r="BX159" s="403" t="s">
        <v>12711</v>
      </c>
      <c r="CM159" s="403" t="s">
        <v>12712</v>
      </c>
      <c r="DB159" s="403" t="s">
        <v>12713</v>
      </c>
    </row>
    <row r="160" spans="2:118" ht="15" hidden="1" x14ac:dyDescent="0.25">
      <c r="B160" s="645" t="s">
        <v>14117</v>
      </c>
      <c r="C160" s="55" t="s">
        <v>3060</v>
      </c>
      <c r="D160" s="41" t="s">
        <v>2992</v>
      </c>
      <c r="E160" s="41" t="s">
        <v>2666</v>
      </c>
      <c r="F160" s="25"/>
      <c r="G160" s="41" t="s">
        <v>1597</v>
      </c>
      <c r="H160" s="41" t="s">
        <v>1598</v>
      </c>
      <c r="I160" s="41" t="s">
        <v>1599</v>
      </c>
      <c r="J160" s="41" t="s">
        <v>1600</v>
      </c>
      <c r="K160" s="41" t="s">
        <v>1602</v>
      </c>
      <c r="L160" s="41" t="s">
        <v>1601</v>
      </c>
    </row>
    <row r="161" spans="2:118" s="194" customFormat="1" hidden="1" x14ac:dyDescent="0.2">
      <c r="B161" s="645" t="s">
        <v>14117</v>
      </c>
      <c r="C161" s="5" t="s">
        <v>1632</v>
      </c>
      <c r="D161" s="16"/>
      <c r="E161" s="204" t="e">
        <f>SUM(G161:L161)/SUM(G$165:L$165)</f>
        <v>#N/A</v>
      </c>
      <c r="G161" s="16" t="e">
        <f>'B5. Last Mile Delivery'!J101</f>
        <v>#N/A</v>
      </c>
      <c r="H161" s="16" t="e">
        <f>'B5. Last Mile Delivery'!K101</f>
        <v>#N/A</v>
      </c>
      <c r="I161" s="16" t="e">
        <f>'B5. Last Mile Delivery'!L101</f>
        <v>#N/A</v>
      </c>
      <c r="J161" s="16" t="e">
        <f>'B5. Last Mile Delivery'!M101</f>
        <v>#N/A</v>
      </c>
      <c r="K161" s="16" t="e">
        <f>'B5. Last Mile Delivery'!N101</f>
        <v>#N/A</v>
      </c>
      <c r="L161" s="16" t="e">
        <f>'B5. Last Mile Delivery'!O101</f>
        <v>#N/A</v>
      </c>
      <c r="N161" s="403"/>
      <c r="O161" s="403"/>
      <c r="P161" s="403"/>
      <c r="Q161" s="403"/>
      <c r="R161" s="403"/>
      <c r="S161" s="403"/>
      <c r="T161" s="403"/>
      <c r="U161" s="403"/>
      <c r="V161" s="403"/>
      <c r="W161" s="403"/>
      <c r="X161" s="403"/>
      <c r="Y161" s="403"/>
      <c r="Z161" s="403"/>
      <c r="AA161" s="403"/>
      <c r="AB161" s="403"/>
      <c r="AC161" s="564"/>
      <c r="AD161" s="403"/>
      <c r="AE161" s="403"/>
      <c r="AF161" s="403"/>
      <c r="AG161" s="403"/>
      <c r="AH161" s="403"/>
      <c r="AI161" s="403"/>
      <c r="AJ161" s="403"/>
      <c r="AK161" s="403"/>
      <c r="AL161" s="403"/>
      <c r="AM161" s="403"/>
      <c r="AN161" s="403"/>
      <c r="AO161" s="403"/>
      <c r="AP161" s="403"/>
      <c r="AQ161" s="403"/>
      <c r="AR161" s="403"/>
      <c r="AS161" s="403"/>
      <c r="AT161" s="403"/>
      <c r="AU161" s="403"/>
      <c r="AV161" s="403"/>
      <c r="AW161" s="403"/>
      <c r="AX161" s="403"/>
      <c r="AY161" s="403"/>
      <c r="AZ161" s="403"/>
      <c r="BA161" s="403"/>
      <c r="BB161" s="403"/>
      <c r="BC161" s="403"/>
      <c r="BD161" s="403"/>
      <c r="BE161" s="403"/>
      <c r="BF161" s="403"/>
      <c r="BG161" s="403"/>
      <c r="BH161" s="403"/>
      <c r="BI161" s="403"/>
      <c r="BJ161" s="403"/>
      <c r="BK161" s="403"/>
      <c r="BL161" s="403"/>
      <c r="BM161" s="403"/>
      <c r="BN161" s="403"/>
      <c r="BO161" s="403"/>
      <c r="BP161" s="403"/>
      <c r="BQ161" s="403"/>
      <c r="BR161" s="403"/>
      <c r="BS161" s="403"/>
      <c r="BT161" s="403"/>
      <c r="BU161" s="403"/>
      <c r="BV161" s="403"/>
      <c r="BW161" s="403"/>
      <c r="BX161" s="403"/>
      <c r="BY161" s="403"/>
      <c r="BZ161" s="403"/>
      <c r="CA161" s="403"/>
      <c r="CB161" s="403"/>
      <c r="CC161" s="403"/>
      <c r="CD161" s="403"/>
      <c r="CE161" s="403"/>
      <c r="CF161" s="403"/>
      <c r="CG161" s="403"/>
      <c r="CH161" s="403"/>
      <c r="CI161" s="403"/>
      <c r="CJ161" s="403"/>
      <c r="CK161" s="403"/>
      <c r="CL161" s="403"/>
      <c r="CM161" s="403"/>
      <c r="CN161" s="403"/>
      <c r="CO161" s="403"/>
      <c r="CP161" s="403"/>
      <c r="CQ161" s="403"/>
      <c r="CR161" s="403"/>
      <c r="CS161" s="403"/>
      <c r="CT161" s="403"/>
      <c r="CU161" s="403"/>
      <c r="CV161" s="403"/>
      <c r="CW161" s="403"/>
      <c r="CX161" s="403"/>
      <c r="CY161" s="403"/>
      <c r="CZ161" s="403"/>
      <c r="DA161" s="403"/>
      <c r="DB161" s="403"/>
      <c r="DC161" s="403"/>
      <c r="DD161" s="403"/>
      <c r="DE161" s="403"/>
      <c r="DF161" s="403"/>
      <c r="DG161" s="403"/>
      <c r="DH161" s="403"/>
      <c r="DI161" s="403"/>
      <c r="DJ161" s="403"/>
      <c r="DK161" s="403"/>
      <c r="DL161" s="403"/>
      <c r="DM161" s="403"/>
      <c r="DN161" s="403"/>
    </row>
    <row r="162" spans="2:118" s="194" customFormat="1" hidden="1" x14ac:dyDescent="0.2">
      <c r="B162" s="645" t="s">
        <v>14117</v>
      </c>
      <c r="C162" s="5" t="s">
        <v>1639</v>
      </c>
      <c r="D162" s="16"/>
      <c r="E162" s="204" t="e">
        <f>SUM(G162:L162)/SUM(G$165:L$165)</f>
        <v>#N/A</v>
      </c>
      <c r="G162" s="16" t="e">
        <f>'B5. Last Mile Delivery'!J153</f>
        <v>#N/A</v>
      </c>
      <c r="H162" s="16" t="e">
        <f>'B5. Last Mile Delivery'!K153</f>
        <v>#N/A</v>
      </c>
      <c r="I162" s="16" t="e">
        <f>'B5. Last Mile Delivery'!L153</f>
        <v>#N/A</v>
      </c>
      <c r="J162" s="16" t="e">
        <f>'B5. Last Mile Delivery'!M153</f>
        <v>#N/A</v>
      </c>
      <c r="K162" s="16" t="e">
        <f>'B5. Last Mile Delivery'!N153</f>
        <v>#N/A</v>
      </c>
      <c r="L162" s="16" t="e">
        <f>'B5. Last Mile Delivery'!O153</f>
        <v>#N/A</v>
      </c>
      <c r="N162" s="403"/>
      <c r="O162" s="403"/>
      <c r="P162" s="403"/>
      <c r="Q162" s="403"/>
      <c r="R162" s="403"/>
      <c r="S162" s="403"/>
      <c r="T162" s="403"/>
      <c r="U162" s="403"/>
      <c r="V162" s="403"/>
      <c r="W162" s="403"/>
      <c r="X162" s="403"/>
      <c r="Y162" s="403"/>
      <c r="Z162" s="403"/>
      <c r="AA162" s="403"/>
      <c r="AB162" s="403"/>
      <c r="AC162" s="564"/>
      <c r="AD162" s="403"/>
      <c r="AE162" s="403"/>
      <c r="AF162" s="403"/>
      <c r="AG162" s="403"/>
      <c r="AH162" s="403"/>
      <c r="AI162" s="403"/>
      <c r="AJ162" s="403"/>
      <c r="AK162" s="403"/>
      <c r="AL162" s="403"/>
      <c r="AM162" s="403"/>
      <c r="AN162" s="403"/>
      <c r="AO162" s="403"/>
      <c r="AP162" s="403"/>
      <c r="AQ162" s="403"/>
      <c r="AR162" s="403"/>
      <c r="AS162" s="403"/>
      <c r="AT162" s="403"/>
      <c r="AU162" s="403"/>
      <c r="AV162" s="403"/>
      <c r="AW162" s="403"/>
      <c r="AX162" s="403"/>
      <c r="AY162" s="403"/>
      <c r="AZ162" s="403"/>
      <c r="BA162" s="403"/>
      <c r="BB162" s="403"/>
      <c r="BC162" s="403"/>
      <c r="BD162" s="403"/>
      <c r="BE162" s="403"/>
      <c r="BF162" s="403"/>
      <c r="BG162" s="403"/>
      <c r="BH162" s="403"/>
      <c r="BI162" s="403"/>
      <c r="BJ162" s="403"/>
      <c r="BK162" s="403"/>
      <c r="BL162" s="403"/>
      <c r="BM162" s="403"/>
      <c r="BN162" s="403"/>
      <c r="BO162" s="403"/>
      <c r="BP162" s="403"/>
      <c r="BQ162" s="403"/>
      <c r="BR162" s="403"/>
      <c r="BS162" s="403"/>
      <c r="BT162" s="403"/>
      <c r="BU162" s="403"/>
      <c r="BV162" s="403"/>
      <c r="BW162" s="403"/>
      <c r="BX162" s="403"/>
      <c r="BY162" s="403"/>
      <c r="BZ162" s="403"/>
      <c r="CA162" s="403"/>
      <c r="CB162" s="403"/>
      <c r="CC162" s="403"/>
      <c r="CD162" s="403"/>
      <c r="CE162" s="403"/>
      <c r="CF162" s="403"/>
      <c r="CG162" s="403"/>
      <c r="CH162" s="403"/>
      <c r="CI162" s="403"/>
      <c r="CJ162" s="403"/>
      <c r="CK162" s="403"/>
      <c r="CL162" s="403"/>
      <c r="CM162" s="403"/>
      <c r="CN162" s="403"/>
      <c r="CO162" s="403"/>
      <c r="CP162" s="403"/>
      <c r="CQ162" s="403"/>
      <c r="CR162" s="403"/>
      <c r="CS162" s="403"/>
      <c r="CT162" s="403"/>
      <c r="CU162" s="403"/>
      <c r="CV162" s="403"/>
      <c r="CW162" s="403"/>
      <c r="CX162" s="403"/>
      <c r="CY162" s="403"/>
      <c r="CZ162" s="403"/>
      <c r="DA162" s="403"/>
      <c r="DB162" s="403"/>
      <c r="DC162" s="403"/>
      <c r="DD162" s="403"/>
      <c r="DE162" s="403"/>
      <c r="DF162" s="403"/>
      <c r="DG162" s="403"/>
      <c r="DH162" s="403"/>
      <c r="DI162" s="403"/>
      <c r="DJ162" s="403"/>
      <c r="DK162" s="403"/>
      <c r="DL162" s="403"/>
      <c r="DM162" s="403"/>
      <c r="DN162" s="403"/>
    </row>
    <row r="163" spans="2:118" s="194" customFormat="1" hidden="1" x14ac:dyDescent="0.2">
      <c r="B163" s="645" t="s">
        <v>14117</v>
      </c>
      <c r="C163" s="5" t="s">
        <v>1564</v>
      </c>
      <c r="D163" s="16"/>
      <c r="E163" s="204" t="e">
        <f>SUM(G163:L163)/SUM(G$165:L$165)</f>
        <v>#N/A</v>
      </c>
      <c r="G163" s="16" t="e">
        <f>'B5. Last Mile Delivery'!J201</f>
        <v>#N/A</v>
      </c>
      <c r="H163" s="16" t="e">
        <f>'B5. Last Mile Delivery'!K201</f>
        <v>#N/A</v>
      </c>
      <c r="I163" s="16" t="e">
        <f>'B5. Last Mile Delivery'!L201</f>
        <v>#N/A</v>
      </c>
      <c r="J163" s="16" t="e">
        <f>'B5. Last Mile Delivery'!M201</f>
        <v>#N/A</v>
      </c>
      <c r="K163" s="16" t="e">
        <f>'B5. Last Mile Delivery'!N201</f>
        <v>#N/A</v>
      </c>
      <c r="L163" s="16" t="e">
        <f>'B5. Last Mile Delivery'!O201</f>
        <v>#N/A</v>
      </c>
      <c r="N163" s="403"/>
      <c r="O163" s="403"/>
      <c r="P163" s="403"/>
      <c r="Q163" s="403"/>
      <c r="R163" s="403"/>
      <c r="S163" s="403"/>
      <c r="T163" s="403"/>
      <c r="U163" s="403"/>
      <c r="V163" s="403"/>
      <c r="W163" s="403"/>
      <c r="X163" s="403"/>
      <c r="Y163" s="403"/>
      <c r="Z163" s="403"/>
      <c r="AA163" s="403"/>
      <c r="AB163" s="403"/>
      <c r="AC163" s="564"/>
      <c r="AD163" s="403"/>
      <c r="AE163" s="403"/>
      <c r="AF163" s="403"/>
      <c r="AG163" s="403"/>
      <c r="AH163" s="403"/>
      <c r="AI163" s="403"/>
      <c r="AJ163" s="403"/>
      <c r="AK163" s="403"/>
      <c r="AL163" s="403"/>
      <c r="AM163" s="403"/>
      <c r="AN163" s="403"/>
      <c r="AO163" s="403"/>
      <c r="AP163" s="403"/>
      <c r="AQ163" s="403"/>
      <c r="AR163" s="403"/>
      <c r="AS163" s="403"/>
      <c r="AT163" s="403"/>
      <c r="AU163" s="403"/>
      <c r="AV163" s="403"/>
      <c r="AW163" s="403"/>
      <c r="AX163" s="403"/>
      <c r="AY163" s="403"/>
      <c r="AZ163" s="403"/>
      <c r="BA163" s="403"/>
      <c r="BB163" s="403"/>
      <c r="BC163" s="403"/>
      <c r="BD163" s="403"/>
      <c r="BE163" s="403"/>
      <c r="BF163" s="403"/>
      <c r="BG163" s="403"/>
      <c r="BH163" s="403"/>
      <c r="BI163" s="403"/>
      <c r="BJ163" s="403"/>
      <c r="BK163" s="403"/>
      <c r="BL163" s="403"/>
      <c r="BM163" s="403"/>
      <c r="BN163" s="403"/>
      <c r="BO163" s="403"/>
      <c r="BP163" s="403"/>
      <c r="BQ163" s="403"/>
      <c r="BR163" s="403"/>
      <c r="BS163" s="403"/>
      <c r="BT163" s="403"/>
      <c r="BU163" s="403"/>
      <c r="BV163" s="403"/>
      <c r="BW163" s="403"/>
      <c r="BX163" s="403"/>
      <c r="BY163" s="403"/>
      <c r="BZ163" s="403"/>
      <c r="CA163" s="403"/>
      <c r="CB163" s="403"/>
      <c r="CC163" s="403"/>
      <c r="CD163" s="403"/>
      <c r="CE163" s="403"/>
      <c r="CF163" s="403"/>
      <c r="CG163" s="403"/>
      <c r="CH163" s="403"/>
      <c r="CI163" s="403"/>
      <c r="CJ163" s="403"/>
      <c r="CK163" s="403"/>
      <c r="CL163" s="403"/>
      <c r="CM163" s="403"/>
      <c r="CN163" s="403"/>
      <c r="CO163" s="403"/>
      <c r="CP163" s="403"/>
      <c r="CQ163" s="403"/>
      <c r="CR163" s="403"/>
      <c r="CS163" s="403"/>
      <c r="CT163" s="403"/>
      <c r="CU163" s="403"/>
      <c r="CV163" s="403"/>
      <c r="CW163" s="403"/>
      <c r="CX163" s="403"/>
      <c r="CY163" s="403"/>
      <c r="CZ163" s="403"/>
      <c r="DA163" s="403"/>
      <c r="DB163" s="403"/>
      <c r="DC163" s="403"/>
      <c r="DD163" s="403"/>
      <c r="DE163" s="403"/>
      <c r="DF163" s="403"/>
      <c r="DG163" s="403"/>
      <c r="DH163" s="403"/>
      <c r="DI163" s="403"/>
      <c r="DJ163" s="403"/>
      <c r="DK163" s="403"/>
      <c r="DL163" s="403"/>
      <c r="DM163" s="403"/>
      <c r="DN163" s="403"/>
    </row>
    <row r="164" spans="2:118" s="194" customFormat="1" hidden="1" x14ac:dyDescent="0.2">
      <c r="B164" s="645" t="s">
        <v>14117</v>
      </c>
      <c r="C164" s="5" t="s">
        <v>1565</v>
      </c>
      <c r="D164" s="16"/>
      <c r="E164" s="204" t="e">
        <f>SUM(G164:L164)/SUM(G$165:L$165)</f>
        <v>#N/A</v>
      </c>
      <c r="G164" s="16" t="e">
        <f>'B5. Last Mile Delivery'!J258</f>
        <v>#N/A</v>
      </c>
      <c r="H164" s="16" t="e">
        <f>'B5. Last Mile Delivery'!K258</f>
        <v>#N/A</v>
      </c>
      <c r="I164" s="16" t="e">
        <f>'B5. Last Mile Delivery'!L258</f>
        <v>#N/A</v>
      </c>
      <c r="J164" s="16" t="e">
        <f>'B5. Last Mile Delivery'!M258</f>
        <v>#N/A</v>
      </c>
      <c r="K164" s="16" t="e">
        <f>'B5. Last Mile Delivery'!N258</f>
        <v>#N/A</v>
      </c>
      <c r="L164" s="16" t="e">
        <f>'B5. Last Mile Delivery'!O258</f>
        <v>#N/A</v>
      </c>
      <c r="N164" s="403"/>
      <c r="O164" s="403"/>
      <c r="P164" s="403"/>
      <c r="Q164" s="403"/>
      <c r="R164" s="403"/>
      <c r="S164" s="403"/>
      <c r="T164" s="403"/>
      <c r="U164" s="403"/>
      <c r="V164" s="403"/>
      <c r="W164" s="403"/>
      <c r="X164" s="403"/>
      <c r="Y164" s="403"/>
      <c r="Z164" s="403"/>
      <c r="AA164" s="403"/>
      <c r="AB164" s="403"/>
      <c r="AC164" s="564"/>
      <c r="AD164" s="403"/>
      <c r="AE164" s="403"/>
      <c r="AF164" s="403"/>
      <c r="AG164" s="403"/>
      <c r="AH164" s="403"/>
      <c r="AI164" s="403"/>
      <c r="AJ164" s="403"/>
      <c r="AK164" s="403"/>
      <c r="AL164" s="403"/>
      <c r="AM164" s="403"/>
      <c r="AN164" s="403"/>
      <c r="AO164" s="403"/>
      <c r="AP164" s="403"/>
      <c r="AQ164" s="403"/>
      <c r="AR164" s="403"/>
      <c r="AS164" s="403"/>
      <c r="AT164" s="403"/>
      <c r="AU164" s="403"/>
      <c r="AV164" s="403"/>
      <c r="AW164" s="403"/>
      <c r="AX164" s="403"/>
      <c r="AY164" s="403"/>
      <c r="AZ164" s="403"/>
      <c r="BA164" s="403"/>
      <c r="BB164" s="403"/>
      <c r="BC164" s="403"/>
      <c r="BD164" s="403"/>
      <c r="BE164" s="403"/>
      <c r="BF164" s="403"/>
      <c r="BG164" s="403"/>
      <c r="BH164" s="403"/>
      <c r="BI164" s="403"/>
      <c r="BJ164" s="403"/>
      <c r="BK164" s="403"/>
      <c r="BL164" s="403"/>
      <c r="BM164" s="403"/>
      <c r="BN164" s="403"/>
      <c r="BO164" s="403"/>
      <c r="BP164" s="403"/>
      <c r="BQ164" s="403"/>
      <c r="BR164" s="403"/>
      <c r="BS164" s="403"/>
      <c r="BT164" s="403"/>
      <c r="BU164" s="403"/>
      <c r="BV164" s="403"/>
      <c r="BW164" s="403"/>
      <c r="BX164" s="403"/>
      <c r="BY164" s="403"/>
      <c r="BZ164" s="403"/>
      <c r="CA164" s="403"/>
      <c r="CB164" s="403"/>
      <c r="CC164" s="403"/>
      <c r="CD164" s="403"/>
      <c r="CE164" s="403"/>
      <c r="CF164" s="403"/>
      <c r="CG164" s="403"/>
      <c r="CH164" s="403"/>
      <c r="CI164" s="403"/>
      <c r="CJ164" s="403"/>
      <c r="CK164" s="403"/>
      <c r="CL164" s="403"/>
      <c r="CM164" s="403"/>
      <c r="CN164" s="403"/>
      <c r="CO164" s="403"/>
      <c r="CP164" s="403"/>
      <c r="CQ164" s="403"/>
      <c r="CR164" s="403"/>
      <c r="CS164" s="403"/>
      <c r="CT164" s="403"/>
      <c r="CU164" s="403"/>
      <c r="CV164" s="403"/>
      <c r="CW164" s="403"/>
      <c r="CX164" s="403"/>
      <c r="CY164" s="403"/>
      <c r="CZ164" s="403"/>
      <c r="DA164" s="403"/>
      <c r="DB164" s="403"/>
      <c r="DC164" s="403"/>
      <c r="DD164" s="403"/>
      <c r="DE164" s="403"/>
      <c r="DF164" s="403"/>
      <c r="DG164" s="403"/>
      <c r="DH164" s="403"/>
      <c r="DI164" s="403"/>
      <c r="DJ164" s="403"/>
      <c r="DK164" s="403"/>
      <c r="DL164" s="403"/>
      <c r="DM164" s="403"/>
      <c r="DN164" s="403"/>
    </row>
    <row r="165" spans="2:118" ht="13.5" hidden="1" thickBot="1" x14ac:dyDescent="0.25">
      <c r="B165" s="645" t="s">
        <v>14117</v>
      </c>
      <c r="C165" s="21" t="s">
        <v>2829</v>
      </c>
      <c r="D165" s="161"/>
      <c r="E165" s="20"/>
      <c r="F165" s="20"/>
      <c r="G165" s="161" t="e">
        <f>'B5. Last Mile Delivery'!J56</f>
        <v>#N/A</v>
      </c>
      <c r="H165" s="161" t="e">
        <f>'B5. Last Mile Delivery'!K56</f>
        <v>#N/A</v>
      </c>
      <c r="I165" s="161" t="e">
        <f>'B5. Last Mile Delivery'!L56</f>
        <v>#N/A</v>
      </c>
      <c r="J165" s="161" t="e">
        <f>'B5. Last Mile Delivery'!M56</f>
        <v>#N/A</v>
      </c>
      <c r="K165" s="161" t="e">
        <f>'B5. Last Mile Delivery'!N56</f>
        <v>#N/A</v>
      </c>
      <c r="L165" s="161" t="e">
        <f>'B5. Last Mile Delivery'!O56</f>
        <v>#N/A</v>
      </c>
    </row>
    <row r="166" spans="2:118" s="241" customFormat="1" ht="13.5" hidden="1" thickTop="1" x14ac:dyDescent="0.2">
      <c r="B166" s="645" t="s">
        <v>14117</v>
      </c>
      <c r="C166" s="31" t="s">
        <v>2988</v>
      </c>
      <c r="D166" s="16"/>
      <c r="G166" s="16" t="e">
        <f>'B5. Last Mile Delivery'!J57</f>
        <v>#N/A</v>
      </c>
      <c r="H166" s="16" t="e">
        <f>'B5. Last Mile Delivery'!K57</f>
        <v>#N/A</v>
      </c>
      <c r="I166" s="16" t="e">
        <f>'B5. Last Mile Delivery'!L57</f>
        <v>#N/A</v>
      </c>
      <c r="J166" s="16" t="e">
        <f>'B5. Last Mile Delivery'!M57</f>
        <v>#N/A</v>
      </c>
      <c r="K166" s="16" t="e">
        <f>'B5. Last Mile Delivery'!N57</f>
        <v>#N/A</v>
      </c>
      <c r="L166" s="16" t="e">
        <f>'B5. Last Mile Delivery'!O57</f>
        <v>#N/A</v>
      </c>
      <c r="N166" s="403"/>
      <c r="O166" s="403"/>
      <c r="P166" s="403"/>
      <c r="Q166" s="403"/>
      <c r="R166" s="403"/>
      <c r="S166" s="403"/>
      <c r="T166" s="403"/>
      <c r="U166" s="403"/>
      <c r="V166" s="403"/>
      <c r="W166" s="403"/>
      <c r="X166" s="403"/>
      <c r="Y166" s="403"/>
      <c r="Z166" s="403"/>
      <c r="AA166" s="403"/>
      <c r="AB166" s="403"/>
      <c r="AC166" s="564"/>
      <c r="AD166" s="403"/>
      <c r="AE166" s="403"/>
      <c r="AF166" s="403"/>
      <c r="AG166" s="403"/>
      <c r="AH166" s="403"/>
      <c r="AI166" s="403"/>
      <c r="AJ166" s="403"/>
      <c r="AK166" s="403"/>
      <c r="AL166" s="403"/>
      <c r="AM166" s="403"/>
      <c r="AN166" s="403"/>
      <c r="AO166" s="403"/>
      <c r="AP166" s="403"/>
      <c r="AQ166" s="403"/>
      <c r="AR166" s="403"/>
      <c r="AS166" s="403"/>
      <c r="AT166" s="403"/>
      <c r="AU166" s="403"/>
      <c r="AV166" s="403"/>
      <c r="AW166" s="403"/>
      <c r="AX166" s="403"/>
      <c r="AY166" s="403"/>
      <c r="AZ166" s="403"/>
      <c r="BA166" s="403"/>
      <c r="BB166" s="403"/>
      <c r="BC166" s="403"/>
      <c r="BD166" s="403"/>
      <c r="BE166" s="403"/>
      <c r="BF166" s="403"/>
      <c r="BG166" s="403"/>
      <c r="BH166" s="403"/>
      <c r="BI166" s="403"/>
      <c r="BJ166" s="403"/>
      <c r="BK166" s="403"/>
      <c r="BL166" s="403"/>
      <c r="BM166" s="403"/>
      <c r="BN166" s="403"/>
      <c r="BO166" s="403"/>
      <c r="BP166" s="403"/>
      <c r="BQ166" s="403"/>
      <c r="BR166" s="403"/>
      <c r="BS166" s="403"/>
      <c r="BT166" s="403"/>
      <c r="BU166" s="403"/>
      <c r="BV166" s="403"/>
      <c r="BW166" s="403"/>
      <c r="BX166" s="403"/>
      <c r="BY166" s="403"/>
      <c r="BZ166" s="403"/>
      <c r="CA166" s="403"/>
      <c r="CB166" s="403"/>
      <c r="CC166" s="403"/>
      <c r="CD166" s="403"/>
      <c r="CE166" s="403"/>
      <c r="CF166" s="403"/>
      <c r="CG166" s="403"/>
      <c r="CH166" s="403"/>
      <c r="CI166" s="403"/>
      <c r="CJ166" s="403"/>
      <c r="CK166" s="403"/>
      <c r="CL166" s="403"/>
      <c r="CM166" s="403"/>
      <c r="CN166" s="403"/>
      <c r="CO166" s="403"/>
      <c r="CP166" s="403"/>
      <c r="CQ166" s="403"/>
      <c r="CR166" s="403"/>
      <c r="CS166" s="403"/>
      <c r="CT166" s="403"/>
      <c r="CU166" s="403"/>
      <c r="CV166" s="403"/>
      <c r="CW166" s="403"/>
      <c r="CX166" s="403"/>
      <c r="CY166" s="403"/>
      <c r="CZ166" s="403"/>
      <c r="DA166" s="403"/>
      <c r="DB166" s="403"/>
      <c r="DC166" s="403"/>
      <c r="DD166" s="403"/>
      <c r="DE166" s="403"/>
      <c r="DF166" s="403"/>
      <c r="DG166" s="403"/>
      <c r="DH166" s="403"/>
      <c r="DI166" s="403"/>
      <c r="DJ166" s="403"/>
      <c r="DK166" s="403"/>
      <c r="DL166" s="403"/>
      <c r="DM166" s="403"/>
      <c r="DN166" s="403"/>
    </row>
    <row r="167" spans="2:118" hidden="1" x14ac:dyDescent="0.2">
      <c r="B167" s="645" t="s">
        <v>14117</v>
      </c>
      <c r="C167" s="247" t="s">
        <v>2976</v>
      </c>
      <c r="D167" s="266" t="e">
        <f>Vaccinators_Maximum</f>
        <v>#N/A</v>
      </c>
      <c r="G167" s="16"/>
      <c r="H167" s="16"/>
      <c r="I167" s="16"/>
      <c r="J167" s="16"/>
      <c r="K167" s="16"/>
      <c r="L167" s="16"/>
    </row>
    <row r="168" spans="2:118" s="241" customFormat="1" hidden="1" x14ac:dyDescent="0.2">
      <c r="B168" s="645" t="s">
        <v>14117</v>
      </c>
      <c r="D168" s="16"/>
      <c r="G168" s="16"/>
      <c r="H168" s="16"/>
      <c r="I168" s="16"/>
      <c r="J168" s="16"/>
      <c r="K168" s="16"/>
      <c r="L168" s="16"/>
      <c r="N168" s="403"/>
      <c r="O168" s="403"/>
      <c r="P168" s="403"/>
      <c r="Q168" s="403"/>
      <c r="R168" s="403"/>
      <c r="S168" s="403"/>
      <c r="T168" s="403"/>
      <c r="U168" s="403"/>
      <c r="V168" s="403"/>
      <c r="W168" s="403"/>
      <c r="X168" s="403"/>
      <c r="Y168" s="403"/>
      <c r="Z168" s="403"/>
      <c r="AA168" s="403"/>
      <c r="AB168" s="403"/>
      <c r="AC168" s="564"/>
      <c r="AD168" s="403"/>
      <c r="AE168" s="403"/>
      <c r="AF168" s="403"/>
      <c r="AG168" s="403"/>
      <c r="AH168" s="403"/>
      <c r="AI168" s="403"/>
      <c r="AJ168" s="403"/>
      <c r="AK168" s="403"/>
      <c r="AL168" s="403"/>
      <c r="AM168" s="403"/>
      <c r="AN168" s="403"/>
      <c r="AO168" s="403"/>
      <c r="AP168" s="403"/>
      <c r="AQ168" s="403"/>
      <c r="AR168" s="403"/>
      <c r="AS168" s="403"/>
      <c r="AT168" s="403"/>
      <c r="AU168" s="403"/>
      <c r="AV168" s="403"/>
      <c r="AW168" s="403"/>
      <c r="AX168" s="403"/>
      <c r="AY168" s="403"/>
      <c r="AZ168" s="403"/>
      <c r="BA168" s="403"/>
      <c r="BB168" s="403"/>
      <c r="BC168" s="403"/>
      <c r="BD168" s="403"/>
      <c r="BE168" s="403"/>
      <c r="BF168" s="403"/>
      <c r="BG168" s="403"/>
      <c r="BH168" s="403"/>
      <c r="BI168" s="403"/>
      <c r="BJ168" s="403"/>
      <c r="BK168" s="403"/>
      <c r="BL168" s="403"/>
      <c r="BM168" s="403"/>
      <c r="BN168" s="403"/>
      <c r="BO168" s="403"/>
      <c r="BP168" s="403"/>
      <c r="BQ168" s="403"/>
      <c r="BR168" s="403"/>
      <c r="BS168" s="403"/>
      <c r="BT168" s="403"/>
      <c r="BU168" s="403"/>
      <c r="BV168" s="403"/>
      <c r="BW168" s="403"/>
      <c r="BX168" s="403"/>
      <c r="BY168" s="403"/>
      <c r="BZ168" s="403"/>
      <c r="CA168" s="403"/>
      <c r="CB168" s="403"/>
      <c r="CC168" s="403"/>
      <c r="CD168" s="403"/>
      <c r="CE168" s="403"/>
      <c r="CF168" s="403"/>
      <c r="CG168" s="403"/>
      <c r="CH168" s="403"/>
      <c r="CI168" s="403"/>
      <c r="CJ168" s="403"/>
      <c r="CK168" s="403"/>
      <c r="CL168" s="403"/>
      <c r="CM168" s="403"/>
      <c r="CN168" s="403"/>
      <c r="CO168" s="403"/>
      <c r="CP168" s="403"/>
      <c r="CQ168" s="403"/>
      <c r="CR168" s="403"/>
      <c r="CS168" s="403"/>
      <c r="CT168" s="403"/>
      <c r="CU168" s="403"/>
      <c r="CV168" s="403"/>
      <c r="CW168" s="403"/>
      <c r="CX168" s="403"/>
      <c r="CY168" s="403"/>
      <c r="CZ168" s="403"/>
      <c r="DA168" s="403"/>
      <c r="DB168" s="403"/>
      <c r="DC168" s="403"/>
      <c r="DD168" s="403"/>
      <c r="DE168" s="403"/>
      <c r="DF168" s="403"/>
      <c r="DG168" s="403"/>
      <c r="DH168" s="403"/>
      <c r="DI168" s="403"/>
      <c r="DJ168" s="403"/>
      <c r="DK168" s="403"/>
      <c r="DL168" s="403"/>
      <c r="DM168" s="403"/>
      <c r="DN168" s="403"/>
    </row>
    <row r="169" spans="2:118" s="241" customFormat="1" ht="15" hidden="1" x14ac:dyDescent="0.25">
      <c r="B169" s="645" t="s">
        <v>14117</v>
      </c>
      <c r="C169" s="55" t="s">
        <v>2987</v>
      </c>
      <c r="D169" s="265"/>
      <c r="E169" s="25"/>
      <c r="F169" s="25"/>
      <c r="G169" s="265" t="s">
        <v>1597</v>
      </c>
      <c r="H169" s="265" t="s">
        <v>1598</v>
      </c>
      <c r="I169" s="265" t="s">
        <v>1599</v>
      </c>
      <c r="J169" s="265" t="s">
        <v>1600</v>
      </c>
      <c r="K169" s="265" t="s">
        <v>1602</v>
      </c>
      <c r="L169" s="265" t="s">
        <v>1601</v>
      </c>
      <c r="N169" s="403"/>
      <c r="O169" s="403"/>
      <c r="P169" s="403"/>
      <c r="Q169" s="403"/>
      <c r="R169" s="403"/>
      <c r="S169" s="403"/>
      <c r="T169" s="403"/>
      <c r="U169" s="403"/>
      <c r="V169" s="403"/>
      <c r="W169" s="403"/>
      <c r="X169" s="403"/>
      <c r="Y169" s="403"/>
      <c r="Z169" s="403"/>
      <c r="AA169" s="403"/>
      <c r="AB169" s="403"/>
      <c r="AC169" s="564"/>
      <c r="AD169" s="403"/>
      <c r="AE169" s="403"/>
      <c r="AF169" s="403"/>
      <c r="AG169" s="403"/>
      <c r="AH169" s="403"/>
      <c r="AI169" s="403"/>
      <c r="AJ169" s="403"/>
      <c r="AK169" s="403"/>
      <c r="AL169" s="403"/>
      <c r="AM169" s="403"/>
      <c r="AN169" s="403"/>
      <c r="AO169" s="403"/>
      <c r="AP169" s="403"/>
      <c r="AQ169" s="403"/>
      <c r="AR169" s="403"/>
      <c r="AS169" s="403"/>
      <c r="AT169" s="403"/>
      <c r="AU169" s="403"/>
      <c r="AV169" s="403"/>
      <c r="AW169" s="403"/>
      <c r="AX169" s="403"/>
      <c r="AY169" s="403"/>
      <c r="AZ169" s="403"/>
      <c r="BA169" s="403"/>
      <c r="BB169" s="403"/>
      <c r="BC169" s="403"/>
      <c r="BD169" s="403"/>
      <c r="BE169" s="403"/>
      <c r="BF169" s="403"/>
      <c r="BG169" s="403"/>
      <c r="BH169" s="403"/>
      <c r="BI169" s="403"/>
      <c r="BJ169" s="403"/>
      <c r="BK169" s="403"/>
      <c r="BL169" s="403"/>
      <c r="BM169" s="403"/>
      <c r="BN169" s="403"/>
      <c r="BO169" s="403"/>
      <c r="BP169" s="403"/>
      <c r="BQ169" s="403"/>
      <c r="BR169" s="403"/>
      <c r="BS169" s="403"/>
      <c r="BT169" s="403"/>
      <c r="BU169" s="403"/>
      <c r="BV169" s="403"/>
      <c r="BW169" s="403"/>
      <c r="BX169" s="403"/>
      <c r="BY169" s="403"/>
      <c r="BZ169" s="403"/>
      <c r="CA169" s="403"/>
      <c r="CB169" s="403"/>
      <c r="CC169" s="403"/>
      <c r="CD169" s="403"/>
      <c r="CE169" s="403"/>
      <c r="CF169" s="403"/>
      <c r="CG169" s="403"/>
      <c r="CH169" s="403"/>
      <c r="CI169" s="403"/>
      <c r="CJ169" s="403"/>
      <c r="CK169" s="403"/>
      <c r="CL169" s="403"/>
      <c r="CM169" s="403"/>
      <c r="CN169" s="403"/>
      <c r="CO169" s="403"/>
      <c r="CP169" s="403"/>
      <c r="CQ169" s="403"/>
      <c r="CR169" s="403"/>
      <c r="CS169" s="403"/>
      <c r="CT169" s="403"/>
      <c r="CU169" s="403"/>
      <c r="CV169" s="403"/>
      <c r="CW169" s="403"/>
      <c r="CX169" s="403"/>
      <c r="CY169" s="403"/>
      <c r="CZ169" s="403"/>
      <c r="DA169" s="403"/>
      <c r="DB169" s="403"/>
      <c r="DC169" s="403"/>
      <c r="DD169" s="403"/>
      <c r="DE169" s="403"/>
      <c r="DF169" s="403"/>
      <c r="DG169" s="403"/>
      <c r="DH169" s="403"/>
      <c r="DI169" s="403"/>
      <c r="DJ169" s="403"/>
      <c r="DK169" s="403"/>
      <c r="DL169" s="403"/>
      <c r="DM169" s="403"/>
      <c r="DN169" s="403"/>
    </row>
    <row r="170" spans="2:118" s="241" customFormat="1" hidden="1" x14ac:dyDescent="0.2">
      <c r="B170" s="645" t="s">
        <v>14117</v>
      </c>
      <c r="C170" s="5" t="s">
        <v>1632</v>
      </c>
      <c r="D170" s="16"/>
      <c r="G170" s="16" t="e">
        <f>'B5. Last Mile Delivery'!J109</f>
        <v>#N/A</v>
      </c>
      <c r="H170" s="16" t="e">
        <f>'B5. Last Mile Delivery'!K109</f>
        <v>#N/A</v>
      </c>
      <c r="I170" s="16" t="e">
        <f>'B5. Last Mile Delivery'!L109</f>
        <v>#N/A</v>
      </c>
      <c r="J170" s="16" t="e">
        <f>'B5. Last Mile Delivery'!M109</f>
        <v>#N/A</v>
      </c>
      <c r="K170" s="16" t="e">
        <f>'B5. Last Mile Delivery'!N109</f>
        <v>#N/A</v>
      </c>
      <c r="L170" s="16" t="e">
        <f>'B5. Last Mile Delivery'!O109</f>
        <v>#N/A</v>
      </c>
      <c r="N170" s="403"/>
      <c r="O170" s="403"/>
      <c r="P170" s="403"/>
      <c r="Q170" s="403"/>
      <c r="R170" s="403"/>
      <c r="S170" s="403"/>
      <c r="T170" s="403"/>
      <c r="U170" s="403"/>
      <c r="V170" s="403"/>
      <c r="W170" s="403"/>
      <c r="X170" s="403"/>
      <c r="Y170" s="403"/>
      <c r="Z170" s="403"/>
      <c r="AA170" s="403"/>
      <c r="AB170" s="403"/>
      <c r="AC170" s="564"/>
      <c r="AD170" s="403"/>
      <c r="AE170" s="403"/>
      <c r="AF170" s="403"/>
      <c r="AG170" s="403"/>
      <c r="AH170" s="403"/>
      <c r="AI170" s="403"/>
      <c r="AJ170" s="403"/>
      <c r="AK170" s="403"/>
      <c r="AL170" s="403"/>
      <c r="AM170" s="403"/>
      <c r="AN170" s="403"/>
      <c r="AO170" s="403"/>
      <c r="AP170" s="403"/>
      <c r="AQ170" s="403"/>
      <c r="AR170" s="403"/>
      <c r="AS170" s="403"/>
      <c r="AT170" s="403"/>
      <c r="AU170" s="403"/>
      <c r="AV170" s="403"/>
      <c r="AW170" s="403"/>
      <c r="AX170" s="403"/>
      <c r="AY170" s="403"/>
      <c r="AZ170" s="403"/>
      <c r="BA170" s="403"/>
      <c r="BB170" s="403"/>
      <c r="BC170" s="403"/>
      <c r="BD170" s="403"/>
      <c r="BE170" s="403"/>
      <c r="BF170" s="403"/>
      <c r="BG170" s="403"/>
      <c r="BH170" s="403"/>
      <c r="BI170" s="403"/>
      <c r="BJ170" s="403"/>
      <c r="BK170" s="403"/>
      <c r="BL170" s="403"/>
      <c r="BM170" s="403"/>
      <c r="BN170" s="403"/>
      <c r="BO170" s="403"/>
      <c r="BP170" s="403"/>
      <c r="BQ170" s="403"/>
      <c r="BR170" s="403"/>
      <c r="BS170" s="403"/>
      <c r="BT170" s="403"/>
      <c r="BU170" s="403"/>
      <c r="BV170" s="403"/>
      <c r="BW170" s="403"/>
      <c r="BX170" s="403"/>
      <c r="BY170" s="403"/>
      <c r="BZ170" s="403"/>
      <c r="CA170" s="403"/>
      <c r="CB170" s="403"/>
      <c r="CC170" s="403"/>
      <c r="CD170" s="403"/>
      <c r="CE170" s="403"/>
      <c r="CF170" s="403"/>
      <c r="CG170" s="403"/>
      <c r="CH170" s="403"/>
      <c r="CI170" s="403"/>
      <c r="CJ170" s="403"/>
      <c r="CK170" s="403"/>
      <c r="CL170" s="403"/>
      <c r="CM170" s="403"/>
      <c r="CN170" s="403"/>
      <c r="CO170" s="403"/>
      <c r="CP170" s="403"/>
      <c r="CQ170" s="403"/>
      <c r="CR170" s="403"/>
      <c r="CS170" s="403"/>
      <c r="CT170" s="403"/>
      <c r="CU170" s="403"/>
      <c r="CV170" s="403"/>
      <c r="CW170" s="403"/>
      <c r="CX170" s="403"/>
      <c r="CY170" s="403"/>
      <c r="CZ170" s="403"/>
      <c r="DA170" s="403"/>
      <c r="DB170" s="403"/>
      <c r="DC170" s="403"/>
      <c r="DD170" s="403"/>
      <c r="DE170" s="403"/>
      <c r="DF170" s="403"/>
      <c r="DG170" s="403"/>
      <c r="DH170" s="403"/>
      <c r="DI170" s="403"/>
      <c r="DJ170" s="403"/>
      <c r="DK170" s="403"/>
      <c r="DL170" s="403"/>
      <c r="DM170" s="403"/>
      <c r="DN170" s="403"/>
    </row>
    <row r="171" spans="2:118" s="241" customFormat="1" hidden="1" x14ac:dyDescent="0.2">
      <c r="B171" s="645" t="s">
        <v>14117</v>
      </c>
      <c r="C171" s="5" t="s">
        <v>1639</v>
      </c>
      <c r="D171" s="16"/>
      <c r="G171" s="16" t="e">
        <f>'B5. Last Mile Delivery'!J161</f>
        <v>#N/A</v>
      </c>
      <c r="H171" s="16" t="e">
        <f>'B5. Last Mile Delivery'!K161</f>
        <v>#N/A</v>
      </c>
      <c r="I171" s="16" t="e">
        <f>'B5. Last Mile Delivery'!L161</f>
        <v>#N/A</v>
      </c>
      <c r="J171" s="16" t="e">
        <f>'B5. Last Mile Delivery'!M161</f>
        <v>#N/A</v>
      </c>
      <c r="K171" s="16" t="e">
        <f>'B5. Last Mile Delivery'!N161</f>
        <v>#N/A</v>
      </c>
      <c r="L171" s="16" t="e">
        <f>'B5. Last Mile Delivery'!O161</f>
        <v>#N/A</v>
      </c>
      <c r="N171" s="403"/>
      <c r="O171" s="403"/>
      <c r="P171" s="403"/>
      <c r="Q171" s="403"/>
      <c r="R171" s="403"/>
      <c r="S171" s="403"/>
      <c r="T171" s="403"/>
      <c r="U171" s="403"/>
      <c r="V171" s="403"/>
      <c r="W171" s="403"/>
      <c r="X171" s="403"/>
      <c r="Y171" s="403"/>
      <c r="Z171" s="403"/>
      <c r="AA171" s="403"/>
      <c r="AB171" s="403"/>
      <c r="AC171" s="564"/>
      <c r="AD171" s="403"/>
      <c r="AE171" s="403"/>
      <c r="AF171" s="403"/>
      <c r="AG171" s="403"/>
      <c r="AH171" s="403"/>
      <c r="AI171" s="403"/>
      <c r="AJ171" s="403"/>
      <c r="AK171" s="403"/>
      <c r="AL171" s="403"/>
      <c r="AM171" s="403"/>
      <c r="AN171" s="403"/>
      <c r="AO171" s="403"/>
      <c r="AP171" s="403"/>
      <c r="AQ171" s="403"/>
      <c r="AR171" s="403"/>
      <c r="AS171" s="403"/>
      <c r="AT171" s="403"/>
      <c r="AU171" s="403"/>
      <c r="AV171" s="403"/>
      <c r="AW171" s="403"/>
      <c r="AX171" s="403"/>
      <c r="AY171" s="403"/>
      <c r="AZ171" s="403"/>
      <c r="BA171" s="403"/>
      <c r="BB171" s="403"/>
      <c r="BC171" s="403"/>
      <c r="BD171" s="403"/>
      <c r="BE171" s="403"/>
      <c r="BF171" s="403"/>
      <c r="BG171" s="403"/>
      <c r="BH171" s="403"/>
      <c r="BI171" s="403"/>
      <c r="BJ171" s="403"/>
      <c r="BK171" s="403"/>
      <c r="BL171" s="403"/>
      <c r="BM171" s="403"/>
      <c r="BN171" s="403"/>
      <c r="BO171" s="403"/>
      <c r="BP171" s="403"/>
      <c r="BQ171" s="403"/>
      <c r="BR171" s="403"/>
      <c r="BS171" s="403"/>
      <c r="BT171" s="403"/>
      <c r="BU171" s="403"/>
      <c r="BV171" s="403"/>
      <c r="BW171" s="403"/>
      <c r="BX171" s="403"/>
      <c r="BY171" s="403"/>
      <c r="BZ171" s="403"/>
      <c r="CA171" s="403"/>
      <c r="CB171" s="403"/>
      <c r="CC171" s="403"/>
      <c r="CD171" s="403"/>
      <c r="CE171" s="403"/>
      <c r="CF171" s="403"/>
      <c r="CG171" s="403"/>
      <c r="CH171" s="403"/>
      <c r="CI171" s="403"/>
      <c r="CJ171" s="403"/>
      <c r="CK171" s="403"/>
      <c r="CL171" s="403"/>
      <c r="CM171" s="403"/>
      <c r="CN171" s="403"/>
      <c r="CO171" s="403"/>
      <c r="CP171" s="403"/>
      <c r="CQ171" s="403"/>
      <c r="CR171" s="403"/>
      <c r="CS171" s="403"/>
      <c r="CT171" s="403"/>
      <c r="CU171" s="403"/>
      <c r="CV171" s="403"/>
      <c r="CW171" s="403"/>
      <c r="CX171" s="403"/>
      <c r="CY171" s="403"/>
      <c r="CZ171" s="403"/>
      <c r="DA171" s="403"/>
      <c r="DB171" s="403"/>
      <c r="DC171" s="403"/>
      <c r="DD171" s="403"/>
      <c r="DE171" s="403"/>
      <c r="DF171" s="403"/>
      <c r="DG171" s="403"/>
      <c r="DH171" s="403"/>
      <c r="DI171" s="403"/>
      <c r="DJ171" s="403"/>
      <c r="DK171" s="403"/>
      <c r="DL171" s="403"/>
      <c r="DM171" s="403"/>
      <c r="DN171" s="403"/>
    </row>
    <row r="172" spans="2:118" s="241" customFormat="1" hidden="1" x14ac:dyDescent="0.2">
      <c r="B172" s="645" t="s">
        <v>14117</v>
      </c>
      <c r="C172" s="5" t="s">
        <v>1564</v>
      </c>
      <c r="D172" s="16"/>
      <c r="G172" s="16" t="e">
        <f>'B5. Last Mile Delivery'!J209</f>
        <v>#N/A</v>
      </c>
      <c r="H172" s="16" t="e">
        <f>'B5. Last Mile Delivery'!K209</f>
        <v>#N/A</v>
      </c>
      <c r="I172" s="16" t="e">
        <f>'B5. Last Mile Delivery'!L209</f>
        <v>#N/A</v>
      </c>
      <c r="J172" s="16" t="e">
        <f>'B5. Last Mile Delivery'!M209</f>
        <v>#N/A</v>
      </c>
      <c r="K172" s="16" t="e">
        <f>'B5. Last Mile Delivery'!N209</f>
        <v>#N/A</v>
      </c>
      <c r="L172" s="16" t="e">
        <f>'B5. Last Mile Delivery'!O209</f>
        <v>#N/A</v>
      </c>
      <c r="N172" s="403"/>
      <c r="O172" s="403"/>
      <c r="P172" s="403"/>
      <c r="Q172" s="403"/>
      <c r="R172" s="403"/>
      <c r="S172" s="403"/>
      <c r="T172" s="403"/>
      <c r="U172" s="403"/>
      <c r="V172" s="403"/>
      <c r="W172" s="403"/>
      <c r="X172" s="403"/>
      <c r="Y172" s="403"/>
      <c r="Z172" s="403"/>
      <c r="AA172" s="403"/>
      <c r="AB172" s="403"/>
      <c r="AC172" s="564"/>
      <c r="AD172" s="403"/>
      <c r="AE172" s="403"/>
      <c r="AF172" s="403"/>
      <c r="AG172" s="403"/>
      <c r="AH172" s="403"/>
      <c r="AI172" s="403"/>
      <c r="AJ172" s="403"/>
      <c r="AK172" s="403"/>
      <c r="AL172" s="403"/>
      <c r="AM172" s="403"/>
      <c r="AN172" s="403"/>
      <c r="AO172" s="403"/>
      <c r="AP172" s="403"/>
      <c r="AQ172" s="403"/>
      <c r="AR172" s="403"/>
      <c r="AS172" s="403"/>
      <c r="AT172" s="403"/>
      <c r="AU172" s="403"/>
      <c r="AV172" s="403"/>
      <c r="AW172" s="403"/>
      <c r="AX172" s="403"/>
      <c r="AY172" s="403"/>
      <c r="AZ172" s="403"/>
      <c r="BA172" s="403"/>
      <c r="BB172" s="403"/>
      <c r="BC172" s="403"/>
      <c r="BD172" s="403"/>
      <c r="BE172" s="403"/>
      <c r="BF172" s="403"/>
      <c r="BG172" s="403"/>
      <c r="BH172" s="403"/>
      <c r="BI172" s="403"/>
      <c r="BJ172" s="403"/>
      <c r="BK172" s="403"/>
      <c r="BL172" s="403"/>
      <c r="BM172" s="403"/>
      <c r="BN172" s="403"/>
      <c r="BO172" s="403"/>
      <c r="BP172" s="403"/>
      <c r="BQ172" s="403"/>
      <c r="BR172" s="403"/>
      <c r="BS172" s="403"/>
      <c r="BT172" s="403"/>
      <c r="BU172" s="403"/>
      <c r="BV172" s="403"/>
      <c r="BW172" s="403"/>
      <c r="BX172" s="403"/>
      <c r="BY172" s="403"/>
      <c r="BZ172" s="403"/>
      <c r="CA172" s="403"/>
      <c r="CB172" s="403"/>
      <c r="CC172" s="403"/>
      <c r="CD172" s="403"/>
      <c r="CE172" s="403"/>
      <c r="CF172" s="403"/>
      <c r="CG172" s="403"/>
      <c r="CH172" s="403"/>
      <c r="CI172" s="403"/>
      <c r="CJ172" s="403"/>
      <c r="CK172" s="403"/>
      <c r="CL172" s="403"/>
      <c r="CM172" s="403"/>
      <c r="CN172" s="403"/>
      <c r="CO172" s="403"/>
      <c r="CP172" s="403"/>
      <c r="CQ172" s="403"/>
      <c r="CR172" s="403"/>
      <c r="CS172" s="403"/>
      <c r="CT172" s="403"/>
      <c r="CU172" s="403"/>
      <c r="CV172" s="403"/>
      <c r="CW172" s="403"/>
      <c r="CX172" s="403"/>
      <c r="CY172" s="403"/>
      <c r="CZ172" s="403"/>
      <c r="DA172" s="403"/>
      <c r="DB172" s="403"/>
      <c r="DC172" s="403"/>
      <c r="DD172" s="403"/>
      <c r="DE172" s="403"/>
      <c r="DF172" s="403"/>
      <c r="DG172" s="403"/>
      <c r="DH172" s="403"/>
      <c r="DI172" s="403"/>
      <c r="DJ172" s="403"/>
      <c r="DK172" s="403"/>
      <c r="DL172" s="403"/>
      <c r="DM172" s="403"/>
      <c r="DN172" s="403"/>
    </row>
    <row r="173" spans="2:118" s="241" customFormat="1" hidden="1" x14ac:dyDescent="0.2">
      <c r="B173" s="645" t="s">
        <v>14117</v>
      </c>
      <c r="C173" s="5" t="s">
        <v>1565</v>
      </c>
      <c r="D173" s="16"/>
      <c r="G173" s="16" t="e">
        <f>'B5. Last Mile Delivery'!J282</f>
        <v>#N/A</v>
      </c>
      <c r="H173" s="16" t="e">
        <f>'B5. Last Mile Delivery'!K282</f>
        <v>#N/A</v>
      </c>
      <c r="I173" s="16" t="e">
        <f>'B5. Last Mile Delivery'!L282</f>
        <v>#N/A</v>
      </c>
      <c r="J173" s="16" t="e">
        <f>'B5. Last Mile Delivery'!M282</f>
        <v>#N/A</v>
      </c>
      <c r="K173" s="16" t="e">
        <f>'B5. Last Mile Delivery'!N282</f>
        <v>#N/A</v>
      </c>
      <c r="L173" s="16" t="e">
        <f>'B5. Last Mile Delivery'!O282</f>
        <v>#N/A</v>
      </c>
      <c r="N173" s="403"/>
      <c r="O173" s="403"/>
      <c r="P173" s="403"/>
      <c r="Q173" s="403"/>
      <c r="R173" s="403"/>
      <c r="S173" s="403"/>
      <c r="T173" s="403"/>
      <c r="U173" s="403"/>
      <c r="V173" s="403"/>
      <c r="W173" s="403"/>
      <c r="X173" s="403"/>
      <c r="Y173" s="403"/>
      <c r="Z173" s="403"/>
      <c r="AA173" s="403"/>
      <c r="AB173" s="403"/>
      <c r="AC173" s="564"/>
      <c r="AD173" s="403"/>
      <c r="AE173" s="403"/>
      <c r="AF173" s="403"/>
      <c r="AG173" s="403"/>
      <c r="AH173" s="403"/>
      <c r="AI173" s="403"/>
      <c r="AJ173" s="403"/>
      <c r="AK173" s="403"/>
      <c r="AL173" s="403"/>
      <c r="AM173" s="403"/>
      <c r="AN173" s="403"/>
      <c r="AO173" s="403"/>
      <c r="AP173" s="403"/>
      <c r="AQ173" s="403"/>
      <c r="AR173" s="403"/>
      <c r="AS173" s="403"/>
      <c r="AT173" s="403"/>
      <c r="AU173" s="403"/>
      <c r="AV173" s="403"/>
      <c r="AW173" s="403"/>
      <c r="AX173" s="403"/>
      <c r="AY173" s="403"/>
      <c r="AZ173" s="403"/>
      <c r="BA173" s="403"/>
      <c r="BB173" s="403"/>
      <c r="BC173" s="403"/>
      <c r="BD173" s="403"/>
      <c r="BE173" s="403"/>
      <c r="BF173" s="403"/>
      <c r="BG173" s="403"/>
      <c r="BH173" s="403"/>
      <c r="BI173" s="403"/>
      <c r="BJ173" s="403"/>
      <c r="BK173" s="403"/>
      <c r="BL173" s="403"/>
      <c r="BM173" s="403"/>
      <c r="BN173" s="403"/>
      <c r="BO173" s="403"/>
      <c r="BP173" s="403"/>
      <c r="BQ173" s="403"/>
      <c r="BR173" s="403"/>
      <c r="BS173" s="403"/>
      <c r="BT173" s="403"/>
      <c r="BU173" s="403"/>
      <c r="BV173" s="403"/>
      <c r="BW173" s="403"/>
      <c r="BX173" s="403"/>
      <c r="BY173" s="403"/>
      <c r="BZ173" s="403"/>
      <c r="CA173" s="403"/>
      <c r="CB173" s="403"/>
      <c r="CC173" s="403"/>
      <c r="CD173" s="403"/>
      <c r="CE173" s="403"/>
      <c r="CF173" s="403"/>
      <c r="CG173" s="403"/>
      <c r="CH173" s="403"/>
      <c r="CI173" s="403"/>
      <c r="CJ173" s="403"/>
      <c r="CK173" s="403"/>
      <c r="CL173" s="403"/>
      <c r="CM173" s="403"/>
      <c r="CN173" s="403"/>
      <c r="CO173" s="403"/>
      <c r="CP173" s="403"/>
      <c r="CQ173" s="403"/>
      <c r="CR173" s="403"/>
      <c r="CS173" s="403"/>
      <c r="CT173" s="403"/>
      <c r="CU173" s="403"/>
      <c r="CV173" s="403"/>
      <c r="CW173" s="403"/>
      <c r="CX173" s="403"/>
      <c r="CY173" s="403"/>
      <c r="CZ173" s="403"/>
      <c r="DA173" s="403"/>
      <c r="DB173" s="403"/>
      <c r="DC173" s="403"/>
      <c r="DD173" s="403"/>
      <c r="DE173" s="403"/>
      <c r="DF173" s="403"/>
      <c r="DG173" s="403"/>
      <c r="DH173" s="403"/>
      <c r="DI173" s="403"/>
      <c r="DJ173" s="403"/>
      <c r="DK173" s="403"/>
      <c r="DL173" s="403"/>
      <c r="DM173" s="403"/>
      <c r="DN173" s="403"/>
    </row>
    <row r="174" spans="2:118" s="241" customFormat="1" ht="13.5" hidden="1" thickBot="1" x14ac:dyDescent="0.25">
      <c r="B174" s="645" t="s">
        <v>14117</v>
      </c>
      <c r="D174" s="16"/>
      <c r="G174" s="119" t="e">
        <f>SUM(G170:G173)</f>
        <v>#N/A</v>
      </c>
      <c r="H174" s="119" t="e">
        <f t="shared" ref="H174:L174" si="44">SUM(H170:H173)</f>
        <v>#N/A</v>
      </c>
      <c r="I174" s="119" t="e">
        <f t="shared" si="44"/>
        <v>#N/A</v>
      </c>
      <c r="J174" s="119" t="e">
        <f t="shared" si="44"/>
        <v>#N/A</v>
      </c>
      <c r="K174" s="119" t="e">
        <f t="shared" si="44"/>
        <v>#N/A</v>
      </c>
      <c r="L174" s="119" t="e">
        <f t="shared" si="44"/>
        <v>#N/A</v>
      </c>
      <c r="N174" s="403"/>
      <c r="O174" s="403"/>
      <c r="P174" s="403"/>
      <c r="Q174" s="403"/>
      <c r="R174" s="403"/>
      <c r="S174" s="403"/>
      <c r="T174" s="403"/>
      <c r="U174" s="403"/>
      <c r="V174" s="403"/>
      <c r="W174" s="403"/>
      <c r="X174" s="403"/>
      <c r="Y174" s="403"/>
      <c r="Z174" s="403"/>
      <c r="AA174" s="403"/>
      <c r="AB174" s="403"/>
      <c r="AC174" s="564"/>
      <c r="AD174" s="403"/>
      <c r="AE174" s="403"/>
      <c r="AF174" s="403"/>
      <c r="AG174" s="403"/>
      <c r="AH174" s="403"/>
      <c r="AI174" s="403"/>
      <c r="AJ174" s="403"/>
      <c r="AK174" s="403"/>
      <c r="AL174" s="403"/>
      <c r="AM174" s="403"/>
      <c r="AN174" s="403"/>
      <c r="AO174" s="403"/>
      <c r="AP174" s="403"/>
      <c r="AQ174" s="403"/>
      <c r="AR174" s="403"/>
      <c r="AS174" s="403"/>
      <c r="AT174" s="403"/>
      <c r="AU174" s="403"/>
      <c r="AV174" s="403"/>
      <c r="AW174" s="403"/>
      <c r="AX174" s="403"/>
      <c r="AY174" s="403"/>
      <c r="AZ174" s="403"/>
      <c r="BA174" s="403"/>
      <c r="BB174" s="403"/>
      <c r="BC174" s="403"/>
      <c r="BD174" s="403"/>
      <c r="BE174" s="403"/>
      <c r="BF174" s="403"/>
      <c r="BG174" s="403"/>
      <c r="BH174" s="403"/>
      <c r="BI174" s="403"/>
      <c r="BJ174" s="403"/>
      <c r="BK174" s="403"/>
      <c r="BL174" s="403"/>
      <c r="BM174" s="403"/>
      <c r="BN174" s="403"/>
      <c r="BO174" s="403"/>
      <c r="BP174" s="403"/>
      <c r="BQ174" s="403"/>
      <c r="BR174" s="403"/>
      <c r="BS174" s="403"/>
      <c r="BT174" s="403"/>
      <c r="BU174" s="403"/>
      <c r="BV174" s="403"/>
      <c r="BW174" s="403"/>
      <c r="BX174" s="403"/>
      <c r="BY174" s="403"/>
      <c r="BZ174" s="403"/>
      <c r="CA174" s="403"/>
      <c r="CB174" s="403"/>
      <c r="CC174" s="403"/>
      <c r="CD174" s="403"/>
      <c r="CE174" s="403"/>
      <c r="CF174" s="403"/>
      <c r="CG174" s="403"/>
      <c r="CH174" s="403"/>
      <c r="CI174" s="403"/>
      <c r="CJ174" s="403"/>
      <c r="CK174" s="403"/>
      <c r="CL174" s="403"/>
      <c r="CM174" s="403"/>
      <c r="CN174" s="403"/>
      <c r="CO174" s="403"/>
      <c r="CP174" s="403"/>
      <c r="CQ174" s="403"/>
      <c r="CR174" s="403"/>
      <c r="CS174" s="403"/>
      <c r="CT174" s="403"/>
      <c r="CU174" s="403"/>
      <c r="CV174" s="403"/>
      <c r="CW174" s="403"/>
      <c r="CX174" s="403"/>
      <c r="CY174" s="403"/>
      <c r="CZ174" s="403"/>
      <c r="DA174" s="403"/>
      <c r="DB174" s="403"/>
      <c r="DC174" s="403"/>
      <c r="DD174" s="403"/>
      <c r="DE174" s="403"/>
      <c r="DF174" s="403"/>
      <c r="DG174" s="403"/>
      <c r="DH174" s="403"/>
      <c r="DI174" s="403"/>
      <c r="DJ174" s="403"/>
      <c r="DK174" s="403"/>
      <c r="DL174" s="403"/>
      <c r="DM174" s="403"/>
      <c r="DN174" s="403"/>
    </row>
    <row r="175" spans="2:118" s="241" customFormat="1" ht="13.5" hidden="1" thickTop="1" x14ac:dyDescent="0.2">
      <c r="B175" s="645" t="s">
        <v>14117</v>
      </c>
      <c r="D175" s="16"/>
      <c r="G175" s="16"/>
      <c r="H175" s="16"/>
      <c r="I175" s="16"/>
      <c r="J175" s="16"/>
      <c r="K175" s="16"/>
      <c r="L175" s="16"/>
      <c r="N175" s="403"/>
      <c r="O175" s="403"/>
      <c r="P175" s="403"/>
      <c r="Q175" s="403"/>
      <c r="R175" s="403"/>
      <c r="S175" s="403"/>
      <c r="T175" s="403"/>
      <c r="U175" s="403"/>
      <c r="V175" s="403"/>
      <c r="W175" s="403"/>
      <c r="X175" s="403"/>
      <c r="Y175" s="403"/>
      <c r="Z175" s="403"/>
      <c r="AA175" s="403"/>
      <c r="AB175" s="403"/>
      <c r="AC175" s="564"/>
      <c r="AD175" s="403"/>
      <c r="AE175" s="403"/>
      <c r="AF175" s="403"/>
      <c r="AG175" s="403"/>
      <c r="AH175" s="403"/>
      <c r="AI175" s="403"/>
      <c r="AJ175" s="403"/>
      <c r="AK175" s="403"/>
      <c r="AL175" s="403"/>
      <c r="AM175" s="403"/>
      <c r="AN175" s="403"/>
      <c r="AO175" s="403"/>
      <c r="AP175" s="403"/>
      <c r="AQ175" s="403"/>
      <c r="AR175" s="403"/>
      <c r="AS175" s="403"/>
      <c r="AT175" s="403"/>
      <c r="AU175" s="403"/>
      <c r="AV175" s="403"/>
      <c r="AW175" s="403"/>
      <c r="AX175" s="403"/>
      <c r="AY175" s="403"/>
      <c r="AZ175" s="403"/>
      <c r="BA175" s="403"/>
      <c r="BB175" s="403"/>
      <c r="BC175" s="403"/>
      <c r="BD175" s="403"/>
      <c r="BE175" s="403"/>
      <c r="BF175" s="403"/>
      <c r="BG175" s="403"/>
      <c r="BH175" s="403"/>
      <c r="BI175" s="403"/>
      <c r="BJ175" s="403"/>
      <c r="BK175" s="403"/>
      <c r="BL175" s="403"/>
      <c r="BM175" s="403"/>
      <c r="BN175" s="403"/>
      <c r="BO175" s="403"/>
      <c r="BP175" s="403"/>
      <c r="BQ175" s="403"/>
      <c r="BR175" s="403"/>
      <c r="BS175" s="403"/>
      <c r="BT175" s="403"/>
      <c r="BU175" s="403"/>
      <c r="BV175" s="403"/>
      <c r="BW175" s="403"/>
      <c r="BX175" s="403"/>
      <c r="BY175" s="403"/>
      <c r="BZ175" s="403"/>
      <c r="CA175" s="403"/>
      <c r="CB175" s="403"/>
      <c r="CC175" s="403"/>
      <c r="CD175" s="403"/>
      <c r="CE175" s="403"/>
      <c r="CF175" s="403"/>
      <c r="CG175" s="403"/>
      <c r="CH175" s="403"/>
      <c r="CI175" s="403"/>
      <c r="CJ175" s="403"/>
      <c r="CK175" s="403"/>
      <c r="CL175" s="403"/>
      <c r="CM175" s="403"/>
      <c r="CN175" s="403"/>
      <c r="CO175" s="403"/>
      <c r="CP175" s="403"/>
      <c r="CQ175" s="403"/>
      <c r="CR175" s="403"/>
      <c r="CS175" s="403"/>
      <c r="CT175" s="403"/>
      <c r="CU175" s="403"/>
      <c r="CV175" s="403"/>
      <c r="CW175" s="403"/>
      <c r="CX175" s="403"/>
      <c r="CY175" s="403"/>
      <c r="CZ175" s="403"/>
      <c r="DA175" s="403"/>
      <c r="DB175" s="403"/>
      <c r="DC175" s="403"/>
      <c r="DD175" s="403"/>
      <c r="DE175" s="403"/>
      <c r="DF175" s="403"/>
      <c r="DG175" s="403"/>
      <c r="DH175" s="403"/>
      <c r="DI175" s="403"/>
      <c r="DJ175" s="403"/>
      <c r="DK175" s="403"/>
      <c r="DL175" s="403"/>
      <c r="DM175" s="403"/>
      <c r="DN175" s="403"/>
    </row>
    <row r="176" spans="2:118" s="241" customFormat="1" hidden="1" x14ac:dyDescent="0.2">
      <c r="B176" s="645" t="s">
        <v>14117</v>
      </c>
      <c r="D176" s="16"/>
      <c r="G176" s="16"/>
      <c r="H176" s="16"/>
      <c r="I176" s="16"/>
      <c r="J176" s="16"/>
      <c r="K176" s="16"/>
      <c r="L176" s="16"/>
      <c r="N176" s="403"/>
      <c r="O176" s="403"/>
      <c r="P176" s="403"/>
      <c r="Q176" s="403"/>
      <c r="R176" s="403"/>
      <c r="S176" s="403"/>
      <c r="T176" s="403"/>
      <c r="U176" s="403"/>
      <c r="V176" s="403"/>
      <c r="W176" s="403"/>
      <c r="X176" s="403"/>
      <c r="Y176" s="403"/>
      <c r="Z176" s="403"/>
      <c r="AA176" s="403"/>
      <c r="AB176" s="403"/>
      <c r="AC176" s="564"/>
      <c r="AD176" s="403"/>
      <c r="AE176" s="403"/>
      <c r="AF176" s="403"/>
      <c r="AG176" s="403"/>
      <c r="AH176" s="403"/>
      <c r="AI176" s="403"/>
      <c r="AJ176" s="403"/>
      <c r="AK176" s="403"/>
      <c r="AL176" s="403"/>
      <c r="AM176" s="403"/>
      <c r="AN176" s="403"/>
      <c r="AO176" s="403"/>
      <c r="AP176" s="403"/>
      <c r="AQ176" s="403"/>
      <c r="AR176" s="403"/>
      <c r="AS176" s="403"/>
      <c r="AT176" s="403"/>
      <c r="AU176" s="403"/>
      <c r="AV176" s="403"/>
      <c r="AW176" s="403"/>
      <c r="AX176" s="403"/>
      <c r="AY176" s="403"/>
      <c r="AZ176" s="403"/>
      <c r="BA176" s="403"/>
      <c r="BB176" s="403"/>
      <c r="BC176" s="403"/>
      <c r="BD176" s="403"/>
      <c r="BE176" s="403"/>
      <c r="BF176" s="403"/>
      <c r="BG176" s="403"/>
      <c r="BH176" s="403"/>
      <c r="BI176" s="403"/>
      <c r="BJ176" s="403"/>
      <c r="BK176" s="403"/>
      <c r="BL176" s="403"/>
      <c r="BM176" s="403"/>
      <c r="BN176" s="403"/>
      <c r="BO176" s="403"/>
      <c r="BP176" s="403"/>
      <c r="BQ176" s="403"/>
      <c r="BR176" s="403"/>
      <c r="BS176" s="403"/>
      <c r="BT176" s="403"/>
      <c r="BU176" s="403"/>
      <c r="BV176" s="403"/>
      <c r="BW176" s="403"/>
      <c r="BX176" s="403"/>
      <c r="BY176" s="403"/>
      <c r="BZ176" s="403"/>
      <c r="CA176" s="403"/>
      <c r="CB176" s="403"/>
      <c r="CC176" s="403"/>
      <c r="CD176" s="403"/>
      <c r="CE176" s="403"/>
      <c r="CF176" s="403"/>
      <c r="CG176" s="403"/>
      <c r="CH176" s="403"/>
      <c r="CI176" s="403"/>
      <c r="CJ176" s="403"/>
      <c r="CK176" s="403"/>
      <c r="CL176" s="403"/>
      <c r="CM176" s="403"/>
      <c r="CN176" s="403"/>
      <c r="CO176" s="403"/>
      <c r="CP176" s="403"/>
      <c r="CQ176" s="403"/>
      <c r="CR176" s="403"/>
      <c r="CS176" s="403"/>
      <c r="CT176" s="403"/>
      <c r="CU176" s="403"/>
      <c r="CV176" s="403"/>
      <c r="CW176" s="403"/>
      <c r="CX176" s="403"/>
      <c r="CY176" s="403"/>
      <c r="CZ176" s="403"/>
      <c r="DA176" s="403"/>
      <c r="DB176" s="403"/>
      <c r="DC176" s="403"/>
      <c r="DD176" s="403"/>
      <c r="DE176" s="403"/>
      <c r="DF176" s="403"/>
      <c r="DG176" s="403"/>
      <c r="DH176" s="403"/>
      <c r="DI176" s="403"/>
      <c r="DJ176" s="403"/>
      <c r="DK176" s="403"/>
      <c r="DL176" s="403"/>
      <c r="DM176" s="403"/>
      <c r="DN176" s="403"/>
    </row>
    <row r="177" spans="2:118" s="241" customFormat="1" ht="15" hidden="1" x14ac:dyDescent="0.25">
      <c r="B177" s="645" t="s">
        <v>14117</v>
      </c>
      <c r="C177" s="55" t="s">
        <v>3059</v>
      </c>
      <c r="D177" s="265" t="s">
        <v>2992</v>
      </c>
      <c r="E177" s="255" t="s">
        <v>2666</v>
      </c>
      <c r="F177" s="25"/>
      <c r="G177" s="265" t="s">
        <v>1597</v>
      </c>
      <c r="H177" s="265" t="s">
        <v>1598</v>
      </c>
      <c r="I177" s="265" t="s">
        <v>1599</v>
      </c>
      <c r="J177" s="265" t="s">
        <v>1600</v>
      </c>
      <c r="K177" s="265" t="s">
        <v>1602</v>
      </c>
      <c r="L177" s="265" t="s">
        <v>1601</v>
      </c>
      <c r="N177" s="403"/>
      <c r="O177" s="403"/>
      <c r="P177" s="403"/>
      <c r="Q177" s="403"/>
      <c r="R177" s="403"/>
      <c r="S177" s="403"/>
      <c r="T177" s="403"/>
      <c r="U177" s="403"/>
      <c r="V177" s="403"/>
      <c r="W177" s="403"/>
      <c r="X177" s="403"/>
      <c r="Y177" s="403"/>
      <c r="Z177" s="403"/>
      <c r="AA177" s="403"/>
      <c r="AB177" s="403"/>
      <c r="AC177" s="564"/>
      <c r="AD177" s="403"/>
      <c r="AE177" s="403"/>
      <c r="AF177" s="403"/>
      <c r="AG177" s="403"/>
      <c r="AH177" s="403"/>
      <c r="AI177" s="403"/>
      <c r="AJ177" s="403"/>
      <c r="AK177" s="403"/>
      <c r="AL177" s="403"/>
      <c r="AM177" s="403"/>
      <c r="AN177" s="403"/>
      <c r="AO177" s="403"/>
      <c r="AP177" s="403"/>
      <c r="AQ177" s="403"/>
      <c r="AR177" s="403"/>
      <c r="AS177" s="403"/>
      <c r="AT177" s="403"/>
      <c r="AU177" s="403"/>
      <c r="AV177" s="403"/>
      <c r="AW177" s="403"/>
      <c r="AX177" s="403"/>
      <c r="AY177" s="403"/>
      <c r="AZ177" s="403"/>
      <c r="BA177" s="403"/>
      <c r="BB177" s="403"/>
      <c r="BC177" s="403"/>
      <c r="BD177" s="403"/>
      <c r="BE177" s="403"/>
      <c r="BF177" s="403"/>
      <c r="BG177" s="403"/>
      <c r="BH177" s="403"/>
      <c r="BI177" s="403"/>
      <c r="BJ177" s="403"/>
      <c r="BK177" s="403"/>
      <c r="BL177" s="403"/>
      <c r="BM177" s="403"/>
      <c r="BN177" s="403"/>
      <c r="BO177" s="403"/>
      <c r="BP177" s="403"/>
      <c r="BQ177" s="403"/>
      <c r="BR177" s="403"/>
      <c r="BS177" s="403"/>
      <c r="BT177" s="403"/>
      <c r="BU177" s="403"/>
      <c r="BV177" s="403"/>
      <c r="BW177" s="403"/>
      <c r="BX177" s="403"/>
      <c r="BY177" s="403"/>
      <c r="BZ177" s="403"/>
      <c r="CA177" s="403"/>
      <c r="CB177" s="403"/>
      <c r="CC177" s="403"/>
      <c r="CD177" s="403"/>
      <c r="CE177" s="403"/>
      <c r="CF177" s="403"/>
      <c r="CG177" s="403"/>
      <c r="CH177" s="403"/>
      <c r="CI177" s="403"/>
      <c r="CJ177" s="403"/>
      <c r="CK177" s="403"/>
      <c r="CL177" s="403"/>
      <c r="CM177" s="403"/>
      <c r="CN177" s="403"/>
      <c r="CO177" s="403"/>
      <c r="CP177" s="403"/>
      <c r="CQ177" s="403"/>
      <c r="CR177" s="403"/>
      <c r="CS177" s="403"/>
      <c r="CT177" s="403"/>
      <c r="CU177" s="403"/>
      <c r="CV177" s="403"/>
      <c r="CW177" s="403"/>
      <c r="CX177" s="403"/>
      <c r="CY177" s="403"/>
      <c r="CZ177" s="403"/>
      <c r="DA177" s="403"/>
      <c r="DB177" s="403"/>
      <c r="DC177" s="403"/>
      <c r="DD177" s="403"/>
      <c r="DE177" s="403"/>
      <c r="DF177" s="403"/>
      <c r="DG177" s="403"/>
      <c r="DH177" s="403"/>
      <c r="DI177" s="403"/>
      <c r="DJ177" s="403"/>
      <c r="DK177" s="403"/>
      <c r="DL177" s="403"/>
      <c r="DM177" s="403"/>
      <c r="DN177" s="403"/>
    </row>
    <row r="178" spans="2:118" s="241" customFormat="1" hidden="1" x14ac:dyDescent="0.2">
      <c r="B178" s="645" t="s">
        <v>14117</v>
      </c>
      <c r="C178" s="5" t="s">
        <v>1632</v>
      </c>
      <c r="D178" s="16"/>
      <c r="E178" s="204" t="e">
        <f>SUM(G178:L178)/SUM(G$165:L$165)</f>
        <v>#N/A</v>
      </c>
      <c r="G178" s="16" t="e">
        <f>'B5. Last Mile Delivery'!W101</f>
        <v>#N/A</v>
      </c>
      <c r="H178" s="16" t="e">
        <f>'B5. Last Mile Delivery'!X101</f>
        <v>#N/A</v>
      </c>
      <c r="I178" s="16" t="e">
        <f>'B5. Last Mile Delivery'!Y101</f>
        <v>#N/A</v>
      </c>
      <c r="J178" s="16" t="e">
        <f>'B5. Last Mile Delivery'!Z101</f>
        <v>#N/A</v>
      </c>
      <c r="K178" s="16" t="e">
        <f>'B5. Last Mile Delivery'!AA101</f>
        <v>#N/A</v>
      </c>
      <c r="L178" s="16" t="e">
        <f>'B5. Last Mile Delivery'!AB101</f>
        <v>#N/A</v>
      </c>
      <c r="N178" s="403"/>
      <c r="O178" s="403"/>
      <c r="P178" s="403"/>
      <c r="Q178" s="403"/>
      <c r="R178" s="403"/>
      <c r="S178" s="403"/>
      <c r="T178" s="403"/>
      <c r="U178" s="403"/>
      <c r="V178" s="403"/>
      <c r="W178" s="403"/>
      <c r="X178" s="403"/>
      <c r="Y178" s="403"/>
      <c r="Z178" s="403"/>
      <c r="AA178" s="403"/>
      <c r="AB178" s="403"/>
      <c r="AC178" s="564"/>
      <c r="AD178" s="403"/>
      <c r="AE178" s="403"/>
      <c r="AF178" s="403"/>
      <c r="AG178" s="403"/>
      <c r="AH178" s="403"/>
      <c r="AI178" s="403"/>
      <c r="AJ178" s="403"/>
      <c r="AK178" s="403"/>
      <c r="AL178" s="403"/>
      <c r="AM178" s="403"/>
      <c r="AN178" s="403"/>
      <c r="AO178" s="403"/>
      <c r="AP178" s="403"/>
      <c r="AQ178" s="403"/>
      <c r="AR178" s="403"/>
      <c r="AS178" s="403"/>
      <c r="AT178" s="403"/>
      <c r="AU178" s="403"/>
      <c r="AV178" s="403"/>
      <c r="AW178" s="403"/>
      <c r="AX178" s="403"/>
      <c r="AY178" s="403"/>
      <c r="AZ178" s="403"/>
      <c r="BA178" s="403"/>
      <c r="BB178" s="403"/>
      <c r="BC178" s="403"/>
      <c r="BD178" s="403"/>
      <c r="BE178" s="403"/>
      <c r="BF178" s="403"/>
      <c r="BG178" s="403"/>
      <c r="BH178" s="403"/>
      <c r="BI178" s="403"/>
      <c r="BJ178" s="403"/>
      <c r="BK178" s="403"/>
      <c r="BL178" s="403"/>
      <c r="BM178" s="403"/>
      <c r="BN178" s="403"/>
      <c r="BO178" s="403"/>
      <c r="BP178" s="403"/>
      <c r="BQ178" s="403"/>
      <c r="BR178" s="403"/>
      <c r="BS178" s="403"/>
      <c r="BT178" s="403"/>
      <c r="BU178" s="403"/>
      <c r="BV178" s="403"/>
      <c r="BW178" s="403"/>
      <c r="BX178" s="403"/>
      <c r="BY178" s="403"/>
      <c r="BZ178" s="403"/>
      <c r="CA178" s="403"/>
      <c r="CB178" s="403"/>
      <c r="CC178" s="403"/>
      <c r="CD178" s="403"/>
      <c r="CE178" s="403"/>
      <c r="CF178" s="403"/>
      <c r="CG178" s="403"/>
      <c r="CH178" s="403"/>
      <c r="CI178" s="403"/>
      <c r="CJ178" s="403"/>
      <c r="CK178" s="403"/>
      <c r="CL178" s="403"/>
      <c r="CM178" s="403"/>
      <c r="CN178" s="403"/>
      <c r="CO178" s="403"/>
      <c r="CP178" s="403"/>
      <c r="CQ178" s="403"/>
      <c r="CR178" s="403"/>
      <c r="CS178" s="403"/>
      <c r="CT178" s="403"/>
      <c r="CU178" s="403"/>
      <c r="CV178" s="403"/>
      <c r="CW178" s="403"/>
      <c r="CX178" s="403"/>
      <c r="CY178" s="403"/>
      <c r="CZ178" s="403"/>
      <c r="DA178" s="403"/>
      <c r="DB178" s="403"/>
      <c r="DC178" s="403"/>
      <c r="DD178" s="403"/>
      <c r="DE178" s="403"/>
      <c r="DF178" s="403"/>
      <c r="DG178" s="403"/>
      <c r="DH178" s="403"/>
      <c r="DI178" s="403"/>
      <c r="DJ178" s="403"/>
      <c r="DK178" s="403"/>
      <c r="DL178" s="403"/>
      <c r="DM178" s="403"/>
      <c r="DN178" s="403"/>
    </row>
    <row r="179" spans="2:118" s="241" customFormat="1" hidden="1" x14ac:dyDescent="0.2">
      <c r="B179" s="645" t="s">
        <v>14117</v>
      </c>
      <c r="C179" s="5" t="s">
        <v>1639</v>
      </c>
      <c r="D179" s="16"/>
      <c r="E179" s="204" t="e">
        <f>SUM(G179:L179)/SUM(G$165:L$165)</f>
        <v>#N/A</v>
      </c>
      <c r="G179" s="16" t="e">
        <f>'B5. Last Mile Delivery'!W153</f>
        <v>#N/A</v>
      </c>
      <c r="H179" s="16" t="e">
        <f>'B5. Last Mile Delivery'!X153</f>
        <v>#N/A</v>
      </c>
      <c r="I179" s="16" t="e">
        <f>'B5. Last Mile Delivery'!Y153</f>
        <v>#N/A</v>
      </c>
      <c r="J179" s="16" t="e">
        <f>'B5. Last Mile Delivery'!Z153</f>
        <v>#N/A</v>
      </c>
      <c r="K179" s="16" t="e">
        <f>'B5. Last Mile Delivery'!AA153</f>
        <v>#N/A</v>
      </c>
      <c r="L179" s="16" t="e">
        <f>'B5. Last Mile Delivery'!AB153</f>
        <v>#N/A</v>
      </c>
      <c r="N179" s="403"/>
      <c r="O179" s="403"/>
      <c r="P179" s="403"/>
      <c r="Q179" s="403"/>
      <c r="R179" s="403"/>
      <c r="S179" s="403"/>
      <c r="T179" s="403"/>
      <c r="U179" s="403"/>
      <c r="V179" s="403"/>
      <c r="W179" s="403"/>
      <c r="X179" s="403"/>
      <c r="Y179" s="403"/>
      <c r="Z179" s="403"/>
      <c r="AA179" s="403"/>
      <c r="AB179" s="403"/>
      <c r="AC179" s="564"/>
      <c r="AD179" s="403"/>
      <c r="AE179" s="403"/>
      <c r="AF179" s="403"/>
      <c r="AG179" s="403"/>
      <c r="AH179" s="403"/>
      <c r="AI179" s="403"/>
      <c r="AJ179" s="403"/>
      <c r="AK179" s="403"/>
      <c r="AL179" s="403"/>
      <c r="AM179" s="403"/>
      <c r="AN179" s="403"/>
      <c r="AO179" s="403"/>
      <c r="AP179" s="403"/>
      <c r="AQ179" s="403"/>
      <c r="AR179" s="403"/>
      <c r="AS179" s="403"/>
      <c r="AT179" s="403"/>
      <c r="AU179" s="403"/>
      <c r="AV179" s="403"/>
      <c r="AW179" s="403"/>
      <c r="AX179" s="403"/>
      <c r="AY179" s="403"/>
      <c r="AZ179" s="403"/>
      <c r="BA179" s="403"/>
      <c r="BB179" s="403"/>
      <c r="BC179" s="403"/>
      <c r="BD179" s="403"/>
      <c r="BE179" s="403"/>
      <c r="BF179" s="403"/>
      <c r="BG179" s="403"/>
      <c r="BH179" s="403"/>
      <c r="BI179" s="403"/>
      <c r="BJ179" s="403"/>
      <c r="BK179" s="403"/>
      <c r="BL179" s="403"/>
      <c r="BM179" s="403"/>
      <c r="BN179" s="403"/>
      <c r="BO179" s="403"/>
      <c r="BP179" s="403"/>
      <c r="BQ179" s="403"/>
      <c r="BR179" s="403"/>
      <c r="BS179" s="403"/>
      <c r="BT179" s="403"/>
      <c r="BU179" s="403"/>
      <c r="BV179" s="403"/>
      <c r="BW179" s="403"/>
      <c r="BX179" s="403"/>
      <c r="BY179" s="403"/>
      <c r="BZ179" s="403"/>
      <c r="CA179" s="403"/>
      <c r="CB179" s="403"/>
      <c r="CC179" s="403"/>
      <c r="CD179" s="403"/>
      <c r="CE179" s="403"/>
      <c r="CF179" s="403"/>
      <c r="CG179" s="403"/>
      <c r="CH179" s="403"/>
      <c r="CI179" s="403"/>
      <c r="CJ179" s="403"/>
      <c r="CK179" s="403"/>
      <c r="CL179" s="403"/>
      <c r="CM179" s="403"/>
      <c r="CN179" s="403"/>
      <c r="CO179" s="403"/>
      <c r="CP179" s="403"/>
      <c r="CQ179" s="403"/>
      <c r="CR179" s="403"/>
      <c r="CS179" s="403"/>
      <c r="CT179" s="403"/>
      <c r="CU179" s="403"/>
      <c r="CV179" s="403"/>
      <c r="CW179" s="403"/>
      <c r="CX179" s="403"/>
      <c r="CY179" s="403"/>
      <c r="CZ179" s="403"/>
      <c r="DA179" s="403"/>
      <c r="DB179" s="403"/>
      <c r="DC179" s="403"/>
      <c r="DD179" s="403"/>
      <c r="DE179" s="403"/>
      <c r="DF179" s="403"/>
      <c r="DG179" s="403"/>
      <c r="DH179" s="403"/>
      <c r="DI179" s="403"/>
      <c r="DJ179" s="403"/>
      <c r="DK179" s="403"/>
      <c r="DL179" s="403"/>
      <c r="DM179" s="403"/>
      <c r="DN179" s="403"/>
    </row>
    <row r="180" spans="2:118" s="241" customFormat="1" hidden="1" x14ac:dyDescent="0.2">
      <c r="B180" s="645" t="s">
        <v>14117</v>
      </c>
      <c r="C180" s="5" t="s">
        <v>1564</v>
      </c>
      <c r="D180" s="16"/>
      <c r="E180" s="204" t="e">
        <f>SUM(G180:L180)/SUM(G$165:L$165)</f>
        <v>#N/A</v>
      </c>
      <c r="G180" s="16" t="e">
        <f>'B5. Last Mile Delivery'!W201</f>
        <v>#N/A</v>
      </c>
      <c r="H180" s="16" t="e">
        <f>'B5. Last Mile Delivery'!X201</f>
        <v>#N/A</v>
      </c>
      <c r="I180" s="16" t="e">
        <f>'B5. Last Mile Delivery'!Y201</f>
        <v>#N/A</v>
      </c>
      <c r="J180" s="16" t="e">
        <f>'B5. Last Mile Delivery'!Z201</f>
        <v>#N/A</v>
      </c>
      <c r="K180" s="16" t="e">
        <f>'B5. Last Mile Delivery'!AA201</f>
        <v>#N/A</v>
      </c>
      <c r="L180" s="16" t="e">
        <f>'B5. Last Mile Delivery'!AB201</f>
        <v>#N/A</v>
      </c>
      <c r="N180" s="403"/>
      <c r="O180" s="403"/>
      <c r="P180" s="403"/>
      <c r="Q180" s="403"/>
      <c r="R180" s="403"/>
      <c r="S180" s="403"/>
      <c r="T180" s="403"/>
      <c r="U180" s="403"/>
      <c r="V180" s="403"/>
      <c r="W180" s="403"/>
      <c r="X180" s="403"/>
      <c r="Y180" s="403"/>
      <c r="Z180" s="403"/>
      <c r="AA180" s="403"/>
      <c r="AB180" s="403"/>
      <c r="AC180" s="564"/>
      <c r="AD180" s="403"/>
      <c r="AE180" s="403"/>
      <c r="AF180" s="403"/>
      <c r="AG180" s="403"/>
      <c r="AH180" s="403"/>
      <c r="AI180" s="403"/>
      <c r="AJ180" s="403"/>
      <c r="AK180" s="403"/>
      <c r="AL180" s="403"/>
      <c r="AM180" s="403"/>
      <c r="AN180" s="403"/>
      <c r="AO180" s="403"/>
      <c r="AP180" s="403"/>
      <c r="AQ180" s="403"/>
      <c r="AR180" s="403"/>
      <c r="AS180" s="403"/>
      <c r="AT180" s="403"/>
      <c r="AU180" s="403"/>
      <c r="AV180" s="403"/>
      <c r="AW180" s="403"/>
      <c r="AX180" s="403"/>
      <c r="AY180" s="403"/>
      <c r="AZ180" s="403"/>
      <c r="BA180" s="403"/>
      <c r="BB180" s="403"/>
      <c r="BC180" s="403"/>
      <c r="BD180" s="403"/>
      <c r="BE180" s="403"/>
      <c r="BF180" s="403"/>
      <c r="BG180" s="403"/>
      <c r="BH180" s="403"/>
      <c r="BI180" s="403"/>
      <c r="BJ180" s="403"/>
      <c r="BK180" s="403"/>
      <c r="BL180" s="403"/>
      <c r="BM180" s="403"/>
      <c r="BN180" s="403"/>
      <c r="BO180" s="403"/>
      <c r="BP180" s="403"/>
      <c r="BQ180" s="403"/>
      <c r="BR180" s="403"/>
      <c r="BS180" s="403"/>
      <c r="BT180" s="403"/>
      <c r="BU180" s="403"/>
      <c r="BV180" s="403"/>
      <c r="BW180" s="403"/>
      <c r="BX180" s="403"/>
      <c r="BY180" s="403"/>
      <c r="BZ180" s="403"/>
      <c r="CA180" s="403"/>
      <c r="CB180" s="403"/>
      <c r="CC180" s="403"/>
      <c r="CD180" s="403"/>
      <c r="CE180" s="403"/>
      <c r="CF180" s="403"/>
      <c r="CG180" s="403"/>
      <c r="CH180" s="403"/>
      <c r="CI180" s="403"/>
      <c r="CJ180" s="403"/>
      <c r="CK180" s="403"/>
      <c r="CL180" s="403"/>
      <c r="CM180" s="403"/>
      <c r="CN180" s="403"/>
      <c r="CO180" s="403"/>
      <c r="CP180" s="403"/>
      <c r="CQ180" s="403"/>
      <c r="CR180" s="403"/>
      <c r="CS180" s="403"/>
      <c r="CT180" s="403"/>
      <c r="CU180" s="403"/>
      <c r="CV180" s="403"/>
      <c r="CW180" s="403"/>
      <c r="CX180" s="403"/>
      <c r="CY180" s="403"/>
      <c r="CZ180" s="403"/>
      <c r="DA180" s="403"/>
      <c r="DB180" s="403"/>
      <c r="DC180" s="403"/>
      <c r="DD180" s="403"/>
      <c r="DE180" s="403"/>
      <c r="DF180" s="403"/>
      <c r="DG180" s="403"/>
      <c r="DH180" s="403"/>
      <c r="DI180" s="403"/>
      <c r="DJ180" s="403"/>
      <c r="DK180" s="403"/>
      <c r="DL180" s="403"/>
      <c r="DM180" s="403"/>
      <c r="DN180" s="403"/>
    </row>
    <row r="181" spans="2:118" s="241" customFormat="1" hidden="1" x14ac:dyDescent="0.2">
      <c r="B181" s="645" t="s">
        <v>14117</v>
      </c>
      <c r="C181" s="5" t="s">
        <v>1565</v>
      </c>
      <c r="D181" s="16"/>
      <c r="E181" s="204" t="e">
        <f>SUM(G181:L181)/SUM(G$165:L$165)</f>
        <v>#N/A</v>
      </c>
      <c r="G181" s="16" t="e">
        <f>'B5. Last Mile Delivery'!W258</f>
        <v>#N/A</v>
      </c>
      <c r="H181" s="16" t="e">
        <f>'B5. Last Mile Delivery'!X258</f>
        <v>#N/A</v>
      </c>
      <c r="I181" s="16" t="e">
        <f>'B5. Last Mile Delivery'!Y258</f>
        <v>#N/A</v>
      </c>
      <c r="J181" s="16" t="e">
        <f>'B5. Last Mile Delivery'!Z258</f>
        <v>#N/A</v>
      </c>
      <c r="K181" s="16" t="e">
        <f>'B5. Last Mile Delivery'!AA258</f>
        <v>#N/A</v>
      </c>
      <c r="L181" s="16" t="e">
        <f>'B5. Last Mile Delivery'!AB258</f>
        <v>#N/A</v>
      </c>
      <c r="N181" s="403"/>
      <c r="O181" s="403"/>
      <c r="P181" s="403"/>
      <c r="Q181" s="403"/>
      <c r="R181" s="403"/>
      <c r="S181" s="403"/>
      <c r="T181" s="403"/>
      <c r="U181" s="403"/>
      <c r="V181" s="403"/>
      <c r="W181" s="403"/>
      <c r="X181" s="403"/>
      <c r="Y181" s="403"/>
      <c r="Z181" s="403"/>
      <c r="AA181" s="403"/>
      <c r="AB181" s="403"/>
      <c r="AC181" s="564"/>
      <c r="AD181" s="403"/>
      <c r="AE181" s="403"/>
      <c r="AF181" s="403"/>
      <c r="AG181" s="403"/>
      <c r="AH181" s="403"/>
      <c r="AI181" s="403"/>
      <c r="AJ181" s="403"/>
      <c r="AK181" s="403"/>
      <c r="AL181" s="403"/>
      <c r="AM181" s="403"/>
      <c r="AN181" s="403"/>
      <c r="AO181" s="403"/>
      <c r="AP181" s="403"/>
      <c r="AQ181" s="403"/>
      <c r="AR181" s="403"/>
      <c r="AS181" s="403"/>
      <c r="AT181" s="403"/>
      <c r="AU181" s="403"/>
      <c r="AV181" s="403"/>
      <c r="AW181" s="403"/>
      <c r="AX181" s="403"/>
      <c r="AY181" s="403"/>
      <c r="AZ181" s="403"/>
      <c r="BA181" s="403"/>
      <c r="BB181" s="403"/>
      <c r="BC181" s="403"/>
      <c r="BD181" s="403"/>
      <c r="BE181" s="403"/>
      <c r="BF181" s="403"/>
      <c r="BG181" s="403"/>
      <c r="BH181" s="403"/>
      <c r="BI181" s="403"/>
      <c r="BJ181" s="403"/>
      <c r="BK181" s="403"/>
      <c r="BL181" s="403"/>
      <c r="BM181" s="403"/>
      <c r="BN181" s="403"/>
      <c r="BO181" s="403"/>
      <c r="BP181" s="403"/>
      <c r="BQ181" s="403"/>
      <c r="BR181" s="403"/>
      <c r="BS181" s="403"/>
      <c r="BT181" s="403"/>
      <c r="BU181" s="403"/>
      <c r="BV181" s="403"/>
      <c r="BW181" s="403"/>
      <c r="BX181" s="403"/>
      <c r="BY181" s="403"/>
      <c r="BZ181" s="403"/>
      <c r="CA181" s="403"/>
      <c r="CB181" s="403"/>
      <c r="CC181" s="403"/>
      <c r="CD181" s="403"/>
      <c r="CE181" s="403"/>
      <c r="CF181" s="403"/>
      <c r="CG181" s="403"/>
      <c r="CH181" s="403"/>
      <c r="CI181" s="403"/>
      <c r="CJ181" s="403"/>
      <c r="CK181" s="403"/>
      <c r="CL181" s="403"/>
      <c r="CM181" s="403"/>
      <c r="CN181" s="403"/>
      <c r="CO181" s="403"/>
      <c r="CP181" s="403"/>
      <c r="CQ181" s="403"/>
      <c r="CR181" s="403"/>
      <c r="CS181" s="403"/>
      <c r="CT181" s="403"/>
      <c r="CU181" s="403"/>
      <c r="CV181" s="403"/>
      <c r="CW181" s="403"/>
      <c r="CX181" s="403"/>
      <c r="CY181" s="403"/>
      <c r="CZ181" s="403"/>
      <c r="DA181" s="403"/>
      <c r="DB181" s="403"/>
      <c r="DC181" s="403"/>
      <c r="DD181" s="403"/>
      <c r="DE181" s="403"/>
      <c r="DF181" s="403"/>
      <c r="DG181" s="403"/>
      <c r="DH181" s="403"/>
      <c r="DI181" s="403"/>
      <c r="DJ181" s="403"/>
      <c r="DK181" s="403"/>
      <c r="DL181" s="403"/>
      <c r="DM181" s="403"/>
      <c r="DN181" s="403"/>
    </row>
    <row r="182" spans="2:118" s="241" customFormat="1" ht="13.5" hidden="1" thickBot="1" x14ac:dyDescent="0.25">
      <c r="B182" s="645" t="s">
        <v>14117</v>
      </c>
      <c r="C182" s="21" t="s">
        <v>2829</v>
      </c>
      <c r="D182" s="161"/>
      <c r="E182" s="20"/>
      <c r="F182" s="20"/>
      <c r="G182" s="161" t="e">
        <f>'B5. Last Mile Delivery'!W56</f>
        <v>#N/A</v>
      </c>
      <c r="H182" s="161" t="e">
        <f>'B5. Last Mile Delivery'!X56</f>
        <v>#N/A</v>
      </c>
      <c r="I182" s="161" t="e">
        <f>'B5. Last Mile Delivery'!Y56</f>
        <v>#N/A</v>
      </c>
      <c r="J182" s="161" t="e">
        <f>'B5. Last Mile Delivery'!Z56</f>
        <v>#N/A</v>
      </c>
      <c r="K182" s="161" t="e">
        <f>'B5. Last Mile Delivery'!AA56</f>
        <v>#N/A</v>
      </c>
      <c r="L182" s="161" t="e">
        <f>'B5. Last Mile Delivery'!AB56</f>
        <v>#N/A</v>
      </c>
      <c r="N182" s="403"/>
      <c r="O182" s="403"/>
      <c r="P182" s="403"/>
      <c r="Q182" s="403"/>
      <c r="R182" s="403"/>
      <c r="S182" s="403"/>
      <c r="T182" s="403"/>
      <c r="U182" s="403"/>
      <c r="V182" s="403"/>
      <c r="W182" s="403"/>
      <c r="X182" s="403"/>
      <c r="Y182" s="403"/>
      <c r="Z182" s="403"/>
      <c r="AA182" s="403"/>
      <c r="AB182" s="403"/>
      <c r="AC182" s="564"/>
      <c r="AD182" s="403"/>
      <c r="AE182" s="403"/>
      <c r="AF182" s="403"/>
      <c r="AG182" s="403"/>
      <c r="AH182" s="403"/>
      <c r="AI182" s="403"/>
      <c r="AJ182" s="403"/>
      <c r="AK182" s="403"/>
      <c r="AL182" s="403"/>
      <c r="AM182" s="403"/>
      <c r="AN182" s="403"/>
      <c r="AO182" s="403"/>
      <c r="AP182" s="403"/>
      <c r="AQ182" s="403"/>
      <c r="AR182" s="403"/>
      <c r="AS182" s="403"/>
      <c r="AT182" s="403"/>
      <c r="AU182" s="403"/>
      <c r="AV182" s="403"/>
      <c r="AW182" s="403"/>
      <c r="AX182" s="403"/>
      <c r="AY182" s="403"/>
      <c r="AZ182" s="403"/>
      <c r="BA182" s="403"/>
      <c r="BB182" s="403"/>
      <c r="BC182" s="403"/>
      <c r="BD182" s="403"/>
      <c r="BE182" s="403"/>
      <c r="BF182" s="403"/>
      <c r="BG182" s="403"/>
      <c r="BH182" s="403"/>
      <c r="BI182" s="403"/>
      <c r="BJ182" s="403"/>
      <c r="BK182" s="403"/>
      <c r="BL182" s="403"/>
      <c r="BM182" s="403"/>
      <c r="BN182" s="403"/>
      <c r="BO182" s="403"/>
      <c r="BP182" s="403"/>
      <c r="BQ182" s="403"/>
      <c r="BR182" s="403"/>
      <c r="BS182" s="403"/>
      <c r="BT182" s="403"/>
      <c r="BU182" s="403"/>
      <c r="BV182" s="403"/>
      <c r="BW182" s="403"/>
      <c r="BX182" s="403"/>
      <c r="BY182" s="403"/>
      <c r="BZ182" s="403"/>
      <c r="CA182" s="403"/>
      <c r="CB182" s="403"/>
      <c r="CC182" s="403"/>
      <c r="CD182" s="403"/>
      <c r="CE182" s="403"/>
      <c r="CF182" s="403"/>
      <c r="CG182" s="403"/>
      <c r="CH182" s="403"/>
      <c r="CI182" s="403"/>
      <c r="CJ182" s="403"/>
      <c r="CK182" s="403"/>
      <c r="CL182" s="403"/>
      <c r="CM182" s="403"/>
      <c r="CN182" s="403"/>
      <c r="CO182" s="403"/>
      <c r="CP182" s="403"/>
      <c r="CQ182" s="403"/>
      <c r="CR182" s="403"/>
      <c r="CS182" s="403"/>
      <c r="CT182" s="403"/>
      <c r="CU182" s="403"/>
      <c r="CV182" s="403"/>
      <c r="CW182" s="403"/>
      <c r="CX182" s="403"/>
      <c r="CY182" s="403"/>
      <c r="CZ182" s="403"/>
      <c r="DA182" s="403"/>
      <c r="DB182" s="403"/>
      <c r="DC182" s="403"/>
      <c r="DD182" s="403"/>
      <c r="DE182" s="403"/>
      <c r="DF182" s="403"/>
      <c r="DG182" s="403"/>
      <c r="DH182" s="403"/>
      <c r="DI182" s="403"/>
      <c r="DJ182" s="403"/>
      <c r="DK182" s="403"/>
      <c r="DL182" s="403"/>
      <c r="DM182" s="403"/>
      <c r="DN182" s="403"/>
    </row>
    <row r="183" spans="2:118" s="241" customFormat="1" ht="13.5" hidden="1" thickTop="1" x14ac:dyDescent="0.2">
      <c r="B183" s="645" t="s">
        <v>14117</v>
      </c>
      <c r="C183" s="31" t="s">
        <v>2988</v>
      </c>
      <c r="D183" s="16"/>
      <c r="G183" s="16" t="e">
        <f>'B5. Last Mile Delivery'!W57</f>
        <v>#N/A</v>
      </c>
      <c r="H183" s="16" t="e">
        <f>'B5. Last Mile Delivery'!X57</f>
        <v>#N/A</v>
      </c>
      <c r="I183" s="16" t="e">
        <f>'B5. Last Mile Delivery'!Y57</f>
        <v>#N/A</v>
      </c>
      <c r="J183" s="16" t="e">
        <f>'B5. Last Mile Delivery'!Z57</f>
        <v>#N/A</v>
      </c>
      <c r="K183" s="16" t="e">
        <f>'B5. Last Mile Delivery'!AA57</f>
        <v>#N/A</v>
      </c>
      <c r="L183" s="16" t="e">
        <f>'B5. Last Mile Delivery'!AB57</f>
        <v>#N/A</v>
      </c>
      <c r="N183" s="403"/>
      <c r="O183" s="403"/>
      <c r="P183" s="403"/>
      <c r="Q183" s="403"/>
      <c r="R183" s="403"/>
      <c r="S183" s="403"/>
      <c r="T183" s="403"/>
      <c r="U183" s="403"/>
      <c r="V183" s="403"/>
      <c r="W183" s="403"/>
      <c r="X183" s="403"/>
      <c r="Y183" s="403"/>
      <c r="Z183" s="403"/>
      <c r="AA183" s="403"/>
      <c r="AB183" s="403"/>
      <c r="AC183" s="564"/>
      <c r="AD183" s="403"/>
      <c r="AE183" s="403"/>
      <c r="AF183" s="403"/>
      <c r="AG183" s="403"/>
      <c r="AH183" s="403"/>
      <c r="AI183" s="403"/>
      <c r="AJ183" s="403"/>
      <c r="AK183" s="403"/>
      <c r="AL183" s="403"/>
      <c r="AM183" s="403"/>
      <c r="AN183" s="403"/>
      <c r="AO183" s="403"/>
      <c r="AP183" s="403"/>
      <c r="AQ183" s="403"/>
      <c r="AR183" s="403"/>
      <c r="AS183" s="403"/>
      <c r="AT183" s="403"/>
      <c r="AU183" s="403"/>
      <c r="AV183" s="403"/>
      <c r="AW183" s="403"/>
      <c r="AX183" s="403"/>
      <c r="AY183" s="403"/>
      <c r="AZ183" s="403"/>
      <c r="BA183" s="403"/>
      <c r="BB183" s="403"/>
      <c r="BC183" s="403"/>
      <c r="BD183" s="403"/>
      <c r="BE183" s="403"/>
      <c r="BF183" s="403"/>
      <c r="BG183" s="403"/>
      <c r="BH183" s="403"/>
      <c r="BI183" s="403"/>
      <c r="BJ183" s="403"/>
      <c r="BK183" s="403"/>
      <c r="BL183" s="403"/>
      <c r="BM183" s="403"/>
      <c r="BN183" s="403"/>
      <c r="BO183" s="403"/>
      <c r="BP183" s="403"/>
      <c r="BQ183" s="403"/>
      <c r="BR183" s="403"/>
      <c r="BS183" s="403"/>
      <c r="BT183" s="403"/>
      <c r="BU183" s="403"/>
      <c r="BV183" s="403"/>
      <c r="BW183" s="403"/>
      <c r="BX183" s="403"/>
      <c r="BY183" s="403"/>
      <c r="BZ183" s="403"/>
      <c r="CA183" s="403"/>
      <c r="CB183" s="403"/>
      <c r="CC183" s="403"/>
      <c r="CD183" s="403"/>
      <c r="CE183" s="403"/>
      <c r="CF183" s="403"/>
      <c r="CG183" s="403"/>
      <c r="CH183" s="403"/>
      <c r="CI183" s="403"/>
      <c r="CJ183" s="403"/>
      <c r="CK183" s="403"/>
      <c r="CL183" s="403"/>
      <c r="CM183" s="403"/>
      <c r="CN183" s="403"/>
      <c r="CO183" s="403"/>
      <c r="CP183" s="403"/>
      <c r="CQ183" s="403"/>
      <c r="CR183" s="403"/>
      <c r="CS183" s="403"/>
      <c r="CT183" s="403"/>
      <c r="CU183" s="403"/>
      <c r="CV183" s="403"/>
      <c r="CW183" s="403"/>
      <c r="CX183" s="403"/>
      <c r="CY183" s="403"/>
      <c r="CZ183" s="403"/>
      <c r="DA183" s="403"/>
      <c r="DB183" s="403"/>
      <c r="DC183" s="403"/>
      <c r="DD183" s="403"/>
      <c r="DE183" s="403"/>
      <c r="DF183" s="403"/>
      <c r="DG183" s="403"/>
      <c r="DH183" s="403"/>
      <c r="DI183" s="403"/>
      <c r="DJ183" s="403"/>
      <c r="DK183" s="403"/>
      <c r="DL183" s="403"/>
      <c r="DM183" s="403"/>
      <c r="DN183" s="403"/>
    </row>
    <row r="184" spans="2:118" s="241" customFormat="1" hidden="1" x14ac:dyDescent="0.2">
      <c r="B184" s="645" t="s">
        <v>14117</v>
      </c>
      <c r="C184" s="247" t="s">
        <v>2976</v>
      </c>
      <c r="D184" s="266" t="e">
        <f>Vaccinators_Maximum_Upper</f>
        <v>#N/A</v>
      </c>
      <c r="G184" s="16"/>
      <c r="H184" s="16"/>
      <c r="I184" s="16"/>
      <c r="J184" s="16"/>
      <c r="K184" s="16"/>
      <c r="L184" s="16"/>
      <c r="N184" s="403"/>
      <c r="O184" s="403"/>
      <c r="P184" s="403"/>
      <c r="Q184" s="403"/>
      <c r="R184" s="403"/>
      <c r="S184" s="403"/>
      <c r="T184" s="403"/>
      <c r="U184" s="403"/>
      <c r="V184" s="403"/>
      <c r="W184" s="403"/>
      <c r="X184" s="403"/>
      <c r="Y184" s="403"/>
      <c r="Z184" s="403"/>
      <c r="AA184" s="403"/>
      <c r="AB184" s="403"/>
      <c r="AC184" s="564"/>
      <c r="AD184" s="403"/>
      <c r="AE184" s="403"/>
      <c r="AF184" s="403"/>
      <c r="AG184" s="403"/>
      <c r="AH184" s="403"/>
      <c r="AI184" s="403"/>
      <c r="AJ184" s="403"/>
      <c r="AK184" s="403"/>
      <c r="AL184" s="403"/>
      <c r="AM184" s="403"/>
      <c r="AN184" s="403"/>
      <c r="AO184" s="403"/>
      <c r="AP184" s="403"/>
      <c r="AQ184" s="403"/>
      <c r="AR184" s="403"/>
      <c r="AS184" s="403"/>
      <c r="AT184" s="403"/>
      <c r="AU184" s="403"/>
      <c r="AV184" s="403"/>
      <c r="AW184" s="403"/>
      <c r="AX184" s="403"/>
      <c r="AY184" s="403"/>
      <c r="AZ184" s="403"/>
      <c r="BA184" s="403"/>
      <c r="BB184" s="403"/>
      <c r="BC184" s="403"/>
      <c r="BD184" s="403"/>
      <c r="BE184" s="403"/>
      <c r="BF184" s="403"/>
      <c r="BG184" s="403"/>
      <c r="BH184" s="403"/>
      <c r="BI184" s="403"/>
      <c r="BJ184" s="403"/>
      <c r="BK184" s="403"/>
      <c r="BL184" s="403"/>
      <c r="BM184" s="403"/>
      <c r="BN184" s="403"/>
      <c r="BO184" s="403"/>
      <c r="BP184" s="403"/>
      <c r="BQ184" s="403"/>
      <c r="BR184" s="403"/>
      <c r="BS184" s="403"/>
      <c r="BT184" s="403"/>
      <c r="BU184" s="403"/>
      <c r="BV184" s="403"/>
      <c r="BW184" s="403"/>
      <c r="BX184" s="403"/>
      <c r="BY184" s="403"/>
      <c r="BZ184" s="403"/>
      <c r="CA184" s="403"/>
      <c r="CB184" s="403"/>
      <c r="CC184" s="403"/>
      <c r="CD184" s="403"/>
      <c r="CE184" s="403"/>
      <c r="CF184" s="403"/>
      <c r="CG184" s="403"/>
      <c r="CH184" s="403"/>
      <c r="CI184" s="403"/>
      <c r="CJ184" s="403"/>
      <c r="CK184" s="403"/>
      <c r="CL184" s="403"/>
      <c r="CM184" s="403"/>
      <c r="CN184" s="403"/>
      <c r="CO184" s="403"/>
      <c r="CP184" s="403"/>
      <c r="CQ184" s="403"/>
      <c r="CR184" s="403"/>
      <c r="CS184" s="403"/>
      <c r="CT184" s="403"/>
      <c r="CU184" s="403"/>
      <c r="CV184" s="403"/>
      <c r="CW184" s="403"/>
      <c r="CX184" s="403"/>
      <c r="CY184" s="403"/>
      <c r="CZ184" s="403"/>
      <c r="DA184" s="403"/>
      <c r="DB184" s="403"/>
      <c r="DC184" s="403"/>
      <c r="DD184" s="403"/>
      <c r="DE184" s="403"/>
      <c r="DF184" s="403"/>
      <c r="DG184" s="403"/>
      <c r="DH184" s="403"/>
      <c r="DI184" s="403"/>
      <c r="DJ184" s="403"/>
      <c r="DK184" s="403"/>
      <c r="DL184" s="403"/>
      <c r="DM184" s="403"/>
      <c r="DN184" s="403"/>
    </row>
    <row r="185" spans="2:118" s="241" customFormat="1" hidden="1" x14ac:dyDescent="0.2">
      <c r="B185" s="645" t="s">
        <v>14117</v>
      </c>
      <c r="D185" s="16"/>
      <c r="G185" s="16"/>
      <c r="H185" s="16"/>
      <c r="I185" s="16"/>
      <c r="J185" s="16"/>
      <c r="K185" s="16"/>
      <c r="L185" s="16"/>
      <c r="N185" s="403"/>
      <c r="O185" s="403"/>
      <c r="P185" s="403"/>
      <c r="Q185" s="403"/>
      <c r="R185" s="403"/>
      <c r="S185" s="403"/>
      <c r="T185" s="403"/>
      <c r="U185" s="403"/>
      <c r="V185" s="403"/>
      <c r="W185" s="403"/>
      <c r="X185" s="403"/>
      <c r="Y185" s="403"/>
      <c r="Z185" s="403"/>
      <c r="AA185" s="403"/>
      <c r="AB185" s="403"/>
      <c r="AC185" s="564"/>
      <c r="AD185" s="403"/>
      <c r="AE185" s="403"/>
      <c r="AF185" s="403"/>
      <c r="AG185" s="403"/>
      <c r="AH185" s="403"/>
      <c r="AI185" s="403"/>
      <c r="AJ185" s="403"/>
      <c r="AK185" s="403"/>
      <c r="AL185" s="403"/>
      <c r="AM185" s="403"/>
      <c r="AN185" s="403"/>
      <c r="AO185" s="403"/>
      <c r="AP185" s="403"/>
      <c r="AQ185" s="403"/>
      <c r="AR185" s="403"/>
      <c r="AS185" s="403"/>
      <c r="AT185" s="403"/>
      <c r="AU185" s="403"/>
      <c r="AV185" s="403"/>
      <c r="AW185" s="403"/>
      <c r="AX185" s="403"/>
      <c r="AY185" s="403"/>
      <c r="AZ185" s="403"/>
      <c r="BA185" s="403"/>
      <c r="BB185" s="403"/>
      <c r="BC185" s="403"/>
      <c r="BD185" s="403"/>
      <c r="BE185" s="403"/>
      <c r="BF185" s="403"/>
      <c r="BG185" s="403"/>
      <c r="BH185" s="403"/>
      <c r="BI185" s="403"/>
      <c r="BJ185" s="403"/>
      <c r="BK185" s="403"/>
      <c r="BL185" s="403"/>
      <c r="BM185" s="403"/>
      <c r="BN185" s="403"/>
      <c r="BO185" s="403"/>
      <c r="BP185" s="403"/>
      <c r="BQ185" s="403"/>
      <c r="BR185" s="403"/>
      <c r="BS185" s="403"/>
      <c r="BT185" s="403"/>
      <c r="BU185" s="403"/>
      <c r="BV185" s="403"/>
      <c r="BW185" s="403"/>
      <c r="BX185" s="403"/>
      <c r="BY185" s="403"/>
      <c r="BZ185" s="403"/>
      <c r="CA185" s="403"/>
      <c r="CB185" s="403"/>
      <c r="CC185" s="403"/>
      <c r="CD185" s="403"/>
      <c r="CE185" s="403"/>
      <c r="CF185" s="403"/>
      <c r="CG185" s="403"/>
      <c r="CH185" s="403"/>
      <c r="CI185" s="403"/>
      <c r="CJ185" s="403"/>
      <c r="CK185" s="403"/>
      <c r="CL185" s="403"/>
      <c r="CM185" s="403"/>
      <c r="CN185" s="403"/>
      <c r="CO185" s="403"/>
      <c r="CP185" s="403"/>
      <c r="CQ185" s="403"/>
      <c r="CR185" s="403"/>
      <c r="CS185" s="403"/>
      <c r="CT185" s="403"/>
      <c r="CU185" s="403"/>
      <c r="CV185" s="403"/>
      <c r="CW185" s="403"/>
      <c r="CX185" s="403"/>
      <c r="CY185" s="403"/>
      <c r="CZ185" s="403"/>
      <c r="DA185" s="403"/>
      <c r="DB185" s="403"/>
      <c r="DC185" s="403"/>
      <c r="DD185" s="403"/>
      <c r="DE185" s="403"/>
      <c r="DF185" s="403"/>
      <c r="DG185" s="403"/>
      <c r="DH185" s="403"/>
      <c r="DI185" s="403"/>
      <c r="DJ185" s="403"/>
      <c r="DK185" s="403"/>
      <c r="DL185" s="403"/>
      <c r="DM185" s="403"/>
      <c r="DN185" s="403"/>
    </row>
    <row r="186" spans="2:118" s="241" customFormat="1" ht="15" hidden="1" x14ac:dyDescent="0.25">
      <c r="B186" s="645" t="s">
        <v>14117</v>
      </c>
      <c r="C186" s="55" t="s">
        <v>2987</v>
      </c>
      <c r="D186" s="265" t="s">
        <v>1605</v>
      </c>
      <c r="G186" s="16"/>
      <c r="H186" s="16"/>
      <c r="I186" s="16"/>
      <c r="J186" s="16"/>
      <c r="K186" s="16"/>
      <c r="L186" s="16"/>
      <c r="N186" s="403"/>
      <c r="O186" s="403"/>
      <c r="P186" s="403"/>
      <c r="Q186" s="403"/>
      <c r="R186" s="403"/>
      <c r="S186" s="403"/>
      <c r="T186" s="403"/>
      <c r="U186" s="403"/>
      <c r="V186" s="403"/>
      <c r="W186" s="403"/>
      <c r="X186" s="403"/>
      <c r="Y186" s="403"/>
      <c r="Z186" s="403"/>
      <c r="AA186" s="403"/>
      <c r="AB186" s="403"/>
      <c r="AC186" s="564"/>
      <c r="AD186" s="403"/>
      <c r="AE186" s="403"/>
      <c r="AF186" s="403"/>
      <c r="AG186" s="403"/>
      <c r="AH186" s="403"/>
      <c r="AI186" s="403"/>
      <c r="AJ186" s="403"/>
      <c r="AK186" s="403"/>
      <c r="AL186" s="403"/>
      <c r="AM186" s="403"/>
      <c r="AN186" s="403"/>
      <c r="AO186" s="403"/>
      <c r="AP186" s="403"/>
      <c r="AQ186" s="403"/>
      <c r="AR186" s="403"/>
      <c r="AS186" s="403"/>
      <c r="AT186" s="403"/>
      <c r="AU186" s="403"/>
      <c r="AV186" s="403"/>
      <c r="AW186" s="403"/>
      <c r="AX186" s="403"/>
      <c r="AY186" s="403"/>
      <c r="AZ186" s="403"/>
      <c r="BA186" s="403"/>
      <c r="BB186" s="403"/>
      <c r="BC186" s="403"/>
      <c r="BD186" s="403"/>
      <c r="BE186" s="403"/>
      <c r="BF186" s="403"/>
      <c r="BG186" s="403"/>
      <c r="BH186" s="403"/>
      <c r="BI186" s="403"/>
      <c r="BJ186" s="403"/>
      <c r="BK186" s="403"/>
      <c r="BL186" s="403"/>
      <c r="BM186" s="403"/>
      <c r="BN186" s="403"/>
      <c r="BO186" s="403"/>
      <c r="BP186" s="403"/>
      <c r="BQ186" s="403"/>
      <c r="BR186" s="403"/>
      <c r="BS186" s="403"/>
      <c r="BT186" s="403"/>
      <c r="BU186" s="403"/>
      <c r="BV186" s="403"/>
      <c r="BW186" s="403"/>
      <c r="BX186" s="403"/>
      <c r="BY186" s="403"/>
      <c r="BZ186" s="403"/>
      <c r="CA186" s="403"/>
      <c r="CB186" s="403"/>
      <c r="CC186" s="403"/>
      <c r="CD186" s="403"/>
      <c r="CE186" s="403"/>
      <c r="CF186" s="403"/>
      <c r="CG186" s="403"/>
      <c r="CH186" s="403"/>
      <c r="CI186" s="403"/>
      <c r="CJ186" s="403"/>
      <c r="CK186" s="403"/>
      <c r="CL186" s="403"/>
      <c r="CM186" s="403"/>
      <c r="CN186" s="403"/>
      <c r="CO186" s="403"/>
      <c r="CP186" s="403"/>
      <c r="CQ186" s="403"/>
      <c r="CR186" s="403"/>
      <c r="CS186" s="403"/>
      <c r="CT186" s="403"/>
      <c r="CU186" s="403"/>
      <c r="CV186" s="403"/>
      <c r="CW186" s="403"/>
      <c r="CX186" s="403"/>
      <c r="CY186" s="403"/>
      <c r="CZ186" s="403"/>
      <c r="DA186" s="403"/>
      <c r="DB186" s="403"/>
      <c r="DC186" s="403"/>
      <c r="DD186" s="403"/>
      <c r="DE186" s="403"/>
      <c r="DF186" s="403"/>
      <c r="DG186" s="403"/>
      <c r="DH186" s="403"/>
      <c r="DI186" s="403"/>
      <c r="DJ186" s="403"/>
      <c r="DK186" s="403"/>
      <c r="DL186" s="403"/>
      <c r="DM186" s="403"/>
      <c r="DN186" s="403"/>
    </row>
    <row r="187" spans="2:118" s="241" customFormat="1" hidden="1" x14ac:dyDescent="0.2">
      <c r="B187" s="645" t="s">
        <v>14117</v>
      </c>
      <c r="C187" s="5" t="s">
        <v>1632</v>
      </c>
      <c r="D187" s="16" t="e">
        <f t="shared" ref="D187:D190" si="45">SUM(G187:L187)</f>
        <v>#N/A</v>
      </c>
      <c r="G187" s="16" t="e">
        <f>'B5. Last Mile Delivery'!W109</f>
        <v>#N/A</v>
      </c>
      <c r="H187" s="16" t="e">
        <f>'B5. Last Mile Delivery'!X109</f>
        <v>#N/A</v>
      </c>
      <c r="I187" s="16" t="e">
        <f>'B5. Last Mile Delivery'!Y109</f>
        <v>#N/A</v>
      </c>
      <c r="J187" s="16" t="e">
        <f>'B5. Last Mile Delivery'!Z109</f>
        <v>#N/A</v>
      </c>
      <c r="K187" s="16" t="e">
        <f>'B5. Last Mile Delivery'!AA109</f>
        <v>#N/A</v>
      </c>
      <c r="L187" s="16" t="e">
        <f>'B5. Last Mile Delivery'!AB109</f>
        <v>#N/A</v>
      </c>
      <c r="N187" s="403"/>
      <c r="O187" s="403"/>
      <c r="P187" s="403"/>
      <c r="Q187" s="403"/>
      <c r="R187" s="403"/>
      <c r="S187" s="403"/>
      <c r="T187" s="403"/>
      <c r="U187" s="403"/>
      <c r="V187" s="403"/>
      <c r="W187" s="403"/>
      <c r="X187" s="403"/>
      <c r="Y187" s="403"/>
      <c r="Z187" s="403"/>
      <c r="AA187" s="403"/>
      <c r="AB187" s="403"/>
      <c r="AC187" s="564"/>
      <c r="AD187" s="403"/>
      <c r="AE187" s="403"/>
      <c r="AF187" s="403"/>
      <c r="AG187" s="403"/>
      <c r="AH187" s="403"/>
      <c r="AI187" s="403"/>
      <c r="AJ187" s="403"/>
      <c r="AK187" s="403"/>
      <c r="AL187" s="403"/>
      <c r="AM187" s="403"/>
      <c r="AN187" s="403"/>
      <c r="AO187" s="403"/>
      <c r="AP187" s="403"/>
      <c r="AQ187" s="403"/>
      <c r="AR187" s="403"/>
      <c r="AS187" s="403"/>
      <c r="AT187" s="403"/>
      <c r="AU187" s="403"/>
      <c r="AV187" s="403"/>
      <c r="AW187" s="403"/>
      <c r="AX187" s="403"/>
      <c r="AY187" s="403"/>
      <c r="AZ187" s="403"/>
      <c r="BA187" s="403"/>
      <c r="BB187" s="403"/>
      <c r="BC187" s="403"/>
      <c r="BD187" s="403"/>
      <c r="BE187" s="403"/>
      <c r="BF187" s="403"/>
      <c r="BG187" s="403"/>
      <c r="BH187" s="403"/>
      <c r="BI187" s="403"/>
      <c r="BJ187" s="403"/>
      <c r="BK187" s="403"/>
      <c r="BL187" s="403"/>
      <c r="BM187" s="403"/>
      <c r="BN187" s="403"/>
      <c r="BO187" s="403"/>
      <c r="BP187" s="403"/>
      <c r="BQ187" s="403"/>
      <c r="BR187" s="403"/>
      <c r="BS187" s="403"/>
      <c r="BT187" s="403"/>
      <c r="BU187" s="403"/>
      <c r="BV187" s="403"/>
      <c r="BW187" s="403"/>
      <c r="BX187" s="403"/>
      <c r="BY187" s="403"/>
      <c r="BZ187" s="403"/>
      <c r="CA187" s="403"/>
      <c r="CB187" s="403"/>
      <c r="CC187" s="403"/>
      <c r="CD187" s="403"/>
      <c r="CE187" s="403"/>
      <c r="CF187" s="403"/>
      <c r="CG187" s="403"/>
      <c r="CH187" s="403"/>
      <c r="CI187" s="403"/>
      <c r="CJ187" s="403"/>
      <c r="CK187" s="403"/>
      <c r="CL187" s="403"/>
      <c r="CM187" s="403"/>
      <c r="CN187" s="403"/>
      <c r="CO187" s="403"/>
      <c r="CP187" s="403"/>
      <c r="CQ187" s="403"/>
      <c r="CR187" s="403"/>
      <c r="CS187" s="403"/>
      <c r="CT187" s="403"/>
      <c r="CU187" s="403"/>
      <c r="CV187" s="403"/>
      <c r="CW187" s="403"/>
      <c r="CX187" s="403"/>
      <c r="CY187" s="403"/>
      <c r="CZ187" s="403"/>
      <c r="DA187" s="403"/>
      <c r="DB187" s="403"/>
      <c r="DC187" s="403"/>
      <c r="DD187" s="403"/>
      <c r="DE187" s="403"/>
      <c r="DF187" s="403"/>
      <c r="DG187" s="403"/>
      <c r="DH187" s="403"/>
      <c r="DI187" s="403"/>
      <c r="DJ187" s="403"/>
      <c r="DK187" s="403"/>
      <c r="DL187" s="403"/>
      <c r="DM187" s="403"/>
      <c r="DN187" s="403"/>
    </row>
    <row r="188" spans="2:118" s="241" customFormat="1" hidden="1" x14ac:dyDescent="0.2">
      <c r="B188" s="645" t="s">
        <v>14117</v>
      </c>
      <c r="C188" s="5" t="s">
        <v>1639</v>
      </c>
      <c r="D188" s="16" t="e">
        <f t="shared" si="45"/>
        <v>#N/A</v>
      </c>
      <c r="G188" s="16" t="e">
        <f>'B5. Last Mile Delivery'!W161</f>
        <v>#N/A</v>
      </c>
      <c r="H188" s="16" t="e">
        <f>'B5. Last Mile Delivery'!X161</f>
        <v>#N/A</v>
      </c>
      <c r="I188" s="16" t="e">
        <f>'B5. Last Mile Delivery'!Y161</f>
        <v>#N/A</v>
      </c>
      <c r="J188" s="16" t="e">
        <f>'B5. Last Mile Delivery'!Z161</f>
        <v>#N/A</v>
      </c>
      <c r="K188" s="16" t="e">
        <f>'B5. Last Mile Delivery'!AA161</f>
        <v>#N/A</v>
      </c>
      <c r="L188" s="16" t="e">
        <f>'B5. Last Mile Delivery'!AB161</f>
        <v>#N/A</v>
      </c>
      <c r="N188" s="403"/>
      <c r="O188" s="403"/>
      <c r="P188" s="403"/>
      <c r="Q188" s="403"/>
      <c r="R188" s="403"/>
      <c r="S188" s="403"/>
      <c r="T188" s="403"/>
      <c r="U188" s="403"/>
      <c r="V188" s="403"/>
      <c r="W188" s="403"/>
      <c r="X188" s="403"/>
      <c r="Y188" s="403"/>
      <c r="Z188" s="403"/>
      <c r="AA188" s="403"/>
      <c r="AB188" s="403"/>
      <c r="AC188" s="564"/>
      <c r="AD188" s="403"/>
      <c r="AE188" s="403"/>
      <c r="AF188" s="403"/>
      <c r="AG188" s="403"/>
      <c r="AH188" s="403"/>
      <c r="AI188" s="403"/>
      <c r="AJ188" s="403"/>
      <c r="AK188" s="403"/>
      <c r="AL188" s="403"/>
      <c r="AM188" s="403"/>
      <c r="AN188" s="403"/>
      <c r="AO188" s="403"/>
      <c r="AP188" s="403"/>
      <c r="AQ188" s="403"/>
      <c r="AR188" s="403"/>
      <c r="AS188" s="403"/>
      <c r="AT188" s="403"/>
      <c r="AU188" s="403"/>
      <c r="AV188" s="403"/>
      <c r="AW188" s="403"/>
      <c r="AX188" s="403"/>
      <c r="AY188" s="403"/>
      <c r="AZ188" s="403"/>
      <c r="BA188" s="403"/>
      <c r="BB188" s="403"/>
      <c r="BC188" s="403"/>
      <c r="BD188" s="403"/>
      <c r="BE188" s="403"/>
      <c r="BF188" s="403"/>
      <c r="BG188" s="403"/>
      <c r="BH188" s="403"/>
      <c r="BI188" s="403"/>
      <c r="BJ188" s="403"/>
      <c r="BK188" s="403"/>
      <c r="BL188" s="403"/>
      <c r="BM188" s="403"/>
      <c r="BN188" s="403"/>
      <c r="BO188" s="403"/>
      <c r="BP188" s="403"/>
      <c r="BQ188" s="403"/>
      <c r="BR188" s="403"/>
      <c r="BS188" s="403"/>
      <c r="BT188" s="403"/>
      <c r="BU188" s="403"/>
      <c r="BV188" s="403"/>
      <c r="BW188" s="403"/>
      <c r="BX188" s="403"/>
      <c r="BY188" s="403"/>
      <c r="BZ188" s="403"/>
      <c r="CA188" s="403"/>
      <c r="CB188" s="403"/>
      <c r="CC188" s="403"/>
      <c r="CD188" s="403"/>
      <c r="CE188" s="403"/>
      <c r="CF188" s="403"/>
      <c r="CG188" s="403"/>
      <c r="CH188" s="403"/>
      <c r="CI188" s="403"/>
      <c r="CJ188" s="403"/>
      <c r="CK188" s="403"/>
      <c r="CL188" s="403"/>
      <c r="CM188" s="403"/>
      <c r="CN188" s="403"/>
      <c r="CO188" s="403"/>
      <c r="CP188" s="403"/>
      <c r="CQ188" s="403"/>
      <c r="CR188" s="403"/>
      <c r="CS188" s="403"/>
      <c r="CT188" s="403"/>
      <c r="CU188" s="403"/>
      <c r="CV188" s="403"/>
      <c r="CW188" s="403"/>
      <c r="CX188" s="403"/>
      <c r="CY188" s="403"/>
      <c r="CZ188" s="403"/>
      <c r="DA188" s="403"/>
      <c r="DB188" s="403"/>
      <c r="DC188" s="403"/>
      <c r="DD188" s="403"/>
      <c r="DE188" s="403"/>
      <c r="DF188" s="403"/>
      <c r="DG188" s="403"/>
      <c r="DH188" s="403"/>
      <c r="DI188" s="403"/>
      <c r="DJ188" s="403"/>
      <c r="DK188" s="403"/>
      <c r="DL188" s="403"/>
      <c r="DM188" s="403"/>
      <c r="DN188" s="403"/>
    </row>
    <row r="189" spans="2:118" s="241" customFormat="1" hidden="1" x14ac:dyDescent="0.2">
      <c r="B189" s="645" t="s">
        <v>14117</v>
      </c>
      <c r="C189" s="5" t="s">
        <v>1564</v>
      </c>
      <c r="D189" s="16" t="e">
        <f t="shared" si="45"/>
        <v>#N/A</v>
      </c>
      <c r="G189" s="16" t="e">
        <f>'B5. Last Mile Delivery'!W209</f>
        <v>#N/A</v>
      </c>
      <c r="H189" s="16" t="e">
        <f>'B5. Last Mile Delivery'!X209</f>
        <v>#N/A</v>
      </c>
      <c r="I189" s="16" t="e">
        <f>'B5. Last Mile Delivery'!Y209</f>
        <v>#N/A</v>
      </c>
      <c r="J189" s="16" t="e">
        <f>'B5. Last Mile Delivery'!Z209</f>
        <v>#N/A</v>
      </c>
      <c r="K189" s="16" t="e">
        <f>'B5. Last Mile Delivery'!AA209</f>
        <v>#N/A</v>
      </c>
      <c r="L189" s="16" t="e">
        <f>'B5. Last Mile Delivery'!AB209</f>
        <v>#N/A</v>
      </c>
      <c r="N189" s="403"/>
      <c r="O189" s="403"/>
      <c r="P189" s="403"/>
      <c r="Q189" s="403"/>
      <c r="R189" s="403"/>
      <c r="S189" s="403"/>
      <c r="T189" s="403"/>
      <c r="U189" s="403"/>
      <c r="V189" s="403"/>
      <c r="W189" s="403"/>
      <c r="X189" s="403"/>
      <c r="Y189" s="403"/>
      <c r="Z189" s="403"/>
      <c r="AA189" s="403"/>
      <c r="AB189" s="403"/>
      <c r="AC189" s="564"/>
      <c r="AD189" s="403"/>
      <c r="AE189" s="403"/>
      <c r="AF189" s="403"/>
      <c r="AG189" s="403"/>
      <c r="AH189" s="403"/>
      <c r="AI189" s="403"/>
      <c r="AJ189" s="403"/>
      <c r="AK189" s="403"/>
      <c r="AL189" s="403"/>
      <c r="AM189" s="403"/>
      <c r="AN189" s="403"/>
      <c r="AO189" s="403"/>
      <c r="AP189" s="403"/>
      <c r="AQ189" s="403"/>
      <c r="AR189" s="403"/>
      <c r="AS189" s="403"/>
      <c r="AT189" s="403"/>
      <c r="AU189" s="403"/>
      <c r="AV189" s="403"/>
      <c r="AW189" s="403"/>
      <c r="AX189" s="403"/>
      <c r="AY189" s="403"/>
      <c r="AZ189" s="403"/>
      <c r="BA189" s="403"/>
      <c r="BB189" s="403"/>
      <c r="BC189" s="403"/>
      <c r="BD189" s="403"/>
      <c r="BE189" s="403"/>
      <c r="BF189" s="403"/>
      <c r="BG189" s="403"/>
      <c r="BH189" s="403"/>
      <c r="BI189" s="403"/>
      <c r="BJ189" s="403"/>
      <c r="BK189" s="403"/>
      <c r="BL189" s="403"/>
      <c r="BM189" s="403"/>
      <c r="BN189" s="403"/>
      <c r="BO189" s="403"/>
      <c r="BP189" s="403"/>
      <c r="BQ189" s="403"/>
      <c r="BR189" s="403"/>
      <c r="BS189" s="403"/>
      <c r="BT189" s="403"/>
      <c r="BU189" s="403"/>
      <c r="BV189" s="403"/>
      <c r="BW189" s="403"/>
      <c r="BX189" s="403"/>
      <c r="BY189" s="403"/>
      <c r="BZ189" s="403"/>
      <c r="CA189" s="403"/>
      <c r="CB189" s="403"/>
      <c r="CC189" s="403"/>
      <c r="CD189" s="403"/>
      <c r="CE189" s="403"/>
      <c r="CF189" s="403"/>
      <c r="CG189" s="403"/>
      <c r="CH189" s="403"/>
      <c r="CI189" s="403"/>
      <c r="CJ189" s="403"/>
      <c r="CK189" s="403"/>
      <c r="CL189" s="403"/>
      <c r="CM189" s="403"/>
      <c r="CN189" s="403"/>
      <c r="CO189" s="403"/>
      <c r="CP189" s="403"/>
      <c r="CQ189" s="403"/>
      <c r="CR189" s="403"/>
      <c r="CS189" s="403"/>
      <c r="CT189" s="403"/>
      <c r="CU189" s="403"/>
      <c r="CV189" s="403"/>
      <c r="CW189" s="403"/>
      <c r="CX189" s="403"/>
      <c r="CY189" s="403"/>
      <c r="CZ189" s="403"/>
      <c r="DA189" s="403"/>
      <c r="DB189" s="403"/>
      <c r="DC189" s="403"/>
      <c r="DD189" s="403"/>
      <c r="DE189" s="403"/>
      <c r="DF189" s="403"/>
      <c r="DG189" s="403"/>
      <c r="DH189" s="403"/>
      <c r="DI189" s="403"/>
      <c r="DJ189" s="403"/>
      <c r="DK189" s="403"/>
      <c r="DL189" s="403"/>
      <c r="DM189" s="403"/>
      <c r="DN189" s="403"/>
    </row>
    <row r="190" spans="2:118" s="241" customFormat="1" hidden="1" x14ac:dyDescent="0.2">
      <c r="B190" s="645" t="s">
        <v>14117</v>
      </c>
      <c r="C190" s="5" t="s">
        <v>1565</v>
      </c>
      <c r="D190" s="16" t="e">
        <f t="shared" si="45"/>
        <v>#N/A</v>
      </c>
      <c r="G190" s="16" t="e">
        <f>'B5. Last Mile Delivery'!W282</f>
        <v>#N/A</v>
      </c>
      <c r="H190" s="16" t="e">
        <f>'B5. Last Mile Delivery'!X282</f>
        <v>#N/A</v>
      </c>
      <c r="I190" s="16" t="e">
        <f>'B5. Last Mile Delivery'!Y282</f>
        <v>#N/A</v>
      </c>
      <c r="J190" s="16" t="e">
        <f>'B5. Last Mile Delivery'!Z282</f>
        <v>#N/A</v>
      </c>
      <c r="K190" s="16" t="e">
        <f>'B5. Last Mile Delivery'!AA282</f>
        <v>#N/A</v>
      </c>
      <c r="L190" s="16" t="e">
        <f>'B5. Last Mile Delivery'!AB282</f>
        <v>#N/A</v>
      </c>
      <c r="N190" s="403"/>
      <c r="O190" s="403"/>
      <c r="P190" s="403"/>
      <c r="Q190" s="403"/>
      <c r="R190" s="403"/>
      <c r="S190" s="403"/>
      <c r="T190" s="403"/>
      <c r="U190" s="403"/>
      <c r="V190" s="403"/>
      <c r="W190" s="403"/>
      <c r="X190" s="403"/>
      <c r="Y190" s="403"/>
      <c r="Z190" s="403"/>
      <c r="AA190" s="403"/>
      <c r="AB190" s="403"/>
      <c r="AC190" s="564"/>
      <c r="AD190" s="403"/>
      <c r="AE190" s="403"/>
      <c r="AF190" s="403"/>
      <c r="AG190" s="403"/>
      <c r="AH190" s="403"/>
      <c r="AI190" s="403"/>
      <c r="AJ190" s="403"/>
      <c r="AK190" s="403"/>
      <c r="AL190" s="403"/>
      <c r="AM190" s="403"/>
      <c r="AN190" s="403"/>
      <c r="AO190" s="403"/>
      <c r="AP190" s="403"/>
      <c r="AQ190" s="403"/>
      <c r="AR190" s="403"/>
      <c r="AS190" s="403"/>
      <c r="AT190" s="403"/>
      <c r="AU190" s="403"/>
      <c r="AV190" s="403"/>
      <c r="AW190" s="403"/>
      <c r="AX190" s="403"/>
      <c r="AY190" s="403"/>
      <c r="AZ190" s="403"/>
      <c r="BA190" s="403"/>
      <c r="BB190" s="403"/>
      <c r="BC190" s="403"/>
      <c r="BD190" s="403"/>
      <c r="BE190" s="403"/>
      <c r="BF190" s="403"/>
      <c r="BG190" s="403"/>
      <c r="BH190" s="403"/>
      <c r="BI190" s="403"/>
      <c r="BJ190" s="403"/>
      <c r="BK190" s="403"/>
      <c r="BL190" s="403"/>
      <c r="BM190" s="403"/>
      <c r="BN190" s="403"/>
      <c r="BO190" s="403"/>
      <c r="BP190" s="403"/>
      <c r="BQ190" s="403"/>
      <c r="BR190" s="403"/>
      <c r="BS190" s="403"/>
      <c r="BT190" s="403"/>
      <c r="BU190" s="403"/>
      <c r="BV190" s="403"/>
      <c r="BW190" s="403"/>
      <c r="BX190" s="403"/>
      <c r="BY190" s="403"/>
      <c r="BZ190" s="403"/>
      <c r="CA190" s="403"/>
      <c r="CB190" s="403"/>
      <c r="CC190" s="403"/>
      <c r="CD190" s="403"/>
      <c r="CE190" s="403"/>
      <c r="CF190" s="403"/>
      <c r="CG190" s="403"/>
      <c r="CH190" s="403"/>
      <c r="CI190" s="403"/>
      <c r="CJ190" s="403"/>
      <c r="CK190" s="403"/>
      <c r="CL190" s="403"/>
      <c r="CM190" s="403"/>
      <c r="CN190" s="403"/>
      <c r="CO190" s="403"/>
      <c r="CP190" s="403"/>
      <c r="CQ190" s="403"/>
      <c r="CR190" s="403"/>
      <c r="CS190" s="403"/>
      <c r="CT190" s="403"/>
      <c r="CU190" s="403"/>
      <c r="CV190" s="403"/>
      <c r="CW190" s="403"/>
      <c r="CX190" s="403"/>
      <c r="CY190" s="403"/>
      <c r="CZ190" s="403"/>
      <c r="DA190" s="403"/>
      <c r="DB190" s="403"/>
      <c r="DC190" s="403"/>
      <c r="DD190" s="403"/>
      <c r="DE190" s="403"/>
      <c r="DF190" s="403"/>
      <c r="DG190" s="403"/>
      <c r="DH190" s="403"/>
      <c r="DI190" s="403"/>
      <c r="DJ190" s="403"/>
      <c r="DK190" s="403"/>
      <c r="DL190" s="403"/>
      <c r="DM190" s="403"/>
      <c r="DN190" s="403"/>
    </row>
    <row r="191" spans="2:118" s="241" customFormat="1" ht="13.5" hidden="1" thickBot="1" x14ac:dyDescent="0.25">
      <c r="B191" s="645" t="s">
        <v>14117</v>
      </c>
      <c r="D191" s="16"/>
      <c r="G191" s="119" t="e">
        <f>SUM(G187:G190)</f>
        <v>#N/A</v>
      </c>
      <c r="H191" s="119" t="e">
        <f t="shared" ref="H191" si="46">SUM(H187:H190)</f>
        <v>#N/A</v>
      </c>
      <c r="I191" s="119" t="e">
        <f t="shared" ref="I191" si="47">SUM(I187:I190)</f>
        <v>#N/A</v>
      </c>
      <c r="J191" s="119" t="e">
        <f t="shared" ref="J191" si="48">SUM(J187:J190)</f>
        <v>#N/A</v>
      </c>
      <c r="K191" s="119" t="e">
        <f t="shared" ref="K191" si="49">SUM(K187:K190)</f>
        <v>#N/A</v>
      </c>
      <c r="L191" s="119" t="e">
        <f t="shared" ref="L191" si="50">SUM(L187:L190)</f>
        <v>#N/A</v>
      </c>
      <c r="N191" s="403"/>
      <c r="O191" s="403"/>
      <c r="P191" s="403"/>
      <c r="Q191" s="403"/>
      <c r="R191" s="403"/>
      <c r="S191" s="403"/>
      <c r="T191" s="403"/>
      <c r="U191" s="403"/>
      <c r="V191" s="403"/>
      <c r="W191" s="403"/>
      <c r="X191" s="403"/>
      <c r="Y191" s="403"/>
      <c r="Z191" s="403"/>
      <c r="AA191" s="403"/>
      <c r="AB191" s="403"/>
      <c r="AC191" s="564"/>
      <c r="AD191" s="403"/>
      <c r="AE191" s="403"/>
      <c r="AF191" s="403"/>
      <c r="AG191" s="403"/>
      <c r="AH191" s="403"/>
      <c r="AI191" s="403"/>
      <c r="AJ191" s="403"/>
      <c r="AK191" s="403"/>
      <c r="AL191" s="403"/>
      <c r="AM191" s="403"/>
      <c r="AN191" s="403"/>
      <c r="AO191" s="403"/>
      <c r="AP191" s="403"/>
      <c r="AQ191" s="403"/>
      <c r="AR191" s="403"/>
      <c r="AS191" s="403"/>
      <c r="AT191" s="403"/>
      <c r="AU191" s="403"/>
      <c r="AV191" s="403"/>
      <c r="AW191" s="403"/>
      <c r="AX191" s="403"/>
      <c r="AY191" s="403"/>
      <c r="AZ191" s="403"/>
      <c r="BA191" s="403"/>
      <c r="BB191" s="403"/>
      <c r="BC191" s="403"/>
      <c r="BD191" s="403"/>
      <c r="BE191" s="403"/>
      <c r="BF191" s="403"/>
      <c r="BG191" s="403"/>
      <c r="BH191" s="403"/>
      <c r="BI191" s="403"/>
      <c r="BJ191" s="403"/>
      <c r="BK191" s="403"/>
      <c r="BL191" s="403"/>
      <c r="BM191" s="403"/>
      <c r="BN191" s="403"/>
      <c r="BO191" s="403"/>
      <c r="BP191" s="403"/>
      <c r="BQ191" s="403"/>
      <c r="BR191" s="403"/>
      <c r="BS191" s="403"/>
      <c r="BT191" s="403"/>
      <c r="BU191" s="403"/>
      <c r="BV191" s="403"/>
      <c r="BW191" s="403"/>
      <c r="BX191" s="403"/>
      <c r="BY191" s="403"/>
      <c r="BZ191" s="403"/>
      <c r="CA191" s="403"/>
      <c r="CB191" s="403"/>
      <c r="CC191" s="403"/>
      <c r="CD191" s="403"/>
      <c r="CE191" s="403"/>
      <c r="CF191" s="403"/>
      <c r="CG191" s="403"/>
      <c r="CH191" s="403"/>
      <c r="CI191" s="403"/>
      <c r="CJ191" s="403"/>
      <c r="CK191" s="403"/>
      <c r="CL191" s="403"/>
      <c r="CM191" s="403"/>
      <c r="CN191" s="403"/>
      <c r="CO191" s="403"/>
      <c r="CP191" s="403"/>
      <c r="CQ191" s="403"/>
      <c r="CR191" s="403"/>
      <c r="CS191" s="403"/>
      <c r="CT191" s="403"/>
      <c r="CU191" s="403"/>
      <c r="CV191" s="403"/>
      <c r="CW191" s="403"/>
      <c r="CX191" s="403"/>
      <c r="CY191" s="403"/>
      <c r="CZ191" s="403"/>
      <c r="DA191" s="403"/>
      <c r="DB191" s="403"/>
      <c r="DC191" s="403"/>
      <c r="DD191" s="403"/>
      <c r="DE191" s="403"/>
      <c r="DF191" s="403"/>
      <c r="DG191" s="403"/>
      <c r="DH191" s="403"/>
      <c r="DI191" s="403"/>
      <c r="DJ191" s="403"/>
      <c r="DK191" s="403"/>
      <c r="DL191" s="403"/>
      <c r="DM191" s="403"/>
      <c r="DN191" s="403"/>
    </row>
    <row r="192" spans="2:118" s="241" customFormat="1" ht="13.5" hidden="1" thickTop="1" x14ac:dyDescent="0.2">
      <c r="B192" s="645" t="s">
        <v>14117</v>
      </c>
      <c r="D192" s="16"/>
      <c r="G192" s="16"/>
      <c r="H192" s="16"/>
      <c r="I192" s="16"/>
      <c r="J192" s="16"/>
      <c r="K192" s="16"/>
      <c r="L192" s="16"/>
      <c r="N192" s="403"/>
      <c r="O192" s="403"/>
      <c r="P192" s="403"/>
      <c r="Q192" s="403"/>
      <c r="R192" s="403"/>
      <c r="S192" s="403"/>
      <c r="T192" s="403"/>
      <c r="U192" s="403"/>
      <c r="V192" s="403"/>
      <c r="W192" s="403"/>
      <c r="X192" s="403"/>
      <c r="Y192" s="403"/>
      <c r="Z192" s="403"/>
      <c r="AA192" s="403"/>
      <c r="AB192" s="403"/>
      <c r="AC192" s="564"/>
      <c r="AD192" s="403"/>
      <c r="AE192" s="403"/>
      <c r="AF192" s="403"/>
      <c r="AG192" s="403"/>
      <c r="AH192" s="403"/>
      <c r="AI192" s="403"/>
      <c r="AJ192" s="403"/>
      <c r="AK192" s="403"/>
      <c r="AL192" s="403"/>
      <c r="AM192" s="403"/>
      <c r="AN192" s="403"/>
      <c r="AO192" s="403"/>
      <c r="AP192" s="403"/>
      <c r="AQ192" s="403"/>
      <c r="AR192" s="403"/>
      <c r="AS192" s="403"/>
      <c r="AT192" s="403"/>
      <c r="AU192" s="403"/>
      <c r="AV192" s="403"/>
      <c r="AW192" s="403"/>
      <c r="AX192" s="403"/>
      <c r="AY192" s="403"/>
      <c r="AZ192" s="403"/>
      <c r="BA192" s="403"/>
      <c r="BB192" s="403"/>
      <c r="BC192" s="403"/>
      <c r="BD192" s="403"/>
      <c r="BE192" s="403"/>
      <c r="BF192" s="403"/>
      <c r="BG192" s="403"/>
      <c r="BH192" s="403"/>
      <c r="BI192" s="403"/>
      <c r="BJ192" s="403"/>
      <c r="BK192" s="403"/>
      <c r="BL192" s="403"/>
      <c r="BM192" s="403"/>
      <c r="BN192" s="403"/>
      <c r="BO192" s="403"/>
      <c r="BP192" s="403"/>
      <c r="BQ192" s="403"/>
      <c r="BR192" s="403"/>
      <c r="BS192" s="403"/>
      <c r="BT192" s="403"/>
      <c r="BU192" s="403"/>
      <c r="BV192" s="403"/>
      <c r="BW192" s="403"/>
      <c r="BX192" s="403"/>
      <c r="BY192" s="403"/>
      <c r="BZ192" s="403"/>
      <c r="CA192" s="403"/>
      <c r="CB192" s="403"/>
      <c r="CC192" s="403"/>
      <c r="CD192" s="403"/>
      <c r="CE192" s="403"/>
      <c r="CF192" s="403"/>
      <c r="CG192" s="403"/>
      <c r="CH192" s="403"/>
      <c r="CI192" s="403"/>
      <c r="CJ192" s="403"/>
      <c r="CK192" s="403"/>
      <c r="CL192" s="403"/>
      <c r="CM192" s="403"/>
      <c r="CN192" s="403"/>
      <c r="CO192" s="403"/>
      <c r="CP192" s="403"/>
      <c r="CQ192" s="403"/>
      <c r="CR192" s="403"/>
      <c r="CS192" s="403"/>
      <c r="CT192" s="403"/>
      <c r="CU192" s="403"/>
      <c r="CV192" s="403"/>
      <c r="CW192" s="403"/>
      <c r="CX192" s="403"/>
      <c r="CY192" s="403"/>
      <c r="CZ192" s="403"/>
      <c r="DA192" s="403"/>
      <c r="DB192" s="403"/>
      <c r="DC192" s="403"/>
      <c r="DD192" s="403"/>
      <c r="DE192" s="403"/>
      <c r="DF192" s="403"/>
      <c r="DG192" s="403"/>
      <c r="DH192" s="403"/>
      <c r="DI192" s="403"/>
      <c r="DJ192" s="403"/>
      <c r="DK192" s="403"/>
      <c r="DL192" s="403"/>
      <c r="DM192" s="403"/>
      <c r="DN192" s="403"/>
    </row>
    <row r="193" spans="2:118" s="241" customFormat="1" hidden="1" x14ac:dyDescent="0.2">
      <c r="B193" s="645" t="s">
        <v>14117</v>
      </c>
      <c r="D193" s="16"/>
      <c r="G193" s="16"/>
      <c r="H193" s="16"/>
      <c r="I193" s="16"/>
      <c r="J193" s="16"/>
      <c r="K193" s="16"/>
      <c r="L193" s="16"/>
      <c r="N193" s="403"/>
      <c r="O193" s="403"/>
      <c r="P193" s="403"/>
      <c r="Q193" s="403"/>
      <c r="R193" s="403"/>
      <c r="S193" s="403"/>
      <c r="T193" s="403"/>
      <c r="U193" s="403"/>
      <c r="V193" s="403"/>
      <c r="W193" s="403"/>
      <c r="X193" s="403"/>
      <c r="Y193" s="403"/>
      <c r="Z193" s="403"/>
      <c r="AA193" s="403"/>
      <c r="AB193" s="403"/>
      <c r="AC193" s="564"/>
      <c r="AD193" s="403"/>
      <c r="AE193" s="403"/>
      <c r="AF193" s="403"/>
      <c r="AG193" s="403"/>
      <c r="AH193" s="403"/>
      <c r="AI193" s="403"/>
      <c r="AJ193" s="403"/>
      <c r="AK193" s="403"/>
      <c r="AL193" s="403"/>
      <c r="AM193" s="403"/>
      <c r="AN193" s="403"/>
      <c r="AO193" s="403"/>
      <c r="AP193" s="403"/>
      <c r="AQ193" s="403"/>
      <c r="AR193" s="403"/>
      <c r="AS193" s="403"/>
      <c r="AT193" s="403"/>
      <c r="AU193" s="403"/>
      <c r="AV193" s="403"/>
      <c r="AW193" s="403"/>
      <c r="AX193" s="403"/>
      <c r="AY193" s="403"/>
      <c r="AZ193" s="403"/>
      <c r="BA193" s="403"/>
      <c r="BB193" s="403"/>
      <c r="BC193" s="403"/>
      <c r="BD193" s="403"/>
      <c r="BE193" s="403"/>
      <c r="BF193" s="403"/>
      <c r="BG193" s="403"/>
      <c r="BH193" s="403"/>
      <c r="BI193" s="403"/>
      <c r="BJ193" s="403"/>
      <c r="BK193" s="403"/>
      <c r="BL193" s="403"/>
      <c r="BM193" s="403"/>
      <c r="BN193" s="403"/>
      <c r="BO193" s="403"/>
      <c r="BP193" s="403"/>
      <c r="BQ193" s="403"/>
      <c r="BR193" s="403"/>
      <c r="BS193" s="403"/>
      <c r="BT193" s="403"/>
      <c r="BU193" s="403"/>
      <c r="BV193" s="403"/>
      <c r="BW193" s="403"/>
      <c r="BX193" s="403"/>
      <c r="BY193" s="403"/>
      <c r="BZ193" s="403"/>
      <c r="CA193" s="403"/>
      <c r="CB193" s="403"/>
      <c r="CC193" s="403"/>
      <c r="CD193" s="403"/>
      <c r="CE193" s="403"/>
      <c r="CF193" s="403"/>
      <c r="CG193" s="403"/>
      <c r="CH193" s="403"/>
      <c r="CI193" s="403"/>
      <c r="CJ193" s="403"/>
      <c r="CK193" s="403"/>
      <c r="CL193" s="403"/>
      <c r="CM193" s="403"/>
      <c r="CN193" s="403"/>
      <c r="CO193" s="403"/>
      <c r="CP193" s="403"/>
      <c r="CQ193" s="403"/>
      <c r="CR193" s="403"/>
      <c r="CS193" s="403"/>
      <c r="CT193" s="403"/>
      <c r="CU193" s="403"/>
      <c r="CV193" s="403"/>
      <c r="CW193" s="403"/>
      <c r="CX193" s="403"/>
      <c r="CY193" s="403"/>
      <c r="CZ193" s="403"/>
      <c r="DA193" s="403"/>
      <c r="DB193" s="403"/>
      <c r="DC193" s="403"/>
      <c r="DD193" s="403"/>
      <c r="DE193" s="403"/>
      <c r="DF193" s="403"/>
      <c r="DG193" s="403"/>
      <c r="DH193" s="403"/>
      <c r="DI193" s="403"/>
      <c r="DJ193" s="403"/>
      <c r="DK193" s="403"/>
      <c r="DL193" s="403"/>
      <c r="DM193" s="403"/>
      <c r="DN193" s="403"/>
    </row>
    <row r="194" spans="2:118" s="241" customFormat="1" ht="15" hidden="1" x14ac:dyDescent="0.25">
      <c r="B194" s="645" t="s">
        <v>14117</v>
      </c>
      <c r="C194" s="55" t="s">
        <v>3058</v>
      </c>
      <c r="D194" s="265" t="s">
        <v>2992</v>
      </c>
      <c r="E194" s="255" t="s">
        <v>2666</v>
      </c>
      <c r="F194" s="25"/>
      <c r="G194" s="265" t="s">
        <v>1597</v>
      </c>
      <c r="H194" s="265" t="s">
        <v>1598</v>
      </c>
      <c r="I194" s="265" t="s">
        <v>1599</v>
      </c>
      <c r="J194" s="265" t="s">
        <v>1600</v>
      </c>
      <c r="K194" s="265" t="s">
        <v>1602</v>
      </c>
      <c r="L194" s="265" t="s">
        <v>1601</v>
      </c>
      <c r="N194" s="403"/>
      <c r="O194" s="403"/>
      <c r="P194" s="403"/>
      <c r="Q194" s="403"/>
      <c r="R194" s="403"/>
      <c r="S194" s="403"/>
      <c r="T194" s="403"/>
      <c r="U194" s="403"/>
      <c r="V194" s="403"/>
      <c r="W194" s="403"/>
      <c r="X194" s="403"/>
      <c r="Y194" s="403"/>
      <c r="Z194" s="403"/>
      <c r="AA194" s="403"/>
      <c r="AB194" s="403"/>
      <c r="AC194" s="564"/>
      <c r="AD194" s="403"/>
      <c r="AE194" s="403"/>
      <c r="AF194" s="403"/>
      <c r="AG194" s="403"/>
      <c r="AH194" s="403"/>
      <c r="AI194" s="403"/>
      <c r="AJ194" s="403"/>
      <c r="AK194" s="403"/>
      <c r="AL194" s="403"/>
      <c r="AM194" s="403"/>
      <c r="AN194" s="403"/>
      <c r="AO194" s="403"/>
      <c r="AP194" s="403"/>
      <c r="AQ194" s="403"/>
      <c r="AR194" s="403"/>
      <c r="AS194" s="403"/>
      <c r="AT194" s="403"/>
      <c r="AU194" s="403"/>
      <c r="AV194" s="403"/>
      <c r="AW194" s="403"/>
      <c r="AX194" s="403"/>
      <c r="AY194" s="403"/>
      <c r="AZ194" s="403"/>
      <c r="BA194" s="403"/>
      <c r="BB194" s="403"/>
      <c r="BC194" s="403"/>
      <c r="BD194" s="403"/>
      <c r="BE194" s="403"/>
      <c r="BF194" s="403"/>
      <c r="BG194" s="403"/>
      <c r="BH194" s="403"/>
      <c r="BI194" s="403"/>
      <c r="BJ194" s="403"/>
      <c r="BK194" s="403"/>
      <c r="BL194" s="403"/>
      <c r="BM194" s="403"/>
      <c r="BN194" s="403"/>
      <c r="BO194" s="403"/>
      <c r="BP194" s="403"/>
      <c r="BQ194" s="403"/>
      <c r="BR194" s="403"/>
      <c r="BS194" s="403"/>
      <c r="BT194" s="403"/>
      <c r="BU194" s="403"/>
      <c r="BV194" s="403"/>
      <c r="BW194" s="403"/>
      <c r="BX194" s="403"/>
      <c r="BY194" s="403"/>
      <c r="BZ194" s="403"/>
      <c r="CA194" s="403"/>
      <c r="CB194" s="403"/>
      <c r="CC194" s="403"/>
      <c r="CD194" s="403"/>
      <c r="CE194" s="403"/>
      <c r="CF194" s="403"/>
      <c r="CG194" s="403"/>
      <c r="CH194" s="403"/>
      <c r="CI194" s="403"/>
      <c r="CJ194" s="403"/>
      <c r="CK194" s="403"/>
      <c r="CL194" s="403"/>
      <c r="CM194" s="403"/>
      <c r="CN194" s="403"/>
      <c r="CO194" s="403"/>
      <c r="CP194" s="403"/>
      <c r="CQ194" s="403"/>
      <c r="CR194" s="403"/>
      <c r="CS194" s="403"/>
      <c r="CT194" s="403"/>
      <c r="CU194" s="403"/>
      <c r="CV194" s="403"/>
      <c r="CW194" s="403"/>
      <c r="CX194" s="403"/>
      <c r="CY194" s="403"/>
      <c r="CZ194" s="403"/>
      <c r="DA194" s="403"/>
      <c r="DB194" s="403"/>
      <c r="DC194" s="403"/>
      <c r="DD194" s="403"/>
      <c r="DE194" s="403"/>
      <c r="DF194" s="403"/>
      <c r="DG194" s="403"/>
      <c r="DH194" s="403"/>
      <c r="DI194" s="403"/>
      <c r="DJ194" s="403"/>
      <c r="DK194" s="403"/>
      <c r="DL194" s="403"/>
      <c r="DM194" s="403"/>
      <c r="DN194" s="403"/>
    </row>
    <row r="195" spans="2:118" s="241" customFormat="1" hidden="1" x14ac:dyDescent="0.2">
      <c r="B195" s="645" t="s">
        <v>14117</v>
      </c>
      <c r="C195" s="5" t="s">
        <v>1632</v>
      </c>
      <c r="D195" s="16"/>
      <c r="E195" s="204" t="e">
        <f>SUM(G195:L195)/SUM(G$165:L$165)</f>
        <v>#N/A</v>
      </c>
      <c r="G195" s="16" t="e">
        <f>'B5. Last Mile Delivery'!AI101</f>
        <v>#N/A</v>
      </c>
      <c r="H195" s="16" t="e">
        <f>'B5. Last Mile Delivery'!AJ101</f>
        <v>#N/A</v>
      </c>
      <c r="I195" s="16" t="e">
        <f>'B5. Last Mile Delivery'!AK101</f>
        <v>#N/A</v>
      </c>
      <c r="J195" s="16" t="e">
        <f>'B5. Last Mile Delivery'!AL101</f>
        <v>#N/A</v>
      </c>
      <c r="K195" s="16" t="e">
        <f>'B5. Last Mile Delivery'!AM101</f>
        <v>#N/A</v>
      </c>
      <c r="L195" s="16" t="e">
        <f>'B5. Last Mile Delivery'!AN101</f>
        <v>#N/A</v>
      </c>
      <c r="N195" s="403"/>
      <c r="O195" s="403"/>
      <c r="P195" s="403"/>
      <c r="Q195" s="403"/>
      <c r="R195" s="403"/>
      <c r="S195" s="403"/>
      <c r="T195" s="403"/>
      <c r="U195" s="403"/>
      <c r="V195" s="403"/>
      <c r="W195" s="403"/>
      <c r="X195" s="403"/>
      <c r="Y195" s="403"/>
      <c r="Z195" s="403"/>
      <c r="AA195" s="403"/>
      <c r="AB195" s="403"/>
      <c r="AC195" s="564"/>
      <c r="AD195" s="403"/>
      <c r="AE195" s="403"/>
      <c r="AF195" s="403"/>
      <c r="AG195" s="403"/>
      <c r="AH195" s="403"/>
      <c r="AI195" s="403"/>
      <c r="AJ195" s="403"/>
      <c r="AK195" s="403"/>
      <c r="AL195" s="403"/>
      <c r="AM195" s="403"/>
      <c r="AN195" s="403"/>
      <c r="AO195" s="403"/>
      <c r="AP195" s="403"/>
      <c r="AQ195" s="403"/>
      <c r="AR195" s="403"/>
      <c r="AS195" s="403"/>
      <c r="AT195" s="403"/>
      <c r="AU195" s="403"/>
      <c r="AV195" s="403"/>
      <c r="AW195" s="403"/>
      <c r="AX195" s="403"/>
      <c r="AY195" s="403"/>
      <c r="AZ195" s="403"/>
      <c r="BA195" s="403"/>
      <c r="BB195" s="403"/>
      <c r="BC195" s="403"/>
      <c r="BD195" s="403"/>
      <c r="BE195" s="403"/>
      <c r="BF195" s="403"/>
      <c r="BG195" s="403"/>
      <c r="BH195" s="403"/>
      <c r="BI195" s="403"/>
      <c r="BJ195" s="403"/>
      <c r="BK195" s="403"/>
      <c r="BL195" s="403"/>
      <c r="BM195" s="403"/>
      <c r="BN195" s="403"/>
      <c r="BO195" s="403"/>
      <c r="BP195" s="403"/>
      <c r="BQ195" s="403"/>
      <c r="BR195" s="403"/>
      <c r="BS195" s="403"/>
      <c r="BT195" s="403"/>
      <c r="BU195" s="403"/>
      <c r="BV195" s="403"/>
      <c r="BW195" s="403"/>
      <c r="BX195" s="403"/>
      <c r="BY195" s="403"/>
      <c r="BZ195" s="403"/>
      <c r="CA195" s="403"/>
      <c r="CB195" s="403"/>
      <c r="CC195" s="403"/>
      <c r="CD195" s="403"/>
      <c r="CE195" s="403"/>
      <c r="CF195" s="403"/>
      <c r="CG195" s="403"/>
      <c r="CH195" s="403"/>
      <c r="CI195" s="403"/>
      <c r="CJ195" s="403"/>
      <c r="CK195" s="403"/>
      <c r="CL195" s="403"/>
      <c r="CM195" s="403"/>
      <c r="CN195" s="403"/>
      <c r="CO195" s="403"/>
      <c r="CP195" s="403"/>
      <c r="CQ195" s="403"/>
      <c r="CR195" s="403"/>
      <c r="CS195" s="403"/>
      <c r="CT195" s="403"/>
      <c r="CU195" s="403"/>
      <c r="CV195" s="403"/>
      <c r="CW195" s="403"/>
      <c r="CX195" s="403"/>
      <c r="CY195" s="403"/>
      <c r="CZ195" s="403"/>
      <c r="DA195" s="403"/>
      <c r="DB195" s="403"/>
      <c r="DC195" s="403"/>
      <c r="DD195" s="403"/>
      <c r="DE195" s="403"/>
      <c r="DF195" s="403"/>
      <c r="DG195" s="403"/>
      <c r="DH195" s="403"/>
      <c r="DI195" s="403"/>
      <c r="DJ195" s="403"/>
      <c r="DK195" s="403"/>
      <c r="DL195" s="403"/>
      <c r="DM195" s="403"/>
      <c r="DN195" s="403"/>
    </row>
    <row r="196" spans="2:118" s="241" customFormat="1" hidden="1" x14ac:dyDescent="0.2">
      <c r="B196" s="645" t="s">
        <v>14117</v>
      </c>
      <c r="C196" s="5" t="s">
        <v>1639</v>
      </c>
      <c r="D196" s="16"/>
      <c r="E196" s="204" t="e">
        <f>SUM(G196:L196)/SUM(G$165:L$165)</f>
        <v>#N/A</v>
      </c>
      <c r="G196" s="16" t="e">
        <f>'B5. Last Mile Delivery'!AI153</f>
        <v>#N/A</v>
      </c>
      <c r="H196" s="16" t="e">
        <f>'B5. Last Mile Delivery'!AJ153</f>
        <v>#N/A</v>
      </c>
      <c r="I196" s="16" t="e">
        <f>'B5. Last Mile Delivery'!AK153</f>
        <v>#N/A</v>
      </c>
      <c r="J196" s="16" t="e">
        <f>'B5. Last Mile Delivery'!AL153</f>
        <v>#N/A</v>
      </c>
      <c r="K196" s="16" t="e">
        <f>'B5. Last Mile Delivery'!AM153</f>
        <v>#N/A</v>
      </c>
      <c r="L196" s="16" t="e">
        <f>'B5. Last Mile Delivery'!AN153</f>
        <v>#N/A</v>
      </c>
      <c r="N196" s="403"/>
      <c r="O196" s="403"/>
      <c r="P196" s="403"/>
      <c r="Q196" s="403"/>
      <c r="R196" s="403"/>
      <c r="S196" s="403"/>
      <c r="T196" s="403"/>
      <c r="U196" s="403"/>
      <c r="V196" s="403"/>
      <c r="W196" s="403"/>
      <c r="X196" s="403"/>
      <c r="Y196" s="403"/>
      <c r="Z196" s="403"/>
      <c r="AA196" s="403"/>
      <c r="AB196" s="403"/>
      <c r="AC196" s="564"/>
      <c r="AD196" s="403"/>
      <c r="AE196" s="403"/>
      <c r="AF196" s="403"/>
      <c r="AG196" s="403"/>
      <c r="AH196" s="403"/>
      <c r="AI196" s="403"/>
      <c r="AJ196" s="403"/>
      <c r="AK196" s="403"/>
      <c r="AL196" s="403"/>
      <c r="AM196" s="403"/>
      <c r="AN196" s="403"/>
      <c r="AO196" s="403"/>
      <c r="AP196" s="403"/>
      <c r="AQ196" s="403"/>
      <c r="AR196" s="403"/>
      <c r="AS196" s="403"/>
      <c r="AT196" s="403"/>
      <c r="AU196" s="403"/>
      <c r="AV196" s="403"/>
      <c r="AW196" s="403"/>
      <c r="AX196" s="403"/>
      <c r="AY196" s="403"/>
      <c r="AZ196" s="403"/>
      <c r="BA196" s="403"/>
      <c r="BB196" s="403"/>
      <c r="BC196" s="403"/>
      <c r="BD196" s="403"/>
      <c r="BE196" s="403"/>
      <c r="BF196" s="403"/>
      <c r="BG196" s="403"/>
      <c r="BH196" s="403"/>
      <c r="BI196" s="403"/>
      <c r="BJ196" s="403"/>
      <c r="BK196" s="403"/>
      <c r="BL196" s="403"/>
      <c r="BM196" s="403"/>
      <c r="BN196" s="403"/>
      <c r="BO196" s="403"/>
      <c r="BP196" s="403"/>
      <c r="BQ196" s="403"/>
      <c r="BR196" s="403"/>
      <c r="BS196" s="403"/>
      <c r="BT196" s="403"/>
      <c r="BU196" s="403"/>
      <c r="BV196" s="403"/>
      <c r="BW196" s="403"/>
      <c r="BX196" s="403"/>
      <c r="BY196" s="403"/>
      <c r="BZ196" s="403"/>
      <c r="CA196" s="403"/>
      <c r="CB196" s="403"/>
      <c r="CC196" s="403"/>
      <c r="CD196" s="403"/>
      <c r="CE196" s="403"/>
      <c r="CF196" s="403"/>
      <c r="CG196" s="403"/>
      <c r="CH196" s="403"/>
      <c r="CI196" s="403"/>
      <c r="CJ196" s="403"/>
      <c r="CK196" s="403"/>
      <c r="CL196" s="403"/>
      <c r="CM196" s="403"/>
      <c r="CN196" s="403"/>
      <c r="CO196" s="403"/>
      <c r="CP196" s="403"/>
      <c r="CQ196" s="403"/>
      <c r="CR196" s="403"/>
      <c r="CS196" s="403"/>
      <c r="CT196" s="403"/>
      <c r="CU196" s="403"/>
      <c r="CV196" s="403"/>
      <c r="CW196" s="403"/>
      <c r="CX196" s="403"/>
      <c r="CY196" s="403"/>
      <c r="CZ196" s="403"/>
      <c r="DA196" s="403"/>
      <c r="DB196" s="403"/>
      <c r="DC196" s="403"/>
      <c r="DD196" s="403"/>
      <c r="DE196" s="403"/>
      <c r="DF196" s="403"/>
      <c r="DG196" s="403"/>
      <c r="DH196" s="403"/>
      <c r="DI196" s="403"/>
      <c r="DJ196" s="403"/>
      <c r="DK196" s="403"/>
      <c r="DL196" s="403"/>
      <c r="DM196" s="403"/>
      <c r="DN196" s="403"/>
    </row>
    <row r="197" spans="2:118" s="241" customFormat="1" hidden="1" x14ac:dyDescent="0.2">
      <c r="B197" s="645" t="s">
        <v>14117</v>
      </c>
      <c r="C197" s="5" t="s">
        <v>1564</v>
      </c>
      <c r="D197" s="16"/>
      <c r="E197" s="204" t="e">
        <f>SUM(G197:L197)/SUM(G$165:L$165)</f>
        <v>#N/A</v>
      </c>
      <c r="G197" s="16" t="e">
        <f>'B5. Last Mile Delivery'!AI201</f>
        <v>#N/A</v>
      </c>
      <c r="H197" s="16" t="e">
        <f>'B5. Last Mile Delivery'!AJ201</f>
        <v>#N/A</v>
      </c>
      <c r="I197" s="16" t="e">
        <f>'B5. Last Mile Delivery'!AK201</f>
        <v>#N/A</v>
      </c>
      <c r="J197" s="16" t="e">
        <f>'B5. Last Mile Delivery'!AL201</f>
        <v>#N/A</v>
      </c>
      <c r="K197" s="16" t="e">
        <f>'B5. Last Mile Delivery'!AM201</f>
        <v>#N/A</v>
      </c>
      <c r="L197" s="16" t="e">
        <f>'B5. Last Mile Delivery'!AN201</f>
        <v>#N/A</v>
      </c>
      <c r="N197" s="403"/>
      <c r="O197" s="403"/>
      <c r="P197" s="403"/>
      <c r="Q197" s="403"/>
      <c r="R197" s="403"/>
      <c r="S197" s="403"/>
      <c r="T197" s="403"/>
      <c r="U197" s="403"/>
      <c r="V197" s="403"/>
      <c r="W197" s="403"/>
      <c r="X197" s="403"/>
      <c r="Y197" s="403"/>
      <c r="Z197" s="403"/>
      <c r="AA197" s="403"/>
      <c r="AB197" s="403"/>
      <c r="AC197" s="564"/>
      <c r="AD197" s="403"/>
      <c r="AE197" s="403"/>
      <c r="AF197" s="403"/>
      <c r="AG197" s="403"/>
      <c r="AH197" s="403"/>
      <c r="AI197" s="403"/>
      <c r="AJ197" s="403"/>
      <c r="AK197" s="403"/>
      <c r="AL197" s="403"/>
      <c r="AM197" s="403"/>
      <c r="AN197" s="403"/>
      <c r="AO197" s="403"/>
      <c r="AP197" s="403"/>
      <c r="AQ197" s="403"/>
      <c r="AR197" s="403"/>
      <c r="AS197" s="403"/>
      <c r="AT197" s="403"/>
      <c r="AU197" s="403"/>
      <c r="AV197" s="403"/>
      <c r="AW197" s="403"/>
      <c r="AX197" s="403"/>
      <c r="AY197" s="403"/>
      <c r="AZ197" s="403"/>
      <c r="BA197" s="403"/>
      <c r="BB197" s="403"/>
      <c r="BC197" s="403"/>
      <c r="BD197" s="403"/>
      <c r="BE197" s="403"/>
      <c r="BF197" s="403"/>
      <c r="BG197" s="403"/>
      <c r="BH197" s="403"/>
      <c r="BI197" s="403"/>
      <c r="BJ197" s="403"/>
      <c r="BK197" s="403"/>
      <c r="BL197" s="403"/>
      <c r="BM197" s="403"/>
      <c r="BN197" s="403"/>
      <c r="BO197" s="403"/>
      <c r="BP197" s="403"/>
      <c r="BQ197" s="403"/>
      <c r="BR197" s="403"/>
      <c r="BS197" s="403"/>
      <c r="BT197" s="403"/>
      <c r="BU197" s="403"/>
      <c r="BV197" s="403"/>
      <c r="BW197" s="403"/>
      <c r="BX197" s="403"/>
      <c r="BY197" s="403"/>
      <c r="BZ197" s="403"/>
      <c r="CA197" s="403"/>
      <c r="CB197" s="403"/>
      <c r="CC197" s="403"/>
      <c r="CD197" s="403"/>
      <c r="CE197" s="403"/>
      <c r="CF197" s="403"/>
      <c r="CG197" s="403"/>
      <c r="CH197" s="403"/>
      <c r="CI197" s="403"/>
      <c r="CJ197" s="403"/>
      <c r="CK197" s="403"/>
      <c r="CL197" s="403"/>
      <c r="CM197" s="403"/>
      <c r="CN197" s="403"/>
      <c r="CO197" s="403"/>
      <c r="CP197" s="403"/>
      <c r="CQ197" s="403"/>
      <c r="CR197" s="403"/>
      <c r="CS197" s="403"/>
      <c r="CT197" s="403"/>
      <c r="CU197" s="403"/>
      <c r="CV197" s="403"/>
      <c r="CW197" s="403"/>
      <c r="CX197" s="403"/>
      <c r="CY197" s="403"/>
      <c r="CZ197" s="403"/>
      <c r="DA197" s="403"/>
      <c r="DB197" s="403"/>
      <c r="DC197" s="403"/>
      <c r="DD197" s="403"/>
      <c r="DE197" s="403"/>
      <c r="DF197" s="403"/>
      <c r="DG197" s="403"/>
      <c r="DH197" s="403"/>
      <c r="DI197" s="403"/>
      <c r="DJ197" s="403"/>
      <c r="DK197" s="403"/>
      <c r="DL197" s="403"/>
      <c r="DM197" s="403"/>
      <c r="DN197" s="403"/>
    </row>
    <row r="198" spans="2:118" s="241" customFormat="1" hidden="1" x14ac:dyDescent="0.2">
      <c r="B198" s="645" t="s">
        <v>14117</v>
      </c>
      <c r="C198" s="5" t="s">
        <v>1565</v>
      </c>
      <c r="D198" s="16"/>
      <c r="E198" s="204" t="e">
        <f>SUM(G198:L198)/SUM(G$165:L$165)</f>
        <v>#N/A</v>
      </c>
      <c r="G198" s="16" t="e">
        <f>'B5. Last Mile Delivery'!AI258</f>
        <v>#N/A</v>
      </c>
      <c r="H198" s="16" t="e">
        <f>'B5. Last Mile Delivery'!AJ258</f>
        <v>#N/A</v>
      </c>
      <c r="I198" s="16" t="e">
        <f>'B5. Last Mile Delivery'!AK258</f>
        <v>#N/A</v>
      </c>
      <c r="J198" s="16" t="e">
        <f>'B5. Last Mile Delivery'!AL258</f>
        <v>#N/A</v>
      </c>
      <c r="K198" s="16" t="e">
        <f>'B5. Last Mile Delivery'!AM258</f>
        <v>#N/A</v>
      </c>
      <c r="L198" s="16" t="e">
        <f>'B5. Last Mile Delivery'!AN258</f>
        <v>#N/A</v>
      </c>
      <c r="N198" s="403"/>
      <c r="O198" s="403"/>
      <c r="P198" s="403"/>
      <c r="Q198" s="403"/>
      <c r="R198" s="403"/>
      <c r="S198" s="403"/>
      <c r="T198" s="403"/>
      <c r="U198" s="403"/>
      <c r="V198" s="403"/>
      <c r="W198" s="403"/>
      <c r="X198" s="403"/>
      <c r="Y198" s="403"/>
      <c r="Z198" s="403"/>
      <c r="AA198" s="403"/>
      <c r="AB198" s="403"/>
      <c r="AC198" s="564"/>
      <c r="AD198" s="403"/>
      <c r="AE198" s="403"/>
      <c r="AF198" s="403"/>
      <c r="AG198" s="403"/>
      <c r="AH198" s="403"/>
      <c r="AI198" s="403"/>
      <c r="AJ198" s="403"/>
      <c r="AK198" s="403"/>
      <c r="AL198" s="403"/>
      <c r="AM198" s="403"/>
      <c r="AN198" s="403"/>
      <c r="AO198" s="403"/>
      <c r="AP198" s="403"/>
      <c r="AQ198" s="403"/>
      <c r="AR198" s="403"/>
      <c r="AS198" s="403"/>
      <c r="AT198" s="403"/>
      <c r="AU198" s="403"/>
      <c r="AV198" s="403"/>
      <c r="AW198" s="403"/>
      <c r="AX198" s="403"/>
      <c r="AY198" s="403"/>
      <c r="AZ198" s="403"/>
      <c r="BA198" s="403"/>
      <c r="BB198" s="403"/>
      <c r="BC198" s="403"/>
      <c r="BD198" s="403"/>
      <c r="BE198" s="403"/>
      <c r="BF198" s="403"/>
      <c r="BG198" s="403"/>
      <c r="BH198" s="403"/>
      <c r="BI198" s="403"/>
      <c r="BJ198" s="403"/>
      <c r="BK198" s="403"/>
      <c r="BL198" s="403"/>
      <c r="BM198" s="403"/>
      <c r="BN198" s="403"/>
      <c r="BO198" s="403"/>
      <c r="BP198" s="403"/>
      <c r="BQ198" s="403"/>
      <c r="BR198" s="403"/>
      <c r="BS198" s="403"/>
      <c r="BT198" s="403"/>
      <c r="BU198" s="403"/>
      <c r="BV198" s="403"/>
      <c r="BW198" s="403"/>
      <c r="BX198" s="403"/>
      <c r="BY198" s="403"/>
      <c r="BZ198" s="403"/>
      <c r="CA198" s="403"/>
      <c r="CB198" s="403"/>
      <c r="CC198" s="403"/>
      <c r="CD198" s="403"/>
      <c r="CE198" s="403"/>
      <c r="CF198" s="403"/>
      <c r="CG198" s="403"/>
      <c r="CH198" s="403"/>
      <c r="CI198" s="403"/>
      <c r="CJ198" s="403"/>
      <c r="CK198" s="403"/>
      <c r="CL198" s="403"/>
      <c r="CM198" s="403"/>
      <c r="CN198" s="403"/>
      <c r="CO198" s="403"/>
      <c r="CP198" s="403"/>
      <c r="CQ198" s="403"/>
      <c r="CR198" s="403"/>
      <c r="CS198" s="403"/>
      <c r="CT198" s="403"/>
      <c r="CU198" s="403"/>
      <c r="CV198" s="403"/>
      <c r="CW198" s="403"/>
      <c r="CX198" s="403"/>
      <c r="CY198" s="403"/>
      <c r="CZ198" s="403"/>
      <c r="DA198" s="403"/>
      <c r="DB198" s="403"/>
      <c r="DC198" s="403"/>
      <c r="DD198" s="403"/>
      <c r="DE198" s="403"/>
      <c r="DF198" s="403"/>
      <c r="DG198" s="403"/>
      <c r="DH198" s="403"/>
      <c r="DI198" s="403"/>
      <c r="DJ198" s="403"/>
      <c r="DK198" s="403"/>
      <c r="DL198" s="403"/>
      <c r="DM198" s="403"/>
      <c r="DN198" s="403"/>
    </row>
    <row r="199" spans="2:118" s="241" customFormat="1" ht="13.5" hidden="1" thickBot="1" x14ac:dyDescent="0.25">
      <c r="B199" s="645" t="s">
        <v>14117</v>
      </c>
      <c r="C199" s="21" t="s">
        <v>2829</v>
      </c>
      <c r="D199" s="161"/>
      <c r="E199" s="20"/>
      <c r="F199" s="20"/>
      <c r="G199" s="161" t="e">
        <f>'B5. Last Mile Delivery'!AI56</f>
        <v>#N/A</v>
      </c>
      <c r="H199" s="161" t="e">
        <f>'B5. Last Mile Delivery'!AJ56</f>
        <v>#N/A</v>
      </c>
      <c r="I199" s="161" t="e">
        <f>'B5. Last Mile Delivery'!AK56</f>
        <v>#N/A</v>
      </c>
      <c r="J199" s="161" t="e">
        <f>'B5. Last Mile Delivery'!AL56</f>
        <v>#N/A</v>
      </c>
      <c r="K199" s="161" t="e">
        <f>'B5. Last Mile Delivery'!AM56</f>
        <v>#N/A</v>
      </c>
      <c r="L199" s="161" t="e">
        <f>'B5. Last Mile Delivery'!AN56</f>
        <v>#N/A</v>
      </c>
      <c r="N199" s="403"/>
      <c r="O199" s="403"/>
      <c r="P199" s="403"/>
      <c r="Q199" s="403"/>
      <c r="R199" s="403"/>
      <c r="S199" s="403"/>
      <c r="T199" s="403"/>
      <c r="U199" s="403"/>
      <c r="V199" s="403"/>
      <c r="W199" s="403"/>
      <c r="X199" s="403"/>
      <c r="Y199" s="403"/>
      <c r="Z199" s="403"/>
      <c r="AA199" s="403"/>
      <c r="AB199" s="403"/>
      <c r="AC199" s="564"/>
      <c r="AD199" s="403"/>
      <c r="AE199" s="403"/>
      <c r="AF199" s="403"/>
      <c r="AG199" s="403"/>
      <c r="AH199" s="403"/>
      <c r="AI199" s="403"/>
      <c r="AJ199" s="403"/>
      <c r="AK199" s="403"/>
      <c r="AL199" s="403"/>
      <c r="AM199" s="403"/>
      <c r="AN199" s="403"/>
      <c r="AO199" s="403"/>
      <c r="AP199" s="403"/>
      <c r="AQ199" s="403"/>
      <c r="AR199" s="403"/>
      <c r="AS199" s="403"/>
      <c r="AT199" s="403"/>
      <c r="AU199" s="403"/>
      <c r="AV199" s="403"/>
      <c r="AW199" s="403"/>
      <c r="AX199" s="403"/>
      <c r="AY199" s="403"/>
      <c r="AZ199" s="403"/>
      <c r="BA199" s="403"/>
      <c r="BB199" s="403"/>
      <c r="BC199" s="403"/>
      <c r="BD199" s="403"/>
      <c r="BE199" s="403"/>
      <c r="BF199" s="403"/>
      <c r="BG199" s="403"/>
      <c r="BH199" s="403"/>
      <c r="BI199" s="403"/>
      <c r="BJ199" s="403"/>
      <c r="BK199" s="403"/>
      <c r="BL199" s="403"/>
      <c r="BM199" s="403"/>
      <c r="BN199" s="403"/>
      <c r="BO199" s="403"/>
      <c r="BP199" s="403"/>
      <c r="BQ199" s="403"/>
      <c r="BR199" s="403"/>
      <c r="BS199" s="403"/>
      <c r="BT199" s="403"/>
      <c r="BU199" s="403"/>
      <c r="BV199" s="403"/>
      <c r="BW199" s="403"/>
      <c r="BX199" s="403"/>
      <c r="BY199" s="403"/>
      <c r="BZ199" s="403"/>
      <c r="CA199" s="403"/>
      <c r="CB199" s="403"/>
      <c r="CC199" s="403"/>
      <c r="CD199" s="403"/>
      <c r="CE199" s="403"/>
      <c r="CF199" s="403"/>
      <c r="CG199" s="403"/>
      <c r="CH199" s="403"/>
      <c r="CI199" s="403"/>
      <c r="CJ199" s="403"/>
      <c r="CK199" s="403"/>
      <c r="CL199" s="403"/>
      <c r="CM199" s="403"/>
      <c r="CN199" s="403"/>
      <c r="CO199" s="403"/>
      <c r="CP199" s="403"/>
      <c r="CQ199" s="403"/>
      <c r="CR199" s="403"/>
      <c r="CS199" s="403"/>
      <c r="CT199" s="403"/>
      <c r="CU199" s="403"/>
      <c r="CV199" s="403"/>
      <c r="CW199" s="403"/>
      <c r="CX199" s="403"/>
      <c r="CY199" s="403"/>
      <c r="CZ199" s="403"/>
      <c r="DA199" s="403"/>
      <c r="DB199" s="403"/>
      <c r="DC199" s="403"/>
      <c r="DD199" s="403"/>
      <c r="DE199" s="403"/>
      <c r="DF199" s="403"/>
      <c r="DG199" s="403"/>
      <c r="DH199" s="403"/>
      <c r="DI199" s="403"/>
      <c r="DJ199" s="403"/>
      <c r="DK199" s="403"/>
      <c r="DL199" s="403"/>
      <c r="DM199" s="403"/>
      <c r="DN199" s="403"/>
    </row>
    <row r="200" spans="2:118" s="241" customFormat="1" ht="13.5" hidden="1" thickTop="1" x14ac:dyDescent="0.2">
      <c r="B200" s="645" t="s">
        <v>14117</v>
      </c>
      <c r="C200" s="31" t="s">
        <v>2988</v>
      </c>
      <c r="D200" s="16"/>
      <c r="G200" s="16" t="e">
        <f>'B5. Last Mile Delivery'!AI57</f>
        <v>#N/A</v>
      </c>
      <c r="H200" s="16" t="e">
        <f>'B5. Last Mile Delivery'!AJ57</f>
        <v>#N/A</v>
      </c>
      <c r="I200" s="16" t="e">
        <f>'B5. Last Mile Delivery'!AK57</f>
        <v>#N/A</v>
      </c>
      <c r="J200" s="16" t="e">
        <f>'B5. Last Mile Delivery'!AL57</f>
        <v>#N/A</v>
      </c>
      <c r="K200" s="16" t="e">
        <f>'B5. Last Mile Delivery'!AM57</f>
        <v>#N/A</v>
      </c>
      <c r="L200" s="16" t="e">
        <f>'B5. Last Mile Delivery'!AN57</f>
        <v>#N/A</v>
      </c>
      <c r="N200" s="403"/>
      <c r="O200" s="403"/>
      <c r="P200" s="403"/>
      <c r="Q200" s="403"/>
      <c r="R200" s="403"/>
      <c r="S200" s="403"/>
      <c r="T200" s="403"/>
      <c r="U200" s="403"/>
      <c r="V200" s="403"/>
      <c r="W200" s="403"/>
      <c r="X200" s="403"/>
      <c r="Y200" s="403"/>
      <c r="Z200" s="403"/>
      <c r="AA200" s="403"/>
      <c r="AB200" s="403"/>
      <c r="AC200" s="564"/>
      <c r="AD200" s="403"/>
      <c r="AE200" s="403"/>
      <c r="AF200" s="403"/>
      <c r="AG200" s="403"/>
      <c r="AH200" s="403"/>
      <c r="AI200" s="403"/>
      <c r="AJ200" s="403"/>
      <c r="AK200" s="403"/>
      <c r="AL200" s="403"/>
      <c r="AM200" s="403"/>
      <c r="AN200" s="403"/>
      <c r="AO200" s="403"/>
      <c r="AP200" s="403"/>
      <c r="AQ200" s="403"/>
      <c r="AR200" s="403"/>
      <c r="AS200" s="403"/>
      <c r="AT200" s="403"/>
      <c r="AU200" s="403"/>
      <c r="AV200" s="403"/>
      <c r="AW200" s="403"/>
      <c r="AX200" s="403"/>
      <c r="AY200" s="403"/>
      <c r="AZ200" s="403"/>
      <c r="BA200" s="403"/>
      <c r="BB200" s="403"/>
      <c r="BC200" s="403"/>
      <c r="BD200" s="403"/>
      <c r="BE200" s="403"/>
      <c r="BF200" s="403"/>
      <c r="BG200" s="403"/>
      <c r="BH200" s="403"/>
      <c r="BI200" s="403"/>
      <c r="BJ200" s="403"/>
      <c r="BK200" s="403"/>
      <c r="BL200" s="403"/>
      <c r="BM200" s="403"/>
      <c r="BN200" s="403"/>
      <c r="BO200" s="403"/>
      <c r="BP200" s="403"/>
      <c r="BQ200" s="403"/>
      <c r="BR200" s="403"/>
      <c r="BS200" s="403"/>
      <c r="BT200" s="403"/>
      <c r="BU200" s="403"/>
      <c r="BV200" s="403"/>
      <c r="BW200" s="403"/>
      <c r="BX200" s="403"/>
      <c r="BY200" s="403"/>
      <c r="BZ200" s="403"/>
      <c r="CA200" s="403"/>
      <c r="CB200" s="403"/>
      <c r="CC200" s="403"/>
      <c r="CD200" s="403"/>
      <c r="CE200" s="403"/>
      <c r="CF200" s="403"/>
      <c r="CG200" s="403"/>
      <c r="CH200" s="403"/>
      <c r="CI200" s="403"/>
      <c r="CJ200" s="403"/>
      <c r="CK200" s="403"/>
      <c r="CL200" s="403"/>
      <c r="CM200" s="403"/>
      <c r="CN200" s="403"/>
      <c r="CO200" s="403"/>
      <c r="CP200" s="403"/>
      <c r="CQ200" s="403"/>
      <c r="CR200" s="403"/>
      <c r="CS200" s="403"/>
      <c r="CT200" s="403"/>
      <c r="CU200" s="403"/>
      <c r="CV200" s="403"/>
      <c r="CW200" s="403"/>
      <c r="CX200" s="403"/>
      <c r="CY200" s="403"/>
      <c r="CZ200" s="403"/>
      <c r="DA200" s="403"/>
      <c r="DB200" s="403"/>
      <c r="DC200" s="403"/>
      <c r="DD200" s="403"/>
      <c r="DE200" s="403"/>
      <c r="DF200" s="403"/>
      <c r="DG200" s="403"/>
      <c r="DH200" s="403"/>
      <c r="DI200" s="403"/>
      <c r="DJ200" s="403"/>
      <c r="DK200" s="403"/>
      <c r="DL200" s="403"/>
      <c r="DM200" s="403"/>
      <c r="DN200" s="403"/>
    </row>
    <row r="201" spans="2:118" s="241" customFormat="1" hidden="1" x14ac:dyDescent="0.2">
      <c r="B201" s="645" t="s">
        <v>14117</v>
      </c>
      <c r="C201" s="247" t="s">
        <v>2976</v>
      </c>
      <c r="D201" s="266" t="e">
        <f>Vaccinators_Maximum_Lower</f>
        <v>#N/A</v>
      </c>
      <c r="G201" s="16"/>
      <c r="H201" s="16"/>
      <c r="I201" s="16"/>
      <c r="J201" s="16"/>
      <c r="K201" s="16"/>
      <c r="L201" s="16"/>
      <c r="N201" s="403"/>
      <c r="O201" s="403"/>
      <c r="P201" s="403"/>
      <c r="Q201" s="403"/>
      <c r="R201" s="403"/>
      <c r="S201" s="403"/>
      <c r="T201" s="403"/>
      <c r="U201" s="403"/>
      <c r="V201" s="403"/>
      <c r="W201" s="403"/>
      <c r="X201" s="403"/>
      <c r="Y201" s="403"/>
      <c r="Z201" s="403"/>
      <c r="AA201" s="403"/>
      <c r="AB201" s="403"/>
      <c r="AC201" s="564"/>
      <c r="AD201" s="403"/>
      <c r="AE201" s="403"/>
      <c r="AF201" s="403"/>
      <c r="AG201" s="403"/>
      <c r="AH201" s="403"/>
      <c r="AI201" s="403"/>
      <c r="AJ201" s="403"/>
      <c r="AK201" s="403"/>
      <c r="AL201" s="403"/>
      <c r="AM201" s="403"/>
      <c r="AN201" s="403"/>
      <c r="AO201" s="403"/>
      <c r="AP201" s="403"/>
      <c r="AQ201" s="403"/>
      <c r="AR201" s="403"/>
      <c r="AS201" s="403"/>
      <c r="AT201" s="403"/>
      <c r="AU201" s="403"/>
      <c r="AV201" s="403"/>
      <c r="AW201" s="403"/>
      <c r="AX201" s="403"/>
      <c r="AY201" s="403"/>
      <c r="AZ201" s="403"/>
      <c r="BA201" s="403"/>
      <c r="BB201" s="403"/>
      <c r="BC201" s="403"/>
      <c r="BD201" s="403"/>
      <c r="BE201" s="403"/>
      <c r="BF201" s="403"/>
      <c r="BG201" s="403"/>
      <c r="BH201" s="403"/>
      <c r="BI201" s="403"/>
      <c r="BJ201" s="403"/>
      <c r="BK201" s="403"/>
      <c r="BL201" s="403"/>
      <c r="BM201" s="403"/>
      <c r="BN201" s="403"/>
      <c r="BO201" s="403"/>
      <c r="BP201" s="403"/>
      <c r="BQ201" s="403"/>
      <c r="BR201" s="403"/>
      <c r="BS201" s="403"/>
      <c r="BT201" s="403"/>
      <c r="BU201" s="403"/>
      <c r="BV201" s="403"/>
      <c r="BW201" s="403"/>
      <c r="BX201" s="403"/>
      <c r="BY201" s="403"/>
      <c r="BZ201" s="403"/>
      <c r="CA201" s="403"/>
      <c r="CB201" s="403"/>
      <c r="CC201" s="403"/>
      <c r="CD201" s="403"/>
      <c r="CE201" s="403"/>
      <c r="CF201" s="403"/>
      <c r="CG201" s="403"/>
      <c r="CH201" s="403"/>
      <c r="CI201" s="403"/>
      <c r="CJ201" s="403"/>
      <c r="CK201" s="403"/>
      <c r="CL201" s="403"/>
      <c r="CM201" s="403"/>
      <c r="CN201" s="403"/>
      <c r="CO201" s="403"/>
      <c r="CP201" s="403"/>
      <c r="CQ201" s="403"/>
      <c r="CR201" s="403"/>
      <c r="CS201" s="403"/>
      <c r="CT201" s="403"/>
      <c r="CU201" s="403"/>
      <c r="CV201" s="403"/>
      <c r="CW201" s="403"/>
      <c r="CX201" s="403"/>
      <c r="CY201" s="403"/>
      <c r="CZ201" s="403"/>
      <c r="DA201" s="403"/>
      <c r="DB201" s="403"/>
      <c r="DC201" s="403"/>
      <c r="DD201" s="403"/>
      <c r="DE201" s="403"/>
      <c r="DF201" s="403"/>
      <c r="DG201" s="403"/>
      <c r="DH201" s="403"/>
      <c r="DI201" s="403"/>
      <c r="DJ201" s="403"/>
      <c r="DK201" s="403"/>
      <c r="DL201" s="403"/>
      <c r="DM201" s="403"/>
      <c r="DN201" s="403"/>
    </row>
    <row r="202" spans="2:118" s="241" customFormat="1" hidden="1" x14ac:dyDescent="0.2">
      <c r="B202" s="645" t="s">
        <v>14117</v>
      </c>
      <c r="D202" s="16"/>
      <c r="G202" s="16"/>
      <c r="H202" s="16"/>
      <c r="I202" s="16"/>
      <c r="J202" s="16"/>
      <c r="K202" s="16"/>
      <c r="L202" s="16"/>
      <c r="N202" s="403"/>
      <c r="O202" s="403"/>
      <c r="P202" s="403"/>
      <c r="Q202" s="403"/>
      <c r="R202" s="403"/>
      <c r="S202" s="403"/>
      <c r="T202" s="403"/>
      <c r="U202" s="403"/>
      <c r="V202" s="403"/>
      <c r="W202" s="403"/>
      <c r="X202" s="403"/>
      <c r="Y202" s="403"/>
      <c r="Z202" s="403"/>
      <c r="AA202" s="403"/>
      <c r="AB202" s="403"/>
      <c r="AC202" s="564"/>
      <c r="AD202" s="403"/>
      <c r="AE202" s="403"/>
      <c r="AF202" s="403"/>
      <c r="AG202" s="403"/>
      <c r="AH202" s="403"/>
      <c r="AI202" s="403"/>
      <c r="AJ202" s="403"/>
      <c r="AK202" s="403"/>
      <c r="AL202" s="403"/>
      <c r="AM202" s="403"/>
      <c r="AN202" s="403"/>
      <c r="AO202" s="403"/>
      <c r="AP202" s="403"/>
      <c r="AQ202" s="403"/>
      <c r="AR202" s="403"/>
      <c r="AS202" s="403"/>
      <c r="AT202" s="403"/>
      <c r="AU202" s="403"/>
      <c r="AV202" s="403"/>
      <c r="AW202" s="403"/>
      <c r="AX202" s="403"/>
      <c r="AY202" s="403"/>
      <c r="AZ202" s="403"/>
      <c r="BA202" s="403"/>
      <c r="BB202" s="403"/>
      <c r="BC202" s="403"/>
      <c r="BD202" s="403"/>
      <c r="BE202" s="403"/>
      <c r="BF202" s="403"/>
      <c r="BG202" s="403"/>
      <c r="BH202" s="403"/>
      <c r="BI202" s="403"/>
      <c r="BJ202" s="403"/>
      <c r="BK202" s="403"/>
      <c r="BL202" s="403"/>
      <c r="BM202" s="403"/>
      <c r="BN202" s="403"/>
      <c r="BO202" s="403"/>
      <c r="BP202" s="403"/>
      <c r="BQ202" s="403"/>
      <c r="BR202" s="403"/>
      <c r="BS202" s="403"/>
      <c r="BT202" s="403"/>
      <c r="BU202" s="403"/>
      <c r="BV202" s="403"/>
      <c r="BW202" s="403"/>
      <c r="BX202" s="403"/>
      <c r="BY202" s="403"/>
      <c r="BZ202" s="403"/>
      <c r="CA202" s="403"/>
      <c r="CB202" s="403"/>
      <c r="CC202" s="403"/>
      <c r="CD202" s="403"/>
      <c r="CE202" s="403"/>
      <c r="CF202" s="403"/>
      <c r="CG202" s="403"/>
      <c r="CH202" s="403"/>
      <c r="CI202" s="403"/>
      <c r="CJ202" s="403"/>
      <c r="CK202" s="403"/>
      <c r="CL202" s="403"/>
      <c r="CM202" s="403"/>
      <c r="CN202" s="403"/>
      <c r="CO202" s="403"/>
      <c r="CP202" s="403"/>
      <c r="CQ202" s="403"/>
      <c r="CR202" s="403"/>
      <c r="CS202" s="403"/>
      <c r="CT202" s="403"/>
      <c r="CU202" s="403"/>
      <c r="CV202" s="403"/>
      <c r="CW202" s="403"/>
      <c r="CX202" s="403"/>
      <c r="CY202" s="403"/>
      <c r="CZ202" s="403"/>
      <c r="DA202" s="403"/>
      <c r="DB202" s="403"/>
      <c r="DC202" s="403"/>
      <c r="DD202" s="403"/>
      <c r="DE202" s="403"/>
      <c r="DF202" s="403"/>
      <c r="DG202" s="403"/>
      <c r="DH202" s="403"/>
      <c r="DI202" s="403"/>
      <c r="DJ202" s="403"/>
      <c r="DK202" s="403"/>
      <c r="DL202" s="403"/>
      <c r="DM202" s="403"/>
      <c r="DN202" s="403"/>
    </row>
    <row r="203" spans="2:118" s="241" customFormat="1" ht="15" hidden="1" x14ac:dyDescent="0.25">
      <c r="B203" s="645" t="s">
        <v>14117</v>
      </c>
      <c r="C203" s="55" t="s">
        <v>2987</v>
      </c>
      <c r="D203" s="265" t="s">
        <v>1605</v>
      </c>
      <c r="G203" s="16"/>
      <c r="H203" s="16"/>
      <c r="I203" s="16"/>
      <c r="J203" s="16"/>
      <c r="K203" s="16"/>
      <c r="L203" s="16"/>
      <c r="N203" s="403"/>
      <c r="O203" s="403"/>
      <c r="P203" s="403"/>
      <c r="Q203" s="403"/>
      <c r="R203" s="403"/>
      <c r="S203" s="403"/>
      <c r="T203" s="403"/>
      <c r="U203" s="403"/>
      <c r="V203" s="403"/>
      <c r="W203" s="403"/>
      <c r="X203" s="403"/>
      <c r="Y203" s="403"/>
      <c r="Z203" s="403"/>
      <c r="AA203" s="403"/>
      <c r="AB203" s="403"/>
      <c r="AC203" s="564"/>
      <c r="AD203" s="403"/>
      <c r="AE203" s="403"/>
      <c r="AF203" s="403"/>
      <c r="AG203" s="403"/>
      <c r="AH203" s="403"/>
      <c r="AI203" s="403"/>
      <c r="AJ203" s="403"/>
      <c r="AK203" s="403"/>
      <c r="AL203" s="403"/>
      <c r="AM203" s="403"/>
      <c r="AN203" s="403"/>
      <c r="AO203" s="403"/>
      <c r="AP203" s="403"/>
      <c r="AQ203" s="403"/>
      <c r="AR203" s="403"/>
      <c r="AS203" s="403"/>
      <c r="AT203" s="403"/>
      <c r="AU203" s="403"/>
      <c r="AV203" s="403"/>
      <c r="AW203" s="403"/>
      <c r="AX203" s="403"/>
      <c r="AY203" s="403"/>
      <c r="AZ203" s="403"/>
      <c r="BA203" s="403"/>
      <c r="BB203" s="403"/>
      <c r="BC203" s="403"/>
      <c r="BD203" s="403"/>
      <c r="BE203" s="403"/>
      <c r="BF203" s="403"/>
      <c r="BG203" s="403"/>
      <c r="BH203" s="403"/>
      <c r="BI203" s="403"/>
      <c r="BJ203" s="403"/>
      <c r="BK203" s="403"/>
      <c r="BL203" s="403"/>
      <c r="BM203" s="403"/>
      <c r="BN203" s="403"/>
      <c r="BO203" s="403"/>
      <c r="BP203" s="403"/>
      <c r="BQ203" s="403"/>
      <c r="BR203" s="403"/>
      <c r="BS203" s="403"/>
      <c r="BT203" s="403"/>
      <c r="BU203" s="403"/>
      <c r="BV203" s="403"/>
      <c r="BW203" s="403"/>
      <c r="BX203" s="403"/>
      <c r="BY203" s="403"/>
      <c r="BZ203" s="403"/>
      <c r="CA203" s="403"/>
      <c r="CB203" s="403"/>
      <c r="CC203" s="403"/>
      <c r="CD203" s="403"/>
      <c r="CE203" s="403"/>
      <c r="CF203" s="403"/>
      <c r="CG203" s="403"/>
      <c r="CH203" s="403"/>
      <c r="CI203" s="403"/>
      <c r="CJ203" s="403"/>
      <c r="CK203" s="403"/>
      <c r="CL203" s="403"/>
      <c r="CM203" s="403"/>
      <c r="CN203" s="403"/>
      <c r="CO203" s="403"/>
      <c r="CP203" s="403"/>
      <c r="CQ203" s="403"/>
      <c r="CR203" s="403"/>
      <c r="CS203" s="403"/>
      <c r="CT203" s="403"/>
      <c r="CU203" s="403"/>
      <c r="CV203" s="403"/>
      <c r="CW203" s="403"/>
      <c r="CX203" s="403"/>
      <c r="CY203" s="403"/>
      <c r="CZ203" s="403"/>
      <c r="DA203" s="403"/>
      <c r="DB203" s="403"/>
      <c r="DC203" s="403"/>
      <c r="DD203" s="403"/>
      <c r="DE203" s="403"/>
      <c r="DF203" s="403"/>
      <c r="DG203" s="403"/>
      <c r="DH203" s="403"/>
      <c r="DI203" s="403"/>
      <c r="DJ203" s="403"/>
      <c r="DK203" s="403"/>
      <c r="DL203" s="403"/>
      <c r="DM203" s="403"/>
      <c r="DN203" s="403"/>
    </row>
    <row r="204" spans="2:118" s="241" customFormat="1" hidden="1" x14ac:dyDescent="0.2">
      <c r="B204" s="645" t="s">
        <v>14117</v>
      </c>
      <c r="C204" s="5" t="s">
        <v>1632</v>
      </c>
      <c r="D204" s="16" t="e">
        <f t="shared" ref="D204:D207" si="51">SUM(G204:L204)</f>
        <v>#N/A</v>
      </c>
      <c r="G204" s="16" t="e">
        <f>'B5. Last Mile Delivery'!AI109</f>
        <v>#N/A</v>
      </c>
      <c r="H204" s="16" t="e">
        <f>'B5. Last Mile Delivery'!AJ109</f>
        <v>#N/A</v>
      </c>
      <c r="I204" s="16" t="e">
        <f>'B5. Last Mile Delivery'!AK109</f>
        <v>#N/A</v>
      </c>
      <c r="J204" s="16" t="e">
        <f>'B5. Last Mile Delivery'!AL109</f>
        <v>#N/A</v>
      </c>
      <c r="K204" s="16" t="e">
        <f>'B5. Last Mile Delivery'!AM109</f>
        <v>#N/A</v>
      </c>
      <c r="L204" s="16" t="e">
        <f>'B5. Last Mile Delivery'!AN109</f>
        <v>#N/A</v>
      </c>
      <c r="N204" s="403"/>
      <c r="O204" s="403"/>
      <c r="P204" s="403"/>
      <c r="Q204" s="403"/>
      <c r="R204" s="403"/>
      <c r="S204" s="403"/>
      <c r="T204" s="403"/>
      <c r="U204" s="403"/>
      <c r="V204" s="403"/>
      <c r="W204" s="403"/>
      <c r="X204" s="403"/>
      <c r="Y204" s="403"/>
      <c r="Z204" s="403"/>
      <c r="AA204" s="403"/>
      <c r="AB204" s="403"/>
      <c r="AC204" s="564"/>
      <c r="AD204" s="403"/>
      <c r="AE204" s="403"/>
      <c r="AF204" s="403"/>
      <c r="AG204" s="403"/>
      <c r="AH204" s="403"/>
      <c r="AI204" s="403"/>
      <c r="AJ204" s="403"/>
      <c r="AK204" s="403"/>
      <c r="AL204" s="403"/>
      <c r="AM204" s="403"/>
      <c r="AN204" s="403"/>
      <c r="AO204" s="403"/>
      <c r="AP204" s="403"/>
      <c r="AQ204" s="403"/>
      <c r="AR204" s="403"/>
      <c r="AS204" s="403"/>
      <c r="AT204" s="403"/>
      <c r="AU204" s="403"/>
      <c r="AV204" s="403"/>
      <c r="AW204" s="403"/>
      <c r="AX204" s="403"/>
      <c r="AY204" s="403"/>
      <c r="AZ204" s="403"/>
      <c r="BA204" s="403"/>
      <c r="BB204" s="403"/>
      <c r="BC204" s="403"/>
      <c r="BD204" s="403"/>
      <c r="BE204" s="403"/>
      <c r="BF204" s="403"/>
      <c r="BG204" s="403"/>
      <c r="BH204" s="403"/>
      <c r="BI204" s="403"/>
      <c r="BJ204" s="403"/>
      <c r="BK204" s="403"/>
      <c r="BL204" s="403"/>
      <c r="BM204" s="403"/>
      <c r="BN204" s="403"/>
      <c r="BO204" s="403"/>
      <c r="BP204" s="403"/>
      <c r="BQ204" s="403"/>
      <c r="BR204" s="403"/>
      <c r="BS204" s="403"/>
      <c r="BT204" s="403"/>
      <c r="BU204" s="403"/>
      <c r="BV204" s="403"/>
      <c r="BW204" s="403"/>
      <c r="BX204" s="403"/>
      <c r="BY204" s="403"/>
      <c r="BZ204" s="403"/>
      <c r="CA204" s="403"/>
      <c r="CB204" s="403"/>
      <c r="CC204" s="403"/>
      <c r="CD204" s="403"/>
      <c r="CE204" s="403"/>
      <c r="CF204" s="403"/>
      <c r="CG204" s="403"/>
      <c r="CH204" s="403"/>
      <c r="CI204" s="403"/>
      <c r="CJ204" s="403"/>
      <c r="CK204" s="403"/>
      <c r="CL204" s="403"/>
      <c r="CM204" s="403"/>
      <c r="CN204" s="403"/>
      <c r="CO204" s="403"/>
      <c r="CP204" s="403"/>
      <c r="CQ204" s="403"/>
      <c r="CR204" s="403"/>
      <c r="CS204" s="403"/>
      <c r="CT204" s="403"/>
      <c r="CU204" s="403"/>
      <c r="CV204" s="403"/>
      <c r="CW204" s="403"/>
      <c r="CX204" s="403"/>
      <c r="CY204" s="403"/>
      <c r="CZ204" s="403"/>
      <c r="DA204" s="403"/>
      <c r="DB204" s="403"/>
      <c r="DC204" s="403"/>
      <c r="DD204" s="403"/>
      <c r="DE204" s="403"/>
      <c r="DF204" s="403"/>
      <c r="DG204" s="403"/>
      <c r="DH204" s="403"/>
      <c r="DI204" s="403"/>
      <c r="DJ204" s="403"/>
      <c r="DK204" s="403"/>
      <c r="DL204" s="403"/>
      <c r="DM204" s="403"/>
      <c r="DN204" s="403"/>
    </row>
    <row r="205" spans="2:118" s="241" customFormat="1" hidden="1" x14ac:dyDescent="0.2">
      <c r="B205" s="645" t="s">
        <v>14117</v>
      </c>
      <c r="C205" s="5" t="s">
        <v>1639</v>
      </c>
      <c r="D205" s="16" t="e">
        <f t="shared" si="51"/>
        <v>#N/A</v>
      </c>
      <c r="G205" s="16" t="e">
        <f>'B5. Last Mile Delivery'!AI161</f>
        <v>#N/A</v>
      </c>
      <c r="H205" s="16" t="e">
        <f>'B5. Last Mile Delivery'!AJ161</f>
        <v>#N/A</v>
      </c>
      <c r="I205" s="16" t="e">
        <f>'B5. Last Mile Delivery'!AK161</f>
        <v>#N/A</v>
      </c>
      <c r="J205" s="16" t="e">
        <f>'B5. Last Mile Delivery'!AL161</f>
        <v>#N/A</v>
      </c>
      <c r="K205" s="16" t="e">
        <f>'B5. Last Mile Delivery'!AM161</f>
        <v>#N/A</v>
      </c>
      <c r="L205" s="16" t="e">
        <f>'B5. Last Mile Delivery'!AN161</f>
        <v>#N/A</v>
      </c>
      <c r="N205" s="403"/>
      <c r="O205" s="403"/>
      <c r="P205" s="403"/>
      <c r="Q205" s="403"/>
      <c r="R205" s="403"/>
      <c r="S205" s="403"/>
      <c r="T205" s="403"/>
      <c r="U205" s="403"/>
      <c r="V205" s="403"/>
      <c r="W205" s="403"/>
      <c r="X205" s="403"/>
      <c r="Y205" s="403"/>
      <c r="Z205" s="403"/>
      <c r="AA205" s="403"/>
      <c r="AB205" s="403"/>
      <c r="AC205" s="564"/>
      <c r="AD205" s="403"/>
      <c r="AE205" s="403"/>
      <c r="AF205" s="403"/>
      <c r="AG205" s="403"/>
      <c r="AH205" s="403"/>
      <c r="AI205" s="403"/>
      <c r="AJ205" s="403"/>
      <c r="AK205" s="403"/>
      <c r="AL205" s="403"/>
      <c r="AM205" s="403"/>
      <c r="AN205" s="403"/>
      <c r="AO205" s="403"/>
      <c r="AP205" s="403"/>
      <c r="AQ205" s="403"/>
      <c r="AR205" s="403"/>
      <c r="AS205" s="403"/>
      <c r="AT205" s="403"/>
      <c r="AU205" s="403"/>
      <c r="AV205" s="403"/>
      <c r="AW205" s="403"/>
      <c r="AX205" s="403"/>
      <c r="AY205" s="403"/>
      <c r="AZ205" s="403"/>
      <c r="BA205" s="403"/>
      <c r="BB205" s="403"/>
      <c r="BC205" s="403"/>
      <c r="BD205" s="403"/>
      <c r="BE205" s="403"/>
      <c r="BF205" s="403"/>
      <c r="BG205" s="403"/>
      <c r="BH205" s="403"/>
      <c r="BI205" s="403"/>
      <c r="BJ205" s="403"/>
      <c r="BK205" s="403"/>
      <c r="BL205" s="403"/>
      <c r="BM205" s="403"/>
      <c r="BN205" s="403"/>
      <c r="BO205" s="403"/>
      <c r="BP205" s="403"/>
      <c r="BQ205" s="403"/>
      <c r="BR205" s="403"/>
      <c r="BS205" s="403"/>
      <c r="BT205" s="403"/>
      <c r="BU205" s="403"/>
      <c r="BV205" s="403"/>
      <c r="BW205" s="403"/>
      <c r="BX205" s="403"/>
      <c r="BY205" s="403"/>
      <c r="BZ205" s="403"/>
      <c r="CA205" s="403"/>
      <c r="CB205" s="403"/>
      <c r="CC205" s="403"/>
      <c r="CD205" s="403"/>
      <c r="CE205" s="403"/>
      <c r="CF205" s="403"/>
      <c r="CG205" s="403"/>
      <c r="CH205" s="403"/>
      <c r="CI205" s="403"/>
      <c r="CJ205" s="403"/>
      <c r="CK205" s="403"/>
      <c r="CL205" s="403"/>
      <c r="CM205" s="403"/>
      <c r="CN205" s="403"/>
      <c r="CO205" s="403"/>
      <c r="CP205" s="403"/>
      <c r="CQ205" s="403"/>
      <c r="CR205" s="403"/>
      <c r="CS205" s="403"/>
      <c r="CT205" s="403"/>
      <c r="CU205" s="403"/>
      <c r="CV205" s="403"/>
      <c r="CW205" s="403"/>
      <c r="CX205" s="403"/>
      <c r="CY205" s="403"/>
      <c r="CZ205" s="403"/>
      <c r="DA205" s="403"/>
      <c r="DB205" s="403"/>
      <c r="DC205" s="403"/>
      <c r="DD205" s="403"/>
      <c r="DE205" s="403"/>
      <c r="DF205" s="403"/>
      <c r="DG205" s="403"/>
      <c r="DH205" s="403"/>
      <c r="DI205" s="403"/>
      <c r="DJ205" s="403"/>
      <c r="DK205" s="403"/>
      <c r="DL205" s="403"/>
      <c r="DM205" s="403"/>
      <c r="DN205" s="403"/>
    </row>
    <row r="206" spans="2:118" s="241" customFormat="1" hidden="1" x14ac:dyDescent="0.2">
      <c r="B206" s="645" t="s">
        <v>14117</v>
      </c>
      <c r="C206" s="5" t="s">
        <v>1564</v>
      </c>
      <c r="D206" s="16" t="e">
        <f t="shared" si="51"/>
        <v>#N/A</v>
      </c>
      <c r="G206" s="16" t="e">
        <f>'B5. Last Mile Delivery'!AI209</f>
        <v>#N/A</v>
      </c>
      <c r="H206" s="16" t="e">
        <f>'B5. Last Mile Delivery'!AJ209</f>
        <v>#N/A</v>
      </c>
      <c r="I206" s="16" t="e">
        <f>'B5. Last Mile Delivery'!AK209</f>
        <v>#N/A</v>
      </c>
      <c r="J206" s="16" t="e">
        <f>'B5. Last Mile Delivery'!AL209</f>
        <v>#N/A</v>
      </c>
      <c r="K206" s="16" t="e">
        <f>'B5. Last Mile Delivery'!AM209</f>
        <v>#N/A</v>
      </c>
      <c r="L206" s="16" t="e">
        <f>'B5. Last Mile Delivery'!AN209</f>
        <v>#N/A</v>
      </c>
      <c r="N206" s="403"/>
      <c r="O206" s="403"/>
      <c r="P206" s="403"/>
      <c r="Q206" s="403"/>
      <c r="R206" s="403"/>
      <c r="S206" s="403"/>
      <c r="T206" s="403"/>
      <c r="U206" s="403"/>
      <c r="V206" s="403"/>
      <c r="W206" s="403"/>
      <c r="X206" s="403"/>
      <c r="Y206" s="403"/>
      <c r="Z206" s="403"/>
      <c r="AA206" s="403"/>
      <c r="AB206" s="403"/>
      <c r="AC206" s="564"/>
      <c r="AD206" s="403"/>
      <c r="AE206" s="403"/>
      <c r="AF206" s="403"/>
      <c r="AG206" s="403"/>
      <c r="AH206" s="403"/>
      <c r="AI206" s="403"/>
      <c r="AJ206" s="403"/>
      <c r="AK206" s="403"/>
      <c r="AL206" s="403"/>
      <c r="AM206" s="403"/>
      <c r="AN206" s="403"/>
      <c r="AO206" s="403"/>
      <c r="AP206" s="403"/>
      <c r="AQ206" s="403"/>
      <c r="AR206" s="403"/>
      <c r="AS206" s="403"/>
      <c r="AT206" s="403"/>
      <c r="AU206" s="403"/>
      <c r="AV206" s="403"/>
      <c r="AW206" s="403"/>
      <c r="AX206" s="403"/>
      <c r="AY206" s="403"/>
      <c r="AZ206" s="403"/>
      <c r="BA206" s="403"/>
      <c r="BB206" s="403"/>
      <c r="BC206" s="403"/>
      <c r="BD206" s="403"/>
      <c r="BE206" s="403"/>
      <c r="BF206" s="403"/>
      <c r="BG206" s="403"/>
      <c r="BH206" s="403"/>
      <c r="BI206" s="403"/>
      <c r="BJ206" s="403"/>
      <c r="BK206" s="403"/>
      <c r="BL206" s="403"/>
      <c r="BM206" s="403"/>
      <c r="BN206" s="403"/>
      <c r="BO206" s="403"/>
      <c r="BP206" s="403"/>
      <c r="BQ206" s="403"/>
      <c r="BR206" s="403"/>
      <c r="BS206" s="403"/>
      <c r="BT206" s="403"/>
      <c r="BU206" s="403"/>
      <c r="BV206" s="403"/>
      <c r="BW206" s="403"/>
      <c r="BX206" s="403"/>
      <c r="BY206" s="403"/>
      <c r="BZ206" s="403"/>
      <c r="CA206" s="403"/>
      <c r="CB206" s="403"/>
      <c r="CC206" s="403"/>
      <c r="CD206" s="403"/>
      <c r="CE206" s="403"/>
      <c r="CF206" s="403"/>
      <c r="CG206" s="403"/>
      <c r="CH206" s="403"/>
      <c r="CI206" s="403"/>
      <c r="CJ206" s="403"/>
      <c r="CK206" s="403"/>
      <c r="CL206" s="403"/>
      <c r="CM206" s="403"/>
      <c r="CN206" s="403"/>
      <c r="CO206" s="403"/>
      <c r="CP206" s="403"/>
      <c r="CQ206" s="403"/>
      <c r="CR206" s="403"/>
      <c r="CS206" s="403"/>
      <c r="CT206" s="403"/>
      <c r="CU206" s="403"/>
      <c r="CV206" s="403"/>
      <c r="CW206" s="403"/>
      <c r="CX206" s="403"/>
      <c r="CY206" s="403"/>
      <c r="CZ206" s="403"/>
      <c r="DA206" s="403"/>
      <c r="DB206" s="403"/>
      <c r="DC206" s="403"/>
      <c r="DD206" s="403"/>
      <c r="DE206" s="403"/>
      <c r="DF206" s="403"/>
      <c r="DG206" s="403"/>
      <c r="DH206" s="403"/>
      <c r="DI206" s="403"/>
      <c r="DJ206" s="403"/>
      <c r="DK206" s="403"/>
      <c r="DL206" s="403"/>
      <c r="DM206" s="403"/>
      <c r="DN206" s="403"/>
    </row>
    <row r="207" spans="2:118" s="241" customFormat="1" hidden="1" x14ac:dyDescent="0.2">
      <c r="B207" s="645" t="s">
        <v>14117</v>
      </c>
      <c r="C207" s="5" t="s">
        <v>1565</v>
      </c>
      <c r="D207" s="16" t="e">
        <f t="shared" si="51"/>
        <v>#N/A</v>
      </c>
      <c r="G207" s="16" t="e">
        <f>'B5. Last Mile Delivery'!AI282</f>
        <v>#N/A</v>
      </c>
      <c r="H207" s="16" t="e">
        <f>'B5. Last Mile Delivery'!AJ282</f>
        <v>#N/A</v>
      </c>
      <c r="I207" s="16" t="e">
        <f>'B5. Last Mile Delivery'!AK282</f>
        <v>#N/A</v>
      </c>
      <c r="J207" s="16" t="e">
        <f>'B5. Last Mile Delivery'!AL282</f>
        <v>#N/A</v>
      </c>
      <c r="K207" s="16" t="e">
        <f>'B5. Last Mile Delivery'!AM282</f>
        <v>#N/A</v>
      </c>
      <c r="L207" s="16" t="e">
        <f>'B5. Last Mile Delivery'!AN282</f>
        <v>#N/A</v>
      </c>
      <c r="N207" s="403"/>
      <c r="O207" s="403"/>
      <c r="P207" s="403"/>
      <c r="Q207" s="403"/>
      <c r="R207" s="403"/>
      <c r="S207" s="403"/>
      <c r="T207" s="403"/>
      <c r="U207" s="403"/>
      <c r="V207" s="403"/>
      <c r="W207" s="403"/>
      <c r="X207" s="403"/>
      <c r="Y207" s="403"/>
      <c r="Z207" s="403"/>
      <c r="AA207" s="403"/>
      <c r="AB207" s="403"/>
      <c r="AC207" s="564"/>
      <c r="AD207" s="403"/>
      <c r="AE207" s="403"/>
      <c r="AF207" s="403"/>
      <c r="AG207" s="403"/>
      <c r="AH207" s="403"/>
      <c r="AI207" s="403"/>
      <c r="AJ207" s="403"/>
      <c r="AK207" s="403"/>
      <c r="AL207" s="403"/>
      <c r="AM207" s="403"/>
      <c r="AN207" s="403"/>
      <c r="AO207" s="403"/>
      <c r="AP207" s="403"/>
      <c r="AQ207" s="403"/>
      <c r="AR207" s="403"/>
      <c r="AS207" s="403"/>
      <c r="AT207" s="403"/>
      <c r="AU207" s="403"/>
      <c r="AV207" s="403"/>
      <c r="AW207" s="403"/>
      <c r="AX207" s="403"/>
      <c r="AY207" s="403"/>
      <c r="AZ207" s="403"/>
      <c r="BA207" s="403"/>
      <c r="BB207" s="403"/>
      <c r="BC207" s="403"/>
      <c r="BD207" s="403"/>
      <c r="BE207" s="403"/>
      <c r="BF207" s="403"/>
      <c r="BG207" s="403"/>
      <c r="BH207" s="403"/>
      <c r="BI207" s="403"/>
      <c r="BJ207" s="403"/>
      <c r="BK207" s="403"/>
      <c r="BL207" s="403"/>
      <c r="BM207" s="403"/>
      <c r="BN207" s="403"/>
      <c r="BO207" s="403"/>
      <c r="BP207" s="403"/>
      <c r="BQ207" s="403"/>
      <c r="BR207" s="403"/>
      <c r="BS207" s="403"/>
      <c r="BT207" s="403"/>
      <c r="BU207" s="403"/>
      <c r="BV207" s="403"/>
      <c r="BW207" s="403"/>
      <c r="BX207" s="403"/>
      <c r="BY207" s="403"/>
      <c r="BZ207" s="403"/>
      <c r="CA207" s="403"/>
      <c r="CB207" s="403"/>
      <c r="CC207" s="403"/>
      <c r="CD207" s="403"/>
      <c r="CE207" s="403"/>
      <c r="CF207" s="403"/>
      <c r="CG207" s="403"/>
      <c r="CH207" s="403"/>
      <c r="CI207" s="403"/>
      <c r="CJ207" s="403"/>
      <c r="CK207" s="403"/>
      <c r="CL207" s="403"/>
      <c r="CM207" s="403"/>
      <c r="CN207" s="403"/>
      <c r="CO207" s="403"/>
      <c r="CP207" s="403"/>
      <c r="CQ207" s="403"/>
      <c r="CR207" s="403"/>
      <c r="CS207" s="403"/>
      <c r="CT207" s="403"/>
      <c r="CU207" s="403"/>
      <c r="CV207" s="403"/>
      <c r="CW207" s="403"/>
      <c r="CX207" s="403"/>
      <c r="CY207" s="403"/>
      <c r="CZ207" s="403"/>
      <c r="DA207" s="403"/>
      <c r="DB207" s="403"/>
      <c r="DC207" s="403"/>
      <c r="DD207" s="403"/>
      <c r="DE207" s="403"/>
      <c r="DF207" s="403"/>
      <c r="DG207" s="403"/>
      <c r="DH207" s="403"/>
      <c r="DI207" s="403"/>
      <c r="DJ207" s="403"/>
      <c r="DK207" s="403"/>
      <c r="DL207" s="403"/>
      <c r="DM207" s="403"/>
      <c r="DN207" s="403"/>
    </row>
    <row r="208" spans="2:118" s="299" customFormat="1" ht="13.5" hidden="1" thickBot="1" x14ac:dyDescent="0.25">
      <c r="B208" s="645" t="s">
        <v>14117</v>
      </c>
      <c r="C208" s="5"/>
      <c r="D208" s="16"/>
      <c r="G208" s="119" t="e">
        <f>SUM(G204:G207)</f>
        <v>#N/A</v>
      </c>
      <c r="H208" s="119" t="e">
        <f t="shared" ref="H208" si="52">SUM(H204:H207)</f>
        <v>#N/A</v>
      </c>
      <c r="I208" s="119" t="e">
        <f t="shared" ref="I208" si="53">SUM(I204:I207)</f>
        <v>#N/A</v>
      </c>
      <c r="J208" s="119" t="e">
        <f t="shared" ref="J208" si="54">SUM(J204:J207)</f>
        <v>#N/A</v>
      </c>
      <c r="K208" s="119" t="e">
        <f t="shared" ref="K208" si="55">SUM(K204:K207)</f>
        <v>#N/A</v>
      </c>
      <c r="L208" s="119" t="e">
        <f t="shared" ref="L208" si="56">SUM(L204:L207)</f>
        <v>#N/A</v>
      </c>
      <c r="N208" s="403"/>
      <c r="O208" s="403"/>
      <c r="P208" s="403"/>
      <c r="Q208" s="403"/>
      <c r="R208" s="403"/>
      <c r="S208" s="403"/>
      <c r="T208" s="403"/>
      <c r="U208" s="403"/>
      <c r="V208" s="403"/>
      <c r="W208" s="403"/>
      <c r="X208" s="403"/>
      <c r="Y208" s="403"/>
      <c r="Z208" s="403"/>
      <c r="AA208" s="403"/>
      <c r="AB208" s="403"/>
      <c r="AC208" s="564"/>
      <c r="AD208" s="403"/>
      <c r="AE208" s="403"/>
      <c r="AF208" s="403"/>
      <c r="AG208" s="403"/>
      <c r="AH208" s="403"/>
      <c r="AI208" s="403"/>
      <c r="AJ208" s="403"/>
      <c r="AK208" s="403"/>
      <c r="AL208" s="403"/>
      <c r="AM208" s="403"/>
      <c r="AN208" s="403"/>
      <c r="AO208" s="403"/>
      <c r="AP208" s="403"/>
      <c r="AQ208" s="403"/>
      <c r="AR208" s="403"/>
      <c r="AS208" s="403"/>
      <c r="AT208" s="403"/>
      <c r="AU208" s="403"/>
      <c r="AV208" s="403"/>
      <c r="AW208" s="403"/>
      <c r="AX208" s="403"/>
      <c r="AY208" s="403"/>
      <c r="AZ208" s="403"/>
      <c r="BA208" s="403"/>
      <c r="BB208" s="403"/>
      <c r="BC208" s="403"/>
      <c r="BD208" s="403"/>
      <c r="BE208" s="403"/>
      <c r="BF208" s="403"/>
      <c r="BG208" s="403"/>
      <c r="BH208" s="403"/>
      <c r="BI208" s="403"/>
      <c r="BJ208" s="403"/>
      <c r="BK208" s="403"/>
      <c r="BL208" s="403"/>
      <c r="BM208" s="403"/>
      <c r="BN208" s="403"/>
      <c r="BO208" s="403"/>
      <c r="BP208" s="403"/>
      <c r="BQ208" s="403"/>
      <c r="BR208" s="403"/>
      <c r="BS208" s="403"/>
      <c r="BT208" s="403"/>
      <c r="BU208" s="403"/>
      <c r="BV208" s="403"/>
      <c r="BW208" s="403"/>
      <c r="BX208" s="403"/>
      <c r="BY208" s="403"/>
      <c r="BZ208" s="403"/>
      <c r="CA208" s="403"/>
      <c r="CB208" s="403"/>
      <c r="CC208" s="403"/>
      <c r="CD208" s="403"/>
      <c r="CE208" s="403"/>
      <c r="CF208" s="403"/>
      <c r="CG208" s="403"/>
      <c r="CH208" s="403"/>
      <c r="CI208" s="403"/>
      <c r="CJ208" s="403"/>
      <c r="CK208" s="403"/>
      <c r="CL208" s="403"/>
      <c r="CM208" s="403"/>
      <c r="CN208" s="403"/>
      <c r="CO208" s="403"/>
      <c r="CP208" s="403"/>
      <c r="CQ208" s="403"/>
      <c r="CR208" s="403"/>
      <c r="CS208" s="403"/>
      <c r="CT208" s="403"/>
      <c r="CU208" s="403"/>
      <c r="CV208" s="403"/>
      <c r="CW208" s="403"/>
      <c r="CX208" s="403"/>
      <c r="CY208" s="403"/>
      <c r="CZ208" s="403"/>
      <c r="DA208" s="403"/>
      <c r="DB208" s="403"/>
      <c r="DC208" s="403"/>
      <c r="DD208" s="403"/>
      <c r="DE208" s="403"/>
      <c r="DF208" s="403"/>
      <c r="DG208" s="403"/>
      <c r="DH208" s="403"/>
      <c r="DI208" s="403"/>
      <c r="DJ208" s="403"/>
      <c r="DK208" s="403"/>
      <c r="DL208" s="403"/>
      <c r="DM208" s="403"/>
      <c r="DN208" s="403"/>
    </row>
    <row r="209" spans="2:118" s="299" customFormat="1" ht="54" customHeight="1" x14ac:dyDescent="0.2">
      <c r="C209" s="679" t="str">
        <f t="shared" ref="C209:L209" ca="1" si="57">IF(OFFSET(Q209,0,Lang_Order*Lang__R1)="","",OFFSET(Q209,0,Lang_Order*Lang__R1))</f>
        <v>Note: To estimate the robustness of the estimates, especially with regard to variation in time required to vaccinate, upper, medium, and lower variants can be specified here.
The implications of these variants on the surge demand for vaccinators can be visualized below; and the context for this demand relative to existing core HRH supply are also estimated.
For countries where the health workforce is relatively small and already fully occupied with providing essential services, redeployment of vaccinators may result in compromises to pre-existing essential services. Hence, newly recruited vaccinators, where possible, should be considered.</v>
      </c>
      <c r="D209" s="679" t="str">
        <f t="shared" ca="1" si="57"/>
        <v/>
      </c>
      <c r="E209" s="679" t="str">
        <f t="shared" ca="1" si="57"/>
        <v/>
      </c>
      <c r="F209" s="679" t="str">
        <f t="shared" ca="1" si="57"/>
        <v/>
      </c>
      <c r="G209" s="679" t="str">
        <f t="shared" ca="1" si="57"/>
        <v/>
      </c>
      <c r="H209" s="679" t="str">
        <f t="shared" ca="1" si="57"/>
        <v/>
      </c>
      <c r="I209" s="679" t="str">
        <f t="shared" ca="1" si="57"/>
        <v/>
      </c>
      <c r="J209" s="679" t="str">
        <f t="shared" ca="1" si="57"/>
        <v/>
      </c>
      <c r="K209" s="679" t="str">
        <f t="shared" ca="1" si="57"/>
        <v/>
      </c>
      <c r="L209" s="679" t="str">
        <f t="shared" ca="1" si="57"/>
        <v/>
      </c>
      <c r="N209" s="403"/>
      <c r="O209" s="403"/>
      <c r="P209" s="403"/>
      <c r="Q209" s="403" t="s">
        <v>4206</v>
      </c>
      <c r="R209" s="403"/>
      <c r="S209" s="403"/>
      <c r="T209" s="403"/>
      <c r="U209" s="403"/>
      <c r="V209" s="403"/>
      <c r="W209" s="403"/>
      <c r="X209" s="403"/>
      <c r="Y209" s="403"/>
      <c r="Z209" s="403"/>
      <c r="AA209" s="403"/>
      <c r="AB209" s="403"/>
      <c r="AC209" s="564"/>
      <c r="AD209" s="403"/>
      <c r="AE209" s="403"/>
      <c r="AF209" s="403" t="s">
        <v>12714</v>
      </c>
      <c r="AG209" s="403"/>
      <c r="AH209" s="403"/>
      <c r="AI209" s="403"/>
      <c r="AJ209" s="403"/>
      <c r="AK209" s="403"/>
      <c r="AL209" s="403"/>
      <c r="AM209" s="403"/>
      <c r="AN209" s="403"/>
      <c r="AO209" s="403"/>
      <c r="AP209" s="403"/>
      <c r="AQ209" s="403"/>
      <c r="AR209" s="403"/>
      <c r="AS209" s="403"/>
      <c r="AT209" s="403"/>
      <c r="AU209" s="403" t="s">
        <v>12715</v>
      </c>
      <c r="AV209" s="403"/>
      <c r="AW209" s="403"/>
      <c r="AX209" s="403"/>
      <c r="AY209" s="403"/>
      <c r="AZ209" s="403"/>
      <c r="BA209" s="403"/>
      <c r="BB209" s="403"/>
      <c r="BC209" s="403"/>
      <c r="BD209" s="403"/>
      <c r="BE209" s="403"/>
      <c r="BF209" s="403"/>
      <c r="BG209" s="403"/>
      <c r="BH209" s="403"/>
      <c r="BI209" s="403"/>
      <c r="BJ209" s="403" t="s">
        <v>12716</v>
      </c>
      <c r="BK209" s="403"/>
      <c r="BL209" s="403"/>
      <c r="BM209" s="403"/>
      <c r="BN209" s="403"/>
      <c r="BO209" s="403"/>
      <c r="BP209" s="403"/>
      <c r="BQ209" s="403"/>
      <c r="BR209" s="403"/>
      <c r="BS209" s="403"/>
      <c r="BT209" s="403"/>
      <c r="BU209" s="403"/>
      <c r="BV209" s="403"/>
      <c r="BW209" s="403"/>
      <c r="BX209" s="403"/>
      <c r="BY209" s="403" t="s">
        <v>12717</v>
      </c>
      <c r="BZ209" s="403"/>
      <c r="CA209" s="403"/>
      <c r="CB209" s="403"/>
      <c r="CC209" s="403"/>
      <c r="CD209" s="403"/>
      <c r="CE209" s="403"/>
      <c r="CF209" s="403"/>
      <c r="CG209" s="403"/>
      <c r="CH209" s="403"/>
      <c r="CI209" s="403"/>
      <c r="CJ209" s="403"/>
      <c r="CK209" s="403"/>
      <c r="CL209" s="403"/>
      <c r="CM209" s="403"/>
      <c r="CN209" s="403" t="s">
        <v>12718</v>
      </c>
      <c r="CO209" s="403"/>
      <c r="CP209" s="403"/>
      <c r="CQ209" s="403"/>
      <c r="CR209" s="403"/>
      <c r="CS209" s="403"/>
      <c r="CT209" s="403"/>
      <c r="CU209" s="403"/>
      <c r="CV209" s="403"/>
      <c r="CW209" s="403"/>
      <c r="CX209" s="403"/>
      <c r="CY209" s="403"/>
      <c r="CZ209" s="403"/>
      <c r="DA209" s="403"/>
      <c r="DB209" s="403"/>
      <c r="DC209" s="403" t="s">
        <v>12719</v>
      </c>
      <c r="DD209" s="403"/>
      <c r="DE209" s="403"/>
      <c r="DF209" s="403"/>
      <c r="DG209" s="403"/>
      <c r="DH209" s="403"/>
      <c r="DI209" s="403"/>
      <c r="DJ209" s="403"/>
      <c r="DK209" s="403"/>
      <c r="DL209" s="403"/>
      <c r="DM209" s="403"/>
      <c r="DN209" s="403"/>
    </row>
    <row r="210" spans="2:118" s="241" customFormat="1" x14ac:dyDescent="0.2">
      <c r="C210" s="100" t="str">
        <f ca="1">IF(OFFSET(Q210,0,Lang_Order*Lang__R1)="","",OFFSET(Q210,0,Lang_Order*Lang__R1))</f>
        <v>Select the HRH Model Variant:</v>
      </c>
      <c r="D210" s="2" t="str">
        <f ca="1">IF(OFFSET(R210,0,Lang_Order*Lang__R1)="","",OFFSET(R210,0,Lang_Order*Lang__R1))</f>
        <v>Suggestion / Default:</v>
      </c>
      <c r="G210" s="165"/>
      <c r="H210" s="425" t="str">
        <f ca="1">IF(OFFSET(W210,0,Lang_Order*Lang__R1)="","",OFFSET(W210,0,Lang_Order*Lang__R1))</f>
        <v xml:space="preserve">Current Vaccinators (FTEs) - </v>
      </c>
      <c r="I210" s="425" t="str">
        <f ca="1">IF(OFFSET(X210,0,Lang_Order*Lang__R1)="","",OFFSET(X210,0,Lang_Order*Lang__R1))</f>
        <v>Vaccinator Redeployment (FTEs) -</v>
      </c>
      <c r="J210" s="425" t="str">
        <f ca="1">IF(OFFSET(Y210,0,Lang_Order*Lang__R1)="","",OFFSET(Y210,0,Lang_Order*Lang__R1))</f>
        <v>Vaccinator Days -</v>
      </c>
      <c r="K210" s="425" t="str">
        <f ca="1">IF(OFFSET(Z210,0,Lang_Order*Lang__R1)="","",OFFSET(Z210,0,Lang_Order*Lang__R1))</f>
        <v xml:space="preserve">Impact on Health System - </v>
      </c>
      <c r="L210" s="425" t="str">
        <f ca="1">IF(OFFSET(AA210,0,Lang_Order*Lang__R1)="","",OFFSET(AA210,0,Lang_Order*Lang__R1))</f>
        <v xml:space="preserve">Vaccinator Redeployment (Persons) - </v>
      </c>
      <c r="N210" s="403"/>
      <c r="O210" s="403"/>
      <c r="P210" s="403"/>
      <c r="Q210" s="403" t="s">
        <v>3061</v>
      </c>
      <c r="R210" s="403" t="s">
        <v>3062</v>
      </c>
      <c r="S210" s="403"/>
      <c r="T210" s="403"/>
      <c r="U210" s="403"/>
      <c r="V210" s="403"/>
      <c r="W210" s="403" t="s">
        <v>4211</v>
      </c>
      <c r="X210" s="403" t="s">
        <v>4212</v>
      </c>
      <c r="Y210" s="403" t="s">
        <v>4213</v>
      </c>
      <c r="Z210" s="403" t="s">
        <v>4214</v>
      </c>
      <c r="AA210" s="403" t="s">
        <v>4215</v>
      </c>
      <c r="AB210" s="403"/>
      <c r="AC210" s="564"/>
      <c r="AD210" s="403"/>
      <c r="AE210" s="403"/>
      <c r="AF210" s="403" t="s">
        <v>12720</v>
      </c>
      <c r="AG210" s="403" t="s">
        <v>12721</v>
      </c>
      <c r="AH210" s="403"/>
      <c r="AI210" s="403"/>
      <c r="AJ210" s="403"/>
      <c r="AK210" s="403"/>
      <c r="AL210" s="403" t="s">
        <v>14097</v>
      </c>
      <c r="AM210" s="403" t="s">
        <v>14098</v>
      </c>
      <c r="AN210" s="403" t="s">
        <v>14099</v>
      </c>
      <c r="AO210" s="403" t="s">
        <v>14100</v>
      </c>
      <c r="AP210" s="403" t="s">
        <v>14101</v>
      </c>
      <c r="AQ210" s="403"/>
      <c r="AR210" s="403"/>
      <c r="AS210" s="403"/>
      <c r="AT210" s="403"/>
      <c r="AU210" s="403" t="s">
        <v>12723</v>
      </c>
      <c r="AV210" s="403" t="s">
        <v>12724</v>
      </c>
      <c r="AW210" s="403"/>
      <c r="AX210" s="403"/>
      <c r="AY210" s="403"/>
      <c r="AZ210" s="403"/>
      <c r="BA210" s="403" t="s">
        <v>12725</v>
      </c>
      <c r="BB210" s="403" t="s">
        <v>12726</v>
      </c>
      <c r="BC210" s="403" t="s">
        <v>12727</v>
      </c>
      <c r="BD210" s="403" t="s">
        <v>12728</v>
      </c>
      <c r="BE210" s="403" t="s">
        <v>12729</v>
      </c>
      <c r="BF210" s="403"/>
      <c r="BG210" s="403"/>
      <c r="BH210" s="403"/>
      <c r="BI210" s="403"/>
      <c r="BJ210" s="403" t="s">
        <v>12730</v>
      </c>
      <c r="BK210" s="403" t="s">
        <v>12731</v>
      </c>
      <c r="BL210" s="403"/>
      <c r="BM210" s="403"/>
      <c r="BN210" s="403"/>
      <c r="BO210" s="403"/>
      <c r="BP210" s="403" t="s">
        <v>12732</v>
      </c>
      <c r="BQ210" s="403" t="s">
        <v>12733</v>
      </c>
      <c r="BR210" s="403" t="s">
        <v>12734</v>
      </c>
      <c r="BS210" s="403" t="s">
        <v>12735</v>
      </c>
      <c r="BT210" s="403" t="s">
        <v>12736</v>
      </c>
      <c r="BU210" s="403"/>
      <c r="BV210" s="403"/>
      <c r="BW210" s="403"/>
      <c r="BX210" s="403"/>
      <c r="BY210" s="403" t="s">
        <v>12737</v>
      </c>
      <c r="BZ210" s="403" t="s">
        <v>12738</v>
      </c>
      <c r="CA210" s="403"/>
      <c r="CB210" s="403"/>
      <c r="CC210" s="403"/>
      <c r="CD210" s="403"/>
      <c r="CE210" s="403" t="s">
        <v>12739</v>
      </c>
      <c r="CF210" s="403" t="s">
        <v>12740</v>
      </c>
      <c r="CG210" s="403" t="s">
        <v>12741</v>
      </c>
      <c r="CH210" s="403" t="s">
        <v>12742</v>
      </c>
      <c r="CI210" s="403" t="s">
        <v>12743</v>
      </c>
      <c r="CJ210" s="403"/>
      <c r="CK210" s="403"/>
      <c r="CL210" s="403"/>
      <c r="CM210" s="403"/>
      <c r="CN210" s="403" t="s">
        <v>12744</v>
      </c>
      <c r="CO210" s="403" t="s">
        <v>12745</v>
      </c>
      <c r="CP210" s="403"/>
      <c r="CQ210" s="403"/>
      <c r="CR210" s="403"/>
      <c r="CS210" s="403"/>
      <c r="CT210" s="403" t="s">
        <v>12746</v>
      </c>
      <c r="CU210" s="403" t="s">
        <v>12747</v>
      </c>
      <c r="CV210" s="403" t="s">
        <v>12748</v>
      </c>
      <c r="CW210" s="403" t="s">
        <v>12749</v>
      </c>
      <c r="CX210" s="403" t="s">
        <v>12750</v>
      </c>
      <c r="CY210" s="403"/>
      <c r="CZ210" s="403"/>
      <c r="DA210" s="403"/>
      <c r="DB210" s="403"/>
      <c r="DC210" s="403" t="s">
        <v>12751</v>
      </c>
      <c r="DD210" s="403" t="s">
        <v>12752</v>
      </c>
      <c r="DE210" s="403"/>
      <c r="DF210" s="403"/>
      <c r="DG210" s="403"/>
      <c r="DH210" s="403"/>
      <c r="DI210" s="403" t="s">
        <v>12753</v>
      </c>
      <c r="DJ210" s="403" t="s">
        <v>12754</v>
      </c>
      <c r="DK210" s="403" t="s">
        <v>12755</v>
      </c>
      <c r="DL210" s="403" t="s">
        <v>12756</v>
      </c>
      <c r="DM210" s="403" t="s">
        <v>12757</v>
      </c>
      <c r="DN210" s="403"/>
    </row>
    <row r="211" spans="2:118" s="241" customFormat="1" x14ac:dyDescent="0.2">
      <c r="B211" s="350">
        <v>2</v>
      </c>
      <c r="C211" s="35" t="s">
        <v>3044</v>
      </c>
      <c r="D211" s="81" t="str">
        <f>Lang_VariantMedium</f>
        <v>Medium Variant</v>
      </c>
      <c r="G211" s="165">
        <f>IF(HRH_Variant_toDisplay=Lang_VariantUpper,17,IF(HRH_Variant_toDisplay=Lang_VariantLower,34,0))</f>
        <v>0</v>
      </c>
      <c r="H211" s="425" t="str">
        <f ca="1">CONCATENATE(H210,HRH_Variant_toDisplay)</f>
        <v>Current Vaccinators (FTEs) - Medium Variant</v>
      </c>
      <c r="I211" s="425" t="str">
        <f ca="1">CONCATENATE(I210,HRH_Variant_toDisplay)</f>
        <v>Vaccinator Redeployment (FTEs) -Medium Variant</v>
      </c>
      <c r="J211" s="425" t="str">
        <f ca="1">CONCATENATE(J210,HRH_Variant_toDisplay)</f>
        <v>Vaccinator Days -Medium Variant</v>
      </c>
      <c r="K211" s="425" t="str">
        <f ca="1">CONCATENATE(K210,HRH_Variant_toDisplay)</f>
        <v>Impact on Health System - Medium Variant</v>
      </c>
      <c r="L211" s="425" t="str">
        <f ca="1">CONCATENATE(L210,HRH_Variant_toDisplay)</f>
        <v>Vaccinator Redeployment (Persons) - Medium Variant</v>
      </c>
      <c r="N211" s="403"/>
      <c r="O211" s="403"/>
      <c r="P211" s="403"/>
      <c r="Q211" s="403"/>
      <c r="R211" s="403"/>
      <c r="S211" s="403"/>
      <c r="T211" s="403"/>
      <c r="U211" s="403"/>
      <c r="V211" s="403"/>
      <c r="W211" s="403"/>
      <c r="X211" s="403"/>
      <c r="Y211" s="403"/>
      <c r="Z211" s="403"/>
      <c r="AA211" s="403"/>
      <c r="AB211" s="403"/>
      <c r="AC211" s="564"/>
      <c r="AD211" s="403"/>
      <c r="AE211" s="403"/>
      <c r="AF211" s="403"/>
      <c r="AG211" s="403"/>
      <c r="AH211" s="403"/>
      <c r="AI211" s="403"/>
      <c r="AJ211" s="403"/>
      <c r="AK211" s="403"/>
      <c r="AL211" s="403"/>
      <c r="AM211" s="403"/>
      <c r="AN211" s="403"/>
      <c r="AO211" s="403"/>
      <c r="AP211" s="403"/>
      <c r="AQ211" s="403"/>
      <c r="AR211" s="403"/>
      <c r="AS211" s="403"/>
      <c r="AT211" s="403"/>
      <c r="AU211" s="403"/>
      <c r="AV211" s="403"/>
      <c r="AW211" s="403"/>
      <c r="AX211" s="403"/>
      <c r="AY211" s="403"/>
      <c r="AZ211" s="403"/>
      <c r="BA211" s="403"/>
      <c r="BB211" s="403"/>
      <c r="BC211" s="403"/>
      <c r="BD211" s="403"/>
      <c r="BE211" s="403"/>
      <c r="BF211" s="403"/>
      <c r="BG211" s="403"/>
      <c r="BH211" s="403"/>
      <c r="BI211" s="403"/>
      <c r="BJ211" s="403"/>
      <c r="BK211" s="403"/>
      <c r="BL211" s="403"/>
      <c r="BM211" s="403"/>
      <c r="BN211" s="403"/>
      <c r="BO211" s="403"/>
      <c r="BP211" s="403"/>
      <c r="BQ211" s="403"/>
      <c r="BR211" s="403"/>
      <c r="BS211" s="403"/>
      <c r="BT211" s="403"/>
      <c r="BU211" s="403"/>
      <c r="BV211" s="403"/>
      <c r="BW211" s="403"/>
      <c r="BX211" s="403"/>
      <c r="BY211" s="403"/>
      <c r="BZ211" s="403"/>
      <c r="CA211" s="403"/>
      <c r="CB211" s="403"/>
      <c r="CC211" s="403"/>
      <c r="CD211" s="403"/>
      <c r="CE211" s="403"/>
      <c r="CF211" s="403"/>
      <c r="CG211" s="403"/>
      <c r="CH211" s="403"/>
      <c r="CI211" s="403"/>
      <c r="CJ211" s="403"/>
      <c r="CK211" s="403"/>
      <c r="CL211" s="403"/>
      <c r="CM211" s="403"/>
      <c r="CN211" s="403" t="s">
        <v>12758</v>
      </c>
      <c r="CO211" s="403"/>
      <c r="CP211" s="403"/>
      <c r="CQ211" s="403"/>
      <c r="CR211" s="403"/>
      <c r="CS211" s="403"/>
      <c r="CT211" s="403"/>
      <c r="CU211" s="403"/>
      <c r="CV211" s="403"/>
      <c r="CW211" s="403"/>
      <c r="CX211" s="403"/>
      <c r="CY211" s="403"/>
      <c r="CZ211" s="403"/>
      <c r="DA211" s="403"/>
      <c r="DB211" s="403"/>
      <c r="DC211" s="403"/>
      <c r="DD211" s="403"/>
      <c r="DE211" s="403"/>
      <c r="DF211" s="403"/>
      <c r="DG211" s="403"/>
      <c r="DH211" s="403"/>
      <c r="DI211" s="403"/>
      <c r="DJ211" s="403"/>
      <c r="DK211" s="403"/>
      <c r="DL211" s="403"/>
      <c r="DM211" s="403"/>
      <c r="DN211" s="403"/>
    </row>
    <row r="212" spans="2:118" s="241" customFormat="1" x14ac:dyDescent="0.2">
      <c r="C212" s="2" t="str">
        <f t="shared" ref="C212:C220" ca="1" si="58">IF(OFFSET(Q212,0,Lang_Order*Lang__R1)="","",OFFSET(Q212,0,Lang_Order*Lang__R1))</f>
        <v>FTEs = Full-time equvalents</v>
      </c>
      <c r="N212" s="403"/>
      <c r="O212" s="403"/>
      <c r="P212" s="403"/>
      <c r="Q212" s="403" t="s">
        <v>3071</v>
      </c>
      <c r="R212" s="403"/>
      <c r="S212" s="403"/>
      <c r="T212" s="403"/>
      <c r="U212" s="403"/>
      <c r="V212" s="403"/>
      <c r="W212" s="403"/>
      <c r="X212" s="403"/>
      <c r="Y212" s="403"/>
      <c r="Z212" s="403"/>
      <c r="AA212" s="403"/>
      <c r="AB212" s="403"/>
      <c r="AC212" s="564"/>
      <c r="AD212" s="403"/>
      <c r="AE212" s="403"/>
      <c r="AF212" s="403" t="s">
        <v>12759</v>
      </c>
      <c r="AG212" s="403"/>
      <c r="AH212" s="403"/>
      <c r="AI212" s="403"/>
      <c r="AJ212" s="403"/>
      <c r="AK212" s="403"/>
      <c r="AL212" s="403"/>
      <c r="AM212" s="403"/>
      <c r="AN212" s="403"/>
      <c r="AO212" s="403"/>
      <c r="AP212" s="403"/>
      <c r="AQ212" s="403"/>
      <c r="AR212" s="403"/>
      <c r="AS212" s="403"/>
      <c r="AT212" s="403"/>
      <c r="AU212" s="403" t="s">
        <v>12760</v>
      </c>
      <c r="AV212" s="403"/>
      <c r="AW212" s="403"/>
      <c r="AX212" s="403"/>
      <c r="AY212" s="403"/>
      <c r="AZ212" s="403"/>
      <c r="BA212" s="403"/>
      <c r="BB212" s="403"/>
      <c r="BC212" s="403"/>
      <c r="BD212" s="403"/>
      <c r="BE212" s="403"/>
      <c r="BF212" s="403"/>
      <c r="BG212" s="403"/>
      <c r="BH212" s="403"/>
      <c r="BI212" s="403"/>
      <c r="BJ212" s="403" t="s">
        <v>12761</v>
      </c>
      <c r="BK212" s="403"/>
      <c r="BL212" s="403"/>
      <c r="BM212" s="403"/>
      <c r="BN212" s="403"/>
      <c r="BO212" s="403"/>
      <c r="BP212" s="403"/>
      <c r="BQ212" s="403"/>
      <c r="BR212" s="403"/>
      <c r="BS212" s="403"/>
      <c r="BT212" s="403"/>
      <c r="BU212" s="403"/>
      <c r="BV212" s="403"/>
      <c r="BW212" s="403"/>
      <c r="BX212" s="403"/>
      <c r="BY212" s="403" t="s">
        <v>12762</v>
      </c>
      <c r="BZ212" s="403"/>
      <c r="CA212" s="403"/>
      <c r="CB212" s="403"/>
      <c r="CC212" s="403"/>
      <c r="CD212" s="403"/>
      <c r="CE212" s="403"/>
      <c r="CF212" s="403"/>
      <c r="CG212" s="403"/>
      <c r="CH212" s="403"/>
      <c r="CI212" s="403"/>
      <c r="CJ212" s="403"/>
      <c r="CK212" s="403"/>
      <c r="CL212" s="403"/>
      <c r="CM212" s="403"/>
      <c r="CN212" s="403" t="s">
        <v>12763</v>
      </c>
      <c r="CO212" s="403"/>
      <c r="CP212" s="403"/>
      <c r="CQ212" s="403"/>
      <c r="CR212" s="403"/>
      <c r="CS212" s="403"/>
      <c r="CT212" s="403"/>
      <c r="CU212" s="403"/>
      <c r="CV212" s="403"/>
      <c r="CW212" s="403"/>
      <c r="CX212" s="403"/>
      <c r="CY212" s="403"/>
      <c r="CZ212" s="403"/>
      <c r="DA212" s="403"/>
      <c r="DB212" s="403"/>
      <c r="DC212" s="403" t="s">
        <v>12764</v>
      </c>
      <c r="DD212" s="403"/>
      <c r="DE212" s="403"/>
      <c r="DF212" s="403"/>
      <c r="DG212" s="403"/>
      <c r="DH212" s="403"/>
      <c r="DI212" s="403"/>
      <c r="DJ212" s="403"/>
      <c r="DK212" s="403"/>
      <c r="DL212" s="403"/>
      <c r="DM212" s="403"/>
      <c r="DN212" s="403"/>
    </row>
    <row r="213" spans="2:118" s="241" customFormat="1" ht="15" x14ac:dyDescent="0.25">
      <c r="C213" s="55" t="str">
        <f t="shared" ca="1" si="58"/>
        <v>Current Vaccinators (Not Full-Time Equivalents)</v>
      </c>
      <c r="D213" s="255" t="str">
        <f ca="1">IF(OFFSET(R213,0,Lang_Order*Lang__R1)="","",OFFSET(R213,0,Lang_Order*Lang__R1))</f>
        <v>Peak</v>
      </c>
      <c r="E213" s="255" t="s">
        <v>2666</v>
      </c>
      <c r="F213" s="25"/>
      <c r="G213" s="255" t="str">
        <f t="shared" ref="G213:L213" ca="1" si="59">IF(OFFSET(U213,0,Lang_Order*Lang__R1)="","",OFFSET(U213,0,Lang_Order*Lang__R1))</f>
        <v>H1 2021</v>
      </c>
      <c r="H213" s="255" t="str">
        <f t="shared" ca="1" si="59"/>
        <v>H2 2021</v>
      </c>
      <c r="I213" s="255" t="str">
        <f t="shared" ca="1" si="59"/>
        <v>H1 2022</v>
      </c>
      <c r="J213" s="255" t="str">
        <f t="shared" ca="1" si="59"/>
        <v>H2 2022</v>
      </c>
      <c r="K213" s="255" t="str">
        <f t="shared" ca="1" si="59"/>
        <v>H1 2023</v>
      </c>
      <c r="L213" s="255" t="str">
        <f t="shared" ca="1" si="59"/>
        <v>H2 2023</v>
      </c>
      <c r="N213" s="403"/>
      <c r="O213" s="403"/>
      <c r="P213" s="403"/>
      <c r="Q213" s="403" t="s">
        <v>3067</v>
      </c>
      <c r="R213" s="403" t="s">
        <v>2992</v>
      </c>
      <c r="S213" s="403" t="s">
        <v>2666</v>
      </c>
      <c r="T213" s="403"/>
      <c r="U213" s="403" t="s">
        <v>1597</v>
      </c>
      <c r="V213" s="403" t="s">
        <v>1598</v>
      </c>
      <c r="W213" s="403" t="s">
        <v>1599</v>
      </c>
      <c r="X213" s="403" t="s">
        <v>1600</v>
      </c>
      <c r="Y213" s="403" t="s">
        <v>1602</v>
      </c>
      <c r="Z213" s="403" t="s">
        <v>1601</v>
      </c>
      <c r="AA213" s="403"/>
      <c r="AB213" s="403"/>
      <c r="AC213" s="564"/>
      <c r="AD213" s="403"/>
      <c r="AE213" s="403"/>
      <c r="AF213" s="403" t="s">
        <v>12765</v>
      </c>
      <c r="AG213" s="403" t="s">
        <v>12766</v>
      </c>
      <c r="AH213" s="403" t="s">
        <v>2666</v>
      </c>
      <c r="AI213" s="403"/>
      <c r="AJ213" s="403" t="s">
        <v>4663</v>
      </c>
      <c r="AK213" s="403" t="s">
        <v>4664</v>
      </c>
      <c r="AL213" s="403" t="s">
        <v>4665</v>
      </c>
      <c r="AM213" s="403" t="s">
        <v>4666</v>
      </c>
      <c r="AN213" s="403" t="s">
        <v>4667</v>
      </c>
      <c r="AO213" s="403" t="s">
        <v>4668</v>
      </c>
      <c r="AP213" s="403"/>
      <c r="AQ213" s="403"/>
      <c r="AR213" s="403"/>
      <c r="AS213" s="403"/>
      <c r="AT213" s="403"/>
      <c r="AU213" s="403" t="s">
        <v>12767</v>
      </c>
      <c r="AV213" s="403" t="s">
        <v>12768</v>
      </c>
      <c r="AW213" s="403" t="s">
        <v>2666</v>
      </c>
      <c r="AX213" s="403"/>
      <c r="AY213" s="403" t="s">
        <v>4670</v>
      </c>
      <c r="AZ213" s="403" t="s">
        <v>4671</v>
      </c>
      <c r="BA213" s="403" t="s">
        <v>4672</v>
      </c>
      <c r="BB213" s="403" t="s">
        <v>4673</v>
      </c>
      <c r="BC213" s="403" t="s">
        <v>4674</v>
      </c>
      <c r="BD213" s="403" t="s">
        <v>4675</v>
      </c>
      <c r="BE213" s="403"/>
      <c r="BF213" s="403"/>
      <c r="BG213" s="403"/>
      <c r="BH213" s="403"/>
      <c r="BI213" s="403"/>
      <c r="BJ213" s="403" t="s">
        <v>12769</v>
      </c>
      <c r="BK213" s="403" t="s">
        <v>12770</v>
      </c>
      <c r="BL213" s="403" t="s">
        <v>2666</v>
      </c>
      <c r="BM213" s="403"/>
      <c r="BN213" s="403" t="s">
        <v>1597</v>
      </c>
      <c r="BO213" s="403" t="s">
        <v>1598</v>
      </c>
      <c r="BP213" s="403" t="s">
        <v>1599</v>
      </c>
      <c r="BQ213" s="403" t="s">
        <v>1600</v>
      </c>
      <c r="BR213" s="403" t="s">
        <v>1602</v>
      </c>
      <c r="BS213" s="403" t="s">
        <v>1601</v>
      </c>
      <c r="BT213" s="403"/>
      <c r="BU213" s="403"/>
      <c r="BV213" s="403"/>
      <c r="BW213" s="403"/>
      <c r="BX213" s="403"/>
      <c r="BY213" s="403" t="s">
        <v>12771</v>
      </c>
      <c r="BZ213" s="403" t="s">
        <v>12770</v>
      </c>
      <c r="CA213" s="403" t="s">
        <v>2666</v>
      </c>
      <c r="CB213" s="403"/>
      <c r="CC213" s="403" t="s">
        <v>4663</v>
      </c>
      <c r="CD213" s="403" t="s">
        <v>4664</v>
      </c>
      <c r="CE213" s="403" t="s">
        <v>4665</v>
      </c>
      <c r="CF213" s="403" t="s">
        <v>4666</v>
      </c>
      <c r="CG213" s="403" t="s">
        <v>4667</v>
      </c>
      <c r="CH213" s="403" t="s">
        <v>4668</v>
      </c>
      <c r="CI213" s="403"/>
      <c r="CJ213" s="403"/>
      <c r="CK213" s="403"/>
      <c r="CL213" s="403"/>
      <c r="CM213" s="403"/>
      <c r="CN213" s="403" t="s">
        <v>12772</v>
      </c>
      <c r="CO213" s="403" t="s">
        <v>12773</v>
      </c>
      <c r="CP213" s="403" t="s">
        <v>2666</v>
      </c>
      <c r="CQ213" s="403"/>
      <c r="CR213" s="403" t="s">
        <v>4680</v>
      </c>
      <c r="CS213" s="403" t="s">
        <v>4681</v>
      </c>
      <c r="CT213" s="403" t="s">
        <v>4682</v>
      </c>
      <c r="CU213" s="403" t="s">
        <v>4683</v>
      </c>
      <c r="CV213" s="403" t="s">
        <v>4684</v>
      </c>
      <c r="CW213" s="403" t="s">
        <v>4685</v>
      </c>
      <c r="CX213" s="403"/>
      <c r="CY213" s="403"/>
      <c r="CZ213" s="403"/>
      <c r="DA213" s="403"/>
      <c r="DB213" s="403"/>
      <c r="DC213" s="403" t="s">
        <v>12774</v>
      </c>
      <c r="DD213" s="403" t="s">
        <v>12775</v>
      </c>
      <c r="DE213" s="403" t="s">
        <v>2666</v>
      </c>
      <c r="DF213" s="403"/>
      <c r="DG213" s="403" t="s">
        <v>4688</v>
      </c>
      <c r="DH213" s="403" t="s">
        <v>4689</v>
      </c>
      <c r="DI213" s="403" t="s">
        <v>4690</v>
      </c>
      <c r="DJ213" s="403" t="s">
        <v>4691</v>
      </c>
      <c r="DK213" s="403" t="s">
        <v>4692</v>
      </c>
      <c r="DL213" s="403" t="s">
        <v>4693</v>
      </c>
      <c r="DM213" s="403"/>
      <c r="DN213" s="403"/>
    </row>
    <row r="214" spans="2:118" s="241" customFormat="1" x14ac:dyDescent="0.2">
      <c r="C214" s="5" t="str">
        <f t="shared" ca="1" si="58"/>
        <v>Delivery Modality 1</v>
      </c>
      <c r="D214" s="16" t="e">
        <f ca="1">MAX(G214:L214)</f>
        <v>#N/A</v>
      </c>
      <c r="E214" s="44" t="e">
        <f t="shared" ref="E214:L217" ca="1" si="60">OFFSET(E161,HRH_Variant_toDisplay_Offset,0)</f>
        <v>#N/A</v>
      </c>
      <c r="F214" s="16">
        <f t="shared" ca="1" si="60"/>
        <v>0</v>
      </c>
      <c r="G214" s="16" t="e">
        <f t="shared" ca="1" si="60"/>
        <v>#N/A</v>
      </c>
      <c r="H214" s="16" t="e">
        <f t="shared" ca="1" si="60"/>
        <v>#N/A</v>
      </c>
      <c r="I214" s="16" t="e">
        <f t="shared" ca="1" si="60"/>
        <v>#N/A</v>
      </c>
      <c r="J214" s="16" t="e">
        <f t="shared" ca="1" si="60"/>
        <v>#N/A</v>
      </c>
      <c r="K214" s="16" t="e">
        <f t="shared" ca="1" si="60"/>
        <v>#N/A</v>
      </c>
      <c r="L214" s="16" t="e">
        <f t="shared" ca="1" si="60"/>
        <v>#N/A</v>
      </c>
      <c r="M214" s="12" t="str">
        <f ca="1">IF(OFFSET(AA214,0,Lang_Order*Lang__R1)="","",OFFSET(AA214,0,Lang_Order*Lang__R1))</f>
        <v>Note that DM1 vaccinators are assumed to be based statically in those fixed sites - not part of the pool of vaccinators going to other sites. They are not full-time vaccinators - and can perform other tasks.</v>
      </c>
      <c r="N214" s="403"/>
      <c r="O214" s="403"/>
      <c r="P214" s="403"/>
      <c r="Q214" s="403" t="s">
        <v>1632</v>
      </c>
      <c r="R214" s="403"/>
      <c r="S214" s="403"/>
      <c r="T214" s="403"/>
      <c r="U214" s="403"/>
      <c r="V214" s="403"/>
      <c r="W214" s="403"/>
      <c r="X214" s="403"/>
      <c r="Y214" s="403"/>
      <c r="Z214" s="403"/>
      <c r="AA214" s="403" t="s">
        <v>3942</v>
      </c>
      <c r="AB214" s="403"/>
      <c r="AC214" s="564"/>
      <c r="AD214" s="403"/>
      <c r="AE214" s="403"/>
      <c r="AF214" s="403" t="s">
        <v>7476</v>
      </c>
      <c r="AG214" s="403"/>
      <c r="AH214" s="403"/>
      <c r="AI214" s="403"/>
      <c r="AJ214" s="403"/>
      <c r="AK214" s="403"/>
      <c r="AL214" s="403"/>
      <c r="AM214" s="403"/>
      <c r="AN214" s="403"/>
      <c r="AO214" s="403"/>
      <c r="AP214" s="403" t="s">
        <v>12776</v>
      </c>
      <c r="AQ214" s="403"/>
      <c r="AR214" s="403"/>
      <c r="AS214" s="403"/>
      <c r="AT214" s="403"/>
      <c r="AU214" s="403" t="s">
        <v>9664</v>
      </c>
      <c r="AV214" s="403"/>
      <c r="AW214" s="403"/>
      <c r="AX214" s="403"/>
      <c r="AY214" s="403"/>
      <c r="AZ214" s="403"/>
      <c r="BA214" s="403"/>
      <c r="BB214" s="403"/>
      <c r="BC214" s="403"/>
      <c r="BD214" s="403"/>
      <c r="BE214" s="403" t="s">
        <v>12777</v>
      </c>
      <c r="BF214" s="403"/>
      <c r="BG214" s="403"/>
      <c r="BH214" s="403"/>
      <c r="BI214" s="403"/>
      <c r="BJ214" s="403" t="s">
        <v>9666</v>
      </c>
      <c r="BK214" s="403"/>
      <c r="BL214" s="403"/>
      <c r="BM214" s="403"/>
      <c r="BN214" s="403"/>
      <c r="BO214" s="403"/>
      <c r="BP214" s="403"/>
      <c r="BQ214" s="403"/>
      <c r="BR214" s="403"/>
      <c r="BS214" s="403"/>
      <c r="BT214" s="403" t="s">
        <v>12778</v>
      </c>
      <c r="BU214" s="403"/>
      <c r="BV214" s="403"/>
      <c r="BW214" s="403"/>
      <c r="BX214" s="403"/>
      <c r="BY214" s="403" t="s">
        <v>7479</v>
      </c>
      <c r="BZ214" s="403"/>
      <c r="CA214" s="403"/>
      <c r="CB214" s="403"/>
      <c r="CC214" s="403"/>
      <c r="CD214" s="403"/>
      <c r="CE214" s="403"/>
      <c r="CF214" s="403"/>
      <c r="CG214" s="403"/>
      <c r="CH214" s="403"/>
      <c r="CI214" s="403" t="s">
        <v>12779</v>
      </c>
      <c r="CJ214" s="403"/>
      <c r="CK214" s="403"/>
      <c r="CL214" s="403"/>
      <c r="CM214" s="403"/>
      <c r="CN214" s="403" t="s">
        <v>7480</v>
      </c>
      <c r="CO214" s="403"/>
      <c r="CP214" s="403"/>
      <c r="CQ214" s="403"/>
      <c r="CR214" s="403"/>
      <c r="CS214" s="403"/>
      <c r="CT214" s="403"/>
      <c r="CU214" s="403"/>
      <c r="CV214" s="403"/>
      <c r="CW214" s="403"/>
      <c r="CX214" s="403" t="s">
        <v>12780</v>
      </c>
      <c r="CY214" s="403"/>
      <c r="CZ214" s="403"/>
      <c r="DA214" s="403"/>
      <c r="DB214" s="403"/>
      <c r="DC214" s="403" t="s">
        <v>7481</v>
      </c>
      <c r="DD214" s="403"/>
      <c r="DE214" s="403"/>
      <c r="DF214" s="403"/>
      <c r="DG214" s="403"/>
      <c r="DH214" s="403"/>
      <c r="DI214" s="403"/>
      <c r="DJ214" s="403"/>
      <c r="DK214" s="403"/>
      <c r="DL214" s="403"/>
      <c r="DM214" s="403" t="s">
        <v>12781</v>
      </c>
      <c r="DN214" s="403"/>
    </row>
    <row r="215" spans="2:118" s="241" customFormat="1" x14ac:dyDescent="0.2">
      <c r="C215" s="5" t="str">
        <f t="shared" ca="1" si="58"/>
        <v>Delivery Modality 2</v>
      </c>
      <c r="D215" s="16" t="e">
        <f t="shared" ref="D215:D217" ca="1" si="61">MAX(G215:L215)</f>
        <v>#N/A</v>
      </c>
      <c r="E215" s="44" t="e">
        <f t="shared" ca="1" si="60"/>
        <v>#N/A</v>
      </c>
      <c r="F215" s="16">
        <f t="shared" ca="1" si="60"/>
        <v>0</v>
      </c>
      <c r="G215" s="16" t="e">
        <f t="shared" ca="1" si="60"/>
        <v>#N/A</v>
      </c>
      <c r="H215" s="16" t="e">
        <f t="shared" ca="1" si="60"/>
        <v>#N/A</v>
      </c>
      <c r="I215" s="16" t="e">
        <f t="shared" ca="1" si="60"/>
        <v>#N/A</v>
      </c>
      <c r="J215" s="16" t="e">
        <f t="shared" ca="1" si="60"/>
        <v>#N/A</v>
      </c>
      <c r="K215" s="16" t="e">
        <f t="shared" ca="1" si="60"/>
        <v>#N/A</v>
      </c>
      <c r="L215" s="16" t="e">
        <f t="shared" ca="1" si="60"/>
        <v>#N/A</v>
      </c>
      <c r="M215" s="194"/>
      <c r="N215" s="403"/>
      <c r="O215" s="403"/>
      <c r="P215" s="403"/>
      <c r="Q215" s="403" t="s">
        <v>1639</v>
      </c>
      <c r="R215" s="403"/>
      <c r="S215" s="403"/>
      <c r="T215" s="403"/>
      <c r="U215" s="403"/>
      <c r="V215" s="403"/>
      <c r="W215" s="403"/>
      <c r="X215" s="403"/>
      <c r="Y215" s="403"/>
      <c r="Z215" s="403"/>
      <c r="AA215" s="403"/>
      <c r="AB215" s="403"/>
      <c r="AC215" s="564"/>
      <c r="AD215" s="403"/>
      <c r="AE215" s="403"/>
      <c r="AF215" s="403" t="s">
        <v>7482</v>
      </c>
      <c r="AG215" s="403"/>
      <c r="AH215" s="403"/>
      <c r="AI215" s="403"/>
      <c r="AJ215" s="403"/>
      <c r="AK215" s="403"/>
      <c r="AL215" s="403"/>
      <c r="AM215" s="403"/>
      <c r="AN215" s="403"/>
      <c r="AO215" s="403"/>
      <c r="AP215" s="403"/>
      <c r="AQ215" s="403"/>
      <c r="AR215" s="403"/>
      <c r="AS215" s="403"/>
      <c r="AT215" s="403"/>
      <c r="AU215" s="403" t="s">
        <v>9672</v>
      </c>
      <c r="AV215" s="403"/>
      <c r="AW215" s="403"/>
      <c r="AX215" s="403"/>
      <c r="AY215" s="403"/>
      <c r="AZ215" s="403"/>
      <c r="BA215" s="403"/>
      <c r="BB215" s="403"/>
      <c r="BC215" s="403"/>
      <c r="BD215" s="403"/>
      <c r="BE215" s="403"/>
      <c r="BF215" s="403"/>
      <c r="BG215" s="403"/>
      <c r="BH215" s="403"/>
      <c r="BI215" s="403"/>
      <c r="BJ215" s="403" t="s">
        <v>9673</v>
      </c>
      <c r="BK215" s="403"/>
      <c r="BL215" s="403"/>
      <c r="BM215" s="403"/>
      <c r="BN215" s="403"/>
      <c r="BO215" s="403"/>
      <c r="BP215" s="403"/>
      <c r="BQ215" s="403"/>
      <c r="BR215" s="403"/>
      <c r="BS215" s="403"/>
      <c r="BT215" s="403"/>
      <c r="BU215" s="403"/>
      <c r="BV215" s="403"/>
      <c r="BW215" s="403"/>
      <c r="BX215" s="403"/>
      <c r="BY215" s="403" t="s">
        <v>7485</v>
      </c>
      <c r="BZ215" s="403"/>
      <c r="CA215" s="403"/>
      <c r="CB215" s="403"/>
      <c r="CC215" s="403"/>
      <c r="CD215" s="403"/>
      <c r="CE215" s="403"/>
      <c r="CF215" s="403"/>
      <c r="CG215" s="403"/>
      <c r="CH215" s="403"/>
      <c r="CI215" s="403"/>
      <c r="CJ215" s="403"/>
      <c r="CK215" s="403"/>
      <c r="CL215" s="403"/>
      <c r="CM215" s="403"/>
      <c r="CN215" s="403" t="s">
        <v>7486</v>
      </c>
      <c r="CO215" s="403"/>
      <c r="CP215" s="403"/>
      <c r="CQ215" s="403"/>
      <c r="CR215" s="403"/>
      <c r="CS215" s="403"/>
      <c r="CT215" s="403"/>
      <c r="CU215" s="403"/>
      <c r="CV215" s="403"/>
      <c r="CW215" s="403"/>
      <c r="CX215" s="403"/>
      <c r="CY215" s="403"/>
      <c r="CZ215" s="403"/>
      <c r="DA215" s="403"/>
      <c r="DB215" s="403"/>
      <c r="DC215" s="403" t="s">
        <v>7487</v>
      </c>
      <c r="DD215" s="403"/>
      <c r="DE215" s="403"/>
      <c r="DF215" s="403"/>
      <c r="DG215" s="403"/>
      <c r="DH215" s="403"/>
      <c r="DI215" s="403"/>
      <c r="DJ215" s="403"/>
      <c r="DK215" s="403"/>
      <c r="DL215" s="403"/>
      <c r="DM215" s="403"/>
      <c r="DN215" s="403"/>
    </row>
    <row r="216" spans="2:118" s="241" customFormat="1" x14ac:dyDescent="0.2">
      <c r="C216" s="5" t="str">
        <f t="shared" ca="1" si="58"/>
        <v>Delivery Modality 3</v>
      </c>
      <c r="D216" s="16" t="e">
        <f t="shared" ca="1" si="61"/>
        <v>#N/A</v>
      </c>
      <c r="E216" s="44" t="e">
        <f t="shared" ca="1" si="60"/>
        <v>#N/A</v>
      </c>
      <c r="F216" s="16">
        <f t="shared" ca="1" si="60"/>
        <v>0</v>
      </c>
      <c r="G216" s="16" t="e">
        <f t="shared" ca="1" si="60"/>
        <v>#N/A</v>
      </c>
      <c r="H216" s="16" t="e">
        <f t="shared" ca="1" si="60"/>
        <v>#N/A</v>
      </c>
      <c r="I216" s="16" t="e">
        <f t="shared" ca="1" si="60"/>
        <v>#N/A</v>
      </c>
      <c r="J216" s="16" t="e">
        <f t="shared" ca="1" si="60"/>
        <v>#N/A</v>
      </c>
      <c r="K216" s="16" t="e">
        <f t="shared" ca="1" si="60"/>
        <v>#N/A</v>
      </c>
      <c r="L216" s="16" t="e">
        <f t="shared" ca="1" si="60"/>
        <v>#N/A</v>
      </c>
      <c r="M216" s="194"/>
      <c r="N216" s="403"/>
      <c r="O216" s="403"/>
      <c r="P216" s="403"/>
      <c r="Q216" s="403" t="s">
        <v>1564</v>
      </c>
      <c r="R216" s="403"/>
      <c r="S216" s="403"/>
      <c r="T216" s="403"/>
      <c r="U216" s="403"/>
      <c r="V216" s="403"/>
      <c r="W216" s="403"/>
      <c r="X216" s="403"/>
      <c r="Y216" s="403"/>
      <c r="Z216" s="403"/>
      <c r="AA216" s="403"/>
      <c r="AB216" s="403"/>
      <c r="AC216" s="564"/>
      <c r="AD216" s="403"/>
      <c r="AE216" s="403"/>
      <c r="AF216" s="403" t="s">
        <v>7418</v>
      </c>
      <c r="AG216" s="403"/>
      <c r="AH216" s="403"/>
      <c r="AI216" s="403"/>
      <c r="AJ216" s="403"/>
      <c r="AK216" s="403"/>
      <c r="AL216" s="403"/>
      <c r="AM216" s="403"/>
      <c r="AN216" s="403"/>
      <c r="AO216" s="403"/>
      <c r="AP216" s="403"/>
      <c r="AQ216" s="403"/>
      <c r="AR216" s="403"/>
      <c r="AS216" s="403"/>
      <c r="AT216" s="403"/>
      <c r="AU216" s="403" t="s">
        <v>9676</v>
      </c>
      <c r="AV216" s="403"/>
      <c r="AW216" s="403"/>
      <c r="AX216" s="403"/>
      <c r="AY216" s="403"/>
      <c r="AZ216" s="403"/>
      <c r="BA216" s="403"/>
      <c r="BB216" s="403"/>
      <c r="BC216" s="403"/>
      <c r="BD216" s="403"/>
      <c r="BE216" s="403"/>
      <c r="BF216" s="403"/>
      <c r="BG216" s="403"/>
      <c r="BH216" s="403"/>
      <c r="BI216" s="403"/>
      <c r="BJ216" s="403" t="s">
        <v>7420</v>
      </c>
      <c r="BK216" s="403"/>
      <c r="BL216" s="403"/>
      <c r="BM216" s="403"/>
      <c r="BN216" s="403"/>
      <c r="BO216" s="403"/>
      <c r="BP216" s="403"/>
      <c r="BQ216" s="403"/>
      <c r="BR216" s="403"/>
      <c r="BS216" s="403"/>
      <c r="BT216" s="403"/>
      <c r="BU216" s="403"/>
      <c r="BV216" s="403"/>
      <c r="BW216" s="403"/>
      <c r="BX216" s="403"/>
      <c r="BY216" s="403" t="s">
        <v>7489</v>
      </c>
      <c r="BZ216" s="403"/>
      <c r="CA216" s="403"/>
      <c r="CB216" s="403"/>
      <c r="CC216" s="403"/>
      <c r="CD216" s="403"/>
      <c r="CE216" s="403"/>
      <c r="CF216" s="403"/>
      <c r="CG216" s="403"/>
      <c r="CH216" s="403"/>
      <c r="CI216" s="403"/>
      <c r="CJ216" s="403"/>
      <c r="CK216" s="403"/>
      <c r="CL216" s="403"/>
      <c r="CM216" s="403"/>
      <c r="CN216" s="403" t="s">
        <v>7422</v>
      </c>
      <c r="CO216" s="403"/>
      <c r="CP216" s="403"/>
      <c r="CQ216" s="403"/>
      <c r="CR216" s="403"/>
      <c r="CS216" s="403"/>
      <c r="CT216" s="403"/>
      <c r="CU216" s="403"/>
      <c r="CV216" s="403"/>
      <c r="CW216" s="403"/>
      <c r="CX216" s="403"/>
      <c r="CY216" s="403"/>
      <c r="CZ216" s="403"/>
      <c r="DA216" s="403"/>
      <c r="DB216" s="403"/>
      <c r="DC216" s="403" t="s">
        <v>7423</v>
      </c>
      <c r="DD216" s="403"/>
      <c r="DE216" s="403"/>
      <c r="DF216" s="403"/>
      <c r="DG216" s="403"/>
      <c r="DH216" s="403"/>
      <c r="DI216" s="403"/>
      <c r="DJ216" s="403"/>
      <c r="DK216" s="403"/>
      <c r="DL216" s="403"/>
      <c r="DM216" s="403"/>
      <c r="DN216" s="403"/>
    </row>
    <row r="217" spans="2:118" s="241" customFormat="1" x14ac:dyDescent="0.2">
      <c r="C217" s="5" t="str">
        <f t="shared" ca="1" si="58"/>
        <v>Delivery Modality 4</v>
      </c>
      <c r="D217" s="16" t="e">
        <f t="shared" ca="1" si="61"/>
        <v>#N/A</v>
      </c>
      <c r="E217" s="44" t="e">
        <f t="shared" ca="1" si="60"/>
        <v>#N/A</v>
      </c>
      <c r="F217" s="16">
        <f t="shared" ca="1" si="60"/>
        <v>0</v>
      </c>
      <c r="G217" s="16" t="e">
        <f t="shared" ca="1" si="60"/>
        <v>#N/A</v>
      </c>
      <c r="H217" s="16" t="e">
        <f t="shared" ca="1" si="60"/>
        <v>#N/A</v>
      </c>
      <c r="I217" s="16" t="e">
        <f t="shared" ca="1" si="60"/>
        <v>#N/A</v>
      </c>
      <c r="J217" s="16" t="e">
        <f t="shared" ca="1" si="60"/>
        <v>#N/A</v>
      </c>
      <c r="K217" s="16" t="e">
        <f t="shared" ca="1" si="60"/>
        <v>#N/A</v>
      </c>
      <c r="L217" s="16" t="e">
        <f t="shared" ca="1" si="60"/>
        <v>#N/A</v>
      </c>
      <c r="M217" s="194"/>
      <c r="N217" s="403"/>
      <c r="O217" s="403"/>
      <c r="P217" s="403"/>
      <c r="Q217" s="403" t="s">
        <v>1565</v>
      </c>
      <c r="R217" s="403"/>
      <c r="S217" s="403"/>
      <c r="T217" s="403"/>
      <c r="U217" s="403"/>
      <c r="V217" s="403"/>
      <c r="W217" s="403"/>
      <c r="X217" s="403"/>
      <c r="Y217" s="403"/>
      <c r="Z217" s="403"/>
      <c r="AA217" s="403"/>
      <c r="AB217" s="403"/>
      <c r="AC217" s="564"/>
      <c r="AD217" s="403"/>
      <c r="AE217" s="403"/>
      <c r="AF217" s="403" t="s">
        <v>7424</v>
      </c>
      <c r="AG217" s="403"/>
      <c r="AH217" s="403"/>
      <c r="AI217" s="403"/>
      <c r="AJ217" s="403"/>
      <c r="AK217" s="403"/>
      <c r="AL217" s="403"/>
      <c r="AM217" s="403"/>
      <c r="AN217" s="403"/>
      <c r="AO217" s="403"/>
      <c r="AP217" s="403"/>
      <c r="AQ217" s="403"/>
      <c r="AR217" s="403"/>
      <c r="AS217" s="403"/>
      <c r="AT217" s="403"/>
      <c r="AU217" s="403" t="s">
        <v>9726</v>
      </c>
      <c r="AV217" s="403"/>
      <c r="AW217" s="403"/>
      <c r="AX217" s="403"/>
      <c r="AY217" s="403"/>
      <c r="AZ217" s="403"/>
      <c r="BA217" s="403"/>
      <c r="BB217" s="403"/>
      <c r="BC217" s="403"/>
      <c r="BD217" s="403"/>
      <c r="BE217" s="403"/>
      <c r="BF217" s="403"/>
      <c r="BG217" s="403"/>
      <c r="BH217" s="403"/>
      <c r="BI217" s="403"/>
      <c r="BJ217" s="403" t="s">
        <v>7426</v>
      </c>
      <c r="BK217" s="403"/>
      <c r="BL217" s="403"/>
      <c r="BM217" s="403"/>
      <c r="BN217" s="403"/>
      <c r="BO217" s="403"/>
      <c r="BP217" s="403"/>
      <c r="BQ217" s="403"/>
      <c r="BR217" s="403"/>
      <c r="BS217" s="403"/>
      <c r="BT217" s="403"/>
      <c r="BU217" s="403"/>
      <c r="BV217" s="403"/>
      <c r="BW217" s="403"/>
      <c r="BX217" s="403"/>
      <c r="BY217" s="403" t="s">
        <v>7491</v>
      </c>
      <c r="BZ217" s="403"/>
      <c r="CA217" s="403"/>
      <c r="CB217" s="403"/>
      <c r="CC217" s="403"/>
      <c r="CD217" s="403"/>
      <c r="CE217" s="403"/>
      <c r="CF217" s="403"/>
      <c r="CG217" s="403"/>
      <c r="CH217" s="403"/>
      <c r="CI217" s="403"/>
      <c r="CJ217" s="403"/>
      <c r="CK217" s="403"/>
      <c r="CL217" s="403"/>
      <c r="CM217" s="403"/>
      <c r="CN217" s="403" t="s">
        <v>7428</v>
      </c>
      <c r="CO217" s="403"/>
      <c r="CP217" s="403"/>
      <c r="CQ217" s="403"/>
      <c r="CR217" s="403"/>
      <c r="CS217" s="403"/>
      <c r="CT217" s="403"/>
      <c r="CU217" s="403"/>
      <c r="CV217" s="403"/>
      <c r="CW217" s="403"/>
      <c r="CX217" s="403"/>
      <c r="CY217" s="403"/>
      <c r="CZ217" s="403"/>
      <c r="DA217" s="403"/>
      <c r="DB217" s="403"/>
      <c r="DC217" s="403" t="s">
        <v>7429</v>
      </c>
      <c r="DD217" s="403"/>
      <c r="DE217" s="403"/>
      <c r="DF217" s="403"/>
      <c r="DG217" s="403"/>
      <c r="DH217" s="403"/>
      <c r="DI217" s="403"/>
      <c r="DJ217" s="403"/>
      <c r="DK217" s="403"/>
      <c r="DL217" s="403"/>
      <c r="DM217" s="403"/>
      <c r="DN217" s="403"/>
    </row>
    <row r="218" spans="2:118" s="241" customFormat="1" ht="13.5" thickBot="1" x14ac:dyDescent="0.25">
      <c r="C218" s="21" t="str">
        <f t="shared" ca="1" si="58"/>
        <v>Total Current Vaccinators</v>
      </c>
      <c r="D218" s="161" t="e">
        <f ca="1">MAX(G218:L218)</f>
        <v>#N/A</v>
      </c>
      <c r="E218" s="161"/>
      <c r="F218" s="161">
        <f t="shared" ref="F218:L219" ca="1" si="62">OFFSET(F165,HRH_Variant_toDisplay_Offset,0)</f>
        <v>0</v>
      </c>
      <c r="G218" s="161" t="e">
        <f t="shared" ca="1" si="62"/>
        <v>#N/A</v>
      </c>
      <c r="H218" s="161" t="e">
        <f t="shared" ca="1" si="62"/>
        <v>#N/A</v>
      </c>
      <c r="I218" s="161" t="e">
        <f t="shared" ca="1" si="62"/>
        <v>#N/A</v>
      </c>
      <c r="J218" s="161" t="e">
        <f t="shared" ca="1" si="62"/>
        <v>#N/A</v>
      </c>
      <c r="K218" s="161" t="e">
        <f t="shared" ca="1" si="62"/>
        <v>#N/A</v>
      </c>
      <c r="L218" s="161" t="e">
        <f t="shared" ca="1" si="62"/>
        <v>#N/A</v>
      </c>
      <c r="M218"/>
      <c r="N218" s="403"/>
      <c r="O218" s="403"/>
      <c r="P218" s="403"/>
      <c r="Q218" s="403" t="s">
        <v>2829</v>
      </c>
      <c r="R218" s="403"/>
      <c r="S218" s="403"/>
      <c r="T218" s="403"/>
      <c r="U218" s="403"/>
      <c r="V218" s="403"/>
      <c r="W218" s="403"/>
      <c r="X218" s="403"/>
      <c r="Y218" s="403"/>
      <c r="Z218" s="403"/>
      <c r="AA218" s="403"/>
      <c r="AB218" s="403"/>
      <c r="AC218" s="564"/>
      <c r="AD218" s="403"/>
      <c r="AE218" s="403"/>
      <c r="AF218" s="403" t="s">
        <v>12782</v>
      </c>
      <c r="AG218" s="403"/>
      <c r="AH218" s="403"/>
      <c r="AI218" s="403"/>
      <c r="AJ218" s="403"/>
      <c r="AK218" s="403"/>
      <c r="AL218" s="403"/>
      <c r="AM218" s="403"/>
      <c r="AN218" s="403"/>
      <c r="AO218" s="403"/>
      <c r="AP218" s="403"/>
      <c r="AQ218" s="403"/>
      <c r="AR218" s="403"/>
      <c r="AS218" s="403"/>
      <c r="AT218" s="403"/>
      <c r="AU218" s="403" t="s">
        <v>12783</v>
      </c>
      <c r="AV218" s="403"/>
      <c r="AW218" s="403"/>
      <c r="AX218" s="403"/>
      <c r="AY218" s="403"/>
      <c r="AZ218" s="403"/>
      <c r="BA218" s="403"/>
      <c r="BB218" s="403"/>
      <c r="BC218" s="403"/>
      <c r="BD218" s="403"/>
      <c r="BE218" s="403"/>
      <c r="BF218" s="403"/>
      <c r="BG218" s="403"/>
      <c r="BH218" s="403"/>
      <c r="BI218" s="403"/>
      <c r="BJ218" s="403" t="s">
        <v>12784</v>
      </c>
      <c r="BK218" s="403"/>
      <c r="BL218" s="403"/>
      <c r="BM218" s="403"/>
      <c r="BN218" s="403"/>
      <c r="BO218" s="403"/>
      <c r="BP218" s="403"/>
      <c r="BQ218" s="403"/>
      <c r="BR218" s="403"/>
      <c r="BS218" s="403"/>
      <c r="BT218" s="403"/>
      <c r="BU218" s="403"/>
      <c r="BV218" s="403"/>
      <c r="BW218" s="403"/>
      <c r="BX218" s="403"/>
      <c r="BY218" s="403" t="s">
        <v>12785</v>
      </c>
      <c r="BZ218" s="403"/>
      <c r="CA218" s="403"/>
      <c r="CB218" s="403"/>
      <c r="CC218" s="403"/>
      <c r="CD218" s="403"/>
      <c r="CE218" s="403"/>
      <c r="CF218" s="403"/>
      <c r="CG218" s="403"/>
      <c r="CH218" s="403"/>
      <c r="CI218" s="403"/>
      <c r="CJ218" s="403"/>
      <c r="CK218" s="403"/>
      <c r="CL218" s="403"/>
      <c r="CM218" s="403"/>
      <c r="CN218" s="403" t="s">
        <v>12786</v>
      </c>
      <c r="CO218" s="403"/>
      <c r="CP218" s="403"/>
      <c r="CQ218" s="403"/>
      <c r="CR218" s="403"/>
      <c r="CS218" s="403"/>
      <c r="CT218" s="403"/>
      <c r="CU218" s="403"/>
      <c r="CV218" s="403"/>
      <c r="CW218" s="403"/>
      <c r="CX218" s="403"/>
      <c r="CY218" s="403"/>
      <c r="CZ218" s="403"/>
      <c r="DA218" s="403"/>
      <c r="DB218" s="403"/>
      <c r="DC218" s="403" t="s">
        <v>12787</v>
      </c>
      <c r="DD218" s="403"/>
      <c r="DE218" s="403"/>
      <c r="DF218" s="403"/>
      <c r="DG218" s="403"/>
      <c r="DH218" s="403"/>
      <c r="DI218" s="403"/>
      <c r="DJ218" s="403"/>
      <c r="DK218" s="403"/>
      <c r="DL218" s="403"/>
      <c r="DM218" s="403"/>
      <c r="DN218" s="403"/>
    </row>
    <row r="219" spans="2:118" s="241" customFormat="1" ht="13.5" thickTop="1" x14ac:dyDescent="0.2">
      <c r="C219" s="31" t="str">
        <f t="shared" ca="1" si="58"/>
        <v>New vaccinators (Persons, not FTEs) for training</v>
      </c>
      <c r="D219" s="16"/>
      <c r="E219" s="16"/>
      <c r="F219" s="16">
        <f t="shared" ca="1" si="62"/>
        <v>0</v>
      </c>
      <c r="G219" s="16" t="e">
        <f t="shared" ca="1" si="62"/>
        <v>#N/A</v>
      </c>
      <c r="H219" s="16" t="e">
        <f t="shared" ca="1" si="62"/>
        <v>#N/A</v>
      </c>
      <c r="I219" s="16" t="e">
        <f t="shared" ca="1" si="62"/>
        <v>#N/A</v>
      </c>
      <c r="J219" s="16" t="e">
        <f t="shared" ca="1" si="62"/>
        <v>#N/A</v>
      </c>
      <c r="K219" s="16" t="e">
        <f t="shared" ca="1" si="62"/>
        <v>#N/A</v>
      </c>
      <c r="L219" s="16" t="e">
        <f t="shared" ca="1" si="62"/>
        <v>#N/A</v>
      </c>
      <c r="N219" s="403"/>
      <c r="O219" s="403"/>
      <c r="P219" s="403"/>
      <c r="Q219" s="403" t="s">
        <v>3943</v>
      </c>
      <c r="R219" s="403"/>
      <c r="S219" s="403"/>
      <c r="T219" s="403"/>
      <c r="U219" s="403"/>
      <c r="V219" s="403"/>
      <c r="W219" s="403"/>
      <c r="X219" s="403"/>
      <c r="Y219" s="403"/>
      <c r="Z219" s="403"/>
      <c r="AA219" s="403"/>
      <c r="AB219" s="403"/>
      <c r="AC219" s="564"/>
      <c r="AD219" s="403"/>
      <c r="AE219" s="403"/>
      <c r="AF219" s="403" t="s">
        <v>12788</v>
      </c>
      <c r="AG219" s="403"/>
      <c r="AH219" s="403"/>
      <c r="AI219" s="403"/>
      <c r="AJ219" s="403"/>
      <c r="AK219" s="403"/>
      <c r="AL219" s="403"/>
      <c r="AM219" s="403"/>
      <c r="AN219" s="403"/>
      <c r="AO219" s="403"/>
      <c r="AP219" s="403"/>
      <c r="AQ219" s="403"/>
      <c r="AR219" s="403"/>
      <c r="AS219" s="403"/>
      <c r="AT219" s="403"/>
      <c r="AU219" s="403" t="s">
        <v>12789</v>
      </c>
      <c r="AV219" s="403"/>
      <c r="AW219" s="403"/>
      <c r="AX219" s="403"/>
      <c r="AY219" s="403"/>
      <c r="AZ219" s="403"/>
      <c r="BA219" s="403"/>
      <c r="BB219" s="403"/>
      <c r="BC219" s="403"/>
      <c r="BD219" s="403"/>
      <c r="BE219" s="403"/>
      <c r="BF219" s="403"/>
      <c r="BG219" s="403"/>
      <c r="BH219" s="403"/>
      <c r="BI219" s="403"/>
      <c r="BJ219" s="403" t="s">
        <v>12790</v>
      </c>
      <c r="BK219" s="403"/>
      <c r="BL219" s="403"/>
      <c r="BM219" s="403"/>
      <c r="BN219" s="403"/>
      <c r="BO219" s="403"/>
      <c r="BP219" s="403"/>
      <c r="BQ219" s="403"/>
      <c r="BR219" s="403"/>
      <c r="BS219" s="403"/>
      <c r="BT219" s="403"/>
      <c r="BU219" s="403"/>
      <c r="BV219" s="403"/>
      <c r="BW219" s="403"/>
      <c r="BX219" s="403"/>
      <c r="BY219" s="403" t="s">
        <v>12791</v>
      </c>
      <c r="BZ219" s="403"/>
      <c r="CA219" s="403"/>
      <c r="CB219" s="403"/>
      <c r="CC219" s="403"/>
      <c r="CD219" s="403"/>
      <c r="CE219" s="403"/>
      <c r="CF219" s="403"/>
      <c r="CG219" s="403"/>
      <c r="CH219" s="403"/>
      <c r="CI219" s="403"/>
      <c r="CJ219" s="403"/>
      <c r="CK219" s="403"/>
      <c r="CL219" s="403"/>
      <c r="CM219" s="403"/>
      <c r="CN219" s="403" t="s">
        <v>12792</v>
      </c>
      <c r="CO219" s="403"/>
      <c r="CP219" s="403"/>
      <c r="CQ219" s="403"/>
      <c r="CR219" s="403"/>
      <c r="CS219" s="403"/>
      <c r="CT219" s="403"/>
      <c r="CU219" s="403"/>
      <c r="CV219" s="403"/>
      <c r="CW219" s="403"/>
      <c r="CX219" s="403"/>
      <c r="CY219" s="403"/>
      <c r="CZ219" s="403"/>
      <c r="DA219" s="403"/>
      <c r="DB219" s="403"/>
      <c r="DC219" s="403" t="s">
        <v>12793</v>
      </c>
      <c r="DD219" s="403"/>
      <c r="DE219" s="403"/>
      <c r="DF219" s="403"/>
      <c r="DG219" s="403"/>
      <c r="DH219" s="403"/>
      <c r="DI219" s="403"/>
      <c r="DJ219" s="403"/>
      <c r="DK219" s="403"/>
      <c r="DL219" s="403"/>
      <c r="DM219" s="403"/>
      <c r="DN219" s="403"/>
    </row>
    <row r="220" spans="2:118" s="241" customFormat="1" x14ac:dyDescent="0.2">
      <c r="C220" s="247" t="str">
        <f t="shared" ca="1" si="58"/>
        <v>Maximum/peak number of vaccinators</v>
      </c>
      <c r="D220" s="266" t="e">
        <f ca="1">OFFSET(D167,HRH_Variant_toDisplay_Offset,0)</f>
        <v>#N/A</v>
      </c>
      <c r="E220" s="16"/>
      <c r="F220" s="16">
        <f ca="1">OFFSET(F167,HRH_Variant_toDisplay_Offset,0)</f>
        <v>0</v>
      </c>
      <c r="G220" s="16"/>
      <c r="H220" s="16"/>
      <c r="I220" s="16"/>
      <c r="J220" s="16"/>
      <c r="K220" s="16"/>
      <c r="L220" s="16"/>
      <c r="M220"/>
      <c r="N220" s="403"/>
      <c r="O220" s="403"/>
      <c r="P220" s="403"/>
      <c r="Q220" s="403" t="s">
        <v>2976</v>
      </c>
      <c r="R220" s="403"/>
      <c r="S220" s="403"/>
      <c r="T220" s="403"/>
      <c r="U220" s="403"/>
      <c r="V220" s="403"/>
      <c r="W220" s="403"/>
      <c r="X220" s="403"/>
      <c r="Y220" s="403"/>
      <c r="Z220" s="403"/>
      <c r="AA220" s="403"/>
      <c r="AB220" s="403"/>
      <c r="AC220" s="564"/>
      <c r="AD220" s="403"/>
      <c r="AE220" s="403"/>
      <c r="AF220" s="403" t="s">
        <v>12794</v>
      </c>
      <c r="AG220" s="403"/>
      <c r="AH220" s="403"/>
      <c r="AI220" s="403"/>
      <c r="AJ220" s="403"/>
      <c r="AK220" s="403"/>
      <c r="AL220" s="403"/>
      <c r="AM220" s="403"/>
      <c r="AN220" s="403"/>
      <c r="AO220" s="403"/>
      <c r="AP220" s="403"/>
      <c r="AQ220" s="403"/>
      <c r="AR220" s="403"/>
      <c r="AS220" s="403"/>
      <c r="AT220" s="403"/>
      <c r="AU220" s="403" t="s">
        <v>12795</v>
      </c>
      <c r="AV220" s="403"/>
      <c r="AW220" s="403"/>
      <c r="AX220" s="403"/>
      <c r="AY220" s="403"/>
      <c r="AZ220" s="403"/>
      <c r="BA220" s="403"/>
      <c r="BB220" s="403"/>
      <c r="BC220" s="403"/>
      <c r="BD220" s="403"/>
      <c r="BE220" s="403"/>
      <c r="BF220" s="403"/>
      <c r="BG220" s="403"/>
      <c r="BH220" s="403"/>
      <c r="BI220" s="403"/>
      <c r="BJ220" s="403" t="s">
        <v>12796</v>
      </c>
      <c r="BK220" s="403"/>
      <c r="BL220" s="403"/>
      <c r="BM220" s="403"/>
      <c r="BN220" s="403"/>
      <c r="BO220" s="403"/>
      <c r="BP220" s="403"/>
      <c r="BQ220" s="403"/>
      <c r="BR220" s="403"/>
      <c r="BS220" s="403"/>
      <c r="BT220" s="403"/>
      <c r="BU220" s="403"/>
      <c r="BV220" s="403"/>
      <c r="BW220" s="403"/>
      <c r="BX220" s="403"/>
      <c r="BY220" s="403" t="s">
        <v>12797</v>
      </c>
      <c r="BZ220" s="403"/>
      <c r="CA220" s="403"/>
      <c r="CB220" s="403"/>
      <c r="CC220" s="403"/>
      <c r="CD220" s="403"/>
      <c r="CE220" s="403"/>
      <c r="CF220" s="403"/>
      <c r="CG220" s="403"/>
      <c r="CH220" s="403"/>
      <c r="CI220" s="403"/>
      <c r="CJ220" s="403"/>
      <c r="CK220" s="403"/>
      <c r="CL220" s="403"/>
      <c r="CM220" s="403"/>
      <c r="CN220" s="403" t="s">
        <v>12798</v>
      </c>
      <c r="CO220" s="403"/>
      <c r="CP220" s="403"/>
      <c r="CQ220" s="403"/>
      <c r="CR220" s="403"/>
      <c r="CS220" s="403"/>
      <c r="CT220" s="403"/>
      <c r="CU220" s="403"/>
      <c r="CV220" s="403"/>
      <c r="CW220" s="403"/>
      <c r="CX220" s="403"/>
      <c r="CY220" s="403"/>
      <c r="CZ220" s="403"/>
      <c r="DA220" s="403"/>
      <c r="DB220" s="403"/>
      <c r="DC220" s="403" t="s">
        <v>12799</v>
      </c>
      <c r="DD220" s="403"/>
      <c r="DE220" s="403"/>
      <c r="DF220" s="403"/>
      <c r="DG220" s="403"/>
      <c r="DH220" s="403"/>
      <c r="DI220" s="403"/>
      <c r="DJ220" s="403"/>
      <c r="DK220" s="403"/>
      <c r="DL220" s="403"/>
      <c r="DM220" s="403"/>
      <c r="DN220" s="403"/>
    </row>
    <row r="221" spans="2:118" s="241" customFormat="1" x14ac:dyDescent="0.2">
      <c r="D221" s="16"/>
      <c r="E221" s="16"/>
      <c r="F221" s="16"/>
      <c r="G221" s="16"/>
      <c r="H221" s="16"/>
      <c r="I221" s="16"/>
      <c r="J221" s="16"/>
      <c r="K221" s="16"/>
      <c r="L221" s="16"/>
      <c r="N221" s="403"/>
      <c r="O221" s="403"/>
      <c r="P221" s="403"/>
      <c r="Q221" s="403"/>
      <c r="R221" s="403"/>
      <c r="S221" s="403"/>
      <c r="T221" s="403"/>
      <c r="U221" s="403"/>
      <c r="V221" s="403"/>
      <c r="W221" s="403"/>
      <c r="X221" s="403"/>
      <c r="Y221" s="403"/>
      <c r="Z221" s="403"/>
      <c r="AA221" s="403"/>
      <c r="AB221" s="403"/>
      <c r="AC221" s="564"/>
      <c r="AD221" s="403"/>
      <c r="AE221" s="403"/>
      <c r="AF221" s="403"/>
      <c r="AG221" s="403"/>
      <c r="AH221" s="403"/>
      <c r="AI221" s="403"/>
      <c r="AJ221" s="403"/>
      <c r="AK221" s="403"/>
      <c r="AL221" s="403"/>
      <c r="AM221" s="403"/>
      <c r="AN221" s="403"/>
      <c r="AO221" s="403"/>
      <c r="AP221" s="403"/>
      <c r="AQ221" s="403"/>
      <c r="AR221" s="403"/>
      <c r="AS221" s="403"/>
      <c r="AT221" s="403"/>
      <c r="AU221" s="403"/>
      <c r="AV221" s="403"/>
      <c r="AW221" s="403"/>
      <c r="AX221" s="403"/>
      <c r="AY221" s="403"/>
      <c r="AZ221" s="403"/>
      <c r="BA221" s="403"/>
      <c r="BB221" s="403"/>
      <c r="BC221" s="403"/>
      <c r="BD221" s="403"/>
      <c r="BE221" s="403"/>
      <c r="BF221" s="403"/>
      <c r="BG221" s="403"/>
      <c r="BH221" s="403"/>
      <c r="BI221" s="403"/>
      <c r="BJ221" s="403"/>
      <c r="BK221" s="403"/>
      <c r="BL221" s="403"/>
      <c r="BM221" s="403"/>
      <c r="BN221" s="403"/>
      <c r="BO221" s="403"/>
      <c r="BP221" s="403"/>
      <c r="BQ221" s="403"/>
      <c r="BR221" s="403"/>
      <c r="BS221" s="403"/>
      <c r="BT221" s="403"/>
      <c r="BU221" s="403"/>
      <c r="BV221" s="403"/>
      <c r="BW221" s="403"/>
      <c r="BX221" s="403"/>
      <c r="BY221" s="403"/>
      <c r="BZ221" s="403"/>
      <c r="CA221" s="403"/>
      <c r="CB221" s="403"/>
      <c r="CC221" s="403"/>
      <c r="CD221" s="403"/>
      <c r="CE221" s="403"/>
      <c r="CF221" s="403"/>
      <c r="CG221" s="403"/>
      <c r="CH221" s="403"/>
      <c r="CI221" s="403"/>
      <c r="CJ221" s="403"/>
      <c r="CK221" s="403"/>
      <c r="CL221" s="403"/>
      <c r="CM221" s="403"/>
      <c r="CN221" s="403"/>
      <c r="CO221" s="403"/>
      <c r="CP221" s="403"/>
      <c r="CQ221" s="403"/>
      <c r="CR221" s="403"/>
      <c r="CS221" s="403"/>
      <c r="CT221" s="403"/>
      <c r="CU221" s="403"/>
      <c r="CV221" s="403"/>
      <c r="CW221" s="403"/>
      <c r="CX221" s="403"/>
      <c r="CY221" s="403"/>
      <c r="CZ221" s="403"/>
      <c r="DA221" s="403"/>
      <c r="DB221" s="403"/>
      <c r="DC221" s="403"/>
      <c r="DD221" s="403"/>
      <c r="DE221" s="403"/>
      <c r="DF221" s="403"/>
      <c r="DG221" s="403"/>
      <c r="DH221" s="403"/>
      <c r="DI221" s="403"/>
      <c r="DJ221" s="403"/>
      <c r="DK221" s="403"/>
      <c r="DL221" s="403"/>
      <c r="DM221" s="403"/>
      <c r="DN221" s="403"/>
    </row>
    <row r="222" spans="2:118" s="241" customFormat="1" ht="15" x14ac:dyDescent="0.25">
      <c r="C222" s="55" t="str">
        <f ca="1">IF(OFFSET(Q222,0,Lang_Order*Lang__R1)="","",OFFSET(Q222,0,Lang_Order*Lang__R1))</f>
        <v>Vaccinator-Days</v>
      </c>
      <c r="D222" s="265" t="str">
        <f ca="1">IF(OFFSET(R222,0,Lang_Order*Lang__R1)="","",OFFSET(R222,0,Lang_Order*Lang__R1))</f>
        <v>Total</v>
      </c>
      <c r="E222" s="16"/>
      <c r="F222" s="16"/>
      <c r="G222" s="267" t="str">
        <f t="shared" ref="G222:L222" ca="1" si="63">IF(OFFSET(U222,0,Lang_Order*Lang__R1)="","",OFFSET(U222,0,Lang_Order*Lang__R1))</f>
        <v>H1 2021</v>
      </c>
      <c r="H222" s="267" t="str">
        <f t="shared" ca="1" si="63"/>
        <v>H2 2021</v>
      </c>
      <c r="I222" s="267" t="str">
        <f t="shared" ca="1" si="63"/>
        <v>H1 2022</v>
      </c>
      <c r="J222" s="267" t="str">
        <f t="shared" ca="1" si="63"/>
        <v>H2 2022</v>
      </c>
      <c r="K222" s="267" t="str">
        <f t="shared" ca="1" si="63"/>
        <v>H1 2023</v>
      </c>
      <c r="L222" s="267" t="str">
        <f t="shared" ca="1" si="63"/>
        <v>H2 2023</v>
      </c>
      <c r="N222" s="403"/>
      <c r="O222" s="403"/>
      <c r="P222" s="403"/>
      <c r="Q222" s="403" t="s">
        <v>2987</v>
      </c>
      <c r="R222" s="403" t="s">
        <v>1605</v>
      </c>
      <c r="S222" s="403"/>
      <c r="T222" s="403"/>
      <c r="U222" s="403" t="s">
        <v>1597</v>
      </c>
      <c r="V222" s="403" t="s">
        <v>1598</v>
      </c>
      <c r="W222" s="403" t="s">
        <v>1599</v>
      </c>
      <c r="X222" s="403" t="s">
        <v>1600</v>
      </c>
      <c r="Y222" s="403" t="s">
        <v>1602</v>
      </c>
      <c r="Z222" s="403" t="s">
        <v>1601</v>
      </c>
      <c r="AA222" s="403"/>
      <c r="AB222" s="403"/>
      <c r="AC222" s="564"/>
      <c r="AD222" s="403"/>
      <c r="AE222" s="403"/>
      <c r="AF222" s="403" t="s">
        <v>12800</v>
      </c>
      <c r="AG222" s="403" t="s">
        <v>1605</v>
      </c>
      <c r="AH222" s="403"/>
      <c r="AI222" s="403"/>
      <c r="AJ222" s="403" t="s">
        <v>4663</v>
      </c>
      <c r="AK222" s="403" t="s">
        <v>4664</v>
      </c>
      <c r="AL222" s="403" t="s">
        <v>4665</v>
      </c>
      <c r="AM222" s="403" t="s">
        <v>4666</v>
      </c>
      <c r="AN222" s="403" t="s">
        <v>4667</v>
      </c>
      <c r="AO222" s="403" t="s">
        <v>4668</v>
      </c>
      <c r="AP222" s="403"/>
      <c r="AQ222" s="403"/>
      <c r="AR222" s="403"/>
      <c r="AS222" s="403"/>
      <c r="AT222" s="403"/>
      <c r="AU222" s="403" t="s">
        <v>12801</v>
      </c>
      <c r="AV222" s="403" t="s">
        <v>4676</v>
      </c>
      <c r="AW222" s="403"/>
      <c r="AX222" s="403"/>
      <c r="AY222" s="403" t="s">
        <v>4670</v>
      </c>
      <c r="AZ222" s="403" t="s">
        <v>4671</v>
      </c>
      <c r="BA222" s="403" t="s">
        <v>4672</v>
      </c>
      <c r="BB222" s="403" t="s">
        <v>4673</v>
      </c>
      <c r="BC222" s="403" t="s">
        <v>4674</v>
      </c>
      <c r="BD222" s="403" t="s">
        <v>4675</v>
      </c>
      <c r="BE222" s="403"/>
      <c r="BF222" s="403"/>
      <c r="BG222" s="403"/>
      <c r="BH222" s="403"/>
      <c r="BI222" s="403"/>
      <c r="BJ222" s="403" t="s">
        <v>12802</v>
      </c>
      <c r="BK222" s="403" t="s">
        <v>1605</v>
      </c>
      <c r="BL222" s="403"/>
      <c r="BM222" s="403"/>
      <c r="BN222" s="403" t="s">
        <v>1597</v>
      </c>
      <c r="BO222" s="403" t="s">
        <v>1598</v>
      </c>
      <c r="BP222" s="403" t="s">
        <v>1599</v>
      </c>
      <c r="BQ222" s="403" t="s">
        <v>1600</v>
      </c>
      <c r="BR222" s="403" t="s">
        <v>1602</v>
      </c>
      <c r="BS222" s="403" t="s">
        <v>1601</v>
      </c>
      <c r="BT222" s="403"/>
      <c r="BU222" s="403"/>
      <c r="BV222" s="403"/>
      <c r="BW222" s="403"/>
      <c r="BX222" s="403"/>
      <c r="BY222" s="403" t="s">
        <v>12803</v>
      </c>
      <c r="BZ222" s="403" t="s">
        <v>1605</v>
      </c>
      <c r="CA222" s="403"/>
      <c r="CB222" s="403"/>
      <c r="CC222" s="403" t="s">
        <v>4663</v>
      </c>
      <c r="CD222" s="403" t="s">
        <v>4664</v>
      </c>
      <c r="CE222" s="403" t="s">
        <v>4665</v>
      </c>
      <c r="CF222" s="403" t="s">
        <v>4666</v>
      </c>
      <c r="CG222" s="403" t="s">
        <v>4667</v>
      </c>
      <c r="CH222" s="403" t="s">
        <v>4668</v>
      </c>
      <c r="CI222" s="403"/>
      <c r="CJ222" s="403"/>
      <c r="CK222" s="403"/>
      <c r="CL222" s="403"/>
      <c r="CM222" s="403"/>
      <c r="CN222" s="403" t="s">
        <v>12804</v>
      </c>
      <c r="CO222" s="403" t="s">
        <v>4686</v>
      </c>
      <c r="CP222" s="403"/>
      <c r="CQ222" s="403"/>
      <c r="CR222" s="403" t="s">
        <v>4680</v>
      </c>
      <c r="CS222" s="403" t="s">
        <v>4681</v>
      </c>
      <c r="CT222" s="403" t="s">
        <v>4682</v>
      </c>
      <c r="CU222" s="403" t="s">
        <v>4683</v>
      </c>
      <c r="CV222" s="403" t="s">
        <v>4684</v>
      </c>
      <c r="CW222" s="403" t="s">
        <v>4685</v>
      </c>
      <c r="CX222" s="403"/>
      <c r="CY222" s="403"/>
      <c r="CZ222" s="403"/>
      <c r="DA222" s="403"/>
      <c r="DB222" s="403"/>
      <c r="DC222" s="403" t="s">
        <v>12805</v>
      </c>
      <c r="DD222" s="403" t="s">
        <v>4694</v>
      </c>
      <c r="DE222" s="403"/>
      <c r="DF222" s="403"/>
      <c r="DG222" s="403" t="s">
        <v>4688</v>
      </c>
      <c r="DH222" s="403" t="s">
        <v>4689</v>
      </c>
      <c r="DI222" s="403" t="s">
        <v>4690</v>
      </c>
      <c r="DJ222" s="403" t="s">
        <v>4691</v>
      </c>
      <c r="DK222" s="403" t="s">
        <v>4692</v>
      </c>
      <c r="DL222" s="403" t="s">
        <v>4693</v>
      </c>
      <c r="DM222" s="403"/>
      <c r="DN222" s="403"/>
    </row>
    <row r="223" spans="2:118" s="241" customFormat="1" x14ac:dyDescent="0.2">
      <c r="C223" s="5" t="str">
        <f ca="1">IF(OFFSET(Q223,0,Lang_Order*Lang__R1)="","",OFFSET(Q223,0,Lang_Order*Lang__R1))</f>
        <v>Delivery Modality 1</v>
      </c>
      <c r="D223" s="16" t="e">
        <f t="shared" ref="D223:D226" ca="1" si="64">SUM(G223:L223)</f>
        <v>#N/A</v>
      </c>
      <c r="E223" s="16"/>
      <c r="F223" s="16"/>
      <c r="G223" s="16" t="e">
        <f t="shared" ref="G223:L226" ca="1" si="65">OFFSET(G170,HRH_Variant_toDisplay_Offset,0)</f>
        <v>#N/A</v>
      </c>
      <c r="H223" s="16" t="e">
        <f t="shared" ca="1" si="65"/>
        <v>#N/A</v>
      </c>
      <c r="I223" s="16" t="e">
        <f t="shared" ca="1" si="65"/>
        <v>#N/A</v>
      </c>
      <c r="J223" s="16" t="e">
        <f t="shared" ca="1" si="65"/>
        <v>#N/A</v>
      </c>
      <c r="K223" s="16" t="e">
        <f t="shared" ca="1" si="65"/>
        <v>#N/A</v>
      </c>
      <c r="L223" s="16" t="e">
        <f t="shared" ca="1" si="65"/>
        <v>#N/A</v>
      </c>
      <c r="N223" s="403"/>
      <c r="O223" s="403"/>
      <c r="P223" s="403"/>
      <c r="Q223" s="403" t="s">
        <v>1632</v>
      </c>
      <c r="R223" s="403"/>
      <c r="S223" s="403"/>
      <c r="T223" s="403"/>
      <c r="U223" s="403"/>
      <c r="V223" s="403"/>
      <c r="W223" s="403"/>
      <c r="X223" s="403"/>
      <c r="Y223" s="403"/>
      <c r="Z223" s="403"/>
      <c r="AA223" s="403"/>
      <c r="AB223" s="403"/>
      <c r="AC223" s="564"/>
      <c r="AD223" s="403"/>
      <c r="AE223" s="403"/>
      <c r="AF223" s="403" t="s">
        <v>7476</v>
      </c>
      <c r="AG223" s="403"/>
      <c r="AH223" s="403"/>
      <c r="AI223" s="403"/>
      <c r="AJ223" s="403"/>
      <c r="AK223" s="403"/>
      <c r="AL223" s="403"/>
      <c r="AM223" s="403"/>
      <c r="AN223" s="403"/>
      <c r="AO223" s="403"/>
      <c r="AP223" s="403"/>
      <c r="AQ223" s="403"/>
      <c r="AR223" s="403"/>
      <c r="AS223" s="403"/>
      <c r="AT223" s="403"/>
      <c r="AU223" s="403" t="s">
        <v>9664</v>
      </c>
      <c r="AV223" s="403"/>
      <c r="AW223" s="403"/>
      <c r="AX223" s="403"/>
      <c r="AY223" s="403"/>
      <c r="AZ223" s="403"/>
      <c r="BA223" s="403"/>
      <c r="BB223" s="403"/>
      <c r="BC223" s="403"/>
      <c r="BD223" s="403"/>
      <c r="BE223" s="403"/>
      <c r="BF223" s="403"/>
      <c r="BG223" s="403"/>
      <c r="BH223" s="403"/>
      <c r="BI223" s="403"/>
      <c r="BJ223" s="403" t="s">
        <v>9666</v>
      </c>
      <c r="BK223" s="403"/>
      <c r="BL223" s="403"/>
      <c r="BM223" s="403"/>
      <c r="BN223" s="403"/>
      <c r="BO223" s="403"/>
      <c r="BP223" s="403"/>
      <c r="BQ223" s="403"/>
      <c r="BR223" s="403"/>
      <c r="BS223" s="403"/>
      <c r="BT223" s="403"/>
      <c r="BU223" s="403"/>
      <c r="BV223" s="403"/>
      <c r="BW223" s="403"/>
      <c r="BX223" s="403"/>
      <c r="BY223" s="403" t="s">
        <v>7479</v>
      </c>
      <c r="BZ223" s="403"/>
      <c r="CA223" s="403"/>
      <c r="CB223" s="403"/>
      <c r="CC223" s="403"/>
      <c r="CD223" s="403"/>
      <c r="CE223" s="403"/>
      <c r="CF223" s="403"/>
      <c r="CG223" s="403"/>
      <c r="CH223" s="403"/>
      <c r="CI223" s="403"/>
      <c r="CJ223" s="403"/>
      <c r="CK223" s="403"/>
      <c r="CL223" s="403"/>
      <c r="CM223" s="403"/>
      <c r="CN223" s="403" t="s">
        <v>7480</v>
      </c>
      <c r="CO223" s="403"/>
      <c r="CP223" s="403"/>
      <c r="CQ223" s="403"/>
      <c r="CR223" s="403"/>
      <c r="CS223" s="403"/>
      <c r="CT223" s="403"/>
      <c r="CU223" s="403"/>
      <c r="CV223" s="403"/>
      <c r="CW223" s="403"/>
      <c r="CX223" s="403"/>
      <c r="CY223" s="403"/>
      <c r="CZ223" s="403"/>
      <c r="DA223" s="403"/>
      <c r="DB223" s="403"/>
      <c r="DC223" s="403" t="s">
        <v>7481</v>
      </c>
      <c r="DD223" s="403"/>
      <c r="DE223" s="403"/>
      <c r="DF223" s="403"/>
      <c r="DG223" s="403"/>
      <c r="DH223" s="403"/>
      <c r="DI223" s="403"/>
      <c r="DJ223" s="403"/>
      <c r="DK223" s="403"/>
      <c r="DL223" s="403"/>
      <c r="DM223" s="403"/>
      <c r="DN223" s="403"/>
    </row>
    <row r="224" spans="2:118" s="241" customFormat="1" x14ac:dyDescent="0.2">
      <c r="C224" s="5" t="str">
        <f ca="1">IF(OFFSET(Q224,0,Lang_Order*Lang__R1)="","",OFFSET(Q224,0,Lang_Order*Lang__R1))</f>
        <v>Delivery Modality 2</v>
      </c>
      <c r="D224" s="16" t="e">
        <f t="shared" ca="1" si="64"/>
        <v>#N/A</v>
      </c>
      <c r="E224" s="16"/>
      <c r="F224" s="16"/>
      <c r="G224" s="16" t="e">
        <f t="shared" ca="1" si="65"/>
        <v>#N/A</v>
      </c>
      <c r="H224" s="16" t="e">
        <f t="shared" ca="1" si="65"/>
        <v>#N/A</v>
      </c>
      <c r="I224" s="16" t="e">
        <f t="shared" ca="1" si="65"/>
        <v>#N/A</v>
      </c>
      <c r="J224" s="16" t="e">
        <f t="shared" ca="1" si="65"/>
        <v>#N/A</v>
      </c>
      <c r="K224" s="16" t="e">
        <f t="shared" ca="1" si="65"/>
        <v>#N/A</v>
      </c>
      <c r="L224" s="16" t="e">
        <f t="shared" ca="1" si="65"/>
        <v>#N/A</v>
      </c>
      <c r="N224" s="403"/>
      <c r="O224" s="403"/>
      <c r="P224" s="403"/>
      <c r="Q224" s="403" t="s">
        <v>1639</v>
      </c>
      <c r="R224" s="403"/>
      <c r="S224" s="403"/>
      <c r="T224" s="403"/>
      <c r="U224" s="403"/>
      <c r="V224" s="403"/>
      <c r="W224" s="403"/>
      <c r="X224" s="403"/>
      <c r="Y224" s="403"/>
      <c r="Z224" s="403"/>
      <c r="AA224" s="403"/>
      <c r="AB224" s="403"/>
      <c r="AC224" s="564"/>
      <c r="AD224" s="403"/>
      <c r="AE224" s="403"/>
      <c r="AF224" s="403" t="s">
        <v>7482</v>
      </c>
      <c r="AG224" s="403"/>
      <c r="AH224" s="403"/>
      <c r="AI224" s="403"/>
      <c r="AJ224" s="403"/>
      <c r="AK224" s="403"/>
      <c r="AL224" s="403"/>
      <c r="AM224" s="403"/>
      <c r="AN224" s="403"/>
      <c r="AO224" s="403"/>
      <c r="AP224" s="403"/>
      <c r="AQ224" s="403"/>
      <c r="AR224" s="403"/>
      <c r="AS224" s="403"/>
      <c r="AT224" s="403"/>
      <c r="AU224" s="403" t="s">
        <v>9672</v>
      </c>
      <c r="AV224" s="403"/>
      <c r="AW224" s="403"/>
      <c r="AX224" s="403"/>
      <c r="AY224" s="403"/>
      <c r="AZ224" s="403"/>
      <c r="BA224" s="403"/>
      <c r="BB224" s="403"/>
      <c r="BC224" s="403"/>
      <c r="BD224" s="403"/>
      <c r="BE224" s="403"/>
      <c r="BF224" s="403"/>
      <c r="BG224" s="403"/>
      <c r="BH224" s="403"/>
      <c r="BI224" s="403"/>
      <c r="BJ224" s="403" t="s">
        <v>9673</v>
      </c>
      <c r="BK224" s="403"/>
      <c r="BL224" s="403"/>
      <c r="BM224" s="403"/>
      <c r="BN224" s="403"/>
      <c r="BO224" s="403"/>
      <c r="BP224" s="403"/>
      <c r="BQ224" s="403"/>
      <c r="BR224" s="403"/>
      <c r="BS224" s="403"/>
      <c r="BT224" s="403"/>
      <c r="BU224" s="403"/>
      <c r="BV224" s="403"/>
      <c r="BW224" s="403"/>
      <c r="BX224" s="403"/>
      <c r="BY224" s="403" t="s">
        <v>7485</v>
      </c>
      <c r="BZ224" s="403"/>
      <c r="CA224" s="403"/>
      <c r="CB224" s="403"/>
      <c r="CC224" s="403"/>
      <c r="CD224" s="403"/>
      <c r="CE224" s="403"/>
      <c r="CF224" s="403"/>
      <c r="CG224" s="403"/>
      <c r="CH224" s="403"/>
      <c r="CI224" s="403"/>
      <c r="CJ224" s="403"/>
      <c r="CK224" s="403"/>
      <c r="CL224" s="403"/>
      <c r="CM224" s="403"/>
      <c r="CN224" s="403" t="s">
        <v>7486</v>
      </c>
      <c r="CO224" s="403"/>
      <c r="CP224" s="403"/>
      <c r="CQ224" s="403"/>
      <c r="CR224" s="403"/>
      <c r="CS224" s="403"/>
      <c r="CT224" s="403"/>
      <c r="CU224" s="403"/>
      <c r="CV224" s="403"/>
      <c r="CW224" s="403"/>
      <c r="CX224" s="403"/>
      <c r="CY224" s="403"/>
      <c r="CZ224" s="403"/>
      <c r="DA224" s="403"/>
      <c r="DB224" s="403"/>
      <c r="DC224" s="403" t="s">
        <v>7487</v>
      </c>
      <c r="DD224" s="403"/>
      <c r="DE224" s="403"/>
      <c r="DF224" s="403"/>
      <c r="DG224" s="403"/>
      <c r="DH224" s="403"/>
      <c r="DI224" s="403"/>
      <c r="DJ224" s="403"/>
      <c r="DK224" s="403"/>
      <c r="DL224" s="403"/>
      <c r="DM224" s="403"/>
      <c r="DN224" s="403"/>
    </row>
    <row r="225" spans="3:118" s="241" customFormat="1" x14ac:dyDescent="0.2">
      <c r="C225" s="5" t="str">
        <f ca="1">IF(OFFSET(Q225,0,Lang_Order*Lang__R1)="","",OFFSET(Q225,0,Lang_Order*Lang__R1))</f>
        <v>Delivery Modality 3</v>
      </c>
      <c r="D225" s="16" t="e">
        <f t="shared" ca="1" si="64"/>
        <v>#N/A</v>
      </c>
      <c r="E225" s="16"/>
      <c r="F225" s="16"/>
      <c r="G225" s="16" t="e">
        <f t="shared" ca="1" si="65"/>
        <v>#N/A</v>
      </c>
      <c r="H225" s="16" t="e">
        <f t="shared" ca="1" si="65"/>
        <v>#N/A</v>
      </c>
      <c r="I225" s="16" t="e">
        <f t="shared" ca="1" si="65"/>
        <v>#N/A</v>
      </c>
      <c r="J225" s="16" t="e">
        <f t="shared" ca="1" si="65"/>
        <v>#N/A</v>
      </c>
      <c r="K225" s="16" t="e">
        <f t="shared" ca="1" si="65"/>
        <v>#N/A</v>
      </c>
      <c r="L225" s="16" t="e">
        <f t="shared" ca="1" si="65"/>
        <v>#N/A</v>
      </c>
      <c r="N225" s="403"/>
      <c r="O225" s="403"/>
      <c r="P225" s="403"/>
      <c r="Q225" s="403" t="s">
        <v>1564</v>
      </c>
      <c r="R225" s="403"/>
      <c r="S225" s="403"/>
      <c r="T225" s="403"/>
      <c r="U225" s="403"/>
      <c r="V225" s="403"/>
      <c r="W225" s="403"/>
      <c r="X225" s="403"/>
      <c r="Y225" s="403"/>
      <c r="Z225" s="403"/>
      <c r="AA225" s="403"/>
      <c r="AB225" s="403"/>
      <c r="AC225" s="564"/>
      <c r="AD225" s="403"/>
      <c r="AE225" s="403"/>
      <c r="AF225" s="403" t="s">
        <v>7418</v>
      </c>
      <c r="AG225" s="403"/>
      <c r="AH225" s="403"/>
      <c r="AI225" s="403"/>
      <c r="AJ225" s="403"/>
      <c r="AK225" s="403"/>
      <c r="AL225" s="403"/>
      <c r="AM225" s="403"/>
      <c r="AN225" s="403"/>
      <c r="AO225" s="403"/>
      <c r="AP225" s="403"/>
      <c r="AQ225" s="403"/>
      <c r="AR225" s="403"/>
      <c r="AS225" s="403"/>
      <c r="AT225" s="403"/>
      <c r="AU225" s="403" t="s">
        <v>9676</v>
      </c>
      <c r="AV225" s="403"/>
      <c r="AW225" s="403"/>
      <c r="AX225" s="403"/>
      <c r="AY225" s="403"/>
      <c r="AZ225" s="403"/>
      <c r="BA225" s="403"/>
      <c r="BB225" s="403"/>
      <c r="BC225" s="403"/>
      <c r="BD225" s="403"/>
      <c r="BE225" s="403"/>
      <c r="BF225" s="403"/>
      <c r="BG225" s="403"/>
      <c r="BH225" s="403"/>
      <c r="BI225" s="403"/>
      <c r="BJ225" s="403" t="s">
        <v>7420</v>
      </c>
      <c r="BK225" s="403"/>
      <c r="BL225" s="403"/>
      <c r="BM225" s="403"/>
      <c r="BN225" s="403"/>
      <c r="BO225" s="403"/>
      <c r="BP225" s="403"/>
      <c r="BQ225" s="403"/>
      <c r="BR225" s="403"/>
      <c r="BS225" s="403"/>
      <c r="BT225" s="403"/>
      <c r="BU225" s="403"/>
      <c r="BV225" s="403"/>
      <c r="BW225" s="403"/>
      <c r="BX225" s="403"/>
      <c r="BY225" s="403" t="s">
        <v>7489</v>
      </c>
      <c r="BZ225" s="403"/>
      <c r="CA225" s="403"/>
      <c r="CB225" s="403"/>
      <c r="CC225" s="403"/>
      <c r="CD225" s="403"/>
      <c r="CE225" s="403"/>
      <c r="CF225" s="403"/>
      <c r="CG225" s="403"/>
      <c r="CH225" s="403"/>
      <c r="CI225" s="403"/>
      <c r="CJ225" s="403"/>
      <c r="CK225" s="403"/>
      <c r="CL225" s="403"/>
      <c r="CM225" s="403"/>
      <c r="CN225" s="403" t="s">
        <v>7422</v>
      </c>
      <c r="CO225" s="403"/>
      <c r="CP225" s="403"/>
      <c r="CQ225" s="403"/>
      <c r="CR225" s="403"/>
      <c r="CS225" s="403"/>
      <c r="CT225" s="403"/>
      <c r="CU225" s="403"/>
      <c r="CV225" s="403"/>
      <c r="CW225" s="403"/>
      <c r="CX225" s="403"/>
      <c r="CY225" s="403"/>
      <c r="CZ225" s="403"/>
      <c r="DA225" s="403"/>
      <c r="DB225" s="403"/>
      <c r="DC225" s="403" t="s">
        <v>7423</v>
      </c>
      <c r="DD225" s="403"/>
      <c r="DE225" s="403"/>
      <c r="DF225" s="403"/>
      <c r="DG225" s="403"/>
      <c r="DH225" s="403"/>
      <c r="DI225" s="403"/>
      <c r="DJ225" s="403"/>
      <c r="DK225" s="403"/>
      <c r="DL225" s="403"/>
      <c r="DM225" s="403"/>
      <c r="DN225" s="403"/>
    </row>
    <row r="226" spans="3:118" s="241" customFormat="1" x14ac:dyDescent="0.2">
      <c r="C226" s="5" t="str">
        <f ca="1">IF(OFFSET(Q226,0,Lang_Order*Lang__R1)="","",OFFSET(Q226,0,Lang_Order*Lang__R1))</f>
        <v>Delivery Modality 4</v>
      </c>
      <c r="D226" s="16" t="e">
        <f t="shared" ca="1" si="64"/>
        <v>#N/A</v>
      </c>
      <c r="E226" s="16"/>
      <c r="F226" s="16"/>
      <c r="G226" s="16" t="e">
        <f t="shared" ca="1" si="65"/>
        <v>#N/A</v>
      </c>
      <c r="H226" s="16" t="e">
        <f t="shared" ca="1" si="65"/>
        <v>#N/A</v>
      </c>
      <c r="I226" s="16" t="e">
        <f t="shared" ca="1" si="65"/>
        <v>#N/A</v>
      </c>
      <c r="J226" s="16" t="e">
        <f t="shared" ca="1" si="65"/>
        <v>#N/A</v>
      </c>
      <c r="K226" s="16" t="e">
        <f t="shared" ca="1" si="65"/>
        <v>#N/A</v>
      </c>
      <c r="L226" s="16" t="e">
        <f t="shared" ca="1" si="65"/>
        <v>#N/A</v>
      </c>
      <c r="N226" s="403"/>
      <c r="O226" s="403"/>
      <c r="P226" s="403"/>
      <c r="Q226" s="403" t="s">
        <v>1565</v>
      </c>
      <c r="R226" s="403"/>
      <c r="S226" s="403"/>
      <c r="T226" s="403"/>
      <c r="U226" s="403"/>
      <c r="V226" s="403"/>
      <c r="W226" s="403"/>
      <c r="X226" s="403"/>
      <c r="Y226" s="403"/>
      <c r="Z226" s="403"/>
      <c r="AA226" s="403"/>
      <c r="AB226" s="403"/>
      <c r="AC226" s="564"/>
      <c r="AD226" s="403"/>
      <c r="AE226" s="403"/>
      <c r="AF226" s="403" t="s">
        <v>7424</v>
      </c>
      <c r="AG226" s="403"/>
      <c r="AH226" s="403"/>
      <c r="AI226" s="403"/>
      <c r="AJ226" s="403"/>
      <c r="AK226" s="403"/>
      <c r="AL226" s="403"/>
      <c r="AM226" s="403"/>
      <c r="AN226" s="403"/>
      <c r="AO226" s="403"/>
      <c r="AP226" s="403"/>
      <c r="AQ226" s="403"/>
      <c r="AR226" s="403"/>
      <c r="AS226" s="403"/>
      <c r="AT226" s="403"/>
      <c r="AU226" s="403" t="s">
        <v>9726</v>
      </c>
      <c r="AV226" s="403"/>
      <c r="AW226" s="403"/>
      <c r="AX226" s="403"/>
      <c r="AY226" s="403"/>
      <c r="AZ226" s="403"/>
      <c r="BA226" s="403"/>
      <c r="BB226" s="403"/>
      <c r="BC226" s="403"/>
      <c r="BD226" s="403"/>
      <c r="BE226" s="403"/>
      <c r="BF226" s="403"/>
      <c r="BG226" s="403"/>
      <c r="BH226" s="403"/>
      <c r="BI226" s="403"/>
      <c r="BJ226" s="403" t="s">
        <v>7426</v>
      </c>
      <c r="BK226" s="403"/>
      <c r="BL226" s="403"/>
      <c r="BM226" s="403"/>
      <c r="BN226" s="403"/>
      <c r="BO226" s="403"/>
      <c r="BP226" s="403"/>
      <c r="BQ226" s="403"/>
      <c r="BR226" s="403"/>
      <c r="BS226" s="403"/>
      <c r="BT226" s="403"/>
      <c r="BU226" s="403"/>
      <c r="BV226" s="403"/>
      <c r="BW226" s="403"/>
      <c r="BX226" s="403"/>
      <c r="BY226" s="403" t="s">
        <v>7491</v>
      </c>
      <c r="BZ226" s="403"/>
      <c r="CA226" s="403"/>
      <c r="CB226" s="403"/>
      <c r="CC226" s="403"/>
      <c r="CD226" s="403"/>
      <c r="CE226" s="403"/>
      <c r="CF226" s="403"/>
      <c r="CG226" s="403"/>
      <c r="CH226" s="403"/>
      <c r="CI226" s="403"/>
      <c r="CJ226" s="403"/>
      <c r="CK226" s="403"/>
      <c r="CL226" s="403"/>
      <c r="CM226" s="403"/>
      <c r="CN226" s="403" t="s">
        <v>7428</v>
      </c>
      <c r="CO226" s="403"/>
      <c r="CP226" s="403"/>
      <c r="CQ226" s="403"/>
      <c r="CR226" s="403"/>
      <c r="CS226" s="403"/>
      <c r="CT226" s="403"/>
      <c r="CU226" s="403"/>
      <c r="CV226" s="403"/>
      <c r="CW226" s="403"/>
      <c r="CX226" s="403"/>
      <c r="CY226" s="403"/>
      <c r="CZ226" s="403"/>
      <c r="DA226" s="403"/>
      <c r="DB226" s="403"/>
      <c r="DC226" s="403" t="s">
        <v>7429</v>
      </c>
      <c r="DD226" s="403"/>
      <c r="DE226" s="403"/>
      <c r="DF226" s="403"/>
      <c r="DG226" s="403"/>
      <c r="DH226" s="403"/>
      <c r="DI226" s="403"/>
      <c r="DJ226" s="403"/>
      <c r="DK226" s="403"/>
      <c r="DL226" s="403"/>
      <c r="DM226" s="403"/>
      <c r="DN226" s="403"/>
    </row>
    <row r="227" spans="3:118" s="241" customFormat="1" ht="13.5" thickBot="1" x14ac:dyDescent="0.25">
      <c r="C227" s="21" t="str">
        <f ca="1">IF(OFFSET(Q227,0,Lang_Order*Lang__R1)="","",OFFSET(Q227,0,Lang_Order*Lang__R1))</f>
        <v>Total Vaccinator-Days</v>
      </c>
      <c r="D227" s="161" t="e">
        <f ca="1">SUM(G227:L227)</f>
        <v>#N/A</v>
      </c>
      <c r="E227" s="161"/>
      <c r="F227" s="161"/>
      <c r="G227" s="161" t="e">
        <f ca="1">SUM(G223:G226)</f>
        <v>#N/A</v>
      </c>
      <c r="H227" s="161" t="e">
        <f t="shared" ref="H227" ca="1" si="66">SUM(H223:H226)</f>
        <v>#N/A</v>
      </c>
      <c r="I227" s="161" t="e">
        <f t="shared" ref="I227" ca="1" si="67">SUM(I223:I226)</f>
        <v>#N/A</v>
      </c>
      <c r="J227" s="161" t="e">
        <f t="shared" ref="J227" ca="1" si="68">SUM(J223:J226)</f>
        <v>#N/A</v>
      </c>
      <c r="K227" s="161" t="e">
        <f t="shared" ref="K227" ca="1" si="69">SUM(K223:K226)</f>
        <v>#N/A</v>
      </c>
      <c r="L227" s="161" t="e">
        <f t="shared" ref="L227" ca="1" si="70">SUM(L223:L226)</f>
        <v>#N/A</v>
      </c>
      <c r="N227" s="403"/>
      <c r="O227" s="403"/>
      <c r="P227" s="403"/>
      <c r="Q227" s="403" t="s">
        <v>1668</v>
      </c>
      <c r="R227" s="403"/>
      <c r="S227" s="403"/>
      <c r="T227" s="403"/>
      <c r="U227" s="403"/>
      <c r="V227" s="403"/>
      <c r="W227" s="403"/>
      <c r="X227" s="403"/>
      <c r="Y227" s="403"/>
      <c r="Z227" s="403"/>
      <c r="AA227" s="403"/>
      <c r="AB227" s="403"/>
      <c r="AC227" s="564"/>
      <c r="AD227" s="403"/>
      <c r="AE227" s="403"/>
      <c r="AF227" s="403" t="s">
        <v>12806</v>
      </c>
      <c r="AG227" s="403"/>
      <c r="AH227" s="403"/>
      <c r="AI227" s="403"/>
      <c r="AJ227" s="403"/>
      <c r="AK227" s="403"/>
      <c r="AL227" s="403"/>
      <c r="AM227" s="403"/>
      <c r="AN227" s="403"/>
      <c r="AO227" s="403"/>
      <c r="AP227" s="403"/>
      <c r="AQ227" s="403"/>
      <c r="AR227" s="403"/>
      <c r="AS227" s="403"/>
      <c r="AT227" s="403"/>
      <c r="AU227" s="403" t="s">
        <v>11684</v>
      </c>
      <c r="AV227" s="403"/>
      <c r="AW227" s="403"/>
      <c r="AX227" s="403"/>
      <c r="AY227" s="403"/>
      <c r="AZ227" s="403"/>
      <c r="BA227" s="403"/>
      <c r="BB227" s="403"/>
      <c r="BC227" s="403"/>
      <c r="BD227" s="403"/>
      <c r="BE227" s="403"/>
      <c r="BF227" s="403"/>
      <c r="BG227" s="403"/>
      <c r="BH227" s="403"/>
      <c r="BI227" s="403"/>
      <c r="BJ227" s="403" t="s">
        <v>11685</v>
      </c>
      <c r="BK227" s="403"/>
      <c r="BL227" s="403"/>
      <c r="BM227" s="403"/>
      <c r="BN227" s="403"/>
      <c r="BO227" s="403"/>
      <c r="BP227" s="403"/>
      <c r="BQ227" s="403"/>
      <c r="BR227" s="403"/>
      <c r="BS227" s="403"/>
      <c r="BT227" s="403"/>
      <c r="BU227" s="403"/>
      <c r="BV227" s="403"/>
      <c r="BW227" s="403"/>
      <c r="BX227" s="403"/>
      <c r="BY227" s="403" t="s">
        <v>11686</v>
      </c>
      <c r="BZ227" s="403"/>
      <c r="CA227" s="403"/>
      <c r="CB227" s="403"/>
      <c r="CC227" s="403"/>
      <c r="CD227" s="403"/>
      <c r="CE227" s="403"/>
      <c r="CF227" s="403"/>
      <c r="CG227" s="403"/>
      <c r="CH227" s="403"/>
      <c r="CI227" s="403"/>
      <c r="CJ227" s="403"/>
      <c r="CK227" s="403"/>
      <c r="CL227" s="403"/>
      <c r="CM227" s="403"/>
      <c r="CN227" s="403" t="s">
        <v>12807</v>
      </c>
      <c r="CO227" s="403"/>
      <c r="CP227" s="403"/>
      <c r="CQ227" s="403"/>
      <c r="CR227" s="403"/>
      <c r="CS227" s="403"/>
      <c r="CT227" s="403"/>
      <c r="CU227" s="403"/>
      <c r="CV227" s="403"/>
      <c r="CW227" s="403"/>
      <c r="CX227" s="403"/>
      <c r="CY227" s="403"/>
      <c r="CZ227" s="403"/>
      <c r="DA227" s="403"/>
      <c r="DB227" s="403"/>
      <c r="DC227" s="403" t="s">
        <v>12808</v>
      </c>
      <c r="DD227" s="403"/>
      <c r="DE227" s="403"/>
      <c r="DF227" s="403"/>
      <c r="DG227" s="403"/>
      <c r="DH227" s="403"/>
      <c r="DI227" s="403"/>
      <c r="DJ227" s="403"/>
      <c r="DK227" s="403"/>
      <c r="DL227" s="403"/>
      <c r="DM227" s="403"/>
      <c r="DN227" s="403"/>
    </row>
    <row r="228" spans="3:118" s="241" customFormat="1" ht="13.5" thickTop="1" x14ac:dyDescent="0.2">
      <c r="D228" s="16"/>
      <c r="E228" s="16"/>
      <c r="F228" s="16"/>
      <c r="G228" s="16"/>
      <c r="H228" s="16"/>
      <c r="I228" s="16"/>
      <c r="J228" s="16"/>
      <c r="K228" s="16"/>
      <c r="L228" s="16"/>
      <c r="N228" s="403"/>
      <c r="O228" s="403"/>
      <c r="P228" s="403"/>
      <c r="Q228" s="403"/>
      <c r="R228" s="403"/>
      <c r="S228" s="403"/>
      <c r="T228" s="403"/>
      <c r="U228" s="403"/>
      <c r="V228" s="403"/>
      <c r="W228" s="403"/>
      <c r="X228" s="403"/>
      <c r="Y228" s="403"/>
      <c r="Z228" s="403"/>
      <c r="AA228" s="403"/>
      <c r="AB228" s="403"/>
      <c r="AC228" s="564"/>
      <c r="AD228" s="403"/>
      <c r="AE228" s="403"/>
      <c r="AF228" s="403"/>
      <c r="AG228" s="403"/>
      <c r="AH228" s="403"/>
      <c r="AI228" s="403"/>
      <c r="AJ228" s="403"/>
      <c r="AK228" s="403"/>
      <c r="AL228" s="403"/>
      <c r="AM228" s="403"/>
      <c r="AN228" s="403"/>
      <c r="AO228" s="403"/>
      <c r="AP228" s="403"/>
      <c r="AQ228" s="403"/>
      <c r="AR228" s="403"/>
      <c r="AS228" s="403"/>
      <c r="AT228" s="403"/>
      <c r="AU228" s="403"/>
      <c r="AV228" s="403"/>
      <c r="AW228" s="403"/>
      <c r="AX228" s="403"/>
      <c r="AY228" s="403"/>
      <c r="AZ228" s="403"/>
      <c r="BA228" s="403"/>
      <c r="BB228" s="403"/>
      <c r="BC228" s="403"/>
      <c r="BD228" s="403"/>
      <c r="BE228" s="403"/>
      <c r="BF228" s="403"/>
      <c r="BG228" s="403"/>
      <c r="BH228" s="403"/>
      <c r="BI228" s="403"/>
      <c r="BJ228" s="403"/>
      <c r="BK228" s="403"/>
      <c r="BL228" s="403"/>
      <c r="BM228" s="403"/>
      <c r="BN228" s="403"/>
      <c r="BO228" s="403"/>
      <c r="BP228" s="403"/>
      <c r="BQ228" s="403"/>
      <c r="BR228" s="403"/>
      <c r="BS228" s="403"/>
      <c r="BT228" s="403"/>
      <c r="BU228" s="403"/>
      <c r="BV228" s="403"/>
      <c r="BW228" s="403"/>
      <c r="BX228" s="403"/>
      <c r="BY228" s="403"/>
      <c r="BZ228" s="403"/>
      <c r="CA228" s="403"/>
      <c r="CB228" s="403"/>
      <c r="CC228" s="403"/>
      <c r="CD228" s="403"/>
      <c r="CE228" s="403"/>
      <c r="CF228" s="403"/>
      <c r="CG228" s="403"/>
      <c r="CH228" s="403"/>
      <c r="CI228" s="403"/>
      <c r="CJ228" s="403"/>
      <c r="CK228" s="403"/>
      <c r="CL228" s="403"/>
      <c r="CM228" s="403"/>
      <c r="CN228" s="403"/>
      <c r="CO228" s="403"/>
      <c r="CP228" s="403"/>
      <c r="CQ228" s="403"/>
      <c r="CR228" s="403"/>
      <c r="CS228" s="403"/>
      <c r="CT228" s="403"/>
      <c r="CU228" s="403"/>
      <c r="CV228" s="403"/>
      <c r="CW228" s="403"/>
      <c r="CX228" s="403"/>
      <c r="CY228" s="403"/>
      <c r="CZ228" s="403"/>
      <c r="DA228" s="403"/>
      <c r="DB228" s="403"/>
      <c r="DC228" s="403"/>
      <c r="DD228" s="403"/>
      <c r="DE228" s="403"/>
      <c r="DF228" s="403"/>
      <c r="DG228" s="403"/>
      <c r="DH228" s="403"/>
      <c r="DI228" s="403"/>
      <c r="DJ228" s="403"/>
      <c r="DK228" s="403"/>
      <c r="DL228" s="403"/>
      <c r="DM228" s="403"/>
      <c r="DN228" s="403"/>
    </row>
    <row r="229" spans="3:118" s="241" customFormat="1" ht="15" x14ac:dyDescent="0.25">
      <c r="C229" s="55" t="str">
        <f t="shared" ref="C229:L229" ca="1" si="71">IF(OFFSET(Q229,0,Lang_Order*Lang__R1)="","",OFFSET(Q229,0,Lang_Order*Lang__R1))</f>
        <v>Current Vaccinators (Full-Time Equivalents)</v>
      </c>
      <c r="D229" s="267" t="str">
        <f t="shared" ca="1" si="71"/>
        <v>Peak</v>
      </c>
      <c r="E229" s="16" t="str">
        <f t="shared" ca="1" si="71"/>
        <v/>
      </c>
      <c r="F229" s="16" t="str">
        <f t="shared" ca="1" si="71"/>
        <v/>
      </c>
      <c r="G229" s="267" t="str">
        <f t="shared" ca="1" si="71"/>
        <v>H1 2021</v>
      </c>
      <c r="H229" s="267" t="str">
        <f t="shared" ca="1" si="71"/>
        <v>H2 2021</v>
      </c>
      <c r="I229" s="267" t="str">
        <f t="shared" ca="1" si="71"/>
        <v>H1 2022</v>
      </c>
      <c r="J229" s="267" t="str">
        <f t="shared" ca="1" si="71"/>
        <v>H2 2022</v>
      </c>
      <c r="K229" s="267" t="str">
        <f t="shared" ca="1" si="71"/>
        <v>H1 2023</v>
      </c>
      <c r="L229" s="267" t="str">
        <f t="shared" ca="1" si="71"/>
        <v>H2 2023</v>
      </c>
      <c r="M229" s="2">
        <v>130</v>
      </c>
      <c r="N229" s="403"/>
      <c r="O229" s="403"/>
      <c r="P229" s="403"/>
      <c r="Q229" s="403" t="s">
        <v>3066</v>
      </c>
      <c r="R229" s="403" t="s">
        <v>2992</v>
      </c>
      <c r="S229" s="403"/>
      <c r="T229" s="403"/>
      <c r="U229" s="403" t="s">
        <v>1597</v>
      </c>
      <c r="V229" s="403" t="s">
        <v>1598</v>
      </c>
      <c r="W229" s="403" t="s">
        <v>1599</v>
      </c>
      <c r="X229" s="403" t="s">
        <v>1600</v>
      </c>
      <c r="Y229" s="403" t="s">
        <v>1602</v>
      </c>
      <c r="Z229" s="403" t="s">
        <v>1601</v>
      </c>
      <c r="AA229" s="403">
        <v>130</v>
      </c>
      <c r="AB229" s="403"/>
      <c r="AC229" s="564"/>
      <c r="AD229" s="403"/>
      <c r="AE229" s="403"/>
      <c r="AF229" s="403" t="s">
        <v>12722</v>
      </c>
      <c r="AG229" s="403" t="s">
        <v>12766</v>
      </c>
      <c r="AH229" s="403"/>
      <c r="AI229" s="403"/>
      <c r="AJ229" s="403" t="s">
        <v>4663</v>
      </c>
      <c r="AK229" s="403" t="s">
        <v>4664</v>
      </c>
      <c r="AL229" s="403" t="s">
        <v>4665</v>
      </c>
      <c r="AM229" s="403" t="s">
        <v>4666</v>
      </c>
      <c r="AN229" s="403" t="s">
        <v>4667</v>
      </c>
      <c r="AO229" s="403" t="s">
        <v>4668</v>
      </c>
      <c r="AP229" s="403">
        <v>130</v>
      </c>
      <c r="AQ229" s="403"/>
      <c r="AR229" s="403"/>
      <c r="AS229" s="403"/>
      <c r="AT229" s="403"/>
      <c r="AU229" s="403" t="s">
        <v>12809</v>
      </c>
      <c r="AV229" s="403" t="s">
        <v>12810</v>
      </c>
      <c r="AW229" s="403"/>
      <c r="AX229" s="403"/>
      <c r="AY229" s="403" t="s">
        <v>4670</v>
      </c>
      <c r="AZ229" s="403" t="s">
        <v>4671</v>
      </c>
      <c r="BA229" s="403" t="s">
        <v>4672</v>
      </c>
      <c r="BB229" s="403" t="s">
        <v>4673</v>
      </c>
      <c r="BC229" s="403" t="s">
        <v>4674</v>
      </c>
      <c r="BD229" s="403" t="s">
        <v>4675</v>
      </c>
      <c r="BE229" s="403">
        <v>130</v>
      </c>
      <c r="BF229" s="403"/>
      <c r="BG229" s="403"/>
      <c r="BH229" s="403"/>
      <c r="BI229" s="403"/>
      <c r="BJ229" s="403" t="s">
        <v>12811</v>
      </c>
      <c r="BK229" s="403" t="s">
        <v>12770</v>
      </c>
      <c r="BL229" s="403"/>
      <c r="BM229" s="403"/>
      <c r="BN229" s="403" t="s">
        <v>1597</v>
      </c>
      <c r="BO229" s="403" t="s">
        <v>1598</v>
      </c>
      <c r="BP229" s="403" t="s">
        <v>1599</v>
      </c>
      <c r="BQ229" s="403" t="s">
        <v>1600</v>
      </c>
      <c r="BR229" s="403" t="s">
        <v>1602</v>
      </c>
      <c r="BS229" s="403" t="s">
        <v>1601</v>
      </c>
      <c r="BT229" s="403">
        <v>130</v>
      </c>
      <c r="BU229" s="403"/>
      <c r="BV229" s="403"/>
      <c r="BW229" s="403"/>
      <c r="BX229" s="403"/>
      <c r="BY229" s="403" t="s">
        <v>12812</v>
      </c>
      <c r="BZ229" s="403" t="s">
        <v>12770</v>
      </c>
      <c r="CA229" s="403"/>
      <c r="CB229" s="403"/>
      <c r="CC229" s="403" t="s">
        <v>4663</v>
      </c>
      <c r="CD229" s="403" t="s">
        <v>4664</v>
      </c>
      <c r="CE229" s="403" t="s">
        <v>4665</v>
      </c>
      <c r="CF229" s="403" t="s">
        <v>4666</v>
      </c>
      <c r="CG229" s="403" t="s">
        <v>4667</v>
      </c>
      <c r="CH229" s="403" t="s">
        <v>4668</v>
      </c>
      <c r="CI229" s="403" t="s">
        <v>12813</v>
      </c>
      <c r="CJ229" s="403"/>
      <c r="CK229" s="403"/>
      <c r="CL229" s="403"/>
      <c r="CM229" s="403"/>
      <c r="CN229" s="403" t="s">
        <v>12814</v>
      </c>
      <c r="CO229" s="403" t="s">
        <v>12773</v>
      </c>
      <c r="CP229" s="403"/>
      <c r="CQ229" s="403"/>
      <c r="CR229" s="403" t="s">
        <v>4680</v>
      </c>
      <c r="CS229" s="403" t="s">
        <v>4681</v>
      </c>
      <c r="CT229" s="403" t="s">
        <v>4682</v>
      </c>
      <c r="CU229" s="403" t="s">
        <v>4683</v>
      </c>
      <c r="CV229" s="403" t="s">
        <v>4684</v>
      </c>
      <c r="CW229" s="403" t="s">
        <v>4685</v>
      </c>
      <c r="CX229" s="403">
        <v>130</v>
      </c>
      <c r="CY229" s="403"/>
      <c r="CZ229" s="403"/>
      <c r="DA229" s="403"/>
      <c r="DB229" s="403"/>
      <c r="DC229" s="403" t="s">
        <v>12815</v>
      </c>
      <c r="DD229" s="403" t="s">
        <v>12775</v>
      </c>
      <c r="DE229" s="403"/>
      <c r="DF229" s="403"/>
      <c r="DG229" s="403" t="s">
        <v>4688</v>
      </c>
      <c r="DH229" s="403" t="s">
        <v>4689</v>
      </c>
      <c r="DI229" s="403" t="s">
        <v>4690</v>
      </c>
      <c r="DJ229" s="403" t="s">
        <v>4691</v>
      </c>
      <c r="DK229" s="403" t="s">
        <v>4692</v>
      </c>
      <c r="DL229" s="403" t="s">
        <v>4693</v>
      </c>
      <c r="DM229" s="403">
        <v>130</v>
      </c>
      <c r="DN229" s="403"/>
    </row>
    <row r="230" spans="3:118" s="241" customFormat="1" x14ac:dyDescent="0.2">
      <c r="C230" s="5" t="str">
        <f ca="1">IF(OFFSET(Q230,0,Lang_Order*Lang__R1)="","",OFFSET(Q230,0,Lang_Order*Lang__R1))</f>
        <v>Delivery Modality 1</v>
      </c>
      <c r="D230" s="16" t="e">
        <f t="shared" ref="D230:D234" ca="1" si="72">MAX(G230:L230)</f>
        <v>#N/A</v>
      </c>
      <c r="E230" s="16"/>
      <c r="F230" s="16"/>
      <c r="G230" s="16" t="e">
        <f t="shared" ref="G230:L233" ca="1" si="73">G223/FTE_WorkingDays_perPeriod</f>
        <v>#N/A</v>
      </c>
      <c r="H230" s="16" t="e">
        <f t="shared" ca="1" si="73"/>
        <v>#N/A</v>
      </c>
      <c r="I230" s="16" t="e">
        <f t="shared" ca="1" si="73"/>
        <v>#N/A</v>
      </c>
      <c r="J230" s="16" t="e">
        <f t="shared" ca="1" si="73"/>
        <v>#N/A</v>
      </c>
      <c r="K230" s="16" t="e">
        <f t="shared" ca="1" si="73"/>
        <v>#N/A</v>
      </c>
      <c r="L230" s="16" t="e">
        <f t="shared" ca="1" si="73"/>
        <v>#N/A</v>
      </c>
      <c r="N230" s="403"/>
      <c r="O230" s="403"/>
      <c r="P230" s="403"/>
      <c r="Q230" s="403" t="s">
        <v>1632</v>
      </c>
      <c r="R230" s="403"/>
      <c r="S230" s="403"/>
      <c r="T230" s="403"/>
      <c r="U230" s="403"/>
      <c r="V230" s="403"/>
      <c r="W230" s="403"/>
      <c r="X230" s="403"/>
      <c r="Y230" s="403"/>
      <c r="Z230" s="403"/>
      <c r="AA230" s="403"/>
      <c r="AB230" s="403"/>
      <c r="AC230" s="564"/>
      <c r="AD230" s="403"/>
      <c r="AE230" s="403"/>
      <c r="AF230" s="403" t="s">
        <v>7476</v>
      </c>
      <c r="AG230" s="403"/>
      <c r="AH230" s="403"/>
      <c r="AI230" s="403"/>
      <c r="AJ230" s="403"/>
      <c r="AK230" s="403"/>
      <c r="AL230" s="403"/>
      <c r="AM230" s="403"/>
      <c r="AN230" s="403"/>
      <c r="AO230" s="403"/>
      <c r="AP230" s="403"/>
      <c r="AQ230" s="403"/>
      <c r="AR230" s="403"/>
      <c r="AS230" s="403"/>
      <c r="AT230" s="403"/>
      <c r="AU230" s="403" t="s">
        <v>9664</v>
      </c>
      <c r="AV230" s="403"/>
      <c r="AW230" s="403"/>
      <c r="AX230" s="403"/>
      <c r="AY230" s="403"/>
      <c r="AZ230" s="403"/>
      <c r="BA230" s="403"/>
      <c r="BB230" s="403"/>
      <c r="BC230" s="403"/>
      <c r="BD230" s="403"/>
      <c r="BE230" s="403"/>
      <c r="BF230" s="403"/>
      <c r="BG230" s="403"/>
      <c r="BH230" s="403"/>
      <c r="BI230" s="403"/>
      <c r="BJ230" s="403" t="s">
        <v>9666</v>
      </c>
      <c r="BK230" s="403"/>
      <c r="BL230" s="403"/>
      <c r="BM230" s="403"/>
      <c r="BN230" s="403"/>
      <c r="BO230" s="403"/>
      <c r="BP230" s="403"/>
      <c r="BQ230" s="403"/>
      <c r="BR230" s="403"/>
      <c r="BS230" s="403"/>
      <c r="BT230" s="403"/>
      <c r="BU230" s="403"/>
      <c r="BV230" s="403"/>
      <c r="BW230" s="403"/>
      <c r="BX230" s="403"/>
      <c r="BY230" s="403" t="s">
        <v>7479</v>
      </c>
      <c r="BZ230" s="403"/>
      <c r="CA230" s="403"/>
      <c r="CB230" s="403"/>
      <c r="CC230" s="403"/>
      <c r="CD230" s="403"/>
      <c r="CE230" s="403"/>
      <c r="CF230" s="403"/>
      <c r="CG230" s="403"/>
      <c r="CH230" s="403"/>
      <c r="CI230" s="403"/>
      <c r="CJ230" s="403"/>
      <c r="CK230" s="403"/>
      <c r="CL230" s="403"/>
      <c r="CM230" s="403"/>
      <c r="CN230" s="403" t="s">
        <v>7480</v>
      </c>
      <c r="CO230" s="403"/>
      <c r="CP230" s="403"/>
      <c r="CQ230" s="403"/>
      <c r="CR230" s="403"/>
      <c r="CS230" s="403"/>
      <c r="CT230" s="403"/>
      <c r="CU230" s="403"/>
      <c r="CV230" s="403"/>
      <c r="CW230" s="403"/>
      <c r="CX230" s="403"/>
      <c r="CY230" s="403"/>
      <c r="CZ230" s="403"/>
      <c r="DA230" s="403"/>
      <c r="DB230" s="403"/>
      <c r="DC230" s="403" t="s">
        <v>7481</v>
      </c>
      <c r="DD230" s="403"/>
      <c r="DE230" s="403"/>
      <c r="DF230" s="403"/>
      <c r="DG230" s="403"/>
      <c r="DH230" s="403"/>
      <c r="DI230" s="403"/>
      <c r="DJ230" s="403"/>
      <c r="DK230" s="403"/>
      <c r="DL230" s="403"/>
      <c r="DM230" s="403"/>
      <c r="DN230" s="403"/>
    </row>
    <row r="231" spans="3:118" s="241" customFormat="1" x14ac:dyDescent="0.2">
      <c r="C231" s="5" t="str">
        <f ca="1">IF(OFFSET(Q231,0,Lang_Order*Lang__R1)="","",OFFSET(Q231,0,Lang_Order*Lang__R1))</f>
        <v>Delivery Modality 2</v>
      </c>
      <c r="D231" s="16" t="e">
        <f t="shared" ca="1" si="72"/>
        <v>#N/A</v>
      </c>
      <c r="E231" s="16"/>
      <c r="F231" s="16"/>
      <c r="G231" s="16" t="e">
        <f t="shared" ca="1" si="73"/>
        <v>#N/A</v>
      </c>
      <c r="H231" s="16" t="e">
        <f t="shared" ca="1" si="73"/>
        <v>#N/A</v>
      </c>
      <c r="I231" s="16" t="e">
        <f t="shared" ca="1" si="73"/>
        <v>#N/A</v>
      </c>
      <c r="J231" s="16" t="e">
        <f t="shared" ca="1" si="73"/>
        <v>#N/A</v>
      </c>
      <c r="K231" s="16" t="e">
        <f t="shared" ca="1" si="73"/>
        <v>#N/A</v>
      </c>
      <c r="L231" s="16" t="e">
        <f t="shared" ca="1" si="73"/>
        <v>#N/A</v>
      </c>
      <c r="N231" s="403"/>
      <c r="O231" s="403"/>
      <c r="P231" s="403"/>
      <c r="Q231" s="403" t="s">
        <v>1639</v>
      </c>
      <c r="R231" s="403"/>
      <c r="S231" s="403"/>
      <c r="T231" s="403"/>
      <c r="U231" s="403"/>
      <c r="V231" s="403"/>
      <c r="W231" s="403"/>
      <c r="X231" s="403"/>
      <c r="Y231" s="403"/>
      <c r="Z231" s="403"/>
      <c r="AA231" s="403"/>
      <c r="AB231" s="403"/>
      <c r="AC231" s="564"/>
      <c r="AD231" s="403"/>
      <c r="AE231" s="403"/>
      <c r="AF231" s="403" t="s">
        <v>7482</v>
      </c>
      <c r="AG231" s="403"/>
      <c r="AH231" s="403"/>
      <c r="AI231" s="403"/>
      <c r="AJ231" s="403"/>
      <c r="AK231" s="403"/>
      <c r="AL231" s="403"/>
      <c r="AM231" s="403"/>
      <c r="AN231" s="403"/>
      <c r="AO231" s="403"/>
      <c r="AP231" s="403"/>
      <c r="AQ231" s="403"/>
      <c r="AR231" s="403"/>
      <c r="AS231" s="403"/>
      <c r="AT231" s="403"/>
      <c r="AU231" s="403" t="s">
        <v>9672</v>
      </c>
      <c r="AV231" s="403"/>
      <c r="AW231" s="403"/>
      <c r="AX231" s="403"/>
      <c r="AY231" s="403"/>
      <c r="AZ231" s="403"/>
      <c r="BA231" s="403"/>
      <c r="BB231" s="403"/>
      <c r="BC231" s="403"/>
      <c r="BD231" s="403"/>
      <c r="BE231" s="403"/>
      <c r="BF231" s="403"/>
      <c r="BG231" s="403"/>
      <c r="BH231" s="403"/>
      <c r="BI231" s="403"/>
      <c r="BJ231" s="403" t="s">
        <v>9673</v>
      </c>
      <c r="BK231" s="403"/>
      <c r="BL231" s="403"/>
      <c r="BM231" s="403"/>
      <c r="BN231" s="403"/>
      <c r="BO231" s="403"/>
      <c r="BP231" s="403"/>
      <c r="BQ231" s="403"/>
      <c r="BR231" s="403"/>
      <c r="BS231" s="403"/>
      <c r="BT231" s="403"/>
      <c r="BU231" s="403"/>
      <c r="BV231" s="403"/>
      <c r="BW231" s="403"/>
      <c r="BX231" s="403"/>
      <c r="BY231" s="403" t="s">
        <v>7485</v>
      </c>
      <c r="BZ231" s="403"/>
      <c r="CA231" s="403"/>
      <c r="CB231" s="403"/>
      <c r="CC231" s="403"/>
      <c r="CD231" s="403"/>
      <c r="CE231" s="403"/>
      <c r="CF231" s="403"/>
      <c r="CG231" s="403"/>
      <c r="CH231" s="403"/>
      <c r="CI231" s="403"/>
      <c r="CJ231" s="403"/>
      <c r="CK231" s="403"/>
      <c r="CL231" s="403"/>
      <c r="CM231" s="403"/>
      <c r="CN231" s="403" t="s">
        <v>7486</v>
      </c>
      <c r="CO231" s="403"/>
      <c r="CP231" s="403"/>
      <c r="CQ231" s="403"/>
      <c r="CR231" s="403"/>
      <c r="CS231" s="403"/>
      <c r="CT231" s="403"/>
      <c r="CU231" s="403"/>
      <c r="CV231" s="403"/>
      <c r="CW231" s="403"/>
      <c r="CX231" s="403"/>
      <c r="CY231" s="403"/>
      <c r="CZ231" s="403"/>
      <c r="DA231" s="403"/>
      <c r="DB231" s="403"/>
      <c r="DC231" s="403" t="s">
        <v>7487</v>
      </c>
      <c r="DD231" s="403"/>
      <c r="DE231" s="403"/>
      <c r="DF231" s="403"/>
      <c r="DG231" s="403"/>
      <c r="DH231" s="403"/>
      <c r="DI231" s="403"/>
      <c r="DJ231" s="403"/>
      <c r="DK231" s="403"/>
      <c r="DL231" s="403"/>
      <c r="DM231" s="403"/>
      <c r="DN231" s="403"/>
    </row>
    <row r="232" spans="3:118" s="241" customFormat="1" x14ac:dyDescent="0.2">
      <c r="C232" s="5" t="str">
        <f ca="1">IF(OFFSET(Q232,0,Lang_Order*Lang__R1)="","",OFFSET(Q232,0,Lang_Order*Lang__R1))</f>
        <v>Delivery Modality 3</v>
      </c>
      <c r="D232" s="16" t="e">
        <f t="shared" ca="1" si="72"/>
        <v>#N/A</v>
      </c>
      <c r="E232" s="16"/>
      <c r="F232" s="16"/>
      <c r="G232" s="16" t="e">
        <f t="shared" ca="1" si="73"/>
        <v>#N/A</v>
      </c>
      <c r="H232" s="16" t="e">
        <f t="shared" ca="1" si="73"/>
        <v>#N/A</v>
      </c>
      <c r="I232" s="16" t="e">
        <f t="shared" ca="1" si="73"/>
        <v>#N/A</v>
      </c>
      <c r="J232" s="16" t="e">
        <f t="shared" ca="1" si="73"/>
        <v>#N/A</v>
      </c>
      <c r="K232" s="16" t="e">
        <f t="shared" ca="1" si="73"/>
        <v>#N/A</v>
      </c>
      <c r="L232" s="16" t="e">
        <f t="shared" ca="1" si="73"/>
        <v>#N/A</v>
      </c>
      <c r="N232" s="403"/>
      <c r="O232" s="403"/>
      <c r="P232" s="403"/>
      <c r="Q232" s="403" t="s">
        <v>1564</v>
      </c>
      <c r="R232" s="403"/>
      <c r="S232" s="403"/>
      <c r="T232" s="403"/>
      <c r="U232" s="403"/>
      <c r="V232" s="403"/>
      <c r="W232" s="403"/>
      <c r="X232" s="403"/>
      <c r="Y232" s="403"/>
      <c r="Z232" s="403"/>
      <c r="AA232" s="403"/>
      <c r="AB232" s="403"/>
      <c r="AC232" s="564"/>
      <c r="AD232" s="403"/>
      <c r="AE232" s="403"/>
      <c r="AF232" s="403" t="s">
        <v>7418</v>
      </c>
      <c r="AG232" s="403"/>
      <c r="AH232" s="403"/>
      <c r="AI232" s="403"/>
      <c r="AJ232" s="403"/>
      <c r="AK232" s="403"/>
      <c r="AL232" s="403"/>
      <c r="AM232" s="403"/>
      <c r="AN232" s="403"/>
      <c r="AO232" s="403"/>
      <c r="AP232" s="403"/>
      <c r="AQ232" s="403"/>
      <c r="AR232" s="403"/>
      <c r="AS232" s="403"/>
      <c r="AT232" s="403"/>
      <c r="AU232" s="403" t="s">
        <v>9676</v>
      </c>
      <c r="AV232" s="403"/>
      <c r="AW232" s="403"/>
      <c r="AX232" s="403"/>
      <c r="AY232" s="403"/>
      <c r="AZ232" s="403"/>
      <c r="BA232" s="403"/>
      <c r="BB232" s="403"/>
      <c r="BC232" s="403"/>
      <c r="BD232" s="403"/>
      <c r="BE232" s="403"/>
      <c r="BF232" s="403"/>
      <c r="BG232" s="403"/>
      <c r="BH232" s="403"/>
      <c r="BI232" s="403"/>
      <c r="BJ232" s="403" t="s">
        <v>7420</v>
      </c>
      <c r="BK232" s="403"/>
      <c r="BL232" s="403"/>
      <c r="BM232" s="403"/>
      <c r="BN232" s="403"/>
      <c r="BO232" s="403"/>
      <c r="BP232" s="403"/>
      <c r="BQ232" s="403"/>
      <c r="BR232" s="403"/>
      <c r="BS232" s="403"/>
      <c r="BT232" s="403"/>
      <c r="BU232" s="403"/>
      <c r="BV232" s="403"/>
      <c r="BW232" s="403"/>
      <c r="BX232" s="403"/>
      <c r="BY232" s="403" t="s">
        <v>7489</v>
      </c>
      <c r="BZ232" s="403"/>
      <c r="CA232" s="403"/>
      <c r="CB232" s="403"/>
      <c r="CC232" s="403"/>
      <c r="CD232" s="403"/>
      <c r="CE232" s="403"/>
      <c r="CF232" s="403"/>
      <c r="CG232" s="403"/>
      <c r="CH232" s="403"/>
      <c r="CI232" s="403"/>
      <c r="CJ232" s="403"/>
      <c r="CK232" s="403"/>
      <c r="CL232" s="403"/>
      <c r="CM232" s="403"/>
      <c r="CN232" s="403" t="s">
        <v>7422</v>
      </c>
      <c r="CO232" s="403"/>
      <c r="CP232" s="403"/>
      <c r="CQ232" s="403"/>
      <c r="CR232" s="403"/>
      <c r="CS232" s="403"/>
      <c r="CT232" s="403"/>
      <c r="CU232" s="403"/>
      <c r="CV232" s="403"/>
      <c r="CW232" s="403"/>
      <c r="CX232" s="403"/>
      <c r="CY232" s="403"/>
      <c r="CZ232" s="403"/>
      <c r="DA232" s="403"/>
      <c r="DB232" s="403"/>
      <c r="DC232" s="403" t="s">
        <v>7423</v>
      </c>
      <c r="DD232" s="403"/>
      <c r="DE232" s="403"/>
      <c r="DF232" s="403"/>
      <c r="DG232" s="403"/>
      <c r="DH232" s="403"/>
      <c r="DI232" s="403"/>
      <c r="DJ232" s="403"/>
      <c r="DK232" s="403"/>
      <c r="DL232" s="403"/>
      <c r="DM232" s="403"/>
      <c r="DN232" s="403"/>
    </row>
    <row r="233" spans="3:118" s="241" customFormat="1" x14ac:dyDescent="0.2">
      <c r="C233" s="5" t="str">
        <f ca="1">IF(OFFSET(Q233,0,Lang_Order*Lang__R1)="","",OFFSET(Q233,0,Lang_Order*Lang__R1))</f>
        <v>Delivery Modality 4</v>
      </c>
      <c r="D233" s="16" t="e">
        <f t="shared" ca="1" si="72"/>
        <v>#N/A</v>
      </c>
      <c r="E233" s="16"/>
      <c r="F233" s="16"/>
      <c r="G233" s="16" t="e">
        <f t="shared" ca="1" si="73"/>
        <v>#N/A</v>
      </c>
      <c r="H233" s="16" t="e">
        <f t="shared" ca="1" si="73"/>
        <v>#N/A</v>
      </c>
      <c r="I233" s="16" t="e">
        <f t="shared" ca="1" si="73"/>
        <v>#N/A</v>
      </c>
      <c r="J233" s="16" t="e">
        <f t="shared" ca="1" si="73"/>
        <v>#N/A</v>
      </c>
      <c r="K233" s="16" t="e">
        <f t="shared" ca="1" si="73"/>
        <v>#N/A</v>
      </c>
      <c r="L233" s="16" t="e">
        <f t="shared" ca="1" si="73"/>
        <v>#N/A</v>
      </c>
      <c r="N233" s="403"/>
      <c r="O233" s="403"/>
      <c r="P233" s="403"/>
      <c r="Q233" s="403" t="s">
        <v>1565</v>
      </c>
      <c r="R233" s="403"/>
      <c r="S233" s="403"/>
      <c r="T233" s="403"/>
      <c r="U233" s="403"/>
      <c r="V233" s="403"/>
      <c r="W233" s="403"/>
      <c r="X233" s="403"/>
      <c r="Y233" s="403"/>
      <c r="Z233" s="403"/>
      <c r="AA233" s="403"/>
      <c r="AB233" s="403"/>
      <c r="AC233" s="564"/>
      <c r="AD233" s="403"/>
      <c r="AE233" s="403"/>
      <c r="AF233" s="403" t="s">
        <v>7424</v>
      </c>
      <c r="AG233" s="403"/>
      <c r="AH233" s="403"/>
      <c r="AI233" s="403"/>
      <c r="AJ233" s="403"/>
      <c r="AK233" s="403"/>
      <c r="AL233" s="403"/>
      <c r="AM233" s="403"/>
      <c r="AN233" s="403"/>
      <c r="AO233" s="403"/>
      <c r="AP233" s="403"/>
      <c r="AQ233" s="403"/>
      <c r="AR233" s="403"/>
      <c r="AS233" s="403"/>
      <c r="AT233" s="403"/>
      <c r="AU233" s="403" t="s">
        <v>9726</v>
      </c>
      <c r="AV233" s="403"/>
      <c r="AW233" s="403"/>
      <c r="AX233" s="403"/>
      <c r="AY233" s="403"/>
      <c r="AZ233" s="403"/>
      <c r="BA233" s="403"/>
      <c r="BB233" s="403"/>
      <c r="BC233" s="403"/>
      <c r="BD233" s="403"/>
      <c r="BE233" s="403"/>
      <c r="BF233" s="403"/>
      <c r="BG233" s="403"/>
      <c r="BH233" s="403"/>
      <c r="BI233" s="403"/>
      <c r="BJ233" s="403" t="s">
        <v>7426</v>
      </c>
      <c r="BK233" s="403"/>
      <c r="BL233" s="403"/>
      <c r="BM233" s="403"/>
      <c r="BN233" s="403"/>
      <c r="BO233" s="403"/>
      <c r="BP233" s="403"/>
      <c r="BQ233" s="403"/>
      <c r="BR233" s="403"/>
      <c r="BS233" s="403"/>
      <c r="BT233" s="403"/>
      <c r="BU233" s="403"/>
      <c r="BV233" s="403"/>
      <c r="BW233" s="403"/>
      <c r="BX233" s="403"/>
      <c r="BY233" s="403" t="s">
        <v>7491</v>
      </c>
      <c r="BZ233" s="403"/>
      <c r="CA233" s="403"/>
      <c r="CB233" s="403"/>
      <c r="CC233" s="403"/>
      <c r="CD233" s="403"/>
      <c r="CE233" s="403"/>
      <c r="CF233" s="403"/>
      <c r="CG233" s="403"/>
      <c r="CH233" s="403"/>
      <c r="CI233" s="403"/>
      <c r="CJ233" s="403"/>
      <c r="CK233" s="403"/>
      <c r="CL233" s="403"/>
      <c r="CM233" s="403"/>
      <c r="CN233" s="403" t="s">
        <v>7428</v>
      </c>
      <c r="CO233" s="403"/>
      <c r="CP233" s="403"/>
      <c r="CQ233" s="403"/>
      <c r="CR233" s="403"/>
      <c r="CS233" s="403"/>
      <c r="CT233" s="403"/>
      <c r="CU233" s="403"/>
      <c r="CV233" s="403"/>
      <c r="CW233" s="403"/>
      <c r="CX233" s="403"/>
      <c r="CY233" s="403"/>
      <c r="CZ233" s="403"/>
      <c r="DA233" s="403"/>
      <c r="DB233" s="403"/>
      <c r="DC233" s="403" t="s">
        <v>7429</v>
      </c>
      <c r="DD233" s="403"/>
      <c r="DE233" s="403"/>
      <c r="DF233" s="403"/>
      <c r="DG233" s="403"/>
      <c r="DH233" s="403"/>
      <c r="DI233" s="403"/>
      <c r="DJ233" s="403"/>
      <c r="DK233" s="403"/>
      <c r="DL233" s="403"/>
      <c r="DM233" s="403"/>
      <c r="DN233" s="403"/>
    </row>
    <row r="234" spans="3:118" s="241" customFormat="1" ht="13.5" thickBot="1" x14ac:dyDescent="0.25">
      <c r="C234" s="21" t="str">
        <f ca="1">IF(OFFSET(Q234,0,Lang_Order*Lang__R1)="","",OFFSET(Q234,0,Lang_Order*Lang__R1))</f>
        <v>Total Full-time Equivalents</v>
      </c>
      <c r="D234" s="161" t="e">
        <f t="shared" ca="1" si="72"/>
        <v>#N/A</v>
      </c>
      <c r="E234" s="161"/>
      <c r="F234" s="161"/>
      <c r="G234" s="161" t="e">
        <f t="shared" ref="G234:L234" ca="1" si="74">ROUND(G227/FTE_WorkingDays_perPeriod,0)</f>
        <v>#N/A</v>
      </c>
      <c r="H234" s="161" t="e">
        <f t="shared" ca="1" si="74"/>
        <v>#N/A</v>
      </c>
      <c r="I234" s="161" t="e">
        <f t="shared" ca="1" si="74"/>
        <v>#N/A</v>
      </c>
      <c r="J234" s="161" t="e">
        <f t="shared" ca="1" si="74"/>
        <v>#N/A</v>
      </c>
      <c r="K234" s="161" t="e">
        <f t="shared" ca="1" si="74"/>
        <v>#N/A</v>
      </c>
      <c r="L234" s="161" t="e">
        <f t="shared" ca="1" si="74"/>
        <v>#N/A</v>
      </c>
      <c r="N234" s="403"/>
      <c r="O234" s="403"/>
      <c r="P234" s="403"/>
      <c r="Q234" s="403" t="s">
        <v>3065</v>
      </c>
      <c r="R234" s="403"/>
      <c r="S234" s="403"/>
      <c r="T234" s="403"/>
      <c r="U234" s="403"/>
      <c r="V234" s="403"/>
      <c r="W234" s="403"/>
      <c r="X234" s="403"/>
      <c r="Y234" s="403"/>
      <c r="Z234" s="403"/>
      <c r="AA234" s="403"/>
      <c r="AB234" s="403"/>
      <c r="AC234" s="564"/>
      <c r="AD234" s="403"/>
      <c r="AE234" s="403"/>
      <c r="AF234" s="403" t="s">
        <v>12816</v>
      </c>
      <c r="AG234" s="403"/>
      <c r="AH234" s="403"/>
      <c r="AI234" s="403"/>
      <c r="AJ234" s="403"/>
      <c r="AK234" s="403"/>
      <c r="AL234" s="403"/>
      <c r="AM234" s="403"/>
      <c r="AN234" s="403"/>
      <c r="AO234" s="403"/>
      <c r="AP234" s="403"/>
      <c r="AQ234" s="403"/>
      <c r="AR234" s="403"/>
      <c r="AS234" s="403"/>
      <c r="AT234" s="403"/>
      <c r="AU234" s="403" t="s">
        <v>12817</v>
      </c>
      <c r="AV234" s="403"/>
      <c r="AW234" s="403"/>
      <c r="AX234" s="403"/>
      <c r="AY234" s="403"/>
      <c r="AZ234" s="403"/>
      <c r="BA234" s="403"/>
      <c r="BB234" s="403"/>
      <c r="BC234" s="403"/>
      <c r="BD234" s="403"/>
      <c r="BE234" s="403"/>
      <c r="BF234" s="403"/>
      <c r="BG234" s="403"/>
      <c r="BH234" s="403"/>
      <c r="BI234" s="403"/>
      <c r="BJ234" s="403" t="s">
        <v>12818</v>
      </c>
      <c r="BK234" s="403"/>
      <c r="BL234" s="403"/>
      <c r="BM234" s="403"/>
      <c r="BN234" s="403"/>
      <c r="BO234" s="403"/>
      <c r="BP234" s="403"/>
      <c r="BQ234" s="403"/>
      <c r="BR234" s="403"/>
      <c r="BS234" s="403"/>
      <c r="BT234" s="403"/>
      <c r="BU234" s="403"/>
      <c r="BV234" s="403"/>
      <c r="BW234" s="403"/>
      <c r="BX234" s="403"/>
      <c r="BY234" s="403" t="s">
        <v>12819</v>
      </c>
      <c r="BZ234" s="403"/>
      <c r="CA234" s="403"/>
      <c r="CB234" s="403"/>
      <c r="CC234" s="403"/>
      <c r="CD234" s="403"/>
      <c r="CE234" s="403"/>
      <c r="CF234" s="403"/>
      <c r="CG234" s="403"/>
      <c r="CH234" s="403"/>
      <c r="CI234" s="403"/>
      <c r="CJ234" s="403"/>
      <c r="CK234" s="403"/>
      <c r="CL234" s="403"/>
      <c r="CM234" s="403"/>
      <c r="CN234" s="403" t="s">
        <v>12820</v>
      </c>
      <c r="CO234" s="403"/>
      <c r="CP234" s="403"/>
      <c r="CQ234" s="403"/>
      <c r="CR234" s="403"/>
      <c r="CS234" s="403"/>
      <c r="CT234" s="403"/>
      <c r="CU234" s="403"/>
      <c r="CV234" s="403"/>
      <c r="CW234" s="403"/>
      <c r="CX234" s="403"/>
      <c r="CY234" s="403"/>
      <c r="CZ234" s="403"/>
      <c r="DA234" s="403"/>
      <c r="DB234" s="403"/>
      <c r="DC234" s="403" t="s">
        <v>12821</v>
      </c>
      <c r="DD234" s="403"/>
      <c r="DE234" s="403"/>
      <c r="DF234" s="403"/>
      <c r="DG234" s="403"/>
      <c r="DH234" s="403"/>
      <c r="DI234" s="403"/>
      <c r="DJ234" s="403"/>
      <c r="DK234" s="403"/>
      <c r="DL234" s="403"/>
      <c r="DM234" s="403"/>
      <c r="DN234" s="403"/>
    </row>
    <row r="235" spans="3:118" s="241" customFormat="1" ht="13.5" thickTop="1" x14ac:dyDescent="0.2">
      <c r="N235" s="403"/>
      <c r="O235" s="403"/>
      <c r="P235" s="403"/>
      <c r="Q235" s="403"/>
      <c r="R235" s="403"/>
      <c r="S235" s="403"/>
      <c r="T235" s="403"/>
      <c r="U235" s="403"/>
      <c r="V235" s="403"/>
      <c r="W235" s="403"/>
      <c r="X235" s="403"/>
      <c r="Y235" s="403"/>
      <c r="Z235" s="403"/>
      <c r="AA235" s="403"/>
      <c r="AB235" s="403"/>
      <c r="AC235" s="564"/>
      <c r="AD235" s="403"/>
      <c r="AE235" s="403"/>
      <c r="AF235" s="403"/>
      <c r="AG235" s="403"/>
      <c r="AH235" s="403"/>
      <c r="AI235" s="403"/>
      <c r="AJ235" s="403"/>
      <c r="AK235" s="403"/>
      <c r="AL235" s="403"/>
      <c r="AM235" s="403"/>
      <c r="AN235" s="403"/>
      <c r="AO235" s="403"/>
      <c r="AP235" s="403"/>
      <c r="AQ235" s="403"/>
      <c r="AR235" s="403"/>
      <c r="AS235" s="403"/>
      <c r="AT235" s="403"/>
      <c r="AU235" s="403"/>
      <c r="AV235" s="403"/>
      <c r="AW235" s="403"/>
      <c r="AX235" s="403"/>
      <c r="AY235" s="403"/>
      <c r="AZ235" s="403"/>
      <c r="BA235" s="403"/>
      <c r="BB235" s="403"/>
      <c r="BC235" s="403"/>
      <c r="BD235" s="403"/>
      <c r="BE235" s="403"/>
      <c r="BF235" s="403"/>
      <c r="BG235" s="403"/>
      <c r="BH235" s="403"/>
      <c r="BI235" s="403"/>
      <c r="BJ235" s="403"/>
      <c r="BK235" s="403"/>
      <c r="BL235" s="403"/>
      <c r="BM235" s="403"/>
      <c r="BN235" s="403"/>
      <c r="BO235" s="403"/>
      <c r="BP235" s="403"/>
      <c r="BQ235" s="403"/>
      <c r="BR235" s="403"/>
      <c r="BS235" s="403"/>
      <c r="BT235" s="403"/>
      <c r="BU235" s="403"/>
      <c r="BV235" s="403"/>
      <c r="BW235" s="403"/>
      <c r="BX235" s="403"/>
      <c r="BY235" s="403"/>
      <c r="BZ235" s="403"/>
      <c r="CA235" s="403"/>
      <c r="CB235" s="403"/>
      <c r="CC235" s="403"/>
      <c r="CD235" s="403"/>
      <c r="CE235" s="403"/>
      <c r="CF235" s="403"/>
      <c r="CG235" s="403"/>
      <c r="CH235" s="403"/>
      <c r="CI235" s="403"/>
      <c r="CJ235" s="403"/>
      <c r="CK235" s="403"/>
      <c r="CL235" s="403"/>
      <c r="CM235" s="403"/>
      <c r="CN235" s="403"/>
      <c r="CO235" s="403"/>
      <c r="CP235" s="403"/>
      <c r="CQ235" s="403"/>
      <c r="CR235" s="403"/>
      <c r="CS235" s="403"/>
      <c r="CT235" s="403"/>
      <c r="CU235" s="403"/>
      <c r="CV235" s="403"/>
      <c r="CW235" s="403"/>
      <c r="CX235" s="403"/>
      <c r="CY235" s="403"/>
      <c r="CZ235" s="403"/>
      <c r="DA235" s="403"/>
      <c r="DB235" s="403"/>
      <c r="DC235" s="403"/>
      <c r="DD235" s="403"/>
      <c r="DE235" s="403"/>
      <c r="DF235" s="403"/>
      <c r="DG235" s="403"/>
      <c r="DH235" s="403"/>
      <c r="DI235" s="403"/>
      <c r="DJ235" s="403"/>
      <c r="DK235" s="403"/>
      <c r="DL235" s="403"/>
      <c r="DM235" s="403"/>
      <c r="DN235" s="403"/>
    </row>
    <row r="236" spans="3:118" s="241" customFormat="1" ht="15" x14ac:dyDescent="0.25">
      <c r="C236" s="8" t="str">
        <f ca="1">IF(OFFSET(Q236,0,Lang_Order*Lang__R1)="","",OFFSET(Q236,0,Lang_Order*Lang__R1))</f>
        <v>R1.3.2.1 Impact relative to HRH supply</v>
      </c>
      <c r="D236" s="8"/>
      <c r="E236" s="8"/>
      <c r="F236" s="8"/>
      <c r="G236" s="8"/>
      <c r="H236" s="8"/>
      <c r="I236" s="8"/>
      <c r="J236" s="8"/>
      <c r="K236" s="8"/>
      <c r="L236" s="8"/>
      <c r="N236" s="403"/>
      <c r="O236" s="403"/>
      <c r="P236" s="403"/>
      <c r="Q236" s="403" t="s">
        <v>14706</v>
      </c>
      <c r="R236" s="403"/>
      <c r="S236" s="403"/>
      <c r="T236" s="403"/>
      <c r="U236" s="403"/>
      <c r="V236" s="403"/>
      <c r="W236" s="403"/>
      <c r="X236" s="403"/>
      <c r="Y236" s="403"/>
      <c r="Z236" s="403"/>
      <c r="AA236" s="403"/>
      <c r="AB236" s="403"/>
      <c r="AC236" s="564"/>
      <c r="AD236" s="403"/>
      <c r="AE236" s="403"/>
      <c r="AF236" s="403" t="s">
        <v>14707</v>
      </c>
      <c r="AG236" s="403"/>
      <c r="AH236" s="403"/>
      <c r="AI236" s="403"/>
      <c r="AJ236" s="403"/>
      <c r="AK236" s="403"/>
      <c r="AL236" s="403"/>
      <c r="AM236" s="403"/>
      <c r="AN236" s="403"/>
      <c r="AO236" s="403"/>
      <c r="AP236" s="403"/>
      <c r="AQ236" s="403"/>
      <c r="AR236" s="403"/>
      <c r="AS236" s="403"/>
      <c r="AT236" s="403"/>
      <c r="AU236" s="403" t="s">
        <v>14708</v>
      </c>
      <c r="AV236" s="403"/>
      <c r="AW236" s="403"/>
      <c r="AX236" s="403"/>
      <c r="AY236" s="403"/>
      <c r="AZ236" s="403"/>
      <c r="BA236" s="403"/>
      <c r="BB236" s="403"/>
      <c r="BC236" s="403"/>
      <c r="BD236" s="403"/>
      <c r="BE236" s="403"/>
      <c r="BF236" s="403"/>
      <c r="BG236" s="403"/>
      <c r="BH236" s="403"/>
      <c r="BI236" s="403"/>
      <c r="BJ236" s="403" t="s">
        <v>14709</v>
      </c>
      <c r="BK236" s="403"/>
      <c r="BL236" s="403"/>
      <c r="BM236" s="403"/>
      <c r="BN236" s="403"/>
      <c r="BO236" s="403"/>
      <c r="BP236" s="403"/>
      <c r="BQ236" s="403"/>
      <c r="BR236" s="403"/>
      <c r="BS236" s="403"/>
      <c r="BT236" s="403"/>
      <c r="BU236" s="403"/>
      <c r="BV236" s="403"/>
      <c r="BW236" s="403"/>
      <c r="BX236" s="403"/>
      <c r="BY236" s="403" t="s">
        <v>14710</v>
      </c>
      <c r="BZ236" s="403"/>
      <c r="CA236" s="403"/>
      <c r="CB236" s="403"/>
      <c r="CC236" s="403"/>
      <c r="CD236" s="403"/>
      <c r="CE236" s="403"/>
      <c r="CF236" s="403"/>
      <c r="CG236" s="403"/>
      <c r="CH236" s="403"/>
      <c r="CI236" s="403"/>
      <c r="CJ236" s="403"/>
      <c r="CK236" s="403"/>
      <c r="CL236" s="403"/>
      <c r="CM236" s="403"/>
      <c r="CN236" s="403" t="s">
        <v>12822</v>
      </c>
      <c r="CO236" s="403"/>
      <c r="CP236" s="403"/>
      <c r="CQ236" s="403"/>
      <c r="CR236" s="403"/>
      <c r="CS236" s="403"/>
      <c r="CT236" s="403"/>
      <c r="CU236" s="403"/>
      <c r="CV236" s="403"/>
      <c r="CW236" s="403"/>
      <c r="CX236" s="403"/>
      <c r="CY236" s="403"/>
      <c r="CZ236" s="403"/>
      <c r="DA236" s="403"/>
      <c r="DB236" s="403"/>
      <c r="DC236" s="403" t="s">
        <v>14716</v>
      </c>
      <c r="DD236" s="403"/>
      <c r="DE236" s="403"/>
      <c r="DF236" s="403"/>
      <c r="DG236" s="403"/>
      <c r="DH236" s="403"/>
      <c r="DI236" s="403"/>
      <c r="DJ236" s="403"/>
      <c r="DK236" s="403"/>
      <c r="DL236" s="403"/>
      <c r="DM236" s="403"/>
      <c r="DN236" s="403"/>
    </row>
    <row r="237" spans="3:118" s="241" customFormat="1" ht="15" x14ac:dyDescent="0.25">
      <c r="C237" s="55" t="str">
        <f ca="1">IF(OFFSET(Q237,0,Lang_Order*Lang__R1)="","",OFFSET(Q237,0,Lang_Order*Lang__R1))</f>
        <v>IMPACT - as % of HRH Supply</v>
      </c>
      <c r="D237" s="267" t="str">
        <f ca="1">IF(OFFSET(R237,0,Lang_Order*Lang__R1)="","",OFFSET(R237,0,Lang_Order*Lang__R1))</f>
        <v>Peak</v>
      </c>
      <c r="G237" s="267" t="str">
        <f t="shared" ref="G237:L237" ca="1" si="75">IF(OFFSET(U237,0,Lang_Order*Lang__R1)="","",OFFSET(U237,0,Lang_Order*Lang__R1))</f>
        <v>H1 2021</v>
      </c>
      <c r="H237" s="267" t="str">
        <f t="shared" ca="1" si="75"/>
        <v>H2 2021</v>
      </c>
      <c r="I237" s="267" t="str">
        <f t="shared" ca="1" si="75"/>
        <v>H1 2022</v>
      </c>
      <c r="J237" s="267" t="str">
        <f t="shared" ca="1" si="75"/>
        <v>H2 2022</v>
      </c>
      <c r="K237" s="267" t="str">
        <f t="shared" ca="1" si="75"/>
        <v>H1 2023</v>
      </c>
      <c r="L237" s="267" t="str">
        <f t="shared" ca="1" si="75"/>
        <v>H2 2023</v>
      </c>
      <c r="N237" s="403"/>
      <c r="O237" s="403"/>
      <c r="P237" s="403"/>
      <c r="Q237" s="403" t="s">
        <v>3068</v>
      </c>
      <c r="R237" s="403" t="s">
        <v>2992</v>
      </c>
      <c r="S237" s="403"/>
      <c r="T237" s="403"/>
      <c r="U237" s="403" t="s">
        <v>1597</v>
      </c>
      <c r="V237" s="403" t="s">
        <v>1598</v>
      </c>
      <c r="W237" s="403" t="s">
        <v>1599</v>
      </c>
      <c r="X237" s="403" t="s">
        <v>1600</v>
      </c>
      <c r="Y237" s="403" t="s">
        <v>1602</v>
      </c>
      <c r="Z237" s="403" t="s">
        <v>1601</v>
      </c>
      <c r="AA237" s="403"/>
      <c r="AB237" s="403"/>
      <c r="AC237" s="564"/>
      <c r="AD237" s="403"/>
      <c r="AE237" s="403"/>
      <c r="AF237" s="403" t="s">
        <v>12823</v>
      </c>
      <c r="AG237" s="403" t="s">
        <v>12766</v>
      </c>
      <c r="AH237" s="403"/>
      <c r="AI237" s="403"/>
      <c r="AJ237" s="403" t="s">
        <v>4663</v>
      </c>
      <c r="AK237" s="403" t="s">
        <v>4664</v>
      </c>
      <c r="AL237" s="403" t="s">
        <v>4665</v>
      </c>
      <c r="AM237" s="403" t="s">
        <v>4666</v>
      </c>
      <c r="AN237" s="403" t="s">
        <v>4667</v>
      </c>
      <c r="AO237" s="403" t="s">
        <v>4668</v>
      </c>
      <c r="AP237" s="403"/>
      <c r="AQ237" s="403"/>
      <c r="AR237" s="403"/>
      <c r="AS237" s="403"/>
      <c r="AT237" s="403"/>
      <c r="AU237" s="403" t="s">
        <v>12824</v>
      </c>
      <c r="AV237" s="403" t="s">
        <v>12810</v>
      </c>
      <c r="AW237" s="403"/>
      <c r="AX237" s="403"/>
      <c r="AY237" s="403" t="s">
        <v>4670</v>
      </c>
      <c r="AZ237" s="403" t="s">
        <v>4671</v>
      </c>
      <c r="BA237" s="403" t="s">
        <v>4672</v>
      </c>
      <c r="BB237" s="403" t="s">
        <v>4673</v>
      </c>
      <c r="BC237" s="403" t="s">
        <v>4674</v>
      </c>
      <c r="BD237" s="403" t="s">
        <v>4675</v>
      </c>
      <c r="BE237" s="403"/>
      <c r="BF237" s="403"/>
      <c r="BG237" s="403"/>
      <c r="BH237" s="403"/>
      <c r="BI237" s="403"/>
      <c r="BJ237" s="403" t="s">
        <v>12825</v>
      </c>
      <c r="BK237" s="403" t="s">
        <v>12770</v>
      </c>
      <c r="BL237" s="403"/>
      <c r="BM237" s="403"/>
      <c r="BN237" s="403" t="s">
        <v>1597</v>
      </c>
      <c r="BO237" s="403" t="s">
        <v>1598</v>
      </c>
      <c r="BP237" s="403" t="s">
        <v>1599</v>
      </c>
      <c r="BQ237" s="403" t="s">
        <v>1600</v>
      </c>
      <c r="BR237" s="403" t="s">
        <v>1602</v>
      </c>
      <c r="BS237" s="403" t="s">
        <v>1601</v>
      </c>
      <c r="BT237" s="403"/>
      <c r="BU237" s="403"/>
      <c r="BV237" s="403"/>
      <c r="BW237" s="403"/>
      <c r="BX237" s="403"/>
      <c r="BY237" s="403" t="s">
        <v>12826</v>
      </c>
      <c r="BZ237" s="403" t="s">
        <v>12770</v>
      </c>
      <c r="CA237" s="403"/>
      <c r="CB237" s="403"/>
      <c r="CC237" s="403" t="s">
        <v>4663</v>
      </c>
      <c r="CD237" s="403" t="s">
        <v>4664</v>
      </c>
      <c r="CE237" s="403" t="s">
        <v>4665</v>
      </c>
      <c r="CF237" s="403" t="s">
        <v>4666</v>
      </c>
      <c r="CG237" s="403" t="s">
        <v>4667</v>
      </c>
      <c r="CH237" s="403" t="s">
        <v>4668</v>
      </c>
      <c r="CI237" s="403"/>
      <c r="CJ237" s="403"/>
      <c r="CK237" s="403"/>
      <c r="CL237" s="403"/>
      <c r="CM237" s="403"/>
      <c r="CN237" s="403" t="s">
        <v>12827</v>
      </c>
      <c r="CO237" s="403" t="s">
        <v>12773</v>
      </c>
      <c r="CP237" s="403"/>
      <c r="CQ237" s="403"/>
      <c r="CR237" s="403" t="s">
        <v>4680</v>
      </c>
      <c r="CS237" s="403" t="s">
        <v>4681</v>
      </c>
      <c r="CT237" s="403" t="s">
        <v>4682</v>
      </c>
      <c r="CU237" s="403" t="s">
        <v>4683</v>
      </c>
      <c r="CV237" s="403" t="s">
        <v>4684</v>
      </c>
      <c r="CW237" s="403" t="s">
        <v>4685</v>
      </c>
      <c r="CX237" s="403"/>
      <c r="CY237" s="403"/>
      <c r="CZ237" s="403"/>
      <c r="DA237" s="403"/>
      <c r="DB237" s="403"/>
      <c r="DC237" s="403" t="s">
        <v>12828</v>
      </c>
      <c r="DD237" s="403" t="s">
        <v>12775</v>
      </c>
      <c r="DE237" s="403"/>
      <c r="DF237" s="403"/>
      <c r="DG237" s="403" t="s">
        <v>4688</v>
      </c>
      <c r="DH237" s="403" t="s">
        <v>4689</v>
      </c>
      <c r="DI237" s="403" t="s">
        <v>4690</v>
      </c>
      <c r="DJ237" s="403" t="s">
        <v>4691</v>
      </c>
      <c r="DK237" s="403" t="s">
        <v>4692</v>
      </c>
      <c r="DL237" s="403" t="s">
        <v>4693</v>
      </c>
      <c r="DM237" s="403"/>
      <c r="DN237" s="403"/>
    </row>
    <row r="238" spans="3:118" s="241" customFormat="1" x14ac:dyDescent="0.2">
      <c r="C238" s="5" t="str">
        <f ca="1">IF(OFFSET(Q238,0,Lang_Order*Lang__R1)="","",OFFSET(Q238,0,Lang_Order*Lang__R1))</f>
        <v>Current Vaccinators (Not Full-Time Equivalents)</v>
      </c>
      <c r="D238" s="162" t="e">
        <f ca="1">D218/'A2. INPUT Population &amp; Delivery'!$H$177</f>
        <v>#N/A</v>
      </c>
      <c r="E238" s="162"/>
      <c r="F238" s="162"/>
      <c r="G238" s="162" t="e">
        <f ca="1">G218/'A2. INPUT Population &amp; Delivery'!$H$177</f>
        <v>#N/A</v>
      </c>
      <c r="H238" s="162" t="e">
        <f ca="1">H218/'A2. INPUT Population &amp; Delivery'!$H$177</f>
        <v>#N/A</v>
      </c>
      <c r="I238" s="162" t="e">
        <f ca="1">I218/'A2. INPUT Population &amp; Delivery'!$H$177</f>
        <v>#N/A</v>
      </c>
      <c r="J238" s="162" t="e">
        <f ca="1">J218/'A2. INPUT Population &amp; Delivery'!$H$177</f>
        <v>#N/A</v>
      </c>
      <c r="K238" s="162" t="e">
        <f ca="1">K218/'A2. INPUT Population &amp; Delivery'!$H$177</f>
        <v>#N/A</v>
      </c>
      <c r="L238" s="162" t="e">
        <f ca="1">L218/'A2. INPUT Population &amp; Delivery'!$H$177</f>
        <v>#N/A</v>
      </c>
      <c r="N238" s="403"/>
      <c r="O238" s="403"/>
      <c r="P238" s="403"/>
      <c r="Q238" s="403" t="s">
        <v>3067</v>
      </c>
      <c r="R238" s="403"/>
      <c r="S238" s="403"/>
      <c r="T238" s="403"/>
      <c r="U238" s="403"/>
      <c r="V238" s="403"/>
      <c r="W238" s="403"/>
      <c r="X238" s="403"/>
      <c r="Y238" s="403"/>
      <c r="Z238" s="403"/>
      <c r="AA238" s="403"/>
      <c r="AB238" s="403"/>
      <c r="AC238" s="564"/>
      <c r="AD238" s="403"/>
      <c r="AE238" s="403"/>
      <c r="AF238" s="403" t="s">
        <v>12765</v>
      </c>
      <c r="AG238" s="403"/>
      <c r="AH238" s="403"/>
      <c r="AI238" s="403"/>
      <c r="AJ238" s="403"/>
      <c r="AK238" s="403"/>
      <c r="AL238" s="403"/>
      <c r="AM238" s="403"/>
      <c r="AN238" s="403"/>
      <c r="AO238" s="403"/>
      <c r="AP238" s="403"/>
      <c r="AQ238" s="403"/>
      <c r="AR238" s="403"/>
      <c r="AS238" s="403"/>
      <c r="AT238" s="403"/>
      <c r="AU238" s="403" t="s">
        <v>12829</v>
      </c>
      <c r="AV238" s="403"/>
      <c r="AW238" s="403"/>
      <c r="AX238" s="403"/>
      <c r="AY238" s="403"/>
      <c r="AZ238" s="403"/>
      <c r="BA238" s="403"/>
      <c r="BB238" s="403"/>
      <c r="BC238" s="403"/>
      <c r="BD238" s="403"/>
      <c r="BE238" s="403"/>
      <c r="BF238" s="403"/>
      <c r="BG238" s="403"/>
      <c r="BH238" s="403"/>
      <c r="BI238" s="403"/>
      <c r="BJ238" s="403" t="s">
        <v>12769</v>
      </c>
      <c r="BK238" s="403"/>
      <c r="BL238" s="403"/>
      <c r="BM238" s="403"/>
      <c r="BN238" s="403"/>
      <c r="BO238" s="403"/>
      <c r="BP238" s="403"/>
      <c r="BQ238" s="403"/>
      <c r="BR238" s="403"/>
      <c r="BS238" s="403"/>
      <c r="BT238" s="403"/>
      <c r="BU238" s="403"/>
      <c r="BV238" s="403"/>
      <c r="BW238" s="403"/>
      <c r="BX238" s="403"/>
      <c r="BY238" s="403" t="s">
        <v>12830</v>
      </c>
      <c r="BZ238" s="403"/>
      <c r="CA238" s="403"/>
      <c r="CB238" s="403"/>
      <c r="CC238" s="403"/>
      <c r="CD238" s="403"/>
      <c r="CE238" s="403"/>
      <c r="CF238" s="403"/>
      <c r="CG238" s="403"/>
      <c r="CH238" s="403"/>
      <c r="CI238" s="403"/>
      <c r="CJ238" s="403"/>
      <c r="CK238" s="403"/>
      <c r="CL238" s="403"/>
      <c r="CM238" s="403"/>
      <c r="CN238" s="403" t="s">
        <v>12772</v>
      </c>
      <c r="CO238" s="403"/>
      <c r="CP238" s="403"/>
      <c r="CQ238" s="403"/>
      <c r="CR238" s="403"/>
      <c r="CS238" s="403"/>
      <c r="CT238" s="403"/>
      <c r="CU238" s="403"/>
      <c r="CV238" s="403"/>
      <c r="CW238" s="403"/>
      <c r="CX238" s="403"/>
      <c r="CY238" s="403"/>
      <c r="CZ238" s="403"/>
      <c r="DA238" s="403"/>
      <c r="DB238" s="403"/>
      <c r="DC238" s="403" t="s">
        <v>12774</v>
      </c>
      <c r="DD238" s="403"/>
      <c r="DE238" s="403"/>
      <c r="DF238" s="403"/>
      <c r="DG238" s="403"/>
      <c r="DH238" s="403"/>
      <c r="DI238" s="403"/>
      <c r="DJ238" s="403"/>
      <c r="DK238" s="403"/>
      <c r="DL238" s="403"/>
      <c r="DM238" s="403"/>
      <c r="DN238" s="403"/>
    </row>
    <row r="239" spans="3:118" s="241" customFormat="1" x14ac:dyDescent="0.2">
      <c r="C239" s="5" t="str">
        <f ca="1">IF(OFFSET(Q239,0,Lang_Order*Lang__R1)="","",OFFSET(Q239,0,Lang_Order*Lang__R1))</f>
        <v>Current Vaccinators (Full-Time Equivalents)</v>
      </c>
      <c r="D239" s="162" t="e">
        <f ca="1">D234/'A2. INPUT Population &amp; Delivery'!$H$177</f>
        <v>#N/A</v>
      </c>
      <c r="G239" s="162" t="e">
        <f ca="1">G234/'A2. INPUT Population &amp; Delivery'!$H$177</f>
        <v>#N/A</v>
      </c>
      <c r="H239" s="162" t="e">
        <f ca="1">H234/'A2. INPUT Population &amp; Delivery'!$H$177</f>
        <v>#N/A</v>
      </c>
      <c r="I239" s="162" t="e">
        <f ca="1">I234/'A2. INPUT Population &amp; Delivery'!$H$177</f>
        <v>#N/A</v>
      </c>
      <c r="J239" s="162" t="e">
        <f ca="1">J234/'A2. INPUT Population &amp; Delivery'!$H$177</f>
        <v>#N/A</v>
      </c>
      <c r="K239" s="162" t="e">
        <f ca="1">K234/'A2. INPUT Population &amp; Delivery'!$H$177</f>
        <v>#N/A</v>
      </c>
      <c r="L239" s="162" t="e">
        <f ca="1">L234/'A2. INPUT Population &amp; Delivery'!$H$177</f>
        <v>#N/A</v>
      </c>
      <c r="N239" s="403"/>
      <c r="O239" s="403"/>
      <c r="P239" s="403"/>
      <c r="Q239" s="403" t="s">
        <v>3066</v>
      </c>
      <c r="R239" s="403"/>
      <c r="S239" s="403"/>
      <c r="T239" s="403"/>
      <c r="U239" s="403"/>
      <c r="V239" s="403"/>
      <c r="W239" s="403"/>
      <c r="X239" s="403"/>
      <c r="Y239" s="403"/>
      <c r="Z239" s="403"/>
      <c r="AA239" s="403"/>
      <c r="AB239" s="403"/>
      <c r="AC239" s="564"/>
      <c r="AD239" s="403"/>
      <c r="AE239" s="403"/>
      <c r="AF239" s="403" t="s">
        <v>12722</v>
      </c>
      <c r="AG239" s="403"/>
      <c r="AH239" s="403"/>
      <c r="AI239" s="403"/>
      <c r="AJ239" s="403"/>
      <c r="AK239" s="403"/>
      <c r="AL239" s="403"/>
      <c r="AM239" s="403"/>
      <c r="AN239" s="403"/>
      <c r="AO239" s="403"/>
      <c r="AP239" s="403"/>
      <c r="AQ239" s="403"/>
      <c r="AR239" s="403"/>
      <c r="AS239" s="403"/>
      <c r="AT239" s="403"/>
      <c r="AU239" s="403" t="s">
        <v>12831</v>
      </c>
      <c r="AV239" s="403"/>
      <c r="AW239" s="403"/>
      <c r="AX239" s="403"/>
      <c r="AY239" s="403"/>
      <c r="AZ239" s="403"/>
      <c r="BA239" s="403"/>
      <c r="BB239" s="403"/>
      <c r="BC239" s="403"/>
      <c r="BD239" s="403"/>
      <c r="BE239" s="403"/>
      <c r="BF239" s="403"/>
      <c r="BG239" s="403"/>
      <c r="BH239" s="403"/>
      <c r="BI239" s="403"/>
      <c r="BJ239" s="403" t="s">
        <v>12811</v>
      </c>
      <c r="BK239" s="403"/>
      <c r="BL239" s="403"/>
      <c r="BM239" s="403"/>
      <c r="BN239" s="403"/>
      <c r="BO239" s="403"/>
      <c r="BP239" s="403"/>
      <c r="BQ239" s="403"/>
      <c r="BR239" s="403"/>
      <c r="BS239" s="403"/>
      <c r="BT239" s="403"/>
      <c r="BU239" s="403"/>
      <c r="BV239" s="403"/>
      <c r="BW239" s="403"/>
      <c r="BX239" s="403"/>
      <c r="BY239" s="403" t="s">
        <v>12812</v>
      </c>
      <c r="BZ239" s="403"/>
      <c r="CA239" s="403"/>
      <c r="CB239" s="403"/>
      <c r="CC239" s="403"/>
      <c r="CD239" s="403"/>
      <c r="CE239" s="403"/>
      <c r="CF239" s="403"/>
      <c r="CG239" s="403"/>
      <c r="CH239" s="403"/>
      <c r="CI239" s="403"/>
      <c r="CJ239" s="403"/>
      <c r="CK239" s="403"/>
      <c r="CL239" s="403"/>
      <c r="CM239" s="403"/>
      <c r="CN239" s="403" t="s">
        <v>12814</v>
      </c>
      <c r="CO239" s="403"/>
      <c r="CP239" s="403"/>
      <c r="CQ239" s="403"/>
      <c r="CR239" s="403"/>
      <c r="CS239" s="403"/>
      <c r="CT239" s="403"/>
      <c r="CU239" s="403"/>
      <c r="CV239" s="403"/>
      <c r="CW239" s="403"/>
      <c r="CX239" s="403"/>
      <c r="CY239" s="403"/>
      <c r="CZ239" s="403"/>
      <c r="DA239" s="403"/>
      <c r="DB239" s="403"/>
      <c r="DC239" s="403" t="s">
        <v>12815</v>
      </c>
      <c r="DD239" s="403"/>
      <c r="DE239" s="403"/>
      <c r="DF239" s="403"/>
      <c r="DG239" s="403"/>
      <c r="DH239" s="403"/>
      <c r="DI239" s="403"/>
      <c r="DJ239" s="403"/>
      <c r="DK239" s="403"/>
      <c r="DL239" s="403"/>
      <c r="DM239" s="403"/>
      <c r="DN239" s="403"/>
    </row>
    <row r="240" spans="3:118" s="241" customFormat="1" x14ac:dyDescent="0.2">
      <c r="C240" s="425" t="str">
        <f ca="1">CONCATENATE(C239," - ",C237)</f>
        <v>Current Vaccinators (Full-Time Equivalents) - IMPACT - as % of HRH Supply</v>
      </c>
      <c r="N240" s="403"/>
      <c r="O240" s="403"/>
      <c r="P240" s="403"/>
      <c r="Q240" s="403"/>
      <c r="R240" s="403"/>
      <c r="S240" s="403"/>
      <c r="T240" s="403"/>
      <c r="U240" s="403"/>
      <c r="V240" s="403"/>
      <c r="W240" s="403"/>
      <c r="X240" s="403"/>
      <c r="Y240" s="403"/>
      <c r="Z240" s="403"/>
      <c r="AA240" s="403"/>
      <c r="AB240" s="403"/>
      <c r="AC240" s="564"/>
      <c r="AD240" s="403"/>
      <c r="AE240" s="403"/>
      <c r="AF240" s="403"/>
      <c r="AG240" s="403"/>
      <c r="AH240" s="403"/>
      <c r="AI240" s="403"/>
      <c r="AJ240" s="403"/>
      <c r="AK240" s="403"/>
      <c r="AL240" s="403"/>
      <c r="AM240" s="403"/>
      <c r="AN240" s="403"/>
      <c r="AO240" s="403"/>
      <c r="AP240" s="403"/>
      <c r="AQ240" s="403"/>
      <c r="AR240" s="403"/>
      <c r="AS240" s="403"/>
      <c r="AT240" s="403"/>
      <c r="AU240" s="403"/>
      <c r="AV240" s="403"/>
      <c r="AW240" s="403"/>
      <c r="AX240" s="403"/>
      <c r="AY240" s="403"/>
      <c r="AZ240" s="403"/>
      <c r="BA240" s="403"/>
      <c r="BB240" s="403"/>
      <c r="BC240" s="403"/>
      <c r="BD240" s="403"/>
      <c r="BE240" s="403"/>
      <c r="BF240" s="403"/>
      <c r="BG240" s="403"/>
      <c r="BH240" s="403"/>
      <c r="BI240" s="403"/>
      <c r="BJ240" s="403"/>
      <c r="BK240" s="403"/>
      <c r="BL240" s="403"/>
      <c r="BM240" s="403"/>
      <c r="BN240" s="403"/>
      <c r="BO240" s="403"/>
      <c r="BP240" s="403"/>
      <c r="BQ240" s="403"/>
      <c r="BR240" s="403"/>
      <c r="BS240" s="403"/>
      <c r="BT240" s="403"/>
      <c r="BU240" s="403"/>
      <c r="BV240" s="403"/>
      <c r="BW240" s="403"/>
      <c r="BX240" s="403"/>
      <c r="BY240" s="403"/>
      <c r="BZ240" s="403"/>
      <c r="CA240" s="403"/>
      <c r="CB240" s="403"/>
      <c r="CC240" s="403"/>
      <c r="CD240" s="403"/>
      <c r="CE240" s="403"/>
      <c r="CF240" s="403"/>
      <c r="CG240" s="403"/>
      <c r="CH240" s="403"/>
      <c r="CI240" s="403"/>
      <c r="CJ240" s="403"/>
      <c r="CK240" s="403"/>
      <c r="CL240" s="403"/>
      <c r="CM240" s="403"/>
      <c r="CN240" s="403"/>
      <c r="CO240" s="403"/>
      <c r="CP240" s="403"/>
      <c r="CQ240" s="403"/>
      <c r="CR240" s="403"/>
      <c r="CS240" s="403"/>
      <c r="CT240" s="403"/>
      <c r="CU240" s="403"/>
      <c r="CV240" s="403"/>
      <c r="CW240" s="403"/>
      <c r="CX240" s="403"/>
      <c r="CY240" s="403"/>
      <c r="CZ240" s="403"/>
      <c r="DA240" s="403"/>
      <c r="DB240" s="403"/>
      <c r="DC240" s="403"/>
      <c r="DD240" s="403"/>
      <c r="DE240" s="403"/>
      <c r="DF240" s="403"/>
      <c r="DG240" s="403"/>
      <c r="DH240" s="403"/>
      <c r="DI240" s="403"/>
      <c r="DJ240" s="403"/>
      <c r="DK240" s="403"/>
      <c r="DL240" s="403"/>
      <c r="DM240" s="403"/>
      <c r="DN240" s="403"/>
    </row>
    <row r="241" spans="3:118" s="241" customFormat="1" ht="15" x14ac:dyDescent="0.25">
      <c r="C241" s="8" t="str">
        <f ca="1">IF(OFFSET(Q241,0,Lang_Order*Lang__R1)="","",OFFSET(Q241,0,Lang_Order*Lang__R1))</f>
        <v>R1.3.2.2 Impact - redeployment vs newly inducted vaccinators (based on FTEs)</v>
      </c>
      <c r="D241" s="8"/>
      <c r="E241" s="8"/>
      <c r="F241" s="8"/>
      <c r="G241" s="8"/>
      <c r="H241" s="8"/>
      <c r="I241" s="8"/>
      <c r="J241" s="8"/>
      <c r="K241" s="8"/>
      <c r="L241" s="8"/>
      <c r="N241" s="403"/>
      <c r="O241" s="403"/>
      <c r="P241" s="403"/>
      <c r="Q241" s="403" t="s">
        <v>14711</v>
      </c>
      <c r="R241" s="403"/>
      <c r="S241" s="403"/>
      <c r="T241" s="403"/>
      <c r="U241" s="403"/>
      <c r="V241" s="403"/>
      <c r="W241" s="403"/>
      <c r="X241" s="403"/>
      <c r="Y241" s="403"/>
      <c r="Z241" s="403"/>
      <c r="AA241" s="403"/>
      <c r="AB241" s="403"/>
      <c r="AC241" s="564"/>
      <c r="AD241" s="403"/>
      <c r="AE241" s="403"/>
      <c r="AF241" s="403" t="s">
        <v>14712</v>
      </c>
      <c r="AG241" s="403"/>
      <c r="AH241" s="403"/>
      <c r="AI241" s="403"/>
      <c r="AJ241" s="403"/>
      <c r="AK241" s="403"/>
      <c r="AL241" s="403"/>
      <c r="AM241" s="403"/>
      <c r="AN241" s="403"/>
      <c r="AO241" s="403"/>
      <c r="AP241" s="403"/>
      <c r="AQ241" s="403"/>
      <c r="AR241" s="403"/>
      <c r="AS241" s="403"/>
      <c r="AT241" s="403"/>
      <c r="AU241" s="403" t="s">
        <v>14713</v>
      </c>
      <c r="AV241" s="403"/>
      <c r="AW241" s="403"/>
      <c r="AX241" s="403"/>
      <c r="AY241" s="403"/>
      <c r="AZ241" s="403"/>
      <c r="BA241" s="403"/>
      <c r="BB241" s="403"/>
      <c r="BC241" s="403"/>
      <c r="BD241" s="403"/>
      <c r="BE241" s="403"/>
      <c r="BF241" s="403"/>
      <c r="BG241" s="403"/>
      <c r="BH241" s="403"/>
      <c r="BI241" s="403"/>
      <c r="BJ241" s="403" t="s">
        <v>14714</v>
      </c>
      <c r="BK241" s="403"/>
      <c r="BL241" s="403"/>
      <c r="BM241" s="403"/>
      <c r="BN241" s="403"/>
      <c r="BO241" s="403"/>
      <c r="BP241" s="403"/>
      <c r="BQ241" s="403"/>
      <c r="BR241" s="403"/>
      <c r="BS241" s="403"/>
      <c r="BT241" s="403"/>
      <c r="BU241" s="403"/>
      <c r="BV241" s="403"/>
      <c r="BW241" s="403"/>
      <c r="BX241" s="403"/>
      <c r="BY241" s="403" t="s">
        <v>14715</v>
      </c>
      <c r="BZ241" s="403"/>
      <c r="CA241" s="403"/>
      <c r="CB241" s="403"/>
      <c r="CC241" s="403"/>
      <c r="CD241" s="403"/>
      <c r="CE241" s="403"/>
      <c r="CF241" s="403"/>
      <c r="CG241" s="403"/>
      <c r="CH241" s="403"/>
      <c r="CI241" s="403"/>
      <c r="CJ241" s="403"/>
      <c r="CK241" s="403"/>
      <c r="CL241" s="403"/>
      <c r="CM241" s="403"/>
      <c r="CN241" s="403" t="s">
        <v>12832</v>
      </c>
      <c r="CO241" s="403"/>
      <c r="CP241" s="403"/>
      <c r="CQ241" s="403"/>
      <c r="CR241" s="403"/>
      <c r="CS241" s="403"/>
      <c r="CT241" s="403"/>
      <c r="CU241" s="403"/>
      <c r="CV241" s="403"/>
      <c r="CW241" s="403"/>
      <c r="CX241" s="403"/>
      <c r="CY241" s="403"/>
      <c r="CZ241" s="403"/>
      <c r="DA241" s="403"/>
      <c r="DB241" s="403"/>
      <c r="DC241" s="403" t="s">
        <v>14717</v>
      </c>
      <c r="DD241" s="403"/>
      <c r="DE241" s="403"/>
      <c r="DF241" s="403"/>
      <c r="DG241" s="403"/>
      <c r="DH241" s="403"/>
      <c r="DI241" s="403"/>
      <c r="DJ241" s="403"/>
      <c r="DK241" s="403"/>
      <c r="DL241" s="403"/>
      <c r="DM241" s="403"/>
      <c r="DN241" s="403"/>
    </row>
    <row r="242" spans="3:118" s="241" customFormat="1" ht="15" x14ac:dyDescent="0.25">
      <c r="C242" s="55" t="str">
        <f ca="1">IF(OFFSET(Q242,0,Lang_Order*Lang__R1)="","",OFFSET(Q242,0,Lang_Order*Lang__R1))</f>
        <v>IMPACT - Redeployment (FTEs)</v>
      </c>
      <c r="D242" s="30"/>
      <c r="E242" s="30"/>
      <c r="F242" s="30"/>
      <c r="N242" s="403"/>
      <c r="O242" s="403"/>
      <c r="P242" s="403"/>
      <c r="Q242" s="403" t="s">
        <v>3069</v>
      </c>
      <c r="R242" s="403"/>
      <c r="S242" s="403"/>
      <c r="T242" s="403"/>
      <c r="U242" s="403"/>
      <c r="V242" s="403"/>
      <c r="W242" s="403"/>
      <c r="X242" s="403"/>
      <c r="Y242" s="403"/>
      <c r="Z242" s="403"/>
      <c r="AA242" s="403"/>
      <c r="AB242" s="403"/>
      <c r="AC242" s="564"/>
      <c r="AD242" s="403"/>
      <c r="AE242" s="403"/>
      <c r="AF242" s="403" t="s">
        <v>12833</v>
      </c>
      <c r="AG242" s="403"/>
      <c r="AH242" s="403"/>
      <c r="AI242" s="403"/>
      <c r="AJ242" s="403"/>
      <c r="AK242" s="403"/>
      <c r="AL242" s="403"/>
      <c r="AM242" s="403"/>
      <c r="AN242" s="403"/>
      <c r="AO242" s="403"/>
      <c r="AP242" s="403"/>
      <c r="AQ242" s="403"/>
      <c r="AR242" s="403"/>
      <c r="AS242" s="403"/>
      <c r="AT242" s="403"/>
      <c r="AU242" s="403" t="s">
        <v>12834</v>
      </c>
      <c r="AV242" s="403"/>
      <c r="AW242" s="403"/>
      <c r="AX242" s="403"/>
      <c r="AY242" s="403"/>
      <c r="AZ242" s="403"/>
      <c r="BA242" s="403"/>
      <c r="BB242" s="403"/>
      <c r="BC242" s="403"/>
      <c r="BD242" s="403"/>
      <c r="BE242" s="403"/>
      <c r="BF242" s="403"/>
      <c r="BG242" s="403"/>
      <c r="BH242" s="403"/>
      <c r="BI242" s="403"/>
      <c r="BJ242" s="403" t="s">
        <v>12835</v>
      </c>
      <c r="BK242" s="403"/>
      <c r="BL242" s="403"/>
      <c r="BM242" s="403"/>
      <c r="BN242" s="403"/>
      <c r="BO242" s="403"/>
      <c r="BP242" s="403"/>
      <c r="BQ242" s="403"/>
      <c r="BR242" s="403"/>
      <c r="BS242" s="403"/>
      <c r="BT242" s="403"/>
      <c r="BU242" s="403"/>
      <c r="BV242" s="403"/>
      <c r="BW242" s="403"/>
      <c r="BX242" s="403"/>
      <c r="BY242" s="403" t="s">
        <v>12836</v>
      </c>
      <c r="BZ242" s="403"/>
      <c r="CA242" s="403"/>
      <c r="CB242" s="403"/>
      <c r="CC242" s="403"/>
      <c r="CD242" s="403"/>
      <c r="CE242" s="403"/>
      <c r="CF242" s="403"/>
      <c r="CG242" s="403"/>
      <c r="CH242" s="403"/>
      <c r="CI242" s="403"/>
      <c r="CJ242" s="403"/>
      <c r="CK242" s="403"/>
      <c r="CL242" s="403"/>
      <c r="CM242" s="403"/>
      <c r="CN242" s="403" t="s">
        <v>12837</v>
      </c>
      <c r="CO242" s="403"/>
      <c r="CP242" s="403"/>
      <c r="CQ242" s="403"/>
      <c r="CR242" s="403"/>
      <c r="CS242" s="403"/>
      <c r="CT242" s="403"/>
      <c r="CU242" s="403"/>
      <c r="CV242" s="403"/>
      <c r="CW242" s="403"/>
      <c r="CX242" s="403"/>
      <c r="CY242" s="403"/>
      <c r="CZ242" s="403"/>
      <c r="DA242" s="403"/>
      <c r="DB242" s="403"/>
      <c r="DC242" s="403" t="s">
        <v>12838</v>
      </c>
      <c r="DD242" s="403"/>
      <c r="DE242" s="403"/>
      <c r="DF242" s="403"/>
      <c r="DG242" s="403"/>
      <c r="DH242" s="403"/>
      <c r="DI242" s="403"/>
      <c r="DJ242" s="403"/>
      <c r="DK242" s="403"/>
      <c r="DL242" s="403"/>
      <c r="DM242" s="403"/>
      <c r="DN242" s="403"/>
    </row>
    <row r="243" spans="3:118" s="241" customFormat="1" x14ac:dyDescent="0.2">
      <c r="C243" s="5" t="str">
        <f ca="1">IF(OFFSET(Q243,0,Lang_Order*Lang__R1)="","",OFFSET(Q243,0,Lang_Order*Lang__R1))</f>
        <v>HRH Maximum deployment</v>
      </c>
      <c r="D243" s="257">
        <f>HRH_Redeployable_Percent</f>
        <v>0</v>
      </c>
      <c r="N243" s="403"/>
      <c r="O243" s="403"/>
      <c r="P243" s="403"/>
      <c r="Q243" s="403" t="s">
        <v>3039</v>
      </c>
      <c r="R243" s="403"/>
      <c r="S243" s="403"/>
      <c r="T243" s="403"/>
      <c r="U243" s="403"/>
      <c r="V243" s="403"/>
      <c r="W243" s="403"/>
      <c r="X243" s="403"/>
      <c r="Y243" s="403"/>
      <c r="Z243" s="403"/>
      <c r="AA243" s="403"/>
      <c r="AB243" s="403"/>
      <c r="AC243" s="564"/>
      <c r="AD243" s="403"/>
      <c r="AE243" s="403"/>
      <c r="AF243" s="403" t="s">
        <v>12839</v>
      </c>
      <c r="AG243" s="403"/>
      <c r="AH243" s="403"/>
      <c r="AI243" s="403"/>
      <c r="AJ243" s="403"/>
      <c r="AK243" s="403"/>
      <c r="AL243" s="403"/>
      <c r="AM243" s="403"/>
      <c r="AN243" s="403"/>
      <c r="AO243" s="403"/>
      <c r="AP243" s="403"/>
      <c r="AQ243" s="403"/>
      <c r="AR243" s="403"/>
      <c r="AS243" s="403"/>
      <c r="AT243" s="403"/>
      <c r="AU243" s="403" t="s">
        <v>12840</v>
      </c>
      <c r="AV243" s="403"/>
      <c r="AW243" s="403"/>
      <c r="AX243" s="403"/>
      <c r="AY243" s="403"/>
      <c r="AZ243" s="403"/>
      <c r="BA243" s="403"/>
      <c r="BB243" s="403"/>
      <c r="BC243" s="403"/>
      <c r="BD243" s="403"/>
      <c r="BE243" s="403"/>
      <c r="BF243" s="403"/>
      <c r="BG243" s="403"/>
      <c r="BH243" s="403"/>
      <c r="BI243" s="403"/>
      <c r="BJ243" s="403" t="s">
        <v>12841</v>
      </c>
      <c r="BK243" s="403"/>
      <c r="BL243" s="403"/>
      <c r="BM243" s="403"/>
      <c r="BN243" s="403"/>
      <c r="BO243" s="403"/>
      <c r="BP243" s="403"/>
      <c r="BQ243" s="403"/>
      <c r="BR243" s="403"/>
      <c r="BS243" s="403"/>
      <c r="BT243" s="403"/>
      <c r="BU243" s="403"/>
      <c r="BV243" s="403"/>
      <c r="BW243" s="403"/>
      <c r="BX243" s="403"/>
      <c r="BY243" s="403" t="s">
        <v>12842</v>
      </c>
      <c r="BZ243" s="403"/>
      <c r="CA243" s="403"/>
      <c r="CB243" s="403"/>
      <c r="CC243" s="403"/>
      <c r="CD243" s="403"/>
      <c r="CE243" s="403"/>
      <c r="CF243" s="403"/>
      <c r="CG243" s="403"/>
      <c r="CH243" s="403"/>
      <c r="CI243" s="403"/>
      <c r="CJ243" s="403"/>
      <c r="CK243" s="403"/>
      <c r="CL243" s="403"/>
      <c r="CM243" s="403"/>
      <c r="CN243" s="403" t="s">
        <v>12843</v>
      </c>
      <c r="CO243" s="403"/>
      <c r="CP243" s="403"/>
      <c r="CQ243" s="403"/>
      <c r="CR243" s="403"/>
      <c r="CS243" s="403"/>
      <c r="CT243" s="403"/>
      <c r="CU243" s="403"/>
      <c r="CV243" s="403"/>
      <c r="CW243" s="403"/>
      <c r="CX243" s="403"/>
      <c r="CY243" s="403"/>
      <c r="CZ243" s="403"/>
      <c r="DA243" s="403"/>
      <c r="DB243" s="403"/>
      <c r="DC243" s="403" t="s">
        <v>12844</v>
      </c>
      <c r="DD243" s="403"/>
      <c r="DE243" s="403"/>
      <c r="DF243" s="403"/>
      <c r="DG243" s="403"/>
      <c r="DH243" s="403"/>
      <c r="DI243" s="403"/>
      <c r="DJ243" s="403"/>
      <c r="DK243" s="403"/>
      <c r="DL243" s="403"/>
      <c r="DM243" s="403"/>
      <c r="DN243" s="403"/>
    </row>
    <row r="244" spans="3:118" s="241" customFormat="1" x14ac:dyDescent="0.2">
      <c r="C244" s="5" t="str">
        <f ca="1">IF(OFFSET(Q244,0,Lang_Order*Lang__R1)="","",OFFSET(Q244,0,Lang_Order*Lang__R1))</f>
        <v>Redeployable Vaccinators</v>
      </c>
      <c r="D244" s="208">
        <f>ROUND(D243*HRH_Total_Supply,0)</f>
        <v>0</v>
      </c>
      <c r="N244" s="403"/>
      <c r="O244" s="403"/>
      <c r="P244" s="403"/>
      <c r="Q244" s="403" t="s">
        <v>3170</v>
      </c>
      <c r="R244" s="403"/>
      <c r="S244" s="403"/>
      <c r="T244" s="403"/>
      <c r="U244" s="403"/>
      <c r="V244" s="403"/>
      <c r="W244" s="403"/>
      <c r="X244" s="403"/>
      <c r="Y244" s="403"/>
      <c r="Z244" s="403"/>
      <c r="AA244" s="403"/>
      <c r="AB244" s="403"/>
      <c r="AC244" s="564"/>
      <c r="AD244" s="403"/>
      <c r="AE244" s="403"/>
      <c r="AF244" s="403" t="s">
        <v>12845</v>
      </c>
      <c r="AG244" s="403"/>
      <c r="AH244" s="403"/>
      <c r="AI244" s="403"/>
      <c r="AJ244" s="403"/>
      <c r="AK244" s="403"/>
      <c r="AL244" s="403"/>
      <c r="AM244" s="403"/>
      <c r="AN244" s="403"/>
      <c r="AO244" s="403"/>
      <c r="AP244" s="403"/>
      <c r="AQ244" s="403"/>
      <c r="AR244" s="403"/>
      <c r="AS244" s="403"/>
      <c r="AT244" s="403"/>
      <c r="AU244" s="403" t="s">
        <v>12846</v>
      </c>
      <c r="AV244" s="403"/>
      <c r="AW244" s="403"/>
      <c r="AX244" s="403"/>
      <c r="AY244" s="403"/>
      <c r="AZ244" s="403"/>
      <c r="BA244" s="403"/>
      <c r="BB244" s="403"/>
      <c r="BC244" s="403"/>
      <c r="BD244" s="403"/>
      <c r="BE244" s="403"/>
      <c r="BF244" s="403"/>
      <c r="BG244" s="403"/>
      <c r="BH244" s="403"/>
      <c r="BI244" s="403"/>
      <c r="BJ244" s="403" t="s">
        <v>12847</v>
      </c>
      <c r="BK244" s="403"/>
      <c r="BL244" s="403"/>
      <c r="BM244" s="403"/>
      <c r="BN244" s="403"/>
      <c r="BO244" s="403"/>
      <c r="BP244" s="403"/>
      <c r="BQ244" s="403"/>
      <c r="BR244" s="403"/>
      <c r="BS244" s="403"/>
      <c r="BT244" s="403"/>
      <c r="BU244" s="403"/>
      <c r="BV244" s="403"/>
      <c r="BW244" s="403"/>
      <c r="BX244" s="403"/>
      <c r="BY244" s="403" t="s">
        <v>12848</v>
      </c>
      <c r="BZ244" s="403"/>
      <c r="CA244" s="403"/>
      <c r="CB244" s="403"/>
      <c r="CC244" s="403"/>
      <c r="CD244" s="403"/>
      <c r="CE244" s="403"/>
      <c r="CF244" s="403"/>
      <c r="CG244" s="403"/>
      <c r="CH244" s="403"/>
      <c r="CI244" s="403"/>
      <c r="CJ244" s="403"/>
      <c r="CK244" s="403"/>
      <c r="CL244" s="403"/>
      <c r="CM244" s="403"/>
      <c r="CN244" s="403" t="s">
        <v>12849</v>
      </c>
      <c r="CO244" s="403"/>
      <c r="CP244" s="403"/>
      <c r="CQ244" s="403"/>
      <c r="CR244" s="403"/>
      <c r="CS244" s="403"/>
      <c r="CT244" s="403"/>
      <c r="CU244" s="403"/>
      <c r="CV244" s="403"/>
      <c r="CW244" s="403"/>
      <c r="CX244" s="403"/>
      <c r="CY244" s="403"/>
      <c r="CZ244" s="403"/>
      <c r="DA244" s="403"/>
      <c r="DB244" s="403"/>
      <c r="DC244" s="403" t="s">
        <v>12850</v>
      </c>
      <c r="DD244" s="403"/>
      <c r="DE244" s="403"/>
      <c r="DF244" s="403"/>
      <c r="DG244" s="403"/>
      <c r="DH244" s="403"/>
      <c r="DI244" s="403"/>
      <c r="DJ244" s="403"/>
      <c r="DK244" s="403"/>
      <c r="DL244" s="403"/>
      <c r="DM244" s="403"/>
      <c r="DN244" s="403"/>
    </row>
    <row r="245" spans="3:118" s="241" customFormat="1" ht="15" x14ac:dyDescent="0.25">
      <c r="G245" s="267" t="str">
        <f t="shared" ref="G245:L245" ca="1" si="76">IF(OFFSET(U245,0,Lang_Order*Lang__R1)="","",OFFSET(U245,0,Lang_Order*Lang__R1))</f>
        <v>H1 2021</v>
      </c>
      <c r="H245" s="267" t="str">
        <f t="shared" ca="1" si="76"/>
        <v>H2 2021</v>
      </c>
      <c r="I245" s="267" t="str">
        <f t="shared" ca="1" si="76"/>
        <v>H1 2022</v>
      </c>
      <c r="J245" s="267" t="str">
        <f t="shared" ca="1" si="76"/>
        <v>H2 2022</v>
      </c>
      <c r="K245" s="267" t="str">
        <f t="shared" ca="1" si="76"/>
        <v>H1 2023</v>
      </c>
      <c r="L245" s="267" t="str">
        <f t="shared" ca="1" si="76"/>
        <v>H2 2023</v>
      </c>
      <c r="N245" s="403"/>
      <c r="O245" s="403"/>
      <c r="P245" s="403"/>
      <c r="Q245" s="403"/>
      <c r="R245" s="403"/>
      <c r="S245" s="403"/>
      <c r="T245" s="403"/>
      <c r="U245" s="403" t="s">
        <v>1597</v>
      </c>
      <c r="V245" s="403" t="s">
        <v>1598</v>
      </c>
      <c r="W245" s="403" t="s">
        <v>1599</v>
      </c>
      <c r="X245" s="403" t="s">
        <v>1600</v>
      </c>
      <c r="Y245" s="403" t="s">
        <v>1602</v>
      </c>
      <c r="Z245" s="403" t="s">
        <v>1601</v>
      </c>
      <c r="AA245" s="403"/>
      <c r="AB245" s="403"/>
      <c r="AC245" s="564"/>
      <c r="AD245" s="403"/>
      <c r="AE245" s="403"/>
      <c r="AF245" s="403"/>
      <c r="AG245" s="403"/>
      <c r="AH245" s="403"/>
      <c r="AI245" s="403"/>
      <c r="AJ245" s="403" t="s">
        <v>4663</v>
      </c>
      <c r="AK245" s="403" t="s">
        <v>4664</v>
      </c>
      <c r="AL245" s="403" t="s">
        <v>4665</v>
      </c>
      <c r="AM245" s="403" t="s">
        <v>4666</v>
      </c>
      <c r="AN245" s="403" t="s">
        <v>4667</v>
      </c>
      <c r="AO245" s="403" t="s">
        <v>4668</v>
      </c>
      <c r="AP245" s="403"/>
      <c r="AQ245" s="403"/>
      <c r="AR245" s="403"/>
      <c r="AS245" s="403"/>
      <c r="AT245" s="403"/>
      <c r="AU245" s="403"/>
      <c r="AV245" s="403"/>
      <c r="AW245" s="403"/>
      <c r="AX245" s="403"/>
      <c r="AY245" s="403" t="s">
        <v>4670</v>
      </c>
      <c r="AZ245" s="403" t="s">
        <v>4671</v>
      </c>
      <c r="BA245" s="403" t="s">
        <v>4672</v>
      </c>
      <c r="BB245" s="403" t="s">
        <v>4673</v>
      </c>
      <c r="BC245" s="403" t="s">
        <v>4674</v>
      </c>
      <c r="BD245" s="403" t="s">
        <v>4675</v>
      </c>
      <c r="BE245" s="403"/>
      <c r="BF245" s="403"/>
      <c r="BG245" s="403"/>
      <c r="BH245" s="403"/>
      <c r="BI245" s="403"/>
      <c r="BJ245" s="403"/>
      <c r="BK245" s="403"/>
      <c r="BL245" s="403"/>
      <c r="BM245" s="403"/>
      <c r="BN245" s="403" t="s">
        <v>1597</v>
      </c>
      <c r="BO245" s="403" t="s">
        <v>1598</v>
      </c>
      <c r="BP245" s="403" t="s">
        <v>1599</v>
      </c>
      <c r="BQ245" s="403" t="s">
        <v>1600</v>
      </c>
      <c r="BR245" s="403" t="s">
        <v>1602</v>
      </c>
      <c r="BS245" s="403" t="s">
        <v>1601</v>
      </c>
      <c r="BT245" s="403"/>
      <c r="BU245" s="403"/>
      <c r="BV245" s="403"/>
      <c r="BW245" s="403"/>
      <c r="BX245" s="403"/>
      <c r="BY245" s="403"/>
      <c r="BZ245" s="403"/>
      <c r="CA245" s="403"/>
      <c r="CB245" s="403"/>
      <c r="CC245" s="403" t="s">
        <v>4663</v>
      </c>
      <c r="CD245" s="403" t="s">
        <v>4664</v>
      </c>
      <c r="CE245" s="403" t="s">
        <v>4665</v>
      </c>
      <c r="CF245" s="403" t="s">
        <v>4666</v>
      </c>
      <c r="CG245" s="403" t="s">
        <v>4667</v>
      </c>
      <c r="CH245" s="403" t="s">
        <v>4668</v>
      </c>
      <c r="CI245" s="403"/>
      <c r="CJ245" s="403"/>
      <c r="CK245" s="403"/>
      <c r="CL245" s="403"/>
      <c r="CM245" s="403"/>
      <c r="CN245" s="403"/>
      <c r="CO245" s="403"/>
      <c r="CP245" s="403"/>
      <c r="CQ245" s="403"/>
      <c r="CR245" s="403" t="s">
        <v>4680</v>
      </c>
      <c r="CS245" s="403" t="s">
        <v>4681</v>
      </c>
      <c r="CT245" s="403" t="s">
        <v>4682</v>
      </c>
      <c r="CU245" s="403" t="s">
        <v>4683</v>
      </c>
      <c r="CV245" s="403" t="s">
        <v>4684</v>
      </c>
      <c r="CW245" s="403" t="s">
        <v>4685</v>
      </c>
      <c r="CX245" s="403"/>
      <c r="CY245" s="403"/>
      <c r="CZ245" s="403"/>
      <c r="DA245" s="403"/>
      <c r="DB245" s="403"/>
      <c r="DC245" s="403"/>
      <c r="DD245" s="403"/>
      <c r="DE245" s="403"/>
      <c r="DF245" s="403"/>
      <c r="DG245" s="403" t="s">
        <v>4688</v>
      </c>
      <c r="DH245" s="403" t="s">
        <v>4689</v>
      </c>
      <c r="DI245" s="403" t="s">
        <v>4690</v>
      </c>
      <c r="DJ245" s="403" t="s">
        <v>4691</v>
      </c>
      <c r="DK245" s="403" t="s">
        <v>4692</v>
      </c>
      <c r="DL245" s="403" t="s">
        <v>4693</v>
      </c>
      <c r="DM245" s="403"/>
      <c r="DN245" s="403"/>
    </row>
    <row r="246" spans="3:118" s="241" customFormat="1" x14ac:dyDescent="0.2">
      <c r="C246" s="5" t="str">
        <f ca="1">IF(OFFSET(Q246,0,Lang_Order*Lang__R1)="","",OFFSET(Q246,0,Lang_Order*Lang__R1))</f>
        <v>Redeployed Vaccinators (by FTEs)</v>
      </c>
      <c r="D246" s="26" t="e">
        <f ca="1">MAX(G246:L246)</f>
        <v>#N/A</v>
      </c>
      <c r="G246" s="26" t="e">
        <f ca="1">MIN($D$244,G234)</f>
        <v>#N/A</v>
      </c>
      <c r="H246" s="26" t="e">
        <f t="shared" ref="H246:L246" ca="1" si="77">MIN($D$244,H234)</f>
        <v>#N/A</v>
      </c>
      <c r="I246" s="26" t="e">
        <f t="shared" ca="1" si="77"/>
        <v>#N/A</v>
      </c>
      <c r="J246" s="26" t="e">
        <f t="shared" ca="1" si="77"/>
        <v>#N/A</v>
      </c>
      <c r="K246" s="26" t="e">
        <f t="shared" ca="1" si="77"/>
        <v>#N/A</v>
      </c>
      <c r="L246" s="26" t="e">
        <f t="shared" ca="1" si="77"/>
        <v>#N/A</v>
      </c>
      <c r="N246" s="403"/>
      <c r="O246" s="403"/>
      <c r="P246" s="403"/>
      <c r="Q246" s="403" t="s">
        <v>3918</v>
      </c>
      <c r="R246" s="403"/>
      <c r="S246" s="403"/>
      <c r="T246" s="403"/>
      <c r="U246" s="403"/>
      <c r="V246" s="403"/>
      <c r="W246" s="403"/>
      <c r="X246" s="403"/>
      <c r="Y246" s="403"/>
      <c r="Z246" s="403"/>
      <c r="AA246" s="403"/>
      <c r="AB246" s="403"/>
      <c r="AC246" s="564"/>
      <c r="AD246" s="403"/>
      <c r="AE246" s="403"/>
      <c r="AF246" s="403" t="s">
        <v>12851</v>
      </c>
      <c r="AG246" s="403"/>
      <c r="AH246" s="403"/>
      <c r="AI246" s="403"/>
      <c r="AJ246" s="403"/>
      <c r="AK246" s="403"/>
      <c r="AL246" s="403"/>
      <c r="AM246" s="403"/>
      <c r="AN246" s="403"/>
      <c r="AO246" s="403"/>
      <c r="AP246" s="403"/>
      <c r="AQ246" s="403"/>
      <c r="AR246" s="403"/>
      <c r="AS246" s="403"/>
      <c r="AT246" s="403"/>
      <c r="AU246" s="403" t="s">
        <v>12852</v>
      </c>
      <c r="AV246" s="403"/>
      <c r="AW246" s="403"/>
      <c r="AX246" s="403"/>
      <c r="AY246" s="403"/>
      <c r="AZ246" s="403"/>
      <c r="BA246" s="403"/>
      <c r="BB246" s="403"/>
      <c r="BC246" s="403"/>
      <c r="BD246" s="403"/>
      <c r="BE246" s="403"/>
      <c r="BF246" s="403"/>
      <c r="BG246" s="403"/>
      <c r="BH246" s="403"/>
      <c r="BI246" s="403"/>
      <c r="BJ246" s="403" t="s">
        <v>12853</v>
      </c>
      <c r="BK246" s="403"/>
      <c r="BL246" s="403"/>
      <c r="BM246" s="403"/>
      <c r="BN246" s="403"/>
      <c r="BO246" s="403"/>
      <c r="BP246" s="403"/>
      <c r="BQ246" s="403"/>
      <c r="BR246" s="403"/>
      <c r="BS246" s="403"/>
      <c r="BT246" s="403"/>
      <c r="BU246" s="403"/>
      <c r="BV246" s="403"/>
      <c r="BW246" s="403"/>
      <c r="BX246" s="403"/>
      <c r="BY246" s="403" t="s">
        <v>12854</v>
      </c>
      <c r="BZ246" s="403"/>
      <c r="CA246" s="403"/>
      <c r="CB246" s="403"/>
      <c r="CC246" s="403"/>
      <c r="CD246" s="403"/>
      <c r="CE246" s="403"/>
      <c r="CF246" s="403"/>
      <c r="CG246" s="403"/>
      <c r="CH246" s="403"/>
      <c r="CI246" s="403"/>
      <c r="CJ246" s="403"/>
      <c r="CK246" s="403"/>
      <c r="CL246" s="403"/>
      <c r="CM246" s="403"/>
      <c r="CN246" s="403" t="s">
        <v>12855</v>
      </c>
      <c r="CO246" s="403"/>
      <c r="CP246" s="403"/>
      <c r="CQ246" s="403"/>
      <c r="CR246" s="403"/>
      <c r="CS246" s="403"/>
      <c r="CT246" s="403"/>
      <c r="CU246" s="403"/>
      <c r="CV246" s="403"/>
      <c r="CW246" s="403"/>
      <c r="CX246" s="403"/>
      <c r="CY246" s="403"/>
      <c r="CZ246" s="403"/>
      <c r="DA246" s="403"/>
      <c r="DB246" s="403"/>
      <c r="DC246" s="403" t="s">
        <v>12856</v>
      </c>
      <c r="DD246" s="403"/>
      <c r="DE246" s="403"/>
      <c r="DF246" s="403"/>
      <c r="DG246" s="403"/>
      <c r="DH246" s="403"/>
      <c r="DI246" s="403"/>
      <c r="DJ246" s="403"/>
      <c r="DK246" s="403"/>
      <c r="DL246" s="403"/>
      <c r="DM246" s="403"/>
      <c r="DN246" s="403"/>
    </row>
    <row r="247" spans="3:118" s="241" customFormat="1" x14ac:dyDescent="0.2">
      <c r="C247" s="5" t="str">
        <f ca="1">IF(OFFSET(Q247,0,Lang_Order*Lang__R1)="","",OFFSET(Q247,0,Lang_Order*Lang__R1))</f>
        <v>Non-Redeployed Vaccinators (by FTEs)</v>
      </c>
      <c r="D247" s="241" t="e">
        <f ca="1">MAX(G247:L247)</f>
        <v>#N/A</v>
      </c>
      <c r="G247" s="241" t="e">
        <f ca="1">IF(G234&gt;G246,G234-G246,0)</f>
        <v>#N/A</v>
      </c>
      <c r="H247" s="281" t="e">
        <f t="shared" ref="H247:L247" ca="1" si="78">IF(H234&gt;H246,H234-H246,0)</f>
        <v>#N/A</v>
      </c>
      <c r="I247" s="281" t="e">
        <f t="shared" ca="1" si="78"/>
        <v>#N/A</v>
      </c>
      <c r="J247" s="281" t="e">
        <f t="shared" ca="1" si="78"/>
        <v>#N/A</v>
      </c>
      <c r="K247" s="281" t="e">
        <f t="shared" ca="1" si="78"/>
        <v>#N/A</v>
      </c>
      <c r="L247" s="281" t="e">
        <f t="shared" ca="1" si="78"/>
        <v>#N/A</v>
      </c>
      <c r="M247" s="12" t="str">
        <f ca="1">IF(OFFSET(AA247,0,Lang_Order*Lang__R1)="","",OFFSET(AA247,0,Lang_Order*Lang__R1))</f>
        <v>i.e., newly inducted vaccinator workforce, in order to preserve existing services</v>
      </c>
      <c r="N247" s="403"/>
      <c r="O247" s="403"/>
      <c r="P247" s="403"/>
      <c r="Q247" s="403" t="s">
        <v>3919</v>
      </c>
      <c r="R247" s="403"/>
      <c r="S247" s="403"/>
      <c r="T247" s="403"/>
      <c r="U247" s="403"/>
      <c r="V247" s="403"/>
      <c r="W247" s="403"/>
      <c r="X247" s="403"/>
      <c r="Y247" s="403"/>
      <c r="Z247" s="403"/>
      <c r="AA247" s="403" t="s">
        <v>3040</v>
      </c>
      <c r="AB247" s="403"/>
      <c r="AC247" s="564"/>
      <c r="AD247" s="403"/>
      <c r="AE247" s="403"/>
      <c r="AF247" s="403" t="s">
        <v>12857</v>
      </c>
      <c r="AG247" s="403"/>
      <c r="AH247" s="403"/>
      <c r="AI247" s="403"/>
      <c r="AJ247" s="403"/>
      <c r="AK247" s="403"/>
      <c r="AL247" s="403"/>
      <c r="AM247" s="403"/>
      <c r="AN247" s="403"/>
      <c r="AO247" s="403"/>
      <c r="AP247" s="403" t="s">
        <v>12858</v>
      </c>
      <c r="AQ247" s="403"/>
      <c r="AR247" s="403"/>
      <c r="AS247" s="403"/>
      <c r="AT247" s="403"/>
      <c r="AU247" s="403" t="s">
        <v>12859</v>
      </c>
      <c r="AV247" s="403"/>
      <c r="AW247" s="403"/>
      <c r="AX247" s="403"/>
      <c r="AY247" s="403"/>
      <c r="AZ247" s="403"/>
      <c r="BA247" s="403"/>
      <c r="BB247" s="403"/>
      <c r="BC247" s="403"/>
      <c r="BD247" s="403"/>
      <c r="BE247" s="403" t="s">
        <v>12860</v>
      </c>
      <c r="BF247" s="403"/>
      <c r="BG247" s="403"/>
      <c r="BH247" s="403"/>
      <c r="BI247" s="403"/>
      <c r="BJ247" s="403" t="s">
        <v>12861</v>
      </c>
      <c r="BK247" s="403"/>
      <c r="BL247" s="403"/>
      <c r="BM247" s="403"/>
      <c r="BN247" s="403"/>
      <c r="BO247" s="403"/>
      <c r="BP247" s="403"/>
      <c r="BQ247" s="403"/>
      <c r="BR247" s="403"/>
      <c r="BS247" s="403"/>
      <c r="BT247" s="403" t="s">
        <v>12862</v>
      </c>
      <c r="BU247" s="403"/>
      <c r="BV247" s="403"/>
      <c r="BW247" s="403"/>
      <c r="BX247" s="403"/>
      <c r="BY247" s="403" t="s">
        <v>12863</v>
      </c>
      <c r="BZ247" s="403"/>
      <c r="CA247" s="403"/>
      <c r="CB247" s="403"/>
      <c r="CC247" s="403"/>
      <c r="CD247" s="403"/>
      <c r="CE247" s="403"/>
      <c r="CF247" s="403"/>
      <c r="CG247" s="403"/>
      <c r="CH247" s="403"/>
      <c r="CI247" s="403" t="s">
        <v>12864</v>
      </c>
      <c r="CJ247" s="403"/>
      <c r="CK247" s="403"/>
      <c r="CL247" s="403"/>
      <c r="CM247" s="403"/>
      <c r="CN247" s="403" t="s">
        <v>12865</v>
      </c>
      <c r="CO247" s="403"/>
      <c r="CP247" s="403"/>
      <c r="CQ247" s="403"/>
      <c r="CR247" s="403"/>
      <c r="CS247" s="403"/>
      <c r="CT247" s="403"/>
      <c r="CU247" s="403"/>
      <c r="CV247" s="403"/>
      <c r="CW247" s="403"/>
      <c r="CX247" s="403" t="s">
        <v>12866</v>
      </c>
      <c r="CY247" s="403"/>
      <c r="CZ247" s="403"/>
      <c r="DA247" s="403"/>
      <c r="DB247" s="403"/>
      <c r="DC247" s="403" t="s">
        <v>12867</v>
      </c>
      <c r="DD247" s="403"/>
      <c r="DE247" s="403"/>
      <c r="DF247" s="403"/>
      <c r="DG247" s="403"/>
      <c r="DH247" s="403"/>
      <c r="DI247" s="403"/>
      <c r="DJ247" s="403"/>
      <c r="DK247" s="403"/>
      <c r="DL247" s="403"/>
      <c r="DM247" s="403" t="s">
        <v>12868</v>
      </c>
      <c r="DN247" s="403"/>
    </row>
    <row r="248" spans="3:118" s="299" customFormat="1" x14ac:dyDescent="0.2">
      <c r="C248" s="5"/>
      <c r="M248" s="2"/>
      <c r="N248" s="403"/>
      <c r="O248" s="403"/>
      <c r="P248" s="403"/>
      <c r="Q248" s="403"/>
      <c r="R248" s="403"/>
      <c r="S248" s="403"/>
      <c r="T248" s="403"/>
      <c r="U248" s="403"/>
      <c r="V248" s="403"/>
      <c r="W248" s="403"/>
      <c r="X248" s="403"/>
      <c r="Y248" s="403"/>
      <c r="Z248" s="403"/>
      <c r="AA248" s="403"/>
      <c r="AB248" s="403"/>
      <c r="AC248" s="564"/>
      <c r="AD248" s="403"/>
      <c r="AE248" s="403"/>
      <c r="AF248" s="403"/>
      <c r="AG248" s="403"/>
      <c r="AH248" s="403"/>
      <c r="AI248" s="403"/>
      <c r="AJ248" s="403"/>
      <c r="AK248" s="403"/>
      <c r="AL248" s="403"/>
      <c r="AM248" s="403"/>
      <c r="AN248" s="403"/>
      <c r="AO248" s="403"/>
      <c r="AP248" s="403"/>
      <c r="AQ248" s="403"/>
      <c r="AR248" s="403"/>
      <c r="AS248" s="403"/>
      <c r="AT248" s="403"/>
      <c r="AU248" s="403"/>
      <c r="AV248" s="403"/>
      <c r="AW248" s="403"/>
      <c r="AX248" s="403"/>
      <c r="AY248" s="403"/>
      <c r="AZ248" s="403"/>
      <c r="BA248" s="403"/>
      <c r="BB248" s="403"/>
      <c r="BC248" s="403"/>
      <c r="BD248" s="403"/>
      <c r="BE248" s="403"/>
      <c r="BF248" s="403"/>
      <c r="BG248" s="403"/>
      <c r="BH248" s="403"/>
      <c r="BI248" s="403"/>
      <c r="BJ248" s="403"/>
      <c r="BK248" s="403"/>
      <c r="BL248" s="403"/>
      <c r="BM248" s="403"/>
      <c r="BN248" s="403"/>
      <c r="BO248" s="403"/>
      <c r="BP248" s="403"/>
      <c r="BQ248" s="403"/>
      <c r="BR248" s="403"/>
      <c r="BS248" s="403"/>
      <c r="BT248" s="403"/>
      <c r="BU248" s="403"/>
      <c r="BV248" s="403"/>
      <c r="BW248" s="403"/>
      <c r="BX248" s="403"/>
      <c r="BY248" s="403"/>
      <c r="BZ248" s="403"/>
      <c r="CA248" s="403"/>
      <c r="CB248" s="403"/>
      <c r="CC248" s="403"/>
      <c r="CD248" s="403"/>
      <c r="CE248" s="403"/>
      <c r="CF248" s="403"/>
      <c r="CG248" s="403"/>
      <c r="CH248" s="403"/>
      <c r="CI248" s="403"/>
      <c r="CJ248" s="403"/>
      <c r="CK248" s="403"/>
      <c r="CL248" s="403"/>
      <c r="CM248" s="403"/>
      <c r="CN248" s="403"/>
      <c r="CO248" s="403"/>
      <c r="CP248" s="403"/>
      <c r="CQ248" s="403"/>
      <c r="CR248" s="403"/>
      <c r="CS248" s="403"/>
      <c r="CT248" s="403"/>
      <c r="CU248" s="403"/>
      <c r="CV248" s="403"/>
      <c r="CW248" s="403"/>
      <c r="CX248" s="403"/>
      <c r="CY248" s="403"/>
      <c r="CZ248" s="403"/>
      <c r="DA248" s="403"/>
      <c r="DB248" s="403"/>
      <c r="DC248" s="403"/>
      <c r="DD248" s="403"/>
      <c r="DE248" s="403"/>
      <c r="DF248" s="403"/>
      <c r="DG248" s="403"/>
      <c r="DH248" s="403"/>
      <c r="DI248" s="403"/>
      <c r="DJ248" s="403"/>
      <c r="DK248" s="403"/>
      <c r="DL248" s="403"/>
      <c r="DM248" s="403"/>
      <c r="DN248" s="403"/>
    </row>
    <row r="249" spans="3:118" s="299" customFormat="1" x14ac:dyDescent="0.2">
      <c r="C249" s="5" t="str">
        <f ca="1">IF(OFFSET(Q249,0,Lang_Order*Lang__R1)="","",OFFSET(Q249,0,Lang_Order*Lang__R1))</f>
        <v>Redeployed Vaccinators (by person)</v>
      </c>
      <c r="D249" s="26" t="e">
        <f ca="1">MAX(G249:L249)</f>
        <v>#N/A</v>
      </c>
      <c r="G249" s="26" t="e">
        <f ca="1">MIN($D$244,G218)</f>
        <v>#N/A</v>
      </c>
      <c r="H249" s="26" t="e">
        <f t="shared" ref="H249:L249" ca="1" si="79">MIN($D$244,H218)</f>
        <v>#N/A</v>
      </c>
      <c r="I249" s="26" t="e">
        <f t="shared" ca="1" si="79"/>
        <v>#N/A</v>
      </c>
      <c r="J249" s="26" t="e">
        <f t="shared" ca="1" si="79"/>
        <v>#N/A</v>
      </c>
      <c r="K249" s="26" t="e">
        <f t="shared" ca="1" si="79"/>
        <v>#N/A</v>
      </c>
      <c r="L249" s="26" t="e">
        <f t="shared" ca="1" si="79"/>
        <v>#N/A</v>
      </c>
      <c r="M249" s="2"/>
      <c r="N249" s="403"/>
      <c r="O249" s="403"/>
      <c r="P249" s="403"/>
      <c r="Q249" s="403" t="s">
        <v>3920</v>
      </c>
      <c r="R249" s="403"/>
      <c r="S249" s="403"/>
      <c r="T249" s="403"/>
      <c r="U249" s="403"/>
      <c r="V249" s="403"/>
      <c r="W249" s="403"/>
      <c r="X249" s="403"/>
      <c r="Y249" s="403"/>
      <c r="Z249" s="403"/>
      <c r="AA249" s="403"/>
      <c r="AB249" s="403"/>
      <c r="AC249" s="564"/>
      <c r="AD249" s="403"/>
      <c r="AE249" s="403"/>
      <c r="AF249" s="403" t="s">
        <v>12869</v>
      </c>
      <c r="AG249" s="403"/>
      <c r="AH249" s="403"/>
      <c r="AI249" s="403"/>
      <c r="AJ249" s="403"/>
      <c r="AK249" s="403"/>
      <c r="AL249" s="403"/>
      <c r="AM249" s="403"/>
      <c r="AN249" s="403"/>
      <c r="AO249" s="403"/>
      <c r="AP249" s="403"/>
      <c r="AQ249" s="403"/>
      <c r="AR249" s="403"/>
      <c r="AS249" s="403"/>
      <c r="AT249" s="403"/>
      <c r="AU249" s="403" t="s">
        <v>12870</v>
      </c>
      <c r="AV249" s="403"/>
      <c r="AW249" s="403"/>
      <c r="AX249" s="403"/>
      <c r="AY249" s="403"/>
      <c r="AZ249" s="403"/>
      <c r="BA249" s="403"/>
      <c r="BB249" s="403"/>
      <c r="BC249" s="403"/>
      <c r="BD249" s="403"/>
      <c r="BE249" s="403"/>
      <c r="BF249" s="403"/>
      <c r="BG249" s="403"/>
      <c r="BH249" s="403"/>
      <c r="BI249" s="403"/>
      <c r="BJ249" s="403" t="s">
        <v>12871</v>
      </c>
      <c r="BK249" s="403"/>
      <c r="BL249" s="403"/>
      <c r="BM249" s="403"/>
      <c r="BN249" s="403"/>
      <c r="BO249" s="403"/>
      <c r="BP249" s="403"/>
      <c r="BQ249" s="403"/>
      <c r="BR249" s="403"/>
      <c r="BS249" s="403"/>
      <c r="BT249" s="403"/>
      <c r="BU249" s="403"/>
      <c r="BV249" s="403"/>
      <c r="BW249" s="403"/>
      <c r="BX249" s="403"/>
      <c r="BY249" s="403" t="s">
        <v>12872</v>
      </c>
      <c r="BZ249" s="403"/>
      <c r="CA249" s="403"/>
      <c r="CB249" s="403"/>
      <c r="CC249" s="403"/>
      <c r="CD249" s="403"/>
      <c r="CE249" s="403"/>
      <c r="CF249" s="403"/>
      <c r="CG249" s="403"/>
      <c r="CH249" s="403"/>
      <c r="CI249" s="403"/>
      <c r="CJ249" s="403"/>
      <c r="CK249" s="403"/>
      <c r="CL249" s="403"/>
      <c r="CM249" s="403"/>
      <c r="CN249" s="403" t="s">
        <v>12873</v>
      </c>
      <c r="CO249" s="403"/>
      <c r="CP249" s="403"/>
      <c r="CQ249" s="403"/>
      <c r="CR249" s="403"/>
      <c r="CS249" s="403"/>
      <c r="CT249" s="403"/>
      <c r="CU249" s="403"/>
      <c r="CV249" s="403"/>
      <c r="CW249" s="403"/>
      <c r="CX249" s="403"/>
      <c r="CY249" s="403"/>
      <c r="CZ249" s="403"/>
      <c r="DA249" s="403"/>
      <c r="DB249" s="403"/>
      <c r="DC249" s="403" t="s">
        <v>12874</v>
      </c>
      <c r="DD249" s="403"/>
      <c r="DE249" s="403"/>
      <c r="DF249" s="403"/>
      <c r="DG249" s="403"/>
      <c r="DH249" s="403"/>
      <c r="DI249" s="403"/>
      <c r="DJ249" s="403"/>
      <c r="DK249" s="403"/>
      <c r="DL249" s="403"/>
      <c r="DM249" s="403"/>
      <c r="DN249" s="403"/>
    </row>
    <row r="250" spans="3:118" s="299" customFormat="1" x14ac:dyDescent="0.2">
      <c r="C250" s="5" t="str">
        <f ca="1">IF(OFFSET(Q250,0,Lang_Order*Lang__R1)="","",OFFSET(Q250,0,Lang_Order*Lang__R1))</f>
        <v>Non-Redeployed Vaccinators (by person)</v>
      </c>
      <c r="D250" s="299" t="e">
        <f ca="1">MAX(G250:L250)</f>
        <v>#N/A</v>
      </c>
      <c r="G250" s="299" t="e">
        <f ca="1">IF(G218&gt;G249,G218-G249,0)</f>
        <v>#N/A</v>
      </c>
      <c r="H250" s="299" t="e">
        <f t="shared" ref="H250:L250" ca="1" si="80">IF(H218&gt;H249,H218-H249,0)</f>
        <v>#N/A</v>
      </c>
      <c r="I250" s="299" t="e">
        <f t="shared" ca="1" si="80"/>
        <v>#N/A</v>
      </c>
      <c r="J250" s="299" t="e">
        <f t="shared" ca="1" si="80"/>
        <v>#N/A</v>
      </c>
      <c r="K250" s="299" t="e">
        <f t="shared" ca="1" si="80"/>
        <v>#N/A</v>
      </c>
      <c r="L250" s="299" t="e">
        <f t="shared" ca="1" si="80"/>
        <v>#N/A</v>
      </c>
      <c r="M250" s="12" t="str">
        <f ca="1">IF(OFFSET(AA250,0,Lang_Order*Lang__R1)="","",OFFSET(AA250,0,Lang_Order*Lang__R1))</f>
        <v>i.e., newly inducted vaccinator workforce, in order to preserve existing services</v>
      </c>
      <c r="N250" s="403"/>
      <c r="O250" s="403"/>
      <c r="P250" s="403"/>
      <c r="Q250" s="403" t="s">
        <v>3921</v>
      </c>
      <c r="R250" s="403"/>
      <c r="S250" s="403"/>
      <c r="T250" s="403"/>
      <c r="U250" s="403"/>
      <c r="V250" s="403"/>
      <c r="W250" s="403"/>
      <c r="X250" s="403"/>
      <c r="Y250" s="403"/>
      <c r="Z250" s="403"/>
      <c r="AA250" s="403" t="s">
        <v>3040</v>
      </c>
      <c r="AB250" s="403"/>
      <c r="AC250" s="564"/>
      <c r="AD250" s="403"/>
      <c r="AE250" s="403"/>
      <c r="AF250" s="403" t="s">
        <v>12875</v>
      </c>
      <c r="AG250" s="403"/>
      <c r="AH250" s="403"/>
      <c r="AI250" s="403"/>
      <c r="AJ250" s="403"/>
      <c r="AK250" s="403"/>
      <c r="AL250" s="403"/>
      <c r="AM250" s="403"/>
      <c r="AN250" s="403"/>
      <c r="AO250" s="403"/>
      <c r="AP250" s="403" t="s">
        <v>12858</v>
      </c>
      <c r="AQ250" s="403"/>
      <c r="AR250" s="403"/>
      <c r="AS250" s="403"/>
      <c r="AT250" s="403"/>
      <c r="AU250" s="403" t="s">
        <v>12876</v>
      </c>
      <c r="AV250" s="403"/>
      <c r="AW250" s="403"/>
      <c r="AX250" s="403"/>
      <c r="AY250" s="403"/>
      <c r="AZ250" s="403"/>
      <c r="BA250" s="403"/>
      <c r="BB250" s="403"/>
      <c r="BC250" s="403"/>
      <c r="BD250" s="403"/>
      <c r="BE250" s="403" t="s">
        <v>12860</v>
      </c>
      <c r="BF250" s="403"/>
      <c r="BG250" s="403"/>
      <c r="BH250" s="403"/>
      <c r="BI250" s="403"/>
      <c r="BJ250" s="403" t="s">
        <v>12877</v>
      </c>
      <c r="BK250" s="403"/>
      <c r="BL250" s="403"/>
      <c r="BM250" s="403"/>
      <c r="BN250" s="403"/>
      <c r="BO250" s="403"/>
      <c r="BP250" s="403"/>
      <c r="BQ250" s="403"/>
      <c r="BR250" s="403"/>
      <c r="BS250" s="403"/>
      <c r="BT250" s="403" t="s">
        <v>12862</v>
      </c>
      <c r="BU250" s="403"/>
      <c r="BV250" s="403"/>
      <c r="BW250" s="403"/>
      <c r="BX250" s="403"/>
      <c r="BY250" s="403" t="s">
        <v>12878</v>
      </c>
      <c r="BZ250" s="403"/>
      <c r="CA250" s="403"/>
      <c r="CB250" s="403"/>
      <c r="CC250" s="403"/>
      <c r="CD250" s="403"/>
      <c r="CE250" s="403"/>
      <c r="CF250" s="403"/>
      <c r="CG250" s="403"/>
      <c r="CH250" s="403"/>
      <c r="CI250" s="403" t="s">
        <v>12864</v>
      </c>
      <c r="CJ250" s="403"/>
      <c r="CK250" s="403"/>
      <c r="CL250" s="403"/>
      <c r="CM250" s="403"/>
      <c r="CN250" s="403" t="s">
        <v>12879</v>
      </c>
      <c r="CO250" s="403"/>
      <c r="CP250" s="403"/>
      <c r="CQ250" s="403"/>
      <c r="CR250" s="403"/>
      <c r="CS250" s="403"/>
      <c r="CT250" s="403"/>
      <c r="CU250" s="403"/>
      <c r="CV250" s="403"/>
      <c r="CW250" s="403"/>
      <c r="CX250" s="403" t="s">
        <v>12866</v>
      </c>
      <c r="CY250" s="403"/>
      <c r="CZ250" s="403"/>
      <c r="DA250" s="403"/>
      <c r="DB250" s="403"/>
      <c r="DC250" s="403" t="s">
        <v>12880</v>
      </c>
      <c r="DD250" s="403"/>
      <c r="DE250" s="403"/>
      <c r="DF250" s="403"/>
      <c r="DG250" s="403"/>
      <c r="DH250" s="403"/>
      <c r="DI250" s="403"/>
      <c r="DJ250" s="403"/>
      <c r="DK250" s="403"/>
      <c r="DL250" s="403"/>
      <c r="DM250" s="403" t="s">
        <v>12868</v>
      </c>
      <c r="DN250" s="403"/>
    </row>
    <row r="284" spans="14:118" s="241" customFormat="1" x14ac:dyDescent="0.2">
      <c r="N284" s="403"/>
      <c r="O284" s="403"/>
      <c r="P284" s="403"/>
      <c r="Q284" s="403"/>
      <c r="R284" s="403"/>
      <c r="S284" s="403"/>
      <c r="T284" s="403"/>
      <c r="U284" s="403"/>
      <c r="V284" s="403"/>
      <c r="W284" s="403"/>
      <c r="X284" s="403"/>
      <c r="Y284" s="403"/>
      <c r="Z284" s="403"/>
      <c r="AA284" s="403"/>
      <c r="AB284" s="403"/>
      <c r="AC284" s="564"/>
      <c r="AD284" s="403"/>
      <c r="AE284" s="403"/>
      <c r="AF284" s="403"/>
      <c r="AG284" s="403"/>
      <c r="AH284" s="403"/>
      <c r="AI284" s="403"/>
      <c r="AJ284" s="403"/>
      <c r="AK284" s="403"/>
      <c r="AL284" s="403"/>
      <c r="AM284" s="403"/>
      <c r="AN284" s="403"/>
      <c r="AO284" s="403"/>
      <c r="AP284" s="403"/>
      <c r="AQ284" s="403"/>
      <c r="AR284" s="403"/>
      <c r="AS284" s="403"/>
      <c r="AT284" s="403"/>
      <c r="AU284" s="403"/>
      <c r="AV284" s="403"/>
      <c r="AW284" s="403"/>
      <c r="AX284" s="403"/>
      <c r="AY284" s="403"/>
      <c r="AZ284" s="403"/>
      <c r="BA284" s="403"/>
      <c r="BB284" s="403"/>
      <c r="BC284" s="403"/>
      <c r="BD284" s="403"/>
      <c r="BE284" s="403"/>
      <c r="BF284" s="403"/>
      <c r="BG284" s="403"/>
      <c r="BH284" s="403"/>
      <c r="BI284" s="403"/>
      <c r="BJ284" s="403"/>
      <c r="BK284" s="403"/>
      <c r="BL284" s="403"/>
      <c r="BM284" s="403"/>
      <c r="BN284" s="403"/>
      <c r="BO284" s="403"/>
      <c r="BP284" s="403"/>
      <c r="BQ284" s="403"/>
      <c r="BR284" s="403"/>
      <c r="BS284" s="403"/>
      <c r="BT284" s="403"/>
      <c r="BU284" s="403"/>
      <c r="BV284" s="403"/>
      <c r="BW284" s="403"/>
      <c r="BX284" s="403"/>
      <c r="BY284" s="403"/>
      <c r="BZ284" s="403"/>
      <c r="CA284" s="403"/>
      <c r="CB284" s="403"/>
      <c r="CC284" s="403"/>
      <c r="CD284" s="403"/>
      <c r="CE284" s="403"/>
      <c r="CF284" s="403"/>
      <c r="CG284" s="403"/>
      <c r="CH284" s="403"/>
      <c r="CI284" s="403"/>
      <c r="CJ284" s="403"/>
      <c r="CK284" s="403"/>
      <c r="CL284" s="403"/>
      <c r="CM284" s="403"/>
      <c r="CN284" s="403"/>
      <c r="CO284" s="403"/>
      <c r="CP284" s="403"/>
      <c r="CQ284" s="403"/>
      <c r="CR284" s="403"/>
      <c r="CS284" s="403"/>
      <c r="CT284" s="403"/>
      <c r="CU284" s="403"/>
      <c r="CV284" s="403"/>
      <c r="CW284" s="403"/>
      <c r="CX284" s="403"/>
      <c r="CY284" s="403"/>
      <c r="CZ284" s="403"/>
      <c r="DA284" s="403"/>
      <c r="DB284" s="403"/>
      <c r="DC284" s="403"/>
      <c r="DD284" s="403"/>
      <c r="DE284" s="403"/>
      <c r="DF284" s="403"/>
      <c r="DG284" s="403"/>
      <c r="DH284" s="403"/>
      <c r="DI284" s="403"/>
      <c r="DJ284" s="403"/>
      <c r="DK284" s="403"/>
      <c r="DL284" s="403"/>
      <c r="DM284" s="403"/>
      <c r="DN284" s="403"/>
    </row>
    <row r="285" spans="14:118" s="567" customFormat="1" x14ac:dyDescent="0.2">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4"/>
      <c r="AJ285" s="564"/>
      <c r="AK285" s="564"/>
      <c r="AL285" s="564"/>
      <c r="AM285" s="564"/>
      <c r="AN285" s="564"/>
      <c r="AO285" s="564"/>
      <c r="AP285" s="564"/>
      <c r="AQ285" s="564"/>
      <c r="AR285" s="564"/>
      <c r="AS285" s="564"/>
      <c r="AT285" s="564"/>
      <c r="AU285" s="564"/>
      <c r="AV285" s="564"/>
      <c r="AW285" s="564"/>
      <c r="AX285" s="564"/>
      <c r="AY285" s="564"/>
      <c r="AZ285" s="564"/>
      <c r="BA285" s="564"/>
      <c r="BB285" s="564"/>
      <c r="BC285" s="564"/>
      <c r="BD285" s="564"/>
      <c r="BE285" s="564"/>
      <c r="BF285" s="564"/>
      <c r="BG285" s="564"/>
      <c r="BH285" s="564"/>
      <c r="BI285" s="564"/>
      <c r="BJ285" s="564"/>
      <c r="BK285" s="564"/>
      <c r="BL285" s="564"/>
      <c r="BM285" s="564"/>
      <c r="BN285" s="564"/>
      <c r="BO285" s="564"/>
      <c r="BP285" s="564"/>
      <c r="BQ285" s="564"/>
      <c r="BR285" s="564"/>
      <c r="BS285" s="564"/>
      <c r="BT285" s="564"/>
      <c r="BU285" s="564"/>
      <c r="BV285" s="564"/>
      <c r="BW285" s="564"/>
      <c r="BX285" s="564"/>
      <c r="BY285" s="564"/>
      <c r="BZ285" s="564"/>
      <c r="CA285" s="564"/>
      <c r="CB285" s="564"/>
      <c r="CC285" s="564"/>
      <c r="CD285" s="564"/>
      <c r="CE285" s="564"/>
      <c r="CF285" s="564"/>
      <c r="CG285" s="564"/>
      <c r="CH285" s="564"/>
      <c r="CI285" s="564"/>
      <c r="CJ285" s="564"/>
      <c r="CK285" s="564"/>
      <c r="CL285" s="564"/>
      <c r="CM285" s="564"/>
      <c r="CN285" s="564"/>
      <c r="CO285" s="564"/>
      <c r="CP285" s="564"/>
      <c r="CQ285" s="564"/>
      <c r="CR285" s="564"/>
      <c r="CS285" s="564"/>
      <c r="CT285" s="564"/>
      <c r="CU285" s="564"/>
      <c r="CV285" s="564"/>
      <c r="CW285" s="564"/>
      <c r="CX285" s="564"/>
      <c r="CY285" s="564"/>
      <c r="CZ285" s="564"/>
      <c r="DA285" s="564"/>
      <c r="DB285" s="564"/>
      <c r="DC285" s="564"/>
      <c r="DD285" s="564"/>
      <c r="DE285" s="564"/>
      <c r="DF285" s="564"/>
      <c r="DG285" s="564"/>
      <c r="DH285" s="564"/>
      <c r="DI285" s="564"/>
      <c r="DJ285" s="564"/>
      <c r="DK285" s="564"/>
      <c r="DL285" s="564"/>
      <c r="DM285" s="564"/>
      <c r="DN285" s="564"/>
    </row>
    <row r="286" spans="14:118" s="567" customFormat="1" x14ac:dyDescent="0.2">
      <c r="N286" s="564"/>
      <c r="O286" s="564"/>
      <c r="P286" s="564"/>
      <c r="Q286" s="564"/>
      <c r="R286" s="564"/>
      <c r="S286" s="564"/>
      <c r="T286" s="564"/>
      <c r="U286" s="564"/>
      <c r="V286" s="564"/>
      <c r="W286" s="564"/>
      <c r="X286" s="564"/>
      <c r="Y286" s="564"/>
      <c r="Z286" s="564"/>
      <c r="AA286" s="564"/>
      <c r="AB286" s="564"/>
      <c r="AC286" s="564"/>
      <c r="AD286" s="564"/>
      <c r="AE286" s="564"/>
      <c r="AF286" s="564"/>
      <c r="AG286" s="564"/>
      <c r="AH286" s="564"/>
      <c r="AI286" s="564"/>
      <c r="AJ286" s="564"/>
      <c r="AK286" s="564"/>
      <c r="AL286" s="564"/>
      <c r="AM286" s="564"/>
      <c r="AN286" s="564"/>
      <c r="AO286" s="564"/>
      <c r="AP286" s="564"/>
      <c r="AQ286" s="564"/>
      <c r="AR286" s="564"/>
      <c r="AS286" s="564"/>
      <c r="AT286" s="564"/>
      <c r="AU286" s="564"/>
      <c r="AV286" s="564"/>
      <c r="AW286" s="564"/>
      <c r="AX286" s="564"/>
      <c r="AY286" s="564"/>
      <c r="AZ286" s="564"/>
      <c r="BA286" s="564"/>
      <c r="BB286" s="564"/>
      <c r="BC286" s="564"/>
      <c r="BD286" s="564"/>
      <c r="BE286" s="564"/>
      <c r="BF286" s="564"/>
      <c r="BG286" s="564"/>
      <c r="BH286" s="564"/>
      <c r="BI286" s="564"/>
      <c r="BJ286" s="564"/>
      <c r="BK286" s="564"/>
      <c r="BL286" s="564"/>
      <c r="BM286" s="564"/>
      <c r="BN286" s="564"/>
      <c r="BO286" s="564"/>
      <c r="BP286" s="564"/>
      <c r="BQ286" s="564"/>
      <c r="BR286" s="564"/>
      <c r="BS286" s="564"/>
      <c r="BT286" s="564"/>
      <c r="BU286" s="564"/>
      <c r="BV286" s="564"/>
      <c r="BW286" s="564"/>
      <c r="BX286" s="564"/>
      <c r="BY286" s="564"/>
      <c r="BZ286" s="564"/>
      <c r="CA286" s="564"/>
      <c r="CB286" s="564"/>
      <c r="CC286" s="564"/>
      <c r="CD286" s="564"/>
      <c r="CE286" s="564"/>
      <c r="CF286" s="564"/>
      <c r="CG286" s="564"/>
      <c r="CH286" s="564"/>
      <c r="CI286" s="564"/>
      <c r="CJ286" s="564"/>
      <c r="CK286" s="564"/>
      <c r="CL286" s="564"/>
      <c r="CM286" s="564"/>
      <c r="CN286" s="564"/>
      <c r="CO286" s="564"/>
      <c r="CP286" s="564"/>
      <c r="CQ286" s="564"/>
      <c r="CR286" s="564"/>
      <c r="CS286" s="564"/>
      <c r="CT286" s="564"/>
      <c r="CU286" s="564"/>
      <c r="CV286" s="564"/>
      <c r="CW286" s="564"/>
      <c r="CX286" s="564"/>
      <c r="CY286" s="564"/>
      <c r="CZ286" s="564"/>
      <c r="DA286" s="564"/>
      <c r="DB286" s="564"/>
      <c r="DC286" s="564"/>
      <c r="DD286" s="564"/>
      <c r="DE286" s="564"/>
      <c r="DF286" s="564"/>
      <c r="DG286" s="564"/>
      <c r="DH286" s="564"/>
      <c r="DI286" s="564"/>
      <c r="DJ286" s="564"/>
      <c r="DK286" s="564"/>
      <c r="DL286" s="564"/>
      <c r="DM286" s="564"/>
      <c r="DN286" s="564"/>
    </row>
    <row r="287" spans="14:118" s="567" customFormat="1" x14ac:dyDescent="0.2">
      <c r="N287" s="564"/>
      <c r="O287" s="564"/>
      <c r="P287" s="564"/>
      <c r="Q287" s="564"/>
      <c r="R287" s="564"/>
      <c r="S287" s="564"/>
      <c r="T287" s="564"/>
      <c r="U287" s="564"/>
      <c r="V287" s="564"/>
      <c r="W287" s="564"/>
      <c r="X287" s="564"/>
      <c r="Y287" s="564"/>
      <c r="Z287" s="564"/>
      <c r="AA287" s="564"/>
      <c r="AB287" s="564"/>
      <c r="AC287" s="564"/>
      <c r="AD287" s="564"/>
      <c r="AE287" s="564"/>
      <c r="AF287" s="564"/>
      <c r="AG287" s="564"/>
      <c r="AH287" s="564"/>
      <c r="AI287" s="564"/>
      <c r="AJ287" s="564"/>
      <c r="AK287" s="564"/>
      <c r="AL287" s="564"/>
      <c r="AM287" s="564"/>
      <c r="AN287" s="564"/>
      <c r="AO287" s="564"/>
      <c r="AP287" s="564"/>
      <c r="AQ287" s="564"/>
      <c r="AR287" s="564"/>
      <c r="AS287" s="564"/>
      <c r="AT287" s="564"/>
      <c r="AU287" s="564"/>
      <c r="AV287" s="564"/>
      <c r="AW287" s="564"/>
      <c r="AX287" s="564"/>
      <c r="AY287" s="564"/>
      <c r="AZ287" s="564"/>
      <c r="BA287" s="564"/>
      <c r="BB287" s="564"/>
      <c r="BC287" s="564"/>
      <c r="BD287" s="564"/>
      <c r="BE287" s="564"/>
      <c r="BF287" s="564"/>
      <c r="BG287" s="564"/>
      <c r="BH287" s="564"/>
      <c r="BI287" s="564"/>
      <c r="BJ287" s="564"/>
      <c r="BK287" s="564"/>
      <c r="BL287" s="564"/>
      <c r="BM287" s="564"/>
      <c r="BN287" s="564"/>
      <c r="BO287" s="564"/>
      <c r="BP287" s="564"/>
      <c r="BQ287" s="564"/>
      <c r="BR287" s="564"/>
      <c r="BS287" s="564"/>
      <c r="BT287" s="564"/>
      <c r="BU287" s="564"/>
      <c r="BV287" s="564"/>
      <c r="BW287" s="564"/>
      <c r="BX287" s="564"/>
      <c r="BY287" s="564"/>
      <c r="BZ287" s="564"/>
      <c r="CA287" s="564"/>
      <c r="CB287" s="564"/>
      <c r="CC287" s="564"/>
      <c r="CD287" s="564"/>
      <c r="CE287" s="564"/>
      <c r="CF287" s="564"/>
      <c r="CG287" s="564"/>
      <c r="CH287" s="564"/>
      <c r="CI287" s="564"/>
      <c r="CJ287" s="564"/>
      <c r="CK287" s="564"/>
      <c r="CL287" s="564"/>
      <c r="CM287" s="564"/>
      <c r="CN287" s="564"/>
      <c r="CO287" s="564"/>
      <c r="CP287" s="564"/>
      <c r="CQ287" s="564"/>
      <c r="CR287" s="564"/>
      <c r="CS287" s="564"/>
      <c r="CT287" s="564"/>
      <c r="CU287" s="564"/>
      <c r="CV287" s="564"/>
      <c r="CW287" s="564"/>
      <c r="CX287" s="564"/>
      <c r="CY287" s="564"/>
      <c r="CZ287" s="564"/>
      <c r="DA287" s="564"/>
      <c r="DB287" s="564"/>
      <c r="DC287" s="564"/>
      <c r="DD287" s="564"/>
      <c r="DE287" s="564"/>
      <c r="DF287" s="564"/>
      <c r="DG287" s="564"/>
      <c r="DH287" s="564"/>
      <c r="DI287" s="564"/>
      <c r="DJ287" s="564"/>
      <c r="DK287" s="564"/>
      <c r="DL287" s="564"/>
      <c r="DM287" s="564"/>
      <c r="DN287" s="564"/>
    </row>
    <row r="288" spans="14:118" s="241" customFormat="1" x14ac:dyDescent="0.2">
      <c r="N288" s="403"/>
      <c r="O288" s="403"/>
      <c r="P288" s="403"/>
      <c r="Q288" s="403"/>
      <c r="R288" s="403"/>
      <c r="S288" s="403"/>
      <c r="T288" s="403"/>
      <c r="U288" s="403"/>
      <c r="V288" s="403"/>
      <c r="W288" s="403"/>
      <c r="X288" s="403"/>
      <c r="Y288" s="403"/>
      <c r="Z288" s="403"/>
      <c r="AA288" s="403"/>
      <c r="AB288" s="403"/>
      <c r="AC288" s="564"/>
      <c r="AD288" s="403"/>
      <c r="AE288" s="403"/>
      <c r="AF288" s="403"/>
      <c r="AG288" s="403"/>
      <c r="AH288" s="403"/>
      <c r="AI288" s="403"/>
      <c r="AJ288" s="403"/>
      <c r="AK288" s="403"/>
      <c r="AL288" s="403"/>
      <c r="AM288" s="403"/>
      <c r="AN288" s="403"/>
      <c r="AO288" s="403"/>
      <c r="AP288" s="403"/>
      <c r="AQ288" s="403"/>
      <c r="AR288" s="403"/>
      <c r="AS288" s="403"/>
      <c r="AT288" s="403"/>
      <c r="AU288" s="403"/>
      <c r="AV288" s="403"/>
      <c r="AW288" s="403"/>
      <c r="AX288" s="403"/>
      <c r="AY288" s="403"/>
      <c r="AZ288" s="403"/>
      <c r="BA288" s="403"/>
      <c r="BB288" s="403"/>
      <c r="BC288" s="403"/>
      <c r="BD288" s="403"/>
      <c r="BE288" s="403"/>
      <c r="BF288" s="403"/>
      <c r="BG288" s="403"/>
      <c r="BH288" s="403"/>
      <c r="BI288" s="403"/>
      <c r="BJ288" s="403"/>
      <c r="BK288" s="403"/>
      <c r="BL288" s="403"/>
      <c r="BM288" s="403"/>
      <c r="BN288" s="403"/>
      <c r="BO288" s="403"/>
      <c r="BP288" s="403"/>
      <c r="BQ288" s="403"/>
      <c r="BR288" s="403"/>
      <c r="BS288" s="403"/>
      <c r="BT288" s="403"/>
      <c r="BU288" s="403"/>
      <c r="BV288" s="403"/>
      <c r="BW288" s="403"/>
      <c r="BX288" s="403"/>
      <c r="BY288" s="403"/>
      <c r="BZ288" s="403"/>
      <c r="CA288" s="403"/>
      <c r="CB288" s="403"/>
      <c r="CC288" s="403"/>
      <c r="CD288" s="403"/>
      <c r="CE288" s="403"/>
      <c r="CF288" s="403"/>
      <c r="CG288" s="403"/>
      <c r="CH288" s="403"/>
      <c r="CI288" s="403"/>
      <c r="CJ288" s="403"/>
      <c r="CK288" s="403"/>
      <c r="CL288" s="403"/>
      <c r="CM288" s="403"/>
      <c r="CN288" s="403"/>
      <c r="CO288" s="403"/>
      <c r="CP288" s="403"/>
      <c r="CQ288" s="403"/>
      <c r="CR288" s="403"/>
      <c r="CS288" s="403"/>
      <c r="CT288" s="403"/>
      <c r="CU288" s="403"/>
      <c r="CV288" s="403"/>
      <c r="CW288" s="403"/>
      <c r="CX288" s="403"/>
      <c r="CY288" s="403"/>
      <c r="CZ288" s="403"/>
      <c r="DA288" s="403"/>
      <c r="DB288" s="403"/>
      <c r="DC288" s="403"/>
      <c r="DD288" s="403"/>
      <c r="DE288" s="403"/>
      <c r="DF288" s="403"/>
      <c r="DG288" s="403"/>
      <c r="DH288" s="403"/>
      <c r="DI288" s="403"/>
      <c r="DJ288" s="403"/>
      <c r="DK288" s="403"/>
      <c r="DL288" s="403"/>
      <c r="DM288" s="403"/>
      <c r="DN288" s="403"/>
    </row>
    <row r="289" spans="3:118" s="241" customFormat="1" ht="15" x14ac:dyDescent="0.25">
      <c r="C289" s="8" t="str">
        <f t="shared" ref="C289:C295" ca="1" si="81">IF(OFFSET(Q289,0,Lang_Order*Lang__R1)="","",OFFSET(Q289,0,Lang_Order*Lang__R1))</f>
        <v>R1.3.2.3 Human Resources - Supplementary metrics for optimization and diagnostics - Medium Variant</v>
      </c>
      <c r="D289" s="8"/>
      <c r="E289" s="8"/>
      <c r="F289" s="8"/>
      <c r="G289" s="8"/>
      <c r="H289" s="8"/>
      <c r="I289" s="8"/>
      <c r="J289" s="8"/>
      <c r="K289" s="8"/>
      <c r="L289" s="8"/>
      <c r="N289" s="403"/>
      <c r="O289" s="403"/>
      <c r="P289" s="403"/>
      <c r="Q289" s="403" t="s">
        <v>4207</v>
      </c>
      <c r="R289" s="403"/>
      <c r="S289" s="403"/>
      <c r="T289" s="403"/>
      <c r="U289" s="403"/>
      <c r="V289" s="403"/>
      <c r="W289" s="403"/>
      <c r="X289" s="403"/>
      <c r="Y289" s="403"/>
      <c r="Z289" s="403"/>
      <c r="AA289" s="403"/>
      <c r="AB289" s="403"/>
      <c r="AC289" s="564"/>
      <c r="AD289" s="403"/>
      <c r="AE289" s="403"/>
      <c r="AF289" s="403" t="s">
        <v>12881</v>
      </c>
      <c r="AG289" s="403"/>
      <c r="AH289" s="403"/>
      <c r="AI289" s="403"/>
      <c r="AJ289" s="403"/>
      <c r="AK289" s="403"/>
      <c r="AL289" s="403"/>
      <c r="AM289" s="403"/>
      <c r="AN289" s="403"/>
      <c r="AO289" s="403"/>
      <c r="AP289" s="403"/>
      <c r="AQ289" s="403"/>
      <c r="AR289" s="403"/>
      <c r="AS289" s="403"/>
      <c r="AT289" s="403"/>
      <c r="AU289" s="403" t="s">
        <v>12882</v>
      </c>
      <c r="AV289" s="403"/>
      <c r="AW289" s="403"/>
      <c r="AX289" s="403"/>
      <c r="AY289" s="403"/>
      <c r="AZ289" s="403"/>
      <c r="BA289" s="403"/>
      <c r="BB289" s="403"/>
      <c r="BC289" s="403"/>
      <c r="BD289" s="403"/>
      <c r="BE289" s="403"/>
      <c r="BF289" s="403"/>
      <c r="BG289" s="403"/>
      <c r="BH289" s="403"/>
      <c r="BI289" s="403"/>
      <c r="BJ289" s="403" t="s">
        <v>12883</v>
      </c>
      <c r="BK289" s="403"/>
      <c r="BL289" s="403"/>
      <c r="BM289" s="403"/>
      <c r="BN289" s="403"/>
      <c r="BO289" s="403"/>
      <c r="BP289" s="403"/>
      <c r="BQ289" s="403"/>
      <c r="BR289" s="403"/>
      <c r="BS289" s="403"/>
      <c r="BT289" s="403"/>
      <c r="BU289" s="403"/>
      <c r="BV289" s="403"/>
      <c r="BW289" s="403"/>
      <c r="BX289" s="403"/>
      <c r="BY289" s="403" t="s">
        <v>12884</v>
      </c>
      <c r="BZ289" s="403"/>
      <c r="CA289" s="403"/>
      <c r="CB289" s="403"/>
      <c r="CC289" s="403"/>
      <c r="CD289" s="403"/>
      <c r="CE289" s="403"/>
      <c r="CF289" s="403"/>
      <c r="CG289" s="403"/>
      <c r="CH289" s="403"/>
      <c r="CI289" s="403"/>
      <c r="CJ289" s="403"/>
      <c r="CK289" s="403"/>
      <c r="CL289" s="403"/>
      <c r="CM289" s="403"/>
      <c r="CN289" s="403" t="s">
        <v>12885</v>
      </c>
      <c r="CO289" s="403"/>
      <c r="CP289" s="403"/>
      <c r="CQ289" s="403"/>
      <c r="CR289" s="403"/>
      <c r="CS289" s="403"/>
      <c r="CT289" s="403"/>
      <c r="CU289" s="403"/>
      <c r="CV289" s="403"/>
      <c r="CW289" s="403"/>
      <c r="CX289" s="403"/>
      <c r="CY289" s="403"/>
      <c r="CZ289" s="403"/>
      <c r="DA289" s="403"/>
      <c r="DB289" s="403"/>
      <c r="DC289" s="403" t="s">
        <v>12886</v>
      </c>
      <c r="DD289" s="403"/>
      <c r="DE289" s="403"/>
      <c r="DF289" s="403"/>
      <c r="DG289" s="403"/>
      <c r="DH289" s="403"/>
      <c r="DI289" s="403"/>
      <c r="DJ289" s="403"/>
      <c r="DK289" s="403"/>
      <c r="DL289" s="403"/>
      <c r="DM289" s="403"/>
      <c r="DN289" s="403"/>
    </row>
    <row r="290" spans="3:118" s="241" customFormat="1" ht="15" x14ac:dyDescent="0.25">
      <c r="C290" s="55" t="str">
        <f t="shared" ca="1" si="81"/>
        <v>Vaccinator-Hours</v>
      </c>
      <c r="D290" s="41" t="str">
        <f ca="1">IF(OFFSET(R290,0,Lang_Order*Lang__R1)="","",OFFSET(R290,0,Lang_Order*Lang__R1))</f>
        <v>Total</v>
      </c>
      <c r="E290" s="25"/>
      <c r="F290" s="25"/>
      <c r="G290" s="41" t="str">
        <f t="shared" ref="G290:L290" ca="1" si="82">IF(OFFSET(U290,0,Lang_Order*Lang__R1)="","",OFFSET(U290,0,Lang_Order*Lang__R1))</f>
        <v>H1 2021</v>
      </c>
      <c r="H290" s="41" t="str">
        <f t="shared" ca="1" si="82"/>
        <v>H2 2021</v>
      </c>
      <c r="I290" s="41" t="str">
        <f t="shared" ca="1" si="82"/>
        <v>H1 2022</v>
      </c>
      <c r="J290" s="41" t="str">
        <f t="shared" ca="1" si="82"/>
        <v>H2 2022</v>
      </c>
      <c r="K290" s="41" t="str">
        <f t="shared" ca="1" si="82"/>
        <v>H1 2023</v>
      </c>
      <c r="L290" s="41" t="str">
        <f t="shared" ca="1" si="82"/>
        <v>H2 2023</v>
      </c>
      <c r="N290" s="403"/>
      <c r="O290" s="403"/>
      <c r="P290" s="403"/>
      <c r="Q290" s="403" t="s">
        <v>2989</v>
      </c>
      <c r="R290" s="403" t="s">
        <v>1605</v>
      </c>
      <c r="S290" s="403"/>
      <c r="T290" s="403"/>
      <c r="U290" s="403" t="s">
        <v>1597</v>
      </c>
      <c r="V290" s="403" t="s">
        <v>1598</v>
      </c>
      <c r="W290" s="403" t="s">
        <v>1599</v>
      </c>
      <c r="X290" s="403" t="s">
        <v>1600</v>
      </c>
      <c r="Y290" s="403" t="s">
        <v>1602</v>
      </c>
      <c r="Z290" s="403" t="s">
        <v>1601</v>
      </c>
      <c r="AA290" s="403"/>
      <c r="AB290" s="403"/>
      <c r="AC290" s="564"/>
      <c r="AD290" s="403"/>
      <c r="AE290" s="403"/>
      <c r="AF290" s="403" t="s">
        <v>12887</v>
      </c>
      <c r="AG290" s="403" t="s">
        <v>1605</v>
      </c>
      <c r="AH290" s="403"/>
      <c r="AI290" s="403"/>
      <c r="AJ290" s="403" t="s">
        <v>4663</v>
      </c>
      <c r="AK290" s="403" t="s">
        <v>4664</v>
      </c>
      <c r="AL290" s="403" t="s">
        <v>4665</v>
      </c>
      <c r="AM290" s="403" t="s">
        <v>4666</v>
      </c>
      <c r="AN290" s="403" t="s">
        <v>4667</v>
      </c>
      <c r="AO290" s="403" t="s">
        <v>4668</v>
      </c>
      <c r="AP290" s="403"/>
      <c r="AQ290" s="403"/>
      <c r="AR290" s="403"/>
      <c r="AS290" s="403"/>
      <c r="AT290" s="403"/>
      <c r="AU290" s="403" t="s">
        <v>12888</v>
      </c>
      <c r="AV290" s="403" t="s">
        <v>4676</v>
      </c>
      <c r="AW290" s="403"/>
      <c r="AX290" s="403"/>
      <c r="AY290" s="403" t="s">
        <v>4670</v>
      </c>
      <c r="AZ290" s="403" t="s">
        <v>4671</v>
      </c>
      <c r="BA290" s="403" t="s">
        <v>4672</v>
      </c>
      <c r="BB290" s="403" t="s">
        <v>4673</v>
      </c>
      <c r="BC290" s="403" t="s">
        <v>4674</v>
      </c>
      <c r="BD290" s="403" t="s">
        <v>4675</v>
      </c>
      <c r="BE290" s="403"/>
      <c r="BF290" s="403"/>
      <c r="BG290" s="403"/>
      <c r="BH290" s="403"/>
      <c r="BI290" s="403"/>
      <c r="BJ290" s="403" t="s">
        <v>12889</v>
      </c>
      <c r="BK290" s="403" t="s">
        <v>1605</v>
      </c>
      <c r="BL290" s="403"/>
      <c r="BM290" s="403"/>
      <c r="BN290" s="403" t="s">
        <v>1597</v>
      </c>
      <c r="BO290" s="403" t="s">
        <v>1598</v>
      </c>
      <c r="BP290" s="403" t="s">
        <v>1599</v>
      </c>
      <c r="BQ290" s="403" t="s">
        <v>1600</v>
      </c>
      <c r="BR290" s="403" t="s">
        <v>1602</v>
      </c>
      <c r="BS290" s="403" t="s">
        <v>1601</v>
      </c>
      <c r="BT290" s="403"/>
      <c r="BU290" s="403"/>
      <c r="BV290" s="403"/>
      <c r="BW290" s="403"/>
      <c r="BX290" s="403"/>
      <c r="BY290" s="403" t="s">
        <v>12890</v>
      </c>
      <c r="BZ290" s="403" t="s">
        <v>1605</v>
      </c>
      <c r="CA290" s="403"/>
      <c r="CB290" s="403"/>
      <c r="CC290" s="403" t="s">
        <v>4663</v>
      </c>
      <c r="CD290" s="403" t="s">
        <v>4664</v>
      </c>
      <c r="CE290" s="403" t="s">
        <v>4665</v>
      </c>
      <c r="CF290" s="403" t="s">
        <v>4666</v>
      </c>
      <c r="CG290" s="403" t="s">
        <v>4667</v>
      </c>
      <c r="CH290" s="403" t="s">
        <v>4668</v>
      </c>
      <c r="CI290" s="403"/>
      <c r="CJ290" s="403"/>
      <c r="CK290" s="403"/>
      <c r="CL290" s="403"/>
      <c r="CM290" s="403"/>
      <c r="CN290" s="403" t="s">
        <v>12891</v>
      </c>
      <c r="CO290" s="403" t="s">
        <v>4686</v>
      </c>
      <c r="CP290" s="403"/>
      <c r="CQ290" s="403"/>
      <c r="CR290" s="403" t="s">
        <v>4680</v>
      </c>
      <c r="CS290" s="403" t="s">
        <v>4681</v>
      </c>
      <c r="CT290" s="403" t="s">
        <v>4682</v>
      </c>
      <c r="CU290" s="403" t="s">
        <v>4683</v>
      </c>
      <c r="CV290" s="403" t="s">
        <v>4684</v>
      </c>
      <c r="CW290" s="403" t="s">
        <v>4685</v>
      </c>
      <c r="CX290" s="403"/>
      <c r="CY290" s="403"/>
      <c r="CZ290" s="403"/>
      <c r="DA290" s="403"/>
      <c r="DB290" s="403"/>
      <c r="DC290" s="403" t="s">
        <v>12892</v>
      </c>
      <c r="DD290" s="403" t="s">
        <v>4694</v>
      </c>
      <c r="DE290" s="403"/>
      <c r="DF290" s="403"/>
      <c r="DG290" s="403" t="s">
        <v>4688</v>
      </c>
      <c r="DH290" s="403" t="s">
        <v>4689</v>
      </c>
      <c r="DI290" s="403" t="s">
        <v>4690</v>
      </c>
      <c r="DJ290" s="403" t="s">
        <v>4691</v>
      </c>
      <c r="DK290" s="403" t="s">
        <v>4692</v>
      </c>
      <c r="DL290" s="403" t="s">
        <v>4693</v>
      </c>
      <c r="DM290" s="403"/>
      <c r="DN290" s="403"/>
    </row>
    <row r="291" spans="3:118" s="241" customFormat="1" x14ac:dyDescent="0.2">
      <c r="C291" s="5" t="str">
        <f t="shared" ca="1" si="81"/>
        <v>Delivery Modality 1</v>
      </c>
      <c r="D291" s="26" t="e">
        <f>SUM(G291:L291)</f>
        <v>#N/A</v>
      </c>
      <c r="G291" s="16" t="e">
        <f>'B5. Last Mile Delivery'!J110</f>
        <v>#N/A</v>
      </c>
      <c r="H291" s="16" t="e">
        <f>'B5. Last Mile Delivery'!K110</f>
        <v>#N/A</v>
      </c>
      <c r="I291" s="16" t="e">
        <f>'B5. Last Mile Delivery'!L110</f>
        <v>#N/A</v>
      </c>
      <c r="J291" s="16" t="e">
        <f>'B5. Last Mile Delivery'!M110</f>
        <v>#N/A</v>
      </c>
      <c r="K291" s="16" t="e">
        <f>'B5. Last Mile Delivery'!N110</f>
        <v>#N/A</v>
      </c>
      <c r="L291" s="16" t="e">
        <f>'B5. Last Mile Delivery'!O110</f>
        <v>#N/A</v>
      </c>
      <c r="N291" s="403"/>
      <c r="O291" s="403"/>
      <c r="P291" s="403"/>
      <c r="Q291" s="403" t="s">
        <v>1632</v>
      </c>
      <c r="R291" s="403"/>
      <c r="S291" s="403"/>
      <c r="T291" s="403"/>
      <c r="U291" s="403"/>
      <c r="V291" s="403"/>
      <c r="W291" s="403"/>
      <c r="X291" s="403"/>
      <c r="Y291" s="403"/>
      <c r="Z291" s="403"/>
      <c r="AA291" s="403"/>
      <c r="AB291" s="403"/>
      <c r="AC291" s="564"/>
      <c r="AD291" s="403"/>
      <c r="AE291" s="403"/>
      <c r="AF291" s="403" t="s">
        <v>7476</v>
      </c>
      <c r="AG291" s="403"/>
      <c r="AH291" s="403"/>
      <c r="AI291" s="403"/>
      <c r="AJ291" s="403"/>
      <c r="AK291" s="403"/>
      <c r="AL291" s="403"/>
      <c r="AM291" s="403"/>
      <c r="AN291" s="403"/>
      <c r="AO291" s="403"/>
      <c r="AP291" s="403"/>
      <c r="AQ291" s="403"/>
      <c r="AR291" s="403"/>
      <c r="AS291" s="403"/>
      <c r="AT291" s="403"/>
      <c r="AU291" s="403" t="s">
        <v>9664</v>
      </c>
      <c r="AV291" s="403"/>
      <c r="AW291" s="403"/>
      <c r="AX291" s="403"/>
      <c r="AY291" s="403"/>
      <c r="AZ291" s="403"/>
      <c r="BA291" s="403"/>
      <c r="BB291" s="403"/>
      <c r="BC291" s="403"/>
      <c r="BD291" s="403"/>
      <c r="BE291" s="403"/>
      <c r="BF291" s="403"/>
      <c r="BG291" s="403"/>
      <c r="BH291" s="403"/>
      <c r="BI291" s="403"/>
      <c r="BJ291" s="403" t="s">
        <v>9666</v>
      </c>
      <c r="BK291" s="403"/>
      <c r="BL291" s="403"/>
      <c r="BM291" s="403"/>
      <c r="BN291" s="403"/>
      <c r="BO291" s="403"/>
      <c r="BP291" s="403"/>
      <c r="BQ291" s="403"/>
      <c r="BR291" s="403"/>
      <c r="BS291" s="403"/>
      <c r="BT291" s="403"/>
      <c r="BU291" s="403"/>
      <c r="BV291" s="403"/>
      <c r="BW291" s="403"/>
      <c r="BX291" s="403"/>
      <c r="BY291" s="403" t="s">
        <v>7479</v>
      </c>
      <c r="BZ291" s="403"/>
      <c r="CA291" s="403"/>
      <c r="CB291" s="403"/>
      <c r="CC291" s="403"/>
      <c r="CD291" s="403"/>
      <c r="CE291" s="403"/>
      <c r="CF291" s="403"/>
      <c r="CG291" s="403"/>
      <c r="CH291" s="403"/>
      <c r="CI291" s="403"/>
      <c r="CJ291" s="403"/>
      <c r="CK291" s="403"/>
      <c r="CL291" s="403"/>
      <c r="CM291" s="403"/>
      <c r="CN291" s="403" t="s">
        <v>7480</v>
      </c>
      <c r="CO291" s="403"/>
      <c r="CP291" s="403"/>
      <c r="CQ291" s="403"/>
      <c r="CR291" s="403"/>
      <c r="CS291" s="403"/>
      <c r="CT291" s="403"/>
      <c r="CU291" s="403"/>
      <c r="CV291" s="403"/>
      <c r="CW291" s="403"/>
      <c r="CX291" s="403"/>
      <c r="CY291" s="403"/>
      <c r="CZ291" s="403"/>
      <c r="DA291" s="403"/>
      <c r="DB291" s="403"/>
      <c r="DC291" s="403" t="s">
        <v>7481</v>
      </c>
      <c r="DD291" s="403"/>
      <c r="DE291" s="403"/>
      <c r="DF291" s="403"/>
      <c r="DG291" s="403"/>
      <c r="DH291" s="403"/>
      <c r="DI291" s="403"/>
      <c r="DJ291" s="403"/>
      <c r="DK291" s="403"/>
      <c r="DL291" s="403"/>
      <c r="DM291" s="403"/>
      <c r="DN291" s="403"/>
    </row>
    <row r="292" spans="3:118" s="241" customFormat="1" x14ac:dyDescent="0.2">
      <c r="C292" s="5" t="str">
        <f t="shared" ca="1" si="81"/>
        <v>Delivery Modality 2</v>
      </c>
      <c r="D292" s="26" t="e">
        <f t="shared" ref="D292:D294" si="83">SUM(G292:L292)</f>
        <v>#N/A</v>
      </c>
      <c r="G292" s="16" t="e">
        <f>'B5. Last Mile Delivery'!J162</f>
        <v>#N/A</v>
      </c>
      <c r="H292" s="16" t="e">
        <f>'B5. Last Mile Delivery'!K162</f>
        <v>#N/A</v>
      </c>
      <c r="I292" s="16" t="e">
        <f>'B5. Last Mile Delivery'!L162</f>
        <v>#N/A</v>
      </c>
      <c r="J292" s="16" t="e">
        <f>'B5. Last Mile Delivery'!M162</f>
        <v>#N/A</v>
      </c>
      <c r="K292" s="16" t="e">
        <f>'B5. Last Mile Delivery'!N162</f>
        <v>#N/A</v>
      </c>
      <c r="L292" s="16" t="e">
        <f>'B5. Last Mile Delivery'!O162</f>
        <v>#N/A</v>
      </c>
      <c r="N292" s="403"/>
      <c r="O292" s="403"/>
      <c r="P292" s="403"/>
      <c r="Q292" s="403" t="s">
        <v>1639</v>
      </c>
      <c r="R292" s="403"/>
      <c r="S292" s="403"/>
      <c r="T292" s="403"/>
      <c r="U292" s="403"/>
      <c r="V292" s="403"/>
      <c r="W292" s="403"/>
      <c r="X292" s="403"/>
      <c r="Y292" s="403"/>
      <c r="Z292" s="403"/>
      <c r="AA292" s="403"/>
      <c r="AB292" s="403"/>
      <c r="AC292" s="564"/>
      <c r="AD292" s="403"/>
      <c r="AE292" s="403"/>
      <c r="AF292" s="403" t="s">
        <v>7482</v>
      </c>
      <c r="AG292" s="403"/>
      <c r="AH292" s="403"/>
      <c r="AI292" s="403"/>
      <c r="AJ292" s="403"/>
      <c r="AK292" s="403"/>
      <c r="AL292" s="403"/>
      <c r="AM292" s="403"/>
      <c r="AN292" s="403"/>
      <c r="AO292" s="403"/>
      <c r="AP292" s="403"/>
      <c r="AQ292" s="403"/>
      <c r="AR292" s="403"/>
      <c r="AS292" s="403"/>
      <c r="AT292" s="403"/>
      <c r="AU292" s="403" t="s">
        <v>9672</v>
      </c>
      <c r="AV292" s="403"/>
      <c r="AW292" s="403"/>
      <c r="AX292" s="403"/>
      <c r="AY292" s="403"/>
      <c r="AZ292" s="403"/>
      <c r="BA292" s="403"/>
      <c r="BB292" s="403"/>
      <c r="BC292" s="403"/>
      <c r="BD292" s="403"/>
      <c r="BE292" s="403"/>
      <c r="BF292" s="403"/>
      <c r="BG292" s="403"/>
      <c r="BH292" s="403"/>
      <c r="BI292" s="403"/>
      <c r="BJ292" s="403" t="s">
        <v>9673</v>
      </c>
      <c r="BK292" s="403"/>
      <c r="BL292" s="403"/>
      <c r="BM292" s="403"/>
      <c r="BN292" s="403"/>
      <c r="BO292" s="403"/>
      <c r="BP292" s="403"/>
      <c r="BQ292" s="403"/>
      <c r="BR292" s="403"/>
      <c r="BS292" s="403"/>
      <c r="BT292" s="403"/>
      <c r="BU292" s="403"/>
      <c r="BV292" s="403"/>
      <c r="BW292" s="403"/>
      <c r="BX292" s="403"/>
      <c r="BY292" s="403" t="s">
        <v>7485</v>
      </c>
      <c r="BZ292" s="403"/>
      <c r="CA292" s="403"/>
      <c r="CB292" s="403"/>
      <c r="CC292" s="403"/>
      <c r="CD292" s="403"/>
      <c r="CE292" s="403"/>
      <c r="CF292" s="403"/>
      <c r="CG292" s="403"/>
      <c r="CH292" s="403"/>
      <c r="CI292" s="403"/>
      <c r="CJ292" s="403"/>
      <c r="CK292" s="403"/>
      <c r="CL292" s="403"/>
      <c r="CM292" s="403"/>
      <c r="CN292" s="403" t="s">
        <v>7486</v>
      </c>
      <c r="CO292" s="403"/>
      <c r="CP292" s="403"/>
      <c r="CQ292" s="403"/>
      <c r="CR292" s="403"/>
      <c r="CS292" s="403"/>
      <c r="CT292" s="403"/>
      <c r="CU292" s="403"/>
      <c r="CV292" s="403"/>
      <c r="CW292" s="403"/>
      <c r="CX292" s="403"/>
      <c r="CY292" s="403"/>
      <c r="CZ292" s="403"/>
      <c r="DA292" s="403"/>
      <c r="DB292" s="403"/>
      <c r="DC292" s="403" t="s">
        <v>7487</v>
      </c>
      <c r="DD292" s="403"/>
      <c r="DE292" s="403"/>
      <c r="DF292" s="403"/>
      <c r="DG292" s="403"/>
      <c r="DH292" s="403"/>
      <c r="DI292" s="403"/>
      <c r="DJ292" s="403"/>
      <c r="DK292" s="403"/>
      <c r="DL292" s="403"/>
      <c r="DM292" s="403"/>
      <c r="DN292" s="403"/>
    </row>
    <row r="293" spans="3:118" s="241" customFormat="1" x14ac:dyDescent="0.2">
      <c r="C293" s="5" t="str">
        <f t="shared" ca="1" si="81"/>
        <v>Delivery Modality 3</v>
      </c>
      <c r="D293" s="26" t="e">
        <f t="shared" si="83"/>
        <v>#N/A</v>
      </c>
      <c r="G293" s="16" t="e">
        <f>'B5. Last Mile Delivery'!J210</f>
        <v>#N/A</v>
      </c>
      <c r="H293" s="16" t="e">
        <f>'B5. Last Mile Delivery'!K210</f>
        <v>#N/A</v>
      </c>
      <c r="I293" s="16" t="e">
        <f>'B5. Last Mile Delivery'!L210</f>
        <v>#N/A</v>
      </c>
      <c r="J293" s="16" t="e">
        <f>'B5. Last Mile Delivery'!M210</f>
        <v>#N/A</v>
      </c>
      <c r="K293" s="16" t="e">
        <f>'B5. Last Mile Delivery'!N210</f>
        <v>#N/A</v>
      </c>
      <c r="L293" s="16" t="e">
        <f>'B5. Last Mile Delivery'!O210</f>
        <v>#N/A</v>
      </c>
      <c r="N293" s="403"/>
      <c r="O293" s="403"/>
      <c r="P293" s="403"/>
      <c r="Q293" s="403" t="s">
        <v>1564</v>
      </c>
      <c r="R293" s="403"/>
      <c r="S293" s="403"/>
      <c r="T293" s="403"/>
      <c r="U293" s="403"/>
      <c r="V293" s="403"/>
      <c r="W293" s="403"/>
      <c r="X293" s="403"/>
      <c r="Y293" s="403"/>
      <c r="Z293" s="403"/>
      <c r="AA293" s="403"/>
      <c r="AB293" s="403"/>
      <c r="AC293" s="564"/>
      <c r="AD293" s="403"/>
      <c r="AE293" s="403"/>
      <c r="AF293" s="403" t="s">
        <v>7418</v>
      </c>
      <c r="AG293" s="403"/>
      <c r="AH293" s="403"/>
      <c r="AI293" s="403"/>
      <c r="AJ293" s="403"/>
      <c r="AK293" s="403"/>
      <c r="AL293" s="403"/>
      <c r="AM293" s="403"/>
      <c r="AN293" s="403"/>
      <c r="AO293" s="403"/>
      <c r="AP293" s="403"/>
      <c r="AQ293" s="403"/>
      <c r="AR293" s="403"/>
      <c r="AS293" s="403"/>
      <c r="AT293" s="403"/>
      <c r="AU293" s="403" t="s">
        <v>9676</v>
      </c>
      <c r="AV293" s="403"/>
      <c r="AW293" s="403"/>
      <c r="AX293" s="403"/>
      <c r="AY293" s="403"/>
      <c r="AZ293" s="403"/>
      <c r="BA293" s="403"/>
      <c r="BB293" s="403"/>
      <c r="BC293" s="403"/>
      <c r="BD293" s="403"/>
      <c r="BE293" s="403"/>
      <c r="BF293" s="403"/>
      <c r="BG293" s="403"/>
      <c r="BH293" s="403"/>
      <c r="BI293" s="403"/>
      <c r="BJ293" s="403" t="s">
        <v>7420</v>
      </c>
      <c r="BK293" s="403"/>
      <c r="BL293" s="403"/>
      <c r="BM293" s="403"/>
      <c r="BN293" s="403"/>
      <c r="BO293" s="403"/>
      <c r="BP293" s="403"/>
      <c r="BQ293" s="403"/>
      <c r="BR293" s="403"/>
      <c r="BS293" s="403"/>
      <c r="BT293" s="403"/>
      <c r="BU293" s="403"/>
      <c r="BV293" s="403"/>
      <c r="BW293" s="403"/>
      <c r="BX293" s="403"/>
      <c r="BY293" s="403" t="s">
        <v>7489</v>
      </c>
      <c r="BZ293" s="403"/>
      <c r="CA293" s="403"/>
      <c r="CB293" s="403"/>
      <c r="CC293" s="403"/>
      <c r="CD293" s="403"/>
      <c r="CE293" s="403"/>
      <c r="CF293" s="403"/>
      <c r="CG293" s="403"/>
      <c r="CH293" s="403"/>
      <c r="CI293" s="403"/>
      <c r="CJ293" s="403"/>
      <c r="CK293" s="403"/>
      <c r="CL293" s="403"/>
      <c r="CM293" s="403"/>
      <c r="CN293" s="403" t="s">
        <v>7422</v>
      </c>
      <c r="CO293" s="403"/>
      <c r="CP293" s="403"/>
      <c r="CQ293" s="403"/>
      <c r="CR293" s="403"/>
      <c r="CS293" s="403"/>
      <c r="CT293" s="403"/>
      <c r="CU293" s="403"/>
      <c r="CV293" s="403"/>
      <c r="CW293" s="403"/>
      <c r="CX293" s="403"/>
      <c r="CY293" s="403"/>
      <c r="CZ293" s="403"/>
      <c r="DA293" s="403"/>
      <c r="DB293" s="403"/>
      <c r="DC293" s="403" t="s">
        <v>7423</v>
      </c>
      <c r="DD293" s="403"/>
      <c r="DE293" s="403"/>
      <c r="DF293" s="403"/>
      <c r="DG293" s="403"/>
      <c r="DH293" s="403"/>
      <c r="DI293" s="403"/>
      <c r="DJ293" s="403"/>
      <c r="DK293" s="403"/>
      <c r="DL293" s="403"/>
      <c r="DM293" s="403"/>
      <c r="DN293" s="403"/>
    </row>
    <row r="294" spans="3:118" s="241" customFormat="1" x14ac:dyDescent="0.2">
      <c r="C294" s="5" t="str">
        <f t="shared" ca="1" si="81"/>
        <v>Delivery Modality 4</v>
      </c>
      <c r="D294" s="26" t="e">
        <f t="shared" si="83"/>
        <v>#N/A</v>
      </c>
      <c r="G294" s="16" t="e">
        <f>'B5. Last Mile Delivery'!J283</f>
        <v>#N/A</v>
      </c>
      <c r="H294" s="16" t="e">
        <f>'B5. Last Mile Delivery'!K283</f>
        <v>#N/A</v>
      </c>
      <c r="I294" s="16" t="e">
        <f>'B5. Last Mile Delivery'!L283</f>
        <v>#N/A</v>
      </c>
      <c r="J294" s="16" t="e">
        <f>'B5. Last Mile Delivery'!M283</f>
        <v>#N/A</v>
      </c>
      <c r="K294" s="16" t="e">
        <f>'B5. Last Mile Delivery'!N283</f>
        <v>#N/A</v>
      </c>
      <c r="L294" s="16" t="e">
        <f>'B5. Last Mile Delivery'!O283</f>
        <v>#N/A</v>
      </c>
      <c r="N294" s="403"/>
      <c r="O294" s="403"/>
      <c r="P294" s="403"/>
      <c r="Q294" s="403" t="s">
        <v>1565</v>
      </c>
      <c r="R294" s="403"/>
      <c r="S294" s="403"/>
      <c r="T294" s="403"/>
      <c r="U294" s="403"/>
      <c r="V294" s="403"/>
      <c r="W294" s="403"/>
      <c r="X294" s="403"/>
      <c r="Y294" s="403"/>
      <c r="Z294" s="403"/>
      <c r="AA294" s="403"/>
      <c r="AB294" s="403"/>
      <c r="AC294" s="564"/>
      <c r="AD294" s="403"/>
      <c r="AE294" s="403"/>
      <c r="AF294" s="403" t="s">
        <v>7424</v>
      </c>
      <c r="AG294" s="403"/>
      <c r="AH294" s="403"/>
      <c r="AI294" s="403"/>
      <c r="AJ294" s="403"/>
      <c r="AK294" s="403"/>
      <c r="AL294" s="403"/>
      <c r="AM294" s="403"/>
      <c r="AN294" s="403"/>
      <c r="AO294" s="403"/>
      <c r="AP294" s="403"/>
      <c r="AQ294" s="403"/>
      <c r="AR294" s="403"/>
      <c r="AS294" s="403"/>
      <c r="AT294" s="403"/>
      <c r="AU294" s="403" t="s">
        <v>9726</v>
      </c>
      <c r="AV294" s="403"/>
      <c r="AW294" s="403"/>
      <c r="AX294" s="403"/>
      <c r="AY294" s="403"/>
      <c r="AZ294" s="403"/>
      <c r="BA294" s="403"/>
      <c r="BB294" s="403"/>
      <c r="BC294" s="403"/>
      <c r="BD294" s="403"/>
      <c r="BE294" s="403"/>
      <c r="BF294" s="403"/>
      <c r="BG294" s="403"/>
      <c r="BH294" s="403"/>
      <c r="BI294" s="403"/>
      <c r="BJ294" s="403" t="s">
        <v>7426</v>
      </c>
      <c r="BK294" s="403"/>
      <c r="BL294" s="403"/>
      <c r="BM294" s="403"/>
      <c r="BN294" s="403"/>
      <c r="BO294" s="403"/>
      <c r="BP294" s="403"/>
      <c r="BQ294" s="403"/>
      <c r="BR294" s="403"/>
      <c r="BS294" s="403"/>
      <c r="BT294" s="403"/>
      <c r="BU294" s="403"/>
      <c r="BV294" s="403"/>
      <c r="BW294" s="403"/>
      <c r="BX294" s="403"/>
      <c r="BY294" s="403" t="s">
        <v>7491</v>
      </c>
      <c r="BZ294" s="403"/>
      <c r="CA294" s="403"/>
      <c r="CB294" s="403"/>
      <c r="CC294" s="403"/>
      <c r="CD294" s="403"/>
      <c r="CE294" s="403"/>
      <c r="CF294" s="403"/>
      <c r="CG294" s="403"/>
      <c r="CH294" s="403"/>
      <c r="CI294" s="403"/>
      <c r="CJ294" s="403"/>
      <c r="CK294" s="403"/>
      <c r="CL294" s="403"/>
      <c r="CM294" s="403"/>
      <c r="CN294" s="403" t="s">
        <v>7428</v>
      </c>
      <c r="CO294" s="403"/>
      <c r="CP294" s="403"/>
      <c r="CQ294" s="403"/>
      <c r="CR294" s="403"/>
      <c r="CS294" s="403"/>
      <c r="CT294" s="403"/>
      <c r="CU294" s="403"/>
      <c r="CV294" s="403"/>
      <c r="CW294" s="403"/>
      <c r="CX294" s="403"/>
      <c r="CY294" s="403"/>
      <c r="CZ294" s="403"/>
      <c r="DA294" s="403"/>
      <c r="DB294" s="403"/>
      <c r="DC294" s="403" t="s">
        <v>7429</v>
      </c>
      <c r="DD294" s="403"/>
      <c r="DE294" s="403"/>
      <c r="DF294" s="403"/>
      <c r="DG294" s="403"/>
      <c r="DH294" s="403"/>
      <c r="DI294" s="403"/>
      <c r="DJ294" s="403"/>
      <c r="DK294" s="403"/>
      <c r="DL294" s="403"/>
      <c r="DM294" s="403"/>
      <c r="DN294" s="403"/>
    </row>
    <row r="295" spans="3:118" s="241" customFormat="1" ht="13.5" thickBot="1" x14ac:dyDescent="0.25">
      <c r="C295" s="21" t="str">
        <f t="shared" ca="1" si="81"/>
        <v>Total Vaccinator-Hours</v>
      </c>
      <c r="D295" s="119" t="e">
        <f>SUM(G295:L295)</f>
        <v>#N/A</v>
      </c>
      <c r="E295" s="20"/>
      <c r="F295" s="20"/>
      <c r="G295" s="161" t="e">
        <f>'B5. Last Mile Delivery'!J58</f>
        <v>#N/A</v>
      </c>
      <c r="H295" s="161" t="e">
        <f>'B5. Last Mile Delivery'!K58</f>
        <v>#N/A</v>
      </c>
      <c r="I295" s="161" t="e">
        <f>'B5. Last Mile Delivery'!L58</f>
        <v>#N/A</v>
      </c>
      <c r="J295" s="161" t="e">
        <f>'B5. Last Mile Delivery'!M58</f>
        <v>#N/A</v>
      </c>
      <c r="K295" s="161" t="e">
        <f>'B5. Last Mile Delivery'!N58</f>
        <v>#N/A</v>
      </c>
      <c r="L295" s="161" t="e">
        <f>'B5. Last Mile Delivery'!O58</f>
        <v>#N/A</v>
      </c>
      <c r="M295" s="12" t="str">
        <f ca="1">IF(OFFSET(AA295,0,Lang_Order*Lang__R1)="","",OFFSET(AA295,0,Lang_Order*Lang__R1))</f>
        <v>Time spent on vaccination alone - no travel, setup, etc.</v>
      </c>
      <c r="N295" s="403"/>
      <c r="O295" s="403"/>
      <c r="P295" s="403"/>
      <c r="Q295" s="403" t="s">
        <v>2997</v>
      </c>
      <c r="R295" s="403"/>
      <c r="S295" s="403"/>
      <c r="T295" s="403"/>
      <c r="U295" s="403"/>
      <c r="V295" s="403"/>
      <c r="W295" s="403"/>
      <c r="X295" s="403"/>
      <c r="Y295" s="403"/>
      <c r="Z295" s="403"/>
      <c r="AA295" s="403" t="s">
        <v>3944</v>
      </c>
      <c r="AB295" s="403"/>
      <c r="AC295" s="564"/>
      <c r="AD295" s="403"/>
      <c r="AE295" s="403"/>
      <c r="AF295" s="403" t="s">
        <v>12893</v>
      </c>
      <c r="AG295" s="403"/>
      <c r="AH295" s="403"/>
      <c r="AI295" s="403"/>
      <c r="AJ295" s="403"/>
      <c r="AK295" s="403"/>
      <c r="AL295" s="403"/>
      <c r="AM295" s="403"/>
      <c r="AN295" s="403"/>
      <c r="AO295" s="403"/>
      <c r="AP295" s="403" t="s">
        <v>12894</v>
      </c>
      <c r="AQ295" s="403"/>
      <c r="AR295" s="403"/>
      <c r="AS295" s="403"/>
      <c r="AT295" s="403"/>
      <c r="AU295" s="403" t="s">
        <v>11990</v>
      </c>
      <c r="AV295" s="403"/>
      <c r="AW295" s="403"/>
      <c r="AX295" s="403"/>
      <c r="AY295" s="403"/>
      <c r="AZ295" s="403"/>
      <c r="BA295" s="403"/>
      <c r="BB295" s="403"/>
      <c r="BC295" s="403"/>
      <c r="BD295" s="403"/>
      <c r="BE295" s="403" t="s">
        <v>12895</v>
      </c>
      <c r="BF295" s="403"/>
      <c r="BG295" s="403"/>
      <c r="BH295" s="403"/>
      <c r="BI295" s="403"/>
      <c r="BJ295" s="403" t="s">
        <v>11992</v>
      </c>
      <c r="BK295" s="403"/>
      <c r="BL295" s="403"/>
      <c r="BM295" s="403"/>
      <c r="BN295" s="403"/>
      <c r="BO295" s="403"/>
      <c r="BP295" s="403"/>
      <c r="BQ295" s="403"/>
      <c r="BR295" s="403"/>
      <c r="BS295" s="403"/>
      <c r="BT295" s="403" t="s">
        <v>12896</v>
      </c>
      <c r="BU295" s="403"/>
      <c r="BV295" s="403"/>
      <c r="BW295" s="403"/>
      <c r="BX295" s="403"/>
      <c r="BY295" s="403" t="s">
        <v>11994</v>
      </c>
      <c r="BZ295" s="403"/>
      <c r="CA295" s="403"/>
      <c r="CB295" s="403"/>
      <c r="CC295" s="403"/>
      <c r="CD295" s="403"/>
      <c r="CE295" s="403"/>
      <c r="CF295" s="403"/>
      <c r="CG295" s="403"/>
      <c r="CH295" s="403"/>
      <c r="CI295" s="403" t="s">
        <v>12897</v>
      </c>
      <c r="CJ295" s="403"/>
      <c r="CK295" s="403"/>
      <c r="CL295" s="403"/>
      <c r="CM295" s="403"/>
      <c r="CN295" s="403" t="s">
        <v>11996</v>
      </c>
      <c r="CO295" s="403"/>
      <c r="CP295" s="403"/>
      <c r="CQ295" s="403"/>
      <c r="CR295" s="403"/>
      <c r="CS295" s="403"/>
      <c r="CT295" s="403"/>
      <c r="CU295" s="403"/>
      <c r="CV295" s="403"/>
      <c r="CW295" s="403"/>
      <c r="CX295" s="403" t="s">
        <v>12898</v>
      </c>
      <c r="CY295" s="403"/>
      <c r="CZ295" s="403"/>
      <c r="DA295" s="403"/>
      <c r="DB295" s="403"/>
      <c r="DC295" s="403" t="s">
        <v>12899</v>
      </c>
      <c r="DD295" s="403"/>
      <c r="DE295" s="403"/>
      <c r="DF295" s="403"/>
      <c r="DG295" s="403"/>
      <c r="DH295" s="403"/>
      <c r="DI295" s="403"/>
      <c r="DJ295" s="403"/>
      <c r="DK295" s="403"/>
      <c r="DL295" s="403"/>
      <c r="DM295" s="403" t="s">
        <v>12900</v>
      </c>
      <c r="DN295" s="403"/>
    </row>
    <row r="296" spans="3:118" s="241" customFormat="1" ht="13.5" thickTop="1" x14ac:dyDescent="0.2">
      <c r="C296" s="31"/>
      <c r="D296" s="242"/>
      <c r="G296" s="242"/>
      <c r="H296" s="242"/>
      <c r="I296" s="242"/>
      <c r="J296" s="242"/>
      <c r="K296" s="242"/>
      <c r="L296" s="242"/>
      <c r="M296" s="2"/>
      <c r="N296" s="403"/>
      <c r="O296" s="403"/>
      <c r="P296" s="403"/>
      <c r="Q296" s="403"/>
      <c r="R296" s="403"/>
      <c r="S296" s="403"/>
      <c r="T296" s="403"/>
      <c r="U296" s="403"/>
      <c r="V296" s="403"/>
      <c r="W296" s="403"/>
      <c r="X296" s="403"/>
      <c r="Y296" s="403"/>
      <c r="Z296" s="403"/>
      <c r="AA296" s="403"/>
      <c r="AB296" s="403"/>
      <c r="AC296" s="564"/>
      <c r="AD296" s="403"/>
      <c r="AE296" s="403"/>
      <c r="AF296" s="403"/>
      <c r="AG296" s="403"/>
      <c r="AH296" s="403"/>
      <c r="AI296" s="403"/>
      <c r="AJ296" s="403"/>
      <c r="AK296" s="403"/>
      <c r="AL296" s="403"/>
      <c r="AM296" s="403"/>
      <c r="AN296" s="403"/>
      <c r="AO296" s="403"/>
      <c r="AP296" s="403"/>
      <c r="AQ296" s="403"/>
      <c r="AR296" s="403"/>
      <c r="AS296" s="403"/>
      <c r="AT296" s="403"/>
      <c r="AU296" s="403"/>
      <c r="AV296" s="403"/>
      <c r="AW296" s="403"/>
      <c r="AX296" s="403"/>
      <c r="AY296" s="403"/>
      <c r="AZ296" s="403"/>
      <c r="BA296" s="403"/>
      <c r="BB296" s="403"/>
      <c r="BC296" s="403"/>
      <c r="BD296" s="403"/>
      <c r="BE296" s="403"/>
      <c r="BF296" s="403"/>
      <c r="BG296" s="403"/>
      <c r="BH296" s="403"/>
      <c r="BI296" s="403"/>
      <c r="BJ296" s="403"/>
      <c r="BK296" s="403"/>
      <c r="BL296" s="403"/>
      <c r="BM296" s="403"/>
      <c r="BN296" s="403"/>
      <c r="BO296" s="403"/>
      <c r="BP296" s="403"/>
      <c r="BQ296" s="403"/>
      <c r="BR296" s="403"/>
      <c r="BS296" s="403"/>
      <c r="BT296" s="403"/>
      <c r="BU296" s="403"/>
      <c r="BV296" s="403"/>
      <c r="BW296" s="403"/>
      <c r="BX296" s="403"/>
      <c r="BY296" s="403"/>
      <c r="BZ296" s="403"/>
      <c r="CA296" s="403"/>
      <c r="CB296" s="403"/>
      <c r="CC296" s="403"/>
      <c r="CD296" s="403"/>
      <c r="CE296" s="403"/>
      <c r="CF296" s="403"/>
      <c r="CG296" s="403"/>
      <c r="CH296" s="403"/>
      <c r="CI296" s="403"/>
      <c r="CJ296" s="403"/>
      <c r="CK296" s="403"/>
      <c r="CL296" s="403"/>
      <c r="CM296" s="403"/>
      <c r="CN296" s="403"/>
      <c r="CO296" s="403"/>
      <c r="CP296" s="403"/>
      <c r="CQ296" s="403"/>
      <c r="CR296" s="403"/>
      <c r="CS296" s="403"/>
      <c r="CT296" s="403"/>
      <c r="CU296" s="403"/>
      <c r="CV296" s="403"/>
      <c r="CW296" s="403"/>
      <c r="CX296" s="403"/>
      <c r="CY296" s="403"/>
      <c r="CZ296" s="403"/>
      <c r="DA296" s="403"/>
      <c r="DB296" s="403"/>
      <c r="DC296" s="403"/>
      <c r="DD296" s="403"/>
      <c r="DE296" s="403"/>
      <c r="DF296" s="403"/>
      <c r="DG296" s="403"/>
      <c r="DH296" s="403"/>
      <c r="DI296" s="403"/>
      <c r="DJ296" s="403"/>
      <c r="DK296" s="403"/>
      <c r="DL296" s="403"/>
      <c r="DM296" s="403"/>
      <c r="DN296" s="403"/>
    </row>
    <row r="297" spans="3:118" s="241" customFormat="1" ht="15" x14ac:dyDescent="0.25">
      <c r="C297" s="619" t="str">
        <f t="shared" ref="C297:C302" ca="1" si="84">IF(OFFSET(Q297,0,Lang_Order*Lang__R1)="","",OFFSET(Q297,0,Lang_Order*Lang__R1))</f>
        <v>Mean vaccinator-days per current vaccinator per period</v>
      </c>
      <c r="D297" s="41"/>
      <c r="E297" s="25"/>
      <c r="F297" s="25"/>
      <c r="G297" s="41" t="str">
        <f t="shared" ref="G297:M297" ca="1" si="85">IF(OFFSET(U297,0,Lang_Order*Lang__R1)="","",OFFSET(U297,0,Lang_Order*Lang__R1))</f>
        <v>H1 2021</v>
      </c>
      <c r="H297" s="41" t="str">
        <f t="shared" ca="1" si="85"/>
        <v>H2 2021</v>
      </c>
      <c r="I297" s="41" t="str">
        <f t="shared" ca="1" si="85"/>
        <v>H1 2022</v>
      </c>
      <c r="J297" s="41" t="str">
        <f t="shared" ca="1" si="85"/>
        <v>H2 2022</v>
      </c>
      <c r="K297" s="41" t="str">
        <f t="shared" ca="1" si="85"/>
        <v>H1 2023</v>
      </c>
      <c r="L297" s="41" t="str">
        <f t="shared" ca="1" si="85"/>
        <v>H2 2023</v>
      </c>
      <c r="M297" s="12" t="str">
        <f t="shared" ca="1" si="85"/>
        <v>Each vaccinator works this number of days per time period</v>
      </c>
      <c r="N297" s="403"/>
      <c r="O297" s="403"/>
      <c r="P297" s="403"/>
      <c r="Q297" s="403" t="s">
        <v>3945</v>
      </c>
      <c r="R297" s="403"/>
      <c r="S297" s="403"/>
      <c r="T297" s="403"/>
      <c r="U297" s="403" t="s">
        <v>1597</v>
      </c>
      <c r="V297" s="403" t="s">
        <v>1598</v>
      </c>
      <c r="W297" s="403" t="s">
        <v>1599</v>
      </c>
      <c r="X297" s="403" t="s">
        <v>1600</v>
      </c>
      <c r="Y297" s="403" t="s">
        <v>1602</v>
      </c>
      <c r="Z297" s="403" t="s">
        <v>1601</v>
      </c>
      <c r="AA297" s="403" t="s">
        <v>2993</v>
      </c>
      <c r="AB297" s="403"/>
      <c r="AC297" s="564"/>
      <c r="AD297" s="403"/>
      <c r="AE297" s="403"/>
      <c r="AF297" s="403" t="s">
        <v>12901</v>
      </c>
      <c r="AG297" s="403"/>
      <c r="AH297" s="403"/>
      <c r="AI297" s="403"/>
      <c r="AJ297" s="403" t="s">
        <v>4663</v>
      </c>
      <c r="AK297" s="403" t="s">
        <v>4664</v>
      </c>
      <c r="AL297" s="403" t="s">
        <v>4665</v>
      </c>
      <c r="AM297" s="403" t="s">
        <v>4666</v>
      </c>
      <c r="AN297" s="403" t="s">
        <v>4667</v>
      </c>
      <c r="AO297" s="403" t="s">
        <v>4668</v>
      </c>
      <c r="AP297" s="403" t="s">
        <v>12902</v>
      </c>
      <c r="AQ297" s="403"/>
      <c r="AR297" s="403"/>
      <c r="AS297" s="403"/>
      <c r="AT297" s="403"/>
      <c r="AU297" s="403" t="s">
        <v>12903</v>
      </c>
      <c r="AV297" s="403"/>
      <c r="AW297" s="403"/>
      <c r="AX297" s="403"/>
      <c r="AY297" s="403" t="s">
        <v>4670</v>
      </c>
      <c r="AZ297" s="403" t="s">
        <v>4671</v>
      </c>
      <c r="BA297" s="403" t="s">
        <v>4672</v>
      </c>
      <c r="BB297" s="403" t="s">
        <v>4673</v>
      </c>
      <c r="BC297" s="403" t="s">
        <v>4674</v>
      </c>
      <c r="BD297" s="403" t="s">
        <v>4675</v>
      </c>
      <c r="BE297" s="403" t="s">
        <v>12904</v>
      </c>
      <c r="BF297" s="403"/>
      <c r="BG297" s="403"/>
      <c r="BH297" s="403"/>
      <c r="BI297" s="403"/>
      <c r="BJ297" s="403" t="s">
        <v>12905</v>
      </c>
      <c r="BK297" s="403"/>
      <c r="BL297" s="403"/>
      <c r="BM297" s="403"/>
      <c r="BN297" s="403" t="s">
        <v>1597</v>
      </c>
      <c r="BO297" s="403" t="s">
        <v>1598</v>
      </c>
      <c r="BP297" s="403" t="s">
        <v>1599</v>
      </c>
      <c r="BQ297" s="403" t="s">
        <v>1600</v>
      </c>
      <c r="BR297" s="403" t="s">
        <v>1602</v>
      </c>
      <c r="BS297" s="403" t="s">
        <v>1601</v>
      </c>
      <c r="BT297" s="403" t="s">
        <v>12906</v>
      </c>
      <c r="BU297" s="403"/>
      <c r="BV297" s="403"/>
      <c r="BW297" s="403"/>
      <c r="BX297" s="403"/>
      <c r="BY297" s="403" t="s">
        <v>12907</v>
      </c>
      <c r="BZ297" s="403"/>
      <c r="CA297" s="403"/>
      <c r="CB297" s="403"/>
      <c r="CC297" s="403" t="s">
        <v>4663</v>
      </c>
      <c r="CD297" s="403" t="s">
        <v>4664</v>
      </c>
      <c r="CE297" s="403" t="s">
        <v>4665</v>
      </c>
      <c r="CF297" s="403" t="s">
        <v>4666</v>
      </c>
      <c r="CG297" s="403" t="s">
        <v>4667</v>
      </c>
      <c r="CH297" s="403" t="s">
        <v>4668</v>
      </c>
      <c r="CI297" s="403" t="s">
        <v>12908</v>
      </c>
      <c r="CJ297" s="403"/>
      <c r="CK297" s="403"/>
      <c r="CL297" s="403"/>
      <c r="CM297" s="403"/>
      <c r="CN297" s="403" t="s">
        <v>12909</v>
      </c>
      <c r="CO297" s="403"/>
      <c r="CP297" s="403"/>
      <c r="CQ297" s="403"/>
      <c r="CR297" s="403" t="s">
        <v>4680</v>
      </c>
      <c r="CS297" s="403" t="s">
        <v>4681</v>
      </c>
      <c r="CT297" s="403" t="s">
        <v>4682</v>
      </c>
      <c r="CU297" s="403" t="s">
        <v>4683</v>
      </c>
      <c r="CV297" s="403" t="s">
        <v>4684</v>
      </c>
      <c r="CW297" s="403" t="s">
        <v>4685</v>
      </c>
      <c r="CX297" s="403" t="s">
        <v>12910</v>
      </c>
      <c r="CY297" s="403"/>
      <c r="CZ297" s="403"/>
      <c r="DA297" s="403"/>
      <c r="DB297" s="403"/>
      <c r="DC297" s="403" t="s">
        <v>12911</v>
      </c>
      <c r="DD297" s="403"/>
      <c r="DE297" s="403"/>
      <c r="DF297" s="403"/>
      <c r="DG297" s="403" t="s">
        <v>4688</v>
      </c>
      <c r="DH297" s="403" t="s">
        <v>4689</v>
      </c>
      <c r="DI297" s="403" t="s">
        <v>4690</v>
      </c>
      <c r="DJ297" s="403" t="s">
        <v>4691</v>
      </c>
      <c r="DK297" s="403" t="s">
        <v>4692</v>
      </c>
      <c r="DL297" s="403" t="s">
        <v>4693</v>
      </c>
      <c r="DM297" s="403" t="s">
        <v>12912</v>
      </c>
      <c r="DN297" s="403"/>
    </row>
    <row r="298" spans="3:118" s="241" customFormat="1" x14ac:dyDescent="0.2">
      <c r="C298" s="5" t="str">
        <f t="shared" ca="1" si="84"/>
        <v>Delivery Modality 1</v>
      </c>
      <c r="D298" s="242"/>
      <c r="E298" s="242"/>
      <c r="F298" s="242"/>
      <c r="G298" s="242" t="e">
        <f t="shared" ref="G298:L302" si="86">IF(G161=0,"",G170/G161)</f>
        <v>#N/A</v>
      </c>
      <c r="H298" s="242" t="e">
        <f t="shared" si="86"/>
        <v>#N/A</v>
      </c>
      <c r="I298" s="242" t="e">
        <f t="shared" si="86"/>
        <v>#N/A</v>
      </c>
      <c r="J298" s="242" t="e">
        <f t="shared" si="86"/>
        <v>#N/A</v>
      </c>
      <c r="K298" s="242" t="e">
        <f t="shared" si="86"/>
        <v>#N/A</v>
      </c>
      <c r="L298" s="242" t="e">
        <f t="shared" si="86"/>
        <v>#N/A</v>
      </c>
      <c r="M298" s="2"/>
      <c r="N298" s="403"/>
      <c r="O298" s="403"/>
      <c r="P298" s="403"/>
      <c r="Q298" s="403" t="s">
        <v>1632</v>
      </c>
      <c r="R298" s="403"/>
      <c r="S298" s="403"/>
      <c r="T298" s="403"/>
      <c r="U298" s="403" t="s">
        <v>197</v>
      </c>
      <c r="V298" s="403" t="s">
        <v>197</v>
      </c>
      <c r="W298" s="403" t="s">
        <v>197</v>
      </c>
      <c r="X298" s="403" t="s">
        <v>197</v>
      </c>
      <c r="Y298" s="403" t="s">
        <v>197</v>
      </c>
      <c r="Z298" s="403" t="s">
        <v>197</v>
      </c>
      <c r="AA298" s="403"/>
      <c r="AB298" s="403"/>
      <c r="AC298" s="564"/>
      <c r="AD298" s="403"/>
      <c r="AE298" s="403"/>
      <c r="AF298" s="403" t="s">
        <v>7476</v>
      </c>
      <c r="AG298" s="403"/>
      <c r="AH298" s="403"/>
      <c r="AI298" s="403"/>
      <c r="AJ298" s="403"/>
      <c r="AK298" s="403"/>
      <c r="AL298" s="403"/>
      <c r="AM298" s="403"/>
      <c r="AN298" s="403"/>
      <c r="AO298" s="403"/>
      <c r="AP298" s="403"/>
      <c r="AQ298" s="403"/>
      <c r="AR298" s="403"/>
      <c r="AS298" s="403"/>
      <c r="AT298" s="403"/>
      <c r="AU298" s="403" t="s">
        <v>9664</v>
      </c>
      <c r="AV298" s="403"/>
      <c r="AW298" s="403"/>
      <c r="AX298" s="403"/>
      <c r="AY298" s="403"/>
      <c r="AZ298" s="403"/>
      <c r="BA298" s="403"/>
      <c r="BB298" s="403"/>
      <c r="BC298" s="403"/>
      <c r="BD298" s="403"/>
      <c r="BE298" s="403"/>
      <c r="BF298" s="403"/>
      <c r="BG298" s="403"/>
      <c r="BH298" s="403"/>
      <c r="BI298" s="403"/>
      <c r="BJ298" s="403" t="s">
        <v>9666</v>
      </c>
      <c r="BK298" s="403"/>
      <c r="BL298" s="403"/>
      <c r="BM298" s="403"/>
      <c r="BN298" s="403"/>
      <c r="BO298" s="403"/>
      <c r="BP298" s="403"/>
      <c r="BQ298" s="403"/>
      <c r="BR298" s="403"/>
      <c r="BS298" s="403"/>
      <c r="BT298" s="403"/>
      <c r="BU298" s="403"/>
      <c r="BV298" s="403"/>
      <c r="BW298" s="403"/>
      <c r="BX298" s="403"/>
      <c r="BY298" s="403" t="s">
        <v>7479</v>
      </c>
      <c r="BZ298" s="403"/>
      <c r="CA298" s="403"/>
      <c r="CB298" s="403"/>
      <c r="CC298" s="403"/>
      <c r="CD298" s="403"/>
      <c r="CE298" s="403"/>
      <c r="CF298" s="403"/>
      <c r="CG298" s="403"/>
      <c r="CH298" s="403"/>
      <c r="CI298" s="403"/>
      <c r="CJ298" s="403"/>
      <c r="CK298" s="403"/>
      <c r="CL298" s="403"/>
      <c r="CM298" s="403"/>
      <c r="CN298" s="403" t="s">
        <v>7480</v>
      </c>
      <c r="CO298" s="403"/>
      <c r="CP298" s="403"/>
      <c r="CQ298" s="403"/>
      <c r="CR298" s="403"/>
      <c r="CS298" s="403"/>
      <c r="CT298" s="403"/>
      <c r="CU298" s="403"/>
      <c r="CV298" s="403"/>
      <c r="CW298" s="403"/>
      <c r="CX298" s="403"/>
      <c r="CY298" s="403"/>
      <c r="CZ298" s="403"/>
      <c r="DA298" s="403"/>
      <c r="DB298" s="403"/>
      <c r="DC298" s="403" t="s">
        <v>7481</v>
      </c>
      <c r="DD298" s="403"/>
      <c r="DE298" s="403"/>
      <c r="DF298" s="403"/>
      <c r="DG298" s="403"/>
      <c r="DH298" s="403"/>
      <c r="DI298" s="403"/>
      <c r="DJ298" s="403"/>
      <c r="DK298" s="403"/>
      <c r="DL298" s="403"/>
      <c r="DM298" s="403"/>
      <c r="DN298" s="403"/>
    </row>
    <row r="299" spans="3:118" s="241" customFormat="1" x14ac:dyDescent="0.2">
      <c r="C299" s="5" t="str">
        <f t="shared" ca="1" si="84"/>
        <v>Delivery Modality 2</v>
      </c>
      <c r="D299" s="242"/>
      <c r="E299" s="242"/>
      <c r="F299" s="242"/>
      <c r="G299" s="242" t="e">
        <f t="shared" si="86"/>
        <v>#N/A</v>
      </c>
      <c r="H299" s="242" t="e">
        <f t="shared" si="86"/>
        <v>#N/A</v>
      </c>
      <c r="I299" s="242" t="e">
        <f t="shared" si="86"/>
        <v>#N/A</v>
      </c>
      <c r="J299" s="242" t="e">
        <f t="shared" si="86"/>
        <v>#N/A</v>
      </c>
      <c r="K299" s="242" t="e">
        <f t="shared" si="86"/>
        <v>#N/A</v>
      </c>
      <c r="L299" s="242" t="e">
        <f t="shared" si="86"/>
        <v>#N/A</v>
      </c>
      <c r="M299" s="2"/>
      <c r="N299" s="403"/>
      <c r="O299" s="403"/>
      <c r="P299" s="403"/>
      <c r="Q299" s="403" t="s">
        <v>1639</v>
      </c>
      <c r="R299" s="403"/>
      <c r="S299" s="403"/>
      <c r="T299" s="403"/>
      <c r="U299" s="403" t="s">
        <v>197</v>
      </c>
      <c r="V299" s="403" t="s">
        <v>197</v>
      </c>
      <c r="W299" s="403" t="s">
        <v>197</v>
      </c>
      <c r="X299" s="403" t="s">
        <v>197</v>
      </c>
      <c r="Y299" s="403" t="s">
        <v>197</v>
      </c>
      <c r="Z299" s="403" t="s">
        <v>197</v>
      </c>
      <c r="AA299" s="403"/>
      <c r="AB299" s="403"/>
      <c r="AC299" s="564"/>
      <c r="AD299" s="403"/>
      <c r="AE299" s="403"/>
      <c r="AF299" s="403" t="s">
        <v>7482</v>
      </c>
      <c r="AG299" s="403"/>
      <c r="AH299" s="403"/>
      <c r="AI299" s="403"/>
      <c r="AJ299" s="403"/>
      <c r="AK299" s="403"/>
      <c r="AL299" s="403"/>
      <c r="AM299" s="403"/>
      <c r="AN299" s="403"/>
      <c r="AO299" s="403"/>
      <c r="AP299" s="403"/>
      <c r="AQ299" s="403"/>
      <c r="AR299" s="403"/>
      <c r="AS299" s="403"/>
      <c r="AT299" s="403"/>
      <c r="AU299" s="403" t="s">
        <v>9672</v>
      </c>
      <c r="AV299" s="403"/>
      <c r="AW299" s="403"/>
      <c r="AX299" s="403"/>
      <c r="AY299" s="403"/>
      <c r="AZ299" s="403"/>
      <c r="BA299" s="403"/>
      <c r="BB299" s="403"/>
      <c r="BC299" s="403"/>
      <c r="BD299" s="403"/>
      <c r="BE299" s="403"/>
      <c r="BF299" s="403"/>
      <c r="BG299" s="403"/>
      <c r="BH299" s="403"/>
      <c r="BI299" s="403"/>
      <c r="BJ299" s="403" t="s">
        <v>9673</v>
      </c>
      <c r="BK299" s="403"/>
      <c r="BL299" s="403"/>
      <c r="BM299" s="403"/>
      <c r="BN299" s="403"/>
      <c r="BO299" s="403"/>
      <c r="BP299" s="403"/>
      <c r="BQ299" s="403"/>
      <c r="BR299" s="403"/>
      <c r="BS299" s="403"/>
      <c r="BT299" s="403"/>
      <c r="BU299" s="403"/>
      <c r="BV299" s="403"/>
      <c r="BW299" s="403"/>
      <c r="BX299" s="403"/>
      <c r="BY299" s="403" t="s">
        <v>7485</v>
      </c>
      <c r="BZ299" s="403"/>
      <c r="CA299" s="403"/>
      <c r="CB299" s="403"/>
      <c r="CC299" s="403"/>
      <c r="CD299" s="403"/>
      <c r="CE299" s="403"/>
      <c r="CF299" s="403"/>
      <c r="CG299" s="403"/>
      <c r="CH299" s="403"/>
      <c r="CI299" s="403"/>
      <c r="CJ299" s="403"/>
      <c r="CK299" s="403"/>
      <c r="CL299" s="403"/>
      <c r="CM299" s="403"/>
      <c r="CN299" s="403" t="s">
        <v>7486</v>
      </c>
      <c r="CO299" s="403"/>
      <c r="CP299" s="403"/>
      <c r="CQ299" s="403"/>
      <c r="CR299" s="403"/>
      <c r="CS299" s="403"/>
      <c r="CT299" s="403"/>
      <c r="CU299" s="403"/>
      <c r="CV299" s="403"/>
      <c r="CW299" s="403"/>
      <c r="CX299" s="403"/>
      <c r="CY299" s="403"/>
      <c r="CZ299" s="403"/>
      <c r="DA299" s="403"/>
      <c r="DB299" s="403"/>
      <c r="DC299" s="403" t="s">
        <v>7487</v>
      </c>
      <c r="DD299" s="403"/>
      <c r="DE299" s="403"/>
      <c r="DF299" s="403"/>
      <c r="DG299" s="403"/>
      <c r="DH299" s="403"/>
      <c r="DI299" s="403"/>
      <c r="DJ299" s="403"/>
      <c r="DK299" s="403"/>
      <c r="DL299" s="403"/>
      <c r="DM299" s="403"/>
      <c r="DN299" s="403"/>
    </row>
    <row r="300" spans="3:118" s="241" customFormat="1" x14ac:dyDescent="0.2">
      <c r="C300" s="5" t="str">
        <f t="shared" ca="1" si="84"/>
        <v>Delivery Modality 3</v>
      </c>
      <c r="D300" s="242"/>
      <c r="E300" s="242"/>
      <c r="F300" s="242"/>
      <c r="G300" s="242" t="e">
        <f t="shared" si="86"/>
        <v>#N/A</v>
      </c>
      <c r="H300" s="242" t="e">
        <f t="shared" si="86"/>
        <v>#N/A</v>
      </c>
      <c r="I300" s="242" t="e">
        <f t="shared" si="86"/>
        <v>#N/A</v>
      </c>
      <c r="J300" s="242" t="e">
        <f t="shared" si="86"/>
        <v>#N/A</v>
      </c>
      <c r="K300" s="242" t="e">
        <f t="shared" si="86"/>
        <v>#N/A</v>
      </c>
      <c r="L300" s="242" t="e">
        <f t="shared" si="86"/>
        <v>#N/A</v>
      </c>
      <c r="M300" s="2"/>
      <c r="N300" s="403"/>
      <c r="O300" s="403"/>
      <c r="P300" s="403"/>
      <c r="Q300" s="403" t="s">
        <v>1564</v>
      </c>
      <c r="R300" s="403"/>
      <c r="S300" s="403"/>
      <c r="T300" s="403"/>
      <c r="U300" s="403" t="s">
        <v>197</v>
      </c>
      <c r="V300" s="403" t="s">
        <v>197</v>
      </c>
      <c r="W300" s="403" t="s">
        <v>197</v>
      </c>
      <c r="X300" s="403" t="s">
        <v>197</v>
      </c>
      <c r="Y300" s="403" t="s">
        <v>197</v>
      </c>
      <c r="Z300" s="403" t="s">
        <v>197</v>
      </c>
      <c r="AA300" s="403"/>
      <c r="AB300" s="403"/>
      <c r="AC300" s="564"/>
      <c r="AD300" s="403"/>
      <c r="AE300" s="403"/>
      <c r="AF300" s="403" t="s">
        <v>7418</v>
      </c>
      <c r="AG300" s="403"/>
      <c r="AH300" s="403"/>
      <c r="AI300" s="403"/>
      <c r="AJ300" s="403"/>
      <c r="AK300" s="403"/>
      <c r="AL300" s="403"/>
      <c r="AM300" s="403"/>
      <c r="AN300" s="403"/>
      <c r="AO300" s="403"/>
      <c r="AP300" s="403"/>
      <c r="AQ300" s="403"/>
      <c r="AR300" s="403"/>
      <c r="AS300" s="403"/>
      <c r="AT300" s="403"/>
      <c r="AU300" s="403" t="s">
        <v>9676</v>
      </c>
      <c r="AV300" s="403"/>
      <c r="AW300" s="403"/>
      <c r="AX300" s="403"/>
      <c r="AY300" s="403"/>
      <c r="AZ300" s="403"/>
      <c r="BA300" s="403"/>
      <c r="BB300" s="403"/>
      <c r="BC300" s="403"/>
      <c r="BD300" s="403"/>
      <c r="BE300" s="403"/>
      <c r="BF300" s="403"/>
      <c r="BG300" s="403"/>
      <c r="BH300" s="403"/>
      <c r="BI300" s="403"/>
      <c r="BJ300" s="403" t="s">
        <v>7420</v>
      </c>
      <c r="BK300" s="403"/>
      <c r="BL300" s="403"/>
      <c r="BM300" s="403"/>
      <c r="BN300" s="403"/>
      <c r="BO300" s="403"/>
      <c r="BP300" s="403"/>
      <c r="BQ300" s="403"/>
      <c r="BR300" s="403"/>
      <c r="BS300" s="403"/>
      <c r="BT300" s="403"/>
      <c r="BU300" s="403"/>
      <c r="BV300" s="403"/>
      <c r="BW300" s="403"/>
      <c r="BX300" s="403"/>
      <c r="BY300" s="403" t="s">
        <v>7489</v>
      </c>
      <c r="BZ300" s="403"/>
      <c r="CA300" s="403"/>
      <c r="CB300" s="403"/>
      <c r="CC300" s="403"/>
      <c r="CD300" s="403"/>
      <c r="CE300" s="403"/>
      <c r="CF300" s="403"/>
      <c r="CG300" s="403"/>
      <c r="CH300" s="403"/>
      <c r="CI300" s="403"/>
      <c r="CJ300" s="403"/>
      <c r="CK300" s="403"/>
      <c r="CL300" s="403"/>
      <c r="CM300" s="403"/>
      <c r="CN300" s="403" t="s">
        <v>7422</v>
      </c>
      <c r="CO300" s="403"/>
      <c r="CP300" s="403"/>
      <c r="CQ300" s="403"/>
      <c r="CR300" s="403"/>
      <c r="CS300" s="403"/>
      <c r="CT300" s="403"/>
      <c r="CU300" s="403"/>
      <c r="CV300" s="403"/>
      <c r="CW300" s="403"/>
      <c r="CX300" s="403"/>
      <c r="CY300" s="403"/>
      <c r="CZ300" s="403"/>
      <c r="DA300" s="403"/>
      <c r="DB300" s="403"/>
      <c r="DC300" s="403" t="s">
        <v>7423</v>
      </c>
      <c r="DD300" s="403"/>
      <c r="DE300" s="403"/>
      <c r="DF300" s="403"/>
      <c r="DG300" s="403"/>
      <c r="DH300" s="403"/>
      <c r="DI300" s="403"/>
      <c r="DJ300" s="403"/>
      <c r="DK300" s="403"/>
      <c r="DL300" s="403"/>
      <c r="DM300" s="403"/>
      <c r="DN300" s="403"/>
    </row>
    <row r="301" spans="3:118" s="241" customFormat="1" x14ac:dyDescent="0.2">
      <c r="C301" s="5" t="str">
        <f t="shared" ca="1" si="84"/>
        <v>Delivery Modality 4</v>
      </c>
      <c r="D301" s="242"/>
      <c r="E301" s="242"/>
      <c r="F301" s="242"/>
      <c r="G301" s="242" t="e">
        <f t="shared" si="86"/>
        <v>#N/A</v>
      </c>
      <c r="H301" s="242" t="e">
        <f t="shared" si="86"/>
        <v>#N/A</v>
      </c>
      <c r="I301" s="242" t="e">
        <f t="shared" si="86"/>
        <v>#N/A</v>
      </c>
      <c r="J301" s="242" t="e">
        <f t="shared" si="86"/>
        <v>#N/A</v>
      </c>
      <c r="K301" s="242" t="e">
        <f t="shared" si="86"/>
        <v>#N/A</v>
      </c>
      <c r="L301" s="242" t="e">
        <f t="shared" si="86"/>
        <v>#N/A</v>
      </c>
      <c r="M301" s="2"/>
      <c r="N301" s="403"/>
      <c r="O301" s="403"/>
      <c r="P301" s="403"/>
      <c r="Q301" s="403" t="s">
        <v>1565</v>
      </c>
      <c r="R301" s="403"/>
      <c r="S301" s="403"/>
      <c r="T301" s="403"/>
      <c r="U301" s="403" t="s">
        <v>197</v>
      </c>
      <c r="V301" s="403" t="s">
        <v>197</v>
      </c>
      <c r="W301" s="403" t="s">
        <v>197</v>
      </c>
      <c r="X301" s="403" t="s">
        <v>197</v>
      </c>
      <c r="Y301" s="403" t="s">
        <v>197</v>
      </c>
      <c r="Z301" s="403" t="s">
        <v>197</v>
      </c>
      <c r="AA301" s="403"/>
      <c r="AB301" s="403"/>
      <c r="AC301" s="564"/>
      <c r="AD301" s="403"/>
      <c r="AE301" s="403"/>
      <c r="AF301" s="403" t="s">
        <v>7424</v>
      </c>
      <c r="AG301" s="403"/>
      <c r="AH301" s="403"/>
      <c r="AI301" s="403"/>
      <c r="AJ301" s="403"/>
      <c r="AK301" s="403"/>
      <c r="AL301" s="403"/>
      <c r="AM301" s="403"/>
      <c r="AN301" s="403"/>
      <c r="AO301" s="403"/>
      <c r="AP301" s="403"/>
      <c r="AQ301" s="403"/>
      <c r="AR301" s="403"/>
      <c r="AS301" s="403"/>
      <c r="AT301" s="403"/>
      <c r="AU301" s="403" t="s">
        <v>9726</v>
      </c>
      <c r="AV301" s="403"/>
      <c r="AW301" s="403"/>
      <c r="AX301" s="403"/>
      <c r="AY301" s="403"/>
      <c r="AZ301" s="403"/>
      <c r="BA301" s="403"/>
      <c r="BB301" s="403"/>
      <c r="BC301" s="403"/>
      <c r="BD301" s="403"/>
      <c r="BE301" s="403"/>
      <c r="BF301" s="403"/>
      <c r="BG301" s="403"/>
      <c r="BH301" s="403"/>
      <c r="BI301" s="403"/>
      <c r="BJ301" s="403" t="s">
        <v>7426</v>
      </c>
      <c r="BK301" s="403"/>
      <c r="BL301" s="403"/>
      <c r="BM301" s="403"/>
      <c r="BN301" s="403"/>
      <c r="BO301" s="403"/>
      <c r="BP301" s="403"/>
      <c r="BQ301" s="403"/>
      <c r="BR301" s="403"/>
      <c r="BS301" s="403"/>
      <c r="BT301" s="403"/>
      <c r="BU301" s="403"/>
      <c r="BV301" s="403"/>
      <c r="BW301" s="403"/>
      <c r="BX301" s="403"/>
      <c r="BY301" s="403" t="s">
        <v>7491</v>
      </c>
      <c r="BZ301" s="403"/>
      <c r="CA301" s="403"/>
      <c r="CB301" s="403"/>
      <c r="CC301" s="403"/>
      <c r="CD301" s="403"/>
      <c r="CE301" s="403"/>
      <c r="CF301" s="403"/>
      <c r="CG301" s="403"/>
      <c r="CH301" s="403"/>
      <c r="CI301" s="403"/>
      <c r="CJ301" s="403"/>
      <c r="CK301" s="403"/>
      <c r="CL301" s="403"/>
      <c r="CM301" s="403"/>
      <c r="CN301" s="403" t="s">
        <v>7428</v>
      </c>
      <c r="CO301" s="403"/>
      <c r="CP301" s="403"/>
      <c r="CQ301" s="403"/>
      <c r="CR301" s="403"/>
      <c r="CS301" s="403"/>
      <c r="CT301" s="403"/>
      <c r="CU301" s="403"/>
      <c r="CV301" s="403"/>
      <c r="CW301" s="403"/>
      <c r="CX301" s="403"/>
      <c r="CY301" s="403"/>
      <c r="CZ301" s="403"/>
      <c r="DA301" s="403"/>
      <c r="DB301" s="403"/>
      <c r="DC301" s="403" t="s">
        <v>7429</v>
      </c>
      <c r="DD301" s="403"/>
      <c r="DE301" s="403"/>
      <c r="DF301" s="403"/>
      <c r="DG301" s="403"/>
      <c r="DH301" s="403"/>
      <c r="DI301" s="403"/>
      <c r="DJ301" s="403"/>
      <c r="DK301" s="403"/>
      <c r="DL301" s="403"/>
      <c r="DM301" s="403"/>
      <c r="DN301" s="403"/>
    </row>
    <row r="302" spans="3:118" s="241" customFormat="1" ht="13.5" thickBot="1" x14ac:dyDescent="0.25">
      <c r="C302" s="21" t="str">
        <f t="shared" ca="1" si="84"/>
        <v>All delivery modalities</v>
      </c>
      <c r="D302" s="248"/>
      <c r="E302" s="248"/>
      <c r="F302" s="248"/>
      <c r="G302" s="248" t="e">
        <f t="shared" si="86"/>
        <v>#N/A</v>
      </c>
      <c r="H302" s="248" t="e">
        <f t="shared" si="86"/>
        <v>#N/A</v>
      </c>
      <c r="I302" s="248" t="e">
        <f t="shared" si="86"/>
        <v>#N/A</v>
      </c>
      <c r="J302" s="248" t="e">
        <f t="shared" si="86"/>
        <v>#N/A</v>
      </c>
      <c r="K302" s="248" t="e">
        <f t="shared" si="86"/>
        <v>#N/A</v>
      </c>
      <c r="L302" s="248" t="e">
        <f t="shared" si="86"/>
        <v>#N/A</v>
      </c>
      <c r="M302" s="2"/>
      <c r="N302" s="403"/>
      <c r="O302" s="403"/>
      <c r="P302" s="403"/>
      <c r="Q302" s="403" t="s">
        <v>2998</v>
      </c>
      <c r="R302" s="403"/>
      <c r="S302" s="403"/>
      <c r="T302" s="403"/>
      <c r="U302" s="403" t="s">
        <v>197</v>
      </c>
      <c r="V302" s="403" t="s">
        <v>197</v>
      </c>
      <c r="W302" s="403" t="s">
        <v>197</v>
      </c>
      <c r="X302" s="403" t="s">
        <v>197</v>
      </c>
      <c r="Y302" s="403" t="s">
        <v>197</v>
      </c>
      <c r="Z302" s="403" t="s">
        <v>197</v>
      </c>
      <c r="AA302" s="403"/>
      <c r="AB302" s="403"/>
      <c r="AC302" s="564"/>
      <c r="AD302" s="403"/>
      <c r="AE302" s="403"/>
      <c r="AF302" s="403" t="s">
        <v>12913</v>
      </c>
      <c r="AG302" s="403"/>
      <c r="AH302" s="403"/>
      <c r="AI302" s="403"/>
      <c r="AJ302" s="403"/>
      <c r="AK302" s="403"/>
      <c r="AL302" s="403"/>
      <c r="AM302" s="403"/>
      <c r="AN302" s="403"/>
      <c r="AO302" s="403"/>
      <c r="AP302" s="403"/>
      <c r="AQ302" s="403"/>
      <c r="AR302" s="403"/>
      <c r="AS302" s="403"/>
      <c r="AT302" s="403"/>
      <c r="AU302" s="403" t="s">
        <v>12914</v>
      </c>
      <c r="AV302" s="403"/>
      <c r="AW302" s="403"/>
      <c r="AX302" s="403"/>
      <c r="AY302" s="403"/>
      <c r="AZ302" s="403"/>
      <c r="BA302" s="403"/>
      <c r="BB302" s="403"/>
      <c r="BC302" s="403"/>
      <c r="BD302" s="403"/>
      <c r="BE302" s="403"/>
      <c r="BF302" s="403"/>
      <c r="BG302" s="403"/>
      <c r="BH302" s="403"/>
      <c r="BI302" s="403"/>
      <c r="BJ302" s="403" t="s">
        <v>12915</v>
      </c>
      <c r="BK302" s="403"/>
      <c r="BL302" s="403"/>
      <c r="BM302" s="403"/>
      <c r="BN302" s="403"/>
      <c r="BO302" s="403"/>
      <c r="BP302" s="403"/>
      <c r="BQ302" s="403"/>
      <c r="BR302" s="403"/>
      <c r="BS302" s="403"/>
      <c r="BT302" s="403"/>
      <c r="BU302" s="403"/>
      <c r="BV302" s="403"/>
      <c r="BW302" s="403"/>
      <c r="BX302" s="403"/>
      <c r="BY302" s="403" t="s">
        <v>12916</v>
      </c>
      <c r="BZ302" s="403"/>
      <c r="CA302" s="403"/>
      <c r="CB302" s="403"/>
      <c r="CC302" s="403"/>
      <c r="CD302" s="403"/>
      <c r="CE302" s="403"/>
      <c r="CF302" s="403"/>
      <c r="CG302" s="403"/>
      <c r="CH302" s="403"/>
      <c r="CI302" s="403"/>
      <c r="CJ302" s="403"/>
      <c r="CK302" s="403"/>
      <c r="CL302" s="403"/>
      <c r="CM302" s="403"/>
      <c r="CN302" s="403" t="s">
        <v>12917</v>
      </c>
      <c r="CO302" s="403"/>
      <c r="CP302" s="403"/>
      <c r="CQ302" s="403"/>
      <c r="CR302" s="403"/>
      <c r="CS302" s="403"/>
      <c r="CT302" s="403"/>
      <c r="CU302" s="403"/>
      <c r="CV302" s="403"/>
      <c r="CW302" s="403"/>
      <c r="CX302" s="403"/>
      <c r="CY302" s="403"/>
      <c r="CZ302" s="403"/>
      <c r="DA302" s="403"/>
      <c r="DB302" s="403"/>
      <c r="DC302" s="403" t="s">
        <v>12918</v>
      </c>
      <c r="DD302" s="403"/>
      <c r="DE302" s="403"/>
      <c r="DF302" s="403"/>
      <c r="DG302" s="403"/>
      <c r="DH302" s="403"/>
      <c r="DI302" s="403"/>
      <c r="DJ302" s="403"/>
      <c r="DK302" s="403"/>
      <c r="DL302" s="403"/>
      <c r="DM302" s="403"/>
      <c r="DN302" s="403"/>
    </row>
    <row r="303" spans="3:118" s="241" customFormat="1" ht="13.5" thickTop="1" x14ac:dyDescent="0.2">
      <c r="C303" s="31"/>
      <c r="D303" s="242"/>
      <c r="G303" s="242"/>
      <c r="H303" s="242"/>
      <c r="I303" s="242"/>
      <c r="J303" s="242"/>
      <c r="K303" s="242"/>
      <c r="L303" s="242"/>
      <c r="M303" s="2"/>
      <c r="N303" s="403"/>
      <c r="O303" s="403"/>
      <c r="P303" s="403"/>
      <c r="Q303" s="403"/>
      <c r="R303" s="403"/>
      <c r="S303" s="403"/>
      <c r="T303" s="403"/>
      <c r="U303" s="403"/>
      <c r="V303" s="403"/>
      <c r="W303" s="403"/>
      <c r="X303" s="403"/>
      <c r="Y303" s="403"/>
      <c r="Z303" s="403"/>
      <c r="AA303" s="403"/>
      <c r="AB303" s="403"/>
      <c r="AC303" s="564"/>
      <c r="AD303" s="403"/>
      <c r="AE303" s="403"/>
      <c r="AF303" s="403"/>
      <c r="AG303" s="403"/>
      <c r="AH303" s="403"/>
      <c r="AI303" s="403"/>
      <c r="AJ303" s="403"/>
      <c r="AK303" s="403"/>
      <c r="AL303" s="403"/>
      <c r="AM303" s="403"/>
      <c r="AN303" s="403"/>
      <c r="AO303" s="403"/>
      <c r="AP303" s="403"/>
      <c r="AQ303" s="403"/>
      <c r="AR303" s="403"/>
      <c r="AS303" s="403"/>
      <c r="AT303" s="403"/>
      <c r="AU303" s="403"/>
      <c r="AV303" s="403"/>
      <c r="AW303" s="403"/>
      <c r="AX303" s="403"/>
      <c r="AY303" s="403"/>
      <c r="AZ303" s="403"/>
      <c r="BA303" s="403"/>
      <c r="BB303" s="403"/>
      <c r="BC303" s="403"/>
      <c r="BD303" s="403"/>
      <c r="BE303" s="403"/>
      <c r="BF303" s="403"/>
      <c r="BG303" s="403"/>
      <c r="BH303" s="403"/>
      <c r="BI303" s="403"/>
      <c r="BJ303" s="403"/>
      <c r="BK303" s="403"/>
      <c r="BL303" s="403"/>
      <c r="BM303" s="403"/>
      <c r="BN303" s="403"/>
      <c r="BO303" s="403"/>
      <c r="BP303" s="403"/>
      <c r="BQ303" s="403"/>
      <c r="BR303" s="403"/>
      <c r="BS303" s="403"/>
      <c r="BT303" s="403"/>
      <c r="BU303" s="403"/>
      <c r="BV303" s="403"/>
      <c r="BW303" s="403"/>
      <c r="BX303" s="403"/>
      <c r="BY303" s="403"/>
      <c r="BZ303" s="403"/>
      <c r="CA303" s="403"/>
      <c r="CB303" s="403"/>
      <c r="CC303" s="403"/>
      <c r="CD303" s="403"/>
      <c r="CE303" s="403"/>
      <c r="CF303" s="403"/>
      <c r="CG303" s="403"/>
      <c r="CH303" s="403"/>
      <c r="CI303" s="403"/>
      <c r="CJ303" s="403"/>
      <c r="CK303" s="403"/>
      <c r="CL303" s="403"/>
      <c r="CM303" s="403"/>
      <c r="CN303" s="403"/>
      <c r="CO303" s="403"/>
      <c r="CP303" s="403"/>
      <c r="CQ303" s="403"/>
      <c r="CR303" s="403"/>
      <c r="CS303" s="403"/>
      <c r="CT303" s="403"/>
      <c r="CU303" s="403"/>
      <c r="CV303" s="403"/>
      <c r="CW303" s="403"/>
      <c r="CX303" s="403"/>
      <c r="CY303" s="403"/>
      <c r="CZ303" s="403"/>
      <c r="DA303" s="403"/>
      <c r="DB303" s="403"/>
      <c r="DC303" s="403"/>
      <c r="DD303" s="403"/>
      <c r="DE303" s="403"/>
      <c r="DF303" s="403"/>
      <c r="DG303" s="403"/>
      <c r="DH303" s="403"/>
      <c r="DI303" s="403"/>
      <c r="DJ303" s="403"/>
      <c r="DK303" s="403"/>
      <c r="DL303" s="403"/>
      <c r="DM303" s="403"/>
      <c r="DN303" s="403"/>
    </row>
    <row r="304" spans="3:118" s="241" customFormat="1" ht="15" x14ac:dyDescent="0.25">
      <c r="C304" s="619" t="str">
        <f t="shared" ref="C304:C309" ca="1" si="87">IF(OFFSET(Q304,0,Lang_Order*Lang__R1)="","",OFFSET(Q304,0,Lang_Order*Lang__R1))</f>
        <v>Mean vaccinator-days per current vaccinator (hourly calc)</v>
      </c>
      <c r="D304" s="41"/>
      <c r="E304" s="25"/>
      <c r="F304" s="25"/>
      <c r="G304" s="41" t="str">
        <f t="shared" ref="G304:M304" ca="1" si="88">IF(OFFSET(U304,0,Lang_Order*Lang__R1)="","",OFFSET(U304,0,Lang_Order*Lang__R1))</f>
        <v>H1 2021</v>
      </c>
      <c r="H304" s="41" t="str">
        <f t="shared" ca="1" si="88"/>
        <v>H2 2021</v>
      </c>
      <c r="I304" s="41" t="str">
        <f t="shared" ca="1" si="88"/>
        <v>H1 2022</v>
      </c>
      <c r="J304" s="41" t="str">
        <f t="shared" ca="1" si="88"/>
        <v>H2 2022</v>
      </c>
      <c r="K304" s="41" t="str">
        <f t="shared" ca="1" si="88"/>
        <v>H1 2023</v>
      </c>
      <c r="L304" s="41" t="str">
        <f t="shared" ca="1" si="88"/>
        <v>H2 2023</v>
      </c>
      <c r="M304" s="12" t="str">
        <f t="shared" ca="1" si="88"/>
        <v>Each vaccinator works this number of days per time period (based on an hourly calculation)</v>
      </c>
      <c r="N304" s="403"/>
      <c r="O304" s="403"/>
      <c r="P304" s="403"/>
      <c r="Q304" s="403" t="s">
        <v>2999</v>
      </c>
      <c r="R304" s="403"/>
      <c r="S304" s="403"/>
      <c r="T304" s="403"/>
      <c r="U304" s="403" t="s">
        <v>1597</v>
      </c>
      <c r="V304" s="403" t="s">
        <v>1598</v>
      </c>
      <c r="W304" s="403" t="s">
        <v>1599</v>
      </c>
      <c r="X304" s="403" t="s">
        <v>1600</v>
      </c>
      <c r="Y304" s="403" t="s">
        <v>1602</v>
      </c>
      <c r="Z304" s="403" t="s">
        <v>1601</v>
      </c>
      <c r="AA304" s="403" t="s">
        <v>2994</v>
      </c>
      <c r="AB304" s="403"/>
      <c r="AC304" s="564"/>
      <c r="AD304" s="403"/>
      <c r="AE304" s="403"/>
      <c r="AF304" s="403" t="s">
        <v>12919</v>
      </c>
      <c r="AG304" s="403"/>
      <c r="AH304" s="403"/>
      <c r="AI304" s="403"/>
      <c r="AJ304" s="403" t="s">
        <v>4663</v>
      </c>
      <c r="AK304" s="403" t="s">
        <v>4664</v>
      </c>
      <c r="AL304" s="403" t="s">
        <v>4665</v>
      </c>
      <c r="AM304" s="403" t="s">
        <v>4666</v>
      </c>
      <c r="AN304" s="403" t="s">
        <v>4667</v>
      </c>
      <c r="AO304" s="403" t="s">
        <v>4668</v>
      </c>
      <c r="AP304" s="403" t="s">
        <v>12920</v>
      </c>
      <c r="AQ304" s="403"/>
      <c r="AR304" s="403"/>
      <c r="AS304" s="403"/>
      <c r="AT304" s="403"/>
      <c r="AU304" s="403" t="s">
        <v>12921</v>
      </c>
      <c r="AV304" s="403"/>
      <c r="AW304" s="403"/>
      <c r="AX304" s="403"/>
      <c r="AY304" s="403" t="s">
        <v>4670</v>
      </c>
      <c r="AZ304" s="403" t="s">
        <v>4671</v>
      </c>
      <c r="BA304" s="403" t="s">
        <v>4672</v>
      </c>
      <c r="BB304" s="403" t="s">
        <v>4673</v>
      </c>
      <c r="BC304" s="403" t="s">
        <v>4674</v>
      </c>
      <c r="BD304" s="403" t="s">
        <v>4675</v>
      </c>
      <c r="BE304" s="403" t="s">
        <v>12922</v>
      </c>
      <c r="BF304" s="403"/>
      <c r="BG304" s="403"/>
      <c r="BH304" s="403"/>
      <c r="BI304" s="403"/>
      <c r="BJ304" s="403" t="s">
        <v>12923</v>
      </c>
      <c r="BK304" s="403"/>
      <c r="BL304" s="403"/>
      <c r="BM304" s="403"/>
      <c r="BN304" s="403" t="s">
        <v>1597</v>
      </c>
      <c r="BO304" s="403" t="s">
        <v>1598</v>
      </c>
      <c r="BP304" s="403" t="s">
        <v>1599</v>
      </c>
      <c r="BQ304" s="403" t="s">
        <v>1600</v>
      </c>
      <c r="BR304" s="403" t="s">
        <v>1602</v>
      </c>
      <c r="BS304" s="403" t="s">
        <v>1601</v>
      </c>
      <c r="BT304" s="403" t="s">
        <v>12924</v>
      </c>
      <c r="BU304" s="403"/>
      <c r="BV304" s="403"/>
      <c r="BW304" s="403"/>
      <c r="BX304" s="403"/>
      <c r="BY304" s="403" t="s">
        <v>12925</v>
      </c>
      <c r="BZ304" s="403"/>
      <c r="CA304" s="403"/>
      <c r="CB304" s="403"/>
      <c r="CC304" s="403" t="s">
        <v>4663</v>
      </c>
      <c r="CD304" s="403" t="s">
        <v>4664</v>
      </c>
      <c r="CE304" s="403" t="s">
        <v>4665</v>
      </c>
      <c r="CF304" s="403" t="s">
        <v>4666</v>
      </c>
      <c r="CG304" s="403" t="s">
        <v>4667</v>
      </c>
      <c r="CH304" s="403" t="s">
        <v>4668</v>
      </c>
      <c r="CI304" s="403" t="s">
        <v>12926</v>
      </c>
      <c r="CJ304" s="403"/>
      <c r="CK304" s="403"/>
      <c r="CL304" s="403"/>
      <c r="CM304" s="403"/>
      <c r="CN304" s="403" t="s">
        <v>12927</v>
      </c>
      <c r="CO304" s="403"/>
      <c r="CP304" s="403"/>
      <c r="CQ304" s="403"/>
      <c r="CR304" s="403" t="s">
        <v>4680</v>
      </c>
      <c r="CS304" s="403" t="s">
        <v>4681</v>
      </c>
      <c r="CT304" s="403" t="s">
        <v>4682</v>
      </c>
      <c r="CU304" s="403" t="s">
        <v>4683</v>
      </c>
      <c r="CV304" s="403" t="s">
        <v>4684</v>
      </c>
      <c r="CW304" s="403" t="s">
        <v>4685</v>
      </c>
      <c r="CX304" s="403" t="s">
        <v>12928</v>
      </c>
      <c r="CY304" s="403"/>
      <c r="CZ304" s="403"/>
      <c r="DA304" s="403"/>
      <c r="DB304" s="403"/>
      <c r="DC304" s="403" t="s">
        <v>12929</v>
      </c>
      <c r="DD304" s="403"/>
      <c r="DE304" s="403"/>
      <c r="DF304" s="403"/>
      <c r="DG304" s="403" t="s">
        <v>4688</v>
      </c>
      <c r="DH304" s="403" t="s">
        <v>4689</v>
      </c>
      <c r="DI304" s="403" t="s">
        <v>4690</v>
      </c>
      <c r="DJ304" s="403" t="s">
        <v>4691</v>
      </c>
      <c r="DK304" s="403" t="s">
        <v>4692</v>
      </c>
      <c r="DL304" s="403" t="s">
        <v>4693</v>
      </c>
      <c r="DM304" s="403" t="s">
        <v>12930</v>
      </c>
      <c r="DN304" s="403"/>
    </row>
    <row r="305" spans="3:118" s="241" customFormat="1" x14ac:dyDescent="0.2">
      <c r="C305" s="5" t="str">
        <f t="shared" ca="1" si="87"/>
        <v>Delivery Modality 1</v>
      </c>
      <c r="D305" s="242"/>
      <c r="E305" s="242"/>
      <c r="F305" s="242"/>
      <c r="G305" s="242" t="e">
        <f t="shared" ref="G305:L309" si="89">IF(G161=0,"",G291/(HRH_HoursPerDay*G161))</f>
        <v>#N/A</v>
      </c>
      <c r="H305" s="242" t="e">
        <f t="shared" si="89"/>
        <v>#N/A</v>
      </c>
      <c r="I305" s="242" t="e">
        <f t="shared" si="89"/>
        <v>#N/A</v>
      </c>
      <c r="J305" s="242" t="e">
        <f t="shared" si="89"/>
        <v>#N/A</v>
      </c>
      <c r="K305" s="242" t="e">
        <f t="shared" si="89"/>
        <v>#N/A</v>
      </c>
      <c r="L305" s="242" t="e">
        <f t="shared" si="89"/>
        <v>#N/A</v>
      </c>
      <c r="M305" s="2"/>
      <c r="N305" s="403"/>
      <c r="O305" s="403"/>
      <c r="P305" s="403"/>
      <c r="Q305" s="403" t="s">
        <v>1632</v>
      </c>
      <c r="R305" s="403"/>
      <c r="S305" s="403"/>
      <c r="T305" s="403"/>
      <c r="U305" s="403" t="s">
        <v>197</v>
      </c>
      <c r="V305" s="403" t="s">
        <v>197</v>
      </c>
      <c r="W305" s="403" t="s">
        <v>197</v>
      </c>
      <c r="X305" s="403" t="s">
        <v>197</v>
      </c>
      <c r="Y305" s="403" t="s">
        <v>197</v>
      </c>
      <c r="Z305" s="403" t="s">
        <v>197</v>
      </c>
      <c r="AA305" s="403"/>
      <c r="AB305" s="403"/>
      <c r="AC305" s="564"/>
      <c r="AD305" s="403"/>
      <c r="AE305" s="403"/>
      <c r="AF305" s="403" t="s">
        <v>7476</v>
      </c>
      <c r="AG305" s="403"/>
      <c r="AH305" s="403"/>
      <c r="AI305" s="403"/>
      <c r="AJ305" s="403"/>
      <c r="AK305" s="403"/>
      <c r="AL305" s="403"/>
      <c r="AM305" s="403"/>
      <c r="AN305" s="403"/>
      <c r="AO305" s="403"/>
      <c r="AP305" s="403"/>
      <c r="AQ305" s="403"/>
      <c r="AR305" s="403"/>
      <c r="AS305" s="403"/>
      <c r="AT305" s="403"/>
      <c r="AU305" s="403" t="s">
        <v>9664</v>
      </c>
      <c r="AV305" s="403"/>
      <c r="AW305" s="403"/>
      <c r="AX305" s="403"/>
      <c r="AY305" s="403"/>
      <c r="AZ305" s="403"/>
      <c r="BA305" s="403"/>
      <c r="BB305" s="403"/>
      <c r="BC305" s="403"/>
      <c r="BD305" s="403"/>
      <c r="BE305" s="403"/>
      <c r="BF305" s="403"/>
      <c r="BG305" s="403"/>
      <c r="BH305" s="403"/>
      <c r="BI305" s="403"/>
      <c r="BJ305" s="403" t="s">
        <v>9666</v>
      </c>
      <c r="BK305" s="403"/>
      <c r="BL305" s="403"/>
      <c r="BM305" s="403"/>
      <c r="BN305" s="403"/>
      <c r="BO305" s="403"/>
      <c r="BP305" s="403"/>
      <c r="BQ305" s="403"/>
      <c r="BR305" s="403"/>
      <c r="BS305" s="403"/>
      <c r="BT305" s="403"/>
      <c r="BU305" s="403"/>
      <c r="BV305" s="403"/>
      <c r="BW305" s="403"/>
      <c r="BX305" s="403"/>
      <c r="BY305" s="403" t="s">
        <v>7479</v>
      </c>
      <c r="BZ305" s="403"/>
      <c r="CA305" s="403"/>
      <c r="CB305" s="403"/>
      <c r="CC305" s="403"/>
      <c r="CD305" s="403"/>
      <c r="CE305" s="403"/>
      <c r="CF305" s="403"/>
      <c r="CG305" s="403"/>
      <c r="CH305" s="403"/>
      <c r="CI305" s="403"/>
      <c r="CJ305" s="403"/>
      <c r="CK305" s="403"/>
      <c r="CL305" s="403"/>
      <c r="CM305" s="403"/>
      <c r="CN305" s="403" t="s">
        <v>7480</v>
      </c>
      <c r="CO305" s="403"/>
      <c r="CP305" s="403"/>
      <c r="CQ305" s="403"/>
      <c r="CR305" s="403"/>
      <c r="CS305" s="403"/>
      <c r="CT305" s="403"/>
      <c r="CU305" s="403"/>
      <c r="CV305" s="403"/>
      <c r="CW305" s="403"/>
      <c r="CX305" s="403"/>
      <c r="CY305" s="403"/>
      <c r="CZ305" s="403"/>
      <c r="DA305" s="403"/>
      <c r="DB305" s="403"/>
      <c r="DC305" s="403" t="s">
        <v>7481</v>
      </c>
      <c r="DD305" s="403"/>
      <c r="DE305" s="403"/>
      <c r="DF305" s="403"/>
      <c r="DG305" s="403"/>
      <c r="DH305" s="403"/>
      <c r="DI305" s="403"/>
      <c r="DJ305" s="403"/>
      <c r="DK305" s="403"/>
      <c r="DL305" s="403"/>
      <c r="DM305" s="403"/>
      <c r="DN305" s="403"/>
    </row>
    <row r="306" spans="3:118" s="241" customFormat="1" x14ac:dyDescent="0.2">
      <c r="C306" s="5" t="str">
        <f t="shared" ca="1" si="87"/>
        <v>Delivery Modality 2</v>
      </c>
      <c r="D306" s="242"/>
      <c r="E306" s="242"/>
      <c r="F306" s="242"/>
      <c r="G306" s="242" t="e">
        <f t="shared" si="89"/>
        <v>#N/A</v>
      </c>
      <c r="H306" s="242" t="e">
        <f t="shared" si="89"/>
        <v>#N/A</v>
      </c>
      <c r="I306" s="242" t="e">
        <f t="shared" si="89"/>
        <v>#N/A</v>
      </c>
      <c r="J306" s="242" t="e">
        <f t="shared" si="89"/>
        <v>#N/A</v>
      </c>
      <c r="K306" s="242" t="e">
        <f t="shared" si="89"/>
        <v>#N/A</v>
      </c>
      <c r="L306" s="242" t="e">
        <f t="shared" si="89"/>
        <v>#N/A</v>
      </c>
      <c r="M306" s="2"/>
      <c r="N306" s="403"/>
      <c r="O306" s="403"/>
      <c r="P306" s="403"/>
      <c r="Q306" s="403" t="s">
        <v>1639</v>
      </c>
      <c r="R306" s="403"/>
      <c r="S306" s="403"/>
      <c r="T306" s="403"/>
      <c r="U306" s="403" t="s">
        <v>197</v>
      </c>
      <c r="V306" s="403" t="s">
        <v>197</v>
      </c>
      <c r="W306" s="403" t="s">
        <v>197</v>
      </c>
      <c r="X306" s="403" t="s">
        <v>197</v>
      </c>
      <c r="Y306" s="403" t="s">
        <v>197</v>
      </c>
      <c r="Z306" s="403" t="s">
        <v>197</v>
      </c>
      <c r="AA306" s="403"/>
      <c r="AB306" s="403"/>
      <c r="AC306" s="564"/>
      <c r="AD306" s="403"/>
      <c r="AE306" s="403"/>
      <c r="AF306" s="403" t="s">
        <v>7482</v>
      </c>
      <c r="AG306" s="403"/>
      <c r="AH306" s="403"/>
      <c r="AI306" s="403"/>
      <c r="AJ306" s="403"/>
      <c r="AK306" s="403"/>
      <c r="AL306" s="403"/>
      <c r="AM306" s="403"/>
      <c r="AN306" s="403"/>
      <c r="AO306" s="403"/>
      <c r="AP306" s="403"/>
      <c r="AQ306" s="403"/>
      <c r="AR306" s="403"/>
      <c r="AS306" s="403"/>
      <c r="AT306" s="403"/>
      <c r="AU306" s="403" t="s">
        <v>9672</v>
      </c>
      <c r="AV306" s="403"/>
      <c r="AW306" s="403"/>
      <c r="AX306" s="403"/>
      <c r="AY306" s="403"/>
      <c r="AZ306" s="403"/>
      <c r="BA306" s="403"/>
      <c r="BB306" s="403"/>
      <c r="BC306" s="403"/>
      <c r="BD306" s="403"/>
      <c r="BE306" s="403"/>
      <c r="BF306" s="403"/>
      <c r="BG306" s="403"/>
      <c r="BH306" s="403"/>
      <c r="BI306" s="403"/>
      <c r="BJ306" s="403" t="s">
        <v>9673</v>
      </c>
      <c r="BK306" s="403"/>
      <c r="BL306" s="403"/>
      <c r="BM306" s="403"/>
      <c r="BN306" s="403"/>
      <c r="BO306" s="403"/>
      <c r="BP306" s="403"/>
      <c r="BQ306" s="403"/>
      <c r="BR306" s="403"/>
      <c r="BS306" s="403"/>
      <c r="BT306" s="403"/>
      <c r="BU306" s="403"/>
      <c r="BV306" s="403"/>
      <c r="BW306" s="403"/>
      <c r="BX306" s="403"/>
      <c r="BY306" s="403" t="s">
        <v>7485</v>
      </c>
      <c r="BZ306" s="403"/>
      <c r="CA306" s="403"/>
      <c r="CB306" s="403"/>
      <c r="CC306" s="403"/>
      <c r="CD306" s="403"/>
      <c r="CE306" s="403"/>
      <c r="CF306" s="403"/>
      <c r="CG306" s="403"/>
      <c r="CH306" s="403"/>
      <c r="CI306" s="403"/>
      <c r="CJ306" s="403"/>
      <c r="CK306" s="403"/>
      <c r="CL306" s="403"/>
      <c r="CM306" s="403"/>
      <c r="CN306" s="403" t="s">
        <v>7486</v>
      </c>
      <c r="CO306" s="403"/>
      <c r="CP306" s="403"/>
      <c r="CQ306" s="403"/>
      <c r="CR306" s="403"/>
      <c r="CS306" s="403"/>
      <c r="CT306" s="403"/>
      <c r="CU306" s="403"/>
      <c r="CV306" s="403"/>
      <c r="CW306" s="403"/>
      <c r="CX306" s="403"/>
      <c r="CY306" s="403"/>
      <c r="CZ306" s="403"/>
      <c r="DA306" s="403"/>
      <c r="DB306" s="403"/>
      <c r="DC306" s="403" t="s">
        <v>7487</v>
      </c>
      <c r="DD306" s="403"/>
      <c r="DE306" s="403"/>
      <c r="DF306" s="403"/>
      <c r="DG306" s="403"/>
      <c r="DH306" s="403"/>
      <c r="DI306" s="403"/>
      <c r="DJ306" s="403"/>
      <c r="DK306" s="403"/>
      <c r="DL306" s="403"/>
      <c r="DM306" s="403"/>
      <c r="DN306" s="403"/>
    </row>
    <row r="307" spans="3:118" s="241" customFormat="1" x14ac:dyDescent="0.2">
      <c r="C307" s="5" t="str">
        <f t="shared" ca="1" si="87"/>
        <v>Delivery Modality 3</v>
      </c>
      <c r="D307" s="242"/>
      <c r="E307" s="242"/>
      <c r="F307" s="242"/>
      <c r="G307" s="242" t="e">
        <f t="shared" si="89"/>
        <v>#N/A</v>
      </c>
      <c r="H307" s="242" t="e">
        <f t="shared" si="89"/>
        <v>#N/A</v>
      </c>
      <c r="I307" s="242" t="e">
        <f t="shared" si="89"/>
        <v>#N/A</v>
      </c>
      <c r="J307" s="242" t="e">
        <f t="shared" si="89"/>
        <v>#N/A</v>
      </c>
      <c r="K307" s="242" t="e">
        <f t="shared" si="89"/>
        <v>#N/A</v>
      </c>
      <c r="L307" s="242" t="e">
        <f t="shared" si="89"/>
        <v>#N/A</v>
      </c>
      <c r="M307" s="2"/>
      <c r="N307" s="403"/>
      <c r="O307" s="403"/>
      <c r="P307" s="403"/>
      <c r="Q307" s="403" t="s">
        <v>1564</v>
      </c>
      <c r="R307" s="403"/>
      <c r="S307" s="403"/>
      <c r="T307" s="403"/>
      <c r="U307" s="403" t="s">
        <v>197</v>
      </c>
      <c r="V307" s="403" t="s">
        <v>197</v>
      </c>
      <c r="W307" s="403" t="s">
        <v>197</v>
      </c>
      <c r="X307" s="403" t="s">
        <v>197</v>
      </c>
      <c r="Y307" s="403" t="s">
        <v>197</v>
      </c>
      <c r="Z307" s="403" t="s">
        <v>197</v>
      </c>
      <c r="AA307" s="403"/>
      <c r="AB307" s="403"/>
      <c r="AC307" s="564"/>
      <c r="AD307" s="403"/>
      <c r="AE307" s="403"/>
      <c r="AF307" s="403" t="s">
        <v>7418</v>
      </c>
      <c r="AG307" s="403"/>
      <c r="AH307" s="403"/>
      <c r="AI307" s="403"/>
      <c r="AJ307" s="403"/>
      <c r="AK307" s="403"/>
      <c r="AL307" s="403"/>
      <c r="AM307" s="403"/>
      <c r="AN307" s="403"/>
      <c r="AO307" s="403"/>
      <c r="AP307" s="403"/>
      <c r="AQ307" s="403"/>
      <c r="AR307" s="403"/>
      <c r="AS307" s="403"/>
      <c r="AT307" s="403"/>
      <c r="AU307" s="403" t="s">
        <v>9676</v>
      </c>
      <c r="AV307" s="403"/>
      <c r="AW307" s="403"/>
      <c r="AX307" s="403"/>
      <c r="AY307" s="403"/>
      <c r="AZ307" s="403"/>
      <c r="BA307" s="403"/>
      <c r="BB307" s="403"/>
      <c r="BC307" s="403"/>
      <c r="BD307" s="403"/>
      <c r="BE307" s="403"/>
      <c r="BF307" s="403"/>
      <c r="BG307" s="403"/>
      <c r="BH307" s="403"/>
      <c r="BI307" s="403"/>
      <c r="BJ307" s="403" t="s">
        <v>7420</v>
      </c>
      <c r="BK307" s="403"/>
      <c r="BL307" s="403"/>
      <c r="BM307" s="403"/>
      <c r="BN307" s="403"/>
      <c r="BO307" s="403"/>
      <c r="BP307" s="403"/>
      <c r="BQ307" s="403"/>
      <c r="BR307" s="403"/>
      <c r="BS307" s="403"/>
      <c r="BT307" s="403"/>
      <c r="BU307" s="403"/>
      <c r="BV307" s="403"/>
      <c r="BW307" s="403"/>
      <c r="BX307" s="403"/>
      <c r="BY307" s="403" t="s">
        <v>7489</v>
      </c>
      <c r="BZ307" s="403"/>
      <c r="CA307" s="403"/>
      <c r="CB307" s="403"/>
      <c r="CC307" s="403"/>
      <c r="CD307" s="403"/>
      <c r="CE307" s="403"/>
      <c r="CF307" s="403"/>
      <c r="CG307" s="403"/>
      <c r="CH307" s="403"/>
      <c r="CI307" s="403"/>
      <c r="CJ307" s="403"/>
      <c r="CK307" s="403"/>
      <c r="CL307" s="403"/>
      <c r="CM307" s="403"/>
      <c r="CN307" s="403" t="s">
        <v>7422</v>
      </c>
      <c r="CO307" s="403"/>
      <c r="CP307" s="403"/>
      <c r="CQ307" s="403"/>
      <c r="CR307" s="403"/>
      <c r="CS307" s="403"/>
      <c r="CT307" s="403"/>
      <c r="CU307" s="403"/>
      <c r="CV307" s="403"/>
      <c r="CW307" s="403"/>
      <c r="CX307" s="403"/>
      <c r="CY307" s="403"/>
      <c r="CZ307" s="403"/>
      <c r="DA307" s="403"/>
      <c r="DB307" s="403"/>
      <c r="DC307" s="403" t="s">
        <v>7423</v>
      </c>
      <c r="DD307" s="403"/>
      <c r="DE307" s="403"/>
      <c r="DF307" s="403"/>
      <c r="DG307" s="403"/>
      <c r="DH307" s="403"/>
      <c r="DI307" s="403"/>
      <c r="DJ307" s="403"/>
      <c r="DK307" s="403"/>
      <c r="DL307" s="403"/>
      <c r="DM307" s="403"/>
      <c r="DN307" s="403"/>
    </row>
    <row r="308" spans="3:118" s="241" customFormat="1" x14ac:dyDescent="0.2">
      <c r="C308" s="5" t="str">
        <f t="shared" ca="1" si="87"/>
        <v>Delivery Modality 4</v>
      </c>
      <c r="D308" s="242"/>
      <c r="E308" s="242"/>
      <c r="F308" s="242"/>
      <c r="G308" s="242" t="e">
        <f t="shared" si="89"/>
        <v>#N/A</v>
      </c>
      <c r="H308" s="242" t="e">
        <f t="shared" si="89"/>
        <v>#N/A</v>
      </c>
      <c r="I308" s="242" t="e">
        <f t="shared" si="89"/>
        <v>#N/A</v>
      </c>
      <c r="J308" s="242" t="e">
        <f t="shared" si="89"/>
        <v>#N/A</v>
      </c>
      <c r="K308" s="242" t="e">
        <f t="shared" si="89"/>
        <v>#N/A</v>
      </c>
      <c r="L308" s="242" t="e">
        <f t="shared" si="89"/>
        <v>#N/A</v>
      </c>
      <c r="M308" s="2"/>
      <c r="N308" s="403"/>
      <c r="O308" s="403"/>
      <c r="P308" s="403"/>
      <c r="Q308" s="403" t="s">
        <v>1565</v>
      </c>
      <c r="R308" s="403"/>
      <c r="S308" s="403"/>
      <c r="T308" s="403"/>
      <c r="U308" s="403" t="s">
        <v>197</v>
      </c>
      <c r="V308" s="403" t="s">
        <v>197</v>
      </c>
      <c r="W308" s="403" t="s">
        <v>197</v>
      </c>
      <c r="X308" s="403" t="s">
        <v>197</v>
      </c>
      <c r="Y308" s="403" t="s">
        <v>197</v>
      </c>
      <c r="Z308" s="403" t="s">
        <v>197</v>
      </c>
      <c r="AA308" s="403"/>
      <c r="AB308" s="403"/>
      <c r="AC308" s="564"/>
      <c r="AD308" s="403"/>
      <c r="AE308" s="403"/>
      <c r="AF308" s="403" t="s">
        <v>7424</v>
      </c>
      <c r="AG308" s="403"/>
      <c r="AH308" s="403"/>
      <c r="AI308" s="403"/>
      <c r="AJ308" s="403"/>
      <c r="AK308" s="403"/>
      <c r="AL308" s="403"/>
      <c r="AM308" s="403"/>
      <c r="AN308" s="403"/>
      <c r="AO308" s="403"/>
      <c r="AP308" s="403"/>
      <c r="AQ308" s="403"/>
      <c r="AR308" s="403"/>
      <c r="AS308" s="403"/>
      <c r="AT308" s="403"/>
      <c r="AU308" s="403" t="s">
        <v>9726</v>
      </c>
      <c r="AV308" s="403"/>
      <c r="AW308" s="403"/>
      <c r="AX308" s="403"/>
      <c r="AY308" s="403"/>
      <c r="AZ308" s="403"/>
      <c r="BA308" s="403"/>
      <c r="BB308" s="403"/>
      <c r="BC308" s="403"/>
      <c r="BD308" s="403"/>
      <c r="BE308" s="403"/>
      <c r="BF308" s="403"/>
      <c r="BG308" s="403"/>
      <c r="BH308" s="403"/>
      <c r="BI308" s="403"/>
      <c r="BJ308" s="403" t="s">
        <v>7426</v>
      </c>
      <c r="BK308" s="403"/>
      <c r="BL308" s="403"/>
      <c r="BM308" s="403"/>
      <c r="BN308" s="403"/>
      <c r="BO308" s="403"/>
      <c r="BP308" s="403"/>
      <c r="BQ308" s="403"/>
      <c r="BR308" s="403"/>
      <c r="BS308" s="403"/>
      <c r="BT308" s="403"/>
      <c r="BU308" s="403"/>
      <c r="BV308" s="403"/>
      <c r="BW308" s="403"/>
      <c r="BX308" s="403"/>
      <c r="BY308" s="403" t="s">
        <v>7491</v>
      </c>
      <c r="BZ308" s="403"/>
      <c r="CA308" s="403"/>
      <c r="CB308" s="403"/>
      <c r="CC308" s="403"/>
      <c r="CD308" s="403"/>
      <c r="CE308" s="403"/>
      <c r="CF308" s="403"/>
      <c r="CG308" s="403"/>
      <c r="CH308" s="403"/>
      <c r="CI308" s="403"/>
      <c r="CJ308" s="403"/>
      <c r="CK308" s="403"/>
      <c r="CL308" s="403"/>
      <c r="CM308" s="403"/>
      <c r="CN308" s="403" t="s">
        <v>7428</v>
      </c>
      <c r="CO308" s="403"/>
      <c r="CP308" s="403"/>
      <c r="CQ308" s="403"/>
      <c r="CR308" s="403"/>
      <c r="CS308" s="403"/>
      <c r="CT308" s="403"/>
      <c r="CU308" s="403"/>
      <c r="CV308" s="403"/>
      <c r="CW308" s="403"/>
      <c r="CX308" s="403"/>
      <c r="CY308" s="403"/>
      <c r="CZ308" s="403"/>
      <c r="DA308" s="403"/>
      <c r="DB308" s="403"/>
      <c r="DC308" s="403" t="s">
        <v>7429</v>
      </c>
      <c r="DD308" s="403"/>
      <c r="DE308" s="403"/>
      <c r="DF308" s="403"/>
      <c r="DG308" s="403"/>
      <c r="DH308" s="403"/>
      <c r="DI308" s="403"/>
      <c r="DJ308" s="403"/>
      <c r="DK308" s="403"/>
      <c r="DL308" s="403"/>
      <c r="DM308" s="403"/>
      <c r="DN308" s="403"/>
    </row>
    <row r="309" spans="3:118" s="241" customFormat="1" ht="13.5" thickBot="1" x14ac:dyDescent="0.25">
      <c r="C309" s="21" t="str">
        <f t="shared" ca="1" si="87"/>
        <v>All delivery modalities</v>
      </c>
      <c r="D309" s="248"/>
      <c r="E309" s="248"/>
      <c r="F309" s="248"/>
      <c r="G309" s="248" t="e">
        <f t="shared" si="89"/>
        <v>#N/A</v>
      </c>
      <c r="H309" s="248" t="e">
        <f t="shared" si="89"/>
        <v>#N/A</v>
      </c>
      <c r="I309" s="248" t="e">
        <f t="shared" si="89"/>
        <v>#N/A</v>
      </c>
      <c r="J309" s="248" t="e">
        <f t="shared" si="89"/>
        <v>#N/A</v>
      </c>
      <c r="K309" s="248" t="e">
        <f t="shared" si="89"/>
        <v>#N/A</v>
      </c>
      <c r="L309" s="248" t="e">
        <f t="shared" si="89"/>
        <v>#N/A</v>
      </c>
      <c r="M309" s="2"/>
      <c r="N309" s="403"/>
      <c r="O309" s="403"/>
      <c r="P309" s="403"/>
      <c r="Q309" s="403" t="s">
        <v>2998</v>
      </c>
      <c r="R309" s="403"/>
      <c r="S309" s="403"/>
      <c r="T309" s="403"/>
      <c r="U309" s="403" t="s">
        <v>197</v>
      </c>
      <c r="V309" s="403" t="s">
        <v>197</v>
      </c>
      <c r="W309" s="403" t="s">
        <v>197</v>
      </c>
      <c r="X309" s="403" t="s">
        <v>197</v>
      </c>
      <c r="Y309" s="403" t="s">
        <v>197</v>
      </c>
      <c r="Z309" s="403" t="s">
        <v>197</v>
      </c>
      <c r="AA309" s="403"/>
      <c r="AB309" s="403"/>
      <c r="AC309" s="564"/>
      <c r="AD309" s="403"/>
      <c r="AE309" s="403"/>
      <c r="AF309" s="403" t="s">
        <v>12913</v>
      </c>
      <c r="AG309" s="403"/>
      <c r="AH309" s="403"/>
      <c r="AI309" s="403"/>
      <c r="AJ309" s="403"/>
      <c r="AK309" s="403"/>
      <c r="AL309" s="403"/>
      <c r="AM309" s="403"/>
      <c r="AN309" s="403"/>
      <c r="AO309" s="403"/>
      <c r="AP309" s="403"/>
      <c r="AQ309" s="403"/>
      <c r="AR309" s="403"/>
      <c r="AS309" s="403"/>
      <c r="AT309" s="403"/>
      <c r="AU309" s="403" t="s">
        <v>12914</v>
      </c>
      <c r="AV309" s="403"/>
      <c r="AW309" s="403"/>
      <c r="AX309" s="403"/>
      <c r="AY309" s="403"/>
      <c r="AZ309" s="403"/>
      <c r="BA309" s="403"/>
      <c r="BB309" s="403"/>
      <c r="BC309" s="403"/>
      <c r="BD309" s="403"/>
      <c r="BE309" s="403"/>
      <c r="BF309" s="403"/>
      <c r="BG309" s="403"/>
      <c r="BH309" s="403"/>
      <c r="BI309" s="403"/>
      <c r="BJ309" s="403" t="s">
        <v>12915</v>
      </c>
      <c r="BK309" s="403"/>
      <c r="BL309" s="403"/>
      <c r="BM309" s="403"/>
      <c r="BN309" s="403"/>
      <c r="BO309" s="403"/>
      <c r="BP309" s="403"/>
      <c r="BQ309" s="403"/>
      <c r="BR309" s="403"/>
      <c r="BS309" s="403"/>
      <c r="BT309" s="403"/>
      <c r="BU309" s="403"/>
      <c r="BV309" s="403"/>
      <c r="BW309" s="403"/>
      <c r="BX309" s="403"/>
      <c r="BY309" s="403" t="s">
        <v>12916</v>
      </c>
      <c r="BZ309" s="403"/>
      <c r="CA309" s="403"/>
      <c r="CB309" s="403"/>
      <c r="CC309" s="403"/>
      <c r="CD309" s="403"/>
      <c r="CE309" s="403"/>
      <c r="CF309" s="403"/>
      <c r="CG309" s="403"/>
      <c r="CH309" s="403"/>
      <c r="CI309" s="403"/>
      <c r="CJ309" s="403"/>
      <c r="CK309" s="403"/>
      <c r="CL309" s="403"/>
      <c r="CM309" s="403"/>
      <c r="CN309" s="403" t="s">
        <v>12917</v>
      </c>
      <c r="CO309" s="403"/>
      <c r="CP309" s="403"/>
      <c r="CQ309" s="403"/>
      <c r="CR309" s="403"/>
      <c r="CS309" s="403"/>
      <c r="CT309" s="403"/>
      <c r="CU309" s="403"/>
      <c r="CV309" s="403"/>
      <c r="CW309" s="403"/>
      <c r="CX309" s="403"/>
      <c r="CY309" s="403"/>
      <c r="CZ309" s="403"/>
      <c r="DA309" s="403"/>
      <c r="DB309" s="403"/>
      <c r="DC309" s="403" t="s">
        <v>12918</v>
      </c>
      <c r="DD309" s="403"/>
      <c r="DE309" s="403"/>
      <c r="DF309" s="403"/>
      <c r="DG309" s="403"/>
      <c r="DH309" s="403"/>
      <c r="DI309" s="403"/>
      <c r="DJ309" s="403"/>
      <c r="DK309" s="403"/>
      <c r="DL309" s="403"/>
      <c r="DM309" s="403"/>
      <c r="DN309" s="403"/>
    </row>
    <row r="310" spans="3:118" s="241" customFormat="1" ht="13.5" thickTop="1" x14ac:dyDescent="0.2">
      <c r="C310" s="31"/>
      <c r="D310" s="242"/>
      <c r="G310" s="242"/>
      <c r="H310" s="242"/>
      <c r="I310" s="242"/>
      <c r="J310" s="242"/>
      <c r="K310" s="242"/>
      <c r="L310" s="242"/>
      <c r="M310" s="2"/>
      <c r="N310" s="403"/>
      <c r="O310" s="403"/>
      <c r="P310" s="403"/>
      <c r="Q310" s="403"/>
      <c r="R310" s="403"/>
      <c r="S310" s="403"/>
      <c r="T310" s="403"/>
      <c r="U310" s="403"/>
      <c r="V310" s="403"/>
      <c r="W310" s="403"/>
      <c r="X310" s="403"/>
      <c r="Y310" s="403"/>
      <c r="Z310" s="403"/>
      <c r="AA310" s="403"/>
      <c r="AB310" s="403"/>
      <c r="AC310" s="564"/>
      <c r="AD310" s="403"/>
      <c r="AE310" s="403"/>
      <c r="AF310" s="403"/>
      <c r="AG310" s="403"/>
      <c r="AH310" s="403"/>
      <c r="AI310" s="403"/>
      <c r="AJ310" s="403"/>
      <c r="AK310" s="403"/>
      <c r="AL310" s="403"/>
      <c r="AM310" s="403"/>
      <c r="AN310" s="403"/>
      <c r="AO310" s="403"/>
      <c r="AP310" s="403"/>
      <c r="AQ310" s="403"/>
      <c r="AR310" s="403"/>
      <c r="AS310" s="403"/>
      <c r="AT310" s="403"/>
      <c r="AU310" s="403"/>
      <c r="AV310" s="403"/>
      <c r="AW310" s="403"/>
      <c r="AX310" s="403"/>
      <c r="AY310" s="403"/>
      <c r="AZ310" s="403"/>
      <c r="BA310" s="403"/>
      <c r="BB310" s="403"/>
      <c r="BC310" s="403"/>
      <c r="BD310" s="403"/>
      <c r="BE310" s="403"/>
      <c r="BF310" s="403"/>
      <c r="BG310" s="403"/>
      <c r="BH310" s="403"/>
      <c r="BI310" s="403"/>
      <c r="BJ310" s="403"/>
      <c r="BK310" s="403"/>
      <c r="BL310" s="403"/>
      <c r="BM310" s="403"/>
      <c r="BN310" s="403"/>
      <c r="BO310" s="403"/>
      <c r="BP310" s="403"/>
      <c r="BQ310" s="403"/>
      <c r="BR310" s="403"/>
      <c r="BS310" s="403"/>
      <c r="BT310" s="403"/>
      <c r="BU310" s="403"/>
      <c r="BV310" s="403"/>
      <c r="BW310" s="403"/>
      <c r="BX310" s="403"/>
      <c r="BY310" s="403"/>
      <c r="BZ310" s="403"/>
      <c r="CA310" s="403"/>
      <c r="CB310" s="403"/>
      <c r="CC310" s="403"/>
      <c r="CD310" s="403"/>
      <c r="CE310" s="403"/>
      <c r="CF310" s="403"/>
      <c r="CG310" s="403"/>
      <c r="CH310" s="403"/>
      <c r="CI310" s="403"/>
      <c r="CJ310" s="403"/>
      <c r="CK310" s="403"/>
      <c r="CL310" s="403"/>
      <c r="CM310" s="403"/>
      <c r="CN310" s="403"/>
      <c r="CO310" s="403"/>
      <c r="CP310" s="403"/>
      <c r="CQ310" s="403"/>
      <c r="CR310" s="403"/>
      <c r="CS310" s="403"/>
      <c r="CT310" s="403"/>
      <c r="CU310" s="403"/>
      <c r="CV310" s="403"/>
      <c r="CW310" s="403"/>
      <c r="CX310" s="403"/>
      <c r="CY310" s="403"/>
      <c r="CZ310" s="403"/>
      <c r="DA310" s="403"/>
      <c r="DB310" s="403"/>
      <c r="DC310" s="403"/>
      <c r="DD310" s="403"/>
      <c r="DE310" s="403"/>
      <c r="DF310" s="403"/>
      <c r="DG310" s="403"/>
      <c r="DH310" s="403"/>
      <c r="DI310" s="403"/>
      <c r="DJ310" s="403"/>
      <c r="DK310" s="403"/>
      <c r="DL310" s="403"/>
      <c r="DM310" s="403"/>
      <c r="DN310" s="403"/>
    </row>
    <row r="311" spans="3:118" s="241" customFormat="1" ht="15" x14ac:dyDescent="0.25">
      <c r="C311" s="55" t="str">
        <f ca="1">IF(OFFSET(Q311,0,Lang_Order*Lang__R1)="","",OFFSET(Q311,0,Lang_Order*Lang__R1))</f>
        <v>Mean hours per day</v>
      </c>
      <c r="D311" s="41" t="str">
        <f ca="1">IF(OFFSET(R311,0,Lang_Order*Lang__R1)="","",OFFSET(R311,0,Lang_Order*Lang__R1))</f>
        <v>Total</v>
      </c>
      <c r="E311" s="25"/>
      <c r="F311" s="25"/>
      <c r="G311" s="41" t="str">
        <f t="shared" ref="G311:M311" ca="1" si="90">IF(OFFSET(U311,0,Lang_Order*Lang__R1)="","",OFFSET(U311,0,Lang_Order*Lang__R1))</f>
        <v>H1 2021</v>
      </c>
      <c r="H311" s="41" t="str">
        <f t="shared" ca="1" si="90"/>
        <v>H2 2021</v>
      </c>
      <c r="I311" s="41" t="str">
        <f t="shared" ca="1" si="90"/>
        <v>H1 2022</v>
      </c>
      <c r="J311" s="41" t="str">
        <f t="shared" ca="1" si="90"/>
        <v>H2 2022</v>
      </c>
      <c r="K311" s="41" t="str">
        <f t="shared" ca="1" si="90"/>
        <v>H1 2023</v>
      </c>
      <c r="L311" s="41" t="str">
        <f t="shared" ca="1" si="90"/>
        <v>H2 2023</v>
      </c>
      <c r="M311" s="12" t="str">
        <f t="shared" ca="1" si="90"/>
        <v>Mean hours spent vaccinating per day worked</v>
      </c>
      <c r="N311" s="403"/>
      <c r="O311" s="403"/>
      <c r="P311" s="403"/>
      <c r="Q311" s="403" t="s">
        <v>2995</v>
      </c>
      <c r="R311" s="403" t="s">
        <v>1605</v>
      </c>
      <c r="S311" s="403"/>
      <c r="T311" s="403"/>
      <c r="U311" s="403" t="s">
        <v>1597</v>
      </c>
      <c r="V311" s="403" t="s">
        <v>1598</v>
      </c>
      <c r="W311" s="403" t="s">
        <v>1599</v>
      </c>
      <c r="X311" s="403" t="s">
        <v>1600</v>
      </c>
      <c r="Y311" s="403" t="s">
        <v>1602</v>
      </c>
      <c r="Z311" s="403" t="s">
        <v>1601</v>
      </c>
      <c r="AA311" s="403" t="s">
        <v>2996</v>
      </c>
      <c r="AB311" s="403"/>
      <c r="AC311" s="564"/>
      <c r="AD311" s="403"/>
      <c r="AE311" s="403"/>
      <c r="AF311" s="403" t="s">
        <v>12931</v>
      </c>
      <c r="AG311" s="403" t="s">
        <v>1605</v>
      </c>
      <c r="AH311" s="403"/>
      <c r="AI311" s="403"/>
      <c r="AJ311" s="403" t="s">
        <v>4663</v>
      </c>
      <c r="AK311" s="403" t="s">
        <v>4664</v>
      </c>
      <c r="AL311" s="403" t="s">
        <v>4665</v>
      </c>
      <c r="AM311" s="403" t="s">
        <v>4666</v>
      </c>
      <c r="AN311" s="403" t="s">
        <v>4667</v>
      </c>
      <c r="AO311" s="403" t="s">
        <v>4668</v>
      </c>
      <c r="AP311" s="403" t="s">
        <v>12932</v>
      </c>
      <c r="AQ311" s="403"/>
      <c r="AR311" s="403"/>
      <c r="AS311" s="403"/>
      <c r="AT311" s="403"/>
      <c r="AU311" s="403" t="s">
        <v>12933</v>
      </c>
      <c r="AV311" s="403" t="s">
        <v>4676</v>
      </c>
      <c r="AW311" s="403"/>
      <c r="AX311" s="403"/>
      <c r="AY311" s="403" t="s">
        <v>4670</v>
      </c>
      <c r="AZ311" s="403" t="s">
        <v>4671</v>
      </c>
      <c r="BA311" s="403" t="s">
        <v>4672</v>
      </c>
      <c r="BB311" s="403" t="s">
        <v>4673</v>
      </c>
      <c r="BC311" s="403" t="s">
        <v>4674</v>
      </c>
      <c r="BD311" s="403" t="s">
        <v>4675</v>
      </c>
      <c r="BE311" s="403" t="s">
        <v>12934</v>
      </c>
      <c r="BF311" s="403"/>
      <c r="BG311" s="403"/>
      <c r="BH311" s="403"/>
      <c r="BI311" s="403"/>
      <c r="BJ311" s="403" t="s">
        <v>12935</v>
      </c>
      <c r="BK311" s="403" t="s">
        <v>1605</v>
      </c>
      <c r="BL311" s="403"/>
      <c r="BM311" s="403"/>
      <c r="BN311" s="403" t="s">
        <v>1597</v>
      </c>
      <c r="BO311" s="403" t="s">
        <v>1598</v>
      </c>
      <c r="BP311" s="403" t="s">
        <v>1599</v>
      </c>
      <c r="BQ311" s="403" t="s">
        <v>1600</v>
      </c>
      <c r="BR311" s="403" t="s">
        <v>1602</v>
      </c>
      <c r="BS311" s="403" t="s">
        <v>1601</v>
      </c>
      <c r="BT311" s="403" t="s">
        <v>12936</v>
      </c>
      <c r="BU311" s="403"/>
      <c r="BV311" s="403"/>
      <c r="BW311" s="403"/>
      <c r="BX311" s="403"/>
      <c r="BY311" s="403" t="s">
        <v>12937</v>
      </c>
      <c r="BZ311" s="403" t="s">
        <v>1605</v>
      </c>
      <c r="CA311" s="403"/>
      <c r="CB311" s="403"/>
      <c r="CC311" s="403" t="s">
        <v>4663</v>
      </c>
      <c r="CD311" s="403" t="s">
        <v>4664</v>
      </c>
      <c r="CE311" s="403" t="s">
        <v>4665</v>
      </c>
      <c r="CF311" s="403" t="s">
        <v>4666</v>
      </c>
      <c r="CG311" s="403" t="s">
        <v>4667</v>
      </c>
      <c r="CH311" s="403" t="s">
        <v>4668</v>
      </c>
      <c r="CI311" s="403" t="s">
        <v>12938</v>
      </c>
      <c r="CJ311" s="403"/>
      <c r="CK311" s="403"/>
      <c r="CL311" s="403"/>
      <c r="CM311" s="403"/>
      <c r="CN311" s="403" t="s">
        <v>12939</v>
      </c>
      <c r="CO311" s="403" t="s">
        <v>4686</v>
      </c>
      <c r="CP311" s="403"/>
      <c r="CQ311" s="403"/>
      <c r="CR311" s="403" t="s">
        <v>4680</v>
      </c>
      <c r="CS311" s="403" t="s">
        <v>4681</v>
      </c>
      <c r="CT311" s="403" t="s">
        <v>4682</v>
      </c>
      <c r="CU311" s="403" t="s">
        <v>4683</v>
      </c>
      <c r="CV311" s="403" t="s">
        <v>4684</v>
      </c>
      <c r="CW311" s="403" t="s">
        <v>4685</v>
      </c>
      <c r="CX311" s="403" t="s">
        <v>12940</v>
      </c>
      <c r="CY311" s="403"/>
      <c r="CZ311" s="403"/>
      <c r="DA311" s="403"/>
      <c r="DB311" s="403"/>
      <c r="DC311" s="403" t="s">
        <v>12941</v>
      </c>
      <c r="DD311" s="403" t="s">
        <v>4694</v>
      </c>
      <c r="DE311" s="403"/>
      <c r="DF311" s="403"/>
      <c r="DG311" s="403" t="s">
        <v>4688</v>
      </c>
      <c r="DH311" s="403" t="s">
        <v>4689</v>
      </c>
      <c r="DI311" s="403" t="s">
        <v>4690</v>
      </c>
      <c r="DJ311" s="403" t="s">
        <v>4691</v>
      </c>
      <c r="DK311" s="403" t="s">
        <v>4692</v>
      </c>
      <c r="DL311" s="403" t="s">
        <v>4693</v>
      </c>
      <c r="DM311" s="403" t="s">
        <v>12942</v>
      </c>
      <c r="DN311" s="403"/>
    </row>
    <row r="312" spans="3:118" s="241" customFormat="1" x14ac:dyDescent="0.2">
      <c r="C312" s="5" t="str">
        <f ca="1">IF(OFFSET(Q312,0,Lang_Order*Lang__R1)="","",OFFSET(Q312,0,Lang_Order*Lang__R1))</f>
        <v>Delivery Modality 1</v>
      </c>
      <c r="D312" s="242" t="str">
        <f>IF(D170=0,"",D291/D170)</f>
        <v/>
      </c>
      <c r="E312" s="242"/>
      <c r="F312" s="242"/>
      <c r="G312" s="242" t="e">
        <f t="shared" ref="G312:L316" si="91">IF(G170=0,"",G291/G170)</f>
        <v>#N/A</v>
      </c>
      <c r="H312" s="242" t="e">
        <f t="shared" si="91"/>
        <v>#N/A</v>
      </c>
      <c r="I312" s="242" t="e">
        <f t="shared" si="91"/>
        <v>#N/A</v>
      </c>
      <c r="J312" s="242" t="e">
        <f t="shared" si="91"/>
        <v>#N/A</v>
      </c>
      <c r="K312" s="242" t="e">
        <f t="shared" si="91"/>
        <v>#N/A</v>
      </c>
      <c r="L312" s="242" t="e">
        <f t="shared" si="91"/>
        <v>#N/A</v>
      </c>
      <c r="M312" s="2"/>
      <c r="N312" s="403"/>
      <c r="O312" s="403"/>
      <c r="P312" s="403"/>
      <c r="Q312" s="403" t="s">
        <v>1632</v>
      </c>
      <c r="R312" s="403"/>
      <c r="S312" s="403"/>
      <c r="T312" s="403"/>
      <c r="U312" s="403" t="s">
        <v>197</v>
      </c>
      <c r="V312" s="403" t="s">
        <v>197</v>
      </c>
      <c r="W312" s="403" t="s">
        <v>197</v>
      </c>
      <c r="X312" s="403" t="s">
        <v>197</v>
      </c>
      <c r="Y312" s="403" t="s">
        <v>197</v>
      </c>
      <c r="Z312" s="403" t="s">
        <v>197</v>
      </c>
      <c r="AA312" s="403"/>
      <c r="AB312" s="403"/>
      <c r="AC312" s="564"/>
      <c r="AD312" s="403"/>
      <c r="AE312" s="403"/>
      <c r="AF312" s="403" t="s">
        <v>7476</v>
      </c>
      <c r="AG312" s="403"/>
      <c r="AH312" s="403"/>
      <c r="AI312" s="403"/>
      <c r="AJ312" s="403"/>
      <c r="AK312" s="403"/>
      <c r="AL312" s="403"/>
      <c r="AM312" s="403"/>
      <c r="AN312" s="403"/>
      <c r="AO312" s="403"/>
      <c r="AP312" s="403"/>
      <c r="AQ312" s="403"/>
      <c r="AR312" s="403"/>
      <c r="AS312" s="403"/>
      <c r="AT312" s="403"/>
      <c r="AU312" s="403" t="s">
        <v>9664</v>
      </c>
      <c r="AV312" s="403"/>
      <c r="AW312" s="403"/>
      <c r="AX312" s="403"/>
      <c r="AY312" s="403"/>
      <c r="AZ312" s="403"/>
      <c r="BA312" s="403"/>
      <c r="BB312" s="403"/>
      <c r="BC312" s="403"/>
      <c r="BD312" s="403"/>
      <c r="BE312" s="403"/>
      <c r="BF312" s="403"/>
      <c r="BG312" s="403"/>
      <c r="BH312" s="403"/>
      <c r="BI312" s="403"/>
      <c r="BJ312" s="403" t="s">
        <v>9666</v>
      </c>
      <c r="BK312" s="403"/>
      <c r="BL312" s="403"/>
      <c r="BM312" s="403"/>
      <c r="BN312" s="403"/>
      <c r="BO312" s="403"/>
      <c r="BP312" s="403"/>
      <c r="BQ312" s="403"/>
      <c r="BR312" s="403"/>
      <c r="BS312" s="403"/>
      <c r="BT312" s="403"/>
      <c r="BU312" s="403"/>
      <c r="BV312" s="403"/>
      <c r="BW312" s="403"/>
      <c r="BX312" s="403"/>
      <c r="BY312" s="403" t="s">
        <v>7479</v>
      </c>
      <c r="BZ312" s="403"/>
      <c r="CA312" s="403"/>
      <c r="CB312" s="403"/>
      <c r="CC312" s="403"/>
      <c r="CD312" s="403"/>
      <c r="CE312" s="403"/>
      <c r="CF312" s="403"/>
      <c r="CG312" s="403"/>
      <c r="CH312" s="403"/>
      <c r="CI312" s="403"/>
      <c r="CJ312" s="403"/>
      <c r="CK312" s="403"/>
      <c r="CL312" s="403"/>
      <c r="CM312" s="403"/>
      <c r="CN312" s="403" t="s">
        <v>7480</v>
      </c>
      <c r="CO312" s="403"/>
      <c r="CP312" s="403"/>
      <c r="CQ312" s="403"/>
      <c r="CR312" s="403"/>
      <c r="CS312" s="403"/>
      <c r="CT312" s="403"/>
      <c r="CU312" s="403"/>
      <c r="CV312" s="403"/>
      <c r="CW312" s="403"/>
      <c r="CX312" s="403"/>
      <c r="CY312" s="403"/>
      <c r="CZ312" s="403"/>
      <c r="DA312" s="403"/>
      <c r="DB312" s="403"/>
      <c r="DC312" s="403" t="s">
        <v>7481</v>
      </c>
      <c r="DD312" s="403"/>
      <c r="DE312" s="403"/>
      <c r="DF312" s="403"/>
      <c r="DG312" s="403"/>
      <c r="DH312" s="403"/>
      <c r="DI312" s="403"/>
      <c r="DJ312" s="403"/>
      <c r="DK312" s="403"/>
      <c r="DL312" s="403"/>
      <c r="DM312" s="403"/>
      <c r="DN312" s="403"/>
    </row>
    <row r="313" spans="3:118" s="241" customFormat="1" x14ac:dyDescent="0.2">
      <c r="C313" s="5" t="str">
        <f ca="1">IF(OFFSET(Q313,0,Lang_Order*Lang__R1)="","",OFFSET(Q313,0,Lang_Order*Lang__R1))</f>
        <v>Delivery Modality 2</v>
      </c>
      <c r="D313" s="242" t="str">
        <f>IF(D171=0,"",D292/D171)</f>
        <v/>
      </c>
      <c r="E313" s="242"/>
      <c r="F313" s="242"/>
      <c r="G313" s="242" t="e">
        <f t="shared" si="91"/>
        <v>#N/A</v>
      </c>
      <c r="H313" s="242" t="e">
        <f t="shared" si="91"/>
        <v>#N/A</v>
      </c>
      <c r="I313" s="242" t="e">
        <f t="shared" si="91"/>
        <v>#N/A</v>
      </c>
      <c r="J313" s="242" t="e">
        <f t="shared" si="91"/>
        <v>#N/A</v>
      </c>
      <c r="K313" s="242" t="e">
        <f t="shared" si="91"/>
        <v>#N/A</v>
      </c>
      <c r="L313" s="242" t="e">
        <f t="shared" si="91"/>
        <v>#N/A</v>
      </c>
      <c r="M313" s="2"/>
      <c r="N313" s="403"/>
      <c r="O313" s="403"/>
      <c r="P313" s="403"/>
      <c r="Q313" s="403" t="s">
        <v>1639</v>
      </c>
      <c r="R313" s="403"/>
      <c r="S313" s="403"/>
      <c r="T313" s="403"/>
      <c r="U313" s="403" t="s">
        <v>197</v>
      </c>
      <c r="V313" s="403" t="s">
        <v>197</v>
      </c>
      <c r="W313" s="403" t="s">
        <v>197</v>
      </c>
      <c r="X313" s="403" t="s">
        <v>197</v>
      </c>
      <c r="Y313" s="403" t="s">
        <v>197</v>
      </c>
      <c r="Z313" s="403" t="s">
        <v>197</v>
      </c>
      <c r="AA313" s="403"/>
      <c r="AB313" s="403"/>
      <c r="AC313" s="564"/>
      <c r="AD313" s="403"/>
      <c r="AE313" s="403"/>
      <c r="AF313" s="403" t="s">
        <v>7482</v>
      </c>
      <c r="AG313" s="403"/>
      <c r="AH313" s="403"/>
      <c r="AI313" s="403"/>
      <c r="AJ313" s="403"/>
      <c r="AK313" s="403"/>
      <c r="AL313" s="403"/>
      <c r="AM313" s="403"/>
      <c r="AN313" s="403"/>
      <c r="AO313" s="403"/>
      <c r="AP313" s="403"/>
      <c r="AQ313" s="403"/>
      <c r="AR313" s="403"/>
      <c r="AS313" s="403"/>
      <c r="AT313" s="403"/>
      <c r="AU313" s="403" t="s">
        <v>9672</v>
      </c>
      <c r="AV313" s="403"/>
      <c r="AW313" s="403"/>
      <c r="AX313" s="403"/>
      <c r="AY313" s="403"/>
      <c r="AZ313" s="403"/>
      <c r="BA313" s="403"/>
      <c r="BB313" s="403"/>
      <c r="BC313" s="403"/>
      <c r="BD313" s="403"/>
      <c r="BE313" s="403"/>
      <c r="BF313" s="403"/>
      <c r="BG313" s="403"/>
      <c r="BH313" s="403"/>
      <c r="BI313" s="403"/>
      <c r="BJ313" s="403" t="s">
        <v>9673</v>
      </c>
      <c r="BK313" s="403"/>
      <c r="BL313" s="403"/>
      <c r="BM313" s="403"/>
      <c r="BN313" s="403"/>
      <c r="BO313" s="403"/>
      <c r="BP313" s="403"/>
      <c r="BQ313" s="403"/>
      <c r="BR313" s="403"/>
      <c r="BS313" s="403"/>
      <c r="BT313" s="403"/>
      <c r="BU313" s="403"/>
      <c r="BV313" s="403"/>
      <c r="BW313" s="403"/>
      <c r="BX313" s="403"/>
      <c r="BY313" s="403" t="s">
        <v>7485</v>
      </c>
      <c r="BZ313" s="403"/>
      <c r="CA313" s="403"/>
      <c r="CB313" s="403"/>
      <c r="CC313" s="403"/>
      <c r="CD313" s="403"/>
      <c r="CE313" s="403"/>
      <c r="CF313" s="403"/>
      <c r="CG313" s="403"/>
      <c r="CH313" s="403"/>
      <c r="CI313" s="403"/>
      <c r="CJ313" s="403"/>
      <c r="CK313" s="403"/>
      <c r="CL313" s="403"/>
      <c r="CM313" s="403"/>
      <c r="CN313" s="403" t="s">
        <v>7486</v>
      </c>
      <c r="CO313" s="403"/>
      <c r="CP313" s="403"/>
      <c r="CQ313" s="403"/>
      <c r="CR313" s="403"/>
      <c r="CS313" s="403"/>
      <c r="CT313" s="403"/>
      <c r="CU313" s="403"/>
      <c r="CV313" s="403"/>
      <c r="CW313" s="403"/>
      <c r="CX313" s="403"/>
      <c r="CY313" s="403"/>
      <c r="CZ313" s="403"/>
      <c r="DA313" s="403"/>
      <c r="DB313" s="403"/>
      <c r="DC313" s="403" t="s">
        <v>7487</v>
      </c>
      <c r="DD313" s="403"/>
      <c r="DE313" s="403"/>
      <c r="DF313" s="403"/>
      <c r="DG313" s="403"/>
      <c r="DH313" s="403"/>
      <c r="DI313" s="403"/>
      <c r="DJ313" s="403"/>
      <c r="DK313" s="403"/>
      <c r="DL313" s="403"/>
      <c r="DM313" s="403"/>
      <c r="DN313" s="403"/>
    </row>
    <row r="314" spans="3:118" s="241" customFormat="1" x14ac:dyDescent="0.2">
      <c r="C314" s="5" t="str">
        <f ca="1">IF(OFFSET(Q314,0,Lang_Order*Lang__R1)="","",OFFSET(Q314,0,Lang_Order*Lang__R1))</f>
        <v>Delivery Modality 3</v>
      </c>
      <c r="D314" s="242" t="str">
        <f>IF(D172=0,"",D293/D172)</f>
        <v/>
      </c>
      <c r="E314" s="242"/>
      <c r="F314" s="242"/>
      <c r="G314" s="242" t="e">
        <f t="shared" si="91"/>
        <v>#N/A</v>
      </c>
      <c r="H314" s="242" t="e">
        <f t="shared" si="91"/>
        <v>#N/A</v>
      </c>
      <c r="I314" s="242" t="e">
        <f t="shared" si="91"/>
        <v>#N/A</v>
      </c>
      <c r="J314" s="242" t="e">
        <f t="shared" si="91"/>
        <v>#N/A</v>
      </c>
      <c r="K314" s="242" t="e">
        <f t="shared" si="91"/>
        <v>#N/A</v>
      </c>
      <c r="L314" s="242" t="e">
        <f t="shared" si="91"/>
        <v>#N/A</v>
      </c>
      <c r="M314" s="2"/>
      <c r="N314" s="403"/>
      <c r="O314" s="403"/>
      <c r="P314" s="403"/>
      <c r="Q314" s="403" t="s">
        <v>1564</v>
      </c>
      <c r="R314" s="403"/>
      <c r="S314" s="403"/>
      <c r="T314" s="403"/>
      <c r="U314" s="403" t="s">
        <v>197</v>
      </c>
      <c r="V314" s="403" t="s">
        <v>197</v>
      </c>
      <c r="W314" s="403" t="s">
        <v>197</v>
      </c>
      <c r="X314" s="403" t="s">
        <v>197</v>
      </c>
      <c r="Y314" s="403" t="s">
        <v>197</v>
      </c>
      <c r="Z314" s="403" t="s">
        <v>197</v>
      </c>
      <c r="AA314" s="403"/>
      <c r="AB314" s="403"/>
      <c r="AC314" s="564"/>
      <c r="AD314" s="403"/>
      <c r="AE314" s="403"/>
      <c r="AF314" s="403" t="s">
        <v>7418</v>
      </c>
      <c r="AG314" s="403"/>
      <c r="AH314" s="403"/>
      <c r="AI314" s="403"/>
      <c r="AJ314" s="403"/>
      <c r="AK314" s="403"/>
      <c r="AL314" s="403"/>
      <c r="AM314" s="403"/>
      <c r="AN314" s="403"/>
      <c r="AO314" s="403"/>
      <c r="AP314" s="403"/>
      <c r="AQ314" s="403"/>
      <c r="AR314" s="403"/>
      <c r="AS314" s="403"/>
      <c r="AT314" s="403"/>
      <c r="AU314" s="403" t="s">
        <v>9676</v>
      </c>
      <c r="AV314" s="403"/>
      <c r="AW314" s="403"/>
      <c r="AX314" s="403"/>
      <c r="AY314" s="403"/>
      <c r="AZ314" s="403"/>
      <c r="BA314" s="403"/>
      <c r="BB314" s="403"/>
      <c r="BC314" s="403"/>
      <c r="BD314" s="403"/>
      <c r="BE314" s="403"/>
      <c r="BF314" s="403"/>
      <c r="BG314" s="403"/>
      <c r="BH314" s="403"/>
      <c r="BI314" s="403"/>
      <c r="BJ314" s="403" t="s">
        <v>7420</v>
      </c>
      <c r="BK314" s="403"/>
      <c r="BL314" s="403"/>
      <c r="BM314" s="403"/>
      <c r="BN314" s="403"/>
      <c r="BO314" s="403"/>
      <c r="BP314" s="403"/>
      <c r="BQ314" s="403"/>
      <c r="BR314" s="403"/>
      <c r="BS314" s="403"/>
      <c r="BT314" s="403"/>
      <c r="BU314" s="403"/>
      <c r="BV314" s="403"/>
      <c r="BW314" s="403"/>
      <c r="BX314" s="403"/>
      <c r="BY314" s="403" t="s">
        <v>7489</v>
      </c>
      <c r="BZ314" s="403"/>
      <c r="CA314" s="403"/>
      <c r="CB314" s="403"/>
      <c r="CC314" s="403"/>
      <c r="CD314" s="403"/>
      <c r="CE314" s="403"/>
      <c r="CF314" s="403"/>
      <c r="CG314" s="403"/>
      <c r="CH314" s="403"/>
      <c r="CI314" s="403"/>
      <c r="CJ314" s="403"/>
      <c r="CK314" s="403"/>
      <c r="CL314" s="403"/>
      <c r="CM314" s="403"/>
      <c r="CN314" s="403" t="s">
        <v>7422</v>
      </c>
      <c r="CO314" s="403"/>
      <c r="CP314" s="403"/>
      <c r="CQ314" s="403"/>
      <c r="CR314" s="403"/>
      <c r="CS314" s="403"/>
      <c r="CT314" s="403"/>
      <c r="CU314" s="403"/>
      <c r="CV314" s="403"/>
      <c r="CW314" s="403"/>
      <c r="CX314" s="403"/>
      <c r="CY314" s="403"/>
      <c r="CZ314" s="403"/>
      <c r="DA314" s="403"/>
      <c r="DB314" s="403"/>
      <c r="DC314" s="403" t="s">
        <v>7423</v>
      </c>
      <c r="DD314" s="403"/>
      <c r="DE314" s="403"/>
      <c r="DF314" s="403"/>
      <c r="DG314" s="403"/>
      <c r="DH314" s="403"/>
      <c r="DI314" s="403"/>
      <c r="DJ314" s="403"/>
      <c r="DK314" s="403"/>
      <c r="DL314" s="403"/>
      <c r="DM314" s="403"/>
      <c r="DN314" s="403"/>
    </row>
    <row r="315" spans="3:118" s="241" customFormat="1" x14ac:dyDescent="0.2">
      <c r="C315" s="5" t="str">
        <f ca="1">IF(OFFSET(Q315,0,Lang_Order*Lang__R1)="","",OFFSET(Q315,0,Lang_Order*Lang__R1))</f>
        <v>Delivery Modality 4</v>
      </c>
      <c r="D315" s="242" t="str">
        <f>IF(D173=0,"",D294/D173)</f>
        <v/>
      </c>
      <c r="E315" s="242"/>
      <c r="F315" s="242"/>
      <c r="G315" s="242" t="e">
        <f t="shared" si="91"/>
        <v>#N/A</v>
      </c>
      <c r="H315" s="242" t="e">
        <f t="shared" si="91"/>
        <v>#N/A</v>
      </c>
      <c r="I315" s="242" t="e">
        <f t="shared" si="91"/>
        <v>#N/A</v>
      </c>
      <c r="J315" s="242" t="e">
        <f t="shared" si="91"/>
        <v>#N/A</v>
      </c>
      <c r="K315" s="242" t="e">
        <f t="shared" si="91"/>
        <v>#N/A</v>
      </c>
      <c r="L315" s="242" t="e">
        <f t="shared" si="91"/>
        <v>#N/A</v>
      </c>
      <c r="M315" s="2"/>
      <c r="N315" s="403"/>
      <c r="O315" s="403"/>
      <c r="P315" s="403"/>
      <c r="Q315" s="403" t="s">
        <v>1565</v>
      </c>
      <c r="R315" s="403"/>
      <c r="S315" s="403"/>
      <c r="T315" s="403"/>
      <c r="U315" s="403" t="s">
        <v>197</v>
      </c>
      <c r="V315" s="403" t="s">
        <v>197</v>
      </c>
      <c r="W315" s="403" t="s">
        <v>197</v>
      </c>
      <c r="X315" s="403" t="s">
        <v>197</v>
      </c>
      <c r="Y315" s="403" t="s">
        <v>197</v>
      </c>
      <c r="Z315" s="403" t="s">
        <v>197</v>
      </c>
      <c r="AA315" s="403"/>
      <c r="AB315" s="403"/>
      <c r="AC315" s="564"/>
      <c r="AD315" s="403"/>
      <c r="AE315" s="403"/>
      <c r="AF315" s="403" t="s">
        <v>7424</v>
      </c>
      <c r="AG315" s="403"/>
      <c r="AH315" s="403"/>
      <c r="AI315" s="403"/>
      <c r="AJ315" s="403"/>
      <c r="AK315" s="403"/>
      <c r="AL315" s="403"/>
      <c r="AM315" s="403"/>
      <c r="AN315" s="403"/>
      <c r="AO315" s="403"/>
      <c r="AP315" s="403"/>
      <c r="AQ315" s="403"/>
      <c r="AR315" s="403"/>
      <c r="AS315" s="403"/>
      <c r="AT315" s="403"/>
      <c r="AU315" s="403" t="s">
        <v>9726</v>
      </c>
      <c r="AV315" s="403"/>
      <c r="AW315" s="403"/>
      <c r="AX315" s="403"/>
      <c r="AY315" s="403"/>
      <c r="AZ315" s="403"/>
      <c r="BA315" s="403"/>
      <c r="BB315" s="403"/>
      <c r="BC315" s="403"/>
      <c r="BD315" s="403"/>
      <c r="BE315" s="403"/>
      <c r="BF315" s="403"/>
      <c r="BG315" s="403"/>
      <c r="BH315" s="403"/>
      <c r="BI315" s="403"/>
      <c r="BJ315" s="403" t="s">
        <v>7426</v>
      </c>
      <c r="BK315" s="403"/>
      <c r="BL315" s="403"/>
      <c r="BM315" s="403"/>
      <c r="BN315" s="403"/>
      <c r="BO315" s="403"/>
      <c r="BP315" s="403"/>
      <c r="BQ315" s="403"/>
      <c r="BR315" s="403"/>
      <c r="BS315" s="403"/>
      <c r="BT315" s="403"/>
      <c r="BU315" s="403"/>
      <c r="BV315" s="403"/>
      <c r="BW315" s="403"/>
      <c r="BX315" s="403"/>
      <c r="BY315" s="403" t="s">
        <v>7491</v>
      </c>
      <c r="BZ315" s="403"/>
      <c r="CA315" s="403"/>
      <c r="CB315" s="403"/>
      <c r="CC315" s="403"/>
      <c r="CD315" s="403"/>
      <c r="CE315" s="403"/>
      <c r="CF315" s="403"/>
      <c r="CG315" s="403"/>
      <c r="CH315" s="403"/>
      <c r="CI315" s="403"/>
      <c r="CJ315" s="403"/>
      <c r="CK315" s="403"/>
      <c r="CL315" s="403"/>
      <c r="CM315" s="403"/>
      <c r="CN315" s="403" t="s">
        <v>7428</v>
      </c>
      <c r="CO315" s="403"/>
      <c r="CP315" s="403"/>
      <c r="CQ315" s="403"/>
      <c r="CR315" s="403"/>
      <c r="CS315" s="403"/>
      <c r="CT315" s="403"/>
      <c r="CU315" s="403"/>
      <c r="CV315" s="403"/>
      <c r="CW315" s="403"/>
      <c r="CX315" s="403"/>
      <c r="CY315" s="403"/>
      <c r="CZ315" s="403"/>
      <c r="DA315" s="403"/>
      <c r="DB315" s="403"/>
      <c r="DC315" s="403" t="s">
        <v>7429</v>
      </c>
      <c r="DD315" s="403"/>
      <c r="DE315" s="403"/>
      <c r="DF315" s="403"/>
      <c r="DG315" s="403"/>
      <c r="DH315" s="403"/>
      <c r="DI315" s="403"/>
      <c r="DJ315" s="403"/>
      <c r="DK315" s="403"/>
      <c r="DL315" s="403"/>
      <c r="DM315" s="403"/>
      <c r="DN315" s="403"/>
    </row>
    <row r="316" spans="3:118" s="241" customFormat="1" ht="13.5" thickBot="1" x14ac:dyDescent="0.25">
      <c r="C316" s="21" t="str">
        <f ca="1">IF(OFFSET(Q316,0,Lang_Order*Lang__R1)="","",OFFSET(Q316,0,Lang_Order*Lang__R1))</f>
        <v>All delivery modalities</v>
      </c>
      <c r="D316" s="248" t="str">
        <f>IF(D174=0,"",D295/D174)</f>
        <v/>
      </c>
      <c r="E316" s="248"/>
      <c r="F316" s="248"/>
      <c r="G316" s="248" t="e">
        <f t="shared" si="91"/>
        <v>#N/A</v>
      </c>
      <c r="H316" s="248" t="e">
        <f t="shared" si="91"/>
        <v>#N/A</v>
      </c>
      <c r="I316" s="248" t="e">
        <f t="shared" si="91"/>
        <v>#N/A</v>
      </c>
      <c r="J316" s="248" t="e">
        <f t="shared" si="91"/>
        <v>#N/A</v>
      </c>
      <c r="K316" s="248" t="e">
        <f t="shared" si="91"/>
        <v>#N/A</v>
      </c>
      <c r="L316" s="248" t="e">
        <f t="shared" si="91"/>
        <v>#N/A</v>
      </c>
      <c r="M316" s="2"/>
      <c r="N316" s="403"/>
      <c r="O316" s="403"/>
      <c r="P316" s="403"/>
      <c r="Q316" s="403" t="s">
        <v>2998</v>
      </c>
      <c r="R316" s="403"/>
      <c r="S316" s="403"/>
      <c r="T316" s="403"/>
      <c r="U316" s="403" t="s">
        <v>197</v>
      </c>
      <c r="V316" s="403" t="s">
        <v>197</v>
      </c>
      <c r="W316" s="403" t="s">
        <v>197</v>
      </c>
      <c r="X316" s="403" t="s">
        <v>197</v>
      </c>
      <c r="Y316" s="403" t="s">
        <v>197</v>
      </c>
      <c r="Z316" s="403" t="s">
        <v>197</v>
      </c>
      <c r="AA316" s="403"/>
      <c r="AB316" s="403"/>
      <c r="AC316" s="564"/>
      <c r="AD316" s="403"/>
      <c r="AE316" s="403"/>
      <c r="AF316" s="403" t="s">
        <v>12913</v>
      </c>
      <c r="AG316" s="403"/>
      <c r="AH316" s="403"/>
      <c r="AI316" s="403"/>
      <c r="AJ316" s="403"/>
      <c r="AK316" s="403"/>
      <c r="AL316" s="403"/>
      <c r="AM316" s="403"/>
      <c r="AN316" s="403"/>
      <c r="AO316" s="403"/>
      <c r="AP316" s="403"/>
      <c r="AQ316" s="403"/>
      <c r="AR316" s="403"/>
      <c r="AS316" s="403"/>
      <c r="AT316" s="403"/>
      <c r="AU316" s="403" t="s">
        <v>12914</v>
      </c>
      <c r="AV316" s="403"/>
      <c r="AW316" s="403"/>
      <c r="AX316" s="403"/>
      <c r="AY316" s="403"/>
      <c r="AZ316" s="403"/>
      <c r="BA316" s="403"/>
      <c r="BB316" s="403"/>
      <c r="BC316" s="403"/>
      <c r="BD316" s="403"/>
      <c r="BE316" s="403"/>
      <c r="BF316" s="403"/>
      <c r="BG316" s="403"/>
      <c r="BH316" s="403"/>
      <c r="BI316" s="403"/>
      <c r="BJ316" s="403" t="s">
        <v>12915</v>
      </c>
      <c r="BK316" s="403"/>
      <c r="BL316" s="403"/>
      <c r="BM316" s="403"/>
      <c r="BN316" s="403"/>
      <c r="BO316" s="403"/>
      <c r="BP316" s="403"/>
      <c r="BQ316" s="403"/>
      <c r="BR316" s="403"/>
      <c r="BS316" s="403"/>
      <c r="BT316" s="403"/>
      <c r="BU316" s="403"/>
      <c r="BV316" s="403"/>
      <c r="BW316" s="403"/>
      <c r="BX316" s="403"/>
      <c r="BY316" s="403" t="s">
        <v>12916</v>
      </c>
      <c r="BZ316" s="403"/>
      <c r="CA316" s="403"/>
      <c r="CB316" s="403"/>
      <c r="CC316" s="403"/>
      <c r="CD316" s="403"/>
      <c r="CE316" s="403"/>
      <c r="CF316" s="403"/>
      <c r="CG316" s="403"/>
      <c r="CH316" s="403"/>
      <c r="CI316" s="403"/>
      <c r="CJ316" s="403"/>
      <c r="CK316" s="403"/>
      <c r="CL316" s="403"/>
      <c r="CM316" s="403"/>
      <c r="CN316" s="403" t="s">
        <v>12917</v>
      </c>
      <c r="CO316" s="403"/>
      <c r="CP316" s="403"/>
      <c r="CQ316" s="403"/>
      <c r="CR316" s="403"/>
      <c r="CS316" s="403"/>
      <c r="CT316" s="403"/>
      <c r="CU316" s="403"/>
      <c r="CV316" s="403"/>
      <c r="CW316" s="403"/>
      <c r="CX316" s="403"/>
      <c r="CY316" s="403"/>
      <c r="CZ316" s="403"/>
      <c r="DA316" s="403"/>
      <c r="DB316" s="403"/>
      <c r="DC316" s="403" t="s">
        <v>12918</v>
      </c>
      <c r="DD316" s="403"/>
      <c r="DE316" s="403"/>
      <c r="DF316" s="403"/>
      <c r="DG316" s="403"/>
      <c r="DH316" s="403"/>
      <c r="DI316" s="403"/>
      <c r="DJ316" s="403"/>
      <c r="DK316" s="403"/>
      <c r="DL316" s="403"/>
      <c r="DM316" s="403"/>
      <c r="DN316" s="403"/>
    </row>
    <row r="317" spans="3:118" s="241" customFormat="1" ht="13.5" thickTop="1" x14ac:dyDescent="0.2">
      <c r="C317" s="31"/>
      <c r="D317" s="242"/>
      <c r="G317" s="242"/>
      <c r="H317" s="242"/>
      <c r="I317" s="242"/>
      <c r="J317" s="242"/>
      <c r="K317" s="242"/>
      <c r="L317" s="242"/>
      <c r="M317" s="2"/>
      <c r="N317" s="403"/>
      <c r="O317" s="403"/>
      <c r="P317" s="403"/>
      <c r="Q317" s="403"/>
      <c r="R317" s="403"/>
      <c r="S317" s="403"/>
      <c r="T317" s="403"/>
      <c r="U317" s="403"/>
      <c r="V317" s="403"/>
      <c r="W317" s="403"/>
      <c r="X317" s="403"/>
      <c r="Y317" s="403"/>
      <c r="Z317" s="403"/>
      <c r="AA317" s="403"/>
      <c r="AB317" s="403"/>
      <c r="AC317" s="564"/>
      <c r="AD317" s="403"/>
      <c r="AE317" s="403"/>
      <c r="AF317" s="403"/>
      <c r="AG317" s="403"/>
      <c r="AH317" s="403"/>
      <c r="AI317" s="403"/>
      <c r="AJ317" s="403"/>
      <c r="AK317" s="403"/>
      <c r="AL317" s="403"/>
      <c r="AM317" s="403"/>
      <c r="AN317" s="403"/>
      <c r="AO317" s="403"/>
      <c r="AP317" s="403"/>
      <c r="AQ317" s="403"/>
      <c r="AR317" s="403"/>
      <c r="AS317" s="403"/>
      <c r="AT317" s="403"/>
      <c r="AU317" s="403"/>
      <c r="AV317" s="403"/>
      <c r="AW317" s="403"/>
      <c r="AX317" s="403"/>
      <c r="AY317" s="403"/>
      <c r="AZ317" s="403"/>
      <c r="BA317" s="403"/>
      <c r="BB317" s="403"/>
      <c r="BC317" s="403"/>
      <c r="BD317" s="403"/>
      <c r="BE317" s="403"/>
      <c r="BF317" s="403"/>
      <c r="BG317" s="403"/>
      <c r="BH317" s="403"/>
      <c r="BI317" s="403"/>
      <c r="BJ317" s="403"/>
      <c r="BK317" s="403"/>
      <c r="BL317" s="403"/>
      <c r="BM317" s="403"/>
      <c r="BN317" s="403"/>
      <c r="BO317" s="403"/>
      <c r="BP317" s="403"/>
      <c r="BQ317" s="403"/>
      <c r="BR317" s="403"/>
      <c r="BS317" s="403"/>
      <c r="BT317" s="403"/>
      <c r="BU317" s="403"/>
      <c r="BV317" s="403"/>
      <c r="BW317" s="403"/>
      <c r="BX317" s="403"/>
      <c r="BY317" s="403"/>
      <c r="BZ317" s="403"/>
      <c r="CA317" s="403"/>
      <c r="CB317" s="403"/>
      <c r="CC317" s="403"/>
      <c r="CD317" s="403"/>
      <c r="CE317" s="403"/>
      <c r="CF317" s="403"/>
      <c r="CG317" s="403"/>
      <c r="CH317" s="403"/>
      <c r="CI317" s="403"/>
      <c r="CJ317" s="403"/>
      <c r="CK317" s="403"/>
      <c r="CL317" s="403"/>
      <c r="CM317" s="403"/>
      <c r="CN317" s="403"/>
      <c r="CO317" s="403"/>
      <c r="CP317" s="403"/>
      <c r="CQ317" s="403"/>
      <c r="CR317" s="403"/>
      <c r="CS317" s="403"/>
      <c r="CT317" s="403"/>
      <c r="CU317" s="403"/>
      <c r="CV317" s="403"/>
      <c r="CW317" s="403"/>
      <c r="CX317" s="403"/>
      <c r="CY317" s="403"/>
      <c r="CZ317" s="403"/>
      <c r="DA317" s="403"/>
      <c r="DB317" s="403"/>
      <c r="DC317" s="403"/>
      <c r="DD317" s="403"/>
      <c r="DE317" s="403"/>
      <c r="DF317" s="403"/>
      <c r="DG317" s="403"/>
      <c r="DH317" s="403"/>
      <c r="DI317" s="403"/>
      <c r="DJ317" s="403"/>
      <c r="DK317" s="403"/>
      <c r="DL317" s="403"/>
      <c r="DM317" s="403"/>
      <c r="DN317" s="403"/>
    </row>
    <row r="318" spans="3:118" s="241" customFormat="1" x14ac:dyDescent="0.2">
      <c r="C318" s="31"/>
      <c r="D318" s="242"/>
      <c r="G318" s="242"/>
      <c r="H318" s="242"/>
      <c r="I318" s="242"/>
      <c r="J318" s="242"/>
      <c r="K318" s="242"/>
      <c r="L318" s="425" t="str">
        <f ca="1">IF(OFFSET(Z318,0,Lang_Order*Lang__R1)="","",OFFSET(Z318,0,Lang_Order*Lang__R1))</f>
        <v>Vaccinator Hours - Medium Variant</v>
      </c>
      <c r="M318" s="299"/>
      <c r="N318" s="403"/>
      <c r="O318" s="403"/>
      <c r="P318" s="403"/>
      <c r="Q318" s="403"/>
      <c r="R318" s="403"/>
      <c r="S318" s="403"/>
      <c r="T318" s="403"/>
      <c r="U318" s="403"/>
      <c r="V318" s="403"/>
      <c r="W318" s="403"/>
      <c r="X318" s="403"/>
      <c r="Y318" s="403"/>
      <c r="Z318" s="403" t="s">
        <v>4210</v>
      </c>
      <c r="AA318" s="403"/>
      <c r="AB318" s="403"/>
      <c r="AC318" s="564"/>
      <c r="AD318" s="403"/>
      <c r="AE318" s="403"/>
      <c r="AF318" s="403"/>
      <c r="AG318" s="403"/>
      <c r="AH318" s="403"/>
      <c r="AI318" s="403"/>
      <c r="AJ318" s="403"/>
      <c r="AK318" s="403"/>
      <c r="AL318" s="403"/>
      <c r="AM318" s="403"/>
      <c r="AN318" s="403"/>
      <c r="AO318" s="403" t="s">
        <v>12943</v>
      </c>
      <c r="AP318" s="403"/>
      <c r="AQ318" s="403"/>
      <c r="AR318" s="403"/>
      <c r="AS318" s="403"/>
      <c r="AT318" s="403"/>
      <c r="AU318" s="403"/>
      <c r="AV318" s="403"/>
      <c r="AW318" s="403"/>
      <c r="AX318" s="403"/>
      <c r="AY318" s="403"/>
      <c r="AZ318" s="403"/>
      <c r="BA318" s="403"/>
      <c r="BB318" s="403"/>
      <c r="BC318" s="403"/>
      <c r="BD318" s="403" t="s">
        <v>12944</v>
      </c>
      <c r="BE318" s="403"/>
      <c r="BF318" s="403"/>
      <c r="BG318" s="403"/>
      <c r="BH318" s="403"/>
      <c r="BI318" s="403"/>
      <c r="BJ318" s="403"/>
      <c r="BK318" s="403"/>
      <c r="BL318" s="403"/>
      <c r="BM318" s="403"/>
      <c r="BN318" s="403"/>
      <c r="BO318" s="403"/>
      <c r="BP318" s="403"/>
      <c r="BQ318" s="403"/>
      <c r="BR318" s="403"/>
      <c r="BS318" s="403" t="s">
        <v>12945</v>
      </c>
      <c r="BT318" s="403"/>
      <c r="BU318" s="403"/>
      <c r="BV318" s="403"/>
      <c r="BW318" s="403"/>
      <c r="BX318" s="403"/>
      <c r="BY318" s="403"/>
      <c r="BZ318" s="403"/>
      <c r="CA318" s="403"/>
      <c r="CB318" s="403"/>
      <c r="CC318" s="403"/>
      <c r="CD318" s="403"/>
      <c r="CE318" s="403"/>
      <c r="CF318" s="403"/>
      <c r="CG318" s="403"/>
      <c r="CH318" s="403" t="s">
        <v>12946</v>
      </c>
      <c r="CI318" s="403"/>
      <c r="CJ318" s="403"/>
      <c r="CK318" s="403"/>
      <c r="CL318" s="403"/>
      <c r="CM318" s="403"/>
      <c r="CN318" s="403"/>
      <c r="CO318" s="403"/>
      <c r="CP318" s="403"/>
      <c r="CQ318" s="403"/>
      <c r="CR318" s="403"/>
      <c r="CS318" s="403"/>
      <c r="CT318" s="403"/>
      <c r="CU318" s="403"/>
      <c r="CV318" s="403"/>
      <c r="CW318" s="403" t="s">
        <v>12947</v>
      </c>
      <c r="CX318" s="403"/>
      <c r="CY318" s="403"/>
      <c r="CZ318" s="403"/>
      <c r="DA318" s="403"/>
      <c r="DB318" s="403"/>
      <c r="DC318" s="403"/>
      <c r="DD318" s="403"/>
      <c r="DE318" s="403"/>
      <c r="DF318" s="403"/>
      <c r="DG318" s="403"/>
      <c r="DH318" s="403"/>
      <c r="DI318" s="403"/>
      <c r="DJ318" s="403"/>
      <c r="DK318" s="403"/>
      <c r="DL318" s="403" t="s">
        <v>12948</v>
      </c>
      <c r="DM318" s="403"/>
      <c r="DN318" s="403"/>
    </row>
    <row r="319" spans="3:118" s="241" customFormat="1" x14ac:dyDescent="0.2">
      <c r="C319" s="31"/>
      <c r="D319" s="242"/>
      <c r="G319" s="242"/>
      <c r="H319" s="242"/>
      <c r="I319" s="242"/>
      <c r="J319" s="242"/>
      <c r="K319" s="242"/>
      <c r="L319" s="242"/>
      <c r="N319" s="403"/>
      <c r="O319" s="403"/>
      <c r="P319" s="403"/>
      <c r="Q319" s="403"/>
      <c r="R319" s="403"/>
      <c r="S319" s="403"/>
      <c r="T319" s="403"/>
      <c r="U319" s="403"/>
      <c r="V319" s="403"/>
      <c r="W319" s="403"/>
      <c r="X319" s="403"/>
      <c r="Y319" s="403"/>
      <c r="Z319" s="403"/>
      <c r="AA319" s="403"/>
      <c r="AB319" s="403"/>
      <c r="AC319" s="564"/>
      <c r="AD319" s="403"/>
      <c r="AE319" s="403"/>
      <c r="AF319" s="403"/>
      <c r="AG319" s="403"/>
      <c r="AH319" s="403"/>
      <c r="AI319" s="403"/>
      <c r="AJ319" s="403"/>
      <c r="AK319" s="403"/>
      <c r="AL319" s="403"/>
      <c r="AM319" s="403"/>
      <c r="AN319" s="403"/>
      <c r="AO319" s="403"/>
      <c r="AP319" s="403"/>
      <c r="AQ319" s="403"/>
      <c r="AR319" s="403"/>
      <c r="AS319" s="403"/>
      <c r="AT319" s="403"/>
      <c r="AU319" s="403"/>
      <c r="AV319" s="403"/>
      <c r="AW319" s="403"/>
      <c r="AX319" s="403"/>
      <c r="AY319" s="403"/>
      <c r="AZ319" s="403"/>
      <c r="BA319" s="403"/>
      <c r="BB319" s="403"/>
      <c r="BC319" s="403"/>
      <c r="BD319" s="403"/>
      <c r="BE319" s="403"/>
      <c r="BF319" s="403"/>
      <c r="BG319" s="403"/>
      <c r="BH319" s="403"/>
      <c r="BI319" s="403"/>
      <c r="BJ319" s="403"/>
      <c r="BK319" s="403"/>
      <c r="BL319" s="403"/>
      <c r="BM319" s="403"/>
      <c r="BN319" s="403"/>
      <c r="BO319" s="403"/>
      <c r="BP319" s="403"/>
      <c r="BQ319" s="403"/>
      <c r="BR319" s="403"/>
      <c r="BS319" s="403"/>
      <c r="BT319" s="403"/>
      <c r="BU319" s="403"/>
      <c r="BV319" s="403"/>
      <c r="BW319" s="403"/>
      <c r="BX319" s="403"/>
      <c r="BY319" s="403"/>
      <c r="BZ319" s="403"/>
      <c r="CA319" s="403"/>
      <c r="CB319" s="403"/>
      <c r="CC319" s="403"/>
      <c r="CD319" s="403"/>
      <c r="CE319" s="403"/>
      <c r="CF319" s="403"/>
      <c r="CG319" s="403"/>
      <c r="CH319" s="403"/>
      <c r="CI319" s="403"/>
      <c r="CJ319" s="403"/>
      <c r="CK319" s="403"/>
      <c r="CL319" s="403"/>
      <c r="CM319" s="403"/>
      <c r="CN319" s="403"/>
      <c r="CO319" s="403"/>
      <c r="CP319" s="403"/>
      <c r="CQ319" s="403"/>
      <c r="CR319" s="403"/>
      <c r="CS319" s="403"/>
      <c r="CT319" s="403"/>
      <c r="CU319" s="403"/>
      <c r="CV319" s="403"/>
      <c r="CW319" s="403"/>
      <c r="CX319" s="403"/>
      <c r="CY319" s="403"/>
      <c r="CZ319" s="403"/>
      <c r="DA319" s="403"/>
      <c r="DB319" s="403"/>
      <c r="DC319" s="403"/>
      <c r="DD319" s="403"/>
      <c r="DE319" s="403"/>
      <c r="DF319" s="403"/>
      <c r="DG319" s="403"/>
      <c r="DH319" s="403"/>
      <c r="DI319" s="403"/>
      <c r="DJ319" s="403"/>
      <c r="DK319" s="403"/>
      <c r="DL319" s="403"/>
      <c r="DM319" s="403"/>
      <c r="DN319" s="403"/>
    </row>
    <row r="320" spans="3:118" s="241" customFormat="1" x14ac:dyDescent="0.2">
      <c r="C320" s="31"/>
      <c r="D320" s="242"/>
      <c r="G320" s="242"/>
      <c r="H320" s="242"/>
      <c r="I320" s="242"/>
      <c r="J320" s="242"/>
      <c r="K320" s="242"/>
      <c r="L320" s="242"/>
      <c r="M320" s="2"/>
      <c r="N320" s="403"/>
      <c r="O320" s="403"/>
      <c r="P320" s="403"/>
      <c r="Q320" s="403"/>
      <c r="R320" s="403"/>
      <c r="S320" s="403"/>
      <c r="T320" s="403"/>
      <c r="U320" s="403"/>
      <c r="V320" s="403"/>
      <c r="W320" s="403"/>
      <c r="X320" s="403"/>
      <c r="Y320" s="403"/>
      <c r="Z320" s="403"/>
      <c r="AA320" s="403"/>
      <c r="AB320" s="403"/>
      <c r="AC320" s="564"/>
      <c r="AD320" s="403"/>
      <c r="AE320" s="403"/>
      <c r="AF320" s="403"/>
      <c r="AG320" s="403"/>
      <c r="AH320" s="403"/>
      <c r="AI320" s="403"/>
      <c r="AJ320" s="403"/>
      <c r="AK320" s="403"/>
      <c r="AL320" s="403"/>
      <c r="AM320" s="403"/>
      <c r="AN320" s="403"/>
      <c r="AO320" s="403"/>
      <c r="AP320" s="403"/>
      <c r="AQ320" s="403"/>
      <c r="AR320" s="403"/>
      <c r="AS320" s="403"/>
      <c r="AT320" s="403"/>
      <c r="AU320" s="403"/>
      <c r="AV320" s="403"/>
      <c r="AW320" s="403"/>
      <c r="AX320" s="403"/>
      <c r="AY320" s="403"/>
      <c r="AZ320" s="403"/>
      <c r="BA320" s="403"/>
      <c r="BB320" s="403"/>
      <c r="BC320" s="403"/>
      <c r="BD320" s="403"/>
      <c r="BE320" s="403"/>
      <c r="BF320" s="403"/>
      <c r="BG320" s="403"/>
      <c r="BH320" s="403"/>
      <c r="BI320" s="403"/>
      <c r="BJ320" s="403"/>
      <c r="BK320" s="403"/>
      <c r="BL320" s="403"/>
      <c r="BM320" s="403"/>
      <c r="BN320" s="403"/>
      <c r="BO320" s="403"/>
      <c r="BP320" s="403"/>
      <c r="BQ320" s="403"/>
      <c r="BR320" s="403"/>
      <c r="BS320" s="403"/>
      <c r="BT320" s="403"/>
      <c r="BU320" s="403"/>
      <c r="BV320" s="403"/>
      <c r="BW320" s="403"/>
      <c r="BX320" s="403"/>
      <c r="BY320" s="403"/>
      <c r="BZ320" s="403"/>
      <c r="CA320" s="403"/>
      <c r="CB320" s="403"/>
      <c r="CC320" s="403"/>
      <c r="CD320" s="403"/>
      <c r="CE320" s="403"/>
      <c r="CF320" s="403"/>
      <c r="CG320" s="403"/>
      <c r="CH320" s="403"/>
      <c r="CI320" s="403"/>
      <c r="CJ320" s="403"/>
      <c r="CK320" s="403"/>
      <c r="CL320" s="403"/>
      <c r="CM320" s="403"/>
      <c r="CN320" s="403"/>
      <c r="CO320" s="403"/>
      <c r="CP320" s="403"/>
      <c r="CQ320" s="403"/>
      <c r="CR320" s="403"/>
      <c r="CS320" s="403"/>
      <c r="CT320" s="403"/>
      <c r="CU320" s="403"/>
      <c r="CV320" s="403"/>
      <c r="CW320" s="403"/>
      <c r="CX320" s="403"/>
      <c r="CY320" s="403"/>
      <c r="CZ320" s="403"/>
      <c r="DA320" s="403"/>
      <c r="DB320" s="403"/>
      <c r="DC320" s="403"/>
      <c r="DD320" s="403"/>
      <c r="DE320" s="403"/>
      <c r="DF320" s="403"/>
      <c r="DG320" s="403"/>
      <c r="DH320" s="403"/>
      <c r="DI320" s="403"/>
      <c r="DJ320" s="403"/>
      <c r="DK320" s="403"/>
      <c r="DL320" s="403"/>
      <c r="DM320" s="403"/>
      <c r="DN320" s="403"/>
    </row>
    <row r="321" spans="3:118" s="241" customFormat="1" x14ac:dyDescent="0.2">
      <c r="C321" s="31"/>
      <c r="D321" s="242"/>
      <c r="G321" s="242"/>
      <c r="H321" s="242"/>
      <c r="I321" s="242"/>
      <c r="J321" s="242"/>
      <c r="K321" s="242"/>
      <c r="L321" s="242"/>
      <c r="M321" s="2"/>
      <c r="N321" s="403"/>
      <c r="O321" s="403"/>
      <c r="P321" s="403"/>
      <c r="Q321" s="403"/>
      <c r="R321" s="403"/>
      <c r="S321" s="403"/>
      <c r="T321" s="403"/>
      <c r="U321" s="403"/>
      <c r="V321" s="403"/>
      <c r="W321" s="403"/>
      <c r="X321" s="403"/>
      <c r="Y321" s="403"/>
      <c r="Z321" s="403"/>
      <c r="AA321" s="403"/>
      <c r="AB321" s="403"/>
      <c r="AC321" s="564"/>
      <c r="AD321" s="403"/>
      <c r="AE321" s="403"/>
      <c r="AF321" s="403"/>
      <c r="AG321" s="403"/>
      <c r="AH321" s="403"/>
      <c r="AI321" s="403"/>
      <c r="AJ321" s="403"/>
      <c r="AK321" s="403"/>
      <c r="AL321" s="403"/>
      <c r="AM321" s="403"/>
      <c r="AN321" s="403"/>
      <c r="AO321" s="403"/>
      <c r="AP321" s="403"/>
      <c r="AQ321" s="403"/>
      <c r="AR321" s="403"/>
      <c r="AS321" s="403"/>
      <c r="AT321" s="403"/>
      <c r="AU321" s="403"/>
      <c r="AV321" s="403"/>
      <c r="AW321" s="403"/>
      <c r="AX321" s="403"/>
      <c r="AY321" s="403"/>
      <c r="AZ321" s="403"/>
      <c r="BA321" s="403"/>
      <c r="BB321" s="403"/>
      <c r="BC321" s="403"/>
      <c r="BD321" s="403"/>
      <c r="BE321" s="403"/>
      <c r="BF321" s="403"/>
      <c r="BG321" s="403"/>
      <c r="BH321" s="403"/>
      <c r="BI321" s="403"/>
      <c r="BJ321" s="403"/>
      <c r="BK321" s="403"/>
      <c r="BL321" s="403"/>
      <c r="BM321" s="403"/>
      <c r="BN321" s="403"/>
      <c r="BO321" s="403"/>
      <c r="BP321" s="403"/>
      <c r="BQ321" s="403"/>
      <c r="BR321" s="403"/>
      <c r="BS321" s="403"/>
      <c r="BT321" s="403"/>
      <c r="BU321" s="403"/>
      <c r="BV321" s="403"/>
      <c r="BW321" s="403"/>
      <c r="BX321" s="403"/>
      <c r="BY321" s="403"/>
      <c r="BZ321" s="403"/>
      <c r="CA321" s="403"/>
      <c r="CB321" s="403"/>
      <c r="CC321" s="403"/>
      <c r="CD321" s="403"/>
      <c r="CE321" s="403"/>
      <c r="CF321" s="403"/>
      <c r="CG321" s="403"/>
      <c r="CH321" s="403"/>
      <c r="CI321" s="403"/>
      <c r="CJ321" s="403"/>
      <c r="CK321" s="403"/>
      <c r="CL321" s="403"/>
      <c r="CM321" s="403"/>
      <c r="CN321" s="403"/>
      <c r="CO321" s="403"/>
      <c r="CP321" s="403"/>
      <c r="CQ321" s="403"/>
      <c r="CR321" s="403"/>
      <c r="CS321" s="403"/>
      <c r="CT321" s="403"/>
      <c r="CU321" s="403"/>
      <c r="CV321" s="403"/>
      <c r="CW321" s="403"/>
      <c r="CX321" s="403"/>
      <c r="CY321" s="403"/>
      <c r="CZ321" s="403"/>
      <c r="DA321" s="403"/>
      <c r="DB321" s="403"/>
      <c r="DC321" s="403"/>
      <c r="DD321" s="403"/>
      <c r="DE321" s="403"/>
      <c r="DF321" s="403"/>
      <c r="DG321" s="403"/>
      <c r="DH321" s="403"/>
      <c r="DI321" s="403"/>
      <c r="DJ321" s="403"/>
      <c r="DK321" s="403"/>
      <c r="DL321" s="403"/>
      <c r="DM321" s="403"/>
      <c r="DN321" s="403"/>
    </row>
    <row r="322" spans="3:118" s="241" customFormat="1" x14ac:dyDescent="0.2">
      <c r="C322" s="31"/>
      <c r="D322" s="242"/>
      <c r="G322" s="242"/>
      <c r="H322" s="242"/>
      <c r="I322" s="242"/>
      <c r="J322" s="242"/>
      <c r="K322" s="242"/>
      <c r="L322" s="242"/>
      <c r="M322" s="2"/>
      <c r="N322" s="403"/>
      <c r="O322" s="403"/>
      <c r="P322" s="403"/>
      <c r="Q322" s="403"/>
      <c r="R322" s="403"/>
      <c r="S322" s="403"/>
      <c r="T322" s="403"/>
      <c r="U322" s="403"/>
      <c r="V322" s="403"/>
      <c r="W322" s="403"/>
      <c r="X322" s="403"/>
      <c r="Y322" s="403"/>
      <c r="Z322" s="403"/>
      <c r="AA322" s="403"/>
      <c r="AB322" s="403"/>
      <c r="AC322" s="564"/>
      <c r="AD322" s="403"/>
      <c r="AE322" s="403"/>
      <c r="AF322" s="403"/>
      <c r="AG322" s="403"/>
      <c r="AH322" s="403"/>
      <c r="AI322" s="403"/>
      <c r="AJ322" s="403"/>
      <c r="AK322" s="403"/>
      <c r="AL322" s="403"/>
      <c r="AM322" s="403"/>
      <c r="AN322" s="403"/>
      <c r="AO322" s="403"/>
      <c r="AP322" s="403"/>
      <c r="AQ322" s="403"/>
      <c r="AR322" s="403"/>
      <c r="AS322" s="403"/>
      <c r="AT322" s="403"/>
      <c r="AU322" s="403"/>
      <c r="AV322" s="403"/>
      <c r="AW322" s="403"/>
      <c r="AX322" s="403"/>
      <c r="AY322" s="403"/>
      <c r="AZ322" s="403"/>
      <c r="BA322" s="403"/>
      <c r="BB322" s="403"/>
      <c r="BC322" s="403"/>
      <c r="BD322" s="403"/>
      <c r="BE322" s="403"/>
      <c r="BF322" s="403"/>
      <c r="BG322" s="403"/>
      <c r="BH322" s="403"/>
      <c r="BI322" s="403"/>
      <c r="BJ322" s="403"/>
      <c r="BK322" s="403"/>
      <c r="BL322" s="403"/>
      <c r="BM322" s="403"/>
      <c r="BN322" s="403"/>
      <c r="BO322" s="403"/>
      <c r="BP322" s="403"/>
      <c r="BQ322" s="403"/>
      <c r="BR322" s="403"/>
      <c r="BS322" s="403"/>
      <c r="BT322" s="403"/>
      <c r="BU322" s="403"/>
      <c r="BV322" s="403"/>
      <c r="BW322" s="403"/>
      <c r="BX322" s="403"/>
      <c r="BY322" s="403"/>
      <c r="BZ322" s="403"/>
      <c r="CA322" s="403"/>
      <c r="CB322" s="403"/>
      <c r="CC322" s="403"/>
      <c r="CD322" s="403"/>
      <c r="CE322" s="403"/>
      <c r="CF322" s="403"/>
      <c r="CG322" s="403"/>
      <c r="CH322" s="403"/>
      <c r="CI322" s="403"/>
      <c r="CJ322" s="403"/>
      <c r="CK322" s="403"/>
      <c r="CL322" s="403"/>
      <c r="CM322" s="403"/>
      <c r="CN322" s="403"/>
      <c r="CO322" s="403"/>
      <c r="CP322" s="403"/>
      <c r="CQ322" s="403"/>
      <c r="CR322" s="403"/>
      <c r="CS322" s="403"/>
      <c r="CT322" s="403"/>
      <c r="CU322" s="403"/>
      <c r="CV322" s="403"/>
      <c r="CW322" s="403"/>
      <c r="CX322" s="403"/>
      <c r="CY322" s="403"/>
      <c r="CZ322" s="403"/>
      <c r="DA322" s="403"/>
      <c r="DB322" s="403"/>
      <c r="DC322" s="403"/>
      <c r="DD322" s="403"/>
      <c r="DE322" s="403"/>
      <c r="DF322" s="403"/>
      <c r="DG322" s="403"/>
      <c r="DH322" s="403"/>
      <c r="DI322" s="403"/>
      <c r="DJ322" s="403"/>
      <c r="DK322" s="403"/>
      <c r="DL322" s="403"/>
      <c r="DM322" s="403"/>
      <c r="DN322" s="403"/>
    </row>
    <row r="323" spans="3:118" s="241" customFormat="1" x14ac:dyDescent="0.2">
      <c r="C323" s="31"/>
      <c r="D323" s="242"/>
      <c r="G323" s="242"/>
      <c r="H323" s="242"/>
      <c r="I323" s="242"/>
      <c r="J323" s="242"/>
      <c r="K323" s="242"/>
      <c r="L323" s="242"/>
      <c r="M323" s="2"/>
      <c r="N323" s="403"/>
      <c r="O323" s="403"/>
      <c r="P323" s="403"/>
      <c r="Q323" s="403"/>
      <c r="R323" s="403"/>
      <c r="S323" s="403"/>
      <c r="T323" s="403"/>
      <c r="U323" s="403"/>
      <c r="V323" s="403"/>
      <c r="W323" s="403"/>
      <c r="X323" s="403"/>
      <c r="Y323" s="403"/>
      <c r="Z323" s="403"/>
      <c r="AA323" s="403"/>
      <c r="AB323" s="403"/>
      <c r="AC323" s="564"/>
      <c r="AD323" s="403"/>
      <c r="AE323" s="403"/>
      <c r="AF323" s="403"/>
      <c r="AG323" s="403"/>
      <c r="AH323" s="403"/>
      <c r="AI323" s="403"/>
      <c r="AJ323" s="403"/>
      <c r="AK323" s="403"/>
      <c r="AL323" s="403"/>
      <c r="AM323" s="403"/>
      <c r="AN323" s="403"/>
      <c r="AO323" s="403"/>
      <c r="AP323" s="403"/>
      <c r="AQ323" s="403"/>
      <c r="AR323" s="403"/>
      <c r="AS323" s="403"/>
      <c r="AT323" s="403"/>
      <c r="AU323" s="403"/>
      <c r="AV323" s="403"/>
      <c r="AW323" s="403"/>
      <c r="AX323" s="403"/>
      <c r="AY323" s="403"/>
      <c r="AZ323" s="403"/>
      <c r="BA323" s="403"/>
      <c r="BB323" s="403"/>
      <c r="BC323" s="403"/>
      <c r="BD323" s="403"/>
      <c r="BE323" s="403"/>
      <c r="BF323" s="403"/>
      <c r="BG323" s="403"/>
      <c r="BH323" s="403"/>
      <c r="BI323" s="403"/>
      <c r="BJ323" s="403"/>
      <c r="BK323" s="403"/>
      <c r="BL323" s="403"/>
      <c r="BM323" s="403"/>
      <c r="BN323" s="403"/>
      <c r="BO323" s="403"/>
      <c r="BP323" s="403"/>
      <c r="BQ323" s="403"/>
      <c r="BR323" s="403"/>
      <c r="BS323" s="403"/>
      <c r="BT323" s="403"/>
      <c r="BU323" s="403"/>
      <c r="BV323" s="403"/>
      <c r="BW323" s="403"/>
      <c r="BX323" s="403"/>
      <c r="BY323" s="403"/>
      <c r="BZ323" s="403"/>
      <c r="CA323" s="403"/>
      <c r="CB323" s="403"/>
      <c r="CC323" s="403"/>
      <c r="CD323" s="403"/>
      <c r="CE323" s="403"/>
      <c r="CF323" s="403"/>
      <c r="CG323" s="403"/>
      <c r="CH323" s="403"/>
      <c r="CI323" s="403"/>
      <c r="CJ323" s="403"/>
      <c r="CK323" s="403"/>
      <c r="CL323" s="403"/>
      <c r="CM323" s="403"/>
      <c r="CN323" s="403"/>
      <c r="CO323" s="403"/>
      <c r="CP323" s="403"/>
      <c r="CQ323" s="403"/>
      <c r="CR323" s="403"/>
      <c r="CS323" s="403"/>
      <c r="CT323" s="403"/>
      <c r="CU323" s="403"/>
      <c r="CV323" s="403"/>
      <c r="CW323" s="403"/>
      <c r="CX323" s="403"/>
      <c r="CY323" s="403"/>
      <c r="CZ323" s="403"/>
      <c r="DA323" s="403"/>
      <c r="DB323" s="403"/>
      <c r="DC323" s="403"/>
      <c r="DD323" s="403"/>
      <c r="DE323" s="403"/>
      <c r="DF323" s="403"/>
      <c r="DG323" s="403"/>
      <c r="DH323" s="403"/>
      <c r="DI323" s="403"/>
      <c r="DJ323" s="403"/>
      <c r="DK323" s="403"/>
      <c r="DL323" s="403"/>
      <c r="DM323" s="403"/>
      <c r="DN323" s="403"/>
    </row>
    <row r="324" spans="3:118" s="241" customFormat="1" x14ac:dyDescent="0.2">
      <c r="C324" s="31"/>
      <c r="D324" s="242"/>
      <c r="G324" s="242"/>
      <c r="H324" s="242"/>
      <c r="I324" s="242"/>
      <c r="J324" s="242"/>
      <c r="K324" s="242"/>
      <c r="L324" s="242"/>
      <c r="M324" s="2"/>
      <c r="N324" s="403"/>
      <c r="O324" s="403"/>
      <c r="P324" s="403"/>
      <c r="Q324" s="403"/>
      <c r="R324" s="403"/>
      <c r="S324" s="403"/>
      <c r="T324" s="403"/>
      <c r="U324" s="403"/>
      <c r="V324" s="403"/>
      <c r="W324" s="403"/>
      <c r="X324" s="403"/>
      <c r="Y324" s="403"/>
      <c r="Z324" s="403"/>
      <c r="AA324" s="403"/>
      <c r="AB324" s="403"/>
      <c r="AC324" s="564"/>
      <c r="AD324" s="403"/>
      <c r="AE324" s="403"/>
      <c r="AF324" s="403"/>
      <c r="AG324" s="403"/>
      <c r="AH324" s="403"/>
      <c r="AI324" s="403"/>
      <c r="AJ324" s="403"/>
      <c r="AK324" s="403"/>
      <c r="AL324" s="403"/>
      <c r="AM324" s="403"/>
      <c r="AN324" s="403"/>
      <c r="AO324" s="403"/>
      <c r="AP324" s="403"/>
      <c r="AQ324" s="403"/>
      <c r="AR324" s="403"/>
      <c r="AS324" s="403"/>
      <c r="AT324" s="403"/>
      <c r="AU324" s="403"/>
      <c r="AV324" s="403"/>
      <c r="AW324" s="403"/>
      <c r="AX324" s="403"/>
      <c r="AY324" s="403"/>
      <c r="AZ324" s="403"/>
      <c r="BA324" s="403"/>
      <c r="BB324" s="403"/>
      <c r="BC324" s="403"/>
      <c r="BD324" s="403"/>
      <c r="BE324" s="403"/>
      <c r="BF324" s="403"/>
      <c r="BG324" s="403"/>
      <c r="BH324" s="403"/>
      <c r="BI324" s="403"/>
      <c r="BJ324" s="403"/>
      <c r="BK324" s="403"/>
      <c r="BL324" s="403"/>
      <c r="BM324" s="403"/>
      <c r="BN324" s="403"/>
      <c r="BO324" s="403"/>
      <c r="BP324" s="403"/>
      <c r="BQ324" s="403"/>
      <c r="BR324" s="403"/>
      <c r="BS324" s="403"/>
      <c r="BT324" s="403"/>
      <c r="BU324" s="403"/>
      <c r="BV324" s="403"/>
      <c r="BW324" s="403"/>
      <c r="BX324" s="403"/>
      <c r="BY324" s="403"/>
      <c r="BZ324" s="403"/>
      <c r="CA324" s="403"/>
      <c r="CB324" s="403"/>
      <c r="CC324" s="403"/>
      <c r="CD324" s="403"/>
      <c r="CE324" s="403"/>
      <c r="CF324" s="403"/>
      <c r="CG324" s="403"/>
      <c r="CH324" s="403"/>
      <c r="CI324" s="403"/>
      <c r="CJ324" s="403"/>
      <c r="CK324" s="403"/>
      <c r="CL324" s="403"/>
      <c r="CM324" s="403"/>
      <c r="CN324" s="403"/>
      <c r="CO324" s="403"/>
      <c r="CP324" s="403"/>
      <c r="CQ324" s="403"/>
      <c r="CR324" s="403"/>
      <c r="CS324" s="403"/>
      <c r="CT324" s="403"/>
      <c r="CU324" s="403"/>
      <c r="CV324" s="403"/>
      <c r="CW324" s="403"/>
      <c r="CX324" s="403"/>
      <c r="CY324" s="403"/>
      <c r="CZ324" s="403"/>
      <c r="DA324" s="403"/>
      <c r="DB324" s="403"/>
      <c r="DC324" s="403"/>
      <c r="DD324" s="403"/>
      <c r="DE324" s="403"/>
      <c r="DF324" s="403"/>
      <c r="DG324" s="403"/>
      <c r="DH324" s="403"/>
      <c r="DI324" s="403"/>
      <c r="DJ324" s="403"/>
      <c r="DK324" s="403"/>
      <c r="DL324" s="403"/>
      <c r="DM324" s="403"/>
      <c r="DN324" s="403"/>
    </row>
    <row r="325" spans="3:118" s="241" customFormat="1" x14ac:dyDescent="0.2">
      <c r="C325" s="31"/>
      <c r="D325" s="242"/>
      <c r="G325" s="242"/>
      <c r="H325" s="242"/>
      <c r="I325" s="242"/>
      <c r="J325" s="242"/>
      <c r="K325" s="242"/>
      <c r="L325" s="242"/>
      <c r="M325" s="2"/>
      <c r="N325" s="403"/>
      <c r="O325" s="403"/>
      <c r="P325" s="403"/>
      <c r="Q325" s="403"/>
      <c r="R325" s="403"/>
      <c r="S325" s="403"/>
      <c r="T325" s="403"/>
      <c r="U325" s="403"/>
      <c r="V325" s="403"/>
      <c r="W325" s="403"/>
      <c r="X325" s="403"/>
      <c r="Y325" s="403"/>
      <c r="Z325" s="403"/>
      <c r="AA325" s="403"/>
      <c r="AB325" s="403"/>
      <c r="AC325" s="564"/>
      <c r="AD325" s="403"/>
      <c r="AE325" s="403"/>
      <c r="AF325" s="403"/>
      <c r="AG325" s="403"/>
      <c r="AH325" s="403"/>
      <c r="AI325" s="403"/>
      <c r="AJ325" s="403"/>
      <c r="AK325" s="403"/>
      <c r="AL325" s="403"/>
      <c r="AM325" s="403"/>
      <c r="AN325" s="403"/>
      <c r="AO325" s="403"/>
      <c r="AP325" s="403"/>
      <c r="AQ325" s="403"/>
      <c r="AR325" s="403"/>
      <c r="AS325" s="403"/>
      <c r="AT325" s="403"/>
      <c r="AU325" s="403"/>
      <c r="AV325" s="403"/>
      <c r="AW325" s="403"/>
      <c r="AX325" s="403"/>
      <c r="AY325" s="403"/>
      <c r="AZ325" s="403"/>
      <c r="BA325" s="403"/>
      <c r="BB325" s="403"/>
      <c r="BC325" s="403"/>
      <c r="BD325" s="403"/>
      <c r="BE325" s="403"/>
      <c r="BF325" s="403"/>
      <c r="BG325" s="403"/>
      <c r="BH325" s="403"/>
      <c r="BI325" s="403"/>
      <c r="BJ325" s="403"/>
      <c r="BK325" s="403"/>
      <c r="BL325" s="403"/>
      <c r="BM325" s="403"/>
      <c r="BN325" s="403"/>
      <c r="BO325" s="403"/>
      <c r="BP325" s="403"/>
      <c r="BQ325" s="403"/>
      <c r="BR325" s="403"/>
      <c r="BS325" s="403"/>
      <c r="BT325" s="403"/>
      <c r="BU325" s="403"/>
      <c r="BV325" s="403"/>
      <c r="BW325" s="403"/>
      <c r="BX325" s="403"/>
      <c r="BY325" s="403"/>
      <c r="BZ325" s="403"/>
      <c r="CA325" s="403"/>
      <c r="CB325" s="403"/>
      <c r="CC325" s="403"/>
      <c r="CD325" s="403"/>
      <c r="CE325" s="403"/>
      <c r="CF325" s="403"/>
      <c r="CG325" s="403"/>
      <c r="CH325" s="403"/>
      <c r="CI325" s="403"/>
      <c r="CJ325" s="403"/>
      <c r="CK325" s="403"/>
      <c r="CL325" s="403"/>
      <c r="CM325" s="403"/>
      <c r="CN325" s="403"/>
      <c r="CO325" s="403"/>
      <c r="CP325" s="403"/>
      <c r="CQ325" s="403"/>
      <c r="CR325" s="403"/>
      <c r="CS325" s="403"/>
      <c r="CT325" s="403"/>
      <c r="CU325" s="403"/>
      <c r="CV325" s="403"/>
      <c r="CW325" s="403"/>
      <c r="CX325" s="403"/>
      <c r="CY325" s="403"/>
      <c r="CZ325" s="403"/>
      <c r="DA325" s="403"/>
      <c r="DB325" s="403"/>
      <c r="DC325" s="403"/>
      <c r="DD325" s="403"/>
      <c r="DE325" s="403"/>
      <c r="DF325" s="403"/>
      <c r="DG325" s="403"/>
      <c r="DH325" s="403"/>
      <c r="DI325" s="403"/>
      <c r="DJ325" s="403"/>
      <c r="DK325" s="403"/>
      <c r="DL325" s="403"/>
      <c r="DM325" s="403"/>
      <c r="DN325" s="403"/>
    </row>
    <row r="326" spans="3:118" s="241" customFormat="1" x14ac:dyDescent="0.2">
      <c r="C326" s="31"/>
      <c r="D326" s="242"/>
      <c r="G326" s="242"/>
      <c r="H326" s="242"/>
      <c r="I326" s="242"/>
      <c r="J326" s="242"/>
      <c r="K326" s="242"/>
      <c r="L326" s="242"/>
      <c r="M326" s="2"/>
      <c r="N326" s="403"/>
      <c r="O326" s="403"/>
      <c r="P326" s="403"/>
      <c r="Q326" s="403"/>
      <c r="R326" s="403"/>
      <c r="S326" s="403"/>
      <c r="T326" s="403"/>
      <c r="U326" s="403"/>
      <c r="V326" s="403"/>
      <c r="W326" s="403"/>
      <c r="X326" s="403"/>
      <c r="Y326" s="403"/>
      <c r="Z326" s="403"/>
      <c r="AA326" s="403"/>
      <c r="AB326" s="403"/>
      <c r="AC326" s="564"/>
      <c r="AD326" s="403"/>
      <c r="AE326" s="403"/>
      <c r="AF326" s="403"/>
      <c r="AG326" s="403"/>
      <c r="AH326" s="403"/>
      <c r="AI326" s="403"/>
      <c r="AJ326" s="403"/>
      <c r="AK326" s="403"/>
      <c r="AL326" s="403"/>
      <c r="AM326" s="403"/>
      <c r="AN326" s="403"/>
      <c r="AO326" s="403"/>
      <c r="AP326" s="403"/>
      <c r="AQ326" s="403"/>
      <c r="AR326" s="403"/>
      <c r="AS326" s="403"/>
      <c r="AT326" s="403"/>
      <c r="AU326" s="403"/>
      <c r="AV326" s="403"/>
      <c r="AW326" s="403"/>
      <c r="AX326" s="403"/>
      <c r="AY326" s="403"/>
      <c r="AZ326" s="403"/>
      <c r="BA326" s="403"/>
      <c r="BB326" s="403"/>
      <c r="BC326" s="403"/>
      <c r="BD326" s="403"/>
      <c r="BE326" s="403"/>
      <c r="BF326" s="403"/>
      <c r="BG326" s="403"/>
      <c r="BH326" s="403"/>
      <c r="BI326" s="403"/>
      <c r="BJ326" s="403"/>
      <c r="BK326" s="403"/>
      <c r="BL326" s="403"/>
      <c r="BM326" s="403"/>
      <c r="BN326" s="403"/>
      <c r="BO326" s="403"/>
      <c r="BP326" s="403"/>
      <c r="BQ326" s="403"/>
      <c r="BR326" s="403"/>
      <c r="BS326" s="403"/>
      <c r="BT326" s="403"/>
      <c r="BU326" s="403"/>
      <c r="BV326" s="403"/>
      <c r="BW326" s="403"/>
      <c r="BX326" s="403"/>
      <c r="BY326" s="403"/>
      <c r="BZ326" s="403"/>
      <c r="CA326" s="403"/>
      <c r="CB326" s="403"/>
      <c r="CC326" s="403"/>
      <c r="CD326" s="403"/>
      <c r="CE326" s="403"/>
      <c r="CF326" s="403"/>
      <c r="CG326" s="403"/>
      <c r="CH326" s="403"/>
      <c r="CI326" s="403"/>
      <c r="CJ326" s="403"/>
      <c r="CK326" s="403"/>
      <c r="CL326" s="403"/>
      <c r="CM326" s="403"/>
      <c r="CN326" s="403"/>
      <c r="CO326" s="403"/>
      <c r="CP326" s="403"/>
      <c r="CQ326" s="403"/>
      <c r="CR326" s="403"/>
      <c r="CS326" s="403"/>
      <c r="CT326" s="403"/>
      <c r="CU326" s="403"/>
      <c r="CV326" s="403"/>
      <c r="CW326" s="403"/>
      <c r="CX326" s="403"/>
      <c r="CY326" s="403"/>
      <c r="CZ326" s="403"/>
      <c r="DA326" s="403"/>
      <c r="DB326" s="403"/>
      <c r="DC326" s="403"/>
      <c r="DD326" s="403"/>
      <c r="DE326" s="403"/>
      <c r="DF326" s="403"/>
      <c r="DG326" s="403"/>
      <c r="DH326" s="403"/>
      <c r="DI326" s="403"/>
      <c r="DJ326" s="403"/>
      <c r="DK326" s="403"/>
      <c r="DL326" s="403"/>
      <c r="DM326" s="403"/>
      <c r="DN326" s="403"/>
    </row>
    <row r="327" spans="3:118" s="241" customFormat="1" x14ac:dyDescent="0.2">
      <c r="C327" s="31"/>
      <c r="D327" s="242"/>
      <c r="G327" s="242"/>
      <c r="H327" s="242"/>
      <c r="I327" s="242"/>
      <c r="J327" s="242"/>
      <c r="K327" s="242"/>
      <c r="L327" s="242"/>
      <c r="M327" s="2"/>
      <c r="N327" s="403"/>
      <c r="O327" s="403"/>
      <c r="P327" s="403"/>
      <c r="Q327" s="403"/>
      <c r="R327" s="403"/>
      <c r="S327" s="403"/>
      <c r="T327" s="403"/>
      <c r="U327" s="403"/>
      <c r="V327" s="403"/>
      <c r="W327" s="403"/>
      <c r="X327" s="403"/>
      <c r="Y327" s="403"/>
      <c r="Z327" s="403"/>
      <c r="AA327" s="403"/>
      <c r="AB327" s="403"/>
      <c r="AC327" s="564"/>
      <c r="AD327" s="403"/>
      <c r="AE327" s="403"/>
      <c r="AF327" s="403"/>
      <c r="AG327" s="403"/>
      <c r="AH327" s="403"/>
      <c r="AI327" s="403"/>
      <c r="AJ327" s="403"/>
      <c r="AK327" s="403"/>
      <c r="AL327" s="403"/>
      <c r="AM327" s="403"/>
      <c r="AN327" s="403"/>
      <c r="AO327" s="403"/>
      <c r="AP327" s="403"/>
      <c r="AQ327" s="403"/>
      <c r="AR327" s="403"/>
      <c r="AS327" s="403"/>
      <c r="AT327" s="403"/>
      <c r="AU327" s="403"/>
      <c r="AV327" s="403"/>
      <c r="AW327" s="403"/>
      <c r="AX327" s="403"/>
      <c r="AY327" s="403"/>
      <c r="AZ327" s="403"/>
      <c r="BA327" s="403"/>
      <c r="BB327" s="403"/>
      <c r="BC327" s="403"/>
      <c r="BD327" s="403"/>
      <c r="BE327" s="403"/>
      <c r="BF327" s="403"/>
      <c r="BG327" s="403"/>
      <c r="BH327" s="403"/>
      <c r="BI327" s="403"/>
      <c r="BJ327" s="403"/>
      <c r="BK327" s="403"/>
      <c r="BL327" s="403"/>
      <c r="BM327" s="403"/>
      <c r="BN327" s="403"/>
      <c r="BO327" s="403"/>
      <c r="BP327" s="403"/>
      <c r="BQ327" s="403"/>
      <c r="BR327" s="403"/>
      <c r="BS327" s="403"/>
      <c r="BT327" s="403"/>
      <c r="BU327" s="403"/>
      <c r="BV327" s="403"/>
      <c r="BW327" s="403"/>
      <c r="BX327" s="403"/>
      <c r="BY327" s="403"/>
      <c r="BZ327" s="403"/>
      <c r="CA327" s="403"/>
      <c r="CB327" s="403"/>
      <c r="CC327" s="403"/>
      <c r="CD327" s="403"/>
      <c r="CE327" s="403"/>
      <c r="CF327" s="403"/>
      <c r="CG327" s="403"/>
      <c r="CH327" s="403"/>
      <c r="CI327" s="403"/>
      <c r="CJ327" s="403"/>
      <c r="CK327" s="403"/>
      <c r="CL327" s="403"/>
      <c r="CM327" s="403"/>
      <c r="CN327" s="403"/>
      <c r="CO327" s="403"/>
      <c r="CP327" s="403"/>
      <c r="CQ327" s="403"/>
      <c r="CR327" s="403"/>
      <c r="CS327" s="403"/>
      <c r="CT327" s="403"/>
      <c r="CU327" s="403"/>
      <c r="CV327" s="403"/>
      <c r="CW327" s="403"/>
      <c r="CX327" s="403"/>
      <c r="CY327" s="403"/>
      <c r="CZ327" s="403"/>
      <c r="DA327" s="403"/>
      <c r="DB327" s="403"/>
      <c r="DC327" s="403"/>
      <c r="DD327" s="403"/>
      <c r="DE327" s="403"/>
      <c r="DF327" s="403"/>
      <c r="DG327" s="403"/>
      <c r="DH327" s="403"/>
      <c r="DI327" s="403"/>
      <c r="DJ327" s="403"/>
      <c r="DK327" s="403"/>
      <c r="DL327" s="403"/>
      <c r="DM327" s="403"/>
      <c r="DN327" s="403"/>
    </row>
    <row r="328" spans="3:118" s="241" customFormat="1" x14ac:dyDescent="0.2">
      <c r="C328" s="31"/>
      <c r="D328" s="242"/>
      <c r="G328" s="242"/>
      <c r="H328" s="242"/>
      <c r="I328" s="242"/>
      <c r="J328" s="242"/>
      <c r="K328" s="242"/>
      <c r="L328" s="242"/>
      <c r="M328" s="2"/>
      <c r="N328" s="403"/>
      <c r="O328" s="403"/>
      <c r="P328" s="403"/>
      <c r="Q328" s="403"/>
      <c r="R328" s="403"/>
      <c r="S328" s="403"/>
      <c r="T328" s="403"/>
      <c r="U328" s="403"/>
      <c r="V328" s="403"/>
      <c r="W328" s="403"/>
      <c r="X328" s="403"/>
      <c r="Y328" s="403"/>
      <c r="Z328" s="403"/>
      <c r="AA328" s="403"/>
      <c r="AB328" s="403"/>
      <c r="AC328" s="564"/>
      <c r="AD328" s="403"/>
      <c r="AE328" s="403"/>
      <c r="AF328" s="403"/>
      <c r="AG328" s="403"/>
      <c r="AH328" s="403"/>
      <c r="AI328" s="403"/>
      <c r="AJ328" s="403"/>
      <c r="AK328" s="403"/>
      <c r="AL328" s="403"/>
      <c r="AM328" s="403"/>
      <c r="AN328" s="403"/>
      <c r="AO328" s="403"/>
      <c r="AP328" s="403"/>
      <c r="AQ328" s="403"/>
      <c r="AR328" s="403"/>
      <c r="AS328" s="403"/>
      <c r="AT328" s="403"/>
      <c r="AU328" s="403"/>
      <c r="AV328" s="403"/>
      <c r="AW328" s="403"/>
      <c r="AX328" s="403"/>
      <c r="AY328" s="403"/>
      <c r="AZ328" s="403"/>
      <c r="BA328" s="403"/>
      <c r="BB328" s="403"/>
      <c r="BC328" s="403"/>
      <c r="BD328" s="403"/>
      <c r="BE328" s="403"/>
      <c r="BF328" s="403"/>
      <c r="BG328" s="403"/>
      <c r="BH328" s="403"/>
      <c r="BI328" s="403"/>
      <c r="BJ328" s="403"/>
      <c r="BK328" s="403"/>
      <c r="BL328" s="403"/>
      <c r="BM328" s="403"/>
      <c r="BN328" s="403"/>
      <c r="BO328" s="403"/>
      <c r="BP328" s="403"/>
      <c r="BQ328" s="403"/>
      <c r="BR328" s="403"/>
      <c r="BS328" s="403"/>
      <c r="BT328" s="403"/>
      <c r="BU328" s="403"/>
      <c r="BV328" s="403"/>
      <c r="BW328" s="403"/>
      <c r="BX328" s="403"/>
      <c r="BY328" s="403"/>
      <c r="BZ328" s="403"/>
      <c r="CA328" s="403"/>
      <c r="CB328" s="403"/>
      <c r="CC328" s="403"/>
      <c r="CD328" s="403"/>
      <c r="CE328" s="403"/>
      <c r="CF328" s="403"/>
      <c r="CG328" s="403"/>
      <c r="CH328" s="403"/>
      <c r="CI328" s="403"/>
      <c r="CJ328" s="403"/>
      <c r="CK328" s="403"/>
      <c r="CL328" s="403"/>
      <c r="CM328" s="403"/>
      <c r="CN328" s="403"/>
      <c r="CO328" s="403"/>
      <c r="CP328" s="403"/>
      <c r="CQ328" s="403"/>
      <c r="CR328" s="403"/>
      <c r="CS328" s="403"/>
      <c r="CT328" s="403"/>
      <c r="CU328" s="403"/>
      <c r="CV328" s="403"/>
      <c r="CW328" s="403"/>
      <c r="CX328" s="403"/>
      <c r="CY328" s="403"/>
      <c r="CZ328" s="403"/>
      <c r="DA328" s="403"/>
      <c r="DB328" s="403"/>
      <c r="DC328" s="403"/>
      <c r="DD328" s="403"/>
      <c r="DE328" s="403"/>
      <c r="DF328" s="403"/>
      <c r="DG328" s="403"/>
      <c r="DH328" s="403"/>
      <c r="DI328" s="403"/>
      <c r="DJ328" s="403"/>
      <c r="DK328" s="403"/>
      <c r="DL328" s="403"/>
      <c r="DM328" s="403"/>
      <c r="DN328" s="403"/>
    </row>
    <row r="329" spans="3:118" s="241" customFormat="1" x14ac:dyDescent="0.2">
      <c r="C329" s="31"/>
      <c r="D329" s="242"/>
      <c r="G329" s="242"/>
      <c r="H329" s="242"/>
      <c r="I329" s="242"/>
      <c r="J329" s="242"/>
      <c r="K329" s="242"/>
      <c r="L329" s="242"/>
      <c r="M329" s="2"/>
      <c r="N329" s="403"/>
      <c r="O329" s="403"/>
      <c r="P329" s="403"/>
      <c r="Q329" s="403"/>
      <c r="R329" s="403"/>
      <c r="S329" s="403"/>
      <c r="T329" s="403"/>
      <c r="U329" s="403"/>
      <c r="V329" s="403"/>
      <c r="W329" s="403"/>
      <c r="X329" s="403"/>
      <c r="Y329" s="403"/>
      <c r="Z329" s="403"/>
      <c r="AA329" s="403"/>
      <c r="AB329" s="403"/>
      <c r="AC329" s="564"/>
      <c r="AD329" s="403"/>
      <c r="AE329" s="403"/>
      <c r="AF329" s="403"/>
      <c r="AG329" s="403"/>
      <c r="AH329" s="403"/>
      <c r="AI329" s="403"/>
      <c r="AJ329" s="403"/>
      <c r="AK329" s="403"/>
      <c r="AL329" s="403"/>
      <c r="AM329" s="403"/>
      <c r="AN329" s="403"/>
      <c r="AO329" s="403"/>
      <c r="AP329" s="403"/>
      <c r="AQ329" s="403"/>
      <c r="AR329" s="403"/>
      <c r="AS329" s="403"/>
      <c r="AT329" s="403"/>
      <c r="AU329" s="403"/>
      <c r="AV329" s="403"/>
      <c r="AW329" s="403"/>
      <c r="AX329" s="403"/>
      <c r="AY329" s="403"/>
      <c r="AZ329" s="403"/>
      <c r="BA329" s="403"/>
      <c r="BB329" s="403"/>
      <c r="BC329" s="403"/>
      <c r="BD329" s="403"/>
      <c r="BE329" s="403"/>
      <c r="BF329" s="403"/>
      <c r="BG329" s="403"/>
      <c r="BH329" s="403"/>
      <c r="BI329" s="403"/>
      <c r="BJ329" s="403"/>
      <c r="BK329" s="403"/>
      <c r="BL329" s="403"/>
      <c r="BM329" s="403"/>
      <c r="BN329" s="403"/>
      <c r="BO329" s="403"/>
      <c r="BP329" s="403"/>
      <c r="BQ329" s="403"/>
      <c r="BR329" s="403"/>
      <c r="BS329" s="403"/>
      <c r="BT329" s="403"/>
      <c r="BU329" s="403"/>
      <c r="BV329" s="403"/>
      <c r="BW329" s="403"/>
      <c r="BX329" s="403"/>
      <c r="BY329" s="403"/>
      <c r="BZ329" s="403"/>
      <c r="CA329" s="403"/>
      <c r="CB329" s="403"/>
      <c r="CC329" s="403"/>
      <c r="CD329" s="403"/>
      <c r="CE329" s="403"/>
      <c r="CF329" s="403"/>
      <c r="CG329" s="403"/>
      <c r="CH329" s="403"/>
      <c r="CI329" s="403"/>
      <c r="CJ329" s="403"/>
      <c r="CK329" s="403"/>
      <c r="CL329" s="403"/>
      <c r="CM329" s="403"/>
      <c r="CN329" s="403"/>
      <c r="CO329" s="403"/>
      <c r="CP329" s="403"/>
      <c r="CQ329" s="403"/>
      <c r="CR329" s="403"/>
      <c r="CS329" s="403"/>
      <c r="CT329" s="403"/>
      <c r="CU329" s="403"/>
      <c r="CV329" s="403"/>
      <c r="CW329" s="403"/>
      <c r="CX329" s="403"/>
      <c r="CY329" s="403"/>
      <c r="CZ329" s="403"/>
      <c r="DA329" s="403"/>
      <c r="DB329" s="403"/>
      <c r="DC329" s="403"/>
      <c r="DD329" s="403"/>
      <c r="DE329" s="403"/>
      <c r="DF329" s="403"/>
      <c r="DG329" s="403"/>
      <c r="DH329" s="403"/>
      <c r="DI329" s="403"/>
      <c r="DJ329" s="403"/>
      <c r="DK329" s="403"/>
      <c r="DL329" s="403"/>
      <c r="DM329" s="403"/>
      <c r="DN329" s="403"/>
    </row>
    <row r="330" spans="3:118" s="241" customFormat="1" x14ac:dyDescent="0.2">
      <c r="C330" s="31"/>
      <c r="D330" s="242"/>
      <c r="G330" s="242"/>
      <c r="H330" s="242"/>
      <c r="I330" s="242"/>
      <c r="J330" s="242"/>
      <c r="K330" s="242"/>
      <c r="L330" s="242"/>
      <c r="M330" s="2"/>
      <c r="N330" s="403"/>
      <c r="O330" s="403"/>
      <c r="P330" s="403"/>
      <c r="Q330" s="403"/>
      <c r="R330" s="403"/>
      <c r="S330" s="403"/>
      <c r="T330" s="403"/>
      <c r="U330" s="403"/>
      <c r="V330" s="403"/>
      <c r="W330" s="403"/>
      <c r="X330" s="403"/>
      <c r="Y330" s="403"/>
      <c r="Z330" s="403"/>
      <c r="AA330" s="403"/>
      <c r="AB330" s="403"/>
      <c r="AC330" s="564"/>
      <c r="AD330" s="403"/>
      <c r="AE330" s="403"/>
      <c r="AF330" s="403"/>
      <c r="AG330" s="403"/>
      <c r="AH330" s="403"/>
      <c r="AI330" s="403"/>
      <c r="AJ330" s="403"/>
      <c r="AK330" s="403"/>
      <c r="AL330" s="403"/>
      <c r="AM330" s="403"/>
      <c r="AN330" s="403"/>
      <c r="AO330" s="403"/>
      <c r="AP330" s="403"/>
      <c r="AQ330" s="403"/>
      <c r="AR330" s="403"/>
      <c r="AS330" s="403"/>
      <c r="AT330" s="403"/>
      <c r="AU330" s="403"/>
      <c r="AV330" s="403"/>
      <c r="AW330" s="403"/>
      <c r="AX330" s="403"/>
      <c r="AY330" s="403"/>
      <c r="AZ330" s="403"/>
      <c r="BA330" s="403"/>
      <c r="BB330" s="403"/>
      <c r="BC330" s="403"/>
      <c r="BD330" s="403"/>
      <c r="BE330" s="403"/>
      <c r="BF330" s="403"/>
      <c r="BG330" s="403"/>
      <c r="BH330" s="403"/>
      <c r="BI330" s="403"/>
      <c r="BJ330" s="403"/>
      <c r="BK330" s="403"/>
      <c r="BL330" s="403"/>
      <c r="BM330" s="403"/>
      <c r="BN330" s="403"/>
      <c r="BO330" s="403"/>
      <c r="BP330" s="403"/>
      <c r="BQ330" s="403"/>
      <c r="BR330" s="403"/>
      <c r="BS330" s="403"/>
      <c r="BT330" s="403"/>
      <c r="BU330" s="403"/>
      <c r="BV330" s="403"/>
      <c r="BW330" s="403"/>
      <c r="BX330" s="403"/>
      <c r="BY330" s="403"/>
      <c r="BZ330" s="403"/>
      <c r="CA330" s="403"/>
      <c r="CB330" s="403"/>
      <c r="CC330" s="403"/>
      <c r="CD330" s="403"/>
      <c r="CE330" s="403"/>
      <c r="CF330" s="403"/>
      <c r="CG330" s="403"/>
      <c r="CH330" s="403"/>
      <c r="CI330" s="403"/>
      <c r="CJ330" s="403"/>
      <c r="CK330" s="403"/>
      <c r="CL330" s="403"/>
      <c r="CM330" s="403"/>
      <c r="CN330" s="403"/>
      <c r="CO330" s="403"/>
      <c r="CP330" s="403"/>
      <c r="CQ330" s="403"/>
      <c r="CR330" s="403"/>
      <c r="CS330" s="403"/>
      <c r="CT330" s="403"/>
      <c r="CU330" s="403"/>
      <c r="CV330" s="403"/>
      <c r="CW330" s="403"/>
      <c r="CX330" s="403"/>
      <c r="CY330" s="403"/>
      <c r="CZ330" s="403"/>
      <c r="DA330" s="403"/>
      <c r="DB330" s="403"/>
      <c r="DC330" s="403"/>
      <c r="DD330" s="403"/>
      <c r="DE330" s="403"/>
      <c r="DF330" s="403"/>
      <c r="DG330" s="403"/>
      <c r="DH330" s="403"/>
      <c r="DI330" s="403"/>
      <c r="DJ330" s="403"/>
      <c r="DK330" s="403"/>
      <c r="DL330" s="403"/>
      <c r="DM330" s="403"/>
      <c r="DN330" s="403"/>
    </row>
    <row r="331" spans="3:118" s="241" customFormat="1" x14ac:dyDescent="0.2">
      <c r="C331" s="31"/>
      <c r="D331" s="242"/>
      <c r="G331" s="242"/>
      <c r="H331" s="242"/>
      <c r="I331" s="242"/>
      <c r="J331" s="242"/>
      <c r="K331" s="242"/>
      <c r="L331" s="242"/>
      <c r="M331" s="2"/>
      <c r="N331" s="403"/>
      <c r="O331" s="403"/>
      <c r="P331" s="403"/>
      <c r="Q331" s="403"/>
      <c r="R331" s="403"/>
      <c r="S331" s="403"/>
      <c r="T331" s="403"/>
      <c r="U331" s="403"/>
      <c r="V331" s="403"/>
      <c r="W331" s="403"/>
      <c r="X331" s="403"/>
      <c r="Y331" s="403"/>
      <c r="Z331" s="403"/>
      <c r="AA331" s="403"/>
      <c r="AB331" s="403"/>
      <c r="AC331" s="564"/>
      <c r="AD331" s="403"/>
      <c r="AE331" s="403"/>
      <c r="AF331" s="403"/>
      <c r="AG331" s="403"/>
      <c r="AH331" s="403"/>
      <c r="AI331" s="403"/>
      <c r="AJ331" s="403"/>
      <c r="AK331" s="403"/>
      <c r="AL331" s="403"/>
      <c r="AM331" s="403"/>
      <c r="AN331" s="403"/>
      <c r="AO331" s="403"/>
      <c r="AP331" s="403"/>
      <c r="AQ331" s="403"/>
      <c r="AR331" s="403"/>
      <c r="AS331" s="403"/>
      <c r="AT331" s="403"/>
      <c r="AU331" s="403"/>
      <c r="AV331" s="403"/>
      <c r="AW331" s="403"/>
      <c r="AX331" s="403"/>
      <c r="AY331" s="403"/>
      <c r="AZ331" s="403"/>
      <c r="BA331" s="403"/>
      <c r="BB331" s="403"/>
      <c r="BC331" s="403"/>
      <c r="BD331" s="403"/>
      <c r="BE331" s="403"/>
      <c r="BF331" s="403"/>
      <c r="BG331" s="403"/>
      <c r="BH331" s="403"/>
      <c r="BI331" s="403"/>
      <c r="BJ331" s="403"/>
      <c r="BK331" s="403"/>
      <c r="BL331" s="403"/>
      <c r="BM331" s="403"/>
      <c r="BN331" s="403"/>
      <c r="BO331" s="403"/>
      <c r="BP331" s="403"/>
      <c r="BQ331" s="403"/>
      <c r="BR331" s="403"/>
      <c r="BS331" s="403"/>
      <c r="BT331" s="403"/>
      <c r="BU331" s="403"/>
      <c r="BV331" s="403"/>
      <c r="BW331" s="403"/>
      <c r="BX331" s="403"/>
      <c r="BY331" s="403"/>
      <c r="BZ331" s="403"/>
      <c r="CA331" s="403"/>
      <c r="CB331" s="403"/>
      <c r="CC331" s="403"/>
      <c r="CD331" s="403"/>
      <c r="CE331" s="403"/>
      <c r="CF331" s="403"/>
      <c r="CG331" s="403"/>
      <c r="CH331" s="403"/>
      <c r="CI331" s="403"/>
      <c r="CJ331" s="403"/>
      <c r="CK331" s="403"/>
      <c r="CL331" s="403"/>
      <c r="CM331" s="403"/>
      <c r="CN331" s="403"/>
      <c r="CO331" s="403"/>
      <c r="CP331" s="403"/>
      <c r="CQ331" s="403"/>
      <c r="CR331" s="403"/>
      <c r="CS331" s="403"/>
      <c r="CT331" s="403"/>
      <c r="CU331" s="403"/>
      <c r="CV331" s="403"/>
      <c r="CW331" s="403"/>
      <c r="CX331" s="403"/>
      <c r="CY331" s="403"/>
      <c r="CZ331" s="403"/>
      <c r="DA331" s="403"/>
      <c r="DB331" s="403"/>
      <c r="DC331" s="403"/>
      <c r="DD331" s="403"/>
      <c r="DE331" s="403"/>
      <c r="DF331" s="403"/>
      <c r="DG331" s="403"/>
      <c r="DH331" s="403"/>
      <c r="DI331" s="403"/>
      <c r="DJ331" s="403"/>
      <c r="DK331" s="403"/>
      <c r="DL331" s="403"/>
      <c r="DM331" s="403"/>
      <c r="DN331" s="403"/>
    </row>
    <row r="332" spans="3:118" s="241" customFormat="1" x14ac:dyDescent="0.2">
      <c r="C332" s="31"/>
      <c r="D332" s="242"/>
      <c r="G332" s="242"/>
      <c r="H332" s="242"/>
      <c r="I332" s="242"/>
      <c r="J332" s="242"/>
      <c r="K332" s="242"/>
      <c r="L332" s="242"/>
      <c r="M332" s="2"/>
      <c r="N332" s="403"/>
      <c r="O332" s="403"/>
      <c r="P332" s="403"/>
      <c r="Q332" s="403"/>
      <c r="R332" s="403"/>
      <c r="S332" s="403"/>
      <c r="T332" s="403"/>
      <c r="U332" s="403"/>
      <c r="V332" s="403"/>
      <c r="W332" s="403"/>
      <c r="X332" s="403"/>
      <c r="Y332" s="403"/>
      <c r="Z332" s="403"/>
      <c r="AA332" s="403"/>
      <c r="AB332" s="403"/>
      <c r="AC332" s="564"/>
      <c r="AD332" s="403"/>
      <c r="AE332" s="403"/>
      <c r="AF332" s="403"/>
      <c r="AG332" s="403"/>
      <c r="AH332" s="403"/>
      <c r="AI332" s="403"/>
      <c r="AJ332" s="403"/>
      <c r="AK332" s="403"/>
      <c r="AL332" s="403"/>
      <c r="AM332" s="403"/>
      <c r="AN332" s="403"/>
      <c r="AO332" s="403"/>
      <c r="AP332" s="403"/>
      <c r="AQ332" s="403"/>
      <c r="AR332" s="403"/>
      <c r="AS332" s="403"/>
      <c r="AT332" s="403"/>
      <c r="AU332" s="403"/>
      <c r="AV332" s="403"/>
      <c r="AW332" s="403"/>
      <c r="AX332" s="403"/>
      <c r="AY332" s="403"/>
      <c r="AZ332" s="403"/>
      <c r="BA332" s="403"/>
      <c r="BB332" s="403"/>
      <c r="BC332" s="403"/>
      <c r="BD332" s="403"/>
      <c r="BE332" s="403"/>
      <c r="BF332" s="403"/>
      <c r="BG332" s="403"/>
      <c r="BH332" s="403"/>
      <c r="BI332" s="403"/>
      <c r="BJ332" s="403"/>
      <c r="BK332" s="403"/>
      <c r="BL332" s="403"/>
      <c r="BM332" s="403"/>
      <c r="BN332" s="403"/>
      <c r="BO332" s="403"/>
      <c r="BP332" s="403"/>
      <c r="BQ332" s="403"/>
      <c r="BR332" s="403"/>
      <c r="BS332" s="403"/>
      <c r="BT332" s="403"/>
      <c r="BU332" s="403"/>
      <c r="BV332" s="403"/>
      <c r="BW332" s="403"/>
      <c r="BX332" s="403"/>
      <c r="BY332" s="403"/>
      <c r="BZ332" s="403"/>
      <c r="CA332" s="403"/>
      <c r="CB332" s="403"/>
      <c r="CC332" s="403"/>
      <c r="CD332" s="403"/>
      <c r="CE332" s="403"/>
      <c r="CF332" s="403"/>
      <c r="CG332" s="403"/>
      <c r="CH332" s="403"/>
      <c r="CI332" s="403"/>
      <c r="CJ332" s="403"/>
      <c r="CK332" s="403"/>
      <c r="CL332" s="403"/>
      <c r="CM332" s="403"/>
      <c r="CN332" s="403"/>
      <c r="CO332" s="403"/>
      <c r="CP332" s="403"/>
      <c r="CQ332" s="403"/>
      <c r="CR332" s="403"/>
      <c r="CS332" s="403"/>
      <c r="CT332" s="403"/>
      <c r="CU332" s="403"/>
      <c r="CV332" s="403"/>
      <c r="CW332" s="403"/>
      <c r="CX332" s="403"/>
      <c r="CY332" s="403"/>
      <c r="CZ332" s="403"/>
      <c r="DA332" s="403"/>
      <c r="DB332" s="403"/>
      <c r="DC332" s="403"/>
      <c r="DD332" s="403"/>
      <c r="DE332" s="403"/>
      <c r="DF332" s="403"/>
      <c r="DG332" s="403"/>
      <c r="DH332" s="403"/>
      <c r="DI332" s="403"/>
      <c r="DJ332" s="403"/>
      <c r="DK332" s="403"/>
      <c r="DL332" s="403"/>
      <c r="DM332" s="403"/>
      <c r="DN332" s="403"/>
    </row>
    <row r="333" spans="3:118" s="241" customFormat="1" x14ac:dyDescent="0.2">
      <c r="C333" s="31"/>
      <c r="D333" s="242"/>
      <c r="G333" s="242"/>
      <c r="H333" s="242"/>
      <c r="I333" s="242"/>
      <c r="J333" s="242"/>
      <c r="K333" s="242"/>
      <c r="L333" s="242"/>
      <c r="M333" s="2"/>
      <c r="N333" s="403"/>
      <c r="O333" s="403"/>
      <c r="P333" s="403"/>
      <c r="Q333" s="403"/>
      <c r="R333" s="403"/>
      <c r="S333" s="403"/>
      <c r="T333" s="403"/>
      <c r="U333" s="403"/>
      <c r="V333" s="403"/>
      <c r="W333" s="403"/>
      <c r="X333" s="403"/>
      <c r="Y333" s="403"/>
      <c r="Z333" s="403"/>
      <c r="AA333" s="403"/>
      <c r="AB333" s="403"/>
      <c r="AC333" s="564"/>
      <c r="AD333" s="403"/>
      <c r="AE333" s="403"/>
      <c r="AF333" s="403"/>
      <c r="AG333" s="403"/>
      <c r="AH333" s="403"/>
      <c r="AI333" s="403"/>
      <c r="AJ333" s="403"/>
      <c r="AK333" s="403"/>
      <c r="AL333" s="403"/>
      <c r="AM333" s="403"/>
      <c r="AN333" s="403"/>
      <c r="AO333" s="403"/>
      <c r="AP333" s="403"/>
      <c r="AQ333" s="403"/>
      <c r="AR333" s="403"/>
      <c r="AS333" s="403"/>
      <c r="AT333" s="403"/>
      <c r="AU333" s="403"/>
      <c r="AV333" s="403"/>
      <c r="AW333" s="403"/>
      <c r="AX333" s="403"/>
      <c r="AY333" s="403"/>
      <c r="AZ333" s="403"/>
      <c r="BA333" s="403"/>
      <c r="BB333" s="403"/>
      <c r="BC333" s="403"/>
      <c r="BD333" s="403"/>
      <c r="BE333" s="403"/>
      <c r="BF333" s="403"/>
      <c r="BG333" s="403"/>
      <c r="BH333" s="403"/>
      <c r="BI333" s="403"/>
      <c r="BJ333" s="403"/>
      <c r="BK333" s="403"/>
      <c r="BL333" s="403"/>
      <c r="BM333" s="403"/>
      <c r="BN333" s="403"/>
      <c r="BO333" s="403"/>
      <c r="BP333" s="403"/>
      <c r="BQ333" s="403"/>
      <c r="BR333" s="403"/>
      <c r="BS333" s="403"/>
      <c r="BT333" s="403"/>
      <c r="BU333" s="403"/>
      <c r="BV333" s="403"/>
      <c r="BW333" s="403"/>
      <c r="BX333" s="403"/>
      <c r="BY333" s="403"/>
      <c r="BZ333" s="403"/>
      <c r="CA333" s="403"/>
      <c r="CB333" s="403"/>
      <c r="CC333" s="403"/>
      <c r="CD333" s="403"/>
      <c r="CE333" s="403"/>
      <c r="CF333" s="403"/>
      <c r="CG333" s="403"/>
      <c r="CH333" s="403"/>
      <c r="CI333" s="403"/>
      <c r="CJ333" s="403"/>
      <c r="CK333" s="403"/>
      <c r="CL333" s="403"/>
      <c r="CM333" s="403"/>
      <c r="CN333" s="403"/>
      <c r="CO333" s="403"/>
      <c r="CP333" s="403"/>
      <c r="CQ333" s="403"/>
      <c r="CR333" s="403"/>
      <c r="CS333" s="403"/>
      <c r="CT333" s="403"/>
      <c r="CU333" s="403"/>
      <c r="CV333" s="403"/>
      <c r="CW333" s="403"/>
      <c r="CX333" s="403"/>
      <c r="CY333" s="403"/>
      <c r="CZ333" s="403"/>
      <c r="DA333" s="403"/>
      <c r="DB333" s="403"/>
      <c r="DC333" s="403"/>
      <c r="DD333" s="403"/>
      <c r="DE333" s="403"/>
      <c r="DF333" s="403"/>
      <c r="DG333" s="403"/>
      <c r="DH333" s="403"/>
      <c r="DI333" s="403"/>
      <c r="DJ333" s="403"/>
      <c r="DK333" s="403"/>
      <c r="DL333" s="403"/>
      <c r="DM333" s="403"/>
      <c r="DN333" s="403"/>
    </row>
    <row r="334" spans="3:118" s="567" customFormat="1" x14ac:dyDescent="0.2">
      <c r="C334" s="31"/>
      <c r="D334" s="242"/>
      <c r="G334" s="242"/>
      <c r="H334" s="242"/>
      <c r="I334" s="242"/>
      <c r="J334" s="242"/>
      <c r="K334" s="242"/>
      <c r="L334" s="242"/>
      <c r="M334" s="2"/>
      <c r="N334" s="564"/>
      <c r="O334" s="564"/>
      <c r="P334" s="564"/>
      <c r="Q334" s="564"/>
      <c r="R334" s="564"/>
      <c r="S334" s="564"/>
      <c r="T334" s="564"/>
      <c r="U334" s="564"/>
      <c r="V334" s="564"/>
      <c r="W334" s="564"/>
      <c r="X334" s="564"/>
      <c r="Y334" s="564"/>
      <c r="Z334" s="564"/>
      <c r="AA334" s="564"/>
      <c r="AB334" s="564"/>
      <c r="AC334" s="564"/>
      <c r="AD334" s="564"/>
      <c r="AE334" s="564"/>
      <c r="AF334" s="564"/>
      <c r="AG334" s="564"/>
      <c r="AH334" s="564"/>
      <c r="AI334" s="564"/>
      <c r="AJ334" s="564"/>
      <c r="AK334" s="564"/>
      <c r="AL334" s="564"/>
      <c r="AM334" s="564"/>
      <c r="AN334" s="564"/>
      <c r="AO334" s="564"/>
      <c r="AP334" s="564"/>
      <c r="AQ334" s="564"/>
      <c r="AR334" s="564"/>
      <c r="AS334" s="564"/>
      <c r="AT334" s="564"/>
      <c r="AU334" s="564"/>
      <c r="AV334" s="564"/>
      <c r="AW334" s="564"/>
      <c r="AX334" s="564"/>
      <c r="AY334" s="564"/>
      <c r="AZ334" s="564"/>
      <c r="BA334" s="564"/>
      <c r="BB334" s="564"/>
      <c r="BC334" s="564"/>
      <c r="BD334" s="564"/>
      <c r="BE334" s="564"/>
      <c r="BF334" s="564"/>
      <c r="BG334" s="564"/>
      <c r="BH334" s="564"/>
      <c r="BI334" s="564"/>
      <c r="BJ334" s="564"/>
      <c r="BK334" s="564"/>
      <c r="BL334" s="564"/>
      <c r="BM334" s="564"/>
      <c r="BN334" s="564"/>
      <c r="BO334" s="564"/>
      <c r="BP334" s="564"/>
      <c r="BQ334" s="564"/>
      <c r="BR334" s="564"/>
      <c r="BS334" s="564"/>
      <c r="BT334" s="564"/>
      <c r="BU334" s="564"/>
      <c r="BV334" s="564"/>
      <c r="BW334" s="564"/>
      <c r="BX334" s="564"/>
      <c r="BY334" s="564"/>
      <c r="BZ334" s="564"/>
      <c r="CA334" s="564"/>
      <c r="CB334" s="564"/>
      <c r="CC334" s="564"/>
      <c r="CD334" s="564"/>
      <c r="CE334" s="564"/>
      <c r="CF334" s="564"/>
      <c r="CG334" s="564"/>
      <c r="CH334" s="564"/>
      <c r="CI334" s="564"/>
      <c r="CJ334" s="564"/>
      <c r="CK334" s="564"/>
      <c r="CL334" s="564"/>
      <c r="CM334" s="564"/>
      <c r="CN334" s="564"/>
      <c r="CO334" s="564"/>
      <c r="CP334" s="564"/>
      <c r="CQ334" s="564"/>
      <c r="CR334" s="564"/>
      <c r="CS334" s="564"/>
      <c r="CT334" s="564"/>
      <c r="CU334" s="564"/>
      <c r="CV334" s="564"/>
      <c r="CW334" s="564"/>
      <c r="CX334" s="564"/>
      <c r="CY334" s="564"/>
      <c r="CZ334" s="564"/>
      <c r="DA334" s="564"/>
      <c r="DB334" s="564"/>
      <c r="DC334" s="564"/>
      <c r="DD334" s="564"/>
      <c r="DE334" s="564"/>
      <c r="DF334" s="564"/>
      <c r="DG334" s="564"/>
      <c r="DH334" s="564"/>
      <c r="DI334" s="564"/>
      <c r="DJ334" s="564"/>
      <c r="DK334" s="564"/>
      <c r="DL334" s="564"/>
      <c r="DM334" s="564"/>
      <c r="DN334" s="564"/>
    </row>
    <row r="335" spans="3:118" s="567" customFormat="1" x14ac:dyDescent="0.2">
      <c r="C335" s="31"/>
      <c r="D335" s="242"/>
      <c r="G335" s="242"/>
      <c r="H335" s="242"/>
      <c r="I335" s="242"/>
      <c r="J335" s="242"/>
      <c r="K335" s="242"/>
      <c r="L335" s="242"/>
      <c r="M335" s="2"/>
      <c r="N335" s="564"/>
      <c r="O335" s="564"/>
      <c r="P335" s="564"/>
      <c r="Q335" s="564"/>
      <c r="R335" s="564"/>
      <c r="S335" s="564"/>
      <c r="T335" s="564"/>
      <c r="U335" s="564"/>
      <c r="V335" s="564"/>
      <c r="W335" s="564"/>
      <c r="X335" s="564"/>
      <c r="Y335" s="564"/>
      <c r="Z335" s="564"/>
      <c r="AA335" s="564"/>
      <c r="AB335" s="564"/>
      <c r="AC335" s="564"/>
      <c r="AD335" s="564"/>
      <c r="AE335" s="564"/>
      <c r="AF335" s="564"/>
      <c r="AG335" s="564"/>
      <c r="AH335" s="564"/>
      <c r="AI335" s="564"/>
      <c r="AJ335" s="564"/>
      <c r="AK335" s="564"/>
      <c r="AL335" s="564"/>
      <c r="AM335" s="564"/>
      <c r="AN335" s="564"/>
      <c r="AO335" s="564"/>
      <c r="AP335" s="564"/>
      <c r="AQ335" s="564"/>
      <c r="AR335" s="564"/>
      <c r="AS335" s="564"/>
      <c r="AT335" s="564"/>
      <c r="AU335" s="564"/>
      <c r="AV335" s="564"/>
      <c r="AW335" s="564"/>
      <c r="AX335" s="564"/>
      <c r="AY335" s="564"/>
      <c r="AZ335" s="564"/>
      <c r="BA335" s="564"/>
      <c r="BB335" s="564"/>
      <c r="BC335" s="564"/>
      <c r="BD335" s="564"/>
      <c r="BE335" s="564"/>
      <c r="BF335" s="564"/>
      <c r="BG335" s="564"/>
      <c r="BH335" s="564"/>
      <c r="BI335" s="564"/>
      <c r="BJ335" s="564"/>
      <c r="BK335" s="564"/>
      <c r="BL335" s="564"/>
      <c r="BM335" s="564"/>
      <c r="BN335" s="564"/>
      <c r="BO335" s="564"/>
      <c r="BP335" s="564"/>
      <c r="BQ335" s="564"/>
      <c r="BR335" s="564"/>
      <c r="BS335" s="564"/>
      <c r="BT335" s="564"/>
      <c r="BU335" s="564"/>
      <c r="BV335" s="564"/>
      <c r="BW335" s="564"/>
      <c r="BX335" s="564"/>
      <c r="BY335" s="564"/>
      <c r="BZ335" s="564"/>
      <c r="CA335" s="564"/>
      <c r="CB335" s="564"/>
      <c r="CC335" s="564"/>
      <c r="CD335" s="564"/>
      <c r="CE335" s="564"/>
      <c r="CF335" s="564"/>
      <c r="CG335" s="564"/>
      <c r="CH335" s="564"/>
      <c r="CI335" s="564"/>
      <c r="CJ335" s="564"/>
      <c r="CK335" s="564"/>
      <c r="CL335" s="564"/>
      <c r="CM335" s="564"/>
      <c r="CN335" s="564"/>
      <c r="CO335" s="564"/>
      <c r="CP335" s="564"/>
      <c r="CQ335" s="564"/>
      <c r="CR335" s="564"/>
      <c r="CS335" s="564"/>
      <c r="CT335" s="564"/>
      <c r="CU335" s="564"/>
      <c r="CV335" s="564"/>
      <c r="CW335" s="564"/>
      <c r="CX335" s="564"/>
      <c r="CY335" s="564"/>
      <c r="CZ335" s="564"/>
      <c r="DA335" s="564"/>
      <c r="DB335" s="564"/>
      <c r="DC335" s="564"/>
      <c r="DD335" s="564"/>
      <c r="DE335" s="564"/>
      <c r="DF335" s="564"/>
      <c r="DG335" s="564"/>
      <c r="DH335" s="564"/>
      <c r="DI335" s="564"/>
      <c r="DJ335" s="564"/>
      <c r="DK335" s="564"/>
      <c r="DL335" s="564"/>
      <c r="DM335" s="564"/>
      <c r="DN335" s="564"/>
    </row>
    <row r="336" spans="3:118" s="27" customFormat="1" ht="19.5" x14ac:dyDescent="0.3">
      <c r="N336" s="403"/>
      <c r="O336" s="403"/>
      <c r="P336" s="403"/>
      <c r="Q336" s="403"/>
      <c r="R336" s="403"/>
      <c r="S336" s="403"/>
      <c r="T336" s="403"/>
      <c r="U336" s="403"/>
      <c r="V336" s="403"/>
      <c r="W336" s="403"/>
      <c r="X336" s="403"/>
      <c r="Y336" s="403"/>
      <c r="Z336" s="403"/>
      <c r="AA336" s="403"/>
      <c r="AB336" s="403"/>
      <c r="AC336" s="564"/>
      <c r="AD336" s="403"/>
      <c r="AE336" s="403"/>
      <c r="AF336" s="403"/>
      <c r="AG336" s="403"/>
      <c r="AH336" s="403"/>
      <c r="AI336" s="403"/>
      <c r="AJ336" s="403"/>
      <c r="AK336" s="403"/>
      <c r="AL336" s="403"/>
      <c r="AM336" s="403"/>
      <c r="AN336" s="403"/>
      <c r="AO336" s="403"/>
      <c r="AP336" s="403"/>
      <c r="AQ336" s="403"/>
      <c r="AR336" s="403"/>
      <c r="AS336" s="403"/>
      <c r="AT336" s="403"/>
      <c r="AU336" s="403"/>
      <c r="AV336" s="403"/>
      <c r="AW336" s="403"/>
      <c r="AX336" s="403"/>
      <c r="AY336" s="403"/>
      <c r="AZ336" s="403"/>
      <c r="BA336" s="403"/>
      <c r="BB336" s="403"/>
      <c r="BC336" s="403"/>
      <c r="BD336" s="403"/>
      <c r="BE336" s="403"/>
      <c r="BF336" s="403"/>
      <c r="BG336" s="403"/>
      <c r="BH336" s="403"/>
      <c r="BI336" s="403"/>
      <c r="BJ336" s="403"/>
      <c r="BK336" s="403"/>
      <c r="BL336" s="403"/>
      <c r="BM336" s="403"/>
      <c r="BN336" s="403"/>
      <c r="BO336" s="403"/>
      <c r="BP336" s="403"/>
      <c r="BQ336" s="403"/>
      <c r="BR336" s="403"/>
      <c r="BS336" s="403"/>
      <c r="BT336" s="403"/>
      <c r="BU336" s="403"/>
      <c r="BV336" s="403"/>
      <c r="BW336" s="403"/>
      <c r="BX336" s="403"/>
      <c r="BY336" s="403"/>
      <c r="BZ336" s="403"/>
      <c r="CA336" s="403"/>
      <c r="CB336" s="403"/>
      <c r="CC336" s="403"/>
      <c r="CD336" s="403"/>
      <c r="CE336" s="403"/>
      <c r="CF336" s="403"/>
      <c r="CG336" s="403"/>
      <c r="CH336" s="403"/>
      <c r="CI336" s="403"/>
      <c r="CJ336" s="403"/>
      <c r="CK336" s="403"/>
      <c r="CL336" s="403"/>
      <c r="CM336" s="403"/>
      <c r="CN336" s="403"/>
      <c r="CO336" s="403"/>
      <c r="CP336" s="403"/>
      <c r="CQ336" s="403"/>
      <c r="CR336" s="403"/>
      <c r="CS336" s="403"/>
      <c r="CT336" s="403"/>
      <c r="CU336" s="403"/>
      <c r="CV336" s="403"/>
      <c r="CW336" s="403"/>
      <c r="CX336" s="403"/>
      <c r="CY336" s="403"/>
      <c r="CZ336" s="403"/>
      <c r="DA336" s="403"/>
      <c r="DB336" s="403"/>
      <c r="DC336" s="403"/>
      <c r="DD336" s="403"/>
      <c r="DE336" s="403"/>
      <c r="DF336" s="403"/>
      <c r="DG336" s="403"/>
      <c r="DH336" s="403"/>
      <c r="DI336" s="403"/>
      <c r="DJ336" s="403"/>
      <c r="DK336" s="403"/>
      <c r="DL336" s="403"/>
      <c r="DM336" s="403"/>
      <c r="DN336" s="403"/>
    </row>
    <row r="342" spans="1:118" x14ac:dyDescent="0.2">
      <c r="A342" s="684" t="str">
        <f>WHO_Copyright</f>
        <v>© World Health Organization and the United Nations Children’s Fund (UNICEF), 2022. Some rights reserved. This work is available under the CC BY-NC-SA 3.0 IGO licence.</v>
      </c>
      <c r="B342" s="684"/>
      <c r="C342" s="684"/>
      <c r="D342" s="684"/>
      <c r="E342" s="684"/>
      <c r="F342" s="684"/>
      <c r="G342" s="684"/>
      <c r="H342" s="684"/>
      <c r="I342" s="684"/>
      <c r="J342" s="684"/>
      <c r="K342" s="684"/>
      <c r="L342" s="684"/>
      <c r="M342" s="684"/>
    </row>
    <row r="343" spans="1:118" x14ac:dyDescent="0.2">
      <c r="A343" s="671" t="str">
        <f>WHO_Reference</f>
        <v>WHO reference number: WHO/2019-nCoV/Vaccine_deployment_tool/2022.1</v>
      </c>
      <c r="B343" s="671"/>
      <c r="C343" s="671"/>
      <c r="D343" s="671"/>
      <c r="E343" s="671"/>
      <c r="F343" s="671"/>
      <c r="G343" s="671"/>
      <c r="H343" s="671"/>
      <c r="I343" s="671"/>
      <c r="J343" s="671"/>
      <c r="K343" s="671"/>
      <c r="L343" s="671"/>
      <c r="M343" s="671"/>
      <c r="N343"/>
      <c r="O343"/>
      <c r="P343"/>
      <c r="Q343"/>
      <c r="R343"/>
      <c r="S343"/>
      <c r="T343"/>
      <c r="U343"/>
      <c r="V343"/>
      <c r="W343"/>
      <c r="X343"/>
      <c r="Y343"/>
      <c r="Z343"/>
      <c r="AA343"/>
      <c r="AB343"/>
      <c r="AC343"/>
      <c r="AD343"/>
      <c r="AE343"/>
      <c r="AF343"/>
      <c r="AG343"/>
      <c r="AH343"/>
      <c r="AI343"/>
      <c r="AJ343"/>
      <c r="AK343"/>
      <c r="AL343"/>
      <c r="AM343"/>
      <c r="AN343"/>
      <c r="AO343"/>
      <c r="AP343"/>
      <c r="AQ343"/>
      <c r="AR343"/>
      <c r="AS343"/>
      <c r="AT343"/>
      <c r="AU343"/>
      <c r="AV343"/>
      <c r="AW343"/>
      <c r="AX343"/>
      <c r="AY343"/>
      <c r="AZ343"/>
      <c r="BA343"/>
      <c r="BB343"/>
      <c r="BC343"/>
      <c r="BD343"/>
      <c r="BE343"/>
      <c r="BF343"/>
      <c r="BG343"/>
      <c r="BH343"/>
      <c r="BI343"/>
      <c r="BJ343"/>
      <c r="BK343"/>
      <c r="BL343"/>
      <c r="BM343"/>
      <c r="BN343"/>
      <c r="BO343"/>
      <c r="BP343"/>
      <c r="BQ343"/>
      <c r="BR343"/>
      <c r="BS343"/>
      <c r="BT343"/>
      <c r="BU343"/>
      <c r="BV343"/>
      <c r="BW343"/>
      <c r="BX343"/>
      <c r="BY343"/>
      <c r="BZ343"/>
      <c r="CA343"/>
      <c r="CB343"/>
      <c r="CC343"/>
      <c r="CD343"/>
      <c r="CE343"/>
      <c r="CF343"/>
      <c r="CG343"/>
      <c r="CH343"/>
      <c r="CI343"/>
      <c r="CJ343"/>
      <c r="CK343"/>
      <c r="CL343"/>
      <c r="CM343"/>
      <c r="CN343"/>
      <c r="CO343"/>
      <c r="CP343"/>
      <c r="CQ343"/>
      <c r="CR343"/>
      <c r="CS343"/>
      <c r="CT343"/>
      <c r="CU343"/>
      <c r="CV343"/>
      <c r="CW343"/>
      <c r="CX343"/>
      <c r="CY343"/>
      <c r="CZ343"/>
      <c r="DA343"/>
      <c r="DB343"/>
      <c r="DC343"/>
      <c r="DD343"/>
      <c r="DE343"/>
      <c r="DF343"/>
      <c r="DG343"/>
      <c r="DH343"/>
      <c r="DI343"/>
      <c r="DJ343"/>
      <c r="DK343"/>
      <c r="DL343"/>
      <c r="DM343"/>
      <c r="DN343"/>
    </row>
    <row r="344" spans="1:118" x14ac:dyDescent="0.2">
      <c r="E344"/>
      <c r="F344"/>
      <c r="I344" s="104"/>
      <c r="N344"/>
      <c r="O344"/>
      <c r="P344"/>
      <c r="Q344"/>
      <c r="R344"/>
      <c r="S344"/>
      <c r="T344"/>
      <c r="U344"/>
      <c r="V344"/>
      <c r="W344"/>
      <c r="X344"/>
      <c r="Y344"/>
      <c r="Z344"/>
      <c r="AA344"/>
      <c r="AB344"/>
      <c r="AC344"/>
      <c r="AD344"/>
      <c r="AE344"/>
      <c r="AF344"/>
      <c r="AG344"/>
      <c r="AH344"/>
      <c r="AI344"/>
      <c r="AJ344"/>
      <c r="AK344"/>
      <c r="AL344"/>
      <c r="AM344"/>
      <c r="AN344"/>
      <c r="AO344"/>
      <c r="AP344"/>
      <c r="AQ344"/>
      <c r="AR344"/>
      <c r="AS344"/>
      <c r="AT344"/>
      <c r="AU344"/>
      <c r="AV344"/>
      <c r="AW344"/>
      <c r="AX344"/>
      <c r="AY344"/>
      <c r="AZ344"/>
      <c r="BA344"/>
      <c r="BB344"/>
      <c r="BC344"/>
      <c r="BD344"/>
      <c r="BE344"/>
      <c r="BF344"/>
      <c r="BG344"/>
      <c r="BH344"/>
      <c r="BI344"/>
      <c r="BJ344"/>
      <c r="BK344"/>
      <c r="BL344"/>
      <c r="BM344"/>
      <c r="BN344"/>
      <c r="BO344"/>
      <c r="BP344"/>
      <c r="BQ344"/>
      <c r="BR344"/>
      <c r="BS344"/>
      <c r="BT344"/>
      <c r="BU344"/>
      <c r="BV344"/>
      <c r="BW344"/>
      <c r="BX344"/>
      <c r="BY344"/>
      <c r="BZ344"/>
      <c r="CA344"/>
      <c r="CB344"/>
      <c r="CC344"/>
      <c r="CD344"/>
      <c r="CE344"/>
      <c r="CF344"/>
      <c r="CG344"/>
      <c r="CH344"/>
      <c r="CI344"/>
      <c r="CJ344"/>
      <c r="CK344"/>
      <c r="CL344"/>
      <c r="CM344"/>
      <c r="CN344"/>
      <c r="CO344"/>
      <c r="CP344"/>
      <c r="CQ344"/>
      <c r="CR344"/>
      <c r="CS344"/>
      <c r="CT344"/>
      <c r="CU344"/>
      <c r="CV344"/>
      <c r="CW344"/>
      <c r="CX344"/>
      <c r="CY344"/>
      <c r="CZ344"/>
      <c r="DA344"/>
      <c r="DB344"/>
      <c r="DC344"/>
      <c r="DD344"/>
      <c r="DE344"/>
      <c r="DF344"/>
      <c r="DG344"/>
      <c r="DH344"/>
      <c r="DI344"/>
      <c r="DJ344"/>
      <c r="DK344"/>
      <c r="DL344"/>
      <c r="DM344"/>
      <c r="DN344"/>
    </row>
    <row r="345" spans="1:118" x14ac:dyDescent="0.2">
      <c r="E345"/>
      <c r="F345"/>
      <c r="I345" s="104"/>
      <c r="N345"/>
      <c r="O345"/>
      <c r="P345"/>
      <c r="Q345"/>
      <c r="R345"/>
      <c r="S345"/>
      <c r="T345"/>
      <c r="U345"/>
      <c r="V345"/>
      <c r="W345"/>
      <c r="X345"/>
      <c r="Y345"/>
      <c r="Z345"/>
      <c r="AA345"/>
      <c r="AB345"/>
      <c r="AC345"/>
      <c r="AD345"/>
      <c r="AE345"/>
      <c r="AF345"/>
      <c r="AG345"/>
      <c r="AH345"/>
      <c r="AI345"/>
      <c r="AJ345"/>
      <c r="AK345"/>
      <c r="AL345"/>
      <c r="AM345"/>
      <c r="AN345"/>
      <c r="AO345"/>
      <c r="AP345"/>
      <c r="AQ345"/>
      <c r="AR345"/>
      <c r="AS345"/>
      <c r="AT345"/>
      <c r="AU345"/>
      <c r="AV345"/>
      <c r="AW345"/>
      <c r="AX345"/>
      <c r="AY345"/>
      <c r="AZ345"/>
      <c r="BA345"/>
      <c r="BB345"/>
      <c r="BC345"/>
      <c r="BD345"/>
      <c r="BE345"/>
      <c r="BF345"/>
      <c r="BG345"/>
      <c r="BH345"/>
      <c r="BI345"/>
      <c r="BJ345"/>
      <c r="BK345"/>
      <c r="BL345"/>
      <c r="BM345"/>
      <c r="BN345"/>
      <c r="BO345"/>
      <c r="BP345"/>
      <c r="BQ345"/>
      <c r="BR345"/>
      <c r="BS345"/>
      <c r="BT345"/>
      <c r="BU345"/>
      <c r="BV345"/>
      <c r="BW345"/>
      <c r="BX345"/>
      <c r="BY345"/>
      <c r="BZ345"/>
      <c r="CA345"/>
      <c r="CB345"/>
      <c r="CC345"/>
      <c r="CD345"/>
      <c r="CE345"/>
      <c r="CF345"/>
      <c r="CG345"/>
      <c r="CH345"/>
      <c r="CI345"/>
      <c r="CJ345"/>
      <c r="CK345"/>
      <c r="CL345"/>
      <c r="CM345"/>
      <c r="CN345"/>
      <c r="CO345"/>
      <c r="CP345"/>
      <c r="CQ345"/>
      <c r="CR345"/>
      <c r="CS345"/>
      <c r="CT345"/>
      <c r="CU345"/>
      <c r="CV345"/>
      <c r="CW345"/>
      <c r="CX345"/>
      <c r="CY345"/>
      <c r="CZ345"/>
      <c r="DA345"/>
      <c r="DB345"/>
      <c r="DC345"/>
      <c r="DD345"/>
      <c r="DE345"/>
      <c r="DF345"/>
      <c r="DG345"/>
      <c r="DH345"/>
      <c r="DI345"/>
      <c r="DJ345"/>
      <c r="DK345"/>
      <c r="DL345"/>
      <c r="DM345"/>
      <c r="DN345"/>
    </row>
    <row r="415" spans="5:118" s="15" customFormat="1" x14ac:dyDescent="0.2">
      <c r="E415" s="122"/>
      <c r="F415" s="122"/>
      <c r="N415" s="403"/>
      <c r="O415" s="403"/>
      <c r="P415" s="403"/>
      <c r="Q415" s="403"/>
      <c r="R415" s="403"/>
      <c r="S415" s="403"/>
      <c r="T415" s="403"/>
      <c r="U415" s="403"/>
      <c r="V415" s="403"/>
      <c r="W415" s="403"/>
      <c r="X415" s="403"/>
      <c r="Y415" s="403"/>
      <c r="Z415" s="403"/>
      <c r="AA415" s="403"/>
      <c r="AB415" s="403"/>
      <c r="AC415" s="564"/>
      <c r="AD415" s="403"/>
      <c r="AE415" s="403"/>
      <c r="AF415" s="403"/>
      <c r="AG415" s="403"/>
      <c r="AH415" s="403"/>
      <c r="AI415" s="403"/>
      <c r="AJ415" s="403"/>
      <c r="AK415" s="403"/>
      <c r="AL415" s="403"/>
      <c r="AM415" s="403"/>
      <c r="AN415" s="403"/>
      <c r="AO415" s="403"/>
      <c r="AP415" s="403"/>
      <c r="AQ415" s="403"/>
      <c r="AR415" s="403"/>
      <c r="AS415" s="403"/>
      <c r="AT415" s="403"/>
      <c r="AU415" s="403"/>
      <c r="AV415" s="403"/>
      <c r="AW415" s="403"/>
      <c r="AX415" s="403"/>
      <c r="AY415" s="403"/>
      <c r="AZ415" s="403"/>
      <c r="BA415" s="403"/>
      <c r="BB415" s="403"/>
      <c r="BC415" s="403"/>
      <c r="BD415" s="403"/>
      <c r="BE415" s="403"/>
      <c r="BF415" s="403"/>
      <c r="BG415" s="403"/>
      <c r="BH415" s="403"/>
      <c r="BI415" s="403"/>
      <c r="BJ415" s="403"/>
      <c r="BK415" s="403"/>
      <c r="BL415" s="403"/>
      <c r="BM415" s="403"/>
      <c r="BN415" s="403"/>
      <c r="BO415" s="403"/>
      <c r="BP415" s="403"/>
      <c r="BQ415" s="403"/>
      <c r="BR415" s="403"/>
      <c r="BS415" s="403"/>
      <c r="BT415" s="403"/>
      <c r="BU415" s="403"/>
      <c r="BV415" s="403"/>
      <c r="BW415" s="403"/>
      <c r="BX415" s="403"/>
      <c r="BY415" s="403"/>
      <c r="BZ415" s="403"/>
      <c r="CA415" s="403"/>
      <c r="CB415" s="403"/>
      <c r="CC415" s="403"/>
      <c r="CD415" s="403"/>
      <c r="CE415" s="403"/>
      <c r="CF415" s="403"/>
      <c r="CG415" s="403"/>
      <c r="CH415" s="403"/>
      <c r="CI415" s="403"/>
      <c r="CJ415" s="403"/>
      <c r="CK415" s="403"/>
      <c r="CL415" s="403"/>
      <c r="CM415" s="403"/>
      <c r="CN415" s="403"/>
      <c r="CO415" s="403"/>
      <c r="CP415" s="403"/>
      <c r="CQ415" s="403"/>
      <c r="CR415" s="403"/>
      <c r="CS415" s="403"/>
      <c r="CT415" s="403"/>
      <c r="CU415" s="403"/>
      <c r="CV415" s="403"/>
      <c r="CW415" s="403"/>
      <c r="CX415" s="403"/>
      <c r="CY415" s="403"/>
      <c r="CZ415" s="403"/>
      <c r="DA415" s="403"/>
      <c r="DB415" s="403"/>
      <c r="DC415" s="403"/>
      <c r="DD415" s="403"/>
      <c r="DE415" s="403"/>
      <c r="DF415" s="403"/>
      <c r="DG415" s="403"/>
      <c r="DH415" s="403"/>
      <c r="DI415" s="403"/>
      <c r="DJ415" s="403"/>
      <c r="DK415" s="403"/>
      <c r="DL415" s="403"/>
      <c r="DM415" s="403"/>
      <c r="DN415" s="403"/>
    </row>
    <row r="416" spans="5:118" s="15" customFormat="1" x14ac:dyDescent="0.2">
      <c r="E416" s="122"/>
      <c r="F416" s="122"/>
      <c r="N416" s="403"/>
      <c r="O416" s="403"/>
      <c r="P416" s="403"/>
      <c r="Q416" s="403"/>
      <c r="R416" s="403"/>
      <c r="S416" s="403"/>
      <c r="T416" s="403"/>
      <c r="U416" s="403"/>
      <c r="V416" s="403"/>
      <c r="W416" s="403"/>
      <c r="X416" s="403"/>
      <c r="Y416" s="403"/>
      <c r="Z416" s="403"/>
      <c r="AA416" s="403"/>
      <c r="AB416" s="403"/>
      <c r="AC416" s="564"/>
      <c r="AD416" s="403"/>
      <c r="AE416" s="403"/>
      <c r="AF416" s="403"/>
      <c r="AG416" s="403"/>
      <c r="AH416" s="403"/>
      <c r="AI416" s="403"/>
      <c r="AJ416" s="403"/>
      <c r="AK416" s="403"/>
      <c r="AL416" s="403"/>
      <c r="AM416" s="403"/>
      <c r="AN416" s="403"/>
      <c r="AO416" s="403"/>
      <c r="AP416" s="403"/>
      <c r="AQ416" s="403"/>
      <c r="AR416" s="403"/>
      <c r="AS416" s="403"/>
      <c r="AT416" s="403"/>
      <c r="AU416" s="403"/>
      <c r="AV416" s="403"/>
      <c r="AW416" s="403"/>
      <c r="AX416" s="403"/>
      <c r="AY416" s="403"/>
      <c r="AZ416" s="403"/>
      <c r="BA416" s="403"/>
      <c r="BB416" s="403"/>
      <c r="BC416" s="403"/>
      <c r="BD416" s="403"/>
      <c r="BE416" s="403"/>
      <c r="BF416" s="403"/>
      <c r="BG416" s="403"/>
      <c r="BH416" s="403"/>
      <c r="BI416" s="403"/>
      <c r="BJ416" s="403"/>
      <c r="BK416" s="403"/>
      <c r="BL416" s="403"/>
      <c r="BM416" s="403"/>
      <c r="BN416" s="403"/>
      <c r="BO416" s="403"/>
      <c r="BP416" s="403"/>
      <c r="BQ416" s="403"/>
      <c r="BR416" s="403"/>
      <c r="BS416" s="403"/>
      <c r="BT416" s="403"/>
      <c r="BU416" s="403"/>
      <c r="BV416" s="403"/>
      <c r="BW416" s="403"/>
      <c r="BX416" s="403"/>
      <c r="BY416" s="403"/>
      <c r="BZ416" s="403"/>
      <c r="CA416" s="403"/>
      <c r="CB416" s="403"/>
      <c r="CC416" s="403"/>
      <c r="CD416" s="403"/>
      <c r="CE416" s="403"/>
      <c r="CF416" s="403"/>
      <c r="CG416" s="403"/>
      <c r="CH416" s="403"/>
      <c r="CI416" s="403"/>
      <c r="CJ416" s="403"/>
      <c r="CK416" s="403"/>
      <c r="CL416" s="403"/>
      <c r="CM416" s="403"/>
      <c r="CN416" s="403"/>
      <c r="CO416" s="403"/>
      <c r="CP416" s="403"/>
      <c r="CQ416" s="403"/>
      <c r="CR416" s="403"/>
      <c r="CS416" s="403"/>
      <c r="CT416" s="403"/>
      <c r="CU416" s="403"/>
      <c r="CV416" s="403"/>
      <c r="CW416" s="403"/>
      <c r="CX416" s="403"/>
      <c r="CY416" s="403"/>
      <c r="CZ416" s="403"/>
      <c r="DA416" s="403"/>
      <c r="DB416" s="403"/>
      <c r="DC416" s="403"/>
      <c r="DD416" s="403"/>
      <c r="DE416" s="403"/>
      <c r="DF416" s="403"/>
      <c r="DG416" s="403"/>
      <c r="DH416" s="403"/>
      <c r="DI416" s="403"/>
      <c r="DJ416" s="403"/>
      <c r="DK416" s="403"/>
      <c r="DL416" s="403"/>
      <c r="DM416" s="403"/>
      <c r="DN416" s="403"/>
    </row>
    <row r="417" spans="5:118" s="15" customFormat="1" x14ac:dyDescent="0.2">
      <c r="E417" s="122"/>
      <c r="F417" s="122"/>
      <c r="N417" s="403"/>
      <c r="O417" s="403"/>
      <c r="P417" s="403"/>
      <c r="Q417" s="403"/>
      <c r="R417" s="403"/>
      <c r="S417" s="403"/>
      <c r="T417" s="403"/>
      <c r="U417" s="403"/>
      <c r="V417" s="403"/>
      <c r="W417" s="403"/>
      <c r="X417" s="403"/>
      <c r="Y417" s="403"/>
      <c r="Z417" s="403"/>
      <c r="AA417" s="403"/>
      <c r="AB417" s="403"/>
      <c r="AC417" s="564"/>
      <c r="AD417" s="403"/>
      <c r="AE417" s="403"/>
      <c r="AF417" s="403"/>
      <c r="AG417" s="403"/>
      <c r="AH417" s="403"/>
      <c r="AI417" s="403"/>
      <c r="AJ417" s="403"/>
      <c r="AK417" s="403"/>
      <c r="AL417" s="403"/>
      <c r="AM417" s="403"/>
      <c r="AN417" s="403"/>
      <c r="AO417" s="403"/>
      <c r="AP417" s="403"/>
      <c r="AQ417" s="403"/>
      <c r="AR417" s="403"/>
      <c r="AS417" s="403"/>
      <c r="AT417" s="403"/>
      <c r="AU417" s="403"/>
      <c r="AV417" s="403"/>
      <c r="AW417" s="403"/>
      <c r="AX417" s="403"/>
      <c r="AY417" s="403"/>
      <c r="AZ417" s="403"/>
      <c r="BA417" s="403"/>
      <c r="BB417" s="403"/>
      <c r="BC417" s="403"/>
      <c r="BD417" s="403"/>
      <c r="BE417" s="403"/>
      <c r="BF417" s="403"/>
      <c r="BG417" s="403"/>
      <c r="BH417" s="403"/>
      <c r="BI417" s="403"/>
      <c r="BJ417" s="403"/>
      <c r="BK417" s="403"/>
      <c r="BL417" s="403"/>
      <c r="BM417" s="403"/>
      <c r="BN417" s="403"/>
      <c r="BO417" s="403"/>
      <c r="BP417" s="403"/>
      <c r="BQ417" s="403"/>
      <c r="BR417" s="403"/>
      <c r="BS417" s="403"/>
      <c r="BT417" s="403"/>
      <c r="BU417" s="403"/>
      <c r="BV417" s="403"/>
      <c r="BW417" s="403"/>
      <c r="BX417" s="403"/>
      <c r="BY417" s="403"/>
      <c r="BZ417" s="403"/>
      <c r="CA417" s="403"/>
      <c r="CB417" s="403"/>
      <c r="CC417" s="403"/>
      <c r="CD417" s="403"/>
      <c r="CE417" s="403"/>
      <c r="CF417" s="403"/>
      <c r="CG417" s="403"/>
      <c r="CH417" s="403"/>
      <c r="CI417" s="403"/>
      <c r="CJ417" s="403"/>
      <c r="CK417" s="403"/>
      <c r="CL417" s="403"/>
      <c r="CM417" s="403"/>
      <c r="CN417" s="403"/>
      <c r="CO417" s="403"/>
      <c r="CP417" s="403"/>
      <c r="CQ417" s="403"/>
      <c r="CR417" s="403"/>
      <c r="CS417" s="403"/>
      <c r="CT417" s="403"/>
      <c r="CU417" s="403"/>
      <c r="CV417" s="403"/>
      <c r="CW417" s="403"/>
      <c r="CX417" s="403"/>
      <c r="CY417" s="403"/>
      <c r="CZ417" s="403"/>
      <c r="DA417" s="403"/>
      <c r="DB417" s="403"/>
      <c r="DC417" s="403"/>
      <c r="DD417" s="403"/>
      <c r="DE417" s="403"/>
      <c r="DF417" s="403"/>
      <c r="DG417" s="403"/>
      <c r="DH417" s="403"/>
      <c r="DI417" s="403"/>
      <c r="DJ417" s="403"/>
      <c r="DK417" s="403"/>
      <c r="DL417" s="403"/>
      <c r="DM417" s="403"/>
      <c r="DN417" s="403"/>
    </row>
    <row r="418" spans="5:118" s="15" customFormat="1" x14ac:dyDescent="0.2">
      <c r="E418" s="122"/>
      <c r="F418" s="122"/>
      <c r="N418" s="403"/>
      <c r="O418" s="403"/>
      <c r="P418" s="403"/>
      <c r="Q418" s="403"/>
      <c r="R418" s="403"/>
      <c r="S418" s="403"/>
      <c r="T418" s="403"/>
      <c r="U418" s="403"/>
      <c r="V418" s="403"/>
      <c r="W418" s="403"/>
      <c r="X418" s="403"/>
      <c r="Y418" s="403"/>
      <c r="Z418" s="403"/>
      <c r="AA418" s="403"/>
      <c r="AB418" s="403"/>
      <c r="AC418" s="564"/>
      <c r="AD418" s="403"/>
      <c r="AE418" s="403"/>
      <c r="AF418" s="403"/>
      <c r="AG418" s="403"/>
      <c r="AH418" s="403"/>
      <c r="AI418" s="403"/>
      <c r="AJ418" s="403"/>
      <c r="AK418" s="403"/>
      <c r="AL418" s="403"/>
      <c r="AM418" s="403"/>
      <c r="AN418" s="403"/>
      <c r="AO418" s="403"/>
      <c r="AP418" s="403"/>
      <c r="AQ418" s="403"/>
      <c r="AR418" s="403"/>
      <c r="AS418" s="403"/>
      <c r="AT418" s="403"/>
      <c r="AU418" s="403"/>
      <c r="AV418" s="403"/>
      <c r="AW418" s="403"/>
      <c r="AX418" s="403"/>
      <c r="AY418" s="403"/>
      <c r="AZ418" s="403"/>
      <c r="BA418" s="403"/>
      <c r="BB418" s="403"/>
      <c r="BC418" s="403"/>
      <c r="BD418" s="403"/>
      <c r="BE418" s="403"/>
      <c r="BF418" s="403"/>
      <c r="BG418" s="403"/>
      <c r="BH418" s="403"/>
      <c r="BI418" s="403"/>
      <c r="BJ418" s="403"/>
      <c r="BK418" s="403"/>
      <c r="BL418" s="403"/>
      <c r="BM418" s="403"/>
      <c r="BN418" s="403"/>
      <c r="BO418" s="403"/>
      <c r="BP418" s="403"/>
      <c r="BQ418" s="403"/>
      <c r="BR418" s="403"/>
      <c r="BS418" s="403"/>
      <c r="BT418" s="403"/>
      <c r="BU418" s="403"/>
      <c r="BV418" s="403"/>
      <c r="BW418" s="403"/>
      <c r="BX418" s="403"/>
      <c r="BY418" s="403"/>
      <c r="BZ418" s="403"/>
      <c r="CA418" s="403"/>
      <c r="CB418" s="403"/>
      <c r="CC418" s="403"/>
      <c r="CD418" s="403"/>
      <c r="CE418" s="403"/>
      <c r="CF418" s="403"/>
      <c r="CG418" s="403"/>
      <c r="CH418" s="403"/>
      <c r="CI418" s="403"/>
      <c r="CJ418" s="403"/>
      <c r="CK418" s="403"/>
      <c r="CL418" s="403"/>
      <c r="CM418" s="403"/>
      <c r="CN418" s="403"/>
      <c r="CO418" s="403"/>
      <c r="CP418" s="403"/>
      <c r="CQ418" s="403"/>
      <c r="CR418" s="403"/>
      <c r="CS418" s="403"/>
      <c r="CT418" s="403"/>
      <c r="CU418" s="403"/>
      <c r="CV418" s="403"/>
      <c r="CW418" s="403"/>
      <c r="CX418" s="403"/>
      <c r="CY418" s="403"/>
      <c r="CZ418" s="403"/>
      <c r="DA418" s="403"/>
      <c r="DB418" s="403"/>
      <c r="DC418" s="403"/>
      <c r="DD418" s="403"/>
      <c r="DE418" s="403"/>
      <c r="DF418" s="403"/>
      <c r="DG418" s="403"/>
      <c r="DH418" s="403"/>
      <c r="DI418" s="403"/>
      <c r="DJ418" s="403"/>
      <c r="DK418" s="403"/>
      <c r="DL418" s="403"/>
      <c r="DM418" s="403"/>
      <c r="DN418" s="403"/>
    </row>
    <row r="419" spans="5:118" s="15" customFormat="1" x14ac:dyDescent="0.2">
      <c r="E419" s="122"/>
      <c r="F419" s="122"/>
      <c r="N419" s="403"/>
      <c r="O419" s="403"/>
      <c r="P419" s="403"/>
      <c r="Q419" s="403"/>
      <c r="R419" s="403"/>
      <c r="S419" s="403"/>
      <c r="T419" s="403"/>
      <c r="U419" s="403"/>
      <c r="V419" s="403"/>
      <c r="W419" s="403"/>
      <c r="X419" s="403"/>
      <c r="Y419" s="403"/>
      <c r="Z419" s="403"/>
      <c r="AA419" s="403"/>
      <c r="AB419" s="403"/>
      <c r="AC419" s="564"/>
      <c r="AD419" s="403"/>
      <c r="AE419" s="403"/>
      <c r="AF419" s="403"/>
      <c r="AG419" s="403"/>
      <c r="AH419" s="403"/>
      <c r="AI419" s="403"/>
      <c r="AJ419" s="403"/>
      <c r="AK419" s="403"/>
      <c r="AL419" s="403"/>
      <c r="AM419" s="403"/>
      <c r="AN419" s="403"/>
      <c r="AO419" s="403"/>
      <c r="AP419" s="403"/>
      <c r="AQ419" s="403"/>
      <c r="AR419" s="403"/>
      <c r="AS419" s="403"/>
      <c r="AT419" s="403"/>
      <c r="AU419" s="403"/>
      <c r="AV419" s="403"/>
      <c r="AW419" s="403"/>
      <c r="AX419" s="403"/>
      <c r="AY419" s="403"/>
      <c r="AZ419" s="403"/>
      <c r="BA419" s="403"/>
      <c r="BB419" s="403"/>
      <c r="BC419" s="403"/>
      <c r="BD419" s="403"/>
      <c r="BE419" s="403"/>
      <c r="BF419" s="403"/>
      <c r="BG419" s="403"/>
      <c r="BH419" s="403"/>
      <c r="BI419" s="403"/>
      <c r="BJ419" s="403"/>
      <c r="BK419" s="403"/>
      <c r="BL419" s="403"/>
      <c r="BM419" s="403"/>
      <c r="BN419" s="403"/>
      <c r="BO419" s="403"/>
      <c r="BP419" s="403"/>
      <c r="BQ419" s="403"/>
      <c r="BR419" s="403"/>
      <c r="BS419" s="403"/>
      <c r="BT419" s="403"/>
      <c r="BU419" s="403"/>
      <c r="BV419" s="403"/>
      <c r="BW419" s="403"/>
      <c r="BX419" s="403"/>
      <c r="BY419" s="403"/>
      <c r="BZ419" s="403"/>
      <c r="CA419" s="403"/>
      <c r="CB419" s="403"/>
      <c r="CC419" s="403"/>
      <c r="CD419" s="403"/>
      <c r="CE419" s="403"/>
      <c r="CF419" s="403"/>
      <c r="CG419" s="403"/>
      <c r="CH419" s="403"/>
      <c r="CI419" s="403"/>
      <c r="CJ419" s="403"/>
      <c r="CK419" s="403"/>
      <c r="CL419" s="403"/>
      <c r="CM419" s="403"/>
      <c r="CN419" s="403"/>
      <c r="CO419" s="403"/>
      <c r="CP419" s="403"/>
      <c r="CQ419" s="403"/>
      <c r="CR419" s="403"/>
      <c r="CS419" s="403"/>
      <c r="CT419" s="403"/>
      <c r="CU419" s="403"/>
      <c r="CV419" s="403"/>
      <c r="CW419" s="403"/>
      <c r="CX419" s="403"/>
      <c r="CY419" s="403"/>
      <c r="CZ419" s="403"/>
      <c r="DA419" s="403"/>
      <c r="DB419" s="403"/>
      <c r="DC419" s="403"/>
      <c r="DD419" s="403"/>
      <c r="DE419" s="403"/>
      <c r="DF419" s="403"/>
      <c r="DG419" s="403"/>
      <c r="DH419" s="403"/>
      <c r="DI419" s="403"/>
      <c r="DJ419" s="403"/>
      <c r="DK419" s="403"/>
      <c r="DL419" s="403"/>
      <c r="DM419" s="403"/>
      <c r="DN419" s="403"/>
    </row>
    <row r="420" spans="5:118" s="15" customFormat="1" x14ac:dyDescent="0.2">
      <c r="E420" s="122"/>
      <c r="F420" s="122"/>
      <c r="N420" s="403"/>
      <c r="O420" s="403"/>
      <c r="P420" s="403"/>
      <c r="Q420" s="403"/>
      <c r="R420" s="403"/>
      <c r="S420" s="403"/>
      <c r="T420" s="403"/>
      <c r="U420" s="403"/>
      <c r="V420" s="403"/>
      <c r="W420" s="403"/>
      <c r="X420" s="403"/>
      <c r="Y420" s="403"/>
      <c r="Z420" s="403"/>
      <c r="AA420" s="403"/>
      <c r="AB420" s="403"/>
      <c r="AC420" s="564"/>
      <c r="AD420" s="403"/>
      <c r="AE420" s="403"/>
      <c r="AF420" s="403"/>
      <c r="AG420" s="403"/>
      <c r="AH420" s="403"/>
      <c r="AI420" s="403"/>
      <c r="AJ420" s="403"/>
      <c r="AK420" s="403"/>
      <c r="AL420" s="403"/>
      <c r="AM420" s="403"/>
      <c r="AN420" s="403"/>
      <c r="AO420" s="403"/>
      <c r="AP420" s="403"/>
      <c r="AQ420" s="403"/>
      <c r="AR420" s="403"/>
      <c r="AS420" s="403"/>
      <c r="AT420" s="403"/>
      <c r="AU420" s="403"/>
      <c r="AV420" s="403"/>
      <c r="AW420" s="403"/>
      <c r="AX420" s="403"/>
      <c r="AY420" s="403"/>
      <c r="AZ420" s="403"/>
      <c r="BA420" s="403"/>
      <c r="BB420" s="403"/>
      <c r="BC420" s="403"/>
      <c r="BD420" s="403"/>
      <c r="BE420" s="403"/>
      <c r="BF420" s="403"/>
      <c r="BG420" s="403"/>
      <c r="BH420" s="403"/>
      <c r="BI420" s="403"/>
      <c r="BJ420" s="403"/>
      <c r="BK420" s="403"/>
      <c r="BL420" s="403"/>
      <c r="BM420" s="403"/>
      <c r="BN420" s="403"/>
      <c r="BO420" s="403"/>
      <c r="BP420" s="403"/>
      <c r="BQ420" s="403"/>
      <c r="BR420" s="403"/>
      <c r="BS420" s="403"/>
      <c r="BT420" s="403"/>
      <c r="BU420" s="403"/>
      <c r="BV420" s="403"/>
      <c r="BW420" s="403"/>
      <c r="BX420" s="403"/>
      <c r="BY420" s="403"/>
      <c r="BZ420" s="403"/>
      <c r="CA420" s="403"/>
      <c r="CB420" s="403"/>
      <c r="CC420" s="403"/>
      <c r="CD420" s="403"/>
      <c r="CE420" s="403"/>
      <c r="CF420" s="403"/>
      <c r="CG420" s="403"/>
      <c r="CH420" s="403"/>
      <c r="CI420" s="403"/>
      <c r="CJ420" s="403"/>
      <c r="CK420" s="403"/>
      <c r="CL420" s="403"/>
      <c r="CM420" s="403"/>
      <c r="CN420" s="403"/>
      <c r="CO420" s="403"/>
      <c r="CP420" s="403"/>
      <c r="CQ420" s="403"/>
      <c r="CR420" s="403"/>
      <c r="CS420" s="403"/>
      <c r="CT420" s="403"/>
      <c r="CU420" s="403"/>
      <c r="CV420" s="403"/>
      <c r="CW420" s="403"/>
      <c r="CX420" s="403"/>
      <c r="CY420" s="403"/>
      <c r="CZ420" s="403"/>
      <c r="DA420" s="403"/>
      <c r="DB420" s="403"/>
      <c r="DC420" s="403"/>
      <c r="DD420" s="403"/>
      <c r="DE420" s="403"/>
      <c r="DF420" s="403"/>
      <c r="DG420" s="403"/>
      <c r="DH420" s="403"/>
      <c r="DI420" s="403"/>
      <c r="DJ420" s="403"/>
      <c r="DK420" s="403"/>
      <c r="DL420" s="403"/>
      <c r="DM420" s="403"/>
      <c r="DN420" s="403"/>
    </row>
    <row r="421" spans="5:118" s="15" customFormat="1" x14ac:dyDescent="0.2">
      <c r="E421" s="122"/>
      <c r="F421" s="122"/>
      <c r="N421" s="403"/>
      <c r="O421" s="403"/>
      <c r="P421" s="403"/>
      <c r="Q421" s="403"/>
      <c r="R421" s="403"/>
      <c r="S421" s="403"/>
      <c r="T421" s="403"/>
      <c r="U421" s="403"/>
      <c r="V421" s="403"/>
      <c r="W421" s="403"/>
      <c r="X421" s="403"/>
      <c r="Y421" s="403"/>
      <c r="Z421" s="403"/>
      <c r="AA421" s="403"/>
      <c r="AB421" s="403"/>
      <c r="AC421" s="564"/>
      <c r="AD421" s="403"/>
      <c r="AE421" s="403"/>
      <c r="AF421" s="403"/>
      <c r="AG421" s="403"/>
      <c r="AH421" s="403"/>
      <c r="AI421" s="403"/>
      <c r="AJ421" s="403"/>
      <c r="AK421" s="403"/>
      <c r="AL421" s="403"/>
      <c r="AM421" s="403"/>
      <c r="AN421" s="403"/>
      <c r="AO421" s="403"/>
      <c r="AP421" s="403"/>
      <c r="AQ421" s="403"/>
      <c r="AR421" s="403"/>
      <c r="AS421" s="403"/>
      <c r="AT421" s="403"/>
      <c r="AU421" s="403"/>
      <c r="AV421" s="403"/>
      <c r="AW421" s="403"/>
      <c r="AX421" s="403"/>
      <c r="AY421" s="403"/>
      <c r="AZ421" s="403"/>
      <c r="BA421" s="403"/>
      <c r="BB421" s="403"/>
      <c r="BC421" s="403"/>
      <c r="BD421" s="403"/>
      <c r="BE421" s="403"/>
      <c r="BF421" s="403"/>
      <c r="BG421" s="403"/>
      <c r="BH421" s="403"/>
      <c r="BI421" s="403"/>
      <c r="BJ421" s="403"/>
      <c r="BK421" s="403"/>
      <c r="BL421" s="403"/>
      <c r="BM421" s="403"/>
      <c r="BN421" s="403"/>
      <c r="BO421" s="403"/>
      <c r="BP421" s="403"/>
      <c r="BQ421" s="403"/>
      <c r="BR421" s="403"/>
      <c r="BS421" s="403"/>
      <c r="BT421" s="403"/>
      <c r="BU421" s="403"/>
      <c r="BV421" s="403"/>
      <c r="BW421" s="403"/>
      <c r="BX421" s="403"/>
      <c r="BY421" s="403"/>
      <c r="BZ421" s="403"/>
      <c r="CA421" s="403"/>
      <c r="CB421" s="403"/>
      <c r="CC421" s="403"/>
      <c r="CD421" s="403"/>
      <c r="CE421" s="403"/>
      <c r="CF421" s="403"/>
      <c r="CG421" s="403"/>
      <c r="CH421" s="403"/>
      <c r="CI421" s="403"/>
      <c r="CJ421" s="403"/>
      <c r="CK421" s="403"/>
      <c r="CL421" s="403"/>
      <c r="CM421" s="403"/>
      <c r="CN421" s="403"/>
      <c r="CO421" s="403"/>
      <c r="CP421" s="403"/>
      <c r="CQ421" s="403"/>
      <c r="CR421" s="403"/>
      <c r="CS421" s="403"/>
      <c r="CT421" s="403"/>
      <c r="CU421" s="403"/>
      <c r="CV421" s="403"/>
      <c r="CW421" s="403"/>
      <c r="CX421" s="403"/>
      <c r="CY421" s="403"/>
      <c r="CZ421" s="403"/>
      <c r="DA421" s="403"/>
      <c r="DB421" s="403"/>
      <c r="DC421" s="403"/>
      <c r="DD421" s="403"/>
      <c r="DE421" s="403"/>
      <c r="DF421" s="403"/>
      <c r="DG421" s="403"/>
      <c r="DH421" s="403"/>
      <c r="DI421" s="403"/>
      <c r="DJ421" s="403"/>
      <c r="DK421" s="403"/>
      <c r="DL421" s="403"/>
      <c r="DM421" s="403"/>
      <c r="DN421" s="403"/>
    </row>
    <row r="422" spans="5:118" s="15" customFormat="1" x14ac:dyDescent="0.2">
      <c r="E422" s="122"/>
      <c r="F422" s="122"/>
      <c r="N422" s="403"/>
      <c r="O422" s="403"/>
      <c r="P422" s="403"/>
      <c r="Q422" s="403"/>
      <c r="R422" s="403"/>
      <c r="S422" s="403"/>
      <c r="T422" s="403"/>
      <c r="U422" s="403"/>
      <c r="V422" s="403"/>
      <c r="W422" s="403"/>
      <c r="X422" s="403"/>
      <c r="Y422" s="403"/>
      <c r="Z422" s="403"/>
      <c r="AA422" s="403"/>
      <c r="AB422" s="403"/>
      <c r="AC422" s="564"/>
      <c r="AD422" s="403"/>
      <c r="AE422" s="403"/>
      <c r="AF422" s="403"/>
      <c r="AG422" s="403"/>
      <c r="AH422" s="403"/>
      <c r="AI422" s="403"/>
      <c r="AJ422" s="403"/>
      <c r="AK422" s="403"/>
      <c r="AL422" s="403"/>
      <c r="AM422" s="403"/>
      <c r="AN422" s="403"/>
      <c r="AO422" s="403"/>
      <c r="AP422" s="403"/>
      <c r="AQ422" s="403"/>
      <c r="AR422" s="403"/>
      <c r="AS422" s="403"/>
      <c r="AT422" s="403"/>
      <c r="AU422" s="403"/>
      <c r="AV422" s="403"/>
      <c r="AW422" s="403"/>
      <c r="AX422" s="403"/>
      <c r="AY422" s="403"/>
      <c r="AZ422" s="403"/>
      <c r="BA422" s="403"/>
      <c r="BB422" s="403"/>
      <c r="BC422" s="403"/>
      <c r="BD422" s="403"/>
      <c r="BE422" s="403"/>
      <c r="BF422" s="403"/>
      <c r="BG422" s="403"/>
      <c r="BH422" s="403"/>
      <c r="BI422" s="403"/>
      <c r="BJ422" s="403"/>
      <c r="BK422" s="403"/>
      <c r="BL422" s="403"/>
      <c r="BM422" s="403"/>
      <c r="BN422" s="403"/>
      <c r="BO422" s="403"/>
      <c r="BP422" s="403"/>
      <c r="BQ422" s="403"/>
      <c r="BR422" s="403"/>
      <c r="BS422" s="403"/>
      <c r="BT422" s="403"/>
      <c r="BU422" s="403"/>
      <c r="BV422" s="403"/>
      <c r="BW422" s="403"/>
      <c r="BX422" s="403"/>
      <c r="BY422" s="403"/>
      <c r="BZ422" s="403"/>
      <c r="CA422" s="403"/>
      <c r="CB422" s="403"/>
      <c r="CC422" s="403"/>
      <c r="CD422" s="403"/>
      <c r="CE422" s="403"/>
      <c r="CF422" s="403"/>
      <c r="CG422" s="403"/>
      <c r="CH422" s="403"/>
      <c r="CI422" s="403"/>
      <c r="CJ422" s="403"/>
      <c r="CK422" s="403"/>
      <c r="CL422" s="403"/>
      <c r="CM422" s="403"/>
      <c r="CN422" s="403"/>
      <c r="CO422" s="403"/>
      <c r="CP422" s="403"/>
      <c r="CQ422" s="403"/>
      <c r="CR422" s="403"/>
      <c r="CS422" s="403"/>
      <c r="CT422" s="403"/>
      <c r="CU422" s="403"/>
      <c r="CV422" s="403"/>
      <c r="CW422" s="403"/>
      <c r="CX422" s="403"/>
      <c r="CY422" s="403"/>
      <c r="CZ422" s="403"/>
      <c r="DA422" s="403"/>
      <c r="DB422" s="403"/>
      <c r="DC422" s="403"/>
      <c r="DD422" s="403"/>
      <c r="DE422" s="403"/>
      <c r="DF422" s="403"/>
      <c r="DG422" s="403"/>
      <c r="DH422" s="403"/>
      <c r="DI422" s="403"/>
      <c r="DJ422" s="403"/>
      <c r="DK422" s="403"/>
      <c r="DL422" s="403"/>
      <c r="DM422" s="403"/>
      <c r="DN422" s="403"/>
    </row>
    <row r="423" spans="5:118" s="15" customFormat="1" x14ac:dyDescent="0.2">
      <c r="E423" s="122"/>
      <c r="F423" s="122"/>
      <c r="N423" s="403"/>
      <c r="O423" s="403"/>
      <c r="P423" s="403"/>
      <c r="Q423" s="403"/>
      <c r="R423" s="403"/>
      <c r="S423" s="403"/>
      <c r="T423" s="403"/>
      <c r="U423" s="403"/>
      <c r="V423" s="403"/>
      <c r="W423" s="403"/>
      <c r="X423" s="403"/>
      <c r="Y423" s="403"/>
      <c r="Z423" s="403"/>
      <c r="AA423" s="403"/>
      <c r="AB423" s="403"/>
      <c r="AC423" s="564"/>
      <c r="AD423" s="403"/>
      <c r="AE423" s="403"/>
      <c r="AF423" s="403"/>
      <c r="AG423" s="403"/>
      <c r="AH423" s="403"/>
      <c r="AI423" s="403"/>
      <c r="AJ423" s="403"/>
      <c r="AK423" s="403"/>
      <c r="AL423" s="403"/>
      <c r="AM423" s="403"/>
      <c r="AN423" s="403"/>
      <c r="AO423" s="403"/>
      <c r="AP423" s="403"/>
      <c r="AQ423" s="403"/>
      <c r="AR423" s="403"/>
      <c r="AS423" s="403"/>
      <c r="AT423" s="403"/>
      <c r="AU423" s="403"/>
      <c r="AV423" s="403"/>
      <c r="AW423" s="403"/>
      <c r="AX423" s="403"/>
      <c r="AY423" s="403"/>
      <c r="AZ423" s="403"/>
      <c r="BA423" s="403"/>
      <c r="BB423" s="403"/>
      <c r="BC423" s="403"/>
      <c r="BD423" s="403"/>
      <c r="BE423" s="403"/>
      <c r="BF423" s="403"/>
      <c r="BG423" s="403"/>
      <c r="BH423" s="403"/>
      <c r="BI423" s="403"/>
      <c r="BJ423" s="403"/>
      <c r="BK423" s="403"/>
      <c r="BL423" s="403"/>
      <c r="BM423" s="403"/>
      <c r="BN423" s="403"/>
      <c r="BO423" s="403"/>
      <c r="BP423" s="403"/>
      <c r="BQ423" s="403"/>
      <c r="BR423" s="403"/>
      <c r="BS423" s="403"/>
      <c r="BT423" s="403"/>
      <c r="BU423" s="403"/>
      <c r="BV423" s="403"/>
      <c r="BW423" s="403"/>
      <c r="BX423" s="403"/>
      <c r="BY423" s="403"/>
      <c r="BZ423" s="403"/>
      <c r="CA423" s="403"/>
      <c r="CB423" s="403"/>
      <c r="CC423" s="403"/>
      <c r="CD423" s="403"/>
      <c r="CE423" s="403"/>
      <c r="CF423" s="403"/>
      <c r="CG423" s="403"/>
      <c r="CH423" s="403"/>
      <c r="CI423" s="403"/>
      <c r="CJ423" s="403"/>
      <c r="CK423" s="403"/>
      <c r="CL423" s="403"/>
      <c r="CM423" s="403"/>
      <c r="CN423" s="403"/>
      <c r="CO423" s="403"/>
      <c r="CP423" s="403"/>
      <c r="CQ423" s="403"/>
      <c r="CR423" s="403"/>
      <c r="CS423" s="403"/>
      <c r="CT423" s="403"/>
      <c r="CU423" s="403"/>
      <c r="CV423" s="403"/>
      <c r="CW423" s="403"/>
      <c r="CX423" s="403"/>
      <c r="CY423" s="403"/>
      <c r="CZ423" s="403"/>
      <c r="DA423" s="403"/>
      <c r="DB423" s="403"/>
      <c r="DC423" s="403"/>
      <c r="DD423" s="403"/>
      <c r="DE423" s="403"/>
      <c r="DF423" s="403"/>
      <c r="DG423" s="403"/>
      <c r="DH423" s="403"/>
      <c r="DI423" s="403"/>
      <c r="DJ423" s="403"/>
      <c r="DK423" s="403"/>
      <c r="DL423" s="403"/>
      <c r="DM423" s="403"/>
      <c r="DN423" s="403"/>
    </row>
    <row r="424" spans="5:118" s="15" customFormat="1" x14ac:dyDescent="0.2">
      <c r="E424" s="122"/>
      <c r="F424" s="122"/>
      <c r="N424" s="403"/>
      <c r="O424" s="403"/>
      <c r="P424" s="403"/>
      <c r="Q424" s="403"/>
      <c r="R424" s="403"/>
      <c r="S424" s="403"/>
      <c r="T424" s="403"/>
      <c r="U424" s="403"/>
      <c r="V424" s="403"/>
      <c r="W424" s="403"/>
      <c r="X424" s="403"/>
      <c r="Y424" s="403"/>
      <c r="Z424" s="403"/>
      <c r="AA424" s="403"/>
      <c r="AB424" s="403"/>
      <c r="AC424" s="564"/>
      <c r="AD424" s="403"/>
      <c r="AE424" s="403"/>
      <c r="AF424" s="403"/>
      <c r="AG424" s="403"/>
      <c r="AH424" s="403"/>
      <c r="AI424" s="403"/>
      <c r="AJ424" s="403"/>
      <c r="AK424" s="403"/>
      <c r="AL424" s="403"/>
      <c r="AM424" s="403"/>
      <c r="AN424" s="403"/>
      <c r="AO424" s="403"/>
      <c r="AP424" s="403"/>
      <c r="AQ424" s="403"/>
      <c r="AR424" s="403"/>
      <c r="AS424" s="403"/>
      <c r="AT424" s="403"/>
      <c r="AU424" s="403"/>
      <c r="AV424" s="403"/>
      <c r="AW424" s="403"/>
      <c r="AX424" s="403"/>
      <c r="AY424" s="403"/>
      <c r="AZ424" s="403"/>
      <c r="BA424" s="403"/>
      <c r="BB424" s="403"/>
      <c r="BC424" s="403"/>
      <c r="BD424" s="403"/>
      <c r="BE424" s="403"/>
      <c r="BF424" s="403"/>
      <c r="BG424" s="403"/>
      <c r="BH424" s="403"/>
      <c r="BI424" s="403"/>
      <c r="BJ424" s="403"/>
      <c r="BK424" s="403"/>
      <c r="BL424" s="403"/>
      <c r="BM424" s="403"/>
      <c r="BN424" s="403"/>
      <c r="BO424" s="403"/>
      <c r="BP424" s="403"/>
      <c r="BQ424" s="403"/>
      <c r="BR424" s="403"/>
      <c r="BS424" s="403"/>
      <c r="BT424" s="403"/>
      <c r="BU424" s="403"/>
      <c r="BV424" s="403"/>
      <c r="BW424" s="403"/>
      <c r="BX424" s="403"/>
      <c r="BY424" s="403"/>
      <c r="BZ424" s="403"/>
      <c r="CA424" s="403"/>
      <c r="CB424" s="403"/>
      <c r="CC424" s="403"/>
      <c r="CD424" s="403"/>
      <c r="CE424" s="403"/>
      <c r="CF424" s="403"/>
      <c r="CG424" s="403"/>
      <c r="CH424" s="403"/>
      <c r="CI424" s="403"/>
      <c r="CJ424" s="403"/>
      <c r="CK424" s="403"/>
      <c r="CL424" s="403"/>
      <c r="CM424" s="403"/>
      <c r="CN424" s="403"/>
      <c r="CO424" s="403"/>
      <c r="CP424" s="403"/>
      <c r="CQ424" s="403"/>
      <c r="CR424" s="403"/>
      <c r="CS424" s="403"/>
      <c r="CT424" s="403"/>
      <c r="CU424" s="403"/>
      <c r="CV424" s="403"/>
      <c r="CW424" s="403"/>
      <c r="CX424" s="403"/>
      <c r="CY424" s="403"/>
      <c r="CZ424" s="403"/>
      <c r="DA424" s="403"/>
      <c r="DB424" s="403"/>
      <c r="DC424" s="403"/>
      <c r="DD424" s="403"/>
      <c r="DE424" s="403"/>
      <c r="DF424" s="403"/>
      <c r="DG424" s="403"/>
      <c r="DH424" s="403"/>
      <c r="DI424" s="403"/>
      <c r="DJ424" s="403"/>
      <c r="DK424" s="403"/>
      <c r="DL424" s="403"/>
      <c r="DM424" s="403"/>
      <c r="DN424" s="403"/>
    </row>
    <row r="425" spans="5:118" s="15" customFormat="1" x14ac:dyDescent="0.2">
      <c r="E425" s="122"/>
      <c r="F425" s="122"/>
      <c r="N425" s="403"/>
      <c r="O425" s="403"/>
      <c r="P425" s="403"/>
      <c r="Q425" s="403"/>
      <c r="R425" s="403"/>
      <c r="S425" s="403"/>
      <c r="T425" s="403"/>
      <c r="U425" s="403"/>
      <c r="V425" s="403"/>
      <c r="W425" s="403"/>
      <c r="X425" s="403"/>
      <c r="Y425" s="403"/>
      <c r="Z425" s="403"/>
      <c r="AA425" s="403"/>
      <c r="AB425" s="403"/>
      <c r="AC425" s="564"/>
      <c r="AD425" s="403"/>
      <c r="AE425" s="403"/>
      <c r="AF425" s="403"/>
      <c r="AG425" s="403"/>
      <c r="AH425" s="403"/>
      <c r="AI425" s="403"/>
      <c r="AJ425" s="403"/>
      <c r="AK425" s="403"/>
      <c r="AL425" s="403"/>
      <c r="AM425" s="403"/>
      <c r="AN425" s="403"/>
      <c r="AO425" s="403"/>
      <c r="AP425" s="403"/>
      <c r="AQ425" s="403"/>
      <c r="AR425" s="403"/>
      <c r="AS425" s="403"/>
      <c r="AT425" s="403"/>
      <c r="AU425" s="403"/>
      <c r="AV425" s="403"/>
      <c r="AW425" s="403"/>
      <c r="AX425" s="403"/>
      <c r="AY425" s="403"/>
      <c r="AZ425" s="403"/>
      <c r="BA425" s="403"/>
      <c r="BB425" s="403"/>
      <c r="BC425" s="403"/>
      <c r="BD425" s="403"/>
      <c r="BE425" s="403"/>
      <c r="BF425" s="403"/>
      <c r="BG425" s="403"/>
      <c r="BH425" s="403"/>
      <c r="BI425" s="403"/>
      <c r="BJ425" s="403"/>
      <c r="BK425" s="403"/>
      <c r="BL425" s="403"/>
      <c r="BM425" s="403"/>
      <c r="BN425" s="403"/>
      <c r="BO425" s="403"/>
      <c r="BP425" s="403"/>
      <c r="BQ425" s="403"/>
      <c r="BR425" s="403"/>
      <c r="BS425" s="403"/>
      <c r="BT425" s="403"/>
      <c r="BU425" s="403"/>
      <c r="BV425" s="403"/>
      <c r="BW425" s="403"/>
      <c r="BX425" s="403"/>
      <c r="BY425" s="403"/>
      <c r="BZ425" s="403"/>
      <c r="CA425" s="403"/>
      <c r="CB425" s="403"/>
      <c r="CC425" s="403"/>
      <c r="CD425" s="403"/>
      <c r="CE425" s="403"/>
      <c r="CF425" s="403"/>
      <c r="CG425" s="403"/>
      <c r="CH425" s="403"/>
      <c r="CI425" s="403"/>
      <c r="CJ425" s="403"/>
      <c r="CK425" s="403"/>
      <c r="CL425" s="403"/>
      <c r="CM425" s="403"/>
      <c r="CN425" s="403"/>
      <c r="CO425" s="403"/>
      <c r="CP425" s="403"/>
      <c r="CQ425" s="403"/>
      <c r="CR425" s="403"/>
      <c r="CS425" s="403"/>
      <c r="CT425" s="403"/>
      <c r="CU425" s="403"/>
      <c r="CV425" s="403"/>
      <c r="CW425" s="403"/>
      <c r="CX425" s="403"/>
      <c r="CY425" s="403"/>
      <c r="CZ425" s="403"/>
      <c r="DA425" s="403"/>
      <c r="DB425" s="403"/>
      <c r="DC425" s="403"/>
      <c r="DD425" s="403"/>
      <c r="DE425" s="403"/>
      <c r="DF425" s="403"/>
      <c r="DG425" s="403"/>
      <c r="DH425" s="403"/>
      <c r="DI425" s="403"/>
      <c r="DJ425" s="403"/>
      <c r="DK425" s="403"/>
      <c r="DL425" s="403"/>
      <c r="DM425" s="403"/>
      <c r="DN425" s="403"/>
    </row>
    <row r="426" spans="5:118" s="15" customFormat="1" x14ac:dyDescent="0.2">
      <c r="E426" s="122"/>
      <c r="F426" s="122"/>
      <c r="N426" s="403"/>
      <c r="O426" s="403"/>
      <c r="P426" s="403"/>
      <c r="Q426" s="403"/>
      <c r="R426" s="403"/>
      <c r="S426" s="403"/>
      <c r="T426" s="403"/>
      <c r="U426" s="403"/>
      <c r="V426" s="403"/>
      <c r="W426" s="403"/>
      <c r="X426" s="403"/>
      <c r="Y426" s="403"/>
      <c r="Z426" s="403"/>
      <c r="AA426" s="403"/>
      <c r="AB426" s="403"/>
      <c r="AC426" s="564"/>
      <c r="AD426" s="403"/>
      <c r="AE426" s="403"/>
      <c r="AF426" s="403"/>
      <c r="AG426" s="403"/>
      <c r="AH426" s="403"/>
      <c r="AI426" s="403"/>
      <c r="AJ426" s="403"/>
      <c r="AK426" s="403"/>
      <c r="AL426" s="403"/>
      <c r="AM426" s="403"/>
      <c r="AN426" s="403"/>
      <c r="AO426" s="403"/>
      <c r="AP426" s="403"/>
      <c r="AQ426" s="403"/>
      <c r="AR426" s="403"/>
      <c r="AS426" s="403"/>
      <c r="AT426" s="403"/>
      <c r="AU426" s="403"/>
      <c r="AV426" s="403"/>
      <c r="AW426" s="403"/>
      <c r="AX426" s="403"/>
      <c r="AY426" s="403"/>
      <c r="AZ426" s="403"/>
      <c r="BA426" s="403"/>
      <c r="BB426" s="403"/>
      <c r="BC426" s="403"/>
      <c r="BD426" s="403"/>
      <c r="BE426" s="403"/>
      <c r="BF426" s="403"/>
      <c r="BG426" s="403"/>
      <c r="BH426" s="403"/>
      <c r="BI426" s="403"/>
      <c r="BJ426" s="403"/>
      <c r="BK426" s="403"/>
      <c r="BL426" s="403"/>
      <c r="BM426" s="403"/>
      <c r="BN426" s="403"/>
      <c r="BO426" s="403"/>
      <c r="BP426" s="403"/>
      <c r="BQ426" s="403"/>
      <c r="BR426" s="403"/>
      <c r="BS426" s="403"/>
      <c r="BT426" s="403"/>
      <c r="BU426" s="403"/>
      <c r="BV426" s="403"/>
      <c r="BW426" s="403"/>
      <c r="BX426" s="403"/>
      <c r="BY426" s="403"/>
      <c r="BZ426" s="403"/>
      <c r="CA426" s="403"/>
      <c r="CB426" s="403"/>
      <c r="CC426" s="403"/>
      <c r="CD426" s="403"/>
      <c r="CE426" s="403"/>
      <c r="CF426" s="403"/>
      <c r="CG426" s="403"/>
      <c r="CH426" s="403"/>
      <c r="CI426" s="403"/>
      <c r="CJ426" s="403"/>
      <c r="CK426" s="403"/>
      <c r="CL426" s="403"/>
      <c r="CM426" s="403"/>
      <c r="CN426" s="403"/>
      <c r="CO426" s="403"/>
      <c r="CP426" s="403"/>
      <c r="CQ426" s="403"/>
      <c r="CR426" s="403"/>
      <c r="CS426" s="403"/>
      <c r="CT426" s="403"/>
      <c r="CU426" s="403"/>
      <c r="CV426" s="403"/>
      <c r="CW426" s="403"/>
      <c r="CX426" s="403"/>
      <c r="CY426" s="403"/>
      <c r="CZ426" s="403"/>
      <c r="DA426" s="403"/>
      <c r="DB426" s="403"/>
      <c r="DC426" s="403"/>
      <c r="DD426" s="403"/>
      <c r="DE426" s="403"/>
      <c r="DF426" s="403"/>
      <c r="DG426" s="403"/>
      <c r="DH426" s="403"/>
      <c r="DI426" s="403"/>
      <c r="DJ426" s="403"/>
      <c r="DK426" s="403"/>
      <c r="DL426" s="403"/>
      <c r="DM426" s="403"/>
      <c r="DN426" s="403"/>
    </row>
    <row r="427" spans="5:118" s="15" customFormat="1" x14ac:dyDescent="0.2">
      <c r="E427" s="122"/>
      <c r="F427" s="122"/>
      <c r="N427" s="403"/>
      <c r="O427" s="403"/>
      <c r="P427" s="403"/>
      <c r="Q427" s="403"/>
      <c r="R427" s="403"/>
      <c r="S427" s="403"/>
      <c r="T427" s="403"/>
      <c r="U427" s="403"/>
      <c r="V427" s="403"/>
      <c r="W427" s="403"/>
      <c r="X427" s="403"/>
      <c r="Y427" s="403"/>
      <c r="Z427" s="403"/>
      <c r="AA427" s="403"/>
      <c r="AB427" s="403"/>
      <c r="AC427" s="564"/>
      <c r="AD427" s="403"/>
      <c r="AE427" s="403"/>
      <c r="AF427" s="403"/>
      <c r="AG427" s="403"/>
      <c r="AH427" s="403"/>
      <c r="AI427" s="403"/>
      <c r="AJ427" s="403"/>
      <c r="AK427" s="403"/>
      <c r="AL427" s="403"/>
      <c r="AM427" s="403"/>
      <c r="AN427" s="403"/>
      <c r="AO427" s="403"/>
      <c r="AP427" s="403"/>
      <c r="AQ427" s="403"/>
      <c r="AR427" s="403"/>
      <c r="AS427" s="403"/>
      <c r="AT427" s="403"/>
      <c r="AU427" s="403"/>
      <c r="AV427" s="403"/>
      <c r="AW427" s="403"/>
      <c r="AX427" s="403"/>
      <c r="AY427" s="403"/>
      <c r="AZ427" s="403"/>
      <c r="BA427" s="403"/>
      <c r="BB427" s="403"/>
      <c r="BC427" s="403"/>
      <c r="BD427" s="403"/>
      <c r="BE427" s="403"/>
      <c r="BF427" s="403"/>
      <c r="BG427" s="403"/>
      <c r="BH427" s="403"/>
      <c r="BI427" s="403"/>
      <c r="BJ427" s="403"/>
      <c r="BK427" s="403"/>
      <c r="BL427" s="403"/>
      <c r="BM427" s="403"/>
      <c r="BN427" s="403"/>
      <c r="BO427" s="403"/>
      <c r="BP427" s="403"/>
      <c r="BQ427" s="403"/>
      <c r="BR427" s="403"/>
      <c r="BS427" s="403"/>
      <c r="BT427" s="403"/>
      <c r="BU427" s="403"/>
      <c r="BV427" s="403"/>
      <c r="BW427" s="403"/>
      <c r="BX427" s="403"/>
      <c r="BY427" s="403"/>
      <c r="BZ427" s="403"/>
      <c r="CA427" s="403"/>
      <c r="CB427" s="403"/>
      <c r="CC427" s="403"/>
      <c r="CD427" s="403"/>
      <c r="CE427" s="403"/>
      <c r="CF427" s="403"/>
      <c r="CG427" s="403"/>
      <c r="CH427" s="403"/>
      <c r="CI427" s="403"/>
      <c r="CJ427" s="403"/>
      <c r="CK427" s="403"/>
      <c r="CL427" s="403"/>
      <c r="CM427" s="403"/>
      <c r="CN427" s="403"/>
      <c r="CO427" s="403"/>
      <c r="CP427" s="403"/>
      <c r="CQ427" s="403"/>
      <c r="CR427" s="403"/>
      <c r="CS427" s="403"/>
      <c r="CT427" s="403"/>
      <c r="CU427" s="403"/>
      <c r="CV427" s="403"/>
      <c r="CW427" s="403"/>
      <c r="CX427" s="403"/>
      <c r="CY427" s="403"/>
      <c r="CZ427" s="403"/>
      <c r="DA427" s="403"/>
      <c r="DB427" s="403"/>
      <c r="DC427" s="403"/>
      <c r="DD427" s="403"/>
      <c r="DE427" s="403"/>
      <c r="DF427" s="403"/>
      <c r="DG427" s="403"/>
      <c r="DH427" s="403"/>
      <c r="DI427" s="403"/>
      <c r="DJ427" s="403"/>
      <c r="DK427" s="403"/>
      <c r="DL427" s="403"/>
      <c r="DM427" s="403"/>
      <c r="DN427" s="403"/>
    </row>
    <row r="428" spans="5:118" s="15" customFormat="1" x14ac:dyDescent="0.2">
      <c r="E428" s="122"/>
      <c r="F428" s="122"/>
      <c r="N428" s="403"/>
      <c r="O428" s="403"/>
      <c r="P428" s="403"/>
      <c r="Q428" s="403"/>
      <c r="R428" s="403"/>
      <c r="S428" s="403"/>
      <c r="T428" s="403"/>
      <c r="U428" s="403"/>
      <c r="V428" s="403"/>
      <c r="W428" s="403"/>
      <c r="X428" s="403"/>
      <c r="Y428" s="403"/>
      <c r="Z428" s="403"/>
      <c r="AA428" s="403"/>
      <c r="AB428" s="403"/>
      <c r="AC428" s="564"/>
      <c r="AD428" s="403"/>
      <c r="AE428" s="403"/>
      <c r="AF428" s="403"/>
      <c r="AG428" s="403"/>
      <c r="AH428" s="403"/>
      <c r="AI428" s="403"/>
      <c r="AJ428" s="403"/>
      <c r="AK428" s="403"/>
      <c r="AL428" s="403"/>
      <c r="AM428" s="403"/>
      <c r="AN428" s="403"/>
      <c r="AO428" s="403"/>
      <c r="AP428" s="403"/>
      <c r="AQ428" s="403"/>
      <c r="AR428" s="403"/>
      <c r="AS428" s="403"/>
      <c r="AT428" s="403"/>
      <c r="AU428" s="403"/>
      <c r="AV428" s="403"/>
      <c r="AW428" s="403"/>
      <c r="AX428" s="403"/>
      <c r="AY428" s="403"/>
      <c r="AZ428" s="403"/>
      <c r="BA428" s="403"/>
      <c r="BB428" s="403"/>
      <c r="BC428" s="403"/>
      <c r="BD428" s="403"/>
      <c r="BE428" s="403"/>
      <c r="BF428" s="403"/>
      <c r="BG428" s="403"/>
      <c r="BH428" s="403"/>
      <c r="BI428" s="403"/>
      <c r="BJ428" s="403"/>
      <c r="BK428" s="403"/>
      <c r="BL428" s="403"/>
      <c r="BM428" s="403"/>
      <c r="BN428" s="403"/>
      <c r="BO428" s="403"/>
      <c r="BP428" s="403"/>
      <c r="BQ428" s="403"/>
      <c r="BR428" s="403"/>
      <c r="BS428" s="403"/>
      <c r="BT428" s="403"/>
      <c r="BU428" s="403"/>
      <c r="BV428" s="403"/>
      <c r="BW428" s="403"/>
      <c r="BX428" s="403"/>
      <c r="BY428" s="403"/>
      <c r="BZ428" s="403"/>
      <c r="CA428" s="403"/>
      <c r="CB428" s="403"/>
      <c r="CC428" s="403"/>
      <c r="CD428" s="403"/>
      <c r="CE428" s="403"/>
      <c r="CF428" s="403"/>
      <c r="CG428" s="403"/>
      <c r="CH428" s="403"/>
      <c r="CI428" s="403"/>
      <c r="CJ428" s="403"/>
      <c r="CK428" s="403"/>
      <c r="CL428" s="403"/>
      <c r="CM428" s="403"/>
      <c r="CN428" s="403"/>
      <c r="CO428" s="403"/>
      <c r="CP428" s="403"/>
      <c r="CQ428" s="403"/>
      <c r="CR428" s="403"/>
      <c r="CS428" s="403"/>
      <c r="CT428" s="403"/>
      <c r="CU428" s="403"/>
      <c r="CV428" s="403"/>
      <c r="CW428" s="403"/>
      <c r="CX428" s="403"/>
      <c r="CY428" s="403"/>
      <c r="CZ428" s="403"/>
      <c r="DA428" s="403"/>
      <c r="DB428" s="403"/>
      <c r="DC428" s="403"/>
      <c r="DD428" s="403"/>
      <c r="DE428" s="403"/>
      <c r="DF428" s="403"/>
      <c r="DG428" s="403"/>
      <c r="DH428" s="403"/>
      <c r="DI428" s="403"/>
      <c r="DJ428" s="403"/>
      <c r="DK428" s="403"/>
      <c r="DL428" s="403"/>
      <c r="DM428" s="403"/>
      <c r="DN428" s="403"/>
    </row>
    <row r="429" spans="5:118" s="15" customFormat="1" x14ac:dyDescent="0.2">
      <c r="E429" s="122"/>
      <c r="F429" s="122"/>
      <c r="N429" s="403"/>
      <c r="O429" s="403"/>
      <c r="P429" s="403"/>
      <c r="Q429" s="403"/>
      <c r="R429" s="403"/>
      <c r="S429" s="403"/>
      <c r="T429" s="403"/>
      <c r="U429" s="403"/>
      <c r="V429" s="403"/>
      <c r="W429" s="403"/>
      <c r="X429" s="403"/>
      <c r="Y429" s="403"/>
      <c r="Z429" s="403"/>
      <c r="AA429" s="403"/>
      <c r="AB429" s="403"/>
      <c r="AC429" s="564"/>
      <c r="AD429" s="403"/>
      <c r="AE429" s="403"/>
      <c r="AF429" s="403"/>
      <c r="AG429" s="403"/>
      <c r="AH429" s="403"/>
      <c r="AI429" s="403"/>
      <c r="AJ429" s="403"/>
      <c r="AK429" s="403"/>
      <c r="AL429" s="403"/>
      <c r="AM429" s="403"/>
      <c r="AN429" s="403"/>
      <c r="AO429" s="403"/>
      <c r="AP429" s="403"/>
      <c r="AQ429" s="403"/>
      <c r="AR429" s="403"/>
      <c r="AS429" s="403"/>
      <c r="AT429" s="403"/>
      <c r="AU429" s="403"/>
      <c r="AV429" s="403"/>
      <c r="AW429" s="403"/>
      <c r="AX429" s="403"/>
      <c r="AY429" s="403"/>
      <c r="AZ429" s="403"/>
      <c r="BA429" s="403"/>
      <c r="BB429" s="403"/>
      <c r="BC429" s="403"/>
      <c r="BD429" s="403"/>
      <c r="BE429" s="403"/>
      <c r="BF429" s="403"/>
      <c r="BG429" s="403"/>
      <c r="BH429" s="403"/>
      <c r="BI429" s="403"/>
      <c r="BJ429" s="403"/>
      <c r="BK429" s="403"/>
      <c r="BL429" s="403"/>
      <c r="BM429" s="403"/>
      <c r="BN429" s="403"/>
      <c r="BO429" s="403"/>
      <c r="BP429" s="403"/>
      <c r="BQ429" s="403"/>
      <c r="BR429" s="403"/>
      <c r="BS429" s="403"/>
      <c r="BT429" s="403"/>
      <c r="BU429" s="403"/>
      <c r="BV429" s="403"/>
      <c r="BW429" s="403"/>
      <c r="BX429" s="403"/>
      <c r="BY429" s="403"/>
      <c r="BZ429" s="403"/>
      <c r="CA429" s="403"/>
      <c r="CB429" s="403"/>
      <c r="CC429" s="403"/>
      <c r="CD429" s="403"/>
      <c r="CE429" s="403"/>
      <c r="CF429" s="403"/>
      <c r="CG429" s="403"/>
      <c r="CH429" s="403"/>
      <c r="CI429" s="403"/>
      <c r="CJ429" s="403"/>
      <c r="CK429" s="403"/>
      <c r="CL429" s="403"/>
      <c r="CM429" s="403"/>
      <c r="CN429" s="403"/>
      <c r="CO429" s="403"/>
      <c r="CP429" s="403"/>
      <c r="CQ429" s="403"/>
      <c r="CR429" s="403"/>
      <c r="CS429" s="403"/>
      <c r="CT429" s="403"/>
      <c r="CU429" s="403"/>
      <c r="CV429" s="403"/>
      <c r="CW429" s="403"/>
      <c r="CX429" s="403"/>
      <c r="CY429" s="403"/>
      <c r="CZ429" s="403"/>
      <c r="DA429" s="403"/>
      <c r="DB429" s="403"/>
      <c r="DC429" s="403"/>
      <c r="DD429" s="403"/>
      <c r="DE429" s="403"/>
      <c r="DF429" s="403"/>
      <c r="DG429" s="403"/>
      <c r="DH429" s="403"/>
      <c r="DI429" s="403"/>
      <c r="DJ429" s="403"/>
      <c r="DK429" s="403"/>
      <c r="DL429" s="403"/>
      <c r="DM429" s="403"/>
      <c r="DN429" s="403"/>
    </row>
    <row r="430" spans="5:118" s="15" customFormat="1" x14ac:dyDescent="0.2">
      <c r="E430" s="122"/>
      <c r="F430" s="122"/>
      <c r="N430" s="403"/>
      <c r="O430" s="403"/>
      <c r="P430" s="403"/>
      <c r="Q430" s="403"/>
      <c r="R430" s="403"/>
      <c r="S430" s="403"/>
      <c r="T430" s="403"/>
      <c r="U430" s="403"/>
      <c r="V430" s="403"/>
      <c r="W430" s="403"/>
      <c r="X430" s="403"/>
      <c r="Y430" s="403"/>
      <c r="Z430" s="403"/>
      <c r="AA430" s="403"/>
      <c r="AB430" s="403"/>
      <c r="AC430" s="564"/>
      <c r="AD430" s="403"/>
      <c r="AE430" s="403"/>
      <c r="AF430" s="403"/>
      <c r="AG430" s="403"/>
      <c r="AH430" s="403"/>
      <c r="AI430" s="403"/>
      <c r="AJ430" s="403"/>
      <c r="AK430" s="403"/>
      <c r="AL430" s="403"/>
      <c r="AM430" s="403"/>
      <c r="AN430" s="403"/>
      <c r="AO430" s="403"/>
      <c r="AP430" s="403"/>
      <c r="AQ430" s="403"/>
      <c r="AR430" s="403"/>
      <c r="AS430" s="403"/>
      <c r="AT430" s="403"/>
      <c r="AU430" s="403"/>
      <c r="AV430" s="403"/>
      <c r="AW430" s="403"/>
      <c r="AX430" s="403"/>
      <c r="AY430" s="403"/>
      <c r="AZ430" s="403"/>
      <c r="BA430" s="403"/>
      <c r="BB430" s="403"/>
      <c r="BC430" s="403"/>
      <c r="BD430" s="403"/>
      <c r="BE430" s="403"/>
      <c r="BF430" s="403"/>
      <c r="BG430" s="403"/>
      <c r="BH430" s="403"/>
      <c r="BI430" s="403"/>
      <c r="BJ430" s="403"/>
      <c r="BK430" s="403"/>
      <c r="BL430" s="403"/>
      <c r="BM430" s="403"/>
      <c r="BN430" s="403"/>
      <c r="BO430" s="403"/>
      <c r="BP430" s="403"/>
      <c r="BQ430" s="403"/>
      <c r="BR430" s="403"/>
      <c r="BS430" s="403"/>
      <c r="BT430" s="403"/>
      <c r="BU430" s="403"/>
      <c r="BV430" s="403"/>
      <c r="BW430" s="403"/>
      <c r="BX430" s="403"/>
      <c r="BY430" s="403"/>
      <c r="BZ430" s="403"/>
      <c r="CA430" s="403"/>
      <c r="CB430" s="403"/>
      <c r="CC430" s="403"/>
      <c r="CD430" s="403"/>
      <c r="CE430" s="403"/>
      <c r="CF430" s="403"/>
      <c r="CG430" s="403"/>
      <c r="CH430" s="403"/>
      <c r="CI430" s="403"/>
      <c r="CJ430" s="403"/>
      <c r="CK430" s="403"/>
      <c r="CL430" s="403"/>
      <c r="CM430" s="403"/>
      <c r="CN430" s="403"/>
      <c r="CO430" s="403"/>
      <c r="CP430" s="403"/>
      <c r="CQ430" s="403"/>
      <c r="CR430" s="403"/>
      <c r="CS430" s="403"/>
      <c r="CT430" s="403"/>
      <c r="CU430" s="403"/>
      <c r="CV430" s="403"/>
      <c r="CW430" s="403"/>
      <c r="CX430" s="403"/>
      <c r="CY430" s="403"/>
      <c r="CZ430" s="403"/>
      <c r="DA430" s="403"/>
      <c r="DB430" s="403"/>
      <c r="DC430" s="403"/>
      <c r="DD430" s="403"/>
      <c r="DE430" s="403"/>
      <c r="DF430" s="403"/>
      <c r="DG430" s="403"/>
      <c r="DH430" s="403"/>
      <c r="DI430" s="403"/>
      <c r="DJ430" s="403"/>
      <c r="DK430" s="403"/>
      <c r="DL430" s="403"/>
      <c r="DM430" s="403"/>
      <c r="DN430" s="403"/>
    </row>
    <row r="431" spans="5:118" s="15" customFormat="1" x14ac:dyDescent="0.2">
      <c r="E431" s="122"/>
      <c r="F431" s="122"/>
      <c r="N431" s="403"/>
      <c r="O431" s="403"/>
      <c r="P431" s="403"/>
      <c r="Q431" s="403"/>
      <c r="R431" s="403"/>
      <c r="S431" s="403"/>
      <c r="T431" s="403"/>
      <c r="U431" s="403"/>
      <c r="V431" s="403"/>
      <c r="W431" s="403"/>
      <c r="X431" s="403"/>
      <c r="Y431" s="403"/>
      <c r="Z431" s="403"/>
      <c r="AA431" s="403"/>
      <c r="AB431" s="403"/>
      <c r="AC431" s="564"/>
      <c r="AD431" s="403"/>
      <c r="AE431" s="403"/>
      <c r="AF431" s="403"/>
      <c r="AG431" s="403"/>
      <c r="AH431" s="403"/>
      <c r="AI431" s="403"/>
      <c r="AJ431" s="403"/>
      <c r="AK431" s="403"/>
      <c r="AL431" s="403"/>
      <c r="AM431" s="403"/>
      <c r="AN431" s="403"/>
      <c r="AO431" s="403"/>
      <c r="AP431" s="403"/>
      <c r="AQ431" s="403"/>
      <c r="AR431" s="403"/>
      <c r="AS431" s="403"/>
      <c r="AT431" s="403"/>
      <c r="AU431" s="403"/>
      <c r="AV431" s="403"/>
      <c r="AW431" s="403"/>
      <c r="AX431" s="403"/>
      <c r="AY431" s="403"/>
      <c r="AZ431" s="403"/>
      <c r="BA431" s="403"/>
      <c r="BB431" s="403"/>
      <c r="BC431" s="403"/>
      <c r="BD431" s="403"/>
      <c r="BE431" s="403"/>
      <c r="BF431" s="403"/>
      <c r="BG431" s="403"/>
      <c r="BH431" s="403"/>
      <c r="BI431" s="403"/>
      <c r="BJ431" s="403"/>
      <c r="BK431" s="403"/>
      <c r="BL431" s="403"/>
      <c r="BM431" s="403"/>
      <c r="BN431" s="403"/>
      <c r="BO431" s="403"/>
      <c r="BP431" s="403"/>
      <c r="BQ431" s="403"/>
      <c r="BR431" s="403"/>
      <c r="BS431" s="403"/>
      <c r="BT431" s="403"/>
      <c r="BU431" s="403"/>
      <c r="BV431" s="403"/>
      <c r="BW431" s="403"/>
      <c r="BX431" s="403"/>
      <c r="BY431" s="403"/>
      <c r="BZ431" s="403"/>
      <c r="CA431" s="403"/>
      <c r="CB431" s="403"/>
      <c r="CC431" s="403"/>
      <c r="CD431" s="403"/>
      <c r="CE431" s="403"/>
      <c r="CF431" s="403"/>
      <c r="CG431" s="403"/>
      <c r="CH431" s="403"/>
      <c r="CI431" s="403"/>
      <c r="CJ431" s="403"/>
      <c r="CK431" s="403"/>
      <c r="CL431" s="403"/>
      <c r="CM431" s="403"/>
      <c r="CN431" s="403"/>
      <c r="CO431" s="403"/>
      <c r="CP431" s="403"/>
      <c r="CQ431" s="403"/>
      <c r="CR431" s="403"/>
      <c r="CS431" s="403"/>
      <c r="CT431" s="403"/>
      <c r="CU431" s="403"/>
      <c r="CV431" s="403"/>
      <c r="CW431" s="403"/>
      <c r="CX431" s="403"/>
      <c r="CY431" s="403"/>
      <c r="CZ431" s="403"/>
      <c r="DA431" s="403"/>
      <c r="DB431" s="403"/>
      <c r="DC431" s="403"/>
      <c r="DD431" s="403"/>
      <c r="DE431" s="403"/>
      <c r="DF431" s="403"/>
      <c r="DG431" s="403"/>
      <c r="DH431" s="403"/>
      <c r="DI431" s="403"/>
      <c r="DJ431" s="403"/>
      <c r="DK431" s="403"/>
      <c r="DL431" s="403"/>
      <c r="DM431" s="403"/>
      <c r="DN431" s="403"/>
    </row>
    <row r="432" spans="5:118" s="15" customFormat="1" x14ac:dyDescent="0.2">
      <c r="E432" s="122"/>
      <c r="F432" s="122"/>
      <c r="N432" s="403"/>
      <c r="O432" s="403"/>
      <c r="P432" s="403"/>
      <c r="Q432" s="403"/>
      <c r="R432" s="403"/>
      <c r="S432" s="403"/>
      <c r="T432" s="403"/>
      <c r="U432" s="403"/>
      <c r="V432" s="403"/>
      <c r="W432" s="403"/>
      <c r="X432" s="403"/>
      <c r="Y432" s="403"/>
      <c r="Z432" s="403"/>
      <c r="AA432" s="403"/>
      <c r="AB432" s="403"/>
      <c r="AC432" s="564"/>
      <c r="AD432" s="403"/>
      <c r="AE432" s="403"/>
      <c r="AF432" s="403"/>
      <c r="AG432" s="403"/>
      <c r="AH432" s="403"/>
      <c r="AI432" s="403"/>
      <c r="AJ432" s="403"/>
      <c r="AK432" s="403"/>
      <c r="AL432" s="403"/>
      <c r="AM432" s="403"/>
      <c r="AN432" s="403"/>
      <c r="AO432" s="403"/>
      <c r="AP432" s="403"/>
      <c r="AQ432" s="403"/>
      <c r="AR432" s="403"/>
      <c r="AS432" s="403"/>
      <c r="AT432" s="403"/>
      <c r="AU432" s="403"/>
      <c r="AV432" s="403"/>
      <c r="AW432" s="403"/>
      <c r="AX432" s="403"/>
      <c r="AY432" s="403"/>
      <c r="AZ432" s="403"/>
      <c r="BA432" s="403"/>
      <c r="BB432" s="403"/>
      <c r="BC432" s="403"/>
      <c r="BD432" s="403"/>
      <c r="BE432" s="403"/>
      <c r="BF432" s="403"/>
      <c r="BG432" s="403"/>
      <c r="BH432" s="403"/>
      <c r="BI432" s="403"/>
      <c r="BJ432" s="403"/>
      <c r="BK432" s="403"/>
      <c r="BL432" s="403"/>
      <c r="BM432" s="403"/>
      <c r="BN432" s="403"/>
      <c r="BO432" s="403"/>
      <c r="BP432" s="403"/>
      <c r="BQ432" s="403"/>
      <c r="BR432" s="403"/>
      <c r="BS432" s="403"/>
      <c r="BT432" s="403"/>
      <c r="BU432" s="403"/>
      <c r="BV432" s="403"/>
      <c r="BW432" s="403"/>
      <c r="BX432" s="403"/>
      <c r="BY432" s="403"/>
      <c r="BZ432" s="403"/>
      <c r="CA432" s="403"/>
      <c r="CB432" s="403"/>
      <c r="CC432" s="403"/>
      <c r="CD432" s="403"/>
      <c r="CE432" s="403"/>
      <c r="CF432" s="403"/>
      <c r="CG432" s="403"/>
      <c r="CH432" s="403"/>
      <c r="CI432" s="403"/>
      <c r="CJ432" s="403"/>
      <c r="CK432" s="403"/>
      <c r="CL432" s="403"/>
      <c r="CM432" s="403"/>
      <c r="CN432" s="403"/>
      <c r="CO432" s="403"/>
      <c r="CP432" s="403"/>
      <c r="CQ432" s="403"/>
      <c r="CR432" s="403"/>
      <c r="CS432" s="403"/>
      <c r="CT432" s="403"/>
      <c r="CU432" s="403"/>
      <c r="CV432" s="403"/>
      <c r="CW432" s="403"/>
      <c r="CX432" s="403"/>
      <c r="CY432" s="403"/>
      <c r="CZ432" s="403"/>
      <c r="DA432" s="403"/>
      <c r="DB432" s="403"/>
      <c r="DC432" s="403"/>
      <c r="DD432" s="403"/>
      <c r="DE432" s="403"/>
      <c r="DF432" s="403"/>
      <c r="DG432" s="403"/>
      <c r="DH432" s="403"/>
      <c r="DI432" s="403"/>
      <c r="DJ432" s="403"/>
      <c r="DK432" s="403"/>
      <c r="DL432" s="403"/>
      <c r="DM432" s="403"/>
      <c r="DN432" s="403"/>
    </row>
    <row r="433" spans="5:118" s="15" customFormat="1" x14ac:dyDescent="0.2">
      <c r="E433" s="122"/>
      <c r="F433" s="122"/>
      <c r="N433" s="403"/>
      <c r="O433" s="403"/>
      <c r="P433" s="403"/>
      <c r="Q433" s="403"/>
      <c r="R433" s="403"/>
      <c r="S433" s="403"/>
      <c r="T433" s="403"/>
      <c r="U433" s="403"/>
      <c r="V433" s="403"/>
      <c r="W433" s="403"/>
      <c r="X433" s="403"/>
      <c r="Y433" s="403"/>
      <c r="Z433" s="403"/>
      <c r="AA433" s="403"/>
      <c r="AB433" s="403"/>
      <c r="AC433" s="564"/>
      <c r="AD433" s="403"/>
      <c r="AE433" s="403"/>
      <c r="AF433" s="403"/>
      <c r="AG433" s="403"/>
      <c r="AH433" s="403"/>
      <c r="AI433" s="403"/>
      <c r="AJ433" s="403"/>
      <c r="AK433" s="403"/>
      <c r="AL433" s="403"/>
      <c r="AM433" s="403"/>
      <c r="AN433" s="403"/>
      <c r="AO433" s="403"/>
      <c r="AP433" s="403"/>
      <c r="AQ433" s="403"/>
      <c r="AR433" s="403"/>
      <c r="AS433" s="403"/>
      <c r="AT433" s="403"/>
      <c r="AU433" s="403"/>
      <c r="AV433" s="403"/>
      <c r="AW433" s="403"/>
      <c r="AX433" s="403"/>
      <c r="AY433" s="403"/>
      <c r="AZ433" s="403"/>
      <c r="BA433" s="403"/>
      <c r="BB433" s="403"/>
      <c r="BC433" s="403"/>
      <c r="BD433" s="403"/>
      <c r="BE433" s="403"/>
      <c r="BF433" s="403"/>
      <c r="BG433" s="403"/>
      <c r="BH433" s="403"/>
      <c r="BI433" s="403"/>
      <c r="BJ433" s="403"/>
      <c r="BK433" s="403"/>
      <c r="BL433" s="403"/>
      <c r="BM433" s="403"/>
      <c r="BN433" s="403"/>
      <c r="BO433" s="403"/>
      <c r="BP433" s="403"/>
      <c r="BQ433" s="403"/>
      <c r="BR433" s="403"/>
      <c r="BS433" s="403"/>
      <c r="BT433" s="403"/>
      <c r="BU433" s="403"/>
      <c r="BV433" s="403"/>
      <c r="BW433" s="403"/>
      <c r="BX433" s="403"/>
      <c r="BY433" s="403"/>
      <c r="BZ433" s="403"/>
      <c r="CA433" s="403"/>
      <c r="CB433" s="403"/>
      <c r="CC433" s="403"/>
      <c r="CD433" s="403"/>
      <c r="CE433" s="403"/>
      <c r="CF433" s="403"/>
      <c r="CG433" s="403"/>
      <c r="CH433" s="403"/>
      <c r="CI433" s="403"/>
      <c r="CJ433" s="403"/>
      <c r="CK433" s="403"/>
      <c r="CL433" s="403"/>
      <c r="CM433" s="403"/>
      <c r="CN433" s="403"/>
      <c r="CO433" s="403"/>
      <c r="CP433" s="403"/>
      <c r="CQ433" s="403"/>
      <c r="CR433" s="403"/>
      <c r="CS433" s="403"/>
      <c r="CT433" s="403"/>
      <c r="CU433" s="403"/>
      <c r="CV433" s="403"/>
      <c r="CW433" s="403"/>
      <c r="CX433" s="403"/>
      <c r="CY433" s="403"/>
      <c r="CZ433" s="403"/>
      <c r="DA433" s="403"/>
      <c r="DB433" s="403"/>
      <c r="DC433" s="403"/>
      <c r="DD433" s="403"/>
      <c r="DE433" s="403"/>
      <c r="DF433" s="403"/>
      <c r="DG433" s="403"/>
      <c r="DH433" s="403"/>
      <c r="DI433" s="403"/>
      <c r="DJ433" s="403"/>
      <c r="DK433" s="403"/>
      <c r="DL433" s="403"/>
      <c r="DM433" s="403"/>
      <c r="DN433" s="403"/>
    </row>
    <row r="434" spans="5:118" s="15" customFormat="1" x14ac:dyDescent="0.2">
      <c r="E434" s="122"/>
      <c r="F434" s="122"/>
      <c r="N434" s="403"/>
      <c r="O434" s="403"/>
      <c r="P434" s="403"/>
      <c r="Q434" s="403"/>
      <c r="R434" s="403"/>
      <c r="S434" s="403"/>
      <c r="T434" s="403"/>
      <c r="U434" s="403"/>
      <c r="V434" s="403"/>
      <c r="W434" s="403"/>
      <c r="X434" s="403"/>
      <c r="Y434" s="403"/>
      <c r="Z434" s="403"/>
      <c r="AA434" s="403"/>
      <c r="AB434" s="403"/>
      <c r="AC434" s="564"/>
      <c r="AD434" s="403"/>
      <c r="AE434" s="403"/>
      <c r="AF434" s="403"/>
      <c r="AG434" s="403"/>
      <c r="AH434" s="403"/>
      <c r="AI434" s="403"/>
      <c r="AJ434" s="403"/>
      <c r="AK434" s="403"/>
      <c r="AL434" s="403"/>
      <c r="AM434" s="403"/>
      <c r="AN434" s="403"/>
      <c r="AO434" s="403"/>
      <c r="AP434" s="403"/>
      <c r="AQ434" s="403"/>
      <c r="AR434" s="403"/>
      <c r="AS434" s="403"/>
      <c r="AT434" s="403"/>
      <c r="AU434" s="403"/>
      <c r="AV434" s="403"/>
      <c r="AW434" s="403"/>
      <c r="AX434" s="403"/>
      <c r="AY434" s="403"/>
      <c r="AZ434" s="403"/>
      <c r="BA434" s="403"/>
      <c r="BB434" s="403"/>
      <c r="BC434" s="403"/>
      <c r="BD434" s="403"/>
      <c r="BE434" s="403"/>
      <c r="BF434" s="403"/>
      <c r="BG434" s="403"/>
      <c r="BH434" s="403"/>
      <c r="BI434" s="403"/>
      <c r="BJ434" s="403"/>
      <c r="BK434" s="403"/>
      <c r="BL434" s="403"/>
      <c r="BM434" s="403"/>
      <c r="BN434" s="403"/>
      <c r="BO434" s="403"/>
      <c r="BP434" s="403"/>
      <c r="BQ434" s="403"/>
      <c r="BR434" s="403"/>
      <c r="BS434" s="403"/>
      <c r="BT434" s="403"/>
      <c r="BU434" s="403"/>
      <c r="BV434" s="403"/>
      <c r="BW434" s="403"/>
      <c r="BX434" s="403"/>
      <c r="BY434" s="403"/>
      <c r="BZ434" s="403"/>
      <c r="CA434" s="403"/>
      <c r="CB434" s="403"/>
      <c r="CC434" s="403"/>
      <c r="CD434" s="403"/>
      <c r="CE434" s="403"/>
      <c r="CF434" s="403"/>
      <c r="CG434" s="403"/>
      <c r="CH434" s="403"/>
      <c r="CI434" s="403"/>
      <c r="CJ434" s="403"/>
      <c r="CK434" s="403"/>
      <c r="CL434" s="403"/>
      <c r="CM434" s="403"/>
      <c r="CN434" s="403"/>
      <c r="CO434" s="403"/>
      <c r="CP434" s="403"/>
      <c r="CQ434" s="403"/>
      <c r="CR434" s="403"/>
      <c r="CS434" s="403"/>
      <c r="CT434" s="403"/>
      <c r="CU434" s="403"/>
      <c r="CV434" s="403"/>
      <c r="CW434" s="403"/>
      <c r="CX434" s="403"/>
      <c r="CY434" s="403"/>
      <c r="CZ434" s="403"/>
      <c r="DA434" s="403"/>
      <c r="DB434" s="403"/>
      <c r="DC434" s="403"/>
      <c r="DD434" s="403"/>
      <c r="DE434" s="403"/>
      <c r="DF434" s="403"/>
      <c r="DG434" s="403"/>
      <c r="DH434" s="403"/>
      <c r="DI434" s="403"/>
      <c r="DJ434" s="403"/>
      <c r="DK434" s="403"/>
      <c r="DL434" s="403"/>
      <c r="DM434" s="403"/>
      <c r="DN434" s="403"/>
    </row>
    <row r="435" spans="5:118" s="15" customFormat="1" x14ac:dyDescent="0.2">
      <c r="E435" s="122"/>
      <c r="F435" s="122"/>
      <c r="N435" s="403"/>
      <c r="O435" s="403"/>
      <c r="P435" s="403"/>
      <c r="Q435" s="403"/>
      <c r="R435" s="403"/>
      <c r="S435" s="403"/>
      <c r="T435" s="403"/>
      <c r="U435" s="403"/>
      <c r="V435" s="403"/>
      <c r="W435" s="403"/>
      <c r="X435" s="403"/>
      <c r="Y435" s="403"/>
      <c r="Z435" s="403"/>
      <c r="AA435" s="403"/>
      <c r="AB435" s="403"/>
      <c r="AC435" s="564"/>
      <c r="AD435" s="403"/>
      <c r="AE435" s="403"/>
      <c r="AF435" s="403"/>
      <c r="AG435" s="403"/>
      <c r="AH435" s="403"/>
      <c r="AI435" s="403"/>
      <c r="AJ435" s="403"/>
      <c r="AK435" s="403"/>
      <c r="AL435" s="403"/>
      <c r="AM435" s="403"/>
      <c r="AN435" s="403"/>
      <c r="AO435" s="403"/>
      <c r="AP435" s="403"/>
      <c r="AQ435" s="403"/>
      <c r="AR435" s="403"/>
      <c r="AS435" s="403"/>
      <c r="AT435" s="403"/>
      <c r="AU435" s="403"/>
      <c r="AV435" s="403"/>
      <c r="AW435" s="403"/>
      <c r="AX435" s="403"/>
      <c r="AY435" s="403"/>
      <c r="AZ435" s="403"/>
      <c r="BA435" s="403"/>
      <c r="BB435" s="403"/>
      <c r="BC435" s="403"/>
      <c r="BD435" s="403"/>
      <c r="BE435" s="403"/>
      <c r="BF435" s="403"/>
      <c r="BG435" s="403"/>
      <c r="BH435" s="403"/>
      <c r="BI435" s="403"/>
      <c r="BJ435" s="403"/>
      <c r="BK435" s="403"/>
      <c r="BL435" s="403"/>
      <c r="BM435" s="403"/>
      <c r="BN435" s="403"/>
      <c r="BO435" s="403"/>
      <c r="BP435" s="403"/>
      <c r="BQ435" s="403"/>
      <c r="BR435" s="403"/>
      <c r="BS435" s="403"/>
      <c r="BT435" s="403"/>
      <c r="BU435" s="403"/>
      <c r="BV435" s="403"/>
      <c r="BW435" s="403"/>
      <c r="BX435" s="403"/>
      <c r="BY435" s="403"/>
      <c r="BZ435" s="403"/>
      <c r="CA435" s="403"/>
      <c r="CB435" s="403"/>
      <c r="CC435" s="403"/>
      <c r="CD435" s="403"/>
      <c r="CE435" s="403"/>
      <c r="CF435" s="403"/>
      <c r="CG435" s="403"/>
      <c r="CH435" s="403"/>
      <c r="CI435" s="403"/>
      <c r="CJ435" s="403"/>
      <c r="CK435" s="403"/>
      <c r="CL435" s="403"/>
      <c r="CM435" s="403"/>
      <c r="CN435" s="403"/>
      <c r="CO435" s="403"/>
      <c r="CP435" s="403"/>
      <c r="CQ435" s="403"/>
      <c r="CR435" s="403"/>
      <c r="CS435" s="403"/>
      <c r="CT435" s="403"/>
      <c r="CU435" s="403"/>
      <c r="CV435" s="403"/>
      <c r="CW435" s="403"/>
      <c r="CX435" s="403"/>
      <c r="CY435" s="403"/>
      <c r="CZ435" s="403"/>
      <c r="DA435" s="403"/>
      <c r="DB435" s="403"/>
      <c r="DC435" s="403"/>
      <c r="DD435" s="403"/>
      <c r="DE435" s="403"/>
      <c r="DF435" s="403"/>
      <c r="DG435" s="403"/>
      <c r="DH435" s="403"/>
      <c r="DI435" s="403"/>
      <c r="DJ435" s="403"/>
      <c r="DK435" s="403"/>
      <c r="DL435" s="403"/>
      <c r="DM435" s="403"/>
      <c r="DN435" s="403"/>
    </row>
    <row r="436" spans="5:118" s="15" customFormat="1" x14ac:dyDescent="0.2">
      <c r="E436" s="122"/>
      <c r="F436" s="122"/>
      <c r="N436" s="403"/>
      <c r="O436" s="403"/>
      <c r="P436" s="403"/>
      <c r="Q436" s="403"/>
      <c r="R436" s="403"/>
      <c r="S436" s="403"/>
      <c r="T436" s="403"/>
      <c r="U436" s="403"/>
      <c r="V436" s="403"/>
      <c r="W436" s="403"/>
      <c r="X436" s="403"/>
      <c r="Y436" s="403"/>
      <c r="Z436" s="403"/>
      <c r="AA436" s="403"/>
      <c r="AB436" s="403"/>
      <c r="AC436" s="564"/>
      <c r="AD436" s="403"/>
      <c r="AE436" s="403"/>
      <c r="AF436" s="403"/>
      <c r="AG436" s="403"/>
      <c r="AH436" s="403"/>
      <c r="AI436" s="403"/>
      <c r="AJ436" s="403"/>
      <c r="AK436" s="403"/>
      <c r="AL436" s="403"/>
      <c r="AM436" s="403"/>
      <c r="AN436" s="403"/>
      <c r="AO436" s="403"/>
      <c r="AP436" s="403"/>
      <c r="AQ436" s="403"/>
      <c r="AR436" s="403"/>
      <c r="AS436" s="403"/>
      <c r="AT436" s="403"/>
      <c r="AU436" s="403"/>
      <c r="AV436" s="403"/>
      <c r="AW436" s="403"/>
      <c r="AX436" s="403"/>
      <c r="AY436" s="403"/>
      <c r="AZ436" s="403"/>
      <c r="BA436" s="403"/>
      <c r="BB436" s="403"/>
      <c r="BC436" s="403"/>
      <c r="BD436" s="403"/>
      <c r="BE436" s="403"/>
      <c r="BF436" s="403"/>
      <c r="BG436" s="403"/>
      <c r="BH436" s="403"/>
      <c r="BI436" s="403"/>
      <c r="BJ436" s="403"/>
      <c r="BK436" s="403"/>
      <c r="BL436" s="403"/>
      <c r="BM436" s="403"/>
      <c r="BN436" s="403"/>
      <c r="BO436" s="403"/>
      <c r="BP436" s="403"/>
      <c r="BQ436" s="403"/>
      <c r="BR436" s="403"/>
      <c r="BS436" s="403"/>
      <c r="BT436" s="403"/>
      <c r="BU436" s="403"/>
      <c r="BV436" s="403"/>
      <c r="BW436" s="403"/>
      <c r="BX436" s="403"/>
      <c r="BY436" s="403"/>
      <c r="BZ436" s="403"/>
      <c r="CA436" s="403"/>
      <c r="CB436" s="403"/>
      <c r="CC436" s="403"/>
      <c r="CD436" s="403"/>
      <c r="CE436" s="403"/>
      <c r="CF436" s="403"/>
      <c r="CG436" s="403"/>
      <c r="CH436" s="403"/>
      <c r="CI436" s="403"/>
      <c r="CJ436" s="403"/>
      <c r="CK436" s="403"/>
      <c r="CL436" s="403"/>
      <c r="CM436" s="403"/>
      <c r="CN436" s="403"/>
      <c r="CO436" s="403"/>
      <c r="CP436" s="403"/>
      <c r="CQ436" s="403"/>
      <c r="CR436" s="403"/>
      <c r="CS436" s="403"/>
      <c r="CT436" s="403"/>
      <c r="CU436" s="403"/>
      <c r="CV436" s="403"/>
      <c r="CW436" s="403"/>
      <c r="CX436" s="403"/>
      <c r="CY436" s="403"/>
      <c r="CZ436" s="403"/>
      <c r="DA436" s="403"/>
      <c r="DB436" s="403"/>
      <c r="DC436" s="403"/>
      <c r="DD436" s="403"/>
      <c r="DE436" s="403"/>
      <c r="DF436" s="403"/>
      <c r="DG436" s="403"/>
      <c r="DH436" s="403"/>
      <c r="DI436" s="403"/>
      <c r="DJ436" s="403"/>
      <c r="DK436" s="403"/>
      <c r="DL436" s="403"/>
      <c r="DM436" s="403"/>
      <c r="DN436" s="403"/>
    </row>
    <row r="437" spans="5:118" s="15" customFormat="1" x14ac:dyDescent="0.2">
      <c r="E437" s="122"/>
      <c r="F437" s="122"/>
      <c r="N437" s="403"/>
      <c r="O437" s="403"/>
      <c r="P437" s="403"/>
      <c r="Q437" s="403"/>
      <c r="R437" s="403"/>
      <c r="S437" s="403"/>
      <c r="T437" s="403"/>
      <c r="U437" s="403"/>
      <c r="V437" s="403"/>
      <c r="W437" s="403"/>
      <c r="X437" s="403"/>
      <c r="Y437" s="403"/>
      <c r="Z437" s="403"/>
      <c r="AA437" s="403"/>
      <c r="AB437" s="403"/>
      <c r="AC437" s="564"/>
      <c r="AD437" s="403"/>
      <c r="AE437" s="403"/>
      <c r="AF437" s="403"/>
      <c r="AG437" s="403"/>
      <c r="AH437" s="403"/>
      <c r="AI437" s="403"/>
      <c r="AJ437" s="403"/>
      <c r="AK437" s="403"/>
      <c r="AL437" s="403"/>
      <c r="AM437" s="403"/>
      <c r="AN437" s="403"/>
      <c r="AO437" s="403"/>
      <c r="AP437" s="403"/>
      <c r="AQ437" s="403"/>
      <c r="AR437" s="403"/>
      <c r="AS437" s="403"/>
      <c r="AT437" s="403"/>
      <c r="AU437" s="403"/>
      <c r="AV437" s="403"/>
      <c r="AW437" s="403"/>
      <c r="AX437" s="403"/>
      <c r="AY437" s="403"/>
      <c r="AZ437" s="403"/>
      <c r="BA437" s="403"/>
      <c r="BB437" s="403"/>
      <c r="BC437" s="403"/>
      <c r="BD437" s="403"/>
      <c r="BE437" s="403"/>
      <c r="BF437" s="403"/>
      <c r="BG437" s="403"/>
      <c r="BH437" s="403"/>
      <c r="BI437" s="403"/>
      <c r="BJ437" s="403"/>
      <c r="BK437" s="403"/>
      <c r="BL437" s="403"/>
      <c r="BM437" s="403"/>
      <c r="BN437" s="403"/>
      <c r="BO437" s="403"/>
      <c r="BP437" s="403"/>
      <c r="BQ437" s="403"/>
      <c r="BR437" s="403"/>
      <c r="BS437" s="403"/>
      <c r="BT437" s="403"/>
      <c r="BU437" s="403"/>
      <c r="BV437" s="403"/>
      <c r="BW437" s="403"/>
      <c r="BX437" s="403"/>
      <c r="BY437" s="403"/>
      <c r="BZ437" s="403"/>
      <c r="CA437" s="403"/>
      <c r="CB437" s="403"/>
      <c r="CC437" s="403"/>
      <c r="CD437" s="403"/>
      <c r="CE437" s="403"/>
      <c r="CF437" s="403"/>
      <c r="CG437" s="403"/>
      <c r="CH437" s="403"/>
      <c r="CI437" s="403"/>
      <c r="CJ437" s="403"/>
      <c r="CK437" s="403"/>
      <c r="CL437" s="403"/>
      <c r="CM437" s="403"/>
      <c r="CN437" s="403"/>
      <c r="CO437" s="403"/>
      <c r="CP437" s="403"/>
      <c r="CQ437" s="403"/>
      <c r="CR437" s="403"/>
      <c r="CS437" s="403"/>
      <c r="CT437" s="403"/>
      <c r="CU437" s="403"/>
      <c r="CV437" s="403"/>
      <c r="CW437" s="403"/>
      <c r="CX437" s="403"/>
      <c r="CY437" s="403"/>
      <c r="CZ437" s="403"/>
      <c r="DA437" s="403"/>
      <c r="DB437" s="403"/>
      <c r="DC437" s="403"/>
      <c r="DD437" s="403"/>
      <c r="DE437" s="403"/>
      <c r="DF437" s="403"/>
      <c r="DG437" s="403"/>
      <c r="DH437" s="403"/>
      <c r="DI437" s="403"/>
      <c r="DJ437" s="403"/>
      <c r="DK437" s="403"/>
      <c r="DL437" s="403"/>
      <c r="DM437" s="403"/>
      <c r="DN437" s="403"/>
    </row>
    <row r="438" spans="5:118" s="15" customFormat="1" x14ac:dyDescent="0.2">
      <c r="E438" s="122"/>
      <c r="F438" s="122"/>
      <c r="N438" s="403"/>
      <c r="O438" s="403"/>
      <c r="P438" s="403"/>
      <c r="Q438" s="403"/>
      <c r="R438" s="403"/>
      <c r="S438" s="403"/>
      <c r="T438" s="403"/>
      <c r="U438" s="403"/>
      <c r="V438" s="403"/>
      <c r="W438" s="403"/>
      <c r="X438" s="403"/>
      <c r="Y438" s="403"/>
      <c r="Z438" s="403"/>
      <c r="AA438" s="403"/>
      <c r="AB438" s="403"/>
      <c r="AC438" s="564"/>
      <c r="AD438" s="403"/>
      <c r="AE438" s="403"/>
      <c r="AF438" s="403"/>
      <c r="AG438" s="403"/>
      <c r="AH438" s="403"/>
      <c r="AI438" s="403"/>
      <c r="AJ438" s="403"/>
      <c r="AK438" s="403"/>
      <c r="AL438" s="403"/>
      <c r="AM438" s="403"/>
      <c r="AN438" s="403"/>
      <c r="AO438" s="403"/>
      <c r="AP438" s="403"/>
      <c r="AQ438" s="403"/>
      <c r="AR438" s="403"/>
      <c r="AS438" s="403"/>
      <c r="AT438" s="403"/>
      <c r="AU438" s="403"/>
      <c r="AV438" s="403"/>
      <c r="AW438" s="403"/>
      <c r="AX438" s="403"/>
      <c r="AY438" s="403"/>
      <c r="AZ438" s="403"/>
      <c r="BA438" s="403"/>
      <c r="BB438" s="403"/>
      <c r="BC438" s="403"/>
      <c r="BD438" s="403"/>
      <c r="BE438" s="403"/>
      <c r="BF438" s="403"/>
      <c r="BG438" s="403"/>
      <c r="BH438" s="403"/>
      <c r="BI438" s="403"/>
      <c r="BJ438" s="403"/>
      <c r="BK438" s="403"/>
      <c r="BL438" s="403"/>
      <c r="BM438" s="403"/>
      <c r="BN438" s="403"/>
      <c r="BO438" s="403"/>
      <c r="BP438" s="403"/>
      <c r="BQ438" s="403"/>
      <c r="BR438" s="403"/>
      <c r="BS438" s="403"/>
      <c r="BT438" s="403"/>
      <c r="BU438" s="403"/>
      <c r="BV438" s="403"/>
      <c r="BW438" s="403"/>
      <c r="BX438" s="403"/>
      <c r="BY438" s="403"/>
      <c r="BZ438" s="403"/>
      <c r="CA438" s="403"/>
      <c r="CB438" s="403"/>
      <c r="CC438" s="403"/>
      <c r="CD438" s="403"/>
      <c r="CE438" s="403"/>
      <c r="CF438" s="403"/>
      <c r="CG438" s="403"/>
      <c r="CH438" s="403"/>
      <c r="CI438" s="403"/>
      <c r="CJ438" s="403"/>
      <c r="CK438" s="403"/>
      <c r="CL438" s="403"/>
      <c r="CM438" s="403"/>
      <c r="CN438" s="403"/>
      <c r="CO438" s="403"/>
      <c r="CP438" s="403"/>
      <c r="CQ438" s="403"/>
      <c r="CR438" s="403"/>
      <c r="CS438" s="403"/>
      <c r="CT438" s="403"/>
      <c r="CU438" s="403"/>
      <c r="CV438" s="403"/>
      <c r="CW438" s="403"/>
      <c r="CX438" s="403"/>
      <c r="CY438" s="403"/>
      <c r="CZ438" s="403"/>
      <c r="DA438" s="403"/>
      <c r="DB438" s="403"/>
      <c r="DC438" s="403"/>
      <c r="DD438" s="403"/>
      <c r="DE438" s="403"/>
      <c r="DF438" s="403"/>
      <c r="DG438" s="403"/>
      <c r="DH438" s="403"/>
      <c r="DI438" s="403"/>
      <c r="DJ438" s="403"/>
      <c r="DK438" s="403"/>
      <c r="DL438" s="403"/>
      <c r="DM438" s="403"/>
      <c r="DN438" s="403"/>
    </row>
    <row r="439" spans="5:118" s="15" customFormat="1" x14ac:dyDescent="0.2">
      <c r="E439" s="122"/>
      <c r="F439" s="122"/>
      <c r="N439" s="403"/>
      <c r="O439" s="403"/>
      <c r="P439" s="403"/>
      <c r="Q439" s="403"/>
      <c r="R439" s="403"/>
      <c r="S439" s="403"/>
      <c r="T439" s="403"/>
      <c r="U439" s="403"/>
      <c r="V439" s="403"/>
      <c r="W439" s="403"/>
      <c r="X439" s="403"/>
      <c r="Y439" s="403"/>
      <c r="Z439" s="403"/>
      <c r="AA439" s="403"/>
      <c r="AB439" s="403"/>
      <c r="AC439" s="564"/>
      <c r="AD439" s="403"/>
      <c r="AE439" s="403"/>
      <c r="AF439" s="403"/>
      <c r="AG439" s="403"/>
      <c r="AH439" s="403"/>
      <c r="AI439" s="403"/>
      <c r="AJ439" s="403"/>
      <c r="AK439" s="403"/>
      <c r="AL439" s="403"/>
      <c r="AM439" s="403"/>
      <c r="AN439" s="403"/>
      <c r="AO439" s="403"/>
      <c r="AP439" s="403"/>
      <c r="AQ439" s="403"/>
      <c r="AR439" s="403"/>
      <c r="AS439" s="403"/>
      <c r="AT439" s="403"/>
      <c r="AU439" s="403"/>
      <c r="AV439" s="403"/>
      <c r="AW439" s="403"/>
      <c r="AX439" s="403"/>
      <c r="AY439" s="403"/>
      <c r="AZ439" s="403"/>
      <c r="BA439" s="403"/>
      <c r="BB439" s="403"/>
      <c r="BC439" s="403"/>
      <c r="BD439" s="403"/>
      <c r="BE439" s="403"/>
      <c r="BF439" s="403"/>
      <c r="BG439" s="403"/>
      <c r="BH439" s="403"/>
      <c r="BI439" s="403"/>
      <c r="BJ439" s="403"/>
      <c r="BK439" s="403"/>
      <c r="BL439" s="403"/>
      <c r="BM439" s="403"/>
      <c r="BN439" s="403"/>
      <c r="BO439" s="403"/>
      <c r="BP439" s="403"/>
      <c r="BQ439" s="403"/>
      <c r="BR439" s="403"/>
      <c r="BS439" s="403"/>
      <c r="BT439" s="403"/>
      <c r="BU439" s="403"/>
      <c r="BV439" s="403"/>
      <c r="BW439" s="403"/>
      <c r="BX439" s="403"/>
      <c r="BY439" s="403"/>
      <c r="BZ439" s="403"/>
      <c r="CA439" s="403"/>
      <c r="CB439" s="403"/>
      <c r="CC439" s="403"/>
      <c r="CD439" s="403"/>
      <c r="CE439" s="403"/>
      <c r="CF439" s="403"/>
      <c r="CG439" s="403"/>
      <c r="CH439" s="403"/>
      <c r="CI439" s="403"/>
      <c r="CJ439" s="403"/>
      <c r="CK439" s="403"/>
      <c r="CL439" s="403"/>
      <c r="CM439" s="403"/>
      <c r="CN439" s="403"/>
      <c r="CO439" s="403"/>
      <c r="CP439" s="403"/>
      <c r="CQ439" s="403"/>
      <c r="CR439" s="403"/>
      <c r="CS439" s="403"/>
      <c r="CT439" s="403"/>
      <c r="CU439" s="403"/>
      <c r="CV439" s="403"/>
      <c r="CW439" s="403"/>
      <c r="CX439" s="403"/>
      <c r="CY439" s="403"/>
      <c r="CZ439" s="403"/>
      <c r="DA439" s="403"/>
      <c r="DB439" s="403"/>
      <c r="DC439" s="403"/>
      <c r="DD439" s="403"/>
      <c r="DE439" s="403"/>
      <c r="DF439" s="403"/>
      <c r="DG439" s="403"/>
      <c r="DH439" s="403"/>
      <c r="DI439" s="403"/>
      <c r="DJ439" s="403"/>
      <c r="DK439" s="403"/>
      <c r="DL439" s="403"/>
      <c r="DM439" s="403"/>
      <c r="DN439" s="403"/>
    </row>
    <row r="440" spans="5:118" s="15" customFormat="1" x14ac:dyDescent="0.2">
      <c r="E440" s="122"/>
      <c r="F440" s="122"/>
      <c r="N440" s="403"/>
      <c r="O440" s="403"/>
      <c r="P440" s="403"/>
      <c r="Q440" s="403"/>
      <c r="R440" s="403"/>
      <c r="S440" s="403"/>
      <c r="T440" s="403"/>
      <c r="U440" s="403"/>
      <c r="V440" s="403"/>
      <c r="W440" s="403"/>
      <c r="X440" s="403"/>
      <c r="Y440" s="403"/>
      <c r="Z440" s="403"/>
      <c r="AA440" s="403"/>
      <c r="AB440" s="403"/>
      <c r="AC440" s="564"/>
      <c r="AD440" s="403"/>
      <c r="AE440" s="403"/>
      <c r="AF440" s="403"/>
      <c r="AG440" s="403"/>
      <c r="AH440" s="403"/>
      <c r="AI440" s="403"/>
      <c r="AJ440" s="403"/>
      <c r="AK440" s="403"/>
      <c r="AL440" s="403"/>
      <c r="AM440" s="403"/>
      <c r="AN440" s="403"/>
      <c r="AO440" s="403"/>
      <c r="AP440" s="403"/>
      <c r="AQ440" s="403"/>
      <c r="AR440" s="403"/>
      <c r="AS440" s="403"/>
      <c r="AT440" s="403"/>
      <c r="AU440" s="403"/>
      <c r="AV440" s="403"/>
      <c r="AW440" s="403"/>
      <c r="AX440" s="403"/>
      <c r="AY440" s="403"/>
      <c r="AZ440" s="403"/>
      <c r="BA440" s="403"/>
      <c r="BB440" s="403"/>
      <c r="BC440" s="403"/>
      <c r="BD440" s="403"/>
      <c r="BE440" s="403"/>
      <c r="BF440" s="403"/>
      <c r="BG440" s="403"/>
      <c r="BH440" s="403"/>
      <c r="BI440" s="403"/>
      <c r="BJ440" s="403"/>
      <c r="BK440" s="403"/>
      <c r="BL440" s="403"/>
      <c r="BM440" s="403"/>
      <c r="BN440" s="403"/>
      <c r="BO440" s="403"/>
      <c r="BP440" s="403"/>
      <c r="BQ440" s="403"/>
      <c r="BR440" s="403"/>
      <c r="BS440" s="403"/>
      <c r="BT440" s="403"/>
      <c r="BU440" s="403"/>
      <c r="BV440" s="403"/>
      <c r="BW440" s="403"/>
      <c r="BX440" s="403"/>
      <c r="BY440" s="403"/>
      <c r="BZ440" s="403"/>
      <c r="CA440" s="403"/>
      <c r="CB440" s="403"/>
      <c r="CC440" s="403"/>
      <c r="CD440" s="403"/>
      <c r="CE440" s="403"/>
      <c r="CF440" s="403"/>
      <c r="CG440" s="403"/>
      <c r="CH440" s="403"/>
      <c r="CI440" s="403"/>
      <c r="CJ440" s="403"/>
      <c r="CK440" s="403"/>
      <c r="CL440" s="403"/>
      <c r="CM440" s="403"/>
      <c r="CN440" s="403"/>
      <c r="CO440" s="403"/>
      <c r="CP440" s="403"/>
      <c r="CQ440" s="403"/>
      <c r="CR440" s="403"/>
      <c r="CS440" s="403"/>
      <c r="CT440" s="403"/>
      <c r="CU440" s="403"/>
      <c r="CV440" s="403"/>
      <c r="CW440" s="403"/>
      <c r="CX440" s="403"/>
      <c r="CY440" s="403"/>
      <c r="CZ440" s="403"/>
      <c r="DA440" s="403"/>
      <c r="DB440" s="403"/>
      <c r="DC440" s="403"/>
      <c r="DD440" s="403"/>
      <c r="DE440" s="403"/>
      <c r="DF440" s="403"/>
      <c r="DG440" s="403"/>
      <c r="DH440" s="403"/>
      <c r="DI440" s="403"/>
      <c r="DJ440" s="403"/>
      <c r="DK440" s="403"/>
      <c r="DL440" s="403"/>
      <c r="DM440" s="403"/>
      <c r="DN440" s="403"/>
    </row>
    <row r="441" spans="5:118" s="15" customFormat="1" x14ac:dyDescent="0.2">
      <c r="E441" s="122"/>
      <c r="F441" s="122"/>
      <c r="N441" s="403"/>
      <c r="O441" s="403"/>
      <c r="P441" s="403"/>
      <c r="Q441" s="403"/>
      <c r="R441" s="403"/>
      <c r="S441" s="403"/>
      <c r="T441" s="403"/>
      <c r="U441" s="403"/>
      <c r="V441" s="403"/>
      <c r="W441" s="403"/>
      <c r="X441" s="403"/>
      <c r="Y441" s="403"/>
      <c r="Z441" s="403"/>
      <c r="AA441" s="403"/>
      <c r="AB441" s="403"/>
      <c r="AC441" s="564"/>
      <c r="AD441" s="403"/>
      <c r="AE441" s="403"/>
      <c r="AF441" s="403"/>
      <c r="AG441" s="403"/>
      <c r="AH441" s="403"/>
      <c r="AI441" s="403"/>
      <c r="AJ441" s="403"/>
      <c r="AK441" s="403"/>
      <c r="AL441" s="403"/>
      <c r="AM441" s="403"/>
      <c r="AN441" s="403"/>
      <c r="AO441" s="403"/>
      <c r="AP441" s="403"/>
      <c r="AQ441" s="403"/>
      <c r="AR441" s="403"/>
      <c r="AS441" s="403"/>
      <c r="AT441" s="403"/>
      <c r="AU441" s="403"/>
      <c r="AV441" s="403"/>
      <c r="AW441" s="403"/>
      <c r="AX441" s="403"/>
      <c r="AY441" s="403"/>
      <c r="AZ441" s="403"/>
      <c r="BA441" s="403"/>
      <c r="BB441" s="403"/>
      <c r="BC441" s="403"/>
      <c r="BD441" s="403"/>
      <c r="BE441" s="403"/>
      <c r="BF441" s="403"/>
      <c r="BG441" s="403"/>
      <c r="BH441" s="403"/>
      <c r="BI441" s="403"/>
      <c r="BJ441" s="403"/>
      <c r="BK441" s="403"/>
      <c r="BL441" s="403"/>
      <c r="BM441" s="403"/>
      <c r="BN441" s="403"/>
      <c r="BO441" s="403"/>
      <c r="BP441" s="403"/>
      <c r="BQ441" s="403"/>
      <c r="BR441" s="403"/>
      <c r="BS441" s="403"/>
      <c r="BT441" s="403"/>
      <c r="BU441" s="403"/>
      <c r="BV441" s="403"/>
      <c r="BW441" s="403"/>
      <c r="BX441" s="403"/>
      <c r="BY441" s="403"/>
      <c r="BZ441" s="403"/>
      <c r="CA441" s="403"/>
      <c r="CB441" s="403"/>
      <c r="CC441" s="403"/>
      <c r="CD441" s="403"/>
      <c r="CE441" s="403"/>
      <c r="CF441" s="403"/>
      <c r="CG441" s="403"/>
      <c r="CH441" s="403"/>
      <c r="CI441" s="403"/>
      <c r="CJ441" s="403"/>
      <c r="CK441" s="403"/>
      <c r="CL441" s="403"/>
      <c r="CM441" s="403"/>
      <c r="CN441" s="403"/>
      <c r="CO441" s="403"/>
      <c r="CP441" s="403"/>
      <c r="CQ441" s="403"/>
      <c r="CR441" s="403"/>
      <c r="CS441" s="403"/>
      <c r="CT441" s="403"/>
      <c r="CU441" s="403"/>
      <c r="CV441" s="403"/>
      <c r="CW441" s="403"/>
      <c r="CX441" s="403"/>
      <c r="CY441" s="403"/>
      <c r="CZ441" s="403"/>
      <c r="DA441" s="403"/>
      <c r="DB441" s="403"/>
      <c r="DC441" s="403"/>
      <c r="DD441" s="403"/>
      <c r="DE441" s="403"/>
      <c r="DF441" s="403"/>
      <c r="DG441" s="403"/>
      <c r="DH441" s="403"/>
      <c r="DI441" s="403"/>
      <c r="DJ441" s="403"/>
      <c r="DK441" s="403"/>
      <c r="DL441" s="403"/>
      <c r="DM441" s="403"/>
      <c r="DN441" s="403"/>
    </row>
    <row r="442" spans="5:118" s="15" customFormat="1" x14ac:dyDescent="0.2">
      <c r="E442" s="122"/>
      <c r="F442" s="122"/>
      <c r="N442" s="403"/>
      <c r="O442" s="403"/>
      <c r="P442" s="403"/>
      <c r="Q442" s="403"/>
      <c r="R442" s="403"/>
      <c r="S442" s="403"/>
      <c r="T442" s="403"/>
      <c r="U442" s="403"/>
      <c r="V442" s="403"/>
      <c r="W442" s="403"/>
      <c r="X442" s="403"/>
      <c r="Y442" s="403"/>
      <c r="Z442" s="403"/>
      <c r="AA442" s="403"/>
      <c r="AB442" s="403"/>
      <c r="AC442" s="564"/>
      <c r="AD442" s="403"/>
      <c r="AE442" s="403"/>
      <c r="AF442" s="403"/>
      <c r="AG442" s="403"/>
      <c r="AH442" s="403"/>
      <c r="AI442" s="403"/>
      <c r="AJ442" s="403"/>
      <c r="AK442" s="403"/>
      <c r="AL442" s="403"/>
      <c r="AM442" s="403"/>
      <c r="AN442" s="403"/>
      <c r="AO442" s="403"/>
      <c r="AP442" s="403"/>
      <c r="AQ442" s="403"/>
      <c r="AR442" s="403"/>
      <c r="AS442" s="403"/>
      <c r="AT442" s="403"/>
      <c r="AU442" s="403"/>
      <c r="AV442" s="403"/>
      <c r="AW442" s="403"/>
      <c r="AX442" s="403"/>
      <c r="AY442" s="403"/>
      <c r="AZ442" s="403"/>
      <c r="BA442" s="403"/>
      <c r="BB442" s="403"/>
      <c r="BC442" s="403"/>
      <c r="BD442" s="403"/>
      <c r="BE442" s="403"/>
      <c r="BF442" s="403"/>
      <c r="BG442" s="403"/>
      <c r="BH442" s="403"/>
      <c r="BI442" s="403"/>
      <c r="BJ442" s="403"/>
      <c r="BK442" s="403"/>
      <c r="BL442" s="403"/>
      <c r="BM442" s="403"/>
      <c r="BN442" s="403"/>
      <c r="BO442" s="403"/>
      <c r="BP442" s="403"/>
      <c r="BQ442" s="403"/>
      <c r="BR442" s="403"/>
      <c r="BS442" s="403"/>
      <c r="BT442" s="403"/>
      <c r="BU442" s="403"/>
      <c r="BV442" s="403"/>
      <c r="BW442" s="403"/>
      <c r="BX442" s="403"/>
      <c r="BY442" s="403"/>
      <c r="BZ442" s="403"/>
      <c r="CA442" s="403"/>
      <c r="CB442" s="403"/>
      <c r="CC442" s="403"/>
      <c r="CD442" s="403"/>
      <c r="CE442" s="403"/>
      <c r="CF442" s="403"/>
      <c r="CG442" s="403"/>
      <c r="CH442" s="403"/>
      <c r="CI442" s="403"/>
      <c r="CJ442" s="403"/>
      <c r="CK442" s="403"/>
      <c r="CL442" s="403"/>
      <c r="CM442" s="403"/>
      <c r="CN442" s="403"/>
      <c r="CO442" s="403"/>
      <c r="CP442" s="403"/>
      <c r="CQ442" s="403"/>
      <c r="CR442" s="403"/>
      <c r="CS442" s="403"/>
      <c r="CT442" s="403"/>
      <c r="CU442" s="403"/>
      <c r="CV442" s="403"/>
      <c r="CW442" s="403"/>
      <c r="CX442" s="403"/>
      <c r="CY442" s="403"/>
      <c r="CZ442" s="403"/>
      <c r="DA442" s="403"/>
      <c r="DB442" s="403"/>
      <c r="DC442" s="403"/>
      <c r="DD442" s="403"/>
      <c r="DE442" s="403"/>
      <c r="DF442" s="403"/>
      <c r="DG442" s="403"/>
      <c r="DH442" s="403"/>
      <c r="DI442" s="403"/>
      <c r="DJ442" s="403"/>
      <c r="DK442" s="403"/>
      <c r="DL442" s="403"/>
      <c r="DM442" s="403"/>
      <c r="DN442" s="403"/>
    </row>
    <row r="443" spans="5:118" s="15" customFormat="1" x14ac:dyDescent="0.2">
      <c r="E443" s="122"/>
      <c r="F443" s="122"/>
      <c r="N443" s="403"/>
      <c r="O443" s="403"/>
      <c r="P443" s="403"/>
      <c r="Q443" s="403"/>
      <c r="R443" s="403"/>
      <c r="S443" s="403"/>
      <c r="T443" s="403"/>
      <c r="U443" s="403"/>
      <c r="V443" s="403"/>
      <c r="W443" s="403"/>
      <c r="X443" s="403"/>
      <c r="Y443" s="403"/>
      <c r="Z443" s="403"/>
      <c r="AA443" s="403"/>
      <c r="AB443" s="403"/>
      <c r="AC443" s="564"/>
      <c r="AD443" s="403"/>
      <c r="AE443" s="403"/>
      <c r="AF443" s="403"/>
      <c r="AG443" s="403"/>
      <c r="AH443" s="403"/>
      <c r="AI443" s="403"/>
      <c r="AJ443" s="403"/>
      <c r="AK443" s="403"/>
      <c r="AL443" s="403"/>
      <c r="AM443" s="403"/>
      <c r="AN443" s="403"/>
      <c r="AO443" s="403"/>
      <c r="AP443" s="403"/>
      <c r="AQ443" s="403"/>
      <c r="AR443" s="403"/>
      <c r="AS443" s="403"/>
      <c r="AT443" s="403"/>
      <c r="AU443" s="403"/>
      <c r="AV443" s="403"/>
      <c r="AW443" s="403"/>
      <c r="AX443" s="403"/>
      <c r="AY443" s="403"/>
      <c r="AZ443" s="403"/>
      <c r="BA443" s="403"/>
      <c r="BB443" s="403"/>
      <c r="BC443" s="403"/>
      <c r="BD443" s="403"/>
      <c r="BE443" s="403"/>
      <c r="BF443" s="403"/>
      <c r="BG443" s="403"/>
      <c r="BH443" s="403"/>
      <c r="BI443" s="403"/>
      <c r="BJ443" s="403"/>
      <c r="BK443" s="403"/>
      <c r="BL443" s="403"/>
      <c r="BM443" s="403"/>
      <c r="BN443" s="403"/>
      <c r="BO443" s="403"/>
      <c r="BP443" s="403"/>
      <c r="BQ443" s="403"/>
      <c r="BR443" s="403"/>
      <c r="BS443" s="403"/>
      <c r="BT443" s="403"/>
      <c r="BU443" s="403"/>
      <c r="BV443" s="403"/>
      <c r="BW443" s="403"/>
      <c r="BX443" s="403"/>
      <c r="BY443" s="403"/>
      <c r="BZ443" s="403"/>
      <c r="CA443" s="403"/>
      <c r="CB443" s="403"/>
      <c r="CC443" s="403"/>
      <c r="CD443" s="403"/>
      <c r="CE443" s="403"/>
      <c r="CF443" s="403"/>
      <c r="CG443" s="403"/>
      <c r="CH443" s="403"/>
      <c r="CI443" s="403"/>
      <c r="CJ443" s="403"/>
      <c r="CK443" s="403"/>
      <c r="CL443" s="403"/>
      <c r="CM443" s="403"/>
      <c r="CN443" s="403"/>
      <c r="CO443" s="403"/>
      <c r="CP443" s="403"/>
      <c r="CQ443" s="403"/>
      <c r="CR443" s="403"/>
      <c r="CS443" s="403"/>
      <c r="CT443" s="403"/>
      <c r="CU443" s="403"/>
      <c r="CV443" s="403"/>
      <c r="CW443" s="403"/>
      <c r="CX443" s="403"/>
      <c r="CY443" s="403"/>
      <c r="CZ443" s="403"/>
      <c r="DA443" s="403"/>
      <c r="DB443" s="403"/>
      <c r="DC443" s="403"/>
      <c r="DD443" s="403"/>
      <c r="DE443" s="403"/>
      <c r="DF443" s="403"/>
      <c r="DG443" s="403"/>
      <c r="DH443" s="403"/>
      <c r="DI443" s="403"/>
      <c r="DJ443" s="403"/>
      <c r="DK443" s="403"/>
      <c r="DL443" s="403"/>
      <c r="DM443" s="403"/>
      <c r="DN443" s="403"/>
    </row>
    <row r="444" spans="5:118" s="15" customFormat="1" x14ac:dyDescent="0.2">
      <c r="E444" s="122"/>
      <c r="F444" s="122"/>
      <c r="N444" s="403"/>
      <c r="O444" s="403"/>
      <c r="P444" s="403"/>
      <c r="Q444" s="403"/>
      <c r="R444" s="403"/>
      <c r="S444" s="403"/>
      <c r="T444" s="403"/>
      <c r="U444" s="403"/>
      <c r="V444" s="403"/>
      <c r="W444" s="403"/>
      <c r="X444" s="403"/>
      <c r="Y444" s="403"/>
      <c r="Z444" s="403"/>
      <c r="AA444" s="403"/>
      <c r="AB444" s="403"/>
      <c r="AC444" s="564"/>
      <c r="AD444" s="403"/>
      <c r="AE444" s="403"/>
      <c r="AF444" s="403"/>
      <c r="AG444" s="403"/>
      <c r="AH444" s="403"/>
      <c r="AI444" s="403"/>
      <c r="AJ444" s="403"/>
      <c r="AK444" s="403"/>
      <c r="AL444" s="403"/>
      <c r="AM444" s="403"/>
      <c r="AN444" s="403"/>
      <c r="AO444" s="403"/>
      <c r="AP444" s="403"/>
      <c r="AQ444" s="403"/>
      <c r="AR444" s="403"/>
      <c r="AS444" s="403"/>
      <c r="AT444" s="403"/>
      <c r="AU444" s="403"/>
      <c r="AV444" s="403"/>
      <c r="AW444" s="403"/>
      <c r="AX444" s="403"/>
      <c r="AY444" s="403"/>
      <c r="AZ444" s="403"/>
      <c r="BA444" s="403"/>
      <c r="BB444" s="403"/>
      <c r="BC444" s="403"/>
      <c r="BD444" s="403"/>
      <c r="BE444" s="403"/>
      <c r="BF444" s="403"/>
      <c r="BG444" s="403"/>
      <c r="BH444" s="403"/>
      <c r="BI444" s="403"/>
      <c r="BJ444" s="403"/>
      <c r="BK444" s="403"/>
      <c r="BL444" s="403"/>
      <c r="BM444" s="403"/>
      <c r="BN444" s="403"/>
      <c r="BO444" s="403"/>
      <c r="BP444" s="403"/>
      <c r="BQ444" s="403"/>
      <c r="BR444" s="403"/>
      <c r="BS444" s="403"/>
      <c r="BT444" s="403"/>
      <c r="BU444" s="403"/>
      <c r="BV444" s="403"/>
      <c r="BW444" s="403"/>
      <c r="BX444" s="403"/>
      <c r="BY444" s="403"/>
      <c r="BZ444" s="403"/>
      <c r="CA444" s="403"/>
      <c r="CB444" s="403"/>
      <c r="CC444" s="403"/>
      <c r="CD444" s="403"/>
      <c r="CE444" s="403"/>
      <c r="CF444" s="403"/>
      <c r="CG444" s="403"/>
      <c r="CH444" s="403"/>
      <c r="CI444" s="403"/>
      <c r="CJ444" s="403"/>
      <c r="CK444" s="403"/>
      <c r="CL444" s="403"/>
      <c r="CM444" s="403"/>
      <c r="CN444" s="403"/>
      <c r="CO444" s="403"/>
      <c r="CP444" s="403"/>
      <c r="CQ444" s="403"/>
      <c r="CR444" s="403"/>
      <c r="CS444" s="403"/>
      <c r="CT444" s="403"/>
      <c r="CU444" s="403"/>
      <c r="CV444" s="403"/>
      <c r="CW444" s="403"/>
      <c r="CX444" s="403"/>
      <c r="CY444" s="403"/>
      <c r="CZ444" s="403"/>
      <c r="DA444" s="403"/>
      <c r="DB444" s="403"/>
      <c r="DC444" s="403"/>
      <c r="DD444" s="403"/>
      <c r="DE444" s="403"/>
      <c r="DF444" s="403"/>
      <c r="DG444" s="403"/>
      <c r="DH444" s="403"/>
      <c r="DI444" s="403"/>
      <c r="DJ444" s="403"/>
      <c r="DK444" s="403"/>
      <c r="DL444" s="403"/>
      <c r="DM444" s="403"/>
      <c r="DN444" s="403"/>
    </row>
    <row r="445" spans="5:118" s="15" customFormat="1" x14ac:dyDescent="0.2">
      <c r="E445" s="122"/>
      <c r="F445" s="122"/>
      <c r="N445" s="403"/>
      <c r="O445" s="403"/>
      <c r="P445" s="403"/>
      <c r="Q445" s="403"/>
      <c r="R445" s="403"/>
      <c r="S445" s="403"/>
      <c r="T445" s="403"/>
      <c r="U445" s="403"/>
      <c r="V445" s="403"/>
      <c r="W445" s="403"/>
      <c r="X445" s="403"/>
      <c r="Y445" s="403"/>
      <c r="Z445" s="403"/>
      <c r="AA445" s="403"/>
      <c r="AB445" s="403"/>
      <c r="AC445" s="564"/>
      <c r="AD445" s="403"/>
      <c r="AE445" s="403"/>
      <c r="AF445" s="403"/>
      <c r="AG445" s="403"/>
      <c r="AH445" s="403"/>
      <c r="AI445" s="403"/>
      <c r="AJ445" s="403"/>
      <c r="AK445" s="403"/>
      <c r="AL445" s="403"/>
      <c r="AM445" s="403"/>
      <c r="AN445" s="403"/>
      <c r="AO445" s="403"/>
      <c r="AP445" s="403"/>
      <c r="AQ445" s="403"/>
      <c r="AR445" s="403"/>
      <c r="AS445" s="403"/>
      <c r="AT445" s="403"/>
      <c r="AU445" s="403"/>
      <c r="AV445" s="403"/>
      <c r="AW445" s="403"/>
      <c r="AX445" s="403"/>
      <c r="AY445" s="403"/>
      <c r="AZ445" s="403"/>
      <c r="BA445" s="403"/>
      <c r="BB445" s="403"/>
      <c r="BC445" s="403"/>
      <c r="BD445" s="403"/>
      <c r="BE445" s="403"/>
      <c r="BF445" s="403"/>
      <c r="BG445" s="403"/>
      <c r="BH445" s="403"/>
      <c r="BI445" s="403"/>
      <c r="BJ445" s="403"/>
      <c r="BK445" s="403"/>
      <c r="BL445" s="403"/>
      <c r="BM445" s="403"/>
      <c r="BN445" s="403"/>
      <c r="BO445" s="403"/>
      <c r="BP445" s="403"/>
      <c r="BQ445" s="403"/>
      <c r="BR445" s="403"/>
      <c r="BS445" s="403"/>
      <c r="BT445" s="403"/>
      <c r="BU445" s="403"/>
      <c r="BV445" s="403"/>
      <c r="BW445" s="403"/>
      <c r="BX445" s="403"/>
      <c r="BY445" s="403"/>
      <c r="BZ445" s="403"/>
      <c r="CA445" s="403"/>
      <c r="CB445" s="403"/>
      <c r="CC445" s="403"/>
      <c r="CD445" s="403"/>
      <c r="CE445" s="403"/>
      <c r="CF445" s="403"/>
      <c r="CG445" s="403"/>
      <c r="CH445" s="403"/>
      <c r="CI445" s="403"/>
      <c r="CJ445" s="403"/>
      <c r="CK445" s="403"/>
      <c r="CL445" s="403"/>
      <c r="CM445" s="403"/>
      <c r="CN445" s="403"/>
      <c r="CO445" s="403"/>
      <c r="CP445" s="403"/>
      <c r="CQ445" s="403"/>
      <c r="CR445" s="403"/>
      <c r="CS445" s="403"/>
      <c r="CT445" s="403"/>
      <c r="CU445" s="403"/>
      <c r="CV445" s="403"/>
      <c r="CW445" s="403"/>
      <c r="CX445" s="403"/>
      <c r="CY445" s="403"/>
      <c r="CZ445" s="403"/>
      <c r="DA445" s="403"/>
      <c r="DB445" s="403"/>
      <c r="DC445" s="403"/>
      <c r="DD445" s="403"/>
      <c r="DE445" s="403"/>
      <c r="DF445" s="403"/>
      <c r="DG445" s="403"/>
      <c r="DH445" s="403"/>
      <c r="DI445" s="403"/>
      <c r="DJ445" s="403"/>
      <c r="DK445" s="403"/>
      <c r="DL445" s="403"/>
      <c r="DM445" s="403"/>
      <c r="DN445" s="403"/>
    </row>
    <row r="446" spans="5:118" s="15" customFormat="1" x14ac:dyDescent="0.2">
      <c r="E446" s="122"/>
      <c r="F446" s="122"/>
      <c r="N446" s="403"/>
      <c r="O446" s="403"/>
      <c r="P446" s="403"/>
      <c r="Q446" s="403"/>
      <c r="R446" s="403"/>
      <c r="S446" s="403"/>
      <c r="T446" s="403"/>
      <c r="U446" s="403"/>
      <c r="V446" s="403"/>
      <c r="W446" s="403"/>
      <c r="X446" s="403"/>
      <c r="Y446" s="403"/>
      <c r="Z446" s="403"/>
      <c r="AA446" s="403"/>
      <c r="AB446" s="403"/>
      <c r="AC446" s="564"/>
      <c r="AD446" s="403"/>
      <c r="AE446" s="403"/>
      <c r="AF446" s="403"/>
      <c r="AG446" s="403"/>
      <c r="AH446" s="403"/>
      <c r="AI446" s="403"/>
      <c r="AJ446" s="403"/>
      <c r="AK446" s="403"/>
      <c r="AL446" s="403"/>
      <c r="AM446" s="403"/>
      <c r="AN446" s="403"/>
      <c r="AO446" s="403"/>
      <c r="AP446" s="403"/>
      <c r="AQ446" s="403"/>
      <c r="AR446" s="403"/>
      <c r="AS446" s="403"/>
      <c r="AT446" s="403"/>
      <c r="AU446" s="403"/>
      <c r="AV446" s="403"/>
      <c r="AW446" s="403"/>
      <c r="AX446" s="403"/>
      <c r="AY446" s="403"/>
      <c r="AZ446" s="403"/>
      <c r="BA446" s="403"/>
      <c r="BB446" s="403"/>
      <c r="BC446" s="403"/>
      <c r="BD446" s="403"/>
      <c r="BE446" s="403"/>
      <c r="BF446" s="403"/>
      <c r="BG446" s="403"/>
      <c r="BH446" s="403"/>
      <c r="BI446" s="403"/>
      <c r="BJ446" s="403"/>
      <c r="BK446" s="403"/>
      <c r="BL446" s="403"/>
      <c r="BM446" s="403"/>
      <c r="BN446" s="403"/>
      <c r="BO446" s="403"/>
      <c r="BP446" s="403"/>
      <c r="BQ446" s="403"/>
      <c r="BR446" s="403"/>
      <c r="BS446" s="403"/>
      <c r="BT446" s="403"/>
      <c r="BU446" s="403"/>
      <c r="BV446" s="403"/>
      <c r="BW446" s="403"/>
      <c r="BX446" s="403"/>
      <c r="BY446" s="403"/>
      <c r="BZ446" s="403"/>
      <c r="CA446" s="403"/>
      <c r="CB446" s="403"/>
      <c r="CC446" s="403"/>
      <c r="CD446" s="403"/>
      <c r="CE446" s="403"/>
      <c r="CF446" s="403"/>
      <c r="CG446" s="403"/>
      <c r="CH446" s="403"/>
      <c r="CI446" s="403"/>
      <c r="CJ446" s="403"/>
      <c r="CK446" s="403"/>
      <c r="CL446" s="403"/>
      <c r="CM446" s="403"/>
      <c r="CN446" s="403"/>
      <c r="CO446" s="403"/>
      <c r="CP446" s="403"/>
      <c r="CQ446" s="403"/>
      <c r="CR446" s="403"/>
      <c r="CS446" s="403"/>
      <c r="CT446" s="403"/>
      <c r="CU446" s="403"/>
      <c r="CV446" s="403"/>
      <c r="CW446" s="403"/>
      <c r="CX446" s="403"/>
      <c r="CY446" s="403"/>
      <c r="CZ446" s="403"/>
      <c r="DA446" s="403"/>
      <c r="DB446" s="403"/>
      <c r="DC446" s="403"/>
      <c r="DD446" s="403"/>
      <c r="DE446" s="403"/>
      <c r="DF446" s="403"/>
      <c r="DG446" s="403"/>
      <c r="DH446" s="403"/>
      <c r="DI446" s="403"/>
      <c r="DJ446" s="403"/>
      <c r="DK446" s="403"/>
      <c r="DL446" s="403"/>
      <c r="DM446" s="403"/>
      <c r="DN446" s="403"/>
    </row>
    <row r="447" spans="5:118" s="15" customFormat="1" x14ac:dyDescent="0.2">
      <c r="E447" s="122"/>
      <c r="F447" s="122"/>
      <c r="N447" s="403"/>
      <c r="O447" s="403"/>
      <c r="P447" s="403"/>
      <c r="Q447" s="403"/>
      <c r="R447" s="403"/>
      <c r="S447" s="403"/>
      <c r="T447" s="403"/>
      <c r="U447" s="403"/>
      <c r="V447" s="403"/>
      <c r="W447" s="403"/>
      <c r="X447" s="403"/>
      <c r="Y447" s="403"/>
      <c r="Z447" s="403"/>
      <c r="AA447" s="403"/>
      <c r="AB447" s="403"/>
      <c r="AC447" s="564"/>
      <c r="AD447" s="403"/>
      <c r="AE447" s="403"/>
      <c r="AF447" s="403"/>
      <c r="AG447" s="403"/>
      <c r="AH447" s="403"/>
      <c r="AI447" s="403"/>
      <c r="AJ447" s="403"/>
      <c r="AK447" s="403"/>
      <c r="AL447" s="403"/>
      <c r="AM447" s="403"/>
      <c r="AN447" s="403"/>
      <c r="AO447" s="403"/>
      <c r="AP447" s="403"/>
      <c r="AQ447" s="403"/>
      <c r="AR447" s="403"/>
      <c r="AS447" s="403"/>
      <c r="AT447" s="403"/>
      <c r="AU447" s="403"/>
      <c r="AV447" s="403"/>
      <c r="AW447" s="403"/>
      <c r="AX447" s="403"/>
      <c r="AY447" s="403"/>
      <c r="AZ447" s="403"/>
      <c r="BA447" s="403"/>
      <c r="BB447" s="403"/>
      <c r="BC447" s="403"/>
      <c r="BD447" s="403"/>
      <c r="BE447" s="403"/>
      <c r="BF447" s="403"/>
      <c r="BG447" s="403"/>
      <c r="BH447" s="403"/>
      <c r="BI447" s="403"/>
      <c r="BJ447" s="403"/>
      <c r="BK447" s="403"/>
      <c r="BL447" s="403"/>
      <c r="BM447" s="403"/>
      <c r="BN447" s="403"/>
      <c r="BO447" s="403"/>
      <c r="BP447" s="403"/>
      <c r="BQ447" s="403"/>
      <c r="BR447" s="403"/>
      <c r="BS447" s="403"/>
      <c r="BT447" s="403"/>
      <c r="BU447" s="403"/>
      <c r="BV447" s="403"/>
      <c r="BW447" s="403"/>
      <c r="BX447" s="403"/>
      <c r="BY447" s="403"/>
      <c r="BZ447" s="403"/>
      <c r="CA447" s="403"/>
      <c r="CB447" s="403"/>
      <c r="CC447" s="403"/>
      <c r="CD447" s="403"/>
      <c r="CE447" s="403"/>
      <c r="CF447" s="403"/>
      <c r="CG447" s="403"/>
      <c r="CH447" s="403"/>
      <c r="CI447" s="403"/>
      <c r="CJ447" s="403"/>
      <c r="CK447" s="403"/>
      <c r="CL447" s="403"/>
      <c r="CM447" s="403"/>
      <c r="CN447" s="403"/>
      <c r="CO447" s="403"/>
      <c r="CP447" s="403"/>
      <c r="CQ447" s="403"/>
      <c r="CR447" s="403"/>
      <c r="CS447" s="403"/>
      <c r="CT447" s="403"/>
      <c r="CU447" s="403"/>
      <c r="CV447" s="403"/>
      <c r="CW447" s="403"/>
      <c r="CX447" s="403"/>
      <c r="CY447" s="403"/>
      <c r="CZ447" s="403"/>
      <c r="DA447" s="403"/>
      <c r="DB447" s="403"/>
      <c r="DC447" s="403"/>
      <c r="DD447" s="403"/>
      <c r="DE447" s="403"/>
      <c r="DF447" s="403"/>
      <c r="DG447" s="403"/>
      <c r="DH447" s="403"/>
      <c r="DI447" s="403"/>
      <c r="DJ447" s="403"/>
      <c r="DK447" s="403"/>
      <c r="DL447" s="403"/>
      <c r="DM447" s="403"/>
      <c r="DN447" s="403"/>
    </row>
    <row r="448" spans="5:118" s="15" customFormat="1" x14ac:dyDescent="0.2">
      <c r="E448" s="122"/>
      <c r="F448" s="122"/>
      <c r="N448" s="403"/>
      <c r="O448" s="403"/>
      <c r="P448" s="403"/>
      <c r="Q448" s="403"/>
      <c r="R448" s="403"/>
      <c r="S448" s="403"/>
      <c r="T448" s="403"/>
      <c r="U448" s="403"/>
      <c r="V448" s="403"/>
      <c r="W448" s="403"/>
      <c r="X448" s="403"/>
      <c r="Y448" s="403"/>
      <c r="Z448" s="403"/>
      <c r="AA448" s="403"/>
      <c r="AB448" s="403"/>
      <c r="AC448" s="564"/>
      <c r="AD448" s="403"/>
      <c r="AE448" s="403"/>
      <c r="AF448" s="403"/>
      <c r="AG448" s="403"/>
      <c r="AH448" s="403"/>
      <c r="AI448" s="403"/>
      <c r="AJ448" s="403"/>
      <c r="AK448" s="403"/>
      <c r="AL448" s="403"/>
      <c r="AM448" s="403"/>
      <c r="AN448" s="403"/>
      <c r="AO448" s="403"/>
      <c r="AP448" s="403"/>
      <c r="AQ448" s="403"/>
      <c r="AR448" s="403"/>
      <c r="AS448" s="403"/>
      <c r="AT448" s="403"/>
      <c r="AU448" s="403"/>
      <c r="AV448" s="403"/>
      <c r="AW448" s="403"/>
      <c r="AX448" s="403"/>
      <c r="AY448" s="403"/>
      <c r="AZ448" s="403"/>
      <c r="BA448" s="403"/>
      <c r="BB448" s="403"/>
      <c r="BC448" s="403"/>
      <c r="BD448" s="403"/>
      <c r="BE448" s="403"/>
      <c r="BF448" s="403"/>
      <c r="BG448" s="403"/>
      <c r="BH448" s="403"/>
      <c r="BI448" s="403"/>
      <c r="BJ448" s="403"/>
      <c r="BK448" s="403"/>
      <c r="BL448" s="403"/>
      <c r="BM448" s="403"/>
      <c r="BN448" s="403"/>
      <c r="BO448" s="403"/>
      <c r="BP448" s="403"/>
      <c r="BQ448" s="403"/>
      <c r="BR448" s="403"/>
      <c r="BS448" s="403"/>
      <c r="BT448" s="403"/>
      <c r="BU448" s="403"/>
      <c r="BV448" s="403"/>
      <c r="BW448" s="403"/>
      <c r="BX448" s="403"/>
      <c r="BY448" s="403"/>
      <c r="BZ448" s="403"/>
      <c r="CA448" s="403"/>
      <c r="CB448" s="403"/>
      <c r="CC448" s="403"/>
      <c r="CD448" s="403"/>
      <c r="CE448" s="403"/>
      <c r="CF448" s="403"/>
      <c r="CG448" s="403"/>
      <c r="CH448" s="403"/>
      <c r="CI448" s="403"/>
      <c r="CJ448" s="403"/>
      <c r="CK448" s="403"/>
      <c r="CL448" s="403"/>
      <c r="CM448" s="403"/>
      <c r="CN448" s="403"/>
      <c r="CO448" s="403"/>
      <c r="CP448" s="403"/>
      <c r="CQ448" s="403"/>
      <c r="CR448" s="403"/>
      <c r="CS448" s="403"/>
      <c r="CT448" s="403"/>
      <c r="CU448" s="403"/>
      <c r="CV448" s="403"/>
      <c r="CW448" s="403"/>
      <c r="CX448" s="403"/>
      <c r="CY448" s="403"/>
      <c r="CZ448" s="403"/>
      <c r="DA448" s="403"/>
      <c r="DB448" s="403"/>
      <c r="DC448" s="403"/>
      <c r="DD448" s="403"/>
      <c r="DE448" s="403"/>
      <c r="DF448" s="403"/>
      <c r="DG448" s="403"/>
      <c r="DH448" s="403"/>
      <c r="DI448" s="403"/>
      <c r="DJ448" s="403"/>
      <c r="DK448" s="403"/>
      <c r="DL448" s="403"/>
      <c r="DM448" s="403"/>
      <c r="DN448" s="403"/>
    </row>
    <row r="449" spans="5:118" s="15" customFormat="1" x14ac:dyDescent="0.2">
      <c r="E449" s="122"/>
      <c r="F449" s="122"/>
      <c r="N449" s="403"/>
      <c r="O449" s="403"/>
      <c r="P449" s="403"/>
      <c r="Q449" s="403"/>
      <c r="R449" s="403"/>
      <c r="S449" s="403"/>
      <c r="T449" s="403"/>
      <c r="U449" s="403"/>
      <c r="V449" s="403"/>
      <c r="W449" s="403"/>
      <c r="X449" s="403"/>
      <c r="Y449" s="403"/>
      <c r="Z449" s="403"/>
      <c r="AA449" s="403"/>
      <c r="AB449" s="403"/>
      <c r="AC449" s="564"/>
      <c r="AD449" s="403"/>
      <c r="AE449" s="403"/>
      <c r="AF449" s="403"/>
      <c r="AG449" s="403"/>
      <c r="AH449" s="403"/>
      <c r="AI449" s="403"/>
      <c r="AJ449" s="403"/>
      <c r="AK449" s="403"/>
      <c r="AL449" s="403"/>
      <c r="AM449" s="403"/>
      <c r="AN449" s="403"/>
      <c r="AO449" s="403"/>
      <c r="AP449" s="403"/>
      <c r="AQ449" s="403"/>
      <c r="AR449" s="403"/>
      <c r="AS449" s="403"/>
      <c r="AT449" s="403"/>
      <c r="AU449" s="403"/>
      <c r="AV449" s="403"/>
      <c r="AW449" s="403"/>
      <c r="AX449" s="403"/>
      <c r="AY449" s="403"/>
      <c r="AZ449" s="403"/>
      <c r="BA449" s="403"/>
      <c r="BB449" s="403"/>
      <c r="BC449" s="403"/>
      <c r="BD449" s="403"/>
      <c r="BE449" s="403"/>
      <c r="BF449" s="403"/>
      <c r="BG449" s="403"/>
      <c r="BH449" s="403"/>
      <c r="BI449" s="403"/>
      <c r="BJ449" s="403"/>
      <c r="BK449" s="403"/>
      <c r="BL449" s="403"/>
      <c r="BM449" s="403"/>
      <c r="BN449" s="403"/>
      <c r="BO449" s="403"/>
      <c r="BP449" s="403"/>
      <c r="BQ449" s="403"/>
      <c r="BR449" s="403"/>
      <c r="BS449" s="403"/>
      <c r="BT449" s="403"/>
      <c r="BU449" s="403"/>
      <c r="BV449" s="403"/>
      <c r="BW449" s="403"/>
      <c r="BX449" s="403"/>
      <c r="BY449" s="403"/>
      <c r="BZ449" s="403"/>
      <c r="CA449" s="403"/>
      <c r="CB449" s="403"/>
      <c r="CC449" s="403"/>
      <c r="CD449" s="403"/>
      <c r="CE449" s="403"/>
      <c r="CF449" s="403"/>
      <c r="CG449" s="403"/>
      <c r="CH449" s="403"/>
      <c r="CI449" s="403"/>
      <c r="CJ449" s="403"/>
      <c r="CK449" s="403"/>
      <c r="CL449" s="403"/>
      <c r="CM449" s="403"/>
      <c r="CN449" s="403"/>
      <c r="CO449" s="403"/>
      <c r="CP449" s="403"/>
      <c r="CQ449" s="403"/>
      <c r="CR449" s="403"/>
      <c r="CS449" s="403"/>
      <c r="CT449" s="403"/>
      <c r="CU449" s="403"/>
      <c r="CV449" s="403"/>
      <c r="CW449" s="403"/>
      <c r="CX449" s="403"/>
      <c r="CY449" s="403"/>
      <c r="CZ449" s="403"/>
      <c r="DA449" s="403"/>
      <c r="DB449" s="403"/>
      <c r="DC449" s="403"/>
      <c r="DD449" s="403"/>
      <c r="DE449" s="403"/>
      <c r="DF449" s="403"/>
      <c r="DG449" s="403"/>
      <c r="DH449" s="403"/>
      <c r="DI449" s="403"/>
      <c r="DJ449" s="403"/>
      <c r="DK449" s="403"/>
      <c r="DL449" s="403"/>
      <c r="DM449" s="403"/>
      <c r="DN449" s="403"/>
    </row>
    <row r="450" spans="5:118" s="15" customFormat="1" x14ac:dyDescent="0.2">
      <c r="E450" s="122"/>
      <c r="F450" s="122"/>
      <c r="N450" s="403"/>
      <c r="O450" s="403"/>
      <c r="P450" s="403"/>
      <c r="Q450" s="403"/>
      <c r="R450" s="403"/>
      <c r="S450" s="403"/>
      <c r="T450" s="403"/>
      <c r="U450" s="403"/>
      <c r="V450" s="403"/>
      <c r="W450" s="403"/>
      <c r="X450" s="403"/>
      <c r="Y450" s="403"/>
      <c r="Z450" s="403"/>
      <c r="AA450" s="403"/>
      <c r="AB450" s="403"/>
      <c r="AC450" s="564"/>
      <c r="AD450" s="403"/>
      <c r="AE450" s="403"/>
      <c r="AF450" s="403"/>
      <c r="AG450" s="403"/>
      <c r="AH450" s="403"/>
      <c r="AI450" s="403"/>
      <c r="AJ450" s="403"/>
      <c r="AK450" s="403"/>
      <c r="AL450" s="403"/>
      <c r="AM450" s="403"/>
      <c r="AN450" s="403"/>
      <c r="AO450" s="403"/>
      <c r="AP450" s="403"/>
      <c r="AQ450" s="403"/>
      <c r="AR450" s="403"/>
      <c r="AS450" s="403"/>
      <c r="AT450" s="403"/>
      <c r="AU450" s="403"/>
      <c r="AV450" s="403"/>
      <c r="AW450" s="403"/>
      <c r="AX450" s="403"/>
      <c r="AY450" s="403"/>
      <c r="AZ450" s="403"/>
      <c r="BA450" s="403"/>
      <c r="BB450" s="403"/>
      <c r="BC450" s="403"/>
      <c r="BD450" s="403"/>
      <c r="BE450" s="403"/>
      <c r="BF450" s="403"/>
      <c r="BG450" s="403"/>
      <c r="BH450" s="403"/>
      <c r="BI450" s="403"/>
      <c r="BJ450" s="403"/>
      <c r="BK450" s="403"/>
      <c r="BL450" s="403"/>
      <c r="BM450" s="403"/>
      <c r="BN450" s="403"/>
      <c r="BO450" s="403"/>
      <c r="BP450" s="403"/>
      <c r="BQ450" s="403"/>
      <c r="BR450" s="403"/>
      <c r="BS450" s="403"/>
      <c r="BT450" s="403"/>
      <c r="BU450" s="403"/>
      <c r="BV450" s="403"/>
      <c r="BW450" s="403"/>
      <c r="BX450" s="403"/>
      <c r="BY450" s="403"/>
      <c r="BZ450" s="403"/>
      <c r="CA450" s="403"/>
      <c r="CB450" s="403"/>
      <c r="CC450" s="403"/>
      <c r="CD450" s="403"/>
      <c r="CE450" s="403"/>
      <c r="CF450" s="403"/>
      <c r="CG450" s="403"/>
      <c r="CH450" s="403"/>
      <c r="CI450" s="403"/>
      <c r="CJ450" s="403"/>
      <c r="CK450" s="403"/>
      <c r="CL450" s="403"/>
      <c r="CM450" s="403"/>
      <c r="CN450" s="403"/>
      <c r="CO450" s="403"/>
      <c r="CP450" s="403"/>
      <c r="CQ450" s="403"/>
      <c r="CR450" s="403"/>
      <c r="CS450" s="403"/>
      <c r="CT450" s="403"/>
      <c r="CU450" s="403"/>
      <c r="CV450" s="403"/>
      <c r="CW450" s="403"/>
      <c r="CX450" s="403"/>
      <c r="CY450" s="403"/>
      <c r="CZ450" s="403"/>
      <c r="DA450" s="403"/>
      <c r="DB450" s="403"/>
      <c r="DC450" s="403"/>
      <c r="DD450" s="403"/>
      <c r="DE450" s="403"/>
      <c r="DF450" s="403"/>
      <c r="DG450" s="403"/>
      <c r="DH450" s="403"/>
      <c r="DI450" s="403"/>
      <c r="DJ450" s="403"/>
      <c r="DK450" s="403"/>
      <c r="DL450" s="403"/>
      <c r="DM450" s="403"/>
      <c r="DN450" s="403"/>
    </row>
    <row r="451" spans="5:118" s="15" customFormat="1" x14ac:dyDescent="0.2">
      <c r="E451" s="122"/>
      <c r="F451" s="122"/>
      <c r="N451" s="403"/>
      <c r="O451" s="403"/>
      <c r="P451" s="403"/>
      <c r="Q451" s="403"/>
      <c r="R451" s="403"/>
      <c r="S451" s="403"/>
      <c r="T451" s="403"/>
      <c r="U451" s="403"/>
      <c r="V451" s="403"/>
      <c r="W451" s="403"/>
      <c r="X451" s="403"/>
      <c r="Y451" s="403"/>
      <c r="Z451" s="403"/>
      <c r="AA451" s="403"/>
      <c r="AB451" s="403"/>
      <c r="AC451" s="564"/>
      <c r="AD451" s="403"/>
      <c r="AE451" s="403"/>
      <c r="AF451" s="403"/>
      <c r="AG451" s="403"/>
      <c r="AH451" s="403"/>
      <c r="AI451" s="403"/>
      <c r="AJ451" s="403"/>
      <c r="AK451" s="403"/>
      <c r="AL451" s="403"/>
      <c r="AM451" s="403"/>
      <c r="AN451" s="403"/>
      <c r="AO451" s="403"/>
      <c r="AP451" s="403"/>
      <c r="AQ451" s="403"/>
      <c r="AR451" s="403"/>
      <c r="AS451" s="403"/>
      <c r="AT451" s="403"/>
      <c r="AU451" s="403"/>
      <c r="AV451" s="403"/>
      <c r="AW451" s="403"/>
      <c r="AX451" s="403"/>
      <c r="AY451" s="403"/>
      <c r="AZ451" s="403"/>
      <c r="BA451" s="403"/>
      <c r="BB451" s="403"/>
      <c r="BC451" s="403"/>
      <c r="BD451" s="403"/>
      <c r="BE451" s="403"/>
      <c r="BF451" s="403"/>
      <c r="BG451" s="403"/>
      <c r="BH451" s="403"/>
      <c r="BI451" s="403"/>
      <c r="BJ451" s="403"/>
      <c r="BK451" s="403"/>
      <c r="BL451" s="403"/>
      <c r="BM451" s="403"/>
      <c r="BN451" s="403"/>
      <c r="BO451" s="403"/>
      <c r="BP451" s="403"/>
      <c r="BQ451" s="403"/>
      <c r="BR451" s="403"/>
      <c r="BS451" s="403"/>
      <c r="BT451" s="403"/>
      <c r="BU451" s="403"/>
      <c r="BV451" s="403"/>
      <c r="BW451" s="403"/>
      <c r="BX451" s="403"/>
      <c r="BY451" s="403"/>
      <c r="BZ451" s="403"/>
      <c r="CA451" s="403"/>
      <c r="CB451" s="403"/>
      <c r="CC451" s="403"/>
      <c r="CD451" s="403"/>
      <c r="CE451" s="403"/>
      <c r="CF451" s="403"/>
      <c r="CG451" s="403"/>
      <c r="CH451" s="403"/>
      <c r="CI451" s="403"/>
      <c r="CJ451" s="403"/>
      <c r="CK451" s="403"/>
      <c r="CL451" s="403"/>
      <c r="CM451" s="403"/>
      <c r="CN451" s="403"/>
      <c r="CO451" s="403"/>
      <c r="CP451" s="403"/>
      <c r="CQ451" s="403"/>
      <c r="CR451" s="403"/>
      <c r="CS451" s="403"/>
      <c r="CT451" s="403"/>
      <c r="CU451" s="403"/>
      <c r="CV451" s="403"/>
      <c r="CW451" s="403"/>
      <c r="CX451" s="403"/>
      <c r="CY451" s="403"/>
      <c r="CZ451" s="403"/>
      <c r="DA451" s="403"/>
      <c r="DB451" s="403"/>
      <c r="DC451" s="403"/>
      <c r="DD451" s="403"/>
      <c r="DE451" s="403"/>
      <c r="DF451" s="403"/>
      <c r="DG451" s="403"/>
      <c r="DH451" s="403"/>
      <c r="DI451" s="403"/>
      <c r="DJ451" s="403"/>
      <c r="DK451" s="403"/>
      <c r="DL451" s="403"/>
      <c r="DM451" s="403"/>
      <c r="DN451" s="403"/>
    </row>
    <row r="452" spans="5:118" s="15" customFormat="1" x14ac:dyDescent="0.2">
      <c r="E452" s="122"/>
      <c r="F452" s="122"/>
      <c r="N452" s="403"/>
      <c r="O452" s="403"/>
      <c r="P452" s="403"/>
      <c r="Q452" s="403"/>
      <c r="R452" s="403"/>
      <c r="S452" s="403"/>
      <c r="T452" s="403"/>
      <c r="U452" s="403"/>
      <c r="V452" s="403"/>
      <c r="W452" s="403"/>
      <c r="X452" s="403"/>
      <c r="Y452" s="403"/>
      <c r="Z452" s="403"/>
      <c r="AA452" s="403"/>
      <c r="AB452" s="403"/>
      <c r="AC452" s="564"/>
      <c r="AD452" s="403"/>
      <c r="AE452" s="403"/>
      <c r="AF452" s="403"/>
      <c r="AG452" s="403"/>
      <c r="AH452" s="403"/>
      <c r="AI452" s="403"/>
      <c r="AJ452" s="403"/>
      <c r="AK452" s="403"/>
      <c r="AL452" s="403"/>
      <c r="AM452" s="403"/>
      <c r="AN452" s="403"/>
      <c r="AO452" s="403"/>
      <c r="AP452" s="403"/>
      <c r="AQ452" s="403"/>
      <c r="AR452" s="403"/>
      <c r="AS452" s="403"/>
      <c r="AT452" s="403"/>
      <c r="AU452" s="403"/>
      <c r="AV452" s="403"/>
      <c r="AW452" s="403"/>
      <c r="AX452" s="403"/>
      <c r="AY452" s="403"/>
      <c r="AZ452" s="403"/>
      <c r="BA452" s="403"/>
      <c r="BB452" s="403"/>
      <c r="BC452" s="403"/>
      <c r="BD452" s="403"/>
      <c r="BE452" s="403"/>
      <c r="BF452" s="403"/>
      <c r="BG452" s="403"/>
      <c r="BH452" s="403"/>
      <c r="BI452" s="403"/>
      <c r="BJ452" s="403"/>
      <c r="BK452" s="403"/>
      <c r="BL452" s="403"/>
      <c r="BM452" s="403"/>
      <c r="BN452" s="403"/>
      <c r="BO452" s="403"/>
      <c r="BP452" s="403"/>
      <c r="BQ452" s="403"/>
      <c r="BR452" s="403"/>
      <c r="BS452" s="403"/>
      <c r="BT452" s="403"/>
      <c r="BU452" s="403"/>
      <c r="BV452" s="403"/>
      <c r="BW452" s="403"/>
      <c r="BX452" s="403"/>
      <c r="BY452" s="403"/>
      <c r="BZ452" s="403"/>
      <c r="CA452" s="403"/>
      <c r="CB452" s="403"/>
      <c r="CC452" s="403"/>
      <c r="CD452" s="403"/>
      <c r="CE452" s="403"/>
      <c r="CF452" s="403"/>
      <c r="CG452" s="403"/>
      <c r="CH452" s="403"/>
      <c r="CI452" s="403"/>
      <c r="CJ452" s="403"/>
      <c r="CK452" s="403"/>
      <c r="CL452" s="403"/>
      <c r="CM452" s="403"/>
      <c r="CN452" s="403"/>
      <c r="CO452" s="403"/>
      <c r="CP452" s="403"/>
      <c r="CQ452" s="403"/>
      <c r="CR452" s="403"/>
      <c r="CS452" s="403"/>
      <c r="CT452" s="403"/>
      <c r="CU452" s="403"/>
      <c r="CV452" s="403"/>
      <c r="CW452" s="403"/>
      <c r="CX452" s="403"/>
      <c r="CY452" s="403"/>
      <c r="CZ452" s="403"/>
      <c r="DA452" s="403"/>
      <c r="DB452" s="403"/>
      <c r="DC452" s="403"/>
      <c r="DD452" s="403"/>
      <c r="DE452" s="403"/>
      <c r="DF452" s="403"/>
      <c r="DG452" s="403"/>
      <c r="DH452" s="403"/>
      <c r="DI452" s="403"/>
      <c r="DJ452" s="403"/>
      <c r="DK452" s="403"/>
      <c r="DL452" s="403"/>
      <c r="DM452" s="403"/>
      <c r="DN452" s="403"/>
    </row>
    <row r="453" spans="5:118" s="15" customFormat="1" x14ac:dyDescent="0.2">
      <c r="E453" s="122"/>
      <c r="F453" s="122"/>
      <c r="N453" s="403"/>
      <c r="O453" s="403"/>
      <c r="P453" s="403"/>
      <c r="Q453" s="403"/>
      <c r="R453" s="403"/>
      <c r="S453" s="403"/>
      <c r="T453" s="403"/>
      <c r="U453" s="403"/>
      <c r="V453" s="403"/>
      <c r="W453" s="403"/>
      <c r="X453" s="403"/>
      <c r="Y453" s="403"/>
      <c r="Z453" s="403"/>
      <c r="AA453" s="403"/>
      <c r="AB453" s="403"/>
      <c r="AC453" s="564"/>
      <c r="AD453" s="403"/>
      <c r="AE453" s="403"/>
      <c r="AF453" s="403"/>
      <c r="AG453" s="403"/>
      <c r="AH453" s="403"/>
      <c r="AI453" s="403"/>
      <c r="AJ453" s="403"/>
      <c r="AK453" s="403"/>
      <c r="AL453" s="403"/>
      <c r="AM453" s="403"/>
      <c r="AN453" s="403"/>
      <c r="AO453" s="403"/>
      <c r="AP453" s="403"/>
      <c r="AQ453" s="403"/>
      <c r="AR453" s="403"/>
      <c r="AS453" s="403"/>
      <c r="AT453" s="403"/>
      <c r="AU453" s="403"/>
      <c r="AV453" s="403"/>
      <c r="AW453" s="403"/>
      <c r="AX453" s="403"/>
      <c r="AY453" s="403"/>
      <c r="AZ453" s="403"/>
      <c r="BA453" s="403"/>
      <c r="BB453" s="403"/>
      <c r="BC453" s="403"/>
      <c r="BD453" s="403"/>
      <c r="BE453" s="403"/>
      <c r="BF453" s="403"/>
      <c r="BG453" s="403"/>
      <c r="BH453" s="403"/>
      <c r="BI453" s="403"/>
      <c r="BJ453" s="403"/>
      <c r="BK453" s="403"/>
      <c r="BL453" s="403"/>
      <c r="BM453" s="403"/>
      <c r="BN453" s="403"/>
      <c r="BO453" s="403"/>
      <c r="BP453" s="403"/>
      <c r="BQ453" s="403"/>
      <c r="BR453" s="403"/>
      <c r="BS453" s="403"/>
      <c r="BT453" s="403"/>
      <c r="BU453" s="403"/>
      <c r="BV453" s="403"/>
      <c r="BW453" s="403"/>
      <c r="BX453" s="403"/>
      <c r="BY453" s="403"/>
      <c r="BZ453" s="403"/>
      <c r="CA453" s="403"/>
      <c r="CB453" s="403"/>
      <c r="CC453" s="403"/>
      <c r="CD453" s="403"/>
      <c r="CE453" s="403"/>
      <c r="CF453" s="403"/>
      <c r="CG453" s="403"/>
      <c r="CH453" s="403"/>
      <c r="CI453" s="403"/>
      <c r="CJ453" s="403"/>
      <c r="CK453" s="403"/>
      <c r="CL453" s="403"/>
      <c r="CM453" s="403"/>
      <c r="CN453" s="403"/>
      <c r="CO453" s="403"/>
      <c r="CP453" s="403"/>
      <c r="CQ453" s="403"/>
      <c r="CR453" s="403"/>
      <c r="CS453" s="403"/>
      <c r="CT453" s="403"/>
      <c r="CU453" s="403"/>
      <c r="CV453" s="403"/>
      <c r="CW453" s="403"/>
      <c r="CX453" s="403"/>
      <c r="CY453" s="403"/>
      <c r="CZ453" s="403"/>
      <c r="DA453" s="403"/>
      <c r="DB453" s="403"/>
      <c r="DC453" s="403"/>
      <c r="DD453" s="403"/>
      <c r="DE453" s="403"/>
      <c r="DF453" s="403"/>
      <c r="DG453" s="403"/>
      <c r="DH453" s="403"/>
      <c r="DI453" s="403"/>
      <c r="DJ453" s="403"/>
      <c r="DK453" s="403"/>
      <c r="DL453" s="403"/>
      <c r="DM453" s="403"/>
      <c r="DN453" s="403"/>
    </row>
    <row r="454" spans="5:118" s="15" customFormat="1" x14ac:dyDescent="0.2">
      <c r="E454" s="122"/>
      <c r="F454" s="122"/>
      <c r="N454" s="403"/>
      <c r="O454" s="403"/>
      <c r="P454" s="403"/>
      <c r="Q454" s="403"/>
      <c r="R454" s="403"/>
      <c r="S454" s="403"/>
      <c r="T454" s="403"/>
      <c r="U454" s="403"/>
      <c r="V454" s="403"/>
      <c r="W454" s="403"/>
      <c r="X454" s="403"/>
      <c r="Y454" s="403"/>
      <c r="Z454" s="403"/>
      <c r="AA454" s="403"/>
      <c r="AB454" s="403"/>
      <c r="AC454" s="564"/>
      <c r="AD454" s="403"/>
      <c r="AE454" s="403"/>
      <c r="AF454" s="403"/>
      <c r="AG454" s="403"/>
      <c r="AH454" s="403"/>
      <c r="AI454" s="403"/>
      <c r="AJ454" s="403"/>
      <c r="AK454" s="403"/>
      <c r="AL454" s="403"/>
      <c r="AM454" s="403"/>
      <c r="AN454" s="403"/>
      <c r="AO454" s="403"/>
      <c r="AP454" s="403"/>
      <c r="AQ454" s="403"/>
      <c r="AR454" s="403"/>
      <c r="AS454" s="403"/>
      <c r="AT454" s="403"/>
      <c r="AU454" s="403"/>
      <c r="AV454" s="403"/>
      <c r="AW454" s="403"/>
      <c r="AX454" s="403"/>
      <c r="AY454" s="403"/>
      <c r="AZ454" s="403"/>
      <c r="BA454" s="403"/>
      <c r="BB454" s="403"/>
      <c r="BC454" s="403"/>
      <c r="BD454" s="403"/>
      <c r="BE454" s="403"/>
      <c r="BF454" s="403"/>
      <c r="BG454" s="403"/>
      <c r="BH454" s="403"/>
      <c r="BI454" s="403"/>
      <c r="BJ454" s="403"/>
      <c r="BK454" s="403"/>
      <c r="BL454" s="403"/>
      <c r="BM454" s="403"/>
      <c r="BN454" s="403"/>
      <c r="BO454" s="403"/>
      <c r="BP454" s="403"/>
      <c r="BQ454" s="403"/>
      <c r="BR454" s="403"/>
      <c r="BS454" s="403"/>
      <c r="BT454" s="403"/>
      <c r="BU454" s="403"/>
      <c r="BV454" s="403"/>
      <c r="BW454" s="403"/>
      <c r="BX454" s="403"/>
      <c r="BY454" s="403"/>
      <c r="BZ454" s="403"/>
      <c r="CA454" s="403"/>
      <c r="CB454" s="403"/>
      <c r="CC454" s="403"/>
      <c r="CD454" s="403"/>
      <c r="CE454" s="403"/>
      <c r="CF454" s="403"/>
      <c r="CG454" s="403"/>
      <c r="CH454" s="403"/>
      <c r="CI454" s="403"/>
      <c r="CJ454" s="403"/>
      <c r="CK454" s="403"/>
      <c r="CL454" s="403"/>
      <c r="CM454" s="403"/>
      <c r="CN454" s="403"/>
      <c r="CO454" s="403"/>
      <c r="CP454" s="403"/>
      <c r="CQ454" s="403"/>
      <c r="CR454" s="403"/>
      <c r="CS454" s="403"/>
      <c r="CT454" s="403"/>
      <c r="CU454" s="403"/>
      <c r="CV454" s="403"/>
      <c r="CW454" s="403"/>
      <c r="CX454" s="403"/>
      <c r="CY454" s="403"/>
      <c r="CZ454" s="403"/>
      <c r="DA454" s="403"/>
      <c r="DB454" s="403"/>
      <c r="DC454" s="403"/>
      <c r="DD454" s="403"/>
      <c r="DE454" s="403"/>
      <c r="DF454" s="403"/>
      <c r="DG454" s="403"/>
      <c r="DH454" s="403"/>
      <c r="DI454" s="403"/>
      <c r="DJ454" s="403"/>
      <c r="DK454" s="403"/>
      <c r="DL454" s="403"/>
      <c r="DM454" s="403"/>
      <c r="DN454" s="403"/>
    </row>
    <row r="455" spans="5:118" s="15" customFormat="1" x14ac:dyDescent="0.2">
      <c r="E455" s="122"/>
      <c r="F455" s="122"/>
      <c r="N455" s="403"/>
      <c r="O455" s="403"/>
      <c r="P455" s="403"/>
      <c r="Q455" s="403"/>
      <c r="R455" s="403"/>
      <c r="S455" s="403"/>
      <c r="T455" s="403"/>
      <c r="U455" s="403"/>
      <c r="V455" s="403"/>
      <c r="W455" s="403"/>
      <c r="X455" s="403"/>
      <c r="Y455" s="403"/>
      <c r="Z455" s="403"/>
      <c r="AA455" s="403"/>
      <c r="AB455" s="403"/>
      <c r="AC455" s="564"/>
      <c r="AD455" s="403"/>
      <c r="AE455" s="403"/>
      <c r="AF455" s="403"/>
      <c r="AG455" s="403"/>
      <c r="AH455" s="403"/>
      <c r="AI455" s="403"/>
      <c r="AJ455" s="403"/>
      <c r="AK455" s="403"/>
      <c r="AL455" s="403"/>
      <c r="AM455" s="403"/>
      <c r="AN455" s="403"/>
      <c r="AO455" s="403"/>
      <c r="AP455" s="403"/>
      <c r="AQ455" s="403"/>
      <c r="AR455" s="403"/>
      <c r="AS455" s="403"/>
      <c r="AT455" s="403"/>
      <c r="AU455" s="403"/>
      <c r="AV455" s="403"/>
      <c r="AW455" s="403"/>
      <c r="AX455" s="403"/>
      <c r="AY455" s="403"/>
      <c r="AZ455" s="403"/>
      <c r="BA455" s="403"/>
      <c r="BB455" s="403"/>
      <c r="BC455" s="403"/>
      <c r="BD455" s="403"/>
      <c r="BE455" s="403"/>
      <c r="BF455" s="403"/>
      <c r="BG455" s="403"/>
      <c r="BH455" s="403"/>
      <c r="BI455" s="403"/>
      <c r="BJ455" s="403"/>
      <c r="BK455" s="403"/>
      <c r="BL455" s="403"/>
      <c r="BM455" s="403"/>
      <c r="BN455" s="403"/>
      <c r="BO455" s="403"/>
      <c r="BP455" s="403"/>
      <c r="BQ455" s="403"/>
      <c r="BR455" s="403"/>
      <c r="BS455" s="403"/>
      <c r="BT455" s="403"/>
      <c r="BU455" s="403"/>
      <c r="BV455" s="403"/>
      <c r="BW455" s="403"/>
      <c r="BX455" s="403"/>
      <c r="BY455" s="403"/>
      <c r="BZ455" s="403"/>
      <c r="CA455" s="403"/>
      <c r="CB455" s="403"/>
      <c r="CC455" s="403"/>
      <c r="CD455" s="403"/>
      <c r="CE455" s="403"/>
      <c r="CF455" s="403"/>
      <c r="CG455" s="403"/>
      <c r="CH455" s="403"/>
      <c r="CI455" s="403"/>
      <c r="CJ455" s="403"/>
      <c r="CK455" s="403"/>
      <c r="CL455" s="403"/>
      <c r="CM455" s="403"/>
      <c r="CN455" s="403"/>
      <c r="CO455" s="403"/>
      <c r="CP455" s="403"/>
      <c r="CQ455" s="403"/>
      <c r="CR455" s="403"/>
      <c r="CS455" s="403"/>
      <c r="CT455" s="403"/>
      <c r="CU455" s="403"/>
      <c r="CV455" s="403"/>
      <c r="CW455" s="403"/>
      <c r="CX455" s="403"/>
      <c r="CY455" s="403"/>
      <c r="CZ455" s="403"/>
      <c r="DA455" s="403"/>
      <c r="DB455" s="403"/>
      <c r="DC455" s="403"/>
      <c r="DD455" s="403"/>
      <c r="DE455" s="403"/>
      <c r="DF455" s="403"/>
      <c r="DG455" s="403"/>
      <c r="DH455" s="403"/>
      <c r="DI455" s="403"/>
      <c r="DJ455" s="403"/>
      <c r="DK455" s="403"/>
      <c r="DL455" s="403"/>
      <c r="DM455" s="403"/>
      <c r="DN455" s="403"/>
    </row>
    <row r="456" spans="5:118" s="15" customFormat="1" x14ac:dyDescent="0.2">
      <c r="E456" s="122"/>
      <c r="F456" s="122"/>
      <c r="N456" s="403"/>
      <c r="O456" s="403"/>
      <c r="P456" s="403"/>
      <c r="Q456" s="403"/>
      <c r="R456" s="403"/>
      <c r="S456" s="403"/>
      <c r="T456" s="403"/>
      <c r="U456" s="403"/>
      <c r="V456" s="403"/>
      <c r="W456" s="403"/>
      <c r="X456" s="403"/>
      <c r="Y456" s="403"/>
      <c r="Z456" s="403"/>
      <c r="AA456" s="403"/>
      <c r="AB456" s="403"/>
      <c r="AC456" s="564"/>
      <c r="AD456" s="403"/>
      <c r="AE456" s="403"/>
      <c r="AF456" s="403"/>
      <c r="AG456" s="403"/>
      <c r="AH456" s="403"/>
      <c r="AI456" s="403"/>
      <c r="AJ456" s="403"/>
      <c r="AK456" s="403"/>
      <c r="AL456" s="403"/>
      <c r="AM456" s="403"/>
      <c r="AN456" s="403"/>
      <c r="AO456" s="403"/>
      <c r="AP456" s="403"/>
      <c r="AQ456" s="403"/>
      <c r="AR456" s="403"/>
      <c r="AS456" s="403"/>
      <c r="AT456" s="403"/>
      <c r="AU456" s="403"/>
      <c r="AV456" s="403"/>
      <c r="AW456" s="403"/>
      <c r="AX456" s="403"/>
      <c r="AY456" s="403"/>
      <c r="AZ456" s="403"/>
      <c r="BA456" s="403"/>
      <c r="BB456" s="403"/>
      <c r="BC456" s="403"/>
      <c r="BD456" s="403"/>
      <c r="BE456" s="403"/>
      <c r="BF456" s="403"/>
      <c r="BG456" s="403"/>
      <c r="BH456" s="403"/>
      <c r="BI456" s="403"/>
      <c r="BJ456" s="403"/>
      <c r="BK456" s="403"/>
      <c r="BL456" s="403"/>
      <c r="BM456" s="403"/>
      <c r="BN456" s="403"/>
      <c r="BO456" s="403"/>
      <c r="BP456" s="403"/>
      <c r="BQ456" s="403"/>
      <c r="BR456" s="403"/>
      <c r="BS456" s="403"/>
      <c r="BT456" s="403"/>
      <c r="BU456" s="403"/>
      <c r="BV456" s="403"/>
      <c r="BW456" s="403"/>
      <c r="BX456" s="403"/>
      <c r="BY456" s="403"/>
      <c r="BZ456" s="403"/>
      <c r="CA456" s="403"/>
      <c r="CB456" s="403"/>
      <c r="CC456" s="403"/>
      <c r="CD456" s="403"/>
      <c r="CE456" s="403"/>
      <c r="CF456" s="403"/>
      <c r="CG456" s="403"/>
      <c r="CH456" s="403"/>
      <c r="CI456" s="403"/>
      <c r="CJ456" s="403"/>
      <c r="CK456" s="403"/>
      <c r="CL456" s="403"/>
      <c r="CM456" s="403"/>
      <c r="CN456" s="403"/>
      <c r="CO456" s="403"/>
      <c r="CP456" s="403"/>
      <c r="CQ456" s="403"/>
      <c r="CR456" s="403"/>
      <c r="CS456" s="403"/>
      <c r="CT456" s="403"/>
      <c r="CU456" s="403"/>
      <c r="CV456" s="403"/>
      <c r="CW456" s="403"/>
      <c r="CX456" s="403"/>
      <c r="CY456" s="403"/>
      <c r="CZ456" s="403"/>
      <c r="DA456" s="403"/>
      <c r="DB456" s="403"/>
      <c r="DC456" s="403"/>
      <c r="DD456" s="403"/>
      <c r="DE456" s="403"/>
      <c r="DF456" s="403"/>
      <c r="DG456" s="403"/>
      <c r="DH456" s="403"/>
      <c r="DI456" s="403"/>
      <c r="DJ456" s="403"/>
      <c r="DK456" s="403"/>
      <c r="DL456" s="403"/>
      <c r="DM456" s="403"/>
      <c r="DN456" s="403"/>
    </row>
    <row r="457" spans="5:118" s="15" customFormat="1" x14ac:dyDescent="0.2">
      <c r="E457" s="122"/>
      <c r="F457" s="122"/>
      <c r="N457" s="403"/>
      <c r="O457" s="403"/>
      <c r="P457" s="403"/>
      <c r="Q457" s="403"/>
      <c r="R457" s="403"/>
      <c r="S457" s="403"/>
      <c r="T457" s="403"/>
      <c r="U457" s="403"/>
      <c r="V457" s="403"/>
      <c r="W457" s="403"/>
      <c r="X457" s="403"/>
      <c r="Y457" s="403"/>
      <c r="Z457" s="403"/>
      <c r="AA457" s="403"/>
      <c r="AB457" s="403"/>
      <c r="AC457" s="564"/>
      <c r="AD457" s="403"/>
      <c r="AE457" s="403"/>
      <c r="AF457" s="403"/>
      <c r="AG457" s="403"/>
      <c r="AH457" s="403"/>
      <c r="AI457" s="403"/>
      <c r="AJ457" s="403"/>
      <c r="AK457" s="403"/>
      <c r="AL457" s="403"/>
      <c r="AM457" s="403"/>
      <c r="AN457" s="403"/>
      <c r="AO457" s="403"/>
      <c r="AP457" s="403"/>
      <c r="AQ457" s="403"/>
      <c r="AR457" s="403"/>
      <c r="AS457" s="403"/>
      <c r="AT457" s="403"/>
      <c r="AU457" s="403"/>
      <c r="AV457" s="403"/>
      <c r="AW457" s="403"/>
      <c r="AX457" s="403"/>
      <c r="AY457" s="403"/>
      <c r="AZ457" s="403"/>
      <c r="BA457" s="403"/>
      <c r="BB457" s="403"/>
      <c r="BC457" s="403"/>
      <c r="BD457" s="403"/>
      <c r="BE457" s="403"/>
      <c r="BF457" s="403"/>
      <c r="BG457" s="403"/>
      <c r="BH457" s="403"/>
      <c r="BI457" s="403"/>
      <c r="BJ457" s="403"/>
      <c r="BK457" s="403"/>
      <c r="BL457" s="403"/>
      <c r="BM457" s="403"/>
      <c r="BN457" s="403"/>
      <c r="BO457" s="403"/>
      <c r="BP457" s="403"/>
      <c r="BQ457" s="403"/>
      <c r="BR457" s="403"/>
      <c r="BS457" s="403"/>
      <c r="BT457" s="403"/>
      <c r="BU457" s="403"/>
      <c r="BV457" s="403"/>
      <c r="BW457" s="403"/>
      <c r="BX457" s="403"/>
      <c r="BY457" s="403"/>
      <c r="BZ457" s="403"/>
      <c r="CA457" s="403"/>
      <c r="CB457" s="403"/>
      <c r="CC457" s="403"/>
      <c r="CD457" s="403"/>
      <c r="CE457" s="403"/>
      <c r="CF457" s="403"/>
      <c r="CG457" s="403"/>
      <c r="CH457" s="403"/>
      <c r="CI457" s="403"/>
      <c r="CJ457" s="403"/>
      <c r="CK457" s="403"/>
      <c r="CL457" s="403"/>
      <c r="CM457" s="403"/>
      <c r="CN457" s="403"/>
      <c r="CO457" s="403"/>
      <c r="CP457" s="403"/>
      <c r="CQ457" s="403"/>
      <c r="CR457" s="403"/>
      <c r="CS457" s="403"/>
      <c r="CT457" s="403"/>
      <c r="CU457" s="403"/>
      <c r="CV457" s="403"/>
      <c r="CW457" s="403"/>
      <c r="CX457" s="403"/>
      <c r="CY457" s="403"/>
      <c r="CZ457" s="403"/>
      <c r="DA457" s="403"/>
      <c r="DB457" s="403"/>
      <c r="DC457" s="403"/>
      <c r="DD457" s="403"/>
      <c r="DE457" s="403"/>
      <c r="DF457" s="403"/>
      <c r="DG457" s="403"/>
      <c r="DH457" s="403"/>
      <c r="DI457" s="403"/>
      <c r="DJ457" s="403"/>
      <c r="DK457" s="403"/>
      <c r="DL457" s="403"/>
      <c r="DM457" s="403"/>
      <c r="DN457" s="403"/>
    </row>
    <row r="458" spans="5:118" s="15" customFormat="1" x14ac:dyDescent="0.2">
      <c r="E458" s="122"/>
      <c r="F458" s="122"/>
      <c r="N458" s="403"/>
      <c r="O458" s="403"/>
      <c r="P458" s="403"/>
      <c r="Q458" s="403"/>
      <c r="R458" s="403"/>
      <c r="S458" s="403"/>
      <c r="T458" s="403"/>
      <c r="U458" s="403"/>
      <c r="V458" s="403"/>
      <c r="W458" s="403"/>
      <c r="X458" s="403"/>
      <c r="Y458" s="403"/>
      <c r="Z458" s="403"/>
      <c r="AA458" s="403"/>
      <c r="AB458" s="403"/>
      <c r="AC458" s="564"/>
      <c r="AD458" s="403"/>
      <c r="AE458" s="403"/>
      <c r="AF458" s="403"/>
      <c r="AG458" s="403"/>
      <c r="AH458" s="403"/>
      <c r="AI458" s="403"/>
      <c r="AJ458" s="403"/>
      <c r="AK458" s="403"/>
      <c r="AL458" s="403"/>
      <c r="AM458" s="403"/>
      <c r="AN458" s="403"/>
      <c r="AO458" s="403"/>
      <c r="AP458" s="403"/>
      <c r="AQ458" s="403"/>
      <c r="AR458" s="403"/>
      <c r="AS458" s="403"/>
      <c r="AT458" s="403"/>
      <c r="AU458" s="403"/>
      <c r="AV458" s="403"/>
      <c r="AW458" s="403"/>
      <c r="AX458" s="403"/>
      <c r="AY458" s="403"/>
      <c r="AZ458" s="403"/>
      <c r="BA458" s="403"/>
      <c r="BB458" s="403"/>
      <c r="BC458" s="403"/>
      <c r="BD458" s="403"/>
      <c r="BE458" s="403"/>
      <c r="BF458" s="403"/>
      <c r="BG458" s="403"/>
      <c r="BH458" s="403"/>
      <c r="BI458" s="403"/>
      <c r="BJ458" s="403"/>
      <c r="BK458" s="403"/>
      <c r="BL458" s="403"/>
      <c r="BM458" s="403"/>
      <c r="BN458" s="403"/>
      <c r="BO458" s="403"/>
      <c r="BP458" s="403"/>
      <c r="BQ458" s="403"/>
      <c r="BR458" s="403"/>
      <c r="BS458" s="403"/>
      <c r="BT458" s="403"/>
      <c r="BU458" s="403"/>
      <c r="BV458" s="403"/>
      <c r="BW458" s="403"/>
      <c r="BX458" s="403"/>
      <c r="BY458" s="403"/>
      <c r="BZ458" s="403"/>
      <c r="CA458" s="403"/>
      <c r="CB458" s="403"/>
      <c r="CC458" s="403"/>
      <c r="CD458" s="403"/>
      <c r="CE458" s="403"/>
      <c r="CF458" s="403"/>
      <c r="CG458" s="403"/>
      <c r="CH458" s="403"/>
      <c r="CI458" s="403"/>
      <c r="CJ458" s="403"/>
      <c r="CK458" s="403"/>
      <c r="CL458" s="403"/>
      <c r="CM458" s="403"/>
      <c r="CN458" s="403"/>
      <c r="CO458" s="403"/>
      <c r="CP458" s="403"/>
      <c r="CQ458" s="403"/>
      <c r="CR458" s="403"/>
      <c r="CS458" s="403"/>
      <c r="CT458" s="403"/>
      <c r="CU458" s="403"/>
      <c r="CV458" s="403"/>
      <c r="CW458" s="403"/>
      <c r="CX458" s="403"/>
      <c r="CY458" s="403"/>
      <c r="CZ458" s="403"/>
      <c r="DA458" s="403"/>
      <c r="DB458" s="403"/>
      <c r="DC458" s="403"/>
      <c r="DD458" s="403"/>
      <c r="DE458" s="403"/>
      <c r="DF458" s="403"/>
      <c r="DG458" s="403"/>
      <c r="DH458" s="403"/>
      <c r="DI458" s="403"/>
      <c r="DJ458" s="403"/>
      <c r="DK458" s="403"/>
      <c r="DL458" s="403"/>
      <c r="DM458" s="403"/>
      <c r="DN458" s="403"/>
    </row>
    <row r="459" spans="5:118" s="15" customFormat="1" x14ac:dyDescent="0.2">
      <c r="E459" s="122"/>
      <c r="F459" s="122"/>
      <c r="N459" s="403"/>
      <c r="O459" s="403"/>
      <c r="P459" s="403"/>
      <c r="Q459" s="403"/>
      <c r="R459" s="403"/>
      <c r="S459" s="403"/>
      <c r="T459" s="403"/>
      <c r="U459" s="403"/>
      <c r="V459" s="403"/>
      <c r="W459" s="403"/>
      <c r="X459" s="403"/>
      <c r="Y459" s="403"/>
      <c r="Z459" s="403"/>
      <c r="AA459" s="403"/>
      <c r="AB459" s="403"/>
      <c r="AC459" s="564"/>
      <c r="AD459" s="403"/>
      <c r="AE459" s="403"/>
      <c r="AF459" s="403"/>
      <c r="AG459" s="403"/>
      <c r="AH459" s="403"/>
      <c r="AI459" s="403"/>
      <c r="AJ459" s="403"/>
      <c r="AK459" s="403"/>
      <c r="AL459" s="403"/>
      <c r="AM459" s="403"/>
      <c r="AN459" s="403"/>
      <c r="AO459" s="403"/>
      <c r="AP459" s="403"/>
      <c r="AQ459" s="403"/>
      <c r="AR459" s="403"/>
      <c r="AS459" s="403"/>
      <c r="AT459" s="403"/>
      <c r="AU459" s="403"/>
      <c r="AV459" s="403"/>
      <c r="AW459" s="403"/>
      <c r="AX459" s="403"/>
      <c r="AY459" s="403"/>
      <c r="AZ459" s="403"/>
      <c r="BA459" s="403"/>
      <c r="BB459" s="403"/>
      <c r="BC459" s="403"/>
      <c r="BD459" s="403"/>
      <c r="BE459" s="403"/>
      <c r="BF459" s="403"/>
      <c r="BG459" s="403"/>
      <c r="BH459" s="403"/>
      <c r="BI459" s="403"/>
      <c r="BJ459" s="403"/>
      <c r="BK459" s="403"/>
      <c r="BL459" s="403"/>
      <c r="BM459" s="403"/>
      <c r="BN459" s="403"/>
      <c r="BO459" s="403"/>
      <c r="BP459" s="403"/>
      <c r="BQ459" s="403"/>
      <c r="BR459" s="403"/>
      <c r="BS459" s="403"/>
      <c r="BT459" s="403"/>
      <c r="BU459" s="403"/>
      <c r="BV459" s="403"/>
      <c r="BW459" s="403"/>
      <c r="BX459" s="403"/>
      <c r="BY459" s="403"/>
      <c r="BZ459" s="403"/>
      <c r="CA459" s="403"/>
      <c r="CB459" s="403"/>
      <c r="CC459" s="403"/>
      <c r="CD459" s="403"/>
      <c r="CE459" s="403"/>
      <c r="CF459" s="403"/>
      <c r="CG459" s="403"/>
      <c r="CH459" s="403"/>
      <c r="CI459" s="403"/>
      <c r="CJ459" s="403"/>
      <c r="CK459" s="403"/>
      <c r="CL459" s="403"/>
      <c r="CM459" s="403"/>
      <c r="CN459" s="403"/>
      <c r="CO459" s="403"/>
      <c r="CP459" s="403"/>
      <c r="CQ459" s="403"/>
      <c r="CR459" s="403"/>
      <c r="CS459" s="403"/>
      <c r="CT459" s="403"/>
      <c r="CU459" s="403"/>
      <c r="CV459" s="403"/>
      <c r="CW459" s="403"/>
      <c r="CX459" s="403"/>
      <c r="CY459" s="403"/>
      <c r="CZ459" s="403"/>
      <c r="DA459" s="403"/>
      <c r="DB459" s="403"/>
      <c r="DC459" s="403"/>
      <c r="DD459" s="403"/>
      <c r="DE459" s="403"/>
      <c r="DF459" s="403"/>
      <c r="DG459" s="403"/>
      <c r="DH459" s="403"/>
      <c r="DI459" s="403"/>
      <c r="DJ459" s="403"/>
      <c r="DK459" s="403"/>
      <c r="DL459" s="403"/>
      <c r="DM459" s="403"/>
      <c r="DN459" s="403"/>
    </row>
    <row r="460" spans="5:118" s="15" customFormat="1" x14ac:dyDescent="0.2">
      <c r="E460" s="122"/>
      <c r="F460" s="122"/>
      <c r="N460" s="403"/>
      <c r="O460" s="403"/>
      <c r="P460" s="403"/>
      <c r="Q460" s="403"/>
      <c r="R460" s="403"/>
      <c r="S460" s="403"/>
      <c r="T460" s="403"/>
      <c r="U460" s="403"/>
      <c r="V460" s="403"/>
      <c r="W460" s="403"/>
      <c r="X460" s="403"/>
      <c r="Y460" s="403"/>
      <c r="Z460" s="403"/>
      <c r="AA460" s="403"/>
      <c r="AB460" s="403"/>
      <c r="AC460" s="564"/>
      <c r="AD460" s="403"/>
      <c r="AE460" s="403"/>
      <c r="AF460" s="403"/>
      <c r="AG460" s="403"/>
      <c r="AH460" s="403"/>
      <c r="AI460" s="403"/>
      <c r="AJ460" s="403"/>
      <c r="AK460" s="403"/>
      <c r="AL460" s="403"/>
      <c r="AM460" s="403"/>
      <c r="AN460" s="403"/>
      <c r="AO460" s="403"/>
      <c r="AP460" s="403"/>
      <c r="AQ460" s="403"/>
      <c r="AR460" s="403"/>
      <c r="AS460" s="403"/>
      <c r="AT460" s="403"/>
      <c r="AU460" s="403"/>
      <c r="AV460" s="403"/>
      <c r="AW460" s="403"/>
      <c r="AX460" s="403"/>
      <c r="AY460" s="403"/>
      <c r="AZ460" s="403"/>
      <c r="BA460" s="403"/>
      <c r="BB460" s="403"/>
      <c r="BC460" s="403"/>
      <c r="BD460" s="403"/>
      <c r="BE460" s="403"/>
      <c r="BF460" s="403"/>
      <c r="BG460" s="403"/>
      <c r="BH460" s="403"/>
      <c r="BI460" s="403"/>
      <c r="BJ460" s="403"/>
      <c r="BK460" s="403"/>
      <c r="BL460" s="403"/>
      <c r="BM460" s="403"/>
      <c r="BN460" s="403"/>
      <c r="BO460" s="403"/>
      <c r="BP460" s="403"/>
      <c r="BQ460" s="403"/>
      <c r="BR460" s="403"/>
      <c r="BS460" s="403"/>
      <c r="BT460" s="403"/>
      <c r="BU460" s="403"/>
      <c r="BV460" s="403"/>
      <c r="BW460" s="403"/>
      <c r="BX460" s="403"/>
      <c r="BY460" s="403"/>
      <c r="BZ460" s="403"/>
      <c r="CA460" s="403"/>
      <c r="CB460" s="403"/>
      <c r="CC460" s="403"/>
      <c r="CD460" s="403"/>
      <c r="CE460" s="403"/>
      <c r="CF460" s="403"/>
      <c r="CG460" s="403"/>
      <c r="CH460" s="403"/>
      <c r="CI460" s="403"/>
      <c r="CJ460" s="403"/>
      <c r="CK460" s="403"/>
      <c r="CL460" s="403"/>
      <c r="CM460" s="403"/>
      <c r="CN460" s="403"/>
      <c r="CO460" s="403"/>
      <c r="CP460" s="403"/>
      <c r="CQ460" s="403"/>
      <c r="CR460" s="403"/>
      <c r="CS460" s="403"/>
      <c r="CT460" s="403"/>
      <c r="CU460" s="403"/>
      <c r="CV460" s="403"/>
      <c r="CW460" s="403"/>
      <c r="CX460" s="403"/>
      <c r="CY460" s="403"/>
      <c r="CZ460" s="403"/>
      <c r="DA460" s="403"/>
      <c r="DB460" s="403"/>
      <c r="DC460" s="403"/>
      <c r="DD460" s="403"/>
      <c r="DE460" s="403"/>
      <c r="DF460" s="403"/>
      <c r="DG460" s="403"/>
      <c r="DH460" s="403"/>
      <c r="DI460" s="403"/>
      <c r="DJ460" s="403"/>
      <c r="DK460" s="403"/>
      <c r="DL460" s="403"/>
      <c r="DM460" s="403"/>
      <c r="DN460" s="403"/>
    </row>
    <row r="461" spans="5:118" s="15" customFormat="1" x14ac:dyDescent="0.2">
      <c r="E461" s="122"/>
      <c r="F461" s="122"/>
      <c r="N461" s="403"/>
      <c r="O461" s="403"/>
      <c r="P461" s="403"/>
      <c r="Q461" s="403"/>
      <c r="R461" s="403"/>
      <c r="S461" s="403"/>
      <c r="T461" s="403"/>
      <c r="U461" s="403"/>
      <c r="V461" s="403"/>
      <c r="W461" s="403"/>
      <c r="X461" s="403"/>
      <c r="Y461" s="403"/>
      <c r="Z461" s="403"/>
      <c r="AA461" s="403"/>
      <c r="AB461" s="403"/>
      <c r="AC461" s="564"/>
      <c r="AD461" s="403"/>
      <c r="AE461" s="403"/>
      <c r="AF461" s="403"/>
      <c r="AG461" s="403"/>
      <c r="AH461" s="403"/>
      <c r="AI461" s="403"/>
      <c r="AJ461" s="403"/>
      <c r="AK461" s="403"/>
      <c r="AL461" s="403"/>
      <c r="AM461" s="403"/>
      <c r="AN461" s="403"/>
      <c r="AO461" s="403"/>
      <c r="AP461" s="403"/>
      <c r="AQ461" s="403"/>
      <c r="AR461" s="403"/>
      <c r="AS461" s="403"/>
      <c r="AT461" s="403"/>
      <c r="AU461" s="403"/>
      <c r="AV461" s="403"/>
      <c r="AW461" s="403"/>
      <c r="AX461" s="403"/>
      <c r="AY461" s="403"/>
      <c r="AZ461" s="403"/>
      <c r="BA461" s="403"/>
      <c r="BB461" s="403"/>
      <c r="BC461" s="403"/>
      <c r="BD461" s="403"/>
      <c r="BE461" s="403"/>
      <c r="BF461" s="403"/>
      <c r="BG461" s="403"/>
      <c r="BH461" s="403"/>
      <c r="BI461" s="403"/>
      <c r="BJ461" s="403"/>
      <c r="BK461" s="403"/>
      <c r="BL461" s="403"/>
      <c r="BM461" s="403"/>
      <c r="BN461" s="403"/>
      <c r="BO461" s="403"/>
      <c r="BP461" s="403"/>
      <c r="BQ461" s="403"/>
      <c r="BR461" s="403"/>
      <c r="BS461" s="403"/>
      <c r="BT461" s="403"/>
      <c r="BU461" s="403"/>
      <c r="BV461" s="403"/>
      <c r="BW461" s="403"/>
      <c r="BX461" s="403"/>
      <c r="BY461" s="403"/>
      <c r="BZ461" s="403"/>
      <c r="CA461" s="403"/>
      <c r="CB461" s="403"/>
      <c r="CC461" s="403"/>
      <c r="CD461" s="403"/>
      <c r="CE461" s="403"/>
      <c r="CF461" s="403"/>
      <c r="CG461" s="403"/>
      <c r="CH461" s="403"/>
      <c r="CI461" s="403"/>
      <c r="CJ461" s="403"/>
      <c r="CK461" s="403"/>
      <c r="CL461" s="403"/>
      <c r="CM461" s="403"/>
      <c r="CN461" s="403"/>
      <c r="CO461" s="403"/>
      <c r="CP461" s="403"/>
      <c r="CQ461" s="403"/>
      <c r="CR461" s="403"/>
      <c r="CS461" s="403"/>
      <c r="CT461" s="403"/>
      <c r="CU461" s="403"/>
      <c r="CV461" s="403"/>
      <c r="CW461" s="403"/>
      <c r="CX461" s="403"/>
      <c r="CY461" s="403"/>
      <c r="CZ461" s="403"/>
      <c r="DA461" s="403"/>
      <c r="DB461" s="403"/>
      <c r="DC461" s="403"/>
      <c r="DD461" s="403"/>
      <c r="DE461" s="403"/>
      <c r="DF461" s="403"/>
      <c r="DG461" s="403"/>
      <c r="DH461" s="403"/>
      <c r="DI461" s="403"/>
      <c r="DJ461" s="403"/>
      <c r="DK461" s="403"/>
      <c r="DL461" s="403"/>
      <c r="DM461" s="403"/>
      <c r="DN461" s="403"/>
    </row>
    <row r="462" spans="5:118" s="15" customFormat="1" x14ac:dyDescent="0.2">
      <c r="E462" s="122"/>
      <c r="F462" s="122"/>
      <c r="N462" s="403"/>
      <c r="O462" s="403"/>
      <c r="P462" s="403"/>
      <c r="Q462" s="403"/>
      <c r="R462" s="403"/>
      <c r="S462" s="403"/>
      <c r="T462" s="403"/>
      <c r="U462" s="403"/>
      <c r="V462" s="403"/>
      <c r="W462" s="403"/>
      <c r="X462" s="403"/>
      <c r="Y462" s="403"/>
      <c r="Z462" s="403"/>
      <c r="AA462" s="403"/>
      <c r="AB462" s="403"/>
      <c r="AC462" s="564"/>
      <c r="AD462" s="403"/>
      <c r="AE462" s="403"/>
      <c r="AF462" s="403"/>
      <c r="AG462" s="403"/>
      <c r="AH462" s="403"/>
      <c r="AI462" s="403"/>
      <c r="AJ462" s="403"/>
      <c r="AK462" s="403"/>
      <c r="AL462" s="403"/>
      <c r="AM462" s="403"/>
      <c r="AN462" s="403"/>
      <c r="AO462" s="403"/>
      <c r="AP462" s="403"/>
      <c r="AQ462" s="403"/>
      <c r="AR462" s="403"/>
      <c r="AS462" s="403"/>
      <c r="AT462" s="403"/>
      <c r="AU462" s="403"/>
      <c r="AV462" s="403"/>
      <c r="AW462" s="403"/>
      <c r="AX462" s="403"/>
      <c r="AY462" s="403"/>
      <c r="AZ462" s="403"/>
      <c r="BA462" s="403"/>
      <c r="BB462" s="403"/>
      <c r="BC462" s="403"/>
      <c r="BD462" s="403"/>
      <c r="BE462" s="403"/>
      <c r="BF462" s="403"/>
      <c r="BG462" s="403"/>
      <c r="BH462" s="403"/>
      <c r="BI462" s="403"/>
      <c r="BJ462" s="403"/>
      <c r="BK462" s="403"/>
      <c r="BL462" s="403"/>
      <c r="BM462" s="403"/>
      <c r="BN462" s="403"/>
      <c r="BO462" s="403"/>
      <c r="BP462" s="403"/>
      <c r="BQ462" s="403"/>
      <c r="BR462" s="403"/>
      <c r="BS462" s="403"/>
      <c r="BT462" s="403"/>
      <c r="BU462" s="403"/>
      <c r="BV462" s="403"/>
      <c r="BW462" s="403"/>
      <c r="BX462" s="403"/>
      <c r="BY462" s="403"/>
      <c r="BZ462" s="403"/>
      <c r="CA462" s="403"/>
      <c r="CB462" s="403"/>
      <c r="CC462" s="403"/>
      <c r="CD462" s="403"/>
      <c r="CE462" s="403"/>
      <c r="CF462" s="403"/>
      <c r="CG462" s="403"/>
      <c r="CH462" s="403"/>
      <c r="CI462" s="403"/>
      <c r="CJ462" s="403"/>
      <c r="CK462" s="403"/>
      <c r="CL462" s="403"/>
      <c r="CM462" s="403"/>
      <c r="CN462" s="403"/>
      <c r="CO462" s="403"/>
      <c r="CP462" s="403"/>
      <c r="CQ462" s="403"/>
      <c r="CR462" s="403"/>
      <c r="CS462" s="403"/>
      <c r="CT462" s="403"/>
      <c r="CU462" s="403"/>
      <c r="CV462" s="403"/>
      <c r="CW462" s="403"/>
      <c r="CX462" s="403"/>
      <c r="CY462" s="403"/>
      <c r="CZ462" s="403"/>
      <c r="DA462" s="403"/>
      <c r="DB462" s="403"/>
      <c r="DC462" s="403"/>
      <c r="DD462" s="403"/>
      <c r="DE462" s="403"/>
      <c r="DF462" s="403"/>
      <c r="DG462" s="403"/>
      <c r="DH462" s="403"/>
      <c r="DI462" s="403"/>
      <c r="DJ462" s="403"/>
      <c r="DK462" s="403"/>
      <c r="DL462" s="403"/>
      <c r="DM462" s="403"/>
      <c r="DN462" s="403"/>
    </row>
    <row r="463" spans="5:118" s="15" customFormat="1" x14ac:dyDescent="0.2">
      <c r="E463" s="122"/>
      <c r="F463" s="122"/>
      <c r="N463" s="403"/>
      <c r="O463" s="403"/>
      <c r="P463" s="403"/>
      <c r="Q463" s="403"/>
      <c r="R463" s="403"/>
      <c r="S463" s="403"/>
      <c r="T463" s="403"/>
      <c r="U463" s="403"/>
      <c r="V463" s="403"/>
      <c r="W463" s="403"/>
      <c r="X463" s="403"/>
      <c r="Y463" s="403"/>
      <c r="Z463" s="403"/>
      <c r="AA463" s="403"/>
      <c r="AB463" s="403"/>
      <c r="AC463" s="564"/>
      <c r="AD463" s="403"/>
      <c r="AE463" s="403"/>
      <c r="AF463" s="403"/>
      <c r="AG463" s="403"/>
      <c r="AH463" s="403"/>
      <c r="AI463" s="403"/>
      <c r="AJ463" s="403"/>
      <c r="AK463" s="403"/>
      <c r="AL463" s="403"/>
      <c r="AM463" s="403"/>
      <c r="AN463" s="403"/>
      <c r="AO463" s="403"/>
      <c r="AP463" s="403"/>
      <c r="AQ463" s="403"/>
      <c r="AR463" s="403"/>
      <c r="AS463" s="403"/>
      <c r="AT463" s="403"/>
      <c r="AU463" s="403"/>
      <c r="AV463" s="403"/>
      <c r="AW463" s="403"/>
      <c r="AX463" s="403"/>
      <c r="AY463" s="403"/>
      <c r="AZ463" s="403"/>
      <c r="BA463" s="403"/>
      <c r="BB463" s="403"/>
      <c r="BC463" s="403"/>
      <c r="BD463" s="403"/>
      <c r="BE463" s="403"/>
      <c r="BF463" s="403"/>
      <c r="BG463" s="403"/>
      <c r="BH463" s="403"/>
      <c r="BI463" s="403"/>
      <c r="BJ463" s="403"/>
      <c r="BK463" s="403"/>
      <c r="BL463" s="403"/>
      <c r="BM463" s="403"/>
      <c r="BN463" s="403"/>
      <c r="BO463" s="403"/>
      <c r="BP463" s="403"/>
      <c r="BQ463" s="403"/>
      <c r="BR463" s="403"/>
      <c r="BS463" s="403"/>
      <c r="BT463" s="403"/>
      <c r="BU463" s="403"/>
      <c r="BV463" s="403"/>
      <c r="BW463" s="403"/>
      <c r="BX463" s="403"/>
      <c r="BY463" s="403"/>
      <c r="BZ463" s="403"/>
      <c r="CA463" s="403"/>
      <c r="CB463" s="403"/>
      <c r="CC463" s="403"/>
      <c r="CD463" s="403"/>
      <c r="CE463" s="403"/>
      <c r="CF463" s="403"/>
      <c r="CG463" s="403"/>
      <c r="CH463" s="403"/>
      <c r="CI463" s="403"/>
      <c r="CJ463" s="403"/>
      <c r="CK463" s="403"/>
      <c r="CL463" s="403"/>
      <c r="CM463" s="403"/>
      <c r="CN463" s="403"/>
      <c r="CO463" s="403"/>
      <c r="CP463" s="403"/>
      <c r="CQ463" s="403"/>
      <c r="CR463" s="403"/>
      <c r="CS463" s="403"/>
      <c r="CT463" s="403"/>
      <c r="CU463" s="403"/>
      <c r="CV463" s="403"/>
      <c r="CW463" s="403"/>
      <c r="CX463" s="403"/>
      <c r="CY463" s="403"/>
      <c r="CZ463" s="403"/>
      <c r="DA463" s="403"/>
      <c r="DB463" s="403"/>
      <c r="DC463" s="403"/>
      <c r="DD463" s="403"/>
      <c r="DE463" s="403"/>
      <c r="DF463" s="403"/>
      <c r="DG463" s="403"/>
      <c r="DH463" s="403"/>
      <c r="DI463" s="403"/>
      <c r="DJ463" s="403"/>
      <c r="DK463" s="403"/>
      <c r="DL463" s="403"/>
      <c r="DM463" s="403"/>
      <c r="DN463" s="403"/>
    </row>
    <row r="464" spans="5:118" s="15" customFormat="1" x14ac:dyDescent="0.2">
      <c r="E464" s="122"/>
      <c r="F464" s="122"/>
      <c r="N464" s="403"/>
      <c r="O464" s="403"/>
      <c r="P464" s="403"/>
      <c r="Q464" s="403"/>
      <c r="R464" s="403"/>
      <c r="S464" s="403"/>
      <c r="T464" s="403"/>
      <c r="U464" s="403"/>
      <c r="V464" s="403"/>
      <c r="W464" s="403"/>
      <c r="X464" s="403"/>
      <c r="Y464" s="403"/>
      <c r="Z464" s="403"/>
      <c r="AA464" s="403"/>
      <c r="AB464" s="403"/>
      <c r="AC464" s="564"/>
      <c r="AD464" s="403"/>
      <c r="AE464" s="403"/>
      <c r="AF464" s="403"/>
      <c r="AG464" s="403"/>
      <c r="AH464" s="403"/>
      <c r="AI464" s="403"/>
      <c r="AJ464" s="403"/>
      <c r="AK464" s="403"/>
      <c r="AL464" s="403"/>
      <c r="AM464" s="403"/>
      <c r="AN464" s="403"/>
      <c r="AO464" s="403"/>
      <c r="AP464" s="403"/>
      <c r="AQ464" s="403"/>
      <c r="AR464" s="403"/>
      <c r="AS464" s="403"/>
      <c r="AT464" s="403"/>
      <c r="AU464" s="403"/>
      <c r="AV464" s="403"/>
      <c r="AW464" s="403"/>
      <c r="AX464" s="403"/>
      <c r="AY464" s="403"/>
      <c r="AZ464" s="403"/>
      <c r="BA464" s="403"/>
      <c r="BB464" s="403"/>
      <c r="BC464" s="403"/>
      <c r="BD464" s="403"/>
      <c r="BE464" s="403"/>
      <c r="BF464" s="403"/>
      <c r="BG464" s="403"/>
      <c r="BH464" s="403"/>
      <c r="BI464" s="403"/>
      <c r="BJ464" s="403"/>
      <c r="BK464" s="403"/>
      <c r="BL464" s="403"/>
      <c r="BM464" s="403"/>
      <c r="BN464" s="403"/>
      <c r="BO464" s="403"/>
      <c r="BP464" s="403"/>
      <c r="BQ464" s="403"/>
      <c r="BR464" s="403"/>
      <c r="BS464" s="403"/>
      <c r="BT464" s="403"/>
      <c r="BU464" s="403"/>
      <c r="BV464" s="403"/>
      <c r="BW464" s="403"/>
      <c r="BX464" s="403"/>
      <c r="BY464" s="403"/>
      <c r="BZ464" s="403"/>
      <c r="CA464" s="403"/>
      <c r="CB464" s="403"/>
      <c r="CC464" s="403"/>
      <c r="CD464" s="403"/>
      <c r="CE464" s="403"/>
      <c r="CF464" s="403"/>
      <c r="CG464" s="403"/>
      <c r="CH464" s="403"/>
      <c r="CI464" s="403"/>
      <c r="CJ464" s="403"/>
      <c r="CK464" s="403"/>
      <c r="CL464" s="403"/>
      <c r="CM464" s="403"/>
      <c r="CN464" s="403"/>
      <c r="CO464" s="403"/>
      <c r="CP464" s="403"/>
      <c r="CQ464" s="403"/>
      <c r="CR464" s="403"/>
      <c r="CS464" s="403"/>
      <c r="CT464" s="403"/>
      <c r="CU464" s="403"/>
      <c r="CV464" s="403"/>
      <c r="CW464" s="403"/>
      <c r="CX464" s="403"/>
      <c r="CY464" s="403"/>
      <c r="CZ464" s="403"/>
      <c r="DA464" s="403"/>
      <c r="DB464" s="403"/>
      <c r="DC464" s="403"/>
      <c r="DD464" s="403"/>
      <c r="DE464" s="403"/>
      <c r="DF464" s="403"/>
      <c r="DG464" s="403"/>
      <c r="DH464" s="403"/>
      <c r="DI464" s="403"/>
      <c r="DJ464" s="403"/>
      <c r="DK464" s="403"/>
      <c r="DL464" s="403"/>
      <c r="DM464" s="403"/>
      <c r="DN464" s="403"/>
    </row>
    <row r="465" spans="5:118" s="15" customFormat="1" x14ac:dyDescent="0.2">
      <c r="E465" s="122"/>
      <c r="F465" s="122"/>
      <c r="N465" s="403"/>
      <c r="O465" s="403"/>
      <c r="P465" s="403"/>
      <c r="Q465" s="403"/>
      <c r="R465" s="403"/>
      <c r="S465" s="403"/>
      <c r="T465" s="403"/>
      <c r="U465" s="403"/>
      <c r="V465" s="403"/>
      <c r="W465" s="403"/>
      <c r="X465" s="403"/>
      <c r="Y465" s="403"/>
      <c r="Z465" s="403"/>
      <c r="AA465" s="403"/>
      <c r="AB465" s="403"/>
      <c r="AC465" s="564"/>
      <c r="AD465" s="403"/>
      <c r="AE465" s="403"/>
      <c r="AF465" s="403"/>
      <c r="AG465" s="403"/>
      <c r="AH465" s="403"/>
      <c r="AI465" s="403"/>
      <c r="AJ465" s="403"/>
      <c r="AK465" s="403"/>
      <c r="AL465" s="403"/>
      <c r="AM465" s="403"/>
      <c r="AN465" s="403"/>
      <c r="AO465" s="403"/>
      <c r="AP465" s="403"/>
      <c r="AQ465" s="403"/>
      <c r="AR465" s="403"/>
      <c r="AS465" s="403"/>
      <c r="AT465" s="403"/>
      <c r="AU465" s="403"/>
      <c r="AV465" s="403"/>
      <c r="AW465" s="403"/>
      <c r="AX465" s="403"/>
      <c r="AY465" s="403"/>
      <c r="AZ465" s="403"/>
      <c r="BA465" s="403"/>
      <c r="BB465" s="403"/>
      <c r="BC465" s="403"/>
      <c r="BD465" s="403"/>
      <c r="BE465" s="403"/>
      <c r="BF465" s="403"/>
      <c r="BG465" s="403"/>
      <c r="BH465" s="403"/>
      <c r="BI465" s="403"/>
      <c r="BJ465" s="403"/>
      <c r="BK465" s="403"/>
      <c r="BL465" s="403"/>
      <c r="BM465" s="403"/>
      <c r="BN465" s="403"/>
      <c r="BO465" s="403"/>
      <c r="BP465" s="403"/>
      <c r="BQ465" s="403"/>
      <c r="BR465" s="403"/>
      <c r="BS465" s="403"/>
      <c r="BT465" s="403"/>
      <c r="BU465" s="403"/>
      <c r="BV465" s="403"/>
      <c r="BW465" s="403"/>
      <c r="BX465" s="403"/>
      <c r="BY465" s="403"/>
      <c r="BZ465" s="403"/>
      <c r="CA465" s="403"/>
      <c r="CB465" s="403"/>
      <c r="CC465" s="403"/>
      <c r="CD465" s="403"/>
      <c r="CE465" s="403"/>
      <c r="CF465" s="403"/>
      <c r="CG465" s="403"/>
      <c r="CH465" s="403"/>
      <c r="CI465" s="403"/>
      <c r="CJ465" s="403"/>
      <c r="CK465" s="403"/>
      <c r="CL465" s="403"/>
      <c r="CM465" s="403"/>
      <c r="CN465" s="403"/>
      <c r="CO465" s="403"/>
      <c r="CP465" s="403"/>
      <c r="CQ465" s="403"/>
      <c r="CR465" s="403"/>
      <c r="CS465" s="403"/>
      <c r="CT465" s="403"/>
      <c r="CU465" s="403"/>
      <c r="CV465" s="403"/>
      <c r="CW465" s="403"/>
      <c r="CX465" s="403"/>
      <c r="CY465" s="403"/>
      <c r="CZ465" s="403"/>
      <c r="DA465" s="403"/>
      <c r="DB465" s="403"/>
      <c r="DC465" s="403"/>
      <c r="DD465" s="403"/>
      <c r="DE465" s="403"/>
      <c r="DF465" s="403"/>
      <c r="DG465" s="403"/>
      <c r="DH465" s="403"/>
      <c r="DI465" s="403"/>
      <c r="DJ465" s="403"/>
      <c r="DK465" s="403"/>
      <c r="DL465" s="403"/>
      <c r="DM465" s="403"/>
      <c r="DN465" s="403"/>
    </row>
    <row r="466" spans="5:118" s="15" customFormat="1" x14ac:dyDescent="0.2">
      <c r="E466" s="122"/>
      <c r="F466" s="122"/>
      <c r="N466" s="403"/>
      <c r="O466" s="403"/>
      <c r="P466" s="403"/>
      <c r="Q466" s="403"/>
      <c r="R466" s="403"/>
      <c r="S466" s="403"/>
      <c r="T466" s="403"/>
      <c r="U466" s="403"/>
      <c r="V466" s="403"/>
      <c r="W466" s="403"/>
      <c r="X466" s="403"/>
      <c r="Y466" s="403"/>
      <c r="Z466" s="403"/>
      <c r="AA466" s="403"/>
      <c r="AB466" s="403"/>
      <c r="AC466" s="564"/>
      <c r="AD466" s="403"/>
      <c r="AE466" s="403"/>
      <c r="AF466" s="403"/>
      <c r="AG466" s="403"/>
      <c r="AH466" s="403"/>
      <c r="AI466" s="403"/>
      <c r="AJ466" s="403"/>
      <c r="AK466" s="403"/>
      <c r="AL466" s="403"/>
      <c r="AM466" s="403"/>
      <c r="AN466" s="403"/>
      <c r="AO466" s="403"/>
      <c r="AP466" s="403"/>
      <c r="AQ466" s="403"/>
      <c r="AR466" s="403"/>
      <c r="AS466" s="403"/>
      <c r="AT466" s="403"/>
      <c r="AU466" s="403"/>
      <c r="AV466" s="403"/>
      <c r="AW466" s="403"/>
      <c r="AX466" s="403"/>
      <c r="AY466" s="403"/>
      <c r="AZ466" s="403"/>
      <c r="BA466" s="403"/>
      <c r="BB466" s="403"/>
      <c r="BC466" s="403"/>
      <c r="BD466" s="403"/>
      <c r="BE466" s="403"/>
      <c r="BF466" s="403"/>
      <c r="BG466" s="403"/>
      <c r="BH466" s="403"/>
      <c r="BI466" s="403"/>
      <c r="BJ466" s="403"/>
      <c r="BK466" s="403"/>
      <c r="BL466" s="403"/>
      <c r="BM466" s="403"/>
      <c r="BN466" s="403"/>
      <c r="BO466" s="403"/>
      <c r="BP466" s="403"/>
      <c r="BQ466" s="403"/>
      <c r="BR466" s="403"/>
      <c r="BS466" s="403"/>
      <c r="BT466" s="403"/>
      <c r="BU466" s="403"/>
      <c r="BV466" s="403"/>
      <c r="BW466" s="403"/>
      <c r="BX466" s="403"/>
      <c r="BY466" s="403"/>
      <c r="BZ466" s="403"/>
      <c r="CA466" s="403"/>
      <c r="CB466" s="403"/>
      <c r="CC466" s="403"/>
      <c r="CD466" s="403"/>
      <c r="CE466" s="403"/>
      <c r="CF466" s="403"/>
      <c r="CG466" s="403"/>
      <c r="CH466" s="403"/>
      <c r="CI466" s="403"/>
      <c r="CJ466" s="403"/>
      <c r="CK466" s="403"/>
      <c r="CL466" s="403"/>
      <c r="CM466" s="403"/>
      <c r="CN466" s="403"/>
      <c r="CO466" s="403"/>
      <c r="CP466" s="403"/>
      <c r="CQ466" s="403"/>
      <c r="CR466" s="403"/>
      <c r="CS466" s="403"/>
      <c r="CT466" s="403"/>
      <c r="CU466" s="403"/>
      <c r="CV466" s="403"/>
      <c r="CW466" s="403"/>
      <c r="CX466" s="403"/>
      <c r="CY466" s="403"/>
      <c r="CZ466" s="403"/>
      <c r="DA466" s="403"/>
      <c r="DB466" s="403"/>
      <c r="DC466" s="403"/>
      <c r="DD466" s="403"/>
      <c r="DE466" s="403"/>
      <c r="DF466" s="403"/>
      <c r="DG466" s="403"/>
      <c r="DH466" s="403"/>
      <c r="DI466" s="403"/>
      <c r="DJ466" s="403"/>
      <c r="DK466" s="403"/>
      <c r="DL466" s="403"/>
      <c r="DM466" s="403"/>
      <c r="DN466" s="403"/>
    </row>
    <row r="467" spans="5:118" s="15" customFormat="1" x14ac:dyDescent="0.2">
      <c r="E467" s="122"/>
      <c r="F467" s="122"/>
      <c r="N467" s="403"/>
      <c r="O467" s="403"/>
      <c r="P467" s="403"/>
      <c r="Q467" s="403"/>
      <c r="R467" s="403"/>
      <c r="S467" s="403"/>
      <c r="T467" s="403"/>
      <c r="U467" s="403"/>
      <c r="V467" s="403"/>
      <c r="W467" s="403"/>
      <c r="X467" s="403"/>
      <c r="Y467" s="403"/>
      <c r="Z467" s="403"/>
      <c r="AA467" s="403"/>
      <c r="AB467" s="403"/>
      <c r="AC467" s="564"/>
      <c r="AD467" s="403"/>
      <c r="AE467" s="403"/>
      <c r="AF467" s="403"/>
      <c r="AG467" s="403"/>
      <c r="AH467" s="403"/>
      <c r="AI467" s="403"/>
      <c r="AJ467" s="403"/>
      <c r="AK467" s="403"/>
      <c r="AL467" s="403"/>
      <c r="AM467" s="403"/>
      <c r="AN467" s="403"/>
      <c r="AO467" s="403"/>
      <c r="AP467" s="403"/>
      <c r="AQ467" s="403"/>
      <c r="AR467" s="403"/>
      <c r="AS467" s="403"/>
      <c r="AT467" s="403"/>
      <c r="AU467" s="403"/>
      <c r="AV467" s="403"/>
      <c r="AW467" s="403"/>
      <c r="AX467" s="403"/>
      <c r="AY467" s="403"/>
      <c r="AZ467" s="403"/>
      <c r="BA467" s="403"/>
      <c r="BB467" s="403"/>
      <c r="BC467" s="403"/>
      <c r="BD467" s="403"/>
      <c r="BE467" s="403"/>
      <c r="BF467" s="403"/>
      <c r="BG467" s="403"/>
      <c r="BH467" s="403"/>
      <c r="BI467" s="403"/>
      <c r="BJ467" s="403"/>
      <c r="BK467" s="403"/>
      <c r="BL467" s="403"/>
      <c r="BM467" s="403"/>
      <c r="BN467" s="403"/>
      <c r="BO467" s="403"/>
      <c r="BP467" s="403"/>
      <c r="BQ467" s="403"/>
      <c r="BR467" s="403"/>
      <c r="BS467" s="403"/>
      <c r="BT467" s="403"/>
      <c r="BU467" s="403"/>
      <c r="BV467" s="403"/>
      <c r="BW467" s="403"/>
      <c r="BX467" s="403"/>
      <c r="BY467" s="403"/>
      <c r="BZ467" s="403"/>
      <c r="CA467" s="403"/>
      <c r="CB467" s="403"/>
      <c r="CC467" s="403"/>
      <c r="CD467" s="403"/>
      <c r="CE467" s="403"/>
      <c r="CF467" s="403"/>
      <c r="CG467" s="403"/>
      <c r="CH467" s="403"/>
      <c r="CI467" s="403"/>
      <c r="CJ467" s="403"/>
      <c r="CK467" s="403"/>
      <c r="CL467" s="403"/>
      <c r="CM467" s="403"/>
      <c r="CN467" s="403"/>
      <c r="CO467" s="403"/>
      <c r="CP467" s="403"/>
      <c r="CQ467" s="403"/>
      <c r="CR467" s="403"/>
      <c r="CS467" s="403"/>
      <c r="CT467" s="403"/>
      <c r="CU467" s="403"/>
      <c r="CV467" s="403"/>
      <c r="CW467" s="403"/>
      <c r="CX467" s="403"/>
      <c r="CY467" s="403"/>
      <c r="CZ467" s="403"/>
      <c r="DA467" s="403"/>
      <c r="DB467" s="403"/>
      <c r="DC467" s="403"/>
      <c r="DD467" s="403"/>
      <c r="DE467" s="403"/>
      <c r="DF467" s="403"/>
      <c r="DG467" s="403"/>
      <c r="DH467" s="403"/>
      <c r="DI467" s="403"/>
      <c r="DJ467" s="403"/>
      <c r="DK467" s="403"/>
      <c r="DL467" s="403"/>
      <c r="DM467" s="403"/>
      <c r="DN467" s="403"/>
    </row>
    <row r="468" spans="5:118" s="15" customFormat="1" x14ac:dyDescent="0.2">
      <c r="E468" s="122"/>
      <c r="F468" s="122"/>
      <c r="N468" s="403"/>
      <c r="O468" s="403"/>
      <c r="P468" s="403"/>
      <c r="Q468" s="403"/>
      <c r="R468" s="403"/>
      <c r="S468" s="403"/>
      <c r="T468" s="403"/>
      <c r="U468" s="403"/>
      <c r="V468" s="403"/>
      <c r="W468" s="403"/>
      <c r="X468" s="403"/>
      <c r="Y468" s="403"/>
      <c r="Z468" s="403"/>
      <c r="AA468" s="403"/>
      <c r="AB468" s="403"/>
      <c r="AC468" s="564"/>
      <c r="AD468" s="403"/>
      <c r="AE468" s="403"/>
      <c r="AF468" s="403"/>
      <c r="AG468" s="403"/>
      <c r="AH468" s="403"/>
      <c r="AI468" s="403"/>
      <c r="AJ468" s="403"/>
      <c r="AK468" s="403"/>
      <c r="AL468" s="403"/>
      <c r="AM468" s="403"/>
      <c r="AN468" s="403"/>
      <c r="AO468" s="403"/>
      <c r="AP468" s="403"/>
      <c r="AQ468" s="403"/>
      <c r="AR468" s="403"/>
      <c r="AS468" s="403"/>
      <c r="AT468" s="403"/>
      <c r="AU468" s="403"/>
      <c r="AV468" s="403"/>
      <c r="AW468" s="403"/>
      <c r="AX468" s="403"/>
      <c r="AY468" s="403"/>
      <c r="AZ468" s="403"/>
      <c r="BA468" s="403"/>
      <c r="BB468" s="403"/>
      <c r="BC468" s="403"/>
      <c r="BD468" s="403"/>
      <c r="BE468" s="403"/>
      <c r="BF468" s="403"/>
      <c r="BG468" s="403"/>
      <c r="BH468" s="403"/>
      <c r="BI468" s="403"/>
      <c r="BJ468" s="403"/>
      <c r="BK468" s="403"/>
      <c r="BL468" s="403"/>
      <c r="BM468" s="403"/>
      <c r="BN468" s="403"/>
      <c r="BO468" s="403"/>
      <c r="BP468" s="403"/>
      <c r="BQ468" s="403"/>
      <c r="BR468" s="403"/>
      <c r="BS468" s="403"/>
      <c r="BT468" s="403"/>
      <c r="BU468" s="403"/>
      <c r="BV468" s="403"/>
      <c r="BW468" s="403"/>
      <c r="BX468" s="403"/>
      <c r="BY468" s="403"/>
      <c r="BZ468" s="403"/>
      <c r="CA468" s="403"/>
      <c r="CB468" s="403"/>
      <c r="CC468" s="403"/>
      <c r="CD468" s="403"/>
      <c r="CE468" s="403"/>
      <c r="CF468" s="403"/>
      <c r="CG468" s="403"/>
      <c r="CH468" s="403"/>
      <c r="CI468" s="403"/>
      <c r="CJ468" s="403"/>
      <c r="CK468" s="403"/>
      <c r="CL468" s="403"/>
      <c r="CM468" s="403"/>
      <c r="CN468" s="403"/>
      <c r="CO468" s="403"/>
      <c r="CP468" s="403"/>
      <c r="CQ468" s="403"/>
      <c r="CR468" s="403"/>
      <c r="CS468" s="403"/>
      <c r="CT468" s="403"/>
      <c r="CU468" s="403"/>
      <c r="CV468" s="403"/>
      <c r="CW468" s="403"/>
      <c r="CX468" s="403"/>
      <c r="CY468" s="403"/>
      <c r="CZ468" s="403"/>
      <c r="DA468" s="403"/>
      <c r="DB468" s="403"/>
      <c r="DC468" s="403"/>
      <c r="DD468" s="403"/>
      <c r="DE468" s="403"/>
      <c r="DF468" s="403"/>
      <c r="DG468" s="403"/>
      <c r="DH468" s="403"/>
      <c r="DI468" s="403"/>
      <c r="DJ468" s="403"/>
      <c r="DK468" s="403"/>
      <c r="DL468" s="403"/>
      <c r="DM468" s="403"/>
      <c r="DN468" s="403"/>
    </row>
    <row r="469" spans="5:118" s="15" customFormat="1" x14ac:dyDescent="0.2">
      <c r="E469" s="122"/>
      <c r="F469" s="122"/>
      <c r="N469" s="403"/>
      <c r="O469" s="403"/>
      <c r="P469" s="403"/>
      <c r="Q469" s="403"/>
      <c r="R469" s="403"/>
      <c r="S469" s="403"/>
      <c r="T469" s="403"/>
      <c r="U469" s="403"/>
      <c r="V469" s="403"/>
      <c r="W469" s="403"/>
      <c r="X469" s="403"/>
      <c r="Y469" s="403"/>
      <c r="Z469" s="403"/>
      <c r="AA469" s="403"/>
      <c r="AB469" s="403"/>
      <c r="AC469" s="564"/>
      <c r="AD469" s="403"/>
      <c r="AE469" s="403"/>
      <c r="AF469" s="403"/>
      <c r="AG469" s="403"/>
      <c r="AH469" s="403"/>
      <c r="AI469" s="403"/>
      <c r="AJ469" s="403"/>
      <c r="AK469" s="403"/>
      <c r="AL469" s="403"/>
      <c r="AM469" s="403"/>
      <c r="AN469" s="403"/>
      <c r="AO469" s="403"/>
      <c r="AP469" s="403"/>
      <c r="AQ469" s="403"/>
      <c r="AR469" s="403"/>
      <c r="AS469" s="403"/>
      <c r="AT469" s="403"/>
      <c r="AU469" s="403"/>
      <c r="AV469" s="403"/>
      <c r="AW469" s="403"/>
      <c r="AX469" s="403"/>
      <c r="AY469" s="403"/>
      <c r="AZ469" s="403"/>
      <c r="BA469" s="403"/>
      <c r="BB469" s="403"/>
      <c r="BC469" s="403"/>
      <c r="BD469" s="403"/>
      <c r="BE469" s="403"/>
      <c r="BF469" s="403"/>
      <c r="BG469" s="403"/>
      <c r="BH469" s="403"/>
      <c r="BI469" s="403"/>
      <c r="BJ469" s="403"/>
      <c r="BK469" s="403"/>
      <c r="BL469" s="403"/>
      <c r="BM469" s="403"/>
      <c r="BN469" s="403"/>
      <c r="BO469" s="403"/>
      <c r="BP469" s="403"/>
      <c r="BQ469" s="403"/>
      <c r="BR469" s="403"/>
      <c r="BS469" s="403"/>
      <c r="BT469" s="403"/>
      <c r="BU469" s="403"/>
      <c r="BV469" s="403"/>
      <c r="BW469" s="403"/>
      <c r="BX469" s="403"/>
      <c r="BY469" s="403"/>
      <c r="BZ469" s="403"/>
      <c r="CA469" s="403"/>
      <c r="CB469" s="403"/>
      <c r="CC469" s="403"/>
      <c r="CD469" s="403"/>
      <c r="CE469" s="403"/>
      <c r="CF469" s="403"/>
      <c r="CG469" s="403"/>
      <c r="CH469" s="403"/>
      <c r="CI469" s="403"/>
      <c r="CJ469" s="403"/>
      <c r="CK469" s="403"/>
      <c r="CL469" s="403"/>
      <c r="CM469" s="403"/>
      <c r="CN469" s="403"/>
      <c r="CO469" s="403"/>
      <c r="CP469" s="403"/>
      <c r="CQ469" s="403"/>
      <c r="CR469" s="403"/>
      <c r="CS469" s="403"/>
      <c r="CT469" s="403"/>
      <c r="CU469" s="403"/>
      <c r="CV469" s="403"/>
      <c r="CW469" s="403"/>
      <c r="CX469" s="403"/>
      <c r="CY469" s="403"/>
      <c r="CZ469" s="403"/>
      <c r="DA469" s="403"/>
      <c r="DB469" s="403"/>
      <c r="DC469" s="403"/>
      <c r="DD469" s="403"/>
      <c r="DE469" s="403"/>
      <c r="DF469" s="403"/>
      <c r="DG469" s="403"/>
      <c r="DH469" s="403"/>
      <c r="DI469" s="403"/>
      <c r="DJ469" s="403"/>
      <c r="DK469" s="403"/>
      <c r="DL469" s="403"/>
      <c r="DM469" s="403"/>
      <c r="DN469" s="403"/>
    </row>
    <row r="470" spans="5:118" s="15" customFormat="1" x14ac:dyDescent="0.2">
      <c r="E470" s="122"/>
      <c r="F470" s="122"/>
      <c r="N470" s="403"/>
      <c r="O470" s="403"/>
      <c r="P470" s="403"/>
      <c r="Q470" s="403"/>
      <c r="R470" s="403"/>
      <c r="S470" s="403"/>
      <c r="T470" s="403"/>
      <c r="U470" s="403"/>
      <c r="V470" s="403"/>
      <c r="W470" s="403"/>
      <c r="X470" s="403"/>
      <c r="Y470" s="403"/>
      <c r="Z470" s="403"/>
      <c r="AA470" s="403"/>
      <c r="AB470" s="403"/>
      <c r="AC470" s="564"/>
      <c r="AD470" s="403"/>
      <c r="AE470" s="403"/>
      <c r="AF470" s="403"/>
      <c r="AG470" s="403"/>
      <c r="AH470" s="403"/>
      <c r="AI470" s="403"/>
      <c r="AJ470" s="403"/>
      <c r="AK470" s="403"/>
      <c r="AL470" s="403"/>
      <c r="AM470" s="403"/>
      <c r="AN470" s="403"/>
      <c r="AO470" s="403"/>
      <c r="AP470" s="403"/>
      <c r="AQ470" s="403"/>
      <c r="AR470" s="403"/>
      <c r="AS470" s="403"/>
      <c r="AT470" s="403"/>
      <c r="AU470" s="403"/>
      <c r="AV470" s="403"/>
      <c r="AW470" s="403"/>
      <c r="AX470" s="403"/>
      <c r="AY470" s="403"/>
      <c r="AZ470" s="403"/>
      <c r="BA470" s="403"/>
      <c r="BB470" s="403"/>
      <c r="BC470" s="403"/>
      <c r="BD470" s="403"/>
      <c r="BE470" s="403"/>
      <c r="BF470" s="403"/>
      <c r="BG470" s="403"/>
      <c r="BH470" s="403"/>
      <c r="BI470" s="403"/>
      <c r="BJ470" s="403"/>
      <c r="BK470" s="403"/>
      <c r="BL470" s="403"/>
      <c r="BM470" s="403"/>
      <c r="BN470" s="403"/>
      <c r="BO470" s="403"/>
      <c r="BP470" s="403"/>
      <c r="BQ470" s="403"/>
      <c r="BR470" s="403"/>
      <c r="BS470" s="403"/>
      <c r="BT470" s="403"/>
      <c r="BU470" s="403"/>
      <c r="BV470" s="403"/>
      <c r="BW470" s="403"/>
      <c r="BX470" s="403"/>
      <c r="BY470" s="403"/>
      <c r="BZ470" s="403"/>
      <c r="CA470" s="403"/>
      <c r="CB470" s="403"/>
      <c r="CC470" s="403"/>
      <c r="CD470" s="403"/>
      <c r="CE470" s="403"/>
      <c r="CF470" s="403"/>
      <c r="CG470" s="403"/>
      <c r="CH470" s="403"/>
      <c r="CI470" s="403"/>
      <c r="CJ470" s="403"/>
      <c r="CK470" s="403"/>
      <c r="CL470" s="403"/>
      <c r="CM470" s="403"/>
      <c r="CN470" s="403"/>
      <c r="CO470" s="403"/>
      <c r="CP470" s="403"/>
      <c r="CQ470" s="403"/>
      <c r="CR470" s="403"/>
      <c r="CS470" s="403"/>
      <c r="CT470" s="403"/>
      <c r="CU470" s="403"/>
      <c r="CV470" s="403"/>
      <c r="CW470" s="403"/>
      <c r="CX470" s="403"/>
      <c r="CY470" s="403"/>
      <c r="CZ470" s="403"/>
      <c r="DA470" s="403"/>
      <c r="DB470" s="403"/>
      <c r="DC470" s="403"/>
      <c r="DD470" s="403"/>
      <c r="DE470" s="403"/>
      <c r="DF470" s="403"/>
      <c r="DG470" s="403"/>
      <c r="DH470" s="403"/>
      <c r="DI470" s="403"/>
      <c r="DJ470" s="403"/>
      <c r="DK470" s="403"/>
      <c r="DL470" s="403"/>
      <c r="DM470" s="403"/>
      <c r="DN470" s="403"/>
    </row>
    <row r="471" spans="5:118" s="15" customFormat="1" x14ac:dyDescent="0.2">
      <c r="E471" s="122"/>
      <c r="F471" s="122"/>
      <c r="N471" s="403"/>
      <c r="O471" s="403"/>
      <c r="P471" s="403"/>
      <c r="Q471" s="403"/>
      <c r="R471" s="403"/>
      <c r="S471" s="403"/>
      <c r="T471" s="403"/>
      <c r="U471" s="403"/>
      <c r="V471" s="403"/>
      <c r="W471" s="403"/>
      <c r="X471" s="403"/>
      <c r="Y471" s="403"/>
      <c r="Z471" s="403"/>
      <c r="AA471" s="403"/>
      <c r="AB471" s="403"/>
      <c r="AC471" s="564"/>
      <c r="AD471" s="403"/>
      <c r="AE471" s="403"/>
      <c r="AF471" s="403"/>
      <c r="AG471" s="403"/>
      <c r="AH471" s="403"/>
      <c r="AI471" s="403"/>
      <c r="AJ471" s="403"/>
      <c r="AK471" s="403"/>
      <c r="AL471" s="403"/>
      <c r="AM471" s="403"/>
      <c r="AN471" s="403"/>
      <c r="AO471" s="403"/>
      <c r="AP471" s="403"/>
      <c r="AQ471" s="403"/>
      <c r="AR471" s="403"/>
      <c r="AS471" s="403"/>
      <c r="AT471" s="403"/>
      <c r="AU471" s="403"/>
      <c r="AV471" s="403"/>
      <c r="AW471" s="403"/>
      <c r="AX471" s="403"/>
      <c r="AY471" s="403"/>
      <c r="AZ471" s="403"/>
      <c r="BA471" s="403"/>
      <c r="BB471" s="403"/>
      <c r="BC471" s="403"/>
      <c r="BD471" s="403"/>
      <c r="BE471" s="403"/>
      <c r="BF471" s="403"/>
      <c r="BG471" s="403"/>
      <c r="BH471" s="403"/>
      <c r="BI471" s="403"/>
      <c r="BJ471" s="403"/>
      <c r="BK471" s="403"/>
      <c r="BL471" s="403"/>
      <c r="BM471" s="403"/>
      <c r="BN471" s="403"/>
      <c r="BO471" s="403"/>
      <c r="BP471" s="403"/>
      <c r="BQ471" s="403"/>
      <c r="BR471" s="403"/>
      <c r="BS471" s="403"/>
      <c r="BT471" s="403"/>
      <c r="BU471" s="403"/>
      <c r="BV471" s="403"/>
      <c r="BW471" s="403"/>
      <c r="BX471" s="403"/>
      <c r="BY471" s="403"/>
      <c r="BZ471" s="403"/>
      <c r="CA471" s="403"/>
      <c r="CB471" s="403"/>
      <c r="CC471" s="403"/>
      <c r="CD471" s="403"/>
      <c r="CE471" s="403"/>
      <c r="CF471" s="403"/>
      <c r="CG471" s="403"/>
      <c r="CH471" s="403"/>
      <c r="CI471" s="403"/>
      <c r="CJ471" s="403"/>
      <c r="CK471" s="403"/>
      <c r="CL471" s="403"/>
      <c r="CM471" s="403"/>
      <c r="CN471" s="403"/>
      <c r="CO471" s="403"/>
      <c r="CP471" s="403"/>
      <c r="CQ471" s="403"/>
      <c r="CR471" s="403"/>
      <c r="CS471" s="403"/>
      <c r="CT471" s="403"/>
      <c r="CU471" s="403"/>
      <c r="CV471" s="403"/>
      <c r="CW471" s="403"/>
      <c r="CX471" s="403"/>
      <c r="CY471" s="403"/>
      <c r="CZ471" s="403"/>
      <c r="DA471" s="403"/>
      <c r="DB471" s="403"/>
      <c r="DC471" s="403"/>
      <c r="DD471" s="403"/>
      <c r="DE471" s="403"/>
      <c r="DF471" s="403"/>
      <c r="DG471" s="403"/>
      <c r="DH471" s="403"/>
      <c r="DI471" s="403"/>
      <c r="DJ471" s="403"/>
      <c r="DK471" s="403"/>
      <c r="DL471" s="403"/>
      <c r="DM471" s="403"/>
      <c r="DN471" s="403"/>
    </row>
    <row r="472" spans="5:118" s="15" customFormat="1" x14ac:dyDescent="0.2">
      <c r="E472" s="122"/>
      <c r="F472" s="122"/>
      <c r="N472" s="403"/>
      <c r="O472" s="403"/>
      <c r="P472" s="403"/>
      <c r="Q472" s="403"/>
      <c r="R472" s="403"/>
      <c r="S472" s="403"/>
      <c r="T472" s="403"/>
      <c r="U472" s="403"/>
      <c r="V472" s="403"/>
      <c r="W472" s="403"/>
      <c r="X472" s="403"/>
      <c r="Y472" s="403"/>
      <c r="Z472" s="403"/>
      <c r="AA472" s="403"/>
      <c r="AB472" s="403"/>
      <c r="AC472" s="564"/>
      <c r="AD472" s="403"/>
      <c r="AE472" s="403"/>
      <c r="AF472" s="403"/>
      <c r="AG472" s="403"/>
      <c r="AH472" s="403"/>
      <c r="AI472" s="403"/>
      <c r="AJ472" s="403"/>
      <c r="AK472" s="403"/>
      <c r="AL472" s="403"/>
      <c r="AM472" s="403"/>
      <c r="AN472" s="403"/>
      <c r="AO472" s="403"/>
      <c r="AP472" s="403"/>
      <c r="AQ472" s="403"/>
      <c r="AR472" s="403"/>
      <c r="AS472" s="403"/>
      <c r="AT472" s="403"/>
      <c r="AU472" s="403"/>
      <c r="AV472" s="403"/>
      <c r="AW472" s="403"/>
      <c r="AX472" s="403"/>
      <c r="AY472" s="403"/>
      <c r="AZ472" s="403"/>
      <c r="BA472" s="403"/>
      <c r="BB472" s="403"/>
      <c r="BC472" s="403"/>
      <c r="BD472" s="403"/>
      <c r="BE472" s="403"/>
      <c r="BF472" s="403"/>
      <c r="BG472" s="403"/>
      <c r="BH472" s="403"/>
      <c r="BI472" s="403"/>
      <c r="BJ472" s="403"/>
      <c r="BK472" s="403"/>
      <c r="BL472" s="403"/>
      <c r="BM472" s="403"/>
      <c r="BN472" s="403"/>
      <c r="BO472" s="403"/>
      <c r="BP472" s="403"/>
      <c r="BQ472" s="403"/>
      <c r="BR472" s="403"/>
      <c r="BS472" s="403"/>
      <c r="BT472" s="403"/>
      <c r="BU472" s="403"/>
      <c r="BV472" s="403"/>
      <c r="BW472" s="403"/>
      <c r="BX472" s="403"/>
      <c r="BY472" s="403"/>
      <c r="BZ472" s="403"/>
      <c r="CA472" s="403"/>
      <c r="CB472" s="403"/>
      <c r="CC472" s="403"/>
      <c r="CD472" s="403"/>
      <c r="CE472" s="403"/>
      <c r="CF472" s="403"/>
      <c r="CG472" s="403"/>
      <c r="CH472" s="403"/>
      <c r="CI472" s="403"/>
      <c r="CJ472" s="403"/>
      <c r="CK472" s="403"/>
      <c r="CL472" s="403"/>
      <c r="CM472" s="403"/>
      <c r="CN472" s="403"/>
      <c r="CO472" s="403"/>
      <c r="CP472" s="403"/>
      <c r="CQ472" s="403"/>
      <c r="CR472" s="403"/>
      <c r="CS472" s="403"/>
      <c r="CT472" s="403"/>
      <c r="CU472" s="403"/>
      <c r="CV472" s="403"/>
      <c r="CW472" s="403"/>
      <c r="CX472" s="403"/>
      <c r="CY472" s="403"/>
      <c r="CZ472" s="403"/>
      <c r="DA472" s="403"/>
      <c r="DB472" s="403"/>
      <c r="DC472" s="403"/>
      <c r="DD472" s="403"/>
      <c r="DE472" s="403"/>
      <c r="DF472" s="403"/>
      <c r="DG472" s="403"/>
      <c r="DH472" s="403"/>
      <c r="DI472" s="403"/>
      <c r="DJ472" s="403"/>
      <c r="DK472" s="403"/>
      <c r="DL472" s="403"/>
      <c r="DM472" s="403"/>
      <c r="DN472" s="403"/>
    </row>
    <row r="473" spans="5:118" s="15" customFormat="1" x14ac:dyDescent="0.2">
      <c r="E473" s="122"/>
      <c r="F473" s="122"/>
      <c r="N473" s="403"/>
      <c r="O473" s="403"/>
      <c r="P473" s="403"/>
      <c r="Q473" s="403"/>
      <c r="R473" s="403"/>
      <c r="S473" s="403"/>
      <c r="T473" s="403"/>
      <c r="U473" s="403"/>
      <c r="V473" s="403"/>
      <c r="W473" s="403"/>
      <c r="X473" s="403"/>
      <c r="Y473" s="403"/>
      <c r="Z473" s="403"/>
      <c r="AA473" s="403"/>
      <c r="AB473" s="403"/>
      <c r="AC473" s="564"/>
      <c r="AD473" s="403"/>
      <c r="AE473" s="403"/>
      <c r="AF473" s="403"/>
      <c r="AG473" s="403"/>
      <c r="AH473" s="403"/>
      <c r="AI473" s="403"/>
      <c r="AJ473" s="403"/>
      <c r="AK473" s="403"/>
      <c r="AL473" s="403"/>
      <c r="AM473" s="403"/>
      <c r="AN473" s="403"/>
      <c r="AO473" s="403"/>
      <c r="AP473" s="403"/>
      <c r="AQ473" s="403"/>
      <c r="AR473" s="403"/>
      <c r="AS473" s="403"/>
      <c r="AT473" s="403"/>
      <c r="AU473" s="403"/>
      <c r="AV473" s="403"/>
      <c r="AW473" s="403"/>
      <c r="AX473" s="403"/>
      <c r="AY473" s="403"/>
      <c r="AZ473" s="403"/>
      <c r="BA473" s="403"/>
      <c r="BB473" s="403"/>
      <c r="BC473" s="403"/>
      <c r="BD473" s="403"/>
      <c r="BE473" s="403"/>
      <c r="BF473" s="403"/>
      <c r="BG473" s="403"/>
      <c r="BH473" s="403"/>
      <c r="BI473" s="403"/>
      <c r="BJ473" s="403"/>
      <c r="BK473" s="403"/>
      <c r="BL473" s="403"/>
      <c r="BM473" s="403"/>
      <c r="BN473" s="403"/>
      <c r="BO473" s="403"/>
      <c r="BP473" s="403"/>
      <c r="BQ473" s="403"/>
      <c r="BR473" s="403"/>
      <c r="BS473" s="403"/>
      <c r="BT473" s="403"/>
      <c r="BU473" s="403"/>
      <c r="BV473" s="403"/>
      <c r="BW473" s="403"/>
      <c r="BX473" s="403"/>
      <c r="BY473" s="403"/>
      <c r="BZ473" s="403"/>
      <c r="CA473" s="403"/>
      <c r="CB473" s="403"/>
      <c r="CC473" s="403"/>
      <c r="CD473" s="403"/>
      <c r="CE473" s="403"/>
      <c r="CF473" s="403"/>
      <c r="CG473" s="403"/>
      <c r="CH473" s="403"/>
      <c r="CI473" s="403"/>
      <c r="CJ473" s="403"/>
      <c r="CK473" s="403"/>
      <c r="CL473" s="403"/>
      <c r="CM473" s="403"/>
      <c r="CN473" s="403"/>
      <c r="CO473" s="403"/>
      <c r="CP473" s="403"/>
      <c r="CQ473" s="403"/>
      <c r="CR473" s="403"/>
      <c r="CS473" s="403"/>
      <c r="CT473" s="403"/>
      <c r="CU473" s="403"/>
      <c r="CV473" s="403"/>
      <c r="CW473" s="403"/>
      <c r="CX473" s="403"/>
      <c r="CY473" s="403"/>
      <c r="CZ473" s="403"/>
      <c r="DA473" s="403"/>
      <c r="DB473" s="403"/>
      <c r="DC473" s="403"/>
      <c r="DD473" s="403"/>
      <c r="DE473" s="403"/>
      <c r="DF473" s="403"/>
      <c r="DG473" s="403"/>
      <c r="DH473" s="403"/>
      <c r="DI473" s="403"/>
      <c r="DJ473" s="403"/>
      <c r="DK473" s="403"/>
      <c r="DL473" s="403"/>
      <c r="DM473" s="403"/>
      <c r="DN473" s="403"/>
    </row>
    <row r="474" spans="5:118" s="15" customFormat="1" x14ac:dyDescent="0.2">
      <c r="E474" s="122"/>
      <c r="F474" s="122"/>
      <c r="N474" s="403"/>
      <c r="O474" s="403"/>
      <c r="P474" s="403"/>
      <c r="Q474" s="403"/>
      <c r="R474" s="403"/>
      <c r="S474" s="403"/>
      <c r="T474" s="403"/>
      <c r="U474" s="403"/>
      <c r="V474" s="403"/>
      <c r="W474" s="403"/>
      <c r="X474" s="403"/>
      <c r="Y474" s="403"/>
      <c r="Z474" s="403"/>
      <c r="AA474" s="403"/>
      <c r="AB474" s="403"/>
      <c r="AC474" s="564"/>
      <c r="AD474" s="403"/>
      <c r="AE474" s="403"/>
      <c r="AF474" s="403"/>
      <c r="AG474" s="403"/>
      <c r="AH474" s="403"/>
      <c r="AI474" s="403"/>
      <c r="AJ474" s="403"/>
      <c r="AK474" s="403"/>
      <c r="AL474" s="403"/>
      <c r="AM474" s="403"/>
      <c r="AN474" s="403"/>
      <c r="AO474" s="403"/>
      <c r="AP474" s="403"/>
      <c r="AQ474" s="403"/>
      <c r="AR474" s="403"/>
      <c r="AS474" s="403"/>
      <c r="AT474" s="403"/>
      <c r="AU474" s="403"/>
      <c r="AV474" s="403"/>
      <c r="AW474" s="403"/>
      <c r="AX474" s="403"/>
      <c r="AY474" s="403"/>
      <c r="AZ474" s="403"/>
      <c r="BA474" s="403"/>
      <c r="BB474" s="403"/>
      <c r="BC474" s="403"/>
      <c r="BD474" s="403"/>
      <c r="BE474" s="403"/>
      <c r="BF474" s="403"/>
      <c r="BG474" s="403"/>
      <c r="BH474" s="403"/>
      <c r="BI474" s="403"/>
      <c r="BJ474" s="403"/>
      <c r="BK474" s="403"/>
      <c r="BL474" s="403"/>
      <c r="BM474" s="403"/>
      <c r="BN474" s="403"/>
      <c r="BO474" s="403"/>
      <c r="BP474" s="403"/>
      <c r="BQ474" s="403"/>
      <c r="BR474" s="403"/>
      <c r="BS474" s="403"/>
      <c r="BT474" s="403"/>
      <c r="BU474" s="403"/>
      <c r="BV474" s="403"/>
      <c r="BW474" s="403"/>
      <c r="BX474" s="403"/>
      <c r="BY474" s="403"/>
      <c r="BZ474" s="403"/>
      <c r="CA474" s="403"/>
      <c r="CB474" s="403"/>
      <c r="CC474" s="403"/>
      <c r="CD474" s="403"/>
      <c r="CE474" s="403"/>
      <c r="CF474" s="403"/>
      <c r="CG474" s="403"/>
      <c r="CH474" s="403"/>
      <c r="CI474" s="403"/>
      <c r="CJ474" s="403"/>
      <c r="CK474" s="403"/>
      <c r="CL474" s="403"/>
      <c r="CM474" s="403"/>
      <c r="CN474" s="403"/>
      <c r="CO474" s="403"/>
      <c r="CP474" s="403"/>
      <c r="CQ474" s="403"/>
      <c r="CR474" s="403"/>
      <c r="CS474" s="403"/>
      <c r="CT474" s="403"/>
      <c r="CU474" s="403"/>
      <c r="CV474" s="403"/>
      <c r="CW474" s="403"/>
      <c r="CX474" s="403"/>
      <c r="CY474" s="403"/>
      <c r="CZ474" s="403"/>
      <c r="DA474" s="403"/>
      <c r="DB474" s="403"/>
      <c r="DC474" s="403"/>
      <c r="DD474" s="403"/>
      <c r="DE474" s="403"/>
      <c r="DF474" s="403"/>
      <c r="DG474" s="403"/>
      <c r="DH474" s="403"/>
      <c r="DI474" s="403"/>
      <c r="DJ474" s="403"/>
      <c r="DK474" s="403"/>
      <c r="DL474" s="403"/>
      <c r="DM474" s="403"/>
      <c r="DN474" s="403"/>
    </row>
    <row r="475" spans="5:118" s="15" customFormat="1" x14ac:dyDescent="0.2">
      <c r="E475" s="122"/>
      <c r="F475" s="122"/>
      <c r="N475" s="403"/>
      <c r="O475" s="403"/>
      <c r="P475" s="403"/>
      <c r="Q475" s="403"/>
      <c r="R475" s="403"/>
      <c r="S475" s="403"/>
      <c r="T475" s="403"/>
      <c r="U475" s="403"/>
      <c r="V475" s="403"/>
      <c r="W475" s="403"/>
      <c r="X475" s="403"/>
      <c r="Y475" s="403"/>
      <c r="Z475" s="403"/>
      <c r="AA475" s="403"/>
      <c r="AB475" s="403"/>
      <c r="AC475" s="564"/>
      <c r="AD475" s="403"/>
      <c r="AE475" s="403"/>
      <c r="AF475" s="403"/>
      <c r="AG475" s="403"/>
      <c r="AH475" s="403"/>
      <c r="AI475" s="403"/>
      <c r="AJ475" s="403"/>
      <c r="AK475" s="403"/>
      <c r="AL475" s="403"/>
      <c r="AM475" s="403"/>
      <c r="AN475" s="403"/>
      <c r="AO475" s="403"/>
      <c r="AP475" s="403"/>
      <c r="AQ475" s="403"/>
      <c r="AR475" s="403"/>
      <c r="AS475" s="403"/>
      <c r="AT475" s="403"/>
      <c r="AU475" s="403"/>
      <c r="AV475" s="403"/>
      <c r="AW475" s="403"/>
      <c r="AX475" s="403"/>
      <c r="AY475" s="403"/>
      <c r="AZ475" s="403"/>
      <c r="BA475" s="403"/>
      <c r="BB475" s="403"/>
      <c r="BC475" s="403"/>
      <c r="BD475" s="403"/>
      <c r="BE475" s="403"/>
      <c r="BF475" s="403"/>
      <c r="BG475" s="403"/>
      <c r="BH475" s="403"/>
      <c r="BI475" s="403"/>
      <c r="BJ475" s="403"/>
      <c r="BK475" s="403"/>
      <c r="BL475" s="403"/>
      <c r="BM475" s="403"/>
      <c r="BN475" s="403"/>
      <c r="BO475" s="403"/>
      <c r="BP475" s="403"/>
      <c r="BQ475" s="403"/>
      <c r="BR475" s="403"/>
      <c r="BS475" s="403"/>
      <c r="BT475" s="403"/>
      <c r="BU475" s="403"/>
      <c r="BV475" s="403"/>
      <c r="BW475" s="403"/>
      <c r="BX475" s="403"/>
      <c r="BY475" s="403"/>
      <c r="BZ475" s="403"/>
      <c r="CA475" s="403"/>
      <c r="CB475" s="403"/>
      <c r="CC475" s="403"/>
      <c r="CD475" s="403"/>
      <c r="CE475" s="403"/>
      <c r="CF475" s="403"/>
      <c r="CG475" s="403"/>
      <c r="CH475" s="403"/>
      <c r="CI475" s="403"/>
      <c r="CJ475" s="403"/>
      <c r="CK475" s="403"/>
      <c r="CL475" s="403"/>
      <c r="CM475" s="403"/>
      <c r="CN475" s="403"/>
      <c r="CO475" s="403"/>
      <c r="CP475" s="403"/>
      <c r="CQ475" s="403"/>
      <c r="CR475" s="403"/>
      <c r="CS475" s="403"/>
      <c r="CT475" s="403"/>
      <c r="CU475" s="403"/>
      <c r="CV475" s="403"/>
      <c r="CW475" s="403"/>
      <c r="CX475" s="403"/>
      <c r="CY475" s="403"/>
      <c r="CZ475" s="403"/>
      <c r="DA475" s="403"/>
      <c r="DB475" s="403"/>
      <c r="DC475" s="403"/>
      <c r="DD475" s="403"/>
      <c r="DE475" s="403"/>
      <c r="DF475" s="403"/>
      <c r="DG475" s="403"/>
      <c r="DH475" s="403"/>
      <c r="DI475" s="403"/>
      <c r="DJ475" s="403"/>
      <c r="DK475" s="403"/>
      <c r="DL475" s="403"/>
      <c r="DM475" s="403"/>
      <c r="DN475" s="403"/>
    </row>
    <row r="476" spans="5:118" s="15" customFormat="1" x14ac:dyDescent="0.2">
      <c r="E476" s="122"/>
      <c r="F476" s="122"/>
      <c r="N476" s="403"/>
      <c r="O476" s="403"/>
      <c r="P476" s="403"/>
      <c r="Q476" s="403"/>
      <c r="R476" s="403"/>
      <c r="S476" s="403"/>
      <c r="T476" s="403"/>
      <c r="U476" s="403"/>
      <c r="V476" s="403"/>
      <c r="W476" s="403"/>
      <c r="X476" s="403"/>
      <c r="Y476" s="403"/>
      <c r="Z476" s="403"/>
      <c r="AA476" s="403"/>
      <c r="AB476" s="403"/>
      <c r="AC476" s="564"/>
      <c r="AD476" s="403"/>
      <c r="AE476" s="403"/>
      <c r="AF476" s="403"/>
      <c r="AG476" s="403"/>
      <c r="AH476" s="403"/>
      <c r="AI476" s="403"/>
      <c r="AJ476" s="403"/>
      <c r="AK476" s="403"/>
      <c r="AL476" s="403"/>
      <c r="AM476" s="403"/>
      <c r="AN476" s="403"/>
      <c r="AO476" s="403"/>
      <c r="AP476" s="403"/>
      <c r="AQ476" s="403"/>
      <c r="AR476" s="403"/>
      <c r="AS476" s="403"/>
      <c r="AT476" s="403"/>
      <c r="AU476" s="403"/>
      <c r="AV476" s="403"/>
      <c r="AW476" s="403"/>
      <c r="AX476" s="403"/>
      <c r="AY476" s="403"/>
      <c r="AZ476" s="403"/>
      <c r="BA476" s="403"/>
      <c r="BB476" s="403"/>
      <c r="BC476" s="403"/>
      <c r="BD476" s="403"/>
      <c r="BE476" s="403"/>
      <c r="BF476" s="403"/>
      <c r="BG476" s="403"/>
      <c r="BH476" s="403"/>
      <c r="BI476" s="403"/>
      <c r="BJ476" s="403"/>
      <c r="BK476" s="403"/>
      <c r="BL476" s="403"/>
      <c r="BM476" s="403"/>
      <c r="BN476" s="403"/>
      <c r="BO476" s="403"/>
      <c r="BP476" s="403"/>
      <c r="BQ476" s="403"/>
      <c r="BR476" s="403"/>
      <c r="BS476" s="403"/>
      <c r="BT476" s="403"/>
      <c r="BU476" s="403"/>
      <c r="BV476" s="403"/>
      <c r="BW476" s="403"/>
      <c r="BX476" s="403"/>
      <c r="BY476" s="403"/>
      <c r="BZ476" s="403"/>
      <c r="CA476" s="403"/>
      <c r="CB476" s="403"/>
      <c r="CC476" s="403"/>
      <c r="CD476" s="403"/>
      <c r="CE476" s="403"/>
      <c r="CF476" s="403"/>
      <c r="CG476" s="403"/>
      <c r="CH476" s="403"/>
      <c r="CI476" s="403"/>
      <c r="CJ476" s="403"/>
      <c r="CK476" s="403"/>
      <c r="CL476" s="403"/>
      <c r="CM476" s="403"/>
      <c r="CN476" s="403"/>
      <c r="CO476" s="403"/>
      <c r="CP476" s="403"/>
      <c r="CQ476" s="403"/>
      <c r="CR476" s="403"/>
      <c r="CS476" s="403"/>
      <c r="CT476" s="403"/>
      <c r="CU476" s="403"/>
      <c r="CV476" s="403"/>
      <c r="CW476" s="403"/>
      <c r="CX476" s="403"/>
      <c r="CY476" s="403"/>
      <c r="CZ476" s="403"/>
      <c r="DA476" s="403"/>
      <c r="DB476" s="403"/>
      <c r="DC476" s="403"/>
      <c r="DD476" s="403"/>
      <c r="DE476" s="403"/>
      <c r="DF476" s="403"/>
      <c r="DG476" s="403"/>
      <c r="DH476" s="403"/>
      <c r="DI476" s="403"/>
      <c r="DJ476" s="403"/>
      <c r="DK476" s="403"/>
      <c r="DL476" s="403"/>
      <c r="DM476" s="403"/>
      <c r="DN476" s="403"/>
    </row>
    <row r="477" spans="5:118" s="15" customFormat="1" x14ac:dyDescent="0.2">
      <c r="E477" s="122"/>
      <c r="F477" s="122"/>
      <c r="N477" s="403"/>
      <c r="O477" s="403"/>
      <c r="P477" s="403"/>
      <c r="Q477" s="403"/>
      <c r="R477" s="403"/>
      <c r="S477" s="403"/>
      <c r="T477" s="403"/>
      <c r="U477" s="403"/>
      <c r="V477" s="403"/>
      <c r="W477" s="403"/>
      <c r="X477" s="403"/>
      <c r="Y477" s="403"/>
      <c r="Z477" s="403"/>
      <c r="AA477" s="403"/>
      <c r="AB477" s="403"/>
      <c r="AC477" s="564"/>
      <c r="AD477" s="403"/>
      <c r="AE477" s="403"/>
      <c r="AF477" s="403"/>
      <c r="AG477" s="403"/>
      <c r="AH477" s="403"/>
      <c r="AI477" s="403"/>
      <c r="AJ477" s="403"/>
      <c r="AK477" s="403"/>
      <c r="AL477" s="403"/>
      <c r="AM477" s="403"/>
      <c r="AN477" s="403"/>
      <c r="AO477" s="403"/>
      <c r="AP477" s="403"/>
      <c r="AQ477" s="403"/>
      <c r="AR477" s="403"/>
      <c r="AS477" s="403"/>
      <c r="AT477" s="403"/>
      <c r="AU477" s="403"/>
      <c r="AV477" s="403"/>
      <c r="AW477" s="403"/>
      <c r="AX477" s="403"/>
      <c r="AY477" s="403"/>
      <c r="AZ477" s="403"/>
      <c r="BA477" s="403"/>
      <c r="BB477" s="403"/>
      <c r="BC477" s="403"/>
      <c r="BD477" s="403"/>
      <c r="BE477" s="403"/>
      <c r="BF477" s="403"/>
      <c r="BG477" s="403"/>
      <c r="BH477" s="403"/>
      <c r="BI477" s="403"/>
      <c r="BJ477" s="403"/>
      <c r="BK477" s="403"/>
      <c r="BL477" s="403"/>
      <c r="BM477" s="403"/>
      <c r="BN477" s="403"/>
      <c r="BO477" s="403"/>
      <c r="BP477" s="403"/>
      <c r="BQ477" s="403"/>
      <c r="BR477" s="403"/>
      <c r="BS477" s="403"/>
      <c r="BT477" s="403"/>
      <c r="BU477" s="403"/>
      <c r="BV477" s="403"/>
      <c r="BW477" s="403"/>
      <c r="BX477" s="403"/>
      <c r="BY477" s="403"/>
      <c r="BZ477" s="403"/>
      <c r="CA477" s="403"/>
      <c r="CB477" s="403"/>
      <c r="CC477" s="403"/>
      <c r="CD477" s="403"/>
      <c r="CE477" s="403"/>
      <c r="CF477" s="403"/>
      <c r="CG477" s="403"/>
      <c r="CH477" s="403"/>
      <c r="CI477" s="403"/>
      <c r="CJ477" s="403"/>
      <c r="CK477" s="403"/>
      <c r="CL477" s="403"/>
      <c r="CM477" s="403"/>
      <c r="CN477" s="403"/>
      <c r="CO477" s="403"/>
      <c r="CP477" s="403"/>
      <c r="CQ477" s="403"/>
      <c r="CR477" s="403"/>
      <c r="CS477" s="403"/>
      <c r="CT477" s="403"/>
      <c r="CU477" s="403"/>
      <c r="CV477" s="403"/>
      <c r="CW477" s="403"/>
      <c r="CX477" s="403"/>
      <c r="CY477" s="403"/>
      <c r="CZ477" s="403"/>
      <c r="DA477" s="403"/>
      <c r="DB477" s="403"/>
      <c r="DC477" s="403"/>
      <c r="DD477" s="403"/>
      <c r="DE477" s="403"/>
      <c r="DF477" s="403"/>
      <c r="DG477" s="403"/>
      <c r="DH477" s="403"/>
      <c r="DI477" s="403"/>
      <c r="DJ477" s="403"/>
      <c r="DK477" s="403"/>
      <c r="DL477" s="403"/>
      <c r="DM477" s="403"/>
      <c r="DN477" s="403"/>
    </row>
    <row r="478" spans="5:118" s="15" customFormat="1" x14ac:dyDescent="0.2">
      <c r="E478" s="122"/>
      <c r="F478" s="122"/>
      <c r="N478" s="403"/>
      <c r="O478" s="403"/>
      <c r="P478" s="403"/>
      <c r="Q478" s="403"/>
      <c r="R478" s="403"/>
      <c r="S478" s="403"/>
      <c r="T478" s="403"/>
      <c r="U478" s="403"/>
      <c r="V478" s="403"/>
      <c r="W478" s="403"/>
      <c r="X478" s="403"/>
      <c r="Y478" s="403"/>
      <c r="Z478" s="403"/>
      <c r="AA478" s="403"/>
      <c r="AB478" s="403"/>
      <c r="AC478" s="564"/>
      <c r="AD478" s="403"/>
      <c r="AE478" s="403"/>
      <c r="AF478" s="403"/>
      <c r="AG478" s="403"/>
      <c r="AH478" s="403"/>
      <c r="AI478" s="403"/>
      <c r="AJ478" s="403"/>
      <c r="AK478" s="403"/>
      <c r="AL478" s="403"/>
      <c r="AM478" s="403"/>
      <c r="AN478" s="403"/>
      <c r="AO478" s="403"/>
      <c r="AP478" s="403"/>
      <c r="AQ478" s="403"/>
      <c r="AR478" s="403"/>
      <c r="AS478" s="403"/>
      <c r="AT478" s="403"/>
      <c r="AU478" s="403"/>
      <c r="AV478" s="403"/>
      <c r="AW478" s="403"/>
      <c r="AX478" s="403"/>
      <c r="AY478" s="403"/>
      <c r="AZ478" s="403"/>
      <c r="BA478" s="403"/>
      <c r="BB478" s="403"/>
      <c r="BC478" s="403"/>
      <c r="BD478" s="403"/>
      <c r="BE478" s="403"/>
      <c r="BF478" s="403"/>
      <c r="BG478" s="403"/>
      <c r="BH478" s="403"/>
      <c r="BI478" s="403"/>
      <c r="BJ478" s="403"/>
      <c r="BK478" s="403"/>
      <c r="BL478" s="403"/>
      <c r="BM478" s="403"/>
      <c r="BN478" s="403"/>
      <c r="BO478" s="403"/>
      <c r="BP478" s="403"/>
      <c r="BQ478" s="403"/>
      <c r="BR478" s="403"/>
      <c r="BS478" s="403"/>
      <c r="BT478" s="403"/>
      <c r="BU478" s="403"/>
      <c r="BV478" s="403"/>
      <c r="BW478" s="403"/>
      <c r="BX478" s="403"/>
      <c r="BY478" s="403"/>
      <c r="BZ478" s="403"/>
      <c r="CA478" s="403"/>
      <c r="CB478" s="403"/>
      <c r="CC478" s="403"/>
      <c r="CD478" s="403"/>
      <c r="CE478" s="403"/>
      <c r="CF478" s="403"/>
      <c r="CG478" s="403"/>
      <c r="CH478" s="403"/>
      <c r="CI478" s="403"/>
      <c r="CJ478" s="403"/>
      <c r="CK478" s="403"/>
      <c r="CL478" s="403"/>
      <c r="CM478" s="403"/>
      <c r="CN478" s="403"/>
      <c r="CO478" s="403"/>
      <c r="CP478" s="403"/>
      <c r="CQ478" s="403"/>
      <c r="CR478" s="403"/>
      <c r="CS478" s="403"/>
      <c r="CT478" s="403"/>
      <c r="CU478" s="403"/>
      <c r="CV478" s="403"/>
      <c r="CW478" s="403"/>
      <c r="CX478" s="403"/>
      <c r="CY478" s="403"/>
      <c r="CZ478" s="403"/>
      <c r="DA478" s="403"/>
      <c r="DB478" s="403"/>
      <c r="DC478" s="403"/>
      <c r="DD478" s="403"/>
      <c r="DE478" s="403"/>
      <c r="DF478" s="403"/>
      <c r="DG478" s="403"/>
      <c r="DH478" s="403"/>
      <c r="DI478" s="403"/>
      <c r="DJ478" s="403"/>
      <c r="DK478" s="403"/>
      <c r="DL478" s="403"/>
      <c r="DM478" s="403"/>
      <c r="DN478" s="403"/>
    </row>
    <row r="479" spans="5:118" s="15" customFormat="1" x14ac:dyDescent="0.2">
      <c r="E479" s="122"/>
      <c r="F479" s="122"/>
      <c r="N479" s="403"/>
      <c r="O479" s="403"/>
      <c r="P479" s="403"/>
      <c r="Q479" s="403"/>
      <c r="R479" s="403"/>
      <c r="S479" s="403"/>
      <c r="T479" s="403"/>
      <c r="U479" s="403"/>
      <c r="V479" s="403"/>
      <c r="W479" s="403"/>
      <c r="X479" s="403"/>
      <c r="Y479" s="403"/>
      <c r="Z479" s="403"/>
      <c r="AA479" s="403"/>
      <c r="AB479" s="403"/>
      <c r="AC479" s="564"/>
      <c r="AD479" s="403"/>
      <c r="AE479" s="403"/>
      <c r="AF479" s="403"/>
      <c r="AG479" s="403"/>
      <c r="AH479" s="403"/>
      <c r="AI479" s="403"/>
      <c r="AJ479" s="403"/>
      <c r="AK479" s="403"/>
      <c r="AL479" s="403"/>
      <c r="AM479" s="403"/>
      <c r="AN479" s="403"/>
      <c r="AO479" s="403"/>
      <c r="AP479" s="403"/>
      <c r="AQ479" s="403"/>
      <c r="AR479" s="403"/>
      <c r="AS479" s="403"/>
      <c r="AT479" s="403"/>
      <c r="AU479" s="403"/>
      <c r="AV479" s="403"/>
      <c r="AW479" s="403"/>
      <c r="AX479" s="403"/>
      <c r="AY479" s="403"/>
      <c r="AZ479" s="403"/>
      <c r="BA479" s="403"/>
      <c r="BB479" s="403"/>
      <c r="BC479" s="403"/>
      <c r="BD479" s="403"/>
      <c r="BE479" s="403"/>
      <c r="BF479" s="403"/>
      <c r="BG479" s="403"/>
      <c r="BH479" s="403"/>
      <c r="BI479" s="403"/>
      <c r="BJ479" s="403"/>
      <c r="BK479" s="403"/>
      <c r="BL479" s="403"/>
      <c r="BM479" s="403"/>
      <c r="BN479" s="403"/>
      <c r="BO479" s="403"/>
      <c r="BP479" s="403"/>
      <c r="BQ479" s="403"/>
      <c r="BR479" s="403"/>
      <c r="BS479" s="403"/>
      <c r="BT479" s="403"/>
      <c r="BU479" s="403"/>
      <c r="BV479" s="403"/>
      <c r="BW479" s="403"/>
      <c r="BX479" s="403"/>
      <c r="BY479" s="403"/>
      <c r="BZ479" s="403"/>
      <c r="CA479" s="403"/>
      <c r="CB479" s="403"/>
      <c r="CC479" s="403"/>
      <c r="CD479" s="403"/>
      <c r="CE479" s="403"/>
      <c r="CF479" s="403"/>
      <c r="CG479" s="403"/>
      <c r="CH479" s="403"/>
      <c r="CI479" s="403"/>
      <c r="CJ479" s="403"/>
      <c r="CK479" s="403"/>
      <c r="CL479" s="403"/>
      <c r="CM479" s="403"/>
      <c r="CN479" s="403"/>
      <c r="CO479" s="403"/>
      <c r="CP479" s="403"/>
      <c r="CQ479" s="403"/>
      <c r="CR479" s="403"/>
      <c r="CS479" s="403"/>
      <c r="CT479" s="403"/>
      <c r="CU479" s="403"/>
      <c r="CV479" s="403"/>
      <c r="CW479" s="403"/>
      <c r="CX479" s="403"/>
      <c r="CY479" s="403"/>
      <c r="CZ479" s="403"/>
      <c r="DA479" s="403"/>
      <c r="DB479" s="403"/>
      <c r="DC479" s="403"/>
      <c r="DD479" s="403"/>
      <c r="DE479" s="403"/>
      <c r="DF479" s="403"/>
      <c r="DG479" s="403"/>
      <c r="DH479" s="403"/>
      <c r="DI479" s="403"/>
      <c r="DJ479" s="403"/>
      <c r="DK479" s="403"/>
      <c r="DL479" s="403"/>
      <c r="DM479" s="403"/>
      <c r="DN479" s="403"/>
    </row>
    <row r="480" spans="5:118" s="15" customFormat="1" x14ac:dyDescent="0.2">
      <c r="E480" s="122"/>
      <c r="F480" s="122"/>
      <c r="N480" s="403"/>
      <c r="O480" s="403"/>
      <c r="P480" s="403"/>
      <c r="Q480" s="403"/>
      <c r="R480" s="403"/>
      <c r="S480" s="403"/>
      <c r="T480" s="403"/>
      <c r="U480" s="403"/>
      <c r="V480" s="403"/>
      <c r="W480" s="403"/>
      <c r="X480" s="403"/>
      <c r="Y480" s="403"/>
      <c r="Z480" s="403"/>
      <c r="AA480" s="403"/>
      <c r="AB480" s="403"/>
      <c r="AC480" s="564"/>
      <c r="AD480" s="403"/>
      <c r="AE480" s="403"/>
      <c r="AF480" s="403"/>
      <c r="AG480" s="403"/>
      <c r="AH480" s="403"/>
      <c r="AI480" s="403"/>
      <c r="AJ480" s="403"/>
      <c r="AK480" s="403"/>
      <c r="AL480" s="403"/>
      <c r="AM480" s="403"/>
      <c r="AN480" s="403"/>
      <c r="AO480" s="403"/>
      <c r="AP480" s="403"/>
      <c r="AQ480" s="403"/>
      <c r="AR480" s="403"/>
      <c r="AS480" s="403"/>
      <c r="AT480" s="403"/>
      <c r="AU480" s="403"/>
      <c r="AV480" s="403"/>
      <c r="AW480" s="403"/>
      <c r="AX480" s="403"/>
      <c r="AY480" s="403"/>
      <c r="AZ480" s="403"/>
      <c r="BA480" s="403"/>
      <c r="BB480" s="403"/>
      <c r="BC480" s="403"/>
      <c r="BD480" s="403"/>
      <c r="BE480" s="403"/>
      <c r="BF480" s="403"/>
      <c r="BG480" s="403"/>
      <c r="BH480" s="403"/>
      <c r="BI480" s="403"/>
      <c r="BJ480" s="403"/>
      <c r="BK480" s="403"/>
      <c r="BL480" s="403"/>
      <c r="BM480" s="403"/>
      <c r="BN480" s="403"/>
      <c r="BO480" s="403"/>
      <c r="BP480" s="403"/>
      <c r="BQ480" s="403"/>
      <c r="BR480" s="403"/>
      <c r="BS480" s="403"/>
      <c r="BT480" s="403"/>
      <c r="BU480" s="403"/>
      <c r="BV480" s="403"/>
      <c r="BW480" s="403"/>
      <c r="BX480" s="403"/>
      <c r="BY480" s="403"/>
      <c r="BZ480" s="403"/>
      <c r="CA480" s="403"/>
      <c r="CB480" s="403"/>
      <c r="CC480" s="403"/>
      <c r="CD480" s="403"/>
      <c r="CE480" s="403"/>
      <c r="CF480" s="403"/>
      <c r="CG480" s="403"/>
      <c r="CH480" s="403"/>
      <c r="CI480" s="403"/>
      <c r="CJ480" s="403"/>
      <c r="CK480" s="403"/>
      <c r="CL480" s="403"/>
      <c r="CM480" s="403"/>
      <c r="CN480" s="403"/>
      <c r="CO480" s="403"/>
      <c r="CP480" s="403"/>
      <c r="CQ480" s="403"/>
      <c r="CR480" s="403"/>
      <c r="CS480" s="403"/>
      <c r="CT480" s="403"/>
      <c r="CU480" s="403"/>
      <c r="CV480" s="403"/>
      <c r="CW480" s="403"/>
      <c r="CX480" s="403"/>
      <c r="CY480" s="403"/>
      <c r="CZ480" s="403"/>
      <c r="DA480" s="403"/>
      <c r="DB480" s="403"/>
      <c r="DC480" s="403"/>
      <c r="DD480" s="403"/>
      <c r="DE480" s="403"/>
      <c r="DF480" s="403"/>
      <c r="DG480" s="403"/>
      <c r="DH480" s="403"/>
      <c r="DI480" s="403"/>
      <c r="DJ480" s="403"/>
      <c r="DK480" s="403"/>
      <c r="DL480" s="403"/>
      <c r="DM480" s="403"/>
      <c r="DN480" s="403"/>
    </row>
    <row r="481" spans="5:118" s="15" customFormat="1" x14ac:dyDescent="0.2">
      <c r="E481" s="122"/>
      <c r="F481" s="122"/>
      <c r="N481" s="403"/>
      <c r="O481" s="403"/>
      <c r="P481" s="403"/>
      <c r="Q481" s="403"/>
      <c r="R481" s="403"/>
      <c r="S481" s="403"/>
      <c r="T481" s="403"/>
      <c r="U481" s="403"/>
      <c r="V481" s="403"/>
      <c r="W481" s="403"/>
      <c r="X481" s="403"/>
      <c r="Y481" s="403"/>
      <c r="Z481" s="403"/>
      <c r="AA481" s="403"/>
      <c r="AB481" s="403"/>
      <c r="AC481" s="564"/>
      <c r="AD481" s="403"/>
      <c r="AE481" s="403"/>
      <c r="AF481" s="403"/>
      <c r="AG481" s="403"/>
      <c r="AH481" s="403"/>
      <c r="AI481" s="403"/>
      <c r="AJ481" s="403"/>
      <c r="AK481" s="403"/>
      <c r="AL481" s="403"/>
      <c r="AM481" s="403"/>
      <c r="AN481" s="403"/>
      <c r="AO481" s="403"/>
      <c r="AP481" s="403"/>
      <c r="AQ481" s="403"/>
      <c r="AR481" s="403"/>
      <c r="AS481" s="403"/>
      <c r="AT481" s="403"/>
      <c r="AU481" s="403"/>
      <c r="AV481" s="403"/>
      <c r="AW481" s="403"/>
      <c r="AX481" s="403"/>
      <c r="AY481" s="403"/>
      <c r="AZ481" s="403"/>
      <c r="BA481" s="403"/>
      <c r="BB481" s="403"/>
      <c r="BC481" s="403"/>
      <c r="BD481" s="403"/>
      <c r="BE481" s="403"/>
      <c r="BF481" s="403"/>
      <c r="BG481" s="403"/>
      <c r="BH481" s="403"/>
      <c r="BI481" s="403"/>
      <c r="BJ481" s="403"/>
      <c r="BK481" s="403"/>
      <c r="BL481" s="403"/>
      <c r="BM481" s="403"/>
      <c r="BN481" s="403"/>
      <c r="BO481" s="403"/>
      <c r="BP481" s="403"/>
      <c r="BQ481" s="403"/>
      <c r="BR481" s="403"/>
      <c r="BS481" s="403"/>
      <c r="BT481" s="403"/>
      <c r="BU481" s="403"/>
      <c r="BV481" s="403"/>
      <c r="BW481" s="403"/>
      <c r="BX481" s="403"/>
      <c r="BY481" s="403"/>
      <c r="BZ481" s="403"/>
      <c r="CA481" s="403"/>
      <c r="CB481" s="403"/>
      <c r="CC481" s="403"/>
      <c r="CD481" s="403"/>
      <c r="CE481" s="403"/>
      <c r="CF481" s="403"/>
      <c r="CG481" s="403"/>
      <c r="CH481" s="403"/>
      <c r="CI481" s="403"/>
      <c r="CJ481" s="403"/>
      <c r="CK481" s="403"/>
      <c r="CL481" s="403"/>
      <c r="CM481" s="403"/>
      <c r="CN481" s="403"/>
      <c r="CO481" s="403"/>
      <c r="CP481" s="403"/>
      <c r="CQ481" s="403"/>
      <c r="CR481" s="403"/>
      <c r="CS481" s="403"/>
      <c r="CT481" s="403"/>
      <c r="CU481" s="403"/>
      <c r="CV481" s="403"/>
      <c r="CW481" s="403"/>
      <c r="CX481" s="403"/>
      <c r="CY481" s="403"/>
      <c r="CZ481" s="403"/>
      <c r="DA481" s="403"/>
      <c r="DB481" s="403"/>
      <c r="DC481" s="403"/>
      <c r="DD481" s="403"/>
      <c r="DE481" s="403"/>
      <c r="DF481" s="403"/>
      <c r="DG481" s="403"/>
      <c r="DH481" s="403"/>
      <c r="DI481" s="403"/>
      <c r="DJ481" s="403"/>
      <c r="DK481" s="403"/>
      <c r="DL481" s="403"/>
      <c r="DM481" s="403"/>
      <c r="DN481" s="403"/>
    </row>
    <row r="482" spans="5:118" s="15" customFormat="1" x14ac:dyDescent="0.2">
      <c r="E482" s="122"/>
      <c r="F482" s="122"/>
      <c r="N482" s="403"/>
      <c r="O482" s="403"/>
      <c r="P482" s="403"/>
      <c r="Q482" s="403"/>
      <c r="R482" s="403"/>
      <c r="S482" s="403"/>
      <c r="T482" s="403"/>
      <c r="U482" s="403"/>
      <c r="V482" s="403"/>
      <c r="W482" s="403"/>
      <c r="X482" s="403"/>
      <c r="Y482" s="403"/>
      <c r="Z482" s="403"/>
      <c r="AA482" s="403"/>
      <c r="AB482" s="403"/>
      <c r="AC482" s="564"/>
      <c r="AD482" s="403"/>
      <c r="AE482" s="403"/>
      <c r="AF482" s="403"/>
      <c r="AG482" s="403"/>
      <c r="AH482" s="403"/>
      <c r="AI482" s="403"/>
      <c r="AJ482" s="403"/>
      <c r="AK482" s="403"/>
      <c r="AL482" s="403"/>
      <c r="AM482" s="403"/>
      <c r="AN482" s="403"/>
      <c r="AO482" s="403"/>
      <c r="AP482" s="403"/>
      <c r="AQ482" s="403"/>
      <c r="AR482" s="403"/>
      <c r="AS482" s="403"/>
      <c r="AT482" s="403"/>
      <c r="AU482" s="403"/>
      <c r="AV482" s="403"/>
      <c r="AW482" s="403"/>
      <c r="AX482" s="403"/>
      <c r="AY482" s="403"/>
      <c r="AZ482" s="403"/>
      <c r="BA482" s="403"/>
      <c r="BB482" s="403"/>
      <c r="BC482" s="403"/>
      <c r="BD482" s="403"/>
      <c r="BE482" s="403"/>
      <c r="BF482" s="403"/>
      <c r="BG482" s="403"/>
      <c r="BH482" s="403"/>
      <c r="BI482" s="403"/>
      <c r="BJ482" s="403"/>
      <c r="BK482" s="403"/>
      <c r="BL482" s="403"/>
      <c r="BM482" s="403"/>
      <c r="BN482" s="403"/>
      <c r="BO482" s="403"/>
      <c r="BP482" s="403"/>
      <c r="BQ482" s="403"/>
      <c r="BR482" s="403"/>
      <c r="BS482" s="403"/>
      <c r="BT482" s="403"/>
      <c r="BU482" s="403"/>
      <c r="BV482" s="403"/>
      <c r="BW482" s="403"/>
      <c r="BX482" s="403"/>
      <c r="BY482" s="403"/>
      <c r="BZ482" s="403"/>
      <c r="CA482" s="403"/>
      <c r="CB482" s="403"/>
      <c r="CC482" s="403"/>
      <c r="CD482" s="403"/>
      <c r="CE482" s="403"/>
      <c r="CF482" s="403"/>
      <c r="CG482" s="403"/>
      <c r="CH482" s="403"/>
      <c r="CI482" s="403"/>
      <c r="CJ482" s="403"/>
      <c r="CK482" s="403"/>
      <c r="CL482" s="403"/>
      <c r="CM482" s="403"/>
      <c r="CN482" s="403"/>
      <c r="CO482" s="403"/>
      <c r="CP482" s="403"/>
      <c r="CQ482" s="403"/>
      <c r="CR482" s="403"/>
      <c r="CS482" s="403"/>
      <c r="CT482" s="403"/>
      <c r="CU482" s="403"/>
      <c r="CV482" s="403"/>
      <c r="CW482" s="403"/>
      <c r="CX482" s="403"/>
      <c r="CY482" s="403"/>
      <c r="CZ482" s="403"/>
      <c r="DA482" s="403"/>
      <c r="DB482" s="403"/>
      <c r="DC482" s="403"/>
      <c r="DD482" s="403"/>
      <c r="DE482" s="403"/>
      <c r="DF482" s="403"/>
      <c r="DG482" s="403"/>
      <c r="DH482" s="403"/>
      <c r="DI482" s="403"/>
      <c r="DJ482" s="403"/>
      <c r="DK482" s="403"/>
      <c r="DL482" s="403"/>
      <c r="DM482" s="403"/>
      <c r="DN482" s="403"/>
    </row>
    <row r="483" spans="5:118" s="15" customFormat="1" x14ac:dyDescent="0.2">
      <c r="E483" s="122"/>
      <c r="F483" s="122"/>
      <c r="N483" s="403"/>
      <c r="O483" s="403"/>
      <c r="P483" s="403"/>
      <c r="Q483" s="403"/>
      <c r="R483" s="403"/>
      <c r="S483" s="403"/>
      <c r="T483" s="403"/>
      <c r="U483" s="403"/>
      <c r="V483" s="403"/>
      <c r="W483" s="403"/>
      <c r="X483" s="403"/>
      <c r="Y483" s="403"/>
      <c r="Z483" s="403"/>
      <c r="AA483" s="403"/>
      <c r="AB483" s="403"/>
      <c r="AC483" s="564"/>
      <c r="AD483" s="403"/>
      <c r="AE483" s="403"/>
      <c r="AF483" s="403"/>
      <c r="AG483" s="403"/>
      <c r="AH483" s="403"/>
      <c r="AI483" s="403"/>
      <c r="AJ483" s="403"/>
      <c r="AK483" s="403"/>
      <c r="AL483" s="403"/>
      <c r="AM483" s="403"/>
      <c r="AN483" s="403"/>
      <c r="AO483" s="403"/>
      <c r="AP483" s="403"/>
      <c r="AQ483" s="403"/>
      <c r="AR483" s="403"/>
      <c r="AS483" s="403"/>
      <c r="AT483" s="403"/>
      <c r="AU483" s="403"/>
      <c r="AV483" s="403"/>
      <c r="AW483" s="403"/>
      <c r="AX483" s="403"/>
      <c r="AY483" s="403"/>
      <c r="AZ483" s="403"/>
      <c r="BA483" s="403"/>
      <c r="BB483" s="403"/>
      <c r="BC483" s="403"/>
      <c r="BD483" s="403"/>
      <c r="BE483" s="403"/>
      <c r="BF483" s="403"/>
      <c r="BG483" s="403"/>
      <c r="BH483" s="403"/>
      <c r="BI483" s="403"/>
      <c r="BJ483" s="403"/>
      <c r="BK483" s="403"/>
      <c r="BL483" s="403"/>
      <c r="BM483" s="403"/>
      <c r="BN483" s="403"/>
      <c r="BO483" s="403"/>
      <c r="BP483" s="403"/>
      <c r="BQ483" s="403"/>
      <c r="BR483" s="403"/>
      <c r="BS483" s="403"/>
      <c r="BT483" s="403"/>
      <c r="BU483" s="403"/>
      <c r="BV483" s="403"/>
      <c r="BW483" s="403"/>
      <c r="BX483" s="403"/>
      <c r="BY483" s="403"/>
      <c r="BZ483" s="403"/>
      <c r="CA483" s="403"/>
      <c r="CB483" s="403"/>
      <c r="CC483" s="403"/>
      <c r="CD483" s="403"/>
      <c r="CE483" s="403"/>
      <c r="CF483" s="403"/>
      <c r="CG483" s="403"/>
      <c r="CH483" s="403"/>
      <c r="CI483" s="403"/>
      <c r="CJ483" s="403"/>
      <c r="CK483" s="403"/>
      <c r="CL483" s="403"/>
      <c r="CM483" s="403"/>
      <c r="CN483" s="403"/>
      <c r="CO483" s="403"/>
      <c r="CP483" s="403"/>
      <c r="CQ483" s="403"/>
      <c r="CR483" s="403"/>
      <c r="CS483" s="403"/>
      <c r="CT483" s="403"/>
      <c r="CU483" s="403"/>
      <c r="CV483" s="403"/>
      <c r="CW483" s="403"/>
      <c r="CX483" s="403"/>
      <c r="CY483" s="403"/>
      <c r="CZ483" s="403"/>
      <c r="DA483" s="403"/>
      <c r="DB483" s="403"/>
      <c r="DC483" s="403"/>
      <c r="DD483" s="403"/>
      <c r="DE483" s="403"/>
      <c r="DF483" s="403"/>
      <c r="DG483" s="403"/>
      <c r="DH483" s="403"/>
      <c r="DI483" s="403"/>
      <c r="DJ483" s="403"/>
      <c r="DK483" s="403"/>
      <c r="DL483" s="403"/>
      <c r="DM483" s="403"/>
      <c r="DN483" s="403"/>
    </row>
    <row r="484" spans="5:118" s="15" customFormat="1" x14ac:dyDescent="0.2">
      <c r="E484" s="122"/>
      <c r="F484" s="122"/>
      <c r="N484" s="403"/>
      <c r="O484" s="403"/>
      <c r="P484" s="403"/>
      <c r="Q484" s="403"/>
      <c r="R484" s="403"/>
      <c r="S484" s="403"/>
      <c r="T484" s="403"/>
      <c r="U484" s="403"/>
      <c r="V484" s="403"/>
      <c r="W484" s="403"/>
      <c r="X484" s="403"/>
      <c r="Y484" s="403"/>
      <c r="Z484" s="403"/>
      <c r="AA484" s="403"/>
      <c r="AB484" s="403"/>
      <c r="AC484" s="564"/>
      <c r="AD484" s="403"/>
      <c r="AE484" s="403"/>
      <c r="AF484" s="403"/>
      <c r="AG484" s="403"/>
      <c r="AH484" s="403"/>
      <c r="AI484" s="403"/>
      <c r="AJ484" s="403"/>
      <c r="AK484" s="403"/>
      <c r="AL484" s="403"/>
      <c r="AM484" s="403"/>
      <c r="AN484" s="403"/>
      <c r="AO484" s="403"/>
      <c r="AP484" s="403"/>
      <c r="AQ484" s="403"/>
      <c r="AR484" s="403"/>
      <c r="AS484" s="403"/>
      <c r="AT484" s="403"/>
      <c r="AU484" s="403"/>
      <c r="AV484" s="403"/>
      <c r="AW484" s="403"/>
      <c r="AX484" s="403"/>
      <c r="AY484" s="403"/>
      <c r="AZ484" s="403"/>
      <c r="BA484" s="403"/>
      <c r="BB484" s="403"/>
      <c r="BC484" s="403"/>
      <c r="BD484" s="403"/>
      <c r="BE484" s="403"/>
      <c r="BF484" s="403"/>
      <c r="BG484" s="403"/>
      <c r="BH484" s="403"/>
      <c r="BI484" s="403"/>
      <c r="BJ484" s="403"/>
      <c r="BK484" s="403"/>
      <c r="BL484" s="403"/>
      <c r="BM484" s="403"/>
      <c r="BN484" s="403"/>
      <c r="BO484" s="403"/>
      <c r="BP484" s="403"/>
      <c r="BQ484" s="403"/>
      <c r="BR484" s="403"/>
      <c r="BS484" s="403"/>
      <c r="BT484" s="403"/>
      <c r="BU484" s="403"/>
      <c r="BV484" s="403"/>
      <c r="BW484" s="403"/>
      <c r="BX484" s="403"/>
      <c r="BY484" s="403"/>
      <c r="BZ484" s="403"/>
      <c r="CA484" s="403"/>
      <c r="CB484" s="403"/>
      <c r="CC484" s="403"/>
      <c r="CD484" s="403"/>
      <c r="CE484" s="403"/>
      <c r="CF484" s="403"/>
      <c r="CG484" s="403"/>
      <c r="CH484" s="403"/>
      <c r="CI484" s="403"/>
      <c r="CJ484" s="403"/>
      <c r="CK484" s="403"/>
      <c r="CL484" s="403"/>
      <c r="CM484" s="403"/>
      <c r="CN484" s="403"/>
      <c r="CO484" s="403"/>
      <c r="CP484" s="403"/>
      <c r="CQ484" s="403"/>
      <c r="CR484" s="403"/>
      <c r="CS484" s="403"/>
      <c r="CT484" s="403"/>
      <c r="CU484" s="403"/>
      <c r="CV484" s="403"/>
      <c r="CW484" s="403"/>
      <c r="CX484" s="403"/>
      <c r="CY484" s="403"/>
      <c r="CZ484" s="403"/>
      <c r="DA484" s="403"/>
      <c r="DB484" s="403"/>
      <c r="DC484" s="403"/>
      <c r="DD484" s="403"/>
      <c r="DE484" s="403"/>
      <c r="DF484" s="403"/>
      <c r="DG484" s="403"/>
      <c r="DH484" s="403"/>
      <c r="DI484" s="403"/>
      <c r="DJ484" s="403"/>
      <c r="DK484" s="403"/>
      <c r="DL484" s="403"/>
      <c r="DM484" s="403"/>
      <c r="DN484" s="403"/>
    </row>
    <row r="485" spans="5:118" s="15" customFormat="1" x14ac:dyDescent="0.2">
      <c r="E485" s="122"/>
      <c r="F485" s="122"/>
      <c r="N485" s="403"/>
      <c r="O485" s="403"/>
      <c r="P485" s="403"/>
      <c r="Q485" s="403"/>
      <c r="R485" s="403"/>
      <c r="S485" s="403"/>
      <c r="T485" s="403"/>
      <c r="U485" s="403"/>
      <c r="V485" s="403"/>
      <c r="W485" s="403"/>
      <c r="X485" s="403"/>
      <c r="Y485" s="403"/>
      <c r="Z485" s="403"/>
      <c r="AA485" s="403"/>
      <c r="AB485" s="403"/>
      <c r="AC485" s="564"/>
      <c r="AD485" s="403"/>
      <c r="AE485" s="403"/>
      <c r="AF485" s="403"/>
      <c r="AG485" s="403"/>
      <c r="AH485" s="403"/>
      <c r="AI485" s="403"/>
      <c r="AJ485" s="403"/>
      <c r="AK485" s="403"/>
      <c r="AL485" s="403"/>
      <c r="AM485" s="403"/>
      <c r="AN485" s="403"/>
      <c r="AO485" s="403"/>
      <c r="AP485" s="403"/>
      <c r="AQ485" s="403"/>
      <c r="AR485" s="403"/>
      <c r="AS485" s="403"/>
      <c r="AT485" s="403"/>
      <c r="AU485" s="403"/>
      <c r="AV485" s="403"/>
      <c r="AW485" s="403"/>
      <c r="AX485" s="403"/>
      <c r="AY485" s="403"/>
      <c r="AZ485" s="403"/>
      <c r="BA485" s="403"/>
      <c r="BB485" s="403"/>
      <c r="BC485" s="403"/>
      <c r="BD485" s="403"/>
      <c r="BE485" s="403"/>
      <c r="BF485" s="403"/>
      <c r="BG485" s="403"/>
      <c r="BH485" s="403"/>
      <c r="BI485" s="403"/>
      <c r="BJ485" s="403"/>
      <c r="BK485" s="403"/>
      <c r="BL485" s="403"/>
      <c r="BM485" s="403"/>
      <c r="BN485" s="403"/>
      <c r="BO485" s="403"/>
      <c r="BP485" s="403"/>
      <c r="BQ485" s="403"/>
      <c r="BR485" s="403"/>
      <c r="BS485" s="403"/>
      <c r="BT485" s="403"/>
      <c r="BU485" s="403"/>
      <c r="BV485" s="403"/>
      <c r="BW485" s="403"/>
      <c r="BX485" s="403"/>
      <c r="BY485" s="403"/>
      <c r="BZ485" s="403"/>
      <c r="CA485" s="403"/>
      <c r="CB485" s="403"/>
      <c r="CC485" s="403"/>
      <c r="CD485" s="403"/>
      <c r="CE485" s="403"/>
      <c r="CF485" s="403"/>
      <c r="CG485" s="403"/>
      <c r="CH485" s="403"/>
      <c r="CI485" s="403"/>
      <c r="CJ485" s="403"/>
      <c r="CK485" s="403"/>
      <c r="CL485" s="403"/>
      <c r="CM485" s="403"/>
      <c r="CN485" s="403"/>
      <c r="CO485" s="403"/>
      <c r="CP485" s="403"/>
      <c r="CQ485" s="403"/>
      <c r="CR485" s="403"/>
      <c r="CS485" s="403"/>
      <c r="CT485" s="403"/>
      <c r="CU485" s="403"/>
      <c r="CV485" s="403"/>
      <c r="CW485" s="403"/>
      <c r="CX485" s="403"/>
      <c r="CY485" s="403"/>
      <c r="CZ485" s="403"/>
      <c r="DA485" s="403"/>
      <c r="DB485" s="403"/>
      <c r="DC485" s="403"/>
      <c r="DD485" s="403"/>
      <c r="DE485" s="403"/>
      <c r="DF485" s="403"/>
      <c r="DG485" s="403"/>
      <c r="DH485" s="403"/>
      <c r="DI485" s="403"/>
      <c r="DJ485" s="403"/>
      <c r="DK485" s="403"/>
      <c r="DL485" s="403"/>
      <c r="DM485" s="403"/>
      <c r="DN485" s="403"/>
    </row>
    <row r="486" spans="5:118" s="15" customFormat="1" x14ac:dyDescent="0.2">
      <c r="E486" s="122"/>
      <c r="F486" s="122"/>
      <c r="N486" s="403"/>
      <c r="O486" s="403"/>
      <c r="P486" s="403"/>
      <c r="Q486" s="403"/>
      <c r="R486" s="403"/>
      <c r="S486" s="403"/>
      <c r="T486" s="403"/>
      <c r="U486" s="403"/>
      <c r="V486" s="403"/>
      <c r="W486" s="403"/>
      <c r="X486" s="403"/>
      <c r="Y486" s="403"/>
      <c r="Z486" s="403"/>
      <c r="AA486" s="403"/>
      <c r="AB486" s="403"/>
      <c r="AC486" s="564"/>
      <c r="AD486" s="403"/>
      <c r="AE486" s="403"/>
      <c r="AF486" s="403"/>
      <c r="AG486" s="403"/>
      <c r="AH486" s="403"/>
      <c r="AI486" s="403"/>
      <c r="AJ486" s="403"/>
      <c r="AK486" s="403"/>
      <c r="AL486" s="403"/>
      <c r="AM486" s="403"/>
      <c r="AN486" s="403"/>
      <c r="AO486" s="403"/>
      <c r="AP486" s="403"/>
      <c r="AQ486" s="403"/>
      <c r="AR486" s="403"/>
      <c r="AS486" s="403"/>
      <c r="AT486" s="403"/>
      <c r="AU486" s="403"/>
      <c r="AV486" s="403"/>
      <c r="AW486" s="403"/>
      <c r="AX486" s="403"/>
      <c r="AY486" s="403"/>
      <c r="AZ486" s="403"/>
      <c r="BA486" s="403"/>
      <c r="BB486" s="403"/>
      <c r="BC486" s="403"/>
      <c r="BD486" s="403"/>
      <c r="BE486" s="403"/>
      <c r="BF486" s="403"/>
      <c r="BG486" s="403"/>
      <c r="BH486" s="403"/>
      <c r="BI486" s="403"/>
      <c r="BJ486" s="403"/>
      <c r="BK486" s="403"/>
      <c r="BL486" s="403"/>
      <c r="BM486" s="403"/>
      <c r="BN486" s="403"/>
      <c r="BO486" s="403"/>
      <c r="BP486" s="403"/>
      <c r="BQ486" s="403"/>
      <c r="BR486" s="403"/>
      <c r="BS486" s="403"/>
      <c r="BT486" s="403"/>
      <c r="BU486" s="403"/>
      <c r="BV486" s="403"/>
      <c r="BW486" s="403"/>
      <c r="BX486" s="403"/>
      <c r="BY486" s="403"/>
      <c r="BZ486" s="403"/>
      <c r="CA486" s="403"/>
      <c r="CB486" s="403"/>
      <c r="CC486" s="403"/>
      <c r="CD486" s="403"/>
      <c r="CE486" s="403"/>
      <c r="CF486" s="403"/>
      <c r="CG486" s="403"/>
      <c r="CH486" s="403"/>
      <c r="CI486" s="403"/>
      <c r="CJ486" s="403"/>
      <c r="CK486" s="403"/>
      <c r="CL486" s="403"/>
      <c r="CM486" s="403"/>
      <c r="CN486" s="403"/>
      <c r="CO486" s="403"/>
      <c r="CP486" s="403"/>
      <c r="CQ486" s="403"/>
      <c r="CR486" s="403"/>
      <c r="CS486" s="403"/>
      <c r="CT486" s="403"/>
      <c r="CU486" s="403"/>
      <c r="CV486" s="403"/>
      <c r="CW486" s="403"/>
      <c r="CX486" s="403"/>
      <c r="CY486" s="403"/>
      <c r="CZ486" s="403"/>
      <c r="DA486" s="403"/>
      <c r="DB486" s="403"/>
      <c r="DC486" s="403"/>
      <c r="DD486" s="403"/>
      <c r="DE486" s="403"/>
      <c r="DF486" s="403"/>
      <c r="DG486" s="403"/>
      <c r="DH486" s="403"/>
      <c r="DI486" s="403"/>
      <c r="DJ486" s="403"/>
      <c r="DK486" s="403"/>
      <c r="DL486" s="403"/>
      <c r="DM486" s="403"/>
      <c r="DN486" s="403"/>
    </row>
    <row r="487" spans="5:118" s="15" customFormat="1" x14ac:dyDescent="0.2">
      <c r="E487" s="122"/>
      <c r="F487" s="122"/>
      <c r="N487" s="403"/>
      <c r="O487" s="403"/>
      <c r="P487" s="403"/>
      <c r="Q487" s="403"/>
      <c r="R487" s="403"/>
      <c r="S487" s="403"/>
      <c r="T487" s="403"/>
      <c r="U487" s="403"/>
      <c r="V487" s="403"/>
      <c r="W487" s="403"/>
      <c r="X487" s="403"/>
      <c r="Y487" s="403"/>
      <c r="Z487" s="403"/>
      <c r="AA487" s="403"/>
      <c r="AB487" s="403"/>
      <c r="AC487" s="564"/>
      <c r="AD487" s="403"/>
      <c r="AE487" s="403"/>
      <c r="AF487" s="403"/>
      <c r="AG487" s="403"/>
      <c r="AH487" s="403"/>
      <c r="AI487" s="403"/>
      <c r="AJ487" s="403"/>
      <c r="AK487" s="403"/>
      <c r="AL487" s="403"/>
      <c r="AM487" s="403"/>
      <c r="AN487" s="403"/>
      <c r="AO487" s="403"/>
      <c r="AP487" s="403"/>
      <c r="AQ487" s="403"/>
      <c r="AR487" s="403"/>
      <c r="AS487" s="403"/>
      <c r="AT487" s="403"/>
      <c r="AU487" s="403"/>
      <c r="AV487" s="403"/>
      <c r="AW487" s="403"/>
      <c r="AX487" s="403"/>
      <c r="AY487" s="403"/>
      <c r="AZ487" s="403"/>
      <c r="BA487" s="403"/>
      <c r="BB487" s="403"/>
      <c r="BC487" s="403"/>
      <c r="BD487" s="403"/>
      <c r="BE487" s="403"/>
      <c r="BF487" s="403"/>
      <c r="BG487" s="403"/>
      <c r="BH487" s="403"/>
      <c r="BI487" s="403"/>
      <c r="BJ487" s="403"/>
      <c r="BK487" s="403"/>
      <c r="BL487" s="403"/>
      <c r="BM487" s="403"/>
      <c r="BN487" s="403"/>
      <c r="BO487" s="403"/>
      <c r="BP487" s="403"/>
      <c r="BQ487" s="403"/>
      <c r="BR487" s="403"/>
      <c r="BS487" s="403"/>
      <c r="BT487" s="403"/>
      <c r="BU487" s="403"/>
      <c r="BV487" s="403"/>
      <c r="BW487" s="403"/>
      <c r="BX487" s="403"/>
      <c r="BY487" s="403"/>
      <c r="BZ487" s="403"/>
      <c r="CA487" s="403"/>
      <c r="CB487" s="403"/>
      <c r="CC487" s="403"/>
      <c r="CD487" s="403"/>
      <c r="CE487" s="403"/>
      <c r="CF487" s="403"/>
      <c r="CG487" s="403"/>
      <c r="CH487" s="403"/>
      <c r="CI487" s="403"/>
      <c r="CJ487" s="403"/>
      <c r="CK487" s="403"/>
      <c r="CL487" s="403"/>
      <c r="CM487" s="403"/>
      <c r="CN487" s="403"/>
      <c r="CO487" s="403"/>
      <c r="CP487" s="403"/>
      <c r="CQ487" s="403"/>
      <c r="CR487" s="403"/>
      <c r="CS487" s="403"/>
      <c r="CT487" s="403"/>
      <c r="CU487" s="403"/>
      <c r="CV487" s="403"/>
      <c r="CW487" s="403"/>
      <c r="CX487" s="403"/>
      <c r="CY487" s="403"/>
      <c r="CZ487" s="403"/>
      <c r="DA487" s="403"/>
      <c r="DB487" s="403"/>
      <c r="DC487" s="403"/>
      <c r="DD487" s="403"/>
      <c r="DE487" s="403"/>
      <c r="DF487" s="403"/>
      <c r="DG487" s="403"/>
      <c r="DH487" s="403"/>
      <c r="DI487" s="403"/>
      <c r="DJ487" s="403"/>
      <c r="DK487" s="403"/>
      <c r="DL487" s="403"/>
      <c r="DM487" s="403"/>
      <c r="DN487" s="403"/>
    </row>
    <row r="488" spans="5:118" s="15" customFormat="1" x14ac:dyDescent="0.2">
      <c r="E488" s="122"/>
      <c r="F488" s="122"/>
      <c r="N488" s="403"/>
      <c r="O488" s="403"/>
      <c r="P488" s="403"/>
      <c r="Q488" s="403"/>
      <c r="R488" s="403"/>
      <c r="S488" s="403"/>
      <c r="T488" s="403"/>
      <c r="U488" s="403"/>
      <c r="V488" s="403"/>
      <c r="W488" s="403"/>
      <c r="X488" s="403"/>
      <c r="Y488" s="403"/>
      <c r="Z488" s="403"/>
      <c r="AA488" s="403"/>
      <c r="AB488" s="403"/>
      <c r="AC488" s="564"/>
      <c r="AD488" s="403"/>
      <c r="AE488" s="403"/>
      <c r="AF488" s="403"/>
      <c r="AG488" s="403"/>
      <c r="AH488" s="403"/>
      <c r="AI488" s="403"/>
      <c r="AJ488" s="403"/>
      <c r="AK488" s="403"/>
      <c r="AL488" s="403"/>
      <c r="AM488" s="403"/>
      <c r="AN488" s="403"/>
      <c r="AO488" s="403"/>
      <c r="AP488" s="403"/>
      <c r="AQ488" s="403"/>
      <c r="AR488" s="403"/>
      <c r="AS488" s="403"/>
      <c r="AT488" s="403"/>
      <c r="AU488" s="403"/>
      <c r="AV488" s="403"/>
      <c r="AW488" s="403"/>
      <c r="AX488" s="403"/>
      <c r="AY488" s="403"/>
      <c r="AZ488" s="403"/>
      <c r="BA488" s="403"/>
      <c r="BB488" s="403"/>
      <c r="BC488" s="403"/>
      <c r="BD488" s="403"/>
      <c r="BE488" s="403"/>
      <c r="BF488" s="403"/>
      <c r="BG488" s="403"/>
      <c r="BH488" s="403"/>
      <c r="BI488" s="403"/>
      <c r="BJ488" s="403"/>
      <c r="BK488" s="403"/>
      <c r="BL488" s="403"/>
      <c r="BM488" s="403"/>
      <c r="BN488" s="403"/>
      <c r="BO488" s="403"/>
      <c r="BP488" s="403"/>
      <c r="BQ488" s="403"/>
      <c r="BR488" s="403"/>
      <c r="BS488" s="403"/>
      <c r="BT488" s="403"/>
      <c r="BU488" s="403"/>
      <c r="BV488" s="403"/>
      <c r="BW488" s="403"/>
      <c r="BX488" s="403"/>
      <c r="BY488" s="403"/>
      <c r="BZ488" s="403"/>
      <c r="CA488" s="403"/>
      <c r="CB488" s="403"/>
      <c r="CC488" s="403"/>
      <c r="CD488" s="403"/>
      <c r="CE488" s="403"/>
      <c r="CF488" s="403"/>
      <c r="CG488" s="403"/>
      <c r="CH488" s="403"/>
      <c r="CI488" s="403"/>
      <c r="CJ488" s="403"/>
      <c r="CK488" s="403"/>
      <c r="CL488" s="403"/>
      <c r="CM488" s="403"/>
      <c r="CN488" s="403"/>
      <c r="CO488" s="403"/>
      <c r="CP488" s="403"/>
      <c r="CQ488" s="403"/>
      <c r="CR488" s="403"/>
      <c r="CS488" s="403"/>
      <c r="CT488" s="403"/>
      <c r="CU488" s="403"/>
      <c r="CV488" s="403"/>
      <c r="CW488" s="403"/>
      <c r="CX488" s="403"/>
      <c r="CY488" s="403"/>
      <c r="CZ488" s="403"/>
      <c r="DA488" s="403"/>
      <c r="DB488" s="403"/>
      <c r="DC488" s="403"/>
      <c r="DD488" s="403"/>
      <c r="DE488" s="403"/>
      <c r="DF488" s="403"/>
      <c r="DG488" s="403"/>
      <c r="DH488" s="403"/>
      <c r="DI488" s="403"/>
      <c r="DJ488" s="403"/>
      <c r="DK488" s="403"/>
      <c r="DL488" s="403"/>
      <c r="DM488" s="403"/>
      <c r="DN488" s="403"/>
    </row>
    <row r="489" spans="5:118" s="15" customFormat="1" x14ac:dyDescent="0.2">
      <c r="E489" s="122"/>
      <c r="F489" s="122"/>
      <c r="N489" s="403"/>
      <c r="O489" s="403"/>
      <c r="P489" s="403"/>
      <c r="Q489" s="403"/>
      <c r="R489" s="403"/>
      <c r="S489" s="403"/>
      <c r="T489" s="403"/>
      <c r="U489" s="403"/>
      <c r="V489" s="403"/>
      <c r="W489" s="403"/>
      <c r="X489" s="403"/>
      <c r="Y489" s="403"/>
      <c r="Z489" s="403"/>
      <c r="AA489" s="403"/>
      <c r="AB489" s="403"/>
      <c r="AC489" s="564"/>
      <c r="AD489" s="403"/>
      <c r="AE489" s="403"/>
      <c r="AF489" s="403"/>
      <c r="AG489" s="403"/>
      <c r="AH489" s="403"/>
      <c r="AI489" s="403"/>
      <c r="AJ489" s="403"/>
      <c r="AK489" s="403"/>
      <c r="AL489" s="403"/>
      <c r="AM489" s="403"/>
      <c r="AN489" s="403"/>
      <c r="AO489" s="403"/>
      <c r="AP489" s="403"/>
      <c r="AQ489" s="403"/>
      <c r="AR489" s="403"/>
      <c r="AS489" s="403"/>
      <c r="AT489" s="403"/>
      <c r="AU489" s="403"/>
      <c r="AV489" s="403"/>
      <c r="AW489" s="403"/>
      <c r="AX489" s="403"/>
      <c r="AY489" s="403"/>
      <c r="AZ489" s="403"/>
      <c r="BA489" s="403"/>
      <c r="BB489" s="403"/>
      <c r="BC489" s="403"/>
      <c r="BD489" s="403"/>
      <c r="BE489" s="403"/>
      <c r="BF489" s="403"/>
      <c r="BG489" s="403"/>
      <c r="BH489" s="403"/>
      <c r="BI489" s="403"/>
      <c r="BJ489" s="403"/>
      <c r="BK489" s="403"/>
      <c r="BL489" s="403"/>
      <c r="BM489" s="403"/>
      <c r="BN489" s="403"/>
      <c r="BO489" s="403"/>
      <c r="BP489" s="403"/>
      <c r="BQ489" s="403"/>
      <c r="BR489" s="403"/>
      <c r="BS489" s="403"/>
      <c r="BT489" s="403"/>
      <c r="BU489" s="403"/>
      <c r="BV489" s="403"/>
      <c r="BW489" s="403"/>
      <c r="BX489" s="403"/>
      <c r="BY489" s="403"/>
      <c r="BZ489" s="403"/>
      <c r="CA489" s="403"/>
      <c r="CB489" s="403"/>
      <c r="CC489" s="403"/>
      <c r="CD489" s="403"/>
      <c r="CE489" s="403"/>
      <c r="CF489" s="403"/>
      <c r="CG489" s="403"/>
      <c r="CH489" s="403"/>
      <c r="CI489" s="403"/>
      <c r="CJ489" s="403"/>
      <c r="CK489" s="403"/>
      <c r="CL489" s="403"/>
      <c r="CM489" s="403"/>
      <c r="CN489" s="403"/>
      <c r="CO489" s="403"/>
      <c r="CP489" s="403"/>
      <c r="CQ489" s="403"/>
      <c r="CR489" s="403"/>
      <c r="CS489" s="403"/>
      <c r="CT489" s="403"/>
      <c r="CU489" s="403"/>
      <c r="CV489" s="403"/>
      <c r="CW489" s="403"/>
      <c r="CX489" s="403"/>
      <c r="CY489" s="403"/>
      <c r="CZ489" s="403"/>
      <c r="DA489" s="403"/>
      <c r="DB489" s="403"/>
      <c r="DC489" s="403"/>
      <c r="DD489" s="403"/>
      <c r="DE489" s="403"/>
      <c r="DF489" s="403"/>
      <c r="DG489" s="403"/>
      <c r="DH489" s="403"/>
      <c r="DI489" s="403"/>
      <c r="DJ489" s="403"/>
      <c r="DK489" s="403"/>
      <c r="DL489" s="403"/>
      <c r="DM489" s="403"/>
      <c r="DN489" s="403"/>
    </row>
    <row r="490" spans="5:118" s="15" customFormat="1" x14ac:dyDescent="0.2">
      <c r="E490" s="122"/>
      <c r="F490" s="122"/>
      <c r="N490" s="403"/>
      <c r="O490" s="403"/>
      <c r="P490" s="403"/>
      <c r="Q490" s="403"/>
      <c r="R490" s="403"/>
      <c r="S490" s="403"/>
      <c r="T490" s="403"/>
      <c r="U490" s="403"/>
      <c r="V490" s="403"/>
      <c r="W490" s="403"/>
      <c r="X490" s="403"/>
      <c r="Y490" s="403"/>
      <c r="Z490" s="403"/>
      <c r="AA490" s="403"/>
      <c r="AB490" s="403"/>
      <c r="AC490" s="564"/>
      <c r="AD490" s="403"/>
      <c r="AE490" s="403"/>
      <c r="AF490" s="403"/>
      <c r="AG490" s="403"/>
      <c r="AH490" s="403"/>
      <c r="AI490" s="403"/>
      <c r="AJ490" s="403"/>
      <c r="AK490" s="403"/>
      <c r="AL490" s="403"/>
      <c r="AM490" s="403"/>
      <c r="AN490" s="403"/>
      <c r="AO490" s="403"/>
      <c r="AP490" s="403"/>
      <c r="AQ490" s="403"/>
      <c r="AR490" s="403"/>
      <c r="AS490" s="403"/>
      <c r="AT490" s="403"/>
      <c r="AU490" s="403"/>
      <c r="AV490" s="403"/>
      <c r="AW490" s="403"/>
      <c r="AX490" s="403"/>
      <c r="AY490" s="403"/>
      <c r="AZ490" s="403"/>
      <c r="BA490" s="403"/>
      <c r="BB490" s="403"/>
      <c r="BC490" s="403"/>
      <c r="BD490" s="403"/>
      <c r="BE490" s="403"/>
      <c r="BF490" s="403"/>
      <c r="BG490" s="403"/>
      <c r="BH490" s="403"/>
      <c r="BI490" s="403"/>
      <c r="BJ490" s="403"/>
      <c r="BK490" s="403"/>
      <c r="BL490" s="403"/>
      <c r="BM490" s="403"/>
      <c r="BN490" s="403"/>
      <c r="BO490" s="403"/>
      <c r="BP490" s="403"/>
      <c r="BQ490" s="403"/>
      <c r="BR490" s="403"/>
      <c r="BS490" s="403"/>
      <c r="BT490" s="403"/>
      <c r="BU490" s="403"/>
      <c r="BV490" s="403"/>
      <c r="BW490" s="403"/>
      <c r="BX490" s="403"/>
      <c r="BY490" s="403"/>
      <c r="BZ490" s="403"/>
      <c r="CA490" s="403"/>
      <c r="CB490" s="403"/>
      <c r="CC490" s="403"/>
      <c r="CD490" s="403"/>
      <c r="CE490" s="403"/>
      <c r="CF490" s="403"/>
      <c r="CG490" s="403"/>
      <c r="CH490" s="403"/>
      <c r="CI490" s="403"/>
      <c r="CJ490" s="403"/>
      <c r="CK490" s="403"/>
      <c r="CL490" s="403"/>
      <c r="CM490" s="403"/>
      <c r="CN490" s="403"/>
      <c r="CO490" s="403"/>
      <c r="CP490" s="403"/>
      <c r="CQ490" s="403"/>
      <c r="CR490" s="403"/>
      <c r="CS490" s="403"/>
      <c r="CT490" s="403"/>
      <c r="CU490" s="403"/>
      <c r="CV490" s="403"/>
      <c r="CW490" s="403"/>
      <c r="CX490" s="403"/>
      <c r="CY490" s="403"/>
      <c r="CZ490" s="403"/>
      <c r="DA490" s="403"/>
      <c r="DB490" s="403"/>
      <c r="DC490" s="403"/>
      <c r="DD490" s="403"/>
      <c r="DE490" s="403"/>
      <c r="DF490" s="403"/>
      <c r="DG490" s="403"/>
      <c r="DH490" s="403"/>
      <c r="DI490" s="403"/>
      <c r="DJ490" s="403"/>
      <c r="DK490" s="403"/>
      <c r="DL490" s="403"/>
      <c r="DM490" s="403"/>
      <c r="DN490" s="403"/>
    </row>
    <row r="491" spans="5:118" s="15" customFormat="1" x14ac:dyDescent="0.2">
      <c r="E491" s="122"/>
      <c r="F491" s="122"/>
      <c r="N491" s="403"/>
      <c r="O491" s="403"/>
      <c r="P491" s="403"/>
      <c r="Q491" s="403"/>
      <c r="R491" s="403"/>
      <c r="S491" s="403"/>
      <c r="T491" s="403"/>
      <c r="U491" s="403"/>
      <c r="V491" s="403"/>
      <c r="W491" s="403"/>
      <c r="X491" s="403"/>
      <c r="Y491" s="403"/>
      <c r="Z491" s="403"/>
      <c r="AA491" s="403"/>
      <c r="AB491" s="403"/>
      <c r="AC491" s="564"/>
      <c r="AD491" s="403"/>
      <c r="AE491" s="403"/>
      <c r="AF491" s="403"/>
      <c r="AG491" s="403"/>
      <c r="AH491" s="403"/>
      <c r="AI491" s="403"/>
      <c r="AJ491" s="403"/>
      <c r="AK491" s="403"/>
      <c r="AL491" s="403"/>
      <c r="AM491" s="403"/>
      <c r="AN491" s="403"/>
      <c r="AO491" s="403"/>
      <c r="AP491" s="403"/>
      <c r="AQ491" s="403"/>
      <c r="AR491" s="403"/>
      <c r="AS491" s="403"/>
      <c r="AT491" s="403"/>
      <c r="AU491" s="403"/>
      <c r="AV491" s="403"/>
      <c r="AW491" s="403"/>
      <c r="AX491" s="403"/>
      <c r="AY491" s="403"/>
      <c r="AZ491" s="403"/>
      <c r="BA491" s="403"/>
      <c r="BB491" s="403"/>
      <c r="BC491" s="403"/>
      <c r="BD491" s="403"/>
      <c r="BE491" s="403"/>
      <c r="BF491" s="403"/>
      <c r="BG491" s="403"/>
      <c r="BH491" s="403"/>
      <c r="BI491" s="403"/>
      <c r="BJ491" s="403"/>
      <c r="BK491" s="403"/>
      <c r="BL491" s="403"/>
      <c r="BM491" s="403"/>
      <c r="BN491" s="403"/>
      <c r="BO491" s="403"/>
      <c r="BP491" s="403"/>
      <c r="BQ491" s="403"/>
      <c r="BR491" s="403"/>
      <c r="BS491" s="403"/>
      <c r="BT491" s="403"/>
      <c r="BU491" s="403"/>
      <c r="BV491" s="403"/>
      <c r="BW491" s="403"/>
      <c r="BX491" s="403"/>
      <c r="BY491" s="403"/>
      <c r="BZ491" s="403"/>
      <c r="CA491" s="403"/>
      <c r="CB491" s="403"/>
      <c r="CC491" s="403"/>
      <c r="CD491" s="403"/>
      <c r="CE491" s="403"/>
      <c r="CF491" s="403"/>
      <c r="CG491" s="403"/>
      <c r="CH491" s="403"/>
      <c r="CI491" s="403"/>
      <c r="CJ491" s="403"/>
      <c r="CK491" s="403"/>
      <c r="CL491" s="403"/>
      <c r="CM491" s="403"/>
      <c r="CN491" s="403"/>
      <c r="CO491" s="403"/>
      <c r="CP491" s="403"/>
      <c r="CQ491" s="403"/>
      <c r="CR491" s="403"/>
      <c r="CS491" s="403"/>
      <c r="CT491" s="403"/>
      <c r="CU491" s="403"/>
      <c r="CV491" s="403"/>
      <c r="CW491" s="403"/>
      <c r="CX491" s="403"/>
      <c r="CY491" s="403"/>
      <c r="CZ491" s="403"/>
      <c r="DA491" s="403"/>
      <c r="DB491" s="403"/>
      <c r="DC491" s="403"/>
      <c r="DD491" s="403"/>
      <c r="DE491" s="403"/>
      <c r="DF491" s="403"/>
      <c r="DG491" s="403"/>
      <c r="DH491" s="403"/>
      <c r="DI491" s="403"/>
      <c r="DJ491" s="403"/>
      <c r="DK491" s="403"/>
      <c r="DL491" s="403"/>
      <c r="DM491" s="403"/>
      <c r="DN491" s="403"/>
    </row>
    <row r="492" spans="5:118" s="15" customFormat="1" x14ac:dyDescent="0.2">
      <c r="E492" s="122"/>
      <c r="F492" s="122"/>
      <c r="N492" s="403"/>
      <c r="O492" s="403"/>
      <c r="P492" s="403"/>
      <c r="Q492" s="403"/>
      <c r="R492" s="403"/>
      <c r="S492" s="403"/>
      <c r="T492" s="403"/>
      <c r="U492" s="403"/>
      <c r="V492" s="403"/>
      <c r="W492" s="403"/>
      <c r="X492" s="403"/>
      <c r="Y492" s="403"/>
      <c r="Z492" s="403"/>
      <c r="AA492" s="403"/>
      <c r="AB492" s="403"/>
      <c r="AC492" s="564"/>
      <c r="AD492" s="403"/>
      <c r="AE492" s="403"/>
      <c r="AF492" s="403"/>
      <c r="AG492" s="403"/>
      <c r="AH492" s="403"/>
      <c r="AI492" s="403"/>
      <c r="AJ492" s="403"/>
      <c r="AK492" s="403"/>
      <c r="AL492" s="403"/>
      <c r="AM492" s="403"/>
      <c r="AN492" s="403"/>
      <c r="AO492" s="403"/>
      <c r="AP492" s="403"/>
      <c r="AQ492" s="403"/>
      <c r="AR492" s="403"/>
      <c r="AS492" s="403"/>
      <c r="AT492" s="403"/>
      <c r="AU492" s="403"/>
      <c r="AV492" s="403"/>
      <c r="AW492" s="403"/>
      <c r="AX492" s="403"/>
      <c r="AY492" s="403"/>
      <c r="AZ492" s="403"/>
      <c r="BA492" s="403"/>
      <c r="BB492" s="403"/>
      <c r="BC492" s="403"/>
      <c r="BD492" s="403"/>
      <c r="BE492" s="403"/>
      <c r="BF492" s="403"/>
      <c r="BG492" s="403"/>
      <c r="BH492" s="403"/>
      <c r="BI492" s="403"/>
      <c r="BJ492" s="403"/>
      <c r="BK492" s="403"/>
      <c r="BL492" s="403"/>
      <c r="BM492" s="403"/>
      <c r="BN492" s="403"/>
      <c r="BO492" s="403"/>
      <c r="BP492" s="403"/>
      <c r="BQ492" s="403"/>
      <c r="BR492" s="403"/>
      <c r="BS492" s="403"/>
      <c r="BT492" s="403"/>
      <c r="BU492" s="403"/>
      <c r="BV492" s="403"/>
      <c r="BW492" s="403"/>
      <c r="BX492" s="403"/>
      <c r="BY492" s="403"/>
      <c r="BZ492" s="403"/>
      <c r="CA492" s="403"/>
      <c r="CB492" s="403"/>
      <c r="CC492" s="403"/>
      <c r="CD492" s="403"/>
      <c r="CE492" s="403"/>
      <c r="CF492" s="403"/>
      <c r="CG492" s="403"/>
      <c r="CH492" s="403"/>
      <c r="CI492" s="403"/>
      <c r="CJ492" s="403"/>
      <c r="CK492" s="403"/>
      <c r="CL492" s="403"/>
      <c r="CM492" s="403"/>
      <c r="CN492" s="403"/>
      <c r="CO492" s="403"/>
      <c r="CP492" s="403"/>
      <c r="CQ492" s="403"/>
      <c r="CR492" s="403"/>
      <c r="CS492" s="403"/>
      <c r="CT492" s="403"/>
      <c r="CU492" s="403"/>
      <c r="CV492" s="403"/>
      <c r="CW492" s="403"/>
      <c r="CX492" s="403"/>
      <c r="CY492" s="403"/>
      <c r="CZ492" s="403"/>
      <c r="DA492" s="403"/>
      <c r="DB492" s="403"/>
      <c r="DC492" s="403"/>
      <c r="DD492" s="403"/>
      <c r="DE492" s="403"/>
      <c r="DF492" s="403"/>
      <c r="DG492" s="403"/>
      <c r="DH492" s="403"/>
      <c r="DI492" s="403"/>
      <c r="DJ492" s="403"/>
      <c r="DK492" s="403"/>
      <c r="DL492" s="403"/>
      <c r="DM492" s="403"/>
      <c r="DN492" s="403"/>
    </row>
    <row r="493" spans="5:118" s="15" customFormat="1" x14ac:dyDescent="0.2">
      <c r="E493" s="122"/>
      <c r="F493" s="122"/>
      <c r="N493" s="403"/>
      <c r="O493" s="403"/>
      <c r="P493" s="403"/>
      <c r="Q493" s="403"/>
      <c r="R493" s="403"/>
      <c r="S493" s="403"/>
      <c r="T493" s="403"/>
      <c r="U493" s="403"/>
      <c r="V493" s="403"/>
      <c r="W493" s="403"/>
      <c r="X493" s="403"/>
      <c r="Y493" s="403"/>
      <c r="Z493" s="403"/>
      <c r="AA493" s="403"/>
      <c r="AB493" s="403"/>
      <c r="AC493" s="564"/>
      <c r="AD493" s="403"/>
      <c r="AE493" s="403"/>
      <c r="AF493" s="403"/>
      <c r="AG493" s="403"/>
      <c r="AH493" s="403"/>
      <c r="AI493" s="403"/>
      <c r="AJ493" s="403"/>
      <c r="AK493" s="403"/>
      <c r="AL493" s="403"/>
      <c r="AM493" s="403"/>
      <c r="AN493" s="403"/>
      <c r="AO493" s="403"/>
      <c r="AP493" s="403"/>
      <c r="AQ493" s="403"/>
      <c r="AR493" s="403"/>
      <c r="AS493" s="403"/>
      <c r="AT493" s="403"/>
      <c r="AU493" s="403"/>
      <c r="AV493" s="403"/>
      <c r="AW493" s="403"/>
      <c r="AX493" s="403"/>
      <c r="AY493" s="403"/>
      <c r="AZ493" s="403"/>
      <c r="BA493" s="403"/>
      <c r="BB493" s="403"/>
      <c r="BC493" s="403"/>
      <c r="BD493" s="403"/>
      <c r="BE493" s="403"/>
      <c r="BF493" s="403"/>
      <c r="BG493" s="403"/>
      <c r="BH493" s="403"/>
      <c r="BI493" s="403"/>
      <c r="BJ493" s="403"/>
      <c r="BK493" s="403"/>
      <c r="BL493" s="403"/>
      <c r="BM493" s="403"/>
      <c r="BN493" s="403"/>
      <c r="BO493" s="403"/>
      <c r="BP493" s="403"/>
      <c r="BQ493" s="403"/>
      <c r="BR493" s="403"/>
      <c r="BS493" s="403"/>
      <c r="BT493" s="403"/>
      <c r="BU493" s="403"/>
      <c r="BV493" s="403"/>
      <c r="BW493" s="403"/>
      <c r="BX493" s="403"/>
      <c r="BY493" s="403"/>
      <c r="BZ493" s="403"/>
      <c r="CA493" s="403"/>
      <c r="CB493" s="403"/>
      <c r="CC493" s="403"/>
      <c r="CD493" s="403"/>
      <c r="CE493" s="403"/>
      <c r="CF493" s="403"/>
      <c r="CG493" s="403"/>
      <c r="CH493" s="403"/>
      <c r="CI493" s="403"/>
      <c r="CJ493" s="403"/>
      <c r="CK493" s="403"/>
      <c r="CL493" s="403"/>
      <c r="CM493" s="403"/>
      <c r="CN493" s="403"/>
      <c r="CO493" s="403"/>
      <c r="CP493" s="403"/>
      <c r="CQ493" s="403"/>
      <c r="CR493" s="403"/>
      <c r="CS493" s="403"/>
      <c r="CT493" s="403"/>
      <c r="CU493" s="403"/>
      <c r="CV493" s="403"/>
      <c r="CW493" s="403"/>
      <c r="CX493" s="403"/>
      <c r="CY493" s="403"/>
      <c r="CZ493" s="403"/>
      <c r="DA493" s="403"/>
      <c r="DB493" s="403"/>
      <c r="DC493" s="403"/>
      <c r="DD493" s="403"/>
      <c r="DE493" s="403"/>
      <c r="DF493" s="403"/>
      <c r="DG493" s="403"/>
      <c r="DH493" s="403"/>
      <c r="DI493" s="403"/>
      <c r="DJ493" s="403"/>
      <c r="DK493" s="403"/>
      <c r="DL493" s="403"/>
      <c r="DM493" s="403"/>
      <c r="DN493" s="403"/>
    </row>
    <row r="494" spans="5:118" s="15" customFormat="1" x14ac:dyDescent="0.2">
      <c r="E494" s="122"/>
      <c r="F494" s="122"/>
      <c r="N494" s="403"/>
      <c r="O494" s="403"/>
      <c r="P494" s="403"/>
      <c r="Q494" s="403"/>
      <c r="R494" s="403"/>
      <c r="S494" s="403"/>
      <c r="T494" s="403"/>
      <c r="U494" s="403"/>
      <c r="V494" s="403"/>
      <c r="W494" s="403"/>
      <c r="X494" s="403"/>
      <c r="Y494" s="403"/>
      <c r="Z494" s="403"/>
      <c r="AA494" s="403"/>
      <c r="AB494" s="403"/>
      <c r="AC494" s="564"/>
      <c r="AD494" s="403"/>
      <c r="AE494" s="403"/>
      <c r="AF494" s="403"/>
      <c r="AG494" s="403"/>
      <c r="AH494" s="403"/>
      <c r="AI494" s="403"/>
      <c r="AJ494" s="403"/>
      <c r="AK494" s="403"/>
      <c r="AL494" s="403"/>
      <c r="AM494" s="403"/>
      <c r="AN494" s="403"/>
      <c r="AO494" s="403"/>
      <c r="AP494" s="403"/>
      <c r="AQ494" s="403"/>
      <c r="AR494" s="403"/>
      <c r="AS494" s="403"/>
      <c r="AT494" s="403"/>
      <c r="AU494" s="403"/>
      <c r="AV494" s="403"/>
      <c r="AW494" s="403"/>
      <c r="AX494" s="403"/>
      <c r="AY494" s="403"/>
      <c r="AZ494" s="403"/>
      <c r="BA494" s="403"/>
      <c r="BB494" s="403"/>
      <c r="BC494" s="403"/>
      <c r="BD494" s="403"/>
      <c r="BE494" s="403"/>
      <c r="BF494" s="403"/>
      <c r="BG494" s="403"/>
      <c r="BH494" s="403"/>
      <c r="BI494" s="403"/>
      <c r="BJ494" s="403"/>
      <c r="BK494" s="403"/>
      <c r="BL494" s="403"/>
      <c r="BM494" s="403"/>
      <c r="BN494" s="403"/>
      <c r="BO494" s="403"/>
      <c r="BP494" s="403"/>
      <c r="BQ494" s="403"/>
      <c r="BR494" s="403"/>
      <c r="BS494" s="403"/>
      <c r="BT494" s="403"/>
      <c r="BU494" s="403"/>
      <c r="BV494" s="403"/>
      <c r="BW494" s="403"/>
      <c r="BX494" s="403"/>
      <c r="BY494" s="403"/>
      <c r="BZ494" s="403"/>
      <c r="CA494" s="403"/>
      <c r="CB494" s="403"/>
      <c r="CC494" s="403"/>
      <c r="CD494" s="403"/>
      <c r="CE494" s="403"/>
      <c r="CF494" s="403"/>
      <c r="CG494" s="403"/>
      <c r="CH494" s="403"/>
      <c r="CI494" s="403"/>
      <c r="CJ494" s="403"/>
      <c r="CK494" s="403"/>
      <c r="CL494" s="403"/>
      <c r="CM494" s="403"/>
      <c r="CN494" s="403"/>
      <c r="CO494" s="403"/>
      <c r="CP494" s="403"/>
      <c r="CQ494" s="403"/>
      <c r="CR494" s="403"/>
      <c r="CS494" s="403"/>
      <c r="CT494" s="403"/>
      <c r="CU494" s="403"/>
      <c r="CV494" s="403"/>
      <c r="CW494" s="403"/>
      <c r="CX494" s="403"/>
      <c r="CY494" s="403"/>
      <c r="CZ494" s="403"/>
      <c r="DA494" s="403"/>
      <c r="DB494" s="403"/>
      <c r="DC494" s="403"/>
      <c r="DD494" s="403"/>
      <c r="DE494" s="403"/>
      <c r="DF494" s="403"/>
      <c r="DG494" s="403"/>
      <c r="DH494" s="403"/>
      <c r="DI494" s="403"/>
      <c r="DJ494" s="403"/>
      <c r="DK494" s="403"/>
      <c r="DL494" s="403"/>
      <c r="DM494" s="403"/>
      <c r="DN494" s="403"/>
    </row>
    <row r="495" spans="5:118" s="15" customFormat="1" x14ac:dyDescent="0.2">
      <c r="E495" s="122"/>
      <c r="F495" s="122"/>
      <c r="N495" s="403"/>
      <c r="O495" s="403"/>
      <c r="P495" s="403"/>
      <c r="Q495" s="403"/>
      <c r="R495" s="403"/>
      <c r="S495" s="403"/>
      <c r="T495" s="403"/>
      <c r="U495" s="403"/>
      <c r="V495" s="403"/>
      <c r="W495" s="403"/>
      <c r="X495" s="403"/>
      <c r="Y495" s="403"/>
      <c r="Z495" s="403"/>
      <c r="AA495" s="403"/>
      <c r="AB495" s="403"/>
      <c r="AC495" s="564"/>
      <c r="AD495" s="403"/>
      <c r="AE495" s="403"/>
      <c r="AF495" s="403"/>
      <c r="AG495" s="403"/>
      <c r="AH495" s="403"/>
      <c r="AI495" s="403"/>
      <c r="AJ495" s="403"/>
      <c r="AK495" s="403"/>
      <c r="AL495" s="403"/>
      <c r="AM495" s="403"/>
      <c r="AN495" s="403"/>
      <c r="AO495" s="403"/>
      <c r="AP495" s="403"/>
      <c r="AQ495" s="403"/>
      <c r="AR495" s="403"/>
      <c r="AS495" s="403"/>
      <c r="AT495" s="403"/>
      <c r="AU495" s="403"/>
      <c r="AV495" s="403"/>
      <c r="AW495" s="403"/>
      <c r="AX495" s="403"/>
      <c r="AY495" s="403"/>
      <c r="AZ495" s="403"/>
      <c r="BA495" s="403"/>
      <c r="BB495" s="403"/>
      <c r="BC495" s="403"/>
      <c r="BD495" s="403"/>
      <c r="BE495" s="403"/>
      <c r="BF495" s="403"/>
      <c r="BG495" s="403"/>
      <c r="BH495" s="403"/>
      <c r="BI495" s="403"/>
      <c r="BJ495" s="403"/>
      <c r="BK495" s="403"/>
      <c r="BL495" s="403"/>
      <c r="BM495" s="403"/>
      <c r="BN495" s="403"/>
      <c r="BO495" s="403"/>
      <c r="BP495" s="403"/>
      <c r="BQ495" s="403"/>
      <c r="BR495" s="403"/>
      <c r="BS495" s="403"/>
      <c r="BT495" s="403"/>
      <c r="BU495" s="403"/>
      <c r="BV495" s="403"/>
      <c r="BW495" s="403"/>
      <c r="BX495" s="403"/>
      <c r="BY495" s="403"/>
      <c r="BZ495" s="403"/>
      <c r="CA495" s="403"/>
      <c r="CB495" s="403"/>
      <c r="CC495" s="403"/>
      <c r="CD495" s="403"/>
      <c r="CE495" s="403"/>
      <c r="CF495" s="403"/>
      <c r="CG495" s="403"/>
      <c r="CH495" s="403"/>
      <c r="CI495" s="403"/>
      <c r="CJ495" s="403"/>
      <c r="CK495" s="403"/>
      <c r="CL495" s="403"/>
      <c r="CM495" s="403"/>
      <c r="CN495" s="403"/>
      <c r="CO495" s="403"/>
      <c r="CP495" s="403"/>
      <c r="CQ495" s="403"/>
      <c r="CR495" s="403"/>
      <c r="CS495" s="403"/>
      <c r="CT495" s="403"/>
      <c r="CU495" s="403"/>
      <c r="CV495" s="403"/>
      <c r="CW495" s="403"/>
      <c r="CX495" s="403"/>
      <c r="CY495" s="403"/>
      <c r="CZ495" s="403"/>
      <c r="DA495" s="403"/>
      <c r="DB495" s="403"/>
      <c r="DC495" s="403"/>
      <c r="DD495" s="403"/>
      <c r="DE495" s="403"/>
      <c r="DF495" s="403"/>
      <c r="DG495" s="403"/>
      <c r="DH495" s="403"/>
      <c r="DI495" s="403"/>
      <c r="DJ495" s="403"/>
      <c r="DK495" s="403"/>
      <c r="DL495" s="403"/>
      <c r="DM495" s="403"/>
      <c r="DN495" s="403"/>
    </row>
  </sheetData>
  <sheetProtection algorithmName="SHA-512" hashValue="tATlV0/0jKhPm+O0ktJlO9F3PDeN3GFhck8+CgbQyw59oI5c1rAVzwiIce1lFqQQq5mhwsV3FB+iNzNQBc7sTA==" saltValue="E4a23XeVd53R1LZSO6yfbw==" spinCount="100000" sheet="1" objects="1" scenarios="1"/>
  <mergeCells count="12">
    <mergeCell ref="A342:M342"/>
    <mergeCell ref="A343:M343"/>
    <mergeCell ref="C209:L209"/>
    <mergeCell ref="E4:L4"/>
    <mergeCell ref="C13:L13"/>
    <mergeCell ref="C155:L155"/>
    <mergeCell ref="D7:E7"/>
    <mergeCell ref="D8:E8"/>
    <mergeCell ref="D9:E9"/>
    <mergeCell ref="D10:E10"/>
    <mergeCell ref="C101:L101"/>
    <mergeCell ref="D11:E11"/>
  </mergeCells>
  <conditionalFormatting sqref="G238:L239">
    <cfRule type="dataBar" priority="9">
      <dataBar>
        <cfvo type="min"/>
        <cfvo type="max"/>
        <color rgb="FF008DC9"/>
      </dataBar>
      <extLst>
        <ext xmlns:x14="http://schemas.microsoft.com/office/spreadsheetml/2009/9/main" uri="{B025F937-C7B1-47D3-B67F-A62EFF666E3E}">
          <x14:id>{DB43CBB3-CB6F-418F-B31A-ECC3BC28220A}</x14:id>
        </ext>
      </extLst>
    </cfRule>
  </conditionalFormatting>
  <conditionalFormatting sqref="M2">
    <cfRule type="containsText" dxfId="174" priority="5" operator="containsText" text="Logic checks passed">
      <formula>NOT(ISERROR(SEARCH("Logic checks passed",M2)))</formula>
    </cfRule>
  </conditionalFormatting>
  <conditionalFormatting sqref="D66:D74 G66:L74">
    <cfRule type="dataBar" priority="261">
      <dataBar>
        <cfvo type="min"/>
        <cfvo type="max"/>
        <color rgb="FF008DC9"/>
      </dataBar>
      <extLst>
        <ext xmlns:x14="http://schemas.microsoft.com/office/spreadsheetml/2009/9/main" uri="{B025F937-C7B1-47D3-B67F-A62EFF666E3E}">
          <x14:id>{85B9A3EA-31F5-40E7-BF42-EF0EF539BAEB}</x14:id>
        </ext>
      </extLst>
    </cfRule>
  </conditionalFormatting>
  <dataValidations count="1">
    <dataValidation type="list" allowBlank="1" showInputMessage="1" showErrorMessage="1" sqref="C211" xr:uid="{D800C516-4508-4865-9ADA-7550F965CBC3}">
      <formula1>DataVal_Variants</formula1>
    </dataValidation>
  </dataValidations>
  <hyperlinks>
    <hyperlink ref="G9" location="'B1. Target Population'!D57" display="Go to Sheet B1 to fix" xr:uid="{3C38AF89-4157-492F-BF32-F669AFECA5B8}"/>
    <hyperlink ref="G8" location="'A3. INPUT Unit Costs'!A1" display="Go to Sheet A3 to fix logic checks" xr:uid="{FA4171DB-D6C8-4AD3-8D4A-B3ECF3A9151C}"/>
    <hyperlink ref="G7" location="'A2. INPUT Population &amp; Delivery'!A1" display="Go to Sheet A2 to fix logic checks" xr:uid="{0082B163-03DD-4512-8681-0205973A59E1}"/>
    <hyperlink ref="G10" location="'B1. Target Population'!D57" display="Go to Sheet B1 to fix" xr:uid="{7B4F14BE-D324-4C63-8887-E0966AE54581}"/>
    <hyperlink ref="G11" location="'B4. Domestic Logistics'!A1" display="'B4. Domestic Logistics'!A1" xr:uid="{F9827DF1-DF6F-4789-BEAD-88DCCF655924}"/>
  </hyperlink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dataBar" id="{DB43CBB3-CB6F-418F-B31A-ECC3BC28220A}">
            <x14:dataBar minLength="0" maxLength="100" gradient="0">
              <x14:cfvo type="autoMin"/>
              <x14:cfvo type="autoMax"/>
              <x14:negativeFillColor rgb="FFFF0000"/>
              <x14:axisColor rgb="FF000000"/>
            </x14:dataBar>
          </x14:cfRule>
          <xm:sqref>G238:L239</xm:sqref>
        </x14:conditionalFormatting>
        <x14:conditionalFormatting xmlns:xm="http://schemas.microsoft.com/office/excel/2006/main">
          <x14:cfRule type="dataBar" id="{85B9A3EA-31F5-40E7-BF42-EF0EF539BAEB}">
            <x14:dataBar minLength="0" maxLength="100" gradient="0">
              <x14:cfvo type="autoMin"/>
              <x14:cfvo type="autoMax"/>
              <x14:negativeFillColor rgb="FFFF0000"/>
              <x14:axisColor rgb="FF000000"/>
            </x14:dataBar>
          </x14:cfRule>
          <xm:sqref>D66:D74 G66:L74</xm:sqref>
        </x14:conditionalFormatting>
        <x14:conditionalFormatting xmlns:xm="http://schemas.microsoft.com/office/excel/2006/main">
          <x14:cfRule type="containsText" priority="6" operator="containsText" id="{1F73E38F-9576-4FF0-99F2-79C1C39186CB}">
            <xm:f>NOT(ISERROR(SEARCH(Lang_LogicPassed,D7)))</xm:f>
            <xm:f>Lang_LogicPassed</xm:f>
            <x14:dxf>
              <fill>
                <patternFill>
                  <bgColor theme="9"/>
                </patternFill>
              </fill>
            </x14:dxf>
          </x14:cfRule>
          <xm:sqref>D7:D10</xm:sqref>
        </x14:conditionalFormatting>
        <x14:conditionalFormatting xmlns:xm="http://schemas.microsoft.com/office/excel/2006/main">
          <x14:cfRule type="containsText" priority="1" operator="containsText" id="{C52F76AC-12C3-4C90-BFFE-BF9A1E8EE4A3}">
            <xm:f>NOT(ISERROR(SEARCH(Lang_LogicPassed,D11)))</xm:f>
            <xm:f>Lang_LogicPassed</xm:f>
            <x14:dxf>
              <fill>
                <patternFill>
                  <bgColor theme="9"/>
                </patternFill>
              </fill>
            </x14:dxf>
          </x14:cfRule>
          <xm:sqref>D11:D12</xm:sqref>
        </x14:conditionalFormatting>
        <x14:conditionalFormatting xmlns:xm="http://schemas.microsoft.com/office/excel/2006/main">
          <x14:cfRule type="dataBar" priority="122" id="{A8BB6F0F-D5B5-43A8-8A6A-884AF8B526E0}">
            <x14:dataBar minLength="0" maxLength="100" gradient="0">
              <x14:cfvo type="autoMin"/>
              <x14:cfvo type="num">
                <xm:f>'A2. INPUT Population &amp; Delivery'!$E$212</xm:f>
              </x14:cfvo>
              <x14:fillColor rgb="FF008DC9"/>
              <x14:negativeFillColor rgb="FFFF0000"/>
              <x14:axisColor rgb="FF000000"/>
            </x14:dataBar>
          </x14:cfRule>
          <xm:sqref>G118:L121</xm:sqref>
        </x14:conditionalFormatting>
        <x14:conditionalFormatting xmlns:xm="http://schemas.microsoft.com/office/excel/2006/main">
          <x14:cfRule type="dataBar" priority="123" id="{00E5E738-06D5-4E78-AFBF-458EB610645A}">
            <x14:dataBar minLength="0" maxLength="100" gradient="0">
              <x14:cfvo type="autoMin"/>
              <x14:cfvo type="num">
                <xm:f>'A2. INPUT Population &amp; Delivery'!$E$212</xm:f>
              </x14:cfvo>
              <x14:fillColor rgb="FF008DC9"/>
              <x14:negativeFillColor rgb="FFFF0000"/>
              <x14:axisColor rgb="FF000000"/>
            </x14:dataBar>
          </x14:cfRule>
          <xm:sqref>G123:L126</xm:sqref>
        </x14:conditionalFormatting>
        <x14:conditionalFormatting xmlns:xm="http://schemas.microsoft.com/office/excel/2006/main">
          <x14:cfRule type="dataBar" priority="124" id="{829ACFB5-FEF9-4BD3-BCF2-66DAABB013D9}">
            <x14:dataBar minLength="0" maxLength="100" gradient="0">
              <x14:cfvo type="autoMin"/>
              <x14:cfvo type="num">
                <xm:f>'A2. INPUT Population &amp; Delivery'!$E$212</xm:f>
              </x14:cfvo>
              <x14:fillColor rgb="FF008DC9"/>
              <x14:negativeFillColor rgb="FFFF0000"/>
              <x14:axisColor rgb="FF000000"/>
            </x14:dataBar>
          </x14:cfRule>
          <xm:sqref>G128:L131</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0D77E-36F0-4E27-BB18-0F8C837A3B44}">
  <sheetPr codeName="Sheet4">
    <tabColor theme="5"/>
  </sheetPr>
  <dimension ref="A1:DW407"/>
  <sheetViews>
    <sheetView showGridLines="0" topLeftCell="A13" workbookViewId="0"/>
  </sheetViews>
  <sheetFormatPr defaultColWidth="9.28515625" defaultRowHeight="12.75" x14ac:dyDescent="0.2"/>
  <cols>
    <col min="1" max="1" width="2.85546875" style="15" customWidth="1"/>
    <col min="2" max="2" width="91" style="15" customWidth="1"/>
    <col min="3" max="9" width="24.42578125" style="15" customWidth="1"/>
    <col min="10" max="10" width="10.28515625" style="15" customWidth="1"/>
    <col min="11" max="11" width="22.5703125" style="194" customWidth="1"/>
    <col min="12" max="12" width="22.5703125" style="272" customWidth="1"/>
    <col min="13" max="13" width="22.5703125" style="459" hidden="1" customWidth="1"/>
    <col min="14" max="14" width="29" style="15" customWidth="1"/>
    <col min="15" max="15" width="86.7109375" style="567" customWidth="1"/>
    <col min="16" max="127" width="3.140625" style="564" hidden="1" customWidth="1"/>
    <col min="128" max="16384" width="9.28515625" style="15"/>
  </cols>
  <sheetData>
    <row r="1" spans="1:127" s="224" customFormat="1" ht="45" customHeight="1" x14ac:dyDescent="0.2">
      <c r="A1" s="224" t="str">
        <f ca="1">IF(OFFSET(Q1,0,Lang_Order*Lang__R2)="","",OFFSET(Q1,0,Lang_Order*Lang__R2))</f>
        <v>NAVIGATION BAR:</v>
      </c>
      <c r="B1" s="560"/>
      <c r="C1" s="600" t="s">
        <v>5067</v>
      </c>
      <c r="D1" s="600" t="s">
        <v>5073</v>
      </c>
      <c r="E1" s="600" t="s">
        <v>5072</v>
      </c>
      <c r="F1" s="600" t="s">
        <v>5071</v>
      </c>
      <c r="G1" s="600" t="s">
        <v>5070</v>
      </c>
      <c r="H1" s="600" t="s">
        <v>5069</v>
      </c>
      <c r="I1" s="600" t="s">
        <v>5068</v>
      </c>
      <c r="J1" s="600" t="s">
        <v>5074</v>
      </c>
      <c r="K1" s="600" t="s">
        <v>5174</v>
      </c>
      <c r="M1" s="415" t="s">
        <v>3031</v>
      </c>
      <c r="P1" s="564">
        <v>16</v>
      </c>
      <c r="Q1" s="564" t="s">
        <v>2910</v>
      </c>
      <c r="R1" s="564"/>
      <c r="S1" s="564"/>
      <c r="T1" s="564"/>
      <c r="U1" s="564"/>
      <c r="V1" s="564"/>
      <c r="W1" s="564"/>
      <c r="X1" s="564"/>
      <c r="Y1" s="564"/>
      <c r="Z1" s="564"/>
      <c r="AA1" s="564"/>
      <c r="AB1" s="564"/>
      <c r="AC1" s="564"/>
      <c r="AD1" s="564"/>
      <c r="AE1" s="564"/>
      <c r="AF1" s="564"/>
      <c r="AG1" s="564" t="s">
        <v>4634</v>
      </c>
      <c r="AH1" s="564"/>
      <c r="AI1" s="564"/>
      <c r="AJ1" s="564"/>
      <c r="AK1" s="564"/>
      <c r="AL1" s="564"/>
      <c r="AM1" s="564"/>
      <c r="AN1" s="564"/>
      <c r="AO1" s="564"/>
      <c r="AP1" s="564"/>
      <c r="AQ1" s="564"/>
      <c r="AR1" s="564"/>
      <c r="AS1" s="564"/>
      <c r="AT1" s="564"/>
      <c r="AU1" s="564"/>
      <c r="AV1" s="564"/>
      <c r="AW1" s="564" t="s">
        <v>4635</v>
      </c>
      <c r="AX1" s="564"/>
      <c r="AY1" s="564"/>
      <c r="AZ1" s="564"/>
      <c r="BA1" s="564"/>
      <c r="BB1" s="564"/>
      <c r="BC1" s="564"/>
      <c r="BD1" s="564"/>
      <c r="BE1" s="564"/>
      <c r="BF1" s="564"/>
      <c r="BG1" s="564"/>
      <c r="BH1" s="564"/>
      <c r="BI1" s="564"/>
      <c r="BJ1" s="564"/>
      <c r="BK1" s="564"/>
      <c r="BL1" s="564"/>
      <c r="BM1" s="564" t="s">
        <v>4636</v>
      </c>
      <c r="BN1" s="564"/>
      <c r="BO1" s="564"/>
      <c r="BP1" s="564"/>
      <c r="BQ1" s="564"/>
      <c r="BR1" s="564"/>
      <c r="BS1" s="564"/>
      <c r="BT1" s="564"/>
      <c r="BU1" s="564"/>
      <c r="BV1" s="564"/>
      <c r="BW1" s="564"/>
      <c r="BX1" s="564"/>
      <c r="BY1" s="564"/>
      <c r="BZ1" s="564"/>
      <c r="CA1" s="564"/>
      <c r="CB1" s="564"/>
      <c r="CC1" s="564" t="s">
        <v>4637</v>
      </c>
      <c r="CD1" s="564"/>
      <c r="CE1" s="564"/>
      <c r="CF1" s="564"/>
      <c r="CG1" s="564"/>
      <c r="CH1" s="564"/>
      <c r="CI1" s="564"/>
      <c r="CJ1" s="564"/>
      <c r="CK1" s="564"/>
      <c r="CL1" s="564"/>
      <c r="CM1" s="564"/>
      <c r="CN1" s="564"/>
      <c r="CO1" s="564"/>
      <c r="CP1" s="564"/>
      <c r="CQ1" s="564"/>
      <c r="CR1" s="564"/>
      <c r="CS1" s="564" t="s">
        <v>4638</v>
      </c>
      <c r="CT1" s="564"/>
      <c r="CU1" s="564"/>
      <c r="CV1" s="564"/>
      <c r="CW1" s="564"/>
      <c r="CX1" s="564"/>
      <c r="CY1" s="564"/>
      <c r="CZ1" s="564"/>
      <c r="DA1" s="564"/>
      <c r="DB1" s="564"/>
      <c r="DC1" s="564"/>
      <c r="DD1" s="564"/>
      <c r="DE1" s="564"/>
      <c r="DF1" s="564"/>
      <c r="DG1" s="564"/>
      <c r="DH1" s="564"/>
      <c r="DI1" s="564" t="s">
        <v>4639</v>
      </c>
      <c r="DJ1" s="564"/>
      <c r="DK1" s="564"/>
      <c r="DL1" s="564"/>
      <c r="DM1" s="564"/>
      <c r="DN1" s="564"/>
      <c r="DO1" s="564"/>
      <c r="DP1" s="564"/>
      <c r="DQ1" s="564"/>
      <c r="DR1" s="564"/>
      <c r="DS1" s="564"/>
      <c r="DT1" s="564"/>
      <c r="DU1" s="564"/>
      <c r="DV1" s="564"/>
      <c r="DW1" s="564"/>
    </row>
    <row r="2" spans="1:127" s="299" customFormat="1" ht="99.95" customHeight="1" x14ac:dyDescent="0.2">
      <c r="M2" s="459"/>
      <c r="O2" s="567"/>
      <c r="P2" s="564"/>
      <c r="Q2" s="564"/>
      <c r="R2" s="564"/>
      <c r="S2" s="564"/>
      <c r="T2" s="564"/>
      <c r="U2" s="564"/>
      <c r="V2" s="564"/>
      <c r="W2" s="564"/>
      <c r="X2" s="564"/>
      <c r="Y2" s="564"/>
      <c r="Z2" s="564"/>
      <c r="AA2" s="564"/>
      <c r="AB2" s="564"/>
      <c r="AC2" s="564"/>
      <c r="AD2" s="564"/>
      <c r="AE2" s="564"/>
      <c r="AF2" s="564"/>
      <c r="AG2" s="564"/>
      <c r="AH2" s="564"/>
      <c r="AI2" s="564"/>
      <c r="AJ2" s="564"/>
      <c r="AK2" s="564"/>
      <c r="AL2" s="564"/>
      <c r="AM2" s="564"/>
      <c r="AN2" s="564"/>
      <c r="AO2" s="564"/>
      <c r="AP2" s="564"/>
      <c r="AQ2" s="564"/>
      <c r="AR2" s="564"/>
      <c r="AS2" s="564"/>
      <c r="AT2" s="564"/>
      <c r="AU2" s="564"/>
      <c r="AV2" s="564"/>
      <c r="AW2" s="564"/>
      <c r="AX2" s="564"/>
      <c r="AY2" s="564"/>
      <c r="AZ2" s="564"/>
      <c r="BA2" s="564"/>
      <c r="BB2" s="564"/>
      <c r="BC2" s="564"/>
      <c r="BD2" s="564"/>
      <c r="BE2" s="564"/>
      <c r="BF2" s="564"/>
      <c r="BG2" s="564"/>
      <c r="BH2" s="564"/>
      <c r="BI2" s="564"/>
      <c r="BJ2" s="564"/>
      <c r="BK2" s="564"/>
      <c r="BL2" s="564"/>
      <c r="BM2" s="564"/>
      <c r="BN2" s="564"/>
      <c r="BO2" s="564"/>
      <c r="BP2" s="564"/>
      <c r="BQ2" s="564"/>
      <c r="BR2" s="564"/>
      <c r="BS2" s="564"/>
      <c r="BT2" s="564"/>
      <c r="BU2" s="564"/>
      <c r="BV2" s="564"/>
      <c r="BW2" s="564"/>
      <c r="BX2" s="564"/>
      <c r="BY2" s="564"/>
      <c r="BZ2" s="564"/>
      <c r="CA2" s="564"/>
      <c r="CB2" s="564"/>
      <c r="CC2" s="564"/>
      <c r="CD2" s="564"/>
      <c r="CE2" s="564"/>
      <c r="CF2" s="564"/>
      <c r="CG2" s="564"/>
      <c r="CH2" s="564"/>
      <c r="CI2" s="564"/>
      <c r="CJ2" s="564"/>
      <c r="CK2" s="564"/>
      <c r="CL2" s="564"/>
      <c r="CM2" s="564"/>
      <c r="CN2" s="564"/>
      <c r="CO2" s="564"/>
      <c r="CP2" s="564"/>
      <c r="CQ2" s="564"/>
      <c r="CR2" s="564"/>
      <c r="CS2" s="564"/>
      <c r="CT2" s="564"/>
      <c r="CU2" s="564"/>
      <c r="CV2" s="564"/>
      <c r="CW2" s="564"/>
      <c r="CX2" s="564"/>
      <c r="CY2" s="564"/>
      <c r="CZ2" s="564"/>
      <c r="DA2" s="564"/>
      <c r="DB2" s="564"/>
      <c r="DC2" s="564"/>
      <c r="DD2" s="564"/>
      <c r="DE2" s="564"/>
      <c r="DF2" s="564"/>
      <c r="DG2" s="564"/>
      <c r="DH2" s="564"/>
      <c r="DI2" s="564"/>
      <c r="DJ2" s="564"/>
      <c r="DK2" s="564"/>
      <c r="DL2" s="564"/>
      <c r="DM2" s="564"/>
      <c r="DN2" s="564"/>
      <c r="DO2" s="564"/>
      <c r="DP2" s="564"/>
      <c r="DQ2" s="564"/>
      <c r="DR2" s="564"/>
      <c r="DS2" s="564"/>
      <c r="DT2" s="564"/>
      <c r="DU2" s="564"/>
      <c r="DV2" s="564"/>
      <c r="DW2" s="564"/>
    </row>
    <row r="3" spans="1:127" s="27" customFormat="1" ht="19.5" x14ac:dyDescent="0.3">
      <c r="A3" s="27" t="str">
        <f ca="1">IF(OFFSET(Q3,0,Lang_Order*Lang__R2)="","",OFFSET(Q3,0,Lang_Order*Lang__R2))</f>
        <v>R2. Resource Mapping - Domestic, Partner, and Consortium Mapping</v>
      </c>
      <c r="P3" s="564"/>
      <c r="Q3" s="564" t="s">
        <v>3137</v>
      </c>
      <c r="R3" s="564"/>
      <c r="S3" s="564"/>
      <c r="T3" s="564"/>
      <c r="U3" s="564"/>
      <c r="V3" s="564"/>
      <c r="W3" s="564"/>
      <c r="X3" s="564"/>
      <c r="Y3" s="564"/>
      <c r="Z3" s="564"/>
      <c r="AA3" s="564"/>
      <c r="AB3" s="564"/>
      <c r="AC3" s="564"/>
      <c r="AD3" s="564"/>
      <c r="AE3" s="564"/>
      <c r="AF3" s="564"/>
      <c r="AG3" s="564" t="s">
        <v>4640</v>
      </c>
      <c r="AH3" s="564"/>
      <c r="AI3" s="564"/>
      <c r="AJ3" s="564"/>
      <c r="AK3" s="564"/>
      <c r="AL3" s="564"/>
      <c r="AM3" s="564"/>
      <c r="AN3" s="564"/>
      <c r="AO3" s="564"/>
      <c r="AP3" s="564"/>
      <c r="AQ3" s="564"/>
      <c r="AR3" s="564"/>
      <c r="AS3" s="564"/>
      <c r="AT3" s="564"/>
      <c r="AU3" s="564"/>
      <c r="AV3" s="564"/>
      <c r="AW3" s="564" t="s">
        <v>4641</v>
      </c>
      <c r="AX3" s="564"/>
      <c r="AY3" s="564"/>
      <c r="AZ3" s="564"/>
      <c r="BA3" s="564"/>
      <c r="BB3" s="564"/>
      <c r="BC3" s="564"/>
      <c r="BD3" s="564"/>
      <c r="BE3" s="564"/>
      <c r="BF3" s="564"/>
      <c r="BG3" s="564"/>
      <c r="BH3" s="564"/>
      <c r="BI3" s="564"/>
      <c r="BJ3" s="564"/>
      <c r="BK3" s="564"/>
      <c r="BL3" s="564"/>
      <c r="BM3" s="564" t="s">
        <v>4642</v>
      </c>
      <c r="BN3" s="564"/>
      <c r="BO3" s="564"/>
      <c r="BP3" s="564"/>
      <c r="BQ3" s="564"/>
      <c r="BR3" s="564"/>
      <c r="BS3" s="564"/>
      <c r="BT3" s="564"/>
      <c r="BU3" s="564"/>
      <c r="BV3" s="564"/>
      <c r="BW3" s="564"/>
      <c r="BX3" s="564"/>
      <c r="BY3" s="564"/>
      <c r="BZ3" s="564"/>
      <c r="CA3" s="564"/>
      <c r="CB3" s="564"/>
      <c r="CC3" s="564" t="s">
        <v>4643</v>
      </c>
      <c r="CD3" s="564"/>
      <c r="CE3" s="564"/>
      <c r="CF3" s="564"/>
      <c r="CG3" s="564"/>
      <c r="CH3" s="564"/>
      <c r="CI3" s="564"/>
      <c r="CJ3" s="564"/>
      <c r="CK3" s="564"/>
      <c r="CL3" s="564"/>
      <c r="CM3" s="564"/>
      <c r="CN3" s="564"/>
      <c r="CO3" s="564"/>
      <c r="CP3" s="564"/>
      <c r="CQ3" s="564"/>
      <c r="CR3" s="564"/>
      <c r="CS3" s="564" t="s">
        <v>4644</v>
      </c>
      <c r="CT3" s="564"/>
      <c r="CU3" s="564"/>
      <c r="CV3" s="564"/>
      <c r="CW3" s="564"/>
      <c r="CX3" s="564"/>
      <c r="CY3" s="564"/>
      <c r="CZ3" s="564"/>
      <c r="DA3" s="564"/>
      <c r="DB3" s="564"/>
      <c r="DC3" s="564"/>
      <c r="DD3" s="564"/>
      <c r="DE3" s="564"/>
      <c r="DF3" s="564"/>
      <c r="DG3" s="564"/>
      <c r="DH3" s="564"/>
      <c r="DI3" s="564" t="s">
        <v>4645</v>
      </c>
      <c r="DJ3" s="564"/>
      <c r="DK3" s="564"/>
      <c r="DL3" s="564"/>
      <c r="DM3" s="564"/>
      <c r="DN3" s="564"/>
      <c r="DO3" s="564"/>
      <c r="DP3" s="564"/>
      <c r="DQ3" s="564"/>
      <c r="DR3" s="564"/>
      <c r="DS3" s="564"/>
      <c r="DT3" s="564"/>
      <c r="DU3" s="564"/>
      <c r="DV3" s="564"/>
      <c r="DW3" s="564"/>
    </row>
    <row r="4" spans="1:127" x14ac:dyDescent="0.2">
      <c r="B4" s="47"/>
    </row>
    <row r="5" spans="1:127" s="8" customFormat="1" ht="15" x14ac:dyDescent="0.25">
      <c r="A5" s="8" t="str">
        <f ca="1">IF(OFFSET(Q5,0,Lang_Order*Lang__R2)="","",OFFSET(Q5,0,Lang_Order*Lang__R2))</f>
        <v>R2.0 Summary (Medium Variant)</v>
      </c>
      <c r="O5" s="8" t="str">
        <f ca="1">IF(OFFSET(AE5,0,Lang_Order*Lang__R2)="","",OFFSET(AE5,0,Lang_Order*Lang__R2))</f>
        <v>User Notes</v>
      </c>
      <c r="P5" s="564"/>
      <c r="Q5" s="564" t="s">
        <v>4219</v>
      </c>
      <c r="R5" s="564"/>
      <c r="S5" s="564"/>
      <c r="T5" s="564"/>
      <c r="U5" s="564"/>
      <c r="V5" s="564"/>
      <c r="W5" s="564"/>
      <c r="X5" s="564"/>
      <c r="Y5" s="564"/>
      <c r="Z5" s="564"/>
      <c r="AA5" s="564"/>
      <c r="AB5" s="564"/>
      <c r="AC5" s="564"/>
      <c r="AD5" s="564"/>
      <c r="AE5" s="564" t="s">
        <v>13981</v>
      </c>
      <c r="AF5" s="564"/>
      <c r="AG5" s="564" t="s">
        <v>4646</v>
      </c>
      <c r="AH5" s="564"/>
      <c r="AI5" s="564"/>
      <c r="AJ5" s="564"/>
      <c r="AK5" s="564"/>
      <c r="AL5" s="564"/>
      <c r="AM5" s="564"/>
      <c r="AN5" s="564"/>
      <c r="AO5" s="564"/>
      <c r="AP5" s="564"/>
      <c r="AQ5" s="564"/>
      <c r="AR5" s="564"/>
      <c r="AS5" s="564"/>
      <c r="AT5" s="564"/>
      <c r="AU5" s="564" t="s">
        <v>14076</v>
      </c>
      <c r="AV5" s="564"/>
      <c r="AW5" s="564" t="s">
        <v>4647</v>
      </c>
      <c r="AX5" s="564"/>
      <c r="AY5" s="564"/>
      <c r="AZ5" s="564"/>
      <c r="BA5" s="564"/>
      <c r="BB5" s="564"/>
      <c r="BC5" s="564"/>
      <c r="BD5" s="564"/>
      <c r="BE5" s="564"/>
      <c r="BF5" s="564"/>
      <c r="BG5" s="564"/>
      <c r="BH5" s="564"/>
      <c r="BI5" s="564"/>
      <c r="BJ5" s="564"/>
      <c r="BK5" s="564" t="s">
        <v>14077</v>
      </c>
      <c r="BL5" s="564"/>
      <c r="BM5" s="564" t="s">
        <v>4648</v>
      </c>
      <c r="BN5" s="564"/>
      <c r="BO5" s="564"/>
      <c r="BP5" s="564"/>
      <c r="BQ5" s="564"/>
      <c r="BR5" s="564"/>
      <c r="BS5" s="564"/>
      <c r="BT5" s="564"/>
      <c r="BU5" s="564"/>
      <c r="BV5" s="564"/>
      <c r="BW5" s="564"/>
      <c r="BX5" s="564"/>
      <c r="BY5" s="564"/>
      <c r="BZ5" s="564"/>
      <c r="CA5" s="564" t="s">
        <v>14078</v>
      </c>
      <c r="CB5" s="564"/>
      <c r="CC5" s="564" t="s">
        <v>4649</v>
      </c>
      <c r="CD5" s="564"/>
      <c r="CE5" s="564"/>
      <c r="CF5" s="564"/>
      <c r="CG5" s="564"/>
      <c r="CH5" s="564"/>
      <c r="CI5" s="564"/>
      <c r="CJ5" s="564"/>
      <c r="CK5" s="564"/>
      <c r="CL5" s="564"/>
      <c r="CM5" s="564"/>
      <c r="CN5" s="564"/>
      <c r="CO5" s="564"/>
      <c r="CP5" s="564"/>
      <c r="CQ5" s="564" t="s">
        <v>14079</v>
      </c>
      <c r="CR5" s="564"/>
      <c r="CS5" s="564" t="s">
        <v>4650</v>
      </c>
      <c r="CT5" s="564"/>
      <c r="CU5" s="564"/>
      <c r="CV5" s="564"/>
      <c r="CW5" s="564"/>
      <c r="CX5" s="564"/>
      <c r="CY5" s="564"/>
      <c r="CZ5" s="564"/>
      <c r="DA5" s="564"/>
      <c r="DB5" s="564"/>
      <c r="DC5" s="564"/>
      <c r="DD5" s="564"/>
      <c r="DE5" s="564"/>
      <c r="DF5" s="564"/>
      <c r="DG5" s="564" t="s">
        <v>14080</v>
      </c>
      <c r="DH5" s="564"/>
      <c r="DI5" s="564" t="s">
        <v>4651</v>
      </c>
      <c r="DJ5" s="564"/>
      <c r="DK5" s="564"/>
      <c r="DL5" s="564"/>
      <c r="DM5" s="564"/>
      <c r="DN5" s="564"/>
      <c r="DO5" s="564"/>
      <c r="DP5" s="564"/>
      <c r="DQ5" s="564"/>
      <c r="DR5" s="564"/>
      <c r="DS5" s="564"/>
      <c r="DT5" s="564"/>
      <c r="DU5" s="564"/>
      <c r="DV5" s="564"/>
      <c r="DW5" s="564" t="s">
        <v>14081</v>
      </c>
    </row>
    <row r="6" spans="1:127" s="272" customFormat="1" x14ac:dyDescent="0.2">
      <c r="B6" s="299"/>
      <c r="M6" s="459"/>
      <c r="O6" s="567"/>
      <c r="P6" s="564"/>
      <c r="Q6" s="564"/>
      <c r="R6" s="564"/>
      <c r="S6" s="564"/>
      <c r="T6" s="564"/>
      <c r="U6" s="564"/>
      <c r="V6" s="564"/>
      <c r="W6" s="564"/>
      <c r="X6" s="564"/>
      <c r="Y6" s="564"/>
      <c r="Z6" s="564"/>
      <c r="AA6" s="564"/>
      <c r="AB6" s="564"/>
      <c r="AC6" s="564"/>
      <c r="AD6" s="564"/>
      <c r="AE6" s="564"/>
      <c r="AF6" s="564"/>
      <c r="AG6" s="564"/>
      <c r="AH6" s="564"/>
      <c r="AI6" s="564"/>
      <c r="AJ6" s="564"/>
      <c r="AK6" s="564"/>
      <c r="AL6" s="564"/>
      <c r="AM6" s="564"/>
      <c r="AN6" s="564"/>
      <c r="AO6" s="564"/>
      <c r="AP6" s="564"/>
      <c r="AQ6" s="564"/>
      <c r="AR6" s="564"/>
      <c r="AS6" s="564"/>
      <c r="AT6" s="564"/>
      <c r="AU6" s="564"/>
      <c r="AV6" s="564"/>
      <c r="AW6" s="564"/>
      <c r="AX6" s="564"/>
      <c r="AY6" s="564"/>
      <c r="AZ6" s="564"/>
      <c r="BA6" s="564"/>
      <c r="BB6" s="564"/>
      <c r="BC6" s="564"/>
      <c r="BD6" s="564"/>
      <c r="BE6" s="564"/>
      <c r="BF6" s="564"/>
      <c r="BG6" s="564"/>
      <c r="BH6" s="564"/>
      <c r="BI6" s="564"/>
      <c r="BJ6" s="564"/>
      <c r="BK6" s="564"/>
      <c r="BL6" s="564"/>
      <c r="BM6" s="564"/>
      <c r="BN6" s="564"/>
      <c r="BO6" s="564"/>
      <c r="BP6" s="564"/>
      <c r="BQ6" s="564"/>
      <c r="BR6" s="564"/>
      <c r="BS6" s="564"/>
      <c r="BT6" s="564"/>
      <c r="BU6" s="564"/>
      <c r="BV6" s="564"/>
      <c r="BW6" s="564"/>
      <c r="BX6" s="564"/>
      <c r="BY6" s="564"/>
      <c r="BZ6" s="564"/>
      <c r="CA6" s="564"/>
      <c r="CB6" s="564"/>
      <c r="CC6" s="564"/>
      <c r="CD6" s="564"/>
      <c r="CE6" s="564"/>
      <c r="CF6" s="564"/>
      <c r="CG6" s="564"/>
      <c r="CH6" s="564"/>
      <c r="CI6" s="564"/>
      <c r="CJ6" s="564"/>
      <c r="CK6" s="564"/>
      <c r="CL6" s="564"/>
      <c r="CM6" s="564"/>
      <c r="CN6" s="564"/>
      <c r="CO6" s="564"/>
      <c r="CP6" s="564"/>
      <c r="CQ6" s="564"/>
      <c r="CR6" s="564"/>
      <c r="CS6" s="564"/>
      <c r="CT6" s="564"/>
      <c r="CU6" s="564"/>
      <c r="CV6" s="564"/>
      <c r="CW6" s="564"/>
      <c r="CX6" s="564"/>
      <c r="CY6" s="564"/>
      <c r="CZ6" s="564"/>
      <c r="DA6" s="564"/>
      <c r="DB6" s="564"/>
      <c r="DC6" s="564"/>
      <c r="DD6" s="564"/>
      <c r="DE6" s="564"/>
      <c r="DF6" s="564"/>
      <c r="DG6" s="564"/>
      <c r="DH6" s="564"/>
      <c r="DI6" s="564"/>
      <c r="DJ6" s="564"/>
      <c r="DK6" s="564"/>
      <c r="DL6" s="564"/>
      <c r="DM6" s="564"/>
      <c r="DN6" s="564"/>
      <c r="DO6" s="564"/>
      <c r="DP6" s="564"/>
      <c r="DQ6" s="564"/>
      <c r="DR6" s="564"/>
      <c r="DS6" s="564"/>
      <c r="DT6" s="564"/>
      <c r="DU6" s="564"/>
      <c r="DV6" s="564"/>
      <c r="DW6" s="564"/>
    </row>
    <row r="7" spans="1:127" s="281" customFormat="1" ht="15" x14ac:dyDescent="0.25">
      <c r="B7" s="33" t="str">
        <f ca="1">IF(OFFSET(R7,0,Lang_Order*Lang__R2)="","",OFFSET(R7,0,Lang_Order*Lang__R2))</f>
        <v>R2.0.1 Financing Source</v>
      </c>
      <c r="C7" s="8"/>
      <c r="D7" s="8"/>
      <c r="E7" s="8"/>
      <c r="F7" s="8"/>
      <c r="G7" s="8"/>
      <c r="H7" s="8"/>
      <c r="I7" s="8"/>
      <c r="J7" s="8"/>
      <c r="M7" s="459"/>
      <c r="O7" s="567"/>
      <c r="P7" s="564"/>
      <c r="Q7" s="564"/>
      <c r="R7" s="564" t="s">
        <v>3969</v>
      </c>
      <c r="S7" s="564"/>
      <c r="T7" s="564"/>
      <c r="U7" s="564"/>
      <c r="V7" s="564"/>
      <c r="W7" s="564"/>
      <c r="X7" s="564"/>
      <c r="Y7" s="564"/>
      <c r="Z7" s="564"/>
      <c r="AA7" s="564"/>
      <c r="AB7" s="564"/>
      <c r="AC7" s="564"/>
      <c r="AD7" s="564"/>
      <c r="AE7" s="564"/>
      <c r="AF7" s="564"/>
      <c r="AG7" s="564"/>
      <c r="AH7" s="564" t="s">
        <v>4652</v>
      </c>
      <c r="AI7" s="564"/>
      <c r="AJ7" s="564"/>
      <c r="AK7" s="564"/>
      <c r="AL7" s="564"/>
      <c r="AM7" s="564"/>
      <c r="AN7" s="564"/>
      <c r="AO7" s="564"/>
      <c r="AP7" s="564"/>
      <c r="AQ7" s="564"/>
      <c r="AR7" s="564"/>
      <c r="AS7" s="564"/>
      <c r="AT7" s="564"/>
      <c r="AU7" s="564"/>
      <c r="AV7" s="564"/>
      <c r="AW7" s="564"/>
      <c r="AX7" s="564" t="s">
        <v>4653</v>
      </c>
      <c r="AY7" s="564"/>
      <c r="AZ7" s="564"/>
      <c r="BA7" s="564"/>
      <c r="BB7" s="564"/>
      <c r="BC7" s="564"/>
      <c r="BD7" s="564"/>
      <c r="BE7" s="564"/>
      <c r="BF7" s="564"/>
      <c r="BG7" s="564"/>
      <c r="BH7" s="564"/>
      <c r="BI7" s="564"/>
      <c r="BJ7" s="564"/>
      <c r="BK7" s="564"/>
      <c r="BL7" s="564"/>
      <c r="BM7" s="564"/>
      <c r="BN7" s="564" t="s">
        <v>4654</v>
      </c>
      <c r="BO7" s="564"/>
      <c r="BP7" s="564"/>
      <c r="BQ7" s="564"/>
      <c r="BR7" s="564"/>
      <c r="BS7" s="564"/>
      <c r="BT7" s="564"/>
      <c r="BU7" s="564"/>
      <c r="BV7" s="564"/>
      <c r="BW7" s="564"/>
      <c r="BX7" s="564"/>
      <c r="BY7" s="564"/>
      <c r="BZ7" s="564"/>
      <c r="CA7" s="564"/>
      <c r="CB7" s="564"/>
      <c r="CC7" s="564"/>
      <c r="CD7" s="564" t="s">
        <v>4655</v>
      </c>
      <c r="CE7" s="564"/>
      <c r="CF7" s="564"/>
      <c r="CG7" s="564"/>
      <c r="CH7" s="564"/>
      <c r="CI7" s="564"/>
      <c r="CJ7" s="564"/>
      <c r="CK7" s="564"/>
      <c r="CL7" s="564"/>
      <c r="CM7" s="564"/>
      <c r="CN7" s="564"/>
      <c r="CO7" s="564"/>
      <c r="CP7" s="564"/>
      <c r="CQ7" s="564"/>
      <c r="CR7" s="564"/>
      <c r="CS7" s="564"/>
      <c r="CT7" s="564" t="s">
        <v>4656</v>
      </c>
      <c r="CU7" s="564"/>
      <c r="CV7" s="564"/>
      <c r="CW7" s="564"/>
      <c r="CX7" s="564"/>
      <c r="CY7" s="564"/>
      <c r="CZ7" s="564"/>
      <c r="DA7" s="564"/>
      <c r="DB7" s="564"/>
      <c r="DC7" s="564"/>
      <c r="DD7" s="564"/>
      <c r="DE7" s="564"/>
      <c r="DF7" s="564"/>
      <c r="DG7" s="564"/>
      <c r="DH7" s="564"/>
      <c r="DI7" s="564"/>
      <c r="DJ7" s="564" t="s">
        <v>4657</v>
      </c>
      <c r="DK7" s="564"/>
      <c r="DL7" s="564"/>
      <c r="DM7" s="564"/>
      <c r="DN7" s="564"/>
      <c r="DO7" s="564"/>
      <c r="DP7" s="564"/>
      <c r="DQ7" s="564"/>
      <c r="DR7" s="564"/>
      <c r="DS7" s="564"/>
      <c r="DT7" s="564"/>
      <c r="DU7" s="564"/>
      <c r="DV7" s="564"/>
      <c r="DW7" s="564"/>
    </row>
    <row r="8" spans="1:127" s="299" customFormat="1" ht="93" customHeight="1" x14ac:dyDescent="0.2">
      <c r="B8" s="679" t="str">
        <f ca="1">IF(OFFSET(R8,0,Lang_Order*Lang__R2)="","",OFFSET(R8,0,Lang_Order*Lang__R2))</f>
        <v>Instructions: This resource mapping section allows users to map out various cost components (listed in R2.1) to financing sources. Financing sources can be domestic, a partner, or a consortium of partners (incl. 'domestic').
Some partners are listed below and additional names of partners or partner consortia relevant to the country can be added in the beige cells below.
After the names of partners and or consortia of partners have been listed, please 'map' each cost item [Column K] to a financing source to view the implications of such a domestic and partner finance mapping, in order to inform a dialogue between relevant stakeholders. Items can be deliberately unallocated (Column K left blank) if there is no interest to finance such an item. Please do not change the name of the partner/consortia once the allocation in Column K has been performed.</v>
      </c>
      <c r="C8" s="679" t="str">
        <f t="shared" ref="C8:J9" ca="1" si="0">IF(OFFSET(S8,0,Lang_Order*Lang__R2)="","",OFFSET(S8,0,Lang_Order*Lang__R2))</f>
        <v/>
      </c>
      <c r="D8" s="679" t="str">
        <f t="shared" ca="1" si="0"/>
        <v/>
      </c>
      <c r="E8" s="679" t="str">
        <f t="shared" ca="1" si="0"/>
        <v/>
      </c>
      <c r="F8" s="679" t="str">
        <f t="shared" ca="1" si="0"/>
        <v/>
      </c>
      <c r="G8" s="679" t="str">
        <f t="shared" ca="1" si="0"/>
        <v/>
      </c>
      <c r="H8" s="679" t="str">
        <f t="shared" ca="1" si="0"/>
        <v/>
      </c>
      <c r="I8" s="679" t="str">
        <f t="shared" ca="1" si="0"/>
        <v/>
      </c>
      <c r="J8" s="679" t="str">
        <f t="shared" ca="1" si="0"/>
        <v/>
      </c>
      <c r="M8" s="459"/>
      <c r="O8" s="567"/>
      <c r="P8" s="564"/>
      <c r="Q8" s="564"/>
      <c r="R8" s="564" t="s">
        <v>4220</v>
      </c>
      <c r="S8" s="564"/>
      <c r="T8" s="564"/>
      <c r="U8" s="564"/>
      <c r="V8" s="564"/>
      <c r="W8" s="564"/>
      <c r="X8" s="564"/>
      <c r="Y8" s="564"/>
      <c r="Z8" s="564"/>
      <c r="AA8" s="564"/>
      <c r="AB8" s="564"/>
      <c r="AC8" s="564"/>
      <c r="AD8" s="564"/>
      <c r="AE8" s="564"/>
      <c r="AF8" s="564"/>
      <c r="AG8" s="564"/>
      <c r="AH8" s="564"/>
      <c r="AI8" s="564"/>
      <c r="AJ8" s="564"/>
      <c r="AK8" s="564"/>
      <c r="AL8" s="564"/>
      <c r="AM8" s="564"/>
      <c r="AN8" s="564"/>
      <c r="AO8" s="564"/>
      <c r="AP8" s="564"/>
      <c r="AQ8" s="564"/>
      <c r="AR8" s="564"/>
      <c r="AS8" s="564"/>
      <c r="AT8" s="564"/>
      <c r="AU8" s="564"/>
      <c r="AV8" s="564"/>
      <c r="AW8" s="564"/>
      <c r="AX8" s="564" t="s">
        <v>4658</v>
      </c>
      <c r="AY8" s="564"/>
      <c r="AZ8" s="564"/>
      <c r="BA8" s="564"/>
      <c r="BB8" s="564"/>
      <c r="BC8" s="564"/>
      <c r="BD8" s="564"/>
      <c r="BE8" s="564"/>
      <c r="BF8" s="564"/>
      <c r="BG8" s="564"/>
      <c r="BH8" s="564"/>
      <c r="BI8" s="564"/>
      <c r="BJ8" s="564"/>
      <c r="BK8" s="564"/>
      <c r="BL8" s="564"/>
      <c r="BM8" s="564"/>
      <c r="BN8" s="564" t="s">
        <v>4659</v>
      </c>
      <c r="BO8" s="564"/>
      <c r="BP8" s="564"/>
      <c r="BQ8" s="564"/>
      <c r="BR8" s="564"/>
      <c r="BS8" s="564"/>
      <c r="BT8" s="564"/>
      <c r="BU8" s="564"/>
      <c r="BV8" s="564"/>
      <c r="BW8" s="564"/>
      <c r="BX8" s="564"/>
      <c r="BY8" s="564"/>
      <c r="BZ8" s="564"/>
      <c r="CA8" s="564"/>
      <c r="CB8" s="564"/>
      <c r="CC8" s="564"/>
      <c r="CD8" s="564" t="s">
        <v>4660</v>
      </c>
      <c r="CE8" s="564"/>
      <c r="CF8" s="564"/>
      <c r="CG8" s="564"/>
      <c r="CH8" s="564"/>
      <c r="CI8" s="564"/>
      <c r="CJ8" s="564"/>
      <c r="CK8" s="564"/>
      <c r="CL8" s="564"/>
      <c r="CM8" s="564"/>
      <c r="CN8" s="564"/>
      <c r="CO8" s="564"/>
      <c r="CP8" s="564"/>
      <c r="CQ8" s="564"/>
      <c r="CR8" s="564"/>
      <c r="CS8" s="564"/>
      <c r="CT8" s="564" t="s">
        <v>4661</v>
      </c>
      <c r="CU8" s="564"/>
      <c r="CV8" s="564"/>
      <c r="CW8" s="564"/>
      <c r="CX8" s="564"/>
      <c r="CY8" s="564"/>
      <c r="CZ8" s="564"/>
      <c r="DA8" s="564"/>
      <c r="DB8" s="564"/>
      <c r="DC8" s="564"/>
      <c r="DD8" s="564"/>
      <c r="DE8" s="564"/>
      <c r="DF8" s="564"/>
      <c r="DG8" s="564"/>
      <c r="DH8" s="564"/>
      <c r="DI8" s="564"/>
      <c r="DJ8" s="564" t="s">
        <v>4662</v>
      </c>
      <c r="DK8" s="564"/>
      <c r="DL8" s="564"/>
      <c r="DM8" s="564"/>
      <c r="DN8" s="564"/>
      <c r="DO8" s="564"/>
      <c r="DP8" s="564"/>
      <c r="DQ8" s="564"/>
      <c r="DR8" s="564"/>
      <c r="DS8" s="564"/>
      <c r="DT8" s="564"/>
      <c r="DU8" s="564"/>
      <c r="DV8" s="564"/>
      <c r="DW8" s="564"/>
    </row>
    <row r="9" spans="1:127" ht="15" x14ac:dyDescent="0.25">
      <c r="B9" s="15" t="str">
        <f ca="1">IF(OFFSET(R9,0,Lang_Order*Lang__R2)="","",OFFSET(R9,0,Lang_Order*Lang__R2))</f>
        <v/>
      </c>
      <c r="C9" s="30" t="str">
        <f t="shared" ca="1" si="0"/>
        <v>H1 2021</v>
      </c>
      <c r="D9" s="30" t="str">
        <f t="shared" ca="1" si="0"/>
        <v>H2 2021</v>
      </c>
      <c r="E9" s="30" t="str">
        <f t="shared" ca="1" si="0"/>
        <v>H1 2022</v>
      </c>
      <c r="F9" s="30" t="str">
        <f t="shared" ca="1" si="0"/>
        <v>H2 2022</v>
      </c>
      <c r="G9" s="30" t="str">
        <f t="shared" ca="1" si="0"/>
        <v>H1 2023</v>
      </c>
      <c r="H9" s="30" t="str">
        <f t="shared" ca="1" si="0"/>
        <v>H2 2023</v>
      </c>
      <c r="I9" s="30" t="str">
        <f t="shared" ca="1" si="0"/>
        <v>Total</v>
      </c>
      <c r="J9" s="15" t="str">
        <f t="shared" ca="1" si="0"/>
        <v/>
      </c>
      <c r="N9" s="198" t="str">
        <f ca="1">IF(OFFSET(AD9,0,Lang_Order*Lang__R2)="","",OFFSET(AD9,0,Lang_Order*Lang__R2))</f>
        <v>Total (2021-2023), by financing source</v>
      </c>
      <c r="O9" s="198"/>
      <c r="S9" s="564" t="s">
        <v>1597</v>
      </c>
      <c r="T9" s="564" t="s">
        <v>1598</v>
      </c>
      <c r="U9" s="564" t="s">
        <v>1599</v>
      </c>
      <c r="V9" s="564" t="s">
        <v>1600</v>
      </c>
      <c r="W9" s="564" t="s">
        <v>1602</v>
      </c>
      <c r="X9" s="564" t="s">
        <v>1601</v>
      </c>
      <c r="Y9" s="564" t="s">
        <v>1605</v>
      </c>
      <c r="AD9" s="564" t="s">
        <v>4217</v>
      </c>
      <c r="AI9" s="564" t="s">
        <v>4663</v>
      </c>
      <c r="AJ9" s="564" t="s">
        <v>4664</v>
      </c>
      <c r="AK9" s="564" t="s">
        <v>4665</v>
      </c>
      <c r="AL9" s="564" t="s">
        <v>4666</v>
      </c>
      <c r="AM9" s="564" t="s">
        <v>4667</v>
      </c>
      <c r="AN9" s="564" t="s">
        <v>4668</v>
      </c>
      <c r="AO9" s="564" t="s">
        <v>1605</v>
      </c>
      <c r="AT9" s="564" t="s">
        <v>4669</v>
      </c>
      <c r="AY9" s="564" t="s">
        <v>4670</v>
      </c>
      <c r="AZ9" s="564" t="s">
        <v>4671</v>
      </c>
      <c r="BA9" s="564" t="s">
        <v>4672</v>
      </c>
      <c r="BB9" s="564" t="s">
        <v>4673</v>
      </c>
      <c r="BC9" s="564" t="s">
        <v>4674</v>
      </c>
      <c r="BD9" s="564" t="s">
        <v>4675</v>
      </c>
      <c r="BE9" s="564" t="s">
        <v>4676</v>
      </c>
      <c r="BJ9" s="564" t="s">
        <v>4677</v>
      </c>
      <c r="BO9" s="564" t="s">
        <v>1597</v>
      </c>
      <c r="BP9" s="564" t="s">
        <v>1598</v>
      </c>
      <c r="BQ9" s="564" t="s">
        <v>1599</v>
      </c>
      <c r="BR9" s="564" t="s">
        <v>1600</v>
      </c>
      <c r="BS9" s="564" t="s">
        <v>1602</v>
      </c>
      <c r="BT9" s="564" t="s">
        <v>1601</v>
      </c>
      <c r="BU9" s="564" t="s">
        <v>1605</v>
      </c>
      <c r="BZ9" s="564" t="s">
        <v>4678</v>
      </c>
      <c r="CE9" s="564" t="s">
        <v>4663</v>
      </c>
      <c r="CF9" s="564" t="s">
        <v>4664</v>
      </c>
      <c r="CG9" s="564" t="s">
        <v>4665</v>
      </c>
      <c r="CH9" s="564" t="s">
        <v>4666</v>
      </c>
      <c r="CI9" s="564" t="s">
        <v>4667</v>
      </c>
      <c r="CJ9" s="564" t="s">
        <v>4668</v>
      </c>
      <c r="CK9" s="564" t="s">
        <v>1605</v>
      </c>
      <c r="CP9" s="564" t="s">
        <v>4679</v>
      </c>
      <c r="CU9" s="564" t="s">
        <v>4680</v>
      </c>
      <c r="CV9" s="564" t="s">
        <v>4681</v>
      </c>
      <c r="CW9" s="564" t="s">
        <v>4682</v>
      </c>
      <c r="CX9" s="564" t="s">
        <v>4683</v>
      </c>
      <c r="CY9" s="564" t="s">
        <v>4684</v>
      </c>
      <c r="CZ9" s="564" t="s">
        <v>4685</v>
      </c>
      <c r="DA9" s="564" t="s">
        <v>4686</v>
      </c>
      <c r="DF9" s="564" t="s">
        <v>4687</v>
      </c>
      <c r="DK9" s="564" t="s">
        <v>4688</v>
      </c>
      <c r="DL9" s="564" t="s">
        <v>4689</v>
      </c>
      <c r="DM9" s="564" t="s">
        <v>4690</v>
      </c>
      <c r="DN9" s="564" t="s">
        <v>4691</v>
      </c>
      <c r="DO9" s="564" t="s">
        <v>4692</v>
      </c>
      <c r="DP9" s="564" t="s">
        <v>4693</v>
      </c>
      <c r="DQ9" s="564" t="s">
        <v>4694</v>
      </c>
      <c r="DV9" s="564" t="s">
        <v>4695</v>
      </c>
    </row>
    <row r="10" spans="1:127" x14ac:dyDescent="0.2">
      <c r="A10" s="354">
        <v>1</v>
      </c>
      <c r="B10" s="374" t="s">
        <v>2844</v>
      </c>
      <c r="C10" s="300" t="e">
        <f t="shared" ref="C10:H23" si="1">SUMIF($K$76:$K$254,$B10,C$76:C$254)</f>
        <v>#N/A</v>
      </c>
      <c r="D10" s="300" t="e">
        <f t="shared" si="1"/>
        <v>#N/A</v>
      </c>
      <c r="E10" s="300" t="e">
        <f t="shared" si="1"/>
        <v>#N/A</v>
      </c>
      <c r="F10" s="300" t="e">
        <f t="shared" si="1"/>
        <v>#N/A</v>
      </c>
      <c r="G10" s="300" t="e">
        <f t="shared" si="1"/>
        <v>#N/A</v>
      </c>
      <c r="H10" s="300" t="e">
        <f t="shared" si="1"/>
        <v>#N/A</v>
      </c>
      <c r="I10" s="152" t="e">
        <f t="shared" ref="I10:I23" si="2">SUM(C10:H10)</f>
        <v>#N/A</v>
      </c>
      <c r="O10" s="587"/>
    </row>
    <row r="11" spans="1:127" x14ac:dyDescent="0.2">
      <c r="A11" s="354">
        <v>1</v>
      </c>
      <c r="B11" s="374" t="s">
        <v>2843</v>
      </c>
      <c r="C11" s="300">
        <f t="shared" si="1"/>
        <v>0</v>
      </c>
      <c r="D11" s="300">
        <f t="shared" si="1"/>
        <v>0</v>
      </c>
      <c r="E11" s="300">
        <f t="shared" si="1"/>
        <v>0</v>
      </c>
      <c r="F11" s="300">
        <f t="shared" si="1"/>
        <v>0</v>
      </c>
      <c r="G11" s="300">
        <f t="shared" si="1"/>
        <v>0</v>
      </c>
      <c r="H11" s="300">
        <f t="shared" si="1"/>
        <v>0</v>
      </c>
      <c r="I11" s="152">
        <f t="shared" si="2"/>
        <v>0</v>
      </c>
      <c r="O11" s="587"/>
    </row>
    <row r="12" spans="1:127" x14ac:dyDescent="0.2">
      <c r="A12" s="354">
        <v>1</v>
      </c>
      <c r="B12" s="374" t="s">
        <v>2845</v>
      </c>
      <c r="C12" s="300">
        <f t="shared" si="1"/>
        <v>0</v>
      </c>
      <c r="D12" s="300">
        <f t="shared" si="1"/>
        <v>0</v>
      </c>
      <c r="E12" s="300">
        <f t="shared" si="1"/>
        <v>0</v>
      </c>
      <c r="F12" s="300">
        <f t="shared" si="1"/>
        <v>0</v>
      </c>
      <c r="G12" s="300">
        <f t="shared" si="1"/>
        <v>0</v>
      </c>
      <c r="H12" s="300">
        <f t="shared" si="1"/>
        <v>0</v>
      </c>
      <c r="I12" s="152">
        <f t="shared" si="2"/>
        <v>0</v>
      </c>
      <c r="O12" s="587"/>
    </row>
    <row r="13" spans="1:127" s="150" customFormat="1" x14ac:dyDescent="0.2">
      <c r="A13" s="354">
        <v>1</v>
      </c>
      <c r="B13" s="374" t="s">
        <v>4428</v>
      </c>
      <c r="C13" s="300">
        <f t="shared" si="1"/>
        <v>0</v>
      </c>
      <c r="D13" s="300">
        <f t="shared" si="1"/>
        <v>0</v>
      </c>
      <c r="E13" s="300">
        <f t="shared" si="1"/>
        <v>0</v>
      </c>
      <c r="F13" s="300">
        <f t="shared" si="1"/>
        <v>0</v>
      </c>
      <c r="G13" s="300">
        <f t="shared" si="1"/>
        <v>0</v>
      </c>
      <c r="H13" s="300">
        <f t="shared" si="1"/>
        <v>0</v>
      </c>
      <c r="I13" s="152">
        <f t="shared" si="2"/>
        <v>0</v>
      </c>
      <c r="K13" s="194"/>
      <c r="L13" s="272"/>
      <c r="M13" s="459"/>
      <c r="O13" s="587"/>
      <c r="P13" s="564"/>
      <c r="Q13" s="564"/>
      <c r="R13" s="564"/>
      <c r="S13" s="564"/>
      <c r="T13" s="564"/>
      <c r="U13" s="564"/>
      <c r="V13" s="564"/>
      <c r="W13" s="564"/>
      <c r="X13" s="564"/>
      <c r="Y13" s="564"/>
      <c r="Z13" s="564"/>
      <c r="AA13" s="564"/>
      <c r="AB13" s="564"/>
      <c r="AC13" s="564"/>
      <c r="AD13" s="564"/>
      <c r="AE13" s="564"/>
      <c r="AF13" s="564"/>
      <c r="AG13" s="564"/>
      <c r="AH13" s="564"/>
      <c r="AI13" s="564"/>
      <c r="AJ13" s="564"/>
      <c r="AK13" s="564"/>
      <c r="AL13" s="564"/>
      <c r="AM13" s="564"/>
      <c r="AN13" s="564"/>
      <c r="AO13" s="564"/>
      <c r="AP13" s="564"/>
      <c r="AQ13" s="564"/>
      <c r="AR13" s="564"/>
      <c r="AS13" s="564"/>
      <c r="AT13" s="564"/>
      <c r="AU13" s="564"/>
      <c r="AV13" s="564"/>
      <c r="AW13" s="564"/>
      <c r="AX13" s="564"/>
      <c r="AY13" s="564"/>
      <c r="AZ13" s="564"/>
      <c r="BA13" s="564"/>
      <c r="BB13" s="564"/>
      <c r="BC13" s="564"/>
      <c r="BD13" s="564"/>
      <c r="BE13" s="564"/>
      <c r="BF13" s="564"/>
      <c r="BG13" s="564"/>
      <c r="BH13" s="564"/>
      <c r="BI13" s="564"/>
      <c r="BJ13" s="564"/>
      <c r="BK13" s="564"/>
      <c r="BL13" s="564"/>
      <c r="BM13" s="564"/>
      <c r="BN13" s="564"/>
      <c r="BO13" s="564"/>
      <c r="BP13" s="564"/>
      <c r="BQ13" s="564"/>
      <c r="BR13" s="564"/>
      <c r="BS13" s="564"/>
      <c r="BT13" s="564"/>
      <c r="BU13" s="564"/>
      <c r="BV13" s="564"/>
      <c r="BW13" s="564"/>
      <c r="BX13" s="564"/>
      <c r="BY13" s="564"/>
      <c r="BZ13" s="564"/>
      <c r="CA13" s="564"/>
      <c r="CB13" s="564"/>
      <c r="CC13" s="564"/>
      <c r="CD13" s="564"/>
      <c r="CE13" s="564"/>
      <c r="CF13" s="564"/>
      <c r="CG13" s="564"/>
      <c r="CH13" s="564"/>
      <c r="CI13" s="564"/>
      <c r="CJ13" s="564"/>
      <c r="CK13" s="564"/>
      <c r="CL13" s="564"/>
      <c r="CM13" s="564"/>
      <c r="CN13" s="564"/>
      <c r="CO13" s="564"/>
      <c r="CP13" s="564"/>
      <c r="CQ13" s="564"/>
      <c r="CR13" s="564"/>
      <c r="CS13" s="564"/>
      <c r="CT13" s="564"/>
      <c r="CU13" s="564"/>
      <c r="CV13" s="564"/>
      <c r="CW13" s="564"/>
      <c r="CX13" s="564"/>
      <c r="CY13" s="564"/>
      <c r="CZ13" s="564"/>
      <c r="DA13" s="564"/>
      <c r="DB13" s="564"/>
      <c r="DC13" s="564"/>
      <c r="DD13" s="564"/>
      <c r="DE13" s="564"/>
      <c r="DF13" s="564"/>
      <c r="DG13" s="564"/>
      <c r="DH13" s="564"/>
      <c r="DI13" s="564"/>
      <c r="DJ13" s="564"/>
      <c r="DK13" s="564"/>
      <c r="DL13" s="564"/>
      <c r="DM13" s="564"/>
      <c r="DN13" s="564"/>
      <c r="DO13" s="564"/>
      <c r="DP13" s="564"/>
      <c r="DQ13" s="564"/>
      <c r="DR13" s="564"/>
      <c r="DS13" s="564"/>
      <c r="DT13" s="564"/>
      <c r="DU13" s="564"/>
      <c r="DV13" s="564"/>
      <c r="DW13" s="564"/>
    </row>
    <row r="14" spans="1:127" s="150" customFormat="1" x14ac:dyDescent="0.2">
      <c r="A14" s="354">
        <v>1</v>
      </c>
      <c r="B14" s="374" t="s">
        <v>1650</v>
      </c>
      <c r="C14" s="300">
        <f t="shared" si="1"/>
        <v>0</v>
      </c>
      <c r="D14" s="300">
        <f t="shared" si="1"/>
        <v>0</v>
      </c>
      <c r="E14" s="300">
        <f t="shared" si="1"/>
        <v>0</v>
      </c>
      <c r="F14" s="300">
        <f t="shared" si="1"/>
        <v>0</v>
      </c>
      <c r="G14" s="300">
        <f t="shared" si="1"/>
        <v>0</v>
      </c>
      <c r="H14" s="300">
        <f t="shared" si="1"/>
        <v>0</v>
      </c>
      <c r="I14" s="152">
        <f t="shared" si="2"/>
        <v>0</v>
      </c>
      <c r="K14" s="194"/>
      <c r="L14" s="272"/>
      <c r="M14" s="459"/>
      <c r="N14" s="281"/>
      <c r="O14" s="587"/>
      <c r="P14" s="564"/>
      <c r="Q14" s="564"/>
      <c r="R14" s="564"/>
      <c r="S14" s="564"/>
      <c r="T14" s="564"/>
      <c r="U14" s="564"/>
      <c r="V14" s="564"/>
      <c r="W14" s="564"/>
      <c r="X14" s="564"/>
      <c r="Y14" s="564"/>
      <c r="Z14" s="564"/>
      <c r="AA14" s="564"/>
      <c r="AB14" s="564"/>
      <c r="AC14" s="564"/>
      <c r="AD14" s="564"/>
      <c r="AE14" s="564"/>
      <c r="AF14" s="564"/>
      <c r="AG14" s="564"/>
      <c r="AH14" s="564"/>
      <c r="AI14" s="564"/>
      <c r="AJ14" s="564"/>
      <c r="AK14" s="564"/>
      <c r="AL14" s="564"/>
      <c r="AM14" s="564"/>
      <c r="AN14" s="564"/>
      <c r="AO14" s="564"/>
      <c r="AP14" s="564"/>
      <c r="AQ14" s="564"/>
      <c r="AR14" s="564"/>
      <c r="AS14" s="564"/>
      <c r="AT14" s="564"/>
      <c r="AU14" s="564"/>
      <c r="AV14" s="564"/>
      <c r="AW14" s="564"/>
      <c r="AX14" s="564"/>
      <c r="AY14" s="564"/>
      <c r="AZ14" s="564"/>
      <c r="BA14" s="564"/>
      <c r="BB14" s="564"/>
      <c r="BC14" s="564"/>
      <c r="BD14" s="564"/>
      <c r="BE14" s="564"/>
      <c r="BF14" s="564"/>
      <c r="BG14" s="564"/>
      <c r="BH14" s="564"/>
      <c r="BI14" s="564"/>
      <c r="BJ14" s="564"/>
      <c r="BK14" s="564"/>
      <c r="BL14" s="564"/>
      <c r="BM14" s="564"/>
      <c r="BN14" s="564"/>
      <c r="BO14" s="564"/>
      <c r="BP14" s="564"/>
      <c r="BQ14" s="564"/>
      <c r="BR14" s="564"/>
      <c r="BS14" s="564"/>
      <c r="BT14" s="564"/>
      <c r="BU14" s="564"/>
      <c r="BV14" s="564"/>
      <c r="BW14" s="564"/>
      <c r="BX14" s="564"/>
      <c r="BY14" s="564"/>
      <c r="BZ14" s="564"/>
      <c r="CA14" s="564"/>
      <c r="CB14" s="564"/>
      <c r="CC14" s="564"/>
      <c r="CD14" s="564"/>
      <c r="CE14" s="564"/>
      <c r="CF14" s="564"/>
      <c r="CG14" s="564"/>
      <c r="CH14" s="564"/>
      <c r="CI14" s="564"/>
      <c r="CJ14" s="564"/>
      <c r="CK14" s="564"/>
      <c r="CL14" s="564"/>
      <c r="CM14" s="564"/>
      <c r="CN14" s="564"/>
      <c r="CO14" s="564"/>
      <c r="CP14" s="564"/>
      <c r="CQ14" s="564"/>
      <c r="CR14" s="564"/>
      <c r="CS14" s="564"/>
      <c r="CT14" s="564"/>
      <c r="CU14" s="564"/>
      <c r="CV14" s="564"/>
      <c r="CW14" s="564"/>
      <c r="CX14" s="564"/>
      <c r="CY14" s="564"/>
      <c r="CZ14" s="564"/>
      <c r="DA14" s="564"/>
      <c r="DB14" s="564"/>
      <c r="DC14" s="564"/>
      <c r="DD14" s="564"/>
      <c r="DE14" s="564"/>
      <c r="DF14" s="564"/>
      <c r="DG14" s="564"/>
      <c r="DH14" s="564"/>
      <c r="DI14" s="564"/>
      <c r="DJ14" s="564"/>
      <c r="DK14" s="564"/>
      <c r="DL14" s="564"/>
      <c r="DM14" s="564"/>
      <c r="DN14" s="564"/>
      <c r="DO14" s="564"/>
      <c r="DP14" s="564"/>
      <c r="DQ14" s="564"/>
      <c r="DR14" s="564"/>
      <c r="DS14" s="564"/>
      <c r="DT14" s="564"/>
      <c r="DU14" s="564"/>
      <c r="DV14" s="564"/>
      <c r="DW14" s="564"/>
    </row>
    <row r="15" spans="1:127" s="150" customFormat="1" x14ac:dyDescent="0.2">
      <c r="A15" s="354">
        <v>1</v>
      </c>
      <c r="B15" s="374" t="s">
        <v>4429</v>
      </c>
      <c r="C15" s="300">
        <f t="shared" si="1"/>
        <v>0</v>
      </c>
      <c r="D15" s="300">
        <f t="shared" si="1"/>
        <v>0</v>
      </c>
      <c r="E15" s="300">
        <f t="shared" si="1"/>
        <v>0</v>
      </c>
      <c r="F15" s="300">
        <f t="shared" si="1"/>
        <v>0</v>
      </c>
      <c r="G15" s="300">
        <f t="shared" si="1"/>
        <v>0</v>
      </c>
      <c r="H15" s="300">
        <f t="shared" si="1"/>
        <v>0</v>
      </c>
      <c r="I15" s="152">
        <f t="shared" si="2"/>
        <v>0</v>
      </c>
      <c r="K15" s="194"/>
      <c r="L15" s="272"/>
      <c r="M15" s="459"/>
      <c r="O15" s="587"/>
      <c r="P15" s="564"/>
      <c r="Q15" s="564"/>
      <c r="R15" s="564"/>
      <c r="S15" s="564"/>
      <c r="T15" s="564"/>
      <c r="U15" s="564"/>
      <c r="V15" s="564"/>
      <c r="W15" s="564"/>
      <c r="X15" s="564"/>
      <c r="Y15" s="564"/>
      <c r="Z15" s="564"/>
      <c r="AA15" s="564"/>
      <c r="AB15" s="564"/>
      <c r="AC15" s="564"/>
      <c r="AD15" s="564"/>
      <c r="AE15" s="564"/>
      <c r="AF15" s="564"/>
      <c r="AG15" s="564"/>
      <c r="AH15" s="564"/>
      <c r="AI15" s="564"/>
      <c r="AJ15" s="564"/>
      <c r="AK15" s="564"/>
      <c r="AL15" s="564"/>
      <c r="AM15" s="564"/>
      <c r="AN15" s="564"/>
      <c r="AO15" s="564"/>
      <c r="AP15" s="564"/>
      <c r="AQ15" s="564"/>
      <c r="AR15" s="564"/>
      <c r="AS15" s="564"/>
      <c r="AT15" s="564"/>
      <c r="AU15" s="564"/>
      <c r="AV15" s="564"/>
      <c r="AW15" s="564"/>
      <c r="AX15" s="564"/>
      <c r="AY15" s="564"/>
      <c r="AZ15" s="564"/>
      <c r="BA15" s="564"/>
      <c r="BB15" s="564"/>
      <c r="BC15" s="564"/>
      <c r="BD15" s="564"/>
      <c r="BE15" s="564"/>
      <c r="BF15" s="564"/>
      <c r="BG15" s="564"/>
      <c r="BH15" s="564"/>
      <c r="BI15" s="564"/>
      <c r="BJ15" s="564"/>
      <c r="BK15" s="564"/>
      <c r="BL15" s="564"/>
      <c r="BM15" s="564"/>
      <c r="BN15" s="564"/>
      <c r="BO15" s="564"/>
      <c r="BP15" s="564"/>
      <c r="BQ15" s="564"/>
      <c r="BR15" s="564"/>
      <c r="BS15" s="564"/>
      <c r="BT15" s="564"/>
      <c r="BU15" s="564"/>
      <c r="BV15" s="564"/>
      <c r="BW15" s="564"/>
      <c r="BX15" s="564"/>
      <c r="BY15" s="564"/>
      <c r="BZ15" s="564"/>
      <c r="CA15" s="564"/>
      <c r="CB15" s="564"/>
      <c r="CC15" s="564"/>
      <c r="CD15" s="564"/>
      <c r="CE15" s="564"/>
      <c r="CF15" s="564"/>
      <c r="CG15" s="564"/>
      <c r="CH15" s="564"/>
      <c r="CI15" s="564"/>
      <c r="CJ15" s="564"/>
      <c r="CK15" s="564"/>
      <c r="CL15" s="564"/>
      <c r="CM15" s="564"/>
      <c r="CN15" s="564"/>
      <c r="CO15" s="564"/>
      <c r="CP15" s="564"/>
      <c r="CQ15" s="564"/>
      <c r="CR15" s="564"/>
      <c r="CS15" s="564"/>
      <c r="CT15" s="564"/>
      <c r="CU15" s="564"/>
      <c r="CV15" s="564"/>
      <c r="CW15" s="564"/>
      <c r="CX15" s="564"/>
      <c r="CY15" s="564"/>
      <c r="CZ15" s="564"/>
      <c r="DA15" s="564"/>
      <c r="DB15" s="564"/>
      <c r="DC15" s="564"/>
      <c r="DD15" s="564"/>
      <c r="DE15" s="564"/>
      <c r="DF15" s="564"/>
      <c r="DG15" s="564"/>
      <c r="DH15" s="564"/>
      <c r="DI15" s="564"/>
      <c r="DJ15" s="564"/>
      <c r="DK15" s="564"/>
      <c r="DL15" s="564"/>
      <c r="DM15" s="564"/>
      <c r="DN15" s="564"/>
      <c r="DO15" s="564"/>
      <c r="DP15" s="564"/>
      <c r="DQ15" s="564"/>
      <c r="DR15" s="564"/>
      <c r="DS15" s="564"/>
      <c r="DT15" s="564"/>
      <c r="DU15" s="564"/>
      <c r="DV15" s="564"/>
      <c r="DW15" s="564"/>
    </row>
    <row r="16" spans="1:127" s="150" customFormat="1" x14ac:dyDescent="0.2">
      <c r="A16" s="354">
        <v>1</v>
      </c>
      <c r="B16" s="374" t="s">
        <v>3098</v>
      </c>
      <c r="C16" s="300">
        <f t="shared" si="1"/>
        <v>0</v>
      </c>
      <c r="D16" s="300">
        <f t="shared" si="1"/>
        <v>0</v>
      </c>
      <c r="E16" s="300">
        <f t="shared" si="1"/>
        <v>0</v>
      </c>
      <c r="F16" s="300">
        <f t="shared" si="1"/>
        <v>0</v>
      </c>
      <c r="G16" s="300">
        <f t="shared" si="1"/>
        <v>0</v>
      </c>
      <c r="H16" s="300">
        <f t="shared" si="1"/>
        <v>0</v>
      </c>
      <c r="I16" s="152">
        <f t="shared" si="2"/>
        <v>0</v>
      </c>
      <c r="K16" s="194"/>
      <c r="L16" s="272"/>
      <c r="M16" s="459"/>
      <c r="O16" s="587"/>
      <c r="P16" s="564"/>
      <c r="Q16" s="564"/>
      <c r="R16" s="564"/>
      <c r="S16" s="564"/>
      <c r="T16" s="564"/>
      <c r="U16" s="564"/>
      <c r="V16" s="564"/>
      <c r="W16" s="564"/>
      <c r="X16" s="564"/>
      <c r="Y16" s="564"/>
      <c r="Z16" s="564"/>
      <c r="AA16" s="564"/>
      <c r="AB16" s="564"/>
      <c r="AC16" s="564"/>
      <c r="AD16" s="564"/>
      <c r="AE16" s="564"/>
      <c r="AF16" s="564"/>
      <c r="AG16" s="564"/>
      <c r="AH16" s="564"/>
      <c r="AI16" s="564"/>
      <c r="AJ16" s="564"/>
      <c r="AK16" s="564"/>
      <c r="AL16" s="564"/>
      <c r="AM16" s="564"/>
      <c r="AN16" s="564"/>
      <c r="AO16" s="564"/>
      <c r="AP16" s="564"/>
      <c r="AQ16" s="564"/>
      <c r="AR16" s="564"/>
      <c r="AS16" s="564"/>
      <c r="AT16" s="564"/>
      <c r="AU16" s="564"/>
      <c r="AV16" s="564"/>
      <c r="AW16" s="564"/>
      <c r="AX16" s="564"/>
      <c r="AY16" s="564"/>
      <c r="AZ16" s="564"/>
      <c r="BA16" s="564"/>
      <c r="BB16" s="564"/>
      <c r="BC16" s="564"/>
      <c r="BD16" s="564"/>
      <c r="BE16" s="564"/>
      <c r="BF16" s="564"/>
      <c r="BG16" s="564"/>
      <c r="BH16" s="564"/>
      <c r="BI16" s="564"/>
      <c r="BJ16" s="564"/>
      <c r="BK16" s="564"/>
      <c r="BL16" s="564"/>
      <c r="BM16" s="564"/>
      <c r="BN16" s="564"/>
      <c r="BO16" s="564"/>
      <c r="BP16" s="564"/>
      <c r="BQ16" s="564"/>
      <c r="BR16" s="564"/>
      <c r="BS16" s="564"/>
      <c r="BT16" s="564"/>
      <c r="BU16" s="564"/>
      <c r="BV16" s="564"/>
      <c r="BW16" s="564"/>
      <c r="BX16" s="564"/>
      <c r="BY16" s="564"/>
      <c r="BZ16" s="564"/>
      <c r="CA16" s="564"/>
      <c r="CB16" s="564"/>
      <c r="CC16" s="564"/>
      <c r="CD16" s="564"/>
      <c r="CE16" s="564"/>
      <c r="CF16" s="564"/>
      <c r="CG16" s="564"/>
      <c r="CH16" s="564"/>
      <c r="CI16" s="564"/>
      <c r="CJ16" s="564"/>
      <c r="CK16" s="564"/>
      <c r="CL16" s="564"/>
      <c r="CM16" s="564"/>
      <c r="CN16" s="564"/>
      <c r="CO16" s="564"/>
      <c r="CP16" s="564"/>
      <c r="CQ16" s="564"/>
      <c r="CR16" s="564"/>
      <c r="CS16" s="564"/>
      <c r="CT16" s="564"/>
      <c r="CU16" s="564"/>
      <c r="CV16" s="564"/>
      <c r="CW16" s="564"/>
      <c r="CX16" s="564"/>
      <c r="CY16" s="564"/>
      <c r="CZ16" s="564"/>
      <c r="DA16" s="564"/>
      <c r="DB16" s="564"/>
      <c r="DC16" s="564"/>
      <c r="DD16" s="564"/>
      <c r="DE16" s="564"/>
      <c r="DF16" s="564"/>
      <c r="DG16" s="564"/>
      <c r="DH16" s="564"/>
      <c r="DI16" s="564"/>
      <c r="DJ16" s="564"/>
      <c r="DK16" s="564"/>
      <c r="DL16" s="564"/>
      <c r="DM16" s="564"/>
      <c r="DN16" s="564"/>
      <c r="DO16" s="564"/>
      <c r="DP16" s="564"/>
      <c r="DQ16" s="564"/>
      <c r="DR16" s="564"/>
      <c r="DS16" s="564"/>
      <c r="DT16" s="564"/>
      <c r="DU16" s="564"/>
      <c r="DV16" s="564"/>
      <c r="DW16" s="564"/>
    </row>
    <row r="17" spans="1:127" s="194" customFormat="1" x14ac:dyDescent="0.2">
      <c r="A17" s="354">
        <v>1</v>
      </c>
      <c r="B17" s="374" t="s">
        <v>3078</v>
      </c>
      <c r="C17" s="300">
        <f t="shared" si="1"/>
        <v>0</v>
      </c>
      <c r="D17" s="300">
        <f t="shared" si="1"/>
        <v>0</v>
      </c>
      <c r="E17" s="300">
        <f t="shared" si="1"/>
        <v>0</v>
      </c>
      <c r="F17" s="300">
        <f t="shared" si="1"/>
        <v>0</v>
      </c>
      <c r="G17" s="300">
        <f t="shared" si="1"/>
        <v>0</v>
      </c>
      <c r="H17" s="300">
        <f t="shared" si="1"/>
        <v>0</v>
      </c>
      <c r="I17" s="152">
        <f t="shared" si="2"/>
        <v>0</v>
      </c>
      <c r="L17" s="272"/>
      <c r="M17" s="459"/>
      <c r="O17" s="587"/>
      <c r="P17" s="564"/>
      <c r="Q17" s="564"/>
      <c r="R17" s="564"/>
      <c r="S17" s="564"/>
      <c r="T17" s="564"/>
      <c r="U17" s="564"/>
      <c r="V17" s="564"/>
      <c r="W17" s="564"/>
      <c r="X17" s="564"/>
      <c r="Y17" s="564"/>
      <c r="Z17" s="564"/>
      <c r="AA17" s="564"/>
      <c r="AB17" s="564"/>
      <c r="AC17" s="564"/>
      <c r="AD17" s="564"/>
      <c r="AE17" s="564"/>
      <c r="AF17" s="564"/>
      <c r="AG17" s="564"/>
      <c r="AH17" s="564"/>
      <c r="AI17" s="564"/>
      <c r="AJ17" s="564"/>
      <c r="AK17" s="564"/>
      <c r="AL17" s="564"/>
      <c r="AM17" s="564"/>
      <c r="AN17" s="564"/>
      <c r="AO17" s="564"/>
      <c r="AP17" s="564"/>
      <c r="AQ17" s="564"/>
      <c r="AR17" s="564"/>
      <c r="AS17" s="564"/>
      <c r="AT17" s="564"/>
      <c r="AU17" s="564"/>
      <c r="AV17" s="564"/>
      <c r="AW17" s="564"/>
      <c r="AX17" s="564"/>
      <c r="AY17" s="564"/>
      <c r="AZ17" s="564"/>
      <c r="BA17" s="564"/>
      <c r="BB17" s="564"/>
      <c r="BC17" s="564"/>
      <c r="BD17" s="564"/>
      <c r="BE17" s="564"/>
      <c r="BF17" s="564"/>
      <c r="BG17" s="564"/>
      <c r="BH17" s="564"/>
      <c r="BI17" s="564"/>
      <c r="BJ17" s="564"/>
      <c r="BK17" s="564"/>
      <c r="BL17" s="564"/>
      <c r="BM17" s="564"/>
      <c r="BN17" s="564"/>
      <c r="BO17" s="564"/>
      <c r="BP17" s="564"/>
      <c r="BQ17" s="564"/>
      <c r="BR17" s="564"/>
      <c r="BS17" s="564"/>
      <c r="BT17" s="564"/>
      <c r="BU17" s="564"/>
      <c r="BV17" s="564"/>
      <c r="BW17" s="564"/>
      <c r="BX17" s="564"/>
      <c r="BY17" s="564"/>
      <c r="BZ17" s="564"/>
      <c r="CA17" s="564"/>
      <c r="CB17" s="564"/>
      <c r="CC17" s="564"/>
      <c r="CD17" s="564"/>
      <c r="CE17" s="564"/>
      <c r="CF17" s="564"/>
      <c r="CG17" s="564"/>
      <c r="CH17" s="564"/>
      <c r="CI17" s="564"/>
      <c r="CJ17" s="564"/>
      <c r="CK17" s="564"/>
      <c r="CL17" s="564"/>
      <c r="CM17" s="564"/>
      <c r="CN17" s="564"/>
      <c r="CO17" s="564"/>
      <c r="CP17" s="564"/>
      <c r="CQ17" s="564"/>
      <c r="CR17" s="564"/>
      <c r="CS17" s="564"/>
      <c r="CT17" s="564"/>
      <c r="CU17" s="564"/>
      <c r="CV17" s="564"/>
      <c r="CW17" s="564"/>
      <c r="CX17" s="564"/>
      <c r="CY17" s="564"/>
      <c r="CZ17" s="564"/>
      <c r="DA17" s="564"/>
      <c r="DB17" s="564"/>
      <c r="DC17" s="564"/>
      <c r="DD17" s="564"/>
      <c r="DE17" s="564"/>
      <c r="DF17" s="564"/>
      <c r="DG17" s="564"/>
      <c r="DH17" s="564"/>
      <c r="DI17" s="564"/>
      <c r="DJ17" s="564"/>
      <c r="DK17" s="564"/>
      <c r="DL17" s="564"/>
      <c r="DM17" s="564"/>
      <c r="DN17" s="564"/>
      <c r="DO17" s="564"/>
      <c r="DP17" s="564"/>
      <c r="DQ17" s="564"/>
      <c r="DR17" s="564"/>
      <c r="DS17" s="564"/>
      <c r="DT17" s="564"/>
      <c r="DU17" s="564"/>
      <c r="DV17" s="564"/>
      <c r="DW17" s="564"/>
    </row>
    <row r="18" spans="1:127" s="272" customFormat="1" x14ac:dyDescent="0.2">
      <c r="A18" s="354">
        <v>1</v>
      </c>
      <c r="B18" s="374" t="s">
        <v>3692</v>
      </c>
      <c r="C18" s="300">
        <f t="shared" si="1"/>
        <v>0</v>
      </c>
      <c r="D18" s="300">
        <f t="shared" si="1"/>
        <v>0</v>
      </c>
      <c r="E18" s="300">
        <f t="shared" si="1"/>
        <v>0</v>
      </c>
      <c r="F18" s="300">
        <f t="shared" si="1"/>
        <v>0</v>
      </c>
      <c r="G18" s="300">
        <f t="shared" si="1"/>
        <v>0</v>
      </c>
      <c r="H18" s="300">
        <f t="shared" si="1"/>
        <v>0</v>
      </c>
      <c r="I18" s="152">
        <f t="shared" si="2"/>
        <v>0</v>
      </c>
      <c r="M18" s="459"/>
      <c r="O18" s="587"/>
      <c r="P18" s="564"/>
      <c r="Q18" s="564"/>
      <c r="R18" s="564"/>
      <c r="S18" s="564"/>
      <c r="T18" s="564"/>
      <c r="U18" s="564"/>
      <c r="V18" s="564"/>
      <c r="W18" s="564"/>
      <c r="X18" s="564"/>
      <c r="Y18" s="564"/>
      <c r="Z18" s="564"/>
      <c r="AA18" s="564"/>
      <c r="AB18" s="564"/>
      <c r="AC18" s="564"/>
      <c r="AD18" s="564"/>
      <c r="AE18" s="564"/>
      <c r="AF18" s="564"/>
      <c r="AG18" s="564"/>
      <c r="AH18" s="564"/>
      <c r="AI18" s="564"/>
      <c r="AJ18" s="564"/>
      <c r="AK18" s="564"/>
      <c r="AL18" s="564"/>
      <c r="AM18" s="564"/>
      <c r="AN18" s="564"/>
      <c r="AO18" s="564"/>
      <c r="AP18" s="564"/>
      <c r="AQ18" s="564"/>
      <c r="AR18" s="564"/>
      <c r="AS18" s="564"/>
      <c r="AT18" s="564"/>
      <c r="AU18" s="564"/>
      <c r="AV18" s="564"/>
      <c r="AW18" s="564"/>
      <c r="AX18" s="564"/>
      <c r="AY18" s="564"/>
      <c r="AZ18" s="564"/>
      <c r="BA18" s="564"/>
      <c r="BB18" s="564"/>
      <c r="BC18" s="564"/>
      <c r="BD18" s="564"/>
      <c r="BE18" s="564"/>
      <c r="BF18" s="564"/>
      <c r="BG18" s="564"/>
      <c r="BH18" s="564"/>
      <c r="BI18" s="564"/>
      <c r="BJ18" s="564"/>
      <c r="BK18" s="564"/>
      <c r="BL18" s="564"/>
      <c r="BM18" s="564"/>
      <c r="BN18" s="564"/>
      <c r="BO18" s="564"/>
      <c r="BP18" s="564"/>
      <c r="BQ18" s="564"/>
      <c r="BR18" s="564"/>
      <c r="BS18" s="564"/>
      <c r="BT18" s="564"/>
      <c r="BU18" s="564"/>
      <c r="BV18" s="564"/>
      <c r="BW18" s="564"/>
      <c r="BX18" s="564"/>
      <c r="BY18" s="564"/>
      <c r="BZ18" s="564"/>
      <c r="CA18" s="564"/>
      <c r="CB18" s="564"/>
      <c r="CC18" s="564"/>
      <c r="CD18" s="564"/>
      <c r="CE18" s="564"/>
      <c r="CF18" s="564"/>
      <c r="CG18" s="564"/>
      <c r="CH18" s="564"/>
      <c r="CI18" s="564"/>
      <c r="CJ18" s="564"/>
      <c r="CK18" s="564"/>
      <c r="CL18" s="564"/>
      <c r="CM18" s="564"/>
      <c r="CN18" s="564"/>
      <c r="CO18" s="564"/>
      <c r="CP18" s="564"/>
      <c r="CQ18" s="564"/>
      <c r="CR18" s="564"/>
      <c r="CS18" s="564"/>
      <c r="CT18" s="564"/>
      <c r="CU18" s="564"/>
      <c r="CV18" s="564"/>
      <c r="CW18" s="564"/>
      <c r="CX18" s="564"/>
      <c r="CY18" s="564"/>
      <c r="CZ18" s="564"/>
      <c r="DA18" s="564"/>
      <c r="DB18" s="564"/>
      <c r="DC18" s="564"/>
      <c r="DD18" s="564"/>
      <c r="DE18" s="564"/>
      <c r="DF18" s="564"/>
      <c r="DG18" s="564"/>
      <c r="DH18" s="564"/>
      <c r="DI18" s="564"/>
      <c r="DJ18" s="564"/>
      <c r="DK18" s="564"/>
      <c r="DL18" s="564"/>
      <c r="DM18" s="564"/>
      <c r="DN18" s="564"/>
      <c r="DO18" s="564"/>
      <c r="DP18" s="564"/>
      <c r="DQ18" s="564"/>
      <c r="DR18" s="564"/>
      <c r="DS18" s="564"/>
      <c r="DT18" s="564"/>
      <c r="DU18" s="564"/>
      <c r="DV18" s="564"/>
      <c r="DW18" s="564"/>
    </row>
    <row r="19" spans="1:127" s="272" customFormat="1" x14ac:dyDescent="0.2">
      <c r="A19" s="354">
        <v>1</v>
      </c>
      <c r="B19" s="374" t="s">
        <v>3099</v>
      </c>
      <c r="C19" s="300">
        <f t="shared" si="1"/>
        <v>0</v>
      </c>
      <c r="D19" s="300">
        <f t="shared" si="1"/>
        <v>0</v>
      </c>
      <c r="E19" s="300">
        <f t="shared" si="1"/>
        <v>0</v>
      </c>
      <c r="F19" s="300">
        <f t="shared" si="1"/>
        <v>0</v>
      </c>
      <c r="G19" s="300">
        <f t="shared" si="1"/>
        <v>0</v>
      </c>
      <c r="H19" s="300">
        <f t="shared" si="1"/>
        <v>0</v>
      </c>
      <c r="I19" s="152">
        <f t="shared" si="2"/>
        <v>0</v>
      </c>
      <c r="M19" s="459"/>
      <c r="N19" s="197" t="str">
        <f ca="1">IF(OFFSET(AD19,0,Lang_Order*Lang__R2)="","",OFFSET(AD19,0,Lang_Order*Lang__R2))</f>
        <v>Financing sources, by time period</v>
      </c>
      <c r="O19" s="587"/>
      <c r="P19" s="564"/>
      <c r="Q19" s="564"/>
      <c r="R19" s="564"/>
      <c r="S19" s="564"/>
      <c r="T19" s="564"/>
      <c r="U19" s="564"/>
      <c r="V19" s="564"/>
      <c r="W19" s="564"/>
      <c r="X19" s="564"/>
      <c r="Y19" s="564"/>
      <c r="Z19" s="564"/>
      <c r="AA19" s="564"/>
      <c r="AB19" s="564"/>
      <c r="AC19" s="564"/>
      <c r="AD19" s="564" t="s">
        <v>4218</v>
      </c>
      <c r="AE19" s="564"/>
      <c r="AF19" s="564"/>
      <c r="AG19" s="564"/>
      <c r="AH19" s="564"/>
      <c r="AI19" s="564"/>
      <c r="AJ19" s="564"/>
      <c r="AK19" s="564"/>
      <c r="AL19" s="564"/>
      <c r="AM19" s="564"/>
      <c r="AN19" s="564"/>
      <c r="AO19" s="564"/>
      <c r="AP19" s="564"/>
      <c r="AQ19" s="564"/>
      <c r="AR19" s="564"/>
      <c r="AS19" s="564"/>
      <c r="AT19" s="564" t="s">
        <v>4696</v>
      </c>
      <c r="AU19" s="564"/>
      <c r="AV19" s="564"/>
      <c r="AW19" s="564"/>
      <c r="AX19" s="564"/>
      <c r="AY19" s="564"/>
      <c r="AZ19" s="564"/>
      <c r="BA19" s="564"/>
      <c r="BB19" s="564"/>
      <c r="BC19" s="564"/>
      <c r="BD19" s="564"/>
      <c r="BE19" s="564"/>
      <c r="BF19" s="564"/>
      <c r="BG19" s="564"/>
      <c r="BH19" s="564"/>
      <c r="BI19" s="564"/>
      <c r="BJ19" s="564" t="s">
        <v>4697</v>
      </c>
      <c r="BK19" s="564"/>
      <c r="BL19" s="564"/>
      <c r="BM19" s="564"/>
      <c r="BN19" s="564"/>
      <c r="BO19" s="564"/>
      <c r="BP19" s="564"/>
      <c r="BQ19" s="564"/>
      <c r="BR19" s="564"/>
      <c r="BS19" s="564"/>
      <c r="BT19" s="564"/>
      <c r="BU19" s="564"/>
      <c r="BV19" s="564"/>
      <c r="BW19" s="564"/>
      <c r="BX19" s="564"/>
      <c r="BY19" s="564"/>
      <c r="BZ19" s="564" t="s">
        <v>4698</v>
      </c>
      <c r="CA19" s="564"/>
      <c r="CB19" s="564"/>
      <c r="CC19" s="564"/>
      <c r="CD19" s="564"/>
      <c r="CE19" s="564"/>
      <c r="CF19" s="564"/>
      <c r="CG19" s="564"/>
      <c r="CH19" s="564"/>
      <c r="CI19" s="564"/>
      <c r="CJ19" s="564"/>
      <c r="CK19" s="564"/>
      <c r="CL19" s="564"/>
      <c r="CM19" s="564"/>
      <c r="CN19" s="564"/>
      <c r="CO19" s="564"/>
      <c r="CP19" s="564" t="s">
        <v>4699</v>
      </c>
      <c r="CQ19" s="564"/>
      <c r="CR19" s="564"/>
      <c r="CS19" s="564"/>
      <c r="CT19" s="564"/>
      <c r="CU19" s="564"/>
      <c r="CV19" s="564"/>
      <c r="CW19" s="564"/>
      <c r="CX19" s="564"/>
      <c r="CY19" s="564"/>
      <c r="CZ19" s="564"/>
      <c r="DA19" s="564"/>
      <c r="DB19" s="564"/>
      <c r="DC19" s="564"/>
      <c r="DD19" s="564"/>
      <c r="DE19" s="564"/>
      <c r="DF19" s="564" t="s">
        <v>4700</v>
      </c>
      <c r="DG19" s="564"/>
      <c r="DH19" s="564"/>
      <c r="DI19" s="564"/>
      <c r="DJ19" s="564"/>
      <c r="DK19" s="564"/>
      <c r="DL19" s="564"/>
      <c r="DM19" s="564"/>
      <c r="DN19" s="564"/>
      <c r="DO19" s="564"/>
      <c r="DP19" s="564"/>
      <c r="DQ19" s="564"/>
      <c r="DR19" s="564"/>
      <c r="DS19" s="564"/>
      <c r="DT19" s="564"/>
      <c r="DU19" s="564"/>
      <c r="DV19" s="564" t="s">
        <v>4701</v>
      </c>
      <c r="DW19" s="564"/>
    </row>
    <row r="20" spans="1:127" s="272" customFormat="1" x14ac:dyDescent="0.2">
      <c r="A20" s="354">
        <v>1</v>
      </c>
      <c r="B20" s="374" t="s">
        <v>2846</v>
      </c>
      <c r="C20" s="300">
        <f t="shared" si="1"/>
        <v>0</v>
      </c>
      <c r="D20" s="300">
        <f t="shared" si="1"/>
        <v>0</v>
      </c>
      <c r="E20" s="300">
        <f t="shared" si="1"/>
        <v>0</v>
      </c>
      <c r="F20" s="300">
        <f t="shared" si="1"/>
        <v>0</v>
      </c>
      <c r="G20" s="300">
        <f t="shared" si="1"/>
        <v>0</v>
      </c>
      <c r="H20" s="300">
        <f t="shared" si="1"/>
        <v>0</v>
      </c>
      <c r="I20" s="152">
        <f t="shared" si="2"/>
        <v>0</v>
      </c>
      <c r="M20" s="459"/>
      <c r="O20" s="587"/>
      <c r="P20" s="564"/>
      <c r="Q20" s="564"/>
      <c r="R20" s="564"/>
      <c r="S20" s="564"/>
      <c r="T20" s="564"/>
      <c r="U20" s="564"/>
      <c r="V20" s="564"/>
      <c r="W20" s="564"/>
      <c r="X20" s="564"/>
      <c r="Y20" s="564"/>
      <c r="Z20" s="564"/>
      <c r="AA20" s="564"/>
      <c r="AB20" s="564"/>
      <c r="AC20" s="564"/>
      <c r="AD20" s="564"/>
      <c r="AE20" s="564"/>
      <c r="AF20" s="564"/>
      <c r="AG20" s="564"/>
      <c r="AH20" s="564"/>
      <c r="AI20" s="564"/>
      <c r="AJ20" s="564"/>
      <c r="AK20" s="564"/>
      <c r="AL20" s="564"/>
      <c r="AM20" s="564"/>
      <c r="AN20" s="564"/>
      <c r="AO20" s="564"/>
      <c r="AP20" s="564"/>
      <c r="AQ20" s="564"/>
      <c r="AR20" s="564"/>
      <c r="AS20" s="564"/>
      <c r="AT20" s="564"/>
      <c r="AU20" s="564"/>
      <c r="AV20" s="564"/>
      <c r="AW20" s="564"/>
      <c r="AX20" s="564"/>
      <c r="AY20" s="564"/>
      <c r="AZ20" s="564"/>
      <c r="BA20" s="564"/>
      <c r="BB20" s="564"/>
      <c r="BC20" s="564"/>
      <c r="BD20" s="564"/>
      <c r="BE20" s="564"/>
      <c r="BF20" s="564"/>
      <c r="BG20" s="564"/>
      <c r="BH20" s="564"/>
      <c r="BI20" s="564"/>
      <c r="BJ20" s="564"/>
      <c r="BK20" s="564"/>
      <c r="BL20" s="564"/>
      <c r="BM20" s="564"/>
      <c r="BN20" s="564"/>
      <c r="BO20" s="564"/>
      <c r="BP20" s="564"/>
      <c r="BQ20" s="564"/>
      <c r="BR20" s="564"/>
      <c r="BS20" s="564"/>
      <c r="BT20" s="564"/>
      <c r="BU20" s="564"/>
      <c r="BV20" s="564"/>
      <c r="BW20" s="564"/>
      <c r="BX20" s="564"/>
      <c r="BY20" s="564"/>
      <c r="BZ20" s="564"/>
      <c r="CA20" s="564"/>
      <c r="CB20" s="564"/>
      <c r="CC20" s="564"/>
      <c r="CD20" s="564"/>
      <c r="CE20" s="564"/>
      <c r="CF20" s="564"/>
      <c r="CG20" s="564"/>
      <c r="CH20" s="564"/>
      <c r="CI20" s="564"/>
      <c r="CJ20" s="564"/>
      <c r="CK20" s="564"/>
      <c r="CL20" s="564"/>
      <c r="CM20" s="564"/>
      <c r="CN20" s="564"/>
      <c r="CO20" s="564"/>
      <c r="CP20" s="564"/>
      <c r="CQ20" s="564"/>
      <c r="CR20" s="564"/>
      <c r="CS20" s="564"/>
      <c r="CT20" s="564"/>
      <c r="CU20" s="564"/>
      <c r="CV20" s="564"/>
      <c r="CW20" s="564"/>
      <c r="CX20" s="564"/>
      <c r="CY20" s="564"/>
      <c r="CZ20" s="564"/>
      <c r="DA20" s="564"/>
      <c r="DB20" s="564"/>
      <c r="DC20" s="564"/>
      <c r="DD20" s="564"/>
      <c r="DE20" s="564"/>
      <c r="DF20" s="564"/>
      <c r="DG20" s="564"/>
      <c r="DH20" s="564"/>
      <c r="DI20" s="564"/>
      <c r="DJ20" s="564"/>
      <c r="DK20" s="564"/>
      <c r="DL20" s="564"/>
      <c r="DM20" s="564"/>
      <c r="DN20" s="564"/>
      <c r="DO20" s="564"/>
      <c r="DP20" s="564"/>
      <c r="DQ20" s="564"/>
      <c r="DR20" s="564"/>
      <c r="DS20" s="564"/>
      <c r="DT20" s="564"/>
      <c r="DU20" s="564"/>
      <c r="DV20" s="564"/>
      <c r="DW20" s="564"/>
    </row>
    <row r="21" spans="1:127" s="272" customFormat="1" x14ac:dyDescent="0.2">
      <c r="A21" s="354">
        <v>1</v>
      </c>
      <c r="B21" s="374" t="s">
        <v>3693</v>
      </c>
      <c r="C21" s="300">
        <f t="shared" si="1"/>
        <v>0</v>
      </c>
      <c r="D21" s="300">
        <f t="shared" si="1"/>
        <v>0</v>
      </c>
      <c r="E21" s="300">
        <f t="shared" si="1"/>
        <v>0</v>
      </c>
      <c r="F21" s="300">
        <f t="shared" si="1"/>
        <v>0</v>
      </c>
      <c r="G21" s="300">
        <f t="shared" si="1"/>
        <v>0</v>
      </c>
      <c r="H21" s="300">
        <f t="shared" si="1"/>
        <v>0</v>
      </c>
      <c r="I21" s="152">
        <f t="shared" si="2"/>
        <v>0</v>
      </c>
      <c r="M21" s="459"/>
      <c r="O21" s="587"/>
      <c r="P21" s="564"/>
      <c r="Q21" s="564"/>
      <c r="R21" s="564"/>
      <c r="S21" s="564"/>
      <c r="T21" s="564"/>
      <c r="U21" s="564"/>
      <c r="V21" s="564"/>
      <c r="W21" s="564"/>
      <c r="X21" s="564"/>
      <c r="Y21" s="564"/>
      <c r="Z21" s="564"/>
      <c r="AA21" s="564"/>
      <c r="AB21" s="564"/>
      <c r="AC21" s="564"/>
      <c r="AD21" s="564"/>
      <c r="AE21" s="564"/>
      <c r="AF21" s="564"/>
      <c r="AG21" s="564"/>
      <c r="AH21" s="564"/>
      <c r="AI21" s="564"/>
      <c r="AJ21" s="564"/>
      <c r="AK21" s="564"/>
      <c r="AL21" s="564"/>
      <c r="AM21" s="564"/>
      <c r="AN21" s="564"/>
      <c r="AO21" s="564"/>
      <c r="AP21" s="564"/>
      <c r="AQ21" s="564"/>
      <c r="AR21" s="564"/>
      <c r="AS21" s="564"/>
      <c r="AT21" s="564"/>
      <c r="AU21" s="564"/>
      <c r="AV21" s="564"/>
      <c r="AW21" s="564"/>
      <c r="AX21" s="564"/>
      <c r="AY21" s="564"/>
      <c r="AZ21" s="564"/>
      <c r="BA21" s="564"/>
      <c r="BB21" s="564"/>
      <c r="BC21" s="564"/>
      <c r="BD21" s="564"/>
      <c r="BE21" s="564"/>
      <c r="BF21" s="564"/>
      <c r="BG21" s="564"/>
      <c r="BH21" s="564"/>
      <c r="BI21" s="564"/>
      <c r="BJ21" s="564"/>
      <c r="BK21" s="564"/>
      <c r="BL21" s="564"/>
      <c r="BM21" s="564"/>
      <c r="BN21" s="564"/>
      <c r="BO21" s="564"/>
      <c r="BP21" s="564"/>
      <c r="BQ21" s="564"/>
      <c r="BR21" s="564"/>
      <c r="BS21" s="564"/>
      <c r="BT21" s="564"/>
      <c r="BU21" s="564"/>
      <c r="BV21" s="564"/>
      <c r="BW21" s="564"/>
      <c r="BX21" s="564"/>
      <c r="BY21" s="564"/>
      <c r="BZ21" s="564"/>
      <c r="CA21" s="564"/>
      <c r="CB21" s="564"/>
      <c r="CC21" s="564"/>
      <c r="CD21" s="564"/>
      <c r="CE21" s="564"/>
      <c r="CF21" s="564"/>
      <c r="CG21" s="564"/>
      <c r="CH21" s="564"/>
      <c r="CI21" s="564"/>
      <c r="CJ21" s="564"/>
      <c r="CK21" s="564"/>
      <c r="CL21" s="564"/>
      <c r="CM21" s="564"/>
      <c r="CN21" s="564"/>
      <c r="CO21" s="564"/>
      <c r="CP21" s="564"/>
      <c r="CQ21" s="564"/>
      <c r="CR21" s="564"/>
      <c r="CS21" s="564"/>
      <c r="CT21" s="564"/>
      <c r="CU21" s="564"/>
      <c r="CV21" s="564"/>
      <c r="CW21" s="564"/>
      <c r="CX21" s="564"/>
      <c r="CY21" s="564"/>
      <c r="CZ21" s="564"/>
      <c r="DA21" s="564"/>
      <c r="DB21" s="564"/>
      <c r="DC21" s="564"/>
      <c r="DD21" s="564"/>
      <c r="DE21" s="564"/>
      <c r="DF21" s="564"/>
      <c r="DG21" s="564"/>
      <c r="DH21" s="564"/>
      <c r="DI21" s="564"/>
      <c r="DJ21" s="564"/>
      <c r="DK21" s="564"/>
      <c r="DL21" s="564"/>
      <c r="DM21" s="564"/>
      <c r="DN21" s="564"/>
      <c r="DO21" s="564"/>
      <c r="DP21" s="564"/>
      <c r="DQ21" s="564"/>
      <c r="DR21" s="564"/>
      <c r="DS21" s="564"/>
      <c r="DT21" s="564"/>
      <c r="DU21" s="564"/>
      <c r="DV21" s="564"/>
      <c r="DW21" s="564"/>
    </row>
    <row r="22" spans="1:127" s="272" customFormat="1" x14ac:dyDescent="0.2">
      <c r="A22" s="354">
        <v>1</v>
      </c>
      <c r="B22" s="374" t="s">
        <v>3694</v>
      </c>
      <c r="C22" s="300">
        <f t="shared" si="1"/>
        <v>0</v>
      </c>
      <c r="D22" s="300">
        <f t="shared" si="1"/>
        <v>0</v>
      </c>
      <c r="E22" s="300">
        <f t="shared" si="1"/>
        <v>0</v>
      </c>
      <c r="F22" s="300">
        <f t="shared" si="1"/>
        <v>0</v>
      </c>
      <c r="G22" s="300">
        <f t="shared" si="1"/>
        <v>0</v>
      </c>
      <c r="H22" s="300">
        <f t="shared" si="1"/>
        <v>0</v>
      </c>
      <c r="I22" s="152">
        <f t="shared" si="2"/>
        <v>0</v>
      </c>
      <c r="M22" s="459"/>
      <c r="O22" s="587"/>
      <c r="P22" s="564"/>
      <c r="Q22" s="564"/>
      <c r="R22" s="564"/>
      <c r="S22" s="564"/>
      <c r="T22" s="564"/>
      <c r="U22" s="564"/>
      <c r="V22" s="564"/>
      <c r="W22" s="564"/>
      <c r="X22" s="564"/>
      <c r="Y22" s="564"/>
      <c r="Z22" s="564"/>
      <c r="AA22" s="564"/>
      <c r="AB22" s="564"/>
      <c r="AC22" s="564"/>
      <c r="AD22" s="564"/>
      <c r="AE22" s="564"/>
      <c r="AF22" s="564"/>
      <c r="AG22" s="564"/>
      <c r="AH22" s="564"/>
      <c r="AI22" s="564"/>
      <c r="AJ22" s="564"/>
      <c r="AK22" s="564"/>
      <c r="AL22" s="564"/>
      <c r="AM22" s="564"/>
      <c r="AN22" s="564"/>
      <c r="AO22" s="564"/>
      <c r="AP22" s="564"/>
      <c r="AQ22" s="564"/>
      <c r="AR22" s="564"/>
      <c r="AS22" s="564"/>
      <c r="AT22" s="564"/>
      <c r="AU22" s="564"/>
      <c r="AV22" s="564"/>
      <c r="AW22" s="564"/>
      <c r="AX22" s="564"/>
      <c r="AY22" s="564"/>
      <c r="AZ22" s="564"/>
      <c r="BA22" s="564"/>
      <c r="BB22" s="564"/>
      <c r="BC22" s="564"/>
      <c r="BD22" s="564"/>
      <c r="BE22" s="564"/>
      <c r="BF22" s="564"/>
      <c r="BG22" s="564"/>
      <c r="BH22" s="564"/>
      <c r="BI22" s="564"/>
      <c r="BJ22" s="564"/>
      <c r="BK22" s="564"/>
      <c r="BL22" s="564"/>
      <c r="BM22" s="564"/>
      <c r="BN22" s="564"/>
      <c r="BO22" s="564"/>
      <c r="BP22" s="564"/>
      <c r="BQ22" s="564"/>
      <c r="BR22" s="564"/>
      <c r="BS22" s="564"/>
      <c r="BT22" s="564"/>
      <c r="BU22" s="564"/>
      <c r="BV22" s="564"/>
      <c r="BW22" s="564"/>
      <c r="BX22" s="564"/>
      <c r="BY22" s="564"/>
      <c r="BZ22" s="564"/>
      <c r="CA22" s="564"/>
      <c r="CB22" s="564"/>
      <c r="CC22" s="564"/>
      <c r="CD22" s="564"/>
      <c r="CE22" s="564"/>
      <c r="CF22" s="564"/>
      <c r="CG22" s="564"/>
      <c r="CH22" s="564"/>
      <c r="CI22" s="564"/>
      <c r="CJ22" s="564"/>
      <c r="CK22" s="564"/>
      <c r="CL22" s="564"/>
      <c r="CM22" s="564"/>
      <c r="CN22" s="564"/>
      <c r="CO22" s="564"/>
      <c r="CP22" s="564"/>
      <c r="CQ22" s="564"/>
      <c r="CR22" s="564"/>
      <c r="CS22" s="564"/>
      <c r="CT22" s="564"/>
      <c r="CU22" s="564"/>
      <c r="CV22" s="564"/>
      <c r="CW22" s="564"/>
      <c r="CX22" s="564"/>
      <c r="CY22" s="564"/>
      <c r="CZ22" s="564"/>
      <c r="DA22" s="564"/>
      <c r="DB22" s="564"/>
      <c r="DC22" s="564"/>
      <c r="DD22" s="564"/>
      <c r="DE22" s="564"/>
      <c r="DF22" s="564"/>
      <c r="DG22" s="564"/>
      <c r="DH22" s="564"/>
      <c r="DI22" s="564"/>
      <c r="DJ22" s="564"/>
      <c r="DK22" s="564"/>
      <c r="DL22" s="564"/>
      <c r="DM22" s="564"/>
      <c r="DN22" s="564"/>
      <c r="DO22" s="564"/>
      <c r="DP22" s="564"/>
      <c r="DQ22" s="564"/>
      <c r="DR22" s="564"/>
      <c r="DS22" s="564"/>
      <c r="DT22" s="564"/>
      <c r="DU22" s="564"/>
      <c r="DV22" s="564"/>
      <c r="DW22" s="564"/>
    </row>
    <row r="23" spans="1:127" s="194" customFormat="1" x14ac:dyDescent="0.2">
      <c r="A23" s="354">
        <v>1</v>
      </c>
      <c r="B23" s="374" t="s">
        <v>14140</v>
      </c>
      <c r="C23" s="300">
        <f t="shared" si="1"/>
        <v>0</v>
      </c>
      <c r="D23" s="300">
        <f t="shared" si="1"/>
        <v>0</v>
      </c>
      <c r="E23" s="300">
        <f t="shared" si="1"/>
        <v>0</v>
      </c>
      <c r="F23" s="300">
        <f t="shared" si="1"/>
        <v>0</v>
      </c>
      <c r="G23" s="300">
        <f t="shared" si="1"/>
        <v>0</v>
      </c>
      <c r="H23" s="300">
        <f t="shared" si="1"/>
        <v>0</v>
      </c>
      <c r="I23" s="152">
        <f t="shared" si="2"/>
        <v>0</v>
      </c>
      <c r="L23" s="272"/>
      <c r="M23" s="459"/>
      <c r="O23" s="587"/>
      <c r="P23" s="564"/>
      <c r="Q23" s="564"/>
      <c r="R23" s="564"/>
      <c r="S23" s="564"/>
      <c r="T23" s="564"/>
      <c r="U23" s="564"/>
      <c r="V23" s="564"/>
      <c r="W23" s="564"/>
      <c r="X23" s="564"/>
      <c r="Y23" s="564"/>
      <c r="Z23" s="564"/>
      <c r="AA23" s="564"/>
      <c r="AB23" s="564"/>
      <c r="AC23" s="564"/>
      <c r="AD23" s="564"/>
      <c r="AE23" s="564"/>
      <c r="AF23" s="564"/>
      <c r="AG23" s="564"/>
      <c r="AH23" s="564"/>
      <c r="AI23" s="564"/>
      <c r="AJ23" s="564"/>
      <c r="AK23" s="564"/>
      <c r="AL23" s="564"/>
      <c r="AM23" s="564"/>
      <c r="AN23" s="564"/>
      <c r="AO23" s="564"/>
      <c r="AP23" s="564"/>
      <c r="AQ23" s="564"/>
      <c r="AR23" s="564"/>
      <c r="AS23" s="564"/>
      <c r="AT23" s="564"/>
      <c r="AU23" s="564"/>
      <c r="AV23" s="564"/>
      <c r="AW23" s="564"/>
      <c r="AX23" s="564"/>
      <c r="AY23" s="564"/>
      <c r="AZ23" s="564"/>
      <c r="BA23" s="564"/>
      <c r="BB23" s="564"/>
      <c r="BC23" s="564"/>
      <c r="BD23" s="564"/>
      <c r="BE23" s="564"/>
      <c r="BF23" s="564"/>
      <c r="BG23" s="564"/>
      <c r="BH23" s="564"/>
      <c r="BI23" s="564"/>
      <c r="BJ23" s="564"/>
      <c r="BK23" s="564"/>
      <c r="BL23" s="564"/>
      <c r="BM23" s="564"/>
      <c r="BN23" s="564"/>
      <c r="BO23" s="564"/>
      <c r="BP23" s="564"/>
      <c r="BQ23" s="564"/>
      <c r="BR23" s="564"/>
      <c r="BS23" s="564"/>
      <c r="BT23" s="564"/>
      <c r="BU23" s="564"/>
      <c r="BV23" s="564"/>
      <c r="BW23" s="564"/>
      <c r="BX23" s="564"/>
      <c r="BY23" s="564"/>
      <c r="BZ23" s="564"/>
      <c r="CA23" s="564"/>
      <c r="CB23" s="564"/>
      <c r="CC23" s="564"/>
      <c r="CD23" s="564"/>
      <c r="CE23" s="564"/>
      <c r="CF23" s="564"/>
      <c r="CG23" s="564"/>
      <c r="CH23" s="564"/>
      <c r="CI23" s="564"/>
      <c r="CJ23" s="564"/>
      <c r="CK23" s="564"/>
      <c r="CL23" s="564"/>
      <c r="CM23" s="564"/>
      <c r="CN23" s="564"/>
      <c r="CO23" s="564"/>
      <c r="CP23" s="564"/>
      <c r="CQ23" s="564"/>
      <c r="CR23" s="564"/>
      <c r="CS23" s="564"/>
      <c r="CT23" s="564"/>
      <c r="CU23" s="564"/>
      <c r="CV23" s="564"/>
      <c r="CW23" s="564"/>
      <c r="CX23" s="564"/>
      <c r="CY23" s="564"/>
      <c r="CZ23" s="564"/>
      <c r="DA23" s="564"/>
      <c r="DB23" s="564"/>
      <c r="DC23" s="564"/>
      <c r="DD23" s="564"/>
      <c r="DE23" s="564"/>
      <c r="DF23" s="564"/>
      <c r="DG23" s="564"/>
      <c r="DH23" s="564"/>
      <c r="DI23" s="564"/>
      <c r="DJ23" s="564"/>
      <c r="DK23" s="564"/>
      <c r="DL23" s="564"/>
      <c r="DM23" s="564"/>
      <c r="DN23" s="564"/>
      <c r="DO23" s="564"/>
      <c r="DP23" s="564"/>
      <c r="DQ23" s="564"/>
      <c r="DR23" s="564"/>
      <c r="DS23" s="564"/>
      <c r="DT23" s="564"/>
      <c r="DU23" s="564"/>
      <c r="DV23" s="564"/>
      <c r="DW23" s="564"/>
    </row>
    <row r="24" spans="1:127" s="150" customFormat="1" ht="13.5" thickBot="1" x14ac:dyDescent="0.25">
      <c r="B24" s="21" t="str">
        <f ca="1">IF(OFFSET(R24,0,Lang_Order*Lang__R2)="","",OFFSET(R24,0,Lang_Order*Lang__R2))</f>
        <v>Total Cost Allocated  / Mapped</v>
      </c>
      <c r="C24" s="118" t="e">
        <f t="shared" ref="C24:I24" si="3">SUM(C10:C23)</f>
        <v>#N/A</v>
      </c>
      <c r="D24" s="118" t="e">
        <f t="shared" si="3"/>
        <v>#N/A</v>
      </c>
      <c r="E24" s="118" t="e">
        <f t="shared" si="3"/>
        <v>#N/A</v>
      </c>
      <c r="F24" s="118" t="e">
        <f t="shared" si="3"/>
        <v>#N/A</v>
      </c>
      <c r="G24" s="118" t="e">
        <f t="shared" si="3"/>
        <v>#N/A</v>
      </c>
      <c r="H24" s="118" t="e">
        <f t="shared" si="3"/>
        <v>#N/A</v>
      </c>
      <c r="I24" s="118" t="e">
        <f t="shared" si="3"/>
        <v>#N/A</v>
      </c>
      <c r="K24" s="194"/>
      <c r="L24" s="272"/>
      <c r="M24" s="459"/>
      <c r="N24" s="281"/>
      <c r="O24" s="567"/>
      <c r="P24" s="564"/>
      <c r="Q24" s="564"/>
      <c r="R24" s="564" t="s">
        <v>3185</v>
      </c>
      <c r="S24" s="564"/>
      <c r="T24" s="564"/>
      <c r="U24" s="564"/>
      <c r="V24" s="564"/>
      <c r="W24" s="564"/>
      <c r="X24" s="564"/>
      <c r="Y24" s="564"/>
      <c r="Z24" s="564"/>
      <c r="AA24" s="564"/>
      <c r="AB24" s="564"/>
      <c r="AC24" s="564"/>
      <c r="AD24" s="564"/>
      <c r="AE24" s="564"/>
      <c r="AF24" s="564"/>
      <c r="AG24" s="564"/>
      <c r="AH24" s="564" t="s">
        <v>4702</v>
      </c>
      <c r="AI24" s="564"/>
      <c r="AJ24" s="564"/>
      <c r="AK24" s="564"/>
      <c r="AL24" s="564"/>
      <c r="AM24" s="564"/>
      <c r="AN24" s="564"/>
      <c r="AO24" s="564"/>
      <c r="AP24" s="564"/>
      <c r="AQ24" s="564"/>
      <c r="AR24" s="564"/>
      <c r="AS24" s="564"/>
      <c r="AT24" s="564"/>
      <c r="AU24" s="564"/>
      <c r="AV24" s="564"/>
      <c r="AW24" s="564"/>
      <c r="AX24" s="564" t="s">
        <v>4703</v>
      </c>
      <c r="AY24" s="564"/>
      <c r="AZ24" s="564"/>
      <c r="BA24" s="564"/>
      <c r="BB24" s="564"/>
      <c r="BC24" s="564"/>
      <c r="BD24" s="564"/>
      <c r="BE24" s="564"/>
      <c r="BF24" s="564"/>
      <c r="BG24" s="564"/>
      <c r="BH24" s="564"/>
      <c r="BI24" s="564"/>
      <c r="BJ24" s="564"/>
      <c r="BK24" s="564"/>
      <c r="BL24" s="564"/>
      <c r="BM24" s="564"/>
      <c r="BN24" s="564" t="s">
        <v>4704</v>
      </c>
      <c r="BO24" s="564"/>
      <c r="BP24" s="564"/>
      <c r="BQ24" s="564"/>
      <c r="BR24" s="564"/>
      <c r="BS24" s="564"/>
      <c r="BT24" s="564"/>
      <c r="BU24" s="564"/>
      <c r="BV24" s="564"/>
      <c r="BW24" s="564"/>
      <c r="BX24" s="564"/>
      <c r="BY24" s="564"/>
      <c r="BZ24" s="564"/>
      <c r="CA24" s="564"/>
      <c r="CB24" s="564"/>
      <c r="CC24" s="564"/>
      <c r="CD24" s="564" t="s">
        <v>4705</v>
      </c>
      <c r="CE24" s="564"/>
      <c r="CF24" s="564"/>
      <c r="CG24" s="564"/>
      <c r="CH24" s="564"/>
      <c r="CI24" s="564"/>
      <c r="CJ24" s="564"/>
      <c r="CK24" s="564"/>
      <c r="CL24" s="564"/>
      <c r="CM24" s="564"/>
      <c r="CN24" s="564"/>
      <c r="CO24" s="564"/>
      <c r="CP24" s="564"/>
      <c r="CQ24" s="564"/>
      <c r="CR24" s="564"/>
      <c r="CS24" s="564"/>
      <c r="CT24" s="564" t="s">
        <v>4706</v>
      </c>
      <c r="CU24" s="564"/>
      <c r="CV24" s="564"/>
      <c r="CW24" s="564"/>
      <c r="CX24" s="564"/>
      <c r="CY24" s="564"/>
      <c r="CZ24" s="564"/>
      <c r="DA24" s="564"/>
      <c r="DB24" s="564"/>
      <c r="DC24" s="564"/>
      <c r="DD24" s="564"/>
      <c r="DE24" s="564"/>
      <c r="DF24" s="564"/>
      <c r="DG24" s="564"/>
      <c r="DH24" s="564"/>
      <c r="DI24" s="564"/>
      <c r="DJ24" s="564" t="s">
        <v>4707</v>
      </c>
      <c r="DK24" s="564"/>
      <c r="DL24" s="564"/>
      <c r="DM24" s="564"/>
      <c r="DN24" s="564"/>
      <c r="DO24" s="564"/>
      <c r="DP24" s="564"/>
      <c r="DQ24" s="564"/>
      <c r="DR24" s="564"/>
      <c r="DS24" s="564"/>
      <c r="DT24" s="564"/>
      <c r="DU24" s="564"/>
      <c r="DV24" s="564"/>
      <c r="DW24" s="564"/>
    </row>
    <row r="25" spans="1:127" ht="13.5" thickTop="1" x14ac:dyDescent="0.2">
      <c r="B25" s="318" t="str">
        <f ca="1">IF(OFFSET(R25,0,Lang_Order*Lang__R2)="","",OFFSET(R25,0,Lang_Order*Lang__R2))</f>
        <v>Grand Total (USD) - Medium Variant</v>
      </c>
      <c r="C25" s="317" t="e">
        <f>'R1. OUTPUTS'!G15</f>
        <v>#N/A</v>
      </c>
      <c r="D25" s="317" t="e">
        <f ca="1">'R1. OUTPUTS'!H15</f>
        <v>#N/A</v>
      </c>
      <c r="E25" s="317" t="e">
        <f ca="1">'R1. OUTPUTS'!I15</f>
        <v>#N/A</v>
      </c>
      <c r="F25" s="317" t="e">
        <f ca="1">'R1. OUTPUTS'!J15</f>
        <v>#N/A</v>
      </c>
      <c r="G25" s="317" t="e">
        <f ca="1">'R1. OUTPUTS'!K15</f>
        <v>#N/A</v>
      </c>
      <c r="H25" s="317" t="e">
        <f ca="1">'R1. OUTPUTS'!L15</f>
        <v>#N/A</v>
      </c>
      <c r="I25" s="158" t="e">
        <f>SUM(C25:H25)</f>
        <v>#N/A</v>
      </c>
      <c r="R25" s="564" t="s">
        <v>3049</v>
      </c>
      <c r="AH25" s="564" t="s">
        <v>4708</v>
      </c>
      <c r="AX25" s="564" t="s">
        <v>4709</v>
      </c>
      <c r="BN25" s="564" t="s">
        <v>4710</v>
      </c>
      <c r="CD25" s="564" t="s">
        <v>4711</v>
      </c>
      <c r="CT25" s="564" t="s">
        <v>4712</v>
      </c>
      <c r="DJ25" s="564" t="s">
        <v>4713</v>
      </c>
    </row>
    <row r="26" spans="1:127" s="299" customFormat="1" x14ac:dyDescent="0.2">
      <c r="M26" s="459"/>
      <c r="O26" s="567"/>
      <c r="P26" s="564"/>
      <c r="Q26" s="564"/>
      <c r="R26" s="564"/>
      <c r="S26" s="564"/>
      <c r="T26" s="564"/>
      <c r="U26" s="564"/>
      <c r="V26" s="564"/>
      <c r="W26" s="564"/>
      <c r="X26" s="564"/>
      <c r="Y26" s="564"/>
      <c r="Z26" s="564"/>
      <c r="AA26" s="564"/>
      <c r="AB26" s="564"/>
      <c r="AC26" s="564"/>
      <c r="AD26" s="564"/>
      <c r="AE26" s="564"/>
      <c r="AF26" s="564"/>
      <c r="AG26" s="564"/>
      <c r="AH26" s="564"/>
      <c r="AI26" s="564"/>
      <c r="AJ26" s="564"/>
      <c r="AK26" s="564"/>
      <c r="AL26" s="564"/>
      <c r="AM26" s="564"/>
      <c r="AN26" s="564"/>
      <c r="AO26" s="564"/>
      <c r="AP26" s="564"/>
      <c r="AQ26" s="564"/>
      <c r="AR26" s="564"/>
      <c r="AS26" s="564"/>
      <c r="AT26" s="564"/>
      <c r="AU26" s="564"/>
      <c r="AV26" s="564"/>
      <c r="AW26" s="564"/>
      <c r="AX26" s="564"/>
      <c r="AY26" s="564"/>
      <c r="AZ26" s="564"/>
      <c r="BA26" s="564"/>
      <c r="BB26" s="564"/>
      <c r="BC26" s="564"/>
      <c r="BD26" s="564"/>
      <c r="BE26" s="564"/>
      <c r="BF26" s="564"/>
      <c r="BG26" s="564"/>
      <c r="BH26" s="564"/>
      <c r="BI26" s="564"/>
      <c r="BJ26" s="564"/>
      <c r="BK26" s="564"/>
      <c r="BL26" s="564"/>
      <c r="BM26" s="564"/>
      <c r="BN26" s="564"/>
      <c r="BO26" s="564"/>
      <c r="BP26" s="564"/>
      <c r="BQ26" s="564"/>
      <c r="BR26" s="564"/>
      <c r="BS26" s="564"/>
      <c r="BT26" s="564"/>
      <c r="BU26" s="564"/>
      <c r="BV26" s="564"/>
      <c r="BW26" s="564"/>
      <c r="BX26" s="564"/>
      <c r="BY26" s="564"/>
      <c r="BZ26" s="564"/>
      <c r="CA26" s="564"/>
      <c r="CB26" s="564"/>
      <c r="CC26" s="564"/>
      <c r="CD26" s="564"/>
      <c r="CE26" s="564"/>
      <c r="CF26" s="564"/>
      <c r="CG26" s="564"/>
      <c r="CH26" s="564"/>
      <c r="CI26" s="564"/>
      <c r="CJ26" s="564"/>
      <c r="CK26" s="564"/>
      <c r="CL26" s="564"/>
      <c r="CM26" s="564"/>
      <c r="CN26" s="564"/>
      <c r="CO26" s="564"/>
      <c r="CP26" s="564"/>
      <c r="CQ26" s="564"/>
      <c r="CR26" s="564"/>
      <c r="CS26" s="564"/>
      <c r="CT26" s="564"/>
      <c r="CU26" s="564"/>
      <c r="CV26" s="564"/>
      <c r="CW26" s="564"/>
      <c r="CX26" s="564"/>
      <c r="CY26" s="564"/>
      <c r="CZ26" s="564"/>
      <c r="DA26" s="564"/>
      <c r="DB26" s="564"/>
      <c r="DC26" s="564"/>
      <c r="DD26" s="564"/>
      <c r="DE26" s="564"/>
      <c r="DF26" s="564"/>
      <c r="DG26" s="564"/>
      <c r="DH26" s="564"/>
      <c r="DI26" s="564"/>
      <c r="DJ26" s="564"/>
      <c r="DK26" s="564"/>
      <c r="DL26" s="564"/>
      <c r="DM26" s="564"/>
      <c r="DN26" s="564"/>
      <c r="DO26" s="564"/>
      <c r="DP26" s="564"/>
      <c r="DQ26" s="564"/>
      <c r="DR26" s="564"/>
      <c r="DS26" s="564"/>
      <c r="DT26" s="564"/>
      <c r="DU26" s="564"/>
      <c r="DV26" s="564"/>
      <c r="DW26" s="564"/>
    </row>
    <row r="27" spans="1:127" s="299" customFormat="1" ht="13.5" thickBot="1" x14ac:dyDescent="0.25">
      <c r="B27" s="282" t="str">
        <f ca="1">IF(OFFSET(R27,0,Lang_Order*Lang__R2)="","",OFFSET(R27,0,Lang_Order*Lang__R2))</f>
        <v>Total Cost Unallocated (Financing Gap)</v>
      </c>
      <c r="C27" s="379" t="e">
        <f t="shared" ref="C27:I27" si="4">C25-C24</f>
        <v>#N/A</v>
      </c>
      <c r="D27" s="379" t="e">
        <f t="shared" ca="1" si="4"/>
        <v>#N/A</v>
      </c>
      <c r="E27" s="379" t="e">
        <f t="shared" ca="1" si="4"/>
        <v>#N/A</v>
      </c>
      <c r="F27" s="379" t="e">
        <f t="shared" ca="1" si="4"/>
        <v>#N/A</v>
      </c>
      <c r="G27" s="379" t="e">
        <f t="shared" ca="1" si="4"/>
        <v>#N/A</v>
      </c>
      <c r="H27" s="379" t="e">
        <f t="shared" ca="1" si="4"/>
        <v>#N/A</v>
      </c>
      <c r="I27" s="379" t="e">
        <f t="shared" si="4"/>
        <v>#N/A</v>
      </c>
      <c r="M27" s="459"/>
      <c r="O27" s="567"/>
      <c r="P27" s="564"/>
      <c r="Q27" s="564"/>
      <c r="R27" s="564" t="s">
        <v>3947</v>
      </c>
      <c r="S27" s="564"/>
      <c r="T27" s="564"/>
      <c r="U27" s="564"/>
      <c r="V27" s="564"/>
      <c r="W27" s="564"/>
      <c r="X27" s="564"/>
      <c r="Y27" s="564"/>
      <c r="Z27" s="564"/>
      <c r="AA27" s="564"/>
      <c r="AB27" s="564"/>
      <c r="AC27" s="564"/>
      <c r="AD27" s="564"/>
      <c r="AE27" s="564"/>
      <c r="AF27" s="564"/>
      <c r="AG27" s="564"/>
      <c r="AH27" s="564" t="s">
        <v>4714</v>
      </c>
      <c r="AI27" s="564"/>
      <c r="AJ27" s="564"/>
      <c r="AK27" s="564"/>
      <c r="AL27" s="564"/>
      <c r="AM27" s="564"/>
      <c r="AN27" s="564"/>
      <c r="AO27" s="564"/>
      <c r="AP27" s="564"/>
      <c r="AQ27" s="564"/>
      <c r="AR27" s="564"/>
      <c r="AS27" s="564"/>
      <c r="AT27" s="564"/>
      <c r="AU27" s="564"/>
      <c r="AV27" s="564"/>
      <c r="AW27" s="564"/>
      <c r="AX27" s="564" t="s">
        <v>4715</v>
      </c>
      <c r="AY27" s="564"/>
      <c r="AZ27" s="564"/>
      <c r="BA27" s="564"/>
      <c r="BB27" s="564"/>
      <c r="BC27" s="564"/>
      <c r="BD27" s="564"/>
      <c r="BE27" s="564"/>
      <c r="BF27" s="564"/>
      <c r="BG27" s="564"/>
      <c r="BH27" s="564"/>
      <c r="BI27" s="564"/>
      <c r="BJ27" s="564"/>
      <c r="BK27" s="564"/>
      <c r="BL27" s="564"/>
      <c r="BM27" s="564"/>
      <c r="BN27" s="564" t="s">
        <v>4716</v>
      </c>
      <c r="BO27" s="564"/>
      <c r="BP27" s="564"/>
      <c r="BQ27" s="564"/>
      <c r="BR27" s="564"/>
      <c r="BS27" s="564"/>
      <c r="BT27" s="564"/>
      <c r="BU27" s="564"/>
      <c r="BV27" s="564"/>
      <c r="BW27" s="564"/>
      <c r="BX27" s="564"/>
      <c r="BY27" s="564"/>
      <c r="BZ27" s="564"/>
      <c r="CA27" s="564"/>
      <c r="CB27" s="564"/>
      <c r="CC27" s="564"/>
      <c r="CD27" s="564" t="s">
        <v>4717</v>
      </c>
      <c r="CE27" s="564"/>
      <c r="CF27" s="564"/>
      <c r="CG27" s="564"/>
      <c r="CH27" s="564"/>
      <c r="CI27" s="564"/>
      <c r="CJ27" s="564"/>
      <c r="CK27" s="564"/>
      <c r="CL27" s="564"/>
      <c r="CM27" s="564"/>
      <c r="CN27" s="564"/>
      <c r="CO27" s="564"/>
      <c r="CP27" s="564"/>
      <c r="CQ27" s="564"/>
      <c r="CR27" s="564"/>
      <c r="CS27" s="564"/>
      <c r="CT27" s="564" t="s">
        <v>4718</v>
      </c>
      <c r="CU27" s="564"/>
      <c r="CV27" s="564"/>
      <c r="CW27" s="564"/>
      <c r="CX27" s="564"/>
      <c r="CY27" s="564"/>
      <c r="CZ27" s="564"/>
      <c r="DA27" s="564"/>
      <c r="DB27" s="564"/>
      <c r="DC27" s="564"/>
      <c r="DD27" s="564"/>
      <c r="DE27" s="564"/>
      <c r="DF27" s="564"/>
      <c r="DG27" s="564"/>
      <c r="DH27" s="564"/>
      <c r="DI27" s="564"/>
      <c r="DJ27" s="564" t="s">
        <v>4719</v>
      </c>
      <c r="DK27" s="564"/>
      <c r="DL27" s="564"/>
      <c r="DM27" s="564"/>
      <c r="DN27" s="564"/>
      <c r="DO27" s="564"/>
      <c r="DP27" s="564"/>
      <c r="DQ27" s="564"/>
      <c r="DR27" s="564"/>
      <c r="DS27" s="564"/>
      <c r="DT27" s="564"/>
      <c r="DU27" s="564"/>
      <c r="DV27" s="564"/>
      <c r="DW27" s="564"/>
    </row>
    <row r="28" spans="1:127" s="281" customFormat="1" ht="13.5" thickTop="1" x14ac:dyDescent="0.2">
      <c r="B28" s="299"/>
      <c r="M28" s="459"/>
      <c r="O28" s="567"/>
      <c r="P28" s="564"/>
      <c r="Q28" s="564"/>
      <c r="R28" s="564"/>
      <c r="S28" s="564"/>
      <c r="T28" s="564"/>
      <c r="U28" s="564"/>
      <c r="V28" s="564"/>
      <c r="W28" s="564"/>
      <c r="X28" s="564"/>
      <c r="Y28" s="564"/>
      <c r="Z28" s="564"/>
      <c r="AA28" s="564"/>
      <c r="AB28" s="564"/>
      <c r="AC28" s="564"/>
      <c r="AD28" s="564"/>
      <c r="AE28" s="564"/>
      <c r="AF28" s="564"/>
      <c r="AG28" s="564"/>
      <c r="AH28" s="564"/>
      <c r="AI28" s="564"/>
      <c r="AJ28" s="564"/>
      <c r="AK28" s="564"/>
      <c r="AL28" s="564"/>
      <c r="AM28" s="564"/>
      <c r="AN28" s="564"/>
      <c r="AO28" s="564"/>
      <c r="AP28" s="564"/>
      <c r="AQ28" s="564"/>
      <c r="AR28" s="564"/>
      <c r="AS28" s="564"/>
      <c r="AT28" s="564"/>
      <c r="AU28" s="564"/>
      <c r="AV28" s="564"/>
      <c r="AW28" s="564"/>
      <c r="AX28" s="564"/>
      <c r="AY28" s="564"/>
      <c r="AZ28" s="564"/>
      <c r="BA28" s="564"/>
      <c r="BB28" s="564"/>
      <c r="BC28" s="564"/>
      <c r="BD28" s="564"/>
      <c r="BE28" s="564"/>
      <c r="BF28" s="564"/>
      <c r="BG28" s="564"/>
      <c r="BH28" s="564"/>
      <c r="BI28" s="564"/>
      <c r="BJ28" s="564"/>
      <c r="BK28" s="564"/>
      <c r="BL28" s="564"/>
      <c r="BM28" s="564"/>
      <c r="BN28" s="564"/>
      <c r="BO28" s="564"/>
      <c r="BP28" s="564"/>
      <c r="BQ28" s="564"/>
      <c r="BR28" s="564"/>
      <c r="BS28" s="564"/>
      <c r="BT28" s="564"/>
      <c r="BU28" s="564"/>
      <c r="BV28" s="564"/>
      <c r="BW28" s="564"/>
      <c r="BX28" s="564"/>
      <c r="BY28" s="564"/>
      <c r="BZ28" s="564"/>
      <c r="CA28" s="564"/>
      <c r="CB28" s="564"/>
      <c r="CC28" s="564"/>
      <c r="CD28" s="564"/>
      <c r="CE28" s="564"/>
      <c r="CF28" s="564"/>
      <c r="CG28" s="564"/>
      <c r="CH28" s="564"/>
      <c r="CI28" s="564"/>
      <c r="CJ28" s="564"/>
      <c r="CK28" s="564"/>
      <c r="CL28" s="564"/>
      <c r="CM28" s="564"/>
      <c r="CN28" s="564"/>
      <c r="CO28" s="564"/>
      <c r="CP28" s="564"/>
      <c r="CQ28" s="564"/>
      <c r="CR28" s="564"/>
      <c r="CS28" s="564"/>
      <c r="CT28" s="564"/>
      <c r="CU28" s="564"/>
      <c r="CV28" s="564"/>
      <c r="CW28" s="564"/>
      <c r="CX28" s="564"/>
      <c r="CY28" s="564"/>
      <c r="CZ28" s="564"/>
      <c r="DA28" s="564"/>
      <c r="DB28" s="564"/>
      <c r="DC28" s="564"/>
      <c r="DD28" s="564"/>
      <c r="DE28" s="564"/>
      <c r="DF28" s="564"/>
      <c r="DG28" s="564"/>
      <c r="DH28" s="564"/>
      <c r="DI28" s="564"/>
      <c r="DJ28" s="564"/>
      <c r="DK28" s="564"/>
      <c r="DL28" s="564"/>
      <c r="DM28" s="564"/>
      <c r="DN28" s="564"/>
      <c r="DO28" s="564"/>
      <c r="DP28" s="564"/>
      <c r="DQ28" s="564"/>
      <c r="DR28" s="564"/>
      <c r="DS28" s="564"/>
      <c r="DT28" s="564"/>
      <c r="DU28" s="564"/>
      <c r="DV28" s="564"/>
      <c r="DW28" s="564"/>
    </row>
    <row r="29" spans="1:127" s="281" customFormat="1" ht="15" x14ac:dyDescent="0.25">
      <c r="B29" s="33" t="str">
        <f ca="1">IF(OFFSET(R29,0,Lang_Order*Lang__R2)="","",OFFSET(R29,0,Lang_Order*Lang__R2))</f>
        <v>R2.0.2 Budgetary Unit / Financing Agent</v>
      </c>
      <c r="C29" s="8"/>
      <c r="D29" s="8"/>
      <c r="E29" s="8"/>
      <c r="F29" s="8"/>
      <c r="G29" s="8"/>
      <c r="H29" s="8"/>
      <c r="I29" s="8"/>
      <c r="J29" s="8"/>
      <c r="M29" s="459"/>
      <c r="O29" s="567"/>
      <c r="P29" s="564"/>
      <c r="Q29" s="564"/>
      <c r="R29" s="564" t="s">
        <v>3970</v>
      </c>
      <c r="S29" s="564"/>
      <c r="T29" s="564"/>
      <c r="U29" s="564"/>
      <c r="V29" s="564"/>
      <c r="W29" s="564"/>
      <c r="X29" s="564"/>
      <c r="Y29" s="564"/>
      <c r="Z29" s="564"/>
      <c r="AA29" s="564"/>
      <c r="AB29" s="564"/>
      <c r="AC29" s="564"/>
      <c r="AD29" s="564"/>
      <c r="AE29" s="564"/>
      <c r="AF29" s="564"/>
      <c r="AG29" s="564"/>
      <c r="AH29" s="564" t="s">
        <v>4720</v>
      </c>
      <c r="AI29" s="564"/>
      <c r="AJ29" s="564"/>
      <c r="AK29" s="564"/>
      <c r="AL29" s="564"/>
      <c r="AM29" s="564"/>
      <c r="AN29" s="564"/>
      <c r="AO29" s="564"/>
      <c r="AP29" s="564"/>
      <c r="AQ29" s="564"/>
      <c r="AR29" s="564"/>
      <c r="AS29" s="564"/>
      <c r="AT29" s="564"/>
      <c r="AU29" s="564"/>
      <c r="AV29" s="564"/>
      <c r="AW29" s="564"/>
      <c r="AX29" s="564" t="s">
        <v>4721</v>
      </c>
      <c r="AY29" s="564"/>
      <c r="AZ29" s="564"/>
      <c r="BA29" s="564"/>
      <c r="BB29" s="564"/>
      <c r="BC29" s="564"/>
      <c r="BD29" s="564"/>
      <c r="BE29" s="564"/>
      <c r="BF29" s="564"/>
      <c r="BG29" s="564"/>
      <c r="BH29" s="564"/>
      <c r="BI29" s="564"/>
      <c r="BJ29" s="564"/>
      <c r="BK29" s="564"/>
      <c r="BL29" s="564"/>
      <c r="BM29" s="564"/>
      <c r="BN29" s="564" t="s">
        <v>4722</v>
      </c>
      <c r="BO29" s="564"/>
      <c r="BP29" s="564"/>
      <c r="BQ29" s="564"/>
      <c r="BR29" s="564"/>
      <c r="BS29" s="564"/>
      <c r="BT29" s="564"/>
      <c r="BU29" s="564"/>
      <c r="BV29" s="564"/>
      <c r="BW29" s="564"/>
      <c r="BX29" s="564"/>
      <c r="BY29" s="564"/>
      <c r="BZ29" s="564"/>
      <c r="CA29" s="564"/>
      <c r="CB29" s="564"/>
      <c r="CC29" s="564"/>
      <c r="CD29" s="564" t="s">
        <v>4723</v>
      </c>
      <c r="CE29" s="564"/>
      <c r="CF29" s="564"/>
      <c r="CG29" s="564"/>
      <c r="CH29" s="564"/>
      <c r="CI29" s="564"/>
      <c r="CJ29" s="564"/>
      <c r="CK29" s="564"/>
      <c r="CL29" s="564"/>
      <c r="CM29" s="564"/>
      <c r="CN29" s="564"/>
      <c r="CO29" s="564"/>
      <c r="CP29" s="564"/>
      <c r="CQ29" s="564"/>
      <c r="CR29" s="564"/>
      <c r="CS29" s="564"/>
      <c r="CT29" s="564" t="s">
        <v>4724</v>
      </c>
      <c r="CU29" s="564"/>
      <c r="CV29" s="564"/>
      <c r="CW29" s="564"/>
      <c r="CX29" s="564"/>
      <c r="CY29" s="564"/>
      <c r="CZ29" s="564"/>
      <c r="DA29" s="564"/>
      <c r="DB29" s="564"/>
      <c r="DC29" s="564"/>
      <c r="DD29" s="564"/>
      <c r="DE29" s="564"/>
      <c r="DF29" s="564"/>
      <c r="DG29" s="564"/>
      <c r="DH29" s="564"/>
      <c r="DI29" s="564"/>
      <c r="DJ29" s="564" t="s">
        <v>4725</v>
      </c>
      <c r="DK29" s="564"/>
      <c r="DL29" s="564"/>
      <c r="DM29" s="564"/>
      <c r="DN29" s="564"/>
      <c r="DO29" s="564"/>
      <c r="DP29" s="564"/>
      <c r="DQ29" s="564"/>
      <c r="DR29" s="564"/>
      <c r="DS29" s="564"/>
      <c r="DT29" s="564"/>
      <c r="DU29" s="564"/>
      <c r="DV29" s="564"/>
      <c r="DW29" s="564"/>
    </row>
    <row r="30" spans="1:127" s="281" customFormat="1" ht="67.5" customHeight="1" x14ac:dyDescent="0.2">
      <c r="B30" s="679" t="str">
        <f ca="1">IF(OFFSET(R30,0,Lang_Order*Lang__R2)="","",OFFSET(R30,0,Lang_Order*Lang__R2))</f>
        <v>Instructions: This resource mapping section allows users to map out various cost components (listed in R2.1) to a budgetary unit, through which such financing will flow. These can included various ministries, departments, or other government or quasi-governmental entities. In some context, private or civil society actors may also play such a role.
Additional names of budgetary units / financing agents relevant to the country can be added in the beige cells below.
After the names of budgetary units / financing agents have been listed, please 'map' each cost item [Column L] to a unit / agent to view the implications of the vaccine financing architecture, which can then be contexualized against pre-existing absoprtion capacity, sustainability, etc. Please do not change the name of the unit / agent once the allocation in Column L has been performed.</v>
      </c>
      <c r="C30" s="679" t="str">
        <f t="shared" ref="C30:J30" ca="1" si="5">IF(OFFSET(S30,0,Lang_Order*Lang__R2)="","",OFFSET(S30,0,Lang_Order*Lang__R2))</f>
        <v/>
      </c>
      <c r="D30" s="679" t="str">
        <f t="shared" ca="1" si="5"/>
        <v/>
      </c>
      <c r="E30" s="679" t="str">
        <f t="shared" ca="1" si="5"/>
        <v/>
      </c>
      <c r="F30" s="679" t="str">
        <f t="shared" ca="1" si="5"/>
        <v/>
      </c>
      <c r="G30" s="679" t="str">
        <f t="shared" ca="1" si="5"/>
        <v/>
      </c>
      <c r="H30" s="679" t="str">
        <f t="shared" ca="1" si="5"/>
        <v/>
      </c>
      <c r="I30" s="679" t="str">
        <f t="shared" ca="1" si="5"/>
        <v/>
      </c>
      <c r="J30" s="679" t="str">
        <f t="shared" ca="1" si="5"/>
        <v/>
      </c>
      <c r="M30" s="459"/>
      <c r="O30" s="567"/>
      <c r="P30" s="564"/>
      <c r="Q30" s="564"/>
      <c r="R30" s="564" t="s">
        <v>4221</v>
      </c>
      <c r="S30" s="564"/>
      <c r="T30" s="564"/>
      <c r="U30" s="564"/>
      <c r="V30" s="564"/>
      <c r="W30" s="564"/>
      <c r="X30" s="564"/>
      <c r="Y30" s="564"/>
      <c r="Z30" s="564"/>
      <c r="AA30" s="564"/>
      <c r="AB30" s="564"/>
      <c r="AC30" s="564"/>
      <c r="AD30" s="564"/>
      <c r="AE30" s="564"/>
      <c r="AF30" s="564"/>
      <c r="AG30" s="564"/>
      <c r="AH30" s="564" t="s">
        <v>4726</v>
      </c>
      <c r="AI30" s="564"/>
      <c r="AJ30" s="564"/>
      <c r="AK30" s="564"/>
      <c r="AL30" s="564"/>
      <c r="AM30" s="564"/>
      <c r="AN30" s="564"/>
      <c r="AO30" s="564"/>
      <c r="AP30" s="564"/>
      <c r="AQ30" s="564"/>
      <c r="AR30" s="564"/>
      <c r="AS30" s="564"/>
      <c r="AT30" s="564"/>
      <c r="AU30" s="564"/>
      <c r="AV30" s="564"/>
      <c r="AW30" s="564"/>
      <c r="AX30" s="564" t="s">
        <v>4727</v>
      </c>
      <c r="AY30" s="564"/>
      <c r="AZ30" s="564"/>
      <c r="BA30" s="564"/>
      <c r="BB30" s="564"/>
      <c r="BC30" s="564"/>
      <c r="BD30" s="564"/>
      <c r="BE30" s="564"/>
      <c r="BF30" s="564"/>
      <c r="BG30" s="564"/>
      <c r="BH30" s="564"/>
      <c r="BI30" s="564"/>
      <c r="BJ30" s="564"/>
      <c r="BK30" s="564"/>
      <c r="BL30" s="564"/>
      <c r="BM30" s="564"/>
      <c r="BN30" s="564" t="s">
        <v>4728</v>
      </c>
      <c r="BO30" s="564"/>
      <c r="BP30" s="564"/>
      <c r="BQ30" s="564"/>
      <c r="BR30" s="564"/>
      <c r="BS30" s="564"/>
      <c r="BT30" s="564"/>
      <c r="BU30" s="564"/>
      <c r="BV30" s="564"/>
      <c r="BW30" s="564"/>
      <c r="BX30" s="564"/>
      <c r="BY30" s="564"/>
      <c r="BZ30" s="564"/>
      <c r="CA30" s="564"/>
      <c r="CB30" s="564"/>
      <c r="CC30" s="564"/>
      <c r="CD30" s="564" t="s">
        <v>4729</v>
      </c>
      <c r="CE30" s="564"/>
      <c r="CF30" s="564"/>
      <c r="CG30" s="564"/>
      <c r="CH30" s="564"/>
      <c r="CI30" s="564"/>
      <c r="CJ30" s="564"/>
      <c r="CK30" s="564"/>
      <c r="CL30" s="564"/>
      <c r="CM30" s="564"/>
      <c r="CN30" s="564"/>
      <c r="CO30" s="564"/>
      <c r="CP30" s="564"/>
      <c r="CQ30" s="564"/>
      <c r="CR30" s="564"/>
      <c r="CS30" s="564"/>
      <c r="CT30" s="564" t="s">
        <v>4730</v>
      </c>
      <c r="CU30" s="564"/>
      <c r="CV30" s="564"/>
      <c r="CW30" s="564"/>
      <c r="CX30" s="564"/>
      <c r="CY30" s="564"/>
      <c r="CZ30" s="564"/>
      <c r="DA30" s="564"/>
      <c r="DB30" s="564"/>
      <c r="DC30" s="564"/>
      <c r="DD30" s="564"/>
      <c r="DE30" s="564"/>
      <c r="DF30" s="564"/>
      <c r="DG30" s="564"/>
      <c r="DH30" s="564"/>
      <c r="DI30" s="564"/>
      <c r="DJ30" s="564" t="s">
        <v>4731</v>
      </c>
      <c r="DK30" s="564"/>
      <c r="DL30" s="564"/>
      <c r="DM30" s="564"/>
      <c r="DN30" s="564"/>
      <c r="DO30" s="564"/>
      <c r="DP30" s="564"/>
      <c r="DQ30" s="564"/>
      <c r="DR30" s="564"/>
      <c r="DS30" s="564"/>
      <c r="DT30" s="564"/>
      <c r="DU30" s="564"/>
      <c r="DV30" s="564"/>
      <c r="DW30" s="564"/>
    </row>
    <row r="31" spans="1:127" s="281" customFormat="1" ht="15" x14ac:dyDescent="0.25">
      <c r="B31" s="47"/>
      <c r="C31" s="30" t="str">
        <f t="shared" ref="C31:I31" ca="1" si="6">IF(OFFSET(S31,0,Lang_Order*Lang__R2)="","",OFFSET(S31,0,Lang_Order*Lang__R2))</f>
        <v>H1 2021</v>
      </c>
      <c r="D31" s="30" t="str">
        <f t="shared" ca="1" si="6"/>
        <v>H2 2021</v>
      </c>
      <c r="E31" s="30" t="str">
        <f t="shared" ca="1" si="6"/>
        <v>H1 2022</v>
      </c>
      <c r="F31" s="30" t="str">
        <f t="shared" ca="1" si="6"/>
        <v>H2 2022</v>
      </c>
      <c r="G31" s="30" t="str">
        <f t="shared" ca="1" si="6"/>
        <v>H1 2023</v>
      </c>
      <c r="H31" s="30" t="str">
        <f t="shared" ca="1" si="6"/>
        <v>H2 2023</v>
      </c>
      <c r="I31" s="30" t="str">
        <f t="shared" ca="1" si="6"/>
        <v>Total</v>
      </c>
      <c r="M31" s="459"/>
      <c r="O31" s="567"/>
      <c r="P31" s="564"/>
      <c r="Q31" s="564"/>
      <c r="R31" s="564"/>
      <c r="S31" s="564" t="s">
        <v>1597</v>
      </c>
      <c r="T31" s="564" t="s">
        <v>1598</v>
      </c>
      <c r="U31" s="564" t="s">
        <v>1599</v>
      </c>
      <c r="V31" s="564" t="s">
        <v>1600</v>
      </c>
      <c r="W31" s="564" t="s">
        <v>1602</v>
      </c>
      <c r="X31" s="564" t="s">
        <v>1601</v>
      </c>
      <c r="Y31" s="564" t="s">
        <v>1605</v>
      </c>
      <c r="Z31" s="564"/>
      <c r="AA31" s="564"/>
      <c r="AB31" s="564"/>
      <c r="AC31" s="564"/>
      <c r="AD31" s="564"/>
      <c r="AE31" s="564"/>
      <c r="AF31" s="564"/>
      <c r="AG31" s="564"/>
      <c r="AH31" s="564"/>
      <c r="AI31" s="564" t="s">
        <v>4663</v>
      </c>
      <c r="AJ31" s="564" t="s">
        <v>4664</v>
      </c>
      <c r="AK31" s="564" t="s">
        <v>4665</v>
      </c>
      <c r="AL31" s="564" t="s">
        <v>4666</v>
      </c>
      <c r="AM31" s="564" t="s">
        <v>4667</v>
      </c>
      <c r="AN31" s="564" t="s">
        <v>4668</v>
      </c>
      <c r="AO31" s="564" t="s">
        <v>1605</v>
      </c>
      <c r="AP31" s="564"/>
      <c r="AQ31" s="564"/>
      <c r="AR31" s="564"/>
      <c r="AS31" s="564"/>
      <c r="AT31" s="564"/>
      <c r="AU31" s="564"/>
      <c r="AV31" s="564"/>
      <c r="AW31" s="564"/>
      <c r="AX31" s="564"/>
      <c r="AY31" s="564" t="s">
        <v>4670</v>
      </c>
      <c r="AZ31" s="564" t="s">
        <v>4671</v>
      </c>
      <c r="BA31" s="564" t="s">
        <v>4672</v>
      </c>
      <c r="BB31" s="564" t="s">
        <v>4673</v>
      </c>
      <c r="BC31" s="564" t="s">
        <v>4674</v>
      </c>
      <c r="BD31" s="564" t="s">
        <v>4675</v>
      </c>
      <c r="BE31" s="564" t="s">
        <v>4676</v>
      </c>
      <c r="BF31" s="564"/>
      <c r="BG31" s="564"/>
      <c r="BH31" s="564"/>
      <c r="BI31" s="564"/>
      <c r="BJ31" s="564"/>
      <c r="BK31" s="564"/>
      <c r="BL31" s="564"/>
      <c r="BM31" s="564"/>
      <c r="BN31" s="564"/>
      <c r="BO31" s="564" t="s">
        <v>1597</v>
      </c>
      <c r="BP31" s="564" t="s">
        <v>1598</v>
      </c>
      <c r="BQ31" s="564" t="s">
        <v>1599</v>
      </c>
      <c r="BR31" s="564" t="s">
        <v>1600</v>
      </c>
      <c r="BS31" s="564" t="s">
        <v>1602</v>
      </c>
      <c r="BT31" s="564" t="s">
        <v>1601</v>
      </c>
      <c r="BU31" s="564" t="s">
        <v>1605</v>
      </c>
      <c r="BV31" s="564"/>
      <c r="BW31" s="564"/>
      <c r="BX31" s="564"/>
      <c r="BY31" s="564"/>
      <c r="BZ31" s="564"/>
      <c r="CA31" s="564"/>
      <c r="CB31" s="564"/>
      <c r="CC31" s="564"/>
      <c r="CD31" s="564"/>
      <c r="CE31" s="564" t="s">
        <v>4663</v>
      </c>
      <c r="CF31" s="564" t="s">
        <v>4664</v>
      </c>
      <c r="CG31" s="564" t="s">
        <v>4665</v>
      </c>
      <c r="CH31" s="564" t="s">
        <v>4666</v>
      </c>
      <c r="CI31" s="564" t="s">
        <v>4667</v>
      </c>
      <c r="CJ31" s="564" t="s">
        <v>4668</v>
      </c>
      <c r="CK31" s="564" t="s">
        <v>1605</v>
      </c>
      <c r="CL31" s="564"/>
      <c r="CM31" s="564"/>
      <c r="CN31" s="564"/>
      <c r="CO31" s="564"/>
      <c r="CP31" s="564"/>
      <c r="CQ31" s="564"/>
      <c r="CR31" s="564"/>
      <c r="CS31" s="564"/>
      <c r="CT31" s="564"/>
      <c r="CU31" s="564" t="s">
        <v>4680</v>
      </c>
      <c r="CV31" s="564" t="s">
        <v>4681</v>
      </c>
      <c r="CW31" s="564" t="s">
        <v>4682</v>
      </c>
      <c r="CX31" s="564" t="s">
        <v>4683</v>
      </c>
      <c r="CY31" s="564" t="s">
        <v>4684</v>
      </c>
      <c r="CZ31" s="564" t="s">
        <v>4685</v>
      </c>
      <c r="DA31" s="564" t="s">
        <v>4686</v>
      </c>
      <c r="DB31" s="564"/>
      <c r="DC31" s="564"/>
      <c r="DD31" s="564"/>
      <c r="DE31" s="564"/>
      <c r="DF31" s="564"/>
      <c r="DG31" s="564"/>
      <c r="DH31" s="564"/>
      <c r="DI31" s="564"/>
      <c r="DJ31" s="564"/>
      <c r="DK31" s="564" t="s">
        <v>4688</v>
      </c>
      <c r="DL31" s="564" t="s">
        <v>4689</v>
      </c>
      <c r="DM31" s="564" t="s">
        <v>4690</v>
      </c>
      <c r="DN31" s="564" t="s">
        <v>4691</v>
      </c>
      <c r="DO31" s="564" t="s">
        <v>4692</v>
      </c>
      <c r="DP31" s="564" t="s">
        <v>4693</v>
      </c>
      <c r="DQ31" s="564" t="s">
        <v>4694</v>
      </c>
      <c r="DR31" s="564"/>
      <c r="DS31" s="564"/>
      <c r="DT31" s="564"/>
      <c r="DU31" s="564"/>
      <c r="DV31" s="564"/>
      <c r="DW31" s="564"/>
    </row>
    <row r="32" spans="1:127" s="281" customFormat="1" x14ac:dyDescent="0.2">
      <c r="A32" s="350">
        <v>2</v>
      </c>
      <c r="B32" s="374" t="s">
        <v>3188</v>
      </c>
      <c r="C32" s="37" t="e">
        <f t="shared" ref="C32:H41" ca="1" si="7">SUMIF($L$76:$M$254,$B32,C$76:C$254)</f>
        <v>#N/A</v>
      </c>
      <c r="D32" s="300" t="e">
        <f t="shared" ca="1" si="7"/>
        <v>#N/A</v>
      </c>
      <c r="E32" s="300" t="e">
        <f t="shared" ca="1" si="7"/>
        <v>#N/A</v>
      </c>
      <c r="F32" s="300" t="e">
        <f t="shared" ca="1" si="7"/>
        <v>#N/A</v>
      </c>
      <c r="G32" s="300" t="e">
        <f t="shared" ca="1" si="7"/>
        <v>#N/A</v>
      </c>
      <c r="H32" s="300" t="e">
        <f t="shared" ca="1" si="7"/>
        <v>#N/A</v>
      </c>
      <c r="I32" s="152" t="e">
        <f t="shared" ref="I32:I41" ca="1" si="8">SUM(C32:H32)</f>
        <v>#N/A</v>
      </c>
      <c r="M32" s="459"/>
      <c r="O32" s="587"/>
      <c r="P32" s="564"/>
      <c r="Q32" s="564"/>
      <c r="R32" s="564"/>
      <c r="S32" s="564"/>
      <c r="T32" s="564"/>
      <c r="U32" s="564"/>
      <c r="V32" s="564"/>
      <c r="W32" s="564"/>
      <c r="X32" s="564"/>
      <c r="Y32" s="564"/>
      <c r="Z32" s="564"/>
      <c r="AA32" s="564"/>
      <c r="AB32" s="564"/>
      <c r="AC32" s="564"/>
      <c r="AD32" s="564"/>
      <c r="AE32" s="564"/>
      <c r="AF32" s="564"/>
      <c r="AG32" s="564"/>
      <c r="AH32" s="564"/>
      <c r="AI32" s="564"/>
      <c r="AJ32" s="564"/>
      <c r="AK32" s="564"/>
      <c r="AL32" s="564"/>
      <c r="AM32" s="564"/>
      <c r="AN32" s="564"/>
      <c r="AO32" s="564"/>
      <c r="AP32" s="564"/>
      <c r="AQ32" s="564"/>
      <c r="AR32" s="564"/>
      <c r="AS32" s="564"/>
      <c r="AT32" s="564"/>
      <c r="AU32" s="564"/>
      <c r="AV32" s="564"/>
      <c r="AW32" s="564"/>
      <c r="AX32" s="564"/>
      <c r="AY32" s="564"/>
      <c r="AZ32" s="564"/>
      <c r="BA32" s="564"/>
      <c r="BB32" s="564"/>
      <c r="BC32" s="564"/>
      <c r="BD32" s="564"/>
      <c r="BE32" s="564"/>
      <c r="BF32" s="564"/>
      <c r="BG32" s="564"/>
      <c r="BH32" s="564"/>
      <c r="BI32" s="564"/>
      <c r="BJ32" s="564"/>
      <c r="BK32" s="564"/>
      <c r="BL32" s="564"/>
      <c r="BM32" s="564"/>
      <c r="BN32" s="564"/>
      <c r="BO32" s="564"/>
      <c r="BP32" s="564"/>
      <c r="BQ32" s="564"/>
      <c r="BR32" s="564"/>
      <c r="BS32" s="564"/>
      <c r="BT32" s="564"/>
      <c r="BU32" s="564"/>
      <c r="BV32" s="564"/>
      <c r="BW32" s="564"/>
      <c r="BX32" s="564"/>
      <c r="BY32" s="564"/>
      <c r="BZ32" s="564"/>
      <c r="CA32" s="564"/>
      <c r="CB32" s="564"/>
      <c r="CC32" s="564"/>
      <c r="CD32" s="564"/>
      <c r="CE32" s="564"/>
      <c r="CF32" s="564"/>
      <c r="CG32" s="564"/>
      <c r="CH32" s="564"/>
      <c r="CI32" s="564"/>
      <c r="CJ32" s="564"/>
      <c r="CK32" s="564"/>
      <c r="CL32" s="564"/>
      <c r="CM32" s="564"/>
      <c r="CN32" s="564"/>
      <c r="CO32" s="564"/>
      <c r="CP32" s="564"/>
      <c r="CQ32" s="564"/>
      <c r="CR32" s="564"/>
      <c r="CS32" s="564"/>
      <c r="CT32" s="564"/>
      <c r="CU32" s="564"/>
      <c r="CV32" s="564"/>
      <c r="CW32" s="564"/>
      <c r="CX32" s="564"/>
      <c r="CY32" s="564"/>
      <c r="CZ32" s="564"/>
      <c r="DA32" s="564"/>
      <c r="DB32" s="564"/>
      <c r="DC32" s="564"/>
      <c r="DD32" s="564"/>
      <c r="DE32" s="564"/>
      <c r="DF32" s="564"/>
      <c r="DG32" s="564"/>
      <c r="DH32" s="564"/>
      <c r="DI32" s="564"/>
      <c r="DJ32" s="564"/>
      <c r="DK32" s="564"/>
      <c r="DL32" s="564"/>
      <c r="DM32" s="564"/>
      <c r="DN32" s="564"/>
      <c r="DO32" s="564"/>
      <c r="DP32" s="564"/>
      <c r="DQ32" s="564"/>
      <c r="DR32" s="564"/>
      <c r="DS32" s="564"/>
      <c r="DT32" s="564"/>
      <c r="DU32" s="564"/>
      <c r="DV32" s="564"/>
      <c r="DW32" s="564"/>
    </row>
    <row r="33" spans="1:127" s="281" customFormat="1" x14ac:dyDescent="0.2">
      <c r="A33" s="350">
        <v>2</v>
      </c>
      <c r="B33" s="374" t="s">
        <v>14141</v>
      </c>
      <c r="C33" s="300">
        <f t="shared" ca="1" si="7"/>
        <v>0</v>
      </c>
      <c r="D33" s="300">
        <f t="shared" ca="1" si="7"/>
        <v>0</v>
      </c>
      <c r="E33" s="300">
        <f t="shared" ca="1" si="7"/>
        <v>0</v>
      </c>
      <c r="F33" s="300">
        <f t="shared" ca="1" si="7"/>
        <v>0</v>
      </c>
      <c r="G33" s="300">
        <f t="shared" ca="1" si="7"/>
        <v>0</v>
      </c>
      <c r="H33" s="300">
        <f t="shared" ca="1" si="7"/>
        <v>0</v>
      </c>
      <c r="I33" s="152">
        <f t="shared" ca="1" si="8"/>
        <v>0</v>
      </c>
      <c r="M33" s="459"/>
      <c r="O33" s="587"/>
      <c r="P33" s="564"/>
      <c r="Q33" s="564"/>
      <c r="R33" s="564"/>
      <c r="S33" s="564"/>
      <c r="T33" s="564"/>
      <c r="U33" s="564"/>
      <c r="V33" s="564"/>
      <c r="W33" s="564"/>
      <c r="X33" s="564"/>
      <c r="Y33" s="564"/>
      <c r="Z33" s="564"/>
      <c r="AA33" s="564"/>
      <c r="AB33" s="564"/>
      <c r="AC33" s="564"/>
      <c r="AD33" s="564"/>
      <c r="AE33" s="564"/>
      <c r="AF33" s="564"/>
      <c r="AG33" s="564"/>
      <c r="AH33" s="564"/>
      <c r="AI33" s="564"/>
      <c r="AJ33" s="564"/>
      <c r="AK33" s="564"/>
      <c r="AL33" s="564"/>
      <c r="AM33" s="564"/>
      <c r="AN33" s="564"/>
      <c r="AO33" s="564"/>
      <c r="AP33" s="564"/>
      <c r="AQ33" s="564"/>
      <c r="AR33" s="564"/>
      <c r="AS33" s="564"/>
      <c r="AT33" s="564"/>
      <c r="AU33" s="564"/>
      <c r="AV33" s="564"/>
      <c r="AW33" s="564"/>
      <c r="AX33" s="564"/>
      <c r="AY33" s="564"/>
      <c r="AZ33" s="564"/>
      <c r="BA33" s="564"/>
      <c r="BB33" s="564"/>
      <c r="BC33" s="564"/>
      <c r="BD33" s="564"/>
      <c r="BE33" s="564"/>
      <c r="BF33" s="564"/>
      <c r="BG33" s="564"/>
      <c r="BH33" s="564"/>
      <c r="BI33" s="564"/>
      <c r="BJ33" s="564"/>
      <c r="BK33" s="564"/>
      <c r="BL33" s="564"/>
      <c r="BM33" s="564"/>
      <c r="BN33" s="564"/>
      <c r="BO33" s="564"/>
      <c r="BP33" s="564"/>
      <c r="BQ33" s="564"/>
      <c r="BR33" s="564"/>
      <c r="BS33" s="564"/>
      <c r="BT33" s="564"/>
      <c r="BU33" s="564"/>
      <c r="BV33" s="564"/>
      <c r="BW33" s="564"/>
      <c r="BX33" s="564"/>
      <c r="BY33" s="564"/>
      <c r="BZ33" s="564"/>
      <c r="CA33" s="564"/>
      <c r="CB33" s="564"/>
      <c r="CC33" s="564"/>
      <c r="CD33" s="564"/>
      <c r="CE33" s="564"/>
      <c r="CF33" s="564"/>
      <c r="CG33" s="564"/>
      <c r="CH33" s="564"/>
      <c r="CI33" s="564"/>
      <c r="CJ33" s="564"/>
      <c r="CK33" s="564"/>
      <c r="CL33" s="564"/>
      <c r="CM33" s="564"/>
      <c r="CN33" s="564"/>
      <c r="CO33" s="564"/>
      <c r="CP33" s="564"/>
      <c r="CQ33" s="564"/>
      <c r="CR33" s="564"/>
      <c r="CS33" s="564"/>
      <c r="CT33" s="564"/>
      <c r="CU33" s="564"/>
      <c r="CV33" s="564"/>
      <c r="CW33" s="564"/>
      <c r="CX33" s="564"/>
      <c r="CY33" s="564"/>
      <c r="CZ33" s="564"/>
      <c r="DA33" s="564"/>
      <c r="DB33" s="564"/>
      <c r="DC33" s="564"/>
      <c r="DD33" s="564"/>
      <c r="DE33" s="564"/>
      <c r="DF33" s="564"/>
      <c r="DG33" s="564"/>
      <c r="DH33" s="564"/>
      <c r="DI33" s="564"/>
      <c r="DJ33" s="564"/>
      <c r="DK33" s="564"/>
      <c r="DL33" s="564"/>
      <c r="DM33" s="564"/>
      <c r="DN33" s="564"/>
      <c r="DO33" s="564"/>
      <c r="DP33" s="564"/>
      <c r="DQ33" s="564"/>
      <c r="DR33" s="564"/>
      <c r="DS33" s="564"/>
      <c r="DT33" s="564"/>
      <c r="DU33" s="564"/>
      <c r="DV33" s="564"/>
      <c r="DW33" s="564"/>
    </row>
    <row r="34" spans="1:127" s="281" customFormat="1" x14ac:dyDescent="0.2">
      <c r="A34" s="350">
        <v>2</v>
      </c>
      <c r="B34" s="400" t="s">
        <v>14142</v>
      </c>
      <c r="C34" s="300">
        <f t="shared" ca="1" si="7"/>
        <v>0</v>
      </c>
      <c r="D34" s="300">
        <f t="shared" ca="1" si="7"/>
        <v>0</v>
      </c>
      <c r="E34" s="300">
        <f t="shared" ca="1" si="7"/>
        <v>0</v>
      </c>
      <c r="F34" s="300">
        <f t="shared" ca="1" si="7"/>
        <v>0</v>
      </c>
      <c r="G34" s="300">
        <f t="shared" ca="1" si="7"/>
        <v>0</v>
      </c>
      <c r="H34" s="300">
        <f t="shared" ca="1" si="7"/>
        <v>0</v>
      </c>
      <c r="I34" s="152">
        <f t="shared" ca="1" si="8"/>
        <v>0</v>
      </c>
      <c r="M34" s="459"/>
      <c r="O34" s="587"/>
      <c r="P34" s="564"/>
      <c r="Q34" s="564"/>
      <c r="R34" s="564"/>
      <c r="S34" s="564"/>
      <c r="T34" s="564"/>
      <c r="U34" s="564"/>
      <c r="V34" s="564"/>
      <c r="W34" s="564"/>
      <c r="X34" s="564"/>
      <c r="Y34" s="564"/>
      <c r="Z34" s="564"/>
      <c r="AA34" s="564"/>
      <c r="AB34" s="564"/>
      <c r="AC34" s="564"/>
      <c r="AD34" s="564"/>
      <c r="AE34" s="564"/>
      <c r="AF34" s="564"/>
      <c r="AG34" s="564"/>
      <c r="AH34" s="564"/>
      <c r="AI34" s="564"/>
      <c r="AJ34" s="564"/>
      <c r="AK34" s="564"/>
      <c r="AL34" s="564"/>
      <c r="AM34" s="564"/>
      <c r="AN34" s="564"/>
      <c r="AO34" s="564"/>
      <c r="AP34" s="564"/>
      <c r="AQ34" s="564"/>
      <c r="AR34" s="564"/>
      <c r="AS34" s="564"/>
      <c r="AT34" s="564"/>
      <c r="AU34" s="564"/>
      <c r="AV34" s="564"/>
      <c r="AW34" s="564"/>
      <c r="AX34" s="564"/>
      <c r="AY34" s="564"/>
      <c r="AZ34" s="564"/>
      <c r="BA34" s="564"/>
      <c r="BB34" s="564"/>
      <c r="BC34" s="564"/>
      <c r="BD34" s="564"/>
      <c r="BE34" s="564"/>
      <c r="BF34" s="564"/>
      <c r="BG34" s="564"/>
      <c r="BH34" s="564"/>
      <c r="BI34" s="564"/>
      <c r="BJ34" s="564"/>
      <c r="BK34" s="564"/>
      <c r="BL34" s="564"/>
      <c r="BM34" s="564"/>
      <c r="BN34" s="564"/>
      <c r="BO34" s="564"/>
      <c r="BP34" s="564"/>
      <c r="BQ34" s="564"/>
      <c r="BR34" s="564"/>
      <c r="BS34" s="564"/>
      <c r="BT34" s="564"/>
      <c r="BU34" s="564"/>
      <c r="BV34" s="564"/>
      <c r="BW34" s="564"/>
      <c r="BX34" s="564"/>
      <c r="BY34" s="564"/>
      <c r="BZ34" s="564"/>
      <c r="CA34" s="564"/>
      <c r="CB34" s="564"/>
      <c r="CC34" s="564"/>
      <c r="CD34" s="564"/>
      <c r="CE34" s="564"/>
      <c r="CF34" s="564"/>
      <c r="CG34" s="564"/>
      <c r="CH34" s="564"/>
      <c r="CI34" s="564"/>
      <c r="CJ34" s="564"/>
      <c r="CK34" s="564"/>
      <c r="CL34" s="564"/>
      <c r="CM34" s="564"/>
      <c r="CN34" s="564"/>
      <c r="CO34" s="564"/>
      <c r="CP34" s="564"/>
      <c r="CQ34" s="564"/>
      <c r="CR34" s="564"/>
      <c r="CS34" s="564"/>
      <c r="CT34" s="564"/>
      <c r="CU34" s="564"/>
      <c r="CV34" s="564"/>
      <c r="CW34" s="564"/>
      <c r="CX34" s="564"/>
      <c r="CY34" s="564"/>
      <c r="CZ34" s="564"/>
      <c r="DA34" s="564"/>
      <c r="DB34" s="564"/>
      <c r="DC34" s="564"/>
      <c r="DD34" s="564"/>
      <c r="DE34" s="564"/>
      <c r="DF34" s="564"/>
      <c r="DG34" s="564"/>
      <c r="DH34" s="564"/>
      <c r="DI34" s="564"/>
      <c r="DJ34" s="564"/>
      <c r="DK34" s="564"/>
      <c r="DL34" s="564"/>
      <c r="DM34" s="564"/>
      <c r="DN34" s="564"/>
      <c r="DO34" s="564"/>
      <c r="DP34" s="564"/>
      <c r="DQ34" s="564"/>
      <c r="DR34" s="564"/>
      <c r="DS34" s="564"/>
      <c r="DT34" s="564"/>
      <c r="DU34" s="564"/>
      <c r="DV34" s="564"/>
      <c r="DW34" s="564"/>
    </row>
    <row r="35" spans="1:127" s="281" customFormat="1" x14ac:dyDescent="0.2">
      <c r="A35" s="350">
        <v>2</v>
      </c>
      <c r="B35" s="400" t="s">
        <v>14143</v>
      </c>
      <c r="C35" s="300">
        <f t="shared" ca="1" si="7"/>
        <v>0</v>
      </c>
      <c r="D35" s="300">
        <f t="shared" ca="1" si="7"/>
        <v>0</v>
      </c>
      <c r="E35" s="300">
        <f t="shared" ca="1" si="7"/>
        <v>0</v>
      </c>
      <c r="F35" s="300">
        <f t="shared" ca="1" si="7"/>
        <v>0</v>
      </c>
      <c r="G35" s="300">
        <f t="shared" ca="1" si="7"/>
        <v>0</v>
      </c>
      <c r="H35" s="300">
        <f t="shared" ca="1" si="7"/>
        <v>0</v>
      </c>
      <c r="I35" s="152">
        <f t="shared" ca="1" si="8"/>
        <v>0</v>
      </c>
      <c r="M35" s="459"/>
      <c r="O35" s="587"/>
      <c r="P35" s="564"/>
      <c r="Q35" s="564"/>
      <c r="R35" s="564"/>
      <c r="S35" s="564"/>
      <c r="T35" s="564"/>
      <c r="U35" s="564"/>
      <c r="V35" s="564"/>
      <c r="W35" s="564"/>
      <c r="X35" s="564"/>
      <c r="Y35" s="564"/>
      <c r="Z35" s="564"/>
      <c r="AA35" s="564"/>
      <c r="AB35" s="564"/>
      <c r="AC35" s="564"/>
      <c r="AD35" s="564"/>
      <c r="AE35" s="564"/>
      <c r="AF35" s="564"/>
      <c r="AG35" s="564"/>
      <c r="AH35" s="564"/>
      <c r="AI35" s="564"/>
      <c r="AJ35" s="564"/>
      <c r="AK35" s="564"/>
      <c r="AL35" s="564"/>
      <c r="AM35" s="564"/>
      <c r="AN35" s="564"/>
      <c r="AO35" s="564"/>
      <c r="AP35" s="564"/>
      <c r="AQ35" s="564"/>
      <c r="AR35" s="564"/>
      <c r="AS35" s="564"/>
      <c r="AT35" s="564"/>
      <c r="AU35" s="564"/>
      <c r="AV35" s="564"/>
      <c r="AW35" s="564"/>
      <c r="AX35" s="564"/>
      <c r="AY35" s="564"/>
      <c r="AZ35" s="564"/>
      <c r="BA35" s="564"/>
      <c r="BB35" s="564"/>
      <c r="BC35" s="564"/>
      <c r="BD35" s="564"/>
      <c r="BE35" s="564"/>
      <c r="BF35" s="564"/>
      <c r="BG35" s="564"/>
      <c r="BH35" s="564"/>
      <c r="BI35" s="564"/>
      <c r="BJ35" s="564"/>
      <c r="BK35" s="564"/>
      <c r="BL35" s="564"/>
      <c r="BM35" s="564"/>
      <c r="BN35" s="564"/>
      <c r="BO35" s="564"/>
      <c r="BP35" s="564"/>
      <c r="BQ35" s="564"/>
      <c r="BR35" s="564"/>
      <c r="BS35" s="564"/>
      <c r="BT35" s="564"/>
      <c r="BU35" s="564"/>
      <c r="BV35" s="564"/>
      <c r="BW35" s="564"/>
      <c r="BX35" s="564"/>
      <c r="BY35" s="564"/>
      <c r="BZ35" s="564"/>
      <c r="CA35" s="564"/>
      <c r="CB35" s="564"/>
      <c r="CC35" s="564"/>
      <c r="CD35" s="564"/>
      <c r="CE35" s="564"/>
      <c r="CF35" s="564"/>
      <c r="CG35" s="564"/>
      <c r="CH35" s="564"/>
      <c r="CI35" s="564"/>
      <c r="CJ35" s="564"/>
      <c r="CK35" s="564"/>
      <c r="CL35" s="564"/>
      <c r="CM35" s="564"/>
      <c r="CN35" s="564"/>
      <c r="CO35" s="564"/>
      <c r="CP35" s="564"/>
      <c r="CQ35" s="564"/>
      <c r="CR35" s="564"/>
      <c r="CS35" s="564"/>
      <c r="CT35" s="564"/>
      <c r="CU35" s="564"/>
      <c r="CV35" s="564"/>
      <c r="CW35" s="564"/>
      <c r="CX35" s="564"/>
      <c r="CY35" s="564"/>
      <c r="CZ35" s="564"/>
      <c r="DA35" s="564"/>
      <c r="DB35" s="564"/>
      <c r="DC35" s="564"/>
      <c r="DD35" s="564"/>
      <c r="DE35" s="564"/>
      <c r="DF35" s="564"/>
      <c r="DG35" s="564"/>
      <c r="DH35" s="564"/>
      <c r="DI35" s="564"/>
      <c r="DJ35" s="564"/>
      <c r="DK35" s="564"/>
      <c r="DL35" s="564"/>
      <c r="DM35" s="564"/>
      <c r="DN35" s="564"/>
      <c r="DO35" s="564"/>
      <c r="DP35" s="564"/>
      <c r="DQ35" s="564"/>
      <c r="DR35" s="564"/>
      <c r="DS35" s="564"/>
      <c r="DT35" s="564"/>
      <c r="DU35" s="564"/>
      <c r="DV35" s="564"/>
      <c r="DW35" s="564"/>
    </row>
    <row r="36" spans="1:127" s="281" customFormat="1" x14ac:dyDescent="0.2">
      <c r="A36" s="350">
        <v>2</v>
      </c>
      <c r="B36" s="400" t="s">
        <v>14144</v>
      </c>
      <c r="C36" s="300">
        <f t="shared" ca="1" si="7"/>
        <v>0</v>
      </c>
      <c r="D36" s="300">
        <f t="shared" ca="1" si="7"/>
        <v>0</v>
      </c>
      <c r="E36" s="300">
        <f t="shared" ca="1" si="7"/>
        <v>0</v>
      </c>
      <c r="F36" s="300">
        <f t="shared" ca="1" si="7"/>
        <v>0</v>
      </c>
      <c r="G36" s="300">
        <f t="shared" ca="1" si="7"/>
        <v>0</v>
      </c>
      <c r="H36" s="300">
        <f t="shared" ca="1" si="7"/>
        <v>0</v>
      </c>
      <c r="I36" s="152">
        <f t="shared" ca="1" si="8"/>
        <v>0</v>
      </c>
      <c r="M36" s="459"/>
      <c r="O36" s="587"/>
      <c r="P36" s="564"/>
      <c r="Q36" s="564"/>
      <c r="R36" s="564"/>
      <c r="S36" s="564"/>
      <c r="T36" s="564"/>
      <c r="U36" s="564"/>
      <c r="V36" s="564"/>
      <c r="W36" s="564"/>
      <c r="X36" s="564"/>
      <c r="Y36" s="564"/>
      <c r="Z36" s="564"/>
      <c r="AA36" s="564"/>
      <c r="AB36" s="564"/>
      <c r="AC36" s="564"/>
      <c r="AD36" s="564"/>
      <c r="AE36" s="564"/>
      <c r="AF36" s="564"/>
      <c r="AG36" s="564"/>
      <c r="AH36" s="564"/>
      <c r="AI36" s="564"/>
      <c r="AJ36" s="564"/>
      <c r="AK36" s="564"/>
      <c r="AL36" s="564"/>
      <c r="AM36" s="564"/>
      <c r="AN36" s="564"/>
      <c r="AO36" s="564"/>
      <c r="AP36" s="564"/>
      <c r="AQ36" s="564"/>
      <c r="AR36" s="564"/>
      <c r="AS36" s="564"/>
      <c r="AT36" s="564"/>
      <c r="AU36" s="564"/>
      <c r="AV36" s="564"/>
      <c r="AW36" s="564"/>
      <c r="AX36" s="564"/>
      <c r="AY36" s="564"/>
      <c r="AZ36" s="564"/>
      <c r="BA36" s="564"/>
      <c r="BB36" s="564"/>
      <c r="BC36" s="564"/>
      <c r="BD36" s="564"/>
      <c r="BE36" s="564"/>
      <c r="BF36" s="564"/>
      <c r="BG36" s="564"/>
      <c r="BH36" s="564"/>
      <c r="BI36" s="564"/>
      <c r="BJ36" s="564"/>
      <c r="BK36" s="564"/>
      <c r="BL36" s="564"/>
      <c r="BM36" s="564"/>
      <c r="BN36" s="564"/>
      <c r="BO36" s="564"/>
      <c r="BP36" s="564"/>
      <c r="BQ36" s="564"/>
      <c r="BR36" s="564"/>
      <c r="BS36" s="564"/>
      <c r="BT36" s="564"/>
      <c r="BU36" s="564"/>
      <c r="BV36" s="564"/>
      <c r="BW36" s="564"/>
      <c r="BX36" s="564"/>
      <c r="BY36" s="564"/>
      <c r="BZ36" s="564"/>
      <c r="CA36" s="564"/>
      <c r="CB36" s="564"/>
      <c r="CC36" s="564"/>
      <c r="CD36" s="564"/>
      <c r="CE36" s="564"/>
      <c r="CF36" s="564"/>
      <c r="CG36" s="564"/>
      <c r="CH36" s="564"/>
      <c r="CI36" s="564"/>
      <c r="CJ36" s="564"/>
      <c r="CK36" s="564"/>
      <c r="CL36" s="564"/>
      <c r="CM36" s="564"/>
      <c r="CN36" s="564"/>
      <c r="CO36" s="564"/>
      <c r="CP36" s="564"/>
      <c r="CQ36" s="564"/>
      <c r="CR36" s="564"/>
      <c r="CS36" s="564"/>
      <c r="CT36" s="564"/>
      <c r="CU36" s="564"/>
      <c r="CV36" s="564"/>
      <c r="CW36" s="564"/>
      <c r="CX36" s="564"/>
      <c r="CY36" s="564"/>
      <c r="CZ36" s="564"/>
      <c r="DA36" s="564"/>
      <c r="DB36" s="564"/>
      <c r="DC36" s="564"/>
      <c r="DD36" s="564"/>
      <c r="DE36" s="564"/>
      <c r="DF36" s="564"/>
      <c r="DG36" s="564"/>
      <c r="DH36" s="564"/>
      <c r="DI36" s="564"/>
      <c r="DJ36" s="564"/>
      <c r="DK36" s="564"/>
      <c r="DL36" s="564"/>
      <c r="DM36" s="564"/>
      <c r="DN36" s="564"/>
      <c r="DO36" s="564"/>
      <c r="DP36" s="564"/>
      <c r="DQ36" s="564"/>
      <c r="DR36" s="564"/>
      <c r="DS36" s="564"/>
      <c r="DT36" s="564"/>
      <c r="DU36" s="564"/>
      <c r="DV36" s="564"/>
      <c r="DW36" s="564"/>
    </row>
    <row r="37" spans="1:127" s="281" customFormat="1" x14ac:dyDescent="0.2">
      <c r="A37" s="350">
        <v>2</v>
      </c>
      <c r="B37" s="400" t="s">
        <v>14145</v>
      </c>
      <c r="C37" s="300">
        <f t="shared" ca="1" si="7"/>
        <v>0</v>
      </c>
      <c r="D37" s="300">
        <f t="shared" ca="1" si="7"/>
        <v>0</v>
      </c>
      <c r="E37" s="300">
        <f t="shared" ca="1" si="7"/>
        <v>0</v>
      </c>
      <c r="F37" s="300">
        <f t="shared" ca="1" si="7"/>
        <v>0</v>
      </c>
      <c r="G37" s="300">
        <f t="shared" ca="1" si="7"/>
        <v>0</v>
      </c>
      <c r="H37" s="300">
        <f t="shared" ca="1" si="7"/>
        <v>0</v>
      </c>
      <c r="I37" s="152">
        <f t="shared" ca="1" si="8"/>
        <v>0</v>
      </c>
      <c r="M37" s="459"/>
      <c r="O37" s="587"/>
      <c r="P37" s="564"/>
      <c r="Q37" s="564"/>
      <c r="R37" s="564"/>
      <c r="S37" s="564"/>
      <c r="T37" s="564"/>
      <c r="U37" s="564"/>
      <c r="V37" s="564"/>
      <c r="W37" s="564"/>
      <c r="X37" s="564"/>
      <c r="Y37" s="564"/>
      <c r="Z37" s="564"/>
      <c r="AA37" s="564"/>
      <c r="AB37" s="564"/>
      <c r="AC37" s="564"/>
      <c r="AD37" s="564"/>
      <c r="AE37" s="564"/>
      <c r="AF37" s="564"/>
      <c r="AG37" s="564"/>
      <c r="AH37" s="564"/>
      <c r="AI37" s="564"/>
      <c r="AJ37" s="564"/>
      <c r="AK37" s="564"/>
      <c r="AL37" s="564"/>
      <c r="AM37" s="564"/>
      <c r="AN37" s="564"/>
      <c r="AO37" s="564"/>
      <c r="AP37" s="564"/>
      <c r="AQ37" s="564"/>
      <c r="AR37" s="564"/>
      <c r="AS37" s="564"/>
      <c r="AT37" s="564"/>
      <c r="AU37" s="564"/>
      <c r="AV37" s="564"/>
      <c r="AW37" s="564"/>
      <c r="AX37" s="564"/>
      <c r="AY37" s="564"/>
      <c r="AZ37" s="564"/>
      <c r="BA37" s="564"/>
      <c r="BB37" s="564"/>
      <c r="BC37" s="564"/>
      <c r="BD37" s="564"/>
      <c r="BE37" s="564"/>
      <c r="BF37" s="564"/>
      <c r="BG37" s="564"/>
      <c r="BH37" s="564"/>
      <c r="BI37" s="564"/>
      <c r="BJ37" s="564"/>
      <c r="BK37" s="564"/>
      <c r="BL37" s="564"/>
      <c r="BM37" s="564"/>
      <c r="BN37" s="564"/>
      <c r="BO37" s="564"/>
      <c r="BP37" s="564"/>
      <c r="BQ37" s="564"/>
      <c r="BR37" s="564"/>
      <c r="BS37" s="564"/>
      <c r="BT37" s="564"/>
      <c r="BU37" s="564"/>
      <c r="BV37" s="564"/>
      <c r="BW37" s="564"/>
      <c r="BX37" s="564"/>
      <c r="BY37" s="564"/>
      <c r="BZ37" s="564"/>
      <c r="CA37" s="564"/>
      <c r="CB37" s="564"/>
      <c r="CC37" s="564"/>
      <c r="CD37" s="564"/>
      <c r="CE37" s="564"/>
      <c r="CF37" s="564"/>
      <c r="CG37" s="564"/>
      <c r="CH37" s="564"/>
      <c r="CI37" s="564"/>
      <c r="CJ37" s="564"/>
      <c r="CK37" s="564"/>
      <c r="CL37" s="564"/>
      <c r="CM37" s="564"/>
      <c r="CN37" s="564"/>
      <c r="CO37" s="564"/>
      <c r="CP37" s="564"/>
      <c r="CQ37" s="564"/>
      <c r="CR37" s="564"/>
      <c r="CS37" s="564"/>
      <c r="CT37" s="564"/>
      <c r="CU37" s="564"/>
      <c r="CV37" s="564"/>
      <c r="CW37" s="564"/>
      <c r="CX37" s="564"/>
      <c r="CY37" s="564"/>
      <c r="CZ37" s="564"/>
      <c r="DA37" s="564"/>
      <c r="DB37" s="564"/>
      <c r="DC37" s="564"/>
      <c r="DD37" s="564"/>
      <c r="DE37" s="564"/>
      <c r="DF37" s="564"/>
      <c r="DG37" s="564"/>
      <c r="DH37" s="564"/>
      <c r="DI37" s="564"/>
      <c r="DJ37" s="564"/>
      <c r="DK37" s="564"/>
      <c r="DL37" s="564"/>
      <c r="DM37" s="564"/>
      <c r="DN37" s="564"/>
      <c r="DO37" s="564"/>
      <c r="DP37" s="564"/>
      <c r="DQ37" s="564"/>
      <c r="DR37" s="564"/>
      <c r="DS37" s="564"/>
      <c r="DT37" s="564"/>
      <c r="DU37" s="564"/>
      <c r="DV37" s="564"/>
      <c r="DW37" s="564"/>
    </row>
    <row r="38" spans="1:127" s="281" customFormat="1" x14ac:dyDescent="0.2">
      <c r="A38" s="350">
        <v>2</v>
      </c>
      <c r="B38" s="400" t="s">
        <v>14146</v>
      </c>
      <c r="C38" s="300">
        <f t="shared" ca="1" si="7"/>
        <v>0</v>
      </c>
      <c r="D38" s="300">
        <f t="shared" ca="1" si="7"/>
        <v>0</v>
      </c>
      <c r="E38" s="300">
        <f t="shared" ca="1" si="7"/>
        <v>0</v>
      </c>
      <c r="F38" s="300">
        <f t="shared" ca="1" si="7"/>
        <v>0</v>
      </c>
      <c r="G38" s="300">
        <f t="shared" ca="1" si="7"/>
        <v>0</v>
      </c>
      <c r="H38" s="300">
        <f t="shared" ca="1" si="7"/>
        <v>0</v>
      </c>
      <c r="I38" s="152">
        <f t="shared" ca="1" si="8"/>
        <v>0</v>
      </c>
      <c r="M38" s="459"/>
      <c r="O38" s="587"/>
      <c r="P38" s="564"/>
      <c r="Q38" s="564"/>
      <c r="R38" s="564"/>
      <c r="S38" s="564"/>
      <c r="T38" s="564"/>
      <c r="U38" s="564"/>
      <c r="V38" s="564"/>
      <c r="W38" s="564"/>
      <c r="X38" s="564"/>
      <c r="Y38" s="564"/>
      <c r="Z38" s="564"/>
      <c r="AA38" s="564"/>
      <c r="AB38" s="564"/>
      <c r="AC38" s="564"/>
      <c r="AD38" s="564"/>
      <c r="AE38" s="564"/>
      <c r="AF38" s="564"/>
      <c r="AG38" s="564"/>
      <c r="AH38" s="564"/>
      <c r="AI38" s="564"/>
      <c r="AJ38" s="564"/>
      <c r="AK38" s="564"/>
      <c r="AL38" s="564"/>
      <c r="AM38" s="564"/>
      <c r="AN38" s="564"/>
      <c r="AO38" s="564"/>
      <c r="AP38" s="564"/>
      <c r="AQ38" s="564"/>
      <c r="AR38" s="564"/>
      <c r="AS38" s="564"/>
      <c r="AT38" s="564"/>
      <c r="AU38" s="564"/>
      <c r="AV38" s="564"/>
      <c r="AW38" s="564"/>
      <c r="AX38" s="564"/>
      <c r="AY38" s="564"/>
      <c r="AZ38" s="564"/>
      <c r="BA38" s="564"/>
      <c r="BB38" s="564"/>
      <c r="BC38" s="564"/>
      <c r="BD38" s="564"/>
      <c r="BE38" s="564"/>
      <c r="BF38" s="564"/>
      <c r="BG38" s="564"/>
      <c r="BH38" s="564"/>
      <c r="BI38" s="564"/>
      <c r="BJ38" s="564"/>
      <c r="BK38" s="564"/>
      <c r="BL38" s="564"/>
      <c r="BM38" s="564"/>
      <c r="BN38" s="564"/>
      <c r="BO38" s="564"/>
      <c r="BP38" s="564"/>
      <c r="BQ38" s="564"/>
      <c r="BR38" s="564"/>
      <c r="BS38" s="564"/>
      <c r="BT38" s="564"/>
      <c r="BU38" s="564"/>
      <c r="BV38" s="564"/>
      <c r="BW38" s="564"/>
      <c r="BX38" s="564"/>
      <c r="BY38" s="564"/>
      <c r="BZ38" s="564"/>
      <c r="CA38" s="564"/>
      <c r="CB38" s="564"/>
      <c r="CC38" s="564"/>
      <c r="CD38" s="564"/>
      <c r="CE38" s="564"/>
      <c r="CF38" s="564"/>
      <c r="CG38" s="564"/>
      <c r="CH38" s="564"/>
      <c r="CI38" s="564"/>
      <c r="CJ38" s="564"/>
      <c r="CK38" s="564"/>
      <c r="CL38" s="564"/>
      <c r="CM38" s="564"/>
      <c r="CN38" s="564"/>
      <c r="CO38" s="564"/>
      <c r="CP38" s="564"/>
      <c r="CQ38" s="564"/>
      <c r="CR38" s="564"/>
      <c r="CS38" s="564"/>
      <c r="CT38" s="564"/>
      <c r="CU38" s="564"/>
      <c r="CV38" s="564"/>
      <c r="CW38" s="564"/>
      <c r="CX38" s="564"/>
      <c r="CY38" s="564"/>
      <c r="CZ38" s="564"/>
      <c r="DA38" s="564"/>
      <c r="DB38" s="564"/>
      <c r="DC38" s="564"/>
      <c r="DD38" s="564"/>
      <c r="DE38" s="564"/>
      <c r="DF38" s="564"/>
      <c r="DG38" s="564"/>
      <c r="DH38" s="564"/>
      <c r="DI38" s="564"/>
      <c r="DJ38" s="564"/>
      <c r="DK38" s="564"/>
      <c r="DL38" s="564"/>
      <c r="DM38" s="564"/>
      <c r="DN38" s="564"/>
      <c r="DO38" s="564"/>
      <c r="DP38" s="564"/>
      <c r="DQ38" s="564"/>
      <c r="DR38" s="564"/>
      <c r="DS38" s="564"/>
      <c r="DT38" s="564"/>
      <c r="DU38" s="564"/>
      <c r="DV38" s="564"/>
      <c r="DW38" s="564"/>
    </row>
    <row r="39" spans="1:127" s="281" customFormat="1" x14ac:dyDescent="0.2">
      <c r="A39" s="350">
        <v>2</v>
      </c>
      <c r="B39" s="400" t="s">
        <v>14147</v>
      </c>
      <c r="C39" s="300">
        <f t="shared" ca="1" si="7"/>
        <v>0</v>
      </c>
      <c r="D39" s="300">
        <f t="shared" ca="1" si="7"/>
        <v>0</v>
      </c>
      <c r="E39" s="300">
        <f t="shared" ca="1" si="7"/>
        <v>0</v>
      </c>
      <c r="F39" s="300">
        <f t="shared" ca="1" si="7"/>
        <v>0</v>
      </c>
      <c r="G39" s="300">
        <f t="shared" ca="1" si="7"/>
        <v>0</v>
      </c>
      <c r="H39" s="300">
        <f t="shared" ca="1" si="7"/>
        <v>0</v>
      </c>
      <c r="I39" s="152">
        <f t="shared" ca="1" si="8"/>
        <v>0</v>
      </c>
      <c r="M39" s="459"/>
      <c r="O39" s="587"/>
      <c r="P39" s="564"/>
      <c r="Q39" s="564"/>
      <c r="R39" s="564"/>
      <c r="S39" s="564"/>
      <c r="T39" s="564"/>
      <c r="U39" s="564"/>
      <c r="V39" s="564"/>
      <c r="W39" s="564"/>
      <c r="X39" s="564"/>
      <c r="Y39" s="564"/>
      <c r="Z39" s="564"/>
      <c r="AA39" s="564"/>
      <c r="AB39" s="564"/>
      <c r="AC39" s="564"/>
      <c r="AD39" s="564"/>
      <c r="AE39" s="564"/>
      <c r="AF39" s="564"/>
      <c r="AG39" s="564"/>
      <c r="AH39" s="564"/>
      <c r="AI39" s="564"/>
      <c r="AJ39" s="564"/>
      <c r="AK39" s="564"/>
      <c r="AL39" s="564"/>
      <c r="AM39" s="564"/>
      <c r="AN39" s="564"/>
      <c r="AO39" s="564"/>
      <c r="AP39" s="564"/>
      <c r="AQ39" s="564"/>
      <c r="AR39" s="564"/>
      <c r="AS39" s="564"/>
      <c r="AT39" s="564"/>
      <c r="AU39" s="564"/>
      <c r="AV39" s="564"/>
      <c r="AW39" s="564"/>
      <c r="AX39" s="564"/>
      <c r="AY39" s="564"/>
      <c r="AZ39" s="564"/>
      <c r="BA39" s="564"/>
      <c r="BB39" s="564"/>
      <c r="BC39" s="564"/>
      <c r="BD39" s="564"/>
      <c r="BE39" s="564"/>
      <c r="BF39" s="564"/>
      <c r="BG39" s="564"/>
      <c r="BH39" s="564"/>
      <c r="BI39" s="564"/>
      <c r="BJ39" s="564"/>
      <c r="BK39" s="564"/>
      <c r="BL39" s="564"/>
      <c r="BM39" s="564"/>
      <c r="BN39" s="564"/>
      <c r="BO39" s="564"/>
      <c r="BP39" s="564"/>
      <c r="BQ39" s="564"/>
      <c r="BR39" s="564"/>
      <c r="BS39" s="564"/>
      <c r="BT39" s="564"/>
      <c r="BU39" s="564"/>
      <c r="BV39" s="564"/>
      <c r="BW39" s="564"/>
      <c r="BX39" s="564"/>
      <c r="BY39" s="564"/>
      <c r="BZ39" s="564"/>
      <c r="CA39" s="564"/>
      <c r="CB39" s="564"/>
      <c r="CC39" s="564"/>
      <c r="CD39" s="564"/>
      <c r="CE39" s="564"/>
      <c r="CF39" s="564"/>
      <c r="CG39" s="564"/>
      <c r="CH39" s="564"/>
      <c r="CI39" s="564"/>
      <c r="CJ39" s="564"/>
      <c r="CK39" s="564"/>
      <c r="CL39" s="564"/>
      <c r="CM39" s="564"/>
      <c r="CN39" s="564"/>
      <c r="CO39" s="564"/>
      <c r="CP39" s="564"/>
      <c r="CQ39" s="564"/>
      <c r="CR39" s="564"/>
      <c r="CS39" s="564"/>
      <c r="CT39" s="564"/>
      <c r="CU39" s="564"/>
      <c r="CV39" s="564"/>
      <c r="CW39" s="564"/>
      <c r="CX39" s="564"/>
      <c r="CY39" s="564"/>
      <c r="CZ39" s="564"/>
      <c r="DA39" s="564"/>
      <c r="DB39" s="564"/>
      <c r="DC39" s="564"/>
      <c r="DD39" s="564"/>
      <c r="DE39" s="564"/>
      <c r="DF39" s="564"/>
      <c r="DG39" s="564"/>
      <c r="DH39" s="564"/>
      <c r="DI39" s="564"/>
      <c r="DJ39" s="564"/>
      <c r="DK39" s="564"/>
      <c r="DL39" s="564"/>
      <c r="DM39" s="564"/>
      <c r="DN39" s="564"/>
      <c r="DO39" s="564"/>
      <c r="DP39" s="564"/>
      <c r="DQ39" s="564"/>
      <c r="DR39" s="564"/>
      <c r="DS39" s="564"/>
      <c r="DT39" s="564"/>
      <c r="DU39" s="564"/>
      <c r="DV39" s="564"/>
      <c r="DW39" s="564"/>
    </row>
    <row r="40" spans="1:127" s="281" customFormat="1" x14ac:dyDescent="0.2">
      <c r="A40" s="350">
        <v>2</v>
      </c>
      <c r="B40" s="400" t="s">
        <v>14148</v>
      </c>
      <c r="C40" s="300">
        <f t="shared" ca="1" si="7"/>
        <v>0</v>
      </c>
      <c r="D40" s="300">
        <f t="shared" ca="1" si="7"/>
        <v>0</v>
      </c>
      <c r="E40" s="300">
        <f t="shared" ca="1" si="7"/>
        <v>0</v>
      </c>
      <c r="F40" s="300">
        <f t="shared" ca="1" si="7"/>
        <v>0</v>
      </c>
      <c r="G40" s="300">
        <f t="shared" ca="1" si="7"/>
        <v>0</v>
      </c>
      <c r="H40" s="300">
        <f t="shared" ca="1" si="7"/>
        <v>0</v>
      </c>
      <c r="I40" s="152">
        <f t="shared" ca="1" si="8"/>
        <v>0</v>
      </c>
      <c r="M40" s="459"/>
      <c r="O40" s="587"/>
      <c r="P40" s="564"/>
      <c r="Q40" s="564"/>
      <c r="R40" s="564"/>
      <c r="S40" s="564"/>
      <c r="T40" s="564"/>
      <c r="U40" s="564"/>
      <c r="V40" s="564"/>
      <c r="W40" s="564"/>
      <c r="X40" s="564"/>
      <c r="Y40" s="564"/>
      <c r="Z40" s="564"/>
      <c r="AA40" s="564"/>
      <c r="AB40" s="564"/>
      <c r="AC40" s="564"/>
      <c r="AD40" s="564"/>
      <c r="AE40" s="564"/>
      <c r="AF40" s="564"/>
      <c r="AG40" s="564"/>
      <c r="AH40" s="564"/>
      <c r="AI40" s="564"/>
      <c r="AJ40" s="564"/>
      <c r="AK40" s="564"/>
      <c r="AL40" s="564"/>
      <c r="AM40" s="564"/>
      <c r="AN40" s="564"/>
      <c r="AO40" s="564"/>
      <c r="AP40" s="564"/>
      <c r="AQ40" s="564"/>
      <c r="AR40" s="564"/>
      <c r="AS40" s="564"/>
      <c r="AT40" s="564"/>
      <c r="AU40" s="564"/>
      <c r="AV40" s="564"/>
      <c r="AW40" s="564"/>
      <c r="AX40" s="564"/>
      <c r="AY40" s="564"/>
      <c r="AZ40" s="564"/>
      <c r="BA40" s="564"/>
      <c r="BB40" s="564"/>
      <c r="BC40" s="564"/>
      <c r="BD40" s="564"/>
      <c r="BE40" s="564"/>
      <c r="BF40" s="564"/>
      <c r="BG40" s="564"/>
      <c r="BH40" s="564"/>
      <c r="BI40" s="564"/>
      <c r="BJ40" s="564"/>
      <c r="BK40" s="564"/>
      <c r="BL40" s="564"/>
      <c r="BM40" s="564"/>
      <c r="BN40" s="564"/>
      <c r="BO40" s="564"/>
      <c r="BP40" s="564"/>
      <c r="BQ40" s="564"/>
      <c r="BR40" s="564"/>
      <c r="BS40" s="564"/>
      <c r="BT40" s="564"/>
      <c r="BU40" s="564"/>
      <c r="BV40" s="564"/>
      <c r="BW40" s="564"/>
      <c r="BX40" s="564"/>
      <c r="BY40" s="564"/>
      <c r="BZ40" s="564"/>
      <c r="CA40" s="564"/>
      <c r="CB40" s="564"/>
      <c r="CC40" s="564"/>
      <c r="CD40" s="564"/>
      <c r="CE40" s="564"/>
      <c r="CF40" s="564"/>
      <c r="CG40" s="564"/>
      <c r="CH40" s="564"/>
      <c r="CI40" s="564"/>
      <c r="CJ40" s="564"/>
      <c r="CK40" s="564"/>
      <c r="CL40" s="564"/>
      <c r="CM40" s="564"/>
      <c r="CN40" s="564"/>
      <c r="CO40" s="564"/>
      <c r="CP40" s="564"/>
      <c r="CQ40" s="564"/>
      <c r="CR40" s="564"/>
      <c r="CS40" s="564"/>
      <c r="CT40" s="564"/>
      <c r="CU40" s="564"/>
      <c r="CV40" s="564"/>
      <c r="CW40" s="564"/>
      <c r="CX40" s="564"/>
      <c r="CY40" s="564"/>
      <c r="CZ40" s="564"/>
      <c r="DA40" s="564"/>
      <c r="DB40" s="564"/>
      <c r="DC40" s="564"/>
      <c r="DD40" s="564"/>
      <c r="DE40" s="564"/>
      <c r="DF40" s="564"/>
      <c r="DG40" s="564"/>
      <c r="DH40" s="564"/>
      <c r="DI40" s="564"/>
      <c r="DJ40" s="564"/>
      <c r="DK40" s="564"/>
      <c r="DL40" s="564"/>
      <c r="DM40" s="564"/>
      <c r="DN40" s="564"/>
      <c r="DO40" s="564"/>
      <c r="DP40" s="564"/>
      <c r="DQ40" s="564"/>
      <c r="DR40" s="564"/>
      <c r="DS40" s="564"/>
      <c r="DT40" s="564"/>
      <c r="DU40" s="564"/>
      <c r="DV40" s="564"/>
      <c r="DW40" s="564"/>
    </row>
    <row r="41" spans="1:127" s="281" customFormat="1" x14ac:dyDescent="0.2">
      <c r="A41" s="350">
        <v>2</v>
      </c>
      <c r="B41" s="374" t="s">
        <v>14149</v>
      </c>
      <c r="C41" s="300">
        <f t="shared" ca="1" si="7"/>
        <v>0</v>
      </c>
      <c r="D41" s="300">
        <f t="shared" ca="1" si="7"/>
        <v>0</v>
      </c>
      <c r="E41" s="300">
        <f t="shared" ca="1" si="7"/>
        <v>0</v>
      </c>
      <c r="F41" s="300">
        <f t="shared" ca="1" si="7"/>
        <v>0</v>
      </c>
      <c r="G41" s="300">
        <f t="shared" ca="1" si="7"/>
        <v>0</v>
      </c>
      <c r="H41" s="300">
        <f t="shared" ca="1" si="7"/>
        <v>0</v>
      </c>
      <c r="I41" s="152">
        <f t="shared" ca="1" si="8"/>
        <v>0</v>
      </c>
      <c r="M41" s="459"/>
      <c r="O41" s="587"/>
      <c r="P41" s="564"/>
      <c r="Q41" s="564"/>
      <c r="R41" s="564"/>
      <c r="S41" s="564"/>
      <c r="T41" s="564"/>
      <c r="U41" s="564"/>
      <c r="V41" s="564"/>
      <c r="W41" s="564"/>
      <c r="X41" s="564"/>
      <c r="Y41" s="564"/>
      <c r="Z41" s="564"/>
      <c r="AA41" s="564"/>
      <c r="AB41" s="564"/>
      <c r="AC41" s="564"/>
      <c r="AD41" s="564"/>
      <c r="AE41" s="564"/>
      <c r="AF41" s="564"/>
      <c r="AG41" s="564"/>
      <c r="AH41" s="564"/>
      <c r="AI41" s="564"/>
      <c r="AJ41" s="564"/>
      <c r="AK41" s="564"/>
      <c r="AL41" s="564"/>
      <c r="AM41" s="564"/>
      <c r="AN41" s="564"/>
      <c r="AO41" s="564"/>
      <c r="AP41" s="564"/>
      <c r="AQ41" s="564"/>
      <c r="AR41" s="564"/>
      <c r="AS41" s="564"/>
      <c r="AT41" s="564"/>
      <c r="AU41" s="564"/>
      <c r="AV41" s="564"/>
      <c r="AW41" s="564"/>
      <c r="AX41" s="564"/>
      <c r="AY41" s="564"/>
      <c r="AZ41" s="564"/>
      <c r="BA41" s="564"/>
      <c r="BB41" s="564"/>
      <c r="BC41" s="564"/>
      <c r="BD41" s="564"/>
      <c r="BE41" s="564"/>
      <c r="BF41" s="564"/>
      <c r="BG41" s="564"/>
      <c r="BH41" s="564"/>
      <c r="BI41" s="564"/>
      <c r="BJ41" s="564"/>
      <c r="BK41" s="564"/>
      <c r="BL41" s="564"/>
      <c r="BM41" s="564"/>
      <c r="BN41" s="564"/>
      <c r="BO41" s="564"/>
      <c r="BP41" s="564"/>
      <c r="BQ41" s="564"/>
      <c r="BR41" s="564"/>
      <c r="BS41" s="564"/>
      <c r="BT41" s="564"/>
      <c r="BU41" s="564"/>
      <c r="BV41" s="564"/>
      <c r="BW41" s="564"/>
      <c r="BX41" s="564"/>
      <c r="BY41" s="564"/>
      <c r="BZ41" s="564"/>
      <c r="CA41" s="564"/>
      <c r="CB41" s="564"/>
      <c r="CC41" s="564"/>
      <c r="CD41" s="564"/>
      <c r="CE41" s="564"/>
      <c r="CF41" s="564"/>
      <c r="CG41" s="564"/>
      <c r="CH41" s="564"/>
      <c r="CI41" s="564"/>
      <c r="CJ41" s="564"/>
      <c r="CK41" s="564"/>
      <c r="CL41" s="564"/>
      <c r="CM41" s="564"/>
      <c r="CN41" s="564"/>
      <c r="CO41" s="564"/>
      <c r="CP41" s="564"/>
      <c r="CQ41" s="564"/>
      <c r="CR41" s="564"/>
      <c r="CS41" s="564"/>
      <c r="CT41" s="564"/>
      <c r="CU41" s="564"/>
      <c r="CV41" s="564"/>
      <c r="CW41" s="564"/>
      <c r="CX41" s="564"/>
      <c r="CY41" s="564"/>
      <c r="CZ41" s="564"/>
      <c r="DA41" s="564"/>
      <c r="DB41" s="564"/>
      <c r="DC41" s="564"/>
      <c r="DD41" s="564"/>
      <c r="DE41" s="564"/>
      <c r="DF41" s="564"/>
      <c r="DG41" s="564"/>
      <c r="DH41" s="564"/>
      <c r="DI41" s="564"/>
      <c r="DJ41" s="564"/>
      <c r="DK41" s="564"/>
      <c r="DL41" s="564"/>
      <c r="DM41" s="564"/>
      <c r="DN41" s="564"/>
      <c r="DO41" s="564"/>
      <c r="DP41" s="564"/>
      <c r="DQ41" s="564"/>
      <c r="DR41" s="564"/>
      <c r="DS41" s="564"/>
      <c r="DT41" s="564"/>
      <c r="DU41" s="564"/>
      <c r="DV41" s="564"/>
      <c r="DW41" s="564"/>
    </row>
    <row r="42" spans="1:127" s="281" customFormat="1" ht="13.5" thickBot="1" x14ac:dyDescent="0.25">
      <c r="B42" s="21" t="str">
        <f ca="1">IF(OFFSET(R42,0,Lang_Order*Lang__R2)="","",OFFSET(R42,0,Lang_Order*Lang__R2))</f>
        <v>Total Cost Allocated  / Mapped</v>
      </c>
      <c r="C42" s="118" t="e">
        <f t="shared" ref="C42:I42" ca="1" si="9">SUM(C32:C41)</f>
        <v>#N/A</v>
      </c>
      <c r="D42" s="118" t="e">
        <f t="shared" ca="1" si="9"/>
        <v>#N/A</v>
      </c>
      <c r="E42" s="118" t="e">
        <f t="shared" ca="1" si="9"/>
        <v>#N/A</v>
      </c>
      <c r="F42" s="118" t="e">
        <f t="shared" ca="1" si="9"/>
        <v>#N/A</v>
      </c>
      <c r="G42" s="118" t="e">
        <f t="shared" ca="1" si="9"/>
        <v>#N/A</v>
      </c>
      <c r="H42" s="118" t="e">
        <f t="shared" ca="1" si="9"/>
        <v>#N/A</v>
      </c>
      <c r="I42" s="118" t="e">
        <f t="shared" ca="1" si="9"/>
        <v>#N/A</v>
      </c>
      <c r="M42" s="459"/>
      <c r="O42" s="567"/>
      <c r="P42" s="564"/>
      <c r="Q42" s="564"/>
      <c r="R42" s="564" t="s">
        <v>3185</v>
      </c>
      <c r="S42" s="564"/>
      <c r="T42" s="564"/>
      <c r="U42" s="564"/>
      <c r="V42" s="564"/>
      <c r="W42" s="564"/>
      <c r="X42" s="564"/>
      <c r="Y42" s="564"/>
      <c r="Z42" s="564"/>
      <c r="AA42" s="564"/>
      <c r="AB42" s="564"/>
      <c r="AC42" s="564"/>
      <c r="AD42" s="564"/>
      <c r="AE42" s="564"/>
      <c r="AF42" s="564"/>
      <c r="AG42" s="564"/>
      <c r="AH42" s="564" t="s">
        <v>4702</v>
      </c>
      <c r="AI42" s="564"/>
      <c r="AJ42" s="564"/>
      <c r="AK42" s="564"/>
      <c r="AL42" s="564"/>
      <c r="AM42" s="564"/>
      <c r="AN42" s="564"/>
      <c r="AO42" s="564"/>
      <c r="AP42" s="564"/>
      <c r="AQ42" s="564"/>
      <c r="AR42" s="564"/>
      <c r="AS42" s="564"/>
      <c r="AT42" s="564"/>
      <c r="AU42" s="564"/>
      <c r="AV42" s="564"/>
      <c r="AW42" s="564"/>
      <c r="AX42" s="564" t="s">
        <v>4703</v>
      </c>
      <c r="AY42" s="564"/>
      <c r="AZ42" s="564"/>
      <c r="BA42" s="564"/>
      <c r="BB42" s="564"/>
      <c r="BC42" s="564"/>
      <c r="BD42" s="564"/>
      <c r="BE42" s="564"/>
      <c r="BF42" s="564"/>
      <c r="BG42" s="564"/>
      <c r="BH42" s="564"/>
      <c r="BI42" s="564"/>
      <c r="BJ42" s="564"/>
      <c r="BK42" s="564"/>
      <c r="BL42" s="564"/>
      <c r="BM42" s="564"/>
      <c r="BN42" s="564" t="s">
        <v>4704</v>
      </c>
      <c r="BO42" s="564"/>
      <c r="BP42" s="564"/>
      <c r="BQ42" s="564"/>
      <c r="BR42" s="564"/>
      <c r="BS42" s="564"/>
      <c r="BT42" s="564"/>
      <c r="BU42" s="564"/>
      <c r="BV42" s="564"/>
      <c r="BW42" s="564"/>
      <c r="BX42" s="564"/>
      <c r="BY42" s="564"/>
      <c r="BZ42" s="564"/>
      <c r="CA42" s="564"/>
      <c r="CB42" s="564"/>
      <c r="CC42" s="564"/>
      <c r="CD42" s="564" t="s">
        <v>4705</v>
      </c>
      <c r="CE42" s="564"/>
      <c r="CF42" s="564"/>
      <c r="CG42" s="564"/>
      <c r="CH42" s="564"/>
      <c r="CI42" s="564"/>
      <c r="CJ42" s="564"/>
      <c r="CK42" s="564"/>
      <c r="CL42" s="564"/>
      <c r="CM42" s="564"/>
      <c r="CN42" s="564"/>
      <c r="CO42" s="564"/>
      <c r="CP42" s="564"/>
      <c r="CQ42" s="564"/>
      <c r="CR42" s="564"/>
      <c r="CS42" s="564"/>
      <c r="CT42" s="564" t="s">
        <v>4706</v>
      </c>
      <c r="CU42" s="564"/>
      <c r="CV42" s="564"/>
      <c r="CW42" s="564"/>
      <c r="CX42" s="564"/>
      <c r="CY42" s="564"/>
      <c r="CZ42" s="564"/>
      <c r="DA42" s="564"/>
      <c r="DB42" s="564"/>
      <c r="DC42" s="564"/>
      <c r="DD42" s="564"/>
      <c r="DE42" s="564"/>
      <c r="DF42" s="564"/>
      <c r="DG42" s="564"/>
      <c r="DH42" s="564"/>
      <c r="DI42" s="564"/>
      <c r="DJ42" s="564" t="s">
        <v>4707</v>
      </c>
      <c r="DK42" s="564"/>
      <c r="DL42" s="564"/>
      <c r="DM42" s="564"/>
      <c r="DN42" s="564"/>
      <c r="DO42" s="564"/>
      <c r="DP42" s="564"/>
      <c r="DQ42" s="564"/>
      <c r="DR42" s="564"/>
      <c r="DS42" s="564"/>
      <c r="DT42" s="564"/>
      <c r="DU42" s="564"/>
      <c r="DV42" s="564"/>
      <c r="DW42" s="564"/>
    </row>
    <row r="43" spans="1:127" s="281" customFormat="1" ht="13.5" thickTop="1" x14ac:dyDescent="0.2">
      <c r="M43" s="459"/>
      <c r="O43" s="567"/>
      <c r="P43" s="564"/>
      <c r="Q43" s="564"/>
      <c r="R43" s="564"/>
      <c r="S43" s="564"/>
      <c r="T43" s="564"/>
      <c r="U43" s="564"/>
      <c r="V43" s="564"/>
      <c r="W43" s="564"/>
      <c r="X43" s="564"/>
      <c r="Y43" s="564"/>
      <c r="Z43" s="564"/>
      <c r="AA43" s="564"/>
      <c r="AB43" s="564"/>
      <c r="AC43" s="564"/>
      <c r="AD43" s="564"/>
      <c r="AE43" s="564"/>
      <c r="AF43" s="564"/>
      <c r="AG43" s="564"/>
      <c r="AH43" s="564"/>
      <c r="AI43" s="564"/>
      <c r="AJ43" s="564"/>
      <c r="AK43" s="564"/>
      <c r="AL43" s="564"/>
      <c r="AM43" s="564"/>
      <c r="AN43" s="564"/>
      <c r="AO43" s="564"/>
      <c r="AP43" s="564"/>
      <c r="AQ43" s="564"/>
      <c r="AR43" s="564"/>
      <c r="AS43" s="564"/>
      <c r="AT43" s="564"/>
      <c r="AU43" s="564"/>
      <c r="AV43" s="564"/>
      <c r="AW43" s="564"/>
      <c r="AX43" s="564"/>
      <c r="AY43" s="564"/>
      <c r="AZ43" s="564"/>
      <c r="BA43" s="564"/>
      <c r="BB43" s="564"/>
      <c r="BC43" s="564"/>
      <c r="BD43" s="564"/>
      <c r="BE43" s="564"/>
      <c r="BF43" s="564"/>
      <c r="BG43" s="564"/>
      <c r="BH43" s="564"/>
      <c r="BI43" s="564"/>
      <c r="BJ43" s="564"/>
      <c r="BK43" s="564"/>
      <c r="BL43" s="564"/>
      <c r="BM43" s="564"/>
      <c r="BN43" s="564"/>
      <c r="BO43" s="564"/>
      <c r="BP43" s="564"/>
      <c r="BQ43" s="564"/>
      <c r="BR43" s="564"/>
      <c r="BS43" s="564"/>
      <c r="BT43" s="564"/>
      <c r="BU43" s="564"/>
      <c r="BV43" s="564"/>
      <c r="BW43" s="564"/>
      <c r="BX43" s="564"/>
      <c r="BY43" s="564"/>
      <c r="BZ43" s="564"/>
      <c r="CA43" s="564"/>
      <c r="CB43" s="564"/>
      <c r="CC43" s="564"/>
      <c r="CD43" s="564"/>
      <c r="CE43" s="564"/>
      <c r="CF43" s="564"/>
      <c r="CG43" s="564"/>
      <c r="CH43" s="564"/>
      <c r="CI43" s="564"/>
      <c r="CJ43" s="564"/>
      <c r="CK43" s="564"/>
      <c r="CL43" s="564"/>
      <c r="CM43" s="564"/>
      <c r="CN43" s="564"/>
      <c r="CO43" s="564"/>
      <c r="CP43" s="564"/>
      <c r="CQ43" s="564"/>
      <c r="CR43" s="564"/>
      <c r="CS43" s="564"/>
      <c r="CT43" s="564"/>
      <c r="CU43" s="564"/>
      <c r="CV43" s="564"/>
      <c r="CW43" s="564"/>
      <c r="CX43" s="564"/>
      <c r="CY43" s="564"/>
      <c r="CZ43" s="564"/>
      <c r="DA43" s="564"/>
      <c r="DB43" s="564"/>
      <c r="DC43" s="564"/>
      <c r="DD43" s="564"/>
      <c r="DE43" s="564"/>
      <c r="DF43" s="564"/>
      <c r="DG43" s="564"/>
      <c r="DH43" s="564"/>
      <c r="DI43" s="564"/>
      <c r="DJ43" s="564"/>
      <c r="DK43" s="564"/>
      <c r="DL43" s="564"/>
      <c r="DM43" s="564"/>
      <c r="DN43" s="564"/>
      <c r="DO43" s="564"/>
      <c r="DP43" s="564"/>
      <c r="DQ43" s="564"/>
      <c r="DR43" s="564"/>
      <c r="DS43" s="564"/>
      <c r="DT43" s="564"/>
      <c r="DU43" s="564"/>
      <c r="DV43" s="564"/>
      <c r="DW43" s="564"/>
    </row>
    <row r="44" spans="1:127" s="281" customFormat="1" ht="15" x14ac:dyDescent="0.25">
      <c r="B44" s="8" t="str">
        <f ca="1">IF(OFFSET(R44,0,Lang_Order*Lang__R2)="","",OFFSET(R44,0,Lang_Order*Lang__R2))</f>
        <v>R2.0.3 Health Financing Benchmarking</v>
      </c>
      <c r="C44" s="8"/>
      <c r="D44" s="8"/>
      <c r="E44" s="8"/>
      <c r="F44" s="8"/>
      <c r="G44" s="8"/>
      <c r="H44" s="8"/>
      <c r="I44" s="8"/>
      <c r="J44" s="8"/>
      <c r="M44" s="459"/>
      <c r="O44" s="567"/>
      <c r="P44" s="564"/>
      <c r="Q44" s="564"/>
      <c r="R44" s="564" t="s">
        <v>3971</v>
      </c>
      <c r="S44" s="564"/>
      <c r="T44" s="564"/>
      <c r="U44" s="564"/>
      <c r="V44" s="564"/>
      <c r="W44" s="564"/>
      <c r="X44" s="564"/>
      <c r="Y44" s="564"/>
      <c r="Z44" s="564"/>
      <c r="AA44" s="564"/>
      <c r="AB44" s="564"/>
      <c r="AC44" s="564"/>
      <c r="AD44" s="564"/>
      <c r="AE44" s="564"/>
      <c r="AF44" s="564"/>
      <c r="AG44" s="564"/>
      <c r="AH44" s="564" t="s">
        <v>4732</v>
      </c>
      <c r="AI44" s="564"/>
      <c r="AJ44" s="564"/>
      <c r="AK44" s="564"/>
      <c r="AL44" s="564"/>
      <c r="AM44" s="564"/>
      <c r="AN44" s="564"/>
      <c r="AO44" s="564"/>
      <c r="AP44" s="564"/>
      <c r="AQ44" s="564"/>
      <c r="AR44" s="564"/>
      <c r="AS44" s="564"/>
      <c r="AT44" s="564"/>
      <c r="AU44" s="564"/>
      <c r="AV44" s="564"/>
      <c r="AW44" s="564"/>
      <c r="AX44" s="564" t="s">
        <v>4733</v>
      </c>
      <c r="AY44" s="564"/>
      <c r="AZ44" s="564"/>
      <c r="BA44" s="564"/>
      <c r="BB44" s="564"/>
      <c r="BC44" s="564"/>
      <c r="BD44" s="564"/>
      <c r="BE44" s="564"/>
      <c r="BF44" s="564"/>
      <c r="BG44" s="564"/>
      <c r="BH44" s="564"/>
      <c r="BI44" s="564"/>
      <c r="BJ44" s="564"/>
      <c r="BK44" s="564"/>
      <c r="BL44" s="564"/>
      <c r="BM44" s="564"/>
      <c r="BN44" s="564" t="s">
        <v>4734</v>
      </c>
      <c r="BO44" s="564"/>
      <c r="BP44" s="564"/>
      <c r="BQ44" s="564"/>
      <c r="BR44" s="564"/>
      <c r="BS44" s="564"/>
      <c r="BT44" s="564"/>
      <c r="BU44" s="564"/>
      <c r="BV44" s="564"/>
      <c r="BW44" s="564"/>
      <c r="BX44" s="564"/>
      <c r="BY44" s="564"/>
      <c r="BZ44" s="564"/>
      <c r="CA44" s="564"/>
      <c r="CB44" s="564"/>
      <c r="CC44" s="564"/>
      <c r="CD44" s="564" t="s">
        <v>4735</v>
      </c>
      <c r="CE44" s="564"/>
      <c r="CF44" s="564"/>
      <c r="CG44" s="564"/>
      <c r="CH44" s="564"/>
      <c r="CI44" s="564"/>
      <c r="CJ44" s="564"/>
      <c r="CK44" s="564"/>
      <c r="CL44" s="564"/>
      <c r="CM44" s="564"/>
      <c r="CN44" s="564"/>
      <c r="CO44" s="564"/>
      <c r="CP44" s="564"/>
      <c r="CQ44" s="564"/>
      <c r="CR44" s="564"/>
      <c r="CS44" s="564"/>
      <c r="CT44" s="564" t="s">
        <v>4736</v>
      </c>
      <c r="CU44" s="564"/>
      <c r="CV44" s="564"/>
      <c r="CW44" s="564"/>
      <c r="CX44" s="564"/>
      <c r="CY44" s="564"/>
      <c r="CZ44" s="564"/>
      <c r="DA44" s="564"/>
      <c r="DB44" s="564"/>
      <c r="DC44" s="564"/>
      <c r="DD44" s="564"/>
      <c r="DE44" s="564"/>
      <c r="DF44" s="564"/>
      <c r="DG44" s="564"/>
      <c r="DH44" s="564"/>
      <c r="DI44" s="564"/>
      <c r="DJ44" s="564" t="s">
        <v>4737</v>
      </c>
      <c r="DK44" s="564"/>
      <c r="DL44" s="564"/>
      <c r="DM44" s="564"/>
      <c r="DN44" s="564"/>
      <c r="DO44" s="564"/>
      <c r="DP44" s="564"/>
      <c r="DQ44" s="564"/>
      <c r="DR44" s="564"/>
      <c r="DS44" s="564"/>
      <c r="DT44" s="564"/>
      <c r="DU44" s="564"/>
      <c r="DV44" s="564"/>
      <c r="DW44" s="564"/>
    </row>
    <row r="45" spans="1:127" s="281" customFormat="1" ht="15" x14ac:dyDescent="0.25">
      <c r="A45" s="85"/>
      <c r="B45" s="34"/>
      <c r="C45" s="382" t="str">
        <f ca="1">IF(OFFSET(S45,0,Lang_Order*Lang__R2)="","",OFFSET(S45,0,Lang_Order*Lang__R2))</f>
        <v>Override Here</v>
      </c>
      <c r="E45" s="667"/>
      <c r="G45" s="382" t="str">
        <f ca="1">IF(OFFSET(W45,0,Lang_Order*Lang__R2)="","",OFFSET(W45,0,Lang_Order*Lang__R2))</f>
        <v>Used for calculations</v>
      </c>
      <c r="M45" s="459"/>
      <c r="N45" s="459"/>
      <c r="O45" s="567"/>
      <c r="P45" s="564"/>
      <c r="Q45" s="564"/>
      <c r="R45" s="564"/>
      <c r="S45" s="564" t="s">
        <v>4289</v>
      </c>
      <c r="T45" s="564"/>
      <c r="U45" s="564" t="s">
        <v>4287</v>
      </c>
      <c r="V45" s="564"/>
      <c r="W45" s="564" t="s">
        <v>4288</v>
      </c>
      <c r="X45" s="564"/>
      <c r="Y45" s="564"/>
      <c r="Z45" s="564"/>
      <c r="AA45" s="564"/>
      <c r="AB45" s="564"/>
      <c r="AC45" s="564"/>
      <c r="AD45" s="564"/>
      <c r="AE45" s="564"/>
      <c r="AF45" s="564"/>
      <c r="AG45" s="564"/>
      <c r="AH45" s="564"/>
      <c r="AI45" s="564" t="s">
        <v>4738</v>
      </c>
      <c r="AJ45" s="564"/>
      <c r="AK45" s="564" t="s">
        <v>4739</v>
      </c>
      <c r="AL45" s="564"/>
      <c r="AM45" s="564" t="s">
        <v>4740</v>
      </c>
      <c r="AN45" s="564"/>
      <c r="AO45" s="564"/>
      <c r="AP45" s="564"/>
      <c r="AQ45" s="564"/>
      <c r="AR45" s="564"/>
      <c r="AS45" s="564"/>
      <c r="AT45" s="564"/>
      <c r="AU45" s="564"/>
      <c r="AV45" s="564"/>
      <c r="AW45" s="564"/>
      <c r="AX45" s="564"/>
      <c r="AY45" s="564" t="s">
        <v>4741</v>
      </c>
      <c r="AZ45" s="564"/>
      <c r="BA45" s="564" t="s">
        <v>4742</v>
      </c>
      <c r="BB45" s="564"/>
      <c r="BC45" s="564" t="s">
        <v>4743</v>
      </c>
      <c r="BD45" s="564"/>
      <c r="BE45" s="564"/>
      <c r="BF45" s="564"/>
      <c r="BG45" s="564"/>
      <c r="BH45" s="564"/>
      <c r="BI45" s="564"/>
      <c r="BJ45" s="564"/>
      <c r="BK45" s="564"/>
      <c r="BL45" s="564"/>
      <c r="BM45" s="564"/>
      <c r="BN45" s="564"/>
      <c r="BO45" s="564" t="s">
        <v>4744</v>
      </c>
      <c r="BP45" s="564"/>
      <c r="BQ45" s="564" t="s">
        <v>4745</v>
      </c>
      <c r="BR45" s="564"/>
      <c r="BS45" s="564" t="s">
        <v>4746</v>
      </c>
      <c r="BT45" s="564"/>
      <c r="BU45" s="564"/>
      <c r="BV45" s="564"/>
      <c r="BW45" s="564"/>
      <c r="BX45" s="564"/>
      <c r="BY45" s="564"/>
      <c r="BZ45" s="564"/>
      <c r="CA45" s="564"/>
      <c r="CB45" s="564"/>
      <c r="CC45" s="564"/>
      <c r="CD45" s="564"/>
      <c r="CE45" s="564" t="s">
        <v>4747</v>
      </c>
      <c r="CF45" s="564"/>
      <c r="CG45" s="564" t="s">
        <v>4287</v>
      </c>
      <c r="CH45" s="564"/>
      <c r="CI45" s="564" t="s">
        <v>4748</v>
      </c>
      <c r="CJ45" s="564"/>
      <c r="CK45" s="564"/>
      <c r="CL45" s="564"/>
      <c r="CM45" s="564"/>
      <c r="CN45" s="564"/>
      <c r="CO45" s="564"/>
      <c r="CP45" s="564"/>
      <c r="CQ45" s="564"/>
      <c r="CR45" s="564"/>
      <c r="CS45" s="564"/>
      <c r="CT45" s="564"/>
      <c r="CU45" s="564" t="s">
        <v>4749</v>
      </c>
      <c r="CV45" s="564"/>
      <c r="CW45" s="564" t="s">
        <v>4750</v>
      </c>
      <c r="CX45" s="564"/>
      <c r="CY45" s="564" t="s">
        <v>4751</v>
      </c>
      <c r="CZ45" s="564"/>
      <c r="DA45" s="564"/>
      <c r="DB45" s="564"/>
      <c r="DC45" s="564"/>
      <c r="DD45" s="564"/>
      <c r="DE45" s="564"/>
      <c r="DF45" s="564"/>
      <c r="DG45" s="564"/>
      <c r="DH45" s="564"/>
      <c r="DI45" s="564"/>
      <c r="DJ45" s="564"/>
      <c r="DK45" s="564" t="s">
        <v>4752</v>
      </c>
      <c r="DL45" s="564"/>
      <c r="DM45" s="564" t="s">
        <v>4753</v>
      </c>
      <c r="DN45" s="564"/>
      <c r="DO45" s="564" t="s">
        <v>4754</v>
      </c>
      <c r="DP45" s="564"/>
      <c r="DQ45" s="564"/>
      <c r="DR45" s="564"/>
      <c r="DS45" s="564"/>
      <c r="DT45" s="564"/>
      <c r="DU45" s="564"/>
      <c r="DV45" s="564"/>
      <c r="DW45" s="564"/>
    </row>
    <row r="46" spans="1:127" s="281" customFormat="1" x14ac:dyDescent="0.2">
      <c r="B46" s="72" t="str">
        <f t="shared" ref="B46:B55" ca="1" si="10">IF(OFFSET(R46,0,Lang_Order*Lang__R2)="","",OFFSET(R46,0,Lang_Order*Lang__R2))</f>
        <v>Current Health Expenditure (nominal US$)</v>
      </c>
      <c r="C46" s="284"/>
      <c r="D46" s="2" t="s">
        <v>26</v>
      </c>
      <c r="E46" s="667"/>
      <c r="G46" s="117">
        <f>C46</f>
        <v>0</v>
      </c>
      <c r="M46" s="459"/>
      <c r="O46" s="587"/>
      <c r="P46" s="564"/>
      <c r="Q46" s="564"/>
      <c r="R46" s="564" t="s">
        <v>4282</v>
      </c>
      <c r="S46" s="564"/>
      <c r="T46" s="564"/>
      <c r="U46" s="564"/>
      <c r="V46" s="564"/>
      <c r="W46" s="564"/>
      <c r="X46" s="564"/>
      <c r="Y46" s="564"/>
      <c r="Z46" s="564"/>
      <c r="AA46" s="564"/>
      <c r="AB46" s="564"/>
      <c r="AC46" s="564"/>
      <c r="AD46" s="564"/>
      <c r="AE46" s="564"/>
      <c r="AF46" s="564"/>
      <c r="AG46" s="564"/>
      <c r="AH46" s="564" t="s">
        <v>4755</v>
      </c>
      <c r="AI46" s="564"/>
      <c r="AJ46" s="564"/>
      <c r="AK46" s="564"/>
      <c r="AL46" s="564"/>
      <c r="AM46" s="564"/>
      <c r="AN46" s="564"/>
      <c r="AO46" s="564"/>
      <c r="AP46" s="564"/>
      <c r="AQ46" s="564"/>
      <c r="AR46" s="564"/>
      <c r="AS46" s="564"/>
      <c r="AT46" s="564"/>
      <c r="AU46" s="564"/>
      <c r="AV46" s="564"/>
      <c r="AW46" s="564"/>
      <c r="AX46" s="564" t="s">
        <v>4756</v>
      </c>
      <c r="AY46" s="564"/>
      <c r="AZ46" s="564"/>
      <c r="BA46" s="564"/>
      <c r="BB46" s="564"/>
      <c r="BC46" s="564"/>
      <c r="BD46" s="564"/>
      <c r="BE46" s="564"/>
      <c r="BF46" s="564"/>
      <c r="BG46" s="564"/>
      <c r="BH46" s="564"/>
      <c r="BI46" s="564"/>
      <c r="BJ46" s="564"/>
      <c r="BK46" s="564"/>
      <c r="BL46" s="564"/>
      <c r="BM46" s="564"/>
      <c r="BN46" s="564" t="s">
        <v>4757</v>
      </c>
      <c r="BO46" s="564"/>
      <c r="BP46" s="564"/>
      <c r="BQ46" s="564"/>
      <c r="BR46" s="564"/>
      <c r="BS46" s="564"/>
      <c r="BT46" s="564"/>
      <c r="BU46" s="564"/>
      <c r="BV46" s="564"/>
      <c r="BW46" s="564"/>
      <c r="BX46" s="564"/>
      <c r="BY46" s="564"/>
      <c r="BZ46" s="564"/>
      <c r="CA46" s="564"/>
      <c r="CB46" s="564"/>
      <c r="CC46" s="564"/>
      <c r="CD46" s="564" t="s">
        <v>4758</v>
      </c>
      <c r="CE46" s="564"/>
      <c r="CF46" s="564"/>
      <c r="CG46" s="564"/>
      <c r="CH46" s="564"/>
      <c r="CI46" s="564"/>
      <c r="CJ46" s="564"/>
      <c r="CK46" s="564"/>
      <c r="CL46" s="564"/>
      <c r="CM46" s="564"/>
      <c r="CN46" s="564"/>
      <c r="CO46" s="564"/>
      <c r="CP46" s="564"/>
      <c r="CQ46" s="564"/>
      <c r="CR46" s="564"/>
      <c r="CS46" s="564"/>
      <c r="CT46" s="564" t="s">
        <v>4759</v>
      </c>
      <c r="CU46" s="564"/>
      <c r="CV46" s="564"/>
      <c r="CW46" s="564"/>
      <c r="CX46" s="564"/>
      <c r="CY46" s="564"/>
      <c r="CZ46" s="564"/>
      <c r="DA46" s="564"/>
      <c r="DB46" s="564"/>
      <c r="DC46" s="564"/>
      <c r="DD46" s="564"/>
      <c r="DE46" s="564"/>
      <c r="DF46" s="564"/>
      <c r="DG46" s="564"/>
      <c r="DH46" s="564"/>
      <c r="DI46" s="564"/>
      <c r="DJ46" s="564" t="s">
        <v>4760</v>
      </c>
      <c r="DK46" s="564"/>
      <c r="DL46" s="564"/>
      <c r="DM46" s="564"/>
      <c r="DN46" s="564"/>
      <c r="DO46" s="564"/>
      <c r="DP46" s="564"/>
      <c r="DQ46" s="564"/>
      <c r="DR46" s="564"/>
      <c r="DS46" s="564"/>
      <c r="DT46" s="564"/>
      <c r="DU46" s="564"/>
      <c r="DV46" s="564"/>
      <c r="DW46" s="564"/>
    </row>
    <row r="47" spans="1:127" s="281" customFormat="1" x14ac:dyDescent="0.2">
      <c r="A47" s="350">
        <v>2</v>
      </c>
      <c r="B47" s="72" t="str">
        <f t="shared" ca="1" si="10"/>
        <v>General Government Health Expenditure (nominal US$)</v>
      </c>
      <c r="C47" s="284"/>
      <c r="D47" s="2" t="s">
        <v>26</v>
      </c>
      <c r="E47" s="667"/>
      <c r="G47" s="117">
        <f t="shared" ref="G47:G55" si="11">C47</f>
        <v>0</v>
      </c>
      <c r="M47" s="459"/>
      <c r="O47" s="587"/>
      <c r="P47" s="564"/>
      <c r="Q47" s="564"/>
      <c r="R47" s="564" t="s">
        <v>4283</v>
      </c>
      <c r="S47" s="564"/>
      <c r="T47" s="564"/>
      <c r="U47" s="564"/>
      <c r="V47" s="564"/>
      <c r="W47" s="564"/>
      <c r="X47" s="564"/>
      <c r="Y47" s="564"/>
      <c r="Z47" s="564"/>
      <c r="AA47" s="564"/>
      <c r="AB47" s="564"/>
      <c r="AC47" s="564"/>
      <c r="AD47" s="564"/>
      <c r="AE47" s="564"/>
      <c r="AF47" s="564"/>
      <c r="AG47" s="564"/>
      <c r="AH47" s="564" t="s">
        <v>4761</v>
      </c>
      <c r="AI47" s="564"/>
      <c r="AJ47" s="564"/>
      <c r="AK47" s="564"/>
      <c r="AL47" s="564"/>
      <c r="AM47" s="564"/>
      <c r="AN47" s="564"/>
      <c r="AO47" s="564"/>
      <c r="AP47" s="564"/>
      <c r="AQ47" s="564"/>
      <c r="AR47" s="564"/>
      <c r="AS47" s="564"/>
      <c r="AT47" s="564"/>
      <c r="AU47" s="564"/>
      <c r="AV47" s="564"/>
      <c r="AW47" s="564"/>
      <c r="AX47" s="564" t="s">
        <v>4762</v>
      </c>
      <c r="AY47" s="564"/>
      <c r="AZ47" s="564"/>
      <c r="BA47" s="564"/>
      <c r="BB47" s="564"/>
      <c r="BC47" s="564"/>
      <c r="BD47" s="564"/>
      <c r="BE47" s="564"/>
      <c r="BF47" s="564"/>
      <c r="BG47" s="564"/>
      <c r="BH47" s="564"/>
      <c r="BI47" s="564"/>
      <c r="BJ47" s="564"/>
      <c r="BK47" s="564"/>
      <c r="BL47" s="564"/>
      <c r="BM47" s="564"/>
      <c r="BN47" s="564" t="s">
        <v>4763</v>
      </c>
      <c r="BO47" s="564"/>
      <c r="BP47" s="564"/>
      <c r="BQ47" s="564"/>
      <c r="BR47" s="564"/>
      <c r="BS47" s="564"/>
      <c r="BT47" s="564"/>
      <c r="BU47" s="564"/>
      <c r="BV47" s="564"/>
      <c r="BW47" s="564"/>
      <c r="BX47" s="564"/>
      <c r="BY47" s="564"/>
      <c r="BZ47" s="564"/>
      <c r="CA47" s="564"/>
      <c r="CB47" s="564"/>
      <c r="CC47" s="564"/>
      <c r="CD47" s="564" t="s">
        <v>4764</v>
      </c>
      <c r="CE47" s="564"/>
      <c r="CF47" s="564"/>
      <c r="CG47" s="564"/>
      <c r="CH47" s="564"/>
      <c r="CI47" s="564"/>
      <c r="CJ47" s="564"/>
      <c r="CK47" s="564"/>
      <c r="CL47" s="564"/>
      <c r="CM47" s="564"/>
      <c r="CN47" s="564"/>
      <c r="CO47" s="564"/>
      <c r="CP47" s="564"/>
      <c r="CQ47" s="564"/>
      <c r="CR47" s="564"/>
      <c r="CS47" s="564"/>
      <c r="CT47" s="564" t="s">
        <v>4765</v>
      </c>
      <c r="CU47" s="564"/>
      <c r="CV47" s="564"/>
      <c r="CW47" s="564"/>
      <c r="CX47" s="564"/>
      <c r="CY47" s="564"/>
      <c r="CZ47" s="564"/>
      <c r="DA47" s="564"/>
      <c r="DB47" s="564"/>
      <c r="DC47" s="564"/>
      <c r="DD47" s="564"/>
      <c r="DE47" s="564"/>
      <c r="DF47" s="564"/>
      <c r="DG47" s="564"/>
      <c r="DH47" s="564"/>
      <c r="DI47" s="564"/>
      <c r="DJ47" s="564" t="s">
        <v>4766</v>
      </c>
      <c r="DK47" s="564"/>
      <c r="DL47" s="564"/>
      <c r="DM47" s="564"/>
      <c r="DN47" s="564"/>
      <c r="DO47" s="564"/>
      <c r="DP47" s="564"/>
      <c r="DQ47" s="564"/>
      <c r="DR47" s="564"/>
      <c r="DS47" s="564"/>
      <c r="DT47" s="564"/>
      <c r="DU47" s="564"/>
      <c r="DV47" s="564"/>
      <c r="DW47" s="564"/>
    </row>
    <row r="48" spans="1:127" s="281" customFormat="1" x14ac:dyDescent="0.2">
      <c r="A48" s="350">
        <v>2</v>
      </c>
      <c r="B48" s="72" t="str">
        <f t="shared" ca="1" si="10"/>
        <v>Domestic General Government Health Expenditure (nominal US$)</v>
      </c>
      <c r="C48" s="284"/>
      <c r="D48" s="2" t="s">
        <v>26</v>
      </c>
      <c r="E48" s="667"/>
      <c r="G48" s="117">
        <f t="shared" si="11"/>
        <v>0</v>
      </c>
      <c r="M48" s="459"/>
      <c r="O48" s="587"/>
      <c r="P48" s="564"/>
      <c r="Q48" s="564"/>
      <c r="R48" s="564" t="s">
        <v>4285</v>
      </c>
      <c r="S48" s="564"/>
      <c r="T48" s="564"/>
      <c r="U48" s="564"/>
      <c r="V48" s="564"/>
      <c r="W48" s="564"/>
      <c r="X48" s="564"/>
      <c r="Y48" s="564"/>
      <c r="Z48" s="564"/>
      <c r="AA48" s="564"/>
      <c r="AB48" s="564"/>
      <c r="AC48" s="564"/>
      <c r="AD48" s="564"/>
      <c r="AE48" s="564"/>
      <c r="AF48" s="564"/>
      <c r="AG48" s="564"/>
      <c r="AH48" s="564" t="s">
        <v>4767</v>
      </c>
      <c r="AI48" s="564"/>
      <c r="AJ48" s="564"/>
      <c r="AK48" s="564"/>
      <c r="AL48" s="564"/>
      <c r="AM48" s="564"/>
      <c r="AN48" s="564"/>
      <c r="AO48" s="564"/>
      <c r="AP48" s="564"/>
      <c r="AQ48" s="564"/>
      <c r="AR48" s="564"/>
      <c r="AS48" s="564"/>
      <c r="AT48" s="564"/>
      <c r="AU48" s="564"/>
      <c r="AV48" s="564"/>
      <c r="AW48" s="564"/>
      <c r="AX48" s="564" t="s">
        <v>4768</v>
      </c>
      <c r="AY48" s="564"/>
      <c r="AZ48" s="564"/>
      <c r="BA48" s="564"/>
      <c r="BB48" s="564"/>
      <c r="BC48" s="564"/>
      <c r="BD48" s="564"/>
      <c r="BE48" s="564"/>
      <c r="BF48" s="564"/>
      <c r="BG48" s="564"/>
      <c r="BH48" s="564"/>
      <c r="BI48" s="564"/>
      <c r="BJ48" s="564"/>
      <c r="BK48" s="564"/>
      <c r="BL48" s="564"/>
      <c r="BM48" s="564"/>
      <c r="BN48" s="564" t="s">
        <v>4769</v>
      </c>
      <c r="BO48" s="564"/>
      <c r="BP48" s="564"/>
      <c r="BQ48" s="564"/>
      <c r="BR48" s="564"/>
      <c r="BS48" s="564"/>
      <c r="BT48" s="564"/>
      <c r="BU48" s="564"/>
      <c r="BV48" s="564"/>
      <c r="BW48" s="564"/>
      <c r="BX48" s="564"/>
      <c r="BY48" s="564"/>
      <c r="BZ48" s="564"/>
      <c r="CA48" s="564"/>
      <c r="CB48" s="564"/>
      <c r="CC48" s="564"/>
      <c r="CD48" s="564" t="s">
        <v>4770</v>
      </c>
      <c r="CE48" s="564"/>
      <c r="CF48" s="564"/>
      <c r="CG48" s="564"/>
      <c r="CH48" s="564"/>
      <c r="CI48" s="564"/>
      <c r="CJ48" s="564"/>
      <c r="CK48" s="564"/>
      <c r="CL48" s="564"/>
      <c r="CM48" s="564"/>
      <c r="CN48" s="564"/>
      <c r="CO48" s="564"/>
      <c r="CP48" s="564"/>
      <c r="CQ48" s="564"/>
      <c r="CR48" s="564"/>
      <c r="CS48" s="564"/>
      <c r="CT48" s="564" t="s">
        <v>4771</v>
      </c>
      <c r="CU48" s="564"/>
      <c r="CV48" s="564"/>
      <c r="CW48" s="564"/>
      <c r="CX48" s="564"/>
      <c r="CY48" s="564"/>
      <c r="CZ48" s="564"/>
      <c r="DA48" s="564"/>
      <c r="DB48" s="564"/>
      <c r="DC48" s="564"/>
      <c r="DD48" s="564"/>
      <c r="DE48" s="564"/>
      <c r="DF48" s="564"/>
      <c r="DG48" s="564"/>
      <c r="DH48" s="564"/>
      <c r="DI48" s="564"/>
      <c r="DJ48" s="564" t="s">
        <v>4772</v>
      </c>
      <c r="DK48" s="564"/>
      <c r="DL48" s="564"/>
      <c r="DM48" s="564"/>
      <c r="DN48" s="564"/>
      <c r="DO48" s="564"/>
      <c r="DP48" s="564"/>
      <c r="DQ48" s="564"/>
      <c r="DR48" s="564"/>
      <c r="DS48" s="564"/>
      <c r="DT48" s="564"/>
      <c r="DU48" s="564"/>
      <c r="DV48" s="564"/>
      <c r="DW48" s="564"/>
    </row>
    <row r="49" spans="1:127" s="499" customFormat="1" x14ac:dyDescent="0.2">
      <c r="A49" s="350">
        <v>2</v>
      </c>
      <c r="B49" s="612" t="str">
        <f t="shared" ca="1" si="10"/>
        <v>Domestic General Government Health Expenditure + Development Aid for Health [GGHED + DAH] (nominal US$)</v>
      </c>
      <c r="C49" s="284"/>
      <c r="D49" s="2" t="s">
        <v>26</v>
      </c>
      <c r="E49" s="667"/>
      <c r="G49" s="117">
        <f t="shared" si="11"/>
        <v>0</v>
      </c>
      <c r="O49" s="587"/>
      <c r="P49" s="564"/>
      <c r="Q49" s="564"/>
      <c r="R49" s="564" t="s">
        <v>4496</v>
      </c>
      <c r="S49" s="564"/>
      <c r="T49" s="564"/>
      <c r="U49" s="564"/>
      <c r="V49" s="564"/>
      <c r="W49" s="564"/>
      <c r="X49" s="564"/>
      <c r="Y49" s="564"/>
      <c r="Z49" s="564"/>
      <c r="AA49" s="564"/>
      <c r="AB49" s="564"/>
      <c r="AC49" s="564"/>
      <c r="AD49" s="564"/>
      <c r="AE49" s="564"/>
      <c r="AF49" s="564"/>
      <c r="AG49" s="564"/>
      <c r="AH49" s="564" t="s">
        <v>14029</v>
      </c>
      <c r="AI49" s="564"/>
      <c r="AJ49" s="564"/>
      <c r="AK49" s="564"/>
      <c r="AL49" s="564"/>
      <c r="AM49" s="564"/>
      <c r="AN49" s="564"/>
      <c r="AO49" s="564"/>
      <c r="AP49" s="564"/>
      <c r="AQ49" s="564"/>
      <c r="AR49" s="564"/>
      <c r="AS49" s="564"/>
      <c r="AT49" s="564"/>
      <c r="AU49" s="564"/>
      <c r="AV49" s="564"/>
      <c r="AW49" s="564"/>
      <c r="AX49" s="564" t="s">
        <v>14030</v>
      </c>
      <c r="AY49" s="564"/>
      <c r="AZ49" s="564"/>
      <c r="BA49" s="564"/>
      <c r="BB49" s="564"/>
      <c r="BC49" s="564"/>
      <c r="BD49" s="564"/>
      <c r="BE49" s="564"/>
      <c r="BF49" s="564"/>
      <c r="BG49" s="564"/>
      <c r="BH49" s="564"/>
      <c r="BI49" s="564"/>
      <c r="BJ49" s="564"/>
      <c r="BK49" s="564"/>
      <c r="BL49" s="564"/>
      <c r="BM49" s="564"/>
      <c r="BN49" s="564" t="s">
        <v>14031</v>
      </c>
      <c r="BO49" s="564"/>
      <c r="BP49" s="564"/>
      <c r="BQ49" s="564"/>
      <c r="BR49" s="564"/>
      <c r="BS49" s="564"/>
      <c r="BT49" s="564"/>
      <c r="BU49" s="564"/>
      <c r="BV49" s="564"/>
      <c r="BW49" s="564"/>
      <c r="BX49" s="564"/>
      <c r="BY49" s="564"/>
      <c r="BZ49" s="564"/>
      <c r="CA49" s="564"/>
      <c r="CB49" s="564"/>
      <c r="CC49" s="564"/>
      <c r="CD49" s="564" t="s">
        <v>14032</v>
      </c>
      <c r="CE49" s="564"/>
      <c r="CF49" s="564"/>
      <c r="CG49" s="564"/>
      <c r="CH49" s="564"/>
      <c r="CI49" s="564"/>
      <c r="CJ49" s="564"/>
      <c r="CK49" s="564"/>
      <c r="CL49" s="564"/>
      <c r="CM49" s="564"/>
      <c r="CN49" s="564"/>
      <c r="CO49" s="564"/>
      <c r="CP49" s="564"/>
      <c r="CQ49" s="564"/>
      <c r="CR49" s="564"/>
      <c r="CS49" s="564"/>
      <c r="CT49" s="564" t="s">
        <v>14033</v>
      </c>
      <c r="CU49" s="564"/>
      <c r="CV49" s="564"/>
      <c r="CW49" s="564"/>
      <c r="CX49" s="564"/>
      <c r="CY49" s="564"/>
      <c r="CZ49" s="564"/>
      <c r="DA49" s="564"/>
      <c r="DB49" s="564"/>
      <c r="DC49" s="564"/>
      <c r="DD49" s="564"/>
      <c r="DE49" s="564"/>
      <c r="DF49" s="564"/>
      <c r="DG49" s="564"/>
      <c r="DH49" s="564"/>
      <c r="DI49" s="564"/>
      <c r="DJ49" s="564" t="s">
        <v>14034</v>
      </c>
      <c r="DK49" s="564"/>
      <c r="DL49" s="564"/>
      <c r="DM49" s="564"/>
      <c r="DN49" s="564"/>
      <c r="DO49" s="564"/>
      <c r="DP49" s="564"/>
      <c r="DQ49" s="564"/>
      <c r="DR49" s="564"/>
      <c r="DS49" s="564"/>
      <c r="DT49" s="564"/>
      <c r="DU49" s="564"/>
      <c r="DV49" s="564"/>
      <c r="DW49" s="564"/>
    </row>
    <row r="50" spans="1:127" s="281" customFormat="1" x14ac:dyDescent="0.2">
      <c r="A50" s="350">
        <v>2</v>
      </c>
      <c r="B50" s="72" t="str">
        <f t="shared" ca="1" si="10"/>
        <v>External Health Expenditure (nominal US$)</v>
      </c>
      <c r="C50" s="284"/>
      <c r="D50" s="2" t="s">
        <v>26</v>
      </c>
      <c r="E50" s="667"/>
      <c r="G50" s="117">
        <f t="shared" si="11"/>
        <v>0</v>
      </c>
      <c r="M50" s="459"/>
      <c r="O50" s="587"/>
      <c r="P50" s="564"/>
      <c r="Q50" s="564"/>
      <c r="R50" s="564" t="s">
        <v>4284</v>
      </c>
      <c r="S50" s="564"/>
      <c r="T50" s="564"/>
      <c r="U50" s="564"/>
      <c r="V50" s="564"/>
      <c r="W50" s="564"/>
      <c r="X50" s="564"/>
      <c r="Y50" s="564"/>
      <c r="Z50" s="564"/>
      <c r="AA50" s="564"/>
      <c r="AB50" s="564"/>
      <c r="AC50" s="564"/>
      <c r="AD50" s="564"/>
      <c r="AE50" s="564"/>
      <c r="AF50" s="564"/>
      <c r="AG50" s="564"/>
      <c r="AH50" s="564" t="s">
        <v>4773</v>
      </c>
      <c r="AI50" s="564"/>
      <c r="AJ50" s="564"/>
      <c r="AK50" s="564"/>
      <c r="AL50" s="564"/>
      <c r="AM50" s="564"/>
      <c r="AN50" s="564"/>
      <c r="AO50" s="564"/>
      <c r="AP50" s="564"/>
      <c r="AQ50" s="564"/>
      <c r="AR50" s="564"/>
      <c r="AS50" s="564"/>
      <c r="AT50" s="564"/>
      <c r="AU50" s="564"/>
      <c r="AV50" s="564"/>
      <c r="AW50" s="564"/>
      <c r="AX50" s="564" t="s">
        <v>4774</v>
      </c>
      <c r="AY50" s="564"/>
      <c r="AZ50" s="564"/>
      <c r="BA50" s="564"/>
      <c r="BB50" s="564"/>
      <c r="BC50" s="564"/>
      <c r="BD50" s="564"/>
      <c r="BE50" s="564"/>
      <c r="BF50" s="564"/>
      <c r="BG50" s="564"/>
      <c r="BH50" s="564"/>
      <c r="BI50" s="564"/>
      <c r="BJ50" s="564"/>
      <c r="BK50" s="564"/>
      <c r="BL50" s="564"/>
      <c r="BM50" s="564"/>
      <c r="BN50" s="564" t="s">
        <v>4775</v>
      </c>
      <c r="BO50" s="564"/>
      <c r="BP50" s="564"/>
      <c r="BQ50" s="564"/>
      <c r="BR50" s="564"/>
      <c r="BS50" s="564"/>
      <c r="BT50" s="564"/>
      <c r="BU50" s="564"/>
      <c r="BV50" s="564"/>
      <c r="BW50" s="564"/>
      <c r="BX50" s="564"/>
      <c r="BY50" s="564"/>
      <c r="BZ50" s="564"/>
      <c r="CA50" s="564"/>
      <c r="CB50" s="564"/>
      <c r="CC50" s="564"/>
      <c r="CD50" s="564" t="s">
        <v>4776</v>
      </c>
      <c r="CE50" s="564"/>
      <c r="CF50" s="564"/>
      <c r="CG50" s="564"/>
      <c r="CH50" s="564"/>
      <c r="CI50" s="564"/>
      <c r="CJ50" s="564"/>
      <c r="CK50" s="564"/>
      <c r="CL50" s="564"/>
      <c r="CM50" s="564"/>
      <c r="CN50" s="564"/>
      <c r="CO50" s="564"/>
      <c r="CP50" s="564"/>
      <c r="CQ50" s="564"/>
      <c r="CR50" s="564"/>
      <c r="CS50" s="564"/>
      <c r="CT50" s="564" t="s">
        <v>4777</v>
      </c>
      <c r="CU50" s="564"/>
      <c r="CV50" s="564"/>
      <c r="CW50" s="564"/>
      <c r="CX50" s="564"/>
      <c r="CY50" s="564"/>
      <c r="CZ50" s="564"/>
      <c r="DA50" s="564"/>
      <c r="DB50" s="564"/>
      <c r="DC50" s="564"/>
      <c r="DD50" s="564"/>
      <c r="DE50" s="564"/>
      <c r="DF50" s="564"/>
      <c r="DG50" s="564"/>
      <c r="DH50" s="564"/>
      <c r="DI50" s="564"/>
      <c r="DJ50" s="564" t="s">
        <v>4778</v>
      </c>
      <c r="DK50" s="564"/>
      <c r="DL50" s="564"/>
      <c r="DM50" s="564"/>
      <c r="DN50" s="564"/>
      <c r="DO50" s="564"/>
      <c r="DP50" s="564"/>
      <c r="DQ50" s="564"/>
      <c r="DR50" s="564"/>
      <c r="DS50" s="564"/>
      <c r="DT50" s="564"/>
      <c r="DU50" s="564"/>
      <c r="DV50" s="564"/>
      <c r="DW50" s="564"/>
    </row>
    <row r="51" spans="1:127" s="281" customFormat="1" x14ac:dyDescent="0.2">
      <c r="A51" s="350">
        <v>2</v>
      </c>
      <c r="B51" s="72" t="str">
        <f t="shared" ca="1" si="10"/>
        <v>Health Capital Expenditure (nominal US$)</v>
      </c>
      <c r="C51" s="284"/>
      <c r="D51" s="2" t="s">
        <v>26</v>
      </c>
      <c r="E51" s="667"/>
      <c r="G51" s="117">
        <f t="shared" si="11"/>
        <v>0</v>
      </c>
      <c r="M51" s="459"/>
      <c r="O51" s="587"/>
      <c r="P51" s="564"/>
      <c r="Q51" s="564"/>
      <c r="R51" s="564" t="s">
        <v>4286</v>
      </c>
      <c r="S51" s="564"/>
      <c r="T51" s="564"/>
      <c r="U51" s="564"/>
      <c r="V51" s="564"/>
      <c r="W51" s="564"/>
      <c r="X51" s="564"/>
      <c r="Y51" s="564"/>
      <c r="Z51" s="564"/>
      <c r="AA51" s="564"/>
      <c r="AB51" s="564"/>
      <c r="AC51" s="564"/>
      <c r="AD51" s="564"/>
      <c r="AE51" s="564"/>
      <c r="AF51" s="564"/>
      <c r="AG51" s="564"/>
      <c r="AH51" s="564" t="s">
        <v>4779</v>
      </c>
      <c r="AI51" s="564"/>
      <c r="AJ51" s="564"/>
      <c r="AK51" s="564"/>
      <c r="AL51" s="564"/>
      <c r="AM51" s="564"/>
      <c r="AN51" s="564"/>
      <c r="AO51" s="564"/>
      <c r="AP51" s="564"/>
      <c r="AQ51" s="564"/>
      <c r="AR51" s="564"/>
      <c r="AS51" s="564"/>
      <c r="AT51" s="564"/>
      <c r="AU51" s="564"/>
      <c r="AV51" s="564"/>
      <c r="AW51" s="564"/>
      <c r="AX51" s="564" t="s">
        <v>4780</v>
      </c>
      <c r="AY51" s="564"/>
      <c r="AZ51" s="564"/>
      <c r="BA51" s="564"/>
      <c r="BB51" s="564"/>
      <c r="BC51" s="564"/>
      <c r="BD51" s="564"/>
      <c r="BE51" s="564"/>
      <c r="BF51" s="564"/>
      <c r="BG51" s="564"/>
      <c r="BH51" s="564"/>
      <c r="BI51" s="564"/>
      <c r="BJ51" s="564"/>
      <c r="BK51" s="564"/>
      <c r="BL51" s="564"/>
      <c r="BM51" s="564"/>
      <c r="BN51" s="564" t="s">
        <v>4781</v>
      </c>
      <c r="BO51" s="564"/>
      <c r="BP51" s="564"/>
      <c r="BQ51" s="564"/>
      <c r="BR51" s="564"/>
      <c r="BS51" s="564"/>
      <c r="BT51" s="564"/>
      <c r="BU51" s="564"/>
      <c r="BV51" s="564"/>
      <c r="BW51" s="564"/>
      <c r="BX51" s="564"/>
      <c r="BY51" s="564"/>
      <c r="BZ51" s="564"/>
      <c r="CA51" s="564"/>
      <c r="CB51" s="564"/>
      <c r="CC51" s="564"/>
      <c r="CD51" s="564" t="s">
        <v>4782</v>
      </c>
      <c r="CE51" s="564"/>
      <c r="CF51" s="564"/>
      <c r="CG51" s="564"/>
      <c r="CH51" s="564"/>
      <c r="CI51" s="564"/>
      <c r="CJ51" s="564"/>
      <c r="CK51" s="564"/>
      <c r="CL51" s="564"/>
      <c r="CM51" s="564"/>
      <c r="CN51" s="564"/>
      <c r="CO51" s="564"/>
      <c r="CP51" s="564"/>
      <c r="CQ51" s="564"/>
      <c r="CR51" s="564"/>
      <c r="CS51" s="564"/>
      <c r="CT51" s="564" t="s">
        <v>4783</v>
      </c>
      <c r="CU51" s="564"/>
      <c r="CV51" s="564"/>
      <c r="CW51" s="564"/>
      <c r="CX51" s="564"/>
      <c r="CY51" s="564"/>
      <c r="CZ51" s="564"/>
      <c r="DA51" s="564"/>
      <c r="DB51" s="564"/>
      <c r="DC51" s="564"/>
      <c r="DD51" s="564"/>
      <c r="DE51" s="564"/>
      <c r="DF51" s="564"/>
      <c r="DG51" s="564"/>
      <c r="DH51" s="564"/>
      <c r="DI51" s="564"/>
      <c r="DJ51" s="564" t="s">
        <v>4784</v>
      </c>
      <c r="DK51" s="564"/>
      <c r="DL51" s="564"/>
      <c r="DM51" s="564"/>
      <c r="DN51" s="564"/>
      <c r="DO51" s="564"/>
      <c r="DP51" s="564"/>
      <c r="DQ51" s="564"/>
      <c r="DR51" s="564"/>
      <c r="DS51" s="564"/>
      <c r="DT51" s="564"/>
      <c r="DU51" s="564"/>
      <c r="DV51" s="564"/>
      <c r="DW51" s="564"/>
    </row>
    <row r="52" spans="1:127" s="459" customFormat="1" x14ac:dyDescent="0.2">
      <c r="A52" s="350">
        <v>2</v>
      </c>
      <c r="B52" s="612" t="str">
        <f t="shared" ca="1" si="10"/>
        <v>Total Expenditure on Vaccines from All Financing Sources (US$); Average of 2015-2019. Data Source: JRF (6520)</v>
      </c>
      <c r="C52" s="284"/>
      <c r="D52" s="2" t="s">
        <v>26</v>
      </c>
      <c r="E52" s="667"/>
      <c r="G52" s="117">
        <f t="shared" si="11"/>
        <v>0</v>
      </c>
      <c r="O52" s="587"/>
      <c r="P52" s="564"/>
      <c r="Q52" s="564"/>
      <c r="R52" s="564" t="s">
        <v>14723</v>
      </c>
      <c r="S52" s="564"/>
      <c r="T52" s="564"/>
      <c r="U52" s="564"/>
      <c r="V52" s="564"/>
      <c r="W52" s="564"/>
      <c r="X52" s="564"/>
      <c r="Y52" s="564"/>
      <c r="Z52" s="564"/>
      <c r="AA52" s="564"/>
      <c r="AB52" s="564"/>
      <c r="AC52" s="564"/>
      <c r="AD52" s="564"/>
      <c r="AE52" s="564"/>
      <c r="AF52" s="564"/>
      <c r="AG52" s="564"/>
      <c r="AH52" s="564" t="s">
        <v>14729</v>
      </c>
      <c r="AI52" s="564"/>
      <c r="AJ52" s="564"/>
      <c r="AK52" s="564"/>
      <c r="AL52" s="564"/>
      <c r="AM52" s="564"/>
      <c r="AN52" s="564"/>
      <c r="AO52" s="564"/>
      <c r="AP52" s="564"/>
      <c r="AQ52" s="564"/>
      <c r="AR52" s="564"/>
      <c r="AS52" s="564"/>
      <c r="AT52" s="564"/>
      <c r="AU52" s="564"/>
      <c r="AV52" s="564"/>
      <c r="AW52" s="564"/>
      <c r="AX52" s="564" t="s">
        <v>14730</v>
      </c>
      <c r="AY52" s="564"/>
      <c r="AZ52" s="564"/>
      <c r="BA52" s="564"/>
      <c r="BB52" s="564"/>
      <c r="BC52" s="564"/>
      <c r="BD52" s="564"/>
      <c r="BE52" s="564"/>
      <c r="BF52" s="564"/>
      <c r="BG52" s="564"/>
      <c r="BH52" s="564"/>
      <c r="BI52" s="564"/>
      <c r="BJ52" s="564"/>
      <c r="BK52" s="564"/>
      <c r="BL52" s="564"/>
      <c r="BM52" s="564"/>
      <c r="BN52" s="564" t="s">
        <v>14731</v>
      </c>
      <c r="BO52" s="564"/>
      <c r="BP52" s="564"/>
      <c r="BQ52" s="564"/>
      <c r="BR52" s="564"/>
      <c r="BS52" s="564"/>
      <c r="BT52" s="564"/>
      <c r="BU52" s="564"/>
      <c r="BV52" s="564"/>
      <c r="BW52" s="564"/>
      <c r="BX52" s="564"/>
      <c r="BY52" s="564"/>
      <c r="BZ52" s="564"/>
      <c r="CA52" s="564"/>
      <c r="CB52" s="564"/>
      <c r="CC52" s="564"/>
      <c r="CD52" s="564" t="s">
        <v>14732</v>
      </c>
      <c r="CE52" s="564"/>
      <c r="CF52" s="564"/>
      <c r="CG52" s="564"/>
      <c r="CH52" s="564"/>
      <c r="CI52" s="564"/>
      <c r="CJ52" s="564"/>
      <c r="CK52" s="564"/>
      <c r="CL52" s="564"/>
      <c r="CM52" s="564"/>
      <c r="CN52" s="564"/>
      <c r="CO52" s="564"/>
      <c r="CP52" s="564"/>
      <c r="CQ52" s="564"/>
      <c r="CR52" s="564"/>
      <c r="CS52" s="564"/>
      <c r="CT52" s="564" t="s">
        <v>14733</v>
      </c>
      <c r="CU52" s="564"/>
      <c r="CV52" s="564"/>
      <c r="CW52" s="564"/>
      <c r="CX52" s="564"/>
      <c r="CY52" s="564"/>
      <c r="CZ52" s="564"/>
      <c r="DA52" s="564"/>
      <c r="DB52" s="564"/>
      <c r="DC52" s="564"/>
      <c r="DD52" s="564"/>
      <c r="DE52" s="564"/>
      <c r="DF52" s="564"/>
      <c r="DG52" s="564"/>
      <c r="DH52" s="564"/>
      <c r="DI52" s="564"/>
      <c r="DJ52" s="564" t="s">
        <v>14734</v>
      </c>
      <c r="DK52" s="564"/>
      <c r="DL52" s="564"/>
      <c r="DM52" s="564"/>
      <c r="DN52" s="564"/>
      <c r="DO52" s="564"/>
      <c r="DP52" s="564"/>
      <c r="DQ52" s="564"/>
      <c r="DR52" s="564"/>
      <c r="DS52" s="564"/>
      <c r="DT52" s="564"/>
      <c r="DU52" s="564"/>
      <c r="DV52" s="564"/>
      <c r="DW52" s="564"/>
    </row>
    <row r="53" spans="1:127" s="463" customFormat="1" x14ac:dyDescent="0.2">
      <c r="A53" s="350">
        <v>2</v>
      </c>
      <c r="B53" s="72" t="str">
        <f t="shared" ca="1" si="10"/>
        <v>General Government Expenditure (nominal US$) 2021p</v>
      </c>
      <c r="C53" s="284"/>
      <c r="D53" s="2" t="s">
        <v>26</v>
      </c>
      <c r="E53" s="667"/>
      <c r="F53" s="2" t="s">
        <v>4455</v>
      </c>
      <c r="G53" s="117">
        <f t="shared" si="11"/>
        <v>0</v>
      </c>
      <c r="O53" s="587"/>
      <c r="P53" s="564"/>
      <c r="Q53" s="564"/>
      <c r="R53" s="564" t="s">
        <v>4453</v>
      </c>
      <c r="S53" s="564"/>
      <c r="T53" s="564"/>
      <c r="U53" s="564"/>
      <c r="V53" s="564"/>
      <c r="W53" s="564"/>
      <c r="X53" s="564"/>
      <c r="Y53" s="564"/>
      <c r="Z53" s="564"/>
      <c r="AA53" s="564"/>
      <c r="AB53" s="564"/>
      <c r="AC53" s="564"/>
      <c r="AD53" s="564"/>
      <c r="AE53" s="564"/>
      <c r="AF53" s="564"/>
      <c r="AG53" s="564"/>
      <c r="AH53" s="564" t="s">
        <v>14035</v>
      </c>
      <c r="AI53" s="564"/>
      <c r="AJ53" s="564"/>
      <c r="AK53" s="564"/>
      <c r="AL53" s="564"/>
      <c r="AM53" s="564"/>
      <c r="AN53" s="564"/>
      <c r="AO53" s="564"/>
      <c r="AP53" s="564"/>
      <c r="AQ53" s="564"/>
      <c r="AR53" s="564"/>
      <c r="AS53" s="564"/>
      <c r="AT53" s="564"/>
      <c r="AU53" s="564"/>
      <c r="AV53" s="564"/>
      <c r="AW53" s="564"/>
      <c r="AX53" s="564" t="s">
        <v>14036</v>
      </c>
      <c r="AY53" s="564"/>
      <c r="AZ53" s="564"/>
      <c r="BA53" s="564"/>
      <c r="BB53" s="564"/>
      <c r="BC53" s="564"/>
      <c r="BD53" s="564"/>
      <c r="BE53" s="564"/>
      <c r="BF53" s="564"/>
      <c r="BG53" s="564"/>
      <c r="BH53" s="564"/>
      <c r="BI53" s="564"/>
      <c r="BJ53" s="564"/>
      <c r="BK53" s="564"/>
      <c r="BL53" s="564"/>
      <c r="BM53" s="564"/>
      <c r="BN53" s="564" t="s">
        <v>14037</v>
      </c>
      <c r="BO53" s="564"/>
      <c r="BP53" s="564"/>
      <c r="BQ53" s="564"/>
      <c r="BR53" s="564"/>
      <c r="BS53" s="564"/>
      <c r="BT53" s="564"/>
      <c r="BU53" s="564"/>
      <c r="BV53" s="564"/>
      <c r="BW53" s="564"/>
      <c r="BX53" s="564"/>
      <c r="BY53" s="564"/>
      <c r="BZ53" s="564"/>
      <c r="CA53" s="564"/>
      <c r="CB53" s="564"/>
      <c r="CC53" s="564"/>
      <c r="CD53" s="564" t="s">
        <v>14038</v>
      </c>
      <c r="CE53" s="564"/>
      <c r="CF53" s="564"/>
      <c r="CG53" s="564"/>
      <c r="CH53" s="564"/>
      <c r="CI53" s="564"/>
      <c r="CJ53" s="564"/>
      <c r="CK53" s="564"/>
      <c r="CL53" s="564"/>
      <c r="CM53" s="564"/>
      <c r="CN53" s="564"/>
      <c r="CO53" s="564"/>
      <c r="CP53" s="564"/>
      <c r="CQ53" s="564"/>
      <c r="CR53" s="564"/>
      <c r="CS53" s="564"/>
      <c r="CT53" s="564" t="s">
        <v>14039</v>
      </c>
      <c r="CU53" s="564"/>
      <c r="CV53" s="564"/>
      <c r="CW53" s="564"/>
      <c r="CX53" s="564"/>
      <c r="CY53" s="564"/>
      <c r="CZ53" s="564"/>
      <c r="DA53" s="564"/>
      <c r="DB53" s="564"/>
      <c r="DC53" s="564"/>
      <c r="DD53" s="564"/>
      <c r="DE53" s="564"/>
      <c r="DF53" s="564"/>
      <c r="DG53" s="564"/>
      <c r="DH53" s="564"/>
      <c r="DI53" s="564"/>
      <c r="DJ53" s="564" t="s">
        <v>14040</v>
      </c>
      <c r="DK53" s="564"/>
      <c r="DL53" s="564"/>
      <c r="DM53" s="564"/>
      <c r="DN53" s="564"/>
      <c r="DO53" s="564"/>
      <c r="DP53" s="564"/>
      <c r="DQ53" s="564"/>
      <c r="DR53" s="564"/>
      <c r="DS53" s="564"/>
      <c r="DT53" s="564"/>
      <c r="DU53" s="564"/>
      <c r="DV53" s="564"/>
      <c r="DW53" s="564"/>
    </row>
    <row r="54" spans="1:127" s="499" customFormat="1" x14ac:dyDescent="0.2">
      <c r="A54" s="350">
        <v>2</v>
      </c>
      <c r="B54" s="72" t="str">
        <f t="shared" ca="1" si="10"/>
        <v>General Government Expenditure (nominal US$) 2022p</v>
      </c>
      <c r="C54" s="284"/>
      <c r="D54" s="2" t="s">
        <v>26</v>
      </c>
      <c r="E54" s="667"/>
      <c r="F54" s="2" t="s">
        <v>4455</v>
      </c>
      <c r="G54" s="117">
        <f t="shared" si="11"/>
        <v>0</v>
      </c>
      <c r="O54" s="587"/>
      <c r="P54" s="564"/>
      <c r="Q54" s="564"/>
      <c r="R54" s="564" t="s">
        <v>4452</v>
      </c>
      <c r="S54" s="564"/>
      <c r="T54" s="564"/>
      <c r="U54" s="564"/>
      <c r="V54" s="564"/>
      <c r="W54" s="564"/>
      <c r="X54" s="564"/>
      <c r="Y54" s="564"/>
      <c r="Z54" s="564"/>
      <c r="AA54" s="564"/>
      <c r="AB54" s="564"/>
      <c r="AC54" s="564"/>
      <c r="AD54" s="564"/>
      <c r="AE54" s="564"/>
      <c r="AF54" s="564"/>
      <c r="AG54" s="564"/>
      <c r="AH54" s="564" t="s">
        <v>14041</v>
      </c>
      <c r="AI54" s="564"/>
      <c r="AJ54" s="564"/>
      <c r="AK54" s="564"/>
      <c r="AL54" s="564"/>
      <c r="AM54" s="564"/>
      <c r="AN54" s="564"/>
      <c r="AO54" s="564"/>
      <c r="AP54" s="564"/>
      <c r="AQ54" s="564"/>
      <c r="AR54" s="564"/>
      <c r="AS54" s="564"/>
      <c r="AT54" s="564"/>
      <c r="AU54" s="564"/>
      <c r="AV54" s="564"/>
      <c r="AW54" s="564"/>
      <c r="AX54" s="564" t="s">
        <v>14042</v>
      </c>
      <c r="AY54" s="564"/>
      <c r="AZ54" s="564"/>
      <c r="BA54" s="564"/>
      <c r="BB54" s="564"/>
      <c r="BC54" s="564"/>
      <c r="BD54" s="564"/>
      <c r="BE54" s="564"/>
      <c r="BF54" s="564"/>
      <c r="BG54" s="564"/>
      <c r="BH54" s="564"/>
      <c r="BI54" s="564"/>
      <c r="BJ54" s="564"/>
      <c r="BK54" s="564"/>
      <c r="BL54" s="564"/>
      <c r="BM54" s="564"/>
      <c r="BN54" s="564" t="s">
        <v>14043</v>
      </c>
      <c r="BO54" s="564"/>
      <c r="BP54" s="564"/>
      <c r="BQ54" s="564"/>
      <c r="BR54" s="564"/>
      <c r="BS54" s="564"/>
      <c r="BT54" s="564"/>
      <c r="BU54" s="564"/>
      <c r="BV54" s="564"/>
      <c r="BW54" s="564"/>
      <c r="BX54" s="564"/>
      <c r="BY54" s="564"/>
      <c r="BZ54" s="564"/>
      <c r="CA54" s="564"/>
      <c r="CB54" s="564"/>
      <c r="CC54" s="564"/>
      <c r="CD54" s="564" t="s">
        <v>14044</v>
      </c>
      <c r="CE54" s="564"/>
      <c r="CF54" s="564"/>
      <c r="CG54" s="564"/>
      <c r="CH54" s="564"/>
      <c r="CI54" s="564"/>
      <c r="CJ54" s="564"/>
      <c r="CK54" s="564"/>
      <c r="CL54" s="564"/>
      <c r="CM54" s="564"/>
      <c r="CN54" s="564"/>
      <c r="CO54" s="564"/>
      <c r="CP54" s="564"/>
      <c r="CQ54" s="564"/>
      <c r="CR54" s="564"/>
      <c r="CS54" s="564"/>
      <c r="CT54" s="564" t="s">
        <v>14045</v>
      </c>
      <c r="CU54" s="564"/>
      <c r="CV54" s="564"/>
      <c r="CW54" s="564"/>
      <c r="CX54" s="564"/>
      <c r="CY54" s="564"/>
      <c r="CZ54" s="564"/>
      <c r="DA54" s="564"/>
      <c r="DB54" s="564"/>
      <c r="DC54" s="564"/>
      <c r="DD54" s="564"/>
      <c r="DE54" s="564"/>
      <c r="DF54" s="564"/>
      <c r="DG54" s="564"/>
      <c r="DH54" s="564"/>
      <c r="DI54" s="564"/>
      <c r="DJ54" s="564" t="s">
        <v>14046</v>
      </c>
      <c r="DK54" s="564"/>
      <c r="DL54" s="564"/>
      <c r="DM54" s="564"/>
      <c r="DN54" s="564"/>
      <c r="DO54" s="564"/>
      <c r="DP54" s="564"/>
      <c r="DQ54" s="564"/>
      <c r="DR54" s="564"/>
      <c r="DS54" s="564"/>
      <c r="DT54" s="564"/>
      <c r="DU54" s="564"/>
      <c r="DV54" s="564"/>
      <c r="DW54" s="564"/>
    </row>
    <row r="55" spans="1:127" s="499" customFormat="1" x14ac:dyDescent="0.2">
      <c r="A55" s="350">
        <v>2</v>
      </c>
      <c r="B55" s="72" t="str">
        <f t="shared" ca="1" si="10"/>
        <v>General Government Expenditure (nominal US$) 2023p</v>
      </c>
      <c r="C55" s="284"/>
      <c r="D55" s="2" t="s">
        <v>26</v>
      </c>
      <c r="E55" s="667"/>
      <c r="F55" s="2" t="s">
        <v>4455</v>
      </c>
      <c r="G55" s="117">
        <f t="shared" si="11"/>
        <v>0</v>
      </c>
      <c r="O55" s="587"/>
      <c r="P55" s="564"/>
      <c r="Q55" s="564"/>
      <c r="R55" s="564" t="s">
        <v>4454</v>
      </c>
      <c r="S55" s="564"/>
      <c r="T55" s="564"/>
      <c r="U55" s="564"/>
      <c r="V55" s="564"/>
      <c r="W55" s="564"/>
      <c r="X55" s="564"/>
      <c r="Y55" s="564"/>
      <c r="Z55" s="564"/>
      <c r="AA55" s="564"/>
      <c r="AB55" s="564"/>
      <c r="AC55" s="564"/>
      <c r="AD55" s="564"/>
      <c r="AE55" s="564"/>
      <c r="AF55" s="564"/>
      <c r="AG55" s="564"/>
      <c r="AH55" s="564" t="s">
        <v>14047</v>
      </c>
      <c r="AI55" s="564"/>
      <c r="AJ55" s="564"/>
      <c r="AK55" s="564"/>
      <c r="AL55" s="564"/>
      <c r="AM55" s="564"/>
      <c r="AN55" s="564"/>
      <c r="AO55" s="564"/>
      <c r="AP55" s="564"/>
      <c r="AQ55" s="564"/>
      <c r="AR55" s="564"/>
      <c r="AS55" s="564"/>
      <c r="AT55" s="564"/>
      <c r="AU55" s="564"/>
      <c r="AV55" s="564"/>
      <c r="AW55" s="564"/>
      <c r="AX55" s="564" t="s">
        <v>14048</v>
      </c>
      <c r="AY55" s="564"/>
      <c r="AZ55" s="564"/>
      <c r="BA55" s="564"/>
      <c r="BB55" s="564"/>
      <c r="BC55" s="564"/>
      <c r="BD55" s="564"/>
      <c r="BE55" s="564"/>
      <c r="BF55" s="564"/>
      <c r="BG55" s="564"/>
      <c r="BH55" s="564"/>
      <c r="BI55" s="564"/>
      <c r="BJ55" s="564"/>
      <c r="BK55" s="564"/>
      <c r="BL55" s="564"/>
      <c r="BM55" s="564"/>
      <c r="BN55" s="564" t="s">
        <v>14049</v>
      </c>
      <c r="BO55" s="564"/>
      <c r="BP55" s="564"/>
      <c r="BQ55" s="564"/>
      <c r="BR55" s="564"/>
      <c r="BS55" s="564"/>
      <c r="BT55" s="564"/>
      <c r="BU55" s="564"/>
      <c r="BV55" s="564"/>
      <c r="BW55" s="564"/>
      <c r="BX55" s="564"/>
      <c r="BY55" s="564"/>
      <c r="BZ55" s="564"/>
      <c r="CA55" s="564"/>
      <c r="CB55" s="564"/>
      <c r="CC55" s="564"/>
      <c r="CD55" s="564" t="s">
        <v>14050</v>
      </c>
      <c r="CE55" s="564"/>
      <c r="CF55" s="564"/>
      <c r="CG55" s="564"/>
      <c r="CH55" s="564"/>
      <c r="CI55" s="564"/>
      <c r="CJ55" s="564"/>
      <c r="CK55" s="564"/>
      <c r="CL55" s="564"/>
      <c r="CM55" s="564"/>
      <c r="CN55" s="564"/>
      <c r="CO55" s="564"/>
      <c r="CP55" s="564"/>
      <c r="CQ55" s="564"/>
      <c r="CR55" s="564"/>
      <c r="CS55" s="564"/>
      <c r="CT55" s="564" t="s">
        <v>14051</v>
      </c>
      <c r="CU55" s="564"/>
      <c r="CV55" s="564"/>
      <c r="CW55" s="564"/>
      <c r="CX55" s="564"/>
      <c r="CY55" s="564"/>
      <c r="CZ55" s="564"/>
      <c r="DA55" s="564"/>
      <c r="DB55" s="564"/>
      <c r="DC55" s="564"/>
      <c r="DD55" s="564"/>
      <c r="DE55" s="564"/>
      <c r="DF55" s="564"/>
      <c r="DG55" s="564"/>
      <c r="DH55" s="564"/>
      <c r="DI55" s="564"/>
      <c r="DJ55" s="564" t="s">
        <v>14052</v>
      </c>
      <c r="DK55" s="564"/>
      <c r="DL55" s="564"/>
      <c r="DM55" s="564"/>
      <c r="DN55" s="564"/>
      <c r="DO55" s="564"/>
      <c r="DP55" s="564"/>
      <c r="DQ55" s="564"/>
      <c r="DR55" s="564"/>
      <c r="DS55" s="564"/>
      <c r="DT55" s="564"/>
      <c r="DU55" s="564"/>
      <c r="DV55" s="564"/>
      <c r="DW55" s="564"/>
    </row>
    <row r="56" spans="1:127" s="281" customFormat="1" x14ac:dyDescent="0.2">
      <c r="A56" s="85"/>
      <c r="B56" s="72"/>
      <c r="C56" s="37"/>
      <c r="M56" s="459"/>
      <c r="O56" s="567"/>
      <c r="P56" s="564"/>
      <c r="Q56" s="564"/>
      <c r="R56" s="564"/>
      <c r="S56" s="564"/>
      <c r="T56" s="564"/>
      <c r="U56" s="564"/>
      <c r="V56" s="564"/>
      <c r="W56" s="564"/>
      <c r="X56" s="564"/>
      <c r="Y56" s="564"/>
      <c r="Z56" s="564"/>
      <c r="AA56" s="564"/>
      <c r="AB56" s="564"/>
      <c r="AC56" s="564"/>
      <c r="AD56" s="564"/>
      <c r="AE56" s="564"/>
      <c r="AF56" s="564"/>
      <c r="AG56" s="564"/>
      <c r="AH56" s="564"/>
      <c r="AI56" s="564"/>
      <c r="AJ56" s="564"/>
      <c r="AK56" s="564"/>
      <c r="AL56" s="564"/>
      <c r="AM56" s="564"/>
      <c r="AN56" s="564"/>
      <c r="AO56" s="564"/>
      <c r="AP56" s="564"/>
      <c r="AQ56" s="564"/>
      <c r="AR56" s="564"/>
      <c r="AS56" s="564"/>
      <c r="AT56" s="564"/>
      <c r="AU56" s="564"/>
      <c r="AV56" s="564"/>
      <c r="AW56" s="564"/>
      <c r="AX56" s="564"/>
      <c r="AY56" s="564"/>
      <c r="AZ56" s="564"/>
      <c r="BA56" s="564"/>
      <c r="BB56" s="564"/>
      <c r="BC56" s="564"/>
      <c r="BD56" s="564"/>
      <c r="BE56" s="564"/>
      <c r="BF56" s="564"/>
      <c r="BG56" s="564"/>
      <c r="BH56" s="564"/>
      <c r="BI56" s="564"/>
      <c r="BJ56" s="564"/>
      <c r="BK56" s="564"/>
      <c r="BL56" s="564"/>
      <c r="BM56" s="564"/>
      <c r="BN56" s="564"/>
      <c r="BO56" s="564"/>
      <c r="BP56" s="564"/>
      <c r="BQ56" s="564"/>
      <c r="BR56" s="564"/>
      <c r="BS56" s="564"/>
      <c r="BT56" s="564"/>
      <c r="BU56" s="564"/>
      <c r="BV56" s="564"/>
      <c r="BW56" s="564"/>
      <c r="BX56" s="564"/>
      <c r="BY56" s="564"/>
      <c r="BZ56" s="564"/>
      <c r="CA56" s="564"/>
      <c r="CB56" s="564"/>
      <c r="CC56" s="564"/>
      <c r="CD56" s="564"/>
      <c r="CE56" s="564"/>
      <c r="CF56" s="564"/>
      <c r="CG56" s="564"/>
      <c r="CH56" s="564"/>
      <c r="CI56" s="564"/>
      <c r="CJ56" s="564"/>
      <c r="CK56" s="564"/>
      <c r="CL56" s="564"/>
      <c r="CM56" s="564"/>
      <c r="CN56" s="564"/>
      <c r="CO56" s="564"/>
      <c r="CP56" s="564"/>
      <c r="CQ56" s="564"/>
      <c r="CR56" s="564"/>
      <c r="CS56" s="564"/>
      <c r="CT56" s="564"/>
      <c r="CU56" s="564"/>
      <c r="CV56" s="564"/>
      <c r="CW56" s="564"/>
      <c r="CX56" s="564"/>
      <c r="CY56" s="564"/>
      <c r="CZ56" s="564"/>
      <c r="DA56" s="564"/>
      <c r="DB56" s="564"/>
      <c r="DC56" s="564"/>
      <c r="DD56" s="564"/>
      <c r="DE56" s="564"/>
      <c r="DF56" s="564"/>
      <c r="DG56" s="564"/>
      <c r="DH56" s="564"/>
      <c r="DI56" s="564"/>
      <c r="DJ56" s="564"/>
      <c r="DK56" s="564"/>
      <c r="DL56" s="564"/>
      <c r="DM56" s="564"/>
      <c r="DN56" s="564"/>
      <c r="DO56" s="564"/>
      <c r="DP56" s="564"/>
      <c r="DQ56" s="564"/>
      <c r="DR56" s="564"/>
      <c r="DS56" s="564"/>
      <c r="DT56" s="564"/>
      <c r="DU56" s="564"/>
      <c r="DV56" s="564"/>
      <c r="DW56" s="564"/>
    </row>
    <row r="57" spans="1:127" s="281" customFormat="1" ht="15" x14ac:dyDescent="0.25">
      <c r="A57" s="85"/>
      <c r="B57" s="596" t="str">
        <f t="shared" ref="B57:B62" ca="1" si="12">IF(OFFSET(R57,0,Lang_Order*Lang__R2)="","",OFFSET(R57,0,Lang_Order*Lang__R2))</f>
        <v>Covid-19 Vaccination Costs</v>
      </c>
      <c r="C57" s="382">
        <v>2021</v>
      </c>
      <c r="D57" s="382"/>
      <c r="E57" s="382">
        <v>2022</v>
      </c>
      <c r="F57" s="382"/>
      <c r="G57" s="382">
        <v>2023</v>
      </c>
      <c r="H57" s="382"/>
      <c r="M57" s="459"/>
      <c r="O57" s="567"/>
      <c r="P57" s="564"/>
      <c r="Q57" s="564"/>
      <c r="R57" s="564" t="s">
        <v>4499</v>
      </c>
      <c r="S57" s="564"/>
      <c r="T57" s="564"/>
      <c r="U57" s="564"/>
      <c r="V57" s="564"/>
      <c r="W57" s="564"/>
      <c r="X57" s="564"/>
      <c r="Y57" s="564"/>
      <c r="Z57" s="564"/>
      <c r="AA57" s="564"/>
      <c r="AB57" s="564"/>
      <c r="AC57" s="564"/>
      <c r="AD57" s="564"/>
      <c r="AE57" s="564"/>
      <c r="AF57" s="564"/>
      <c r="AG57" s="564"/>
      <c r="AH57" s="564" t="s">
        <v>14053</v>
      </c>
      <c r="AI57" s="564"/>
      <c r="AJ57" s="564"/>
      <c r="AK57" s="564"/>
      <c r="AL57" s="564"/>
      <c r="AM57" s="564"/>
      <c r="AN57" s="564"/>
      <c r="AO57" s="564"/>
      <c r="AP57" s="564"/>
      <c r="AQ57" s="564"/>
      <c r="AR57" s="564"/>
      <c r="AS57" s="564"/>
      <c r="AT57" s="564"/>
      <c r="AU57" s="564"/>
      <c r="AV57" s="564"/>
      <c r="AW57" s="564"/>
      <c r="AX57" s="564" t="s">
        <v>14054</v>
      </c>
      <c r="AY57" s="564"/>
      <c r="AZ57" s="564"/>
      <c r="BA57" s="564"/>
      <c r="BB57" s="564"/>
      <c r="BC57" s="564"/>
      <c r="BD57" s="564"/>
      <c r="BE57" s="564"/>
      <c r="BF57" s="564"/>
      <c r="BG57" s="564"/>
      <c r="BH57" s="564"/>
      <c r="BI57" s="564"/>
      <c r="BJ57" s="564"/>
      <c r="BK57" s="564"/>
      <c r="BL57" s="564"/>
      <c r="BM57" s="564"/>
      <c r="BN57" s="564" t="s">
        <v>14055</v>
      </c>
      <c r="BO57" s="564"/>
      <c r="BP57" s="564"/>
      <c r="BQ57" s="564"/>
      <c r="BR57" s="564"/>
      <c r="BS57" s="564"/>
      <c r="BT57" s="564"/>
      <c r="BU57" s="564"/>
      <c r="BV57" s="564"/>
      <c r="BW57" s="564"/>
      <c r="BX57" s="564"/>
      <c r="BY57" s="564"/>
      <c r="BZ57" s="564"/>
      <c r="CA57" s="564"/>
      <c r="CB57" s="564"/>
      <c r="CC57" s="564"/>
      <c r="CD57" s="564" t="s">
        <v>14056</v>
      </c>
      <c r="CE57" s="564"/>
      <c r="CF57" s="564"/>
      <c r="CG57" s="564"/>
      <c r="CH57" s="564"/>
      <c r="CI57" s="564"/>
      <c r="CJ57" s="564"/>
      <c r="CK57" s="564"/>
      <c r="CL57" s="564"/>
      <c r="CM57" s="564"/>
      <c r="CN57" s="564"/>
      <c r="CO57" s="564"/>
      <c r="CP57" s="564"/>
      <c r="CQ57" s="564"/>
      <c r="CR57" s="564"/>
      <c r="CS57" s="564"/>
      <c r="CT57" s="564" t="s">
        <v>14057</v>
      </c>
      <c r="CU57" s="564"/>
      <c r="CV57" s="564"/>
      <c r="CW57" s="564"/>
      <c r="CX57" s="564"/>
      <c r="CY57" s="564"/>
      <c r="CZ57" s="564"/>
      <c r="DA57" s="564"/>
      <c r="DB57" s="564"/>
      <c r="DC57" s="564"/>
      <c r="DD57" s="564"/>
      <c r="DE57" s="564"/>
      <c r="DF57" s="564"/>
      <c r="DG57" s="564"/>
      <c r="DH57" s="564"/>
      <c r="DI57" s="564"/>
      <c r="DJ57" s="564" t="s">
        <v>14058</v>
      </c>
      <c r="DK57" s="564"/>
      <c r="DL57" s="564"/>
      <c r="DM57" s="564"/>
      <c r="DN57" s="564"/>
      <c r="DO57" s="564"/>
      <c r="DP57" s="564"/>
      <c r="DQ57" s="564"/>
      <c r="DR57" s="564"/>
      <c r="DS57" s="564"/>
      <c r="DT57" s="564"/>
      <c r="DU57" s="564"/>
      <c r="DV57" s="564"/>
      <c r="DW57" s="564"/>
    </row>
    <row r="58" spans="1:127" s="281" customFormat="1" x14ac:dyDescent="0.2">
      <c r="A58" s="85"/>
      <c r="B58" s="5" t="str">
        <f t="shared" ca="1" si="12"/>
        <v>Grand Total (USD) - Medium Variant</v>
      </c>
      <c r="C58" s="37" t="e">
        <f>SUM(C25:D25)</f>
        <v>#N/A</v>
      </c>
      <c r="D58" s="37"/>
      <c r="E58" s="37" t="e">
        <f ca="1">SUM(E25:F25)</f>
        <v>#N/A</v>
      </c>
      <c r="F58" s="37"/>
      <c r="G58" s="37" t="e">
        <f ca="1">SUM(G25:H25)</f>
        <v>#N/A</v>
      </c>
      <c r="H58" s="37"/>
      <c r="M58" s="459"/>
      <c r="O58" s="567"/>
      <c r="P58" s="564"/>
      <c r="Q58" s="564"/>
      <c r="R58" s="564" t="s">
        <v>3049</v>
      </c>
      <c r="S58" s="564"/>
      <c r="T58" s="564"/>
      <c r="U58" s="564"/>
      <c r="V58" s="564"/>
      <c r="W58" s="564"/>
      <c r="X58" s="564"/>
      <c r="Y58" s="564"/>
      <c r="Z58" s="564"/>
      <c r="AA58" s="564"/>
      <c r="AB58" s="564"/>
      <c r="AC58" s="564"/>
      <c r="AD58" s="564"/>
      <c r="AE58" s="564"/>
      <c r="AF58" s="564"/>
      <c r="AG58" s="564"/>
      <c r="AH58" s="564" t="s">
        <v>4708</v>
      </c>
      <c r="AI58" s="564"/>
      <c r="AJ58" s="564"/>
      <c r="AK58" s="564"/>
      <c r="AL58" s="564"/>
      <c r="AM58" s="564"/>
      <c r="AN58" s="564"/>
      <c r="AO58" s="564"/>
      <c r="AP58" s="564"/>
      <c r="AQ58" s="564"/>
      <c r="AR58" s="564"/>
      <c r="AS58" s="564"/>
      <c r="AT58" s="564"/>
      <c r="AU58" s="564"/>
      <c r="AV58" s="564"/>
      <c r="AW58" s="564"/>
      <c r="AX58" s="564" t="s">
        <v>4785</v>
      </c>
      <c r="AY58" s="564"/>
      <c r="AZ58" s="564"/>
      <c r="BA58" s="564"/>
      <c r="BB58" s="564"/>
      <c r="BC58" s="564"/>
      <c r="BD58" s="564"/>
      <c r="BE58" s="564"/>
      <c r="BF58" s="564"/>
      <c r="BG58" s="564"/>
      <c r="BH58" s="564"/>
      <c r="BI58" s="564"/>
      <c r="BJ58" s="564"/>
      <c r="BK58" s="564"/>
      <c r="BL58" s="564"/>
      <c r="BM58" s="564"/>
      <c r="BN58" s="564" t="s">
        <v>4710</v>
      </c>
      <c r="BO58" s="564"/>
      <c r="BP58" s="564"/>
      <c r="BQ58" s="564"/>
      <c r="BR58" s="564"/>
      <c r="BS58" s="564"/>
      <c r="BT58" s="564"/>
      <c r="BU58" s="564"/>
      <c r="BV58" s="564"/>
      <c r="BW58" s="564"/>
      <c r="BX58" s="564"/>
      <c r="BY58" s="564"/>
      <c r="BZ58" s="564"/>
      <c r="CA58" s="564"/>
      <c r="CB58" s="564"/>
      <c r="CC58" s="564"/>
      <c r="CD58" s="564" t="s">
        <v>4711</v>
      </c>
      <c r="CE58" s="564"/>
      <c r="CF58" s="564"/>
      <c r="CG58" s="564"/>
      <c r="CH58" s="564"/>
      <c r="CI58" s="564"/>
      <c r="CJ58" s="564"/>
      <c r="CK58" s="564"/>
      <c r="CL58" s="564"/>
      <c r="CM58" s="564"/>
      <c r="CN58" s="564"/>
      <c r="CO58" s="564"/>
      <c r="CP58" s="564"/>
      <c r="CQ58" s="564"/>
      <c r="CR58" s="564"/>
      <c r="CS58" s="564"/>
      <c r="CT58" s="564" t="s">
        <v>4786</v>
      </c>
      <c r="CU58" s="564"/>
      <c r="CV58" s="564"/>
      <c r="CW58" s="564"/>
      <c r="CX58" s="564"/>
      <c r="CY58" s="564"/>
      <c r="CZ58" s="564"/>
      <c r="DA58" s="564"/>
      <c r="DB58" s="564"/>
      <c r="DC58" s="564"/>
      <c r="DD58" s="564"/>
      <c r="DE58" s="564"/>
      <c r="DF58" s="564"/>
      <c r="DG58" s="564"/>
      <c r="DH58" s="564"/>
      <c r="DI58" s="564"/>
      <c r="DJ58" s="564" t="s">
        <v>4713</v>
      </c>
      <c r="DK58" s="564"/>
      <c r="DL58" s="564"/>
      <c r="DM58" s="564"/>
      <c r="DN58" s="564"/>
      <c r="DO58" s="564"/>
      <c r="DP58" s="564"/>
      <c r="DQ58" s="564"/>
      <c r="DR58" s="564"/>
      <c r="DS58" s="564"/>
      <c r="DT58" s="564"/>
      <c r="DU58" s="564"/>
      <c r="DV58" s="564"/>
      <c r="DW58" s="564"/>
    </row>
    <row r="59" spans="1:127" s="281" customFormat="1" x14ac:dyDescent="0.2">
      <c r="A59" s="85"/>
      <c r="B59" s="5" t="str">
        <f t="shared" ca="1" si="12"/>
        <v>Domestic Total (USD)</v>
      </c>
      <c r="C59" s="37" t="e">
        <f>SUM(C10:D10)</f>
        <v>#N/A</v>
      </c>
      <c r="D59" s="37"/>
      <c r="E59" s="37" t="e">
        <f>SUM(E10:F10)</f>
        <v>#N/A</v>
      </c>
      <c r="F59" s="37"/>
      <c r="G59" s="37" t="e">
        <f>SUM(G10:H10)</f>
        <v>#N/A</v>
      </c>
      <c r="H59" s="37"/>
      <c r="M59" s="459"/>
      <c r="O59" s="567"/>
      <c r="P59" s="564"/>
      <c r="Q59" s="564"/>
      <c r="R59" s="564" t="s">
        <v>3695</v>
      </c>
      <c r="S59" s="564"/>
      <c r="T59" s="564"/>
      <c r="U59" s="564"/>
      <c r="V59" s="564"/>
      <c r="W59" s="564"/>
      <c r="X59" s="564"/>
      <c r="Y59" s="564"/>
      <c r="Z59" s="564"/>
      <c r="AA59" s="564"/>
      <c r="AB59" s="564"/>
      <c r="AC59" s="564"/>
      <c r="AD59" s="564"/>
      <c r="AE59" s="564"/>
      <c r="AF59" s="564"/>
      <c r="AG59" s="564"/>
      <c r="AH59" s="564" t="s">
        <v>4787</v>
      </c>
      <c r="AI59" s="564"/>
      <c r="AJ59" s="564"/>
      <c r="AK59" s="564"/>
      <c r="AL59" s="564"/>
      <c r="AM59" s="564"/>
      <c r="AN59" s="564"/>
      <c r="AO59" s="564"/>
      <c r="AP59" s="564"/>
      <c r="AQ59" s="564"/>
      <c r="AR59" s="564"/>
      <c r="AS59" s="564"/>
      <c r="AT59" s="564"/>
      <c r="AU59" s="564"/>
      <c r="AV59" s="564"/>
      <c r="AW59" s="564"/>
      <c r="AX59" s="564" t="s">
        <v>4788</v>
      </c>
      <c r="AY59" s="564"/>
      <c r="AZ59" s="564"/>
      <c r="BA59" s="564"/>
      <c r="BB59" s="564"/>
      <c r="BC59" s="564"/>
      <c r="BD59" s="564"/>
      <c r="BE59" s="564"/>
      <c r="BF59" s="564"/>
      <c r="BG59" s="564"/>
      <c r="BH59" s="564"/>
      <c r="BI59" s="564"/>
      <c r="BJ59" s="564"/>
      <c r="BK59" s="564"/>
      <c r="BL59" s="564"/>
      <c r="BM59" s="564"/>
      <c r="BN59" s="564" t="s">
        <v>4789</v>
      </c>
      <c r="BO59" s="564"/>
      <c r="BP59" s="564"/>
      <c r="BQ59" s="564"/>
      <c r="BR59" s="564"/>
      <c r="BS59" s="564"/>
      <c r="BT59" s="564"/>
      <c r="BU59" s="564"/>
      <c r="BV59" s="564"/>
      <c r="BW59" s="564"/>
      <c r="BX59" s="564"/>
      <c r="BY59" s="564"/>
      <c r="BZ59" s="564"/>
      <c r="CA59" s="564"/>
      <c r="CB59" s="564"/>
      <c r="CC59" s="564"/>
      <c r="CD59" s="564" t="s">
        <v>4790</v>
      </c>
      <c r="CE59" s="564"/>
      <c r="CF59" s="564"/>
      <c r="CG59" s="564"/>
      <c r="CH59" s="564"/>
      <c r="CI59" s="564"/>
      <c r="CJ59" s="564"/>
      <c r="CK59" s="564"/>
      <c r="CL59" s="564"/>
      <c r="CM59" s="564"/>
      <c r="CN59" s="564"/>
      <c r="CO59" s="564"/>
      <c r="CP59" s="564"/>
      <c r="CQ59" s="564"/>
      <c r="CR59" s="564"/>
      <c r="CS59" s="564"/>
      <c r="CT59" s="564" t="s">
        <v>4791</v>
      </c>
      <c r="CU59" s="564"/>
      <c r="CV59" s="564"/>
      <c r="CW59" s="564"/>
      <c r="CX59" s="564"/>
      <c r="CY59" s="564"/>
      <c r="CZ59" s="564"/>
      <c r="DA59" s="564"/>
      <c r="DB59" s="564"/>
      <c r="DC59" s="564"/>
      <c r="DD59" s="564"/>
      <c r="DE59" s="564"/>
      <c r="DF59" s="564"/>
      <c r="DG59" s="564"/>
      <c r="DH59" s="564"/>
      <c r="DI59" s="564"/>
      <c r="DJ59" s="564" t="s">
        <v>4792</v>
      </c>
      <c r="DK59" s="564"/>
      <c r="DL59" s="564"/>
      <c r="DM59" s="564"/>
      <c r="DN59" s="564"/>
      <c r="DO59" s="564"/>
      <c r="DP59" s="564"/>
      <c r="DQ59" s="564"/>
      <c r="DR59" s="564"/>
      <c r="DS59" s="564"/>
      <c r="DT59" s="564"/>
      <c r="DU59" s="564"/>
      <c r="DV59" s="564"/>
      <c r="DW59" s="564"/>
    </row>
    <row r="60" spans="1:127" s="281" customFormat="1" x14ac:dyDescent="0.2">
      <c r="A60" s="85"/>
      <c r="B60" s="5" t="str">
        <f t="shared" ca="1" si="12"/>
        <v>External Total (USD)</v>
      </c>
      <c r="C60" s="37">
        <f>SUM(C11:D23)</f>
        <v>0</v>
      </c>
      <c r="D60" s="37"/>
      <c r="E60" s="37">
        <f>SUM(E11:F23)</f>
        <v>0</v>
      </c>
      <c r="F60" s="37"/>
      <c r="G60" s="37">
        <f>SUM(G11:H23)</f>
        <v>0</v>
      </c>
      <c r="H60" s="37"/>
      <c r="M60" s="459"/>
      <c r="O60" s="567"/>
      <c r="P60" s="564"/>
      <c r="Q60" s="564"/>
      <c r="R60" s="564" t="s">
        <v>3696</v>
      </c>
      <c r="S60" s="564"/>
      <c r="T60" s="564"/>
      <c r="U60" s="564"/>
      <c r="V60" s="564"/>
      <c r="W60" s="564"/>
      <c r="X60" s="564"/>
      <c r="Y60" s="564"/>
      <c r="Z60" s="564"/>
      <c r="AA60" s="564"/>
      <c r="AB60" s="564"/>
      <c r="AC60" s="564"/>
      <c r="AD60" s="564"/>
      <c r="AE60" s="564"/>
      <c r="AF60" s="564"/>
      <c r="AG60" s="564"/>
      <c r="AH60" s="564" t="s">
        <v>4793</v>
      </c>
      <c r="AI60" s="564"/>
      <c r="AJ60" s="564"/>
      <c r="AK60" s="564"/>
      <c r="AL60" s="564"/>
      <c r="AM60" s="564"/>
      <c r="AN60" s="564"/>
      <c r="AO60" s="564"/>
      <c r="AP60" s="564"/>
      <c r="AQ60" s="564"/>
      <c r="AR60" s="564"/>
      <c r="AS60" s="564"/>
      <c r="AT60" s="564"/>
      <c r="AU60" s="564"/>
      <c r="AV60" s="564"/>
      <c r="AW60" s="564"/>
      <c r="AX60" s="564" t="s">
        <v>4794</v>
      </c>
      <c r="AY60" s="564"/>
      <c r="AZ60" s="564"/>
      <c r="BA60" s="564"/>
      <c r="BB60" s="564"/>
      <c r="BC60" s="564"/>
      <c r="BD60" s="564"/>
      <c r="BE60" s="564"/>
      <c r="BF60" s="564"/>
      <c r="BG60" s="564"/>
      <c r="BH60" s="564"/>
      <c r="BI60" s="564"/>
      <c r="BJ60" s="564"/>
      <c r="BK60" s="564"/>
      <c r="BL60" s="564"/>
      <c r="BM60" s="564"/>
      <c r="BN60" s="564" t="s">
        <v>4795</v>
      </c>
      <c r="BO60" s="564"/>
      <c r="BP60" s="564"/>
      <c r="BQ60" s="564"/>
      <c r="BR60" s="564"/>
      <c r="BS60" s="564"/>
      <c r="BT60" s="564"/>
      <c r="BU60" s="564"/>
      <c r="BV60" s="564"/>
      <c r="BW60" s="564"/>
      <c r="BX60" s="564"/>
      <c r="BY60" s="564"/>
      <c r="BZ60" s="564"/>
      <c r="CA60" s="564"/>
      <c r="CB60" s="564"/>
      <c r="CC60" s="564"/>
      <c r="CD60" s="564" t="s">
        <v>4796</v>
      </c>
      <c r="CE60" s="564"/>
      <c r="CF60" s="564"/>
      <c r="CG60" s="564"/>
      <c r="CH60" s="564"/>
      <c r="CI60" s="564"/>
      <c r="CJ60" s="564"/>
      <c r="CK60" s="564"/>
      <c r="CL60" s="564"/>
      <c r="CM60" s="564"/>
      <c r="CN60" s="564"/>
      <c r="CO60" s="564"/>
      <c r="CP60" s="564"/>
      <c r="CQ60" s="564"/>
      <c r="CR60" s="564"/>
      <c r="CS60" s="564"/>
      <c r="CT60" s="564" t="s">
        <v>4797</v>
      </c>
      <c r="CU60" s="564"/>
      <c r="CV60" s="564"/>
      <c r="CW60" s="564"/>
      <c r="CX60" s="564"/>
      <c r="CY60" s="564"/>
      <c r="CZ60" s="564"/>
      <c r="DA60" s="564"/>
      <c r="DB60" s="564"/>
      <c r="DC60" s="564"/>
      <c r="DD60" s="564"/>
      <c r="DE60" s="564"/>
      <c r="DF60" s="564"/>
      <c r="DG60" s="564"/>
      <c r="DH60" s="564"/>
      <c r="DI60" s="564"/>
      <c r="DJ60" s="564" t="s">
        <v>4798</v>
      </c>
      <c r="DK60" s="564"/>
      <c r="DL60" s="564"/>
      <c r="DM60" s="564"/>
      <c r="DN60" s="564"/>
      <c r="DO60" s="564"/>
      <c r="DP60" s="564"/>
      <c r="DQ60" s="564"/>
      <c r="DR60" s="564"/>
      <c r="DS60" s="564"/>
      <c r="DT60" s="564"/>
      <c r="DU60" s="564"/>
      <c r="DV60" s="564"/>
      <c r="DW60" s="564"/>
    </row>
    <row r="61" spans="1:127" s="299" customFormat="1" x14ac:dyDescent="0.2">
      <c r="A61" s="85"/>
      <c r="B61" s="5" t="str">
        <f t="shared" ca="1" si="12"/>
        <v>Financing through MOH (USD)</v>
      </c>
      <c r="C61" s="300" t="e">
        <f ca="1">SUM(C32:D32)</f>
        <v>#N/A</v>
      </c>
      <c r="D61" s="300"/>
      <c r="E61" s="300" t="e">
        <f ca="1">SUM(E32:F32)</f>
        <v>#N/A</v>
      </c>
      <c r="F61" s="300"/>
      <c r="G61" s="300" t="e">
        <f ca="1">SUM(G32:H32)</f>
        <v>#N/A</v>
      </c>
      <c r="H61" s="300"/>
      <c r="M61" s="459"/>
      <c r="O61" s="567"/>
      <c r="P61" s="564"/>
      <c r="Q61" s="564"/>
      <c r="R61" s="564" t="s">
        <v>3697</v>
      </c>
      <c r="S61" s="564"/>
      <c r="T61" s="564"/>
      <c r="U61" s="564"/>
      <c r="V61" s="564"/>
      <c r="W61" s="564"/>
      <c r="X61" s="564"/>
      <c r="Y61" s="564"/>
      <c r="Z61" s="564"/>
      <c r="AA61" s="564"/>
      <c r="AB61" s="564"/>
      <c r="AC61" s="564"/>
      <c r="AD61" s="564"/>
      <c r="AE61" s="564"/>
      <c r="AF61" s="564"/>
      <c r="AG61" s="564"/>
      <c r="AH61" s="564" t="s">
        <v>4799</v>
      </c>
      <c r="AI61" s="564"/>
      <c r="AJ61" s="564"/>
      <c r="AK61" s="564"/>
      <c r="AL61" s="564"/>
      <c r="AM61" s="564"/>
      <c r="AN61" s="564"/>
      <c r="AO61" s="564"/>
      <c r="AP61" s="564"/>
      <c r="AQ61" s="564"/>
      <c r="AR61" s="564"/>
      <c r="AS61" s="564"/>
      <c r="AT61" s="564"/>
      <c r="AU61" s="564"/>
      <c r="AV61" s="564"/>
      <c r="AW61" s="564"/>
      <c r="AX61" s="564" t="s">
        <v>4800</v>
      </c>
      <c r="AY61" s="564"/>
      <c r="AZ61" s="564"/>
      <c r="BA61" s="564"/>
      <c r="BB61" s="564"/>
      <c r="BC61" s="564"/>
      <c r="BD61" s="564"/>
      <c r="BE61" s="564"/>
      <c r="BF61" s="564"/>
      <c r="BG61" s="564"/>
      <c r="BH61" s="564"/>
      <c r="BI61" s="564"/>
      <c r="BJ61" s="564"/>
      <c r="BK61" s="564"/>
      <c r="BL61" s="564"/>
      <c r="BM61" s="564"/>
      <c r="BN61" s="564" t="s">
        <v>4801</v>
      </c>
      <c r="BO61" s="564"/>
      <c r="BP61" s="564"/>
      <c r="BQ61" s="564"/>
      <c r="BR61" s="564"/>
      <c r="BS61" s="564"/>
      <c r="BT61" s="564"/>
      <c r="BU61" s="564"/>
      <c r="BV61" s="564"/>
      <c r="BW61" s="564"/>
      <c r="BX61" s="564"/>
      <c r="BY61" s="564"/>
      <c r="BZ61" s="564"/>
      <c r="CA61" s="564"/>
      <c r="CB61" s="564"/>
      <c r="CC61" s="564"/>
      <c r="CD61" s="564" t="s">
        <v>4802</v>
      </c>
      <c r="CE61" s="564"/>
      <c r="CF61" s="564"/>
      <c r="CG61" s="564"/>
      <c r="CH61" s="564"/>
      <c r="CI61" s="564"/>
      <c r="CJ61" s="564"/>
      <c r="CK61" s="564"/>
      <c r="CL61" s="564"/>
      <c r="CM61" s="564"/>
      <c r="CN61" s="564"/>
      <c r="CO61" s="564"/>
      <c r="CP61" s="564"/>
      <c r="CQ61" s="564"/>
      <c r="CR61" s="564"/>
      <c r="CS61" s="564"/>
      <c r="CT61" s="564" t="s">
        <v>4803</v>
      </c>
      <c r="CU61" s="564"/>
      <c r="CV61" s="564"/>
      <c r="CW61" s="564"/>
      <c r="CX61" s="564"/>
      <c r="CY61" s="564"/>
      <c r="CZ61" s="564"/>
      <c r="DA61" s="564"/>
      <c r="DB61" s="564"/>
      <c r="DC61" s="564"/>
      <c r="DD61" s="564"/>
      <c r="DE61" s="564"/>
      <c r="DF61" s="564"/>
      <c r="DG61" s="564"/>
      <c r="DH61" s="564"/>
      <c r="DI61" s="564"/>
      <c r="DJ61" s="564" t="s">
        <v>4804</v>
      </c>
      <c r="DK61" s="564"/>
      <c r="DL61" s="564"/>
      <c r="DM61" s="564"/>
      <c r="DN61" s="564"/>
      <c r="DO61" s="564"/>
      <c r="DP61" s="564"/>
      <c r="DQ61" s="564"/>
      <c r="DR61" s="564"/>
      <c r="DS61" s="564"/>
      <c r="DT61" s="564"/>
      <c r="DU61" s="564"/>
      <c r="DV61" s="564"/>
      <c r="DW61" s="564"/>
    </row>
    <row r="62" spans="1:127" s="459" customFormat="1" x14ac:dyDescent="0.2">
      <c r="A62" s="85"/>
      <c r="B62" s="5" t="str">
        <f t="shared" ca="1" si="12"/>
        <v>Capital Expenditure (USD)</v>
      </c>
      <c r="C62" s="63" t="e">
        <f>SUMPRODUCT(I76:I254,M76:M254)</f>
        <v>#N/A</v>
      </c>
      <c r="D62" s="300"/>
      <c r="E62" s="300"/>
      <c r="F62" s="300"/>
      <c r="G62" s="300"/>
      <c r="H62" s="300"/>
      <c r="O62" s="567"/>
      <c r="P62" s="564"/>
      <c r="Q62" s="564"/>
      <c r="R62" s="564" t="s">
        <v>4332</v>
      </c>
      <c r="S62" s="564"/>
      <c r="T62" s="564"/>
      <c r="U62" s="564"/>
      <c r="V62" s="564"/>
      <c r="W62" s="564"/>
      <c r="X62" s="564"/>
      <c r="Y62" s="564"/>
      <c r="Z62" s="564"/>
      <c r="AA62" s="564"/>
      <c r="AB62" s="564"/>
      <c r="AC62" s="564"/>
      <c r="AD62" s="564"/>
      <c r="AE62" s="564"/>
      <c r="AF62" s="564"/>
      <c r="AG62" s="564"/>
      <c r="AH62" s="564" t="s">
        <v>4805</v>
      </c>
      <c r="AI62" s="564"/>
      <c r="AJ62" s="564"/>
      <c r="AK62" s="564"/>
      <c r="AL62" s="564"/>
      <c r="AM62" s="564"/>
      <c r="AN62" s="564"/>
      <c r="AO62" s="564"/>
      <c r="AP62" s="564"/>
      <c r="AQ62" s="564"/>
      <c r="AR62" s="564"/>
      <c r="AS62" s="564"/>
      <c r="AT62" s="564"/>
      <c r="AU62" s="564"/>
      <c r="AV62" s="564"/>
      <c r="AW62" s="564"/>
      <c r="AX62" s="564" t="s">
        <v>4806</v>
      </c>
      <c r="AY62" s="564"/>
      <c r="AZ62" s="564"/>
      <c r="BA62" s="564"/>
      <c r="BB62" s="564"/>
      <c r="BC62" s="564"/>
      <c r="BD62" s="564"/>
      <c r="BE62" s="564"/>
      <c r="BF62" s="564"/>
      <c r="BG62" s="564"/>
      <c r="BH62" s="564"/>
      <c r="BI62" s="564"/>
      <c r="BJ62" s="564"/>
      <c r="BK62" s="564"/>
      <c r="BL62" s="564"/>
      <c r="BM62" s="564"/>
      <c r="BN62" s="564" t="s">
        <v>4807</v>
      </c>
      <c r="BO62" s="564"/>
      <c r="BP62" s="564"/>
      <c r="BQ62" s="564"/>
      <c r="BR62" s="564"/>
      <c r="BS62" s="564"/>
      <c r="BT62" s="564"/>
      <c r="BU62" s="564"/>
      <c r="BV62" s="564"/>
      <c r="BW62" s="564"/>
      <c r="BX62" s="564"/>
      <c r="BY62" s="564"/>
      <c r="BZ62" s="564"/>
      <c r="CA62" s="564"/>
      <c r="CB62" s="564"/>
      <c r="CC62" s="564"/>
      <c r="CD62" s="564" t="s">
        <v>4808</v>
      </c>
      <c r="CE62" s="564"/>
      <c r="CF62" s="564"/>
      <c r="CG62" s="564"/>
      <c r="CH62" s="564"/>
      <c r="CI62" s="564"/>
      <c r="CJ62" s="564"/>
      <c r="CK62" s="564"/>
      <c r="CL62" s="564"/>
      <c r="CM62" s="564"/>
      <c r="CN62" s="564"/>
      <c r="CO62" s="564"/>
      <c r="CP62" s="564"/>
      <c r="CQ62" s="564"/>
      <c r="CR62" s="564"/>
      <c r="CS62" s="564"/>
      <c r="CT62" s="564" t="s">
        <v>4809</v>
      </c>
      <c r="CU62" s="564"/>
      <c r="CV62" s="564"/>
      <c r="CW62" s="564"/>
      <c r="CX62" s="564"/>
      <c r="CY62" s="564"/>
      <c r="CZ62" s="564"/>
      <c r="DA62" s="564"/>
      <c r="DB62" s="564"/>
      <c r="DC62" s="564"/>
      <c r="DD62" s="564"/>
      <c r="DE62" s="564"/>
      <c r="DF62" s="564"/>
      <c r="DG62" s="564"/>
      <c r="DH62" s="564"/>
      <c r="DI62" s="564"/>
      <c r="DJ62" s="564" t="s">
        <v>4810</v>
      </c>
      <c r="DK62" s="564"/>
      <c r="DL62" s="564"/>
      <c r="DM62" s="564"/>
      <c r="DN62" s="564"/>
      <c r="DO62" s="564"/>
      <c r="DP62" s="564"/>
      <c r="DQ62" s="564"/>
      <c r="DR62" s="564"/>
      <c r="DS62" s="564"/>
      <c r="DT62" s="564"/>
      <c r="DU62" s="564"/>
      <c r="DV62" s="564"/>
      <c r="DW62" s="564"/>
    </row>
    <row r="63" spans="1:127" s="299" customFormat="1" x14ac:dyDescent="0.2">
      <c r="A63" s="85"/>
      <c r="B63" s="5"/>
      <c r="C63" s="300"/>
      <c r="D63" s="300"/>
      <c r="E63" s="300"/>
      <c r="F63" s="300"/>
      <c r="G63" s="300"/>
      <c r="H63" s="300"/>
      <c r="M63" s="459"/>
      <c r="N63" s="198" t="str">
        <f ca="1">IF(OFFSET(AD63,0,Lang_Order*Lang__R2)="","",OFFSET(AD63,0,Lang_Order*Lang__R2))</f>
        <v>Covid-19 vaccination financing against selected health financing indicators</v>
      </c>
      <c r="O63" s="198"/>
      <c r="P63" s="564"/>
      <c r="Q63" s="564"/>
      <c r="R63" s="564"/>
      <c r="S63" s="564"/>
      <c r="T63" s="564"/>
      <c r="U63" s="564"/>
      <c r="V63" s="564"/>
      <c r="W63" s="564"/>
      <c r="X63" s="564"/>
      <c r="Y63" s="564"/>
      <c r="Z63" s="564"/>
      <c r="AA63" s="564"/>
      <c r="AB63" s="564"/>
      <c r="AC63" s="564"/>
      <c r="AD63" s="564" t="s">
        <v>4290</v>
      </c>
      <c r="AE63" s="564"/>
      <c r="AF63" s="564"/>
      <c r="AG63" s="564"/>
      <c r="AH63" s="564"/>
      <c r="AI63" s="564"/>
      <c r="AJ63" s="564"/>
      <c r="AK63" s="564"/>
      <c r="AL63" s="564"/>
      <c r="AM63" s="564"/>
      <c r="AN63" s="564"/>
      <c r="AO63" s="564"/>
      <c r="AP63" s="564"/>
      <c r="AQ63" s="564"/>
      <c r="AR63" s="564"/>
      <c r="AS63" s="564"/>
      <c r="AT63" s="564" t="s">
        <v>4811</v>
      </c>
      <c r="AU63" s="564"/>
      <c r="AV63" s="564"/>
      <c r="AW63" s="564"/>
      <c r="AX63" s="564"/>
      <c r="AY63" s="564"/>
      <c r="AZ63" s="564"/>
      <c r="BA63" s="564"/>
      <c r="BB63" s="564"/>
      <c r="BC63" s="564"/>
      <c r="BD63" s="564"/>
      <c r="BE63" s="564"/>
      <c r="BF63" s="564"/>
      <c r="BG63" s="564"/>
      <c r="BH63" s="564"/>
      <c r="BI63" s="564"/>
      <c r="BJ63" s="564" t="s">
        <v>4812</v>
      </c>
      <c r="BK63" s="564"/>
      <c r="BL63" s="564"/>
      <c r="BM63" s="564"/>
      <c r="BN63" s="564"/>
      <c r="BO63" s="564"/>
      <c r="BP63" s="564"/>
      <c r="BQ63" s="564"/>
      <c r="BR63" s="564"/>
      <c r="BS63" s="564"/>
      <c r="BT63" s="564"/>
      <c r="BU63" s="564"/>
      <c r="BV63" s="564"/>
      <c r="BW63" s="564"/>
      <c r="BX63" s="564"/>
      <c r="BY63" s="564"/>
      <c r="BZ63" s="564" t="s">
        <v>4813</v>
      </c>
      <c r="CA63" s="564"/>
      <c r="CB63" s="564"/>
      <c r="CC63" s="564"/>
      <c r="CD63" s="564"/>
      <c r="CE63" s="564"/>
      <c r="CF63" s="564"/>
      <c r="CG63" s="564"/>
      <c r="CH63" s="564"/>
      <c r="CI63" s="564"/>
      <c r="CJ63" s="564"/>
      <c r="CK63" s="564"/>
      <c r="CL63" s="564"/>
      <c r="CM63" s="564"/>
      <c r="CN63" s="564"/>
      <c r="CO63" s="564"/>
      <c r="CP63" s="564" t="s">
        <v>4814</v>
      </c>
      <c r="CQ63" s="564"/>
      <c r="CR63" s="564"/>
      <c r="CS63" s="564"/>
      <c r="CT63" s="564"/>
      <c r="CU63" s="564"/>
      <c r="CV63" s="564"/>
      <c r="CW63" s="564"/>
      <c r="CX63" s="564"/>
      <c r="CY63" s="564"/>
      <c r="CZ63" s="564"/>
      <c r="DA63" s="564"/>
      <c r="DB63" s="564"/>
      <c r="DC63" s="564"/>
      <c r="DD63" s="564"/>
      <c r="DE63" s="564"/>
      <c r="DF63" s="564" t="s">
        <v>4815</v>
      </c>
      <c r="DG63" s="564"/>
      <c r="DH63" s="564"/>
      <c r="DI63" s="564"/>
      <c r="DJ63" s="564"/>
      <c r="DK63" s="564"/>
      <c r="DL63" s="564"/>
      <c r="DM63" s="564"/>
      <c r="DN63" s="564"/>
      <c r="DO63" s="564"/>
      <c r="DP63" s="564"/>
      <c r="DQ63" s="564"/>
      <c r="DR63" s="564"/>
      <c r="DS63" s="564"/>
      <c r="DT63" s="564"/>
      <c r="DU63" s="564"/>
      <c r="DV63" s="564" t="s">
        <v>4816</v>
      </c>
      <c r="DW63" s="564"/>
    </row>
    <row r="64" spans="1:127" s="281" customFormat="1" x14ac:dyDescent="0.2">
      <c r="A64" s="85"/>
      <c r="B64" s="34" t="str">
        <f t="shared" ref="B64:B71" ca="1" si="13">IF(OFFSET(R64,0,Lang_Order*Lang__R2)="","",OFFSET(R64,0,Lang_Order*Lang__R2))</f>
        <v>Covid-19 vaccination benchmarking against recent health expenditures:</v>
      </c>
      <c r="M64" s="459"/>
      <c r="O64" s="567"/>
      <c r="P64" s="564"/>
      <c r="Q64" s="564"/>
      <c r="R64" s="564" t="s">
        <v>4330</v>
      </c>
      <c r="S64" s="564"/>
      <c r="T64" s="564"/>
      <c r="U64" s="564"/>
      <c r="V64" s="564"/>
      <c r="W64" s="564"/>
      <c r="X64" s="564"/>
      <c r="Y64" s="564"/>
      <c r="Z64" s="564"/>
      <c r="AA64" s="564"/>
      <c r="AB64" s="564"/>
      <c r="AC64" s="564"/>
      <c r="AD64" s="564"/>
      <c r="AE64" s="564"/>
      <c r="AF64" s="564"/>
      <c r="AG64" s="564"/>
      <c r="AH64" s="564" t="s">
        <v>4817</v>
      </c>
      <c r="AI64" s="564"/>
      <c r="AJ64" s="564"/>
      <c r="AK64" s="564"/>
      <c r="AL64" s="564"/>
      <c r="AM64" s="564"/>
      <c r="AN64" s="564"/>
      <c r="AO64" s="564"/>
      <c r="AP64" s="564"/>
      <c r="AQ64" s="564"/>
      <c r="AR64" s="564"/>
      <c r="AS64" s="564"/>
      <c r="AT64" s="564"/>
      <c r="AU64" s="564"/>
      <c r="AV64" s="564"/>
      <c r="AW64" s="564"/>
      <c r="AX64" s="564" t="s">
        <v>4818</v>
      </c>
      <c r="AY64" s="564"/>
      <c r="AZ64" s="564"/>
      <c r="BA64" s="564"/>
      <c r="BB64" s="564"/>
      <c r="BC64" s="564"/>
      <c r="BD64" s="564"/>
      <c r="BE64" s="564"/>
      <c r="BF64" s="564"/>
      <c r="BG64" s="564"/>
      <c r="BH64" s="564"/>
      <c r="BI64" s="564"/>
      <c r="BJ64" s="564"/>
      <c r="BK64" s="564"/>
      <c r="BL64" s="564"/>
      <c r="BM64" s="564"/>
      <c r="BN64" s="564" t="s">
        <v>4819</v>
      </c>
      <c r="BO64" s="564"/>
      <c r="BP64" s="564"/>
      <c r="BQ64" s="564"/>
      <c r="BR64" s="564"/>
      <c r="BS64" s="564"/>
      <c r="BT64" s="564"/>
      <c r="BU64" s="564"/>
      <c r="BV64" s="564"/>
      <c r="BW64" s="564"/>
      <c r="BX64" s="564"/>
      <c r="BY64" s="564"/>
      <c r="BZ64" s="564"/>
      <c r="CA64" s="564"/>
      <c r="CB64" s="564"/>
      <c r="CC64" s="564"/>
      <c r="CD64" s="564" t="s">
        <v>4820</v>
      </c>
      <c r="CE64" s="564"/>
      <c r="CF64" s="564"/>
      <c r="CG64" s="564"/>
      <c r="CH64" s="564"/>
      <c r="CI64" s="564"/>
      <c r="CJ64" s="564"/>
      <c r="CK64" s="564"/>
      <c r="CL64" s="564"/>
      <c r="CM64" s="564"/>
      <c r="CN64" s="564"/>
      <c r="CO64" s="564"/>
      <c r="CP64" s="564"/>
      <c r="CQ64" s="564"/>
      <c r="CR64" s="564"/>
      <c r="CS64" s="564"/>
      <c r="CT64" s="564" t="s">
        <v>4821</v>
      </c>
      <c r="CU64" s="564"/>
      <c r="CV64" s="564"/>
      <c r="CW64" s="564"/>
      <c r="CX64" s="564"/>
      <c r="CY64" s="564"/>
      <c r="CZ64" s="564"/>
      <c r="DA64" s="564"/>
      <c r="DB64" s="564"/>
      <c r="DC64" s="564"/>
      <c r="DD64" s="564"/>
      <c r="DE64" s="564"/>
      <c r="DF64" s="564"/>
      <c r="DG64" s="564"/>
      <c r="DH64" s="564"/>
      <c r="DI64" s="564"/>
      <c r="DJ64" s="564" t="s">
        <v>4822</v>
      </c>
      <c r="DK64" s="564"/>
      <c r="DL64" s="564"/>
      <c r="DM64" s="564"/>
      <c r="DN64" s="564"/>
      <c r="DO64" s="564"/>
      <c r="DP64" s="564"/>
      <c r="DQ64" s="564"/>
      <c r="DR64" s="564"/>
      <c r="DS64" s="564"/>
      <c r="DT64" s="564"/>
      <c r="DU64" s="564"/>
      <c r="DV64" s="564"/>
      <c r="DW64" s="564"/>
    </row>
    <row r="65" spans="1:127" s="299" customFormat="1" x14ac:dyDescent="0.2">
      <c r="A65" s="85"/>
      <c r="B65" s="159" t="str">
        <f t="shared" ca="1" si="13"/>
        <v>Additional to existing financing (vaccination financing added to the denominator)</v>
      </c>
      <c r="M65" s="459"/>
      <c r="O65" s="567"/>
      <c r="P65" s="564"/>
      <c r="Q65" s="564"/>
      <c r="R65" s="564" t="s">
        <v>4291</v>
      </c>
      <c r="S65" s="564"/>
      <c r="T65" s="564"/>
      <c r="U65" s="564"/>
      <c r="V65" s="564"/>
      <c r="W65" s="564"/>
      <c r="X65" s="564"/>
      <c r="Y65" s="564"/>
      <c r="Z65" s="564"/>
      <c r="AA65" s="564"/>
      <c r="AB65" s="564"/>
      <c r="AC65" s="564"/>
      <c r="AD65" s="564"/>
      <c r="AE65" s="564"/>
      <c r="AF65" s="564"/>
      <c r="AG65" s="564"/>
      <c r="AH65" s="564" t="s">
        <v>4823</v>
      </c>
      <c r="AI65" s="564"/>
      <c r="AJ65" s="564"/>
      <c r="AK65" s="564"/>
      <c r="AL65" s="564"/>
      <c r="AM65" s="564"/>
      <c r="AN65" s="564"/>
      <c r="AO65" s="564"/>
      <c r="AP65" s="564"/>
      <c r="AQ65" s="564"/>
      <c r="AR65" s="564"/>
      <c r="AS65" s="564"/>
      <c r="AT65" s="564"/>
      <c r="AU65" s="564"/>
      <c r="AV65" s="564"/>
      <c r="AW65" s="564"/>
      <c r="AX65" s="564" t="s">
        <v>4824</v>
      </c>
      <c r="AY65" s="564"/>
      <c r="AZ65" s="564"/>
      <c r="BA65" s="564"/>
      <c r="BB65" s="564"/>
      <c r="BC65" s="564"/>
      <c r="BD65" s="564"/>
      <c r="BE65" s="564"/>
      <c r="BF65" s="564"/>
      <c r="BG65" s="564"/>
      <c r="BH65" s="564"/>
      <c r="BI65" s="564"/>
      <c r="BJ65" s="564"/>
      <c r="BK65" s="564"/>
      <c r="BL65" s="564"/>
      <c r="BM65" s="564"/>
      <c r="BN65" s="564" t="s">
        <v>4825</v>
      </c>
      <c r="BO65" s="564"/>
      <c r="BP65" s="564"/>
      <c r="BQ65" s="564"/>
      <c r="BR65" s="564"/>
      <c r="BS65" s="564"/>
      <c r="BT65" s="564"/>
      <c r="BU65" s="564"/>
      <c r="BV65" s="564"/>
      <c r="BW65" s="564"/>
      <c r="BX65" s="564"/>
      <c r="BY65" s="564"/>
      <c r="BZ65" s="564"/>
      <c r="CA65" s="564"/>
      <c r="CB65" s="564"/>
      <c r="CC65" s="564"/>
      <c r="CD65" s="564" t="s">
        <v>4826</v>
      </c>
      <c r="CE65" s="564"/>
      <c r="CF65" s="564"/>
      <c r="CG65" s="564"/>
      <c r="CH65" s="564"/>
      <c r="CI65" s="564"/>
      <c r="CJ65" s="564"/>
      <c r="CK65" s="564"/>
      <c r="CL65" s="564"/>
      <c r="CM65" s="564"/>
      <c r="CN65" s="564"/>
      <c r="CO65" s="564"/>
      <c r="CP65" s="564"/>
      <c r="CQ65" s="564"/>
      <c r="CR65" s="564"/>
      <c r="CS65" s="564"/>
      <c r="CT65" s="564" t="s">
        <v>4827</v>
      </c>
      <c r="CU65" s="564"/>
      <c r="CV65" s="564"/>
      <c r="CW65" s="564"/>
      <c r="CX65" s="564"/>
      <c r="CY65" s="564"/>
      <c r="CZ65" s="564"/>
      <c r="DA65" s="564"/>
      <c r="DB65" s="564"/>
      <c r="DC65" s="564"/>
      <c r="DD65" s="564"/>
      <c r="DE65" s="564"/>
      <c r="DF65" s="564"/>
      <c r="DG65" s="564"/>
      <c r="DH65" s="564"/>
      <c r="DI65" s="564"/>
      <c r="DJ65" s="564" t="s">
        <v>4828</v>
      </c>
      <c r="DK65" s="564"/>
      <c r="DL65" s="564"/>
      <c r="DM65" s="564"/>
      <c r="DN65" s="564"/>
      <c r="DO65" s="564"/>
      <c r="DP65" s="564"/>
      <c r="DQ65" s="564"/>
      <c r="DR65" s="564"/>
      <c r="DS65" s="564"/>
      <c r="DT65" s="564"/>
      <c r="DU65" s="564"/>
      <c r="DV65" s="564"/>
      <c r="DW65" s="564"/>
    </row>
    <row r="66" spans="1:127" s="499" customFormat="1" x14ac:dyDescent="0.2">
      <c r="A66" s="85"/>
      <c r="B66" s="105" t="str">
        <f t="shared" ca="1" si="13"/>
        <v>Grand Total as % of GGE</v>
      </c>
      <c r="C66" s="162" t="e">
        <f>C58/(G53+C58)</f>
        <v>#N/A</v>
      </c>
      <c r="D66" s="162"/>
      <c r="E66" s="162" t="e">
        <f ca="1">E58/(G54+E58)</f>
        <v>#N/A</v>
      </c>
      <c r="F66" s="162"/>
      <c r="G66" s="162" t="e">
        <f ca="1">G58/(G55+G58)</f>
        <v>#N/A</v>
      </c>
      <c r="O66" s="567"/>
      <c r="P66" s="564"/>
      <c r="Q66" s="564"/>
      <c r="R66" s="564" t="s">
        <v>4498</v>
      </c>
      <c r="S66" s="564"/>
      <c r="T66" s="564"/>
      <c r="U66" s="564"/>
      <c r="V66" s="564"/>
      <c r="W66" s="564"/>
      <c r="X66" s="564"/>
      <c r="Y66" s="564"/>
      <c r="Z66" s="564"/>
      <c r="AA66" s="564"/>
      <c r="AB66" s="564"/>
      <c r="AC66" s="564"/>
      <c r="AD66" s="564"/>
      <c r="AE66" s="564"/>
      <c r="AF66" s="564"/>
      <c r="AG66" s="564"/>
      <c r="AH66" s="564" t="s">
        <v>14059</v>
      </c>
      <c r="AI66" s="564"/>
      <c r="AJ66" s="564"/>
      <c r="AK66" s="564"/>
      <c r="AL66" s="564"/>
      <c r="AM66" s="564"/>
      <c r="AN66" s="564"/>
      <c r="AO66" s="564"/>
      <c r="AP66" s="564"/>
      <c r="AQ66" s="564"/>
      <c r="AR66" s="564"/>
      <c r="AS66" s="564"/>
      <c r="AT66" s="564"/>
      <c r="AU66" s="564"/>
      <c r="AV66" s="564"/>
      <c r="AW66" s="564"/>
      <c r="AX66" s="564" t="s">
        <v>14060</v>
      </c>
      <c r="AY66" s="564"/>
      <c r="AZ66" s="564"/>
      <c r="BA66" s="564"/>
      <c r="BB66" s="564"/>
      <c r="BC66" s="564"/>
      <c r="BD66" s="564"/>
      <c r="BE66" s="564"/>
      <c r="BF66" s="564"/>
      <c r="BG66" s="564"/>
      <c r="BH66" s="564"/>
      <c r="BI66" s="564"/>
      <c r="BJ66" s="564"/>
      <c r="BK66" s="564"/>
      <c r="BL66" s="564"/>
      <c r="BM66" s="564"/>
      <c r="BN66" s="564" t="s">
        <v>14061</v>
      </c>
      <c r="BO66" s="564"/>
      <c r="BP66" s="564"/>
      <c r="BQ66" s="564"/>
      <c r="BR66" s="564"/>
      <c r="BS66" s="564"/>
      <c r="BT66" s="564"/>
      <c r="BU66" s="564"/>
      <c r="BV66" s="564"/>
      <c r="BW66" s="564"/>
      <c r="BX66" s="564"/>
      <c r="BY66" s="564"/>
      <c r="BZ66" s="564"/>
      <c r="CA66" s="564"/>
      <c r="CB66" s="564"/>
      <c r="CC66" s="564"/>
      <c r="CD66" s="564" t="s">
        <v>14062</v>
      </c>
      <c r="CE66" s="564"/>
      <c r="CF66" s="564"/>
      <c r="CG66" s="564"/>
      <c r="CH66" s="564"/>
      <c r="CI66" s="564"/>
      <c r="CJ66" s="564"/>
      <c r="CK66" s="564"/>
      <c r="CL66" s="564"/>
      <c r="CM66" s="564"/>
      <c r="CN66" s="564"/>
      <c r="CO66" s="564"/>
      <c r="CP66" s="564"/>
      <c r="CQ66" s="564"/>
      <c r="CR66" s="564"/>
      <c r="CS66" s="564"/>
      <c r="CT66" s="564" t="s">
        <v>14063</v>
      </c>
      <c r="CU66" s="564"/>
      <c r="CV66" s="564"/>
      <c r="CW66" s="564"/>
      <c r="CX66" s="564"/>
      <c r="CY66" s="564"/>
      <c r="CZ66" s="564"/>
      <c r="DA66" s="564"/>
      <c r="DB66" s="564"/>
      <c r="DC66" s="564"/>
      <c r="DD66" s="564"/>
      <c r="DE66" s="564"/>
      <c r="DF66" s="564"/>
      <c r="DG66" s="564"/>
      <c r="DH66" s="564"/>
      <c r="DI66" s="564"/>
      <c r="DJ66" s="564" t="s">
        <v>14064</v>
      </c>
      <c r="DK66" s="564"/>
      <c r="DL66" s="564"/>
      <c r="DM66" s="564"/>
      <c r="DN66" s="564"/>
      <c r="DO66" s="564"/>
      <c r="DP66" s="564"/>
      <c r="DQ66" s="564"/>
      <c r="DR66" s="564"/>
      <c r="DS66" s="564"/>
      <c r="DT66" s="564"/>
      <c r="DU66" s="564"/>
      <c r="DV66" s="564"/>
      <c r="DW66" s="564"/>
    </row>
    <row r="67" spans="1:127" s="299" customFormat="1" x14ac:dyDescent="0.2">
      <c r="A67" s="85"/>
      <c r="B67" s="618" t="str">
        <f t="shared" ca="1" si="13"/>
        <v>Grand Total as % of 2018 GGHED +DAH</v>
      </c>
      <c r="C67" s="162" t="e">
        <f>C58/(C58+$G49)</f>
        <v>#N/A</v>
      </c>
      <c r="E67" s="162" t="e">
        <f ca="1">E58/(E58+$G49)</f>
        <v>#N/A</v>
      </c>
      <c r="G67" s="162" t="e">
        <f ca="1">G58/(G58+$G49)</f>
        <v>#N/A</v>
      </c>
      <c r="M67" s="459"/>
      <c r="O67" s="567"/>
      <c r="P67" s="564"/>
      <c r="Q67" s="564"/>
      <c r="R67" s="564" t="s">
        <v>4497</v>
      </c>
      <c r="S67" s="564"/>
      <c r="T67" s="564"/>
      <c r="U67" s="564"/>
      <c r="V67" s="564"/>
      <c r="W67" s="564"/>
      <c r="X67" s="564"/>
      <c r="Y67" s="564"/>
      <c r="Z67" s="564"/>
      <c r="AA67" s="564"/>
      <c r="AB67" s="564"/>
      <c r="AC67" s="564"/>
      <c r="AD67" s="564"/>
      <c r="AE67" s="564"/>
      <c r="AF67" s="564"/>
      <c r="AG67" s="564"/>
      <c r="AH67" s="564" t="s">
        <v>14065</v>
      </c>
      <c r="AI67" s="564"/>
      <c r="AJ67" s="564"/>
      <c r="AK67" s="564"/>
      <c r="AL67" s="564"/>
      <c r="AM67" s="564"/>
      <c r="AN67" s="564"/>
      <c r="AO67" s="564"/>
      <c r="AP67" s="564"/>
      <c r="AQ67" s="564"/>
      <c r="AR67" s="564"/>
      <c r="AS67" s="564"/>
      <c r="AT67" s="564"/>
      <c r="AU67" s="564"/>
      <c r="AV67" s="564"/>
      <c r="AW67" s="564"/>
      <c r="AX67" s="564" t="s">
        <v>14066</v>
      </c>
      <c r="AY67" s="564"/>
      <c r="AZ67" s="564"/>
      <c r="BA67" s="564"/>
      <c r="BB67" s="564"/>
      <c r="BC67" s="564"/>
      <c r="BD67" s="564"/>
      <c r="BE67" s="564"/>
      <c r="BF67" s="564"/>
      <c r="BG67" s="564"/>
      <c r="BH67" s="564"/>
      <c r="BI67" s="564"/>
      <c r="BJ67" s="564"/>
      <c r="BK67" s="564"/>
      <c r="BL67" s="564"/>
      <c r="BM67" s="564"/>
      <c r="BN67" s="564" t="s">
        <v>14067</v>
      </c>
      <c r="BO67" s="564"/>
      <c r="BP67" s="564"/>
      <c r="BQ67" s="564"/>
      <c r="BR67" s="564"/>
      <c r="BS67" s="564"/>
      <c r="BT67" s="564"/>
      <c r="BU67" s="564"/>
      <c r="BV67" s="564"/>
      <c r="BW67" s="564"/>
      <c r="BX67" s="564"/>
      <c r="BY67" s="564"/>
      <c r="BZ67" s="564"/>
      <c r="CA67" s="564"/>
      <c r="CB67" s="564"/>
      <c r="CC67" s="564"/>
      <c r="CD67" s="564" t="s">
        <v>14068</v>
      </c>
      <c r="CE67" s="564"/>
      <c r="CF67" s="564"/>
      <c r="CG67" s="564"/>
      <c r="CH67" s="564"/>
      <c r="CI67" s="564"/>
      <c r="CJ67" s="564"/>
      <c r="CK67" s="564"/>
      <c r="CL67" s="564"/>
      <c r="CM67" s="564"/>
      <c r="CN67" s="564"/>
      <c r="CO67" s="564"/>
      <c r="CP67" s="564"/>
      <c r="CQ67" s="564"/>
      <c r="CR67" s="564"/>
      <c r="CS67" s="564"/>
      <c r="CT67" s="564" t="s">
        <v>14069</v>
      </c>
      <c r="CU67" s="564"/>
      <c r="CV67" s="564"/>
      <c r="CW67" s="564"/>
      <c r="CX67" s="564"/>
      <c r="CY67" s="564"/>
      <c r="CZ67" s="564"/>
      <c r="DA67" s="564"/>
      <c r="DB67" s="564"/>
      <c r="DC67" s="564"/>
      <c r="DD67" s="564"/>
      <c r="DE67" s="564"/>
      <c r="DF67" s="564"/>
      <c r="DG67" s="564"/>
      <c r="DH67" s="564"/>
      <c r="DI67" s="564"/>
      <c r="DJ67" s="564" t="s">
        <v>14070</v>
      </c>
      <c r="DK67" s="564"/>
      <c r="DL67" s="564"/>
      <c r="DM67" s="564"/>
      <c r="DN67" s="564"/>
      <c r="DO67" s="564"/>
      <c r="DP67" s="564"/>
      <c r="DQ67" s="564"/>
      <c r="DR67" s="564"/>
      <c r="DS67" s="564"/>
      <c r="DT67" s="564"/>
      <c r="DU67" s="564"/>
      <c r="DV67" s="564"/>
      <c r="DW67" s="564"/>
    </row>
    <row r="68" spans="1:127" s="463" customFormat="1" x14ac:dyDescent="0.2">
      <c r="A68" s="85"/>
      <c r="B68" s="105" t="str">
        <f t="shared" ca="1" si="13"/>
        <v>Grand Total as % of Vaccination Financing</v>
      </c>
      <c r="C68" s="162" t="e">
        <f>C58/(C58+$G52)</f>
        <v>#N/A</v>
      </c>
      <c r="E68" s="162" t="e">
        <f ca="1">E58/(E58+$G52)</f>
        <v>#N/A</v>
      </c>
      <c r="G68" s="162" t="e">
        <f ca="1">G58/(G58+$G52)</f>
        <v>#N/A</v>
      </c>
      <c r="O68" s="567"/>
      <c r="P68" s="564"/>
      <c r="Q68" s="564"/>
      <c r="R68" s="564" t="s">
        <v>4336</v>
      </c>
      <c r="S68" s="564"/>
      <c r="T68" s="564"/>
      <c r="U68" s="564"/>
      <c r="V68" s="564"/>
      <c r="W68" s="564"/>
      <c r="X68" s="564"/>
      <c r="Y68" s="564"/>
      <c r="Z68" s="564"/>
      <c r="AA68" s="564"/>
      <c r="AB68" s="564"/>
      <c r="AC68" s="564"/>
      <c r="AD68" s="564"/>
      <c r="AE68" s="564"/>
      <c r="AF68" s="564"/>
      <c r="AG68" s="564"/>
      <c r="AH68" s="564" t="s">
        <v>4829</v>
      </c>
      <c r="AI68" s="564"/>
      <c r="AJ68" s="564"/>
      <c r="AK68" s="564"/>
      <c r="AL68" s="564"/>
      <c r="AM68" s="564"/>
      <c r="AN68" s="564"/>
      <c r="AO68" s="564"/>
      <c r="AP68" s="564"/>
      <c r="AQ68" s="564"/>
      <c r="AR68" s="564"/>
      <c r="AS68" s="564"/>
      <c r="AT68" s="564"/>
      <c r="AU68" s="564"/>
      <c r="AV68" s="564"/>
      <c r="AW68" s="564"/>
      <c r="AX68" s="564" t="s">
        <v>4830</v>
      </c>
      <c r="AY68" s="564"/>
      <c r="AZ68" s="564"/>
      <c r="BA68" s="564"/>
      <c r="BB68" s="564"/>
      <c r="BC68" s="564"/>
      <c r="BD68" s="564"/>
      <c r="BE68" s="564"/>
      <c r="BF68" s="564"/>
      <c r="BG68" s="564"/>
      <c r="BH68" s="564"/>
      <c r="BI68" s="564"/>
      <c r="BJ68" s="564"/>
      <c r="BK68" s="564"/>
      <c r="BL68" s="564"/>
      <c r="BM68" s="564"/>
      <c r="BN68" s="564" t="s">
        <v>4831</v>
      </c>
      <c r="BO68" s="564"/>
      <c r="BP68" s="564"/>
      <c r="BQ68" s="564"/>
      <c r="BR68" s="564"/>
      <c r="BS68" s="564"/>
      <c r="BT68" s="564"/>
      <c r="BU68" s="564"/>
      <c r="BV68" s="564"/>
      <c r="BW68" s="564"/>
      <c r="BX68" s="564"/>
      <c r="BY68" s="564"/>
      <c r="BZ68" s="564"/>
      <c r="CA68" s="564"/>
      <c r="CB68" s="564"/>
      <c r="CC68" s="564"/>
      <c r="CD68" s="564" t="s">
        <v>4832</v>
      </c>
      <c r="CE68" s="564"/>
      <c r="CF68" s="564"/>
      <c r="CG68" s="564"/>
      <c r="CH68" s="564"/>
      <c r="CI68" s="564"/>
      <c r="CJ68" s="564"/>
      <c r="CK68" s="564"/>
      <c r="CL68" s="564"/>
      <c r="CM68" s="564"/>
      <c r="CN68" s="564"/>
      <c r="CO68" s="564"/>
      <c r="CP68" s="564"/>
      <c r="CQ68" s="564"/>
      <c r="CR68" s="564"/>
      <c r="CS68" s="564"/>
      <c r="CT68" s="564" t="s">
        <v>4833</v>
      </c>
      <c r="CU68" s="564"/>
      <c r="CV68" s="564"/>
      <c r="CW68" s="564"/>
      <c r="CX68" s="564"/>
      <c r="CY68" s="564"/>
      <c r="CZ68" s="564"/>
      <c r="DA68" s="564"/>
      <c r="DB68" s="564"/>
      <c r="DC68" s="564"/>
      <c r="DD68" s="564"/>
      <c r="DE68" s="564"/>
      <c r="DF68" s="564"/>
      <c r="DG68" s="564"/>
      <c r="DH68" s="564"/>
      <c r="DI68" s="564"/>
      <c r="DJ68" s="564" t="s">
        <v>4834</v>
      </c>
      <c r="DK68" s="564"/>
      <c r="DL68" s="564"/>
      <c r="DM68" s="564"/>
      <c r="DN68" s="564"/>
      <c r="DO68" s="564"/>
      <c r="DP68" s="564"/>
      <c r="DQ68" s="564"/>
      <c r="DR68" s="564"/>
      <c r="DS68" s="564"/>
      <c r="DT68" s="564"/>
      <c r="DU68" s="564"/>
      <c r="DV68" s="564"/>
      <c r="DW68" s="564"/>
    </row>
    <row r="69" spans="1:127" s="299" customFormat="1" x14ac:dyDescent="0.2">
      <c r="A69" s="85"/>
      <c r="B69" s="5" t="str">
        <f t="shared" ca="1" si="13"/>
        <v>Domestic as % of 2018 GGHED</v>
      </c>
      <c r="C69" s="162" t="e">
        <f>C59/(C59+$G48)</f>
        <v>#N/A</v>
      </c>
      <c r="E69" s="162" t="e">
        <f>E59/(E59+$G48)</f>
        <v>#N/A</v>
      </c>
      <c r="G69" s="162" t="e">
        <f>G59/(G59+$G48)</f>
        <v>#N/A</v>
      </c>
      <c r="M69" s="459"/>
      <c r="O69" s="567"/>
      <c r="P69" s="564"/>
      <c r="Q69" s="564"/>
      <c r="R69" s="564" t="s">
        <v>4333</v>
      </c>
      <c r="S69" s="564"/>
      <c r="T69" s="564"/>
      <c r="U69" s="564"/>
      <c r="V69" s="564"/>
      <c r="W69" s="564"/>
      <c r="X69" s="564"/>
      <c r="Y69" s="564"/>
      <c r="Z69" s="564"/>
      <c r="AA69" s="564"/>
      <c r="AB69" s="564"/>
      <c r="AC69" s="564"/>
      <c r="AD69" s="564"/>
      <c r="AE69" s="564"/>
      <c r="AF69" s="564"/>
      <c r="AG69" s="564"/>
      <c r="AH69" s="564" t="s">
        <v>4835</v>
      </c>
      <c r="AI69" s="564"/>
      <c r="AJ69" s="564"/>
      <c r="AK69" s="564"/>
      <c r="AL69" s="564"/>
      <c r="AM69" s="564"/>
      <c r="AN69" s="564"/>
      <c r="AO69" s="564"/>
      <c r="AP69" s="564"/>
      <c r="AQ69" s="564"/>
      <c r="AR69" s="564"/>
      <c r="AS69" s="564"/>
      <c r="AT69" s="564"/>
      <c r="AU69" s="564"/>
      <c r="AV69" s="564"/>
      <c r="AW69" s="564"/>
      <c r="AX69" s="564" t="s">
        <v>4836</v>
      </c>
      <c r="AY69" s="564"/>
      <c r="AZ69" s="564"/>
      <c r="BA69" s="564"/>
      <c r="BB69" s="564"/>
      <c r="BC69" s="564"/>
      <c r="BD69" s="564"/>
      <c r="BE69" s="564"/>
      <c r="BF69" s="564"/>
      <c r="BG69" s="564"/>
      <c r="BH69" s="564"/>
      <c r="BI69" s="564"/>
      <c r="BJ69" s="564"/>
      <c r="BK69" s="564"/>
      <c r="BL69" s="564"/>
      <c r="BM69" s="564"/>
      <c r="BN69" s="564" t="s">
        <v>4837</v>
      </c>
      <c r="BO69" s="564"/>
      <c r="BP69" s="564"/>
      <c r="BQ69" s="564"/>
      <c r="BR69" s="564"/>
      <c r="BS69" s="564"/>
      <c r="BT69" s="564"/>
      <c r="BU69" s="564"/>
      <c r="BV69" s="564"/>
      <c r="BW69" s="564"/>
      <c r="BX69" s="564"/>
      <c r="BY69" s="564"/>
      <c r="BZ69" s="564"/>
      <c r="CA69" s="564"/>
      <c r="CB69" s="564"/>
      <c r="CC69" s="564"/>
      <c r="CD69" s="564" t="s">
        <v>4838</v>
      </c>
      <c r="CE69" s="564"/>
      <c r="CF69" s="564"/>
      <c r="CG69" s="564"/>
      <c r="CH69" s="564"/>
      <c r="CI69" s="564"/>
      <c r="CJ69" s="564"/>
      <c r="CK69" s="564"/>
      <c r="CL69" s="564"/>
      <c r="CM69" s="564"/>
      <c r="CN69" s="564"/>
      <c r="CO69" s="564"/>
      <c r="CP69" s="564"/>
      <c r="CQ69" s="564"/>
      <c r="CR69" s="564"/>
      <c r="CS69" s="564"/>
      <c r="CT69" s="564" t="s">
        <v>4839</v>
      </c>
      <c r="CU69" s="564"/>
      <c r="CV69" s="564"/>
      <c r="CW69" s="564"/>
      <c r="CX69" s="564"/>
      <c r="CY69" s="564"/>
      <c r="CZ69" s="564"/>
      <c r="DA69" s="564"/>
      <c r="DB69" s="564"/>
      <c r="DC69" s="564"/>
      <c r="DD69" s="564"/>
      <c r="DE69" s="564"/>
      <c r="DF69" s="564"/>
      <c r="DG69" s="564"/>
      <c r="DH69" s="564"/>
      <c r="DI69" s="564"/>
      <c r="DJ69" s="564" t="s">
        <v>4840</v>
      </c>
      <c r="DK69" s="564"/>
      <c r="DL69" s="564"/>
      <c r="DM69" s="564"/>
      <c r="DN69" s="564"/>
      <c r="DO69" s="564"/>
      <c r="DP69" s="564"/>
      <c r="DQ69" s="564"/>
      <c r="DR69" s="564"/>
      <c r="DS69" s="564"/>
      <c r="DT69" s="564"/>
      <c r="DU69" s="564"/>
      <c r="DV69" s="564"/>
      <c r="DW69" s="564"/>
    </row>
    <row r="70" spans="1:127" s="299" customFormat="1" x14ac:dyDescent="0.2">
      <c r="A70" s="85"/>
      <c r="B70" s="5" t="str">
        <f t="shared" ca="1" si="13"/>
        <v>External as % of 2018 EXT</v>
      </c>
      <c r="C70" s="162" t="e">
        <f>C60/(C60+$G50)</f>
        <v>#DIV/0!</v>
      </c>
      <c r="E70" s="162" t="e">
        <f>E60/(E60+$G50)</f>
        <v>#DIV/0!</v>
      </c>
      <c r="G70" s="162" t="e">
        <f>G60/(G60+$G50)</f>
        <v>#DIV/0!</v>
      </c>
      <c r="M70" s="459"/>
      <c r="O70" s="567"/>
      <c r="P70" s="564"/>
      <c r="Q70" s="564"/>
      <c r="R70" s="564" t="s">
        <v>4334</v>
      </c>
      <c r="S70" s="564"/>
      <c r="T70" s="564"/>
      <c r="U70" s="564"/>
      <c r="V70" s="564"/>
      <c r="W70" s="564"/>
      <c r="X70" s="564"/>
      <c r="Y70" s="564"/>
      <c r="Z70" s="564"/>
      <c r="AA70" s="564"/>
      <c r="AB70" s="564"/>
      <c r="AC70" s="564"/>
      <c r="AD70" s="564"/>
      <c r="AE70" s="564"/>
      <c r="AF70" s="564"/>
      <c r="AG70" s="564"/>
      <c r="AH70" s="564" t="s">
        <v>4841</v>
      </c>
      <c r="AI70" s="564"/>
      <c r="AJ70" s="564"/>
      <c r="AK70" s="564"/>
      <c r="AL70" s="564"/>
      <c r="AM70" s="564"/>
      <c r="AN70" s="564"/>
      <c r="AO70" s="564"/>
      <c r="AP70" s="564"/>
      <c r="AQ70" s="564"/>
      <c r="AR70" s="564"/>
      <c r="AS70" s="564"/>
      <c r="AT70" s="564"/>
      <c r="AU70" s="564"/>
      <c r="AV70" s="564"/>
      <c r="AW70" s="564"/>
      <c r="AX70" s="564" t="s">
        <v>4842</v>
      </c>
      <c r="AY70" s="564"/>
      <c r="AZ70" s="564"/>
      <c r="BA70" s="564"/>
      <c r="BB70" s="564"/>
      <c r="BC70" s="564"/>
      <c r="BD70" s="564"/>
      <c r="BE70" s="564"/>
      <c r="BF70" s="564"/>
      <c r="BG70" s="564"/>
      <c r="BH70" s="564"/>
      <c r="BI70" s="564"/>
      <c r="BJ70" s="564"/>
      <c r="BK70" s="564"/>
      <c r="BL70" s="564"/>
      <c r="BM70" s="564"/>
      <c r="BN70" s="564" t="s">
        <v>4843</v>
      </c>
      <c r="BO70" s="564"/>
      <c r="BP70" s="564"/>
      <c r="BQ70" s="564"/>
      <c r="BR70" s="564"/>
      <c r="BS70" s="564"/>
      <c r="BT70" s="564"/>
      <c r="BU70" s="564"/>
      <c r="BV70" s="564"/>
      <c r="BW70" s="564"/>
      <c r="BX70" s="564"/>
      <c r="BY70" s="564"/>
      <c r="BZ70" s="564"/>
      <c r="CA70" s="564"/>
      <c r="CB70" s="564"/>
      <c r="CC70" s="564"/>
      <c r="CD70" s="564" t="s">
        <v>4844</v>
      </c>
      <c r="CE70" s="564"/>
      <c r="CF70" s="564"/>
      <c r="CG70" s="564"/>
      <c r="CH70" s="564"/>
      <c r="CI70" s="564"/>
      <c r="CJ70" s="564"/>
      <c r="CK70" s="564"/>
      <c r="CL70" s="564"/>
      <c r="CM70" s="564"/>
      <c r="CN70" s="564"/>
      <c r="CO70" s="564"/>
      <c r="CP70" s="564"/>
      <c r="CQ70" s="564"/>
      <c r="CR70" s="564"/>
      <c r="CS70" s="564"/>
      <c r="CT70" s="564" t="s">
        <v>4845</v>
      </c>
      <c r="CU70" s="564"/>
      <c r="CV70" s="564"/>
      <c r="CW70" s="564"/>
      <c r="CX70" s="564"/>
      <c r="CY70" s="564"/>
      <c r="CZ70" s="564"/>
      <c r="DA70" s="564"/>
      <c r="DB70" s="564"/>
      <c r="DC70" s="564"/>
      <c r="DD70" s="564"/>
      <c r="DE70" s="564"/>
      <c r="DF70" s="564"/>
      <c r="DG70" s="564"/>
      <c r="DH70" s="564"/>
      <c r="DI70" s="564"/>
      <c r="DJ70" s="564" t="s">
        <v>4846</v>
      </c>
      <c r="DK70" s="564"/>
      <c r="DL70" s="564"/>
      <c r="DM70" s="564"/>
      <c r="DN70" s="564"/>
      <c r="DO70" s="564"/>
      <c r="DP70" s="564"/>
      <c r="DQ70" s="564"/>
      <c r="DR70" s="564"/>
      <c r="DS70" s="564"/>
      <c r="DT70" s="564"/>
      <c r="DU70" s="564"/>
      <c r="DV70" s="564"/>
      <c r="DW70" s="564"/>
    </row>
    <row r="71" spans="1:127" s="299" customFormat="1" ht="13.5" customHeight="1" x14ac:dyDescent="0.2">
      <c r="A71" s="85"/>
      <c r="B71" s="5" t="str">
        <f t="shared" ca="1" si="13"/>
        <v>Capital Expenditures as % of 2018 HK</v>
      </c>
      <c r="C71" s="162" t="e">
        <f>C62/(C62+$G51)</f>
        <v>#N/A</v>
      </c>
      <c r="E71" s="162" t="e">
        <f>C62/(C62+$G51)</f>
        <v>#N/A</v>
      </c>
      <c r="G71" s="162" t="e">
        <f>C62/(C62+$G51)</f>
        <v>#N/A</v>
      </c>
      <c r="M71" s="459"/>
      <c r="O71" s="567"/>
      <c r="P71" s="564"/>
      <c r="Q71" s="564"/>
      <c r="R71" s="564" t="s">
        <v>4335</v>
      </c>
      <c r="S71" s="564"/>
      <c r="T71" s="564"/>
      <c r="U71" s="564"/>
      <c r="V71" s="564"/>
      <c r="W71" s="564"/>
      <c r="X71" s="564"/>
      <c r="Y71" s="564"/>
      <c r="Z71" s="564"/>
      <c r="AA71" s="564"/>
      <c r="AB71" s="564"/>
      <c r="AC71" s="564"/>
      <c r="AD71" s="564"/>
      <c r="AE71" s="564"/>
      <c r="AF71" s="564"/>
      <c r="AG71" s="564"/>
      <c r="AH71" s="564" t="s">
        <v>4847</v>
      </c>
      <c r="AI71" s="564"/>
      <c r="AJ71" s="564"/>
      <c r="AK71" s="564"/>
      <c r="AL71" s="564"/>
      <c r="AM71" s="564"/>
      <c r="AN71" s="564"/>
      <c r="AO71" s="564"/>
      <c r="AP71" s="564"/>
      <c r="AQ71" s="564"/>
      <c r="AR71" s="564"/>
      <c r="AS71" s="564"/>
      <c r="AT71" s="564"/>
      <c r="AU71" s="564"/>
      <c r="AV71" s="564"/>
      <c r="AW71" s="564"/>
      <c r="AX71" s="564" t="s">
        <v>4848</v>
      </c>
      <c r="AY71" s="564"/>
      <c r="AZ71" s="564"/>
      <c r="BA71" s="564"/>
      <c r="BB71" s="564"/>
      <c r="BC71" s="564"/>
      <c r="BD71" s="564"/>
      <c r="BE71" s="564"/>
      <c r="BF71" s="564"/>
      <c r="BG71" s="564"/>
      <c r="BH71" s="564"/>
      <c r="BI71" s="564"/>
      <c r="BJ71" s="564"/>
      <c r="BK71" s="564"/>
      <c r="BL71" s="564"/>
      <c r="BM71" s="564"/>
      <c r="BN71" s="564" t="s">
        <v>4849</v>
      </c>
      <c r="BO71" s="564"/>
      <c r="BP71" s="564"/>
      <c r="BQ71" s="564"/>
      <c r="BR71" s="564"/>
      <c r="BS71" s="564"/>
      <c r="BT71" s="564"/>
      <c r="BU71" s="564"/>
      <c r="BV71" s="564"/>
      <c r="BW71" s="564"/>
      <c r="BX71" s="564"/>
      <c r="BY71" s="564"/>
      <c r="BZ71" s="564"/>
      <c r="CA71" s="564"/>
      <c r="CB71" s="564"/>
      <c r="CC71" s="564"/>
      <c r="CD71" s="564" t="s">
        <v>4850</v>
      </c>
      <c r="CE71" s="564"/>
      <c r="CF71" s="564"/>
      <c r="CG71" s="564"/>
      <c r="CH71" s="564"/>
      <c r="CI71" s="564"/>
      <c r="CJ71" s="564"/>
      <c r="CK71" s="564"/>
      <c r="CL71" s="564"/>
      <c r="CM71" s="564"/>
      <c r="CN71" s="564"/>
      <c r="CO71" s="564"/>
      <c r="CP71" s="564"/>
      <c r="CQ71" s="564"/>
      <c r="CR71" s="564"/>
      <c r="CS71" s="564"/>
      <c r="CT71" s="564" t="s">
        <v>4851</v>
      </c>
      <c r="CU71" s="564"/>
      <c r="CV71" s="564"/>
      <c r="CW71" s="564"/>
      <c r="CX71" s="564"/>
      <c r="CY71" s="564"/>
      <c r="CZ71" s="564"/>
      <c r="DA71" s="564"/>
      <c r="DB71" s="564"/>
      <c r="DC71" s="564"/>
      <c r="DD71" s="564"/>
      <c r="DE71" s="564"/>
      <c r="DF71" s="564"/>
      <c r="DG71" s="564"/>
      <c r="DH71" s="564"/>
      <c r="DI71" s="564"/>
      <c r="DJ71" s="564" t="s">
        <v>4852</v>
      </c>
      <c r="DK71" s="564"/>
      <c r="DL71" s="564"/>
      <c r="DM71" s="564"/>
      <c r="DN71" s="564"/>
      <c r="DO71" s="564"/>
      <c r="DP71" s="564"/>
      <c r="DQ71" s="564"/>
      <c r="DR71" s="564"/>
      <c r="DS71" s="564"/>
      <c r="DT71" s="564"/>
      <c r="DU71" s="564"/>
      <c r="DV71" s="564"/>
      <c r="DW71" s="564"/>
    </row>
    <row r="72" spans="1:127" s="463" customFormat="1" x14ac:dyDescent="0.2">
      <c r="K72" s="391">
        <v>1</v>
      </c>
      <c r="L72" s="350">
        <v>2</v>
      </c>
      <c r="O72" s="567"/>
      <c r="P72" s="564"/>
      <c r="Q72" s="564"/>
      <c r="R72" s="564"/>
      <c r="S72" s="564"/>
      <c r="T72" s="564"/>
      <c r="U72" s="564"/>
      <c r="V72" s="564"/>
      <c r="W72" s="564"/>
      <c r="X72" s="564"/>
      <c r="Y72" s="564"/>
      <c r="Z72" s="564"/>
      <c r="AA72" s="564"/>
      <c r="AB72" s="564"/>
      <c r="AC72" s="564"/>
      <c r="AD72" s="564"/>
      <c r="AE72" s="564"/>
      <c r="AF72" s="564"/>
      <c r="AG72" s="564"/>
      <c r="AH72" s="564"/>
      <c r="AI72" s="564"/>
      <c r="AJ72" s="564"/>
      <c r="AK72" s="564"/>
      <c r="AL72" s="564"/>
      <c r="AM72" s="564"/>
      <c r="AN72" s="564"/>
      <c r="AO72" s="564"/>
      <c r="AP72" s="564"/>
      <c r="AQ72" s="564"/>
      <c r="AR72" s="564"/>
      <c r="AS72" s="564"/>
      <c r="AT72" s="564"/>
      <c r="AU72" s="564"/>
      <c r="AV72" s="564"/>
      <c r="AW72" s="564"/>
      <c r="AX72" s="564"/>
      <c r="AY72" s="564"/>
      <c r="AZ72" s="564"/>
      <c r="BA72" s="564"/>
      <c r="BB72" s="564"/>
      <c r="BC72" s="564"/>
      <c r="BD72" s="564"/>
      <c r="BE72" s="564"/>
      <c r="BF72" s="564"/>
      <c r="BG72" s="564"/>
      <c r="BH72" s="564"/>
      <c r="BI72" s="564"/>
      <c r="BJ72" s="564"/>
      <c r="BK72" s="564"/>
      <c r="BL72" s="564"/>
      <c r="BM72" s="564"/>
      <c r="BN72" s="564"/>
      <c r="BO72" s="564"/>
      <c r="BP72" s="564"/>
      <c r="BQ72" s="564"/>
      <c r="BR72" s="564"/>
      <c r="BS72" s="564"/>
      <c r="BT72" s="564"/>
      <c r="BU72" s="564"/>
      <c r="BV72" s="564"/>
      <c r="BW72" s="564"/>
      <c r="BX72" s="564"/>
      <c r="BY72" s="564"/>
      <c r="BZ72" s="564"/>
      <c r="CA72" s="564"/>
      <c r="CB72" s="564"/>
      <c r="CC72" s="564"/>
      <c r="CD72" s="564"/>
      <c r="CE72" s="564"/>
      <c r="CF72" s="564"/>
      <c r="CG72" s="564"/>
      <c r="CH72" s="564"/>
      <c r="CI72" s="564"/>
      <c r="CJ72" s="564"/>
      <c r="CK72" s="564"/>
      <c r="CL72" s="564"/>
      <c r="CM72" s="564"/>
      <c r="CN72" s="564"/>
      <c r="CO72" s="564"/>
      <c r="CP72" s="564"/>
      <c r="CQ72" s="564"/>
      <c r="CR72" s="564"/>
      <c r="CS72" s="564"/>
      <c r="CT72" s="564"/>
      <c r="CU72" s="564"/>
      <c r="CV72" s="564"/>
      <c r="CW72" s="564"/>
      <c r="CX72" s="564"/>
      <c r="CY72" s="564"/>
      <c r="CZ72" s="564"/>
      <c r="DA72" s="564"/>
      <c r="DB72" s="564"/>
      <c r="DC72" s="564"/>
      <c r="DD72" s="564"/>
      <c r="DE72" s="564"/>
      <c r="DF72" s="564"/>
      <c r="DG72" s="564"/>
      <c r="DH72" s="564"/>
      <c r="DI72" s="564"/>
      <c r="DJ72" s="564"/>
      <c r="DK72" s="564"/>
      <c r="DL72" s="564"/>
      <c r="DM72" s="564"/>
      <c r="DN72" s="564"/>
      <c r="DO72" s="564"/>
      <c r="DP72" s="564"/>
      <c r="DQ72" s="564"/>
      <c r="DR72" s="564"/>
      <c r="DS72" s="564"/>
      <c r="DT72" s="564"/>
      <c r="DU72" s="564"/>
      <c r="DV72" s="564"/>
      <c r="DW72" s="564"/>
    </row>
    <row r="73" spans="1:127" s="17" customFormat="1" ht="17.25" x14ac:dyDescent="0.3">
      <c r="A73" s="17" t="str">
        <f ca="1">IF(OFFSET(Q73,0,Lang_Order*Lang__R2)="","",OFFSET(Q73,0,Lang_Order*Lang__R2))</f>
        <v>R2.1 Common Costing Categories for Covid-19 Immunization (NDVP 2.0)</v>
      </c>
      <c r="C73" s="17" t="s">
        <v>1597</v>
      </c>
      <c r="D73" s="17" t="s">
        <v>1598</v>
      </c>
      <c r="E73" s="17" t="s">
        <v>1599</v>
      </c>
      <c r="F73" s="17" t="s">
        <v>1600</v>
      </c>
      <c r="G73" s="17" t="s">
        <v>1602</v>
      </c>
      <c r="H73" s="17" t="s">
        <v>1601</v>
      </c>
      <c r="I73" s="17" t="s">
        <v>1605</v>
      </c>
      <c r="K73" s="713" t="str">
        <f ca="1">IF(OFFSET(AA73,0,Lang_Order*Lang__R2)="","",OFFSET(AA73,0,Lang_Order*Lang__R2))</f>
        <v/>
      </c>
      <c r="L73" s="713" t="str">
        <f ca="1">IF(OFFSET(AB73,0,Lang_Order*Lang__R2)="","",OFFSET(AB73,0,Lang_Order*Lang__R2))</f>
        <v/>
      </c>
      <c r="M73" s="432"/>
      <c r="O73" s="8" t="str">
        <f ca="1">IF(OFFSET(AE73,0,Lang_Order*Lang__R2)="","",OFFSET(AE73,0,Lang_Order*Lang__R2))</f>
        <v>User Notes</v>
      </c>
      <c r="P73" s="564"/>
      <c r="Q73" s="564" t="s">
        <v>4590</v>
      </c>
      <c r="R73" s="564"/>
      <c r="S73" s="564"/>
      <c r="T73" s="564"/>
      <c r="U73" s="564"/>
      <c r="V73" s="564"/>
      <c r="W73" s="564"/>
      <c r="X73" s="564"/>
      <c r="Y73" s="564"/>
      <c r="Z73" s="564"/>
      <c r="AA73" s="564"/>
      <c r="AB73" s="564"/>
      <c r="AC73" s="564"/>
      <c r="AD73" s="564"/>
      <c r="AE73" s="564" t="s">
        <v>13981</v>
      </c>
      <c r="AF73" s="564"/>
      <c r="AG73" s="564" t="s">
        <v>13144</v>
      </c>
      <c r="AH73" s="564"/>
      <c r="AI73" s="564"/>
      <c r="AJ73" s="564"/>
      <c r="AK73" s="564"/>
      <c r="AL73" s="564"/>
      <c r="AM73" s="564"/>
      <c r="AN73" s="564"/>
      <c r="AO73" s="564"/>
      <c r="AP73" s="564"/>
      <c r="AQ73" s="564"/>
      <c r="AR73" s="564"/>
      <c r="AS73" s="564"/>
      <c r="AT73" s="564"/>
      <c r="AU73" s="564" t="s">
        <v>14076</v>
      </c>
      <c r="AV73" s="564"/>
      <c r="AW73" s="564" t="s">
        <v>13145</v>
      </c>
      <c r="AX73" s="564"/>
      <c r="AY73" s="564"/>
      <c r="AZ73" s="564"/>
      <c r="BA73" s="564"/>
      <c r="BB73" s="564"/>
      <c r="BC73" s="564"/>
      <c r="BD73" s="564"/>
      <c r="BE73" s="564"/>
      <c r="BF73" s="564"/>
      <c r="BG73" s="564"/>
      <c r="BH73" s="564"/>
      <c r="BI73" s="564"/>
      <c r="BJ73" s="564"/>
      <c r="BK73" s="564" t="s">
        <v>14077</v>
      </c>
      <c r="BL73" s="564"/>
      <c r="BM73" s="564" t="s">
        <v>13146</v>
      </c>
      <c r="BN73" s="564"/>
      <c r="BO73" s="564"/>
      <c r="BP73" s="564"/>
      <c r="BQ73" s="564"/>
      <c r="BR73" s="564"/>
      <c r="BS73" s="564"/>
      <c r="BT73" s="564"/>
      <c r="BU73" s="564"/>
      <c r="BV73" s="564"/>
      <c r="BW73" s="564"/>
      <c r="BX73" s="564"/>
      <c r="BY73" s="564"/>
      <c r="BZ73" s="564"/>
      <c r="CA73" s="564" t="s">
        <v>14078</v>
      </c>
      <c r="CB73" s="564"/>
      <c r="CC73" s="564" t="s">
        <v>13147</v>
      </c>
      <c r="CD73" s="564"/>
      <c r="CE73" s="564"/>
      <c r="CF73" s="564"/>
      <c r="CG73" s="564"/>
      <c r="CH73" s="564"/>
      <c r="CI73" s="564"/>
      <c r="CJ73" s="564"/>
      <c r="CK73" s="564"/>
      <c r="CL73" s="564"/>
      <c r="CM73" s="564"/>
      <c r="CN73" s="564"/>
      <c r="CO73" s="564"/>
      <c r="CP73" s="564"/>
      <c r="CQ73" s="564" t="s">
        <v>14079</v>
      </c>
      <c r="CR73" s="564"/>
      <c r="CS73" s="564" t="s">
        <v>13148</v>
      </c>
      <c r="CT73" s="564"/>
      <c r="CU73" s="564"/>
      <c r="CV73" s="564"/>
      <c r="CW73" s="564"/>
      <c r="CX73" s="564"/>
      <c r="CY73" s="564"/>
      <c r="CZ73" s="564"/>
      <c r="DA73" s="564"/>
      <c r="DB73" s="564"/>
      <c r="DC73" s="564"/>
      <c r="DD73" s="564"/>
      <c r="DE73" s="564"/>
      <c r="DF73" s="564"/>
      <c r="DG73" s="564" t="s">
        <v>14080</v>
      </c>
      <c r="DH73" s="564"/>
      <c r="DI73" s="564" t="s">
        <v>13149</v>
      </c>
      <c r="DJ73" s="564"/>
      <c r="DK73" s="564"/>
      <c r="DL73" s="564"/>
      <c r="DM73" s="564"/>
      <c r="DN73" s="564"/>
      <c r="DO73" s="564"/>
      <c r="DP73" s="564"/>
      <c r="DQ73" s="564"/>
      <c r="DR73" s="564"/>
      <c r="DS73" s="564" t="s">
        <v>4853</v>
      </c>
      <c r="DT73" s="564"/>
      <c r="DU73" s="564"/>
      <c r="DV73" s="564"/>
      <c r="DW73" s="564" t="s">
        <v>14081</v>
      </c>
    </row>
    <row r="74" spans="1:127" s="463" customFormat="1" ht="30" x14ac:dyDescent="0.25">
      <c r="A74" s="565"/>
      <c r="C74" s="666">
        <v>1</v>
      </c>
      <c r="D74" s="666">
        <v>0</v>
      </c>
      <c r="E74" s="666">
        <v>0</v>
      </c>
      <c r="F74" s="666">
        <v>0</v>
      </c>
      <c r="G74" s="666">
        <v>0</v>
      </c>
      <c r="H74" s="666">
        <v>0</v>
      </c>
      <c r="I74" s="536"/>
      <c r="K74" s="487" t="str">
        <f ca="1">IF(OFFSET(AA74,0,Lang_Order*Lang__R2)="","",OFFSET(AA74,0,Lang_Order*Lang__R2))</f>
        <v>Financing Source</v>
      </c>
      <c r="L74" s="487" t="str">
        <f ca="1">IF(OFFSET(AB74,0,Lang_Order*Lang__R2)="","",OFFSET(AB74,0,Lang_Order*Lang__R2))</f>
        <v>Budgetary Unit / Financing Agent</v>
      </c>
      <c r="M74" s="487" t="str">
        <f ca="1">IF(OFFSET(AC74,0,Lang_Order*Lang__R2)="","",OFFSET(AC74,0,Lang_Order*Lang__R2))</f>
        <v>Capital Expenditures?</v>
      </c>
      <c r="O74" s="567"/>
      <c r="P74" s="564"/>
      <c r="Q74" s="564"/>
      <c r="R74" s="564"/>
      <c r="S74" s="564"/>
      <c r="T74" s="564"/>
      <c r="U74" s="564"/>
      <c r="V74" s="564"/>
      <c r="W74" s="564"/>
      <c r="X74" s="564"/>
      <c r="Y74" s="564"/>
      <c r="Z74" s="564"/>
      <c r="AA74" s="564" t="s">
        <v>3186</v>
      </c>
      <c r="AB74" s="564" t="s">
        <v>3187</v>
      </c>
      <c r="AC74" s="564" t="s">
        <v>4331</v>
      </c>
      <c r="AD74" s="564"/>
      <c r="AE74" s="564"/>
      <c r="AF74" s="564"/>
      <c r="AG74" s="564"/>
      <c r="AH74" s="564"/>
      <c r="AI74" s="564"/>
      <c r="AJ74" s="564"/>
      <c r="AK74" s="564"/>
      <c r="AL74" s="564"/>
      <c r="AM74" s="564"/>
      <c r="AN74" s="564"/>
      <c r="AO74" s="564"/>
      <c r="AP74" s="564"/>
      <c r="AQ74" s="564" t="s">
        <v>4854</v>
      </c>
      <c r="AR74" s="564" t="s">
        <v>4855</v>
      </c>
      <c r="AS74" s="564" t="s">
        <v>4856</v>
      </c>
      <c r="AT74" s="564"/>
      <c r="AU74" s="564"/>
      <c r="AV74" s="564"/>
      <c r="AW74" s="564"/>
      <c r="AX74" s="564"/>
      <c r="AY74" s="564"/>
      <c r="AZ74" s="564"/>
      <c r="BA74" s="564"/>
      <c r="BB74" s="564"/>
      <c r="BC74" s="564"/>
      <c r="BD74" s="564"/>
      <c r="BE74" s="564"/>
      <c r="BF74" s="564"/>
      <c r="BG74" s="564" t="s">
        <v>4857</v>
      </c>
      <c r="BH74" s="564" t="s">
        <v>4858</v>
      </c>
      <c r="BI74" s="564" t="s">
        <v>4859</v>
      </c>
      <c r="BJ74" s="564"/>
      <c r="BK74" s="564"/>
      <c r="BL74" s="564"/>
      <c r="BM74" s="564"/>
      <c r="BN74" s="564"/>
      <c r="BO74" s="564"/>
      <c r="BP74" s="564"/>
      <c r="BQ74" s="564"/>
      <c r="BR74" s="564"/>
      <c r="BS74" s="564"/>
      <c r="BT74" s="564"/>
      <c r="BU74" s="564"/>
      <c r="BV74" s="564"/>
      <c r="BW74" s="564" t="s">
        <v>4860</v>
      </c>
      <c r="BX74" s="564" t="s">
        <v>4861</v>
      </c>
      <c r="BY74" s="564" t="s">
        <v>4862</v>
      </c>
      <c r="BZ74" s="564"/>
      <c r="CA74" s="564"/>
      <c r="CB74" s="564"/>
      <c r="CC74" s="564"/>
      <c r="CD74" s="564"/>
      <c r="CE74" s="564"/>
      <c r="CF74" s="564"/>
      <c r="CG74" s="564"/>
      <c r="CH74" s="564"/>
      <c r="CI74" s="564"/>
      <c r="CJ74" s="564"/>
      <c r="CK74" s="564"/>
      <c r="CL74" s="564"/>
      <c r="CM74" s="564" t="s">
        <v>4863</v>
      </c>
      <c r="CN74" s="564" t="s">
        <v>4864</v>
      </c>
      <c r="CO74" s="564" t="s">
        <v>4865</v>
      </c>
      <c r="CP74" s="564"/>
      <c r="CQ74" s="564"/>
      <c r="CR74" s="564"/>
      <c r="CS74" s="564"/>
      <c r="CT74" s="564"/>
      <c r="CU74" s="564"/>
      <c r="CV74" s="564"/>
      <c r="CW74" s="564"/>
      <c r="CX74" s="564"/>
      <c r="CY74" s="564"/>
      <c r="CZ74" s="564"/>
      <c r="DA74" s="564"/>
      <c r="DB74" s="564"/>
      <c r="DC74" s="564" t="s">
        <v>4866</v>
      </c>
      <c r="DD74" s="564" t="s">
        <v>4867</v>
      </c>
      <c r="DE74" s="564" t="s">
        <v>4868</v>
      </c>
      <c r="DF74" s="564"/>
      <c r="DG74" s="564"/>
      <c r="DH74" s="564"/>
      <c r="DI74" s="564"/>
      <c r="DJ74" s="564"/>
      <c r="DK74" s="564"/>
      <c r="DL74" s="564"/>
      <c r="DM74" s="564"/>
      <c r="DN74" s="564"/>
      <c r="DO74" s="564"/>
      <c r="DP74" s="564"/>
      <c r="DQ74" s="564"/>
      <c r="DR74" s="564"/>
      <c r="DS74" s="564" t="s">
        <v>4869</v>
      </c>
      <c r="DT74" s="564" t="s">
        <v>4870</v>
      </c>
      <c r="DU74" s="564" t="s">
        <v>4871</v>
      </c>
      <c r="DV74" s="564"/>
      <c r="DW74" s="564"/>
    </row>
    <row r="75" spans="1:127" s="272" customFormat="1" x14ac:dyDescent="0.2">
      <c r="K75" s="490" t="str">
        <f ca="1">IF(OFFSET(AA75,0,Lang_Order*Lang__R2)="","",OFFSET(AA75,0,Lang_Order*Lang__R2))</f>
        <v>NOTE: Cells left blank imply the cost item is not allocated to R2.0.1 or R 2.0.2</v>
      </c>
      <c r="L75" s="463"/>
      <c r="M75" s="463"/>
      <c r="O75" s="567"/>
      <c r="P75" s="564"/>
      <c r="Q75" s="564"/>
      <c r="R75" s="564"/>
      <c r="S75" s="564"/>
      <c r="T75" s="564"/>
      <c r="U75" s="564"/>
      <c r="V75" s="564"/>
      <c r="W75" s="564"/>
      <c r="X75" s="564"/>
      <c r="Y75" s="564"/>
      <c r="Z75" s="564"/>
      <c r="AA75" s="564" t="s">
        <v>3979</v>
      </c>
      <c r="AB75" s="564"/>
      <c r="AC75" s="564"/>
      <c r="AD75" s="564"/>
      <c r="AE75" s="564"/>
      <c r="AF75" s="564"/>
      <c r="AG75" s="564"/>
      <c r="AH75" s="564"/>
      <c r="AI75" s="564"/>
      <c r="AJ75" s="564"/>
      <c r="AK75" s="564"/>
      <c r="AL75" s="564"/>
      <c r="AM75" s="564"/>
      <c r="AN75" s="564"/>
      <c r="AO75" s="564"/>
      <c r="AP75" s="564"/>
      <c r="AQ75" s="564" t="s">
        <v>4872</v>
      </c>
      <c r="AR75" s="564"/>
      <c r="AS75" s="564"/>
      <c r="AT75" s="564"/>
      <c r="AU75" s="564"/>
      <c r="AV75" s="564"/>
      <c r="AW75" s="564"/>
      <c r="AX75" s="564"/>
      <c r="AY75" s="564"/>
      <c r="AZ75" s="564"/>
      <c r="BA75" s="564"/>
      <c r="BB75" s="564"/>
      <c r="BC75" s="564"/>
      <c r="BD75" s="564"/>
      <c r="BE75" s="564"/>
      <c r="BF75" s="564"/>
      <c r="BG75" s="564" t="s">
        <v>4873</v>
      </c>
      <c r="BH75" s="564"/>
      <c r="BI75" s="564"/>
      <c r="BJ75" s="564"/>
      <c r="BK75" s="564"/>
      <c r="BL75" s="564"/>
      <c r="BM75" s="564"/>
      <c r="BN75" s="564"/>
      <c r="BO75" s="564"/>
      <c r="BP75" s="564"/>
      <c r="BQ75" s="564"/>
      <c r="BR75" s="564"/>
      <c r="BS75" s="564"/>
      <c r="BT75" s="564"/>
      <c r="BU75" s="564"/>
      <c r="BV75" s="564"/>
      <c r="BW75" s="564" t="s">
        <v>4874</v>
      </c>
      <c r="BX75" s="564"/>
      <c r="BY75" s="564"/>
      <c r="BZ75" s="564"/>
      <c r="CA75" s="564"/>
      <c r="CB75" s="564"/>
      <c r="CC75" s="564"/>
      <c r="CD75" s="564"/>
      <c r="CE75" s="564"/>
      <c r="CF75" s="564"/>
      <c r="CG75" s="564"/>
      <c r="CH75" s="564"/>
      <c r="CI75" s="564"/>
      <c r="CJ75" s="564"/>
      <c r="CK75" s="564"/>
      <c r="CL75" s="564"/>
      <c r="CM75" s="564" t="s">
        <v>4875</v>
      </c>
      <c r="CN75" s="564"/>
      <c r="CO75" s="564"/>
      <c r="CP75" s="564"/>
      <c r="CQ75" s="564"/>
      <c r="CR75" s="564"/>
      <c r="CS75" s="564"/>
      <c r="CT75" s="564"/>
      <c r="CU75" s="564"/>
      <c r="CV75" s="564"/>
      <c r="CW75" s="564"/>
      <c r="CX75" s="564"/>
      <c r="CY75" s="564"/>
      <c r="CZ75" s="564"/>
      <c r="DA75" s="564"/>
      <c r="DB75" s="564"/>
      <c r="DC75" s="564" t="s">
        <v>4876</v>
      </c>
      <c r="DD75" s="564"/>
      <c r="DE75" s="564"/>
      <c r="DF75" s="564"/>
      <c r="DG75" s="564"/>
      <c r="DH75" s="564"/>
      <c r="DI75" s="564"/>
      <c r="DJ75" s="564"/>
      <c r="DK75" s="564"/>
      <c r="DL75" s="564"/>
      <c r="DM75" s="564"/>
      <c r="DN75" s="564"/>
      <c r="DO75" s="564"/>
      <c r="DP75" s="564"/>
      <c r="DQ75" s="564"/>
      <c r="DR75" s="564"/>
      <c r="DS75" s="564" t="s">
        <v>4877</v>
      </c>
      <c r="DT75" s="564"/>
      <c r="DU75" s="564"/>
      <c r="DV75" s="564"/>
      <c r="DW75" s="564"/>
    </row>
    <row r="76" spans="1:127" s="299" customFormat="1" ht="16.5" customHeight="1" x14ac:dyDescent="0.25">
      <c r="B76" s="33" t="str">
        <f ca="1">IF(OFFSET(R76,0,Lang_Order*Lang__R2)="","",OFFSET(R76,0,Lang_Order*Lang__R2))</f>
        <v>R2.1.1 Cross-cutting Technical Assistance (TA) for Planning, Coordination and Delivery</v>
      </c>
      <c r="C76" s="195" t="e">
        <f t="shared" ref="C76:H76" si="14">IF(ISBLANK(C78),C77,C78)</f>
        <v>#N/A</v>
      </c>
      <c r="D76" s="195" t="e">
        <f t="shared" si="14"/>
        <v>#N/A</v>
      </c>
      <c r="E76" s="195" t="e">
        <f t="shared" si="14"/>
        <v>#N/A</v>
      </c>
      <c r="F76" s="195" t="e">
        <f t="shared" si="14"/>
        <v>#N/A</v>
      </c>
      <c r="G76" s="195" t="e">
        <f t="shared" si="14"/>
        <v>#N/A</v>
      </c>
      <c r="H76" s="195" t="e">
        <f t="shared" si="14"/>
        <v>#N/A</v>
      </c>
      <c r="I76" s="195" t="e">
        <f>SUM(C76:H76)</f>
        <v>#N/A</v>
      </c>
      <c r="J76" s="620" t="s">
        <v>5076</v>
      </c>
      <c r="K76" s="532"/>
      <c r="L76" s="532"/>
      <c r="M76" s="459"/>
      <c r="N76" s="567"/>
      <c r="O76" s="567"/>
      <c r="P76" s="564" t="str">
        <f ca="1">IF(OFFSET(AE76,0,Lang_Order*Lang__R2)="","",OFFSET(AE76,0,Lang_Order*Lang__R2))</f>
        <v/>
      </c>
      <c r="Q76" s="564"/>
      <c r="R76" s="564" t="s">
        <v>14576</v>
      </c>
      <c r="S76" s="564"/>
      <c r="T76" s="564"/>
      <c r="U76" s="564"/>
      <c r="V76" s="564"/>
      <c r="W76" s="564"/>
      <c r="X76" s="564"/>
      <c r="Y76" s="564"/>
      <c r="Z76" s="564"/>
      <c r="AA76" s="564"/>
      <c r="AB76" s="564"/>
      <c r="AC76" s="564"/>
      <c r="AD76" s="564"/>
      <c r="AE76" s="564"/>
      <c r="AF76" s="564"/>
      <c r="AG76" s="564"/>
      <c r="AH76" s="564" t="s">
        <v>14577</v>
      </c>
      <c r="AI76" s="564"/>
      <c r="AJ76" s="564"/>
      <c r="AK76" s="564"/>
      <c r="AL76" s="564"/>
      <c r="AM76" s="564"/>
      <c r="AN76" s="564"/>
      <c r="AO76" s="564"/>
      <c r="AP76" s="564"/>
      <c r="AQ76" s="564"/>
      <c r="AR76" s="564"/>
      <c r="AS76" s="564"/>
      <c r="AT76" s="564"/>
      <c r="AU76" s="564"/>
      <c r="AV76" s="564"/>
      <c r="AW76" s="564"/>
      <c r="AX76" s="564" t="s">
        <v>14578</v>
      </c>
      <c r="AY76" s="564"/>
      <c r="AZ76" s="564"/>
      <c r="BA76" s="564"/>
      <c r="BB76" s="564"/>
      <c r="BC76" s="564"/>
      <c r="BD76" s="564"/>
      <c r="BE76" s="564"/>
      <c r="BF76" s="564"/>
      <c r="BG76" s="564"/>
      <c r="BH76" s="564"/>
      <c r="BI76" s="564"/>
      <c r="BJ76" s="564"/>
      <c r="BK76" s="564"/>
      <c r="BL76" s="564"/>
      <c r="BM76" s="564"/>
      <c r="BN76" s="564" t="s">
        <v>14579</v>
      </c>
      <c r="BO76" s="564"/>
      <c r="BP76" s="564"/>
      <c r="BQ76" s="564"/>
      <c r="BR76" s="564"/>
      <c r="BS76" s="564"/>
      <c r="BT76" s="564"/>
      <c r="BU76" s="564"/>
      <c r="BV76" s="564"/>
      <c r="BW76" s="564"/>
      <c r="BX76" s="564"/>
      <c r="BY76" s="564"/>
      <c r="BZ76" s="564"/>
      <c r="CA76" s="564"/>
      <c r="CB76" s="564"/>
      <c r="CC76" s="564"/>
      <c r="CD76" s="564" t="s">
        <v>14580</v>
      </c>
      <c r="CE76" s="564"/>
      <c r="CF76" s="564"/>
      <c r="CG76" s="564"/>
      <c r="CH76" s="564"/>
      <c r="CI76" s="564"/>
      <c r="CJ76" s="564"/>
      <c r="CK76" s="564"/>
      <c r="CL76" s="564"/>
      <c r="CM76" s="564"/>
      <c r="CN76" s="564"/>
      <c r="CO76" s="564"/>
      <c r="CP76" s="564"/>
      <c r="CQ76" s="564"/>
      <c r="CR76" s="564"/>
      <c r="CS76" s="564"/>
      <c r="CT76" s="564" t="s">
        <v>14581</v>
      </c>
      <c r="CU76" s="564"/>
      <c r="CV76" s="564"/>
      <c r="CW76" s="564"/>
      <c r="CX76" s="564"/>
      <c r="CY76" s="564"/>
      <c r="CZ76" s="564"/>
      <c r="DA76" s="564"/>
      <c r="DB76" s="564"/>
      <c r="DC76" s="564"/>
      <c r="DD76" s="564"/>
      <c r="DE76" s="564"/>
      <c r="DF76" s="564"/>
      <c r="DG76" s="564"/>
      <c r="DH76" s="564"/>
      <c r="DI76" s="564"/>
      <c r="DJ76" s="564" t="s">
        <v>14582</v>
      </c>
      <c r="DK76" s="564"/>
      <c r="DL76" s="564"/>
      <c r="DM76" s="564"/>
      <c r="DN76" s="564"/>
      <c r="DO76" s="564"/>
      <c r="DP76" s="564"/>
      <c r="DQ76" s="564"/>
      <c r="DR76" s="564"/>
      <c r="DS76" s="564"/>
      <c r="DT76" s="564"/>
      <c r="DU76" s="564"/>
      <c r="DV76" s="564" t="s">
        <v>4878</v>
      </c>
      <c r="DW76" s="564"/>
    </row>
    <row r="77" spans="1:127" s="2" customFormat="1" x14ac:dyDescent="0.2">
      <c r="B77" s="72" t="str">
        <f ca="1">IF(OFFSET(R77,0,Lang_Order*Lang__R2)="","",OFFSET(R77,0,Lang_Order*Lang__R2))</f>
        <v>CVIC Estimates</v>
      </c>
      <c r="C77" s="199" t="e">
        <f t="shared" ref="C77:H77" si="15">SUM(C80:C86)</f>
        <v>#N/A</v>
      </c>
      <c r="D77" s="199" t="e">
        <f t="shared" si="15"/>
        <v>#N/A</v>
      </c>
      <c r="E77" s="199" t="e">
        <f t="shared" si="15"/>
        <v>#N/A</v>
      </c>
      <c r="F77" s="199" t="e">
        <f t="shared" si="15"/>
        <v>#N/A</v>
      </c>
      <c r="G77" s="199" t="e">
        <f t="shared" si="15"/>
        <v>#N/A</v>
      </c>
      <c r="H77" s="199" t="e">
        <f t="shared" si="15"/>
        <v>#N/A</v>
      </c>
      <c r="I77" s="199" t="e">
        <f>SUM(C77:H77)</f>
        <v>#N/A</v>
      </c>
      <c r="J77" s="620" t="s">
        <v>5081</v>
      </c>
      <c r="P77" s="564"/>
      <c r="Q77" s="564"/>
      <c r="R77" s="564" t="s">
        <v>12973</v>
      </c>
      <c r="S77" s="564"/>
      <c r="T77" s="564"/>
      <c r="U77" s="564"/>
      <c r="V77" s="564"/>
      <c r="W77" s="564"/>
      <c r="X77" s="564"/>
      <c r="Y77" s="564"/>
      <c r="Z77" s="564"/>
      <c r="AA77" s="564"/>
      <c r="AB77" s="564"/>
      <c r="AC77" s="564"/>
      <c r="AD77" s="564"/>
      <c r="AE77" s="564"/>
      <c r="AF77" s="564"/>
      <c r="AG77" s="564"/>
      <c r="AH77" s="564" t="s">
        <v>12974</v>
      </c>
      <c r="AI77" s="564"/>
      <c r="AJ77" s="564"/>
      <c r="AK77" s="564"/>
      <c r="AL77" s="564"/>
      <c r="AM77" s="564"/>
      <c r="AN77" s="564"/>
      <c r="AO77" s="564"/>
      <c r="AP77" s="564"/>
      <c r="AQ77" s="564"/>
      <c r="AR77" s="564"/>
      <c r="AS77" s="564"/>
      <c r="AT77" s="564"/>
      <c r="AU77" s="564"/>
      <c r="AV77" s="564"/>
      <c r="AW77" s="564"/>
      <c r="AX77" s="564" t="s">
        <v>12968</v>
      </c>
      <c r="AY77" s="564"/>
      <c r="AZ77" s="564"/>
      <c r="BA77" s="564"/>
      <c r="BB77" s="564"/>
      <c r="BC77" s="564"/>
      <c r="BD77" s="564"/>
      <c r="BE77" s="564"/>
      <c r="BF77" s="564"/>
      <c r="BG77" s="564"/>
      <c r="BH77" s="564"/>
      <c r="BI77" s="564"/>
      <c r="BJ77" s="564"/>
      <c r="BK77" s="564"/>
      <c r="BL77" s="564"/>
      <c r="BM77" s="564"/>
      <c r="BN77" s="564" t="s">
        <v>12969</v>
      </c>
      <c r="BO77" s="564"/>
      <c r="BP77" s="564"/>
      <c r="BQ77" s="564"/>
      <c r="BR77" s="564"/>
      <c r="BS77" s="564"/>
      <c r="BT77" s="564"/>
      <c r="BU77" s="564"/>
      <c r="BV77" s="564"/>
      <c r="BW77" s="564"/>
      <c r="BX77" s="564"/>
      <c r="BY77" s="564"/>
      <c r="BZ77" s="564"/>
      <c r="CA77" s="564"/>
      <c r="CB77" s="564"/>
      <c r="CC77" s="564"/>
      <c r="CD77" s="564" t="s">
        <v>12970</v>
      </c>
      <c r="CE77" s="564"/>
      <c r="CF77" s="564"/>
      <c r="CG77" s="564"/>
      <c r="CH77" s="564"/>
      <c r="CI77" s="564"/>
      <c r="CJ77" s="564"/>
      <c r="CK77" s="564"/>
      <c r="CL77" s="564"/>
      <c r="CM77" s="564"/>
      <c r="CN77" s="564"/>
      <c r="CO77" s="564"/>
      <c r="CP77" s="564"/>
      <c r="CQ77" s="564"/>
      <c r="CR77" s="564"/>
      <c r="CS77" s="564"/>
      <c r="CT77" s="564" t="s">
        <v>12971</v>
      </c>
      <c r="CU77" s="564"/>
      <c r="CV77" s="564"/>
      <c r="CW77" s="564"/>
      <c r="CX77" s="564"/>
      <c r="CY77" s="564"/>
      <c r="CZ77" s="564"/>
      <c r="DA77" s="564"/>
      <c r="DB77" s="564"/>
      <c r="DC77" s="564"/>
      <c r="DD77" s="564"/>
      <c r="DE77" s="564"/>
      <c r="DF77" s="564"/>
      <c r="DG77" s="564"/>
      <c r="DH77" s="564"/>
      <c r="DI77" s="564"/>
      <c r="DJ77" s="564" t="s">
        <v>12972</v>
      </c>
      <c r="DK77" s="564"/>
      <c r="DL77" s="564"/>
      <c r="DM77" s="564"/>
      <c r="DN77" s="564"/>
      <c r="DO77" s="564"/>
      <c r="DP77" s="564"/>
      <c r="DQ77" s="564"/>
      <c r="DR77" s="564"/>
      <c r="DS77" s="564"/>
      <c r="DT77" s="564"/>
      <c r="DU77" s="564"/>
      <c r="DV77" s="564"/>
      <c r="DW77" s="564"/>
    </row>
    <row r="78" spans="1:127" s="517" customFormat="1" x14ac:dyDescent="0.2">
      <c r="A78" s="350">
        <v>2</v>
      </c>
      <c r="B78" s="5" t="str">
        <f ca="1">IF(OFFSET(R78,0,Lang_Order*Lang__R2)="","",OFFSET(R78,0,Lang_Order*Lang__R2))</f>
        <v>OVERRIDE HERE if alternative costing used for section above</v>
      </c>
      <c r="C78" s="284"/>
      <c r="D78" s="284"/>
      <c r="E78" s="284"/>
      <c r="F78" s="284"/>
      <c r="G78" s="284"/>
      <c r="H78" s="284"/>
      <c r="J78" s="620" t="s">
        <v>5075</v>
      </c>
      <c r="K78" s="532"/>
      <c r="L78" s="532"/>
      <c r="O78" s="587"/>
      <c r="P78" s="564"/>
      <c r="Q78" s="564"/>
      <c r="R78" s="564" t="s">
        <v>4591</v>
      </c>
      <c r="S78" s="564"/>
      <c r="T78" s="564"/>
      <c r="U78" s="564"/>
      <c r="V78" s="564"/>
      <c r="W78" s="564"/>
      <c r="X78" s="564"/>
      <c r="Y78" s="564"/>
      <c r="Z78" s="564"/>
      <c r="AA78" s="564"/>
      <c r="AB78" s="564"/>
      <c r="AC78" s="564"/>
      <c r="AD78" s="564"/>
      <c r="AE78" s="564"/>
      <c r="AF78" s="564"/>
      <c r="AG78" s="564"/>
      <c r="AH78" s="564" t="s">
        <v>12949</v>
      </c>
      <c r="AI78" s="564"/>
      <c r="AJ78" s="564"/>
      <c r="AK78" s="564"/>
      <c r="AL78" s="564"/>
      <c r="AM78" s="564"/>
      <c r="AN78" s="564"/>
      <c r="AO78" s="564"/>
      <c r="AP78" s="564"/>
      <c r="AQ78" s="564"/>
      <c r="AR78" s="564"/>
      <c r="AS78" s="564"/>
      <c r="AT78" s="564"/>
      <c r="AU78" s="564"/>
      <c r="AV78" s="564"/>
      <c r="AW78" s="564"/>
      <c r="AX78" s="564" t="s">
        <v>12950</v>
      </c>
      <c r="AY78" s="564"/>
      <c r="AZ78" s="564"/>
      <c r="BA78" s="564"/>
      <c r="BB78" s="564"/>
      <c r="BC78" s="564"/>
      <c r="BD78" s="564"/>
      <c r="BE78" s="564"/>
      <c r="BF78" s="564"/>
      <c r="BG78" s="564"/>
      <c r="BH78" s="564"/>
      <c r="BI78" s="564"/>
      <c r="BJ78" s="564"/>
      <c r="BK78" s="564"/>
      <c r="BL78" s="564"/>
      <c r="BM78" s="564"/>
      <c r="BN78" s="564" t="s">
        <v>12951</v>
      </c>
      <c r="BO78" s="564"/>
      <c r="BP78" s="564"/>
      <c r="BQ78" s="564"/>
      <c r="BR78" s="564"/>
      <c r="BS78" s="564"/>
      <c r="BT78" s="564"/>
      <c r="BU78" s="564"/>
      <c r="BV78" s="564"/>
      <c r="BW78" s="564"/>
      <c r="BX78" s="564"/>
      <c r="BY78" s="564"/>
      <c r="BZ78" s="564"/>
      <c r="CA78" s="564"/>
      <c r="CB78" s="564"/>
      <c r="CC78" s="564"/>
      <c r="CD78" s="564" t="s">
        <v>12952</v>
      </c>
      <c r="CE78" s="564"/>
      <c r="CF78" s="564"/>
      <c r="CG78" s="564"/>
      <c r="CH78" s="564"/>
      <c r="CI78" s="564"/>
      <c r="CJ78" s="564"/>
      <c r="CK78" s="564"/>
      <c r="CL78" s="564"/>
      <c r="CM78" s="564"/>
      <c r="CN78" s="564"/>
      <c r="CO78" s="564"/>
      <c r="CP78" s="564"/>
      <c r="CQ78" s="564"/>
      <c r="CR78" s="564"/>
      <c r="CS78" s="564"/>
      <c r="CT78" s="564" t="s">
        <v>12953</v>
      </c>
      <c r="CU78" s="564"/>
      <c r="CV78" s="564"/>
      <c r="CW78" s="564"/>
      <c r="CX78" s="564"/>
      <c r="CY78" s="564"/>
      <c r="CZ78" s="564"/>
      <c r="DA78" s="564"/>
      <c r="DB78" s="564"/>
      <c r="DC78" s="564"/>
      <c r="DD78" s="564"/>
      <c r="DE78" s="564"/>
      <c r="DF78" s="564"/>
      <c r="DG78" s="564"/>
      <c r="DH78" s="564"/>
      <c r="DI78" s="564"/>
      <c r="DJ78" s="564" t="s">
        <v>12954</v>
      </c>
      <c r="DK78" s="564"/>
      <c r="DL78" s="564"/>
      <c r="DM78" s="564"/>
      <c r="DN78" s="564"/>
      <c r="DO78" s="564"/>
      <c r="DP78" s="564"/>
      <c r="DQ78" s="564"/>
      <c r="DR78" s="564"/>
      <c r="DS78" s="564"/>
      <c r="DT78" s="564"/>
      <c r="DU78" s="564"/>
      <c r="DV78" s="564"/>
      <c r="DW78" s="564"/>
    </row>
    <row r="79" spans="1:127" s="536" customFormat="1" x14ac:dyDescent="0.2">
      <c r="J79" s="620"/>
      <c r="O79" s="567"/>
      <c r="P79" s="564"/>
      <c r="Q79" s="564"/>
      <c r="R79" s="564"/>
      <c r="S79" s="564"/>
      <c r="T79" s="564"/>
      <c r="U79" s="564"/>
      <c r="V79" s="564"/>
      <c r="W79" s="564"/>
      <c r="X79" s="564"/>
      <c r="Y79" s="564"/>
      <c r="Z79" s="564"/>
      <c r="AA79" s="564"/>
      <c r="AB79" s="564"/>
      <c r="AC79" s="564"/>
      <c r="AD79" s="564"/>
      <c r="AE79" s="564"/>
      <c r="AF79" s="564"/>
      <c r="AG79" s="564"/>
      <c r="AH79" s="564"/>
      <c r="AI79" s="564"/>
      <c r="AJ79" s="564"/>
      <c r="AK79" s="564"/>
      <c r="AL79" s="564"/>
      <c r="AM79" s="564"/>
      <c r="AN79" s="564"/>
      <c r="AO79" s="564"/>
      <c r="AP79" s="564"/>
      <c r="AQ79" s="564"/>
      <c r="AR79" s="564"/>
      <c r="AS79" s="564"/>
      <c r="AT79" s="564"/>
      <c r="AU79" s="564"/>
      <c r="AV79" s="564"/>
      <c r="AW79" s="564"/>
      <c r="AX79" s="564"/>
      <c r="AY79" s="564"/>
      <c r="AZ79" s="564"/>
      <c r="BA79" s="564"/>
      <c r="BB79" s="564"/>
      <c r="BC79" s="564"/>
      <c r="BD79" s="564"/>
      <c r="BE79" s="564"/>
      <c r="BF79" s="564"/>
      <c r="BG79" s="564"/>
      <c r="BH79" s="564"/>
      <c r="BI79" s="564"/>
      <c r="BJ79" s="564"/>
      <c r="BK79" s="564"/>
      <c r="BL79" s="564"/>
      <c r="BM79" s="564"/>
      <c r="BN79" s="564"/>
      <c r="BO79" s="564"/>
      <c r="BP79" s="564"/>
      <c r="BQ79" s="564"/>
      <c r="BR79" s="564"/>
      <c r="BS79" s="564"/>
      <c r="BT79" s="564"/>
      <c r="BU79" s="564"/>
      <c r="BV79" s="564"/>
      <c r="BW79" s="564"/>
      <c r="BX79" s="564"/>
      <c r="BY79" s="564"/>
      <c r="BZ79" s="564"/>
      <c r="CA79" s="564"/>
      <c r="CB79" s="564"/>
      <c r="CC79" s="564"/>
      <c r="CD79" s="564"/>
      <c r="CE79" s="564"/>
      <c r="CF79" s="564"/>
      <c r="CG79" s="564"/>
      <c r="CH79" s="564"/>
      <c r="CI79" s="564"/>
      <c r="CJ79" s="564"/>
      <c r="CK79" s="564"/>
      <c r="CL79" s="564"/>
      <c r="CM79" s="564"/>
      <c r="CN79" s="564"/>
      <c r="CO79" s="564"/>
      <c r="CP79" s="564"/>
      <c r="CQ79" s="564"/>
      <c r="CR79" s="564"/>
      <c r="CS79" s="564"/>
      <c r="CT79" s="564"/>
      <c r="CU79" s="564"/>
      <c r="CV79" s="564"/>
      <c r="CW79" s="564"/>
      <c r="CX79" s="564"/>
      <c r="CY79" s="564"/>
      <c r="CZ79" s="564"/>
      <c r="DA79" s="564"/>
      <c r="DB79" s="564"/>
      <c r="DC79" s="564"/>
      <c r="DD79" s="564"/>
      <c r="DE79" s="564"/>
      <c r="DF79" s="564"/>
      <c r="DG79" s="564"/>
      <c r="DH79" s="564"/>
      <c r="DI79" s="564"/>
      <c r="DJ79" s="564"/>
      <c r="DK79" s="564"/>
      <c r="DL79" s="564"/>
      <c r="DM79" s="564"/>
      <c r="DN79" s="564"/>
      <c r="DO79" s="564"/>
      <c r="DP79" s="564"/>
      <c r="DQ79" s="564"/>
      <c r="DR79" s="564"/>
      <c r="DS79" s="564"/>
      <c r="DT79" s="564"/>
      <c r="DU79" s="564"/>
      <c r="DV79" s="564"/>
      <c r="DW79" s="564"/>
    </row>
    <row r="80" spans="1:127" s="299" customFormat="1" ht="14.25" customHeight="1" x14ac:dyDescent="0.2">
      <c r="A80" s="663"/>
      <c r="B80" s="5" t="str">
        <f t="shared" ref="B80:B86" ca="1" si="16">IF(OFFSET(R80,0,Lang_Order*Lang__R2)="","",OFFSET(R80,0,Lang_Order*Lang__R2))</f>
        <v>1.1 Planning and coordination</v>
      </c>
      <c r="C80" s="300" t="e">
        <f>'A4. INPUT Central Costs'!$K$10*C$74</f>
        <v>#N/A</v>
      </c>
      <c r="D80" s="300" t="e">
        <f>'A4. INPUT Central Costs'!$K$10*D$74</f>
        <v>#N/A</v>
      </c>
      <c r="E80" s="300" t="e">
        <f>'A4. INPUT Central Costs'!$K$10*E$74</f>
        <v>#N/A</v>
      </c>
      <c r="F80" s="300" t="e">
        <f>'A4. INPUT Central Costs'!$K$10*F$74</f>
        <v>#N/A</v>
      </c>
      <c r="G80" s="300" t="e">
        <f>'A4. INPUT Central Costs'!$K$10*G$74</f>
        <v>#N/A</v>
      </c>
      <c r="H80" s="300" t="e">
        <f>'A4. INPUT Central Costs'!$K$10*H$74</f>
        <v>#N/A</v>
      </c>
      <c r="I80" s="300" t="e">
        <f t="shared" ref="I80:I86" si="17">SUM(C80:H80)</f>
        <v>#N/A</v>
      </c>
      <c r="J80" s="620" t="s">
        <v>5082</v>
      </c>
      <c r="K80" s="35" t="s">
        <v>2844</v>
      </c>
      <c r="L80" s="35" t="s">
        <v>3188</v>
      </c>
      <c r="M80" s="459"/>
      <c r="N80" s="12" t="str">
        <f ca="1">IF(OFFSET(AD80,0,Lang_Order*Lang__R2)="","",OFFSET(AD80,0,Lang_Order*Lang__R2))</f>
        <v>Technical Assistance - VIRAF-VIRAT 2.0 - A</v>
      </c>
      <c r="O80" s="587"/>
      <c r="P80" s="564" t="str">
        <f t="shared" ref="P80:P83" ca="1" si="18">IF(OFFSET(AE80,0,Lang_Order*Lang__R2)="","",OFFSET(AE80,0,Lang_Order*Lang__R2))</f>
        <v/>
      </c>
      <c r="Q80" s="564"/>
      <c r="R80" s="564" t="s">
        <v>14179</v>
      </c>
      <c r="S80" s="564"/>
      <c r="T80" s="564"/>
      <c r="U80" s="564"/>
      <c r="V80" s="564"/>
      <c r="W80" s="564"/>
      <c r="X80" s="564"/>
      <c r="Y80" s="564"/>
      <c r="Z80" s="564"/>
      <c r="AA80" s="564"/>
      <c r="AB80" s="564"/>
      <c r="AC80" s="564"/>
      <c r="AD80" s="564" t="s">
        <v>4418</v>
      </c>
      <c r="AE80" s="564"/>
      <c r="AF80" s="564"/>
      <c r="AG80" s="564"/>
      <c r="AH80" s="564" t="s">
        <v>13989</v>
      </c>
      <c r="AI80" s="564"/>
      <c r="AJ80" s="564"/>
      <c r="AK80" s="564"/>
      <c r="AL80" s="564"/>
      <c r="AM80" s="564"/>
      <c r="AN80" s="564"/>
      <c r="AO80" s="564"/>
      <c r="AP80" s="564"/>
      <c r="AQ80" s="564"/>
      <c r="AR80" s="564"/>
      <c r="AS80" s="564"/>
      <c r="AT80" s="564" t="s">
        <v>4879</v>
      </c>
      <c r="AU80" s="564"/>
      <c r="AV80" s="564"/>
      <c r="AW80" s="564"/>
      <c r="AX80" s="564" t="s">
        <v>13990</v>
      </c>
      <c r="AY80" s="564"/>
      <c r="AZ80" s="564"/>
      <c r="BA80" s="564"/>
      <c r="BB80" s="564"/>
      <c r="BC80" s="564"/>
      <c r="BD80" s="564"/>
      <c r="BE80" s="564"/>
      <c r="BF80" s="564"/>
      <c r="BG80" s="564"/>
      <c r="BH80" s="564"/>
      <c r="BI80" s="564"/>
      <c r="BJ80" s="564" t="s">
        <v>4880</v>
      </c>
      <c r="BK80" s="564"/>
      <c r="BL80" s="564"/>
      <c r="BM80" s="564"/>
      <c r="BN80" s="564" t="s">
        <v>13991</v>
      </c>
      <c r="BO80" s="564"/>
      <c r="BP80" s="564"/>
      <c r="BQ80" s="564"/>
      <c r="BR80" s="564"/>
      <c r="BS80" s="564"/>
      <c r="BT80" s="564"/>
      <c r="BU80" s="564"/>
      <c r="BV80" s="564"/>
      <c r="BW80" s="564"/>
      <c r="BX80" s="564"/>
      <c r="BY80" s="564"/>
      <c r="BZ80" s="564" t="s">
        <v>4881</v>
      </c>
      <c r="CA80" s="564"/>
      <c r="CB80" s="564"/>
      <c r="CC80" s="564"/>
      <c r="CD80" s="564" t="s">
        <v>13992</v>
      </c>
      <c r="CE80" s="564"/>
      <c r="CF80" s="564"/>
      <c r="CG80" s="564"/>
      <c r="CH80" s="564"/>
      <c r="CI80" s="564"/>
      <c r="CJ80" s="564"/>
      <c r="CK80" s="564"/>
      <c r="CL80" s="564"/>
      <c r="CM80" s="564"/>
      <c r="CN80" s="564"/>
      <c r="CO80" s="564"/>
      <c r="CP80" s="564" t="s">
        <v>4882</v>
      </c>
      <c r="CQ80" s="564"/>
      <c r="CR80" s="564"/>
      <c r="CS80" s="564"/>
      <c r="CT80" s="564" t="s">
        <v>13993</v>
      </c>
      <c r="CU80" s="564"/>
      <c r="CV80" s="564"/>
      <c r="CW80" s="564"/>
      <c r="CX80" s="564"/>
      <c r="CY80" s="564"/>
      <c r="CZ80" s="564"/>
      <c r="DA80" s="564"/>
      <c r="DB80" s="564"/>
      <c r="DC80" s="564"/>
      <c r="DD80" s="564"/>
      <c r="DE80" s="564"/>
      <c r="DF80" s="564" t="s">
        <v>4883</v>
      </c>
      <c r="DG80" s="564"/>
      <c r="DH80" s="564"/>
      <c r="DI80" s="564"/>
      <c r="DJ80" s="564" t="s">
        <v>13994</v>
      </c>
      <c r="DK80" s="564"/>
      <c r="DL80" s="564"/>
      <c r="DM80" s="564"/>
      <c r="DN80" s="564"/>
      <c r="DO80" s="564"/>
      <c r="DP80" s="564"/>
      <c r="DQ80" s="564"/>
      <c r="DR80" s="564"/>
      <c r="DS80" s="564"/>
      <c r="DT80" s="564"/>
      <c r="DU80" s="564"/>
      <c r="DV80" s="564" t="s">
        <v>4884</v>
      </c>
      <c r="DW80" s="564"/>
    </row>
    <row r="81" spans="1:127" s="299" customFormat="1" x14ac:dyDescent="0.2">
      <c r="A81" s="663"/>
      <c r="B81" s="5" t="str">
        <f t="shared" ca="1" si="16"/>
        <v>1.2 Costing, budgeting, and financing</v>
      </c>
      <c r="C81" s="300" t="e">
        <f>'A4. INPUT Central Costs'!$K$24*C$74</f>
        <v>#N/A</v>
      </c>
      <c r="D81" s="300" t="e">
        <f>'A4. INPUT Central Costs'!$K$24*D$74</f>
        <v>#N/A</v>
      </c>
      <c r="E81" s="300" t="e">
        <f>'A4. INPUT Central Costs'!$K$24*E$74</f>
        <v>#N/A</v>
      </c>
      <c r="F81" s="300" t="e">
        <f>'A4. INPUT Central Costs'!$K$24*F$74</f>
        <v>#N/A</v>
      </c>
      <c r="G81" s="300" t="e">
        <f>'A4. INPUT Central Costs'!$K$24*G$74</f>
        <v>#N/A</v>
      </c>
      <c r="H81" s="300" t="e">
        <f>'A4. INPUT Central Costs'!$K$24*H$74</f>
        <v>#N/A</v>
      </c>
      <c r="I81" s="300" t="e">
        <f t="shared" si="17"/>
        <v>#N/A</v>
      </c>
      <c r="J81" s="620" t="s">
        <v>5083</v>
      </c>
      <c r="K81" s="35" t="s">
        <v>2844</v>
      </c>
      <c r="L81" s="35" t="s">
        <v>3188</v>
      </c>
      <c r="M81" s="463"/>
      <c r="N81" s="12" t="str">
        <f ca="1">IF(OFFSET(AD81,0,Lang_Order*Lang__R2)="","",OFFSET(AD81,0,Lang_Order*Lang__R2))</f>
        <v>Technical Assistance - VIRAF-VIRAT 2.0 - B</v>
      </c>
      <c r="O81" s="587"/>
      <c r="P81" s="564" t="str">
        <f t="shared" ca="1" si="18"/>
        <v/>
      </c>
      <c r="Q81" s="564"/>
      <c r="R81" s="564" t="s">
        <v>14178</v>
      </c>
      <c r="S81" s="564"/>
      <c r="T81" s="564"/>
      <c r="U81" s="564"/>
      <c r="V81" s="564"/>
      <c r="W81" s="564"/>
      <c r="X81" s="564"/>
      <c r="Y81" s="564"/>
      <c r="Z81" s="564"/>
      <c r="AA81" s="564"/>
      <c r="AB81" s="564"/>
      <c r="AC81" s="564"/>
      <c r="AD81" s="564" t="s">
        <v>4419</v>
      </c>
      <c r="AE81" s="564"/>
      <c r="AF81" s="564"/>
      <c r="AG81" s="564"/>
      <c r="AH81" s="564" t="s">
        <v>13995</v>
      </c>
      <c r="AI81" s="564"/>
      <c r="AJ81" s="564"/>
      <c r="AK81" s="564"/>
      <c r="AL81" s="564"/>
      <c r="AM81" s="564"/>
      <c r="AN81" s="564"/>
      <c r="AO81" s="564"/>
      <c r="AP81" s="564"/>
      <c r="AQ81" s="564"/>
      <c r="AR81" s="564"/>
      <c r="AS81" s="564"/>
      <c r="AT81" s="564" t="s">
        <v>4885</v>
      </c>
      <c r="AU81" s="564"/>
      <c r="AV81" s="564"/>
      <c r="AW81" s="564"/>
      <c r="AX81" s="564" t="s">
        <v>13996</v>
      </c>
      <c r="AY81" s="564"/>
      <c r="AZ81" s="564"/>
      <c r="BA81" s="564"/>
      <c r="BB81" s="564"/>
      <c r="BC81" s="564"/>
      <c r="BD81" s="564"/>
      <c r="BE81" s="564"/>
      <c r="BF81" s="564"/>
      <c r="BG81" s="564"/>
      <c r="BH81" s="564"/>
      <c r="BI81" s="564"/>
      <c r="BJ81" s="564" t="s">
        <v>4886</v>
      </c>
      <c r="BK81" s="564"/>
      <c r="BL81" s="564"/>
      <c r="BM81" s="564"/>
      <c r="BN81" s="564" t="s">
        <v>13997</v>
      </c>
      <c r="BO81" s="564"/>
      <c r="BP81" s="564"/>
      <c r="BQ81" s="564"/>
      <c r="BR81" s="564"/>
      <c r="BS81" s="564"/>
      <c r="BT81" s="564"/>
      <c r="BU81" s="564"/>
      <c r="BV81" s="564"/>
      <c r="BW81" s="564"/>
      <c r="BX81" s="564"/>
      <c r="BY81" s="564"/>
      <c r="BZ81" s="564" t="s">
        <v>4887</v>
      </c>
      <c r="CA81" s="564"/>
      <c r="CB81" s="564"/>
      <c r="CC81" s="564"/>
      <c r="CD81" s="564" t="s">
        <v>13998</v>
      </c>
      <c r="CE81" s="564"/>
      <c r="CF81" s="564"/>
      <c r="CG81" s="564"/>
      <c r="CH81" s="564"/>
      <c r="CI81" s="564"/>
      <c r="CJ81" s="564"/>
      <c r="CK81" s="564"/>
      <c r="CL81" s="564"/>
      <c r="CM81" s="564"/>
      <c r="CN81" s="564"/>
      <c r="CO81" s="564"/>
      <c r="CP81" s="564" t="s">
        <v>4888</v>
      </c>
      <c r="CQ81" s="564"/>
      <c r="CR81" s="564"/>
      <c r="CS81" s="564"/>
      <c r="CT81" s="564" t="s">
        <v>13999</v>
      </c>
      <c r="CU81" s="564"/>
      <c r="CV81" s="564"/>
      <c r="CW81" s="564"/>
      <c r="CX81" s="564"/>
      <c r="CY81" s="564"/>
      <c r="CZ81" s="564"/>
      <c r="DA81" s="564"/>
      <c r="DB81" s="564"/>
      <c r="DC81" s="564"/>
      <c r="DD81" s="564"/>
      <c r="DE81" s="564"/>
      <c r="DF81" s="564" t="s">
        <v>4889</v>
      </c>
      <c r="DG81" s="564"/>
      <c r="DH81" s="564"/>
      <c r="DI81" s="564"/>
      <c r="DJ81" s="564" t="s">
        <v>14000</v>
      </c>
      <c r="DK81" s="564"/>
      <c r="DL81" s="564"/>
      <c r="DM81" s="564"/>
      <c r="DN81" s="564"/>
      <c r="DO81" s="564"/>
      <c r="DP81" s="564"/>
      <c r="DQ81" s="564"/>
      <c r="DR81" s="564"/>
      <c r="DS81" s="564"/>
      <c r="DT81" s="564"/>
      <c r="DU81" s="564"/>
      <c r="DV81" s="564" t="s">
        <v>4890</v>
      </c>
      <c r="DW81" s="564"/>
    </row>
    <row r="82" spans="1:127" s="299" customFormat="1" x14ac:dyDescent="0.2">
      <c r="A82" s="663"/>
      <c r="B82" s="5" t="str">
        <f t="shared" ca="1" si="16"/>
        <v>1.3 Regulatory preparedness</v>
      </c>
      <c r="C82" s="300" t="e">
        <f>'A4. INPUT Central Costs'!$K$31*C$74</f>
        <v>#N/A</v>
      </c>
      <c r="D82" s="300" t="e">
        <f>'A4. INPUT Central Costs'!$K$31*D$74</f>
        <v>#N/A</v>
      </c>
      <c r="E82" s="300" t="e">
        <f>'A4. INPUT Central Costs'!$K$31*E$74</f>
        <v>#N/A</v>
      </c>
      <c r="F82" s="300" t="e">
        <f>'A4. INPUT Central Costs'!$K$31*F$74</f>
        <v>#N/A</v>
      </c>
      <c r="G82" s="300" t="e">
        <f>'A4. INPUT Central Costs'!$K$31*G$74</f>
        <v>#N/A</v>
      </c>
      <c r="H82" s="300" t="e">
        <f>'A4. INPUT Central Costs'!$K$31*H$74</f>
        <v>#N/A</v>
      </c>
      <c r="I82" s="300" t="e">
        <f t="shared" si="17"/>
        <v>#N/A</v>
      </c>
      <c r="J82" s="620" t="s">
        <v>5084</v>
      </c>
      <c r="K82" s="35" t="s">
        <v>2844</v>
      </c>
      <c r="L82" s="35" t="s">
        <v>3188</v>
      </c>
      <c r="M82" s="463"/>
      <c r="N82" s="12" t="str">
        <f ca="1">IF(OFFSET(AD82,0,Lang_Order*Lang__R2)="","",OFFSET(AD82,0,Lang_Order*Lang__R2))</f>
        <v>Technical Assistance - VIRAF-VIRAT 2.0 - C</v>
      </c>
      <c r="O82" s="587"/>
      <c r="P82" s="564" t="str">
        <f t="shared" ca="1" si="18"/>
        <v/>
      </c>
      <c r="Q82" s="564"/>
      <c r="R82" s="564" t="s">
        <v>14177</v>
      </c>
      <c r="S82" s="564"/>
      <c r="T82" s="564"/>
      <c r="U82" s="564"/>
      <c r="V82" s="564"/>
      <c r="W82" s="564"/>
      <c r="X82" s="564"/>
      <c r="Y82" s="564"/>
      <c r="Z82" s="564"/>
      <c r="AA82" s="564"/>
      <c r="AB82" s="564"/>
      <c r="AC82" s="564"/>
      <c r="AD82" s="564" t="s">
        <v>4420</v>
      </c>
      <c r="AE82" s="564"/>
      <c r="AF82" s="564"/>
      <c r="AG82" s="564"/>
      <c r="AH82" s="564" t="s">
        <v>14001</v>
      </c>
      <c r="AI82" s="564"/>
      <c r="AJ82" s="564"/>
      <c r="AK82" s="564"/>
      <c r="AL82" s="564"/>
      <c r="AM82" s="564"/>
      <c r="AN82" s="564"/>
      <c r="AO82" s="564"/>
      <c r="AP82" s="564"/>
      <c r="AQ82" s="564"/>
      <c r="AR82" s="564"/>
      <c r="AS82" s="564"/>
      <c r="AT82" s="564" t="s">
        <v>4891</v>
      </c>
      <c r="AU82" s="564"/>
      <c r="AV82" s="564"/>
      <c r="AW82" s="564"/>
      <c r="AX82" s="564" t="s">
        <v>14002</v>
      </c>
      <c r="AY82" s="564"/>
      <c r="AZ82" s="564"/>
      <c r="BA82" s="564"/>
      <c r="BB82" s="564"/>
      <c r="BC82" s="564"/>
      <c r="BD82" s="564"/>
      <c r="BE82" s="564"/>
      <c r="BF82" s="564"/>
      <c r="BG82" s="564"/>
      <c r="BH82" s="564"/>
      <c r="BI82" s="564"/>
      <c r="BJ82" s="564" t="s">
        <v>4892</v>
      </c>
      <c r="BK82" s="564"/>
      <c r="BL82" s="564"/>
      <c r="BM82" s="564"/>
      <c r="BN82" s="564" t="s">
        <v>14003</v>
      </c>
      <c r="BO82" s="564"/>
      <c r="BP82" s="564"/>
      <c r="BQ82" s="564"/>
      <c r="BR82" s="564"/>
      <c r="BS82" s="564"/>
      <c r="BT82" s="564"/>
      <c r="BU82" s="564"/>
      <c r="BV82" s="564"/>
      <c r="BW82" s="564"/>
      <c r="BX82" s="564"/>
      <c r="BY82" s="564"/>
      <c r="BZ82" s="564" t="s">
        <v>4893</v>
      </c>
      <c r="CA82" s="564"/>
      <c r="CB82" s="564"/>
      <c r="CC82" s="564"/>
      <c r="CD82" s="564" t="s">
        <v>4580</v>
      </c>
      <c r="CE82" s="564"/>
      <c r="CF82" s="564"/>
      <c r="CG82" s="564"/>
      <c r="CH82" s="564"/>
      <c r="CI82" s="564"/>
      <c r="CJ82" s="564"/>
      <c r="CK82" s="564"/>
      <c r="CL82" s="564"/>
      <c r="CM82" s="564"/>
      <c r="CN82" s="564"/>
      <c r="CO82" s="564"/>
      <c r="CP82" s="564" t="s">
        <v>4894</v>
      </c>
      <c r="CQ82" s="564"/>
      <c r="CR82" s="564"/>
      <c r="CS82" s="564"/>
      <c r="CT82" s="564" t="s">
        <v>14004</v>
      </c>
      <c r="CU82" s="564"/>
      <c r="CV82" s="564"/>
      <c r="CW82" s="564"/>
      <c r="CX82" s="564"/>
      <c r="CY82" s="564"/>
      <c r="CZ82" s="564"/>
      <c r="DA82" s="564"/>
      <c r="DB82" s="564"/>
      <c r="DC82" s="564"/>
      <c r="DD82" s="564"/>
      <c r="DE82" s="564"/>
      <c r="DF82" s="564" t="s">
        <v>4895</v>
      </c>
      <c r="DG82" s="564"/>
      <c r="DH82" s="564"/>
      <c r="DI82" s="564"/>
      <c r="DJ82" s="564" t="s">
        <v>14005</v>
      </c>
      <c r="DK82" s="564"/>
      <c r="DL82" s="564"/>
      <c r="DM82" s="564"/>
      <c r="DN82" s="564"/>
      <c r="DO82" s="564"/>
      <c r="DP82" s="564"/>
      <c r="DQ82" s="564"/>
      <c r="DR82" s="564"/>
      <c r="DS82" s="564"/>
      <c r="DT82" s="564"/>
      <c r="DU82" s="564"/>
      <c r="DV82" s="564" t="s">
        <v>4896</v>
      </c>
      <c r="DW82" s="564"/>
    </row>
    <row r="83" spans="1:127" s="299" customFormat="1" x14ac:dyDescent="0.2">
      <c r="A83" s="663"/>
      <c r="B83" s="5" t="str">
        <f t="shared" ca="1" si="16"/>
        <v>1.4 Identification of target population and prioritization</v>
      </c>
      <c r="C83" s="300" t="e">
        <f>('A4. INPUT Central Costs'!$K$38-$C$84)*C$74</f>
        <v>#N/A</v>
      </c>
      <c r="D83" s="300" t="e">
        <f>('A4. INPUT Central Costs'!$K$38-$C$84)*D$74</f>
        <v>#N/A</v>
      </c>
      <c r="E83" s="300" t="e">
        <f>('A4. INPUT Central Costs'!$K$38-$C$84)*E$74</f>
        <v>#N/A</v>
      </c>
      <c r="F83" s="300" t="e">
        <f>('A4. INPUT Central Costs'!$K$38-$C$84)*F$74</f>
        <v>#N/A</v>
      </c>
      <c r="G83" s="300" t="e">
        <f>('A4. INPUT Central Costs'!$K$38-$C$84)*G$74</f>
        <v>#N/A</v>
      </c>
      <c r="H83" s="300" t="e">
        <f>('A4. INPUT Central Costs'!$K$38-$C$84)*H$74</f>
        <v>#N/A</v>
      </c>
      <c r="I83" s="300" t="e">
        <f t="shared" si="17"/>
        <v>#N/A</v>
      </c>
      <c r="J83" s="620" t="s">
        <v>5085</v>
      </c>
      <c r="K83" s="35" t="s">
        <v>2844</v>
      </c>
      <c r="L83" s="35" t="s">
        <v>3188</v>
      </c>
      <c r="M83" s="463"/>
      <c r="N83" s="12" t="str">
        <f ca="1">IF(OFFSET(AD83,0,Lang_Order*Lang__R2)="","",OFFSET(AD83,0,Lang_Order*Lang__R2))</f>
        <v>Technical Assistance - VIRAF-VIRAT 2.0 - D</v>
      </c>
      <c r="O83" s="587"/>
      <c r="P83" s="564" t="str">
        <f t="shared" ca="1" si="18"/>
        <v/>
      </c>
      <c r="Q83" s="564"/>
      <c r="R83" s="564" t="s">
        <v>14176</v>
      </c>
      <c r="S83" s="564"/>
      <c r="T83" s="564"/>
      <c r="U83" s="564"/>
      <c r="V83" s="564"/>
      <c r="W83" s="564"/>
      <c r="X83" s="564"/>
      <c r="Y83" s="564"/>
      <c r="Z83" s="564"/>
      <c r="AA83" s="564"/>
      <c r="AB83" s="564"/>
      <c r="AC83" s="564"/>
      <c r="AD83" s="564" t="s">
        <v>4421</v>
      </c>
      <c r="AE83" s="564"/>
      <c r="AF83" s="564"/>
      <c r="AG83" s="564"/>
      <c r="AH83" s="564" t="s">
        <v>14006</v>
      </c>
      <c r="AI83" s="564"/>
      <c r="AJ83" s="564"/>
      <c r="AK83" s="564"/>
      <c r="AL83" s="564"/>
      <c r="AM83" s="564"/>
      <c r="AN83" s="564"/>
      <c r="AO83" s="564"/>
      <c r="AP83" s="564"/>
      <c r="AQ83" s="564"/>
      <c r="AR83" s="564"/>
      <c r="AS83" s="564"/>
      <c r="AT83" s="564" t="s">
        <v>4897</v>
      </c>
      <c r="AU83" s="564"/>
      <c r="AV83" s="564"/>
      <c r="AW83" s="564"/>
      <c r="AX83" s="564" t="s">
        <v>14007</v>
      </c>
      <c r="AY83" s="564"/>
      <c r="AZ83" s="564"/>
      <c r="BA83" s="564"/>
      <c r="BB83" s="564"/>
      <c r="BC83" s="564"/>
      <c r="BD83" s="564"/>
      <c r="BE83" s="564"/>
      <c r="BF83" s="564"/>
      <c r="BG83" s="564"/>
      <c r="BH83" s="564"/>
      <c r="BI83" s="564"/>
      <c r="BJ83" s="564" t="s">
        <v>4898</v>
      </c>
      <c r="BK83" s="564"/>
      <c r="BL83" s="564"/>
      <c r="BM83" s="564"/>
      <c r="BN83" s="564" t="s">
        <v>14008</v>
      </c>
      <c r="BO83" s="564"/>
      <c r="BP83" s="564"/>
      <c r="BQ83" s="564"/>
      <c r="BR83" s="564"/>
      <c r="BS83" s="564"/>
      <c r="BT83" s="564"/>
      <c r="BU83" s="564"/>
      <c r="BV83" s="564"/>
      <c r="BW83" s="564"/>
      <c r="BX83" s="564"/>
      <c r="BY83" s="564"/>
      <c r="BZ83" s="564" t="s">
        <v>4899</v>
      </c>
      <c r="CA83" s="564"/>
      <c r="CB83" s="564"/>
      <c r="CC83" s="564"/>
      <c r="CD83" s="564" t="s">
        <v>14009</v>
      </c>
      <c r="CE83" s="564"/>
      <c r="CF83" s="564"/>
      <c r="CG83" s="564"/>
      <c r="CH83" s="564"/>
      <c r="CI83" s="564"/>
      <c r="CJ83" s="564"/>
      <c r="CK83" s="564"/>
      <c r="CL83" s="564"/>
      <c r="CM83" s="564"/>
      <c r="CN83" s="564"/>
      <c r="CO83" s="564"/>
      <c r="CP83" s="564" t="s">
        <v>4900</v>
      </c>
      <c r="CQ83" s="564"/>
      <c r="CR83" s="564"/>
      <c r="CS83" s="564"/>
      <c r="CT83" s="564" t="s">
        <v>14010</v>
      </c>
      <c r="CU83" s="564"/>
      <c r="CV83" s="564"/>
      <c r="CW83" s="564"/>
      <c r="CX83" s="564"/>
      <c r="CY83" s="564"/>
      <c r="CZ83" s="564"/>
      <c r="DA83" s="564"/>
      <c r="DB83" s="564"/>
      <c r="DC83" s="564"/>
      <c r="DD83" s="564"/>
      <c r="DE83" s="564"/>
      <c r="DF83" s="564" t="s">
        <v>4901</v>
      </c>
      <c r="DG83" s="564"/>
      <c r="DH83" s="564"/>
      <c r="DI83" s="564"/>
      <c r="DJ83" s="564" t="s">
        <v>14011</v>
      </c>
      <c r="DK83" s="564"/>
      <c r="DL83" s="564"/>
      <c r="DM83" s="564"/>
      <c r="DN83" s="564"/>
      <c r="DO83" s="564"/>
      <c r="DP83" s="564"/>
      <c r="DQ83" s="564"/>
      <c r="DR83" s="564"/>
      <c r="DS83" s="564"/>
      <c r="DT83" s="564"/>
      <c r="DU83" s="564"/>
      <c r="DV83" s="564" t="s">
        <v>4902</v>
      </c>
      <c r="DW83" s="564"/>
    </row>
    <row r="84" spans="1:127" s="529" customFormat="1" x14ac:dyDescent="0.2">
      <c r="A84" s="663"/>
      <c r="B84" s="5" t="str">
        <f t="shared" ca="1" si="16"/>
        <v>1.5 Covid-19 disease surveillance</v>
      </c>
      <c r="C84" s="300" t="e">
        <f>'A4. INPUT Central Costs'!$J$44*C$74</f>
        <v>#N/A</v>
      </c>
      <c r="D84" s="300" t="e">
        <f>'A4. INPUT Central Costs'!$J$44*D$74</f>
        <v>#N/A</v>
      </c>
      <c r="E84" s="300" t="e">
        <f>'A4. INPUT Central Costs'!$J$44*E$74</f>
        <v>#N/A</v>
      </c>
      <c r="F84" s="300" t="e">
        <f>'A4. INPUT Central Costs'!$J$44*F$74</f>
        <v>#N/A</v>
      </c>
      <c r="G84" s="300" t="e">
        <f>'A4. INPUT Central Costs'!$J$44*G$74</f>
        <v>#N/A</v>
      </c>
      <c r="H84" s="300" t="e">
        <f>'A4. INPUT Central Costs'!$J$44*H$74</f>
        <v>#N/A</v>
      </c>
      <c r="I84" s="300" t="e">
        <f t="shared" si="17"/>
        <v>#N/A</v>
      </c>
      <c r="J84" s="620" t="s">
        <v>5086</v>
      </c>
      <c r="K84" s="35" t="s">
        <v>2844</v>
      </c>
      <c r="L84" s="35" t="s">
        <v>3188</v>
      </c>
      <c r="N84" s="567"/>
      <c r="O84" s="587"/>
      <c r="P84" s="564"/>
      <c r="Q84" s="564"/>
      <c r="R84" s="564" t="s">
        <v>14175</v>
      </c>
      <c r="S84" s="564"/>
      <c r="T84" s="564"/>
      <c r="U84" s="564"/>
      <c r="V84" s="564"/>
      <c r="W84" s="564"/>
      <c r="X84" s="564"/>
      <c r="Y84" s="564"/>
      <c r="Z84" s="564"/>
      <c r="AA84" s="564"/>
      <c r="AB84" s="564"/>
      <c r="AC84" s="564"/>
      <c r="AD84" s="564"/>
      <c r="AE84" s="564"/>
      <c r="AF84" s="564"/>
      <c r="AG84" s="564"/>
      <c r="AH84" s="564" t="s">
        <v>14012</v>
      </c>
      <c r="AI84" s="564"/>
      <c r="AJ84" s="564"/>
      <c r="AK84" s="564"/>
      <c r="AL84" s="564"/>
      <c r="AM84" s="564"/>
      <c r="AN84" s="564"/>
      <c r="AO84" s="564"/>
      <c r="AP84" s="564"/>
      <c r="AQ84" s="564"/>
      <c r="AR84" s="564"/>
      <c r="AS84" s="564"/>
      <c r="AT84" s="564"/>
      <c r="AU84" s="564"/>
      <c r="AV84" s="564"/>
      <c r="AW84" s="564"/>
      <c r="AX84" s="564" t="s">
        <v>14013</v>
      </c>
      <c r="AY84" s="564"/>
      <c r="AZ84" s="564"/>
      <c r="BA84" s="564"/>
      <c r="BB84" s="564"/>
      <c r="BC84" s="564"/>
      <c r="BD84" s="564"/>
      <c r="BE84" s="564"/>
      <c r="BF84" s="564"/>
      <c r="BG84" s="564"/>
      <c r="BH84" s="564"/>
      <c r="BI84" s="564"/>
      <c r="BJ84" s="564"/>
      <c r="BK84" s="564"/>
      <c r="BL84" s="564"/>
      <c r="BM84" s="564"/>
      <c r="BN84" s="564" t="s">
        <v>14014</v>
      </c>
      <c r="BO84" s="564"/>
      <c r="BP84" s="564"/>
      <c r="BQ84" s="564"/>
      <c r="BR84" s="564"/>
      <c r="BS84" s="564"/>
      <c r="BT84" s="564"/>
      <c r="BU84" s="564"/>
      <c r="BV84" s="564"/>
      <c r="BW84" s="564"/>
      <c r="BX84" s="564"/>
      <c r="BY84" s="564"/>
      <c r="BZ84" s="564"/>
      <c r="CA84" s="564"/>
      <c r="CB84" s="564"/>
      <c r="CC84" s="564"/>
      <c r="CD84" s="564" t="s">
        <v>14015</v>
      </c>
      <c r="CE84" s="564"/>
      <c r="CF84" s="564"/>
      <c r="CG84" s="564"/>
      <c r="CH84" s="564"/>
      <c r="CI84" s="564"/>
      <c r="CJ84" s="564"/>
      <c r="CK84" s="564"/>
      <c r="CL84" s="564"/>
      <c r="CM84" s="564"/>
      <c r="CN84" s="564"/>
      <c r="CO84" s="564"/>
      <c r="CP84" s="564"/>
      <c r="CQ84" s="564"/>
      <c r="CR84" s="564"/>
      <c r="CS84" s="564"/>
      <c r="CT84" s="564" t="s">
        <v>14016</v>
      </c>
      <c r="CU84" s="564"/>
      <c r="CV84" s="564"/>
      <c r="CW84" s="564"/>
      <c r="CX84" s="564"/>
      <c r="CY84" s="564"/>
      <c r="CZ84" s="564"/>
      <c r="DA84" s="564"/>
      <c r="DB84" s="564"/>
      <c r="DC84" s="564"/>
      <c r="DD84" s="564"/>
      <c r="DE84" s="564"/>
      <c r="DF84" s="564"/>
      <c r="DG84" s="564"/>
      <c r="DH84" s="564"/>
      <c r="DI84" s="564"/>
      <c r="DJ84" s="564" t="s">
        <v>14017</v>
      </c>
      <c r="DK84" s="564"/>
      <c r="DL84" s="564"/>
      <c r="DM84" s="564"/>
      <c r="DN84" s="564"/>
      <c r="DO84" s="564"/>
      <c r="DP84" s="564"/>
      <c r="DQ84" s="564"/>
      <c r="DR84" s="564"/>
      <c r="DS84" s="564"/>
      <c r="DT84" s="564"/>
      <c r="DU84" s="564"/>
      <c r="DV84" s="564"/>
      <c r="DW84" s="564"/>
    </row>
    <row r="85" spans="1:127" s="299" customFormat="1" x14ac:dyDescent="0.2">
      <c r="A85" s="663"/>
      <c r="B85" s="5" t="str">
        <f t="shared" ca="1" si="16"/>
        <v>1.6 Service delivery</v>
      </c>
      <c r="C85" s="300" t="e">
        <f>'A4. INPUT Central Costs'!$K$46*C$74</f>
        <v>#N/A</v>
      </c>
      <c r="D85" s="300" t="e">
        <f>'A4. INPUT Central Costs'!$K$46*D$74</f>
        <v>#N/A</v>
      </c>
      <c r="E85" s="300" t="e">
        <f>'A4. INPUT Central Costs'!$K$46*E$74</f>
        <v>#N/A</v>
      </c>
      <c r="F85" s="300" t="e">
        <f>'A4. INPUT Central Costs'!$K$46*F$74</f>
        <v>#N/A</v>
      </c>
      <c r="G85" s="300" t="e">
        <f>'A4. INPUT Central Costs'!$K$46*G$74</f>
        <v>#N/A</v>
      </c>
      <c r="H85" s="300" t="e">
        <f>'A4. INPUT Central Costs'!$K$46*H$74</f>
        <v>#N/A</v>
      </c>
      <c r="I85" s="300" t="e">
        <f t="shared" si="17"/>
        <v>#N/A</v>
      </c>
      <c r="J85" s="620" t="s">
        <v>5087</v>
      </c>
      <c r="K85" s="35" t="s">
        <v>2844</v>
      </c>
      <c r="L85" s="35" t="s">
        <v>3188</v>
      </c>
      <c r="M85" s="463"/>
      <c r="N85" s="12" t="str">
        <f ca="1">IF(OFFSET(AD85,0,Lang_Order*Lang__R2)="","",OFFSET(AD85,0,Lang_Order*Lang__R2))</f>
        <v>Technical Assistance - VIRAF-VIRAT 2.0 - E</v>
      </c>
      <c r="O85" s="587"/>
      <c r="P85" s="564" t="str">
        <f ca="1">IF(OFFSET(AE85,0,Lang_Order*Lang__R2)="","",OFFSET(AE85,0,Lang_Order*Lang__R2))</f>
        <v/>
      </c>
      <c r="Q85" s="564"/>
      <c r="R85" s="564" t="s">
        <v>14174</v>
      </c>
      <c r="S85" s="564"/>
      <c r="T85" s="564"/>
      <c r="U85" s="564"/>
      <c r="V85" s="564"/>
      <c r="W85" s="564"/>
      <c r="X85" s="564"/>
      <c r="Y85" s="564"/>
      <c r="Z85" s="564"/>
      <c r="AA85" s="564"/>
      <c r="AB85" s="564"/>
      <c r="AC85" s="564"/>
      <c r="AD85" s="564" t="s">
        <v>4422</v>
      </c>
      <c r="AE85" s="564"/>
      <c r="AF85" s="564"/>
      <c r="AG85" s="564"/>
      <c r="AH85" s="564" t="s">
        <v>14018</v>
      </c>
      <c r="AI85" s="564"/>
      <c r="AJ85" s="564"/>
      <c r="AK85" s="564"/>
      <c r="AL85" s="564"/>
      <c r="AM85" s="564"/>
      <c r="AN85" s="564"/>
      <c r="AO85" s="564"/>
      <c r="AP85" s="564"/>
      <c r="AQ85" s="564"/>
      <c r="AR85" s="564"/>
      <c r="AS85" s="564"/>
      <c r="AT85" s="564" t="s">
        <v>4903</v>
      </c>
      <c r="AU85" s="564"/>
      <c r="AV85" s="564"/>
      <c r="AW85" s="564"/>
      <c r="AX85" s="564" t="s">
        <v>14019</v>
      </c>
      <c r="AY85" s="564"/>
      <c r="AZ85" s="564"/>
      <c r="BA85" s="564"/>
      <c r="BB85" s="564"/>
      <c r="BC85" s="564"/>
      <c r="BD85" s="564"/>
      <c r="BE85" s="564"/>
      <c r="BF85" s="564"/>
      <c r="BG85" s="564"/>
      <c r="BH85" s="564"/>
      <c r="BI85" s="564"/>
      <c r="BJ85" s="564" t="s">
        <v>4904</v>
      </c>
      <c r="BK85" s="564"/>
      <c r="BL85" s="564"/>
      <c r="BM85" s="564"/>
      <c r="BN85" s="564" t="s">
        <v>14020</v>
      </c>
      <c r="BO85" s="564"/>
      <c r="BP85" s="564"/>
      <c r="BQ85" s="564"/>
      <c r="BR85" s="564"/>
      <c r="BS85" s="564"/>
      <c r="BT85" s="564"/>
      <c r="BU85" s="564"/>
      <c r="BV85" s="564"/>
      <c r="BW85" s="564"/>
      <c r="BX85" s="564"/>
      <c r="BY85" s="564"/>
      <c r="BZ85" s="564" t="s">
        <v>4905</v>
      </c>
      <c r="CA85" s="564"/>
      <c r="CB85" s="564"/>
      <c r="CC85" s="564"/>
      <c r="CD85" s="564" t="s">
        <v>4581</v>
      </c>
      <c r="CE85" s="564"/>
      <c r="CF85" s="564"/>
      <c r="CG85" s="564"/>
      <c r="CH85" s="564"/>
      <c r="CI85" s="564"/>
      <c r="CJ85" s="564"/>
      <c r="CK85" s="564"/>
      <c r="CL85" s="564"/>
      <c r="CM85" s="564"/>
      <c r="CN85" s="564"/>
      <c r="CO85" s="564"/>
      <c r="CP85" s="564" t="s">
        <v>4906</v>
      </c>
      <c r="CQ85" s="564"/>
      <c r="CR85" s="564"/>
      <c r="CS85" s="564"/>
      <c r="CT85" s="564" t="s">
        <v>14021</v>
      </c>
      <c r="CU85" s="564"/>
      <c r="CV85" s="564"/>
      <c r="CW85" s="564"/>
      <c r="CX85" s="564"/>
      <c r="CY85" s="564"/>
      <c r="CZ85" s="564"/>
      <c r="DA85" s="564"/>
      <c r="DB85" s="564"/>
      <c r="DC85" s="564"/>
      <c r="DD85" s="564"/>
      <c r="DE85" s="564"/>
      <c r="DF85" s="564" t="s">
        <v>4907</v>
      </c>
      <c r="DG85" s="564"/>
      <c r="DH85" s="564"/>
      <c r="DI85" s="564"/>
      <c r="DJ85" s="564" t="s">
        <v>14022</v>
      </c>
      <c r="DK85" s="564"/>
      <c r="DL85" s="564"/>
      <c r="DM85" s="564"/>
      <c r="DN85" s="564"/>
      <c r="DO85" s="564"/>
      <c r="DP85" s="564"/>
      <c r="DQ85" s="564"/>
      <c r="DR85" s="564"/>
      <c r="DS85" s="564"/>
      <c r="DT85" s="564"/>
      <c r="DU85" s="564"/>
      <c r="DV85" s="564" t="s">
        <v>4908</v>
      </c>
      <c r="DW85" s="564"/>
    </row>
    <row r="86" spans="1:127" s="299" customFormat="1" x14ac:dyDescent="0.2">
      <c r="A86" s="663"/>
      <c r="B86" s="5" t="str">
        <f t="shared" ca="1" si="16"/>
        <v>1.7 Vaccine procurement, cold chain, logistics, and infrastructure</v>
      </c>
      <c r="C86" s="300" t="e">
        <f>'A4. INPUT Central Costs'!$K$104*C$74</f>
        <v>#N/A</v>
      </c>
      <c r="D86" s="300" t="e">
        <f>'A4. INPUT Central Costs'!$K$104*D$74</f>
        <v>#N/A</v>
      </c>
      <c r="E86" s="300" t="e">
        <f>'A4. INPUT Central Costs'!$K$104*E$74</f>
        <v>#N/A</v>
      </c>
      <c r="F86" s="300" t="e">
        <f>'A4. INPUT Central Costs'!$K$104*F$74</f>
        <v>#N/A</v>
      </c>
      <c r="G86" s="300" t="e">
        <f>'A4. INPUT Central Costs'!$K$104*G$74</f>
        <v>#N/A</v>
      </c>
      <c r="H86" s="300" t="e">
        <f>'A4. INPUT Central Costs'!$K$104*H$74</f>
        <v>#N/A</v>
      </c>
      <c r="I86" s="300" t="e">
        <f t="shared" si="17"/>
        <v>#N/A</v>
      </c>
      <c r="J86" s="620" t="s">
        <v>5088</v>
      </c>
      <c r="K86" s="35" t="s">
        <v>2844</v>
      </c>
      <c r="L86" s="35" t="s">
        <v>3188</v>
      </c>
      <c r="M86" s="463"/>
      <c r="N86" s="12" t="str">
        <f ca="1">IF(OFFSET(AD86,0,Lang_Order*Lang__R2)="","",OFFSET(AD86,0,Lang_Order*Lang__R2))</f>
        <v>Technical Assistance - VIRAF-VIRAT 2.0 - H</v>
      </c>
      <c r="O86" s="587"/>
      <c r="P86" s="564" t="str">
        <f ca="1">IF(OFFSET(AE86,0,Lang_Order*Lang__R2)="","",OFFSET(AE86,0,Lang_Order*Lang__R2))</f>
        <v/>
      </c>
      <c r="Q86" s="564"/>
      <c r="R86" s="564" t="s">
        <v>14173</v>
      </c>
      <c r="S86" s="564"/>
      <c r="T86" s="564"/>
      <c r="U86" s="564"/>
      <c r="V86" s="564"/>
      <c r="W86" s="564"/>
      <c r="X86" s="564"/>
      <c r="Y86" s="564"/>
      <c r="Z86" s="564"/>
      <c r="AA86" s="564"/>
      <c r="AB86" s="564"/>
      <c r="AC86" s="564"/>
      <c r="AD86" s="564" t="s">
        <v>4417</v>
      </c>
      <c r="AE86" s="564"/>
      <c r="AF86" s="564"/>
      <c r="AG86" s="564"/>
      <c r="AH86" s="564" t="s">
        <v>14023</v>
      </c>
      <c r="AI86" s="564"/>
      <c r="AJ86" s="564"/>
      <c r="AK86" s="564"/>
      <c r="AL86" s="564"/>
      <c r="AM86" s="564"/>
      <c r="AN86" s="564"/>
      <c r="AO86" s="564"/>
      <c r="AP86" s="564"/>
      <c r="AQ86" s="564"/>
      <c r="AR86" s="564"/>
      <c r="AS86" s="564"/>
      <c r="AT86" s="564" t="s">
        <v>4909</v>
      </c>
      <c r="AU86" s="564"/>
      <c r="AV86" s="564"/>
      <c r="AW86" s="564"/>
      <c r="AX86" s="564" t="s">
        <v>14024</v>
      </c>
      <c r="AY86" s="564"/>
      <c r="AZ86" s="564"/>
      <c r="BA86" s="564"/>
      <c r="BB86" s="564"/>
      <c r="BC86" s="564"/>
      <c r="BD86" s="564"/>
      <c r="BE86" s="564"/>
      <c r="BF86" s="564"/>
      <c r="BG86" s="564"/>
      <c r="BH86" s="564"/>
      <c r="BI86" s="564"/>
      <c r="BJ86" s="564" t="s">
        <v>4910</v>
      </c>
      <c r="BK86" s="564"/>
      <c r="BL86" s="564"/>
      <c r="BM86" s="564"/>
      <c r="BN86" s="564" t="s">
        <v>14025</v>
      </c>
      <c r="BO86" s="564"/>
      <c r="BP86" s="564"/>
      <c r="BQ86" s="564"/>
      <c r="BR86" s="564"/>
      <c r="BS86" s="564"/>
      <c r="BT86" s="564"/>
      <c r="BU86" s="564"/>
      <c r="BV86" s="564"/>
      <c r="BW86" s="564"/>
      <c r="BX86" s="564"/>
      <c r="BY86" s="564"/>
      <c r="BZ86" s="564" t="s">
        <v>4911</v>
      </c>
      <c r="CA86" s="564"/>
      <c r="CB86" s="564"/>
      <c r="CC86" s="564"/>
      <c r="CD86" s="564" t="s">
        <v>14026</v>
      </c>
      <c r="CE86" s="564"/>
      <c r="CF86" s="564"/>
      <c r="CG86" s="564"/>
      <c r="CH86" s="564"/>
      <c r="CI86" s="564"/>
      <c r="CJ86" s="564"/>
      <c r="CK86" s="564"/>
      <c r="CL86" s="564"/>
      <c r="CM86" s="564"/>
      <c r="CN86" s="564"/>
      <c r="CO86" s="564"/>
      <c r="CP86" s="564" t="s">
        <v>4912</v>
      </c>
      <c r="CQ86" s="564"/>
      <c r="CR86" s="564"/>
      <c r="CS86" s="564"/>
      <c r="CT86" s="564" t="s">
        <v>14027</v>
      </c>
      <c r="CU86" s="564"/>
      <c r="CV86" s="564"/>
      <c r="CW86" s="564"/>
      <c r="CX86" s="564"/>
      <c r="CY86" s="564"/>
      <c r="CZ86" s="564"/>
      <c r="DA86" s="564"/>
      <c r="DB86" s="564"/>
      <c r="DC86" s="564"/>
      <c r="DD86" s="564"/>
      <c r="DE86" s="564"/>
      <c r="DF86" s="564" t="s">
        <v>4913</v>
      </c>
      <c r="DG86" s="564"/>
      <c r="DH86" s="564"/>
      <c r="DI86" s="564"/>
      <c r="DJ86" s="564" t="s">
        <v>14028</v>
      </c>
      <c r="DK86" s="564"/>
      <c r="DL86" s="564"/>
      <c r="DM86" s="564"/>
      <c r="DN86" s="564"/>
      <c r="DO86" s="564"/>
      <c r="DP86" s="564"/>
      <c r="DQ86" s="564"/>
      <c r="DR86" s="564"/>
      <c r="DS86" s="564"/>
      <c r="DT86" s="564"/>
      <c r="DU86" s="564"/>
      <c r="DV86" s="564" t="s">
        <v>4914</v>
      </c>
      <c r="DW86" s="564"/>
    </row>
    <row r="87" spans="1:127" s="463" customFormat="1" x14ac:dyDescent="0.2">
      <c r="J87" s="620"/>
      <c r="K87" s="532"/>
      <c r="L87" s="532"/>
      <c r="O87" s="567"/>
      <c r="P87" s="564"/>
      <c r="Q87" s="564"/>
      <c r="R87" s="564"/>
      <c r="S87" s="564"/>
      <c r="T87" s="564"/>
      <c r="U87" s="564"/>
      <c r="V87" s="564"/>
      <c r="W87" s="564"/>
      <c r="X87" s="564"/>
      <c r="Y87" s="564"/>
      <c r="Z87" s="564"/>
      <c r="AA87" s="564"/>
      <c r="AB87" s="564"/>
      <c r="AC87" s="564"/>
      <c r="AD87" s="564"/>
      <c r="AE87" s="564"/>
      <c r="AF87" s="564"/>
      <c r="AG87" s="564"/>
      <c r="AH87" s="564"/>
      <c r="AI87" s="564"/>
      <c r="AJ87" s="564"/>
      <c r="AK87" s="564"/>
      <c r="AL87" s="564"/>
      <c r="AM87" s="564"/>
      <c r="AN87" s="564"/>
      <c r="AO87" s="564"/>
      <c r="AP87" s="564"/>
      <c r="AQ87" s="564"/>
      <c r="AR87" s="564"/>
      <c r="AS87" s="564"/>
      <c r="AT87" s="564"/>
      <c r="AU87" s="564"/>
      <c r="AV87" s="564"/>
      <c r="AW87" s="564"/>
      <c r="AX87" s="564"/>
      <c r="AY87" s="564"/>
      <c r="AZ87" s="564"/>
      <c r="BA87" s="564"/>
      <c r="BB87" s="564"/>
      <c r="BC87" s="564"/>
      <c r="BD87" s="564"/>
      <c r="BE87" s="564"/>
      <c r="BF87" s="564"/>
      <c r="BG87" s="564"/>
      <c r="BH87" s="564"/>
      <c r="BI87" s="564"/>
      <c r="BJ87" s="564"/>
      <c r="BK87" s="564"/>
      <c r="BL87" s="564"/>
      <c r="BM87" s="564"/>
      <c r="BN87" s="564"/>
      <c r="BO87" s="564"/>
      <c r="BP87" s="564"/>
      <c r="BQ87" s="564"/>
      <c r="BR87" s="564"/>
      <c r="BS87" s="564"/>
      <c r="BT87" s="564"/>
      <c r="BU87" s="564"/>
      <c r="BV87" s="564"/>
      <c r="BW87" s="564"/>
      <c r="BX87" s="564"/>
      <c r="BY87" s="564"/>
      <c r="BZ87" s="564"/>
      <c r="CA87" s="564"/>
      <c r="CB87" s="564"/>
      <c r="CC87" s="564"/>
      <c r="CD87" s="564"/>
      <c r="CE87" s="564"/>
      <c r="CF87" s="564"/>
      <c r="CG87" s="564"/>
      <c r="CH87" s="564"/>
      <c r="CI87" s="564"/>
      <c r="CJ87" s="564"/>
      <c r="CK87" s="564"/>
      <c r="CL87" s="564"/>
      <c r="CM87" s="564"/>
      <c r="CN87" s="564"/>
      <c r="CO87" s="564"/>
      <c r="CP87" s="564"/>
      <c r="CQ87" s="564"/>
      <c r="CR87" s="564"/>
      <c r="CS87" s="564"/>
      <c r="CT87" s="564"/>
      <c r="CU87" s="564"/>
      <c r="CV87" s="564"/>
      <c r="CW87" s="564"/>
      <c r="CX87" s="564"/>
      <c r="CY87" s="564"/>
      <c r="CZ87" s="564"/>
      <c r="DA87" s="564"/>
      <c r="DB87" s="564"/>
      <c r="DC87" s="564"/>
      <c r="DD87" s="564"/>
      <c r="DE87" s="564"/>
      <c r="DF87" s="564"/>
      <c r="DG87" s="564"/>
      <c r="DH87" s="564"/>
      <c r="DI87" s="564"/>
      <c r="DJ87" s="564"/>
      <c r="DK87" s="564"/>
      <c r="DL87" s="564"/>
      <c r="DM87" s="564"/>
      <c r="DN87" s="564"/>
      <c r="DO87" s="564"/>
      <c r="DP87" s="564"/>
      <c r="DQ87" s="564"/>
      <c r="DR87" s="564"/>
      <c r="DS87" s="564"/>
      <c r="DT87" s="564"/>
      <c r="DU87" s="564"/>
      <c r="DV87" s="564"/>
      <c r="DW87" s="564"/>
    </row>
    <row r="88" spans="1:127" s="272" customFormat="1" ht="15" x14ac:dyDescent="0.25">
      <c r="B88" s="8" t="str">
        <f ca="1">IF(OFFSET(R88,0,Lang_Order*Lang__R2)="","",OFFSET(R88,0,Lang_Order*Lang__R2))</f>
        <v>R2.1.2 Vaccine Doses and Related Devices &amp; Supplies</v>
      </c>
      <c r="C88" s="195" t="e">
        <f t="shared" ref="C88:H88" ca="1" si="19">SUM(,C101,C117,C125)</f>
        <v>#N/A</v>
      </c>
      <c r="D88" s="195" t="e">
        <f t="shared" ca="1" si="19"/>
        <v>#N/A</v>
      </c>
      <c r="E88" s="195" t="e">
        <f t="shared" ca="1" si="19"/>
        <v>#N/A</v>
      </c>
      <c r="F88" s="195" t="e">
        <f t="shared" ca="1" si="19"/>
        <v>#N/A</v>
      </c>
      <c r="G88" s="195" t="e">
        <f t="shared" ca="1" si="19"/>
        <v>#N/A</v>
      </c>
      <c r="H88" s="195" t="e">
        <f t="shared" ca="1" si="19"/>
        <v>#N/A</v>
      </c>
      <c r="I88" s="195" t="e">
        <f ca="1">SUM(C88:H88)</f>
        <v>#N/A</v>
      </c>
      <c r="J88" s="620" t="s">
        <v>5077</v>
      </c>
      <c r="K88" s="532"/>
      <c r="L88" s="532"/>
      <c r="M88" s="463"/>
      <c r="N88" s="463"/>
      <c r="O88" s="567"/>
      <c r="P88" s="564"/>
      <c r="Q88" s="564"/>
      <c r="R88" s="564" t="s">
        <v>14583</v>
      </c>
      <c r="S88" s="564"/>
      <c r="T88" s="564"/>
      <c r="U88" s="564"/>
      <c r="V88" s="564"/>
      <c r="W88" s="564"/>
      <c r="X88" s="564"/>
      <c r="Y88" s="564"/>
      <c r="Z88" s="564"/>
      <c r="AA88" s="564"/>
      <c r="AB88" s="564"/>
      <c r="AC88" s="564"/>
      <c r="AD88" s="564"/>
      <c r="AE88" s="564"/>
      <c r="AF88" s="564"/>
      <c r="AG88" s="564"/>
      <c r="AH88" s="564" t="s">
        <v>14584</v>
      </c>
      <c r="AI88" s="564"/>
      <c r="AJ88" s="564"/>
      <c r="AK88" s="564"/>
      <c r="AL88" s="564"/>
      <c r="AM88" s="564"/>
      <c r="AN88" s="564"/>
      <c r="AO88" s="564"/>
      <c r="AP88" s="564"/>
      <c r="AQ88" s="564"/>
      <c r="AR88" s="564"/>
      <c r="AS88" s="564"/>
      <c r="AT88" s="564"/>
      <c r="AU88" s="564"/>
      <c r="AV88" s="564"/>
      <c r="AW88" s="564"/>
      <c r="AX88" s="564" t="s">
        <v>14585</v>
      </c>
      <c r="AY88" s="564"/>
      <c r="AZ88" s="564"/>
      <c r="BA88" s="564"/>
      <c r="BB88" s="564"/>
      <c r="BC88" s="564"/>
      <c r="BD88" s="564"/>
      <c r="BE88" s="564"/>
      <c r="BF88" s="564"/>
      <c r="BG88" s="564"/>
      <c r="BH88" s="564"/>
      <c r="BI88" s="564"/>
      <c r="BJ88" s="564"/>
      <c r="BK88" s="564"/>
      <c r="BL88" s="564"/>
      <c r="BM88" s="564"/>
      <c r="BN88" s="564" t="s">
        <v>14586</v>
      </c>
      <c r="BO88" s="564"/>
      <c r="BP88" s="564"/>
      <c r="BQ88" s="564"/>
      <c r="BR88" s="564"/>
      <c r="BS88" s="564"/>
      <c r="BT88" s="564"/>
      <c r="BU88" s="564"/>
      <c r="BV88" s="564"/>
      <c r="BW88" s="564"/>
      <c r="BX88" s="564"/>
      <c r="BY88" s="564"/>
      <c r="BZ88" s="564"/>
      <c r="CA88" s="564"/>
      <c r="CB88" s="564"/>
      <c r="CC88" s="564"/>
      <c r="CD88" s="564" t="s">
        <v>14587</v>
      </c>
      <c r="CE88" s="564"/>
      <c r="CF88" s="564"/>
      <c r="CG88" s="564"/>
      <c r="CH88" s="564"/>
      <c r="CI88" s="564"/>
      <c r="CJ88" s="564"/>
      <c r="CK88" s="564"/>
      <c r="CL88" s="564"/>
      <c r="CM88" s="564"/>
      <c r="CN88" s="564"/>
      <c r="CO88" s="564"/>
      <c r="CP88" s="564"/>
      <c r="CQ88" s="564"/>
      <c r="CR88" s="564"/>
      <c r="CS88" s="564"/>
      <c r="CT88" s="564" t="s">
        <v>14588</v>
      </c>
      <c r="CU88" s="564"/>
      <c r="CV88" s="564"/>
      <c r="CW88" s="564"/>
      <c r="CX88" s="564"/>
      <c r="CY88" s="564"/>
      <c r="CZ88" s="564"/>
      <c r="DA88" s="564"/>
      <c r="DB88" s="564"/>
      <c r="DC88" s="564"/>
      <c r="DD88" s="564"/>
      <c r="DE88" s="564"/>
      <c r="DF88" s="564"/>
      <c r="DG88" s="564"/>
      <c r="DH88" s="564"/>
      <c r="DI88" s="564"/>
      <c r="DJ88" s="564" t="s">
        <v>14589</v>
      </c>
      <c r="DK88" s="564"/>
      <c r="DL88" s="564"/>
      <c r="DM88" s="564"/>
      <c r="DN88" s="564"/>
      <c r="DO88" s="564"/>
      <c r="DP88" s="564"/>
      <c r="DQ88" s="564"/>
      <c r="DR88" s="564"/>
      <c r="DS88" s="564"/>
      <c r="DT88" s="564"/>
      <c r="DU88" s="564"/>
      <c r="DV88" s="564"/>
      <c r="DW88" s="564"/>
    </row>
    <row r="89" spans="1:127" ht="15" x14ac:dyDescent="0.25">
      <c r="A89" s="565"/>
      <c r="B89" s="463"/>
      <c r="C89" s="30" t="str">
        <f t="shared" ref="C89:I89" ca="1" si="20">IF(OFFSET(S89,0,Lang_Order*Lang__R2)="","",OFFSET(S89,0,Lang_Order*Lang__R2))</f>
        <v>H1 2021</v>
      </c>
      <c r="D89" s="30" t="str">
        <f t="shared" ca="1" si="20"/>
        <v>H2 2021</v>
      </c>
      <c r="E89" s="30" t="str">
        <f t="shared" ca="1" si="20"/>
        <v>H1 2022</v>
      </c>
      <c r="F89" s="30" t="str">
        <f t="shared" ca="1" si="20"/>
        <v>H2 2022</v>
      </c>
      <c r="G89" s="30" t="str">
        <f t="shared" ca="1" si="20"/>
        <v>H1 2023</v>
      </c>
      <c r="H89" s="30" t="str">
        <f t="shared" ca="1" si="20"/>
        <v>H2 2023</v>
      </c>
      <c r="I89" s="30" t="str">
        <f t="shared" ca="1" si="20"/>
        <v>Total</v>
      </c>
      <c r="J89" s="620"/>
      <c r="K89" s="532"/>
      <c r="L89" s="532"/>
      <c r="M89" s="463"/>
      <c r="S89" s="564" t="s">
        <v>1597</v>
      </c>
      <c r="T89" s="564" t="s">
        <v>1598</v>
      </c>
      <c r="U89" s="564" t="s">
        <v>1599</v>
      </c>
      <c r="V89" s="564" t="s">
        <v>1600</v>
      </c>
      <c r="W89" s="564" t="s">
        <v>1602</v>
      </c>
      <c r="X89" s="564" t="s">
        <v>1601</v>
      </c>
      <c r="Y89" s="564" t="s">
        <v>1605</v>
      </c>
      <c r="AI89" s="564" t="s">
        <v>4663</v>
      </c>
      <c r="AJ89" s="564" t="s">
        <v>4664</v>
      </c>
      <c r="AK89" s="564" t="s">
        <v>4665</v>
      </c>
      <c r="AL89" s="564" t="s">
        <v>4666</v>
      </c>
      <c r="AM89" s="564" t="s">
        <v>4667</v>
      </c>
      <c r="AN89" s="564" t="s">
        <v>4668</v>
      </c>
      <c r="AO89" s="564" t="s">
        <v>1605</v>
      </c>
      <c r="AY89" s="564" t="s">
        <v>4670</v>
      </c>
      <c r="AZ89" s="564" t="s">
        <v>4671</v>
      </c>
      <c r="BA89" s="564" t="s">
        <v>4672</v>
      </c>
      <c r="BB89" s="564" t="s">
        <v>4673</v>
      </c>
      <c r="BC89" s="564" t="s">
        <v>4674</v>
      </c>
      <c r="BD89" s="564" t="s">
        <v>4675</v>
      </c>
      <c r="BE89" s="564" t="s">
        <v>4676</v>
      </c>
      <c r="BO89" s="564" t="s">
        <v>1597</v>
      </c>
      <c r="BP89" s="564" t="s">
        <v>1598</v>
      </c>
      <c r="BQ89" s="564" t="s">
        <v>1599</v>
      </c>
      <c r="BR89" s="564" t="s">
        <v>1600</v>
      </c>
      <c r="BS89" s="564" t="s">
        <v>1602</v>
      </c>
      <c r="BT89" s="564" t="s">
        <v>1601</v>
      </c>
      <c r="BU89" s="564" t="s">
        <v>1605</v>
      </c>
      <c r="CE89" s="564" t="s">
        <v>4663</v>
      </c>
      <c r="CF89" s="564" t="s">
        <v>4664</v>
      </c>
      <c r="CG89" s="564" t="s">
        <v>4665</v>
      </c>
      <c r="CH89" s="564" t="s">
        <v>4666</v>
      </c>
      <c r="CI89" s="564" t="s">
        <v>4667</v>
      </c>
      <c r="CJ89" s="564" t="s">
        <v>4668</v>
      </c>
      <c r="CK89" s="564" t="s">
        <v>1605</v>
      </c>
      <c r="CU89" s="564" t="s">
        <v>4680</v>
      </c>
      <c r="CV89" s="564" t="s">
        <v>4681</v>
      </c>
      <c r="CW89" s="564" t="s">
        <v>4682</v>
      </c>
      <c r="CX89" s="564" t="s">
        <v>4683</v>
      </c>
      <c r="CY89" s="564" t="s">
        <v>4684</v>
      </c>
      <c r="CZ89" s="564" t="s">
        <v>4685</v>
      </c>
      <c r="DA89" s="564" t="s">
        <v>4686</v>
      </c>
      <c r="DK89" s="564" t="s">
        <v>4688</v>
      </c>
      <c r="DL89" s="564" t="s">
        <v>4689</v>
      </c>
      <c r="DM89" s="564" t="s">
        <v>4690</v>
      </c>
      <c r="DN89" s="564" t="s">
        <v>4691</v>
      </c>
      <c r="DO89" s="564" t="s">
        <v>4692</v>
      </c>
      <c r="DP89" s="564" t="s">
        <v>4693</v>
      </c>
      <c r="DQ89" s="564" t="s">
        <v>4694</v>
      </c>
    </row>
    <row r="90" spans="1:127" s="542" customFormat="1" x14ac:dyDescent="0.2">
      <c r="B90" s="565" t="str">
        <f ca="1">IF(OFFSET(R90,0,Lang_Order*Lang__R2)="","",OFFSET(R90,0,Lang_Order*Lang__R2))</f>
        <v>Demand-based vaccine dose cost estimate - based on final price, target population, vaccine wastage, and expected uptake - FYI only</v>
      </c>
      <c r="C90" s="85"/>
      <c r="J90" s="620"/>
      <c r="O90" s="567"/>
      <c r="P90" s="564"/>
      <c r="Q90" s="564"/>
      <c r="R90" s="564" t="s">
        <v>4410</v>
      </c>
      <c r="S90" s="564"/>
      <c r="T90" s="564"/>
      <c r="U90" s="564"/>
      <c r="V90" s="564"/>
      <c r="W90" s="564"/>
      <c r="X90" s="564"/>
      <c r="Y90" s="564"/>
      <c r="Z90" s="564"/>
      <c r="AA90" s="564"/>
      <c r="AB90" s="564"/>
      <c r="AC90" s="564"/>
      <c r="AD90" s="564"/>
      <c r="AE90" s="564"/>
      <c r="AF90" s="564"/>
      <c r="AG90" s="564"/>
      <c r="AH90" s="564" t="s">
        <v>4915</v>
      </c>
      <c r="AI90" s="564"/>
      <c r="AJ90" s="564"/>
      <c r="AK90" s="564"/>
      <c r="AL90" s="564"/>
      <c r="AM90" s="564"/>
      <c r="AN90" s="564"/>
      <c r="AO90" s="564"/>
      <c r="AP90" s="564"/>
      <c r="AQ90" s="564"/>
      <c r="AR90" s="564"/>
      <c r="AS90" s="564"/>
      <c r="AT90" s="564"/>
      <c r="AU90" s="564"/>
      <c r="AV90" s="564"/>
      <c r="AW90" s="564"/>
      <c r="AX90" s="564" t="s">
        <v>4916</v>
      </c>
      <c r="AY90" s="564"/>
      <c r="AZ90" s="564"/>
      <c r="BA90" s="564"/>
      <c r="BB90" s="564"/>
      <c r="BC90" s="564"/>
      <c r="BD90" s="564"/>
      <c r="BE90" s="564"/>
      <c r="BF90" s="564"/>
      <c r="BG90" s="564"/>
      <c r="BH90" s="564"/>
      <c r="BI90" s="564"/>
      <c r="BJ90" s="564"/>
      <c r="BK90" s="564"/>
      <c r="BL90" s="564"/>
      <c r="BM90" s="564"/>
      <c r="BN90" s="564" t="s">
        <v>4917</v>
      </c>
      <c r="BO90" s="564"/>
      <c r="BP90" s="564"/>
      <c r="BQ90" s="564"/>
      <c r="BR90" s="564"/>
      <c r="BS90" s="564"/>
      <c r="BT90" s="564"/>
      <c r="BU90" s="564"/>
      <c r="BV90" s="564"/>
      <c r="BW90" s="564"/>
      <c r="BX90" s="564"/>
      <c r="BY90" s="564"/>
      <c r="BZ90" s="564"/>
      <c r="CA90" s="564"/>
      <c r="CB90" s="564"/>
      <c r="CC90" s="564"/>
      <c r="CD90" s="564" t="s">
        <v>4918</v>
      </c>
      <c r="CE90" s="564"/>
      <c r="CF90" s="564"/>
      <c r="CG90" s="564"/>
      <c r="CH90" s="564"/>
      <c r="CI90" s="564"/>
      <c r="CJ90" s="564"/>
      <c r="CK90" s="564"/>
      <c r="CL90" s="564"/>
      <c r="CM90" s="564"/>
      <c r="CN90" s="564"/>
      <c r="CO90" s="564"/>
      <c r="CP90" s="564"/>
      <c r="CQ90" s="564"/>
      <c r="CR90" s="564"/>
      <c r="CS90" s="564"/>
      <c r="CT90" s="564" t="s">
        <v>4919</v>
      </c>
      <c r="CU90" s="564"/>
      <c r="CV90" s="564"/>
      <c r="CW90" s="564"/>
      <c r="CX90" s="564"/>
      <c r="CY90" s="564"/>
      <c r="CZ90" s="564"/>
      <c r="DA90" s="564"/>
      <c r="DB90" s="564"/>
      <c r="DC90" s="564"/>
      <c r="DD90" s="564"/>
      <c r="DE90" s="564"/>
      <c r="DF90" s="564"/>
      <c r="DG90" s="564"/>
      <c r="DH90" s="564"/>
      <c r="DI90" s="564"/>
      <c r="DJ90" s="564" t="s">
        <v>4920</v>
      </c>
      <c r="DK90" s="564"/>
      <c r="DL90" s="564"/>
      <c r="DM90" s="564"/>
      <c r="DN90" s="564"/>
      <c r="DO90" s="564"/>
      <c r="DP90" s="564"/>
      <c r="DQ90" s="564"/>
      <c r="DR90" s="564"/>
      <c r="DS90" s="564"/>
      <c r="DT90" s="564"/>
      <c r="DU90" s="564"/>
      <c r="DV90" s="564"/>
      <c r="DW90" s="564"/>
    </row>
    <row r="91" spans="1:127" x14ac:dyDescent="0.2">
      <c r="A91" s="463"/>
      <c r="B91" s="72" t="str">
        <f>CONCATENATE("",DM1_Vaccine)</f>
        <v/>
      </c>
      <c r="C91" s="199" t="e">
        <f>'B2. Vaccines and Supplies'!Q10</f>
        <v>#N/A</v>
      </c>
      <c r="D91" s="199" t="e">
        <f>'B2. Vaccines and Supplies'!R10</f>
        <v>#N/A</v>
      </c>
      <c r="E91" s="199" t="e">
        <f>'B2. Vaccines and Supplies'!S10</f>
        <v>#N/A</v>
      </c>
      <c r="F91" s="199" t="e">
        <f>'B2. Vaccines and Supplies'!T10</f>
        <v>#N/A</v>
      </c>
      <c r="G91" s="199" t="e">
        <f>'B2. Vaccines and Supplies'!U10</f>
        <v>#N/A</v>
      </c>
      <c r="H91" s="199" t="e">
        <f>'B2. Vaccines and Supplies'!V10</f>
        <v>#N/A</v>
      </c>
      <c r="I91" s="199" t="e">
        <f>SUM(C91:H91)</f>
        <v>#N/A</v>
      </c>
      <c r="J91" s="620"/>
      <c r="K91" s="532"/>
      <c r="L91" s="532"/>
    </row>
    <row r="92" spans="1:127" x14ac:dyDescent="0.2">
      <c r="A92" s="463"/>
      <c r="B92" s="72" t="str">
        <f>CONCATENATE("",DM2_Vaccine)</f>
        <v/>
      </c>
      <c r="C92" s="199" t="e">
        <f>'B2. Vaccines and Supplies'!Q31</f>
        <v>#N/A</v>
      </c>
      <c r="D92" s="199" t="e">
        <f>'B2. Vaccines and Supplies'!R31</f>
        <v>#N/A</v>
      </c>
      <c r="E92" s="199" t="e">
        <f>'B2. Vaccines and Supplies'!S31</f>
        <v>#N/A</v>
      </c>
      <c r="F92" s="199" t="e">
        <f>'B2. Vaccines and Supplies'!T31</f>
        <v>#N/A</v>
      </c>
      <c r="G92" s="199" t="e">
        <f>'B2. Vaccines and Supplies'!U31</f>
        <v>#N/A</v>
      </c>
      <c r="H92" s="199" t="e">
        <f>'B2. Vaccines and Supplies'!V31</f>
        <v>#N/A</v>
      </c>
      <c r="I92" s="199" t="e">
        <f>SUM(C92:H92)</f>
        <v>#N/A</v>
      </c>
      <c r="J92" s="620"/>
      <c r="K92" s="532"/>
      <c r="L92" s="532"/>
    </row>
    <row r="93" spans="1:127" x14ac:dyDescent="0.2">
      <c r="A93" s="463"/>
      <c r="B93" s="72" t="str">
        <f>CONCATENATE("",DM3_Vaccine)</f>
        <v/>
      </c>
      <c r="C93" s="199" t="e">
        <f>'B2. Vaccines and Supplies'!Q52</f>
        <v>#N/A</v>
      </c>
      <c r="D93" s="199" t="e">
        <f>'B2. Vaccines and Supplies'!R52</f>
        <v>#N/A</v>
      </c>
      <c r="E93" s="199" t="e">
        <f>'B2. Vaccines and Supplies'!S52</f>
        <v>#N/A</v>
      </c>
      <c r="F93" s="199" t="e">
        <f>'B2. Vaccines and Supplies'!T52</f>
        <v>#N/A</v>
      </c>
      <c r="G93" s="199" t="e">
        <f>'B2. Vaccines and Supplies'!U52</f>
        <v>#N/A</v>
      </c>
      <c r="H93" s="199" t="e">
        <f>'B2. Vaccines and Supplies'!V52</f>
        <v>#N/A</v>
      </c>
      <c r="I93" s="199" t="e">
        <f>SUM(C93:H93)</f>
        <v>#N/A</v>
      </c>
      <c r="J93" s="620"/>
      <c r="K93" s="532"/>
      <c r="L93" s="532"/>
    </row>
    <row r="94" spans="1:127" x14ac:dyDescent="0.2">
      <c r="A94" s="463"/>
      <c r="B94" s="72" t="str">
        <f>CONCATENATE("",DM4_Vaccine)</f>
        <v/>
      </c>
      <c r="C94" s="199" t="e">
        <f>'B2. Vaccines and Supplies'!Q73</f>
        <v>#N/A</v>
      </c>
      <c r="D94" s="199" t="e">
        <f>'B2. Vaccines and Supplies'!R73</f>
        <v>#N/A</v>
      </c>
      <c r="E94" s="199" t="e">
        <f>'B2. Vaccines and Supplies'!S73</f>
        <v>#N/A</v>
      </c>
      <c r="F94" s="199" t="e">
        <f>'B2. Vaccines and Supplies'!T73</f>
        <v>#N/A</v>
      </c>
      <c r="G94" s="199" t="e">
        <f>'B2. Vaccines and Supplies'!U73</f>
        <v>#N/A</v>
      </c>
      <c r="H94" s="199" t="e">
        <f>'B2. Vaccines and Supplies'!V73</f>
        <v>#N/A</v>
      </c>
      <c r="I94" s="199" t="e">
        <f>SUM(C94:H94)</f>
        <v>#N/A</v>
      </c>
      <c r="J94" s="620"/>
      <c r="K94" s="532"/>
      <c r="L94" s="532"/>
    </row>
    <row r="95" spans="1:127" s="194" customFormat="1" ht="13.5" thickBot="1" x14ac:dyDescent="0.25">
      <c r="A95" s="463"/>
      <c r="B95" s="72" t="str">
        <f ca="1">IF(OFFSET(R95,0,Lang_Order*Lang__R2)="","",OFFSET(R95,0,Lang_Order*Lang__R2))</f>
        <v>Total</v>
      </c>
      <c r="C95" s="118" t="e">
        <f t="shared" ref="C95:H95" si="21">SUM(C91:C94)</f>
        <v>#N/A</v>
      </c>
      <c r="D95" s="118" t="e">
        <f t="shared" si="21"/>
        <v>#N/A</v>
      </c>
      <c r="E95" s="118" t="e">
        <f t="shared" si="21"/>
        <v>#N/A</v>
      </c>
      <c r="F95" s="118" t="e">
        <f t="shared" si="21"/>
        <v>#N/A</v>
      </c>
      <c r="G95" s="118" t="e">
        <f t="shared" si="21"/>
        <v>#N/A</v>
      </c>
      <c r="H95" s="118" t="e">
        <f t="shared" si="21"/>
        <v>#N/A</v>
      </c>
      <c r="I95" s="282" t="e">
        <f>SUM(C95:H95)</f>
        <v>#N/A</v>
      </c>
      <c r="J95" s="620"/>
      <c r="K95" s="532"/>
      <c r="L95" s="532"/>
      <c r="M95" s="459"/>
      <c r="O95" s="567"/>
      <c r="P95" s="564"/>
      <c r="Q95" s="564"/>
      <c r="R95" s="564" t="s">
        <v>1605</v>
      </c>
      <c r="S95" s="564"/>
      <c r="T95" s="564"/>
      <c r="U95" s="564"/>
      <c r="V95" s="564"/>
      <c r="W95" s="564"/>
      <c r="X95" s="564"/>
      <c r="Y95" s="564"/>
      <c r="Z95" s="564"/>
      <c r="AA95" s="564"/>
      <c r="AB95" s="564"/>
      <c r="AC95" s="564"/>
      <c r="AD95" s="564"/>
      <c r="AE95" s="564"/>
      <c r="AF95" s="564"/>
      <c r="AG95" s="564"/>
      <c r="AH95" s="564" t="s">
        <v>1605</v>
      </c>
      <c r="AI95" s="564"/>
      <c r="AJ95" s="564"/>
      <c r="AK95" s="564"/>
      <c r="AL95" s="564"/>
      <c r="AM95" s="564"/>
      <c r="AN95" s="564"/>
      <c r="AO95" s="564"/>
      <c r="AP95" s="564"/>
      <c r="AQ95" s="564"/>
      <c r="AR95" s="564"/>
      <c r="AS95" s="564"/>
      <c r="AT95" s="564"/>
      <c r="AU95" s="564"/>
      <c r="AV95" s="564"/>
      <c r="AW95" s="564"/>
      <c r="AX95" s="564" t="s">
        <v>4676</v>
      </c>
      <c r="AY95" s="564"/>
      <c r="AZ95" s="564"/>
      <c r="BA95" s="564"/>
      <c r="BB95" s="564"/>
      <c r="BC95" s="564"/>
      <c r="BD95" s="564"/>
      <c r="BE95" s="564"/>
      <c r="BF95" s="564"/>
      <c r="BG95" s="564"/>
      <c r="BH95" s="564"/>
      <c r="BI95" s="564"/>
      <c r="BJ95" s="564"/>
      <c r="BK95" s="564"/>
      <c r="BL95" s="564"/>
      <c r="BM95" s="564"/>
      <c r="BN95" s="564" t="s">
        <v>1605</v>
      </c>
      <c r="BO95" s="564"/>
      <c r="BP95" s="564"/>
      <c r="BQ95" s="564"/>
      <c r="BR95" s="564"/>
      <c r="BS95" s="564"/>
      <c r="BT95" s="564"/>
      <c r="BU95" s="564"/>
      <c r="BV95" s="564"/>
      <c r="BW95" s="564"/>
      <c r="BX95" s="564"/>
      <c r="BY95" s="564"/>
      <c r="BZ95" s="564"/>
      <c r="CA95" s="564"/>
      <c r="CB95" s="564"/>
      <c r="CC95" s="564"/>
      <c r="CD95" s="564" t="s">
        <v>1605</v>
      </c>
      <c r="CE95" s="564"/>
      <c r="CF95" s="564"/>
      <c r="CG95" s="564"/>
      <c r="CH95" s="564"/>
      <c r="CI95" s="564"/>
      <c r="CJ95" s="564"/>
      <c r="CK95" s="564"/>
      <c r="CL95" s="564"/>
      <c r="CM95" s="564"/>
      <c r="CN95" s="564"/>
      <c r="CO95" s="564"/>
      <c r="CP95" s="564"/>
      <c r="CQ95" s="564"/>
      <c r="CR95" s="564"/>
      <c r="CS95" s="564"/>
      <c r="CT95" s="564" t="s">
        <v>4686</v>
      </c>
      <c r="CU95" s="564"/>
      <c r="CV95" s="564"/>
      <c r="CW95" s="564"/>
      <c r="CX95" s="564"/>
      <c r="CY95" s="564"/>
      <c r="CZ95" s="564"/>
      <c r="DA95" s="564"/>
      <c r="DB95" s="564"/>
      <c r="DC95" s="564"/>
      <c r="DD95" s="564"/>
      <c r="DE95" s="564"/>
      <c r="DF95" s="564"/>
      <c r="DG95" s="564"/>
      <c r="DH95" s="564"/>
      <c r="DI95" s="564"/>
      <c r="DJ95" s="564" t="s">
        <v>4694</v>
      </c>
      <c r="DK95" s="564"/>
      <c r="DL95" s="564"/>
      <c r="DM95" s="564"/>
      <c r="DN95" s="564"/>
      <c r="DO95" s="564"/>
      <c r="DP95" s="564"/>
      <c r="DQ95" s="564"/>
      <c r="DR95" s="564"/>
      <c r="DS95" s="564"/>
      <c r="DT95" s="564"/>
      <c r="DU95" s="564"/>
      <c r="DV95" s="564"/>
      <c r="DW95" s="564"/>
    </row>
    <row r="96" spans="1:127" s="272" customFormat="1" ht="13.5" thickTop="1" x14ac:dyDescent="0.2">
      <c r="A96" s="463"/>
      <c r="B96" s="383"/>
      <c r="J96" s="620"/>
      <c r="K96" s="532"/>
      <c r="L96" s="532"/>
      <c r="M96" s="459"/>
      <c r="O96" s="567"/>
      <c r="P96" s="564"/>
      <c r="Q96" s="564"/>
      <c r="R96" s="564"/>
      <c r="S96" s="564"/>
      <c r="T96" s="564"/>
      <c r="U96" s="564"/>
      <c r="V96" s="564"/>
      <c r="W96" s="564"/>
      <c r="X96" s="564"/>
      <c r="Y96" s="564"/>
      <c r="Z96" s="564"/>
      <c r="AA96" s="564"/>
      <c r="AB96" s="564"/>
      <c r="AC96" s="564"/>
      <c r="AD96" s="564"/>
      <c r="AE96" s="564"/>
      <c r="AF96" s="564"/>
      <c r="AG96" s="564"/>
      <c r="AH96" s="564"/>
      <c r="AI96" s="564"/>
      <c r="AJ96" s="564"/>
      <c r="AK96" s="564"/>
      <c r="AL96" s="564"/>
      <c r="AM96" s="564"/>
      <c r="AN96" s="564"/>
      <c r="AO96" s="564"/>
      <c r="AP96" s="564"/>
      <c r="AQ96" s="564"/>
      <c r="AR96" s="564"/>
      <c r="AS96" s="564"/>
      <c r="AT96" s="564"/>
      <c r="AU96" s="564"/>
      <c r="AV96" s="564"/>
      <c r="AW96" s="564"/>
      <c r="AX96" s="564"/>
      <c r="AY96" s="564"/>
      <c r="AZ96" s="564"/>
      <c r="BA96" s="564"/>
      <c r="BB96" s="564"/>
      <c r="BC96" s="564"/>
      <c r="BD96" s="564"/>
      <c r="BE96" s="564"/>
      <c r="BF96" s="564"/>
      <c r="BG96" s="564"/>
      <c r="BH96" s="564"/>
      <c r="BI96" s="564"/>
      <c r="BJ96" s="564"/>
      <c r="BK96" s="564"/>
      <c r="BL96" s="564"/>
      <c r="BM96" s="564"/>
      <c r="BN96" s="564"/>
      <c r="BO96" s="564"/>
      <c r="BP96" s="564"/>
      <c r="BQ96" s="564"/>
      <c r="BR96" s="564"/>
      <c r="BS96" s="564"/>
      <c r="BT96" s="564"/>
      <c r="BU96" s="564"/>
      <c r="BV96" s="564"/>
      <c r="BW96" s="564"/>
      <c r="BX96" s="564"/>
      <c r="BY96" s="564"/>
      <c r="BZ96" s="564"/>
      <c r="CA96" s="564"/>
      <c r="CB96" s="564"/>
      <c r="CC96" s="564"/>
      <c r="CD96" s="564"/>
      <c r="CE96" s="564"/>
      <c r="CF96" s="564"/>
      <c r="CG96" s="564"/>
      <c r="CH96" s="564"/>
      <c r="CI96" s="564"/>
      <c r="CJ96" s="564"/>
      <c r="CK96" s="564"/>
      <c r="CL96" s="564"/>
      <c r="CM96" s="564"/>
      <c r="CN96" s="564"/>
      <c r="CO96" s="564"/>
      <c r="CP96" s="564"/>
      <c r="CQ96" s="564"/>
      <c r="CR96" s="564"/>
      <c r="CS96" s="564"/>
      <c r="CT96" s="564"/>
      <c r="CU96" s="564"/>
      <c r="CV96" s="564"/>
      <c r="CW96" s="564"/>
      <c r="CX96" s="564"/>
      <c r="CY96" s="564"/>
      <c r="CZ96" s="564"/>
      <c r="DA96" s="564"/>
      <c r="DB96" s="564"/>
      <c r="DC96" s="564"/>
      <c r="DD96" s="564"/>
      <c r="DE96" s="564"/>
      <c r="DF96" s="564"/>
      <c r="DG96" s="564"/>
      <c r="DH96" s="564"/>
      <c r="DI96" s="564"/>
      <c r="DJ96" s="564"/>
      <c r="DK96" s="564"/>
      <c r="DL96" s="564"/>
      <c r="DM96" s="564"/>
      <c r="DN96" s="564"/>
      <c r="DO96" s="564"/>
      <c r="DP96" s="564"/>
      <c r="DQ96" s="564"/>
      <c r="DR96" s="564"/>
      <c r="DS96" s="564"/>
      <c r="DT96" s="564"/>
      <c r="DU96" s="564"/>
      <c r="DV96" s="564"/>
      <c r="DW96" s="564"/>
    </row>
    <row r="97" spans="1:127" s="463" customFormat="1" ht="25.5" x14ac:dyDescent="0.2">
      <c r="B97" s="637" t="str">
        <f ca="1">IF(OFFSET(R97,0,Lang_Order*Lang__R2)="","",OFFSET(R97,0,Lang_Order*Lang__R2))</f>
        <v>IMPORTANT: For adequate costing estimates, ensure vaccine supply and demand is balanced [B1.2] - i.e., all half-year periods show "OK" in Green</v>
      </c>
      <c r="C97" s="485" t="e">
        <f>'B1. Target Population'!D87</f>
        <v>#N/A</v>
      </c>
      <c r="D97" s="485" t="e">
        <f>'B1. Target Population'!E87</f>
        <v>#N/A</v>
      </c>
      <c r="E97" s="485" t="e">
        <f>'B1. Target Population'!F87</f>
        <v>#N/A</v>
      </c>
      <c r="F97" s="485" t="e">
        <f>'B1. Target Population'!G87</f>
        <v>#N/A</v>
      </c>
      <c r="G97" s="485" t="e">
        <f>'B1. Target Population'!H87</f>
        <v>#N/A</v>
      </c>
      <c r="H97" s="485" t="e">
        <f>'B1. Target Population'!I87</f>
        <v>#N/A</v>
      </c>
      <c r="J97" s="620"/>
      <c r="K97" s="532"/>
      <c r="L97" s="532"/>
      <c r="O97" s="567"/>
      <c r="P97" s="564"/>
      <c r="Q97" s="564"/>
      <c r="R97" s="564" t="s">
        <v>4393</v>
      </c>
      <c r="S97" s="564"/>
      <c r="T97" s="564"/>
      <c r="U97" s="564"/>
      <c r="V97" s="564"/>
      <c r="W97" s="564"/>
      <c r="X97" s="564"/>
      <c r="Y97" s="564"/>
      <c r="Z97" s="564"/>
      <c r="AA97" s="564"/>
      <c r="AB97" s="564"/>
      <c r="AC97" s="564"/>
      <c r="AD97" s="564"/>
      <c r="AE97" s="564"/>
      <c r="AF97" s="564"/>
      <c r="AG97" s="564"/>
      <c r="AH97" s="564" t="s">
        <v>4921</v>
      </c>
      <c r="AI97" s="564"/>
      <c r="AJ97" s="564"/>
      <c r="AK97" s="564"/>
      <c r="AL97" s="564"/>
      <c r="AM97" s="564"/>
      <c r="AN97" s="564"/>
      <c r="AO97" s="564"/>
      <c r="AP97" s="564"/>
      <c r="AQ97" s="564"/>
      <c r="AR97" s="564"/>
      <c r="AS97" s="564"/>
      <c r="AT97" s="564"/>
      <c r="AU97" s="564"/>
      <c r="AV97" s="564"/>
      <c r="AW97" s="564"/>
      <c r="AX97" s="564" t="s">
        <v>4922</v>
      </c>
      <c r="AY97" s="564"/>
      <c r="AZ97" s="564"/>
      <c r="BA97" s="564"/>
      <c r="BB97" s="564"/>
      <c r="BC97" s="564"/>
      <c r="BD97" s="564"/>
      <c r="BE97" s="564"/>
      <c r="BF97" s="564"/>
      <c r="BG97" s="564"/>
      <c r="BH97" s="564"/>
      <c r="BI97" s="564"/>
      <c r="BJ97" s="564"/>
      <c r="BK97" s="564"/>
      <c r="BL97" s="564"/>
      <c r="BM97" s="564"/>
      <c r="BN97" s="564" t="s">
        <v>4923</v>
      </c>
      <c r="BO97" s="564"/>
      <c r="BP97" s="564"/>
      <c r="BQ97" s="564"/>
      <c r="BR97" s="564"/>
      <c r="BS97" s="564"/>
      <c r="BT97" s="564"/>
      <c r="BU97" s="564"/>
      <c r="BV97" s="564"/>
      <c r="BW97" s="564"/>
      <c r="BX97" s="564"/>
      <c r="BY97" s="564"/>
      <c r="BZ97" s="564"/>
      <c r="CA97" s="564"/>
      <c r="CB97" s="564"/>
      <c r="CC97" s="564"/>
      <c r="CD97" s="564" t="s">
        <v>4924</v>
      </c>
      <c r="CE97" s="564"/>
      <c r="CF97" s="564"/>
      <c r="CG97" s="564"/>
      <c r="CH97" s="564"/>
      <c r="CI97" s="564"/>
      <c r="CJ97" s="564"/>
      <c r="CK97" s="564"/>
      <c r="CL97" s="564"/>
      <c r="CM97" s="564"/>
      <c r="CN97" s="564"/>
      <c r="CO97" s="564"/>
      <c r="CP97" s="564"/>
      <c r="CQ97" s="564"/>
      <c r="CR97" s="564"/>
      <c r="CS97" s="564"/>
      <c r="CT97" s="564" t="s">
        <v>4925</v>
      </c>
      <c r="CU97" s="564"/>
      <c r="CV97" s="564"/>
      <c r="CW97" s="564"/>
      <c r="CX97" s="564"/>
      <c r="CY97" s="564"/>
      <c r="CZ97" s="564"/>
      <c r="DA97" s="564"/>
      <c r="DB97" s="564"/>
      <c r="DC97" s="564"/>
      <c r="DD97" s="564"/>
      <c r="DE97" s="564"/>
      <c r="DF97" s="564"/>
      <c r="DG97" s="564"/>
      <c r="DH97" s="564"/>
      <c r="DI97" s="564"/>
      <c r="DJ97" s="564" t="s">
        <v>4926</v>
      </c>
      <c r="DK97" s="564"/>
      <c r="DL97" s="564"/>
      <c r="DM97" s="564"/>
      <c r="DN97" s="564"/>
      <c r="DO97" s="564"/>
      <c r="DP97" s="564"/>
      <c r="DQ97" s="564"/>
      <c r="DR97" s="564"/>
      <c r="DS97" s="564"/>
      <c r="DT97" s="564"/>
      <c r="DU97" s="564"/>
      <c r="DV97" s="564"/>
      <c r="DW97" s="564"/>
    </row>
    <row r="98" spans="1:127" s="542" customFormat="1" x14ac:dyDescent="0.2">
      <c r="A98" s="543"/>
      <c r="J98" s="620"/>
      <c r="O98" s="567"/>
      <c r="P98" s="564"/>
      <c r="Q98" s="564"/>
      <c r="R98" s="564"/>
      <c r="S98" s="564" t="s">
        <v>4411</v>
      </c>
      <c r="T98" s="564"/>
      <c r="U98" s="564"/>
      <c r="V98" s="564"/>
      <c r="W98" s="564"/>
      <c r="X98" s="564"/>
      <c r="Y98" s="564"/>
      <c r="Z98" s="564"/>
      <c r="AA98" s="564"/>
      <c r="AB98" s="564"/>
      <c r="AC98" s="564"/>
      <c r="AD98" s="564"/>
      <c r="AE98" s="564"/>
      <c r="AF98" s="564"/>
      <c r="AG98" s="564"/>
      <c r="AH98" s="564"/>
      <c r="AI98" s="564" t="s">
        <v>4927</v>
      </c>
      <c r="AJ98" s="564"/>
      <c r="AK98" s="564"/>
      <c r="AL98" s="564"/>
      <c r="AM98" s="564"/>
      <c r="AN98" s="564"/>
      <c r="AO98" s="564"/>
      <c r="AP98" s="564"/>
      <c r="AQ98" s="564"/>
      <c r="AR98" s="564"/>
      <c r="AS98" s="564"/>
      <c r="AT98" s="564"/>
      <c r="AU98" s="564"/>
      <c r="AV98" s="564"/>
      <c r="AW98" s="564"/>
      <c r="AX98" s="564"/>
      <c r="AY98" s="564" t="s">
        <v>4928</v>
      </c>
      <c r="AZ98" s="564"/>
      <c r="BA98" s="564"/>
      <c r="BB98" s="564"/>
      <c r="BC98" s="564"/>
      <c r="BD98" s="564"/>
      <c r="BE98" s="564"/>
      <c r="BF98" s="564"/>
      <c r="BG98" s="564"/>
      <c r="BH98" s="564"/>
      <c r="BI98" s="564"/>
      <c r="BJ98" s="564"/>
      <c r="BK98" s="564"/>
      <c r="BL98" s="564"/>
      <c r="BM98" s="564"/>
      <c r="BN98" s="564"/>
      <c r="BO98" s="564" t="s">
        <v>4929</v>
      </c>
      <c r="BP98" s="564"/>
      <c r="BQ98" s="564"/>
      <c r="BR98" s="564"/>
      <c r="BS98" s="564"/>
      <c r="BT98" s="564"/>
      <c r="BU98" s="564"/>
      <c r="BV98" s="564"/>
      <c r="BW98" s="564"/>
      <c r="BX98" s="564"/>
      <c r="BY98" s="564"/>
      <c r="BZ98" s="564"/>
      <c r="CA98" s="564"/>
      <c r="CB98" s="564"/>
      <c r="CC98" s="564"/>
      <c r="CD98" s="564"/>
      <c r="CE98" s="564" t="s">
        <v>4930</v>
      </c>
      <c r="CF98" s="564"/>
      <c r="CG98" s="564"/>
      <c r="CH98" s="564"/>
      <c r="CI98" s="564"/>
      <c r="CJ98" s="564"/>
      <c r="CK98" s="564"/>
      <c r="CL98" s="564"/>
      <c r="CM98" s="564"/>
      <c r="CN98" s="564"/>
      <c r="CO98" s="564"/>
      <c r="CP98" s="564"/>
      <c r="CQ98" s="564"/>
      <c r="CR98" s="564"/>
      <c r="CS98" s="564"/>
      <c r="CT98" s="564"/>
      <c r="CU98" s="564" t="s">
        <v>4931</v>
      </c>
      <c r="CV98" s="564"/>
      <c r="CW98" s="564"/>
      <c r="CX98" s="564"/>
      <c r="CY98" s="564"/>
      <c r="CZ98" s="564"/>
      <c r="DA98" s="564"/>
      <c r="DB98" s="564"/>
      <c r="DC98" s="564"/>
      <c r="DD98" s="564"/>
      <c r="DE98" s="564"/>
      <c r="DF98" s="564"/>
      <c r="DG98" s="564"/>
      <c r="DH98" s="564"/>
      <c r="DI98" s="564"/>
      <c r="DJ98" s="564"/>
      <c r="DK98" s="564" t="s">
        <v>4932</v>
      </c>
      <c r="DL98" s="564"/>
      <c r="DM98" s="564"/>
      <c r="DN98" s="564"/>
      <c r="DO98" s="564"/>
      <c r="DP98" s="564"/>
      <c r="DQ98" s="564"/>
      <c r="DR98" s="564"/>
      <c r="DS98" s="564"/>
      <c r="DT98" s="564"/>
      <c r="DU98" s="564"/>
      <c r="DV98" s="564"/>
      <c r="DW98" s="564"/>
    </row>
    <row r="99" spans="1:127" s="542" customFormat="1" x14ac:dyDescent="0.2">
      <c r="A99" s="565"/>
      <c r="B99" s="78" t="str">
        <f t="shared" ref="B99:B104" ca="1" si="22">IF(OFFSET(R99,0,Lang_Order*Lang__R2)="","",OFFSET(R99,0,Lang_Order*Lang__R2))</f>
        <v>IMPORTANT: These are fully loaded vaccine doses (i.e., vaccine-related devices, supplies, and shipping are included)</v>
      </c>
      <c r="J99" s="620"/>
      <c r="O99" s="567"/>
      <c r="P99" s="564"/>
      <c r="Q99" s="564"/>
      <c r="R99" s="564" t="s">
        <v>4602</v>
      </c>
      <c r="S99" s="564"/>
      <c r="T99" s="564"/>
      <c r="U99" s="564"/>
      <c r="V99" s="564"/>
      <c r="W99" s="564"/>
      <c r="X99" s="564"/>
      <c r="Y99" s="564"/>
      <c r="Z99" s="564"/>
      <c r="AA99" s="564"/>
      <c r="AB99" s="564"/>
      <c r="AC99" s="564"/>
      <c r="AD99" s="564"/>
      <c r="AE99" s="564"/>
      <c r="AF99" s="564"/>
      <c r="AG99" s="564"/>
      <c r="AH99" s="564" t="s">
        <v>13138</v>
      </c>
      <c r="AI99" s="564"/>
      <c r="AJ99" s="564"/>
      <c r="AK99" s="564"/>
      <c r="AL99" s="564"/>
      <c r="AM99" s="564"/>
      <c r="AN99" s="564"/>
      <c r="AO99" s="564"/>
      <c r="AP99" s="564"/>
      <c r="AQ99" s="564"/>
      <c r="AR99" s="564"/>
      <c r="AS99" s="564"/>
      <c r="AT99" s="564"/>
      <c r="AU99" s="564"/>
      <c r="AV99" s="564"/>
      <c r="AW99" s="564"/>
      <c r="AX99" s="564" t="s">
        <v>13139</v>
      </c>
      <c r="AY99" s="564"/>
      <c r="AZ99" s="564"/>
      <c r="BA99" s="564"/>
      <c r="BB99" s="564"/>
      <c r="BC99" s="564"/>
      <c r="BD99" s="564"/>
      <c r="BE99" s="564"/>
      <c r="BF99" s="564"/>
      <c r="BG99" s="564"/>
      <c r="BH99" s="564"/>
      <c r="BI99" s="564"/>
      <c r="BJ99" s="564"/>
      <c r="BK99" s="564"/>
      <c r="BL99" s="564"/>
      <c r="BM99" s="564"/>
      <c r="BN99" s="564" t="s">
        <v>13140</v>
      </c>
      <c r="BO99" s="564"/>
      <c r="BP99" s="564"/>
      <c r="BQ99" s="564"/>
      <c r="BR99" s="564"/>
      <c r="BS99" s="564"/>
      <c r="BT99" s="564"/>
      <c r="BU99" s="564"/>
      <c r="BV99" s="564"/>
      <c r="BW99" s="564"/>
      <c r="BX99" s="564"/>
      <c r="BY99" s="564"/>
      <c r="BZ99" s="564"/>
      <c r="CA99" s="564"/>
      <c r="CB99" s="564"/>
      <c r="CC99" s="564"/>
      <c r="CD99" s="564" t="s">
        <v>13141</v>
      </c>
      <c r="CE99" s="564"/>
      <c r="CF99" s="564"/>
      <c r="CG99" s="564"/>
      <c r="CH99" s="564"/>
      <c r="CI99" s="564"/>
      <c r="CJ99" s="564"/>
      <c r="CK99" s="564"/>
      <c r="CL99" s="564"/>
      <c r="CM99" s="564"/>
      <c r="CN99" s="564"/>
      <c r="CO99" s="564"/>
      <c r="CP99" s="564"/>
      <c r="CQ99" s="564"/>
      <c r="CR99" s="564"/>
      <c r="CS99" s="564"/>
      <c r="CT99" s="564" t="s">
        <v>13142</v>
      </c>
      <c r="CU99" s="564"/>
      <c r="CV99" s="564"/>
      <c r="CW99" s="564"/>
      <c r="CX99" s="564"/>
      <c r="CY99" s="564"/>
      <c r="CZ99" s="564"/>
      <c r="DA99" s="564"/>
      <c r="DB99" s="564"/>
      <c r="DC99" s="564"/>
      <c r="DD99" s="564"/>
      <c r="DE99" s="564"/>
      <c r="DF99" s="564"/>
      <c r="DG99" s="564"/>
      <c r="DH99" s="564"/>
      <c r="DI99" s="564"/>
      <c r="DJ99" s="564" t="s">
        <v>13143</v>
      </c>
      <c r="DK99" s="564"/>
      <c r="DL99" s="564"/>
      <c r="DM99" s="564"/>
      <c r="DN99" s="564"/>
      <c r="DO99" s="564"/>
      <c r="DP99" s="564"/>
      <c r="DQ99" s="564"/>
      <c r="DR99" s="564"/>
      <c r="DS99" s="564"/>
      <c r="DT99" s="564"/>
      <c r="DU99" s="564"/>
      <c r="DV99" s="564"/>
      <c r="DW99" s="564"/>
    </row>
    <row r="100" spans="1:127" s="272" customFormat="1" x14ac:dyDescent="0.2">
      <c r="A100" s="463"/>
      <c r="B100" s="23" t="str">
        <f t="shared" ca="1" si="22"/>
        <v>AMC92 fully-subsidized doses</v>
      </c>
      <c r="C100" s="519">
        <f>IF(AMC_Status=1,(C$104*'A2. INPUT Population &amp; Delivery'!$J$302*2),0)</f>
        <v>0</v>
      </c>
      <c r="D100" s="519">
        <f>IF(AMC_Status=1,(D$104*'A2. INPUT Population &amp; Delivery'!$J$302*2),0)</f>
        <v>0</v>
      </c>
      <c r="E100" s="557"/>
      <c r="F100" s="557"/>
      <c r="G100" s="557"/>
      <c r="H100" s="557"/>
      <c r="I100" s="300">
        <f>SUM(C100:H100)</f>
        <v>0</v>
      </c>
      <c r="J100" s="620"/>
      <c r="K100" s="35" t="s">
        <v>2843</v>
      </c>
      <c r="L100" s="35" t="s">
        <v>3188</v>
      </c>
      <c r="M100" s="459"/>
      <c r="N100" s="463"/>
      <c r="O100" s="587"/>
      <c r="P100" s="564"/>
      <c r="Q100" s="564"/>
      <c r="R100" s="564" t="s">
        <v>4601</v>
      </c>
      <c r="S100" s="564"/>
      <c r="T100" s="564"/>
      <c r="U100" s="564"/>
      <c r="V100" s="564"/>
      <c r="W100" s="564"/>
      <c r="X100" s="564"/>
      <c r="Y100" s="564"/>
      <c r="Z100" s="564"/>
      <c r="AA100" s="564"/>
      <c r="AB100" s="564"/>
      <c r="AC100" s="564"/>
      <c r="AD100" s="564"/>
      <c r="AE100" s="564"/>
      <c r="AF100" s="564"/>
      <c r="AG100" s="564"/>
      <c r="AH100" s="564" t="s">
        <v>13132</v>
      </c>
      <c r="AI100" s="564"/>
      <c r="AJ100" s="564"/>
      <c r="AK100" s="564"/>
      <c r="AL100" s="564"/>
      <c r="AM100" s="564"/>
      <c r="AN100" s="564"/>
      <c r="AO100" s="564"/>
      <c r="AP100" s="564"/>
      <c r="AQ100" s="564"/>
      <c r="AR100" s="564"/>
      <c r="AS100" s="564"/>
      <c r="AT100" s="564"/>
      <c r="AU100" s="564"/>
      <c r="AV100" s="564"/>
      <c r="AW100" s="564"/>
      <c r="AX100" s="564" t="s">
        <v>13133</v>
      </c>
      <c r="AY100" s="564"/>
      <c r="AZ100" s="564"/>
      <c r="BA100" s="564"/>
      <c r="BB100" s="564"/>
      <c r="BC100" s="564"/>
      <c r="BD100" s="564"/>
      <c r="BE100" s="564"/>
      <c r="BF100" s="564"/>
      <c r="BG100" s="564"/>
      <c r="BH100" s="564"/>
      <c r="BI100" s="564"/>
      <c r="BJ100" s="564"/>
      <c r="BK100" s="564"/>
      <c r="BL100" s="564"/>
      <c r="BM100" s="564"/>
      <c r="BN100" s="564" t="s">
        <v>13134</v>
      </c>
      <c r="BO100" s="564"/>
      <c r="BP100" s="564"/>
      <c r="BQ100" s="564"/>
      <c r="BR100" s="564"/>
      <c r="BS100" s="564"/>
      <c r="BT100" s="564"/>
      <c r="BU100" s="564"/>
      <c r="BV100" s="564"/>
      <c r="BW100" s="564"/>
      <c r="BX100" s="564"/>
      <c r="BY100" s="564"/>
      <c r="BZ100" s="564"/>
      <c r="CA100" s="564"/>
      <c r="CB100" s="564"/>
      <c r="CC100" s="564"/>
      <c r="CD100" s="564" t="s">
        <v>13135</v>
      </c>
      <c r="CE100" s="564"/>
      <c r="CF100" s="564"/>
      <c r="CG100" s="564"/>
      <c r="CH100" s="564"/>
      <c r="CI100" s="564"/>
      <c r="CJ100" s="564"/>
      <c r="CK100" s="564"/>
      <c r="CL100" s="564"/>
      <c r="CM100" s="564"/>
      <c r="CN100" s="564"/>
      <c r="CO100" s="564"/>
      <c r="CP100" s="564"/>
      <c r="CQ100" s="564"/>
      <c r="CR100" s="564"/>
      <c r="CS100" s="564"/>
      <c r="CT100" s="564" t="s">
        <v>13136</v>
      </c>
      <c r="CU100" s="564"/>
      <c r="CV100" s="564"/>
      <c r="CW100" s="564"/>
      <c r="CX100" s="564"/>
      <c r="CY100" s="564"/>
      <c r="CZ100" s="564"/>
      <c r="DA100" s="564"/>
      <c r="DB100" s="564"/>
      <c r="DC100" s="564"/>
      <c r="DD100" s="564"/>
      <c r="DE100" s="564"/>
      <c r="DF100" s="564"/>
      <c r="DG100" s="564"/>
      <c r="DH100" s="564"/>
      <c r="DI100" s="564"/>
      <c r="DJ100" s="564" t="s">
        <v>13137</v>
      </c>
      <c r="DK100" s="564"/>
      <c r="DL100" s="564"/>
      <c r="DM100" s="564"/>
      <c r="DN100" s="564"/>
      <c r="DO100" s="564"/>
      <c r="DP100" s="564"/>
      <c r="DQ100" s="564"/>
      <c r="DR100" s="564"/>
      <c r="DS100" s="564"/>
      <c r="DT100" s="564"/>
      <c r="DU100" s="564"/>
      <c r="DV100" s="564"/>
      <c r="DW100" s="564"/>
    </row>
    <row r="101" spans="1:127" s="281" customFormat="1" ht="13.5" thickBot="1" x14ac:dyDescent="0.25">
      <c r="A101" s="463"/>
      <c r="B101" s="21" t="str">
        <f t="shared" ca="1" si="22"/>
        <v>2.1 Vaccine doses and vaccine-related devices &amp; supplies (fully loaded)</v>
      </c>
      <c r="C101" s="118">
        <f t="shared" ref="C101:H101" si="23">IF(ISBLANK(C103),C102,C103)</f>
        <v>0</v>
      </c>
      <c r="D101" s="118">
        <f t="shared" si="23"/>
        <v>0</v>
      </c>
      <c r="E101" s="118">
        <f t="shared" si="23"/>
        <v>0</v>
      </c>
      <c r="F101" s="118">
        <f t="shared" si="23"/>
        <v>0</v>
      </c>
      <c r="G101" s="118">
        <f t="shared" si="23"/>
        <v>0</v>
      </c>
      <c r="H101" s="118">
        <f t="shared" si="23"/>
        <v>0</v>
      </c>
      <c r="I101" s="282">
        <f>SUM(C101:H101)</f>
        <v>0</v>
      </c>
      <c r="J101" s="620" t="s">
        <v>5078</v>
      </c>
      <c r="K101" s="532"/>
      <c r="L101" s="532"/>
      <c r="M101" s="459"/>
      <c r="N101" s="567"/>
      <c r="O101" s="567"/>
      <c r="P101" s="564"/>
      <c r="Q101" s="564"/>
      <c r="R101" s="564" t="s">
        <v>4600</v>
      </c>
      <c r="S101" s="564"/>
      <c r="T101" s="564"/>
      <c r="U101" s="564"/>
      <c r="V101" s="564"/>
      <c r="W101" s="564"/>
      <c r="X101" s="564"/>
      <c r="Y101" s="564"/>
      <c r="Z101" s="564"/>
      <c r="AA101" s="564"/>
      <c r="AB101" s="564"/>
      <c r="AC101" s="564"/>
      <c r="AD101" s="564"/>
      <c r="AE101" s="564"/>
      <c r="AF101" s="564"/>
      <c r="AG101" s="564"/>
      <c r="AH101" s="564" t="s">
        <v>13126</v>
      </c>
      <c r="AI101" s="564"/>
      <c r="AJ101" s="564"/>
      <c r="AK101" s="564"/>
      <c r="AL101" s="564"/>
      <c r="AM101" s="564"/>
      <c r="AN101" s="564"/>
      <c r="AO101" s="564"/>
      <c r="AP101" s="564"/>
      <c r="AQ101" s="564"/>
      <c r="AR101" s="564"/>
      <c r="AS101" s="564"/>
      <c r="AT101" s="564"/>
      <c r="AU101" s="564"/>
      <c r="AV101" s="564"/>
      <c r="AW101" s="564"/>
      <c r="AX101" s="564" t="s">
        <v>13127</v>
      </c>
      <c r="AY101" s="564"/>
      <c r="AZ101" s="564"/>
      <c r="BA101" s="564"/>
      <c r="BB101" s="564"/>
      <c r="BC101" s="564"/>
      <c r="BD101" s="564"/>
      <c r="BE101" s="564"/>
      <c r="BF101" s="564"/>
      <c r="BG101" s="564"/>
      <c r="BH101" s="564"/>
      <c r="BI101" s="564"/>
      <c r="BJ101" s="564"/>
      <c r="BK101" s="564"/>
      <c r="BL101" s="564"/>
      <c r="BM101" s="564"/>
      <c r="BN101" s="564" t="s">
        <v>13128</v>
      </c>
      <c r="BO101" s="564"/>
      <c r="BP101" s="564"/>
      <c r="BQ101" s="564"/>
      <c r="BR101" s="564"/>
      <c r="BS101" s="564"/>
      <c r="BT101" s="564"/>
      <c r="BU101" s="564"/>
      <c r="BV101" s="564"/>
      <c r="BW101" s="564"/>
      <c r="BX101" s="564"/>
      <c r="BY101" s="564"/>
      <c r="BZ101" s="564"/>
      <c r="CA101" s="564"/>
      <c r="CB101" s="564"/>
      <c r="CC101" s="564"/>
      <c r="CD101" s="564" t="s">
        <v>13129</v>
      </c>
      <c r="CE101" s="564"/>
      <c r="CF101" s="564"/>
      <c r="CG101" s="564"/>
      <c r="CH101" s="564"/>
      <c r="CI101" s="564"/>
      <c r="CJ101" s="564"/>
      <c r="CK101" s="564"/>
      <c r="CL101" s="564"/>
      <c r="CM101" s="564"/>
      <c r="CN101" s="564"/>
      <c r="CO101" s="564"/>
      <c r="CP101" s="564"/>
      <c r="CQ101" s="564"/>
      <c r="CR101" s="564"/>
      <c r="CS101" s="564"/>
      <c r="CT101" s="564" t="s">
        <v>13130</v>
      </c>
      <c r="CU101" s="564"/>
      <c r="CV101" s="564"/>
      <c r="CW101" s="564"/>
      <c r="CX101" s="564"/>
      <c r="CY101" s="564"/>
      <c r="CZ101" s="564"/>
      <c r="DA101" s="564"/>
      <c r="DB101" s="564"/>
      <c r="DC101" s="564"/>
      <c r="DD101" s="564"/>
      <c r="DE101" s="564"/>
      <c r="DF101" s="564"/>
      <c r="DG101" s="564"/>
      <c r="DH101" s="564"/>
      <c r="DI101" s="564"/>
      <c r="DJ101" s="564" t="s">
        <v>13131</v>
      </c>
      <c r="DK101" s="564"/>
      <c r="DL101" s="564"/>
      <c r="DM101" s="564"/>
      <c r="DN101" s="564"/>
      <c r="DO101" s="564"/>
      <c r="DP101" s="564"/>
      <c r="DQ101" s="564"/>
      <c r="DR101" s="564"/>
      <c r="DS101" s="564"/>
      <c r="DT101" s="564"/>
      <c r="DU101" s="564"/>
      <c r="DV101" s="564" t="s">
        <v>4933</v>
      </c>
      <c r="DW101" s="564"/>
    </row>
    <row r="102" spans="1:127" s="2" customFormat="1" ht="13.5" thickTop="1" x14ac:dyDescent="0.2">
      <c r="B102" s="72" t="str">
        <f t="shared" ca="1" si="22"/>
        <v>CVIC Estimates</v>
      </c>
      <c r="C102" s="199">
        <f t="shared" ref="C102:H102" si="24">SUM(C100)</f>
        <v>0</v>
      </c>
      <c r="D102" s="199">
        <f t="shared" si="24"/>
        <v>0</v>
      </c>
      <c r="E102" s="199">
        <f t="shared" si="24"/>
        <v>0</v>
      </c>
      <c r="F102" s="199">
        <f t="shared" si="24"/>
        <v>0</v>
      </c>
      <c r="G102" s="199">
        <f t="shared" si="24"/>
        <v>0</v>
      </c>
      <c r="H102" s="199">
        <f t="shared" si="24"/>
        <v>0</v>
      </c>
      <c r="I102" s="199">
        <f>SUM(C102:H102)</f>
        <v>0</v>
      </c>
      <c r="J102" s="620" t="s">
        <v>5080</v>
      </c>
      <c r="P102" s="564"/>
      <c r="Q102" s="564"/>
      <c r="R102" s="564" t="s">
        <v>12973</v>
      </c>
      <c r="S102" s="564"/>
      <c r="T102" s="564"/>
      <c r="U102" s="564"/>
      <c r="V102" s="564"/>
      <c r="W102" s="564"/>
      <c r="X102" s="564"/>
      <c r="Y102" s="564"/>
      <c r="Z102" s="564"/>
      <c r="AA102" s="564"/>
      <c r="AB102" s="564"/>
      <c r="AC102" s="564"/>
      <c r="AD102" s="564"/>
      <c r="AE102" s="564"/>
      <c r="AF102" s="564"/>
      <c r="AG102" s="564"/>
      <c r="AH102" s="564" t="s">
        <v>12974</v>
      </c>
      <c r="AI102" s="564"/>
      <c r="AJ102" s="564"/>
      <c r="AK102" s="564"/>
      <c r="AL102" s="564"/>
      <c r="AM102" s="564"/>
      <c r="AN102" s="564"/>
      <c r="AO102" s="564"/>
      <c r="AP102" s="564"/>
      <c r="AQ102" s="564"/>
      <c r="AR102" s="564"/>
      <c r="AS102" s="564"/>
      <c r="AT102" s="564"/>
      <c r="AU102" s="564"/>
      <c r="AV102" s="564"/>
      <c r="AW102" s="564"/>
      <c r="AX102" s="564" t="s">
        <v>12968</v>
      </c>
      <c r="AY102" s="564"/>
      <c r="AZ102" s="564"/>
      <c r="BA102" s="564"/>
      <c r="BB102" s="564"/>
      <c r="BC102" s="564"/>
      <c r="BD102" s="564"/>
      <c r="BE102" s="564"/>
      <c r="BF102" s="564"/>
      <c r="BG102" s="564"/>
      <c r="BH102" s="564"/>
      <c r="BI102" s="564"/>
      <c r="BJ102" s="564"/>
      <c r="BK102" s="564"/>
      <c r="BL102" s="564"/>
      <c r="BM102" s="564"/>
      <c r="BN102" s="564" t="s">
        <v>12969</v>
      </c>
      <c r="BO102" s="564"/>
      <c r="BP102" s="564"/>
      <c r="BQ102" s="564"/>
      <c r="BR102" s="564"/>
      <c r="BS102" s="564"/>
      <c r="BT102" s="564"/>
      <c r="BU102" s="564"/>
      <c r="BV102" s="564"/>
      <c r="BW102" s="564"/>
      <c r="BX102" s="564"/>
      <c r="BY102" s="564"/>
      <c r="BZ102" s="564"/>
      <c r="CA102" s="564"/>
      <c r="CB102" s="564"/>
      <c r="CC102" s="564"/>
      <c r="CD102" s="564" t="s">
        <v>12970</v>
      </c>
      <c r="CE102" s="564"/>
      <c r="CF102" s="564"/>
      <c r="CG102" s="564"/>
      <c r="CH102" s="564"/>
      <c r="CI102" s="564"/>
      <c r="CJ102" s="564"/>
      <c r="CK102" s="564"/>
      <c r="CL102" s="564"/>
      <c r="CM102" s="564"/>
      <c r="CN102" s="564"/>
      <c r="CO102" s="564"/>
      <c r="CP102" s="564"/>
      <c r="CQ102" s="564"/>
      <c r="CR102" s="564"/>
      <c r="CS102" s="564"/>
      <c r="CT102" s="564" t="s">
        <v>12971</v>
      </c>
      <c r="CU102" s="564"/>
      <c r="CV102" s="564"/>
      <c r="CW102" s="564"/>
      <c r="CX102" s="564"/>
      <c r="CY102" s="564"/>
      <c r="CZ102" s="564"/>
      <c r="DA102" s="564"/>
      <c r="DB102" s="564"/>
      <c r="DC102" s="564"/>
      <c r="DD102" s="564"/>
      <c r="DE102" s="564"/>
      <c r="DF102" s="564"/>
      <c r="DG102" s="564"/>
      <c r="DH102" s="564"/>
      <c r="DI102" s="564"/>
      <c r="DJ102" s="564" t="s">
        <v>12972</v>
      </c>
      <c r="DK102" s="564"/>
      <c r="DL102" s="564"/>
      <c r="DM102" s="564"/>
      <c r="DN102" s="564"/>
      <c r="DO102" s="564"/>
      <c r="DP102" s="564"/>
      <c r="DQ102" s="564"/>
      <c r="DR102" s="564"/>
      <c r="DS102" s="564"/>
      <c r="DT102" s="564"/>
      <c r="DU102" s="564"/>
      <c r="DV102" s="564"/>
      <c r="DW102" s="564"/>
    </row>
    <row r="103" spans="1:127" s="543" customFormat="1" x14ac:dyDescent="0.2">
      <c r="A103" s="350">
        <v>2</v>
      </c>
      <c r="B103" s="5" t="str">
        <f t="shared" ca="1" si="22"/>
        <v>OVERRIDE HERE if alternative costing used for section above</v>
      </c>
      <c r="C103" s="284"/>
      <c r="D103" s="284"/>
      <c r="E103" s="284"/>
      <c r="F103" s="284"/>
      <c r="G103" s="284"/>
      <c r="H103" s="284"/>
      <c r="I103" s="81" t="str">
        <f>Lang_LeaveBlank</f>
        <v>Leave Blank</v>
      </c>
      <c r="J103" s="620" t="s">
        <v>5079</v>
      </c>
      <c r="K103" s="551"/>
      <c r="L103" s="551"/>
      <c r="O103" s="587"/>
      <c r="P103" s="564"/>
      <c r="Q103" s="564"/>
      <c r="R103" s="564" t="s">
        <v>4591</v>
      </c>
      <c r="S103" s="564"/>
      <c r="T103" s="564"/>
      <c r="U103" s="564"/>
      <c r="V103" s="564"/>
      <c r="W103" s="564"/>
      <c r="X103" s="564"/>
      <c r="Y103" s="564"/>
      <c r="Z103" s="564"/>
      <c r="AA103" s="564"/>
      <c r="AB103" s="564"/>
      <c r="AC103" s="564"/>
      <c r="AD103" s="564"/>
      <c r="AE103" s="564"/>
      <c r="AF103" s="564"/>
      <c r="AG103" s="564"/>
      <c r="AH103" s="564" t="s">
        <v>12949</v>
      </c>
      <c r="AI103" s="564"/>
      <c r="AJ103" s="564"/>
      <c r="AK103" s="564"/>
      <c r="AL103" s="564"/>
      <c r="AM103" s="564"/>
      <c r="AN103" s="564"/>
      <c r="AO103" s="564"/>
      <c r="AP103" s="564"/>
      <c r="AQ103" s="564"/>
      <c r="AR103" s="564"/>
      <c r="AS103" s="564"/>
      <c r="AT103" s="564"/>
      <c r="AU103" s="564"/>
      <c r="AV103" s="564"/>
      <c r="AW103" s="564"/>
      <c r="AX103" s="564" t="s">
        <v>12950</v>
      </c>
      <c r="AY103" s="564"/>
      <c r="AZ103" s="564"/>
      <c r="BA103" s="564"/>
      <c r="BB103" s="564"/>
      <c r="BC103" s="564"/>
      <c r="BD103" s="564"/>
      <c r="BE103" s="564"/>
      <c r="BF103" s="564"/>
      <c r="BG103" s="564"/>
      <c r="BH103" s="564"/>
      <c r="BI103" s="564"/>
      <c r="BJ103" s="564"/>
      <c r="BK103" s="564"/>
      <c r="BL103" s="564"/>
      <c r="BM103" s="564"/>
      <c r="BN103" s="564" t="s">
        <v>12951</v>
      </c>
      <c r="BO103" s="564"/>
      <c r="BP103" s="564"/>
      <c r="BQ103" s="564"/>
      <c r="BR103" s="564"/>
      <c r="BS103" s="564"/>
      <c r="BT103" s="564"/>
      <c r="BU103" s="564"/>
      <c r="BV103" s="564"/>
      <c r="BW103" s="564"/>
      <c r="BX103" s="564"/>
      <c r="BY103" s="564"/>
      <c r="BZ103" s="564"/>
      <c r="CA103" s="564"/>
      <c r="CB103" s="564"/>
      <c r="CC103" s="564"/>
      <c r="CD103" s="564" t="s">
        <v>12952</v>
      </c>
      <c r="CE103" s="564"/>
      <c r="CF103" s="564"/>
      <c r="CG103" s="564"/>
      <c r="CH103" s="564"/>
      <c r="CI103" s="564"/>
      <c r="CJ103" s="564"/>
      <c r="CK103" s="564"/>
      <c r="CL103" s="564"/>
      <c r="CM103" s="564"/>
      <c r="CN103" s="564"/>
      <c r="CO103" s="564"/>
      <c r="CP103" s="564"/>
      <c r="CQ103" s="564"/>
      <c r="CR103" s="564"/>
      <c r="CS103" s="564"/>
      <c r="CT103" s="564" t="s">
        <v>12953</v>
      </c>
      <c r="CU103" s="564"/>
      <c r="CV103" s="564"/>
      <c r="CW103" s="564"/>
      <c r="CX103" s="564"/>
      <c r="CY103" s="564"/>
      <c r="CZ103" s="564"/>
      <c r="DA103" s="564"/>
      <c r="DB103" s="564"/>
      <c r="DC103" s="564"/>
      <c r="DD103" s="564"/>
      <c r="DE103" s="564"/>
      <c r="DF103" s="564"/>
      <c r="DG103" s="564"/>
      <c r="DH103" s="564"/>
      <c r="DI103" s="564"/>
      <c r="DJ103" s="564" t="s">
        <v>12954</v>
      </c>
      <c r="DK103" s="564"/>
      <c r="DL103" s="564"/>
      <c r="DM103" s="564"/>
      <c r="DN103" s="564"/>
      <c r="DO103" s="564"/>
      <c r="DP103" s="564"/>
      <c r="DQ103" s="564"/>
      <c r="DR103" s="564"/>
      <c r="DS103" s="564"/>
      <c r="DT103" s="564"/>
      <c r="DU103" s="564"/>
      <c r="DV103" s="564"/>
      <c r="DW103" s="564"/>
    </row>
    <row r="104" spans="1:127" s="281" customFormat="1" x14ac:dyDescent="0.2">
      <c r="B104" s="72" t="str">
        <f t="shared" ca="1" si="22"/>
        <v>AMC92 fully-subsidized courses (quantity)</v>
      </c>
      <c r="C104" s="558">
        <f>COVAX_Indicated_Proportion_Stage1_forcalculations*Pop_Total_2020</f>
        <v>0</v>
      </c>
      <c r="D104" s="558">
        <f>'A2. INPUT Population &amp; Delivery'!F288*Pop_Total_2020</f>
        <v>0</v>
      </c>
      <c r="E104" s="543"/>
      <c r="J104" s="620"/>
      <c r="K104" s="551"/>
      <c r="L104" s="551"/>
      <c r="M104" s="459"/>
      <c r="N104" s="543"/>
      <c r="O104" s="567"/>
      <c r="P104" s="564"/>
      <c r="Q104" s="564"/>
      <c r="R104" s="564" t="s">
        <v>4612</v>
      </c>
      <c r="S104" s="564"/>
      <c r="T104" s="564"/>
      <c r="U104" s="564"/>
      <c r="V104" s="564"/>
      <c r="W104" s="564"/>
      <c r="X104" s="564"/>
      <c r="Y104" s="564"/>
      <c r="Z104" s="564"/>
      <c r="AA104" s="564"/>
      <c r="AB104" s="564"/>
      <c r="AC104" s="564"/>
      <c r="AD104" s="564"/>
      <c r="AE104" s="564"/>
      <c r="AF104" s="564"/>
      <c r="AG104" s="564"/>
      <c r="AH104" s="564" t="s">
        <v>13120</v>
      </c>
      <c r="AI104" s="564"/>
      <c r="AJ104" s="564"/>
      <c r="AK104" s="564"/>
      <c r="AL104" s="564"/>
      <c r="AM104" s="564"/>
      <c r="AN104" s="564"/>
      <c r="AO104" s="564"/>
      <c r="AP104" s="564"/>
      <c r="AQ104" s="564"/>
      <c r="AR104" s="564"/>
      <c r="AS104" s="564"/>
      <c r="AT104" s="564"/>
      <c r="AU104" s="564"/>
      <c r="AV104" s="564"/>
      <c r="AW104" s="564"/>
      <c r="AX104" s="564" t="s">
        <v>13121</v>
      </c>
      <c r="AY104" s="564"/>
      <c r="AZ104" s="564"/>
      <c r="BA104" s="564"/>
      <c r="BB104" s="564"/>
      <c r="BC104" s="564"/>
      <c r="BD104" s="564"/>
      <c r="BE104" s="564"/>
      <c r="BF104" s="564"/>
      <c r="BG104" s="564"/>
      <c r="BH104" s="564"/>
      <c r="BI104" s="564"/>
      <c r="BJ104" s="564"/>
      <c r="BK104" s="564"/>
      <c r="BL104" s="564"/>
      <c r="BM104" s="564"/>
      <c r="BN104" s="564" t="s">
        <v>13122</v>
      </c>
      <c r="BO104" s="564"/>
      <c r="BP104" s="564"/>
      <c r="BQ104" s="564"/>
      <c r="BR104" s="564"/>
      <c r="BS104" s="564"/>
      <c r="BT104" s="564"/>
      <c r="BU104" s="564"/>
      <c r="BV104" s="564"/>
      <c r="BW104" s="564"/>
      <c r="BX104" s="564"/>
      <c r="BY104" s="564"/>
      <c r="BZ104" s="564"/>
      <c r="CA104" s="564"/>
      <c r="CB104" s="564"/>
      <c r="CC104" s="564"/>
      <c r="CD104" s="564" t="s">
        <v>13123</v>
      </c>
      <c r="CE104" s="564"/>
      <c r="CF104" s="564"/>
      <c r="CG104" s="564"/>
      <c r="CH104" s="564"/>
      <c r="CI104" s="564"/>
      <c r="CJ104" s="564"/>
      <c r="CK104" s="564"/>
      <c r="CL104" s="564"/>
      <c r="CM104" s="564"/>
      <c r="CN104" s="564"/>
      <c r="CO104" s="564"/>
      <c r="CP104" s="564"/>
      <c r="CQ104" s="564"/>
      <c r="CR104" s="564"/>
      <c r="CS104" s="564"/>
      <c r="CT104" s="564" t="s">
        <v>13124</v>
      </c>
      <c r="CU104" s="564"/>
      <c r="CV104" s="564"/>
      <c r="CW104" s="564"/>
      <c r="CX104" s="564"/>
      <c r="CY104" s="564"/>
      <c r="CZ104" s="564"/>
      <c r="DA104" s="564"/>
      <c r="DB104" s="564"/>
      <c r="DC104" s="564"/>
      <c r="DD104" s="564"/>
      <c r="DE104" s="564"/>
      <c r="DF104" s="564"/>
      <c r="DG104" s="564"/>
      <c r="DH104" s="564"/>
      <c r="DI104" s="564"/>
      <c r="DJ104" s="564" t="s">
        <v>13125</v>
      </c>
      <c r="DK104" s="564"/>
      <c r="DL104" s="564"/>
      <c r="DM104" s="564"/>
      <c r="DN104" s="564"/>
      <c r="DO104" s="564"/>
      <c r="DP104" s="564"/>
      <c r="DQ104" s="564"/>
      <c r="DR104" s="564"/>
      <c r="DS104" s="564"/>
      <c r="DT104" s="564"/>
      <c r="DU104" s="564"/>
      <c r="DV104" s="564"/>
      <c r="DW104" s="564"/>
    </row>
    <row r="105" spans="1:127" s="543" customFormat="1" x14ac:dyDescent="0.2">
      <c r="J105" s="620"/>
      <c r="K105" s="551"/>
      <c r="L105" s="551"/>
      <c r="O105" s="567"/>
      <c r="P105" s="564"/>
      <c r="Q105" s="564"/>
      <c r="R105" s="564"/>
      <c r="S105" s="564"/>
      <c r="T105" s="564"/>
      <c r="U105" s="564"/>
      <c r="V105" s="564"/>
      <c r="W105" s="564"/>
      <c r="X105" s="564"/>
      <c r="Y105" s="564"/>
      <c r="Z105" s="564"/>
      <c r="AA105" s="564"/>
      <c r="AB105" s="564"/>
      <c r="AC105" s="564"/>
      <c r="AD105" s="564"/>
      <c r="AE105" s="564"/>
      <c r="AF105" s="564"/>
      <c r="AG105" s="564"/>
      <c r="AH105" s="564"/>
      <c r="AI105" s="564"/>
      <c r="AJ105" s="564"/>
      <c r="AK105" s="564"/>
      <c r="AL105" s="564"/>
      <c r="AM105" s="564"/>
      <c r="AN105" s="564"/>
      <c r="AO105" s="564"/>
      <c r="AP105" s="564"/>
      <c r="AQ105" s="564"/>
      <c r="AR105" s="564"/>
      <c r="AS105" s="564"/>
      <c r="AT105" s="564"/>
      <c r="AU105" s="564"/>
      <c r="AV105" s="564"/>
      <c r="AW105" s="564"/>
      <c r="AX105" s="564"/>
      <c r="AY105" s="564"/>
      <c r="AZ105" s="564"/>
      <c r="BA105" s="564"/>
      <c r="BB105" s="564"/>
      <c r="BC105" s="564"/>
      <c r="BD105" s="564"/>
      <c r="BE105" s="564"/>
      <c r="BF105" s="564"/>
      <c r="BG105" s="564"/>
      <c r="BH105" s="564"/>
      <c r="BI105" s="564"/>
      <c r="BJ105" s="564"/>
      <c r="BK105" s="564"/>
      <c r="BL105" s="564"/>
      <c r="BM105" s="564"/>
      <c r="BN105" s="564"/>
      <c r="BO105" s="564"/>
      <c r="BP105" s="564"/>
      <c r="BQ105" s="564"/>
      <c r="BR105" s="564"/>
      <c r="BS105" s="564"/>
      <c r="BT105" s="564"/>
      <c r="BU105" s="564"/>
      <c r="BV105" s="564"/>
      <c r="BW105" s="564"/>
      <c r="BX105" s="564"/>
      <c r="BY105" s="564"/>
      <c r="BZ105" s="564"/>
      <c r="CA105" s="564"/>
      <c r="CB105" s="564"/>
      <c r="CC105" s="564"/>
      <c r="CD105" s="564"/>
      <c r="CE105" s="564"/>
      <c r="CF105" s="564"/>
      <c r="CG105" s="564"/>
      <c r="CH105" s="564"/>
      <c r="CI105" s="564"/>
      <c r="CJ105" s="564"/>
      <c r="CK105" s="564"/>
      <c r="CL105" s="564"/>
      <c r="CM105" s="564"/>
      <c r="CN105" s="564"/>
      <c r="CO105" s="564"/>
      <c r="CP105" s="564"/>
      <c r="CQ105" s="564"/>
      <c r="CR105" s="564"/>
      <c r="CS105" s="564"/>
      <c r="CT105" s="564"/>
      <c r="CU105" s="564"/>
      <c r="CV105" s="564"/>
      <c r="CW105" s="564"/>
      <c r="CX105" s="564"/>
      <c r="CY105" s="564"/>
      <c r="CZ105" s="564"/>
      <c r="DA105" s="564"/>
      <c r="DB105" s="564"/>
      <c r="DC105" s="564"/>
      <c r="DD105" s="564"/>
      <c r="DE105" s="564"/>
      <c r="DF105" s="564"/>
      <c r="DG105" s="564"/>
      <c r="DH105" s="564"/>
      <c r="DI105" s="564"/>
      <c r="DJ105" s="564"/>
      <c r="DK105" s="564"/>
      <c r="DL105" s="564"/>
      <c r="DM105" s="564"/>
      <c r="DN105" s="564"/>
      <c r="DO105" s="564"/>
      <c r="DP105" s="564"/>
      <c r="DQ105" s="564"/>
      <c r="DR105" s="564"/>
      <c r="DS105" s="564"/>
      <c r="DT105" s="564"/>
      <c r="DU105" s="564"/>
      <c r="DV105" s="564"/>
      <c r="DW105" s="564"/>
    </row>
    <row r="106" spans="1:127" s="463" customFormat="1" x14ac:dyDescent="0.2">
      <c r="B106" s="78" t="str">
        <f t="shared" ref="B106:B115" ca="1" si="25">IF(OFFSET(R106,0,Lang_Order*Lang__R2)="","",OFFSET(R106,0,Lang_Order*Lang__R2))</f>
        <v>IMPORTANT: These are standalone vaccine doses (i.e., vaccine-related devices, supplies, and shipping are costed separately)</v>
      </c>
      <c r="J106" s="620"/>
      <c r="K106" s="551"/>
      <c r="L106" s="551"/>
      <c r="O106" s="567"/>
      <c r="P106" s="564"/>
      <c r="Q106" s="564"/>
      <c r="R106" s="564" t="s">
        <v>4603</v>
      </c>
      <c r="S106" s="564"/>
      <c r="T106" s="564"/>
      <c r="U106" s="564"/>
      <c r="V106" s="564"/>
      <c r="W106" s="564"/>
      <c r="X106" s="564"/>
      <c r="Y106" s="564"/>
      <c r="Z106" s="564"/>
      <c r="AA106" s="564"/>
      <c r="AB106" s="564"/>
      <c r="AC106" s="564"/>
      <c r="AD106" s="564"/>
      <c r="AE106" s="564"/>
      <c r="AF106" s="564"/>
      <c r="AG106" s="564"/>
      <c r="AH106" s="564" t="s">
        <v>13114</v>
      </c>
      <c r="AI106" s="564"/>
      <c r="AJ106" s="564"/>
      <c r="AK106" s="564"/>
      <c r="AL106" s="564"/>
      <c r="AM106" s="564"/>
      <c r="AN106" s="564"/>
      <c r="AO106" s="564"/>
      <c r="AP106" s="564"/>
      <c r="AQ106" s="564"/>
      <c r="AR106" s="564"/>
      <c r="AS106" s="564"/>
      <c r="AT106" s="564"/>
      <c r="AU106" s="564"/>
      <c r="AV106" s="564"/>
      <c r="AW106" s="564"/>
      <c r="AX106" s="564" t="s">
        <v>13115</v>
      </c>
      <c r="AY106" s="564"/>
      <c r="AZ106" s="564"/>
      <c r="BA106" s="564"/>
      <c r="BB106" s="564"/>
      <c r="BC106" s="564"/>
      <c r="BD106" s="564"/>
      <c r="BE106" s="564"/>
      <c r="BF106" s="564"/>
      <c r="BG106" s="564"/>
      <c r="BH106" s="564"/>
      <c r="BI106" s="564"/>
      <c r="BJ106" s="564"/>
      <c r="BK106" s="564"/>
      <c r="BL106" s="564"/>
      <c r="BM106" s="564"/>
      <c r="BN106" s="564" t="s">
        <v>13116</v>
      </c>
      <c r="BO106" s="564"/>
      <c r="BP106" s="564"/>
      <c r="BQ106" s="564"/>
      <c r="BR106" s="564"/>
      <c r="BS106" s="564"/>
      <c r="BT106" s="564"/>
      <c r="BU106" s="564"/>
      <c r="BV106" s="564"/>
      <c r="BW106" s="564"/>
      <c r="BX106" s="564"/>
      <c r="BY106" s="564"/>
      <c r="BZ106" s="564"/>
      <c r="CA106" s="564"/>
      <c r="CB106" s="564"/>
      <c r="CC106" s="564"/>
      <c r="CD106" s="564" t="s">
        <v>13117</v>
      </c>
      <c r="CE106" s="564"/>
      <c r="CF106" s="564"/>
      <c r="CG106" s="564"/>
      <c r="CH106" s="564"/>
      <c r="CI106" s="564"/>
      <c r="CJ106" s="564"/>
      <c r="CK106" s="564"/>
      <c r="CL106" s="564"/>
      <c r="CM106" s="564"/>
      <c r="CN106" s="564"/>
      <c r="CO106" s="564"/>
      <c r="CP106" s="564"/>
      <c r="CQ106" s="564"/>
      <c r="CR106" s="564"/>
      <c r="CS106" s="564"/>
      <c r="CT106" s="564" t="s">
        <v>13118</v>
      </c>
      <c r="CU106" s="564"/>
      <c r="CV106" s="564"/>
      <c r="CW106" s="564"/>
      <c r="CX106" s="564"/>
      <c r="CY106" s="564"/>
      <c r="CZ106" s="564"/>
      <c r="DA106" s="564"/>
      <c r="DB106" s="564"/>
      <c r="DC106" s="564"/>
      <c r="DD106" s="564"/>
      <c r="DE106" s="564"/>
      <c r="DF106" s="564"/>
      <c r="DG106" s="564"/>
      <c r="DH106" s="564"/>
      <c r="DI106" s="564"/>
      <c r="DJ106" s="564" t="s">
        <v>13119</v>
      </c>
      <c r="DK106" s="564"/>
      <c r="DL106" s="564"/>
      <c r="DM106" s="564"/>
      <c r="DN106" s="564"/>
      <c r="DO106" s="564"/>
      <c r="DP106" s="564"/>
      <c r="DQ106" s="564"/>
      <c r="DR106" s="564"/>
      <c r="DS106" s="564"/>
      <c r="DT106" s="564"/>
      <c r="DU106" s="564"/>
      <c r="DV106" s="564"/>
      <c r="DW106" s="564"/>
    </row>
    <row r="107" spans="1:127" s="272" customFormat="1" x14ac:dyDescent="0.2">
      <c r="A107" s="463"/>
      <c r="B107" s="23" t="str">
        <f t="shared" ca="1" si="25"/>
        <v>AMC: Covax cost sharing for additional doses</v>
      </c>
      <c r="C107" s="557"/>
      <c r="D107" s="557"/>
      <c r="E107" s="519">
        <f>IF(AMC_Status=1,('A2. INPUT Population &amp; Delivery'!$H$304),0)</f>
        <v>0</v>
      </c>
      <c r="F107" s="557"/>
      <c r="G107" s="557"/>
      <c r="H107" s="557"/>
      <c r="I107" s="300">
        <f t="shared" ref="I107:I118" si="26">SUM(C107:H107)</f>
        <v>0</v>
      </c>
      <c r="J107" s="620"/>
      <c r="K107" s="35" t="s">
        <v>2844</v>
      </c>
      <c r="L107" s="35" t="s">
        <v>3188</v>
      </c>
      <c r="M107" s="459"/>
      <c r="N107" s="463"/>
      <c r="O107" s="587"/>
      <c r="P107" s="564"/>
      <c r="Q107" s="564"/>
      <c r="R107" s="564" t="s">
        <v>4366</v>
      </c>
      <c r="S107" s="564"/>
      <c r="T107" s="564"/>
      <c r="U107" s="564"/>
      <c r="V107" s="564"/>
      <c r="W107" s="564"/>
      <c r="X107" s="564"/>
      <c r="Y107" s="564"/>
      <c r="Z107" s="564"/>
      <c r="AA107" s="564"/>
      <c r="AB107" s="564"/>
      <c r="AC107" s="564"/>
      <c r="AD107" s="564"/>
      <c r="AE107" s="564"/>
      <c r="AF107" s="564"/>
      <c r="AG107" s="564"/>
      <c r="AH107" s="564" t="s">
        <v>4934</v>
      </c>
      <c r="AI107" s="564"/>
      <c r="AJ107" s="564"/>
      <c r="AK107" s="564"/>
      <c r="AL107" s="564"/>
      <c r="AM107" s="564"/>
      <c r="AN107" s="564"/>
      <c r="AO107" s="564"/>
      <c r="AP107" s="564"/>
      <c r="AQ107" s="564"/>
      <c r="AR107" s="564"/>
      <c r="AS107" s="564"/>
      <c r="AT107" s="564"/>
      <c r="AU107" s="564"/>
      <c r="AV107" s="564"/>
      <c r="AW107" s="564"/>
      <c r="AX107" s="564" t="s">
        <v>4935</v>
      </c>
      <c r="AY107" s="564"/>
      <c r="AZ107" s="564"/>
      <c r="BA107" s="564"/>
      <c r="BB107" s="564"/>
      <c r="BC107" s="564"/>
      <c r="BD107" s="564"/>
      <c r="BE107" s="564"/>
      <c r="BF107" s="564"/>
      <c r="BG107" s="564"/>
      <c r="BH107" s="564"/>
      <c r="BI107" s="564"/>
      <c r="BJ107" s="564"/>
      <c r="BK107" s="564"/>
      <c r="BL107" s="564"/>
      <c r="BM107" s="564"/>
      <c r="BN107" s="564" t="s">
        <v>4936</v>
      </c>
      <c r="BO107" s="564"/>
      <c r="BP107" s="564"/>
      <c r="BQ107" s="564"/>
      <c r="BR107" s="564"/>
      <c r="BS107" s="564"/>
      <c r="BT107" s="564"/>
      <c r="BU107" s="564"/>
      <c r="BV107" s="564"/>
      <c r="BW107" s="564"/>
      <c r="BX107" s="564"/>
      <c r="BY107" s="564"/>
      <c r="BZ107" s="564"/>
      <c r="CA107" s="564"/>
      <c r="CB107" s="564"/>
      <c r="CC107" s="564"/>
      <c r="CD107" s="564" t="s">
        <v>4937</v>
      </c>
      <c r="CE107" s="564"/>
      <c r="CF107" s="564"/>
      <c r="CG107" s="564"/>
      <c r="CH107" s="564"/>
      <c r="CI107" s="564"/>
      <c r="CJ107" s="564"/>
      <c r="CK107" s="564"/>
      <c r="CL107" s="564"/>
      <c r="CM107" s="564"/>
      <c r="CN107" s="564"/>
      <c r="CO107" s="564"/>
      <c r="CP107" s="564"/>
      <c r="CQ107" s="564"/>
      <c r="CR107" s="564"/>
      <c r="CS107" s="564"/>
      <c r="CT107" s="564" t="s">
        <v>4938</v>
      </c>
      <c r="CU107" s="564"/>
      <c r="CV107" s="564"/>
      <c r="CW107" s="564"/>
      <c r="CX107" s="564"/>
      <c r="CY107" s="564"/>
      <c r="CZ107" s="564"/>
      <c r="DA107" s="564"/>
      <c r="DB107" s="564"/>
      <c r="DC107" s="564"/>
      <c r="DD107" s="564"/>
      <c r="DE107" s="564"/>
      <c r="DF107" s="564"/>
      <c r="DG107" s="564"/>
      <c r="DH107" s="564"/>
      <c r="DI107" s="564"/>
      <c r="DJ107" s="564" t="s">
        <v>4939</v>
      </c>
      <c r="DK107" s="564"/>
      <c r="DL107" s="564"/>
      <c r="DM107" s="564"/>
      <c r="DN107" s="564"/>
      <c r="DO107" s="564"/>
      <c r="DP107" s="564"/>
      <c r="DQ107" s="564"/>
      <c r="DR107" s="564"/>
      <c r="DS107" s="564"/>
      <c r="DT107" s="564"/>
      <c r="DU107" s="564"/>
      <c r="DV107" s="564"/>
      <c r="DW107" s="564"/>
    </row>
    <row r="108" spans="1:127" s="281" customFormat="1" x14ac:dyDescent="0.2">
      <c r="A108" s="463"/>
      <c r="B108" s="23" t="str">
        <f t="shared" ca="1" si="25"/>
        <v>CPA: Upfront payment</v>
      </c>
      <c r="C108" s="519">
        <f>'A2. INPUT Population &amp; Delivery'!H311</f>
        <v>0</v>
      </c>
      <c r="D108" s="557"/>
      <c r="E108" s="557"/>
      <c r="F108" s="557"/>
      <c r="G108" s="557"/>
      <c r="H108" s="557"/>
      <c r="I108" s="300">
        <f t="shared" si="26"/>
        <v>0</v>
      </c>
      <c r="J108" s="620"/>
      <c r="K108" s="35" t="s">
        <v>2844</v>
      </c>
      <c r="L108" s="35" t="s">
        <v>3188</v>
      </c>
      <c r="M108" s="459"/>
      <c r="N108" s="638" t="str">
        <f ca="1">IF(OFFSET(AD108,0,Lang_Order*Lang__R2)="","",OFFSET(AD108,0,Lang_Order*Lang__R2))</f>
        <v>This is paid in Q4 2020 but added to H1 2021</v>
      </c>
      <c r="O108" s="587"/>
      <c r="P108" s="564"/>
      <c r="Q108" s="564"/>
      <c r="R108" s="564" t="s">
        <v>4222</v>
      </c>
      <c r="S108" s="564"/>
      <c r="T108" s="564"/>
      <c r="U108" s="564"/>
      <c r="V108" s="564"/>
      <c r="W108" s="564"/>
      <c r="X108" s="564"/>
      <c r="Y108" s="564"/>
      <c r="Z108" s="564"/>
      <c r="AA108" s="564"/>
      <c r="AB108" s="564"/>
      <c r="AC108" s="564"/>
      <c r="AD108" s="564" t="s">
        <v>4389</v>
      </c>
      <c r="AE108" s="564"/>
      <c r="AF108" s="564"/>
      <c r="AG108" s="564"/>
      <c r="AH108" s="564" t="s">
        <v>4940</v>
      </c>
      <c r="AI108" s="564"/>
      <c r="AJ108" s="564"/>
      <c r="AK108" s="564"/>
      <c r="AL108" s="564"/>
      <c r="AM108" s="564"/>
      <c r="AN108" s="564"/>
      <c r="AO108" s="564"/>
      <c r="AP108" s="564"/>
      <c r="AQ108" s="564"/>
      <c r="AR108" s="564"/>
      <c r="AS108" s="564"/>
      <c r="AT108" s="564" t="s">
        <v>4941</v>
      </c>
      <c r="AU108" s="564"/>
      <c r="AV108" s="564"/>
      <c r="AW108" s="564"/>
      <c r="AX108" s="564" t="s">
        <v>4942</v>
      </c>
      <c r="AY108" s="564"/>
      <c r="AZ108" s="564"/>
      <c r="BA108" s="564"/>
      <c r="BB108" s="564"/>
      <c r="BC108" s="564"/>
      <c r="BD108" s="564"/>
      <c r="BE108" s="564"/>
      <c r="BF108" s="564"/>
      <c r="BG108" s="564"/>
      <c r="BH108" s="564"/>
      <c r="BI108" s="564"/>
      <c r="BJ108" s="564" t="s">
        <v>4943</v>
      </c>
      <c r="BK108" s="564"/>
      <c r="BL108" s="564"/>
      <c r="BM108" s="564"/>
      <c r="BN108" s="564" t="s">
        <v>4944</v>
      </c>
      <c r="BO108" s="564"/>
      <c r="BP108" s="564"/>
      <c r="BQ108" s="564"/>
      <c r="BR108" s="564"/>
      <c r="BS108" s="564"/>
      <c r="BT108" s="564"/>
      <c r="BU108" s="564"/>
      <c r="BV108" s="564"/>
      <c r="BW108" s="564"/>
      <c r="BX108" s="564"/>
      <c r="BY108" s="564"/>
      <c r="BZ108" s="564" t="s">
        <v>4945</v>
      </c>
      <c r="CA108" s="564"/>
      <c r="CB108" s="564"/>
      <c r="CC108" s="564"/>
      <c r="CD108" s="564" t="s">
        <v>4946</v>
      </c>
      <c r="CE108" s="564"/>
      <c r="CF108" s="564"/>
      <c r="CG108" s="564"/>
      <c r="CH108" s="564"/>
      <c r="CI108" s="564"/>
      <c r="CJ108" s="564"/>
      <c r="CK108" s="564"/>
      <c r="CL108" s="564"/>
      <c r="CM108" s="564"/>
      <c r="CN108" s="564"/>
      <c r="CO108" s="564"/>
      <c r="CP108" s="564" t="s">
        <v>4947</v>
      </c>
      <c r="CQ108" s="564"/>
      <c r="CR108" s="564"/>
      <c r="CS108" s="564"/>
      <c r="CT108" s="564" t="s">
        <v>4948</v>
      </c>
      <c r="CU108" s="564"/>
      <c r="CV108" s="564"/>
      <c r="CW108" s="564"/>
      <c r="CX108" s="564"/>
      <c r="CY108" s="564"/>
      <c r="CZ108" s="564"/>
      <c r="DA108" s="564"/>
      <c r="DB108" s="564"/>
      <c r="DC108" s="564"/>
      <c r="DD108" s="564"/>
      <c r="DE108" s="564"/>
      <c r="DF108" s="564" t="s">
        <v>4949</v>
      </c>
      <c r="DG108" s="564"/>
      <c r="DH108" s="564"/>
      <c r="DI108" s="564"/>
      <c r="DJ108" s="564" t="s">
        <v>4950</v>
      </c>
      <c r="DK108" s="564"/>
      <c r="DL108" s="564"/>
      <c r="DM108" s="564"/>
      <c r="DN108" s="564"/>
      <c r="DO108" s="564"/>
      <c r="DP108" s="564"/>
      <c r="DQ108" s="564"/>
      <c r="DR108" s="564"/>
      <c r="DS108" s="564"/>
      <c r="DT108" s="564"/>
      <c r="DU108" s="564"/>
      <c r="DV108" s="564" t="s">
        <v>4951</v>
      </c>
      <c r="DW108" s="564"/>
    </row>
    <row r="109" spans="1:127" s="281" customFormat="1" x14ac:dyDescent="0.2">
      <c r="A109" s="463"/>
      <c r="B109" s="23" t="str">
        <f t="shared" ca="1" si="25"/>
        <v>CPA: Remainder</v>
      </c>
      <c r="C109" s="519">
        <f>IF(COVAX_Status=Lang_Committed,('A2. INPUT Population &amp; Delivery'!$H$315/2),0)</f>
        <v>0</v>
      </c>
      <c r="D109" s="519">
        <f>C109</f>
        <v>0</v>
      </c>
      <c r="E109" s="557"/>
      <c r="F109" s="557"/>
      <c r="G109" s="557"/>
      <c r="H109" s="557"/>
      <c r="I109" s="300">
        <f t="shared" si="26"/>
        <v>0</v>
      </c>
      <c r="J109" s="620"/>
      <c r="K109" s="35" t="s">
        <v>2844</v>
      </c>
      <c r="L109" s="35" t="s">
        <v>3188</v>
      </c>
      <c r="M109" s="459"/>
      <c r="O109" s="587"/>
      <c r="P109" s="564"/>
      <c r="Q109" s="564"/>
      <c r="R109" s="564" t="s">
        <v>4390</v>
      </c>
      <c r="S109" s="564"/>
      <c r="T109" s="564"/>
      <c r="U109" s="564"/>
      <c r="V109" s="564"/>
      <c r="W109" s="564"/>
      <c r="X109" s="564"/>
      <c r="Y109" s="564"/>
      <c r="Z109" s="564"/>
      <c r="AA109" s="564"/>
      <c r="AB109" s="564"/>
      <c r="AC109" s="564"/>
      <c r="AD109" s="564"/>
      <c r="AE109" s="564"/>
      <c r="AF109" s="564"/>
      <c r="AG109" s="564"/>
      <c r="AH109" s="564" t="s">
        <v>4952</v>
      </c>
      <c r="AI109" s="564"/>
      <c r="AJ109" s="564"/>
      <c r="AK109" s="564"/>
      <c r="AL109" s="564"/>
      <c r="AM109" s="564"/>
      <c r="AN109" s="564"/>
      <c r="AO109" s="564"/>
      <c r="AP109" s="564"/>
      <c r="AQ109" s="564"/>
      <c r="AR109" s="564"/>
      <c r="AS109" s="564"/>
      <c r="AT109" s="564"/>
      <c r="AU109" s="564"/>
      <c r="AV109" s="564"/>
      <c r="AW109" s="564"/>
      <c r="AX109" s="564" t="s">
        <v>4953</v>
      </c>
      <c r="AY109" s="564"/>
      <c r="AZ109" s="564"/>
      <c r="BA109" s="564"/>
      <c r="BB109" s="564"/>
      <c r="BC109" s="564"/>
      <c r="BD109" s="564"/>
      <c r="BE109" s="564"/>
      <c r="BF109" s="564"/>
      <c r="BG109" s="564"/>
      <c r="BH109" s="564"/>
      <c r="BI109" s="564"/>
      <c r="BJ109" s="564"/>
      <c r="BK109" s="564"/>
      <c r="BL109" s="564"/>
      <c r="BM109" s="564"/>
      <c r="BN109" s="564" t="s">
        <v>4954</v>
      </c>
      <c r="BO109" s="564"/>
      <c r="BP109" s="564"/>
      <c r="BQ109" s="564"/>
      <c r="BR109" s="564"/>
      <c r="BS109" s="564"/>
      <c r="BT109" s="564"/>
      <c r="BU109" s="564"/>
      <c r="BV109" s="564"/>
      <c r="BW109" s="564"/>
      <c r="BX109" s="564"/>
      <c r="BY109" s="564"/>
      <c r="BZ109" s="564"/>
      <c r="CA109" s="564"/>
      <c r="CB109" s="564"/>
      <c r="CC109" s="564"/>
      <c r="CD109" s="564" t="s">
        <v>4955</v>
      </c>
      <c r="CE109" s="564"/>
      <c r="CF109" s="564"/>
      <c r="CG109" s="564"/>
      <c r="CH109" s="564"/>
      <c r="CI109" s="564"/>
      <c r="CJ109" s="564"/>
      <c r="CK109" s="564"/>
      <c r="CL109" s="564"/>
      <c r="CM109" s="564"/>
      <c r="CN109" s="564"/>
      <c r="CO109" s="564"/>
      <c r="CP109" s="564"/>
      <c r="CQ109" s="564"/>
      <c r="CR109" s="564"/>
      <c r="CS109" s="564"/>
      <c r="CT109" s="564" t="s">
        <v>4956</v>
      </c>
      <c r="CU109" s="564"/>
      <c r="CV109" s="564"/>
      <c r="CW109" s="564"/>
      <c r="CX109" s="564"/>
      <c r="CY109" s="564"/>
      <c r="CZ109" s="564"/>
      <c r="DA109" s="564"/>
      <c r="DB109" s="564"/>
      <c r="DC109" s="564"/>
      <c r="DD109" s="564"/>
      <c r="DE109" s="564"/>
      <c r="DF109" s="564"/>
      <c r="DG109" s="564"/>
      <c r="DH109" s="564"/>
      <c r="DI109" s="564"/>
      <c r="DJ109" s="564" t="s">
        <v>4957</v>
      </c>
      <c r="DK109" s="564"/>
      <c r="DL109" s="564"/>
      <c r="DM109" s="564"/>
      <c r="DN109" s="564"/>
      <c r="DO109" s="564"/>
      <c r="DP109" s="564"/>
      <c r="DQ109" s="564"/>
      <c r="DR109" s="564"/>
      <c r="DS109" s="564"/>
      <c r="DT109" s="564"/>
      <c r="DU109" s="564"/>
      <c r="DV109" s="564"/>
      <c r="DW109" s="564"/>
    </row>
    <row r="110" spans="1:127" s="281" customFormat="1" x14ac:dyDescent="0.2">
      <c r="A110" s="463"/>
      <c r="B110" s="23" t="str">
        <f t="shared" ca="1" si="25"/>
        <v>OPA: Upfront payment</v>
      </c>
      <c r="C110" s="519">
        <f>'A2. INPUT Population &amp; Delivery'!H322</f>
        <v>0</v>
      </c>
      <c r="D110" s="557"/>
      <c r="E110" s="557"/>
      <c r="F110" s="557"/>
      <c r="G110" s="557"/>
      <c r="H110" s="557"/>
      <c r="I110" s="300">
        <f t="shared" si="26"/>
        <v>0</v>
      </c>
      <c r="J110" s="620"/>
      <c r="K110" s="35" t="s">
        <v>2844</v>
      </c>
      <c r="L110" s="35" t="s">
        <v>3188</v>
      </c>
      <c r="M110" s="459"/>
      <c r="N110" s="638" t="str">
        <f ca="1">IF(OFFSET(AD110,0,Lang_Order*Lang__R2)="","",OFFSET(AD110,0,Lang_Order*Lang__R2))</f>
        <v>This is paid in Q4 2020 but added to H1 2021</v>
      </c>
      <c r="O110" s="587"/>
      <c r="P110" s="564"/>
      <c r="Q110" s="564"/>
      <c r="R110" s="564" t="s">
        <v>4223</v>
      </c>
      <c r="S110" s="564"/>
      <c r="T110" s="564"/>
      <c r="U110" s="564"/>
      <c r="V110" s="564"/>
      <c r="W110" s="564"/>
      <c r="X110" s="564"/>
      <c r="Y110" s="564"/>
      <c r="Z110" s="564"/>
      <c r="AA110" s="564"/>
      <c r="AB110" s="564"/>
      <c r="AC110" s="564"/>
      <c r="AD110" s="564" t="s">
        <v>4389</v>
      </c>
      <c r="AE110" s="564"/>
      <c r="AF110" s="564"/>
      <c r="AG110" s="564"/>
      <c r="AH110" s="564" t="s">
        <v>4958</v>
      </c>
      <c r="AI110" s="564"/>
      <c r="AJ110" s="564"/>
      <c r="AK110" s="564"/>
      <c r="AL110" s="564"/>
      <c r="AM110" s="564"/>
      <c r="AN110" s="564"/>
      <c r="AO110" s="564"/>
      <c r="AP110" s="564"/>
      <c r="AQ110" s="564"/>
      <c r="AR110" s="564"/>
      <c r="AS110" s="564"/>
      <c r="AT110" s="564" t="s">
        <v>4941</v>
      </c>
      <c r="AU110" s="564"/>
      <c r="AV110" s="564"/>
      <c r="AW110" s="564"/>
      <c r="AX110" s="564" t="s">
        <v>4959</v>
      </c>
      <c r="AY110" s="564"/>
      <c r="AZ110" s="564"/>
      <c r="BA110" s="564"/>
      <c r="BB110" s="564"/>
      <c r="BC110" s="564"/>
      <c r="BD110" s="564"/>
      <c r="BE110" s="564"/>
      <c r="BF110" s="564"/>
      <c r="BG110" s="564"/>
      <c r="BH110" s="564"/>
      <c r="BI110" s="564"/>
      <c r="BJ110" s="564" t="s">
        <v>4943</v>
      </c>
      <c r="BK110" s="564"/>
      <c r="BL110" s="564"/>
      <c r="BM110" s="564"/>
      <c r="BN110" s="564" t="s">
        <v>4960</v>
      </c>
      <c r="BO110" s="564"/>
      <c r="BP110" s="564"/>
      <c r="BQ110" s="564"/>
      <c r="BR110" s="564"/>
      <c r="BS110" s="564"/>
      <c r="BT110" s="564"/>
      <c r="BU110" s="564"/>
      <c r="BV110" s="564"/>
      <c r="BW110" s="564"/>
      <c r="BX110" s="564"/>
      <c r="BY110" s="564"/>
      <c r="BZ110" s="564" t="s">
        <v>4945</v>
      </c>
      <c r="CA110" s="564"/>
      <c r="CB110" s="564"/>
      <c r="CC110" s="564"/>
      <c r="CD110" s="564" t="s">
        <v>4961</v>
      </c>
      <c r="CE110" s="564"/>
      <c r="CF110" s="564"/>
      <c r="CG110" s="564"/>
      <c r="CH110" s="564"/>
      <c r="CI110" s="564"/>
      <c r="CJ110" s="564"/>
      <c r="CK110" s="564"/>
      <c r="CL110" s="564"/>
      <c r="CM110" s="564"/>
      <c r="CN110" s="564"/>
      <c r="CO110" s="564"/>
      <c r="CP110" s="564" t="s">
        <v>4947</v>
      </c>
      <c r="CQ110" s="564"/>
      <c r="CR110" s="564"/>
      <c r="CS110" s="564"/>
      <c r="CT110" s="564" t="s">
        <v>4962</v>
      </c>
      <c r="CU110" s="564"/>
      <c r="CV110" s="564"/>
      <c r="CW110" s="564"/>
      <c r="CX110" s="564"/>
      <c r="CY110" s="564"/>
      <c r="CZ110" s="564"/>
      <c r="DA110" s="564"/>
      <c r="DB110" s="564"/>
      <c r="DC110" s="564"/>
      <c r="DD110" s="564"/>
      <c r="DE110" s="564"/>
      <c r="DF110" s="564" t="s">
        <v>4949</v>
      </c>
      <c r="DG110" s="564"/>
      <c r="DH110" s="564"/>
      <c r="DI110" s="564"/>
      <c r="DJ110" s="564" t="s">
        <v>4963</v>
      </c>
      <c r="DK110" s="564"/>
      <c r="DL110" s="564"/>
      <c r="DM110" s="564"/>
      <c r="DN110" s="564"/>
      <c r="DO110" s="564"/>
      <c r="DP110" s="564"/>
      <c r="DQ110" s="564"/>
      <c r="DR110" s="564"/>
      <c r="DS110" s="564"/>
      <c r="DT110" s="564"/>
      <c r="DU110" s="564"/>
      <c r="DV110" s="564" t="s">
        <v>4951</v>
      </c>
      <c r="DW110" s="564"/>
    </row>
    <row r="111" spans="1:127" s="281" customFormat="1" x14ac:dyDescent="0.2">
      <c r="A111" s="463"/>
      <c r="B111" s="23" t="str">
        <f t="shared" ca="1" si="25"/>
        <v>OPA: Risk-sharing guarantee</v>
      </c>
      <c r="C111" s="519">
        <f>'A2. INPUT Population &amp; Delivery'!H323</f>
        <v>0</v>
      </c>
      <c r="D111" s="557"/>
      <c r="E111" s="557"/>
      <c r="F111" s="557"/>
      <c r="G111" s="557"/>
      <c r="H111" s="557"/>
      <c r="I111" s="300">
        <f t="shared" si="26"/>
        <v>0</v>
      </c>
      <c r="J111" s="620"/>
      <c r="K111" s="35" t="s">
        <v>2844</v>
      </c>
      <c r="L111" s="35" t="s">
        <v>3188</v>
      </c>
      <c r="M111" s="459"/>
      <c r="N111" s="638" t="str">
        <f ca="1">IF(OFFSET(AD111,0,Lang_Order*Lang__R2)="","",OFFSET(AD111,0,Lang_Order*Lang__R2))</f>
        <v>This is paid in Q4 2020 but added to H1 2021</v>
      </c>
      <c r="O111" s="587"/>
      <c r="P111" s="564"/>
      <c r="Q111" s="564"/>
      <c r="R111" s="564" t="s">
        <v>4224</v>
      </c>
      <c r="S111" s="564"/>
      <c r="T111" s="564"/>
      <c r="U111" s="564"/>
      <c r="V111" s="564"/>
      <c r="W111" s="564"/>
      <c r="X111" s="564"/>
      <c r="Y111" s="564"/>
      <c r="Z111" s="564"/>
      <c r="AA111" s="564"/>
      <c r="AB111" s="564"/>
      <c r="AC111" s="564"/>
      <c r="AD111" s="564" t="s">
        <v>4389</v>
      </c>
      <c r="AE111" s="564"/>
      <c r="AF111" s="564"/>
      <c r="AG111" s="564"/>
      <c r="AH111" s="564" t="s">
        <v>4964</v>
      </c>
      <c r="AI111" s="564"/>
      <c r="AJ111" s="564"/>
      <c r="AK111" s="564"/>
      <c r="AL111" s="564"/>
      <c r="AM111" s="564"/>
      <c r="AN111" s="564"/>
      <c r="AO111" s="564"/>
      <c r="AP111" s="564"/>
      <c r="AQ111" s="564"/>
      <c r="AR111" s="564"/>
      <c r="AS111" s="564"/>
      <c r="AT111" s="564" t="s">
        <v>4941</v>
      </c>
      <c r="AU111" s="564"/>
      <c r="AV111" s="564"/>
      <c r="AW111" s="564"/>
      <c r="AX111" s="564" t="s">
        <v>4965</v>
      </c>
      <c r="AY111" s="564"/>
      <c r="AZ111" s="564"/>
      <c r="BA111" s="564"/>
      <c r="BB111" s="564"/>
      <c r="BC111" s="564"/>
      <c r="BD111" s="564"/>
      <c r="BE111" s="564"/>
      <c r="BF111" s="564"/>
      <c r="BG111" s="564"/>
      <c r="BH111" s="564"/>
      <c r="BI111" s="564"/>
      <c r="BJ111" s="564" t="s">
        <v>4943</v>
      </c>
      <c r="BK111" s="564"/>
      <c r="BL111" s="564"/>
      <c r="BM111" s="564"/>
      <c r="BN111" s="564" t="s">
        <v>4966</v>
      </c>
      <c r="BO111" s="564"/>
      <c r="BP111" s="564"/>
      <c r="BQ111" s="564"/>
      <c r="BR111" s="564"/>
      <c r="BS111" s="564"/>
      <c r="BT111" s="564"/>
      <c r="BU111" s="564"/>
      <c r="BV111" s="564"/>
      <c r="BW111" s="564"/>
      <c r="BX111" s="564"/>
      <c r="BY111" s="564"/>
      <c r="BZ111" s="564" t="s">
        <v>4945</v>
      </c>
      <c r="CA111" s="564"/>
      <c r="CB111" s="564"/>
      <c r="CC111" s="564"/>
      <c r="CD111" s="564" t="s">
        <v>4967</v>
      </c>
      <c r="CE111" s="564"/>
      <c r="CF111" s="564"/>
      <c r="CG111" s="564"/>
      <c r="CH111" s="564"/>
      <c r="CI111" s="564"/>
      <c r="CJ111" s="564"/>
      <c r="CK111" s="564"/>
      <c r="CL111" s="564"/>
      <c r="CM111" s="564"/>
      <c r="CN111" s="564"/>
      <c r="CO111" s="564"/>
      <c r="CP111" s="564" t="s">
        <v>4947</v>
      </c>
      <c r="CQ111" s="564"/>
      <c r="CR111" s="564"/>
      <c r="CS111" s="564"/>
      <c r="CT111" s="564" t="s">
        <v>4968</v>
      </c>
      <c r="CU111" s="564"/>
      <c r="CV111" s="564"/>
      <c r="CW111" s="564"/>
      <c r="CX111" s="564"/>
      <c r="CY111" s="564"/>
      <c r="CZ111" s="564"/>
      <c r="DA111" s="564"/>
      <c r="DB111" s="564"/>
      <c r="DC111" s="564"/>
      <c r="DD111" s="564"/>
      <c r="DE111" s="564"/>
      <c r="DF111" s="564" t="s">
        <v>4949</v>
      </c>
      <c r="DG111" s="564"/>
      <c r="DH111" s="564"/>
      <c r="DI111" s="564"/>
      <c r="DJ111" s="564" t="s">
        <v>4969</v>
      </c>
      <c r="DK111" s="564"/>
      <c r="DL111" s="564"/>
      <c r="DM111" s="564"/>
      <c r="DN111" s="564"/>
      <c r="DO111" s="564"/>
      <c r="DP111" s="564"/>
      <c r="DQ111" s="564"/>
      <c r="DR111" s="564"/>
      <c r="DS111" s="564"/>
      <c r="DT111" s="564"/>
      <c r="DU111" s="564"/>
      <c r="DV111" s="564" t="s">
        <v>4951</v>
      </c>
      <c r="DW111" s="564"/>
    </row>
    <row r="112" spans="1:127" s="272" customFormat="1" x14ac:dyDescent="0.2">
      <c r="A112" s="463"/>
      <c r="B112" s="23" t="str">
        <f t="shared" ca="1" si="25"/>
        <v>OPA: Remainder</v>
      </c>
      <c r="C112" s="519">
        <f>IF(COVAX_Status=Lang_Optional,('A2. INPUT Population &amp; Delivery'!H325/2),0)</f>
        <v>0</v>
      </c>
      <c r="D112" s="519">
        <f>C112</f>
        <v>0</v>
      </c>
      <c r="E112" s="557"/>
      <c r="F112" s="557"/>
      <c r="G112" s="557"/>
      <c r="H112" s="557"/>
      <c r="I112" s="300">
        <f t="shared" si="26"/>
        <v>0</v>
      </c>
      <c r="J112" s="620"/>
      <c r="K112" s="35" t="s">
        <v>2844</v>
      </c>
      <c r="L112" s="35" t="s">
        <v>3188</v>
      </c>
      <c r="M112" s="459"/>
      <c r="O112" s="587"/>
      <c r="P112" s="564"/>
      <c r="Q112" s="564"/>
      <c r="R112" s="564" t="s">
        <v>4391</v>
      </c>
      <c r="S112" s="564"/>
      <c r="T112" s="564"/>
      <c r="U112" s="564"/>
      <c r="V112" s="564"/>
      <c r="W112" s="564"/>
      <c r="X112" s="564"/>
      <c r="Y112" s="564"/>
      <c r="Z112" s="564"/>
      <c r="AA112" s="564"/>
      <c r="AB112" s="564"/>
      <c r="AC112" s="564"/>
      <c r="AD112" s="564"/>
      <c r="AE112" s="564"/>
      <c r="AF112" s="564"/>
      <c r="AG112" s="564"/>
      <c r="AH112" s="564" t="s">
        <v>4970</v>
      </c>
      <c r="AI112" s="564"/>
      <c r="AJ112" s="564"/>
      <c r="AK112" s="564"/>
      <c r="AL112" s="564"/>
      <c r="AM112" s="564"/>
      <c r="AN112" s="564"/>
      <c r="AO112" s="564"/>
      <c r="AP112" s="564"/>
      <c r="AQ112" s="564"/>
      <c r="AR112" s="564"/>
      <c r="AS112" s="564"/>
      <c r="AT112" s="564"/>
      <c r="AU112" s="564"/>
      <c r="AV112" s="564"/>
      <c r="AW112" s="564"/>
      <c r="AX112" s="564" t="s">
        <v>4971</v>
      </c>
      <c r="AY112" s="564"/>
      <c r="AZ112" s="564"/>
      <c r="BA112" s="564"/>
      <c r="BB112" s="564"/>
      <c r="BC112" s="564"/>
      <c r="BD112" s="564"/>
      <c r="BE112" s="564"/>
      <c r="BF112" s="564"/>
      <c r="BG112" s="564"/>
      <c r="BH112" s="564"/>
      <c r="BI112" s="564"/>
      <c r="BJ112" s="564"/>
      <c r="BK112" s="564"/>
      <c r="BL112" s="564"/>
      <c r="BM112" s="564"/>
      <c r="BN112" s="564" t="s">
        <v>4972</v>
      </c>
      <c r="BO112" s="564"/>
      <c r="BP112" s="564"/>
      <c r="BQ112" s="564"/>
      <c r="BR112" s="564"/>
      <c r="BS112" s="564"/>
      <c r="BT112" s="564"/>
      <c r="BU112" s="564"/>
      <c r="BV112" s="564"/>
      <c r="BW112" s="564"/>
      <c r="BX112" s="564"/>
      <c r="BY112" s="564"/>
      <c r="BZ112" s="564"/>
      <c r="CA112" s="564"/>
      <c r="CB112" s="564"/>
      <c r="CC112" s="564"/>
      <c r="CD112" s="564" t="s">
        <v>4973</v>
      </c>
      <c r="CE112" s="564"/>
      <c r="CF112" s="564"/>
      <c r="CG112" s="564"/>
      <c r="CH112" s="564"/>
      <c r="CI112" s="564"/>
      <c r="CJ112" s="564"/>
      <c r="CK112" s="564"/>
      <c r="CL112" s="564"/>
      <c r="CM112" s="564"/>
      <c r="CN112" s="564"/>
      <c r="CO112" s="564"/>
      <c r="CP112" s="564"/>
      <c r="CQ112" s="564"/>
      <c r="CR112" s="564"/>
      <c r="CS112" s="564"/>
      <c r="CT112" s="564" t="s">
        <v>4974</v>
      </c>
      <c r="CU112" s="564"/>
      <c r="CV112" s="564"/>
      <c r="CW112" s="564"/>
      <c r="CX112" s="564"/>
      <c r="CY112" s="564"/>
      <c r="CZ112" s="564"/>
      <c r="DA112" s="564"/>
      <c r="DB112" s="564"/>
      <c r="DC112" s="564"/>
      <c r="DD112" s="564"/>
      <c r="DE112" s="564"/>
      <c r="DF112" s="564"/>
      <c r="DG112" s="564"/>
      <c r="DH112" s="564"/>
      <c r="DI112" s="564"/>
      <c r="DJ112" s="564" t="s">
        <v>4975</v>
      </c>
      <c r="DK112" s="564"/>
      <c r="DL112" s="564"/>
      <c r="DM112" s="564"/>
      <c r="DN112" s="564"/>
      <c r="DO112" s="564"/>
      <c r="DP112" s="564"/>
      <c r="DQ112" s="564"/>
      <c r="DR112" s="564"/>
      <c r="DS112" s="564"/>
      <c r="DT112" s="564"/>
      <c r="DU112" s="564"/>
      <c r="DV112" s="564"/>
      <c r="DW112" s="564"/>
    </row>
    <row r="113" spans="1:127" s="281" customFormat="1" x14ac:dyDescent="0.2">
      <c r="A113" s="463"/>
      <c r="B113" s="335" t="str">
        <f t="shared" ca="1" si="25"/>
        <v>Non-COVAX vaccine supply [taken from A2.6.2]</v>
      </c>
      <c r="C113" s="300">
        <f>'A2. INPUT Population &amp; Delivery'!E338</f>
        <v>0</v>
      </c>
      <c r="D113" s="300">
        <f>'A2. INPUT Population &amp; Delivery'!E339</f>
        <v>0</v>
      </c>
      <c r="E113" s="300">
        <f>'A2. INPUT Population &amp; Delivery'!E340</f>
        <v>0</v>
      </c>
      <c r="F113" s="300">
        <f>'A2. INPUT Population &amp; Delivery'!E341</f>
        <v>0</v>
      </c>
      <c r="G113" s="300">
        <f>'A2. INPUT Population &amp; Delivery'!E342</f>
        <v>0</v>
      </c>
      <c r="H113" s="300">
        <f>'A2. INPUT Population &amp; Delivery'!E343</f>
        <v>0</v>
      </c>
      <c r="I113" s="300">
        <f t="shared" si="26"/>
        <v>0</v>
      </c>
      <c r="J113" s="620"/>
      <c r="K113" s="35" t="s">
        <v>2844</v>
      </c>
      <c r="L113" s="35" t="s">
        <v>3188</v>
      </c>
      <c r="M113" s="459"/>
      <c r="O113" s="587"/>
      <c r="P113" s="564"/>
      <c r="Q113" s="564"/>
      <c r="R113" s="564" t="s">
        <v>4392</v>
      </c>
      <c r="S113" s="564"/>
      <c r="T113" s="564"/>
      <c r="U113" s="564"/>
      <c r="V113" s="564"/>
      <c r="W113" s="564"/>
      <c r="X113" s="564"/>
      <c r="Y113" s="564"/>
      <c r="Z113" s="564"/>
      <c r="AA113" s="564"/>
      <c r="AB113" s="564"/>
      <c r="AC113" s="564"/>
      <c r="AD113" s="564"/>
      <c r="AE113" s="564"/>
      <c r="AF113" s="564"/>
      <c r="AG113" s="564"/>
      <c r="AH113" s="564" t="s">
        <v>4976</v>
      </c>
      <c r="AI113" s="564"/>
      <c r="AJ113" s="564"/>
      <c r="AK113" s="564"/>
      <c r="AL113" s="564"/>
      <c r="AM113" s="564"/>
      <c r="AN113" s="564"/>
      <c r="AO113" s="564"/>
      <c r="AP113" s="564"/>
      <c r="AQ113" s="564"/>
      <c r="AR113" s="564"/>
      <c r="AS113" s="564"/>
      <c r="AT113" s="564"/>
      <c r="AU113" s="564"/>
      <c r="AV113" s="564"/>
      <c r="AW113" s="564"/>
      <c r="AX113" s="564" t="s">
        <v>4977</v>
      </c>
      <c r="AY113" s="564"/>
      <c r="AZ113" s="564"/>
      <c r="BA113" s="564"/>
      <c r="BB113" s="564"/>
      <c r="BC113" s="564"/>
      <c r="BD113" s="564"/>
      <c r="BE113" s="564"/>
      <c r="BF113" s="564"/>
      <c r="BG113" s="564"/>
      <c r="BH113" s="564"/>
      <c r="BI113" s="564"/>
      <c r="BJ113" s="564"/>
      <c r="BK113" s="564"/>
      <c r="BL113" s="564"/>
      <c r="BM113" s="564"/>
      <c r="BN113" s="564" t="s">
        <v>4978</v>
      </c>
      <c r="BO113" s="564"/>
      <c r="BP113" s="564"/>
      <c r="BQ113" s="564"/>
      <c r="BR113" s="564"/>
      <c r="BS113" s="564"/>
      <c r="BT113" s="564"/>
      <c r="BU113" s="564"/>
      <c r="BV113" s="564"/>
      <c r="BW113" s="564"/>
      <c r="BX113" s="564"/>
      <c r="BY113" s="564"/>
      <c r="BZ113" s="564"/>
      <c r="CA113" s="564"/>
      <c r="CB113" s="564"/>
      <c r="CC113" s="564"/>
      <c r="CD113" s="564" t="s">
        <v>4979</v>
      </c>
      <c r="CE113" s="564"/>
      <c r="CF113" s="564"/>
      <c r="CG113" s="564"/>
      <c r="CH113" s="564"/>
      <c r="CI113" s="564"/>
      <c r="CJ113" s="564"/>
      <c r="CK113" s="564"/>
      <c r="CL113" s="564"/>
      <c r="CM113" s="564"/>
      <c r="CN113" s="564"/>
      <c r="CO113" s="564"/>
      <c r="CP113" s="564"/>
      <c r="CQ113" s="564"/>
      <c r="CR113" s="564"/>
      <c r="CS113" s="564"/>
      <c r="CT113" s="564" t="s">
        <v>4980</v>
      </c>
      <c r="CU113" s="564"/>
      <c r="CV113" s="564"/>
      <c r="CW113" s="564"/>
      <c r="CX113" s="564"/>
      <c r="CY113" s="564"/>
      <c r="CZ113" s="564"/>
      <c r="DA113" s="564"/>
      <c r="DB113" s="564"/>
      <c r="DC113" s="564"/>
      <c r="DD113" s="564"/>
      <c r="DE113" s="564"/>
      <c r="DF113" s="564"/>
      <c r="DG113" s="564"/>
      <c r="DH113" s="564"/>
      <c r="DI113" s="564"/>
      <c r="DJ113" s="564" t="s">
        <v>4981</v>
      </c>
      <c r="DK113" s="564"/>
      <c r="DL113" s="564"/>
      <c r="DM113" s="564"/>
      <c r="DN113" s="564"/>
      <c r="DO113" s="564"/>
      <c r="DP113" s="564"/>
      <c r="DQ113" s="564"/>
      <c r="DR113" s="564"/>
      <c r="DS113" s="564"/>
      <c r="DT113" s="564"/>
      <c r="DU113" s="564"/>
      <c r="DV113" s="564"/>
      <c r="DW113" s="564"/>
    </row>
    <row r="114" spans="1:127" s="272" customFormat="1" x14ac:dyDescent="0.2">
      <c r="B114" s="335" t="str">
        <f t="shared" ca="1" si="25"/>
        <v>International Shipping (Vaccine doses only; Not equipment or vaccine related supplies)</v>
      </c>
      <c r="C114" s="300" t="e">
        <f ca="1">'B3. International Logistics'!I5+'B3. International Logistics'!I123+'B3. International Logistics'!I133</f>
        <v>#N/A</v>
      </c>
      <c r="D114" s="300" t="e">
        <f ca="1">'B3. International Logistics'!J5+'B3. International Logistics'!J123+'B3. International Logistics'!J133</f>
        <v>#N/A</v>
      </c>
      <c r="E114" s="300" t="e">
        <f ca="1">'B3. International Logistics'!K5+'B3. International Logistics'!K123+'B3. International Logistics'!K133</f>
        <v>#N/A</v>
      </c>
      <c r="F114" s="300" t="e">
        <f ca="1">'B3. International Logistics'!L5+'B3. International Logistics'!L123+'B3. International Logistics'!L133</f>
        <v>#N/A</v>
      </c>
      <c r="G114" s="300" t="e">
        <f ca="1">'B3. International Logistics'!M5+'B3. International Logistics'!M123+'B3. International Logistics'!M133</f>
        <v>#N/A</v>
      </c>
      <c r="H114" s="300" t="e">
        <f ca="1">'B3. International Logistics'!N5+'B3. International Logistics'!N123+'B3. International Logistics'!N133</f>
        <v>#N/A</v>
      </c>
      <c r="I114" s="300" t="e">
        <f t="shared" ca="1" si="26"/>
        <v>#N/A</v>
      </c>
      <c r="J114" s="620"/>
      <c r="K114" s="35" t="s">
        <v>2844</v>
      </c>
      <c r="L114" s="35" t="s">
        <v>3188</v>
      </c>
      <c r="M114" s="459"/>
      <c r="O114" s="587"/>
      <c r="P114" s="564"/>
      <c r="Q114" s="564"/>
      <c r="R114" s="564" t="s">
        <v>4225</v>
      </c>
      <c r="S114" s="564"/>
      <c r="T114" s="564"/>
      <c r="U114" s="564"/>
      <c r="V114" s="564"/>
      <c r="W114" s="564"/>
      <c r="X114" s="564"/>
      <c r="Y114" s="564"/>
      <c r="Z114" s="564"/>
      <c r="AA114" s="564"/>
      <c r="AB114" s="564"/>
      <c r="AC114" s="564"/>
      <c r="AD114" s="564"/>
      <c r="AE114" s="564"/>
      <c r="AF114" s="564"/>
      <c r="AG114" s="564"/>
      <c r="AH114" s="564" t="s">
        <v>4982</v>
      </c>
      <c r="AI114" s="564"/>
      <c r="AJ114" s="564"/>
      <c r="AK114" s="564"/>
      <c r="AL114" s="564"/>
      <c r="AM114" s="564"/>
      <c r="AN114" s="564"/>
      <c r="AO114" s="564"/>
      <c r="AP114" s="564"/>
      <c r="AQ114" s="564"/>
      <c r="AR114" s="564"/>
      <c r="AS114" s="564"/>
      <c r="AT114" s="564"/>
      <c r="AU114" s="564"/>
      <c r="AV114" s="564"/>
      <c r="AW114" s="564"/>
      <c r="AX114" s="564" t="s">
        <v>4983</v>
      </c>
      <c r="AY114" s="564"/>
      <c r="AZ114" s="564"/>
      <c r="BA114" s="564"/>
      <c r="BB114" s="564"/>
      <c r="BC114" s="564"/>
      <c r="BD114" s="564"/>
      <c r="BE114" s="564"/>
      <c r="BF114" s="564"/>
      <c r="BG114" s="564"/>
      <c r="BH114" s="564"/>
      <c r="BI114" s="564"/>
      <c r="BJ114" s="564"/>
      <c r="BK114" s="564"/>
      <c r="BL114" s="564"/>
      <c r="BM114" s="564"/>
      <c r="BN114" s="564" t="s">
        <v>4984</v>
      </c>
      <c r="BO114" s="564"/>
      <c r="BP114" s="564"/>
      <c r="BQ114" s="564"/>
      <c r="BR114" s="564"/>
      <c r="BS114" s="564"/>
      <c r="BT114" s="564"/>
      <c r="BU114" s="564"/>
      <c r="BV114" s="564"/>
      <c r="BW114" s="564"/>
      <c r="BX114" s="564"/>
      <c r="BY114" s="564"/>
      <c r="BZ114" s="564"/>
      <c r="CA114" s="564"/>
      <c r="CB114" s="564"/>
      <c r="CC114" s="564"/>
      <c r="CD114" s="564" t="s">
        <v>4985</v>
      </c>
      <c r="CE114" s="564"/>
      <c r="CF114" s="564"/>
      <c r="CG114" s="564"/>
      <c r="CH114" s="564"/>
      <c r="CI114" s="564"/>
      <c r="CJ114" s="564"/>
      <c r="CK114" s="564"/>
      <c r="CL114" s="564"/>
      <c r="CM114" s="564"/>
      <c r="CN114" s="564"/>
      <c r="CO114" s="564"/>
      <c r="CP114" s="564"/>
      <c r="CQ114" s="564"/>
      <c r="CR114" s="564"/>
      <c r="CS114" s="564"/>
      <c r="CT114" s="564" t="s">
        <v>4986</v>
      </c>
      <c r="CU114" s="564"/>
      <c r="CV114" s="564"/>
      <c r="CW114" s="564"/>
      <c r="CX114" s="564"/>
      <c r="CY114" s="564"/>
      <c r="CZ114" s="564"/>
      <c r="DA114" s="564"/>
      <c r="DB114" s="564"/>
      <c r="DC114" s="564"/>
      <c r="DD114" s="564"/>
      <c r="DE114" s="564"/>
      <c r="DF114" s="564"/>
      <c r="DG114" s="564"/>
      <c r="DH114" s="564"/>
      <c r="DI114" s="564"/>
      <c r="DJ114" s="564" t="s">
        <v>4987</v>
      </c>
      <c r="DK114" s="564"/>
      <c r="DL114" s="564"/>
      <c r="DM114" s="564"/>
      <c r="DN114" s="564"/>
      <c r="DO114" s="564"/>
      <c r="DP114" s="564"/>
      <c r="DQ114" s="564"/>
      <c r="DR114" s="564"/>
      <c r="DS114" s="564"/>
      <c r="DT114" s="564"/>
      <c r="DU114" s="564"/>
      <c r="DV114" s="564"/>
      <c r="DW114" s="564"/>
    </row>
    <row r="115" spans="1:127" s="540" customFormat="1" x14ac:dyDescent="0.2">
      <c r="B115" s="618" t="str">
        <f t="shared" ca="1" si="25"/>
        <v>Adjustment for Covax fully loaded doses [ESTIMATE ONLY]</v>
      </c>
      <c r="C115" s="519">
        <f>IF(AMC_Status=1,(0-C$104*Covax_Fullyloaded_Shipping),0)</f>
        <v>0</v>
      </c>
      <c r="D115" s="519">
        <f>IF(AMC_Status=1,(0-D$104*Covax_Fullyloaded_Shipping),0)</f>
        <v>0</v>
      </c>
      <c r="E115" s="556"/>
      <c r="F115" s="556"/>
      <c r="G115" s="556"/>
      <c r="H115" s="556"/>
      <c r="I115" s="300">
        <f t="shared" si="26"/>
        <v>0</v>
      </c>
      <c r="J115" s="620"/>
      <c r="K115" s="35" t="s">
        <v>2844</v>
      </c>
      <c r="L115" s="35" t="s">
        <v>3188</v>
      </c>
      <c r="O115" s="587"/>
      <c r="P115" s="564"/>
      <c r="Q115" s="564"/>
      <c r="R115" s="564" t="s">
        <v>4599</v>
      </c>
      <c r="S115" s="564"/>
      <c r="T115" s="564"/>
      <c r="U115" s="564"/>
      <c r="V115" s="564"/>
      <c r="W115" s="564"/>
      <c r="X115" s="564"/>
      <c r="Y115" s="564"/>
      <c r="Z115" s="564"/>
      <c r="AA115" s="564"/>
      <c r="AB115" s="564"/>
      <c r="AC115" s="564"/>
      <c r="AD115" s="564"/>
      <c r="AE115" s="564"/>
      <c r="AF115" s="564"/>
      <c r="AG115" s="564"/>
      <c r="AH115" s="564" t="s">
        <v>13108</v>
      </c>
      <c r="AI115" s="564"/>
      <c r="AJ115" s="564"/>
      <c r="AK115" s="564"/>
      <c r="AL115" s="564"/>
      <c r="AM115" s="564"/>
      <c r="AN115" s="564"/>
      <c r="AO115" s="564"/>
      <c r="AP115" s="564"/>
      <c r="AQ115" s="564"/>
      <c r="AR115" s="564"/>
      <c r="AS115" s="564"/>
      <c r="AT115" s="564"/>
      <c r="AU115" s="564"/>
      <c r="AV115" s="564"/>
      <c r="AW115" s="564"/>
      <c r="AX115" s="564" t="s">
        <v>13109</v>
      </c>
      <c r="AY115" s="564"/>
      <c r="AZ115" s="564"/>
      <c r="BA115" s="564"/>
      <c r="BB115" s="564"/>
      <c r="BC115" s="564"/>
      <c r="BD115" s="564"/>
      <c r="BE115" s="564"/>
      <c r="BF115" s="564"/>
      <c r="BG115" s="564"/>
      <c r="BH115" s="564"/>
      <c r="BI115" s="564"/>
      <c r="BJ115" s="564"/>
      <c r="BK115" s="564"/>
      <c r="BL115" s="564"/>
      <c r="BM115" s="564"/>
      <c r="BN115" s="564" t="s">
        <v>13110</v>
      </c>
      <c r="BO115" s="564"/>
      <c r="BP115" s="564"/>
      <c r="BQ115" s="564"/>
      <c r="BR115" s="564"/>
      <c r="BS115" s="564"/>
      <c r="BT115" s="564"/>
      <c r="BU115" s="564"/>
      <c r="BV115" s="564"/>
      <c r="BW115" s="564"/>
      <c r="BX115" s="564"/>
      <c r="BY115" s="564"/>
      <c r="BZ115" s="564"/>
      <c r="CA115" s="564"/>
      <c r="CB115" s="564"/>
      <c r="CC115" s="564"/>
      <c r="CD115" s="564" t="s">
        <v>13111</v>
      </c>
      <c r="CE115" s="564"/>
      <c r="CF115" s="564"/>
      <c r="CG115" s="564"/>
      <c r="CH115" s="564"/>
      <c r="CI115" s="564"/>
      <c r="CJ115" s="564"/>
      <c r="CK115" s="564"/>
      <c r="CL115" s="564"/>
      <c r="CM115" s="564"/>
      <c r="CN115" s="564"/>
      <c r="CO115" s="564"/>
      <c r="CP115" s="564"/>
      <c r="CQ115" s="564"/>
      <c r="CR115" s="564"/>
      <c r="CS115" s="564"/>
      <c r="CT115" s="564" t="s">
        <v>13112</v>
      </c>
      <c r="CU115" s="564"/>
      <c r="CV115" s="564"/>
      <c r="CW115" s="564"/>
      <c r="CX115" s="564"/>
      <c r="CY115" s="564"/>
      <c r="CZ115" s="564"/>
      <c r="DA115" s="564"/>
      <c r="DB115" s="564"/>
      <c r="DC115" s="564"/>
      <c r="DD115" s="564"/>
      <c r="DE115" s="564"/>
      <c r="DF115" s="564"/>
      <c r="DG115" s="564"/>
      <c r="DH115" s="564"/>
      <c r="DI115" s="564"/>
      <c r="DJ115" s="564" t="s">
        <v>13113</v>
      </c>
      <c r="DK115" s="564"/>
      <c r="DL115" s="564"/>
      <c r="DM115" s="564"/>
      <c r="DN115" s="564"/>
      <c r="DO115" s="564"/>
      <c r="DP115" s="564"/>
      <c r="DQ115" s="564"/>
      <c r="DR115" s="564"/>
      <c r="DS115" s="564"/>
      <c r="DT115" s="564"/>
      <c r="DU115" s="564"/>
      <c r="DV115" s="564"/>
      <c r="DW115" s="564"/>
    </row>
    <row r="116" spans="1:127" s="272" customFormat="1" hidden="1" x14ac:dyDescent="0.2">
      <c r="A116" s="645" t="s">
        <v>14111</v>
      </c>
      <c r="B116" s="72" t="str">
        <f ca="1">IF(OFFSET(R116,0,Lang_Order*Lang__R2)="","",OFFSET(R116,0,Lang_Order*Lang__R2))</f>
        <v>Customs clearance for vaccine doses</v>
      </c>
      <c r="C116" s="199" t="e">
        <f>'B3. International Logistics'!I127</f>
        <v>#N/A</v>
      </c>
      <c r="D116" s="199" t="e">
        <f>'B3. International Logistics'!J127</f>
        <v>#N/A</v>
      </c>
      <c r="E116" s="199" t="e">
        <f>'B3. International Logistics'!K127</f>
        <v>#N/A</v>
      </c>
      <c r="F116" s="199" t="e">
        <f>'B3. International Logistics'!L127</f>
        <v>#N/A</v>
      </c>
      <c r="G116" s="199" t="e">
        <f>'B3. International Logistics'!M127</f>
        <v>#N/A</v>
      </c>
      <c r="H116" s="199" t="e">
        <f>'B3. International Logistics'!N127</f>
        <v>#N/A</v>
      </c>
      <c r="I116" s="199" t="e">
        <f t="shared" si="26"/>
        <v>#N/A</v>
      </c>
      <c r="J116" s="620"/>
      <c r="K116" s="35"/>
      <c r="L116" s="35"/>
      <c r="M116" s="459"/>
      <c r="O116" s="587"/>
      <c r="P116" s="564"/>
      <c r="Q116" s="564"/>
      <c r="R116" s="564" t="s">
        <v>3964</v>
      </c>
      <c r="S116" s="564"/>
      <c r="T116" s="564"/>
      <c r="U116" s="564"/>
      <c r="V116" s="564"/>
      <c r="W116" s="564"/>
      <c r="X116" s="564"/>
      <c r="Y116" s="564"/>
      <c r="Z116" s="564"/>
      <c r="AA116" s="564"/>
      <c r="AB116" s="564"/>
      <c r="AC116" s="564"/>
      <c r="AD116" s="564"/>
      <c r="AE116" s="564"/>
      <c r="AF116" s="564"/>
      <c r="AG116" s="564"/>
      <c r="AH116" s="564" t="s">
        <v>4988</v>
      </c>
      <c r="AI116" s="564"/>
      <c r="AJ116" s="564"/>
      <c r="AK116" s="564"/>
      <c r="AL116" s="564"/>
      <c r="AM116" s="564"/>
      <c r="AN116" s="564"/>
      <c r="AO116" s="564"/>
      <c r="AP116" s="564"/>
      <c r="AQ116" s="564"/>
      <c r="AR116" s="564"/>
      <c r="AS116" s="564"/>
      <c r="AT116" s="564"/>
      <c r="AU116" s="564"/>
      <c r="AV116" s="564"/>
      <c r="AW116" s="564"/>
      <c r="AX116" s="564" t="s">
        <v>4989</v>
      </c>
      <c r="AY116" s="564"/>
      <c r="AZ116" s="564"/>
      <c r="BA116" s="564"/>
      <c r="BB116" s="564"/>
      <c r="BC116" s="564"/>
      <c r="BD116" s="564"/>
      <c r="BE116" s="564"/>
      <c r="BF116" s="564"/>
      <c r="BG116" s="564"/>
      <c r="BH116" s="564"/>
      <c r="BI116" s="564"/>
      <c r="BJ116" s="564"/>
      <c r="BK116" s="564"/>
      <c r="BL116" s="564"/>
      <c r="BM116" s="564"/>
      <c r="BN116" s="564" t="s">
        <v>4990</v>
      </c>
      <c r="BO116" s="564"/>
      <c r="BP116" s="564"/>
      <c r="BQ116" s="564"/>
      <c r="BR116" s="564"/>
      <c r="BS116" s="564"/>
      <c r="BT116" s="564"/>
      <c r="BU116" s="564"/>
      <c r="BV116" s="564"/>
      <c r="BW116" s="564"/>
      <c r="BX116" s="564"/>
      <c r="BY116" s="564"/>
      <c r="BZ116" s="564"/>
      <c r="CA116" s="564"/>
      <c r="CB116" s="564"/>
      <c r="CC116" s="564"/>
      <c r="CD116" s="564" t="s">
        <v>4991</v>
      </c>
      <c r="CE116" s="564"/>
      <c r="CF116" s="564"/>
      <c r="CG116" s="564"/>
      <c r="CH116" s="564"/>
      <c r="CI116" s="564"/>
      <c r="CJ116" s="564"/>
      <c r="CK116" s="564"/>
      <c r="CL116" s="564"/>
      <c r="CM116" s="564"/>
      <c r="CN116" s="564"/>
      <c r="CO116" s="564"/>
      <c r="CP116" s="564"/>
      <c r="CQ116" s="564"/>
      <c r="CR116" s="564"/>
      <c r="CS116" s="564"/>
      <c r="CT116" s="564" t="s">
        <v>4992</v>
      </c>
      <c r="CU116" s="564"/>
      <c r="CV116" s="564"/>
      <c r="CW116" s="564"/>
      <c r="CX116" s="564"/>
      <c r="CY116" s="564"/>
      <c r="CZ116" s="564"/>
      <c r="DA116" s="564"/>
      <c r="DB116" s="564"/>
      <c r="DC116" s="564"/>
      <c r="DD116" s="564"/>
      <c r="DE116" s="564"/>
      <c r="DF116" s="564"/>
      <c r="DG116" s="564"/>
      <c r="DH116" s="564"/>
      <c r="DI116" s="564"/>
      <c r="DJ116" s="564" t="s">
        <v>4993</v>
      </c>
      <c r="DK116" s="564"/>
      <c r="DL116" s="564"/>
      <c r="DM116" s="564"/>
      <c r="DN116" s="564"/>
      <c r="DO116" s="564"/>
      <c r="DP116" s="564"/>
      <c r="DQ116" s="564"/>
      <c r="DR116" s="564"/>
      <c r="DS116" s="564"/>
      <c r="DT116" s="564"/>
      <c r="DU116" s="564"/>
      <c r="DV116" s="564"/>
      <c r="DW116" s="564"/>
    </row>
    <row r="117" spans="1:127" s="272" customFormat="1" ht="13.5" thickBot="1" x14ac:dyDescent="0.25">
      <c r="B117" s="21" t="str">
        <f ca="1">IF(OFFSET(R117,0,Lang_Order*Lang__R2)="","",OFFSET(R117,0,Lang_Order*Lang__R2))</f>
        <v>2.2 Vaccine doses</v>
      </c>
      <c r="C117" s="118" t="e">
        <f t="shared" ref="C117:H117" ca="1" si="27">IF(ISBLANK(C119),C118,C119)</f>
        <v>#N/A</v>
      </c>
      <c r="D117" s="118" t="e">
        <f t="shared" ca="1" si="27"/>
        <v>#N/A</v>
      </c>
      <c r="E117" s="118" t="e">
        <f t="shared" ca="1" si="27"/>
        <v>#N/A</v>
      </c>
      <c r="F117" s="118" t="e">
        <f t="shared" ca="1" si="27"/>
        <v>#N/A</v>
      </c>
      <c r="G117" s="118" t="e">
        <f t="shared" ca="1" si="27"/>
        <v>#N/A</v>
      </c>
      <c r="H117" s="118" t="e">
        <f t="shared" ca="1" si="27"/>
        <v>#N/A</v>
      </c>
      <c r="I117" s="282" t="e">
        <f t="shared" ca="1" si="26"/>
        <v>#N/A</v>
      </c>
      <c r="J117" s="620" t="s">
        <v>5090</v>
      </c>
      <c r="K117" s="551"/>
      <c r="L117" s="551"/>
      <c r="M117" s="459"/>
      <c r="O117" s="567"/>
      <c r="P117" s="564"/>
      <c r="Q117" s="564"/>
      <c r="R117" s="564" t="s">
        <v>14172</v>
      </c>
      <c r="S117" s="564"/>
      <c r="T117" s="564"/>
      <c r="U117" s="564"/>
      <c r="V117" s="564"/>
      <c r="W117" s="564"/>
      <c r="X117" s="564"/>
      <c r="Y117" s="564"/>
      <c r="Z117" s="564"/>
      <c r="AA117" s="564"/>
      <c r="AB117" s="564"/>
      <c r="AC117" s="564"/>
      <c r="AD117" s="564"/>
      <c r="AE117" s="564"/>
      <c r="AF117" s="564"/>
      <c r="AG117" s="564"/>
      <c r="AH117" s="564" t="s">
        <v>13102</v>
      </c>
      <c r="AI117" s="564"/>
      <c r="AJ117" s="564"/>
      <c r="AK117" s="564"/>
      <c r="AL117" s="564"/>
      <c r="AM117" s="564"/>
      <c r="AN117" s="564"/>
      <c r="AO117" s="564"/>
      <c r="AP117" s="564"/>
      <c r="AQ117" s="564"/>
      <c r="AR117" s="564"/>
      <c r="AS117" s="564"/>
      <c r="AT117" s="564"/>
      <c r="AU117" s="564"/>
      <c r="AV117" s="564"/>
      <c r="AW117" s="564"/>
      <c r="AX117" s="564" t="s">
        <v>13103</v>
      </c>
      <c r="AY117" s="564"/>
      <c r="AZ117" s="564"/>
      <c r="BA117" s="564"/>
      <c r="BB117" s="564"/>
      <c r="BC117" s="564"/>
      <c r="BD117" s="564"/>
      <c r="BE117" s="564"/>
      <c r="BF117" s="564"/>
      <c r="BG117" s="564"/>
      <c r="BH117" s="564"/>
      <c r="BI117" s="564"/>
      <c r="BJ117" s="564"/>
      <c r="BK117" s="564"/>
      <c r="BL117" s="564"/>
      <c r="BM117" s="564"/>
      <c r="BN117" s="564" t="s">
        <v>13104</v>
      </c>
      <c r="BO117" s="564"/>
      <c r="BP117" s="564"/>
      <c r="BQ117" s="564"/>
      <c r="BR117" s="564"/>
      <c r="BS117" s="564"/>
      <c r="BT117" s="564"/>
      <c r="BU117" s="564"/>
      <c r="BV117" s="564"/>
      <c r="BW117" s="564"/>
      <c r="BX117" s="564"/>
      <c r="BY117" s="564"/>
      <c r="BZ117" s="564"/>
      <c r="CA117" s="564"/>
      <c r="CB117" s="564"/>
      <c r="CC117" s="564"/>
      <c r="CD117" s="564" t="s">
        <v>13105</v>
      </c>
      <c r="CE117" s="564"/>
      <c r="CF117" s="564"/>
      <c r="CG117" s="564"/>
      <c r="CH117" s="564"/>
      <c r="CI117" s="564"/>
      <c r="CJ117" s="564"/>
      <c r="CK117" s="564"/>
      <c r="CL117" s="564"/>
      <c r="CM117" s="564"/>
      <c r="CN117" s="564"/>
      <c r="CO117" s="564"/>
      <c r="CP117" s="564"/>
      <c r="CQ117" s="564"/>
      <c r="CR117" s="564"/>
      <c r="CS117" s="564"/>
      <c r="CT117" s="564" t="s">
        <v>13106</v>
      </c>
      <c r="CU117" s="564"/>
      <c r="CV117" s="564"/>
      <c r="CW117" s="564"/>
      <c r="CX117" s="564"/>
      <c r="CY117" s="564"/>
      <c r="CZ117" s="564"/>
      <c r="DA117" s="564"/>
      <c r="DB117" s="564"/>
      <c r="DC117" s="564"/>
      <c r="DD117" s="564"/>
      <c r="DE117" s="564"/>
      <c r="DF117" s="564"/>
      <c r="DG117" s="564"/>
      <c r="DH117" s="564"/>
      <c r="DI117" s="564"/>
      <c r="DJ117" s="564" t="s">
        <v>13107</v>
      </c>
      <c r="DK117" s="564"/>
      <c r="DL117" s="564"/>
      <c r="DM117" s="564"/>
      <c r="DN117" s="564"/>
      <c r="DO117" s="564"/>
      <c r="DP117" s="564"/>
      <c r="DQ117" s="564"/>
      <c r="DR117" s="564"/>
      <c r="DS117" s="564"/>
      <c r="DT117" s="564"/>
      <c r="DU117" s="564"/>
      <c r="DV117" s="564"/>
      <c r="DW117" s="564"/>
    </row>
    <row r="118" spans="1:127" s="2" customFormat="1" ht="13.5" thickTop="1" x14ac:dyDescent="0.2">
      <c r="B118" s="72" t="str">
        <f ca="1">IF(OFFSET(R118,0,Lang_Order*Lang__R2)="","",OFFSET(R118,0,Lang_Order*Lang__R2))</f>
        <v>CVIC Estimates</v>
      </c>
      <c r="C118" s="199" t="e">
        <f t="shared" ref="C118:H118" ca="1" si="28">SUM(C107:C116)</f>
        <v>#N/A</v>
      </c>
      <c r="D118" s="199" t="e">
        <f t="shared" ca="1" si="28"/>
        <v>#N/A</v>
      </c>
      <c r="E118" s="199" t="e">
        <f t="shared" ca="1" si="28"/>
        <v>#N/A</v>
      </c>
      <c r="F118" s="199" t="e">
        <f t="shared" ca="1" si="28"/>
        <v>#N/A</v>
      </c>
      <c r="G118" s="199" t="e">
        <f t="shared" ca="1" si="28"/>
        <v>#N/A</v>
      </c>
      <c r="H118" s="199" t="e">
        <f t="shared" ca="1" si="28"/>
        <v>#N/A</v>
      </c>
      <c r="I118" s="199" t="e">
        <f t="shared" ca="1" si="26"/>
        <v>#N/A</v>
      </c>
      <c r="J118" s="620" t="s">
        <v>5089</v>
      </c>
      <c r="P118" s="564"/>
      <c r="Q118" s="564"/>
      <c r="R118" s="564" t="s">
        <v>12973</v>
      </c>
      <c r="S118" s="564"/>
      <c r="T118" s="564"/>
      <c r="U118" s="564"/>
      <c r="V118" s="564"/>
      <c r="W118" s="564"/>
      <c r="X118" s="564"/>
      <c r="Y118" s="564"/>
      <c r="Z118" s="564"/>
      <c r="AA118" s="564"/>
      <c r="AB118" s="564"/>
      <c r="AC118" s="564"/>
      <c r="AD118" s="564"/>
      <c r="AE118" s="564"/>
      <c r="AF118" s="564"/>
      <c r="AG118" s="564"/>
      <c r="AH118" s="564" t="s">
        <v>12974</v>
      </c>
      <c r="AI118" s="564"/>
      <c r="AJ118" s="564"/>
      <c r="AK118" s="564"/>
      <c r="AL118" s="564"/>
      <c r="AM118" s="564"/>
      <c r="AN118" s="564"/>
      <c r="AO118" s="564"/>
      <c r="AP118" s="564"/>
      <c r="AQ118" s="564"/>
      <c r="AR118" s="564"/>
      <c r="AS118" s="564"/>
      <c r="AT118" s="564"/>
      <c r="AU118" s="564"/>
      <c r="AV118" s="564"/>
      <c r="AW118" s="564"/>
      <c r="AX118" s="564" t="s">
        <v>12968</v>
      </c>
      <c r="AY118" s="564"/>
      <c r="AZ118" s="564"/>
      <c r="BA118" s="564"/>
      <c r="BB118" s="564"/>
      <c r="BC118" s="564"/>
      <c r="BD118" s="564"/>
      <c r="BE118" s="564"/>
      <c r="BF118" s="564"/>
      <c r="BG118" s="564"/>
      <c r="BH118" s="564"/>
      <c r="BI118" s="564"/>
      <c r="BJ118" s="564"/>
      <c r="BK118" s="564"/>
      <c r="BL118" s="564"/>
      <c r="BM118" s="564"/>
      <c r="BN118" s="564" t="s">
        <v>12969</v>
      </c>
      <c r="BO118" s="564"/>
      <c r="BP118" s="564"/>
      <c r="BQ118" s="564"/>
      <c r="BR118" s="564"/>
      <c r="BS118" s="564"/>
      <c r="BT118" s="564"/>
      <c r="BU118" s="564"/>
      <c r="BV118" s="564"/>
      <c r="BW118" s="564"/>
      <c r="BX118" s="564"/>
      <c r="BY118" s="564"/>
      <c r="BZ118" s="564"/>
      <c r="CA118" s="564"/>
      <c r="CB118" s="564"/>
      <c r="CC118" s="564"/>
      <c r="CD118" s="564" t="s">
        <v>12970</v>
      </c>
      <c r="CE118" s="564"/>
      <c r="CF118" s="564"/>
      <c r="CG118" s="564"/>
      <c r="CH118" s="564"/>
      <c r="CI118" s="564"/>
      <c r="CJ118" s="564"/>
      <c r="CK118" s="564"/>
      <c r="CL118" s="564"/>
      <c r="CM118" s="564"/>
      <c r="CN118" s="564"/>
      <c r="CO118" s="564"/>
      <c r="CP118" s="564"/>
      <c r="CQ118" s="564"/>
      <c r="CR118" s="564"/>
      <c r="CS118" s="564"/>
      <c r="CT118" s="564" t="s">
        <v>12971</v>
      </c>
      <c r="CU118" s="564"/>
      <c r="CV118" s="564"/>
      <c r="CW118" s="564"/>
      <c r="CX118" s="564"/>
      <c r="CY118" s="564"/>
      <c r="CZ118" s="564"/>
      <c r="DA118" s="564"/>
      <c r="DB118" s="564"/>
      <c r="DC118" s="564"/>
      <c r="DD118" s="564"/>
      <c r="DE118" s="564"/>
      <c r="DF118" s="564"/>
      <c r="DG118" s="564"/>
      <c r="DH118" s="564"/>
      <c r="DI118" s="564"/>
      <c r="DJ118" s="564" t="s">
        <v>12972</v>
      </c>
      <c r="DK118" s="564"/>
      <c r="DL118" s="564"/>
      <c r="DM118" s="564"/>
      <c r="DN118" s="564"/>
      <c r="DO118" s="564"/>
      <c r="DP118" s="564"/>
      <c r="DQ118" s="564"/>
      <c r="DR118" s="564"/>
      <c r="DS118" s="564"/>
      <c r="DT118" s="564"/>
      <c r="DU118" s="564"/>
      <c r="DV118" s="564"/>
      <c r="DW118" s="564"/>
    </row>
    <row r="119" spans="1:127" s="543" customFormat="1" x14ac:dyDescent="0.2">
      <c r="A119" s="350">
        <v>2</v>
      </c>
      <c r="B119" s="5" t="str">
        <f ca="1">IF(OFFSET(R119,0,Lang_Order*Lang__R2)="","",OFFSET(R119,0,Lang_Order*Lang__R2))</f>
        <v>OVERRIDE HERE if alternative costing used for section above</v>
      </c>
      <c r="C119" s="284"/>
      <c r="D119" s="284"/>
      <c r="E119" s="284"/>
      <c r="F119" s="284"/>
      <c r="G119" s="284"/>
      <c r="H119" s="284"/>
      <c r="I119" s="81" t="str">
        <f>Lang_LeaveBlank</f>
        <v>Leave Blank</v>
      </c>
      <c r="J119" s="620" t="s">
        <v>5091</v>
      </c>
      <c r="K119" s="551"/>
      <c r="L119" s="551"/>
      <c r="O119" s="587"/>
      <c r="P119" s="564"/>
      <c r="Q119" s="564"/>
      <c r="R119" s="564" t="s">
        <v>4591</v>
      </c>
      <c r="S119" s="564"/>
      <c r="T119" s="564"/>
      <c r="U119" s="564"/>
      <c r="V119" s="564"/>
      <c r="W119" s="564"/>
      <c r="X119" s="564"/>
      <c r="Y119" s="564"/>
      <c r="Z119" s="564"/>
      <c r="AA119" s="564"/>
      <c r="AB119" s="564"/>
      <c r="AC119" s="564"/>
      <c r="AD119" s="564"/>
      <c r="AE119" s="564"/>
      <c r="AF119" s="564"/>
      <c r="AG119" s="564"/>
      <c r="AH119" s="564" t="s">
        <v>12949</v>
      </c>
      <c r="AI119" s="564"/>
      <c r="AJ119" s="564"/>
      <c r="AK119" s="564"/>
      <c r="AL119" s="564"/>
      <c r="AM119" s="564"/>
      <c r="AN119" s="564"/>
      <c r="AO119" s="564"/>
      <c r="AP119" s="564"/>
      <c r="AQ119" s="564"/>
      <c r="AR119" s="564"/>
      <c r="AS119" s="564"/>
      <c r="AT119" s="564"/>
      <c r="AU119" s="564"/>
      <c r="AV119" s="564"/>
      <c r="AW119" s="564"/>
      <c r="AX119" s="564" t="s">
        <v>12950</v>
      </c>
      <c r="AY119" s="564"/>
      <c r="AZ119" s="564"/>
      <c r="BA119" s="564"/>
      <c r="BB119" s="564"/>
      <c r="BC119" s="564"/>
      <c r="BD119" s="564"/>
      <c r="BE119" s="564"/>
      <c r="BF119" s="564"/>
      <c r="BG119" s="564"/>
      <c r="BH119" s="564"/>
      <c r="BI119" s="564"/>
      <c r="BJ119" s="564"/>
      <c r="BK119" s="564"/>
      <c r="BL119" s="564"/>
      <c r="BM119" s="564"/>
      <c r="BN119" s="564" t="s">
        <v>12951</v>
      </c>
      <c r="BO119" s="564"/>
      <c r="BP119" s="564"/>
      <c r="BQ119" s="564"/>
      <c r="BR119" s="564"/>
      <c r="BS119" s="564"/>
      <c r="BT119" s="564"/>
      <c r="BU119" s="564"/>
      <c r="BV119" s="564"/>
      <c r="BW119" s="564"/>
      <c r="BX119" s="564"/>
      <c r="BY119" s="564"/>
      <c r="BZ119" s="564"/>
      <c r="CA119" s="564"/>
      <c r="CB119" s="564"/>
      <c r="CC119" s="564"/>
      <c r="CD119" s="564" t="s">
        <v>12952</v>
      </c>
      <c r="CE119" s="564"/>
      <c r="CF119" s="564"/>
      <c r="CG119" s="564"/>
      <c r="CH119" s="564"/>
      <c r="CI119" s="564"/>
      <c r="CJ119" s="564"/>
      <c r="CK119" s="564"/>
      <c r="CL119" s="564"/>
      <c r="CM119" s="564"/>
      <c r="CN119" s="564"/>
      <c r="CO119" s="564"/>
      <c r="CP119" s="564"/>
      <c r="CQ119" s="564"/>
      <c r="CR119" s="564"/>
      <c r="CS119" s="564"/>
      <c r="CT119" s="564" t="s">
        <v>12953</v>
      </c>
      <c r="CU119" s="564"/>
      <c r="CV119" s="564"/>
      <c r="CW119" s="564"/>
      <c r="CX119" s="564"/>
      <c r="CY119" s="564"/>
      <c r="CZ119" s="564"/>
      <c r="DA119" s="564"/>
      <c r="DB119" s="564"/>
      <c r="DC119" s="564"/>
      <c r="DD119" s="564"/>
      <c r="DE119" s="564"/>
      <c r="DF119" s="564"/>
      <c r="DG119" s="564"/>
      <c r="DH119" s="564"/>
      <c r="DI119" s="564"/>
      <c r="DJ119" s="564" t="s">
        <v>12954</v>
      </c>
      <c r="DK119" s="564"/>
      <c r="DL119" s="564"/>
      <c r="DM119" s="564"/>
      <c r="DN119" s="564"/>
      <c r="DO119" s="564"/>
      <c r="DP119" s="564"/>
      <c r="DQ119" s="564"/>
      <c r="DR119" s="564"/>
      <c r="DS119" s="564"/>
      <c r="DT119" s="564"/>
      <c r="DU119" s="564"/>
      <c r="DV119" s="564"/>
      <c r="DW119" s="564"/>
    </row>
    <row r="120" spans="1:127" s="272" customFormat="1" x14ac:dyDescent="0.2">
      <c r="B120" s="23"/>
      <c r="J120" s="620"/>
      <c r="K120" s="551"/>
      <c r="L120" s="551"/>
      <c r="M120" s="459"/>
      <c r="O120" s="567"/>
      <c r="P120" s="564"/>
      <c r="Q120" s="564"/>
      <c r="R120" s="564"/>
      <c r="S120" s="564"/>
      <c r="T120" s="564"/>
      <c r="U120" s="564"/>
      <c r="V120" s="564"/>
      <c r="W120" s="564"/>
      <c r="X120" s="564"/>
      <c r="Y120" s="564"/>
      <c r="Z120" s="564"/>
      <c r="AA120" s="564"/>
      <c r="AB120" s="564"/>
      <c r="AC120" s="564"/>
      <c r="AD120" s="564"/>
      <c r="AE120" s="564"/>
      <c r="AF120" s="564"/>
      <c r="AG120" s="564"/>
      <c r="AH120" s="564"/>
      <c r="AI120" s="564"/>
      <c r="AJ120" s="564"/>
      <c r="AK120" s="564"/>
      <c r="AL120" s="564"/>
      <c r="AM120" s="564"/>
      <c r="AN120" s="564"/>
      <c r="AO120" s="564"/>
      <c r="AP120" s="564"/>
      <c r="AQ120" s="564"/>
      <c r="AR120" s="564"/>
      <c r="AS120" s="564"/>
      <c r="AT120" s="564"/>
      <c r="AU120" s="564"/>
      <c r="AV120" s="564"/>
      <c r="AW120" s="564"/>
      <c r="AX120" s="564"/>
      <c r="AY120" s="564"/>
      <c r="AZ120" s="564"/>
      <c r="BA120" s="564"/>
      <c r="BB120" s="564"/>
      <c r="BC120" s="564"/>
      <c r="BD120" s="564"/>
      <c r="BE120" s="564"/>
      <c r="BF120" s="564"/>
      <c r="BG120" s="564"/>
      <c r="BH120" s="564"/>
      <c r="BI120" s="564"/>
      <c r="BJ120" s="564"/>
      <c r="BK120" s="564"/>
      <c r="BL120" s="564"/>
      <c r="BM120" s="564"/>
      <c r="BN120" s="564"/>
      <c r="BO120" s="564"/>
      <c r="BP120" s="564"/>
      <c r="BQ120" s="564"/>
      <c r="BR120" s="564"/>
      <c r="BS120" s="564"/>
      <c r="BT120" s="564"/>
      <c r="BU120" s="564"/>
      <c r="BV120" s="564"/>
      <c r="BW120" s="564"/>
      <c r="BX120" s="564"/>
      <c r="BY120" s="564"/>
      <c r="BZ120" s="564"/>
      <c r="CA120" s="564"/>
      <c r="CB120" s="564"/>
      <c r="CC120" s="564"/>
      <c r="CD120" s="564"/>
      <c r="CE120" s="564"/>
      <c r="CF120" s="564"/>
      <c r="CG120" s="564"/>
      <c r="CH120" s="564"/>
      <c r="CI120" s="564"/>
      <c r="CJ120" s="564"/>
      <c r="CK120" s="564"/>
      <c r="CL120" s="564"/>
      <c r="CM120" s="564"/>
      <c r="CN120" s="564"/>
      <c r="CO120" s="564"/>
      <c r="CP120" s="564"/>
      <c r="CQ120" s="564"/>
      <c r="CR120" s="564"/>
      <c r="CS120" s="564"/>
      <c r="CT120" s="564"/>
      <c r="CU120" s="564"/>
      <c r="CV120" s="564"/>
      <c r="CW120" s="564"/>
      <c r="CX120" s="564"/>
      <c r="CY120" s="564"/>
      <c r="CZ120" s="564"/>
      <c r="DA120" s="564"/>
      <c r="DB120" s="564"/>
      <c r="DC120" s="564"/>
      <c r="DD120" s="564"/>
      <c r="DE120" s="564"/>
      <c r="DF120" s="564"/>
      <c r="DG120" s="564"/>
      <c r="DH120" s="564"/>
      <c r="DI120" s="564"/>
      <c r="DJ120" s="564"/>
      <c r="DK120" s="564"/>
      <c r="DL120" s="564"/>
      <c r="DM120" s="564"/>
      <c r="DN120" s="564"/>
      <c r="DO120" s="564"/>
      <c r="DP120" s="564"/>
      <c r="DQ120" s="564"/>
      <c r="DR120" s="564"/>
      <c r="DS120" s="564"/>
      <c r="DT120" s="564"/>
      <c r="DU120" s="564"/>
      <c r="DV120" s="564"/>
      <c r="DW120" s="564"/>
    </row>
    <row r="121" spans="1:127" s="540" customFormat="1" x14ac:dyDescent="0.2">
      <c r="B121" s="5" t="str">
        <f t="shared" ref="B121:B127" ca="1" si="29">IF(OFFSET(R121,0,Lang_Order*Lang__R2)="","",OFFSET(R121,0,Lang_Order*Lang__R2))</f>
        <v>Vaccine-related Supplies &amp; Devices (excluding waste management [4.2])</v>
      </c>
      <c r="C121" s="380" t="e">
        <f ca="1">'B2. Vaccines and Supplies'!Q117</f>
        <v>#N/A</v>
      </c>
      <c r="D121" s="380" t="e">
        <f ca="1">'B2. Vaccines and Supplies'!R117</f>
        <v>#N/A</v>
      </c>
      <c r="E121" s="380" t="e">
        <f ca="1">'B2. Vaccines and Supplies'!S117</f>
        <v>#N/A</v>
      </c>
      <c r="F121" s="380" t="e">
        <f ca="1">'B2. Vaccines and Supplies'!T117</f>
        <v>#N/A</v>
      </c>
      <c r="G121" s="380" t="e">
        <f ca="1">'B2. Vaccines and Supplies'!U117</f>
        <v>#N/A</v>
      </c>
      <c r="H121" s="380" t="e">
        <f ca="1">'B2. Vaccines and Supplies'!V117</f>
        <v>#N/A</v>
      </c>
      <c r="I121" s="300" t="e">
        <f t="shared" ref="I121:I126" ca="1" si="30">SUM(C121:H121)</f>
        <v>#N/A</v>
      </c>
      <c r="J121" s="620"/>
      <c r="K121" s="551"/>
      <c r="L121" s="551"/>
      <c r="O121" s="567"/>
      <c r="P121" s="564"/>
      <c r="Q121" s="564"/>
      <c r="R121" s="564" t="s">
        <v>4598</v>
      </c>
      <c r="S121" s="564"/>
      <c r="T121" s="564"/>
      <c r="U121" s="564"/>
      <c r="V121" s="564"/>
      <c r="W121" s="564"/>
      <c r="X121" s="564"/>
      <c r="Y121" s="564"/>
      <c r="Z121" s="564"/>
      <c r="AA121" s="564"/>
      <c r="AB121" s="564"/>
      <c r="AC121" s="564"/>
      <c r="AD121" s="564"/>
      <c r="AE121" s="564"/>
      <c r="AF121" s="564"/>
      <c r="AG121" s="564"/>
      <c r="AH121" s="564" t="s">
        <v>13096</v>
      </c>
      <c r="AI121" s="564"/>
      <c r="AJ121" s="564"/>
      <c r="AK121" s="564"/>
      <c r="AL121" s="564"/>
      <c r="AM121" s="564"/>
      <c r="AN121" s="564"/>
      <c r="AO121" s="564"/>
      <c r="AP121" s="564"/>
      <c r="AQ121" s="564"/>
      <c r="AR121" s="564"/>
      <c r="AS121" s="564"/>
      <c r="AT121" s="564"/>
      <c r="AU121" s="564"/>
      <c r="AV121" s="564"/>
      <c r="AW121" s="564"/>
      <c r="AX121" s="564" t="s">
        <v>13097</v>
      </c>
      <c r="AY121" s="564"/>
      <c r="AZ121" s="564"/>
      <c r="BA121" s="564"/>
      <c r="BB121" s="564"/>
      <c r="BC121" s="564"/>
      <c r="BD121" s="564"/>
      <c r="BE121" s="564"/>
      <c r="BF121" s="564"/>
      <c r="BG121" s="564"/>
      <c r="BH121" s="564"/>
      <c r="BI121" s="564"/>
      <c r="BJ121" s="564"/>
      <c r="BK121" s="564"/>
      <c r="BL121" s="564"/>
      <c r="BM121" s="564"/>
      <c r="BN121" s="564" t="s">
        <v>13098</v>
      </c>
      <c r="BO121" s="564"/>
      <c r="BP121" s="564"/>
      <c r="BQ121" s="564"/>
      <c r="BR121" s="564"/>
      <c r="BS121" s="564"/>
      <c r="BT121" s="564"/>
      <c r="BU121" s="564"/>
      <c r="BV121" s="564"/>
      <c r="BW121" s="564"/>
      <c r="BX121" s="564"/>
      <c r="BY121" s="564"/>
      <c r="BZ121" s="564"/>
      <c r="CA121" s="564"/>
      <c r="CB121" s="564"/>
      <c r="CC121" s="564"/>
      <c r="CD121" s="564" t="s">
        <v>13099</v>
      </c>
      <c r="CE121" s="564"/>
      <c r="CF121" s="564"/>
      <c r="CG121" s="564"/>
      <c r="CH121" s="564"/>
      <c r="CI121" s="564"/>
      <c r="CJ121" s="564"/>
      <c r="CK121" s="564"/>
      <c r="CL121" s="564"/>
      <c r="CM121" s="564"/>
      <c r="CN121" s="564"/>
      <c r="CO121" s="564"/>
      <c r="CP121" s="564"/>
      <c r="CQ121" s="564"/>
      <c r="CR121" s="564"/>
      <c r="CS121" s="564"/>
      <c r="CT121" s="564" t="s">
        <v>13100</v>
      </c>
      <c r="CU121" s="564"/>
      <c r="CV121" s="564"/>
      <c r="CW121" s="564"/>
      <c r="CX121" s="564"/>
      <c r="CY121" s="564"/>
      <c r="CZ121" s="564"/>
      <c r="DA121" s="564"/>
      <c r="DB121" s="564"/>
      <c r="DC121" s="564"/>
      <c r="DD121" s="564"/>
      <c r="DE121" s="564"/>
      <c r="DF121" s="564"/>
      <c r="DG121" s="564"/>
      <c r="DH121" s="564"/>
      <c r="DI121" s="564"/>
      <c r="DJ121" s="564" t="s">
        <v>13101</v>
      </c>
      <c r="DK121" s="564"/>
      <c r="DL121" s="564"/>
      <c r="DM121" s="564"/>
      <c r="DN121" s="564"/>
      <c r="DO121" s="564"/>
      <c r="DP121" s="564"/>
      <c r="DQ121" s="564"/>
      <c r="DR121" s="564"/>
      <c r="DS121" s="564"/>
      <c r="DT121" s="564"/>
      <c r="DU121" s="564"/>
      <c r="DV121" s="564"/>
      <c r="DW121" s="564"/>
    </row>
    <row r="122" spans="1:127" s="281" customFormat="1" hidden="1" x14ac:dyDescent="0.2">
      <c r="A122" s="645" t="s">
        <v>14111</v>
      </c>
      <c r="B122" s="72" t="str">
        <f t="shared" ca="1" si="29"/>
        <v>Procurement Service Fees</v>
      </c>
      <c r="C122" s="199" t="e">
        <f ca="1">'B2. Vaccines and Supplies'!Q122</f>
        <v>#N/A</v>
      </c>
      <c r="D122" s="199" t="e">
        <f ca="1">'B2. Vaccines and Supplies'!R122</f>
        <v>#N/A</v>
      </c>
      <c r="E122" s="199" t="e">
        <f ca="1">'B2. Vaccines and Supplies'!S122</f>
        <v>#N/A</v>
      </c>
      <c r="F122" s="199" t="e">
        <f ca="1">'B2. Vaccines and Supplies'!T122</f>
        <v>#N/A</v>
      </c>
      <c r="G122" s="199" t="e">
        <f ca="1">'B2. Vaccines and Supplies'!U122</f>
        <v>#N/A</v>
      </c>
      <c r="H122" s="199" t="e">
        <f ca="1">'B2. Vaccines and Supplies'!V122</f>
        <v>#N/A</v>
      </c>
      <c r="I122" s="199" t="e">
        <f t="shared" ca="1" si="30"/>
        <v>#N/A</v>
      </c>
      <c r="J122" s="620"/>
      <c r="K122" s="551"/>
      <c r="L122" s="551"/>
      <c r="M122" s="459"/>
      <c r="O122" s="567"/>
      <c r="P122" s="564"/>
      <c r="Q122" s="564"/>
      <c r="R122" s="564" t="s">
        <v>3596</v>
      </c>
      <c r="S122" s="564"/>
      <c r="T122" s="564"/>
      <c r="U122" s="564"/>
      <c r="V122" s="564"/>
      <c r="W122" s="564"/>
      <c r="X122" s="564"/>
      <c r="Y122" s="564"/>
      <c r="Z122" s="564"/>
      <c r="AA122" s="564"/>
      <c r="AB122" s="564"/>
      <c r="AC122" s="564"/>
      <c r="AD122" s="564"/>
      <c r="AE122" s="564"/>
      <c r="AF122" s="564"/>
      <c r="AG122" s="564"/>
      <c r="AH122" s="564" t="s">
        <v>4994</v>
      </c>
      <c r="AI122" s="564"/>
      <c r="AJ122" s="564"/>
      <c r="AK122" s="564"/>
      <c r="AL122" s="564"/>
      <c r="AM122" s="564"/>
      <c r="AN122" s="564"/>
      <c r="AO122" s="564"/>
      <c r="AP122" s="564"/>
      <c r="AQ122" s="564"/>
      <c r="AR122" s="564"/>
      <c r="AS122" s="564"/>
      <c r="AT122" s="564"/>
      <c r="AU122" s="564"/>
      <c r="AV122" s="564"/>
      <c r="AW122" s="564"/>
      <c r="AX122" s="564" t="s">
        <v>4995</v>
      </c>
      <c r="AY122" s="564"/>
      <c r="AZ122" s="564"/>
      <c r="BA122" s="564"/>
      <c r="BB122" s="564"/>
      <c r="BC122" s="564"/>
      <c r="BD122" s="564"/>
      <c r="BE122" s="564"/>
      <c r="BF122" s="564"/>
      <c r="BG122" s="564"/>
      <c r="BH122" s="564"/>
      <c r="BI122" s="564"/>
      <c r="BJ122" s="564"/>
      <c r="BK122" s="564"/>
      <c r="BL122" s="564"/>
      <c r="BM122" s="564"/>
      <c r="BN122" s="564" t="s">
        <v>4996</v>
      </c>
      <c r="BO122" s="564"/>
      <c r="BP122" s="564"/>
      <c r="BQ122" s="564"/>
      <c r="BR122" s="564"/>
      <c r="BS122" s="564"/>
      <c r="BT122" s="564"/>
      <c r="BU122" s="564"/>
      <c r="BV122" s="564"/>
      <c r="BW122" s="564"/>
      <c r="BX122" s="564"/>
      <c r="BY122" s="564"/>
      <c r="BZ122" s="564"/>
      <c r="CA122" s="564"/>
      <c r="CB122" s="564"/>
      <c r="CC122" s="564"/>
      <c r="CD122" s="564" t="s">
        <v>4997</v>
      </c>
      <c r="CE122" s="564"/>
      <c r="CF122" s="564"/>
      <c r="CG122" s="564"/>
      <c r="CH122" s="564"/>
      <c r="CI122" s="564"/>
      <c r="CJ122" s="564"/>
      <c r="CK122" s="564"/>
      <c r="CL122" s="564"/>
      <c r="CM122" s="564"/>
      <c r="CN122" s="564"/>
      <c r="CO122" s="564"/>
      <c r="CP122" s="564"/>
      <c r="CQ122" s="564"/>
      <c r="CR122" s="564"/>
      <c r="CS122" s="564"/>
      <c r="CT122" s="564" t="s">
        <v>4998</v>
      </c>
      <c r="CU122" s="564"/>
      <c r="CV122" s="564"/>
      <c r="CW122" s="564"/>
      <c r="CX122" s="564"/>
      <c r="CY122" s="564"/>
      <c r="CZ122" s="564"/>
      <c r="DA122" s="564"/>
      <c r="DB122" s="564"/>
      <c r="DC122" s="564"/>
      <c r="DD122" s="564"/>
      <c r="DE122" s="564"/>
      <c r="DF122" s="564"/>
      <c r="DG122" s="564"/>
      <c r="DH122" s="564"/>
      <c r="DI122" s="564"/>
      <c r="DJ122" s="564" t="s">
        <v>4999</v>
      </c>
      <c r="DK122" s="564"/>
      <c r="DL122" s="564"/>
      <c r="DM122" s="564"/>
      <c r="DN122" s="564"/>
      <c r="DO122" s="564"/>
      <c r="DP122" s="564"/>
      <c r="DQ122" s="564"/>
      <c r="DR122" s="564"/>
      <c r="DS122" s="564"/>
      <c r="DT122" s="564"/>
      <c r="DU122" s="564"/>
      <c r="DV122" s="564"/>
      <c r="DW122" s="564"/>
    </row>
    <row r="123" spans="1:127" s="272" customFormat="1" hidden="1" x14ac:dyDescent="0.2">
      <c r="A123" s="645" t="s">
        <v>14111</v>
      </c>
      <c r="B123" s="72" t="str">
        <f t="shared" ca="1" si="29"/>
        <v>Customs clearance for vaccine-related supplies</v>
      </c>
      <c r="C123" s="199" t="e">
        <f ca="1">'B2. Vaccines and Supplies'!Q120</f>
        <v>#N/A</v>
      </c>
      <c r="D123" s="199" t="e">
        <f ca="1">'B2. Vaccines and Supplies'!R120</f>
        <v>#N/A</v>
      </c>
      <c r="E123" s="199" t="e">
        <f ca="1">'B2. Vaccines and Supplies'!S120</f>
        <v>#N/A</v>
      </c>
      <c r="F123" s="199" t="e">
        <f ca="1">'B2. Vaccines and Supplies'!T120</f>
        <v>#N/A</v>
      </c>
      <c r="G123" s="199" t="e">
        <f ca="1">'B2. Vaccines and Supplies'!U120</f>
        <v>#N/A</v>
      </c>
      <c r="H123" s="199" t="e">
        <f ca="1">'B2. Vaccines and Supplies'!V120</f>
        <v>#N/A</v>
      </c>
      <c r="I123" s="199" t="e">
        <f t="shared" ca="1" si="30"/>
        <v>#N/A</v>
      </c>
      <c r="J123" s="620"/>
      <c r="K123" s="551"/>
      <c r="L123" s="551"/>
      <c r="M123" s="459"/>
      <c r="O123" s="567"/>
      <c r="P123" s="564"/>
      <c r="Q123" s="564"/>
      <c r="R123" s="564" t="s">
        <v>3181</v>
      </c>
      <c r="S123" s="564"/>
      <c r="T123" s="564"/>
      <c r="U123" s="564"/>
      <c r="V123" s="564"/>
      <c r="W123" s="564"/>
      <c r="X123" s="564"/>
      <c r="Y123" s="564"/>
      <c r="Z123" s="564"/>
      <c r="AA123" s="564"/>
      <c r="AB123" s="564"/>
      <c r="AC123" s="564"/>
      <c r="AD123" s="564"/>
      <c r="AE123" s="564"/>
      <c r="AF123" s="564"/>
      <c r="AG123" s="564"/>
      <c r="AH123" s="564" t="s">
        <v>5000</v>
      </c>
      <c r="AI123" s="564"/>
      <c r="AJ123" s="564"/>
      <c r="AK123" s="564"/>
      <c r="AL123" s="564"/>
      <c r="AM123" s="564"/>
      <c r="AN123" s="564"/>
      <c r="AO123" s="564"/>
      <c r="AP123" s="564"/>
      <c r="AQ123" s="564"/>
      <c r="AR123" s="564"/>
      <c r="AS123" s="564"/>
      <c r="AT123" s="564"/>
      <c r="AU123" s="564"/>
      <c r="AV123" s="564"/>
      <c r="AW123" s="564"/>
      <c r="AX123" s="564" t="s">
        <v>5001</v>
      </c>
      <c r="AY123" s="564"/>
      <c r="AZ123" s="564"/>
      <c r="BA123" s="564"/>
      <c r="BB123" s="564"/>
      <c r="BC123" s="564"/>
      <c r="BD123" s="564"/>
      <c r="BE123" s="564"/>
      <c r="BF123" s="564"/>
      <c r="BG123" s="564"/>
      <c r="BH123" s="564"/>
      <c r="BI123" s="564"/>
      <c r="BJ123" s="564"/>
      <c r="BK123" s="564"/>
      <c r="BL123" s="564"/>
      <c r="BM123" s="564"/>
      <c r="BN123" s="564" t="s">
        <v>5002</v>
      </c>
      <c r="BO123" s="564"/>
      <c r="BP123" s="564"/>
      <c r="BQ123" s="564"/>
      <c r="BR123" s="564"/>
      <c r="BS123" s="564"/>
      <c r="BT123" s="564"/>
      <c r="BU123" s="564"/>
      <c r="BV123" s="564"/>
      <c r="BW123" s="564"/>
      <c r="BX123" s="564"/>
      <c r="BY123" s="564"/>
      <c r="BZ123" s="564"/>
      <c r="CA123" s="564"/>
      <c r="CB123" s="564"/>
      <c r="CC123" s="564"/>
      <c r="CD123" s="564" t="s">
        <v>5003</v>
      </c>
      <c r="CE123" s="564"/>
      <c r="CF123" s="564"/>
      <c r="CG123" s="564"/>
      <c r="CH123" s="564"/>
      <c r="CI123" s="564"/>
      <c r="CJ123" s="564"/>
      <c r="CK123" s="564"/>
      <c r="CL123" s="564"/>
      <c r="CM123" s="564"/>
      <c r="CN123" s="564"/>
      <c r="CO123" s="564"/>
      <c r="CP123" s="564"/>
      <c r="CQ123" s="564"/>
      <c r="CR123" s="564"/>
      <c r="CS123" s="564"/>
      <c r="CT123" s="564" t="s">
        <v>5004</v>
      </c>
      <c r="CU123" s="564"/>
      <c r="CV123" s="564"/>
      <c r="CW123" s="564"/>
      <c r="CX123" s="564"/>
      <c r="CY123" s="564"/>
      <c r="CZ123" s="564"/>
      <c r="DA123" s="564"/>
      <c r="DB123" s="564"/>
      <c r="DC123" s="564"/>
      <c r="DD123" s="564"/>
      <c r="DE123" s="564"/>
      <c r="DF123" s="564"/>
      <c r="DG123" s="564"/>
      <c r="DH123" s="564"/>
      <c r="DI123" s="564"/>
      <c r="DJ123" s="564" t="s">
        <v>5005</v>
      </c>
      <c r="DK123" s="564"/>
      <c r="DL123" s="564"/>
      <c r="DM123" s="564"/>
      <c r="DN123" s="564"/>
      <c r="DO123" s="564"/>
      <c r="DP123" s="564"/>
      <c r="DQ123" s="564"/>
      <c r="DR123" s="564"/>
      <c r="DS123" s="564"/>
      <c r="DT123" s="564"/>
      <c r="DU123" s="564"/>
      <c r="DV123" s="564"/>
      <c r="DW123" s="564"/>
    </row>
    <row r="124" spans="1:127" s="540" customFormat="1" x14ac:dyDescent="0.2">
      <c r="B124" s="618" t="str">
        <f t="shared" ca="1" si="29"/>
        <v>Adjustment for Covax fully loaded doses [ESTIMATE ONLY]</v>
      </c>
      <c r="C124" s="519">
        <f>IF(AMC_Status=1,(0-C$104*Covax_Fullyloaded),0)</f>
        <v>0</v>
      </c>
      <c r="D124" s="519">
        <f>IF(AMC_Status=1,(0-D$104*Covax_Fullyloaded),0)</f>
        <v>0</v>
      </c>
      <c r="E124" s="556"/>
      <c r="F124" s="556"/>
      <c r="G124" s="556"/>
      <c r="H124" s="556"/>
      <c r="I124" s="300">
        <f t="shared" si="30"/>
        <v>0</v>
      </c>
      <c r="J124" s="620"/>
      <c r="K124" s="551"/>
      <c r="L124" s="551"/>
      <c r="N124" s="542"/>
      <c r="O124" s="567"/>
      <c r="P124" s="564"/>
      <c r="Q124" s="564"/>
      <c r="R124" s="564" t="s">
        <v>4599</v>
      </c>
      <c r="S124" s="564"/>
      <c r="T124" s="564"/>
      <c r="U124" s="564"/>
      <c r="V124" s="564"/>
      <c r="W124" s="564"/>
      <c r="X124" s="564"/>
      <c r="Y124" s="564"/>
      <c r="Z124" s="564"/>
      <c r="AA124" s="564"/>
      <c r="AB124" s="564"/>
      <c r="AC124" s="564"/>
      <c r="AD124" s="564"/>
      <c r="AE124" s="564"/>
      <c r="AF124" s="564"/>
      <c r="AG124" s="564"/>
      <c r="AH124" s="564" t="s">
        <v>13108</v>
      </c>
      <c r="AI124" s="564"/>
      <c r="AJ124" s="564"/>
      <c r="AK124" s="564"/>
      <c r="AL124" s="564"/>
      <c r="AM124" s="564"/>
      <c r="AN124" s="564"/>
      <c r="AO124" s="564"/>
      <c r="AP124" s="564"/>
      <c r="AQ124" s="564"/>
      <c r="AR124" s="564"/>
      <c r="AS124" s="564"/>
      <c r="AT124" s="564"/>
      <c r="AU124" s="564"/>
      <c r="AV124" s="564"/>
      <c r="AW124" s="564"/>
      <c r="AX124" s="564" t="s">
        <v>13109</v>
      </c>
      <c r="AY124" s="564"/>
      <c r="AZ124" s="564"/>
      <c r="BA124" s="564"/>
      <c r="BB124" s="564"/>
      <c r="BC124" s="564"/>
      <c r="BD124" s="564"/>
      <c r="BE124" s="564"/>
      <c r="BF124" s="564"/>
      <c r="BG124" s="564"/>
      <c r="BH124" s="564"/>
      <c r="BI124" s="564"/>
      <c r="BJ124" s="564"/>
      <c r="BK124" s="564"/>
      <c r="BL124" s="564"/>
      <c r="BM124" s="564"/>
      <c r="BN124" s="564" t="s">
        <v>13110</v>
      </c>
      <c r="BO124" s="564"/>
      <c r="BP124" s="564"/>
      <c r="BQ124" s="564"/>
      <c r="BR124" s="564"/>
      <c r="BS124" s="564"/>
      <c r="BT124" s="564"/>
      <c r="BU124" s="564"/>
      <c r="BV124" s="564"/>
      <c r="BW124" s="564"/>
      <c r="BX124" s="564"/>
      <c r="BY124" s="564"/>
      <c r="BZ124" s="564"/>
      <c r="CA124" s="564"/>
      <c r="CB124" s="564"/>
      <c r="CC124" s="564"/>
      <c r="CD124" s="564" t="s">
        <v>13111</v>
      </c>
      <c r="CE124" s="564"/>
      <c r="CF124" s="564"/>
      <c r="CG124" s="564"/>
      <c r="CH124" s="564"/>
      <c r="CI124" s="564"/>
      <c r="CJ124" s="564"/>
      <c r="CK124" s="564"/>
      <c r="CL124" s="564"/>
      <c r="CM124" s="564"/>
      <c r="CN124" s="564"/>
      <c r="CO124" s="564"/>
      <c r="CP124" s="564"/>
      <c r="CQ124" s="564"/>
      <c r="CR124" s="564"/>
      <c r="CS124" s="564"/>
      <c r="CT124" s="564" t="s">
        <v>13112</v>
      </c>
      <c r="CU124" s="564"/>
      <c r="CV124" s="564"/>
      <c r="CW124" s="564"/>
      <c r="CX124" s="564"/>
      <c r="CY124" s="564"/>
      <c r="CZ124" s="564"/>
      <c r="DA124" s="564"/>
      <c r="DB124" s="564"/>
      <c r="DC124" s="564"/>
      <c r="DD124" s="564"/>
      <c r="DE124" s="564"/>
      <c r="DF124" s="564"/>
      <c r="DG124" s="564"/>
      <c r="DH124" s="564"/>
      <c r="DI124" s="564"/>
      <c r="DJ124" s="564" t="s">
        <v>13113</v>
      </c>
      <c r="DK124" s="564"/>
      <c r="DL124" s="564"/>
      <c r="DM124" s="564"/>
      <c r="DN124" s="564"/>
      <c r="DO124" s="564"/>
      <c r="DP124" s="564"/>
      <c r="DQ124" s="564"/>
      <c r="DR124" s="564"/>
      <c r="DS124" s="564"/>
      <c r="DT124" s="564"/>
      <c r="DU124" s="564"/>
      <c r="DV124" s="564"/>
      <c r="DW124" s="564"/>
    </row>
    <row r="125" spans="1:127" s="272" customFormat="1" ht="13.5" thickBot="1" x14ac:dyDescent="0.25">
      <c r="B125" s="21" t="str">
        <f t="shared" ca="1" si="29"/>
        <v>2.3 Vaccine-related supplies and devices</v>
      </c>
      <c r="C125" s="118" t="e">
        <f t="shared" ref="C125:H125" ca="1" si="31">IF(ISBLANK(C127),C126,C127)</f>
        <v>#N/A</v>
      </c>
      <c r="D125" s="118" t="e">
        <f t="shared" ca="1" si="31"/>
        <v>#N/A</v>
      </c>
      <c r="E125" s="118" t="e">
        <f t="shared" ca="1" si="31"/>
        <v>#N/A</v>
      </c>
      <c r="F125" s="118" t="e">
        <f t="shared" ca="1" si="31"/>
        <v>#N/A</v>
      </c>
      <c r="G125" s="118" t="e">
        <f t="shared" ca="1" si="31"/>
        <v>#N/A</v>
      </c>
      <c r="H125" s="118" t="e">
        <f t="shared" ca="1" si="31"/>
        <v>#N/A</v>
      </c>
      <c r="I125" s="282" t="e">
        <f t="shared" ca="1" si="30"/>
        <v>#N/A</v>
      </c>
      <c r="J125" s="620" t="s">
        <v>5092</v>
      </c>
      <c r="K125" s="35" t="s">
        <v>2844</v>
      </c>
      <c r="L125" s="35" t="s">
        <v>3188</v>
      </c>
      <c r="M125" s="459"/>
      <c r="N125" s="299"/>
      <c r="O125" s="587"/>
      <c r="P125" s="564"/>
      <c r="Q125" s="564"/>
      <c r="R125" s="564" t="s">
        <v>14171</v>
      </c>
      <c r="S125" s="564"/>
      <c r="T125" s="564"/>
      <c r="U125" s="564"/>
      <c r="V125" s="564"/>
      <c r="W125" s="564"/>
      <c r="X125" s="564"/>
      <c r="Y125" s="564"/>
      <c r="Z125" s="564"/>
      <c r="AA125" s="564"/>
      <c r="AB125" s="564"/>
      <c r="AC125" s="564"/>
      <c r="AD125" s="564"/>
      <c r="AE125" s="564"/>
      <c r="AF125" s="564"/>
      <c r="AG125" s="564"/>
      <c r="AH125" s="564" t="s">
        <v>13090</v>
      </c>
      <c r="AI125" s="564"/>
      <c r="AJ125" s="564"/>
      <c r="AK125" s="564"/>
      <c r="AL125" s="564"/>
      <c r="AM125" s="564"/>
      <c r="AN125" s="564"/>
      <c r="AO125" s="564"/>
      <c r="AP125" s="564"/>
      <c r="AQ125" s="564"/>
      <c r="AR125" s="564"/>
      <c r="AS125" s="564"/>
      <c r="AT125" s="564"/>
      <c r="AU125" s="564"/>
      <c r="AV125" s="564"/>
      <c r="AW125" s="564"/>
      <c r="AX125" s="564" t="s">
        <v>13091</v>
      </c>
      <c r="AY125" s="564"/>
      <c r="AZ125" s="564"/>
      <c r="BA125" s="564"/>
      <c r="BB125" s="564"/>
      <c r="BC125" s="564"/>
      <c r="BD125" s="564"/>
      <c r="BE125" s="564"/>
      <c r="BF125" s="564"/>
      <c r="BG125" s="564"/>
      <c r="BH125" s="564"/>
      <c r="BI125" s="564"/>
      <c r="BJ125" s="564"/>
      <c r="BK125" s="564"/>
      <c r="BL125" s="564"/>
      <c r="BM125" s="564"/>
      <c r="BN125" s="564" t="s">
        <v>13092</v>
      </c>
      <c r="BO125" s="564"/>
      <c r="BP125" s="564"/>
      <c r="BQ125" s="564"/>
      <c r="BR125" s="564"/>
      <c r="BS125" s="564"/>
      <c r="BT125" s="564"/>
      <c r="BU125" s="564"/>
      <c r="BV125" s="564"/>
      <c r="BW125" s="564"/>
      <c r="BX125" s="564"/>
      <c r="BY125" s="564"/>
      <c r="BZ125" s="564"/>
      <c r="CA125" s="564"/>
      <c r="CB125" s="564"/>
      <c r="CC125" s="564"/>
      <c r="CD125" s="564" t="s">
        <v>13093</v>
      </c>
      <c r="CE125" s="564"/>
      <c r="CF125" s="564"/>
      <c r="CG125" s="564"/>
      <c r="CH125" s="564"/>
      <c r="CI125" s="564"/>
      <c r="CJ125" s="564"/>
      <c r="CK125" s="564"/>
      <c r="CL125" s="564"/>
      <c r="CM125" s="564"/>
      <c r="CN125" s="564"/>
      <c r="CO125" s="564"/>
      <c r="CP125" s="564"/>
      <c r="CQ125" s="564"/>
      <c r="CR125" s="564"/>
      <c r="CS125" s="564"/>
      <c r="CT125" s="564" t="s">
        <v>13094</v>
      </c>
      <c r="CU125" s="564"/>
      <c r="CV125" s="564"/>
      <c r="CW125" s="564"/>
      <c r="CX125" s="564"/>
      <c r="CY125" s="564"/>
      <c r="CZ125" s="564"/>
      <c r="DA125" s="564"/>
      <c r="DB125" s="564"/>
      <c r="DC125" s="564"/>
      <c r="DD125" s="564"/>
      <c r="DE125" s="564"/>
      <c r="DF125" s="564"/>
      <c r="DG125" s="564"/>
      <c r="DH125" s="564"/>
      <c r="DI125" s="564"/>
      <c r="DJ125" s="564" t="s">
        <v>13095</v>
      </c>
      <c r="DK125" s="564"/>
      <c r="DL125" s="564"/>
      <c r="DM125" s="564"/>
      <c r="DN125" s="564"/>
      <c r="DO125" s="564"/>
      <c r="DP125" s="564"/>
      <c r="DQ125" s="564"/>
      <c r="DR125" s="564"/>
      <c r="DS125" s="564"/>
      <c r="DT125" s="564"/>
      <c r="DU125" s="564"/>
      <c r="DV125" s="564"/>
      <c r="DW125" s="564"/>
    </row>
    <row r="126" spans="1:127" s="2" customFormat="1" ht="13.5" thickTop="1" x14ac:dyDescent="0.2">
      <c r="B126" s="72" t="str">
        <f t="shared" ca="1" si="29"/>
        <v>CVIC Estimates</v>
      </c>
      <c r="C126" s="199" t="e">
        <f t="shared" ref="C126:H126" ca="1" si="32">SUM(C121:C124)</f>
        <v>#N/A</v>
      </c>
      <c r="D126" s="199" t="e">
        <f t="shared" ca="1" si="32"/>
        <v>#N/A</v>
      </c>
      <c r="E126" s="199" t="e">
        <f t="shared" ca="1" si="32"/>
        <v>#N/A</v>
      </c>
      <c r="F126" s="199" t="e">
        <f t="shared" ca="1" si="32"/>
        <v>#N/A</v>
      </c>
      <c r="G126" s="199" t="e">
        <f t="shared" ca="1" si="32"/>
        <v>#N/A</v>
      </c>
      <c r="H126" s="199" t="e">
        <f t="shared" ca="1" si="32"/>
        <v>#N/A</v>
      </c>
      <c r="I126" s="199" t="e">
        <f t="shared" ca="1" si="30"/>
        <v>#N/A</v>
      </c>
      <c r="J126" s="620" t="s">
        <v>5093</v>
      </c>
      <c r="P126" s="564"/>
      <c r="Q126" s="564"/>
      <c r="R126" s="564" t="s">
        <v>12973</v>
      </c>
      <c r="S126" s="564"/>
      <c r="T126" s="564"/>
      <c r="U126" s="564"/>
      <c r="V126" s="564"/>
      <c r="W126" s="564"/>
      <c r="X126" s="564"/>
      <c r="Y126" s="564"/>
      <c r="Z126" s="564"/>
      <c r="AA126" s="564"/>
      <c r="AB126" s="564"/>
      <c r="AC126" s="564"/>
      <c r="AD126" s="564"/>
      <c r="AE126" s="564"/>
      <c r="AF126" s="564"/>
      <c r="AG126" s="564"/>
      <c r="AH126" s="564" t="s">
        <v>12974</v>
      </c>
      <c r="AI126" s="564"/>
      <c r="AJ126" s="564"/>
      <c r="AK126" s="564"/>
      <c r="AL126" s="564"/>
      <c r="AM126" s="564"/>
      <c r="AN126" s="564"/>
      <c r="AO126" s="564"/>
      <c r="AP126" s="564"/>
      <c r="AQ126" s="564"/>
      <c r="AR126" s="564"/>
      <c r="AS126" s="564"/>
      <c r="AT126" s="564"/>
      <c r="AU126" s="564"/>
      <c r="AV126" s="564"/>
      <c r="AW126" s="564"/>
      <c r="AX126" s="564" t="s">
        <v>12968</v>
      </c>
      <c r="AY126" s="564"/>
      <c r="AZ126" s="564"/>
      <c r="BA126" s="564"/>
      <c r="BB126" s="564"/>
      <c r="BC126" s="564"/>
      <c r="BD126" s="564"/>
      <c r="BE126" s="564"/>
      <c r="BF126" s="564"/>
      <c r="BG126" s="564"/>
      <c r="BH126" s="564"/>
      <c r="BI126" s="564"/>
      <c r="BJ126" s="564"/>
      <c r="BK126" s="564"/>
      <c r="BL126" s="564"/>
      <c r="BM126" s="564"/>
      <c r="BN126" s="564" t="s">
        <v>12969</v>
      </c>
      <c r="BO126" s="564"/>
      <c r="BP126" s="564"/>
      <c r="BQ126" s="564"/>
      <c r="BR126" s="564"/>
      <c r="BS126" s="564"/>
      <c r="BT126" s="564"/>
      <c r="BU126" s="564"/>
      <c r="BV126" s="564"/>
      <c r="BW126" s="564"/>
      <c r="BX126" s="564"/>
      <c r="BY126" s="564"/>
      <c r="BZ126" s="564"/>
      <c r="CA126" s="564"/>
      <c r="CB126" s="564"/>
      <c r="CC126" s="564"/>
      <c r="CD126" s="564" t="s">
        <v>12970</v>
      </c>
      <c r="CE126" s="564"/>
      <c r="CF126" s="564"/>
      <c r="CG126" s="564"/>
      <c r="CH126" s="564"/>
      <c r="CI126" s="564"/>
      <c r="CJ126" s="564"/>
      <c r="CK126" s="564"/>
      <c r="CL126" s="564"/>
      <c r="CM126" s="564"/>
      <c r="CN126" s="564"/>
      <c r="CO126" s="564"/>
      <c r="CP126" s="564"/>
      <c r="CQ126" s="564"/>
      <c r="CR126" s="564"/>
      <c r="CS126" s="564"/>
      <c r="CT126" s="564" t="s">
        <v>12971</v>
      </c>
      <c r="CU126" s="564"/>
      <c r="CV126" s="564"/>
      <c r="CW126" s="564"/>
      <c r="CX126" s="564"/>
      <c r="CY126" s="564"/>
      <c r="CZ126" s="564"/>
      <c r="DA126" s="564"/>
      <c r="DB126" s="564"/>
      <c r="DC126" s="564"/>
      <c r="DD126" s="564"/>
      <c r="DE126" s="564"/>
      <c r="DF126" s="564"/>
      <c r="DG126" s="564"/>
      <c r="DH126" s="564"/>
      <c r="DI126" s="564"/>
      <c r="DJ126" s="564" t="s">
        <v>12972</v>
      </c>
      <c r="DK126" s="564"/>
      <c r="DL126" s="564"/>
      <c r="DM126" s="564"/>
      <c r="DN126" s="564"/>
      <c r="DO126" s="564"/>
      <c r="DP126" s="564"/>
      <c r="DQ126" s="564"/>
      <c r="DR126" s="564"/>
      <c r="DS126" s="564"/>
      <c r="DT126" s="564"/>
      <c r="DU126" s="564"/>
      <c r="DV126" s="564"/>
      <c r="DW126" s="564"/>
    </row>
    <row r="127" spans="1:127" s="538" customFormat="1" x14ac:dyDescent="0.2">
      <c r="A127" s="350">
        <v>2</v>
      </c>
      <c r="B127" s="5" t="str">
        <f t="shared" ca="1" si="29"/>
        <v>OVERRIDE HERE if alternative costing used for section above</v>
      </c>
      <c r="C127" s="284"/>
      <c r="D127" s="284"/>
      <c r="E127" s="284"/>
      <c r="F127" s="284"/>
      <c r="G127" s="284"/>
      <c r="H127" s="284"/>
      <c r="I127" s="81" t="str">
        <f>Lang_LeaveBlank</f>
        <v>Leave Blank</v>
      </c>
      <c r="J127" s="620" t="s">
        <v>5094</v>
      </c>
      <c r="K127" s="551"/>
      <c r="L127" s="551"/>
      <c r="O127" s="587"/>
      <c r="P127" s="564"/>
      <c r="Q127" s="564"/>
      <c r="R127" s="564" t="s">
        <v>4591</v>
      </c>
      <c r="S127" s="564"/>
      <c r="T127" s="564"/>
      <c r="U127" s="564"/>
      <c r="V127" s="564"/>
      <c r="W127" s="564"/>
      <c r="X127" s="564"/>
      <c r="Y127" s="564"/>
      <c r="Z127" s="564"/>
      <c r="AA127" s="564"/>
      <c r="AB127" s="564"/>
      <c r="AC127" s="564"/>
      <c r="AD127" s="564"/>
      <c r="AE127" s="564"/>
      <c r="AF127" s="564"/>
      <c r="AG127" s="564"/>
      <c r="AH127" s="564" t="s">
        <v>12949</v>
      </c>
      <c r="AI127" s="564"/>
      <c r="AJ127" s="564"/>
      <c r="AK127" s="564"/>
      <c r="AL127" s="564"/>
      <c r="AM127" s="564"/>
      <c r="AN127" s="564"/>
      <c r="AO127" s="564"/>
      <c r="AP127" s="564"/>
      <c r="AQ127" s="564"/>
      <c r="AR127" s="564"/>
      <c r="AS127" s="564"/>
      <c r="AT127" s="564"/>
      <c r="AU127" s="564"/>
      <c r="AV127" s="564"/>
      <c r="AW127" s="564"/>
      <c r="AX127" s="564" t="s">
        <v>12950</v>
      </c>
      <c r="AY127" s="564"/>
      <c r="AZ127" s="564"/>
      <c r="BA127" s="564"/>
      <c r="BB127" s="564"/>
      <c r="BC127" s="564"/>
      <c r="BD127" s="564"/>
      <c r="BE127" s="564"/>
      <c r="BF127" s="564"/>
      <c r="BG127" s="564"/>
      <c r="BH127" s="564"/>
      <c r="BI127" s="564"/>
      <c r="BJ127" s="564"/>
      <c r="BK127" s="564"/>
      <c r="BL127" s="564"/>
      <c r="BM127" s="564"/>
      <c r="BN127" s="564" t="s">
        <v>12951</v>
      </c>
      <c r="BO127" s="564"/>
      <c r="BP127" s="564"/>
      <c r="BQ127" s="564"/>
      <c r="BR127" s="564"/>
      <c r="BS127" s="564"/>
      <c r="BT127" s="564"/>
      <c r="BU127" s="564"/>
      <c r="BV127" s="564"/>
      <c r="BW127" s="564"/>
      <c r="BX127" s="564"/>
      <c r="BY127" s="564"/>
      <c r="BZ127" s="564"/>
      <c r="CA127" s="564"/>
      <c r="CB127" s="564"/>
      <c r="CC127" s="564"/>
      <c r="CD127" s="564" t="s">
        <v>12952</v>
      </c>
      <c r="CE127" s="564"/>
      <c r="CF127" s="564"/>
      <c r="CG127" s="564"/>
      <c r="CH127" s="564"/>
      <c r="CI127" s="564"/>
      <c r="CJ127" s="564"/>
      <c r="CK127" s="564"/>
      <c r="CL127" s="564"/>
      <c r="CM127" s="564"/>
      <c r="CN127" s="564"/>
      <c r="CO127" s="564"/>
      <c r="CP127" s="564"/>
      <c r="CQ127" s="564"/>
      <c r="CR127" s="564"/>
      <c r="CS127" s="564"/>
      <c r="CT127" s="564" t="s">
        <v>12953</v>
      </c>
      <c r="CU127" s="564"/>
      <c r="CV127" s="564"/>
      <c r="CW127" s="564"/>
      <c r="CX127" s="564"/>
      <c r="CY127" s="564"/>
      <c r="CZ127" s="564"/>
      <c r="DA127" s="564"/>
      <c r="DB127" s="564"/>
      <c r="DC127" s="564"/>
      <c r="DD127" s="564"/>
      <c r="DE127" s="564"/>
      <c r="DF127" s="564"/>
      <c r="DG127" s="564"/>
      <c r="DH127" s="564"/>
      <c r="DI127" s="564"/>
      <c r="DJ127" s="564" t="s">
        <v>12954</v>
      </c>
      <c r="DK127" s="564"/>
      <c r="DL127" s="564"/>
      <c r="DM127" s="564"/>
      <c r="DN127" s="564"/>
      <c r="DO127" s="564"/>
      <c r="DP127" s="564"/>
      <c r="DQ127" s="564"/>
      <c r="DR127" s="564"/>
      <c r="DS127" s="564"/>
      <c r="DT127" s="564"/>
      <c r="DU127" s="564"/>
      <c r="DV127" s="564"/>
      <c r="DW127" s="564"/>
    </row>
    <row r="128" spans="1:127" s="272" customFormat="1" x14ac:dyDescent="0.2">
      <c r="A128" s="85"/>
      <c r="B128" s="23"/>
      <c r="J128" s="620"/>
      <c r="K128" s="551"/>
      <c r="L128" s="551"/>
      <c r="M128" s="459"/>
      <c r="O128" s="567"/>
      <c r="P128" s="564"/>
      <c r="Q128" s="564"/>
      <c r="R128" s="564"/>
      <c r="S128" s="564"/>
      <c r="T128" s="564"/>
      <c r="U128" s="564"/>
      <c r="V128" s="564"/>
      <c r="W128" s="564"/>
      <c r="X128" s="564"/>
      <c r="Y128" s="564"/>
      <c r="Z128" s="564"/>
      <c r="AA128" s="564"/>
      <c r="AB128" s="564"/>
      <c r="AC128" s="564"/>
      <c r="AD128" s="564"/>
      <c r="AE128" s="564"/>
      <c r="AF128" s="564"/>
      <c r="AG128" s="564"/>
      <c r="AH128" s="564"/>
      <c r="AI128" s="564"/>
      <c r="AJ128" s="564"/>
      <c r="AK128" s="564"/>
      <c r="AL128" s="564"/>
      <c r="AM128" s="564"/>
      <c r="AN128" s="564"/>
      <c r="AO128" s="564"/>
      <c r="AP128" s="564"/>
      <c r="AQ128" s="564"/>
      <c r="AR128" s="564"/>
      <c r="AS128" s="564"/>
      <c r="AT128" s="564"/>
      <c r="AU128" s="564"/>
      <c r="AV128" s="564"/>
      <c r="AW128" s="564"/>
      <c r="AX128" s="564"/>
      <c r="AY128" s="564"/>
      <c r="AZ128" s="564"/>
      <c r="BA128" s="564"/>
      <c r="BB128" s="564"/>
      <c r="BC128" s="564"/>
      <c r="BD128" s="564"/>
      <c r="BE128" s="564"/>
      <c r="BF128" s="564"/>
      <c r="BG128" s="564"/>
      <c r="BH128" s="564"/>
      <c r="BI128" s="564"/>
      <c r="BJ128" s="564"/>
      <c r="BK128" s="564"/>
      <c r="BL128" s="564"/>
      <c r="BM128" s="564"/>
      <c r="BN128" s="564"/>
      <c r="BO128" s="564"/>
      <c r="BP128" s="564"/>
      <c r="BQ128" s="564"/>
      <c r="BR128" s="564"/>
      <c r="BS128" s="564"/>
      <c r="BT128" s="564"/>
      <c r="BU128" s="564"/>
      <c r="BV128" s="564"/>
      <c r="BW128" s="564"/>
      <c r="BX128" s="564"/>
      <c r="BY128" s="564"/>
      <c r="BZ128" s="564"/>
      <c r="CA128" s="564"/>
      <c r="CB128" s="564"/>
      <c r="CC128" s="564"/>
      <c r="CD128" s="564"/>
      <c r="CE128" s="564"/>
      <c r="CF128" s="564"/>
      <c r="CG128" s="564"/>
      <c r="CH128" s="564"/>
      <c r="CI128" s="564"/>
      <c r="CJ128" s="564"/>
      <c r="CK128" s="564"/>
      <c r="CL128" s="564"/>
      <c r="CM128" s="564"/>
      <c r="CN128" s="564"/>
      <c r="CO128" s="564"/>
      <c r="CP128" s="564"/>
      <c r="CQ128" s="564"/>
      <c r="CR128" s="564"/>
      <c r="CS128" s="564"/>
      <c r="CT128" s="564"/>
      <c r="CU128" s="564"/>
      <c r="CV128" s="564"/>
      <c r="CW128" s="564"/>
      <c r="CX128" s="564"/>
      <c r="CY128" s="564"/>
      <c r="CZ128" s="564"/>
      <c r="DA128" s="564"/>
      <c r="DB128" s="564"/>
      <c r="DC128" s="564"/>
      <c r="DD128" s="564"/>
      <c r="DE128" s="564"/>
      <c r="DF128" s="564"/>
      <c r="DG128" s="564"/>
      <c r="DH128" s="564"/>
      <c r="DI128" s="564"/>
      <c r="DJ128" s="564"/>
      <c r="DK128" s="564"/>
      <c r="DL128" s="564"/>
      <c r="DM128" s="564"/>
      <c r="DN128" s="564"/>
      <c r="DO128" s="564"/>
      <c r="DP128" s="564"/>
      <c r="DQ128" s="564"/>
      <c r="DR128" s="564"/>
      <c r="DS128" s="564"/>
      <c r="DT128" s="564"/>
      <c r="DU128" s="564"/>
      <c r="DV128" s="564"/>
      <c r="DW128" s="564"/>
    </row>
    <row r="129" spans="1:127" s="281" customFormat="1" ht="15" x14ac:dyDescent="0.25">
      <c r="A129" s="85"/>
      <c r="B129" s="33" t="str">
        <f ca="1">IF(OFFSET(R129,0,Lang_Order*Lang__R2)="","",OFFSET(R129,0,Lang_Order*Lang__R2))</f>
        <v>R2.1.3 Vaccinators</v>
      </c>
      <c r="C129" s="195" t="e">
        <f t="shared" ref="C129:H129" si="33">SUM(C131,C137,C144,C148)</f>
        <v>#N/A</v>
      </c>
      <c r="D129" s="195" t="e">
        <f t="shared" si="33"/>
        <v>#N/A</v>
      </c>
      <c r="E129" s="195" t="e">
        <f t="shared" si="33"/>
        <v>#N/A</v>
      </c>
      <c r="F129" s="195" t="e">
        <f t="shared" si="33"/>
        <v>#N/A</v>
      </c>
      <c r="G129" s="195" t="e">
        <f t="shared" si="33"/>
        <v>#N/A</v>
      </c>
      <c r="H129" s="195" t="e">
        <f t="shared" si="33"/>
        <v>#N/A</v>
      </c>
      <c r="I129" s="195" t="e">
        <f>SUM(C129:H129)</f>
        <v>#N/A</v>
      </c>
      <c r="J129" s="620" t="s">
        <v>5096</v>
      </c>
      <c r="K129" s="551"/>
      <c r="L129" s="551"/>
      <c r="M129" s="459"/>
      <c r="O129" s="567"/>
      <c r="P129" s="564"/>
      <c r="Q129" s="564"/>
      <c r="R129" s="564" t="s">
        <v>14590</v>
      </c>
      <c r="S129" s="564"/>
      <c r="T129" s="564"/>
      <c r="U129" s="564"/>
      <c r="V129" s="564"/>
      <c r="W129" s="564"/>
      <c r="X129" s="564"/>
      <c r="Y129" s="564"/>
      <c r="Z129" s="564"/>
      <c r="AA129" s="564"/>
      <c r="AB129" s="564"/>
      <c r="AC129" s="564"/>
      <c r="AD129" s="564"/>
      <c r="AE129" s="564"/>
      <c r="AF129" s="564"/>
      <c r="AG129" s="564"/>
      <c r="AH129" s="564" t="s">
        <v>14591</v>
      </c>
      <c r="AI129" s="564"/>
      <c r="AJ129" s="564"/>
      <c r="AK129" s="564"/>
      <c r="AL129" s="564"/>
      <c r="AM129" s="564"/>
      <c r="AN129" s="564"/>
      <c r="AO129" s="564"/>
      <c r="AP129" s="564"/>
      <c r="AQ129" s="564"/>
      <c r="AR129" s="564"/>
      <c r="AS129" s="564"/>
      <c r="AT129" s="564"/>
      <c r="AU129" s="564"/>
      <c r="AV129" s="564"/>
      <c r="AW129" s="564"/>
      <c r="AX129" s="564" t="s">
        <v>14592</v>
      </c>
      <c r="AY129" s="564"/>
      <c r="AZ129" s="564"/>
      <c r="BA129" s="564"/>
      <c r="BB129" s="564"/>
      <c r="BC129" s="564"/>
      <c r="BD129" s="564"/>
      <c r="BE129" s="564"/>
      <c r="BF129" s="564"/>
      <c r="BG129" s="564"/>
      <c r="BH129" s="564"/>
      <c r="BI129" s="564"/>
      <c r="BJ129" s="564"/>
      <c r="BK129" s="564"/>
      <c r="BL129" s="564"/>
      <c r="BM129" s="564"/>
      <c r="BN129" s="564" t="s">
        <v>14593</v>
      </c>
      <c r="BO129" s="564"/>
      <c r="BP129" s="564"/>
      <c r="BQ129" s="564"/>
      <c r="BR129" s="564"/>
      <c r="BS129" s="564"/>
      <c r="BT129" s="564"/>
      <c r="BU129" s="564"/>
      <c r="BV129" s="564"/>
      <c r="BW129" s="564"/>
      <c r="BX129" s="564"/>
      <c r="BY129" s="564"/>
      <c r="BZ129" s="564"/>
      <c r="CA129" s="564"/>
      <c r="CB129" s="564"/>
      <c r="CC129" s="564"/>
      <c r="CD129" s="564" t="s">
        <v>14594</v>
      </c>
      <c r="CE129" s="564"/>
      <c r="CF129" s="564"/>
      <c r="CG129" s="564"/>
      <c r="CH129" s="564"/>
      <c r="CI129" s="564"/>
      <c r="CJ129" s="564"/>
      <c r="CK129" s="564"/>
      <c r="CL129" s="564"/>
      <c r="CM129" s="564"/>
      <c r="CN129" s="564"/>
      <c r="CO129" s="564"/>
      <c r="CP129" s="564"/>
      <c r="CQ129" s="564"/>
      <c r="CR129" s="564"/>
      <c r="CS129" s="564"/>
      <c r="CT129" s="564" t="s">
        <v>14595</v>
      </c>
      <c r="CU129" s="564"/>
      <c r="CV129" s="564"/>
      <c r="CW129" s="564"/>
      <c r="CX129" s="564"/>
      <c r="CY129" s="564"/>
      <c r="CZ129" s="564"/>
      <c r="DA129" s="564"/>
      <c r="DB129" s="564"/>
      <c r="DC129" s="564"/>
      <c r="DD129" s="564"/>
      <c r="DE129" s="564"/>
      <c r="DF129" s="564"/>
      <c r="DG129" s="564"/>
      <c r="DH129" s="564"/>
      <c r="DI129" s="564"/>
      <c r="DJ129" s="564" t="s">
        <v>14596</v>
      </c>
      <c r="DK129" s="564"/>
      <c r="DL129" s="564"/>
      <c r="DM129" s="564"/>
      <c r="DN129" s="564"/>
      <c r="DO129" s="564"/>
      <c r="DP129" s="564"/>
      <c r="DQ129" s="564"/>
      <c r="DR129" s="564"/>
      <c r="DS129" s="564"/>
      <c r="DT129" s="564"/>
      <c r="DU129" s="564"/>
      <c r="DV129" s="564"/>
      <c r="DW129" s="564"/>
    </row>
    <row r="130" spans="1:127" s="194" customFormat="1" ht="15" x14ac:dyDescent="0.25">
      <c r="A130" s="85"/>
      <c r="B130" s="2" t="str">
        <f ca="1">IF(OFFSET(R130,0,Lang_Order*Lang__R2)="","",OFFSET(R130,0,Lang_Order*Lang__R2))</f>
        <v>Please note this whole section uses Medium Variant</v>
      </c>
      <c r="C130" s="30" t="str">
        <f t="shared" ref="C130:I130" ca="1" si="34">IF(OFFSET(S130,0,Lang_Order*Lang__R2)="","",OFFSET(S130,0,Lang_Order*Lang__R2))</f>
        <v>H1 2021</v>
      </c>
      <c r="D130" s="30" t="str">
        <f t="shared" ca="1" si="34"/>
        <v>H2 2021</v>
      </c>
      <c r="E130" s="30" t="str">
        <f t="shared" ca="1" si="34"/>
        <v>H1 2022</v>
      </c>
      <c r="F130" s="30" t="str">
        <f t="shared" ca="1" si="34"/>
        <v>H2 2022</v>
      </c>
      <c r="G130" s="30" t="str">
        <f t="shared" ca="1" si="34"/>
        <v>H1 2023</v>
      </c>
      <c r="H130" s="30" t="str">
        <f t="shared" ca="1" si="34"/>
        <v>H2 2023</v>
      </c>
      <c r="I130" s="30" t="str">
        <f t="shared" ca="1" si="34"/>
        <v>Total</v>
      </c>
      <c r="J130" s="620"/>
      <c r="K130" s="551"/>
      <c r="L130" s="551"/>
      <c r="M130" s="459"/>
      <c r="O130" s="567"/>
      <c r="P130" s="564"/>
      <c r="Q130" s="564"/>
      <c r="R130" s="564" t="s">
        <v>4409</v>
      </c>
      <c r="S130" s="564" t="s">
        <v>1597</v>
      </c>
      <c r="T130" s="564" t="s">
        <v>1598</v>
      </c>
      <c r="U130" s="564" t="s">
        <v>1599</v>
      </c>
      <c r="V130" s="564" t="s">
        <v>1600</v>
      </c>
      <c r="W130" s="564" t="s">
        <v>1602</v>
      </c>
      <c r="X130" s="564" t="s">
        <v>1601</v>
      </c>
      <c r="Y130" s="564" t="s">
        <v>1605</v>
      </c>
      <c r="Z130" s="564"/>
      <c r="AA130" s="564"/>
      <c r="AB130" s="564"/>
      <c r="AC130" s="564"/>
      <c r="AD130" s="564"/>
      <c r="AE130" s="564"/>
      <c r="AF130" s="564"/>
      <c r="AG130" s="564"/>
      <c r="AH130" s="564" t="s">
        <v>5006</v>
      </c>
      <c r="AI130" s="564" t="s">
        <v>4663</v>
      </c>
      <c r="AJ130" s="564" t="s">
        <v>4664</v>
      </c>
      <c r="AK130" s="564" t="s">
        <v>4665</v>
      </c>
      <c r="AL130" s="564" t="s">
        <v>4666</v>
      </c>
      <c r="AM130" s="564" t="s">
        <v>4667</v>
      </c>
      <c r="AN130" s="564" t="s">
        <v>4668</v>
      </c>
      <c r="AO130" s="564" t="s">
        <v>1605</v>
      </c>
      <c r="AP130" s="564"/>
      <c r="AQ130" s="564"/>
      <c r="AR130" s="564"/>
      <c r="AS130" s="564"/>
      <c r="AT130" s="564"/>
      <c r="AU130" s="564"/>
      <c r="AV130" s="564"/>
      <c r="AW130" s="564"/>
      <c r="AX130" s="564" t="s">
        <v>5007</v>
      </c>
      <c r="AY130" s="564" t="s">
        <v>4670</v>
      </c>
      <c r="AZ130" s="564" t="s">
        <v>4671</v>
      </c>
      <c r="BA130" s="564" t="s">
        <v>4672</v>
      </c>
      <c r="BB130" s="564" t="s">
        <v>4673</v>
      </c>
      <c r="BC130" s="564" t="s">
        <v>4674</v>
      </c>
      <c r="BD130" s="564" t="s">
        <v>4675</v>
      </c>
      <c r="BE130" s="564" t="s">
        <v>4676</v>
      </c>
      <c r="BF130" s="564"/>
      <c r="BG130" s="564"/>
      <c r="BH130" s="564"/>
      <c r="BI130" s="564"/>
      <c r="BJ130" s="564"/>
      <c r="BK130" s="564"/>
      <c r="BL130" s="564"/>
      <c r="BM130" s="564"/>
      <c r="BN130" s="564" t="s">
        <v>5008</v>
      </c>
      <c r="BO130" s="564" t="s">
        <v>1597</v>
      </c>
      <c r="BP130" s="564" t="s">
        <v>1598</v>
      </c>
      <c r="BQ130" s="564" t="s">
        <v>1599</v>
      </c>
      <c r="BR130" s="564" t="s">
        <v>1600</v>
      </c>
      <c r="BS130" s="564" t="s">
        <v>1602</v>
      </c>
      <c r="BT130" s="564" t="s">
        <v>1601</v>
      </c>
      <c r="BU130" s="564" t="s">
        <v>1605</v>
      </c>
      <c r="BV130" s="564"/>
      <c r="BW130" s="564"/>
      <c r="BX130" s="564"/>
      <c r="BY130" s="564"/>
      <c r="BZ130" s="564"/>
      <c r="CA130" s="564"/>
      <c r="CB130" s="564"/>
      <c r="CC130" s="564"/>
      <c r="CD130" s="564" t="s">
        <v>5009</v>
      </c>
      <c r="CE130" s="564" t="s">
        <v>4663</v>
      </c>
      <c r="CF130" s="564" t="s">
        <v>4664</v>
      </c>
      <c r="CG130" s="564" t="s">
        <v>4665</v>
      </c>
      <c r="CH130" s="564" t="s">
        <v>4666</v>
      </c>
      <c r="CI130" s="564" t="s">
        <v>4667</v>
      </c>
      <c r="CJ130" s="564" t="s">
        <v>4668</v>
      </c>
      <c r="CK130" s="564" t="s">
        <v>1605</v>
      </c>
      <c r="CL130" s="564"/>
      <c r="CM130" s="564"/>
      <c r="CN130" s="564"/>
      <c r="CO130" s="564"/>
      <c r="CP130" s="564"/>
      <c r="CQ130" s="564"/>
      <c r="CR130" s="564"/>
      <c r="CS130" s="564"/>
      <c r="CT130" s="564" t="s">
        <v>5010</v>
      </c>
      <c r="CU130" s="564" t="s">
        <v>4680</v>
      </c>
      <c r="CV130" s="564" t="s">
        <v>4681</v>
      </c>
      <c r="CW130" s="564" t="s">
        <v>4682</v>
      </c>
      <c r="CX130" s="564" t="s">
        <v>4683</v>
      </c>
      <c r="CY130" s="564" t="s">
        <v>4684</v>
      </c>
      <c r="CZ130" s="564" t="s">
        <v>4685</v>
      </c>
      <c r="DA130" s="564" t="s">
        <v>4686</v>
      </c>
      <c r="DB130" s="564"/>
      <c r="DC130" s="564"/>
      <c r="DD130" s="564"/>
      <c r="DE130" s="564"/>
      <c r="DF130" s="564"/>
      <c r="DG130" s="564"/>
      <c r="DH130" s="564"/>
      <c r="DI130" s="564"/>
      <c r="DJ130" s="564" t="s">
        <v>5011</v>
      </c>
      <c r="DK130" s="564" t="s">
        <v>4688</v>
      </c>
      <c r="DL130" s="564" t="s">
        <v>4689</v>
      </c>
      <c r="DM130" s="564" t="s">
        <v>4690</v>
      </c>
      <c r="DN130" s="564" t="s">
        <v>4691</v>
      </c>
      <c r="DO130" s="564" t="s">
        <v>4692</v>
      </c>
      <c r="DP130" s="564" t="s">
        <v>4693</v>
      </c>
      <c r="DQ130" s="564" t="s">
        <v>4694</v>
      </c>
      <c r="DR130" s="564"/>
      <c r="DS130" s="564"/>
      <c r="DT130" s="564"/>
      <c r="DU130" s="564"/>
      <c r="DV130" s="564"/>
      <c r="DW130" s="564"/>
    </row>
    <row r="131" spans="1:127" s="194" customFormat="1" ht="13.5" thickBot="1" x14ac:dyDescent="0.25">
      <c r="A131" s="85"/>
      <c r="B131" s="190" t="str">
        <f ca="1">IF(OFFSET(R131,0,Lang_Order*Lang__R2)="","",OFFSET(R131,0,Lang_Order*Lang__R2))</f>
        <v>3.1 Technical assistance</v>
      </c>
      <c r="C131" s="118" t="e">
        <f t="shared" ref="C131:H131" si="35">IF(ISBLANK(C133),C132,C133)</f>
        <v>#N/A</v>
      </c>
      <c r="D131" s="118" t="e">
        <f t="shared" si="35"/>
        <v>#N/A</v>
      </c>
      <c r="E131" s="118" t="e">
        <f t="shared" si="35"/>
        <v>#N/A</v>
      </c>
      <c r="F131" s="118" t="e">
        <f t="shared" si="35"/>
        <v>#N/A</v>
      </c>
      <c r="G131" s="118" t="e">
        <f t="shared" si="35"/>
        <v>#N/A</v>
      </c>
      <c r="H131" s="118" t="e">
        <f t="shared" si="35"/>
        <v>#N/A</v>
      </c>
      <c r="I131" s="282" t="e">
        <f>SUM(C131:H131)</f>
        <v>#N/A</v>
      </c>
      <c r="J131" s="620" t="s">
        <v>5149</v>
      </c>
      <c r="K131" s="35" t="s">
        <v>2844</v>
      </c>
      <c r="L131" s="35" t="s">
        <v>3188</v>
      </c>
      <c r="M131" s="459"/>
      <c r="N131" s="567"/>
      <c r="O131" s="587"/>
      <c r="P131" s="564"/>
      <c r="Q131" s="564"/>
      <c r="R131" s="564" t="s">
        <v>14170</v>
      </c>
      <c r="S131" s="564"/>
      <c r="T131" s="564"/>
      <c r="U131" s="564"/>
      <c r="V131" s="564"/>
      <c r="W131" s="564"/>
      <c r="X131" s="564"/>
      <c r="Y131" s="564"/>
      <c r="Z131" s="564"/>
      <c r="AA131" s="564"/>
      <c r="AB131" s="564"/>
      <c r="AC131" s="564"/>
      <c r="AD131" s="564"/>
      <c r="AE131" s="564"/>
      <c r="AF131" s="564"/>
      <c r="AG131" s="564"/>
      <c r="AH131" s="564" t="s">
        <v>13084</v>
      </c>
      <c r="AI131" s="564"/>
      <c r="AJ131" s="564"/>
      <c r="AK131" s="564"/>
      <c r="AL131" s="564"/>
      <c r="AM131" s="564"/>
      <c r="AN131" s="564"/>
      <c r="AO131" s="564"/>
      <c r="AP131" s="564"/>
      <c r="AQ131" s="564"/>
      <c r="AR131" s="564"/>
      <c r="AS131" s="564"/>
      <c r="AT131" s="564"/>
      <c r="AU131" s="564"/>
      <c r="AV131" s="564"/>
      <c r="AW131" s="564"/>
      <c r="AX131" s="564" t="s">
        <v>13085</v>
      </c>
      <c r="AY131" s="564"/>
      <c r="AZ131" s="564"/>
      <c r="BA131" s="564"/>
      <c r="BB131" s="564"/>
      <c r="BC131" s="564"/>
      <c r="BD131" s="564"/>
      <c r="BE131" s="564"/>
      <c r="BF131" s="564"/>
      <c r="BG131" s="564"/>
      <c r="BH131" s="564"/>
      <c r="BI131" s="564"/>
      <c r="BJ131" s="564"/>
      <c r="BK131" s="564"/>
      <c r="BL131" s="564"/>
      <c r="BM131" s="564"/>
      <c r="BN131" s="564" t="s">
        <v>13086</v>
      </c>
      <c r="BO131" s="564"/>
      <c r="BP131" s="564"/>
      <c r="BQ131" s="564"/>
      <c r="BR131" s="564"/>
      <c r="BS131" s="564"/>
      <c r="BT131" s="564"/>
      <c r="BU131" s="564"/>
      <c r="BV131" s="564"/>
      <c r="BW131" s="564"/>
      <c r="BX131" s="564"/>
      <c r="BY131" s="564"/>
      <c r="BZ131" s="564"/>
      <c r="CA131" s="564"/>
      <c r="CB131" s="564"/>
      <c r="CC131" s="564"/>
      <c r="CD131" s="564" t="s">
        <v>13087</v>
      </c>
      <c r="CE131" s="564"/>
      <c r="CF131" s="564"/>
      <c r="CG131" s="564"/>
      <c r="CH131" s="564"/>
      <c r="CI131" s="564"/>
      <c r="CJ131" s="564"/>
      <c r="CK131" s="564"/>
      <c r="CL131" s="564"/>
      <c r="CM131" s="564"/>
      <c r="CN131" s="564"/>
      <c r="CO131" s="564"/>
      <c r="CP131" s="564"/>
      <c r="CQ131" s="564"/>
      <c r="CR131" s="564"/>
      <c r="CS131" s="564"/>
      <c r="CT131" s="564" t="s">
        <v>13088</v>
      </c>
      <c r="CU131" s="564"/>
      <c r="CV131" s="564"/>
      <c r="CW131" s="564"/>
      <c r="CX131" s="564"/>
      <c r="CY131" s="564"/>
      <c r="CZ131" s="564"/>
      <c r="DA131" s="564"/>
      <c r="DB131" s="564"/>
      <c r="DC131" s="564"/>
      <c r="DD131" s="564"/>
      <c r="DE131" s="564"/>
      <c r="DF131" s="564"/>
      <c r="DG131" s="564"/>
      <c r="DH131" s="564"/>
      <c r="DI131" s="564"/>
      <c r="DJ131" s="564" t="s">
        <v>13089</v>
      </c>
      <c r="DK131" s="564"/>
      <c r="DL131" s="564"/>
      <c r="DM131" s="564"/>
      <c r="DN131" s="564"/>
      <c r="DO131" s="564"/>
      <c r="DP131" s="564"/>
      <c r="DQ131" s="564"/>
      <c r="DR131" s="564"/>
      <c r="DS131" s="564"/>
      <c r="DT131" s="564"/>
      <c r="DU131" s="564"/>
      <c r="DV131" s="564" t="s">
        <v>5012</v>
      </c>
      <c r="DW131" s="564"/>
    </row>
    <row r="132" spans="1:127" s="2" customFormat="1" ht="13.5" thickTop="1" x14ac:dyDescent="0.2">
      <c r="A132" s="664"/>
      <c r="B132" s="72" t="str">
        <f ca="1">IF(OFFSET(R132,0,Lang_Order*Lang__R2)="","",OFFSET(R132,0,Lang_Order*Lang__R2))</f>
        <v>CVIC Estimates</v>
      </c>
      <c r="C132" s="199" t="e">
        <f>SUM('A4. INPUT Central Costs'!$J$59:$J$64)*C$74</f>
        <v>#N/A</v>
      </c>
      <c r="D132" s="199" t="e">
        <f>SUM('A4. INPUT Central Costs'!$J$59:$J$64)*D$74</f>
        <v>#N/A</v>
      </c>
      <c r="E132" s="199" t="e">
        <f>SUM('A4. INPUT Central Costs'!$J$59:$J$64)*E$74</f>
        <v>#N/A</v>
      </c>
      <c r="F132" s="199" t="e">
        <f>SUM('A4. INPUT Central Costs'!$J$59:$J$64)*F$74</f>
        <v>#N/A</v>
      </c>
      <c r="G132" s="199" t="e">
        <f>SUM('A4. INPUT Central Costs'!$J$59:$J$64)*G$74</f>
        <v>#N/A</v>
      </c>
      <c r="H132" s="199" t="e">
        <f>SUM('A4. INPUT Central Costs'!$J$59:$J$64)*H$74</f>
        <v>#N/A</v>
      </c>
      <c r="I132" s="199" t="e">
        <f>SUM(C132:H132)</f>
        <v>#N/A</v>
      </c>
      <c r="J132" s="620" t="s">
        <v>5150</v>
      </c>
      <c r="O132" s="567"/>
      <c r="P132" s="564"/>
      <c r="Q132" s="564"/>
      <c r="R132" s="564" t="s">
        <v>12973</v>
      </c>
      <c r="S132" s="564"/>
      <c r="T132" s="564"/>
      <c r="U132" s="564"/>
      <c r="V132" s="564"/>
      <c r="W132" s="564"/>
      <c r="X132" s="564"/>
      <c r="Y132" s="564"/>
      <c r="Z132" s="564"/>
      <c r="AA132" s="564"/>
      <c r="AB132" s="564"/>
      <c r="AC132" s="564"/>
      <c r="AD132" s="564"/>
      <c r="AE132" s="564"/>
      <c r="AF132" s="564"/>
      <c r="AG132" s="564"/>
      <c r="AH132" s="564" t="s">
        <v>12974</v>
      </c>
      <c r="AI132" s="564"/>
      <c r="AJ132" s="564"/>
      <c r="AK132" s="564"/>
      <c r="AL132" s="564"/>
      <c r="AM132" s="564"/>
      <c r="AN132" s="564"/>
      <c r="AO132" s="564"/>
      <c r="AP132" s="564"/>
      <c r="AQ132" s="564"/>
      <c r="AR132" s="564"/>
      <c r="AS132" s="564"/>
      <c r="AT132" s="564"/>
      <c r="AU132" s="564"/>
      <c r="AV132" s="564"/>
      <c r="AW132" s="564"/>
      <c r="AX132" s="564" t="s">
        <v>12968</v>
      </c>
      <c r="AY132" s="564"/>
      <c r="AZ132" s="564"/>
      <c r="BA132" s="564"/>
      <c r="BB132" s="564"/>
      <c r="BC132" s="564"/>
      <c r="BD132" s="564"/>
      <c r="BE132" s="564"/>
      <c r="BF132" s="564"/>
      <c r="BG132" s="564"/>
      <c r="BH132" s="564"/>
      <c r="BI132" s="564"/>
      <c r="BJ132" s="564"/>
      <c r="BK132" s="564"/>
      <c r="BL132" s="564"/>
      <c r="BM132" s="564"/>
      <c r="BN132" s="564" t="s">
        <v>12969</v>
      </c>
      <c r="BO132" s="564"/>
      <c r="BP132" s="564"/>
      <c r="BQ132" s="564"/>
      <c r="BR132" s="564"/>
      <c r="BS132" s="564"/>
      <c r="BT132" s="564"/>
      <c r="BU132" s="564"/>
      <c r="BV132" s="564"/>
      <c r="BW132" s="564"/>
      <c r="BX132" s="564"/>
      <c r="BY132" s="564"/>
      <c r="BZ132" s="564"/>
      <c r="CA132" s="564"/>
      <c r="CB132" s="564"/>
      <c r="CC132" s="564"/>
      <c r="CD132" s="564" t="s">
        <v>12970</v>
      </c>
      <c r="CE132" s="564"/>
      <c r="CF132" s="564"/>
      <c r="CG132" s="564"/>
      <c r="CH132" s="564"/>
      <c r="CI132" s="564"/>
      <c r="CJ132" s="564"/>
      <c r="CK132" s="564"/>
      <c r="CL132" s="564"/>
      <c r="CM132" s="564"/>
      <c r="CN132" s="564"/>
      <c r="CO132" s="564"/>
      <c r="CP132" s="564"/>
      <c r="CQ132" s="564"/>
      <c r="CR132" s="564"/>
      <c r="CS132" s="564"/>
      <c r="CT132" s="564" t="s">
        <v>12971</v>
      </c>
      <c r="CU132" s="564"/>
      <c r="CV132" s="564"/>
      <c r="CW132" s="564"/>
      <c r="CX132" s="564"/>
      <c r="CY132" s="564"/>
      <c r="CZ132" s="564"/>
      <c r="DA132" s="564"/>
      <c r="DB132" s="564"/>
      <c r="DC132" s="564"/>
      <c r="DD132" s="564"/>
      <c r="DE132" s="564"/>
      <c r="DF132" s="564"/>
      <c r="DG132" s="564"/>
      <c r="DH132" s="564"/>
      <c r="DI132" s="564"/>
      <c r="DJ132" s="564" t="s">
        <v>12972</v>
      </c>
      <c r="DK132" s="564"/>
      <c r="DL132" s="564"/>
      <c r="DM132" s="564"/>
      <c r="DN132" s="564"/>
      <c r="DO132" s="564"/>
      <c r="DP132" s="564"/>
      <c r="DQ132" s="564"/>
      <c r="DR132" s="564"/>
      <c r="DS132" s="564"/>
      <c r="DT132" s="564"/>
      <c r="DU132" s="564"/>
      <c r="DV132" s="564"/>
      <c r="DW132" s="564"/>
    </row>
    <row r="133" spans="1:127" s="536" customFormat="1" x14ac:dyDescent="0.2">
      <c r="A133" s="350">
        <v>2</v>
      </c>
      <c r="B133" s="5" t="str">
        <f ca="1">IF(OFFSET(R133,0,Lang_Order*Lang__R2)="","",OFFSET(R133,0,Lang_Order*Lang__R2))</f>
        <v>OVERRIDE HERE if alternative costing used for section above</v>
      </c>
      <c r="C133" s="284"/>
      <c r="D133" s="284"/>
      <c r="E133" s="284"/>
      <c r="F133" s="284"/>
      <c r="G133" s="284"/>
      <c r="H133" s="284"/>
      <c r="I133" s="81" t="str">
        <f>Lang_LeaveBlank</f>
        <v>Leave Blank</v>
      </c>
      <c r="J133" s="620" t="s">
        <v>5151</v>
      </c>
      <c r="K133" s="551"/>
      <c r="L133" s="551"/>
      <c r="O133" s="587"/>
      <c r="P133" s="564"/>
      <c r="Q133" s="564"/>
      <c r="R133" s="564" t="s">
        <v>4591</v>
      </c>
      <c r="S133" s="564"/>
      <c r="T133" s="564"/>
      <c r="U133" s="564"/>
      <c r="V133" s="564"/>
      <c r="W133" s="564"/>
      <c r="X133" s="564"/>
      <c r="Y133" s="564"/>
      <c r="Z133" s="564"/>
      <c r="AA133" s="564"/>
      <c r="AB133" s="564"/>
      <c r="AC133" s="564"/>
      <c r="AD133" s="564"/>
      <c r="AE133" s="564"/>
      <c r="AF133" s="564"/>
      <c r="AG133" s="564"/>
      <c r="AH133" s="564" t="s">
        <v>12949</v>
      </c>
      <c r="AI133" s="564"/>
      <c r="AJ133" s="564"/>
      <c r="AK133" s="564"/>
      <c r="AL133" s="564"/>
      <c r="AM133" s="564"/>
      <c r="AN133" s="564"/>
      <c r="AO133" s="564"/>
      <c r="AP133" s="564"/>
      <c r="AQ133" s="564"/>
      <c r="AR133" s="564"/>
      <c r="AS133" s="564"/>
      <c r="AT133" s="564"/>
      <c r="AU133" s="564"/>
      <c r="AV133" s="564"/>
      <c r="AW133" s="564"/>
      <c r="AX133" s="564" t="s">
        <v>12950</v>
      </c>
      <c r="AY133" s="564"/>
      <c r="AZ133" s="564"/>
      <c r="BA133" s="564"/>
      <c r="BB133" s="564"/>
      <c r="BC133" s="564"/>
      <c r="BD133" s="564"/>
      <c r="BE133" s="564"/>
      <c r="BF133" s="564"/>
      <c r="BG133" s="564"/>
      <c r="BH133" s="564"/>
      <c r="BI133" s="564"/>
      <c r="BJ133" s="564"/>
      <c r="BK133" s="564"/>
      <c r="BL133" s="564"/>
      <c r="BM133" s="564"/>
      <c r="BN133" s="564" t="s">
        <v>12951</v>
      </c>
      <c r="BO133" s="564"/>
      <c r="BP133" s="564"/>
      <c r="BQ133" s="564"/>
      <c r="BR133" s="564"/>
      <c r="BS133" s="564"/>
      <c r="BT133" s="564"/>
      <c r="BU133" s="564"/>
      <c r="BV133" s="564"/>
      <c r="BW133" s="564"/>
      <c r="BX133" s="564"/>
      <c r="BY133" s="564"/>
      <c r="BZ133" s="564"/>
      <c r="CA133" s="564"/>
      <c r="CB133" s="564"/>
      <c r="CC133" s="564"/>
      <c r="CD133" s="564" t="s">
        <v>12952</v>
      </c>
      <c r="CE133" s="564"/>
      <c r="CF133" s="564"/>
      <c r="CG133" s="564"/>
      <c r="CH133" s="564"/>
      <c r="CI133" s="564"/>
      <c r="CJ133" s="564"/>
      <c r="CK133" s="564"/>
      <c r="CL133" s="564"/>
      <c r="CM133" s="564"/>
      <c r="CN133" s="564"/>
      <c r="CO133" s="564"/>
      <c r="CP133" s="564"/>
      <c r="CQ133" s="564"/>
      <c r="CR133" s="564"/>
      <c r="CS133" s="564"/>
      <c r="CT133" s="564" t="s">
        <v>12953</v>
      </c>
      <c r="CU133" s="564"/>
      <c r="CV133" s="564"/>
      <c r="CW133" s="564"/>
      <c r="CX133" s="564"/>
      <c r="CY133" s="564"/>
      <c r="CZ133" s="564"/>
      <c r="DA133" s="564"/>
      <c r="DB133" s="564"/>
      <c r="DC133" s="564"/>
      <c r="DD133" s="564"/>
      <c r="DE133" s="564"/>
      <c r="DF133" s="564"/>
      <c r="DG133" s="564"/>
      <c r="DH133" s="564"/>
      <c r="DI133" s="564"/>
      <c r="DJ133" s="564" t="s">
        <v>12954</v>
      </c>
      <c r="DK133" s="564"/>
      <c r="DL133" s="564"/>
      <c r="DM133" s="564"/>
      <c r="DN133" s="564"/>
      <c r="DO133" s="564"/>
      <c r="DP133" s="564"/>
      <c r="DQ133" s="564"/>
      <c r="DR133" s="564"/>
      <c r="DS133" s="564"/>
      <c r="DT133" s="564"/>
      <c r="DU133" s="564"/>
      <c r="DV133" s="564"/>
      <c r="DW133" s="564"/>
    </row>
    <row r="134" spans="1:127" s="532" customFormat="1" x14ac:dyDescent="0.2">
      <c r="A134" s="85"/>
      <c r="J134" s="620"/>
      <c r="K134" s="551"/>
      <c r="L134" s="551"/>
      <c r="O134" s="567"/>
      <c r="P134" s="564"/>
      <c r="Q134" s="564"/>
      <c r="R134" s="564"/>
      <c r="S134" s="564"/>
      <c r="T134" s="564"/>
      <c r="U134" s="564"/>
      <c r="V134" s="564"/>
      <c r="W134" s="564"/>
      <c r="X134" s="564"/>
      <c r="Y134" s="564"/>
      <c r="Z134" s="564"/>
      <c r="AA134" s="564"/>
      <c r="AB134" s="564"/>
      <c r="AC134" s="564"/>
      <c r="AD134" s="564"/>
      <c r="AE134" s="564"/>
      <c r="AF134" s="564"/>
      <c r="AG134" s="564"/>
      <c r="AH134" s="564"/>
      <c r="AI134" s="564"/>
      <c r="AJ134" s="564"/>
      <c r="AK134" s="564"/>
      <c r="AL134" s="564"/>
      <c r="AM134" s="564"/>
      <c r="AN134" s="564"/>
      <c r="AO134" s="564"/>
      <c r="AP134" s="564"/>
      <c r="AQ134" s="564"/>
      <c r="AR134" s="564"/>
      <c r="AS134" s="564"/>
      <c r="AT134" s="564"/>
      <c r="AU134" s="564"/>
      <c r="AV134" s="564"/>
      <c r="AW134" s="564"/>
      <c r="AX134" s="564"/>
      <c r="AY134" s="564"/>
      <c r="AZ134" s="564"/>
      <c r="BA134" s="564"/>
      <c r="BB134" s="564"/>
      <c r="BC134" s="564"/>
      <c r="BD134" s="564"/>
      <c r="BE134" s="564"/>
      <c r="BF134" s="564"/>
      <c r="BG134" s="564"/>
      <c r="BH134" s="564"/>
      <c r="BI134" s="564"/>
      <c r="BJ134" s="564"/>
      <c r="BK134" s="564"/>
      <c r="BL134" s="564"/>
      <c r="BM134" s="564"/>
      <c r="BN134" s="564"/>
      <c r="BO134" s="564"/>
      <c r="BP134" s="564"/>
      <c r="BQ134" s="564"/>
      <c r="BR134" s="564"/>
      <c r="BS134" s="564"/>
      <c r="BT134" s="564"/>
      <c r="BU134" s="564"/>
      <c r="BV134" s="564"/>
      <c r="BW134" s="564"/>
      <c r="BX134" s="564"/>
      <c r="BY134" s="564"/>
      <c r="BZ134" s="564"/>
      <c r="CA134" s="564"/>
      <c r="CB134" s="564"/>
      <c r="CC134" s="564"/>
      <c r="CD134" s="564"/>
      <c r="CE134" s="564"/>
      <c r="CF134" s="564"/>
      <c r="CG134" s="564"/>
      <c r="CH134" s="564"/>
      <c r="CI134" s="564"/>
      <c r="CJ134" s="564"/>
      <c r="CK134" s="564"/>
      <c r="CL134" s="564"/>
      <c r="CM134" s="564"/>
      <c r="CN134" s="564"/>
      <c r="CO134" s="564"/>
      <c r="CP134" s="564"/>
      <c r="CQ134" s="564"/>
      <c r="CR134" s="564"/>
      <c r="CS134" s="564"/>
      <c r="CT134" s="564"/>
      <c r="CU134" s="564"/>
      <c r="CV134" s="564"/>
      <c r="CW134" s="564"/>
      <c r="CX134" s="564"/>
      <c r="CY134" s="564"/>
      <c r="CZ134" s="564"/>
      <c r="DA134" s="564"/>
      <c r="DB134" s="564"/>
      <c r="DC134" s="564"/>
      <c r="DD134" s="564"/>
      <c r="DE134" s="564"/>
      <c r="DF134" s="564"/>
      <c r="DG134" s="564"/>
      <c r="DH134" s="564"/>
      <c r="DI134" s="564"/>
      <c r="DJ134" s="564"/>
      <c r="DK134" s="564"/>
      <c r="DL134" s="564"/>
      <c r="DM134" s="564"/>
      <c r="DN134" s="564"/>
      <c r="DO134" s="564"/>
      <c r="DP134" s="564"/>
      <c r="DQ134" s="564"/>
      <c r="DR134" s="564"/>
      <c r="DS134" s="564"/>
      <c r="DT134" s="564"/>
      <c r="DU134" s="564"/>
      <c r="DV134" s="564"/>
      <c r="DW134" s="564"/>
    </row>
    <row r="135" spans="1:127" s="463" customFormat="1" x14ac:dyDescent="0.2">
      <c r="A135" s="664"/>
      <c r="B135" s="270" t="str">
        <f ca="1">IF(OFFSET(R135,0,Lang_Order*Lang__R2)="","",OFFSET(R135,0,Lang_Order*Lang__R2))</f>
        <v>Training &amp; Supervision [Other activities]</v>
      </c>
      <c r="C135" s="300" t="e">
        <f>SUM('A4. INPUT Central Costs'!$J$67,'A4. INPUT Central Costs'!$J$67:$J$77)*C$74</f>
        <v>#N/A</v>
      </c>
      <c r="D135" s="300" t="e">
        <f>SUM('A4. INPUT Central Costs'!$J$67,'A4. INPUT Central Costs'!$J$67:$J$77)*D$74</f>
        <v>#N/A</v>
      </c>
      <c r="E135" s="300" t="e">
        <f>SUM('A4. INPUT Central Costs'!$J$67,'A4. INPUT Central Costs'!$J$67:$J$77)*E$74</f>
        <v>#N/A</v>
      </c>
      <c r="F135" s="300" t="e">
        <f>SUM('A4. INPUT Central Costs'!$J$67,'A4. INPUT Central Costs'!$J$67:$J$77)*F$74</f>
        <v>#N/A</v>
      </c>
      <c r="G135" s="300" t="e">
        <f>SUM('A4. INPUT Central Costs'!$J$67,'A4. INPUT Central Costs'!$J$67:$J$77)*G$74</f>
        <v>#N/A</v>
      </c>
      <c r="H135" s="300" t="e">
        <f>SUM('A4. INPUT Central Costs'!$J$67,'A4. INPUT Central Costs'!$J$67:$J$77)*H$74</f>
        <v>#N/A</v>
      </c>
      <c r="I135" s="300" t="e">
        <f>SUM(C135:H135)</f>
        <v>#N/A</v>
      </c>
      <c r="J135" s="620"/>
      <c r="K135" s="551"/>
      <c r="L135" s="551"/>
      <c r="N135" s="12" t="str">
        <f ca="1">IF(OFFSET(AD135,0,Lang_Order*Lang__R2)="","",OFFSET(AD135,0,Lang_Order*Lang__R2))</f>
        <v>VIRAF-VIRAT 2.0 - F4, NDVP</v>
      </c>
      <c r="O135" s="567"/>
      <c r="P135" s="564"/>
      <c r="Q135" s="564"/>
      <c r="R135" s="564" t="s">
        <v>4412</v>
      </c>
      <c r="S135" s="564"/>
      <c r="T135" s="564"/>
      <c r="U135" s="564"/>
      <c r="V135" s="564"/>
      <c r="W135" s="564"/>
      <c r="X135" s="564"/>
      <c r="Y135" s="564"/>
      <c r="Z135" s="564"/>
      <c r="AA135" s="564"/>
      <c r="AB135" s="564"/>
      <c r="AC135" s="564"/>
      <c r="AD135" s="564" t="s">
        <v>4414</v>
      </c>
      <c r="AE135" s="564"/>
      <c r="AF135" s="564"/>
      <c r="AG135" s="564"/>
      <c r="AH135" s="564" t="s">
        <v>5013</v>
      </c>
      <c r="AI135" s="564"/>
      <c r="AJ135" s="564"/>
      <c r="AK135" s="564"/>
      <c r="AL135" s="564"/>
      <c r="AM135" s="564"/>
      <c r="AN135" s="564"/>
      <c r="AO135" s="564"/>
      <c r="AP135" s="564"/>
      <c r="AQ135" s="564"/>
      <c r="AR135" s="564"/>
      <c r="AS135" s="564"/>
      <c r="AT135" s="564" t="s">
        <v>5014</v>
      </c>
      <c r="AU135" s="564"/>
      <c r="AV135" s="564"/>
      <c r="AW135" s="564"/>
      <c r="AX135" s="564" t="s">
        <v>5015</v>
      </c>
      <c r="AY135" s="564"/>
      <c r="AZ135" s="564"/>
      <c r="BA135" s="564"/>
      <c r="BB135" s="564"/>
      <c r="BC135" s="564"/>
      <c r="BD135" s="564"/>
      <c r="BE135" s="564"/>
      <c r="BF135" s="564"/>
      <c r="BG135" s="564"/>
      <c r="BH135" s="564"/>
      <c r="BI135" s="564"/>
      <c r="BJ135" s="564" t="s">
        <v>5016</v>
      </c>
      <c r="BK135" s="564"/>
      <c r="BL135" s="564"/>
      <c r="BM135" s="564"/>
      <c r="BN135" s="564" t="s">
        <v>5017</v>
      </c>
      <c r="BO135" s="564"/>
      <c r="BP135" s="564"/>
      <c r="BQ135" s="564"/>
      <c r="BR135" s="564"/>
      <c r="BS135" s="564"/>
      <c r="BT135" s="564"/>
      <c r="BU135" s="564"/>
      <c r="BV135" s="564"/>
      <c r="BW135" s="564"/>
      <c r="BX135" s="564"/>
      <c r="BY135" s="564"/>
      <c r="BZ135" s="564" t="s">
        <v>5014</v>
      </c>
      <c r="CA135" s="564"/>
      <c r="CB135" s="564"/>
      <c r="CC135" s="564"/>
      <c r="CD135" s="564" t="s">
        <v>5018</v>
      </c>
      <c r="CE135" s="564"/>
      <c r="CF135" s="564"/>
      <c r="CG135" s="564"/>
      <c r="CH135" s="564"/>
      <c r="CI135" s="564"/>
      <c r="CJ135" s="564"/>
      <c r="CK135" s="564"/>
      <c r="CL135" s="564"/>
      <c r="CM135" s="564"/>
      <c r="CN135" s="564"/>
      <c r="CO135" s="564"/>
      <c r="CP135" s="564" t="s">
        <v>5019</v>
      </c>
      <c r="CQ135" s="564"/>
      <c r="CR135" s="564"/>
      <c r="CS135" s="564"/>
      <c r="CT135" s="564" t="s">
        <v>5020</v>
      </c>
      <c r="CU135" s="564"/>
      <c r="CV135" s="564"/>
      <c r="CW135" s="564"/>
      <c r="CX135" s="564"/>
      <c r="CY135" s="564"/>
      <c r="CZ135" s="564"/>
      <c r="DA135" s="564"/>
      <c r="DB135" s="564"/>
      <c r="DC135" s="564"/>
      <c r="DD135" s="564"/>
      <c r="DE135" s="564"/>
      <c r="DF135" s="564" t="s">
        <v>5021</v>
      </c>
      <c r="DG135" s="564"/>
      <c r="DH135" s="564"/>
      <c r="DI135" s="564"/>
      <c r="DJ135" s="564" t="s">
        <v>5022</v>
      </c>
      <c r="DK135" s="564"/>
      <c r="DL135" s="564"/>
      <c r="DM135" s="564"/>
      <c r="DN135" s="564"/>
      <c r="DO135" s="564"/>
      <c r="DP135" s="564"/>
      <c r="DQ135" s="564"/>
      <c r="DR135" s="564"/>
      <c r="DS135" s="564"/>
      <c r="DT135" s="564"/>
      <c r="DU135" s="564"/>
      <c r="DV135" s="564" t="s">
        <v>5023</v>
      </c>
      <c r="DW135" s="564"/>
    </row>
    <row r="136" spans="1:127" s="194" customFormat="1" x14ac:dyDescent="0.2">
      <c r="A136" s="85"/>
      <c r="B136" s="5" t="str">
        <f ca="1">'B5. Last Mile Delivery'!C43</f>
        <v>Local Training and Deployment</v>
      </c>
      <c r="C136" s="37" t="e">
        <f>'B5. Last Mile Delivery'!J43</f>
        <v>#N/A</v>
      </c>
      <c r="D136" s="37" t="e">
        <f>'B5. Last Mile Delivery'!K43</f>
        <v>#N/A</v>
      </c>
      <c r="E136" s="37" t="e">
        <f>'B5. Last Mile Delivery'!L43</f>
        <v>#N/A</v>
      </c>
      <c r="F136" s="37" t="e">
        <f>'B5. Last Mile Delivery'!M43</f>
        <v>#N/A</v>
      </c>
      <c r="G136" s="37" t="e">
        <f>'B5. Last Mile Delivery'!N43</f>
        <v>#N/A</v>
      </c>
      <c r="H136" s="37" t="e">
        <f>'B5. Last Mile Delivery'!O43</f>
        <v>#N/A</v>
      </c>
      <c r="I136" s="300" t="e">
        <f>SUM(C136:H136)</f>
        <v>#N/A</v>
      </c>
      <c r="J136" s="620"/>
      <c r="K136" s="551"/>
      <c r="L136" s="551"/>
      <c r="M136" s="459"/>
      <c r="O136" s="567"/>
      <c r="P136" s="564"/>
      <c r="Q136" s="564"/>
      <c r="R136" s="564"/>
      <c r="S136" s="564"/>
      <c r="T136" s="564"/>
      <c r="U136" s="564"/>
      <c r="V136" s="564"/>
      <c r="W136" s="564"/>
      <c r="X136" s="564"/>
      <c r="Y136" s="564"/>
      <c r="Z136" s="564"/>
      <c r="AA136" s="564"/>
      <c r="AB136" s="564"/>
      <c r="AC136" s="564"/>
      <c r="AD136" s="564"/>
      <c r="AE136" s="564"/>
      <c r="AF136" s="564"/>
      <c r="AG136" s="564"/>
      <c r="AH136" s="564"/>
      <c r="AI136" s="564"/>
      <c r="AJ136" s="564"/>
      <c r="AK136" s="564"/>
      <c r="AL136" s="564"/>
      <c r="AM136" s="564"/>
      <c r="AN136" s="564"/>
      <c r="AO136" s="564"/>
      <c r="AP136" s="564"/>
      <c r="AQ136" s="564"/>
      <c r="AR136" s="564"/>
      <c r="AS136" s="564"/>
      <c r="AT136" s="564"/>
      <c r="AU136" s="564"/>
      <c r="AV136" s="564"/>
      <c r="AW136" s="564"/>
      <c r="AX136" s="564"/>
      <c r="AY136" s="564"/>
      <c r="AZ136" s="564"/>
      <c r="BA136" s="564"/>
      <c r="BB136" s="564"/>
      <c r="BC136" s="564"/>
      <c r="BD136" s="564"/>
      <c r="BE136" s="564"/>
      <c r="BF136" s="564"/>
      <c r="BG136" s="564"/>
      <c r="BH136" s="564"/>
      <c r="BI136" s="564"/>
      <c r="BJ136" s="564"/>
      <c r="BK136" s="564"/>
      <c r="BL136" s="564"/>
      <c r="BM136" s="564"/>
      <c r="BN136" s="564"/>
      <c r="BO136" s="564"/>
      <c r="BP136" s="564"/>
      <c r="BQ136" s="564"/>
      <c r="BR136" s="564"/>
      <c r="BS136" s="564"/>
      <c r="BT136" s="564"/>
      <c r="BU136" s="564"/>
      <c r="BV136" s="564"/>
      <c r="BW136" s="564"/>
      <c r="BX136" s="564"/>
      <c r="BY136" s="564"/>
      <c r="BZ136" s="564"/>
      <c r="CA136" s="564"/>
      <c r="CB136" s="564"/>
      <c r="CC136" s="564"/>
      <c r="CD136" s="564"/>
      <c r="CE136" s="564"/>
      <c r="CF136" s="564"/>
      <c r="CG136" s="564"/>
      <c r="CH136" s="564"/>
      <c r="CI136" s="564"/>
      <c r="CJ136" s="564"/>
      <c r="CK136" s="564"/>
      <c r="CL136" s="564"/>
      <c r="CM136" s="564"/>
      <c r="CN136" s="564"/>
      <c r="CO136" s="564"/>
      <c r="CP136" s="564"/>
      <c r="CQ136" s="564"/>
      <c r="CR136" s="564"/>
      <c r="CS136" s="564"/>
      <c r="CT136" s="564"/>
      <c r="CU136" s="564"/>
      <c r="CV136" s="564"/>
      <c r="CW136" s="564"/>
      <c r="CX136" s="564"/>
      <c r="CY136" s="564"/>
      <c r="CZ136" s="564"/>
      <c r="DA136" s="564"/>
      <c r="DB136" s="564"/>
      <c r="DC136" s="564"/>
      <c r="DD136" s="564"/>
      <c r="DE136" s="564"/>
      <c r="DF136" s="564"/>
      <c r="DG136" s="564"/>
      <c r="DH136" s="564"/>
      <c r="DI136" s="564"/>
      <c r="DJ136" s="564"/>
      <c r="DK136" s="564"/>
      <c r="DL136" s="564"/>
      <c r="DM136" s="564"/>
      <c r="DN136" s="564"/>
      <c r="DO136" s="564"/>
      <c r="DP136" s="564"/>
      <c r="DQ136" s="564"/>
      <c r="DR136" s="564"/>
      <c r="DS136" s="564"/>
      <c r="DT136" s="564"/>
      <c r="DU136" s="564"/>
      <c r="DV136" s="564"/>
      <c r="DW136" s="564"/>
    </row>
    <row r="137" spans="1:127" s="194" customFormat="1" ht="13.5" thickBot="1" x14ac:dyDescent="0.25">
      <c r="A137" s="85"/>
      <c r="B137" s="21" t="str">
        <f ca="1">IF(OFFSET(R137,0,Lang_Order*Lang__R2)="","",OFFSET(R137,0,Lang_Order*Lang__R2))</f>
        <v>3.2 Vaccinator training and supervision</v>
      </c>
      <c r="C137" s="118" t="e">
        <f t="shared" ref="C137:H137" si="36">IF(ISBLANK(C139),C138,C139)</f>
        <v>#N/A</v>
      </c>
      <c r="D137" s="118" t="e">
        <f t="shared" si="36"/>
        <v>#N/A</v>
      </c>
      <c r="E137" s="118" t="e">
        <f t="shared" si="36"/>
        <v>#N/A</v>
      </c>
      <c r="F137" s="118" t="e">
        <f t="shared" si="36"/>
        <v>#N/A</v>
      </c>
      <c r="G137" s="118" t="e">
        <f t="shared" si="36"/>
        <v>#N/A</v>
      </c>
      <c r="H137" s="118" t="e">
        <f t="shared" si="36"/>
        <v>#N/A</v>
      </c>
      <c r="I137" s="282" t="e">
        <f>SUM(C137:H137)</f>
        <v>#N/A</v>
      </c>
      <c r="J137" s="620" t="s">
        <v>5152</v>
      </c>
      <c r="K137" s="35" t="s">
        <v>2844</v>
      </c>
      <c r="L137" s="35" t="s">
        <v>3188</v>
      </c>
      <c r="M137" s="459"/>
      <c r="O137" s="587"/>
      <c r="P137" s="564"/>
      <c r="Q137" s="564"/>
      <c r="R137" s="564" t="s">
        <v>14169</v>
      </c>
      <c r="S137" s="564"/>
      <c r="T137" s="564"/>
      <c r="U137" s="564"/>
      <c r="V137" s="564"/>
      <c r="W137" s="564"/>
      <c r="X137" s="564"/>
      <c r="Y137" s="564"/>
      <c r="Z137" s="564"/>
      <c r="AA137" s="564"/>
      <c r="AB137" s="564"/>
      <c r="AC137" s="564"/>
      <c r="AD137" s="564"/>
      <c r="AE137" s="564"/>
      <c r="AF137" s="564"/>
      <c r="AG137" s="564"/>
      <c r="AH137" s="564" t="s">
        <v>13078</v>
      </c>
      <c r="AI137" s="564"/>
      <c r="AJ137" s="564"/>
      <c r="AK137" s="564"/>
      <c r="AL137" s="564"/>
      <c r="AM137" s="564"/>
      <c r="AN137" s="564"/>
      <c r="AO137" s="564"/>
      <c r="AP137" s="564"/>
      <c r="AQ137" s="564"/>
      <c r="AR137" s="564"/>
      <c r="AS137" s="564"/>
      <c r="AT137" s="564"/>
      <c r="AU137" s="564"/>
      <c r="AV137" s="564"/>
      <c r="AW137" s="564"/>
      <c r="AX137" s="564" t="s">
        <v>13079</v>
      </c>
      <c r="AY137" s="564"/>
      <c r="AZ137" s="564"/>
      <c r="BA137" s="564"/>
      <c r="BB137" s="564"/>
      <c r="BC137" s="564"/>
      <c r="BD137" s="564"/>
      <c r="BE137" s="564"/>
      <c r="BF137" s="564"/>
      <c r="BG137" s="564"/>
      <c r="BH137" s="564"/>
      <c r="BI137" s="564"/>
      <c r="BJ137" s="564"/>
      <c r="BK137" s="564"/>
      <c r="BL137" s="564"/>
      <c r="BM137" s="564"/>
      <c r="BN137" s="564" t="s">
        <v>13080</v>
      </c>
      <c r="BO137" s="564"/>
      <c r="BP137" s="564"/>
      <c r="BQ137" s="564"/>
      <c r="BR137" s="564"/>
      <c r="BS137" s="564"/>
      <c r="BT137" s="564"/>
      <c r="BU137" s="564"/>
      <c r="BV137" s="564"/>
      <c r="BW137" s="564"/>
      <c r="BX137" s="564"/>
      <c r="BY137" s="564"/>
      <c r="BZ137" s="564"/>
      <c r="CA137" s="564"/>
      <c r="CB137" s="564"/>
      <c r="CC137" s="564"/>
      <c r="CD137" s="564" t="s">
        <v>13081</v>
      </c>
      <c r="CE137" s="564"/>
      <c r="CF137" s="564"/>
      <c r="CG137" s="564"/>
      <c r="CH137" s="564"/>
      <c r="CI137" s="564"/>
      <c r="CJ137" s="564"/>
      <c r="CK137" s="564"/>
      <c r="CL137" s="564"/>
      <c r="CM137" s="564"/>
      <c r="CN137" s="564"/>
      <c r="CO137" s="564"/>
      <c r="CP137" s="564"/>
      <c r="CQ137" s="564"/>
      <c r="CR137" s="564"/>
      <c r="CS137" s="564"/>
      <c r="CT137" s="564" t="s">
        <v>13082</v>
      </c>
      <c r="CU137" s="564"/>
      <c r="CV137" s="564"/>
      <c r="CW137" s="564"/>
      <c r="CX137" s="564"/>
      <c r="CY137" s="564"/>
      <c r="CZ137" s="564"/>
      <c r="DA137" s="564"/>
      <c r="DB137" s="564"/>
      <c r="DC137" s="564"/>
      <c r="DD137" s="564"/>
      <c r="DE137" s="564"/>
      <c r="DF137" s="564"/>
      <c r="DG137" s="564"/>
      <c r="DH137" s="564"/>
      <c r="DI137" s="564"/>
      <c r="DJ137" s="564" t="s">
        <v>13083</v>
      </c>
      <c r="DK137" s="564"/>
      <c r="DL137" s="564"/>
      <c r="DM137" s="564"/>
      <c r="DN137" s="564"/>
      <c r="DO137" s="564"/>
      <c r="DP137" s="564"/>
      <c r="DQ137" s="564"/>
      <c r="DR137" s="564"/>
      <c r="DS137" s="564"/>
      <c r="DT137" s="564"/>
      <c r="DU137" s="564"/>
      <c r="DV137" s="564"/>
      <c r="DW137" s="564"/>
    </row>
    <row r="138" spans="1:127" s="2" customFormat="1" ht="13.5" thickTop="1" x14ac:dyDescent="0.2">
      <c r="A138" s="73"/>
      <c r="B138" s="72" t="str">
        <f ca="1">IF(OFFSET(R138,0,Lang_Order*Lang__R2)="","",OFFSET(R138,0,Lang_Order*Lang__R2))</f>
        <v>CVIC Estimates</v>
      </c>
      <c r="C138" s="199" t="e">
        <f t="shared" ref="C138:H138" si="37">SUM(C135:C136)</f>
        <v>#N/A</v>
      </c>
      <c r="D138" s="199" t="e">
        <f t="shared" si="37"/>
        <v>#N/A</v>
      </c>
      <c r="E138" s="199" t="e">
        <f t="shared" si="37"/>
        <v>#N/A</v>
      </c>
      <c r="F138" s="199" t="e">
        <f t="shared" si="37"/>
        <v>#N/A</v>
      </c>
      <c r="G138" s="199" t="e">
        <f t="shared" si="37"/>
        <v>#N/A</v>
      </c>
      <c r="H138" s="199" t="e">
        <f t="shared" si="37"/>
        <v>#N/A</v>
      </c>
      <c r="I138" s="199" t="e">
        <f>SUM(C138:H138)</f>
        <v>#N/A</v>
      </c>
      <c r="J138" s="620" t="s">
        <v>5153</v>
      </c>
      <c r="P138" s="564"/>
      <c r="Q138" s="564"/>
      <c r="R138" s="564" t="s">
        <v>12973</v>
      </c>
      <c r="S138" s="564"/>
      <c r="T138" s="564"/>
      <c r="U138" s="564"/>
      <c r="V138" s="564"/>
      <c r="W138" s="564"/>
      <c r="X138" s="564"/>
      <c r="Y138" s="564"/>
      <c r="Z138" s="564"/>
      <c r="AA138" s="564"/>
      <c r="AB138" s="564"/>
      <c r="AC138" s="564"/>
      <c r="AD138" s="564"/>
      <c r="AE138" s="564"/>
      <c r="AF138" s="564"/>
      <c r="AG138" s="564"/>
      <c r="AH138" s="564" t="s">
        <v>12974</v>
      </c>
      <c r="AI138" s="564"/>
      <c r="AJ138" s="564"/>
      <c r="AK138" s="564"/>
      <c r="AL138" s="564"/>
      <c r="AM138" s="564"/>
      <c r="AN138" s="564"/>
      <c r="AO138" s="564"/>
      <c r="AP138" s="564"/>
      <c r="AQ138" s="564"/>
      <c r="AR138" s="564"/>
      <c r="AS138" s="564"/>
      <c r="AT138" s="564"/>
      <c r="AU138" s="564"/>
      <c r="AV138" s="564"/>
      <c r="AW138" s="564"/>
      <c r="AX138" s="564" t="s">
        <v>12968</v>
      </c>
      <c r="AY138" s="564"/>
      <c r="AZ138" s="564"/>
      <c r="BA138" s="564"/>
      <c r="BB138" s="564"/>
      <c r="BC138" s="564"/>
      <c r="BD138" s="564"/>
      <c r="BE138" s="564"/>
      <c r="BF138" s="564"/>
      <c r="BG138" s="564"/>
      <c r="BH138" s="564"/>
      <c r="BI138" s="564"/>
      <c r="BJ138" s="564"/>
      <c r="BK138" s="564"/>
      <c r="BL138" s="564"/>
      <c r="BM138" s="564"/>
      <c r="BN138" s="564" t="s">
        <v>12969</v>
      </c>
      <c r="BO138" s="564"/>
      <c r="BP138" s="564"/>
      <c r="BQ138" s="564"/>
      <c r="BR138" s="564"/>
      <c r="BS138" s="564"/>
      <c r="BT138" s="564"/>
      <c r="BU138" s="564"/>
      <c r="BV138" s="564"/>
      <c r="BW138" s="564"/>
      <c r="BX138" s="564"/>
      <c r="BY138" s="564"/>
      <c r="BZ138" s="564"/>
      <c r="CA138" s="564"/>
      <c r="CB138" s="564"/>
      <c r="CC138" s="564"/>
      <c r="CD138" s="564" t="s">
        <v>12970</v>
      </c>
      <c r="CE138" s="564"/>
      <c r="CF138" s="564"/>
      <c r="CG138" s="564"/>
      <c r="CH138" s="564"/>
      <c r="CI138" s="564"/>
      <c r="CJ138" s="564"/>
      <c r="CK138" s="564"/>
      <c r="CL138" s="564"/>
      <c r="CM138" s="564"/>
      <c r="CN138" s="564"/>
      <c r="CO138" s="564"/>
      <c r="CP138" s="564"/>
      <c r="CQ138" s="564"/>
      <c r="CR138" s="564"/>
      <c r="CS138" s="564"/>
      <c r="CT138" s="564" t="s">
        <v>12971</v>
      </c>
      <c r="CU138" s="564"/>
      <c r="CV138" s="564"/>
      <c r="CW138" s="564"/>
      <c r="CX138" s="564"/>
      <c r="CY138" s="564"/>
      <c r="CZ138" s="564"/>
      <c r="DA138" s="564"/>
      <c r="DB138" s="564"/>
      <c r="DC138" s="564"/>
      <c r="DD138" s="564"/>
      <c r="DE138" s="564"/>
      <c r="DF138" s="564"/>
      <c r="DG138" s="564"/>
      <c r="DH138" s="564"/>
      <c r="DI138" s="564"/>
      <c r="DJ138" s="564" t="s">
        <v>12972</v>
      </c>
      <c r="DK138" s="564"/>
      <c r="DL138" s="564"/>
      <c r="DM138" s="564"/>
      <c r="DN138" s="564"/>
      <c r="DO138" s="564"/>
      <c r="DP138" s="564"/>
      <c r="DQ138" s="564"/>
      <c r="DR138" s="564"/>
      <c r="DS138" s="564"/>
      <c r="DT138" s="564"/>
      <c r="DU138" s="564"/>
      <c r="DV138" s="564"/>
      <c r="DW138" s="564"/>
    </row>
    <row r="139" spans="1:127" s="536" customFormat="1" x14ac:dyDescent="0.2">
      <c r="A139" s="350">
        <v>2</v>
      </c>
      <c r="B139" s="5" t="str">
        <f ca="1">IF(OFFSET(R139,0,Lang_Order*Lang__R2)="","",OFFSET(R139,0,Lang_Order*Lang__R2))</f>
        <v>OVERRIDE HERE if alternative costing used for section above</v>
      </c>
      <c r="C139" s="284"/>
      <c r="D139" s="284"/>
      <c r="E139" s="284"/>
      <c r="F139" s="284"/>
      <c r="G139" s="284"/>
      <c r="H139" s="284"/>
      <c r="I139" s="81" t="str">
        <f>Lang_LeaveBlank</f>
        <v>Leave Blank</v>
      </c>
      <c r="J139" s="620" t="s">
        <v>5154</v>
      </c>
      <c r="K139" s="543"/>
      <c r="L139" s="543"/>
      <c r="O139" s="587"/>
      <c r="P139" s="564"/>
      <c r="Q139" s="564"/>
      <c r="R139" s="564" t="s">
        <v>4591</v>
      </c>
      <c r="S139" s="564"/>
      <c r="T139" s="564"/>
      <c r="U139" s="564"/>
      <c r="V139" s="564"/>
      <c r="W139" s="564"/>
      <c r="X139" s="564"/>
      <c r="Y139" s="564"/>
      <c r="Z139" s="564"/>
      <c r="AA139" s="564"/>
      <c r="AB139" s="564"/>
      <c r="AC139" s="564"/>
      <c r="AD139" s="564"/>
      <c r="AE139" s="564"/>
      <c r="AF139" s="564"/>
      <c r="AG139" s="564"/>
      <c r="AH139" s="564" t="s">
        <v>12949</v>
      </c>
      <c r="AI139" s="564"/>
      <c r="AJ139" s="564"/>
      <c r="AK139" s="564"/>
      <c r="AL139" s="564"/>
      <c r="AM139" s="564"/>
      <c r="AN139" s="564"/>
      <c r="AO139" s="564"/>
      <c r="AP139" s="564"/>
      <c r="AQ139" s="564"/>
      <c r="AR139" s="564"/>
      <c r="AS139" s="564"/>
      <c r="AT139" s="564"/>
      <c r="AU139" s="564"/>
      <c r="AV139" s="564"/>
      <c r="AW139" s="564"/>
      <c r="AX139" s="564" t="s">
        <v>12950</v>
      </c>
      <c r="AY139" s="564"/>
      <c r="AZ139" s="564"/>
      <c r="BA139" s="564"/>
      <c r="BB139" s="564"/>
      <c r="BC139" s="564"/>
      <c r="BD139" s="564"/>
      <c r="BE139" s="564"/>
      <c r="BF139" s="564"/>
      <c r="BG139" s="564"/>
      <c r="BH139" s="564"/>
      <c r="BI139" s="564"/>
      <c r="BJ139" s="564"/>
      <c r="BK139" s="564"/>
      <c r="BL139" s="564"/>
      <c r="BM139" s="564"/>
      <c r="BN139" s="564" t="s">
        <v>12951</v>
      </c>
      <c r="BO139" s="564"/>
      <c r="BP139" s="564"/>
      <c r="BQ139" s="564"/>
      <c r="BR139" s="564"/>
      <c r="BS139" s="564"/>
      <c r="BT139" s="564"/>
      <c r="BU139" s="564"/>
      <c r="BV139" s="564"/>
      <c r="BW139" s="564"/>
      <c r="BX139" s="564"/>
      <c r="BY139" s="564"/>
      <c r="BZ139" s="564"/>
      <c r="CA139" s="564"/>
      <c r="CB139" s="564"/>
      <c r="CC139" s="564"/>
      <c r="CD139" s="564" t="s">
        <v>12952</v>
      </c>
      <c r="CE139" s="564"/>
      <c r="CF139" s="564"/>
      <c r="CG139" s="564"/>
      <c r="CH139" s="564"/>
      <c r="CI139" s="564"/>
      <c r="CJ139" s="564"/>
      <c r="CK139" s="564"/>
      <c r="CL139" s="564"/>
      <c r="CM139" s="564"/>
      <c r="CN139" s="564"/>
      <c r="CO139" s="564"/>
      <c r="CP139" s="564"/>
      <c r="CQ139" s="564"/>
      <c r="CR139" s="564"/>
      <c r="CS139" s="564"/>
      <c r="CT139" s="564" t="s">
        <v>12953</v>
      </c>
      <c r="CU139" s="564"/>
      <c r="CV139" s="564"/>
      <c r="CW139" s="564"/>
      <c r="CX139" s="564"/>
      <c r="CY139" s="564"/>
      <c r="CZ139" s="564"/>
      <c r="DA139" s="564"/>
      <c r="DB139" s="564"/>
      <c r="DC139" s="564"/>
      <c r="DD139" s="564"/>
      <c r="DE139" s="564"/>
      <c r="DF139" s="564"/>
      <c r="DG139" s="564"/>
      <c r="DH139" s="564"/>
      <c r="DI139" s="564"/>
      <c r="DJ139" s="564" t="s">
        <v>12954</v>
      </c>
      <c r="DK139" s="564"/>
      <c r="DL139" s="564"/>
      <c r="DM139" s="564"/>
      <c r="DN139" s="564"/>
      <c r="DO139" s="564"/>
      <c r="DP139" s="564"/>
      <c r="DQ139" s="564"/>
      <c r="DR139" s="564"/>
      <c r="DS139" s="564"/>
      <c r="DT139" s="564"/>
      <c r="DU139" s="564"/>
      <c r="DV139" s="564"/>
      <c r="DW139" s="564"/>
    </row>
    <row r="140" spans="1:127" s="194" customFormat="1" x14ac:dyDescent="0.2">
      <c r="A140" s="281"/>
      <c r="J140" s="620"/>
      <c r="K140" s="543"/>
      <c r="L140" s="543"/>
      <c r="M140" s="459"/>
      <c r="O140" s="567"/>
      <c r="P140" s="564"/>
      <c r="Q140" s="564"/>
      <c r="R140" s="564"/>
      <c r="S140" s="564"/>
      <c r="T140" s="564"/>
      <c r="U140" s="564"/>
      <c r="V140" s="564"/>
      <c r="W140" s="564"/>
      <c r="X140" s="564"/>
      <c r="Y140" s="564"/>
      <c r="Z140" s="564"/>
      <c r="AA140" s="564"/>
      <c r="AB140" s="564"/>
      <c r="AC140" s="564"/>
      <c r="AD140" s="564"/>
      <c r="AE140" s="564"/>
      <c r="AF140" s="564"/>
      <c r="AG140" s="564"/>
      <c r="AH140" s="564"/>
      <c r="AI140" s="564"/>
      <c r="AJ140" s="564"/>
      <c r="AK140" s="564"/>
      <c r="AL140" s="564"/>
      <c r="AM140" s="564"/>
      <c r="AN140" s="564"/>
      <c r="AO140" s="564"/>
      <c r="AP140" s="564"/>
      <c r="AQ140" s="564"/>
      <c r="AR140" s="564"/>
      <c r="AS140" s="564"/>
      <c r="AT140" s="564"/>
      <c r="AU140" s="564"/>
      <c r="AV140" s="564"/>
      <c r="AW140" s="564"/>
      <c r="AX140" s="564"/>
      <c r="AY140" s="564"/>
      <c r="AZ140" s="564"/>
      <c r="BA140" s="564"/>
      <c r="BB140" s="564"/>
      <c r="BC140" s="564"/>
      <c r="BD140" s="564"/>
      <c r="BE140" s="564"/>
      <c r="BF140" s="564"/>
      <c r="BG140" s="564"/>
      <c r="BH140" s="564"/>
      <c r="BI140" s="564"/>
      <c r="BJ140" s="564"/>
      <c r="BK140" s="564"/>
      <c r="BL140" s="564"/>
      <c r="BM140" s="564"/>
      <c r="BN140" s="564"/>
      <c r="BO140" s="564"/>
      <c r="BP140" s="564"/>
      <c r="BQ140" s="564"/>
      <c r="BR140" s="564"/>
      <c r="BS140" s="564"/>
      <c r="BT140" s="564"/>
      <c r="BU140" s="564"/>
      <c r="BV140" s="564"/>
      <c r="BW140" s="564"/>
      <c r="BX140" s="564"/>
      <c r="BY140" s="564"/>
      <c r="BZ140" s="564"/>
      <c r="CA140" s="564"/>
      <c r="CB140" s="564"/>
      <c r="CC140" s="564"/>
      <c r="CD140" s="564"/>
      <c r="CE140" s="564"/>
      <c r="CF140" s="564"/>
      <c r="CG140" s="564"/>
      <c r="CH140" s="564"/>
      <c r="CI140" s="564"/>
      <c r="CJ140" s="564"/>
      <c r="CK140" s="564"/>
      <c r="CL140" s="564"/>
      <c r="CM140" s="564"/>
      <c r="CN140" s="564"/>
      <c r="CO140" s="564"/>
      <c r="CP140" s="564"/>
      <c r="CQ140" s="564"/>
      <c r="CR140" s="564"/>
      <c r="CS140" s="564"/>
      <c r="CT140" s="564"/>
      <c r="CU140" s="564"/>
      <c r="CV140" s="564"/>
      <c r="CW140" s="564"/>
      <c r="CX140" s="564"/>
      <c r="CY140" s="564"/>
      <c r="CZ140" s="564"/>
      <c r="DA140" s="564"/>
      <c r="DB140" s="564"/>
      <c r="DC140" s="564"/>
      <c r="DD140" s="564"/>
      <c r="DE140" s="564"/>
      <c r="DF140" s="564"/>
      <c r="DG140" s="564"/>
      <c r="DH140" s="564"/>
      <c r="DI140" s="564"/>
      <c r="DJ140" s="564"/>
      <c r="DK140" s="564"/>
      <c r="DL140" s="564"/>
      <c r="DM140" s="564"/>
      <c r="DN140" s="564"/>
      <c r="DO140" s="564"/>
      <c r="DP140" s="564"/>
      <c r="DQ140" s="564"/>
      <c r="DR140" s="564"/>
      <c r="DS140" s="564"/>
      <c r="DT140" s="564"/>
      <c r="DU140" s="564"/>
      <c r="DV140" s="564"/>
      <c r="DW140" s="564"/>
    </row>
    <row r="141" spans="1:127" s="281" customFormat="1" x14ac:dyDescent="0.2">
      <c r="B141" s="5" t="str">
        <f ca="1">'B5. Last Mile Delivery'!C42</f>
        <v>HRH wages (per diems)</v>
      </c>
      <c r="C141" s="300" t="e">
        <f>'B5. Last Mile Delivery'!J42</f>
        <v>#N/A</v>
      </c>
      <c r="D141" s="300" t="e">
        <f>'B5. Last Mile Delivery'!K42</f>
        <v>#N/A</v>
      </c>
      <c r="E141" s="300" t="e">
        <f>'B5. Last Mile Delivery'!L42</f>
        <v>#N/A</v>
      </c>
      <c r="F141" s="300" t="e">
        <f>'B5. Last Mile Delivery'!M42</f>
        <v>#N/A</v>
      </c>
      <c r="G141" s="300" t="e">
        <f>'B5. Last Mile Delivery'!N42</f>
        <v>#N/A</v>
      </c>
      <c r="H141" s="300" t="e">
        <f>'B5. Last Mile Delivery'!O42</f>
        <v>#N/A</v>
      </c>
      <c r="I141" s="300" t="e">
        <f>SUM(C141:H141)</f>
        <v>#N/A</v>
      </c>
      <c r="J141" s="620"/>
      <c r="K141" s="543"/>
      <c r="L141" s="543"/>
      <c r="M141" s="459"/>
      <c r="O141" s="567"/>
      <c r="P141" s="564"/>
      <c r="Q141" s="564"/>
      <c r="R141" s="564"/>
      <c r="S141" s="564"/>
      <c r="T141" s="564"/>
      <c r="U141" s="564"/>
      <c r="V141" s="564"/>
      <c r="W141" s="564"/>
      <c r="X141" s="564"/>
      <c r="Y141" s="564"/>
      <c r="Z141" s="564"/>
      <c r="AA141" s="564"/>
      <c r="AB141" s="564"/>
      <c r="AC141" s="564"/>
      <c r="AD141" s="564"/>
      <c r="AE141" s="564"/>
      <c r="AF141" s="564"/>
      <c r="AG141" s="564"/>
      <c r="AH141" s="564"/>
      <c r="AI141" s="564"/>
      <c r="AJ141" s="564"/>
      <c r="AK141" s="564"/>
      <c r="AL141" s="564"/>
      <c r="AM141" s="564"/>
      <c r="AN141" s="564"/>
      <c r="AO141" s="564"/>
      <c r="AP141" s="564"/>
      <c r="AQ141" s="564"/>
      <c r="AR141" s="564"/>
      <c r="AS141" s="564"/>
      <c r="AT141" s="564"/>
      <c r="AU141" s="564"/>
      <c r="AV141" s="564"/>
      <c r="AW141" s="564"/>
      <c r="AX141" s="564"/>
      <c r="AY141" s="564"/>
      <c r="AZ141" s="564"/>
      <c r="BA141" s="564"/>
      <c r="BB141" s="564"/>
      <c r="BC141" s="564"/>
      <c r="BD141" s="564"/>
      <c r="BE141" s="564"/>
      <c r="BF141" s="564"/>
      <c r="BG141" s="564"/>
      <c r="BH141" s="564"/>
      <c r="BI141" s="564"/>
      <c r="BJ141" s="564"/>
      <c r="BK141" s="564"/>
      <c r="BL141" s="564"/>
      <c r="BM141" s="564"/>
      <c r="BN141" s="564"/>
      <c r="BO141" s="564"/>
      <c r="BP141" s="564"/>
      <c r="BQ141" s="564"/>
      <c r="BR141" s="564"/>
      <c r="BS141" s="564"/>
      <c r="BT141" s="564"/>
      <c r="BU141" s="564"/>
      <c r="BV141" s="564"/>
      <c r="BW141" s="564"/>
      <c r="BX141" s="564"/>
      <c r="BY141" s="564"/>
      <c r="BZ141" s="564"/>
      <c r="CA141" s="564"/>
      <c r="CB141" s="564"/>
      <c r="CC141" s="564"/>
      <c r="CD141" s="564"/>
      <c r="CE141" s="564"/>
      <c r="CF141" s="564"/>
      <c r="CG141" s="564"/>
      <c r="CH141" s="564"/>
      <c r="CI141" s="564"/>
      <c r="CJ141" s="564"/>
      <c r="CK141" s="564"/>
      <c r="CL141" s="564"/>
      <c r="CM141" s="564"/>
      <c r="CN141" s="564"/>
      <c r="CO141" s="564"/>
      <c r="CP141" s="564"/>
      <c r="CQ141" s="564"/>
      <c r="CR141" s="564"/>
      <c r="CS141" s="564"/>
      <c r="CT141" s="564"/>
      <c r="CU141" s="564"/>
      <c r="CV141" s="564"/>
      <c r="CW141" s="564"/>
      <c r="CX141" s="564"/>
      <c r="CY141" s="564"/>
      <c r="CZ141" s="564"/>
      <c r="DA141" s="564"/>
      <c r="DB141" s="564"/>
      <c r="DC141" s="564"/>
      <c r="DD141" s="564"/>
      <c r="DE141" s="564"/>
      <c r="DF141" s="564"/>
      <c r="DG141" s="564"/>
      <c r="DH141" s="564"/>
      <c r="DI141" s="564"/>
      <c r="DJ141" s="564"/>
      <c r="DK141" s="564"/>
      <c r="DL141" s="564"/>
      <c r="DM141" s="564"/>
      <c r="DN141" s="564"/>
      <c r="DO141" s="564"/>
      <c r="DP141" s="564"/>
      <c r="DQ141" s="564"/>
      <c r="DR141" s="564"/>
      <c r="DS141" s="564"/>
      <c r="DT141" s="564"/>
      <c r="DU141" s="564"/>
      <c r="DV141" s="564"/>
      <c r="DW141" s="564"/>
    </row>
    <row r="142" spans="1:127" s="281" customFormat="1" x14ac:dyDescent="0.2">
      <c r="B142" s="5" t="str">
        <f ca="1">'B5. Last Mile Delivery'!C44</f>
        <v>HRH expenses</v>
      </c>
      <c r="C142" s="300" t="e">
        <f>'B5. Last Mile Delivery'!J44</f>
        <v>#N/A</v>
      </c>
      <c r="D142" s="300" t="e">
        <f>'B5. Last Mile Delivery'!K44</f>
        <v>#N/A</v>
      </c>
      <c r="E142" s="300" t="e">
        <f>'B5. Last Mile Delivery'!L44</f>
        <v>#N/A</v>
      </c>
      <c r="F142" s="300" t="e">
        <f>'B5. Last Mile Delivery'!M44</f>
        <v>#N/A</v>
      </c>
      <c r="G142" s="300" t="e">
        <f>'B5. Last Mile Delivery'!N44</f>
        <v>#N/A</v>
      </c>
      <c r="H142" s="300" t="e">
        <f>'B5. Last Mile Delivery'!O44</f>
        <v>#N/A</v>
      </c>
      <c r="I142" s="300" t="e">
        <f>SUM(C142:H142)</f>
        <v>#N/A</v>
      </c>
      <c r="J142" s="620"/>
      <c r="K142" s="543"/>
      <c r="L142" s="543"/>
      <c r="M142" s="459"/>
      <c r="O142" s="567"/>
      <c r="P142" s="564"/>
      <c r="Q142" s="564"/>
      <c r="R142" s="564"/>
      <c r="S142" s="564"/>
      <c r="T142" s="564"/>
      <c r="U142" s="564"/>
      <c r="V142" s="564"/>
      <c r="W142" s="564"/>
      <c r="X142" s="564"/>
      <c r="Y142" s="564"/>
      <c r="Z142" s="564"/>
      <c r="AA142" s="564"/>
      <c r="AB142" s="564"/>
      <c r="AC142" s="564"/>
      <c r="AD142" s="564"/>
      <c r="AE142" s="564"/>
      <c r="AF142" s="564"/>
      <c r="AG142" s="564"/>
      <c r="AH142" s="564"/>
      <c r="AI142" s="564"/>
      <c r="AJ142" s="564"/>
      <c r="AK142" s="564"/>
      <c r="AL142" s="564"/>
      <c r="AM142" s="564"/>
      <c r="AN142" s="564"/>
      <c r="AO142" s="564"/>
      <c r="AP142" s="564"/>
      <c r="AQ142" s="564"/>
      <c r="AR142" s="564"/>
      <c r="AS142" s="564"/>
      <c r="AT142" s="564"/>
      <c r="AU142" s="564"/>
      <c r="AV142" s="564"/>
      <c r="AW142" s="564"/>
      <c r="AX142" s="564"/>
      <c r="AY142" s="564"/>
      <c r="AZ142" s="564"/>
      <c r="BA142" s="564"/>
      <c r="BB142" s="564"/>
      <c r="BC142" s="564"/>
      <c r="BD142" s="564"/>
      <c r="BE142" s="564"/>
      <c r="BF142" s="564"/>
      <c r="BG142" s="564"/>
      <c r="BH142" s="564"/>
      <c r="BI142" s="564"/>
      <c r="BJ142" s="564"/>
      <c r="BK142" s="564"/>
      <c r="BL142" s="564"/>
      <c r="BM142" s="564"/>
      <c r="BN142" s="564"/>
      <c r="BO142" s="564"/>
      <c r="BP142" s="564"/>
      <c r="BQ142" s="564"/>
      <c r="BR142" s="564"/>
      <c r="BS142" s="564"/>
      <c r="BT142" s="564"/>
      <c r="BU142" s="564"/>
      <c r="BV142" s="564"/>
      <c r="BW142" s="564"/>
      <c r="BX142" s="564"/>
      <c r="BY142" s="564"/>
      <c r="BZ142" s="564"/>
      <c r="CA142" s="564"/>
      <c r="CB142" s="564"/>
      <c r="CC142" s="564"/>
      <c r="CD142" s="564"/>
      <c r="CE142" s="564"/>
      <c r="CF142" s="564"/>
      <c r="CG142" s="564"/>
      <c r="CH142" s="564"/>
      <c r="CI142" s="564"/>
      <c r="CJ142" s="564"/>
      <c r="CK142" s="564"/>
      <c r="CL142" s="564"/>
      <c r="CM142" s="564"/>
      <c r="CN142" s="564"/>
      <c r="CO142" s="564"/>
      <c r="CP142" s="564"/>
      <c r="CQ142" s="564"/>
      <c r="CR142" s="564"/>
      <c r="CS142" s="564"/>
      <c r="CT142" s="564"/>
      <c r="CU142" s="564"/>
      <c r="CV142" s="564"/>
      <c r="CW142" s="564"/>
      <c r="CX142" s="564"/>
      <c r="CY142" s="564"/>
      <c r="CZ142" s="564"/>
      <c r="DA142" s="564"/>
      <c r="DB142" s="564"/>
      <c r="DC142" s="564"/>
      <c r="DD142" s="564"/>
      <c r="DE142" s="564"/>
      <c r="DF142" s="564"/>
      <c r="DG142" s="564"/>
      <c r="DH142" s="564"/>
      <c r="DI142" s="564"/>
      <c r="DJ142" s="564"/>
      <c r="DK142" s="564"/>
      <c r="DL142" s="564"/>
      <c r="DM142" s="564"/>
      <c r="DN142" s="564"/>
      <c r="DO142" s="564"/>
      <c r="DP142" s="564"/>
      <c r="DQ142" s="564"/>
      <c r="DR142" s="564"/>
      <c r="DS142" s="564"/>
      <c r="DT142" s="564"/>
      <c r="DU142" s="564"/>
      <c r="DV142" s="564"/>
      <c r="DW142" s="564"/>
    </row>
    <row r="143" spans="1:127" s="281" customFormat="1" x14ac:dyDescent="0.2">
      <c r="A143" s="532"/>
      <c r="B143" s="5" t="str">
        <f ca="1">'B5. Last Mile Delivery'!C41</f>
        <v>HRH salaries (for new, non-redeployed vaccinators)</v>
      </c>
      <c r="C143" s="300" t="e">
        <f>'B5. Last Mile Delivery'!J41</f>
        <v>#N/A</v>
      </c>
      <c r="D143" s="300" t="e">
        <f>'B5. Last Mile Delivery'!K41</f>
        <v>#N/A</v>
      </c>
      <c r="E143" s="300" t="e">
        <f>'B5. Last Mile Delivery'!L41</f>
        <v>#N/A</v>
      </c>
      <c r="F143" s="300" t="e">
        <f>'B5. Last Mile Delivery'!M41</f>
        <v>#N/A</v>
      </c>
      <c r="G143" s="300" t="e">
        <f>'B5. Last Mile Delivery'!N41</f>
        <v>#N/A</v>
      </c>
      <c r="H143" s="300" t="e">
        <f>'B5. Last Mile Delivery'!O41</f>
        <v>#N/A</v>
      </c>
      <c r="I143" s="300" t="e">
        <f>SUM(C143:H143)</f>
        <v>#N/A</v>
      </c>
      <c r="J143" s="620"/>
      <c r="K143" s="543"/>
      <c r="L143" s="543"/>
      <c r="M143" s="459"/>
      <c r="N143" s="638" t="str">
        <f ca="1">IF(OFFSET(AD143,0,Lang_Order*Lang__R2)="","",OFFSET(AD143,0,Lang_Order*Lang__R2))</f>
        <v>Note, the HRH salaries above are only paid for the period the non-redeployed vaccinator is actively vaccinating and stops when the vaccinator is no longer needed for vaccination.</v>
      </c>
      <c r="O143" s="567"/>
      <c r="P143" s="564"/>
      <c r="Q143" s="564"/>
      <c r="R143" s="564"/>
      <c r="S143" s="564"/>
      <c r="T143" s="564"/>
      <c r="U143" s="564"/>
      <c r="V143" s="564"/>
      <c r="W143" s="564"/>
      <c r="X143" s="564"/>
      <c r="Y143" s="564"/>
      <c r="Z143" s="564"/>
      <c r="AA143" s="564"/>
      <c r="AB143" s="564"/>
      <c r="AC143" s="564"/>
      <c r="AD143" s="564" t="s">
        <v>3981</v>
      </c>
      <c r="AE143" s="564"/>
      <c r="AF143" s="564"/>
      <c r="AG143" s="564"/>
      <c r="AH143" s="564"/>
      <c r="AI143" s="564"/>
      <c r="AJ143" s="564"/>
      <c r="AK143" s="564"/>
      <c r="AL143" s="564"/>
      <c r="AM143" s="564"/>
      <c r="AN143" s="564"/>
      <c r="AO143" s="564"/>
      <c r="AP143" s="564"/>
      <c r="AQ143" s="564"/>
      <c r="AR143" s="564"/>
      <c r="AS143" s="564"/>
      <c r="AT143" s="564" t="s">
        <v>5024</v>
      </c>
      <c r="AU143" s="564"/>
      <c r="AV143" s="564"/>
      <c r="AW143" s="564"/>
      <c r="AX143" s="564"/>
      <c r="AY143" s="564"/>
      <c r="AZ143" s="564"/>
      <c r="BA143" s="564"/>
      <c r="BB143" s="564"/>
      <c r="BC143" s="564"/>
      <c r="BD143" s="564"/>
      <c r="BE143" s="564"/>
      <c r="BF143" s="564"/>
      <c r="BG143" s="564"/>
      <c r="BH143" s="564"/>
      <c r="BI143" s="564"/>
      <c r="BJ143" s="564" t="s">
        <v>5025</v>
      </c>
      <c r="BK143" s="564"/>
      <c r="BL143" s="564"/>
      <c r="BM143" s="564"/>
      <c r="BN143" s="564"/>
      <c r="BO143" s="564"/>
      <c r="BP143" s="564"/>
      <c r="BQ143" s="564"/>
      <c r="BR143" s="564"/>
      <c r="BS143" s="564"/>
      <c r="BT143" s="564"/>
      <c r="BU143" s="564"/>
      <c r="BV143" s="564"/>
      <c r="BW143" s="564"/>
      <c r="BX143" s="564"/>
      <c r="BY143" s="564"/>
      <c r="BZ143" s="564" t="s">
        <v>5026</v>
      </c>
      <c r="CA143" s="564"/>
      <c r="CB143" s="564"/>
      <c r="CC143" s="564"/>
      <c r="CD143" s="564"/>
      <c r="CE143" s="564"/>
      <c r="CF143" s="564"/>
      <c r="CG143" s="564"/>
      <c r="CH143" s="564"/>
      <c r="CI143" s="564"/>
      <c r="CJ143" s="564"/>
      <c r="CK143" s="564"/>
      <c r="CL143" s="564"/>
      <c r="CM143" s="564"/>
      <c r="CN143" s="564"/>
      <c r="CO143" s="564"/>
      <c r="CP143" s="564" t="s">
        <v>5027</v>
      </c>
      <c r="CQ143" s="564"/>
      <c r="CR143" s="564"/>
      <c r="CS143" s="564"/>
      <c r="CT143" s="564"/>
      <c r="CU143" s="564"/>
      <c r="CV143" s="564"/>
      <c r="CW143" s="564"/>
      <c r="CX143" s="564"/>
      <c r="CY143" s="564"/>
      <c r="CZ143" s="564"/>
      <c r="DA143" s="564"/>
      <c r="DB143" s="564"/>
      <c r="DC143" s="564"/>
      <c r="DD143" s="564"/>
      <c r="DE143" s="564"/>
      <c r="DF143" s="564" t="s">
        <v>5028</v>
      </c>
      <c r="DG143" s="564"/>
      <c r="DH143" s="564"/>
      <c r="DI143" s="564"/>
      <c r="DJ143" s="564"/>
      <c r="DK143" s="564"/>
      <c r="DL143" s="564"/>
      <c r="DM143" s="564"/>
      <c r="DN143" s="564"/>
      <c r="DO143" s="564"/>
      <c r="DP143" s="564"/>
      <c r="DQ143" s="564"/>
      <c r="DR143" s="564"/>
      <c r="DS143" s="564"/>
      <c r="DT143" s="564"/>
      <c r="DU143" s="564"/>
      <c r="DV143" s="564" t="s">
        <v>5029</v>
      </c>
      <c r="DW143" s="564"/>
    </row>
    <row r="144" spans="1:127" s="281" customFormat="1" ht="13.5" thickBot="1" x14ac:dyDescent="0.25">
      <c r="B144" s="190" t="str">
        <f ca="1">IF(OFFSET(R144,0,Lang_Order*Lang__R2)="","",OFFSET(R144,0,Lang_Order*Lang__R2))</f>
        <v>3.3 Vaccinator compensation</v>
      </c>
      <c r="C144" s="118" t="e">
        <f t="shared" ref="C144:H144" si="38">IF(ISBLANK(C146),C145,C146)</f>
        <v>#N/A</v>
      </c>
      <c r="D144" s="118" t="e">
        <f t="shared" si="38"/>
        <v>#N/A</v>
      </c>
      <c r="E144" s="118" t="e">
        <f t="shared" si="38"/>
        <v>#N/A</v>
      </c>
      <c r="F144" s="118" t="e">
        <f t="shared" si="38"/>
        <v>#N/A</v>
      </c>
      <c r="G144" s="118" t="e">
        <f t="shared" si="38"/>
        <v>#N/A</v>
      </c>
      <c r="H144" s="118" t="e">
        <f t="shared" si="38"/>
        <v>#N/A</v>
      </c>
      <c r="I144" s="282" t="e">
        <f>SUM(C144:H144)</f>
        <v>#N/A</v>
      </c>
      <c r="J144" s="620" t="s">
        <v>5155</v>
      </c>
      <c r="K144" s="35" t="s">
        <v>2844</v>
      </c>
      <c r="L144" s="35" t="s">
        <v>3188</v>
      </c>
      <c r="M144" s="459"/>
      <c r="O144" s="587"/>
      <c r="P144" s="564"/>
      <c r="Q144" s="564"/>
      <c r="R144" s="564" t="s">
        <v>14168</v>
      </c>
      <c r="S144" s="564"/>
      <c r="T144" s="564"/>
      <c r="U144" s="564"/>
      <c r="V144" s="564"/>
      <c r="W144" s="564"/>
      <c r="X144" s="564"/>
      <c r="Y144" s="564"/>
      <c r="Z144" s="564"/>
      <c r="AA144" s="564"/>
      <c r="AB144" s="564"/>
      <c r="AC144" s="564"/>
      <c r="AD144" s="564"/>
      <c r="AE144" s="564"/>
      <c r="AF144" s="564"/>
      <c r="AG144" s="564"/>
      <c r="AH144" s="564" t="s">
        <v>13157</v>
      </c>
      <c r="AI144" s="564"/>
      <c r="AJ144" s="564"/>
      <c r="AK144" s="564"/>
      <c r="AL144" s="564"/>
      <c r="AM144" s="564"/>
      <c r="AN144" s="564"/>
      <c r="AO144" s="564"/>
      <c r="AP144" s="564"/>
      <c r="AQ144" s="564"/>
      <c r="AR144" s="564"/>
      <c r="AS144" s="564"/>
      <c r="AT144" s="564"/>
      <c r="AU144" s="564"/>
      <c r="AV144" s="564"/>
      <c r="AW144" s="564"/>
      <c r="AX144" s="564" t="s">
        <v>13158</v>
      </c>
      <c r="AY144" s="564"/>
      <c r="AZ144" s="564"/>
      <c r="BA144" s="564"/>
      <c r="BB144" s="564"/>
      <c r="BC144" s="564"/>
      <c r="BD144" s="564"/>
      <c r="BE144" s="564"/>
      <c r="BF144" s="564"/>
      <c r="BG144" s="564"/>
      <c r="BH144" s="564"/>
      <c r="BI144" s="564"/>
      <c r="BJ144" s="564"/>
      <c r="BK144" s="564"/>
      <c r="BL144" s="564"/>
      <c r="BM144" s="564"/>
      <c r="BN144" s="564" t="s">
        <v>13159</v>
      </c>
      <c r="BO144" s="564"/>
      <c r="BP144" s="564"/>
      <c r="BQ144" s="564"/>
      <c r="BR144" s="564"/>
      <c r="BS144" s="564"/>
      <c r="BT144" s="564"/>
      <c r="BU144" s="564"/>
      <c r="BV144" s="564"/>
      <c r="BW144" s="564"/>
      <c r="BX144" s="564"/>
      <c r="BY144" s="564"/>
      <c r="BZ144" s="564"/>
      <c r="CA144" s="564"/>
      <c r="CB144" s="564"/>
      <c r="CC144" s="564"/>
      <c r="CD144" s="564" t="s">
        <v>13160</v>
      </c>
      <c r="CE144" s="564"/>
      <c r="CF144" s="564"/>
      <c r="CG144" s="564"/>
      <c r="CH144" s="564"/>
      <c r="CI144" s="564"/>
      <c r="CJ144" s="564"/>
      <c r="CK144" s="564"/>
      <c r="CL144" s="564"/>
      <c r="CM144" s="564"/>
      <c r="CN144" s="564"/>
      <c r="CO144" s="564"/>
      <c r="CP144" s="564"/>
      <c r="CQ144" s="564"/>
      <c r="CR144" s="564"/>
      <c r="CS144" s="564"/>
      <c r="CT144" s="564" t="s">
        <v>13161</v>
      </c>
      <c r="CU144" s="564"/>
      <c r="CV144" s="564"/>
      <c r="CW144" s="564"/>
      <c r="CX144" s="564"/>
      <c r="CY144" s="564"/>
      <c r="CZ144" s="564"/>
      <c r="DA144" s="564"/>
      <c r="DB144" s="564"/>
      <c r="DC144" s="564"/>
      <c r="DD144" s="564"/>
      <c r="DE144" s="564"/>
      <c r="DF144" s="564"/>
      <c r="DG144" s="564"/>
      <c r="DH144" s="564"/>
      <c r="DI144" s="564"/>
      <c r="DJ144" s="564" t="s">
        <v>13162</v>
      </c>
      <c r="DK144" s="564"/>
      <c r="DL144" s="564"/>
      <c r="DM144" s="564"/>
      <c r="DN144" s="564"/>
      <c r="DO144" s="564"/>
      <c r="DP144" s="564"/>
      <c r="DQ144" s="564"/>
      <c r="DR144" s="564"/>
      <c r="DS144" s="564"/>
      <c r="DT144" s="564"/>
      <c r="DU144" s="564"/>
      <c r="DV144" s="564"/>
      <c r="DW144" s="564"/>
    </row>
    <row r="145" spans="1:127" s="2" customFormat="1" ht="13.5" thickTop="1" x14ac:dyDescent="0.2">
      <c r="B145" s="72" t="str">
        <f ca="1">IF(OFFSET(R145,0,Lang_Order*Lang__R2)="","",OFFSET(R145,0,Lang_Order*Lang__R2))</f>
        <v>CVIC Estimates</v>
      </c>
      <c r="C145" s="199" t="e">
        <f t="shared" ref="C145:H145" si="39">SUM(C141:C143)</f>
        <v>#N/A</v>
      </c>
      <c r="D145" s="199" t="e">
        <f t="shared" si="39"/>
        <v>#N/A</v>
      </c>
      <c r="E145" s="199" t="e">
        <f t="shared" si="39"/>
        <v>#N/A</v>
      </c>
      <c r="F145" s="199" t="e">
        <f t="shared" si="39"/>
        <v>#N/A</v>
      </c>
      <c r="G145" s="199" t="e">
        <f t="shared" si="39"/>
        <v>#N/A</v>
      </c>
      <c r="H145" s="199" t="e">
        <f t="shared" si="39"/>
        <v>#N/A</v>
      </c>
      <c r="I145" s="199" t="e">
        <f>SUM(C145:H145)</f>
        <v>#N/A</v>
      </c>
      <c r="J145" s="620" t="s">
        <v>5156</v>
      </c>
      <c r="P145" s="564"/>
      <c r="Q145" s="564"/>
      <c r="R145" s="564" t="s">
        <v>12973</v>
      </c>
      <c r="S145" s="564"/>
      <c r="T145" s="564"/>
      <c r="U145" s="564"/>
      <c r="V145" s="564"/>
      <c r="W145" s="564"/>
      <c r="X145" s="564"/>
      <c r="Y145" s="564"/>
      <c r="Z145" s="564"/>
      <c r="AA145" s="564"/>
      <c r="AB145" s="564"/>
      <c r="AC145" s="564"/>
      <c r="AD145" s="564"/>
      <c r="AE145" s="564"/>
      <c r="AF145" s="564"/>
      <c r="AG145" s="564"/>
      <c r="AH145" s="564" t="s">
        <v>12974</v>
      </c>
      <c r="AI145" s="564"/>
      <c r="AJ145" s="564"/>
      <c r="AK145" s="564"/>
      <c r="AL145" s="564"/>
      <c r="AM145" s="564"/>
      <c r="AN145" s="564"/>
      <c r="AO145" s="564"/>
      <c r="AP145" s="564"/>
      <c r="AQ145" s="564"/>
      <c r="AR145" s="564"/>
      <c r="AS145" s="564"/>
      <c r="AT145" s="564"/>
      <c r="AU145" s="564"/>
      <c r="AV145" s="564"/>
      <c r="AW145" s="564"/>
      <c r="AX145" s="564" t="s">
        <v>12968</v>
      </c>
      <c r="AY145" s="564"/>
      <c r="AZ145" s="564"/>
      <c r="BA145" s="564"/>
      <c r="BB145" s="564"/>
      <c r="BC145" s="564"/>
      <c r="BD145" s="564"/>
      <c r="BE145" s="564"/>
      <c r="BF145" s="564"/>
      <c r="BG145" s="564"/>
      <c r="BH145" s="564"/>
      <c r="BI145" s="564"/>
      <c r="BJ145" s="564"/>
      <c r="BK145" s="564"/>
      <c r="BL145" s="564"/>
      <c r="BM145" s="564"/>
      <c r="BN145" s="564" t="s">
        <v>12969</v>
      </c>
      <c r="BO145" s="564"/>
      <c r="BP145" s="564"/>
      <c r="BQ145" s="564"/>
      <c r="BR145" s="564"/>
      <c r="BS145" s="564"/>
      <c r="BT145" s="564"/>
      <c r="BU145" s="564"/>
      <c r="BV145" s="564"/>
      <c r="BW145" s="564"/>
      <c r="BX145" s="564"/>
      <c r="BY145" s="564"/>
      <c r="BZ145" s="564"/>
      <c r="CA145" s="564"/>
      <c r="CB145" s="564"/>
      <c r="CC145" s="564"/>
      <c r="CD145" s="564" t="s">
        <v>12970</v>
      </c>
      <c r="CE145" s="564"/>
      <c r="CF145" s="564"/>
      <c r="CG145" s="564"/>
      <c r="CH145" s="564"/>
      <c r="CI145" s="564"/>
      <c r="CJ145" s="564"/>
      <c r="CK145" s="564"/>
      <c r="CL145" s="564"/>
      <c r="CM145" s="564"/>
      <c r="CN145" s="564"/>
      <c r="CO145" s="564"/>
      <c r="CP145" s="564"/>
      <c r="CQ145" s="564"/>
      <c r="CR145" s="564"/>
      <c r="CS145" s="564"/>
      <c r="CT145" s="564" t="s">
        <v>12971</v>
      </c>
      <c r="CU145" s="564"/>
      <c r="CV145" s="564"/>
      <c r="CW145" s="564"/>
      <c r="CX145" s="564"/>
      <c r="CY145" s="564"/>
      <c r="CZ145" s="564"/>
      <c r="DA145" s="564"/>
      <c r="DB145" s="564"/>
      <c r="DC145" s="564"/>
      <c r="DD145" s="564"/>
      <c r="DE145" s="564"/>
      <c r="DF145" s="564"/>
      <c r="DG145" s="564"/>
      <c r="DH145" s="564"/>
      <c r="DI145" s="564"/>
      <c r="DJ145" s="564" t="s">
        <v>12972</v>
      </c>
      <c r="DK145" s="564"/>
      <c r="DL145" s="564"/>
      <c r="DM145" s="564"/>
      <c r="DN145" s="564"/>
      <c r="DO145" s="564"/>
      <c r="DP145" s="564"/>
      <c r="DQ145" s="564"/>
      <c r="DR145" s="564"/>
      <c r="DS145" s="564"/>
      <c r="DT145" s="564"/>
      <c r="DU145" s="564"/>
      <c r="DV145" s="564"/>
      <c r="DW145" s="564"/>
    </row>
    <row r="146" spans="1:127" s="536" customFormat="1" x14ac:dyDescent="0.2">
      <c r="A146" s="350">
        <v>2</v>
      </c>
      <c r="B146" s="5" t="str">
        <f ca="1">IF(OFFSET(R146,0,Lang_Order*Lang__R2)="","",OFFSET(R146,0,Lang_Order*Lang__R2))</f>
        <v>OVERRIDE HERE if alternative costing used for section above</v>
      </c>
      <c r="C146" s="284"/>
      <c r="D146" s="284"/>
      <c r="E146" s="284"/>
      <c r="F146" s="284"/>
      <c r="G146" s="284"/>
      <c r="H146" s="284"/>
      <c r="I146" s="81" t="str">
        <f>Lang_LeaveBlank</f>
        <v>Leave Blank</v>
      </c>
      <c r="J146" s="620" t="s">
        <v>5157</v>
      </c>
      <c r="K146" s="543"/>
      <c r="L146" s="543"/>
      <c r="O146" s="587"/>
      <c r="P146" s="564"/>
      <c r="Q146" s="564"/>
      <c r="R146" s="564" t="s">
        <v>4591</v>
      </c>
      <c r="S146" s="564"/>
      <c r="T146" s="564"/>
      <c r="U146" s="564"/>
      <c r="V146" s="564"/>
      <c r="W146" s="564"/>
      <c r="X146" s="564"/>
      <c r="Y146" s="564"/>
      <c r="Z146" s="564"/>
      <c r="AA146" s="564"/>
      <c r="AB146" s="564"/>
      <c r="AC146" s="564"/>
      <c r="AD146" s="564"/>
      <c r="AE146" s="564"/>
      <c r="AF146" s="564"/>
      <c r="AG146" s="564"/>
      <c r="AH146" s="564" t="s">
        <v>12949</v>
      </c>
      <c r="AI146" s="564"/>
      <c r="AJ146" s="564"/>
      <c r="AK146" s="564"/>
      <c r="AL146" s="564"/>
      <c r="AM146" s="564"/>
      <c r="AN146" s="564"/>
      <c r="AO146" s="564"/>
      <c r="AP146" s="564"/>
      <c r="AQ146" s="564"/>
      <c r="AR146" s="564"/>
      <c r="AS146" s="564"/>
      <c r="AT146" s="564"/>
      <c r="AU146" s="564"/>
      <c r="AV146" s="564"/>
      <c r="AW146" s="564"/>
      <c r="AX146" s="564" t="s">
        <v>12950</v>
      </c>
      <c r="AY146" s="564"/>
      <c r="AZ146" s="564"/>
      <c r="BA146" s="564"/>
      <c r="BB146" s="564"/>
      <c r="BC146" s="564"/>
      <c r="BD146" s="564"/>
      <c r="BE146" s="564"/>
      <c r="BF146" s="564"/>
      <c r="BG146" s="564"/>
      <c r="BH146" s="564"/>
      <c r="BI146" s="564"/>
      <c r="BJ146" s="564"/>
      <c r="BK146" s="564"/>
      <c r="BL146" s="564"/>
      <c r="BM146" s="564"/>
      <c r="BN146" s="564" t="s">
        <v>12951</v>
      </c>
      <c r="BO146" s="564"/>
      <c r="BP146" s="564"/>
      <c r="BQ146" s="564"/>
      <c r="BR146" s="564"/>
      <c r="BS146" s="564"/>
      <c r="BT146" s="564"/>
      <c r="BU146" s="564"/>
      <c r="BV146" s="564"/>
      <c r="BW146" s="564"/>
      <c r="BX146" s="564"/>
      <c r="BY146" s="564"/>
      <c r="BZ146" s="564"/>
      <c r="CA146" s="564"/>
      <c r="CB146" s="564"/>
      <c r="CC146" s="564"/>
      <c r="CD146" s="564" t="s">
        <v>12952</v>
      </c>
      <c r="CE146" s="564"/>
      <c r="CF146" s="564"/>
      <c r="CG146" s="564"/>
      <c r="CH146" s="564"/>
      <c r="CI146" s="564"/>
      <c r="CJ146" s="564"/>
      <c r="CK146" s="564"/>
      <c r="CL146" s="564"/>
      <c r="CM146" s="564"/>
      <c r="CN146" s="564"/>
      <c r="CO146" s="564"/>
      <c r="CP146" s="564"/>
      <c r="CQ146" s="564"/>
      <c r="CR146" s="564"/>
      <c r="CS146" s="564"/>
      <c r="CT146" s="564" t="s">
        <v>12953</v>
      </c>
      <c r="CU146" s="564"/>
      <c r="CV146" s="564"/>
      <c r="CW146" s="564"/>
      <c r="CX146" s="564"/>
      <c r="CY146" s="564"/>
      <c r="CZ146" s="564"/>
      <c r="DA146" s="564"/>
      <c r="DB146" s="564"/>
      <c r="DC146" s="564"/>
      <c r="DD146" s="564"/>
      <c r="DE146" s="564"/>
      <c r="DF146" s="564"/>
      <c r="DG146" s="564"/>
      <c r="DH146" s="564"/>
      <c r="DI146" s="564"/>
      <c r="DJ146" s="564" t="s">
        <v>12954</v>
      </c>
      <c r="DK146" s="564"/>
      <c r="DL146" s="564"/>
      <c r="DM146" s="564"/>
      <c r="DN146" s="564"/>
      <c r="DO146" s="564"/>
      <c r="DP146" s="564"/>
      <c r="DQ146" s="564"/>
      <c r="DR146" s="564"/>
      <c r="DS146" s="564"/>
      <c r="DT146" s="564"/>
      <c r="DU146" s="564"/>
      <c r="DV146" s="564"/>
      <c r="DW146" s="564"/>
    </row>
    <row r="147" spans="1:127" s="532" customFormat="1" x14ac:dyDescent="0.2">
      <c r="A147" s="85"/>
      <c r="B147" s="23"/>
      <c r="J147" s="620"/>
      <c r="K147" s="543"/>
      <c r="L147" s="543"/>
      <c r="O147" s="567"/>
      <c r="P147" s="564"/>
      <c r="Q147" s="564"/>
      <c r="R147" s="564"/>
      <c r="S147" s="564"/>
      <c r="T147" s="564"/>
      <c r="U147" s="564"/>
      <c r="V147" s="564"/>
      <c r="W147" s="564"/>
      <c r="X147" s="564"/>
      <c r="Y147" s="564"/>
      <c r="Z147" s="564"/>
      <c r="AA147" s="564"/>
      <c r="AB147" s="564"/>
      <c r="AC147" s="564"/>
      <c r="AD147" s="564"/>
      <c r="AE147" s="564"/>
      <c r="AF147" s="564"/>
      <c r="AG147" s="564"/>
      <c r="AH147" s="564"/>
      <c r="AI147" s="564"/>
      <c r="AJ147" s="564"/>
      <c r="AK147" s="564"/>
      <c r="AL147" s="564"/>
      <c r="AM147" s="564"/>
      <c r="AN147" s="564"/>
      <c r="AO147" s="564"/>
      <c r="AP147" s="564"/>
      <c r="AQ147" s="564"/>
      <c r="AR147" s="564"/>
      <c r="AS147" s="564"/>
      <c r="AT147" s="564"/>
      <c r="AU147" s="564"/>
      <c r="AV147" s="564"/>
      <c r="AW147" s="564"/>
      <c r="AX147" s="564"/>
      <c r="AY147" s="564"/>
      <c r="AZ147" s="564"/>
      <c r="BA147" s="564"/>
      <c r="BB147" s="564"/>
      <c r="BC147" s="564"/>
      <c r="BD147" s="564"/>
      <c r="BE147" s="564"/>
      <c r="BF147" s="564"/>
      <c r="BG147" s="564"/>
      <c r="BH147" s="564"/>
      <c r="BI147" s="564"/>
      <c r="BJ147" s="564"/>
      <c r="BK147" s="564"/>
      <c r="BL147" s="564"/>
      <c r="BM147" s="564"/>
      <c r="BN147" s="564"/>
      <c r="BO147" s="564"/>
      <c r="BP147" s="564"/>
      <c r="BQ147" s="564"/>
      <c r="BR147" s="564"/>
      <c r="BS147" s="564"/>
      <c r="BT147" s="564"/>
      <c r="BU147" s="564"/>
      <c r="BV147" s="564"/>
      <c r="BW147" s="564"/>
      <c r="BX147" s="564"/>
      <c r="BY147" s="564"/>
      <c r="BZ147" s="564"/>
      <c r="CA147" s="564"/>
      <c r="CB147" s="564"/>
      <c r="CC147" s="564"/>
      <c r="CD147" s="564"/>
      <c r="CE147" s="564"/>
      <c r="CF147" s="564"/>
      <c r="CG147" s="564"/>
      <c r="CH147" s="564"/>
      <c r="CI147" s="564"/>
      <c r="CJ147" s="564"/>
      <c r="CK147" s="564"/>
      <c r="CL147" s="564"/>
      <c r="CM147" s="564"/>
      <c r="CN147" s="564"/>
      <c r="CO147" s="564"/>
      <c r="CP147" s="564"/>
      <c r="CQ147" s="564"/>
      <c r="CR147" s="564"/>
      <c r="CS147" s="564"/>
      <c r="CT147" s="564"/>
      <c r="CU147" s="564"/>
      <c r="CV147" s="564"/>
      <c r="CW147" s="564"/>
      <c r="CX147" s="564"/>
      <c r="CY147" s="564"/>
      <c r="CZ147" s="564"/>
      <c r="DA147" s="564"/>
      <c r="DB147" s="564"/>
      <c r="DC147" s="564"/>
      <c r="DD147" s="564"/>
      <c r="DE147" s="564"/>
      <c r="DF147" s="564"/>
      <c r="DG147" s="564"/>
      <c r="DH147" s="564"/>
      <c r="DI147" s="564"/>
      <c r="DJ147" s="564"/>
      <c r="DK147" s="564"/>
      <c r="DL147" s="564"/>
      <c r="DM147" s="564"/>
      <c r="DN147" s="564"/>
      <c r="DO147" s="564"/>
      <c r="DP147" s="564"/>
      <c r="DQ147" s="564"/>
      <c r="DR147" s="564"/>
      <c r="DS147" s="564"/>
      <c r="DT147" s="564"/>
      <c r="DU147" s="564"/>
      <c r="DV147" s="564"/>
      <c r="DW147" s="564"/>
    </row>
    <row r="148" spans="1:127" s="281" customFormat="1" ht="13.5" thickBot="1" x14ac:dyDescent="0.25">
      <c r="A148" s="85"/>
      <c r="B148" s="21" t="str">
        <f ca="1">IF(OFFSET(R148,0,Lang_Order*Lang__R2)="","",OFFSET(R148,0,Lang_Order*Lang__R2))</f>
        <v>3.4 Other</v>
      </c>
      <c r="C148" s="118" t="e">
        <f t="shared" ref="C148:H148" si="40">IF(ISBLANK(C150),C149,C150)</f>
        <v>#N/A</v>
      </c>
      <c r="D148" s="118" t="e">
        <f t="shared" si="40"/>
        <v>#N/A</v>
      </c>
      <c r="E148" s="118" t="e">
        <f t="shared" si="40"/>
        <v>#N/A</v>
      </c>
      <c r="F148" s="118" t="e">
        <f t="shared" si="40"/>
        <v>#N/A</v>
      </c>
      <c r="G148" s="118" t="e">
        <f t="shared" si="40"/>
        <v>#N/A</v>
      </c>
      <c r="H148" s="118" t="e">
        <f t="shared" si="40"/>
        <v>#N/A</v>
      </c>
      <c r="I148" s="282" t="e">
        <f>SUM(C148:H148)</f>
        <v>#N/A</v>
      </c>
      <c r="J148" s="620" t="s">
        <v>5158</v>
      </c>
      <c r="K148" s="35" t="s">
        <v>2844</v>
      </c>
      <c r="L148" s="35" t="s">
        <v>3188</v>
      </c>
      <c r="M148" s="459"/>
      <c r="O148" s="587"/>
      <c r="P148" s="564"/>
      <c r="Q148" s="564"/>
      <c r="R148" s="564" t="s">
        <v>4613</v>
      </c>
      <c r="S148" s="564"/>
      <c r="T148" s="564"/>
      <c r="U148" s="564"/>
      <c r="V148" s="564"/>
      <c r="W148" s="564"/>
      <c r="X148" s="564"/>
      <c r="Y148" s="564"/>
      <c r="Z148" s="564"/>
      <c r="AA148" s="564"/>
      <c r="AB148" s="564"/>
      <c r="AC148" s="564"/>
      <c r="AD148" s="564"/>
      <c r="AE148" s="564"/>
      <c r="AF148" s="564"/>
      <c r="AG148" s="564"/>
      <c r="AH148" s="564" t="s">
        <v>13072</v>
      </c>
      <c r="AI148" s="564"/>
      <c r="AJ148" s="564"/>
      <c r="AK148" s="564"/>
      <c r="AL148" s="564"/>
      <c r="AM148" s="564"/>
      <c r="AN148" s="564"/>
      <c r="AO148" s="564"/>
      <c r="AP148" s="564"/>
      <c r="AQ148" s="564"/>
      <c r="AR148" s="564"/>
      <c r="AS148" s="564"/>
      <c r="AT148" s="564"/>
      <c r="AU148" s="564"/>
      <c r="AV148" s="564"/>
      <c r="AW148" s="564"/>
      <c r="AX148" s="564" t="s">
        <v>13073</v>
      </c>
      <c r="AY148" s="564"/>
      <c r="AZ148" s="564"/>
      <c r="BA148" s="564"/>
      <c r="BB148" s="564"/>
      <c r="BC148" s="564"/>
      <c r="BD148" s="564"/>
      <c r="BE148" s="564"/>
      <c r="BF148" s="564"/>
      <c r="BG148" s="564"/>
      <c r="BH148" s="564"/>
      <c r="BI148" s="564"/>
      <c r="BJ148" s="564"/>
      <c r="BK148" s="564"/>
      <c r="BL148" s="564"/>
      <c r="BM148" s="564"/>
      <c r="BN148" s="564" t="s">
        <v>13074</v>
      </c>
      <c r="BO148" s="564"/>
      <c r="BP148" s="564"/>
      <c r="BQ148" s="564"/>
      <c r="BR148" s="564"/>
      <c r="BS148" s="564"/>
      <c r="BT148" s="564"/>
      <c r="BU148" s="564"/>
      <c r="BV148" s="564"/>
      <c r="BW148" s="564"/>
      <c r="BX148" s="564"/>
      <c r="BY148" s="564"/>
      <c r="BZ148" s="564"/>
      <c r="CA148" s="564"/>
      <c r="CB148" s="564"/>
      <c r="CC148" s="564"/>
      <c r="CD148" s="564" t="s">
        <v>13075</v>
      </c>
      <c r="CE148" s="564"/>
      <c r="CF148" s="564"/>
      <c r="CG148" s="564"/>
      <c r="CH148" s="564"/>
      <c r="CI148" s="564"/>
      <c r="CJ148" s="564"/>
      <c r="CK148" s="564"/>
      <c r="CL148" s="564"/>
      <c r="CM148" s="564"/>
      <c r="CN148" s="564"/>
      <c r="CO148" s="564"/>
      <c r="CP148" s="564"/>
      <c r="CQ148" s="564"/>
      <c r="CR148" s="564"/>
      <c r="CS148" s="564"/>
      <c r="CT148" s="564" t="s">
        <v>13076</v>
      </c>
      <c r="CU148" s="564"/>
      <c r="CV148" s="564"/>
      <c r="CW148" s="564"/>
      <c r="CX148" s="564"/>
      <c r="CY148" s="564"/>
      <c r="CZ148" s="564"/>
      <c r="DA148" s="564"/>
      <c r="DB148" s="564"/>
      <c r="DC148" s="564"/>
      <c r="DD148" s="564"/>
      <c r="DE148" s="564"/>
      <c r="DF148" s="564"/>
      <c r="DG148" s="564"/>
      <c r="DH148" s="564"/>
      <c r="DI148" s="564"/>
      <c r="DJ148" s="564" t="s">
        <v>13077</v>
      </c>
      <c r="DK148" s="564"/>
      <c r="DL148" s="564"/>
      <c r="DM148" s="564"/>
      <c r="DN148" s="564"/>
      <c r="DO148" s="564"/>
      <c r="DP148" s="564"/>
      <c r="DQ148" s="564"/>
      <c r="DR148" s="564"/>
      <c r="DS148" s="564"/>
      <c r="DT148" s="564"/>
      <c r="DU148" s="564"/>
      <c r="DV148" s="564"/>
      <c r="DW148" s="564"/>
    </row>
    <row r="149" spans="1:127" s="2" customFormat="1" ht="13.5" thickTop="1" x14ac:dyDescent="0.2">
      <c r="A149" s="73"/>
      <c r="B149" s="72" t="str">
        <f ca="1">IF(OFFSET(R149,0,Lang_Order*Lang__R2)="","",OFFSET(R149,0,Lang_Order*Lang__R2))</f>
        <v>CVIC Estimates</v>
      </c>
      <c r="C149" s="199" t="e">
        <f>'B5. Last Mile Delivery'!J19</f>
        <v>#N/A</v>
      </c>
      <c r="D149" s="199" t="e">
        <f>'B5. Last Mile Delivery'!K19</f>
        <v>#N/A</v>
      </c>
      <c r="E149" s="199" t="e">
        <f>'B5. Last Mile Delivery'!L19</f>
        <v>#N/A</v>
      </c>
      <c r="F149" s="199" t="e">
        <f>'B5. Last Mile Delivery'!M19</f>
        <v>#N/A</v>
      </c>
      <c r="G149" s="199" t="e">
        <f>'B5. Last Mile Delivery'!N19</f>
        <v>#N/A</v>
      </c>
      <c r="H149" s="199" t="e">
        <f>'B5. Last Mile Delivery'!O19</f>
        <v>#N/A</v>
      </c>
      <c r="I149" s="199" t="e">
        <f>SUM(C149:H149)</f>
        <v>#N/A</v>
      </c>
      <c r="J149" s="620" t="s">
        <v>5159</v>
      </c>
      <c r="P149" s="564"/>
      <c r="Q149" s="564"/>
      <c r="R149" s="564" t="s">
        <v>12973</v>
      </c>
      <c r="S149" s="564"/>
      <c r="T149" s="564"/>
      <c r="U149" s="564"/>
      <c r="V149" s="564"/>
      <c r="W149" s="564"/>
      <c r="X149" s="564"/>
      <c r="Y149" s="564"/>
      <c r="Z149" s="564"/>
      <c r="AA149" s="564"/>
      <c r="AB149" s="564"/>
      <c r="AC149" s="564"/>
      <c r="AD149" s="564"/>
      <c r="AE149" s="564"/>
      <c r="AF149" s="564"/>
      <c r="AG149" s="564"/>
      <c r="AH149" s="564" t="s">
        <v>12974</v>
      </c>
      <c r="AI149" s="564"/>
      <c r="AJ149" s="564"/>
      <c r="AK149" s="564"/>
      <c r="AL149" s="564"/>
      <c r="AM149" s="564"/>
      <c r="AN149" s="564"/>
      <c r="AO149" s="564"/>
      <c r="AP149" s="564"/>
      <c r="AQ149" s="564"/>
      <c r="AR149" s="564"/>
      <c r="AS149" s="564"/>
      <c r="AT149" s="564"/>
      <c r="AU149" s="564"/>
      <c r="AV149" s="564"/>
      <c r="AW149" s="564"/>
      <c r="AX149" s="564" t="s">
        <v>12968</v>
      </c>
      <c r="AY149" s="564"/>
      <c r="AZ149" s="564"/>
      <c r="BA149" s="564"/>
      <c r="BB149" s="564"/>
      <c r="BC149" s="564"/>
      <c r="BD149" s="564"/>
      <c r="BE149" s="564"/>
      <c r="BF149" s="564"/>
      <c r="BG149" s="564"/>
      <c r="BH149" s="564"/>
      <c r="BI149" s="564"/>
      <c r="BJ149" s="564"/>
      <c r="BK149" s="564"/>
      <c r="BL149" s="564"/>
      <c r="BM149" s="564"/>
      <c r="BN149" s="564" t="s">
        <v>12969</v>
      </c>
      <c r="BO149" s="564"/>
      <c r="BP149" s="564"/>
      <c r="BQ149" s="564"/>
      <c r="BR149" s="564"/>
      <c r="BS149" s="564"/>
      <c r="BT149" s="564"/>
      <c r="BU149" s="564"/>
      <c r="BV149" s="564"/>
      <c r="BW149" s="564"/>
      <c r="BX149" s="564"/>
      <c r="BY149" s="564"/>
      <c r="BZ149" s="564"/>
      <c r="CA149" s="564"/>
      <c r="CB149" s="564"/>
      <c r="CC149" s="564"/>
      <c r="CD149" s="564" t="s">
        <v>12970</v>
      </c>
      <c r="CE149" s="564"/>
      <c r="CF149" s="564"/>
      <c r="CG149" s="564"/>
      <c r="CH149" s="564"/>
      <c r="CI149" s="564"/>
      <c r="CJ149" s="564"/>
      <c r="CK149" s="564"/>
      <c r="CL149" s="564"/>
      <c r="CM149" s="564"/>
      <c r="CN149" s="564"/>
      <c r="CO149" s="564"/>
      <c r="CP149" s="564"/>
      <c r="CQ149" s="564"/>
      <c r="CR149" s="564"/>
      <c r="CS149" s="564"/>
      <c r="CT149" s="564" t="s">
        <v>12971</v>
      </c>
      <c r="CU149" s="564"/>
      <c r="CV149" s="564"/>
      <c r="CW149" s="564"/>
      <c r="CX149" s="564"/>
      <c r="CY149" s="564"/>
      <c r="CZ149" s="564"/>
      <c r="DA149" s="564"/>
      <c r="DB149" s="564"/>
      <c r="DC149" s="564"/>
      <c r="DD149" s="564"/>
      <c r="DE149" s="564"/>
      <c r="DF149" s="564"/>
      <c r="DG149" s="564"/>
      <c r="DH149" s="564"/>
      <c r="DI149" s="564"/>
      <c r="DJ149" s="564" t="s">
        <v>12972</v>
      </c>
      <c r="DK149" s="564"/>
      <c r="DL149" s="564"/>
      <c r="DM149" s="564"/>
      <c r="DN149" s="564"/>
      <c r="DO149" s="564"/>
      <c r="DP149" s="564"/>
      <c r="DQ149" s="564"/>
      <c r="DR149" s="564"/>
      <c r="DS149" s="564"/>
      <c r="DT149" s="564"/>
      <c r="DU149" s="564"/>
      <c r="DV149" s="564"/>
      <c r="DW149" s="564"/>
    </row>
    <row r="150" spans="1:127" s="536" customFormat="1" x14ac:dyDescent="0.2">
      <c r="A150" s="350">
        <v>2</v>
      </c>
      <c r="B150" s="5" t="str">
        <f ca="1">IF(OFFSET(R150,0,Lang_Order*Lang__R2)="","",OFFSET(R150,0,Lang_Order*Lang__R2))</f>
        <v>OVERRIDE HERE if alternative costing used for section above</v>
      </c>
      <c r="C150" s="284"/>
      <c r="D150" s="284"/>
      <c r="E150" s="284"/>
      <c r="F150" s="284"/>
      <c r="G150" s="284"/>
      <c r="H150" s="284"/>
      <c r="I150" s="81" t="str">
        <f>Lang_LeaveBlank</f>
        <v>Leave Blank</v>
      </c>
      <c r="J150" s="620" t="s">
        <v>5160</v>
      </c>
      <c r="K150" s="543"/>
      <c r="L150" s="543"/>
      <c r="O150" s="587"/>
      <c r="P150" s="564"/>
      <c r="Q150" s="564"/>
      <c r="R150" s="564" t="s">
        <v>4591</v>
      </c>
      <c r="S150" s="564"/>
      <c r="T150" s="564"/>
      <c r="U150" s="564"/>
      <c r="V150" s="564"/>
      <c r="W150" s="564"/>
      <c r="X150" s="564"/>
      <c r="Y150" s="564"/>
      <c r="Z150" s="564"/>
      <c r="AA150" s="564"/>
      <c r="AB150" s="564"/>
      <c r="AC150" s="564"/>
      <c r="AD150" s="564"/>
      <c r="AE150" s="564"/>
      <c r="AF150" s="564"/>
      <c r="AG150" s="564"/>
      <c r="AH150" s="564" t="s">
        <v>12949</v>
      </c>
      <c r="AI150" s="564"/>
      <c r="AJ150" s="564"/>
      <c r="AK150" s="564"/>
      <c r="AL150" s="564"/>
      <c r="AM150" s="564"/>
      <c r="AN150" s="564"/>
      <c r="AO150" s="564"/>
      <c r="AP150" s="564"/>
      <c r="AQ150" s="564"/>
      <c r="AR150" s="564"/>
      <c r="AS150" s="564"/>
      <c r="AT150" s="564"/>
      <c r="AU150" s="564"/>
      <c r="AV150" s="564"/>
      <c r="AW150" s="564"/>
      <c r="AX150" s="564" t="s">
        <v>12950</v>
      </c>
      <c r="AY150" s="564"/>
      <c r="AZ150" s="564"/>
      <c r="BA150" s="564"/>
      <c r="BB150" s="564"/>
      <c r="BC150" s="564"/>
      <c r="BD150" s="564"/>
      <c r="BE150" s="564"/>
      <c r="BF150" s="564"/>
      <c r="BG150" s="564"/>
      <c r="BH150" s="564"/>
      <c r="BI150" s="564"/>
      <c r="BJ150" s="564"/>
      <c r="BK150" s="564"/>
      <c r="BL150" s="564"/>
      <c r="BM150" s="564"/>
      <c r="BN150" s="564" t="s">
        <v>12951</v>
      </c>
      <c r="BO150" s="564"/>
      <c r="BP150" s="564"/>
      <c r="BQ150" s="564"/>
      <c r="BR150" s="564"/>
      <c r="BS150" s="564"/>
      <c r="BT150" s="564"/>
      <c r="BU150" s="564"/>
      <c r="BV150" s="564"/>
      <c r="BW150" s="564"/>
      <c r="BX150" s="564"/>
      <c r="BY150" s="564"/>
      <c r="BZ150" s="564"/>
      <c r="CA150" s="564"/>
      <c r="CB150" s="564"/>
      <c r="CC150" s="564"/>
      <c r="CD150" s="564" t="s">
        <v>12952</v>
      </c>
      <c r="CE150" s="564"/>
      <c r="CF150" s="564"/>
      <c r="CG150" s="564"/>
      <c r="CH150" s="564"/>
      <c r="CI150" s="564"/>
      <c r="CJ150" s="564"/>
      <c r="CK150" s="564"/>
      <c r="CL150" s="564"/>
      <c r="CM150" s="564"/>
      <c r="CN150" s="564"/>
      <c r="CO150" s="564"/>
      <c r="CP150" s="564"/>
      <c r="CQ150" s="564"/>
      <c r="CR150" s="564"/>
      <c r="CS150" s="564"/>
      <c r="CT150" s="564" t="s">
        <v>12953</v>
      </c>
      <c r="CU150" s="564"/>
      <c r="CV150" s="564"/>
      <c r="CW150" s="564"/>
      <c r="CX150" s="564"/>
      <c r="CY150" s="564"/>
      <c r="CZ150" s="564"/>
      <c r="DA150" s="564"/>
      <c r="DB150" s="564"/>
      <c r="DC150" s="564"/>
      <c r="DD150" s="564"/>
      <c r="DE150" s="564"/>
      <c r="DF150" s="564"/>
      <c r="DG150" s="564"/>
      <c r="DH150" s="564"/>
      <c r="DI150" s="564"/>
      <c r="DJ150" s="564" t="s">
        <v>12954</v>
      </c>
      <c r="DK150" s="564"/>
      <c r="DL150" s="564"/>
      <c r="DM150" s="564"/>
      <c r="DN150" s="564"/>
      <c r="DO150" s="564"/>
      <c r="DP150" s="564"/>
      <c r="DQ150" s="564"/>
      <c r="DR150" s="564"/>
      <c r="DS150" s="564"/>
      <c r="DT150" s="564"/>
      <c r="DU150" s="564"/>
      <c r="DV150" s="564"/>
      <c r="DW150" s="564"/>
    </row>
    <row r="151" spans="1:127" s="272" customFormat="1" x14ac:dyDescent="0.2">
      <c r="A151" s="85"/>
      <c r="B151" s="23"/>
      <c r="J151" s="620"/>
      <c r="K151" s="543"/>
      <c r="L151" s="543"/>
      <c r="M151" s="459"/>
      <c r="O151" s="567"/>
      <c r="P151" s="564"/>
      <c r="Q151" s="564"/>
      <c r="R151" s="564"/>
      <c r="S151" s="564"/>
      <c r="T151" s="564"/>
      <c r="U151" s="564"/>
      <c r="V151" s="564"/>
      <c r="W151" s="564"/>
      <c r="X151" s="564"/>
      <c r="Y151" s="564"/>
      <c r="Z151" s="564"/>
      <c r="AA151" s="564"/>
      <c r="AB151" s="564"/>
      <c r="AC151" s="564"/>
      <c r="AD151" s="564"/>
      <c r="AE151" s="564"/>
      <c r="AF151" s="564"/>
      <c r="AG151" s="564"/>
      <c r="AH151" s="564"/>
      <c r="AI151" s="564"/>
      <c r="AJ151" s="564"/>
      <c r="AK151" s="564"/>
      <c r="AL151" s="564"/>
      <c r="AM151" s="564"/>
      <c r="AN151" s="564"/>
      <c r="AO151" s="564"/>
      <c r="AP151" s="564"/>
      <c r="AQ151" s="564"/>
      <c r="AR151" s="564"/>
      <c r="AS151" s="564"/>
      <c r="AT151" s="564"/>
      <c r="AU151" s="564"/>
      <c r="AV151" s="564"/>
      <c r="AW151" s="564"/>
      <c r="AX151" s="564"/>
      <c r="AY151" s="564"/>
      <c r="AZ151" s="564"/>
      <c r="BA151" s="564"/>
      <c r="BB151" s="564"/>
      <c r="BC151" s="564"/>
      <c r="BD151" s="564"/>
      <c r="BE151" s="564"/>
      <c r="BF151" s="564"/>
      <c r="BG151" s="564"/>
      <c r="BH151" s="564"/>
      <c r="BI151" s="564"/>
      <c r="BJ151" s="564"/>
      <c r="BK151" s="564"/>
      <c r="BL151" s="564"/>
      <c r="BM151" s="564"/>
      <c r="BN151" s="564"/>
      <c r="BO151" s="564"/>
      <c r="BP151" s="564"/>
      <c r="BQ151" s="564"/>
      <c r="BR151" s="564"/>
      <c r="BS151" s="564"/>
      <c r="BT151" s="564"/>
      <c r="BU151" s="564"/>
      <c r="BV151" s="564"/>
      <c r="BW151" s="564"/>
      <c r="BX151" s="564"/>
      <c r="BY151" s="564"/>
      <c r="BZ151" s="564"/>
      <c r="CA151" s="564"/>
      <c r="CB151" s="564"/>
      <c r="CC151" s="564"/>
      <c r="CD151" s="564"/>
      <c r="CE151" s="564"/>
      <c r="CF151" s="564"/>
      <c r="CG151" s="564"/>
      <c r="CH151" s="564"/>
      <c r="CI151" s="564"/>
      <c r="CJ151" s="564"/>
      <c r="CK151" s="564"/>
      <c r="CL151" s="564"/>
      <c r="CM151" s="564"/>
      <c r="CN151" s="564"/>
      <c r="CO151" s="564"/>
      <c r="CP151" s="564"/>
      <c r="CQ151" s="564"/>
      <c r="CR151" s="564"/>
      <c r="CS151" s="564"/>
      <c r="CT151" s="564"/>
      <c r="CU151" s="564"/>
      <c r="CV151" s="564"/>
      <c r="CW151" s="564"/>
      <c r="CX151" s="564"/>
      <c r="CY151" s="564"/>
      <c r="CZ151" s="564"/>
      <c r="DA151" s="564"/>
      <c r="DB151" s="564"/>
      <c r="DC151" s="564"/>
      <c r="DD151" s="564"/>
      <c r="DE151" s="564"/>
      <c r="DF151" s="564"/>
      <c r="DG151" s="564"/>
      <c r="DH151" s="564"/>
      <c r="DI151" s="564"/>
      <c r="DJ151" s="564"/>
      <c r="DK151" s="564"/>
      <c r="DL151" s="564"/>
      <c r="DM151" s="564"/>
      <c r="DN151" s="564"/>
      <c r="DO151" s="564"/>
      <c r="DP151" s="564"/>
      <c r="DQ151" s="564"/>
      <c r="DR151" s="564"/>
      <c r="DS151" s="564"/>
      <c r="DT151" s="564"/>
      <c r="DU151" s="564"/>
      <c r="DV151" s="564"/>
      <c r="DW151" s="564"/>
    </row>
    <row r="152" spans="1:127" s="272" customFormat="1" ht="15" x14ac:dyDescent="0.25">
      <c r="A152" s="85"/>
      <c r="B152" s="33" t="str">
        <f ca="1">IF(OFFSET(R152,0,Lang_Order*Lang__R2)="","",OFFSET(R152,0,Lang_Order*Lang__R2))</f>
        <v>R2.1.4 Vaccination Delivery</v>
      </c>
      <c r="C152" s="195" t="e">
        <f t="shared" ref="C152:H152" si="41">SUM(C155,C161,C165,C173)</f>
        <v>#DIV/0!</v>
      </c>
      <c r="D152" s="195" t="e">
        <f t="shared" si="41"/>
        <v>#DIV/0!</v>
      </c>
      <c r="E152" s="195" t="e">
        <f t="shared" si="41"/>
        <v>#DIV/0!</v>
      </c>
      <c r="F152" s="195" t="e">
        <f t="shared" si="41"/>
        <v>#DIV/0!</v>
      </c>
      <c r="G152" s="195" t="e">
        <f t="shared" si="41"/>
        <v>#DIV/0!</v>
      </c>
      <c r="H152" s="195" t="e">
        <f t="shared" si="41"/>
        <v>#DIV/0!</v>
      </c>
      <c r="I152" s="195" t="e">
        <f>SUM(C152:H152)</f>
        <v>#DIV/0!</v>
      </c>
      <c r="J152" s="620" t="s">
        <v>5097</v>
      </c>
      <c r="K152" s="543"/>
      <c r="L152" s="543"/>
      <c r="M152" s="459"/>
      <c r="O152" s="567"/>
      <c r="P152" s="564"/>
      <c r="Q152" s="564"/>
      <c r="R152" s="564" t="s">
        <v>14597</v>
      </c>
      <c r="S152" s="564"/>
      <c r="T152" s="564"/>
      <c r="U152" s="564"/>
      <c r="V152" s="564"/>
      <c r="W152" s="564"/>
      <c r="X152" s="564"/>
      <c r="Y152" s="564"/>
      <c r="Z152" s="564"/>
      <c r="AA152" s="564"/>
      <c r="AB152" s="564"/>
      <c r="AC152" s="564"/>
      <c r="AD152" s="564"/>
      <c r="AE152" s="564"/>
      <c r="AF152" s="564"/>
      <c r="AG152" s="564"/>
      <c r="AH152" s="564" t="s">
        <v>14598</v>
      </c>
      <c r="AI152" s="564"/>
      <c r="AJ152" s="564"/>
      <c r="AK152" s="564"/>
      <c r="AL152" s="564"/>
      <c r="AM152" s="564"/>
      <c r="AN152" s="564"/>
      <c r="AO152" s="564"/>
      <c r="AP152" s="564"/>
      <c r="AQ152" s="564"/>
      <c r="AR152" s="564"/>
      <c r="AS152" s="564"/>
      <c r="AT152" s="564"/>
      <c r="AU152" s="564"/>
      <c r="AV152" s="564"/>
      <c r="AW152" s="564"/>
      <c r="AX152" s="564" t="s">
        <v>14599</v>
      </c>
      <c r="AY152" s="564"/>
      <c r="AZ152" s="564"/>
      <c r="BA152" s="564"/>
      <c r="BB152" s="564"/>
      <c r="BC152" s="564"/>
      <c r="BD152" s="564"/>
      <c r="BE152" s="564"/>
      <c r="BF152" s="564"/>
      <c r="BG152" s="564"/>
      <c r="BH152" s="564"/>
      <c r="BI152" s="564"/>
      <c r="BJ152" s="564"/>
      <c r="BK152" s="564"/>
      <c r="BL152" s="564"/>
      <c r="BM152" s="564"/>
      <c r="BN152" s="564" t="s">
        <v>14600</v>
      </c>
      <c r="BO152" s="564"/>
      <c r="BP152" s="564"/>
      <c r="BQ152" s="564"/>
      <c r="BR152" s="564"/>
      <c r="BS152" s="564"/>
      <c r="BT152" s="564"/>
      <c r="BU152" s="564"/>
      <c r="BV152" s="564"/>
      <c r="BW152" s="564"/>
      <c r="BX152" s="564"/>
      <c r="BY152" s="564"/>
      <c r="BZ152" s="564"/>
      <c r="CA152" s="564"/>
      <c r="CB152" s="564"/>
      <c r="CC152" s="564"/>
      <c r="CD152" s="564" t="s">
        <v>14601</v>
      </c>
      <c r="CE152" s="564"/>
      <c r="CF152" s="564"/>
      <c r="CG152" s="564"/>
      <c r="CH152" s="564"/>
      <c r="CI152" s="564"/>
      <c r="CJ152" s="564"/>
      <c r="CK152" s="564"/>
      <c r="CL152" s="564"/>
      <c r="CM152" s="564"/>
      <c r="CN152" s="564"/>
      <c r="CO152" s="564"/>
      <c r="CP152" s="564"/>
      <c r="CQ152" s="564"/>
      <c r="CR152" s="564"/>
      <c r="CS152" s="564"/>
      <c r="CT152" s="564" t="s">
        <v>14602</v>
      </c>
      <c r="CU152" s="564"/>
      <c r="CV152" s="564"/>
      <c r="CW152" s="564"/>
      <c r="CX152" s="564"/>
      <c r="CY152" s="564"/>
      <c r="CZ152" s="564"/>
      <c r="DA152" s="564"/>
      <c r="DB152" s="564"/>
      <c r="DC152" s="564"/>
      <c r="DD152" s="564"/>
      <c r="DE152" s="564"/>
      <c r="DF152" s="564"/>
      <c r="DG152" s="564"/>
      <c r="DH152" s="564"/>
      <c r="DI152" s="564"/>
      <c r="DJ152" s="564" t="s">
        <v>14603</v>
      </c>
      <c r="DK152" s="564"/>
      <c r="DL152" s="564"/>
      <c r="DM152" s="564"/>
      <c r="DN152" s="564"/>
      <c r="DO152" s="564"/>
      <c r="DP152" s="564"/>
      <c r="DQ152" s="564"/>
      <c r="DR152" s="564"/>
      <c r="DS152" s="564"/>
      <c r="DT152" s="564"/>
      <c r="DU152" s="564"/>
      <c r="DV152" s="564"/>
      <c r="DW152" s="564"/>
    </row>
    <row r="153" spans="1:127" s="281" customFormat="1" x14ac:dyDescent="0.2">
      <c r="A153" s="85"/>
      <c r="B153" s="5" t="str">
        <f ca="1">'B5. Last Mile Delivery'!C47</f>
        <v>Domestic travel for personnel</v>
      </c>
      <c r="C153" s="300" t="e">
        <f>'B5. Last Mile Delivery'!J47</f>
        <v>#DIV/0!</v>
      </c>
      <c r="D153" s="300" t="e">
        <f>'B5. Last Mile Delivery'!K47</f>
        <v>#DIV/0!</v>
      </c>
      <c r="E153" s="300" t="e">
        <f>'B5. Last Mile Delivery'!L47</f>
        <v>#DIV/0!</v>
      </c>
      <c r="F153" s="300" t="e">
        <f>'B5. Last Mile Delivery'!M47</f>
        <v>#DIV/0!</v>
      </c>
      <c r="G153" s="300" t="e">
        <f>'B5. Last Mile Delivery'!N47</f>
        <v>#DIV/0!</v>
      </c>
      <c r="H153" s="300" t="e">
        <f>'B5. Last Mile Delivery'!O47</f>
        <v>#DIV/0!</v>
      </c>
      <c r="I153" s="300" t="e">
        <f>SUM(C153:H153)</f>
        <v>#DIV/0!</v>
      </c>
      <c r="J153" s="620"/>
      <c r="K153" s="543"/>
      <c r="L153" s="543"/>
      <c r="M153" s="459"/>
      <c r="O153" s="567"/>
      <c r="P153" s="564"/>
      <c r="Q153" s="564"/>
      <c r="R153" s="564"/>
      <c r="S153" s="564"/>
      <c r="T153" s="564"/>
      <c r="U153" s="564"/>
      <c r="V153" s="564"/>
      <c r="W153" s="564"/>
      <c r="X153" s="564"/>
      <c r="Y153" s="564"/>
      <c r="Z153" s="564"/>
      <c r="AA153" s="564"/>
      <c r="AB153" s="564"/>
      <c r="AC153" s="564"/>
      <c r="AD153" s="564"/>
      <c r="AE153" s="564"/>
      <c r="AF153" s="564"/>
      <c r="AG153" s="564"/>
      <c r="AH153" s="564"/>
      <c r="AI153" s="564"/>
      <c r="AJ153" s="564"/>
      <c r="AK153" s="564"/>
      <c r="AL153" s="564"/>
      <c r="AM153" s="564"/>
      <c r="AN153" s="564"/>
      <c r="AO153" s="564"/>
      <c r="AP153" s="564"/>
      <c r="AQ153" s="564"/>
      <c r="AR153" s="564"/>
      <c r="AS153" s="564"/>
      <c r="AT153" s="564"/>
      <c r="AU153" s="564"/>
      <c r="AV153" s="564"/>
      <c r="AW153" s="564"/>
      <c r="AX153" s="564"/>
      <c r="AY153" s="564"/>
      <c r="AZ153" s="564"/>
      <c r="BA153" s="564"/>
      <c r="BB153" s="564"/>
      <c r="BC153" s="564"/>
      <c r="BD153" s="564"/>
      <c r="BE153" s="564"/>
      <c r="BF153" s="564"/>
      <c r="BG153" s="564"/>
      <c r="BH153" s="564"/>
      <c r="BI153" s="564"/>
      <c r="BJ153" s="564"/>
      <c r="BK153" s="564"/>
      <c r="BL153" s="564"/>
      <c r="BM153" s="564"/>
      <c r="BN153" s="564"/>
      <c r="BO153" s="564"/>
      <c r="BP153" s="564"/>
      <c r="BQ153" s="564"/>
      <c r="BR153" s="564"/>
      <c r="BS153" s="564"/>
      <c r="BT153" s="564"/>
      <c r="BU153" s="564"/>
      <c r="BV153" s="564"/>
      <c r="BW153" s="564"/>
      <c r="BX153" s="564"/>
      <c r="BY153" s="564"/>
      <c r="BZ153" s="564"/>
      <c r="CA153" s="564"/>
      <c r="CB153" s="564"/>
      <c r="CC153" s="564"/>
      <c r="CD153" s="564"/>
      <c r="CE153" s="564"/>
      <c r="CF153" s="564"/>
      <c r="CG153" s="564"/>
      <c r="CH153" s="564"/>
      <c r="CI153" s="564"/>
      <c r="CJ153" s="564"/>
      <c r="CK153" s="564"/>
      <c r="CL153" s="564"/>
      <c r="CM153" s="564"/>
      <c r="CN153" s="564"/>
      <c r="CO153" s="564"/>
      <c r="CP153" s="564"/>
      <c r="CQ153" s="564"/>
      <c r="CR153" s="564"/>
      <c r="CS153" s="564"/>
      <c r="CT153" s="564"/>
      <c r="CU153" s="564"/>
      <c r="CV153" s="564"/>
      <c r="CW153" s="564"/>
      <c r="CX153" s="564"/>
      <c r="CY153" s="564"/>
      <c r="CZ153" s="564"/>
      <c r="DA153" s="564"/>
      <c r="DB153" s="564"/>
      <c r="DC153" s="564"/>
      <c r="DD153" s="564"/>
      <c r="DE153" s="564"/>
      <c r="DF153" s="564"/>
      <c r="DG153" s="564"/>
      <c r="DH153" s="564"/>
      <c r="DI153" s="564"/>
      <c r="DJ153" s="564"/>
      <c r="DK153" s="564"/>
      <c r="DL153" s="564"/>
      <c r="DM153" s="564"/>
      <c r="DN153" s="564"/>
      <c r="DO153" s="564"/>
      <c r="DP153" s="564"/>
      <c r="DQ153" s="564"/>
      <c r="DR153" s="564"/>
      <c r="DS153" s="564"/>
      <c r="DT153" s="564"/>
      <c r="DU153" s="564"/>
      <c r="DV153" s="564"/>
      <c r="DW153" s="564"/>
    </row>
    <row r="154" spans="1:127" s="281" customFormat="1" x14ac:dyDescent="0.2">
      <c r="A154" s="85"/>
      <c r="B154" s="5" t="str">
        <f ca="1">'B5. Last Mile Delivery'!C48</f>
        <v>Last-mile transport</v>
      </c>
      <c r="C154" s="37" t="e">
        <f>'B5. Last Mile Delivery'!J48</f>
        <v>#N/A</v>
      </c>
      <c r="D154" s="37" t="e">
        <f>'B5. Last Mile Delivery'!K48</f>
        <v>#N/A</v>
      </c>
      <c r="E154" s="37" t="e">
        <f>'B5. Last Mile Delivery'!L48</f>
        <v>#N/A</v>
      </c>
      <c r="F154" s="37" t="e">
        <f>'B5. Last Mile Delivery'!M48</f>
        <v>#N/A</v>
      </c>
      <c r="G154" s="37" t="e">
        <f>'B5. Last Mile Delivery'!N48</f>
        <v>#N/A</v>
      </c>
      <c r="H154" s="37" t="e">
        <f>'B5. Last Mile Delivery'!O48</f>
        <v>#N/A</v>
      </c>
      <c r="I154" s="300" t="e">
        <f>SUM(C154:H154)</f>
        <v>#N/A</v>
      </c>
      <c r="J154" s="620"/>
      <c r="K154" s="543"/>
      <c r="L154" s="543"/>
      <c r="M154" s="459"/>
      <c r="O154" s="567"/>
      <c r="P154" s="564"/>
      <c r="Q154" s="564"/>
      <c r="R154" s="564"/>
      <c r="S154" s="564"/>
      <c r="T154" s="564"/>
      <c r="U154" s="564"/>
      <c r="V154" s="564"/>
      <c r="W154" s="564"/>
      <c r="X154" s="564"/>
      <c r="Y154" s="564"/>
      <c r="Z154" s="564"/>
      <c r="AA154" s="564"/>
      <c r="AB154" s="564"/>
      <c r="AC154" s="564"/>
      <c r="AD154" s="564"/>
      <c r="AE154" s="564"/>
      <c r="AF154" s="564"/>
      <c r="AG154" s="564"/>
      <c r="AH154" s="564"/>
      <c r="AI154" s="564"/>
      <c r="AJ154" s="564"/>
      <c r="AK154" s="564"/>
      <c r="AL154" s="564"/>
      <c r="AM154" s="564"/>
      <c r="AN154" s="564"/>
      <c r="AO154" s="564"/>
      <c r="AP154" s="564"/>
      <c r="AQ154" s="564"/>
      <c r="AR154" s="564"/>
      <c r="AS154" s="564"/>
      <c r="AT154" s="564"/>
      <c r="AU154" s="564"/>
      <c r="AV154" s="564"/>
      <c r="AW154" s="564"/>
      <c r="AX154" s="564"/>
      <c r="AY154" s="564"/>
      <c r="AZ154" s="564"/>
      <c r="BA154" s="564"/>
      <c r="BB154" s="564"/>
      <c r="BC154" s="564"/>
      <c r="BD154" s="564"/>
      <c r="BE154" s="564"/>
      <c r="BF154" s="564"/>
      <c r="BG154" s="564"/>
      <c r="BH154" s="564"/>
      <c r="BI154" s="564"/>
      <c r="BJ154" s="564"/>
      <c r="BK154" s="564"/>
      <c r="BL154" s="564"/>
      <c r="BM154" s="564"/>
      <c r="BN154" s="564"/>
      <c r="BO154" s="564"/>
      <c r="BP154" s="564"/>
      <c r="BQ154" s="564"/>
      <c r="BR154" s="564"/>
      <c r="BS154" s="564"/>
      <c r="BT154" s="564"/>
      <c r="BU154" s="564"/>
      <c r="BV154" s="564"/>
      <c r="BW154" s="564"/>
      <c r="BX154" s="564"/>
      <c r="BY154" s="564"/>
      <c r="BZ154" s="564"/>
      <c r="CA154" s="564"/>
      <c r="CB154" s="564"/>
      <c r="CC154" s="564"/>
      <c r="CD154" s="564"/>
      <c r="CE154" s="564"/>
      <c r="CF154" s="564"/>
      <c r="CG154" s="564"/>
      <c r="CH154" s="564"/>
      <c r="CI154" s="564"/>
      <c r="CJ154" s="564"/>
      <c r="CK154" s="564"/>
      <c r="CL154" s="564"/>
      <c r="CM154" s="564"/>
      <c r="CN154" s="564"/>
      <c r="CO154" s="564"/>
      <c r="CP154" s="564"/>
      <c r="CQ154" s="564"/>
      <c r="CR154" s="564"/>
      <c r="CS154" s="564"/>
      <c r="CT154" s="564"/>
      <c r="CU154" s="564"/>
      <c r="CV154" s="564"/>
      <c r="CW154" s="564"/>
      <c r="CX154" s="564"/>
      <c r="CY154" s="564"/>
      <c r="CZ154" s="564"/>
      <c r="DA154" s="564"/>
      <c r="DB154" s="564"/>
      <c r="DC154" s="564"/>
      <c r="DD154" s="564"/>
      <c r="DE154" s="564"/>
      <c r="DF154" s="564"/>
      <c r="DG154" s="564"/>
      <c r="DH154" s="564"/>
      <c r="DI154" s="564"/>
      <c r="DJ154" s="564"/>
      <c r="DK154" s="564"/>
      <c r="DL154" s="564"/>
      <c r="DM154" s="564"/>
      <c r="DN154" s="564"/>
      <c r="DO154" s="564"/>
      <c r="DP154" s="564"/>
      <c r="DQ154" s="564"/>
      <c r="DR154" s="564"/>
      <c r="DS154" s="564"/>
      <c r="DT154" s="564"/>
      <c r="DU154" s="564"/>
      <c r="DV154" s="564"/>
      <c r="DW154" s="564"/>
    </row>
    <row r="155" spans="1:127" s="532" customFormat="1" ht="13.5" thickBot="1" x14ac:dyDescent="0.25">
      <c r="A155" s="85"/>
      <c r="B155" s="21" t="str">
        <f ca="1">IF(OFFSET(R155,0,Lang_Order*Lang__R2)="","",OFFSET(R155,0,Lang_Order*Lang__R2))</f>
        <v>4.1 Logistics and transportation (excluding cold chain)</v>
      </c>
      <c r="C155" s="118" t="e">
        <f t="shared" ref="C155:H155" si="42">IF(ISBLANK(C157),C156,C157)</f>
        <v>#DIV/0!</v>
      </c>
      <c r="D155" s="118" t="e">
        <f t="shared" si="42"/>
        <v>#DIV/0!</v>
      </c>
      <c r="E155" s="118" t="e">
        <f t="shared" si="42"/>
        <v>#DIV/0!</v>
      </c>
      <c r="F155" s="118" t="e">
        <f t="shared" si="42"/>
        <v>#DIV/0!</v>
      </c>
      <c r="G155" s="118" t="e">
        <f t="shared" si="42"/>
        <v>#DIV/0!</v>
      </c>
      <c r="H155" s="118" t="e">
        <f t="shared" si="42"/>
        <v>#DIV/0!</v>
      </c>
      <c r="I155" s="282" t="e">
        <f>SUM(C155:H155)</f>
        <v>#DIV/0!</v>
      </c>
      <c r="J155" s="620" t="s">
        <v>5137</v>
      </c>
      <c r="K155" s="35" t="s">
        <v>2844</v>
      </c>
      <c r="L155" s="35" t="s">
        <v>3188</v>
      </c>
      <c r="O155" s="587"/>
      <c r="P155" s="564"/>
      <c r="Q155" s="564"/>
      <c r="R155" s="564" t="s">
        <v>14167</v>
      </c>
      <c r="S155" s="564"/>
      <c r="T155" s="564"/>
      <c r="U155" s="564"/>
      <c r="V155" s="564"/>
      <c r="W155" s="564"/>
      <c r="X155" s="564"/>
      <c r="Y155" s="564"/>
      <c r="Z155" s="564"/>
      <c r="AA155" s="564"/>
      <c r="AB155" s="564"/>
      <c r="AC155" s="564"/>
      <c r="AD155" s="564"/>
      <c r="AE155" s="564"/>
      <c r="AF155" s="564"/>
      <c r="AG155" s="564"/>
      <c r="AH155" s="564" t="s">
        <v>13066</v>
      </c>
      <c r="AI155" s="564"/>
      <c r="AJ155" s="564"/>
      <c r="AK155" s="564"/>
      <c r="AL155" s="564"/>
      <c r="AM155" s="564"/>
      <c r="AN155" s="564"/>
      <c r="AO155" s="564"/>
      <c r="AP155" s="564"/>
      <c r="AQ155" s="564"/>
      <c r="AR155" s="564"/>
      <c r="AS155" s="564"/>
      <c r="AT155" s="564"/>
      <c r="AU155" s="564"/>
      <c r="AV155" s="564"/>
      <c r="AW155" s="564"/>
      <c r="AX155" s="564" t="s">
        <v>13067</v>
      </c>
      <c r="AY155" s="564"/>
      <c r="AZ155" s="564"/>
      <c r="BA155" s="564"/>
      <c r="BB155" s="564"/>
      <c r="BC155" s="564"/>
      <c r="BD155" s="564"/>
      <c r="BE155" s="564"/>
      <c r="BF155" s="564"/>
      <c r="BG155" s="564"/>
      <c r="BH155" s="564"/>
      <c r="BI155" s="564"/>
      <c r="BJ155" s="564"/>
      <c r="BK155" s="564"/>
      <c r="BL155" s="564"/>
      <c r="BM155" s="564"/>
      <c r="BN155" s="564" t="s">
        <v>13068</v>
      </c>
      <c r="BO155" s="564"/>
      <c r="BP155" s="564"/>
      <c r="BQ155" s="564"/>
      <c r="BR155" s="564"/>
      <c r="BS155" s="564"/>
      <c r="BT155" s="564"/>
      <c r="BU155" s="564"/>
      <c r="BV155" s="564"/>
      <c r="BW155" s="564"/>
      <c r="BX155" s="564"/>
      <c r="BY155" s="564"/>
      <c r="BZ155" s="564"/>
      <c r="CA155" s="564"/>
      <c r="CB155" s="564"/>
      <c r="CC155" s="564"/>
      <c r="CD155" s="564" t="s">
        <v>13069</v>
      </c>
      <c r="CE155" s="564"/>
      <c r="CF155" s="564"/>
      <c r="CG155" s="564"/>
      <c r="CH155" s="564"/>
      <c r="CI155" s="564"/>
      <c r="CJ155" s="564"/>
      <c r="CK155" s="564"/>
      <c r="CL155" s="564"/>
      <c r="CM155" s="564"/>
      <c r="CN155" s="564"/>
      <c r="CO155" s="564"/>
      <c r="CP155" s="564"/>
      <c r="CQ155" s="564"/>
      <c r="CR155" s="564"/>
      <c r="CS155" s="564"/>
      <c r="CT155" s="564" t="s">
        <v>13070</v>
      </c>
      <c r="CU155" s="564"/>
      <c r="CV155" s="564"/>
      <c r="CW155" s="564"/>
      <c r="CX155" s="564"/>
      <c r="CY155" s="564"/>
      <c r="CZ155" s="564"/>
      <c r="DA155" s="564"/>
      <c r="DB155" s="564"/>
      <c r="DC155" s="564"/>
      <c r="DD155" s="564"/>
      <c r="DE155" s="564"/>
      <c r="DF155" s="564"/>
      <c r="DG155" s="564"/>
      <c r="DH155" s="564"/>
      <c r="DI155" s="564"/>
      <c r="DJ155" s="564" t="s">
        <v>13071</v>
      </c>
      <c r="DK155" s="564"/>
      <c r="DL155" s="564"/>
      <c r="DM155" s="564"/>
      <c r="DN155" s="564"/>
      <c r="DO155" s="564"/>
      <c r="DP155" s="564"/>
      <c r="DQ155" s="564"/>
      <c r="DR155" s="564"/>
      <c r="DS155" s="564"/>
      <c r="DT155" s="564"/>
      <c r="DU155" s="564"/>
      <c r="DV155" s="564"/>
      <c r="DW155" s="564"/>
    </row>
    <row r="156" spans="1:127" s="2" customFormat="1" ht="13.5" thickTop="1" x14ac:dyDescent="0.2">
      <c r="A156" s="73"/>
      <c r="B156" s="72" t="str">
        <f ca="1">IF(OFFSET(R156,0,Lang_Order*Lang__R2)="","",OFFSET(R156,0,Lang_Order*Lang__R2))</f>
        <v>CVIC Estimates</v>
      </c>
      <c r="C156" s="199" t="e">
        <f t="shared" ref="C156:H156" si="43">SUM(C153:C154)</f>
        <v>#DIV/0!</v>
      </c>
      <c r="D156" s="199" t="e">
        <f t="shared" si="43"/>
        <v>#DIV/0!</v>
      </c>
      <c r="E156" s="199" t="e">
        <f t="shared" si="43"/>
        <v>#DIV/0!</v>
      </c>
      <c r="F156" s="199" t="e">
        <f t="shared" si="43"/>
        <v>#DIV/0!</v>
      </c>
      <c r="G156" s="199" t="e">
        <f t="shared" si="43"/>
        <v>#DIV/0!</v>
      </c>
      <c r="H156" s="199" t="e">
        <f t="shared" si="43"/>
        <v>#DIV/0!</v>
      </c>
      <c r="I156" s="199" t="e">
        <f>SUM(C156:H156)</f>
        <v>#DIV/0!</v>
      </c>
      <c r="J156" s="620" t="s">
        <v>5138</v>
      </c>
      <c r="P156" s="564"/>
      <c r="Q156" s="564"/>
      <c r="R156" s="564" t="s">
        <v>12973</v>
      </c>
      <c r="S156" s="564"/>
      <c r="T156" s="564"/>
      <c r="U156" s="564"/>
      <c r="V156" s="564"/>
      <c r="W156" s="564"/>
      <c r="X156" s="564"/>
      <c r="Y156" s="564"/>
      <c r="Z156" s="564"/>
      <c r="AA156" s="564"/>
      <c r="AB156" s="564"/>
      <c r="AC156" s="564"/>
      <c r="AD156" s="564"/>
      <c r="AE156" s="564"/>
      <c r="AF156" s="564"/>
      <c r="AG156" s="564"/>
      <c r="AH156" s="564" t="s">
        <v>12974</v>
      </c>
      <c r="AI156" s="564"/>
      <c r="AJ156" s="564"/>
      <c r="AK156" s="564"/>
      <c r="AL156" s="564"/>
      <c r="AM156" s="564"/>
      <c r="AN156" s="564"/>
      <c r="AO156" s="564"/>
      <c r="AP156" s="564"/>
      <c r="AQ156" s="564"/>
      <c r="AR156" s="564"/>
      <c r="AS156" s="564"/>
      <c r="AT156" s="564"/>
      <c r="AU156" s="564"/>
      <c r="AV156" s="564"/>
      <c r="AW156" s="564"/>
      <c r="AX156" s="564" t="s">
        <v>12968</v>
      </c>
      <c r="AY156" s="564"/>
      <c r="AZ156" s="564"/>
      <c r="BA156" s="564"/>
      <c r="BB156" s="564"/>
      <c r="BC156" s="564"/>
      <c r="BD156" s="564"/>
      <c r="BE156" s="564"/>
      <c r="BF156" s="564"/>
      <c r="BG156" s="564"/>
      <c r="BH156" s="564"/>
      <c r="BI156" s="564"/>
      <c r="BJ156" s="564"/>
      <c r="BK156" s="564"/>
      <c r="BL156" s="564"/>
      <c r="BM156" s="564"/>
      <c r="BN156" s="564" t="s">
        <v>12969</v>
      </c>
      <c r="BO156" s="564"/>
      <c r="BP156" s="564"/>
      <c r="BQ156" s="564"/>
      <c r="BR156" s="564"/>
      <c r="BS156" s="564"/>
      <c r="BT156" s="564"/>
      <c r="BU156" s="564"/>
      <c r="BV156" s="564"/>
      <c r="BW156" s="564"/>
      <c r="BX156" s="564"/>
      <c r="BY156" s="564"/>
      <c r="BZ156" s="564"/>
      <c r="CA156" s="564"/>
      <c r="CB156" s="564"/>
      <c r="CC156" s="564"/>
      <c r="CD156" s="564" t="s">
        <v>12970</v>
      </c>
      <c r="CE156" s="564"/>
      <c r="CF156" s="564"/>
      <c r="CG156" s="564"/>
      <c r="CH156" s="564"/>
      <c r="CI156" s="564"/>
      <c r="CJ156" s="564"/>
      <c r="CK156" s="564"/>
      <c r="CL156" s="564"/>
      <c r="CM156" s="564"/>
      <c r="CN156" s="564"/>
      <c r="CO156" s="564"/>
      <c r="CP156" s="564"/>
      <c r="CQ156" s="564"/>
      <c r="CR156" s="564"/>
      <c r="CS156" s="564"/>
      <c r="CT156" s="564" t="s">
        <v>12971</v>
      </c>
      <c r="CU156" s="564"/>
      <c r="CV156" s="564"/>
      <c r="CW156" s="564"/>
      <c r="CX156" s="564"/>
      <c r="CY156" s="564"/>
      <c r="CZ156" s="564"/>
      <c r="DA156" s="564"/>
      <c r="DB156" s="564"/>
      <c r="DC156" s="564"/>
      <c r="DD156" s="564"/>
      <c r="DE156" s="564"/>
      <c r="DF156" s="564"/>
      <c r="DG156" s="564"/>
      <c r="DH156" s="564"/>
      <c r="DI156" s="564"/>
      <c r="DJ156" s="564" t="s">
        <v>12972</v>
      </c>
      <c r="DK156" s="564"/>
      <c r="DL156" s="564"/>
      <c r="DM156" s="564"/>
      <c r="DN156" s="564"/>
      <c r="DO156" s="564"/>
      <c r="DP156" s="564"/>
      <c r="DQ156" s="564"/>
      <c r="DR156" s="564"/>
      <c r="DS156" s="564"/>
      <c r="DT156" s="564"/>
      <c r="DU156" s="564"/>
      <c r="DV156" s="564"/>
      <c r="DW156" s="564"/>
    </row>
    <row r="157" spans="1:127" s="536" customFormat="1" x14ac:dyDescent="0.2">
      <c r="A157" s="350">
        <v>2</v>
      </c>
      <c r="B157" s="5" t="str">
        <f ca="1">IF(OFFSET(R157,0,Lang_Order*Lang__R2)="","",OFFSET(R157,0,Lang_Order*Lang__R2))</f>
        <v>OVERRIDE HERE if alternative costing used for section above</v>
      </c>
      <c r="C157" s="284"/>
      <c r="D157" s="284"/>
      <c r="E157" s="284"/>
      <c r="F157" s="284"/>
      <c r="G157" s="284"/>
      <c r="H157" s="284"/>
      <c r="I157" s="81" t="str">
        <f>Lang_LeaveBlank</f>
        <v>Leave Blank</v>
      </c>
      <c r="J157" s="620" t="s">
        <v>5139</v>
      </c>
      <c r="K157" s="543"/>
      <c r="L157" s="543"/>
      <c r="O157" s="587"/>
      <c r="P157" s="564"/>
      <c r="Q157" s="564"/>
      <c r="R157" s="564" t="s">
        <v>4591</v>
      </c>
      <c r="S157" s="564"/>
      <c r="T157" s="564"/>
      <c r="U157" s="564"/>
      <c r="V157" s="564"/>
      <c r="W157" s="564"/>
      <c r="X157" s="564"/>
      <c r="Y157" s="564"/>
      <c r="Z157" s="564"/>
      <c r="AA157" s="564"/>
      <c r="AB157" s="564"/>
      <c r="AC157" s="564"/>
      <c r="AD157" s="564"/>
      <c r="AE157" s="564"/>
      <c r="AF157" s="564"/>
      <c r="AG157" s="564"/>
      <c r="AH157" s="564" t="s">
        <v>12949</v>
      </c>
      <c r="AI157" s="564"/>
      <c r="AJ157" s="564"/>
      <c r="AK157" s="564"/>
      <c r="AL157" s="564"/>
      <c r="AM157" s="564"/>
      <c r="AN157" s="564"/>
      <c r="AO157" s="564"/>
      <c r="AP157" s="564"/>
      <c r="AQ157" s="564"/>
      <c r="AR157" s="564"/>
      <c r="AS157" s="564"/>
      <c r="AT157" s="564"/>
      <c r="AU157" s="564"/>
      <c r="AV157" s="564"/>
      <c r="AW157" s="564"/>
      <c r="AX157" s="564" t="s">
        <v>12950</v>
      </c>
      <c r="AY157" s="564"/>
      <c r="AZ157" s="564"/>
      <c r="BA157" s="564"/>
      <c r="BB157" s="564"/>
      <c r="BC157" s="564"/>
      <c r="BD157" s="564"/>
      <c r="BE157" s="564"/>
      <c r="BF157" s="564"/>
      <c r="BG157" s="564"/>
      <c r="BH157" s="564"/>
      <c r="BI157" s="564"/>
      <c r="BJ157" s="564"/>
      <c r="BK157" s="564"/>
      <c r="BL157" s="564"/>
      <c r="BM157" s="564"/>
      <c r="BN157" s="564" t="s">
        <v>12951</v>
      </c>
      <c r="BO157" s="564"/>
      <c r="BP157" s="564"/>
      <c r="BQ157" s="564"/>
      <c r="BR157" s="564"/>
      <c r="BS157" s="564"/>
      <c r="BT157" s="564"/>
      <c r="BU157" s="564"/>
      <c r="BV157" s="564"/>
      <c r="BW157" s="564"/>
      <c r="BX157" s="564"/>
      <c r="BY157" s="564"/>
      <c r="BZ157" s="564"/>
      <c r="CA157" s="564"/>
      <c r="CB157" s="564"/>
      <c r="CC157" s="564"/>
      <c r="CD157" s="564" t="s">
        <v>12952</v>
      </c>
      <c r="CE157" s="564"/>
      <c r="CF157" s="564"/>
      <c r="CG157" s="564"/>
      <c r="CH157" s="564"/>
      <c r="CI157" s="564"/>
      <c r="CJ157" s="564"/>
      <c r="CK157" s="564"/>
      <c r="CL157" s="564"/>
      <c r="CM157" s="564"/>
      <c r="CN157" s="564"/>
      <c r="CO157" s="564"/>
      <c r="CP157" s="564"/>
      <c r="CQ157" s="564"/>
      <c r="CR157" s="564"/>
      <c r="CS157" s="564"/>
      <c r="CT157" s="564" t="s">
        <v>12953</v>
      </c>
      <c r="CU157" s="564"/>
      <c r="CV157" s="564"/>
      <c r="CW157" s="564"/>
      <c r="CX157" s="564"/>
      <c r="CY157" s="564"/>
      <c r="CZ157" s="564"/>
      <c r="DA157" s="564"/>
      <c r="DB157" s="564"/>
      <c r="DC157" s="564"/>
      <c r="DD157" s="564"/>
      <c r="DE157" s="564"/>
      <c r="DF157" s="564"/>
      <c r="DG157" s="564"/>
      <c r="DH157" s="564"/>
      <c r="DI157" s="564"/>
      <c r="DJ157" s="564" t="s">
        <v>12954</v>
      </c>
      <c r="DK157" s="564"/>
      <c r="DL157" s="564"/>
      <c r="DM157" s="564"/>
      <c r="DN157" s="564"/>
      <c r="DO157" s="564"/>
      <c r="DP157" s="564"/>
      <c r="DQ157" s="564"/>
      <c r="DR157" s="564"/>
      <c r="DS157" s="564"/>
      <c r="DT157" s="564"/>
      <c r="DU157" s="564"/>
      <c r="DV157" s="564"/>
      <c r="DW157" s="564"/>
    </row>
    <row r="158" spans="1:127" s="272" customFormat="1" x14ac:dyDescent="0.2">
      <c r="A158" s="85"/>
      <c r="B158" s="23"/>
      <c r="J158" s="620"/>
      <c r="K158" s="543"/>
      <c r="L158" s="543"/>
      <c r="M158" s="459"/>
      <c r="O158" s="567"/>
      <c r="P158" s="564"/>
      <c r="Q158" s="564"/>
      <c r="R158" s="564"/>
      <c r="S158" s="564"/>
      <c r="T158" s="564"/>
      <c r="U158" s="564"/>
      <c r="V158" s="564"/>
      <c r="W158" s="564"/>
      <c r="X158" s="564"/>
      <c r="Y158" s="564"/>
      <c r="Z158" s="564"/>
      <c r="AA158" s="564"/>
      <c r="AB158" s="564"/>
      <c r="AC158" s="564"/>
      <c r="AD158" s="564"/>
      <c r="AE158" s="564"/>
      <c r="AF158" s="564"/>
      <c r="AG158" s="564"/>
      <c r="AH158" s="564"/>
      <c r="AI158" s="564"/>
      <c r="AJ158" s="564"/>
      <c r="AK158" s="564"/>
      <c r="AL158" s="564"/>
      <c r="AM158" s="564"/>
      <c r="AN158" s="564"/>
      <c r="AO158" s="564"/>
      <c r="AP158" s="564"/>
      <c r="AQ158" s="564"/>
      <c r="AR158" s="564"/>
      <c r="AS158" s="564"/>
      <c r="AT158" s="564"/>
      <c r="AU158" s="564"/>
      <c r="AV158" s="564"/>
      <c r="AW158" s="564"/>
      <c r="AX158" s="564"/>
      <c r="AY158" s="564"/>
      <c r="AZ158" s="564"/>
      <c r="BA158" s="564"/>
      <c r="BB158" s="564"/>
      <c r="BC158" s="564"/>
      <c r="BD158" s="564"/>
      <c r="BE158" s="564"/>
      <c r="BF158" s="564"/>
      <c r="BG158" s="564"/>
      <c r="BH158" s="564"/>
      <c r="BI158" s="564"/>
      <c r="BJ158" s="564"/>
      <c r="BK158" s="564"/>
      <c r="BL158" s="564"/>
      <c r="BM158" s="564"/>
      <c r="BN158" s="564"/>
      <c r="BO158" s="564"/>
      <c r="BP158" s="564"/>
      <c r="BQ158" s="564"/>
      <c r="BR158" s="564"/>
      <c r="BS158" s="564"/>
      <c r="BT158" s="564"/>
      <c r="BU158" s="564"/>
      <c r="BV158" s="564"/>
      <c r="BW158" s="564"/>
      <c r="BX158" s="564"/>
      <c r="BY158" s="564"/>
      <c r="BZ158" s="564"/>
      <c r="CA158" s="564"/>
      <c r="CB158" s="564"/>
      <c r="CC158" s="564"/>
      <c r="CD158" s="564"/>
      <c r="CE158" s="564"/>
      <c r="CF158" s="564"/>
      <c r="CG158" s="564"/>
      <c r="CH158" s="564"/>
      <c r="CI158" s="564"/>
      <c r="CJ158" s="564"/>
      <c r="CK158" s="564"/>
      <c r="CL158" s="564"/>
      <c r="CM158" s="564"/>
      <c r="CN158" s="564"/>
      <c r="CO158" s="564"/>
      <c r="CP158" s="564"/>
      <c r="CQ158" s="564"/>
      <c r="CR158" s="564"/>
      <c r="CS158" s="564"/>
      <c r="CT158" s="564"/>
      <c r="CU158" s="564"/>
      <c r="CV158" s="564"/>
      <c r="CW158" s="564"/>
      <c r="CX158" s="564"/>
      <c r="CY158" s="564"/>
      <c r="CZ158" s="564"/>
      <c r="DA158" s="564"/>
      <c r="DB158" s="564"/>
      <c r="DC158" s="564"/>
      <c r="DD158" s="564"/>
      <c r="DE158" s="564"/>
      <c r="DF158" s="564"/>
      <c r="DG158" s="564"/>
      <c r="DH158" s="564"/>
      <c r="DI158" s="564"/>
      <c r="DJ158" s="564"/>
      <c r="DK158" s="564"/>
      <c r="DL158" s="564"/>
      <c r="DM158" s="564"/>
      <c r="DN158" s="564"/>
      <c r="DO158" s="564"/>
      <c r="DP158" s="564"/>
      <c r="DQ158" s="564"/>
      <c r="DR158" s="564"/>
      <c r="DS158" s="564"/>
      <c r="DT158" s="564"/>
      <c r="DU158" s="564"/>
      <c r="DV158" s="564"/>
      <c r="DW158" s="564"/>
    </row>
    <row r="159" spans="1:127" s="542" customFormat="1" x14ac:dyDescent="0.2">
      <c r="A159" s="85"/>
      <c r="B159" s="23" t="str">
        <f ca="1">IF(OFFSET(R159,0,Lang_Order*Lang__R2)="","",OFFSET(R159,0,Lang_Order*Lang__R2))</f>
        <v>Waste Management</v>
      </c>
      <c r="C159" s="300" t="e">
        <f ca="1">'B2. Vaccines and Supplies'!Q107</f>
        <v>#N/A</v>
      </c>
      <c r="D159" s="300" t="e">
        <f ca="1">'B2. Vaccines and Supplies'!R107</f>
        <v>#N/A</v>
      </c>
      <c r="E159" s="300" t="e">
        <f ca="1">'B2. Vaccines and Supplies'!S107</f>
        <v>#N/A</v>
      </c>
      <c r="F159" s="300" t="e">
        <f ca="1">'B2. Vaccines and Supplies'!T107</f>
        <v>#N/A</v>
      </c>
      <c r="G159" s="300" t="e">
        <f ca="1">'B2. Vaccines and Supplies'!U107</f>
        <v>#N/A</v>
      </c>
      <c r="H159" s="300" t="e">
        <f ca="1">'B2. Vaccines and Supplies'!V107</f>
        <v>#N/A</v>
      </c>
      <c r="I159" s="300" t="e">
        <f ca="1">SUM(C159:H159)</f>
        <v>#N/A</v>
      </c>
      <c r="J159" s="620"/>
      <c r="K159" s="543"/>
      <c r="L159" s="543"/>
      <c r="O159" s="567"/>
      <c r="P159" s="564"/>
      <c r="Q159" s="564"/>
      <c r="R159" s="564" t="s">
        <v>4604</v>
      </c>
      <c r="S159" s="564"/>
      <c r="T159" s="564"/>
      <c r="U159" s="564"/>
      <c r="V159" s="564"/>
      <c r="W159" s="564"/>
      <c r="X159" s="564"/>
      <c r="Y159" s="564"/>
      <c r="Z159" s="564"/>
      <c r="AA159" s="564"/>
      <c r="AB159" s="564"/>
      <c r="AC159" s="564"/>
      <c r="AD159" s="564"/>
      <c r="AE159" s="564"/>
      <c r="AF159" s="564"/>
      <c r="AG159" s="564"/>
      <c r="AH159" s="564" t="s">
        <v>13060</v>
      </c>
      <c r="AI159" s="564"/>
      <c r="AJ159" s="564"/>
      <c r="AK159" s="564"/>
      <c r="AL159" s="564"/>
      <c r="AM159" s="564"/>
      <c r="AN159" s="564"/>
      <c r="AO159" s="564"/>
      <c r="AP159" s="564"/>
      <c r="AQ159" s="564"/>
      <c r="AR159" s="564"/>
      <c r="AS159" s="564"/>
      <c r="AT159" s="564"/>
      <c r="AU159" s="564"/>
      <c r="AV159" s="564"/>
      <c r="AW159" s="564"/>
      <c r="AX159" s="564" t="s">
        <v>13061</v>
      </c>
      <c r="AY159" s="564"/>
      <c r="AZ159" s="564"/>
      <c r="BA159" s="564"/>
      <c r="BB159" s="564"/>
      <c r="BC159" s="564"/>
      <c r="BD159" s="564"/>
      <c r="BE159" s="564"/>
      <c r="BF159" s="564"/>
      <c r="BG159" s="564"/>
      <c r="BH159" s="564"/>
      <c r="BI159" s="564"/>
      <c r="BJ159" s="564"/>
      <c r="BK159" s="564"/>
      <c r="BL159" s="564"/>
      <c r="BM159" s="564"/>
      <c r="BN159" s="564" t="s">
        <v>13062</v>
      </c>
      <c r="BO159" s="564"/>
      <c r="BP159" s="564"/>
      <c r="BQ159" s="564"/>
      <c r="BR159" s="564"/>
      <c r="BS159" s="564"/>
      <c r="BT159" s="564"/>
      <c r="BU159" s="564"/>
      <c r="BV159" s="564"/>
      <c r="BW159" s="564"/>
      <c r="BX159" s="564"/>
      <c r="BY159" s="564"/>
      <c r="BZ159" s="564"/>
      <c r="CA159" s="564"/>
      <c r="CB159" s="564"/>
      <c r="CC159" s="564"/>
      <c r="CD159" s="564" t="s">
        <v>13063</v>
      </c>
      <c r="CE159" s="564"/>
      <c r="CF159" s="564"/>
      <c r="CG159" s="564"/>
      <c r="CH159" s="564"/>
      <c r="CI159" s="564"/>
      <c r="CJ159" s="564"/>
      <c r="CK159" s="564"/>
      <c r="CL159" s="564"/>
      <c r="CM159" s="564"/>
      <c r="CN159" s="564"/>
      <c r="CO159" s="564"/>
      <c r="CP159" s="564"/>
      <c r="CQ159" s="564"/>
      <c r="CR159" s="564"/>
      <c r="CS159" s="564"/>
      <c r="CT159" s="564" t="s">
        <v>13064</v>
      </c>
      <c r="CU159" s="564"/>
      <c r="CV159" s="564"/>
      <c r="CW159" s="564"/>
      <c r="CX159" s="564"/>
      <c r="CY159" s="564"/>
      <c r="CZ159" s="564"/>
      <c r="DA159" s="564"/>
      <c r="DB159" s="564"/>
      <c r="DC159" s="564"/>
      <c r="DD159" s="564"/>
      <c r="DE159" s="564"/>
      <c r="DF159" s="564"/>
      <c r="DG159" s="564"/>
      <c r="DH159" s="564"/>
      <c r="DI159" s="564"/>
      <c r="DJ159" s="564" t="s">
        <v>13065</v>
      </c>
      <c r="DK159" s="564"/>
      <c r="DL159" s="564"/>
      <c r="DM159" s="564"/>
      <c r="DN159" s="564"/>
      <c r="DO159" s="564"/>
      <c r="DP159" s="564"/>
      <c r="DQ159" s="564"/>
      <c r="DR159" s="564"/>
      <c r="DS159" s="564"/>
      <c r="DT159" s="564"/>
      <c r="DU159" s="564"/>
      <c r="DV159" s="564"/>
      <c r="DW159" s="564"/>
    </row>
    <row r="160" spans="1:127" s="542" customFormat="1" x14ac:dyDescent="0.2">
      <c r="A160" s="85"/>
      <c r="B160" s="618" t="str">
        <f ca="1">IF(OFFSET(R160,0,Lang_Order*Lang__R2)="","",OFFSET(R160,0,Lang_Order*Lang__R2))</f>
        <v>Adjustment for Covax fully loaded doses [ESTIMATE ONLY]</v>
      </c>
      <c r="C160" s="519">
        <f>IF(AMC_Status=1,(0-C$104*Covax_Fullyloaded_WasteManagement),0)</f>
        <v>0</v>
      </c>
      <c r="D160" s="519">
        <f>IF(AMC_Status=1,(0-D$104*Covax_Fullyloaded_WasteManagement),0)</f>
        <v>0</v>
      </c>
      <c r="E160" s="556"/>
      <c r="F160" s="556"/>
      <c r="G160" s="556"/>
      <c r="H160" s="556"/>
      <c r="I160" s="300">
        <f>SUM(C160:H160)</f>
        <v>0</v>
      </c>
      <c r="J160" s="620"/>
      <c r="K160" s="543"/>
      <c r="L160" s="543"/>
      <c r="O160" s="567"/>
      <c r="P160" s="564"/>
      <c r="Q160" s="564"/>
      <c r="R160" s="564" t="s">
        <v>4599</v>
      </c>
      <c r="S160" s="564"/>
      <c r="T160" s="564"/>
      <c r="U160" s="564"/>
      <c r="V160" s="564"/>
      <c r="W160" s="564"/>
      <c r="X160" s="564"/>
      <c r="Y160" s="564"/>
      <c r="Z160" s="564"/>
      <c r="AA160" s="564"/>
      <c r="AB160" s="564"/>
      <c r="AC160" s="564"/>
      <c r="AD160" s="564"/>
      <c r="AE160" s="564"/>
      <c r="AF160" s="564"/>
      <c r="AG160" s="564"/>
      <c r="AH160" s="564" t="s">
        <v>13108</v>
      </c>
      <c r="AI160" s="564"/>
      <c r="AJ160" s="564"/>
      <c r="AK160" s="564"/>
      <c r="AL160" s="564"/>
      <c r="AM160" s="564"/>
      <c r="AN160" s="564"/>
      <c r="AO160" s="564"/>
      <c r="AP160" s="564"/>
      <c r="AQ160" s="564"/>
      <c r="AR160" s="564"/>
      <c r="AS160" s="564"/>
      <c r="AT160" s="564"/>
      <c r="AU160" s="564"/>
      <c r="AV160" s="564"/>
      <c r="AW160" s="564"/>
      <c r="AX160" s="564" t="s">
        <v>13109</v>
      </c>
      <c r="AY160" s="564"/>
      <c r="AZ160" s="564"/>
      <c r="BA160" s="564"/>
      <c r="BB160" s="564"/>
      <c r="BC160" s="564"/>
      <c r="BD160" s="564"/>
      <c r="BE160" s="564"/>
      <c r="BF160" s="564"/>
      <c r="BG160" s="564"/>
      <c r="BH160" s="564"/>
      <c r="BI160" s="564"/>
      <c r="BJ160" s="564"/>
      <c r="BK160" s="564"/>
      <c r="BL160" s="564"/>
      <c r="BM160" s="564"/>
      <c r="BN160" s="564" t="s">
        <v>13110</v>
      </c>
      <c r="BO160" s="564"/>
      <c r="BP160" s="564"/>
      <c r="BQ160" s="564"/>
      <c r="BR160" s="564"/>
      <c r="BS160" s="564"/>
      <c r="BT160" s="564"/>
      <c r="BU160" s="564"/>
      <c r="BV160" s="564"/>
      <c r="BW160" s="564"/>
      <c r="BX160" s="564"/>
      <c r="BY160" s="564"/>
      <c r="BZ160" s="564"/>
      <c r="CA160" s="564"/>
      <c r="CB160" s="564"/>
      <c r="CC160" s="564"/>
      <c r="CD160" s="564" t="s">
        <v>13111</v>
      </c>
      <c r="CE160" s="564"/>
      <c r="CF160" s="564"/>
      <c r="CG160" s="564"/>
      <c r="CH160" s="564"/>
      <c r="CI160" s="564"/>
      <c r="CJ160" s="564"/>
      <c r="CK160" s="564"/>
      <c r="CL160" s="564"/>
      <c r="CM160" s="564"/>
      <c r="CN160" s="564"/>
      <c r="CO160" s="564"/>
      <c r="CP160" s="564"/>
      <c r="CQ160" s="564"/>
      <c r="CR160" s="564"/>
      <c r="CS160" s="564"/>
      <c r="CT160" s="564" t="s">
        <v>13112</v>
      </c>
      <c r="CU160" s="564"/>
      <c r="CV160" s="564"/>
      <c r="CW160" s="564"/>
      <c r="CX160" s="564"/>
      <c r="CY160" s="564"/>
      <c r="CZ160" s="564"/>
      <c r="DA160" s="564"/>
      <c r="DB160" s="564"/>
      <c r="DC160" s="564"/>
      <c r="DD160" s="564"/>
      <c r="DE160" s="564"/>
      <c r="DF160" s="564"/>
      <c r="DG160" s="564"/>
      <c r="DH160" s="564"/>
      <c r="DI160" s="564"/>
      <c r="DJ160" s="564" t="s">
        <v>13113</v>
      </c>
      <c r="DK160" s="564"/>
      <c r="DL160" s="564"/>
      <c r="DM160" s="564"/>
      <c r="DN160" s="564"/>
      <c r="DO160" s="564"/>
      <c r="DP160" s="564"/>
      <c r="DQ160" s="564"/>
      <c r="DR160" s="564"/>
      <c r="DS160" s="564"/>
      <c r="DT160" s="564"/>
      <c r="DU160" s="564"/>
      <c r="DV160" s="564"/>
      <c r="DW160" s="564"/>
    </row>
    <row r="161" spans="1:127" s="532" customFormat="1" ht="13.5" thickBot="1" x14ac:dyDescent="0.25">
      <c r="A161" s="85"/>
      <c r="B161" s="190" t="str">
        <f ca="1">IF(OFFSET(R161,0,Lang_Order*Lang__R2)="","",OFFSET(R161,0,Lang_Order*Lang__R2))</f>
        <v>4.2 Waste management</v>
      </c>
      <c r="C161" s="118" t="e">
        <f t="shared" ref="C161:H161" ca="1" si="44">IF(ISBLANK(C163),C162,C163)</f>
        <v>#N/A</v>
      </c>
      <c r="D161" s="118" t="e">
        <f t="shared" ca="1" si="44"/>
        <v>#N/A</v>
      </c>
      <c r="E161" s="118" t="e">
        <f t="shared" ca="1" si="44"/>
        <v>#N/A</v>
      </c>
      <c r="F161" s="118" t="e">
        <f t="shared" ca="1" si="44"/>
        <v>#N/A</v>
      </c>
      <c r="G161" s="118" t="e">
        <f t="shared" ca="1" si="44"/>
        <v>#N/A</v>
      </c>
      <c r="H161" s="118" t="e">
        <f t="shared" ca="1" si="44"/>
        <v>#N/A</v>
      </c>
      <c r="I161" s="282" t="e">
        <f ca="1">SUM(C161:H161)</f>
        <v>#N/A</v>
      </c>
      <c r="J161" s="620" t="s">
        <v>5140</v>
      </c>
      <c r="K161" s="35" t="s">
        <v>2844</v>
      </c>
      <c r="L161" s="35" t="s">
        <v>3188</v>
      </c>
      <c r="O161" s="587"/>
      <c r="P161" s="564"/>
      <c r="Q161" s="564"/>
      <c r="R161" s="564" t="s">
        <v>14166</v>
      </c>
      <c r="S161" s="564"/>
      <c r="T161" s="564"/>
      <c r="U161" s="564"/>
      <c r="V161" s="564"/>
      <c r="W161" s="564"/>
      <c r="X161" s="564"/>
      <c r="Y161" s="564"/>
      <c r="Z161" s="564"/>
      <c r="AA161" s="564"/>
      <c r="AB161" s="564"/>
      <c r="AC161" s="564"/>
      <c r="AD161" s="564"/>
      <c r="AE161" s="564"/>
      <c r="AF161" s="564"/>
      <c r="AG161" s="564"/>
      <c r="AH161" s="564" t="s">
        <v>13054</v>
      </c>
      <c r="AI161" s="564"/>
      <c r="AJ161" s="564"/>
      <c r="AK161" s="564"/>
      <c r="AL161" s="564"/>
      <c r="AM161" s="564"/>
      <c r="AN161" s="564"/>
      <c r="AO161" s="564"/>
      <c r="AP161" s="564"/>
      <c r="AQ161" s="564"/>
      <c r="AR161" s="564"/>
      <c r="AS161" s="564"/>
      <c r="AT161" s="564"/>
      <c r="AU161" s="564"/>
      <c r="AV161" s="564"/>
      <c r="AW161" s="564"/>
      <c r="AX161" s="564" t="s">
        <v>13055</v>
      </c>
      <c r="AY161" s="564"/>
      <c r="AZ161" s="564"/>
      <c r="BA161" s="564"/>
      <c r="BB161" s="564"/>
      <c r="BC161" s="564"/>
      <c r="BD161" s="564"/>
      <c r="BE161" s="564"/>
      <c r="BF161" s="564"/>
      <c r="BG161" s="564"/>
      <c r="BH161" s="564"/>
      <c r="BI161" s="564"/>
      <c r="BJ161" s="564"/>
      <c r="BK161" s="564"/>
      <c r="BL161" s="564"/>
      <c r="BM161" s="564"/>
      <c r="BN161" s="564" t="s">
        <v>13056</v>
      </c>
      <c r="BO161" s="564"/>
      <c r="BP161" s="564"/>
      <c r="BQ161" s="564"/>
      <c r="BR161" s="564"/>
      <c r="BS161" s="564"/>
      <c r="BT161" s="564"/>
      <c r="BU161" s="564"/>
      <c r="BV161" s="564"/>
      <c r="BW161" s="564"/>
      <c r="BX161" s="564"/>
      <c r="BY161" s="564"/>
      <c r="BZ161" s="564"/>
      <c r="CA161" s="564"/>
      <c r="CB161" s="564"/>
      <c r="CC161" s="564"/>
      <c r="CD161" s="564" t="s">
        <v>13057</v>
      </c>
      <c r="CE161" s="564"/>
      <c r="CF161" s="564"/>
      <c r="CG161" s="564"/>
      <c r="CH161" s="564"/>
      <c r="CI161" s="564"/>
      <c r="CJ161" s="564"/>
      <c r="CK161" s="564"/>
      <c r="CL161" s="564"/>
      <c r="CM161" s="564"/>
      <c r="CN161" s="564"/>
      <c r="CO161" s="564"/>
      <c r="CP161" s="564"/>
      <c r="CQ161" s="564"/>
      <c r="CR161" s="564"/>
      <c r="CS161" s="564"/>
      <c r="CT161" s="564" t="s">
        <v>13058</v>
      </c>
      <c r="CU161" s="564"/>
      <c r="CV161" s="564"/>
      <c r="CW161" s="564"/>
      <c r="CX161" s="564"/>
      <c r="CY161" s="564"/>
      <c r="CZ161" s="564"/>
      <c r="DA161" s="564"/>
      <c r="DB161" s="564"/>
      <c r="DC161" s="564"/>
      <c r="DD161" s="564"/>
      <c r="DE161" s="564"/>
      <c r="DF161" s="564"/>
      <c r="DG161" s="564"/>
      <c r="DH161" s="564"/>
      <c r="DI161" s="564"/>
      <c r="DJ161" s="564" t="s">
        <v>13059</v>
      </c>
      <c r="DK161" s="564"/>
      <c r="DL161" s="564"/>
      <c r="DM161" s="564"/>
      <c r="DN161" s="564"/>
      <c r="DO161" s="564"/>
      <c r="DP161" s="564"/>
      <c r="DQ161" s="564"/>
      <c r="DR161" s="564"/>
      <c r="DS161" s="564"/>
      <c r="DT161" s="564"/>
      <c r="DU161" s="564"/>
      <c r="DV161" s="564"/>
      <c r="DW161" s="564"/>
    </row>
    <row r="162" spans="1:127" s="2" customFormat="1" ht="13.5" thickTop="1" x14ac:dyDescent="0.2">
      <c r="A162" s="73"/>
      <c r="B162" s="72" t="str">
        <f ca="1">IF(OFFSET(R162,0,Lang_Order*Lang__R2)="","",OFFSET(R162,0,Lang_Order*Lang__R2))</f>
        <v>CVIC Estimates</v>
      </c>
      <c r="C162" s="199" t="e">
        <f t="shared" ref="C162:H162" ca="1" si="45">SUM(C159:C160)</f>
        <v>#N/A</v>
      </c>
      <c r="D162" s="199" t="e">
        <f t="shared" ca="1" si="45"/>
        <v>#N/A</v>
      </c>
      <c r="E162" s="199" t="e">
        <f t="shared" ca="1" si="45"/>
        <v>#N/A</v>
      </c>
      <c r="F162" s="199" t="e">
        <f t="shared" ca="1" si="45"/>
        <v>#N/A</v>
      </c>
      <c r="G162" s="199" t="e">
        <f t="shared" ca="1" si="45"/>
        <v>#N/A</v>
      </c>
      <c r="H162" s="199" t="e">
        <f t="shared" ca="1" si="45"/>
        <v>#N/A</v>
      </c>
      <c r="I162" s="199" t="e">
        <f ca="1">SUM(C162:H162)</f>
        <v>#N/A</v>
      </c>
      <c r="J162" s="620" t="s">
        <v>5141</v>
      </c>
      <c r="P162" s="564"/>
      <c r="Q162" s="564"/>
      <c r="R162" s="564" t="s">
        <v>12973</v>
      </c>
      <c r="S162" s="564"/>
      <c r="T162" s="564"/>
      <c r="U162" s="564"/>
      <c r="V162" s="564"/>
      <c r="W162" s="564"/>
      <c r="X162" s="564"/>
      <c r="Y162" s="564"/>
      <c r="Z162" s="564"/>
      <c r="AA162" s="564"/>
      <c r="AB162" s="564"/>
      <c r="AC162" s="564"/>
      <c r="AD162" s="564"/>
      <c r="AE162" s="564"/>
      <c r="AF162" s="564"/>
      <c r="AG162" s="564"/>
      <c r="AH162" s="564" t="s">
        <v>12974</v>
      </c>
      <c r="AI162" s="564"/>
      <c r="AJ162" s="564"/>
      <c r="AK162" s="564"/>
      <c r="AL162" s="564"/>
      <c r="AM162" s="564"/>
      <c r="AN162" s="564"/>
      <c r="AO162" s="564"/>
      <c r="AP162" s="564"/>
      <c r="AQ162" s="564"/>
      <c r="AR162" s="564"/>
      <c r="AS162" s="564"/>
      <c r="AT162" s="564"/>
      <c r="AU162" s="564"/>
      <c r="AV162" s="564"/>
      <c r="AW162" s="564"/>
      <c r="AX162" s="564" t="s">
        <v>12968</v>
      </c>
      <c r="AY162" s="564"/>
      <c r="AZ162" s="564"/>
      <c r="BA162" s="564"/>
      <c r="BB162" s="564"/>
      <c r="BC162" s="564"/>
      <c r="BD162" s="564"/>
      <c r="BE162" s="564"/>
      <c r="BF162" s="564"/>
      <c r="BG162" s="564"/>
      <c r="BH162" s="564"/>
      <c r="BI162" s="564"/>
      <c r="BJ162" s="564"/>
      <c r="BK162" s="564"/>
      <c r="BL162" s="564"/>
      <c r="BM162" s="564"/>
      <c r="BN162" s="564" t="s">
        <v>12969</v>
      </c>
      <c r="BO162" s="564"/>
      <c r="BP162" s="564"/>
      <c r="BQ162" s="564"/>
      <c r="BR162" s="564"/>
      <c r="BS162" s="564"/>
      <c r="BT162" s="564"/>
      <c r="BU162" s="564"/>
      <c r="BV162" s="564"/>
      <c r="BW162" s="564"/>
      <c r="BX162" s="564"/>
      <c r="BY162" s="564"/>
      <c r="BZ162" s="564"/>
      <c r="CA162" s="564"/>
      <c r="CB162" s="564"/>
      <c r="CC162" s="564"/>
      <c r="CD162" s="564" t="s">
        <v>12970</v>
      </c>
      <c r="CE162" s="564"/>
      <c r="CF162" s="564"/>
      <c r="CG162" s="564"/>
      <c r="CH162" s="564"/>
      <c r="CI162" s="564"/>
      <c r="CJ162" s="564"/>
      <c r="CK162" s="564"/>
      <c r="CL162" s="564"/>
      <c r="CM162" s="564"/>
      <c r="CN162" s="564"/>
      <c r="CO162" s="564"/>
      <c r="CP162" s="564"/>
      <c r="CQ162" s="564"/>
      <c r="CR162" s="564"/>
      <c r="CS162" s="564"/>
      <c r="CT162" s="564" t="s">
        <v>12971</v>
      </c>
      <c r="CU162" s="564"/>
      <c r="CV162" s="564"/>
      <c r="CW162" s="564"/>
      <c r="CX162" s="564"/>
      <c r="CY162" s="564"/>
      <c r="CZ162" s="564"/>
      <c r="DA162" s="564"/>
      <c r="DB162" s="564"/>
      <c r="DC162" s="564"/>
      <c r="DD162" s="564"/>
      <c r="DE162" s="564"/>
      <c r="DF162" s="564"/>
      <c r="DG162" s="564"/>
      <c r="DH162" s="564"/>
      <c r="DI162" s="564"/>
      <c r="DJ162" s="564" t="s">
        <v>12972</v>
      </c>
      <c r="DK162" s="564"/>
      <c r="DL162" s="564"/>
      <c r="DM162" s="564"/>
      <c r="DN162" s="564"/>
      <c r="DO162" s="564"/>
      <c r="DP162" s="564"/>
      <c r="DQ162" s="564"/>
      <c r="DR162" s="564"/>
      <c r="DS162" s="564"/>
      <c r="DT162" s="564"/>
      <c r="DU162" s="564"/>
      <c r="DV162" s="564"/>
      <c r="DW162" s="564"/>
    </row>
    <row r="163" spans="1:127" s="536" customFormat="1" x14ac:dyDescent="0.2">
      <c r="A163" s="350">
        <v>2</v>
      </c>
      <c r="B163" s="5" t="str">
        <f ca="1">IF(OFFSET(R163,0,Lang_Order*Lang__R2)="","",OFFSET(R163,0,Lang_Order*Lang__R2))</f>
        <v>OVERRIDE HERE if alternative costing used for section above</v>
      </c>
      <c r="C163" s="284"/>
      <c r="D163" s="284"/>
      <c r="E163" s="284"/>
      <c r="F163" s="284"/>
      <c r="G163" s="284"/>
      <c r="H163" s="284"/>
      <c r="I163" s="81" t="str">
        <f>Lang_LeaveBlank</f>
        <v>Leave Blank</v>
      </c>
      <c r="J163" s="620" t="s">
        <v>5142</v>
      </c>
      <c r="K163" s="543"/>
      <c r="L163" s="543"/>
      <c r="O163" s="587"/>
      <c r="P163" s="564"/>
      <c r="Q163" s="564"/>
      <c r="R163" s="564" t="s">
        <v>4591</v>
      </c>
      <c r="S163" s="564"/>
      <c r="T163" s="564"/>
      <c r="U163" s="564"/>
      <c r="V163" s="564"/>
      <c r="W163" s="564"/>
      <c r="X163" s="564"/>
      <c r="Y163" s="564"/>
      <c r="Z163" s="564"/>
      <c r="AA163" s="564"/>
      <c r="AB163" s="564"/>
      <c r="AC163" s="564"/>
      <c r="AD163" s="564"/>
      <c r="AE163" s="564"/>
      <c r="AF163" s="564"/>
      <c r="AG163" s="564"/>
      <c r="AH163" s="564" t="s">
        <v>12949</v>
      </c>
      <c r="AI163" s="564"/>
      <c r="AJ163" s="564"/>
      <c r="AK163" s="564"/>
      <c r="AL163" s="564"/>
      <c r="AM163" s="564"/>
      <c r="AN163" s="564"/>
      <c r="AO163" s="564"/>
      <c r="AP163" s="564"/>
      <c r="AQ163" s="564"/>
      <c r="AR163" s="564"/>
      <c r="AS163" s="564"/>
      <c r="AT163" s="564"/>
      <c r="AU163" s="564"/>
      <c r="AV163" s="564"/>
      <c r="AW163" s="564"/>
      <c r="AX163" s="564" t="s">
        <v>12950</v>
      </c>
      <c r="AY163" s="564"/>
      <c r="AZ163" s="564"/>
      <c r="BA163" s="564"/>
      <c r="BB163" s="564"/>
      <c r="BC163" s="564"/>
      <c r="BD163" s="564"/>
      <c r="BE163" s="564"/>
      <c r="BF163" s="564"/>
      <c r="BG163" s="564"/>
      <c r="BH163" s="564"/>
      <c r="BI163" s="564"/>
      <c r="BJ163" s="564"/>
      <c r="BK163" s="564"/>
      <c r="BL163" s="564"/>
      <c r="BM163" s="564"/>
      <c r="BN163" s="564" t="s">
        <v>12951</v>
      </c>
      <c r="BO163" s="564"/>
      <c r="BP163" s="564"/>
      <c r="BQ163" s="564"/>
      <c r="BR163" s="564"/>
      <c r="BS163" s="564"/>
      <c r="BT163" s="564"/>
      <c r="BU163" s="564"/>
      <c r="BV163" s="564"/>
      <c r="BW163" s="564"/>
      <c r="BX163" s="564"/>
      <c r="BY163" s="564"/>
      <c r="BZ163" s="564"/>
      <c r="CA163" s="564"/>
      <c r="CB163" s="564"/>
      <c r="CC163" s="564"/>
      <c r="CD163" s="564" t="s">
        <v>12952</v>
      </c>
      <c r="CE163" s="564"/>
      <c r="CF163" s="564"/>
      <c r="CG163" s="564"/>
      <c r="CH163" s="564"/>
      <c r="CI163" s="564"/>
      <c r="CJ163" s="564"/>
      <c r="CK163" s="564"/>
      <c r="CL163" s="564"/>
      <c r="CM163" s="564"/>
      <c r="CN163" s="564"/>
      <c r="CO163" s="564"/>
      <c r="CP163" s="564"/>
      <c r="CQ163" s="564"/>
      <c r="CR163" s="564"/>
      <c r="CS163" s="564"/>
      <c r="CT163" s="564" t="s">
        <v>12953</v>
      </c>
      <c r="CU163" s="564"/>
      <c r="CV163" s="564"/>
      <c r="CW163" s="564"/>
      <c r="CX163" s="564"/>
      <c r="CY163" s="564"/>
      <c r="CZ163" s="564"/>
      <c r="DA163" s="564"/>
      <c r="DB163" s="564"/>
      <c r="DC163" s="564"/>
      <c r="DD163" s="564"/>
      <c r="DE163" s="564"/>
      <c r="DF163" s="564"/>
      <c r="DG163" s="564"/>
      <c r="DH163" s="564"/>
      <c r="DI163" s="564"/>
      <c r="DJ163" s="564" t="s">
        <v>12954</v>
      </c>
      <c r="DK163" s="564"/>
      <c r="DL163" s="564"/>
      <c r="DM163" s="564"/>
      <c r="DN163" s="564"/>
      <c r="DO163" s="564"/>
      <c r="DP163" s="564"/>
      <c r="DQ163" s="564"/>
      <c r="DR163" s="564"/>
      <c r="DS163" s="564"/>
      <c r="DT163" s="564"/>
      <c r="DU163" s="564"/>
      <c r="DV163" s="564"/>
      <c r="DW163" s="564"/>
    </row>
    <row r="164" spans="1:127" s="532" customFormat="1" x14ac:dyDescent="0.2">
      <c r="A164" s="85"/>
      <c r="B164" s="23"/>
      <c r="J164" s="620"/>
      <c r="K164" s="543"/>
      <c r="L164" s="543"/>
      <c r="O164" s="567"/>
      <c r="P164" s="564"/>
      <c r="Q164" s="564"/>
      <c r="R164" s="564"/>
      <c r="S164" s="564"/>
      <c r="T164" s="564"/>
      <c r="U164" s="564"/>
      <c r="V164" s="564"/>
      <c r="W164" s="564"/>
      <c r="X164" s="564"/>
      <c r="Y164" s="564"/>
      <c r="Z164" s="564"/>
      <c r="AA164" s="564"/>
      <c r="AB164" s="564"/>
      <c r="AC164" s="564"/>
      <c r="AD164" s="564"/>
      <c r="AE164" s="564"/>
      <c r="AF164" s="564"/>
      <c r="AG164" s="564"/>
      <c r="AH164" s="564"/>
      <c r="AI164" s="564"/>
      <c r="AJ164" s="564"/>
      <c r="AK164" s="564"/>
      <c r="AL164" s="564"/>
      <c r="AM164" s="564"/>
      <c r="AN164" s="564"/>
      <c r="AO164" s="564"/>
      <c r="AP164" s="564"/>
      <c r="AQ164" s="564"/>
      <c r="AR164" s="564"/>
      <c r="AS164" s="564"/>
      <c r="AT164" s="564"/>
      <c r="AU164" s="564"/>
      <c r="AV164" s="564"/>
      <c r="AW164" s="564"/>
      <c r="AX164" s="564"/>
      <c r="AY164" s="564"/>
      <c r="AZ164" s="564"/>
      <c r="BA164" s="564"/>
      <c r="BB164" s="564"/>
      <c r="BC164" s="564"/>
      <c r="BD164" s="564"/>
      <c r="BE164" s="564"/>
      <c r="BF164" s="564"/>
      <c r="BG164" s="564"/>
      <c r="BH164" s="564"/>
      <c r="BI164" s="564"/>
      <c r="BJ164" s="564"/>
      <c r="BK164" s="564"/>
      <c r="BL164" s="564"/>
      <c r="BM164" s="564"/>
      <c r="BN164" s="564"/>
      <c r="BO164" s="564"/>
      <c r="BP164" s="564"/>
      <c r="BQ164" s="564"/>
      <c r="BR164" s="564"/>
      <c r="BS164" s="564"/>
      <c r="BT164" s="564"/>
      <c r="BU164" s="564"/>
      <c r="BV164" s="564"/>
      <c r="BW164" s="564"/>
      <c r="BX164" s="564"/>
      <c r="BY164" s="564"/>
      <c r="BZ164" s="564"/>
      <c r="CA164" s="564"/>
      <c r="CB164" s="564"/>
      <c r="CC164" s="564"/>
      <c r="CD164" s="564"/>
      <c r="CE164" s="564"/>
      <c r="CF164" s="564"/>
      <c r="CG164" s="564"/>
      <c r="CH164" s="564"/>
      <c r="CI164" s="564"/>
      <c r="CJ164" s="564"/>
      <c r="CK164" s="564"/>
      <c r="CL164" s="564"/>
      <c r="CM164" s="564"/>
      <c r="CN164" s="564"/>
      <c r="CO164" s="564"/>
      <c r="CP164" s="564"/>
      <c r="CQ164" s="564"/>
      <c r="CR164" s="564"/>
      <c r="CS164" s="564"/>
      <c r="CT164" s="564"/>
      <c r="CU164" s="564"/>
      <c r="CV164" s="564"/>
      <c r="CW164" s="564"/>
      <c r="CX164" s="564"/>
      <c r="CY164" s="564"/>
      <c r="CZ164" s="564"/>
      <c r="DA164" s="564"/>
      <c r="DB164" s="564"/>
      <c r="DC164" s="564"/>
      <c r="DD164" s="564"/>
      <c r="DE164" s="564"/>
      <c r="DF164" s="564"/>
      <c r="DG164" s="564"/>
      <c r="DH164" s="564"/>
      <c r="DI164" s="564"/>
      <c r="DJ164" s="564"/>
      <c r="DK164" s="564"/>
      <c r="DL164" s="564"/>
      <c r="DM164" s="564"/>
      <c r="DN164" s="564"/>
      <c r="DO164" s="564"/>
      <c r="DP164" s="564"/>
      <c r="DQ164" s="564"/>
      <c r="DR164" s="564"/>
      <c r="DS164" s="564"/>
      <c r="DT164" s="564"/>
      <c r="DU164" s="564"/>
      <c r="DV164" s="564"/>
      <c r="DW164" s="564"/>
    </row>
    <row r="165" spans="1:127" ht="13.5" thickBot="1" x14ac:dyDescent="0.25">
      <c r="A165" s="85"/>
      <c r="B165" s="21" t="str">
        <f ca="1">IF(OFFSET(R165,0,Lang_Order*Lang__R2)="","",OFFSET(R165,0,Lang_Order*Lang__R2))</f>
        <v>4.3 Personal protective equipment (PPE)</v>
      </c>
      <c r="C165" s="118" t="e">
        <f t="shared" ref="C165:H165" ca="1" si="46">IF(ISBLANK(C167),C166,C167)</f>
        <v>#N/A</v>
      </c>
      <c r="D165" s="118" t="e">
        <f t="shared" ca="1" si="46"/>
        <v>#N/A</v>
      </c>
      <c r="E165" s="118" t="e">
        <f t="shared" ca="1" si="46"/>
        <v>#N/A</v>
      </c>
      <c r="F165" s="118" t="e">
        <f t="shared" ca="1" si="46"/>
        <v>#N/A</v>
      </c>
      <c r="G165" s="118" t="e">
        <f t="shared" ca="1" si="46"/>
        <v>#N/A</v>
      </c>
      <c r="H165" s="118" t="e">
        <f t="shared" ca="1" si="46"/>
        <v>#N/A</v>
      </c>
      <c r="I165" s="282" t="e">
        <f ca="1">SUM(C165:H165)</f>
        <v>#N/A</v>
      </c>
      <c r="J165" s="620" t="s">
        <v>5143</v>
      </c>
      <c r="K165" s="35" t="s">
        <v>2844</v>
      </c>
      <c r="L165" s="35" t="s">
        <v>3188</v>
      </c>
      <c r="O165" s="587"/>
      <c r="R165" s="564" t="s">
        <v>14165</v>
      </c>
      <c r="AH165" s="564" t="s">
        <v>13048</v>
      </c>
      <c r="AX165" s="564" t="s">
        <v>13049</v>
      </c>
      <c r="BN165" s="564" t="s">
        <v>13050</v>
      </c>
      <c r="CD165" s="564" t="s">
        <v>13051</v>
      </c>
      <c r="CT165" s="564" t="s">
        <v>13052</v>
      </c>
      <c r="DJ165" s="564" t="s">
        <v>13053</v>
      </c>
    </row>
    <row r="166" spans="1:127" s="2" customFormat="1" ht="13.5" thickTop="1" x14ac:dyDescent="0.2">
      <c r="A166" s="73"/>
      <c r="B166" s="72" t="str">
        <f ca="1">IF(OFFSET(R166,0,Lang_Order*Lang__R2)="","",OFFSET(R166,0,Lang_Order*Lang__R2))</f>
        <v>CVIC Estimates</v>
      </c>
      <c r="C166" s="199" t="e">
        <f ca="1">'B5. Last Mile Delivery'!J45</f>
        <v>#N/A</v>
      </c>
      <c r="D166" s="199" t="e">
        <f ca="1">'B5. Last Mile Delivery'!K45</f>
        <v>#N/A</v>
      </c>
      <c r="E166" s="199" t="e">
        <f ca="1">'B5. Last Mile Delivery'!L45</f>
        <v>#N/A</v>
      </c>
      <c r="F166" s="199" t="e">
        <f ca="1">'B5. Last Mile Delivery'!M45</f>
        <v>#N/A</v>
      </c>
      <c r="G166" s="199" t="e">
        <f ca="1">'B5. Last Mile Delivery'!N45</f>
        <v>#N/A</v>
      </c>
      <c r="H166" s="199" t="e">
        <f ca="1">'B5. Last Mile Delivery'!O45</f>
        <v>#N/A</v>
      </c>
      <c r="I166" s="199" t="e">
        <f ca="1">SUM(C166:H166)</f>
        <v>#N/A</v>
      </c>
      <c r="J166" s="620" t="s">
        <v>5144</v>
      </c>
      <c r="P166" s="564"/>
      <c r="Q166" s="564"/>
      <c r="R166" s="564" t="s">
        <v>12973</v>
      </c>
      <c r="S166" s="564"/>
      <c r="T166" s="564"/>
      <c r="U166" s="564"/>
      <c r="V166" s="564"/>
      <c r="W166" s="564"/>
      <c r="X166" s="564"/>
      <c r="Y166" s="564"/>
      <c r="Z166" s="564"/>
      <c r="AA166" s="564"/>
      <c r="AB166" s="564"/>
      <c r="AC166" s="564"/>
      <c r="AD166" s="564"/>
      <c r="AE166" s="564"/>
      <c r="AF166" s="564"/>
      <c r="AG166" s="564"/>
      <c r="AH166" s="564" t="s">
        <v>12974</v>
      </c>
      <c r="AI166" s="564"/>
      <c r="AJ166" s="564"/>
      <c r="AK166" s="564"/>
      <c r="AL166" s="564"/>
      <c r="AM166" s="564"/>
      <c r="AN166" s="564"/>
      <c r="AO166" s="564"/>
      <c r="AP166" s="564"/>
      <c r="AQ166" s="564"/>
      <c r="AR166" s="564"/>
      <c r="AS166" s="564"/>
      <c r="AT166" s="564"/>
      <c r="AU166" s="564"/>
      <c r="AV166" s="564"/>
      <c r="AW166" s="564"/>
      <c r="AX166" s="564" t="s">
        <v>12968</v>
      </c>
      <c r="AY166" s="564"/>
      <c r="AZ166" s="564"/>
      <c r="BA166" s="564"/>
      <c r="BB166" s="564"/>
      <c r="BC166" s="564"/>
      <c r="BD166" s="564"/>
      <c r="BE166" s="564"/>
      <c r="BF166" s="564"/>
      <c r="BG166" s="564"/>
      <c r="BH166" s="564"/>
      <c r="BI166" s="564"/>
      <c r="BJ166" s="564"/>
      <c r="BK166" s="564"/>
      <c r="BL166" s="564"/>
      <c r="BM166" s="564"/>
      <c r="BN166" s="564" t="s">
        <v>12969</v>
      </c>
      <c r="BO166" s="564"/>
      <c r="BP166" s="564"/>
      <c r="BQ166" s="564"/>
      <c r="BR166" s="564"/>
      <c r="BS166" s="564"/>
      <c r="BT166" s="564"/>
      <c r="BU166" s="564"/>
      <c r="BV166" s="564"/>
      <c r="BW166" s="564"/>
      <c r="BX166" s="564"/>
      <c r="BY166" s="564"/>
      <c r="BZ166" s="564"/>
      <c r="CA166" s="564"/>
      <c r="CB166" s="564"/>
      <c r="CC166" s="564"/>
      <c r="CD166" s="564" t="s">
        <v>12970</v>
      </c>
      <c r="CE166" s="564"/>
      <c r="CF166" s="564"/>
      <c r="CG166" s="564"/>
      <c r="CH166" s="564"/>
      <c r="CI166" s="564"/>
      <c r="CJ166" s="564"/>
      <c r="CK166" s="564"/>
      <c r="CL166" s="564"/>
      <c r="CM166" s="564"/>
      <c r="CN166" s="564"/>
      <c r="CO166" s="564"/>
      <c r="CP166" s="564"/>
      <c r="CQ166" s="564"/>
      <c r="CR166" s="564"/>
      <c r="CS166" s="564"/>
      <c r="CT166" s="564" t="s">
        <v>12971</v>
      </c>
      <c r="CU166" s="564"/>
      <c r="CV166" s="564"/>
      <c r="CW166" s="564"/>
      <c r="CX166" s="564"/>
      <c r="CY166" s="564"/>
      <c r="CZ166" s="564"/>
      <c r="DA166" s="564"/>
      <c r="DB166" s="564"/>
      <c r="DC166" s="564"/>
      <c r="DD166" s="564"/>
      <c r="DE166" s="564"/>
      <c r="DF166" s="564"/>
      <c r="DG166" s="564"/>
      <c r="DH166" s="564"/>
      <c r="DI166" s="564"/>
      <c r="DJ166" s="564" t="s">
        <v>12972</v>
      </c>
      <c r="DK166" s="564"/>
      <c r="DL166" s="564"/>
      <c r="DM166" s="564"/>
      <c r="DN166" s="564"/>
      <c r="DO166" s="564"/>
      <c r="DP166" s="564"/>
      <c r="DQ166" s="564"/>
      <c r="DR166" s="564"/>
      <c r="DS166" s="564"/>
      <c r="DT166" s="564"/>
      <c r="DU166" s="564"/>
      <c r="DV166" s="564"/>
      <c r="DW166" s="564"/>
    </row>
    <row r="167" spans="1:127" s="536" customFormat="1" x14ac:dyDescent="0.2">
      <c r="A167" s="350">
        <v>2</v>
      </c>
      <c r="B167" s="5" t="str">
        <f ca="1">IF(OFFSET(R167,0,Lang_Order*Lang__R2)="","",OFFSET(R167,0,Lang_Order*Lang__R2))</f>
        <v>OVERRIDE HERE if alternative costing used for section above</v>
      </c>
      <c r="C167" s="284"/>
      <c r="D167" s="284"/>
      <c r="E167" s="284"/>
      <c r="F167" s="284"/>
      <c r="G167" s="284"/>
      <c r="H167" s="284"/>
      <c r="I167" s="81" t="str">
        <f>Lang_LeaveBlank</f>
        <v>Leave Blank</v>
      </c>
      <c r="J167" s="620" t="s">
        <v>5145</v>
      </c>
      <c r="K167" s="543"/>
      <c r="L167" s="543"/>
      <c r="O167" s="587"/>
      <c r="P167" s="564"/>
      <c r="Q167" s="564"/>
      <c r="R167" s="564" t="s">
        <v>4591</v>
      </c>
      <c r="S167" s="564"/>
      <c r="T167" s="564"/>
      <c r="U167" s="564"/>
      <c r="V167" s="564"/>
      <c r="W167" s="564"/>
      <c r="X167" s="564"/>
      <c r="Y167" s="564"/>
      <c r="Z167" s="564"/>
      <c r="AA167" s="564"/>
      <c r="AB167" s="564"/>
      <c r="AC167" s="564"/>
      <c r="AD167" s="564"/>
      <c r="AE167" s="564"/>
      <c r="AF167" s="564"/>
      <c r="AG167" s="564"/>
      <c r="AH167" s="564" t="s">
        <v>12949</v>
      </c>
      <c r="AI167" s="564"/>
      <c r="AJ167" s="564"/>
      <c r="AK167" s="564"/>
      <c r="AL167" s="564"/>
      <c r="AM167" s="564"/>
      <c r="AN167" s="564"/>
      <c r="AO167" s="564"/>
      <c r="AP167" s="564"/>
      <c r="AQ167" s="564"/>
      <c r="AR167" s="564"/>
      <c r="AS167" s="564"/>
      <c r="AT167" s="564"/>
      <c r="AU167" s="564"/>
      <c r="AV167" s="564"/>
      <c r="AW167" s="564"/>
      <c r="AX167" s="564" t="s">
        <v>12950</v>
      </c>
      <c r="AY167" s="564"/>
      <c r="AZ167" s="564"/>
      <c r="BA167" s="564"/>
      <c r="BB167" s="564"/>
      <c r="BC167" s="564"/>
      <c r="BD167" s="564"/>
      <c r="BE167" s="564"/>
      <c r="BF167" s="564"/>
      <c r="BG167" s="564"/>
      <c r="BH167" s="564"/>
      <c r="BI167" s="564"/>
      <c r="BJ167" s="564"/>
      <c r="BK167" s="564"/>
      <c r="BL167" s="564"/>
      <c r="BM167" s="564"/>
      <c r="BN167" s="564" t="s">
        <v>12951</v>
      </c>
      <c r="BO167" s="564"/>
      <c r="BP167" s="564"/>
      <c r="BQ167" s="564"/>
      <c r="BR167" s="564"/>
      <c r="BS167" s="564"/>
      <c r="BT167" s="564"/>
      <c r="BU167" s="564"/>
      <c r="BV167" s="564"/>
      <c r="BW167" s="564"/>
      <c r="BX167" s="564"/>
      <c r="BY167" s="564"/>
      <c r="BZ167" s="564"/>
      <c r="CA167" s="564"/>
      <c r="CB167" s="564"/>
      <c r="CC167" s="564"/>
      <c r="CD167" s="564" t="s">
        <v>12952</v>
      </c>
      <c r="CE167" s="564"/>
      <c r="CF167" s="564"/>
      <c r="CG167" s="564"/>
      <c r="CH167" s="564"/>
      <c r="CI167" s="564"/>
      <c r="CJ167" s="564"/>
      <c r="CK167" s="564"/>
      <c r="CL167" s="564"/>
      <c r="CM167" s="564"/>
      <c r="CN167" s="564"/>
      <c r="CO167" s="564"/>
      <c r="CP167" s="564"/>
      <c r="CQ167" s="564"/>
      <c r="CR167" s="564"/>
      <c r="CS167" s="564"/>
      <c r="CT167" s="564" t="s">
        <v>12953</v>
      </c>
      <c r="CU167" s="564"/>
      <c r="CV167" s="564"/>
      <c r="CW167" s="564"/>
      <c r="CX167" s="564"/>
      <c r="CY167" s="564"/>
      <c r="CZ167" s="564"/>
      <c r="DA167" s="564"/>
      <c r="DB167" s="564"/>
      <c r="DC167" s="564"/>
      <c r="DD167" s="564"/>
      <c r="DE167" s="564"/>
      <c r="DF167" s="564"/>
      <c r="DG167" s="564"/>
      <c r="DH167" s="564"/>
      <c r="DI167" s="564"/>
      <c r="DJ167" s="564" t="s">
        <v>12954</v>
      </c>
      <c r="DK167" s="564"/>
      <c r="DL167" s="564"/>
      <c r="DM167" s="564"/>
      <c r="DN167" s="564"/>
      <c r="DO167" s="564"/>
      <c r="DP167" s="564"/>
      <c r="DQ167" s="564"/>
      <c r="DR167" s="564"/>
      <c r="DS167" s="564"/>
      <c r="DT167" s="564"/>
      <c r="DU167" s="564"/>
      <c r="DV167" s="564"/>
      <c r="DW167" s="564"/>
    </row>
    <row r="168" spans="1:127" s="532" customFormat="1" x14ac:dyDescent="0.2">
      <c r="A168" s="85"/>
      <c r="B168" s="23"/>
      <c r="J168" s="620"/>
      <c r="K168" s="543"/>
      <c r="L168" s="543"/>
      <c r="O168" s="567"/>
      <c r="P168" s="564"/>
      <c r="Q168" s="564"/>
      <c r="R168" s="564"/>
      <c r="S168" s="564"/>
      <c r="T168" s="564"/>
      <c r="U168" s="564"/>
      <c r="V168" s="564"/>
      <c r="W168" s="564"/>
      <c r="X168" s="564"/>
      <c r="Y168" s="564"/>
      <c r="Z168" s="564"/>
      <c r="AA168" s="564"/>
      <c r="AB168" s="564"/>
      <c r="AC168" s="564"/>
      <c r="AD168" s="564"/>
      <c r="AE168" s="564"/>
      <c r="AF168" s="564"/>
      <c r="AG168" s="564"/>
      <c r="AH168" s="564"/>
      <c r="AI168" s="564"/>
      <c r="AJ168" s="564"/>
      <c r="AK168" s="564"/>
      <c r="AL168" s="564"/>
      <c r="AM168" s="564"/>
      <c r="AN168" s="564"/>
      <c r="AO168" s="564"/>
      <c r="AP168" s="564"/>
      <c r="AQ168" s="564"/>
      <c r="AR168" s="564"/>
      <c r="AS168" s="564"/>
      <c r="AT168" s="564"/>
      <c r="AU168" s="564"/>
      <c r="AV168" s="564"/>
      <c r="AW168" s="564"/>
      <c r="AX168" s="564"/>
      <c r="AY168" s="564"/>
      <c r="AZ168" s="564"/>
      <c r="BA168" s="564"/>
      <c r="BB168" s="564"/>
      <c r="BC168" s="564"/>
      <c r="BD168" s="564"/>
      <c r="BE168" s="564"/>
      <c r="BF168" s="564"/>
      <c r="BG168" s="564"/>
      <c r="BH168" s="564"/>
      <c r="BI168" s="564"/>
      <c r="BJ168" s="564"/>
      <c r="BK168" s="564"/>
      <c r="BL168" s="564"/>
      <c r="BM168" s="564"/>
      <c r="BN168" s="564"/>
      <c r="BO168" s="564"/>
      <c r="BP168" s="564"/>
      <c r="BQ168" s="564"/>
      <c r="BR168" s="564"/>
      <c r="BS168" s="564"/>
      <c r="BT168" s="564"/>
      <c r="BU168" s="564"/>
      <c r="BV168" s="564"/>
      <c r="BW168" s="564"/>
      <c r="BX168" s="564"/>
      <c r="BY168" s="564"/>
      <c r="BZ168" s="564"/>
      <c r="CA168" s="564"/>
      <c r="CB168" s="564"/>
      <c r="CC168" s="564"/>
      <c r="CD168" s="564"/>
      <c r="CE168" s="564"/>
      <c r="CF168" s="564"/>
      <c r="CG168" s="564"/>
      <c r="CH168" s="564"/>
      <c r="CI168" s="564"/>
      <c r="CJ168" s="564"/>
      <c r="CK168" s="564"/>
      <c r="CL168" s="564"/>
      <c r="CM168" s="564"/>
      <c r="CN168" s="564"/>
      <c r="CO168" s="564"/>
      <c r="CP168" s="564"/>
      <c r="CQ168" s="564"/>
      <c r="CR168" s="564"/>
      <c r="CS168" s="564"/>
      <c r="CT168" s="564"/>
      <c r="CU168" s="564"/>
      <c r="CV168" s="564"/>
      <c r="CW168" s="564"/>
      <c r="CX168" s="564"/>
      <c r="CY168" s="564"/>
      <c r="CZ168" s="564"/>
      <c r="DA168" s="564"/>
      <c r="DB168" s="564"/>
      <c r="DC168" s="564"/>
      <c r="DD168" s="564"/>
      <c r="DE168" s="564"/>
      <c r="DF168" s="564"/>
      <c r="DG168" s="564"/>
      <c r="DH168" s="564"/>
      <c r="DI168" s="564"/>
      <c r="DJ168" s="564"/>
      <c r="DK168" s="564"/>
      <c r="DL168" s="564"/>
      <c r="DM168" s="564"/>
      <c r="DN168" s="564"/>
      <c r="DO168" s="564"/>
      <c r="DP168" s="564"/>
      <c r="DQ168" s="564"/>
      <c r="DR168" s="564"/>
      <c r="DS168" s="564"/>
      <c r="DT168" s="564"/>
      <c r="DU168" s="564"/>
      <c r="DV168" s="564"/>
      <c r="DW168" s="564"/>
    </row>
    <row r="169" spans="1:127" s="463" customFormat="1" x14ac:dyDescent="0.2">
      <c r="A169" s="664"/>
      <c r="B169" s="23" t="str">
        <f ca="1">IF(OFFSET(R169,0,Lang_Order*Lang__R2)="","",OFFSET(R169,0,Lang_Order*Lang__R2))</f>
        <v>Security (Technical Assistance)</v>
      </c>
      <c r="C169" s="300" t="e">
        <f>'A4. INPUT Central Costs'!$J$65*C$74</f>
        <v>#N/A</v>
      </c>
      <c r="D169" s="300" t="e">
        <f>'A4. INPUT Central Costs'!$J$65*D$74</f>
        <v>#N/A</v>
      </c>
      <c r="E169" s="300" t="e">
        <f>'A4. INPUT Central Costs'!$J$65*E$74</f>
        <v>#N/A</v>
      </c>
      <c r="F169" s="300" t="e">
        <f>'A4. INPUT Central Costs'!$J$65*F$74</f>
        <v>#N/A</v>
      </c>
      <c r="G169" s="300" t="e">
        <f>'A4. INPUT Central Costs'!$J$65*G$74</f>
        <v>#N/A</v>
      </c>
      <c r="H169" s="300" t="e">
        <f>'A4. INPUT Central Costs'!$J$65*H$74</f>
        <v>#N/A</v>
      </c>
      <c r="I169" s="300" t="e">
        <f t="shared" ref="I169:I174" si="47">SUM(C169:H169)</f>
        <v>#N/A</v>
      </c>
      <c r="J169" s="620"/>
      <c r="K169" s="543"/>
      <c r="L169" s="543"/>
      <c r="N169" s="12" t="str">
        <f ca="1">IF(OFFSET(AD169,0,Lang_Order*Lang__R2)="","",OFFSET(AD169,0,Lang_Order*Lang__R2))</f>
        <v>Technical Assistance - VIRAF-VIRAT 2.0 - F3</v>
      </c>
      <c r="O169" s="567"/>
      <c r="P169" s="564"/>
      <c r="Q169" s="564"/>
      <c r="R169" s="564" t="s">
        <v>4413</v>
      </c>
      <c r="S169" s="564"/>
      <c r="T169" s="564"/>
      <c r="U169" s="564"/>
      <c r="V169" s="564"/>
      <c r="W169" s="564"/>
      <c r="X169" s="564"/>
      <c r="Y169" s="564"/>
      <c r="Z169" s="564"/>
      <c r="AA169" s="564"/>
      <c r="AB169" s="564"/>
      <c r="AC169" s="564"/>
      <c r="AD169" s="564" t="s">
        <v>4416</v>
      </c>
      <c r="AE169" s="564"/>
      <c r="AF169" s="564"/>
      <c r="AG169" s="564"/>
      <c r="AH169" s="564" t="s">
        <v>5034</v>
      </c>
      <c r="AI169" s="564"/>
      <c r="AJ169" s="564"/>
      <c r="AK169" s="564"/>
      <c r="AL169" s="564"/>
      <c r="AM169" s="564"/>
      <c r="AN169" s="564"/>
      <c r="AO169" s="564"/>
      <c r="AP169" s="564"/>
      <c r="AQ169" s="564"/>
      <c r="AR169" s="564"/>
      <c r="AS169" s="564"/>
      <c r="AT169" s="564" t="s">
        <v>5035</v>
      </c>
      <c r="AU169" s="564"/>
      <c r="AV169" s="564"/>
      <c r="AW169" s="564"/>
      <c r="AX169" s="564" t="s">
        <v>5036</v>
      </c>
      <c r="AY169" s="564"/>
      <c r="AZ169" s="564"/>
      <c r="BA169" s="564"/>
      <c r="BB169" s="564"/>
      <c r="BC169" s="564"/>
      <c r="BD169" s="564"/>
      <c r="BE169" s="564"/>
      <c r="BF169" s="564"/>
      <c r="BG169" s="564"/>
      <c r="BH169" s="564"/>
      <c r="BI169" s="564"/>
      <c r="BJ169" s="564" t="s">
        <v>5037</v>
      </c>
      <c r="BK169" s="564"/>
      <c r="BL169" s="564"/>
      <c r="BM169" s="564"/>
      <c r="BN169" s="564" t="s">
        <v>5038</v>
      </c>
      <c r="BO169" s="564"/>
      <c r="BP169" s="564"/>
      <c r="BQ169" s="564"/>
      <c r="BR169" s="564"/>
      <c r="BS169" s="564"/>
      <c r="BT169" s="564"/>
      <c r="BU169" s="564"/>
      <c r="BV169" s="564"/>
      <c r="BW169" s="564"/>
      <c r="BX169" s="564"/>
      <c r="BY169" s="564"/>
      <c r="BZ169" s="564" t="s">
        <v>5039</v>
      </c>
      <c r="CA169" s="564"/>
      <c r="CB169" s="564"/>
      <c r="CC169" s="564"/>
      <c r="CD169" s="564" t="s">
        <v>5040</v>
      </c>
      <c r="CE169" s="564"/>
      <c r="CF169" s="564"/>
      <c r="CG169" s="564"/>
      <c r="CH169" s="564"/>
      <c r="CI169" s="564"/>
      <c r="CJ169" s="564"/>
      <c r="CK169" s="564"/>
      <c r="CL169" s="564"/>
      <c r="CM169" s="564"/>
      <c r="CN169" s="564"/>
      <c r="CO169" s="564"/>
      <c r="CP169" s="564" t="s">
        <v>5041</v>
      </c>
      <c r="CQ169" s="564"/>
      <c r="CR169" s="564"/>
      <c r="CS169" s="564"/>
      <c r="CT169" s="564" t="s">
        <v>5042</v>
      </c>
      <c r="CU169" s="564"/>
      <c r="CV169" s="564"/>
      <c r="CW169" s="564"/>
      <c r="CX169" s="564"/>
      <c r="CY169" s="564"/>
      <c r="CZ169" s="564"/>
      <c r="DA169" s="564"/>
      <c r="DB169" s="564"/>
      <c r="DC169" s="564"/>
      <c r="DD169" s="564"/>
      <c r="DE169" s="564"/>
      <c r="DF169" s="564" t="s">
        <v>5043</v>
      </c>
      <c r="DG169" s="564"/>
      <c r="DH169" s="564"/>
      <c r="DI169" s="564"/>
      <c r="DJ169" s="564" t="s">
        <v>5044</v>
      </c>
      <c r="DK169" s="564"/>
      <c r="DL169" s="564"/>
      <c r="DM169" s="564"/>
      <c r="DN169" s="564"/>
      <c r="DO169" s="564"/>
      <c r="DP169" s="564"/>
      <c r="DQ169" s="564"/>
      <c r="DR169" s="564"/>
      <c r="DS169" s="564"/>
      <c r="DT169" s="564"/>
      <c r="DU169" s="564"/>
      <c r="DV169" s="564" t="s">
        <v>5045</v>
      </c>
      <c r="DW169" s="564"/>
    </row>
    <row r="170" spans="1:127" x14ac:dyDescent="0.2">
      <c r="A170" s="85"/>
      <c r="B170" s="270" t="str">
        <f ca="1">'B4. Domestic Logistics'!D417</f>
        <v>Security at central store</v>
      </c>
      <c r="C170" s="37" t="e">
        <f>'B4. Domestic Logistics'!J417</f>
        <v>#N/A</v>
      </c>
      <c r="D170" s="37" t="e">
        <f>'B4. Domestic Logistics'!K417</f>
        <v>#N/A</v>
      </c>
      <c r="E170" s="37" t="e">
        <f>'B4. Domestic Logistics'!L417</f>
        <v>#N/A</v>
      </c>
      <c r="F170" s="37" t="e">
        <f>'B4. Domestic Logistics'!M417</f>
        <v>#N/A</v>
      </c>
      <c r="G170" s="37" t="e">
        <f>'B4. Domestic Logistics'!N417</f>
        <v>#N/A</v>
      </c>
      <c r="H170" s="37" t="e">
        <f>'B4. Domestic Logistics'!O417</f>
        <v>#N/A</v>
      </c>
      <c r="I170" s="300" t="e">
        <f t="shared" si="47"/>
        <v>#N/A</v>
      </c>
      <c r="J170" s="620"/>
      <c r="K170" s="543"/>
      <c r="L170" s="543"/>
      <c r="R170" s="564" t="s">
        <v>197</v>
      </c>
    </row>
    <row r="171" spans="1:127" x14ac:dyDescent="0.2">
      <c r="A171" s="85"/>
      <c r="B171" s="270" t="str">
        <f ca="1">'B4. Domestic Logistics'!D419</f>
        <v>Security during vaccine transport from central to regional</v>
      </c>
      <c r="C171" s="37" t="e">
        <f>'B4. Domestic Logistics'!J419</f>
        <v>#N/A</v>
      </c>
      <c r="D171" s="37" t="e">
        <f>'B4. Domestic Logistics'!K419</f>
        <v>#N/A</v>
      </c>
      <c r="E171" s="37" t="e">
        <f>'B4. Domestic Logistics'!L419</f>
        <v>#N/A</v>
      </c>
      <c r="F171" s="37" t="e">
        <f>'B4. Domestic Logistics'!M419</f>
        <v>#N/A</v>
      </c>
      <c r="G171" s="37" t="e">
        <f>'B4. Domestic Logistics'!N419</f>
        <v>#N/A</v>
      </c>
      <c r="H171" s="37" t="e">
        <f>'B4. Domestic Logistics'!O419</f>
        <v>#N/A</v>
      </c>
      <c r="I171" s="300" t="e">
        <f t="shared" si="47"/>
        <v>#N/A</v>
      </c>
      <c r="J171" s="620"/>
      <c r="K171" s="543"/>
      <c r="L171" s="543"/>
      <c r="R171" s="564" t="s">
        <v>197</v>
      </c>
    </row>
    <row r="172" spans="1:127" x14ac:dyDescent="0.2">
      <c r="A172" s="85"/>
      <c r="B172" s="23" t="str">
        <f ca="1">IF(OFFSET(R172,0,Lang_Order*Lang__R2)="","",OFFSET(R172,0,Lang_Order*Lang__R2))</f>
        <v>Local Security</v>
      </c>
      <c r="C172" s="37" t="e">
        <f>'B5. Last Mile Delivery'!J51</f>
        <v>#N/A</v>
      </c>
      <c r="D172" s="37" t="e">
        <f>'B5. Last Mile Delivery'!K51</f>
        <v>#N/A</v>
      </c>
      <c r="E172" s="37" t="e">
        <f>'B5. Last Mile Delivery'!L51</f>
        <v>#N/A</v>
      </c>
      <c r="F172" s="37" t="e">
        <f>'B5. Last Mile Delivery'!M51</f>
        <v>#N/A</v>
      </c>
      <c r="G172" s="37" t="e">
        <f>'B5. Last Mile Delivery'!N51</f>
        <v>#N/A</v>
      </c>
      <c r="H172" s="37" t="e">
        <f>'B5. Last Mile Delivery'!O51</f>
        <v>#N/A</v>
      </c>
      <c r="I172" s="300" t="e">
        <f t="shared" si="47"/>
        <v>#N/A</v>
      </c>
      <c r="J172" s="620"/>
      <c r="K172" s="543"/>
      <c r="L172" s="543"/>
      <c r="R172" s="564" t="s">
        <v>1576</v>
      </c>
      <c r="AH172" s="564" t="s">
        <v>5046</v>
      </c>
      <c r="AX172" s="564" t="s">
        <v>5047</v>
      </c>
      <c r="BN172" s="564" t="s">
        <v>5048</v>
      </c>
      <c r="CD172" s="564" t="s">
        <v>5049</v>
      </c>
      <c r="CT172" s="564" t="s">
        <v>5050</v>
      </c>
      <c r="DJ172" s="564" t="s">
        <v>5051</v>
      </c>
    </row>
    <row r="173" spans="1:127" s="532" customFormat="1" ht="13.5" thickBot="1" x14ac:dyDescent="0.25">
      <c r="A173" s="85"/>
      <c r="B173" s="21" t="str">
        <f ca="1">IF(OFFSET(R173,0,Lang_Order*Lang__R2)="","",OFFSET(R173,0,Lang_Order*Lang__R2))</f>
        <v>4.4 Security</v>
      </c>
      <c r="C173" s="118" t="e">
        <f t="shared" ref="C173:H173" si="48">IF(ISBLANK(C175),C174,C175)</f>
        <v>#N/A</v>
      </c>
      <c r="D173" s="118" t="e">
        <f t="shared" si="48"/>
        <v>#N/A</v>
      </c>
      <c r="E173" s="118" t="e">
        <f t="shared" si="48"/>
        <v>#N/A</v>
      </c>
      <c r="F173" s="118" t="e">
        <f t="shared" si="48"/>
        <v>#N/A</v>
      </c>
      <c r="G173" s="118" t="e">
        <f t="shared" si="48"/>
        <v>#N/A</v>
      </c>
      <c r="H173" s="118" t="e">
        <f t="shared" si="48"/>
        <v>#N/A</v>
      </c>
      <c r="I173" s="282" t="e">
        <f t="shared" si="47"/>
        <v>#N/A</v>
      </c>
      <c r="J173" s="620" t="s">
        <v>5146</v>
      </c>
      <c r="K173" s="35" t="s">
        <v>2844</v>
      </c>
      <c r="L173" s="35" t="s">
        <v>3188</v>
      </c>
      <c r="O173" s="587"/>
      <c r="P173" s="564"/>
      <c r="Q173" s="564"/>
      <c r="R173" s="564" t="s">
        <v>4578</v>
      </c>
      <c r="S173" s="564"/>
      <c r="T173" s="564"/>
      <c r="U173" s="564"/>
      <c r="V173" s="564"/>
      <c r="W173" s="564"/>
      <c r="X173" s="564"/>
      <c r="Y173" s="564"/>
      <c r="Z173" s="564"/>
      <c r="AA173" s="564"/>
      <c r="AB173" s="564"/>
      <c r="AC173" s="564"/>
      <c r="AD173" s="564"/>
      <c r="AE173" s="564"/>
      <c r="AF173" s="564"/>
      <c r="AG173" s="564"/>
      <c r="AH173" s="564" t="s">
        <v>13042</v>
      </c>
      <c r="AI173" s="564"/>
      <c r="AJ173" s="564"/>
      <c r="AK173" s="564"/>
      <c r="AL173" s="564"/>
      <c r="AM173" s="564"/>
      <c r="AN173" s="564"/>
      <c r="AO173" s="564"/>
      <c r="AP173" s="564"/>
      <c r="AQ173" s="564"/>
      <c r="AR173" s="564"/>
      <c r="AS173" s="564"/>
      <c r="AT173" s="564"/>
      <c r="AU173" s="564"/>
      <c r="AV173" s="564"/>
      <c r="AW173" s="564"/>
      <c r="AX173" s="564" t="s">
        <v>13043</v>
      </c>
      <c r="AY173" s="564"/>
      <c r="AZ173" s="564"/>
      <c r="BA173" s="564"/>
      <c r="BB173" s="564"/>
      <c r="BC173" s="564"/>
      <c r="BD173" s="564"/>
      <c r="BE173" s="564"/>
      <c r="BF173" s="564"/>
      <c r="BG173" s="564"/>
      <c r="BH173" s="564"/>
      <c r="BI173" s="564"/>
      <c r="BJ173" s="564"/>
      <c r="BK173" s="564"/>
      <c r="BL173" s="564"/>
      <c r="BM173" s="564"/>
      <c r="BN173" s="564" t="s">
        <v>13044</v>
      </c>
      <c r="BO173" s="564"/>
      <c r="BP173" s="564"/>
      <c r="BQ173" s="564"/>
      <c r="BR173" s="564"/>
      <c r="BS173" s="564"/>
      <c r="BT173" s="564"/>
      <c r="BU173" s="564"/>
      <c r="BV173" s="564"/>
      <c r="BW173" s="564"/>
      <c r="BX173" s="564"/>
      <c r="BY173" s="564"/>
      <c r="BZ173" s="564"/>
      <c r="CA173" s="564"/>
      <c r="CB173" s="564"/>
      <c r="CC173" s="564"/>
      <c r="CD173" s="564" t="s">
        <v>13045</v>
      </c>
      <c r="CE173" s="564"/>
      <c r="CF173" s="564"/>
      <c r="CG173" s="564"/>
      <c r="CH173" s="564"/>
      <c r="CI173" s="564"/>
      <c r="CJ173" s="564"/>
      <c r="CK173" s="564"/>
      <c r="CL173" s="564"/>
      <c r="CM173" s="564"/>
      <c r="CN173" s="564"/>
      <c r="CO173" s="564"/>
      <c r="CP173" s="564"/>
      <c r="CQ173" s="564"/>
      <c r="CR173" s="564"/>
      <c r="CS173" s="564"/>
      <c r="CT173" s="564" t="s">
        <v>13046</v>
      </c>
      <c r="CU173" s="564"/>
      <c r="CV173" s="564"/>
      <c r="CW173" s="564"/>
      <c r="CX173" s="564"/>
      <c r="CY173" s="564"/>
      <c r="CZ173" s="564"/>
      <c r="DA173" s="564"/>
      <c r="DB173" s="564"/>
      <c r="DC173" s="564"/>
      <c r="DD173" s="564"/>
      <c r="DE173" s="564"/>
      <c r="DF173" s="564"/>
      <c r="DG173" s="564"/>
      <c r="DH173" s="564"/>
      <c r="DI173" s="564"/>
      <c r="DJ173" s="564" t="s">
        <v>13047</v>
      </c>
      <c r="DK173" s="564"/>
      <c r="DL173" s="564"/>
      <c r="DM173" s="564"/>
      <c r="DN173" s="564"/>
      <c r="DO173" s="564"/>
      <c r="DP173" s="564"/>
      <c r="DQ173" s="564"/>
      <c r="DR173" s="564"/>
      <c r="DS173" s="564"/>
      <c r="DT173" s="564"/>
      <c r="DU173" s="564"/>
      <c r="DV173" s="564"/>
      <c r="DW173" s="564"/>
    </row>
    <row r="174" spans="1:127" s="2" customFormat="1" ht="13.5" thickTop="1" x14ac:dyDescent="0.2">
      <c r="A174" s="73"/>
      <c r="B174" s="72" t="str">
        <f ca="1">IF(OFFSET(R174,0,Lang_Order*Lang__R2)="","",OFFSET(R174,0,Lang_Order*Lang__R2))</f>
        <v>CVIC Estimates</v>
      </c>
      <c r="C174" s="199" t="e">
        <f t="shared" ref="C174:H174" si="49">SUM(C169:C172)</f>
        <v>#N/A</v>
      </c>
      <c r="D174" s="199" t="e">
        <f t="shared" si="49"/>
        <v>#N/A</v>
      </c>
      <c r="E174" s="199" t="e">
        <f t="shared" si="49"/>
        <v>#N/A</v>
      </c>
      <c r="F174" s="199" t="e">
        <f t="shared" si="49"/>
        <v>#N/A</v>
      </c>
      <c r="G174" s="199" t="e">
        <f t="shared" si="49"/>
        <v>#N/A</v>
      </c>
      <c r="H174" s="199" t="e">
        <f t="shared" si="49"/>
        <v>#N/A</v>
      </c>
      <c r="I174" s="199" t="e">
        <f t="shared" si="47"/>
        <v>#N/A</v>
      </c>
      <c r="J174" s="620" t="s">
        <v>5147</v>
      </c>
      <c r="P174" s="564"/>
      <c r="Q174" s="564"/>
      <c r="R174" s="564" t="s">
        <v>12973</v>
      </c>
      <c r="S174" s="564"/>
      <c r="T174" s="564"/>
      <c r="U174" s="564"/>
      <c r="V174" s="564"/>
      <c r="W174" s="564"/>
      <c r="X174" s="564"/>
      <c r="Y174" s="564"/>
      <c r="Z174" s="564"/>
      <c r="AA174" s="564"/>
      <c r="AB174" s="564"/>
      <c r="AC174" s="564"/>
      <c r="AD174" s="564"/>
      <c r="AE174" s="564"/>
      <c r="AF174" s="564"/>
      <c r="AG174" s="564"/>
      <c r="AH174" s="564" t="s">
        <v>12974</v>
      </c>
      <c r="AI174" s="564"/>
      <c r="AJ174" s="564"/>
      <c r="AK174" s="564"/>
      <c r="AL174" s="564"/>
      <c r="AM174" s="564"/>
      <c r="AN174" s="564"/>
      <c r="AO174" s="564"/>
      <c r="AP174" s="564"/>
      <c r="AQ174" s="564"/>
      <c r="AR174" s="564"/>
      <c r="AS174" s="564"/>
      <c r="AT174" s="564"/>
      <c r="AU174" s="564"/>
      <c r="AV174" s="564"/>
      <c r="AW174" s="564"/>
      <c r="AX174" s="564" t="s">
        <v>12968</v>
      </c>
      <c r="AY174" s="564"/>
      <c r="AZ174" s="564"/>
      <c r="BA174" s="564"/>
      <c r="BB174" s="564"/>
      <c r="BC174" s="564"/>
      <c r="BD174" s="564"/>
      <c r="BE174" s="564"/>
      <c r="BF174" s="564"/>
      <c r="BG174" s="564"/>
      <c r="BH174" s="564"/>
      <c r="BI174" s="564"/>
      <c r="BJ174" s="564"/>
      <c r="BK174" s="564"/>
      <c r="BL174" s="564"/>
      <c r="BM174" s="564"/>
      <c r="BN174" s="564" t="s">
        <v>12969</v>
      </c>
      <c r="BO174" s="564"/>
      <c r="BP174" s="564"/>
      <c r="BQ174" s="564"/>
      <c r="BR174" s="564"/>
      <c r="BS174" s="564"/>
      <c r="BT174" s="564"/>
      <c r="BU174" s="564"/>
      <c r="BV174" s="564"/>
      <c r="BW174" s="564"/>
      <c r="BX174" s="564"/>
      <c r="BY174" s="564"/>
      <c r="BZ174" s="564"/>
      <c r="CA174" s="564"/>
      <c r="CB174" s="564"/>
      <c r="CC174" s="564"/>
      <c r="CD174" s="564" t="s">
        <v>12970</v>
      </c>
      <c r="CE174" s="564"/>
      <c r="CF174" s="564"/>
      <c r="CG174" s="564"/>
      <c r="CH174" s="564"/>
      <c r="CI174" s="564"/>
      <c r="CJ174" s="564"/>
      <c r="CK174" s="564"/>
      <c r="CL174" s="564"/>
      <c r="CM174" s="564"/>
      <c r="CN174" s="564"/>
      <c r="CO174" s="564"/>
      <c r="CP174" s="564"/>
      <c r="CQ174" s="564"/>
      <c r="CR174" s="564"/>
      <c r="CS174" s="564"/>
      <c r="CT174" s="564" t="s">
        <v>12971</v>
      </c>
      <c r="CU174" s="564"/>
      <c r="CV174" s="564"/>
      <c r="CW174" s="564"/>
      <c r="CX174" s="564"/>
      <c r="CY174" s="564"/>
      <c r="CZ174" s="564"/>
      <c r="DA174" s="564"/>
      <c r="DB174" s="564"/>
      <c r="DC174" s="564"/>
      <c r="DD174" s="564"/>
      <c r="DE174" s="564"/>
      <c r="DF174" s="564"/>
      <c r="DG174" s="564"/>
      <c r="DH174" s="564"/>
      <c r="DI174" s="564"/>
      <c r="DJ174" s="564" t="s">
        <v>12972</v>
      </c>
      <c r="DK174" s="564"/>
      <c r="DL174" s="564"/>
      <c r="DM174" s="564"/>
      <c r="DN174" s="564"/>
      <c r="DO174" s="564"/>
      <c r="DP174" s="564"/>
      <c r="DQ174" s="564"/>
      <c r="DR174" s="564"/>
      <c r="DS174" s="564"/>
      <c r="DT174" s="564"/>
      <c r="DU174" s="564"/>
      <c r="DV174" s="564"/>
      <c r="DW174" s="564"/>
    </row>
    <row r="175" spans="1:127" s="536" customFormat="1" x14ac:dyDescent="0.2">
      <c r="A175" s="350">
        <v>2</v>
      </c>
      <c r="B175" s="5" t="str">
        <f ca="1">IF(OFFSET(R175,0,Lang_Order*Lang__R2)="","",OFFSET(R175,0,Lang_Order*Lang__R2))</f>
        <v>OVERRIDE HERE if alternative costing used for section above</v>
      </c>
      <c r="C175" s="284"/>
      <c r="D175" s="284"/>
      <c r="E175" s="284"/>
      <c r="F175" s="284"/>
      <c r="G175" s="284"/>
      <c r="H175" s="284"/>
      <c r="I175" s="81" t="str">
        <f>Lang_LeaveBlank</f>
        <v>Leave Blank</v>
      </c>
      <c r="J175" s="620" t="s">
        <v>5148</v>
      </c>
      <c r="K175" s="543"/>
      <c r="L175" s="543"/>
      <c r="O175" s="587"/>
      <c r="P175" s="564"/>
      <c r="Q175" s="564"/>
      <c r="R175" s="564" t="s">
        <v>4591</v>
      </c>
      <c r="S175" s="564"/>
      <c r="T175" s="564"/>
      <c r="U175" s="564"/>
      <c r="V175" s="564"/>
      <c r="W175" s="564"/>
      <c r="X175" s="564"/>
      <c r="Y175" s="564"/>
      <c r="Z175" s="564"/>
      <c r="AA175" s="564"/>
      <c r="AB175" s="564"/>
      <c r="AC175" s="564"/>
      <c r="AD175" s="564"/>
      <c r="AE175" s="564"/>
      <c r="AF175" s="564"/>
      <c r="AG175" s="564"/>
      <c r="AH175" s="564" t="s">
        <v>12949</v>
      </c>
      <c r="AI175" s="564"/>
      <c r="AJ175" s="564"/>
      <c r="AK175" s="564"/>
      <c r="AL175" s="564"/>
      <c r="AM175" s="564"/>
      <c r="AN175" s="564"/>
      <c r="AO175" s="564"/>
      <c r="AP175" s="564"/>
      <c r="AQ175" s="564"/>
      <c r="AR175" s="564"/>
      <c r="AS175" s="564"/>
      <c r="AT175" s="564"/>
      <c r="AU175" s="564"/>
      <c r="AV175" s="564"/>
      <c r="AW175" s="564"/>
      <c r="AX175" s="564" t="s">
        <v>12950</v>
      </c>
      <c r="AY175" s="564"/>
      <c r="AZ175" s="564"/>
      <c r="BA175" s="564"/>
      <c r="BB175" s="564"/>
      <c r="BC175" s="564"/>
      <c r="BD175" s="564"/>
      <c r="BE175" s="564"/>
      <c r="BF175" s="564"/>
      <c r="BG175" s="564"/>
      <c r="BH175" s="564"/>
      <c r="BI175" s="564"/>
      <c r="BJ175" s="564"/>
      <c r="BK175" s="564"/>
      <c r="BL175" s="564"/>
      <c r="BM175" s="564"/>
      <c r="BN175" s="564" t="s">
        <v>12951</v>
      </c>
      <c r="BO175" s="564"/>
      <c r="BP175" s="564"/>
      <c r="BQ175" s="564"/>
      <c r="BR175" s="564"/>
      <c r="BS175" s="564"/>
      <c r="BT175" s="564"/>
      <c r="BU175" s="564"/>
      <c r="BV175" s="564"/>
      <c r="BW175" s="564"/>
      <c r="BX175" s="564"/>
      <c r="BY175" s="564"/>
      <c r="BZ175" s="564"/>
      <c r="CA175" s="564"/>
      <c r="CB175" s="564"/>
      <c r="CC175" s="564"/>
      <c r="CD175" s="564" t="s">
        <v>12952</v>
      </c>
      <c r="CE175" s="564"/>
      <c r="CF175" s="564"/>
      <c r="CG175" s="564"/>
      <c r="CH175" s="564"/>
      <c r="CI175" s="564"/>
      <c r="CJ175" s="564"/>
      <c r="CK175" s="564"/>
      <c r="CL175" s="564"/>
      <c r="CM175" s="564"/>
      <c r="CN175" s="564"/>
      <c r="CO175" s="564"/>
      <c r="CP175" s="564"/>
      <c r="CQ175" s="564"/>
      <c r="CR175" s="564"/>
      <c r="CS175" s="564"/>
      <c r="CT175" s="564" t="s">
        <v>12953</v>
      </c>
      <c r="CU175" s="564"/>
      <c r="CV175" s="564"/>
      <c r="CW175" s="564"/>
      <c r="CX175" s="564"/>
      <c r="CY175" s="564"/>
      <c r="CZ175" s="564"/>
      <c r="DA175" s="564"/>
      <c r="DB175" s="564"/>
      <c r="DC175" s="564"/>
      <c r="DD175" s="564"/>
      <c r="DE175" s="564"/>
      <c r="DF175" s="564"/>
      <c r="DG175" s="564"/>
      <c r="DH175" s="564"/>
      <c r="DI175" s="564"/>
      <c r="DJ175" s="564" t="s">
        <v>12954</v>
      </c>
      <c r="DK175" s="564"/>
      <c r="DL175" s="564"/>
      <c r="DM175" s="564"/>
      <c r="DN175" s="564"/>
      <c r="DO175" s="564"/>
      <c r="DP175" s="564"/>
      <c r="DQ175" s="564"/>
      <c r="DR175" s="564"/>
      <c r="DS175" s="564"/>
      <c r="DT175" s="564"/>
      <c r="DU175" s="564"/>
      <c r="DV175" s="564"/>
      <c r="DW175" s="564"/>
    </row>
    <row r="176" spans="1:127" s="194" customFormat="1" x14ac:dyDescent="0.2">
      <c r="A176" s="85"/>
      <c r="J176" s="620"/>
      <c r="K176" s="543"/>
      <c r="L176" s="543"/>
      <c r="M176" s="459"/>
      <c r="O176" s="567"/>
      <c r="P176" s="564"/>
      <c r="Q176" s="564"/>
      <c r="R176" s="564"/>
      <c r="S176" s="564"/>
      <c r="T176" s="564"/>
      <c r="U176" s="564"/>
      <c r="V176" s="564"/>
      <c r="W176" s="564"/>
      <c r="X176" s="564"/>
      <c r="Y176" s="564"/>
      <c r="Z176" s="564"/>
      <c r="AA176" s="564"/>
      <c r="AB176" s="564"/>
      <c r="AC176" s="564"/>
      <c r="AD176" s="564"/>
      <c r="AE176" s="564"/>
      <c r="AF176" s="564"/>
      <c r="AG176" s="564"/>
      <c r="AH176" s="564"/>
      <c r="AI176" s="564"/>
      <c r="AJ176" s="564"/>
      <c r="AK176" s="564"/>
      <c r="AL176" s="564"/>
      <c r="AM176" s="564"/>
      <c r="AN176" s="564"/>
      <c r="AO176" s="564"/>
      <c r="AP176" s="564"/>
      <c r="AQ176" s="564"/>
      <c r="AR176" s="564"/>
      <c r="AS176" s="564"/>
      <c r="AT176" s="564"/>
      <c r="AU176" s="564"/>
      <c r="AV176" s="564"/>
      <c r="AW176" s="564"/>
      <c r="AX176" s="564"/>
      <c r="AY176" s="564"/>
      <c r="AZ176" s="564"/>
      <c r="BA176" s="564"/>
      <c r="BB176" s="564"/>
      <c r="BC176" s="564"/>
      <c r="BD176" s="564"/>
      <c r="BE176" s="564"/>
      <c r="BF176" s="564"/>
      <c r="BG176" s="564"/>
      <c r="BH176" s="564"/>
      <c r="BI176" s="564"/>
      <c r="BJ176" s="564"/>
      <c r="BK176" s="564"/>
      <c r="BL176" s="564"/>
      <c r="BM176" s="564"/>
      <c r="BN176" s="564"/>
      <c r="BO176" s="564"/>
      <c r="BP176" s="564"/>
      <c r="BQ176" s="564"/>
      <c r="BR176" s="564"/>
      <c r="BS176" s="564"/>
      <c r="BT176" s="564"/>
      <c r="BU176" s="564"/>
      <c r="BV176" s="564"/>
      <c r="BW176" s="564"/>
      <c r="BX176" s="564"/>
      <c r="BY176" s="564"/>
      <c r="BZ176" s="564"/>
      <c r="CA176" s="564"/>
      <c r="CB176" s="564"/>
      <c r="CC176" s="564"/>
      <c r="CD176" s="564"/>
      <c r="CE176" s="564"/>
      <c r="CF176" s="564"/>
      <c r="CG176" s="564"/>
      <c r="CH176" s="564"/>
      <c r="CI176" s="564"/>
      <c r="CJ176" s="564"/>
      <c r="CK176" s="564"/>
      <c r="CL176" s="564"/>
      <c r="CM176" s="564"/>
      <c r="CN176" s="564"/>
      <c r="CO176" s="564"/>
      <c r="CP176" s="564"/>
      <c r="CQ176" s="564"/>
      <c r="CR176" s="564"/>
      <c r="CS176" s="564"/>
      <c r="CT176" s="564"/>
      <c r="CU176" s="564"/>
      <c r="CV176" s="564"/>
      <c r="CW176" s="564"/>
      <c r="CX176" s="564"/>
      <c r="CY176" s="564"/>
      <c r="CZ176" s="564"/>
      <c r="DA176" s="564"/>
      <c r="DB176" s="564"/>
      <c r="DC176" s="564"/>
      <c r="DD176" s="564"/>
      <c r="DE176" s="564"/>
      <c r="DF176" s="564"/>
      <c r="DG176" s="564"/>
      <c r="DH176" s="564"/>
      <c r="DI176" s="564"/>
      <c r="DJ176" s="564"/>
      <c r="DK176" s="564"/>
      <c r="DL176" s="564"/>
      <c r="DM176" s="564"/>
      <c r="DN176" s="564"/>
      <c r="DO176" s="564"/>
      <c r="DP176" s="564"/>
      <c r="DQ176" s="564"/>
      <c r="DR176" s="564"/>
      <c r="DS176" s="564"/>
      <c r="DT176" s="564"/>
      <c r="DU176" s="564"/>
      <c r="DV176" s="564"/>
      <c r="DW176" s="564"/>
    </row>
    <row r="177" spans="1:127" s="194" customFormat="1" ht="15" x14ac:dyDescent="0.25">
      <c r="B177" s="285" t="str">
        <f ca="1">IF(OFFSET(R177,0,Lang_Order*Lang__R2)="","",OFFSET(R177,0,Lang_Order*Lang__R2))</f>
        <v>R2.1.5 Cold Chain</v>
      </c>
      <c r="C177" s="195" t="e">
        <f t="shared" ref="C177:H177" si="50">SUM(C185,C194)</f>
        <v>#N/A</v>
      </c>
      <c r="D177" s="195" t="e">
        <f t="shared" si="50"/>
        <v>#N/A</v>
      </c>
      <c r="E177" s="195" t="e">
        <f t="shared" si="50"/>
        <v>#N/A</v>
      </c>
      <c r="F177" s="195" t="e">
        <f t="shared" si="50"/>
        <v>#N/A</v>
      </c>
      <c r="G177" s="195" t="e">
        <f t="shared" si="50"/>
        <v>#N/A</v>
      </c>
      <c r="H177" s="195" t="e">
        <f t="shared" si="50"/>
        <v>#N/A</v>
      </c>
      <c r="I177" s="195" t="e">
        <f>SUM(C177:H177)</f>
        <v>#N/A</v>
      </c>
      <c r="J177" s="620" t="s">
        <v>5098</v>
      </c>
      <c r="K177" s="543"/>
      <c r="L177" s="543"/>
      <c r="M177" s="459"/>
      <c r="O177" s="567"/>
      <c r="P177" s="564"/>
      <c r="Q177" s="564"/>
      <c r="R177" s="564" t="s">
        <v>14610</v>
      </c>
      <c r="S177" s="564"/>
      <c r="T177" s="564"/>
      <c r="U177" s="564"/>
      <c r="V177" s="564"/>
      <c r="W177" s="564"/>
      <c r="X177" s="564"/>
      <c r="Y177" s="564"/>
      <c r="Z177" s="564"/>
      <c r="AA177" s="564"/>
      <c r="AB177" s="564"/>
      <c r="AC177" s="564"/>
      <c r="AD177" s="564"/>
      <c r="AE177" s="564"/>
      <c r="AF177" s="564"/>
      <c r="AG177" s="564"/>
      <c r="AH177" s="564" t="s">
        <v>14611</v>
      </c>
      <c r="AI177" s="564"/>
      <c r="AJ177" s="564"/>
      <c r="AK177" s="564"/>
      <c r="AL177" s="564"/>
      <c r="AM177" s="564"/>
      <c r="AN177" s="564"/>
      <c r="AO177" s="564"/>
      <c r="AP177" s="564"/>
      <c r="AQ177" s="564"/>
      <c r="AR177" s="564"/>
      <c r="AS177" s="564"/>
      <c r="AT177" s="564"/>
      <c r="AU177" s="564"/>
      <c r="AV177" s="564"/>
      <c r="AW177" s="564"/>
      <c r="AX177" s="564" t="s">
        <v>14612</v>
      </c>
      <c r="AY177" s="564"/>
      <c r="AZ177" s="564"/>
      <c r="BA177" s="564"/>
      <c r="BB177" s="564"/>
      <c r="BC177" s="564"/>
      <c r="BD177" s="564"/>
      <c r="BE177" s="564"/>
      <c r="BF177" s="564"/>
      <c r="BG177" s="564"/>
      <c r="BH177" s="564"/>
      <c r="BI177" s="564"/>
      <c r="BJ177" s="564"/>
      <c r="BK177" s="564"/>
      <c r="BL177" s="564"/>
      <c r="BM177" s="564"/>
      <c r="BN177" s="564" t="s">
        <v>14613</v>
      </c>
      <c r="BO177" s="564"/>
      <c r="BP177" s="564"/>
      <c r="BQ177" s="564"/>
      <c r="BR177" s="564"/>
      <c r="BS177" s="564"/>
      <c r="BT177" s="564"/>
      <c r="BU177" s="564"/>
      <c r="BV177" s="564"/>
      <c r="BW177" s="564"/>
      <c r="BX177" s="564"/>
      <c r="BY177" s="564"/>
      <c r="BZ177" s="564"/>
      <c r="CA177" s="564"/>
      <c r="CB177" s="564"/>
      <c r="CC177" s="564"/>
      <c r="CD177" s="564" t="s">
        <v>14614</v>
      </c>
      <c r="CE177" s="564"/>
      <c r="CF177" s="564"/>
      <c r="CG177" s="564"/>
      <c r="CH177" s="564"/>
      <c r="CI177" s="564"/>
      <c r="CJ177" s="564"/>
      <c r="CK177" s="564"/>
      <c r="CL177" s="564"/>
      <c r="CM177" s="564"/>
      <c r="CN177" s="564"/>
      <c r="CO177" s="564"/>
      <c r="CP177" s="564"/>
      <c r="CQ177" s="564"/>
      <c r="CR177" s="564"/>
      <c r="CS177" s="564"/>
      <c r="CT177" s="564" t="s">
        <v>14615</v>
      </c>
      <c r="CU177" s="564"/>
      <c r="CV177" s="564"/>
      <c r="CW177" s="564"/>
      <c r="CX177" s="564"/>
      <c r="CY177" s="564"/>
      <c r="CZ177" s="564"/>
      <c r="DA177" s="564"/>
      <c r="DB177" s="564"/>
      <c r="DC177" s="564"/>
      <c r="DD177" s="564"/>
      <c r="DE177" s="564"/>
      <c r="DF177" s="564"/>
      <c r="DG177" s="564"/>
      <c r="DH177" s="564"/>
      <c r="DI177" s="564"/>
      <c r="DJ177" s="564" t="s">
        <v>14572</v>
      </c>
      <c r="DK177" s="564"/>
      <c r="DL177" s="564"/>
      <c r="DM177" s="564"/>
      <c r="DN177" s="564"/>
      <c r="DO177" s="564"/>
      <c r="DP177" s="564"/>
      <c r="DQ177" s="564"/>
      <c r="DR177" s="564"/>
      <c r="DS177" s="564"/>
      <c r="DT177" s="564"/>
      <c r="DU177" s="564"/>
      <c r="DV177" s="564"/>
      <c r="DW177" s="564"/>
    </row>
    <row r="178" spans="1:127" s="281" customFormat="1" ht="15" x14ac:dyDescent="0.25">
      <c r="C178" s="30" t="str">
        <f t="shared" ref="C178:I178" ca="1" si="51">IF(OFFSET(S178,0,Lang_Order*Lang__R2)="","",OFFSET(S178,0,Lang_Order*Lang__R2))</f>
        <v>H1 2021</v>
      </c>
      <c r="D178" s="30" t="str">
        <f t="shared" ca="1" si="51"/>
        <v>H2 2021</v>
      </c>
      <c r="E178" s="30" t="str">
        <f t="shared" ca="1" si="51"/>
        <v>H1 2022</v>
      </c>
      <c r="F178" s="30" t="str">
        <f t="shared" ca="1" si="51"/>
        <v>H2 2022</v>
      </c>
      <c r="G178" s="30" t="str">
        <f t="shared" ca="1" si="51"/>
        <v>H1 2023</v>
      </c>
      <c r="H178" s="30" t="str">
        <f t="shared" ca="1" si="51"/>
        <v>H2 2023</v>
      </c>
      <c r="I178" s="30" t="str">
        <f t="shared" ca="1" si="51"/>
        <v>Total</v>
      </c>
      <c r="J178" s="620"/>
      <c r="K178" s="543"/>
      <c r="L178" s="543"/>
      <c r="M178" s="459"/>
      <c r="O178" s="567"/>
      <c r="P178" s="564"/>
      <c r="Q178" s="564"/>
      <c r="R178" s="564"/>
      <c r="S178" s="564" t="s">
        <v>1597</v>
      </c>
      <c r="T178" s="564" t="s">
        <v>1598</v>
      </c>
      <c r="U178" s="564" t="s">
        <v>1599</v>
      </c>
      <c r="V178" s="564" t="s">
        <v>1600</v>
      </c>
      <c r="W178" s="564" t="s">
        <v>1602</v>
      </c>
      <c r="X178" s="564" t="s">
        <v>1601</v>
      </c>
      <c r="Y178" s="564" t="s">
        <v>1605</v>
      </c>
      <c r="Z178" s="564"/>
      <c r="AA178" s="564"/>
      <c r="AB178" s="564"/>
      <c r="AC178" s="564"/>
      <c r="AD178" s="564"/>
      <c r="AE178" s="564"/>
      <c r="AF178" s="564"/>
      <c r="AG178" s="564"/>
      <c r="AH178" s="564"/>
      <c r="AI178" s="564" t="s">
        <v>4663</v>
      </c>
      <c r="AJ178" s="564" t="s">
        <v>4664</v>
      </c>
      <c r="AK178" s="564" t="s">
        <v>4665</v>
      </c>
      <c r="AL178" s="564" t="s">
        <v>4666</v>
      </c>
      <c r="AM178" s="564" t="s">
        <v>4667</v>
      </c>
      <c r="AN178" s="564" t="s">
        <v>4668</v>
      </c>
      <c r="AO178" s="564" t="s">
        <v>1605</v>
      </c>
      <c r="AP178" s="564"/>
      <c r="AQ178" s="564"/>
      <c r="AR178" s="564"/>
      <c r="AS178" s="564"/>
      <c r="AT178" s="564"/>
      <c r="AU178" s="564"/>
      <c r="AV178" s="564"/>
      <c r="AW178" s="564"/>
      <c r="AX178" s="564"/>
      <c r="AY178" s="564" t="s">
        <v>4670</v>
      </c>
      <c r="AZ178" s="564" t="s">
        <v>4671</v>
      </c>
      <c r="BA178" s="564" t="s">
        <v>4672</v>
      </c>
      <c r="BB178" s="564" t="s">
        <v>4673</v>
      </c>
      <c r="BC178" s="564" t="s">
        <v>4674</v>
      </c>
      <c r="BD178" s="564" t="s">
        <v>4675</v>
      </c>
      <c r="BE178" s="564" t="s">
        <v>4676</v>
      </c>
      <c r="BF178" s="564"/>
      <c r="BG178" s="564"/>
      <c r="BH178" s="564"/>
      <c r="BI178" s="564"/>
      <c r="BJ178" s="564"/>
      <c r="BK178" s="564"/>
      <c r="BL178" s="564"/>
      <c r="BM178" s="564"/>
      <c r="BN178" s="564"/>
      <c r="BO178" s="564" t="s">
        <v>1597</v>
      </c>
      <c r="BP178" s="564" t="s">
        <v>1598</v>
      </c>
      <c r="BQ178" s="564" t="s">
        <v>1599</v>
      </c>
      <c r="BR178" s="564" t="s">
        <v>1600</v>
      </c>
      <c r="BS178" s="564" t="s">
        <v>1602</v>
      </c>
      <c r="BT178" s="564" t="s">
        <v>1601</v>
      </c>
      <c r="BU178" s="564" t="s">
        <v>1605</v>
      </c>
      <c r="BV178" s="564"/>
      <c r="BW178" s="564"/>
      <c r="BX178" s="564"/>
      <c r="BY178" s="564"/>
      <c r="BZ178" s="564"/>
      <c r="CA178" s="564"/>
      <c r="CB178" s="564"/>
      <c r="CC178" s="564"/>
      <c r="CD178" s="564"/>
      <c r="CE178" s="564" t="s">
        <v>4663</v>
      </c>
      <c r="CF178" s="564" t="s">
        <v>4664</v>
      </c>
      <c r="CG178" s="564" t="s">
        <v>4665</v>
      </c>
      <c r="CH178" s="564" t="s">
        <v>4666</v>
      </c>
      <c r="CI178" s="564" t="s">
        <v>4667</v>
      </c>
      <c r="CJ178" s="564" t="s">
        <v>4668</v>
      </c>
      <c r="CK178" s="564" t="s">
        <v>1605</v>
      </c>
      <c r="CL178" s="564"/>
      <c r="CM178" s="564"/>
      <c r="CN178" s="564"/>
      <c r="CO178" s="564"/>
      <c r="CP178" s="564"/>
      <c r="CQ178" s="564"/>
      <c r="CR178" s="564"/>
      <c r="CS178" s="564"/>
      <c r="CT178" s="564"/>
      <c r="CU178" s="564" t="s">
        <v>4680</v>
      </c>
      <c r="CV178" s="564" t="s">
        <v>4681</v>
      </c>
      <c r="CW178" s="564" t="s">
        <v>4682</v>
      </c>
      <c r="CX178" s="564" t="s">
        <v>4683</v>
      </c>
      <c r="CY178" s="564" t="s">
        <v>4684</v>
      </c>
      <c r="CZ178" s="564" t="s">
        <v>4685</v>
      </c>
      <c r="DA178" s="564" t="s">
        <v>4686</v>
      </c>
      <c r="DB178" s="564"/>
      <c r="DC178" s="564"/>
      <c r="DD178" s="564"/>
      <c r="DE178" s="564"/>
      <c r="DF178" s="564"/>
      <c r="DG178" s="564"/>
      <c r="DH178" s="564"/>
      <c r="DI178" s="564"/>
      <c r="DJ178" s="564"/>
      <c r="DK178" s="564" t="s">
        <v>4688</v>
      </c>
      <c r="DL178" s="564" t="s">
        <v>4689</v>
      </c>
      <c r="DM178" s="564" t="s">
        <v>4690</v>
      </c>
      <c r="DN178" s="564" t="s">
        <v>4691</v>
      </c>
      <c r="DO178" s="564" t="s">
        <v>4692</v>
      </c>
      <c r="DP178" s="564" t="s">
        <v>4693</v>
      </c>
      <c r="DQ178" s="564" t="s">
        <v>4694</v>
      </c>
      <c r="DR178" s="564"/>
      <c r="DS178" s="564"/>
      <c r="DT178" s="564"/>
      <c r="DU178" s="564"/>
      <c r="DV178" s="564"/>
      <c r="DW178" s="564"/>
    </row>
    <row r="179" spans="1:127" s="281" customFormat="1" x14ac:dyDescent="0.2">
      <c r="A179" s="663"/>
      <c r="B179" s="23" t="str">
        <f ca="1">'B4. Domestic Logistics'!D133</f>
        <v>Central Cold Storage - Capital Expenditures</v>
      </c>
      <c r="C179" s="300" t="e">
        <f>'B4. Domestic Logistics'!$J$133*C$74</f>
        <v>#N/A</v>
      </c>
      <c r="D179" s="300" t="e">
        <f>'B4. Domestic Logistics'!$J$133*D$74</f>
        <v>#N/A</v>
      </c>
      <c r="E179" s="300" t="e">
        <f>'B4. Domestic Logistics'!$J$133*E$74</f>
        <v>#N/A</v>
      </c>
      <c r="F179" s="300" t="e">
        <f>'B4. Domestic Logistics'!$J$133*F$74</f>
        <v>#N/A</v>
      </c>
      <c r="G179" s="300" t="e">
        <f>'B4. Domestic Logistics'!$J$133*G$74</f>
        <v>#N/A</v>
      </c>
      <c r="H179" s="300" t="e">
        <f>'B4. Domestic Logistics'!$J$133*H$74</f>
        <v>#N/A</v>
      </c>
      <c r="I179" s="300" t="e">
        <f t="shared" ref="I179:I186" si="52">SUM(C179:H179)</f>
        <v>#N/A</v>
      </c>
      <c r="J179" s="620"/>
      <c r="K179" s="543"/>
      <c r="L179" s="543"/>
      <c r="M179" s="463"/>
      <c r="O179" s="567"/>
      <c r="P179" s="564"/>
      <c r="Q179" s="564"/>
      <c r="R179" s="564" t="s">
        <v>197</v>
      </c>
      <c r="S179" s="564"/>
      <c r="T179" s="564"/>
      <c r="U179" s="564"/>
      <c r="V179" s="564"/>
      <c r="W179" s="564"/>
      <c r="X179" s="564"/>
      <c r="Y179" s="564"/>
      <c r="Z179" s="564"/>
      <c r="AA179" s="564"/>
      <c r="AB179" s="564"/>
      <c r="AC179" s="564"/>
      <c r="AD179" s="564"/>
      <c r="AE179" s="564"/>
      <c r="AF179" s="564"/>
      <c r="AG179" s="564"/>
      <c r="AH179" s="564"/>
      <c r="AI179" s="564"/>
      <c r="AJ179" s="564"/>
      <c r="AK179" s="564"/>
      <c r="AL179" s="564"/>
      <c r="AM179" s="564"/>
      <c r="AN179" s="564"/>
      <c r="AO179" s="564"/>
      <c r="AP179" s="564"/>
      <c r="AQ179" s="564"/>
      <c r="AR179" s="564"/>
      <c r="AS179" s="564"/>
      <c r="AT179" s="564"/>
      <c r="AU179" s="564"/>
      <c r="AV179" s="564"/>
      <c r="AW179" s="564"/>
      <c r="AX179" s="564"/>
      <c r="AY179" s="564"/>
      <c r="AZ179" s="564"/>
      <c r="BA179" s="564"/>
      <c r="BB179" s="564"/>
      <c r="BC179" s="564"/>
      <c r="BD179" s="564"/>
      <c r="BE179" s="564"/>
      <c r="BF179" s="564"/>
      <c r="BG179" s="564"/>
      <c r="BH179" s="564"/>
      <c r="BI179" s="564"/>
      <c r="BJ179" s="564"/>
      <c r="BK179" s="564"/>
      <c r="BL179" s="564"/>
      <c r="BM179" s="564"/>
      <c r="BN179" s="564"/>
      <c r="BO179" s="564"/>
      <c r="BP179" s="564"/>
      <c r="BQ179" s="564"/>
      <c r="BR179" s="564"/>
      <c r="BS179" s="564"/>
      <c r="BT179" s="564"/>
      <c r="BU179" s="564"/>
      <c r="BV179" s="564"/>
      <c r="BW179" s="564"/>
      <c r="BX179" s="564"/>
      <c r="BY179" s="564"/>
      <c r="BZ179" s="564"/>
      <c r="CA179" s="564"/>
      <c r="CB179" s="564"/>
      <c r="CC179" s="564"/>
      <c r="CD179" s="564"/>
      <c r="CE179" s="564"/>
      <c r="CF179" s="564"/>
      <c r="CG179" s="564"/>
      <c r="CH179" s="564"/>
      <c r="CI179" s="564"/>
      <c r="CJ179" s="564"/>
      <c r="CK179" s="564"/>
      <c r="CL179" s="564"/>
      <c r="CM179" s="564"/>
      <c r="CN179" s="564"/>
      <c r="CO179" s="564"/>
      <c r="CP179" s="564"/>
      <c r="CQ179" s="564"/>
      <c r="CR179" s="564"/>
      <c r="CS179" s="564"/>
      <c r="CT179" s="564"/>
      <c r="CU179" s="564"/>
      <c r="CV179" s="564"/>
      <c r="CW179" s="564"/>
      <c r="CX179" s="564"/>
      <c r="CY179" s="564"/>
      <c r="CZ179" s="564"/>
      <c r="DA179" s="564"/>
      <c r="DB179" s="564"/>
      <c r="DC179" s="564"/>
      <c r="DD179" s="564"/>
      <c r="DE179" s="564"/>
      <c r="DF179" s="564"/>
      <c r="DG179" s="564"/>
      <c r="DH179" s="564"/>
      <c r="DI179" s="564"/>
      <c r="DJ179" s="564"/>
      <c r="DK179" s="564"/>
      <c r="DL179" s="564"/>
      <c r="DM179" s="564"/>
      <c r="DN179" s="564"/>
      <c r="DO179" s="564"/>
      <c r="DP179" s="564"/>
      <c r="DQ179" s="564"/>
      <c r="DR179" s="564"/>
      <c r="DS179" s="564"/>
      <c r="DT179" s="564"/>
      <c r="DU179" s="564"/>
      <c r="DV179" s="564"/>
      <c r="DW179" s="564"/>
    </row>
    <row r="180" spans="1:127" s="281" customFormat="1" x14ac:dyDescent="0.2">
      <c r="A180" s="663"/>
      <c r="B180" s="23" t="str">
        <f ca="1">'B4. Domestic Logistics'!D181</f>
        <v>Total (All Regions) Cold Storage - Capital Expenditures</v>
      </c>
      <c r="C180" s="300" t="e">
        <f>'B4. Domestic Logistics'!$J$181*C$74</f>
        <v>#N/A</v>
      </c>
      <c r="D180" s="300" t="e">
        <f>'B4. Domestic Logistics'!$J$181*D$74</f>
        <v>#N/A</v>
      </c>
      <c r="E180" s="300" t="e">
        <f>'B4. Domestic Logistics'!$J$181*E$74</f>
        <v>#N/A</v>
      </c>
      <c r="F180" s="300" t="e">
        <f>'B4. Domestic Logistics'!$J$181*F$74</f>
        <v>#N/A</v>
      </c>
      <c r="G180" s="300" t="e">
        <f>'B4. Domestic Logistics'!$J$181*G$74</f>
        <v>#N/A</v>
      </c>
      <c r="H180" s="300" t="e">
        <f>'B4. Domestic Logistics'!$J$181*H$74</f>
        <v>#N/A</v>
      </c>
      <c r="I180" s="300" t="e">
        <f t="shared" si="52"/>
        <v>#N/A</v>
      </c>
      <c r="J180" s="620"/>
      <c r="K180" s="543"/>
      <c r="L180" s="543"/>
      <c r="M180" s="463"/>
      <c r="O180" s="567"/>
      <c r="P180" s="564"/>
      <c r="Q180" s="564"/>
      <c r="R180" s="564" t="s">
        <v>197</v>
      </c>
      <c r="S180" s="564"/>
      <c r="T180" s="564"/>
      <c r="U180" s="564"/>
      <c r="V180" s="564"/>
      <c r="W180" s="564"/>
      <c r="X180" s="564"/>
      <c r="Y180" s="564"/>
      <c r="Z180" s="564"/>
      <c r="AA180" s="564"/>
      <c r="AB180" s="564"/>
      <c r="AC180" s="564"/>
      <c r="AD180" s="564"/>
      <c r="AE180" s="564"/>
      <c r="AF180" s="564"/>
      <c r="AG180" s="564"/>
      <c r="AH180" s="564"/>
      <c r="AI180" s="564"/>
      <c r="AJ180" s="564"/>
      <c r="AK180" s="564"/>
      <c r="AL180" s="564"/>
      <c r="AM180" s="564"/>
      <c r="AN180" s="564"/>
      <c r="AO180" s="564"/>
      <c r="AP180" s="564"/>
      <c r="AQ180" s="564"/>
      <c r="AR180" s="564"/>
      <c r="AS180" s="564"/>
      <c r="AT180" s="564"/>
      <c r="AU180" s="564"/>
      <c r="AV180" s="564"/>
      <c r="AW180" s="564"/>
      <c r="AX180" s="564"/>
      <c r="AY180" s="564"/>
      <c r="AZ180" s="564"/>
      <c r="BA180" s="564"/>
      <c r="BB180" s="564"/>
      <c r="BC180" s="564"/>
      <c r="BD180" s="564"/>
      <c r="BE180" s="564"/>
      <c r="BF180" s="564"/>
      <c r="BG180" s="564"/>
      <c r="BH180" s="564"/>
      <c r="BI180" s="564"/>
      <c r="BJ180" s="564"/>
      <c r="BK180" s="564"/>
      <c r="BL180" s="564"/>
      <c r="BM180" s="564"/>
      <c r="BN180" s="564"/>
      <c r="BO180" s="564"/>
      <c r="BP180" s="564"/>
      <c r="BQ180" s="564"/>
      <c r="BR180" s="564"/>
      <c r="BS180" s="564"/>
      <c r="BT180" s="564"/>
      <c r="BU180" s="564"/>
      <c r="BV180" s="564"/>
      <c r="BW180" s="564"/>
      <c r="BX180" s="564"/>
      <c r="BY180" s="564"/>
      <c r="BZ180" s="564"/>
      <c r="CA180" s="564"/>
      <c r="CB180" s="564"/>
      <c r="CC180" s="564"/>
      <c r="CD180" s="564"/>
      <c r="CE180" s="564"/>
      <c r="CF180" s="564"/>
      <c r="CG180" s="564"/>
      <c r="CH180" s="564"/>
      <c r="CI180" s="564"/>
      <c r="CJ180" s="564"/>
      <c r="CK180" s="564"/>
      <c r="CL180" s="564"/>
      <c r="CM180" s="564"/>
      <c r="CN180" s="564"/>
      <c r="CO180" s="564"/>
      <c r="CP180" s="564"/>
      <c r="CQ180" s="564"/>
      <c r="CR180" s="564"/>
      <c r="CS180" s="564"/>
      <c r="CT180" s="564"/>
      <c r="CU180" s="564"/>
      <c r="CV180" s="564"/>
      <c r="CW180" s="564"/>
      <c r="CX180" s="564"/>
      <c r="CY180" s="564"/>
      <c r="CZ180" s="564"/>
      <c r="DA180" s="564"/>
      <c r="DB180" s="564"/>
      <c r="DC180" s="564"/>
      <c r="DD180" s="564"/>
      <c r="DE180" s="564"/>
      <c r="DF180" s="564"/>
      <c r="DG180" s="564"/>
      <c r="DH180" s="564"/>
      <c r="DI180" s="564"/>
      <c r="DJ180" s="564"/>
      <c r="DK180" s="564"/>
      <c r="DL180" s="564"/>
      <c r="DM180" s="564"/>
      <c r="DN180" s="564"/>
      <c r="DO180" s="564"/>
      <c r="DP180" s="564"/>
      <c r="DQ180" s="564"/>
      <c r="DR180" s="564"/>
      <c r="DS180" s="564"/>
      <c r="DT180" s="564"/>
      <c r="DU180" s="564"/>
      <c r="DV180" s="564"/>
      <c r="DW180" s="564"/>
    </row>
    <row r="181" spans="1:127" s="281" customFormat="1" x14ac:dyDescent="0.2">
      <c r="A181" s="663"/>
      <c r="B181" s="23" t="str">
        <f ca="1">'B4. Domestic Logistics'!D252</f>
        <v>Total (All Districts) Cold Storage - Capital Expenditures</v>
      </c>
      <c r="C181" s="300" t="e">
        <f>'B4. Domestic Logistics'!$J$252*C$74</f>
        <v>#N/A</v>
      </c>
      <c r="D181" s="300" t="e">
        <f>'B4. Domestic Logistics'!$J$252*D$74</f>
        <v>#N/A</v>
      </c>
      <c r="E181" s="300" t="e">
        <f>'B4. Domestic Logistics'!$J$252*E$74</f>
        <v>#N/A</v>
      </c>
      <c r="F181" s="300" t="e">
        <f>'B4. Domestic Logistics'!$J$252*F$74</f>
        <v>#N/A</v>
      </c>
      <c r="G181" s="300" t="e">
        <f>'B4. Domestic Logistics'!$J$252*G$74</f>
        <v>#N/A</v>
      </c>
      <c r="H181" s="300" t="e">
        <f>'B4. Domestic Logistics'!$J$252*H$74</f>
        <v>#N/A</v>
      </c>
      <c r="I181" s="300" t="e">
        <f t="shared" si="52"/>
        <v>#N/A</v>
      </c>
      <c r="J181" s="620"/>
      <c r="K181" s="543"/>
      <c r="L181" s="543"/>
      <c r="M181" s="463"/>
      <c r="O181" s="567"/>
      <c r="P181" s="564"/>
      <c r="Q181" s="564"/>
      <c r="R181" s="564" t="s">
        <v>197</v>
      </c>
      <c r="S181" s="564"/>
      <c r="T181" s="564"/>
      <c r="U181" s="564"/>
      <c r="V181" s="564"/>
      <c r="W181" s="564"/>
      <c r="X181" s="564"/>
      <c r="Y181" s="564"/>
      <c r="Z181" s="564"/>
      <c r="AA181" s="564"/>
      <c r="AB181" s="564"/>
      <c r="AC181" s="564"/>
      <c r="AD181" s="564"/>
      <c r="AE181" s="564"/>
      <c r="AF181" s="564"/>
      <c r="AG181" s="564"/>
      <c r="AH181" s="564"/>
      <c r="AI181" s="564"/>
      <c r="AJ181" s="564"/>
      <c r="AK181" s="564"/>
      <c r="AL181" s="564"/>
      <c r="AM181" s="564"/>
      <c r="AN181" s="564"/>
      <c r="AO181" s="564"/>
      <c r="AP181" s="564"/>
      <c r="AQ181" s="564"/>
      <c r="AR181" s="564"/>
      <c r="AS181" s="564"/>
      <c r="AT181" s="564"/>
      <c r="AU181" s="564"/>
      <c r="AV181" s="564"/>
      <c r="AW181" s="564"/>
      <c r="AX181" s="564"/>
      <c r="AY181" s="564"/>
      <c r="AZ181" s="564"/>
      <c r="BA181" s="564"/>
      <c r="BB181" s="564"/>
      <c r="BC181" s="564"/>
      <c r="BD181" s="564"/>
      <c r="BE181" s="564"/>
      <c r="BF181" s="564"/>
      <c r="BG181" s="564"/>
      <c r="BH181" s="564"/>
      <c r="BI181" s="564"/>
      <c r="BJ181" s="564"/>
      <c r="BK181" s="564"/>
      <c r="BL181" s="564"/>
      <c r="BM181" s="564"/>
      <c r="BN181" s="564"/>
      <c r="BO181" s="564"/>
      <c r="BP181" s="564"/>
      <c r="BQ181" s="564"/>
      <c r="BR181" s="564"/>
      <c r="BS181" s="564"/>
      <c r="BT181" s="564"/>
      <c r="BU181" s="564"/>
      <c r="BV181" s="564"/>
      <c r="BW181" s="564"/>
      <c r="BX181" s="564"/>
      <c r="BY181" s="564"/>
      <c r="BZ181" s="564"/>
      <c r="CA181" s="564"/>
      <c r="CB181" s="564"/>
      <c r="CC181" s="564"/>
      <c r="CD181" s="564"/>
      <c r="CE181" s="564"/>
      <c r="CF181" s="564"/>
      <c r="CG181" s="564"/>
      <c r="CH181" s="564"/>
      <c r="CI181" s="564"/>
      <c r="CJ181" s="564"/>
      <c r="CK181" s="564"/>
      <c r="CL181" s="564"/>
      <c r="CM181" s="564"/>
      <c r="CN181" s="564"/>
      <c r="CO181" s="564"/>
      <c r="CP181" s="564"/>
      <c r="CQ181" s="564"/>
      <c r="CR181" s="564"/>
      <c r="CS181" s="564"/>
      <c r="CT181" s="564"/>
      <c r="CU181" s="564"/>
      <c r="CV181" s="564"/>
      <c r="CW181" s="564"/>
      <c r="CX181" s="564"/>
      <c r="CY181" s="564"/>
      <c r="CZ181" s="564"/>
      <c r="DA181" s="564"/>
      <c r="DB181" s="564"/>
      <c r="DC181" s="564"/>
      <c r="DD181" s="564"/>
      <c r="DE181" s="564"/>
      <c r="DF181" s="564"/>
      <c r="DG181" s="564"/>
      <c r="DH181" s="564"/>
      <c r="DI181" s="564"/>
      <c r="DJ181" s="564"/>
      <c r="DK181" s="564"/>
      <c r="DL181" s="564"/>
      <c r="DM181" s="564"/>
      <c r="DN181" s="564"/>
      <c r="DO181" s="564"/>
      <c r="DP181" s="564"/>
      <c r="DQ181" s="564"/>
      <c r="DR181" s="564"/>
      <c r="DS181" s="564"/>
      <c r="DT181" s="564"/>
      <c r="DU181" s="564"/>
      <c r="DV181" s="564"/>
      <c r="DW181" s="564"/>
    </row>
    <row r="182" spans="1:127" s="281" customFormat="1" x14ac:dyDescent="0.2">
      <c r="A182" s="663"/>
      <c r="B182" s="335" t="str">
        <f ca="1">'B4. Domestic Logistics'!D316</f>
        <v>Total (All Fixed Sites) Cold Storage - Capital Expenditures</v>
      </c>
      <c r="C182" s="300" t="e">
        <f>'B4. Domestic Logistics'!$J$316*C$74</f>
        <v>#N/A</v>
      </c>
      <c r="D182" s="300" t="e">
        <f>'B4. Domestic Logistics'!$J$316*D$74</f>
        <v>#N/A</v>
      </c>
      <c r="E182" s="300" t="e">
        <f>'B4. Domestic Logistics'!$J$316*E$74</f>
        <v>#N/A</v>
      </c>
      <c r="F182" s="300" t="e">
        <f>'B4. Domestic Logistics'!$J$316*F$74</f>
        <v>#N/A</v>
      </c>
      <c r="G182" s="300" t="e">
        <f>'B4. Domestic Logistics'!$J$316*G$74</f>
        <v>#N/A</v>
      </c>
      <c r="H182" s="300" t="e">
        <f>'B4. Domestic Logistics'!$J$316*H$74</f>
        <v>#N/A</v>
      </c>
      <c r="I182" s="300" t="e">
        <f t="shared" si="52"/>
        <v>#N/A</v>
      </c>
      <c r="J182" s="620"/>
      <c r="K182" s="543"/>
      <c r="L182" s="543"/>
      <c r="M182" s="463"/>
      <c r="O182" s="567"/>
      <c r="P182" s="564"/>
      <c r="Q182" s="564"/>
      <c r="R182" s="564" t="s">
        <v>197</v>
      </c>
      <c r="S182" s="564"/>
      <c r="T182" s="564"/>
      <c r="U182" s="564"/>
      <c r="V182" s="564"/>
      <c r="W182" s="564"/>
      <c r="X182" s="564"/>
      <c r="Y182" s="564"/>
      <c r="Z182" s="564"/>
      <c r="AA182" s="564"/>
      <c r="AB182" s="564"/>
      <c r="AC182" s="564"/>
      <c r="AD182" s="564"/>
      <c r="AE182" s="564"/>
      <c r="AF182" s="564"/>
      <c r="AG182" s="564"/>
      <c r="AH182" s="564"/>
      <c r="AI182" s="564"/>
      <c r="AJ182" s="564"/>
      <c r="AK182" s="564"/>
      <c r="AL182" s="564"/>
      <c r="AM182" s="564"/>
      <c r="AN182" s="564"/>
      <c r="AO182" s="564"/>
      <c r="AP182" s="564"/>
      <c r="AQ182" s="564"/>
      <c r="AR182" s="564"/>
      <c r="AS182" s="564"/>
      <c r="AT182" s="564"/>
      <c r="AU182" s="564"/>
      <c r="AV182" s="564"/>
      <c r="AW182" s="564"/>
      <c r="AX182" s="564"/>
      <c r="AY182" s="564"/>
      <c r="AZ182" s="564"/>
      <c r="BA182" s="564"/>
      <c r="BB182" s="564"/>
      <c r="BC182" s="564"/>
      <c r="BD182" s="564"/>
      <c r="BE182" s="564"/>
      <c r="BF182" s="564"/>
      <c r="BG182" s="564"/>
      <c r="BH182" s="564"/>
      <c r="BI182" s="564"/>
      <c r="BJ182" s="564"/>
      <c r="BK182" s="564"/>
      <c r="BL182" s="564"/>
      <c r="BM182" s="564"/>
      <c r="BN182" s="564"/>
      <c r="BO182" s="564"/>
      <c r="BP182" s="564"/>
      <c r="BQ182" s="564"/>
      <c r="BR182" s="564"/>
      <c r="BS182" s="564"/>
      <c r="BT182" s="564"/>
      <c r="BU182" s="564"/>
      <c r="BV182" s="564"/>
      <c r="BW182" s="564"/>
      <c r="BX182" s="564"/>
      <c r="BY182" s="564"/>
      <c r="BZ182" s="564"/>
      <c r="CA182" s="564"/>
      <c r="CB182" s="564"/>
      <c r="CC182" s="564"/>
      <c r="CD182" s="564"/>
      <c r="CE182" s="564"/>
      <c r="CF182" s="564"/>
      <c r="CG182" s="564"/>
      <c r="CH182" s="564"/>
      <c r="CI182" s="564"/>
      <c r="CJ182" s="564"/>
      <c r="CK182" s="564"/>
      <c r="CL182" s="564"/>
      <c r="CM182" s="564"/>
      <c r="CN182" s="564"/>
      <c r="CO182" s="564"/>
      <c r="CP182" s="564"/>
      <c r="CQ182" s="564"/>
      <c r="CR182" s="564"/>
      <c r="CS182" s="564"/>
      <c r="CT182" s="564"/>
      <c r="CU182" s="564"/>
      <c r="CV182" s="564"/>
      <c r="CW182" s="564"/>
      <c r="CX182" s="564"/>
      <c r="CY182" s="564"/>
      <c r="CZ182" s="564"/>
      <c r="DA182" s="564"/>
      <c r="DB182" s="564"/>
      <c r="DC182" s="564"/>
      <c r="DD182" s="564"/>
      <c r="DE182" s="564"/>
      <c r="DF182" s="564"/>
      <c r="DG182" s="564"/>
      <c r="DH182" s="564"/>
      <c r="DI182" s="564"/>
      <c r="DJ182" s="564"/>
      <c r="DK182" s="564"/>
      <c r="DL182" s="564"/>
      <c r="DM182" s="564"/>
      <c r="DN182" s="564"/>
      <c r="DO182" s="564"/>
      <c r="DP182" s="564"/>
      <c r="DQ182" s="564"/>
      <c r="DR182" s="564"/>
      <c r="DS182" s="564"/>
      <c r="DT182" s="564"/>
      <c r="DU182" s="564"/>
      <c r="DV182" s="564"/>
      <c r="DW182" s="564"/>
    </row>
    <row r="183" spans="1:127" s="499" customFormat="1" x14ac:dyDescent="0.2">
      <c r="A183" s="663"/>
      <c r="B183" s="23" t="str">
        <f ca="1">'B4. Domestic Logistics'!D359</f>
        <v>International shipment</v>
      </c>
      <c r="C183" s="300" t="e">
        <f>'B4. Domestic Logistics'!$J$359*C$74</f>
        <v>#N/A</v>
      </c>
      <c r="D183" s="300" t="e">
        <f>'B4. Domestic Logistics'!$J$359*D$74</f>
        <v>#N/A</v>
      </c>
      <c r="E183" s="300" t="e">
        <f>'B4. Domestic Logistics'!$J$359*E$74</f>
        <v>#N/A</v>
      </c>
      <c r="F183" s="300" t="e">
        <f>'B4. Domestic Logistics'!$J$359*F$74</f>
        <v>#N/A</v>
      </c>
      <c r="G183" s="300" t="e">
        <f>'B4. Domestic Logistics'!$J$359*G$74</f>
        <v>#N/A</v>
      </c>
      <c r="H183" s="300" t="e">
        <f>'B4. Domestic Logistics'!$J$359*H$74</f>
        <v>#N/A</v>
      </c>
      <c r="I183" s="300" t="e">
        <f t="shared" si="52"/>
        <v>#N/A</v>
      </c>
      <c r="J183" s="620"/>
      <c r="K183" s="543"/>
      <c r="L183" s="543"/>
      <c r="O183" s="567"/>
      <c r="P183" s="564"/>
      <c r="Q183" s="564"/>
      <c r="R183" s="564"/>
      <c r="S183" s="564"/>
      <c r="T183" s="564"/>
      <c r="U183" s="564"/>
      <c r="V183" s="564"/>
      <c r="W183" s="564"/>
      <c r="X183" s="564"/>
      <c r="Y183" s="564"/>
      <c r="Z183" s="564"/>
      <c r="AA183" s="564"/>
      <c r="AB183" s="564"/>
      <c r="AC183" s="564"/>
      <c r="AD183" s="564"/>
      <c r="AE183" s="564"/>
      <c r="AF183" s="564"/>
      <c r="AG183" s="564"/>
      <c r="AH183" s="564"/>
      <c r="AI183" s="564"/>
      <c r="AJ183" s="564"/>
      <c r="AK183" s="564"/>
      <c r="AL183" s="564"/>
      <c r="AM183" s="564"/>
      <c r="AN183" s="564"/>
      <c r="AO183" s="564"/>
      <c r="AP183" s="564"/>
      <c r="AQ183" s="564"/>
      <c r="AR183" s="564"/>
      <c r="AS183" s="564"/>
      <c r="AT183" s="564"/>
      <c r="AU183" s="564"/>
      <c r="AV183" s="564"/>
      <c r="AW183" s="564"/>
      <c r="AX183" s="564"/>
      <c r="AY183" s="564"/>
      <c r="AZ183" s="564"/>
      <c r="BA183" s="564"/>
      <c r="BB183" s="564"/>
      <c r="BC183" s="564"/>
      <c r="BD183" s="564"/>
      <c r="BE183" s="564"/>
      <c r="BF183" s="564"/>
      <c r="BG183" s="564"/>
      <c r="BH183" s="564"/>
      <c r="BI183" s="564"/>
      <c r="BJ183" s="564"/>
      <c r="BK183" s="564"/>
      <c r="BL183" s="564"/>
      <c r="BM183" s="564"/>
      <c r="BN183" s="564"/>
      <c r="BO183" s="564"/>
      <c r="BP183" s="564"/>
      <c r="BQ183" s="564"/>
      <c r="BR183" s="564"/>
      <c r="BS183" s="564"/>
      <c r="BT183" s="564"/>
      <c r="BU183" s="564"/>
      <c r="BV183" s="564"/>
      <c r="BW183" s="564"/>
      <c r="BX183" s="564"/>
      <c r="BY183" s="564"/>
      <c r="BZ183" s="564"/>
      <c r="CA183" s="564"/>
      <c r="CB183" s="564"/>
      <c r="CC183" s="564"/>
      <c r="CD183" s="564"/>
      <c r="CE183" s="564"/>
      <c r="CF183" s="564"/>
      <c r="CG183" s="564"/>
      <c r="CH183" s="564"/>
      <c r="CI183" s="564"/>
      <c r="CJ183" s="564"/>
      <c r="CK183" s="564"/>
      <c r="CL183" s="564"/>
      <c r="CM183" s="564"/>
      <c r="CN183" s="564"/>
      <c r="CO183" s="564"/>
      <c r="CP183" s="564"/>
      <c r="CQ183" s="564"/>
      <c r="CR183" s="564"/>
      <c r="CS183" s="564"/>
      <c r="CT183" s="564"/>
      <c r="CU183" s="564"/>
      <c r="CV183" s="564"/>
      <c r="CW183" s="564"/>
      <c r="CX183" s="564"/>
      <c r="CY183" s="564"/>
      <c r="CZ183" s="564"/>
      <c r="DA183" s="564"/>
      <c r="DB183" s="564"/>
      <c r="DC183" s="564"/>
      <c r="DD183" s="564"/>
      <c r="DE183" s="564"/>
      <c r="DF183" s="564"/>
      <c r="DG183" s="564"/>
      <c r="DH183" s="564"/>
      <c r="DI183" s="564"/>
      <c r="DJ183" s="564"/>
      <c r="DK183" s="564"/>
      <c r="DL183" s="564"/>
      <c r="DM183" s="564"/>
      <c r="DN183" s="564"/>
      <c r="DO183" s="564"/>
      <c r="DP183" s="564"/>
      <c r="DQ183" s="564"/>
      <c r="DR183" s="564"/>
      <c r="DS183" s="564"/>
      <c r="DT183" s="564"/>
      <c r="DU183" s="564"/>
      <c r="DV183" s="564"/>
      <c r="DW183" s="564"/>
    </row>
    <row r="184" spans="1:127" s="543" customFormat="1" x14ac:dyDescent="0.2">
      <c r="A184" s="663"/>
      <c r="B184" s="23" t="str">
        <f ca="1">IF(OFFSET(R184,0,Lang_Order*Lang__R2)="","",OFFSET(R184,0,Lang_Order*Lang__R2))</f>
        <v>Cold boxes, vaccine carriers, and ice packs</v>
      </c>
      <c r="C184" s="300" t="e">
        <f ca="1">'B2. Vaccines and Supplies'!$Q$115*C$74</f>
        <v>#N/A</v>
      </c>
      <c r="D184" s="300" t="e">
        <f ca="1">'B2. Vaccines and Supplies'!$Q$115*D$74</f>
        <v>#N/A</v>
      </c>
      <c r="E184" s="300" t="e">
        <f ca="1">'B2. Vaccines and Supplies'!$Q$115*E$74</f>
        <v>#N/A</v>
      </c>
      <c r="F184" s="300" t="e">
        <f ca="1">'B2. Vaccines and Supplies'!$Q$115*F$74</f>
        <v>#N/A</v>
      </c>
      <c r="G184" s="300" t="e">
        <f ca="1">'B2. Vaccines and Supplies'!$Q$115*G$74</f>
        <v>#N/A</v>
      </c>
      <c r="H184" s="300" t="e">
        <f ca="1">'B2. Vaccines and Supplies'!$Q$115*H$74</f>
        <v>#N/A</v>
      </c>
      <c r="I184" s="300" t="e">
        <f t="shared" ca="1" si="52"/>
        <v>#N/A</v>
      </c>
      <c r="J184" s="620"/>
      <c r="O184" s="567"/>
      <c r="P184" s="564"/>
      <c r="Q184" s="564"/>
      <c r="R184" s="564" t="s">
        <v>4611</v>
      </c>
      <c r="S184" s="564"/>
      <c r="T184" s="564"/>
      <c r="U184" s="564"/>
      <c r="V184" s="564"/>
      <c r="W184" s="564"/>
      <c r="X184" s="564"/>
      <c r="Y184" s="564"/>
      <c r="Z184" s="564"/>
      <c r="AA184" s="564"/>
      <c r="AB184" s="564"/>
      <c r="AC184" s="564"/>
      <c r="AD184" s="564"/>
      <c r="AE184" s="564"/>
      <c r="AF184" s="564"/>
      <c r="AG184" s="564"/>
      <c r="AH184" s="564" t="s">
        <v>13036</v>
      </c>
      <c r="AI184" s="564"/>
      <c r="AJ184" s="564"/>
      <c r="AK184" s="564"/>
      <c r="AL184" s="564"/>
      <c r="AM184" s="564"/>
      <c r="AN184" s="564"/>
      <c r="AO184" s="564"/>
      <c r="AP184" s="564"/>
      <c r="AQ184" s="564"/>
      <c r="AR184" s="564"/>
      <c r="AS184" s="564"/>
      <c r="AT184" s="564"/>
      <c r="AU184" s="564"/>
      <c r="AV184" s="564"/>
      <c r="AW184" s="564"/>
      <c r="AX184" s="564" t="s">
        <v>13037</v>
      </c>
      <c r="AY184" s="564"/>
      <c r="AZ184" s="564"/>
      <c r="BA184" s="564"/>
      <c r="BB184" s="564"/>
      <c r="BC184" s="564"/>
      <c r="BD184" s="564"/>
      <c r="BE184" s="564"/>
      <c r="BF184" s="564"/>
      <c r="BG184" s="564"/>
      <c r="BH184" s="564"/>
      <c r="BI184" s="564"/>
      <c r="BJ184" s="564"/>
      <c r="BK184" s="564"/>
      <c r="BL184" s="564"/>
      <c r="BM184" s="564"/>
      <c r="BN184" s="564" t="s">
        <v>13038</v>
      </c>
      <c r="BO184" s="564"/>
      <c r="BP184" s="564"/>
      <c r="BQ184" s="564"/>
      <c r="BR184" s="564"/>
      <c r="BS184" s="564"/>
      <c r="BT184" s="564"/>
      <c r="BU184" s="564"/>
      <c r="BV184" s="564"/>
      <c r="BW184" s="564"/>
      <c r="BX184" s="564"/>
      <c r="BY184" s="564"/>
      <c r="BZ184" s="564"/>
      <c r="CA184" s="564"/>
      <c r="CB184" s="564"/>
      <c r="CC184" s="564"/>
      <c r="CD184" s="564" t="s">
        <v>13039</v>
      </c>
      <c r="CE184" s="564"/>
      <c r="CF184" s="564"/>
      <c r="CG184" s="564"/>
      <c r="CH184" s="564"/>
      <c r="CI184" s="564"/>
      <c r="CJ184" s="564"/>
      <c r="CK184" s="564"/>
      <c r="CL184" s="564"/>
      <c r="CM184" s="564"/>
      <c r="CN184" s="564"/>
      <c r="CO184" s="564"/>
      <c r="CP184" s="564"/>
      <c r="CQ184" s="564"/>
      <c r="CR184" s="564"/>
      <c r="CS184" s="564"/>
      <c r="CT184" s="564" t="s">
        <v>13040</v>
      </c>
      <c r="CU184" s="564"/>
      <c r="CV184" s="564"/>
      <c r="CW184" s="564"/>
      <c r="CX184" s="564"/>
      <c r="CY184" s="564"/>
      <c r="CZ184" s="564"/>
      <c r="DA184" s="564"/>
      <c r="DB184" s="564"/>
      <c r="DC184" s="564"/>
      <c r="DD184" s="564"/>
      <c r="DE184" s="564"/>
      <c r="DF184" s="564"/>
      <c r="DG184" s="564"/>
      <c r="DH184" s="564"/>
      <c r="DI184" s="564"/>
      <c r="DJ184" s="564" t="s">
        <v>13041</v>
      </c>
      <c r="DK184" s="564"/>
      <c r="DL184" s="564"/>
      <c r="DM184" s="564"/>
      <c r="DN184" s="564"/>
      <c r="DO184" s="564"/>
      <c r="DP184" s="564"/>
      <c r="DQ184" s="564"/>
      <c r="DR184" s="564"/>
      <c r="DS184" s="564"/>
      <c r="DT184" s="564"/>
      <c r="DU184" s="564"/>
      <c r="DV184" s="564"/>
      <c r="DW184" s="564"/>
    </row>
    <row r="185" spans="1:127" s="281" customFormat="1" ht="13.5" thickBot="1" x14ac:dyDescent="0.25">
      <c r="A185" s="85"/>
      <c r="B185" s="21" t="str">
        <f ca="1">IF(OFFSET(R185,0,Lang_Order*Lang__R2)="","",OFFSET(R185,0,Lang_Order*Lang__R2))</f>
        <v>5.1 Capital expenditure</v>
      </c>
      <c r="C185" s="118" t="e">
        <f>IF(ISBLANK(C187),C186,C187)</f>
        <v>#N/A</v>
      </c>
      <c r="D185" s="118" t="e">
        <f t="shared" ref="D185:H185" si="53">IF(ISBLANK(D187),D186,D187)</f>
        <v>#N/A</v>
      </c>
      <c r="E185" s="118" t="e">
        <f t="shared" si="53"/>
        <v>#N/A</v>
      </c>
      <c r="F185" s="118" t="e">
        <f t="shared" si="53"/>
        <v>#N/A</v>
      </c>
      <c r="G185" s="118" t="e">
        <f t="shared" si="53"/>
        <v>#N/A</v>
      </c>
      <c r="H185" s="118" t="e">
        <f t="shared" si="53"/>
        <v>#N/A</v>
      </c>
      <c r="I185" s="282" t="e">
        <f t="shared" si="52"/>
        <v>#N/A</v>
      </c>
      <c r="J185" s="620" t="s">
        <v>5131</v>
      </c>
      <c r="K185" s="35" t="s">
        <v>2844</v>
      </c>
      <c r="L185" s="35" t="s">
        <v>3188</v>
      </c>
      <c r="M185" s="459">
        <v>1</v>
      </c>
      <c r="O185" s="587"/>
      <c r="P185" s="564"/>
      <c r="Q185" s="564"/>
      <c r="R185" s="564" t="s">
        <v>14164</v>
      </c>
      <c r="S185" s="564"/>
      <c r="T185" s="564"/>
      <c r="U185" s="564"/>
      <c r="V185" s="564"/>
      <c r="W185" s="564"/>
      <c r="X185" s="564"/>
      <c r="Y185" s="564"/>
      <c r="Z185" s="564"/>
      <c r="AA185" s="564"/>
      <c r="AB185" s="564"/>
      <c r="AC185" s="564"/>
      <c r="AD185" s="564"/>
      <c r="AE185" s="564"/>
      <c r="AF185" s="564"/>
      <c r="AG185" s="564"/>
      <c r="AH185" s="564" t="s">
        <v>13030</v>
      </c>
      <c r="AI185" s="564"/>
      <c r="AJ185" s="564"/>
      <c r="AK185" s="564"/>
      <c r="AL185" s="564"/>
      <c r="AM185" s="564"/>
      <c r="AN185" s="564"/>
      <c r="AO185" s="564"/>
      <c r="AP185" s="564"/>
      <c r="AQ185" s="564"/>
      <c r="AR185" s="564"/>
      <c r="AS185" s="564"/>
      <c r="AT185" s="564"/>
      <c r="AU185" s="564"/>
      <c r="AV185" s="564"/>
      <c r="AW185" s="564"/>
      <c r="AX185" s="564" t="s">
        <v>13031</v>
      </c>
      <c r="AY185" s="564"/>
      <c r="AZ185" s="564"/>
      <c r="BA185" s="564"/>
      <c r="BB185" s="564"/>
      <c r="BC185" s="564"/>
      <c r="BD185" s="564"/>
      <c r="BE185" s="564"/>
      <c r="BF185" s="564"/>
      <c r="BG185" s="564"/>
      <c r="BH185" s="564"/>
      <c r="BI185" s="564"/>
      <c r="BJ185" s="564"/>
      <c r="BK185" s="564"/>
      <c r="BL185" s="564"/>
      <c r="BM185" s="564"/>
      <c r="BN185" s="564" t="s">
        <v>13032</v>
      </c>
      <c r="BO185" s="564"/>
      <c r="BP185" s="564"/>
      <c r="BQ185" s="564"/>
      <c r="BR185" s="564"/>
      <c r="BS185" s="564"/>
      <c r="BT185" s="564"/>
      <c r="BU185" s="564"/>
      <c r="BV185" s="564"/>
      <c r="BW185" s="564"/>
      <c r="BX185" s="564"/>
      <c r="BY185" s="564"/>
      <c r="BZ185" s="564"/>
      <c r="CA185" s="564"/>
      <c r="CB185" s="564"/>
      <c r="CC185" s="564"/>
      <c r="CD185" s="564" t="s">
        <v>13033</v>
      </c>
      <c r="CE185" s="564"/>
      <c r="CF185" s="564"/>
      <c r="CG185" s="564"/>
      <c r="CH185" s="564"/>
      <c r="CI185" s="564"/>
      <c r="CJ185" s="564"/>
      <c r="CK185" s="564"/>
      <c r="CL185" s="564"/>
      <c r="CM185" s="564"/>
      <c r="CN185" s="564"/>
      <c r="CO185" s="564"/>
      <c r="CP185" s="564"/>
      <c r="CQ185" s="564"/>
      <c r="CR185" s="564"/>
      <c r="CS185" s="564"/>
      <c r="CT185" s="564" t="s">
        <v>13034</v>
      </c>
      <c r="CU185" s="564"/>
      <c r="CV185" s="564"/>
      <c r="CW185" s="564"/>
      <c r="CX185" s="564"/>
      <c r="CY185" s="564"/>
      <c r="CZ185" s="564"/>
      <c r="DA185" s="564"/>
      <c r="DB185" s="564"/>
      <c r="DC185" s="564"/>
      <c r="DD185" s="564"/>
      <c r="DE185" s="564"/>
      <c r="DF185" s="564"/>
      <c r="DG185" s="564"/>
      <c r="DH185" s="564"/>
      <c r="DI185" s="564"/>
      <c r="DJ185" s="564" t="s">
        <v>13035</v>
      </c>
      <c r="DK185" s="564"/>
      <c r="DL185" s="564"/>
      <c r="DM185" s="564"/>
      <c r="DN185" s="564"/>
      <c r="DO185" s="564"/>
      <c r="DP185" s="564"/>
      <c r="DQ185" s="564"/>
      <c r="DR185" s="564"/>
      <c r="DS185" s="564"/>
      <c r="DT185" s="564"/>
      <c r="DU185" s="564"/>
      <c r="DV185" s="564"/>
      <c r="DW185" s="564"/>
    </row>
    <row r="186" spans="1:127" s="2" customFormat="1" ht="13.5" thickTop="1" x14ac:dyDescent="0.2">
      <c r="A186" s="664"/>
      <c r="B186" s="72" t="str">
        <f ca="1">IF(OFFSET(R186,0,Lang_Order*Lang__R2)="","",OFFSET(R186,0,Lang_Order*Lang__R2))</f>
        <v>CVIC Estimates</v>
      </c>
      <c r="C186" s="199" t="e">
        <f>SUM(C179:C184)</f>
        <v>#N/A</v>
      </c>
      <c r="D186" s="199" t="e">
        <f t="shared" ref="D186:H186" si="54">SUM(D179:D184)</f>
        <v>#N/A</v>
      </c>
      <c r="E186" s="199" t="e">
        <f t="shared" si="54"/>
        <v>#N/A</v>
      </c>
      <c r="F186" s="199" t="e">
        <f t="shared" si="54"/>
        <v>#N/A</v>
      </c>
      <c r="G186" s="199" t="e">
        <f t="shared" si="54"/>
        <v>#N/A</v>
      </c>
      <c r="H186" s="199" t="e">
        <f t="shared" si="54"/>
        <v>#N/A</v>
      </c>
      <c r="I186" s="199" t="e">
        <f t="shared" si="52"/>
        <v>#N/A</v>
      </c>
      <c r="J186" s="620" t="s">
        <v>5132</v>
      </c>
      <c r="P186" s="564"/>
      <c r="Q186" s="564"/>
      <c r="R186" s="564" t="s">
        <v>12973</v>
      </c>
      <c r="S186" s="564"/>
      <c r="T186" s="564"/>
      <c r="U186" s="564"/>
      <c r="V186" s="564"/>
      <c r="W186" s="564"/>
      <c r="X186" s="564"/>
      <c r="Y186" s="564"/>
      <c r="Z186" s="564"/>
      <c r="AA186" s="564"/>
      <c r="AB186" s="564"/>
      <c r="AC186" s="564"/>
      <c r="AD186" s="564"/>
      <c r="AE186" s="564"/>
      <c r="AF186" s="564"/>
      <c r="AG186" s="564"/>
      <c r="AH186" s="564" t="s">
        <v>12974</v>
      </c>
      <c r="AI186" s="564"/>
      <c r="AJ186" s="564"/>
      <c r="AK186" s="564"/>
      <c r="AL186" s="564"/>
      <c r="AM186" s="564"/>
      <c r="AN186" s="564"/>
      <c r="AO186" s="564"/>
      <c r="AP186" s="564"/>
      <c r="AQ186" s="564"/>
      <c r="AR186" s="564"/>
      <c r="AS186" s="564"/>
      <c r="AT186" s="564"/>
      <c r="AU186" s="564"/>
      <c r="AV186" s="564"/>
      <c r="AW186" s="564"/>
      <c r="AX186" s="564" t="s">
        <v>12968</v>
      </c>
      <c r="AY186" s="564"/>
      <c r="AZ186" s="564"/>
      <c r="BA186" s="564"/>
      <c r="BB186" s="564"/>
      <c r="BC186" s="564"/>
      <c r="BD186" s="564"/>
      <c r="BE186" s="564"/>
      <c r="BF186" s="564"/>
      <c r="BG186" s="564"/>
      <c r="BH186" s="564"/>
      <c r="BI186" s="564"/>
      <c r="BJ186" s="564"/>
      <c r="BK186" s="564"/>
      <c r="BL186" s="564"/>
      <c r="BM186" s="564"/>
      <c r="BN186" s="564" t="s">
        <v>12969</v>
      </c>
      <c r="BO186" s="564"/>
      <c r="BP186" s="564"/>
      <c r="BQ186" s="564"/>
      <c r="BR186" s="564"/>
      <c r="BS186" s="564"/>
      <c r="BT186" s="564"/>
      <c r="BU186" s="564"/>
      <c r="BV186" s="564"/>
      <c r="BW186" s="564"/>
      <c r="BX186" s="564"/>
      <c r="BY186" s="564"/>
      <c r="BZ186" s="564"/>
      <c r="CA186" s="564"/>
      <c r="CB186" s="564"/>
      <c r="CC186" s="564"/>
      <c r="CD186" s="564" t="s">
        <v>12970</v>
      </c>
      <c r="CE186" s="564"/>
      <c r="CF186" s="564"/>
      <c r="CG186" s="564"/>
      <c r="CH186" s="564"/>
      <c r="CI186" s="564"/>
      <c r="CJ186" s="564"/>
      <c r="CK186" s="564"/>
      <c r="CL186" s="564"/>
      <c r="CM186" s="564"/>
      <c r="CN186" s="564"/>
      <c r="CO186" s="564"/>
      <c r="CP186" s="564"/>
      <c r="CQ186" s="564"/>
      <c r="CR186" s="564"/>
      <c r="CS186" s="564"/>
      <c r="CT186" s="564" t="s">
        <v>12971</v>
      </c>
      <c r="CU186" s="564"/>
      <c r="CV186" s="564"/>
      <c r="CW186" s="564"/>
      <c r="CX186" s="564"/>
      <c r="CY186" s="564"/>
      <c r="CZ186" s="564"/>
      <c r="DA186" s="564"/>
      <c r="DB186" s="564"/>
      <c r="DC186" s="564"/>
      <c r="DD186" s="564"/>
      <c r="DE186" s="564"/>
      <c r="DF186" s="564"/>
      <c r="DG186" s="564"/>
      <c r="DH186" s="564"/>
      <c r="DI186" s="564"/>
      <c r="DJ186" s="564" t="s">
        <v>12972</v>
      </c>
      <c r="DK186" s="564"/>
      <c r="DL186" s="564"/>
      <c r="DM186" s="564"/>
      <c r="DN186" s="564"/>
      <c r="DO186" s="564"/>
      <c r="DP186" s="564"/>
      <c r="DQ186" s="564"/>
      <c r="DR186" s="564"/>
      <c r="DS186" s="564"/>
      <c r="DT186" s="564"/>
      <c r="DU186" s="564"/>
      <c r="DV186" s="564"/>
      <c r="DW186" s="564"/>
    </row>
    <row r="187" spans="1:127" s="536" customFormat="1" x14ac:dyDescent="0.2">
      <c r="A187" s="350">
        <v>2</v>
      </c>
      <c r="B187" s="5" t="str">
        <f ca="1">IF(OFFSET(R187,0,Lang_Order*Lang__R2)="","",OFFSET(R187,0,Lang_Order*Lang__R2))</f>
        <v>OVERRIDE HERE if alternative costing used for section above</v>
      </c>
      <c r="C187" s="284"/>
      <c r="D187" s="284"/>
      <c r="E187" s="284"/>
      <c r="F187" s="284"/>
      <c r="G187" s="284"/>
      <c r="H187" s="284"/>
      <c r="I187" s="81" t="str">
        <f>Lang_LeaveBlank</f>
        <v>Leave Blank</v>
      </c>
      <c r="J187" s="620" t="s">
        <v>5133</v>
      </c>
      <c r="K187" s="543"/>
      <c r="L187" s="543"/>
      <c r="O187" s="587"/>
      <c r="P187" s="564"/>
      <c r="Q187" s="564"/>
      <c r="R187" s="564" t="s">
        <v>4591</v>
      </c>
      <c r="S187" s="564"/>
      <c r="T187" s="564"/>
      <c r="U187" s="564"/>
      <c r="V187" s="564"/>
      <c r="W187" s="564"/>
      <c r="X187" s="564"/>
      <c r="Y187" s="564"/>
      <c r="Z187" s="564"/>
      <c r="AA187" s="564"/>
      <c r="AB187" s="564"/>
      <c r="AC187" s="564"/>
      <c r="AD187" s="564"/>
      <c r="AE187" s="564"/>
      <c r="AF187" s="564"/>
      <c r="AG187" s="564"/>
      <c r="AH187" s="564" t="s">
        <v>12949</v>
      </c>
      <c r="AI187" s="564"/>
      <c r="AJ187" s="564"/>
      <c r="AK187" s="564"/>
      <c r="AL187" s="564"/>
      <c r="AM187" s="564"/>
      <c r="AN187" s="564"/>
      <c r="AO187" s="564"/>
      <c r="AP187" s="564"/>
      <c r="AQ187" s="564"/>
      <c r="AR187" s="564"/>
      <c r="AS187" s="564"/>
      <c r="AT187" s="564"/>
      <c r="AU187" s="564"/>
      <c r="AV187" s="564"/>
      <c r="AW187" s="564"/>
      <c r="AX187" s="564" t="s">
        <v>12950</v>
      </c>
      <c r="AY187" s="564"/>
      <c r="AZ187" s="564"/>
      <c r="BA187" s="564"/>
      <c r="BB187" s="564"/>
      <c r="BC187" s="564"/>
      <c r="BD187" s="564"/>
      <c r="BE187" s="564"/>
      <c r="BF187" s="564"/>
      <c r="BG187" s="564"/>
      <c r="BH187" s="564"/>
      <c r="BI187" s="564"/>
      <c r="BJ187" s="564"/>
      <c r="BK187" s="564"/>
      <c r="BL187" s="564"/>
      <c r="BM187" s="564"/>
      <c r="BN187" s="564" t="s">
        <v>12951</v>
      </c>
      <c r="BO187" s="564"/>
      <c r="BP187" s="564"/>
      <c r="BQ187" s="564"/>
      <c r="BR187" s="564"/>
      <c r="BS187" s="564"/>
      <c r="BT187" s="564"/>
      <c r="BU187" s="564"/>
      <c r="BV187" s="564"/>
      <c r="BW187" s="564"/>
      <c r="BX187" s="564"/>
      <c r="BY187" s="564"/>
      <c r="BZ187" s="564"/>
      <c r="CA187" s="564"/>
      <c r="CB187" s="564"/>
      <c r="CC187" s="564"/>
      <c r="CD187" s="564" t="s">
        <v>12952</v>
      </c>
      <c r="CE187" s="564"/>
      <c r="CF187" s="564"/>
      <c r="CG187" s="564"/>
      <c r="CH187" s="564"/>
      <c r="CI187" s="564"/>
      <c r="CJ187" s="564"/>
      <c r="CK187" s="564"/>
      <c r="CL187" s="564"/>
      <c r="CM187" s="564"/>
      <c r="CN187" s="564"/>
      <c r="CO187" s="564"/>
      <c r="CP187" s="564"/>
      <c r="CQ187" s="564"/>
      <c r="CR187" s="564"/>
      <c r="CS187" s="564"/>
      <c r="CT187" s="564" t="s">
        <v>12953</v>
      </c>
      <c r="CU187" s="564"/>
      <c r="CV187" s="564"/>
      <c r="CW187" s="564"/>
      <c r="CX187" s="564"/>
      <c r="CY187" s="564"/>
      <c r="CZ187" s="564"/>
      <c r="DA187" s="564"/>
      <c r="DB187" s="564"/>
      <c r="DC187" s="564"/>
      <c r="DD187" s="564"/>
      <c r="DE187" s="564"/>
      <c r="DF187" s="564"/>
      <c r="DG187" s="564"/>
      <c r="DH187" s="564"/>
      <c r="DI187" s="564"/>
      <c r="DJ187" s="564" t="s">
        <v>12954</v>
      </c>
      <c r="DK187" s="564"/>
      <c r="DL187" s="564"/>
      <c r="DM187" s="564"/>
      <c r="DN187" s="564"/>
      <c r="DO187" s="564"/>
      <c r="DP187" s="564"/>
      <c r="DQ187" s="564"/>
      <c r="DR187" s="564"/>
      <c r="DS187" s="564"/>
      <c r="DT187" s="564"/>
      <c r="DU187" s="564"/>
      <c r="DV187" s="564"/>
      <c r="DW187" s="564"/>
    </row>
    <row r="188" spans="1:127" s="281" customFormat="1" x14ac:dyDescent="0.2">
      <c r="A188" s="85"/>
      <c r="B188" s="23"/>
      <c r="J188" s="620"/>
      <c r="K188" s="543"/>
      <c r="L188" s="543"/>
      <c r="M188" s="459"/>
      <c r="O188" s="567"/>
      <c r="P188" s="564"/>
      <c r="Q188" s="564"/>
      <c r="R188" s="564"/>
      <c r="S188" s="564"/>
      <c r="T188" s="564"/>
      <c r="U188" s="564"/>
      <c r="V188" s="564"/>
      <c r="W188" s="564"/>
      <c r="X188" s="564"/>
      <c r="Y188" s="564"/>
      <c r="Z188" s="564"/>
      <c r="AA188" s="564"/>
      <c r="AB188" s="564"/>
      <c r="AC188" s="564"/>
      <c r="AD188" s="564"/>
      <c r="AE188" s="564"/>
      <c r="AF188" s="564"/>
      <c r="AG188" s="564"/>
      <c r="AH188" s="564"/>
      <c r="AI188" s="564"/>
      <c r="AJ188" s="564"/>
      <c r="AK188" s="564"/>
      <c r="AL188" s="564"/>
      <c r="AM188" s="564"/>
      <c r="AN188" s="564"/>
      <c r="AO188" s="564"/>
      <c r="AP188" s="564"/>
      <c r="AQ188" s="564"/>
      <c r="AR188" s="564"/>
      <c r="AS188" s="564"/>
      <c r="AT188" s="564"/>
      <c r="AU188" s="564"/>
      <c r="AV188" s="564"/>
      <c r="AW188" s="564"/>
      <c r="AX188" s="564"/>
      <c r="AY188" s="564"/>
      <c r="AZ188" s="564"/>
      <c r="BA188" s="564"/>
      <c r="BB188" s="564"/>
      <c r="BC188" s="564"/>
      <c r="BD188" s="564"/>
      <c r="BE188" s="564"/>
      <c r="BF188" s="564"/>
      <c r="BG188" s="564"/>
      <c r="BH188" s="564"/>
      <c r="BI188" s="564"/>
      <c r="BJ188" s="564"/>
      <c r="BK188" s="564"/>
      <c r="BL188" s="564"/>
      <c r="BM188" s="564"/>
      <c r="BN188" s="564"/>
      <c r="BO188" s="564"/>
      <c r="BP188" s="564"/>
      <c r="BQ188" s="564"/>
      <c r="BR188" s="564"/>
      <c r="BS188" s="564"/>
      <c r="BT188" s="564"/>
      <c r="BU188" s="564"/>
      <c r="BV188" s="564"/>
      <c r="BW188" s="564"/>
      <c r="BX188" s="564"/>
      <c r="BY188" s="564"/>
      <c r="BZ188" s="564"/>
      <c r="CA188" s="564"/>
      <c r="CB188" s="564"/>
      <c r="CC188" s="564"/>
      <c r="CD188" s="564"/>
      <c r="CE188" s="564"/>
      <c r="CF188" s="564"/>
      <c r="CG188" s="564"/>
      <c r="CH188" s="564"/>
      <c r="CI188" s="564"/>
      <c r="CJ188" s="564"/>
      <c r="CK188" s="564"/>
      <c r="CL188" s="564"/>
      <c r="CM188" s="564"/>
      <c r="CN188" s="564"/>
      <c r="CO188" s="564"/>
      <c r="CP188" s="564"/>
      <c r="CQ188" s="564"/>
      <c r="CR188" s="564"/>
      <c r="CS188" s="564"/>
      <c r="CT188" s="564"/>
      <c r="CU188" s="564"/>
      <c r="CV188" s="564"/>
      <c r="CW188" s="564"/>
      <c r="CX188" s="564"/>
      <c r="CY188" s="564"/>
      <c r="CZ188" s="564"/>
      <c r="DA188" s="564"/>
      <c r="DB188" s="564"/>
      <c r="DC188" s="564"/>
      <c r="DD188" s="564"/>
      <c r="DE188" s="564"/>
      <c r="DF188" s="564"/>
      <c r="DG188" s="564"/>
      <c r="DH188" s="564"/>
      <c r="DI188" s="564"/>
      <c r="DJ188" s="564"/>
      <c r="DK188" s="564"/>
      <c r="DL188" s="564"/>
      <c r="DM188" s="564"/>
      <c r="DN188" s="564"/>
      <c r="DO188" s="564"/>
      <c r="DP188" s="564"/>
      <c r="DQ188" s="564"/>
      <c r="DR188" s="564"/>
      <c r="DS188" s="564"/>
      <c r="DT188" s="564"/>
      <c r="DU188" s="564"/>
      <c r="DV188" s="564"/>
      <c r="DW188" s="564"/>
    </row>
    <row r="189" spans="1:127" s="281" customFormat="1" x14ac:dyDescent="0.2">
      <c r="A189" s="85"/>
      <c r="B189" s="23" t="str">
        <f ca="1">'B4. Domestic Logistics'!D139</f>
        <v>Central Cold Storage - Operational Expenditures</v>
      </c>
      <c r="C189" s="37" t="e">
        <f>'B4. Domestic Logistics'!J139</f>
        <v>#N/A</v>
      </c>
      <c r="D189" s="37" t="e">
        <f>'B4. Domestic Logistics'!K139</f>
        <v>#N/A</v>
      </c>
      <c r="E189" s="37" t="e">
        <f>'B4. Domestic Logistics'!L139</f>
        <v>#N/A</v>
      </c>
      <c r="F189" s="37" t="e">
        <f>'B4. Domestic Logistics'!M139</f>
        <v>#N/A</v>
      </c>
      <c r="G189" s="37" t="e">
        <f>'B4. Domestic Logistics'!N139</f>
        <v>#N/A</v>
      </c>
      <c r="H189" s="37" t="e">
        <f>'B4. Domestic Logistics'!O139</f>
        <v>#N/A</v>
      </c>
      <c r="I189" s="300" t="e">
        <f t="shared" ref="I189:I195" si="55">SUM(C189:H189)</f>
        <v>#N/A</v>
      </c>
      <c r="J189" s="620"/>
      <c r="K189" s="543"/>
      <c r="L189" s="543"/>
      <c r="M189" s="459"/>
      <c r="O189" s="567"/>
      <c r="P189" s="564"/>
      <c r="Q189" s="564"/>
      <c r="R189" s="564" t="s">
        <v>197</v>
      </c>
      <c r="S189" s="564"/>
      <c r="T189" s="564"/>
      <c r="U189" s="564"/>
      <c r="V189" s="564"/>
      <c r="W189" s="564"/>
      <c r="X189" s="564"/>
      <c r="Y189" s="564"/>
      <c r="Z189" s="564"/>
      <c r="AA189" s="564"/>
      <c r="AB189" s="564"/>
      <c r="AC189" s="564"/>
      <c r="AD189" s="564"/>
      <c r="AE189" s="564"/>
      <c r="AF189" s="564"/>
      <c r="AG189" s="564"/>
      <c r="AH189" s="564"/>
      <c r="AI189" s="564"/>
      <c r="AJ189" s="564"/>
      <c r="AK189" s="564"/>
      <c r="AL189" s="564"/>
      <c r="AM189" s="564"/>
      <c r="AN189" s="564"/>
      <c r="AO189" s="564"/>
      <c r="AP189" s="564"/>
      <c r="AQ189" s="564"/>
      <c r="AR189" s="564"/>
      <c r="AS189" s="564"/>
      <c r="AT189" s="564"/>
      <c r="AU189" s="564"/>
      <c r="AV189" s="564"/>
      <c r="AW189" s="564"/>
      <c r="AX189" s="564"/>
      <c r="AY189" s="564"/>
      <c r="AZ189" s="564"/>
      <c r="BA189" s="564"/>
      <c r="BB189" s="564"/>
      <c r="BC189" s="564"/>
      <c r="BD189" s="564"/>
      <c r="BE189" s="564"/>
      <c r="BF189" s="564"/>
      <c r="BG189" s="564"/>
      <c r="BH189" s="564"/>
      <c r="BI189" s="564"/>
      <c r="BJ189" s="564"/>
      <c r="BK189" s="564"/>
      <c r="BL189" s="564"/>
      <c r="BM189" s="564"/>
      <c r="BN189" s="564"/>
      <c r="BO189" s="564"/>
      <c r="BP189" s="564"/>
      <c r="BQ189" s="564"/>
      <c r="BR189" s="564"/>
      <c r="BS189" s="564"/>
      <c r="BT189" s="564"/>
      <c r="BU189" s="564"/>
      <c r="BV189" s="564"/>
      <c r="BW189" s="564"/>
      <c r="BX189" s="564"/>
      <c r="BY189" s="564"/>
      <c r="BZ189" s="564"/>
      <c r="CA189" s="564"/>
      <c r="CB189" s="564"/>
      <c r="CC189" s="564"/>
      <c r="CD189" s="564"/>
      <c r="CE189" s="564"/>
      <c r="CF189" s="564"/>
      <c r="CG189" s="564"/>
      <c r="CH189" s="564"/>
      <c r="CI189" s="564"/>
      <c r="CJ189" s="564"/>
      <c r="CK189" s="564"/>
      <c r="CL189" s="564"/>
      <c r="CM189" s="564"/>
      <c r="CN189" s="564"/>
      <c r="CO189" s="564"/>
      <c r="CP189" s="564"/>
      <c r="CQ189" s="564"/>
      <c r="CR189" s="564"/>
      <c r="CS189" s="564"/>
      <c r="CT189" s="564"/>
      <c r="CU189" s="564"/>
      <c r="CV189" s="564"/>
      <c r="CW189" s="564"/>
      <c r="CX189" s="564"/>
      <c r="CY189" s="564"/>
      <c r="CZ189" s="564"/>
      <c r="DA189" s="564"/>
      <c r="DB189" s="564"/>
      <c r="DC189" s="564"/>
      <c r="DD189" s="564"/>
      <c r="DE189" s="564"/>
      <c r="DF189" s="564"/>
      <c r="DG189" s="564"/>
      <c r="DH189" s="564"/>
      <c r="DI189" s="564"/>
      <c r="DJ189" s="564"/>
      <c r="DK189" s="564"/>
      <c r="DL189" s="564"/>
      <c r="DM189" s="564"/>
      <c r="DN189" s="564"/>
      <c r="DO189" s="564"/>
      <c r="DP189" s="564"/>
      <c r="DQ189" s="564"/>
      <c r="DR189" s="564"/>
      <c r="DS189" s="564"/>
      <c r="DT189" s="564"/>
      <c r="DU189" s="564"/>
      <c r="DV189" s="564"/>
      <c r="DW189" s="564"/>
    </row>
    <row r="190" spans="1:127" s="281" customFormat="1" x14ac:dyDescent="0.2">
      <c r="A190" s="85"/>
      <c r="B190" s="23" t="str">
        <f ca="1">'B4. Domestic Logistics'!D189</f>
        <v>Total (All Regions) Cold Storage - Operational Expenditures</v>
      </c>
      <c r="C190" s="665" t="e">
        <f>'B4. Domestic Logistics'!J189</f>
        <v>#N/A</v>
      </c>
      <c r="D190" s="665" t="e">
        <f>'B4. Domestic Logistics'!K189</f>
        <v>#N/A</v>
      </c>
      <c r="E190" s="665" t="e">
        <f>'B4. Domestic Logistics'!L189</f>
        <v>#N/A</v>
      </c>
      <c r="F190" s="665" t="e">
        <f>'B4. Domestic Logistics'!M189</f>
        <v>#N/A</v>
      </c>
      <c r="G190" s="665" t="e">
        <f>'B4. Domestic Logistics'!N189</f>
        <v>#N/A</v>
      </c>
      <c r="H190" s="665" t="e">
        <f>'B4. Domestic Logistics'!O189</f>
        <v>#N/A</v>
      </c>
      <c r="I190" s="300" t="e">
        <f t="shared" si="55"/>
        <v>#N/A</v>
      </c>
      <c r="J190" s="620"/>
      <c r="K190" s="543"/>
      <c r="L190" s="543"/>
      <c r="M190" s="459"/>
      <c r="O190" s="567"/>
      <c r="P190" s="564"/>
      <c r="Q190" s="564"/>
      <c r="R190" s="564" t="s">
        <v>197</v>
      </c>
      <c r="S190" s="564"/>
      <c r="T190" s="564"/>
      <c r="U190" s="564"/>
      <c r="V190" s="564"/>
      <c r="W190" s="564"/>
      <c r="X190" s="564"/>
      <c r="Y190" s="564"/>
      <c r="Z190" s="564"/>
      <c r="AA190" s="564"/>
      <c r="AB190" s="564"/>
      <c r="AC190" s="564"/>
      <c r="AD190" s="564"/>
      <c r="AE190" s="564"/>
      <c r="AF190" s="564"/>
      <c r="AG190" s="564"/>
      <c r="AH190" s="564"/>
      <c r="AI190" s="564"/>
      <c r="AJ190" s="564"/>
      <c r="AK190" s="564"/>
      <c r="AL190" s="564"/>
      <c r="AM190" s="564"/>
      <c r="AN190" s="564"/>
      <c r="AO190" s="564"/>
      <c r="AP190" s="564"/>
      <c r="AQ190" s="564"/>
      <c r="AR190" s="564"/>
      <c r="AS190" s="564"/>
      <c r="AT190" s="564"/>
      <c r="AU190" s="564"/>
      <c r="AV190" s="564"/>
      <c r="AW190" s="564"/>
      <c r="AX190" s="564"/>
      <c r="AY190" s="564"/>
      <c r="AZ190" s="564"/>
      <c r="BA190" s="564"/>
      <c r="BB190" s="564"/>
      <c r="BC190" s="564"/>
      <c r="BD190" s="564"/>
      <c r="BE190" s="564"/>
      <c r="BF190" s="564"/>
      <c r="BG190" s="564"/>
      <c r="BH190" s="564"/>
      <c r="BI190" s="564"/>
      <c r="BJ190" s="564"/>
      <c r="BK190" s="564"/>
      <c r="BL190" s="564"/>
      <c r="BM190" s="564"/>
      <c r="BN190" s="564"/>
      <c r="BO190" s="564"/>
      <c r="BP190" s="564"/>
      <c r="BQ190" s="564"/>
      <c r="BR190" s="564"/>
      <c r="BS190" s="564"/>
      <c r="BT190" s="564"/>
      <c r="BU190" s="564"/>
      <c r="BV190" s="564"/>
      <c r="BW190" s="564"/>
      <c r="BX190" s="564"/>
      <c r="BY190" s="564"/>
      <c r="BZ190" s="564"/>
      <c r="CA190" s="564"/>
      <c r="CB190" s="564"/>
      <c r="CC190" s="564"/>
      <c r="CD190" s="564"/>
      <c r="CE190" s="564"/>
      <c r="CF190" s="564"/>
      <c r="CG190" s="564"/>
      <c r="CH190" s="564"/>
      <c r="CI190" s="564"/>
      <c r="CJ190" s="564"/>
      <c r="CK190" s="564"/>
      <c r="CL190" s="564"/>
      <c r="CM190" s="564"/>
      <c r="CN190" s="564"/>
      <c r="CO190" s="564"/>
      <c r="CP190" s="564"/>
      <c r="CQ190" s="564"/>
      <c r="CR190" s="564"/>
      <c r="CS190" s="564"/>
      <c r="CT190" s="564"/>
      <c r="CU190" s="564"/>
      <c r="CV190" s="564"/>
      <c r="CW190" s="564"/>
      <c r="CX190" s="564"/>
      <c r="CY190" s="564"/>
      <c r="CZ190" s="564"/>
      <c r="DA190" s="564"/>
      <c r="DB190" s="564"/>
      <c r="DC190" s="564"/>
      <c r="DD190" s="564"/>
      <c r="DE190" s="564"/>
      <c r="DF190" s="564"/>
      <c r="DG190" s="564"/>
      <c r="DH190" s="564"/>
      <c r="DI190" s="564"/>
      <c r="DJ190" s="564"/>
      <c r="DK190" s="564"/>
      <c r="DL190" s="564"/>
      <c r="DM190" s="564"/>
      <c r="DN190" s="564"/>
      <c r="DO190" s="564"/>
      <c r="DP190" s="564"/>
      <c r="DQ190" s="564"/>
      <c r="DR190" s="564"/>
      <c r="DS190" s="564"/>
      <c r="DT190" s="564"/>
      <c r="DU190" s="564"/>
      <c r="DV190" s="564"/>
      <c r="DW190" s="564"/>
    </row>
    <row r="191" spans="1:127" s="281" customFormat="1" x14ac:dyDescent="0.2">
      <c r="A191" s="85"/>
      <c r="B191" s="23" t="str">
        <f ca="1">'B4. Domestic Logistics'!D261</f>
        <v>Total (All Districts) Cold Storage - Operational Expenditures</v>
      </c>
      <c r="C191" s="37" t="e">
        <f>'B4. Domestic Logistics'!J261</f>
        <v>#N/A</v>
      </c>
      <c r="D191" s="37" t="e">
        <f>'B4. Domestic Logistics'!K261</f>
        <v>#N/A</v>
      </c>
      <c r="E191" s="37" t="e">
        <f>'B4. Domestic Logistics'!L261</f>
        <v>#N/A</v>
      </c>
      <c r="F191" s="37" t="e">
        <f>'B4. Domestic Logistics'!M261</f>
        <v>#N/A</v>
      </c>
      <c r="G191" s="37" t="e">
        <f>'B4. Domestic Logistics'!N261</f>
        <v>#N/A</v>
      </c>
      <c r="H191" s="37" t="e">
        <f>'B4. Domestic Logistics'!O261</f>
        <v>#N/A</v>
      </c>
      <c r="I191" s="300" t="e">
        <f t="shared" si="55"/>
        <v>#N/A</v>
      </c>
      <c r="J191" s="620"/>
      <c r="K191" s="543"/>
      <c r="L191" s="543"/>
      <c r="M191" s="459"/>
      <c r="O191" s="567"/>
      <c r="P191" s="564"/>
      <c r="Q191" s="564"/>
      <c r="R191" s="564" t="s">
        <v>197</v>
      </c>
      <c r="S191" s="564"/>
      <c r="T191" s="564"/>
      <c r="U191" s="564"/>
      <c r="V191" s="564"/>
      <c r="W191" s="564"/>
      <c r="X191" s="564"/>
      <c r="Y191" s="564"/>
      <c r="Z191" s="564"/>
      <c r="AA191" s="564"/>
      <c r="AB191" s="564"/>
      <c r="AC191" s="564"/>
      <c r="AD191" s="564"/>
      <c r="AE191" s="564"/>
      <c r="AF191" s="564"/>
      <c r="AG191" s="564"/>
      <c r="AH191" s="564"/>
      <c r="AI191" s="564"/>
      <c r="AJ191" s="564"/>
      <c r="AK191" s="564"/>
      <c r="AL191" s="564"/>
      <c r="AM191" s="564"/>
      <c r="AN191" s="564"/>
      <c r="AO191" s="564"/>
      <c r="AP191" s="564"/>
      <c r="AQ191" s="564"/>
      <c r="AR191" s="564"/>
      <c r="AS191" s="564"/>
      <c r="AT191" s="564"/>
      <c r="AU191" s="564"/>
      <c r="AV191" s="564"/>
      <c r="AW191" s="564"/>
      <c r="AX191" s="564"/>
      <c r="AY191" s="564"/>
      <c r="AZ191" s="564"/>
      <c r="BA191" s="564"/>
      <c r="BB191" s="564"/>
      <c r="BC191" s="564"/>
      <c r="BD191" s="564"/>
      <c r="BE191" s="564"/>
      <c r="BF191" s="564"/>
      <c r="BG191" s="564"/>
      <c r="BH191" s="564"/>
      <c r="BI191" s="564"/>
      <c r="BJ191" s="564"/>
      <c r="BK191" s="564"/>
      <c r="BL191" s="564"/>
      <c r="BM191" s="564"/>
      <c r="BN191" s="564"/>
      <c r="BO191" s="564"/>
      <c r="BP191" s="564"/>
      <c r="BQ191" s="564"/>
      <c r="BR191" s="564"/>
      <c r="BS191" s="564"/>
      <c r="BT191" s="564"/>
      <c r="BU191" s="564"/>
      <c r="BV191" s="564"/>
      <c r="BW191" s="564"/>
      <c r="BX191" s="564"/>
      <c r="BY191" s="564"/>
      <c r="BZ191" s="564"/>
      <c r="CA191" s="564"/>
      <c r="CB191" s="564"/>
      <c r="CC191" s="564"/>
      <c r="CD191" s="564"/>
      <c r="CE191" s="564"/>
      <c r="CF191" s="564"/>
      <c r="CG191" s="564"/>
      <c r="CH191" s="564"/>
      <c r="CI191" s="564"/>
      <c r="CJ191" s="564"/>
      <c r="CK191" s="564"/>
      <c r="CL191" s="564"/>
      <c r="CM191" s="564"/>
      <c r="CN191" s="564"/>
      <c r="CO191" s="564"/>
      <c r="CP191" s="564"/>
      <c r="CQ191" s="564"/>
      <c r="CR191" s="564"/>
      <c r="CS191" s="564"/>
      <c r="CT191" s="564"/>
      <c r="CU191" s="564"/>
      <c r="CV191" s="564"/>
      <c r="CW191" s="564"/>
      <c r="CX191" s="564"/>
      <c r="CY191" s="564"/>
      <c r="CZ191" s="564"/>
      <c r="DA191" s="564"/>
      <c r="DB191" s="564"/>
      <c r="DC191" s="564"/>
      <c r="DD191" s="564"/>
      <c r="DE191" s="564"/>
      <c r="DF191" s="564"/>
      <c r="DG191" s="564"/>
      <c r="DH191" s="564"/>
      <c r="DI191" s="564"/>
      <c r="DJ191" s="564"/>
      <c r="DK191" s="564"/>
      <c r="DL191" s="564"/>
      <c r="DM191" s="564"/>
      <c r="DN191" s="564"/>
      <c r="DO191" s="564"/>
      <c r="DP191" s="564"/>
      <c r="DQ191" s="564"/>
      <c r="DR191" s="564"/>
      <c r="DS191" s="564"/>
      <c r="DT191" s="564"/>
      <c r="DU191" s="564"/>
      <c r="DV191" s="564"/>
      <c r="DW191" s="564"/>
    </row>
    <row r="192" spans="1:127" s="281" customFormat="1" x14ac:dyDescent="0.2">
      <c r="A192" s="85"/>
      <c r="B192" s="335" t="str">
        <f ca="1">'B4. Domestic Logistics'!D325</f>
        <v>Total (All Fixed Sites) Cold Storage - Operational Expenditures</v>
      </c>
      <c r="C192" s="37" t="e">
        <f>'B4. Domestic Logistics'!J325</f>
        <v>#N/A</v>
      </c>
      <c r="D192" s="37" t="e">
        <f>'B4. Domestic Logistics'!K325</f>
        <v>#N/A</v>
      </c>
      <c r="E192" s="37" t="e">
        <f>'B4. Domestic Logistics'!L325</f>
        <v>#N/A</v>
      </c>
      <c r="F192" s="37" t="e">
        <f>'B4. Domestic Logistics'!M325</f>
        <v>#N/A</v>
      </c>
      <c r="G192" s="37" t="e">
        <f>'B4. Domestic Logistics'!N325</f>
        <v>#N/A</v>
      </c>
      <c r="H192" s="37" t="e">
        <f>'B4. Domestic Logistics'!O325</f>
        <v>#N/A</v>
      </c>
      <c r="I192" s="300" t="e">
        <f t="shared" si="55"/>
        <v>#N/A</v>
      </c>
      <c r="J192" s="620"/>
      <c r="K192" s="543"/>
      <c r="L192" s="543"/>
      <c r="M192" s="459"/>
      <c r="O192" s="567"/>
      <c r="P192" s="564"/>
      <c r="Q192" s="564"/>
      <c r="R192" s="564" t="s">
        <v>197</v>
      </c>
      <c r="S192" s="564"/>
      <c r="T192" s="564"/>
      <c r="U192" s="564"/>
      <c r="V192" s="564"/>
      <c r="W192" s="564"/>
      <c r="X192" s="564"/>
      <c r="Y192" s="564"/>
      <c r="Z192" s="564"/>
      <c r="AA192" s="564"/>
      <c r="AB192" s="564"/>
      <c r="AC192" s="564"/>
      <c r="AD192" s="564"/>
      <c r="AE192" s="564"/>
      <c r="AF192" s="564"/>
      <c r="AG192" s="564"/>
      <c r="AH192" s="564"/>
      <c r="AI192" s="564"/>
      <c r="AJ192" s="564"/>
      <c r="AK192" s="564"/>
      <c r="AL192" s="564"/>
      <c r="AM192" s="564"/>
      <c r="AN192" s="564"/>
      <c r="AO192" s="564"/>
      <c r="AP192" s="564"/>
      <c r="AQ192" s="564"/>
      <c r="AR192" s="564"/>
      <c r="AS192" s="564"/>
      <c r="AT192" s="564"/>
      <c r="AU192" s="564"/>
      <c r="AV192" s="564"/>
      <c r="AW192" s="564"/>
      <c r="AX192" s="564"/>
      <c r="AY192" s="564"/>
      <c r="AZ192" s="564"/>
      <c r="BA192" s="564"/>
      <c r="BB192" s="564"/>
      <c r="BC192" s="564"/>
      <c r="BD192" s="564"/>
      <c r="BE192" s="564"/>
      <c r="BF192" s="564"/>
      <c r="BG192" s="564"/>
      <c r="BH192" s="564"/>
      <c r="BI192" s="564"/>
      <c r="BJ192" s="564"/>
      <c r="BK192" s="564"/>
      <c r="BL192" s="564"/>
      <c r="BM192" s="564"/>
      <c r="BN192" s="564"/>
      <c r="BO192" s="564"/>
      <c r="BP192" s="564"/>
      <c r="BQ192" s="564"/>
      <c r="BR192" s="564"/>
      <c r="BS192" s="564"/>
      <c r="BT192" s="564"/>
      <c r="BU192" s="564"/>
      <c r="BV192" s="564"/>
      <c r="BW192" s="564"/>
      <c r="BX192" s="564"/>
      <c r="BY192" s="564"/>
      <c r="BZ192" s="564"/>
      <c r="CA192" s="564"/>
      <c r="CB192" s="564"/>
      <c r="CC192" s="564"/>
      <c r="CD192" s="564"/>
      <c r="CE192" s="564"/>
      <c r="CF192" s="564"/>
      <c r="CG192" s="564"/>
      <c r="CH192" s="564"/>
      <c r="CI192" s="564"/>
      <c r="CJ192" s="564"/>
      <c r="CK192" s="564"/>
      <c r="CL192" s="564"/>
      <c r="CM192" s="564"/>
      <c r="CN192" s="564"/>
      <c r="CO192" s="564"/>
      <c r="CP192" s="564"/>
      <c r="CQ192" s="564"/>
      <c r="CR192" s="564"/>
      <c r="CS192" s="564"/>
      <c r="CT192" s="564"/>
      <c r="CU192" s="564"/>
      <c r="CV192" s="564"/>
      <c r="CW192" s="564"/>
      <c r="CX192" s="564"/>
      <c r="CY192" s="564"/>
      <c r="CZ192" s="564"/>
      <c r="DA192" s="564"/>
      <c r="DB192" s="564"/>
      <c r="DC192" s="564"/>
      <c r="DD192" s="564"/>
      <c r="DE192" s="564"/>
      <c r="DF192" s="564"/>
      <c r="DG192" s="564"/>
      <c r="DH192" s="564"/>
      <c r="DI192" s="564"/>
      <c r="DJ192" s="564"/>
      <c r="DK192" s="564"/>
      <c r="DL192" s="564"/>
      <c r="DM192" s="564"/>
      <c r="DN192" s="564"/>
      <c r="DO192" s="564"/>
      <c r="DP192" s="564"/>
      <c r="DQ192" s="564"/>
      <c r="DR192" s="564"/>
      <c r="DS192" s="564"/>
      <c r="DT192" s="564"/>
      <c r="DU192" s="564"/>
      <c r="DV192" s="564"/>
      <c r="DW192" s="564"/>
    </row>
    <row r="193" spans="1:127" s="299" customFormat="1" x14ac:dyDescent="0.2">
      <c r="A193" s="85"/>
      <c r="B193" s="23" t="str">
        <f ca="1">IF(OFFSET(R193,0,Lang_Order*Lang__R2)="","",OFFSET(R193,0,Lang_Order*Lang__R2))</f>
        <v>Cold-chain domestic transportation</v>
      </c>
      <c r="C193" s="300" t="e">
        <f>'B4. Domestic Logistics'!J364</f>
        <v>#N/A</v>
      </c>
      <c r="D193" s="300" t="e">
        <f>'B4. Domestic Logistics'!K364</f>
        <v>#N/A</v>
      </c>
      <c r="E193" s="300" t="e">
        <f>'B4. Domestic Logistics'!L364</f>
        <v>#N/A</v>
      </c>
      <c r="F193" s="300" t="e">
        <f>'B4. Domestic Logistics'!M364</f>
        <v>#N/A</v>
      </c>
      <c r="G193" s="300" t="e">
        <f>'B4. Domestic Logistics'!N364</f>
        <v>#N/A</v>
      </c>
      <c r="H193" s="300" t="e">
        <f>'B4. Domestic Logistics'!O364</f>
        <v>#N/A</v>
      </c>
      <c r="I193" s="300" t="e">
        <f t="shared" si="55"/>
        <v>#N/A</v>
      </c>
      <c r="J193" s="620"/>
      <c r="K193" s="543"/>
      <c r="L193" s="543"/>
      <c r="M193" s="459"/>
      <c r="O193" s="567"/>
      <c r="P193" s="564"/>
      <c r="Q193" s="564"/>
      <c r="R193" s="564" t="s">
        <v>3965</v>
      </c>
      <c r="S193" s="564"/>
      <c r="T193" s="564"/>
      <c r="U193" s="564"/>
      <c r="V193" s="564"/>
      <c r="W193" s="564"/>
      <c r="X193" s="564"/>
      <c r="Y193" s="564"/>
      <c r="Z193" s="564"/>
      <c r="AA193" s="564"/>
      <c r="AB193" s="564"/>
      <c r="AC193" s="564"/>
      <c r="AD193" s="564"/>
      <c r="AE193" s="564"/>
      <c r="AF193" s="564"/>
      <c r="AG193" s="564"/>
      <c r="AH193" s="564" t="s">
        <v>5052</v>
      </c>
      <c r="AI193" s="564"/>
      <c r="AJ193" s="564"/>
      <c r="AK193" s="564"/>
      <c r="AL193" s="564"/>
      <c r="AM193" s="564"/>
      <c r="AN193" s="564"/>
      <c r="AO193" s="564"/>
      <c r="AP193" s="564"/>
      <c r="AQ193" s="564"/>
      <c r="AR193" s="564"/>
      <c r="AS193" s="564"/>
      <c r="AT193" s="564"/>
      <c r="AU193" s="564"/>
      <c r="AV193" s="564"/>
      <c r="AW193" s="564"/>
      <c r="AX193" s="564" t="s">
        <v>5053</v>
      </c>
      <c r="AY193" s="564"/>
      <c r="AZ193" s="564"/>
      <c r="BA193" s="564"/>
      <c r="BB193" s="564"/>
      <c r="BC193" s="564"/>
      <c r="BD193" s="564"/>
      <c r="BE193" s="564"/>
      <c r="BF193" s="564"/>
      <c r="BG193" s="564"/>
      <c r="BH193" s="564"/>
      <c r="BI193" s="564"/>
      <c r="BJ193" s="564"/>
      <c r="BK193" s="564"/>
      <c r="BL193" s="564"/>
      <c r="BM193" s="564"/>
      <c r="BN193" s="564" t="s">
        <v>5054</v>
      </c>
      <c r="BO193" s="564"/>
      <c r="BP193" s="564"/>
      <c r="BQ193" s="564"/>
      <c r="BR193" s="564"/>
      <c r="BS193" s="564"/>
      <c r="BT193" s="564"/>
      <c r="BU193" s="564"/>
      <c r="BV193" s="564"/>
      <c r="BW193" s="564"/>
      <c r="BX193" s="564"/>
      <c r="BY193" s="564"/>
      <c r="BZ193" s="564"/>
      <c r="CA193" s="564"/>
      <c r="CB193" s="564"/>
      <c r="CC193" s="564"/>
      <c r="CD193" s="564" t="s">
        <v>5055</v>
      </c>
      <c r="CE193" s="564"/>
      <c r="CF193" s="564"/>
      <c r="CG193" s="564"/>
      <c r="CH193" s="564"/>
      <c r="CI193" s="564"/>
      <c r="CJ193" s="564"/>
      <c r="CK193" s="564"/>
      <c r="CL193" s="564"/>
      <c r="CM193" s="564"/>
      <c r="CN193" s="564"/>
      <c r="CO193" s="564"/>
      <c r="CP193" s="564"/>
      <c r="CQ193" s="564"/>
      <c r="CR193" s="564"/>
      <c r="CS193" s="564"/>
      <c r="CT193" s="564" t="s">
        <v>5056</v>
      </c>
      <c r="CU193" s="564"/>
      <c r="CV193" s="564"/>
      <c r="CW193" s="564"/>
      <c r="CX193" s="564"/>
      <c r="CY193" s="564"/>
      <c r="CZ193" s="564"/>
      <c r="DA193" s="564"/>
      <c r="DB193" s="564"/>
      <c r="DC193" s="564"/>
      <c r="DD193" s="564"/>
      <c r="DE193" s="564"/>
      <c r="DF193" s="564"/>
      <c r="DG193" s="564"/>
      <c r="DH193" s="564"/>
      <c r="DI193" s="564"/>
      <c r="DJ193" s="564" t="s">
        <v>5057</v>
      </c>
      <c r="DK193" s="564"/>
      <c r="DL193" s="564"/>
      <c r="DM193" s="564"/>
      <c r="DN193" s="564"/>
      <c r="DO193" s="564"/>
      <c r="DP193" s="564"/>
      <c r="DQ193" s="564"/>
      <c r="DR193" s="564"/>
      <c r="DS193" s="564"/>
      <c r="DT193" s="564"/>
      <c r="DU193" s="564"/>
      <c r="DV193" s="564"/>
      <c r="DW193" s="564"/>
    </row>
    <row r="194" spans="1:127" s="281" customFormat="1" ht="13.5" thickBot="1" x14ac:dyDescent="0.25">
      <c r="A194" s="85"/>
      <c r="B194" s="21" t="str">
        <f ca="1">IF(OFFSET(R194,0,Lang_Order*Lang__R2)="","",OFFSET(R194,0,Lang_Order*Lang__R2))</f>
        <v>5.2 Operational expenditure</v>
      </c>
      <c r="C194" s="118" t="e">
        <f t="shared" ref="C194:H194" si="56">IF(ISBLANK(C196),C195,C196)</f>
        <v>#N/A</v>
      </c>
      <c r="D194" s="118" t="e">
        <f t="shared" si="56"/>
        <v>#N/A</v>
      </c>
      <c r="E194" s="118" t="e">
        <f t="shared" si="56"/>
        <v>#N/A</v>
      </c>
      <c r="F194" s="118" t="e">
        <f t="shared" si="56"/>
        <v>#N/A</v>
      </c>
      <c r="G194" s="118" t="e">
        <f t="shared" si="56"/>
        <v>#N/A</v>
      </c>
      <c r="H194" s="118" t="e">
        <f t="shared" si="56"/>
        <v>#N/A</v>
      </c>
      <c r="I194" s="282" t="e">
        <f t="shared" si="55"/>
        <v>#N/A</v>
      </c>
      <c r="J194" s="620" t="s">
        <v>5134</v>
      </c>
      <c r="K194" s="35" t="s">
        <v>2844</v>
      </c>
      <c r="L194" s="35" t="s">
        <v>3188</v>
      </c>
      <c r="M194" s="459"/>
      <c r="O194" s="587"/>
      <c r="P194" s="564"/>
      <c r="Q194" s="564"/>
      <c r="R194" s="564" t="s">
        <v>14163</v>
      </c>
      <c r="S194" s="564"/>
      <c r="T194" s="564"/>
      <c r="U194" s="564"/>
      <c r="V194" s="564"/>
      <c r="W194" s="564"/>
      <c r="X194" s="564"/>
      <c r="Y194" s="564"/>
      <c r="Z194" s="564"/>
      <c r="AA194" s="564"/>
      <c r="AB194" s="564"/>
      <c r="AC194" s="564"/>
      <c r="AD194" s="564"/>
      <c r="AE194" s="564"/>
      <c r="AF194" s="564"/>
      <c r="AG194" s="564"/>
      <c r="AH194" s="564" t="s">
        <v>13024</v>
      </c>
      <c r="AI194" s="564"/>
      <c r="AJ194" s="564"/>
      <c r="AK194" s="564"/>
      <c r="AL194" s="564"/>
      <c r="AM194" s="564"/>
      <c r="AN194" s="564"/>
      <c r="AO194" s="564"/>
      <c r="AP194" s="564"/>
      <c r="AQ194" s="564"/>
      <c r="AR194" s="564"/>
      <c r="AS194" s="564"/>
      <c r="AT194" s="564"/>
      <c r="AU194" s="564"/>
      <c r="AV194" s="564"/>
      <c r="AW194" s="564"/>
      <c r="AX194" s="564" t="s">
        <v>13025</v>
      </c>
      <c r="AY194" s="564"/>
      <c r="AZ194" s="564"/>
      <c r="BA194" s="564"/>
      <c r="BB194" s="564"/>
      <c r="BC194" s="564"/>
      <c r="BD194" s="564"/>
      <c r="BE194" s="564"/>
      <c r="BF194" s="564"/>
      <c r="BG194" s="564"/>
      <c r="BH194" s="564"/>
      <c r="BI194" s="564"/>
      <c r="BJ194" s="564"/>
      <c r="BK194" s="564"/>
      <c r="BL194" s="564"/>
      <c r="BM194" s="564"/>
      <c r="BN194" s="564" t="s">
        <v>13026</v>
      </c>
      <c r="BO194" s="564"/>
      <c r="BP194" s="564"/>
      <c r="BQ194" s="564"/>
      <c r="BR194" s="564"/>
      <c r="BS194" s="564"/>
      <c r="BT194" s="564"/>
      <c r="BU194" s="564"/>
      <c r="BV194" s="564"/>
      <c r="BW194" s="564"/>
      <c r="BX194" s="564"/>
      <c r="BY194" s="564"/>
      <c r="BZ194" s="564"/>
      <c r="CA194" s="564"/>
      <c r="CB194" s="564"/>
      <c r="CC194" s="564"/>
      <c r="CD194" s="564" t="s">
        <v>13027</v>
      </c>
      <c r="CE194" s="564"/>
      <c r="CF194" s="564"/>
      <c r="CG194" s="564"/>
      <c r="CH194" s="564"/>
      <c r="CI194" s="564"/>
      <c r="CJ194" s="564"/>
      <c r="CK194" s="564"/>
      <c r="CL194" s="564"/>
      <c r="CM194" s="564"/>
      <c r="CN194" s="564"/>
      <c r="CO194" s="564"/>
      <c r="CP194" s="564"/>
      <c r="CQ194" s="564"/>
      <c r="CR194" s="564"/>
      <c r="CS194" s="564"/>
      <c r="CT194" s="564" t="s">
        <v>13028</v>
      </c>
      <c r="CU194" s="564"/>
      <c r="CV194" s="564"/>
      <c r="CW194" s="564"/>
      <c r="CX194" s="564"/>
      <c r="CY194" s="564"/>
      <c r="CZ194" s="564"/>
      <c r="DA194" s="564"/>
      <c r="DB194" s="564"/>
      <c r="DC194" s="564"/>
      <c r="DD194" s="564"/>
      <c r="DE194" s="564"/>
      <c r="DF194" s="564"/>
      <c r="DG194" s="564"/>
      <c r="DH194" s="564"/>
      <c r="DI194" s="564"/>
      <c r="DJ194" s="564" t="s">
        <v>13029</v>
      </c>
      <c r="DK194" s="564"/>
      <c r="DL194" s="564"/>
      <c r="DM194" s="564"/>
      <c r="DN194" s="564"/>
      <c r="DO194" s="564"/>
      <c r="DP194" s="564"/>
      <c r="DQ194" s="564"/>
      <c r="DR194" s="564"/>
      <c r="DS194" s="564"/>
      <c r="DT194" s="564"/>
      <c r="DU194" s="564"/>
      <c r="DV194" s="564"/>
      <c r="DW194" s="564"/>
    </row>
    <row r="195" spans="1:127" s="2" customFormat="1" ht="13.5" thickTop="1" x14ac:dyDescent="0.2">
      <c r="A195" s="73"/>
      <c r="B195" s="72" t="str">
        <f ca="1">IF(OFFSET(R195,0,Lang_Order*Lang__R2)="","",OFFSET(R195,0,Lang_Order*Lang__R2))</f>
        <v>CVIC Estimates</v>
      </c>
      <c r="C195" s="199" t="e">
        <f t="shared" ref="C195:H195" si="57">SUM(C189:C193)</f>
        <v>#N/A</v>
      </c>
      <c r="D195" s="199" t="e">
        <f t="shared" si="57"/>
        <v>#N/A</v>
      </c>
      <c r="E195" s="199" t="e">
        <f t="shared" si="57"/>
        <v>#N/A</v>
      </c>
      <c r="F195" s="199" t="e">
        <f t="shared" si="57"/>
        <v>#N/A</v>
      </c>
      <c r="G195" s="199" t="e">
        <f t="shared" si="57"/>
        <v>#N/A</v>
      </c>
      <c r="H195" s="199" t="e">
        <f t="shared" si="57"/>
        <v>#N/A</v>
      </c>
      <c r="I195" s="199" t="e">
        <f t="shared" si="55"/>
        <v>#N/A</v>
      </c>
      <c r="J195" s="620" t="s">
        <v>5135</v>
      </c>
      <c r="P195" s="564"/>
      <c r="Q195" s="564"/>
      <c r="R195" s="564" t="s">
        <v>12973</v>
      </c>
      <c r="S195" s="564"/>
      <c r="T195" s="564"/>
      <c r="U195" s="564"/>
      <c r="V195" s="564"/>
      <c r="W195" s="564"/>
      <c r="X195" s="564"/>
      <c r="Y195" s="564"/>
      <c r="Z195" s="564"/>
      <c r="AA195" s="564"/>
      <c r="AB195" s="564"/>
      <c r="AC195" s="564"/>
      <c r="AD195" s="564"/>
      <c r="AE195" s="564"/>
      <c r="AF195" s="564"/>
      <c r="AG195" s="564"/>
      <c r="AH195" s="564" t="s">
        <v>12974</v>
      </c>
      <c r="AI195" s="564"/>
      <c r="AJ195" s="564"/>
      <c r="AK195" s="564"/>
      <c r="AL195" s="564"/>
      <c r="AM195" s="564"/>
      <c r="AN195" s="564"/>
      <c r="AO195" s="564"/>
      <c r="AP195" s="564"/>
      <c r="AQ195" s="564"/>
      <c r="AR195" s="564"/>
      <c r="AS195" s="564"/>
      <c r="AT195" s="564"/>
      <c r="AU195" s="564"/>
      <c r="AV195" s="564"/>
      <c r="AW195" s="564"/>
      <c r="AX195" s="564" t="s">
        <v>12968</v>
      </c>
      <c r="AY195" s="564"/>
      <c r="AZ195" s="564"/>
      <c r="BA195" s="564"/>
      <c r="BB195" s="564"/>
      <c r="BC195" s="564"/>
      <c r="BD195" s="564"/>
      <c r="BE195" s="564"/>
      <c r="BF195" s="564"/>
      <c r="BG195" s="564"/>
      <c r="BH195" s="564"/>
      <c r="BI195" s="564"/>
      <c r="BJ195" s="564"/>
      <c r="BK195" s="564"/>
      <c r="BL195" s="564"/>
      <c r="BM195" s="564"/>
      <c r="BN195" s="564" t="s">
        <v>12969</v>
      </c>
      <c r="BO195" s="564"/>
      <c r="BP195" s="564"/>
      <c r="BQ195" s="564"/>
      <c r="BR195" s="564"/>
      <c r="BS195" s="564"/>
      <c r="BT195" s="564"/>
      <c r="BU195" s="564"/>
      <c r="BV195" s="564"/>
      <c r="BW195" s="564"/>
      <c r="BX195" s="564"/>
      <c r="BY195" s="564"/>
      <c r="BZ195" s="564"/>
      <c r="CA195" s="564"/>
      <c r="CB195" s="564"/>
      <c r="CC195" s="564"/>
      <c r="CD195" s="564" t="s">
        <v>12970</v>
      </c>
      <c r="CE195" s="564"/>
      <c r="CF195" s="564"/>
      <c r="CG195" s="564"/>
      <c r="CH195" s="564"/>
      <c r="CI195" s="564"/>
      <c r="CJ195" s="564"/>
      <c r="CK195" s="564"/>
      <c r="CL195" s="564"/>
      <c r="CM195" s="564"/>
      <c r="CN195" s="564"/>
      <c r="CO195" s="564"/>
      <c r="CP195" s="564"/>
      <c r="CQ195" s="564"/>
      <c r="CR195" s="564"/>
      <c r="CS195" s="564"/>
      <c r="CT195" s="564" t="s">
        <v>12971</v>
      </c>
      <c r="CU195" s="564"/>
      <c r="CV195" s="564"/>
      <c r="CW195" s="564"/>
      <c r="CX195" s="564"/>
      <c r="CY195" s="564"/>
      <c r="CZ195" s="564"/>
      <c r="DA195" s="564"/>
      <c r="DB195" s="564"/>
      <c r="DC195" s="564"/>
      <c r="DD195" s="564"/>
      <c r="DE195" s="564"/>
      <c r="DF195" s="564"/>
      <c r="DG195" s="564"/>
      <c r="DH195" s="564"/>
      <c r="DI195" s="564"/>
      <c r="DJ195" s="564" t="s">
        <v>12972</v>
      </c>
      <c r="DK195" s="564"/>
      <c r="DL195" s="564"/>
      <c r="DM195" s="564"/>
      <c r="DN195" s="564"/>
      <c r="DO195" s="564"/>
      <c r="DP195" s="564"/>
      <c r="DQ195" s="564"/>
      <c r="DR195" s="564"/>
      <c r="DS195" s="564"/>
      <c r="DT195" s="564"/>
      <c r="DU195" s="564"/>
      <c r="DV195" s="564"/>
      <c r="DW195" s="564"/>
    </row>
    <row r="196" spans="1:127" s="536" customFormat="1" x14ac:dyDescent="0.2">
      <c r="A196" s="350">
        <v>2</v>
      </c>
      <c r="B196" s="5" t="str">
        <f ca="1">IF(OFFSET(R196,0,Lang_Order*Lang__R2)="","",OFFSET(R196,0,Lang_Order*Lang__R2))</f>
        <v>OVERRIDE HERE if alternative costing used for section above</v>
      </c>
      <c r="C196" s="284"/>
      <c r="D196" s="284"/>
      <c r="E196" s="284"/>
      <c r="F196" s="284"/>
      <c r="G196" s="284"/>
      <c r="H196" s="284"/>
      <c r="I196" s="81" t="str">
        <f>Lang_LeaveBlank</f>
        <v>Leave Blank</v>
      </c>
      <c r="J196" s="620" t="s">
        <v>5136</v>
      </c>
      <c r="K196" s="543"/>
      <c r="L196" s="543"/>
      <c r="O196" s="587"/>
      <c r="P196" s="564"/>
      <c r="Q196" s="564"/>
      <c r="R196" s="564" t="s">
        <v>4591</v>
      </c>
      <c r="S196" s="564"/>
      <c r="T196" s="564"/>
      <c r="U196" s="564"/>
      <c r="V196" s="564"/>
      <c r="W196" s="564"/>
      <c r="X196" s="564"/>
      <c r="Y196" s="564"/>
      <c r="Z196" s="564"/>
      <c r="AA196" s="564"/>
      <c r="AB196" s="564"/>
      <c r="AC196" s="564"/>
      <c r="AD196" s="564"/>
      <c r="AE196" s="564"/>
      <c r="AF196" s="564"/>
      <c r="AG196" s="564"/>
      <c r="AH196" s="564" t="s">
        <v>12949</v>
      </c>
      <c r="AI196" s="564"/>
      <c r="AJ196" s="564"/>
      <c r="AK196" s="564"/>
      <c r="AL196" s="564"/>
      <c r="AM196" s="564"/>
      <c r="AN196" s="564"/>
      <c r="AO196" s="564"/>
      <c r="AP196" s="564"/>
      <c r="AQ196" s="564"/>
      <c r="AR196" s="564"/>
      <c r="AS196" s="564"/>
      <c r="AT196" s="564"/>
      <c r="AU196" s="564"/>
      <c r="AV196" s="564"/>
      <c r="AW196" s="564"/>
      <c r="AX196" s="564" t="s">
        <v>12950</v>
      </c>
      <c r="AY196" s="564"/>
      <c r="AZ196" s="564"/>
      <c r="BA196" s="564"/>
      <c r="BB196" s="564"/>
      <c r="BC196" s="564"/>
      <c r="BD196" s="564"/>
      <c r="BE196" s="564"/>
      <c r="BF196" s="564"/>
      <c r="BG196" s="564"/>
      <c r="BH196" s="564"/>
      <c r="BI196" s="564"/>
      <c r="BJ196" s="564"/>
      <c r="BK196" s="564"/>
      <c r="BL196" s="564"/>
      <c r="BM196" s="564"/>
      <c r="BN196" s="564" t="s">
        <v>12951</v>
      </c>
      <c r="BO196" s="564"/>
      <c r="BP196" s="564"/>
      <c r="BQ196" s="564"/>
      <c r="BR196" s="564"/>
      <c r="BS196" s="564"/>
      <c r="BT196" s="564"/>
      <c r="BU196" s="564"/>
      <c r="BV196" s="564"/>
      <c r="BW196" s="564"/>
      <c r="BX196" s="564"/>
      <c r="BY196" s="564"/>
      <c r="BZ196" s="564"/>
      <c r="CA196" s="564"/>
      <c r="CB196" s="564"/>
      <c r="CC196" s="564"/>
      <c r="CD196" s="564" t="s">
        <v>12952</v>
      </c>
      <c r="CE196" s="564"/>
      <c r="CF196" s="564"/>
      <c r="CG196" s="564"/>
      <c r="CH196" s="564"/>
      <c r="CI196" s="564"/>
      <c r="CJ196" s="564"/>
      <c r="CK196" s="564"/>
      <c r="CL196" s="564"/>
      <c r="CM196" s="564"/>
      <c r="CN196" s="564"/>
      <c r="CO196" s="564"/>
      <c r="CP196" s="564"/>
      <c r="CQ196" s="564"/>
      <c r="CR196" s="564"/>
      <c r="CS196" s="564"/>
      <c r="CT196" s="564" t="s">
        <v>12953</v>
      </c>
      <c r="CU196" s="564"/>
      <c r="CV196" s="564"/>
      <c r="CW196" s="564"/>
      <c r="CX196" s="564"/>
      <c r="CY196" s="564"/>
      <c r="CZ196" s="564"/>
      <c r="DA196" s="564"/>
      <c r="DB196" s="564"/>
      <c r="DC196" s="564"/>
      <c r="DD196" s="564"/>
      <c r="DE196" s="564"/>
      <c r="DF196" s="564"/>
      <c r="DG196" s="564"/>
      <c r="DH196" s="564"/>
      <c r="DI196" s="564"/>
      <c r="DJ196" s="564" t="s">
        <v>12954</v>
      </c>
      <c r="DK196" s="564"/>
      <c r="DL196" s="564"/>
      <c r="DM196" s="564"/>
      <c r="DN196" s="564"/>
      <c r="DO196" s="564"/>
      <c r="DP196" s="564"/>
      <c r="DQ196" s="564"/>
      <c r="DR196" s="564"/>
      <c r="DS196" s="564"/>
      <c r="DT196" s="564"/>
      <c r="DU196" s="564"/>
      <c r="DV196" s="564"/>
      <c r="DW196" s="564"/>
    </row>
    <row r="197" spans="1:127" s="281" customFormat="1" x14ac:dyDescent="0.2">
      <c r="A197" s="85"/>
      <c r="B197" s="23"/>
      <c r="J197" s="620"/>
      <c r="K197" s="543"/>
      <c r="L197" s="543"/>
      <c r="M197" s="459"/>
      <c r="O197" s="567"/>
      <c r="P197" s="564"/>
      <c r="Q197" s="564"/>
      <c r="R197" s="564"/>
      <c r="S197" s="564"/>
      <c r="T197" s="564"/>
      <c r="U197" s="564"/>
      <c r="V197" s="564"/>
      <c r="W197" s="564"/>
      <c r="X197" s="564"/>
      <c r="Y197" s="564"/>
      <c r="Z197" s="564"/>
      <c r="AA197" s="564"/>
      <c r="AB197" s="564"/>
      <c r="AC197" s="564"/>
      <c r="AD197" s="564"/>
      <c r="AE197" s="564"/>
      <c r="AF197" s="564"/>
      <c r="AG197" s="564"/>
      <c r="AH197" s="564"/>
      <c r="AI197" s="564"/>
      <c r="AJ197" s="564"/>
      <c r="AK197" s="564"/>
      <c r="AL197" s="564"/>
      <c r="AM197" s="564"/>
      <c r="AN197" s="564"/>
      <c r="AO197" s="564"/>
      <c r="AP197" s="564"/>
      <c r="AQ197" s="564"/>
      <c r="AR197" s="564"/>
      <c r="AS197" s="564"/>
      <c r="AT197" s="564"/>
      <c r="AU197" s="564"/>
      <c r="AV197" s="564"/>
      <c r="AW197" s="564"/>
      <c r="AX197" s="564"/>
      <c r="AY197" s="564"/>
      <c r="AZ197" s="564"/>
      <c r="BA197" s="564"/>
      <c r="BB197" s="564"/>
      <c r="BC197" s="564"/>
      <c r="BD197" s="564"/>
      <c r="BE197" s="564"/>
      <c r="BF197" s="564"/>
      <c r="BG197" s="564"/>
      <c r="BH197" s="564"/>
      <c r="BI197" s="564"/>
      <c r="BJ197" s="564"/>
      <c r="BK197" s="564"/>
      <c r="BL197" s="564"/>
      <c r="BM197" s="564"/>
      <c r="BN197" s="564"/>
      <c r="BO197" s="564"/>
      <c r="BP197" s="564"/>
      <c r="BQ197" s="564"/>
      <c r="BR197" s="564"/>
      <c r="BS197" s="564"/>
      <c r="BT197" s="564"/>
      <c r="BU197" s="564"/>
      <c r="BV197" s="564"/>
      <c r="BW197" s="564"/>
      <c r="BX197" s="564"/>
      <c r="BY197" s="564"/>
      <c r="BZ197" s="564"/>
      <c r="CA197" s="564"/>
      <c r="CB197" s="564"/>
      <c r="CC197" s="564"/>
      <c r="CD197" s="564"/>
      <c r="CE197" s="564"/>
      <c r="CF197" s="564"/>
      <c r="CG197" s="564"/>
      <c r="CH197" s="564"/>
      <c r="CI197" s="564"/>
      <c r="CJ197" s="564"/>
      <c r="CK197" s="564"/>
      <c r="CL197" s="564"/>
      <c r="CM197" s="564"/>
      <c r="CN197" s="564"/>
      <c r="CO197" s="564"/>
      <c r="CP197" s="564"/>
      <c r="CQ197" s="564"/>
      <c r="CR197" s="564"/>
      <c r="CS197" s="564"/>
      <c r="CT197" s="564"/>
      <c r="CU197" s="564"/>
      <c r="CV197" s="564"/>
      <c r="CW197" s="564"/>
      <c r="CX197" s="564"/>
      <c r="CY197" s="564"/>
      <c r="CZ197" s="564"/>
      <c r="DA197" s="564"/>
      <c r="DB197" s="564"/>
      <c r="DC197" s="564"/>
      <c r="DD197" s="564"/>
      <c r="DE197" s="564"/>
      <c r="DF197" s="564"/>
      <c r="DG197" s="564"/>
      <c r="DH197" s="564"/>
      <c r="DI197" s="564"/>
      <c r="DJ197" s="564"/>
      <c r="DK197" s="564"/>
      <c r="DL197" s="564"/>
      <c r="DM197" s="564"/>
      <c r="DN197" s="564"/>
      <c r="DO197" s="564"/>
      <c r="DP197" s="564"/>
      <c r="DQ197" s="564"/>
      <c r="DR197" s="564"/>
      <c r="DS197" s="564"/>
      <c r="DT197" s="564"/>
      <c r="DU197" s="564"/>
      <c r="DV197" s="564"/>
      <c r="DW197" s="564"/>
    </row>
    <row r="198" spans="1:127" s="281" customFormat="1" ht="15" x14ac:dyDescent="0.25">
      <c r="A198" s="85"/>
      <c r="B198" s="33" t="str">
        <f ca="1">IF(OFFSET(R198,0,Lang_Order*Lang__R2)="","",OFFSET(R198,0,Lang_Order*Lang__R2))</f>
        <v>R2.1.6 Data Management, Monitoring &amp; Evaluation, and Oversight</v>
      </c>
      <c r="C198" s="195" t="e">
        <f t="shared" ref="C198:H198" si="58">SUM(C201,C209,C213,C217)</f>
        <v>#N/A</v>
      </c>
      <c r="D198" s="195" t="e">
        <f t="shared" si="58"/>
        <v>#N/A</v>
      </c>
      <c r="E198" s="195" t="e">
        <f t="shared" si="58"/>
        <v>#N/A</v>
      </c>
      <c r="F198" s="195" t="e">
        <f t="shared" si="58"/>
        <v>#N/A</v>
      </c>
      <c r="G198" s="195" t="e">
        <f t="shared" si="58"/>
        <v>#N/A</v>
      </c>
      <c r="H198" s="195" t="e">
        <f t="shared" si="58"/>
        <v>#N/A</v>
      </c>
      <c r="I198" s="195" t="e">
        <f>SUM(C198:H198)</f>
        <v>#N/A</v>
      </c>
      <c r="J198" s="620" t="s">
        <v>5099</v>
      </c>
      <c r="K198" s="543"/>
      <c r="L198" s="543"/>
      <c r="M198" s="459"/>
      <c r="O198" s="567"/>
      <c r="P198" s="564"/>
      <c r="Q198" s="564"/>
      <c r="R198" s="564" t="s">
        <v>14616</v>
      </c>
      <c r="S198" s="564"/>
      <c r="T198" s="564"/>
      <c r="U198" s="564"/>
      <c r="V198" s="564"/>
      <c r="W198" s="564"/>
      <c r="X198" s="564"/>
      <c r="Y198" s="564"/>
      <c r="Z198" s="564"/>
      <c r="AA198" s="564"/>
      <c r="AB198" s="564"/>
      <c r="AC198" s="564"/>
      <c r="AD198" s="564"/>
      <c r="AE198" s="564"/>
      <c r="AF198" s="564"/>
      <c r="AG198" s="564"/>
      <c r="AH198" s="564" t="s">
        <v>14617</v>
      </c>
      <c r="AI198" s="564"/>
      <c r="AJ198" s="564"/>
      <c r="AK198" s="564"/>
      <c r="AL198" s="564"/>
      <c r="AM198" s="564"/>
      <c r="AN198" s="564"/>
      <c r="AO198" s="564"/>
      <c r="AP198" s="564"/>
      <c r="AQ198" s="564"/>
      <c r="AR198" s="564"/>
      <c r="AS198" s="564"/>
      <c r="AT198" s="564"/>
      <c r="AU198" s="564"/>
      <c r="AV198" s="564"/>
      <c r="AW198" s="564"/>
      <c r="AX198" s="564" t="s">
        <v>14618</v>
      </c>
      <c r="AY198" s="564"/>
      <c r="AZ198" s="564"/>
      <c r="BA198" s="564"/>
      <c r="BB198" s="564"/>
      <c r="BC198" s="564"/>
      <c r="BD198" s="564"/>
      <c r="BE198" s="564"/>
      <c r="BF198" s="564"/>
      <c r="BG198" s="564"/>
      <c r="BH198" s="564"/>
      <c r="BI198" s="564"/>
      <c r="BJ198" s="564"/>
      <c r="BK198" s="564"/>
      <c r="BL198" s="564"/>
      <c r="BM198" s="564"/>
      <c r="BN198" s="564" t="s">
        <v>14619</v>
      </c>
      <c r="BO198" s="564"/>
      <c r="BP198" s="564"/>
      <c r="BQ198" s="564"/>
      <c r="BR198" s="564"/>
      <c r="BS198" s="564"/>
      <c r="BT198" s="564"/>
      <c r="BU198" s="564"/>
      <c r="BV198" s="564"/>
      <c r="BW198" s="564"/>
      <c r="BX198" s="564"/>
      <c r="BY198" s="564"/>
      <c r="BZ198" s="564"/>
      <c r="CA198" s="564"/>
      <c r="CB198" s="564"/>
      <c r="CC198" s="564"/>
      <c r="CD198" s="564" t="s">
        <v>14620</v>
      </c>
      <c r="CE198" s="564"/>
      <c r="CF198" s="564"/>
      <c r="CG198" s="564"/>
      <c r="CH198" s="564"/>
      <c r="CI198" s="564"/>
      <c r="CJ198" s="564"/>
      <c r="CK198" s="564"/>
      <c r="CL198" s="564"/>
      <c r="CM198" s="564"/>
      <c r="CN198" s="564"/>
      <c r="CO198" s="564"/>
      <c r="CP198" s="564"/>
      <c r="CQ198" s="564"/>
      <c r="CR198" s="564"/>
      <c r="CS198" s="564"/>
      <c r="CT198" s="564" t="s">
        <v>14621</v>
      </c>
      <c r="CU198" s="564"/>
      <c r="CV198" s="564"/>
      <c r="CW198" s="564"/>
      <c r="CX198" s="564"/>
      <c r="CY198" s="564"/>
      <c r="CZ198" s="564"/>
      <c r="DA198" s="564"/>
      <c r="DB198" s="564"/>
      <c r="DC198" s="564"/>
      <c r="DD198" s="564"/>
      <c r="DE198" s="564"/>
      <c r="DF198" s="564"/>
      <c r="DG198" s="564"/>
      <c r="DH198" s="564"/>
      <c r="DI198" s="564"/>
      <c r="DJ198" s="564" t="s">
        <v>14622</v>
      </c>
      <c r="DK198" s="564"/>
      <c r="DL198" s="564"/>
      <c r="DM198" s="564"/>
      <c r="DN198" s="564"/>
      <c r="DO198" s="564"/>
      <c r="DP198" s="564"/>
      <c r="DQ198" s="564"/>
      <c r="DR198" s="564"/>
      <c r="DS198" s="564"/>
      <c r="DT198" s="564"/>
      <c r="DU198" s="564"/>
      <c r="DV198" s="564"/>
      <c r="DW198" s="564"/>
    </row>
    <row r="199" spans="1:127" s="567" customFormat="1" x14ac:dyDescent="0.2">
      <c r="A199" s="663"/>
      <c r="B199" s="588" t="str">
        <f ca="1">IF(OFFSET(R199,0,Lang_Order*Lang__R2)="","",OFFSET(R199,0,Lang_Order*Lang__R2))</f>
        <v>Technical Assistance</v>
      </c>
      <c r="C199" s="300" t="e">
        <f>SUM('A4. INPUT Central Costs'!$J$81:$J$86)*C$74</f>
        <v>#N/A</v>
      </c>
      <c r="D199" s="300" t="e">
        <f>SUM('A4. INPUT Central Costs'!$J$81:$J$86)*D$74</f>
        <v>#N/A</v>
      </c>
      <c r="E199" s="300" t="e">
        <f>SUM('A4. INPUT Central Costs'!$J$81:$J$86)*E$74</f>
        <v>#N/A</v>
      </c>
      <c r="F199" s="300" t="e">
        <f>SUM('A4. INPUT Central Costs'!$J$81:$J$86)*F$74</f>
        <v>#N/A</v>
      </c>
      <c r="G199" s="300" t="e">
        <f>SUM('A4. INPUT Central Costs'!$J$81:$J$86)*G$74</f>
        <v>#N/A</v>
      </c>
      <c r="H199" s="300" t="e">
        <f>SUM('A4. INPUT Central Costs'!$J$81:$J$86)*H$74</f>
        <v>#N/A</v>
      </c>
      <c r="I199" s="300" t="e">
        <f t="shared" ref="I199:I200" si="59">SUM(C199:H199)</f>
        <v>#N/A</v>
      </c>
      <c r="J199" s="620"/>
      <c r="P199" s="564"/>
      <c r="Q199" s="564"/>
      <c r="R199" s="564" t="s">
        <v>13982</v>
      </c>
      <c r="S199" s="564"/>
      <c r="T199" s="564"/>
      <c r="U199" s="564"/>
      <c r="V199" s="564"/>
      <c r="W199" s="564"/>
      <c r="X199" s="564"/>
      <c r="Y199" s="564"/>
      <c r="Z199" s="564"/>
      <c r="AA199" s="564"/>
      <c r="AB199" s="564"/>
      <c r="AC199" s="564"/>
      <c r="AD199" s="564"/>
      <c r="AE199" s="564"/>
      <c r="AF199" s="564"/>
      <c r="AG199" s="564"/>
      <c r="AH199" s="564" t="s">
        <v>13983</v>
      </c>
      <c r="AI199" s="564"/>
      <c r="AJ199" s="564"/>
      <c r="AK199" s="564"/>
      <c r="AL199" s="564"/>
      <c r="AM199" s="564"/>
      <c r="AN199" s="564"/>
      <c r="AO199" s="564"/>
      <c r="AP199" s="564"/>
      <c r="AQ199" s="564"/>
      <c r="AR199" s="564"/>
      <c r="AS199" s="564"/>
      <c r="AT199" s="564"/>
      <c r="AU199" s="564"/>
      <c r="AV199" s="564"/>
      <c r="AW199" s="564"/>
      <c r="AX199" s="564" t="s">
        <v>13984</v>
      </c>
      <c r="AY199" s="564"/>
      <c r="AZ199" s="564"/>
      <c r="BA199" s="564"/>
      <c r="BB199" s="564"/>
      <c r="BC199" s="564"/>
      <c r="BD199" s="564"/>
      <c r="BE199" s="564"/>
      <c r="BF199" s="564"/>
      <c r="BG199" s="564"/>
      <c r="BH199" s="564"/>
      <c r="BI199" s="564"/>
      <c r="BJ199" s="564"/>
      <c r="BK199" s="564"/>
      <c r="BL199" s="564"/>
      <c r="BM199" s="564"/>
      <c r="BN199" s="564" t="s">
        <v>13985</v>
      </c>
      <c r="BO199" s="564"/>
      <c r="BP199" s="564"/>
      <c r="BQ199" s="564"/>
      <c r="BR199" s="564"/>
      <c r="BS199" s="564"/>
      <c r="BT199" s="564"/>
      <c r="BU199" s="564"/>
      <c r="BV199" s="564"/>
      <c r="BW199" s="564"/>
      <c r="BX199" s="564"/>
      <c r="BY199" s="564"/>
      <c r="BZ199" s="564"/>
      <c r="CA199" s="564"/>
      <c r="CB199" s="564"/>
      <c r="CC199" s="564"/>
      <c r="CD199" s="564" t="s">
        <v>13986</v>
      </c>
      <c r="CE199" s="564"/>
      <c r="CF199" s="564"/>
      <c r="CG199" s="564"/>
      <c r="CH199" s="564"/>
      <c r="CI199" s="564"/>
      <c r="CJ199" s="564"/>
      <c r="CK199" s="564"/>
      <c r="CL199" s="564"/>
      <c r="CM199" s="564"/>
      <c r="CN199" s="564"/>
      <c r="CO199" s="564"/>
      <c r="CP199" s="564"/>
      <c r="CQ199" s="564"/>
      <c r="CR199" s="564"/>
      <c r="CS199" s="564"/>
      <c r="CT199" s="564" t="s">
        <v>13987</v>
      </c>
      <c r="CU199" s="564"/>
      <c r="CV199" s="564"/>
      <c r="CW199" s="564"/>
      <c r="CX199" s="564"/>
      <c r="CY199" s="564"/>
      <c r="CZ199" s="564"/>
      <c r="DA199" s="564"/>
      <c r="DB199" s="564"/>
      <c r="DC199" s="564"/>
      <c r="DD199" s="564"/>
      <c r="DE199" s="564"/>
      <c r="DF199" s="564"/>
      <c r="DG199" s="564"/>
      <c r="DH199" s="564"/>
      <c r="DI199" s="564"/>
      <c r="DJ199" s="564" t="s">
        <v>13988</v>
      </c>
      <c r="DK199" s="564"/>
      <c r="DL199" s="564"/>
      <c r="DM199" s="564"/>
      <c r="DN199" s="564"/>
      <c r="DO199" s="564"/>
      <c r="DP199" s="564"/>
      <c r="DQ199" s="564"/>
      <c r="DR199" s="564"/>
      <c r="DS199" s="564"/>
      <c r="DT199" s="564"/>
      <c r="DU199" s="564"/>
      <c r="DV199" s="564"/>
      <c r="DW199" s="564"/>
    </row>
    <row r="200" spans="1:127" s="567" customFormat="1" x14ac:dyDescent="0.2">
      <c r="B200" s="588" t="str">
        <f ca="1">'B5. Last Mile Delivery'!C49</f>
        <v>Local Data Management and Monitoring, Pharmacovigilance - Capex</v>
      </c>
      <c r="C200" s="300" t="e">
        <f>'B5. Last Mile Delivery'!J49</f>
        <v>#N/A</v>
      </c>
      <c r="D200" s="300" t="e">
        <f>'B5. Last Mile Delivery'!K49</f>
        <v>#N/A</v>
      </c>
      <c r="E200" s="300" t="e">
        <f>'B5. Last Mile Delivery'!L49</f>
        <v>#N/A</v>
      </c>
      <c r="F200" s="300" t="e">
        <f>'B5. Last Mile Delivery'!M49</f>
        <v>#N/A</v>
      </c>
      <c r="G200" s="300" t="e">
        <f>'B5. Last Mile Delivery'!N49</f>
        <v>#N/A</v>
      </c>
      <c r="H200" s="300" t="e">
        <f>'B5. Last Mile Delivery'!O49</f>
        <v>#N/A</v>
      </c>
      <c r="I200" s="300" t="e">
        <f t="shared" si="59"/>
        <v>#N/A</v>
      </c>
      <c r="J200" s="620"/>
      <c r="P200" s="564"/>
      <c r="Q200" s="564"/>
      <c r="R200" s="564"/>
      <c r="S200" s="564"/>
      <c r="T200" s="564"/>
      <c r="U200" s="564"/>
      <c r="V200" s="564"/>
      <c r="W200" s="564"/>
      <c r="X200" s="564"/>
      <c r="Y200" s="564"/>
      <c r="Z200" s="564"/>
      <c r="AA200" s="564"/>
      <c r="AB200" s="564"/>
      <c r="AC200" s="564"/>
      <c r="AD200" s="564"/>
      <c r="AE200" s="564"/>
      <c r="AF200" s="564"/>
      <c r="AG200" s="564"/>
      <c r="AH200" s="564"/>
      <c r="AI200" s="564"/>
      <c r="AJ200" s="564"/>
      <c r="AK200" s="564"/>
      <c r="AL200" s="564"/>
      <c r="AM200" s="564"/>
      <c r="AN200" s="564"/>
      <c r="AO200" s="564"/>
      <c r="AP200" s="564"/>
      <c r="AQ200" s="564"/>
      <c r="AR200" s="564"/>
      <c r="AS200" s="564"/>
      <c r="AT200" s="564"/>
      <c r="AU200" s="564"/>
      <c r="AV200" s="564"/>
      <c r="AW200" s="564"/>
      <c r="AX200" s="564"/>
      <c r="AY200" s="564"/>
      <c r="AZ200" s="564"/>
      <c r="BA200" s="564"/>
      <c r="BB200" s="564"/>
      <c r="BC200" s="564"/>
      <c r="BD200" s="564"/>
      <c r="BE200" s="564"/>
      <c r="BF200" s="564"/>
      <c r="BG200" s="564"/>
      <c r="BH200" s="564"/>
      <c r="BI200" s="564"/>
      <c r="BJ200" s="564"/>
      <c r="BK200" s="564"/>
      <c r="BL200" s="564"/>
      <c r="BM200" s="564"/>
      <c r="BN200" s="564"/>
      <c r="BO200" s="564"/>
      <c r="BP200" s="564"/>
      <c r="BQ200" s="564"/>
      <c r="BR200" s="564"/>
      <c r="BS200" s="564"/>
      <c r="BT200" s="564"/>
      <c r="BU200" s="564"/>
      <c r="BV200" s="564"/>
      <c r="BW200" s="564"/>
      <c r="BX200" s="564"/>
      <c r="BY200" s="564"/>
      <c r="BZ200" s="564"/>
      <c r="CA200" s="564"/>
      <c r="CB200" s="564"/>
      <c r="CC200" s="564"/>
      <c r="CD200" s="564"/>
      <c r="CE200" s="564"/>
      <c r="CF200" s="564"/>
      <c r="CG200" s="564"/>
      <c r="CH200" s="564"/>
      <c r="CI200" s="564"/>
      <c r="CJ200" s="564"/>
      <c r="CK200" s="564"/>
      <c r="CL200" s="564"/>
      <c r="CM200" s="564"/>
      <c r="CN200" s="564"/>
      <c r="CO200" s="564"/>
      <c r="CP200" s="564"/>
      <c r="CQ200" s="564"/>
      <c r="CR200" s="564"/>
      <c r="CS200" s="564"/>
      <c r="CT200" s="564"/>
      <c r="CU200" s="564"/>
      <c r="CV200" s="564"/>
      <c r="CW200" s="564"/>
      <c r="CX200" s="564"/>
      <c r="CY200" s="564"/>
      <c r="CZ200" s="564"/>
      <c r="DA200" s="564"/>
      <c r="DB200" s="564"/>
      <c r="DC200" s="564"/>
      <c r="DD200" s="564"/>
      <c r="DE200" s="564"/>
      <c r="DF200" s="564"/>
      <c r="DG200" s="564"/>
      <c r="DH200" s="564"/>
      <c r="DI200" s="564"/>
      <c r="DJ200" s="564"/>
      <c r="DK200" s="564"/>
      <c r="DL200" s="564"/>
      <c r="DM200" s="564"/>
      <c r="DN200" s="564"/>
      <c r="DO200" s="564"/>
      <c r="DP200" s="564"/>
      <c r="DQ200" s="564"/>
      <c r="DR200" s="564"/>
      <c r="DS200" s="564"/>
      <c r="DT200" s="564"/>
      <c r="DU200" s="564"/>
      <c r="DV200" s="564"/>
      <c r="DW200" s="564"/>
    </row>
    <row r="201" spans="1:127" s="281" customFormat="1" ht="13.5" thickBot="1" x14ac:dyDescent="0.25">
      <c r="A201" s="85"/>
      <c r="B201" s="21" t="str">
        <f ca="1">IF(OFFSET(R201,0,Lang_Order*Lang__R2)="","",OFFSET(R201,0,Lang_Order*Lang__R2))</f>
        <v>6.1 Technical assistance</v>
      </c>
      <c r="C201" s="118" t="e">
        <f t="shared" ref="C201:H201" si="60">IF(ISBLANK(C203),C202,C203)</f>
        <v>#N/A</v>
      </c>
      <c r="D201" s="118" t="e">
        <f t="shared" si="60"/>
        <v>#N/A</v>
      </c>
      <c r="E201" s="118" t="e">
        <f t="shared" si="60"/>
        <v>#N/A</v>
      </c>
      <c r="F201" s="118" t="e">
        <f t="shared" si="60"/>
        <v>#N/A</v>
      </c>
      <c r="G201" s="118" t="e">
        <f t="shared" si="60"/>
        <v>#N/A</v>
      </c>
      <c r="H201" s="118" t="e">
        <f t="shared" si="60"/>
        <v>#N/A</v>
      </c>
      <c r="I201" s="282" t="e">
        <f>SUM(C201:H201)</f>
        <v>#N/A</v>
      </c>
      <c r="J201" s="620" t="s">
        <v>5122</v>
      </c>
      <c r="K201" s="35" t="s">
        <v>2844</v>
      </c>
      <c r="L201" s="35" t="s">
        <v>3188</v>
      </c>
      <c r="M201" s="459"/>
      <c r="O201" s="587"/>
      <c r="P201" s="564"/>
      <c r="Q201" s="564"/>
      <c r="R201" s="564" t="s">
        <v>14160</v>
      </c>
      <c r="S201" s="564"/>
      <c r="T201" s="564"/>
      <c r="U201" s="564"/>
      <c r="V201" s="564"/>
      <c r="W201" s="564"/>
      <c r="X201" s="564"/>
      <c r="Y201" s="564"/>
      <c r="Z201" s="564"/>
      <c r="AA201" s="564"/>
      <c r="AB201" s="564"/>
      <c r="AC201" s="564"/>
      <c r="AD201" s="564"/>
      <c r="AE201" s="564"/>
      <c r="AF201" s="564"/>
      <c r="AG201" s="564"/>
      <c r="AH201" s="564" t="s">
        <v>13018</v>
      </c>
      <c r="AI201" s="564"/>
      <c r="AJ201" s="564"/>
      <c r="AK201" s="564"/>
      <c r="AL201" s="564"/>
      <c r="AM201" s="564"/>
      <c r="AN201" s="564"/>
      <c r="AO201" s="564"/>
      <c r="AP201" s="564"/>
      <c r="AQ201" s="564"/>
      <c r="AR201" s="564"/>
      <c r="AS201" s="564"/>
      <c r="AT201" s="564"/>
      <c r="AU201" s="564"/>
      <c r="AV201" s="564"/>
      <c r="AW201" s="564"/>
      <c r="AX201" s="564" t="s">
        <v>13019</v>
      </c>
      <c r="AY201" s="564"/>
      <c r="AZ201" s="564"/>
      <c r="BA201" s="564"/>
      <c r="BB201" s="564"/>
      <c r="BC201" s="564"/>
      <c r="BD201" s="564"/>
      <c r="BE201" s="564"/>
      <c r="BF201" s="564"/>
      <c r="BG201" s="564"/>
      <c r="BH201" s="564"/>
      <c r="BI201" s="564"/>
      <c r="BJ201" s="564"/>
      <c r="BK201" s="564"/>
      <c r="BL201" s="564"/>
      <c r="BM201" s="564"/>
      <c r="BN201" s="564" t="s">
        <v>13020</v>
      </c>
      <c r="BO201" s="564"/>
      <c r="BP201" s="564"/>
      <c r="BQ201" s="564"/>
      <c r="BR201" s="564"/>
      <c r="BS201" s="564"/>
      <c r="BT201" s="564"/>
      <c r="BU201" s="564"/>
      <c r="BV201" s="564"/>
      <c r="BW201" s="564"/>
      <c r="BX201" s="564"/>
      <c r="BY201" s="564"/>
      <c r="BZ201" s="564"/>
      <c r="CA201" s="564"/>
      <c r="CB201" s="564"/>
      <c r="CC201" s="564"/>
      <c r="CD201" s="564" t="s">
        <v>13021</v>
      </c>
      <c r="CE201" s="564"/>
      <c r="CF201" s="564"/>
      <c r="CG201" s="564"/>
      <c r="CH201" s="564"/>
      <c r="CI201" s="564"/>
      <c r="CJ201" s="564"/>
      <c r="CK201" s="564"/>
      <c r="CL201" s="564"/>
      <c r="CM201" s="564"/>
      <c r="CN201" s="564"/>
      <c r="CO201" s="564"/>
      <c r="CP201" s="564"/>
      <c r="CQ201" s="564"/>
      <c r="CR201" s="564"/>
      <c r="CS201" s="564"/>
      <c r="CT201" s="564" t="s">
        <v>13022</v>
      </c>
      <c r="CU201" s="564"/>
      <c r="CV201" s="564"/>
      <c r="CW201" s="564"/>
      <c r="CX201" s="564"/>
      <c r="CY201" s="564"/>
      <c r="CZ201" s="564"/>
      <c r="DA201" s="564"/>
      <c r="DB201" s="564"/>
      <c r="DC201" s="564"/>
      <c r="DD201" s="564"/>
      <c r="DE201" s="564"/>
      <c r="DF201" s="564"/>
      <c r="DG201" s="564"/>
      <c r="DH201" s="564"/>
      <c r="DI201" s="564"/>
      <c r="DJ201" s="564" t="s">
        <v>13023</v>
      </c>
      <c r="DK201" s="564"/>
      <c r="DL201" s="564"/>
      <c r="DM201" s="564"/>
      <c r="DN201" s="564"/>
      <c r="DO201" s="564"/>
      <c r="DP201" s="564"/>
      <c r="DQ201" s="564"/>
      <c r="DR201" s="564"/>
      <c r="DS201" s="564"/>
      <c r="DT201" s="564"/>
      <c r="DU201" s="564"/>
      <c r="DV201" s="564"/>
      <c r="DW201" s="564"/>
    </row>
    <row r="202" spans="1:127" s="2" customFormat="1" ht="13.5" thickTop="1" x14ac:dyDescent="0.2">
      <c r="A202" s="73"/>
      <c r="B202" s="72" t="str">
        <f ca="1">IF(OFFSET(R202,0,Lang_Order*Lang__R2)="","",OFFSET(R202,0,Lang_Order*Lang__R2))</f>
        <v>CVIC Estimates</v>
      </c>
      <c r="C202" s="199" t="e">
        <f>SUM(C199:C200)</f>
        <v>#N/A</v>
      </c>
      <c r="D202" s="199" t="e">
        <f t="shared" ref="D202:H202" si="61">SUM(D199:D200)</f>
        <v>#N/A</v>
      </c>
      <c r="E202" s="199" t="e">
        <f t="shared" si="61"/>
        <v>#N/A</v>
      </c>
      <c r="F202" s="199" t="e">
        <f t="shared" si="61"/>
        <v>#N/A</v>
      </c>
      <c r="G202" s="199" t="e">
        <f t="shared" si="61"/>
        <v>#N/A</v>
      </c>
      <c r="H202" s="199" t="e">
        <f t="shared" si="61"/>
        <v>#N/A</v>
      </c>
      <c r="I202" s="199" t="e">
        <f>SUM(C202:H202)</f>
        <v>#N/A</v>
      </c>
      <c r="J202" s="620" t="s">
        <v>5123</v>
      </c>
      <c r="P202" s="564"/>
      <c r="Q202" s="564"/>
      <c r="R202" s="564" t="s">
        <v>12973</v>
      </c>
      <c r="S202" s="564"/>
      <c r="T202" s="564"/>
      <c r="U202" s="564"/>
      <c r="V202" s="564"/>
      <c r="W202" s="564"/>
      <c r="X202" s="564"/>
      <c r="Y202" s="564"/>
      <c r="Z202" s="564"/>
      <c r="AA202" s="564"/>
      <c r="AB202" s="564"/>
      <c r="AC202" s="564"/>
      <c r="AD202" s="564"/>
      <c r="AE202" s="564"/>
      <c r="AF202" s="564"/>
      <c r="AG202" s="564"/>
      <c r="AH202" s="564" t="s">
        <v>12974</v>
      </c>
      <c r="AI202" s="564"/>
      <c r="AJ202" s="564"/>
      <c r="AK202" s="564"/>
      <c r="AL202" s="564"/>
      <c r="AM202" s="564"/>
      <c r="AN202" s="564"/>
      <c r="AO202" s="564"/>
      <c r="AP202" s="564"/>
      <c r="AQ202" s="564"/>
      <c r="AR202" s="564"/>
      <c r="AS202" s="564"/>
      <c r="AT202" s="564"/>
      <c r="AU202" s="564"/>
      <c r="AV202" s="564"/>
      <c r="AW202" s="564"/>
      <c r="AX202" s="564" t="s">
        <v>12968</v>
      </c>
      <c r="AY202" s="564"/>
      <c r="AZ202" s="564"/>
      <c r="BA202" s="564"/>
      <c r="BB202" s="564"/>
      <c r="BC202" s="564"/>
      <c r="BD202" s="564"/>
      <c r="BE202" s="564"/>
      <c r="BF202" s="564"/>
      <c r="BG202" s="564"/>
      <c r="BH202" s="564"/>
      <c r="BI202" s="564"/>
      <c r="BJ202" s="564"/>
      <c r="BK202" s="564"/>
      <c r="BL202" s="564"/>
      <c r="BM202" s="564"/>
      <c r="BN202" s="564" t="s">
        <v>12969</v>
      </c>
      <c r="BO202" s="564"/>
      <c r="BP202" s="564"/>
      <c r="BQ202" s="564"/>
      <c r="BR202" s="564"/>
      <c r="BS202" s="564"/>
      <c r="BT202" s="564"/>
      <c r="BU202" s="564"/>
      <c r="BV202" s="564"/>
      <c r="BW202" s="564"/>
      <c r="BX202" s="564"/>
      <c r="BY202" s="564"/>
      <c r="BZ202" s="564"/>
      <c r="CA202" s="564"/>
      <c r="CB202" s="564"/>
      <c r="CC202" s="564"/>
      <c r="CD202" s="564" t="s">
        <v>12970</v>
      </c>
      <c r="CE202" s="564"/>
      <c r="CF202" s="564"/>
      <c r="CG202" s="564"/>
      <c r="CH202" s="564"/>
      <c r="CI202" s="564"/>
      <c r="CJ202" s="564"/>
      <c r="CK202" s="564"/>
      <c r="CL202" s="564"/>
      <c r="CM202" s="564"/>
      <c r="CN202" s="564"/>
      <c r="CO202" s="564"/>
      <c r="CP202" s="564"/>
      <c r="CQ202" s="564"/>
      <c r="CR202" s="564"/>
      <c r="CS202" s="564"/>
      <c r="CT202" s="564" t="s">
        <v>12971</v>
      </c>
      <c r="CU202" s="564"/>
      <c r="CV202" s="564"/>
      <c r="CW202" s="564"/>
      <c r="CX202" s="564"/>
      <c r="CY202" s="564"/>
      <c r="CZ202" s="564"/>
      <c r="DA202" s="564"/>
      <c r="DB202" s="564"/>
      <c r="DC202" s="564"/>
      <c r="DD202" s="564"/>
      <c r="DE202" s="564"/>
      <c r="DF202" s="564"/>
      <c r="DG202" s="564"/>
      <c r="DH202" s="564"/>
      <c r="DI202" s="564"/>
      <c r="DJ202" s="564" t="s">
        <v>12972</v>
      </c>
      <c r="DK202" s="564"/>
      <c r="DL202" s="564"/>
      <c r="DM202" s="564"/>
      <c r="DN202" s="564"/>
      <c r="DO202" s="564"/>
      <c r="DP202" s="564"/>
      <c r="DQ202" s="564"/>
      <c r="DR202" s="564"/>
      <c r="DS202" s="564"/>
      <c r="DT202" s="564"/>
      <c r="DU202" s="564"/>
      <c r="DV202" s="564"/>
      <c r="DW202" s="564"/>
    </row>
    <row r="203" spans="1:127" s="536" customFormat="1" x14ac:dyDescent="0.2">
      <c r="A203" s="350">
        <v>2</v>
      </c>
      <c r="B203" s="5" t="str">
        <f ca="1">IF(OFFSET(R203,0,Lang_Order*Lang__R2)="","",OFFSET(R203,0,Lang_Order*Lang__R2))</f>
        <v>OVERRIDE HERE if alternative costing used for section above</v>
      </c>
      <c r="C203" s="284"/>
      <c r="D203" s="284"/>
      <c r="E203" s="284"/>
      <c r="F203" s="284"/>
      <c r="G203" s="284"/>
      <c r="H203" s="284"/>
      <c r="I203" s="81" t="str">
        <f>Lang_LeaveBlank</f>
        <v>Leave Blank</v>
      </c>
      <c r="J203" s="620" t="s">
        <v>5124</v>
      </c>
      <c r="K203" s="543"/>
      <c r="L203" s="543"/>
      <c r="O203" s="587"/>
      <c r="P203" s="564"/>
      <c r="Q203" s="564"/>
      <c r="R203" s="564" t="s">
        <v>4591</v>
      </c>
      <c r="S203" s="564"/>
      <c r="T203" s="564"/>
      <c r="U203" s="564"/>
      <c r="V203" s="564"/>
      <c r="W203" s="564"/>
      <c r="X203" s="564"/>
      <c r="Y203" s="564"/>
      <c r="Z203" s="564"/>
      <c r="AA203" s="564"/>
      <c r="AB203" s="564"/>
      <c r="AC203" s="564"/>
      <c r="AD203" s="564"/>
      <c r="AE203" s="564"/>
      <c r="AF203" s="564"/>
      <c r="AG203" s="564"/>
      <c r="AH203" s="564" t="s">
        <v>12949</v>
      </c>
      <c r="AI203" s="564"/>
      <c r="AJ203" s="564"/>
      <c r="AK203" s="564"/>
      <c r="AL203" s="564"/>
      <c r="AM203" s="564"/>
      <c r="AN203" s="564"/>
      <c r="AO203" s="564"/>
      <c r="AP203" s="564"/>
      <c r="AQ203" s="564"/>
      <c r="AR203" s="564"/>
      <c r="AS203" s="564"/>
      <c r="AT203" s="564"/>
      <c r="AU203" s="564"/>
      <c r="AV203" s="564"/>
      <c r="AW203" s="564"/>
      <c r="AX203" s="564" t="s">
        <v>12950</v>
      </c>
      <c r="AY203" s="564"/>
      <c r="AZ203" s="564"/>
      <c r="BA203" s="564"/>
      <c r="BB203" s="564"/>
      <c r="BC203" s="564"/>
      <c r="BD203" s="564"/>
      <c r="BE203" s="564"/>
      <c r="BF203" s="564"/>
      <c r="BG203" s="564"/>
      <c r="BH203" s="564"/>
      <c r="BI203" s="564"/>
      <c r="BJ203" s="564"/>
      <c r="BK203" s="564"/>
      <c r="BL203" s="564"/>
      <c r="BM203" s="564"/>
      <c r="BN203" s="564" t="s">
        <v>12951</v>
      </c>
      <c r="BO203" s="564"/>
      <c r="BP203" s="564"/>
      <c r="BQ203" s="564"/>
      <c r="BR203" s="564"/>
      <c r="BS203" s="564"/>
      <c r="BT203" s="564"/>
      <c r="BU203" s="564"/>
      <c r="BV203" s="564"/>
      <c r="BW203" s="564"/>
      <c r="BX203" s="564"/>
      <c r="BY203" s="564"/>
      <c r="BZ203" s="564"/>
      <c r="CA203" s="564"/>
      <c r="CB203" s="564"/>
      <c r="CC203" s="564"/>
      <c r="CD203" s="564" t="s">
        <v>12952</v>
      </c>
      <c r="CE203" s="564"/>
      <c r="CF203" s="564"/>
      <c r="CG203" s="564"/>
      <c r="CH203" s="564"/>
      <c r="CI203" s="564"/>
      <c r="CJ203" s="564"/>
      <c r="CK203" s="564"/>
      <c r="CL203" s="564"/>
      <c r="CM203" s="564"/>
      <c r="CN203" s="564"/>
      <c r="CO203" s="564"/>
      <c r="CP203" s="564"/>
      <c r="CQ203" s="564"/>
      <c r="CR203" s="564"/>
      <c r="CS203" s="564"/>
      <c r="CT203" s="564" t="s">
        <v>12953</v>
      </c>
      <c r="CU203" s="564"/>
      <c r="CV203" s="564"/>
      <c r="CW203" s="564"/>
      <c r="CX203" s="564"/>
      <c r="CY203" s="564"/>
      <c r="CZ203" s="564"/>
      <c r="DA203" s="564"/>
      <c r="DB203" s="564"/>
      <c r="DC203" s="564"/>
      <c r="DD203" s="564"/>
      <c r="DE203" s="564"/>
      <c r="DF203" s="564"/>
      <c r="DG203" s="564"/>
      <c r="DH203" s="564"/>
      <c r="DI203" s="564"/>
      <c r="DJ203" s="564" t="s">
        <v>12954</v>
      </c>
      <c r="DK203" s="564"/>
      <c r="DL203" s="564"/>
      <c r="DM203" s="564"/>
      <c r="DN203" s="564"/>
      <c r="DO203" s="564"/>
      <c r="DP203" s="564"/>
      <c r="DQ203" s="564"/>
      <c r="DR203" s="564"/>
      <c r="DS203" s="564"/>
      <c r="DT203" s="564"/>
      <c r="DU203" s="564"/>
      <c r="DV203" s="564"/>
      <c r="DW203" s="564"/>
    </row>
    <row r="204" spans="1:127" s="281" customFormat="1" x14ac:dyDescent="0.2">
      <c r="A204" s="85"/>
      <c r="B204" s="23"/>
      <c r="J204" s="620"/>
      <c r="K204" s="543"/>
      <c r="L204" s="543"/>
      <c r="M204" s="459"/>
      <c r="O204" s="567"/>
      <c r="P204" s="564"/>
      <c r="Q204" s="564"/>
      <c r="R204" s="564"/>
      <c r="S204" s="564"/>
      <c r="T204" s="564"/>
      <c r="U204" s="564"/>
      <c r="V204" s="564"/>
      <c r="W204" s="564"/>
      <c r="X204" s="564"/>
      <c r="Y204" s="564"/>
      <c r="Z204" s="564"/>
      <c r="AA204" s="564"/>
      <c r="AB204" s="564"/>
      <c r="AC204" s="564"/>
      <c r="AD204" s="564"/>
      <c r="AE204" s="564"/>
      <c r="AF204" s="564"/>
      <c r="AG204" s="564"/>
      <c r="AH204" s="564"/>
      <c r="AI204" s="564"/>
      <c r="AJ204" s="564"/>
      <c r="AK204" s="564"/>
      <c r="AL204" s="564"/>
      <c r="AM204" s="564"/>
      <c r="AN204" s="564"/>
      <c r="AO204" s="564"/>
      <c r="AP204" s="564"/>
      <c r="AQ204" s="564"/>
      <c r="AR204" s="564"/>
      <c r="AS204" s="564"/>
      <c r="AT204" s="564"/>
      <c r="AU204" s="564"/>
      <c r="AV204" s="564"/>
      <c r="AW204" s="564"/>
      <c r="AX204" s="564"/>
      <c r="AY204" s="564"/>
      <c r="AZ204" s="564"/>
      <c r="BA204" s="564"/>
      <c r="BB204" s="564"/>
      <c r="BC204" s="564"/>
      <c r="BD204" s="564"/>
      <c r="BE204" s="564"/>
      <c r="BF204" s="564"/>
      <c r="BG204" s="564"/>
      <c r="BH204" s="564"/>
      <c r="BI204" s="564"/>
      <c r="BJ204" s="564"/>
      <c r="BK204" s="564"/>
      <c r="BL204" s="564"/>
      <c r="BM204" s="564"/>
      <c r="BN204" s="564"/>
      <c r="BO204" s="564"/>
      <c r="BP204" s="564"/>
      <c r="BQ204" s="564"/>
      <c r="BR204" s="564"/>
      <c r="BS204" s="564"/>
      <c r="BT204" s="564"/>
      <c r="BU204" s="564"/>
      <c r="BV204" s="564"/>
      <c r="BW204" s="564"/>
      <c r="BX204" s="564"/>
      <c r="BY204" s="564"/>
      <c r="BZ204" s="564"/>
      <c r="CA204" s="564"/>
      <c r="CB204" s="564"/>
      <c r="CC204" s="564"/>
      <c r="CD204" s="564"/>
      <c r="CE204" s="564"/>
      <c r="CF204" s="564"/>
      <c r="CG204" s="564"/>
      <c r="CH204" s="564"/>
      <c r="CI204" s="564"/>
      <c r="CJ204" s="564"/>
      <c r="CK204" s="564"/>
      <c r="CL204" s="564"/>
      <c r="CM204" s="564"/>
      <c r="CN204" s="564"/>
      <c r="CO204" s="564"/>
      <c r="CP204" s="564"/>
      <c r="CQ204" s="564"/>
      <c r="CR204" s="564"/>
      <c r="CS204" s="564"/>
      <c r="CT204" s="564"/>
      <c r="CU204" s="564"/>
      <c r="CV204" s="564"/>
      <c r="CW204" s="564"/>
      <c r="CX204" s="564"/>
      <c r="CY204" s="564"/>
      <c r="CZ204" s="564"/>
      <c r="DA204" s="564"/>
      <c r="DB204" s="564"/>
      <c r="DC204" s="564"/>
      <c r="DD204" s="564"/>
      <c r="DE204" s="564"/>
      <c r="DF204" s="564"/>
      <c r="DG204" s="564"/>
      <c r="DH204" s="564"/>
      <c r="DI204" s="564"/>
      <c r="DJ204" s="564"/>
      <c r="DK204" s="564"/>
      <c r="DL204" s="564"/>
      <c r="DM204" s="564"/>
      <c r="DN204" s="564"/>
      <c r="DO204" s="564"/>
      <c r="DP204" s="564"/>
      <c r="DQ204" s="564"/>
      <c r="DR204" s="564"/>
      <c r="DS204" s="564"/>
      <c r="DT204" s="564"/>
      <c r="DU204" s="564"/>
      <c r="DV204" s="564"/>
      <c r="DW204" s="564"/>
    </row>
    <row r="205" spans="1:127" s="536" customFormat="1" x14ac:dyDescent="0.2">
      <c r="A205" s="664"/>
      <c r="B205" s="23" t="str">
        <f ca="1">IF(OFFSET(R205,0,Lang_Order*Lang__R2)="","",OFFSET(R205,0,Lang_Order*Lang__R2))</f>
        <v>A4.1.07 Central Operational Expenditures</v>
      </c>
      <c r="C205" s="300" t="e">
        <f>SUM('A4. INPUT Central Costs'!$J$88:$J$92)*C$74</f>
        <v>#N/A</v>
      </c>
      <c r="D205" s="300" t="e">
        <f>SUM('A4. INPUT Central Costs'!$J$88:$J$92)*D$74</f>
        <v>#N/A</v>
      </c>
      <c r="E205" s="300" t="e">
        <f>SUM('A4. INPUT Central Costs'!$J$88:$J$92)*E$74</f>
        <v>#N/A</v>
      </c>
      <c r="F205" s="300" t="e">
        <f>SUM('A4. INPUT Central Costs'!$J$88:$J$92)*F$74</f>
        <v>#N/A</v>
      </c>
      <c r="G205" s="300" t="e">
        <f>SUM('A4. INPUT Central Costs'!$J$88:$J$92)*G$74</f>
        <v>#N/A</v>
      </c>
      <c r="H205" s="300" t="e">
        <f>SUM('A4. INPUT Central Costs'!$J$88:$J$92)*H$74</f>
        <v>#N/A</v>
      </c>
      <c r="I205" s="300" t="e">
        <f t="shared" ref="I205:I210" si="62">SUM(C205:H205)</f>
        <v>#N/A</v>
      </c>
      <c r="J205" s="620"/>
      <c r="K205" s="543"/>
      <c r="L205" s="543"/>
      <c r="O205" s="567"/>
      <c r="P205" s="564"/>
      <c r="Q205" s="564"/>
      <c r="R205" s="564" t="s">
        <v>14529</v>
      </c>
      <c r="S205" s="564"/>
      <c r="T205" s="564"/>
      <c r="U205" s="564"/>
      <c r="V205" s="564"/>
      <c r="W205" s="564"/>
      <c r="X205" s="564"/>
      <c r="Y205" s="564"/>
      <c r="Z205" s="564"/>
      <c r="AA205" s="564"/>
      <c r="AB205" s="564"/>
      <c r="AC205" s="564"/>
      <c r="AD205" s="564"/>
      <c r="AE205" s="564"/>
      <c r="AF205" s="564"/>
      <c r="AG205" s="564"/>
      <c r="AH205" s="564" t="s">
        <v>14530</v>
      </c>
      <c r="AI205" s="564"/>
      <c r="AJ205" s="564"/>
      <c r="AK205" s="564"/>
      <c r="AL205" s="564"/>
      <c r="AM205" s="564"/>
      <c r="AN205" s="564"/>
      <c r="AO205" s="564"/>
      <c r="AP205" s="564"/>
      <c r="AQ205" s="564"/>
      <c r="AR205" s="564"/>
      <c r="AS205" s="564"/>
      <c r="AT205" s="564"/>
      <c r="AU205" s="564"/>
      <c r="AV205" s="564"/>
      <c r="AW205" s="564"/>
      <c r="AX205" s="564" t="s">
        <v>14531</v>
      </c>
      <c r="AY205" s="564"/>
      <c r="AZ205" s="564"/>
      <c r="BA205" s="564"/>
      <c r="BB205" s="564"/>
      <c r="BC205" s="564"/>
      <c r="BD205" s="564"/>
      <c r="BE205" s="564"/>
      <c r="BF205" s="564"/>
      <c r="BG205" s="564"/>
      <c r="BH205" s="564"/>
      <c r="BI205" s="564"/>
      <c r="BJ205" s="564"/>
      <c r="BK205" s="564"/>
      <c r="BL205" s="564"/>
      <c r="BM205" s="564"/>
      <c r="BN205" s="564" t="s">
        <v>14532</v>
      </c>
      <c r="BO205" s="564"/>
      <c r="BP205" s="564"/>
      <c r="BQ205" s="564"/>
      <c r="BR205" s="564"/>
      <c r="BS205" s="564"/>
      <c r="BT205" s="564"/>
      <c r="BU205" s="564"/>
      <c r="BV205" s="564"/>
      <c r="BW205" s="564"/>
      <c r="BX205" s="564"/>
      <c r="BY205" s="564"/>
      <c r="BZ205" s="564"/>
      <c r="CA205" s="564"/>
      <c r="CB205" s="564"/>
      <c r="CC205" s="564"/>
      <c r="CD205" s="564" t="s">
        <v>14533</v>
      </c>
      <c r="CE205" s="564"/>
      <c r="CF205" s="564"/>
      <c r="CG205" s="564"/>
      <c r="CH205" s="564"/>
      <c r="CI205" s="564"/>
      <c r="CJ205" s="564"/>
      <c r="CK205" s="564"/>
      <c r="CL205" s="564"/>
      <c r="CM205" s="564"/>
      <c r="CN205" s="564"/>
      <c r="CO205" s="564"/>
      <c r="CP205" s="564"/>
      <c r="CQ205" s="564"/>
      <c r="CR205" s="564"/>
      <c r="CS205" s="564"/>
      <c r="CT205" s="564" t="s">
        <v>14534</v>
      </c>
      <c r="CU205" s="564"/>
      <c r="CV205" s="564"/>
      <c r="CW205" s="564"/>
      <c r="CX205" s="564"/>
      <c r="CY205" s="564"/>
      <c r="CZ205" s="564"/>
      <c r="DA205" s="564"/>
      <c r="DB205" s="564"/>
      <c r="DC205" s="564"/>
      <c r="DD205" s="564"/>
      <c r="DE205" s="564"/>
      <c r="DF205" s="564"/>
      <c r="DG205" s="564"/>
      <c r="DH205" s="564"/>
      <c r="DI205" s="564"/>
      <c r="DJ205" s="564" t="s">
        <v>14535</v>
      </c>
      <c r="DK205" s="564"/>
      <c r="DL205" s="564"/>
      <c r="DM205" s="564"/>
      <c r="DN205" s="564"/>
      <c r="DO205" s="564"/>
      <c r="DP205" s="564"/>
      <c r="DQ205" s="564"/>
      <c r="DR205" s="564"/>
      <c r="DS205" s="564"/>
      <c r="DT205" s="564"/>
      <c r="DU205" s="564"/>
      <c r="DV205" s="564"/>
      <c r="DW205" s="564"/>
    </row>
    <row r="206" spans="1:127" s="281" customFormat="1" x14ac:dyDescent="0.2">
      <c r="B206" s="23" t="str">
        <f ca="1">'B5. Last Mile Delivery'!C50</f>
        <v>Local Data Management and Monitoring, Pharmacovigilance - Opex</v>
      </c>
      <c r="C206" s="94" t="e">
        <f>'B5. Last Mile Delivery'!J50</f>
        <v>#N/A</v>
      </c>
      <c r="D206" s="94" t="e">
        <f>'B5. Last Mile Delivery'!K50</f>
        <v>#N/A</v>
      </c>
      <c r="E206" s="94" t="e">
        <f>'B5. Last Mile Delivery'!L50</f>
        <v>#N/A</v>
      </c>
      <c r="F206" s="94" t="e">
        <f>'B5. Last Mile Delivery'!M50</f>
        <v>#N/A</v>
      </c>
      <c r="G206" s="94" t="e">
        <f>'B5. Last Mile Delivery'!N50</f>
        <v>#N/A</v>
      </c>
      <c r="H206" s="94" t="e">
        <f>'B5. Last Mile Delivery'!O50</f>
        <v>#N/A</v>
      </c>
      <c r="I206" s="300" t="e">
        <f t="shared" si="62"/>
        <v>#N/A</v>
      </c>
      <c r="J206" s="620"/>
      <c r="K206" s="543"/>
      <c r="L206" s="543"/>
      <c r="M206" s="459"/>
      <c r="O206" s="567"/>
      <c r="P206" s="564"/>
      <c r="Q206" s="564"/>
      <c r="R206" s="564"/>
      <c r="S206" s="564"/>
      <c r="T206" s="564"/>
      <c r="U206" s="564"/>
      <c r="V206" s="564"/>
      <c r="W206" s="564"/>
      <c r="X206" s="564"/>
      <c r="Y206" s="564"/>
      <c r="Z206" s="564"/>
      <c r="AA206" s="564"/>
      <c r="AB206" s="564"/>
      <c r="AC206" s="564"/>
      <c r="AD206" s="564"/>
      <c r="AE206" s="564"/>
      <c r="AF206" s="564"/>
      <c r="AG206" s="564"/>
      <c r="AH206" s="564"/>
      <c r="AI206" s="564"/>
      <c r="AJ206" s="564"/>
      <c r="AK206" s="564"/>
      <c r="AL206" s="564"/>
      <c r="AM206" s="564"/>
      <c r="AN206" s="564"/>
      <c r="AO206" s="564"/>
      <c r="AP206" s="564"/>
      <c r="AQ206" s="564"/>
      <c r="AR206" s="564"/>
      <c r="AS206" s="564"/>
      <c r="AT206" s="564"/>
      <c r="AU206" s="564"/>
      <c r="AV206" s="564"/>
      <c r="AW206" s="564"/>
      <c r="AX206" s="564"/>
      <c r="AY206" s="564"/>
      <c r="AZ206" s="564"/>
      <c r="BA206" s="564"/>
      <c r="BB206" s="564"/>
      <c r="BC206" s="564"/>
      <c r="BD206" s="564"/>
      <c r="BE206" s="564"/>
      <c r="BF206" s="564"/>
      <c r="BG206" s="564"/>
      <c r="BH206" s="564"/>
      <c r="BI206" s="564"/>
      <c r="BJ206" s="564"/>
      <c r="BK206" s="564"/>
      <c r="BL206" s="564"/>
      <c r="BM206" s="564"/>
      <c r="BN206" s="564"/>
      <c r="BO206" s="564"/>
      <c r="BP206" s="564"/>
      <c r="BQ206" s="564"/>
      <c r="BR206" s="564"/>
      <c r="BS206" s="564"/>
      <c r="BT206" s="564"/>
      <c r="BU206" s="564"/>
      <c r="BV206" s="564"/>
      <c r="BW206" s="564"/>
      <c r="BX206" s="564"/>
      <c r="BY206" s="564"/>
      <c r="BZ206" s="564"/>
      <c r="CA206" s="564"/>
      <c r="CB206" s="564"/>
      <c r="CC206" s="564"/>
      <c r="CD206" s="564"/>
      <c r="CE206" s="564"/>
      <c r="CF206" s="564"/>
      <c r="CG206" s="564"/>
      <c r="CH206" s="564"/>
      <c r="CI206" s="564"/>
      <c r="CJ206" s="564"/>
      <c r="CK206" s="564"/>
      <c r="CL206" s="564"/>
      <c r="CM206" s="564"/>
      <c r="CN206" s="564"/>
      <c r="CO206" s="564"/>
      <c r="CP206" s="564"/>
      <c r="CQ206" s="564"/>
      <c r="CR206" s="564"/>
      <c r="CS206" s="564"/>
      <c r="CT206" s="564"/>
      <c r="CU206" s="564"/>
      <c r="CV206" s="564"/>
      <c r="CW206" s="564"/>
      <c r="CX206" s="564"/>
      <c r="CY206" s="564"/>
      <c r="CZ206" s="564"/>
      <c r="DA206" s="564"/>
      <c r="DB206" s="564"/>
      <c r="DC206" s="564"/>
      <c r="DD206" s="564"/>
      <c r="DE206" s="564"/>
      <c r="DF206" s="564"/>
      <c r="DG206" s="564"/>
      <c r="DH206" s="564"/>
      <c r="DI206" s="564"/>
      <c r="DJ206" s="564"/>
      <c r="DK206" s="564"/>
      <c r="DL206" s="564"/>
      <c r="DM206" s="564"/>
      <c r="DN206" s="564"/>
      <c r="DO206" s="564"/>
      <c r="DP206" s="564"/>
      <c r="DQ206" s="564"/>
      <c r="DR206" s="564"/>
      <c r="DS206" s="564"/>
      <c r="DT206" s="564"/>
      <c r="DU206" s="564"/>
      <c r="DV206" s="564"/>
      <c r="DW206" s="564"/>
    </row>
    <row r="207" spans="1:127" s="532" customFormat="1" x14ac:dyDescent="0.2">
      <c r="A207" s="85"/>
      <c r="B207" s="66" t="str">
        <f ca="1">IF(OFFSET(R207,0,Lang_Order*Lang__R2)="","",OFFSET(R207,0,Lang_Order*Lang__R2))</f>
        <v>Vaccination cards</v>
      </c>
      <c r="C207" s="300" t="e">
        <f ca="1">'B2. Vaccines and Supplies'!Q108</f>
        <v>#N/A</v>
      </c>
      <c r="D207" s="300" t="e">
        <f ca="1">'B2. Vaccines and Supplies'!R108</f>
        <v>#N/A</v>
      </c>
      <c r="E207" s="300" t="e">
        <f ca="1">'B2. Vaccines and Supplies'!S108</f>
        <v>#N/A</v>
      </c>
      <c r="F207" s="300" t="e">
        <f ca="1">'B2. Vaccines and Supplies'!T108</f>
        <v>#N/A</v>
      </c>
      <c r="G207" s="300" t="e">
        <f ca="1">'B2. Vaccines and Supplies'!U108</f>
        <v>#N/A</v>
      </c>
      <c r="H207" s="300" t="e">
        <f ca="1">'B2. Vaccines and Supplies'!V108</f>
        <v>#N/A</v>
      </c>
      <c r="I207" s="300" t="e">
        <f t="shared" ca="1" si="62"/>
        <v>#N/A</v>
      </c>
      <c r="J207" s="620"/>
      <c r="K207" s="543"/>
      <c r="L207" s="543"/>
      <c r="O207" s="567"/>
      <c r="P207" s="564"/>
      <c r="Q207" s="564"/>
      <c r="R207" s="564" t="s">
        <v>4577</v>
      </c>
      <c r="S207" s="564"/>
      <c r="T207" s="564"/>
      <c r="U207" s="564"/>
      <c r="V207" s="564"/>
      <c r="W207" s="564"/>
      <c r="X207" s="564"/>
      <c r="Y207" s="564"/>
      <c r="Z207" s="564"/>
      <c r="AA207" s="564"/>
      <c r="AB207" s="564"/>
      <c r="AC207" s="564"/>
      <c r="AD207" s="564"/>
      <c r="AE207" s="564"/>
      <c r="AF207" s="564"/>
      <c r="AG207" s="564"/>
      <c r="AH207" s="564" t="s">
        <v>13012</v>
      </c>
      <c r="AI207" s="564"/>
      <c r="AJ207" s="564"/>
      <c r="AK207" s="564"/>
      <c r="AL207" s="564"/>
      <c r="AM207" s="564"/>
      <c r="AN207" s="564"/>
      <c r="AO207" s="564"/>
      <c r="AP207" s="564"/>
      <c r="AQ207" s="564"/>
      <c r="AR207" s="564"/>
      <c r="AS207" s="564"/>
      <c r="AT207" s="564"/>
      <c r="AU207" s="564"/>
      <c r="AV207" s="564"/>
      <c r="AW207" s="564"/>
      <c r="AX207" s="564" t="s">
        <v>13013</v>
      </c>
      <c r="AY207" s="564"/>
      <c r="AZ207" s="564"/>
      <c r="BA207" s="564"/>
      <c r="BB207" s="564"/>
      <c r="BC207" s="564"/>
      <c r="BD207" s="564"/>
      <c r="BE207" s="564"/>
      <c r="BF207" s="564"/>
      <c r="BG207" s="564"/>
      <c r="BH207" s="564"/>
      <c r="BI207" s="564"/>
      <c r="BJ207" s="564"/>
      <c r="BK207" s="564"/>
      <c r="BL207" s="564"/>
      <c r="BM207" s="564"/>
      <c r="BN207" s="564" t="s">
        <v>13014</v>
      </c>
      <c r="BO207" s="564"/>
      <c r="BP207" s="564"/>
      <c r="BQ207" s="564"/>
      <c r="BR207" s="564"/>
      <c r="BS207" s="564"/>
      <c r="BT207" s="564"/>
      <c r="BU207" s="564"/>
      <c r="BV207" s="564"/>
      <c r="BW207" s="564"/>
      <c r="BX207" s="564"/>
      <c r="BY207" s="564"/>
      <c r="BZ207" s="564"/>
      <c r="CA207" s="564"/>
      <c r="CB207" s="564"/>
      <c r="CC207" s="564"/>
      <c r="CD207" s="564" t="s">
        <v>13015</v>
      </c>
      <c r="CE207" s="564"/>
      <c r="CF207" s="564"/>
      <c r="CG207" s="564"/>
      <c r="CH207" s="564"/>
      <c r="CI207" s="564"/>
      <c r="CJ207" s="564"/>
      <c r="CK207" s="564"/>
      <c r="CL207" s="564"/>
      <c r="CM207" s="564"/>
      <c r="CN207" s="564"/>
      <c r="CO207" s="564"/>
      <c r="CP207" s="564"/>
      <c r="CQ207" s="564"/>
      <c r="CR207" s="564"/>
      <c r="CS207" s="564"/>
      <c r="CT207" s="564" t="s">
        <v>13016</v>
      </c>
      <c r="CU207" s="564"/>
      <c r="CV207" s="564"/>
      <c r="CW207" s="564"/>
      <c r="CX207" s="564"/>
      <c r="CY207" s="564"/>
      <c r="CZ207" s="564"/>
      <c r="DA207" s="564"/>
      <c r="DB207" s="564"/>
      <c r="DC207" s="564"/>
      <c r="DD207" s="564"/>
      <c r="DE207" s="564"/>
      <c r="DF207" s="564"/>
      <c r="DG207" s="564"/>
      <c r="DH207" s="564"/>
      <c r="DI207" s="564"/>
      <c r="DJ207" s="564" t="s">
        <v>13017</v>
      </c>
      <c r="DK207" s="564"/>
      <c r="DL207" s="564"/>
      <c r="DM207" s="564"/>
      <c r="DN207" s="564"/>
      <c r="DO207" s="564"/>
      <c r="DP207" s="564"/>
      <c r="DQ207" s="564"/>
      <c r="DR207" s="564"/>
      <c r="DS207" s="564"/>
      <c r="DT207" s="564"/>
      <c r="DU207" s="564"/>
      <c r="DV207" s="564"/>
      <c r="DW207" s="564"/>
    </row>
    <row r="208" spans="1:127" x14ac:dyDescent="0.2">
      <c r="A208" s="281"/>
      <c r="B208" s="23" t="str">
        <f ca="1">IF(OFFSET(R208,0,Lang_Order*Lang__R2)="","",OFFSET(R208,0,Lang_Order*Lang__R2))</f>
        <v/>
      </c>
      <c r="C208" s="37" t="e">
        <f>'B2. Vaccines and Supplies'!Q109</f>
        <v>#N/A</v>
      </c>
      <c r="D208" s="37" t="e">
        <f>'B2. Vaccines and Supplies'!R109</f>
        <v>#N/A</v>
      </c>
      <c r="E208" s="37" t="e">
        <f>'B2. Vaccines and Supplies'!S109</f>
        <v>#N/A</v>
      </c>
      <c r="F208" s="37" t="e">
        <f>'B2. Vaccines and Supplies'!T109</f>
        <v>#N/A</v>
      </c>
      <c r="G208" s="37" t="e">
        <f>'B2. Vaccines and Supplies'!U109</f>
        <v>#N/A</v>
      </c>
      <c r="H208" s="37" t="e">
        <f>'B2. Vaccines and Supplies'!V109</f>
        <v>#N/A</v>
      </c>
      <c r="I208" s="300" t="e">
        <f t="shared" si="62"/>
        <v>#N/A</v>
      </c>
      <c r="J208" s="620"/>
      <c r="K208" s="543"/>
      <c r="L208" s="543"/>
      <c r="N208" s="299"/>
      <c r="DJ208" s="564" t="s">
        <v>5058</v>
      </c>
    </row>
    <row r="209" spans="1:127" s="281" customFormat="1" ht="13.5" thickBot="1" x14ac:dyDescent="0.25">
      <c r="B209" s="21" t="str">
        <f ca="1">IF(OFFSET(R209,0,Lang_Order*Lang__R2)="","",OFFSET(R209,0,Lang_Order*Lang__R2))</f>
        <v>6.2 Operational expenditures</v>
      </c>
      <c r="C209" s="118" t="e">
        <f t="shared" ref="C209:H209" si="63">IF(ISBLANK(C211),C210,C211)</f>
        <v>#N/A</v>
      </c>
      <c r="D209" s="118" t="e">
        <f t="shared" si="63"/>
        <v>#N/A</v>
      </c>
      <c r="E209" s="118" t="e">
        <f t="shared" si="63"/>
        <v>#N/A</v>
      </c>
      <c r="F209" s="118" t="e">
        <f t="shared" si="63"/>
        <v>#N/A</v>
      </c>
      <c r="G209" s="118" t="e">
        <f t="shared" si="63"/>
        <v>#N/A</v>
      </c>
      <c r="H209" s="118" t="e">
        <f t="shared" si="63"/>
        <v>#N/A</v>
      </c>
      <c r="I209" s="282" t="e">
        <f t="shared" si="62"/>
        <v>#N/A</v>
      </c>
      <c r="J209" s="620" t="s">
        <v>5125</v>
      </c>
      <c r="K209" s="35" t="s">
        <v>2844</v>
      </c>
      <c r="L209" s="35" t="s">
        <v>3188</v>
      </c>
      <c r="M209" s="459"/>
      <c r="O209" s="587"/>
      <c r="P209" s="564"/>
      <c r="Q209" s="564"/>
      <c r="R209" s="564" t="s">
        <v>14161</v>
      </c>
      <c r="S209" s="564"/>
      <c r="T209" s="564"/>
      <c r="U209" s="564"/>
      <c r="V209" s="564"/>
      <c r="W209" s="564"/>
      <c r="X209" s="564"/>
      <c r="Y209" s="564"/>
      <c r="Z209" s="564"/>
      <c r="AA209" s="564"/>
      <c r="AB209" s="564"/>
      <c r="AC209" s="564"/>
      <c r="AD209" s="564"/>
      <c r="AE209" s="564"/>
      <c r="AF209" s="564"/>
      <c r="AG209" s="564"/>
      <c r="AH209" s="564" t="s">
        <v>13006</v>
      </c>
      <c r="AI209" s="564"/>
      <c r="AJ209" s="564"/>
      <c r="AK209" s="564"/>
      <c r="AL209" s="564"/>
      <c r="AM209" s="564"/>
      <c r="AN209" s="564"/>
      <c r="AO209" s="564"/>
      <c r="AP209" s="564"/>
      <c r="AQ209" s="564"/>
      <c r="AR209" s="564"/>
      <c r="AS209" s="564"/>
      <c r="AT209" s="564"/>
      <c r="AU209" s="564"/>
      <c r="AV209" s="564"/>
      <c r="AW209" s="564"/>
      <c r="AX209" s="564" t="s">
        <v>13007</v>
      </c>
      <c r="AY209" s="564"/>
      <c r="AZ209" s="564"/>
      <c r="BA209" s="564"/>
      <c r="BB209" s="564"/>
      <c r="BC209" s="564"/>
      <c r="BD209" s="564"/>
      <c r="BE209" s="564"/>
      <c r="BF209" s="564"/>
      <c r="BG209" s="564"/>
      <c r="BH209" s="564"/>
      <c r="BI209" s="564"/>
      <c r="BJ209" s="564"/>
      <c r="BK209" s="564"/>
      <c r="BL209" s="564"/>
      <c r="BM209" s="564"/>
      <c r="BN209" s="564" t="s">
        <v>13008</v>
      </c>
      <c r="BO209" s="564"/>
      <c r="BP209" s="564"/>
      <c r="BQ209" s="564"/>
      <c r="BR209" s="564"/>
      <c r="BS209" s="564"/>
      <c r="BT209" s="564"/>
      <c r="BU209" s="564"/>
      <c r="BV209" s="564"/>
      <c r="BW209" s="564"/>
      <c r="BX209" s="564"/>
      <c r="BY209" s="564"/>
      <c r="BZ209" s="564"/>
      <c r="CA209" s="564"/>
      <c r="CB209" s="564"/>
      <c r="CC209" s="564"/>
      <c r="CD209" s="564" t="s">
        <v>13009</v>
      </c>
      <c r="CE209" s="564"/>
      <c r="CF209" s="564"/>
      <c r="CG209" s="564"/>
      <c r="CH209" s="564"/>
      <c r="CI209" s="564"/>
      <c r="CJ209" s="564"/>
      <c r="CK209" s="564"/>
      <c r="CL209" s="564"/>
      <c r="CM209" s="564"/>
      <c r="CN209" s="564"/>
      <c r="CO209" s="564"/>
      <c r="CP209" s="564"/>
      <c r="CQ209" s="564"/>
      <c r="CR209" s="564"/>
      <c r="CS209" s="564"/>
      <c r="CT209" s="564" t="s">
        <v>13010</v>
      </c>
      <c r="CU209" s="564"/>
      <c r="CV209" s="564"/>
      <c r="CW209" s="564"/>
      <c r="CX209" s="564"/>
      <c r="CY209" s="564"/>
      <c r="CZ209" s="564"/>
      <c r="DA209" s="564"/>
      <c r="DB209" s="564"/>
      <c r="DC209" s="564"/>
      <c r="DD209" s="564"/>
      <c r="DE209" s="564"/>
      <c r="DF209" s="564"/>
      <c r="DG209" s="564"/>
      <c r="DH209" s="564"/>
      <c r="DI209" s="564"/>
      <c r="DJ209" s="564" t="s">
        <v>13011</v>
      </c>
      <c r="DK209" s="564"/>
      <c r="DL209" s="564"/>
      <c r="DM209" s="564"/>
      <c r="DN209" s="564"/>
      <c r="DO209" s="564"/>
      <c r="DP209" s="564"/>
      <c r="DQ209" s="564"/>
      <c r="DR209" s="564"/>
      <c r="DS209" s="564"/>
      <c r="DT209" s="564"/>
      <c r="DU209" s="564"/>
      <c r="DV209" s="564"/>
      <c r="DW209" s="564"/>
    </row>
    <row r="210" spans="1:127" s="2" customFormat="1" ht="13.5" thickTop="1" x14ac:dyDescent="0.2">
      <c r="A210" s="73"/>
      <c r="B210" s="72" t="str">
        <f ca="1">IF(OFFSET(R210,0,Lang_Order*Lang__R2)="","",OFFSET(R210,0,Lang_Order*Lang__R2))</f>
        <v>CVIC Estimates</v>
      </c>
      <c r="C210" s="199" t="e">
        <f t="shared" ref="C210:H210" si="64">SUM(C205:C208)</f>
        <v>#N/A</v>
      </c>
      <c r="D210" s="199" t="e">
        <f t="shared" si="64"/>
        <v>#N/A</v>
      </c>
      <c r="E210" s="199" t="e">
        <f t="shared" si="64"/>
        <v>#N/A</v>
      </c>
      <c r="F210" s="199" t="e">
        <f t="shared" si="64"/>
        <v>#N/A</v>
      </c>
      <c r="G210" s="199" t="e">
        <f t="shared" si="64"/>
        <v>#N/A</v>
      </c>
      <c r="H210" s="199" t="e">
        <f t="shared" si="64"/>
        <v>#N/A</v>
      </c>
      <c r="I210" s="199" t="e">
        <f t="shared" si="62"/>
        <v>#N/A</v>
      </c>
      <c r="J210" s="620" t="s">
        <v>5126</v>
      </c>
      <c r="P210" s="564"/>
      <c r="Q210" s="564"/>
      <c r="R210" s="564" t="s">
        <v>12973</v>
      </c>
      <c r="S210" s="564"/>
      <c r="T210" s="564"/>
      <c r="U210" s="564"/>
      <c r="V210" s="564"/>
      <c r="W210" s="564"/>
      <c r="X210" s="564"/>
      <c r="Y210" s="564"/>
      <c r="Z210" s="564"/>
      <c r="AA210" s="564"/>
      <c r="AB210" s="564"/>
      <c r="AC210" s="564"/>
      <c r="AD210" s="564"/>
      <c r="AE210" s="564"/>
      <c r="AF210" s="564"/>
      <c r="AG210" s="564"/>
      <c r="AH210" s="564" t="s">
        <v>12974</v>
      </c>
      <c r="AI210" s="564"/>
      <c r="AJ210" s="564"/>
      <c r="AK210" s="564"/>
      <c r="AL210" s="564"/>
      <c r="AM210" s="564"/>
      <c r="AN210" s="564"/>
      <c r="AO210" s="564"/>
      <c r="AP210" s="564"/>
      <c r="AQ210" s="564"/>
      <c r="AR210" s="564"/>
      <c r="AS210" s="564"/>
      <c r="AT210" s="564"/>
      <c r="AU210" s="564"/>
      <c r="AV210" s="564"/>
      <c r="AW210" s="564"/>
      <c r="AX210" s="564" t="s">
        <v>12968</v>
      </c>
      <c r="AY210" s="564"/>
      <c r="AZ210" s="564"/>
      <c r="BA210" s="564"/>
      <c r="BB210" s="564"/>
      <c r="BC210" s="564"/>
      <c r="BD210" s="564"/>
      <c r="BE210" s="564"/>
      <c r="BF210" s="564"/>
      <c r="BG210" s="564"/>
      <c r="BH210" s="564"/>
      <c r="BI210" s="564"/>
      <c r="BJ210" s="564"/>
      <c r="BK210" s="564"/>
      <c r="BL210" s="564"/>
      <c r="BM210" s="564"/>
      <c r="BN210" s="564" t="s">
        <v>12969</v>
      </c>
      <c r="BO210" s="564"/>
      <c r="BP210" s="564"/>
      <c r="BQ210" s="564"/>
      <c r="BR210" s="564"/>
      <c r="BS210" s="564"/>
      <c r="BT210" s="564"/>
      <c r="BU210" s="564"/>
      <c r="BV210" s="564"/>
      <c r="BW210" s="564"/>
      <c r="BX210" s="564"/>
      <c r="BY210" s="564"/>
      <c r="BZ210" s="564"/>
      <c r="CA210" s="564"/>
      <c r="CB210" s="564"/>
      <c r="CC210" s="564"/>
      <c r="CD210" s="564" t="s">
        <v>12970</v>
      </c>
      <c r="CE210" s="564"/>
      <c r="CF210" s="564"/>
      <c r="CG210" s="564"/>
      <c r="CH210" s="564"/>
      <c r="CI210" s="564"/>
      <c r="CJ210" s="564"/>
      <c r="CK210" s="564"/>
      <c r="CL210" s="564"/>
      <c r="CM210" s="564"/>
      <c r="CN210" s="564"/>
      <c r="CO210" s="564"/>
      <c r="CP210" s="564"/>
      <c r="CQ210" s="564"/>
      <c r="CR210" s="564"/>
      <c r="CS210" s="564"/>
      <c r="CT210" s="564" t="s">
        <v>12971</v>
      </c>
      <c r="CU210" s="564"/>
      <c r="CV210" s="564"/>
      <c r="CW210" s="564"/>
      <c r="CX210" s="564"/>
      <c r="CY210" s="564"/>
      <c r="CZ210" s="564"/>
      <c r="DA210" s="564"/>
      <c r="DB210" s="564"/>
      <c r="DC210" s="564"/>
      <c r="DD210" s="564"/>
      <c r="DE210" s="564"/>
      <c r="DF210" s="564"/>
      <c r="DG210" s="564"/>
      <c r="DH210" s="564"/>
      <c r="DI210" s="564"/>
      <c r="DJ210" s="564" t="s">
        <v>12972</v>
      </c>
      <c r="DK210" s="564"/>
      <c r="DL210" s="564"/>
      <c r="DM210" s="564"/>
      <c r="DN210" s="564"/>
      <c r="DO210" s="564"/>
      <c r="DP210" s="564"/>
      <c r="DQ210" s="564"/>
      <c r="DR210" s="564"/>
      <c r="DS210" s="564"/>
      <c r="DT210" s="564"/>
      <c r="DU210" s="564"/>
      <c r="DV210" s="564"/>
      <c r="DW210" s="564"/>
    </row>
    <row r="211" spans="1:127" s="536" customFormat="1" x14ac:dyDescent="0.2">
      <c r="A211" s="350">
        <v>2</v>
      </c>
      <c r="B211" s="5" t="str">
        <f ca="1">IF(OFFSET(R211,0,Lang_Order*Lang__R2)="","",OFFSET(R211,0,Lang_Order*Lang__R2))</f>
        <v>OVERRIDE HERE if alternative costing used for section above</v>
      </c>
      <c r="C211" s="284"/>
      <c r="D211" s="284"/>
      <c r="E211" s="284"/>
      <c r="F211" s="284"/>
      <c r="G211" s="284"/>
      <c r="H211" s="284"/>
      <c r="I211" s="81" t="str">
        <f>Lang_LeaveBlank</f>
        <v>Leave Blank</v>
      </c>
      <c r="J211" s="620" t="s">
        <v>5127</v>
      </c>
      <c r="K211" s="543"/>
      <c r="L211" s="543"/>
      <c r="O211" s="587"/>
      <c r="P211" s="564"/>
      <c r="Q211" s="564"/>
      <c r="R211" s="564" t="s">
        <v>4591</v>
      </c>
      <c r="S211" s="564"/>
      <c r="T211" s="564"/>
      <c r="U211" s="564"/>
      <c r="V211" s="564"/>
      <c r="W211" s="564"/>
      <c r="X211" s="564"/>
      <c r="Y211" s="564"/>
      <c r="Z211" s="564"/>
      <c r="AA211" s="564"/>
      <c r="AB211" s="564"/>
      <c r="AC211" s="564"/>
      <c r="AD211" s="564"/>
      <c r="AE211" s="564"/>
      <c r="AF211" s="564"/>
      <c r="AG211" s="564"/>
      <c r="AH211" s="564" t="s">
        <v>12949</v>
      </c>
      <c r="AI211" s="564"/>
      <c r="AJ211" s="564"/>
      <c r="AK211" s="564"/>
      <c r="AL211" s="564"/>
      <c r="AM211" s="564"/>
      <c r="AN211" s="564"/>
      <c r="AO211" s="564"/>
      <c r="AP211" s="564"/>
      <c r="AQ211" s="564"/>
      <c r="AR211" s="564"/>
      <c r="AS211" s="564"/>
      <c r="AT211" s="564"/>
      <c r="AU211" s="564"/>
      <c r="AV211" s="564"/>
      <c r="AW211" s="564"/>
      <c r="AX211" s="564" t="s">
        <v>12950</v>
      </c>
      <c r="AY211" s="564"/>
      <c r="AZ211" s="564"/>
      <c r="BA211" s="564"/>
      <c r="BB211" s="564"/>
      <c r="BC211" s="564"/>
      <c r="BD211" s="564"/>
      <c r="BE211" s="564"/>
      <c r="BF211" s="564"/>
      <c r="BG211" s="564"/>
      <c r="BH211" s="564"/>
      <c r="BI211" s="564"/>
      <c r="BJ211" s="564"/>
      <c r="BK211" s="564"/>
      <c r="BL211" s="564"/>
      <c r="BM211" s="564"/>
      <c r="BN211" s="564" t="s">
        <v>12951</v>
      </c>
      <c r="BO211" s="564"/>
      <c r="BP211" s="564"/>
      <c r="BQ211" s="564"/>
      <c r="BR211" s="564"/>
      <c r="BS211" s="564"/>
      <c r="BT211" s="564"/>
      <c r="BU211" s="564"/>
      <c r="BV211" s="564"/>
      <c r="BW211" s="564"/>
      <c r="BX211" s="564"/>
      <c r="BY211" s="564"/>
      <c r="BZ211" s="564"/>
      <c r="CA211" s="564"/>
      <c r="CB211" s="564"/>
      <c r="CC211" s="564"/>
      <c r="CD211" s="564" t="s">
        <v>12952</v>
      </c>
      <c r="CE211" s="564"/>
      <c r="CF211" s="564"/>
      <c r="CG211" s="564"/>
      <c r="CH211" s="564"/>
      <c r="CI211" s="564"/>
      <c r="CJ211" s="564"/>
      <c r="CK211" s="564"/>
      <c r="CL211" s="564"/>
      <c r="CM211" s="564"/>
      <c r="CN211" s="564"/>
      <c r="CO211" s="564"/>
      <c r="CP211" s="564"/>
      <c r="CQ211" s="564"/>
      <c r="CR211" s="564"/>
      <c r="CS211" s="564"/>
      <c r="CT211" s="564" t="s">
        <v>12953</v>
      </c>
      <c r="CU211" s="564"/>
      <c r="CV211" s="564"/>
      <c r="CW211" s="564"/>
      <c r="CX211" s="564"/>
      <c r="CY211" s="564"/>
      <c r="CZ211" s="564"/>
      <c r="DA211" s="564"/>
      <c r="DB211" s="564"/>
      <c r="DC211" s="564"/>
      <c r="DD211" s="564"/>
      <c r="DE211" s="564"/>
      <c r="DF211" s="564"/>
      <c r="DG211" s="564"/>
      <c r="DH211" s="564"/>
      <c r="DI211" s="564"/>
      <c r="DJ211" s="564" t="s">
        <v>12954</v>
      </c>
      <c r="DK211" s="564"/>
      <c r="DL211" s="564"/>
      <c r="DM211" s="564"/>
      <c r="DN211" s="564"/>
      <c r="DO211" s="564"/>
      <c r="DP211" s="564"/>
      <c r="DQ211" s="564"/>
      <c r="DR211" s="564"/>
      <c r="DS211" s="564"/>
      <c r="DT211" s="564"/>
      <c r="DU211" s="564"/>
      <c r="DV211" s="564"/>
      <c r="DW211" s="564"/>
    </row>
    <row r="212" spans="1:127" s="281" customFormat="1" x14ac:dyDescent="0.2">
      <c r="A212" s="85"/>
      <c r="B212" s="23"/>
      <c r="J212" s="620"/>
      <c r="K212" s="543"/>
      <c r="L212" s="543"/>
      <c r="M212" s="459"/>
      <c r="O212" s="567"/>
      <c r="P212" s="564"/>
      <c r="Q212" s="564"/>
      <c r="R212" s="564"/>
      <c r="S212" s="564"/>
      <c r="T212" s="564"/>
      <c r="U212" s="564"/>
      <c r="V212" s="564"/>
      <c r="W212" s="564"/>
      <c r="X212" s="564"/>
      <c r="Y212" s="564"/>
      <c r="Z212" s="564"/>
      <c r="AA212" s="564"/>
      <c r="AB212" s="564"/>
      <c r="AC212" s="564"/>
      <c r="AD212" s="564"/>
      <c r="AE212" s="564"/>
      <c r="AF212" s="564"/>
      <c r="AG212" s="564"/>
      <c r="AH212" s="564"/>
      <c r="AI212" s="564"/>
      <c r="AJ212" s="564"/>
      <c r="AK212" s="564"/>
      <c r="AL212" s="564"/>
      <c r="AM212" s="564"/>
      <c r="AN212" s="564"/>
      <c r="AO212" s="564"/>
      <c r="AP212" s="564"/>
      <c r="AQ212" s="564"/>
      <c r="AR212" s="564"/>
      <c r="AS212" s="564"/>
      <c r="AT212" s="564"/>
      <c r="AU212" s="564"/>
      <c r="AV212" s="564"/>
      <c r="AW212" s="564"/>
      <c r="AX212" s="564"/>
      <c r="AY212" s="564"/>
      <c r="AZ212" s="564"/>
      <c r="BA212" s="564"/>
      <c r="BB212" s="564"/>
      <c r="BC212" s="564"/>
      <c r="BD212" s="564"/>
      <c r="BE212" s="564"/>
      <c r="BF212" s="564"/>
      <c r="BG212" s="564"/>
      <c r="BH212" s="564"/>
      <c r="BI212" s="564"/>
      <c r="BJ212" s="564"/>
      <c r="BK212" s="564"/>
      <c r="BL212" s="564"/>
      <c r="BM212" s="564"/>
      <c r="BN212" s="564"/>
      <c r="BO212" s="564"/>
      <c r="BP212" s="564"/>
      <c r="BQ212" s="564"/>
      <c r="BR212" s="564"/>
      <c r="BS212" s="564"/>
      <c r="BT212" s="564"/>
      <c r="BU212" s="564"/>
      <c r="BV212" s="564"/>
      <c r="BW212" s="564"/>
      <c r="BX212" s="564"/>
      <c r="BY212" s="564"/>
      <c r="BZ212" s="564"/>
      <c r="CA212" s="564"/>
      <c r="CB212" s="564"/>
      <c r="CC212" s="564"/>
      <c r="CD212" s="564"/>
      <c r="CE212" s="564"/>
      <c r="CF212" s="564"/>
      <c r="CG212" s="564"/>
      <c r="CH212" s="564"/>
      <c r="CI212" s="564"/>
      <c r="CJ212" s="564"/>
      <c r="CK212" s="564"/>
      <c r="CL212" s="564"/>
      <c r="CM212" s="564"/>
      <c r="CN212" s="564"/>
      <c r="CO212" s="564"/>
      <c r="CP212" s="564"/>
      <c r="CQ212" s="564"/>
      <c r="CR212" s="564"/>
      <c r="CS212" s="564"/>
      <c r="CT212" s="564"/>
      <c r="CU212" s="564"/>
      <c r="CV212" s="564"/>
      <c r="CW212" s="564"/>
      <c r="CX212" s="564"/>
      <c r="CY212" s="564"/>
      <c r="CZ212" s="564"/>
      <c r="DA212" s="564"/>
      <c r="DB212" s="564"/>
      <c r="DC212" s="564"/>
      <c r="DD212" s="564"/>
      <c r="DE212" s="564"/>
      <c r="DF212" s="564"/>
      <c r="DG212" s="564"/>
      <c r="DH212" s="564"/>
      <c r="DI212" s="564"/>
      <c r="DJ212" s="564"/>
      <c r="DK212" s="564"/>
      <c r="DL212" s="564"/>
      <c r="DM212" s="564"/>
      <c r="DN212" s="564"/>
      <c r="DO212" s="564"/>
      <c r="DP212" s="564"/>
      <c r="DQ212" s="564"/>
      <c r="DR212" s="564"/>
      <c r="DS212" s="564"/>
      <c r="DT212" s="564"/>
      <c r="DU212" s="564"/>
      <c r="DV212" s="564"/>
      <c r="DW212" s="564"/>
    </row>
    <row r="213" spans="1:127" s="532" customFormat="1" ht="13.5" thickBot="1" x14ac:dyDescent="0.25">
      <c r="A213" s="85"/>
      <c r="B213" s="21" t="str">
        <f ca="1">IF(OFFSET(R213,0,Lang_Order*Lang__R2)="","",OFFSET(R213,0,Lang_Order*Lang__R2))</f>
        <v>6.3 Evaluation</v>
      </c>
      <c r="C213" s="118">
        <f t="shared" ref="C213" si="65">IF(ISBLANK(C215),C214,C215)</f>
        <v>0</v>
      </c>
      <c r="D213" s="118" t="e">
        <f t="shared" ref="D213" si="66">IF(ISBLANK(D215),D214,D215)</f>
        <v>#N/A</v>
      </c>
      <c r="E213" s="118">
        <f t="shared" ref="E213" si="67">IF(ISBLANK(E215),E214,E215)</f>
        <v>0</v>
      </c>
      <c r="F213" s="118">
        <f t="shared" ref="F213" si="68">IF(ISBLANK(F215),F214,F215)</f>
        <v>0</v>
      </c>
      <c r="G213" s="118">
        <f t="shared" ref="G213" si="69">IF(ISBLANK(G215),G214,G215)</f>
        <v>0</v>
      </c>
      <c r="H213" s="118">
        <f t="shared" ref="H213" si="70">IF(ISBLANK(H215),H214,H215)</f>
        <v>0</v>
      </c>
      <c r="I213" s="282" t="e">
        <f t="shared" ref="I213" si="71">SUM(C213:H213)</f>
        <v>#N/A</v>
      </c>
      <c r="J213" s="620" t="s">
        <v>5107</v>
      </c>
      <c r="K213" s="35" t="s">
        <v>2844</v>
      </c>
      <c r="L213" s="35" t="s">
        <v>3188</v>
      </c>
      <c r="O213" s="587"/>
      <c r="P213" s="564"/>
      <c r="Q213" s="564"/>
      <c r="R213" s="564" t="s">
        <v>4579</v>
      </c>
      <c r="S213" s="564"/>
      <c r="T213" s="564"/>
      <c r="U213" s="564"/>
      <c r="V213" s="564"/>
      <c r="W213" s="564"/>
      <c r="X213" s="564"/>
      <c r="Y213" s="564"/>
      <c r="Z213" s="564"/>
      <c r="AA213" s="564"/>
      <c r="AB213" s="564"/>
      <c r="AC213" s="564"/>
      <c r="AD213" s="564"/>
      <c r="AE213" s="564"/>
      <c r="AF213" s="564"/>
      <c r="AG213" s="564"/>
      <c r="AH213" s="564" t="s">
        <v>13000</v>
      </c>
      <c r="AI213" s="564"/>
      <c r="AJ213" s="564"/>
      <c r="AK213" s="564"/>
      <c r="AL213" s="564"/>
      <c r="AM213" s="564"/>
      <c r="AN213" s="564"/>
      <c r="AO213" s="564"/>
      <c r="AP213" s="564"/>
      <c r="AQ213" s="564"/>
      <c r="AR213" s="564"/>
      <c r="AS213" s="564"/>
      <c r="AT213" s="564"/>
      <c r="AU213" s="564"/>
      <c r="AV213" s="564"/>
      <c r="AW213" s="564"/>
      <c r="AX213" s="564" t="s">
        <v>13001</v>
      </c>
      <c r="AY213" s="564"/>
      <c r="AZ213" s="564"/>
      <c r="BA213" s="564"/>
      <c r="BB213" s="564"/>
      <c r="BC213" s="564"/>
      <c r="BD213" s="564"/>
      <c r="BE213" s="564"/>
      <c r="BF213" s="564"/>
      <c r="BG213" s="564"/>
      <c r="BH213" s="564"/>
      <c r="BI213" s="564"/>
      <c r="BJ213" s="564"/>
      <c r="BK213" s="564"/>
      <c r="BL213" s="564"/>
      <c r="BM213" s="564"/>
      <c r="BN213" s="564" t="s">
        <v>13002</v>
      </c>
      <c r="BO213" s="564"/>
      <c r="BP213" s="564"/>
      <c r="BQ213" s="564"/>
      <c r="BR213" s="564"/>
      <c r="BS213" s="564"/>
      <c r="BT213" s="564"/>
      <c r="BU213" s="564"/>
      <c r="BV213" s="564"/>
      <c r="BW213" s="564"/>
      <c r="BX213" s="564"/>
      <c r="BY213" s="564"/>
      <c r="BZ213" s="564"/>
      <c r="CA213" s="564"/>
      <c r="CB213" s="564"/>
      <c r="CC213" s="564"/>
      <c r="CD213" s="564" t="s">
        <v>13003</v>
      </c>
      <c r="CE213" s="564"/>
      <c r="CF213" s="564"/>
      <c r="CG213" s="564"/>
      <c r="CH213" s="564"/>
      <c r="CI213" s="564"/>
      <c r="CJ213" s="564"/>
      <c r="CK213" s="564"/>
      <c r="CL213" s="564"/>
      <c r="CM213" s="564"/>
      <c r="CN213" s="564"/>
      <c r="CO213" s="564"/>
      <c r="CP213" s="564"/>
      <c r="CQ213" s="564"/>
      <c r="CR213" s="564"/>
      <c r="CS213" s="564"/>
      <c r="CT213" s="564" t="s">
        <v>13004</v>
      </c>
      <c r="CU213" s="564"/>
      <c r="CV213" s="564"/>
      <c r="CW213" s="564"/>
      <c r="CX213" s="564"/>
      <c r="CY213" s="564"/>
      <c r="CZ213" s="564"/>
      <c r="DA213" s="564"/>
      <c r="DB213" s="564"/>
      <c r="DC213" s="564"/>
      <c r="DD213" s="564"/>
      <c r="DE213" s="564"/>
      <c r="DF213" s="564"/>
      <c r="DG213" s="564"/>
      <c r="DH213" s="564"/>
      <c r="DI213" s="564"/>
      <c r="DJ213" s="564" t="s">
        <v>13005</v>
      </c>
      <c r="DK213" s="564"/>
      <c r="DL213" s="564"/>
      <c r="DM213" s="564"/>
      <c r="DN213" s="564"/>
      <c r="DO213" s="564"/>
      <c r="DP213" s="564"/>
      <c r="DQ213" s="564"/>
      <c r="DR213" s="564"/>
      <c r="DS213" s="564"/>
      <c r="DT213" s="564"/>
      <c r="DU213" s="564"/>
      <c r="DV213" s="564"/>
      <c r="DW213" s="564"/>
    </row>
    <row r="214" spans="1:127" s="2" customFormat="1" ht="13.5" thickTop="1" x14ac:dyDescent="0.2">
      <c r="A214" s="664"/>
      <c r="B214" s="72" t="str">
        <f ca="1">IF(OFFSET(R214,0,Lang_Order*Lang__R2)="","",OFFSET(R214,0,Lang_Order*Lang__R2))</f>
        <v>CVIC Estimates</v>
      </c>
      <c r="C214" s="555"/>
      <c r="D214" s="199" t="e">
        <f>SUM('A4. INPUT Central Costs'!J94:J100)</f>
        <v>#N/A</v>
      </c>
      <c r="E214" s="555"/>
      <c r="F214" s="555"/>
      <c r="G214" s="555"/>
      <c r="H214" s="555"/>
      <c r="I214" s="199" t="e">
        <f>SUM(C214:H214)</f>
        <v>#N/A</v>
      </c>
      <c r="J214" s="620" t="s">
        <v>5108</v>
      </c>
      <c r="P214" s="564"/>
      <c r="Q214" s="564"/>
      <c r="R214" s="564" t="s">
        <v>12973</v>
      </c>
      <c r="S214" s="564"/>
      <c r="T214" s="564"/>
      <c r="U214" s="564"/>
      <c r="V214" s="564"/>
      <c r="W214" s="564"/>
      <c r="X214" s="564"/>
      <c r="Y214" s="564"/>
      <c r="Z214" s="564"/>
      <c r="AA214" s="564"/>
      <c r="AB214" s="564"/>
      <c r="AC214" s="564"/>
      <c r="AD214" s="564"/>
      <c r="AE214" s="564"/>
      <c r="AF214" s="564"/>
      <c r="AG214" s="564"/>
      <c r="AH214" s="564" t="s">
        <v>12974</v>
      </c>
      <c r="AI214" s="564"/>
      <c r="AJ214" s="564"/>
      <c r="AK214" s="564"/>
      <c r="AL214" s="564"/>
      <c r="AM214" s="564"/>
      <c r="AN214" s="564"/>
      <c r="AO214" s="564"/>
      <c r="AP214" s="564"/>
      <c r="AQ214" s="564"/>
      <c r="AR214" s="564"/>
      <c r="AS214" s="564"/>
      <c r="AT214" s="564"/>
      <c r="AU214" s="564"/>
      <c r="AV214" s="564"/>
      <c r="AW214" s="564"/>
      <c r="AX214" s="564" t="s">
        <v>12968</v>
      </c>
      <c r="AY214" s="564"/>
      <c r="AZ214" s="564"/>
      <c r="BA214" s="564"/>
      <c r="BB214" s="564"/>
      <c r="BC214" s="564"/>
      <c r="BD214" s="564"/>
      <c r="BE214" s="564"/>
      <c r="BF214" s="564"/>
      <c r="BG214" s="564"/>
      <c r="BH214" s="564"/>
      <c r="BI214" s="564"/>
      <c r="BJ214" s="564"/>
      <c r="BK214" s="564"/>
      <c r="BL214" s="564"/>
      <c r="BM214" s="564"/>
      <c r="BN214" s="564" t="s">
        <v>12969</v>
      </c>
      <c r="BO214" s="564"/>
      <c r="BP214" s="564"/>
      <c r="BQ214" s="564"/>
      <c r="BR214" s="564"/>
      <c r="BS214" s="564"/>
      <c r="BT214" s="564"/>
      <c r="BU214" s="564"/>
      <c r="BV214" s="564"/>
      <c r="BW214" s="564"/>
      <c r="BX214" s="564"/>
      <c r="BY214" s="564"/>
      <c r="BZ214" s="564"/>
      <c r="CA214" s="564"/>
      <c r="CB214" s="564"/>
      <c r="CC214" s="564"/>
      <c r="CD214" s="564" t="s">
        <v>12970</v>
      </c>
      <c r="CE214" s="564"/>
      <c r="CF214" s="564"/>
      <c r="CG214" s="564"/>
      <c r="CH214" s="564"/>
      <c r="CI214" s="564"/>
      <c r="CJ214" s="564"/>
      <c r="CK214" s="564"/>
      <c r="CL214" s="564"/>
      <c r="CM214" s="564"/>
      <c r="CN214" s="564"/>
      <c r="CO214" s="564"/>
      <c r="CP214" s="564"/>
      <c r="CQ214" s="564"/>
      <c r="CR214" s="564"/>
      <c r="CS214" s="564"/>
      <c r="CT214" s="564" t="s">
        <v>12971</v>
      </c>
      <c r="CU214" s="564"/>
      <c r="CV214" s="564"/>
      <c r="CW214" s="564"/>
      <c r="CX214" s="564"/>
      <c r="CY214" s="564"/>
      <c r="CZ214" s="564"/>
      <c r="DA214" s="564"/>
      <c r="DB214" s="564"/>
      <c r="DC214" s="564"/>
      <c r="DD214" s="564"/>
      <c r="DE214" s="564"/>
      <c r="DF214" s="564"/>
      <c r="DG214" s="564"/>
      <c r="DH214" s="564"/>
      <c r="DI214" s="564"/>
      <c r="DJ214" s="564" t="s">
        <v>12972</v>
      </c>
      <c r="DK214" s="564"/>
      <c r="DL214" s="564"/>
      <c r="DM214" s="564"/>
      <c r="DN214" s="564"/>
      <c r="DO214" s="564"/>
      <c r="DP214" s="564"/>
      <c r="DQ214" s="564"/>
      <c r="DR214" s="564"/>
      <c r="DS214" s="564"/>
      <c r="DT214" s="564"/>
      <c r="DU214" s="564"/>
      <c r="DV214" s="564"/>
      <c r="DW214" s="564"/>
    </row>
    <row r="215" spans="1:127" s="536" customFormat="1" x14ac:dyDescent="0.2">
      <c r="A215" s="350">
        <v>2</v>
      </c>
      <c r="B215" s="5" t="str">
        <f ca="1">IF(OFFSET(R215,0,Lang_Order*Lang__R2)="","",OFFSET(R215,0,Lang_Order*Lang__R2))</f>
        <v>OVERRIDE HERE if alternative costing used for section above</v>
      </c>
      <c r="C215" s="284"/>
      <c r="D215" s="284"/>
      <c r="E215" s="284"/>
      <c r="F215" s="284"/>
      <c r="G215" s="284"/>
      <c r="H215" s="284"/>
      <c r="I215" s="81" t="str">
        <f>Lang_LeaveBlank</f>
        <v>Leave Blank</v>
      </c>
      <c r="J215" s="620" t="s">
        <v>5109</v>
      </c>
      <c r="K215" s="543"/>
      <c r="L215" s="543"/>
      <c r="O215" s="587"/>
      <c r="P215" s="564"/>
      <c r="Q215" s="564"/>
      <c r="R215" s="564" t="s">
        <v>4591</v>
      </c>
      <c r="S215" s="564"/>
      <c r="T215" s="564"/>
      <c r="U215" s="564"/>
      <c r="V215" s="564"/>
      <c r="W215" s="564"/>
      <c r="X215" s="564"/>
      <c r="Y215" s="564"/>
      <c r="Z215" s="564"/>
      <c r="AA215" s="564"/>
      <c r="AB215" s="564"/>
      <c r="AC215" s="564"/>
      <c r="AD215" s="564"/>
      <c r="AE215" s="564"/>
      <c r="AF215" s="564"/>
      <c r="AG215" s="564"/>
      <c r="AH215" s="564" t="s">
        <v>12949</v>
      </c>
      <c r="AI215" s="564"/>
      <c r="AJ215" s="564"/>
      <c r="AK215" s="564"/>
      <c r="AL215" s="564"/>
      <c r="AM215" s="564"/>
      <c r="AN215" s="564"/>
      <c r="AO215" s="564"/>
      <c r="AP215" s="564"/>
      <c r="AQ215" s="564"/>
      <c r="AR215" s="564"/>
      <c r="AS215" s="564"/>
      <c r="AT215" s="564"/>
      <c r="AU215" s="564"/>
      <c r="AV215" s="564"/>
      <c r="AW215" s="564"/>
      <c r="AX215" s="564" t="s">
        <v>12950</v>
      </c>
      <c r="AY215" s="564"/>
      <c r="AZ215" s="564"/>
      <c r="BA215" s="564"/>
      <c r="BB215" s="564"/>
      <c r="BC215" s="564"/>
      <c r="BD215" s="564"/>
      <c r="BE215" s="564"/>
      <c r="BF215" s="564"/>
      <c r="BG215" s="564"/>
      <c r="BH215" s="564"/>
      <c r="BI215" s="564"/>
      <c r="BJ215" s="564"/>
      <c r="BK215" s="564"/>
      <c r="BL215" s="564"/>
      <c r="BM215" s="564"/>
      <c r="BN215" s="564" t="s">
        <v>12951</v>
      </c>
      <c r="BO215" s="564"/>
      <c r="BP215" s="564"/>
      <c r="BQ215" s="564"/>
      <c r="BR215" s="564"/>
      <c r="BS215" s="564"/>
      <c r="BT215" s="564"/>
      <c r="BU215" s="564"/>
      <c r="BV215" s="564"/>
      <c r="BW215" s="564"/>
      <c r="BX215" s="564"/>
      <c r="BY215" s="564"/>
      <c r="BZ215" s="564"/>
      <c r="CA215" s="564"/>
      <c r="CB215" s="564"/>
      <c r="CC215" s="564"/>
      <c r="CD215" s="564" t="s">
        <v>12952</v>
      </c>
      <c r="CE215" s="564"/>
      <c r="CF215" s="564"/>
      <c r="CG215" s="564"/>
      <c r="CH215" s="564"/>
      <c r="CI215" s="564"/>
      <c r="CJ215" s="564"/>
      <c r="CK215" s="564"/>
      <c r="CL215" s="564"/>
      <c r="CM215" s="564"/>
      <c r="CN215" s="564"/>
      <c r="CO215" s="564"/>
      <c r="CP215" s="564"/>
      <c r="CQ215" s="564"/>
      <c r="CR215" s="564"/>
      <c r="CS215" s="564"/>
      <c r="CT215" s="564" t="s">
        <v>12953</v>
      </c>
      <c r="CU215" s="564"/>
      <c r="CV215" s="564"/>
      <c r="CW215" s="564"/>
      <c r="CX215" s="564"/>
      <c r="CY215" s="564"/>
      <c r="CZ215" s="564"/>
      <c r="DA215" s="564"/>
      <c r="DB215" s="564"/>
      <c r="DC215" s="564"/>
      <c r="DD215" s="564"/>
      <c r="DE215" s="564"/>
      <c r="DF215" s="564"/>
      <c r="DG215" s="564"/>
      <c r="DH215" s="564"/>
      <c r="DI215" s="564"/>
      <c r="DJ215" s="564" t="s">
        <v>12954</v>
      </c>
      <c r="DK215" s="564"/>
      <c r="DL215" s="564"/>
      <c r="DM215" s="564"/>
      <c r="DN215" s="564"/>
      <c r="DO215" s="564"/>
      <c r="DP215" s="564"/>
      <c r="DQ215" s="564"/>
      <c r="DR215" s="564"/>
      <c r="DS215" s="564"/>
      <c r="DT215" s="564"/>
      <c r="DU215" s="564"/>
      <c r="DV215" s="564"/>
      <c r="DW215" s="564"/>
    </row>
    <row r="216" spans="1:127" s="532" customFormat="1" x14ac:dyDescent="0.2">
      <c r="A216" s="85"/>
      <c r="B216" s="23"/>
      <c r="J216" s="620"/>
      <c r="K216" s="543"/>
      <c r="L216" s="543"/>
      <c r="O216" s="567"/>
      <c r="P216" s="564"/>
      <c r="Q216" s="564"/>
      <c r="R216" s="564"/>
      <c r="S216" s="564"/>
      <c r="T216" s="564"/>
      <c r="U216" s="564"/>
      <c r="V216" s="564"/>
      <c r="W216" s="564"/>
      <c r="X216" s="564"/>
      <c r="Y216" s="564"/>
      <c r="Z216" s="564"/>
      <c r="AA216" s="564"/>
      <c r="AB216" s="564"/>
      <c r="AC216" s="564"/>
      <c r="AD216" s="564"/>
      <c r="AE216" s="564"/>
      <c r="AF216" s="564"/>
      <c r="AG216" s="564"/>
      <c r="AH216" s="564"/>
      <c r="AI216" s="564"/>
      <c r="AJ216" s="564"/>
      <c r="AK216" s="564"/>
      <c r="AL216" s="564"/>
      <c r="AM216" s="564"/>
      <c r="AN216" s="564"/>
      <c r="AO216" s="564"/>
      <c r="AP216" s="564"/>
      <c r="AQ216" s="564"/>
      <c r="AR216" s="564"/>
      <c r="AS216" s="564"/>
      <c r="AT216" s="564"/>
      <c r="AU216" s="564"/>
      <c r="AV216" s="564"/>
      <c r="AW216" s="564"/>
      <c r="AX216" s="564"/>
      <c r="AY216" s="564"/>
      <c r="AZ216" s="564"/>
      <c r="BA216" s="564"/>
      <c r="BB216" s="564"/>
      <c r="BC216" s="564"/>
      <c r="BD216" s="564"/>
      <c r="BE216" s="564"/>
      <c r="BF216" s="564"/>
      <c r="BG216" s="564"/>
      <c r="BH216" s="564"/>
      <c r="BI216" s="564"/>
      <c r="BJ216" s="564"/>
      <c r="BK216" s="564"/>
      <c r="BL216" s="564"/>
      <c r="BM216" s="564"/>
      <c r="BN216" s="564"/>
      <c r="BO216" s="564"/>
      <c r="BP216" s="564"/>
      <c r="BQ216" s="564"/>
      <c r="BR216" s="564"/>
      <c r="BS216" s="564"/>
      <c r="BT216" s="564"/>
      <c r="BU216" s="564"/>
      <c r="BV216" s="564"/>
      <c r="BW216" s="564"/>
      <c r="BX216" s="564"/>
      <c r="BY216" s="564"/>
      <c r="BZ216" s="564"/>
      <c r="CA216" s="564"/>
      <c r="CB216" s="564"/>
      <c r="CC216" s="564"/>
      <c r="CD216" s="564"/>
      <c r="CE216" s="564"/>
      <c r="CF216" s="564"/>
      <c r="CG216" s="564"/>
      <c r="CH216" s="564"/>
      <c r="CI216" s="564"/>
      <c r="CJ216" s="564"/>
      <c r="CK216" s="564"/>
      <c r="CL216" s="564"/>
      <c r="CM216" s="564"/>
      <c r="CN216" s="564"/>
      <c r="CO216" s="564"/>
      <c r="CP216" s="564"/>
      <c r="CQ216" s="564"/>
      <c r="CR216" s="564"/>
      <c r="CS216" s="564"/>
      <c r="CT216" s="564"/>
      <c r="CU216" s="564"/>
      <c r="CV216" s="564"/>
      <c r="CW216" s="564"/>
      <c r="CX216" s="564"/>
      <c r="CY216" s="564"/>
      <c r="CZ216" s="564"/>
      <c r="DA216" s="564"/>
      <c r="DB216" s="564"/>
      <c r="DC216" s="564"/>
      <c r="DD216" s="564"/>
      <c r="DE216" s="564"/>
      <c r="DF216" s="564"/>
      <c r="DG216" s="564"/>
      <c r="DH216" s="564"/>
      <c r="DI216" s="564"/>
      <c r="DJ216" s="564"/>
      <c r="DK216" s="564"/>
      <c r="DL216" s="564"/>
      <c r="DM216" s="564"/>
      <c r="DN216" s="564"/>
      <c r="DO216" s="564"/>
      <c r="DP216" s="564"/>
      <c r="DQ216" s="564"/>
      <c r="DR216" s="564"/>
      <c r="DS216" s="564"/>
      <c r="DT216" s="564"/>
      <c r="DU216" s="564"/>
      <c r="DV216" s="564"/>
      <c r="DW216" s="564"/>
    </row>
    <row r="217" spans="1:127" s="299" customFormat="1" ht="13.5" thickBot="1" x14ac:dyDescent="0.25">
      <c r="A217" s="85"/>
      <c r="B217" s="537" t="str">
        <f ca="1">IF(OFFSET(R217,0,Lang_Order*Lang__R2)="","",OFFSET(R217,0,Lang_Order*Lang__R2))</f>
        <v>6.4 Oversight and assurance</v>
      </c>
      <c r="C217" s="118" t="e">
        <f t="shared" ref="C217:H217" si="72">IF(ISBLANK(C219),C218,C219)</f>
        <v>#DIV/0!</v>
      </c>
      <c r="D217" s="118" t="e">
        <f t="shared" si="72"/>
        <v>#DIV/0!</v>
      </c>
      <c r="E217" s="118" t="e">
        <f t="shared" si="72"/>
        <v>#DIV/0!</v>
      </c>
      <c r="F217" s="118" t="e">
        <f t="shared" si="72"/>
        <v>#DIV/0!</v>
      </c>
      <c r="G217" s="118" t="e">
        <f t="shared" si="72"/>
        <v>#DIV/0!</v>
      </c>
      <c r="H217" s="118" t="e">
        <f t="shared" si="72"/>
        <v>#DIV/0!</v>
      </c>
      <c r="I217" s="282" t="e">
        <f>SUM(C217:H217)</f>
        <v>#DIV/0!</v>
      </c>
      <c r="J217" s="620" t="s">
        <v>5128</v>
      </c>
      <c r="K217" s="35" t="s">
        <v>2844</v>
      </c>
      <c r="L217" s="35" t="s">
        <v>3188</v>
      </c>
      <c r="M217" s="459"/>
      <c r="N217" s="12" t="str">
        <f ca="1">IF(OFFSET(AD217,0,Lang_Order*Lang__R2)="","",OFFSET(AD217,0,Lang_Order*Lang__R2))</f>
        <v>Gavi request</v>
      </c>
      <c r="O217" s="587"/>
      <c r="P217" s="564"/>
      <c r="Q217" s="564"/>
      <c r="R217" s="564" t="s">
        <v>14162</v>
      </c>
      <c r="S217" s="564"/>
      <c r="T217" s="564"/>
      <c r="U217" s="564"/>
      <c r="V217" s="564"/>
      <c r="W217" s="564"/>
      <c r="X217" s="564"/>
      <c r="Y217" s="564"/>
      <c r="Z217" s="564"/>
      <c r="AA217" s="564"/>
      <c r="AB217" s="564"/>
      <c r="AC217" s="564"/>
      <c r="AD217" s="564" t="s">
        <v>4415</v>
      </c>
      <c r="AE217" s="564"/>
      <c r="AF217" s="564"/>
      <c r="AG217" s="564"/>
      <c r="AH217" s="564" t="s">
        <v>13150</v>
      </c>
      <c r="AI217" s="564"/>
      <c r="AJ217" s="564"/>
      <c r="AK217" s="564"/>
      <c r="AL217" s="564"/>
      <c r="AM217" s="564"/>
      <c r="AN217" s="564"/>
      <c r="AO217" s="564"/>
      <c r="AP217" s="564"/>
      <c r="AQ217" s="564"/>
      <c r="AR217" s="564"/>
      <c r="AS217" s="564"/>
      <c r="AT217" s="564" t="s">
        <v>5061</v>
      </c>
      <c r="AU217" s="564"/>
      <c r="AV217" s="564"/>
      <c r="AW217" s="564"/>
      <c r="AX217" s="564" t="s">
        <v>13151</v>
      </c>
      <c r="AY217" s="564"/>
      <c r="AZ217" s="564"/>
      <c r="BA217" s="564"/>
      <c r="BB217" s="564"/>
      <c r="BC217" s="564"/>
      <c r="BD217" s="564"/>
      <c r="BE217" s="564"/>
      <c r="BF217" s="564"/>
      <c r="BG217" s="564"/>
      <c r="BH217" s="564"/>
      <c r="BI217" s="564"/>
      <c r="BJ217" s="564" t="s">
        <v>5062</v>
      </c>
      <c r="BK217" s="564"/>
      <c r="BL217" s="564"/>
      <c r="BM217" s="564"/>
      <c r="BN217" s="564" t="s">
        <v>13152</v>
      </c>
      <c r="BO217" s="564"/>
      <c r="BP217" s="564"/>
      <c r="BQ217" s="564"/>
      <c r="BR217" s="564"/>
      <c r="BS217" s="564"/>
      <c r="BT217" s="564"/>
      <c r="BU217" s="564"/>
      <c r="BV217" s="564"/>
      <c r="BW217" s="564"/>
      <c r="BX217" s="564"/>
      <c r="BY217" s="564"/>
      <c r="BZ217" s="564" t="s">
        <v>5063</v>
      </c>
      <c r="CA217" s="564"/>
      <c r="CB217" s="564"/>
      <c r="CC217" s="564"/>
      <c r="CD217" s="564" t="s">
        <v>13153</v>
      </c>
      <c r="CE217" s="564"/>
      <c r="CF217" s="564"/>
      <c r="CG217" s="564"/>
      <c r="CH217" s="564"/>
      <c r="CI217" s="564"/>
      <c r="CJ217" s="564"/>
      <c r="CK217" s="564"/>
      <c r="CL217" s="564"/>
      <c r="CM217" s="564"/>
      <c r="CN217" s="564"/>
      <c r="CO217" s="564"/>
      <c r="CP217" s="564" t="s">
        <v>5064</v>
      </c>
      <c r="CQ217" s="564"/>
      <c r="CR217" s="564"/>
      <c r="CS217" s="564"/>
      <c r="CT217" s="564" t="s">
        <v>13154</v>
      </c>
      <c r="CU217" s="564"/>
      <c r="CV217" s="564"/>
      <c r="CW217" s="564"/>
      <c r="CX217" s="564"/>
      <c r="CY217" s="564"/>
      <c r="CZ217" s="564"/>
      <c r="DA217" s="564"/>
      <c r="DB217" s="564"/>
      <c r="DC217" s="564"/>
      <c r="DD217" s="564"/>
      <c r="DE217" s="564"/>
      <c r="DF217" s="564" t="s">
        <v>5065</v>
      </c>
      <c r="DG217" s="564"/>
      <c r="DH217" s="564"/>
      <c r="DI217" s="564"/>
      <c r="DJ217" s="564" t="s">
        <v>13155</v>
      </c>
      <c r="DK217" s="564"/>
      <c r="DL217" s="564"/>
      <c r="DM217" s="564"/>
      <c r="DN217" s="564"/>
      <c r="DO217" s="564"/>
      <c r="DP217" s="564"/>
      <c r="DQ217" s="564"/>
      <c r="DR217" s="564"/>
      <c r="DS217" s="564"/>
      <c r="DT217" s="564"/>
      <c r="DU217" s="564"/>
      <c r="DV217" s="564" t="s">
        <v>5066</v>
      </c>
      <c r="DW217" s="564"/>
    </row>
    <row r="218" spans="1:127" s="2" customFormat="1" ht="13.5" thickTop="1" x14ac:dyDescent="0.2">
      <c r="A218" s="73"/>
      <c r="B218" s="72" t="str">
        <f ca="1">IF(OFFSET(R218,0,Lang_Order*Lang__R2)="","",OFFSET(R218,0,Lang_Order*Lang__R2))</f>
        <v>CVIC Estimates</v>
      </c>
      <c r="C218" s="199" t="e">
        <f t="shared" ref="C218:H218" si="73">Oversight_Percent*SUM(C152,C129)</f>
        <v>#DIV/0!</v>
      </c>
      <c r="D218" s="199" t="e">
        <f t="shared" si="73"/>
        <v>#DIV/0!</v>
      </c>
      <c r="E218" s="199" t="e">
        <f t="shared" si="73"/>
        <v>#DIV/0!</v>
      </c>
      <c r="F218" s="199" t="e">
        <f t="shared" si="73"/>
        <v>#DIV/0!</v>
      </c>
      <c r="G218" s="199" t="e">
        <f t="shared" si="73"/>
        <v>#DIV/0!</v>
      </c>
      <c r="H218" s="199" t="e">
        <f t="shared" si="73"/>
        <v>#DIV/0!</v>
      </c>
      <c r="I218" s="199" t="e">
        <f>SUM(C218:H218)</f>
        <v>#DIV/0!</v>
      </c>
      <c r="J218" s="620" t="s">
        <v>5129</v>
      </c>
      <c r="P218" s="564"/>
      <c r="Q218" s="564"/>
      <c r="R218" s="564" t="s">
        <v>12973</v>
      </c>
      <c r="S218" s="564"/>
      <c r="T218" s="564"/>
      <c r="U218" s="564"/>
      <c r="V218" s="564"/>
      <c r="W218" s="564"/>
      <c r="X218" s="564"/>
      <c r="Y218" s="564"/>
      <c r="Z218" s="564"/>
      <c r="AA218" s="564"/>
      <c r="AB218" s="564"/>
      <c r="AC218" s="564"/>
      <c r="AD218" s="564"/>
      <c r="AE218" s="564"/>
      <c r="AF218" s="564"/>
      <c r="AG218" s="564"/>
      <c r="AH218" s="564" t="s">
        <v>12974</v>
      </c>
      <c r="AI218" s="564"/>
      <c r="AJ218" s="564"/>
      <c r="AK218" s="564"/>
      <c r="AL218" s="564"/>
      <c r="AM218" s="564"/>
      <c r="AN218" s="564"/>
      <c r="AO218" s="564"/>
      <c r="AP218" s="564"/>
      <c r="AQ218" s="564"/>
      <c r="AR218" s="564"/>
      <c r="AS218" s="564"/>
      <c r="AT218" s="564"/>
      <c r="AU218" s="564"/>
      <c r="AV218" s="564"/>
      <c r="AW218" s="564"/>
      <c r="AX218" s="564" t="s">
        <v>12968</v>
      </c>
      <c r="AY218" s="564"/>
      <c r="AZ218" s="564"/>
      <c r="BA218" s="564"/>
      <c r="BB218" s="564"/>
      <c r="BC218" s="564"/>
      <c r="BD218" s="564"/>
      <c r="BE218" s="564"/>
      <c r="BF218" s="564"/>
      <c r="BG218" s="564"/>
      <c r="BH218" s="564"/>
      <c r="BI218" s="564"/>
      <c r="BJ218" s="564"/>
      <c r="BK218" s="564"/>
      <c r="BL218" s="564"/>
      <c r="BM218" s="564"/>
      <c r="BN218" s="564" t="s">
        <v>12969</v>
      </c>
      <c r="BO218" s="564"/>
      <c r="BP218" s="564"/>
      <c r="BQ218" s="564"/>
      <c r="BR218" s="564"/>
      <c r="BS218" s="564"/>
      <c r="BT218" s="564"/>
      <c r="BU218" s="564"/>
      <c r="BV218" s="564"/>
      <c r="BW218" s="564"/>
      <c r="BX218" s="564"/>
      <c r="BY218" s="564"/>
      <c r="BZ218" s="564"/>
      <c r="CA218" s="564"/>
      <c r="CB218" s="564"/>
      <c r="CC218" s="564"/>
      <c r="CD218" s="564" t="s">
        <v>12970</v>
      </c>
      <c r="CE218" s="564"/>
      <c r="CF218" s="564"/>
      <c r="CG218" s="564"/>
      <c r="CH218" s="564"/>
      <c r="CI218" s="564"/>
      <c r="CJ218" s="564"/>
      <c r="CK218" s="564"/>
      <c r="CL218" s="564"/>
      <c r="CM218" s="564"/>
      <c r="CN218" s="564"/>
      <c r="CO218" s="564"/>
      <c r="CP218" s="564"/>
      <c r="CQ218" s="564"/>
      <c r="CR218" s="564"/>
      <c r="CS218" s="564"/>
      <c r="CT218" s="564" t="s">
        <v>12971</v>
      </c>
      <c r="CU218" s="564"/>
      <c r="CV218" s="564"/>
      <c r="CW218" s="564"/>
      <c r="CX218" s="564"/>
      <c r="CY218" s="564"/>
      <c r="CZ218" s="564"/>
      <c r="DA218" s="564"/>
      <c r="DB218" s="564"/>
      <c r="DC218" s="564"/>
      <c r="DD218" s="564"/>
      <c r="DE218" s="564"/>
      <c r="DF218" s="564"/>
      <c r="DG218" s="564"/>
      <c r="DH218" s="564"/>
      <c r="DI218" s="564"/>
      <c r="DJ218" s="564" t="s">
        <v>12972</v>
      </c>
      <c r="DK218" s="564"/>
      <c r="DL218" s="564"/>
      <c r="DM218" s="564"/>
      <c r="DN218" s="564"/>
      <c r="DO218" s="564"/>
      <c r="DP218" s="564"/>
      <c r="DQ218" s="564"/>
      <c r="DR218" s="564"/>
      <c r="DS218" s="564"/>
      <c r="DT218" s="564"/>
      <c r="DU218" s="564"/>
      <c r="DV218" s="564"/>
      <c r="DW218" s="564"/>
    </row>
    <row r="219" spans="1:127" s="536" customFormat="1" x14ac:dyDescent="0.2">
      <c r="A219" s="350">
        <v>2</v>
      </c>
      <c r="B219" s="5" t="str">
        <f ca="1">IF(OFFSET(R219,0,Lang_Order*Lang__R2)="","",OFFSET(R219,0,Lang_Order*Lang__R2))</f>
        <v>OVERRIDE HERE if alternative costing used for section above</v>
      </c>
      <c r="C219" s="284"/>
      <c r="D219" s="284"/>
      <c r="E219" s="284"/>
      <c r="F219" s="284"/>
      <c r="G219" s="284"/>
      <c r="H219" s="284"/>
      <c r="I219" s="81" t="str">
        <f>Lang_LeaveBlank</f>
        <v>Leave Blank</v>
      </c>
      <c r="J219" s="620" t="s">
        <v>5130</v>
      </c>
      <c r="K219" s="543"/>
      <c r="L219" s="543"/>
      <c r="O219" s="587"/>
      <c r="P219" s="564"/>
      <c r="Q219" s="564"/>
      <c r="R219" s="564" t="s">
        <v>4591</v>
      </c>
      <c r="S219" s="564"/>
      <c r="T219" s="564"/>
      <c r="U219" s="564"/>
      <c r="V219" s="564"/>
      <c r="W219" s="564"/>
      <c r="X219" s="564"/>
      <c r="Y219" s="564"/>
      <c r="Z219" s="564"/>
      <c r="AA219" s="564"/>
      <c r="AB219" s="564"/>
      <c r="AC219" s="564"/>
      <c r="AD219" s="564"/>
      <c r="AE219" s="564"/>
      <c r="AF219" s="564"/>
      <c r="AG219" s="564"/>
      <c r="AH219" s="564" t="s">
        <v>12949</v>
      </c>
      <c r="AI219" s="564"/>
      <c r="AJ219" s="564"/>
      <c r="AK219" s="564"/>
      <c r="AL219" s="564"/>
      <c r="AM219" s="564"/>
      <c r="AN219" s="564"/>
      <c r="AO219" s="564"/>
      <c r="AP219" s="564"/>
      <c r="AQ219" s="564"/>
      <c r="AR219" s="564"/>
      <c r="AS219" s="564"/>
      <c r="AT219" s="564"/>
      <c r="AU219" s="564"/>
      <c r="AV219" s="564"/>
      <c r="AW219" s="564"/>
      <c r="AX219" s="564" t="s">
        <v>12950</v>
      </c>
      <c r="AY219" s="564"/>
      <c r="AZ219" s="564"/>
      <c r="BA219" s="564"/>
      <c r="BB219" s="564"/>
      <c r="BC219" s="564"/>
      <c r="BD219" s="564"/>
      <c r="BE219" s="564"/>
      <c r="BF219" s="564"/>
      <c r="BG219" s="564"/>
      <c r="BH219" s="564"/>
      <c r="BI219" s="564"/>
      <c r="BJ219" s="564"/>
      <c r="BK219" s="564"/>
      <c r="BL219" s="564"/>
      <c r="BM219" s="564"/>
      <c r="BN219" s="564" t="s">
        <v>12951</v>
      </c>
      <c r="BO219" s="564"/>
      <c r="BP219" s="564"/>
      <c r="BQ219" s="564"/>
      <c r="BR219" s="564"/>
      <c r="BS219" s="564"/>
      <c r="BT219" s="564"/>
      <c r="BU219" s="564"/>
      <c r="BV219" s="564"/>
      <c r="BW219" s="564"/>
      <c r="BX219" s="564"/>
      <c r="BY219" s="564"/>
      <c r="BZ219" s="564"/>
      <c r="CA219" s="564"/>
      <c r="CB219" s="564"/>
      <c r="CC219" s="564"/>
      <c r="CD219" s="564" t="s">
        <v>12952</v>
      </c>
      <c r="CE219" s="564"/>
      <c r="CF219" s="564"/>
      <c r="CG219" s="564"/>
      <c r="CH219" s="564"/>
      <c r="CI219" s="564"/>
      <c r="CJ219" s="564"/>
      <c r="CK219" s="564"/>
      <c r="CL219" s="564"/>
      <c r="CM219" s="564"/>
      <c r="CN219" s="564"/>
      <c r="CO219" s="564"/>
      <c r="CP219" s="564"/>
      <c r="CQ219" s="564"/>
      <c r="CR219" s="564"/>
      <c r="CS219" s="564"/>
      <c r="CT219" s="564" t="s">
        <v>12953</v>
      </c>
      <c r="CU219" s="564"/>
      <c r="CV219" s="564"/>
      <c r="CW219" s="564"/>
      <c r="CX219" s="564"/>
      <c r="CY219" s="564"/>
      <c r="CZ219" s="564"/>
      <c r="DA219" s="564"/>
      <c r="DB219" s="564"/>
      <c r="DC219" s="564"/>
      <c r="DD219" s="564"/>
      <c r="DE219" s="564"/>
      <c r="DF219" s="564"/>
      <c r="DG219" s="564"/>
      <c r="DH219" s="564"/>
      <c r="DI219" s="564"/>
      <c r="DJ219" s="564" t="s">
        <v>12954</v>
      </c>
      <c r="DK219" s="564"/>
      <c r="DL219" s="564"/>
      <c r="DM219" s="564"/>
      <c r="DN219" s="564"/>
      <c r="DO219" s="564"/>
      <c r="DP219" s="564"/>
      <c r="DQ219" s="564"/>
      <c r="DR219" s="564"/>
      <c r="DS219" s="564"/>
      <c r="DT219" s="564"/>
      <c r="DU219" s="564"/>
      <c r="DV219" s="564"/>
      <c r="DW219" s="564"/>
    </row>
    <row r="220" spans="1:127" s="532" customFormat="1" x14ac:dyDescent="0.2">
      <c r="A220" s="85"/>
      <c r="B220" s="23"/>
      <c r="J220" s="620"/>
      <c r="K220" s="543"/>
      <c r="L220" s="543"/>
      <c r="O220" s="567"/>
      <c r="P220" s="564"/>
      <c r="Q220" s="564"/>
      <c r="R220" s="564"/>
      <c r="S220" s="564"/>
      <c r="T220" s="564"/>
      <c r="U220" s="564"/>
      <c r="V220" s="564"/>
      <c r="W220" s="564"/>
      <c r="X220" s="564"/>
      <c r="Y220" s="564"/>
      <c r="Z220" s="564"/>
      <c r="AA220" s="564"/>
      <c r="AB220" s="564"/>
      <c r="AC220" s="564"/>
      <c r="AD220" s="564"/>
      <c r="AE220" s="564"/>
      <c r="AF220" s="564"/>
      <c r="AG220" s="564"/>
      <c r="AH220" s="564"/>
      <c r="AI220" s="564"/>
      <c r="AJ220" s="564"/>
      <c r="AK220" s="564"/>
      <c r="AL220" s="564"/>
      <c r="AM220" s="564"/>
      <c r="AN220" s="564"/>
      <c r="AO220" s="564"/>
      <c r="AP220" s="564"/>
      <c r="AQ220" s="564"/>
      <c r="AR220" s="564"/>
      <c r="AS220" s="564"/>
      <c r="AT220" s="564"/>
      <c r="AU220" s="564"/>
      <c r="AV220" s="564"/>
      <c r="AW220" s="564"/>
      <c r="AX220" s="564"/>
      <c r="AY220" s="564"/>
      <c r="AZ220" s="564"/>
      <c r="BA220" s="564"/>
      <c r="BB220" s="564"/>
      <c r="BC220" s="564"/>
      <c r="BD220" s="564"/>
      <c r="BE220" s="564"/>
      <c r="BF220" s="564"/>
      <c r="BG220" s="564"/>
      <c r="BH220" s="564"/>
      <c r="BI220" s="564"/>
      <c r="BJ220" s="564"/>
      <c r="BK220" s="564"/>
      <c r="BL220" s="564"/>
      <c r="BM220" s="564"/>
      <c r="BN220" s="564"/>
      <c r="BO220" s="564"/>
      <c r="BP220" s="564"/>
      <c r="BQ220" s="564"/>
      <c r="BR220" s="564"/>
      <c r="BS220" s="564"/>
      <c r="BT220" s="564"/>
      <c r="BU220" s="564"/>
      <c r="BV220" s="564"/>
      <c r="BW220" s="564"/>
      <c r="BX220" s="564"/>
      <c r="BY220" s="564"/>
      <c r="BZ220" s="564"/>
      <c r="CA220" s="564"/>
      <c r="CB220" s="564"/>
      <c r="CC220" s="564"/>
      <c r="CD220" s="564"/>
      <c r="CE220" s="564"/>
      <c r="CF220" s="564"/>
      <c r="CG220" s="564"/>
      <c r="CH220" s="564"/>
      <c r="CI220" s="564"/>
      <c r="CJ220" s="564"/>
      <c r="CK220" s="564"/>
      <c r="CL220" s="564"/>
      <c r="CM220" s="564"/>
      <c r="CN220" s="564"/>
      <c r="CO220" s="564"/>
      <c r="CP220" s="564"/>
      <c r="CQ220" s="564"/>
      <c r="CR220" s="564"/>
      <c r="CS220" s="564"/>
      <c r="CT220" s="564"/>
      <c r="CU220" s="564"/>
      <c r="CV220" s="564"/>
      <c r="CW220" s="564"/>
      <c r="CX220" s="564"/>
      <c r="CY220" s="564"/>
      <c r="CZ220" s="564"/>
      <c r="DA220" s="564"/>
      <c r="DB220" s="564"/>
      <c r="DC220" s="564"/>
      <c r="DD220" s="564"/>
      <c r="DE220" s="564"/>
      <c r="DF220" s="564"/>
      <c r="DG220" s="564"/>
      <c r="DH220" s="564"/>
      <c r="DI220" s="564"/>
      <c r="DJ220" s="564"/>
      <c r="DK220" s="564"/>
      <c r="DL220" s="564"/>
      <c r="DM220" s="564"/>
      <c r="DN220" s="564"/>
      <c r="DO220" s="564"/>
      <c r="DP220" s="564"/>
      <c r="DQ220" s="564"/>
      <c r="DR220" s="564"/>
      <c r="DS220" s="564"/>
      <c r="DT220" s="564"/>
      <c r="DU220" s="564"/>
      <c r="DV220" s="564"/>
      <c r="DW220" s="564"/>
    </row>
    <row r="221" spans="1:127" s="281" customFormat="1" ht="15" x14ac:dyDescent="0.25">
      <c r="A221" s="85"/>
      <c r="B221" s="33" t="str">
        <f ca="1">IF(OFFSET(R221,0,Lang_Order*Lang__R2)="","",OFFSET(R221,0,Lang_Order*Lang__R2))</f>
        <v>R2.1.7 Vaccine Safety Surveillance and Injection Safety</v>
      </c>
      <c r="C221" s="195" t="e">
        <f t="shared" ref="C221:H221" si="74">SUM(C222,C226,C232)</f>
        <v>#N/A</v>
      </c>
      <c r="D221" s="195" t="e">
        <f t="shared" si="74"/>
        <v>#N/A</v>
      </c>
      <c r="E221" s="195" t="e">
        <f t="shared" si="74"/>
        <v>#N/A</v>
      </c>
      <c r="F221" s="195" t="e">
        <f t="shared" si="74"/>
        <v>#N/A</v>
      </c>
      <c r="G221" s="195" t="e">
        <f t="shared" si="74"/>
        <v>#N/A</v>
      </c>
      <c r="H221" s="195" t="e">
        <f t="shared" si="74"/>
        <v>#N/A</v>
      </c>
      <c r="I221" s="195" t="e">
        <f>SUM(C221:H221)</f>
        <v>#N/A</v>
      </c>
      <c r="J221" s="620" t="s">
        <v>5100</v>
      </c>
      <c r="K221" s="543"/>
      <c r="L221" s="543"/>
      <c r="M221" s="459"/>
      <c r="O221" s="567"/>
      <c r="P221" s="564"/>
      <c r="Q221" s="564"/>
      <c r="R221" s="564" t="s">
        <v>14623</v>
      </c>
      <c r="S221" s="564"/>
      <c r="T221" s="564"/>
      <c r="U221" s="564"/>
      <c r="V221" s="564"/>
      <c r="W221" s="564"/>
      <c r="X221" s="564"/>
      <c r="Y221" s="564"/>
      <c r="Z221" s="564"/>
      <c r="AA221" s="564"/>
      <c r="AB221" s="564"/>
      <c r="AC221" s="564"/>
      <c r="AD221" s="564"/>
      <c r="AE221" s="564"/>
      <c r="AF221" s="564"/>
      <c r="AG221" s="564"/>
      <c r="AH221" s="564" t="s">
        <v>14624</v>
      </c>
      <c r="AI221" s="564"/>
      <c r="AJ221" s="564"/>
      <c r="AK221" s="564"/>
      <c r="AL221" s="564"/>
      <c r="AM221" s="564"/>
      <c r="AN221" s="564"/>
      <c r="AO221" s="564"/>
      <c r="AP221" s="564"/>
      <c r="AQ221" s="564"/>
      <c r="AR221" s="564"/>
      <c r="AS221" s="564"/>
      <c r="AT221" s="564"/>
      <c r="AU221" s="564"/>
      <c r="AV221" s="564"/>
      <c r="AW221" s="564"/>
      <c r="AX221" s="564" t="s">
        <v>14625</v>
      </c>
      <c r="AY221" s="564"/>
      <c r="AZ221" s="564"/>
      <c r="BA221" s="564"/>
      <c r="BB221" s="564"/>
      <c r="BC221" s="564"/>
      <c r="BD221" s="564"/>
      <c r="BE221" s="564"/>
      <c r="BF221" s="564"/>
      <c r="BG221" s="564"/>
      <c r="BH221" s="564"/>
      <c r="BI221" s="564"/>
      <c r="BJ221" s="564"/>
      <c r="BK221" s="564"/>
      <c r="BL221" s="564"/>
      <c r="BM221" s="564"/>
      <c r="BN221" s="564" t="s">
        <v>14626</v>
      </c>
      <c r="BO221" s="564"/>
      <c r="BP221" s="564"/>
      <c r="BQ221" s="564"/>
      <c r="BR221" s="564"/>
      <c r="BS221" s="564"/>
      <c r="BT221" s="564"/>
      <c r="BU221" s="564"/>
      <c r="BV221" s="564"/>
      <c r="BW221" s="564"/>
      <c r="BX221" s="564"/>
      <c r="BY221" s="564"/>
      <c r="BZ221" s="564"/>
      <c r="CA221" s="564"/>
      <c r="CB221" s="564"/>
      <c r="CC221" s="564"/>
      <c r="CD221" s="564" t="s">
        <v>12999</v>
      </c>
      <c r="CE221" s="564"/>
      <c r="CF221" s="564"/>
      <c r="CG221" s="564"/>
      <c r="CH221" s="564"/>
      <c r="CI221" s="564"/>
      <c r="CJ221" s="564"/>
      <c r="CK221" s="564"/>
      <c r="CL221" s="564"/>
      <c r="CM221" s="564"/>
      <c r="CN221" s="564"/>
      <c r="CO221" s="564"/>
      <c r="CP221" s="564"/>
      <c r="CQ221" s="564"/>
      <c r="CR221" s="564"/>
      <c r="CS221" s="564"/>
      <c r="CT221" s="564" t="s">
        <v>14627</v>
      </c>
      <c r="CU221" s="564"/>
      <c r="CV221" s="564"/>
      <c r="CW221" s="564"/>
      <c r="CX221" s="564"/>
      <c r="CY221" s="564"/>
      <c r="CZ221" s="564"/>
      <c r="DA221" s="564"/>
      <c r="DB221" s="564"/>
      <c r="DC221" s="564"/>
      <c r="DD221" s="564"/>
      <c r="DE221" s="564"/>
      <c r="DF221" s="564"/>
      <c r="DG221" s="564"/>
      <c r="DH221" s="564"/>
      <c r="DI221" s="564"/>
      <c r="DJ221" s="564" t="s">
        <v>14628</v>
      </c>
      <c r="DK221" s="564"/>
      <c r="DL221" s="564"/>
      <c r="DM221" s="564"/>
      <c r="DN221" s="564"/>
      <c r="DO221" s="564"/>
      <c r="DP221" s="564"/>
      <c r="DQ221" s="564"/>
      <c r="DR221" s="564"/>
      <c r="DS221" s="564"/>
      <c r="DT221" s="564"/>
      <c r="DU221" s="564"/>
      <c r="DV221" s="564"/>
      <c r="DW221" s="564"/>
    </row>
    <row r="222" spans="1:127" s="532" customFormat="1" ht="13.5" thickBot="1" x14ac:dyDescent="0.25">
      <c r="A222" s="85"/>
      <c r="B222" s="21" t="str">
        <f ca="1">IF(OFFSET(R222,0,Lang_Order*Lang__R2)="","",OFFSET(R222,0,Lang_Order*Lang__R2))</f>
        <v>7.1 Technical assistance</v>
      </c>
      <c r="C222" s="118" t="e">
        <f>IF(ISBLANK(C224),C223,C224)</f>
        <v>#N/A</v>
      </c>
      <c r="D222" s="118" t="e">
        <f t="shared" ref="D222:H222" si="75">IF(ISBLANK(D224),D223,D224)</f>
        <v>#N/A</v>
      </c>
      <c r="E222" s="118" t="e">
        <f t="shared" si="75"/>
        <v>#N/A</v>
      </c>
      <c r="F222" s="118" t="e">
        <f t="shared" si="75"/>
        <v>#N/A</v>
      </c>
      <c r="G222" s="118" t="e">
        <f t="shared" si="75"/>
        <v>#N/A</v>
      </c>
      <c r="H222" s="118" t="e">
        <f t="shared" si="75"/>
        <v>#N/A</v>
      </c>
      <c r="I222" s="282" t="e">
        <f t="shared" ref="I222" si="76">SUM(C222:H222)</f>
        <v>#N/A</v>
      </c>
      <c r="J222" s="620" t="s">
        <v>5116</v>
      </c>
      <c r="K222" s="35" t="s">
        <v>2844</v>
      </c>
      <c r="L222" s="35" t="s">
        <v>3188</v>
      </c>
      <c r="O222" s="587"/>
      <c r="P222" s="564"/>
      <c r="Q222" s="564"/>
      <c r="R222" s="564" t="s">
        <v>14157</v>
      </c>
      <c r="S222" s="564"/>
      <c r="T222" s="564"/>
      <c r="U222" s="564"/>
      <c r="V222" s="564"/>
      <c r="W222" s="564"/>
      <c r="X222" s="564"/>
      <c r="Y222" s="564"/>
      <c r="Z222" s="564"/>
      <c r="AA222" s="564"/>
      <c r="AB222" s="564"/>
      <c r="AC222" s="564"/>
      <c r="AD222" s="564"/>
      <c r="AE222" s="564"/>
      <c r="AF222" s="564"/>
      <c r="AG222" s="564"/>
      <c r="AH222" s="564" t="s">
        <v>12993</v>
      </c>
      <c r="AI222" s="564"/>
      <c r="AJ222" s="564"/>
      <c r="AK222" s="564"/>
      <c r="AL222" s="564"/>
      <c r="AM222" s="564"/>
      <c r="AN222" s="564"/>
      <c r="AO222" s="564"/>
      <c r="AP222" s="564"/>
      <c r="AQ222" s="564"/>
      <c r="AR222" s="564"/>
      <c r="AS222" s="564"/>
      <c r="AT222" s="564"/>
      <c r="AU222" s="564"/>
      <c r="AV222" s="564"/>
      <c r="AW222" s="564"/>
      <c r="AX222" s="564" t="s">
        <v>12994</v>
      </c>
      <c r="AY222" s="564"/>
      <c r="AZ222" s="564"/>
      <c r="BA222" s="564"/>
      <c r="BB222" s="564"/>
      <c r="BC222" s="564"/>
      <c r="BD222" s="564"/>
      <c r="BE222" s="564"/>
      <c r="BF222" s="564"/>
      <c r="BG222" s="564"/>
      <c r="BH222" s="564"/>
      <c r="BI222" s="564"/>
      <c r="BJ222" s="564"/>
      <c r="BK222" s="564"/>
      <c r="BL222" s="564"/>
      <c r="BM222" s="564"/>
      <c r="BN222" s="564" t="s">
        <v>12995</v>
      </c>
      <c r="BO222" s="564"/>
      <c r="BP222" s="564"/>
      <c r="BQ222" s="564"/>
      <c r="BR222" s="564"/>
      <c r="BS222" s="564"/>
      <c r="BT222" s="564"/>
      <c r="BU222" s="564"/>
      <c r="BV222" s="564"/>
      <c r="BW222" s="564"/>
      <c r="BX222" s="564"/>
      <c r="BY222" s="564"/>
      <c r="BZ222" s="564"/>
      <c r="CA222" s="564"/>
      <c r="CB222" s="564"/>
      <c r="CC222" s="564"/>
      <c r="CD222" s="564" t="s">
        <v>12996</v>
      </c>
      <c r="CE222" s="564"/>
      <c r="CF222" s="564"/>
      <c r="CG222" s="564"/>
      <c r="CH222" s="564"/>
      <c r="CI222" s="564"/>
      <c r="CJ222" s="564"/>
      <c r="CK222" s="564"/>
      <c r="CL222" s="564"/>
      <c r="CM222" s="564"/>
      <c r="CN222" s="564"/>
      <c r="CO222" s="564"/>
      <c r="CP222" s="564"/>
      <c r="CQ222" s="564"/>
      <c r="CR222" s="564"/>
      <c r="CS222" s="564"/>
      <c r="CT222" s="564" t="s">
        <v>12997</v>
      </c>
      <c r="CU222" s="564"/>
      <c r="CV222" s="564"/>
      <c r="CW222" s="564"/>
      <c r="CX222" s="564"/>
      <c r="CY222" s="564"/>
      <c r="CZ222" s="564"/>
      <c r="DA222" s="564"/>
      <c r="DB222" s="564"/>
      <c r="DC222" s="564"/>
      <c r="DD222" s="564"/>
      <c r="DE222" s="564"/>
      <c r="DF222" s="564"/>
      <c r="DG222" s="564"/>
      <c r="DH222" s="564"/>
      <c r="DI222" s="564"/>
      <c r="DJ222" s="564" t="s">
        <v>12998</v>
      </c>
      <c r="DK222" s="564"/>
      <c r="DL222" s="564"/>
      <c r="DM222" s="564"/>
      <c r="DN222" s="564"/>
      <c r="DO222" s="564"/>
      <c r="DP222" s="564"/>
      <c r="DQ222" s="564"/>
      <c r="DR222" s="564"/>
      <c r="DS222" s="564"/>
      <c r="DT222" s="564"/>
      <c r="DU222" s="564"/>
      <c r="DV222" s="564"/>
      <c r="DW222" s="564"/>
    </row>
    <row r="223" spans="1:127" s="2" customFormat="1" ht="13.5" thickTop="1" x14ac:dyDescent="0.2">
      <c r="A223" s="664"/>
      <c r="B223" s="72" t="str">
        <f ca="1">IF(OFFSET(R223,0,Lang_Order*Lang__R2)="","",OFFSET(R223,0,Lang_Order*Lang__R2))</f>
        <v>CVIC Estimates</v>
      </c>
      <c r="C223" s="199" t="e">
        <f>SUM('A4. INPUT Central Costs'!$J$119:$J$127)*C$74</f>
        <v>#N/A</v>
      </c>
      <c r="D223" s="199" t="e">
        <f>SUM('A4. INPUT Central Costs'!$J$119:$J$127)*D$74</f>
        <v>#N/A</v>
      </c>
      <c r="E223" s="199" t="e">
        <f>SUM('A4. INPUT Central Costs'!$J$119:$J$127)*E$74</f>
        <v>#N/A</v>
      </c>
      <c r="F223" s="199" t="e">
        <f>SUM('A4. INPUT Central Costs'!$J$119:$J$127)*F$74</f>
        <v>#N/A</v>
      </c>
      <c r="G223" s="199" t="e">
        <f>SUM('A4. INPUT Central Costs'!$J$119:$J$127)*G$74</f>
        <v>#N/A</v>
      </c>
      <c r="H223" s="199" t="e">
        <f>SUM('A4. INPUT Central Costs'!$J$119:$J$127)*H$74</f>
        <v>#N/A</v>
      </c>
      <c r="I223" s="199" t="e">
        <f>SUM(C223:H223)</f>
        <v>#N/A</v>
      </c>
      <c r="J223" s="620" t="s">
        <v>5117</v>
      </c>
      <c r="P223" s="564"/>
      <c r="Q223" s="564"/>
      <c r="R223" s="564" t="s">
        <v>12973</v>
      </c>
      <c r="S223" s="564"/>
      <c r="T223" s="564"/>
      <c r="U223" s="564"/>
      <c r="V223" s="564"/>
      <c r="W223" s="564"/>
      <c r="X223" s="564"/>
      <c r="Y223" s="564"/>
      <c r="Z223" s="564"/>
      <c r="AA223" s="564"/>
      <c r="AB223" s="564"/>
      <c r="AC223" s="564"/>
      <c r="AD223" s="564"/>
      <c r="AE223" s="564"/>
      <c r="AF223" s="564"/>
      <c r="AG223" s="564"/>
      <c r="AH223" s="564" t="s">
        <v>12974</v>
      </c>
      <c r="AI223" s="564"/>
      <c r="AJ223" s="564"/>
      <c r="AK223" s="564"/>
      <c r="AL223" s="564"/>
      <c r="AM223" s="564"/>
      <c r="AN223" s="564"/>
      <c r="AO223" s="564"/>
      <c r="AP223" s="564"/>
      <c r="AQ223" s="564"/>
      <c r="AR223" s="564"/>
      <c r="AS223" s="564"/>
      <c r="AT223" s="564"/>
      <c r="AU223" s="564"/>
      <c r="AV223" s="564"/>
      <c r="AW223" s="564"/>
      <c r="AX223" s="564" t="s">
        <v>12968</v>
      </c>
      <c r="AY223" s="564"/>
      <c r="AZ223" s="564"/>
      <c r="BA223" s="564"/>
      <c r="BB223" s="564"/>
      <c r="BC223" s="564"/>
      <c r="BD223" s="564"/>
      <c r="BE223" s="564"/>
      <c r="BF223" s="564"/>
      <c r="BG223" s="564"/>
      <c r="BH223" s="564"/>
      <c r="BI223" s="564"/>
      <c r="BJ223" s="564"/>
      <c r="BK223" s="564"/>
      <c r="BL223" s="564"/>
      <c r="BM223" s="564"/>
      <c r="BN223" s="564" t="s">
        <v>12969</v>
      </c>
      <c r="BO223" s="564"/>
      <c r="BP223" s="564"/>
      <c r="BQ223" s="564"/>
      <c r="BR223" s="564"/>
      <c r="BS223" s="564"/>
      <c r="BT223" s="564"/>
      <c r="BU223" s="564"/>
      <c r="BV223" s="564"/>
      <c r="BW223" s="564"/>
      <c r="BX223" s="564"/>
      <c r="BY223" s="564"/>
      <c r="BZ223" s="564"/>
      <c r="CA223" s="564"/>
      <c r="CB223" s="564"/>
      <c r="CC223" s="564"/>
      <c r="CD223" s="564" t="s">
        <v>12970</v>
      </c>
      <c r="CE223" s="564"/>
      <c r="CF223" s="564"/>
      <c r="CG223" s="564"/>
      <c r="CH223" s="564"/>
      <c r="CI223" s="564"/>
      <c r="CJ223" s="564"/>
      <c r="CK223" s="564"/>
      <c r="CL223" s="564"/>
      <c r="CM223" s="564"/>
      <c r="CN223" s="564"/>
      <c r="CO223" s="564"/>
      <c r="CP223" s="564"/>
      <c r="CQ223" s="564"/>
      <c r="CR223" s="564"/>
      <c r="CS223" s="564"/>
      <c r="CT223" s="564" t="s">
        <v>12971</v>
      </c>
      <c r="CU223" s="564"/>
      <c r="CV223" s="564"/>
      <c r="CW223" s="564"/>
      <c r="CX223" s="564"/>
      <c r="CY223" s="564"/>
      <c r="CZ223" s="564"/>
      <c r="DA223" s="564"/>
      <c r="DB223" s="564"/>
      <c r="DC223" s="564"/>
      <c r="DD223" s="564"/>
      <c r="DE223" s="564"/>
      <c r="DF223" s="564"/>
      <c r="DG223" s="564"/>
      <c r="DH223" s="564"/>
      <c r="DI223" s="564"/>
      <c r="DJ223" s="564" t="s">
        <v>12972</v>
      </c>
      <c r="DK223" s="564"/>
      <c r="DL223" s="564"/>
      <c r="DM223" s="564"/>
      <c r="DN223" s="564"/>
      <c r="DO223" s="564"/>
      <c r="DP223" s="564"/>
      <c r="DQ223" s="564"/>
      <c r="DR223" s="564"/>
      <c r="DS223" s="564"/>
      <c r="DT223" s="564"/>
      <c r="DU223" s="564"/>
      <c r="DV223" s="564"/>
      <c r="DW223" s="564"/>
    </row>
    <row r="224" spans="1:127" s="536" customFormat="1" x14ac:dyDescent="0.2">
      <c r="A224" s="350">
        <v>2</v>
      </c>
      <c r="B224" s="5" t="str">
        <f ca="1">IF(OFFSET(R224,0,Lang_Order*Lang__R2)="","",OFFSET(R224,0,Lang_Order*Lang__R2))</f>
        <v>OVERRIDE HERE if alternative costing used for section above</v>
      </c>
      <c r="C224" s="284"/>
      <c r="D224" s="284"/>
      <c r="E224" s="284"/>
      <c r="F224" s="284"/>
      <c r="G224" s="284"/>
      <c r="H224" s="284"/>
      <c r="I224" s="81" t="str">
        <f>Lang_LeaveBlank</f>
        <v>Leave Blank</v>
      </c>
      <c r="J224" s="620" t="s">
        <v>5118</v>
      </c>
      <c r="K224" s="543"/>
      <c r="L224" s="543"/>
      <c r="O224" s="587"/>
      <c r="P224" s="564"/>
      <c r="Q224" s="564"/>
      <c r="R224" s="564" t="s">
        <v>4591</v>
      </c>
      <c r="S224" s="564"/>
      <c r="T224" s="564"/>
      <c r="U224" s="564"/>
      <c r="V224" s="564"/>
      <c r="W224" s="564"/>
      <c r="X224" s="564"/>
      <c r="Y224" s="564"/>
      <c r="Z224" s="564"/>
      <c r="AA224" s="564"/>
      <c r="AB224" s="564"/>
      <c r="AC224" s="564"/>
      <c r="AD224" s="564"/>
      <c r="AE224" s="564"/>
      <c r="AF224" s="564"/>
      <c r="AG224" s="564"/>
      <c r="AH224" s="564" t="s">
        <v>12949</v>
      </c>
      <c r="AI224" s="564"/>
      <c r="AJ224" s="564"/>
      <c r="AK224" s="564"/>
      <c r="AL224" s="564"/>
      <c r="AM224" s="564"/>
      <c r="AN224" s="564"/>
      <c r="AO224" s="564"/>
      <c r="AP224" s="564"/>
      <c r="AQ224" s="564"/>
      <c r="AR224" s="564"/>
      <c r="AS224" s="564"/>
      <c r="AT224" s="564"/>
      <c r="AU224" s="564"/>
      <c r="AV224" s="564"/>
      <c r="AW224" s="564"/>
      <c r="AX224" s="564" t="s">
        <v>12950</v>
      </c>
      <c r="AY224" s="564"/>
      <c r="AZ224" s="564"/>
      <c r="BA224" s="564"/>
      <c r="BB224" s="564"/>
      <c r="BC224" s="564"/>
      <c r="BD224" s="564"/>
      <c r="BE224" s="564"/>
      <c r="BF224" s="564"/>
      <c r="BG224" s="564"/>
      <c r="BH224" s="564"/>
      <c r="BI224" s="564"/>
      <c r="BJ224" s="564"/>
      <c r="BK224" s="564"/>
      <c r="BL224" s="564"/>
      <c r="BM224" s="564"/>
      <c r="BN224" s="564" t="s">
        <v>12951</v>
      </c>
      <c r="BO224" s="564"/>
      <c r="BP224" s="564"/>
      <c r="BQ224" s="564"/>
      <c r="BR224" s="564"/>
      <c r="BS224" s="564"/>
      <c r="BT224" s="564"/>
      <c r="BU224" s="564"/>
      <c r="BV224" s="564"/>
      <c r="BW224" s="564"/>
      <c r="BX224" s="564"/>
      <c r="BY224" s="564"/>
      <c r="BZ224" s="564"/>
      <c r="CA224" s="564"/>
      <c r="CB224" s="564"/>
      <c r="CC224" s="564"/>
      <c r="CD224" s="564" t="s">
        <v>12952</v>
      </c>
      <c r="CE224" s="564"/>
      <c r="CF224" s="564"/>
      <c r="CG224" s="564"/>
      <c r="CH224" s="564"/>
      <c r="CI224" s="564"/>
      <c r="CJ224" s="564"/>
      <c r="CK224" s="564"/>
      <c r="CL224" s="564"/>
      <c r="CM224" s="564"/>
      <c r="CN224" s="564"/>
      <c r="CO224" s="564"/>
      <c r="CP224" s="564"/>
      <c r="CQ224" s="564"/>
      <c r="CR224" s="564"/>
      <c r="CS224" s="564"/>
      <c r="CT224" s="564" t="s">
        <v>12953</v>
      </c>
      <c r="CU224" s="564"/>
      <c r="CV224" s="564"/>
      <c r="CW224" s="564"/>
      <c r="CX224" s="564"/>
      <c r="CY224" s="564"/>
      <c r="CZ224" s="564"/>
      <c r="DA224" s="564"/>
      <c r="DB224" s="564"/>
      <c r="DC224" s="564"/>
      <c r="DD224" s="564"/>
      <c r="DE224" s="564"/>
      <c r="DF224" s="564"/>
      <c r="DG224" s="564"/>
      <c r="DH224" s="564"/>
      <c r="DI224" s="564"/>
      <c r="DJ224" s="564" t="s">
        <v>12954</v>
      </c>
      <c r="DK224" s="564"/>
      <c r="DL224" s="564"/>
      <c r="DM224" s="564"/>
      <c r="DN224" s="564"/>
      <c r="DO224" s="564"/>
      <c r="DP224" s="564"/>
      <c r="DQ224" s="564"/>
      <c r="DR224" s="564"/>
      <c r="DS224" s="564"/>
      <c r="DT224" s="564"/>
      <c r="DU224" s="564"/>
      <c r="DV224" s="564"/>
      <c r="DW224" s="564"/>
    </row>
    <row r="225" spans="1:127" s="532" customFormat="1" x14ac:dyDescent="0.2">
      <c r="A225" s="85"/>
      <c r="J225" s="620"/>
      <c r="K225" s="543"/>
      <c r="L225" s="543"/>
      <c r="O225" s="567"/>
      <c r="P225" s="564"/>
      <c r="Q225" s="564"/>
      <c r="R225" s="564"/>
      <c r="S225" s="564"/>
      <c r="T225" s="564"/>
      <c r="U225" s="564"/>
      <c r="V225" s="564"/>
      <c r="W225" s="564"/>
      <c r="X225" s="564"/>
      <c r="Y225" s="564"/>
      <c r="Z225" s="564"/>
      <c r="AA225" s="564"/>
      <c r="AB225" s="564"/>
      <c r="AC225" s="564"/>
      <c r="AD225" s="564"/>
      <c r="AE225" s="564"/>
      <c r="AF225" s="564"/>
      <c r="AG225" s="564"/>
      <c r="AH225" s="564"/>
      <c r="AI225" s="564"/>
      <c r="AJ225" s="564"/>
      <c r="AK225" s="564"/>
      <c r="AL225" s="564"/>
      <c r="AM225" s="564"/>
      <c r="AN225" s="564"/>
      <c r="AO225" s="564"/>
      <c r="AP225" s="564"/>
      <c r="AQ225" s="564"/>
      <c r="AR225" s="564"/>
      <c r="AS225" s="564"/>
      <c r="AT225" s="564"/>
      <c r="AU225" s="564"/>
      <c r="AV225" s="564"/>
      <c r="AW225" s="564"/>
      <c r="AX225" s="564"/>
      <c r="AY225" s="564"/>
      <c r="AZ225" s="564"/>
      <c r="BA225" s="564"/>
      <c r="BB225" s="564"/>
      <c r="BC225" s="564"/>
      <c r="BD225" s="564"/>
      <c r="BE225" s="564"/>
      <c r="BF225" s="564"/>
      <c r="BG225" s="564"/>
      <c r="BH225" s="564"/>
      <c r="BI225" s="564"/>
      <c r="BJ225" s="564"/>
      <c r="BK225" s="564"/>
      <c r="BL225" s="564"/>
      <c r="BM225" s="564"/>
      <c r="BN225" s="564"/>
      <c r="BO225" s="564"/>
      <c r="BP225" s="564"/>
      <c r="BQ225" s="564"/>
      <c r="BR225" s="564"/>
      <c r="BS225" s="564"/>
      <c r="BT225" s="564"/>
      <c r="BU225" s="564"/>
      <c r="BV225" s="564"/>
      <c r="BW225" s="564"/>
      <c r="BX225" s="564"/>
      <c r="BY225" s="564"/>
      <c r="BZ225" s="564"/>
      <c r="CA225" s="564"/>
      <c r="CB225" s="564"/>
      <c r="CC225" s="564"/>
      <c r="CD225" s="564"/>
      <c r="CE225" s="564"/>
      <c r="CF225" s="564"/>
      <c r="CG225" s="564"/>
      <c r="CH225" s="564"/>
      <c r="CI225" s="564"/>
      <c r="CJ225" s="564"/>
      <c r="CK225" s="564"/>
      <c r="CL225" s="564"/>
      <c r="CM225" s="564"/>
      <c r="CN225" s="564"/>
      <c r="CO225" s="564"/>
      <c r="CP225" s="564"/>
      <c r="CQ225" s="564"/>
      <c r="CR225" s="564"/>
      <c r="CS225" s="564"/>
      <c r="CT225" s="564"/>
      <c r="CU225" s="564"/>
      <c r="CV225" s="564"/>
      <c r="CW225" s="564"/>
      <c r="CX225" s="564"/>
      <c r="CY225" s="564"/>
      <c r="CZ225" s="564"/>
      <c r="DA225" s="564"/>
      <c r="DB225" s="564"/>
      <c r="DC225" s="564"/>
      <c r="DD225" s="564"/>
      <c r="DE225" s="564"/>
      <c r="DF225" s="564"/>
      <c r="DG225" s="564"/>
      <c r="DH225" s="564"/>
      <c r="DI225" s="564"/>
      <c r="DJ225" s="564"/>
      <c r="DK225" s="564"/>
      <c r="DL225" s="564"/>
      <c r="DM225" s="564"/>
      <c r="DN225" s="564"/>
      <c r="DO225" s="564"/>
      <c r="DP225" s="564"/>
      <c r="DQ225" s="564"/>
      <c r="DR225" s="564"/>
      <c r="DS225" s="564"/>
      <c r="DT225" s="564"/>
      <c r="DU225" s="564"/>
      <c r="DV225" s="564"/>
      <c r="DW225" s="564"/>
    </row>
    <row r="226" spans="1:127" s="532" customFormat="1" ht="13.5" thickBot="1" x14ac:dyDescent="0.25">
      <c r="A226" s="85"/>
      <c r="B226" s="21" t="str">
        <f ca="1">IF(OFFSET(R226,0,Lang_Order*Lang__R2)="","",OFFSET(R226,0,Lang_Order*Lang__R2))</f>
        <v>7.2 Operational expenditure</v>
      </c>
      <c r="C226" s="118" t="e">
        <f>IF(ISBLANK(C228),C227,C228)</f>
        <v>#N/A</v>
      </c>
      <c r="D226" s="118" t="e">
        <f t="shared" ref="D226:H226" si="77">IF(ISBLANK(D228),D227,D228)</f>
        <v>#N/A</v>
      </c>
      <c r="E226" s="118" t="e">
        <f t="shared" si="77"/>
        <v>#N/A</v>
      </c>
      <c r="F226" s="118" t="e">
        <f t="shared" si="77"/>
        <v>#N/A</v>
      </c>
      <c r="G226" s="118" t="e">
        <f t="shared" si="77"/>
        <v>#N/A</v>
      </c>
      <c r="H226" s="118" t="e">
        <f t="shared" si="77"/>
        <v>#N/A</v>
      </c>
      <c r="I226" s="282" t="e">
        <f t="shared" ref="I226" si="78">SUM(C226:H226)</f>
        <v>#N/A</v>
      </c>
      <c r="J226" s="620" t="s">
        <v>5119</v>
      </c>
      <c r="K226" s="35" t="s">
        <v>2844</v>
      </c>
      <c r="L226" s="35" t="s">
        <v>3188</v>
      </c>
      <c r="O226" s="587"/>
      <c r="P226" s="564"/>
      <c r="Q226" s="564"/>
      <c r="R226" s="564" t="s">
        <v>14158</v>
      </c>
      <c r="S226" s="564"/>
      <c r="T226" s="564"/>
      <c r="U226" s="564"/>
      <c r="V226" s="564"/>
      <c r="W226" s="564"/>
      <c r="X226" s="564"/>
      <c r="Y226" s="564"/>
      <c r="Z226" s="564"/>
      <c r="AA226" s="564"/>
      <c r="AB226" s="564"/>
      <c r="AC226" s="564"/>
      <c r="AD226" s="564"/>
      <c r="AE226" s="564"/>
      <c r="AF226" s="564"/>
      <c r="AG226" s="564"/>
      <c r="AH226" s="564" t="s">
        <v>12987</v>
      </c>
      <c r="AI226" s="564"/>
      <c r="AJ226" s="564"/>
      <c r="AK226" s="564"/>
      <c r="AL226" s="564"/>
      <c r="AM226" s="564"/>
      <c r="AN226" s="564"/>
      <c r="AO226" s="564"/>
      <c r="AP226" s="564"/>
      <c r="AQ226" s="564"/>
      <c r="AR226" s="564"/>
      <c r="AS226" s="564"/>
      <c r="AT226" s="564"/>
      <c r="AU226" s="564"/>
      <c r="AV226" s="564"/>
      <c r="AW226" s="564"/>
      <c r="AX226" s="564" t="s">
        <v>12988</v>
      </c>
      <c r="AY226" s="564"/>
      <c r="AZ226" s="564"/>
      <c r="BA226" s="564"/>
      <c r="BB226" s="564"/>
      <c r="BC226" s="564"/>
      <c r="BD226" s="564"/>
      <c r="BE226" s="564"/>
      <c r="BF226" s="564"/>
      <c r="BG226" s="564"/>
      <c r="BH226" s="564"/>
      <c r="BI226" s="564"/>
      <c r="BJ226" s="564"/>
      <c r="BK226" s="564"/>
      <c r="BL226" s="564"/>
      <c r="BM226" s="564"/>
      <c r="BN226" s="564" t="s">
        <v>12989</v>
      </c>
      <c r="BO226" s="564"/>
      <c r="BP226" s="564"/>
      <c r="BQ226" s="564"/>
      <c r="BR226" s="564"/>
      <c r="BS226" s="564"/>
      <c r="BT226" s="564"/>
      <c r="BU226" s="564"/>
      <c r="BV226" s="564"/>
      <c r="BW226" s="564"/>
      <c r="BX226" s="564"/>
      <c r="BY226" s="564"/>
      <c r="BZ226" s="564"/>
      <c r="CA226" s="564"/>
      <c r="CB226" s="564"/>
      <c r="CC226" s="564"/>
      <c r="CD226" s="564" t="s">
        <v>12990</v>
      </c>
      <c r="CE226" s="564"/>
      <c r="CF226" s="564"/>
      <c r="CG226" s="564"/>
      <c r="CH226" s="564"/>
      <c r="CI226" s="564"/>
      <c r="CJ226" s="564"/>
      <c r="CK226" s="564"/>
      <c r="CL226" s="564"/>
      <c r="CM226" s="564"/>
      <c r="CN226" s="564"/>
      <c r="CO226" s="564"/>
      <c r="CP226" s="564"/>
      <c r="CQ226" s="564"/>
      <c r="CR226" s="564"/>
      <c r="CS226" s="564"/>
      <c r="CT226" s="564" t="s">
        <v>12991</v>
      </c>
      <c r="CU226" s="564"/>
      <c r="CV226" s="564"/>
      <c r="CW226" s="564"/>
      <c r="CX226" s="564"/>
      <c r="CY226" s="564"/>
      <c r="CZ226" s="564"/>
      <c r="DA226" s="564"/>
      <c r="DB226" s="564"/>
      <c r="DC226" s="564"/>
      <c r="DD226" s="564"/>
      <c r="DE226" s="564"/>
      <c r="DF226" s="564"/>
      <c r="DG226" s="564"/>
      <c r="DH226" s="564"/>
      <c r="DI226" s="564"/>
      <c r="DJ226" s="564" t="s">
        <v>12992</v>
      </c>
      <c r="DK226" s="564"/>
      <c r="DL226" s="564"/>
      <c r="DM226" s="564"/>
      <c r="DN226" s="564"/>
      <c r="DO226" s="564"/>
      <c r="DP226" s="564"/>
      <c r="DQ226" s="564"/>
      <c r="DR226" s="564"/>
      <c r="DS226" s="564"/>
      <c r="DT226" s="564"/>
      <c r="DU226" s="564"/>
      <c r="DV226" s="564"/>
      <c r="DW226" s="564"/>
    </row>
    <row r="227" spans="1:127" s="2" customFormat="1" ht="13.5" thickTop="1" x14ac:dyDescent="0.2">
      <c r="A227" s="664"/>
      <c r="B227" s="72" t="str">
        <f ca="1">IF(OFFSET(R227,0,Lang_Order*Lang__R2)="","",OFFSET(R227,0,Lang_Order*Lang__R2))</f>
        <v>CVIC Estimates</v>
      </c>
      <c r="C227" s="199" t="e">
        <f>SUM('A4. INPUT Central Costs'!$J$129:$J$136)*C$74</f>
        <v>#N/A</v>
      </c>
      <c r="D227" s="199" t="e">
        <f>SUM('A4. INPUT Central Costs'!$J$129:$J$136)*D$74</f>
        <v>#N/A</v>
      </c>
      <c r="E227" s="199" t="e">
        <f>SUM('A4. INPUT Central Costs'!$J$129:$J$136)*E$74</f>
        <v>#N/A</v>
      </c>
      <c r="F227" s="199" t="e">
        <f>SUM('A4. INPUT Central Costs'!$J$129:$J$136)*F$74</f>
        <v>#N/A</v>
      </c>
      <c r="G227" s="199" t="e">
        <f>SUM('A4. INPUT Central Costs'!$J$129:$J$136)*G$74</f>
        <v>#N/A</v>
      </c>
      <c r="H227" s="199" t="e">
        <f>SUM('A4. INPUT Central Costs'!$J$129:$J$136)*H$74</f>
        <v>#N/A</v>
      </c>
      <c r="I227" s="199" t="e">
        <f>SUM(C227:H227)</f>
        <v>#N/A</v>
      </c>
      <c r="J227" s="620" t="s">
        <v>5120</v>
      </c>
      <c r="P227" s="564"/>
      <c r="Q227" s="564"/>
      <c r="R227" s="564" t="s">
        <v>12973</v>
      </c>
      <c r="S227" s="564"/>
      <c r="T227" s="564"/>
      <c r="U227" s="564"/>
      <c r="V227" s="564"/>
      <c r="W227" s="564"/>
      <c r="X227" s="564"/>
      <c r="Y227" s="564"/>
      <c r="Z227" s="564"/>
      <c r="AA227" s="564"/>
      <c r="AB227" s="564"/>
      <c r="AC227" s="564"/>
      <c r="AD227" s="564"/>
      <c r="AE227" s="564"/>
      <c r="AF227" s="564"/>
      <c r="AG227" s="564"/>
      <c r="AH227" s="564" t="s">
        <v>12974</v>
      </c>
      <c r="AI227" s="564"/>
      <c r="AJ227" s="564"/>
      <c r="AK227" s="564"/>
      <c r="AL227" s="564"/>
      <c r="AM227" s="564"/>
      <c r="AN227" s="564"/>
      <c r="AO227" s="564"/>
      <c r="AP227" s="564"/>
      <c r="AQ227" s="564"/>
      <c r="AR227" s="564"/>
      <c r="AS227" s="564"/>
      <c r="AT227" s="564"/>
      <c r="AU227" s="564"/>
      <c r="AV227" s="564"/>
      <c r="AW227" s="564"/>
      <c r="AX227" s="564" t="s">
        <v>12968</v>
      </c>
      <c r="AY227" s="564"/>
      <c r="AZ227" s="564"/>
      <c r="BA227" s="564"/>
      <c r="BB227" s="564"/>
      <c r="BC227" s="564"/>
      <c r="BD227" s="564"/>
      <c r="BE227" s="564"/>
      <c r="BF227" s="564"/>
      <c r="BG227" s="564"/>
      <c r="BH227" s="564"/>
      <c r="BI227" s="564"/>
      <c r="BJ227" s="564"/>
      <c r="BK227" s="564"/>
      <c r="BL227" s="564"/>
      <c r="BM227" s="564"/>
      <c r="BN227" s="564" t="s">
        <v>12969</v>
      </c>
      <c r="BO227" s="564"/>
      <c r="BP227" s="564"/>
      <c r="BQ227" s="564"/>
      <c r="BR227" s="564"/>
      <c r="BS227" s="564"/>
      <c r="BT227" s="564"/>
      <c r="BU227" s="564"/>
      <c r="BV227" s="564"/>
      <c r="BW227" s="564"/>
      <c r="BX227" s="564"/>
      <c r="BY227" s="564"/>
      <c r="BZ227" s="564"/>
      <c r="CA227" s="564"/>
      <c r="CB227" s="564"/>
      <c r="CC227" s="564"/>
      <c r="CD227" s="564" t="s">
        <v>12970</v>
      </c>
      <c r="CE227" s="564"/>
      <c r="CF227" s="564"/>
      <c r="CG227" s="564"/>
      <c r="CH227" s="564"/>
      <c r="CI227" s="564"/>
      <c r="CJ227" s="564"/>
      <c r="CK227" s="564"/>
      <c r="CL227" s="564"/>
      <c r="CM227" s="564"/>
      <c r="CN227" s="564"/>
      <c r="CO227" s="564"/>
      <c r="CP227" s="564"/>
      <c r="CQ227" s="564"/>
      <c r="CR227" s="564"/>
      <c r="CS227" s="564"/>
      <c r="CT227" s="564" t="s">
        <v>12971</v>
      </c>
      <c r="CU227" s="564"/>
      <c r="CV227" s="564"/>
      <c r="CW227" s="564"/>
      <c r="CX227" s="564"/>
      <c r="CY227" s="564"/>
      <c r="CZ227" s="564"/>
      <c r="DA227" s="564"/>
      <c r="DB227" s="564"/>
      <c r="DC227" s="564"/>
      <c r="DD227" s="564"/>
      <c r="DE227" s="564"/>
      <c r="DF227" s="564"/>
      <c r="DG227" s="564"/>
      <c r="DH227" s="564"/>
      <c r="DI227" s="564"/>
      <c r="DJ227" s="564" t="s">
        <v>12972</v>
      </c>
      <c r="DK227" s="564"/>
      <c r="DL227" s="564"/>
      <c r="DM227" s="564"/>
      <c r="DN227" s="564"/>
      <c r="DO227" s="564"/>
      <c r="DP227" s="564"/>
      <c r="DQ227" s="564"/>
      <c r="DR227" s="564"/>
      <c r="DS227" s="564"/>
      <c r="DT227" s="564"/>
      <c r="DU227" s="564"/>
      <c r="DV227" s="564"/>
      <c r="DW227" s="564"/>
    </row>
    <row r="228" spans="1:127" s="536" customFormat="1" x14ac:dyDescent="0.2">
      <c r="A228" s="350">
        <v>2</v>
      </c>
      <c r="B228" s="5" t="str">
        <f ca="1">IF(OFFSET(R228,0,Lang_Order*Lang__R2)="","",OFFSET(R228,0,Lang_Order*Lang__R2))</f>
        <v>OVERRIDE HERE if alternative costing used for section above</v>
      </c>
      <c r="C228" s="284"/>
      <c r="D228" s="284"/>
      <c r="E228" s="284"/>
      <c r="F228" s="284"/>
      <c r="G228" s="284"/>
      <c r="H228" s="284"/>
      <c r="I228" s="81" t="str">
        <f>Lang_LeaveBlank</f>
        <v>Leave Blank</v>
      </c>
      <c r="J228" s="620" t="s">
        <v>5121</v>
      </c>
      <c r="K228" s="543"/>
      <c r="L228" s="543"/>
      <c r="O228" s="587"/>
      <c r="P228" s="564"/>
      <c r="Q228" s="564"/>
      <c r="R228" s="564" t="s">
        <v>4591</v>
      </c>
      <c r="S228" s="564"/>
      <c r="T228" s="564"/>
      <c r="U228" s="564"/>
      <c r="V228" s="564"/>
      <c r="W228" s="564"/>
      <c r="X228" s="564"/>
      <c r="Y228" s="564"/>
      <c r="Z228" s="564"/>
      <c r="AA228" s="564"/>
      <c r="AB228" s="564"/>
      <c r="AC228" s="564"/>
      <c r="AD228" s="564"/>
      <c r="AE228" s="564"/>
      <c r="AF228" s="564"/>
      <c r="AG228" s="564"/>
      <c r="AH228" s="564" t="s">
        <v>12949</v>
      </c>
      <c r="AI228" s="564"/>
      <c r="AJ228" s="564"/>
      <c r="AK228" s="564"/>
      <c r="AL228" s="564"/>
      <c r="AM228" s="564"/>
      <c r="AN228" s="564"/>
      <c r="AO228" s="564"/>
      <c r="AP228" s="564"/>
      <c r="AQ228" s="564"/>
      <c r="AR228" s="564"/>
      <c r="AS228" s="564"/>
      <c r="AT228" s="564"/>
      <c r="AU228" s="564"/>
      <c r="AV228" s="564"/>
      <c r="AW228" s="564"/>
      <c r="AX228" s="564" t="s">
        <v>12950</v>
      </c>
      <c r="AY228" s="564"/>
      <c r="AZ228" s="564"/>
      <c r="BA228" s="564"/>
      <c r="BB228" s="564"/>
      <c r="BC228" s="564"/>
      <c r="BD228" s="564"/>
      <c r="BE228" s="564"/>
      <c r="BF228" s="564"/>
      <c r="BG228" s="564"/>
      <c r="BH228" s="564"/>
      <c r="BI228" s="564"/>
      <c r="BJ228" s="564"/>
      <c r="BK228" s="564"/>
      <c r="BL228" s="564"/>
      <c r="BM228" s="564"/>
      <c r="BN228" s="564" t="s">
        <v>12951</v>
      </c>
      <c r="BO228" s="564"/>
      <c r="BP228" s="564"/>
      <c r="BQ228" s="564"/>
      <c r="BR228" s="564"/>
      <c r="BS228" s="564"/>
      <c r="BT228" s="564"/>
      <c r="BU228" s="564"/>
      <c r="BV228" s="564"/>
      <c r="BW228" s="564"/>
      <c r="BX228" s="564"/>
      <c r="BY228" s="564"/>
      <c r="BZ228" s="564"/>
      <c r="CA228" s="564"/>
      <c r="CB228" s="564"/>
      <c r="CC228" s="564"/>
      <c r="CD228" s="564" t="s">
        <v>12952</v>
      </c>
      <c r="CE228" s="564"/>
      <c r="CF228" s="564"/>
      <c r="CG228" s="564"/>
      <c r="CH228" s="564"/>
      <c r="CI228" s="564"/>
      <c r="CJ228" s="564"/>
      <c r="CK228" s="564"/>
      <c r="CL228" s="564"/>
      <c r="CM228" s="564"/>
      <c r="CN228" s="564"/>
      <c r="CO228" s="564"/>
      <c r="CP228" s="564"/>
      <c r="CQ228" s="564"/>
      <c r="CR228" s="564"/>
      <c r="CS228" s="564"/>
      <c r="CT228" s="564" t="s">
        <v>12953</v>
      </c>
      <c r="CU228" s="564"/>
      <c r="CV228" s="564"/>
      <c r="CW228" s="564"/>
      <c r="CX228" s="564"/>
      <c r="CY228" s="564"/>
      <c r="CZ228" s="564"/>
      <c r="DA228" s="564"/>
      <c r="DB228" s="564"/>
      <c r="DC228" s="564"/>
      <c r="DD228" s="564"/>
      <c r="DE228" s="564"/>
      <c r="DF228" s="564"/>
      <c r="DG228" s="564"/>
      <c r="DH228" s="564"/>
      <c r="DI228" s="564"/>
      <c r="DJ228" s="564" t="s">
        <v>12954</v>
      </c>
      <c r="DK228" s="564"/>
      <c r="DL228" s="564"/>
      <c r="DM228" s="564"/>
      <c r="DN228" s="564"/>
      <c r="DO228" s="564"/>
      <c r="DP228" s="564"/>
      <c r="DQ228" s="564"/>
      <c r="DR228" s="564"/>
      <c r="DS228" s="564"/>
      <c r="DT228" s="564"/>
      <c r="DU228" s="564"/>
      <c r="DV228" s="564"/>
      <c r="DW228" s="564"/>
    </row>
    <row r="229" spans="1:127" s="532" customFormat="1" x14ac:dyDescent="0.2">
      <c r="A229" s="85"/>
      <c r="J229" s="620"/>
      <c r="K229" s="543"/>
      <c r="L229" s="543"/>
      <c r="O229" s="567"/>
      <c r="P229" s="564"/>
      <c r="Q229" s="564"/>
      <c r="R229" s="564"/>
      <c r="S229" s="564"/>
      <c r="T229" s="564"/>
      <c r="U229" s="564"/>
      <c r="V229" s="564"/>
      <c r="W229" s="564"/>
      <c r="X229" s="564"/>
      <c r="Y229" s="564"/>
      <c r="Z229" s="564"/>
      <c r="AA229" s="564"/>
      <c r="AB229" s="564"/>
      <c r="AC229" s="564"/>
      <c r="AD229" s="564"/>
      <c r="AE229" s="564"/>
      <c r="AF229" s="564"/>
      <c r="AG229" s="564"/>
      <c r="AH229" s="564"/>
      <c r="AI229" s="564"/>
      <c r="AJ229" s="564"/>
      <c r="AK229" s="564"/>
      <c r="AL229" s="564"/>
      <c r="AM229" s="564"/>
      <c r="AN229" s="564"/>
      <c r="AO229" s="564"/>
      <c r="AP229" s="564"/>
      <c r="AQ229" s="564"/>
      <c r="AR229" s="564"/>
      <c r="AS229" s="564"/>
      <c r="AT229" s="564"/>
      <c r="AU229" s="564"/>
      <c r="AV229" s="564"/>
      <c r="AW229" s="564"/>
      <c r="AX229" s="564"/>
      <c r="AY229" s="564"/>
      <c r="AZ229" s="564"/>
      <c r="BA229" s="564"/>
      <c r="BB229" s="564"/>
      <c r="BC229" s="564"/>
      <c r="BD229" s="564"/>
      <c r="BE229" s="564"/>
      <c r="BF229" s="564"/>
      <c r="BG229" s="564"/>
      <c r="BH229" s="564"/>
      <c r="BI229" s="564"/>
      <c r="BJ229" s="564"/>
      <c r="BK229" s="564"/>
      <c r="BL229" s="564"/>
      <c r="BM229" s="564"/>
      <c r="BN229" s="564"/>
      <c r="BO229" s="564"/>
      <c r="BP229" s="564"/>
      <c r="BQ229" s="564"/>
      <c r="BR229" s="564"/>
      <c r="BS229" s="564"/>
      <c r="BT229" s="564"/>
      <c r="BU229" s="564"/>
      <c r="BV229" s="564"/>
      <c r="BW229" s="564"/>
      <c r="BX229" s="564"/>
      <c r="BY229" s="564"/>
      <c r="BZ229" s="564"/>
      <c r="CA229" s="564"/>
      <c r="CB229" s="564"/>
      <c r="CC229" s="564"/>
      <c r="CD229" s="564"/>
      <c r="CE229" s="564"/>
      <c r="CF229" s="564"/>
      <c r="CG229" s="564"/>
      <c r="CH229" s="564"/>
      <c r="CI229" s="564"/>
      <c r="CJ229" s="564"/>
      <c r="CK229" s="564"/>
      <c r="CL229" s="564"/>
      <c r="CM229" s="564"/>
      <c r="CN229" s="564"/>
      <c r="CO229" s="564"/>
      <c r="CP229" s="564"/>
      <c r="CQ229" s="564"/>
      <c r="CR229" s="564"/>
      <c r="CS229" s="564"/>
      <c r="CT229" s="564"/>
      <c r="CU229" s="564"/>
      <c r="CV229" s="564"/>
      <c r="CW229" s="564"/>
      <c r="CX229" s="564"/>
      <c r="CY229" s="564"/>
      <c r="CZ229" s="564"/>
      <c r="DA229" s="564"/>
      <c r="DB229" s="564"/>
      <c r="DC229" s="564"/>
      <c r="DD229" s="564"/>
      <c r="DE229" s="564"/>
      <c r="DF229" s="564"/>
      <c r="DG229" s="564"/>
      <c r="DH229" s="564"/>
      <c r="DI229" s="564"/>
      <c r="DJ229" s="564"/>
      <c r="DK229" s="564"/>
      <c r="DL229" s="564"/>
      <c r="DM229" s="564"/>
      <c r="DN229" s="564"/>
      <c r="DO229" s="564"/>
      <c r="DP229" s="564"/>
      <c r="DQ229" s="564"/>
      <c r="DR229" s="564"/>
      <c r="DS229" s="564"/>
      <c r="DT229" s="564"/>
      <c r="DU229" s="564"/>
      <c r="DV229" s="564"/>
      <c r="DW229" s="564"/>
    </row>
    <row r="230" spans="1:127" s="542" customFormat="1" x14ac:dyDescent="0.2">
      <c r="A230" s="85"/>
      <c r="B230" s="270" t="str">
        <f ca="1">IF(OFFSET(R230,0,Lang_Order*Lang__R2)="","",OFFSET(R230,0,Lang_Order*Lang__R2))</f>
        <v>No Fault Compensation</v>
      </c>
      <c r="C230" s="94" t="e">
        <f>'B2. Vaccines and Supplies'!Q110</f>
        <v>#N/A</v>
      </c>
      <c r="D230" s="94" t="e">
        <f>'B2. Vaccines and Supplies'!R110</f>
        <v>#N/A</v>
      </c>
      <c r="E230" s="94" t="e">
        <f>'B2. Vaccines and Supplies'!S110</f>
        <v>#N/A</v>
      </c>
      <c r="F230" s="94" t="e">
        <f>'B2. Vaccines and Supplies'!T110</f>
        <v>#N/A</v>
      </c>
      <c r="G230" s="94" t="e">
        <f>'B2. Vaccines and Supplies'!U110</f>
        <v>#N/A</v>
      </c>
      <c r="H230" s="94" t="e">
        <f>'B2. Vaccines and Supplies'!V110</f>
        <v>#N/A</v>
      </c>
      <c r="I230" s="300" t="e">
        <f>SUM(C230:H230)</f>
        <v>#N/A</v>
      </c>
      <c r="J230" s="620"/>
      <c r="K230" s="543"/>
      <c r="L230" s="543"/>
      <c r="O230" s="567"/>
      <c r="P230" s="564"/>
      <c r="Q230" s="564"/>
      <c r="R230" s="564" t="s">
        <v>4607</v>
      </c>
      <c r="S230" s="564"/>
      <c r="T230" s="564"/>
      <c r="U230" s="564"/>
      <c r="V230" s="564"/>
      <c r="W230" s="564"/>
      <c r="X230" s="564"/>
      <c r="Y230" s="564"/>
      <c r="Z230" s="564"/>
      <c r="AA230" s="564"/>
      <c r="AB230" s="564"/>
      <c r="AC230" s="564"/>
      <c r="AD230" s="564"/>
      <c r="AE230" s="564"/>
      <c r="AF230" s="564"/>
      <c r="AG230" s="564"/>
      <c r="AH230" s="564" t="s">
        <v>12981</v>
      </c>
      <c r="AI230" s="564"/>
      <c r="AJ230" s="564"/>
      <c r="AK230" s="564"/>
      <c r="AL230" s="564"/>
      <c r="AM230" s="564"/>
      <c r="AN230" s="564"/>
      <c r="AO230" s="564"/>
      <c r="AP230" s="564"/>
      <c r="AQ230" s="564"/>
      <c r="AR230" s="564"/>
      <c r="AS230" s="564"/>
      <c r="AT230" s="564"/>
      <c r="AU230" s="564"/>
      <c r="AV230" s="564"/>
      <c r="AW230" s="564"/>
      <c r="AX230" s="564" t="s">
        <v>12982</v>
      </c>
      <c r="AY230" s="564"/>
      <c r="AZ230" s="564"/>
      <c r="BA230" s="564"/>
      <c r="BB230" s="564"/>
      <c r="BC230" s="564"/>
      <c r="BD230" s="564"/>
      <c r="BE230" s="564"/>
      <c r="BF230" s="564"/>
      <c r="BG230" s="564"/>
      <c r="BH230" s="564"/>
      <c r="BI230" s="564"/>
      <c r="BJ230" s="564"/>
      <c r="BK230" s="564"/>
      <c r="BL230" s="564"/>
      <c r="BM230" s="564"/>
      <c r="BN230" s="564" t="s">
        <v>12983</v>
      </c>
      <c r="BO230" s="564"/>
      <c r="BP230" s="564"/>
      <c r="BQ230" s="564"/>
      <c r="BR230" s="564"/>
      <c r="BS230" s="564"/>
      <c r="BT230" s="564"/>
      <c r="BU230" s="564"/>
      <c r="BV230" s="564"/>
      <c r="BW230" s="564"/>
      <c r="BX230" s="564"/>
      <c r="BY230" s="564"/>
      <c r="BZ230" s="564"/>
      <c r="CA230" s="564"/>
      <c r="CB230" s="564"/>
      <c r="CC230" s="564"/>
      <c r="CD230" s="564" t="s">
        <v>12984</v>
      </c>
      <c r="CE230" s="564"/>
      <c r="CF230" s="564"/>
      <c r="CG230" s="564"/>
      <c r="CH230" s="564"/>
      <c r="CI230" s="564"/>
      <c r="CJ230" s="564"/>
      <c r="CK230" s="564"/>
      <c r="CL230" s="564"/>
      <c r="CM230" s="564"/>
      <c r="CN230" s="564"/>
      <c r="CO230" s="564"/>
      <c r="CP230" s="564"/>
      <c r="CQ230" s="564"/>
      <c r="CR230" s="564"/>
      <c r="CS230" s="564"/>
      <c r="CT230" s="564" t="s">
        <v>12985</v>
      </c>
      <c r="CU230" s="564"/>
      <c r="CV230" s="564"/>
      <c r="CW230" s="564"/>
      <c r="CX230" s="564"/>
      <c r="CY230" s="564"/>
      <c r="CZ230" s="564"/>
      <c r="DA230" s="564"/>
      <c r="DB230" s="564"/>
      <c r="DC230" s="564"/>
      <c r="DD230" s="564"/>
      <c r="DE230" s="564"/>
      <c r="DF230" s="564"/>
      <c r="DG230" s="564"/>
      <c r="DH230" s="564"/>
      <c r="DI230" s="564"/>
      <c r="DJ230" s="564" t="s">
        <v>12986</v>
      </c>
      <c r="DK230" s="564"/>
      <c r="DL230" s="564"/>
      <c r="DM230" s="564"/>
      <c r="DN230" s="564"/>
      <c r="DO230" s="564"/>
      <c r="DP230" s="564"/>
      <c r="DQ230" s="564"/>
      <c r="DR230" s="564"/>
      <c r="DS230" s="564"/>
      <c r="DT230" s="564"/>
      <c r="DU230" s="564"/>
      <c r="DV230" s="564"/>
      <c r="DW230" s="564"/>
    </row>
    <row r="231" spans="1:127" s="542" customFormat="1" x14ac:dyDescent="0.2">
      <c r="A231" s="85"/>
      <c r="B231" s="618" t="str">
        <f ca="1">IF(OFFSET(R231,0,Lang_Order*Lang__R2)="","",OFFSET(R231,0,Lang_Order*Lang__R2))</f>
        <v>Adjustment for Covax fully loaded doses [ESTIMATE ONLY]</v>
      </c>
      <c r="C231" s="519">
        <f>IF(AMC_Status=1,(0-C$104*Covax_Fullyloaded_NoFaultCompensation),0)</f>
        <v>0</v>
      </c>
      <c r="D231" s="519">
        <f>IF(AMC_Status=1,(0-D$104*Covax_Fullyloaded_NoFaultCompensation),0)</f>
        <v>0</v>
      </c>
      <c r="E231" s="556"/>
      <c r="F231" s="556"/>
      <c r="G231" s="556"/>
      <c r="H231" s="556"/>
      <c r="I231" s="300">
        <f>SUM(C231:H231)</f>
        <v>0</v>
      </c>
      <c r="J231" s="620"/>
      <c r="K231" s="543"/>
      <c r="L231" s="543"/>
      <c r="O231" s="567"/>
      <c r="P231" s="564"/>
      <c r="Q231" s="564"/>
      <c r="R231" s="564" t="s">
        <v>4599</v>
      </c>
      <c r="S231" s="564"/>
      <c r="T231" s="564"/>
      <c r="U231" s="564"/>
      <c r="V231" s="564"/>
      <c r="W231" s="564"/>
      <c r="X231" s="564"/>
      <c r="Y231" s="564"/>
      <c r="Z231" s="564"/>
      <c r="AA231" s="564"/>
      <c r="AB231" s="564"/>
      <c r="AC231" s="564"/>
      <c r="AD231" s="564"/>
      <c r="AE231" s="564"/>
      <c r="AF231" s="564"/>
      <c r="AG231" s="564"/>
      <c r="AH231" s="564" t="s">
        <v>13108</v>
      </c>
      <c r="AI231" s="564"/>
      <c r="AJ231" s="564"/>
      <c r="AK231" s="564"/>
      <c r="AL231" s="564"/>
      <c r="AM231" s="564"/>
      <c r="AN231" s="564"/>
      <c r="AO231" s="564"/>
      <c r="AP231" s="564"/>
      <c r="AQ231" s="564"/>
      <c r="AR231" s="564"/>
      <c r="AS231" s="564"/>
      <c r="AT231" s="564"/>
      <c r="AU231" s="564"/>
      <c r="AV231" s="564"/>
      <c r="AW231" s="564"/>
      <c r="AX231" s="564" t="s">
        <v>13109</v>
      </c>
      <c r="AY231" s="564"/>
      <c r="AZ231" s="564"/>
      <c r="BA231" s="564"/>
      <c r="BB231" s="564"/>
      <c r="BC231" s="564"/>
      <c r="BD231" s="564"/>
      <c r="BE231" s="564"/>
      <c r="BF231" s="564"/>
      <c r="BG231" s="564"/>
      <c r="BH231" s="564"/>
      <c r="BI231" s="564"/>
      <c r="BJ231" s="564"/>
      <c r="BK231" s="564"/>
      <c r="BL231" s="564"/>
      <c r="BM231" s="564"/>
      <c r="BN231" s="564" t="s">
        <v>13110</v>
      </c>
      <c r="BO231" s="564"/>
      <c r="BP231" s="564"/>
      <c r="BQ231" s="564"/>
      <c r="BR231" s="564"/>
      <c r="BS231" s="564"/>
      <c r="BT231" s="564"/>
      <c r="BU231" s="564"/>
      <c r="BV231" s="564"/>
      <c r="BW231" s="564"/>
      <c r="BX231" s="564"/>
      <c r="BY231" s="564"/>
      <c r="BZ231" s="564"/>
      <c r="CA231" s="564"/>
      <c r="CB231" s="564"/>
      <c r="CC231" s="564"/>
      <c r="CD231" s="564" t="s">
        <v>13111</v>
      </c>
      <c r="CE231" s="564"/>
      <c r="CF231" s="564"/>
      <c r="CG231" s="564"/>
      <c r="CH231" s="564"/>
      <c r="CI231" s="564"/>
      <c r="CJ231" s="564"/>
      <c r="CK231" s="564"/>
      <c r="CL231" s="564"/>
      <c r="CM231" s="564"/>
      <c r="CN231" s="564"/>
      <c r="CO231" s="564"/>
      <c r="CP231" s="564"/>
      <c r="CQ231" s="564"/>
      <c r="CR231" s="564"/>
      <c r="CS231" s="564"/>
      <c r="CT231" s="564" t="s">
        <v>13112</v>
      </c>
      <c r="CU231" s="564"/>
      <c r="CV231" s="564"/>
      <c r="CW231" s="564"/>
      <c r="CX231" s="564"/>
      <c r="CY231" s="564"/>
      <c r="CZ231" s="564"/>
      <c r="DA231" s="564"/>
      <c r="DB231" s="564"/>
      <c r="DC231" s="564"/>
      <c r="DD231" s="564"/>
      <c r="DE231" s="564"/>
      <c r="DF231" s="564"/>
      <c r="DG231" s="564"/>
      <c r="DH231" s="564"/>
      <c r="DI231" s="564"/>
      <c r="DJ231" s="564" t="s">
        <v>13113</v>
      </c>
      <c r="DK231" s="564"/>
      <c r="DL231" s="564"/>
      <c r="DM231" s="564"/>
      <c r="DN231" s="564"/>
      <c r="DO231" s="564"/>
      <c r="DP231" s="564"/>
      <c r="DQ231" s="564"/>
      <c r="DR231" s="564"/>
      <c r="DS231" s="564"/>
      <c r="DT231" s="564"/>
      <c r="DU231" s="564"/>
      <c r="DV231" s="564"/>
      <c r="DW231" s="564"/>
    </row>
    <row r="232" spans="1:127" s="194" customFormat="1" ht="13.5" thickBot="1" x14ac:dyDescent="0.25">
      <c r="A232" s="85"/>
      <c r="B232" s="190" t="str">
        <f ca="1">IF(OFFSET(R232,0,Lang_Order*Lang__R2)="","",OFFSET(R232,0,Lang_Order*Lang__R2))</f>
        <v>7.3 No fault compensation</v>
      </c>
      <c r="C232" s="118" t="e">
        <f t="shared" ref="C232:H232" si="79">IF(ISBLANK(C234),C233,C234)</f>
        <v>#N/A</v>
      </c>
      <c r="D232" s="118" t="e">
        <f t="shared" si="79"/>
        <v>#N/A</v>
      </c>
      <c r="E232" s="118" t="e">
        <f t="shared" si="79"/>
        <v>#N/A</v>
      </c>
      <c r="F232" s="118" t="e">
        <f t="shared" si="79"/>
        <v>#N/A</v>
      </c>
      <c r="G232" s="118" t="e">
        <f t="shared" si="79"/>
        <v>#N/A</v>
      </c>
      <c r="H232" s="118" t="e">
        <f t="shared" si="79"/>
        <v>#N/A</v>
      </c>
      <c r="I232" s="282" t="e">
        <f>SUM(C232:H232)</f>
        <v>#N/A</v>
      </c>
      <c r="J232" s="620" t="s">
        <v>5104</v>
      </c>
      <c r="K232" s="35" t="s">
        <v>2844</v>
      </c>
      <c r="L232" s="35" t="s">
        <v>3188</v>
      </c>
      <c r="M232" s="459"/>
      <c r="O232" s="587"/>
      <c r="P232" s="564"/>
      <c r="Q232" s="564"/>
      <c r="R232" s="564" t="s">
        <v>14159</v>
      </c>
      <c r="S232" s="564"/>
      <c r="T232" s="564"/>
      <c r="U232" s="564"/>
      <c r="V232" s="564"/>
      <c r="W232" s="564"/>
      <c r="X232" s="564"/>
      <c r="Y232" s="564"/>
      <c r="Z232" s="564"/>
      <c r="AA232" s="564"/>
      <c r="AB232" s="564"/>
      <c r="AC232" s="564"/>
      <c r="AD232" s="564"/>
      <c r="AE232" s="564"/>
      <c r="AF232" s="564"/>
      <c r="AG232" s="564"/>
      <c r="AH232" s="564" t="s">
        <v>12975</v>
      </c>
      <c r="AI232" s="564"/>
      <c r="AJ232" s="564"/>
      <c r="AK232" s="564"/>
      <c r="AL232" s="564"/>
      <c r="AM232" s="564"/>
      <c r="AN232" s="564"/>
      <c r="AO232" s="564"/>
      <c r="AP232" s="564"/>
      <c r="AQ232" s="564"/>
      <c r="AR232" s="564"/>
      <c r="AS232" s="564"/>
      <c r="AT232" s="564"/>
      <c r="AU232" s="564"/>
      <c r="AV232" s="564"/>
      <c r="AW232" s="564"/>
      <c r="AX232" s="564" t="s">
        <v>12976</v>
      </c>
      <c r="AY232" s="564"/>
      <c r="AZ232" s="564"/>
      <c r="BA232" s="564"/>
      <c r="BB232" s="564"/>
      <c r="BC232" s="564"/>
      <c r="BD232" s="564"/>
      <c r="BE232" s="564"/>
      <c r="BF232" s="564"/>
      <c r="BG232" s="564"/>
      <c r="BH232" s="564"/>
      <c r="BI232" s="564"/>
      <c r="BJ232" s="564"/>
      <c r="BK232" s="564"/>
      <c r="BL232" s="564"/>
      <c r="BM232" s="564"/>
      <c r="BN232" s="564" t="s">
        <v>12977</v>
      </c>
      <c r="BO232" s="564"/>
      <c r="BP232" s="564"/>
      <c r="BQ232" s="564"/>
      <c r="BR232" s="564"/>
      <c r="BS232" s="564"/>
      <c r="BT232" s="564"/>
      <c r="BU232" s="564"/>
      <c r="BV232" s="564"/>
      <c r="BW232" s="564"/>
      <c r="BX232" s="564"/>
      <c r="BY232" s="564"/>
      <c r="BZ232" s="564"/>
      <c r="CA232" s="564"/>
      <c r="CB232" s="564"/>
      <c r="CC232" s="564"/>
      <c r="CD232" s="564" t="s">
        <v>12978</v>
      </c>
      <c r="CE232" s="564"/>
      <c r="CF232" s="564"/>
      <c r="CG232" s="564"/>
      <c r="CH232" s="564"/>
      <c r="CI232" s="564"/>
      <c r="CJ232" s="564"/>
      <c r="CK232" s="564"/>
      <c r="CL232" s="564"/>
      <c r="CM232" s="564"/>
      <c r="CN232" s="564"/>
      <c r="CO232" s="564"/>
      <c r="CP232" s="564"/>
      <c r="CQ232" s="564"/>
      <c r="CR232" s="564"/>
      <c r="CS232" s="564"/>
      <c r="CT232" s="564" t="s">
        <v>12979</v>
      </c>
      <c r="CU232" s="564"/>
      <c r="CV232" s="564"/>
      <c r="CW232" s="564"/>
      <c r="CX232" s="564"/>
      <c r="CY232" s="564"/>
      <c r="CZ232" s="564"/>
      <c r="DA232" s="564"/>
      <c r="DB232" s="564"/>
      <c r="DC232" s="564"/>
      <c r="DD232" s="564"/>
      <c r="DE232" s="564"/>
      <c r="DF232" s="564"/>
      <c r="DG232" s="564"/>
      <c r="DH232" s="564"/>
      <c r="DI232" s="564"/>
      <c r="DJ232" s="564" t="s">
        <v>12980</v>
      </c>
      <c r="DK232" s="564"/>
      <c r="DL232" s="564"/>
      <c r="DM232" s="564"/>
      <c r="DN232" s="564"/>
      <c r="DO232" s="564"/>
      <c r="DP232" s="564"/>
      <c r="DQ232" s="564"/>
      <c r="DR232" s="564"/>
      <c r="DS232" s="564"/>
      <c r="DT232" s="564"/>
      <c r="DU232" s="564"/>
      <c r="DV232" s="564"/>
      <c r="DW232" s="564"/>
    </row>
    <row r="233" spans="1:127" s="2" customFormat="1" ht="13.5" thickTop="1" x14ac:dyDescent="0.2">
      <c r="A233" s="73"/>
      <c r="B233" s="72" t="str">
        <f ca="1">IF(OFFSET(R233,0,Lang_Order*Lang__R2)="","",OFFSET(R233,0,Lang_Order*Lang__R2))</f>
        <v>CVIC Estimates</v>
      </c>
      <c r="C233" s="199" t="e">
        <f t="shared" ref="C233:H233" si="80">SUM(C230:C231)</f>
        <v>#N/A</v>
      </c>
      <c r="D233" s="199" t="e">
        <f t="shared" si="80"/>
        <v>#N/A</v>
      </c>
      <c r="E233" s="199" t="e">
        <f t="shared" si="80"/>
        <v>#N/A</v>
      </c>
      <c r="F233" s="199" t="e">
        <f t="shared" si="80"/>
        <v>#N/A</v>
      </c>
      <c r="G233" s="199" t="e">
        <f t="shared" si="80"/>
        <v>#N/A</v>
      </c>
      <c r="H233" s="199" t="e">
        <f t="shared" si="80"/>
        <v>#N/A</v>
      </c>
      <c r="I233" s="199" t="e">
        <f>SUM(C233:H233)</f>
        <v>#N/A</v>
      </c>
      <c r="J233" s="620" t="s">
        <v>5105</v>
      </c>
      <c r="P233" s="564"/>
      <c r="Q233" s="564"/>
      <c r="R233" s="564" t="s">
        <v>12973</v>
      </c>
      <c r="S233" s="564"/>
      <c r="T233" s="564"/>
      <c r="U233" s="564"/>
      <c r="V233" s="564"/>
      <c r="W233" s="564"/>
      <c r="X233" s="564"/>
      <c r="Y233" s="564"/>
      <c r="Z233" s="564"/>
      <c r="AA233" s="564"/>
      <c r="AB233" s="564"/>
      <c r="AC233" s="564"/>
      <c r="AD233" s="564"/>
      <c r="AE233" s="564"/>
      <c r="AF233" s="564"/>
      <c r="AG233" s="564"/>
      <c r="AH233" s="564" t="s">
        <v>12974</v>
      </c>
      <c r="AI233" s="564"/>
      <c r="AJ233" s="564"/>
      <c r="AK233" s="564"/>
      <c r="AL233" s="564"/>
      <c r="AM233" s="564"/>
      <c r="AN233" s="564"/>
      <c r="AO233" s="564"/>
      <c r="AP233" s="564"/>
      <c r="AQ233" s="564"/>
      <c r="AR233" s="564"/>
      <c r="AS233" s="564"/>
      <c r="AT233" s="564"/>
      <c r="AU233" s="564"/>
      <c r="AV233" s="564"/>
      <c r="AW233" s="564"/>
      <c r="AX233" s="564" t="s">
        <v>12968</v>
      </c>
      <c r="AY233" s="564"/>
      <c r="AZ233" s="564"/>
      <c r="BA233" s="564"/>
      <c r="BB233" s="564"/>
      <c r="BC233" s="564"/>
      <c r="BD233" s="564"/>
      <c r="BE233" s="564"/>
      <c r="BF233" s="564"/>
      <c r="BG233" s="564"/>
      <c r="BH233" s="564"/>
      <c r="BI233" s="564"/>
      <c r="BJ233" s="564"/>
      <c r="BK233" s="564"/>
      <c r="BL233" s="564"/>
      <c r="BM233" s="564"/>
      <c r="BN233" s="564" t="s">
        <v>12969</v>
      </c>
      <c r="BO233" s="564"/>
      <c r="BP233" s="564"/>
      <c r="BQ233" s="564"/>
      <c r="BR233" s="564"/>
      <c r="BS233" s="564"/>
      <c r="BT233" s="564"/>
      <c r="BU233" s="564"/>
      <c r="BV233" s="564"/>
      <c r="BW233" s="564"/>
      <c r="BX233" s="564"/>
      <c r="BY233" s="564"/>
      <c r="BZ233" s="564"/>
      <c r="CA233" s="564"/>
      <c r="CB233" s="564"/>
      <c r="CC233" s="564"/>
      <c r="CD233" s="564" t="s">
        <v>12970</v>
      </c>
      <c r="CE233" s="564"/>
      <c r="CF233" s="564"/>
      <c r="CG233" s="564"/>
      <c r="CH233" s="564"/>
      <c r="CI233" s="564"/>
      <c r="CJ233" s="564"/>
      <c r="CK233" s="564"/>
      <c r="CL233" s="564"/>
      <c r="CM233" s="564"/>
      <c r="CN233" s="564"/>
      <c r="CO233" s="564"/>
      <c r="CP233" s="564"/>
      <c r="CQ233" s="564"/>
      <c r="CR233" s="564"/>
      <c r="CS233" s="564"/>
      <c r="CT233" s="564" t="s">
        <v>12971</v>
      </c>
      <c r="CU233" s="564"/>
      <c r="CV233" s="564"/>
      <c r="CW233" s="564"/>
      <c r="CX233" s="564"/>
      <c r="CY233" s="564"/>
      <c r="CZ233" s="564"/>
      <c r="DA233" s="564"/>
      <c r="DB233" s="564"/>
      <c r="DC233" s="564"/>
      <c r="DD233" s="564"/>
      <c r="DE233" s="564"/>
      <c r="DF233" s="564"/>
      <c r="DG233" s="564"/>
      <c r="DH233" s="564"/>
      <c r="DI233" s="564"/>
      <c r="DJ233" s="564" t="s">
        <v>12972</v>
      </c>
      <c r="DK233" s="564"/>
      <c r="DL233" s="564"/>
      <c r="DM233" s="564"/>
      <c r="DN233" s="564"/>
      <c r="DO233" s="564"/>
      <c r="DP233" s="564"/>
      <c r="DQ233" s="564"/>
      <c r="DR233" s="564"/>
      <c r="DS233" s="564"/>
      <c r="DT233" s="564"/>
      <c r="DU233" s="564"/>
      <c r="DV233" s="564"/>
      <c r="DW233" s="564"/>
    </row>
    <row r="234" spans="1:127" s="536" customFormat="1" x14ac:dyDescent="0.2">
      <c r="A234" s="350">
        <v>2</v>
      </c>
      <c r="B234" s="5" t="str">
        <f ca="1">IF(OFFSET(R234,0,Lang_Order*Lang__R2)="","",OFFSET(R234,0,Lang_Order*Lang__R2))</f>
        <v>OVERRIDE HERE if alternative costing used for section above</v>
      </c>
      <c r="C234" s="284"/>
      <c r="D234" s="284"/>
      <c r="E234" s="284"/>
      <c r="F234" s="284"/>
      <c r="G234" s="284"/>
      <c r="H234" s="284"/>
      <c r="I234" s="81" t="str">
        <f>Lang_LeaveBlank</f>
        <v>Leave Blank</v>
      </c>
      <c r="J234" s="620" t="s">
        <v>5106</v>
      </c>
      <c r="K234" s="543"/>
      <c r="L234" s="543"/>
      <c r="O234" s="587"/>
      <c r="P234" s="564"/>
      <c r="Q234" s="564"/>
      <c r="R234" s="564" t="s">
        <v>4591</v>
      </c>
      <c r="S234" s="564"/>
      <c r="T234" s="564"/>
      <c r="U234" s="564"/>
      <c r="V234" s="564"/>
      <c r="W234" s="564"/>
      <c r="X234" s="564"/>
      <c r="Y234" s="564"/>
      <c r="Z234" s="564"/>
      <c r="AA234" s="564"/>
      <c r="AB234" s="564"/>
      <c r="AC234" s="564"/>
      <c r="AD234" s="564"/>
      <c r="AE234" s="564"/>
      <c r="AF234" s="564"/>
      <c r="AG234" s="564"/>
      <c r="AH234" s="564" t="s">
        <v>12949</v>
      </c>
      <c r="AI234" s="564"/>
      <c r="AJ234" s="564"/>
      <c r="AK234" s="564"/>
      <c r="AL234" s="564"/>
      <c r="AM234" s="564"/>
      <c r="AN234" s="564"/>
      <c r="AO234" s="564"/>
      <c r="AP234" s="564"/>
      <c r="AQ234" s="564"/>
      <c r="AR234" s="564"/>
      <c r="AS234" s="564"/>
      <c r="AT234" s="564"/>
      <c r="AU234" s="564"/>
      <c r="AV234" s="564"/>
      <c r="AW234" s="564"/>
      <c r="AX234" s="564" t="s">
        <v>12950</v>
      </c>
      <c r="AY234" s="564"/>
      <c r="AZ234" s="564"/>
      <c r="BA234" s="564"/>
      <c r="BB234" s="564"/>
      <c r="BC234" s="564"/>
      <c r="BD234" s="564"/>
      <c r="BE234" s="564"/>
      <c r="BF234" s="564"/>
      <c r="BG234" s="564"/>
      <c r="BH234" s="564"/>
      <c r="BI234" s="564"/>
      <c r="BJ234" s="564"/>
      <c r="BK234" s="564"/>
      <c r="BL234" s="564"/>
      <c r="BM234" s="564"/>
      <c r="BN234" s="564" t="s">
        <v>12951</v>
      </c>
      <c r="BO234" s="564"/>
      <c r="BP234" s="564"/>
      <c r="BQ234" s="564"/>
      <c r="BR234" s="564"/>
      <c r="BS234" s="564"/>
      <c r="BT234" s="564"/>
      <c r="BU234" s="564"/>
      <c r="BV234" s="564"/>
      <c r="BW234" s="564"/>
      <c r="BX234" s="564"/>
      <c r="BY234" s="564"/>
      <c r="BZ234" s="564"/>
      <c r="CA234" s="564"/>
      <c r="CB234" s="564"/>
      <c r="CC234" s="564"/>
      <c r="CD234" s="564" t="s">
        <v>12952</v>
      </c>
      <c r="CE234" s="564"/>
      <c r="CF234" s="564"/>
      <c r="CG234" s="564"/>
      <c r="CH234" s="564"/>
      <c r="CI234" s="564"/>
      <c r="CJ234" s="564"/>
      <c r="CK234" s="564"/>
      <c r="CL234" s="564"/>
      <c r="CM234" s="564"/>
      <c r="CN234" s="564"/>
      <c r="CO234" s="564"/>
      <c r="CP234" s="564"/>
      <c r="CQ234" s="564"/>
      <c r="CR234" s="564"/>
      <c r="CS234" s="564"/>
      <c r="CT234" s="564" t="s">
        <v>12953</v>
      </c>
      <c r="CU234" s="564"/>
      <c r="CV234" s="564"/>
      <c r="CW234" s="564"/>
      <c r="CX234" s="564"/>
      <c r="CY234" s="564"/>
      <c r="CZ234" s="564"/>
      <c r="DA234" s="564"/>
      <c r="DB234" s="564"/>
      <c r="DC234" s="564"/>
      <c r="DD234" s="564"/>
      <c r="DE234" s="564"/>
      <c r="DF234" s="564"/>
      <c r="DG234" s="564"/>
      <c r="DH234" s="564"/>
      <c r="DI234" s="564"/>
      <c r="DJ234" s="564" t="s">
        <v>12954</v>
      </c>
      <c r="DK234" s="564"/>
      <c r="DL234" s="564"/>
      <c r="DM234" s="564"/>
      <c r="DN234" s="564"/>
      <c r="DO234" s="564"/>
      <c r="DP234" s="564"/>
      <c r="DQ234" s="564"/>
      <c r="DR234" s="564"/>
      <c r="DS234" s="564"/>
      <c r="DT234" s="564"/>
      <c r="DU234" s="564"/>
      <c r="DV234" s="564"/>
      <c r="DW234" s="564"/>
    </row>
    <row r="235" spans="1:127" s="281" customFormat="1" x14ac:dyDescent="0.2">
      <c r="A235" s="85"/>
      <c r="J235" s="620"/>
      <c r="K235" s="543"/>
      <c r="L235" s="543"/>
      <c r="M235" s="459"/>
      <c r="O235" s="567"/>
      <c r="P235" s="564"/>
      <c r="Q235" s="564"/>
      <c r="R235" s="564"/>
      <c r="S235" s="564"/>
      <c r="T235" s="564"/>
      <c r="U235" s="564"/>
      <c r="V235" s="564"/>
      <c r="W235" s="564"/>
      <c r="X235" s="564"/>
      <c r="Y235" s="564"/>
      <c r="Z235" s="564"/>
      <c r="AA235" s="564"/>
      <c r="AB235" s="564"/>
      <c r="AC235" s="564"/>
      <c r="AD235" s="564"/>
      <c r="AE235" s="564"/>
      <c r="AF235" s="564"/>
      <c r="AG235" s="564"/>
      <c r="AH235" s="564"/>
      <c r="AI235" s="564"/>
      <c r="AJ235" s="564"/>
      <c r="AK235" s="564"/>
      <c r="AL235" s="564"/>
      <c r="AM235" s="564"/>
      <c r="AN235" s="564"/>
      <c r="AO235" s="564"/>
      <c r="AP235" s="564"/>
      <c r="AQ235" s="564"/>
      <c r="AR235" s="564"/>
      <c r="AS235" s="564"/>
      <c r="AT235" s="564"/>
      <c r="AU235" s="564"/>
      <c r="AV235" s="564"/>
      <c r="AW235" s="564"/>
      <c r="AX235" s="564"/>
      <c r="AY235" s="564"/>
      <c r="AZ235" s="564"/>
      <c r="BA235" s="564"/>
      <c r="BB235" s="564"/>
      <c r="BC235" s="564"/>
      <c r="BD235" s="564"/>
      <c r="BE235" s="564"/>
      <c r="BF235" s="564"/>
      <c r="BG235" s="564"/>
      <c r="BH235" s="564"/>
      <c r="BI235" s="564"/>
      <c r="BJ235" s="564"/>
      <c r="BK235" s="564"/>
      <c r="BL235" s="564"/>
      <c r="BM235" s="564"/>
      <c r="BN235" s="564"/>
      <c r="BO235" s="564"/>
      <c r="BP235" s="564"/>
      <c r="BQ235" s="564"/>
      <c r="BR235" s="564"/>
      <c r="BS235" s="564"/>
      <c r="BT235" s="564"/>
      <c r="BU235" s="564"/>
      <c r="BV235" s="564"/>
      <c r="BW235" s="564"/>
      <c r="BX235" s="564"/>
      <c r="BY235" s="564"/>
      <c r="BZ235" s="564"/>
      <c r="CA235" s="564"/>
      <c r="CB235" s="564"/>
      <c r="CC235" s="564"/>
      <c r="CD235" s="564"/>
      <c r="CE235" s="564"/>
      <c r="CF235" s="564"/>
      <c r="CG235" s="564"/>
      <c r="CH235" s="564"/>
      <c r="CI235" s="564"/>
      <c r="CJ235" s="564"/>
      <c r="CK235" s="564"/>
      <c r="CL235" s="564"/>
      <c r="CM235" s="564"/>
      <c r="CN235" s="564"/>
      <c r="CO235" s="564"/>
      <c r="CP235" s="564"/>
      <c r="CQ235" s="564"/>
      <c r="CR235" s="564"/>
      <c r="CS235" s="564"/>
      <c r="CT235" s="564"/>
      <c r="CU235" s="564"/>
      <c r="CV235" s="564"/>
      <c r="CW235" s="564"/>
      <c r="CX235" s="564"/>
      <c r="CY235" s="564"/>
      <c r="CZ235" s="564"/>
      <c r="DA235" s="564"/>
      <c r="DB235" s="564"/>
      <c r="DC235" s="564"/>
      <c r="DD235" s="564"/>
      <c r="DE235" s="564"/>
      <c r="DF235" s="564"/>
      <c r="DG235" s="564"/>
      <c r="DH235" s="564"/>
      <c r="DI235" s="564"/>
      <c r="DJ235" s="564"/>
      <c r="DK235" s="564"/>
      <c r="DL235" s="564"/>
      <c r="DM235" s="564"/>
      <c r="DN235" s="564"/>
      <c r="DO235" s="564"/>
      <c r="DP235" s="564"/>
      <c r="DQ235" s="564"/>
      <c r="DR235" s="564"/>
      <c r="DS235" s="564"/>
      <c r="DT235" s="564"/>
      <c r="DU235" s="564"/>
      <c r="DV235" s="564"/>
      <c r="DW235" s="564"/>
    </row>
    <row r="236" spans="1:127" s="281" customFormat="1" ht="15" x14ac:dyDescent="0.25">
      <c r="A236" s="85"/>
      <c r="B236" s="33" t="str">
        <f ca="1">IF(OFFSET(R236,0,Lang_Order*Lang__R2)="","",OFFSET(R236,0,Lang_Order*Lang__R2))</f>
        <v>R2.1.8 Demand Generation and Communications</v>
      </c>
      <c r="C236" s="195" t="e">
        <f>SUM(C237,C243)</f>
        <v>#N/A</v>
      </c>
      <c r="D236" s="195" t="e">
        <f t="shared" ref="D236:H236" si="81">SUM(D237,D243)</f>
        <v>#N/A</v>
      </c>
      <c r="E236" s="195" t="e">
        <f t="shared" si="81"/>
        <v>#N/A</v>
      </c>
      <c r="F236" s="195" t="e">
        <f t="shared" si="81"/>
        <v>#N/A</v>
      </c>
      <c r="G236" s="195" t="e">
        <f t="shared" si="81"/>
        <v>#N/A</v>
      </c>
      <c r="H236" s="195" t="e">
        <f t="shared" si="81"/>
        <v>#N/A</v>
      </c>
      <c r="I236" s="195" t="e">
        <f>SUM(C236:H236)</f>
        <v>#N/A</v>
      </c>
      <c r="J236" s="620" t="s">
        <v>5101</v>
      </c>
      <c r="K236" s="543"/>
      <c r="L236" s="543"/>
      <c r="M236" s="459"/>
      <c r="O236" s="567"/>
      <c r="P236" s="564"/>
      <c r="Q236" s="564"/>
      <c r="R236" s="564" t="s">
        <v>14629</v>
      </c>
      <c r="S236" s="564"/>
      <c r="T236" s="564"/>
      <c r="U236" s="564"/>
      <c r="V236" s="564"/>
      <c r="W236" s="564"/>
      <c r="X236" s="564"/>
      <c r="Y236" s="564"/>
      <c r="Z236" s="564"/>
      <c r="AA236" s="564"/>
      <c r="AB236" s="564"/>
      <c r="AC236" s="564"/>
      <c r="AD236" s="564"/>
      <c r="AE236" s="564"/>
      <c r="AF236" s="564"/>
      <c r="AG236" s="564"/>
      <c r="AH236" s="564" t="s">
        <v>14630</v>
      </c>
      <c r="AI236" s="564"/>
      <c r="AJ236" s="564"/>
      <c r="AK236" s="564"/>
      <c r="AL236" s="564"/>
      <c r="AM236" s="564"/>
      <c r="AN236" s="564"/>
      <c r="AO236" s="564"/>
      <c r="AP236" s="564"/>
      <c r="AQ236" s="564"/>
      <c r="AR236" s="564"/>
      <c r="AS236" s="564"/>
      <c r="AT236" s="564"/>
      <c r="AU236" s="564"/>
      <c r="AV236" s="564"/>
      <c r="AW236" s="564"/>
      <c r="AX236" s="564" t="s">
        <v>14631</v>
      </c>
      <c r="AY236" s="564"/>
      <c r="AZ236" s="564"/>
      <c r="BA236" s="564"/>
      <c r="BB236" s="564"/>
      <c r="BC236" s="564"/>
      <c r="BD236" s="564"/>
      <c r="BE236" s="564"/>
      <c r="BF236" s="564"/>
      <c r="BG236" s="564"/>
      <c r="BH236" s="564"/>
      <c r="BI236" s="564"/>
      <c r="BJ236" s="564"/>
      <c r="BK236" s="564"/>
      <c r="BL236" s="564"/>
      <c r="BM236" s="564"/>
      <c r="BN236" s="564" t="s">
        <v>14632</v>
      </c>
      <c r="BO236" s="564"/>
      <c r="BP236" s="564"/>
      <c r="BQ236" s="564"/>
      <c r="BR236" s="564"/>
      <c r="BS236" s="564"/>
      <c r="BT236" s="564"/>
      <c r="BU236" s="564"/>
      <c r="BV236" s="564"/>
      <c r="BW236" s="564"/>
      <c r="BX236" s="564"/>
      <c r="BY236" s="564"/>
      <c r="BZ236" s="564"/>
      <c r="CA236" s="564"/>
      <c r="CB236" s="564"/>
      <c r="CC236" s="564"/>
      <c r="CD236" s="564" t="s">
        <v>12967</v>
      </c>
      <c r="CE236" s="564"/>
      <c r="CF236" s="564"/>
      <c r="CG236" s="564"/>
      <c r="CH236" s="564"/>
      <c r="CI236" s="564"/>
      <c r="CJ236" s="564"/>
      <c r="CK236" s="564"/>
      <c r="CL236" s="564"/>
      <c r="CM236" s="564"/>
      <c r="CN236" s="564"/>
      <c r="CO236" s="564"/>
      <c r="CP236" s="564"/>
      <c r="CQ236" s="564"/>
      <c r="CR236" s="564"/>
      <c r="CS236" s="564"/>
      <c r="CT236" s="564" t="s">
        <v>14633</v>
      </c>
      <c r="CU236" s="564"/>
      <c r="CV236" s="564"/>
      <c r="CW236" s="564"/>
      <c r="CX236" s="564"/>
      <c r="CY236" s="564"/>
      <c r="CZ236" s="564"/>
      <c r="DA236" s="564"/>
      <c r="DB236" s="564"/>
      <c r="DC236" s="564"/>
      <c r="DD236" s="564"/>
      <c r="DE236" s="564"/>
      <c r="DF236" s="564"/>
      <c r="DG236" s="564"/>
      <c r="DH236" s="564"/>
      <c r="DI236" s="564"/>
      <c r="DJ236" s="564" t="s">
        <v>14634</v>
      </c>
      <c r="DK236" s="564"/>
      <c r="DL236" s="564"/>
      <c r="DM236" s="564"/>
      <c r="DN236" s="564"/>
      <c r="DO236" s="564"/>
      <c r="DP236" s="564"/>
      <c r="DQ236" s="564"/>
      <c r="DR236" s="564"/>
      <c r="DS236" s="564"/>
      <c r="DT236" s="564"/>
      <c r="DU236" s="564"/>
      <c r="DV236" s="564"/>
      <c r="DW236" s="564"/>
    </row>
    <row r="237" spans="1:127" s="194" customFormat="1" ht="13.5" thickBot="1" x14ac:dyDescent="0.25">
      <c r="A237" s="85"/>
      <c r="B237" s="190" t="str">
        <f ca="1">IF(OFFSET(R237,0,Lang_Order*Lang__R2)="","",OFFSET(R237,0,Lang_Order*Lang__R2))</f>
        <v>8.1 Technical assistance</v>
      </c>
      <c r="C237" s="118" t="e">
        <f t="shared" ref="C237" si="82">IF(ISBLANK(C239),C238,C239)</f>
        <v>#N/A</v>
      </c>
      <c r="D237" s="118" t="e">
        <f t="shared" ref="D237" si="83">IF(ISBLANK(D239),D238,D239)</f>
        <v>#N/A</v>
      </c>
      <c r="E237" s="118" t="e">
        <f t="shared" ref="E237" si="84">IF(ISBLANK(E239),E238,E239)</f>
        <v>#N/A</v>
      </c>
      <c r="F237" s="118" t="e">
        <f t="shared" ref="F237" si="85">IF(ISBLANK(F239),F238,F239)</f>
        <v>#N/A</v>
      </c>
      <c r="G237" s="118" t="e">
        <f t="shared" ref="G237" si="86">IF(ISBLANK(G239),G238,G239)</f>
        <v>#N/A</v>
      </c>
      <c r="H237" s="118" t="e">
        <f t="shared" ref="H237" si="87">IF(ISBLANK(H239),H238,H239)</f>
        <v>#N/A</v>
      </c>
      <c r="I237" s="282" t="e">
        <f t="shared" ref="I237" si="88">SUM(C237:H237)</f>
        <v>#N/A</v>
      </c>
      <c r="J237" s="620" t="s">
        <v>5110</v>
      </c>
      <c r="K237" s="35" t="s">
        <v>2844</v>
      </c>
      <c r="L237" s="35" t="s">
        <v>3188</v>
      </c>
      <c r="M237" s="459"/>
      <c r="N237" s="12" t="s">
        <v>13156</v>
      </c>
      <c r="O237" s="587"/>
      <c r="P237" s="564"/>
      <c r="Q237" s="564"/>
      <c r="R237" s="564" t="s">
        <v>14155</v>
      </c>
      <c r="S237" s="564"/>
      <c r="T237" s="564"/>
      <c r="U237" s="564"/>
      <c r="V237" s="564"/>
      <c r="W237" s="564"/>
      <c r="X237" s="564"/>
      <c r="Y237" s="564"/>
      <c r="Z237" s="564"/>
      <c r="AA237" s="564"/>
      <c r="AB237" s="564"/>
      <c r="AC237" s="564"/>
      <c r="AD237" s="564"/>
      <c r="AE237" s="564"/>
      <c r="AF237" s="564"/>
      <c r="AG237" s="564"/>
      <c r="AH237" s="564" t="s">
        <v>12961</v>
      </c>
      <c r="AI237" s="564"/>
      <c r="AJ237" s="564"/>
      <c r="AK237" s="564"/>
      <c r="AL237" s="564"/>
      <c r="AM237" s="564"/>
      <c r="AN237" s="564"/>
      <c r="AO237" s="564"/>
      <c r="AP237" s="564"/>
      <c r="AQ237" s="564"/>
      <c r="AR237" s="564"/>
      <c r="AS237" s="564"/>
      <c r="AT237" s="564"/>
      <c r="AU237" s="564"/>
      <c r="AV237" s="564"/>
      <c r="AW237" s="564"/>
      <c r="AX237" s="564" t="s">
        <v>12962</v>
      </c>
      <c r="AY237" s="564"/>
      <c r="AZ237" s="564"/>
      <c r="BA237" s="564"/>
      <c r="BB237" s="564"/>
      <c r="BC237" s="564"/>
      <c r="BD237" s="564"/>
      <c r="BE237" s="564"/>
      <c r="BF237" s="564"/>
      <c r="BG237" s="564"/>
      <c r="BH237" s="564"/>
      <c r="BI237" s="564"/>
      <c r="BJ237" s="564"/>
      <c r="BK237" s="564"/>
      <c r="BL237" s="564"/>
      <c r="BM237" s="564"/>
      <c r="BN237" s="564" t="s">
        <v>12963</v>
      </c>
      <c r="BO237" s="564"/>
      <c r="BP237" s="564"/>
      <c r="BQ237" s="564"/>
      <c r="BR237" s="564"/>
      <c r="BS237" s="564"/>
      <c r="BT237" s="564"/>
      <c r="BU237" s="564"/>
      <c r="BV237" s="564"/>
      <c r="BW237" s="564"/>
      <c r="BX237" s="564"/>
      <c r="BY237" s="564"/>
      <c r="BZ237" s="564"/>
      <c r="CA237" s="564"/>
      <c r="CB237" s="564"/>
      <c r="CC237" s="564"/>
      <c r="CD237" s="564" t="s">
        <v>12964</v>
      </c>
      <c r="CE237" s="564"/>
      <c r="CF237" s="564"/>
      <c r="CG237" s="564"/>
      <c r="CH237" s="564"/>
      <c r="CI237" s="564"/>
      <c r="CJ237" s="564"/>
      <c r="CK237" s="564"/>
      <c r="CL237" s="564"/>
      <c r="CM237" s="564"/>
      <c r="CN237" s="564"/>
      <c r="CO237" s="564"/>
      <c r="CP237" s="564"/>
      <c r="CQ237" s="564"/>
      <c r="CR237" s="564"/>
      <c r="CS237" s="564"/>
      <c r="CT237" s="564" t="s">
        <v>12965</v>
      </c>
      <c r="CU237" s="564"/>
      <c r="CV237" s="564"/>
      <c r="CW237" s="564"/>
      <c r="CX237" s="564"/>
      <c r="CY237" s="564"/>
      <c r="CZ237" s="564"/>
      <c r="DA237" s="564"/>
      <c r="DB237" s="564"/>
      <c r="DC237" s="564"/>
      <c r="DD237" s="564"/>
      <c r="DE237" s="564"/>
      <c r="DF237" s="564"/>
      <c r="DG237" s="564"/>
      <c r="DH237" s="564"/>
      <c r="DI237" s="564"/>
      <c r="DJ237" s="564" t="s">
        <v>12966</v>
      </c>
      <c r="DK237" s="564"/>
      <c r="DL237" s="564"/>
      <c r="DM237" s="564"/>
      <c r="DN237" s="564"/>
      <c r="DO237" s="564"/>
      <c r="DP237" s="564"/>
      <c r="DQ237" s="564"/>
      <c r="DR237" s="564"/>
      <c r="DS237" s="564"/>
      <c r="DT237" s="564"/>
      <c r="DU237" s="564"/>
      <c r="DV237" s="564"/>
      <c r="DW237" s="564"/>
    </row>
    <row r="238" spans="1:127" s="2" customFormat="1" ht="13.5" thickTop="1" x14ac:dyDescent="0.2">
      <c r="A238" s="664"/>
      <c r="B238" s="72" t="str">
        <f ca="1">IF(OFFSET(R238,0,Lang_Order*Lang__R2)="","",OFFSET(R238,0,Lang_Order*Lang__R2))</f>
        <v>CVIC Estimates</v>
      </c>
      <c r="C238" s="199" t="e">
        <f>SUM('A4. INPUT Central Costs'!$J$140:$J$146)*C$74</f>
        <v>#N/A</v>
      </c>
      <c r="D238" s="199" t="e">
        <f>SUM('A4. INPUT Central Costs'!$J$140:$J$146)*D$74</f>
        <v>#N/A</v>
      </c>
      <c r="E238" s="199" t="e">
        <f>SUM('A4. INPUT Central Costs'!$J$140:$J$146)*E$74</f>
        <v>#N/A</v>
      </c>
      <c r="F238" s="199" t="e">
        <f>SUM('A4. INPUT Central Costs'!$J$140:$J$146)*F$74</f>
        <v>#N/A</v>
      </c>
      <c r="G238" s="199" t="e">
        <f>SUM('A4. INPUT Central Costs'!$J$140:$J$146)*G$74</f>
        <v>#N/A</v>
      </c>
      <c r="H238" s="199" t="e">
        <f>SUM('A4. INPUT Central Costs'!$J$140:$J$146)*H$74</f>
        <v>#N/A</v>
      </c>
      <c r="I238" s="199" t="e">
        <f>SUM(C238:H238)</f>
        <v>#N/A</v>
      </c>
      <c r="J238" s="620" t="s">
        <v>5111</v>
      </c>
      <c r="P238" s="564"/>
      <c r="Q238" s="564"/>
      <c r="R238" s="564" t="s">
        <v>12973</v>
      </c>
      <c r="S238" s="564"/>
      <c r="T238" s="564"/>
      <c r="U238" s="564"/>
      <c r="V238" s="564"/>
      <c r="W238" s="564"/>
      <c r="X238" s="564"/>
      <c r="Y238" s="564"/>
      <c r="Z238" s="564"/>
      <c r="AA238" s="564"/>
      <c r="AB238" s="564"/>
      <c r="AC238" s="564"/>
      <c r="AD238" s="564"/>
      <c r="AE238" s="564"/>
      <c r="AF238" s="564"/>
      <c r="AG238" s="564"/>
      <c r="AH238" s="564" t="s">
        <v>12974</v>
      </c>
      <c r="AI238" s="564"/>
      <c r="AJ238" s="564"/>
      <c r="AK238" s="564"/>
      <c r="AL238" s="564"/>
      <c r="AM238" s="564"/>
      <c r="AN238" s="564"/>
      <c r="AO238" s="564"/>
      <c r="AP238" s="564"/>
      <c r="AQ238" s="564"/>
      <c r="AR238" s="564"/>
      <c r="AS238" s="564"/>
      <c r="AT238" s="564"/>
      <c r="AU238" s="564"/>
      <c r="AV238" s="564"/>
      <c r="AW238" s="564"/>
      <c r="AX238" s="564" t="s">
        <v>12968</v>
      </c>
      <c r="AY238" s="564"/>
      <c r="AZ238" s="564"/>
      <c r="BA238" s="564"/>
      <c r="BB238" s="564"/>
      <c r="BC238" s="564"/>
      <c r="BD238" s="564"/>
      <c r="BE238" s="564"/>
      <c r="BF238" s="564"/>
      <c r="BG238" s="564"/>
      <c r="BH238" s="564"/>
      <c r="BI238" s="564"/>
      <c r="BJ238" s="564"/>
      <c r="BK238" s="564"/>
      <c r="BL238" s="564"/>
      <c r="BM238" s="564"/>
      <c r="BN238" s="564" t="s">
        <v>12969</v>
      </c>
      <c r="BO238" s="564"/>
      <c r="BP238" s="564"/>
      <c r="BQ238" s="564"/>
      <c r="BR238" s="564"/>
      <c r="BS238" s="564"/>
      <c r="BT238" s="564"/>
      <c r="BU238" s="564"/>
      <c r="BV238" s="564"/>
      <c r="BW238" s="564"/>
      <c r="BX238" s="564"/>
      <c r="BY238" s="564"/>
      <c r="BZ238" s="564"/>
      <c r="CA238" s="564"/>
      <c r="CB238" s="564"/>
      <c r="CC238" s="564"/>
      <c r="CD238" s="564" t="s">
        <v>12970</v>
      </c>
      <c r="CE238" s="564"/>
      <c r="CF238" s="564"/>
      <c r="CG238" s="564"/>
      <c r="CH238" s="564"/>
      <c r="CI238" s="564"/>
      <c r="CJ238" s="564"/>
      <c r="CK238" s="564"/>
      <c r="CL238" s="564"/>
      <c r="CM238" s="564"/>
      <c r="CN238" s="564"/>
      <c r="CO238" s="564"/>
      <c r="CP238" s="564"/>
      <c r="CQ238" s="564"/>
      <c r="CR238" s="564"/>
      <c r="CS238" s="564"/>
      <c r="CT238" s="564" t="s">
        <v>12971</v>
      </c>
      <c r="CU238" s="564"/>
      <c r="CV238" s="564"/>
      <c r="CW238" s="564"/>
      <c r="CX238" s="564"/>
      <c r="CY238" s="564"/>
      <c r="CZ238" s="564"/>
      <c r="DA238" s="564"/>
      <c r="DB238" s="564"/>
      <c r="DC238" s="564"/>
      <c r="DD238" s="564"/>
      <c r="DE238" s="564"/>
      <c r="DF238" s="564"/>
      <c r="DG238" s="564"/>
      <c r="DH238" s="564"/>
      <c r="DI238" s="564"/>
      <c r="DJ238" s="564" t="s">
        <v>12972</v>
      </c>
      <c r="DK238" s="564"/>
      <c r="DL238" s="564"/>
      <c r="DM238" s="564"/>
      <c r="DN238" s="564"/>
      <c r="DO238" s="564"/>
      <c r="DP238" s="564"/>
      <c r="DQ238" s="564"/>
      <c r="DR238" s="564"/>
      <c r="DS238" s="564"/>
      <c r="DT238" s="564"/>
      <c r="DU238" s="564"/>
      <c r="DV238" s="564"/>
      <c r="DW238" s="564"/>
    </row>
    <row r="239" spans="1:127" s="517" customFormat="1" x14ac:dyDescent="0.2">
      <c r="A239" s="350">
        <v>2</v>
      </c>
      <c r="B239" s="5" t="str">
        <f ca="1">IF(OFFSET(R239,0,Lang_Order*Lang__R2)="","",OFFSET(R239,0,Lang_Order*Lang__R2))</f>
        <v>OVERRIDE HERE if alternative costing used for section above</v>
      </c>
      <c r="C239" s="284"/>
      <c r="D239" s="284"/>
      <c r="E239" s="284"/>
      <c r="F239" s="284"/>
      <c r="G239" s="284"/>
      <c r="H239" s="284"/>
      <c r="I239" s="81" t="str">
        <f>Lang_LeaveBlank</f>
        <v>Leave Blank</v>
      </c>
      <c r="J239" s="620" t="s">
        <v>5112</v>
      </c>
      <c r="K239" s="543"/>
      <c r="L239" s="543"/>
      <c r="O239" s="587"/>
      <c r="P239" s="564"/>
      <c r="Q239" s="564"/>
      <c r="R239" s="564" t="s">
        <v>4591</v>
      </c>
      <c r="S239" s="564"/>
      <c r="T239" s="564"/>
      <c r="U239" s="564"/>
      <c r="V239" s="564"/>
      <c r="W239" s="564"/>
      <c r="X239" s="564"/>
      <c r="Y239" s="564"/>
      <c r="Z239" s="564"/>
      <c r="AA239" s="564"/>
      <c r="AB239" s="564"/>
      <c r="AC239" s="564"/>
      <c r="AD239" s="564"/>
      <c r="AE239" s="564"/>
      <c r="AF239" s="564"/>
      <c r="AG239" s="564"/>
      <c r="AH239" s="564" t="s">
        <v>12949</v>
      </c>
      <c r="AI239" s="564"/>
      <c r="AJ239" s="564"/>
      <c r="AK239" s="564"/>
      <c r="AL239" s="564"/>
      <c r="AM239" s="564"/>
      <c r="AN239" s="564"/>
      <c r="AO239" s="564"/>
      <c r="AP239" s="564"/>
      <c r="AQ239" s="564"/>
      <c r="AR239" s="564"/>
      <c r="AS239" s="564"/>
      <c r="AT239" s="564"/>
      <c r="AU239" s="564"/>
      <c r="AV239" s="564"/>
      <c r="AW239" s="564"/>
      <c r="AX239" s="564" t="s">
        <v>12950</v>
      </c>
      <c r="AY239" s="564"/>
      <c r="AZ239" s="564"/>
      <c r="BA239" s="564"/>
      <c r="BB239" s="564"/>
      <c r="BC239" s="564"/>
      <c r="BD239" s="564"/>
      <c r="BE239" s="564"/>
      <c r="BF239" s="564"/>
      <c r="BG239" s="564"/>
      <c r="BH239" s="564"/>
      <c r="BI239" s="564"/>
      <c r="BJ239" s="564"/>
      <c r="BK239" s="564"/>
      <c r="BL239" s="564"/>
      <c r="BM239" s="564"/>
      <c r="BN239" s="564" t="s">
        <v>12951</v>
      </c>
      <c r="BO239" s="564"/>
      <c r="BP239" s="564"/>
      <c r="BQ239" s="564"/>
      <c r="BR239" s="564"/>
      <c r="BS239" s="564"/>
      <c r="BT239" s="564"/>
      <c r="BU239" s="564"/>
      <c r="BV239" s="564"/>
      <c r="BW239" s="564"/>
      <c r="BX239" s="564"/>
      <c r="BY239" s="564"/>
      <c r="BZ239" s="564"/>
      <c r="CA239" s="564"/>
      <c r="CB239" s="564"/>
      <c r="CC239" s="564"/>
      <c r="CD239" s="564" t="s">
        <v>12952</v>
      </c>
      <c r="CE239" s="564"/>
      <c r="CF239" s="564"/>
      <c r="CG239" s="564"/>
      <c r="CH239" s="564"/>
      <c r="CI239" s="564"/>
      <c r="CJ239" s="564"/>
      <c r="CK239" s="564"/>
      <c r="CL239" s="564"/>
      <c r="CM239" s="564"/>
      <c r="CN239" s="564"/>
      <c r="CO239" s="564"/>
      <c r="CP239" s="564"/>
      <c r="CQ239" s="564"/>
      <c r="CR239" s="564"/>
      <c r="CS239" s="564"/>
      <c r="CT239" s="564" t="s">
        <v>12953</v>
      </c>
      <c r="CU239" s="564"/>
      <c r="CV239" s="564"/>
      <c r="CW239" s="564"/>
      <c r="CX239" s="564"/>
      <c r="CY239" s="564"/>
      <c r="CZ239" s="564"/>
      <c r="DA239" s="564"/>
      <c r="DB239" s="564"/>
      <c r="DC239" s="564"/>
      <c r="DD239" s="564"/>
      <c r="DE239" s="564"/>
      <c r="DF239" s="564"/>
      <c r="DG239" s="564"/>
      <c r="DH239" s="564"/>
      <c r="DI239" s="564"/>
      <c r="DJ239" s="564" t="s">
        <v>12954</v>
      </c>
      <c r="DK239" s="564"/>
      <c r="DL239" s="564"/>
      <c r="DM239" s="564"/>
      <c r="DN239" s="564"/>
      <c r="DO239" s="564"/>
      <c r="DP239" s="564"/>
      <c r="DQ239" s="564"/>
      <c r="DR239" s="564"/>
      <c r="DS239" s="564"/>
      <c r="DT239" s="564"/>
      <c r="DU239" s="564"/>
      <c r="DV239" s="564"/>
      <c r="DW239" s="564"/>
    </row>
    <row r="240" spans="1:127" s="532" customFormat="1" x14ac:dyDescent="0.2">
      <c r="A240" s="85"/>
      <c r="J240" s="620"/>
      <c r="K240" s="543"/>
      <c r="L240" s="543"/>
      <c r="O240" s="567"/>
      <c r="P240" s="564"/>
      <c r="Q240" s="564"/>
      <c r="R240" s="564"/>
      <c r="S240" s="564"/>
      <c r="T240" s="564"/>
      <c r="U240" s="564"/>
      <c r="V240" s="564"/>
      <c r="W240" s="564"/>
      <c r="X240" s="564"/>
      <c r="Y240" s="564"/>
      <c r="Z240" s="564"/>
      <c r="AA240" s="564"/>
      <c r="AB240" s="564"/>
      <c r="AC240" s="564"/>
      <c r="AD240" s="564"/>
      <c r="AE240" s="564"/>
      <c r="AF240" s="564"/>
      <c r="AG240" s="564"/>
      <c r="AH240" s="564"/>
      <c r="AI240" s="564"/>
      <c r="AJ240" s="564"/>
      <c r="AK240" s="564"/>
      <c r="AL240" s="564"/>
      <c r="AM240" s="564"/>
      <c r="AN240" s="564"/>
      <c r="AO240" s="564"/>
      <c r="AP240" s="564"/>
      <c r="AQ240" s="564"/>
      <c r="AR240" s="564"/>
      <c r="AS240" s="564"/>
      <c r="AT240" s="564"/>
      <c r="AU240" s="564"/>
      <c r="AV240" s="564"/>
      <c r="AW240" s="564"/>
      <c r="AX240" s="564"/>
      <c r="AY240" s="564"/>
      <c r="AZ240" s="564"/>
      <c r="BA240" s="564"/>
      <c r="BB240" s="564"/>
      <c r="BC240" s="564"/>
      <c r="BD240" s="564"/>
      <c r="BE240" s="564"/>
      <c r="BF240" s="564"/>
      <c r="BG240" s="564"/>
      <c r="BH240" s="564"/>
      <c r="BI240" s="564"/>
      <c r="BJ240" s="564"/>
      <c r="BK240" s="564"/>
      <c r="BL240" s="564"/>
      <c r="BM240" s="564"/>
      <c r="BN240" s="564"/>
      <c r="BO240" s="564"/>
      <c r="BP240" s="564"/>
      <c r="BQ240" s="564"/>
      <c r="BR240" s="564"/>
      <c r="BS240" s="564"/>
      <c r="BT240" s="564"/>
      <c r="BU240" s="564"/>
      <c r="BV240" s="564"/>
      <c r="BW240" s="564"/>
      <c r="BX240" s="564"/>
      <c r="BY240" s="564"/>
      <c r="BZ240" s="564"/>
      <c r="CA240" s="564"/>
      <c r="CB240" s="564"/>
      <c r="CC240" s="564"/>
      <c r="CD240" s="564"/>
      <c r="CE240" s="564"/>
      <c r="CF240" s="564"/>
      <c r="CG240" s="564"/>
      <c r="CH240" s="564"/>
      <c r="CI240" s="564"/>
      <c r="CJ240" s="564"/>
      <c r="CK240" s="564"/>
      <c r="CL240" s="564"/>
      <c r="CM240" s="564"/>
      <c r="CN240" s="564"/>
      <c r="CO240" s="564"/>
      <c r="CP240" s="564"/>
      <c r="CQ240" s="564"/>
      <c r="CR240" s="564"/>
      <c r="CS240" s="564"/>
      <c r="CT240" s="564"/>
      <c r="CU240" s="564"/>
      <c r="CV240" s="564"/>
      <c r="CW240" s="564"/>
      <c r="CX240" s="564"/>
      <c r="CY240" s="564"/>
      <c r="CZ240" s="564"/>
      <c r="DA240" s="564"/>
      <c r="DB240" s="564"/>
      <c r="DC240" s="564"/>
      <c r="DD240" s="564"/>
      <c r="DE240" s="564"/>
      <c r="DF240" s="564"/>
      <c r="DG240" s="564"/>
      <c r="DH240" s="564"/>
      <c r="DI240" s="564"/>
      <c r="DJ240" s="564"/>
      <c r="DK240" s="564"/>
      <c r="DL240" s="564"/>
      <c r="DM240" s="564"/>
      <c r="DN240" s="564"/>
      <c r="DO240" s="564"/>
      <c r="DP240" s="564"/>
      <c r="DQ240" s="564"/>
      <c r="DR240" s="564"/>
      <c r="DS240" s="564"/>
      <c r="DT240" s="564"/>
      <c r="DU240" s="564"/>
      <c r="DV240" s="564"/>
      <c r="DW240" s="564"/>
    </row>
    <row r="241" spans="1:127" s="532" customFormat="1" x14ac:dyDescent="0.2">
      <c r="A241" s="664"/>
      <c r="B241" s="5" t="str">
        <f ca="1">IF(OFFSET(R241,0,Lang_Order*Lang__R2)="","",OFFSET(R241,0,Lang_Order*Lang__R2))</f>
        <v>A4.1.10 Central Operational Expenditures</v>
      </c>
      <c r="C241" s="300" t="e">
        <f>SUM('A4. INPUT Central Costs'!$J$148:$J$158)*C$74</f>
        <v>#N/A</v>
      </c>
      <c r="D241" s="300" t="e">
        <f>SUM('A4. INPUT Central Costs'!$J$148:$J$158)*D$74</f>
        <v>#N/A</v>
      </c>
      <c r="E241" s="300" t="e">
        <f>SUM('A4. INPUT Central Costs'!$J$148:$J$158)*E$74</f>
        <v>#N/A</v>
      </c>
      <c r="F241" s="300" t="e">
        <f>SUM('A4. INPUT Central Costs'!$J$148:$J$158)*F$74</f>
        <v>#N/A</v>
      </c>
      <c r="G241" s="300" t="e">
        <f>SUM('A4. INPUT Central Costs'!$J$148:$J$158)*G$74</f>
        <v>#N/A</v>
      </c>
      <c r="H241" s="300" t="e">
        <f>SUM('A4. INPUT Central Costs'!$J$148:$J$158)*H$74</f>
        <v>#N/A</v>
      </c>
      <c r="I241" s="300" t="e">
        <f t="shared" ref="I241:I242" si="89">SUM(C241:H241)</f>
        <v>#N/A</v>
      </c>
      <c r="J241" s="620"/>
      <c r="K241" s="543"/>
      <c r="L241" s="543"/>
      <c r="O241" s="567"/>
      <c r="P241" s="564"/>
      <c r="Q241" s="564"/>
      <c r="R241" s="564" t="s">
        <v>14543</v>
      </c>
      <c r="S241" s="564"/>
      <c r="T241" s="564"/>
      <c r="U241" s="564"/>
      <c r="V241" s="564"/>
      <c r="W241" s="564"/>
      <c r="X241" s="564"/>
      <c r="Y241" s="564"/>
      <c r="Z241" s="564"/>
      <c r="AA241" s="564"/>
      <c r="AB241" s="564"/>
      <c r="AC241" s="564"/>
      <c r="AD241" s="564"/>
      <c r="AE241" s="564"/>
      <c r="AF241" s="564"/>
      <c r="AG241" s="564"/>
      <c r="AH241" s="564" t="s">
        <v>14544</v>
      </c>
      <c r="AI241" s="564"/>
      <c r="AJ241" s="564"/>
      <c r="AK241" s="564"/>
      <c r="AL241" s="564"/>
      <c r="AM241" s="564"/>
      <c r="AN241" s="564"/>
      <c r="AO241" s="564"/>
      <c r="AP241" s="564"/>
      <c r="AQ241" s="564"/>
      <c r="AR241" s="564"/>
      <c r="AS241" s="564"/>
      <c r="AT241" s="564"/>
      <c r="AU241" s="564"/>
      <c r="AV241" s="564"/>
      <c r="AW241" s="564"/>
      <c r="AX241" s="564" t="s">
        <v>14545</v>
      </c>
      <c r="AY241" s="564"/>
      <c r="AZ241" s="564"/>
      <c r="BA241" s="564"/>
      <c r="BB241" s="564"/>
      <c r="BC241" s="564"/>
      <c r="BD241" s="564"/>
      <c r="BE241" s="564"/>
      <c r="BF241" s="564"/>
      <c r="BG241" s="564"/>
      <c r="BH241" s="564"/>
      <c r="BI241" s="564"/>
      <c r="BJ241" s="564"/>
      <c r="BK241" s="564"/>
      <c r="BL241" s="564"/>
      <c r="BM241" s="564"/>
      <c r="BN241" s="564" t="s">
        <v>14546</v>
      </c>
      <c r="BO241" s="564"/>
      <c r="BP241" s="564"/>
      <c r="BQ241" s="564"/>
      <c r="BR241" s="564"/>
      <c r="BS241" s="564"/>
      <c r="BT241" s="564"/>
      <c r="BU241" s="564"/>
      <c r="BV241" s="564"/>
      <c r="BW241" s="564"/>
      <c r="BX241" s="564"/>
      <c r="BY241" s="564"/>
      <c r="BZ241" s="564"/>
      <c r="CA241" s="564"/>
      <c r="CB241" s="564"/>
      <c r="CC241" s="564"/>
      <c r="CD241" s="564" t="s">
        <v>14547</v>
      </c>
      <c r="CE241" s="564"/>
      <c r="CF241" s="564"/>
      <c r="CG241" s="564"/>
      <c r="CH241" s="564"/>
      <c r="CI241" s="564"/>
      <c r="CJ241" s="564"/>
      <c r="CK241" s="564"/>
      <c r="CL241" s="564"/>
      <c r="CM241" s="564"/>
      <c r="CN241" s="564"/>
      <c r="CO241" s="564"/>
      <c r="CP241" s="564"/>
      <c r="CQ241" s="564"/>
      <c r="CR241" s="564"/>
      <c r="CS241" s="564"/>
      <c r="CT241" s="564" t="s">
        <v>14548</v>
      </c>
      <c r="CU241" s="564"/>
      <c r="CV241" s="564"/>
      <c r="CW241" s="564"/>
      <c r="CX241" s="564"/>
      <c r="CY241" s="564"/>
      <c r="CZ241" s="564"/>
      <c r="DA241" s="564"/>
      <c r="DB241" s="564"/>
      <c r="DC241" s="564"/>
      <c r="DD241" s="564"/>
      <c r="DE241" s="564"/>
      <c r="DF241" s="564"/>
      <c r="DG241" s="564"/>
      <c r="DH241" s="564"/>
      <c r="DI241" s="564"/>
      <c r="DJ241" s="564" t="s">
        <v>14549</v>
      </c>
      <c r="DK241" s="564"/>
      <c r="DL241" s="564"/>
      <c r="DM241" s="564"/>
      <c r="DN241" s="564"/>
      <c r="DO241" s="564"/>
      <c r="DP241" s="564"/>
      <c r="DQ241" s="564"/>
      <c r="DR241" s="564"/>
      <c r="DS241" s="564"/>
      <c r="DT241" s="564"/>
      <c r="DU241" s="564"/>
      <c r="DV241" s="564"/>
      <c r="DW241" s="564"/>
    </row>
    <row r="242" spans="1:127" s="532" customFormat="1" x14ac:dyDescent="0.2">
      <c r="A242" s="85"/>
      <c r="B242" s="5" t="str">
        <f ca="1">'B5. Last Mile Delivery'!C46</f>
        <v>Local Demand Generation and Communications</v>
      </c>
      <c r="C242" s="300" t="e">
        <f>'B5. Last Mile Delivery'!J46</f>
        <v>#N/A</v>
      </c>
      <c r="D242" s="300" t="e">
        <f>'B5. Last Mile Delivery'!K46</f>
        <v>#N/A</v>
      </c>
      <c r="E242" s="300" t="e">
        <f>'B5. Last Mile Delivery'!L46</f>
        <v>#N/A</v>
      </c>
      <c r="F242" s="300" t="e">
        <f>'B5. Last Mile Delivery'!M46</f>
        <v>#N/A</v>
      </c>
      <c r="G242" s="300" t="e">
        <f>'B5. Last Mile Delivery'!N46</f>
        <v>#N/A</v>
      </c>
      <c r="H242" s="300" t="e">
        <f>'B5. Last Mile Delivery'!O46</f>
        <v>#N/A</v>
      </c>
      <c r="I242" s="300" t="e">
        <f t="shared" si="89"/>
        <v>#N/A</v>
      </c>
      <c r="J242" s="620"/>
      <c r="K242" s="543"/>
      <c r="L242" s="543"/>
      <c r="O242" s="567"/>
      <c r="P242" s="564"/>
      <c r="Q242" s="564"/>
      <c r="R242" s="564"/>
      <c r="S242" s="564"/>
      <c r="T242" s="564"/>
      <c r="U242" s="564"/>
      <c r="V242" s="564"/>
      <c r="W242" s="564"/>
      <c r="X242" s="564"/>
      <c r="Y242" s="564"/>
      <c r="Z242" s="564"/>
      <c r="AA242" s="564"/>
      <c r="AB242" s="564"/>
      <c r="AC242" s="564"/>
      <c r="AD242" s="564"/>
      <c r="AE242" s="564"/>
      <c r="AF242" s="564"/>
      <c r="AG242" s="564"/>
      <c r="AH242" s="564"/>
      <c r="AI242" s="564"/>
      <c r="AJ242" s="564"/>
      <c r="AK242" s="564"/>
      <c r="AL242" s="564"/>
      <c r="AM242" s="564"/>
      <c r="AN242" s="564"/>
      <c r="AO242" s="564"/>
      <c r="AP242" s="564"/>
      <c r="AQ242" s="564"/>
      <c r="AR242" s="564"/>
      <c r="AS242" s="564"/>
      <c r="AT242" s="564"/>
      <c r="AU242" s="564"/>
      <c r="AV242" s="564"/>
      <c r="AW242" s="564"/>
      <c r="AX242" s="564"/>
      <c r="AY242" s="564"/>
      <c r="AZ242" s="564"/>
      <c r="BA242" s="564"/>
      <c r="BB242" s="564"/>
      <c r="BC242" s="564"/>
      <c r="BD242" s="564"/>
      <c r="BE242" s="564"/>
      <c r="BF242" s="564"/>
      <c r="BG242" s="564"/>
      <c r="BH242" s="564"/>
      <c r="BI242" s="564"/>
      <c r="BJ242" s="564"/>
      <c r="BK242" s="564"/>
      <c r="BL242" s="564"/>
      <c r="BM242" s="564"/>
      <c r="BN242" s="564"/>
      <c r="BO242" s="564"/>
      <c r="BP242" s="564"/>
      <c r="BQ242" s="564"/>
      <c r="BR242" s="564"/>
      <c r="BS242" s="564"/>
      <c r="BT242" s="564"/>
      <c r="BU242" s="564"/>
      <c r="BV242" s="564"/>
      <c r="BW242" s="564"/>
      <c r="BX242" s="564"/>
      <c r="BY242" s="564"/>
      <c r="BZ242" s="564"/>
      <c r="CA242" s="564"/>
      <c r="CB242" s="564"/>
      <c r="CC242" s="564"/>
      <c r="CD242" s="564"/>
      <c r="CE242" s="564"/>
      <c r="CF242" s="564"/>
      <c r="CG242" s="564"/>
      <c r="CH242" s="564"/>
      <c r="CI242" s="564"/>
      <c r="CJ242" s="564"/>
      <c r="CK242" s="564"/>
      <c r="CL242" s="564"/>
      <c r="CM242" s="564"/>
      <c r="CN242" s="564"/>
      <c r="CO242" s="564"/>
      <c r="CP242" s="564"/>
      <c r="CQ242" s="564"/>
      <c r="CR242" s="564"/>
      <c r="CS242" s="564"/>
      <c r="CT242" s="564"/>
      <c r="CU242" s="564"/>
      <c r="CV242" s="564"/>
      <c r="CW242" s="564"/>
      <c r="CX242" s="564"/>
      <c r="CY242" s="564"/>
      <c r="CZ242" s="564"/>
      <c r="DA242" s="564"/>
      <c r="DB242" s="564"/>
      <c r="DC242" s="564"/>
      <c r="DD242" s="564"/>
      <c r="DE242" s="564"/>
      <c r="DF242" s="564"/>
      <c r="DG242" s="564"/>
      <c r="DH242" s="564"/>
      <c r="DI242" s="564"/>
      <c r="DJ242" s="564"/>
      <c r="DK242" s="564"/>
      <c r="DL242" s="564"/>
      <c r="DM242" s="564"/>
      <c r="DN242" s="564"/>
      <c r="DO242" s="564"/>
      <c r="DP242" s="564"/>
      <c r="DQ242" s="564"/>
      <c r="DR242" s="564"/>
      <c r="DS242" s="564"/>
      <c r="DT242" s="564"/>
      <c r="DU242" s="564"/>
      <c r="DV242" s="564"/>
      <c r="DW242" s="564"/>
    </row>
    <row r="243" spans="1:127" s="194" customFormat="1" ht="13.5" thickBot="1" x14ac:dyDescent="0.25">
      <c r="A243" s="85"/>
      <c r="B243" s="21" t="str">
        <f ca="1">IF(OFFSET(R243,0,Lang_Order*Lang__R2)="","",OFFSET(R243,0,Lang_Order*Lang__R2))</f>
        <v>8.2 Operational expenditure</v>
      </c>
      <c r="C243" s="118" t="e">
        <f t="shared" ref="C243" si="90">IF(ISBLANK(C245),C244,C245)</f>
        <v>#N/A</v>
      </c>
      <c r="D243" s="118" t="e">
        <f t="shared" ref="D243" si="91">IF(ISBLANK(D245),D244,D245)</f>
        <v>#N/A</v>
      </c>
      <c r="E243" s="118" t="e">
        <f t="shared" ref="E243" si="92">IF(ISBLANK(E245),E244,E245)</f>
        <v>#N/A</v>
      </c>
      <c r="F243" s="118" t="e">
        <f t="shared" ref="F243" si="93">IF(ISBLANK(F245),F244,F245)</f>
        <v>#N/A</v>
      </c>
      <c r="G243" s="118" t="e">
        <f t="shared" ref="G243" si="94">IF(ISBLANK(G245),G244,G245)</f>
        <v>#N/A</v>
      </c>
      <c r="H243" s="118" t="e">
        <f t="shared" ref="H243" si="95">IF(ISBLANK(H245),H244,H245)</f>
        <v>#N/A</v>
      </c>
      <c r="I243" s="282" t="e">
        <f t="shared" ref="I243" si="96">SUM(C243:H243)</f>
        <v>#N/A</v>
      </c>
      <c r="J243" s="620" t="s">
        <v>5113</v>
      </c>
      <c r="K243" s="35" t="s">
        <v>2844</v>
      </c>
      <c r="L243" s="35" t="s">
        <v>3188</v>
      </c>
      <c r="M243" s="459"/>
      <c r="O243" s="587"/>
      <c r="P243" s="564"/>
      <c r="Q243" s="564"/>
      <c r="R243" s="564" t="s">
        <v>14156</v>
      </c>
      <c r="S243" s="564"/>
      <c r="T243" s="564"/>
      <c r="U243" s="564"/>
      <c r="V243" s="564"/>
      <c r="W243" s="564"/>
      <c r="X243" s="564"/>
      <c r="Y243" s="564"/>
      <c r="Z243" s="564"/>
      <c r="AA243" s="564"/>
      <c r="AB243" s="564"/>
      <c r="AC243" s="564"/>
      <c r="AD243" s="564"/>
      <c r="AE243" s="564"/>
      <c r="AF243" s="564"/>
      <c r="AG243" s="564"/>
      <c r="AH243" s="564" t="s">
        <v>12955</v>
      </c>
      <c r="AI243" s="564"/>
      <c r="AJ243" s="564"/>
      <c r="AK243" s="564"/>
      <c r="AL243" s="564"/>
      <c r="AM243" s="564"/>
      <c r="AN243" s="564"/>
      <c r="AO243" s="564"/>
      <c r="AP243" s="564"/>
      <c r="AQ243" s="564"/>
      <c r="AR243" s="564"/>
      <c r="AS243" s="564"/>
      <c r="AT243" s="564"/>
      <c r="AU243" s="564"/>
      <c r="AV243" s="564"/>
      <c r="AW243" s="564"/>
      <c r="AX243" s="564" t="s">
        <v>12956</v>
      </c>
      <c r="AY243" s="564"/>
      <c r="AZ243" s="564"/>
      <c r="BA243" s="564"/>
      <c r="BB243" s="564"/>
      <c r="BC243" s="564"/>
      <c r="BD243" s="564"/>
      <c r="BE243" s="564"/>
      <c r="BF243" s="564"/>
      <c r="BG243" s="564"/>
      <c r="BH243" s="564"/>
      <c r="BI243" s="564"/>
      <c r="BJ243" s="564"/>
      <c r="BK243" s="564"/>
      <c r="BL243" s="564"/>
      <c r="BM243" s="564"/>
      <c r="BN243" s="564" t="s">
        <v>12957</v>
      </c>
      <c r="BO243" s="564"/>
      <c r="BP243" s="564"/>
      <c r="BQ243" s="564"/>
      <c r="BR243" s="564"/>
      <c r="BS243" s="564"/>
      <c r="BT243" s="564"/>
      <c r="BU243" s="564"/>
      <c r="BV243" s="564"/>
      <c r="BW243" s="564"/>
      <c r="BX243" s="564"/>
      <c r="BY243" s="564"/>
      <c r="BZ243" s="564"/>
      <c r="CA243" s="564"/>
      <c r="CB243" s="564"/>
      <c r="CC243" s="564"/>
      <c r="CD243" s="564" t="s">
        <v>12958</v>
      </c>
      <c r="CE243" s="564"/>
      <c r="CF243" s="564"/>
      <c r="CG243" s="564"/>
      <c r="CH243" s="564"/>
      <c r="CI243" s="564"/>
      <c r="CJ243" s="564"/>
      <c r="CK243" s="564"/>
      <c r="CL243" s="564"/>
      <c r="CM243" s="564"/>
      <c r="CN243" s="564"/>
      <c r="CO243" s="564"/>
      <c r="CP243" s="564"/>
      <c r="CQ243" s="564"/>
      <c r="CR243" s="564"/>
      <c r="CS243" s="564"/>
      <c r="CT243" s="564" t="s">
        <v>12959</v>
      </c>
      <c r="CU243" s="564"/>
      <c r="CV243" s="564"/>
      <c r="CW243" s="564"/>
      <c r="CX243" s="564"/>
      <c r="CY243" s="564"/>
      <c r="CZ243" s="564"/>
      <c r="DA243" s="564"/>
      <c r="DB243" s="564"/>
      <c r="DC243" s="564"/>
      <c r="DD243" s="564"/>
      <c r="DE243" s="564"/>
      <c r="DF243" s="564"/>
      <c r="DG243" s="564"/>
      <c r="DH243" s="564"/>
      <c r="DI243" s="564"/>
      <c r="DJ243" s="564" t="s">
        <v>12960</v>
      </c>
      <c r="DK243" s="564"/>
      <c r="DL243" s="564"/>
      <c r="DM243" s="564"/>
      <c r="DN243" s="564"/>
      <c r="DO243" s="564"/>
      <c r="DP243" s="564"/>
      <c r="DQ243" s="564"/>
      <c r="DR243" s="564"/>
      <c r="DS243" s="564"/>
      <c r="DT243" s="564"/>
      <c r="DU243" s="564"/>
      <c r="DV243" s="564"/>
      <c r="DW243" s="564"/>
    </row>
    <row r="244" spans="1:127" s="2" customFormat="1" ht="13.5" thickTop="1" x14ac:dyDescent="0.2">
      <c r="A244" s="73"/>
      <c r="B244" s="72" t="str">
        <f ca="1">IF(OFFSET(R244,0,Lang_Order*Lang__R2)="","",OFFSET(R244,0,Lang_Order*Lang__R2))</f>
        <v>CVIC Estimates</v>
      </c>
      <c r="C244" s="199" t="e">
        <f>SUM(C241:C242)</f>
        <v>#N/A</v>
      </c>
      <c r="D244" s="199" t="e">
        <f t="shared" ref="D244:H244" si="97">SUM(D241:D242)</f>
        <v>#N/A</v>
      </c>
      <c r="E244" s="199" t="e">
        <f t="shared" si="97"/>
        <v>#N/A</v>
      </c>
      <c r="F244" s="199" t="e">
        <f t="shared" si="97"/>
        <v>#N/A</v>
      </c>
      <c r="G244" s="199" t="e">
        <f t="shared" si="97"/>
        <v>#N/A</v>
      </c>
      <c r="H244" s="199" t="e">
        <f t="shared" si="97"/>
        <v>#N/A</v>
      </c>
      <c r="I244" s="199" t="e">
        <f>SUM(C244:H244)</f>
        <v>#N/A</v>
      </c>
      <c r="J244" s="620" t="s">
        <v>5114</v>
      </c>
      <c r="P244" s="564"/>
      <c r="Q244" s="564"/>
      <c r="R244" s="564" t="s">
        <v>12973</v>
      </c>
      <c r="S244" s="564"/>
      <c r="T244" s="564"/>
      <c r="U244" s="564"/>
      <c r="V244" s="564"/>
      <c r="W244" s="564"/>
      <c r="X244" s="564"/>
      <c r="Y244" s="564"/>
      <c r="Z244" s="564"/>
      <c r="AA244" s="564"/>
      <c r="AB244" s="564"/>
      <c r="AC244" s="564"/>
      <c r="AD244" s="564"/>
      <c r="AE244" s="564"/>
      <c r="AF244" s="564"/>
      <c r="AG244" s="564"/>
      <c r="AH244" s="564" t="s">
        <v>12974</v>
      </c>
      <c r="AI244" s="564"/>
      <c r="AJ244" s="564"/>
      <c r="AK244" s="564"/>
      <c r="AL244" s="564"/>
      <c r="AM244" s="564"/>
      <c r="AN244" s="564"/>
      <c r="AO244" s="564"/>
      <c r="AP244" s="564"/>
      <c r="AQ244" s="564"/>
      <c r="AR244" s="564"/>
      <c r="AS244" s="564"/>
      <c r="AT244" s="564"/>
      <c r="AU244" s="564"/>
      <c r="AV244" s="564"/>
      <c r="AW244" s="564"/>
      <c r="AX244" s="564" t="s">
        <v>12968</v>
      </c>
      <c r="AY244" s="564"/>
      <c r="AZ244" s="564"/>
      <c r="BA244" s="564"/>
      <c r="BB244" s="564"/>
      <c r="BC244" s="564"/>
      <c r="BD244" s="564"/>
      <c r="BE244" s="564"/>
      <c r="BF244" s="564"/>
      <c r="BG244" s="564"/>
      <c r="BH244" s="564"/>
      <c r="BI244" s="564"/>
      <c r="BJ244" s="564"/>
      <c r="BK244" s="564"/>
      <c r="BL244" s="564"/>
      <c r="BM244" s="564"/>
      <c r="BN244" s="564" t="s">
        <v>12969</v>
      </c>
      <c r="BO244" s="564"/>
      <c r="BP244" s="564"/>
      <c r="BQ244" s="564"/>
      <c r="BR244" s="564"/>
      <c r="BS244" s="564"/>
      <c r="BT244" s="564"/>
      <c r="BU244" s="564"/>
      <c r="BV244" s="564"/>
      <c r="BW244" s="564"/>
      <c r="BX244" s="564"/>
      <c r="BY244" s="564"/>
      <c r="BZ244" s="564"/>
      <c r="CA244" s="564"/>
      <c r="CB244" s="564"/>
      <c r="CC244" s="564"/>
      <c r="CD244" s="564" t="s">
        <v>12970</v>
      </c>
      <c r="CE244" s="564"/>
      <c r="CF244" s="564"/>
      <c r="CG244" s="564"/>
      <c r="CH244" s="564"/>
      <c r="CI244" s="564"/>
      <c r="CJ244" s="564"/>
      <c r="CK244" s="564"/>
      <c r="CL244" s="564"/>
      <c r="CM244" s="564"/>
      <c r="CN244" s="564"/>
      <c r="CO244" s="564"/>
      <c r="CP244" s="564"/>
      <c r="CQ244" s="564"/>
      <c r="CR244" s="564"/>
      <c r="CS244" s="564"/>
      <c r="CT244" s="564" t="s">
        <v>12971</v>
      </c>
      <c r="CU244" s="564"/>
      <c r="CV244" s="564"/>
      <c r="CW244" s="564"/>
      <c r="CX244" s="564"/>
      <c r="CY244" s="564"/>
      <c r="CZ244" s="564"/>
      <c r="DA244" s="564"/>
      <c r="DB244" s="564"/>
      <c r="DC244" s="564"/>
      <c r="DD244" s="564"/>
      <c r="DE244" s="564"/>
      <c r="DF244" s="564"/>
      <c r="DG244" s="564"/>
      <c r="DH244" s="564"/>
      <c r="DI244" s="564"/>
      <c r="DJ244" s="564" t="s">
        <v>12972</v>
      </c>
      <c r="DK244" s="564"/>
      <c r="DL244" s="564"/>
      <c r="DM244" s="564"/>
      <c r="DN244" s="564"/>
      <c r="DO244" s="564"/>
      <c r="DP244" s="564"/>
      <c r="DQ244" s="564"/>
      <c r="DR244" s="564"/>
      <c r="DS244" s="564"/>
      <c r="DT244" s="564"/>
      <c r="DU244" s="564"/>
      <c r="DV244" s="564"/>
      <c r="DW244" s="564"/>
    </row>
    <row r="245" spans="1:127" s="536" customFormat="1" x14ac:dyDescent="0.2">
      <c r="A245" s="350">
        <v>2</v>
      </c>
      <c r="B245" s="5" t="str">
        <f ca="1">IF(OFFSET(R245,0,Lang_Order*Lang__R2)="","",OFFSET(R245,0,Lang_Order*Lang__R2))</f>
        <v>OVERRIDE HERE if alternative costing used for section above</v>
      </c>
      <c r="C245" s="284"/>
      <c r="D245" s="284"/>
      <c r="E245" s="284"/>
      <c r="F245" s="284"/>
      <c r="G245" s="284"/>
      <c r="H245" s="284"/>
      <c r="I245" s="81" t="str">
        <f>Lang_LeaveBlank</f>
        <v>Leave Blank</v>
      </c>
      <c r="J245" s="620" t="s">
        <v>5115</v>
      </c>
      <c r="K245" s="543"/>
      <c r="L245" s="543"/>
      <c r="O245" s="587"/>
      <c r="P245" s="564"/>
      <c r="Q245" s="564"/>
      <c r="R245" s="564" t="s">
        <v>4591</v>
      </c>
      <c r="S245" s="564"/>
      <c r="T245" s="564"/>
      <c r="U245" s="564"/>
      <c r="V245" s="564"/>
      <c r="W245" s="564"/>
      <c r="X245" s="564"/>
      <c r="Y245" s="564"/>
      <c r="Z245" s="564"/>
      <c r="AA245" s="564"/>
      <c r="AB245" s="564"/>
      <c r="AC245" s="564"/>
      <c r="AD245" s="564"/>
      <c r="AE245" s="564"/>
      <c r="AF245" s="564"/>
      <c r="AG245" s="564"/>
      <c r="AH245" s="564" t="s">
        <v>12949</v>
      </c>
      <c r="AI245" s="564"/>
      <c r="AJ245" s="564"/>
      <c r="AK245" s="564"/>
      <c r="AL245" s="564"/>
      <c r="AM245" s="564"/>
      <c r="AN245" s="564"/>
      <c r="AO245" s="564"/>
      <c r="AP245" s="564"/>
      <c r="AQ245" s="564"/>
      <c r="AR245" s="564"/>
      <c r="AS245" s="564"/>
      <c r="AT245" s="564"/>
      <c r="AU245" s="564"/>
      <c r="AV245" s="564"/>
      <c r="AW245" s="564"/>
      <c r="AX245" s="564" t="s">
        <v>12950</v>
      </c>
      <c r="AY245" s="564"/>
      <c r="AZ245" s="564"/>
      <c r="BA245" s="564"/>
      <c r="BB245" s="564"/>
      <c r="BC245" s="564"/>
      <c r="BD245" s="564"/>
      <c r="BE245" s="564"/>
      <c r="BF245" s="564"/>
      <c r="BG245" s="564"/>
      <c r="BH245" s="564"/>
      <c r="BI245" s="564"/>
      <c r="BJ245" s="564"/>
      <c r="BK245" s="564"/>
      <c r="BL245" s="564"/>
      <c r="BM245" s="564"/>
      <c r="BN245" s="564" t="s">
        <v>12951</v>
      </c>
      <c r="BO245" s="564"/>
      <c r="BP245" s="564"/>
      <c r="BQ245" s="564"/>
      <c r="BR245" s="564"/>
      <c r="BS245" s="564"/>
      <c r="BT245" s="564"/>
      <c r="BU245" s="564"/>
      <c r="BV245" s="564"/>
      <c r="BW245" s="564"/>
      <c r="BX245" s="564"/>
      <c r="BY245" s="564"/>
      <c r="BZ245" s="564"/>
      <c r="CA245" s="564"/>
      <c r="CB245" s="564"/>
      <c r="CC245" s="564"/>
      <c r="CD245" s="564" t="s">
        <v>12952</v>
      </c>
      <c r="CE245" s="564"/>
      <c r="CF245" s="564"/>
      <c r="CG245" s="564"/>
      <c r="CH245" s="564"/>
      <c r="CI245" s="564"/>
      <c r="CJ245" s="564"/>
      <c r="CK245" s="564"/>
      <c r="CL245" s="564"/>
      <c r="CM245" s="564"/>
      <c r="CN245" s="564"/>
      <c r="CO245" s="564"/>
      <c r="CP245" s="564"/>
      <c r="CQ245" s="564"/>
      <c r="CR245" s="564"/>
      <c r="CS245" s="564"/>
      <c r="CT245" s="564" t="s">
        <v>12953</v>
      </c>
      <c r="CU245" s="564"/>
      <c r="CV245" s="564"/>
      <c r="CW245" s="564"/>
      <c r="CX245" s="564"/>
      <c r="CY245" s="564"/>
      <c r="CZ245" s="564"/>
      <c r="DA245" s="564"/>
      <c r="DB245" s="564"/>
      <c r="DC245" s="564"/>
      <c r="DD245" s="564"/>
      <c r="DE245" s="564"/>
      <c r="DF245" s="564"/>
      <c r="DG245" s="564"/>
      <c r="DH245" s="564"/>
      <c r="DI245" s="564"/>
      <c r="DJ245" s="564" t="s">
        <v>12954</v>
      </c>
      <c r="DK245" s="564"/>
      <c r="DL245" s="564"/>
      <c r="DM245" s="564"/>
      <c r="DN245" s="564"/>
      <c r="DO245" s="564"/>
      <c r="DP245" s="564"/>
      <c r="DQ245" s="564"/>
      <c r="DR245" s="564"/>
      <c r="DS245" s="564"/>
      <c r="DT245" s="564"/>
      <c r="DU245" s="564"/>
      <c r="DV245" s="564"/>
      <c r="DW245" s="564"/>
    </row>
    <row r="246" spans="1:127" s="194" customFormat="1" x14ac:dyDescent="0.2">
      <c r="A246" s="85"/>
      <c r="J246" s="620"/>
      <c r="K246" s="543"/>
      <c r="L246" s="543"/>
      <c r="M246" s="459"/>
      <c r="O246" s="567"/>
      <c r="P246" s="564"/>
      <c r="Q246" s="564"/>
      <c r="R246" s="564"/>
      <c r="S246" s="564"/>
      <c r="T246" s="564"/>
      <c r="U246" s="564"/>
      <c r="V246" s="564"/>
      <c r="W246" s="564"/>
      <c r="X246" s="564"/>
      <c r="Y246" s="564"/>
      <c r="Z246" s="564"/>
      <c r="AA246" s="564"/>
      <c r="AB246" s="564"/>
      <c r="AC246" s="564"/>
      <c r="AD246" s="564"/>
      <c r="AE246" s="564"/>
      <c r="AF246" s="564"/>
      <c r="AG246" s="564"/>
      <c r="AH246" s="564"/>
      <c r="AI246" s="564"/>
      <c r="AJ246" s="564"/>
      <c r="AK246" s="564"/>
      <c r="AL246" s="564"/>
      <c r="AM246" s="564"/>
      <c r="AN246" s="564"/>
      <c r="AO246" s="564"/>
      <c r="AP246" s="564"/>
      <c r="AQ246" s="564"/>
      <c r="AR246" s="564"/>
      <c r="AS246" s="564"/>
      <c r="AT246" s="564"/>
      <c r="AU246" s="564"/>
      <c r="AV246" s="564"/>
      <c r="AW246" s="564"/>
      <c r="AX246" s="564"/>
      <c r="AY246" s="564"/>
      <c r="AZ246" s="564"/>
      <c r="BA246" s="564"/>
      <c r="BB246" s="564"/>
      <c r="BC246" s="564"/>
      <c r="BD246" s="564"/>
      <c r="BE246" s="564"/>
      <c r="BF246" s="564"/>
      <c r="BG246" s="564"/>
      <c r="BH246" s="564"/>
      <c r="BI246" s="564"/>
      <c r="BJ246" s="564"/>
      <c r="BK246" s="564"/>
      <c r="BL246" s="564"/>
      <c r="BM246" s="564"/>
      <c r="BN246" s="564"/>
      <c r="BO246" s="564"/>
      <c r="BP246" s="564"/>
      <c r="BQ246" s="564"/>
      <c r="BR246" s="564"/>
      <c r="BS246" s="564"/>
      <c r="BT246" s="564"/>
      <c r="BU246" s="564"/>
      <c r="BV246" s="564"/>
      <c r="BW246" s="564"/>
      <c r="BX246" s="564"/>
      <c r="BY246" s="564"/>
      <c r="BZ246" s="564"/>
      <c r="CA246" s="564"/>
      <c r="CB246" s="564"/>
      <c r="CC246" s="564"/>
      <c r="CD246" s="564"/>
      <c r="CE246" s="564"/>
      <c r="CF246" s="564"/>
      <c r="CG246" s="564"/>
      <c r="CH246" s="564"/>
      <c r="CI246" s="564"/>
      <c r="CJ246" s="564"/>
      <c r="CK246" s="564"/>
      <c r="CL246" s="564"/>
      <c r="CM246" s="564"/>
      <c r="CN246" s="564"/>
      <c r="CO246" s="564"/>
      <c r="CP246" s="564"/>
      <c r="CQ246" s="564"/>
      <c r="CR246" s="564"/>
      <c r="CS246" s="564"/>
      <c r="CT246" s="564"/>
      <c r="CU246" s="564"/>
      <c r="CV246" s="564"/>
      <c r="CW246" s="564"/>
      <c r="CX246" s="564"/>
      <c r="CY246" s="564"/>
      <c r="CZ246" s="564"/>
      <c r="DA246" s="564"/>
      <c r="DB246" s="564"/>
      <c r="DC246" s="564"/>
      <c r="DD246" s="564"/>
      <c r="DE246" s="564"/>
      <c r="DF246" s="564"/>
      <c r="DG246" s="564"/>
      <c r="DH246" s="564"/>
      <c r="DI246" s="564"/>
      <c r="DJ246" s="564"/>
      <c r="DK246" s="564"/>
      <c r="DL246" s="564"/>
      <c r="DM246" s="564"/>
      <c r="DN246" s="564"/>
      <c r="DO246" s="564"/>
      <c r="DP246" s="564"/>
      <c r="DQ246" s="564"/>
      <c r="DR246" s="564"/>
      <c r="DS246" s="564"/>
      <c r="DT246" s="564"/>
      <c r="DU246" s="564"/>
      <c r="DV246" s="564"/>
      <c r="DW246" s="564"/>
    </row>
    <row r="247" spans="1:127" s="281" customFormat="1" ht="15" x14ac:dyDescent="0.25">
      <c r="A247" s="85"/>
      <c r="B247" s="33" t="str">
        <f ca="1">IF(OFFSET(R247,0,Lang_Order*Lang__R2)="","",OFFSET(R247,0,Lang_Order*Lang__R2))</f>
        <v>R2.1.9 Protecting Essential Health Services and Health Systems Strengthening</v>
      </c>
      <c r="C247" s="195" t="e">
        <f t="shared" ref="C247" si="98">IF(ISBLANK(C249),C248,C249)</f>
        <v>#N/A</v>
      </c>
      <c r="D247" s="195" t="e">
        <f t="shared" ref="D247" si="99">IF(ISBLANK(D249),D248,D249)</f>
        <v>#N/A</v>
      </c>
      <c r="E247" s="195" t="e">
        <f t="shared" ref="E247" si="100">IF(ISBLANK(E249),E248,E249)</f>
        <v>#N/A</v>
      </c>
      <c r="F247" s="195" t="e">
        <f t="shared" ref="F247" si="101">IF(ISBLANK(F249),F248,F249)</f>
        <v>#N/A</v>
      </c>
      <c r="G247" s="195" t="e">
        <f t="shared" ref="G247" si="102">IF(ISBLANK(G249),G248,G249)</f>
        <v>#N/A</v>
      </c>
      <c r="H247" s="195" t="e">
        <f t="shared" ref="H247" si="103">IF(ISBLANK(H249),H248,H249)</f>
        <v>#N/A</v>
      </c>
      <c r="I247" s="195" t="e">
        <f t="shared" ref="I247" si="104">SUM(I251:I252)</f>
        <v>#N/A</v>
      </c>
      <c r="J247" s="620" t="s">
        <v>5095</v>
      </c>
      <c r="K247" s="35" t="s">
        <v>2844</v>
      </c>
      <c r="L247" s="35" t="s">
        <v>3188</v>
      </c>
      <c r="M247" s="459"/>
      <c r="O247" s="587"/>
      <c r="P247" s="564"/>
      <c r="Q247" s="564"/>
      <c r="R247" s="564" t="s">
        <v>14635</v>
      </c>
      <c r="S247" s="564"/>
      <c r="T247" s="564"/>
      <c r="U247" s="564"/>
      <c r="V247" s="564"/>
      <c r="W247" s="564"/>
      <c r="X247" s="564"/>
      <c r="Y247" s="564"/>
      <c r="Z247" s="564"/>
      <c r="AA247" s="564"/>
      <c r="AB247" s="564"/>
      <c r="AC247" s="564"/>
      <c r="AD247" s="564"/>
      <c r="AE247" s="564"/>
      <c r="AF247" s="564"/>
      <c r="AG247" s="564"/>
      <c r="AH247" s="564" t="s">
        <v>14636</v>
      </c>
      <c r="AI247" s="564"/>
      <c r="AJ247" s="564"/>
      <c r="AK247" s="564"/>
      <c r="AL247" s="564"/>
      <c r="AM247" s="564"/>
      <c r="AN247" s="564"/>
      <c r="AO247" s="564"/>
      <c r="AP247" s="564"/>
      <c r="AQ247" s="564"/>
      <c r="AR247" s="564"/>
      <c r="AS247" s="564"/>
      <c r="AT247" s="564"/>
      <c r="AU247" s="564"/>
      <c r="AV247" s="564"/>
      <c r="AW247" s="564"/>
      <c r="AX247" s="564" t="s">
        <v>14637</v>
      </c>
      <c r="AY247" s="564"/>
      <c r="AZ247" s="564"/>
      <c r="BA247" s="564"/>
      <c r="BB247" s="564"/>
      <c r="BC247" s="564"/>
      <c r="BD247" s="564"/>
      <c r="BE247" s="564"/>
      <c r="BF247" s="564"/>
      <c r="BG247" s="564"/>
      <c r="BH247" s="564"/>
      <c r="BI247" s="564"/>
      <c r="BJ247" s="564"/>
      <c r="BK247" s="564"/>
      <c r="BL247" s="564"/>
      <c r="BM247" s="564"/>
      <c r="BN247" s="564" t="s">
        <v>14638</v>
      </c>
      <c r="BO247" s="564"/>
      <c r="BP247" s="564"/>
      <c r="BQ247" s="564"/>
      <c r="BR247" s="564"/>
      <c r="BS247" s="564"/>
      <c r="BT247" s="564"/>
      <c r="BU247" s="564"/>
      <c r="BV247" s="564"/>
      <c r="BW247" s="564"/>
      <c r="BX247" s="564"/>
      <c r="BY247" s="564"/>
      <c r="BZ247" s="564"/>
      <c r="CA247" s="564"/>
      <c r="CB247" s="564"/>
      <c r="CC247" s="564"/>
      <c r="CD247" s="564" t="s">
        <v>14639</v>
      </c>
      <c r="CE247" s="564"/>
      <c r="CF247" s="564"/>
      <c r="CG247" s="564"/>
      <c r="CH247" s="564"/>
      <c r="CI247" s="564"/>
      <c r="CJ247" s="564"/>
      <c r="CK247" s="564"/>
      <c r="CL247" s="564"/>
      <c r="CM247" s="564"/>
      <c r="CN247" s="564"/>
      <c r="CO247" s="564"/>
      <c r="CP247" s="564"/>
      <c r="CQ247" s="564"/>
      <c r="CR247" s="564"/>
      <c r="CS247" s="564"/>
      <c r="CT247" s="564" t="s">
        <v>14640</v>
      </c>
      <c r="CU247" s="564"/>
      <c r="CV247" s="564"/>
      <c r="CW247" s="564"/>
      <c r="CX247" s="564"/>
      <c r="CY247" s="564"/>
      <c r="CZ247" s="564"/>
      <c r="DA247" s="564"/>
      <c r="DB247" s="564"/>
      <c r="DC247" s="564"/>
      <c r="DD247" s="564"/>
      <c r="DE247" s="564"/>
      <c r="DF247" s="564"/>
      <c r="DG247" s="564"/>
      <c r="DH247" s="564"/>
      <c r="DI247" s="564"/>
      <c r="DJ247" s="564" t="s">
        <v>14641</v>
      </c>
      <c r="DK247" s="564"/>
      <c r="DL247" s="564"/>
      <c r="DM247" s="564"/>
      <c r="DN247" s="564"/>
      <c r="DO247" s="564"/>
      <c r="DP247" s="564"/>
      <c r="DQ247" s="564"/>
      <c r="DR247" s="564"/>
      <c r="DS247" s="564"/>
      <c r="DT247" s="564"/>
      <c r="DU247" s="564"/>
      <c r="DV247" s="564"/>
      <c r="DW247" s="564"/>
    </row>
    <row r="248" spans="1:127" s="2" customFormat="1" x14ac:dyDescent="0.2">
      <c r="A248" s="73"/>
      <c r="B248" s="260" t="str">
        <f ca="1">IF(OFFSET(R248,0,Lang_Order*Lang__R2)="","",OFFSET(R248,0,Lang_Order*Lang__R2))</f>
        <v>CVIC Estimates</v>
      </c>
      <c r="C248" s="199" t="e">
        <f>SUM(C251:C252)</f>
        <v>#N/A</v>
      </c>
      <c r="D248" s="199" t="e">
        <f t="shared" ref="D248:H248" si="105">SUM(D251:D252)</f>
        <v>#N/A</v>
      </c>
      <c r="E248" s="199" t="e">
        <f t="shared" si="105"/>
        <v>#N/A</v>
      </c>
      <c r="F248" s="199" t="e">
        <f t="shared" si="105"/>
        <v>#N/A</v>
      </c>
      <c r="G248" s="199" t="e">
        <f t="shared" si="105"/>
        <v>#N/A</v>
      </c>
      <c r="H248" s="199" t="e">
        <f t="shared" si="105"/>
        <v>#N/A</v>
      </c>
      <c r="I248" s="199" t="e">
        <f>SUM(C248:H248)</f>
        <v>#N/A</v>
      </c>
      <c r="J248" s="620" t="s">
        <v>5102</v>
      </c>
      <c r="P248" s="564"/>
      <c r="Q248" s="564"/>
      <c r="R248" s="564" t="s">
        <v>12973</v>
      </c>
      <c r="S248" s="564"/>
      <c r="T248" s="564"/>
      <c r="U248" s="564"/>
      <c r="V248" s="564"/>
      <c r="W248" s="564"/>
      <c r="X248" s="564"/>
      <c r="Y248" s="564"/>
      <c r="Z248" s="564"/>
      <c r="AA248" s="564"/>
      <c r="AB248" s="564"/>
      <c r="AC248" s="564"/>
      <c r="AD248" s="564"/>
      <c r="AE248" s="564"/>
      <c r="AF248" s="564"/>
      <c r="AG248" s="564"/>
      <c r="AH248" s="564" t="s">
        <v>12974</v>
      </c>
      <c r="AI248" s="564"/>
      <c r="AJ248" s="564"/>
      <c r="AK248" s="564"/>
      <c r="AL248" s="564"/>
      <c r="AM248" s="564"/>
      <c r="AN248" s="564"/>
      <c r="AO248" s="564"/>
      <c r="AP248" s="564"/>
      <c r="AQ248" s="564"/>
      <c r="AR248" s="564"/>
      <c r="AS248" s="564"/>
      <c r="AT248" s="564"/>
      <c r="AU248" s="564"/>
      <c r="AV248" s="564"/>
      <c r="AW248" s="564"/>
      <c r="AX248" s="564" t="s">
        <v>12968</v>
      </c>
      <c r="AY248" s="564"/>
      <c r="AZ248" s="564"/>
      <c r="BA248" s="564"/>
      <c r="BB248" s="564"/>
      <c r="BC248" s="564"/>
      <c r="BD248" s="564"/>
      <c r="BE248" s="564"/>
      <c r="BF248" s="564"/>
      <c r="BG248" s="564"/>
      <c r="BH248" s="564"/>
      <c r="BI248" s="564"/>
      <c r="BJ248" s="564"/>
      <c r="BK248" s="564"/>
      <c r="BL248" s="564"/>
      <c r="BM248" s="564"/>
      <c r="BN248" s="564" t="s">
        <v>12969</v>
      </c>
      <c r="BO248" s="564"/>
      <c r="BP248" s="564"/>
      <c r="BQ248" s="564"/>
      <c r="BR248" s="564"/>
      <c r="BS248" s="564"/>
      <c r="BT248" s="564"/>
      <c r="BU248" s="564"/>
      <c r="BV248" s="564"/>
      <c r="BW248" s="564"/>
      <c r="BX248" s="564"/>
      <c r="BY248" s="564"/>
      <c r="BZ248" s="564"/>
      <c r="CA248" s="564"/>
      <c r="CB248" s="564"/>
      <c r="CC248" s="564"/>
      <c r="CD248" s="564" t="s">
        <v>12970</v>
      </c>
      <c r="CE248" s="564"/>
      <c r="CF248" s="564"/>
      <c r="CG248" s="564"/>
      <c r="CH248" s="564"/>
      <c r="CI248" s="564"/>
      <c r="CJ248" s="564"/>
      <c r="CK248" s="564"/>
      <c r="CL248" s="564"/>
      <c r="CM248" s="564"/>
      <c r="CN248" s="564"/>
      <c r="CO248" s="564"/>
      <c r="CP248" s="564"/>
      <c r="CQ248" s="564"/>
      <c r="CR248" s="564"/>
      <c r="CS248" s="564"/>
      <c r="CT248" s="564" t="s">
        <v>12971</v>
      </c>
      <c r="CU248" s="564"/>
      <c r="CV248" s="564"/>
      <c r="CW248" s="564"/>
      <c r="CX248" s="564"/>
      <c r="CY248" s="564"/>
      <c r="CZ248" s="564"/>
      <c r="DA248" s="564"/>
      <c r="DB248" s="564"/>
      <c r="DC248" s="564"/>
      <c r="DD248" s="564"/>
      <c r="DE248" s="564"/>
      <c r="DF248" s="564"/>
      <c r="DG248" s="564"/>
      <c r="DH248" s="564"/>
      <c r="DI248" s="564"/>
      <c r="DJ248" s="564" t="s">
        <v>12972</v>
      </c>
      <c r="DK248" s="564"/>
      <c r="DL248" s="564"/>
      <c r="DM248" s="564"/>
      <c r="DN248" s="564"/>
      <c r="DO248" s="564"/>
      <c r="DP248" s="564"/>
      <c r="DQ248" s="564"/>
      <c r="DR248" s="564"/>
      <c r="DS248" s="564"/>
      <c r="DT248" s="564"/>
      <c r="DU248" s="564"/>
      <c r="DV248" s="564"/>
      <c r="DW248" s="564"/>
    </row>
    <row r="249" spans="1:127" s="517" customFormat="1" x14ac:dyDescent="0.2">
      <c r="A249" s="350">
        <v>2</v>
      </c>
      <c r="B249" s="5" t="str">
        <f ca="1">IF(OFFSET(R249,0,Lang_Order*Lang__R2)="","",OFFSET(R249,0,Lang_Order*Lang__R2))</f>
        <v>OVERRIDE HERE if alternative costing used for section above</v>
      </c>
      <c r="C249" s="284"/>
      <c r="D249" s="284"/>
      <c r="E249" s="284"/>
      <c r="F249" s="284"/>
      <c r="G249" s="284"/>
      <c r="H249" s="284"/>
      <c r="I249" s="81" t="str">
        <f>Lang_LeaveBlank</f>
        <v>Leave Blank</v>
      </c>
      <c r="J249" s="620" t="s">
        <v>5103</v>
      </c>
      <c r="K249" s="543"/>
      <c r="L249" s="543"/>
      <c r="O249" s="587"/>
      <c r="P249" s="564"/>
      <c r="Q249" s="564"/>
      <c r="R249" s="564" t="s">
        <v>4591</v>
      </c>
      <c r="S249" s="564"/>
      <c r="T249" s="564"/>
      <c r="U249" s="564"/>
      <c r="V249" s="564"/>
      <c r="W249" s="564"/>
      <c r="X249" s="564"/>
      <c r="Y249" s="564"/>
      <c r="Z249" s="564"/>
      <c r="AA249" s="564"/>
      <c r="AB249" s="564"/>
      <c r="AC249" s="564"/>
      <c r="AD249" s="564"/>
      <c r="AE249" s="564"/>
      <c r="AF249" s="564"/>
      <c r="AG249" s="564"/>
      <c r="AH249" s="564" t="s">
        <v>12949</v>
      </c>
      <c r="AI249" s="564"/>
      <c r="AJ249" s="564"/>
      <c r="AK249" s="564"/>
      <c r="AL249" s="564"/>
      <c r="AM249" s="564"/>
      <c r="AN249" s="564"/>
      <c r="AO249" s="564"/>
      <c r="AP249" s="564"/>
      <c r="AQ249" s="564"/>
      <c r="AR249" s="564"/>
      <c r="AS249" s="564"/>
      <c r="AT249" s="564"/>
      <c r="AU249" s="564"/>
      <c r="AV249" s="564"/>
      <c r="AW249" s="564"/>
      <c r="AX249" s="564" t="s">
        <v>12950</v>
      </c>
      <c r="AY249" s="564"/>
      <c r="AZ249" s="564"/>
      <c r="BA249" s="564"/>
      <c r="BB249" s="564"/>
      <c r="BC249" s="564"/>
      <c r="BD249" s="564"/>
      <c r="BE249" s="564"/>
      <c r="BF249" s="564"/>
      <c r="BG249" s="564"/>
      <c r="BH249" s="564"/>
      <c r="BI249" s="564"/>
      <c r="BJ249" s="564"/>
      <c r="BK249" s="564"/>
      <c r="BL249" s="564"/>
      <c r="BM249" s="564"/>
      <c r="BN249" s="564" t="s">
        <v>12951</v>
      </c>
      <c r="BO249" s="564"/>
      <c r="BP249" s="564"/>
      <c r="BQ249" s="564"/>
      <c r="BR249" s="564"/>
      <c r="BS249" s="564"/>
      <c r="BT249" s="564"/>
      <c r="BU249" s="564"/>
      <c r="BV249" s="564"/>
      <c r="BW249" s="564"/>
      <c r="BX249" s="564"/>
      <c r="BY249" s="564"/>
      <c r="BZ249" s="564"/>
      <c r="CA249" s="564"/>
      <c r="CB249" s="564"/>
      <c r="CC249" s="564"/>
      <c r="CD249" s="564" t="s">
        <v>12952</v>
      </c>
      <c r="CE249" s="564"/>
      <c r="CF249" s="564"/>
      <c r="CG249" s="564"/>
      <c r="CH249" s="564"/>
      <c r="CI249" s="564"/>
      <c r="CJ249" s="564"/>
      <c r="CK249" s="564"/>
      <c r="CL249" s="564"/>
      <c r="CM249" s="564"/>
      <c r="CN249" s="564"/>
      <c r="CO249" s="564"/>
      <c r="CP249" s="564"/>
      <c r="CQ249" s="564"/>
      <c r="CR249" s="564"/>
      <c r="CS249" s="564"/>
      <c r="CT249" s="564" t="s">
        <v>12953</v>
      </c>
      <c r="CU249" s="564"/>
      <c r="CV249" s="564"/>
      <c r="CW249" s="564"/>
      <c r="CX249" s="564"/>
      <c r="CY249" s="564"/>
      <c r="CZ249" s="564"/>
      <c r="DA249" s="564"/>
      <c r="DB249" s="564"/>
      <c r="DC249" s="564"/>
      <c r="DD249" s="564"/>
      <c r="DE249" s="564"/>
      <c r="DF249" s="564"/>
      <c r="DG249" s="564"/>
      <c r="DH249" s="564"/>
      <c r="DI249" s="564"/>
      <c r="DJ249" s="564" t="s">
        <v>12954</v>
      </c>
      <c r="DK249" s="564"/>
      <c r="DL249" s="564"/>
      <c r="DM249" s="564"/>
      <c r="DN249" s="564"/>
      <c r="DO249" s="564"/>
      <c r="DP249" s="564"/>
      <c r="DQ249" s="564"/>
      <c r="DR249" s="564"/>
      <c r="DS249" s="564"/>
      <c r="DT249" s="564"/>
      <c r="DU249" s="564"/>
      <c r="DV249" s="564"/>
      <c r="DW249" s="564"/>
    </row>
    <row r="250" spans="1:127" s="536" customFormat="1" x14ac:dyDescent="0.2">
      <c r="A250" s="85"/>
      <c r="J250" s="620"/>
      <c r="K250" s="543"/>
      <c r="L250" s="543"/>
      <c r="O250" s="567"/>
      <c r="P250" s="564"/>
      <c r="Q250" s="564"/>
      <c r="R250" s="564"/>
      <c r="S250" s="564"/>
      <c r="T250" s="564"/>
      <c r="U250" s="564"/>
      <c r="V250" s="564"/>
      <c r="W250" s="564"/>
      <c r="X250" s="564"/>
      <c r="Y250" s="564"/>
      <c r="Z250" s="564"/>
      <c r="AA250" s="564"/>
      <c r="AB250" s="564"/>
      <c r="AC250" s="564"/>
      <c r="AD250" s="564"/>
      <c r="AE250" s="564"/>
      <c r="AF250" s="564"/>
      <c r="AG250" s="564"/>
      <c r="AH250" s="564"/>
      <c r="AI250" s="564"/>
      <c r="AJ250" s="564"/>
      <c r="AK250" s="564"/>
      <c r="AL250" s="564"/>
      <c r="AM250" s="564"/>
      <c r="AN250" s="564"/>
      <c r="AO250" s="564"/>
      <c r="AP250" s="564"/>
      <c r="AQ250" s="564"/>
      <c r="AR250" s="564"/>
      <c r="AS250" s="564"/>
      <c r="AT250" s="564"/>
      <c r="AU250" s="564"/>
      <c r="AV250" s="564"/>
      <c r="AW250" s="564"/>
      <c r="AX250" s="564"/>
      <c r="AY250" s="564"/>
      <c r="AZ250" s="564"/>
      <c r="BA250" s="564"/>
      <c r="BB250" s="564"/>
      <c r="BC250" s="564"/>
      <c r="BD250" s="564"/>
      <c r="BE250" s="564"/>
      <c r="BF250" s="564"/>
      <c r="BG250" s="564"/>
      <c r="BH250" s="564"/>
      <c r="BI250" s="564"/>
      <c r="BJ250" s="564"/>
      <c r="BK250" s="564"/>
      <c r="BL250" s="564"/>
      <c r="BM250" s="564"/>
      <c r="BN250" s="564"/>
      <c r="BO250" s="564"/>
      <c r="BP250" s="564"/>
      <c r="BQ250" s="564"/>
      <c r="BR250" s="564"/>
      <c r="BS250" s="564"/>
      <c r="BT250" s="564"/>
      <c r="BU250" s="564"/>
      <c r="BV250" s="564"/>
      <c r="BW250" s="564"/>
      <c r="BX250" s="564"/>
      <c r="BY250" s="564"/>
      <c r="BZ250" s="564"/>
      <c r="CA250" s="564"/>
      <c r="CB250" s="564"/>
      <c r="CC250" s="564"/>
      <c r="CD250" s="564"/>
      <c r="CE250" s="564"/>
      <c r="CF250" s="564"/>
      <c r="CG250" s="564"/>
      <c r="CH250" s="564"/>
      <c r="CI250" s="564"/>
      <c r="CJ250" s="564"/>
      <c r="CK250" s="564"/>
      <c r="CL250" s="564"/>
      <c r="CM250" s="564"/>
      <c r="CN250" s="564"/>
      <c r="CO250" s="564"/>
      <c r="CP250" s="564"/>
      <c r="CQ250" s="564"/>
      <c r="CR250" s="564"/>
      <c r="CS250" s="564"/>
      <c r="CT250" s="564"/>
      <c r="CU250" s="564"/>
      <c r="CV250" s="564"/>
      <c r="CW250" s="564"/>
      <c r="CX250" s="564"/>
      <c r="CY250" s="564"/>
      <c r="CZ250" s="564"/>
      <c r="DA250" s="564"/>
      <c r="DB250" s="564"/>
      <c r="DC250" s="564"/>
      <c r="DD250" s="564"/>
      <c r="DE250" s="564"/>
      <c r="DF250" s="564"/>
      <c r="DG250" s="564"/>
      <c r="DH250" s="564"/>
      <c r="DI250" s="564"/>
      <c r="DJ250" s="564"/>
      <c r="DK250" s="564"/>
      <c r="DL250" s="564"/>
      <c r="DM250" s="564"/>
      <c r="DN250" s="564"/>
      <c r="DO250" s="564"/>
      <c r="DP250" s="564"/>
      <c r="DQ250" s="564"/>
      <c r="DR250" s="564"/>
      <c r="DS250" s="564"/>
      <c r="DT250" s="564"/>
      <c r="DU250" s="564"/>
      <c r="DV250" s="564"/>
      <c r="DW250" s="564"/>
    </row>
    <row r="251" spans="1:127" s="281" customFormat="1" x14ac:dyDescent="0.2">
      <c r="A251" s="663"/>
      <c r="B251" s="376" t="str">
        <f ca="1">'A4. INPUT Central Costs'!B160</f>
        <v>A4.1.11 Opportunistic co-delivery of essential health services</v>
      </c>
      <c r="C251" s="37" t="e">
        <f>'A4. INPUT Central Costs'!$K$160*C$74</f>
        <v>#N/A</v>
      </c>
      <c r="D251" s="300" t="e">
        <f>'A4. INPUT Central Costs'!$K$160*D$74</f>
        <v>#N/A</v>
      </c>
      <c r="E251" s="300" t="e">
        <f>'A4. INPUT Central Costs'!$K$160*E$74</f>
        <v>#N/A</v>
      </c>
      <c r="F251" s="300" t="e">
        <f>'A4. INPUT Central Costs'!$K$160*F$74</f>
        <v>#N/A</v>
      </c>
      <c r="G251" s="300" t="e">
        <f>'A4. INPUT Central Costs'!$K$160*G$74</f>
        <v>#N/A</v>
      </c>
      <c r="H251" s="300" t="e">
        <f>'A4. INPUT Central Costs'!$K$160*H$74</f>
        <v>#N/A</v>
      </c>
      <c r="I251" s="300" t="e">
        <f t="shared" ref="I251:I252" si="106">SUM(C251:H251)</f>
        <v>#N/A</v>
      </c>
      <c r="J251" s="620"/>
      <c r="K251" s="543"/>
      <c r="L251" s="543"/>
      <c r="M251" s="459">
        <v>1</v>
      </c>
      <c r="N251" s="565"/>
      <c r="O251" s="567"/>
      <c r="P251" s="564"/>
      <c r="Q251" s="564"/>
      <c r="R251" s="564"/>
      <c r="S251" s="564"/>
      <c r="T251" s="564"/>
      <c r="U251" s="564"/>
      <c r="V251" s="564"/>
      <c r="W251" s="564"/>
      <c r="X251" s="564"/>
      <c r="Y251" s="564"/>
      <c r="Z251" s="564"/>
      <c r="AA251" s="564"/>
      <c r="AB251" s="564"/>
      <c r="AC251" s="564"/>
      <c r="AD251" s="564"/>
      <c r="AE251" s="564"/>
      <c r="AF251" s="564"/>
      <c r="AG251" s="564"/>
      <c r="AH251" s="564"/>
      <c r="AI251" s="564"/>
      <c r="AJ251" s="564"/>
      <c r="AK251" s="564"/>
      <c r="AL251" s="564"/>
      <c r="AM251" s="564"/>
      <c r="AN251" s="564"/>
      <c r="AO251" s="564"/>
      <c r="AP251" s="564"/>
      <c r="AQ251" s="564"/>
      <c r="AR251" s="564"/>
      <c r="AS251" s="564"/>
      <c r="AT251" s="564"/>
      <c r="AU251" s="564"/>
      <c r="AV251" s="564"/>
      <c r="AW251" s="564"/>
      <c r="AX251" s="564"/>
      <c r="AY251" s="564"/>
      <c r="AZ251" s="564"/>
      <c r="BA251" s="564"/>
      <c r="BB251" s="564"/>
      <c r="BC251" s="564"/>
      <c r="BD251" s="564"/>
      <c r="BE251" s="564"/>
      <c r="BF251" s="564"/>
      <c r="BG251" s="564"/>
      <c r="BH251" s="564"/>
      <c r="BI251" s="564"/>
      <c r="BJ251" s="564"/>
      <c r="BK251" s="564"/>
      <c r="BL251" s="564"/>
      <c r="BM251" s="564"/>
      <c r="BN251" s="564"/>
      <c r="BO251" s="564"/>
      <c r="BP251" s="564"/>
      <c r="BQ251" s="564"/>
      <c r="BR251" s="564"/>
      <c r="BS251" s="564"/>
      <c r="BT251" s="564"/>
      <c r="BU251" s="564"/>
      <c r="BV251" s="564"/>
      <c r="BW251" s="564"/>
      <c r="BX251" s="564"/>
      <c r="BY251" s="564"/>
      <c r="BZ251" s="564"/>
      <c r="CA251" s="564"/>
      <c r="CB251" s="564"/>
      <c r="CC251" s="564"/>
      <c r="CD251" s="564"/>
      <c r="CE251" s="564"/>
      <c r="CF251" s="564"/>
      <c r="CG251" s="564"/>
      <c r="CH251" s="564"/>
      <c r="CI251" s="564"/>
      <c r="CJ251" s="564"/>
      <c r="CK251" s="564"/>
      <c r="CL251" s="564"/>
      <c r="CM251" s="564"/>
      <c r="CN251" s="564"/>
      <c r="CO251" s="564"/>
      <c r="CP251" s="564"/>
      <c r="CQ251" s="564"/>
      <c r="CR251" s="564"/>
      <c r="CS251" s="564"/>
      <c r="CT251" s="564"/>
      <c r="CU251" s="564"/>
      <c r="CV251" s="564"/>
      <c r="CW251" s="564"/>
      <c r="CX251" s="564"/>
      <c r="CY251" s="564"/>
      <c r="CZ251" s="564"/>
      <c r="DA251" s="564"/>
      <c r="DB251" s="564"/>
      <c r="DC251" s="564"/>
      <c r="DD251" s="564"/>
      <c r="DE251" s="564"/>
      <c r="DF251" s="564"/>
      <c r="DG251" s="564"/>
      <c r="DH251" s="564"/>
      <c r="DI251" s="564"/>
      <c r="DJ251" s="564"/>
      <c r="DK251" s="564"/>
      <c r="DL251" s="564"/>
      <c r="DM251" s="564"/>
      <c r="DN251" s="564"/>
      <c r="DO251" s="564"/>
      <c r="DP251" s="564"/>
      <c r="DQ251" s="564"/>
      <c r="DR251" s="564"/>
      <c r="DS251" s="564"/>
      <c r="DT251" s="564"/>
      <c r="DU251" s="564"/>
      <c r="DV251" s="564"/>
      <c r="DW251" s="564"/>
    </row>
    <row r="252" spans="1:127" s="281" customFormat="1" x14ac:dyDescent="0.2">
      <c r="B252" s="5" t="str">
        <f ca="1">'B5. Last Mile Delivery'!C52</f>
        <v>Additional Interventions</v>
      </c>
      <c r="C252" s="37" t="e">
        <f>'B5. Last Mile Delivery'!J52</f>
        <v>#N/A</v>
      </c>
      <c r="D252" s="37" t="e">
        <f>'B5. Last Mile Delivery'!K52</f>
        <v>#N/A</v>
      </c>
      <c r="E252" s="37" t="e">
        <f>'B5. Last Mile Delivery'!L52</f>
        <v>#N/A</v>
      </c>
      <c r="F252" s="37" t="e">
        <f>'B5. Last Mile Delivery'!M52</f>
        <v>#N/A</v>
      </c>
      <c r="G252" s="37" t="e">
        <f>'B5. Last Mile Delivery'!N52</f>
        <v>#N/A</v>
      </c>
      <c r="H252" s="37" t="e">
        <f>'B5. Last Mile Delivery'!O52</f>
        <v>#N/A</v>
      </c>
      <c r="I252" s="300" t="e">
        <f t="shared" si="106"/>
        <v>#N/A</v>
      </c>
      <c r="J252" s="620"/>
      <c r="K252" s="543"/>
      <c r="L252" s="543"/>
      <c r="M252" s="459"/>
      <c r="O252" s="567"/>
      <c r="P252" s="564"/>
      <c r="Q252" s="564"/>
      <c r="R252" s="564"/>
      <c r="S252" s="564"/>
      <c r="T252" s="564"/>
      <c r="U252" s="564"/>
      <c r="V252" s="564"/>
      <c r="W252" s="564"/>
      <c r="X252" s="564"/>
      <c r="Y252" s="564"/>
      <c r="Z252" s="564"/>
      <c r="AA252" s="564"/>
      <c r="AB252" s="564"/>
      <c r="AC252" s="564"/>
      <c r="AD252" s="564"/>
      <c r="AE252" s="564"/>
      <c r="AF252" s="564"/>
      <c r="AG252" s="564"/>
      <c r="AH252" s="564"/>
      <c r="AI252" s="564"/>
      <c r="AJ252" s="564"/>
      <c r="AK252" s="564"/>
      <c r="AL252" s="564"/>
      <c r="AM252" s="564"/>
      <c r="AN252" s="564"/>
      <c r="AO252" s="564"/>
      <c r="AP252" s="564"/>
      <c r="AQ252" s="564"/>
      <c r="AR252" s="564"/>
      <c r="AS252" s="564"/>
      <c r="AT252" s="564"/>
      <c r="AU252" s="564"/>
      <c r="AV252" s="564"/>
      <c r="AW252" s="564"/>
      <c r="AX252" s="564"/>
      <c r="AY252" s="564"/>
      <c r="AZ252" s="564"/>
      <c r="BA252" s="564"/>
      <c r="BB252" s="564"/>
      <c r="BC252" s="564"/>
      <c r="BD252" s="564"/>
      <c r="BE252" s="564"/>
      <c r="BF252" s="564"/>
      <c r="BG252" s="564"/>
      <c r="BH252" s="564"/>
      <c r="BI252" s="564"/>
      <c r="BJ252" s="564"/>
      <c r="BK252" s="564"/>
      <c r="BL252" s="564"/>
      <c r="BM252" s="564"/>
      <c r="BN252" s="564"/>
      <c r="BO252" s="564"/>
      <c r="BP252" s="564"/>
      <c r="BQ252" s="564"/>
      <c r="BR252" s="564"/>
      <c r="BS252" s="564"/>
      <c r="BT252" s="564"/>
      <c r="BU252" s="564"/>
      <c r="BV252" s="564"/>
      <c r="BW252" s="564"/>
      <c r="BX252" s="564"/>
      <c r="BY252" s="564"/>
      <c r="BZ252" s="564"/>
      <c r="CA252" s="564"/>
      <c r="CB252" s="564"/>
      <c r="CC252" s="564"/>
      <c r="CD252" s="564"/>
      <c r="CE252" s="564"/>
      <c r="CF252" s="564"/>
      <c r="CG252" s="564"/>
      <c r="CH252" s="564"/>
      <c r="CI252" s="564"/>
      <c r="CJ252" s="564"/>
      <c r="CK252" s="564"/>
      <c r="CL252" s="564"/>
      <c r="CM252" s="564"/>
      <c r="CN252" s="564"/>
      <c r="CO252" s="564"/>
      <c r="CP252" s="564"/>
      <c r="CQ252" s="564"/>
      <c r="CR252" s="564"/>
      <c r="CS252" s="564"/>
      <c r="CT252" s="564"/>
      <c r="CU252" s="564"/>
      <c r="CV252" s="564"/>
      <c r="CW252" s="564"/>
      <c r="CX252" s="564"/>
      <c r="CY252" s="564"/>
      <c r="CZ252" s="564"/>
      <c r="DA252" s="564"/>
      <c r="DB252" s="564"/>
      <c r="DC252" s="564"/>
      <c r="DD252" s="564"/>
      <c r="DE252" s="564"/>
      <c r="DF252" s="564"/>
      <c r="DG252" s="564"/>
      <c r="DH252" s="564"/>
      <c r="DI252" s="564"/>
      <c r="DJ252" s="564"/>
      <c r="DK252" s="564"/>
      <c r="DL252" s="564"/>
      <c r="DM252" s="564"/>
      <c r="DN252" s="564"/>
      <c r="DO252" s="564"/>
      <c r="DP252" s="564"/>
      <c r="DQ252" s="564"/>
      <c r="DR252" s="564"/>
      <c r="DS252" s="564"/>
      <c r="DT252" s="564"/>
      <c r="DU252" s="564"/>
      <c r="DV252" s="564"/>
      <c r="DW252" s="564"/>
    </row>
    <row r="253" spans="1:127" s="281" customFormat="1" x14ac:dyDescent="0.2">
      <c r="K253" s="543"/>
      <c r="L253" s="543"/>
      <c r="M253" s="459"/>
      <c r="O253" s="567"/>
      <c r="P253" s="564"/>
      <c r="Q253" s="564"/>
      <c r="R253" s="564"/>
      <c r="S253" s="564"/>
      <c r="T253" s="564"/>
      <c r="U253" s="564"/>
      <c r="V253" s="564"/>
      <c r="W253" s="564"/>
      <c r="X253" s="564"/>
      <c r="Y253" s="564"/>
      <c r="Z253" s="564"/>
      <c r="AA253" s="564"/>
      <c r="AB253" s="564"/>
      <c r="AC253" s="564"/>
      <c r="AD253" s="564"/>
      <c r="AE253" s="564"/>
      <c r="AF253" s="564"/>
      <c r="AG253" s="564"/>
      <c r="AH253" s="564"/>
      <c r="AI253" s="564"/>
      <c r="AJ253" s="564"/>
      <c r="AK253" s="564"/>
      <c r="AL253" s="564"/>
      <c r="AM253" s="564"/>
      <c r="AN253" s="564"/>
      <c r="AO253" s="564"/>
      <c r="AP253" s="564"/>
      <c r="AQ253" s="564"/>
      <c r="AR253" s="564"/>
      <c r="AS253" s="564"/>
      <c r="AT253" s="564"/>
      <c r="AU253" s="564"/>
      <c r="AV253" s="564"/>
      <c r="AW253" s="564"/>
      <c r="AX253" s="564"/>
      <c r="AY253" s="564"/>
      <c r="AZ253" s="564"/>
      <c r="BA253" s="564"/>
      <c r="BB253" s="564"/>
      <c r="BC253" s="564"/>
      <c r="BD253" s="564"/>
      <c r="BE253" s="564"/>
      <c r="BF253" s="564"/>
      <c r="BG253" s="564"/>
      <c r="BH253" s="564"/>
      <c r="BI253" s="564"/>
      <c r="BJ253" s="564"/>
      <c r="BK253" s="564"/>
      <c r="BL253" s="564"/>
      <c r="BM253" s="564"/>
      <c r="BN253" s="564"/>
      <c r="BO253" s="564"/>
      <c r="BP253" s="564"/>
      <c r="BQ253" s="564"/>
      <c r="BR253" s="564"/>
      <c r="BS253" s="564"/>
      <c r="BT253" s="564"/>
      <c r="BU253" s="564"/>
      <c r="BV253" s="564"/>
      <c r="BW253" s="564"/>
      <c r="BX253" s="564"/>
      <c r="BY253" s="564"/>
      <c r="BZ253" s="564"/>
      <c r="CA253" s="564"/>
      <c r="CB253" s="564"/>
      <c r="CC253" s="564"/>
      <c r="CD253" s="564"/>
      <c r="CE253" s="564"/>
      <c r="CF253" s="564"/>
      <c r="CG253" s="564"/>
      <c r="CH253" s="564"/>
      <c r="CI253" s="564"/>
      <c r="CJ253" s="564"/>
      <c r="CK253" s="564"/>
      <c r="CL253" s="564"/>
      <c r="CM253" s="564"/>
      <c r="CN253" s="564"/>
      <c r="CO253" s="564"/>
      <c r="CP253" s="564"/>
      <c r="CQ253" s="564"/>
      <c r="CR253" s="564"/>
      <c r="CS253" s="564"/>
      <c r="CT253" s="564"/>
      <c r="CU253" s="564"/>
      <c r="CV253" s="564"/>
      <c r="CW253" s="564"/>
      <c r="CX253" s="564"/>
      <c r="CY253" s="564"/>
      <c r="CZ253" s="564"/>
      <c r="DA253" s="564"/>
      <c r="DB253" s="564"/>
      <c r="DC253" s="564"/>
      <c r="DD253" s="564"/>
      <c r="DE253" s="564"/>
      <c r="DF253" s="564"/>
      <c r="DG253" s="564"/>
      <c r="DH253" s="564"/>
      <c r="DI253" s="564"/>
      <c r="DJ253" s="564"/>
      <c r="DK253" s="564"/>
      <c r="DL253" s="564"/>
      <c r="DM253" s="564"/>
      <c r="DN253" s="564"/>
      <c r="DO253" s="564"/>
      <c r="DP253" s="564"/>
      <c r="DQ253" s="564"/>
      <c r="DR253" s="564"/>
      <c r="DS253" s="564"/>
      <c r="DT253" s="564"/>
      <c r="DU253" s="564"/>
      <c r="DV253" s="564"/>
      <c r="DW253" s="564"/>
    </row>
    <row r="254" spans="1:127" s="27" customFormat="1" ht="19.5" x14ac:dyDescent="0.3">
      <c r="P254" s="564"/>
      <c r="Q254" s="564"/>
      <c r="R254" s="564"/>
      <c r="S254" s="564"/>
      <c r="T254" s="564"/>
      <c r="U254" s="564"/>
      <c r="V254" s="564"/>
      <c r="W254" s="564"/>
      <c r="X254" s="564"/>
      <c r="Y254" s="564"/>
      <c r="Z254" s="564"/>
      <c r="AA254" s="564"/>
      <c r="AB254" s="564"/>
      <c r="AC254" s="564"/>
      <c r="AD254" s="564"/>
      <c r="AE254" s="564"/>
      <c r="AF254" s="564"/>
      <c r="AG254" s="564"/>
      <c r="AH254" s="564"/>
      <c r="AI254" s="564"/>
      <c r="AJ254" s="564"/>
      <c r="AK254" s="564"/>
      <c r="AL254" s="564"/>
      <c r="AM254" s="564"/>
      <c r="AN254" s="564"/>
      <c r="AO254" s="564"/>
      <c r="AP254" s="564"/>
      <c r="AQ254" s="564"/>
      <c r="AR254" s="564"/>
      <c r="AS254" s="564"/>
      <c r="AT254" s="564"/>
      <c r="AU254" s="564"/>
      <c r="AV254" s="564"/>
      <c r="AW254" s="564"/>
      <c r="AX254" s="564"/>
      <c r="AY254" s="564"/>
      <c r="AZ254" s="564"/>
      <c r="BA254" s="564"/>
      <c r="BB254" s="564"/>
      <c r="BC254" s="564"/>
      <c r="BD254" s="564"/>
      <c r="BE254" s="564"/>
      <c r="BF254" s="564"/>
      <c r="BG254" s="564"/>
      <c r="BH254" s="564"/>
      <c r="BI254" s="564"/>
      <c r="BJ254" s="564"/>
      <c r="BK254" s="564"/>
      <c r="BL254" s="564"/>
      <c r="BM254" s="564"/>
      <c r="BN254" s="564"/>
      <c r="BO254" s="564"/>
      <c r="BP254" s="564"/>
      <c r="BQ254" s="564"/>
      <c r="BR254" s="564"/>
      <c r="BS254" s="564"/>
      <c r="BT254" s="564"/>
      <c r="BU254" s="564"/>
      <c r="BV254" s="564"/>
      <c r="BW254" s="564"/>
      <c r="BX254" s="564"/>
      <c r="BY254" s="564"/>
      <c r="BZ254" s="564"/>
      <c r="CA254" s="564"/>
      <c r="CB254" s="564"/>
      <c r="CC254" s="564"/>
      <c r="CD254" s="564"/>
      <c r="CE254" s="564"/>
      <c r="CF254" s="564"/>
      <c r="CG254" s="564"/>
      <c r="CH254" s="564"/>
      <c r="CI254" s="564"/>
      <c r="CJ254" s="564"/>
      <c r="CK254" s="564"/>
      <c r="CL254" s="564"/>
      <c r="CM254" s="564"/>
      <c r="CN254" s="564"/>
      <c r="CO254" s="564"/>
      <c r="CP254" s="564"/>
      <c r="CQ254" s="564"/>
      <c r="CR254" s="564"/>
      <c r="CS254" s="564"/>
      <c r="CT254" s="564"/>
      <c r="CU254" s="564"/>
      <c r="CV254" s="564"/>
      <c r="CW254" s="564"/>
      <c r="CX254" s="564"/>
      <c r="CY254" s="564"/>
      <c r="CZ254" s="564"/>
      <c r="DA254" s="564"/>
      <c r="DB254" s="564"/>
      <c r="DC254" s="564"/>
      <c r="DD254" s="564"/>
      <c r="DE254" s="564"/>
      <c r="DF254" s="564"/>
      <c r="DG254" s="564"/>
      <c r="DH254" s="564"/>
      <c r="DI254" s="564"/>
      <c r="DJ254" s="564"/>
      <c r="DK254" s="564"/>
      <c r="DL254" s="564"/>
      <c r="DM254" s="564"/>
      <c r="DN254" s="564"/>
      <c r="DO254" s="564"/>
      <c r="DP254" s="564"/>
      <c r="DQ254" s="564"/>
      <c r="DR254" s="564"/>
      <c r="DS254" s="564"/>
      <c r="DT254" s="564"/>
      <c r="DU254" s="564"/>
      <c r="DV254" s="564"/>
      <c r="DW254" s="564"/>
    </row>
    <row r="255" spans="1:127" s="194" customFormat="1" x14ac:dyDescent="0.2">
      <c r="C255" s="641" t="e">
        <f>'B1. Target Population'!D144</f>
        <v>#N/A</v>
      </c>
      <c r="D255" s="641" t="e">
        <f>'B1. Target Population'!E144</f>
        <v>#N/A</v>
      </c>
      <c r="E255" s="641" t="e">
        <f>'B1. Target Population'!F144</f>
        <v>#N/A</v>
      </c>
      <c r="F255" s="641" t="e">
        <f>'B1. Target Population'!G144</f>
        <v>#N/A</v>
      </c>
      <c r="G255" s="641" t="e">
        <f>'B1. Target Population'!H144</f>
        <v>#N/A</v>
      </c>
      <c r="H255" s="641" t="e">
        <f>'B1. Target Population'!I144</f>
        <v>#N/A</v>
      </c>
      <c r="I255" s="641" t="e">
        <f>'B1. Target Population'!J144</f>
        <v>#N/A</v>
      </c>
      <c r="J255" s="640" t="s">
        <v>5161</v>
      </c>
      <c r="K255" s="85"/>
      <c r="L255" s="543"/>
      <c r="M255" s="459"/>
      <c r="O255" s="567"/>
      <c r="P255" s="564"/>
      <c r="Q255" s="564"/>
      <c r="R255" s="564"/>
      <c r="S255" s="564"/>
      <c r="T255" s="564"/>
      <c r="U255" s="564"/>
      <c r="V255" s="564"/>
      <c r="W255" s="564"/>
      <c r="X255" s="564"/>
      <c r="Y255" s="564"/>
      <c r="Z255" s="564"/>
      <c r="AA255" s="564"/>
      <c r="AB255" s="564"/>
      <c r="AC255" s="564"/>
      <c r="AD255" s="564"/>
      <c r="AE255" s="564"/>
      <c r="AF255" s="564"/>
      <c r="AG255" s="564"/>
      <c r="AH255" s="564"/>
      <c r="AI255" s="564"/>
      <c r="AJ255" s="564"/>
      <c r="AK255" s="564"/>
      <c r="AL255" s="564"/>
      <c r="AM255" s="564"/>
      <c r="AN255" s="564"/>
      <c r="AO255" s="564"/>
      <c r="AP255" s="564"/>
      <c r="AQ255" s="564"/>
      <c r="AR255" s="564"/>
      <c r="AS255" s="564"/>
      <c r="AT255" s="564"/>
      <c r="AU255" s="564"/>
      <c r="AV255" s="564"/>
      <c r="AW255" s="564"/>
      <c r="AX255" s="564"/>
      <c r="AY255" s="564"/>
      <c r="AZ255" s="564"/>
      <c r="BA255" s="564"/>
      <c r="BB255" s="564"/>
      <c r="BC255" s="564"/>
      <c r="BD255" s="564"/>
      <c r="BE255" s="564"/>
      <c r="BF255" s="564"/>
      <c r="BG255" s="564"/>
      <c r="BH255" s="564"/>
      <c r="BI255" s="564"/>
      <c r="BJ255" s="564"/>
      <c r="BK255" s="564"/>
      <c r="BL255" s="564"/>
      <c r="BM255" s="564"/>
      <c r="BN255" s="564"/>
      <c r="BO255" s="564"/>
      <c r="BP255" s="564"/>
      <c r="BQ255" s="564"/>
      <c r="BR255" s="564"/>
      <c r="BS255" s="564"/>
      <c r="BT255" s="564"/>
      <c r="BU255" s="564"/>
      <c r="BV255" s="564"/>
      <c r="BW255" s="564"/>
      <c r="BX255" s="564"/>
      <c r="BY255" s="564"/>
      <c r="BZ255" s="564"/>
      <c r="CA255" s="564"/>
      <c r="CB255" s="564"/>
      <c r="CC255" s="564"/>
      <c r="CD255" s="564"/>
      <c r="CE255" s="564"/>
      <c r="CF255" s="564"/>
      <c r="CG255" s="564"/>
      <c r="CH255" s="564"/>
      <c r="CI255" s="564"/>
      <c r="CJ255" s="564"/>
      <c r="CK255" s="564"/>
      <c r="CL255" s="564"/>
      <c r="CM255" s="564"/>
      <c r="CN255" s="564"/>
      <c r="CO255" s="564"/>
      <c r="CP255" s="564"/>
      <c r="CQ255" s="564"/>
      <c r="CR255" s="564"/>
      <c r="CS255" s="564"/>
      <c r="CT255" s="564"/>
      <c r="CU255" s="564"/>
      <c r="CV255" s="564"/>
      <c r="CW255" s="564"/>
      <c r="CX255" s="564"/>
      <c r="CY255" s="564"/>
      <c r="CZ255" s="564"/>
      <c r="DA255" s="564"/>
      <c r="DB255" s="564"/>
      <c r="DC255" s="564"/>
      <c r="DD255" s="564"/>
      <c r="DE255" s="564"/>
      <c r="DF255" s="564"/>
      <c r="DG255" s="564"/>
      <c r="DH255" s="564"/>
      <c r="DI255" s="564"/>
      <c r="DJ255" s="564"/>
      <c r="DK255" s="564"/>
      <c r="DL255" s="564"/>
      <c r="DM255" s="564"/>
      <c r="DN255" s="564"/>
      <c r="DO255" s="564"/>
      <c r="DP255" s="564"/>
      <c r="DQ255" s="564"/>
      <c r="DR255" s="564"/>
      <c r="DS255" s="564"/>
      <c r="DT255" s="564"/>
      <c r="DU255" s="564"/>
      <c r="DV255" s="564"/>
      <c r="DW255" s="564"/>
    </row>
    <row r="256" spans="1:127" s="567" customFormat="1" x14ac:dyDescent="0.2">
      <c r="C256" s="641" t="e">
        <f>'B1. Target Population'!D178</f>
        <v>#N/A</v>
      </c>
      <c r="D256" s="641" t="e">
        <f>'B1. Target Population'!E178</f>
        <v>#N/A</v>
      </c>
      <c r="E256" s="641" t="e">
        <f>'B1. Target Population'!F178</f>
        <v>#N/A</v>
      </c>
      <c r="F256" s="641" t="e">
        <f>'B1. Target Population'!G178</f>
        <v>#N/A</v>
      </c>
      <c r="G256" s="641" t="e">
        <f>'B1. Target Population'!H178</f>
        <v>#N/A</v>
      </c>
      <c r="H256" s="641" t="e">
        <f>'B1. Target Population'!I178</f>
        <v>#N/A</v>
      </c>
      <c r="I256" s="641"/>
      <c r="J256" s="640" t="s">
        <v>14153</v>
      </c>
      <c r="K256" s="85"/>
      <c r="P256" s="564"/>
      <c r="Q256" s="564"/>
      <c r="R256" s="564"/>
      <c r="S256" s="564"/>
      <c r="T256" s="564"/>
      <c r="U256" s="564"/>
      <c r="V256" s="564"/>
      <c r="W256" s="564"/>
      <c r="X256" s="564"/>
      <c r="Y256" s="564"/>
      <c r="Z256" s="564"/>
      <c r="AA256" s="564"/>
      <c r="AB256" s="564"/>
      <c r="AC256" s="564"/>
      <c r="AD256" s="564"/>
      <c r="AE256" s="564"/>
      <c r="AF256" s="564"/>
      <c r="AG256" s="564"/>
      <c r="AH256" s="564"/>
      <c r="AI256" s="564"/>
      <c r="AJ256" s="564"/>
      <c r="AK256" s="564"/>
      <c r="AL256" s="564"/>
      <c r="AM256" s="564"/>
      <c r="AN256" s="564"/>
      <c r="AO256" s="564"/>
      <c r="AP256" s="564"/>
      <c r="AQ256" s="564"/>
      <c r="AR256" s="564"/>
      <c r="AS256" s="564"/>
      <c r="AT256" s="564"/>
      <c r="AU256" s="564"/>
      <c r="AV256" s="564"/>
      <c r="AW256" s="564"/>
      <c r="AX256" s="564"/>
      <c r="AY256" s="564"/>
      <c r="AZ256" s="564"/>
      <c r="BA256" s="564"/>
      <c r="BB256" s="564"/>
      <c r="BC256" s="564"/>
      <c r="BD256" s="564"/>
      <c r="BE256" s="564"/>
      <c r="BF256" s="564"/>
      <c r="BG256" s="564"/>
      <c r="BH256" s="564"/>
      <c r="BI256" s="564"/>
      <c r="BJ256" s="564"/>
      <c r="BK256" s="564"/>
      <c r="BL256" s="564"/>
      <c r="BM256" s="564"/>
      <c r="BN256" s="564"/>
      <c r="BO256" s="564"/>
      <c r="BP256" s="564"/>
      <c r="BQ256" s="564"/>
      <c r="BR256" s="564"/>
      <c r="BS256" s="564"/>
      <c r="BT256" s="564"/>
      <c r="BU256" s="564"/>
      <c r="BV256" s="564"/>
      <c r="BW256" s="564"/>
      <c r="BX256" s="564"/>
      <c r="BY256" s="564"/>
      <c r="BZ256" s="564"/>
      <c r="CA256" s="564"/>
      <c r="CB256" s="564"/>
      <c r="CC256" s="564"/>
      <c r="CD256" s="564"/>
      <c r="CE256" s="564"/>
      <c r="CF256" s="564"/>
      <c r="CG256" s="564"/>
      <c r="CH256" s="564"/>
      <c r="CI256" s="564"/>
      <c r="CJ256" s="564"/>
      <c r="CK256" s="564"/>
      <c r="CL256" s="564"/>
      <c r="CM256" s="564"/>
      <c r="CN256" s="564"/>
      <c r="CO256" s="564"/>
      <c r="CP256" s="564"/>
      <c r="CQ256" s="564"/>
      <c r="CR256" s="564"/>
      <c r="CS256" s="564"/>
      <c r="CT256" s="564"/>
      <c r="CU256" s="564"/>
      <c r="CV256" s="564"/>
      <c r="CW256" s="564"/>
      <c r="CX256" s="564"/>
      <c r="CY256" s="564"/>
      <c r="CZ256" s="564"/>
      <c r="DA256" s="564"/>
      <c r="DB256" s="564"/>
      <c r="DC256" s="564"/>
      <c r="DD256" s="564"/>
      <c r="DE256" s="564"/>
      <c r="DF256" s="564"/>
      <c r="DG256" s="564"/>
      <c r="DH256" s="564"/>
      <c r="DI256" s="564"/>
      <c r="DJ256" s="564"/>
      <c r="DK256" s="564"/>
      <c r="DL256" s="564"/>
      <c r="DM256" s="564"/>
      <c r="DN256" s="564"/>
      <c r="DO256" s="564"/>
      <c r="DP256" s="564"/>
      <c r="DQ256" s="564"/>
      <c r="DR256" s="564"/>
      <c r="DS256" s="564"/>
      <c r="DT256" s="564"/>
      <c r="DU256" s="564"/>
      <c r="DV256" s="564"/>
      <c r="DW256" s="564"/>
    </row>
    <row r="257" spans="1:127" s="567" customFormat="1" x14ac:dyDescent="0.2">
      <c r="C257" s="641" t="e">
        <f>'B2. Vaccines and Supplies'!F95</f>
        <v>#N/A</v>
      </c>
      <c r="D257" s="641" t="e">
        <f>'B2. Vaccines and Supplies'!G95</f>
        <v>#N/A</v>
      </c>
      <c r="E257" s="641" t="e">
        <f>'B2. Vaccines and Supplies'!H95</f>
        <v>#N/A</v>
      </c>
      <c r="F257" s="641" t="e">
        <f>'B2. Vaccines and Supplies'!I95</f>
        <v>#N/A</v>
      </c>
      <c r="G257" s="641" t="e">
        <f>'B2. Vaccines and Supplies'!J95</f>
        <v>#N/A</v>
      </c>
      <c r="H257" s="641" t="e">
        <f>'B2. Vaccines and Supplies'!K95</f>
        <v>#N/A</v>
      </c>
      <c r="I257" s="641"/>
      <c r="J257" s="640" t="s">
        <v>14114</v>
      </c>
      <c r="K257" s="85"/>
      <c r="P257" s="564"/>
      <c r="Q257" s="564"/>
      <c r="R257" s="564"/>
      <c r="S257" s="564"/>
      <c r="T257" s="564"/>
      <c r="U257" s="564"/>
      <c r="V257" s="564"/>
      <c r="W257" s="564"/>
      <c r="X257" s="564"/>
      <c r="Y257" s="564"/>
      <c r="Z257" s="564"/>
      <c r="AA257" s="564"/>
      <c r="AB257" s="564"/>
      <c r="AC257" s="564"/>
      <c r="AD257" s="564"/>
      <c r="AE257" s="564"/>
      <c r="AF257" s="564"/>
      <c r="AG257" s="564"/>
      <c r="AH257" s="564"/>
      <c r="AI257" s="564"/>
      <c r="AJ257" s="564"/>
      <c r="AK257" s="564"/>
      <c r="AL257" s="564"/>
      <c r="AM257" s="564"/>
      <c r="AN257" s="564"/>
      <c r="AO257" s="564"/>
      <c r="AP257" s="564"/>
      <c r="AQ257" s="564"/>
      <c r="AR257" s="564"/>
      <c r="AS257" s="564"/>
      <c r="AT257" s="564"/>
      <c r="AU257" s="564"/>
      <c r="AV257" s="564"/>
      <c r="AW257" s="564"/>
      <c r="AX257" s="564"/>
      <c r="AY257" s="564"/>
      <c r="AZ257" s="564"/>
      <c r="BA257" s="564"/>
      <c r="BB257" s="564"/>
      <c r="BC257" s="564"/>
      <c r="BD257" s="564"/>
      <c r="BE257" s="564"/>
      <c r="BF257" s="564"/>
      <c r="BG257" s="564"/>
      <c r="BH257" s="564"/>
      <c r="BI257" s="564"/>
      <c r="BJ257" s="564"/>
      <c r="BK257" s="564"/>
      <c r="BL257" s="564"/>
      <c r="BM257" s="564"/>
      <c r="BN257" s="564"/>
      <c r="BO257" s="564"/>
      <c r="BP257" s="564"/>
      <c r="BQ257" s="564"/>
      <c r="BR257" s="564"/>
      <c r="BS257" s="564"/>
      <c r="BT257" s="564"/>
      <c r="BU257" s="564"/>
      <c r="BV257" s="564"/>
      <c r="BW257" s="564"/>
      <c r="BX257" s="564"/>
      <c r="BY257" s="564"/>
      <c r="BZ257" s="564"/>
      <c r="CA257" s="564"/>
      <c r="CB257" s="564"/>
      <c r="CC257" s="564"/>
      <c r="CD257" s="564"/>
      <c r="CE257" s="564"/>
      <c r="CF257" s="564"/>
      <c r="CG257" s="564"/>
      <c r="CH257" s="564"/>
      <c r="CI257" s="564"/>
      <c r="CJ257" s="564"/>
      <c r="CK257" s="564"/>
      <c r="CL257" s="564"/>
      <c r="CM257" s="564"/>
      <c r="CN257" s="564"/>
      <c r="CO257" s="564"/>
      <c r="CP257" s="564"/>
      <c r="CQ257" s="564"/>
      <c r="CR257" s="564"/>
      <c r="CS257" s="564"/>
      <c r="CT257" s="564"/>
      <c r="CU257" s="564"/>
      <c r="CV257" s="564"/>
      <c r="CW257" s="564"/>
      <c r="CX257" s="564"/>
      <c r="CY257" s="564"/>
      <c r="CZ257" s="564"/>
      <c r="DA257" s="564"/>
      <c r="DB257" s="564"/>
      <c r="DC257" s="564"/>
      <c r="DD257" s="564"/>
      <c r="DE257" s="564"/>
      <c r="DF257" s="564"/>
      <c r="DG257" s="564"/>
      <c r="DH257" s="564"/>
      <c r="DI257" s="564"/>
      <c r="DJ257" s="564"/>
      <c r="DK257" s="564"/>
      <c r="DL257" s="564"/>
      <c r="DM257" s="564"/>
      <c r="DN257" s="564"/>
      <c r="DO257" s="564"/>
      <c r="DP257" s="564"/>
      <c r="DQ257" s="564"/>
      <c r="DR257" s="564"/>
      <c r="DS257" s="564"/>
      <c r="DT257" s="564"/>
      <c r="DU257" s="564"/>
      <c r="DV257" s="564"/>
      <c r="DW257" s="564"/>
    </row>
    <row r="258" spans="1:127" s="194" customFormat="1" x14ac:dyDescent="0.2">
      <c r="C258" s="85"/>
      <c r="D258" s="85"/>
      <c r="E258" s="85"/>
      <c r="F258" s="85"/>
      <c r="G258" s="85"/>
      <c r="H258" s="85"/>
      <c r="I258" s="85"/>
      <c r="J258" s="640" t="s">
        <v>5162</v>
      </c>
      <c r="K258" s="642" t="str">
        <f>CVIC_Version</f>
        <v>2.31 Special Version for Custom Territories</v>
      </c>
      <c r="L258" s="272"/>
      <c r="M258" s="459"/>
      <c r="O258" s="567"/>
      <c r="P258" s="564"/>
      <c r="Q258" s="564"/>
      <c r="R258" s="564"/>
      <c r="S258" s="564"/>
      <c r="T258" s="564"/>
      <c r="U258" s="564"/>
      <c r="V258" s="564"/>
      <c r="W258" s="564"/>
      <c r="X258" s="564"/>
      <c r="Y258" s="564"/>
      <c r="Z258" s="564"/>
      <c r="AA258" s="564"/>
      <c r="AB258" s="564"/>
      <c r="AC258" s="564"/>
      <c r="AD258" s="564"/>
      <c r="AE258" s="564"/>
      <c r="AF258" s="564"/>
      <c r="AG258" s="564"/>
      <c r="AH258" s="564"/>
      <c r="AI258" s="564"/>
      <c r="AJ258" s="564"/>
      <c r="AK258" s="564"/>
      <c r="AL258" s="564"/>
      <c r="AM258" s="564"/>
      <c r="AN258" s="564"/>
      <c r="AO258" s="564"/>
      <c r="AP258" s="564"/>
      <c r="AQ258" s="564"/>
      <c r="AR258" s="564"/>
      <c r="AS258" s="564"/>
      <c r="AT258" s="564"/>
      <c r="AU258" s="564"/>
      <c r="AV258" s="564"/>
      <c r="AW258" s="564"/>
      <c r="AX258" s="564"/>
      <c r="AY258" s="564"/>
      <c r="AZ258" s="564"/>
      <c r="BA258" s="564"/>
      <c r="BB258" s="564"/>
      <c r="BC258" s="564"/>
      <c r="BD258" s="564"/>
      <c r="BE258" s="564"/>
      <c r="BF258" s="564"/>
      <c r="BG258" s="564"/>
      <c r="BH258" s="564"/>
      <c r="BI258" s="564"/>
      <c r="BJ258" s="564"/>
      <c r="BK258" s="564"/>
      <c r="BL258" s="564"/>
      <c r="BM258" s="564"/>
      <c r="BN258" s="564"/>
      <c r="BO258" s="564"/>
      <c r="BP258" s="564"/>
      <c r="BQ258" s="564"/>
      <c r="BR258" s="564"/>
      <c r="BS258" s="564"/>
      <c r="BT258" s="564"/>
      <c r="BU258" s="564"/>
      <c r="BV258" s="564"/>
      <c r="BW258" s="564"/>
      <c r="BX258" s="564"/>
      <c r="BY258" s="564"/>
      <c r="BZ258" s="564"/>
      <c r="CA258" s="564"/>
      <c r="CB258" s="564"/>
      <c r="CC258" s="564"/>
      <c r="CD258" s="564"/>
      <c r="CE258" s="564"/>
      <c r="CF258" s="564"/>
      <c r="CG258" s="564"/>
      <c r="CH258" s="564"/>
      <c r="CI258" s="564"/>
      <c r="CJ258" s="564"/>
      <c r="CK258" s="564"/>
      <c r="CL258" s="564"/>
      <c r="CM258" s="564"/>
      <c r="CN258" s="564"/>
      <c r="CO258" s="564"/>
      <c r="CP258" s="564"/>
      <c r="CQ258" s="564"/>
      <c r="CR258" s="564"/>
      <c r="CS258" s="564"/>
      <c r="CT258" s="564"/>
      <c r="CU258" s="564"/>
      <c r="CV258" s="564"/>
      <c r="CW258" s="564"/>
      <c r="CX258" s="564"/>
      <c r="CY258" s="564"/>
      <c r="CZ258" s="564"/>
      <c r="DA258" s="564"/>
      <c r="DB258" s="564"/>
      <c r="DC258" s="564"/>
      <c r="DD258" s="564"/>
      <c r="DE258" s="564"/>
      <c r="DF258" s="564"/>
      <c r="DG258" s="564"/>
      <c r="DH258" s="564"/>
      <c r="DI258" s="564"/>
      <c r="DJ258" s="564"/>
      <c r="DK258" s="564"/>
      <c r="DL258" s="564"/>
      <c r="DM258" s="564"/>
      <c r="DN258" s="564"/>
      <c r="DO258" s="564"/>
      <c r="DP258" s="564"/>
      <c r="DQ258" s="564"/>
      <c r="DR258" s="564"/>
      <c r="DS258" s="564"/>
      <c r="DT258" s="564"/>
      <c r="DU258" s="564"/>
      <c r="DV258" s="564"/>
      <c r="DW258" s="564"/>
    </row>
    <row r="259" spans="1:127" x14ac:dyDescent="0.2">
      <c r="C259" s="85"/>
      <c r="D259" s="85"/>
      <c r="E259" s="85"/>
      <c r="F259" s="85"/>
      <c r="G259" s="85"/>
      <c r="H259" s="85"/>
      <c r="I259" s="85"/>
      <c r="J259" s="640" t="s">
        <v>5163</v>
      </c>
      <c r="K259" s="642" t="str">
        <f>Language</f>
        <v>English</v>
      </c>
    </row>
    <row r="260" spans="1:127" x14ac:dyDescent="0.2">
      <c r="C260" s="85"/>
      <c r="D260" s="85"/>
      <c r="E260" s="85"/>
      <c r="F260" s="85"/>
      <c r="G260" s="85"/>
      <c r="H260" s="85"/>
      <c r="I260" s="85"/>
      <c r="J260" s="640" t="s">
        <v>5164</v>
      </c>
      <c r="K260" s="642" t="str">
        <f>Country_Code</f>
        <v>CUS</v>
      </c>
    </row>
    <row r="261" spans="1:127" x14ac:dyDescent="0.2">
      <c r="C261" s="85"/>
      <c r="D261" s="85"/>
      <c r="E261" s="85"/>
      <c r="F261" s="85"/>
      <c r="G261" s="85"/>
      <c r="H261" s="85"/>
      <c r="I261" s="85"/>
      <c r="J261" s="640" t="s">
        <v>5165</v>
      </c>
      <c r="K261" s="642">
        <f>LCU</f>
        <v>0</v>
      </c>
    </row>
    <row r="262" spans="1:127" x14ac:dyDescent="0.2">
      <c r="C262" s="85"/>
      <c r="D262" s="85"/>
      <c r="E262" s="85"/>
      <c r="F262" s="85"/>
      <c r="G262" s="85"/>
      <c r="H262" s="85"/>
      <c r="I262" s="85"/>
      <c r="J262" s="640" t="s">
        <v>5166</v>
      </c>
      <c r="K262" s="642" t="str">
        <f>Lang_VaccineDatabaseLastUpdate</f>
        <v>18 February 2022 [u]</v>
      </c>
    </row>
    <row r="263" spans="1:127" x14ac:dyDescent="0.2">
      <c r="C263" s="85"/>
      <c r="D263" s="85"/>
      <c r="E263" s="85"/>
      <c r="F263" s="85"/>
      <c r="G263" s="85"/>
      <c r="H263" s="85"/>
      <c r="I263" s="85"/>
      <c r="J263" s="640" t="s">
        <v>5167</v>
      </c>
      <c r="K263" s="642" t="str">
        <f>TEXT('T6a. FOREX (XML)'!D2,"yyyy-mm-dd")</f>
        <v>2022-03-28</v>
      </c>
    </row>
    <row r="264" spans="1:127" x14ac:dyDescent="0.2">
      <c r="A264" s="684" t="str">
        <f>WHO_Copyright</f>
        <v>© World Health Organization and the United Nations Children’s Fund (UNICEF), 2022. Some rights reserved. This work is available under the CC BY-NC-SA 3.0 IGO licence.</v>
      </c>
      <c r="B264" s="684"/>
      <c r="C264" s="684"/>
      <c r="D264" s="684"/>
      <c r="E264" s="684"/>
      <c r="F264" s="684"/>
      <c r="G264" s="684"/>
      <c r="H264" s="684"/>
      <c r="I264" s="684"/>
      <c r="J264" s="684"/>
      <c r="K264" s="684"/>
      <c r="L264" s="684"/>
      <c r="M264" s="684"/>
    </row>
    <row r="265" spans="1:127" x14ac:dyDescent="0.2">
      <c r="A265" s="671" t="str">
        <f>WHO_Reference</f>
        <v>WHO reference number: WHO/2019-nCoV/Vaccine_deployment_tool/2022.1</v>
      </c>
      <c r="B265" s="671"/>
      <c r="C265" s="671"/>
      <c r="D265" s="671"/>
      <c r="E265" s="671"/>
      <c r="F265" s="671"/>
      <c r="G265" s="671"/>
      <c r="H265" s="671"/>
      <c r="I265" s="671"/>
      <c r="J265" s="671"/>
      <c r="K265" s="671"/>
      <c r="L265" s="671"/>
      <c r="M265" s="671"/>
    </row>
    <row r="266" spans="1:127" x14ac:dyDescent="0.2">
      <c r="C266" s="85"/>
      <c r="D266" s="85"/>
      <c r="E266" s="85"/>
      <c r="F266" s="85"/>
      <c r="G266" s="85"/>
      <c r="H266" s="85"/>
      <c r="I266" s="85"/>
      <c r="J266" s="640" t="s">
        <v>5168</v>
      </c>
      <c r="K266" s="643">
        <f ca="1">COUNTIF('A3. INPUT Unit Costs'!G:G,Lang_CHECK)</f>
        <v>20</v>
      </c>
    </row>
    <row r="267" spans="1:127" x14ac:dyDescent="0.2">
      <c r="C267" s="85"/>
      <c r="D267" s="85"/>
      <c r="E267" s="85"/>
      <c r="F267" s="85"/>
      <c r="G267" s="85"/>
      <c r="H267" s="85"/>
      <c r="I267" s="85"/>
      <c r="J267" s="640" t="s">
        <v>5169</v>
      </c>
      <c r="K267" s="643">
        <f>COUNTIF('B1. Target Population'!N:N,Lang_CHECK)</f>
        <v>1</v>
      </c>
    </row>
    <row r="268" spans="1:127" x14ac:dyDescent="0.2">
      <c r="C268" s="85"/>
      <c r="D268" s="85"/>
      <c r="E268" s="85"/>
      <c r="F268" s="85"/>
      <c r="G268" s="85"/>
      <c r="H268" s="85"/>
      <c r="I268" s="85"/>
      <c r="J268" s="640" t="s">
        <v>5170</v>
      </c>
      <c r="K268" s="643">
        <f>6-COUNTIF('B1. Target Population'!D87:I87,"=OK")</f>
        <v>6</v>
      </c>
    </row>
    <row r="269" spans="1:127" x14ac:dyDescent="0.2">
      <c r="C269" s="85"/>
      <c r="D269" s="85"/>
      <c r="E269" s="85"/>
      <c r="F269" s="85"/>
      <c r="G269" s="85"/>
      <c r="H269" s="85"/>
      <c r="I269" s="85"/>
      <c r="J269" s="640" t="s">
        <v>5171</v>
      </c>
      <c r="K269" s="643">
        <f>COUNTIF('B4. Domestic Logistics'!P197:P199,Lang_CHECK)</f>
        <v>0</v>
      </c>
    </row>
    <row r="270" spans="1:127" x14ac:dyDescent="0.2">
      <c r="C270" s="85"/>
      <c r="D270" s="85"/>
      <c r="E270" s="85"/>
      <c r="F270" s="85"/>
      <c r="G270" s="85"/>
      <c r="H270" s="85"/>
      <c r="I270" s="85"/>
      <c r="J270" s="640" t="s">
        <v>14115</v>
      </c>
      <c r="K270" s="644" t="e">
        <f>_xlfn.NUMBERVALUE('B1. Target Population'!J178)</f>
        <v>#N/A</v>
      </c>
    </row>
    <row r="271" spans="1:127" x14ac:dyDescent="0.2">
      <c r="C271" s="85"/>
      <c r="D271" s="85"/>
      <c r="E271" s="85"/>
      <c r="F271" s="85"/>
      <c r="G271" s="85"/>
      <c r="H271" s="85"/>
      <c r="I271" s="85"/>
      <c r="J271" s="640" t="s">
        <v>5172</v>
      </c>
      <c r="K271" s="644" t="e">
        <f>_xlfn.NUMBERVALUE('B2. Vaccines and Supplies'!L95)</f>
        <v>#N/A</v>
      </c>
    </row>
    <row r="272" spans="1:127" s="567" customFormat="1" x14ac:dyDescent="0.2">
      <c r="C272" s="85"/>
      <c r="D272" s="85"/>
      <c r="E272" s="85"/>
      <c r="F272" s="85"/>
      <c r="G272" s="85"/>
      <c r="H272" s="85"/>
      <c r="I272" s="85"/>
      <c r="J272" s="640" t="s">
        <v>14082</v>
      </c>
      <c r="K272" s="644" t="str">
        <f ca="1">INFO("RELEASE")</f>
        <v>16.0</v>
      </c>
      <c r="P272" s="564"/>
      <c r="Q272" s="564"/>
      <c r="R272" s="564"/>
      <c r="S272" s="564"/>
      <c r="T272" s="564"/>
      <c r="U272" s="564"/>
      <c r="V272" s="564"/>
      <c r="W272" s="564"/>
      <c r="X272" s="564"/>
      <c r="Y272" s="564"/>
      <c r="Z272" s="564"/>
      <c r="AA272" s="564"/>
      <c r="AB272" s="564"/>
      <c r="AC272" s="564"/>
      <c r="AD272" s="564"/>
      <c r="AE272" s="564"/>
      <c r="AF272" s="564"/>
      <c r="AG272" s="564"/>
      <c r="AH272" s="564"/>
      <c r="AI272" s="564"/>
      <c r="AJ272" s="564"/>
      <c r="AK272" s="564"/>
      <c r="AL272" s="564"/>
      <c r="AM272" s="564"/>
      <c r="AN272" s="564"/>
      <c r="AO272" s="564"/>
      <c r="AP272" s="564"/>
      <c r="AQ272" s="564"/>
      <c r="AR272" s="564"/>
      <c r="AS272" s="564"/>
      <c r="AT272" s="564"/>
      <c r="AU272" s="564"/>
      <c r="AV272" s="564"/>
      <c r="AW272" s="564"/>
      <c r="AX272" s="564"/>
      <c r="AY272" s="564"/>
      <c r="AZ272" s="564"/>
      <c r="BA272" s="564"/>
      <c r="BB272" s="564"/>
      <c r="BC272" s="564"/>
      <c r="BD272" s="564"/>
      <c r="BE272" s="564"/>
      <c r="BF272" s="564"/>
      <c r="BG272" s="564"/>
      <c r="BH272" s="564"/>
      <c r="BI272" s="564"/>
      <c r="BJ272" s="564"/>
      <c r="BK272" s="564"/>
      <c r="BL272" s="564"/>
      <c r="BM272" s="564"/>
      <c r="BN272" s="564"/>
      <c r="BO272" s="564"/>
      <c r="BP272" s="564"/>
      <c r="BQ272" s="564"/>
      <c r="BR272" s="564"/>
      <c r="BS272" s="564"/>
      <c r="BT272" s="564"/>
      <c r="BU272" s="564"/>
      <c r="BV272" s="564"/>
      <c r="BW272" s="564"/>
      <c r="BX272" s="564"/>
      <c r="BY272" s="564"/>
      <c r="BZ272" s="564"/>
      <c r="CA272" s="564"/>
      <c r="CB272" s="564"/>
      <c r="CC272" s="564"/>
      <c r="CD272" s="564"/>
      <c r="CE272" s="564"/>
      <c r="CF272" s="564"/>
      <c r="CG272" s="564"/>
      <c r="CH272" s="564"/>
      <c r="CI272" s="564"/>
      <c r="CJ272" s="564"/>
      <c r="CK272" s="564"/>
      <c r="CL272" s="564"/>
      <c r="CM272" s="564"/>
      <c r="CN272" s="564"/>
      <c r="CO272" s="564"/>
      <c r="CP272" s="564"/>
      <c r="CQ272" s="564"/>
      <c r="CR272" s="564"/>
      <c r="CS272" s="564"/>
      <c r="CT272" s="564"/>
      <c r="CU272" s="564"/>
      <c r="CV272" s="564"/>
      <c r="CW272" s="564"/>
      <c r="CX272" s="564"/>
      <c r="CY272" s="564"/>
      <c r="CZ272" s="564"/>
      <c r="DA272" s="564"/>
      <c r="DB272" s="564"/>
      <c r="DC272" s="564"/>
      <c r="DD272" s="564"/>
      <c r="DE272" s="564"/>
      <c r="DF272" s="564"/>
      <c r="DG272" s="564"/>
      <c r="DH272" s="564"/>
      <c r="DI272" s="564"/>
      <c r="DJ272" s="564"/>
      <c r="DK272" s="564"/>
      <c r="DL272" s="564"/>
      <c r="DM272" s="564"/>
      <c r="DN272" s="564"/>
      <c r="DO272" s="564"/>
      <c r="DP272" s="564"/>
      <c r="DQ272" s="564"/>
      <c r="DR272" s="564"/>
      <c r="DS272" s="564"/>
      <c r="DT272" s="564"/>
      <c r="DU272" s="564"/>
      <c r="DV272" s="564"/>
      <c r="DW272" s="564"/>
    </row>
    <row r="273" spans="3:11" x14ac:dyDescent="0.2">
      <c r="C273" s="85"/>
      <c r="D273" s="85"/>
      <c r="E273" s="85"/>
      <c r="F273" s="85"/>
      <c r="G273" s="85"/>
      <c r="H273" s="85"/>
      <c r="I273" s="85"/>
      <c r="J273" s="640" t="s">
        <v>5173</v>
      </c>
      <c r="K273" s="85"/>
    </row>
    <row r="274" spans="3:11" x14ac:dyDescent="0.2">
      <c r="C274" s="85"/>
      <c r="D274" s="85"/>
      <c r="E274" s="85"/>
      <c r="F274" s="85"/>
      <c r="G274" s="85"/>
      <c r="H274" s="85"/>
      <c r="I274" s="85"/>
      <c r="J274" s="640"/>
      <c r="K274" s="85"/>
    </row>
    <row r="275" spans="3:11" x14ac:dyDescent="0.2">
      <c r="C275" s="85"/>
      <c r="D275" s="85"/>
      <c r="E275" s="85"/>
      <c r="F275" s="85"/>
      <c r="G275" s="85"/>
      <c r="H275" s="85"/>
      <c r="I275" s="85"/>
      <c r="J275" s="640"/>
      <c r="K275" s="85"/>
    </row>
    <row r="276" spans="3:11" x14ac:dyDescent="0.2">
      <c r="C276" s="85"/>
      <c r="D276" s="85"/>
      <c r="E276" s="85"/>
      <c r="F276" s="85"/>
      <c r="G276" s="85"/>
      <c r="H276" s="85"/>
      <c r="I276" s="85"/>
      <c r="J276" s="640"/>
      <c r="K276" s="85"/>
    </row>
    <row r="277" spans="3:11" x14ac:dyDescent="0.2">
      <c r="J277" s="563"/>
      <c r="K277" s="559"/>
    </row>
    <row r="278" spans="3:11" x14ac:dyDescent="0.2">
      <c r="J278" s="563"/>
      <c r="K278" s="559"/>
    </row>
    <row r="315" spans="3:13" x14ac:dyDescent="0.2">
      <c r="C315" s="104"/>
      <c r="K315" s="15"/>
      <c r="L315" s="15"/>
      <c r="M315" s="15"/>
    </row>
    <row r="316" spans="3:13" x14ac:dyDescent="0.2">
      <c r="C316" s="104"/>
      <c r="K316" s="15"/>
      <c r="L316" s="15"/>
      <c r="M316" s="15"/>
    </row>
    <row r="317" spans="3:13" x14ac:dyDescent="0.2">
      <c r="C317" s="104"/>
      <c r="K317" s="15"/>
      <c r="L317" s="15"/>
      <c r="M317" s="15"/>
    </row>
    <row r="318" spans="3:13" x14ac:dyDescent="0.2">
      <c r="C318" s="104"/>
      <c r="K318" s="15"/>
      <c r="L318" s="15"/>
      <c r="M318" s="15"/>
    </row>
    <row r="407" spans="1:127" s="8" customFormat="1" ht="15" x14ac:dyDescent="0.25">
      <c r="A407" s="8" t="s">
        <v>1712</v>
      </c>
      <c r="P407" s="564"/>
      <c r="Q407" s="564"/>
      <c r="R407" s="564"/>
      <c r="S407" s="564"/>
      <c r="T407" s="564"/>
      <c r="U407" s="564"/>
      <c r="V407" s="564"/>
      <c r="W407" s="564"/>
      <c r="X407" s="564"/>
      <c r="Y407" s="564"/>
      <c r="Z407" s="564"/>
      <c r="AA407" s="564"/>
      <c r="AB407" s="564"/>
      <c r="AC407" s="564"/>
      <c r="AD407" s="564"/>
      <c r="AE407" s="564"/>
      <c r="AF407" s="564"/>
      <c r="AG407" s="564"/>
      <c r="AH407" s="564"/>
      <c r="AI407" s="564"/>
      <c r="AJ407" s="564"/>
      <c r="AK407" s="564"/>
      <c r="AL407" s="564"/>
      <c r="AM407" s="564"/>
      <c r="AN407" s="564"/>
      <c r="AO407" s="564"/>
      <c r="AP407" s="564"/>
      <c r="AQ407" s="564"/>
      <c r="AR407" s="564"/>
      <c r="AS407" s="564"/>
      <c r="AT407" s="564"/>
      <c r="AU407" s="564"/>
      <c r="AV407" s="564"/>
      <c r="AW407" s="564"/>
      <c r="AX407" s="564"/>
      <c r="AY407" s="564"/>
      <c r="AZ407" s="564"/>
      <c r="BA407" s="564"/>
      <c r="BB407" s="564"/>
      <c r="BC407" s="564"/>
      <c r="BD407" s="564"/>
      <c r="BE407" s="564"/>
      <c r="BF407" s="564"/>
      <c r="BG407" s="564"/>
      <c r="BH407" s="564"/>
      <c r="BI407" s="564"/>
      <c r="BJ407" s="564"/>
      <c r="BK407" s="564"/>
      <c r="BL407" s="564"/>
      <c r="BM407" s="564"/>
      <c r="BN407" s="564"/>
      <c r="BO407" s="564"/>
      <c r="BP407" s="564"/>
      <c r="BQ407" s="564"/>
      <c r="BR407" s="564"/>
      <c r="BS407" s="564"/>
      <c r="BT407" s="564"/>
      <c r="BU407" s="564"/>
      <c r="BV407" s="564"/>
      <c r="BW407" s="564"/>
      <c r="BX407" s="564"/>
      <c r="BY407" s="564"/>
      <c r="BZ407" s="564"/>
      <c r="CA407" s="564"/>
      <c r="CB407" s="564"/>
      <c r="CC407" s="564"/>
      <c r="CD407" s="564"/>
      <c r="CE407" s="564"/>
      <c r="CF407" s="564"/>
      <c r="CG407" s="564"/>
      <c r="CH407" s="564"/>
      <c r="CI407" s="564"/>
      <c r="CJ407" s="564"/>
      <c r="CK407" s="564"/>
      <c r="CL407" s="564"/>
      <c r="CM407" s="564"/>
      <c r="CN407" s="564"/>
      <c r="CO407" s="564"/>
      <c r="CP407" s="564"/>
      <c r="CQ407" s="564"/>
      <c r="CR407" s="564"/>
      <c r="CS407" s="564"/>
      <c r="CT407" s="564"/>
      <c r="CU407" s="564"/>
      <c r="CV407" s="564"/>
      <c r="CW407" s="564"/>
      <c r="CX407" s="564"/>
      <c r="CY407" s="564"/>
      <c r="CZ407" s="564"/>
      <c r="DA407" s="564"/>
      <c r="DB407" s="564"/>
      <c r="DC407" s="564"/>
      <c r="DD407" s="564"/>
      <c r="DE407" s="564"/>
      <c r="DF407" s="564"/>
      <c r="DG407" s="564"/>
      <c r="DH407" s="564"/>
      <c r="DI407" s="564"/>
      <c r="DJ407" s="564"/>
      <c r="DK407" s="564"/>
      <c r="DL407" s="564"/>
      <c r="DM407" s="564"/>
      <c r="DN407" s="564"/>
      <c r="DO407" s="564"/>
      <c r="DP407" s="564"/>
      <c r="DQ407" s="564"/>
      <c r="DR407" s="564"/>
      <c r="DS407" s="564"/>
      <c r="DT407" s="564"/>
      <c r="DU407" s="564"/>
      <c r="DV407" s="564"/>
      <c r="DW407" s="564"/>
    </row>
  </sheetData>
  <sheetProtection algorithmName="SHA-512" hashValue="s9xhDxUCCZUa4tC/hJKCqxIleRezP7Eo+fTuINxCb/age0aPDPUpwIMNvbW1D9ij+46P2WIsYyfDbJ1mNsNYJA==" saltValue="kp8xcB/DY6bLPg4vY7sjhw==" spinCount="100000" sheet="1" objects="1" scenarios="1"/>
  <mergeCells count="5">
    <mergeCell ref="K73:L73"/>
    <mergeCell ref="B8:J8"/>
    <mergeCell ref="B30:J30"/>
    <mergeCell ref="A264:M264"/>
    <mergeCell ref="A265:M265"/>
  </mergeCells>
  <conditionalFormatting sqref="N2:O2">
    <cfRule type="containsText" dxfId="171" priority="2" operator="containsText" text="Logic checks passed">
      <formula>NOT(ISERROR(SEARCH("Logic checks passed",N2)))</formula>
    </cfRule>
  </conditionalFormatting>
  <conditionalFormatting sqref="C65:G71">
    <cfRule type="dataBar" priority="253">
      <dataBar>
        <cfvo type="min"/>
        <cfvo type="max"/>
        <color rgb="FF008DC9"/>
      </dataBar>
      <extLst>
        <ext xmlns:x14="http://schemas.microsoft.com/office/spreadsheetml/2009/9/main" uri="{B025F937-C7B1-47D3-B67F-A62EFF666E3E}">
          <x14:id>{21871016-2E18-4DB0-802F-D7CBF94AEAC0}</x14:id>
        </ext>
      </extLst>
    </cfRule>
  </conditionalFormatting>
  <conditionalFormatting sqref="C97:H97">
    <cfRule type="cellIs" dxfId="170" priority="1" operator="equal">
      <formula>"OK"</formula>
    </cfRule>
  </conditionalFormatting>
  <dataValidations count="4">
    <dataValidation type="list" allowBlank="1" showInputMessage="1" showErrorMessage="1" sqref="K155 K144 K173 K243:L243 K131 M254:M257 K165 K161 K137 K217 K254:L254 K100 K213 K194 K80:K86 K185 K148 K237:L237 K125 K232 K201 K209 K107:K116 K226 K222 K247" xr:uid="{5B79961D-7AB1-431D-B51A-2B0630A22C80}">
      <formula1>$B$10:$B$23</formula1>
    </dataValidation>
    <dataValidation type="list" allowBlank="1" showInputMessage="1" showErrorMessage="1" sqref="L100 L155 L194 L243 L201 L161 L173 L148 L185 L209 L125 L131 L222 L80:L86 L226 L165 L237 L144 L232 L217 L213 L137 L107:L116 L247" xr:uid="{E986E2CB-C879-4A90-AF36-C1FA9B9A31EB}">
      <formula1>$B$32:$B$41</formula1>
    </dataValidation>
    <dataValidation type="decimal" operator="greaterThan" allowBlank="1" showInputMessage="1" showErrorMessage="1" sqref="C46:C55" xr:uid="{4E6E86FE-AA1D-4F83-AF89-BA290DD1D0BD}">
      <formula1>0</formula1>
    </dataValidation>
    <dataValidation type="decimal" allowBlank="1" showInputMessage="1" showErrorMessage="1" sqref="C78:H79 C239:H239 C249:H250 C245:H245 C234:H234 C228:H228 C224:H224 C219:H219 C215:H215 C211:H211 C203:H203 C196:H196 C187:H187 C175:H175 C167:H167 C163:H163 C157:H157 C150:H150 C146:H146 C139:H139 C133:H133 C127:H127 C119:H119 C103:H103" xr:uid="{FEB952B3-4717-4504-B8D6-45E72AFE8728}">
      <formula1>0</formula1>
      <formula2>999999999999</formula2>
    </dataValidation>
  </dataValidations>
  <pageMargins left="0.7" right="0.7" top="0.75" bottom="0.75" header="0.3" footer="0.3"/>
  <pageSetup paperSize="9" orientation="portrait" r:id="rId1"/>
  <ignoredErrors>
    <ignoredError sqref="B242 B136" formula="1"/>
  </ignoredErrors>
  <drawing r:id="rId2"/>
  <extLst>
    <ext xmlns:x14="http://schemas.microsoft.com/office/spreadsheetml/2009/9/main" uri="{78C0D931-6437-407d-A8EE-F0AAD7539E65}">
      <x14:conditionalFormattings>
        <x14:conditionalFormatting xmlns:xm="http://schemas.microsoft.com/office/excel/2006/main">
          <x14:cfRule type="dataBar" id="{21871016-2E18-4DB0-802F-D7CBF94AEAC0}">
            <x14:dataBar minLength="0" maxLength="100" gradient="0">
              <x14:cfvo type="autoMin"/>
              <x14:cfvo type="autoMax"/>
              <x14:negativeFillColor rgb="FFFF0000"/>
              <x14:axisColor rgb="FF000000"/>
            </x14:dataBar>
          </x14:cfRule>
          <xm:sqref>C65:G71</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2521D-7071-4430-8B4D-A05A4D9030E6}">
  <sheetPr codeName="Sheet5">
    <tabColor rgb="FF7030A0"/>
  </sheetPr>
  <dimension ref="A1:AP22"/>
  <sheetViews>
    <sheetView workbookViewId="0"/>
  </sheetViews>
  <sheetFormatPr defaultRowHeight="12.75" x14ac:dyDescent="0.2"/>
  <cols>
    <col min="1" max="1" width="19.28515625" customWidth="1"/>
    <col min="2" max="2" width="12.28515625" customWidth="1"/>
    <col min="3" max="3" width="5.42578125" style="299" customWidth="1"/>
    <col min="4" max="4" width="5.42578125" customWidth="1"/>
    <col min="5" max="9" width="9.140625" customWidth="1"/>
    <col min="10" max="14" width="9.140625" style="299" customWidth="1"/>
    <col min="15" max="16" width="9.140625" customWidth="1"/>
    <col min="17" max="21" width="9.140625" style="299" customWidth="1"/>
    <col min="22" max="22" width="9.140625" customWidth="1"/>
    <col min="23" max="29" width="9.140625" style="299" customWidth="1"/>
    <col min="30" max="31" width="9.140625" customWidth="1"/>
    <col min="34" max="35" width="9.140625" style="299"/>
  </cols>
  <sheetData>
    <row r="1" spans="1:42" s="225" customFormat="1" ht="18.75" x14ac:dyDescent="0.2">
      <c r="A1" s="225" t="s">
        <v>3031</v>
      </c>
    </row>
    <row r="2" spans="1:42" s="299" customFormat="1" x14ac:dyDescent="0.2">
      <c r="A2" s="3" t="str">
        <f>VLOOKUP(Language,Language_Parameters[],COLUMN(A2),FALSE)</f>
        <v>English</v>
      </c>
      <c r="B2" s="3" t="str">
        <f>VLOOKUP(Language,Language_Parameters[],COLUMN(B2),FALSE)</f>
        <v>English</v>
      </c>
      <c r="C2" s="3" t="str">
        <f>VLOOKUP(Language,Language_Parameters[],COLUMN(C2),FALSE)</f>
        <v>EN</v>
      </c>
      <c r="D2" s="3">
        <f>VLOOKUP(Language,Language_Parameters[],COLUMN(D2),FALSE)</f>
        <v>0</v>
      </c>
      <c r="E2" s="3" t="str">
        <f>VLOOKUP(Language,Language_Parameters[],COLUMN(E2),FALSE)</f>
        <v>
Menu</v>
      </c>
      <c r="F2" s="3" t="str">
        <f>VLOOKUP(Language,Language_Parameters[],COLUMN(F2),FALSE)</f>
        <v>
Next Item</v>
      </c>
      <c r="G2" s="3" t="str">
        <f>VLOOKUP(Language,Language_Parameters[],COLUMN(G2),FALSE)</f>
        <v>
Next Page</v>
      </c>
      <c r="H2" s="3" t="str">
        <f>VLOOKUP(Language,Language_Parameters[],COLUMN(H2),FALSE)</f>
        <v>
Results</v>
      </c>
      <c r="I2" s="3" t="str">
        <f>VLOOKUP(Language,Language_Parameters[],COLUMN(I2),FALSE)</f>
        <v>
Help</v>
      </c>
      <c r="J2" s="3" t="str">
        <f>VLOOKUP(Language,Language_Parameters[],COLUMN(J2),FALSE)</f>
        <v>Updates: BBV152 (Covaxin), mRNA-1273 (Moderna), and NVX-CoV2373 (Nuvaxovid). Note: Vaccines Prices not publicly known - average of US$7 per dose assumed. Vaccine specifications are indicative and SUBJECT TO CHANGE.</v>
      </c>
      <c r="K2" s="3" t="str">
        <f>VLOOKUP(Language,Language_Parameters[],COLUMN(K2),FALSE)</f>
        <v>Please note that default unit prices, incl. for vaccine related supplies, are unstable due to market conditions and vaccine specifications are preliminary and indicative only. SUBJECT TO CHANGE.</v>
      </c>
      <c r="L2" s="3" t="str">
        <f>VLOOKUP(Language,Language_Parameters[],COLUMN(L2),FALSE)</f>
        <v>18 February 2022 [u]</v>
      </c>
      <c r="M2" s="3" t="str">
        <f>VLOOKUP(Language,Language_Parameters[],COLUMN(M2),FALSE)</f>
        <v>IMPORTANT NOTE: Actual number of fully-subsidized vaccine doses which can be supplied by COVAX will depend on vaccine prices, characteristics, supply, and available resources, and may be higher or lower than numbers listed here</v>
      </c>
      <c r="N2" s="3" t="str">
        <f>VLOOKUP(Language,Language_Parameters[],COLUMN(N2),FALSE)</f>
        <v>I understand and accept the disclaimer</v>
      </c>
      <c r="O2" s="3" t="str">
        <f>VLOOKUP(Language,Language_Parameters[],COLUMN(O2),FALSE)</f>
        <v>Please proceed to A1.2 Instructions</v>
      </c>
      <c r="P2" s="3" t="str">
        <f>VLOOKUP(Language,Language_Parameters[],COLUMN(P2),FALSE)</f>
        <v>Please review and accept the disclaimer before proceeding</v>
      </c>
      <c r="Q2" s="3" t="str">
        <f>VLOOKUP(Language,Language_Parameters[],COLUMN(Q2),FALSE)</f>
        <v>Vaccine specifications are PRELIMINARY and INDICATIVE. SUBJECT TO CHANGE.</v>
      </c>
      <c r="R2" s="3" t="str">
        <f>VLOOKUP(Language,Language_Parameters[],COLUMN(R2),FALSE)</f>
        <v>Please note that default unit prices, incl. for vaccine related supplies, are unstable due to market conditions and vaccine specifications are preliminary and indicative only. SUBJECT TO CHANGE.</v>
      </c>
      <c r="S2" s="3" t="str">
        <f>VLOOKUP(Language,Language_Parameters[],COLUMN(S2),FALSE)</f>
        <v>CHECK</v>
      </c>
      <c r="T2" s="3" t="str">
        <f>VLOOKUP(Language,Language_Parameters[],COLUMN(T2),FALSE)</f>
        <v>Logic checks passed</v>
      </c>
      <c r="U2" s="3" t="str">
        <f>VLOOKUP(Language,Language_Parameters[],COLUMN(U2),FALSE)</f>
        <v xml:space="preserve">Logic checks failed - Errors = </v>
      </c>
      <c r="V2" s="3" t="str">
        <f>VLOOKUP(Language,Language_Parameters[],COLUMN(V2),FALSE)</f>
        <v>Input Here</v>
      </c>
      <c r="W2" s="3" t="str">
        <f>VLOOKUP(Language,Language_Parameters[],COLUMN(W2),FALSE)</f>
        <v>INPUT HERE to OVERRIDE LCU with USD</v>
      </c>
      <c r="X2" s="3" t="str">
        <f>VLOOKUP(Language,Language_Parameters[],COLUMN(X2),FALSE)</f>
        <v>Select Here</v>
      </c>
      <c r="Y2" s="3" t="str">
        <f>VLOOKUP(Language,Language_Parameters[],COLUMN(Y2),FALSE)</f>
        <v>Leave Blank</v>
      </c>
      <c r="Z2" s="3" t="str">
        <f>VLOOKUP(Language,Language_Parameters[],COLUMN(Z2),FALSE)</f>
        <v>Consider security costs</v>
      </c>
      <c r="AA2" s="3" t="str">
        <f>VLOOKUP(Language,Language_Parameters[],COLUMN(AA2),FALSE)</f>
        <v>Consider a universal strategy</v>
      </c>
      <c r="AB2" s="3" t="str">
        <f>VLOOKUP(Language,Language_Parameters[],COLUMN(AB2),FALSE)</f>
        <v>LCU</v>
      </c>
      <c r="AC2" s="3" t="str">
        <f>VLOOKUP(Language,Language_Parameters[],COLUMN(AC2),FALSE)</f>
        <v xml:space="preserve">Still missing: </v>
      </c>
      <c r="AD2" s="3" t="str">
        <f>VLOOKUP(Language,Language_Parameters[],COLUMN(AD2),FALSE)</f>
        <v>Yes</v>
      </c>
      <c r="AE2" s="3" t="str">
        <f>VLOOKUP(Language,Language_Parameters[],COLUMN(AE2),FALSE)</f>
        <v>No</v>
      </c>
      <c r="AF2" s="3" t="str">
        <f>VLOOKUP(Language,Language_Parameters[],COLUMN(AF2),FALSE)</f>
        <v>Surplus</v>
      </c>
      <c r="AG2" s="3" t="str">
        <f>VLOOKUP(Language,Language_Parameters[],COLUMN(AG2),FALSE)</f>
        <v>Deficit</v>
      </c>
      <c r="AH2" s="3" t="str">
        <f>VLOOKUP(Language,Language_Parameters[],COLUMN(AH2),FALSE)</f>
        <v>INCREASE ^</v>
      </c>
      <c r="AI2" s="3" t="str">
        <f>VLOOKUP(Language,Language_Parameters[],COLUMN(AI2),FALSE)</f>
        <v>DECREASE ^</v>
      </c>
      <c r="AJ2" s="3" t="str">
        <f>VLOOKUP(Language,Language_Parameters[],COLUMN(AJ2),FALSE)</f>
        <v>Committed</v>
      </c>
      <c r="AK2" s="3" t="str">
        <f>VLOOKUP(Language,Language_Parameters[],COLUMN(AK2),FALSE)</f>
        <v>Optional</v>
      </c>
      <c r="AL2" s="3" t="str">
        <f>VLOOKUP(Language,Language_Parameters[],COLUMN(AL2),FALSE)</f>
        <v>Non-COVAX Participant</v>
      </c>
      <c r="AM2" s="3" t="str">
        <f>VLOOKUP(Language,Language_Parameters[],COLUMN(AM2),FALSE)</f>
        <v>Medium Variant</v>
      </c>
      <c r="AN2" s="3" t="str">
        <f>VLOOKUP(Language,Language_Parameters[],COLUMN(AN2),FALSE)</f>
        <v>Upper Variant</v>
      </c>
      <c r="AO2" s="3" t="str">
        <f>VLOOKUP(Language,Language_Parameters[],COLUMN(AO2),FALSE)</f>
        <v>Lower Variant</v>
      </c>
      <c r="AP2" s="3" t="str">
        <f>VLOOKUP(Language,Language_Parameters[],COLUMN(AP2),FALSE)</f>
        <v>Avoid ultra-cold vaccines</v>
      </c>
    </row>
    <row r="3" spans="1:42" s="299" customFormat="1" x14ac:dyDescent="0.2"/>
    <row r="4" spans="1:42" x14ac:dyDescent="0.2">
      <c r="A4" s="9"/>
      <c r="E4" s="299"/>
      <c r="F4" s="299"/>
      <c r="G4" s="299"/>
      <c r="H4" s="299"/>
      <c r="I4" s="299"/>
    </row>
    <row r="5" spans="1:42" s="299" customFormat="1" x14ac:dyDescent="0.2">
      <c r="A5" s="9"/>
    </row>
    <row r="6" spans="1:42" s="299" customFormat="1" x14ac:dyDescent="0.2">
      <c r="A6" s="9"/>
    </row>
    <row r="7" spans="1:42" s="299" customFormat="1" x14ac:dyDescent="0.2">
      <c r="A7" s="9"/>
    </row>
    <row r="8" spans="1:42" s="299" customFormat="1" x14ac:dyDescent="0.2">
      <c r="A8" s="9"/>
    </row>
    <row r="9" spans="1:42" s="299" customFormat="1" x14ac:dyDescent="0.2">
      <c r="A9" s="9"/>
    </row>
    <row r="10" spans="1:42" x14ac:dyDescent="0.2">
      <c r="A10" s="9" t="s">
        <v>4026</v>
      </c>
      <c r="B10" t="s">
        <v>4019</v>
      </c>
      <c r="C10" s="299" t="s">
        <v>4059</v>
      </c>
      <c r="D10" t="s">
        <v>4027</v>
      </c>
      <c r="E10" s="299" t="s">
        <v>4028</v>
      </c>
      <c r="F10" s="299" t="s">
        <v>4030</v>
      </c>
      <c r="G10" s="299" t="s">
        <v>4029</v>
      </c>
      <c r="H10" s="299" t="s">
        <v>4031</v>
      </c>
      <c r="I10" s="299" t="s">
        <v>4032</v>
      </c>
      <c r="J10" s="299" t="s">
        <v>4228</v>
      </c>
      <c r="K10" s="299" t="s">
        <v>4229</v>
      </c>
      <c r="L10" s="299" t="s">
        <v>4230</v>
      </c>
      <c r="M10" s="299" t="s">
        <v>4232</v>
      </c>
      <c r="N10" s="299" t="s">
        <v>4047</v>
      </c>
      <c r="O10" t="s">
        <v>4033</v>
      </c>
      <c r="P10" t="s">
        <v>4034</v>
      </c>
      <c r="Q10" s="299" t="s">
        <v>4048</v>
      </c>
      <c r="R10" s="299" t="s">
        <v>4049</v>
      </c>
      <c r="S10" s="299" t="s">
        <v>36</v>
      </c>
      <c r="T10" s="299" t="s">
        <v>4126</v>
      </c>
      <c r="U10" s="299" t="s">
        <v>4127</v>
      </c>
      <c r="V10" t="s">
        <v>4102</v>
      </c>
      <c r="W10" s="299" t="s">
        <v>4145</v>
      </c>
      <c r="X10" s="299" t="s">
        <v>4226</v>
      </c>
      <c r="Y10" s="299" t="s">
        <v>4103</v>
      </c>
      <c r="Z10" s="299" t="s">
        <v>4120</v>
      </c>
      <c r="AA10" s="299" t="s">
        <v>4121</v>
      </c>
      <c r="AB10" s="299" t="s">
        <v>50</v>
      </c>
      <c r="AC10" s="299" t="s">
        <v>4163</v>
      </c>
      <c r="AD10" t="s">
        <v>2671</v>
      </c>
      <c r="AE10" t="s">
        <v>2672</v>
      </c>
      <c r="AF10" t="s">
        <v>4110</v>
      </c>
      <c r="AG10" t="s">
        <v>4111</v>
      </c>
      <c r="AH10" s="299" t="s">
        <v>4165</v>
      </c>
      <c r="AI10" s="299" t="s">
        <v>4166</v>
      </c>
      <c r="AJ10" t="s">
        <v>1566</v>
      </c>
      <c r="AK10" t="s">
        <v>1567</v>
      </c>
      <c r="AL10" t="s">
        <v>4112</v>
      </c>
      <c r="AM10" t="s">
        <v>3044</v>
      </c>
      <c r="AN10" t="s">
        <v>3053</v>
      </c>
      <c r="AO10" t="s">
        <v>3054</v>
      </c>
      <c r="AP10" t="s">
        <v>4569</v>
      </c>
    </row>
    <row r="11" spans="1:42" x14ac:dyDescent="0.2">
      <c r="A11" s="9" t="s">
        <v>4013</v>
      </c>
      <c r="B11" t="s">
        <v>4020</v>
      </c>
      <c r="C11" s="299" t="s">
        <v>2275</v>
      </c>
      <c r="D11">
        <v>5</v>
      </c>
      <c r="E11" s="369" t="s">
        <v>5292</v>
      </c>
      <c r="F11" s="369" t="s">
        <v>5293</v>
      </c>
      <c r="G11" s="369" t="s">
        <v>5294</v>
      </c>
      <c r="H11" s="369" t="s">
        <v>5295</v>
      </c>
      <c r="I11" s="369" t="s">
        <v>5296</v>
      </c>
      <c r="J11" s="369" t="str">
        <f>'T1i. Vaccines'!B33</f>
        <v>Updates: BBV152 (Covaxin), mRNA-1273 (Moderna), and NVX-CoV2373 (Nuvaxovid). Note: Vaccines Prices not publicly known - average of US$7 per dose assumed. Vaccine specifications are indicative and SUBJECT TO CHANGE.</v>
      </c>
      <c r="K11" s="369" t="str">
        <f>'T1i. Vaccines'!C33</f>
        <v>Please note that default unit prices, incl. for vaccine related supplies, are unstable due to market conditions and vaccine specifications are preliminary and indicative only. SUBJECT TO CHANGE.</v>
      </c>
      <c r="L11" s="369" t="str">
        <f>'T1i. Vaccines'!D33</f>
        <v>18 February 2022 [u]</v>
      </c>
      <c r="M11" s="369" t="str">
        <f>'T1i. Vaccines'!E33</f>
        <v>IMPORTANT NOTE: Actual number of fully-subsidized vaccine doses which can be supplied by COVAX will depend on vaccine prices, characteristics, supply, and available resources, and may be higher or lower than numbers listed here</v>
      </c>
      <c r="N11" s="369" t="s">
        <v>5175</v>
      </c>
      <c r="O11" s="369" t="s">
        <v>5176</v>
      </c>
      <c r="P11" s="369" t="s">
        <v>5177</v>
      </c>
      <c r="Q11" s="369" t="s">
        <v>5178</v>
      </c>
      <c r="R11" s="369" t="s">
        <v>5179</v>
      </c>
      <c r="S11" s="369" t="s">
        <v>5180</v>
      </c>
      <c r="T11" s="576" t="s">
        <v>5181</v>
      </c>
      <c r="U11" s="576" t="s">
        <v>5182</v>
      </c>
      <c r="V11" s="85" t="s">
        <v>5183</v>
      </c>
      <c r="W11" s="85" t="s">
        <v>5184</v>
      </c>
      <c r="X11" s="85" t="s">
        <v>5185</v>
      </c>
      <c r="Y11" s="85" t="s">
        <v>5186</v>
      </c>
      <c r="Z11" s="85" t="s">
        <v>5187</v>
      </c>
      <c r="AA11" s="85" t="s">
        <v>5188</v>
      </c>
      <c r="AB11" s="85" t="s">
        <v>5189</v>
      </c>
      <c r="AC11" s="85" t="s">
        <v>5190</v>
      </c>
      <c r="AD11" s="85" t="s">
        <v>4037</v>
      </c>
      <c r="AE11" s="85" t="s">
        <v>4046</v>
      </c>
      <c r="AF11" s="576" t="s">
        <v>5191</v>
      </c>
      <c r="AG11" s="576" t="s">
        <v>5192</v>
      </c>
      <c r="AH11" s="576" t="s">
        <v>5193</v>
      </c>
      <c r="AI11" s="576" t="s">
        <v>5194</v>
      </c>
      <c r="AJ11" s="576" t="s">
        <v>5195</v>
      </c>
      <c r="AK11" s="576" t="s">
        <v>5196</v>
      </c>
      <c r="AL11" s="576" t="s">
        <v>5197</v>
      </c>
      <c r="AM11" s="576" t="s">
        <v>5198</v>
      </c>
      <c r="AN11" s="576" t="s">
        <v>5199</v>
      </c>
      <c r="AO11" s="576" t="s">
        <v>5200</v>
      </c>
      <c r="AP11" s="576" t="s">
        <v>13903</v>
      </c>
    </row>
    <row r="12" spans="1:42" x14ac:dyDescent="0.2">
      <c r="A12" s="9" t="s">
        <v>4014</v>
      </c>
      <c r="B12" t="s">
        <v>4021</v>
      </c>
      <c r="C12" s="299" t="s">
        <v>4060</v>
      </c>
      <c r="D12">
        <v>6</v>
      </c>
      <c r="E12" s="369" t="s">
        <v>5836</v>
      </c>
      <c r="F12" s="369" t="s">
        <v>5837</v>
      </c>
      <c r="G12" s="369" t="s">
        <v>5838</v>
      </c>
      <c r="H12" s="369" t="s">
        <v>5839</v>
      </c>
      <c r="I12" s="369" t="s">
        <v>5840</v>
      </c>
      <c r="J12" s="369" t="str">
        <f>'T1i. Vaccines'!B34</f>
        <v>Updates: BBV152 (Covaxin), mRNA-1273 (Moderna), and NVX-CoV2373 (Nuvaxovid). Note: Vaccines Prices not publicly known - average of US$7 per dose assumed. Vaccine specifications are indicative and SUBJECT TO CHANGE.</v>
      </c>
      <c r="K12" s="369" t="str">
        <f>'T1i. Vaccines'!C34</f>
        <v>Please note that default unit prices, incl. for vaccine related supplies, are unstable due to market conditions and vaccine specifications are preliminary and indicative only. SUBJECT TO CHANGE.</v>
      </c>
      <c r="L12" s="369" t="str">
        <f>'T1i. Vaccines'!D34</f>
        <v>18 February 2022 [u]</v>
      </c>
      <c r="M12" s="369" t="str">
        <f>'T1i. Vaccines'!E34</f>
        <v>IMPORTANT NOTE: Actual number of fully-subsidized vaccine doses which can be supplied by COVAX will depend on vaccine prices, characteristics, supply, and available resources, and may be higher or lower than numbers listed here</v>
      </c>
      <c r="N12" s="369" t="s">
        <v>5201</v>
      </c>
      <c r="O12" s="369" t="s">
        <v>5202</v>
      </c>
      <c r="P12" s="369" t="s">
        <v>5203</v>
      </c>
      <c r="Q12" s="369" t="s">
        <v>5204</v>
      </c>
      <c r="R12" s="369" t="s">
        <v>5205</v>
      </c>
      <c r="S12" s="369" t="s">
        <v>5206</v>
      </c>
      <c r="T12" s="576" t="s">
        <v>5207</v>
      </c>
      <c r="U12" s="576" t="s">
        <v>5208</v>
      </c>
      <c r="V12" s="85" t="s">
        <v>5209</v>
      </c>
      <c r="W12" s="85" t="s">
        <v>5210</v>
      </c>
      <c r="X12" s="85" t="s">
        <v>5211</v>
      </c>
      <c r="Y12" s="85" t="s">
        <v>5212</v>
      </c>
      <c r="Z12" s="85" t="s">
        <v>5213</v>
      </c>
      <c r="AA12" s="85" t="s">
        <v>5214</v>
      </c>
      <c r="AB12" s="85" t="s">
        <v>50</v>
      </c>
      <c r="AC12" s="85" t="s">
        <v>5215</v>
      </c>
      <c r="AD12" s="85" t="s">
        <v>4041</v>
      </c>
      <c r="AE12" s="85" t="s">
        <v>4042</v>
      </c>
      <c r="AF12" s="576" t="s">
        <v>5216</v>
      </c>
      <c r="AG12" s="576" t="s">
        <v>5217</v>
      </c>
      <c r="AH12" s="576" t="s">
        <v>5218</v>
      </c>
      <c r="AI12" s="576" t="s">
        <v>5219</v>
      </c>
      <c r="AJ12" s="576" t="s">
        <v>5220</v>
      </c>
      <c r="AK12" s="576" t="s">
        <v>5221</v>
      </c>
      <c r="AL12" s="576" t="s">
        <v>5222</v>
      </c>
      <c r="AM12" s="576" t="s">
        <v>5223</v>
      </c>
      <c r="AN12" s="576" t="s">
        <v>5224</v>
      </c>
      <c r="AO12" s="576" t="s">
        <v>5225</v>
      </c>
      <c r="AP12" s="576" t="s">
        <v>13904</v>
      </c>
    </row>
    <row r="13" spans="1:42" x14ac:dyDescent="0.2">
      <c r="A13" s="9" t="s">
        <v>4012</v>
      </c>
      <c r="B13" t="s">
        <v>4012</v>
      </c>
      <c r="C13" s="299" t="s">
        <v>4061</v>
      </c>
      <c r="D13">
        <v>0</v>
      </c>
      <c r="E13" s="369" t="s">
        <v>4051</v>
      </c>
      <c r="F13" s="369" t="s">
        <v>4053</v>
      </c>
      <c r="G13" s="369" t="s">
        <v>4052</v>
      </c>
      <c r="H13" s="369" t="s">
        <v>4054</v>
      </c>
      <c r="I13" s="369" t="s">
        <v>4050</v>
      </c>
      <c r="J13" s="369" t="str">
        <f>'T1i. Vaccines'!B35</f>
        <v>Updates: BBV152 (Covaxin), mRNA-1273 (Moderna), and NVX-CoV2373 (Nuvaxovid). Note: Vaccines Prices not publicly known - average of US$7 per dose assumed. Vaccine specifications are indicative and SUBJECT TO CHANGE.</v>
      </c>
      <c r="K13" s="369" t="str">
        <f>'T1i. Vaccines'!C35</f>
        <v>Please note that default unit prices, incl. for vaccine related supplies, are unstable due to market conditions and vaccine specifications are preliminary and indicative only. SUBJECT TO CHANGE.</v>
      </c>
      <c r="L13" s="369" t="str">
        <f>'T1i. Vaccines'!D35</f>
        <v>18 February 2022 [u]</v>
      </c>
      <c r="M13" s="369" t="str">
        <f>'T1i. Vaccines'!E35</f>
        <v>IMPORTANT NOTE: Actual number of fully-subsidized vaccine doses which can be supplied by COVAX will depend on vaccine prices, characteristics, supply, and available resources, and may be higher or lower than numbers listed here</v>
      </c>
      <c r="N13" s="369" t="s">
        <v>2681</v>
      </c>
      <c r="O13" s="369" t="s">
        <v>4035</v>
      </c>
      <c r="P13" s="369" t="s">
        <v>4036</v>
      </c>
      <c r="Q13" s="369" t="s">
        <v>4002</v>
      </c>
      <c r="R13" s="369" t="s">
        <v>4003</v>
      </c>
      <c r="S13" s="369" t="s">
        <v>2942</v>
      </c>
      <c r="T13" s="576" t="s">
        <v>4128</v>
      </c>
      <c r="U13" s="576" t="s">
        <v>4129</v>
      </c>
      <c r="V13" s="85" t="s">
        <v>4102</v>
      </c>
      <c r="W13" s="85" t="s">
        <v>4144</v>
      </c>
      <c r="X13" s="85" t="s">
        <v>4226</v>
      </c>
      <c r="Y13" s="85" t="s">
        <v>4103</v>
      </c>
      <c r="Z13" s="85" t="s">
        <v>4104</v>
      </c>
      <c r="AA13" s="85" t="s">
        <v>4109</v>
      </c>
      <c r="AB13" s="85" t="s">
        <v>50</v>
      </c>
      <c r="AC13" s="85" t="s">
        <v>4164</v>
      </c>
      <c r="AD13" s="85" t="s">
        <v>2671</v>
      </c>
      <c r="AE13" s="85" t="s">
        <v>2672</v>
      </c>
      <c r="AF13" s="576" t="s">
        <v>4110</v>
      </c>
      <c r="AG13" s="576" t="s">
        <v>4111</v>
      </c>
      <c r="AH13" s="576" t="s">
        <v>4167</v>
      </c>
      <c r="AI13" s="576" t="s">
        <v>4168</v>
      </c>
      <c r="AJ13" s="576" t="s">
        <v>1566</v>
      </c>
      <c r="AK13" s="576" t="s">
        <v>1567</v>
      </c>
      <c r="AL13" s="576" t="s">
        <v>1568</v>
      </c>
      <c r="AM13" s="576" t="s">
        <v>3044</v>
      </c>
      <c r="AN13" s="576" t="s">
        <v>3053</v>
      </c>
      <c r="AO13" s="576" t="s">
        <v>3054</v>
      </c>
      <c r="AP13" s="576" t="s">
        <v>4569</v>
      </c>
    </row>
    <row r="14" spans="1:42" x14ac:dyDescent="0.2">
      <c r="A14" s="9" t="s">
        <v>4016</v>
      </c>
      <c r="B14" t="s">
        <v>4022</v>
      </c>
      <c r="C14" s="299" t="s">
        <v>2364</v>
      </c>
      <c r="D14">
        <v>1</v>
      </c>
      <c r="E14" s="369" t="s">
        <v>4051</v>
      </c>
      <c r="F14" s="369" t="s">
        <v>5832</v>
      </c>
      <c r="G14" s="369" t="s">
        <v>5833</v>
      </c>
      <c r="H14" s="369" t="s">
        <v>5834</v>
      </c>
      <c r="I14" s="369" t="s">
        <v>5835</v>
      </c>
      <c r="J14" s="369" t="str">
        <f>'T1i. Vaccines'!B36</f>
        <v>Updates: BBV152 (Covaxin), mRNA-1273 (Moderna), and NVX-CoV2373 (Nuvaxovid). Note: Vaccines Prices not publicly known - average of US$7 per dose assumed. Vaccine specifications are indicative and SUBJECT TO CHANGE.</v>
      </c>
      <c r="K14" s="369" t="str">
        <f>'T1i. Vaccines'!C36</f>
        <v>Please note that default unit prices, incl. for vaccine related supplies, are unstable due to market conditions and vaccine specifications are preliminary and indicative only. SUBJECT TO CHANGE.</v>
      </c>
      <c r="L14" s="369" t="str">
        <f>'T1i. Vaccines'!D36</f>
        <v>18 February 2022 [u]</v>
      </c>
      <c r="M14" s="369" t="str">
        <f>'T1i. Vaccines'!E36</f>
        <v>IMPORTANT NOTE: Actual number of fully-subsidized vaccine doses which can be supplied by COVAX will depend on vaccine prices, characteristics, supply, and available resources, and may be higher or lower than numbers listed here</v>
      </c>
      <c r="N14" s="369" t="s">
        <v>5226</v>
      </c>
      <c r="O14" s="369" t="s">
        <v>5227</v>
      </c>
      <c r="P14" s="369" t="s">
        <v>5228</v>
      </c>
      <c r="Q14" s="369" t="s">
        <v>5229</v>
      </c>
      <c r="R14" s="369" t="s">
        <v>5230</v>
      </c>
      <c r="S14" s="369" t="s">
        <v>2942</v>
      </c>
      <c r="T14" s="576" t="s">
        <v>13612</v>
      </c>
      <c r="U14" s="576" t="s">
        <v>13613</v>
      </c>
      <c r="V14" s="85" t="s">
        <v>13614</v>
      </c>
      <c r="W14" s="85" t="s">
        <v>13615</v>
      </c>
      <c r="X14" s="85" t="s">
        <v>13616</v>
      </c>
      <c r="Y14" s="85" t="s">
        <v>13617</v>
      </c>
      <c r="Z14" s="85" t="s">
        <v>13618</v>
      </c>
      <c r="AA14" s="85" t="s">
        <v>13619</v>
      </c>
      <c r="AB14" s="85" t="s">
        <v>50</v>
      </c>
      <c r="AC14" s="85" t="s">
        <v>13620</v>
      </c>
      <c r="AD14" s="85" t="s">
        <v>4038</v>
      </c>
      <c r="AE14" s="85" t="s">
        <v>4045</v>
      </c>
      <c r="AF14" s="576" t="s">
        <v>4110</v>
      </c>
      <c r="AG14" s="576" t="s">
        <v>13629</v>
      </c>
      <c r="AH14" s="576" t="s">
        <v>13630</v>
      </c>
      <c r="AI14" s="576" t="s">
        <v>13631</v>
      </c>
      <c r="AJ14" s="576" t="s">
        <v>13632</v>
      </c>
      <c r="AK14" s="576" t="s">
        <v>13633</v>
      </c>
      <c r="AL14" s="576" t="s">
        <v>13634</v>
      </c>
      <c r="AM14" s="576" t="s">
        <v>5231</v>
      </c>
      <c r="AN14" s="576" t="s">
        <v>5232</v>
      </c>
      <c r="AO14" s="576" t="s">
        <v>5233</v>
      </c>
      <c r="AP14" s="576" t="s">
        <v>13899</v>
      </c>
    </row>
    <row r="15" spans="1:42" x14ac:dyDescent="0.2">
      <c r="A15" s="9" t="s">
        <v>4017</v>
      </c>
      <c r="B15" t="s">
        <v>4023</v>
      </c>
      <c r="C15" s="299" t="s">
        <v>2513</v>
      </c>
      <c r="D15">
        <v>2</v>
      </c>
      <c r="E15" s="369" t="s">
        <v>5297</v>
      </c>
      <c r="F15" s="369" t="s">
        <v>5298</v>
      </c>
      <c r="G15" s="369" t="s">
        <v>5299</v>
      </c>
      <c r="H15" s="369" t="s">
        <v>5300</v>
      </c>
      <c r="I15" s="369" t="s">
        <v>5301</v>
      </c>
      <c r="J15" s="369" t="str">
        <f>'T1i. Vaccines'!B37</f>
        <v>Updates: BBV152 (Covaxin), mRNA-1273 (Moderna), and NVX-CoV2373 (Nuvaxovid). Note: Vaccines Prices not publicly known - average of US$7 per dose assumed. Vaccine specifications are indicative and SUBJECT TO CHANGE.</v>
      </c>
      <c r="K15" s="369" t="str">
        <f>'T1i. Vaccines'!C37</f>
        <v>Please note that default unit prices, incl. for vaccine related supplies, are unstable due to market conditions and vaccine specifications are preliminary and indicative only. SUBJECT TO CHANGE.</v>
      </c>
      <c r="L15" s="369" t="str">
        <f>'T1i. Vaccines'!D37</f>
        <v>18 February 2022 [u]</v>
      </c>
      <c r="M15" s="369" t="str">
        <f>'T1i. Vaccines'!E37</f>
        <v>IMPORTANT NOTE: Actual number of fully-subsidized vaccine doses which can be supplied by COVAX will depend on vaccine prices, characteristics, supply, and available resources, and may be higher or lower than numbers listed here</v>
      </c>
      <c r="N15" s="369" t="s">
        <v>5234</v>
      </c>
      <c r="O15" s="369" t="s">
        <v>5235</v>
      </c>
      <c r="P15" s="369" t="s">
        <v>5236</v>
      </c>
      <c r="Q15" s="369" t="s">
        <v>5237</v>
      </c>
      <c r="R15" s="369" t="s">
        <v>5238</v>
      </c>
      <c r="S15" s="369" t="s">
        <v>5239</v>
      </c>
      <c r="T15" s="576" t="s">
        <v>5240</v>
      </c>
      <c r="U15" s="576" t="s">
        <v>5241</v>
      </c>
      <c r="V15" s="85" t="s">
        <v>5242</v>
      </c>
      <c r="W15" s="85" t="s">
        <v>5243</v>
      </c>
      <c r="X15" s="85" t="s">
        <v>5244</v>
      </c>
      <c r="Y15" s="85" t="s">
        <v>5245</v>
      </c>
      <c r="Z15" s="85" t="s">
        <v>5246</v>
      </c>
      <c r="AA15" s="85" t="s">
        <v>5247</v>
      </c>
      <c r="AB15" s="85" t="s">
        <v>5248</v>
      </c>
      <c r="AC15" s="85" t="s">
        <v>5249</v>
      </c>
      <c r="AD15" s="85" t="s">
        <v>5250</v>
      </c>
      <c r="AE15" s="85" t="s">
        <v>4043</v>
      </c>
      <c r="AF15" s="576" t="s">
        <v>5251</v>
      </c>
      <c r="AG15" s="576" t="s">
        <v>5252</v>
      </c>
      <c r="AH15" s="576" t="s">
        <v>5253</v>
      </c>
      <c r="AI15" s="576" t="s">
        <v>5254</v>
      </c>
      <c r="AJ15" s="576" t="s">
        <v>5255</v>
      </c>
      <c r="AK15" s="576" t="s">
        <v>5256</v>
      </c>
      <c r="AL15" s="576" t="s">
        <v>5257</v>
      </c>
      <c r="AM15" s="576" t="s">
        <v>5258</v>
      </c>
      <c r="AN15" s="576" t="s">
        <v>5259</v>
      </c>
      <c r="AO15" s="576" t="s">
        <v>5260</v>
      </c>
      <c r="AP15" s="576" t="s">
        <v>13900</v>
      </c>
    </row>
    <row r="16" spans="1:42" x14ac:dyDescent="0.2">
      <c r="A16" s="9" t="s">
        <v>4015</v>
      </c>
      <c r="B16" t="s">
        <v>4024</v>
      </c>
      <c r="C16" s="299" t="s">
        <v>2551</v>
      </c>
      <c r="D16">
        <v>3</v>
      </c>
      <c r="E16" s="369" t="s">
        <v>5302</v>
      </c>
      <c r="F16" s="369" t="s">
        <v>5303</v>
      </c>
      <c r="G16" s="369" t="s">
        <v>5304</v>
      </c>
      <c r="H16" s="369" t="s">
        <v>5305</v>
      </c>
      <c r="I16" s="369" t="s">
        <v>5306</v>
      </c>
      <c r="J16" s="369" t="str">
        <f>'T1i. Vaccines'!B38</f>
        <v>Updates: BBV152 (Covaxin), mRNA-1273 (Moderna), and NVX-CoV2373 (Nuvaxovid). Note: Vaccines Prices not publicly known - average of US$7 per dose assumed. Vaccine specifications are indicative and SUBJECT TO CHANGE.</v>
      </c>
      <c r="K16" s="369" t="str">
        <f>'T1i. Vaccines'!C38</f>
        <v>Please note that default unit prices, incl. for vaccine related supplies, are unstable due to market conditions and vaccine specifications are preliminary and indicative only. SUBJECT TO CHANGE.</v>
      </c>
      <c r="L16" s="369" t="str">
        <f>'T1i. Vaccines'!D38</f>
        <v>18 February 2022 [u]</v>
      </c>
      <c r="M16" s="369" t="str">
        <f>'T1i. Vaccines'!E38</f>
        <v>IMPORTANT NOTE: Actual number of fully-subsidized vaccine doses which can be supplied by COVAX will depend on vaccine prices, characteristics, supply, and available resources, and may be higher or lower than numbers listed here</v>
      </c>
      <c r="N16" s="369" t="s">
        <v>5261</v>
      </c>
      <c r="O16" s="369" t="s">
        <v>5262</v>
      </c>
      <c r="P16" s="369" t="s">
        <v>5263</v>
      </c>
      <c r="Q16" s="369" t="s">
        <v>5264</v>
      </c>
      <c r="R16" s="369" t="s">
        <v>5265</v>
      </c>
      <c r="S16" s="369" t="s">
        <v>2942</v>
      </c>
      <c r="T16" s="576" t="s">
        <v>13621</v>
      </c>
      <c r="U16" s="576" t="s">
        <v>13622</v>
      </c>
      <c r="V16" s="85" t="s">
        <v>13623</v>
      </c>
      <c r="W16" s="85" t="s">
        <v>13624</v>
      </c>
      <c r="X16" s="85" t="s">
        <v>13625</v>
      </c>
      <c r="Y16" s="85" t="s">
        <v>6345</v>
      </c>
      <c r="Z16" s="85" t="s">
        <v>13626</v>
      </c>
      <c r="AA16" s="85" t="s">
        <v>13627</v>
      </c>
      <c r="AB16" s="85" t="s">
        <v>7460</v>
      </c>
      <c r="AC16" s="85" t="s">
        <v>13628</v>
      </c>
      <c r="AD16" s="85" t="s">
        <v>4039</v>
      </c>
      <c r="AE16" s="85" t="s">
        <v>2672</v>
      </c>
      <c r="AF16" s="576" t="s">
        <v>13635</v>
      </c>
      <c r="AG16" s="576" t="s">
        <v>13629</v>
      </c>
      <c r="AH16" s="576" t="s">
        <v>13636</v>
      </c>
      <c r="AI16" s="576" t="s">
        <v>13637</v>
      </c>
      <c r="AJ16" s="576" t="s">
        <v>5286</v>
      </c>
      <c r="AK16" s="576" t="s">
        <v>5287</v>
      </c>
      <c r="AL16" s="576" t="s">
        <v>13638</v>
      </c>
      <c r="AM16" s="576" t="s">
        <v>13639</v>
      </c>
      <c r="AN16" s="576" t="s">
        <v>13640</v>
      </c>
      <c r="AO16" s="576" t="s">
        <v>13641</v>
      </c>
      <c r="AP16" s="576" t="s">
        <v>13901</v>
      </c>
    </row>
    <row r="17" spans="1:42" x14ac:dyDescent="0.2">
      <c r="A17" s="9" t="s">
        <v>4018</v>
      </c>
      <c r="B17" t="s">
        <v>4025</v>
      </c>
      <c r="C17" s="299" t="s">
        <v>2505</v>
      </c>
      <c r="D17">
        <v>4</v>
      </c>
      <c r="E17" s="369" t="s">
        <v>4051</v>
      </c>
      <c r="F17" s="369" t="s">
        <v>5307</v>
      </c>
      <c r="G17" s="369" t="s">
        <v>5308</v>
      </c>
      <c r="H17" s="369" t="s">
        <v>5309</v>
      </c>
      <c r="I17" s="369" t="s">
        <v>5310</v>
      </c>
      <c r="J17" s="369" t="str">
        <f>'T1i. Vaccines'!B39</f>
        <v>Updates: BBV152 (Covaxin), mRNA-1273 (Moderna), and NVX-CoV2373 (Nuvaxovid). Note: Vaccines Prices not publicly known - average of US$7 per dose assumed. Vaccine specifications are indicative and SUBJECT TO CHANGE.</v>
      </c>
      <c r="K17" s="369" t="str">
        <f>'T1i. Vaccines'!C39</f>
        <v>Please note that default unit prices, incl. for vaccine related supplies, are unstable due to market conditions and vaccine specifications are preliminary and indicative only. SUBJECT TO CHANGE.</v>
      </c>
      <c r="L17" s="369" t="str">
        <f>'T1i. Vaccines'!D39</f>
        <v>18 February 2022 [u]</v>
      </c>
      <c r="M17" s="369" t="str">
        <f>'T1i. Vaccines'!E39</f>
        <v>IMPORTANT NOTE: Actual number of fully-subsidized vaccine doses which can be supplied by COVAX will depend on vaccine prices, characteristics, supply, and available resources, and may be higher or lower than numbers listed here</v>
      </c>
      <c r="N17" s="369" t="s">
        <v>5266</v>
      </c>
      <c r="O17" s="369" t="s">
        <v>5267</v>
      </c>
      <c r="P17" s="369" t="s">
        <v>5268</v>
      </c>
      <c r="Q17" s="369" t="s">
        <v>5269</v>
      </c>
      <c r="R17" s="369" t="s">
        <v>5270</v>
      </c>
      <c r="S17" s="369" t="s">
        <v>5271</v>
      </c>
      <c r="T17" s="576" t="s">
        <v>5272</v>
      </c>
      <c r="U17" s="576" t="s">
        <v>5273</v>
      </c>
      <c r="V17" s="85" t="s">
        <v>5274</v>
      </c>
      <c r="W17" s="85" t="s">
        <v>5275</v>
      </c>
      <c r="X17" s="85" t="s">
        <v>5276</v>
      </c>
      <c r="Y17" s="85" t="s">
        <v>5277</v>
      </c>
      <c r="Z17" s="85" t="s">
        <v>5278</v>
      </c>
      <c r="AA17" s="85" t="s">
        <v>5279</v>
      </c>
      <c r="AB17" s="85" t="s">
        <v>5280</v>
      </c>
      <c r="AC17" s="85" t="s">
        <v>5281</v>
      </c>
      <c r="AD17" s="85" t="s">
        <v>4040</v>
      </c>
      <c r="AE17" s="85" t="s">
        <v>4044</v>
      </c>
      <c r="AF17" s="576" t="s">
        <v>5282</v>
      </c>
      <c r="AG17" s="576" t="s">
        <v>5283</v>
      </c>
      <c r="AH17" s="576" t="s">
        <v>5284</v>
      </c>
      <c r="AI17" s="576" t="s">
        <v>5285</v>
      </c>
      <c r="AJ17" s="576" t="s">
        <v>5286</v>
      </c>
      <c r="AK17" s="576" t="s">
        <v>5287</v>
      </c>
      <c r="AL17" s="576" t="s">
        <v>5288</v>
      </c>
      <c r="AM17" s="576" t="s">
        <v>5289</v>
      </c>
      <c r="AN17" s="576" t="s">
        <v>5290</v>
      </c>
      <c r="AO17" s="576" t="s">
        <v>5291</v>
      </c>
      <c r="AP17" s="576" t="s">
        <v>13902</v>
      </c>
    </row>
    <row r="18" spans="1:42" x14ac:dyDescent="0.2">
      <c r="A18" s="9"/>
    </row>
    <row r="19" spans="1:42" x14ac:dyDescent="0.2">
      <c r="A19" s="9"/>
    </row>
    <row r="20" spans="1:42" x14ac:dyDescent="0.2">
      <c r="A20" s="9"/>
    </row>
    <row r="21" spans="1:42" x14ac:dyDescent="0.2">
      <c r="A21" s="9"/>
    </row>
    <row r="22" spans="1:42" x14ac:dyDescent="0.2">
      <c r="A22" s="9"/>
    </row>
  </sheetData>
  <phoneticPr fontId="4" type="noConversion"/>
  <pageMargins left="0.7" right="0.7" top="0.75" bottom="0.75" header="0.3" footer="0.3"/>
  <pageSetup paperSize="9" orientation="portrait" horizontalDpi="0" verticalDpi="0"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0BF01-18A0-457A-8B0A-4886A6DFBE65}">
  <sheetPr codeName="Sheet14">
    <tabColor rgb="FF7030A0"/>
  </sheetPr>
  <dimension ref="A1:XAT144"/>
  <sheetViews>
    <sheetView showGridLines="0" zoomScaleNormal="100" workbookViewId="0"/>
  </sheetViews>
  <sheetFormatPr defaultRowHeight="12.75" x14ac:dyDescent="0.2"/>
  <cols>
    <col min="1" max="1" width="3.5703125" customWidth="1"/>
    <col min="2" max="2" width="9.140625" style="194" customWidth="1"/>
    <col min="3" max="3" width="22.42578125" customWidth="1"/>
    <col min="4" max="4" width="19.85546875" customWidth="1"/>
    <col min="5" max="7" width="11.7109375" customWidth="1"/>
    <col min="8" max="9" width="11.7109375" hidden="1" customWidth="1"/>
    <col min="10" max="13" width="14.42578125" customWidth="1"/>
    <col min="14" max="15" width="14.42578125" hidden="1" customWidth="1"/>
    <col min="16" max="17" width="14.42578125" customWidth="1"/>
    <col min="18" max="30" width="15.28515625" customWidth="1"/>
    <col min="31" max="31" width="2.28515625" customWidth="1"/>
    <col min="32" max="32" width="4.85546875" style="241" customWidth="1"/>
    <col min="33" max="33" width="2.28515625" style="241" customWidth="1"/>
    <col min="34" max="34" width="76.28515625" customWidth="1"/>
    <col min="35" max="285" width="3.85546875" style="403" hidden="1" customWidth="1"/>
  </cols>
  <sheetData>
    <row r="1" spans="1:16270" s="194" customFormat="1" ht="45" customHeight="1" x14ac:dyDescent="0.2">
      <c r="A1" s="225" t="str">
        <f ca="1">IF(OFFSET(AJ1,0,Lang_Order*Lang__T1)="","",OFFSET(AJ1,0,Lang_Order*Lang__T1))</f>
        <v>NAVIGATION BAR:</v>
      </c>
      <c r="B1" s="224"/>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403">
        <v>36</v>
      </c>
      <c r="AJ1" s="403" t="s">
        <v>2910</v>
      </c>
      <c r="AK1" s="403"/>
      <c r="AL1" s="403"/>
      <c r="AM1" s="403"/>
      <c r="AN1" s="403"/>
      <c r="AO1" s="403"/>
      <c r="AP1" s="403"/>
      <c r="AQ1" s="403"/>
      <c r="AR1" s="403"/>
      <c r="AS1" s="403"/>
      <c r="AT1" s="403"/>
      <c r="AU1" s="403"/>
      <c r="AV1" s="403"/>
      <c r="AW1" s="403"/>
      <c r="AX1" s="403"/>
      <c r="AY1" s="403"/>
      <c r="AZ1" s="403"/>
      <c r="BA1" s="403"/>
      <c r="BB1" s="403"/>
      <c r="BC1" s="403"/>
      <c r="BD1" s="403"/>
      <c r="BE1" s="403"/>
      <c r="BF1" s="403"/>
      <c r="BG1" s="403"/>
      <c r="BH1" s="403"/>
      <c r="BI1" s="403"/>
      <c r="BJ1" s="403"/>
      <c r="BK1" s="403"/>
      <c r="BL1" s="403"/>
      <c r="BM1" s="403"/>
      <c r="BN1" s="403"/>
      <c r="BO1" s="403"/>
      <c r="BP1" s="403"/>
      <c r="BQ1" s="403"/>
      <c r="BR1" s="403"/>
      <c r="BS1" s="403"/>
      <c r="BT1" s="403" t="s">
        <v>4634</v>
      </c>
      <c r="BU1" s="403"/>
      <c r="BV1" s="403"/>
      <c r="BW1" s="403"/>
      <c r="BX1" s="403"/>
      <c r="BY1" s="403"/>
      <c r="BZ1" s="403"/>
      <c r="CA1" s="403"/>
      <c r="CB1" s="403"/>
      <c r="CC1" s="403"/>
      <c r="CD1" s="403"/>
      <c r="CE1" s="403"/>
      <c r="CF1" s="403"/>
      <c r="CG1" s="403"/>
      <c r="CH1" s="403"/>
      <c r="CI1" s="403"/>
      <c r="CJ1" s="403"/>
      <c r="CK1" s="403"/>
      <c r="CL1" s="403"/>
      <c r="CM1" s="403"/>
      <c r="CN1" s="403"/>
      <c r="CO1" s="403"/>
      <c r="CP1" s="403"/>
      <c r="CQ1" s="403"/>
      <c r="CR1" s="403"/>
      <c r="CS1" s="403"/>
      <c r="CT1" s="403"/>
      <c r="CU1" s="403"/>
      <c r="CV1" s="403"/>
      <c r="CW1" s="403"/>
      <c r="CX1" s="403"/>
      <c r="CY1" s="403"/>
      <c r="CZ1" s="403"/>
      <c r="DA1" s="403"/>
      <c r="DB1" s="403"/>
      <c r="DC1" s="403"/>
      <c r="DD1" s="403" t="s">
        <v>4635</v>
      </c>
      <c r="DE1" s="403"/>
      <c r="DF1" s="403"/>
      <c r="DG1" s="403"/>
      <c r="DH1" s="403"/>
      <c r="DI1" s="403"/>
      <c r="DJ1" s="403"/>
      <c r="DK1" s="403"/>
      <c r="DL1" s="403"/>
      <c r="DM1" s="403"/>
      <c r="DN1" s="403"/>
      <c r="DO1" s="403"/>
      <c r="DP1" s="403"/>
      <c r="DQ1" s="403"/>
      <c r="DR1" s="403"/>
      <c r="DS1" s="403"/>
      <c r="DT1" s="403"/>
      <c r="DU1" s="403"/>
      <c r="DV1" s="403"/>
      <c r="DW1" s="403"/>
      <c r="DX1" s="403"/>
      <c r="DY1" s="403"/>
      <c r="DZ1" s="403"/>
      <c r="EA1" s="403"/>
      <c r="EB1" s="403"/>
      <c r="EC1" s="403"/>
      <c r="ED1" s="403"/>
      <c r="EE1" s="403"/>
      <c r="EF1" s="403"/>
      <c r="EG1" s="403"/>
      <c r="EH1" s="403"/>
      <c r="EI1" s="403"/>
      <c r="EJ1" s="403"/>
      <c r="EK1" s="403"/>
      <c r="EL1" s="403"/>
      <c r="EM1" s="403"/>
      <c r="EN1" s="403" t="s">
        <v>4636</v>
      </c>
      <c r="EO1" s="403"/>
      <c r="EP1" s="403"/>
      <c r="EQ1" s="403"/>
      <c r="ER1" s="403"/>
      <c r="ES1" s="403"/>
      <c r="ET1" s="403"/>
      <c r="EU1" s="403"/>
      <c r="EV1" s="403"/>
      <c r="EW1" s="403"/>
      <c r="EX1" s="403"/>
      <c r="EY1" s="403"/>
      <c r="EZ1" s="403"/>
      <c r="FA1" s="403"/>
      <c r="FB1" s="403"/>
      <c r="FC1" s="403"/>
      <c r="FD1" s="403"/>
      <c r="FE1" s="403"/>
      <c r="FF1" s="403"/>
      <c r="FG1" s="403"/>
      <c r="FH1" s="403"/>
      <c r="FI1" s="403"/>
      <c r="FJ1" s="403"/>
      <c r="FK1" s="403"/>
      <c r="FL1" s="403"/>
      <c r="FM1" s="403"/>
      <c r="FN1" s="403"/>
      <c r="FO1" s="403"/>
      <c r="FP1" s="403"/>
      <c r="FQ1" s="403"/>
      <c r="FR1" s="403"/>
      <c r="FS1" s="403"/>
      <c r="FT1" s="403"/>
      <c r="FU1" s="403"/>
      <c r="FV1" s="403"/>
      <c r="FW1" s="403"/>
      <c r="FX1" s="403" t="s">
        <v>4637</v>
      </c>
      <c r="FY1" s="403"/>
      <c r="FZ1" s="403"/>
      <c r="GA1" s="403"/>
      <c r="GB1" s="403"/>
      <c r="GC1" s="403"/>
      <c r="GD1" s="403"/>
      <c r="GE1" s="403"/>
      <c r="GF1" s="403"/>
      <c r="GG1" s="403"/>
      <c r="GH1" s="403"/>
      <c r="GI1" s="403"/>
      <c r="GJ1" s="403"/>
      <c r="GK1" s="403"/>
      <c r="GL1" s="403"/>
      <c r="GM1" s="403"/>
      <c r="GN1" s="403"/>
      <c r="GO1" s="403"/>
      <c r="GP1" s="403"/>
      <c r="GQ1" s="403"/>
      <c r="GR1" s="403"/>
      <c r="GS1" s="403"/>
      <c r="GT1" s="403"/>
      <c r="GU1" s="403"/>
      <c r="GV1" s="403"/>
      <c r="GW1" s="403"/>
      <c r="GX1" s="403"/>
      <c r="GY1" s="403"/>
      <c r="GZ1" s="403"/>
      <c r="HA1" s="403"/>
      <c r="HB1" s="403"/>
      <c r="HC1" s="403"/>
      <c r="HD1" s="403"/>
      <c r="HE1" s="403"/>
      <c r="HF1" s="403"/>
      <c r="HG1" s="403"/>
      <c r="HH1" s="403" t="s">
        <v>4638</v>
      </c>
      <c r="HI1" s="403"/>
      <c r="HJ1" s="403"/>
      <c r="HK1" s="403"/>
      <c r="HL1" s="403"/>
      <c r="HM1" s="403"/>
      <c r="HN1" s="403"/>
      <c r="HO1" s="403"/>
      <c r="HP1" s="403"/>
      <c r="HQ1" s="403"/>
      <c r="HR1" s="403"/>
      <c r="HS1" s="403"/>
      <c r="HT1" s="403"/>
      <c r="HU1" s="403"/>
      <c r="HV1" s="403"/>
      <c r="HW1" s="403"/>
      <c r="HX1" s="403"/>
      <c r="HY1" s="403"/>
      <c r="HZ1" s="403"/>
      <c r="IA1" s="403"/>
      <c r="IB1" s="403"/>
      <c r="IC1" s="403"/>
      <c r="ID1" s="403"/>
      <c r="IE1" s="403"/>
      <c r="IF1" s="403"/>
      <c r="IG1" s="403"/>
      <c r="IH1" s="403"/>
      <c r="II1" s="403"/>
      <c r="IJ1" s="403"/>
      <c r="IK1" s="403"/>
      <c r="IL1" s="403"/>
      <c r="IM1" s="403"/>
      <c r="IN1" s="403"/>
      <c r="IO1" s="403"/>
      <c r="IP1" s="403"/>
      <c r="IQ1" s="403"/>
      <c r="IR1" s="403" t="s">
        <v>4639</v>
      </c>
      <c r="IS1" s="403"/>
      <c r="IT1" s="403"/>
      <c r="IU1" s="403"/>
      <c r="IV1" s="403"/>
      <c r="IW1" s="403"/>
      <c r="IX1" s="403"/>
      <c r="IY1" s="403"/>
      <c r="IZ1" s="403"/>
      <c r="JA1" s="403"/>
      <c r="JB1" s="403"/>
      <c r="JC1" s="403"/>
      <c r="JD1" s="403"/>
      <c r="JE1" s="403"/>
      <c r="JF1" s="403"/>
      <c r="JG1" s="403"/>
      <c r="JH1" s="403"/>
      <c r="JI1" s="403"/>
      <c r="JJ1" s="403"/>
      <c r="JK1" s="403"/>
      <c r="JL1" s="403"/>
      <c r="JM1" s="403"/>
      <c r="JN1" s="403"/>
      <c r="JO1" s="403"/>
      <c r="JP1" s="403"/>
      <c r="JQ1" s="403"/>
      <c r="JR1" s="403"/>
      <c r="JS1" s="403"/>
      <c r="JT1" s="403"/>
      <c r="JU1" s="403"/>
      <c r="JV1" s="403"/>
      <c r="JW1" s="403"/>
      <c r="JX1" s="403"/>
      <c r="JY1" s="403"/>
      <c r="JZ1" s="224"/>
      <c r="KA1" s="224"/>
      <c r="KB1" s="224"/>
      <c r="KC1" s="224"/>
      <c r="KD1" s="224"/>
      <c r="KE1" s="224"/>
      <c r="KF1" s="224"/>
      <c r="KG1" s="224"/>
      <c r="KH1" s="224"/>
      <c r="KI1" s="224"/>
      <c r="KJ1" s="224"/>
      <c r="KK1" s="224"/>
      <c r="KL1" s="224"/>
      <c r="KM1" s="224"/>
      <c r="KN1" s="224"/>
      <c r="KO1" s="224"/>
      <c r="KP1" s="224"/>
      <c r="KQ1" s="224"/>
      <c r="KR1" s="224"/>
      <c r="KS1" s="224"/>
      <c r="KT1" s="224"/>
      <c r="KU1" s="224"/>
      <c r="KV1" s="224"/>
      <c r="KW1" s="224"/>
      <c r="KX1" s="224"/>
      <c r="KY1" s="224"/>
      <c r="KZ1" s="224"/>
      <c r="LA1" s="224"/>
      <c r="LB1" s="224"/>
      <c r="LC1" s="224"/>
      <c r="LD1" s="224"/>
      <c r="LE1" s="224"/>
      <c r="LF1" s="224"/>
      <c r="LG1" s="224"/>
      <c r="LH1" s="224"/>
      <c r="LI1" s="224"/>
      <c r="LJ1" s="224"/>
      <c r="LK1" s="224"/>
      <c r="LL1" s="224"/>
      <c r="LM1" s="224"/>
      <c r="LN1" s="224"/>
      <c r="LO1" s="224"/>
      <c r="LP1" s="224"/>
      <c r="LQ1" s="224"/>
      <c r="LR1" s="224"/>
      <c r="LS1" s="224"/>
      <c r="LT1" s="224"/>
      <c r="LU1" s="224"/>
      <c r="LV1" s="224"/>
      <c r="LW1" s="224"/>
      <c r="LX1" s="224"/>
      <c r="LY1" s="224"/>
      <c r="LZ1" s="224"/>
      <c r="MA1" s="224"/>
      <c r="MB1" s="224"/>
      <c r="MC1" s="224"/>
      <c r="MD1" s="224"/>
      <c r="ME1" s="224"/>
      <c r="MF1" s="224"/>
      <c r="MG1" s="224"/>
      <c r="MH1" s="224"/>
      <c r="MI1" s="224"/>
      <c r="MJ1" s="224"/>
      <c r="MK1" s="224"/>
      <c r="ML1" s="224"/>
      <c r="MM1" s="224"/>
      <c r="MN1" s="224"/>
      <c r="MO1" s="224"/>
      <c r="MP1" s="224"/>
      <c r="MQ1" s="224"/>
      <c r="MR1" s="224"/>
      <c r="MS1" s="224"/>
      <c r="MT1" s="224"/>
      <c r="MU1" s="224"/>
      <c r="MV1" s="224"/>
      <c r="MW1" s="224"/>
      <c r="MX1" s="224"/>
      <c r="MY1" s="224"/>
      <c r="MZ1" s="224"/>
      <c r="NA1" s="224"/>
      <c r="NB1" s="224"/>
      <c r="NC1" s="224"/>
      <c r="ND1" s="224"/>
      <c r="NE1" s="224"/>
      <c r="NF1" s="224"/>
      <c r="NG1" s="224"/>
      <c r="NH1" s="224"/>
      <c r="NI1" s="224"/>
      <c r="NJ1" s="224"/>
      <c r="NK1" s="224"/>
      <c r="NL1" s="224"/>
      <c r="NM1" s="224"/>
      <c r="NN1" s="224"/>
      <c r="NO1" s="224"/>
      <c r="NP1" s="224"/>
      <c r="NQ1" s="224"/>
      <c r="NR1" s="224"/>
      <c r="NS1" s="224"/>
      <c r="NT1" s="224"/>
      <c r="NU1" s="224"/>
      <c r="NV1" s="224"/>
      <c r="NW1" s="224"/>
      <c r="NX1" s="224"/>
      <c r="NY1" s="224"/>
      <c r="NZ1" s="224"/>
      <c r="OA1" s="224"/>
      <c r="OB1" s="224"/>
      <c r="OC1" s="224"/>
      <c r="OD1" s="224"/>
      <c r="OE1" s="224"/>
      <c r="OF1" s="224"/>
      <c r="OG1" s="224"/>
      <c r="OH1" s="224"/>
      <c r="OI1" s="224"/>
      <c r="OJ1" s="224"/>
      <c r="OK1" s="224"/>
      <c r="OL1" s="224"/>
      <c r="OM1" s="224"/>
      <c r="ON1" s="224"/>
      <c r="OO1" s="224"/>
      <c r="OP1" s="224"/>
      <c r="OQ1" s="224"/>
      <c r="OR1" s="224"/>
      <c r="OS1" s="224"/>
      <c r="OT1" s="224"/>
      <c r="OU1" s="224"/>
      <c r="OV1" s="224"/>
      <c r="OW1" s="224"/>
      <c r="OX1" s="224"/>
      <c r="OY1" s="224"/>
      <c r="OZ1" s="224"/>
      <c r="PA1" s="224"/>
      <c r="PB1" s="224"/>
      <c r="PC1" s="224"/>
      <c r="PD1" s="224"/>
      <c r="PE1" s="224"/>
      <c r="PF1" s="224"/>
      <c r="PG1" s="224"/>
      <c r="PH1" s="224"/>
      <c r="PI1" s="224"/>
      <c r="PJ1" s="224"/>
      <c r="PK1" s="224"/>
      <c r="PL1" s="224"/>
      <c r="PM1" s="224"/>
      <c r="PN1" s="224"/>
      <c r="PO1" s="224"/>
      <c r="PP1" s="224"/>
      <c r="PQ1" s="224"/>
      <c r="PR1" s="224"/>
      <c r="PS1" s="224"/>
      <c r="PT1" s="224"/>
      <c r="PU1" s="224"/>
      <c r="PV1" s="224"/>
      <c r="PW1" s="224"/>
      <c r="PX1" s="224"/>
      <c r="PY1" s="224"/>
      <c r="PZ1" s="224"/>
      <c r="QA1" s="224"/>
      <c r="QB1" s="224"/>
      <c r="QC1" s="224"/>
      <c r="QD1" s="224"/>
      <c r="QE1" s="224"/>
      <c r="QF1" s="224"/>
      <c r="QG1" s="224"/>
      <c r="QH1" s="224"/>
      <c r="QI1" s="224"/>
      <c r="QJ1" s="224"/>
      <c r="QK1" s="224"/>
      <c r="QL1" s="224"/>
      <c r="QM1" s="224"/>
      <c r="QN1" s="224"/>
      <c r="QO1" s="224"/>
      <c r="QP1" s="224"/>
      <c r="QQ1" s="224"/>
      <c r="QR1" s="224"/>
      <c r="QS1" s="224"/>
      <c r="QT1" s="224"/>
      <c r="QU1" s="224"/>
      <c r="QV1" s="224"/>
      <c r="QW1" s="224"/>
      <c r="QX1" s="224"/>
      <c r="QY1" s="224"/>
      <c r="QZ1" s="224"/>
      <c r="RA1" s="224"/>
      <c r="RB1" s="224"/>
      <c r="RC1" s="224"/>
      <c r="RD1" s="224"/>
      <c r="RE1" s="224"/>
      <c r="RF1" s="224"/>
      <c r="RG1" s="224"/>
      <c r="RH1" s="224"/>
      <c r="RI1" s="224"/>
      <c r="RJ1" s="224"/>
      <c r="RK1" s="224"/>
      <c r="RL1" s="224"/>
      <c r="RM1" s="224"/>
      <c r="RN1" s="224"/>
      <c r="RO1" s="224"/>
      <c r="RP1" s="224"/>
      <c r="RQ1" s="224"/>
      <c r="RR1" s="224"/>
      <c r="RS1" s="224"/>
      <c r="RT1" s="224"/>
      <c r="RU1" s="224"/>
      <c r="RV1" s="224"/>
      <c r="RW1" s="224"/>
      <c r="RX1" s="224"/>
      <c r="RY1" s="224"/>
      <c r="RZ1" s="224"/>
      <c r="SA1" s="224"/>
      <c r="SB1" s="224"/>
      <c r="SC1" s="224"/>
      <c r="SD1" s="224"/>
      <c r="SE1" s="224"/>
      <c r="SF1" s="224"/>
      <c r="SG1" s="224"/>
      <c r="SH1" s="224"/>
      <c r="SI1" s="224"/>
      <c r="SJ1" s="224"/>
      <c r="SK1" s="224"/>
      <c r="SL1" s="224"/>
      <c r="SM1" s="224"/>
      <c r="SN1" s="224"/>
      <c r="SO1" s="224"/>
      <c r="SP1" s="224"/>
      <c r="SQ1" s="224"/>
      <c r="SR1" s="224"/>
      <c r="SS1" s="224"/>
      <c r="ST1" s="224"/>
      <c r="SU1" s="224"/>
      <c r="SV1" s="224"/>
      <c r="SW1" s="224"/>
      <c r="SX1" s="224"/>
      <c r="SY1" s="224"/>
      <c r="SZ1" s="224"/>
      <c r="TA1" s="224"/>
      <c r="TB1" s="224"/>
      <c r="TC1" s="224"/>
      <c r="TD1" s="224"/>
      <c r="TE1" s="224"/>
      <c r="TF1" s="224"/>
      <c r="TG1" s="224"/>
      <c r="TH1" s="224"/>
      <c r="TI1" s="224"/>
      <c r="TJ1" s="224"/>
      <c r="TK1" s="224"/>
      <c r="TL1" s="224"/>
      <c r="TM1" s="224"/>
      <c r="TN1" s="224"/>
      <c r="TO1" s="224"/>
      <c r="TP1" s="224"/>
      <c r="TQ1" s="224"/>
      <c r="TR1" s="224"/>
      <c r="TS1" s="224"/>
      <c r="TT1" s="224"/>
      <c r="TU1" s="224"/>
      <c r="TV1" s="224"/>
      <c r="TW1" s="224"/>
      <c r="TX1" s="224"/>
      <c r="TY1" s="224"/>
      <c r="TZ1" s="224"/>
      <c r="UA1" s="224"/>
      <c r="UB1" s="224"/>
      <c r="UC1" s="224"/>
      <c r="UD1" s="224"/>
      <c r="UE1" s="224"/>
      <c r="UF1" s="224"/>
      <c r="UG1" s="224"/>
      <c r="UH1" s="224"/>
      <c r="UI1" s="224"/>
      <c r="UJ1" s="224"/>
      <c r="UK1" s="224"/>
      <c r="UL1" s="224"/>
      <c r="UM1" s="224"/>
      <c r="UN1" s="224"/>
      <c r="UO1" s="224"/>
      <c r="UP1" s="224"/>
      <c r="UQ1" s="224"/>
      <c r="UR1" s="224"/>
      <c r="US1" s="224"/>
      <c r="UT1" s="224"/>
      <c r="UU1" s="224"/>
      <c r="UV1" s="224"/>
      <c r="UW1" s="224"/>
      <c r="UX1" s="224"/>
      <c r="UY1" s="224"/>
      <c r="UZ1" s="224"/>
      <c r="VA1" s="224"/>
      <c r="VB1" s="224"/>
      <c r="VC1" s="224"/>
      <c r="VD1" s="224"/>
      <c r="VE1" s="224"/>
      <c r="VF1" s="224"/>
      <c r="VG1" s="224"/>
      <c r="VH1" s="224"/>
      <c r="VI1" s="224"/>
      <c r="VJ1" s="224"/>
      <c r="VK1" s="224"/>
      <c r="VL1" s="224"/>
      <c r="VM1" s="224"/>
      <c r="VN1" s="224"/>
      <c r="VO1" s="224"/>
      <c r="VP1" s="224"/>
      <c r="VQ1" s="224"/>
      <c r="VR1" s="224"/>
      <c r="VS1" s="224"/>
      <c r="VT1" s="224"/>
      <c r="VU1" s="224"/>
      <c r="VV1" s="224"/>
      <c r="VW1" s="224"/>
      <c r="VX1" s="224"/>
      <c r="VY1" s="224"/>
      <c r="VZ1" s="224"/>
      <c r="WA1" s="224"/>
      <c r="WB1" s="224"/>
      <c r="WC1" s="224"/>
      <c r="WD1" s="224"/>
      <c r="WE1" s="224"/>
      <c r="WF1" s="224"/>
      <c r="WG1" s="224"/>
      <c r="WH1" s="224"/>
      <c r="WI1" s="224"/>
      <c r="WJ1" s="224"/>
      <c r="WK1" s="224"/>
      <c r="WL1" s="224"/>
      <c r="WM1" s="224"/>
      <c r="WN1" s="224"/>
      <c r="WO1" s="224"/>
      <c r="WP1" s="224"/>
      <c r="WQ1" s="224"/>
      <c r="WR1" s="224"/>
      <c r="WS1" s="224"/>
      <c r="WT1" s="224"/>
      <c r="WU1" s="224"/>
      <c r="WV1" s="224"/>
      <c r="WW1" s="224"/>
      <c r="WX1" s="224"/>
      <c r="WY1" s="224"/>
      <c r="WZ1" s="224"/>
      <c r="XA1" s="224"/>
      <c r="XB1" s="224"/>
      <c r="XC1" s="224"/>
      <c r="XD1" s="224"/>
      <c r="XE1" s="224"/>
      <c r="XF1" s="224"/>
      <c r="XG1" s="224"/>
      <c r="XH1" s="224"/>
      <c r="XI1" s="224"/>
      <c r="XJ1" s="224"/>
      <c r="XK1" s="224"/>
      <c r="XL1" s="224"/>
      <c r="XM1" s="224"/>
      <c r="XN1" s="224"/>
      <c r="XO1" s="224"/>
      <c r="XP1" s="224"/>
      <c r="XQ1" s="224"/>
      <c r="XR1" s="224"/>
      <c r="XS1" s="224"/>
      <c r="XT1" s="224"/>
      <c r="XU1" s="224"/>
      <c r="XV1" s="224"/>
      <c r="XW1" s="224"/>
      <c r="XX1" s="224"/>
      <c r="XY1" s="224"/>
      <c r="XZ1" s="224"/>
      <c r="YA1" s="224"/>
      <c r="YB1" s="224"/>
      <c r="YC1" s="224"/>
      <c r="YD1" s="224"/>
      <c r="YE1" s="224"/>
      <c r="YF1" s="224"/>
      <c r="YG1" s="224"/>
      <c r="YH1" s="224"/>
      <c r="YI1" s="224"/>
      <c r="YJ1" s="224"/>
      <c r="YK1" s="224"/>
      <c r="YL1" s="224"/>
      <c r="YM1" s="224"/>
      <c r="YN1" s="224"/>
      <c r="YO1" s="224"/>
      <c r="YP1" s="224"/>
      <c r="YQ1" s="224"/>
      <c r="YR1" s="224"/>
      <c r="YS1" s="224"/>
      <c r="YT1" s="224"/>
      <c r="YU1" s="224"/>
      <c r="YV1" s="224"/>
      <c r="YW1" s="224"/>
      <c r="YX1" s="224"/>
      <c r="YY1" s="224"/>
      <c r="YZ1" s="224"/>
      <c r="ZA1" s="224"/>
      <c r="ZB1" s="224"/>
      <c r="ZC1" s="224"/>
      <c r="ZD1" s="224"/>
      <c r="ZE1" s="224"/>
      <c r="ZF1" s="224"/>
      <c r="ZG1" s="224"/>
      <c r="ZH1" s="224"/>
      <c r="ZI1" s="224"/>
      <c r="ZJ1" s="224"/>
      <c r="ZK1" s="224"/>
      <c r="ZL1" s="224"/>
      <c r="ZM1" s="224"/>
      <c r="ZN1" s="224"/>
      <c r="ZO1" s="224"/>
      <c r="ZP1" s="224"/>
      <c r="ZQ1" s="224"/>
      <c r="ZR1" s="224"/>
      <c r="ZS1" s="224"/>
      <c r="ZT1" s="224"/>
      <c r="ZU1" s="224"/>
      <c r="ZV1" s="224"/>
      <c r="ZW1" s="224"/>
      <c r="ZX1" s="224"/>
      <c r="ZY1" s="224"/>
      <c r="ZZ1" s="224"/>
      <c r="AAA1" s="224"/>
      <c r="AAB1" s="224"/>
      <c r="AAC1" s="224"/>
      <c r="AAD1" s="224"/>
      <c r="AAE1" s="224"/>
      <c r="AAF1" s="224"/>
      <c r="AAG1" s="224"/>
      <c r="AAH1" s="224"/>
      <c r="AAI1" s="224"/>
      <c r="AAJ1" s="224"/>
      <c r="AAK1" s="224"/>
      <c r="AAL1" s="224"/>
      <c r="AAM1" s="224"/>
      <c r="AAN1" s="224"/>
      <c r="AAO1" s="224"/>
      <c r="AAP1" s="224"/>
      <c r="AAQ1" s="224"/>
      <c r="AAR1" s="224"/>
      <c r="AAS1" s="224"/>
      <c r="AAT1" s="224"/>
      <c r="AAU1" s="224"/>
      <c r="AAV1" s="224"/>
      <c r="AAW1" s="224"/>
      <c r="AAX1" s="224"/>
      <c r="AAY1" s="224"/>
      <c r="AAZ1" s="224"/>
      <c r="ABA1" s="224"/>
      <c r="ABB1" s="224"/>
      <c r="ABC1" s="224"/>
      <c r="ABD1" s="224"/>
      <c r="ABE1" s="224"/>
      <c r="ABF1" s="224"/>
      <c r="ABG1" s="224"/>
      <c r="ABH1" s="224"/>
      <c r="ABI1" s="224"/>
      <c r="ABJ1" s="224"/>
      <c r="ABK1" s="224"/>
      <c r="ABL1" s="224"/>
      <c r="ABM1" s="224"/>
      <c r="ABN1" s="224"/>
      <c r="ABO1" s="224"/>
      <c r="ABP1" s="224"/>
      <c r="ABQ1" s="224"/>
      <c r="ABR1" s="224"/>
      <c r="ABS1" s="224"/>
      <c r="ABT1" s="224"/>
      <c r="ABU1" s="224"/>
      <c r="ABV1" s="224"/>
      <c r="ABW1" s="224"/>
      <c r="ABX1" s="224"/>
      <c r="ABY1" s="224"/>
      <c r="ABZ1" s="224"/>
      <c r="ACA1" s="224"/>
      <c r="ACB1" s="224"/>
      <c r="ACC1" s="224"/>
      <c r="ACD1" s="224"/>
      <c r="ACE1" s="224"/>
      <c r="ACF1" s="224"/>
      <c r="ACG1" s="224"/>
      <c r="ACH1" s="224"/>
      <c r="ACI1" s="224"/>
      <c r="ACJ1" s="224"/>
      <c r="ACK1" s="224"/>
      <c r="ACL1" s="224"/>
      <c r="ACM1" s="224"/>
      <c r="ACN1" s="224"/>
      <c r="ACO1" s="224"/>
      <c r="ACP1" s="224"/>
      <c r="ACQ1" s="224"/>
      <c r="ACR1" s="224"/>
      <c r="ACS1" s="224"/>
      <c r="ACT1" s="224"/>
      <c r="ACU1" s="224"/>
      <c r="ACV1" s="224"/>
      <c r="ACW1" s="224"/>
      <c r="ACX1" s="224"/>
      <c r="ACY1" s="224"/>
      <c r="ACZ1" s="224"/>
      <c r="ADA1" s="224"/>
      <c r="ADB1" s="224"/>
      <c r="ADC1" s="224"/>
      <c r="ADD1" s="224"/>
      <c r="ADE1" s="224"/>
      <c r="ADF1" s="224"/>
      <c r="ADG1" s="224"/>
      <c r="ADH1" s="224"/>
      <c r="ADI1" s="224"/>
      <c r="ADJ1" s="224"/>
      <c r="ADK1" s="224"/>
      <c r="ADL1" s="224"/>
      <c r="ADM1" s="224"/>
      <c r="ADN1" s="224"/>
      <c r="ADO1" s="224"/>
      <c r="ADP1" s="224"/>
      <c r="ADQ1" s="224"/>
      <c r="ADR1" s="224"/>
      <c r="ADS1" s="224"/>
      <c r="ADT1" s="224"/>
      <c r="ADU1" s="224"/>
      <c r="ADV1" s="224"/>
      <c r="ADW1" s="224"/>
      <c r="ADX1" s="224"/>
      <c r="ADY1" s="224"/>
      <c r="ADZ1" s="224"/>
      <c r="AEA1" s="224"/>
      <c r="AEB1" s="224"/>
      <c r="AEC1" s="224"/>
      <c r="AED1" s="224"/>
      <c r="AEE1" s="224"/>
      <c r="AEF1" s="224"/>
      <c r="AEG1" s="224"/>
      <c r="AEH1" s="224"/>
      <c r="AEI1" s="224"/>
      <c r="AEJ1" s="224"/>
      <c r="AEK1" s="224"/>
      <c r="AEL1" s="224"/>
      <c r="AEM1" s="224"/>
      <c r="AEN1" s="224"/>
      <c r="AEO1" s="224"/>
      <c r="AEP1" s="224"/>
      <c r="AEQ1" s="224"/>
      <c r="AER1" s="224"/>
      <c r="AES1" s="224"/>
      <c r="AET1" s="224"/>
      <c r="AEU1" s="224"/>
      <c r="AEV1" s="224"/>
      <c r="AEW1" s="224"/>
      <c r="AEX1" s="224"/>
      <c r="AEY1" s="224"/>
      <c r="AEZ1" s="224"/>
      <c r="AFA1" s="224"/>
      <c r="AFB1" s="224"/>
      <c r="AFC1" s="224"/>
      <c r="AFD1" s="224"/>
      <c r="AFE1" s="224"/>
      <c r="AFF1" s="224"/>
      <c r="AFG1" s="224"/>
      <c r="AFH1" s="224"/>
      <c r="AFI1" s="224"/>
      <c r="AFJ1" s="224"/>
      <c r="AFK1" s="224"/>
      <c r="AFL1" s="224"/>
      <c r="AFM1" s="224"/>
      <c r="AFN1" s="224"/>
      <c r="AFO1" s="224"/>
      <c r="AFP1" s="224"/>
      <c r="AFQ1" s="224"/>
      <c r="AFR1" s="224"/>
      <c r="AFS1" s="224"/>
      <c r="AFT1" s="224"/>
      <c r="AFU1" s="224"/>
      <c r="AFV1" s="224"/>
      <c r="AFW1" s="224"/>
      <c r="AFX1" s="224"/>
      <c r="AFY1" s="224"/>
      <c r="AFZ1" s="224"/>
      <c r="AGA1" s="224"/>
      <c r="AGB1" s="224"/>
      <c r="AGC1" s="224"/>
      <c r="AGD1" s="224"/>
      <c r="AGE1" s="224"/>
      <c r="AGF1" s="224"/>
      <c r="AGG1" s="224"/>
      <c r="AGH1" s="224"/>
      <c r="AGI1" s="224"/>
      <c r="AGJ1" s="224"/>
      <c r="AGK1" s="224"/>
      <c r="AGL1" s="224"/>
      <c r="AGM1" s="224"/>
      <c r="AGN1" s="224"/>
      <c r="AGO1" s="224"/>
      <c r="AGP1" s="224"/>
      <c r="AGQ1" s="224"/>
      <c r="AGR1" s="224"/>
      <c r="AGS1" s="224"/>
      <c r="AGT1" s="224"/>
      <c r="AGU1" s="224"/>
      <c r="AGV1" s="224"/>
      <c r="AGW1" s="224"/>
      <c r="AGX1" s="224"/>
      <c r="AGY1" s="224"/>
      <c r="AGZ1" s="224"/>
      <c r="AHA1" s="224"/>
      <c r="AHB1" s="224"/>
      <c r="AHC1" s="224"/>
      <c r="AHD1" s="224"/>
      <c r="AHE1" s="224"/>
      <c r="AHF1" s="224"/>
      <c r="AHG1" s="224"/>
      <c r="AHH1" s="224"/>
      <c r="AHI1" s="224"/>
      <c r="AHJ1" s="224"/>
      <c r="AHK1" s="224"/>
      <c r="AHL1" s="224"/>
      <c r="AHM1" s="224"/>
      <c r="AHN1" s="224"/>
      <c r="AHO1" s="224"/>
      <c r="AHP1" s="224"/>
      <c r="AHQ1" s="224"/>
      <c r="AHR1" s="224"/>
      <c r="AHS1" s="224"/>
      <c r="AHT1" s="224"/>
      <c r="AHU1" s="224"/>
      <c r="AHV1" s="224"/>
      <c r="AHW1" s="224"/>
      <c r="AHX1" s="224"/>
      <c r="AHY1" s="224"/>
      <c r="AHZ1" s="224"/>
      <c r="AIA1" s="224"/>
      <c r="AIB1" s="224"/>
      <c r="AIC1" s="224"/>
      <c r="AID1" s="224"/>
      <c r="AIE1" s="224"/>
      <c r="AIF1" s="224"/>
      <c r="AIG1" s="224"/>
      <c r="AIH1" s="224"/>
      <c r="AII1" s="224"/>
      <c r="AIJ1" s="224"/>
      <c r="AIK1" s="224"/>
      <c r="AIL1" s="224"/>
      <c r="AIM1" s="224"/>
      <c r="AIN1" s="224"/>
      <c r="AIO1" s="224"/>
      <c r="AIP1" s="224"/>
      <c r="AIQ1" s="224"/>
      <c r="AIR1" s="224"/>
      <c r="AIS1" s="224"/>
      <c r="AIT1" s="224"/>
      <c r="AIU1" s="224"/>
      <c r="AIV1" s="224"/>
      <c r="AIW1" s="224"/>
      <c r="AIX1" s="224"/>
      <c r="AIY1" s="224"/>
      <c r="AIZ1" s="224"/>
      <c r="AJA1" s="224"/>
      <c r="AJB1" s="224"/>
      <c r="AJC1" s="224"/>
      <c r="AJD1" s="224"/>
      <c r="AJE1" s="224"/>
      <c r="AJF1" s="224"/>
      <c r="AJG1" s="224"/>
      <c r="AJH1" s="224"/>
      <c r="AJI1" s="224"/>
      <c r="AJJ1" s="224"/>
      <c r="AJK1" s="224"/>
      <c r="AJL1" s="224"/>
      <c r="AJM1" s="224"/>
      <c r="AJN1" s="224"/>
      <c r="AJO1" s="224"/>
      <c r="AJP1" s="224"/>
      <c r="AJQ1" s="224"/>
      <c r="AJR1" s="224"/>
      <c r="AJS1" s="224"/>
      <c r="AJT1" s="224"/>
      <c r="AJU1" s="224"/>
      <c r="AJV1" s="224"/>
      <c r="AJW1" s="224"/>
      <c r="AJX1" s="224"/>
      <c r="AJY1" s="224"/>
      <c r="AJZ1" s="224"/>
      <c r="AKA1" s="224"/>
      <c r="AKB1" s="224"/>
      <c r="AKC1" s="224"/>
      <c r="AKD1" s="224"/>
      <c r="AKE1" s="224"/>
      <c r="AKF1" s="224"/>
      <c r="AKG1" s="224"/>
      <c r="AKH1" s="224"/>
      <c r="AKI1" s="224"/>
      <c r="AKJ1" s="224"/>
      <c r="AKK1" s="224"/>
      <c r="AKL1" s="224"/>
      <c r="AKM1" s="224"/>
      <c r="AKN1" s="224"/>
      <c r="AKO1" s="224"/>
      <c r="AKP1" s="224"/>
      <c r="AKQ1" s="224"/>
      <c r="AKR1" s="224"/>
      <c r="AKS1" s="224"/>
      <c r="AKT1" s="224"/>
      <c r="AKU1" s="224"/>
      <c r="AKV1" s="224"/>
      <c r="AKW1" s="224"/>
      <c r="AKX1" s="224"/>
      <c r="AKY1" s="224"/>
      <c r="AKZ1" s="224"/>
      <c r="ALA1" s="224"/>
      <c r="ALB1" s="224"/>
      <c r="ALC1" s="224"/>
      <c r="ALD1" s="224"/>
      <c r="ALE1" s="224"/>
      <c r="ALF1" s="224"/>
      <c r="ALG1" s="224"/>
      <c r="ALH1" s="224"/>
      <c r="ALI1" s="224"/>
      <c r="ALJ1" s="224"/>
      <c r="ALK1" s="224"/>
      <c r="ALL1" s="224"/>
      <c r="ALM1" s="224"/>
      <c r="ALN1" s="224"/>
      <c r="ALO1" s="224"/>
      <c r="ALP1" s="224"/>
      <c r="ALQ1" s="224"/>
      <c r="ALR1" s="224"/>
      <c r="ALS1" s="224"/>
      <c r="ALT1" s="224"/>
      <c r="ALU1" s="224"/>
      <c r="ALV1" s="224"/>
      <c r="ALW1" s="224"/>
      <c r="ALX1" s="224"/>
      <c r="ALY1" s="224"/>
      <c r="ALZ1" s="224"/>
      <c r="AMA1" s="224"/>
      <c r="AMB1" s="224"/>
      <c r="AMC1" s="224"/>
      <c r="AMD1" s="224"/>
      <c r="AME1" s="224"/>
      <c r="AMF1" s="224"/>
      <c r="AMG1" s="224"/>
      <c r="AMH1" s="224"/>
      <c r="AMI1" s="224"/>
      <c r="AMJ1" s="224"/>
      <c r="AMK1" s="224"/>
      <c r="AML1" s="224"/>
      <c r="AMM1" s="224"/>
      <c r="AMN1" s="224"/>
      <c r="AMO1" s="224"/>
      <c r="AMP1" s="224"/>
      <c r="AMQ1" s="224"/>
      <c r="AMR1" s="224"/>
      <c r="AMS1" s="224"/>
      <c r="AMT1" s="224"/>
      <c r="AMU1" s="224"/>
      <c r="AMV1" s="224"/>
      <c r="AMW1" s="224"/>
      <c r="AMX1" s="224"/>
      <c r="AMY1" s="224"/>
      <c r="AMZ1" s="224"/>
      <c r="ANA1" s="224"/>
      <c r="ANB1" s="224"/>
      <c r="ANC1" s="224"/>
      <c r="AND1" s="224"/>
      <c r="ANE1" s="224"/>
      <c r="ANF1" s="224"/>
      <c r="ANG1" s="224"/>
      <c r="ANH1" s="224"/>
      <c r="ANI1" s="224"/>
      <c r="ANJ1" s="224"/>
      <c r="ANK1" s="224"/>
      <c r="ANL1" s="224"/>
      <c r="ANM1" s="224"/>
      <c r="ANN1" s="224"/>
      <c r="ANO1" s="224"/>
      <c r="ANP1" s="224"/>
      <c r="ANQ1" s="224"/>
      <c r="ANR1" s="224"/>
      <c r="ANS1" s="224"/>
      <c r="ANT1" s="224"/>
      <c r="ANU1" s="224"/>
      <c r="ANV1" s="224"/>
      <c r="ANW1" s="224"/>
      <c r="ANX1" s="224"/>
      <c r="ANY1" s="224"/>
      <c r="ANZ1" s="224"/>
      <c r="AOA1" s="224"/>
      <c r="AOB1" s="224"/>
      <c r="AOC1" s="224"/>
      <c r="AOD1" s="224"/>
      <c r="AOE1" s="224"/>
      <c r="AOF1" s="224"/>
      <c r="AOG1" s="224"/>
      <c r="AOH1" s="224"/>
      <c r="AOI1" s="224"/>
      <c r="AOJ1" s="224"/>
      <c r="AOK1" s="224"/>
      <c r="AOL1" s="224"/>
      <c r="AOM1" s="224"/>
      <c r="AON1" s="224"/>
      <c r="AOO1" s="224"/>
      <c r="AOP1" s="224"/>
      <c r="AOQ1" s="224"/>
      <c r="AOR1" s="224"/>
      <c r="AOS1" s="224"/>
      <c r="AOT1" s="224"/>
      <c r="AOU1" s="224"/>
      <c r="AOV1" s="224"/>
      <c r="AOW1" s="224"/>
      <c r="AOX1" s="224"/>
      <c r="AOY1" s="224"/>
      <c r="AOZ1" s="224"/>
      <c r="APA1" s="224"/>
      <c r="APB1" s="224"/>
      <c r="APC1" s="224"/>
      <c r="APD1" s="224"/>
      <c r="APE1" s="224"/>
      <c r="APF1" s="224"/>
      <c r="APG1" s="224"/>
      <c r="APH1" s="224"/>
      <c r="API1" s="224"/>
      <c r="APJ1" s="224"/>
      <c r="APK1" s="224"/>
      <c r="APL1" s="224"/>
      <c r="APM1" s="224"/>
      <c r="APN1" s="224"/>
      <c r="APO1" s="224"/>
      <c r="APP1" s="224"/>
      <c r="APQ1" s="224"/>
      <c r="APR1" s="224"/>
      <c r="APS1" s="224"/>
      <c r="APT1" s="224"/>
      <c r="APU1" s="224"/>
      <c r="APV1" s="224"/>
      <c r="APW1" s="224"/>
      <c r="APX1" s="224"/>
      <c r="APY1" s="224"/>
      <c r="APZ1" s="224"/>
      <c r="AQA1" s="224"/>
      <c r="AQB1" s="224"/>
      <c r="AQC1" s="224"/>
      <c r="AQD1" s="224"/>
      <c r="AQE1" s="224"/>
      <c r="AQF1" s="224"/>
      <c r="AQG1" s="224"/>
      <c r="AQH1" s="224"/>
      <c r="AQI1" s="224"/>
      <c r="AQJ1" s="224"/>
      <c r="AQK1" s="224"/>
      <c r="AQL1" s="224"/>
      <c r="AQM1" s="224"/>
      <c r="AQN1" s="224"/>
      <c r="AQO1" s="224"/>
      <c r="AQP1" s="224"/>
      <c r="AQQ1" s="224"/>
      <c r="AQR1" s="224"/>
      <c r="AQS1" s="224"/>
      <c r="AQT1" s="224"/>
      <c r="AQU1" s="224"/>
      <c r="AQV1" s="224"/>
      <c r="AQW1" s="224"/>
      <c r="AQX1" s="224"/>
      <c r="AQY1" s="224"/>
      <c r="AQZ1" s="224"/>
      <c r="ARA1" s="224"/>
      <c r="ARB1" s="224"/>
      <c r="ARC1" s="224"/>
      <c r="ARD1" s="224"/>
      <c r="ARE1" s="224"/>
      <c r="ARF1" s="224"/>
      <c r="ARG1" s="224"/>
      <c r="ARH1" s="224"/>
      <c r="ARI1" s="224"/>
      <c r="ARJ1" s="224"/>
      <c r="ARK1" s="224"/>
      <c r="ARL1" s="224"/>
      <c r="ARM1" s="224"/>
      <c r="ARN1" s="224"/>
      <c r="ARO1" s="224"/>
      <c r="ARP1" s="224"/>
      <c r="ARQ1" s="224"/>
      <c r="ARR1" s="224"/>
      <c r="ARS1" s="224"/>
      <c r="ART1" s="224"/>
      <c r="ARU1" s="224"/>
      <c r="ARV1" s="224"/>
      <c r="ARW1" s="224"/>
      <c r="ARX1" s="224"/>
      <c r="ARY1" s="224"/>
      <c r="ARZ1" s="224"/>
      <c r="ASA1" s="224"/>
      <c r="ASB1" s="224"/>
      <c r="ASC1" s="224"/>
      <c r="ASD1" s="224"/>
      <c r="ASE1" s="224"/>
      <c r="ASF1" s="224"/>
      <c r="ASG1" s="224"/>
      <c r="ASH1" s="224"/>
      <c r="ASI1" s="224"/>
      <c r="ASJ1" s="224"/>
      <c r="ASK1" s="224"/>
      <c r="ASL1" s="224"/>
      <c r="ASM1" s="224"/>
      <c r="ASN1" s="224"/>
      <c r="ASO1" s="224"/>
      <c r="ASP1" s="224"/>
      <c r="ASQ1" s="224"/>
      <c r="ASR1" s="224"/>
      <c r="ASS1" s="224"/>
      <c r="AST1" s="224"/>
      <c r="ASU1" s="224"/>
      <c r="ASV1" s="224"/>
      <c r="ASW1" s="224"/>
      <c r="ASX1" s="224"/>
      <c r="ASY1" s="224"/>
      <c r="ASZ1" s="224"/>
      <c r="ATA1" s="224"/>
      <c r="ATB1" s="224"/>
      <c r="ATC1" s="224"/>
      <c r="ATD1" s="224"/>
      <c r="ATE1" s="224"/>
      <c r="ATF1" s="224"/>
      <c r="ATG1" s="224"/>
      <c r="ATH1" s="224"/>
      <c r="ATI1" s="224"/>
      <c r="ATJ1" s="224"/>
      <c r="ATK1" s="224"/>
      <c r="ATL1" s="224"/>
      <c r="ATM1" s="224"/>
      <c r="ATN1" s="224"/>
      <c r="ATO1" s="224"/>
      <c r="ATP1" s="224"/>
      <c r="ATQ1" s="224"/>
      <c r="ATR1" s="224"/>
      <c r="ATS1" s="224"/>
      <c r="ATT1" s="224"/>
      <c r="ATU1" s="224"/>
      <c r="ATV1" s="224"/>
      <c r="ATW1" s="224"/>
      <c r="ATX1" s="224"/>
      <c r="ATY1" s="224"/>
      <c r="ATZ1" s="224"/>
      <c r="AUA1" s="224"/>
      <c r="AUB1" s="224"/>
      <c r="AUC1" s="224"/>
      <c r="AUD1" s="224"/>
      <c r="AUE1" s="224"/>
      <c r="AUF1" s="224"/>
      <c r="AUG1" s="224"/>
      <c r="AUH1" s="224"/>
      <c r="AUI1" s="224"/>
      <c r="AUJ1" s="224"/>
      <c r="AUK1" s="224"/>
      <c r="AUL1" s="224"/>
      <c r="AUM1" s="224"/>
      <c r="AUN1" s="224"/>
      <c r="AUO1" s="224"/>
      <c r="AUP1" s="224"/>
      <c r="AUQ1" s="224"/>
      <c r="AUR1" s="224"/>
      <c r="AUS1" s="224"/>
      <c r="AUT1" s="224"/>
      <c r="AUU1" s="224"/>
      <c r="AUV1" s="224"/>
      <c r="AUW1" s="224"/>
      <c r="AUX1" s="224"/>
      <c r="AUY1" s="224"/>
      <c r="AUZ1" s="224"/>
      <c r="AVA1" s="224"/>
      <c r="AVB1" s="224"/>
      <c r="AVC1" s="224"/>
      <c r="AVD1" s="224"/>
      <c r="AVE1" s="224"/>
      <c r="AVF1" s="224"/>
      <c r="AVG1" s="224"/>
      <c r="AVH1" s="224"/>
      <c r="AVI1" s="224"/>
      <c r="AVJ1" s="224"/>
      <c r="AVK1" s="224"/>
      <c r="AVL1" s="224"/>
      <c r="AVM1" s="224"/>
      <c r="AVN1" s="224"/>
      <c r="AVO1" s="224"/>
      <c r="AVP1" s="224"/>
      <c r="AVQ1" s="224"/>
      <c r="AVR1" s="224"/>
      <c r="AVS1" s="224"/>
      <c r="AVT1" s="224"/>
      <c r="AVU1" s="224"/>
      <c r="AVV1" s="224"/>
      <c r="AVW1" s="224"/>
      <c r="AVX1" s="224"/>
      <c r="AVY1" s="224"/>
      <c r="AVZ1" s="224"/>
      <c r="AWA1" s="224"/>
      <c r="AWB1" s="224"/>
      <c r="AWC1" s="224"/>
      <c r="AWD1" s="224"/>
      <c r="AWE1" s="224"/>
      <c r="AWF1" s="224"/>
      <c r="AWG1" s="224"/>
      <c r="AWH1" s="224"/>
      <c r="AWI1" s="224"/>
      <c r="AWJ1" s="224"/>
      <c r="AWK1" s="224"/>
      <c r="AWL1" s="224"/>
      <c r="AWM1" s="224"/>
      <c r="AWN1" s="224"/>
      <c r="AWO1" s="224"/>
      <c r="AWP1" s="224"/>
      <c r="AWQ1" s="224"/>
      <c r="AWR1" s="224"/>
      <c r="AWS1" s="224"/>
      <c r="AWT1" s="224"/>
      <c r="AWU1" s="224"/>
      <c r="AWV1" s="224"/>
      <c r="AWW1" s="224"/>
      <c r="AWX1" s="224"/>
      <c r="AWY1" s="224"/>
      <c r="AWZ1" s="224"/>
      <c r="AXA1" s="224"/>
      <c r="AXB1" s="224"/>
      <c r="AXC1" s="224"/>
      <c r="AXD1" s="224"/>
      <c r="AXE1" s="224"/>
      <c r="AXF1" s="224"/>
      <c r="AXG1" s="224"/>
      <c r="AXH1" s="224"/>
      <c r="AXI1" s="224"/>
      <c r="AXJ1" s="224"/>
      <c r="AXK1" s="224"/>
      <c r="AXL1" s="224"/>
      <c r="AXM1" s="224"/>
      <c r="AXN1" s="224"/>
      <c r="AXO1" s="224"/>
      <c r="AXP1" s="224"/>
      <c r="AXQ1" s="224"/>
      <c r="AXR1" s="224"/>
      <c r="AXS1" s="224"/>
      <c r="AXT1" s="224"/>
      <c r="AXU1" s="224"/>
      <c r="AXV1" s="224"/>
      <c r="AXW1" s="224"/>
      <c r="AXX1" s="224"/>
      <c r="AXY1" s="224"/>
      <c r="AXZ1" s="224"/>
      <c r="AYA1" s="224"/>
      <c r="AYB1" s="224"/>
      <c r="AYC1" s="224"/>
      <c r="AYD1" s="224"/>
      <c r="AYE1" s="224"/>
      <c r="AYF1" s="224"/>
      <c r="AYG1" s="224"/>
      <c r="AYH1" s="224"/>
      <c r="AYI1" s="224"/>
      <c r="AYJ1" s="224"/>
      <c r="AYK1" s="224"/>
      <c r="AYL1" s="224"/>
      <c r="AYM1" s="224"/>
      <c r="AYN1" s="224"/>
      <c r="AYO1" s="224"/>
      <c r="AYP1" s="224"/>
      <c r="AYQ1" s="224"/>
      <c r="AYR1" s="224"/>
      <c r="AYS1" s="224"/>
      <c r="AYT1" s="224"/>
      <c r="AYU1" s="224"/>
      <c r="AYV1" s="224"/>
      <c r="AYW1" s="224"/>
      <c r="AYX1" s="224"/>
      <c r="AYY1" s="224"/>
      <c r="AYZ1" s="224"/>
      <c r="AZA1" s="224"/>
      <c r="AZB1" s="224"/>
      <c r="AZC1" s="224"/>
      <c r="AZD1" s="224"/>
      <c r="AZE1" s="224"/>
      <c r="AZF1" s="224"/>
      <c r="AZG1" s="224"/>
      <c r="AZH1" s="224"/>
      <c r="AZI1" s="224"/>
      <c r="AZJ1" s="224"/>
      <c r="AZK1" s="224"/>
      <c r="AZL1" s="224"/>
      <c r="AZM1" s="224"/>
      <c r="AZN1" s="224"/>
      <c r="AZO1" s="224"/>
      <c r="AZP1" s="224"/>
      <c r="AZQ1" s="224"/>
      <c r="AZR1" s="224"/>
      <c r="AZS1" s="224"/>
      <c r="AZT1" s="224"/>
      <c r="AZU1" s="224"/>
      <c r="AZV1" s="224"/>
      <c r="AZW1" s="224"/>
      <c r="AZX1" s="224"/>
      <c r="AZY1" s="224"/>
      <c r="AZZ1" s="224"/>
      <c r="BAA1" s="224"/>
      <c r="BAB1" s="224"/>
      <c r="BAC1" s="224"/>
      <c r="BAD1" s="224"/>
      <c r="BAE1" s="224"/>
      <c r="BAF1" s="224"/>
      <c r="BAG1" s="224"/>
      <c r="BAH1" s="224"/>
      <c r="BAI1" s="224"/>
      <c r="BAJ1" s="224"/>
      <c r="BAK1" s="224"/>
      <c r="BAL1" s="224"/>
      <c r="BAM1" s="224"/>
      <c r="BAN1" s="224"/>
      <c r="BAO1" s="224"/>
      <c r="BAP1" s="224"/>
      <c r="BAQ1" s="224"/>
      <c r="BAR1" s="224"/>
      <c r="BAS1" s="224"/>
      <c r="BAT1" s="224"/>
      <c r="BAU1" s="224"/>
      <c r="BAV1" s="224"/>
      <c r="BAW1" s="224"/>
      <c r="BAX1" s="224"/>
      <c r="BAY1" s="224"/>
      <c r="BAZ1" s="224"/>
      <c r="BBA1" s="224"/>
      <c r="BBB1" s="224"/>
      <c r="BBC1" s="224"/>
      <c r="BBD1" s="224"/>
      <c r="BBE1" s="224"/>
      <c r="BBF1" s="224"/>
      <c r="BBG1" s="224"/>
      <c r="BBH1" s="224"/>
      <c r="BBI1" s="224"/>
      <c r="BBJ1" s="224"/>
      <c r="BBK1" s="224"/>
      <c r="BBL1" s="224"/>
      <c r="BBM1" s="224"/>
      <c r="BBN1" s="224"/>
      <c r="BBO1" s="224"/>
      <c r="BBP1" s="224"/>
      <c r="BBQ1" s="224"/>
      <c r="BBR1" s="224"/>
      <c r="BBS1" s="224"/>
      <c r="BBT1" s="224"/>
      <c r="BBU1" s="224"/>
      <c r="BBV1" s="224"/>
      <c r="BBW1" s="224"/>
      <c r="BBX1" s="224"/>
      <c r="BBY1" s="224"/>
      <c r="BBZ1" s="224"/>
      <c r="BCA1" s="224"/>
      <c r="BCB1" s="224"/>
      <c r="BCC1" s="224"/>
      <c r="BCD1" s="224"/>
      <c r="BCE1" s="224"/>
      <c r="BCF1" s="224"/>
      <c r="BCG1" s="224"/>
      <c r="BCH1" s="224"/>
      <c r="BCI1" s="224"/>
      <c r="BCJ1" s="224"/>
      <c r="BCK1" s="224"/>
      <c r="BCL1" s="224"/>
      <c r="BCM1" s="224"/>
      <c r="BCN1" s="224"/>
      <c r="BCO1" s="224"/>
      <c r="BCP1" s="224"/>
      <c r="BCQ1" s="224"/>
      <c r="BCR1" s="224"/>
      <c r="BCS1" s="224"/>
      <c r="BCT1" s="224"/>
      <c r="BCU1" s="224"/>
      <c r="BCV1" s="224"/>
      <c r="BCW1" s="224"/>
      <c r="BCX1" s="224"/>
      <c r="BCY1" s="224"/>
      <c r="BCZ1" s="224"/>
      <c r="BDA1" s="224"/>
      <c r="BDB1" s="224"/>
      <c r="BDC1" s="224"/>
      <c r="BDD1" s="224"/>
      <c r="BDE1" s="224"/>
      <c r="BDF1" s="224"/>
      <c r="BDG1" s="224"/>
      <c r="BDH1" s="224"/>
      <c r="BDI1" s="224"/>
      <c r="BDJ1" s="224"/>
      <c r="BDK1" s="224"/>
      <c r="BDL1" s="224"/>
      <c r="BDM1" s="224"/>
      <c r="BDN1" s="224"/>
      <c r="BDO1" s="224"/>
      <c r="BDP1" s="224"/>
      <c r="BDQ1" s="224"/>
      <c r="BDR1" s="224"/>
      <c r="BDS1" s="224"/>
      <c r="BDT1" s="224"/>
      <c r="BDU1" s="224"/>
      <c r="BDV1" s="224"/>
      <c r="BDW1" s="224"/>
      <c r="BDX1" s="224"/>
      <c r="BDY1" s="224"/>
      <c r="BDZ1" s="224"/>
      <c r="BEA1" s="224"/>
      <c r="BEB1" s="224"/>
      <c r="BEC1" s="224"/>
      <c r="BED1" s="224"/>
      <c r="BEE1" s="224"/>
      <c r="BEF1" s="224"/>
      <c r="BEG1" s="224"/>
      <c r="BEH1" s="224"/>
      <c r="BEI1" s="224"/>
      <c r="BEJ1" s="224"/>
      <c r="BEK1" s="224"/>
      <c r="BEL1" s="224"/>
      <c r="BEM1" s="224"/>
      <c r="BEN1" s="224"/>
      <c r="BEO1" s="224"/>
      <c r="BEP1" s="224"/>
      <c r="BEQ1" s="224"/>
      <c r="BER1" s="224"/>
      <c r="BES1" s="224"/>
      <c r="BET1" s="224"/>
      <c r="BEU1" s="224"/>
      <c r="BEV1" s="224"/>
      <c r="BEW1" s="224"/>
      <c r="BEX1" s="224"/>
      <c r="BEY1" s="224"/>
      <c r="BEZ1" s="224"/>
      <c r="BFA1" s="224"/>
      <c r="BFB1" s="224"/>
      <c r="BFC1" s="224"/>
      <c r="BFD1" s="224"/>
      <c r="BFE1" s="224"/>
      <c r="BFF1" s="224"/>
      <c r="BFG1" s="224"/>
      <c r="BFH1" s="224"/>
      <c r="BFI1" s="224"/>
      <c r="BFJ1" s="224"/>
      <c r="BFK1" s="224"/>
      <c r="BFL1" s="224"/>
      <c r="BFM1" s="224"/>
      <c r="BFN1" s="224"/>
      <c r="BFO1" s="224"/>
      <c r="BFP1" s="224"/>
      <c r="BFQ1" s="224"/>
      <c r="BFR1" s="224"/>
      <c r="BFS1" s="224"/>
      <c r="BFT1" s="224"/>
      <c r="BFU1" s="224"/>
      <c r="BFV1" s="224"/>
      <c r="BFW1" s="224"/>
      <c r="BFX1" s="224"/>
      <c r="BFY1" s="224"/>
      <c r="BFZ1" s="224"/>
      <c r="BGA1" s="224"/>
      <c r="BGB1" s="224"/>
      <c r="BGC1" s="224"/>
      <c r="BGD1" s="224"/>
      <c r="BGE1" s="224"/>
      <c r="BGF1" s="224"/>
      <c r="BGG1" s="224"/>
      <c r="BGH1" s="224"/>
      <c r="BGI1" s="224"/>
      <c r="BGJ1" s="224"/>
      <c r="BGK1" s="224"/>
      <c r="BGL1" s="224"/>
      <c r="BGM1" s="224"/>
      <c r="BGN1" s="224"/>
      <c r="BGO1" s="224"/>
      <c r="BGP1" s="224"/>
      <c r="BGQ1" s="224"/>
      <c r="BGR1" s="224"/>
      <c r="BGS1" s="224"/>
      <c r="BGT1" s="224"/>
      <c r="BGU1" s="224"/>
      <c r="BGV1" s="224"/>
      <c r="BGW1" s="224"/>
      <c r="BGX1" s="224"/>
      <c r="BGY1" s="224"/>
      <c r="BGZ1" s="224"/>
      <c r="BHA1" s="224"/>
      <c r="BHB1" s="224"/>
      <c r="BHC1" s="224"/>
      <c r="BHD1" s="224"/>
      <c r="BHE1" s="224"/>
      <c r="BHF1" s="224"/>
      <c r="BHG1" s="224"/>
      <c r="BHH1" s="224"/>
      <c r="BHI1" s="224"/>
      <c r="BHJ1" s="224"/>
      <c r="BHK1" s="224"/>
      <c r="BHL1" s="224"/>
      <c r="BHM1" s="224"/>
      <c r="BHN1" s="224"/>
      <c r="BHO1" s="224"/>
      <c r="BHP1" s="224"/>
      <c r="BHQ1" s="224"/>
      <c r="BHR1" s="224"/>
      <c r="BHS1" s="224"/>
      <c r="BHT1" s="224"/>
      <c r="BHU1" s="224"/>
      <c r="BHV1" s="224"/>
      <c r="BHW1" s="224"/>
      <c r="BHX1" s="224"/>
      <c r="BHY1" s="224"/>
      <c r="BHZ1" s="224"/>
      <c r="BIA1" s="224"/>
      <c r="BIB1" s="224"/>
      <c r="BIC1" s="224"/>
      <c r="BID1" s="224"/>
      <c r="BIE1" s="224"/>
      <c r="BIF1" s="224"/>
      <c r="BIG1" s="224"/>
      <c r="BIH1" s="224"/>
      <c r="BII1" s="224"/>
      <c r="BIJ1" s="224"/>
      <c r="BIK1" s="224"/>
      <c r="BIL1" s="224"/>
      <c r="BIM1" s="224"/>
      <c r="BIN1" s="224"/>
      <c r="BIO1" s="224"/>
      <c r="BIP1" s="224"/>
      <c r="BIQ1" s="224"/>
      <c r="BIR1" s="224"/>
      <c r="BIS1" s="224"/>
      <c r="BIT1" s="224"/>
      <c r="BIU1" s="224"/>
      <c r="BIV1" s="224"/>
      <c r="BIW1" s="224"/>
      <c r="BIX1" s="224"/>
      <c r="BIY1" s="224"/>
      <c r="BIZ1" s="224"/>
      <c r="BJA1" s="224"/>
      <c r="BJB1" s="224"/>
      <c r="BJC1" s="224"/>
      <c r="BJD1" s="224"/>
      <c r="BJE1" s="224"/>
      <c r="BJF1" s="224"/>
      <c r="BJG1" s="224"/>
      <c r="BJH1" s="224"/>
      <c r="BJI1" s="224"/>
      <c r="BJJ1" s="224"/>
      <c r="BJK1" s="224"/>
      <c r="BJL1" s="224"/>
      <c r="BJM1" s="224"/>
      <c r="BJN1" s="224"/>
      <c r="BJO1" s="224"/>
      <c r="BJP1" s="224"/>
      <c r="BJQ1" s="224"/>
      <c r="BJR1" s="224"/>
      <c r="BJS1" s="224"/>
      <c r="BJT1" s="224"/>
      <c r="BJU1" s="224"/>
      <c r="BJV1" s="224"/>
      <c r="BJW1" s="224"/>
      <c r="BJX1" s="224"/>
      <c r="BJY1" s="224"/>
      <c r="BJZ1" s="224"/>
      <c r="BKA1" s="224"/>
      <c r="BKB1" s="224"/>
      <c r="BKC1" s="224"/>
      <c r="BKD1" s="224"/>
      <c r="BKE1" s="224"/>
      <c r="BKF1" s="224"/>
      <c r="BKG1" s="224"/>
      <c r="BKH1" s="224"/>
      <c r="BKI1" s="224"/>
      <c r="BKJ1" s="224"/>
      <c r="BKK1" s="224"/>
      <c r="BKL1" s="224"/>
      <c r="BKM1" s="224"/>
      <c r="BKN1" s="224"/>
      <c r="BKO1" s="224"/>
      <c r="BKP1" s="224"/>
      <c r="BKQ1" s="224"/>
      <c r="BKR1" s="224"/>
      <c r="BKS1" s="224"/>
      <c r="BKT1" s="224"/>
      <c r="BKU1" s="224"/>
      <c r="BKV1" s="224"/>
      <c r="BKW1" s="224"/>
      <c r="BKX1" s="224"/>
      <c r="BKY1" s="224"/>
      <c r="BKZ1" s="224"/>
      <c r="BLA1" s="224"/>
      <c r="BLB1" s="224"/>
      <c r="BLC1" s="224"/>
      <c r="BLD1" s="224"/>
      <c r="BLE1" s="224"/>
      <c r="BLF1" s="224"/>
      <c r="BLG1" s="224"/>
      <c r="BLH1" s="224"/>
      <c r="BLI1" s="224"/>
      <c r="BLJ1" s="224"/>
      <c r="BLK1" s="224"/>
      <c r="BLL1" s="224"/>
      <c r="BLM1" s="224"/>
      <c r="BLN1" s="224"/>
      <c r="BLO1" s="224"/>
      <c r="BLP1" s="224"/>
      <c r="BLQ1" s="224"/>
      <c r="BLR1" s="224"/>
      <c r="BLS1" s="224"/>
      <c r="BLT1" s="224"/>
      <c r="BLU1" s="224"/>
      <c r="BLV1" s="224"/>
      <c r="BLW1" s="224"/>
      <c r="BLX1" s="224"/>
      <c r="BLY1" s="224"/>
      <c r="BLZ1" s="224"/>
      <c r="BMA1" s="224"/>
      <c r="BMB1" s="224"/>
      <c r="BMC1" s="224"/>
      <c r="BMD1" s="224"/>
      <c r="BME1" s="224"/>
      <c r="BMF1" s="224"/>
      <c r="BMG1" s="224"/>
      <c r="BMH1" s="224"/>
      <c r="BMI1" s="224"/>
      <c r="BMJ1" s="224"/>
      <c r="BMK1" s="224"/>
      <c r="BML1" s="224"/>
      <c r="BMM1" s="224"/>
      <c r="BMN1" s="224"/>
      <c r="BMO1" s="224"/>
      <c r="BMP1" s="224"/>
      <c r="BMQ1" s="224"/>
      <c r="BMR1" s="224"/>
      <c r="BMS1" s="224"/>
      <c r="BMT1" s="224"/>
      <c r="BMU1" s="224"/>
      <c r="BMV1" s="224"/>
      <c r="BMW1" s="224"/>
      <c r="BMX1" s="224"/>
      <c r="BMY1" s="224"/>
      <c r="BMZ1" s="224"/>
      <c r="BNA1" s="224"/>
      <c r="BNB1" s="224"/>
      <c r="BNC1" s="224"/>
      <c r="BND1" s="224"/>
      <c r="BNE1" s="224"/>
      <c r="BNF1" s="224"/>
      <c r="BNG1" s="224"/>
      <c r="BNH1" s="224"/>
      <c r="BNI1" s="224"/>
      <c r="BNJ1" s="224"/>
      <c r="BNK1" s="224"/>
      <c r="BNL1" s="224"/>
      <c r="BNM1" s="224"/>
      <c r="BNN1" s="224"/>
      <c r="BNO1" s="224"/>
      <c r="BNP1" s="224"/>
      <c r="BNQ1" s="224"/>
      <c r="BNR1" s="224"/>
      <c r="BNS1" s="224"/>
      <c r="BNT1" s="224"/>
      <c r="BNU1" s="224"/>
      <c r="BNV1" s="224"/>
      <c r="BNW1" s="224"/>
      <c r="BNX1" s="224"/>
      <c r="BNY1" s="224"/>
      <c r="BNZ1" s="224"/>
      <c r="BOA1" s="224"/>
      <c r="BOB1" s="224"/>
      <c r="BOC1" s="224"/>
      <c r="BOD1" s="224"/>
      <c r="BOE1" s="224"/>
      <c r="BOF1" s="224"/>
      <c r="BOG1" s="224"/>
      <c r="BOH1" s="224"/>
      <c r="BOI1" s="224"/>
      <c r="BOJ1" s="224"/>
      <c r="BOK1" s="224"/>
      <c r="BOL1" s="224"/>
      <c r="BOM1" s="224"/>
      <c r="BON1" s="224"/>
      <c r="BOO1" s="224"/>
      <c r="BOP1" s="224"/>
      <c r="BOQ1" s="224"/>
      <c r="BOR1" s="224"/>
      <c r="BOS1" s="224"/>
      <c r="BOT1" s="224"/>
      <c r="BOU1" s="224"/>
      <c r="BOV1" s="224"/>
      <c r="BOW1" s="224"/>
      <c r="BOX1" s="224"/>
      <c r="BOY1" s="224"/>
      <c r="BOZ1" s="224"/>
      <c r="BPA1" s="224"/>
      <c r="BPB1" s="224"/>
      <c r="BPC1" s="224"/>
      <c r="BPD1" s="224"/>
      <c r="BPE1" s="224"/>
      <c r="BPF1" s="224"/>
      <c r="BPG1" s="224"/>
      <c r="BPH1" s="224"/>
      <c r="BPI1" s="224"/>
      <c r="BPJ1" s="224"/>
      <c r="BPK1" s="224"/>
      <c r="BPL1" s="224"/>
      <c r="BPM1" s="224"/>
      <c r="BPN1" s="224"/>
      <c r="BPO1" s="224"/>
      <c r="BPP1" s="224"/>
      <c r="BPQ1" s="224"/>
      <c r="BPR1" s="224"/>
      <c r="BPS1" s="224"/>
      <c r="BPT1" s="224"/>
      <c r="BPU1" s="224"/>
      <c r="BPV1" s="224"/>
      <c r="BPW1" s="224"/>
      <c r="BPX1" s="224"/>
      <c r="BPY1" s="224"/>
      <c r="BPZ1" s="224"/>
      <c r="BQA1" s="224"/>
      <c r="BQB1" s="224"/>
      <c r="BQC1" s="224"/>
      <c r="BQD1" s="224"/>
      <c r="BQE1" s="224"/>
      <c r="BQF1" s="224"/>
      <c r="BQG1" s="224"/>
      <c r="BQH1" s="224"/>
      <c r="BQI1" s="224"/>
      <c r="BQJ1" s="224"/>
      <c r="BQK1" s="224"/>
      <c r="BQL1" s="224"/>
      <c r="BQM1" s="224"/>
      <c r="BQN1" s="224"/>
      <c r="BQO1" s="224"/>
      <c r="BQP1" s="224"/>
      <c r="BQQ1" s="224"/>
      <c r="BQR1" s="224"/>
      <c r="BQS1" s="224"/>
      <c r="BQT1" s="224"/>
      <c r="BQU1" s="224"/>
      <c r="BQV1" s="224"/>
      <c r="BQW1" s="224"/>
      <c r="BQX1" s="224"/>
      <c r="BQY1" s="224"/>
      <c r="BQZ1" s="224"/>
      <c r="BRA1" s="224"/>
      <c r="BRB1" s="224"/>
      <c r="BRC1" s="224"/>
      <c r="BRD1" s="224"/>
      <c r="BRE1" s="224"/>
      <c r="BRF1" s="224"/>
      <c r="BRG1" s="224"/>
      <c r="BRH1" s="224"/>
      <c r="BRI1" s="224"/>
      <c r="BRJ1" s="224"/>
      <c r="BRK1" s="224"/>
      <c r="BRL1" s="224"/>
      <c r="BRM1" s="224"/>
      <c r="BRN1" s="224"/>
      <c r="BRO1" s="224"/>
      <c r="BRP1" s="224"/>
      <c r="BRQ1" s="224"/>
      <c r="BRR1" s="224"/>
      <c r="BRS1" s="224"/>
      <c r="BRT1" s="224"/>
      <c r="BRU1" s="224"/>
      <c r="BRV1" s="224"/>
      <c r="BRW1" s="224"/>
      <c r="BRX1" s="224"/>
      <c r="BRY1" s="224"/>
      <c r="BRZ1" s="224"/>
      <c r="BSA1" s="224"/>
      <c r="BSB1" s="224"/>
      <c r="BSC1" s="224"/>
      <c r="BSD1" s="224"/>
      <c r="BSE1" s="224"/>
      <c r="BSF1" s="224"/>
      <c r="BSG1" s="224"/>
      <c r="BSH1" s="224"/>
      <c r="BSI1" s="224"/>
      <c r="BSJ1" s="224"/>
      <c r="BSK1" s="224"/>
      <c r="BSL1" s="224"/>
      <c r="BSM1" s="224"/>
      <c r="BSN1" s="224"/>
      <c r="BSO1" s="224"/>
      <c r="BSP1" s="224"/>
      <c r="BSQ1" s="224"/>
      <c r="BSR1" s="224"/>
      <c r="BSS1" s="224"/>
      <c r="BST1" s="224"/>
      <c r="BSU1" s="224"/>
      <c r="BSV1" s="224"/>
      <c r="BSW1" s="224"/>
      <c r="BSX1" s="224"/>
      <c r="BSY1" s="224"/>
      <c r="BSZ1" s="224"/>
      <c r="BTA1" s="224"/>
      <c r="BTB1" s="224"/>
      <c r="BTC1" s="224"/>
      <c r="BTD1" s="224"/>
      <c r="BTE1" s="224"/>
      <c r="BTF1" s="224"/>
      <c r="BTG1" s="224"/>
      <c r="BTH1" s="224"/>
      <c r="BTI1" s="224"/>
      <c r="BTJ1" s="224"/>
      <c r="BTK1" s="224"/>
      <c r="BTL1" s="224"/>
      <c r="BTM1" s="224"/>
      <c r="BTN1" s="224"/>
      <c r="BTO1" s="224"/>
      <c r="BTP1" s="224"/>
      <c r="BTQ1" s="224"/>
      <c r="BTR1" s="224"/>
      <c r="BTS1" s="224"/>
      <c r="BTT1" s="224"/>
      <c r="BTU1" s="224"/>
      <c r="BTV1" s="224"/>
      <c r="BTW1" s="224"/>
      <c r="BTX1" s="224"/>
      <c r="BTY1" s="224"/>
      <c r="BTZ1" s="224"/>
      <c r="BUA1" s="224"/>
      <c r="BUB1" s="224"/>
      <c r="BUC1" s="224"/>
      <c r="BUD1" s="224"/>
      <c r="BUE1" s="224"/>
      <c r="BUF1" s="224"/>
      <c r="BUG1" s="224"/>
      <c r="BUH1" s="224"/>
      <c r="BUI1" s="224"/>
      <c r="BUJ1" s="224"/>
      <c r="BUK1" s="224"/>
      <c r="BUL1" s="224"/>
      <c r="BUM1" s="224"/>
      <c r="BUN1" s="224"/>
      <c r="BUO1" s="224"/>
      <c r="BUP1" s="224"/>
      <c r="BUQ1" s="224"/>
      <c r="BUR1" s="224"/>
      <c r="BUS1" s="224"/>
      <c r="BUT1" s="224"/>
      <c r="BUU1" s="224"/>
      <c r="BUV1" s="224"/>
      <c r="BUW1" s="224"/>
      <c r="BUX1" s="224"/>
      <c r="BUY1" s="224"/>
      <c r="BUZ1" s="224"/>
      <c r="BVA1" s="224"/>
      <c r="BVB1" s="224"/>
      <c r="BVC1" s="224"/>
      <c r="BVD1" s="224"/>
      <c r="BVE1" s="224"/>
      <c r="BVF1" s="224"/>
      <c r="BVG1" s="224"/>
      <c r="BVH1" s="224"/>
      <c r="BVI1" s="224"/>
      <c r="BVJ1" s="224"/>
      <c r="BVK1" s="224"/>
      <c r="BVL1" s="224"/>
      <c r="BVM1" s="224"/>
      <c r="BVN1" s="224"/>
      <c r="BVO1" s="224"/>
      <c r="BVP1" s="224"/>
      <c r="BVQ1" s="224"/>
      <c r="BVR1" s="224"/>
      <c r="BVS1" s="224"/>
      <c r="BVT1" s="224"/>
      <c r="BVU1" s="224"/>
      <c r="BVV1" s="224"/>
      <c r="BVW1" s="224"/>
      <c r="BVX1" s="224"/>
      <c r="BVY1" s="224"/>
      <c r="BVZ1" s="224"/>
      <c r="BWA1" s="224"/>
      <c r="BWB1" s="224"/>
      <c r="BWC1" s="224"/>
      <c r="BWD1" s="224"/>
      <c r="BWE1" s="224"/>
      <c r="BWF1" s="224"/>
      <c r="BWG1" s="224"/>
      <c r="BWH1" s="224"/>
      <c r="BWI1" s="224"/>
      <c r="BWJ1" s="224"/>
      <c r="BWK1" s="224"/>
      <c r="BWL1" s="224"/>
      <c r="BWM1" s="224"/>
      <c r="BWN1" s="224"/>
      <c r="BWO1" s="224"/>
      <c r="BWP1" s="224"/>
      <c r="BWQ1" s="224"/>
      <c r="BWR1" s="224"/>
      <c r="BWS1" s="224"/>
      <c r="BWT1" s="224"/>
      <c r="BWU1" s="224"/>
      <c r="BWV1" s="224"/>
      <c r="BWW1" s="224"/>
      <c r="BWX1" s="224"/>
      <c r="BWY1" s="224"/>
      <c r="BWZ1" s="224"/>
      <c r="BXA1" s="224"/>
      <c r="BXB1" s="224"/>
      <c r="BXC1" s="224"/>
      <c r="BXD1" s="224"/>
      <c r="BXE1" s="224"/>
      <c r="BXF1" s="224"/>
      <c r="BXG1" s="224"/>
      <c r="BXH1" s="224"/>
      <c r="BXI1" s="224"/>
      <c r="BXJ1" s="224"/>
      <c r="BXK1" s="224"/>
      <c r="BXL1" s="224"/>
      <c r="BXM1" s="224"/>
      <c r="BXN1" s="224"/>
      <c r="BXO1" s="224"/>
      <c r="BXP1" s="224"/>
      <c r="BXQ1" s="224"/>
      <c r="BXR1" s="224"/>
      <c r="BXS1" s="224"/>
      <c r="BXT1" s="224"/>
      <c r="BXU1" s="224"/>
      <c r="BXV1" s="224"/>
      <c r="BXW1" s="224"/>
      <c r="BXX1" s="224"/>
      <c r="BXY1" s="224"/>
      <c r="BXZ1" s="224"/>
      <c r="BYA1" s="224"/>
      <c r="BYB1" s="224"/>
      <c r="BYC1" s="224"/>
      <c r="BYD1" s="224"/>
      <c r="BYE1" s="224"/>
      <c r="BYF1" s="224"/>
      <c r="BYG1" s="224"/>
      <c r="BYH1" s="224"/>
      <c r="BYI1" s="224"/>
      <c r="BYJ1" s="224"/>
      <c r="BYK1" s="224"/>
      <c r="BYL1" s="224"/>
      <c r="BYM1" s="224"/>
      <c r="BYN1" s="224"/>
      <c r="BYO1" s="224"/>
      <c r="BYP1" s="224"/>
      <c r="BYQ1" s="224"/>
      <c r="BYR1" s="224"/>
      <c r="BYS1" s="224"/>
      <c r="BYT1" s="224"/>
      <c r="BYU1" s="224"/>
      <c r="BYV1" s="224"/>
      <c r="BYW1" s="224"/>
      <c r="BYX1" s="224"/>
      <c r="BYY1" s="224"/>
      <c r="BYZ1" s="224"/>
      <c r="BZA1" s="224"/>
      <c r="BZB1" s="224"/>
      <c r="BZC1" s="224"/>
      <c r="BZD1" s="224"/>
      <c r="BZE1" s="224"/>
      <c r="BZF1" s="224"/>
      <c r="BZG1" s="224"/>
      <c r="BZH1" s="224"/>
      <c r="BZI1" s="224"/>
      <c r="BZJ1" s="224"/>
      <c r="BZK1" s="224"/>
      <c r="BZL1" s="224"/>
      <c r="BZM1" s="224"/>
      <c r="BZN1" s="224"/>
      <c r="BZO1" s="224"/>
      <c r="BZP1" s="224"/>
      <c r="BZQ1" s="224"/>
      <c r="BZR1" s="224"/>
      <c r="BZS1" s="224"/>
      <c r="BZT1" s="224"/>
      <c r="BZU1" s="224"/>
      <c r="BZV1" s="224"/>
      <c r="BZW1" s="224"/>
      <c r="BZX1" s="224"/>
      <c r="BZY1" s="224"/>
      <c r="BZZ1" s="224"/>
      <c r="CAA1" s="224"/>
      <c r="CAB1" s="224"/>
      <c r="CAC1" s="224"/>
      <c r="CAD1" s="224"/>
      <c r="CAE1" s="224"/>
      <c r="CAF1" s="224"/>
      <c r="CAG1" s="224"/>
      <c r="CAH1" s="224"/>
      <c r="CAI1" s="224"/>
      <c r="CAJ1" s="224"/>
      <c r="CAK1" s="224"/>
      <c r="CAL1" s="224"/>
      <c r="CAM1" s="224"/>
      <c r="CAN1" s="224"/>
      <c r="CAO1" s="224"/>
      <c r="CAP1" s="224"/>
      <c r="CAQ1" s="224"/>
      <c r="CAR1" s="224"/>
      <c r="CAS1" s="224"/>
      <c r="CAT1" s="224"/>
      <c r="CAU1" s="224"/>
      <c r="CAV1" s="224"/>
      <c r="CAW1" s="224"/>
      <c r="CAX1" s="224"/>
      <c r="CAY1" s="224"/>
      <c r="CAZ1" s="224"/>
      <c r="CBA1" s="224"/>
      <c r="CBB1" s="224"/>
      <c r="CBC1" s="224"/>
      <c r="CBD1" s="224"/>
      <c r="CBE1" s="224"/>
      <c r="CBF1" s="224"/>
      <c r="CBG1" s="224"/>
      <c r="CBH1" s="224"/>
      <c r="CBI1" s="224"/>
      <c r="CBJ1" s="224"/>
      <c r="CBK1" s="224"/>
      <c r="CBL1" s="224"/>
      <c r="CBM1" s="224"/>
      <c r="CBN1" s="224"/>
      <c r="CBO1" s="224"/>
      <c r="CBP1" s="224"/>
      <c r="CBQ1" s="224"/>
      <c r="CBR1" s="224"/>
      <c r="CBS1" s="224"/>
      <c r="CBT1" s="224"/>
      <c r="CBU1" s="224"/>
      <c r="CBV1" s="224"/>
      <c r="CBW1" s="224"/>
      <c r="CBX1" s="224"/>
      <c r="CBY1" s="224"/>
      <c r="CBZ1" s="224"/>
      <c r="CCA1" s="224"/>
      <c r="CCB1" s="224"/>
      <c r="CCC1" s="224"/>
      <c r="CCD1" s="224"/>
      <c r="CCE1" s="224"/>
      <c r="CCF1" s="224"/>
      <c r="CCG1" s="224"/>
      <c r="CCH1" s="224"/>
      <c r="CCI1" s="224"/>
      <c r="CCJ1" s="224"/>
      <c r="CCK1" s="224"/>
      <c r="CCL1" s="224"/>
      <c r="CCM1" s="224"/>
      <c r="CCN1" s="224"/>
      <c r="CCO1" s="224"/>
      <c r="CCP1" s="224"/>
      <c r="CCQ1" s="224"/>
      <c r="CCR1" s="224"/>
      <c r="CCS1" s="224"/>
      <c r="CCT1" s="224"/>
      <c r="CCU1" s="224"/>
      <c r="CCV1" s="224"/>
      <c r="CCW1" s="224"/>
      <c r="CCX1" s="224"/>
      <c r="CCY1" s="224"/>
      <c r="CCZ1" s="224"/>
      <c r="CDA1" s="224"/>
      <c r="CDB1" s="224"/>
      <c r="CDC1" s="224"/>
      <c r="CDD1" s="224"/>
      <c r="CDE1" s="224"/>
      <c r="CDF1" s="224"/>
      <c r="CDG1" s="224"/>
      <c r="CDH1" s="224"/>
      <c r="CDI1" s="224"/>
      <c r="CDJ1" s="224"/>
      <c r="CDK1" s="224"/>
      <c r="CDL1" s="224"/>
      <c r="CDM1" s="224"/>
      <c r="CDN1" s="224"/>
      <c r="CDO1" s="224"/>
      <c r="CDP1" s="224"/>
      <c r="CDQ1" s="224"/>
      <c r="CDR1" s="224"/>
      <c r="CDS1" s="224"/>
      <c r="CDT1" s="224"/>
      <c r="CDU1" s="224"/>
      <c r="CDV1" s="224"/>
      <c r="CDW1" s="224"/>
      <c r="CDX1" s="224"/>
      <c r="CDY1" s="224"/>
      <c r="CDZ1" s="224"/>
      <c r="CEA1" s="224"/>
      <c r="CEB1" s="224"/>
      <c r="CEC1" s="224"/>
      <c r="CED1" s="224"/>
      <c r="CEE1" s="224"/>
      <c r="CEF1" s="224"/>
      <c r="CEG1" s="224"/>
      <c r="CEH1" s="224"/>
      <c r="CEI1" s="224"/>
      <c r="CEJ1" s="224"/>
      <c r="CEK1" s="224"/>
      <c r="CEL1" s="224"/>
      <c r="CEM1" s="224"/>
      <c r="CEN1" s="224"/>
      <c r="CEO1" s="224"/>
      <c r="CEP1" s="224"/>
      <c r="CEQ1" s="224"/>
      <c r="CER1" s="224"/>
      <c r="CES1" s="224"/>
      <c r="CET1" s="224"/>
      <c r="CEU1" s="224"/>
      <c r="CEV1" s="224"/>
      <c r="CEW1" s="224"/>
      <c r="CEX1" s="224"/>
      <c r="CEY1" s="224"/>
      <c r="CEZ1" s="224"/>
      <c r="CFA1" s="224"/>
      <c r="CFB1" s="224"/>
      <c r="CFC1" s="224"/>
      <c r="CFD1" s="224"/>
      <c r="CFE1" s="224"/>
      <c r="CFF1" s="224"/>
      <c r="CFG1" s="224"/>
      <c r="CFH1" s="224"/>
      <c r="CFI1" s="224"/>
      <c r="CFJ1" s="224"/>
      <c r="CFK1" s="224"/>
      <c r="CFL1" s="224"/>
      <c r="CFM1" s="224"/>
      <c r="CFN1" s="224"/>
      <c r="CFO1" s="224"/>
      <c r="CFP1" s="224"/>
      <c r="CFQ1" s="224"/>
      <c r="CFR1" s="224"/>
      <c r="CFS1" s="224"/>
      <c r="CFT1" s="224"/>
      <c r="CFU1" s="224"/>
      <c r="CFV1" s="224"/>
      <c r="CFW1" s="224"/>
      <c r="CFX1" s="224"/>
      <c r="CFY1" s="224"/>
      <c r="CFZ1" s="224"/>
      <c r="CGA1" s="224"/>
      <c r="CGB1" s="224"/>
      <c r="CGC1" s="224"/>
      <c r="CGD1" s="224"/>
      <c r="CGE1" s="224"/>
      <c r="CGF1" s="224"/>
      <c r="CGG1" s="224"/>
      <c r="CGH1" s="224"/>
      <c r="CGI1" s="224"/>
      <c r="CGJ1" s="224"/>
      <c r="CGK1" s="224"/>
      <c r="CGL1" s="224"/>
      <c r="CGM1" s="224"/>
      <c r="CGN1" s="224"/>
      <c r="CGO1" s="224"/>
      <c r="CGP1" s="224"/>
      <c r="CGQ1" s="224"/>
      <c r="CGR1" s="224"/>
      <c r="CGS1" s="224"/>
      <c r="CGT1" s="224"/>
      <c r="CGU1" s="224"/>
      <c r="CGV1" s="224"/>
      <c r="CGW1" s="224"/>
      <c r="CGX1" s="224"/>
      <c r="CGY1" s="224"/>
      <c r="CGZ1" s="224"/>
      <c r="CHA1" s="224"/>
      <c r="CHB1" s="224"/>
      <c r="CHC1" s="224"/>
      <c r="CHD1" s="224"/>
      <c r="CHE1" s="224"/>
      <c r="CHF1" s="224"/>
      <c r="CHG1" s="224"/>
      <c r="CHH1" s="224"/>
      <c r="CHI1" s="224"/>
      <c r="CHJ1" s="224"/>
      <c r="CHK1" s="224"/>
      <c r="CHL1" s="224"/>
      <c r="CHM1" s="224"/>
      <c r="CHN1" s="224"/>
      <c r="CHO1" s="224"/>
      <c r="CHP1" s="224"/>
      <c r="CHQ1" s="224"/>
      <c r="CHR1" s="224"/>
      <c r="CHS1" s="224"/>
      <c r="CHT1" s="224"/>
      <c r="CHU1" s="224"/>
      <c r="CHV1" s="224"/>
      <c r="CHW1" s="224"/>
      <c r="CHX1" s="224"/>
      <c r="CHY1" s="224"/>
      <c r="CHZ1" s="224"/>
      <c r="CIA1" s="224"/>
      <c r="CIB1" s="224"/>
      <c r="CIC1" s="224"/>
      <c r="CID1" s="224"/>
      <c r="CIE1" s="224"/>
      <c r="CIF1" s="224"/>
      <c r="CIG1" s="224"/>
      <c r="CIH1" s="224"/>
      <c r="CII1" s="224"/>
      <c r="CIJ1" s="224"/>
      <c r="CIK1" s="224"/>
      <c r="CIL1" s="224"/>
      <c r="CIM1" s="224"/>
      <c r="CIN1" s="224"/>
      <c r="CIO1" s="224"/>
      <c r="CIP1" s="224"/>
      <c r="CIQ1" s="224"/>
      <c r="CIR1" s="224"/>
      <c r="CIS1" s="224"/>
      <c r="CIT1" s="224"/>
      <c r="CIU1" s="224"/>
      <c r="CIV1" s="224"/>
      <c r="CIW1" s="224"/>
      <c r="CIX1" s="224"/>
      <c r="CIY1" s="224"/>
      <c r="CIZ1" s="224"/>
      <c r="CJA1" s="224"/>
      <c r="CJB1" s="224"/>
      <c r="CJC1" s="224"/>
      <c r="CJD1" s="224"/>
      <c r="CJE1" s="224"/>
      <c r="CJF1" s="224"/>
      <c r="CJG1" s="224"/>
      <c r="CJH1" s="224"/>
      <c r="CJI1" s="224"/>
      <c r="CJJ1" s="224"/>
      <c r="CJK1" s="224"/>
      <c r="CJL1" s="224"/>
      <c r="CJM1" s="224"/>
      <c r="CJN1" s="224"/>
      <c r="CJO1" s="224"/>
      <c r="CJP1" s="224"/>
      <c r="CJQ1" s="224"/>
      <c r="CJR1" s="224"/>
      <c r="CJS1" s="224"/>
      <c r="CJT1" s="224"/>
      <c r="CJU1" s="224"/>
      <c r="CJV1" s="224"/>
      <c r="CJW1" s="224"/>
      <c r="CJX1" s="224"/>
      <c r="CJY1" s="224"/>
      <c r="CJZ1" s="224"/>
      <c r="CKA1" s="224"/>
      <c r="CKB1" s="224"/>
      <c r="CKC1" s="224"/>
      <c r="CKD1" s="224"/>
      <c r="CKE1" s="224"/>
      <c r="CKF1" s="224"/>
      <c r="CKG1" s="224"/>
      <c r="CKH1" s="224"/>
      <c r="CKI1" s="224"/>
      <c r="CKJ1" s="224"/>
      <c r="CKK1" s="224"/>
      <c r="CKL1" s="224"/>
      <c r="CKM1" s="224"/>
      <c r="CKN1" s="224"/>
      <c r="CKO1" s="224"/>
      <c r="CKP1" s="224"/>
      <c r="CKQ1" s="224"/>
      <c r="CKR1" s="224"/>
      <c r="CKS1" s="224"/>
      <c r="CKT1" s="224"/>
      <c r="CKU1" s="224"/>
      <c r="CKV1" s="224"/>
      <c r="CKW1" s="224"/>
      <c r="CKX1" s="224"/>
      <c r="CKY1" s="224"/>
      <c r="CKZ1" s="224"/>
      <c r="CLA1" s="224"/>
      <c r="CLB1" s="224"/>
      <c r="CLC1" s="224"/>
      <c r="CLD1" s="224"/>
      <c r="CLE1" s="224"/>
      <c r="CLF1" s="224"/>
      <c r="CLG1" s="224"/>
      <c r="CLH1" s="224"/>
      <c r="CLI1" s="224"/>
      <c r="CLJ1" s="224"/>
      <c r="CLK1" s="224"/>
      <c r="CLL1" s="224"/>
      <c r="CLM1" s="224"/>
      <c r="CLN1" s="224"/>
      <c r="CLO1" s="224"/>
      <c r="CLP1" s="224"/>
      <c r="CLQ1" s="224"/>
      <c r="CLR1" s="224"/>
      <c r="CLS1" s="224"/>
      <c r="CLT1" s="224"/>
      <c r="CLU1" s="224"/>
      <c r="CLV1" s="224"/>
      <c r="CLW1" s="224"/>
      <c r="CLX1" s="224"/>
      <c r="CLY1" s="224"/>
      <c r="CLZ1" s="224"/>
      <c r="CMA1" s="224"/>
      <c r="CMB1" s="224"/>
      <c r="CMC1" s="224"/>
      <c r="CMD1" s="224"/>
      <c r="CME1" s="224"/>
      <c r="CMF1" s="224"/>
      <c r="CMG1" s="224"/>
      <c r="CMH1" s="224"/>
      <c r="CMI1" s="224"/>
      <c r="CMJ1" s="224"/>
      <c r="CMK1" s="224"/>
      <c r="CML1" s="224"/>
      <c r="CMM1" s="224"/>
      <c r="CMN1" s="224"/>
      <c r="CMO1" s="224"/>
      <c r="CMP1" s="224"/>
      <c r="CMQ1" s="224"/>
      <c r="CMR1" s="224"/>
      <c r="CMS1" s="224"/>
      <c r="CMT1" s="224"/>
      <c r="CMU1" s="224"/>
      <c r="CMV1" s="224"/>
      <c r="CMW1" s="224"/>
      <c r="CMX1" s="224"/>
      <c r="CMY1" s="224"/>
      <c r="CMZ1" s="224"/>
      <c r="CNA1" s="224"/>
      <c r="CNB1" s="224"/>
      <c r="CNC1" s="224"/>
      <c r="CND1" s="224"/>
      <c r="CNE1" s="224"/>
      <c r="CNF1" s="224"/>
      <c r="CNG1" s="224"/>
      <c r="CNH1" s="224"/>
      <c r="CNI1" s="224"/>
      <c r="CNJ1" s="224"/>
      <c r="CNK1" s="224"/>
      <c r="CNL1" s="224"/>
      <c r="CNM1" s="224"/>
      <c r="CNN1" s="224"/>
      <c r="CNO1" s="224"/>
      <c r="CNP1" s="224"/>
      <c r="CNQ1" s="224"/>
      <c r="CNR1" s="224"/>
      <c r="CNS1" s="224"/>
      <c r="CNT1" s="224"/>
      <c r="CNU1" s="224"/>
      <c r="CNV1" s="224"/>
      <c r="CNW1" s="224"/>
      <c r="CNX1" s="224"/>
      <c r="CNY1" s="224"/>
      <c r="CNZ1" s="224"/>
      <c r="COA1" s="224"/>
      <c r="COB1" s="224"/>
      <c r="COC1" s="224"/>
      <c r="COD1" s="224"/>
      <c r="COE1" s="224"/>
      <c r="COF1" s="224"/>
      <c r="COG1" s="224"/>
      <c r="COH1" s="224"/>
      <c r="COI1" s="224"/>
      <c r="COJ1" s="224"/>
      <c r="COK1" s="224"/>
      <c r="COL1" s="224"/>
      <c r="COM1" s="224"/>
      <c r="CON1" s="224"/>
      <c r="COO1" s="224"/>
      <c r="COP1" s="224"/>
      <c r="COQ1" s="224"/>
      <c r="COR1" s="224"/>
      <c r="COS1" s="224"/>
      <c r="COT1" s="224"/>
      <c r="COU1" s="224"/>
      <c r="COV1" s="224"/>
      <c r="COW1" s="224"/>
      <c r="COX1" s="224"/>
      <c r="COY1" s="224"/>
      <c r="COZ1" s="224"/>
      <c r="CPA1" s="224"/>
      <c r="CPB1" s="224"/>
      <c r="CPC1" s="224"/>
      <c r="CPD1" s="224"/>
      <c r="CPE1" s="224"/>
      <c r="CPF1" s="224"/>
      <c r="CPG1" s="224"/>
      <c r="CPH1" s="224"/>
      <c r="CPI1" s="224"/>
      <c r="CPJ1" s="224"/>
      <c r="CPK1" s="224"/>
      <c r="CPL1" s="224"/>
      <c r="CPM1" s="224"/>
      <c r="CPN1" s="224"/>
      <c r="CPO1" s="224"/>
      <c r="CPP1" s="224"/>
      <c r="CPQ1" s="224"/>
      <c r="CPR1" s="224"/>
      <c r="CPS1" s="224"/>
      <c r="CPT1" s="224"/>
      <c r="CPU1" s="224"/>
      <c r="CPV1" s="224"/>
      <c r="CPW1" s="224"/>
      <c r="CPX1" s="224"/>
      <c r="CPY1" s="224"/>
      <c r="CPZ1" s="224"/>
      <c r="CQA1" s="224"/>
      <c r="CQB1" s="224"/>
      <c r="CQC1" s="224"/>
      <c r="CQD1" s="224"/>
      <c r="CQE1" s="224"/>
      <c r="CQF1" s="224"/>
      <c r="CQG1" s="224"/>
      <c r="CQH1" s="224"/>
      <c r="CQI1" s="224"/>
      <c r="CQJ1" s="224"/>
      <c r="CQK1" s="224"/>
      <c r="CQL1" s="224"/>
      <c r="CQM1" s="224"/>
      <c r="CQN1" s="224"/>
      <c r="CQO1" s="224"/>
      <c r="CQP1" s="224"/>
      <c r="CQQ1" s="224"/>
      <c r="CQR1" s="224"/>
      <c r="CQS1" s="224"/>
      <c r="CQT1" s="224"/>
      <c r="CQU1" s="224"/>
      <c r="CQV1" s="224"/>
      <c r="CQW1" s="224"/>
      <c r="CQX1" s="224"/>
      <c r="CQY1" s="224"/>
      <c r="CQZ1" s="224"/>
      <c r="CRA1" s="224"/>
      <c r="CRB1" s="224"/>
      <c r="CRC1" s="224"/>
      <c r="CRD1" s="224"/>
      <c r="CRE1" s="224"/>
      <c r="CRF1" s="224"/>
      <c r="CRG1" s="224"/>
      <c r="CRH1" s="224"/>
      <c r="CRI1" s="224"/>
      <c r="CRJ1" s="224"/>
      <c r="CRK1" s="224"/>
      <c r="CRL1" s="224"/>
      <c r="CRM1" s="224"/>
      <c r="CRN1" s="224"/>
      <c r="CRO1" s="224"/>
      <c r="CRP1" s="224"/>
      <c r="CRQ1" s="224"/>
      <c r="CRR1" s="224"/>
      <c r="CRS1" s="224"/>
      <c r="CRT1" s="224"/>
      <c r="CRU1" s="224"/>
      <c r="CRV1" s="224"/>
      <c r="CRW1" s="224"/>
      <c r="CRX1" s="224"/>
      <c r="CRY1" s="224"/>
      <c r="CRZ1" s="224"/>
      <c r="CSA1" s="224"/>
      <c r="CSB1" s="224"/>
      <c r="CSC1" s="224"/>
      <c r="CSD1" s="224"/>
      <c r="CSE1" s="224"/>
      <c r="CSF1" s="224"/>
      <c r="CSG1" s="224"/>
      <c r="CSH1" s="224"/>
      <c r="CSI1" s="224"/>
      <c r="CSJ1" s="224"/>
      <c r="CSK1" s="224"/>
      <c r="CSL1" s="224"/>
      <c r="CSM1" s="224"/>
      <c r="CSN1" s="224"/>
      <c r="CSO1" s="224"/>
      <c r="CSP1" s="224"/>
      <c r="CSQ1" s="224"/>
      <c r="CSR1" s="224"/>
      <c r="CSS1" s="224"/>
      <c r="CST1" s="224"/>
      <c r="CSU1" s="224"/>
      <c r="CSV1" s="224"/>
      <c r="CSW1" s="224"/>
      <c r="CSX1" s="224"/>
      <c r="CSY1" s="224"/>
      <c r="CSZ1" s="224"/>
      <c r="CTA1" s="224"/>
      <c r="CTB1" s="224"/>
      <c r="CTC1" s="224"/>
      <c r="CTD1" s="224"/>
      <c r="CTE1" s="224"/>
      <c r="CTF1" s="224"/>
      <c r="CTG1" s="224"/>
      <c r="CTH1" s="224"/>
      <c r="CTI1" s="224"/>
      <c r="CTJ1" s="224"/>
      <c r="CTK1" s="224"/>
      <c r="CTL1" s="224"/>
      <c r="CTM1" s="224"/>
      <c r="CTN1" s="224"/>
      <c r="CTO1" s="224"/>
      <c r="CTP1" s="224"/>
      <c r="CTQ1" s="224"/>
      <c r="CTR1" s="224"/>
      <c r="CTS1" s="224"/>
      <c r="CTT1" s="224"/>
      <c r="CTU1" s="224"/>
      <c r="CTV1" s="224"/>
      <c r="CTW1" s="224"/>
      <c r="CTX1" s="224"/>
      <c r="CTY1" s="224"/>
      <c r="CTZ1" s="224"/>
      <c r="CUA1" s="224"/>
      <c r="CUB1" s="224"/>
      <c r="CUC1" s="224"/>
      <c r="CUD1" s="224"/>
      <c r="CUE1" s="224"/>
      <c r="CUF1" s="224"/>
      <c r="CUG1" s="224"/>
      <c r="CUH1" s="224"/>
      <c r="CUI1" s="224"/>
      <c r="CUJ1" s="224"/>
      <c r="CUK1" s="224"/>
      <c r="CUL1" s="224"/>
      <c r="CUM1" s="224"/>
      <c r="CUN1" s="224"/>
      <c r="CUO1" s="224"/>
      <c r="CUP1" s="224"/>
      <c r="CUQ1" s="224"/>
      <c r="CUR1" s="224"/>
      <c r="CUS1" s="224"/>
      <c r="CUT1" s="224"/>
      <c r="CUU1" s="224"/>
      <c r="CUV1" s="224"/>
      <c r="CUW1" s="224"/>
      <c r="CUX1" s="224"/>
      <c r="CUY1" s="224"/>
      <c r="CUZ1" s="224"/>
      <c r="CVA1" s="224"/>
      <c r="CVB1" s="224"/>
      <c r="CVC1" s="224"/>
      <c r="CVD1" s="224"/>
      <c r="CVE1" s="224"/>
      <c r="CVF1" s="224"/>
      <c r="CVG1" s="224"/>
      <c r="CVH1" s="224"/>
      <c r="CVI1" s="224"/>
      <c r="CVJ1" s="224"/>
      <c r="CVK1" s="224"/>
      <c r="CVL1" s="224"/>
      <c r="CVM1" s="224"/>
      <c r="CVN1" s="224"/>
      <c r="CVO1" s="224"/>
      <c r="CVP1" s="224"/>
      <c r="CVQ1" s="224"/>
      <c r="CVR1" s="224"/>
      <c r="CVS1" s="224"/>
      <c r="CVT1" s="224"/>
      <c r="CVU1" s="224"/>
      <c r="CVV1" s="224"/>
      <c r="CVW1" s="224"/>
      <c r="CVX1" s="224"/>
      <c r="CVY1" s="224"/>
      <c r="CVZ1" s="224"/>
      <c r="CWA1" s="224"/>
      <c r="CWB1" s="224"/>
      <c r="CWC1" s="224"/>
      <c r="CWD1" s="224"/>
      <c r="CWE1" s="224"/>
      <c r="CWF1" s="224"/>
      <c r="CWG1" s="224"/>
      <c r="CWH1" s="224"/>
      <c r="CWI1" s="224"/>
      <c r="CWJ1" s="224"/>
      <c r="CWK1" s="224"/>
      <c r="CWL1" s="224"/>
      <c r="CWM1" s="224"/>
      <c r="CWN1" s="224"/>
      <c r="CWO1" s="224"/>
      <c r="CWP1" s="224"/>
      <c r="CWQ1" s="224"/>
      <c r="CWR1" s="224"/>
      <c r="CWS1" s="224"/>
      <c r="CWT1" s="224"/>
      <c r="CWU1" s="224"/>
      <c r="CWV1" s="224"/>
      <c r="CWW1" s="224"/>
      <c r="CWX1" s="224"/>
      <c r="CWY1" s="224"/>
      <c r="CWZ1" s="224"/>
      <c r="CXA1" s="224"/>
      <c r="CXB1" s="224"/>
      <c r="CXC1" s="224"/>
      <c r="CXD1" s="224"/>
      <c r="CXE1" s="224"/>
      <c r="CXF1" s="224"/>
      <c r="CXG1" s="224"/>
      <c r="CXH1" s="224"/>
      <c r="CXI1" s="224"/>
      <c r="CXJ1" s="224"/>
      <c r="CXK1" s="224"/>
      <c r="CXL1" s="224"/>
      <c r="CXM1" s="224"/>
      <c r="CXN1" s="224"/>
      <c r="CXO1" s="224"/>
      <c r="CXP1" s="224"/>
      <c r="CXQ1" s="224"/>
      <c r="CXR1" s="224"/>
      <c r="CXS1" s="224"/>
      <c r="CXT1" s="224"/>
      <c r="CXU1" s="224"/>
      <c r="CXV1" s="224"/>
      <c r="CXW1" s="224"/>
      <c r="CXX1" s="224"/>
      <c r="CXY1" s="224"/>
      <c r="CXZ1" s="224"/>
      <c r="CYA1" s="224"/>
      <c r="CYB1" s="224"/>
      <c r="CYC1" s="224"/>
      <c r="CYD1" s="224"/>
      <c r="CYE1" s="224"/>
      <c r="CYF1" s="224"/>
      <c r="CYG1" s="224"/>
      <c r="CYH1" s="224"/>
      <c r="CYI1" s="224"/>
      <c r="CYJ1" s="224"/>
      <c r="CYK1" s="224"/>
      <c r="CYL1" s="224"/>
      <c r="CYM1" s="224"/>
      <c r="CYN1" s="224"/>
      <c r="CYO1" s="224"/>
      <c r="CYP1" s="224"/>
      <c r="CYQ1" s="224"/>
      <c r="CYR1" s="224"/>
      <c r="CYS1" s="224"/>
      <c r="CYT1" s="224"/>
      <c r="CYU1" s="224"/>
      <c r="CYV1" s="224"/>
      <c r="CYW1" s="224"/>
      <c r="CYX1" s="224"/>
      <c r="CYY1" s="224"/>
      <c r="CYZ1" s="224"/>
      <c r="CZA1" s="224"/>
      <c r="CZB1" s="224"/>
      <c r="CZC1" s="224"/>
      <c r="CZD1" s="224"/>
      <c r="CZE1" s="224"/>
      <c r="CZF1" s="224"/>
      <c r="CZG1" s="224"/>
      <c r="CZH1" s="224"/>
      <c r="CZI1" s="224"/>
      <c r="CZJ1" s="224"/>
      <c r="CZK1" s="224"/>
      <c r="CZL1" s="224"/>
      <c r="CZM1" s="224"/>
      <c r="CZN1" s="224"/>
      <c r="CZO1" s="224"/>
      <c r="CZP1" s="224"/>
      <c r="CZQ1" s="224"/>
      <c r="CZR1" s="224"/>
      <c r="CZS1" s="224"/>
      <c r="CZT1" s="224"/>
      <c r="CZU1" s="224"/>
      <c r="CZV1" s="224"/>
      <c r="CZW1" s="224"/>
      <c r="CZX1" s="224"/>
      <c r="CZY1" s="224"/>
      <c r="CZZ1" s="224"/>
      <c r="DAA1" s="224"/>
      <c r="DAB1" s="224"/>
      <c r="DAC1" s="224"/>
      <c r="DAD1" s="224"/>
      <c r="DAE1" s="224"/>
      <c r="DAF1" s="224"/>
      <c r="DAG1" s="224"/>
      <c r="DAH1" s="224"/>
      <c r="DAI1" s="224"/>
      <c r="DAJ1" s="224"/>
      <c r="DAK1" s="224"/>
      <c r="DAL1" s="224"/>
      <c r="DAM1" s="224"/>
      <c r="DAN1" s="224"/>
      <c r="DAO1" s="224"/>
      <c r="DAP1" s="224"/>
      <c r="DAQ1" s="224"/>
      <c r="DAR1" s="224"/>
      <c r="DAS1" s="224"/>
      <c r="DAT1" s="224"/>
      <c r="DAU1" s="224"/>
      <c r="DAV1" s="224"/>
      <c r="DAW1" s="224"/>
      <c r="DAX1" s="224"/>
      <c r="DAY1" s="224"/>
      <c r="DAZ1" s="224"/>
      <c r="DBA1" s="224"/>
      <c r="DBB1" s="224"/>
      <c r="DBC1" s="224"/>
      <c r="DBD1" s="224"/>
      <c r="DBE1" s="224"/>
      <c r="DBF1" s="224"/>
      <c r="DBG1" s="224"/>
      <c r="DBH1" s="224"/>
      <c r="DBI1" s="224"/>
      <c r="DBJ1" s="224"/>
      <c r="DBK1" s="224"/>
      <c r="DBL1" s="224"/>
      <c r="DBM1" s="224"/>
      <c r="DBN1" s="224"/>
      <c r="DBO1" s="224"/>
      <c r="DBP1" s="224"/>
      <c r="DBQ1" s="224"/>
      <c r="DBR1" s="224"/>
      <c r="DBS1" s="224"/>
      <c r="DBT1" s="224"/>
      <c r="DBU1" s="224"/>
      <c r="DBV1" s="224"/>
      <c r="DBW1" s="224"/>
      <c r="DBX1" s="224"/>
      <c r="DBY1" s="224"/>
      <c r="DBZ1" s="224"/>
      <c r="DCA1" s="224"/>
      <c r="DCB1" s="224"/>
      <c r="DCC1" s="224"/>
      <c r="DCD1" s="224"/>
      <c r="DCE1" s="224"/>
      <c r="DCF1" s="224"/>
      <c r="DCG1" s="224"/>
      <c r="DCH1" s="224"/>
      <c r="DCI1" s="224"/>
      <c r="DCJ1" s="224"/>
      <c r="DCK1" s="224"/>
      <c r="DCL1" s="224"/>
      <c r="DCM1" s="224"/>
      <c r="DCN1" s="224"/>
      <c r="DCO1" s="224"/>
      <c r="DCP1" s="224"/>
      <c r="DCQ1" s="224"/>
      <c r="DCR1" s="224"/>
      <c r="DCS1" s="224"/>
      <c r="DCT1" s="224"/>
      <c r="DCU1" s="224"/>
      <c r="DCV1" s="224"/>
      <c r="DCW1" s="224"/>
      <c r="DCX1" s="224"/>
      <c r="DCY1" s="224"/>
      <c r="DCZ1" s="224"/>
      <c r="DDA1" s="224"/>
      <c r="DDB1" s="224"/>
      <c r="DDC1" s="224"/>
      <c r="DDD1" s="224"/>
      <c r="DDE1" s="224"/>
      <c r="DDF1" s="224"/>
      <c r="DDG1" s="224"/>
      <c r="DDH1" s="224"/>
      <c r="DDI1" s="224"/>
      <c r="DDJ1" s="224"/>
      <c r="DDK1" s="224"/>
      <c r="DDL1" s="224"/>
      <c r="DDM1" s="224"/>
      <c r="DDN1" s="224"/>
      <c r="DDO1" s="224"/>
      <c r="DDP1" s="224"/>
      <c r="DDQ1" s="224"/>
      <c r="DDR1" s="224"/>
      <c r="DDS1" s="224"/>
      <c r="DDT1" s="224"/>
      <c r="DDU1" s="224"/>
      <c r="DDV1" s="224"/>
      <c r="DDW1" s="224"/>
      <c r="DDX1" s="224"/>
      <c r="DDY1" s="224"/>
      <c r="DDZ1" s="224"/>
      <c r="DEA1" s="224"/>
      <c r="DEB1" s="224"/>
      <c r="DEC1" s="224"/>
      <c r="DED1" s="224"/>
      <c r="DEE1" s="224"/>
      <c r="DEF1" s="224"/>
      <c r="DEG1" s="224"/>
      <c r="DEH1" s="224"/>
      <c r="DEI1" s="224"/>
      <c r="DEJ1" s="224"/>
      <c r="DEK1" s="224"/>
      <c r="DEL1" s="224"/>
      <c r="DEM1" s="224"/>
      <c r="DEN1" s="224"/>
      <c r="DEO1" s="224"/>
      <c r="DEP1" s="224"/>
      <c r="DEQ1" s="224"/>
      <c r="DER1" s="224"/>
      <c r="DES1" s="224"/>
      <c r="DET1" s="224"/>
      <c r="DEU1" s="224"/>
      <c r="DEV1" s="224"/>
      <c r="DEW1" s="224"/>
      <c r="DEX1" s="224"/>
      <c r="DEY1" s="224"/>
      <c r="DEZ1" s="224"/>
      <c r="DFA1" s="224"/>
      <c r="DFB1" s="224"/>
      <c r="DFC1" s="224"/>
      <c r="DFD1" s="224"/>
      <c r="DFE1" s="224"/>
      <c r="DFF1" s="224"/>
      <c r="DFG1" s="224"/>
      <c r="DFH1" s="224"/>
      <c r="DFI1" s="224"/>
      <c r="DFJ1" s="224"/>
      <c r="DFK1" s="224"/>
      <c r="DFL1" s="224"/>
      <c r="DFM1" s="224"/>
      <c r="DFN1" s="224"/>
      <c r="DFO1" s="224"/>
      <c r="DFP1" s="224"/>
      <c r="DFQ1" s="224"/>
      <c r="DFR1" s="224"/>
      <c r="DFS1" s="224"/>
      <c r="DFT1" s="224"/>
      <c r="DFU1" s="224"/>
      <c r="DFV1" s="224"/>
      <c r="DFW1" s="224"/>
      <c r="DFX1" s="224"/>
      <c r="DFY1" s="224"/>
      <c r="DFZ1" s="224"/>
      <c r="DGA1" s="224"/>
      <c r="DGB1" s="224"/>
      <c r="DGC1" s="224"/>
      <c r="DGD1" s="224"/>
      <c r="DGE1" s="224"/>
      <c r="DGF1" s="224"/>
      <c r="DGG1" s="224"/>
      <c r="DGH1" s="224"/>
      <c r="DGI1" s="224"/>
      <c r="DGJ1" s="224"/>
      <c r="DGK1" s="224"/>
      <c r="DGL1" s="224"/>
      <c r="DGM1" s="224"/>
      <c r="DGN1" s="224"/>
      <c r="DGO1" s="224"/>
      <c r="DGP1" s="224"/>
      <c r="DGQ1" s="224"/>
      <c r="DGR1" s="224"/>
      <c r="DGS1" s="224"/>
      <c r="DGT1" s="224"/>
      <c r="DGU1" s="224"/>
      <c r="DGV1" s="224"/>
      <c r="DGW1" s="224"/>
      <c r="DGX1" s="224"/>
      <c r="DGY1" s="224"/>
      <c r="DGZ1" s="224"/>
      <c r="DHA1" s="224"/>
      <c r="DHB1" s="224"/>
      <c r="DHC1" s="224"/>
      <c r="DHD1" s="224"/>
      <c r="DHE1" s="224"/>
      <c r="DHF1" s="224"/>
      <c r="DHG1" s="224"/>
      <c r="DHH1" s="224"/>
      <c r="DHI1" s="224"/>
      <c r="DHJ1" s="224"/>
      <c r="DHK1" s="224"/>
      <c r="DHL1" s="224"/>
      <c r="DHM1" s="224"/>
      <c r="DHN1" s="224"/>
      <c r="DHO1" s="224"/>
      <c r="DHP1" s="224"/>
      <c r="DHQ1" s="224"/>
      <c r="DHR1" s="224"/>
      <c r="DHS1" s="224"/>
      <c r="DHT1" s="224"/>
      <c r="DHU1" s="224"/>
      <c r="DHV1" s="224"/>
      <c r="DHW1" s="224"/>
      <c r="DHX1" s="224"/>
      <c r="DHY1" s="224"/>
      <c r="DHZ1" s="224"/>
      <c r="DIA1" s="224"/>
      <c r="DIB1" s="224"/>
      <c r="DIC1" s="224"/>
      <c r="DID1" s="224"/>
      <c r="DIE1" s="224"/>
      <c r="DIF1" s="224"/>
      <c r="DIG1" s="224"/>
      <c r="DIH1" s="224"/>
      <c r="DII1" s="224"/>
      <c r="DIJ1" s="224"/>
      <c r="DIK1" s="224"/>
      <c r="DIL1" s="224"/>
      <c r="DIM1" s="224"/>
      <c r="DIN1" s="224"/>
      <c r="DIO1" s="224"/>
      <c r="DIP1" s="224"/>
      <c r="DIQ1" s="224"/>
      <c r="DIR1" s="224"/>
      <c r="DIS1" s="224"/>
      <c r="DIT1" s="224"/>
      <c r="DIU1" s="224"/>
      <c r="DIV1" s="224"/>
      <c r="DIW1" s="224"/>
      <c r="DIX1" s="224"/>
      <c r="DIY1" s="224"/>
      <c r="DIZ1" s="224"/>
      <c r="DJA1" s="224"/>
      <c r="DJB1" s="224"/>
      <c r="DJC1" s="224"/>
      <c r="DJD1" s="224"/>
      <c r="DJE1" s="224"/>
      <c r="DJF1" s="224"/>
      <c r="DJG1" s="224"/>
      <c r="DJH1" s="224"/>
      <c r="DJI1" s="224"/>
      <c r="DJJ1" s="224"/>
      <c r="DJK1" s="224"/>
      <c r="DJL1" s="224"/>
      <c r="DJM1" s="224"/>
      <c r="DJN1" s="224"/>
      <c r="DJO1" s="224"/>
      <c r="DJP1" s="224"/>
      <c r="DJQ1" s="224"/>
      <c r="DJR1" s="224"/>
      <c r="DJS1" s="224"/>
      <c r="DJT1" s="224"/>
      <c r="DJU1" s="224"/>
      <c r="DJV1" s="224"/>
      <c r="DJW1" s="224"/>
      <c r="DJX1" s="224"/>
      <c r="DJY1" s="224"/>
      <c r="DJZ1" s="224"/>
      <c r="DKA1" s="224"/>
      <c r="DKB1" s="224"/>
      <c r="DKC1" s="224"/>
      <c r="DKD1" s="224"/>
      <c r="DKE1" s="224"/>
      <c r="DKF1" s="224"/>
      <c r="DKG1" s="224"/>
      <c r="DKH1" s="224"/>
      <c r="DKI1" s="224"/>
      <c r="DKJ1" s="224"/>
      <c r="DKK1" s="224"/>
      <c r="DKL1" s="224"/>
      <c r="DKM1" s="224"/>
      <c r="DKN1" s="224"/>
      <c r="DKO1" s="224"/>
      <c r="DKP1" s="224"/>
      <c r="DKQ1" s="224"/>
      <c r="DKR1" s="224"/>
      <c r="DKS1" s="224"/>
      <c r="DKT1" s="224"/>
      <c r="DKU1" s="224"/>
      <c r="DKV1" s="224"/>
      <c r="DKW1" s="224"/>
      <c r="DKX1" s="224"/>
      <c r="DKY1" s="224"/>
      <c r="DKZ1" s="224"/>
      <c r="DLA1" s="224"/>
      <c r="DLB1" s="224"/>
      <c r="DLC1" s="224"/>
      <c r="DLD1" s="224"/>
      <c r="DLE1" s="224"/>
      <c r="DLF1" s="224"/>
      <c r="DLG1" s="224"/>
      <c r="DLH1" s="224"/>
      <c r="DLI1" s="224"/>
      <c r="DLJ1" s="224"/>
      <c r="DLK1" s="224"/>
      <c r="DLL1" s="224"/>
      <c r="DLM1" s="224"/>
      <c r="DLN1" s="224"/>
      <c r="DLO1" s="224"/>
      <c r="DLP1" s="224"/>
      <c r="DLQ1" s="224"/>
      <c r="DLR1" s="224"/>
      <c r="DLS1" s="224"/>
      <c r="DLT1" s="224"/>
      <c r="DLU1" s="224"/>
      <c r="DLV1" s="224"/>
      <c r="DLW1" s="224"/>
      <c r="DLX1" s="224"/>
      <c r="DLY1" s="224"/>
      <c r="DLZ1" s="224"/>
      <c r="DMA1" s="224"/>
      <c r="DMB1" s="224"/>
      <c r="DMC1" s="224"/>
      <c r="DMD1" s="224"/>
      <c r="DME1" s="224"/>
      <c r="DMF1" s="224"/>
      <c r="DMG1" s="224"/>
      <c r="DMH1" s="224"/>
      <c r="DMI1" s="224"/>
      <c r="DMJ1" s="224"/>
      <c r="DMK1" s="224"/>
      <c r="DML1" s="224"/>
      <c r="DMM1" s="224"/>
      <c r="DMN1" s="224"/>
      <c r="DMO1" s="224"/>
      <c r="DMP1" s="224"/>
      <c r="DMQ1" s="224"/>
      <c r="DMR1" s="224"/>
      <c r="DMS1" s="224"/>
      <c r="DMT1" s="224"/>
      <c r="DMU1" s="224"/>
      <c r="DMV1" s="224"/>
      <c r="DMW1" s="224"/>
      <c r="DMX1" s="224"/>
      <c r="DMY1" s="224"/>
      <c r="DMZ1" s="224"/>
      <c r="DNA1" s="224"/>
      <c r="DNB1" s="224"/>
      <c r="DNC1" s="224"/>
      <c r="DND1" s="224"/>
      <c r="DNE1" s="224"/>
      <c r="DNF1" s="224"/>
      <c r="DNG1" s="224"/>
      <c r="DNH1" s="224"/>
      <c r="DNI1" s="224"/>
      <c r="DNJ1" s="224"/>
      <c r="DNK1" s="224"/>
      <c r="DNL1" s="224"/>
      <c r="DNM1" s="224"/>
      <c r="DNN1" s="224"/>
      <c r="DNO1" s="224"/>
      <c r="DNP1" s="224"/>
      <c r="DNQ1" s="224"/>
      <c r="DNR1" s="224"/>
      <c r="DNS1" s="224"/>
      <c r="DNT1" s="224"/>
      <c r="DNU1" s="224"/>
      <c r="DNV1" s="224"/>
      <c r="DNW1" s="224"/>
      <c r="DNX1" s="224"/>
      <c r="DNY1" s="224"/>
      <c r="DNZ1" s="224"/>
      <c r="DOA1" s="224"/>
      <c r="DOB1" s="224"/>
      <c r="DOC1" s="224"/>
      <c r="DOD1" s="224"/>
      <c r="DOE1" s="224"/>
      <c r="DOF1" s="224"/>
      <c r="DOG1" s="224"/>
      <c r="DOH1" s="224"/>
      <c r="DOI1" s="224"/>
      <c r="DOJ1" s="224"/>
      <c r="DOK1" s="224"/>
      <c r="DOL1" s="224"/>
      <c r="DOM1" s="224"/>
      <c r="DON1" s="224"/>
      <c r="DOO1" s="224"/>
      <c r="DOP1" s="224"/>
      <c r="DOQ1" s="224"/>
      <c r="DOR1" s="224"/>
      <c r="DOS1" s="224"/>
      <c r="DOT1" s="224"/>
      <c r="DOU1" s="224"/>
      <c r="DOV1" s="224"/>
      <c r="DOW1" s="224"/>
      <c r="DOX1" s="224"/>
      <c r="DOY1" s="224"/>
      <c r="DOZ1" s="224"/>
      <c r="DPA1" s="224"/>
      <c r="DPB1" s="224"/>
      <c r="DPC1" s="224"/>
      <c r="DPD1" s="224"/>
      <c r="DPE1" s="224"/>
      <c r="DPF1" s="224"/>
      <c r="DPG1" s="224"/>
      <c r="DPH1" s="224"/>
      <c r="DPI1" s="224"/>
      <c r="DPJ1" s="224"/>
      <c r="DPK1" s="224"/>
      <c r="DPL1" s="224"/>
      <c r="DPM1" s="224"/>
      <c r="DPN1" s="224"/>
      <c r="DPO1" s="224"/>
      <c r="DPP1" s="224"/>
      <c r="DPQ1" s="224"/>
      <c r="DPR1" s="224"/>
      <c r="DPS1" s="224"/>
      <c r="DPT1" s="224"/>
      <c r="DPU1" s="224"/>
      <c r="DPV1" s="224"/>
      <c r="DPW1" s="224"/>
      <c r="DPX1" s="224"/>
      <c r="DPY1" s="224"/>
      <c r="DPZ1" s="224"/>
      <c r="DQA1" s="224"/>
      <c r="DQB1" s="224"/>
      <c r="DQC1" s="224"/>
      <c r="DQD1" s="224"/>
      <c r="DQE1" s="224"/>
      <c r="DQF1" s="224"/>
      <c r="DQG1" s="224"/>
      <c r="DQH1" s="224"/>
      <c r="DQI1" s="224"/>
      <c r="DQJ1" s="224"/>
      <c r="DQK1" s="224"/>
      <c r="DQL1" s="224"/>
      <c r="DQM1" s="224"/>
      <c r="DQN1" s="224"/>
      <c r="DQO1" s="224"/>
      <c r="DQP1" s="224"/>
      <c r="DQQ1" s="224"/>
      <c r="DQR1" s="224"/>
      <c r="DQS1" s="224"/>
      <c r="DQT1" s="224"/>
      <c r="DQU1" s="224"/>
      <c r="DQV1" s="224"/>
      <c r="DQW1" s="224"/>
      <c r="DQX1" s="224"/>
      <c r="DQY1" s="224"/>
      <c r="DQZ1" s="224"/>
      <c r="DRA1" s="224"/>
      <c r="DRB1" s="224"/>
      <c r="DRC1" s="224"/>
      <c r="DRD1" s="224"/>
      <c r="DRE1" s="224"/>
      <c r="DRF1" s="224"/>
      <c r="DRG1" s="224"/>
      <c r="DRH1" s="224"/>
      <c r="DRI1" s="224"/>
      <c r="DRJ1" s="224"/>
      <c r="DRK1" s="224"/>
      <c r="DRL1" s="224"/>
      <c r="DRM1" s="224"/>
      <c r="DRN1" s="224"/>
      <c r="DRO1" s="224"/>
      <c r="DRP1" s="224"/>
      <c r="DRQ1" s="224"/>
      <c r="DRR1" s="224"/>
      <c r="DRS1" s="224"/>
      <c r="DRT1" s="224"/>
      <c r="DRU1" s="224"/>
      <c r="DRV1" s="224"/>
      <c r="DRW1" s="224"/>
      <c r="DRX1" s="224"/>
      <c r="DRY1" s="224"/>
      <c r="DRZ1" s="224"/>
      <c r="DSA1" s="224"/>
      <c r="DSB1" s="224"/>
      <c r="DSC1" s="224"/>
      <c r="DSD1" s="224"/>
      <c r="DSE1" s="224"/>
      <c r="DSF1" s="224"/>
      <c r="DSG1" s="224"/>
      <c r="DSH1" s="224"/>
      <c r="DSI1" s="224"/>
      <c r="DSJ1" s="224"/>
      <c r="DSK1" s="224"/>
      <c r="DSL1" s="224"/>
      <c r="DSM1" s="224"/>
      <c r="DSN1" s="224"/>
      <c r="DSO1" s="224"/>
      <c r="DSP1" s="224"/>
      <c r="DSQ1" s="224"/>
      <c r="DSR1" s="224"/>
      <c r="DSS1" s="224"/>
      <c r="DST1" s="224"/>
      <c r="DSU1" s="224"/>
      <c r="DSV1" s="224"/>
      <c r="DSW1" s="224"/>
      <c r="DSX1" s="224"/>
      <c r="DSY1" s="224"/>
      <c r="DSZ1" s="224"/>
      <c r="DTA1" s="224"/>
      <c r="DTB1" s="224"/>
      <c r="DTC1" s="224"/>
      <c r="DTD1" s="224"/>
      <c r="DTE1" s="224"/>
      <c r="DTF1" s="224"/>
      <c r="DTG1" s="224"/>
      <c r="DTH1" s="224"/>
      <c r="DTI1" s="224"/>
      <c r="DTJ1" s="224"/>
      <c r="DTK1" s="224"/>
      <c r="DTL1" s="224"/>
      <c r="DTM1" s="224"/>
      <c r="DTN1" s="224"/>
      <c r="DTO1" s="224"/>
      <c r="DTP1" s="224"/>
      <c r="DTQ1" s="224"/>
      <c r="DTR1" s="224"/>
      <c r="DTS1" s="224"/>
      <c r="DTT1" s="224"/>
      <c r="DTU1" s="224"/>
      <c r="DTV1" s="224"/>
      <c r="DTW1" s="224"/>
      <c r="DTX1" s="224"/>
      <c r="DTY1" s="224"/>
      <c r="DTZ1" s="224"/>
      <c r="DUA1" s="224"/>
      <c r="DUB1" s="224"/>
      <c r="DUC1" s="224"/>
      <c r="DUD1" s="224"/>
      <c r="DUE1" s="224"/>
      <c r="DUF1" s="224"/>
      <c r="DUG1" s="224"/>
      <c r="DUH1" s="224"/>
      <c r="DUI1" s="224"/>
      <c r="DUJ1" s="224"/>
      <c r="DUK1" s="224"/>
      <c r="DUL1" s="224"/>
      <c r="DUM1" s="224"/>
      <c r="DUN1" s="224"/>
      <c r="DUO1" s="224"/>
      <c r="DUP1" s="224"/>
      <c r="DUQ1" s="224"/>
      <c r="DUR1" s="224"/>
      <c r="DUS1" s="224"/>
      <c r="DUT1" s="224"/>
      <c r="DUU1" s="224"/>
      <c r="DUV1" s="224"/>
      <c r="DUW1" s="224"/>
      <c r="DUX1" s="224"/>
      <c r="DUY1" s="224"/>
      <c r="DUZ1" s="224"/>
      <c r="DVA1" s="224"/>
      <c r="DVB1" s="224"/>
      <c r="DVC1" s="224"/>
      <c r="DVD1" s="224"/>
      <c r="DVE1" s="224"/>
      <c r="DVF1" s="224"/>
      <c r="DVG1" s="224"/>
      <c r="DVH1" s="224"/>
      <c r="DVI1" s="224"/>
      <c r="DVJ1" s="224"/>
      <c r="DVK1" s="224"/>
      <c r="DVL1" s="224"/>
      <c r="DVM1" s="224"/>
      <c r="DVN1" s="224"/>
      <c r="DVO1" s="224"/>
      <c r="DVP1" s="224"/>
      <c r="DVQ1" s="224"/>
      <c r="DVR1" s="224"/>
      <c r="DVS1" s="224"/>
      <c r="DVT1" s="224"/>
      <c r="DVU1" s="224"/>
      <c r="DVV1" s="224"/>
      <c r="DVW1" s="224"/>
      <c r="DVX1" s="224"/>
      <c r="DVY1" s="224"/>
      <c r="DVZ1" s="224"/>
      <c r="DWA1" s="224"/>
      <c r="DWB1" s="224"/>
      <c r="DWC1" s="224"/>
      <c r="DWD1" s="224"/>
      <c r="DWE1" s="224"/>
      <c r="DWF1" s="224"/>
      <c r="DWG1" s="224"/>
      <c r="DWH1" s="224"/>
      <c r="DWI1" s="224"/>
      <c r="DWJ1" s="224"/>
      <c r="DWK1" s="224"/>
      <c r="DWL1" s="224"/>
      <c r="DWM1" s="224"/>
      <c r="DWN1" s="224"/>
      <c r="DWO1" s="224"/>
      <c r="DWP1" s="224"/>
      <c r="DWQ1" s="224"/>
      <c r="DWR1" s="224"/>
      <c r="DWS1" s="224"/>
      <c r="DWT1" s="224"/>
      <c r="DWU1" s="224"/>
      <c r="DWV1" s="224"/>
      <c r="DWW1" s="224"/>
      <c r="DWX1" s="224"/>
      <c r="DWY1" s="224"/>
      <c r="DWZ1" s="224"/>
      <c r="DXA1" s="224"/>
      <c r="DXB1" s="224"/>
      <c r="DXC1" s="224"/>
      <c r="DXD1" s="224"/>
      <c r="DXE1" s="224"/>
      <c r="DXF1" s="224"/>
      <c r="DXG1" s="224"/>
      <c r="DXH1" s="224"/>
      <c r="DXI1" s="224"/>
      <c r="DXJ1" s="224"/>
      <c r="DXK1" s="224"/>
      <c r="DXL1" s="224"/>
      <c r="DXM1" s="224"/>
      <c r="DXN1" s="224"/>
      <c r="DXO1" s="224"/>
      <c r="DXP1" s="224"/>
      <c r="DXQ1" s="224"/>
      <c r="DXR1" s="224"/>
      <c r="DXS1" s="224"/>
      <c r="DXT1" s="224"/>
      <c r="DXU1" s="224"/>
      <c r="DXV1" s="224"/>
      <c r="DXW1" s="224"/>
      <c r="DXX1" s="224"/>
      <c r="DXY1" s="224"/>
      <c r="DXZ1" s="224"/>
      <c r="DYA1" s="224"/>
      <c r="DYB1" s="224"/>
      <c r="DYC1" s="224"/>
      <c r="DYD1" s="224"/>
      <c r="DYE1" s="224"/>
      <c r="DYF1" s="224"/>
      <c r="DYG1" s="224"/>
      <c r="DYH1" s="224"/>
      <c r="DYI1" s="224"/>
      <c r="DYJ1" s="224"/>
      <c r="DYK1" s="224"/>
      <c r="DYL1" s="224"/>
      <c r="DYM1" s="224"/>
      <c r="DYN1" s="224"/>
      <c r="DYO1" s="224"/>
      <c r="DYP1" s="224"/>
      <c r="DYQ1" s="224"/>
      <c r="DYR1" s="224"/>
      <c r="DYS1" s="224"/>
      <c r="DYT1" s="224"/>
      <c r="DYU1" s="224"/>
      <c r="DYV1" s="224"/>
      <c r="DYW1" s="224"/>
      <c r="DYX1" s="224"/>
      <c r="DYY1" s="224"/>
      <c r="DYZ1" s="224"/>
      <c r="DZA1" s="224"/>
      <c r="DZB1" s="224"/>
      <c r="DZC1" s="224"/>
      <c r="DZD1" s="224"/>
      <c r="DZE1" s="224"/>
      <c r="DZF1" s="224"/>
      <c r="DZG1" s="224"/>
      <c r="DZH1" s="224"/>
      <c r="DZI1" s="224"/>
      <c r="DZJ1" s="224"/>
      <c r="DZK1" s="224"/>
      <c r="DZL1" s="224"/>
      <c r="DZM1" s="224"/>
      <c r="DZN1" s="224"/>
      <c r="DZO1" s="224"/>
      <c r="DZP1" s="224"/>
      <c r="DZQ1" s="224"/>
      <c r="DZR1" s="224"/>
      <c r="DZS1" s="224"/>
      <c r="DZT1" s="224"/>
      <c r="DZU1" s="224"/>
      <c r="DZV1" s="224"/>
      <c r="DZW1" s="224"/>
      <c r="DZX1" s="224"/>
      <c r="DZY1" s="224"/>
      <c r="DZZ1" s="224"/>
      <c r="EAA1" s="224"/>
      <c r="EAB1" s="224"/>
      <c r="EAC1" s="224"/>
      <c r="EAD1" s="224"/>
      <c r="EAE1" s="224"/>
      <c r="EAF1" s="224"/>
      <c r="EAG1" s="224"/>
      <c r="EAH1" s="224"/>
      <c r="EAI1" s="224"/>
      <c r="EAJ1" s="224"/>
      <c r="EAK1" s="224"/>
      <c r="EAL1" s="224"/>
      <c r="EAM1" s="224"/>
      <c r="EAN1" s="224"/>
      <c r="EAO1" s="224"/>
      <c r="EAP1" s="224"/>
      <c r="EAQ1" s="224"/>
      <c r="EAR1" s="224"/>
      <c r="EAS1" s="224"/>
      <c r="EAT1" s="224"/>
      <c r="EAU1" s="224"/>
      <c r="EAV1" s="224"/>
      <c r="EAW1" s="224"/>
      <c r="EAX1" s="224"/>
      <c r="EAY1" s="224"/>
      <c r="EAZ1" s="224"/>
      <c r="EBA1" s="224"/>
      <c r="EBB1" s="224"/>
      <c r="EBC1" s="224"/>
      <c r="EBD1" s="224"/>
      <c r="EBE1" s="224"/>
      <c r="EBF1" s="224"/>
      <c r="EBG1" s="224"/>
      <c r="EBH1" s="224"/>
      <c r="EBI1" s="224"/>
      <c r="EBJ1" s="224"/>
      <c r="EBK1" s="224"/>
      <c r="EBL1" s="224"/>
      <c r="EBM1" s="224"/>
      <c r="EBN1" s="224"/>
      <c r="EBO1" s="224"/>
      <c r="EBP1" s="224"/>
      <c r="EBQ1" s="224"/>
      <c r="EBR1" s="224"/>
      <c r="EBS1" s="224"/>
      <c r="EBT1" s="224"/>
      <c r="EBU1" s="224"/>
      <c r="EBV1" s="224"/>
      <c r="EBW1" s="224"/>
      <c r="EBX1" s="224"/>
      <c r="EBY1" s="224"/>
      <c r="EBZ1" s="224"/>
      <c r="ECA1" s="224"/>
      <c r="ECB1" s="224"/>
      <c r="ECC1" s="224"/>
      <c r="ECD1" s="224"/>
      <c r="ECE1" s="224"/>
      <c r="ECF1" s="224"/>
      <c r="ECG1" s="224"/>
      <c r="ECH1" s="224"/>
      <c r="ECI1" s="224"/>
      <c r="ECJ1" s="224"/>
      <c r="ECK1" s="224"/>
      <c r="ECL1" s="224"/>
      <c r="ECM1" s="224"/>
      <c r="ECN1" s="224"/>
      <c r="ECO1" s="224"/>
      <c r="ECP1" s="224"/>
      <c r="ECQ1" s="224"/>
      <c r="ECR1" s="224"/>
      <c r="ECS1" s="224"/>
      <c r="ECT1" s="224"/>
      <c r="ECU1" s="224"/>
      <c r="ECV1" s="224"/>
      <c r="ECW1" s="224"/>
      <c r="ECX1" s="224"/>
      <c r="ECY1" s="224"/>
      <c r="ECZ1" s="224"/>
      <c r="EDA1" s="224"/>
      <c r="EDB1" s="224"/>
      <c r="EDC1" s="224"/>
      <c r="EDD1" s="224"/>
      <c r="EDE1" s="224"/>
      <c r="EDF1" s="224"/>
      <c r="EDG1" s="224"/>
      <c r="EDH1" s="224"/>
      <c r="EDI1" s="224"/>
      <c r="EDJ1" s="224"/>
      <c r="EDK1" s="224"/>
      <c r="EDL1" s="224"/>
      <c r="EDM1" s="224"/>
      <c r="EDN1" s="224"/>
      <c r="EDO1" s="224"/>
      <c r="EDP1" s="224"/>
      <c r="EDQ1" s="224"/>
      <c r="EDR1" s="224"/>
      <c r="EDS1" s="224"/>
      <c r="EDT1" s="224"/>
      <c r="EDU1" s="224"/>
      <c r="EDV1" s="224"/>
      <c r="EDW1" s="224"/>
      <c r="EDX1" s="224"/>
      <c r="EDY1" s="224"/>
      <c r="EDZ1" s="224"/>
      <c r="EEA1" s="224"/>
      <c r="EEB1" s="224"/>
      <c r="EEC1" s="224"/>
      <c r="EED1" s="224"/>
      <c r="EEE1" s="224"/>
      <c r="EEF1" s="224"/>
      <c r="EEG1" s="224"/>
      <c r="EEH1" s="224"/>
      <c r="EEI1" s="224"/>
      <c r="EEJ1" s="224"/>
      <c r="EEK1" s="224"/>
      <c r="EEL1" s="224"/>
      <c r="EEM1" s="224"/>
      <c r="EEN1" s="224"/>
      <c r="EEO1" s="224"/>
      <c r="EEP1" s="224"/>
      <c r="EEQ1" s="224"/>
      <c r="EER1" s="224"/>
      <c r="EES1" s="224"/>
      <c r="EET1" s="224"/>
      <c r="EEU1" s="224"/>
      <c r="EEV1" s="224"/>
      <c r="EEW1" s="224"/>
      <c r="EEX1" s="224"/>
      <c r="EEY1" s="224"/>
      <c r="EEZ1" s="224"/>
      <c r="EFA1" s="224"/>
      <c r="EFB1" s="224"/>
      <c r="EFC1" s="224"/>
      <c r="EFD1" s="224"/>
      <c r="EFE1" s="224"/>
      <c r="EFF1" s="224"/>
      <c r="EFG1" s="224"/>
      <c r="EFH1" s="224"/>
      <c r="EFI1" s="224"/>
      <c r="EFJ1" s="224"/>
      <c r="EFK1" s="224"/>
      <c r="EFL1" s="224"/>
      <c r="EFM1" s="224"/>
      <c r="EFN1" s="224"/>
      <c r="EFO1" s="224"/>
      <c r="EFP1" s="224"/>
      <c r="EFQ1" s="224"/>
      <c r="EFR1" s="224"/>
      <c r="EFS1" s="224"/>
      <c r="EFT1" s="224"/>
      <c r="EFU1" s="224"/>
      <c r="EFV1" s="224"/>
      <c r="EFW1" s="224"/>
      <c r="EFX1" s="224"/>
      <c r="EFY1" s="224"/>
      <c r="EFZ1" s="224"/>
      <c r="EGA1" s="224"/>
      <c r="EGB1" s="224"/>
      <c r="EGC1" s="224"/>
      <c r="EGD1" s="224"/>
      <c r="EGE1" s="224"/>
      <c r="EGF1" s="224"/>
      <c r="EGG1" s="224"/>
      <c r="EGH1" s="224"/>
      <c r="EGI1" s="224"/>
      <c r="EGJ1" s="224"/>
      <c r="EGK1" s="224"/>
      <c r="EGL1" s="224"/>
      <c r="EGM1" s="224"/>
      <c r="EGN1" s="224"/>
      <c r="EGO1" s="224"/>
      <c r="EGP1" s="224"/>
      <c r="EGQ1" s="224"/>
      <c r="EGR1" s="224"/>
      <c r="EGS1" s="224"/>
      <c r="EGT1" s="224"/>
      <c r="EGU1" s="224"/>
      <c r="EGV1" s="224"/>
      <c r="EGW1" s="224"/>
      <c r="EGX1" s="224"/>
      <c r="EGY1" s="224"/>
      <c r="EGZ1" s="224"/>
      <c r="EHA1" s="224"/>
      <c r="EHB1" s="224"/>
      <c r="EHC1" s="224"/>
      <c r="EHD1" s="224"/>
      <c r="EHE1" s="224"/>
      <c r="EHF1" s="224"/>
      <c r="EHG1" s="224"/>
      <c r="EHH1" s="224"/>
      <c r="EHI1" s="224"/>
      <c r="EHJ1" s="224"/>
      <c r="EHK1" s="224"/>
      <c r="EHL1" s="224"/>
      <c r="EHM1" s="224"/>
      <c r="EHN1" s="224"/>
      <c r="EHO1" s="224"/>
      <c r="EHP1" s="224"/>
      <c r="EHQ1" s="224"/>
      <c r="EHR1" s="224"/>
      <c r="EHS1" s="224"/>
      <c r="EHT1" s="224"/>
      <c r="EHU1" s="224"/>
      <c r="EHV1" s="224"/>
      <c r="EHW1" s="224"/>
      <c r="EHX1" s="224"/>
      <c r="EHY1" s="224"/>
      <c r="EHZ1" s="224"/>
      <c r="EIA1" s="224"/>
      <c r="EIB1" s="224"/>
      <c r="EIC1" s="224"/>
      <c r="EID1" s="224"/>
      <c r="EIE1" s="224"/>
      <c r="EIF1" s="224"/>
      <c r="EIG1" s="224"/>
      <c r="EIH1" s="224"/>
      <c r="EII1" s="224"/>
      <c r="EIJ1" s="224"/>
      <c r="EIK1" s="224"/>
      <c r="EIL1" s="224"/>
      <c r="EIM1" s="224"/>
      <c r="EIN1" s="224"/>
      <c r="EIO1" s="224"/>
      <c r="EIP1" s="224"/>
      <c r="EIQ1" s="224"/>
      <c r="EIR1" s="224"/>
      <c r="EIS1" s="224"/>
      <c r="EIT1" s="224"/>
      <c r="EIU1" s="224"/>
      <c r="EIV1" s="224"/>
      <c r="EIW1" s="224"/>
      <c r="EIX1" s="224"/>
      <c r="EIY1" s="224"/>
      <c r="EIZ1" s="224"/>
      <c r="EJA1" s="224"/>
      <c r="EJB1" s="224"/>
      <c r="EJC1" s="224"/>
      <c r="EJD1" s="224"/>
      <c r="EJE1" s="224"/>
      <c r="EJF1" s="224"/>
      <c r="EJG1" s="224"/>
      <c r="EJH1" s="224"/>
      <c r="EJI1" s="224"/>
      <c r="EJJ1" s="224"/>
      <c r="EJK1" s="224"/>
      <c r="EJL1" s="224"/>
      <c r="EJM1" s="224"/>
      <c r="EJN1" s="224"/>
      <c r="EJO1" s="224"/>
      <c r="EJP1" s="224"/>
      <c r="EJQ1" s="224"/>
      <c r="EJR1" s="224"/>
      <c r="EJS1" s="224"/>
      <c r="EJT1" s="224"/>
      <c r="EJU1" s="224"/>
      <c r="EJV1" s="224"/>
      <c r="EJW1" s="224"/>
      <c r="EJX1" s="224"/>
      <c r="EJY1" s="224"/>
      <c r="EJZ1" s="224"/>
      <c r="EKA1" s="224"/>
      <c r="EKB1" s="224"/>
      <c r="EKC1" s="224"/>
      <c r="EKD1" s="224"/>
      <c r="EKE1" s="224"/>
      <c r="EKF1" s="224"/>
      <c r="EKG1" s="224"/>
      <c r="EKH1" s="224"/>
      <c r="EKI1" s="224"/>
      <c r="EKJ1" s="224"/>
      <c r="EKK1" s="224"/>
      <c r="EKL1" s="224"/>
      <c r="EKM1" s="224"/>
      <c r="EKN1" s="224"/>
      <c r="EKO1" s="224"/>
      <c r="EKP1" s="224"/>
      <c r="EKQ1" s="224"/>
      <c r="EKR1" s="224"/>
      <c r="EKS1" s="224"/>
      <c r="EKT1" s="224"/>
      <c r="EKU1" s="224"/>
      <c r="EKV1" s="224"/>
      <c r="EKW1" s="224"/>
      <c r="EKX1" s="224"/>
      <c r="EKY1" s="224"/>
      <c r="EKZ1" s="224"/>
      <c r="ELA1" s="224"/>
      <c r="ELB1" s="224"/>
      <c r="ELC1" s="224"/>
      <c r="ELD1" s="224"/>
      <c r="ELE1" s="224"/>
      <c r="ELF1" s="224"/>
      <c r="ELG1" s="224"/>
      <c r="ELH1" s="224"/>
      <c r="ELI1" s="224"/>
      <c r="ELJ1" s="224"/>
      <c r="ELK1" s="224"/>
      <c r="ELL1" s="224"/>
      <c r="ELM1" s="224"/>
      <c r="ELN1" s="224"/>
      <c r="ELO1" s="224"/>
      <c r="ELP1" s="224"/>
      <c r="ELQ1" s="224"/>
      <c r="ELR1" s="224"/>
      <c r="ELS1" s="224"/>
      <c r="ELT1" s="224"/>
      <c r="ELU1" s="224"/>
      <c r="ELV1" s="224"/>
      <c r="ELW1" s="224"/>
      <c r="ELX1" s="224"/>
      <c r="ELY1" s="224"/>
      <c r="ELZ1" s="224"/>
      <c r="EMA1" s="224"/>
      <c r="EMB1" s="224"/>
      <c r="EMC1" s="224"/>
      <c r="EMD1" s="224"/>
      <c r="EME1" s="224"/>
      <c r="EMF1" s="224"/>
      <c r="EMG1" s="224"/>
      <c r="EMH1" s="224"/>
      <c r="EMI1" s="224"/>
      <c r="EMJ1" s="224"/>
      <c r="EMK1" s="224"/>
      <c r="EML1" s="224"/>
      <c r="EMM1" s="224"/>
      <c r="EMN1" s="224"/>
      <c r="EMO1" s="224"/>
      <c r="EMP1" s="224"/>
      <c r="EMQ1" s="224"/>
      <c r="EMR1" s="224"/>
      <c r="EMS1" s="224"/>
      <c r="EMT1" s="224"/>
      <c r="EMU1" s="224"/>
      <c r="EMV1" s="224"/>
      <c r="EMW1" s="224"/>
      <c r="EMX1" s="224"/>
      <c r="EMY1" s="224"/>
      <c r="EMZ1" s="224"/>
      <c r="ENA1" s="224"/>
      <c r="ENB1" s="224"/>
      <c r="ENC1" s="224"/>
      <c r="END1" s="224"/>
      <c r="ENE1" s="224"/>
      <c r="ENF1" s="224"/>
      <c r="ENG1" s="224"/>
      <c r="ENH1" s="224"/>
      <c r="ENI1" s="224"/>
      <c r="ENJ1" s="224"/>
      <c r="ENK1" s="224"/>
      <c r="ENL1" s="224"/>
      <c r="ENM1" s="224"/>
      <c r="ENN1" s="224"/>
      <c r="ENO1" s="224"/>
      <c r="ENP1" s="224"/>
      <c r="ENQ1" s="224"/>
      <c r="ENR1" s="224"/>
      <c r="ENS1" s="224"/>
      <c r="ENT1" s="224"/>
      <c r="ENU1" s="224"/>
      <c r="ENV1" s="224"/>
      <c r="ENW1" s="224"/>
      <c r="ENX1" s="224"/>
      <c r="ENY1" s="224"/>
      <c r="ENZ1" s="224"/>
      <c r="EOA1" s="224"/>
      <c r="EOB1" s="224"/>
      <c r="EOC1" s="224"/>
      <c r="EOD1" s="224"/>
      <c r="EOE1" s="224"/>
      <c r="EOF1" s="224"/>
      <c r="EOG1" s="224"/>
      <c r="EOH1" s="224"/>
      <c r="EOI1" s="224"/>
      <c r="EOJ1" s="224"/>
      <c r="EOK1" s="224"/>
      <c r="EOL1" s="224"/>
      <c r="EOM1" s="224"/>
      <c r="EON1" s="224"/>
      <c r="EOO1" s="224"/>
      <c r="EOP1" s="224"/>
      <c r="EOQ1" s="224"/>
      <c r="EOR1" s="224"/>
      <c r="EOS1" s="224"/>
      <c r="EOT1" s="224"/>
      <c r="EOU1" s="224"/>
      <c r="EOV1" s="224"/>
      <c r="EOW1" s="224"/>
      <c r="EOX1" s="224"/>
      <c r="EOY1" s="224"/>
      <c r="EOZ1" s="224"/>
      <c r="EPA1" s="224"/>
      <c r="EPB1" s="224"/>
      <c r="EPC1" s="224"/>
      <c r="EPD1" s="224"/>
      <c r="EPE1" s="224"/>
      <c r="EPF1" s="224"/>
      <c r="EPG1" s="224"/>
      <c r="EPH1" s="224"/>
      <c r="EPI1" s="224"/>
      <c r="EPJ1" s="224"/>
      <c r="EPK1" s="224"/>
      <c r="EPL1" s="224"/>
      <c r="EPM1" s="224"/>
      <c r="EPN1" s="224"/>
      <c r="EPO1" s="224"/>
      <c r="EPP1" s="224"/>
      <c r="EPQ1" s="224"/>
      <c r="EPR1" s="224"/>
      <c r="EPS1" s="224"/>
      <c r="EPT1" s="224"/>
      <c r="EPU1" s="224"/>
      <c r="EPV1" s="224"/>
      <c r="EPW1" s="224"/>
      <c r="EPX1" s="224"/>
      <c r="EPY1" s="224"/>
      <c r="EPZ1" s="224"/>
      <c r="EQA1" s="224"/>
      <c r="EQB1" s="224"/>
      <c r="EQC1" s="224"/>
      <c r="EQD1" s="224"/>
      <c r="EQE1" s="224"/>
      <c r="EQF1" s="224"/>
      <c r="EQG1" s="224"/>
      <c r="EQH1" s="224"/>
      <c r="EQI1" s="224"/>
      <c r="EQJ1" s="224"/>
      <c r="EQK1" s="224"/>
      <c r="EQL1" s="224"/>
      <c r="EQM1" s="224"/>
      <c r="EQN1" s="224"/>
      <c r="EQO1" s="224"/>
      <c r="EQP1" s="224"/>
      <c r="EQQ1" s="224"/>
      <c r="EQR1" s="224"/>
      <c r="EQS1" s="224"/>
      <c r="EQT1" s="224"/>
      <c r="EQU1" s="224"/>
      <c r="EQV1" s="224"/>
      <c r="EQW1" s="224"/>
      <c r="EQX1" s="224"/>
      <c r="EQY1" s="224"/>
      <c r="EQZ1" s="224"/>
      <c r="ERA1" s="224"/>
      <c r="ERB1" s="224"/>
      <c r="ERC1" s="224"/>
      <c r="ERD1" s="224"/>
      <c r="ERE1" s="224"/>
      <c r="ERF1" s="224"/>
      <c r="ERG1" s="224"/>
      <c r="ERH1" s="224"/>
      <c r="ERI1" s="224"/>
      <c r="ERJ1" s="224"/>
      <c r="ERK1" s="224"/>
      <c r="ERL1" s="224"/>
      <c r="ERM1" s="224"/>
      <c r="ERN1" s="224"/>
      <c r="ERO1" s="224"/>
      <c r="ERP1" s="224"/>
      <c r="ERQ1" s="224"/>
      <c r="ERR1" s="224"/>
      <c r="ERS1" s="224"/>
      <c r="ERT1" s="224"/>
      <c r="ERU1" s="224"/>
      <c r="ERV1" s="224"/>
      <c r="ERW1" s="224"/>
      <c r="ERX1" s="224"/>
      <c r="ERY1" s="224"/>
      <c r="ERZ1" s="224"/>
      <c r="ESA1" s="224"/>
      <c r="ESB1" s="224"/>
      <c r="ESC1" s="224"/>
      <c r="ESD1" s="224"/>
      <c r="ESE1" s="224"/>
      <c r="ESF1" s="224"/>
      <c r="ESG1" s="224"/>
      <c r="ESH1" s="224"/>
      <c r="ESI1" s="224"/>
      <c r="ESJ1" s="224"/>
      <c r="ESK1" s="224"/>
      <c r="ESL1" s="224"/>
      <c r="ESM1" s="224"/>
      <c r="ESN1" s="224"/>
      <c r="ESO1" s="224"/>
      <c r="ESP1" s="224"/>
      <c r="ESQ1" s="224"/>
      <c r="ESR1" s="224"/>
      <c r="ESS1" s="224"/>
      <c r="EST1" s="224"/>
      <c r="ESU1" s="224"/>
      <c r="ESV1" s="224"/>
      <c r="ESW1" s="224"/>
      <c r="ESX1" s="224"/>
      <c r="ESY1" s="224"/>
      <c r="ESZ1" s="224"/>
      <c r="ETA1" s="224"/>
      <c r="ETB1" s="224"/>
      <c r="ETC1" s="224"/>
      <c r="ETD1" s="224"/>
      <c r="ETE1" s="224"/>
      <c r="ETF1" s="224"/>
      <c r="ETG1" s="224"/>
      <c r="ETH1" s="224"/>
      <c r="ETI1" s="224"/>
      <c r="ETJ1" s="224"/>
      <c r="ETK1" s="224"/>
      <c r="ETL1" s="224"/>
      <c r="ETM1" s="224"/>
      <c r="ETN1" s="224"/>
      <c r="ETO1" s="224"/>
      <c r="ETP1" s="224"/>
      <c r="ETQ1" s="224"/>
      <c r="ETR1" s="224"/>
      <c r="ETS1" s="224"/>
      <c r="ETT1" s="224"/>
      <c r="ETU1" s="224"/>
      <c r="ETV1" s="224"/>
      <c r="ETW1" s="224"/>
      <c r="ETX1" s="224"/>
      <c r="ETY1" s="224"/>
      <c r="ETZ1" s="224"/>
      <c r="EUA1" s="224"/>
      <c r="EUB1" s="224"/>
      <c r="EUC1" s="224"/>
      <c r="EUD1" s="224"/>
      <c r="EUE1" s="224"/>
      <c r="EUF1" s="224"/>
      <c r="EUG1" s="224"/>
      <c r="EUH1" s="224"/>
      <c r="EUI1" s="224"/>
      <c r="EUJ1" s="224"/>
      <c r="EUK1" s="224"/>
      <c r="EUL1" s="224"/>
      <c r="EUM1" s="224"/>
      <c r="EUN1" s="224"/>
      <c r="EUO1" s="224"/>
      <c r="EUP1" s="224"/>
      <c r="EUQ1" s="224"/>
      <c r="EUR1" s="224"/>
      <c r="EUS1" s="224"/>
      <c r="EUT1" s="224"/>
      <c r="EUU1" s="224"/>
      <c r="EUV1" s="224"/>
      <c r="EUW1" s="224"/>
      <c r="EUX1" s="224"/>
      <c r="EUY1" s="224"/>
      <c r="EUZ1" s="224"/>
      <c r="EVA1" s="224"/>
      <c r="EVB1" s="224"/>
      <c r="EVC1" s="224"/>
      <c r="EVD1" s="224"/>
      <c r="EVE1" s="224"/>
      <c r="EVF1" s="224"/>
      <c r="EVG1" s="224"/>
      <c r="EVH1" s="224"/>
      <c r="EVI1" s="224"/>
      <c r="EVJ1" s="224"/>
      <c r="EVK1" s="224"/>
      <c r="EVL1" s="224"/>
      <c r="EVM1" s="224"/>
      <c r="EVN1" s="224"/>
      <c r="EVO1" s="224"/>
      <c r="EVP1" s="224"/>
      <c r="EVQ1" s="224"/>
      <c r="EVR1" s="224"/>
      <c r="EVS1" s="224"/>
      <c r="EVT1" s="224"/>
      <c r="EVU1" s="224"/>
      <c r="EVV1" s="224"/>
      <c r="EVW1" s="224"/>
      <c r="EVX1" s="224"/>
      <c r="EVY1" s="224"/>
      <c r="EVZ1" s="224"/>
      <c r="EWA1" s="224"/>
      <c r="EWB1" s="224"/>
      <c r="EWC1" s="224"/>
      <c r="EWD1" s="224"/>
      <c r="EWE1" s="224"/>
      <c r="EWF1" s="224"/>
      <c r="EWG1" s="224"/>
      <c r="EWH1" s="224"/>
      <c r="EWI1" s="224"/>
      <c r="EWJ1" s="224"/>
      <c r="EWK1" s="224"/>
      <c r="EWL1" s="224"/>
      <c r="EWM1" s="224"/>
      <c r="EWN1" s="224"/>
      <c r="EWO1" s="224"/>
      <c r="EWP1" s="224"/>
      <c r="EWQ1" s="224"/>
      <c r="EWR1" s="224"/>
      <c r="EWS1" s="224"/>
      <c r="EWT1" s="224"/>
      <c r="EWU1" s="224"/>
      <c r="EWV1" s="224"/>
      <c r="EWW1" s="224"/>
      <c r="EWX1" s="224"/>
      <c r="EWY1" s="224"/>
      <c r="EWZ1" s="224"/>
      <c r="EXA1" s="224"/>
      <c r="EXB1" s="224"/>
      <c r="EXC1" s="224"/>
      <c r="EXD1" s="224"/>
      <c r="EXE1" s="224"/>
      <c r="EXF1" s="224"/>
      <c r="EXG1" s="224"/>
      <c r="EXH1" s="224"/>
      <c r="EXI1" s="224"/>
      <c r="EXJ1" s="224"/>
      <c r="EXK1" s="224"/>
      <c r="EXL1" s="224"/>
      <c r="EXM1" s="224"/>
      <c r="EXN1" s="224"/>
      <c r="EXO1" s="224"/>
      <c r="EXP1" s="224"/>
      <c r="EXQ1" s="224"/>
      <c r="EXR1" s="224"/>
      <c r="EXS1" s="224"/>
      <c r="EXT1" s="224"/>
      <c r="EXU1" s="224"/>
      <c r="EXV1" s="224"/>
      <c r="EXW1" s="224"/>
      <c r="EXX1" s="224"/>
      <c r="EXY1" s="224"/>
      <c r="EXZ1" s="224"/>
      <c r="EYA1" s="224"/>
      <c r="EYB1" s="224"/>
      <c r="EYC1" s="224"/>
      <c r="EYD1" s="224"/>
      <c r="EYE1" s="224"/>
      <c r="EYF1" s="224"/>
      <c r="EYG1" s="224"/>
      <c r="EYH1" s="224"/>
      <c r="EYI1" s="224"/>
      <c r="EYJ1" s="224"/>
      <c r="EYK1" s="224"/>
      <c r="EYL1" s="224"/>
      <c r="EYM1" s="224"/>
      <c r="EYN1" s="224"/>
      <c r="EYO1" s="224"/>
      <c r="EYP1" s="224"/>
      <c r="EYQ1" s="224"/>
      <c r="EYR1" s="224"/>
      <c r="EYS1" s="224"/>
      <c r="EYT1" s="224"/>
      <c r="EYU1" s="224"/>
      <c r="EYV1" s="224"/>
      <c r="EYW1" s="224"/>
      <c r="EYX1" s="224"/>
      <c r="EYY1" s="224"/>
      <c r="EYZ1" s="224"/>
      <c r="EZA1" s="224"/>
      <c r="EZB1" s="224"/>
      <c r="EZC1" s="224"/>
      <c r="EZD1" s="224"/>
      <c r="EZE1" s="224"/>
      <c r="EZF1" s="224"/>
      <c r="EZG1" s="224"/>
      <c r="EZH1" s="224"/>
      <c r="EZI1" s="224"/>
      <c r="EZJ1" s="224"/>
      <c r="EZK1" s="224"/>
      <c r="EZL1" s="224"/>
      <c r="EZM1" s="224"/>
      <c r="EZN1" s="224"/>
      <c r="EZO1" s="224"/>
      <c r="EZP1" s="224"/>
      <c r="EZQ1" s="224"/>
      <c r="EZR1" s="224"/>
      <c r="EZS1" s="224"/>
      <c r="EZT1" s="224"/>
      <c r="EZU1" s="224"/>
      <c r="EZV1" s="224"/>
      <c r="EZW1" s="224"/>
      <c r="EZX1" s="224"/>
      <c r="EZY1" s="224"/>
      <c r="EZZ1" s="224"/>
      <c r="FAA1" s="224"/>
      <c r="FAB1" s="224"/>
      <c r="FAC1" s="224"/>
      <c r="FAD1" s="224"/>
      <c r="FAE1" s="224"/>
      <c r="FAF1" s="224"/>
      <c r="FAG1" s="224"/>
      <c r="FAH1" s="224"/>
      <c r="FAI1" s="224"/>
      <c r="FAJ1" s="224"/>
      <c r="FAK1" s="224"/>
      <c r="FAL1" s="224"/>
      <c r="FAM1" s="224"/>
      <c r="FAN1" s="224"/>
      <c r="FAO1" s="224"/>
      <c r="FAP1" s="224"/>
      <c r="FAQ1" s="224"/>
      <c r="FAR1" s="224"/>
      <c r="FAS1" s="224"/>
      <c r="FAT1" s="224"/>
      <c r="FAU1" s="224"/>
      <c r="FAV1" s="224"/>
      <c r="FAW1" s="224"/>
      <c r="FAX1" s="224"/>
      <c r="FAY1" s="224"/>
      <c r="FAZ1" s="224"/>
      <c r="FBA1" s="224"/>
      <c r="FBB1" s="224"/>
      <c r="FBC1" s="224"/>
      <c r="FBD1" s="224"/>
      <c r="FBE1" s="224"/>
      <c r="FBF1" s="224"/>
      <c r="FBG1" s="224"/>
      <c r="FBH1" s="224"/>
      <c r="FBI1" s="224"/>
      <c r="FBJ1" s="224"/>
      <c r="FBK1" s="224"/>
      <c r="FBL1" s="224"/>
      <c r="FBM1" s="224"/>
      <c r="FBN1" s="224"/>
      <c r="FBO1" s="224"/>
      <c r="FBP1" s="224"/>
      <c r="FBQ1" s="224"/>
      <c r="FBR1" s="224"/>
      <c r="FBS1" s="224"/>
      <c r="FBT1" s="224"/>
      <c r="FBU1" s="224"/>
      <c r="FBV1" s="224"/>
      <c r="FBW1" s="224"/>
      <c r="FBX1" s="224"/>
      <c r="FBY1" s="224"/>
      <c r="FBZ1" s="224"/>
      <c r="FCA1" s="224"/>
      <c r="FCB1" s="224"/>
      <c r="FCC1" s="224"/>
      <c r="FCD1" s="224"/>
      <c r="FCE1" s="224"/>
      <c r="FCF1" s="224"/>
      <c r="FCG1" s="224"/>
      <c r="FCH1" s="224"/>
      <c r="FCI1" s="224"/>
      <c r="FCJ1" s="224"/>
      <c r="FCK1" s="224"/>
      <c r="FCL1" s="224"/>
      <c r="FCM1" s="224"/>
      <c r="FCN1" s="224"/>
      <c r="FCO1" s="224"/>
      <c r="FCP1" s="224"/>
      <c r="FCQ1" s="224"/>
      <c r="FCR1" s="224"/>
      <c r="FCS1" s="224"/>
      <c r="FCT1" s="224"/>
      <c r="FCU1" s="224"/>
      <c r="FCV1" s="224"/>
      <c r="FCW1" s="224"/>
      <c r="FCX1" s="224"/>
      <c r="FCY1" s="224"/>
      <c r="FCZ1" s="224"/>
      <c r="FDA1" s="224"/>
      <c r="FDB1" s="224"/>
      <c r="FDC1" s="224"/>
      <c r="FDD1" s="224"/>
      <c r="FDE1" s="224"/>
      <c r="FDF1" s="224"/>
      <c r="FDG1" s="224"/>
      <c r="FDH1" s="224"/>
      <c r="FDI1" s="224"/>
      <c r="FDJ1" s="224"/>
      <c r="FDK1" s="224"/>
      <c r="FDL1" s="224"/>
      <c r="FDM1" s="224"/>
      <c r="FDN1" s="224"/>
      <c r="FDO1" s="224"/>
      <c r="FDP1" s="224"/>
      <c r="FDQ1" s="224"/>
      <c r="FDR1" s="224"/>
      <c r="FDS1" s="224"/>
      <c r="FDT1" s="224"/>
      <c r="FDU1" s="224"/>
      <c r="FDV1" s="224"/>
      <c r="FDW1" s="224"/>
      <c r="FDX1" s="224"/>
      <c r="FDY1" s="224"/>
      <c r="FDZ1" s="224"/>
      <c r="FEA1" s="224"/>
      <c r="FEB1" s="224"/>
      <c r="FEC1" s="224"/>
      <c r="FED1" s="224"/>
      <c r="FEE1" s="224"/>
      <c r="FEF1" s="224"/>
      <c r="FEG1" s="224"/>
      <c r="FEH1" s="224"/>
      <c r="FEI1" s="224"/>
      <c r="FEJ1" s="224"/>
      <c r="FEK1" s="224"/>
      <c r="FEL1" s="224"/>
      <c r="FEM1" s="224"/>
      <c r="FEN1" s="224"/>
      <c r="FEO1" s="224"/>
      <c r="FEP1" s="224"/>
      <c r="FEQ1" s="224"/>
      <c r="FER1" s="224"/>
      <c r="FES1" s="224"/>
      <c r="FET1" s="224"/>
      <c r="FEU1" s="224"/>
      <c r="FEV1" s="224"/>
      <c r="FEW1" s="224"/>
      <c r="FEX1" s="224"/>
      <c r="FEY1" s="224"/>
      <c r="FEZ1" s="224"/>
      <c r="FFA1" s="224"/>
      <c r="FFB1" s="224"/>
      <c r="FFC1" s="224"/>
      <c r="FFD1" s="224"/>
      <c r="FFE1" s="224"/>
      <c r="FFF1" s="224"/>
      <c r="FFG1" s="224"/>
      <c r="FFH1" s="224"/>
      <c r="FFI1" s="224"/>
      <c r="FFJ1" s="224"/>
      <c r="FFK1" s="224"/>
      <c r="FFL1" s="224"/>
      <c r="FFM1" s="224"/>
      <c r="FFN1" s="224"/>
      <c r="FFO1" s="224"/>
      <c r="FFP1" s="224"/>
      <c r="FFQ1" s="224"/>
      <c r="FFR1" s="224"/>
      <c r="FFS1" s="224"/>
      <c r="FFT1" s="224"/>
      <c r="FFU1" s="224"/>
      <c r="FFV1" s="224"/>
      <c r="FFW1" s="224"/>
      <c r="FFX1" s="224"/>
      <c r="FFY1" s="224"/>
      <c r="FFZ1" s="224"/>
      <c r="FGA1" s="224"/>
      <c r="FGB1" s="224"/>
      <c r="FGC1" s="224"/>
      <c r="FGD1" s="224"/>
      <c r="FGE1" s="224"/>
      <c r="FGF1" s="224"/>
      <c r="FGG1" s="224"/>
      <c r="FGH1" s="224"/>
      <c r="FGI1" s="224"/>
      <c r="FGJ1" s="224"/>
      <c r="FGK1" s="224"/>
      <c r="FGL1" s="224"/>
      <c r="FGM1" s="224"/>
      <c r="FGN1" s="224"/>
      <c r="FGO1" s="224"/>
      <c r="FGP1" s="224"/>
      <c r="FGQ1" s="224"/>
      <c r="FGR1" s="224"/>
      <c r="FGS1" s="224"/>
      <c r="FGT1" s="224"/>
      <c r="FGU1" s="224"/>
      <c r="FGV1" s="224"/>
      <c r="FGW1" s="224"/>
      <c r="FGX1" s="224"/>
      <c r="FGY1" s="224"/>
      <c r="FGZ1" s="224"/>
      <c r="FHA1" s="224"/>
      <c r="FHB1" s="224"/>
      <c r="FHC1" s="224"/>
      <c r="FHD1" s="224"/>
      <c r="FHE1" s="224"/>
      <c r="FHF1" s="224"/>
      <c r="FHG1" s="224"/>
      <c r="FHH1" s="224"/>
      <c r="FHI1" s="224"/>
      <c r="FHJ1" s="224"/>
      <c r="FHK1" s="224"/>
      <c r="FHL1" s="224"/>
      <c r="FHM1" s="224"/>
      <c r="FHN1" s="224"/>
      <c r="FHO1" s="224"/>
      <c r="FHP1" s="224"/>
      <c r="FHQ1" s="224"/>
      <c r="FHR1" s="224"/>
      <c r="FHS1" s="224"/>
      <c r="FHT1" s="224"/>
      <c r="FHU1" s="224"/>
      <c r="FHV1" s="224"/>
      <c r="FHW1" s="224"/>
      <c r="FHX1" s="224"/>
      <c r="FHY1" s="224"/>
      <c r="FHZ1" s="224"/>
      <c r="FIA1" s="224"/>
      <c r="FIB1" s="224"/>
      <c r="FIC1" s="224"/>
      <c r="FID1" s="224"/>
      <c r="FIE1" s="224"/>
      <c r="FIF1" s="224"/>
      <c r="FIG1" s="224"/>
      <c r="FIH1" s="224"/>
      <c r="FII1" s="224"/>
      <c r="FIJ1" s="224"/>
      <c r="FIK1" s="224"/>
      <c r="FIL1" s="224"/>
      <c r="FIM1" s="224"/>
      <c r="FIN1" s="224"/>
      <c r="FIO1" s="224"/>
      <c r="FIP1" s="224"/>
      <c r="FIQ1" s="224"/>
      <c r="FIR1" s="224"/>
      <c r="FIS1" s="224"/>
      <c r="FIT1" s="224"/>
      <c r="FIU1" s="224"/>
      <c r="FIV1" s="224"/>
      <c r="FIW1" s="224"/>
      <c r="FIX1" s="224"/>
      <c r="FIY1" s="224"/>
      <c r="FIZ1" s="224"/>
      <c r="FJA1" s="224"/>
      <c r="FJB1" s="224"/>
      <c r="FJC1" s="224"/>
      <c r="FJD1" s="224"/>
      <c r="FJE1" s="224"/>
      <c r="FJF1" s="224"/>
      <c r="FJG1" s="224"/>
      <c r="FJH1" s="224"/>
      <c r="FJI1" s="224"/>
      <c r="FJJ1" s="224"/>
      <c r="FJK1" s="224"/>
      <c r="FJL1" s="224"/>
      <c r="FJM1" s="224"/>
      <c r="FJN1" s="224"/>
      <c r="FJO1" s="224"/>
      <c r="FJP1" s="224"/>
      <c r="FJQ1" s="224"/>
      <c r="FJR1" s="224"/>
      <c r="FJS1" s="224"/>
      <c r="FJT1" s="224"/>
      <c r="FJU1" s="224"/>
      <c r="FJV1" s="224"/>
      <c r="FJW1" s="224"/>
      <c r="FJX1" s="224"/>
      <c r="FJY1" s="224"/>
      <c r="FJZ1" s="224"/>
      <c r="FKA1" s="224"/>
      <c r="FKB1" s="224"/>
      <c r="FKC1" s="224"/>
      <c r="FKD1" s="224"/>
      <c r="FKE1" s="224"/>
      <c r="FKF1" s="224"/>
      <c r="FKG1" s="224"/>
      <c r="FKH1" s="224"/>
      <c r="FKI1" s="224"/>
      <c r="FKJ1" s="224"/>
      <c r="FKK1" s="224"/>
      <c r="FKL1" s="224"/>
      <c r="FKM1" s="224"/>
      <c r="FKN1" s="224"/>
      <c r="FKO1" s="224"/>
      <c r="FKP1" s="224"/>
      <c r="FKQ1" s="224"/>
      <c r="FKR1" s="224"/>
      <c r="FKS1" s="224"/>
      <c r="FKT1" s="224"/>
      <c r="FKU1" s="224"/>
      <c r="FKV1" s="224"/>
      <c r="FKW1" s="224"/>
      <c r="FKX1" s="224"/>
      <c r="FKY1" s="224"/>
      <c r="FKZ1" s="224"/>
      <c r="FLA1" s="224"/>
      <c r="FLB1" s="224"/>
      <c r="FLC1" s="224"/>
      <c r="FLD1" s="224"/>
      <c r="FLE1" s="224"/>
      <c r="FLF1" s="224"/>
      <c r="FLG1" s="224"/>
      <c r="FLH1" s="224"/>
      <c r="FLI1" s="224"/>
      <c r="FLJ1" s="224"/>
      <c r="FLK1" s="224"/>
      <c r="FLL1" s="224"/>
      <c r="FLM1" s="224"/>
      <c r="FLN1" s="224"/>
      <c r="FLO1" s="224"/>
      <c r="FLP1" s="224"/>
      <c r="FLQ1" s="224"/>
      <c r="FLR1" s="224"/>
      <c r="FLS1" s="224"/>
      <c r="FLT1" s="224"/>
      <c r="FLU1" s="224"/>
      <c r="FLV1" s="224"/>
      <c r="FLW1" s="224"/>
      <c r="FLX1" s="224"/>
      <c r="FLY1" s="224"/>
      <c r="FLZ1" s="224"/>
      <c r="FMA1" s="224"/>
      <c r="FMB1" s="224"/>
      <c r="FMC1" s="224"/>
      <c r="FMD1" s="224"/>
      <c r="FME1" s="224"/>
      <c r="FMF1" s="224"/>
      <c r="FMG1" s="224"/>
      <c r="FMH1" s="224"/>
      <c r="FMI1" s="224"/>
      <c r="FMJ1" s="224"/>
      <c r="FMK1" s="224"/>
      <c r="FML1" s="224"/>
      <c r="FMM1" s="224"/>
      <c r="FMN1" s="224"/>
      <c r="FMO1" s="224"/>
      <c r="FMP1" s="224"/>
      <c r="FMQ1" s="224"/>
      <c r="FMR1" s="224"/>
      <c r="FMS1" s="224"/>
      <c r="FMT1" s="224"/>
      <c r="FMU1" s="224"/>
      <c r="FMV1" s="224"/>
      <c r="FMW1" s="224"/>
      <c r="FMX1" s="224"/>
      <c r="FMY1" s="224"/>
      <c r="FMZ1" s="224"/>
      <c r="FNA1" s="224"/>
      <c r="FNB1" s="224"/>
      <c r="FNC1" s="224"/>
      <c r="FND1" s="224"/>
      <c r="FNE1" s="224"/>
      <c r="FNF1" s="224"/>
      <c r="FNG1" s="224"/>
      <c r="FNH1" s="224"/>
      <c r="FNI1" s="224"/>
      <c r="FNJ1" s="224"/>
      <c r="FNK1" s="224"/>
      <c r="FNL1" s="224"/>
      <c r="FNM1" s="224"/>
      <c r="FNN1" s="224"/>
      <c r="FNO1" s="224"/>
      <c r="FNP1" s="224"/>
      <c r="FNQ1" s="224"/>
      <c r="FNR1" s="224"/>
      <c r="FNS1" s="224"/>
      <c r="FNT1" s="224"/>
      <c r="FNU1" s="224"/>
      <c r="FNV1" s="224"/>
      <c r="FNW1" s="224"/>
      <c r="FNX1" s="224"/>
      <c r="FNY1" s="224"/>
      <c r="FNZ1" s="224"/>
      <c r="FOA1" s="224"/>
      <c r="FOB1" s="224"/>
      <c r="FOC1" s="224"/>
      <c r="FOD1" s="224"/>
      <c r="FOE1" s="224"/>
      <c r="FOF1" s="224"/>
      <c r="FOG1" s="224"/>
      <c r="FOH1" s="224"/>
      <c r="FOI1" s="224"/>
      <c r="FOJ1" s="224"/>
      <c r="FOK1" s="224"/>
      <c r="FOL1" s="224"/>
      <c r="FOM1" s="224"/>
      <c r="FON1" s="224"/>
      <c r="FOO1" s="224"/>
      <c r="FOP1" s="224"/>
      <c r="FOQ1" s="224"/>
      <c r="FOR1" s="224"/>
      <c r="FOS1" s="224"/>
      <c r="FOT1" s="224"/>
      <c r="FOU1" s="224"/>
      <c r="FOV1" s="224"/>
      <c r="FOW1" s="224"/>
      <c r="FOX1" s="224"/>
      <c r="FOY1" s="224"/>
      <c r="FOZ1" s="224"/>
      <c r="FPA1" s="224"/>
      <c r="FPB1" s="224"/>
      <c r="FPC1" s="224"/>
      <c r="FPD1" s="224"/>
      <c r="FPE1" s="224"/>
      <c r="FPF1" s="224"/>
      <c r="FPG1" s="224"/>
      <c r="FPH1" s="224"/>
      <c r="FPI1" s="224"/>
      <c r="FPJ1" s="224"/>
      <c r="FPK1" s="224"/>
      <c r="FPL1" s="224"/>
      <c r="FPM1" s="224"/>
      <c r="FPN1" s="224"/>
      <c r="FPO1" s="224"/>
      <c r="FPP1" s="224"/>
      <c r="FPQ1" s="224"/>
      <c r="FPR1" s="224"/>
      <c r="FPS1" s="224"/>
      <c r="FPT1" s="224"/>
      <c r="FPU1" s="224"/>
      <c r="FPV1" s="224"/>
      <c r="FPW1" s="224"/>
      <c r="FPX1" s="224"/>
      <c r="FPY1" s="224"/>
      <c r="FPZ1" s="224"/>
      <c r="FQA1" s="224"/>
      <c r="FQB1" s="224"/>
      <c r="FQC1" s="224"/>
      <c r="FQD1" s="224"/>
      <c r="FQE1" s="224"/>
      <c r="FQF1" s="224"/>
      <c r="FQG1" s="224"/>
      <c r="FQH1" s="224"/>
      <c r="FQI1" s="224"/>
      <c r="FQJ1" s="224"/>
      <c r="FQK1" s="224"/>
      <c r="FQL1" s="224"/>
      <c r="FQM1" s="224"/>
      <c r="FQN1" s="224"/>
      <c r="FQO1" s="224"/>
      <c r="FQP1" s="224"/>
      <c r="FQQ1" s="224"/>
      <c r="FQR1" s="224"/>
      <c r="FQS1" s="224"/>
      <c r="FQT1" s="224"/>
      <c r="FQU1" s="224"/>
      <c r="FQV1" s="224"/>
      <c r="FQW1" s="224"/>
      <c r="FQX1" s="224"/>
      <c r="FQY1" s="224"/>
      <c r="FQZ1" s="224"/>
      <c r="FRA1" s="224"/>
      <c r="FRB1" s="224"/>
      <c r="FRC1" s="224"/>
      <c r="FRD1" s="224"/>
      <c r="FRE1" s="224"/>
      <c r="FRF1" s="224"/>
      <c r="FRG1" s="224"/>
      <c r="FRH1" s="224"/>
      <c r="FRI1" s="224"/>
      <c r="FRJ1" s="224"/>
      <c r="FRK1" s="224"/>
      <c r="FRL1" s="224"/>
      <c r="FRM1" s="224"/>
      <c r="FRN1" s="224"/>
      <c r="FRO1" s="224"/>
      <c r="FRP1" s="224"/>
      <c r="FRQ1" s="224"/>
      <c r="FRR1" s="224"/>
      <c r="FRS1" s="224"/>
      <c r="FRT1" s="224"/>
      <c r="FRU1" s="224"/>
      <c r="FRV1" s="224"/>
      <c r="FRW1" s="224"/>
      <c r="FRX1" s="224"/>
      <c r="FRY1" s="224"/>
      <c r="FRZ1" s="224"/>
      <c r="FSA1" s="224"/>
      <c r="FSB1" s="224"/>
      <c r="FSC1" s="224"/>
      <c r="FSD1" s="224"/>
      <c r="FSE1" s="224"/>
      <c r="FSF1" s="224"/>
      <c r="FSG1" s="224"/>
      <c r="FSH1" s="224"/>
      <c r="FSI1" s="224"/>
      <c r="FSJ1" s="224"/>
      <c r="FSK1" s="224"/>
      <c r="FSL1" s="224"/>
      <c r="FSM1" s="224"/>
      <c r="FSN1" s="224"/>
      <c r="FSO1" s="224"/>
      <c r="FSP1" s="224"/>
      <c r="FSQ1" s="224"/>
      <c r="FSR1" s="224"/>
      <c r="FSS1" s="224"/>
      <c r="FST1" s="224"/>
      <c r="FSU1" s="224"/>
      <c r="FSV1" s="224"/>
      <c r="FSW1" s="224"/>
      <c r="FSX1" s="224"/>
      <c r="FSY1" s="224"/>
      <c r="FSZ1" s="224"/>
      <c r="FTA1" s="224"/>
      <c r="FTB1" s="224"/>
      <c r="FTC1" s="224"/>
      <c r="FTD1" s="224"/>
      <c r="FTE1" s="224"/>
      <c r="FTF1" s="224"/>
      <c r="FTG1" s="224"/>
      <c r="FTH1" s="224"/>
      <c r="FTI1" s="224"/>
      <c r="FTJ1" s="224"/>
      <c r="FTK1" s="224"/>
      <c r="FTL1" s="224"/>
      <c r="FTM1" s="224"/>
      <c r="FTN1" s="224"/>
      <c r="FTO1" s="224"/>
      <c r="FTP1" s="224"/>
      <c r="FTQ1" s="224"/>
      <c r="FTR1" s="224"/>
      <c r="FTS1" s="224"/>
      <c r="FTT1" s="224"/>
      <c r="FTU1" s="224"/>
      <c r="FTV1" s="224"/>
      <c r="FTW1" s="224"/>
      <c r="FTX1" s="224"/>
      <c r="FTY1" s="224"/>
      <c r="FTZ1" s="224"/>
      <c r="FUA1" s="224"/>
      <c r="FUB1" s="224"/>
      <c r="FUC1" s="224"/>
      <c r="FUD1" s="224"/>
      <c r="FUE1" s="224"/>
      <c r="FUF1" s="224"/>
      <c r="FUG1" s="224"/>
      <c r="FUH1" s="224"/>
      <c r="FUI1" s="224"/>
      <c r="FUJ1" s="224"/>
      <c r="FUK1" s="224"/>
      <c r="FUL1" s="224"/>
      <c r="FUM1" s="224"/>
      <c r="FUN1" s="224"/>
      <c r="FUO1" s="224"/>
      <c r="FUP1" s="224"/>
      <c r="FUQ1" s="224"/>
      <c r="FUR1" s="224"/>
      <c r="FUS1" s="224"/>
      <c r="FUT1" s="224"/>
      <c r="FUU1" s="224"/>
      <c r="FUV1" s="224"/>
      <c r="FUW1" s="224"/>
      <c r="FUX1" s="224"/>
      <c r="FUY1" s="224"/>
      <c r="FUZ1" s="224"/>
      <c r="FVA1" s="224"/>
      <c r="FVB1" s="224"/>
      <c r="FVC1" s="224"/>
      <c r="FVD1" s="224"/>
      <c r="FVE1" s="224"/>
      <c r="FVF1" s="224"/>
      <c r="FVG1" s="224"/>
      <c r="FVH1" s="224"/>
      <c r="FVI1" s="224"/>
      <c r="FVJ1" s="224"/>
      <c r="FVK1" s="224"/>
      <c r="FVL1" s="224"/>
      <c r="FVM1" s="224"/>
      <c r="FVN1" s="224"/>
      <c r="FVO1" s="224"/>
      <c r="FVP1" s="224"/>
      <c r="FVQ1" s="224"/>
      <c r="FVR1" s="224"/>
      <c r="FVS1" s="224"/>
      <c r="FVT1" s="224"/>
      <c r="FVU1" s="224"/>
      <c r="FVV1" s="224"/>
      <c r="FVW1" s="224"/>
      <c r="FVX1" s="224"/>
      <c r="FVY1" s="224"/>
      <c r="FVZ1" s="224"/>
      <c r="FWA1" s="224"/>
      <c r="FWB1" s="224"/>
      <c r="FWC1" s="224"/>
      <c r="FWD1" s="224"/>
      <c r="FWE1" s="224"/>
      <c r="FWF1" s="224"/>
      <c r="FWG1" s="224"/>
      <c r="FWH1" s="224"/>
      <c r="FWI1" s="224"/>
      <c r="FWJ1" s="224"/>
      <c r="FWK1" s="224"/>
      <c r="FWL1" s="224"/>
      <c r="FWM1" s="224"/>
      <c r="FWN1" s="224"/>
      <c r="FWO1" s="224"/>
      <c r="FWP1" s="224"/>
      <c r="FWQ1" s="224"/>
      <c r="FWR1" s="224"/>
      <c r="FWS1" s="224"/>
      <c r="FWT1" s="224"/>
      <c r="FWU1" s="224"/>
      <c r="FWV1" s="224"/>
      <c r="FWW1" s="224"/>
      <c r="FWX1" s="224"/>
      <c r="FWY1" s="224"/>
      <c r="FWZ1" s="224"/>
      <c r="FXA1" s="224"/>
      <c r="FXB1" s="224"/>
      <c r="FXC1" s="224"/>
      <c r="FXD1" s="224"/>
      <c r="FXE1" s="224"/>
      <c r="FXF1" s="224"/>
      <c r="FXG1" s="224"/>
      <c r="FXH1" s="224"/>
      <c r="FXI1" s="224"/>
      <c r="FXJ1" s="224"/>
      <c r="FXK1" s="224"/>
      <c r="FXL1" s="224"/>
      <c r="FXM1" s="224"/>
      <c r="FXN1" s="224"/>
      <c r="FXO1" s="224"/>
      <c r="FXP1" s="224"/>
      <c r="FXQ1" s="224"/>
      <c r="FXR1" s="224"/>
      <c r="FXS1" s="224"/>
      <c r="FXT1" s="224"/>
      <c r="FXU1" s="224"/>
      <c r="FXV1" s="224"/>
      <c r="FXW1" s="224"/>
      <c r="FXX1" s="224"/>
      <c r="FXY1" s="224"/>
      <c r="FXZ1" s="224"/>
      <c r="FYA1" s="224"/>
      <c r="FYB1" s="224"/>
      <c r="FYC1" s="224"/>
      <c r="FYD1" s="224"/>
      <c r="FYE1" s="224"/>
      <c r="FYF1" s="224"/>
      <c r="FYG1" s="224"/>
      <c r="FYH1" s="224"/>
      <c r="FYI1" s="224"/>
      <c r="FYJ1" s="224"/>
      <c r="FYK1" s="224"/>
      <c r="FYL1" s="224"/>
      <c r="FYM1" s="224"/>
      <c r="FYN1" s="224"/>
      <c r="FYO1" s="224"/>
      <c r="FYP1" s="224"/>
      <c r="FYQ1" s="224"/>
      <c r="FYR1" s="224"/>
      <c r="FYS1" s="224"/>
      <c r="FYT1" s="224"/>
      <c r="FYU1" s="224"/>
      <c r="FYV1" s="224"/>
      <c r="FYW1" s="224"/>
      <c r="FYX1" s="224"/>
      <c r="FYY1" s="224"/>
      <c r="FYZ1" s="224"/>
      <c r="FZA1" s="224"/>
      <c r="FZB1" s="224"/>
      <c r="FZC1" s="224"/>
      <c r="FZD1" s="224"/>
      <c r="FZE1" s="224"/>
      <c r="FZF1" s="224"/>
      <c r="FZG1" s="224"/>
      <c r="FZH1" s="224"/>
      <c r="FZI1" s="224"/>
      <c r="FZJ1" s="224"/>
      <c r="FZK1" s="224"/>
      <c r="FZL1" s="224"/>
      <c r="FZM1" s="224"/>
      <c r="FZN1" s="224"/>
      <c r="FZO1" s="224"/>
      <c r="FZP1" s="224"/>
      <c r="FZQ1" s="224"/>
      <c r="FZR1" s="224"/>
      <c r="FZS1" s="224"/>
      <c r="FZT1" s="224"/>
      <c r="FZU1" s="224"/>
      <c r="FZV1" s="224"/>
      <c r="FZW1" s="224"/>
      <c r="FZX1" s="224"/>
      <c r="FZY1" s="224"/>
      <c r="FZZ1" s="224"/>
      <c r="GAA1" s="224"/>
      <c r="GAB1" s="224"/>
      <c r="GAC1" s="224"/>
      <c r="GAD1" s="224"/>
      <c r="GAE1" s="224"/>
      <c r="GAF1" s="224"/>
      <c r="GAG1" s="224"/>
      <c r="GAH1" s="224"/>
      <c r="GAI1" s="224"/>
      <c r="GAJ1" s="224"/>
      <c r="GAK1" s="224"/>
      <c r="GAL1" s="224"/>
      <c r="GAM1" s="224"/>
      <c r="GAN1" s="224"/>
      <c r="GAO1" s="224"/>
      <c r="GAP1" s="224"/>
      <c r="GAQ1" s="224"/>
      <c r="GAR1" s="224"/>
      <c r="GAS1" s="224"/>
      <c r="GAT1" s="224"/>
      <c r="GAU1" s="224"/>
      <c r="GAV1" s="224"/>
      <c r="GAW1" s="224"/>
      <c r="GAX1" s="224"/>
      <c r="GAY1" s="224"/>
      <c r="GAZ1" s="224"/>
      <c r="GBA1" s="224"/>
      <c r="GBB1" s="224"/>
      <c r="GBC1" s="224"/>
      <c r="GBD1" s="224"/>
      <c r="GBE1" s="224"/>
      <c r="GBF1" s="224"/>
      <c r="GBG1" s="224"/>
      <c r="GBH1" s="224"/>
      <c r="GBI1" s="224"/>
      <c r="GBJ1" s="224"/>
      <c r="GBK1" s="224"/>
      <c r="GBL1" s="224"/>
      <c r="GBM1" s="224"/>
      <c r="GBN1" s="224"/>
      <c r="GBO1" s="224"/>
      <c r="GBP1" s="224"/>
      <c r="GBQ1" s="224"/>
      <c r="GBR1" s="224"/>
      <c r="GBS1" s="224"/>
      <c r="GBT1" s="224"/>
      <c r="GBU1" s="224"/>
      <c r="GBV1" s="224"/>
      <c r="GBW1" s="224"/>
      <c r="GBX1" s="224"/>
      <c r="GBY1" s="224"/>
      <c r="GBZ1" s="224"/>
      <c r="GCA1" s="224"/>
      <c r="GCB1" s="224"/>
      <c r="GCC1" s="224"/>
      <c r="GCD1" s="224"/>
      <c r="GCE1" s="224"/>
      <c r="GCF1" s="224"/>
      <c r="GCG1" s="224"/>
      <c r="GCH1" s="224"/>
      <c r="GCI1" s="224"/>
      <c r="GCJ1" s="224"/>
      <c r="GCK1" s="224"/>
      <c r="GCL1" s="224"/>
      <c r="GCM1" s="224"/>
      <c r="GCN1" s="224"/>
      <c r="GCO1" s="224"/>
      <c r="GCP1" s="224"/>
      <c r="GCQ1" s="224"/>
      <c r="GCR1" s="224"/>
      <c r="GCS1" s="224"/>
      <c r="GCT1" s="224"/>
      <c r="GCU1" s="224"/>
      <c r="GCV1" s="224"/>
      <c r="GCW1" s="224"/>
      <c r="GCX1" s="224"/>
      <c r="GCY1" s="224"/>
      <c r="GCZ1" s="224"/>
      <c r="GDA1" s="224"/>
      <c r="GDB1" s="224"/>
      <c r="GDC1" s="224"/>
      <c r="GDD1" s="224"/>
      <c r="GDE1" s="224"/>
      <c r="GDF1" s="224"/>
      <c r="GDG1" s="224"/>
      <c r="GDH1" s="224"/>
      <c r="GDI1" s="224"/>
      <c r="GDJ1" s="224"/>
      <c r="GDK1" s="224"/>
      <c r="GDL1" s="224"/>
      <c r="GDM1" s="224"/>
      <c r="GDN1" s="224"/>
      <c r="GDO1" s="224"/>
      <c r="GDP1" s="224"/>
      <c r="GDQ1" s="224"/>
      <c r="GDR1" s="224"/>
      <c r="GDS1" s="224"/>
      <c r="GDT1" s="224"/>
      <c r="GDU1" s="224"/>
      <c r="GDV1" s="224"/>
      <c r="GDW1" s="224"/>
      <c r="GDX1" s="224"/>
      <c r="GDY1" s="224"/>
      <c r="GDZ1" s="224"/>
      <c r="GEA1" s="224"/>
      <c r="GEB1" s="224"/>
      <c r="GEC1" s="224"/>
      <c r="GED1" s="224"/>
      <c r="GEE1" s="224"/>
      <c r="GEF1" s="224"/>
      <c r="GEG1" s="224"/>
      <c r="GEH1" s="224"/>
      <c r="GEI1" s="224"/>
      <c r="GEJ1" s="224"/>
      <c r="GEK1" s="224"/>
      <c r="GEL1" s="224"/>
      <c r="GEM1" s="224"/>
      <c r="GEN1" s="224"/>
      <c r="GEO1" s="224"/>
      <c r="GEP1" s="224"/>
      <c r="GEQ1" s="224"/>
      <c r="GER1" s="224"/>
      <c r="GES1" s="224"/>
      <c r="GET1" s="224"/>
      <c r="GEU1" s="224"/>
      <c r="GEV1" s="224"/>
      <c r="GEW1" s="224"/>
      <c r="GEX1" s="224"/>
      <c r="GEY1" s="224"/>
      <c r="GEZ1" s="224"/>
      <c r="GFA1" s="224"/>
      <c r="GFB1" s="224"/>
      <c r="GFC1" s="224"/>
      <c r="GFD1" s="224"/>
      <c r="GFE1" s="224"/>
      <c r="GFF1" s="224"/>
      <c r="GFG1" s="224"/>
      <c r="GFH1" s="224"/>
      <c r="GFI1" s="224"/>
      <c r="GFJ1" s="224"/>
      <c r="GFK1" s="224"/>
      <c r="GFL1" s="224"/>
      <c r="GFM1" s="224"/>
      <c r="GFN1" s="224"/>
      <c r="GFO1" s="224"/>
      <c r="GFP1" s="224"/>
      <c r="GFQ1" s="224"/>
      <c r="GFR1" s="224"/>
      <c r="GFS1" s="224"/>
      <c r="GFT1" s="224"/>
      <c r="GFU1" s="224"/>
      <c r="GFV1" s="224"/>
      <c r="GFW1" s="224"/>
      <c r="GFX1" s="224"/>
      <c r="GFY1" s="224"/>
      <c r="GFZ1" s="224"/>
      <c r="GGA1" s="224"/>
      <c r="GGB1" s="224"/>
      <c r="GGC1" s="224"/>
      <c r="GGD1" s="224"/>
      <c r="GGE1" s="224"/>
      <c r="GGF1" s="224"/>
      <c r="GGG1" s="224"/>
      <c r="GGH1" s="224"/>
      <c r="GGI1" s="224"/>
      <c r="GGJ1" s="224"/>
      <c r="GGK1" s="224"/>
      <c r="GGL1" s="224"/>
      <c r="GGM1" s="224"/>
      <c r="GGN1" s="224"/>
      <c r="GGO1" s="224"/>
      <c r="GGP1" s="224"/>
      <c r="GGQ1" s="224"/>
      <c r="GGR1" s="224"/>
      <c r="GGS1" s="224"/>
      <c r="GGT1" s="224"/>
      <c r="GGU1" s="224"/>
      <c r="GGV1" s="224"/>
      <c r="GGW1" s="224"/>
      <c r="GGX1" s="224"/>
      <c r="GGY1" s="224"/>
      <c r="GGZ1" s="224"/>
      <c r="GHA1" s="224"/>
      <c r="GHB1" s="224"/>
      <c r="GHC1" s="224"/>
      <c r="GHD1" s="224"/>
      <c r="GHE1" s="224"/>
      <c r="GHF1" s="224"/>
      <c r="GHG1" s="224"/>
      <c r="GHH1" s="224"/>
      <c r="GHI1" s="224"/>
      <c r="GHJ1" s="224"/>
      <c r="GHK1" s="224"/>
      <c r="GHL1" s="224"/>
      <c r="GHM1" s="224"/>
      <c r="GHN1" s="224"/>
      <c r="GHO1" s="224"/>
      <c r="GHP1" s="224"/>
      <c r="GHQ1" s="224"/>
      <c r="GHR1" s="224"/>
      <c r="GHS1" s="224"/>
      <c r="GHT1" s="224"/>
      <c r="GHU1" s="224"/>
      <c r="GHV1" s="224"/>
      <c r="GHW1" s="224"/>
      <c r="GHX1" s="224"/>
      <c r="GHY1" s="224"/>
      <c r="GHZ1" s="224"/>
      <c r="GIA1" s="224"/>
      <c r="GIB1" s="224"/>
      <c r="GIC1" s="224"/>
      <c r="GID1" s="224"/>
      <c r="GIE1" s="224"/>
      <c r="GIF1" s="224"/>
      <c r="GIG1" s="224"/>
      <c r="GIH1" s="224"/>
      <c r="GII1" s="224"/>
      <c r="GIJ1" s="224"/>
      <c r="GIK1" s="224"/>
      <c r="GIL1" s="224"/>
      <c r="GIM1" s="224"/>
      <c r="GIN1" s="224"/>
      <c r="GIO1" s="224"/>
      <c r="GIP1" s="224"/>
      <c r="GIQ1" s="224"/>
      <c r="GIR1" s="224"/>
      <c r="GIS1" s="224"/>
      <c r="GIT1" s="224"/>
      <c r="GIU1" s="224"/>
      <c r="GIV1" s="224"/>
      <c r="GIW1" s="224"/>
      <c r="GIX1" s="224"/>
      <c r="GIY1" s="224"/>
      <c r="GIZ1" s="224"/>
      <c r="GJA1" s="224"/>
      <c r="GJB1" s="224"/>
      <c r="GJC1" s="224"/>
      <c r="GJD1" s="224"/>
      <c r="GJE1" s="224"/>
      <c r="GJF1" s="224"/>
      <c r="GJG1" s="224"/>
      <c r="GJH1" s="224"/>
      <c r="GJI1" s="224"/>
      <c r="GJJ1" s="224"/>
      <c r="GJK1" s="224"/>
      <c r="GJL1" s="224"/>
      <c r="GJM1" s="224"/>
      <c r="GJN1" s="224"/>
      <c r="GJO1" s="224"/>
      <c r="GJP1" s="224"/>
      <c r="GJQ1" s="224"/>
      <c r="GJR1" s="224"/>
      <c r="GJS1" s="224"/>
      <c r="GJT1" s="224"/>
      <c r="GJU1" s="224"/>
      <c r="GJV1" s="224"/>
      <c r="GJW1" s="224"/>
      <c r="GJX1" s="224"/>
      <c r="GJY1" s="224"/>
      <c r="GJZ1" s="224"/>
      <c r="GKA1" s="224"/>
      <c r="GKB1" s="224"/>
      <c r="GKC1" s="224"/>
      <c r="GKD1" s="224"/>
      <c r="GKE1" s="224"/>
      <c r="GKF1" s="224"/>
      <c r="GKG1" s="224"/>
      <c r="GKH1" s="224"/>
      <c r="GKI1" s="224"/>
      <c r="GKJ1" s="224"/>
      <c r="GKK1" s="224"/>
      <c r="GKL1" s="224"/>
      <c r="GKM1" s="224"/>
      <c r="GKN1" s="224"/>
      <c r="GKO1" s="224"/>
      <c r="GKP1" s="224"/>
      <c r="GKQ1" s="224"/>
      <c r="GKR1" s="224"/>
      <c r="GKS1" s="224"/>
      <c r="GKT1" s="224"/>
      <c r="GKU1" s="224"/>
      <c r="GKV1" s="224"/>
      <c r="GKW1" s="224"/>
      <c r="GKX1" s="224"/>
      <c r="GKY1" s="224"/>
      <c r="GKZ1" s="224"/>
      <c r="GLA1" s="224"/>
      <c r="GLB1" s="224"/>
      <c r="GLC1" s="224"/>
      <c r="GLD1" s="224"/>
      <c r="GLE1" s="224"/>
      <c r="GLF1" s="224"/>
      <c r="GLG1" s="224"/>
      <c r="GLH1" s="224"/>
      <c r="GLI1" s="224"/>
      <c r="GLJ1" s="224"/>
      <c r="GLK1" s="224"/>
      <c r="GLL1" s="224"/>
      <c r="GLM1" s="224"/>
      <c r="GLN1" s="224"/>
      <c r="GLO1" s="224"/>
      <c r="GLP1" s="224"/>
      <c r="GLQ1" s="224"/>
      <c r="GLR1" s="224"/>
      <c r="GLS1" s="224"/>
      <c r="GLT1" s="224"/>
      <c r="GLU1" s="224"/>
      <c r="GLV1" s="224"/>
      <c r="GLW1" s="224"/>
      <c r="GLX1" s="224"/>
      <c r="GLY1" s="224"/>
      <c r="GLZ1" s="224"/>
      <c r="GMA1" s="224"/>
      <c r="GMB1" s="224"/>
      <c r="GMC1" s="224"/>
      <c r="GMD1" s="224"/>
      <c r="GME1" s="224"/>
      <c r="GMF1" s="224"/>
      <c r="GMG1" s="224"/>
      <c r="GMH1" s="224"/>
      <c r="GMI1" s="224"/>
      <c r="GMJ1" s="224"/>
      <c r="GMK1" s="224"/>
      <c r="GML1" s="224"/>
      <c r="GMM1" s="224"/>
      <c r="GMN1" s="224"/>
      <c r="GMO1" s="224"/>
      <c r="GMP1" s="224"/>
      <c r="GMQ1" s="224"/>
      <c r="GMR1" s="224"/>
      <c r="GMS1" s="224"/>
      <c r="GMT1" s="224"/>
      <c r="GMU1" s="224"/>
      <c r="GMV1" s="224"/>
      <c r="GMW1" s="224"/>
      <c r="GMX1" s="224"/>
      <c r="GMY1" s="224"/>
      <c r="GMZ1" s="224"/>
      <c r="GNA1" s="224"/>
      <c r="GNB1" s="224"/>
      <c r="GNC1" s="224"/>
      <c r="GND1" s="224"/>
      <c r="GNE1" s="224"/>
      <c r="GNF1" s="224"/>
      <c r="GNG1" s="224"/>
      <c r="GNH1" s="224"/>
      <c r="GNI1" s="224"/>
      <c r="GNJ1" s="224"/>
      <c r="GNK1" s="224"/>
      <c r="GNL1" s="224"/>
      <c r="GNM1" s="224"/>
      <c r="GNN1" s="224"/>
      <c r="GNO1" s="224"/>
      <c r="GNP1" s="224"/>
      <c r="GNQ1" s="224"/>
      <c r="GNR1" s="224"/>
      <c r="GNS1" s="224"/>
      <c r="GNT1" s="224"/>
      <c r="GNU1" s="224"/>
      <c r="GNV1" s="224"/>
      <c r="GNW1" s="224"/>
      <c r="GNX1" s="224"/>
      <c r="GNY1" s="224"/>
      <c r="GNZ1" s="224"/>
      <c r="GOA1" s="224"/>
      <c r="GOB1" s="224"/>
      <c r="GOC1" s="224"/>
      <c r="GOD1" s="224"/>
      <c r="GOE1" s="224"/>
      <c r="GOF1" s="224"/>
      <c r="GOG1" s="224"/>
      <c r="GOH1" s="224"/>
      <c r="GOI1" s="224"/>
      <c r="GOJ1" s="224"/>
      <c r="GOK1" s="224"/>
      <c r="GOL1" s="224"/>
      <c r="GOM1" s="224"/>
      <c r="GON1" s="224"/>
      <c r="GOO1" s="224"/>
      <c r="GOP1" s="224"/>
      <c r="GOQ1" s="224"/>
      <c r="GOR1" s="224"/>
      <c r="GOS1" s="224"/>
      <c r="GOT1" s="224"/>
      <c r="GOU1" s="224"/>
      <c r="GOV1" s="224"/>
      <c r="GOW1" s="224"/>
      <c r="GOX1" s="224"/>
      <c r="GOY1" s="224"/>
      <c r="GOZ1" s="224"/>
      <c r="GPA1" s="224"/>
      <c r="GPB1" s="224"/>
      <c r="GPC1" s="224"/>
      <c r="GPD1" s="224"/>
      <c r="GPE1" s="224"/>
      <c r="GPF1" s="224"/>
      <c r="GPG1" s="224"/>
      <c r="GPH1" s="224"/>
      <c r="GPI1" s="224"/>
      <c r="GPJ1" s="224"/>
      <c r="GPK1" s="224"/>
      <c r="GPL1" s="224"/>
      <c r="GPM1" s="224"/>
      <c r="GPN1" s="224"/>
      <c r="GPO1" s="224"/>
      <c r="GPP1" s="224"/>
      <c r="GPQ1" s="224"/>
      <c r="GPR1" s="224"/>
      <c r="GPS1" s="224"/>
      <c r="GPT1" s="224"/>
      <c r="GPU1" s="224"/>
      <c r="GPV1" s="224"/>
      <c r="GPW1" s="224"/>
      <c r="GPX1" s="224"/>
      <c r="GPY1" s="224"/>
      <c r="GPZ1" s="224"/>
      <c r="GQA1" s="224"/>
      <c r="GQB1" s="224"/>
      <c r="GQC1" s="224"/>
      <c r="GQD1" s="224"/>
      <c r="GQE1" s="224"/>
      <c r="GQF1" s="224"/>
      <c r="GQG1" s="224"/>
      <c r="GQH1" s="224"/>
      <c r="GQI1" s="224"/>
      <c r="GQJ1" s="224"/>
      <c r="GQK1" s="224"/>
      <c r="GQL1" s="224"/>
      <c r="GQM1" s="224"/>
      <c r="GQN1" s="224"/>
      <c r="GQO1" s="224"/>
      <c r="GQP1" s="224"/>
      <c r="GQQ1" s="224"/>
      <c r="GQR1" s="224"/>
      <c r="GQS1" s="224"/>
      <c r="GQT1" s="224"/>
      <c r="GQU1" s="224"/>
      <c r="GQV1" s="224"/>
      <c r="GQW1" s="224"/>
      <c r="GQX1" s="224"/>
      <c r="GQY1" s="224"/>
      <c r="GQZ1" s="224"/>
      <c r="GRA1" s="224"/>
      <c r="GRB1" s="224"/>
      <c r="GRC1" s="224"/>
      <c r="GRD1" s="224"/>
      <c r="GRE1" s="224"/>
      <c r="GRF1" s="224"/>
      <c r="GRG1" s="224"/>
      <c r="GRH1" s="224"/>
      <c r="GRI1" s="224"/>
      <c r="GRJ1" s="224"/>
      <c r="GRK1" s="224"/>
      <c r="GRL1" s="224"/>
      <c r="GRM1" s="224"/>
      <c r="GRN1" s="224"/>
      <c r="GRO1" s="224"/>
      <c r="GRP1" s="224"/>
      <c r="GRQ1" s="224"/>
      <c r="GRR1" s="224"/>
      <c r="GRS1" s="224"/>
      <c r="GRT1" s="224"/>
      <c r="GRU1" s="224"/>
      <c r="GRV1" s="224"/>
      <c r="GRW1" s="224"/>
      <c r="GRX1" s="224"/>
      <c r="GRY1" s="224"/>
      <c r="GRZ1" s="224"/>
      <c r="GSA1" s="224"/>
      <c r="GSB1" s="224"/>
      <c r="GSC1" s="224"/>
      <c r="GSD1" s="224"/>
      <c r="GSE1" s="224"/>
      <c r="GSF1" s="224"/>
      <c r="GSG1" s="224"/>
      <c r="GSH1" s="224"/>
      <c r="GSI1" s="224"/>
      <c r="GSJ1" s="224"/>
      <c r="GSK1" s="224"/>
      <c r="GSL1" s="224"/>
      <c r="GSM1" s="224"/>
      <c r="GSN1" s="224"/>
      <c r="GSO1" s="224"/>
      <c r="GSP1" s="224"/>
      <c r="GSQ1" s="224"/>
      <c r="GSR1" s="224"/>
      <c r="GSS1" s="224"/>
      <c r="GST1" s="224"/>
      <c r="GSU1" s="224"/>
      <c r="GSV1" s="224"/>
      <c r="GSW1" s="224"/>
      <c r="GSX1" s="224"/>
      <c r="GSY1" s="224"/>
      <c r="GSZ1" s="224"/>
      <c r="GTA1" s="224"/>
      <c r="GTB1" s="224"/>
      <c r="GTC1" s="224"/>
      <c r="GTD1" s="224"/>
      <c r="GTE1" s="224"/>
      <c r="GTF1" s="224"/>
      <c r="GTG1" s="224"/>
      <c r="GTH1" s="224"/>
      <c r="GTI1" s="224"/>
      <c r="GTJ1" s="224"/>
      <c r="GTK1" s="224"/>
      <c r="GTL1" s="224"/>
      <c r="GTM1" s="224"/>
      <c r="GTN1" s="224"/>
      <c r="GTO1" s="224"/>
      <c r="GTP1" s="224"/>
      <c r="GTQ1" s="224"/>
      <c r="GTR1" s="224"/>
      <c r="GTS1" s="224"/>
      <c r="GTT1" s="224"/>
      <c r="GTU1" s="224"/>
      <c r="GTV1" s="224"/>
      <c r="GTW1" s="224"/>
      <c r="GTX1" s="224"/>
      <c r="GTY1" s="224"/>
      <c r="GTZ1" s="224"/>
      <c r="GUA1" s="224"/>
      <c r="GUB1" s="224"/>
      <c r="GUC1" s="224"/>
      <c r="GUD1" s="224"/>
      <c r="GUE1" s="224"/>
      <c r="GUF1" s="224"/>
      <c r="GUG1" s="224"/>
      <c r="GUH1" s="224"/>
      <c r="GUI1" s="224"/>
      <c r="GUJ1" s="224"/>
      <c r="GUK1" s="224"/>
      <c r="GUL1" s="224"/>
      <c r="GUM1" s="224"/>
      <c r="GUN1" s="224"/>
      <c r="GUO1" s="224"/>
      <c r="GUP1" s="224"/>
      <c r="GUQ1" s="224"/>
      <c r="GUR1" s="224"/>
      <c r="GUS1" s="224"/>
      <c r="GUT1" s="224"/>
      <c r="GUU1" s="224"/>
      <c r="GUV1" s="224"/>
      <c r="GUW1" s="224"/>
      <c r="GUX1" s="224"/>
      <c r="GUY1" s="224"/>
      <c r="GUZ1" s="224"/>
      <c r="GVA1" s="224"/>
      <c r="GVB1" s="224"/>
      <c r="GVC1" s="224"/>
      <c r="GVD1" s="224"/>
      <c r="GVE1" s="224"/>
      <c r="GVF1" s="224"/>
      <c r="GVG1" s="224"/>
      <c r="GVH1" s="224"/>
      <c r="GVI1" s="224"/>
      <c r="GVJ1" s="224"/>
      <c r="GVK1" s="224"/>
      <c r="GVL1" s="224"/>
      <c r="GVM1" s="224"/>
      <c r="GVN1" s="224"/>
      <c r="GVO1" s="224"/>
      <c r="GVP1" s="224"/>
      <c r="GVQ1" s="224"/>
      <c r="GVR1" s="224"/>
      <c r="GVS1" s="224"/>
      <c r="GVT1" s="224"/>
      <c r="GVU1" s="224"/>
      <c r="GVV1" s="224"/>
      <c r="GVW1" s="224"/>
      <c r="GVX1" s="224"/>
      <c r="GVY1" s="224"/>
      <c r="GVZ1" s="224"/>
      <c r="GWA1" s="224"/>
      <c r="GWB1" s="224"/>
      <c r="GWC1" s="224"/>
      <c r="GWD1" s="224"/>
      <c r="GWE1" s="224"/>
      <c r="GWF1" s="224"/>
      <c r="GWG1" s="224"/>
      <c r="GWH1" s="224"/>
      <c r="GWI1" s="224"/>
      <c r="GWJ1" s="224"/>
      <c r="GWK1" s="224"/>
      <c r="GWL1" s="224"/>
      <c r="GWM1" s="224"/>
      <c r="GWN1" s="224"/>
      <c r="GWO1" s="224"/>
      <c r="GWP1" s="224"/>
      <c r="GWQ1" s="224"/>
      <c r="GWR1" s="224"/>
      <c r="GWS1" s="224"/>
      <c r="GWT1" s="224"/>
      <c r="GWU1" s="224"/>
      <c r="GWV1" s="224"/>
      <c r="GWW1" s="224"/>
      <c r="GWX1" s="224"/>
      <c r="GWY1" s="224"/>
      <c r="GWZ1" s="224"/>
      <c r="GXA1" s="224"/>
      <c r="GXB1" s="224"/>
      <c r="GXC1" s="224"/>
      <c r="GXD1" s="224"/>
      <c r="GXE1" s="224"/>
      <c r="GXF1" s="224"/>
      <c r="GXG1" s="224"/>
      <c r="GXH1" s="224"/>
      <c r="GXI1" s="224"/>
      <c r="GXJ1" s="224"/>
      <c r="GXK1" s="224"/>
      <c r="GXL1" s="224"/>
      <c r="GXM1" s="224"/>
      <c r="GXN1" s="224"/>
      <c r="GXO1" s="224"/>
      <c r="GXP1" s="224"/>
      <c r="GXQ1" s="224"/>
      <c r="GXR1" s="224"/>
      <c r="GXS1" s="224"/>
      <c r="GXT1" s="224"/>
      <c r="GXU1" s="224"/>
      <c r="GXV1" s="224"/>
      <c r="GXW1" s="224"/>
      <c r="GXX1" s="224"/>
      <c r="GXY1" s="224"/>
      <c r="GXZ1" s="224"/>
      <c r="GYA1" s="224"/>
      <c r="GYB1" s="224"/>
      <c r="GYC1" s="224"/>
      <c r="GYD1" s="224"/>
      <c r="GYE1" s="224"/>
      <c r="GYF1" s="224"/>
      <c r="GYG1" s="224"/>
      <c r="GYH1" s="224"/>
      <c r="GYI1" s="224"/>
      <c r="GYJ1" s="224"/>
      <c r="GYK1" s="224"/>
      <c r="GYL1" s="224"/>
      <c r="GYM1" s="224"/>
      <c r="GYN1" s="224"/>
      <c r="GYO1" s="224"/>
      <c r="GYP1" s="224"/>
      <c r="GYQ1" s="224"/>
      <c r="GYR1" s="224"/>
      <c r="GYS1" s="224"/>
      <c r="GYT1" s="224"/>
      <c r="GYU1" s="224"/>
      <c r="GYV1" s="224"/>
      <c r="GYW1" s="224"/>
      <c r="GYX1" s="224"/>
      <c r="GYY1" s="224"/>
      <c r="GYZ1" s="224"/>
      <c r="GZA1" s="224"/>
      <c r="GZB1" s="224"/>
      <c r="GZC1" s="224"/>
      <c r="GZD1" s="224"/>
      <c r="GZE1" s="224"/>
      <c r="GZF1" s="224"/>
      <c r="GZG1" s="224"/>
      <c r="GZH1" s="224"/>
      <c r="GZI1" s="224"/>
      <c r="GZJ1" s="224"/>
      <c r="GZK1" s="224"/>
      <c r="GZL1" s="224"/>
      <c r="GZM1" s="224"/>
      <c r="GZN1" s="224"/>
      <c r="GZO1" s="224"/>
      <c r="GZP1" s="224"/>
      <c r="GZQ1" s="224"/>
      <c r="GZR1" s="224"/>
      <c r="GZS1" s="224"/>
      <c r="GZT1" s="224"/>
      <c r="GZU1" s="224"/>
      <c r="GZV1" s="224"/>
      <c r="GZW1" s="224"/>
      <c r="GZX1" s="224"/>
      <c r="GZY1" s="224"/>
      <c r="GZZ1" s="224"/>
      <c r="HAA1" s="224"/>
      <c r="HAB1" s="224"/>
      <c r="HAC1" s="224"/>
      <c r="HAD1" s="224"/>
      <c r="HAE1" s="224"/>
      <c r="HAF1" s="224"/>
      <c r="HAG1" s="224"/>
      <c r="HAH1" s="224"/>
      <c r="HAI1" s="224"/>
      <c r="HAJ1" s="224"/>
      <c r="HAK1" s="224"/>
      <c r="HAL1" s="224"/>
      <c r="HAM1" s="224"/>
      <c r="HAN1" s="224"/>
      <c r="HAO1" s="224"/>
      <c r="HAP1" s="224"/>
      <c r="HAQ1" s="224"/>
      <c r="HAR1" s="224"/>
      <c r="HAS1" s="224"/>
      <c r="HAT1" s="224"/>
      <c r="HAU1" s="224"/>
      <c r="HAV1" s="224"/>
      <c r="HAW1" s="224"/>
      <c r="HAX1" s="224"/>
      <c r="HAY1" s="224"/>
      <c r="HAZ1" s="224"/>
      <c r="HBA1" s="224"/>
      <c r="HBB1" s="224"/>
      <c r="HBC1" s="224"/>
      <c r="HBD1" s="224"/>
      <c r="HBE1" s="224"/>
      <c r="HBF1" s="224"/>
      <c r="HBG1" s="224"/>
      <c r="HBH1" s="224"/>
      <c r="HBI1" s="224"/>
      <c r="HBJ1" s="224"/>
      <c r="HBK1" s="224"/>
      <c r="HBL1" s="224"/>
      <c r="HBM1" s="224"/>
      <c r="HBN1" s="224"/>
      <c r="HBO1" s="224"/>
      <c r="HBP1" s="224"/>
      <c r="HBQ1" s="224"/>
      <c r="HBR1" s="224"/>
      <c r="HBS1" s="224"/>
      <c r="HBT1" s="224"/>
      <c r="HBU1" s="224"/>
      <c r="HBV1" s="224"/>
      <c r="HBW1" s="224"/>
      <c r="HBX1" s="224"/>
      <c r="HBY1" s="224"/>
      <c r="HBZ1" s="224"/>
      <c r="HCA1" s="224"/>
      <c r="HCB1" s="224"/>
      <c r="HCC1" s="224"/>
      <c r="HCD1" s="224"/>
      <c r="HCE1" s="224"/>
      <c r="HCF1" s="224"/>
      <c r="HCG1" s="224"/>
      <c r="HCH1" s="224"/>
      <c r="HCI1" s="224"/>
      <c r="HCJ1" s="224"/>
      <c r="HCK1" s="224"/>
      <c r="HCL1" s="224"/>
      <c r="HCM1" s="224"/>
      <c r="HCN1" s="224"/>
      <c r="HCO1" s="224"/>
      <c r="HCP1" s="224"/>
      <c r="HCQ1" s="224"/>
      <c r="HCR1" s="224"/>
      <c r="HCS1" s="224"/>
      <c r="HCT1" s="224"/>
      <c r="HCU1" s="224"/>
      <c r="HCV1" s="224"/>
      <c r="HCW1" s="224"/>
      <c r="HCX1" s="224"/>
      <c r="HCY1" s="224"/>
      <c r="HCZ1" s="224"/>
      <c r="HDA1" s="224"/>
      <c r="HDB1" s="224"/>
      <c r="HDC1" s="224"/>
      <c r="HDD1" s="224"/>
      <c r="HDE1" s="224"/>
      <c r="HDF1" s="224"/>
      <c r="HDG1" s="224"/>
      <c r="HDH1" s="224"/>
      <c r="HDI1" s="224"/>
      <c r="HDJ1" s="224"/>
      <c r="HDK1" s="224"/>
      <c r="HDL1" s="224"/>
      <c r="HDM1" s="224"/>
      <c r="HDN1" s="224"/>
      <c r="HDO1" s="224"/>
      <c r="HDP1" s="224"/>
      <c r="HDQ1" s="224"/>
      <c r="HDR1" s="224"/>
      <c r="HDS1" s="224"/>
      <c r="HDT1" s="224"/>
      <c r="HDU1" s="224"/>
      <c r="HDV1" s="224"/>
      <c r="HDW1" s="224"/>
      <c r="HDX1" s="224"/>
      <c r="HDY1" s="224"/>
      <c r="HDZ1" s="224"/>
      <c r="HEA1" s="224"/>
      <c r="HEB1" s="224"/>
      <c r="HEC1" s="224"/>
      <c r="HED1" s="224"/>
      <c r="HEE1" s="224"/>
      <c r="HEF1" s="224"/>
      <c r="HEG1" s="224"/>
      <c r="HEH1" s="224"/>
      <c r="HEI1" s="224"/>
      <c r="HEJ1" s="224"/>
      <c r="HEK1" s="224"/>
      <c r="HEL1" s="224"/>
      <c r="HEM1" s="224"/>
      <c r="HEN1" s="224"/>
      <c r="HEO1" s="224"/>
      <c r="HEP1" s="224"/>
      <c r="HEQ1" s="224"/>
      <c r="HER1" s="224"/>
      <c r="HES1" s="224"/>
      <c r="HET1" s="224"/>
      <c r="HEU1" s="224"/>
      <c r="HEV1" s="224"/>
      <c r="HEW1" s="224"/>
      <c r="HEX1" s="224"/>
      <c r="HEY1" s="224"/>
      <c r="HEZ1" s="224"/>
      <c r="HFA1" s="224"/>
      <c r="HFB1" s="224"/>
      <c r="HFC1" s="224"/>
      <c r="HFD1" s="224"/>
      <c r="HFE1" s="224"/>
      <c r="HFF1" s="224"/>
      <c r="HFG1" s="224"/>
      <c r="HFH1" s="224"/>
      <c r="HFI1" s="224"/>
      <c r="HFJ1" s="224"/>
      <c r="HFK1" s="224"/>
      <c r="HFL1" s="224"/>
      <c r="HFM1" s="224"/>
      <c r="HFN1" s="224"/>
      <c r="HFO1" s="224"/>
      <c r="HFP1" s="224"/>
      <c r="HFQ1" s="224"/>
      <c r="HFR1" s="224"/>
      <c r="HFS1" s="224"/>
      <c r="HFT1" s="224"/>
      <c r="HFU1" s="224"/>
      <c r="HFV1" s="224"/>
      <c r="HFW1" s="224"/>
      <c r="HFX1" s="224"/>
      <c r="HFY1" s="224"/>
      <c r="HFZ1" s="224"/>
      <c r="HGA1" s="224"/>
      <c r="HGB1" s="224"/>
      <c r="HGC1" s="224"/>
      <c r="HGD1" s="224"/>
      <c r="HGE1" s="224"/>
      <c r="HGF1" s="224"/>
      <c r="HGG1" s="224"/>
      <c r="HGH1" s="224"/>
      <c r="HGI1" s="224"/>
      <c r="HGJ1" s="224"/>
      <c r="HGK1" s="224"/>
      <c r="HGL1" s="224"/>
      <c r="HGM1" s="224"/>
      <c r="HGN1" s="224"/>
      <c r="HGO1" s="224"/>
      <c r="HGP1" s="224"/>
      <c r="HGQ1" s="224"/>
      <c r="HGR1" s="224"/>
      <c r="HGS1" s="224"/>
      <c r="HGT1" s="224"/>
      <c r="HGU1" s="224"/>
      <c r="HGV1" s="224"/>
      <c r="HGW1" s="224"/>
      <c r="HGX1" s="224"/>
      <c r="HGY1" s="224"/>
      <c r="HGZ1" s="224"/>
      <c r="HHA1" s="224"/>
      <c r="HHB1" s="224"/>
      <c r="HHC1" s="224"/>
      <c r="HHD1" s="224"/>
      <c r="HHE1" s="224"/>
      <c r="HHF1" s="224"/>
      <c r="HHG1" s="224"/>
      <c r="HHH1" s="224"/>
      <c r="HHI1" s="224"/>
      <c r="HHJ1" s="224"/>
      <c r="HHK1" s="224"/>
      <c r="HHL1" s="224"/>
      <c r="HHM1" s="224"/>
      <c r="HHN1" s="224"/>
      <c r="HHO1" s="224"/>
      <c r="HHP1" s="224"/>
      <c r="HHQ1" s="224"/>
      <c r="HHR1" s="224"/>
      <c r="HHS1" s="224"/>
      <c r="HHT1" s="224"/>
      <c r="HHU1" s="224"/>
      <c r="HHV1" s="224"/>
      <c r="HHW1" s="224"/>
      <c r="HHX1" s="224"/>
      <c r="HHY1" s="224"/>
      <c r="HHZ1" s="224"/>
      <c r="HIA1" s="224"/>
      <c r="HIB1" s="224"/>
      <c r="HIC1" s="224"/>
      <c r="HID1" s="224"/>
      <c r="HIE1" s="224"/>
      <c r="HIF1" s="224"/>
      <c r="HIG1" s="224"/>
      <c r="HIH1" s="224"/>
      <c r="HII1" s="224"/>
      <c r="HIJ1" s="224"/>
      <c r="HIK1" s="224"/>
      <c r="HIL1" s="224"/>
      <c r="HIM1" s="224"/>
      <c r="HIN1" s="224"/>
      <c r="HIO1" s="224"/>
      <c r="HIP1" s="224"/>
      <c r="HIQ1" s="224"/>
      <c r="HIR1" s="224"/>
      <c r="HIS1" s="224"/>
      <c r="HIT1" s="224"/>
      <c r="HIU1" s="224"/>
      <c r="HIV1" s="224"/>
      <c r="HIW1" s="224"/>
      <c r="HIX1" s="224"/>
      <c r="HIY1" s="224"/>
      <c r="HIZ1" s="224"/>
      <c r="HJA1" s="224"/>
      <c r="HJB1" s="224"/>
      <c r="HJC1" s="224"/>
      <c r="HJD1" s="224"/>
      <c r="HJE1" s="224"/>
      <c r="HJF1" s="224"/>
      <c r="HJG1" s="224"/>
      <c r="HJH1" s="224"/>
      <c r="HJI1" s="224"/>
      <c r="HJJ1" s="224"/>
      <c r="HJK1" s="224"/>
      <c r="HJL1" s="224"/>
      <c r="HJM1" s="224"/>
      <c r="HJN1" s="224"/>
      <c r="HJO1" s="224"/>
      <c r="HJP1" s="224"/>
      <c r="HJQ1" s="224"/>
      <c r="HJR1" s="224"/>
      <c r="HJS1" s="224"/>
      <c r="HJT1" s="224"/>
      <c r="HJU1" s="224"/>
      <c r="HJV1" s="224"/>
      <c r="HJW1" s="224"/>
      <c r="HJX1" s="224"/>
      <c r="HJY1" s="224"/>
      <c r="HJZ1" s="224"/>
      <c r="HKA1" s="224"/>
      <c r="HKB1" s="224"/>
      <c r="HKC1" s="224"/>
      <c r="HKD1" s="224"/>
      <c r="HKE1" s="224"/>
      <c r="HKF1" s="224"/>
      <c r="HKG1" s="224"/>
      <c r="HKH1" s="224"/>
      <c r="HKI1" s="224"/>
      <c r="HKJ1" s="224"/>
      <c r="HKK1" s="224"/>
      <c r="HKL1" s="224"/>
      <c r="HKM1" s="224"/>
      <c r="HKN1" s="224"/>
      <c r="HKO1" s="224"/>
      <c r="HKP1" s="224"/>
      <c r="HKQ1" s="224"/>
      <c r="HKR1" s="224"/>
      <c r="HKS1" s="224"/>
      <c r="HKT1" s="224"/>
      <c r="HKU1" s="224"/>
      <c r="HKV1" s="224"/>
      <c r="HKW1" s="224"/>
      <c r="HKX1" s="224"/>
      <c r="HKY1" s="224"/>
      <c r="HKZ1" s="224"/>
      <c r="HLA1" s="224"/>
      <c r="HLB1" s="224"/>
      <c r="HLC1" s="224"/>
      <c r="HLD1" s="224"/>
      <c r="HLE1" s="224"/>
      <c r="HLF1" s="224"/>
      <c r="HLG1" s="224"/>
      <c r="HLH1" s="224"/>
      <c r="HLI1" s="224"/>
      <c r="HLJ1" s="224"/>
      <c r="HLK1" s="224"/>
      <c r="HLL1" s="224"/>
      <c r="HLM1" s="224"/>
      <c r="HLN1" s="224"/>
      <c r="HLO1" s="224"/>
      <c r="HLP1" s="224"/>
      <c r="HLQ1" s="224"/>
      <c r="HLR1" s="224"/>
      <c r="HLS1" s="224"/>
      <c r="HLT1" s="224"/>
      <c r="HLU1" s="224"/>
      <c r="HLV1" s="224"/>
      <c r="HLW1" s="224"/>
      <c r="HLX1" s="224"/>
      <c r="HLY1" s="224"/>
      <c r="HLZ1" s="224"/>
      <c r="HMA1" s="224"/>
      <c r="HMB1" s="224"/>
      <c r="HMC1" s="224"/>
      <c r="HMD1" s="224"/>
      <c r="HME1" s="224"/>
      <c r="HMF1" s="224"/>
      <c r="HMG1" s="224"/>
      <c r="HMH1" s="224"/>
      <c r="HMI1" s="224"/>
      <c r="HMJ1" s="224"/>
      <c r="HMK1" s="224"/>
      <c r="HML1" s="224"/>
      <c r="HMM1" s="224"/>
      <c r="HMN1" s="224"/>
      <c r="HMO1" s="224"/>
      <c r="HMP1" s="224"/>
      <c r="HMQ1" s="224"/>
      <c r="HMR1" s="224"/>
      <c r="HMS1" s="224"/>
      <c r="HMT1" s="224"/>
      <c r="HMU1" s="224"/>
      <c r="HMV1" s="224"/>
      <c r="HMW1" s="224"/>
      <c r="HMX1" s="224"/>
      <c r="HMY1" s="224"/>
      <c r="HMZ1" s="224"/>
      <c r="HNA1" s="224"/>
      <c r="HNB1" s="224"/>
      <c r="HNC1" s="224"/>
      <c r="HND1" s="224"/>
      <c r="HNE1" s="224"/>
      <c r="HNF1" s="224"/>
      <c r="HNG1" s="224"/>
      <c r="HNH1" s="224"/>
      <c r="HNI1" s="224"/>
      <c r="HNJ1" s="224"/>
      <c r="HNK1" s="224"/>
      <c r="HNL1" s="224"/>
      <c r="HNM1" s="224"/>
      <c r="HNN1" s="224"/>
      <c r="HNO1" s="224"/>
      <c r="HNP1" s="224"/>
      <c r="HNQ1" s="224"/>
      <c r="HNR1" s="224"/>
      <c r="HNS1" s="224"/>
      <c r="HNT1" s="224"/>
      <c r="HNU1" s="224"/>
      <c r="HNV1" s="224"/>
      <c r="HNW1" s="224"/>
      <c r="HNX1" s="224"/>
      <c r="HNY1" s="224"/>
      <c r="HNZ1" s="224"/>
      <c r="HOA1" s="224"/>
      <c r="HOB1" s="224"/>
      <c r="HOC1" s="224"/>
      <c r="HOD1" s="224"/>
      <c r="HOE1" s="224"/>
      <c r="HOF1" s="224"/>
      <c r="HOG1" s="224"/>
      <c r="HOH1" s="224"/>
      <c r="HOI1" s="224"/>
      <c r="HOJ1" s="224"/>
      <c r="HOK1" s="224"/>
      <c r="HOL1" s="224"/>
      <c r="HOM1" s="224"/>
      <c r="HON1" s="224"/>
      <c r="HOO1" s="224"/>
      <c r="HOP1" s="224"/>
      <c r="HOQ1" s="224"/>
      <c r="HOR1" s="224"/>
      <c r="HOS1" s="224"/>
      <c r="HOT1" s="224"/>
      <c r="HOU1" s="224"/>
      <c r="HOV1" s="224"/>
      <c r="HOW1" s="224"/>
      <c r="HOX1" s="224"/>
      <c r="HOY1" s="224"/>
      <c r="HOZ1" s="224"/>
      <c r="HPA1" s="224"/>
      <c r="HPB1" s="224"/>
      <c r="HPC1" s="224"/>
      <c r="HPD1" s="224"/>
      <c r="HPE1" s="224"/>
      <c r="HPF1" s="224"/>
      <c r="HPG1" s="224"/>
      <c r="HPH1" s="224"/>
      <c r="HPI1" s="224"/>
      <c r="HPJ1" s="224"/>
      <c r="HPK1" s="224"/>
      <c r="HPL1" s="224"/>
      <c r="HPM1" s="224"/>
      <c r="HPN1" s="224"/>
      <c r="HPO1" s="224"/>
      <c r="HPP1" s="224"/>
      <c r="HPQ1" s="224"/>
      <c r="HPR1" s="224"/>
      <c r="HPS1" s="224"/>
      <c r="HPT1" s="224"/>
      <c r="HPU1" s="224"/>
      <c r="HPV1" s="224"/>
      <c r="HPW1" s="224"/>
      <c r="HPX1" s="224"/>
      <c r="HPY1" s="224"/>
      <c r="HPZ1" s="224"/>
      <c r="HQA1" s="224"/>
      <c r="HQB1" s="224"/>
      <c r="HQC1" s="224"/>
      <c r="HQD1" s="224"/>
      <c r="HQE1" s="224"/>
      <c r="HQF1" s="224"/>
      <c r="HQG1" s="224"/>
      <c r="HQH1" s="224"/>
      <c r="HQI1" s="224"/>
      <c r="HQJ1" s="224"/>
      <c r="HQK1" s="224"/>
      <c r="HQL1" s="224"/>
      <c r="HQM1" s="224"/>
      <c r="HQN1" s="224"/>
      <c r="HQO1" s="224"/>
      <c r="HQP1" s="224"/>
      <c r="HQQ1" s="224"/>
      <c r="HQR1" s="224"/>
      <c r="HQS1" s="224"/>
      <c r="HQT1" s="224"/>
      <c r="HQU1" s="224"/>
      <c r="HQV1" s="224"/>
      <c r="HQW1" s="224"/>
      <c r="HQX1" s="224"/>
      <c r="HQY1" s="224"/>
      <c r="HQZ1" s="224"/>
      <c r="HRA1" s="224"/>
      <c r="HRB1" s="224"/>
      <c r="HRC1" s="224"/>
      <c r="HRD1" s="224"/>
      <c r="HRE1" s="224"/>
      <c r="HRF1" s="224"/>
      <c r="HRG1" s="224"/>
      <c r="HRH1" s="224"/>
      <c r="HRI1" s="224"/>
      <c r="HRJ1" s="224"/>
      <c r="HRK1" s="224"/>
      <c r="HRL1" s="224"/>
      <c r="HRM1" s="224"/>
      <c r="HRN1" s="224"/>
      <c r="HRO1" s="224"/>
      <c r="HRP1" s="224"/>
      <c r="HRQ1" s="224"/>
      <c r="HRR1" s="224"/>
      <c r="HRS1" s="224"/>
      <c r="HRT1" s="224"/>
      <c r="HRU1" s="224"/>
      <c r="HRV1" s="224"/>
      <c r="HRW1" s="224"/>
      <c r="HRX1" s="224"/>
      <c r="HRY1" s="224"/>
      <c r="HRZ1" s="224"/>
      <c r="HSA1" s="224"/>
      <c r="HSB1" s="224"/>
      <c r="HSC1" s="224"/>
      <c r="HSD1" s="224"/>
      <c r="HSE1" s="224"/>
      <c r="HSF1" s="224"/>
      <c r="HSG1" s="224"/>
      <c r="HSH1" s="224"/>
      <c r="HSI1" s="224"/>
      <c r="HSJ1" s="224"/>
      <c r="HSK1" s="224"/>
      <c r="HSL1" s="224"/>
      <c r="HSM1" s="224"/>
      <c r="HSN1" s="224"/>
      <c r="HSO1" s="224"/>
      <c r="HSP1" s="224"/>
      <c r="HSQ1" s="224"/>
      <c r="HSR1" s="224"/>
      <c r="HSS1" s="224"/>
      <c r="HST1" s="224"/>
      <c r="HSU1" s="224"/>
      <c r="HSV1" s="224"/>
      <c r="HSW1" s="224"/>
      <c r="HSX1" s="224"/>
      <c r="HSY1" s="224"/>
      <c r="HSZ1" s="224"/>
      <c r="HTA1" s="224"/>
      <c r="HTB1" s="224"/>
      <c r="HTC1" s="224"/>
      <c r="HTD1" s="224"/>
      <c r="HTE1" s="224"/>
      <c r="HTF1" s="224"/>
      <c r="HTG1" s="224"/>
      <c r="HTH1" s="224"/>
      <c r="HTI1" s="224"/>
      <c r="HTJ1" s="224"/>
      <c r="HTK1" s="224"/>
      <c r="HTL1" s="224"/>
      <c r="HTM1" s="224"/>
      <c r="HTN1" s="224"/>
      <c r="HTO1" s="224"/>
      <c r="HTP1" s="224"/>
      <c r="HTQ1" s="224"/>
      <c r="HTR1" s="224"/>
      <c r="HTS1" s="224"/>
      <c r="HTT1" s="224"/>
      <c r="HTU1" s="224"/>
      <c r="HTV1" s="224"/>
      <c r="HTW1" s="224"/>
      <c r="HTX1" s="224"/>
      <c r="HTY1" s="224"/>
      <c r="HTZ1" s="224"/>
      <c r="HUA1" s="224"/>
      <c r="HUB1" s="224"/>
      <c r="HUC1" s="224"/>
      <c r="HUD1" s="224"/>
      <c r="HUE1" s="224"/>
      <c r="HUF1" s="224"/>
      <c r="HUG1" s="224"/>
      <c r="HUH1" s="224"/>
      <c r="HUI1" s="224"/>
      <c r="HUJ1" s="224"/>
      <c r="HUK1" s="224"/>
      <c r="HUL1" s="224"/>
      <c r="HUM1" s="224"/>
      <c r="HUN1" s="224"/>
      <c r="HUO1" s="224"/>
      <c r="HUP1" s="224"/>
      <c r="HUQ1" s="224"/>
      <c r="HUR1" s="224"/>
      <c r="HUS1" s="224"/>
      <c r="HUT1" s="224"/>
      <c r="HUU1" s="224"/>
      <c r="HUV1" s="224"/>
      <c r="HUW1" s="224"/>
      <c r="HUX1" s="224"/>
      <c r="HUY1" s="224"/>
      <c r="HUZ1" s="224"/>
      <c r="HVA1" s="224"/>
      <c r="HVB1" s="224"/>
      <c r="HVC1" s="224"/>
      <c r="HVD1" s="224"/>
      <c r="HVE1" s="224"/>
      <c r="HVF1" s="224"/>
      <c r="HVG1" s="224"/>
      <c r="HVH1" s="224"/>
      <c r="HVI1" s="224"/>
      <c r="HVJ1" s="224"/>
      <c r="HVK1" s="224"/>
      <c r="HVL1" s="224"/>
      <c r="HVM1" s="224"/>
      <c r="HVN1" s="224"/>
      <c r="HVO1" s="224"/>
      <c r="HVP1" s="224"/>
      <c r="HVQ1" s="224"/>
      <c r="HVR1" s="224"/>
      <c r="HVS1" s="224"/>
      <c r="HVT1" s="224"/>
      <c r="HVU1" s="224"/>
      <c r="HVV1" s="224"/>
      <c r="HVW1" s="224"/>
      <c r="HVX1" s="224"/>
      <c r="HVY1" s="224"/>
      <c r="HVZ1" s="224"/>
      <c r="HWA1" s="224"/>
      <c r="HWB1" s="224"/>
      <c r="HWC1" s="224"/>
      <c r="HWD1" s="224"/>
      <c r="HWE1" s="224"/>
      <c r="HWF1" s="224"/>
      <c r="HWG1" s="224"/>
      <c r="HWH1" s="224"/>
      <c r="HWI1" s="224"/>
      <c r="HWJ1" s="224"/>
      <c r="HWK1" s="224"/>
      <c r="HWL1" s="224"/>
      <c r="HWM1" s="224"/>
      <c r="HWN1" s="224"/>
      <c r="HWO1" s="224"/>
      <c r="HWP1" s="224"/>
      <c r="HWQ1" s="224"/>
      <c r="HWR1" s="224"/>
      <c r="HWS1" s="224"/>
      <c r="HWT1" s="224"/>
      <c r="HWU1" s="224"/>
      <c r="HWV1" s="224"/>
      <c r="HWW1" s="224"/>
      <c r="HWX1" s="224"/>
      <c r="HWY1" s="224"/>
      <c r="HWZ1" s="224"/>
      <c r="HXA1" s="224"/>
      <c r="HXB1" s="224"/>
      <c r="HXC1" s="224"/>
      <c r="HXD1" s="224"/>
      <c r="HXE1" s="224"/>
      <c r="HXF1" s="224"/>
      <c r="HXG1" s="224"/>
      <c r="HXH1" s="224"/>
      <c r="HXI1" s="224"/>
      <c r="HXJ1" s="224"/>
      <c r="HXK1" s="224"/>
      <c r="HXL1" s="224"/>
      <c r="HXM1" s="224"/>
      <c r="HXN1" s="224"/>
      <c r="HXO1" s="224"/>
      <c r="HXP1" s="224"/>
      <c r="HXQ1" s="224"/>
      <c r="HXR1" s="224"/>
      <c r="HXS1" s="224"/>
      <c r="HXT1" s="224"/>
      <c r="HXU1" s="224"/>
      <c r="HXV1" s="224"/>
      <c r="HXW1" s="224"/>
      <c r="HXX1" s="224"/>
      <c r="HXY1" s="224"/>
      <c r="HXZ1" s="224"/>
      <c r="HYA1" s="224"/>
      <c r="HYB1" s="224"/>
      <c r="HYC1" s="224"/>
      <c r="HYD1" s="224"/>
      <c r="HYE1" s="224"/>
      <c r="HYF1" s="224"/>
      <c r="HYG1" s="224"/>
      <c r="HYH1" s="224"/>
      <c r="HYI1" s="224"/>
      <c r="HYJ1" s="224"/>
      <c r="HYK1" s="224"/>
      <c r="HYL1" s="224"/>
      <c r="HYM1" s="224"/>
      <c r="HYN1" s="224"/>
      <c r="HYO1" s="224"/>
      <c r="HYP1" s="224"/>
      <c r="HYQ1" s="224"/>
      <c r="HYR1" s="224"/>
      <c r="HYS1" s="224"/>
      <c r="HYT1" s="224"/>
      <c r="HYU1" s="224"/>
      <c r="HYV1" s="224"/>
      <c r="HYW1" s="224"/>
      <c r="HYX1" s="224"/>
      <c r="HYY1" s="224"/>
      <c r="HYZ1" s="224"/>
      <c r="HZA1" s="224"/>
      <c r="HZB1" s="224"/>
      <c r="HZC1" s="224"/>
      <c r="HZD1" s="224"/>
      <c r="HZE1" s="224"/>
      <c r="HZF1" s="224"/>
      <c r="HZG1" s="224"/>
      <c r="HZH1" s="224"/>
      <c r="HZI1" s="224"/>
      <c r="HZJ1" s="224"/>
      <c r="HZK1" s="224"/>
      <c r="HZL1" s="224"/>
      <c r="HZM1" s="224"/>
      <c r="HZN1" s="224"/>
      <c r="HZO1" s="224"/>
      <c r="HZP1" s="224"/>
      <c r="HZQ1" s="224"/>
      <c r="HZR1" s="224"/>
      <c r="HZS1" s="224"/>
      <c r="HZT1" s="224"/>
      <c r="HZU1" s="224"/>
      <c r="HZV1" s="224"/>
      <c r="HZW1" s="224"/>
      <c r="HZX1" s="224"/>
      <c r="HZY1" s="224"/>
      <c r="HZZ1" s="224"/>
      <c r="IAA1" s="224"/>
      <c r="IAB1" s="224"/>
      <c r="IAC1" s="224"/>
      <c r="IAD1" s="224"/>
      <c r="IAE1" s="224"/>
      <c r="IAF1" s="224"/>
      <c r="IAG1" s="224"/>
      <c r="IAH1" s="224"/>
      <c r="IAI1" s="224"/>
      <c r="IAJ1" s="224"/>
      <c r="IAK1" s="224"/>
      <c r="IAL1" s="224"/>
      <c r="IAM1" s="224"/>
      <c r="IAN1" s="224"/>
      <c r="IAO1" s="224"/>
      <c r="IAP1" s="224"/>
      <c r="IAQ1" s="224"/>
      <c r="IAR1" s="224"/>
      <c r="IAS1" s="224"/>
      <c r="IAT1" s="224"/>
      <c r="IAU1" s="224"/>
      <c r="IAV1" s="224"/>
      <c r="IAW1" s="224"/>
      <c r="IAX1" s="224"/>
      <c r="IAY1" s="224"/>
      <c r="IAZ1" s="224"/>
      <c r="IBA1" s="224"/>
      <c r="IBB1" s="224"/>
      <c r="IBC1" s="224"/>
      <c r="IBD1" s="224"/>
      <c r="IBE1" s="224"/>
      <c r="IBF1" s="224"/>
      <c r="IBG1" s="224"/>
      <c r="IBH1" s="224"/>
      <c r="IBI1" s="224"/>
      <c r="IBJ1" s="224"/>
      <c r="IBK1" s="224"/>
      <c r="IBL1" s="224"/>
      <c r="IBM1" s="224"/>
      <c r="IBN1" s="224"/>
      <c r="IBO1" s="224"/>
      <c r="IBP1" s="224"/>
      <c r="IBQ1" s="224"/>
      <c r="IBR1" s="224"/>
      <c r="IBS1" s="224"/>
      <c r="IBT1" s="224"/>
      <c r="IBU1" s="224"/>
      <c r="IBV1" s="224"/>
      <c r="IBW1" s="224"/>
      <c r="IBX1" s="224"/>
      <c r="IBY1" s="224"/>
      <c r="IBZ1" s="224"/>
      <c r="ICA1" s="224"/>
      <c r="ICB1" s="224"/>
      <c r="ICC1" s="224"/>
      <c r="ICD1" s="224"/>
      <c r="ICE1" s="224"/>
      <c r="ICF1" s="224"/>
      <c r="ICG1" s="224"/>
      <c r="ICH1" s="224"/>
      <c r="ICI1" s="224"/>
      <c r="ICJ1" s="224"/>
      <c r="ICK1" s="224"/>
      <c r="ICL1" s="224"/>
      <c r="ICM1" s="224"/>
      <c r="ICN1" s="224"/>
      <c r="ICO1" s="224"/>
      <c r="ICP1" s="224"/>
      <c r="ICQ1" s="224"/>
      <c r="ICR1" s="224"/>
      <c r="ICS1" s="224"/>
      <c r="ICT1" s="224"/>
      <c r="ICU1" s="224"/>
      <c r="ICV1" s="224"/>
      <c r="ICW1" s="224"/>
      <c r="ICX1" s="224"/>
      <c r="ICY1" s="224"/>
      <c r="ICZ1" s="224"/>
      <c r="IDA1" s="224"/>
      <c r="IDB1" s="224"/>
      <c r="IDC1" s="224"/>
      <c r="IDD1" s="224"/>
      <c r="IDE1" s="224"/>
      <c r="IDF1" s="224"/>
      <c r="IDG1" s="224"/>
      <c r="IDH1" s="224"/>
      <c r="IDI1" s="224"/>
      <c r="IDJ1" s="224"/>
      <c r="IDK1" s="224"/>
      <c r="IDL1" s="224"/>
      <c r="IDM1" s="224"/>
      <c r="IDN1" s="224"/>
      <c r="IDO1" s="224"/>
      <c r="IDP1" s="224"/>
      <c r="IDQ1" s="224"/>
      <c r="IDR1" s="224"/>
      <c r="IDS1" s="224"/>
      <c r="IDT1" s="224"/>
      <c r="IDU1" s="224"/>
      <c r="IDV1" s="224"/>
      <c r="IDW1" s="224"/>
      <c r="IDX1" s="224"/>
      <c r="IDY1" s="224"/>
      <c r="IDZ1" s="224"/>
      <c r="IEA1" s="224"/>
      <c r="IEB1" s="224"/>
      <c r="IEC1" s="224"/>
      <c r="IED1" s="224"/>
      <c r="IEE1" s="224"/>
      <c r="IEF1" s="224"/>
      <c r="IEG1" s="224"/>
      <c r="IEH1" s="224"/>
      <c r="IEI1" s="224"/>
      <c r="IEJ1" s="224"/>
      <c r="IEK1" s="224"/>
      <c r="IEL1" s="224"/>
      <c r="IEM1" s="224"/>
      <c r="IEN1" s="224"/>
      <c r="IEO1" s="224"/>
      <c r="IEP1" s="224"/>
      <c r="IEQ1" s="224"/>
      <c r="IER1" s="224"/>
      <c r="IES1" s="224"/>
      <c r="IET1" s="224"/>
      <c r="IEU1" s="224"/>
      <c r="IEV1" s="224"/>
      <c r="IEW1" s="224"/>
      <c r="IEX1" s="224"/>
      <c r="IEY1" s="224"/>
      <c r="IEZ1" s="224"/>
      <c r="IFA1" s="224"/>
      <c r="IFB1" s="224"/>
      <c r="IFC1" s="224"/>
      <c r="IFD1" s="224"/>
      <c r="IFE1" s="224"/>
      <c r="IFF1" s="224"/>
      <c r="IFG1" s="224"/>
      <c r="IFH1" s="224"/>
      <c r="IFI1" s="224"/>
      <c r="IFJ1" s="224"/>
      <c r="IFK1" s="224"/>
      <c r="IFL1" s="224"/>
      <c r="IFM1" s="224"/>
      <c r="IFN1" s="224"/>
      <c r="IFO1" s="224"/>
      <c r="IFP1" s="224"/>
      <c r="IFQ1" s="224"/>
      <c r="IFR1" s="224"/>
      <c r="IFS1" s="224"/>
      <c r="IFT1" s="224"/>
      <c r="IFU1" s="224"/>
      <c r="IFV1" s="224"/>
      <c r="IFW1" s="224"/>
      <c r="IFX1" s="224"/>
      <c r="IFY1" s="224"/>
      <c r="IFZ1" s="224"/>
      <c r="IGA1" s="224"/>
      <c r="IGB1" s="224"/>
      <c r="IGC1" s="224"/>
      <c r="IGD1" s="224"/>
      <c r="IGE1" s="224"/>
      <c r="IGF1" s="224"/>
      <c r="IGG1" s="224"/>
      <c r="IGH1" s="224"/>
      <c r="IGI1" s="224"/>
      <c r="IGJ1" s="224"/>
      <c r="IGK1" s="224"/>
      <c r="IGL1" s="224"/>
      <c r="IGM1" s="224"/>
      <c r="IGN1" s="224"/>
      <c r="IGO1" s="224"/>
      <c r="IGP1" s="224"/>
      <c r="IGQ1" s="224"/>
      <c r="IGR1" s="224"/>
      <c r="IGS1" s="224"/>
      <c r="IGT1" s="224"/>
      <c r="IGU1" s="224"/>
      <c r="IGV1" s="224"/>
      <c r="IGW1" s="224"/>
      <c r="IGX1" s="224"/>
      <c r="IGY1" s="224"/>
      <c r="IGZ1" s="224"/>
      <c r="IHA1" s="224"/>
      <c r="IHB1" s="224"/>
      <c r="IHC1" s="224"/>
      <c r="IHD1" s="224"/>
      <c r="IHE1" s="224"/>
      <c r="IHF1" s="224"/>
      <c r="IHG1" s="224"/>
      <c r="IHH1" s="224"/>
      <c r="IHI1" s="224"/>
      <c r="IHJ1" s="224"/>
      <c r="IHK1" s="224"/>
      <c r="IHL1" s="224"/>
      <c r="IHM1" s="224"/>
      <c r="IHN1" s="224"/>
      <c r="IHO1" s="224"/>
      <c r="IHP1" s="224"/>
      <c r="IHQ1" s="224"/>
      <c r="IHR1" s="224"/>
      <c r="IHS1" s="224"/>
      <c r="IHT1" s="224"/>
      <c r="IHU1" s="224"/>
      <c r="IHV1" s="224"/>
      <c r="IHW1" s="224"/>
      <c r="IHX1" s="224"/>
      <c r="IHY1" s="224"/>
      <c r="IHZ1" s="224"/>
      <c r="IIA1" s="224"/>
      <c r="IIB1" s="224"/>
      <c r="IIC1" s="224"/>
      <c r="IID1" s="224"/>
      <c r="IIE1" s="224"/>
      <c r="IIF1" s="224"/>
      <c r="IIG1" s="224"/>
      <c r="IIH1" s="224"/>
      <c r="III1" s="224"/>
      <c r="IIJ1" s="224"/>
      <c r="IIK1" s="224"/>
      <c r="IIL1" s="224"/>
      <c r="IIM1" s="224"/>
      <c r="IIN1" s="224"/>
      <c r="IIO1" s="224"/>
      <c r="IIP1" s="224"/>
      <c r="IIQ1" s="224"/>
      <c r="IIR1" s="224"/>
      <c r="IIS1" s="224"/>
      <c r="IIT1" s="224"/>
      <c r="IIU1" s="224"/>
      <c r="IIV1" s="224"/>
      <c r="IIW1" s="224"/>
      <c r="IIX1" s="224"/>
      <c r="IIY1" s="224"/>
      <c r="IIZ1" s="224"/>
      <c r="IJA1" s="224"/>
      <c r="IJB1" s="224"/>
      <c r="IJC1" s="224"/>
      <c r="IJD1" s="224"/>
      <c r="IJE1" s="224"/>
      <c r="IJF1" s="224"/>
      <c r="IJG1" s="224"/>
      <c r="IJH1" s="224"/>
      <c r="IJI1" s="224"/>
      <c r="IJJ1" s="224"/>
      <c r="IJK1" s="224"/>
      <c r="IJL1" s="224"/>
      <c r="IJM1" s="224"/>
      <c r="IJN1" s="224"/>
      <c r="IJO1" s="224"/>
      <c r="IJP1" s="224"/>
      <c r="IJQ1" s="224"/>
      <c r="IJR1" s="224"/>
      <c r="IJS1" s="224"/>
      <c r="IJT1" s="224"/>
      <c r="IJU1" s="224"/>
      <c r="IJV1" s="224"/>
      <c r="IJW1" s="224"/>
      <c r="IJX1" s="224"/>
      <c r="IJY1" s="224"/>
      <c r="IJZ1" s="224"/>
      <c r="IKA1" s="224"/>
      <c r="IKB1" s="224"/>
      <c r="IKC1" s="224"/>
      <c r="IKD1" s="224"/>
      <c r="IKE1" s="224"/>
      <c r="IKF1" s="224"/>
      <c r="IKG1" s="224"/>
      <c r="IKH1" s="224"/>
      <c r="IKI1" s="224"/>
      <c r="IKJ1" s="224"/>
      <c r="IKK1" s="224"/>
      <c r="IKL1" s="224"/>
      <c r="IKM1" s="224"/>
      <c r="IKN1" s="224"/>
      <c r="IKO1" s="224"/>
      <c r="IKP1" s="224"/>
      <c r="IKQ1" s="224"/>
      <c r="IKR1" s="224"/>
      <c r="IKS1" s="224"/>
      <c r="IKT1" s="224"/>
      <c r="IKU1" s="224"/>
      <c r="IKV1" s="224"/>
      <c r="IKW1" s="224"/>
      <c r="IKX1" s="224"/>
      <c r="IKY1" s="224"/>
      <c r="IKZ1" s="224"/>
      <c r="ILA1" s="224"/>
      <c r="ILB1" s="224"/>
      <c r="ILC1" s="224"/>
      <c r="ILD1" s="224"/>
      <c r="ILE1" s="224"/>
      <c r="ILF1" s="224"/>
      <c r="ILG1" s="224"/>
      <c r="ILH1" s="224"/>
      <c r="ILI1" s="224"/>
      <c r="ILJ1" s="224"/>
      <c r="ILK1" s="224"/>
      <c r="ILL1" s="224"/>
      <c r="ILM1" s="224"/>
      <c r="ILN1" s="224"/>
      <c r="ILO1" s="224"/>
      <c r="ILP1" s="224"/>
      <c r="ILQ1" s="224"/>
      <c r="ILR1" s="224"/>
      <c r="ILS1" s="224"/>
      <c r="ILT1" s="224"/>
      <c r="ILU1" s="224"/>
      <c r="ILV1" s="224"/>
      <c r="ILW1" s="224"/>
      <c r="ILX1" s="224"/>
      <c r="ILY1" s="224"/>
      <c r="ILZ1" s="224"/>
      <c r="IMA1" s="224"/>
      <c r="IMB1" s="224"/>
      <c r="IMC1" s="224"/>
      <c r="IMD1" s="224"/>
      <c r="IME1" s="224"/>
      <c r="IMF1" s="224"/>
      <c r="IMG1" s="224"/>
      <c r="IMH1" s="224"/>
      <c r="IMI1" s="224"/>
      <c r="IMJ1" s="224"/>
      <c r="IMK1" s="224"/>
      <c r="IML1" s="224"/>
      <c r="IMM1" s="224"/>
      <c r="IMN1" s="224"/>
      <c r="IMO1" s="224"/>
      <c r="IMP1" s="224"/>
      <c r="IMQ1" s="224"/>
      <c r="IMR1" s="224"/>
      <c r="IMS1" s="224"/>
      <c r="IMT1" s="224"/>
      <c r="IMU1" s="224"/>
      <c r="IMV1" s="224"/>
      <c r="IMW1" s="224"/>
      <c r="IMX1" s="224"/>
      <c r="IMY1" s="224"/>
      <c r="IMZ1" s="224"/>
      <c r="INA1" s="224"/>
      <c r="INB1" s="224"/>
      <c r="INC1" s="224"/>
      <c r="IND1" s="224"/>
      <c r="INE1" s="224"/>
      <c r="INF1" s="224"/>
      <c r="ING1" s="224"/>
      <c r="INH1" s="224"/>
      <c r="INI1" s="224"/>
      <c r="INJ1" s="224"/>
      <c r="INK1" s="224"/>
      <c r="INL1" s="224"/>
      <c r="INM1" s="224"/>
      <c r="INN1" s="224"/>
      <c r="INO1" s="224"/>
      <c r="INP1" s="224"/>
      <c r="INQ1" s="224"/>
      <c r="INR1" s="224"/>
      <c r="INS1" s="224"/>
      <c r="INT1" s="224"/>
      <c r="INU1" s="224"/>
      <c r="INV1" s="224"/>
      <c r="INW1" s="224"/>
      <c r="INX1" s="224"/>
      <c r="INY1" s="224"/>
      <c r="INZ1" s="224"/>
      <c r="IOA1" s="224"/>
      <c r="IOB1" s="224"/>
      <c r="IOC1" s="224"/>
      <c r="IOD1" s="224"/>
      <c r="IOE1" s="224"/>
      <c r="IOF1" s="224"/>
      <c r="IOG1" s="224"/>
      <c r="IOH1" s="224"/>
      <c r="IOI1" s="224"/>
      <c r="IOJ1" s="224"/>
      <c r="IOK1" s="224"/>
      <c r="IOL1" s="224"/>
      <c r="IOM1" s="224"/>
      <c r="ION1" s="224"/>
      <c r="IOO1" s="224"/>
      <c r="IOP1" s="224"/>
      <c r="IOQ1" s="224"/>
      <c r="IOR1" s="224"/>
      <c r="IOS1" s="224"/>
      <c r="IOT1" s="224"/>
      <c r="IOU1" s="224"/>
      <c r="IOV1" s="224"/>
      <c r="IOW1" s="224"/>
      <c r="IOX1" s="224"/>
      <c r="IOY1" s="224"/>
      <c r="IOZ1" s="224"/>
      <c r="IPA1" s="224"/>
      <c r="IPB1" s="224"/>
      <c r="IPC1" s="224"/>
      <c r="IPD1" s="224"/>
      <c r="IPE1" s="224"/>
      <c r="IPF1" s="224"/>
      <c r="IPG1" s="224"/>
      <c r="IPH1" s="224"/>
      <c r="IPI1" s="224"/>
      <c r="IPJ1" s="224"/>
      <c r="IPK1" s="224"/>
      <c r="IPL1" s="224"/>
      <c r="IPM1" s="224"/>
      <c r="IPN1" s="224"/>
      <c r="IPO1" s="224"/>
      <c r="IPP1" s="224"/>
      <c r="IPQ1" s="224"/>
      <c r="IPR1" s="224"/>
      <c r="IPS1" s="224"/>
      <c r="IPT1" s="224"/>
      <c r="IPU1" s="224"/>
      <c r="IPV1" s="224"/>
      <c r="IPW1" s="224"/>
      <c r="IPX1" s="224"/>
      <c r="IPY1" s="224"/>
      <c r="IPZ1" s="224"/>
      <c r="IQA1" s="224"/>
      <c r="IQB1" s="224"/>
      <c r="IQC1" s="224"/>
      <c r="IQD1" s="224"/>
      <c r="IQE1" s="224"/>
      <c r="IQF1" s="224"/>
      <c r="IQG1" s="224"/>
      <c r="IQH1" s="224"/>
      <c r="IQI1" s="224"/>
      <c r="IQJ1" s="224"/>
      <c r="IQK1" s="224"/>
      <c r="IQL1" s="224"/>
      <c r="IQM1" s="224"/>
      <c r="IQN1" s="224"/>
      <c r="IQO1" s="224"/>
      <c r="IQP1" s="224"/>
      <c r="IQQ1" s="224"/>
      <c r="IQR1" s="224"/>
      <c r="IQS1" s="224"/>
      <c r="IQT1" s="224"/>
      <c r="IQU1" s="224"/>
      <c r="IQV1" s="224"/>
      <c r="IQW1" s="224"/>
      <c r="IQX1" s="224"/>
      <c r="IQY1" s="224"/>
      <c r="IQZ1" s="224"/>
      <c r="IRA1" s="224"/>
      <c r="IRB1" s="224"/>
      <c r="IRC1" s="224"/>
      <c r="IRD1" s="224"/>
      <c r="IRE1" s="224"/>
      <c r="IRF1" s="224"/>
      <c r="IRG1" s="224"/>
      <c r="IRH1" s="224"/>
      <c r="IRI1" s="224"/>
      <c r="IRJ1" s="224"/>
      <c r="IRK1" s="224"/>
      <c r="IRL1" s="224"/>
      <c r="IRM1" s="224"/>
      <c r="IRN1" s="224"/>
      <c r="IRO1" s="224"/>
      <c r="IRP1" s="224"/>
      <c r="IRQ1" s="224"/>
      <c r="IRR1" s="224"/>
      <c r="IRS1" s="224"/>
      <c r="IRT1" s="224"/>
      <c r="IRU1" s="224"/>
      <c r="IRV1" s="224"/>
      <c r="IRW1" s="224"/>
      <c r="IRX1" s="224"/>
      <c r="IRY1" s="224"/>
      <c r="IRZ1" s="224"/>
      <c r="ISA1" s="224"/>
      <c r="ISB1" s="224"/>
      <c r="ISC1" s="224"/>
      <c r="ISD1" s="224"/>
      <c r="ISE1" s="224"/>
      <c r="ISF1" s="224"/>
      <c r="ISG1" s="224"/>
      <c r="ISH1" s="224"/>
      <c r="ISI1" s="224"/>
      <c r="ISJ1" s="224"/>
      <c r="ISK1" s="224"/>
      <c r="ISL1" s="224"/>
      <c r="ISM1" s="224"/>
      <c r="ISN1" s="224"/>
      <c r="ISO1" s="224"/>
      <c r="ISP1" s="224"/>
      <c r="ISQ1" s="224"/>
      <c r="ISR1" s="224"/>
      <c r="ISS1" s="224"/>
      <c r="IST1" s="224"/>
      <c r="ISU1" s="224"/>
      <c r="ISV1" s="224"/>
      <c r="ISW1" s="224"/>
      <c r="ISX1" s="224"/>
      <c r="ISY1" s="224"/>
      <c r="ISZ1" s="224"/>
      <c r="ITA1" s="224"/>
      <c r="ITB1" s="224"/>
      <c r="ITC1" s="224"/>
      <c r="ITD1" s="224"/>
      <c r="ITE1" s="224"/>
      <c r="ITF1" s="224"/>
      <c r="ITG1" s="224"/>
      <c r="ITH1" s="224"/>
      <c r="ITI1" s="224"/>
      <c r="ITJ1" s="224"/>
      <c r="ITK1" s="224"/>
      <c r="ITL1" s="224"/>
      <c r="ITM1" s="224"/>
      <c r="ITN1" s="224"/>
      <c r="ITO1" s="224"/>
      <c r="ITP1" s="224"/>
      <c r="ITQ1" s="224"/>
      <c r="ITR1" s="224"/>
      <c r="ITS1" s="224"/>
      <c r="ITT1" s="224"/>
      <c r="ITU1" s="224"/>
      <c r="ITV1" s="224"/>
      <c r="ITW1" s="224"/>
      <c r="ITX1" s="224"/>
      <c r="ITY1" s="224"/>
      <c r="ITZ1" s="224"/>
      <c r="IUA1" s="224"/>
      <c r="IUB1" s="224"/>
      <c r="IUC1" s="224"/>
      <c r="IUD1" s="224"/>
      <c r="IUE1" s="224"/>
      <c r="IUF1" s="224"/>
      <c r="IUG1" s="224"/>
      <c r="IUH1" s="224"/>
      <c r="IUI1" s="224"/>
      <c r="IUJ1" s="224"/>
      <c r="IUK1" s="224"/>
      <c r="IUL1" s="224"/>
      <c r="IUM1" s="224"/>
      <c r="IUN1" s="224"/>
      <c r="IUO1" s="224"/>
      <c r="IUP1" s="224"/>
      <c r="IUQ1" s="224"/>
      <c r="IUR1" s="224"/>
      <c r="IUS1" s="224"/>
      <c r="IUT1" s="224"/>
      <c r="IUU1" s="224"/>
      <c r="IUV1" s="224"/>
      <c r="IUW1" s="224"/>
      <c r="IUX1" s="224"/>
      <c r="IUY1" s="224"/>
      <c r="IUZ1" s="224"/>
      <c r="IVA1" s="224"/>
      <c r="IVB1" s="224"/>
      <c r="IVC1" s="224"/>
      <c r="IVD1" s="224"/>
      <c r="IVE1" s="224"/>
      <c r="IVF1" s="224"/>
      <c r="IVG1" s="224"/>
      <c r="IVH1" s="224"/>
      <c r="IVI1" s="224"/>
      <c r="IVJ1" s="224"/>
      <c r="IVK1" s="224"/>
      <c r="IVL1" s="224"/>
      <c r="IVM1" s="224"/>
      <c r="IVN1" s="224"/>
      <c r="IVO1" s="224"/>
      <c r="IVP1" s="224"/>
      <c r="IVQ1" s="224"/>
      <c r="IVR1" s="224"/>
      <c r="IVS1" s="224"/>
      <c r="IVT1" s="224"/>
      <c r="IVU1" s="224"/>
      <c r="IVV1" s="224"/>
      <c r="IVW1" s="224"/>
      <c r="IVX1" s="224"/>
      <c r="IVY1" s="224"/>
      <c r="IVZ1" s="224"/>
      <c r="IWA1" s="224"/>
      <c r="IWB1" s="224"/>
      <c r="IWC1" s="224"/>
      <c r="IWD1" s="224"/>
      <c r="IWE1" s="224"/>
      <c r="IWF1" s="224"/>
      <c r="IWG1" s="224"/>
      <c r="IWH1" s="224"/>
      <c r="IWI1" s="224"/>
      <c r="IWJ1" s="224"/>
      <c r="IWK1" s="224"/>
      <c r="IWL1" s="224"/>
      <c r="IWM1" s="224"/>
      <c r="IWN1" s="224"/>
      <c r="IWO1" s="224"/>
      <c r="IWP1" s="224"/>
      <c r="IWQ1" s="224"/>
      <c r="IWR1" s="224"/>
      <c r="IWS1" s="224"/>
      <c r="IWT1" s="224"/>
      <c r="IWU1" s="224"/>
      <c r="IWV1" s="224"/>
      <c r="IWW1" s="224"/>
      <c r="IWX1" s="224"/>
      <c r="IWY1" s="224"/>
      <c r="IWZ1" s="224"/>
      <c r="IXA1" s="224"/>
      <c r="IXB1" s="224"/>
      <c r="IXC1" s="224"/>
      <c r="IXD1" s="224"/>
      <c r="IXE1" s="224"/>
      <c r="IXF1" s="224"/>
      <c r="IXG1" s="224"/>
      <c r="IXH1" s="224"/>
      <c r="IXI1" s="224"/>
      <c r="IXJ1" s="224"/>
      <c r="IXK1" s="224"/>
      <c r="IXL1" s="224"/>
      <c r="IXM1" s="224"/>
      <c r="IXN1" s="224"/>
      <c r="IXO1" s="224"/>
      <c r="IXP1" s="224"/>
      <c r="IXQ1" s="224"/>
      <c r="IXR1" s="224"/>
      <c r="IXS1" s="224"/>
      <c r="IXT1" s="224"/>
      <c r="IXU1" s="224"/>
      <c r="IXV1" s="224"/>
      <c r="IXW1" s="224"/>
      <c r="IXX1" s="224"/>
      <c r="IXY1" s="224"/>
      <c r="IXZ1" s="224"/>
      <c r="IYA1" s="224"/>
      <c r="IYB1" s="224"/>
      <c r="IYC1" s="224"/>
      <c r="IYD1" s="224"/>
      <c r="IYE1" s="224"/>
      <c r="IYF1" s="224"/>
      <c r="IYG1" s="224"/>
      <c r="IYH1" s="224"/>
      <c r="IYI1" s="224"/>
      <c r="IYJ1" s="224"/>
      <c r="IYK1" s="224"/>
      <c r="IYL1" s="224"/>
      <c r="IYM1" s="224"/>
      <c r="IYN1" s="224"/>
      <c r="IYO1" s="224"/>
      <c r="IYP1" s="224"/>
      <c r="IYQ1" s="224"/>
      <c r="IYR1" s="224"/>
      <c r="IYS1" s="224"/>
      <c r="IYT1" s="224"/>
      <c r="IYU1" s="224"/>
      <c r="IYV1" s="224"/>
      <c r="IYW1" s="224"/>
      <c r="IYX1" s="224"/>
      <c r="IYY1" s="224"/>
      <c r="IYZ1" s="224"/>
      <c r="IZA1" s="224"/>
      <c r="IZB1" s="224"/>
      <c r="IZC1" s="224"/>
      <c r="IZD1" s="224"/>
      <c r="IZE1" s="224"/>
      <c r="IZF1" s="224"/>
      <c r="IZG1" s="224"/>
      <c r="IZH1" s="224"/>
      <c r="IZI1" s="224"/>
      <c r="IZJ1" s="224"/>
      <c r="IZK1" s="224"/>
      <c r="IZL1" s="224"/>
      <c r="IZM1" s="224"/>
      <c r="IZN1" s="224"/>
      <c r="IZO1" s="224"/>
      <c r="IZP1" s="224"/>
      <c r="IZQ1" s="224"/>
      <c r="IZR1" s="224"/>
      <c r="IZS1" s="224"/>
      <c r="IZT1" s="224"/>
      <c r="IZU1" s="224"/>
      <c r="IZV1" s="224"/>
      <c r="IZW1" s="224"/>
      <c r="IZX1" s="224"/>
      <c r="IZY1" s="224"/>
      <c r="IZZ1" s="224"/>
      <c r="JAA1" s="224"/>
      <c r="JAB1" s="224"/>
      <c r="JAC1" s="224"/>
      <c r="JAD1" s="224"/>
      <c r="JAE1" s="224"/>
      <c r="JAF1" s="224"/>
      <c r="JAG1" s="224"/>
      <c r="JAH1" s="224"/>
      <c r="JAI1" s="224"/>
      <c r="JAJ1" s="224"/>
      <c r="JAK1" s="224"/>
      <c r="JAL1" s="224"/>
      <c r="JAM1" s="224"/>
      <c r="JAN1" s="224"/>
      <c r="JAO1" s="224"/>
      <c r="JAP1" s="224"/>
      <c r="JAQ1" s="224"/>
      <c r="JAR1" s="224"/>
      <c r="JAS1" s="224"/>
      <c r="JAT1" s="224"/>
      <c r="JAU1" s="224"/>
      <c r="JAV1" s="224"/>
      <c r="JAW1" s="224"/>
      <c r="JAX1" s="224"/>
      <c r="JAY1" s="224"/>
      <c r="JAZ1" s="224"/>
      <c r="JBA1" s="224"/>
      <c r="JBB1" s="224"/>
      <c r="JBC1" s="224"/>
      <c r="JBD1" s="224"/>
      <c r="JBE1" s="224"/>
      <c r="JBF1" s="224"/>
      <c r="JBG1" s="224"/>
      <c r="JBH1" s="224"/>
      <c r="JBI1" s="224"/>
      <c r="JBJ1" s="224"/>
      <c r="JBK1" s="224"/>
      <c r="JBL1" s="224"/>
      <c r="JBM1" s="224"/>
      <c r="JBN1" s="224"/>
      <c r="JBO1" s="224"/>
      <c r="JBP1" s="224"/>
      <c r="JBQ1" s="224"/>
      <c r="JBR1" s="224"/>
      <c r="JBS1" s="224"/>
      <c r="JBT1" s="224"/>
      <c r="JBU1" s="224"/>
      <c r="JBV1" s="224"/>
      <c r="JBW1" s="224"/>
      <c r="JBX1" s="224"/>
      <c r="JBY1" s="224"/>
      <c r="JBZ1" s="224"/>
      <c r="JCA1" s="224"/>
      <c r="JCB1" s="224"/>
      <c r="JCC1" s="224"/>
      <c r="JCD1" s="224"/>
      <c r="JCE1" s="224"/>
      <c r="JCF1" s="224"/>
      <c r="JCG1" s="224"/>
      <c r="JCH1" s="224"/>
      <c r="JCI1" s="224"/>
      <c r="JCJ1" s="224"/>
      <c r="JCK1" s="224"/>
      <c r="JCL1" s="224"/>
      <c r="JCM1" s="224"/>
      <c r="JCN1" s="224"/>
      <c r="JCO1" s="224"/>
      <c r="JCP1" s="224"/>
      <c r="JCQ1" s="224"/>
      <c r="JCR1" s="224"/>
      <c r="JCS1" s="224"/>
      <c r="JCT1" s="224"/>
      <c r="JCU1" s="224"/>
      <c r="JCV1" s="224"/>
      <c r="JCW1" s="224"/>
      <c r="JCX1" s="224"/>
      <c r="JCY1" s="224"/>
      <c r="JCZ1" s="224"/>
      <c r="JDA1" s="224"/>
      <c r="JDB1" s="224"/>
      <c r="JDC1" s="224"/>
      <c r="JDD1" s="224"/>
      <c r="JDE1" s="224"/>
      <c r="JDF1" s="224"/>
      <c r="JDG1" s="224"/>
      <c r="JDH1" s="224"/>
      <c r="JDI1" s="224"/>
      <c r="JDJ1" s="224"/>
      <c r="JDK1" s="224"/>
      <c r="JDL1" s="224"/>
      <c r="JDM1" s="224"/>
      <c r="JDN1" s="224"/>
      <c r="JDO1" s="224"/>
      <c r="JDP1" s="224"/>
      <c r="JDQ1" s="224"/>
      <c r="JDR1" s="224"/>
      <c r="JDS1" s="224"/>
      <c r="JDT1" s="224"/>
      <c r="JDU1" s="224"/>
      <c r="JDV1" s="224"/>
      <c r="JDW1" s="224"/>
      <c r="JDX1" s="224"/>
      <c r="JDY1" s="224"/>
      <c r="JDZ1" s="224"/>
      <c r="JEA1" s="224"/>
      <c r="JEB1" s="224"/>
      <c r="JEC1" s="224"/>
      <c r="JED1" s="224"/>
      <c r="JEE1" s="224"/>
      <c r="JEF1" s="224"/>
      <c r="JEG1" s="224"/>
      <c r="JEH1" s="224"/>
      <c r="JEI1" s="224"/>
      <c r="JEJ1" s="224"/>
      <c r="JEK1" s="224"/>
      <c r="JEL1" s="224"/>
      <c r="JEM1" s="224"/>
      <c r="JEN1" s="224"/>
      <c r="JEO1" s="224"/>
      <c r="JEP1" s="224"/>
      <c r="JEQ1" s="224"/>
      <c r="JER1" s="224"/>
      <c r="JES1" s="224"/>
      <c r="JET1" s="224"/>
      <c r="JEU1" s="224"/>
      <c r="JEV1" s="224"/>
      <c r="JEW1" s="224"/>
      <c r="JEX1" s="224"/>
      <c r="JEY1" s="224"/>
      <c r="JEZ1" s="224"/>
      <c r="JFA1" s="224"/>
      <c r="JFB1" s="224"/>
      <c r="JFC1" s="224"/>
      <c r="JFD1" s="224"/>
      <c r="JFE1" s="224"/>
      <c r="JFF1" s="224"/>
      <c r="JFG1" s="224"/>
      <c r="JFH1" s="224"/>
      <c r="JFI1" s="224"/>
      <c r="JFJ1" s="224"/>
      <c r="JFK1" s="224"/>
      <c r="JFL1" s="224"/>
      <c r="JFM1" s="224"/>
      <c r="JFN1" s="224"/>
      <c r="JFO1" s="224"/>
      <c r="JFP1" s="224"/>
      <c r="JFQ1" s="224"/>
      <c r="JFR1" s="224"/>
      <c r="JFS1" s="224"/>
      <c r="JFT1" s="224"/>
      <c r="JFU1" s="224"/>
      <c r="JFV1" s="224"/>
      <c r="JFW1" s="224"/>
      <c r="JFX1" s="224"/>
      <c r="JFY1" s="224"/>
      <c r="JFZ1" s="224"/>
      <c r="JGA1" s="224"/>
      <c r="JGB1" s="224"/>
      <c r="JGC1" s="224"/>
      <c r="JGD1" s="224"/>
      <c r="JGE1" s="224"/>
      <c r="JGF1" s="224"/>
      <c r="JGG1" s="224"/>
      <c r="JGH1" s="224"/>
      <c r="JGI1" s="224"/>
      <c r="JGJ1" s="224"/>
      <c r="JGK1" s="224"/>
      <c r="JGL1" s="224"/>
      <c r="JGM1" s="224"/>
      <c r="JGN1" s="224"/>
      <c r="JGO1" s="224"/>
      <c r="JGP1" s="224"/>
      <c r="JGQ1" s="224"/>
      <c r="JGR1" s="224"/>
      <c r="JGS1" s="224"/>
      <c r="JGT1" s="224"/>
      <c r="JGU1" s="224"/>
      <c r="JGV1" s="224"/>
      <c r="JGW1" s="224"/>
      <c r="JGX1" s="224"/>
      <c r="JGY1" s="224"/>
      <c r="JGZ1" s="224"/>
      <c r="JHA1" s="224"/>
      <c r="JHB1" s="224"/>
      <c r="JHC1" s="224"/>
      <c r="JHD1" s="224"/>
      <c r="JHE1" s="224"/>
      <c r="JHF1" s="224"/>
      <c r="JHG1" s="224"/>
      <c r="JHH1" s="224"/>
      <c r="JHI1" s="224"/>
      <c r="JHJ1" s="224"/>
      <c r="JHK1" s="224"/>
      <c r="JHL1" s="224"/>
      <c r="JHM1" s="224"/>
      <c r="JHN1" s="224"/>
      <c r="JHO1" s="224"/>
      <c r="JHP1" s="224"/>
      <c r="JHQ1" s="224"/>
      <c r="JHR1" s="224"/>
      <c r="JHS1" s="224"/>
      <c r="JHT1" s="224"/>
      <c r="JHU1" s="224"/>
      <c r="JHV1" s="224"/>
      <c r="JHW1" s="224"/>
      <c r="JHX1" s="224"/>
      <c r="JHY1" s="224"/>
      <c r="JHZ1" s="224"/>
      <c r="JIA1" s="224"/>
      <c r="JIB1" s="224"/>
      <c r="JIC1" s="224"/>
      <c r="JID1" s="224"/>
      <c r="JIE1" s="224"/>
      <c r="JIF1" s="224"/>
      <c r="JIG1" s="224"/>
      <c r="JIH1" s="224"/>
      <c r="JII1" s="224"/>
      <c r="JIJ1" s="224"/>
      <c r="JIK1" s="224"/>
      <c r="JIL1" s="224"/>
      <c r="JIM1" s="224"/>
      <c r="JIN1" s="224"/>
      <c r="JIO1" s="224"/>
      <c r="JIP1" s="224"/>
      <c r="JIQ1" s="224"/>
      <c r="JIR1" s="224"/>
      <c r="JIS1" s="224"/>
      <c r="JIT1" s="224"/>
      <c r="JIU1" s="224"/>
      <c r="JIV1" s="224"/>
      <c r="JIW1" s="224"/>
      <c r="JIX1" s="224"/>
      <c r="JIY1" s="224"/>
      <c r="JIZ1" s="224"/>
      <c r="JJA1" s="224"/>
      <c r="JJB1" s="224"/>
      <c r="JJC1" s="224"/>
      <c r="JJD1" s="224"/>
      <c r="JJE1" s="224"/>
      <c r="JJF1" s="224"/>
      <c r="JJG1" s="224"/>
      <c r="JJH1" s="224"/>
      <c r="JJI1" s="224"/>
      <c r="JJJ1" s="224"/>
      <c r="JJK1" s="224"/>
      <c r="JJL1" s="224"/>
      <c r="JJM1" s="224"/>
      <c r="JJN1" s="224"/>
      <c r="JJO1" s="224"/>
      <c r="JJP1" s="224"/>
      <c r="JJQ1" s="224"/>
      <c r="JJR1" s="224"/>
      <c r="JJS1" s="224"/>
      <c r="JJT1" s="224"/>
      <c r="JJU1" s="224"/>
      <c r="JJV1" s="224"/>
      <c r="JJW1" s="224"/>
      <c r="JJX1" s="224"/>
      <c r="JJY1" s="224"/>
      <c r="JJZ1" s="224"/>
      <c r="JKA1" s="224"/>
      <c r="JKB1" s="224"/>
      <c r="JKC1" s="224"/>
      <c r="JKD1" s="224"/>
      <c r="JKE1" s="224"/>
      <c r="JKF1" s="224"/>
      <c r="JKG1" s="224"/>
      <c r="JKH1" s="224"/>
      <c r="JKI1" s="224"/>
      <c r="JKJ1" s="224"/>
      <c r="JKK1" s="224"/>
      <c r="JKL1" s="224"/>
      <c r="JKM1" s="224"/>
      <c r="JKN1" s="224"/>
      <c r="JKO1" s="224"/>
      <c r="JKP1" s="224"/>
      <c r="JKQ1" s="224"/>
      <c r="JKR1" s="224"/>
      <c r="JKS1" s="224"/>
      <c r="JKT1" s="224"/>
      <c r="JKU1" s="224"/>
      <c r="JKV1" s="224"/>
      <c r="JKW1" s="224"/>
      <c r="JKX1" s="224"/>
      <c r="JKY1" s="224"/>
      <c r="JKZ1" s="224"/>
      <c r="JLA1" s="224"/>
      <c r="JLB1" s="224"/>
      <c r="JLC1" s="224"/>
      <c r="JLD1" s="224"/>
      <c r="JLE1" s="224"/>
      <c r="JLF1" s="224"/>
      <c r="JLG1" s="224"/>
      <c r="JLH1" s="224"/>
      <c r="JLI1" s="224"/>
      <c r="JLJ1" s="224"/>
      <c r="JLK1" s="224"/>
      <c r="JLL1" s="224"/>
      <c r="JLM1" s="224"/>
      <c r="JLN1" s="224"/>
      <c r="JLO1" s="224"/>
      <c r="JLP1" s="224"/>
      <c r="JLQ1" s="224"/>
      <c r="JLR1" s="224"/>
      <c r="JLS1" s="224"/>
      <c r="JLT1" s="224"/>
      <c r="JLU1" s="224"/>
      <c r="JLV1" s="224"/>
      <c r="JLW1" s="224"/>
      <c r="JLX1" s="224"/>
      <c r="JLY1" s="224"/>
      <c r="JLZ1" s="224"/>
      <c r="JMA1" s="224"/>
      <c r="JMB1" s="224"/>
      <c r="JMC1" s="224"/>
      <c r="JMD1" s="224"/>
      <c r="JME1" s="224"/>
      <c r="JMF1" s="224"/>
      <c r="JMG1" s="224"/>
      <c r="JMH1" s="224"/>
      <c r="JMI1" s="224"/>
      <c r="JMJ1" s="224"/>
      <c r="JMK1" s="224"/>
      <c r="JML1" s="224"/>
      <c r="JMM1" s="224"/>
      <c r="JMN1" s="224"/>
      <c r="JMO1" s="224"/>
      <c r="JMP1" s="224"/>
      <c r="JMQ1" s="224"/>
      <c r="JMR1" s="224"/>
      <c r="JMS1" s="224"/>
      <c r="JMT1" s="224"/>
      <c r="JMU1" s="224"/>
      <c r="JMV1" s="224"/>
      <c r="JMW1" s="224"/>
      <c r="JMX1" s="224"/>
      <c r="JMY1" s="224"/>
      <c r="JMZ1" s="224"/>
      <c r="JNA1" s="224"/>
      <c r="JNB1" s="224"/>
      <c r="JNC1" s="224"/>
      <c r="JND1" s="224"/>
      <c r="JNE1" s="224"/>
      <c r="JNF1" s="224"/>
      <c r="JNG1" s="224"/>
      <c r="JNH1" s="224"/>
      <c r="JNI1" s="224"/>
      <c r="JNJ1" s="224"/>
      <c r="JNK1" s="224"/>
      <c r="JNL1" s="224"/>
      <c r="JNM1" s="224"/>
      <c r="JNN1" s="224"/>
      <c r="JNO1" s="224"/>
      <c r="JNP1" s="224"/>
      <c r="JNQ1" s="224"/>
      <c r="JNR1" s="224"/>
      <c r="JNS1" s="224"/>
      <c r="JNT1" s="224"/>
      <c r="JNU1" s="224"/>
      <c r="JNV1" s="224"/>
      <c r="JNW1" s="224"/>
      <c r="JNX1" s="224"/>
      <c r="JNY1" s="224"/>
      <c r="JNZ1" s="224"/>
      <c r="JOA1" s="224"/>
      <c r="JOB1" s="224"/>
      <c r="JOC1" s="224"/>
      <c r="JOD1" s="224"/>
      <c r="JOE1" s="224"/>
      <c r="JOF1" s="224"/>
      <c r="JOG1" s="224"/>
      <c r="JOH1" s="224"/>
      <c r="JOI1" s="224"/>
      <c r="JOJ1" s="224"/>
      <c r="JOK1" s="224"/>
      <c r="JOL1" s="224"/>
      <c r="JOM1" s="224"/>
      <c r="JON1" s="224"/>
      <c r="JOO1" s="224"/>
      <c r="JOP1" s="224"/>
      <c r="JOQ1" s="224"/>
      <c r="JOR1" s="224"/>
      <c r="JOS1" s="224"/>
      <c r="JOT1" s="224"/>
      <c r="JOU1" s="224"/>
      <c r="JOV1" s="224"/>
      <c r="JOW1" s="224"/>
      <c r="JOX1" s="224"/>
      <c r="JOY1" s="224"/>
      <c r="JOZ1" s="224"/>
      <c r="JPA1" s="224"/>
      <c r="JPB1" s="224"/>
      <c r="JPC1" s="224"/>
      <c r="JPD1" s="224"/>
      <c r="JPE1" s="224"/>
      <c r="JPF1" s="224"/>
      <c r="JPG1" s="224"/>
      <c r="JPH1" s="224"/>
      <c r="JPI1" s="224"/>
      <c r="JPJ1" s="224"/>
      <c r="JPK1" s="224"/>
      <c r="JPL1" s="224"/>
      <c r="JPM1" s="224"/>
      <c r="JPN1" s="224"/>
      <c r="JPO1" s="224"/>
      <c r="JPP1" s="224"/>
      <c r="JPQ1" s="224"/>
      <c r="JPR1" s="224"/>
      <c r="JPS1" s="224"/>
      <c r="JPT1" s="224"/>
      <c r="JPU1" s="224"/>
      <c r="JPV1" s="224"/>
      <c r="JPW1" s="224"/>
      <c r="JPX1" s="224"/>
      <c r="JPY1" s="224"/>
      <c r="JPZ1" s="224"/>
      <c r="JQA1" s="224"/>
      <c r="JQB1" s="224"/>
      <c r="JQC1" s="224"/>
      <c r="JQD1" s="224"/>
      <c r="JQE1" s="224"/>
      <c r="JQF1" s="224"/>
      <c r="JQG1" s="224"/>
      <c r="JQH1" s="224"/>
      <c r="JQI1" s="224"/>
      <c r="JQJ1" s="224"/>
      <c r="JQK1" s="224"/>
      <c r="JQL1" s="224"/>
      <c r="JQM1" s="224"/>
      <c r="JQN1" s="224"/>
      <c r="JQO1" s="224"/>
      <c r="JQP1" s="224"/>
      <c r="JQQ1" s="224"/>
      <c r="JQR1" s="224"/>
      <c r="JQS1" s="224"/>
      <c r="JQT1" s="224"/>
      <c r="JQU1" s="224"/>
      <c r="JQV1" s="224"/>
      <c r="JQW1" s="224"/>
      <c r="JQX1" s="224"/>
      <c r="JQY1" s="224"/>
      <c r="JQZ1" s="224"/>
      <c r="JRA1" s="224"/>
      <c r="JRB1" s="224"/>
      <c r="JRC1" s="224"/>
      <c r="JRD1" s="224"/>
      <c r="JRE1" s="224"/>
      <c r="JRF1" s="224"/>
      <c r="JRG1" s="224"/>
      <c r="JRH1" s="224"/>
      <c r="JRI1" s="224"/>
      <c r="JRJ1" s="224"/>
      <c r="JRK1" s="224"/>
      <c r="JRL1" s="224"/>
      <c r="JRM1" s="224"/>
      <c r="JRN1" s="224"/>
      <c r="JRO1" s="224"/>
      <c r="JRP1" s="224"/>
      <c r="JRQ1" s="224"/>
      <c r="JRR1" s="224"/>
      <c r="JRS1" s="224"/>
      <c r="JRT1" s="224"/>
      <c r="JRU1" s="224"/>
      <c r="JRV1" s="224"/>
      <c r="JRW1" s="224"/>
      <c r="JRX1" s="224"/>
      <c r="JRY1" s="224"/>
      <c r="JRZ1" s="224"/>
      <c r="JSA1" s="224"/>
      <c r="JSB1" s="224"/>
      <c r="JSC1" s="224"/>
      <c r="JSD1" s="224"/>
      <c r="JSE1" s="224"/>
      <c r="JSF1" s="224"/>
      <c r="JSG1" s="224"/>
      <c r="JSH1" s="224"/>
      <c r="JSI1" s="224"/>
      <c r="JSJ1" s="224"/>
      <c r="JSK1" s="224"/>
      <c r="JSL1" s="224"/>
      <c r="JSM1" s="224"/>
      <c r="JSN1" s="224"/>
      <c r="JSO1" s="224"/>
      <c r="JSP1" s="224"/>
      <c r="JSQ1" s="224"/>
      <c r="JSR1" s="224"/>
      <c r="JSS1" s="224"/>
      <c r="JST1" s="224"/>
      <c r="JSU1" s="224"/>
      <c r="JSV1" s="224"/>
      <c r="JSW1" s="224"/>
      <c r="JSX1" s="224"/>
      <c r="JSY1" s="224"/>
      <c r="JSZ1" s="224"/>
      <c r="JTA1" s="224"/>
      <c r="JTB1" s="224"/>
      <c r="JTC1" s="224"/>
      <c r="JTD1" s="224"/>
      <c r="JTE1" s="224"/>
      <c r="JTF1" s="224"/>
      <c r="JTG1" s="224"/>
      <c r="JTH1" s="224"/>
      <c r="JTI1" s="224"/>
      <c r="JTJ1" s="224"/>
      <c r="JTK1" s="224"/>
      <c r="JTL1" s="224"/>
      <c r="JTM1" s="224"/>
      <c r="JTN1" s="224"/>
      <c r="JTO1" s="224"/>
      <c r="JTP1" s="224"/>
      <c r="JTQ1" s="224"/>
      <c r="JTR1" s="224"/>
      <c r="JTS1" s="224"/>
      <c r="JTT1" s="224"/>
      <c r="JTU1" s="224"/>
      <c r="JTV1" s="224"/>
      <c r="JTW1" s="224"/>
      <c r="JTX1" s="224"/>
      <c r="JTY1" s="224"/>
      <c r="JTZ1" s="224"/>
      <c r="JUA1" s="224"/>
      <c r="JUB1" s="224"/>
      <c r="JUC1" s="224"/>
      <c r="JUD1" s="224"/>
      <c r="JUE1" s="224"/>
      <c r="JUF1" s="224"/>
      <c r="JUG1" s="224"/>
      <c r="JUH1" s="224"/>
      <c r="JUI1" s="224"/>
      <c r="JUJ1" s="224"/>
      <c r="JUK1" s="224"/>
      <c r="JUL1" s="224"/>
      <c r="JUM1" s="224"/>
      <c r="JUN1" s="224"/>
      <c r="JUO1" s="224"/>
      <c r="JUP1" s="224"/>
      <c r="JUQ1" s="224"/>
      <c r="JUR1" s="224"/>
      <c r="JUS1" s="224"/>
      <c r="JUT1" s="224"/>
      <c r="JUU1" s="224"/>
      <c r="JUV1" s="224"/>
      <c r="JUW1" s="224"/>
      <c r="JUX1" s="224"/>
      <c r="JUY1" s="224"/>
      <c r="JUZ1" s="224"/>
      <c r="JVA1" s="224"/>
      <c r="JVB1" s="224"/>
      <c r="JVC1" s="224"/>
      <c r="JVD1" s="224"/>
      <c r="JVE1" s="224"/>
      <c r="JVF1" s="224"/>
      <c r="JVG1" s="224"/>
      <c r="JVH1" s="224"/>
      <c r="JVI1" s="224"/>
      <c r="JVJ1" s="224"/>
      <c r="JVK1" s="224"/>
      <c r="JVL1" s="224"/>
      <c r="JVM1" s="224"/>
      <c r="JVN1" s="224"/>
      <c r="JVO1" s="224"/>
      <c r="JVP1" s="224"/>
      <c r="JVQ1" s="224"/>
      <c r="JVR1" s="224"/>
      <c r="JVS1" s="224"/>
      <c r="JVT1" s="224"/>
      <c r="JVU1" s="224"/>
      <c r="JVV1" s="224"/>
      <c r="JVW1" s="224"/>
      <c r="JVX1" s="224"/>
      <c r="JVY1" s="224"/>
      <c r="JVZ1" s="224"/>
      <c r="JWA1" s="224"/>
      <c r="JWB1" s="224"/>
      <c r="JWC1" s="224"/>
      <c r="JWD1" s="224"/>
      <c r="JWE1" s="224"/>
      <c r="JWF1" s="224"/>
      <c r="JWG1" s="224"/>
      <c r="JWH1" s="224"/>
      <c r="JWI1" s="224"/>
      <c r="JWJ1" s="224"/>
      <c r="JWK1" s="224"/>
      <c r="JWL1" s="224"/>
      <c r="JWM1" s="224"/>
      <c r="JWN1" s="224"/>
      <c r="JWO1" s="224"/>
      <c r="JWP1" s="224"/>
      <c r="JWQ1" s="224"/>
      <c r="JWR1" s="224"/>
      <c r="JWS1" s="224"/>
      <c r="JWT1" s="224"/>
      <c r="JWU1" s="224"/>
      <c r="JWV1" s="224"/>
      <c r="JWW1" s="224"/>
      <c r="JWX1" s="224"/>
      <c r="JWY1" s="224"/>
      <c r="JWZ1" s="224"/>
      <c r="JXA1" s="224"/>
      <c r="JXB1" s="224"/>
      <c r="JXC1" s="224"/>
      <c r="JXD1" s="224"/>
      <c r="JXE1" s="224"/>
      <c r="JXF1" s="224"/>
      <c r="JXG1" s="224"/>
      <c r="JXH1" s="224"/>
      <c r="JXI1" s="224"/>
      <c r="JXJ1" s="224"/>
      <c r="JXK1" s="224"/>
      <c r="JXL1" s="224"/>
      <c r="JXM1" s="224"/>
      <c r="JXN1" s="224"/>
      <c r="JXO1" s="224"/>
      <c r="JXP1" s="224"/>
      <c r="JXQ1" s="224"/>
      <c r="JXR1" s="224"/>
      <c r="JXS1" s="224"/>
      <c r="JXT1" s="224"/>
      <c r="JXU1" s="224"/>
      <c r="JXV1" s="224"/>
      <c r="JXW1" s="224"/>
      <c r="JXX1" s="224"/>
      <c r="JXY1" s="224"/>
      <c r="JXZ1" s="224"/>
      <c r="JYA1" s="224"/>
      <c r="JYB1" s="224"/>
      <c r="JYC1" s="224"/>
      <c r="JYD1" s="224"/>
      <c r="JYE1" s="224"/>
      <c r="JYF1" s="224"/>
      <c r="JYG1" s="224"/>
      <c r="JYH1" s="224"/>
      <c r="JYI1" s="224"/>
      <c r="JYJ1" s="224"/>
      <c r="JYK1" s="224"/>
      <c r="JYL1" s="224"/>
      <c r="JYM1" s="224"/>
      <c r="JYN1" s="224"/>
      <c r="JYO1" s="224"/>
      <c r="JYP1" s="224"/>
      <c r="JYQ1" s="224"/>
      <c r="JYR1" s="224"/>
      <c r="JYS1" s="224"/>
      <c r="JYT1" s="224"/>
      <c r="JYU1" s="224"/>
      <c r="JYV1" s="224"/>
      <c r="JYW1" s="224"/>
      <c r="JYX1" s="224"/>
      <c r="JYY1" s="224"/>
      <c r="JYZ1" s="224"/>
      <c r="JZA1" s="224"/>
      <c r="JZB1" s="224"/>
      <c r="JZC1" s="224"/>
      <c r="JZD1" s="224"/>
      <c r="JZE1" s="224"/>
      <c r="JZF1" s="224"/>
      <c r="JZG1" s="224"/>
      <c r="JZH1" s="224"/>
      <c r="JZI1" s="224"/>
      <c r="JZJ1" s="224"/>
      <c r="JZK1" s="224"/>
      <c r="JZL1" s="224"/>
      <c r="JZM1" s="224"/>
      <c r="JZN1" s="224"/>
      <c r="JZO1" s="224"/>
      <c r="JZP1" s="224"/>
      <c r="JZQ1" s="224"/>
      <c r="JZR1" s="224"/>
      <c r="JZS1" s="224"/>
      <c r="JZT1" s="224"/>
      <c r="JZU1" s="224"/>
      <c r="JZV1" s="224"/>
      <c r="JZW1" s="224"/>
      <c r="JZX1" s="224"/>
      <c r="JZY1" s="224"/>
      <c r="JZZ1" s="224"/>
      <c r="KAA1" s="224"/>
      <c r="KAB1" s="224"/>
      <c r="KAC1" s="224"/>
      <c r="KAD1" s="224"/>
      <c r="KAE1" s="224"/>
      <c r="KAF1" s="224"/>
      <c r="KAG1" s="224"/>
      <c r="KAH1" s="224"/>
      <c r="KAI1" s="224"/>
      <c r="KAJ1" s="224"/>
      <c r="KAK1" s="224"/>
      <c r="KAL1" s="224"/>
      <c r="KAM1" s="224"/>
      <c r="KAN1" s="224"/>
      <c r="KAO1" s="224"/>
      <c r="KAP1" s="224"/>
      <c r="KAQ1" s="224"/>
      <c r="KAR1" s="224"/>
      <c r="KAS1" s="224"/>
      <c r="KAT1" s="224"/>
      <c r="KAU1" s="224"/>
      <c r="KAV1" s="224"/>
      <c r="KAW1" s="224"/>
      <c r="KAX1" s="224"/>
      <c r="KAY1" s="224"/>
      <c r="KAZ1" s="224"/>
      <c r="KBA1" s="224"/>
      <c r="KBB1" s="224"/>
      <c r="KBC1" s="224"/>
      <c r="KBD1" s="224"/>
      <c r="KBE1" s="224"/>
      <c r="KBF1" s="224"/>
      <c r="KBG1" s="224"/>
      <c r="KBH1" s="224"/>
      <c r="KBI1" s="224"/>
      <c r="KBJ1" s="224"/>
      <c r="KBK1" s="224"/>
      <c r="KBL1" s="224"/>
      <c r="KBM1" s="224"/>
      <c r="KBN1" s="224"/>
      <c r="KBO1" s="224"/>
      <c r="KBP1" s="224"/>
      <c r="KBQ1" s="224"/>
      <c r="KBR1" s="224"/>
      <c r="KBS1" s="224"/>
      <c r="KBT1" s="224"/>
      <c r="KBU1" s="224"/>
      <c r="KBV1" s="224"/>
      <c r="KBW1" s="224"/>
      <c r="KBX1" s="224"/>
      <c r="KBY1" s="224"/>
      <c r="KBZ1" s="224"/>
      <c r="KCA1" s="224"/>
      <c r="KCB1" s="224"/>
      <c r="KCC1" s="224"/>
      <c r="KCD1" s="224"/>
      <c r="KCE1" s="224"/>
      <c r="KCF1" s="224"/>
      <c r="KCG1" s="224"/>
      <c r="KCH1" s="224"/>
      <c r="KCI1" s="224"/>
      <c r="KCJ1" s="224"/>
      <c r="KCK1" s="224"/>
      <c r="KCL1" s="224"/>
      <c r="KCM1" s="224"/>
      <c r="KCN1" s="224"/>
      <c r="KCO1" s="224"/>
      <c r="KCP1" s="224"/>
      <c r="KCQ1" s="224"/>
      <c r="KCR1" s="224"/>
      <c r="KCS1" s="224"/>
      <c r="KCT1" s="224"/>
      <c r="KCU1" s="224"/>
      <c r="KCV1" s="224"/>
      <c r="KCW1" s="224"/>
      <c r="KCX1" s="224"/>
      <c r="KCY1" s="224"/>
      <c r="KCZ1" s="224"/>
      <c r="KDA1" s="224"/>
      <c r="KDB1" s="224"/>
      <c r="KDC1" s="224"/>
      <c r="KDD1" s="224"/>
      <c r="KDE1" s="224"/>
      <c r="KDF1" s="224"/>
      <c r="KDG1" s="224"/>
      <c r="KDH1" s="224"/>
      <c r="KDI1" s="224"/>
      <c r="KDJ1" s="224"/>
      <c r="KDK1" s="224"/>
      <c r="KDL1" s="224"/>
      <c r="KDM1" s="224"/>
      <c r="KDN1" s="224"/>
      <c r="KDO1" s="224"/>
      <c r="KDP1" s="224"/>
      <c r="KDQ1" s="224"/>
      <c r="KDR1" s="224"/>
      <c r="KDS1" s="224"/>
      <c r="KDT1" s="224"/>
      <c r="KDU1" s="224"/>
      <c r="KDV1" s="224"/>
      <c r="KDW1" s="224"/>
      <c r="KDX1" s="224"/>
      <c r="KDY1" s="224"/>
      <c r="KDZ1" s="224"/>
      <c r="KEA1" s="224"/>
      <c r="KEB1" s="224"/>
      <c r="KEC1" s="224"/>
      <c r="KED1" s="224"/>
      <c r="KEE1" s="224"/>
      <c r="KEF1" s="224"/>
      <c r="KEG1" s="224"/>
      <c r="KEH1" s="224"/>
      <c r="KEI1" s="224"/>
      <c r="KEJ1" s="224"/>
      <c r="KEK1" s="224"/>
      <c r="KEL1" s="224"/>
      <c r="KEM1" s="224"/>
      <c r="KEN1" s="224"/>
      <c r="KEO1" s="224"/>
      <c r="KEP1" s="224"/>
      <c r="KEQ1" s="224"/>
      <c r="KER1" s="224"/>
      <c r="KES1" s="224"/>
      <c r="KET1" s="224"/>
      <c r="KEU1" s="224"/>
      <c r="KEV1" s="224"/>
      <c r="KEW1" s="224"/>
      <c r="KEX1" s="224"/>
      <c r="KEY1" s="224"/>
      <c r="KEZ1" s="224"/>
      <c r="KFA1" s="224"/>
      <c r="KFB1" s="224"/>
      <c r="KFC1" s="224"/>
      <c r="KFD1" s="224"/>
      <c r="KFE1" s="224"/>
      <c r="KFF1" s="224"/>
      <c r="KFG1" s="224"/>
      <c r="KFH1" s="224"/>
      <c r="KFI1" s="224"/>
      <c r="KFJ1" s="224"/>
      <c r="KFK1" s="224"/>
      <c r="KFL1" s="224"/>
      <c r="KFM1" s="224"/>
      <c r="KFN1" s="224"/>
      <c r="KFO1" s="224"/>
      <c r="KFP1" s="224"/>
      <c r="KFQ1" s="224"/>
      <c r="KFR1" s="224"/>
      <c r="KFS1" s="224"/>
      <c r="KFT1" s="224"/>
      <c r="KFU1" s="224"/>
      <c r="KFV1" s="224"/>
      <c r="KFW1" s="224"/>
      <c r="KFX1" s="224"/>
      <c r="KFY1" s="224"/>
      <c r="KFZ1" s="224"/>
      <c r="KGA1" s="224"/>
      <c r="KGB1" s="224"/>
      <c r="KGC1" s="224"/>
      <c r="KGD1" s="224"/>
      <c r="KGE1" s="224"/>
      <c r="KGF1" s="224"/>
      <c r="KGG1" s="224"/>
      <c r="KGH1" s="224"/>
      <c r="KGI1" s="224"/>
      <c r="KGJ1" s="224"/>
      <c r="KGK1" s="224"/>
      <c r="KGL1" s="224"/>
      <c r="KGM1" s="224"/>
      <c r="KGN1" s="224"/>
      <c r="KGO1" s="224"/>
      <c r="KGP1" s="224"/>
      <c r="KGQ1" s="224"/>
      <c r="KGR1" s="224"/>
      <c r="KGS1" s="224"/>
      <c r="KGT1" s="224"/>
      <c r="KGU1" s="224"/>
      <c r="KGV1" s="224"/>
      <c r="KGW1" s="224"/>
      <c r="KGX1" s="224"/>
      <c r="KGY1" s="224"/>
      <c r="KGZ1" s="224"/>
      <c r="KHA1" s="224"/>
      <c r="KHB1" s="224"/>
      <c r="KHC1" s="224"/>
      <c r="KHD1" s="224"/>
      <c r="KHE1" s="224"/>
      <c r="KHF1" s="224"/>
      <c r="KHG1" s="224"/>
      <c r="KHH1" s="224"/>
      <c r="KHI1" s="224"/>
      <c r="KHJ1" s="224"/>
      <c r="KHK1" s="224"/>
      <c r="KHL1" s="224"/>
      <c r="KHM1" s="224"/>
      <c r="KHN1" s="224"/>
      <c r="KHO1" s="224"/>
      <c r="KHP1" s="224"/>
      <c r="KHQ1" s="224"/>
      <c r="KHR1" s="224"/>
      <c r="KHS1" s="224"/>
      <c r="KHT1" s="224"/>
      <c r="KHU1" s="224"/>
      <c r="KHV1" s="224"/>
      <c r="KHW1" s="224"/>
      <c r="KHX1" s="224"/>
      <c r="KHY1" s="224"/>
      <c r="KHZ1" s="224"/>
      <c r="KIA1" s="224"/>
      <c r="KIB1" s="224"/>
      <c r="KIC1" s="224"/>
      <c r="KID1" s="224"/>
      <c r="KIE1" s="224"/>
      <c r="KIF1" s="224"/>
      <c r="KIG1" s="224"/>
      <c r="KIH1" s="224"/>
      <c r="KII1" s="224"/>
      <c r="KIJ1" s="224"/>
      <c r="KIK1" s="224"/>
      <c r="KIL1" s="224"/>
      <c r="KIM1" s="224"/>
      <c r="KIN1" s="224"/>
      <c r="KIO1" s="224"/>
      <c r="KIP1" s="224"/>
      <c r="KIQ1" s="224"/>
      <c r="KIR1" s="224"/>
      <c r="KIS1" s="224"/>
      <c r="KIT1" s="224"/>
      <c r="KIU1" s="224"/>
      <c r="KIV1" s="224"/>
      <c r="KIW1" s="224"/>
      <c r="KIX1" s="224"/>
      <c r="KIY1" s="224"/>
      <c r="KIZ1" s="224"/>
      <c r="KJA1" s="224"/>
      <c r="KJB1" s="224"/>
      <c r="KJC1" s="224"/>
      <c r="KJD1" s="224"/>
      <c r="KJE1" s="224"/>
      <c r="KJF1" s="224"/>
      <c r="KJG1" s="224"/>
      <c r="KJH1" s="224"/>
      <c r="KJI1" s="224"/>
      <c r="KJJ1" s="224"/>
      <c r="KJK1" s="224"/>
      <c r="KJL1" s="224"/>
      <c r="KJM1" s="224"/>
      <c r="KJN1" s="224"/>
      <c r="KJO1" s="224"/>
      <c r="KJP1" s="224"/>
      <c r="KJQ1" s="224"/>
      <c r="KJR1" s="224"/>
      <c r="KJS1" s="224"/>
      <c r="KJT1" s="224"/>
      <c r="KJU1" s="224"/>
      <c r="KJV1" s="224"/>
      <c r="KJW1" s="224"/>
      <c r="KJX1" s="224"/>
      <c r="KJY1" s="224"/>
      <c r="KJZ1" s="224"/>
      <c r="KKA1" s="224"/>
      <c r="KKB1" s="224"/>
      <c r="KKC1" s="224"/>
      <c r="KKD1" s="224"/>
      <c r="KKE1" s="224"/>
      <c r="KKF1" s="224"/>
      <c r="KKG1" s="224"/>
      <c r="KKH1" s="224"/>
      <c r="KKI1" s="224"/>
      <c r="KKJ1" s="224"/>
      <c r="KKK1" s="224"/>
      <c r="KKL1" s="224"/>
      <c r="KKM1" s="224"/>
      <c r="KKN1" s="224"/>
      <c r="KKO1" s="224"/>
      <c r="KKP1" s="224"/>
      <c r="KKQ1" s="224"/>
      <c r="KKR1" s="224"/>
      <c r="KKS1" s="224"/>
      <c r="KKT1" s="224"/>
      <c r="KKU1" s="224"/>
      <c r="KKV1" s="224"/>
      <c r="KKW1" s="224"/>
      <c r="KKX1" s="224"/>
      <c r="KKY1" s="224"/>
      <c r="KKZ1" s="224"/>
      <c r="KLA1" s="224"/>
      <c r="KLB1" s="224"/>
      <c r="KLC1" s="224"/>
      <c r="KLD1" s="224"/>
      <c r="KLE1" s="224"/>
      <c r="KLF1" s="224"/>
      <c r="KLG1" s="224"/>
      <c r="KLH1" s="224"/>
      <c r="KLI1" s="224"/>
      <c r="KLJ1" s="224"/>
      <c r="KLK1" s="224"/>
      <c r="KLL1" s="224"/>
      <c r="KLM1" s="224"/>
      <c r="KLN1" s="224"/>
      <c r="KLO1" s="224"/>
      <c r="KLP1" s="224"/>
      <c r="KLQ1" s="224"/>
      <c r="KLR1" s="224"/>
      <c r="KLS1" s="224"/>
      <c r="KLT1" s="224"/>
      <c r="KLU1" s="224"/>
      <c r="KLV1" s="224"/>
      <c r="KLW1" s="224"/>
      <c r="KLX1" s="224"/>
      <c r="KLY1" s="224"/>
      <c r="KLZ1" s="224"/>
      <c r="KMA1" s="224"/>
      <c r="KMB1" s="224"/>
      <c r="KMC1" s="224"/>
      <c r="KMD1" s="224"/>
      <c r="KME1" s="224"/>
      <c r="KMF1" s="224"/>
      <c r="KMG1" s="224"/>
      <c r="KMH1" s="224"/>
      <c r="KMI1" s="224"/>
      <c r="KMJ1" s="224"/>
      <c r="KMK1" s="224"/>
      <c r="KML1" s="224"/>
      <c r="KMM1" s="224"/>
      <c r="KMN1" s="224"/>
      <c r="KMO1" s="224"/>
      <c r="KMP1" s="224"/>
      <c r="KMQ1" s="224"/>
      <c r="KMR1" s="224"/>
      <c r="KMS1" s="224"/>
      <c r="KMT1" s="224"/>
      <c r="KMU1" s="224"/>
      <c r="KMV1" s="224"/>
      <c r="KMW1" s="224"/>
      <c r="KMX1" s="224"/>
      <c r="KMY1" s="224"/>
      <c r="KMZ1" s="224"/>
      <c r="KNA1" s="224"/>
      <c r="KNB1" s="224"/>
      <c r="KNC1" s="224"/>
      <c r="KND1" s="224"/>
      <c r="KNE1" s="224"/>
      <c r="KNF1" s="224"/>
      <c r="KNG1" s="224"/>
      <c r="KNH1" s="224"/>
      <c r="KNI1" s="224"/>
      <c r="KNJ1" s="224"/>
      <c r="KNK1" s="224"/>
      <c r="KNL1" s="224"/>
      <c r="KNM1" s="224"/>
      <c r="KNN1" s="224"/>
      <c r="KNO1" s="224"/>
      <c r="KNP1" s="224"/>
      <c r="KNQ1" s="224"/>
      <c r="KNR1" s="224"/>
      <c r="KNS1" s="224"/>
      <c r="KNT1" s="224"/>
      <c r="KNU1" s="224"/>
      <c r="KNV1" s="224"/>
      <c r="KNW1" s="224"/>
      <c r="KNX1" s="224"/>
      <c r="KNY1" s="224"/>
      <c r="KNZ1" s="224"/>
      <c r="KOA1" s="224"/>
      <c r="KOB1" s="224"/>
      <c r="KOC1" s="224"/>
      <c r="KOD1" s="224"/>
      <c r="KOE1" s="224"/>
      <c r="KOF1" s="224"/>
      <c r="KOG1" s="224"/>
      <c r="KOH1" s="224"/>
      <c r="KOI1" s="224"/>
      <c r="KOJ1" s="224"/>
      <c r="KOK1" s="224"/>
      <c r="KOL1" s="224"/>
      <c r="KOM1" s="224"/>
      <c r="KON1" s="224"/>
      <c r="KOO1" s="224"/>
      <c r="KOP1" s="224"/>
      <c r="KOQ1" s="224"/>
      <c r="KOR1" s="224"/>
      <c r="KOS1" s="224"/>
      <c r="KOT1" s="224"/>
      <c r="KOU1" s="224"/>
      <c r="KOV1" s="224"/>
      <c r="KOW1" s="224"/>
      <c r="KOX1" s="224"/>
      <c r="KOY1" s="224"/>
      <c r="KOZ1" s="224"/>
      <c r="KPA1" s="224"/>
      <c r="KPB1" s="224"/>
      <c r="KPC1" s="224"/>
      <c r="KPD1" s="224"/>
      <c r="KPE1" s="224"/>
      <c r="KPF1" s="224"/>
      <c r="KPG1" s="224"/>
      <c r="KPH1" s="224"/>
      <c r="KPI1" s="224"/>
      <c r="KPJ1" s="224"/>
      <c r="KPK1" s="224"/>
      <c r="KPL1" s="224"/>
      <c r="KPM1" s="224"/>
      <c r="KPN1" s="224"/>
      <c r="KPO1" s="224"/>
      <c r="KPP1" s="224"/>
      <c r="KPQ1" s="224"/>
      <c r="KPR1" s="224"/>
      <c r="KPS1" s="224"/>
      <c r="KPT1" s="224"/>
      <c r="KPU1" s="224"/>
      <c r="KPV1" s="224"/>
      <c r="KPW1" s="224"/>
      <c r="KPX1" s="224"/>
      <c r="KPY1" s="224"/>
      <c r="KPZ1" s="224"/>
      <c r="KQA1" s="224"/>
      <c r="KQB1" s="224"/>
      <c r="KQC1" s="224"/>
      <c r="KQD1" s="224"/>
      <c r="KQE1" s="224"/>
      <c r="KQF1" s="224"/>
      <c r="KQG1" s="224"/>
      <c r="KQH1" s="224"/>
      <c r="KQI1" s="224"/>
      <c r="KQJ1" s="224"/>
      <c r="KQK1" s="224"/>
      <c r="KQL1" s="224"/>
      <c r="KQM1" s="224"/>
      <c r="KQN1" s="224"/>
      <c r="KQO1" s="224"/>
      <c r="KQP1" s="224"/>
      <c r="KQQ1" s="224"/>
      <c r="KQR1" s="224"/>
      <c r="KQS1" s="224"/>
      <c r="KQT1" s="224"/>
      <c r="KQU1" s="224"/>
      <c r="KQV1" s="224"/>
      <c r="KQW1" s="224"/>
      <c r="KQX1" s="224"/>
      <c r="KQY1" s="224"/>
      <c r="KQZ1" s="224"/>
      <c r="KRA1" s="224"/>
      <c r="KRB1" s="224"/>
      <c r="KRC1" s="224"/>
      <c r="KRD1" s="224"/>
      <c r="KRE1" s="224"/>
      <c r="KRF1" s="224"/>
      <c r="KRG1" s="224"/>
      <c r="KRH1" s="224"/>
      <c r="KRI1" s="224"/>
      <c r="KRJ1" s="224"/>
      <c r="KRK1" s="224"/>
      <c r="KRL1" s="224"/>
      <c r="KRM1" s="224"/>
      <c r="KRN1" s="224"/>
      <c r="KRO1" s="224"/>
      <c r="KRP1" s="224"/>
      <c r="KRQ1" s="224"/>
      <c r="KRR1" s="224"/>
      <c r="KRS1" s="224"/>
      <c r="KRT1" s="224"/>
      <c r="KRU1" s="224"/>
      <c r="KRV1" s="224"/>
      <c r="KRW1" s="224"/>
      <c r="KRX1" s="224"/>
      <c r="KRY1" s="224"/>
      <c r="KRZ1" s="224"/>
      <c r="KSA1" s="224"/>
      <c r="KSB1" s="224"/>
      <c r="KSC1" s="224"/>
      <c r="KSD1" s="224"/>
      <c r="KSE1" s="224"/>
      <c r="KSF1" s="224"/>
      <c r="KSG1" s="224"/>
      <c r="KSH1" s="224"/>
      <c r="KSI1" s="224"/>
      <c r="KSJ1" s="224"/>
      <c r="KSK1" s="224"/>
      <c r="KSL1" s="224"/>
      <c r="KSM1" s="224"/>
      <c r="KSN1" s="224"/>
      <c r="KSO1" s="224"/>
      <c r="KSP1" s="224"/>
      <c r="KSQ1" s="224"/>
      <c r="KSR1" s="224"/>
      <c r="KSS1" s="224"/>
      <c r="KST1" s="224"/>
      <c r="KSU1" s="224"/>
      <c r="KSV1" s="224"/>
      <c r="KSW1" s="224"/>
      <c r="KSX1" s="224"/>
      <c r="KSY1" s="224"/>
      <c r="KSZ1" s="224"/>
      <c r="KTA1" s="224"/>
      <c r="KTB1" s="224"/>
      <c r="KTC1" s="224"/>
      <c r="KTD1" s="224"/>
      <c r="KTE1" s="224"/>
      <c r="KTF1" s="224"/>
      <c r="KTG1" s="224"/>
      <c r="KTH1" s="224"/>
      <c r="KTI1" s="224"/>
      <c r="KTJ1" s="224"/>
      <c r="KTK1" s="224"/>
      <c r="KTL1" s="224"/>
      <c r="KTM1" s="224"/>
      <c r="KTN1" s="224"/>
      <c r="KTO1" s="224"/>
      <c r="KTP1" s="224"/>
      <c r="KTQ1" s="224"/>
      <c r="KTR1" s="224"/>
      <c r="KTS1" s="224"/>
      <c r="KTT1" s="224"/>
      <c r="KTU1" s="224"/>
      <c r="KTV1" s="224"/>
      <c r="KTW1" s="224"/>
      <c r="KTX1" s="224"/>
      <c r="KTY1" s="224"/>
      <c r="KTZ1" s="224"/>
      <c r="KUA1" s="224"/>
      <c r="KUB1" s="224"/>
      <c r="KUC1" s="224"/>
      <c r="KUD1" s="224"/>
      <c r="KUE1" s="224"/>
      <c r="KUF1" s="224"/>
      <c r="KUG1" s="224"/>
      <c r="KUH1" s="224"/>
      <c r="KUI1" s="224"/>
      <c r="KUJ1" s="224"/>
      <c r="KUK1" s="224"/>
      <c r="KUL1" s="224"/>
      <c r="KUM1" s="224"/>
      <c r="KUN1" s="224"/>
      <c r="KUO1" s="224"/>
      <c r="KUP1" s="224"/>
      <c r="KUQ1" s="224"/>
      <c r="KUR1" s="224"/>
      <c r="KUS1" s="224"/>
      <c r="KUT1" s="224"/>
      <c r="KUU1" s="224"/>
      <c r="KUV1" s="224"/>
      <c r="KUW1" s="224"/>
      <c r="KUX1" s="224"/>
      <c r="KUY1" s="224"/>
      <c r="KUZ1" s="224"/>
      <c r="KVA1" s="224"/>
      <c r="KVB1" s="224"/>
      <c r="KVC1" s="224"/>
      <c r="KVD1" s="224"/>
      <c r="KVE1" s="224"/>
      <c r="KVF1" s="224"/>
      <c r="KVG1" s="224"/>
      <c r="KVH1" s="224"/>
      <c r="KVI1" s="224"/>
      <c r="KVJ1" s="224"/>
      <c r="KVK1" s="224"/>
      <c r="KVL1" s="224"/>
      <c r="KVM1" s="224"/>
      <c r="KVN1" s="224"/>
      <c r="KVO1" s="224"/>
      <c r="KVP1" s="224"/>
      <c r="KVQ1" s="224"/>
      <c r="KVR1" s="224"/>
      <c r="KVS1" s="224"/>
      <c r="KVT1" s="224"/>
      <c r="KVU1" s="224"/>
      <c r="KVV1" s="224"/>
      <c r="KVW1" s="224"/>
      <c r="KVX1" s="224"/>
      <c r="KVY1" s="224"/>
      <c r="KVZ1" s="224"/>
      <c r="KWA1" s="224"/>
      <c r="KWB1" s="224"/>
      <c r="KWC1" s="224"/>
      <c r="KWD1" s="224"/>
      <c r="KWE1" s="224"/>
      <c r="KWF1" s="224"/>
      <c r="KWG1" s="224"/>
      <c r="KWH1" s="224"/>
      <c r="KWI1" s="224"/>
      <c r="KWJ1" s="224"/>
      <c r="KWK1" s="224"/>
      <c r="KWL1" s="224"/>
      <c r="KWM1" s="224"/>
      <c r="KWN1" s="224"/>
      <c r="KWO1" s="224"/>
      <c r="KWP1" s="224"/>
      <c r="KWQ1" s="224"/>
      <c r="KWR1" s="224"/>
      <c r="KWS1" s="224"/>
      <c r="KWT1" s="224"/>
      <c r="KWU1" s="224"/>
      <c r="KWV1" s="224"/>
      <c r="KWW1" s="224"/>
      <c r="KWX1" s="224"/>
      <c r="KWY1" s="224"/>
      <c r="KWZ1" s="224"/>
      <c r="KXA1" s="224"/>
      <c r="KXB1" s="224"/>
      <c r="KXC1" s="224"/>
      <c r="KXD1" s="224"/>
      <c r="KXE1" s="224"/>
      <c r="KXF1" s="224"/>
      <c r="KXG1" s="224"/>
      <c r="KXH1" s="224"/>
      <c r="KXI1" s="224"/>
      <c r="KXJ1" s="224"/>
      <c r="KXK1" s="224"/>
      <c r="KXL1" s="224"/>
      <c r="KXM1" s="224"/>
      <c r="KXN1" s="224"/>
      <c r="KXO1" s="224"/>
      <c r="KXP1" s="224"/>
      <c r="KXQ1" s="224"/>
      <c r="KXR1" s="224"/>
      <c r="KXS1" s="224"/>
      <c r="KXT1" s="224"/>
      <c r="KXU1" s="224"/>
      <c r="KXV1" s="224"/>
      <c r="KXW1" s="224"/>
      <c r="KXX1" s="224"/>
      <c r="KXY1" s="224"/>
      <c r="KXZ1" s="224"/>
      <c r="KYA1" s="224"/>
      <c r="KYB1" s="224"/>
      <c r="KYC1" s="224"/>
      <c r="KYD1" s="224"/>
      <c r="KYE1" s="224"/>
      <c r="KYF1" s="224"/>
      <c r="KYG1" s="224"/>
      <c r="KYH1" s="224"/>
      <c r="KYI1" s="224"/>
      <c r="KYJ1" s="224"/>
      <c r="KYK1" s="224"/>
      <c r="KYL1" s="224"/>
      <c r="KYM1" s="224"/>
      <c r="KYN1" s="224"/>
      <c r="KYO1" s="224"/>
      <c r="KYP1" s="224"/>
      <c r="KYQ1" s="224"/>
      <c r="KYR1" s="224"/>
      <c r="KYS1" s="224"/>
      <c r="KYT1" s="224"/>
      <c r="KYU1" s="224"/>
      <c r="KYV1" s="224"/>
      <c r="KYW1" s="224"/>
      <c r="KYX1" s="224"/>
      <c r="KYY1" s="224"/>
      <c r="KYZ1" s="224"/>
      <c r="KZA1" s="224"/>
      <c r="KZB1" s="224"/>
      <c r="KZC1" s="224"/>
      <c r="KZD1" s="224"/>
      <c r="KZE1" s="224"/>
      <c r="KZF1" s="224"/>
      <c r="KZG1" s="224"/>
      <c r="KZH1" s="224"/>
      <c r="KZI1" s="224"/>
      <c r="KZJ1" s="224"/>
      <c r="KZK1" s="224"/>
      <c r="KZL1" s="224"/>
      <c r="KZM1" s="224"/>
      <c r="KZN1" s="224"/>
      <c r="KZO1" s="224"/>
      <c r="KZP1" s="224"/>
      <c r="KZQ1" s="224"/>
      <c r="KZR1" s="224"/>
      <c r="KZS1" s="224"/>
      <c r="KZT1" s="224"/>
      <c r="KZU1" s="224"/>
      <c r="KZV1" s="224"/>
      <c r="KZW1" s="224"/>
      <c r="KZX1" s="224"/>
      <c r="KZY1" s="224"/>
      <c r="KZZ1" s="224"/>
      <c r="LAA1" s="224"/>
      <c r="LAB1" s="224"/>
      <c r="LAC1" s="224"/>
      <c r="LAD1" s="224"/>
      <c r="LAE1" s="224"/>
      <c r="LAF1" s="224"/>
      <c r="LAG1" s="224"/>
      <c r="LAH1" s="224"/>
      <c r="LAI1" s="224"/>
      <c r="LAJ1" s="224"/>
      <c r="LAK1" s="224"/>
      <c r="LAL1" s="224"/>
      <c r="LAM1" s="224"/>
      <c r="LAN1" s="224"/>
      <c r="LAO1" s="224"/>
      <c r="LAP1" s="224"/>
      <c r="LAQ1" s="224"/>
      <c r="LAR1" s="224"/>
      <c r="LAS1" s="224"/>
      <c r="LAT1" s="224"/>
      <c r="LAU1" s="224"/>
      <c r="LAV1" s="224"/>
      <c r="LAW1" s="224"/>
      <c r="LAX1" s="224"/>
      <c r="LAY1" s="224"/>
      <c r="LAZ1" s="224"/>
      <c r="LBA1" s="224"/>
      <c r="LBB1" s="224"/>
      <c r="LBC1" s="224"/>
      <c r="LBD1" s="224"/>
      <c r="LBE1" s="224"/>
      <c r="LBF1" s="224"/>
      <c r="LBG1" s="224"/>
      <c r="LBH1" s="224"/>
      <c r="LBI1" s="224"/>
      <c r="LBJ1" s="224"/>
      <c r="LBK1" s="224"/>
      <c r="LBL1" s="224"/>
      <c r="LBM1" s="224"/>
      <c r="LBN1" s="224"/>
      <c r="LBO1" s="224"/>
      <c r="LBP1" s="224"/>
      <c r="LBQ1" s="224"/>
      <c r="LBR1" s="224"/>
      <c r="LBS1" s="224"/>
      <c r="LBT1" s="224"/>
      <c r="LBU1" s="224"/>
      <c r="LBV1" s="224"/>
      <c r="LBW1" s="224"/>
      <c r="LBX1" s="224"/>
      <c r="LBY1" s="224"/>
      <c r="LBZ1" s="224"/>
      <c r="LCA1" s="224"/>
      <c r="LCB1" s="224"/>
      <c r="LCC1" s="224"/>
      <c r="LCD1" s="224"/>
      <c r="LCE1" s="224"/>
      <c r="LCF1" s="224"/>
      <c r="LCG1" s="224"/>
      <c r="LCH1" s="224"/>
      <c r="LCI1" s="224"/>
      <c r="LCJ1" s="224"/>
      <c r="LCK1" s="224"/>
      <c r="LCL1" s="224"/>
      <c r="LCM1" s="224"/>
      <c r="LCN1" s="224"/>
      <c r="LCO1" s="224"/>
      <c r="LCP1" s="224"/>
      <c r="LCQ1" s="224"/>
      <c r="LCR1" s="224"/>
      <c r="LCS1" s="224"/>
      <c r="LCT1" s="224"/>
      <c r="LCU1" s="224"/>
      <c r="LCV1" s="224"/>
      <c r="LCW1" s="224"/>
      <c r="LCX1" s="224"/>
      <c r="LCY1" s="224"/>
      <c r="LCZ1" s="224"/>
      <c r="LDA1" s="224"/>
      <c r="LDB1" s="224"/>
      <c r="LDC1" s="224"/>
      <c r="LDD1" s="224"/>
      <c r="LDE1" s="224"/>
      <c r="LDF1" s="224"/>
      <c r="LDG1" s="224"/>
      <c r="LDH1" s="224"/>
      <c r="LDI1" s="224"/>
      <c r="LDJ1" s="224"/>
      <c r="LDK1" s="224"/>
      <c r="LDL1" s="224"/>
      <c r="LDM1" s="224"/>
      <c r="LDN1" s="224"/>
      <c r="LDO1" s="224"/>
      <c r="LDP1" s="224"/>
      <c r="LDQ1" s="224"/>
      <c r="LDR1" s="224"/>
      <c r="LDS1" s="224"/>
      <c r="LDT1" s="224"/>
      <c r="LDU1" s="224"/>
      <c r="LDV1" s="224"/>
      <c r="LDW1" s="224"/>
      <c r="LDX1" s="224"/>
      <c r="LDY1" s="224"/>
      <c r="LDZ1" s="224"/>
      <c r="LEA1" s="224"/>
      <c r="LEB1" s="224"/>
      <c r="LEC1" s="224"/>
      <c r="LED1" s="224"/>
      <c r="LEE1" s="224"/>
      <c r="LEF1" s="224"/>
      <c r="LEG1" s="224"/>
      <c r="LEH1" s="224"/>
      <c r="LEI1" s="224"/>
      <c r="LEJ1" s="224"/>
      <c r="LEK1" s="224"/>
      <c r="LEL1" s="224"/>
      <c r="LEM1" s="224"/>
      <c r="LEN1" s="224"/>
      <c r="LEO1" s="224"/>
      <c r="LEP1" s="224"/>
      <c r="LEQ1" s="224"/>
      <c r="LER1" s="224"/>
      <c r="LES1" s="224"/>
      <c r="LET1" s="224"/>
      <c r="LEU1" s="224"/>
      <c r="LEV1" s="224"/>
      <c r="LEW1" s="224"/>
      <c r="LEX1" s="224"/>
      <c r="LEY1" s="224"/>
      <c r="LEZ1" s="224"/>
      <c r="LFA1" s="224"/>
      <c r="LFB1" s="224"/>
      <c r="LFC1" s="224"/>
      <c r="LFD1" s="224"/>
      <c r="LFE1" s="224"/>
      <c r="LFF1" s="224"/>
      <c r="LFG1" s="224"/>
      <c r="LFH1" s="224"/>
      <c r="LFI1" s="224"/>
      <c r="LFJ1" s="224"/>
      <c r="LFK1" s="224"/>
      <c r="LFL1" s="224"/>
      <c r="LFM1" s="224"/>
      <c r="LFN1" s="224"/>
      <c r="LFO1" s="224"/>
      <c r="LFP1" s="224"/>
      <c r="LFQ1" s="224"/>
      <c r="LFR1" s="224"/>
      <c r="LFS1" s="224"/>
      <c r="LFT1" s="224"/>
      <c r="LFU1" s="224"/>
      <c r="LFV1" s="224"/>
      <c r="LFW1" s="224"/>
      <c r="LFX1" s="224"/>
      <c r="LFY1" s="224"/>
      <c r="LFZ1" s="224"/>
      <c r="LGA1" s="224"/>
      <c r="LGB1" s="224"/>
      <c r="LGC1" s="224"/>
      <c r="LGD1" s="224"/>
      <c r="LGE1" s="224"/>
      <c r="LGF1" s="224"/>
      <c r="LGG1" s="224"/>
      <c r="LGH1" s="224"/>
      <c r="LGI1" s="224"/>
      <c r="LGJ1" s="224"/>
      <c r="LGK1" s="224"/>
      <c r="LGL1" s="224"/>
      <c r="LGM1" s="224"/>
      <c r="LGN1" s="224"/>
      <c r="LGO1" s="224"/>
      <c r="LGP1" s="224"/>
      <c r="LGQ1" s="224"/>
      <c r="LGR1" s="224"/>
      <c r="LGS1" s="224"/>
      <c r="LGT1" s="224"/>
      <c r="LGU1" s="224"/>
      <c r="LGV1" s="224"/>
      <c r="LGW1" s="224"/>
      <c r="LGX1" s="224"/>
      <c r="LGY1" s="224"/>
      <c r="LGZ1" s="224"/>
      <c r="LHA1" s="224"/>
      <c r="LHB1" s="224"/>
      <c r="LHC1" s="224"/>
      <c r="LHD1" s="224"/>
      <c r="LHE1" s="224"/>
      <c r="LHF1" s="224"/>
      <c r="LHG1" s="224"/>
      <c r="LHH1" s="224"/>
      <c r="LHI1" s="224"/>
      <c r="LHJ1" s="224"/>
      <c r="LHK1" s="224"/>
      <c r="LHL1" s="224"/>
      <c r="LHM1" s="224"/>
      <c r="LHN1" s="224"/>
      <c r="LHO1" s="224"/>
      <c r="LHP1" s="224"/>
      <c r="LHQ1" s="224"/>
      <c r="LHR1" s="224"/>
      <c r="LHS1" s="224"/>
      <c r="LHT1" s="224"/>
      <c r="LHU1" s="224"/>
      <c r="LHV1" s="224"/>
      <c r="LHW1" s="224"/>
      <c r="LHX1" s="224"/>
      <c r="LHY1" s="224"/>
      <c r="LHZ1" s="224"/>
      <c r="LIA1" s="224"/>
      <c r="LIB1" s="224"/>
      <c r="LIC1" s="224"/>
      <c r="LID1" s="224"/>
      <c r="LIE1" s="224"/>
      <c r="LIF1" s="224"/>
      <c r="LIG1" s="224"/>
      <c r="LIH1" s="224"/>
      <c r="LII1" s="224"/>
      <c r="LIJ1" s="224"/>
      <c r="LIK1" s="224"/>
      <c r="LIL1" s="224"/>
      <c r="LIM1" s="224"/>
      <c r="LIN1" s="224"/>
      <c r="LIO1" s="224"/>
      <c r="LIP1" s="224"/>
      <c r="LIQ1" s="224"/>
      <c r="LIR1" s="224"/>
      <c r="LIS1" s="224"/>
      <c r="LIT1" s="224"/>
      <c r="LIU1" s="224"/>
      <c r="LIV1" s="224"/>
      <c r="LIW1" s="224"/>
      <c r="LIX1" s="224"/>
      <c r="LIY1" s="224"/>
      <c r="LIZ1" s="224"/>
      <c r="LJA1" s="224"/>
      <c r="LJB1" s="224"/>
      <c r="LJC1" s="224"/>
      <c r="LJD1" s="224"/>
      <c r="LJE1" s="224"/>
      <c r="LJF1" s="224"/>
      <c r="LJG1" s="224"/>
      <c r="LJH1" s="224"/>
      <c r="LJI1" s="224"/>
      <c r="LJJ1" s="224"/>
      <c r="LJK1" s="224"/>
      <c r="LJL1" s="224"/>
      <c r="LJM1" s="224"/>
      <c r="LJN1" s="224"/>
      <c r="LJO1" s="224"/>
      <c r="LJP1" s="224"/>
      <c r="LJQ1" s="224"/>
      <c r="LJR1" s="224"/>
      <c r="LJS1" s="224"/>
      <c r="LJT1" s="224"/>
      <c r="LJU1" s="224"/>
      <c r="LJV1" s="224"/>
      <c r="LJW1" s="224"/>
      <c r="LJX1" s="224"/>
      <c r="LJY1" s="224"/>
      <c r="LJZ1" s="224"/>
      <c r="LKA1" s="224"/>
      <c r="LKB1" s="224"/>
      <c r="LKC1" s="224"/>
      <c r="LKD1" s="224"/>
      <c r="LKE1" s="224"/>
      <c r="LKF1" s="224"/>
      <c r="LKG1" s="224"/>
      <c r="LKH1" s="224"/>
      <c r="LKI1" s="224"/>
      <c r="LKJ1" s="224"/>
      <c r="LKK1" s="224"/>
      <c r="LKL1" s="224"/>
      <c r="LKM1" s="224"/>
      <c r="LKN1" s="224"/>
      <c r="LKO1" s="224"/>
      <c r="LKP1" s="224"/>
      <c r="LKQ1" s="224"/>
      <c r="LKR1" s="224"/>
      <c r="LKS1" s="224"/>
      <c r="LKT1" s="224"/>
      <c r="LKU1" s="224"/>
      <c r="LKV1" s="224"/>
      <c r="LKW1" s="224"/>
      <c r="LKX1" s="224"/>
      <c r="LKY1" s="224"/>
      <c r="LKZ1" s="224"/>
      <c r="LLA1" s="224"/>
      <c r="LLB1" s="224"/>
      <c r="LLC1" s="224"/>
      <c r="LLD1" s="224"/>
      <c r="LLE1" s="224"/>
      <c r="LLF1" s="224"/>
      <c r="LLG1" s="224"/>
      <c r="LLH1" s="224"/>
      <c r="LLI1" s="224"/>
      <c r="LLJ1" s="224"/>
      <c r="LLK1" s="224"/>
      <c r="LLL1" s="224"/>
      <c r="LLM1" s="224"/>
      <c r="LLN1" s="224"/>
      <c r="LLO1" s="224"/>
      <c r="LLP1" s="224"/>
      <c r="LLQ1" s="224"/>
      <c r="LLR1" s="224"/>
      <c r="LLS1" s="224"/>
      <c r="LLT1" s="224"/>
      <c r="LLU1" s="224"/>
      <c r="LLV1" s="224"/>
      <c r="LLW1" s="224"/>
      <c r="LLX1" s="224"/>
      <c r="LLY1" s="224"/>
      <c r="LLZ1" s="224"/>
      <c r="LMA1" s="224"/>
      <c r="LMB1" s="224"/>
      <c r="LMC1" s="224"/>
      <c r="LMD1" s="224"/>
      <c r="LME1" s="224"/>
      <c r="LMF1" s="224"/>
      <c r="LMG1" s="224"/>
      <c r="LMH1" s="224"/>
      <c r="LMI1" s="224"/>
      <c r="LMJ1" s="224"/>
      <c r="LMK1" s="224"/>
      <c r="LML1" s="224"/>
      <c r="LMM1" s="224"/>
      <c r="LMN1" s="224"/>
      <c r="LMO1" s="224"/>
      <c r="LMP1" s="224"/>
      <c r="LMQ1" s="224"/>
      <c r="LMR1" s="224"/>
      <c r="LMS1" s="224"/>
      <c r="LMT1" s="224"/>
      <c r="LMU1" s="224"/>
      <c r="LMV1" s="224"/>
      <c r="LMW1" s="224"/>
      <c r="LMX1" s="224"/>
      <c r="LMY1" s="224"/>
      <c r="LMZ1" s="224"/>
      <c r="LNA1" s="224"/>
      <c r="LNB1" s="224"/>
      <c r="LNC1" s="224"/>
      <c r="LND1" s="224"/>
      <c r="LNE1" s="224"/>
      <c r="LNF1" s="224"/>
      <c r="LNG1" s="224"/>
      <c r="LNH1" s="224"/>
      <c r="LNI1" s="224"/>
      <c r="LNJ1" s="224"/>
      <c r="LNK1" s="224"/>
      <c r="LNL1" s="224"/>
      <c r="LNM1" s="224"/>
      <c r="LNN1" s="224"/>
      <c r="LNO1" s="224"/>
      <c r="LNP1" s="224"/>
      <c r="LNQ1" s="224"/>
      <c r="LNR1" s="224"/>
      <c r="LNS1" s="224"/>
      <c r="LNT1" s="224"/>
      <c r="LNU1" s="224"/>
      <c r="LNV1" s="224"/>
      <c r="LNW1" s="224"/>
      <c r="LNX1" s="224"/>
      <c r="LNY1" s="224"/>
      <c r="LNZ1" s="224"/>
      <c r="LOA1" s="224"/>
      <c r="LOB1" s="224"/>
      <c r="LOC1" s="224"/>
      <c r="LOD1" s="224"/>
      <c r="LOE1" s="224"/>
      <c r="LOF1" s="224"/>
      <c r="LOG1" s="224"/>
      <c r="LOH1" s="224"/>
      <c r="LOI1" s="224"/>
      <c r="LOJ1" s="224"/>
      <c r="LOK1" s="224"/>
      <c r="LOL1" s="224"/>
      <c r="LOM1" s="224"/>
      <c r="LON1" s="224"/>
      <c r="LOO1" s="224"/>
      <c r="LOP1" s="224"/>
      <c r="LOQ1" s="224"/>
      <c r="LOR1" s="224"/>
      <c r="LOS1" s="224"/>
      <c r="LOT1" s="224"/>
      <c r="LOU1" s="224"/>
      <c r="LOV1" s="224"/>
      <c r="LOW1" s="224"/>
      <c r="LOX1" s="224"/>
      <c r="LOY1" s="224"/>
      <c r="LOZ1" s="224"/>
      <c r="LPA1" s="224"/>
      <c r="LPB1" s="224"/>
      <c r="LPC1" s="224"/>
      <c r="LPD1" s="224"/>
      <c r="LPE1" s="224"/>
      <c r="LPF1" s="224"/>
      <c r="LPG1" s="224"/>
      <c r="LPH1" s="224"/>
      <c r="LPI1" s="224"/>
      <c r="LPJ1" s="224"/>
      <c r="LPK1" s="224"/>
      <c r="LPL1" s="224"/>
      <c r="LPM1" s="224"/>
      <c r="LPN1" s="224"/>
      <c r="LPO1" s="224"/>
      <c r="LPP1" s="224"/>
      <c r="LPQ1" s="224"/>
      <c r="LPR1" s="224"/>
      <c r="LPS1" s="224"/>
      <c r="LPT1" s="224"/>
      <c r="LPU1" s="224"/>
      <c r="LPV1" s="224"/>
      <c r="LPW1" s="224"/>
      <c r="LPX1" s="224"/>
      <c r="LPY1" s="224"/>
      <c r="LPZ1" s="224"/>
      <c r="LQA1" s="224"/>
      <c r="LQB1" s="224"/>
      <c r="LQC1" s="224"/>
      <c r="LQD1" s="224"/>
      <c r="LQE1" s="224"/>
      <c r="LQF1" s="224"/>
      <c r="LQG1" s="224"/>
      <c r="LQH1" s="224"/>
      <c r="LQI1" s="224"/>
      <c r="LQJ1" s="224"/>
      <c r="LQK1" s="224"/>
      <c r="LQL1" s="224"/>
      <c r="LQM1" s="224"/>
      <c r="LQN1" s="224"/>
      <c r="LQO1" s="224"/>
      <c r="LQP1" s="224"/>
      <c r="LQQ1" s="224"/>
      <c r="LQR1" s="224"/>
      <c r="LQS1" s="224"/>
      <c r="LQT1" s="224"/>
      <c r="LQU1" s="224"/>
      <c r="LQV1" s="224"/>
      <c r="LQW1" s="224"/>
      <c r="LQX1" s="224"/>
      <c r="LQY1" s="224"/>
      <c r="LQZ1" s="224"/>
      <c r="LRA1" s="224"/>
      <c r="LRB1" s="224"/>
      <c r="LRC1" s="224"/>
      <c r="LRD1" s="224"/>
      <c r="LRE1" s="224"/>
      <c r="LRF1" s="224"/>
      <c r="LRG1" s="224"/>
      <c r="LRH1" s="224"/>
      <c r="LRI1" s="224"/>
      <c r="LRJ1" s="224"/>
      <c r="LRK1" s="224"/>
      <c r="LRL1" s="224"/>
      <c r="LRM1" s="224"/>
      <c r="LRN1" s="224"/>
      <c r="LRO1" s="224"/>
      <c r="LRP1" s="224"/>
      <c r="LRQ1" s="224"/>
      <c r="LRR1" s="224"/>
      <c r="LRS1" s="224"/>
      <c r="LRT1" s="224"/>
      <c r="LRU1" s="224"/>
      <c r="LRV1" s="224"/>
      <c r="LRW1" s="224"/>
      <c r="LRX1" s="224"/>
      <c r="LRY1" s="224"/>
      <c r="LRZ1" s="224"/>
      <c r="LSA1" s="224"/>
      <c r="LSB1" s="224"/>
      <c r="LSC1" s="224"/>
      <c r="LSD1" s="224"/>
      <c r="LSE1" s="224"/>
      <c r="LSF1" s="224"/>
      <c r="LSG1" s="224"/>
      <c r="LSH1" s="224"/>
      <c r="LSI1" s="224"/>
      <c r="LSJ1" s="224"/>
      <c r="LSK1" s="224"/>
      <c r="LSL1" s="224"/>
      <c r="LSM1" s="224"/>
      <c r="LSN1" s="224"/>
      <c r="LSO1" s="224"/>
      <c r="LSP1" s="224"/>
      <c r="LSQ1" s="224"/>
      <c r="LSR1" s="224"/>
      <c r="LSS1" s="224"/>
      <c r="LST1" s="224"/>
      <c r="LSU1" s="224"/>
      <c r="LSV1" s="224"/>
      <c r="LSW1" s="224"/>
      <c r="LSX1" s="224"/>
      <c r="LSY1" s="224"/>
      <c r="LSZ1" s="224"/>
      <c r="LTA1" s="224"/>
      <c r="LTB1" s="224"/>
      <c r="LTC1" s="224"/>
      <c r="LTD1" s="224"/>
      <c r="LTE1" s="224"/>
      <c r="LTF1" s="224"/>
      <c r="LTG1" s="224"/>
      <c r="LTH1" s="224"/>
      <c r="LTI1" s="224"/>
      <c r="LTJ1" s="224"/>
      <c r="LTK1" s="224"/>
      <c r="LTL1" s="224"/>
      <c r="LTM1" s="224"/>
      <c r="LTN1" s="224"/>
      <c r="LTO1" s="224"/>
      <c r="LTP1" s="224"/>
      <c r="LTQ1" s="224"/>
      <c r="LTR1" s="224"/>
      <c r="LTS1" s="224"/>
      <c r="LTT1" s="224"/>
      <c r="LTU1" s="224"/>
      <c r="LTV1" s="224"/>
      <c r="LTW1" s="224"/>
      <c r="LTX1" s="224"/>
      <c r="LTY1" s="224"/>
      <c r="LTZ1" s="224"/>
      <c r="LUA1" s="224"/>
      <c r="LUB1" s="224"/>
      <c r="LUC1" s="224"/>
      <c r="LUD1" s="224"/>
      <c r="LUE1" s="224"/>
      <c r="LUF1" s="224"/>
      <c r="LUG1" s="224"/>
      <c r="LUH1" s="224"/>
      <c r="LUI1" s="224"/>
      <c r="LUJ1" s="224"/>
      <c r="LUK1" s="224"/>
      <c r="LUL1" s="224"/>
      <c r="LUM1" s="224"/>
      <c r="LUN1" s="224"/>
      <c r="LUO1" s="224"/>
      <c r="LUP1" s="224"/>
      <c r="LUQ1" s="224"/>
      <c r="LUR1" s="224"/>
      <c r="LUS1" s="224"/>
      <c r="LUT1" s="224"/>
      <c r="LUU1" s="224"/>
      <c r="LUV1" s="224"/>
      <c r="LUW1" s="224"/>
      <c r="LUX1" s="224"/>
      <c r="LUY1" s="224"/>
      <c r="LUZ1" s="224"/>
      <c r="LVA1" s="224"/>
      <c r="LVB1" s="224"/>
      <c r="LVC1" s="224"/>
      <c r="LVD1" s="224"/>
      <c r="LVE1" s="224"/>
      <c r="LVF1" s="224"/>
      <c r="LVG1" s="224"/>
      <c r="LVH1" s="224"/>
      <c r="LVI1" s="224"/>
      <c r="LVJ1" s="224"/>
      <c r="LVK1" s="224"/>
      <c r="LVL1" s="224"/>
      <c r="LVM1" s="224"/>
      <c r="LVN1" s="224"/>
      <c r="LVO1" s="224"/>
      <c r="LVP1" s="224"/>
      <c r="LVQ1" s="224"/>
      <c r="LVR1" s="224"/>
      <c r="LVS1" s="224"/>
      <c r="LVT1" s="224"/>
      <c r="LVU1" s="224"/>
      <c r="LVV1" s="224"/>
      <c r="LVW1" s="224"/>
      <c r="LVX1" s="224"/>
      <c r="LVY1" s="224"/>
      <c r="LVZ1" s="224"/>
      <c r="LWA1" s="224"/>
      <c r="LWB1" s="224"/>
      <c r="LWC1" s="224"/>
      <c r="LWD1" s="224"/>
      <c r="LWE1" s="224"/>
      <c r="LWF1" s="224"/>
      <c r="LWG1" s="224"/>
      <c r="LWH1" s="224"/>
      <c r="LWI1" s="224"/>
      <c r="LWJ1" s="224"/>
      <c r="LWK1" s="224"/>
      <c r="LWL1" s="224"/>
      <c r="LWM1" s="224"/>
      <c r="LWN1" s="224"/>
      <c r="LWO1" s="224"/>
      <c r="LWP1" s="224"/>
      <c r="LWQ1" s="224"/>
      <c r="LWR1" s="224"/>
      <c r="LWS1" s="224"/>
      <c r="LWT1" s="224"/>
      <c r="LWU1" s="224"/>
      <c r="LWV1" s="224"/>
      <c r="LWW1" s="224"/>
      <c r="LWX1" s="224"/>
      <c r="LWY1" s="224"/>
      <c r="LWZ1" s="224"/>
      <c r="LXA1" s="224"/>
      <c r="LXB1" s="224"/>
      <c r="LXC1" s="224"/>
      <c r="LXD1" s="224"/>
      <c r="LXE1" s="224"/>
      <c r="LXF1" s="224"/>
      <c r="LXG1" s="224"/>
      <c r="LXH1" s="224"/>
      <c r="LXI1" s="224"/>
      <c r="LXJ1" s="224"/>
      <c r="LXK1" s="224"/>
      <c r="LXL1" s="224"/>
      <c r="LXM1" s="224"/>
      <c r="LXN1" s="224"/>
      <c r="LXO1" s="224"/>
      <c r="LXP1" s="224"/>
      <c r="LXQ1" s="224"/>
      <c r="LXR1" s="224"/>
      <c r="LXS1" s="224"/>
      <c r="LXT1" s="224"/>
      <c r="LXU1" s="224"/>
      <c r="LXV1" s="224"/>
      <c r="LXW1" s="224"/>
      <c r="LXX1" s="224"/>
      <c r="LXY1" s="224"/>
      <c r="LXZ1" s="224"/>
      <c r="LYA1" s="224"/>
      <c r="LYB1" s="224"/>
      <c r="LYC1" s="224"/>
      <c r="LYD1" s="224"/>
      <c r="LYE1" s="224"/>
      <c r="LYF1" s="224"/>
      <c r="LYG1" s="224"/>
      <c r="LYH1" s="224"/>
      <c r="LYI1" s="224"/>
      <c r="LYJ1" s="224"/>
      <c r="LYK1" s="224"/>
      <c r="LYL1" s="224"/>
      <c r="LYM1" s="224"/>
      <c r="LYN1" s="224"/>
      <c r="LYO1" s="224"/>
      <c r="LYP1" s="224"/>
      <c r="LYQ1" s="224"/>
      <c r="LYR1" s="224"/>
      <c r="LYS1" s="224"/>
      <c r="LYT1" s="224"/>
      <c r="LYU1" s="224"/>
      <c r="LYV1" s="224"/>
      <c r="LYW1" s="224"/>
      <c r="LYX1" s="224"/>
      <c r="LYY1" s="224"/>
      <c r="LYZ1" s="224"/>
      <c r="LZA1" s="224"/>
      <c r="LZB1" s="224"/>
      <c r="LZC1" s="224"/>
      <c r="LZD1" s="224"/>
      <c r="LZE1" s="224"/>
      <c r="LZF1" s="224"/>
      <c r="LZG1" s="224"/>
      <c r="LZH1" s="224"/>
      <c r="LZI1" s="224"/>
      <c r="LZJ1" s="224"/>
      <c r="LZK1" s="224"/>
      <c r="LZL1" s="224"/>
      <c r="LZM1" s="224"/>
      <c r="LZN1" s="224"/>
      <c r="LZO1" s="224"/>
      <c r="LZP1" s="224"/>
      <c r="LZQ1" s="224"/>
      <c r="LZR1" s="224"/>
      <c r="LZS1" s="224"/>
      <c r="LZT1" s="224"/>
      <c r="LZU1" s="224"/>
      <c r="LZV1" s="224"/>
      <c r="LZW1" s="224"/>
      <c r="LZX1" s="224"/>
      <c r="LZY1" s="224"/>
      <c r="LZZ1" s="224"/>
      <c r="MAA1" s="224"/>
      <c r="MAB1" s="224"/>
      <c r="MAC1" s="224"/>
      <c r="MAD1" s="224"/>
      <c r="MAE1" s="224"/>
      <c r="MAF1" s="224"/>
      <c r="MAG1" s="224"/>
      <c r="MAH1" s="224"/>
      <c r="MAI1" s="224"/>
      <c r="MAJ1" s="224"/>
      <c r="MAK1" s="224"/>
      <c r="MAL1" s="224"/>
      <c r="MAM1" s="224"/>
      <c r="MAN1" s="224"/>
      <c r="MAO1" s="224"/>
      <c r="MAP1" s="224"/>
      <c r="MAQ1" s="224"/>
      <c r="MAR1" s="224"/>
      <c r="MAS1" s="224"/>
      <c r="MAT1" s="224"/>
      <c r="MAU1" s="224"/>
      <c r="MAV1" s="224"/>
      <c r="MAW1" s="224"/>
      <c r="MAX1" s="224"/>
      <c r="MAY1" s="224"/>
      <c r="MAZ1" s="224"/>
      <c r="MBA1" s="224"/>
      <c r="MBB1" s="224"/>
      <c r="MBC1" s="224"/>
      <c r="MBD1" s="224"/>
      <c r="MBE1" s="224"/>
      <c r="MBF1" s="224"/>
      <c r="MBG1" s="224"/>
      <c r="MBH1" s="224"/>
      <c r="MBI1" s="224"/>
      <c r="MBJ1" s="224"/>
      <c r="MBK1" s="224"/>
      <c r="MBL1" s="224"/>
      <c r="MBM1" s="224"/>
      <c r="MBN1" s="224"/>
      <c r="MBO1" s="224"/>
      <c r="MBP1" s="224"/>
      <c r="MBQ1" s="224"/>
      <c r="MBR1" s="224"/>
      <c r="MBS1" s="224"/>
      <c r="MBT1" s="224"/>
      <c r="MBU1" s="224"/>
      <c r="MBV1" s="224"/>
      <c r="MBW1" s="224"/>
      <c r="MBX1" s="224"/>
      <c r="MBY1" s="224"/>
      <c r="MBZ1" s="224"/>
      <c r="MCA1" s="224"/>
      <c r="MCB1" s="224"/>
      <c r="MCC1" s="224"/>
      <c r="MCD1" s="224"/>
      <c r="MCE1" s="224"/>
      <c r="MCF1" s="224"/>
      <c r="MCG1" s="224"/>
      <c r="MCH1" s="224"/>
      <c r="MCI1" s="224"/>
      <c r="MCJ1" s="224"/>
      <c r="MCK1" s="224"/>
      <c r="MCL1" s="224"/>
      <c r="MCM1" s="224"/>
      <c r="MCN1" s="224"/>
      <c r="MCO1" s="224"/>
      <c r="MCP1" s="224"/>
      <c r="MCQ1" s="224"/>
      <c r="MCR1" s="224"/>
      <c r="MCS1" s="224"/>
      <c r="MCT1" s="224"/>
      <c r="MCU1" s="224"/>
      <c r="MCV1" s="224"/>
      <c r="MCW1" s="224"/>
      <c r="MCX1" s="224"/>
      <c r="MCY1" s="224"/>
      <c r="MCZ1" s="224"/>
      <c r="MDA1" s="224"/>
      <c r="MDB1" s="224"/>
      <c r="MDC1" s="224"/>
      <c r="MDD1" s="224"/>
      <c r="MDE1" s="224"/>
      <c r="MDF1" s="224"/>
      <c r="MDG1" s="224"/>
      <c r="MDH1" s="224"/>
      <c r="MDI1" s="224"/>
      <c r="MDJ1" s="224"/>
      <c r="MDK1" s="224"/>
      <c r="MDL1" s="224"/>
      <c r="MDM1" s="224"/>
      <c r="MDN1" s="224"/>
      <c r="MDO1" s="224"/>
      <c r="MDP1" s="224"/>
      <c r="MDQ1" s="224"/>
      <c r="MDR1" s="224"/>
      <c r="MDS1" s="224"/>
      <c r="MDT1" s="224"/>
      <c r="MDU1" s="224"/>
      <c r="MDV1" s="224"/>
      <c r="MDW1" s="224"/>
      <c r="MDX1" s="224"/>
      <c r="MDY1" s="224"/>
      <c r="MDZ1" s="224"/>
      <c r="MEA1" s="224"/>
      <c r="MEB1" s="224"/>
      <c r="MEC1" s="224"/>
      <c r="MED1" s="224"/>
      <c r="MEE1" s="224"/>
      <c r="MEF1" s="224"/>
      <c r="MEG1" s="224"/>
      <c r="MEH1" s="224"/>
      <c r="MEI1" s="224"/>
      <c r="MEJ1" s="224"/>
      <c r="MEK1" s="224"/>
      <c r="MEL1" s="224"/>
      <c r="MEM1" s="224"/>
      <c r="MEN1" s="224"/>
      <c r="MEO1" s="224"/>
      <c r="MEP1" s="224"/>
      <c r="MEQ1" s="224"/>
      <c r="MER1" s="224"/>
      <c r="MES1" s="224"/>
      <c r="MET1" s="224"/>
      <c r="MEU1" s="224"/>
      <c r="MEV1" s="224"/>
      <c r="MEW1" s="224"/>
      <c r="MEX1" s="224"/>
      <c r="MEY1" s="224"/>
      <c r="MEZ1" s="224"/>
      <c r="MFA1" s="224"/>
      <c r="MFB1" s="224"/>
      <c r="MFC1" s="224"/>
      <c r="MFD1" s="224"/>
      <c r="MFE1" s="224"/>
      <c r="MFF1" s="224"/>
      <c r="MFG1" s="224"/>
      <c r="MFH1" s="224"/>
      <c r="MFI1" s="224"/>
      <c r="MFJ1" s="224"/>
      <c r="MFK1" s="224"/>
      <c r="MFL1" s="224"/>
      <c r="MFM1" s="224"/>
      <c r="MFN1" s="224"/>
      <c r="MFO1" s="224"/>
      <c r="MFP1" s="224"/>
      <c r="MFQ1" s="224"/>
      <c r="MFR1" s="224"/>
      <c r="MFS1" s="224"/>
      <c r="MFT1" s="224"/>
      <c r="MFU1" s="224"/>
      <c r="MFV1" s="224"/>
      <c r="MFW1" s="224"/>
      <c r="MFX1" s="224"/>
      <c r="MFY1" s="224"/>
      <c r="MFZ1" s="224"/>
      <c r="MGA1" s="224"/>
      <c r="MGB1" s="224"/>
      <c r="MGC1" s="224"/>
      <c r="MGD1" s="224"/>
      <c r="MGE1" s="224"/>
      <c r="MGF1" s="224"/>
      <c r="MGG1" s="224"/>
      <c r="MGH1" s="224"/>
      <c r="MGI1" s="224"/>
      <c r="MGJ1" s="224"/>
      <c r="MGK1" s="224"/>
      <c r="MGL1" s="224"/>
      <c r="MGM1" s="224"/>
      <c r="MGN1" s="224"/>
      <c r="MGO1" s="224"/>
      <c r="MGP1" s="224"/>
      <c r="MGQ1" s="224"/>
      <c r="MGR1" s="224"/>
      <c r="MGS1" s="224"/>
      <c r="MGT1" s="224"/>
      <c r="MGU1" s="224"/>
      <c r="MGV1" s="224"/>
      <c r="MGW1" s="224"/>
      <c r="MGX1" s="224"/>
      <c r="MGY1" s="224"/>
      <c r="MGZ1" s="224"/>
      <c r="MHA1" s="224"/>
      <c r="MHB1" s="224"/>
      <c r="MHC1" s="224"/>
      <c r="MHD1" s="224"/>
      <c r="MHE1" s="224"/>
      <c r="MHF1" s="224"/>
      <c r="MHG1" s="224"/>
      <c r="MHH1" s="224"/>
      <c r="MHI1" s="224"/>
      <c r="MHJ1" s="224"/>
      <c r="MHK1" s="224"/>
      <c r="MHL1" s="224"/>
      <c r="MHM1" s="224"/>
      <c r="MHN1" s="224"/>
      <c r="MHO1" s="224"/>
      <c r="MHP1" s="224"/>
      <c r="MHQ1" s="224"/>
      <c r="MHR1" s="224"/>
      <c r="MHS1" s="224"/>
      <c r="MHT1" s="224"/>
      <c r="MHU1" s="224"/>
      <c r="MHV1" s="224"/>
      <c r="MHW1" s="224"/>
      <c r="MHX1" s="224"/>
      <c r="MHY1" s="224"/>
      <c r="MHZ1" s="224"/>
      <c r="MIA1" s="224"/>
      <c r="MIB1" s="224"/>
      <c r="MIC1" s="224"/>
      <c r="MID1" s="224"/>
      <c r="MIE1" s="224"/>
      <c r="MIF1" s="224"/>
      <c r="MIG1" s="224"/>
      <c r="MIH1" s="224"/>
      <c r="MII1" s="224"/>
      <c r="MIJ1" s="224"/>
      <c r="MIK1" s="224"/>
      <c r="MIL1" s="224"/>
      <c r="MIM1" s="224"/>
      <c r="MIN1" s="224"/>
      <c r="MIO1" s="224"/>
      <c r="MIP1" s="224"/>
      <c r="MIQ1" s="224"/>
      <c r="MIR1" s="224"/>
      <c r="MIS1" s="224"/>
      <c r="MIT1" s="224"/>
      <c r="MIU1" s="224"/>
      <c r="MIV1" s="224"/>
      <c r="MIW1" s="224"/>
      <c r="MIX1" s="224"/>
      <c r="MIY1" s="224"/>
      <c r="MIZ1" s="224"/>
      <c r="MJA1" s="224"/>
      <c r="MJB1" s="224"/>
      <c r="MJC1" s="224"/>
      <c r="MJD1" s="224"/>
      <c r="MJE1" s="224"/>
      <c r="MJF1" s="224"/>
      <c r="MJG1" s="224"/>
      <c r="MJH1" s="224"/>
      <c r="MJI1" s="224"/>
      <c r="MJJ1" s="224"/>
      <c r="MJK1" s="224"/>
      <c r="MJL1" s="224"/>
      <c r="MJM1" s="224"/>
      <c r="MJN1" s="224"/>
      <c r="MJO1" s="224"/>
      <c r="MJP1" s="224"/>
      <c r="MJQ1" s="224"/>
      <c r="MJR1" s="224"/>
      <c r="MJS1" s="224"/>
      <c r="MJT1" s="224"/>
      <c r="MJU1" s="224"/>
      <c r="MJV1" s="224"/>
      <c r="MJW1" s="224"/>
      <c r="MJX1" s="224"/>
      <c r="MJY1" s="224"/>
      <c r="MJZ1" s="224"/>
      <c r="MKA1" s="224"/>
      <c r="MKB1" s="224"/>
      <c r="MKC1" s="224"/>
      <c r="MKD1" s="224"/>
      <c r="MKE1" s="224"/>
      <c r="MKF1" s="224"/>
      <c r="MKG1" s="224"/>
      <c r="MKH1" s="224"/>
      <c r="MKI1" s="224"/>
      <c r="MKJ1" s="224"/>
      <c r="MKK1" s="224"/>
      <c r="MKL1" s="224"/>
      <c r="MKM1" s="224"/>
      <c r="MKN1" s="224"/>
      <c r="MKO1" s="224"/>
      <c r="MKP1" s="224"/>
      <c r="MKQ1" s="224"/>
      <c r="MKR1" s="224"/>
      <c r="MKS1" s="224"/>
      <c r="MKT1" s="224"/>
      <c r="MKU1" s="224"/>
      <c r="MKV1" s="224"/>
      <c r="MKW1" s="224"/>
      <c r="MKX1" s="224"/>
      <c r="MKY1" s="224"/>
      <c r="MKZ1" s="224"/>
      <c r="MLA1" s="224"/>
      <c r="MLB1" s="224"/>
      <c r="MLC1" s="224"/>
      <c r="MLD1" s="224"/>
      <c r="MLE1" s="224"/>
      <c r="MLF1" s="224"/>
      <c r="MLG1" s="224"/>
      <c r="MLH1" s="224"/>
      <c r="MLI1" s="224"/>
      <c r="MLJ1" s="224"/>
      <c r="MLK1" s="224"/>
      <c r="MLL1" s="224"/>
      <c r="MLM1" s="224"/>
      <c r="MLN1" s="224"/>
      <c r="MLO1" s="224"/>
      <c r="MLP1" s="224"/>
      <c r="MLQ1" s="224"/>
      <c r="MLR1" s="224"/>
      <c r="MLS1" s="224"/>
      <c r="MLT1" s="224"/>
      <c r="MLU1" s="224"/>
      <c r="MLV1" s="224"/>
      <c r="MLW1" s="224"/>
      <c r="MLX1" s="224"/>
      <c r="MLY1" s="224"/>
      <c r="MLZ1" s="224"/>
      <c r="MMA1" s="224"/>
      <c r="MMB1" s="224"/>
      <c r="MMC1" s="224"/>
      <c r="MMD1" s="224"/>
      <c r="MME1" s="224"/>
      <c r="MMF1" s="224"/>
      <c r="MMG1" s="224"/>
      <c r="MMH1" s="224"/>
      <c r="MMI1" s="224"/>
      <c r="MMJ1" s="224"/>
      <c r="MMK1" s="224"/>
      <c r="MML1" s="224"/>
      <c r="MMM1" s="224"/>
      <c r="MMN1" s="224"/>
      <c r="MMO1" s="224"/>
      <c r="MMP1" s="224"/>
      <c r="MMQ1" s="224"/>
      <c r="MMR1" s="224"/>
      <c r="MMS1" s="224"/>
      <c r="MMT1" s="224"/>
      <c r="MMU1" s="224"/>
      <c r="MMV1" s="224"/>
      <c r="MMW1" s="224"/>
      <c r="MMX1" s="224"/>
      <c r="MMY1" s="224"/>
      <c r="MMZ1" s="224"/>
      <c r="MNA1" s="224"/>
      <c r="MNB1" s="224"/>
      <c r="MNC1" s="224"/>
      <c r="MND1" s="224"/>
      <c r="MNE1" s="224"/>
      <c r="MNF1" s="224"/>
      <c r="MNG1" s="224"/>
      <c r="MNH1" s="224"/>
      <c r="MNI1" s="224"/>
      <c r="MNJ1" s="224"/>
      <c r="MNK1" s="224"/>
      <c r="MNL1" s="224"/>
      <c r="MNM1" s="224"/>
      <c r="MNN1" s="224"/>
      <c r="MNO1" s="224"/>
      <c r="MNP1" s="224"/>
      <c r="MNQ1" s="224"/>
      <c r="MNR1" s="224"/>
      <c r="MNS1" s="224"/>
      <c r="MNT1" s="224"/>
      <c r="MNU1" s="224"/>
      <c r="MNV1" s="224"/>
      <c r="MNW1" s="224"/>
      <c r="MNX1" s="224"/>
      <c r="MNY1" s="224"/>
      <c r="MNZ1" s="224"/>
      <c r="MOA1" s="224"/>
      <c r="MOB1" s="224"/>
      <c r="MOC1" s="224"/>
      <c r="MOD1" s="224"/>
      <c r="MOE1" s="224"/>
      <c r="MOF1" s="224"/>
      <c r="MOG1" s="224"/>
      <c r="MOH1" s="224"/>
      <c r="MOI1" s="224"/>
      <c r="MOJ1" s="224"/>
      <c r="MOK1" s="224"/>
      <c r="MOL1" s="224"/>
      <c r="MOM1" s="224"/>
      <c r="MON1" s="224"/>
      <c r="MOO1" s="224"/>
      <c r="MOP1" s="224"/>
      <c r="MOQ1" s="224"/>
      <c r="MOR1" s="224"/>
      <c r="MOS1" s="224"/>
      <c r="MOT1" s="224"/>
      <c r="MOU1" s="224"/>
      <c r="MOV1" s="224"/>
      <c r="MOW1" s="224"/>
      <c r="MOX1" s="224"/>
      <c r="MOY1" s="224"/>
      <c r="MOZ1" s="224"/>
      <c r="MPA1" s="224"/>
      <c r="MPB1" s="224"/>
      <c r="MPC1" s="224"/>
      <c r="MPD1" s="224"/>
      <c r="MPE1" s="224"/>
      <c r="MPF1" s="224"/>
      <c r="MPG1" s="224"/>
      <c r="MPH1" s="224"/>
      <c r="MPI1" s="224"/>
      <c r="MPJ1" s="224"/>
      <c r="MPK1" s="224"/>
      <c r="MPL1" s="224"/>
      <c r="MPM1" s="224"/>
      <c r="MPN1" s="224"/>
      <c r="MPO1" s="224"/>
      <c r="MPP1" s="224"/>
      <c r="MPQ1" s="224"/>
      <c r="MPR1" s="224"/>
      <c r="MPS1" s="224"/>
      <c r="MPT1" s="224"/>
      <c r="MPU1" s="224"/>
      <c r="MPV1" s="224"/>
      <c r="MPW1" s="224"/>
      <c r="MPX1" s="224"/>
      <c r="MPY1" s="224"/>
      <c r="MPZ1" s="224"/>
      <c r="MQA1" s="224"/>
      <c r="MQB1" s="224"/>
      <c r="MQC1" s="224"/>
      <c r="MQD1" s="224"/>
      <c r="MQE1" s="224"/>
      <c r="MQF1" s="224"/>
      <c r="MQG1" s="224"/>
      <c r="MQH1" s="224"/>
      <c r="MQI1" s="224"/>
      <c r="MQJ1" s="224"/>
      <c r="MQK1" s="224"/>
      <c r="MQL1" s="224"/>
      <c r="MQM1" s="224"/>
      <c r="MQN1" s="224"/>
      <c r="MQO1" s="224"/>
      <c r="MQP1" s="224"/>
      <c r="MQQ1" s="224"/>
      <c r="MQR1" s="224"/>
      <c r="MQS1" s="224"/>
      <c r="MQT1" s="224"/>
      <c r="MQU1" s="224"/>
      <c r="MQV1" s="224"/>
      <c r="MQW1" s="224"/>
      <c r="MQX1" s="224"/>
      <c r="MQY1" s="224"/>
      <c r="MQZ1" s="224"/>
      <c r="MRA1" s="224"/>
      <c r="MRB1" s="224"/>
      <c r="MRC1" s="224"/>
      <c r="MRD1" s="224"/>
      <c r="MRE1" s="224"/>
      <c r="MRF1" s="224"/>
      <c r="MRG1" s="224"/>
      <c r="MRH1" s="224"/>
      <c r="MRI1" s="224"/>
      <c r="MRJ1" s="224"/>
      <c r="MRK1" s="224"/>
      <c r="MRL1" s="224"/>
      <c r="MRM1" s="224"/>
      <c r="MRN1" s="224"/>
      <c r="MRO1" s="224"/>
      <c r="MRP1" s="224"/>
      <c r="MRQ1" s="224"/>
      <c r="MRR1" s="224"/>
      <c r="MRS1" s="224"/>
      <c r="MRT1" s="224"/>
      <c r="MRU1" s="224"/>
      <c r="MRV1" s="224"/>
      <c r="MRW1" s="224"/>
      <c r="MRX1" s="224"/>
      <c r="MRY1" s="224"/>
      <c r="MRZ1" s="224"/>
      <c r="MSA1" s="224"/>
      <c r="MSB1" s="224"/>
      <c r="MSC1" s="224"/>
      <c r="MSD1" s="224"/>
      <c r="MSE1" s="224"/>
      <c r="MSF1" s="224"/>
      <c r="MSG1" s="224"/>
      <c r="MSH1" s="224"/>
      <c r="MSI1" s="224"/>
      <c r="MSJ1" s="224"/>
      <c r="MSK1" s="224"/>
      <c r="MSL1" s="224"/>
      <c r="MSM1" s="224"/>
      <c r="MSN1" s="224"/>
      <c r="MSO1" s="224"/>
      <c r="MSP1" s="224"/>
      <c r="MSQ1" s="224"/>
      <c r="MSR1" s="224"/>
      <c r="MSS1" s="224"/>
      <c r="MST1" s="224"/>
      <c r="MSU1" s="224"/>
      <c r="MSV1" s="224"/>
      <c r="MSW1" s="224"/>
      <c r="MSX1" s="224"/>
      <c r="MSY1" s="224"/>
      <c r="MSZ1" s="224"/>
      <c r="MTA1" s="224"/>
      <c r="MTB1" s="224"/>
      <c r="MTC1" s="224"/>
      <c r="MTD1" s="224"/>
      <c r="MTE1" s="224"/>
      <c r="MTF1" s="224"/>
      <c r="MTG1" s="224"/>
      <c r="MTH1" s="224"/>
      <c r="MTI1" s="224"/>
      <c r="MTJ1" s="224"/>
      <c r="MTK1" s="224"/>
      <c r="MTL1" s="224"/>
      <c r="MTM1" s="224"/>
      <c r="MTN1" s="224"/>
      <c r="MTO1" s="224"/>
      <c r="MTP1" s="224"/>
      <c r="MTQ1" s="224"/>
      <c r="MTR1" s="224"/>
      <c r="MTS1" s="224"/>
      <c r="MTT1" s="224"/>
      <c r="MTU1" s="224"/>
      <c r="MTV1" s="224"/>
      <c r="MTW1" s="224"/>
      <c r="MTX1" s="224"/>
      <c r="MTY1" s="224"/>
      <c r="MTZ1" s="224"/>
      <c r="MUA1" s="224"/>
      <c r="MUB1" s="224"/>
      <c r="MUC1" s="224"/>
      <c r="MUD1" s="224"/>
      <c r="MUE1" s="224"/>
      <c r="MUF1" s="224"/>
      <c r="MUG1" s="224"/>
      <c r="MUH1" s="224"/>
      <c r="MUI1" s="224"/>
      <c r="MUJ1" s="224"/>
      <c r="MUK1" s="224"/>
      <c r="MUL1" s="224"/>
      <c r="MUM1" s="224"/>
      <c r="MUN1" s="224"/>
      <c r="MUO1" s="224"/>
      <c r="MUP1" s="224"/>
      <c r="MUQ1" s="224"/>
      <c r="MUR1" s="224"/>
      <c r="MUS1" s="224"/>
      <c r="MUT1" s="224"/>
      <c r="MUU1" s="224"/>
      <c r="MUV1" s="224"/>
      <c r="MUW1" s="224"/>
      <c r="MUX1" s="224"/>
      <c r="MUY1" s="224"/>
      <c r="MUZ1" s="224"/>
      <c r="MVA1" s="224"/>
      <c r="MVB1" s="224"/>
      <c r="MVC1" s="224"/>
      <c r="MVD1" s="224"/>
      <c r="MVE1" s="224"/>
      <c r="MVF1" s="224"/>
      <c r="MVG1" s="224"/>
      <c r="MVH1" s="224"/>
      <c r="MVI1" s="224"/>
      <c r="MVJ1" s="224"/>
      <c r="MVK1" s="224"/>
      <c r="MVL1" s="224"/>
      <c r="MVM1" s="224"/>
      <c r="MVN1" s="224"/>
      <c r="MVO1" s="224"/>
      <c r="MVP1" s="224"/>
      <c r="MVQ1" s="224"/>
      <c r="MVR1" s="224"/>
      <c r="MVS1" s="224"/>
      <c r="MVT1" s="224"/>
      <c r="MVU1" s="224"/>
      <c r="MVV1" s="224"/>
      <c r="MVW1" s="224"/>
      <c r="MVX1" s="224"/>
      <c r="MVY1" s="224"/>
      <c r="MVZ1" s="224"/>
      <c r="MWA1" s="224"/>
      <c r="MWB1" s="224"/>
      <c r="MWC1" s="224"/>
      <c r="MWD1" s="224"/>
      <c r="MWE1" s="224"/>
      <c r="MWF1" s="224"/>
      <c r="MWG1" s="224"/>
      <c r="MWH1" s="224"/>
      <c r="MWI1" s="224"/>
      <c r="MWJ1" s="224"/>
      <c r="MWK1" s="224"/>
      <c r="MWL1" s="224"/>
      <c r="MWM1" s="224"/>
      <c r="MWN1" s="224"/>
      <c r="MWO1" s="224"/>
      <c r="MWP1" s="224"/>
      <c r="MWQ1" s="224"/>
      <c r="MWR1" s="224"/>
      <c r="MWS1" s="224"/>
      <c r="MWT1" s="224"/>
      <c r="MWU1" s="224"/>
      <c r="MWV1" s="224"/>
      <c r="MWW1" s="224"/>
      <c r="MWX1" s="224"/>
      <c r="MWY1" s="224"/>
      <c r="MWZ1" s="224"/>
      <c r="MXA1" s="224"/>
      <c r="MXB1" s="224"/>
      <c r="MXC1" s="224"/>
      <c r="MXD1" s="224"/>
      <c r="MXE1" s="224"/>
      <c r="MXF1" s="224"/>
      <c r="MXG1" s="224"/>
      <c r="MXH1" s="224"/>
      <c r="MXI1" s="224"/>
      <c r="MXJ1" s="224"/>
      <c r="MXK1" s="224"/>
      <c r="MXL1" s="224"/>
      <c r="MXM1" s="224"/>
      <c r="MXN1" s="224"/>
      <c r="MXO1" s="224"/>
      <c r="MXP1" s="224"/>
      <c r="MXQ1" s="224"/>
      <c r="MXR1" s="224"/>
      <c r="MXS1" s="224"/>
      <c r="MXT1" s="224"/>
      <c r="MXU1" s="224"/>
      <c r="MXV1" s="224"/>
      <c r="MXW1" s="224"/>
      <c r="MXX1" s="224"/>
      <c r="MXY1" s="224"/>
      <c r="MXZ1" s="224"/>
      <c r="MYA1" s="224"/>
      <c r="MYB1" s="224"/>
      <c r="MYC1" s="224"/>
      <c r="MYD1" s="224"/>
      <c r="MYE1" s="224"/>
      <c r="MYF1" s="224"/>
      <c r="MYG1" s="224"/>
      <c r="MYH1" s="224"/>
      <c r="MYI1" s="224"/>
      <c r="MYJ1" s="224"/>
      <c r="MYK1" s="224"/>
      <c r="MYL1" s="224"/>
      <c r="MYM1" s="224"/>
      <c r="MYN1" s="224"/>
      <c r="MYO1" s="224"/>
      <c r="MYP1" s="224"/>
      <c r="MYQ1" s="224"/>
      <c r="MYR1" s="224"/>
      <c r="MYS1" s="224"/>
      <c r="MYT1" s="224"/>
      <c r="MYU1" s="224"/>
      <c r="MYV1" s="224"/>
      <c r="MYW1" s="224"/>
      <c r="MYX1" s="224"/>
      <c r="MYY1" s="224"/>
      <c r="MYZ1" s="224"/>
      <c r="MZA1" s="224"/>
      <c r="MZB1" s="224"/>
      <c r="MZC1" s="224"/>
      <c r="MZD1" s="224"/>
      <c r="MZE1" s="224"/>
      <c r="MZF1" s="224"/>
      <c r="MZG1" s="224"/>
      <c r="MZH1" s="224"/>
      <c r="MZI1" s="224"/>
      <c r="MZJ1" s="224"/>
      <c r="MZK1" s="224"/>
      <c r="MZL1" s="224"/>
      <c r="MZM1" s="224"/>
      <c r="MZN1" s="224"/>
      <c r="MZO1" s="224"/>
      <c r="MZP1" s="224"/>
      <c r="MZQ1" s="224"/>
      <c r="MZR1" s="224"/>
      <c r="MZS1" s="224"/>
      <c r="MZT1" s="224"/>
      <c r="MZU1" s="224"/>
      <c r="MZV1" s="224"/>
      <c r="MZW1" s="224"/>
      <c r="MZX1" s="224"/>
      <c r="MZY1" s="224"/>
      <c r="MZZ1" s="224"/>
      <c r="NAA1" s="224"/>
      <c r="NAB1" s="224"/>
      <c r="NAC1" s="224"/>
      <c r="NAD1" s="224"/>
      <c r="NAE1" s="224"/>
      <c r="NAF1" s="224"/>
      <c r="NAG1" s="224"/>
      <c r="NAH1" s="224"/>
      <c r="NAI1" s="224"/>
      <c r="NAJ1" s="224"/>
      <c r="NAK1" s="224"/>
      <c r="NAL1" s="224"/>
      <c r="NAM1" s="224"/>
      <c r="NAN1" s="224"/>
      <c r="NAO1" s="224"/>
      <c r="NAP1" s="224"/>
      <c r="NAQ1" s="224"/>
      <c r="NAR1" s="224"/>
      <c r="NAS1" s="224"/>
      <c r="NAT1" s="224"/>
      <c r="NAU1" s="224"/>
      <c r="NAV1" s="224"/>
      <c r="NAW1" s="224"/>
      <c r="NAX1" s="224"/>
      <c r="NAY1" s="224"/>
      <c r="NAZ1" s="224"/>
      <c r="NBA1" s="224"/>
      <c r="NBB1" s="224"/>
      <c r="NBC1" s="224"/>
      <c r="NBD1" s="224"/>
      <c r="NBE1" s="224"/>
      <c r="NBF1" s="224"/>
      <c r="NBG1" s="224"/>
      <c r="NBH1" s="224"/>
      <c r="NBI1" s="224"/>
      <c r="NBJ1" s="224"/>
      <c r="NBK1" s="224"/>
      <c r="NBL1" s="224"/>
      <c r="NBM1" s="224"/>
      <c r="NBN1" s="224"/>
      <c r="NBO1" s="224"/>
      <c r="NBP1" s="224"/>
      <c r="NBQ1" s="224"/>
      <c r="NBR1" s="224"/>
      <c r="NBS1" s="224"/>
      <c r="NBT1" s="224"/>
      <c r="NBU1" s="224"/>
      <c r="NBV1" s="224"/>
      <c r="NBW1" s="224"/>
      <c r="NBX1" s="224"/>
      <c r="NBY1" s="224"/>
      <c r="NBZ1" s="224"/>
      <c r="NCA1" s="224"/>
      <c r="NCB1" s="224"/>
      <c r="NCC1" s="224"/>
      <c r="NCD1" s="224"/>
      <c r="NCE1" s="224"/>
      <c r="NCF1" s="224"/>
      <c r="NCG1" s="224"/>
      <c r="NCH1" s="224"/>
      <c r="NCI1" s="224"/>
      <c r="NCJ1" s="224"/>
      <c r="NCK1" s="224"/>
      <c r="NCL1" s="224"/>
      <c r="NCM1" s="224"/>
      <c r="NCN1" s="224"/>
      <c r="NCO1" s="224"/>
      <c r="NCP1" s="224"/>
      <c r="NCQ1" s="224"/>
      <c r="NCR1" s="224"/>
      <c r="NCS1" s="224"/>
      <c r="NCT1" s="224"/>
      <c r="NCU1" s="224"/>
      <c r="NCV1" s="224"/>
      <c r="NCW1" s="224"/>
      <c r="NCX1" s="224"/>
      <c r="NCY1" s="224"/>
      <c r="NCZ1" s="224"/>
      <c r="NDA1" s="224"/>
      <c r="NDB1" s="224"/>
      <c r="NDC1" s="224"/>
      <c r="NDD1" s="224"/>
      <c r="NDE1" s="224"/>
      <c r="NDF1" s="224"/>
      <c r="NDG1" s="224"/>
      <c r="NDH1" s="224"/>
      <c r="NDI1" s="224"/>
      <c r="NDJ1" s="224"/>
      <c r="NDK1" s="224"/>
      <c r="NDL1" s="224"/>
      <c r="NDM1" s="224"/>
      <c r="NDN1" s="224"/>
      <c r="NDO1" s="224"/>
      <c r="NDP1" s="224"/>
      <c r="NDQ1" s="224"/>
      <c r="NDR1" s="224"/>
      <c r="NDS1" s="224"/>
      <c r="NDT1" s="224"/>
      <c r="NDU1" s="224"/>
      <c r="NDV1" s="224"/>
      <c r="NDW1" s="224"/>
      <c r="NDX1" s="224"/>
      <c r="NDY1" s="224"/>
      <c r="NDZ1" s="224"/>
      <c r="NEA1" s="224"/>
      <c r="NEB1" s="224"/>
      <c r="NEC1" s="224"/>
      <c r="NED1" s="224"/>
      <c r="NEE1" s="224"/>
      <c r="NEF1" s="224"/>
      <c r="NEG1" s="224"/>
      <c r="NEH1" s="224"/>
      <c r="NEI1" s="224"/>
      <c r="NEJ1" s="224"/>
      <c r="NEK1" s="224"/>
      <c r="NEL1" s="224"/>
      <c r="NEM1" s="224"/>
      <c r="NEN1" s="224"/>
      <c r="NEO1" s="224"/>
      <c r="NEP1" s="224"/>
      <c r="NEQ1" s="224"/>
      <c r="NER1" s="224"/>
      <c r="NES1" s="224"/>
      <c r="NET1" s="224"/>
      <c r="NEU1" s="224"/>
      <c r="NEV1" s="224"/>
      <c r="NEW1" s="224"/>
      <c r="NEX1" s="224"/>
      <c r="NEY1" s="224"/>
      <c r="NEZ1" s="224"/>
      <c r="NFA1" s="224"/>
      <c r="NFB1" s="224"/>
      <c r="NFC1" s="224"/>
      <c r="NFD1" s="224"/>
      <c r="NFE1" s="224"/>
      <c r="NFF1" s="224"/>
      <c r="NFG1" s="224"/>
      <c r="NFH1" s="224"/>
      <c r="NFI1" s="224"/>
      <c r="NFJ1" s="224"/>
      <c r="NFK1" s="224"/>
      <c r="NFL1" s="224"/>
      <c r="NFM1" s="224"/>
      <c r="NFN1" s="224"/>
      <c r="NFO1" s="224"/>
      <c r="NFP1" s="224"/>
      <c r="NFQ1" s="224"/>
      <c r="NFR1" s="224"/>
      <c r="NFS1" s="224"/>
      <c r="NFT1" s="224"/>
      <c r="NFU1" s="224"/>
      <c r="NFV1" s="224"/>
      <c r="NFW1" s="224"/>
      <c r="NFX1" s="224"/>
      <c r="NFY1" s="224"/>
      <c r="NFZ1" s="224"/>
      <c r="NGA1" s="224"/>
      <c r="NGB1" s="224"/>
      <c r="NGC1" s="224"/>
      <c r="NGD1" s="224"/>
      <c r="NGE1" s="224"/>
      <c r="NGF1" s="224"/>
      <c r="NGG1" s="224"/>
      <c r="NGH1" s="224"/>
      <c r="NGI1" s="224"/>
      <c r="NGJ1" s="224"/>
      <c r="NGK1" s="224"/>
      <c r="NGL1" s="224"/>
      <c r="NGM1" s="224"/>
      <c r="NGN1" s="224"/>
      <c r="NGO1" s="224"/>
      <c r="NGP1" s="224"/>
      <c r="NGQ1" s="224"/>
      <c r="NGR1" s="224"/>
      <c r="NGS1" s="224"/>
      <c r="NGT1" s="224"/>
      <c r="NGU1" s="224"/>
      <c r="NGV1" s="224"/>
      <c r="NGW1" s="224"/>
      <c r="NGX1" s="224"/>
      <c r="NGY1" s="224"/>
      <c r="NGZ1" s="224"/>
      <c r="NHA1" s="224"/>
      <c r="NHB1" s="224"/>
      <c r="NHC1" s="224"/>
      <c r="NHD1" s="224"/>
      <c r="NHE1" s="224"/>
      <c r="NHF1" s="224"/>
      <c r="NHG1" s="224"/>
      <c r="NHH1" s="224"/>
      <c r="NHI1" s="224"/>
      <c r="NHJ1" s="224"/>
      <c r="NHK1" s="224"/>
      <c r="NHL1" s="224"/>
      <c r="NHM1" s="224"/>
      <c r="NHN1" s="224"/>
      <c r="NHO1" s="224"/>
      <c r="NHP1" s="224"/>
      <c r="NHQ1" s="224"/>
      <c r="NHR1" s="224"/>
      <c r="NHS1" s="224"/>
      <c r="NHT1" s="224"/>
      <c r="NHU1" s="224"/>
      <c r="NHV1" s="224"/>
      <c r="NHW1" s="224"/>
      <c r="NHX1" s="224"/>
      <c r="NHY1" s="224"/>
      <c r="NHZ1" s="224"/>
      <c r="NIA1" s="224"/>
      <c r="NIB1" s="224"/>
      <c r="NIC1" s="224"/>
      <c r="NID1" s="224"/>
      <c r="NIE1" s="224"/>
      <c r="NIF1" s="224"/>
      <c r="NIG1" s="224"/>
      <c r="NIH1" s="224"/>
      <c r="NII1" s="224"/>
      <c r="NIJ1" s="224"/>
      <c r="NIK1" s="224"/>
      <c r="NIL1" s="224"/>
      <c r="NIM1" s="224"/>
      <c r="NIN1" s="224"/>
      <c r="NIO1" s="224"/>
      <c r="NIP1" s="224"/>
      <c r="NIQ1" s="224"/>
      <c r="NIR1" s="224"/>
      <c r="NIS1" s="224"/>
      <c r="NIT1" s="224"/>
      <c r="NIU1" s="224"/>
      <c r="NIV1" s="224"/>
      <c r="NIW1" s="224"/>
      <c r="NIX1" s="224"/>
      <c r="NIY1" s="224"/>
      <c r="NIZ1" s="224"/>
      <c r="NJA1" s="224"/>
      <c r="NJB1" s="224"/>
      <c r="NJC1" s="224"/>
      <c r="NJD1" s="224"/>
      <c r="NJE1" s="224"/>
      <c r="NJF1" s="224"/>
      <c r="NJG1" s="224"/>
      <c r="NJH1" s="224"/>
      <c r="NJI1" s="224"/>
      <c r="NJJ1" s="224"/>
      <c r="NJK1" s="224"/>
      <c r="NJL1" s="224"/>
      <c r="NJM1" s="224"/>
      <c r="NJN1" s="224"/>
      <c r="NJO1" s="224"/>
      <c r="NJP1" s="224"/>
      <c r="NJQ1" s="224"/>
      <c r="NJR1" s="224"/>
      <c r="NJS1" s="224"/>
      <c r="NJT1" s="224"/>
      <c r="NJU1" s="224"/>
      <c r="NJV1" s="224"/>
      <c r="NJW1" s="224"/>
      <c r="NJX1" s="224"/>
      <c r="NJY1" s="224"/>
      <c r="NJZ1" s="224"/>
      <c r="NKA1" s="224"/>
      <c r="NKB1" s="224"/>
      <c r="NKC1" s="224"/>
      <c r="NKD1" s="224"/>
      <c r="NKE1" s="224"/>
      <c r="NKF1" s="224"/>
      <c r="NKG1" s="224"/>
      <c r="NKH1" s="224"/>
      <c r="NKI1" s="224"/>
      <c r="NKJ1" s="224"/>
      <c r="NKK1" s="224"/>
      <c r="NKL1" s="224"/>
      <c r="NKM1" s="224"/>
      <c r="NKN1" s="224"/>
      <c r="NKO1" s="224"/>
      <c r="NKP1" s="224"/>
      <c r="NKQ1" s="224"/>
      <c r="NKR1" s="224"/>
      <c r="NKS1" s="224"/>
      <c r="NKT1" s="224"/>
      <c r="NKU1" s="224"/>
      <c r="NKV1" s="224"/>
      <c r="NKW1" s="224"/>
      <c r="NKX1" s="224"/>
      <c r="NKY1" s="224"/>
      <c r="NKZ1" s="224"/>
      <c r="NLA1" s="224"/>
      <c r="NLB1" s="224"/>
      <c r="NLC1" s="224"/>
      <c r="NLD1" s="224"/>
      <c r="NLE1" s="224"/>
      <c r="NLF1" s="224"/>
      <c r="NLG1" s="224"/>
      <c r="NLH1" s="224"/>
      <c r="NLI1" s="224"/>
      <c r="NLJ1" s="224"/>
      <c r="NLK1" s="224"/>
      <c r="NLL1" s="224"/>
      <c r="NLM1" s="224"/>
      <c r="NLN1" s="224"/>
      <c r="NLO1" s="224"/>
      <c r="NLP1" s="224"/>
      <c r="NLQ1" s="224"/>
      <c r="NLR1" s="224"/>
      <c r="NLS1" s="224"/>
      <c r="NLT1" s="224"/>
      <c r="NLU1" s="224"/>
      <c r="NLV1" s="224"/>
      <c r="NLW1" s="224"/>
      <c r="NLX1" s="224"/>
      <c r="NLY1" s="224"/>
      <c r="NLZ1" s="224"/>
      <c r="NMA1" s="224"/>
      <c r="NMB1" s="224"/>
      <c r="NMC1" s="224"/>
      <c r="NMD1" s="224"/>
      <c r="NME1" s="224"/>
      <c r="NMF1" s="224"/>
      <c r="NMG1" s="224"/>
      <c r="NMH1" s="224"/>
      <c r="NMI1" s="224"/>
      <c r="NMJ1" s="224"/>
      <c r="NMK1" s="224"/>
      <c r="NML1" s="224"/>
      <c r="NMM1" s="224"/>
      <c r="NMN1" s="224"/>
      <c r="NMO1" s="224"/>
      <c r="NMP1" s="224"/>
      <c r="NMQ1" s="224"/>
      <c r="NMR1" s="224"/>
      <c r="NMS1" s="224"/>
      <c r="NMT1" s="224"/>
      <c r="NMU1" s="224"/>
      <c r="NMV1" s="224"/>
      <c r="NMW1" s="224"/>
      <c r="NMX1" s="224"/>
      <c r="NMY1" s="224"/>
      <c r="NMZ1" s="224"/>
      <c r="NNA1" s="224"/>
      <c r="NNB1" s="224"/>
      <c r="NNC1" s="224"/>
      <c r="NND1" s="224"/>
      <c r="NNE1" s="224"/>
      <c r="NNF1" s="224"/>
      <c r="NNG1" s="224"/>
      <c r="NNH1" s="224"/>
      <c r="NNI1" s="224"/>
      <c r="NNJ1" s="224"/>
      <c r="NNK1" s="224"/>
      <c r="NNL1" s="224"/>
      <c r="NNM1" s="224"/>
      <c r="NNN1" s="224"/>
      <c r="NNO1" s="224"/>
      <c r="NNP1" s="224"/>
      <c r="NNQ1" s="224"/>
      <c r="NNR1" s="224"/>
      <c r="NNS1" s="224"/>
      <c r="NNT1" s="224"/>
      <c r="NNU1" s="224"/>
      <c r="NNV1" s="224"/>
      <c r="NNW1" s="224"/>
      <c r="NNX1" s="224"/>
      <c r="NNY1" s="224"/>
      <c r="NNZ1" s="224"/>
      <c r="NOA1" s="224"/>
      <c r="NOB1" s="224"/>
      <c r="NOC1" s="224"/>
      <c r="NOD1" s="224"/>
      <c r="NOE1" s="224"/>
      <c r="NOF1" s="224"/>
      <c r="NOG1" s="224"/>
      <c r="NOH1" s="224"/>
      <c r="NOI1" s="224"/>
      <c r="NOJ1" s="224"/>
      <c r="NOK1" s="224"/>
      <c r="NOL1" s="224"/>
      <c r="NOM1" s="224"/>
      <c r="NON1" s="224"/>
      <c r="NOO1" s="224"/>
      <c r="NOP1" s="224"/>
      <c r="NOQ1" s="224"/>
      <c r="NOR1" s="224"/>
      <c r="NOS1" s="224"/>
      <c r="NOT1" s="224"/>
      <c r="NOU1" s="224"/>
      <c r="NOV1" s="224"/>
      <c r="NOW1" s="224"/>
      <c r="NOX1" s="224"/>
      <c r="NOY1" s="224"/>
      <c r="NOZ1" s="224"/>
      <c r="NPA1" s="224"/>
      <c r="NPB1" s="224"/>
      <c r="NPC1" s="224"/>
      <c r="NPD1" s="224"/>
      <c r="NPE1" s="224"/>
      <c r="NPF1" s="224"/>
      <c r="NPG1" s="224"/>
      <c r="NPH1" s="224"/>
      <c r="NPI1" s="224"/>
      <c r="NPJ1" s="224"/>
      <c r="NPK1" s="224"/>
      <c r="NPL1" s="224"/>
      <c r="NPM1" s="224"/>
      <c r="NPN1" s="224"/>
      <c r="NPO1" s="224"/>
      <c r="NPP1" s="224"/>
      <c r="NPQ1" s="224"/>
      <c r="NPR1" s="224"/>
      <c r="NPS1" s="224"/>
      <c r="NPT1" s="224"/>
      <c r="NPU1" s="224"/>
      <c r="NPV1" s="224"/>
      <c r="NPW1" s="224"/>
      <c r="NPX1" s="224"/>
      <c r="NPY1" s="224"/>
      <c r="NPZ1" s="224"/>
      <c r="NQA1" s="224"/>
      <c r="NQB1" s="224"/>
      <c r="NQC1" s="224"/>
      <c r="NQD1" s="224"/>
      <c r="NQE1" s="224"/>
      <c r="NQF1" s="224"/>
      <c r="NQG1" s="224"/>
      <c r="NQH1" s="224"/>
      <c r="NQI1" s="224"/>
      <c r="NQJ1" s="224"/>
      <c r="NQK1" s="224"/>
      <c r="NQL1" s="224"/>
      <c r="NQM1" s="224"/>
      <c r="NQN1" s="224"/>
      <c r="NQO1" s="224"/>
      <c r="NQP1" s="224"/>
      <c r="NQQ1" s="224"/>
      <c r="NQR1" s="224"/>
      <c r="NQS1" s="224"/>
      <c r="NQT1" s="224"/>
      <c r="NQU1" s="224"/>
      <c r="NQV1" s="224"/>
      <c r="NQW1" s="224"/>
      <c r="NQX1" s="224"/>
      <c r="NQY1" s="224"/>
      <c r="NQZ1" s="224"/>
      <c r="NRA1" s="224"/>
      <c r="NRB1" s="224"/>
      <c r="NRC1" s="224"/>
      <c r="NRD1" s="224"/>
      <c r="NRE1" s="224"/>
      <c r="NRF1" s="224"/>
      <c r="NRG1" s="224"/>
      <c r="NRH1" s="224"/>
      <c r="NRI1" s="224"/>
      <c r="NRJ1" s="224"/>
      <c r="NRK1" s="224"/>
      <c r="NRL1" s="224"/>
      <c r="NRM1" s="224"/>
      <c r="NRN1" s="224"/>
      <c r="NRO1" s="224"/>
      <c r="NRP1" s="224"/>
      <c r="NRQ1" s="224"/>
      <c r="NRR1" s="224"/>
      <c r="NRS1" s="224"/>
      <c r="NRT1" s="224"/>
      <c r="NRU1" s="224"/>
      <c r="NRV1" s="224"/>
      <c r="NRW1" s="224"/>
      <c r="NRX1" s="224"/>
      <c r="NRY1" s="224"/>
      <c r="NRZ1" s="224"/>
      <c r="NSA1" s="224"/>
      <c r="NSB1" s="224"/>
      <c r="NSC1" s="224"/>
      <c r="NSD1" s="224"/>
      <c r="NSE1" s="224"/>
      <c r="NSF1" s="224"/>
      <c r="NSG1" s="224"/>
      <c r="NSH1" s="224"/>
      <c r="NSI1" s="224"/>
      <c r="NSJ1" s="224"/>
      <c r="NSK1" s="224"/>
      <c r="NSL1" s="224"/>
      <c r="NSM1" s="224"/>
      <c r="NSN1" s="224"/>
      <c r="NSO1" s="224"/>
      <c r="NSP1" s="224"/>
      <c r="NSQ1" s="224"/>
      <c r="NSR1" s="224"/>
      <c r="NSS1" s="224"/>
      <c r="NST1" s="224"/>
      <c r="NSU1" s="224"/>
      <c r="NSV1" s="224"/>
      <c r="NSW1" s="224"/>
      <c r="NSX1" s="224"/>
      <c r="NSY1" s="224"/>
      <c r="NSZ1" s="224"/>
      <c r="NTA1" s="224"/>
      <c r="NTB1" s="224"/>
      <c r="NTC1" s="224"/>
      <c r="NTD1" s="224"/>
      <c r="NTE1" s="224"/>
      <c r="NTF1" s="224"/>
      <c r="NTG1" s="224"/>
      <c r="NTH1" s="224"/>
      <c r="NTI1" s="224"/>
      <c r="NTJ1" s="224"/>
      <c r="NTK1" s="224"/>
      <c r="NTL1" s="224"/>
      <c r="NTM1" s="224"/>
      <c r="NTN1" s="224"/>
      <c r="NTO1" s="224"/>
      <c r="NTP1" s="224"/>
      <c r="NTQ1" s="224"/>
      <c r="NTR1" s="224"/>
      <c r="NTS1" s="224"/>
      <c r="NTT1" s="224"/>
      <c r="NTU1" s="224"/>
      <c r="NTV1" s="224"/>
      <c r="NTW1" s="224"/>
      <c r="NTX1" s="224"/>
      <c r="NTY1" s="224"/>
      <c r="NTZ1" s="224"/>
      <c r="NUA1" s="224"/>
      <c r="NUB1" s="224"/>
      <c r="NUC1" s="224"/>
      <c r="NUD1" s="224"/>
      <c r="NUE1" s="224"/>
      <c r="NUF1" s="224"/>
      <c r="NUG1" s="224"/>
      <c r="NUH1" s="224"/>
      <c r="NUI1" s="224"/>
      <c r="NUJ1" s="224"/>
      <c r="NUK1" s="224"/>
      <c r="NUL1" s="224"/>
      <c r="NUM1" s="224"/>
      <c r="NUN1" s="224"/>
      <c r="NUO1" s="224"/>
      <c r="NUP1" s="224"/>
      <c r="NUQ1" s="224"/>
      <c r="NUR1" s="224"/>
      <c r="NUS1" s="224"/>
      <c r="NUT1" s="224"/>
      <c r="NUU1" s="224"/>
      <c r="NUV1" s="224"/>
      <c r="NUW1" s="224"/>
      <c r="NUX1" s="224"/>
      <c r="NUY1" s="224"/>
      <c r="NUZ1" s="224"/>
      <c r="NVA1" s="224"/>
      <c r="NVB1" s="224"/>
      <c r="NVC1" s="224"/>
      <c r="NVD1" s="224"/>
      <c r="NVE1" s="224"/>
      <c r="NVF1" s="224"/>
      <c r="NVG1" s="224"/>
      <c r="NVH1" s="224"/>
      <c r="NVI1" s="224"/>
      <c r="NVJ1" s="224"/>
      <c r="NVK1" s="224"/>
      <c r="NVL1" s="224"/>
      <c r="NVM1" s="224"/>
      <c r="NVN1" s="224"/>
      <c r="NVO1" s="224"/>
      <c r="NVP1" s="224"/>
      <c r="NVQ1" s="224"/>
      <c r="NVR1" s="224"/>
      <c r="NVS1" s="224"/>
      <c r="NVT1" s="224"/>
      <c r="NVU1" s="224"/>
      <c r="NVV1" s="224"/>
      <c r="NVW1" s="224"/>
      <c r="NVX1" s="224"/>
      <c r="NVY1" s="224"/>
      <c r="NVZ1" s="224"/>
      <c r="NWA1" s="224"/>
      <c r="NWB1" s="224"/>
      <c r="NWC1" s="224"/>
      <c r="NWD1" s="224"/>
      <c r="NWE1" s="224"/>
      <c r="NWF1" s="224"/>
      <c r="NWG1" s="224"/>
      <c r="NWH1" s="224"/>
      <c r="NWI1" s="224"/>
      <c r="NWJ1" s="224"/>
      <c r="NWK1" s="224"/>
      <c r="NWL1" s="224"/>
      <c r="NWM1" s="224"/>
      <c r="NWN1" s="224"/>
      <c r="NWO1" s="224"/>
      <c r="NWP1" s="224"/>
      <c r="NWQ1" s="224"/>
      <c r="NWR1" s="224"/>
      <c r="NWS1" s="224"/>
      <c r="NWT1" s="224"/>
      <c r="NWU1" s="224"/>
      <c r="NWV1" s="224"/>
      <c r="NWW1" s="224"/>
      <c r="NWX1" s="224"/>
      <c r="NWY1" s="224"/>
      <c r="NWZ1" s="224"/>
      <c r="NXA1" s="224"/>
      <c r="NXB1" s="224"/>
      <c r="NXC1" s="224"/>
      <c r="NXD1" s="224"/>
      <c r="NXE1" s="224"/>
      <c r="NXF1" s="224"/>
      <c r="NXG1" s="224"/>
      <c r="NXH1" s="224"/>
      <c r="NXI1" s="224"/>
      <c r="NXJ1" s="224"/>
      <c r="NXK1" s="224"/>
      <c r="NXL1" s="224"/>
      <c r="NXM1" s="224"/>
      <c r="NXN1" s="224"/>
      <c r="NXO1" s="224"/>
      <c r="NXP1" s="224"/>
      <c r="NXQ1" s="224"/>
      <c r="NXR1" s="224"/>
      <c r="NXS1" s="224"/>
      <c r="NXT1" s="224"/>
      <c r="NXU1" s="224"/>
      <c r="NXV1" s="224"/>
      <c r="NXW1" s="224"/>
      <c r="NXX1" s="224"/>
      <c r="NXY1" s="224"/>
      <c r="NXZ1" s="224"/>
      <c r="NYA1" s="224"/>
      <c r="NYB1" s="224"/>
      <c r="NYC1" s="224"/>
      <c r="NYD1" s="224"/>
      <c r="NYE1" s="224"/>
      <c r="NYF1" s="224"/>
      <c r="NYG1" s="224"/>
      <c r="NYH1" s="224"/>
      <c r="NYI1" s="224"/>
      <c r="NYJ1" s="224"/>
      <c r="NYK1" s="224"/>
      <c r="NYL1" s="224"/>
      <c r="NYM1" s="224"/>
      <c r="NYN1" s="224"/>
      <c r="NYO1" s="224"/>
      <c r="NYP1" s="224"/>
      <c r="NYQ1" s="224"/>
      <c r="NYR1" s="224"/>
      <c r="NYS1" s="224"/>
      <c r="NYT1" s="224"/>
      <c r="NYU1" s="224"/>
      <c r="NYV1" s="224"/>
      <c r="NYW1" s="224"/>
      <c r="NYX1" s="224"/>
      <c r="NYY1" s="224"/>
      <c r="NYZ1" s="224"/>
      <c r="NZA1" s="224"/>
      <c r="NZB1" s="224"/>
      <c r="NZC1" s="224"/>
      <c r="NZD1" s="224"/>
      <c r="NZE1" s="224"/>
      <c r="NZF1" s="224"/>
      <c r="NZG1" s="224"/>
      <c r="NZH1" s="224"/>
      <c r="NZI1" s="224"/>
      <c r="NZJ1" s="224"/>
      <c r="NZK1" s="224"/>
      <c r="NZL1" s="224"/>
      <c r="NZM1" s="224"/>
      <c r="NZN1" s="224"/>
      <c r="NZO1" s="224"/>
      <c r="NZP1" s="224"/>
      <c r="NZQ1" s="224"/>
      <c r="NZR1" s="224"/>
      <c r="NZS1" s="224"/>
      <c r="NZT1" s="224"/>
      <c r="NZU1" s="224"/>
      <c r="NZV1" s="224"/>
      <c r="NZW1" s="224"/>
      <c r="NZX1" s="224"/>
      <c r="NZY1" s="224"/>
      <c r="NZZ1" s="224"/>
      <c r="OAA1" s="224"/>
      <c r="OAB1" s="224"/>
      <c r="OAC1" s="224"/>
      <c r="OAD1" s="224"/>
      <c r="OAE1" s="224"/>
      <c r="OAF1" s="224"/>
      <c r="OAG1" s="224"/>
      <c r="OAH1" s="224"/>
      <c r="OAI1" s="224"/>
      <c r="OAJ1" s="224"/>
      <c r="OAK1" s="224"/>
      <c r="OAL1" s="224"/>
      <c r="OAM1" s="224"/>
      <c r="OAN1" s="224"/>
      <c r="OAO1" s="224"/>
      <c r="OAP1" s="224"/>
      <c r="OAQ1" s="224"/>
      <c r="OAR1" s="224"/>
      <c r="OAS1" s="224"/>
      <c r="OAT1" s="224"/>
      <c r="OAU1" s="224"/>
      <c r="OAV1" s="224"/>
      <c r="OAW1" s="224"/>
      <c r="OAX1" s="224"/>
      <c r="OAY1" s="224"/>
      <c r="OAZ1" s="224"/>
      <c r="OBA1" s="224"/>
      <c r="OBB1" s="224"/>
      <c r="OBC1" s="224"/>
      <c r="OBD1" s="224"/>
      <c r="OBE1" s="224"/>
      <c r="OBF1" s="224"/>
      <c r="OBG1" s="224"/>
      <c r="OBH1" s="224"/>
      <c r="OBI1" s="224"/>
      <c r="OBJ1" s="224"/>
      <c r="OBK1" s="224"/>
      <c r="OBL1" s="224"/>
      <c r="OBM1" s="224"/>
      <c r="OBN1" s="224"/>
      <c r="OBO1" s="224"/>
      <c r="OBP1" s="224"/>
      <c r="OBQ1" s="224"/>
      <c r="OBR1" s="224"/>
      <c r="OBS1" s="224"/>
      <c r="OBT1" s="224"/>
      <c r="OBU1" s="224"/>
      <c r="OBV1" s="224"/>
      <c r="OBW1" s="224"/>
      <c r="OBX1" s="224"/>
      <c r="OBY1" s="224"/>
      <c r="OBZ1" s="224"/>
      <c r="OCA1" s="224"/>
      <c r="OCB1" s="224"/>
      <c r="OCC1" s="224"/>
      <c r="OCD1" s="224"/>
      <c r="OCE1" s="224"/>
      <c r="OCF1" s="224"/>
      <c r="OCG1" s="224"/>
      <c r="OCH1" s="224"/>
      <c r="OCI1" s="224"/>
      <c r="OCJ1" s="224"/>
      <c r="OCK1" s="224"/>
      <c r="OCL1" s="224"/>
      <c r="OCM1" s="224"/>
      <c r="OCN1" s="224"/>
      <c r="OCO1" s="224"/>
      <c r="OCP1" s="224"/>
      <c r="OCQ1" s="224"/>
      <c r="OCR1" s="224"/>
      <c r="OCS1" s="224"/>
      <c r="OCT1" s="224"/>
      <c r="OCU1" s="224"/>
      <c r="OCV1" s="224"/>
      <c r="OCW1" s="224"/>
      <c r="OCX1" s="224"/>
      <c r="OCY1" s="224"/>
      <c r="OCZ1" s="224"/>
      <c r="ODA1" s="224"/>
      <c r="ODB1" s="224"/>
      <c r="ODC1" s="224"/>
      <c r="ODD1" s="224"/>
      <c r="ODE1" s="224"/>
      <c r="ODF1" s="224"/>
      <c r="ODG1" s="224"/>
      <c r="ODH1" s="224"/>
      <c r="ODI1" s="224"/>
      <c r="ODJ1" s="224"/>
      <c r="ODK1" s="224"/>
      <c r="ODL1" s="224"/>
      <c r="ODM1" s="224"/>
      <c r="ODN1" s="224"/>
      <c r="ODO1" s="224"/>
      <c r="ODP1" s="224"/>
      <c r="ODQ1" s="224"/>
      <c r="ODR1" s="224"/>
      <c r="ODS1" s="224"/>
      <c r="ODT1" s="224"/>
      <c r="ODU1" s="224"/>
      <c r="ODV1" s="224"/>
      <c r="ODW1" s="224"/>
      <c r="ODX1" s="224"/>
      <c r="ODY1" s="224"/>
      <c r="ODZ1" s="224"/>
      <c r="OEA1" s="224"/>
      <c r="OEB1" s="224"/>
      <c r="OEC1" s="224"/>
      <c r="OED1" s="224"/>
      <c r="OEE1" s="224"/>
      <c r="OEF1" s="224"/>
      <c r="OEG1" s="224"/>
      <c r="OEH1" s="224"/>
      <c r="OEI1" s="224"/>
      <c r="OEJ1" s="224"/>
      <c r="OEK1" s="224"/>
      <c r="OEL1" s="224"/>
      <c r="OEM1" s="224"/>
      <c r="OEN1" s="224"/>
      <c r="OEO1" s="224"/>
      <c r="OEP1" s="224"/>
      <c r="OEQ1" s="224"/>
      <c r="OER1" s="224"/>
      <c r="OES1" s="224"/>
      <c r="OET1" s="224"/>
      <c r="OEU1" s="224"/>
      <c r="OEV1" s="224"/>
      <c r="OEW1" s="224"/>
      <c r="OEX1" s="224"/>
      <c r="OEY1" s="224"/>
      <c r="OEZ1" s="224"/>
      <c r="OFA1" s="224"/>
      <c r="OFB1" s="224"/>
      <c r="OFC1" s="224"/>
      <c r="OFD1" s="224"/>
      <c r="OFE1" s="224"/>
      <c r="OFF1" s="224"/>
      <c r="OFG1" s="224"/>
      <c r="OFH1" s="224"/>
      <c r="OFI1" s="224"/>
      <c r="OFJ1" s="224"/>
      <c r="OFK1" s="224"/>
      <c r="OFL1" s="224"/>
      <c r="OFM1" s="224"/>
      <c r="OFN1" s="224"/>
      <c r="OFO1" s="224"/>
      <c r="OFP1" s="224"/>
      <c r="OFQ1" s="224"/>
      <c r="OFR1" s="224"/>
      <c r="OFS1" s="224"/>
      <c r="OFT1" s="224"/>
      <c r="OFU1" s="224"/>
      <c r="OFV1" s="224"/>
      <c r="OFW1" s="224"/>
      <c r="OFX1" s="224"/>
      <c r="OFY1" s="224"/>
      <c r="OFZ1" s="224"/>
      <c r="OGA1" s="224"/>
      <c r="OGB1" s="224"/>
      <c r="OGC1" s="224"/>
      <c r="OGD1" s="224"/>
      <c r="OGE1" s="224"/>
      <c r="OGF1" s="224"/>
      <c r="OGG1" s="224"/>
      <c r="OGH1" s="224"/>
      <c r="OGI1" s="224"/>
      <c r="OGJ1" s="224"/>
      <c r="OGK1" s="224"/>
      <c r="OGL1" s="224"/>
      <c r="OGM1" s="224"/>
      <c r="OGN1" s="224"/>
      <c r="OGO1" s="224"/>
      <c r="OGP1" s="224"/>
      <c r="OGQ1" s="224"/>
      <c r="OGR1" s="224"/>
      <c r="OGS1" s="224"/>
      <c r="OGT1" s="224"/>
      <c r="OGU1" s="224"/>
      <c r="OGV1" s="224"/>
      <c r="OGW1" s="224"/>
      <c r="OGX1" s="224"/>
      <c r="OGY1" s="224"/>
      <c r="OGZ1" s="224"/>
      <c r="OHA1" s="224"/>
      <c r="OHB1" s="224"/>
      <c r="OHC1" s="224"/>
      <c r="OHD1" s="224"/>
      <c r="OHE1" s="224"/>
      <c r="OHF1" s="224"/>
      <c r="OHG1" s="224"/>
      <c r="OHH1" s="224"/>
      <c r="OHI1" s="224"/>
      <c r="OHJ1" s="224"/>
      <c r="OHK1" s="224"/>
      <c r="OHL1" s="224"/>
      <c r="OHM1" s="224"/>
      <c r="OHN1" s="224"/>
      <c r="OHO1" s="224"/>
      <c r="OHP1" s="224"/>
      <c r="OHQ1" s="224"/>
      <c r="OHR1" s="224"/>
      <c r="OHS1" s="224"/>
      <c r="OHT1" s="224"/>
      <c r="OHU1" s="224"/>
      <c r="OHV1" s="224"/>
      <c r="OHW1" s="224"/>
      <c r="OHX1" s="224"/>
      <c r="OHY1" s="224"/>
      <c r="OHZ1" s="224"/>
      <c r="OIA1" s="224"/>
      <c r="OIB1" s="224"/>
      <c r="OIC1" s="224"/>
      <c r="OID1" s="224"/>
      <c r="OIE1" s="224"/>
      <c r="OIF1" s="224"/>
      <c r="OIG1" s="224"/>
      <c r="OIH1" s="224"/>
      <c r="OII1" s="224"/>
      <c r="OIJ1" s="224"/>
      <c r="OIK1" s="224"/>
      <c r="OIL1" s="224"/>
      <c r="OIM1" s="224"/>
      <c r="OIN1" s="224"/>
      <c r="OIO1" s="224"/>
      <c r="OIP1" s="224"/>
      <c r="OIQ1" s="224"/>
      <c r="OIR1" s="224"/>
      <c r="OIS1" s="224"/>
      <c r="OIT1" s="224"/>
      <c r="OIU1" s="224"/>
      <c r="OIV1" s="224"/>
      <c r="OIW1" s="224"/>
      <c r="OIX1" s="224"/>
      <c r="OIY1" s="224"/>
      <c r="OIZ1" s="224"/>
      <c r="OJA1" s="224"/>
      <c r="OJB1" s="224"/>
      <c r="OJC1" s="224"/>
      <c r="OJD1" s="224"/>
      <c r="OJE1" s="224"/>
      <c r="OJF1" s="224"/>
      <c r="OJG1" s="224"/>
      <c r="OJH1" s="224"/>
      <c r="OJI1" s="224"/>
      <c r="OJJ1" s="224"/>
      <c r="OJK1" s="224"/>
      <c r="OJL1" s="224"/>
      <c r="OJM1" s="224"/>
      <c r="OJN1" s="224"/>
      <c r="OJO1" s="224"/>
      <c r="OJP1" s="224"/>
      <c r="OJQ1" s="224"/>
      <c r="OJR1" s="224"/>
      <c r="OJS1" s="224"/>
      <c r="OJT1" s="224"/>
      <c r="OJU1" s="224"/>
      <c r="OJV1" s="224"/>
      <c r="OJW1" s="224"/>
      <c r="OJX1" s="224"/>
      <c r="OJY1" s="224"/>
      <c r="OJZ1" s="224"/>
      <c r="OKA1" s="224"/>
      <c r="OKB1" s="224"/>
      <c r="OKC1" s="224"/>
      <c r="OKD1" s="224"/>
      <c r="OKE1" s="224"/>
      <c r="OKF1" s="224"/>
      <c r="OKG1" s="224"/>
      <c r="OKH1" s="224"/>
      <c r="OKI1" s="224"/>
      <c r="OKJ1" s="224"/>
      <c r="OKK1" s="224"/>
      <c r="OKL1" s="224"/>
      <c r="OKM1" s="224"/>
      <c r="OKN1" s="224"/>
      <c r="OKO1" s="224"/>
      <c r="OKP1" s="224"/>
      <c r="OKQ1" s="224"/>
      <c r="OKR1" s="224"/>
      <c r="OKS1" s="224"/>
      <c r="OKT1" s="224"/>
      <c r="OKU1" s="224"/>
      <c r="OKV1" s="224"/>
      <c r="OKW1" s="224"/>
      <c r="OKX1" s="224"/>
      <c r="OKY1" s="224"/>
      <c r="OKZ1" s="224"/>
      <c r="OLA1" s="224"/>
      <c r="OLB1" s="224"/>
      <c r="OLC1" s="224"/>
      <c r="OLD1" s="224"/>
      <c r="OLE1" s="224"/>
      <c r="OLF1" s="224"/>
      <c r="OLG1" s="224"/>
      <c r="OLH1" s="224"/>
      <c r="OLI1" s="224"/>
      <c r="OLJ1" s="224"/>
      <c r="OLK1" s="224"/>
      <c r="OLL1" s="224"/>
      <c r="OLM1" s="224"/>
      <c r="OLN1" s="224"/>
      <c r="OLO1" s="224"/>
      <c r="OLP1" s="224"/>
      <c r="OLQ1" s="224"/>
      <c r="OLR1" s="224"/>
      <c r="OLS1" s="224"/>
      <c r="OLT1" s="224"/>
      <c r="OLU1" s="224"/>
      <c r="OLV1" s="224"/>
      <c r="OLW1" s="224"/>
      <c r="OLX1" s="224"/>
      <c r="OLY1" s="224"/>
      <c r="OLZ1" s="224"/>
      <c r="OMA1" s="224"/>
      <c r="OMB1" s="224"/>
      <c r="OMC1" s="224"/>
      <c r="OMD1" s="224"/>
      <c r="OME1" s="224"/>
      <c r="OMF1" s="224"/>
      <c r="OMG1" s="224"/>
      <c r="OMH1" s="224"/>
      <c r="OMI1" s="224"/>
      <c r="OMJ1" s="224"/>
      <c r="OMK1" s="224"/>
      <c r="OML1" s="224"/>
      <c r="OMM1" s="224"/>
      <c r="OMN1" s="224"/>
      <c r="OMO1" s="224"/>
      <c r="OMP1" s="224"/>
      <c r="OMQ1" s="224"/>
      <c r="OMR1" s="224"/>
      <c r="OMS1" s="224"/>
      <c r="OMT1" s="224"/>
      <c r="OMU1" s="224"/>
      <c r="OMV1" s="224"/>
      <c r="OMW1" s="224"/>
      <c r="OMX1" s="224"/>
      <c r="OMY1" s="224"/>
      <c r="OMZ1" s="224"/>
      <c r="ONA1" s="224"/>
      <c r="ONB1" s="224"/>
      <c r="ONC1" s="224"/>
      <c r="OND1" s="224"/>
      <c r="ONE1" s="224"/>
      <c r="ONF1" s="224"/>
      <c r="ONG1" s="224"/>
      <c r="ONH1" s="224"/>
      <c r="ONI1" s="224"/>
      <c r="ONJ1" s="224"/>
      <c r="ONK1" s="224"/>
      <c r="ONL1" s="224"/>
      <c r="ONM1" s="224"/>
      <c r="ONN1" s="224"/>
      <c r="ONO1" s="224"/>
      <c r="ONP1" s="224"/>
      <c r="ONQ1" s="224"/>
      <c r="ONR1" s="224"/>
      <c r="ONS1" s="224"/>
      <c r="ONT1" s="224"/>
      <c r="ONU1" s="224"/>
      <c r="ONV1" s="224"/>
      <c r="ONW1" s="224"/>
      <c r="ONX1" s="224"/>
      <c r="ONY1" s="224"/>
      <c r="ONZ1" s="224"/>
      <c r="OOA1" s="224"/>
      <c r="OOB1" s="224"/>
      <c r="OOC1" s="224"/>
      <c r="OOD1" s="224"/>
      <c r="OOE1" s="224"/>
      <c r="OOF1" s="224"/>
      <c r="OOG1" s="224"/>
      <c r="OOH1" s="224"/>
      <c r="OOI1" s="224"/>
      <c r="OOJ1" s="224"/>
      <c r="OOK1" s="224"/>
      <c r="OOL1" s="224"/>
      <c r="OOM1" s="224"/>
      <c r="OON1" s="224"/>
      <c r="OOO1" s="224"/>
      <c r="OOP1" s="224"/>
      <c r="OOQ1" s="224"/>
      <c r="OOR1" s="224"/>
      <c r="OOS1" s="224"/>
      <c r="OOT1" s="224"/>
      <c r="OOU1" s="224"/>
      <c r="OOV1" s="224"/>
      <c r="OOW1" s="224"/>
      <c r="OOX1" s="224"/>
      <c r="OOY1" s="224"/>
      <c r="OOZ1" s="224"/>
      <c r="OPA1" s="224"/>
      <c r="OPB1" s="224"/>
      <c r="OPC1" s="224"/>
      <c r="OPD1" s="224"/>
      <c r="OPE1" s="224"/>
      <c r="OPF1" s="224"/>
      <c r="OPG1" s="224"/>
      <c r="OPH1" s="224"/>
      <c r="OPI1" s="224"/>
      <c r="OPJ1" s="224"/>
      <c r="OPK1" s="224"/>
      <c r="OPL1" s="224"/>
      <c r="OPM1" s="224"/>
      <c r="OPN1" s="224"/>
      <c r="OPO1" s="224"/>
      <c r="OPP1" s="224"/>
      <c r="OPQ1" s="224"/>
      <c r="OPR1" s="224"/>
      <c r="OPS1" s="224"/>
      <c r="OPT1" s="224"/>
      <c r="OPU1" s="224"/>
      <c r="OPV1" s="224"/>
      <c r="OPW1" s="224"/>
      <c r="OPX1" s="224"/>
      <c r="OPY1" s="224"/>
      <c r="OPZ1" s="224"/>
      <c r="OQA1" s="224"/>
      <c r="OQB1" s="224"/>
      <c r="OQC1" s="224"/>
      <c r="OQD1" s="224"/>
      <c r="OQE1" s="224"/>
      <c r="OQF1" s="224"/>
      <c r="OQG1" s="224"/>
      <c r="OQH1" s="224"/>
      <c r="OQI1" s="224"/>
      <c r="OQJ1" s="224"/>
      <c r="OQK1" s="224"/>
      <c r="OQL1" s="224"/>
      <c r="OQM1" s="224"/>
      <c r="OQN1" s="224"/>
      <c r="OQO1" s="224"/>
      <c r="OQP1" s="224"/>
      <c r="OQQ1" s="224"/>
      <c r="OQR1" s="224"/>
      <c r="OQS1" s="224"/>
      <c r="OQT1" s="224"/>
      <c r="OQU1" s="224"/>
      <c r="OQV1" s="224"/>
      <c r="OQW1" s="224"/>
      <c r="OQX1" s="224"/>
      <c r="OQY1" s="224"/>
      <c r="OQZ1" s="224"/>
      <c r="ORA1" s="224"/>
      <c r="ORB1" s="224"/>
      <c r="ORC1" s="224"/>
      <c r="ORD1" s="224"/>
      <c r="ORE1" s="224"/>
      <c r="ORF1" s="224"/>
      <c r="ORG1" s="224"/>
      <c r="ORH1" s="224"/>
      <c r="ORI1" s="224"/>
      <c r="ORJ1" s="224"/>
      <c r="ORK1" s="224"/>
      <c r="ORL1" s="224"/>
      <c r="ORM1" s="224"/>
      <c r="ORN1" s="224"/>
      <c r="ORO1" s="224"/>
      <c r="ORP1" s="224"/>
      <c r="ORQ1" s="224"/>
      <c r="ORR1" s="224"/>
      <c r="ORS1" s="224"/>
      <c r="ORT1" s="224"/>
      <c r="ORU1" s="224"/>
      <c r="ORV1" s="224"/>
      <c r="ORW1" s="224"/>
      <c r="ORX1" s="224"/>
      <c r="ORY1" s="224"/>
      <c r="ORZ1" s="224"/>
      <c r="OSA1" s="224"/>
      <c r="OSB1" s="224"/>
      <c r="OSC1" s="224"/>
      <c r="OSD1" s="224"/>
      <c r="OSE1" s="224"/>
      <c r="OSF1" s="224"/>
      <c r="OSG1" s="224"/>
      <c r="OSH1" s="224"/>
      <c r="OSI1" s="224"/>
      <c r="OSJ1" s="224"/>
      <c r="OSK1" s="224"/>
      <c r="OSL1" s="224"/>
      <c r="OSM1" s="224"/>
      <c r="OSN1" s="224"/>
      <c r="OSO1" s="224"/>
      <c r="OSP1" s="224"/>
      <c r="OSQ1" s="224"/>
      <c r="OSR1" s="224"/>
      <c r="OSS1" s="224"/>
      <c r="OST1" s="224"/>
      <c r="OSU1" s="224"/>
      <c r="OSV1" s="224"/>
      <c r="OSW1" s="224"/>
      <c r="OSX1" s="224"/>
      <c r="OSY1" s="224"/>
      <c r="OSZ1" s="224"/>
      <c r="OTA1" s="224"/>
      <c r="OTB1" s="224"/>
      <c r="OTC1" s="224"/>
      <c r="OTD1" s="224"/>
      <c r="OTE1" s="224"/>
      <c r="OTF1" s="224"/>
      <c r="OTG1" s="224"/>
      <c r="OTH1" s="224"/>
      <c r="OTI1" s="224"/>
      <c r="OTJ1" s="224"/>
      <c r="OTK1" s="224"/>
      <c r="OTL1" s="224"/>
      <c r="OTM1" s="224"/>
      <c r="OTN1" s="224"/>
      <c r="OTO1" s="224"/>
      <c r="OTP1" s="224"/>
      <c r="OTQ1" s="224"/>
      <c r="OTR1" s="224"/>
      <c r="OTS1" s="224"/>
      <c r="OTT1" s="224"/>
      <c r="OTU1" s="224"/>
      <c r="OTV1" s="224"/>
      <c r="OTW1" s="224"/>
      <c r="OTX1" s="224"/>
      <c r="OTY1" s="224"/>
      <c r="OTZ1" s="224"/>
      <c r="OUA1" s="224"/>
      <c r="OUB1" s="224"/>
      <c r="OUC1" s="224"/>
      <c r="OUD1" s="224"/>
      <c r="OUE1" s="224"/>
      <c r="OUF1" s="224"/>
      <c r="OUG1" s="224"/>
      <c r="OUH1" s="224"/>
      <c r="OUI1" s="224"/>
      <c r="OUJ1" s="224"/>
      <c r="OUK1" s="224"/>
      <c r="OUL1" s="224"/>
      <c r="OUM1" s="224"/>
      <c r="OUN1" s="224"/>
      <c r="OUO1" s="224"/>
      <c r="OUP1" s="224"/>
      <c r="OUQ1" s="224"/>
      <c r="OUR1" s="224"/>
      <c r="OUS1" s="224"/>
      <c r="OUT1" s="224"/>
      <c r="OUU1" s="224"/>
      <c r="OUV1" s="224"/>
      <c r="OUW1" s="224"/>
      <c r="OUX1" s="224"/>
      <c r="OUY1" s="224"/>
      <c r="OUZ1" s="224"/>
      <c r="OVA1" s="224"/>
      <c r="OVB1" s="224"/>
      <c r="OVC1" s="224"/>
      <c r="OVD1" s="224"/>
      <c r="OVE1" s="224"/>
      <c r="OVF1" s="224"/>
      <c r="OVG1" s="224"/>
      <c r="OVH1" s="224"/>
      <c r="OVI1" s="224"/>
      <c r="OVJ1" s="224"/>
      <c r="OVK1" s="224"/>
      <c r="OVL1" s="224"/>
      <c r="OVM1" s="224"/>
      <c r="OVN1" s="224"/>
      <c r="OVO1" s="224"/>
      <c r="OVP1" s="224"/>
      <c r="OVQ1" s="224"/>
      <c r="OVR1" s="224"/>
      <c r="OVS1" s="224"/>
      <c r="OVT1" s="224"/>
      <c r="OVU1" s="224"/>
      <c r="OVV1" s="224"/>
      <c r="OVW1" s="224"/>
      <c r="OVX1" s="224"/>
      <c r="OVY1" s="224"/>
      <c r="OVZ1" s="224"/>
      <c r="OWA1" s="224"/>
      <c r="OWB1" s="224"/>
      <c r="OWC1" s="224"/>
      <c r="OWD1" s="224"/>
      <c r="OWE1" s="224"/>
      <c r="OWF1" s="224"/>
      <c r="OWG1" s="224"/>
      <c r="OWH1" s="224"/>
      <c r="OWI1" s="224"/>
      <c r="OWJ1" s="224"/>
      <c r="OWK1" s="224"/>
      <c r="OWL1" s="224"/>
      <c r="OWM1" s="224"/>
      <c r="OWN1" s="224"/>
      <c r="OWO1" s="224"/>
      <c r="OWP1" s="224"/>
      <c r="OWQ1" s="224"/>
      <c r="OWR1" s="224"/>
      <c r="OWS1" s="224"/>
      <c r="OWT1" s="224"/>
      <c r="OWU1" s="224"/>
      <c r="OWV1" s="224"/>
      <c r="OWW1" s="224"/>
      <c r="OWX1" s="224"/>
      <c r="OWY1" s="224"/>
      <c r="OWZ1" s="224"/>
      <c r="OXA1" s="224"/>
      <c r="OXB1" s="224"/>
      <c r="OXC1" s="224"/>
      <c r="OXD1" s="224"/>
      <c r="OXE1" s="224"/>
      <c r="OXF1" s="224"/>
      <c r="OXG1" s="224"/>
      <c r="OXH1" s="224"/>
      <c r="OXI1" s="224"/>
      <c r="OXJ1" s="224"/>
      <c r="OXK1" s="224"/>
      <c r="OXL1" s="224"/>
      <c r="OXM1" s="224"/>
      <c r="OXN1" s="224"/>
      <c r="OXO1" s="224"/>
      <c r="OXP1" s="224"/>
      <c r="OXQ1" s="224"/>
      <c r="OXR1" s="224"/>
      <c r="OXS1" s="224"/>
      <c r="OXT1" s="224"/>
      <c r="OXU1" s="224"/>
      <c r="OXV1" s="224"/>
      <c r="OXW1" s="224"/>
      <c r="OXX1" s="224"/>
      <c r="OXY1" s="224"/>
      <c r="OXZ1" s="224"/>
      <c r="OYA1" s="224"/>
      <c r="OYB1" s="224"/>
      <c r="OYC1" s="224"/>
      <c r="OYD1" s="224"/>
      <c r="OYE1" s="224"/>
      <c r="OYF1" s="224"/>
      <c r="OYG1" s="224"/>
      <c r="OYH1" s="224"/>
      <c r="OYI1" s="224"/>
      <c r="OYJ1" s="224"/>
      <c r="OYK1" s="224"/>
      <c r="OYL1" s="224"/>
      <c r="OYM1" s="224"/>
      <c r="OYN1" s="224"/>
      <c r="OYO1" s="224"/>
      <c r="OYP1" s="224"/>
      <c r="OYQ1" s="224"/>
      <c r="OYR1" s="224"/>
      <c r="OYS1" s="224"/>
      <c r="OYT1" s="224"/>
      <c r="OYU1" s="224"/>
      <c r="OYV1" s="224"/>
      <c r="OYW1" s="224"/>
      <c r="OYX1" s="224"/>
      <c r="OYY1" s="224"/>
      <c r="OYZ1" s="224"/>
      <c r="OZA1" s="224"/>
      <c r="OZB1" s="224"/>
      <c r="OZC1" s="224"/>
      <c r="OZD1" s="224"/>
      <c r="OZE1" s="224"/>
      <c r="OZF1" s="224"/>
      <c r="OZG1" s="224"/>
      <c r="OZH1" s="224"/>
      <c r="OZI1" s="224"/>
      <c r="OZJ1" s="224"/>
      <c r="OZK1" s="224"/>
      <c r="OZL1" s="224"/>
      <c r="OZM1" s="224"/>
      <c r="OZN1" s="224"/>
      <c r="OZO1" s="224"/>
      <c r="OZP1" s="224"/>
      <c r="OZQ1" s="224"/>
      <c r="OZR1" s="224"/>
      <c r="OZS1" s="224"/>
      <c r="OZT1" s="224"/>
      <c r="OZU1" s="224"/>
      <c r="OZV1" s="224"/>
      <c r="OZW1" s="224"/>
      <c r="OZX1" s="224"/>
      <c r="OZY1" s="224"/>
      <c r="OZZ1" s="224"/>
      <c r="PAA1" s="224"/>
      <c r="PAB1" s="224"/>
      <c r="PAC1" s="224"/>
      <c r="PAD1" s="224"/>
      <c r="PAE1" s="224"/>
      <c r="PAF1" s="224"/>
      <c r="PAG1" s="224"/>
      <c r="PAH1" s="224"/>
      <c r="PAI1" s="224"/>
      <c r="PAJ1" s="224"/>
      <c r="PAK1" s="224"/>
      <c r="PAL1" s="224"/>
      <c r="PAM1" s="224"/>
      <c r="PAN1" s="224"/>
      <c r="PAO1" s="224"/>
      <c r="PAP1" s="224"/>
      <c r="PAQ1" s="224"/>
      <c r="PAR1" s="224"/>
      <c r="PAS1" s="224"/>
      <c r="PAT1" s="224"/>
      <c r="PAU1" s="224"/>
      <c r="PAV1" s="224"/>
      <c r="PAW1" s="224"/>
      <c r="PAX1" s="224"/>
      <c r="PAY1" s="224"/>
      <c r="PAZ1" s="224"/>
      <c r="PBA1" s="224"/>
      <c r="PBB1" s="224"/>
      <c r="PBC1" s="224"/>
      <c r="PBD1" s="224"/>
      <c r="PBE1" s="224"/>
      <c r="PBF1" s="224"/>
      <c r="PBG1" s="224"/>
      <c r="PBH1" s="224"/>
      <c r="PBI1" s="224"/>
      <c r="PBJ1" s="224"/>
      <c r="PBK1" s="224"/>
      <c r="PBL1" s="224"/>
      <c r="PBM1" s="224"/>
      <c r="PBN1" s="224"/>
      <c r="PBO1" s="224"/>
      <c r="PBP1" s="224"/>
      <c r="PBQ1" s="224"/>
      <c r="PBR1" s="224"/>
      <c r="PBS1" s="224"/>
      <c r="PBT1" s="224"/>
      <c r="PBU1" s="224"/>
      <c r="PBV1" s="224"/>
      <c r="PBW1" s="224"/>
      <c r="PBX1" s="224"/>
      <c r="PBY1" s="224"/>
      <c r="PBZ1" s="224"/>
      <c r="PCA1" s="224"/>
      <c r="PCB1" s="224"/>
      <c r="PCC1" s="224"/>
      <c r="PCD1" s="224"/>
      <c r="PCE1" s="224"/>
      <c r="PCF1" s="224"/>
      <c r="PCG1" s="224"/>
      <c r="PCH1" s="224"/>
      <c r="PCI1" s="224"/>
      <c r="PCJ1" s="224"/>
      <c r="PCK1" s="224"/>
      <c r="PCL1" s="224"/>
      <c r="PCM1" s="224"/>
      <c r="PCN1" s="224"/>
      <c r="PCO1" s="224"/>
      <c r="PCP1" s="224"/>
      <c r="PCQ1" s="224"/>
      <c r="PCR1" s="224"/>
      <c r="PCS1" s="224"/>
      <c r="PCT1" s="224"/>
      <c r="PCU1" s="224"/>
      <c r="PCV1" s="224"/>
      <c r="PCW1" s="224"/>
      <c r="PCX1" s="224"/>
      <c r="PCY1" s="224"/>
      <c r="PCZ1" s="224"/>
      <c r="PDA1" s="224"/>
      <c r="PDB1" s="224"/>
      <c r="PDC1" s="224"/>
      <c r="PDD1" s="224"/>
      <c r="PDE1" s="224"/>
      <c r="PDF1" s="224"/>
      <c r="PDG1" s="224"/>
      <c r="PDH1" s="224"/>
      <c r="PDI1" s="224"/>
      <c r="PDJ1" s="224"/>
      <c r="PDK1" s="224"/>
      <c r="PDL1" s="224"/>
      <c r="PDM1" s="224"/>
      <c r="PDN1" s="224"/>
      <c r="PDO1" s="224"/>
      <c r="PDP1" s="224"/>
      <c r="PDQ1" s="224"/>
      <c r="PDR1" s="224"/>
      <c r="PDS1" s="224"/>
      <c r="PDT1" s="224"/>
      <c r="PDU1" s="224"/>
      <c r="PDV1" s="224"/>
      <c r="PDW1" s="224"/>
      <c r="PDX1" s="224"/>
      <c r="PDY1" s="224"/>
      <c r="PDZ1" s="224"/>
      <c r="PEA1" s="224"/>
      <c r="PEB1" s="224"/>
      <c r="PEC1" s="224"/>
      <c r="PED1" s="224"/>
      <c r="PEE1" s="224"/>
      <c r="PEF1" s="224"/>
      <c r="PEG1" s="224"/>
      <c r="PEH1" s="224"/>
      <c r="PEI1" s="224"/>
      <c r="PEJ1" s="224"/>
      <c r="PEK1" s="224"/>
      <c r="PEL1" s="224"/>
      <c r="PEM1" s="224"/>
      <c r="PEN1" s="224"/>
      <c r="PEO1" s="224"/>
      <c r="PEP1" s="224"/>
      <c r="PEQ1" s="224"/>
      <c r="PER1" s="224"/>
      <c r="PES1" s="224"/>
      <c r="PET1" s="224"/>
      <c r="PEU1" s="224"/>
      <c r="PEV1" s="224"/>
      <c r="PEW1" s="224"/>
      <c r="PEX1" s="224"/>
      <c r="PEY1" s="224"/>
      <c r="PEZ1" s="224"/>
      <c r="PFA1" s="224"/>
      <c r="PFB1" s="224"/>
      <c r="PFC1" s="224"/>
      <c r="PFD1" s="224"/>
      <c r="PFE1" s="224"/>
      <c r="PFF1" s="224"/>
      <c r="PFG1" s="224"/>
      <c r="PFH1" s="224"/>
      <c r="PFI1" s="224"/>
      <c r="PFJ1" s="224"/>
      <c r="PFK1" s="224"/>
      <c r="PFL1" s="224"/>
      <c r="PFM1" s="224"/>
      <c r="PFN1" s="224"/>
      <c r="PFO1" s="224"/>
      <c r="PFP1" s="224"/>
      <c r="PFQ1" s="224"/>
      <c r="PFR1" s="224"/>
      <c r="PFS1" s="224"/>
      <c r="PFT1" s="224"/>
      <c r="PFU1" s="224"/>
      <c r="PFV1" s="224"/>
      <c r="PFW1" s="224"/>
      <c r="PFX1" s="224"/>
      <c r="PFY1" s="224"/>
      <c r="PFZ1" s="224"/>
      <c r="PGA1" s="224"/>
      <c r="PGB1" s="224"/>
      <c r="PGC1" s="224"/>
      <c r="PGD1" s="224"/>
      <c r="PGE1" s="224"/>
      <c r="PGF1" s="224"/>
      <c r="PGG1" s="224"/>
      <c r="PGH1" s="224"/>
      <c r="PGI1" s="224"/>
      <c r="PGJ1" s="224"/>
      <c r="PGK1" s="224"/>
      <c r="PGL1" s="224"/>
      <c r="PGM1" s="224"/>
      <c r="PGN1" s="224"/>
      <c r="PGO1" s="224"/>
      <c r="PGP1" s="224"/>
      <c r="PGQ1" s="224"/>
      <c r="PGR1" s="224"/>
      <c r="PGS1" s="224"/>
      <c r="PGT1" s="224"/>
      <c r="PGU1" s="224"/>
      <c r="PGV1" s="224"/>
      <c r="PGW1" s="224"/>
      <c r="PGX1" s="224"/>
      <c r="PGY1" s="224"/>
      <c r="PGZ1" s="224"/>
      <c r="PHA1" s="224"/>
      <c r="PHB1" s="224"/>
      <c r="PHC1" s="224"/>
      <c r="PHD1" s="224"/>
      <c r="PHE1" s="224"/>
      <c r="PHF1" s="224"/>
      <c r="PHG1" s="224"/>
      <c r="PHH1" s="224"/>
      <c r="PHI1" s="224"/>
      <c r="PHJ1" s="224"/>
      <c r="PHK1" s="224"/>
      <c r="PHL1" s="224"/>
      <c r="PHM1" s="224"/>
      <c r="PHN1" s="224"/>
      <c r="PHO1" s="224"/>
      <c r="PHP1" s="224"/>
      <c r="PHQ1" s="224"/>
      <c r="PHR1" s="224"/>
      <c r="PHS1" s="224"/>
      <c r="PHT1" s="224"/>
      <c r="PHU1" s="224"/>
      <c r="PHV1" s="224"/>
      <c r="PHW1" s="224"/>
      <c r="PHX1" s="224"/>
      <c r="PHY1" s="224"/>
      <c r="PHZ1" s="224"/>
      <c r="PIA1" s="224"/>
      <c r="PIB1" s="224"/>
      <c r="PIC1" s="224"/>
      <c r="PID1" s="224"/>
      <c r="PIE1" s="224"/>
      <c r="PIF1" s="224"/>
      <c r="PIG1" s="224"/>
      <c r="PIH1" s="224"/>
      <c r="PII1" s="224"/>
      <c r="PIJ1" s="224"/>
      <c r="PIK1" s="224"/>
      <c r="PIL1" s="224"/>
      <c r="PIM1" s="224"/>
      <c r="PIN1" s="224"/>
      <c r="PIO1" s="224"/>
      <c r="PIP1" s="224"/>
      <c r="PIQ1" s="224"/>
      <c r="PIR1" s="224"/>
      <c r="PIS1" s="224"/>
      <c r="PIT1" s="224"/>
      <c r="PIU1" s="224"/>
      <c r="PIV1" s="224"/>
      <c r="PIW1" s="224"/>
      <c r="PIX1" s="224"/>
      <c r="PIY1" s="224"/>
      <c r="PIZ1" s="224"/>
      <c r="PJA1" s="224"/>
      <c r="PJB1" s="224"/>
      <c r="PJC1" s="224"/>
      <c r="PJD1" s="224"/>
      <c r="PJE1" s="224"/>
      <c r="PJF1" s="224"/>
      <c r="PJG1" s="224"/>
      <c r="PJH1" s="224"/>
      <c r="PJI1" s="224"/>
      <c r="PJJ1" s="224"/>
      <c r="PJK1" s="224"/>
      <c r="PJL1" s="224"/>
      <c r="PJM1" s="224"/>
      <c r="PJN1" s="224"/>
      <c r="PJO1" s="224"/>
      <c r="PJP1" s="224"/>
      <c r="PJQ1" s="224"/>
      <c r="PJR1" s="224"/>
      <c r="PJS1" s="224"/>
      <c r="PJT1" s="224"/>
      <c r="PJU1" s="224"/>
      <c r="PJV1" s="224"/>
      <c r="PJW1" s="224"/>
      <c r="PJX1" s="224"/>
      <c r="PJY1" s="224"/>
      <c r="PJZ1" s="224"/>
      <c r="PKA1" s="224"/>
      <c r="PKB1" s="224"/>
      <c r="PKC1" s="224"/>
      <c r="PKD1" s="224"/>
      <c r="PKE1" s="224"/>
      <c r="PKF1" s="224"/>
      <c r="PKG1" s="224"/>
      <c r="PKH1" s="224"/>
      <c r="PKI1" s="224"/>
      <c r="PKJ1" s="224"/>
      <c r="PKK1" s="224"/>
      <c r="PKL1" s="224"/>
      <c r="PKM1" s="224"/>
      <c r="PKN1" s="224"/>
      <c r="PKO1" s="224"/>
      <c r="PKP1" s="224"/>
      <c r="PKQ1" s="224"/>
      <c r="PKR1" s="224"/>
      <c r="PKS1" s="224"/>
      <c r="PKT1" s="224"/>
      <c r="PKU1" s="224"/>
      <c r="PKV1" s="224"/>
      <c r="PKW1" s="224"/>
      <c r="PKX1" s="224"/>
      <c r="PKY1" s="224"/>
      <c r="PKZ1" s="224"/>
      <c r="PLA1" s="224"/>
      <c r="PLB1" s="224"/>
      <c r="PLC1" s="224"/>
      <c r="PLD1" s="224"/>
      <c r="PLE1" s="224"/>
      <c r="PLF1" s="224"/>
      <c r="PLG1" s="224"/>
      <c r="PLH1" s="224"/>
      <c r="PLI1" s="224"/>
      <c r="PLJ1" s="224"/>
      <c r="PLK1" s="224"/>
      <c r="PLL1" s="224"/>
      <c r="PLM1" s="224"/>
      <c r="PLN1" s="224"/>
      <c r="PLO1" s="224"/>
      <c r="PLP1" s="224"/>
      <c r="PLQ1" s="224"/>
      <c r="PLR1" s="224"/>
      <c r="PLS1" s="224"/>
      <c r="PLT1" s="224"/>
      <c r="PLU1" s="224"/>
      <c r="PLV1" s="224"/>
      <c r="PLW1" s="224"/>
      <c r="PLX1" s="224"/>
      <c r="PLY1" s="224"/>
      <c r="PLZ1" s="224"/>
      <c r="PMA1" s="224"/>
      <c r="PMB1" s="224"/>
      <c r="PMC1" s="224"/>
      <c r="PMD1" s="224"/>
      <c r="PME1" s="224"/>
      <c r="PMF1" s="224"/>
      <c r="PMG1" s="224"/>
      <c r="PMH1" s="224"/>
      <c r="PMI1" s="224"/>
      <c r="PMJ1" s="224"/>
      <c r="PMK1" s="224"/>
      <c r="PML1" s="224"/>
      <c r="PMM1" s="224"/>
      <c r="PMN1" s="224"/>
      <c r="PMO1" s="224"/>
      <c r="PMP1" s="224"/>
      <c r="PMQ1" s="224"/>
      <c r="PMR1" s="224"/>
      <c r="PMS1" s="224"/>
      <c r="PMT1" s="224"/>
      <c r="PMU1" s="224"/>
      <c r="PMV1" s="224"/>
      <c r="PMW1" s="224"/>
      <c r="PMX1" s="224"/>
      <c r="PMY1" s="224"/>
      <c r="PMZ1" s="224"/>
      <c r="PNA1" s="224"/>
      <c r="PNB1" s="224"/>
      <c r="PNC1" s="224"/>
      <c r="PND1" s="224"/>
      <c r="PNE1" s="224"/>
      <c r="PNF1" s="224"/>
      <c r="PNG1" s="224"/>
      <c r="PNH1" s="224"/>
      <c r="PNI1" s="224"/>
      <c r="PNJ1" s="224"/>
      <c r="PNK1" s="224"/>
      <c r="PNL1" s="224"/>
      <c r="PNM1" s="224"/>
      <c r="PNN1" s="224"/>
      <c r="PNO1" s="224"/>
      <c r="PNP1" s="224"/>
      <c r="PNQ1" s="224"/>
      <c r="PNR1" s="224"/>
      <c r="PNS1" s="224"/>
      <c r="PNT1" s="224"/>
      <c r="PNU1" s="224"/>
      <c r="PNV1" s="224"/>
      <c r="PNW1" s="224"/>
      <c r="PNX1" s="224"/>
      <c r="PNY1" s="224"/>
      <c r="PNZ1" s="224"/>
      <c r="POA1" s="224"/>
      <c r="POB1" s="224"/>
      <c r="POC1" s="224"/>
      <c r="POD1" s="224"/>
      <c r="POE1" s="224"/>
      <c r="POF1" s="224"/>
      <c r="POG1" s="224"/>
      <c r="POH1" s="224"/>
      <c r="POI1" s="224"/>
      <c r="POJ1" s="224"/>
      <c r="POK1" s="224"/>
      <c r="POL1" s="224"/>
      <c r="POM1" s="224"/>
      <c r="PON1" s="224"/>
      <c r="POO1" s="224"/>
      <c r="POP1" s="224"/>
      <c r="POQ1" s="224"/>
      <c r="POR1" s="224"/>
      <c r="POS1" s="224"/>
      <c r="POT1" s="224"/>
      <c r="POU1" s="224"/>
      <c r="POV1" s="224"/>
      <c r="POW1" s="224"/>
      <c r="POX1" s="224"/>
      <c r="POY1" s="224"/>
      <c r="POZ1" s="224"/>
      <c r="PPA1" s="224"/>
      <c r="PPB1" s="224"/>
      <c r="PPC1" s="224"/>
      <c r="PPD1" s="224"/>
      <c r="PPE1" s="224"/>
      <c r="PPF1" s="224"/>
      <c r="PPG1" s="224"/>
      <c r="PPH1" s="224"/>
      <c r="PPI1" s="224"/>
      <c r="PPJ1" s="224"/>
      <c r="PPK1" s="224"/>
      <c r="PPL1" s="224"/>
      <c r="PPM1" s="224"/>
      <c r="PPN1" s="224"/>
      <c r="PPO1" s="224"/>
      <c r="PPP1" s="224"/>
      <c r="PPQ1" s="224"/>
      <c r="PPR1" s="224"/>
      <c r="PPS1" s="224"/>
      <c r="PPT1" s="224"/>
      <c r="PPU1" s="224"/>
      <c r="PPV1" s="224"/>
      <c r="PPW1" s="224"/>
      <c r="PPX1" s="224"/>
      <c r="PPY1" s="224"/>
      <c r="PPZ1" s="224"/>
      <c r="PQA1" s="224"/>
      <c r="PQB1" s="224"/>
      <c r="PQC1" s="224"/>
      <c r="PQD1" s="224"/>
      <c r="PQE1" s="224"/>
      <c r="PQF1" s="224"/>
      <c r="PQG1" s="224"/>
      <c r="PQH1" s="224"/>
      <c r="PQI1" s="224"/>
      <c r="PQJ1" s="224"/>
      <c r="PQK1" s="224"/>
      <c r="PQL1" s="224"/>
      <c r="PQM1" s="224"/>
      <c r="PQN1" s="224"/>
      <c r="PQO1" s="224"/>
      <c r="PQP1" s="224"/>
      <c r="PQQ1" s="224"/>
      <c r="PQR1" s="224"/>
      <c r="PQS1" s="224"/>
      <c r="PQT1" s="224"/>
      <c r="PQU1" s="224"/>
      <c r="PQV1" s="224"/>
      <c r="PQW1" s="224"/>
      <c r="PQX1" s="224"/>
      <c r="PQY1" s="224"/>
      <c r="PQZ1" s="224"/>
      <c r="PRA1" s="224"/>
      <c r="PRB1" s="224"/>
      <c r="PRC1" s="224"/>
      <c r="PRD1" s="224"/>
      <c r="PRE1" s="224"/>
      <c r="PRF1" s="224"/>
      <c r="PRG1" s="224"/>
      <c r="PRH1" s="224"/>
      <c r="PRI1" s="224"/>
      <c r="PRJ1" s="224"/>
      <c r="PRK1" s="224"/>
      <c r="PRL1" s="224"/>
      <c r="PRM1" s="224"/>
      <c r="PRN1" s="224"/>
      <c r="PRO1" s="224"/>
      <c r="PRP1" s="224"/>
      <c r="PRQ1" s="224"/>
      <c r="PRR1" s="224"/>
      <c r="PRS1" s="224"/>
      <c r="PRT1" s="224"/>
      <c r="PRU1" s="224"/>
      <c r="PRV1" s="224"/>
      <c r="PRW1" s="224"/>
      <c r="PRX1" s="224"/>
      <c r="PRY1" s="224"/>
      <c r="PRZ1" s="224"/>
      <c r="PSA1" s="224"/>
      <c r="PSB1" s="224"/>
      <c r="PSC1" s="224"/>
      <c r="PSD1" s="224"/>
      <c r="PSE1" s="224"/>
      <c r="PSF1" s="224"/>
      <c r="PSG1" s="224"/>
      <c r="PSH1" s="224"/>
      <c r="PSI1" s="224"/>
      <c r="PSJ1" s="224"/>
      <c r="PSK1" s="224"/>
      <c r="PSL1" s="224"/>
      <c r="PSM1" s="224"/>
      <c r="PSN1" s="224"/>
      <c r="PSO1" s="224"/>
      <c r="PSP1" s="224"/>
      <c r="PSQ1" s="224"/>
      <c r="PSR1" s="224"/>
      <c r="PSS1" s="224"/>
      <c r="PST1" s="224"/>
      <c r="PSU1" s="224"/>
      <c r="PSV1" s="224"/>
      <c r="PSW1" s="224"/>
      <c r="PSX1" s="224"/>
      <c r="PSY1" s="224"/>
      <c r="PSZ1" s="224"/>
      <c r="PTA1" s="224"/>
      <c r="PTB1" s="224"/>
      <c r="PTC1" s="224"/>
      <c r="PTD1" s="224"/>
      <c r="PTE1" s="224"/>
      <c r="PTF1" s="224"/>
      <c r="PTG1" s="224"/>
      <c r="PTH1" s="224"/>
      <c r="PTI1" s="224"/>
      <c r="PTJ1" s="224"/>
      <c r="PTK1" s="224"/>
      <c r="PTL1" s="224"/>
      <c r="PTM1" s="224"/>
      <c r="PTN1" s="224"/>
      <c r="PTO1" s="224"/>
      <c r="PTP1" s="224"/>
      <c r="PTQ1" s="224"/>
      <c r="PTR1" s="224"/>
      <c r="PTS1" s="224"/>
      <c r="PTT1" s="224"/>
      <c r="PTU1" s="224"/>
      <c r="PTV1" s="224"/>
      <c r="PTW1" s="224"/>
      <c r="PTX1" s="224"/>
      <c r="PTY1" s="224"/>
      <c r="PTZ1" s="224"/>
      <c r="PUA1" s="224"/>
      <c r="PUB1" s="224"/>
      <c r="PUC1" s="224"/>
      <c r="PUD1" s="224"/>
      <c r="PUE1" s="224"/>
      <c r="PUF1" s="224"/>
      <c r="PUG1" s="224"/>
      <c r="PUH1" s="224"/>
      <c r="PUI1" s="224"/>
      <c r="PUJ1" s="224"/>
      <c r="PUK1" s="224"/>
      <c r="PUL1" s="224"/>
      <c r="PUM1" s="224"/>
      <c r="PUN1" s="224"/>
      <c r="PUO1" s="224"/>
      <c r="PUP1" s="224"/>
      <c r="PUQ1" s="224"/>
      <c r="PUR1" s="224"/>
      <c r="PUS1" s="224"/>
      <c r="PUT1" s="224"/>
      <c r="PUU1" s="224"/>
      <c r="PUV1" s="224"/>
      <c r="PUW1" s="224"/>
      <c r="PUX1" s="224"/>
      <c r="PUY1" s="224"/>
      <c r="PUZ1" s="224"/>
      <c r="PVA1" s="224"/>
      <c r="PVB1" s="224"/>
      <c r="PVC1" s="224"/>
      <c r="PVD1" s="224"/>
      <c r="PVE1" s="224"/>
      <c r="PVF1" s="224"/>
      <c r="PVG1" s="224"/>
      <c r="PVH1" s="224"/>
      <c r="PVI1" s="224"/>
      <c r="PVJ1" s="224"/>
      <c r="PVK1" s="224"/>
      <c r="PVL1" s="224"/>
      <c r="PVM1" s="224"/>
      <c r="PVN1" s="224"/>
      <c r="PVO1" s="224"/>
      <c r="PVP1" s="224"/>
      <c r="PVQ1" s="224"/>
      <c r="PVR1" s="224"/>
      <c r="PVS1" s="224"/>
      <c r="PVT1" s="224"/>
      <c r="PVU1" s="224"/>
      <c r="PVV1" s="224"/>
      <c r="PVW1" s="224"/>
      <c r="PVX1" s="224"/>
      <c r="PVY1" s="224"/>
      <c r="PVZ1" s="224"/>
      <c r="PWA1" s="224"/>
      <c r="PWB1" s="224"/>
      <c r="PWC1" s="224"/>
      <c r="PWD1" s="224"/>
      <c r="PWE1" s="224"/>
      <c r="PWF1" s="224"/>
      <c r="PWG1" s="224"/>
      <c r="PWH1" s="224"/>
      <c r="PWI1" s="224"/>
      <c r="PWJ1" s="224"/>
      <c r="PWK1" s="224"/>
      <c r="PWL1" s="224"/>
      <c r="PWM1" s="224"/>
      <c r="PWN1" s="224"/>
      <c r="PWO1" s="224"/>
      <c r="PWP1" s="224"/>
      <c r="PWQ1" s="224"/>
      <c r="PWR1" s="224"/>
      <c r="PWS1" s="224"/>
      <c r="PWT1" s="224"/>
      <c r="PWU1" s="224"/>
      <c r="PWV1" s="224"/>
      <c r="PWW1" s="224"/>
      <c r="PWX1" s="224"/>
      <c r="PWY1" s="224"/>
      <c r="PWZ1" s="224"/>
      <c r="PXA1" s="224"/>
      <c r="PXB1" s="224"/>
      <c r="PXC1" s="224"/>
      <c r="PXD1" s="224"/>
      <c r="PXE1" s="224"/>
      <c r="PXF1" s="224"/>
      <c r="PXG1" s="224"/>
      <c r="PXH1" s="224"/>
      <c r="PXI1" s="224"/>
      <c r="PXJ1" s="224"/>
      <c r="PXK1" s="224"/>
      <c r="PXL1" s="224"/>
      <c r="PXM1" s="224"/>
      <c r="PXN1" s="224"/>
      <c r="PXO1" s="224"/>
      <c r="PXP1" s="224"/>
      <c r="PXQ1" s="224"/>
      <c r="PXR1" s="224"/>
      <c r="PXS1" s="224"/>
      <c r="PXT1" s="224"/>
      <c r="PXU1" s="224"/>
      <c r="PXV1" s="224"/>
      <c r="PXW1" s="224"/>
      <c r="PXX1" s="224"/>
      <c r="PXY1" s="224"/>
      <c r="PXZ1" s="224"/>
      <c r="PYA1" s="224"/>
      <c r="PYB1" s="224"/>
      <c r="PYC1" s="224"/>
      <c r="PYD1" s="224"/>
      <c r="PYE1" s="224"/>
      <c r="PYF1" s="224"/>
      <c r="PYG1" s="224"/>
      <c r="PYH1" s="224"/>
      <c r="PYI1" s="224"/>
      <c r="PYJ1" s="224"/>
      <c r="PYK1" s="224"/>
      <c r="PYL1" s="224"/>
      <c r="PYM1" s="224"/>
      <c r="PYN1" s="224"/>
      <c r="PYO1" s="224"/>
      <c r="PYP1" s="224"/>
      <c r="PYQ1" s="224"/>
      <c r="PYR1" s="224"/>
      <c r="PYS1" s="224"/>
      <c r="PYT1" s="224"/>
      <c r="PYU1" s="224"/>
      <c r="PYV1" s="224"/>
      <c r="PYW1" s="224"/>
      <c r="PYX1" s="224"/>
      <c r="PYY1" s="224"/>
      <c r="PYZ1" s="224"/>
      <c r="PZA1" s="224"/>
      <c r="PZB1" s="224"/>
      <c r="PZC1" s="224"/>
      <c r="PZD1" s="224"/>
      <c r="PZE1" s="224"/>
      <c r="PZF1" s="224"/>
      <c r="PZG1" s="224"/>
      <c r="PZH1" s="224"/>
      <c r="PZI1" s="224"/>
      <c r="PZJ1" s="224"/>
      <c r="PZK1" s="224"/>
      <c r="PZL1" s="224"/>
      <c r="PZM1" s="224"/>
      <c r="PZN1" s="224"/>
      <c r="PZO1" s="224"/>
      <c r="PZP1" s="224"/>
      <c r="PZQ1" s="224"/>
      <c r="PZR1" s="224"/>
      <c r="PZS1" s="224"/>
      <c r="PZT1" s="224"/>
      <c r="PZU1" s="224"/>
      <c r="PZV1" s="224"/>
      <c r="PZW1" s="224"/>
      <c r="PZX1" s="224"/>
      <c r="PZY1" s="224"/>
      <c r="PZZ1" s="224"/>
      <c r="QAA1" s="224"/>
      <c r="QAB1" s="224"/>
      <c r="QAC1" s="224"/>
      <c r="QAD1" s="224"/>
      <c r="QAE1" s="224"/>
      <c r="QAF1" s="224"/>
      <c r="QAG1" s="224"/>
      <c r="QAH1" s="224"/>
      <c r="QAI1" s="224"/>
      <c r="QAJ1" s="224"/>
      <c r="QAK1" s="224"/>
      <c r="QAL1" s="224"/>
      <c r="QAM1" s="224"/>
      <c r="QAN1" s="224"/>
      <c r="QAO1" s="224"/>
      <c r="QAP1" s="224"/>
      <c r="QAQ1" s="224"/>
      <c r="QAR1" s="224"/>
      <c r="QAS1" s="224"/>
      <c r="QAT1" s="224"/>
      <c r="QAU1" s="224"/>
      <c r="QAV1" s="224"/>
      <c r="QAW1" s="224"/>
      <c r="QAX1" s="224"/>
      <c r="QAY1" s="224"/>
      <c r="QAZ1" s="224"/>
      <c r="QBA1" s="224"/>
      <c r="QBB1" s="224"/>
      <c r="QBC1" s="224"/>
      <c r="QBD1" s="224"/>
      <c r="QBE1" s="224"/>
      <c r="QBF1" s="224"/>
      <c r="QBG1" s="224"/>
      <c r="QBH1" s="224"/>
      <c r="QBI1" s="224"/>
      <c r="QBJ1" s="224"/>
      <c r="QBK1" s="224"/>
      <c r="QBL1" s="224"/>
      <c r="QBM1" s="224"/>
      <c r="QBN1" s="224"/>
      <c r="QBO1" s="224"/>
      <c r="QBP1" s="224"/>
      <c r="QBQ1" s="224"/>
      <c r="QBR1" s="224"/>
      <c r="QBS1" s="224"/>
      <c r="QBT1" s="224"/>
      <c r="QBU1" s="224"/>
      <c r="QBV1" s="224"/>
      <c r="QBW1" s="224"/>
      <c r="QBX1" s="224"/>
      <c r="QBY1" s="224"/>
      <c r="QBZ1" s="224"/>
      <c r="QCA1" s="224"/>
      <c r="QCB1" s="224"/>
      <c r="QCC1" s="224"/>
      <c r="QCD1" s="224"/>
      <c r="QCE1" s="224"/>
      <c r="QCF1" s="224"/>
      <c r="QCG1" s="224"/>
      <c r="QCH1" s="224"/>
      <c r="QCI1" s="224"/>
      <c r="QCJ1" s="224"/>
      <c r="QCK1" s="224"/>
      <c r="QCL1" s="224"/>
      <c r="QCM1" s="224"/>
      <c r="QCN1" s="224"/>
      <c r="QCO1" s="224"/>
      <c r="QCP1" s="224"/>
      <c r="QCQ1" s="224"/>
      <c r="QCR1" s="224"/>
      <c r="QCS1" s="224"/>
      <c r="QCT1" s="224"/>
      <c r="QCU1" s="224"/>
      <c r="QCV1" s="224"/>
      <c r="QCW1" s="224"/>
      <c r="QCX1" s="224"/>
      <c r="QCY1" s="224"/>
      <c r="QCZ1" s="224"/>
      <c r="QDA1" s="224"/>
      <c r="QDB1" s="224"/>
      <c r="QDC1" s="224"/>
      <c r="QDD1" s="224"/>
      <c r="QDE1" s="224"/>
      <c r="QDF1" s="224"/>
      <c r="QDG1" s="224"/>
      <c r="QDH1" s="224"/>
      <c r="QDI1" s="224"/>
      <c r="QDJ1" s="224"/>
      <c r="QDK1" s="224"/>
      <c r="QDL1" s="224"/>
      <c r="QDM1" s="224"/>
      <c r="QDN1" s="224"/>
      <c r="QDO1" s="224"/>
      <c r="QDP1" s="224"/>
      <c r="QDQ1" s="224"/>
      <c r="QDR1" s="224"/>
      <c r="QDS1" s="224"/>
      <c r="QDT1" s="224"/>
      <c r="QDU1" s="224"/>
      <c r="QDV1" s="224"/>
      <c r="QDW1" s="224"/>
      <c r="QDX1" s="224"/>
      <c r="QDY1" s="224"/>
      <c r="QDZ1" s="224"/>
      <c r="QEA1" s="224"/>
      <c r="QEB1" s="224"/>
      <c r="QEC1" s="224"/>
      <c r="QED1" s="224"/>
      <c r="QEE1" s="224"/>
      <c r="QEF1" s="224"/>
      <c r="QEG1" s="224"/>
      <c r="QEH1" s="224"/>
      <c r="QEI1" s="224"/>
      <c r="QEJ1" s="224"/>
      <c r="QEK1" s="224"/>
      <c r="QEL1" s="224"/>
      <c r="QEM1" s="224"/>
      <c r="QEN1" s="224"/>
      <c r="QEO1" s="224"/>
      <c r="QEP1" s="224"/>
      <c r="QEQ1" s="224"/>
      <c r="QER1" s="224"/>
      <c r="QES1" s="224"/>
      <c r="QET1" s="224"/>
      <c r="QEU1" s="224"/>
      <c r="QEV1" s="224"/>
      <c r="QEW1" s="224"/>
      <c r="QEX1" s="224"/>
      <c r="QEY1" s="224"/>
      <c r="QEZ1" s="224"/>
      <c r="QFA1" s="224"/>
      <c r="QFB1" s="224"/>
      <c r="QFC1" s="224"/>
      <c r="QFD1" s="224"/>
      <c r="QFE1" s="224"/>
      <c r="QFF1" s="224"/>
      <c r="QFG1" s="224"/>
      <c r="QFH1" s="224"/>
      <c r="QFI1" s="224"/>
      <c r="QFJ1" s="224"/>
      <c r="QFK1" s="224"/>
      <c r="QFL1" s="224"/>
      <c r="QFM1" s="224"/>
      <c r="QFN1" s="224"/>
      <c r="QFO1" s="224"/>
      <c r="QFP1" s="224"/>
      <c r="QFQ1" s="224"/>
      <c r="QFR1" s="224"/>
      <c r="QFS1" s="224"/>
      <c r="QFT1" s="224"/>
      <c r="QFU1" s="224"/>
      <c r="QFV1" s="224"/>
      <c r="QFW1" s="224"/>
      <c r="QFX1" s="224"/>
      <c r="QFY1" s="224"/>
      <c r="QFZ1" s="224"/>
      <c r="QGA1" s="224"/>
      <c r="QGB1" s="224"/>
      <c r="QGC1" s="224"/>
      <c r="QGD1" s="224"/>
      <c r="QGE1" s="224"/>
      <c r="QGF1" s="224"/>
      <c r="QGG1" s="224"/>
      <c r="QGH1" s="224"/>
      <c r="QGI1" s="224"/>
      <c r="QGJ1" s="224"/>
      <c r="QGK1" s="224"/>
      <c r="QGL1" s="224"/>
      <c r="QGM1" s="224"/>
      <c r="QGN1" s="224"/>
      <c r="QGO1" s="224"/>
      <c r="QGP1" s="224"/>
      <c r="QGQ1" s="224"/>
      <c r="QGR1" s="224"/>
      <c r="QGS1" s="224"/>
      <c r="QGT1" s="224"/>
      <c r="QGU1" s="224"/>
      <c r="QGV1" s="224"/>
      <c r="QGW1" s="224"/>
      <c r="QGX1" s="224"/>
      <c r="QGY1" s="224"/>
      <c r="QGZ1" s="224"/>
      <c r="QHA1" s="224"/>
      <c r="QHB1" s="224"/>
      <c r="QHC1" s="224"/>
      <c r="QHD1" s="224"/>
      <c r="QHE1" s="224"/>
      <c r="QHF1" s="224"/>
      <c r="QHG1" s="224"/>
      <c r="QHH1" s="224"/>
      <c r="QHI1" s="224"/>
      <c r="QHJ1" s="224"/>
      <c r="QHK1" s="224"/>
      <c r="QHL1" s="224"/>
      <c r="QHM1" s="224"/>
      <c r="QHN1" s="224"/>
      <c r="QHO1" s="224"/>
      <c r="QHP1" s="224"/>
      <c r="QHQ1" s="224"/>
      <c r="QHR1" s="224"/>
      <c r="QHS1" s="224"/>
      <c r="QHT1" s="224"/>
      <c r="QHU1" s="224"/>
      <c r="QHV1" s="224"/>
      <c r="QHW1" s="224"/>
      <c r="QHX1" s="224"/>
      <c r="QHY1" s="224"/>
      <c r="QHZ1" s="224"/>
      <c r="QIA1" s="224"/>
      <c r="QIB1" s="224"/>
      <c r="QIC1" s="224"/>
      <c r="QID1" s="224"/>
      <c r="QIE1" s="224"/>
      <c r="QIF1" s="224"/>
      <c r="QIG1" s="224"/>
      <c r="QIH1" s="224"/>
      <c r="QII1" s="224"/>
      <c r="QIJ1" s="224"/>
      <c r="QIK1" s="224"/>
      <c r="QIL1" s="224"/>
      <c r="QIM1" s="224"/>
      <c r="QIN1" s="224"/>
      <c r="QIO1" s="224"/>
      <c r="QIP1" s="224"/>
      <c r="QIQ1" s="224"/>
      <c r="QIR1" s="224"/>
      <c r="QIS1" s="224"/>
      <c r="QIT1" s="224"/>
      <c r="QIU1" s="224"/>
      <c r="QIV1" s="224"/>
      <c r="QIW1" s="224"/>
      <c r="QIX1" s="224"/>
      <c r="QIY1" s="224"/>
      <c r="QIZ1" s="224"/>
      <c r="QJA1" s="224"/>
      <c r="QJB1" s="224"/>
      <c r="QJC1" s="224"/>
      <c r="QJD1" s="224"/>
      <c r="QJE1" s="224"/>
      <c r="QJF1" s="224"/>
      <c r="QJG1" s="224"/>
      <c r="QJH1" s="224"/>
      <c r="QJI1" s="224"/>
      <c r="QJJ1" s="224"/>
      <c r="QJK1" s="224"/>
      <c r="QJL1" s="224"/>
      <c r="QJM1" s="224"/>
      <c r="QJN1" s="224"/>
      <c r="QJO1" s="224"/>
      <c r="QJP1" s="224"/>
      <c r="QJQ1" s="224"/>
      <c r="QJR1" s="224"/>
      <c r="QJS1" s="224"/>
      <c r="QJT1" s="224"/>
      <c r="QJU1" s="224"/>
      <c r="QJV1" s="224"/>
      <c r="QJW1" s="224"/>
      <c r="QJX1" s="224"/>
      <c r="QJY1" s="224"/>
      <c r="QJZ1" s="224"/>
      <c r="QKA1" s="224"/>
      <c r="QKB1" s="224"/>
      <c r="QKC1" s="224"/>
      <c r="QKD1" s="224"/>
      <c r="QKE1" s="224"/>
      <c r="QKF1" s="224"/>
      <c r="QKG1" s="224"/>
      <c r="QKH1" s="224"/>
      <c r="QKI1" s="224"/>
      <c r="QKJ1" s="224"/>
      <c r="QKK1" s="224"/>
      <c r="QKL1" s="224"/>
      <c r="QKM1" s="224"/>
      <c r="QKN1" s="224"/>
      <c r="QKO1" s="224"/>
      <c r="QKP1" s="224"/>
      <c r="QKQ1" s="224"/>
      <c r="QKR1" s="224"/>
      <c r="QKS1" s="224"/>
      <c r="QKT1" s="224"/>
      <c r="QKU1" s="224"/>
      <c r="QKV1" s="224"/>
      <c r="QKW1" s="224"/>
      <c r="QKX1" s="224"/>
      <c r="QKY1" s="224"/>
      <c r="QKZ1" s="224"/>
      <c r="QLA1" s="224"/>
      <c r="QLB1" s="224"/>
      <c r="QLC1" s="224"/>
      <c r="QLD1" s="224"/>
      <c r="QLE1" s="224"/>
      <c r="QLF1" s="224"/>
      <c r="QLG1" s="224"/>
      <c r="QLH1" s="224"/>
      <c r="QLI1" s="224"/>
      <c r="QLJ1" s="224"/>
      <c r="QLK1" s="224"/>
      <c r="QLL1" s="224"/>
      <c r="QLM1" s="224"/>
      <c r="QLN1" s="224"/>
      <c r="QLO1" s="224"/>
      <c r="QLP1" s="224"/>
      <c r="QLQ1" s="224"/>
      <c r="QLR1" s="224"/>
      <c r="QLS1" s="224"/>
      <c r="QLT1" s="224"/>
      <c r="QLU1" s="224"/>
      <c r="QLV1" s="224"/>
      <c r="QLW1" s="224"/>
      <c r="QLX1" s="224"/>
      <c r="QLY1" s="224"/>
      <c r="QLZ1" s="224"/>
      <c r="QMA1" s="224"/>
      <c r="QMB1" s="224"/>
      <c r="QMC1" s="224"/>
      <c r="QMD1" s="224"/>
      <c r="QME1" s="224"/>
      <c r="QMF1" s="224"/>
      <c r="QMG1" s="224"/>
      <c r="QMH1" s="224"/>
      <c r="QMI1" s="224"/>
      <c r="QMJ1" s="224"/>
      <c r="QMK1" s="224"/>
      <c r="QML1" s="224"/>
      <c r="QMM1" s="224"/>
      <c r="QMN1" s="224"/>
      <c r="QMO1" s="224"/>
      <c r="QMP1" s="224"/>
      <c r="QMQ1" s="224"/>
      <c r="QMR1" s="224"/>
      <c r="QMS1" s="224"/>
      <c r="QMT1" s="224"/>
      <c r="QMU1" s="224"/>
      <c r="QMV1" s="224"/>
      <c r="QMW1" s="224"/>
      <c r="QMX1" s="224"/>
      <c r="QMY1" s="224"/>
      <c r="QMZ1" s="224"/>
      <c r="QNA1" s="224"/>
      <c r="QNB1" s="224"/>
      <c r="QNC1" s="224"/>
      <c r="QND1" s="224"/>
      <c r="QNE1" s="224"/>
      <c r="QNF1" s="224"/>
      <c r="QNG1" s="224"/>
      <c r="QNH1" s="224"/>
      <c r="QNI1" s="224"/>
      <c r="QNJ1" s="224"/>
      <c r="QNK1" s="224"/>
      <c r="QNL1" s="224"/>
      <c r="QNM1" s="224"/>
      <c r="QNN1" s="224"/>
      <c r="QNO1" s="224"/>
      <c r="QNP1" s="224"/>
      <c r="QNQ1" s="224"/>
      <c r="QNR1" s="224"/>
      <c r="QNS1" s="224"/>
      <c r="QNT1" s="224"/>
      <c r="QNU1" s="224"/>
      <c r="QNV1" s="224"/>
      <c r="QNW1" s="224"/>
      <c r="QNX1" s="224"/>
      <c r="QNY1" s="224"/>
      <c r="QNZ1" s="224"/>
      <c r="QOA1" s="224"/>
      <c r="QOB1" s="224"/>
      <c r="QOC1" s="224"/>
      <c r="QOD1" s="224"/>
      <c r="QOE1" s="224"/>
      <c r="QOF1" s="224"/>
      <c r="QOG1" s="224"/>
      <c r="QOH1" s="224"/>
      <c r="QOI1" s="224"/>
      <c r="QOJ1" s="224"/>
      <c r="QOK1" s="224"/>
      <c r="QOL1" s="224"/>
      <c r="QOM1" s="224"/>
      <c r="QON1" s="224"/>
      <c r="QOO1" s="224"/>
      <c r="QOP1" s="224"/>
      <c r="QOQ1" s="224"/>
      <c r="QOR1" s="224"/>
      <c r="QOS1" s="224"/>
      <c r="QOT1" s="224"/>
      <c r="QOU1" s="224"/>
      <c r="QOV1" s="224"/>
      <c r="QOW1" s="224"/>
      <c r="QOX1" s="224"/>
      <c r="QOY1" s="224"/>
      <c r="QOZ1" s="224"/>
      <c r="QPA1" s="224"/>
      <c r="QPB1" s="224"/>
      <c r="QPC1" s="224"/>
      <c r="QPD1" s="224"/>
      <c r="QPE1" s="224"/>
      <c r="QPF1" s="224"/>
      <c r="QPG1" s="224"/>
      <c r="QPH1" s="224"/>
      <c r="QPI1" s="224"/>
      <c r="QPJ1" s="224"/>
      <c r="QPK1" s="224"/>
      <c r="QPL1" s="224"/>
      <c r="QPM1" s="224"/>
      <c r="QPN1" s="224"/>
      <c r="QPO1" s="224"/>
      <c r="QPP1" s="224"/>
      <c r="QPQ1" s="224"/>
      <c r="QPR1" s="224"/>
      <c r="QPS1" s="224"/>
      <c r="QPT1" s="224"/>
      <c r="QPU1" s="224"/>
      <c r="QPV1" s="224"/>
      <c r="QPW1" s="224"/>
      <c r="QPX1" s="224"/>
      <c r="QPY1" s="224"/>
      <c r="QPZ1" s="224"/>
      <c r="QQA1" s="224"/>
      <c r="QQB1" s="224"/>
      <c r="QQC1" s="224"/>
      <c r="QQD1" s="224"/>
      <c r="QQE1" s="224"/>
      <c r="QQF1" s="224"/>
      <c r="QQG1" s="224"/>
      <c r="QQH1" s="224"/>
      <c r="QQI1" s="224"/>
      <c r="QQJ1" s="224"/>
      <c r="QQK1" s="224"/>
      <c r="QQL1" s="224"/>
      <c r="QQM1" s="224"/>
      <c r="QQN1" s="224"/>
      <c r="QQO1" s="224"/>
      <c r="QQP1" s="224"/>
      <c r="QQQ1" s="224"/>
      <c r="QQR1" s="224"/>
      <c r="QQS1" s="224"/>
      <c r="QQT1" s="224"/>
      <c r="QQU1" s="224"/>
      <c r="QQV1" s="224"/>
      <c r="QQW1" s="224"/>
      <c r="QQX1" s="224"/>
      <c r="QQY1" s="224"/>
      <c r="QQZ1" s="224"/>
      <c r="QRA1" s="224"/>
      <c r="QRB1" s="224"/>
      <c r="QRC1" s="224"/>
      <c r="QRD1" s="224"/>
      <c r="QRE1" s="224"/>
      <c r="QRF1" s="224"/>
      <c r="QRG1" s="224"/>
      <c r="QRH1" s="224"/>
      <c r="QRI1" s="224"/>
      <c r="QRJ1" s="224"/>
      <c r="QRK1" s="224"/>
      <c r="QRL1" s="224"/>
      <c r="QRM1" s="224"/>
      <c r="QRN1" s="224"/>
      <c r="QRO1" s="224"/>
      <c r="QRP1" s="224"/>
      <c r="QRQ1" s="224"/>
      <c r="QRR1" s="224"/>
      <c r="QRS1" s="224"/>
      <c r="QRT1" s="224"/>
      <c r="QRU1" s="224"/>
      <c r="QRV1" s="224"/>
      <c r="QRW1" s="224"/>
      <c r="QRX1" s="224"/>
      <c r="QRY1" s="224"/>
      <c r="QRZ1" s="224"/>
      <c r="QSA1" s="224"/>
      <c r="QSB1" s="224"/>
      <c r="QSC1" s="224"/>
      <c r="QSD1" s="224"/>
      <c r="QSE1" s="224"/>
      <c r="QSF1" s="224"/>
      <c r="QSG1" s="224"/>
      <c r="QSH1" s="224"/>
      <c r="QSI1" s="224"/>
      <c r="QSJ1" s="224"/>
      <c r="QSK1" s="224"/>
      <c r="QSL1" s="224"/>
      <c r="QSM1" s="224"/>
      <c r="QSN1" s="224"/>
      <c r="QSO1" s="224"/>
      <c r="QSP1" s="224"/>
      <c r="QSQ1" s="224"/>
      <c r="QSR1" s="224"/>
      <c r="QSS1" s="224"/>
      <c r="QST1" s="224"/>
      <c r="QSU1" s="224"/>
      <c r="QSV1" s="224"/>
      <c r="QSW1" s="224"/>
      <c r="QSX1" s="224"/>
      <c r="QSY1" s="224"/>
      <c r="QSZ1" s="224"/>
      <c r="QTA1" s="224"/>
      <c r="QTB1" s="224"/>
      <c r="QTC1" s="224"/>
      <c r="QTD1" s="224"/>
      <c r="QTE1" s="224"/>
      <c r="QTF1" s="224"/>
      <c r="QTG1" s="224"/>
      <c r="QTH1" s="224"/>
      <c r="QTI1" s="224"/>
      <c r="QTJ1" s="224"/>
      <c r="QTK1" s="224"/>
      <c r="QTL1" s="224"/>
      <c r="QTM1" s="224"/>
      <c r="QTN1" s="224"/>
      <c r="QTO1" s="224"/>
      <c r="QTP1" s="224"/>
      <c r="QTQ1" s="224"/>
      <c r="QTR1" s="224"/>
      <c r="QTS1" s="224"/>
      <c r="QTT1" s="224"/>
      <c r="QTU1" s="224"/>
      <c r="QTV1" s="224"/>
      <c r="QTW1" s="224"/>
      <c r="QTX1" s="224"/>
      <c r="QTY1" s="224"/>
      <c r="QTZ1" s="224"/>
      <c r="QUA1" s="224"/>
      <c r="QUB1" s="224"/>
      <c r="QUC1" s="224"/>
      <c r="QUD1" s="224"/>
      <c r="QUE1" s="224"/>
      <c r="QUF1" s="224"/>
      <c r="QUG1" s="224"/>
      <c r="QUH1" s="224"/>
      <c r="QUI1" s="224"/>
      <c r="QUJ1" s="224"/>
      <c r="QUK1" s="224"/>
      <c r="QUL1" s="224"/>
      <c r="QUM1" s="224"/>
      <c r="QUN1" s="224"/>
      <c r="QUO1" s="224"/>
      <c r="QUP1" s="224"/>
      <c r="QUQ1" s="224"/>
      <c r="QUR1" s="224"/>
      <c r="QUS1" s="224"/>
      <c r="QUT1" s="224"/>
      <c r="QUU1" s="224"/>
      <c r="QUV1" s="224"/>
      <c r="QUW1" s="224"/>
      <c r="QUX1" s="224"/>
      <c r="QUY1" s="224"/>
      <c r="QUZ1" s="224"/>
      <c r="QVA1" s="224"/>
      <c r="QVB1" s="224"/>
      <c r="QVC1" s="224"/>
      <c r="QVD1" s="224"/>
      <c r="QVE1" s="224"/>
      <c r="QVF1" s="224"/>
      <c r="QVG1" s="224"/>
      <c r="QVH1" s="224"/>
      <c r="QVI1" s="224"/>
      <c r="QVJ1" s="224"/>
      <c r="QVK1" s="224"/>
      <c r="QVL1" s="224"/>
      <c r="QVM1" s="224"/>
      <c r="QVN1" s="224"/>
      <c r="QVO1" s="224"/>
      <c r="QVP1" s="224"/>
      <c r="QVQ1" s="224"/>
      <c r="QVR1" s="224"/>
      <c r="QVS1" s="224"/>
      <c r="QVT1" s="224"/>
      <c r="QVU1" s="224"/>
      <c r="QVV1" s="224"/>
      <c r="QVW1" s="224"/>
      <c r="QVX1" s="224"/>
      <c r="QVY1" s="224"/>
      <c r="QVZ1" s="224"/>
      <c r="QWA1" s="224"/>
      <c r="QWB1" s="224"/>
      <c r="QWC1" s="224"/>
      <c r="QWD1" s="224"/>
      <c r="QWE1" s="224"/>
      <c r="QWF1" s="224"/>
      <c r="QWG1" s="224"/>
      <c r="QWH1" s="224"/>
      <c r="QWI1" s="224"/>
      <c r="QWJ1" s="224"/>
      <c r="QWK1" s="224"/>
      <c r="QWL1" s="224"/>
      <c r="QWM1" s="224"/>
      <c r="QWN1" s="224"/>
      <c r="QWO1" s="224"/>
      <c r="QWP1" s="224"/>
      <c r="QWQ1" s="224"/>
      <c r="QWR1" s="224"/>
      <c r="QWS1" s="224"/>
      <c r="QWT1" s="224"/>
      <c r="QWU1" s="224"/>
      <c r="QWV1" s="224"/>
      <c r="QWW1" s="224"/>
      <c r="QWX1" s="224"/>
      <c r="QWY1" s="224"/>
      <c r="QWZ1" s="224"/>
      <c r="QXA1" s="224"/>
      <c r="QXB1" s="224"/>
      <c r="QXC1" s="224"/>
      <c r="QXD1" s="224"/>
      <c r="QXE1" s="224"/>
      <c r="QXF1" s="224"/>
      <c r="QXG1" s="224"/>
      <c r="QXH1" s="224"/>
      <c r="QXI1" s="224"/>
      <c r="QXJ1" s="224"/>
      <c r="QXK1" s="224"/>
      <c r="QXL1" s="224"/>
      <c r="QXM1" s="224"/>
      <c r="QXN1" s="224"/>
      <c r="QXO1" s="224"/>
      <c r="QXP1" s="224"/>
      <c r="QXQ1" s="224"/>
      <c r="QXR1" s="224"/>
      <c r="QXS1" s="224"/>
      <c r="QXT1" s="224"/>
      <c r="QXU1" s="224"/>
      <c r="QXV1" s="224"/>
      <c r="QXW1" s="224"/>
      <c r="QXX1" s="224"/>
      <c r="QXY1" s="224"/>
      <c r="QXZ1" s="224"/>
      <c r="QYA1" s="224"/>
      <c r="QYB1" s="224"/>
      <c r="QYC1" s="224"/>
      <c r="QYD1" s="224"/>
      <c r="QYE1" s="224"/>
      <c r="QYF1" s="224"/>
      <c r="QYG1" s="224"/>
      <c r="QYH1" s="224"/>
      <c r="QYI1" s="224"/>
      <c r="QYJ1" s="224"/>
      <c r="QYK1" s="224"/>
      <c r="QYL1" s="224"/>
      <c r="QYM1" s="224"/>
      <c r="QYN1" s="224"/>
      <c r="QYO1" s="224"/>
      <c r="QYP1" s="224"/>
      <c r="QYQ1" s="224"/>
      <c r="QYR1" s="224"/>
      <c r="QYS1" s="224"/>
      <c r="QYT1" s="224"/>
      <c r="QYU1" s="224"/>
      <c r="QYV1" s="224"/>
      <c r="QYW1" s="224"/>
      <c r="QYX1" s="224"/>
      <c r="QYY1" s="224"/>
      <c r="QYZ1" s="224"/>
      <c r="QZA1" s="224"/>
      <c r="QZB1" s="224"/>
      <c r="QZC1" s="224"/>
      <c r="QZD1" s="224"/>
      <c r="QZE1" s="224"/>
      <c r="QZF1" s="224"/>
      <c r="QZG1" s="224"/>
      <c r="QZH1" s="224"/>
      <c r="QZI1" s="224"/>
      <c r="QZJ1" s="224"/>
      <c r="QZK1" s="224"/>
      <c r="QZL1" s="224"/>
      <c r="QZM1" s="224"/>
      <c r="QZN1" s="224"/>
      <c r="QZO1" s="224"/>
      <c r="QZP1" s="224"/>
      <c r="QZQ1" s="224"/>
      <c r="QZR1" s="224"/>
      <c r="QZS1" s="224"/>
      <c r="QZT1" s="224"/>
      <c r="QZU1" s="224"/>
      <c r="QZV1" s="224"/>
      <c r="QZW1" s="224"/>
      <c r="QZX1" s="224"/>
      <c r="QZY1" s="224"/>
      <c r="QZZ1" s="224"/>
      <c r="RAA1" s="224"/>
      <c r="RAB1" s="224"/>
      <c r="RAC1" s="224"/>
      <c r="RAD1" s="224"/>
      <c r="RAE1" s="224"/>
      <c r="RAF1" s="224"/>
      <c r="RAG1" s="224"/>
      <c r="RAH1" s="224"/>
      <c r="RAI1" s="224"/>
      <c r="RAJ1" s="224"/>
      <c r="RAK1" s="224"/>
      <c r="RAL1" s="224"/>
      <c r="RAM1" s="224"/>
      <c r="RAN1" s="224"/>
      <c r="RAO1" s="224"/>
      <c r="RAP1" s="224"/>
      <c r="RAQ1" s="224"/>
      <c r="RAR1" s="224"/>
      <c r="RAS1" s="224"/>
      <c r="RAT1" s="224"/>
      <c r="RAU1" s="224"/>
      <c r="RAV1" s="224"/>
      <c r="RAW1" s="224"/>
      <c r="RAX1" s="224"/>
      <c r="RAY1" s="224"/>
      <c r="RAZ1" s="224"/>
      <c r="RBA1" s="224"/>
      <c r="RBB1" s="224"/>
      <c r="RBC1" s="224"/>
      <c r="RBD1" s="224"/>
      <c r="RBE1" s="224"/>
      <c r="RBF1" s="224"/>
      <c r="RBG1" s="224"/>
      <c r="RBH1" s="224"/>
      <c r="RBI1" s="224"/>
      <c r="RBJ1" s="224"/>
      <c r="RBK1" s="224"/>
      <c r="RBL1" s="224"/>
      <c r="RBM1" s="224"/>
      <c r="RBN1" s="224"/>
      <c r="RBO1" s="224"/>
      <c r="RBP1" s="224"/>
      <c r="RBQ1" s="224"/>
      <c r="RBR1" s="224"/>
      <c r="RBS1" s="224"/>
      <c r="RBT1" s="224"/>
      <c r="RBU1" s="224"/>
      <c r="RBV1" s="224"/>
      <c r="RBW1" s="224"/>
      <c r="RBX1" s="224"/>
      <c r="RBY1" s="224"/>
      <c r="RBZ1" s="224"/>
      <c r="RCA1" s="224"/>
      <c r="RCB1" s="224"/>
      <c r="RCC1" s="224"/>
      <c r="RCD1" s="224"/>
      <c r="RCE1" s="224"/>
      <c r="RCF1" s="224"/>
      <c r="RCG1" s="224"/>
      <c r="RCH1" s="224"/>
      <c r="RCI1" s="224"/>
      <c r="RCJ1" s="224"/>
      <c r="RCK1" s="224"/>
      <c r="RCL1" s="224"/>
      <c r="RCM1" s="224"/>
      <c r="RCN1" s="224"/>
      <c r="RCO1" s="224"/>
      <c r="RCP1" s="224"/>
      <c r="RCQ1" s="224"/>
      <c r="RCR1" s="224"/>
      <c r="RCS1" s="224"/>
      <c r="RCT1" s="224"/>
      <c r="RCU1" s="224"/>
      <c r="RCV1" s="224"/>
      <c r="RCW1" s="224"/>
      <c r="RCX1" s="224"/>
      <c r="RCY1" s="224"/>
      <c r="RCZ1" s="224"/>
      <c r="RDA1" s="224"/>
      <c r="RDB1" s="224"/>
      <c r="RDC1" s="224"/>
      <c r="RDD1" s="224"/>
      <c r="RDE1" s="224"/>
      <c r="RDF1" s="224"/>
      <c r="RDG1" s="224"/>
      <c r="RDH1" s="224"/>
      <c r="RDI1" s="224"/>
      <c r="RDJ1" s="224"/>
      <c r="RDK1" s="224"/>
      <c r="RDL1" s="224"/>
      <c r="RDM1" s="224"/>
      <c r="RDN1" s="224"/>
      <c r="RDO1" s="224"/>
      <c r="RDP1" s="224"/>
      <c r="RDQ1" s="224"/>
      <c r="RDR1" s="224"/>
      <c r="RDS1" s="224"/>
      <c r="RDT1" s="224"/>
      <c r="RDU1" s="224"/>
      <c r="RDV1" s="224"/>
      <c r="RDW1" s="224"/>
      <c r="RDX1" s="224"/>
      <c r="RDY1" s="224"/>
      <c r="RDZ1" s="224"/>
      <c r="REA1" s="224"/>
      <c r="REB1" s="224"/>
      <c r="REC1" s="224"/>
      <c r="RED1" s="224"/>
      <c r="REE1" s="224"/>
      <c r="REF1" s="224"/>
      <c r="REG1" s="224"/>
      <c r="REH1" s="224"/>
      <c r="REI1" s="224"/>
      <c r="REJ1" s="224"/>
      <c r="REK1" s="224"/>
      <c r="REL1" s="224"/>
      <c r="REM1" s="224"/>
      <c r="REN1" s="224"/>
      <c r="REO1" s="224"/>
      <c r="REP1" s="224"/>
      <c r="REQ1" s="224"/>
      <c r="RER1" s="224"/>
      <c r="RES1" s="224"/>
      <c r="RET1" s="224"/>
      <c r="REU1" s="224"/>
      <c r="REV1" s="224"/>
      <c r="REW1" s="224"/>
      <c r="REX1" s="224"/>
      <c r="REY1" s="224"/>
      <c r="REZ1" s="224"/>
      <c r="RFA1" s="224"/>
      <c r="RFB1" s="224"/>
      <c r="RFC1" s="224"/>
      <c r="RFD1" s="224"/>
      <c r="RFE1" s="224"/>
      <c r="RFF1" s="224"/>
      <c r="RFG1" s="224"/>
      <c r="RFH1" s="224"/>
      <c r="RFI1" s="224"/>
      <c r="RFJ1" s="224"/>
      <c r="RFK1" s="224"/>
      <c r="RFL1" s="224"/>
      <c r="RFM1" s="224"/>
      <c r="RFN1" s="224"/>
      <c r="RFO1" s="224"/>
      <c r="RFP1" s="224"/>
      <c r="RFQ1" s="224"/>
      <c r="RFR1" s="224"/>
      <c r="RFS1" s="224"/>
      <c r="RFT1" s="224"/>
      <c r="RFU1" s="224"/>
      <c r="RFV1" s="224"/>
      <c r="RFW1" s="224"/>
      <c r="RFX1" s="224"/>
      <c r="RFY1" s="224"/>
      <c r="RFZ1" s="224"/>
      <c r="RGA1" s="224"/>
      <c r="RGB1" s="224"/>
      <c r="RGC1" s="224"/>
      <c r="RGD1" s="224"/>
      <c r="RGE1" s="224"/>
      <c r="RGF1" s="224"/>
      <c r="RGG1" s="224"/>
      <c r="RGH1" s="224"/>
      <c r="RGI1" s="224"/>
      <c r="RGJ1" s="224"/>
      <c r="RGK1" s="224"/>
      <c r="RGL1" s="224"/>
      <c r="RGM1" s="224"/>
      <c r="RGN1" s="224"/>
      <c r="RGO1" s="224"/>
      <c r="RGP1" s="224"/>
      <c r="RGQ1" s="224"/>
      <c r="RGR1" s="224"/>
      <c r="RGS1" s="224"/>
      <c r="RGT1" s="224"/>
      <c r="RGU1" s="224"/>
      <c r="RGV1" s="224"/>
      <c r="RGW1" s="224"/>
      <c r="RGX1" s="224"/>
      <c r="RGY1" s="224"/>
      <c r="RGZ1" s="224"/>
      <c r="RHA1" s="224"/>
      <c r="RHB1" s="224"/>
      <c r="RHC1" s="224"/>
      <c r="RHD1" s="224"/>
      <c r="RHE1" s="224"/>
      <c r="RHF1" s="224"/>
      <c r="RHG1" s="224"/>
      <c r="RHH1" s="224"/>
      <c r="RHI1" s="224"/>
      <c r="RHJ1" s="224"/>
      <c r="RHK1" s="224"/>
      <c r="RHL1" s="224"/>
      <c r="RHM1" s="224"/>
      <c r="RHN1" s="224"/>
      <c r="RHO1" s="224"/>
      <c r="RHP1" s="224"/>
      <c r="RHQ1" s="224"/>
      <c r="RHR1" s="224"/>
      <c r="RHS1" s="224"/>
      <c r="RHT1" s="224"/>
      <c r="RHU1" s="224"/>
      <c r="RHV1" s="224"/>
      <c r="RHW1" s="224"/>
      <c r="RHX1" s="224"/>
      <c r="RHY1" s="224"/>
      <c r="RHZ1" s="224"/>
      <c r="RIA1" s="224"/>
      <c r="RIB1" s="224"/>
      <c r="RIC1" s="224"/>
      <c r="RID1" s="224"/>
      <c r="RIE1" s="224"/>
      <c r="RIF1" s="224"/>
      <c r="RIG1" s="224"/>
      <c r="RIH1" s="224"/>
      <c r="RII1" s="224"/>
      <c r="RIJ1" s="224"/>
      <c r="RIK1" s="224"/>
      <c r="RIL1" s="224"/>
      <c r="RIM1" s="224"/>
      <c r="RIN1" s="224"/>
      <c r="RIO1" s="224"/>
      <c r="RIP1" s="224"/>
      <c r="RIQ1" s="224"/>
      <c r="RIR1" s="224"/>
      <c r="RIS1" s="224"/>
      <c r="RIT1" s="224"/>
      <c r="RIU1" s="224"/>
      <c r="RIV1" s="224"/>
      <c r="RIW1" s="224"/>
      <c r="RIX1" s="224"/>
      <c r="RIY1" s="224"/>
      <c r="RIZ1" s="224"/>
      <c r="RJA1" s="224"/>
      <c r="RJB1" s="224"/>
      <c r="RJC1" s="224"/>
      <c r="RJD1" s="224"/>
      <c r="RJE1" s="224"/>
      <c r="RJF1" s="224"/>
      <c r="RJG1" s="224"/>
      <c r="RJH1" s="224"/>
      <c r="RJI1" s="224"/>
      <c r="RJJ1" s="224"/>
      <c r="RJK1" s="224"/>
      <c r="RJL1" s="224"/>
      <c r="RJM1" s="224"/>
      <c r="RJN1" s="224"/>
      <c r="RJO1" s="224"/>
      <c r="RJP1" s="224"/>
      <c r="RJQ1" s="224"/>
      <c r="RJR1" s="224"/>
      <c r="RJS1" s="224"/>
      <c r="RJT1" s="224"/>
      <c r="RJU1" s="224"/>
      <c r="RJV1" s="224"/>
      <c r="RJW1" s="224"/>
      <c r="RJX1" s="224"/>
      <c r="RJY1" s="224"/>
      <c r="RJZ1" s="224"/>
      <c r="RKA1" s="224"/>
      <c r="RKB1" s="224"/>
      <c r="RKC1" s="224"/>
      <c r="RKD1" s="224"/>
      <c r="RKE1" s="224"/>
      <c r="RKF1" s="224"/>
      <c r="RKG1" s="224"/>
      <c r="RKH1" s="224"/>
      <c r="RKI1" s="224"/>
      <c r="RKJ1" s="224"/>
      <c r="RKK1" s="224"/>
      <c r="RKL1" s="224"/>
      <c r="RKM1" s="224"/>
      <c r="RKN1" s="224"/>
      <c r="RKO1" s="224"/>
      <c r="RKP1" s="224"/>
      <c r="RKQ1" s="224"/>
      <c r="RKR1" s="224"/>
      <c r="RKS1" s="224"/>
      <c r="RKT1" s="224"/>
      <c r="RKU1" s="224"/>
      <c r="RKV1" s="224"/>
      <c r="RKW1" s="224"/>
      <c r="RKX1" s="224"/>
      <c r="RKY1" s="224"/>
      <c r="RKZ1" s="224"/>
      <c r="RLA1" s="224"/>
      <c r="RLB1" s="224"/>
      <c r="RLC1" s="224"/>
      <c r="RLD1" s="224"/>
      <c r="RLE1" s="224"/>
      <c r="RLF1" s="224"/>
      <c r="RLG1" s="224"/>
      <c r="RLH1" s="224"/>
      <c r="RLI1" s="224"/>
      <c r="RLJ1" s="224"/>
      <c r="RLK1" s="224"/>
      <c r="RLL1" s="224"/>
      <c r="RLM1" s="224"/>
      <c r="RLN1" s="224"/>
      <c r="RLO1" s="224"/>
      <c r="RLP1" s="224"/>
      <c r="RLQ1" s="224"/>
      <c r="RLR1" s="224"/>
      <c r="RLS1" s="224"/>
      <c r="RLT1" s="224"/>
      <c r="RLU1" s="224"/>
      <c r="RLV1" s="224"/>
      <c r="RLW1" s="224"/>
      <c r="RLX1" s="224"/>
      <c r="RLY1" s="224"/>
      <c r="RLZ1" s="224"/>
      <c r="RMA1" s="224"/>
      <c r="RMB1" s="224"/>
      <c r="RMC1" s="224"/>
      <c r="RMD1" s="224"/>
      <c r="RME1" s="224"/>
      <c r="RMF1" s="224"/>
      <c r="RMG1" s="224"/>
      <c r="RMH1" s="224"/>
      <c r="RMI1" s="224"/>
      <c r="RMJ1" s="224"/>
      <c r="RMK1" s="224"/>
      <c r="RML1" s="224"/>
      <c r="RMM1" s="224"/>
      <c r="RMN1" s="224"/>
      <c r="RMO1" s="224"/>
      <c r="RMP1" s="224"/>
      <c r="RMQ1" s="224"/>
      <c r="RMR1" s="224"/>
      <c r="RMS1" s="224"/>
      <c r="RMT1" s="224"/>
      <c r="RMU1" s="224"/>
      <c r="RMV1" s="224"/>
      <c r="RMW1" s="224"/>
      <c r="RMX1" s="224"/>
      <c r="RMY1" s="224"/>
      <c r="RMZ1" s="224"/>
      <c r="RNA1" s="224"/>
      <c r="RNB1" s="224"/>
      <c r="RNC1" s="224"/>
      <c r="RND1" s="224"/>
      <c r="RNE1" s="224"/>
      <c r="RNF1" s="224"/>
      <c r="RNG1" s="224"/>
      <c r="RNH1" s="224"/>
      <c r="RNI1" s="224"/>
      <c r="RNJ1" s="224"/>
      <c r="RNK1" s="224"/>
      <c r="RNL1" s="224"/>
      <c r="RNM1" s="224"/>
      <c r="RNN1" s="224"/>
      <c r="RNO1" s="224"/>
      <c r="RNP1" s="224"/>
      <c r="RNQ1" s="224"/>
      <c r="RNR1" s="224"/>
      <c r="RNS1" s="224"/>
      <c r="RNT1" s="224"/>
      <c r="RNU1" s="224"/>
      <c r="RNV1" s="224"/>
      <c r="RNW1" s="224"/>
      <c r="RNX1" s="224"/>
      <c r="RNY1" s="224"/>
      <c r="RNZ1" s="224"/>
      <c r="ROA1" s="224"/>
      <c r="ROB1" s="224"/>
      <c r="ROC1" s="224"/>
      <c r="ROD1" s="224"/>
      <c r="ROE1" s="224"/>
      <c r="ROF1" s="224"/>
      <c r="ROG1" s="224"/>
      <c r="ROH1" s="224"/>
      <c r="ROI1" s="224"/>
      <c r="ROJ1" s="224"/>
      <c r="ROK1" s="224"/>
      <c r="ROL1" s="224"/>
      <c r="ROM1" s="224"/>
      <c r="RON1" s="224"/>
      <c r="ROO1" s="224"/>
      <c r="ROP1" s="224"/>
      <c r="ROQ1" s="224"/>
      <c r="ROR1" s="224"/>
      <c r="ROS1" s="224"/>
      <c r="ROT1" s="224"/>
      <c r="ROU1" s="224"/>
      <c r="ROV1" s="224"/>
      <c r="ROW1" s="224"/>
      <c r="ROX1" s="224"/>
      <c r="ROY1" s="224"/>
      <c r="ROZ1" s="224"/>
      <c r="RPA1" s="224"/>
      <c r="RPB1" s="224"/>
      <c r="RPC1" s="224"/>
      <c r="RPD1" s="224"/>
      <c r="RPE1" s="224"/>
      <c r="RPF1" s="224"/>
      <c r="RPG1" s="224"/>
      <c r="RPH1" s="224"/>
      <c r="RPI1" s="224"/>
      <c r="RPJ1" s="224"/>
      <c r="RPK1" s="224"/>
      <c r="RPL1" s="224"/>
      <c r="RPM1" s="224"/>
      <c r="RPN1" s="224"/>
      <c r="RPO1" s="224"/>
      <c r="RPP1" s="224"/>
      <c r="RPQ1" s="224"/>
      <c r="RPR1" s="224"/>
      <c r="RPS1" s="224"/>
      <c r="RPT1" s="224"/>
      <c r="RPU1" s="224"/>
      <c r="RPV1" s="224"/>
      <c r="RPW1" s="224"/>
      <c r="RPX1" s="224"/>
      <c r="RPY1" s="224"/>
      <c r="RPZ1" s="224"/>
      <c r="RQA1" s="224"/>
      <c r="RQB1" s="224"/>
      <c r="RQC1" s="224"/>
      <c r="RQD1" s="224"/>
      <c r="RQE1" s="224"/>
      <c r="RQF1" s="224"/>
      <c r="RQG1" s="224"/>
      <c r="RQH1" s="224"/>
      <c r="RQI1" s="224"/>
      <c r="RQJ1" s="224"/>
      <c r="RQK1" s="224"/>
      <c r="RQL1" s="224"/>
      <c r="RQM1" s="224"/>
      <c r="RQN1" s="224"/>
      <c r="RQO1" s="224"/>
      <c r="RQP1" s="224"/>
      <c r="RQQ1" s="224"/>
      <c r="RQR1" s="224"/>
      <c r="RQS1" s="224"/>
      <c r="RQT1" s="224"/>
      <c r="RQU1" s="224"/>
      <c r="RQV1" s="224"/>
      <c r="RQW1" s="224"/>
      <c r="RQX1" s="224"/>
      <c r="RQY1" s="224"/>
      <c r="RQZ1" s="224"/>
      <c r="RRA1" s="224"/>
      <c r="RRB1" s="224"/>
      <c r="RRC1" s="224"/>
      <c r="RRD1" s="224"/>
      <c r="RRE1" s="224"/>
      <c r="RRF1" s="224"/>
      <c r="RRG1" s="224"/>
      <c r="RRH1" s="224"/>
      <c r="RRI1" s="224"/>
      <c r="RRJ1" s="224"/>
      <c r="RRK1" s="224"/>
      <c r="RRL1" s="224"/>
      <c r="RRM1" s="224"/>
      <c r="RRN1" s="224"/>
      <c r="RRO1" s="224"/>
      <c r="RRP1" s="224"/>
      <c r="RRQ1" s="224"/>
      <c r="RRR1" s="224"/>
      <c r="RRS1" s="224"/>
      <c r="RRT1" s="224"/>
      <c r="RRU1" s="224"/>
      <c r="RRV1" s="224"/>
      <c r="RRW1" s="224"/>
      <c r="RRX1" s="224"/>
      <c r="RRY1" s="224"/>
      <c r="RRZ1" s="224"/>
      <c r="RSA1" s="224"/>
      <c r="RSB1" s="224"/>
      <c r="RSC1" s="224"/>
      <c r="RSD1" s="224"/>
      <c r="RSE1" s="224"/>
      <c r="RSF1" s="224"/>
      <c r="RSG1" s="224"/>
      <c r="RSH1" s="224"/>
      <c r="RSI1" s="224"/>
      <c r="RSJ1" s="224"/>
      <c r="RSK1" s="224"/>
      <c r="RSL1" s="224"/>
      <c r="RSM1" s="224"/>
      <c r="RSN1" s="224"/>
      <c r="RSO1" s="224"/>
      <c r="RSP1" s="224"/>
      <c r="RSQ1" s="224"/>
      <c r="RSR1" s="224"/>
      <c r="RSS1" s="224"/>
      <c r="RST1" s="224"/>
      <c r="RSU1" s="224"/>
      <c r="RSV1" s="224"/>
      <c r="RSW1" s="224"/>
      <c r="RSX1" s="224"/>
      <c r="RSY1" s="224"/>
      <c r="RSZ1" s="224"/>
      <c r="RTA1" s="224"/>
      <c r="RTB1" s="224"/>
      <c r="RTC1" s="224"/>
      <c r="RTD1" s="224"/>
      <c r="RTE1" s="224"/>
      <c r="RTF1" s="224"/>
      <c r="RTG1" s="224"/>
      <c r="RTH1" s="224"/>
      <c r="RTI1" s="224"/>
      <c r="RTJ1" s="224"/>
      <c r="RTK1" s="224"/>
      <c r="RTL1" s="224"/>
      <c r="RTM1" s="224"/>
      <c r="RTN1" s="224"/>
      <c r="RTO1" s="224"/>
      <c r="RTP1" s="224"/>
      <c r="RTQ1" s="224"/>
      <c r="RTR1" s="224"/>
      <c r="RTS1" s="224"/>
      <c r="RTT1" s="224"/>
      <c r="RTU1" s="224"/>
      <c r="RTV1" s="224"/>
      <c r="RTW1" s="224"/>
      <c r="RTX1" s="224"/>
      <c r="RTY1" s="224"/>
      <c r="RTZ1" s="224"/>
      <c r="RUA1" s="224"/>
      <c r="RUB1" s="224"/>
      <c r="RUC1" s="224"/>
      <c r="RUD1" s="224"/>
      <c r="RUE1" s="224"/>
      <c r="RUF1" s="224"/>
      <c r="RUG1" s="224"/>
      <c r="RUH1" s="224"/>
      <c r="RUI1" s="224"/>
      <c r="RUJ1" s="224"/>
      <c r="RUK1" s="224"/>
      <c r="RUL1" s="224"/>
      <c r="RUM1" s="224"/>
      <c r="RUN1" s="224"/>
      <c r="RUO1" s="224"/>
      <c r="RUP1" s="224"/>
      <c r="RUQ1" s="224"/>
      <c r="RUR1" s="224"/>
      <c r="RUS1" s="224"/>
      <c r="RUT1" s="224"/>
      <c r="RUU1" s="224"/>
      <c r="RUV1" s="224"/>
      <c r="RUW1" s="224"/>
      <c r="RUX1" s="224"/>
      <c r="RUY1" s="224"/>
      <c r="RUZ1" s="224"/>
      <c r="RVA1" s="224"/>
      <c r="RVB1" s="224"/>
      <c r="RVC1" s="224"/>
      <c r="RVD1" s="224"/>
      <c r="RVE1" s="224"/>
      <c r="RVF1" s="224"/>
      <c r="RVG1" s="224"/>
      <c r="RVH1" s="224"/>
      <c r="RVI1" s="224"/>
      <c r="RVJ1" s="224"/>
      <c r="RVK1" s="224"/>
      <c r="RVL1" s="224"/>
      <c r="RVM1" s="224"/>
      <c r="RVN1" s="224"/>
      <c r="RVO1" s="224"/>
      <c r="RVP1" s="224"/>
      <c r="RVQ1" s="224"/>
      <c r="RVR1" s="224"/>
      <c r="RVS1" s="224"/>
      <c r="RVT1" s="224"/>
      <c r="RVU1" s="224"/>
      <c r="RVV1" s="224"/>
      <c r="RVW1" s="224"/>
      <c r="RVX1" s="224"/>
      <c r="RVY1" s="224"/>
      <c r="RVZ1" s="224"/>
      <c r="RWA1" s="224"/>
      <c r="RWB1" s="224"/>
      <c r="RWC1" s="224"/>
      <c r="RWD1" s="224"/>
      <c r="RWE1" s="224"/>
      <c r="RWF1" s="224"/>
      <c r="RWG1" s="224"/>
      <c r="RWH1" s="224"/>
      <c r="RWI1" s="224"/>
      <c r="RWJ1" s="224"/>
      <c r="RWK1" s="224"/>
      <c r="RWL1" s="224"/>
      <c r="RWM1" s="224"/>
      <c r="RWN1" s="224"/>
      <c r="RWO1" s="224"/>
      <c r="RWP1" s="224"/>
      <c r="RWQ1" s="224"/>
      <c r="RWR1" s="224"/>
      <c r="RWS1" s="224"/>
      <c r="RWT1" s="224"/>
      <c r="RWU1" s="224"/>
      <c r="RWV1" s="224"/>
      <c r="RWW1" s="224"/>
      <c r="RWX1" s="224"/>
      <c r="RWY1" s="224"/>
      <c r="RWZ1" s="224"/>
      <c r="RXA1" s="224"/>
      <c r="RXB1" s="224"/>
      <c r="RXC1" s="224"/>
      <c r="RXD1" s="224"/>
      <c r="RXE1" s="224"/>
      <c r="RXF1" s="224"/>
      <c r="RXG1" s="224"/>
      <c r="RXH1" s="224"/>
      <c r="RXI1" s="224"/>
      <c r="RXJ1" s="224"/>
      <c r="RXK1" s="224"/>
      <c r="RXL1" s="224"/>
      <c r="RXM1" s="224"/>
      <c r="RXN1" s="224"/>
      <c r="RXO1" s="224"/>
      <c r="RXP1" s="224"/>
      <c r="RXQ1" s="224"/>
      <c r="RXR1" s="224"/>
      <c r="RXS1" s="224"/>
      <c r="RXT1" s="224"/>
      <c r="RXU1" s="224"/>
      <c r="RXV1" s="224"/>
      <c r="RXW1" s="224"/>
      <c r="RXX1" s="224"/>
      <c r="RXY1" s="224"/>
      <c r="RXZ1" s="224"/>
      <c r="RYA1" s="224"/>
      <c r="RYB1" s="224"/>
      <c r="RYC1" s="224"/>
      <c r="RYD1" s="224"/>
      <c r="RYE1" s="224"/>
      <c r="RYF1" s="224"/>
      <c r="RYG1" s="224"/>
      <c r="RYH1" s="224"/>
      <c r="RYI1" s="224"/>
      <c r="RYJ1" s="224"/>
      <c r="RYK1" s="224"/>
      <c r="RYL1" s="224"/>
      <c r="RYM1" s="224"/>
      <c r="RYN1" s="224"/>
      <c r="RYO1" s="224"/>
      <c r="RYP1" s="224"/>
      <c r="RYQ1" s="224"/>
      <c r="RYR1" s="224"/>
      <c r="RYS1" s="224"/>
      <c r="RYT1" s="224"/>
      <c r="RYU1" s="224"/>
      <c r="RYV1" s="224"/>
      <c r="RYW1" s="224"/>
      <c r="RYX1" s="224"/>
      <c r="RYY1" s="224"/>
      <c r="RYZ1" s="224"/>
      <c r="RZA1" s="224"/>
      <c r="RZB1" s="224"/>
      <c r="RZC1" s="224"/>
      <c r="RZD1" s="224"/>
      <c r="RZE1" s="224"/>
      <c r="RZF1" s="224"/>
      <c r="RZG1" s="224"/>
      <c r="RZH1" s="224"/>
      <c r="RZI1" s="224"/>
      <c r="RZJ1" s="224"/>
      <c r="RZK1" s="224"/>
      <c r="RZL1" s="224"/>
      <c r="RZM1" s="224"/>
      <c r="RZN1" s="224"/>
      <c r="RZO1" s="224"/>
      <c r="RZP1" s="224"/>
      <c r="RZQ1" s="224"/>
      <c r="RZR1" s="224"/>
      <c r="RZS1" s="224"/>
      <c r="RZT1" s="224"/>
      <c r="RZU1" s="224"/>
      <c r="RZV1" s="224"/>
      <c r="RZW1" s="224"/>
      <c r="RZX1" s="224"/>
      <c r="RZY1" s="224"/>
      <c r="RZZ1" s="224"/>
      <c r="SAA1" s="224"/>
      <c r="SAB1" s="224"/>
      <c r="SAC1" s="224"/>
      <c r="SAD1" s="224"/>
      <c r="SAE1" s="224"/>
      <c r="SAF1" s="224"/>
      <c r="SAG1" s="224"/>
      <c r="SAH1" s="224"/>
      <c r="SAI1" s="224"/>
      <c r="SAJ1" s="224"/>
      <c r="SAK1" s="224"/>
      <c r="SAL1" s="224"/>
      <c r="SAM1" s="224"/>
      <c r="SAN1" s="224"/>
      <c r="SAO1" s="224"/>
      <c r="SAP1" s="224"/>
      <c r="SAQ1" s="224"/>
      <c r="SAR1" s="224"/>
      <c r="SAS1" s="224"/>
      <c r="SAT1" s="224"/>
      <c r="SAU1" s="224"/>
      <c r="SAV1" s="224"/>
      <c r="SAW1" s="224"/>
      <c r="SAX1" s="224"/>
      <c r="SAY1" s="224"/>
      <c r="SAZ1" s="224"/>
      <c r="SBA1" s="224"/>
      <c r="SBB1" s="224"/>
      <c r="SBC1" s="224"/>
      <c r="SBD1" s="224"/>
      <c r="SBE1" s="224"/>
      <c r="SBF1" s="224"/>
      <c r="SBG1" s="224"/>
      <c r="SBH1" s="224"/>
      <c r="SBI1" s="224"/>
      <c r="SBJ1" s="224"/>
      <c r="SBK1" s="224"/>
      <c r="SBL1" s="224"/>
      <c r="SBM1" s="224"/>
      <c r="SBN1" s="224"/>
      <c r="SBO1" s="224"/>
      <c r="SBP1" s="224"/>
      <c r="SBQ1" s="224"/>
      <c r="SBR1" s="224"/>
      <c r="SBS1" s="224"/>
      <c r="SBT1" s="224"/>
      <c r="SBU1" s="224"/>
      <c r="SBV1" s="224"/>
      <c r="SBW1" s="224"/>
      <c r="SBX1" s="224"/>
      <c r="SBY1" s="224"/>
      <c r="SBZ1" s="224"/>
      <c r="SCA1" s="224"/>
      <c r="SCB1" s="224"/>
      <c r="SCC1" s="224"/>
      <c r="SCD1" s="224"/>
      <c r="SCE1" s="224"/>
      <c r="SCF1" s="224"/>
      <c r="SCG1" s="224"/>
      <c r="SCH1" s="224"/>
      <c r="SCI1" s="224"/>
      <c r="SCJ1" s="224"/>
      <c r="SCK1" s="224"/>
      <c r="SCL1" s="224"/>
      <c r="SCM1" s="224"/>
      <c r="SCN1" s="224"/>
      <c r="SCO1" s="224"/>
      <c r="SCP1" s="224"/>
      <c r="SCQ1" s="224"/>
      <c r="SCR1" s="224"/>
      <c r="SCS1" s="224"/>
      <c r="SCT1" s="224"/>
      <c r="SCU1" s="224"/>
      <c r="SCV1" s="224"/>
      <c r="SCW1" s="224"/>
      <c r="SCX1" s="224"/>
      <c r="SCY1" s="224"/>
      <c r="SCZ1" s="224"/>
      <c r="SDA1" s="224"/>
      <c r="SDB1" s="224"/>
      <c r="SDC1" s="224"/>
      <c r="SDD1" s="224"/>
      <c r="SDE1" s="224"/>
      <c r="SDF1" s="224"/>
      <c r="SDG1" s="224"/>
      <c r="SDH1" s="224"/>
      <c r="SDI1" s="224"/>
      <c r="SDJ1" s="224"/>
      <c r="SDK1" s="224"/>
      <c r="SDL1" s="224"/>
      <c r="SDM1" s="224"/>
      <c r="SDN1" s="224"/>
      <c r="SDO1" s="224"/>
      <c r="SDP1" s="224"/>
      <c r="SDQ1" s="224"/>
      <c r="SDR1" s="224"/>
      <c r="SDS1" s="224"/>
      <c r="SDT1" s="224"/>
      <c r="SDU1" s="224"/>
      <c r="SDV1" s="224"/>
      <c r="SDW1" s="224"/>
      <c r="SDX1" s="224"/>
      <c r="SDY1" s="224"/>
      <c r="SDZ1" s="224"/>
      <c r="SEA1" s="224"/>
      <c r="SEB1" s="224"/>
      <c r="SEC1" s="224"/>
      <c r="SED1" s="224"/>
      <c r="SEE1" s="224"/>
      <c r="SEF1" s="224"/>
      <c r="SEG1" s="224"/>
      <c r="SEH1" s="224"/>
      <c r="SEI1" s="224"/>
      <c r="SEJ1" s="224"/>
      <c r="SEK1" s="224"/>
      <c r="SEL1" s="224"/>
      <c r="SEM1" s="224"/>
      <c r="SEN1" s="224"/>
      <c r="SEO1" s="224"/>
      <c r="SEP1" s="224"/>
      <c r="SEQ1" s="224"/>
      <c r="SER1" s="224"/>
      <c r="SES1" s="224"/>
      <c r="SET1" s="224"/>
      <c r="SEU1" s="224"/>
      <c r="SEV1" s="224"/>
      <c r="SEW1" s="224"/>
      <c r="SEX1" s="224"/>
      <c r="SEY1" s="224"/>
      <c r="SEZ1" s="224"/>
      <c r="SFA1" s="224"/>
      <c r="SFB1" s="224"/>
      <c r="SFC1" s="224"/>
      <c r="SFD1" s="224"/>
      <c r="SFE1" s="224"/>
      <c r="SFF1" s="224"/>
      <c r="SFG1" s="224"/>
      <c r="SFH1" s="224"/>
      <c r="SFI1" s="224"/>
      <c r="SFJ1" s="224"/>
      <c r="SFK1" s="224"/>
      <c r="SFL1" s="224"/>
      <c r="SFM1" s="224"/>
      <c r="SFN1" s="224"/>
      <c r="SFO1" s="224"/>
      <c r="SFP1" s="224"/>
      <c r="SFQ1" s="224"/>
      <c r="SFR1" s="224"/>
      <c r="SFS1" s="224"/>
      <c r="SFT1" s="224"/>
      <c r="SFU1" s="224"/>
      <c r="SFV1" s="224"/>
      <c r="SFW1" s="224"/>
      <c r="SFX1" s="224"/>
      <c r="SFY1" s="224"/>
      <c r="SFZ1" s="224"/>
      <c r="SGA1" s="224"/>
      <c r="SGB1" s="224"/>
      <c r="SGC1" s="224"/>
      <c r="SGD1" s="224"/>
      <c r="SGE1" s="224"/>
      <c r="SGF1" s="224"/>
      <c r="SGG1" s="224"/>
      <c r="SGH1" s="224"/>
      <c r="SGI1" s="224"/>
      <c r="SGJ1" s="224"/>
      <c r="SGK1" s="224"/>
      <c r="SGL1" s="224"/>
      <c r="SGM1" s="224"/>
      <c r="SGN1" s="224"/>
      <c r="SGO1" s="224"/>
      <c r="SGP1" s="224"/>
      <c r="SGQ1" s="224"/>
      <c r="SGR1" s="224"/>
      <c r="SGS1" s="224"/>
      <c r="SGT1" s="224"/>
      <c r="SGU1" s="224"/>
      <c r="SGV1" s="224"/>
      <c r="SGW1" s="224"/>
      <c r="SGX1" s="224"/>
      <c r="SGY1" s="224"/>
      <c r="SGZ1" s="224"/>
      <c r="SHA1" s="224"/>
      <c r="SHB1" s="224"/>
      <c r="SHC1" s="224"/>
      <c r="SHD1" s="224"/>
      <c r="SHE1" s="224"/>
      <c r="SHF1" s="224"/>
      <c r="SHG1" s="224"/>
      <c r="SHH1" s="224"/>
      <c r="SHI1" s="224"/>
      <c r="SHJ1" s="224"/>
      <c r="SHK1" s="224"/>
      <c r="SHL1" s="224"/>
      <c r="SHM1" s="224"/>
      <c r="SHN1" s="224"/>
      <c r="SHO1" s="224"/>
      <c r="SHP1" s="224"/>
      <c r="SHQ1" s="224"/>
      <c r="SHR1" s="224"/>
      <c r="SHS1" s="224"/>
      <c r="SHT1" s="224"/>
      <c r="SHU1" s="224"/>
      <c r="SHV1" s="224"/>
      <c r="SHW1" s="224"/>
      <c r="SHX1" s="224"/>
      <c r="SHY1" s="224"/>
      <c r="SHZ1" s="224"/>
      <c r="SIA1" s="224"/>
      <c r="SIB1" s="224"/>
      <c r="SIC1" s="224"/>
      <c r="SID1" s="224"/>
      <c r="SIE1" s="224"/>
      <c r="SIF1" s="224"/>
      <c r="SIG1" s="224"/>
      <c r="SIH1" s="224"/>
      <c r="SII1" s="224"/>
      <c r="SIJ1" s="224"/>
      <c r="SIK1" s="224"/>
      <c r="SIL1" s="224"/>
      <c r="SIM1" s="224"/>
      <c r="SIN1" s="224"/>
      <c r="SIO1" s="224"/>
      <c r="SIP1" s="224"/>
      <c r="SIQ1" s="224"/>
      <c r="SIR1" s="224"/>
      <c r="SIS1" s="224"/>
      <c r="SIT1" s="224"/>
      <c r="SIU1" s="224"/>
      <c r="SIV1" s="224"/>
      <c r="SIW1" s="224"/>
      <c r="SIX1" s="224"/>
      <c r="SIY1" s="224"/>
      <c r="SIZ1" s="224"/>
      <c r="SJA1" s="224"/>
      <c r="SJB1" s="224"/>
      <c r="SJC1" s="224"/>
      <c r="SJD1" s="224"/>
      <c r="SJE1" s="224"/>
      <c r="SJF1" s="224"/>
      <c r="SJG1" s="224"/>
      <c r="SJH1" s="224"/>
      <c r="SJI1" s="224"/>
      <c r="SJJ1" s="224"/>
      <c r="SJK1" s="224"/>
      <c r="SJL1" s="224"/>
      <c r="SJM1" s="224"/>
      <c r="SJN1" s="224"/>
      <c r="SJO1" s="224"/>
      <c r="SJP1" s="224"/>
      <c r="SJQ1" s="224"/>
      <c r="SJR1" s="224"/>
      <c r="SJS1" s="224"/>
      <c r="SJT1" s="224"/>
      <c r="SJU1" s="224"/>
      <c r="SJV1" s="224"/>
      <c r="SJW1" s="224"/>
      <c r="SJX1" s="224"/>
      <c r="SJY1" s="224"/>
      <c r="SJZ1" s="224"/>
      <c r="SKA1" s="224"/>
      <c r="SKB1" s="224"/>
      <c r="SKC1" s="224"/>
      <c r="SKD1" s="224"/>
      <c r="SKE1" s="224"/>
      <c r="SKF1" s="224"/>
      <c r="SKG1" s="224"/>
      <c r="SKH1" s="224"/>
      <c r="SKI1" s="224"/>
      <c r="SKJ1" s="224"/>
      <c r="SKK1" s="224"/>
      <c r="SKL1" s="224"/>
      <c r="SKM1" s="224"/>
      <c r="SKN1" s="224"/>
      <c r="SKO1" s="224"/>
      <c r="SKP1" s="224"/>
      <c r="SKQ1" s="224"/>
      <c r="SKR1" s="224"/>
      <c r="SKS1" s="224"/>
      <c r="SKT1" s="224"/>
      <c r="SKU1" s="224"/>
      <c r="SKV1" s="224"/>
      <c r="SKW1" s="224"/>
      <c r="SKX1" s="224"/>
      <c r="SKY1" s="224"/>
      <c r="SKZ1" s="224"/>
      <c r="SLA1" s="224"/>
      <c r="SLB1" s="224"/>
      <c r="SLC1" s="224"/>
      <c r="SLD1" s="224"/>
      <c r="SLE1" s="224"/>
      <c r="SLF1" s="224"/>
      <c r="SLG1" s="224"/>
      <c r="SLH1" s="224"/>
      <c r="SLI1" s="224"/>
      <c r="SLJ1" s="224"/>
      <c r="SLK1" s="224"/>
      <c r="SLL1" s="224"/>
      <c r="SLM1" s="224"/>
      <c r="SLN1" s="224"/>
      <c r="SLO1" s="224"/>
      <c r="SLP1" s="224"/>
      <c r="SLQ1" s="224"/>
      <c r="SLR1" s="224"/>
      <c r="SLS1" s="224"/>
      <c r="SLT1" s="224"/>
      <c r="SLU1" s="224"/>
      <c r="SLV1" s="224"/>
      <c r="SLW1" s="224"/>
      <c r="SLX1" s="224"/>
      <c r="SLY1" s="224"/>
      <c r="SLZ1" s="224"/>
      <c r="SMA1" s="224"/>
      <c r="SMB1" s="224"/>
      <c r="SMC1" s="224"/>
      <c r="SMD1" s="224"/>
      <c r="SME1" s="224"/>
      <c r="SMF1" s="224"/>
      <c r="SMG1" s="224"/>
      <c r="SMH1" s="224"/>
      <c r="SMI1" s="224"/>
      <c r="SMJ1" s="224"/>
      <c r="SMK1" s="224"/>
      <c r="SML1" s="224"/>
      <c r="SMM1" s="224"/>
      <c r="SMN1" s="224"/>
      <c r="SMO1" s="224"/>
      <c r="SMP1" s="224"/>
      <c r="SMQ1" s="224"/>
      <c r="SMR1" s="224"/>
      <c r="SMS1" s="224"/>
      <c r="SMT1" s="224"/>
      <c r="SMU1" s="224"/>
      <c r="SMV1" s="224"/>
      <c r="SMW1" s="224"/>
      <c r="SMX1" s="224"/>
      <c r="SMY1" s="224"/>
      <c r="SMZ1" s="224"/>
      <c r="SNA1" s="224"/>
      <c r="SNB1" s="224"/>
      <c r="SNC1" s="224"/>
      <c r="SND1" s="224"/>
      <c r="SNE1" s="224"/>
      <c r="SNF1" s="224"/>
      <c r="SNG1" s="224"/>
      <c r="SNH1" s="224"/>
      <c r="SNI1" s="224"/>
      <c r="SNJ1" s="224"/>
      <c r="SNK1" s="224"/>
      <c r="SNL1" s="224"/>
      <c r="SNM1" s="224"/>
      <c r="SNN1" s="224"/>
      <c r="SNO1" s="224"/>
      <c r="SNP1" s="224"/>
      <c r="SNQ1" s="224"/>
      <c r="SNR1" s="224"/>
      <c r="SNS1" s="224"/>
      <c r="SNT1" s="224"/>
      <c r="SNU1" s="224"/>
      <c r="SNV1" s="224"/>
      <c r="SNW1" s="224"/>
      <c r="SNX1" s="224"/>
      <c r="SNY1" s="224"/>
      <c r="SNZ1" s="224"/>
      <c r="SOA1" s="224"/>
      <c r="SOB1" s="224"/>
      <c r="SOC1" s="224"/>
      <c r="SOD1" s="224"/>
      <c r="SOE1" s="224"/>
      <c r="SOF1" s="224"/>
      <c r="SOG1" s="224"/>
      <c r="SOH1" s="224"/>
      <c r="SOI1" s="224"/>
      <c r="SOJ1" s="224"/>
      <c r="SOK1" s="224"/>
      <c r="SOL1" s="224"/>
      <c r="SOM1" s="224"/>
      <c r="SON1" s="224"/>
      <c r="SOO1" s="224"/>
      <c r="SOP1" s="224"/>
      <c r="SOQ1" s="224"/>
      <c r="SOR1" s="224"/>
      <c r="SOS1" s="224"/>
      <c r="SOT1" s="224"/>
      <c r="SOU1" s="224"/>
      <c r="SOV1" s="224"/>
      <c r="SOW1" s="224"/>
      <c r="SOX1" s="224"/>
      <c r="SOY1" s="224"/>
      <c r="SOZ1" s="224"/>
      <c r="SPA1" s="224"/>
      <c r="SPB1" s="224"/>
      <c r="SPC1" s="224"/>
      <c r="SPD1" s="224"/>
      <c r="SPE1" s="224"/>
      <c r="SPF1" s="224"/>
      <c r="SPG1" s="224"/>
      <c r="SPH1" s="224"/>
      <c r="SPI1" s="224"/>
      <c r="SPJ1" s="224"/>
      <c r="SPK1" s="224"/>
      <c r="SPL1" s="224"/>
      <c r="SPM1" s="224"/>
      <c r="SPN1" s="224"/>
      <c r="SPO1" s="224"/>
      <c r="SPP1" s="224"/>
      <c r="SPQ1" s="224"/>
      <c r="SPR1" s="224"/>
      <c r="SPS1" s="224"/>
      <c r="SPT1" s="224"/>
      <c r="SPU1" s="224"/>
      <c r="SPV1" s="224"/>
      <c r="SPW1" s="224"/>
      <c r="SPX1" s="224"/>
      <c r="SPY1" s="224"/>
      <c r="SPZ1" s="224"/>
      <c r="SQA1" s="224"/>
      <c r="SQB1" s="224"/>
      <c r="SQC1" s="224"/>
      <c r="SQD1" s="224"/>
      <c r="SQE1" s="224"/>
      <c r="SQF1" s="224"/>
      <c r="SQG1" s="224"/>
      <c r="SQH1" s="224"/>
      <c r="SQI1" s="224"/>
      <c r="SQJ1" s="224"/>
      <c r="SQK1" s="224"/>
      <c r="SQL1" s="224"/>
      <c r="SQM1" s="224"/>
      <c r="SQN1" s="224"/>
      <c r="SQO1" s="224"/>
      <c r="SQP1" s="224"/>
      <c r="SQQ1" s="224"/>
      <c r="SQR1" s="224"/>
      <c r="SQS1" s="224"/>
      <c r="SQT1" s="224"/>
      <c r="SQU1" s="224"/>
      <c r="SQV1" s="224"/>
      <c r="SQW1" s="224"/>
      <c r="SQX1" s="224"/>
      <c r="SQY1" s="224"/>
      <c r="SQZ1" s="224"/>
      <c r="SRA1" s="224"/>
      <c r="SRB1" s="224"/>
      <c r="SRC1" s="224"/>
      <c r="SRD1" s="224"/>
      <c r="SRE1" s="224"/>
      <c r="SRF1" s="224"/>
      <c r="SRG1" s="224"/>
      <c r="SRH1" s="224"/>
      <c r="SRI1" s="224"/>
      <c r="SRJ1" s="224"/>
      <c r="SRK1" s="224"/>
      <c r="SRL1" s="224"/>
      <c r="SRM1" s="224"/>
      <c r="SRN1" s="224"/>
      <c r="SRO1" s="224"/>
      <c r="SRP1" s="224"/>
      <c r="SRQ1" s="224"/>
      <c r="SRR1" s="224"/>
      <c r="SRS1" s="224"/>
      <c r="SRT1" s="224"/>
      <c r="SRU1" s="224"/>
      <c r="SRV1" s="224"/>
      <c r="SRW1" s="224"/>
      <c r="SRX1" s="224"/>
      <c r="SRY1" s="224"/>
      <c r="SRZ1" s="224"/>
      <c r="SSA1" s="224"/>
      <c r="SSB1" s="224"/>
      <c r="SSC1" s="224"/>
      <c r="SSD1" s="224"/>
      <c r="SSE1" s="224"/>
      <c r="SSF1" s="224"/>
      <c r="SSG1" s="224"/>
      <c r="SSH1" s="224"/>
      <c r="SSI1" s="224"/>
      <c r="SSJ1" s="224"/>
      <c r="SSK1" s="224"/>
      <c r="SSL1" s="224"/>
      <c r="SSM1" s="224"/>
      <c r="SSN1" s="224"/>
      <c r="SSO1" s="224"/>
      <c r="SSP1" s="224"/>
      <c r="SSQ1" s="224"/>
      <c r="SSR1" s="224"/>
      <c r="SSS1" s="224"/>
      <c r="SST1" s="224"/>
      <c r="SSU1" s="224"/>
      <c r="SSV1" s="224"/>
      <c r="SSW1" s="224"/>
      <c r="SSX1" s="224"/>
      <c r="SSY1" s="224"/>
      <c r="SSZ1" s="224"/>
      <c r="STA1" s="224"/>
      <c r="STB1" s="224"/>
      <c r="STC1" s="224"/>
      <c r="STD1" s="224"/>
      <c r="STE1" s="224"/>
      <c r="STF1" s="224"/>
      <c r="STG1" s="224"/>
      <c r="STH1" s="224"/>
      <c r="STI1" s="224"/>
      <c r="STJ1" s="224"/>
      <c r="STK1" s="224"/>
      <c r="STL1" s="224"/>
      <c r="STM1" s="224"/>
      <c r="STN1" s="224"/>
      <c r="STO1" s="224"/>
      <c r="STP1" s="224"/>
      <c r="STQ1" s="224"/>
      <c r="STR1" s="224"/>
      <c r="STS1" s="224"/>
      <c r="STT1" s="224"/>
      <c r="STU1" s="224"/>
      <c r="STV1" s="224"/>
      <c r="STW1" s="224"/>
      <c r="STX1" s="224"/>
      <c r="STY1" s="224"/>
      <c r="STZ1" s="224"/>
      <c r="SUA1" s="224"/>
      <c r="SUB1" s="224"/>
      <c r="SUC1" s="224"/>
      <c r="SUD1" s="224"/>
      <c r="SUE1" s="224"/>
      <c r="SUF1" s="224"/>
      <c r="SUG1" s="224"/>
      <c r="SUH1" s="224"/>
      <c r="SUI1" s="224"/>
      <c r="SUJ1" s="224"/>
      <c r="SUK1" s="224"/>
      <c r="SUL1" s="224"/>
      <c r="SUM1" s="224"/>
      <c r="SUN1" s="224"/>
      <c r="SUO1" s="224"/>
      <c r="SUP1" s="224"/>
      <c r="SUQ1" s="224"/>
      <c r="SUR1" s="224"/>
      <c r="SUS1" s="224"/>
      <c r="SUT1" s="224"/>
      <c r="SUU1" s="224"/>
      <c r="SUV1" s="224"/>
      <c r="SUW1" s="224"/>
      <c r="SUX1" s="224"/>
      <c r="SUY1" s="224"/>
      <c r="SUZ1" s="224"/>
      <c r="SVA1" s="224"/>
      <c r="SVB1" s="224"/>
      <c r="SVC1" s="224"/>
      <c r="SVD1" s="224"/>
      <c r="SVE1" s="224"/>
      <c r="SVF1" s="224"/>
      <c r="SVG1" s="224"/>
      <c r="SVH1" s="224"/>
      <c r="SVI1" s="224"/>
      <c r="SVJ1" s="224"/>
      <c r="SVK1" s="224"/>
      <c r="SVL1" s="224"/>
      <c r="SVM1" s="224"/>
      <c r="SVN1" s="224"/>
      <c r="SVO1" s="224"/>
      <c r="SVP1" s="224"/>
      <c r="SVQ1" s="224"/>
      <c r="SVR1" s="224"/>
      <c r="SVS1" s="224"/>
      <c r="SVT1" s="224"/>
      <c r="SVU1" s="224"/>
      <c r="SVV1" s="224"/>
      <c r="SVW1" s="224"/>
      <c r="SVX1" s="224"/>
      <c r="SVY1" s="224"/>
      <c r="SVZ1" s="224"/>
      <c r="SWA1" s="224"/>
      <c r="SWB1" s="224"/>
      <c r="SWC1" s="224"/>
      <c r="SWD1" s="224"/>
      <c r="SWE1" s="224"/>
      <c r="SWF1" s="224"/>
      <c r="SWG1" s="224"/>
      <c r="SWH1" s="224"/>
      <c r="SWI1" s="224"/>
      <c r="SWJ1" s="224"/>
      <c r="SWK1" s="224"/>
      <c r="SWL1" s="224"/>
      <c r="SWM1" s="224"/>
      <c r="SWN1" s="224"/>
      <c r="SWO1" s="224"/>
      <c r="SWP1" s="224"/>
      <c r="SWQ1" s="224"/>
      <c r="SWR1" s="224"/>
      <c r="SWS1" s="224"/>
      <c r="SWT1" s="224"/>
      <c r="SWU1" s="224"/>
      <c r="SWV1" s="224"/>
      <c r="SWW1" s="224"/>
      <c r="SWX1" s="224"/>
      <c r="SWY1" s="224"/>
      <c r="SWZ1" s="224"/>
      <c r="SXA1" s="224"/>
      <c r="SXB1" s="224"/>
      <c r="SXC1" s="224"/>
      <c r="SXD1" s="224"/>
      <c r="SXE1" s="224"/>
      <c r="SXF1" s="224"/>
      <c r="SXG1" s="224"/>
      <c r="SXH1" s="224"/>
      <c r="SXI1" s="224"/>
      <c r="SXJ1" s="224"/>
      <c r="SXK1" s="224"/>
      <c r="SXL1" s="224"/>
      <c r="SXM1" s="224"/>
      <c r="SXN1" s="224"/>
      <c r="SXO1" s="224"/>
      <c r="SXP1" s="224"/>
      <c r="SXQ1" s="224"/>
      <c r="SXR1" s="224"/>
      <c r="SXS1" s="224"/>
      <c r="SXT1" s="224"/>
      <c r="SXU1" s="224"/>
      <c r="SXV1" s="224"/>
      <c r="SXW1" s="224"/>
      <c r="SXX1" s="224"/>
      <c r="SXY1" s="224"/>
      <c r="SXZ1" s="224"/>
      <c r="SYA1" s="224"/>
      <c r="SYB1" s="224"/>
      <c r="SYC1" s="224"/>
      <c r="SYD1" s="224"/>
      <c r="SYE1" s="224"/>
      <c r="SYF1" s="224"/>
      <c r="SYG1" s="224"/>
      <c r="SYH1" s="224"/>
      <c r="SYI1" s="224"/>
      <c r="SYJ1" s="224"/>
      <c r="SYK1" s="224"/>
      <c r="SYL1" s="224"/>
      <c r="SYM1" s="224"/>
      <c r="SYN1" s="224"/>
      <c r="SYO1" s="224"/>
      <c r="SYP1" s="224"/>
      <c r="SYQ1" s="224"/>
      <c r="SYR1" s="224"/>
      <c r="SYS1" s="224"/>
      <c r="SYT1" s="224"/>
      <c r="SYU1" s="224"/>
      <c r="SYV1" s="224"/>
      <c r="SYW1" s="224"/>
      <c r="SYX1" s="224"/>
      <c r="SYY1" s="224"/>
      <c r="SYZ1" s="224"/>
      <c r="SZA1" s="224"/>
      <c r="SZB1" s="224"/>
      <c r="SZC1" s="224"/>
      <c r="SZD1" s="224"/>
      <c r="SZE1" s="224"/>
      <c r="SZF1" s="224"/>
      <c r="SZG1" s="224"/>
      <c r="SZH1" s="224"/>
      <c r="SZI1" s="224"/>
      <c r="SZJ1" s="224"/>
      <c r="SZK1" s="224"/>
      <c r="SZL1" s="224"/>
      <c r="SZM1" s="224"/>
      <c r="SZN1" s="224"/>
      <c r="SZO1" s="224"/>
      <c r="SZP1" s="224"/>
      <c r="SZQ1" s="224"/>
      <c r="SZR1" s="224"/>
      <c r="SZS1" s="224"/>
      <c r="SZT1" s="224"/>
      <c r="SZU1" s="224"/>
      <c r="SZV1" s="224"/>
      <c r="SZW1" s="224"/>
      <c r="SZX1" s="224"/>
      <c r="SZY1" s="224"/>
      <c r="SZZ1" s="224"/>
      <c r="TAA1" s="224"/>
      <c r="TAB1" s="224"/>
      <c r="TAC1" s="224"/>
      <c r="TAD1" s="224"/>
      <c r="TAE1" s="224"/>
      <c r="TAF1" s="224"/>
      <c r="TAG1" s="224"/>
      <c r="TAH1" s="224"/>
      <c r="TAI1" s="224"/>
      <c r="TAJ1" s="224"/>
      <c r="TAK1" s="224"/>
      <c r="TAL1" s="224"/>
      <c r="TAM1" s="224"/>
      <c r="TAN1" s="224"/>
      <c r="TAO1" s="224"/>
      <c r="TAP1" s="224"/>
      <c r="TAQ1" s="224"/>
      <c r="TAR1" s="224"/>
      <c r="TAS1" s="224"/>
      <c r="TAT1" s="224"/>
      <c r="TAU1" s="224"/>
      <c r="TAV1" s="224"/>
      <c r="TAW1" s="224"/>
      <c r="TAX1" s="224"/>
      <c r="TAY1" s="224"/>
      <c r="TAZ1" s="224"/>
      <c r="TBA1" s="224"/>
      <c r="TBB1" s="224"/>
      <c r="TBC1" s="224"/>
      <c r="TBD1" s="224"/>
      <c r="TBE1" s="224"/>
      <c r="TBF1" s="224"/>
      <c r="TBG1" s="224"/>
      <c r="TBH1" s="224"/>
      <c r="TBI1" s="224"/>
      <c r="TBJ1" s="224"/>
      <c r="TBK1" s="224"/>
      <c r="TBL1" s="224"/>
      <c r="TBM1" s="224"/>
      <c r="TBN1" s="224"/>
      <c r="TBO1" s="224"/>
      <c r="TBP1" s="224"/>
      <c r="TBQ1" s="224"/>
      <c r="TBR1" s="224"/>
      <c r="TBS1" s="224"/>
      <c r="TBT1" s="224"/>
      <c r="TBU1" s="224"/>
      <c r="TBV1" s="224"/>
      <c r="TBW1" s="224"/>
      <c r="TBX1" s="224"/>
      <c r="TBY1" s="224"/>
      <c r="TBZ1" s="224"/>
      <c r="TCA1" s="224"/>
      <c r="TCB1" s="224"/>
      <c r="TCC1" s="224"/>
      <c r="TCD1" s="224"/>
      <c r="TCE1" s="224"/>
      <c r="TCF1" s="224"/>
      <c r="TCG1" s="224"/>
      <c r="TCH1" s="224"/>
      <c r="TCI1" s="224"/>
      <c r="TCJ1" s="224"/>
      <c r="TCK1" s="224"/>
      <c r="TCL1" s="224"/>
      <c r="TCM1" s="224"/>
      <c r="TCN1" s="224"/>
      <c r="TCO1" s="224"/>
      <c r="TCP1" s="224"/>
      <c r="TCQ1" s="224"/>
      <c r="TCR1" s="224"/>
      <c r="TCS1" s="224"/>
      <c r="TCT1" s="224"/>
      <c r="TCU1" s="224"/>
      <c r="TCV1" s="224"/>
      <c r="TCW1" s="224"/>
      <c r="TCX1" s="224"/>
      <c r="TCY1" s="224"/>
      <c r="TCZ1" s="224"/>
      <c r="TDA1" s="224"/>
      <c r="TDB1" s="224"/>
      <c r="TDC1" s="224"/>
      <c r="TDD1" s="224"/>
      <c r="TDE1" s="224"/>
      <c r="TDF1" s="224"/>
      <c r="TDG1" s="224"/>
      <c r="TDH1" s="224"/>
      <c r="TDI1" s="224"/>
      <c r="TDJ1" s="224"/>
      <c r="TDK1" s="224"/>
      <c r="TDL1" s="224"/>
      <c r="TDM1" s="224"/>
      <c r="TDN1" s="224"/>
      <c r="TDO1" s="224"/>
      <c r="TDP1" s="224"/>
      <c r="TDQ1" s="224"/>
      <c r="TDR1" s="224"/>
      <c r="TDS1" s="224"/>
      <c r="TDT1" s="224"/>
      <c r="TDU1" s="224"/>
      <c r="TDV1" s="224"/>
      <c r="TDW1" s="224"/>
      <c r="TDX1" s="224"/>
      <c r="TDY1" s="224"/>
      <c r="TDZ1" s="224"/>
      <c r="TEA1" s="224"/>
      <c r="TEB1" s="224"/>
      <c r="TEC1" s="224"/>
      <c r="TED1" s="224"/>
      <c r="TEE1" s="224"/>
      <c r="TEF1" s="224"/>
      <c r="TEG1" s="224"/>
      <c r="TEH1" s="224"/>
      <c r="TEI1" s="224"/>
      <c r="TEJ1" s="224"/>
      <c r="TEK1" s="224"/>
      <c r="TEL1" s="224"/>
      <c r="TEM1" s="224"/>
      <c r="TEN1" s="224"/>
      <c r="TEO1" s="224"/>
      <c r="TEP1" s="224"/>
      <c r="TEQ1" s="224"/>
      <c r="TER1" s="224"/>
      <c r="TES1" s="224"/>
      <c r="TET1" s="224"/>
      <c r="TEU1" s="224"/>
      <c r="TEV1" s="224"/>
      <c r="TEW1" s="224"/>
      <c r="TEX1" s="224"/>
      <c r="TEY1" s="224"/>
      <c r="TEZ1" s="224"/>
      <c r="TFA1" s="224"/>
      <c r="TFB1" s="224"/>
      <c r="TFC1" s="224"/>
      <c r="TFD1" s="224"/>
      <c r="TFE1" s="224"/>
      <c r="TFF1" s="224"/>
      <c r="TFG1" s="224"/>
      <c r="TFH1" s="224"/>
      <c r="TFI1" s="224"/>
      <c r="TFJ1" s="224"/>
      <c r="TFK1" s="224"/>
      <c r="TFL1" s="224"/>
      <c r="TFM1" s="224"/>
      <c r="TFN1" s="224"/>
      <c r="TFO1" s="224"/>
      <c r="TFP1" s="224"/>
      <c r="TFQ1" s="224"/>
      <c r="TFR1" s="224"/>
      <c r="TFS1" s="224"/>
      <c r="TFT1" s="224"/>
      <c r="TFU1" s="224"/>
      <c r="TFV1" s="224"/>
      <c r="TFW1" s="224"/>
      <c r="TFX1" s="224"/>
      <c r="TFY1" s="224"/>
      <c r="TFZ1" s="224"/>
      <c r="TGA1" s="224"/>
      <c r="TGB1" s="224"/>
      <c r="TGC1" s="224"/>
      <c r="TGD1" s="224"/>
      <c r="TGE1" s="224"/>
      <c r="TGF1" s="224"/>
      <c r="TGG1" s="224"/>
      <c r="TGH1" s="224"/>
      <c r="TGI1" s="224"/>
      <c r="TGJ1" s="224"/>
      <c r="TGK1" s="224"/>
      <c r="TGL1" s="224"/>
      <c r="TGM1" s="224"/>
      <c r="TGN1" s="224"/>
      <c r="TGO1" s="224"/>
      <c r="TGP1" s="224"/>
      <c r="TGQ1" s="224"/>
      <c r="TGR1" s="224"/>
      <c r="TGS1" s="224"/>
      <c r="TGT1" s="224"/>
      <c r="TGU1" s="224"/>
      <c r="TGV1" s="224"/>
      <c r="TGW1" s="224"/>
      <c r="TGX1" s="224"/>
      <c r="TGY1" s="224"/>
      <c r="TGZ1" s="224"/>
      <c r="THA1" s="224"/>
      <c r="THB1" s="224"/>
      <c r="THC1" s="224"/>
      <c r="THD1" s="224"/>
      <c r="THE1" s="224"/>
      <c r="THF1" s="224"/>
      <c r="THG1" s="224"/>
      <c r="THH1" s="224"/>
      <c r="THI1" s="224"/>
      <c r="THJ1" s="224"/>
      <c r="THK1" s="224"/>
      <c r="THL1" s="224"/>
      <c r="THM1" s="224"/>
      <c r="THN1" s="224"/>
      <c r="THO1" s="224"/>
      <c r="THP1" s="224"/>
      <c r="THQ1" s="224"/>
      <c r="THR1" s="224"/>
      <c r="THS1" s="224"/>
      <c r="THT1" s="224"/>
      <c r="THU1" s="224"/>
      <c r="THV1" s="224"/>
      <c r="THW1" s="224"/>
      <c r="THX1" s="224"/>
      <c r="THY1" s="224"/>
      <c r="THZ1" s="224"/>
      <c r="TIA1" s="224"/>
      <c r="TIB1" s="224"/>
      <c r="TIC1" s="224"/>
      <c r="TID1" s="224"/>
      <c r="TIE1" s="224"/>
      <c r="TIF1" s="224"/>
      <c r="TIG1" s="224"/>
      <c r="TIH1" s="224"/>
      <c r="TII1" s="224"/>
      <c r="TIJ1" s="224"/>
      <c r="TIK1" s="224"/>
      <c r="TIL1" s="224"/>
      <c r="TIM1" s="224"/>
      <c r="TIN1" s="224"/>
      <c r="TIO1" s="224"/>
      <c r="TIP1" s="224"/>
      <c r="TIQ1" s="224"/>
      <c r="TIR1" s="224"/>
      <c r="TIS1" s="224"/>
      <c r="TIT1" s="224"/>
      <c r="TIU1" s="224"/>
      <c r="TIV1" s="224"/>
      <c r="TIW1" s="224"/>
      <c r="TIX1" s="224"/>
      <c r="TIY1" s="224"/>
      <c r="TIZ1" s="224"/>
      <c r="TJA1" s="224"/>
      <c r="TJB1" s="224"/>
      <c r="TJC1" s="224"/>
      <c r="TJD1" s="224"/>
      <c r="TJE1" s="224"/>
      <c r="TJF1" s="224"/>
      <c r="TJG1" s="224"/>
      <c r="TJH1" s="224"/>
      <c r="TJI1" s="224"/>
      <c r="TJJ1" s="224"/>
      <c r="TJK1" s="224"/>
      <c r="TJL1" s="224"/>
      <c r="TJM1" s="224"/>
      <c r="TJN1" s="224"/>
      <c r="TJO1" s="224"/>
      <c r="TJP1" s="224"/>
      <c r="TJQ1" s="224"/>
      <c r="TJR1" s="224"/>
      <c r="TJS1" s="224"/>
      <c r="TJT1" s="224"/>
      <c r="TJU1" s="224"/>
      <c r="TJV1" s="224"/>
      <c r="TJW1" s="224"/>
      <c r="TJX1" s="224"/>
      <c r="TJY1" s="224"/>
      <c r="TJZ1" s="224"/>
      <c r="TKA1" s="224"/>
      <c r="TKB1" s="224"/>
      <c r="TKC1" s="224"/>
      <c r="TKD1" s="224"/>
      <c r="TKE1" s="224"/>
      <c r="TKF1" s="224"/>
      <c r="TKG1" s="224"/>
      <c r="TKH1" s="224"/>
      <c r="TKI1" s="224"/>
      <c r="TKJ1" s="224"/>
      <c r="TKK1" s="224"/>
      <c r="TKL1" s="224"/>
      <c r="TKM1" s="224"/>
      <c r="TKN1" s="224"/>
      <c r="TKO1" s="224"/>
      <c r="TKP1" s="224"/>
      <c r="TKQ1" s="224"/>
      <c r="TKR1" s="224"/>
      <c r="TKS1" s="224"/>
      <c r="TKT1" s="224"/>
      <c r="TKU1" s="224"/>
      <c r="TKV1" s="224"/>
      <c r="TKW1" s="224"/>
      <c r="TKX1" s="224"/>
      <c r="TKY1" s="224"/>
      <c r="TKZ1" s="224"/>
      <c r="TLA1" s="224"/>
      <c r="TLB1" s="224"/>
      <c r="TLC1" s="224"/>
      <c r="TLD1" s="224"/>
      <c r="TLE1" s="224"/>
      <c r="TLF1" s="224"/>
      <c r="TLG1" s="224"/>
      <c r="TLH1" s="224"/>
      <c r="TLI1" s="224"/>
      <c r="TLJ1" s="224"/>
      <c r="TLK1" s="224"/>
      <c r="TLL1" s="224"/>
      <c r="TLM1" s="224"/>
      <c r="TLN1" s="224"/>
      <c r="TLO1" s="224"/>
      <c r="TLP1" s="224"/>
      <c r="TLQ1" s="224"/>
      <c r="TLR1" s="224"/>
      <c r="TLS1" s="224"/>
      <c r="TLT1" s="224"/>
      <c r="TLU1" s="224"/>
      <c r="TLV1" s="224"/>
      <c r="TLW1" s="224"/>
      <c r="TLX1" s="224"/>
      <c r="TLY1" s="224"/>
      <c r="TLZ1" s="224"/>
      <c r="TMA1" s="224"/>
      <c r="TMB1" s="224"/>
      <c r="TMC1" s="224"/>
      <c r="TMD1" s="224"/>
      <c r="TME1" s="224"/>
      <c r="TMF1" s="224"/>
      <c r="TMG1" s="224"/>
      <c r="TMH1" s="224"/>
      <c r="TMI1" s="224"/>
      <c r="TMJ1" s="224"/>
      <c r="TMK1" s="224"/>
      <c r="TML1" s="224"/>
      <c r="TMM1" s="224"/>
      <c r="TMN1" s="224"/>
      <c r="TMO1" s="224"/>
      <c r="TMP1" s="224"/>
      <c r="TMQ1" s="224"/>
      <c r="TMR1" s="224"/>
      <c r="TMS1" s="224"/>
      <c r="TMT1" s="224"/>
      <c r="TMU1" s="224"/>
      <c r="TMV1" s="224"/>
      <c r="TMW1" s="224"/>
      <c r="TMX1" s="224"/>
      <c r="TMY1" s="224"/>
      <c r="TMZ1" s="224"/>
      <c r="TNA1" s="224"/>
      <c r="TNB1" s="224"/>
      <c r="TNC1" s="224"/>
      <c r="TND1" s="224"/>
      <c r="TNE1" s="224"/>
      <c r="TNF1" s="224"/>
      <c r="TNG1" s="224"/>
      <c r="TNH1" s="224"/>
      <c r="TNI1" s="224"/>
      <c r="TNJ1" s="224"/>
      <c r="TNK1" s="224"/>
      <c r="TNL1" s="224"/>
      <c r="TNM1" s="224"/>
      <c r="TNN1" s="224"/>
      <c r="TNO1" s="224"/>
      <c r="TNP1" s="224"/>
      <c r="TNQ1" s="224"/>
      <c r="TNR1" s="224"/>
      <c r="TNS1" s="224"/>
      <c r="TNT1" s="224"/>
      <c r="TNU1" s="224"/>
      <c r="TNV1" s="224"/>
      <c r="TNW1" s="224"/>
      <c r="TNX1" s="224"/>
      <c r="TNY1" s="224"/>
      <c r="TNZ1" s="224"/>
      <c r="TOA1" s="224"/>
      <c r="TOB1" s="224"/>
      <c r="TOC1" s="224"/>
      <c r="TOD1" s="224"/>
      <c r="TOE1" s="224"/>
      <c r="TOF1" s="224"/>
      <c r="TOG1" s="224"/>
      <c r="TOH1" s="224"/>
      <c r="TOI1" s="224"/>
      <c r="TOJ1" s="224"/>
      <c r="TOK1" s="224"/>
      <c r="TOL1" s="224"/>
      <c r="TOM1" s="224"/>
      <c r="TON1" s="224"/>
      <c r="TOO1" s="224"/>
      <c r="TOP1" s="224"/>
      <c r="TOQ1" s="224"/>
      <c r="TOR1" s="224"/>
      <c r="TOS1" s="224"/>
      <c r="TOT1" s="224"/>
      <c r="TOU1" s="224"/>
      <c r="TOV1" s="224"/>
      <c r="TOW1" s="224"/>
      <c r="TOX1" s="224"/>
      <c r="TOY1" s="224"/>
      <c r="TOZ1" s="224"/>
      <c r="TPA1" s="224"/>
      <c r="TPB1" s="224"/>
      <c r="TPC1" s="224"/>
      <c r="TPD1" s="224"/>
      <c r="TPE1" s="224"/>
      <c r="TPF1" s="224"/>
      <c r="TPG1" s="224"/>
      <c r="TPH1" s="224"/>
      <c r="TPI1" s="224"/>
      <c r="TPJ1" s="224"/>
      <c r="TPK1" s="224"/>
      <c r="TPL1" s="224"/>
      <c r="TPM1" s="224"/>
      <c r="TPN1" s="224"/>
      <c r="TPO1" s="224"/>
      <c r="TPP1" s="224"/>
      <c r="TPQ1" s="224"/>
      <c r="TPR1" s="224"/>
      <c r="TPS1" s="224"/>
      <c r="TPT1" s="224"/>
      <c r="TPU1" s="224"/>
      <c r="TPV1" s="224"/>
      <c r="TPW1" s="224"/>
      <c r="TPX1" s="224"/>
      <c r="TPY1" s="224"/>
      <c r="TPZ1" s="224"/>
      <c r="TQA1" s="224"/>
      <c r="TQB1" s="224"/>
      <c r="TQC1" s="224"/>
      <c r="TQD1" s="224"/>
      <c r="TQE1" s="224"/>
      <c r="TQF1" s="224"/>
      <c r="TQG1" s="224"/>
      <c r="TQH1" s="224"/>
      <c r="TQI1" s="224"/>
      <c r="TQJ1" s="224"/>
      <c r="TQK1" s="224"/>
      <c r="TQL1" s="224"/>
      <c r="TQM1" s="224"/>
      <c r="TQN1" s="224"/>
      <c r="TQO1" s="224"/>
      <c r="TQP1" s="224"/>
      <c r="TQQ1" s="224"/>
      <c r="TQR1" s="224"/>
      <c r="TQS1" s="224"/>
      <c r="TQT1" s="224"/>
      <c r="TQU1" s="224"/>
      <c r="TQV1" s="224"/>
      <c r="TQW1" s="224"/>
      <c r="TQX1" s="224"/>
      <c r="TQY1" s="224"/>
      <c r="TQZ1" s="224"/>
      <c r="TRA1" s="224"/>
      <c r="TRB1" s="224"/>
      <c r="TRC1" s="224"/>
      <c r="TRD1" s="224"/>
      <c r="TRE1" s="224"/>
      <c r="TRF1" s="224"/>
      <c r="TRG1" s="224"/>
      <c r="TRH1" s="224"/>
      <c r="TRI1" s="224"/>
      <c r="TRJ1" s="224"/>
      <c r="TRK1" s="224"/>
      <c r="TRL1" s="224"/>
      <c r="TRM1" s="224"/>
      <c r="TRN1" s="224"/>
      <c r="TRO1" s="224"/>
      <c r="TRP1" s="224"/>
      <c r="TRQ1" s="224"/>
      <c r="TRR1" s="224"/>
      <c r="TRS1" s="224"/>
      <c r="TRT1" s="224"/>
      <c r="TRU1" s="224"/>
      <c r="TRV1" s="224"/>
      <c r="TRW1" s="224"/>
      <c r="TRX1" s="224"/>
      <c r="TRY1" s="224"/>
      <c r="TRZ1" s="224"/>
      <c r="TSA1" s="224"/>
      <c r="TSB1" s="224"/>
      <c r="TSC1" s="224"/>
      <c r="TSD1" s="224"/>
      <c r="TSE1" s="224"/>
      <c r="TSF1" s="224"/>
      <c r="TSG1" s="224"/>
      <c r="TSH1" s="224"/>
      <c r="TSI1" s="224"/>
      <c r="TSJ1" s="224"/>
      <c r="TSK1" s="224"/>
      <c r="TSL1" s="224"/>
      <c r="TSM1" s="224"/>
      <c r="TSN1" s="224"/>
      <c r="TSO1" s="224"/>
      <c r="TSP1" s="224"/>
      <c r="TSQ1" s="224"/>
      <c r="TSR1" s="224"/>
      <c r="TSS1" s="224"/>
      <c r="TST1" s="224"/>
      <c r="TSU1" s="224"/>
      <c r="TSV1" s="224"/>
      <c r="TSW1" s="224"/>
      <c r="TSX1" s="224"/>
      <c r="TSY1" s="224"/>
      <c r="TSZ1" s="224"/>
      <c r="TTA1" s="224"/>
      <c r="TTB1" s="224"/>
      <c r="TTC1" s="224"/>
      <c r="TTD1" s="224"/>
      <c r="TTE1" s="224"/>
      <c r="TTF1" s="224"/>
      <c r="TTG1" s="224"/>
      <c r="TTH1" s="224"/>
      <c r="TTI1" s="224"/>
      <c r="TTJ1" s="224"/>
      <c r="TTK1" s="224"/>
      <c r="TTL1" s="224"/>
      <c r="TTM1" s="224"/>
      <c r="TTN1" s="224"/>
      <c r="TTO1" s="224"/>
      <c r="TTP1" s="224"/>
      <c r="TTQ1" s="224"/>
      <c r="TTR1" s="224"/>
      <c r="TTS1" s="224"/>
      <c r="TTT1" s="224"/>
      <c r="TTU1" s="224"/>
      <c r="TTV1" s="224"/>
      <c r="TTW1" s="224"/>
      <c r="TTX1" s="224"/>
      <c r="TTY1" s="224"/>
      <c r="TTZ1" s="224"/>
      <c r="TUA1" s="224"/>
      <c r="TUB1" s="224"/>
      <c r="TUC1" s="224"/>
      <c r="TUD1" s="224"/>
      <c r="TUE1" s="224"/>
      <c r="TUF1" s="224"/>
      <c r="TUG1" s="224"/>
      <c r="TUH1" s="224"/>
      <c r="TUI1" s="224"/>
      <c r="TUJ1" s="224"/>
      <c r="TUK1" s="224"/>
      <c r="TUL1" s="224"/>
      <c r="TUM1" s="224"/>
      <c r="TUN1" s="224"/>
      <c r="TUO1" s="224"/>
      <c r="TUP1" s="224"/>
      <c r="TUQ1" s="224"/>
      <c r="TUR1" s="224"/>
      <c r="TUS1" s="224"/>
      <c r="TUT1" s="224"/>
      <c r="TUU1" s="224"/>
      <c r="TUV1" s="224"/>
      <c r="TUW1" s="224"/>
      <c r="TUX1" s="224"/>
      <c r="TUY1" s="224"/>
      <c r="TUZ1" s="224"/>
      <c r="TVA1" s="224"/>
      <c r="TVB1" s="224"/>
      <c r="TVC1" s="224"/>
      <c r="TVD1" s="224"/>
      <c r="TVE1" s="224"/>
      <c r="TVF1" s="224"/>
      <c r="TVG1" s="224"/>
      <c r="TVH1" s="224"/>
      <c r="TVI1" s="224"/>
      <c r="TVJ1" s="224"/>
      <c r="TVK1" s="224"/>
      <c r="TVL1" s="224"/>
      <c r="TVM1" s="224"/>
      <c r="TVN1" s="224"/>
      <c r="TVO1" s="224"/>
      <c r="TVP1" s="224"/>
      <c r="TVQ1" s="224"/>
      <c r="TVR1" s="224"/>
      <c r="TVS1" s="224"/>
      <c r="TVT1" s="224"/>
      <c r="TVU1" s="224"/>
      <c r="TVV1" s="224"/>
      <c r="TVW1" s="224"/>
      <c r="TVX1" s="224"/>
      <c r="TVY1" s="224"/>
      <c r="TVZ1" s="224"/>
      <c r="TWA1" s="224"/>
      <c r="TWB1" s="224"/>
      <c r="TWC1" s="224"/>
      <c r="TWD1" s="224"/>
      <c r="TWE1" s="224"/>
      <c r="TWF1" s="224"/>
      <c r="TWG1" s="224"/>
      <c r="TWH1" s="224"/>
      <c r="TWI1" s="224"/>
      <c r="TWJ1" s="224"/>
      <c r="TWK1" s="224"/>
      <c r="TWL1" s="224"/>
      <c r="TWM1" s="224"/>
      <c r="TWN1" s="224"/>
      <c r="TWO1" s="224"/>
      <c r="TWP1" s="224"/>
      <c r="TWQ1" s="224"/>
      <c r="TWR1" s="224"/>
      <c r="TWS1" s="224"/>
      <c r="TWT1" s="224"/>
      <c r="TWU1" s="224"/>
      <c r="TWV1" s="224"/>
      <c r="TWW1" s="224"/>
      <c r="TWX1" s="224"/>
      <c r="TWY1" s="224"/>
      <c r="TWZ1" s="224"/>
      <c r="TXA1" s="224"/>
      <c r="TXB1" s="224"/>
      <c r="TXC1" s="224"/>
      <c r="TXD1" s="224"/>
      <c r="TXE1" s="224"/>
      <c r="TXF1" s="224"/>
      <c r="TXG1" s="224"/>
      <c r="TXH1" s="224"/>
      <c r="TXI1" s="224"/>
      <c r="TXJ1" s="224"/>
      <c r="TXK1" s="224"/>
      <c r="TXL1" s="224"/>
      <c r="TXM1" s="224"/>
      <c r="TXN1" s="224"/>
      <c r="TXO1" s="224"/>
      <c r="TXP1" s="224"/>
      <c r="TXQ1" s="224"/>
      <c r="TXR1" s="224"/>
      <c r="TXS1" s="224"/>
      <c r="TXT1" s="224"/>
      <c r="TXU1" s="224"/>
      <c r="TXV1" s="224"/>
      <c r="TXW1" s="224"/>
      <c r="TXX1" s="224"/>
      <c r="TXY1" s="224"/>
      <c r="TXZ1" s="224"/>
      <c r="TYA1" s="224"/>
      <c r="TYB1" s="224"/>
      <c r="TYC1" s="224"/>
      <c r="TYD1" s="224"/>
      <c r="TYE1" s="224"/>
      <c r="TYF1" s="224"/>
      <c r="TYG1" s="224"/>
      <c r="TYH1" s="224"/>
      <c r="TYI1" s="224"/>
      <c r="TYJ1" s="224"/>
      <c r="TYK1" s="224"/>
      <c r="TYL1" s="224"/>
      <c r="TYM1" s="224"/>
      <c r="TYN1" s="224"/>
      <c r="TYO1" s="224"/>
      <c r="TYP1" s="224"/>
      <c r="TYQ1" s="224"/>
      <c r="TYR1" s="224"/>
      <c r="TYS1" s="224"/>
      <c r="TYT1" s="224"/>
      <c r="TYU1" s="224"/>
      <c r="TYV1" s="224"/>
      <c r="TYW1" s="224"/>
      <c r="TYX1" s="224"/>
      <c r="TYY1" s="224"/>
      <c r="TYZ1" s="224"/>
      <c r="TZA1" s="224"/>
      <c r="TZB1" s="224"/>
      <c r="TZC1" s="224"/>
      <c r="TZD1" s="224"/>
      <c r="TZE1" s="224"/>
      <c r="TZF1" s="224"/>
      <c r="TZG1" s="224"/>
      <c r="TZH1" s="224"/>
      <c r="TZI1" s="224"/>
      <c r="TZJ1" s="224"/>
      <c r="TZK1" s="224"/>
      <c r="TZL1" s="224"/>
      <c r="TZM1" s="224"/>
      <c r="TZN1" s="224"/>
      <c r="TZO1" s="224"/>
      <c r="TZP1" s="224"/>
      <c r="TZQ1" s="224"/>
      <c r="TZR1" s="224"/>
      <c r="TZS1" s="224"/>
      <c r="TZT1" s="224"/>
      <c r="TZU1" s="224"/>
      <c r="TZV1" s="224"/>
      <c r="TZW1" s="224"/>
      <c r="TZX1" s="224"/>
      <c r="TZY1" s="224"/>
      <c r="TZZ1" s="224"/>
      <c r="UAA1" s="224"/>
      <c r="UAB1" s="224"/>
      <c r="UAC1" s="224"/>
      <c r="UAD1" s="224"/>
      <c r="UAE1" s="224"/>
      <c r="UAF1" s="224"/>
      <c r="UAG1" s="224"/>
      <c r="UAH1" s="224"/>
      <c r="UAI1" s="224"/>
      <c r="UAJ1" s="224"/>
      <c r="UAK1" s="224"/>
      <c r="UAL1" s="224"/>
      <c r="UAM1" s="224"/>
      <c r="UAN1" s="224"/>
      <c r="UAO1" s="224"/>
      <c r="UAP1" s="224"/>
      <c r="UAQ1" s="224"/>
      <c r="UAR1" s="224"/>
      <c r="UAS1" s="224"/>
      <c r="UAT1" s="224"/>
      <c r="UAU1" s="224"/>
      <c r="UAV1" s="224"/>
      <c r="UAW1" s="224"/>
      <c r="UAX1" s="224"/>
      <c r="UAY1" s="224"/>
      <c r="UAZ1" s="224"/>
      <c r="UBA1" s="224"/>
      <c r="UBB1" s="224"/>
      <c r="UBC1" s="224"/>
      <c r="UBD1" s="224"/>
      <c r="UBE1" s="224"/>
      <c r="UBF1" s="224"/>
      <c r="UBG1" s="224"/>
      <c r="UBH1" s="224"/>
      <c r="UBI1" s="224"/>
      <c r="UBJ1" s="224"/>
      <c r="UBK1" s="224"/>
      <c r="UBL1" s="224"/>
      <c r="UBM1" s="224"/>
      <c r="UBN1" s="224"/>
      <c r="UBO1" s="224"/>
      <c r="UBP1" s="224"/>
      <c r="UBQ1" s="224"/>
      <c r="UBR1" s="224"/>
      <c r="UBS1" s="224"/>
      <c r="UBT1" s="224"/>
      <c r="UBU1" s="224"/>
      <c r="UBV1" s="224"/>
      <c r="UBW1" s="224"/>
      <c r="UBX1" s="224"/>
      <c r="UBY1" s="224"/>
      <c r="UBZ1" s="224"/>
      <c r="UCA1" s="224"/>
      <c r="UCB1" s="224"/>
      <c r="UCC1" s="224"/>
      <c r="UCD1" s="224"/>
      <c r="UCE1" s="224"/>
      <c r="UCF1" s="224"/>
      <c r="UCG1" s="224"/>
      <c r="UCH1" s="224"/>
      <c r="UCI1" s="224"/>
      <c r="UCJ1" s="224"/>
      <c r="UCK1" s="224"/>
      <c r="UCL1" s="224"/>
      <c r="UCM1" s="224"/>
      <c r="UCN1" s="224"/>
      <c r="UCO1" s="224"/>
      <c r="UCP1" s="224"/>
      <c r="UCQ1" s="224"/>
      <c r="UCR1" s="224"/>
      <c r="UCS1" s="224"/>
      <c r="UCT1" s="224"/>
      <c r="UCU1" s="224"/>
      <c r="UCV1" s="224"/>
      <c r="UCW1" s="224"/>
      <c r="UCX1" s="224"/>
      <c r="UCY1" s="224"/>
      <c r="UCZ1" s="224"/>
      <c r="UDA1" s="224"/>
      <c r="UDB1" s="224"/>
      <c r="UDC1" s="224"/>
      <c r="UDD1" s="224"/>
      <c r="UDE1" s="224"/>
      <c r="UDF1" s="224"/>
      <c r="UDG1" s="224"/>
      <c r="UDH1" s="224"/>
      <c r="UDI1" s="224"/>
      <c r="UDJ1" s="224"/>
      <c r="UDK1" s="224"/>
      <c r="UDL1" s="224"/>
      <c r="UDM1" s="224"/>
      <c r="UDN1" s="224"/>
      <c r="UDO1" s="224"/>
      <c r="UDP1" s="224"/>
      <c r="UDQ1" s="224"/>
      <c r="UDR1" s="224"/>
      <c r="UDS1" s="224"/>
      <c r="UDT1" s="224"/>
      <c r="UDU1" s="224"/>
      <c r="UDV1" s="224"/>
      <c r="UDW1" s="224"/>
      <c r="UDX1" s="224"/>
      <c r="UDY1" s="224"/>
      <c r="UDZ1" s="224"/>
      <c r="UEA1" s="224"/>
      <c r="UEB1" s="224"/>
      <c r="UEC1" s="224"/>
      <c r="UED1" s="224"/>
      <c r="UEE1" s="224"/>
      <c r="UEF1" s="224"/>
      <c r="UEG1" s="224"/>
      <c r="UEH1" s="224"/>
      <c r="UEI1" s="224"/>
      <c r="UEJ1" s="224"/>
      <c r="UEK1" s="224"/>
      <c r="UEL1" s="224"/>
      <c r="UEM1" s="224"/>
      <c r="UEN1" s="224"/>
      <c r="UEO1" s="224"/>
      <c r="UEP1" s="224"/>
      <c r="UEQ1" s="224"/>
      <c r="UER1" s="224"/>
      <c r="UES1" s="224"/>
      <c r="UET1" s="224"/>
      <c r="UEU1" s="224"/>
      <c r="UEV1" s="224"/>
      <c r="UEW1" s="224"/>
      <c r="UEX1" s="224"/>
      <c r="UEY1" s="224"/>
      <c r="UEZ1" s="224"/>
      <c r="UFA1" s="224"/>
      <c r="UFB1" s="224"/>
      <c r="UFC1" s="224"/>
      <c r="UFD1" s="224"/>
      <c r="UFE1" s="224"/>
      <c r="UFF1" s="224"/>
      <c r="UFG1" s="224"/>
      <c r="UFH1" s="224"/>
      <c r="UFI1" s="224"/>
      <c r="UFJ1" s="224"/>
      <c r="UFK1" s="224"/>
      <c r="UFL1" s="224"/>
      <c r="UFM1" s="224"/>
      <c r="UFN1" s="224"/>
      <c r="UFO1" s="224"/>
      <c r="UFP1" s="224"/>
      <c r="UFQ1" s="224"/>
      <c r="UFR1" s="224"/>
      <c r="UFS1" s="224"/>
      <c r="UFT1" s="224"/>
      <c r="UFU1" s="224"/>
      <c r="UFV1" s="224"/>
      <c r="UFW1" s="224"/>
      <c r="UFX1" s="224"/>
      <c r="UFY1" s="224"/>
      <c r="UFZ1" s="224"/>
      <c r="UGA1" s="224"/>
      <c r="UGB1" s="224"/>
      <c r="UGC1" s="224"/>
      <c r="UGD1" s="224"/>
      <c r="UGE1" s="224"/>
      <c r="UGF1" s="224"/>
      <c r="UGG1" s="224"/>
      <c r="UGH1" s="224"/>
      <c r="UGI1" s="224"/>
      <c r="UGJ1" s="224"/>
      <c r="UGK1" s="224"/>
      <c r="UGL1" s="224"/>
      <c r="UGM1" s="224"/>
      <c r="UGN1" s="224"/>
      <c r="UGO1" s="224"/>
      <c r="UGP1" s="224"/>
      <c r="UGQ1" s="224"/>
      <c r="UGR1" s="224"/>
      <c r="UGS1" s="224"/>
      <c r="UGT1" s="224"/>
      <c r="UGU1" s="224"/>
      <c r="UGV1" s="224"/>
      <c r="UGW1" s="224"/>
      <c r="UGX1" s="224"/>
      <c r="UGY1" s="224"/>
      <c r="UGZ1" s="224"/>
      <c r="UHA1" s="224"/>
      <c r="UHB1" s="224"/>
      <c r="UHC1" s="224"/>
      <c r="UHD1" s="224"/>
      <c r="UHE1" s="224"/>
      <c r="UHF1" s="224"/>
      <c r="UHG1" s="224"/>
      <c r="UHH1" s="224"/>
      <c r="UHI1" s="224"/>
      <c r="UHJ1" s="224"/>
      <c r="UHK1" s="224"/>
      <c r="UHL1" s="224"/>
      <c r="UHM1" s="224"/>
      <c r="UHN1" s="224"/>
      <c r="UHO1" s="224"/>
      <c r="UHP1" s="224"/>
      <c r="UHQ1" s="224"/>
      <c r="UHR1" s="224"/>
      <c r="UHS1" s="224"/>
      <c r="UHT1" s="224"/>
      <c r="UHU1" s="224"/>
      <c r="UHV1" s="224"/>
      <c r="UHW1" s="224"/>
      <c r="UHX1" s="224"/>
      <c r="UHY1" s="224"/>
      <c r="UHZ1" s="224"/>
      <c r="UIA1" s="224"/>
      <c r="UIB1" s="224"/>
      <c r="UIC1" s="224"/>
      <c r="UID1" s="224"/>
      <c r="UIE1" s="224"/>
      <c r="UIF1" s="224"/>
      <c r="UIG1" s="224"/>
      <c r="UIH1" s="224"/>
      <c r="UII1" s="224"/>
      <c r="UIJ1" s="224"/>
      <c r="UIK1" s="224"/>
      <c r="UIL1" s="224"/>
      <c r="UIM1" s="224"/>
      <c r="UIN1" s="224"/>
      <c r="UIO1" s="224"/>
      <c r="UIP1" s="224"/>
      <c r="UIQ1" s="224"/>
      <c r="UIR1" s="224"/>
      <c r="UIS1" s="224"/>
      <c r="UIT1" s="224"/>
      <c r="UIU1" s="224"/>
      <c r="UIV1" s="224"/>
      <c r="UIW1" s="224"/>
      <c r="UIX1" s="224"/>
      <c r="UIY1" s="224"/>
      <c r="UIZ1" s="224"/>
      <c r="UJA1" s="224"/>
      <c r="UJB1" s="224"/>
      <c r="UJC1" s="224"/>
      <c r="UJD1" s="224"/>
      <c r="UJE1" s="224"/>
      <c r="UJF1" s="224"/>
      <c r="UJG1" s="224"/>
      <c r="UJH1" s="224"/>
      <c r="UJI1" s="224"/>
      <c r="UJJ1" s="224"/>
      <c r="UJK1" s="224"/>
      <c r="UJL1" s="224"/>
      <c r="UJM1" s="224"/>
      <c r="UJN1" s="224"/>
      <c r="UJO1" s="224"/>
      <c r="UJP1" s="224"/>
      <c r="UJQ1" s="224"/>
      <c r="UJR1" s="224"/>
      <c r="UJS1" s="224"/>
      <c r="UJT1" s="224"/>
      <c r="UJU1" s="224"/>
      <c r="UJV1" s="224"/>
      <c r="UJW1" s="224"/>
      <c r="UJX1" s="224"/>
      <c r="UJY1" s="224"/>
      <c r="UJZ1" s="224"/>
      <c r="UKA1" s="224"/>
      <c r="UKB1" s="224"/>
      <c r="UKC1" s="224"/>
      <c r="UKD1" s="224"/>
      <c r="UKE1" s="224"/>
      <c r="UKF1" s="224"/>
      <c r="UKG1" s="224"/>
      <c r="UKH1" s="224"/>
      <c r="UKI1" s="224"/>
      <c r="UKJ1" s="224"/>
      <c r="UKK1" s="224"/>
      <c r="UKL1" s="224"/>
      <c r="UKM1" s="224"/>
      <c r="UKN1" s="224"/>
      <c r="UKO1" s="224"/>
      <c r="UKP1" s="224"/>
      <c r="UKQ1" s="224"/>
      <c r="UKR1" s="224"/>
      <c r="UKS1" s="224"/>
      <c r="UKT1" s="224"/>
      <c r="UKU1" s="224"/>
      <c r="UKV1" s="224"/>
      <c r="UKW1" s="224"/>
      <c r="UKX1" s="224"/>
      <c r="UKY1" s="224"/>
      <c r="UKZ1" s="224"/>
      <c r="ULA1" s="224"/>
      <c r="ULB1" s="224"/>
      <c r="ULC1" s="224"/>
      <c r="ULD1" s="224"/>
      <c r="ULE1" s="224"/>
      <c r="ULF1" s="224"/>
      <c r="ULG1" s="224"/>
      <c r="ULH1" s="224"/>
      <c r="ULI1" s="224"/>
      <c r="ULJ1" s="224"/>
      <c r="ULK1" s="224"/>
      <c r="ULL1" s="224"/>
      <c r="ULM1" s="224"/>
      <c r="ULN1" s="224"/>
      <c r="ULO1" s="224"/>
      <c r="ULP1" s="224"/>
      <c r="ULQ1" s="224"/>
      <c r="ULR1" s="224"/>
      <c r="ULS1" s="224"/>
      <c r="ULT1" s="224"/>
      <c r="ULU1" s="224"/>
      <c r="ULV1" s="224"/>
      <c r="ULW1" s="224"/>
      <c r="ULX1" s="224"/>
      <c r="ULY1" s="224"/>
      <c r="ULZ1" s="224"/>
      <c r="UMA1" s="224"/>
      <c r="UMB1" s="224"/>
      <c r="UMC1" s="224"/>
      <c r="UMD1" s="224"/>
      <c r="UME1" s="224"/>
      <c r="UMF1" s="224"/>
      <c r="UMG1" s="224"/>
      <c r="UMH1" s="224"/>
      <c r="UMI1" s="224"/>
      <c r="UMJ1" s="224"/>
      <c r="UMK1" s="224"/>
      <c r="UML1" s="224"/>
      <c r="UMM1" s="224"/>
      <c r="UMN1" s="224"/>
      <c r="UMO1" s="224"/>
      <c r="UMP1" s="224"/>
      <c r="UMQ1" s="224"/>
      <c r="UMR1" s="224"/>
      <c r="UMS1" s="224"/>
      <c r="UMT1" s="224"/>
      <c r="UMU1" s="224"/>
      <c r="UMV1" s="224"/>
      <c r="UMW1" s="224"/>
      <c r="UMX1" s="224"/>
      <c r="UMY1" s="224"/>
      <c r="UMZ1" s="224"/>
      <c r="UNA1" s="224"/>
      <c r="UNB1" s="224"/>
      <c r="UNC1" s="224"/>
      <c r="UND1" s="224"/>
      <c r="UNE1" s="224"/>
      <c r="UNF1" s="224"/>
      <c r="UNG1" s="224"/>
      <c r="UNH1" s="224"/>
      <c r="UNI1" s="224"/>
      <c r="UNJ1" s="224"/>
      <c r="UNK1" s="224"/>
      <c r="UNL1" s="224"/>
      <c r="UNM1" s="224"/>
      <c r="UNN1" s="224"/>
      <c r="UNO1" s="224"/>
      <c r="UNP1" s="224"/>
      <c r="UNQ1" s="224"/>
      <c r="UNR1" s="224"/>
      <c r="UNS1" s="224"/>
      <c r="UNT1" s="224"/>
      <c r="UNU1" s="224"/>
      <c r="UNV1" s="224"/>
      <c r="UNW1" s="224"/>
      <c r="UNX1" s="224"/>
      <c r="UNY1" s="224"/>
      <c r="UNZ1" s="224"/>
      <c r="UOA1" s="224"/>
      <c r="UOB1" s="224"/>
      <c r="UOC1" s="224"/>
      <c r="UOD1" s="224"/>
      <c r="UOE1" s="224"/>
      <c r="UOF1" s="224"/>
      <c r="UOG1" s="224"/>
      <c r="UOH1" s="224"/>
      <c r="UOI1" s="224"/>
      <c r="UOJ1" s="224"/>
      <c r="UOK1" s="224"/>
      <c r="UOL1" s="224"/>
      <c r="UOM1" s="224"/>
      <c r="UON1" s="224"/>
      <c r="UOO1" s="224"/>
      <c r="UOP1" s="224"/>
      <c r="UOQ1" s="224"/>
      <c r="UOR1" s="224"/>
      <c r="UOS1" s="224"/>
      <c r="UOT1" s="224"/>
      <c r="UOU1" s="224"/>
      <c r="UOV1" s="224"/>
      <c r="UOW1" s="224"/>
      <c r="UOX1" s="224"/>
      <c r="UOY1" s="224"/>
      <c r="UOZ1" s="224"/>
      <c r="UPA1" s="224"/>
      <c r="UPB1" s="224"/>
      <c r="UPC1" s="224"/>
      <c r="UPD1" s="224"/>
      <c r="UPE1" s="224"/>
      <c r="UPF1" s="224"/>
      <c r="UPG1" s="224"/>
      <c r="UPH1" s="224"/>
      <c r="UPI1" s="224"/>
      <c r="UPJ1" s="224"/>
      <c r="UPK1" s="224"/>
      <c r="UPL1" s="224"/>
      <c r="UPM1" s="224"/>
      <c r="UPN1" s="224"/>
      <c r="UPO1" s="224"/>
      <c r="UPP1" s="224"/>
      <c r="UPQ1" s="224"/>
      <c r="UPR1" s="224"/>
      <c r="UPS1" s="224"/>
      <c r="UPT1" s="224"/>
      <c r="UPU1" s="224"/>
      <c r="UPV1" s="224"/>
      <c r="UPW1" s="224"/>
      <c r="UPX1" s="224"/>
      <c r="UPY1" s="224"/>
      <c r="UPZ1" s="224"/>
      <c r="UQA1" s="224"/>
      <c r="UQB1" s="224"/>
      <c r="UQC1" s="224"/>
      <c r="UQD1" s="224"/>
      <c r="UQE1" s="224"/>
      <c r="UQF1" s="224"/>
      <c r="UQG1" s="224"/>
      <c r="UQH1" s="224"/>
      <c r="UQI1" s="224"/>
      <c r="UQJ1" s="224"/>
      <c r="UQK1" s="224"/>
      <c r="UQL1" s="224"/>
      <c r="UQM1" s="224"/>
      <c r="UQN1" s="224"/>
      <c r="UQO1" s="224"/>
      <c r="UQP1" s="224"/>
      <c r="UQQ1" s="224"/>
      <c r="UQR1" s="224"/>
      <c r="UQS1" s="224"/>
      <c r="UQT1" s="224"/>
      <c r="UQU1" s="224"/>
      <c r="UQV1" s="224"/>
      <c r="UQW1" s="224"/>
      <c r="UQX1" s="224"/>
      <c r="UQY1" s="224"/>
      <c r="UQZ1" s="224"/>
      <c r="URA1" s="224"/>
      <c r="URB1" s="224"/>
      <c r="URC1" s="224"/>
      <c r="URD1" s="224"/>
      <c r="URE1" s="224"/>
      <c r="URF1" s="224"/>
      <c r="URG1" s="224"/>
      <c r="URH1" s="224"/>
      <c r="URI1" s="224"/>
      <c r="URJ1" s="224"/>
      <c r="URK1" s="224"/>
      <c r="URL1" s="224"/>
      <c r="URM1" s="224"/>
      <c r="URN1" s="224"/>
      <c r="URO1" s="224"/>
      <c r="URP1" s="224"/>
      <c r="URQ1" s="224"/>
      <c r="URR1" s="224"/>
      <c r="URS1" s="224"/>
      <c r="URT1" s="224"/>
      <c r="URU1" s="224"/>
      <c r="URV1" s="224"/>
      <c r="URW1" s="224"/>
      <c r="URX1" s="224"/>
      <c r="URY1" s="224"/>
      <c r="URZ1" s="224"/>
      <c r="USA1" s="224"/>
      <c r="USB1" s="224"/>
      <c r="USC1" s="224"/>
      <c r="USD1" s="224"/>
      <c r="USE1" s="224"/>
      <c r="USF1" s="224"/>
      <c r="USG1" s="224"/>
      <c r="USH1" s="224"/>
      <c r="USI1" s="224"/>
      <c r="USJ1" s="224"/>
      <c r="USK1" s="224"/>
      <c r="USL1" s="224"/>
      <c r="USM1" s="224"/>
      <c r="USN1" s="224"/>
      <c r="USO1" s="224"/>
      <c r="USP1" s="224"/>
      <c r="USQ1" s="224"/>
      <c r="USR1" s="224"/>
      <c r="USS1" s="224"/>
      <c r="UST1" s="224"/>
      <c r="USU1" s="224"/>
      <c r="USV1" s="224"/>
      <c r="USW1" s="224"/>
      <c r="USX1" s="224"/>
      <c r="USY1" s="224"/>
      <c r="USZ1" s="224"/>
      <c r="UTA1" s="224"/>
      <c r="UTB1" s="224"/>
      <c r="UTC1" s="224"/>
      <c r="UTD1" s="224"/>
      <c r="UTE1" s="224"/>
      <c r="UTF1" s="224"/>
      <c r="UTG1" s="224"/>
      <c r="UTH1" s="224"/>
      <c r="UTI1" s="224"/>
      <c r="UTJ1" s="224"/>
      <c r="UTK1" s="224"/>
      <c r="UTL1" s="224"/>
      <c r="UTM1" s="224"/>
      <c r="UTN1" s="224"/>
      <c r="UTO1" s="224"/>
      <c r="UTP1" s="224"/>
      <c r="UTQ1" s="224"/>
      <c r="UTR1" s="224"/>
      <c r="UTS1" s="224"/>
      <c r="UTT1" s="224"/>
      <c r="UTU1" s="224"/>
      <c r="UTV1" s="224"/>
      <c r="UTW1" s="224"/>
      <c r="UTX1" s="224"/>
      <c r="UTY1" s="224"/>
      <c r="UTZ1" s="224"/>
      <c r="UUA1" s="224"/>
      <c r="UUB1" s="224"/>
      <c r="UUC1" s="224"/>
      <c r="UUD1" s="224"/>
      <c r="UUE1" s="224"/>
      <c r="UUF1" s="224"/>
      <c r="UUG1" s="224"/>
      <c r="UUH1" s="224"/>
      <c r="UUI1" s="224"/>
      <c r="UUJ1" s="224"/>
      <c r="UUK1" s="224"/>
      <c r="UUL1" s="224"/>
      <c r="UUM1" s="224"/>
      <c r="UUN1" s="224"/>
      <c r="UUO1" s="224"/>
      <c r="UUP1" s="224"/>
      <c r="UUQ1" s="224"/>
      <c r="UUR1" s="224"/>
      <c r="UUS1" s="224"/>
      <c r="UUT1" s="224"/>
      <c r="UUU1" s="224"/>
      <c r="UUV1" s="224"/>
      <c r="UUW1" s="224"/>
      <c r="UUX1" s="224"/>
      <c r="UUY1" s="224"/>
      <c r="UUZ1" s="224"/>
      <c r="UVA1" s="224"/>
      <c r="UVB1" s="224"/>
      <c r="UVC1" s="224"/>
      <c r="UVD1" s="224"/>
      <c r="UVE1" s="224"/>
      <c r="UVF1" s="224"/>
      <c r="UVG1" s="224"/>
      <c r="UVH1" s="224"/>
      <c r="UVI1" s="224"/>
      <c r="UVJ1" s="224"/>
      <c r="UVK1" s="224"/>
      <c r="UVL1" s="224"/>
      <c r="UVM1" s="224"/>
      <c r="UVN1" s="224"/>
      <c r="UVO1" s="224"/>
      <c r="UVP1" s="224"/>
      <c r="UVQ1" s="224"/>
      <c r="UVR1" s="224"/>
      <c r="UVS1" s="224"/>
      <c r="UVT1" s="224"/>
      <c r="UVU1" s="224"/>
      <c r="UVV1" s="224"/>
      <c r="UVW1" s="224"/>
      <c r="UVX1" s="224"/>
      <c r="UVY1" s="224"/>
      <c r="UVZ1" s="224"/>
      <c r="UWA1" s="224"/>
      <c r="UWB1" s="224"/>
      <c r="UWC1" s="224"/>
      <c r="UWD1" s="224"/>
      <c r="UWE1" s="224"/>
      <c r="UWF1" s="224"/>
      <c r="UWG1" s="224"/>
      <c r="UWH1" s="224"/>
      <c r="UWI1" s="224"/>
      <c r="UWJ1" s="224"/>
      <c r="UWK1" s="224"/>
      <c r="UWL1" s="224"/>
      <c r="UWM1" s="224"/>
      <c r="UWN1" s="224"/>
      <c r="UWO1" s="224"/>
      <c r="UWP1" s="224"/>
      <c r="UWQ1" s="224"/>
      <c r="UWR1" s="224"/>
      <c r="UWS1" s="224"/>
      <c r="UWT1" s="224"/>
      <c r="UWU1" s="224"/>
      <c r="UWV1" s="224"/>
      <c r="UWW1" s="224"/>
      <c r="UWX1" s="224"/>
      <c r="UWY1" s="224"/>
      <c r="UWZ1" s="224"/>
      <c r="UXA1" s="224"/>
      <c r="UXB1" s="224"/>
      <c r="UXC1" s="224"/>
      <c r="UXD1" s="224"/>
      <c r="UXE1" s="224"/>
      <c r="UXF1" s="224"/>
      <c r="UXG1" s="224"/>
      <c r="UXH1" s="224"/>
      <c r="UXI1" s="224"/>
      <c r="UXJ1" s="224"/>
      <c r="UXK1" s="224"/>
      <c r="UXL1" s="224"/>
      <c r="UXM1" s="224"/>
      <c r="UXN1" s="224"/>
      <c r="UXO1" s="224"/>
      <c r="UXP1" s="224"/>
      <c r="UXQ1" s="224"/>
      <c r="UXR1" s="224"/>
      <c r="UXS1" s="224"/>
      <c r="UXT1" s="224"/>
      <c r="UXU1" s="224"/>
      <c r="UXV1" s="224"/>
      <c r="UXW1" s="224"/>
      <c r="UXX1" s="224"/>
      <c r="UXY1" s="224"/>
      <c r="UXZ1" s="224"/>
      <c r="UYA1" s="224"/>
      <c r="UYB1" s="224"/>
      <c r="UYC1" s="224"/>
      <c r="UYD1" s="224"/>
      <c r="UYE1" s="224"/>
      <c r="UYF1" s="224"/>
      <c r="UYG1" s="224"/>
      <c r="UYH1" s="224"/>
      <c r="UYI1" s="224"/>
      <c r="UYJ1" s="224"/>
      <c r="UYK1" s="224"/>
      <c r="UYL1" s="224"/>
      <c r="UYM1" s="224"/>
      <c r="UYN1" s="224"/>
      <c r="UYO1" s="224"/>
      <c r="UYP1" s="224"/>
      <c r="UYQ1" s="224"/>
      <c r="UYR1" s="224"/>
      <c r="UYS1" s="224"/>
      <c r="UYT1" s="224"/>
      <c r="UYU1" s="224"/>
      <c r="UYV1" s="224"/>
      <c r="UYW1" s="224"/>
      <c r="UYX1" s="224"/>
      <c r="UYY1" s="224"/>
      <c r="UYZ1" s="224"/>
      <c r="UZA1" s="224"/>
      <c r="UZB1" s="224"/>
      <c r="UZC1" s="224"/>
      <c r="UZD1" s="224"/>
      <c r="UZE1" s="224"/>
      <c r="UZF1" s="224"/>
      <c r="UZG1" s="224"/>
      <c r="UZH1" s="224"/>
      <c r="UZI1" s="224"/>
      <c r="UZJ1" s="224"/>
      <c r="UZK1" s="224"/>
      <c r="UZL1" s="224"/>
      <c r="UZM1" s="224"/>
      <c r="UZN1" s="224"/>
      <c r="UZO1" s="224"/>
      <c r="UZP1" s="224"/>
      <c r="UZQ1" s="224"/>
      <c r="UZR1" s="224"/>
      <c r="UZS1" s="224"/>
      <c r="UZT1" s="224"/>
      <c r="UZU1" s="224"/>
      <c r="UZV1" s="224"/>
      <c r="UZW1" s="224"/>
      <c r="UZX1" s="224"/>
      <c r="UZY1" s="224"/>
      <c r="UZZ1" s="224"/>
      <c r="VAA1" s="224"/>
      <c r="VAB1" s="224"/>
      <c r="VAC1" s="224"/>
      <c r="VAD1" s="224"/>
      <c r="VAE1" s="224"/>
      <c r="VAF1" s="224"/>
      <c r="VAG1" s="224"/>
      <c r="VAH1" s="224"/>
      <c r="VAI1" s="224"/>
      <c r="VAJ1" s="224"/>
      <c r="VAK1" s="224"/>
      <c r="VAL1" s="224"/>
      <c r="VAM1" s="224"/>
      <c r="VAN1" s="224"/>
      <c r="VAO1" s="224"/>
      <c r="VAP1" s="224"/>
      <c r="VAQ1" s="224"/>
      <c r="VAR1" s="224"/>
      <c r="VAS1" s="224"/>
      <c r="VAT1" s="224"/>
      <c r="VAU1" s="224"/>
      <c r="VAV1" s="224"/>
      <c r="VAW1" s="224"/>
      <c r="VAX1" s="224"/>
      <c r="VAY1" s="224"/>
      <c r="VAZ1" s="224"/>
      <c r="VBA1" s="224"/>
      <c r="VBB1" s="224"/>
      <c r="VBC1" s="224"/>
      <c r="VBD1" s="224"/>
      <c r="VBE1" s="224"/>
      <c r="VBF1" s="224"/>
      <c r="VBG1" s="224"/>
      <c r="VBH1" s="224"/>
      <c r="VBI1" s="224"/>
      <c r="VBJ1" s="224"/>
      <c r="VBK1" s="224"/>
      <c r="VBL1" s="224"/>
      <c r="VBM1" s="224"/>
      <c r="VBN1" s="224"/>
      <c r="VBO1" s="224"/>
      <c r="VBP1" s="224"/>
      <c r="VBQ1" s="224"/>
      <c r="VBR1" s="224"/>
      <c r="VBS1" s="224"/>
      <c r="VBT1" s="224"/>
      <c r="VBU1" s="224"/>
      <c r="VBV1" s="224"/>
      <c r="VBW1" s="224"/>
      <c r="VBX1" s="224"/>
      <c r="VBY1" s="224"/>
      <c r="VBZ1" s="224"/>
      <c r="VCA1" s="224"/>
      <c r="VCB1" s="224"/>
      <c r="VCC1" s="224"/>
      <c r="VCD1" s="224"/>
      <c r="VCE1" s="224"/>
      <c r="VCF1" s="224"/>
      <c r="VCG1" s="224"/>
      <c r="VCH1" s="224"/>
      <c r="VCI1" s="224"/>
      <c r="VCJ1" s="224"/>
      <c r="VCK1" s="224"/>
      <c r="VCL1" s="224"/>
      <c r="VCM1" s="224"/>
      <c r="VCN1" s="224"/>
      <c r="VCO1" s="224"/>
      <c r="VCP1" s="224"/>
      <c r="VCQ1" s="224"/>
      <c r="VCR1" s="224"/>
      <c r="VCS1" s="224"/>
      <c r="VCT1" s="224"/>
      <c r="VCU1" s="224"/>
      <c r="VCV1" s="224"/>
      <c r="VCW1" s="224"/>
      <c r="VCX1" s="224"/>
      <c r="VCY1" s="224"/>
      <c r="VCZ1" s="224"/>
      <c r="VDA1" s="224"/>
      <c r="VDB1" s="224"/>
      <c r="VDC1" s="224"/>
      <c r="VDD1" s="224"/>
      <c r="VDE1" s="224"/>
      <c r="VDF1" s="224"/>
      <c r="VDG1" s="224"/>
      <c r="VDH1" s="224"/>
      <c r="VDI1" s="224"/>
      <c r="VDJ1" s="224"/>
      <c r="VDK1" s="224"/>
      <c r="VDL1" s="224"/>
      <c r="VDM1" s="224"/>
      <c r="VDN1" s="224"/>
      <c r="VDO1" s="224"/>
      <c r="VDP1" s="224"/>
      <c r="VDQ1" s="224"/>
      <c r="VDR1" s="224"/>
      <c r="VDS1" s="224"/>
      <c r="VDT1" s="224"/>
      <c r="VDU1" s="224"/>
      <c r="VDV1" s="224"/>
      <c r="VDW1" s="224"/>
      <c r="VDX1" s="224"/>
      <c r="VDY1" s="224"/>
      <c r="VDZ1" s="224"/>
      <c r="VEA1" s="224"/>
      <c r="VEB1" s="224"/>
      <c r="VEC1" s="224"/>
      <c r="VED1" s="224"/>
      <c r="VEE1" s="224"/>
      <c r="VEF1" s="224"/>
      <c r="VEG1" s="224"/>
      <c r="VEH1" s="224"/>
      <c r="VEI1" s="224"/>
      <c r="VEJ1" s="224"/>
      <c r="VEK1" s="224"/>
      <c r="VEL1" s="224"/>
      <c r="VEM1" s="224"/>
      <c r="VEN1" s="224"/>
      <c r="VEO1" s="224"/>
      <c r="VEP1" s="224"/>
      <c r="VEQ1" s="224"/>
      <c r="VER1" s="224"/>
      <c r="VES1" s="224"/>
      <c r="VET1" s="224"/>
      <c r="VEU1" s="224"/>
      <c r="VEV1" s="224"/>
      <c r="VEW1" s="224"/>
      <c r="VEX1" s="224"/>
      <c r="VEY1" s="224"/>
      <c r="VEZ1" s="224"/>
      <c r="VFA1" s="224"/>
      <c r="VFB1" s="224"/>
      <c r="VFC1" s="224"/>
      <c r="VFD1" s="224"/>
      <c r="VFE1" s="224"/>
      <c r="VFF1" s="224"/>
      <c r="VFG1" s="224"/>
      <c r="VFH1" s="224"/>
      <c r="VFI1" s="224"/>
      <c r="VFJ1" s="224"/>
      <c r="VFK1" s="224"/>
      <c r="VFL1" s="224"/>
      <c r="VFM1" s="224"/>
      <c r="VFN1" s="224"/>
      <c r="VFO1" s="224"/>
      <c r="VFP1" s="224"/>
      <c r="VFQ1" s="224"/>
      <c r="VFR1" s="224"/>
      <c r="VFS1" s="224"/>
      <c r="VFT1" s="224"/>
      <c r="VFU1" s="224"/>
      <c r="VFV1" s="224"/>
      <c r="VFW1" s="224"/>
      <c r="VFX1" s="224"/>
      <c r="VFY1" s="224"/>
      <c r="VFZ1" s="224"/>
      <c r="VGA1" s="224"/>
      <c r="VGB1" s="224"/>
      <c r="VGC1" s="224"/>
      <c r="VGD1" s="224"/>
      <c r="VGE1" s="224"/>
      <c r="VGF1" s="224"/>
      <c r="VGG1" s="224"/>
      <c r="VGH1" s="224"/>
      <c r="VGI1" s="224"/>
      <c r="VGJ1" s="224"/>
      <c r="VGK1" s="224"/>
      <c r="VGL1" s="224"/>
      <c r="VGM1" s="224"/>
      <c r="VGN1" s="224"/>
      <c r="VGO1" s="224"/>
      <c r="VGP1" s="224"/>
      <c r="VGQ1" s="224"/>
      <c r="VGR1" s="224"/>
      <c r="VGS1" s="224"/>
      <c r="VGT1" s="224"/>
      <c r="VGU1" s="224"/>
      <c r="VGV1" s="224"/>
      <c r="VGW1" s="224"/>
      <c r="VGX1" s="224"/>
      <c r="VGY1" s="224"/>
      <c r="VGZ1" s="224"/>
      <c r="VHA1" s="224"/>
      <c r="VHB1" s="224"/>
      <c r="VHC1" s="224"/>
      <c r="VHD1" s="224"/>
      <c r="VHE1" s="224"/>
      <c r="VHF1" s="224"/>
      <c r="VHG1" s="224"/>
      <c r="VHH1" s="224"/>
      <c r="VHI1" s="224"/>
      <c r="VHJ1" s="224"/>
      <c r="VHK1" s="224"/>
      <c r="VHL1" s="224"/>
      <c r="VHM1" s="224"/>
      <c r="VHN1" s="224"/>
      <c r="VHO1" s="224"/>
      <c r="VHP1" s="224"/>
      <c r="VHQ1" s="224"/>
      <c r="VHR1" s="224"/>
      <c r="VHS1" s="224"/>
      <c r="VHT1" s="224"/>
      <c r="VHU1" s="224"/>
      <c r="VHV1" s="224"/>
      <c r="VHW1" s="224"/>
      <c r="VHX1" s="224"/>
      <c r="VHY1" s="224"/>
      <c r="VHZ1" s="224"/>
      <c r="VIA1" s="224"/>
      <c r="VIB1" s="224"/>
      <c r="VIC1" s="224"/>
      <c r="VID1" s="224"/>
      <c r="VIE1" s="224"/>
      <c r="VIF1" s="224"/>
      <c r="VIG1" s="224"/>
      <c r="VIH1" s="224"/>
      <c r="VII1" s="224"/>
      <c r="VIJ1" s="224"/>
      <c r="VIK1" s="224"/>
      <c r="VIL1" s="224"/>
      <c r="VIM1" s="224"/>
      <c r="VIN1" s="224"/>
      <c r="VIO1" s="224"/>
      <c r="VIP1" s="224"/>
      <c r="VIQ1" s="224"/>
      <c r="VIR1" s="224"/>
      <c r="VIS1" s="224"/>
      <c r="VIT1" s="224"/>
      <c r="VIU1" s="224"/>
      <c r="VIV1" s="224"/>
      <c r="VIW1" s="224"/>
      <c r="VIX1" s="224"/>
      <c r="VIY1" s="224"/>
      <c r="VIZ1" s="224"/>
      <c r="VJA1" s="224"/>
      <c r="VJB1" s="224"/>
      <c r="VJC1" s="224"/>
      <c r="VJD1" s="224"/>
      <c r="VJE1" s="224"/>
      <c r="VJF1" s="224"/>
      <c r="VJG1" s="224"/>
      <c r="VJH1" s="224"/>
      <c r="VJI1" s="224"/>
      <c r="VJJ1" s="224"/>
      <c r="VJK1" s="224"/>
      <c r="VJL1" s="224"/>
      <c r="VJM1" s="224"/>
      <c r="VJN1" s="224"/>
      <c r="VJO1" s="224"/>
      <c r="VJP1" s="224"/>
      <c r="VJQ1" s="224"/>
      <c r="VJR1" s="224"/>
      <c r="VJS1" s="224"/>
      <c r="VJT1" s="224"/>
      <c r="VJU1" s="224"/>
      <c r="VJV1" s="224"/>
      <c r="VJW1" s="224"/>
      <c r="VJX1" s="224"/>
      <c r="VJY1" s="224"/>
      <c r="VJZ1" s="224"/>
      <c r="VKA1" s="224"/>
      <c r="VKB1" s="224"/>
      <c r="VKC1" s="224"/>
      <c r="VKD1" s="224"/>
      <c r="VKE1" s="224"/>
      <c r="VKF1" s="224"/>
      <c r="VKG1" s="224"/>
      <c r="VKH1" s="224"/>
      <c r="VKI1" s="224"/>
      <c r="VKJ1" s="224"/>
      <c r="VKK1" s="224"/>
      <c r="VKL1" s="224"/>
      <c r="VKM1" s="224"/>
      <c r="VKN1" s="224"/>
      <c r="VKO1" s="224"/>
      <c r="VKP1" s="224"/>
      <c r="VKQ1" s="224"/>
      <c r="VKR1" s="224"/>
      <c r="VKS1" s="224"/>
      <c r="VKT1" s="224"/>
      <c r="VKU1" s="224"/>
      <c r="VKV1" s="224"/>
      <c r="VKW1" s="224"/>
      <c r="VKX1" s="224"/>
      <c r="VKY1" s="224"/>
      <c r="VKZ1" s="224"/>
      <c r="VLA1" s="224"/>
      <c r="VLB1" s="224"/>
      <c r="VLC1" s="224"/>
      <c r="VLD1" s="224"/>
      <c r="VLE1" s="224"/>
      <c r="VLF1" s="224"/>
      <c r="VLG1" s="224"/>
      <c r="VLH1" s="224"/>
      <c r="VLI1" s="224"/>
      <c r="VLJ1" s="224"/>
      <c r="VLK1" s="224"/>
      <c r="VLL1" s="224"/>
      <c r="VLM1" s="224"/>
      <c r="VLN1" s="224"/>
      <c r="VLO1" s="224"/>
      <c r="VLP1" s="224"/>
      <c r="VLQ1" s="224"/>
      <c r="VLR1" s="224"/>
      <c r="VLS1" s="224"/>
      <c r="VLT1" s="224"/>
      <c r="VLU1" s="224"/>
      <c r="VLV1" s="224"/>
      <c r="VLW1" s="224"/>
      <c r="VLX1" s="224"/>
      <c r="VLY1" s="224"/>
      <c r="VLZ1" s="224"/>
      <c r="VMA1" s="224"/>
      <c r="VMB1" s="224"/>
      <c r="VMC1" s="224"/>
      <c r="VMD1" s="224"/>
      <c r="VME1" s="224"/>
      <c r="VMF1" s="224"/>
      <c r="VMG1" s="224"/>
      <c r="VMH1" s="224"/>
      <c r="VMI1" s="224"/>
      <c r="VMJ1" s="224"/>
      <c r="VMK1" s="224"/>
      <c r="VML1" s="224"/>
      <c r="VMM1" s="224"/>
      <c r="VMN1" s="224"/>
      <c r="VMO1" s="224"/>
      <c r="VMP1" s="224"/>
      <c r="VMQ1" s="224"/>
      <c r="VMR1" s="224"/>
      <c r="VMS1" s="224"/>
      <c r="VMT1" s="224"/>
      <c r="VMU1" s="224"/>
      <c r="VMV1" s="224"/>
      <c r="VMW1" s="224"/>
      <c r="VMX1" s="224"/>
      <c r="VMY1" s="224"/>
      <c r="VMZ1" s="224"/>
      <c r="VNA1" s="224"/>
      <c r="VNB1" s="224"/>
      <c r="VNC1" s="224"/>
      <c r="VND1" s="224"/>
      <c r="VNE1" s="224"/>
      <c r="VNF1" s="224"/>
      <c r="VNG1" s="224"/>
      <c r="VNH1" s="224"/>
      <c r="VNI1" s="224"/>
      <c r="VNJ1" s="224"/>
      <c r="VNK1" s="224"/>
      <c r="VNL1" s="224"/>
      <c r="VNM1" s="224"/>
      <c r="VNN1" s="224"/>
      <c r="VNO1" s="224"/>
      <c r="VNP1" s="224"/>
      <c r="VNQ1" s="224"/>
      <c r="VNR1" s="224"/>
      <c r="VNS1" s="224"/>
      <c r="VNT1" s="224"/>
      <c r="VNU1" s="224"/>
      <c r="VNV1" s="224"/>
      <c r="VNW1" s="224"/>
      <c r="VNX1" s="224"/>
      <c r="VNY1" s="224"/>
      <c r="VNZ1" s="224"/>
      <c r="VOA1" s="224"/>
      <c r="VOB1" s="224"/>
      <c r="VOC1" s="224"/>
      <c r="VOD1" s="224"/>
      <c r="VOE1" s="224"/>
      <c r="VOF1" s="224"/>
      <c r="VOG1" s="224"/>
      <c r="VOH1" s="224"/>
      <c r="VOI1" s="224"/>
      <c r="VOJ1" s="224"/>
      <c r="VOK1" s="224"/>
      <c r="VOL1" s="224"/>
      <c r="VOM1" s="224"/>
      <c r="VON1" s="224"/>
      <c r="VOO1" s="224"/>
      <c r="VOP1" s="224"/>
      <c r="VOQ1" s="224"/>
      <c r="VOR1" s="224"/>
      <c r="VOS1" s="224"/>
      <c r="VOT1" s="224"/>
      <c r="VOU1" s="224"/>
      <c r="VOV1" s="224"/>
      <c r="VOW1" s="224"/>
      <c r="VOX1" s="224"/>
      <c r="VOY1" s="224"/>
      <c r="VOZ1" s="224"/>
      <c r="VPA1" s="224"/>
      <c r="VPB1" s="224"/>
      <c r="VPC1" s="224"/>
      <c r="VPD1" s="224"/>
      <c r="VPE1" s="224"/>
      <c r="VPF1" s="224"/>
      <c r="VPG1" s="224"/>
      <c r="VPH1" s="224"/>
      <c r="VPI1" s="224"/>
      <c r="VPJ1" s="224"/>
      <c r="VPK1" s="224"/>
      <c r="VPL1" s="224"/>
      <c r="VPM1" s="224"/>
      <c r="VPN1" s="224"/>
      <c r="VPO1" s="224"/>
      <c r="VPP1" s="224"/>
      <c r="VPQ1" s="224"/>
      <c r="VPR1" s="224"/>
      <c r="VPS1" s="224"/>
      <c r="VPT1" s="224"/>
      <c r="VPU1" s="224"/>
      <c r="VPV1" s="224"/>
      <c r="VPW1" s="224"/>
      <c r="VPX1" s="224"/>
      <c r="VPY1" s="224"/>
      <c r="VPZ1" s="224"/>
      <c r="VQA1" s="224"/>
      <c r="VQB1" s="224"/>
      <c r="VQC1" s="224"/>
      <c r="VQD1" s="224"/>
      <c r="VQE1" s="224"/>
      <c r="VQF1" s="224"/>
      <c r="VQG1" s="224"/>
      <c r="VQH1" s="224"/>
      <c r="VQI1" s="224"/>
      <c r="VQJ1" s="224"/>
      <c r="VQK1" s="224"/>
      <c r="VQL1" s="224"/>
      <c r="VQM1" s="224"/>
      <c r="VQN1" s="224"/>
      <c r="VQO1" s="224"/>
      <c r="VQP1" s="224"/>
      <c r="VQQ1" s="224"/>
      <c r="VQR1" s="224"/>
      <c r="VQS1" s="224"/>
      <c r="VQT1" s="224"/>
      <c r="VQU1" s="224"/>
      <c r="VQV1" s="224"/>
      <c r="VQW1" s="224"/>
      <c r="VQX1" s="224"/>
      <c r="VQY1" s="224"/>
      <c r="VQZ1" s="224"/>
      <c r="VRA1" s="224"/>
      <c r="VRB1" s="224"/>
      <c r="VRC1" s="224"/>
      <c r="VRD1" s="224"/>
      <c r="VRE1" s="224"/>
      <c r="VRF1" s="224"/>
      <c r="VRG1" s="224"/>
      <c r="VRH1" s="224"/>
      <c r="VRI1" s="224"/>
      <c r="VRJ1" s="224"/>
      <c r="VRK1" s="224"/>
      <c r="VRL1" s="224"/>
      <c r="VRM1" s="224"/>
      <c r="VRN1" s="224"/>
      <c r="VRO1" s="224"/>
      <c r="VRP1" s="224"/>
      <c r="VRQ1" s="224"/>
      <c r="VRR1" s="224"/>
      <c r="VRS1" s="224"/>
      <c r="VRT1" s="224"/>
      <c r="VRU1" s="224"/>
      <c r="VRV1" s="224"/>
      <c r="VRW1" s="224"/>
      <c r="VRX1" s="224"/>
      <c r="VRY1" s="224"/>
      <c r="VRZ1" s="224"/>
      <c r="VSA1" s="224"/>
      <c r="VSB1" s="224"/>
      <c r="VSC1" s="224"/>
      <c r="VSD1" s="224"/>
      <c r="VSE1" s="224"/>
      <c r="VSF1" s="224"/>
      <c r="VSG1" s="224"/>
      <c r="VSH1" s="224"/>
      <c r="VSI1" s="224"/>
      <c r="VSJ1" s="224"/>
      <c r="VSK1" s="224"/>
      <c r="VSL1" s="224"/>
      <c r="VSM1" s="224"/>
      <c r="VSN1" s="224"/>
      <c r="VSO1" s="224"/>
      <c r="VSP1" s="224"/>
      <c r="VSQ1" s="224"/>
      <c r="VSR1" s="224"/>
      <c r="VSS1" s="224"/>
      <c r="VST1" s="224"/>
      <c r="VSU1" s="224"/>
      <c r="VSV1" s="224"/>
      <c r="VSW1" s="224"/>
      <c r="VSX1" s="224"/>
      <c r="VSY1" s="224"/>
      <c r="VSZ1" s="224"/>
      <c r="VTA1" s="224"/>
      <c r="VTB1" s="224"/>
      <c r="VTC1" s="224"/>
      <c r="VTD1" s="224"/>
      <c r="VTE1" s="224"/>
      <c r="VTF1" s="224"/>
      <c r="VTG1" s="224"/>
      <c r="VTH1" s="224"/>
      <c r="VTI1" s="224"/>
      <c r="VTJ1" s="224"/>
      <c r="VTK1" s="224"/>
      <c r="VTL1" s="224"/>
      <c r="VTM1" s="224"/>
      <c r="VTN1" s="224"/>
      <c r="VTO1" s="224"/>
      <c r="VTP1" s="224"/>
      <c r="VTQ1" s="224"/>
      <c r="VTR1" s="224"/>
      <c r="VTS1" s="224"/>
      <c r="VTT1" s="224"/>
      <c r="VTU1" s="224"/>
      <c r="VTV1" s="224"/>
      <c r="VTW1" s="224"/>
      <c r="VTX1" s="224"/>
      <c r="VTY1" s="224"/>
      <c r="VTZ1" s="224"/>
      <c r="VUA1" s="224"/>
      <c r="VUB1" s="224"/>
      <c r="VUC1" s="224"/>
      <c r="VUD1" s="224"/>
      <c r="VUE1" s="224"/>
      <c r="VUF1" s="224"/>
      <c r="VUG1" s="224"/>
      <c r="VUH1" s="224"/>
      <c r="VUI1" s="224"/>
      <c r="VUJ1" s="224"/>
      <c r="VUK1" s="224"/>
      <c r="VUL1" s="224"/>
      <c r="VUM1" s="224"/>
      <c r="VUN1" s="224"/>
      <c r="VUO1" s="224"/>
      <c r="VUP1" s="224"/>
      <c r="VUQ1" s="224"/>
      <c r="VUR1" s="224"/>
      <c r="VUS1" s="224"/>
      <c r="VUT1" s="224"/>
      <c r="VUU1" s="224"/>
      <c r="VUV1" s="224"/>
      <c r="VUW1" s="224"/>
      <c r="VUX1" s="224"/>
      <c r="VUY1" s="224"/>
      <c r="VUZ1" s="224"/>
      <c r="VVA1" s="224"/>
      <c r="VVB1" s="224"/>
      <c r="VVC1" s="224"/>
      <c r="VVD1" s="224"/>
      <c r="VVE1" s="224"/>
      <c r="VVF1" s="224"/>
      <c r="VVG1" s="224"/>
      <c r="VVH1" s="224"/>
      <c r="VVI1" s="224"/>
      <c r="VVJ1" s="224"/>
      <c r="VVK1" s="224"/>
      <c r="VVL1" s="224"/>
      <c r="VVM1" s="224"/>
      <c r="VVN1" s="224"/>
      <c r="VVO1" s="224"/>
      <c r="VVP1" s="224"/>
      <c r="VVQ1" s="224"/>
      <c r="VVR1" s="224"/>
      <c r="VVS1" s="224"/>
      <c r="VVT1" s="224"/>
      <c r="VVU1" s="224"/>
      <c r="VVV1" s="224"/>
      <c r="VVW1" s="224"/>
      <c r="VVX1" s="224"/>
      <c r="VVY1" s="224"/>
      <c r="VVZ1" s="224"/>
      <c r="VWA1" s="224"/>
      <c r="VWB1" s="224"/>
      <c r="VWC1" s="224"/>
      <c r="VWD1" s="224"/>
      <c r="VWE1" s="224"/>
      <c r="VWF1" s="224"/>
      <c r="VWG1" s="224"/>
      <c r="VWH1" s="224"/>
      <c r="VWI1" s="224"/>
      <c r="VWJ1" s="224"/>
      <c r="VWK1" s="224"/>
      <c r="VWL1" s="224"/>
      <c r="VWM1" s="224"/>
      <c r="VWN1" s="224"/>
      <c r="VWO1" s="224"/>
      <c r="VWP1" s="224"/>
      <c r="VWQ1" s="224"/>
      <c r="VWR1" s="224"/>
      <c r="VWS1" s="224"/>
      <c r="VWT1" s="224"/>
      <c r="VWU1" s="224"/>
      <c r="VWV1" s="224"/>
      <c r="VWW1" s="224"/>
      <c r="VWX1" s="224"/>
      <c r="VWY1" s="224"/>
      <c r="VWZ1" s="224"/>
      <c r="VXA1" s="224"/>
      <c r="VXB1" s="224"/>
      <c r="VXC1" s="224"/>
      <c r="VXD1" s="224"/>
      <c r="VXE1" s="224"/>
      <c r="VXF1" s="224"/>
      <c r="VXG1" s="224"/>
      <c r="VXH1" s="224"/>
      <c r="VXI1" s="224"/>
      <c r="VXJ1" s="224"/>
      <c r="VXK1" s="224"/>
      <c r="VXL1" s="224"/>
      <c r="VXM1" s="224"/>
      <c r="VXN1" s="224"/>
      <c r="VXO1" s="224"/>
      <c r="VXP1" s="224"/>
      <c r="VXQ1" s="224"/>
      <c r="VXR1" s="224"/>
      <c r="VXS1" s="224"/>
      <c r="VXT1" s="224"/>
      <c r="VXU1" s="224"/>
      <c r="VXV1" s="224"/>
      <c r="VXW1" s="224"/>
      <c r="VXX1" s="224"/>
      <c r="VXY1" s="224"/>
      <c r="VXZ1" s="224"/>
      <c r="VYA1" s="224"/>
      <c r="VYB1" s="224"/>
      <c r="VYC1" s="224"/>
      <c r="VYD1" s="224"/>
      <c r="VYE1" s="224"/>
      <c r="VYF1" s="224"/>
      <c r="VYG1" s="224"/>
      <c r="VYH1" s="224"/>
      <c r="VYI1" s="224"/>
      <c r="VYJ1" s="224"/>
      <c r="VYK1" s="224"/>
      <c r="VYL1" s="224"/>
      <c r="VYM1" s="224"/>
      <c r="VYN1" s="224"/>
      <c r="VYO1" s="224"/>
      <c r="VYP1" s="224"/>
      <c r="VYQ1" s="224"/>
      <c r="VYR1" s="224"/>
      <c r="VYS1" s="224"/>
      <c r="VYT1" s="224"/>
      <c r="VYU1" s="224"/>
      <c r="VYV1" s="224"/>
      <c r="VYW1" s="224"/>
      <c r="VYX1" s="224"/>
      <c r="VYY1" s="224"/>
      <c r="VYZ1" s="224"/>
      <c r="VZA1" s="224"/>
      <c r="VZB1" s="224"/>
      <c r="VZC1" s="224"/>
      <c r="VZD1" s="224"/>
      <c r="VZE1" s="224"/>
      <c r="VZF1" s="224"/>
      <c r="VZG1" s="224"/>
      <c r="VZH1" s="224"/>
      <c r="VZI1" s="224"/>
      <c r="VZJ1" s="224"/>
      <c r="VZK1" s="224"/>
      <c r="VZL1" s="224"/>
      <c r="VZM1" s="224"/>
      <c r="VZN1" s="224"/>
      <c r="VZO1" s="224"/>
      <c r="VZP1" s="224"/>
      <c r="VZQ1" s="224"/>
      <c r="VZR1" s="224"/>
      <c r="VZS1" s="224"/>
      <c r="VZT1" s="224"/>
      <c r="VZU1" s="224"/>
      <c r="VZV1" s="224"/>
      <c r="VZW1" s="224"/>
      <c r="VZX1" s="224"/>
      <c r="VZY1" s="224"/>
      <c r="VZZ1" s="224"/>
      <c r="WAA1" s="224"/>
      <c r="WAB1" s="224"/>
      <c r="WAC1" s="224"/>
      <c r="WAD1" s="224"/>
      <c r="WAE1" s="224"/>
      <c r="WAF1" s="224"/>
      <c r="WAG1" s="224"/>
      <c r="WAH1" s="224"/>
      <c r="WAI1" s="224"/>
      <c r="WAJ1" s="224"/>
      <c r="WAK1" s="224"/>
      <c r="WAL1" s="224"/>
      <c r="WAM1" s="224"/>
      <c r="WAN1" s="224"/>
      <c r="WAO1" s="224"/>
      <c r="WAP1" s="224"/>
      <c r="WAQ1" s="224"/>
      <c r="WAR1" s="224"/>
      <c r="WAS1" s="224"/>
      <c r="WAT1" s="224"/>
      <c r="WAU1" s="224"/>
      <c r="WAV1" s="224"/>
      <c r="WAW1" s="224"/>
      <c r="WAX1" s="224"/>
      <c r="WAY1" s="224"/>
      <c r="WAZ1" s="224"/>
      <c r="WBA1" s="224"/>
      <c r="WBB1" s="224"/>
      <c r="WBC1" s="224"/>
      <c r="WBD1" s="224"/>
      <c r="WBE1" s="224"/>
      <c r="WBF1" s="224"/>
      <c r="WBG1" s="224"/>
      <c r="WBH1" s="224"/>
      <c r="WBI1" s="224"/>
      <c r="WBJ1" s="224"/>
      <c r="WBK1" s="224"/>
      <c r="WBL1" s="224"/>
      <c r="WBM1" s="224"/>
      <c r="WBN1" s="224"/>
      <c r="WBO1" s="224"/>
      <c r="WBP1" s="224"/>
      <c r="WBQ1" s="224"/>
      <c r="WBR1" s="224"/>
      <c r="WBS1" s="224"/>
      <c r="WBT1" s="224"/>
      <c r="WBU1" s="224"/>
      <c r="WBV1" s="224"/>
      <c r="WBW1" s="224"/>
      <c r="WBX1" s="224"/>
      <c r="WBY1" s="224"/>
      <c r="WBZ1" s="224"/>
      <c r="WCA1" s="224"/>
      <c r="WCB1" s="224"/>
      <c r="WCC1" s="224"/>
      <c r="WCD1" s="224"/>
      <c r="WCE1" s="224"/>
      <c r="WCF1" s="224"/>
      <c r="WCG1" s="224"/>
      <c r="WCH1" s="224"/>
      <c r="WCI1" s="224"/>
      <c r="WCJ1" s="224"/>
      <c r="WCK1" s="224"/>
      <c r="WCL1" s="224"/>
      <c r="WCM1" s="224"/>
      <c r="WCN1" s="224"/>
      <c r="WCO1" s="224"/>
      <c r="WCP1" s="224"/>
      <c r="WCQ1" s="224"/>
      <c r="WCR1" s="224"/>
      <c r="WCS1" s="224"/>
      <c r="WCT1" s="224"/>
      <c r="WCU1" s="224"/>
      <c r="WCV1" s="224"/>
      <c r="WCW1" s="224"/>
      <c r="WCX1" s="224"/>
      <c r="WCY1" s="224"/>
      <c r="WCZ1" s="224"/>
      <c r="WDA1" s="224"/>
      <c r="WDB1" s="224"/>
      <c r="WDC1" s="224"/>
      <c r="WDD1" s="224"/>
      <c r="WDE1" s="224"/>
      <c r="WDF1" s="224"/>
      <c r="WDG1" s="224"/>
      <c r="WDH1" s="224"/>
      <c r="WDI1" s="224"/>
      <c r="WDJ1" s="224"/>
      <c r="WDK1" s="224"/>
      <c r="WDL1" s="224"/>
      <c r="WDM1" s="224"/>
      <c r="WDN1" s="224"/>
      <c r="WDO1" s="224"/>
      <c r="WDP1" s="224"/>
      <c r="WDQ1" s="224"/>
      <c r="WDR1" s="224"/>
      <c r="WDS1" s="224"/>
      <c r="WDT1" s="224"/>
      <c r="WDU1" s="224"/>
      <c r="WDV1" s="224"/>
      <c r="WDW1" s="224"/>
      <c r="WDX1" s="224"/>
      <c r="WDY1" s="224"/>
      <c r="WDZ1" s="224"/>
      <c r="WEA1" s="224"/>
      <c r="WEB1" s="224"/>
      <c r="WEC1" s="224"/>
      <c r="WED1" s="224"/>
      <c r="WEE1" s="224"/>
      <c r="WEF1" s="224"/>
      <c r="WEG1" s="224"/>
      <c r="WEH1" s="224"/>
      <c r="WEI1" s="224"/>
      <c r="WEJ1" s="224"/>
      <c r="WEK1" s="224"/>
      <c r="WEL1" s="224"/>
      <c r="WEM1" s="224"/>
      <c r="WEN1" s="224"/>
      <c r="WEO1" s="224"/>
      <c r="WEP1" s="224"/>
      <c r="WEQ1" s="224"/>
      <c r="WER1" s="224"/>
      <c r="WES1" s="224"/>
      <c r="WET1" s="224"/>
      <c r="WEU1" s="224"/>
      <c r="WEV1" s="224"/>
      <c r="WEW1" s="224"/>
      <c r="WEX1" s="224"/>
      <c r="WEY1" s="224"/>
      <c r="WEZ1" s="224"/>
      <c r="WFA1" s="224"/>
      <c r="WFB1" s="224"/>
      <c r="WFC1" s="224"/>
      <c r="WFD1" s="224"/>
      <c r="WFE1" s="224"/>
      <c r="WFF1" s="224"/>
      <c r="WFG1" s="224"/>
      <c r="WFH1" s="224"/>
      <c r="WFI1" s="224"/>
      <c r="WFJ1" s="224"/>
      <c r="WFK1" s="224"/>
      <c r="WFL1" s="224"/>
      <c r="WFM1" s="224"/>
      <c r="WFN1" s="224"/>
      <c r="WFO1" s="224"/>
      <c r="WFP1" s="224"/>
      <c r="WFQ1" s="224"/>
      <c r="WFR1" s="224"/>
      <c r="WFS1" s="224"/>
      <c r="WFT1" s="224"/>
      <c r="WFU1" s="224"/>
      <c r="WFV1" s="224"/>
      <c r="WFW1" s="224"/>
      <c r="WFX1" s="224"/>
      <c r="WFY1" s="224"/>
      <c r="WFZ1" s="224"/>
      <c r="WGA1" s="224"/>
      <c r="WGB1" s="224"/>
      <c r="WGC1" s="224"/>
      <c r="WGD1" s="224"/>
      <c r="WGE1" s="224"/>
      <c r="WGF1" s="224"/>
      <c r="WGG1" s="224"/>
      <c r="WGH1" s="224"/>
      <c r="WGI1" s="224"/>
      <c r="WGJ1" s="224"/>
      <c r="WGK1" s="224"/>
      <c r="WGL1" s="224"/>
      <c r="WGM1" s="224"/>
      <c r="WGN1" s="224"/>
      <c r="WGO1" s="224"/>
      <c r="WGP1" s="224"/>
      <c r="WGQ1" s="224"/>
      <c r="WGR1" s="224"/>
      <c r="WGS1" s="224"/>
      <c r="WGT1" s="224"/>
      <c r="WGU1" s="224"/>
      <c r="WGV1" s="224"/>
      <c r="WGW1" s="224"/>
      <c r="WGX1" s="224"/>
      <c r="WGY1" s="224"/>
      <c r="WGZ1" s="224"/>
      <c r="WHA1" s="224"/>
      <c r="WHB1" s="224"/>
      <c r="WHC1" s="224"/>
      <c r="WHD1" s="224"/>
      <c r="WHE1" s="224"/>
      <c r="WHF1" s="224"/>
      <c r="WHG1" s="224"/>
      <c r="WHH1" s="224"/>
      <c r="WHI1" s="224"/>
      <c r="WHJ1" s="224"/>
      <c r="WHK1" s="224"/>
      <c r="WHL1" s="224"/>
      <c r="WHM1" s="224"/>
      <c r="WHN1" s="224"/>
      <c r="WHO1" s="224"/>
      <c r="WHP1" s="224"/>
      <c r="WHQ1" s="224"/>
      <c r="WHR1" s="224"/>
      <c r="WHS1" s="224"/>
      <c r="WHT1" s="224"/>
      <c r="WHU1" s="224"/>
      <c r="WHV1" s="224"/>
      <c r="WHW1" s="224"/>
      <c r="WHX1" s="224"/>
      <c r="WHY1" s="224"/>
      <c r="WHZ1" s="224"/>
      <c r="WIA1" s="224"/>
      <c r="WIB1" s="224"/>
      <c r="WIC1" s="224"/>
      <c r="WID1" s="224"/>
      <c r="WIE1" s="224"/>
      <c r="WIF1" s="224"/>
      <c r="WIG1" s="224"/>
      <c r="WIH1" s="224"/>
      <c r="WII1" s="224"/>
      <c r="WIJ1" s="224"/>
      <c r="WIK1" s="224"/>
      <c r="WIL1" s="224"/>
      <c r="WIM1" s="224"/>
      <c r="WIN1" s="224"/>
      <c r="WIO1" s="224"/>
      <c r="WIP1" s="224"/>
      <c r="WIQ1" s="224"/>
      <c r="WIR1" s="224"/>
      <c r="WIS1" s="224"/>
      <c r="WIT1" s="224"/>
      <c r="WIU1" s="224"/>
      <c r="WIV1" s="224"/>
      <c r="WIW1" s="224"/>
      <c r="WIX1" s="224"/>
      <c r="WIY1" s="224"/>
      <c r="WIZ1" s="224"/>
      <c r="WJA1" s="224"/>
      <c r="WJB1" s="224"/>
      <c r="WJC1" s="224"/>
      <c r="WJD1" s="224"/>
      <c r="WJE1" s="224"/>
      <c r="WJF1" s="224"/>
      <c r="WJG1" s="224"/>
      <c r="WJH1" s="224"/>
      <c r="WJI1" s="224"/>
      <c r="WJJ1" s="224"/>
      <c r="WJK1" s="224"/>
      <c r="WJL1" s="224"/>
      <c r="WJM1" s="224"/>
      <c r="WJN1" s="224"/>
      <c r="WJO1" s="224"/>
      <c r="WJP1" s="224"/>
      <c r="WJQ1" s="224"/>
      <c r="WJR1" s="224"/>
      <c r="WJS1" s="224"/>
      <c r="WJT1" s="224"/>
      <c r="WJU1" s="224"/>
      <c r="WJV1" s="224"/>
      <c r="WJW1" s="224"/>
      <c r="WJX1" s="224"/>
      <c r="WJY1" s="224"/>
      <c r="WJZ1" s="224"/>
      <c r="WKA1" s="224"/>
      <c r="WKB1" s="224"/>
      <c r="WKC1" s="224"/>
      <c r="WKD1" s="224"/>
      <c r="WKE1" s="224"/>
      <c r="WKF1" s="224"/>
      <c r="WKG1" s="224"/>
      <c r="WKH1" s="224"/>
      <c r="WKI1" s="224"/>
      <c r="WKJ1" s="224"/>
      <c r="WKK1" s="224"/>
      <c r="WKL1" s="224"/>
      <c r="WKM1" s="224"/>
      <c r="WKN1" s="224"/>
      <c r="WKO1" s="224"/>
      <c r="WKP1" s="224"/>
      <c r="WKQ1" s="224"/>
      <c r="WKR1" s="224"/>
      <c r="WKS1" s="224"/>
      <c r="WKT1" s="224"/>
      <c r="WKU1" s="224"/>
      <c r="WKV1" s="224"/>
      <c r="WKW1" s="224"/>
      <c r="WKX1" s="224"/>
      <c r="WKY1" s="224"/>
      <c r="WKZ1" s="224"/>
      <c r="WLA1" s="224"/>
      <c r="WLB1" s="224"/>
      <c r="WLC1" s="224"/>
      <c r="WLD1" s="224"/>
      <c r="WLE1" s="224"/>
      <c r="WLF1" s="224"/>
      <c r="WLG1" s="224"/>
      <c r="WLH1" s="224"/>
      <c r="WLI1" s="224"/>
      <c r="WLJ1" s="224"/>
      <c r="WLK1" s="224"/>
      <c r="WLL1" s="224"/>
      <c r="WLM1" s="224"/>
      <c r="WLN1" s="224"/>
      <c r="WLO1" s="224"/>
      <c r="WLP1" s="224"/>
      <c r="WLQ1" s="224"/>
      <c r="WLR1" s="224"/>
      <c r="WLS1" s="224"/>
      <c r="WLT1" s="224"/>
      <c r="WLU1" s="224"/>
      <c r="WLV1" s="224"/>
      <c r="WLW1" s="224"/>
      <c r="WLX1" s="224"/>
      <c r="WLY1" s="224"/>
      <c r="WLZ1" s="224"/>
      <c r="WMA1" s="224"/>
      <c r="WMB1" s="224"/>
      <c r="WMC1" s="224"/>
      <c r="WMD1" s="224"/>
      <c r="WME1" s="224"/>
      <c r="WMF1" s="224"/>
      <c r="WMG1" s="224"/>
      <c r="WMH1" s="224"/>
      <c r="WMI1" s="224"/>
      <c r="WMJ1" s="224"/>
      <c r="WMK1" s="224"/>
      <c r="WML1" s="224"/>
      <c r="WMM1" s="224"/>
      <c r="WMN1" s="224"/>
      <c r="WMO1" s="224"/>
      <c r="WMP1" s="224"/>
      <c r="WMQ1" s="224"/>
      <c r="WMR1" s="224"/>
      <c r="WMS1" s="224"/>
      <c r="WMT1" s="224"/>
      <c r="WMU1" s="224"/>
      <c r="WMV1" s="224"/>
      <c r="WMW1" s="224"/>
      <c r="WMX1" s="224"/>
      <c r="WMY1" s="224"/>
      <c r="WMZ1" s="224"/>
      <c r="WNA1" s="224"/>
      <c r="WNB1" s="224"/>
      <c r="WNC1" s="224"/>
      <c r="WND1" s="224"/>
      <c r="WNE1" s="224"/>
      <c r="WNF1" s="224"/>
      <c r="WNG1" s="224"/>
      <c r="WNH1" s="224"/>
      <c r="WNI1" s="224"/>
      <c r="WNJ1" s="224"/>
      <c r="WNK1" s="224"/>
      <c r="WNL1" s="224"/>
      <c r="WNM1" s="224"/>
      <c r="WNN1" s="224"/>
      <c r="WNO1" s="224"/>
      <c r="WNP1" s="224"/>
      <c r="WNQ1" s="224"/>
      <c r="WNR1" s="224"/>
      <c r="WNS1" s="224"/>
      <c r="WNT1" s="224"/>
      <c r="WNU1" s="224"/>
      <c r="WNV1" s="224"/>
      <c r="WNW1" s="224"/>
      <c r="WNX1" s="224"/>
      <c r="WNY1" s="224"/>
      <c r="WNZ1" s="224"/>
      <c r="WOA1" s="224"/>
      <c r="WOB1" s="224"/>
      <c r="WOC1" s="224"/>
      <c r="WOD1" s="224"/>
      <c r="WOE1" s="224"/>
      <c r="WOF1" s="224"/>
      <c r="WOG1" s="224"/>
      <c r="WOH1" s="224"/>
      <c r="WOI1" s="224"/>
      <c r="WOJ1" s="224"/>
      <c r="WOK1" s="224"/>
      <c r="WOL1" s="224"/>
      <c r="WOM1" s="224"/>
      <c r="WON1" s="224"/>
      <c r="WOO1" s="224"/>
      <c r="WOP1" s="224"/>
      <c r="WOQ1" s="224"/>
      <c r="WOR1" s="224"/>
      <c r="WOS1" s="224"/>
      <c r="WOT1" s="224"/>
      <c r="WOU1" s="224"/>
      <c r="WOV1" s="224"/>
      <c r="WOW1" s="224"/>
      <c r="WOX1" s="224"/>
      <c r="WOY1" s="224"/>
      <c r="WOZ1" s="224"/>
      <c r="WPA1" s="224"/>
      <c r="WPB1" s="224"/>
      <c r="WPC1" s="224"/>
      <c r="WPD1" s="224"/>
      <c r="WPE1" s="224"/>
      <c r="WPF1" s="224"/>
      <c r="WPG1" s="224"/>
      <c r="WPH1" s="224"/>
      <c r="WPI1" s="224"/>
      <c r="WPJ1" s="224"/>
      <c r="WPK1" s="224"/>
      <c r="WPL1" s="224"/>
      <c r="WPM1" s="224"/>
      <c r="WPN1" s="224"/>
      <c r="WPO1" s="224"/>
      <c r="WPP1" s="224"/>
      <c r="WPQ1" s="224"/>
      <c r="WPR1" s="224"/>
      <c r="WPS1" s="224"/>
      <c r="WPT1" s="224"/>
      <c r="WPU1" s="224"/>
      <c r="WPV1" s="224"/>
      <c r="WPW1" s="224"/>
      <c r="WPX1" s="224"/>
      <c r="WPY1" s="224"/>
      <c r="WPZ1" s="224"/>
      <c r="WQA1" s="224"/>
      <c r="WQB1" s="224"/>
      <c r="WQC1" s="224"/>
      <c r="WQD1" s="224"/>
      <c r="WQE1" s="224"/>
      <c r="WQF1" s="224"/>
      <c r="WQG1" s="224"/>
      <c r="WQH1" s="224"/>
      <c r="WQI1" s="224"/>
      <c r="WQJ1" s="224"/>
      <c r="WQK1" s="224"/>
      <c r="WQL1" s="224"/>
      <c r="WQM1" s="224"/>
      <c r="WQN1" s="224"/>
      <c r="WQO1" s="224"/>
      <c r="WQP1" s="224"/>
      <c r="WQQ1" s="224"/>
      <c r="WQR1" s="224"/>
      <c r="WQS1" s="224"/>
      <c r="WQT1" s="224"/>
      <c r="WQU1" s="224"/>
      <c r="WQV1" s="224"/>
      <c r="WQW1" s="224"/>
      <c r="WQX1" s="224"/>
      <c r="WQY1" s="224"/>
      <c r="WQZ1" s="224"/>
      <c r="WRA1" s="224"/>
      <c r="WRB1" s="224"/>
      <c r="WRC1" s="224"/>
      <c r="WRD1" s="224"/>
      <c r="WRE1" s="224"/>
      <c r="WRF1" s="224"/>
      <c r="WRG1" s="224"/>
      <c r="WRH1" s="224"/>
      <c r="WRI1" s="224"/>
      <c r="WRJ1" s="224"/>
      <c r="WRK1" s="224"/>
      <c r="WRL1" s="224"/>
      <c r="WRM1" s="224"/>
      <c r="WRN1" s="224"/>
      <c r="WRO1" s="224"/>
      <c r="WRP1" s="224"/>
      <c r="WRQ1" s="224"/>
      <c r="WRR1" s="224"/>
      <c r="WRS1" s="224"/>
      <c r="WRT1" s="224"/>
      <c r="WRU1" s="224"/>
      <c r="WRV1" s="224"/>
      <c r="WRW1" s="224"/>
      <c r="WRX1" s="224"/>
      <c r="WRY1" s="224"/>
      <c r="WRZ1" s="224"/>
      <c r="WSA1" s="224"/>
      <c r="WSB1" s="224"/>
      <c r="WSC1" s="224"/>
      <c r="WSD1" s="224"/>
      <c r="WSE1" s="224"/>
      <c r="WSF1" s="224"/>
      <c r="WSG1" s="224"/>
      <c r="WSH1" s="224"/>
      <c r="WSI1" s="224"/>
      <c r="WSJ1" s="224"/>
      <c r="WSK1" s="224"/>
      <c r="WSL1" s="224"/>
      <c r="WSM1" s="224"/>
      <c r="WSN1" s="224"/>
      <c r="WSO1" s="224"/>
      <c r="WSP1" s="224"/>
      <c r="WSQ1" s="224"/>
      <c r="WSR1" s="224"/>
      <c r="WSS1" s="224"/>
      <c r="WST1" s="224"/>
      <c r="WSU1" s="224"/>
      <c r="WSV1" s="224"/>
      <c r="WSW1" s="224"/>
      <c r="WSX1" s="224"/>
      <c r="WSY1" s="224"/>
      <c r="WSZ1" s="224"/>
      <c r="WTA1" s="224"/>
      <c r="WTB1" s="224"/>
      <c r="WTC1" s="224"/>
      <c r="WTD1" s="224"/>
      <c r="WTE1" s="224"/>
      <c r="WTF1" s="224"/>
      <c r="WTG1" s="224"/>
      <c r="WTH1" s="224"/>
      <c r="WTI1" s="224"/>
      <c r="WTJ1" s="224"/>
      <c r="WTK1" s="224"/>
      <c r="WTL1" s="224"/>
      <c r="WTM1" s="224"/>
      <c r="WTN1" s="224"/>
      <c r="WTO1" s="224"/>
      <c r="WTP1" s="224"/>
      <c r="WTQ1" s="224"/>
      <c r="WTR1" s="224"/>
      <c r="WTS1" s="224"/>
      <c r="WTT1" s="224"/>
      <c r="WTU1" s="224"/>
      <c r="WTV1" s="224"/>
      <c r="WTW1" s="224"/>
      <c r="WTX1" s="224"/>
      <c r="WTY1" s="224"/>
      <c r="WTZ1" s="224"/>
      <c r="WUA1" s="224"/>
      <c r="WUB1" s="224"/>
      <c r="WUC1" s="224"/>
      <c r="WUD1" s="224"/>
      <c r="WUE1" s="224"/>
      <c r="WUF1" s="224"/>
      <c r="WUG1" s="224"/>
      <c r="WUH1" s="224"/>
      <c r="WUI1" s="224"/>
      <c r="WUJ1" s="224"/>
      <c r="WUK1" s="224"/>
      <c r="WUL1" s="224"/>
      <c r="WUM1" s="224"/>
      <c r="WUN1" s="224"/>
      <c r="WUO1" s="224"/>
      <c r="WUP1" s="224"/>
      <c r="WUQ1" s="224"/>
      <c r="WUR1" s="224"/>
      <c r="WUS1" s="224"/>
      <c r="WUT1" s="224"/>
      <c r="WUU1" s="224"/>
      <c r="WUV1" s="224"/>
      <c r="WUW1" s="224"/>
      <c r="WUX1" s="224"/>
      <c r="WUY1" s="224"/>
      <c r="WUZ1" s="224"/>
      <c r="WVA1" s="224"/>
      <c r="WVB1" s="224"/>
      <c r="WVC1" s="224"/>
      <c r="WVD1" s="224"/>
      <c r="WVE1" s="224"/>
      <c r="WVF1" s="224"/>
      <c r="WVG1" s="224"/>
      <c r="WVH1" s="224"/>
      <c r="WVI1" s="224"/>
      <c r="WVJ1" s="224"/>
      <c r="WVK1" s="224"/>
      <c r="WVL1" s="224"/>
      <c r="WVM1" s="224"/>
      <c r="WVN1" s="224"/>
      <c r="WVO1" s="224"/>
      <c r="WVP1" s="224"/>
      <c r="WVQ1" s="224"/>
      <c r="WVR1" s="224"/>
      <c r="WVS1" s="224"/>
      <c r="WVT1" s="224"/>
      <c r="WVU1" s="224"/>
      <c r="WVV1" s="224"/>
      <c r="WVW1" s="224"/>
      <c r="WVX1" s="224"/>
      <c r="WVY1" s="224"/>
      <c r="WVZ1" s="224"/>
      <c r="WWA1" s="224"/>
      <c r="WWB1" s="224"/>
      <c r="WWC1" s="224"/>
      <c r="WWD1" s="224"/>
      <c r="WWE1" s="224"/>
      <c r="WWF1" s="224"/>
      <c r="WWG1" s="224"/>
      <c r="WWH1" s="224"/>
      <c r="WWI1" s="224"/>
      <c r="WWJ1" s="224"/>
      <c r="WWK1" s="224"/>
      <c r="WWL1" s="224"/>
      <c r="WWM1" s="224"/>
      <c r="WWN1" s="224"/>
      <c r="WWO1" s="224"/>
      <c r="WWP1" s="224"/>
      <c r="WWQ1" s="224"/>
      <c r="WWR1" s="224"/>
      <c r="WWS1" s="224"/>
      <c r="WWT1" s="224"/>
      <c r="WWU1" s="224"/>
      <c r="WWV1" s="224"/>
      <c r="WWW1" s="224"/>
      <c r="WWX1" s="224"/>
      <c r="WWY1" s="224"/>
      <c r="WWZ1" s="224"/>
      <c r="WXA1" s="224"/>
      <c r="WXB1" s="224"/>
      <c r="WXC1" s="224"/>
      <c r="WXD1" s="224"/>
      <c r="WXE1" s="224"/>
      <c r="WXF1" s="224"/>
      <c r="WXG1" s="224"/>
      <c r="WXH1" s="224"/>
      <c r="WXI1" s="224"/>
      <c r="WXJ1" s="224"/>
      <c r="WXK1" s="224"/>
      <c r="WXL1" s="224"/>
      <c r="WXM1" s="224"/>
      <c r="WXN1" s="224"/>
      <c r="WXO1" s="224"/>
      <c r="WXP1" s="224"/>
      <c r="WXQ1" s="224"/>
      <c r="WXR1" s="224"/>
      <c r="WXS1" s="224"/>
      <c r="WXT1" s="224"/>
      <c r="WXU1" s="224"/>
      <c r="WXV1" s="224"/>
      <c r="WXW1" s="224"/>
      <c r="WXX1" s="224"/>
      <c r="WXY1" s="224"/>
      <c r="WXZ1" s="224"/>
      <c r="WYA1" s="224"/>
      <c r="WYB1" s="224"/>
      <c r="WYC1" s="224"/>
      <c r="WYD1" s="224"/>
      <c r="WYE1" s="224"/>
      <c r="WYF1" s="224"/>
      <c r="WYG1" s="224"/>
      <c r="WYH1" s="224"/>
      <c r="WYI1" s="224"/>
      <c r="WYJ1" s="224"/>
      <c r="WYK1" s="224"/>
      <c r="WYL1" s="224"/>
      <c r="WYM1" s="224"/>
      <c r="WYN1" s="224"/>
      <c r="WYO1" s="224"/>
      <c r="WYP1" s="224"/>
      <c r="WYQ1" s="224"/>
      <c r="WYR1" s="224"/>
      <c r="WYS1" s="224"/>
      <c r="WYT1" s="224"/>
      <c r="WYU1" s="224"/>
      <c r="WYV1" s="224"/>
      <c r="WYW1" s="224"/>
      <c r="WYX1" s="224"/>
      <c r="WYY1" s="224"/>
      <c r="WYZ1" s="224"/>
      <c r="WZA1" s="224"/>
      <c r="WZB1" s="224"/>
      <c r="WZC1" s="224"/>
      <c r="WZD1" s="224"/>
      <c r="WZE1" s="224"/>
      <c r="WZF1" s="224"/>
      <c r="WZG1" s="224"/>
      <c r="WZH1" s="224"/>
      <c r="WZI1" s="224"/>
      <c r="WZJ1" s="224"/>
      <c r="WZK1" s="224"/>
      <c r="WZL1" s="224"/>
      <c r="WZM1" s="224"/>
      <c r="WZN1" s="224"/>
      <c r="WZO1" s="224"/>
      <c r="WZP1" s="224"/>
      <c r="WZQ1" s="224"/>
      <c r="WZR1" s="224"/>
      <c r="WZS1" s="224"/>
      <c r="WZT1" s="224"/>
      <c r="WZU1" s="224"/>
      <c r="WZV1" s="224"/>
      <c r="WZW1" s="224"/>
      <c r="WZX1" s="224"/>
      <c r="WZY1" s="224"/>
      <c r="WZZ1" s="224"/>
      <c r="XAA1" s="224"/>
      <c r="XAB1" s="224"/>
      <c r="XAC1" s="224"/>
      <c r="XAD1" s="224"/>
      <c r="XAE1" s="224"/>
      <c r="XAF1" s="224"/>
      <c r="XAG1" s="224"/>
      <c r="XAH1" s="224"/>
      <c r="XAI1" s="224"/>
      <c r="XAJ1" s="224"/>
      <c r="XAK1" s="224"/>
      <c r="XAL1" s="224"/>
      <c r="XAM1" s="224"/>
      <c r="XAN1" s="224"/>
      <c r="XAO1" s="224"/>
      <c r="XAP1" s="224"/>
      <c r="XAQ1" s="224"/>
      <c r="XAR1" s="224"/>
      <c r="XAS1" s="224"/>
      <c r="XAT1" s="224"/>
    </row>
    <row r="2" spans="1:16270" s="27" customFormat="1" ht="19.5" x14ac:dyDescent="0.3">
      <c r="A2" s="27" t="str">
        <f ca="1">IF(OFFSET(AJ2,0,Lang_Order*Lang__T1)="","",OFFSET(AJ2,0,Lang_Order*Lang__T1))</f>
        <v>T1. Vaccine Database</v>
      </c>
      <c r="AI2" s="403"/>
      <c r="AJ2" s="403" t="s">
        <v>2885</v>
      </c>
      <c r="AK2" s="403"/>
      <c r="AL2" s="403"/>
      <c r="AM2" s="403"/>
      <c r="AN2" s="403"/>
      <c r="AO2" s="403"/>
      <c r="AP2" s="403"/>
      <c r="AQ2" s="403"/>
      <c r="AR2" s="403"/>
      <c r="AS2" s="403"/>
      <c r="AT2" s="403"/>
      <c r="AU2" s="403"/>
      <c r="AV2" s="403"/>
      <c r="AW2" s="403"/>
      <c r="AX2" s="403"/>
      <c r="AY2" s="403"/>
      <c r="AZ2" s="403"/>
      <c r="BA2" s="403"/>
      <c r="BB2" s="403"/>
      <c r="BC2" s="403"/>
      <c r="BD2" s="403"/>
      <c r="BE2" s="403"/>
      <c r="BF2" s="403"/>
      <c r="BG2" s="403"/>
      <c r="BH2" s="403"/>
      <c r="BI2" s="403"/>
      <c r="BJ2" s="403"/>
      <c r="BK2" s="403"/>
      <c r="BL2" s="403"/>
      <c r="BM2" s="403"/>
      <c r="BN2" s="403"/>
      <c r="BO2" s="403"/>
      <c r="BP2" s="403"/>
      <c r="BQ2" s="403"/>
      <c r="BR2" s="403"/>
      <c r="BS2" s="403"/>
      <c r="BT2" s="403" t="s">
        <v>5652</v>
      </c>
      <c r="BU2" s="403"/>
      <c r="BV2" s="403"/>
      <c r="BW2" s="403"/>
      <c r="BX2" s="403"/>
      <c r="BY2" s="403"/>
      <c r="BZ2" s="403"/>
      <c r="CA2" s="403"/>
      <c r="CB2" s="403"/>
      <c r="CC2" s="403"/>
      <c r="CD2" s="403"/>
      <c r="CE2" s="403"/>
      <c r="CF2" s="403"/>
      <c r="CG2" s="403"/>
      <c r="CH2" s="403"/>
      <c r="CI2" s="403"/>
      <c r="CJ2" s="403"/>
      <c r="CK2" s="403"/>
      <c r="CL2" s="403"/>
      <c r="CM2" s="403"/>
      <c r="CN2" s="403"/>
      <c r="CO2" s="403"/>
      <c r="CP2" s="403"/>
      <c r="CQ2" s="403"/>
      <c r="CR2" s="403"/>
      <c r="CS2" s="403"/>
      <c r="CT2" s="403"/>
      <c r="CU2" s="403"/>
      <c r="CV2" s="403"/>
      <c r="CW2" s="403"/>
      <c r="CX2" s="403"/>
      <c r="CY2" s="403"/>
      <c r="CZ2" s="403"/>
      <c r="DA2" s="403"/>
      <c r="DB2" s="403"/>
      <c r="DC2" s="403"/>
      <c r="DD2" s="403" t="s">
        <v>5653</v>
      </c>
      <c r="DE2" s="403"/>
      <c r="DF2" s="403"/>
      <c r="DG2" s="403"/>
      <c r="DH2" s="403"/>
      <c r="DI2" s="403"/>
      <c r="DJ2" s="403"/>
      <c r="DK2" s="403"/>
      <c r="DL2" s="403"/>
      <c r="DM2" s="403"/>
      <c r="DN2" s="403"/>
      <c r="DO2" s="403"/>
      <c r="DP2" s="403"/>
      <c r="DQ2" s="403"/>
      <c r="DR2" s="403"/>
      <c r="DS2" s="403"/>
      <c r="DT2" s="403"/>
      <c r="DU2" s="403"/>
      <c r="DV2" s="403"/>
      <c r="DW2" s="403"/>
      <c r="DX2" s="403"/>
      <c r="DY2" s="403"/>
      <c r="DZ2" s="403"/>
      <c r="EA2" s="403"/>
      <c r="EB2" s="403"/>
      <c r="EC2" s="403"/>
      <c r="ED2" s="403"/>
      <c r="EE2" s="403"/>
      <c r="EF2" s="403"/>
      <c r="EG2" s="403"/>
      <c r="EH2" s="403"/>
      <c r="EI2" s="403"/>
      <c r="EJ2" s="403"/>
      <c r="EK2" s="403"/>
      <c r="EL2" s="403"/>
      <c r="EM2" s="403"/>
      <c r="EN2" s="403" t="s">
        <v>5654</v>
      </c>
      <c r="EO2" s="403"/>
      <c r="EP2" s="403"/>
      <c r="EQ2" s="403"/>
      <c r="ER2" s="403"/>
      <c r="ES2" s="403"/>
      <c r="ET2" s="403"/>
      <c r="EU2" s="403"/>
      <c r="EV2" s="403"/>
      <c r="EW2" s="403"/>
      <c r="EX2" s="403"/>
      <c r="EY2" s="403"/>
      <c r="EZ2" s="403"/>
      <c r="FA2" s="403"/>
      <c r="FB2" s="403"/>
      <c r="FC2" s="403"/>
      <c r="FD2" s="403"/>
      <c r="FE2" s="403"/>
      <c r="FF2" s="403"/>
      <c r="FG2" s="403"/>
      <c r="FH2" s="403"/>
      <c r="FI2" s="403"/>
      <c r="FJ2" s="403"/>
      <c r="FK2" s="403"/>
      <c r="FL2" s="403"/>
      <c r="FM2" s="403"/>
      <c r="FN2" s="403"/>
      <c r="FO2" s="403"/>
      <c r="FP2" s="403"/>
      <c r="FQ2" s="403"/>
      <c r="FR2" s="403"/>
      <c r="FS2" s="403"/>
      <c r="FT2" s="403"/>
      <c r="FU2" s="403"/>
      <c r="FV2" s="403"/>
      <c r="FW2" s="403"/>
      <c r="FX2" s="403" t="s">
        <v>5655</v>
      </c>
      <c r="FY2" s="403"/>
      <c r="FZ2" s="403"/>
      <c r="GA2" s="403"/>
      <c r="GB2" s="403"/>
      <c r="GC2" s="403"/>
      <c r="GD2" s="403"/>
      <c r="GE2" s="403"/>
      <c r="GF2" s="403"/>
      <c r="GG2" s="403"/>
      <c r="GH2" s="403"/>
      <c r="GI2" s="403"/>
      <c r="GJ2" s="403"/>
      <c r="GK2" s="403"/>
      <c r="GL2" s="403"/>
      <c r="GM2" s="403"/>
      <c r="GN2" s="403"/>
      <c r="GO2" s="403"/>
      <c r="GP2" s="403"/>
      <c r="GQ2" s="403"/>
      <c r="GR2" s="403"/>
      <c r="GS2" s="403"/>
      <c r="GT2" s="403"/>
      <c r="GU2" s="403"/>
      <c r="GV2" s="403"/>
      <c r="GW2" s="403"/>
      <c r="GX2" s="403"/>
      <c r="GY2" s="403"/>
      <c r="GZ2" s="403"/>
      <c r="HA2" s="403"/>
      <c r="HB2" s="403"/>
      <c r="HC2" s="403"/>
      <c r="HD2" s="403"/>
      <c r="HE2" s="403"/>
      <c r="HF2" s="403"/>
      <c r="HG2" s="403"/>
      <c r="HH2" s="403" t="s">
        <v>5656</v>
      </c>
      <c r="HI2" s="403"/>
      <c r="HJ2" s="403"/>
      <c r="HK2" s="403"/>
      <c r="HL2" s="403"/>
      <c r="HM2" s="403"/>
      <c r="HN2" s="403"/>
      <c r="HO2" s="403"/>
      <c r="HP2" s="403"/>
      <c r="HQ2" s="403"/>
      <c r="HR2" s="403"/>
      <c r="HS2" s="403"/>
      <c r="HT2" s="403"/>
      <c r="HU2" s="403"/>
      <c r="HV2" s="403"/>
      <c r="HW2" s="403"/>
      <c r="HX2" s="403"/>
      <c r="HY2" s="403"/>
      <c r="HZ2" s="403"/>
      <c r="IA2" s="403"/>
      <c r="IB2" s="403"/>
      <c r="IC2" s="403"/>
      <c r="ID2" s="403"/>
      <c r="IE2" s="403"/>
      <c r="IF2" s="403"/>
      <c r="IG2" s="403"/>
      <c r="IH2" s="403"/>
      <c r="II2" s="403"/>
      <c r="IJ2" s="403"/>
      <c r="IK2" s="403"/>
      <c r="IL2" s="403"/>
      <c r="IM2" s="403"/>
      <c r="IN2" s="403"/>
      <c r="IO2" s="403"/>
      <c r="IP2" s="403"/>
      <c r="IQ2" s="403"/>
      <c r="IR2" s="403" t="s">
        <v>5657</v>
      </c>
      <c r="IS2" s="403"/>
      <c r="IT2" s="403"/>
      <c r="IU2" s="403"/>
      <c r="IV2" s="403"/>
      <c r="IW2" s="403"/>
      <c r="IX2" s="403"/>
      <c r="IY2" s="403"/>
      <c r="IZ2" s="403"/>
      <c r="JA2" s="403"/>
      <c r="JB2" s="403"/>
      <c r="JC2" s="403"/>
      <c r="JD2" s="403"/>
      <c r="JE2" s="403"/>
      <c r="JF2" s="403"/>
      <c r="JG2" s="403"/>
      <c r="JH2" s="403"/>
      <c r="JI2" s="403"/>
      <c r="JJ2" s="403"/>
      <c r="JK2" s="403"/>
      <c r="JL2" s="403"/>
      <c r="JM2" s="403"/>
      <c r="JN2" s="403"/>
      <c r="JO2" s="403"/>
      <c r="JP2" s="403"/>
      <c r="JQ2" s="403"/>
      <c r="JR2" s="403"/>
      <c r="JS2" s="403"/>
      <c r="JT2" s="403"/>
      <c r="JU2" s="403"/>
      <c r="JV2" s="403"/>
      <c r="JW2" s="403"/>
      <c r="JX2" s="403"/>
      <c r="JY2" s="403"/>
    </row>
    <row r="3" spans="1:16270" ht="30" customHeight="1" x14ac:dyDescent="0.2">
      <c r="B3" s="679" t="str">
        <f ca="1">IF(OFFSET(AK3,0,Lang_Order*Lang__T1)="","",OFFSET(AK3,0,Lang_Order*Lang__T1))</f>
        <v>Note: Advanced end users may use vaccine database row #21 (RED ARROW) onwards to specify user defined vaccines. The first 20 vaccines are auto-updateable and should not be edited.</v>
      </c>
      <c r="C3" s="679"/>
      <c r="D3" s="679"/>
      <c r="E3" s="679"/>
      <c r="F3" s="679"/>
      <c r="G3" s="679"/>
      <c r="H3" s="679"/>
      <c r="I3" s="679"/>
      <c r="J3" s="679"/>
      <c r="K3" s="567"/>
      <c r="L3" s="567"/>
      <c r="M3" s="567"/>
      <c r="N3" s="567"/>
      <c r="O3" s="567"/>
      <c r="P3" s="567"/>
      <c r="Q3" s="567"/>
      <c r="R3" s="567"/>
      <c r="S3" s="567"/>
      <c r="T3" s="567"/>
      <c r="U3" s="567"/>
      <c r="V3" s="299"/>
      <c r="W3" s="299"/>
      <c r="X3" s="299"/>
      <c r="Y3" s="299"/>
      <c r="Z3" s="299"/>
      <c r="AA3" s="299"/>
      <c r="AB3" s="299"/>
      <c r="AC3" s="299"/>
      <c r="AD3" s="299"/>
      <c r="AK3" s="403" t="s">
        <v>4231</v>
      </c>
      <c r="BU3" s="403" t="s">
        <v>5658</v>
      </c>
      <c r="DE3" s="403" t="s">
        <v>5659</v>
      </c>
      <c r="EO3" s="403" t="s">
        <v>5660</v>
      </c>
      <c r="FY3" s="403" t="s">
        <v>5661</v>
      </c>
      <c r="HI3" s="403" t="s">
        <v>5662</v>
      </c>
      <c r="IS3" s="403" t="s">
        <v>5663</v>
      </c>
    </row>
    <row r="4" spans="1:16270" ht="15" x14ac:dyDescent="0.25">
      <c r="C4" s="55" t="str">
        <f ca="1">IF(OFFSET(AL4,0,Lang_Order*Lang__T1)="","",OFFSET(AL4,0,Lang_Order*Lang__T1))</f>
        <v>LAST UPDATE:</v>
      </c>
      <c r="D4" s="100" t="str">
        <f>Lang_VaccineDatabaseLastUpdate</f>
        <v>18 February 2022 [u]</v>
      </c>
      <c r="E4" s="55" t="str">
        <f ca="1">IF(OFFSET(AN4,0,Lang_Order*Lang__T1)="","",OFFSET(AN4,0,Lang_Order*Lang__T1))</f>
        <v>Notice:</v>
      </c>
      <c r="F4" s="673" t="str">
        <f>Lang_VaccineDatabaseNotice</f>
        <v>Updates: BBV152 (Covaxin), mRNA-1273 (Moderna), and NVX-CoV2373 (Nuvaxovid). Note: Vaccines Prices not publicly known - average of US$7 per dose assumed. Vaccine specifications are indicative and SUBJECT TO CHANGE.</v>
      </c>
      <c r="G4" s="673"/>
      <c r="H4" s="673"/>
      <c r="I4" s="673"/>
      <c r="J4" s="673"/>
      <c r="K4" s="673"/>
      <c r="L4" s="673"/>
      <c r="M4" s="673"/>
      <c r="N4" s="673"/>
      <c r="O4" s="673"/>
      <c r="P4" s="673"/>
      <c r="Q4" s="673"/>
      <c r="R4" s="673"/>
      <c r="S4" s="673"/>
      <c r="T4" s="673"/>
      <c r="U4" s="673"/>
      <c r="V4" s="673"/>
      <c r="W4" s="673"/>
      <c r="X4" s="673"/>
      <c r="Y4" s="673"/>
      <c r="Z4" s="673"/>
      <c r="AA4" s="673"/>
      <c r="AB4" s="673"/>
      <c r="AC4" s="673"/>
      <c r="AD4" s="673"/>
      <c r="AE4" s="673"/>
      <c r="AF4" s="673"/>
      <c r="AL4" s="403" t="s">
        <v>2678</v>
      </c>
      <c r="AN4" s="403" t="s">
        <v>3110</v>
      </c>
      <c r="BV4" s="403" t="s">
        <v>5664</v>
      </c>
      <c r="BX4" s="403" t="s">
        <v>5347</v>
      </c>
      <c r="DF4" s="403" t="s">
        <v>5665</v>
      </c>
      <c r="DH4" s="403" t="s">
        <v>5666</v>
      </c>
      <c r="EP4" s="403" t="s">
        <v>5667</v>
      </c>
      <c r="ER4" s="403" t="s">
        <v>5668</v>
      </c>
      <c r="FZ4" s="403" t="s">
        <v>5669</v>
      </c>
      <c r="GB4" s="403" t="s">
        <v>5350</v>
      </c>
      <c r="HJ4" s="403" t="s">
        <v>5670</v>
      </c>
      <c r="HL4" s="403" t="s">
        <v>5671</v>
      </c>
      <c r="IT4" s="403" t="s">
        <v>5672</v>
      </c>
      <c r="IV4" s="403" t="s">
        <v>5352</v>
      </c>
    </row>
    <row r="5" spans="1:16270" s="185" customFormat="1" ht="63" customHeight="1" x14ac:dyDescent="0.2">
      <c r="A5" s="446" t="str">
        <f ca="1">IF(OFFSET(AJ5,0,Lang_Order*Lang__T1)="","",OFFSET(AJ5,0,Lang_Order*Lang__T1))</f>
        <v>Units:</v>
      </c>
      <c r="B5" s="445" t="str">
        <f ca="1">IF(OFFSET(AK5,0,Lang_Order*Lang__T1)="","",OFFSET(AK5,0,Lang_Order*Lang__T1))</f>
        <v/>
      </c>
      <c r="C5" s="99"/>
      <c r="D5" s="427"/>
      <c r="E5" s="427" t="str">
        <f ca="1">IF(OFFSET(AN5,0,Lang_Order*Lang__T1)="","",OFFSET(AN5,0,Lang_Order*Lang__T1))</f>
        <v>USD</v>
      </c>
      <c r="F5" s="427"/>
      <c r="G5" s="427"/>
      <c r="H5" s="427" t="str">
        <f ca="1">IF(OFFSET(AQ5,0,Lang_Order*Lang__T1)="","",OFFSET(AQ5,0,Lang_Order*Lang__T1))</f>
        <v>Days</v>
      </c>
      <c r="I5" s="427" t="str">
        <f ca="1">IF(OFFSET(AR5,0,Lang_Order*Lang__T1)="","",OFFSET(AR5,0,Lang_Order*Lang__T1))</f>
        <v>Months</v>
      </c>
      <c r="J5" s="427"/>
      <c r="K5" s="427"/>
      <c r="L5" s="427" t="str">
        <f ca="1">IF(OFFSET(AU5,0,Lang_Order*Lang__T1)="","",OFFSET(AU5,0,Lang_Order*Lang__T1))</f>
        <v>cm3 in secondary packaging</v>
      </c>
      <c r="M5" s="427" t="str">
        <f ca="1">IF(OFFSET(AV5,0,Lang_Order*Lang__T1)="","",OFFSET(AV5,0,Lang_Order*Lang__T1))</f>
        <v>g per dose</v>
      </c>
      <c r="N5" s="427" t="str">
        <f ca="1">IF(OFFSET(AW5,0,Lang_Order*Lang__T1)="","",OFFSET(AW5,0,Lang_Order*Lang__T1))</f>
        <v>months</v>
      </c>
      <c r="O5" s="427"/>
      <c r="P5" s="427" t="str">
        <f ca="1">IF(OFFSET(AY5,0,Lang_Order*Lang__T1)="","",OFFSET(AY5,0,Lang_Order*Lang__T1))</f>
        <v>Mins per Dose</v>
      </c>
      <c r="Q5" s="444" t="str">
        <f ca="1">IF(OFFSET(AZ5,0,Lang_Order*Lang__T1)="","",OFFSET(AZ5,0,Lang_Order*Lang__T1))</f>
        <v>Investigable reactions per 100,000 doses</v>
      </c>
      <c r="R5" s="708" t="str">
        <f ca="1">IF(OFFSET(BA5,0,Lang_Order*Lang__T1)="","",OFFSET(BA5,0,Lang_Order*Lang__T1))</f>
        <v>Consumables per dose, including wastage factor</v>
      </c>
      <c r="S5" s="708" t="str">
        <f t="shared" ref="S5:Z5" ca="1" si="0">IF(OFFSET(BB4,0,Lang_Order*Lang__T1)="","",OFFSET(BB4,0,Lang_Order*Lang__T1))</f>
        <v/>
      </c>
      <c r="T5" s="708" t="str">
        <f t="shared" ca="1" si="0"/>
        <v/>
      </c>
      <c r="U5" s="708" t="str">
        <f t="shared" ca="1" si="0"/>
        <v/>
      </c>
      <c r="V5" s="708" t="str">
        <f t="shared" ca="1" si="0"/>
        <v/>
      </c>
      <c r="W5" s="708" t="str">
        <f t="shared" ca="1" si="0"/>
        <v/>
      </c>
      <c r="X5" s="708" t="str">
        <f t="shared" ca="1" si="0"/>
        <v/>
      </c>
      <c r="Y5" s="708" t="str">
        <f t="shared" ca="1" si="0"/>
        <v/>
      </c>
      <c r="Z5" s="708" t="str">
        <f t="shared" ca="1" si="0"/>
        <v/>
      </c>
      <c r="AA5" s="427" t="str">
        <f ca="1">IF(OFFSET(BJ5,0,Lang_Order*Lang__T1)="","",OFFSET(BJ5,0,Lang_Order*Lang__T1))</f>
        <v>Fraction of a 5L safety box occupied to dispose of one dose worth of medical waste</v>
      </c>
      <c r="AB5" s="427"/>
      <c r="AC5" s="427"/>
      <c r="AD5" s="427" t="str">
        <f ca="1">IF(OFFSET(BM5,0,Lang_Order*Lang__T1)="","",OFFSET(BM5,0,Lang_Order*Lang__T1))</f>
        <v>USD</v>
      </c>
      <c r="AG5" s="568"/>
      <c r="AH5" s="504" t="str">
        <f ca="1">IF(OFFSET(BQ5,0,Lang_Order*Lang__T1)="","",OFFSET(BQ5,0,Lang_Order*Lang__T1))</f>
        <v>Sources: https://www.who.int/immunization_standards/vaccine_quality/who_pqs_e10_sb01.pdf 
https://www.who.int/vaccine_safety/initiative/tools/vaccinfosheets/en/
https://www.who.int/vaccine_safety/initiative/tools/Influenza_Vaccine_rates_information_sheet.pdf
https://www.who.int/immunization_standards/vaccine_quality/Vaccines_Shipping_Guidelines082019.pdf Class A - Max +8C; Class B - Max +30; Class C - Max +30 Min +2</v>
      </c>
      <c r="AI5" s="403"/>
      <c r="AJ5" s="403" t="s">
        <v>4246</v>
      </c>
      <c r="AK5" s="403"/>
      <c r="AL5" s="403"/>
      <c r="AM5" s="403"/>
      <c r="AN5" s="403" t="s">
        <v>26</v>
      </c>
      <c r="AO5" s="403"/>
      <c r="AP5" s="403"/>
      <c r="AQ5" s="403" t="s">
        <v>15</v>
      </c>
      <c r="AR5" s="403" t="s">
        <v>14</v>
      </c>
      <c r="AS5" s="403"/>
      <c r="AT5" s="403"/>
      <c r="AU5" s="403" t="s">
        <v>4248</v>
      </c>
      <c r="AV5" s="403" t="s">
        <v>2712</v>
      </c>
      <c r="AW5" s="403" t="s">
        <v>3986</v>
      </c>
      <c r="AX5" s="403"/>
      <c r="AY5" s="403" t="s">
        <v>1573</v>
      </c>
      <c r="AZ5" s="403" t="s">
        <v>3983</v>
      </c>
      <c r="BA5" s="403" t="s">
        <v>4249</v>
      </c>
      <c r="BB5" s="403"/>
      <c r="BC5" s="403"/>
      <c r="BD5" s="403"/>
      <c r="BE5" s="403"/>
      <c r="BF5" s="403"/>
      <c r="BG5" s="403"/>
      <c r="BH5" s="403"/>
      <c r="BI5" s="403"/>
      <c r="BJ5" s="403" t="s">
        <v>3108</v>
      </c>
      <c r="BK5" s="403"/>
      <c r="BL5" s="403"/>
      <c r="BM5" s="403" t="s">
        <v>26</v>
      </c>
      <c r="BN5" s="403"/>
      <c r="BO5" s="403"/>
      <c r="BP5" s="403"/>
      <c r="BQ5" s="566" t="s">
        <v>5826</v>
      </c>
      <c r="BR5" s="403"/>
      <c r="BS5" s="403"/>
      <c r="BT5" s="403" t="s">
        <v>5673</v>
      </c>
      <c r="BU5" s="403"/>
      <c r="BV5" s="403"/>
      <c r="BW5" s="403"/>
      <c r="BX5" s="403" t="s">
        <v>26</v>
      </c>
      <c r="BY5" s="403"/>
      <c r="BZ5" s="403"/>
      <c r="CA5" s="403" t="s">
        <v>5674</v>
      </c>
      <c r="CB5" s="403" t="s">
        <v>5675</v>
      </c>
      <c r="CC5" s="403"/>
      <c r="CD5" s="403"/>
      <c r="CE5" s="403" t="s">
        <v>5676</v>
      </c>
      <c r="CF5" s="403" t="s">
        <v>5677</v>
      </c>
      <c r="CG5" s="403" t="s">
        <v>5675</v>
      </c>
      <c r="CH5" s="403"/>
      <c r="CI5" s="403" t="s">
        <v>5678</v>
      </c>
      <c r="CJ5" s="403" t="s">
        <v>5679</v>
      </c>
      <c r="CK5" s="403" t="s">
        <v>5680</v>
      </c>
      <c r="CL5" s="403"/>
      <c r="CM5" s="403"/>
      <c r="CN5" s="403"/>
      <c r="CO5" s="403"/>
      <c r="CP5" s="403"/>
      <c r="CQ5" s="403"/>
      <c r="CR5" s="403"/>
      <c r="CS5" s="403"/>
      <c r="CT5" s="403" t="s">
        <v>5681</v>
      </c>
      <c r="CU5" s="403"/>
      <c r="CV5" s="403"/>
      <c r="CW5" s="403" t="s">
        <v>26</v>
      </c>
      <c r="CX5" s="403"/>
      <c r="CY5" s="403"/>
      <c r="CZ5" s="403"/>
      <c r="DA5" s="566" t="s">
        <v>5830</v>
      </c>
      <c r="DB5" s="403"/>
      <c r="DC5" s="403"/>
      <c r="DD5" s="403" t="s">
        <v>5682</v>
      </c>
      <c r="DE5" s="403"/>
      <c r="DF5" s="403"/>
      <c r="DG5" s="403"/>
      <c r="DH5" s="403" t="s">
        <v>5683</v>
      </c>
      <c r="DI5" s="403"/>
      <c r="DJ5" s="403"/>
      <c r="DK5" s="403" t="s">
        <v>5684</v>
      </c>
      <c r="DL5" s="403" t="s">
        <v>5685</v>
      </c>
      <c r="DM5" s="403"/>
      <c r="DN5" s="403"/>
      <c r="DO5" s="403" t="s">
        <v>5686</v>
      </c>
      <c r="DP5" s="403" t="s">
        <v>5687</v>
      </c>
      <c r="DQ5" s="403" t="s">
        <v>5685</v>
      </c>
      <c r="DR5" s="403"/>
      <c r="DS5" s="403" t="s">
        <v>5688</v>
      </c>
      <c r="DT5" s="403" t="s">
        <v>5689</v>
      </c>
      <c r="DU5" s="403" t="s">
        <v>5690</v>
      </c>
      <c r="DV5" s="403"/>
      <c r="DW5" s="403"/>
      <c r="DX5" s="403"/>
      <c r="DY5" s="403"/>
      <c r="DZ5" s="403"/>
      <c r="EA5" s="403"/>
      <c r="EB5" s="403"/>
      <c r="EC5" s="403"/>
      <c r="ED5" s="403" t="s">
        <v>5691</v>
      </c>
      <c r="EE5" s="403"/>
      <c r="EF5" s="403"/>
      <c r="EG5" s="403" t="s">
        <v>5683</v>
      </c>
      <c r="EH5" s="403"/>
      <c r="EI5" s="403"/>
      <c r="EJ5" s="403"/>
      <c r="EK5" s="566" t="s">
        <v>5831</v>
      </c>
      <c r="EL5" s="403"/>
      <c r="EM5" s="403"/>
      <c r="EN5" s="403" t="s">
        <v>5692</v>
      </c>
      <c r="EO5" s="403"/>
      <c r="EP5" s="403"/>
      <c r="EQ5" s="403"/>
      <c r="ER5" s="403" t="s">
        <v>26</v>
      </c>
      <c r="ES5" s="403"/>
      <c r="ET5" s="403"/>
      <c r="EU5" s="403" t="s">
        <v>5693</v>
      </c>
      <c r="EV5" s="403" t="s">
        <v>5694</v>
      </c>
      <c r="EW5" s="403"/>
      <c r="EX5" s="403"/>
      <c r="EY5" s="403" t="s">
        <v>5695</v>
      </c>
      <c r="EZ5" s="403" t="s">
        <v>5696</v>
      </c>
      <c r="FA5" s="403" t="s">
        <v>5697</v>
      </c>
      <c r="FB5" s="403"/>
      <c r="FC5" s="403" t="s">
        <v>5698</v>
      </c>
      <c r="FD5" s="403" t="s">
        <v>5699</v>
      </c>
      <c r="FE5" s="403" t="s">
        <v>5700</v>
      </c>
      <c r="FF5" s="403"/>
      <c r="FG5" s="403"/>
      <c r="FH5" s="403"/>
      <c r="FI5" s="403"/>
      <c r="FJ5" s="403"/>
      <c r="FK5" s="403"/>
      <c r="FL5" s="403"/>
      <c r="FM5" s="403"/>
      <c r="FN5" s="403" t="s">
        <v>5701</v>
      </c>
      <c r="FO5" s="403"/>
      <c r="FP5" s="403"/>
      <c r="FQ5" s="403" t="s">
        <v>26</v>
      </c>
      <c r="FR5" s="403"/>
      <c r="FS5" s="403"/>
      <c r="FT5" s="403"/>
      <c r="FU5" s="566" t="s">
        <v>5826</v>
      </c>
      <c r="FV5" s="403"/>
      <c r="FW5" s="403"/>
      <c r="FX5" s="403" t="s">
        <v>5692</v>
      </c>
      <c r="FY5" s="403"/>
      <c r="FZ5" s="403"/>
      <c r="GA5" s="403"/>
      <c r="GB5" s="403" t="s">
        <v>26</v>
      </c>
      <c r="GC5" s="403"/>
      <c r="GD5" s="403"/>
      <c r="GE5" s="403" t="s">
        <v>5702</v>
      </c>
      <c r="GF5" s="403" t="s">
        <v>5694</v>
      </c>
      <c r="GG5" s="403"/>
      <c r="GH5" s="403"/>
      <c r="GI5" s="403" t="s">
        <v>5703</v>
      </c>
      <c r="GJ5" s="403" t="s">
        <v>5704</v>
      </c>
      <c r="GK5" s="403" t="s">
        <v>5697</v>
      </c>
      <c r="GL5" s="403"/>
      <c r="GM5" s="403" t="s">
        <v>5705</v>
      </c>
      <c r="GN5" s="403" t="s">
        <v>5706</v>
      </c>
      <c r="GO5" s="403" t="s">
        <v>5707</v>
      </c>
      <c r="GP5" s="403"/>
      <c r="GQ5" s="403"/>
      <c r="GR5" s="403"/>
      <c r="GS5" s="403"/>
      <c r="GT5" s="403"/>
      <c r="GU5" s="403"/>
      <c r="GV5" s="403"/>
      <c r="GW5" s="403"/>
      <c r="GX5" s="403" t="s">
        <v>5708</v>
      </c>
      <c r="GY5" s="403"/>
      <c r="GZ5" s="403"/>
      <c r="HA5" s="403" t="s">
        <v>26</v>
      </c>
      <c r="HB5" s="403"/>
      <c r="HC5" s="403"/>
      <c r="HD5" s="403"/>
      <c r="HE5" s="566" t="s">
        <v>5829</v>
      </c>
      <c r="HF5" s="403"/>
      <c r="HG5" s="403"/>
      <c r="HH5" s="403" t="s">
        <v>5709</v>
      </c>
      <c r="HI5" s="403"/>
      <c r="HJ5" s="403"/>
      <c r="HK5" s="403"/>
      <c r="HL5" s="403" t="s">
        <v>5710</v>
      </c>
      <c r="HM5" s="403"/>
      <c r="HN5" s="403"/>
      <c r="HO5" s="403" t="s">
        <v>5711</v>
      </c>
      <c r="HP5" s="403" t="s">
        <v>5712</v>
      </c>
      <c r="HQ5" s="403"/>
      <c r="HR5" s="403"/>
      <c r="HS5" s="403" t="s">
        <v>5713</v>
      </c>
      <c r="HT5" s="403" t="s">
        <v>5714</v>
      </c>
      <c r="HU5" s="403" t="s">
        <v>5712</v>
      </c>
      <c r="HV5" s="403"/>
      <c r="HW5" s="403" t="s">
        <v>5715</v>
      </c>
      <c r="HX5" s="403" t="s">
        <v>5716</v>
      </c>
      <c r="HY5" s="403" t="s">
        <v>5717</v>
      </c>
      <c r="HZ5" s="403"/>
      <c r="IA5" s="403"/>
      <c r="IB5" s="403"/>
      <c r="IC5" s="403"/>
      <c r="ID5" s="403"/>
      <c r="IE5" s="403"/>
      <c r="IF5" s="403"/>
      <c r="IG5" s="403"/>
      <c r="IH5" s="403" t="s">
        <v>5718</v>
      </c>
      <c r="II5" s="403"/>
      <c r="IJ5" s="403"/>
      <c r="IK5" s="403" t="s">
        <v>5710</v>
      </c>
      <c r="IL5" s="403"/>
      <c r="IM5" s="403"/>
      <c r="IN5" s="403"/>
      <c r="IO5" s="566" t="s">
        <v>5828</v>
      </c>
      <c r="IP5" s="403"/>
      <c r="IQ5" s="403"/>
      <c r="IR5" s="403" t="s">
        <v>5719</v>
      </c>
      <c r="IS5" s="403"/>
      <c r="IT5" s="403"/>
      <c r="IU5" s="403"/>
      <c r="IV5" s="403" t="s">
        <v>5720</v>
      </c>
      <c r="IW5" s="403"/>
      <c r="IX5" s="403"/>
      <c r="IY5" s="403" t="s">
        <v>5721</v>
      </c>
      <c r="IZ5" s="403" t="s">
        <v>5722</v>
      </c>
      <c r="JA5" s="403"/>
      <c r="JB5" s="403"/>
      <c r="JC5" s="403" t="s">
        <v>5723</v>
      </c>
      <c r="JD5" s="403" t="s">
        <v>5724</v>
      </c>
      <c r="JE5" s="403" t="s">
        <v>5722</v>
      </c>
      <c r="JF5" s="403"/>
      <c r="JG5" s="403" t="s">
        <v>5725</v>
      </c>
      <c r="JH5" s="403" t="s">
        <v>5726</v>
      </c>
      <c r="JI5" s="403" t="s">
        <v>5727</v>
      </c>
      <c r="JJ5" s="403"/>
      <c r="JK5" s="403"/>
      <c r="JL5" s="403"/>
      <c r="JM5" s="403"/>
      <c r="JN5" s="403"/>
      <c r="JO5" s="403"/>
      <c r="JP5" s="403"/>
      <c r="JQ5" s="403"/>
      <c r="JR5" s="403" t="s">
        <v>5728</v>
      </c>
      <c r="JS5" s="403"/>
      <c r="JT5" s="403"/>
      <c r="JU5" s="403" t="s">
        <v>5720</v>
      </c>
      <c r="JV5" s="403"/>
      <c r="JW5" s="403"/>
      <c r="JX5" s="403"/>
      <c r="JY5" s="566" t="s">
        <v>5827</v>
      </c>
    </row>
    <row r="6" spans="1:16270" s="2" customFormat="1" ht="51" hidden="1" x14ac:dyDescent="0.2">
      <c r="A6" s="121" t="s">
        <v>2635</v>
      </c>
      <c r="B6" s="279" t="s">
        <v>2884</v>
      </c>
      <c r="C6" s="279" t="str">
        <f>'T1i. Vaccines'!A2</f>
        <v>Vaccine Code Name</v>
      </c>
      <c r="D6" s="279" t="str">
        <f>'T1i. Vaccines'!B2</f>
        <v>Manufacturing Country</v>
      </c>
      <c r="E6" s="279" t="str">
        <f>'T1i. Vaccines'!C2</f>
        <v>Final Price per Dose</v>
      </c>
      <c r="F6" s="279" t="str">
        <f>'T1i. Vaccines'!D2</f>
        <v>Doses per Course</v>
      </c>
      <c r="G6" s="279" t="str">
        <f>'T1i. Vaccines'!E2</f>
        <v>Doses per Vial</v>
      </c>
      <c r="H6" s="279" t="str">
        <f>'T1i. Vaccines'!F2</f>
        <v>Minimum Duration Between Doses</v>
      </c>
      <c r="I6" s="279" t="str">
        <f>'T1i. Vaccines'!G2</f>
        <v>Durability of Immunity</v>
      </c>
      <c r="J6" s="279" t="str">
        <f>'T1i. Vaccines'!H2</f>
        <v>Route</v>
      </c>
      <c r="K6" s="279" t="str">
        <f>'T1i. Vaccines'!I2</f>
        <v>Cold-Chain Requirements</v>
      </c>
      <c r="L6" s="279" t="str">
        <f>'T1i. Vaccines'!J2</f>
        <v>Packed Volume per Dose</v>
      </c>
      <c r="M6" s="279" t="str">
        <f>'T1i. Vaccines'!K2</f>
        <v>Weight</v>
      </c>
      <c r="N6" s="279" t="str">
        <f>'T1i. Vaccines'!L2</f>
        <v>Shelf Life</v>
      </c>
      <c r="O6" s="279" t="str">
        <f>'T1i. Vaccines'!M2</f>
        <v>WHO Class of Shipping</v>
      </c>
      <c r="P6" s="279" t="str">
        <f>'T1i. Vaccines'!N2</f>
        <v>HCW Time</v>
      </c>
      <c r="Q6" s="279" t="str">
        <f>'T1i. Vaccines'!O2</f>
        <v>AEFI Investigation Rate</v>
      </c>
      <c r="R6" s="441" t="str">
        <f>'T1i. Vaccines'!P2</f>
        <v>Low Dead Space Syringe (0.3ml) AD</v>
      </c>
      <c r="S6" s="279" t="str">
        <f>'T1i. Vaccines'!Q2</f>
        <v>Syringe (0.5ml) AD</v>
      </c>
      <c r="T6" s="279" t="str">
        <f>'T1i. Vaccines'!R2</f>
        <v>23G needle</v>
      </c>
      <c r="U6" s="279" t="str">
        <f>'T1i. Vaccines'!S2</f>
        <v>Alcohol Swab, Plaster, Dry Swabs</v>
      </c>
      <c r="V6" s="279" t="str">
        <f>'T1i. Vaccines'!T2</f>
        <v>21G needle</v>
      </c>
      <c r="W6" s="279" t="str">
        <f>'T1i. Vaccines'!U2</f>
        <v>Sodium Chloride 0.9 % ampule 10mls</v>
      </c>
      <c r="X6" s="279" t="str">
        <f>'T1i. Vaccines'!V2</f>
        <v>RUP syringe (3ml)</v>
      </c>
      <c r="Y6" s="279" t="str">
        <f>'T1i. Vaccines'!W2</f>
        <v>…</v>
      </c>
      <c r="Z6" s="279" t="str">
        <f>'T1i. Vaccines'!X2</f>
        <v>…</v>
      </c>
      <c r="AA6" s="279" t="str">
        <f>'T1i. Vaccines'!Y2</f>
        <v>Sharps Disposal (5L)</v>
      </c>
      <c r="AB6" s="279" t="str">
        <f>'T1i. Vaccines'!Z2</f>
        <v>Vaccination Card</v>
      </c>
      <c r="AC6" s="279" t="str">
        <f>'T1i. Vaccines'!AA2</f>
        <v>Electronic Records</v>
      </c>
      <c r="AD6" s="279" t="str">
        <f>'T1i. Vaccines'!AB2</f>
        <v>No fault compensation fund</v>
      </c>
      <c r="AI6" s="403"/>
      <c r="AJ6" s="403"/>
      <c r="AK6" s="403"/>
      <c r="AL6" s="403"/>
      <c r="AM6" s="403"/>
      <c r="AN6" s="403"/>
      <c r="AO6" s="403"/>
      <c r="AP6" s="403"/>
      <c r="AQ6" s="403"/>
      <c r="AR6" s="403"/>
      <c r="AS6" s="403"/>
      <c r="AT6" s="403"/>
      <c r="AU6" s="403"/>
      <c r="AV6" s="403"/>
      <c r="AW6" s="403"/>
      <c r="AX6" s="403"/>
      <c r="AY6" s="403"/>
      <c r="AZ6" s="403"/>
      <c r="BA6" s="403"/>
      <c r="BB6" s="403"/>
      <c r="BC6" s="403"/>
      <c r="BD6" s="403"/>
      <c r="BE6" s="403"/>
      <c r="BF6" s="403"/>
      <c r="BG6" s="403"/>
      <c r="BH6" s="403"/>
      <c r="BI6" s="403"/>
      <c r="BJ6" s="403"/>
      <c r="BK6" s="403"/>
      <c r="BL6" s="403"/>
      <c r="BM6" s="403"/>
      <c r="BN6" s="403"/>
      <c r="BO6" s="403"/>
      <c r="BP6" s="403"/>
      <c r="BQ6" s="403"/>
      <c r="BR6" s="403"/>
      <c r="BS6" s="403"/>
      <c r="BT6" s="403"/>
      <c r="BU6" s="403"/>
      <c r="BV6" s="403"/>
      <c r="BW6" s="403"/>
      <c r="BX6" s="403"/>
      <c r="BY6" s="403"/>
      <c r="BZ6" s="403"/>
      <c r="CA6" s="403"/>
      <c r="CB6" s="403"/>
      <c r="CC6" s="403"/>
      <c r="CD6" s="403"/>
      <c r="CE6" s="403"/>
      <c r="CF6" s="403"/>
      <c r="CG6" s="403"/>
      <c r="CH6" s="403"/>
      <c r="CI6" s="403"/>
      <c r="CJ6" s="403"/>
      <c r="CK6" s="403"/>
      <c r="CL6" s="403"/>
      <c r="CM6" s="403"/>
      <c r="CN6" s="403"/>
      <c r="CO6" s="403"/>
      <c r="CP6" s="403"/>
      <c r="CQ6" s="403"/>
      <c r="CR6" s="403"/>
      <c r="CS6" s="403"/>
      <c r="CT6" s="403"/>
      <c r="CU6" s="403"/>
      <c r="CV6" s="403"/>
      <c r="CW6" s="403"/>
      <c r="CX6" s="403"/>
      <c r="CY6" s="403"/>
      <c r="CZ6" s="403"/>
      <c r="DA6" s="403"/>
      <c r="DB6" s="403"/>
      <c r="DC6" s="403"/>
      <c r="DD6" s="403"/>
      <c r="DE6" s="403"/>
      <c r="DF6" s="403"/>
      <c r="DG6" s="403"/>
      <c r="DH6" s="403"/>
      <c r="DI6" s="403"/>
      <c r="DJ6" s="403"/>
      <c r="DK6" s="403"/>
      <c r="DL6" s="403"/>
      <c r="DM6" s="403"/>
      <c r="DN6" s="403"/>
      <c r="DO6" s="403"/>
      <c r="DP6" s="403"/>
      <c r="DQ6" s="403"/>
      <c r="DR6" s="403"/>
      <c r="DS6" s="403"/>
      <c r="DT6" s="403"/>
      <c r="DU6" s="403"/>
      <c r="DV6" s="403"/>
      <c r="DW6" s="403"/>
      <c r="DX6" s="403"/>
      <c r="DY6" s="403"/>
      <c r="DZ6" s="403"/>
      <c r="EA6" s="403"/>
      <c r="EB6" s="403"/>
      <c r="EC6" s="403"/>
      <c r="ED6" s="403"/>
      <c r="EE6" s="403"/>
      <c r="EF6" s="403"/>
      <c r="EG6" s="403"/>
      <c r="EH6" s="403"/>
      <c r="EI6" s="403"/>
      <c r="EJ6" s="403"/>
      <c r="EK6" s="403"/>
      <c r="EL6" s="403"/>
      <c r="EM6" s="403"/>
      <c r="EN6" s="403"/>
      <c r="EO6" s="403"/>
      <c r="EP6" s="403"/>
      <c r="EQ6" s="403"/>
      <c r="ER6" s="403"/>
      <c r="ES6" s="403"/>
      <c r="ET6" s="403"/>
      <c r="EU6" s="403"/>
      <c r="EV6" s="403"/>
      <c r="EW6" s="403"/>
      <c r="EX6" s="403"/>
      <c r="EY6" s="403"/>
      <c r="EZ6" s="403"/>
      <c r="FA6" s="403"/>
      <c r="FB6" s="403"/>
      <c r="FC6" s="403"/>
      <c r="FD6" s="403"/>
      <c r="FE6" s="403"/>
      <c r="FF6" s="403"/>
      <c r="FG6" s="403"/>
      <c r="FH6" s="403"/>
      <c r="FI6" s="403"/>
      <c r="FJ6" s="403"/>
      <c r="FK6" s="403"/>
      <c r="FL6" s="403"/>
      <c r="FM6" s="403"/>
      <c r="FN6" s="403"/>
      <c r="FO6" s="403"/>
      <c r="FP6" s="403"/>
      <c r="FQ6" s="403"/>
      <c r="FR6" s="403"/>
      <c r="FS6" s="403"/>
      <c r="FT6" s="403"/>
      <c r="FU6" s="403"/>
      <c r="FV6" s="403"/>
      <c r="FW6" s="403"/>
      <c r="FX6" s="403"/>
      <c r="FY6" s="403"/>
      <c r="FZ6" s="403"/>
      <c r="GA6" s="403"/>
      <c r="GB6" s="403"/>
      <c r="GC6" s="403"/>
      <c r="GD6" s="403"/>
      <c r="GE6" s="403"/>
      <c r="GF6" s="403"/>
      <c r="GG6" s="403"/>
      <c r="GH6" s="403"/>
      <c r="GI6" s="403"/>
      <c r="GJ6" s="403"/>
      <c r="GK6" s="403"/>
      <c r="GL6" s="403"/>
      <c r="GM6" s="403"/>
      <c r="GN6" s="403"/>
      <c r="GO6" s="403"/>
      <c r="GP6" s="403"/>
      <c r="GQ6" s="403"/>
      <c r="GR6" s="403"/>
      <c r="GS6" s="403"/>
      <c r="GT6" s="403"/>
      <c r="GU6" s="403"/>
      <c r="GV6" s="403"/>
      <c r="GW6" s="403"/>
      <c r="GX6" s="403"/>
      <c r="GY6" s="403"/>
      <c r="GZ6" s="403"/>
      <c r="HA6" s="403"/>
      <c r="HB6" s="403"/>
      <c r="HC6" s="403"/>
      <c r="HD6" s="403"/>
      <c r="HE6" s="403"/>
      <c r="HF6" s="403"/>
      <c r="HG6" s="403"/>
      <c r="HH6" s="403"/>
      <c r="HI6" s="403"/>
      <c r="HJ6" s="403"/>
      <c r="HK6" s="403"/>
      <c r="HL6" s="403"/>
      <c r="HM6" s="403"/>
      <c r="HN6" s="403"/>
      <c r="HO6" s="403"/>
      <c r="HP6" s="403"/>
      <c r="HQ6" s="403"/>
      <c r="HR6" s="403"/>
      <c r="HS6" s="403"/>
      <c r="HT6" s="403"/>
      <c r="HU6" s="403"/>
      <c r="HV6" s="403"/>
      <c r="HW6" s="403"/>
      <c r="HX6" s="403"/>
      <c r="HY6" s="403"/>
      <c r="HZ6" s="403"/>
      <c r="IA6" s="403"/>
      <c r="IB6" s="403"/>
      <c r="IC6" s="403"/>
      <c r="ID6" s="403"/>
      <c r="IE6" s="403"/>
      <c r="IF6" s="403"/>
      <c r="IG6" s="403"/>
      <c r="IH6" s="403"/>
      <c r="II6" s="403"/>
      <c r="IJ6" s="403"/>
      <c r="IK6" s="403"/>
      <c r="IL6" s="403"/>
      <c r="IM6" s="403"/>
      <c r="IN6" s="403"/>
      <c r="IO6" s="403"/>
      <c r="IP6" s="403"/>
      <c r="IQ6" s="403"/>
      <c r="IR6" s="403"/>
      <c r="IS6" s="403"/>
      <c r="IT6" s="403"/>
      <c r="IU6" s="403"/>
      <c r="IV6" s="403"/>
      <c r="IW6" s="403"/>
      <c r="IX6" s="403"/>
      <c r="IY6" s="403"/>
      <c r="IZ6" s="403"/>
      <c r="JA6" s="403"/>
      <c r="JB6" s="403"/>
      <c r="JC6" s="403"/>
      <c r="JD6" s="403"/>
      <c r="JE6" s="403"/>
      <c r="JF6" s="403"/>
      <c r="JG6" s="403"/>
      <c r="JH6" s="403"/>
      <c r="JI6" s="403"/>
      <c r="JJ6" s="403"/>
      <c r="JK6" s="403"/>
      <c r="JL6" s="403"/>
      <c r="JM6" s="403"/>
      <c r="JN6" s="403"/>
      <c r="JO6" s="403"/>
      <c r="JP6" s="403"/>
      <c r="JQ6" s="403"/>
      <c r="JR6" s="403"/>
      <c r="JS6" s="403"/>
      <c r="JT6" s="403"/>
      <c r="JU6" s="403"/>
      <c r="JV6" s="403"/>
      <c r="JW6" s="403"/>
      <c r="JX6" s="403"/>
      <c r="JY6" s="403"/>
    </row>
    <row r="7" spans="1:16270" s="185" customFormat="1" ht="51" x14ac:dyDescent="0.2">
      <c r="A7" s="439" t="s">
        <v>5</v>
      </c>
      <c r="B7" s="440"/>
      <c r="C7" s="440" t="str">
        <f t="shared" ref="C7:Q7" ca="1" si="1">IF(OFFSET(AL7,0,Lang_Order*Lang__T1)="","",OFFSET(AL7,0,Lang_Order*Lang__T1))</f>
        <v>Vaccine Code Name</v>
      </c>
      <c r="D7" s="440" t="str">
        <f t="shared" ca="1" si="1"/>
        <v>Manufacturer</v>
      </c>
      <c r="E7" s="440" t="str">
        <f t="shared" ca="1" si="1"/>
        <v>Final Price per Dose</v>
      </c>
      <c r="F7" s="440" t="str">
        <f t="shared" ca="1" si="1"/>
        <v>Doses per Course</v>
      </c>
      <c r="G7" s="440" t="str">
        <f t="shared" ca="1" si="1"/>
        <v>Doses per Vial</v>
      </c>
      <c r="H7" s="440" t="str">
        <f t="shared" ca="1" si="1"/>
        <v>Minimum Duration Between Doses</v>
      </c>
      <c r="I7" s="440" t="str">
        <f t="shared" ca="1" si="1"/>
        <v>Durability of Immunity</v>
      </c>
      <c r="J7" s="440" t="str">
        <f t="shared" ca="1" si="1"/>
        <v>Route</v>
      </c>
      <c r="K7" s="440" t="str">
        <f t="shared" ca="1" si="1"/>
        <v>Cold-Chain Requirements</v>
      </c>
      <c r="L7" s="440" t="str">
        <f t="shared" ca="1" si="1"/>
        <v>Packed Volume per Dose</v>
      </c>
      <c r="M7" s="440" t="str">
        <f t="shared" ca="1" si="1"/>
        <v>Weight</v>
      </c>
      <c r="N7" s="440" t="str">
        <f t="shared" ca="1" si="1"/>
        <v>Shelf Life</v>
      </c>
      <c r="O7" s="440" t="str">
        <f t="shared" ca="1" si="1"/>
        <v>WHO Class of Shipping</v>
      </c>
      <c r="P7" s="440" t="str">
        <f t="shared" ca="1" si="1"/>
        <v>HCW Time</v>
      </c>
      <c r="Q7" s="440" t="str">
        <f t="shared" ca="1" si="1"/>
        <v>AEFI Investigation Rate</v>
      </c>
      <c r="R7" s="440" t="str">
        <f>'T1i. Vaccines'!P2</f>
        <v>Low Dead Space Syringe (0.3ml) AD</v>
      </c>
      <c r="S7" s="440" t="str">
        <f>'T1i. Vaccines'!Q2</f>
        <v>Syringe (0.5ml) AD</v>
      </c>
      <c r="T7" s="440" t="str">
        <f>'T1i. Vaccines'!R2</f>
        <v>23G needle</v>
      </c>
      <c r="U7" s="440" t="str">
        <f>'T1i. Vaccines'!S2</f>
        <v>Alcohol Swab, Plaster, Dry Swabs</v>
      </c>
      <c r="V7" s="440" t="str">
        <f>'T1i. Vaccines'!T2</f>
        <v>21G needle</v>
      </c>
      <c r="W7" s="440" t="str">
        <f>'T1i. Vaccines'!U2</f>
        <v>Sodium Chloride 0.9 % ampule 10mls</v>
      </c>
      <c r="X7" s="440" t="str">
        <f>'T1i. Vaccines'!V2</f>
        <v>RUP syringe (3ml)</v>
      </c>
      <c r="Y7" s="440" t="str">
        <f>'T1i. Vaccines'!W2</f>
        <v>…</v>
      </c>
      <c r="Z7" s="440" t="str">
        <f>'T1i. Vaccines'!X2</f>
        <v>…</v>
      </c>
      <c r="AA7" s="440" t="str">
        <f>'T1i. Vaccines'!Y2</f>
        <v>Sharps Disposal (5L)</v>
      </c>
      <c r="AB7" s="440" t="str">
        <f>'T1i. Vaccines'!Z2</f>
        <v>Vaccination Card</v>
      </c>
      <c r="AC7" s="440" t="str">
        <f>'T1i. Vaccines'!AA2</f>
        <v>Electronic Records</v>
      </c>
      <c r="AD7" s="440" t="str">
        <f>'T1i. Vaccines'!AB2</f>
        <v>No fault compensation fund</v>
      </c>
      <c r="AH7" s="440" t="str">
        <f ca="1">IF(OFFSET(BQ7,0,Lang_Order*Lang__T1)="","",OFFSET(BQ7,0,Lang_Order*Lang__T1))</f>
        <v>Notes</v>
      </c>
      <c r="AI7" s="403"/>
      <c r="AJ7" s="403"/>
      <c r="AK7" s="403"/>
      <c r="AL7" s="403" t="s">
        <v>0</v>
      </c>
      <c r="AM7" s="403" t="s">
        <v>2884</v>
      </c>
      <c r="AN7" s="403" t="s">
        <v>25</v>
      </c>
      <c r="AO7" s="403" t="s">
        <v>48</v>
      </c>
      <c r="AP7" s="403" t="s">
        <v>35</v>
      </c>
      <c r="AQ7" s="403" t="s">
        <v>6</v>
      </c>
      <c r="AR7" s="403" t="s">
        <v>4</v>
      </c>
      <c r="AS7" s="403" t="s">
        <v>2</v>
      </c>
      <c r="AT7" s="403" t="s">
        <v>3</v>
      </c>
      <c r="AU7" s="403" t="s">
        <v>49</v>
      </c>
      <c r="AV7" s="403" t="s">
        <v>2713</v>
      </c>
      <c r="AW7" s="403" t="s">
        <v>1710</v>
      </c>
      <c r="AX7" s="403" t="s">
        <v>2726</v>
      </c>
      <c r="AY7" s="403" t="s">
        <v>1572</v>
      </c>
      <c r="AZ7" s="403" t="s">
        <v>3982</v>
      </c>
      <c r="BA7" s="403"/>
      <c r="BB7" s="403"/>
      <c r="BC7" s="403"/>
      <c r="BD7" s="403"/>
      <c r="BE7" s="403"/>
      <c r="BF7" s="403"/>
      <c r="BG7" s="403"/>
      <c r="BH7" s="403"/>
      <c r="BI7" s="403"/>
      <c r="BJ7" s="403"/>
      <c r="BK7" s="403"/>
      <c r="BL7" s="403"/>
      <c r="BM7" s="403"/>
      <c r="BN7" s="403"/>
      <c r="BO7" s="403"/>
      <c r="BP7" s="403"/>
      <c r="BQ7" s="403" t="s">
        <v>16</v>
      </c>
      <c r="BR7" s="403"/>
      <c r="BS7" s="403"/>
      <c r="BT7" s="403"/>
      <c r="BU7" s="403"/>
      <c r="BV7" s="403" t="s">
        <v>5729</v>
      </c>
      <c r="BW7" s="403" t="s">
        <v>14190</v>
      </c>
      <c r="BX7" s="403" t="s">
        <v>5730</v>
      </c>
      <c r="BY7" s="403" t="s">
        <v>5731</v>
      </c>
      <c r="BZ7" s="403" t="s">
        <v>5732</v>
      </c>
      <c r="CA7" s="403" t="s">
        <v>5733</v>
      </c>
      <c r="CB7" s="403" t="s">
        <v>5734</v>
      </c>
      <c r="CC7" s="403" t="s">
        <v>5735</v>
      </c>
      <c r="CD7" s="403" t="s">
        <v>5736</v>
      </c>
      <c r="CE7" s="403" t="s">
        <v>5737</v>
      </c>
      <c r="CF7" s="403" t="s">
        <v>5738</v>
      </c>
      <c r="CG7" s="403" t="s">
        <v>5739</v>
      </c>
      <c r="CH7" s="403" t="s">
        <v>5740</v>
      </c>
      <c r="CI7" s="403" t="s">
        <v>5741</v>
      </c>
      <c r="CJ7" s="403" t="s">
        <v>5742</v>
      </c>
      <c r="CK7" s="403"/>
      <c r="CL7" s="403"/>
      <c r="CM7" s="403"/>
      <c r="CN7" s="403"/>
      <c r="CO7" s="403"/>
      <c r="CP7" s="403"/>
      <c r="CQ7" s="403"/>
      <c r="CR7" s="403"/>
      <c r="CS7" s="403"/>
      <c r="CT7" s="403"/>
      <c r="CU7" s="403"/>
      <c r="CV7" s="403"/>
      <c r="CW7" s="403"/>
      <c r="CX7" s="403"/>
      <c r="CY7" s="403"/>
      <c r="CZ7" s="403"/>
      <c r="DA7" s="403" t="s">
        <v>16</v>
      </c>
      <c r="DB7" s="403"/>
      <c r="DC7" s="403"/>
      <c r="DD7" s="403"/>
      <c r="DE7" s="403"/>
      <c r="DF7" s="403" t="s">
        <v>5743</v>
      </c>
      <c r="DG7" s="403" t="s">
        <v>14191</v>
      </c>
      <c r="DH7" s="403" t="s">
        <v>5744</v>
      </c>
      <c r="DI7" s="403" t="s">
        <v>5745</v>
      </c>
      <c r="DJ7" s="403" t="s">
        <v>5746</v>
      </c>
      <c r="DK7" s="403" t="s">
        <v>5747</v>
      </c>
      <c r="DL7" s="403" t="s">
        <v>5748</v>
      </c>
      <c r="DM7" s="403" t="s">
        <v>5749</v>
      </c>
      <c r="DN7" s="403" t="s">
        <v>5750</v>
      </c>
      <c r="DO7" s="403" t="s">
        <v>5751</v>
      </c>
      <c r="DP7" s="403" t="s">
        <v>5752</v>
      </c>
      <c r="DQ7" s="403" t="s">
        <v>5753</v>
      </c>
      <c r="DR7" s="403" t="s">
        <v>5754</v>
      </c>
      <c r="DS7" s="403" t="s">
        <v>5755</v>
      </c>
      <c r="DT7" s="403" t="s">
        <v>5756</v>
      </c>
      <c r="DU7" s="403"/>
      <c r="DV7" s="403"/>
      <c r="DW7" s="403"/>
      <c r="DX7" s="403"/>
      <c r="DY7" s="403"/>
      <c r="DZ7" s="403"/>
      <c r="EA7" s="403"/>
      <c r="EB7" s="403"/>
      <c r="EC7" s="403"/>
      <c r="ED7" s="403"/>
      <c r="EE7" s="403"/>
      <c r="EF7" s="403"/>
      <c r="EG7" s="403"/>
      <c r="EH7" s="403"/>
      <c r="EI7" s="403"/>
      <c r="EJ7" s="403"/>
      <c r="EK7" s="403" t="s">
        <v>5757</v>
      </c>
      <c r="EL7" s="403"/>
      <c r="EM7" s="403"/>
      <c r="EN7" s="403"/>
      <c r="EO7" s="403"/>
      <c r="EP7" s="403" t="s">
        <v>5758</v>
      </c>
      <c r="EQ7" s="403" t="s">
        <v>14192</v>
      </c>
      <c r="ER7" s="403" t="s">
        <v>5760</v>
      </c>
      <c r="ES7" s="403" t="s">
        <v>5761</v>
      </c>
      <c r="ET7" s="403" t="s">
        <v>5762</v>
      </c>
      <c r="EU7" s="403" t="s">
        <v>5763</v>
      </c>
      <c r="EV7" s="403" t="s">
        <v>5764</v>
      </c>
      <c r="EW7" s="403" t="s">
        <v>5765</v>
      </c>
      <c r="EX7" s="403" t="s">
        <v>5766</v>
      </c>
      <c r="EY7" s="403" t="s">
        <v>5767</v>
      </c>
      <c r="EZ7" s="403" t="s">
        <v>5768</v>
      </c>
      <c r="FA7" s="403" t="s">
        <v>5769</v>
      </c>
      <c r="FB7" s="403" t="s">
        <v>5770</v>
      </c>
      <c r="FC7" s="403" t="s">
        <v>5771</v>
      </c>
      <c r="FD7" s="403" t="s">
        <v>5772</v>
      </c>
      <c r="FE7" s="403"/>
      <c r="FF7" s="403"/>
      <c r="FG7" s="403"/>
      <c r="FH7" s="403"/>
      <c r="FI7" s="403"/>
      <c r="FJ7" s="403"/>
      <c r="FK7" s="403"/>
      <c r="FL7" s="403"/>
      <c r="FM7" s="403"/>
      <c r="FN7" s="403"/>
      <c r="FO7" s="403"/>
      <c r="FP7" s="403"/>
      <c r="FQ7" s="403"/>
      <c r="FR7" s="403"/>
      <c r="FS7" s="403"/>
      <c r="FT7" s="403"/>
      <c r="FU7" s="403" t="s">
        <v>5453</v>
      </c>
      <c r="FV7" s="403"/>
      <c r="FW7" s="403"/>
      <c r="FX7" s="403"/>
      <c r="FY7" s="403"/>
      <c r="FZ7" s="403" t="s">
        <v>5773</v>
      </c>
      <c r="GA7" s="403" t="s">
        <v>14192</v>
      </c>
      <c r="GB7" s="403" t="s">
        <v>5774</v>
      </c>
      <c r="GC7" s="403" t="s">
        <v>5775</v>
      </c>
      <c r="GD7" s="403" t="s">
        <v>5776</v>
      </c>
      <c r="GE7" s="403" t="s">
        <v>5777</v>
      </c>
      <c r="GF7" s="403" t="s">
        <v>5778</v>
      </c>
      <c r="GG7" s="403" t="s">
        <v>5779</v>
      </c>
      <c r="GH7" s="403" t="s">
        <v>5780</v>
      </c>
      <c r="GI7" s="403" t="s">
        <v>5781</v>
      </c>
      <c r="GJ7" s="403" t="s">
        <v>5768</v>
      </c>
      <c r="GK7" s="403" t="s">
        <v>5782</v>
      </c>
      <c r="GL7" s="403" t="s">
        <v>5783</v>
      </c>
      <c r="GM7" s="403" t="s">
        <v>5784</v>
      </c>
      <c r="GN7" s="403" t="s">
        <v>5785</v>
      </c>
      <c r="GO7" s="403"/>
      <c r="GP7" s="403"/>
      <c r="GQ7" s="403"/>
      <c r="GR7" s="403"/>
      <c r="GS7" s="403"/>
      <c r="GT7" s="403"/>
      <c r="GU7" s="403"/>
      <c r="GV7" s="403"/>
      <c r="GW7" s="403"/>
      <c r="GX7" s="403"/>
      <c r="GY7" s="403"/>
      <c r="GZ7" s="403"/>
      <c r="HA7" s="403"/>
      <c r="HB7" s="403"/>
      <c r="HC7" s="403"/>
      <c r="HD7" s="403"/>
      <c r="HE7" s="403" t="s">
        <v>5453</v>
      </c>
      <c r="HF7" s="403"/>
      <c r="HG7" s="403"/>
      <c r="HH7" s="403"/>
      <c r="HI7" s="403"/>
      <c r="HJ7" s="403" t="s">
        <v>5786</v>
      </c>
      <c r="HK7" s="403" t="s">
        <v>14193</v>
      </c>
      <c r="HL7" s="403" t="s">
        <v>5787</v>
      </c>
      <c r="HM7" s="403" t="s">
        <v>5788</v>
      </c>
      <c r="HN7" s="403" t="s">
        <v>5789</v>
      </c>
      <c r="HO7" s="403" t="s">
        <v>5790</v>
      </c>
      <c r="HP7" s="403" t="s">
        <v>5791</v>
      </c>
      <c r="HQ7" s="403" t="s">
        <v>5792</v>
      </c>
      <c r="HR7" s="403" t="s">
        <v>5793</v>
      </c>
      <c r="HS7" s="403" t="s">
        <v>5794</v>
      </c>
      <c r="HT7" s="403" t="s">
        <v>5795</v>
      </c>
      <c r="HU7" s="403" t="s">
        <v>5796</v>
      </c>
      <c r="HV7" s="403" t="s">
        <v>5797</v>
      </c>
      <c r="HW7" s="403" t="s">
        <v>5798</v>
      </c>
      <c r="HX7" s="403" t="s">
        <v>5799</v>
      </c>
      <c r="HY7" s="403"/>
      <c r="HZ7" s="403"/>
      <c r="IA7" s="403"/>
      <c r="IB7" s="403"/>
      <c r="IC7" s="403"/>
      <c r="ID7" s="403"/>
      <c r="IE7" s="403"/>
      <c r="IF7" s="403"/>
      <c r="IG7" s="403"/>
      <c r="IH7" s="403"/>
      <c r="II7" s="403"/>
      <c r="IJ7" s="403"/>
      <c r="IK7" s="403"/>
      <c r="IL7" s="403"/>
      <c r="IM7" s="403"/>
      <c r="IN7" s="403"/>
      <c r="IO7" s="403" t="s">
        <v>5454</v>
      </c>
      <c r="IP7" s="403"/>
      <c r="IQ7" s="403"/>
      <c r="IR7" s="403"/>
      <c r="IS7" s="403"/>
      <c r="IT7" s="403" t="s">
        <v>5800</v>
      </c>
      <c r="IU7" s="403" t="s">
        <v>14194</v>
      </c>
      <c r="IV7" s="403" t="s">
        <v>5801</v>
      </c>
      <c r="IW7" s="403" t="s">
        <v>5802</v>
      </c>
      <c r="IX7" s="403" t="s">
        <v>5803</v>
      </c>
      <c r="IY7" s="403" t="s">
        <v>5804</v>
      </c>
      <c r="IZ7" s="403" t="s">
        <v>5805</v>
      </c>
      <c r="JA7" s="403" t="s">
        <v>5806</v>
      </c>
      <c r="JB7" s="403" t="s">
        <v>5807</v>
      </c>
      <c r="JC7" s="403" t="s">
        <v>5808</v>
      </c>
      <c r="JD7" s="403" t="s">
        <v>5809</v>
      </c>
      <c r="JE7" s="403" t="s">
        <v>5810</v>
      </c>
      <c r="JF7" s="403" t="s">
        <v>5811</v>
      </c>
      <c r="JG7" s="403" t="s">
        <v>5812</v>
      </c>
      <c r="JH7" s="403" t="s">
        <v>5813</v>
      </c>
      <c r="JI7" s="403"/>
      <c r="JJ7" s="403"/>
      <c r="JK7" s="403"/>
      <c r="JL7" s="403"/>
      <c r="JM7" s="403"/>
      <c r="JN7" s="403"/>
      <c r="JO7" s="403"/>
      <c r="JP7" s="403"/>
      <c r="JQ7" s="403"/>
      <c r="JR7" s="403"/>
      <c r="JS7" s="403"/>
      <c r="JT7" s="403"/>
      <c r="JU7" s="403"/>
      <c r="JV7" s="403"/>
      <c r="JW7" s="403"/>
      <c r="JX7" s="403"/>
      <c r="JY7" s="403" t="s">
        <v>5455</v>
      </c>
    </row>
    <row r="8" spans="1:16270" x14ac:dyDescent="0.2">
      <c r="A8" s="2">
        <v>1</v>
      </c>
      <c r="B8" s="299"/>
      <c r="C8" s="567" t="s">
        <v>14236</v>
      </c>
      <c r="D8" s="567" t="str">
        <f t="shared" ref="D8:S11" si="2">IF(D110="","",D110)</f>
        <v>Various</v>
      </c>
      <c r="E8" s="567">
        <f>IF(E110="","",E110)</f>
        <v>7</v>
      </c>
      <c r="F8" s="567">
        <f t="shared" ref="F8:AD11" si="3">IF(F110="","",F110)</f>
        <v>2</v>
      </c>
      <c r="G8" s="567">
        <f t="shared" si="3"/>
        <v>10</v>
      </c>
      <c r="H8" s="567" t="str">
        <f t="shared" si="3"/>
        <v/>
      </c>
      <c r="I8" s="567" t="str">
        <f t="shared" si="3"/>
        <v/>
      </c>
      <c r="J8" s="567" t="str">
        <f t="shared" si="3"/>
        <v>IM (intramuscular)</v>
      </c>
      <c r="K8" s="567" t="str">
        <f t="shared" si="3"/>
        <v>Refrigerated (2 to 8C)</v>
      </c>
      <c r="L8" s="567">
        <f t="shared" si="3"/>
        <v>3.76</v>
      </c>
      <c r="M8" s="567">
        <f t="shared" si="3"/>
        <v>2</v>
      </c>
      <c r="N8" s="567" t="str">
        <f t="shared" si="3"/>
        <v/>
      </c>
      <c r="O8" s="567" t="str">
        <f t="shared" si="3"/>
        <v/>
      </c>
      <c r="P8" s="567">
        <f t="shared" si="3"/>
        <v>10</v>
      </c>
      <c r="Q8" s="567">
        <f t="shared" si="3"/>
        <v>0</v>
      </c>
      <c r="R8" s="567">
        <f t="shared" si="3"/>
        <v>0</v>
      </c>
      <c r="S8" s="567">
        <f t="shared" si="3"/>
        <v>1.05</v>
      </c>
      <c r="T8" s="567">
        <f t="shared" si="3"/>
        <v>1.05</v>
      </c>
      <c r="U8" s="567">
        <f t="shared" si="3"/>
        <v>1.05</v>
      </c>
      <c r="V8" s="567">
        <f t="shared" si="3"/>
        <v>0</v>
      </c>
      <c r="W8" s="567">
        <f t="shared" si="3"/>
        <v>0</v>
      </c>
      <c r="X8" s="567">
        <f t="shared" si="3"/>
        <v>0</v>
      </c>
      <c r="Y8" s="567">
        <f t="shared" si="3"/>
        <v>0</v>
      </c>
      <c r="Z8" s="567">
        <f t="shared" si="3"/>
        <v>0</v>
      </c>
      <c r="AA8" s="567">
        <f t="shared" si="3"/>
        <v>0.01</v>
      </c>
      <c r="AB8" s="567">
        <f t="shared" si="3"/>
        <v>1.05</v>
      </c>
      <c r="AC8" s="567">
        <f t="shared" si="3"/>
        <v>1</v>
      </c>
      <c r="AD8" s="567">
        <f t="shared" si="3"/>
        <v>0.05</v>
      </c>
      <c r="AF8" s="715" t="str">
        <f t="shared" ref="AF8:AF27" ca="1" si="4">IF(OFFSET(BO8,0,Lang_Order*Lang__T1)="","",OFFSET(BO8,0,Lang_Order*Lang__T1))</f>
        <v>These rows are auto-updated</v>
      </c>
      <c r="AG8" s="276"/>
      <c r="AH8" s="12"/>
      <c r="BO8" s="403" t="s">
        <v>3112</v>
      </c>
      <c r="CY8" s="403" t="s">
        <v>5814</v>
      </c>
      <c r="EI8" s="403" t="s">
        <v>5815</v>
      </c>
      <c r="FS8" s="403" t="s">
        <v>5816</v>
      </c>
      <c r="HC8" s="403" t="s">
        <v>5817</v>
      </c>
      <c r="IM8" s="403" t="s">
        <v>5818</v>
      </c>
      <c r="JW8" s="403" t="s">
        <v>5819</v>
      </c>
    </row>
    <row r="9" spans="1:16270" x14ac:dyDescent="0.2">
      <c r="A9" s="2">
        <v>2</v>
      </c>
      <c r="B9" s="299"/>
      <c r="C9" s="567" t="s">
        <v>14239</v>
      </c>
      <c r="D9" s="567" t="str">
        <f t="shared" si="2"/>
        <v>Various</v>
      </c>
      <c r="E9" s="567">
        <f t="shared" si="2"/>
        <v>7</v>
      </c>
      <c r="F9" s="567">
        <f t="shared" si="2"/>
        <v>2</v>
      </c>
      <c r="G9" s="567">
        <f t="shared" si="2"/>
        <v>10</v>
      </c>
      <c r="H9" s="567" t="str">
        <f t="shared" si="2"/>
        <v/>
      </c>
      <c r="I9" s="567" t="str">
        <f t="shared" si="2"/>
        <v/>
      </c>
      <c r="J9" s="567" t="str">
        <f t="shared" si="2"/>
        <v>IM (intramuscular)</v>
      </c>
      <c r="K9" s="567" t="str">
        <f t="shared" si="2"/>
        <v>Refrigerated (2 to 8C)</v>
      </c>
      <c r="L9" s="567">
        <f t="shared" si="2"/>
        <v>2.109</v>
      </c>
      <c r="M9" s="567">
        <f t="shared" si="2"/>
        <v>2</v>
      </c>
      <c r="N9" s="567" t="str">
        <f t="shared" si="2"/>
        <v/>
      </c>
      <c r="O9" s="567" t="str">
        <f t="shared" si="2"/>
        <v/>
      </c>
      <c r="P9" s="567">
        <f t="shared" si="2"/>
        <v>10</v>
      </c>
      <c r="Q9" s="567">
        <f t="shared" si="2"/>
        <v>0</v>
      </c>
      <c r="R9" s="567">
        <f t="shared" si="2"/>
        <v>0</v>
      </c>
      <c r="S9" s="567">
        <f t="shared" si="2"/>
        <v>1.05</v>
      </c>
      <c r="T9" s="567">
        <f t="shared" si="3"/>
        <v>1.05</v>
      </c>
      <c r="U9" s="567">
        <f t="shared" si="3"/>
        <v>1.05</v>
      </c>
      <c r="V9" s="567">
        <f t="shared" si="3"/>
        <v>0</v>
      </c>
      <c r="W9" s="567">
        <f t="shared" si="3"/>
        <v>0</v>
      </c>
      <c r="X9" s="567">
        <f t="shared" si="3"/>
        <v>0</v>
      </c>
      <c r="Y9" s="567">
        <f t="shared" si="3"/>
        <v>0</v>
      </c>
      <c r="Z9" s="567">
        <f t="shared" si="3"/>
        <v>0</v>
      </c>
      <c r="AA9" s="567">
        <f t="shared" si="3"/>
        <v>0.01</v>
      </c>
      <c r="AB9" s="567">
        <f t="shared" si="3"/>
        <v>1.05</v>
      </c>
      <c r="AC9" s="567">
        <f t="shared" si="3"/>
        <v>1</v>
      </c>
      <c r="AD9" s="567">
        <f t="shared" si="3"/>
        <v>0.05</v>
      </c>
      <c r="AF9" s="715" t="str">
        <f t="shared" ca="1" si="4"/>
        <v/>
      </c>
      <c r="AG9" s="276"/>
      <c r="AH9" s="12"/>
    </row>
    <row r="10" spans="1:16270" x14ac:dyDescent="0.2">
      <c r="A10" s="2">
        <v>3</v>
      </c>
      <c r="B10" s="299"/>
      <c r="C10" s="567" t="s">
        <v>14240</v>
      </c>
      <c r="D10" s="567" t="str">
        <f t="shared" si="2"/>
        <v>Various</v>
      </c>
      <c r="E10" s="567">
        <f t="shared" si="2"/>
        <v>7</v>
      </c>
      <c r="F10" s="567">
        <f t="shared" si="2"/>
        <v>2</v>
      </c>
      <c r="G10" s="567">
        <f t="shared" si="2"/>
        <v>10</v>
      </c>
      <c r="H10" s="567" t="str">
        <f t="shared" si="2"/>
        <v/>
      </c>
      <c r="I10" s="567" t="str">
        <f t="shared" si="2"/>
        <v/>
      </c>
      <c r="J10" s="567" t="str">
        <f t="shared" si="2"/>
        <v>IM (intramuscular)</v>
      </c>
      <c r="K10" s="567" t="str">
        <f t="shared" si="2"/>
        <v>Refrigerated (2 to 8C)</v>
      </c>
      <c r="L10" s="567">
        <f t="shared" si="2"/>
        <v>3.76</v>
      </c>
      <c r="M10" s="567">
        <f t="shared" si="2"/>
        <v>2</v>
      </c>
      <c r="N10" s="567">
        <f t="shared" si="2"/>
        <v>0</v>
      </c>
      <c r="O10" s="567">
        <f t="shared" si="2"/>
        <v>0</v>
      </c>
      <c r="P10" s="567">
        <f t="shared" si="2"/>
        <v>10</v>
      </c>
      <c r="Q10" s="567">
        <f t="shared" si="2"/>
        <v>0</v>
      </c>
      <c r="R10" s="567">
        <f t="shared" si="2"/>
        <v>0</v>
      </c>
      <c r="S10" s="567">
        <f t="shared" si="2"/>
        <v>1.05</v>
      </c>
      <c r="T10" s="567">
        <f t="shared" si="3"/>
        <v>1.05</v>
      </c>
      <c r="U10" s="567">
        <f t="shared" si="3"/>
        <v>1.05</v>
      </c>
      <c r="V10" s="567">
        <f t="shared" si="3"/>
        <v>0</v>
      </c>
      <c r="W10" s="567">
        <f t="shared" si="3"/>
        <v>0</v>
      </c>
      <c r="X10" s="567">
        <f t="shared" si="3"/>
        <v>0</v>
      </c>
      <c r="Y10" s="567">
        <f t="shared" si="3"/>
        <v>0</v>
      </c>
      <c r="Z10" s="567">
        <f t="shared" si="3"/>
        <v>0</v>
      </c>
      <c r="AA10" s="567">
        <f t="shared" si="3"/>
        <v>0.01</v>
      </c>
      <c r="AB10" s="567">
        <f t="shared" si="3"/>
        <v>1.05</v>
      </c>
      <c r="AC10" s="567">
        <f t="shared" si="3"/>
        <v>1</v>
      </c>
      <c r="AD10" s="567">
        <f t="shared" si="3"/>
        <v>0.05</v>
      </c>
      <c r="AF10" s="715" t="str">
        <f t="shared" ca="1" si="4"/>
        <v/>
      </c>
      <c r="AG10" s="276"/>
      <c r="AH10" s="12"/>
    </row>
    <row r="11" spans="1:16270" x14ac:dyDescent="0.2">
      <c r="A11" s="2">
        <v>4</v>
      </c>
      <c r="B11" s="299"/>
      <c r="C11" s="567" t="s">
        <v>14241</v>
      </c>
      <c r="D11" s="567" t="str">
        <f t="shared" si="2"/>
        <v>Various</v>
      </c>
      <c r="E11" s="567">
        <f t="shared" si="2"/>
        <v>7</v>
      </c>
      <c r="F11" s="567">
        <f t="shared" si="2"/>
        <v>2</v>
      </c>
      <c r="G11" s="567">
        <f t="shared" si="2"/>
        <v>1</v>
      </c>
      <c r="H11" s="567" t="str">
        <f t="shared" si="2"/>
        <v/>
      </c>
      <c r="I11" s="567" t="str">
        <f t="shared" si="2"/>
        <v/>
      </c>
      <c r="J11" s="567" t="str">
        <f t="shared" si="2"/>
        <v>IM (intramuscular)</v>
      </c>
      <c r="K11" s="567" t="str">
        <f t="shared" si="2"/>
        <v>Refrigerated (2 to 8C)</v>
      </c>
      <c r="L11" s="567">
        <f t="shared" si="2"/>
        <v>94.9</v>
      </c>
      <c r="M11" s="567">
        <f t="shared" si="2"/>
        <v>30</v>
      </c>
      <c r="N11" s="567">
        <f t="shared" si="2"/>
        <v>0</v>
      </c>
      <c r="O11" s="567">
        <f t="shared" si="2"/>
        <v>0</v>
      </c>
      <c r="P11" s="567">
        <f t="shared" si="2"/>
        <v>10</v>
      </c>
      <c r="Q11" s="567">
        <f t="shared" si="2"/>
        <v>0</v>
      </c>
      <c r="R11" s="567">
        <f t="shared" si="2"/>
        <v>0</v>
      </c>
      <c r="S11" s="567">
        <f t="shared" si="2"/>
        <v>0</v>
      </c>
      <c r="T11" s="567">
        <f t="shared" si="3"/>
        <v>0</v>
      </c>
      <c r="U11" s="567">
        <f t="shared" si="3"/>
        <v>1.05</v>
      </c>
      <c r="V11" s="567">
        <f t="shared" si="3"/>
        <v>0</v>
      </c>
      <c r="W11" s="567">
        <f t="shared" si="3"/>
        <v>0</v>
      </c>
      <c r="X11" s="567">
        <f t="shared" si="3"/>
        <v>0</v>
      </c>
      <c r="Y11" s="567">
        <f t="shared" si="3"/>
        <v>0</v>
      </c>
      <c r="Z11" s="567">
        <f t="shared" si="3"/>
        <v>0</v>
      </c>
      <c r="AA11" s="567">
        <f t="shared" si="3"/>
        <v>0.01</v>
      </c>
      <c r="AB11" s="567">
        <f t="shared" si="3"/>
        <v>1.05</v>
      </c>
      <c r="AC11" s="567">
        <f t="shared" si="3"/>
        <v>1</v>
      </c>
      <c r="AD11" s="567">
        <f t="shared" si="3"/>
        <v>0.05</v>
      </c>
      <c r="AE11" s="241"/>
      <c r="AF11" s="715" t="str">
        <f t="shared" ca="1" si="4"/>
        <v/>
      </c>
      <c r="AG11" s="276"/>
      <c r="AH11" s="12"/>
    </row>
    <row r="12" spans="1:16270" x14ac:dyDescent="0.2">
      <c r="A12" s="2">
        <v>5</v>
      </c>
      <c r="B12" s="299"/>
      <c r="C12" s="299" t="str">
        <f>IF('T1i. Vaccines'!A7="","",'T1i. Vaccines'!A7)</f>
        <v>Tozinameran (Comirnaty)</v>
      </c>
      <c r="D12" s="299" t="str">
        <f>IF('T1i. Vaccines'!B7="","",'T1i. Vaccines'!B7)</f>
        <v>Pfizer Europe MA EEIG</v>
      </c>
      <c r="E12" s="299" t="str">
        <f>IF('T1i. Vaccines'!C7="","",'T1i. Vaccines'!C7)</f>
        <v>7</v>
      </c>
      <c r="F12" s="299" t="str">
        <f>IF('T1i. Vaccines'!D7="","",'T1i. Vaccines'!D7)</f>
        <v>2</v>
      </c>
      <c r="G12" s="299" t="str">
        <f>IF('T1i. Vaccines'!E7="","",'T1i. Vaccines'!E7)</f>
        <v>6</v>
      </c>
      <c r="H12" s="299" t="str">
        <f>IF('T1i. Vaccines'!F7="","",'T1i. Vaccines'!F7)</f>
        <v>3</v>
      </c>
      <c r="I12" s="299" t="str">
        <f>IF('T1i. Vaccines'!G7="","",'T1i. Vaccines'!G7)</f>
        <v/>
      </c>
      <c r="J12" s="299" t="str">
        <f>IF('T1i. Vaccines'!H7="","",'T1i. Vaccines'!H7)</f>
        <v>IM (intramuscular)</v>
      </c>
      <c r="K12" s="299" t="str">
        <f>IF('T1i. Vaccines'!I7="","",'T1i. Vaccines'!I7)</f>
        <v>Ultra-cold (-60 to -80C)</v>
      </c>
      <c r="L12" s="299" t="str">
        <f>IF('T1i. Vaccines'!J7="","",'T1i. Vaccines'!J7)</f>
        <v>1.8</v>
      </c>
      <c r="M12" s="299" t="str">
        <f>IF('T1i. Vaccines'!K7="","",'T1i. Vaccines'!K7)</f>
        <v>2</v>
      </c>
      <c r="N12" s="299" t="str">
        <f>IF('T1i. Vaccines'!L7="","",'T1i. Vaccines'!L7)</f>
        <v/>
      </c>
      <c r="O12" s="299" t="str">
        <f>IF('T1i. Vaccines'!M7="","",'T1i. Vaccines'!M7)</f>
        <v/>
      </c>
      <c r="P12" s="299" t="str">
        <f>IF('T1i. Vaccines'!N7="","",'T1i. Vaccines'!N7)</f>
        <v>10</v>
      </c>
      <c r="Q12" s="299" t="str">
        <f>IF('T1i. Vaccines'!O7="","",'T1i. Vaccines'!O7)</f>
        <v>0</v>
      </c>
      <c r="R12" s="299" t="str">
        <f>IF('T1i. Vaccines'!P7="","",'T1i. Vaccines'!P7)</f>
        <v>1.05</v>
      </c>
      <c r="S12" s="299" t="str">
        <f>IF('T1i. Vaccines'!Q7="","",'T1i. Vaccines'!Q7)</f>
        <v>0</v>
      </c>
      <c r="T12" s="299" t="str">
        <f>IF('T1i. Vaccines'!R7="","",'T1i. Vaccines'!R7)</f>
        <v>1.05</v>
      </c>
      <c r="U12" s="299" t="str">
        <f>IF('T1i. Vaccines'!S7="","",'T1i. Vaccines'!S7)</f>
        <v>1.05</v>
      </c>
      <c r="V12" s="299" t="str">
        <f>IF('T1i. Vaccines'!T7="","",'T1i. Vaccines'!T7)</f>
        <v>0.175</v>
      </c>
      <c r="W12" s="299" t="str">
        <f>IF('T1i. Vaccines'!U7="","",'T1i. Vaccines'!U7)</f>
        <v>0.315</v>
      </c>
      <c r="X12" s="299" t="str">
        <f>IF('T1i. Vaccines'!V7="","",'T1i. Vaccines'!V7)</f>
        <v>0.175</v>
      </c>
      <c r="Y12" s="299" t="str">
        <f>IF('T1i. Vaccines'!W7="","",'T1i. Vaccines'!W7)</f>
        <v>0</v>
      </c>
      <c r="Z12" s="299" t="str">
        <f>IF('T1i. Vaccines'!X7="","",'T1i. Vaccines'!X7)</f>
        <v>0</v>
      </c>
      <c r="AA12" s="299" t="str">
        <f>IF('T1i. Vaccines'!Y7="","",'T1i. Vaccines'!Y7)</f>
        <v>0.01</v>
      </c>
      <c r="AB12" s="299" t="str">
        <f>IF('T1i. Vaccines'!Z7="","",'T1i. Vaccines'!Z7)</f>
        <v>1.05</v>
      </c>
      <c r="AC12" s="299" t="str">
        <f>IF('T1i. Vaccines'!AA7="","",'T1i. Vaccines'!AA7)</f>
        <v>1</v>
      </c>
      <c r="AD12" s="299" t="str">
        <f>IF('T1i. Vaccines'!AB7="","",'T1i. Vaccines'!AB7)</f>
        <v>0.05</v>
      </c>
      <c r="AE12" s="620">
        <v>0</v>
      </c>
      <c r="AF12" s="715" t="str">
        <f t="shared" ca="1" si="4"/>
        <v/>
      </c>
      <c r="AG12" s="276"/>
      <c r="AH12" s="12"/>
    </row>
    <row r="13" spans="1:16270" x14ac:dyDescent="0.2">
      <c r="A13" s="2">
        <v>6</v>
      </c>
      <c r="B13" s="299"/>
      <c r="C13" s="299" t="str">
        <f>IF('T1i. Vaccines'!A8="","",'T1i. Vaccines'!A8)</f>
        <v>mRNA-1273 (Moderna)</v>
      </c>
      <c r="D13" s="299" t="str">
        <f>IF('T1i. Vaccines'!B8="","",'T1i. Vaccines'!B8)</f>
        <v>Moderna Biotech</v>
      </c>
      <c r="E13" s="299" t="str">
        <f>IF('T1i. Vaccines'!C8="","",'T1i. Vaccines'!C8)</f>
        <v>7</v>
      </c>
      <c r="F13" s="299" t="str">
        <f>IF('T1i. Vaccines'!D8="","",'T1i. Vaccines'!D8)</f>
        <v>2</v>
      </c>
      <c r="G13" s="299" t="str">
        <f>IF('T1i. Vaccines'!E8="","",'T1i. Vaccines'!E8)</f>
        <v>10</v>
      </c>
      <c r="H13" s="299" t="str">
        <f>IF('T1i. Vaccines'!F8="","",'T1i. Vaccines'!F8)</f>
        <v>4</v>
      </c>
      <c r="I13" s="299" t="str">
        <f>IF('T1i. Vaccines'!G8="","",'T1i. Vaccines'!G8)</f>
        <v/>
      </c>
      <c r="J13" s="299" t="str">
        <f>IF('T1i. Vaccines'!H8="","",'T1i. Vaccines'!H8)</f>
        <v>IM (intramuscular)</v>
      </c>
      <c r="K13" s="299" t="str">
        <f>IF('T1i. Vaccines'!I8="","",'T1i. Vaccines'!I8)</f>
        <v>Frozen (-20C)</v>
      </c>
      <c r="L13" s="299" t="str">
        <f>IF('T1i. Vaccines'!J8="","",'T1i. Vaccines'!J8)</f>
        <v>4.3</v>
      </c>
      <c r="M13" s="299" t="str">
        <f>IF('T1i. Vaccines'!K8="","",'T1i. Vaccines'!K8)</f>
        <v>2</v>
      </c>
      <c r="N13" s="299" t="str">
        <f>IF('T1i. Vaccines'!L8="","",'T1i. Vaccines'!L8)</f>
        <v/>
      </c>
      <c r="O13" s="299" t="str">
        <f>IF('T1i. Vaccines'!M8="","",'T1i. Vaccines'!M8)</f>
        <v/>
      </c>
      <c r="P13" s="299" t="str">
        <f>IF('T1i. Vaccines'!N8="","",'T1i. Vaccines'!N8)</f>
        <v>10</v>
      </c>
      <c r="Q13" s="299" t="str">
        <f>IF('T1i. Vaccines'!O8="","",'T1i. Vaccines'!O8)</f>
        <v>0</v>
      </c>
      <c r="R13" s="299" t="str">
        <f>IF('T1i. Vaccines'!P8="","",'T1i. Vaccines'!P8)</f>
        <v>0</v>
      </c>
      <c r="S13" s="299" t="str">
        <f>IF('T1i. Vaccines'!Q8="","",'T1i. Vaccines'!Q8)</f>
        <v>1.05</v>
      </c>
      <c r="T13" s="299" t="str">
        <f>IF('T1i. Vaccines'!R8="","",'T1i. Vaccines'!R8)</f>
        <v>1.05</v>
      </c>
      <c r="U13" s="299" t="str">
        <f>IF('T1i. Vaccines'!S8="","",'T1i. Vaccines'!S8)</f>
        <v>1.05</v>
      </c>
      <c r="V13" s="299" t="str">
        <f>IF('T1i. Vaccines'!T8="","",'T1i. Vaccines'!T8)</f>
        <v>0</v>
      </c>
      <c r="W13" s="299" t="str">
        <f>IF('T1i. Vaccines'!U8="","",'T1i. Vaccines'!U8)</f>
        <v>0</v>
      </c>
      <c r="X13" s="299" t="str">
        <f>IF('T1i. Vaccines'!V8="","",'T1i. Vaccines'!V8)</f>
        <v>0</v>
      </c>
      <c r="Y13" s="299" t="str">
        <f>IF('T1i. Vaccines'!W8="","",'T1i. Vaccines'!W8)</f>
        <v>0</v>
      </c>
      <c r="Z13" s="299" t="str">
        <f>IF('T1i. Vaccines'!X8="","",'T1i. Vaccines'!X8)</f>
        <v>0</v>
      </c>
      <c r="AA13" s="299" t="str">
        <f>IF('T1i. Vaccines'!Y8="","",'T1i. Vaccines'!Y8)</f>
        <v>0.01</v>
      </c>
      <c r="AB13" s="299" t="str">
        <f>IF('T1i. Vaccines'!Z8="","",'T1i. Vaccines'!Z8)</f>
        <v>1.05</v>
      </c>
      <c r="AC13" s="299" t="str">
        <f>IF('T1i. Vaccines'!AA8="","",'T1i. Vaccines'!AA8)</f>
        <v>1</v>
      </c>
      <c r="AD13" s="299" t="str">
        <f>IF('T1i. Vaccines'!AB8="","",'T1i. Vaccines'!AB8)</f>
        <v>0.05</v>
      </c>
      <c r="AE13" s="620">
        <f>SUM(AE12,AND(OR(F13=2,F13="2"),K13="Refrigerated (2 to 8C)"))</f>
        <v>0</v>
      </c>
      <c r="AF13" s="715" t="str">
        <f t="shared" ca="1" si="4"/>
        <v/>
      </c>
      <c r="AG13" s="276"/>
      <c r="AH13" s="12"/>
    </row>
    <row r="14" spans="1:16270" x14ac:dyDescent="0.2">
      <c r="A14" s="2">
        <v>7</v>
      </c>
      <c r="B14" s="299"/>
      <c r="C14" s="299" t="str">
        <f>IF('T1i. Vaccines'!A9="","",'T1i. Vaccines'!A9)</f>
        <v>Ad26.COV2-S</v>
      </c>
      <c r="D14" s="299" t="str">
        <f>IF('T1i. Vaccines'!B9="","",'T1i. Vaccines'!B9)</f>
        <v>Janssen-Cilag International</v>
      </c>
      <c r="E14" s="299" t="str">
        <f>IF('T1i. Vaccines'!C9="","",'T1i. Vaccines'!C9)</f>
        <v>14</v>
      </c>
      <c r="F14" s="299" t="str">
        <f>IF('T1i. Vaccines'!D9="","",'T1i. Vaccines'!D9)</f>
        <v>1</v>
      </c>
      <c r="G14" s="299" t="str">
        <f>IF('T1i. Vaccines'!E9="","",'T1i. Vaccines'!E9)</f>
        <v>5</v>
      </c>
      <c r="H14" s="299" t="str">
        <f>IF('T1i. Vaccines'!F9="","",'T1i. Vaccines'!F9)</f>
        <v/>
      </c>
      <c r="I14" s="299" t="str">
        <f>IF('T1i. Vaccines'!G9="","",'T1i. Vaccines'!G9)</f>
        <v/>
      </c>
      <c r="J14" s="299" t="str">
        <f>IF('T1i. Vaccines'!H9="","",'T1i. Vaccines'!H9)</f>
        <v>IM (intramuscular)</v>
      </c>
      <c r="K14" s="299" t="str">
        <f>IF('T1i. Vaccines'!I9="","",'T1i. Vaccines'!I9)</f>
        <v>Refrigerated (2 to 8C)</v>
      </c>
      <c r="L14" s="299" t="str">
        <f>IF('T1i. Vaccines'!J9="","",'T1i. Vaccines'!J9)</f>
        <v>3.82</v>
      </c>
      <c r="M14" s="299" t="str">
        <f>IF('T1i. Vaccines'!K9="","",'T1i. Vaccines'!K9)</f>
        <v>2</v>
      </c>
      <c r="N14" s="299" t="str">
        <f>IF('T1i. Vaccines'!L9="","",'T1i. Vaccines'!L9)</f>
        <v/>
      </c>
      <c r="O14" s="299" t="str">
        <f>IF('T1i. Vaccines'!M9="","",'T1i. Vaccines'!M9)</f>
        <v/>
      </c>
      <c r="P14" s="299" t="str">
        <f>IF('T1i. Vaccines'!N9="","",'T1i. Vaccines'!N9)</f>
        <v>10</v>
      </c>
      <c r="Q14" s="299" t="str">
        <f>IF('T1i. Vaccines'!O9="","",'T1i. Vaccines'!O9)</f>
        <v>0</v>
      </c>
      <c r="R14" s="299" t="str">
        <f>IF('T1i. Vaccines'!P9="","",'T1i. Vaccines'!P9)</f>
        <v>0</v>
      </c>
      <c r="S14" s="299" t="str">
        <f>IF('T1i. Vaccines'!Q9="","",'T1i. Vaccines'!Q9)</f>
        <v>1.05</v>
      </c>
      <c r="T14" s="299" t="str">
        <f>IF('T1i. Vaccines'!R9="","",'T1i. Vaccines'!R9)</f>
        <v>1.05</v>
      </c>
      <c r="U14" s="299" t="str">
        <f>IF('T1i. Vaccines'!S9="","",'T1i. Vaccines'!S9)</f>
        <v>1.05</v>
      </c>
      <c r="V14" s="299" t="str">
        <f>IF('T1i. Vaccines'!T9="","",'T1i. Vaccines'!T9)</f>
        <v>0</v>
      </c>
      <c r="W14" s="299" t="str">
        <f>IF('T1i. Vaccines'!U9="","",'T1i. Vaccines'!U9)</f>
        <v>0</v>
      </c>
      <c r="X14" s="299" t="str">
        <f>IF('T1i. Vaccines'!V9="","",'T1i. Vaccines'!V9)</f>
        <v>0</v>
      </c>
      <c r="Y14" s="299" t="str">
        <f>IF('T1i. Vaccines'!W9="","",'T1i. Vaccines'!W9)</f>
        <v>0</v>
      </c>
      <c r="Z14" s="299" t="str">
        <f>IF('T1i. Vaccines'!X9="","",'T1i. Vaccines'!X9)</f>
        <v>0</v>
      </c>
      <c r="AA14" s="299" t="str">
        <f>IF('T1i. Vaccines'!Y9="","",'T1i. Vaccines'!Y9)</f>
        <v>0.01</v>
      </c>
      <c r="AB14" s="299" t="str">
        <f>IF('T1i. Vaccines'!Z9="","",'T1i. Vaccines'!Z9)</f>
        <v>1.05</v>
      </c>
      <c r="AC14" s="299" t="str">
        <f>IF('T1i. Vaccines'!AA9="","",'T1i. Vaccines'!AA9)</f>
        <v>1</v>
      </c>
      <c r="AD14" s="299" t="str">
        <f>IF('T1i. Vaccines'!AB9="","",'T1i. Vaccines'!AB9)</f>
        <v>0.05</v>
      </c>
      <c r="AE14" s="620">
        <f t="shared" ref="AE14:AE37" si="5">SUM(AE13,AND(OR(F14=2,F14="2"),K14="Refrigerated (2 to 8C)"))</f>
        <v>0</v>
      </c>
      <c r="AF14" s="715" t="str">
        <f t="shared" ca="1" si="4"/>
        <v/>
      </c>
      <c r="AG14" s="276"/>
      <c r="AH14" s="12"/>
    </row>
    <row r="15" spans="1:16270" x14ac:dyDescent="0.2">
      <c r="A15" s="2">
        <v>8</v>
      </c>
      <c r="B15" s="299"/>
      <c r="C15" s="299" t="str">
        <f>IF('T1i. Vaccines'!A10="","",'T1i. Vaccines'!A10)</f>
        <v>ChAdOx1-S (SK Bioscience)</v>
      </c>
      <c r="D15" s="299" t="str">
        <f>IF('T1i. Vaccines'!B10="","",'T1i. Vaccines'!B10)</f>
        <v>SK Bioscience</v>
      </c>
      <c r="E15" s="299" t="str">
        <f>IF('T1i. Vaccines'!C10="","",'T1i. Vaccines'!C10)</f>
        <v>7</v>
      </c>
      <c r="F15" s="299" t="str">
        <f>IF('T1i. Vaccines'!D10="","",'T1i. Vaccines'!D10)</f>
        <v>2</v>
      </c>
      <c r="G15" s="299" t="str">
        <f>IF('T1i. Vaccines'!E10="","",'T1i. Vaccines'!E10)</f>
        <v>10</v>
      </c>
      <c r="H15" s="299" t="str">
        <f>IF('T1i. Vaccines'!F10="","",'T1i. Vaccines'!F10)</f>
        <v>8</v>
      </c>
      <c r="I15" s="299" t="str">
        <f>IF('T1i. Vaccines'!G10="","",'T1i. Vaccines'!G10)</f>
        <v/>
      </c>
      <c r="J15" s="299" t="str">
        <f>IF('T1i. Vaccines'!H10="","",'T1i. Vaccines'!H10)</f>
        <v>IM (intramuscular)</v>
      </c>
      <c r="K15" s="299" t="str">
        <f>IF('T1i. Vaccines'!I10="","",'T1i. Vaccines'!I10)</f>
        <v>Refrigerated (2 to 8C)</v>
      </c>
      <c r="L15" s="299" t="str">
        <f>IF('T1i. Vaccines'!J10="","",'T1i. Vaccines'!J10)</f>
        <v>3.76</v>
      </c>
      <c r="M15" s="299" t="str">
        <f>IF('T1i. Vaccines'!K10="","",'T1i. Vaccines'!K10)</f>
        <v>2</v>
      </c>
      <c r="N15" s="299" t="str">
        <f>IF('T1i. Vaccines'!L10="","",'T1i. Vaccines'!L10)</f>
        <v/>
      </c>
      <c r="O15" s="299" t="str">
        <f>IF('T1i. Vaccines'!M10="","",'T1i. Vaccines'!M10)</f>
        <v/>
      </c>
      <c r="P15" s="299" t="str">
        <f>IF('T1i. Vaccines'!N10="","",'T1i. Vaccines'!N10)</f>
        <v>10</v>
      </c>
      <c r="Q15" s="299" t="str">
        <f>IF('T1i. Vaccines'!O10="","",'T1i. Vaccines'!O10)</f>
        <v>0</v>
      </c>
      <c r="R15" s="299" t="str">
        <f>IF('T1i. Vaccines'!P10="","",'T1i. Vaccines'!P10)</f>
        <v>0</v>
      </c>
      <c r="S15" s="299" t="str">
        <f>IF('T1i. Vaccines'!Q10="","",'T1i. Vaccines'!Q10)</f>
        <v>1.05</v>
      </c>
      <c r="T15" s="299" t="str">
        <f>IF('T1i. Vaccines'!R10="","",'T1i. Vaccines'!R10)</f>
        <v>1.05</v>
      </c>
      <c r="U15" s="299" t="str">
        <f>IF('T1i. Vaccines'!S10="","",'T1i. Vaccines'!S10)</f>
        <v>1.05</v>
      </c>
      <c r="V15" s="299" t="str">
        <f>IF('T1i. Vaccines'!T10="","",'T1i. Vaccines'!T10)</f>
        <v>0</v>
      </c>
      <c r="W15" s="299" t="str">
        <f>IF('T1i. Vaccines'!U10="","",'T1i. Vaccines'!U10)</f>
        <v>0</v>
      </c>
      <c r="X15" s="299" t="str">
        <f>IF('T1i. Vaccines'!V10="","",'T1i. Vaccines'!V10)</f>
        <v>0</v>
      </c>
      <c r="Y15" s="299" t="str">
        <f>IF('T1i. Vaccines'!W10="","",'T1i. Vaccines'!W10)</f>
        <v>0</v>
      </c>
      <c r="Z15" s="299" t="str">
        <f>IF('T1i. Vaccines'!X10="","",'T1i. Vaccines'!X10)</f>
        <v>0</v>
      </c>
      <c r="AA15" s="299" t="str">
        <f>IF('T1i. Vaccines'!Y10="","",'T1i. Vaccines'!Y10)</f>
        <v>0.01</v>
      </c>
      <c r="AB15" s="299" t="str">
        <f>IF('T1i. Vaccines'!Z10="","",'T1i. Vaccines'!Z10)</f>
        <v>1.05</v>
      </c>
      <c r="AC15" s="299" t="str">
        <f>IF('T1i. Vaccines'!AA10="","",'T1i. Vaccines'!AA10)</f>
        <v>1</v>
      </c>
      <c r="AD15" s="299" t="str">
        <f>IF('T1i. Vaccines'!AB10="","",'T1i. Vaccines'!AB10)</f>
        <v>0.05</v>
      </c>
      <c r="AE15" s="620">
        <f t="shared" si="5"/>
        <v>1</v>
      </c>
      <c r="AF15" s="715" t="str">
        <f t="shared" ca="1" si="4"/>
        <v/>
      </c>
      <c r="AG15" s="276"/>
      <c r="AH15" s="12"/>
    </row>
    <row r="16" spans="1:16270" x14ac:dyDescent="0.2">
      <c r="A16" s="2">
        <v>9</v>
      </c>
      <c r="B16" s="299"/>
      <c r="C16" s="299" t="str">
        <f>IF('T1i. Vaccines'!A11="","",'T1i. Vaccines'!A11)</f>
        <v>ChAdOx1-S (Covishield)</v>
      </c>
      <c r="D16" s="299" t="str">
        <f>IF('T1i. Vaccines'!B11="","",'T1i. Vaccines'!B11)</f>
        <v>Serum Institute of India</v>
      </c>
      <c r="E16" s="299" t="str">
        <f>IF('T1i. Vaccines'!C11="","",'T1i. Vaccines'!C11)</f>
        <v>7</v>
      </c>
      <c r="F16" s="299" t="str">
        <f>IF('T1i. Vaccines'!D11="","",'T1i. Vaccines'!D11)</f>
        <v>2</v>
      </c>
      <c r="G16" s="299" t="str">
        <f>IF('T1i. Vaccines'!E11="","",'T1i. Vaccines'!E11)</f>
        <v>10</v>
      </c>
      <c r="H16" s="299" t="str">
        <f>IF('T1i. Vaccines'!F11="","",'T1i. Vaccines'!F11)</f>
        <v>8</v>
      </c>
      <c r="I16" s="299" t="str">
        <f>IF('T1i. Vaccines'!G11="","",'T1i. Vaccines'!G11)</f>
        <v/>
      </c>
      <c r="J16" s="299" t="str">
        <f>IF('T1i. Vaccines'!H11="","",'T1i. Vaccines'!H11)</f>
        <v>IM (intramuscular)</v>
      </c>
      <c r="K16" s="299" t="str">
        <f>IF('T1i. Vaccines'!I11="","",'T1i. Vaccines'!I11)</f>
        <v>Refrigerated (2 to 8C)</v>
      </c>
      <c r="L16" s="299" t="str">
        <f>IF('T1i. Vaccines'!J11="","",'T1i. Vaccines'!J11)</f>
        <v>2.109</v>
      </c>
      <c r="M16" s="299" t="str">
        <f>IF('T1i. Vaccines'!K11="","",'T1i. Vaccines'!K11)</f>
        <v>2</v>
      </c>
      <c r="N16" s="299" t="str">
        <f>IF('T1i. Vaccines'!L11="","",'T1i. Vaccines'!L11)</f>
        <v/>
      </c>
      <c r="O16" s="299" t="str">
        <f>IF('T1i. Vaccines'!M11="","",'T1i. Vaccines'!M11)</f>
        <v/>
      </c>
      <c r="P16" s="299" t="str">
        <f>IF('T1i. Vaccines'!N11="","",'T1i. Vaccines'!N11)</f>
        <v>10</v>
      </c>
      <c r="Q16" s="299" t="str">
        <f>IF('T1i. Vaccines'!O11="","",'T1i. Vaccines'!O11)</f>
        <v>0</v>
      </c>
      <c r="R16" s="299" t="str">
        <f>IF('T1i. Vaccines'!P11="","",'T1i. Vaccines'!P11)</f>
        <v>0</v>
      </c>
      <c r="S16" s="299" t="str">
        <f>IF('T1i. Vaccines'!Q11="","",'T1i. Vaccines'!Q11)</f>
        <v>1.05</v>
      </c>
      <c r="T16" s="299" t="str">
        <f>IF('T1i. Vaccines'!R11="","",'T1i. Vaccines'!R11)</f>
        <v>1.05</v>
      </c>
      <c r="U16" s="299" t="str">
        <f>IF('T1i. Vaccines'!S11="","",'T1i. Vaccines'!S11)</f>
        <v>1.05</v>
      </c>
      <c r="V16" s="299" t="str">
        <f>IF('T1i. Vaccines'!T11="","",'T1i. Vaccines'!T11)</f>
        <v>0</v>
      </c>
      <c r="W16" s="299" t="str">
        <f>IF('T1i. Vaccines'!U11="","",'T1i. Vaccines'!U11)</f>
        <v>0</v>
      </c>
      <c r="X16" s="299" t="str">
        <f>IF('T1i. Vaccines'!V11="","",'T1i. Vaccines'!V11)</f>
        <v>0</v>
      </c>
      <c r="Y16" s="299" t="str">
        <f>IF('T1i. Vaccines'!W11="","",'T1i. Vaccines'!W11)</f>
        <v>0</v>
      </c>
      <c r="Z16" s="299" t="str">
        <f>IF('T1i. Vaccines'!X11="","",'T1i. Vaccines'!X11)</f>
        <v>0</v>
      </c>
      <c r="AA16" s="299" t="str">
        <f>IF('T1i. Vaccines'!Y11="","",'T1i. Vaccines'!Y11)</f>
        <v>0.01</v>
      </c>
      <c r="AB16" s="299" t="str">
        <f>IF('T1i. Vaccines'!Z11="","",'T1i. Vaccines'!Z11)</f>
        <v>1.05</v>
      </c>
      <c r="AC16" s="299" t="str">
        <f>IF('T1i. Vaccines'!AA11="","",'T1i. Vaccines'!AA11)</f>
        <v>1</v>
      </c>
      <c r="AD16" s="299" t="str">
        <f>IF('T1i. Vaccines'!AB11="","",'T1i. Vaccines'!AB11)</f>
        <v>0.05</v>
      </c>
      <c r="AE16" s="620">
        <f t="shared" si="5"/>
        <v>2</v>
      </c>
      <c r="AF16" s="715" t="str">
        <f t="shared" ca="1" si="4"/>
        <v/>
      </c>
      <c r="AG16" s="276"/>
      <c r="AH16" s="12"/>
    </row>
    <row r="17" spans="1:285" x14ac:dyDescent="0.2">
      <c r="A17" s="2">
        <v>10</v>
      </c>
      <c r="B17" s="299"/>
      <c r="C17" s="299" t="str">
        <f>IF('T1i. Vaccines'!A12="","",'T1i. Vaccines'!A12)</f>
        <v>ChAdOx1-S (AstraZeneca AB)</v>
      </c>
      <c r="D17" s="299" t="str">
        <f>IF('T1i. Vaccines'!B12="","",'T1i. Vaccines'!B12)</f>
        <v>AstraZeneca AB</v>
      </c>
      <c r="E17" s="299" t="str">
        <f>IF('T1i. Vaccines'!C12="","",'T1i. Vaccines'!C12)</f>
        <v>7</v>
      </c>
      <c r="F17" s="299" t="str">
        <f>IF('T1i. Vaccines'!D12="","",'T1i. Vaccines'!D12)</f>
        <v>2</v>
      </c>
      <c r="G17" s="299" t="str">
        <f>IF('T1i. Vaccines'!E12="","",'T1i. Vaccines'!E12)</f>
        <v>10</v>
      </c>
      <c r="H17" s="299" t="str">
        <f>IF('T1i. Vaccines'!F12="","",'T1i. Vaccines'!F12)</f>
        <v>8</v>
      </c>
      <c r="I17" s="299" t="str">
        <f>IF('T1i. Vaccines'!G12="","",'T1i. Vaccines'!G12)</f>
        <v/>
      </c>
      <c r="J17" s="299" t="str">
        <f>IF('T1i. Vaccines'!H12="","",'T1i. Vaccines'!H12)</f>
        <v>IM (intramuscular)</v>
      </c>
      <c r="K17" s="299" t="str">
        <f>IF('T1i. Vaccines'!I12="","",'T1i. Vaccines'!I12)</f>
        <v>Refrigerated (2 to 8C)</v>
      </c>
      <c r="L17" s="299" t="str">
        <f>IF('T1i. Vaccines'!J12="","",'T1i. Vaccines'!J12)</f>
        <v>3.76</v>
      </c>
      <c r="M17" s="299" t="str">
        <f>IF('T1i. Vaccines'!K12="","",'T1i. Vaccines'!K12)</f>
        <v>2</v>
      </c>
      <c r="N17" s="299" t="str">
        <f>IF('T1i. Vaccines'!L12="","",'T1i. Vaccines'!L12)</f>
        <v/>
      </c>
      <c r="O17" s="299" t="str">
        <f>IF('T1i. Vaccines'!M12="","",'T1i. Vaccines'!M12)</f>
        <v/>
      </c>
      <c r="P17" s="299" t="str">
        <f>IF('T1i. Vaccines'!N12="","",'T1i. Vaccines'!N12)</f>
        <v>10</v>
      </c>
      <c r="Q17" s="299" t="str">
        <f>IF('T1i. Vaccines'!O12="","",'T1i. Vaccines'!O12)</f>
        <v>0</v>
      </c>
      <c r="R17" s="299" t="str">
        <f>IF('T1i. Vaccines'!P12="","",'T1i. Vaccines'!P12)</f>
        <v>0</v>
      </c>
      <c r="S17" s="299" t="str">
        <f>IF('T1i. Vaccines'!Q12="","",'T1i. Vaccines'!Q12)</f>
        <v>1.05</v>
      </c>
      <c r="T17" s="299" t="str">
        <f>IF('T1i. Vaccines'!R12="","",'T1i. Vaccines'!R12)</f>
        <v>1.05</v>
      </c>
      <c r="U17" s="299" t="str">
        <f>IF('T1i. Vaccines'!S12="","",'T1i. Vaccines'!S12)</f>
        <v>1.05</v>
      </c>
      <c r="V17" s="299" t="str">
        <f>IF('T1i. Vaccines'!T12="","",'T1i. Vaccines'!T12)</f>
        <v>0</v>
      </c>
      <c r="W17" s="299" t="str">
        <f>IF('T1i. Vaccines'!U12="","",'T1i. Vaccines'!U12)</f>
        <v>0</v>
      </c>
      <c r="X17" s="299" t="str">
        <f>IF('T1i. Vaccines'!V12="","",'T1i. Vaccines'!V12)</f>
        <v>0</v>
      </c>
      <c r="Y17" s="299" t="str">
        <f>IF('T1i. Vaccines'!W12="","",'T1i. Vaccines'!W12)</f>
        <v>0</v>
      </c>
      <c r="Z17" s="299" t="str">
        <f>IF('T1i. Vaccines'!X12="","",'T1i. Vaccines'!X12)</f>
        <v>0</v>
      </c>
      <c r="AA17" s="299" t="str">
        <f>IF('T1i. Vaccines'!Y12="","",'T1i. Vaccines'!Y12)</f>
        <v>0.01</v>
      </c>
      <c r="AB17" s="299" t="str">
        <f>IF('T1i. Vaccines'!Z12="","",'T1i. Vaccines'!Z12)</f>
        <v>1.05</v>
      </c>
      <c r="AC17" s="299" t="str">
        <f>IF('T1i. Vaccines'!AA12="","",'T1i. Vaccines'!AA12)</f>
        <v>1</v>
      </c>
      <c r="AD17" s="299" t="str">
        <f>IF('T1i. Vaccines'!AB12="","",'T1i. Vaccines'!AB12)</f>
        <v>0.05</v>
      </c>
      <c r="AE17" s="620">
        <f t="shared" si="5"/>
        <v>3</v>
      </c>
      <c r="AF17" s="715" t="str">
        <f t="shared" ca="1" si="4"/>
        <v/>
      </c>
      <c r="AG17" s="276"/>
      <c r="AH17" s="12"/>
    </row>
    <row r="18" spans="1:285" x14ac:dyDescent="0.2">
      <c r="A18" s="2">
        <v>11</v>
      </c>
      <c r="B18" s="299"/>
      <c r="C18" s="299" t="str">
        <f>IF('T1i. Vaccines'!A13="","",'T1i. Vaccines'!A13)</f>
        <v>VeroCell (Pre-filled syringe)</v>
      </c>
      <c r="D18" s="299" t="str">
        <f>IF('T1i. Vaccines'!B13="","",'T1i. Vaccines'!B13)</f>
        <v>Beijing Institute of Biological Products</v>
      </c>
      <c r="E18" s="299" t="str">
        <f>IF('T1i. Vaccines'!C13="","",'T1i. Vaccines'!C13)</f>
        <v>7</v>
      </c>
      <c r="F18" s="299" t="str">
        <f>IF('T1i. Vaccines'!D13="","",'T1i. Vaccines'!D13)</f>
        <v>2</v>
      </c>
      <c r="G18" s="299" t="str">
        <f>IF('T1i. Vaccines'!E13="","",'T1i. Vaccines'!E13)</f>
        <v>1</v>
      </c>
      <c r="H18" s="299" t="str">
        <f>IF('T1i. Vaccines'!F13="","",'T1i. Vaccines'!F13)</f>
        <v>3</v>
      </c>
      <c r="I18" s="299" t="str">
        <f>IF('T1i. Vaccines'!G13="","",'T1i. Vaccines'!G13)</f>
        <v/>
      </c>
      <c r="J18" s="299" t="str">
        <f>IF('T1i. Vaccines'!H13="","",'T1i. Vaccines'!H13)</f>
        <v>IM (intramuscular)</v>
      </c>
      <c r="K18" s="299" t="str">
        <f>IF('T1i. Vaccines'!I13="","",'T1i. Vaccines'!I13)</f>
        <v>Refrigerated (2 to 8C)</v>
      </c>
      <c r="L18" s="299" t="str">
        <f>IF('T1i. Vaccines'!J13="","",'T1i. Vaccines'!J13)</f>
        <v>94.9</v>
      </c>
      <c r="M18" s="299" t="str">
        <f>IF('T1i. Vaccines'!K13="","",'T1i. Vaccines'!K13)</f>
        <v>30</v>
      </c>
      <c r="N18" s="299" t="str">
        <f>IF('T1i. Vaccines'!L13="","",'T1i. Vaccines'!L13)</f>
        <v/>
      </c>
      <c r="O18" s="299" t="str">
        <f>IF('T1i. Vaccines'!M13="","",'T1i. Vaccines'!M13)</f>
        <v/>
      </c>
      <c r="P18" s="299" t="str">
        <f>IF('T1i. Vaccines'!N13="","",'T1i. Vaccines'!N13)</f>
        <v>10</v>
      </c>
      <c r="Q18" s="299" t="str">
        <f>IF('T1i. Vaccines'!O13="","",'T1i. Vaccines'!O13)</f>
        <v>0</v>
      </c>
      <c r="R18" s="299" t="str">
        <f>IF('T1i. Vaccines'!P13="","",'T1i. Vaccines'!P13)</f>
        <v>0</v>
      </c>
      <c r="S18" s="299" t="str">
        <f>IF('T1i. Vaccines'!Q13="","",'T1i. Vaccines'!Q13)</f>
        <v>0</v>
      </c>
      <c r="T18" s="299" t="str">
        <f>IF('T1i. Vaccines'!R13="","",'T1i. Vaccines'!R13)</f>
        <v>0</v>
      </c>
      <c r="U18" s="299" t="str">
        <f>IF('T1i. Vaccines'!S13="","",'T1i. Vaccines'!S13)</f>
        <v>1.05</v>
      </c>
      <c r="V18" s="299" t="str">
        <f>IF('T1i. Vaccines'!T13="","",'T1i. Vaccines'!T13)</f>
        <v>0</v>
      </c>
      <c r="W18" s="299" t="str">
        <f>IF('T1i. Vaccines'!U13="","",'T1i. Vaccines'!U13)</f>
        <v>0</v>
      </c>
      <c r="X18" s="299" t="str">
        <f>IF('T1i. Vaccines'!V13="","",'T1i. Vaccines'!V13)</f>
        <v>0</v>
      </c>
      <c r="Y18" s="299" t="str">
        <f>IF('T1i. Vaccines'!W13="","",'T1i. Vaccines'!W13)</f>
        <v>0</v>
      </c>
      <c r="Z18" s="299" t="str">
        <f>IF('T1i. Vaccines'!X13="","",'T1i. Vaccines'!X13)</f>
        <v>0</v>
      </c>
      <c r="AA18" s="299" t="str">
        <f>IF('T1i. Vaccines'!Y13="","",'T1i. Vaccines'!Y13)</f>
        <v>0.01</v>
      </c>
      <c r="AB18" s="299" t="str">
        <f>IF('T1i. Vaccines'!Z13="","",'T1i. Vaccines'!Z13)</f>
        <v>1.05</v>
      </c>
      <c r="AC18" s="299" t="str">
        <f>IF('T1i. Vaccines'!AA13="","",'T1i. Vaccines'!AA13)</f>
        <v>1</v>
      </c>
      <c r="AD18" s="299" t="str">
        <f>IF('T1i. Vaccines'!AB13="","",'T1i. Vaccines'!AB13)</f>
        <v>0.05</v>
      </c>
      <c r="AE18" s="620">
        <f t="shared" si="5"/>
        <v>4</v>
      </c>
      <c r="AF18" s="715" t="str">
        <f t="shared" ca="1" si="4"/>
        <v/>
      </c>
      <c r="AG18" s="276"/>
      <c r="AH18" s="12"/>
    </row>
    <row r="19" spans="1:285" x14ac:dyDescent="0.2">
      <c r="A19" s="2">
        <v>12</v>
      </c>
      <c r="B19" s="299"/>
      <c r="C19" s="299" t="str">
        <f>IF('T1i. Vaccines'!A14="","",'T1i. Vaccines'!A14)</f>
        <v>VeroCell (Vial)</v>
      </c>
      <c r="D19" s="299" t="str">
        <f>IF('T1i. Vaccines'!B14="","",'T1i. Vaccines'!B14)</f>
        <v>Beijing Institute of Biological Products</v>
      </c>
      <c r="E19" s="299" t="str">
        <f>IF('T1i. Vaccines'!C14="","",'T1i. Vaccines'!C14)</f>
        <v>7</v>
      </c>
      <c r="F19" s="299" t="str">
        <f>IF('T1i. Vaccines'!D14="","",'T1i. Vaccines'!D14)</f>
        <v>2</v>
      </c>
      <c r="G19" s="299" t="str">
        <f>IF('T1i. Vaccines'!E14="","",'T1i. Vaccines'!E14)</f>
        <v>1</v>
      </c>
      <c r="H19" s="299" t="str">
        <f>IF('T1i. Vaccines'!F14="","",'T1i. Vaccines'!F14)</f>
        <v>3</v>
      </c>
      <c r="I19" s="299" t="str">
        <f>IF('T1i. Vaccines'!G14="","",'T1i. Vaccines'!G14)</f>
        <v/>
      </c>
      <c r="J19" s="299" t="str">
        <f>IF('T1i. Vaccines'!H14="","",'T1i. Vaccines'!H14)</f>
        <v>IM (intramuscular)</v>
      </c>
      <c r="K19" s="299" t="str">
        <f>IF('T1i. Vaccines'!I14="","",'T1i. Vaccines'!I14)</f>
        <v>Refrigerated (2 to 8C)</v>
      </c>
      <c r="L19" s="299" t="str">
        <f>IF('T1i. Vaccines'!J14="","",'T1i. Vaccines'!J14)</f>
        <v>21.2</v>
      </c>
      <c r="M19" s="299" t="str">
        <f>IF('T1i. Vaccines'!K14="","",'T1i. Vaccines'!K14)</f>
        <v>15</v>
      </c>
      <c r="N19" s="299" t="str">
        <f>IF('T1i. Vaccines'!L14="","",'T1i. Vaccines'!L14)</f>
        <v/>
      </c>
      <c r="O19" s="299" t="str">
        <f>IF('T1i. Vaccines'!M14="","",'T1i. Vaccines'!M14)</f>
        <v/>
      </c>
      <c r="P19" s="299" t="str">
        <f>IF('T1i. Vaccines'!N14="","",'T1i. Vaccines'!N14)</f>
        <v>10</v>
      </c>
      <c r="Q19" s="299" t="str">
        <f>IF('T1i. Vaccines'!O14="","",'T1i. Vaccines'!O14)</f>
        <v>0</v>
      </c>
      <c r="R19" s="299" t="str">
        <f>IF('T1i. Vaccines'!P14="","",'T1i. Vaccines'!P14)</f>
        <v>0</v>
      </c>
      <c r="S19" s="299" t="str">
        <f>IF('T1i. Vaccines'!Q14="","",'T1i. Vaccines'!Q14)</f>
        <v>1.05</v>
      </c>
      <c r="T19" s="299" t="str">
        <f>IF('T1i. Vaccines'!R14="","",'T1i. Vaccines'!R14)</f>
        <v>1.05</v>
      </c>
      <c r="U19" s="299" t="str">
        <f>IF('T1i. Vaccines'!S14="","",'T1i. Vaccines'!S14)</f>
        <v>1.05</v>
      </c>
      <c r="V19" s="299" t="str">
        <f>IF('T1i. Vaccines'!T14="","",'T1i. Vaccines'!T14)</f>
        <v>0</v>
      </c>
      <c r="W19" s="299" t="str">
        <f>IF('T1i. Vaccines'!U14="","",'T1i. Vaccines'!U14)</f>
        <v>0</v>
      </c>
      <c r="X19" s="299" t="str">
        <f>IF('T1i. Vaccines'!V14="","",'T1i. Vaccines'!V14)</f>
        <v>0</v>
      </c>
      <c r="Y19" s="299" t="str">
        <f>IF('T1i. Vaccines'!W14="","",'T1i. Vaccines'!W14)</f>
        <v>0</v>
      </c>
      <c r="Z19" s="299" t="str">
        <f>IF('T1i. Vaccines'!X14="","",'T1i. Vaccines'!X14)</f>
        <v>0</v>
      </c>
      <c r="AA19" s="299" t="str">
        <f>IF('T1i. Vaccines'!Y14="","",'T1i. Vaccines'!Y14)</f>
        <v>0.01</v>
      </c>
      <c r="AB19" s="299" t="str">
        <f>IF('T1i. Vaccines'!Z14="","",'T1i. Vaccines'!Z14)</f>
        <v>1.05</v>
      </c>
      <c r="AC19" s="299" t="str">
        <f>IF('T1i. Vaccines'!AA14="","",'T1i. Vaccines'!AA14)</f>
        <v>1</v>
      </c>
      <c r="AD19" s="299" t="str">
        <f>IF('T1i. Vaccines'!AB14="","",'T1i. Vaccines'!AB14)</f>
        <v>0.05</v>
      </c>
      <c r="AE19" s="620">
        <f t="shared" si="5"/>
        <v>5</v>
      </c>
      <c r="AF19" s="715" t="str">
        <f t="shared" ca="1" si="4"/>
        <v/>
      </c>
      <c r="AG19" s="276"/>
      <c r="AH19" s="12"/>
    </row>
    <row r="20" spans="1:285" x14ac:dyDescent="0.2">
      <c r="A20" s="2">
        <v>13</v>
      </c>
      <c r="B20" s="299"/>
      <c r="C20" s="299" t="str">
        <f>IF('T1i. Vaccines'!A15="","",'T1i. Vaccines'!A15)</f>
        <v>CoronaVac (Pre-filled syringe)</v>
      </c>
      <c r="D20" s="299" t="str">
        <f>IF('T1i. Vaccines'!B15="","",'T1i. Vaccines'!B15)</f>
        <v>Sinovac Life Sciences</v>
      </c>
      <c r="E20" s="299" t="str">
        <f>IF('T1i. Vaccines'!C15="","",'T1i. Vaccines'!C15)</f>
        <v>7</v>
      </c>
      <c r="F20" s="299" t="str">
        <f>IF('T1i. Vaccines'!D15="","",'T1i. Vaccines'!D15)</f>
        <v>2</v>
      </c>
      <c r="G20" s="299" t="str">
        <f>IF('T1i. Vaccines'!E15="","",'T1i. Vaccines'!E15)</f>
        <v>1</v>
      </c>
      <c r="H20" s="299" t="str">
        <f>IF('T1i. Vaccines'!F15="","",'T1i. Vaccines'!F15)</f>
        <v>2</v>
      </c>
      <c r="I20" s="299" t="str">
        <f>IF('T1i. Vaccines'!G15="","",'T1i. Vaccines'!G15)</f>
        <v/>
      </c>
      <c r="J20" s="299" t="str">
        <f>IF('T1i. Vaccines'!H15="","",'T1i. Vaccines'!H15)</f>
        <v>IM (intramuscular)</v>
      </c>
      <c r="K20" s="299" t="str">
        <f>IF('T1i. Vaccines'!I15="","",'T1i. Vaccines'!I15)</f>
        <v>Refrigerated (2 to 8C)</v>
      </c>
      <c r="L20" s="299" t="str">
        <f>IF('T1i. Vaccines'!J15="","",'T1i. Vaccines'!J15)</f>
        <v>41.65</v>
      </c>
      <c r="M20" s="299" t="str">
        <f>IF('T1i. Vaccines'!K15="","",'T1i. Vaccines'!K15)</f>
        <v>30</v>
      </c>
      <c r="N20" s="299" t="str">
        <f>IF('T1i. Vaccines'!L15="","",'T1i. Vaccines'!L15)</f>
        <v/>
      </c>
      <c r="O20" s="299" t="str">
        <f>IF('T1i. Vaccines'!M15="","",'T1i. Vaccines'!M15)</f>
        <v/>
      </c>
      <c r="P20" s="299" t="str">
        <f>IF('T1i. Vaccines'!N15="","",'T1i. Vaccines'!N15)</f>
        <v>10</v>
      </c>
      <c r="Q20" s="299" t="str">
        <f>IF('T1i. Vaccines'!O15="","",'T1i. Vaccines'!O15)</f>
        <v>0</v>
      </c>
      <c r="R20" s="299" t="str">
        <f>IF('T1i. Vaccines'!P15="","",'T1i. Vaccines'!P15)</f>
        <v>0</v>
      </c>
      <c r="S20" s="299" t="str">
        <f>IF('T1i. Vaccines'!Q15="","",'T1i. Vaccines'!Q15)</f>
        <v>0</v>
      </c>
      <c r="T20" s="299" t="str">
        <f>IF('T1i. Vaccines'!R15="","",'T1i. Vaccines'!R15)</f>
        <v>0</v>
      </c>
      <c r="U20" s="299" t="str">
        <f>IF('T1i. Vaccines'!S15="","",'T1i. Vaccines'!S15)</f>
        <v>1.05</v>
      </c>
      <c r="V20" s="299" t="str">
        <f>IF('T1i. Vaccines'!T15="","",'T1i. Vaccines'!T15)</f>
        <v>0</v>
      </c>
      <c r="W20" s="299" t="str">
        <f>IF('T1i. Vaccines'!U15="","",'T1i. Vaccines'!U15)</f>
        <v>0</v>
      </c>
      <c r="X20" s="299" t="str">
        <f>IF('T1i. Vaccines'!V15="","",'T1i. Vaccines'!V15)</f>
        <v>0</v>
      </c>
      <c r="Y20" s="299" t="str">
        <f>IF('T1i. Vaccines'!W15="","",'T1i. Vaccines'!W15)</f>
        <v>0</v>
      </c>
      <c r="Z20" s="299" t="str">
        <f>IF('T1i. Vaccines'!X15="","",'T1i. Vaccines'!X15)</f>
        <v>0</v>
      </c>
      <c r="AA20" s="299" t="str">
        <f>IF('T1i. Vaccines'!Y15="","",'T1i. Vaccines'!Y15)</f>
        <v>0.01</v>
      </c>
      <c r="AB20" s="299" t="str">
        <f>IF('T1i. Vaccines'!Z15="","",'T1i. Vaccines'!Z15)</f>
        <v>1.05</v>
      </c>
      <c r="AC20" s="299" t="str">
        <f>IF('T1i. Vaccines'!AA15="","",'T1i. Vaccines'!AA15)</f>
        <v>1</v>
      </c>
      <c r="AD20" s="299" t="str">
        <f>IF('T1i. Vaccines'!AB15="","",'T1i. Vaccines'!AB15)</f>
        <v>0.05</v>
      </c>
      <c r="AE20" s="620">
        <f t="shared" si="5"/>
        <v>6</v>
      </c>
      <c r="AF20" s="715" t="str">
        <f t="shared" ca="1" si="4"/>
        <v/>
      </c>
      <c r="AG20" s="276"/>
      <c r="AH20" s="12"/>
    </row>
    <row r="21" spans="1:285" x14ac:dyDescent="0.2">
      <c r="A21" s="2">
        <v>14</v>
      </c>
      <c r="B21" s="299"/>
      <c r="C21" s="299" t="str">
        <f>IF('T1i. Vaccines'!A16="","",'T1i. Vaccines'!A16)</f>
        <v>CoronaVac (Vial)</v>
      </c>
      <c r="D21" s="299" t="str">
        <f>IF('T1i. Vaccines'!B16="","",'T1i. Vaccines'!B16)</f>
        <v>Sinovac Life Sciences</v>
      </c>
      <c r="E21" s="299" t="str">
        <f>IF('T1i. Vaccines'!C16="","",'T1i. Vaccines'!C16)</f>
        <v>7</v>
      </c>
      <c r="F21" s="299" t="str">
        <f>IF('T1i. Vaccines'!D16="","",'T1i. Vaccines'!D16)</f>
        <v>2</v>
      </c>
      <c r="G21" s="299" t="str">
        <f>IF('T1i. Vaccines'!E16="","",'T1i. Vaccines'!E16)</f>
        <v>1</v>
      </c>
      <c r="H21" s="299" t="str">
        <f>IF('T1i. Vaccines'!F16="","",'T1i. Vaccines'!F16)</f>
        <v>2</v>
      </c>
      <c r="I21" s="299" t="str">
        <f>IF('T1i. Vaccines'!G16="","",'T1i. Vaccines'!G16)</f>
        <v/>
      </c>
      <c r="J21" s="299" t="str">
        <f>IF('T1i. Vaccines'!H16="","",'T1i. Vaccines'!H16)</f>
        <v>IM (intramuscular)</v>
      </c>
      <c r="K21" s="299" t="str">
        <f>IF('T1i. Vaccines'!I16="","",'T1i. Vaccines'!I16)</f>
        <v>Refrigerated (2 to 8C)</v>
      </c>
      <c r="L21" s="299" t="str">
        <f>IF('T1i. Vaccines'!J16="","",'T1i. Vaccines'!J16)</f>
        <v>16.3</v>
      </c>
      <c r="M21" s="299" t="str">
        <f>IF('T1i. Vaccines'!K16="","",'T1i. Vaccines'!K16)</f>
        <v>15</v>
      </c>
      <c r="N21" s="299" t="str">
        <f>IF('T1i. Vaccines'!L16="","",'T1i. Vaccines'!L16)</f>
        <v/>
      </c>
      <c r="O21" s="299" t="str">
        <f>IF('T1i. Vaccines'!M16="","",'T1i. Vaccines'!M16)</f>
        <v/>
      </c>
      <c r="P21" s="299" t="str">
        <f>IF('T1i. Vaccines'!N16="","",'T1i. Vaccines'!N16)</f>
        <v>10</v>
      </c>
      <c r="Q21" s="299" t="str">
        <f>IF('T1i. Vaccines'!O16="","",'T1i. Vaccines'!O16)</f>
        <v>0</v>
      </c>
      <c r="R21" s="299" t="str">
        <f>IF('T1i. Vaccines'!P16="","",'T1i. Vaccines'!P16)</f>
        <v>0</v>
      </c>
      <c r="S21" s="299" t="str">
        <f>IF('T1i. Vaccines'!Q16="","",'T1i. Vaccines'!Q16)</f>
        <v>1.05</v>
      </c>
      <c r="T21" s="299" t="str">
        <f>IF('T1i. Vaccines'!R16="","",'T1i. Vaccines'!R16)</f>
        <v>1.05</v>
      </c>
      <c r="U21" s="299" t="str">
        <f>IF('T1i. Vaccines'!S16="","",'T1i. Vaccines'!S16)</f>
        <v>1.05</v>
      </c>
      <c r="V21" s="299" t="str">
        <f>IF('T1i. Vaccines'!T16="","",'T1i. Vaccines'!T16)</f>
        <v>0</v>
      </c>
      <c r="W21" s="299" t="str">
        <f>IF('T1i. Vaccines'!U16="","",'T1i. Vaccines'!U16)</f>
        <v>0</v>
      </c>
      <c r="X21" s="299" t="str">
        <f>IF('T1i. Vaccines'!V16="","",'T1i. Vaccines'!V16)</f>
        <v>0</v>
      </c>
      <c r="Y21" s="299" t="str">
        <f>IF('T1i. Vaccines'!W16="","",'T1i. Vaccines'!W16)</f>
        <v>0</v>
      </c>
      <c r="Z21" s="299" t="str">
        <f>IF('T1i. Vaccines'!X16="","",'T1i. Vaccines'!X16)</f>
        <v>0</v>
      </c>
      <c r="AA21" s="299" t="str">
        <f>IF('T1i. Vaccines'!Y16="","",'T1i. Vaccines'!Y16)</f>
        <v>0.01</v>
      </c>
      <c r="AB21" s="299" t="str">
        <f>IF('T1i. Vaccines'!Z16="","",'T1i. Vaccines'!Z16)</f>
        <v>1.05</v>
      </c>
      <c r="AC21" s="299" t="str">
        <f>IF('T1i. Vaccines'!AA16="","",'T1i. Vaccines'!AA16)</f>
        <v>1</v>
      </c>
      <c r="AD21" s="299" t="str">
        <f>IF('T1i. Vaccines'!AB16="","",'T1i. Vaccines'!AB16)</f>
        <v>0.05</v>
      </c>
      <c r="AE21" s="620">
        <f t="shared" si="5"/>
        <v>7</v>
      </c>
      <c r="AF21" s="715" t="str">
        <f t="shared" ca="1" si="4"/>
        <v/>
      </c>
      <c r="AG21" s="276"/>
      <c r="AH21" s="12"/>
    </row>
    <row r="22" spans="1:285" x14ac:dyDescent="0.2">
      <c r="A22" s="2">
        <v>15</v>
      </c>
      <c r="B22" s="299"/>
      <c r="C22" s="299" t="str">
        <f>IF('T1i. Vaccines'!A17="","",'T1i. Vaccines'!A17)</f>
        <v>BBV152 (Covaxin) 20-dose vial</v>
      </c>
      <c r="D22" s="299" t="str">
        <f>IF('T1i. Vaccines'!B17="","",'T1i. Vaccines'!B17)</f>
        <v>Bharat Biotech International</v>
      </c>
      <c r="E22" s="299" t="str">
        <f>IF('T1i. Vaccines'!C17="","",'T1i. Vaccines'!C17)</f>
        <v>7</v>
      </c>
      <c r="F22" s="299" t="str">
        <f>IF('T1i. Vaccines'!D17="","",'T1i. Vaccines'!D17)</f>
        <v>2</v>
      </c>
      <c r="G22" s="299" t="str">
        <f>IF('T1i. Vaccines'!E17="","",'T1i. Vaccines'!E17)</f>
        <v>20</v>
      </c>
      <c r="H22" s="299" t="str">
        <f>IF('T1i. Vaccines'!F17="","",'T1i. Vaccines'!F17)</f>
        <v>4</v>
      </c>
      <c r="I22" s="299" t="str">
        <f>IF('T1i. Vaccines'!G17="","",'T1i. Vaccines'!G17)</f>
        <v/>
      </c>
      <c r="J22" s="299" t="str">
        <f>IF('T1i. Vaccines'!H17="","",'T1i. Vaccines'!H17)</f>
        <v>IM (intramuscular)</v>
      </c>
      <c r="K22" s="299" t="str">
        <f>IF('T1i. Vaccines'!I17="","",'T1i. Vaccines'!I17)</f>
        <v>Refrigerated (2 to 8C)</v>
      </c>
      <c r="L22" s="299" t="str">
        <f>IF('T1i. Vaccines'!J17="","",'T1i. Vaccines'!J17)</f>
        <v>1.72</v>
      </c>
      <c r="M22" s="299" t="str">
        <f>IF('T1i. Vaccines'!K17="","",'T1i. Vaccines'!K17)</f>
        <v>2</v>
      </c>
      <c r="N22" s="299" t="str">
        <f>IF('T1i. Vaccines'!L17="","",'T1i. Vaccines'!L17)</f>
        <v/>
      </c>
      <c r="O22" s="299" t="str">
        <f>IF('T1i. Vaccines'!M17="","",'T1i. Vaccines'!M17)</f>
        <v/>
      </c>
      <c r="P22" s="299" t="str">
        <f>IF('T1i. Vaccines'!N17="","",'T1i. Vaccines'!N17)</f>
        <v>10</v>
      </c>
      <c r="Q22" s="299" t="str">
        <f>IF('T1i. Vaccines'!O17="","",'T1i. Vaccines'!O17)</f>
        <v>0</v>
      </c>
      <c r="R22" s="299" t="str">
        <f>IF('T1i. Vaccines'!P17="","",'T1i. Vaccines'!P17)</f>
        <v>0</v>
      </c>
      <c r="S22" s="299" t="str">
        <f>IF('T1i. Vaccines'!Q17="","",'T1i. Vaccines'!Q17)</f>
        <v>1.05</v>
      </c>
      <c r="T22" s="299" t="str">
        <f>IF('T1i. Vaccines'!R17="","",'T1i. Vaccines'!R17)</f>
        <v>1.05</v>
      </c>
      <c r="U22" s="299" t="str">
        <f>IF('T1i. Vaccines'!S17="","",'T1i. Vaccines'!S17)</f>
        <v>1.05</v>
      </c>
      <c r="V22" s="299" t="str">
        <f>IF('T1i. Vaccines'!T17="","",'T1i. Vaccines'!T17)</f>
        <v>0</v>
      </c>
      <c r="W22" s="299" t="str">
        <f>IF('T1i. Vaccines'!U17="","",'T1i. Vaccines'!U17)</f>
        <v>0</v>
      </c>
      <c r="X22" s="299" t="str">
        <f>IF('T1i. Vaccines'!V17="","",'T1i. Vaccines'!V17)</f>
        <v>0</v>
      </c>
      <c r="Y22" s="299" t="str">
        <f>IF('T1i. Vaccines'!W17="","",'T1i. Vaccines'!W17)</f>
        <v>0</v>
      </c>
      <c r="Z22" s="299" t="str">
        <f>IF('T1i. Vaccines'!X17="","",'T1i. Vaccines'!X17)</f>
        <v>0</v>
      </c>
      <c r="AA22" s="299" t="str">
        <f>IF('T1i. Vaccines'!Y17="","",'T1i. Vaccines'!Y17)</f>
        <v>0.01</v>
      </c>
      <c r="AB22" s="299" t="str">
        <f>IF('T1i. Vaccines'!Z17="","",'T1i. Vaccines'!Z17)</f>
        <v>1.05</v>
      </c>
      <c r="AC22" s="299" t="str">
        <f>IF('T1i. Vaccines'!AA17="","",'T1i. Vaccines'!AA17)</f>
        <v>1</v>
      </c>
      <c r="AD22" s="299" t="str">
        <f>IF('T1i. Vaccines'!AB17="","",'T1i. Vaccines'!AB17)</f>
        <v>0.05</v>
      </c>
      <c r="AE22" s="620">
        <f t="shared" si="5"/>
        <v>8</v>
      </c>
      <c r="AF22" s="715" t="str">
        <f t="shared" ca="1" si="4"/>
        <v/>
      </c>
      <c r="AG22" s="276"/>
      <c r="AH22" s="12"/>
    </row>
    <row r="23" spans="1:285" x14ac:dyDescent="0.2">
      <c r="A23" s="2">
        <v>16</v>
      </c>
      <c r="B23" s="299"/>
      <c r="C23" s="299" t="str">
        <f>IF('T1i. Vaccines'!A18="","",'T1i. Vaccines'!A18)</f>
        <v>NVX-CoV2373 (Nuvaxovid)</v>
      </c>
      <c r="D23" s="299" t="str">
        <f>IF('T1i. Vaccines'!B18="","",'T1i. Vaccines'!B18)</f>
        <v>Novavax</v>
      </c>
      <c r="E23" s="299" t="str">
        <f>IF('T1i. Vaccines'!C18="","",'T1i. Vaccines'!C18)</f>
        <v>7</v>
      </c>
      <c r="F23" s="299" t="str">
        <f>IF('T1i. Vaccines'!D18="","",'T1i. Vaccines'!D18)</f>
        <v>2</v>
      </c>
      <c r="G23" s="299" t="str">
        <f>IF('T1i. Vaccines'!E18="","",'T1i. Vaccines'!E18)</f>
        <v>10</v>
      </c>
      <c r="H23" s="299" t="str">
        <f>IF('T1i. Vaccines'!F18="","",'T1i. Vaccines'!F18)</f>
        <v>3</v>
      </c>
      <c r="I23" s="299" t="str">
        <f>IF('T1i. Vaccines'!G18="","",'T1i. Vaccines'!G18)</f>
        <v/>
      </c>
      <c r="J23" s="299" t="str">
        <f>IF('T1i. Vaccines'!H18="","",'T1i. Vaccines'!H18)</f>
        <v>IM (intramuscular)</v>
      </c>
      <c r="K23" s="299" t="str">
        <f>IF('T1i. Vaccines'!I18="","",'T1i. Vaccines'!I18)</f>
        <v>Refrigerated (2 to 8C)</v>
      </c>
      <c r="L23" s="299" t="str">
        <f>IF('T1i. Vaccines'!J18="","",'T1i. Vaccines'!J18)</f>
        <v>2.05</v>
      </c>
      <c r="M23" s="299" t="str">
        <f>IF('T1i. Vaccines'!K18="","",'T1i. Vaccines'!K18)</f>
        <v>2</v>
      </c>
      <c r="N23" s="299" t="str">
        <f>IF('T1i. Vaccines'!L18="","",'T1i. Vaccines'!L18)</f>
        <v/>
      </c>
      <c r="O23" s="299" t="str">
        <f>IF('T1i. Vaccines'!M18="","",'T1i. Vaccines'!M18)</f>
        <v/>
      </c>
      <c r="P23" s="299" t="str">
        <f>IF('T1i. Vaccines'!N18="","",'T1i. Vaccines'!N18)</f>
        <v>10</v>
      </c>
      <c r="Q23" s="299" t="str">
        <f>IF('T1i. Vaccines'!O18="","",'T1i. Vaccines'!O18)</f>
        <v>0</v>
      </c>
      <c r="R23" s="299" t="str">
        <f>IF('T1i. Vaccines'!P18="","",'T1i. Vaccines'!P18)</f>
        <v>0</v>
      </c>
      <c r="S23" s="299" t="str">
        <f>IF('T1i. Vaccines'!Q18="","",'T1i. Vaccines'!Q18)</f>
        <v>1.05</v>
      </c>
      <c r="T23" s="299" t="str">
        <f>IF('T1i. Vaccines'!R18="","",'T1i. Vaccines'!R18)</f>
        <v>1.05</v>
      </c>
      <c r="U23" s="299" t="str">
        <f>IF('T1i. Vaccines'!S18="","",'T1i. Vaccines'!S18)</f>
        <v>1.05</v>
      </c>
      <c r="V23" s="299" t="str">
        <f>IF('T1i. Vaccines'!T18="","",'T1i. Vaccines'!T18)</f>
        <v>0</v>
      </c>
      <c r="W23" s="299" t="str">
        <f>IF('T1i. Vaccines'!U18="","",'T1i. Vaccines'!U18)</f>
        <v>0</v>
      </c>
      <c r="X23" s="299" t="str">
        <f>IF('T1i. Vaccines'!V18="","",'T1i. Vaccines'!V18)</f>
        <v>0</v>
      </c>
      <c r="Y23" s="299" t="str">
        <f>IF('T1i. Vaccines'!W18="","",'T1i. Vaccines'!W18)</f>
        <v>0</v>
      </c>
      <c r="Z23" s="299" t="str">
        <f>IF('T1i. Vaccines'!X18="","",'T1i. Vaccines'!X18)</f>
        <v>0</v>
      </c>
      <c r="AA23" s="299" t="str">
        <f>IF('T1i. Vaccines'!Y18="","",'T1i. Vaccines'!Y18)</f>
        <v>0.01</v>
      </c>
      <c r="AB23" s="299" t="str">
        <f>IF('T1i. Vaccines'!Z18="","",'T1i. Vaccines'!Z18)</f>
        <v>1.05</v>
      </c>
      <c r="AC23" s="299" t="str">
        <f>IF('T1i. Vaccines'!AA18="","",'T1i. Vaccines'!AA18)</f>
        <v>1</v>
      </c>
      <c r="AD23" s="299" t="str">
        <f>IF('T1i. Vaccines'!AB18="","",'T1i. Vaccines'!AB18)</f>
        <v>0.05</v>
      </c>
      <c r="AE23" s="620">
        <f t="shared" si="5"/>
        <v>9</v>
      </c>
      <c r="AF23" s="715" t="str">
        <f t="shared" ca="1" si="4"/>
        <v/>
      </c>
      <c r="AG23" s="276"/>
      <c r="AH23" s="12"/>
    </row>
    <row r="24" spans="1:285" x14ac:dyDescent="0.2">
      <c r="A24" s="2">
        <v>17</v>
      </c>
      <c r="B24" s="299"/>
      <c r="C24" s="299" t="str">
        <f>IF('T1i. Vaccines'!A19="","",'T1i. Vaccines'!A19)</f>
        <v/>
      </c>
      <c r="D24" s="299" t="str">
        <f>IF('T1i. Vaccines'!B19="","",'T1i. Vaccines'!B19)</f>
        <v/>
      </c>
      <c r="E24" s="299" t="str">
        <f>IF('T1i. Vaccines'!C19="","",'T1i. Vaccines'!C19)</f>
        <v/>
      </c>
      <c r="F24" s="299" t="str">
        <f>IF('T1i. Vaccines'!D19="","",'T1i. Vaccines'!D19)</f>
        <v/>
      </c>
      <c r="G24" s="299" t="str">
        <f>IF('T1i. Vaccines'!E19="","",'T1i. Vaccines'!E19)</f>
        <v/>
      </c>
      <c r="H24" s="299" t="str">
        <f>IF('T1i. Vaccines'!F19="","",'T1i. Vaccines'!F19)</f>
        <v/>
      </c>
      <c r="I24" s="299" t="str">
        <f>IF('T1i. Vaccines'!G19="","",'T1i. Vaccines'!G19)</f>
        <v/>
      </c>
      <c r="J24" s="299" t="str">
        <f>IF('T1i. Vaccines'!H19="","",'T1i. Vaccines'!H19)</f>
        <v/>
      </c>
      <c r="K24" s="299" t="str">
        <f>IF('T1i. Vaccines'!I19="","",'T1i. Vaccines'!I19)</f>
        <v/>
      </c>
      <c r="L24" s="299" t="str">
        <f>IF('T1i. Vaccines'!J19="","",'T1i. Vaccines'!J19)</f>
        <v/>
      </c>
      <c r="M24" s="299" t="str">
        <f>IF('T1i. Vaccines'!K19="","",'T1i. Vaccines'!K19)</f>
        <v/>
      </c>
      <c r="N24" s="299" t="str">
        <f>IF('T1i. Vaccines'!L19="","",'T1i. Vaccines'!L19)</f>
        <v/>
      </c>
      <c r="O24" s="299" t="str">
        <f>IF('T1i. Vaccines'!M19="","",'T1i. Vaccines'!M19)</f>
        <v/>
      </c>
      <c r="P24" s="299" t="str">
        <f>IF('T1i. Vaccines'!N19="","",'T1i. Vaccines'!N19)</f>
        <v/>
      </c>
      <c r="Q24" s="299" t="str">
        <f>IF('T1i. Vaccines'!O19="","",'T1i. Vaccines'!O19)</f>
        <v/>
      </c>
      <c r="R24" s="299" t="str">
        <f>IF('T1i. Vaccines'!P19="","",'T1i. Vaccines'!P19)</f>
        <v/>
      </c>
      <c r="S24" s="299" t="str">
        <f>IF('T1i. Vaccines'!Q19="","",'T1i. Vaccines'!Q19)</f>
        <v/>
      </c>
      <c r="T24" s="299" t="str">
        <f>IF('T1i. Vaccines'!R19="","",'T1i. Vaccines'!R19)</f>
        <v/>
      </c>
      <c r="U24" s="299" t="str">
        <f>IF('T1i. Vaccines'!S19="","",'T1i. Vaccines'!S19)</f>
        <v/>
      </c>
      <c r="V24" s="299" t="str">
        <f>IF('T1i. Vaccines'!T19="","",'T1i. Vaccines'!T19)</f>
        <v/>
      </c>
      <c r="W24" s="299" t="str">
        <f>IF('T1i. Vaccines'!U19="","",'T1i. Vaccines'!U19)</f>
        <v/>
      </c>
      <c r="X24" s="299" t="str">
        <f>IF('T1i. Vaccines'!V19="","",'T1i. Vaccines'!V19)</f>
        <v/>
      </c>
      <c r="Y24" s="299" t="str">
        <f>IF('T1i. Vaccines'!W19="","",'T1i. Vaccines'!W19)</f>
        <v/>
      </c>
      <c r="Z24" s="299" t="str">
        <f>IF('T1i. Vaccines'!X19="","",'T1i. Vaccines'!X19)</f>
        <v/>
      </c>
      <c r="AA24" s="299" t="str">
        <f>IF('T1i. Vaccines'!Y19="","",'T1i. Vaccines'!Y19)</f>
        <v/>
      </c>
      <c r="AB24" s="299" t="str">
        <f>IF('T1i. Vaccines'!Z19="","",'T1i. Vaccines'!Z19)</f>
        <v/>
      </c>
      <c r="AC24" s="299" t="str">
        <f>IF('T1i. Vaccines'!AA19="","",'T1i. Vaccines'!AA19)</f>
        <v/>
      </c>
      <c r="AD24" s="299" t="str">
        <f>IF('T1i. Vaccines'!AB19="","",'T1i. Vaccines'!AB19)</f>
        <v/>
      </c>
      <c r="AE24" s="620">
        <f t="shared" si="5"/>
        <v>9</v>
      </c>
      <c r="AF24" s="715" t="str">
        <f t="shared" ca="1" si="4"/>
        <v/>
      </c>
      <c r="AG24" s="276"/>
      <c r="AH24" s="12"/>
    </row>
    <row r="25" spans="1:285" x14ac:dyDescent="0.2">
      <c r="A25" s="2">
        <v>18</v>
      </c>
      <c r="B25" s="299"/>
      <c r="C25" s="299" t="str">
        <f>IF('T1i. Vaccines'!A20="","",'T1i. Vaccines'!A20)</f>
        <v>BNT162b2 (Comirnaty)</v>
      </c>
      <c r="D25" s="299" t="str">
        <f>IF('T1i. Vaccines'!B20="","",'T1i. Vaccines'!B20)</f>
        <v>Pfizer-BionTech</v>
      </c>
      <c r="E25" s="299" t="str">
        <f>IF('T1i. Vaccines'!C20="","",'T1i. Vaccines'!C20)</f>
        <v>7</v>
      </c>
      <c r="F25" s="299" t="str">
        <f>IF('T1i. Vaccines'!D20="","",'T1i. Vaccines'!D20)</f>
        <v>2</v>
      </c>
      <c r="G25" s="299" t="str">
        <f>IF('T1i. Vaccines'!E20="","",'T1i. Vaccines'!E20)</f>
        <v>6</v>
      </c>
      <c r="H25" s="299" t="str">
        <f>IF('T1i. Vaccines'!F20="","",'T1i. Vaccines'!F20)</f>
        <v>3</v>
      </c>
      <c r="I25" s="299" t="str">
        <f>IF('T1i. Vaccines'!G20="","",'T1i. Vaccines'!G20)</f>
        <v/>
      </c>
      <c r="J25" s="299" t="str">
        <f>IF('T1i. Vaccines'!H20="","",'T1i. Vaccines'!H20)</f>
        <v>IM (intramuscular)</v>
      </c>
      <c r="K25" s="299" t="str">
        <f>IF('T1i. Vaccines'!I20="","",'T1i. Vaccines'!I20)</f>
        <v>Ultra-cold (-60 to -80C)</v>
      </c>
      <c r="L25" s="299" t="str">
        <f>IF('T1i. Vaccines'!J20="","",'T1i. Vaccines'!J20)</f>
        <v>1.8</v>
      </c>
      <c r="M25" s="299" t="str">
        <f>IF('T1i. Vaccines'!K20="","",'T1i. Vaccines'!K20)</f>
        <v>2</v>
      </c>
      <c r="N25" s="299" t="str">
        <f>IF('T1i. Vaccines'!L20="","",'T1i. Vaccines'!L20)</f>
        <v/>
      </c>
      <c r="O25" s="299" t="str">
        <f>IF('T1i. Vaccines'!M20="","",'T1i. Vaccines'!M20)</f>
        <v/>
      </c>
      <c r="P25" s="299" t="str">
        <f>IF('T1i. Vaccines'!N20="","",'T1i. Vaccines'!N20)</f>
        <v>10</v>
      </c>
      <c r="Q25" s="299" t="str">
        <f>IF('T1i. Vaccines'!O20="","",'T1i. Vaccines'!O20)</f>
        <v>0</v>
      </c>
      <c r="R25" s="299" t="str">
        <f>IF('T1i. Vaccines'!P20="","",'T1i. Vaccines'!P20)</f>
        <v>1.05</v>
      </c>
      <c r="S25" s="299" t="str">
        <f>IF('T1i. Vaccines'!Q20="","",'T1i. Vaccines'!Q20)</f>
        <v>0</v>
      </c>
      <c r="T25" s="299" t="str">
        <f>IF('T1i. Vaccines'!R20="","",'T1i. Vaccines'!R20)</f>
        <v>1.05</v>
      </c>
      <c r="U25" s="299" t="str">
        <f>IF('T1i. Vaccines'!S20="","",'T1i. Vaccines'!S20)</f>
        <v>1.05</v>
      </c>
      <c r="V25" s="299" t="str">
        <f>IF('T1i. Vaccines'!T20="","",'T1i. Vaccines'!T20)</f>
        <v>0.175</v>
      </c>
      <c r="W25" s="299" t="str">
        <f>IF('T1i. Vaccines'!U20="","",'T1i. Vaccines'!U20)</f>
        <v>0.315</v>
      </c>
      <c r="X25" s="299" t="str">
        <f>IF('T1i. Vaccines'!V20="","",'T1i. Vaccines'!V20)</f>
        <v>0.175</v>
      </c>
      <c r="Y25" s="299" t="str">
        <f>IF('T1i. Vaccines'!W20="","",'T1i. Vaccines'!W20)</f>
        <v>0</v>
      </c>
      <c r="Z25" s="299" t="str">
        <f>IF('T1i. Vaccines'!X20="","",'T1i. Vaccines'!X20)</f>
        <v>0</v>
      </c>
      <c r="AA25" s="299" t="str">
        <f>IF('T1i. Vaccines'!Y20="","",'T1i. Vaccines'!Y20)</f>
        <v>0.01</v>
      </c>
      <c r="AB25" s="299" t="str">
        <f>IF('T1i. Vaccines'!Z20="","",'T1i. Vaccines'!Z20)</f>
        <v>1.05</v>
      </c>
      <c r="AC25" s="299" t="str">
        <f>IF('T1i. Vaccines'!AA20="","",'T1i. Vaccines'!AA20)</f>
        <v>1</v>
      </c>
      <c r="AD25" s="299" t="str">
        <f>IF('T1i. Vaccines'!AB20="","",'T1i. Vaccines'!AB20)</f>
        <v>0.05</v>
      </c>
      <c r="AE25" s="620">
        <f t="shared" si="5"/>
        <v>9</v>
      </c>
      <c r="AF25" s="715" t="str">
        <f t="shared" ca="1" si="4"/>
        <v/>
      </c>
      <c r="AG25" s="276"/>
      <c r="AH25" s="12"/>
    </row>
    <row r="26" spans="1:285" s="241" customFormat="1" x14ac:dyDescent="0.2">
      <c r="A26" s="2">
        <v>19</v>
      </c>
      <c r="B26" s="299"/>
      <c r="C26" s="299" t="str">
        <f>IF('T1i. Vaccines'!A21="","",'T1i. Vaccines'!A21)</f>
        <v>ChAdOx1-S (COVISHIELD)</v>
      </c>
      <c r="D26" s="299" t="str">
        <f>IF('T1i. Vaccines'!B21="","",'T1i. Vaccines'!B21)</f>
        <v>AstraZeneca</v>
      </c>
      <c r="E26" s="299" t="str">
        <f>IF('T1i. Vaccines'!C21="","",'T1i. Vaccines'!C21)</f>
        <v>7</v>
      </c>
      <c r="F26" s="299" t="str">
        <f>IF('T1i. Vaccines'!D21="","",'T1i. Vaccines'!D21)</f>
        <v>2</v>
      </c>
      <c r="G26" s="299" t="str">
        <f>IF('T1i. Vaccines'!E21="","",'T1i. Vaccines'!E21)</f>
        <v>10</v>
      </c>
      <c r="H26" s="299" t="str">
        <f>IF('T1i. Vaccines'!F21="","",'T1i. Vaccines'!F21)</f>
        <v>8</v>
      </c>
      <c r="I26" s="299" t="str">
        <f>IF('T1i. Vaccines'!G21="","",'T1i. Vaccines'!G21)</f>
        <v/>
      </c>
      <c r="J26" s="299" t="str">
        <f>IF('T1i. Vaccines'!H21="","",'T1i. Vaccines'!H21)</f>
        <v>IM (intramuscular)</v>
      </c>
      <c r="K26" s="299" t="str">
        <f>IF('T1i. Vaccines'!I21="","",'T1i. Vaccines'!I21)</f>
        <v>Refrigerated (2 to 8C)</v>
      </c>
      <c r="L26" s="299" t="str">
        <f>IF('T1i. Vaccines'!J21="","",'T1i. Vaccines'!J21)</f>
        <v>2.109</v>
      </c>
      <c r="M26" s="299" t="str">
        <f>IF('T1i. Vaccines'!K21="","",'T1i. Vaccines'!K21)</f>
        <v>2</v>
      </c>
      <c r="N26" s="299" t="str">
        <f>IF('T1i. Vaccines'!L21="","",'T1i. Vaccines'!L21)</f>
        <v/>
      </c>
      <c r="O26" s="299" t="str">
        <f>IF('T1i. Vaccines'!M21="","",'T1i. Vaccines'!M21)</f>
        <v/>
      </c>
      <c r="P26" s="299" t="str">
        <f>IF('T1i. Vaccines'!N21="","",'T1i. Vaccines'!N21)</f>
        <v>10</v>
      </c>
      <c r="Q26" s="299" t="str">
        <f>IF('T1i. Vaccines'!O21="","",'T1i. Vaccines'!O21)</f>
        <v>0</v>
      </c>
      <c r="R26" s="299" t="str">
        <f>IF('T1i. Vaccines'!P21="","",'T1i. Vaccines'!P21)</f>
        <v>0</v>
      </c>
      <c r="S26" s="299" t="str">
        <f>IF('T1i. Vaccines'!Q21="","",'T1i. Vaccines'!Q21)</f>
        <v>1.05</v>
      </c>
      <c r="T26" s="299" t="str">
        <f>IF('T1i. Vaccines'!R21="","",'T1i. Vaccines'!R21)</f>
        <v>1.05</v>
      </c>
      <c r="U26" s="299" t="str">
        <f>IF('T1i. Vaccines'!S21="","",'T1i. Vaccines'!S21)</f>
        <v>1.05</v>
      </c>
      <c r="V26" s="299" t="str">
        <f>IF('T1i. Vaccines'!T21="","",'T1i. Vaccines'!T21)</f>
        <v>0</v>
      </c>
      <c r="W26" s="299" t="str">
        <f>IF('T1i. Vaccines'!U21="","",'T1i. Vaccines'!U21)</f>
        <v>0</v>
      </c>
      <c r="X26" s="299" t="str">
        <f>IF('T1i. Vaccines'!V21="","",'T1i. Vaccines'!V21)</f>
        <v>0</v>
      </c>
      <c r="Y26" s="299" t="str">
        <f>IF('T1i. Vaccines'!W21="","",'T1i. Vaccines'!W21)</f>
        <v>0</v>
      </c>
      <c r="Z26" s="299" t="str">
        <f>IF('T1i. Vaccines'!X21="","",'T1i. Vaccines'!X21)</f>
        <v>0</v>
      </c>
      <c r="AA26" s="299" t="str">
        <f>IF('T1i. Vaccines'!Y21="","",'T1i. Vaccines'!Y21)</f>
        <v>0.01</v>
      </c>
      <c r="AB26" s="299" t="str">
        <f>IF('T1i. Vaccines'!Z21="","",'T1i. Vaccines'!Z21)</f>
        <v>1.05</v>
      </c>
      <c r="AC26" s="299" t="str">
        <f>IF('T1i. Vaccines'!AA21="","",'T1i. Vaccines'!AA21)</f>
        <v>1</v>
      </c>
      <c r="AD26" s="299" t="str">
        <f>IF('T1i. Vaccines'!AB21="","",'T1i. Vaccines'!AB21)</f>
        <v>0.05</v>
      </c>
      <c r="AE26" s="620">
        <f t="shared" si="5"/>
        <v>10</v>
      </c>
      <c r="AF26" s="715" t="str">
        <f t="shared" ca="1" si="4"/>
        <v/>
      </c>
      <c r="AG26" s="276"/>
      <c r="AH26" s="12"/>
      <c r="AI26" s="403"/>
      <c r="AJ26" s="403"/>
      <c r="AK26" s="403"/>
      <c r="AL26" s="403"/>
      <c r="AM26" s="403"/>
      <c r="AN26" s="403"/>
      <c r="AO26" s="403"/>
      <c r="AP26" s="403"/>
      <c r="AQ26" s="403"/>
      <c r="AR26" s="403"/>
      <c r="AS26" s="403"/>
      <c r="AT26" s="403"/>
      <c r="AU26" s="403"/>
      <c r="AV26" s="403"/>
      <c r="AW26" s="403"/>
      <c r="AX26" s="403"/>
      <c r="AY26" s="403"/>
      <c r="AZ26" s="403"/>
      <c r="BA26" s="403"/>
      <c r="BB26" s="403"/>
      <c r="BC26" s="403"/>
      <c r="BD26" s="403"/>
      <c r="BE26" s="403"/>
      <c r="BF26" s="403"/>
      <c r="BG26" s="403"/>
      <c r="BH26" s="403"/>
      <c r="BI26" s="403"/>
      <c r="BJ26" s="403"/>
      <c r="BK26" s="403"/>
      <c r="BL26" s="403"/>
      <c r="BM26" s="403"/>
      <c r="BN26" s="403"/>
      <c r="BO26" s="403"/>
      <c r="BP26" s="403"/>
      <c r="BQ26" s="403"/>
      <c r="BR26" s="403"/>
      <c r="BS26" s="403"/>
      <c r="BT26" s="403"/>
      <c r="BU26" s="403"/>
      <c r="BV26" s="403"/>
      <c r="BW26" s="403"/>
      <c r="BX26" s="403"/>
      <c r="BY26" s="403"/>
      <c r="BZ26" s="403"/>
      <c r="CA26" s="403"/>
      <c r="CB26" s="403"/>
      <c r="CC26" s="403"/>
      <c r="CD26" s="403"/>
      <c r="CE26" s="403"/>
      <c r="CF26" s="403"/>
      <c r="CG26" s="403"/>
      <c r="CH26" s="403"/>
      <c r="CI26" s="403"/>
      <c r="CJ26" s="403"/>
      <c r="CK26" s="403"/>
      <c r="CL26" s="403"/>
      <c r="CM26" s="403"/>
      <c r="CN26" s="403"/>
      <c r="CO26" s="403"/>
      <c r="CP26" s="403"/>
      <c r="CQ26" s="403"/>
      <c r="CR26" s="403"/>
      <c r="CS26" s="403"/>
      <c r="CT26" s="403"/>
      <c r="CU26" s="403"/>
      <c r="CV26" s="403"/>
      <c r="CW26" s="403"/>
      <c r="CX26" s="403"/>
      <c r="CY26" s="403"/>
      <c r="CZ26" s="403"/>
      <c r="DA26" s="403"/>
      <c r="DB26" s="403"/>
      <c r="DC26" s="403"/>
      <c r="DD26" s="403"/>
      <c r="DE26" s="403"/>
      <c r="DF26" s="403"/>
      <c r="DG26" s="403"/>
      <c r="DH26" s="403"/>
      <c r="DI26" s="403"/>
      <c r="DJ26" s="403"/>
      <c r="DK26" s="403"/>
      <c r="DL26" s="403"/>
      <c r="DM26" s="403"/>
      <c r="DN26" s="403"/>
      <c r="DO26" s="403"/>
      <c r="DP26" s="403"/>
      <c r="DQ26" s="403"/>
      <c r="DR26" s="403"/>
      <c r="DS26" s="403"/>
      <c r="DT26" s="403"/>
      <c r="DU26" s="403"/>
      <c r="DV26" s="403"/>
      <c r="DW26" s="403"/>
      <c r="DX26" s="403"/>
      <c r="DY26" s="403"/>
      <c r="DZ26" s="403"/>
      <c r="EA26" s="403"/>
      <c r="EB26" s="403"/>
      <c r="EC26" s="403"/>
      <c r="ED26" s="403"/>
      <c r="EE26" s="403"/>
      <c r="EF26" s="403"/>
      <c r="EG26" s="403"/>
      <c r="EH26" s="403"/>
      <c r="EI26" s="403"/>
      <c r="EJ26" s="403"/>
      <c r="EK26" s="403"/>
      <c r="EL26" s="403"/>
      <c r="EM26" s="403"/>
      <c r="EN26" s="403"/>
      <c r="EO26" s="403"/>
      <c r="EP26" s="403"/>
      <c r="EQ26" s="403"/>
      <c r="ER26" s="403"/>
      <c r="ES26" s="403"/>
      <c r="ET26" s="403"/>
      <c r="EU26" s="403"/>
      <c r="EV26" s="403"/>
      <c r="EW26" s="403"/>
      <c r="EX26" s="403"/>
      <c r="EY26" s="403"/>
      <c r="EZ26" s="403"/>
      <c r="FA26" s="403"/>
      <c r="FB26" s="403"/>
      <c r="FC26" s="403"/>
      <c r="FD26" s="403"/>
      <c r="FE26" s="403"/>
      <c r="FF26" s="403"/>
      <c r="FG26" s="403"/>
      <c r="FH26" s="403"/>
      <c r="FI26" s="403"/>
      <c r="FJ26" s="403"/>
      <c r="FK26" s="403"/>
      <c r="FL26" s="403"/>
      <c r="FM26" s="403"/>
      <c r="FN26" s="403"/>
      <c r="FO26" s="403"/>
      <c r="FP26" s="403"/>
      <c r="FQ26" s="403"/>
      <c r="FR26" s="403"/>
      <c r="FS26" s="403"/>
      <c r="FT26" s="403"/>
      <c r="FU26" s="403"/>
      <c r="FV26" s="403"/>
      <c r="FW26" s="403"/>
      <c r="FX26" s="403"/>
      <c r="FY26" s="403"/>
      <c r="FZ26" s="403"/>
      <c r="GA26" s="403"/>
      <c r="GB26" s="403"/>
      <c r="GC26" s="403"/>
      <c r="GD26" s="403"/>
      <c r="GE26" s="403"/>
      <c r="GF26" s="403"/>
      <c r="GG26" s="403"/>
      <c r="GH26" s="403"/>
      <c r="GI26" s="403"/>
      <c r="GJ26" s="403"/>
      <c r="GK26" s="403"/>
      <c r="GL26" s="403"/>
      <c r="GM26" s="403"/>
      <c r="GN26" s="403"/>
      <c r="GO26" s="403"/>
      <c r="GP26" s="403"/>
      <c r="GQ26" s="403"/>
      <c r="GR26" s="403"/>
      <c r="GS26" s="403"/>
      <c r="GT26" s="403"/>
      <c r="GU26" s="403"/>
      <c r="GV26" s="403"/>
      <c r="GW26" s="403"/>
      <c r="GX26" s="403"/>
      <c r="GY26" s="403"/>
      <c r="GZ26" s="403"/>
      <c r="HA26" s="403"/>
      <c r="HB26" s="403"/>
      <c r="HC26" s="403"/>
      <c r="HD26" s="403"/>
      <c r="HE26" s="403"/>
      <c r="HF26" s="403"/>
      <c r="HG26" s="403"/>
      <c r="HH26" s="403"/>
      <c r="HI26" s="403"/>
      <c r="HJ26" s="403"/>
      <c r="HK26" s="403"/>
      <c r="HL26" s="403"/>
      <c r="HM26" s="403"/>
      <c r="HN26" s="403"/>
      <c r="HO26" s="403"/>
      <c r="HP26" s="403"/>
      <c r="HQ26" s="403"/>
      <c r="HR26" s="403"/>
      <c r="HS26" s="403"/>
      <c r="HT26" s="403"/>
      <c r="HU26" s="403"/>
      <c r="HV26" s="403"/>
      <c r="HW26" s="403"/>
      <c r="HX26" s="403"/>
      <c r="HY26" s="403"/>
      <c r="HZ26" s="403"/>
      <c r="IA26" s="403"/>
      <c r="IB26" s="403"/>
      <c r="IC26" s="403"/>
      <c r="ID26" s="403"/>
      <c r="IE26" s="403"/>
      <c r="IF26" s="403"/>
      <c r="IG26" s="403"/>
      <c r="IH26" s="403"/>
      <c r="II26" s="403"/>
      <c r="IJ26" s="403"/>
      <c r="IK26" s="403"/>
      <c r="IL26" s="403"/>
      <c r="IM26" s="403"/>
      <c r="IN26" s="403"/>
      <c r="IO26" s="403"/>
      <c r="IP26" s="403"/>
      <c r="IQ26" s="403"/>
      <c r="IR26" s="403"/>
      <c r="IS26" s="403"/>
      <c r="IT26" s="403"/>
      <c r="IU26" s="403"/>
      <c r="IV26" s="403"/>
      <c r="IW26" s="403"/>
      <c r="IX26" s="403"/>
      <c r="IY26" s="403"/>
      <c r="IZ26" s="403"/>
      <c r="JA26" s="403"/>
      <c r="JB26" s="403"/>
      <c r="JC26" s="403"/>
      <c r="JD26" s="403"/>
      <c r="JE26" s="403"/>
      <c r="JF26" s="403"/>
      <c r="JG26" s="403"/>
      <c r="JH26" s="403"/>
      <c r="JI26" s="403"/>
      <c r="JJ26" s="403"/>
      <c r="JK26" s="403"/>
      <c r="JL26" s="403"/>
      <c r="JM26" s="403"/>
      <c r="JN26" s="403"/>
      <c r="JO26" s="403"/>
      <c r="JP26" s="403"/>
      <c r="JQ26" s="403"/>
      <c r="JR26" s="403"/>
      <c r="JS26" s="403"/>
      <c r="JT26" s="403"/>
      <c r="JU26" s="403"/>
      <c r="JV26" s="403"/>
      <c r="JW26" s="403"/>
      <c r="JX26" s="403"/>
      <c r="JY26" s="403"/>
    </row>
    <row r="27" spans="1:285" s="241" customFormat="1" x14ac:dyDescent="0.2">
      <c r="A27" s="2">
        <v>20</v>
      </c>
      <c r="B27" s="299"/>
      <c r="C27" s="299" t="str">
        <f>IF('T1i. Vaccines'!A22="","",'T1i. Vaccines'!A22)</f>
        <v>Ad26.COV2.S</v>
      </c>
      <c r="D27" s="299" t="str">
        <f>IF('T1i. Vaccines'!B22="","",'T1i. Vaccines'!B22)</f>
        <v>J&amp;J</v>
      </c>
      <c r="E27" s="299" t="str">
        <f>IF('T1i. Vaccines'!C22="","",'T1i. Vaccines'!C22)</f>
        <v>14</v>
      </c>
      <c r="F27" s="299" t="str">
        <f>IF('T1i. Vaccines'!D22="","",'T1i. Vaccines'!D22)</f>
        <v>1</v>
      </c>
      <c r="G27" s="299" t="str">
        <f>IF('T1i. Vaccines'!E22="","",'T1i. Vaccines'!E22)</f>
        <v>5</v>
      </c>
      <c r="H27" s="299" t="str">
        <f>IF('T1i. Vaccines'!F22="","",'T1i. Vaccines'!F22)</f>
        <v/>
      </c>
      <c r="I27" s="299" t="str">
        <f>IF('T1i. Vaccines'!G22="","",'T1i. Vaccines'!G22)</f>
        <v/>
      </c>
      <c r="J27" s="299" t="str">
        <f>IF('T1i. Vaccines'!H22="","",'T1i. Vaccines'!H22)</f>
        <v>IM (intramuscular)</v>
      </c>
      <c r="K27" s="299" t="str">
        <f>IF('T1i. Vaccines'!I22="","",'T1i. Vaccines'!I22)</f>
        <v>Refrigerated (2 to 8C)</v>
      </c>
      <c r="L27" s="299" t="str">
        <f>IF('T1i. Vaccines'!J22="","",'T1i. Vaccines'!J22)</f>
        <v>3.82</v>
      </c>
      <c r="M27" s="299" t="str">
        <f>IF('T1i. Vaccines'!K22="","",'T1i. Vaccines'!K22)</f>
        <v>2</v>
      </c>
      <c r="N27" s="299" t="str">
        <f>IF('T1i. Vaccines'!L22="","",'T1i. Vaccines'!L22)</f>
        <v/>
      </c>
      <c r="O27" s="299" t="str">
        <f>IF('T1i. Vaccines'!M22="","",'T1i. Vaccines'!M22)</f>
        <v/>
      </c>
      <c r="P27" s="299" t="str">
        <f>IF('T1i. Vaccines'!N22="","",'T1i. Vaccines'!N22)</f>
        <v>10</v>
      </c>
      <c r="Q27" s="299" t="str">
        <f>IF('T1i. Vaccines'!O22="","",'T1i. Vaccines'!O22)</f>
        <v>0</v>
      </c>
      <c r="R27" s="299" t="str">
        <f>IF('T1i. Vaccines'!P22="","",'T1i. Vaccines'!P22)</f>
        <v>0</v>
      </c>
      <c r="S27" s="299" t="str">
        <f>IF('T1i. Vaccines'!Q22="","",'T1i. Vaccines'!Q22)</f>
        <v>1.05</v>
      </c>
      <c r="T27" s="299" t="str">
        <f>IF('T1i. Vaccines'!R22="","",'T1i. Vaccines'!R22)</f>
        <v>1.05</v>
      </c>
      <c r="U27" s="299" t="str">
        <f>IF('T1i. Vaccines'!S22="","",'T1i. Vaccines'!S22)</f>
        <v>1.05</v>
      </c>
      <c r="V27" s="299" t="str">
        <f>IF('T1i. Vaccines'!T22="","",'T1i. Vaccines'!T22)</f>
        <v>0</v>
      </c>
      <c r="W27" s="299" t="str">
        <f>IF('T1i. Vaccines'!U22="","",'T1i. Vaccines'!U22)</f>
        <v>0</v>
      </c>
      <c r="X27" s="299" t="str">
        <f>IF('T1i. Vaccines'!V22="","",'T1i. Vaccines'!V22)</f>
        <v>0</v>
      </c>
      <c r="Y27" s="299" t="str">
        <f>IF('T1i. Vaccines'!W22="","",'T1i. Vaccines'!W22)</f>
        <v>0</v>
      </c>
      <c r="Z27" s="299" t="str">
        <f>IF('T1i. Vaccines'!X22="","",'T1i. Vaccines'!X22)</f>
        <v>0</v>
      </c>
      <c r="AA27" s="299" t="str">
        <f>IF('T1i. Vaccines'!Y22="","",'T1i. Vaccines'!Y22)</f>
        <v>0.01</v>
      </c>
      <c r="AB27" s="299" t="str">
        <f>IF('T1i. Vaccines'!Z22="","",'T1i. Vaccines'!Z22)</f>
        <v>1.05</v>
      </c>
      <c r="AC27" s="299" t="str">
        <f>IF('T1i. Vaccines'!AA22="","",'T1i. Vaccines'!AA22)</f>
        <v>1</v>
      </c>
      <c r="AD27" s="299" t="str">
        <f>IF('T1i. Vaccines'!AB22="","",'T1i. Vaccines'!AB22)</f>
        <v>0.05</v>
      </c>
      <c r="AE27" s="620">
        <f t="shared" si="5"/>
        <v>10</v>
      </c>
      <c r="AF27" s="715" t="str">
        <f t="shared" ca="1" si="4"/>
        <v/>
      </c>
      <c r="AG27" s="276"/>
      <c r="AH27" s="12"/>
      <c r="AI27" s="403"/>
      <c r="AJ27" s="403"/>
      <c r="AK27" s="403"/>
      <c r="AL27" s="403"/>
      <c r="AM27" s="403"/>
      <c r="AN27" s="403"/>
      <c r="AO27" s="403"/>
      <c r="AP27" s="403"/>
      <c r="AQ27" s="403"/>
      <c r="AR27" s="403"/>
      <c r="AS27" s="403"/>
      <c r="AT27" s="403"/>
      <c r="AU27" s="403"/>
      <c r="AV27" s="403"/>
      <c r="AW27" s="403"/>
      <c r="AX27" s="403"/>
      <c r="AY27" s="403"/>
      <c r="AZ27" s="403"/>
      <c r="BA27" s="403"/>
      <c r="BB27" s="403"/>
      <c r="BC27" s="403"/>
      <c r="BD27" s="403"/>
      <c r="BE27" s="403"/>
      <c r="BF27" s="403"/>
      <c r="BG27" s="403"/>
      <c r="BH27" s="403"/>
      <c r="BI27" s="403"/>
      <c r="BJ27" s="403"/>
      <c r="BK27" s="403"/>
      <c r="BL27" s="403"/>
      <c r="BM27" s="403"/>
      <c r="BN27" s="403"/>
      <c r="BO27" s="403"/>
      <c r="BP27" s="403"/>
      <c r="BQ27" s="403"/>
      <c r="BR27" s="403"/>
      <c r="BS27" s="403"/>
      <c r="BT27" s="403"/>
      <c r="BU27" s="403"/>
      <c r="BV27" s="403"/>
      <c r="BW27" s="403"/>
      <c r="BX27" s="403"/>
      <c r="BY27" s="403"/>
      <c r="BZ27" s="403"/>
      <c r="CA27" s="403"/>
      <c r="CB27" s="403"/>
      <c r="CC27" s="403"/>
      <c r="CD27" s="403"/>
      <c r="CE27" s="403"/>
      <c r="CF27" s="403"/>
      <c r="CG27" s="403"/>
      <c r="CH27" s="403"/>
      <c r="CI27" s="403"/>
      <c r="CJ27" s="403"/>
      <c r="CK27" s="403"/>
      <c r="CL27" s="403"/>
      <c r="CM27" s="403"/>
      <c r="CN27" s="403"/>
      <c r="CO27" s="403"/>
      <c r="CP27" s="403"/>
      <c r="CQ27" s="403"/>
      <c r="CR27" s="403"/>
      <c r="CS27" s="403"/>
      <c r="CT27" s="403"/>
      <c r="CU27" s="403"/>
      <c r="CV27" s="403"/>
      <c r="CW27" s="403"/>
      <c r="CX27" s="403"/>
      <c r="CY27" s="403"/>
      <c r="CZ27" s="403"/>
      <c r="DA27" s="403"/>
      <c r="DB27" s="403"/>
      <c r="DC27" s="403"/>
      <c r="DD27" s="403"/>
      <c r="DE27" s="403"/>
      <c r="DF27" s="403"/>
      <c r="DG27" s="403"/>
      <c r="DH27" s="403"/>
      <c r="DI27" s="403"/>
      <c r="DJ27" s="403"/>
      <c r="DK27" s="403"/>
      <c r="DL27" s="403"/>
      <c r="DM27" s="403"/>
      <c r="DN27" s="403"/>
      <c r="DO27" s="403"/>
      <c r="DP27" s="403"/>
      <c r="DQ27" s="403"/>
      <c r="DR27" s="403"/>
      <c r="DS27" s="403"/>
      <c r="DT27" s="403"/>
      <c r="DU27" s="403"/>
      <c r="DV27" s="403"/>
      <c r="DW27" s="403"/>
      <c r="DX27" s="403"/>
      <c r="DY27" s="403"/>
      <c r="DZ27" s="403"/>
      <c r="EA27" s="403"/>
      <c r="EB27" s="403"/>
      <c r="EC27" s="403"/>
      <c r="ED27" s="403"/>
      <c r="EE27" s="403"/>
      <c r="EF27" s="403"/>
      <c r="EG27" s="403"/>
      <c r="EH27" s="403"/>
      <c r="EI27" s="403"/>
      <c r="EJ27" s="403"/>
      <c r="EK27" s="403"/>
      <c r="EL27" s="403"/>
      <c r="EM27" s="403"/>
      <c r="EN27" s="403"/>
      <c r="EO27" s="403"/>
      <c r="EP27" s="403"/>
      <c r="EQ27" s="403"/>
      <c r="ER27" s="403"/>
      <c r="ES27" s="403"/>
      <c r="ET27" s="403"/>
      <c r="EU27" s="403"/>
      <c r="EV27" s="403"/>
      <c r="EW27" s="403"/>
      <c r="EX27" s="403"/>
      <c r="EY27" s="403"/>
      <c r="EZ27" s="403"/>
      <c r="FA27" s="403"/>
      <c r="FB27" s="403"/>
      <c r="FC27" s="403"/>
      <c r="FD27" s="403"/>
      <c r="FE27" s="403"/>
      <c r="FF27" s="403"/>
      <c r="FG27" s="403"/>
      <c r="FH27" s="403"/>
      <c r="FI27" s="403"/>
      <c r="FJ27" s="403"/>
      <c r="FK27" s="403"/>
      <c r="FL27" s="403"/>
      <c r="FM27" s="403"/>
      <c r="FN27" s="403"/>
      <c r="FO27" s="403"/>
      <c r="FP27" s="403"/>
      <c r="FQ27" s="403"/>
      <c r="FR27" s="403"/>
      <c r="FS27" s="403"/>
      <c r="FT27" s="403"/>
      <c r="FU27" s="403"/>
      <c r="FV27" s="403"/>
      <c r="FW27" s="403"/>
      <c r="FX27" s="403"/>
      <c r="FY27" s="403"/>
      <c r="FZ27" s="403"/>
      <c r="GA27" s="403"/>
      <c r="GB27" s="403"/>
      <c r="GC27" s="403"/>
      <c r="GD27" s="403"/>
      <c r="GE27" s="403"/>
      <c r="GF27" s="403"/>
      <c r="GG27" s="403"/>
      <c r="GH27" s="403"/>
      <c r="GI27" s="403"/>
      <c r="GJ27" s="403"/>
      <c r="GK27" s="403"/>
      <c r="GL27" s="403"/>
      <c r="GM27" s="403"/>
      <c r="GN27" s="403"/>
      <c r="GO27" s="403"/>
      <c r="GP27" s="403"/>
      <c r="GQ27" s="403"/>
      <c r="GR27" s="403"/>
      <c r="GS27" s="403"/>
      <c r="GT27" s="403"/>
      <c r="GU27" s="403"/>
      <c r="GV27" s="403"/>
      <c r="GW27" s="403"/>
      <c r="GX27" s="403"/>
      <c r="GY27" s="403"/>
      <c r="GZ27" s="403"/>
      <c r="HA27" s="403"/>
      <c r="HB27" s="403"/>
      <c r="HC27" s="403"/>
      <c r="HD27" s="403"/>
      <c r="HE27" s="403"/>
      <c r="HF27" s="403"/>
      <c r="HG27" s="403"/>
      <c r="HH27" s="403"/>
      <c r="HI27" s="403"/>
      <c r="HJ27" s="403"/>
      <c r="HK27" s="403"/>
      <c r="HL27" s="403"/>
      <c r="HM27" s="403"/>
      <c r="HN27" s="403"/>
      <c r="HO27" s="403"/>
      <c r="HP27" s="403"/>
      <c r="HQ27" s="403"/>
      <c r="HR27" s="403"/>
      <c r="HS27" s="403"/>
      <c r="HT27" s="403"/>
      <c r="HU27" s="403"/>
      <c r="HV27" s="403"/>
      <c r="HW27" s="403"/>
      <c r="HX27" s="403"/>
      <c r="HY27" s="403"/>
      <c r="HZ27" s="403"/>
      <c r="IA27" s="403"/>
      <c r="IB27" s="403"/>
      <c r="IC27" s="403"/>
      <c r="ID27" s="403"/>
      <c r="IE27" s="403"/>
      <c r="IF27" s="403"/>
      <c r="IG27" s="403"/>
      <c r="IH27" s="403"/>
      <c r="II27" s="403"/>
      <c r="IJ27" s="403"/>
      <c r="IK27" s="403"/>
      <c r="IL27" s="403"/>
      <c r="IM27" s="403"/>
      <c r="IN27" s="403"/>
      <c r="IO27" s="403"/>
      <c r="IP27" s="403"/>
      <c r="IQ27" s="403"/>
      <c r="IR27" s="403"/>
      <c r="IS27" s="403"/>
      <c r="IT27" s="403"/>
      <c r="IU27" s="403"/>
      <c r="IV27" s="403"/>
      <c r="IW27" s="403"/>
      <c r="IX27" s="403"/>
      <c r="IY27" s="403"/>
      <c r="IZ27" s="403"/>
      <c r="JA27" s="403"/>
      <c r="JB27" s="403"/>
      <c r="JC27" s="403"/>
      <c r="JD27" s="403"/>
      <c r="JE27" s="403"/>
      <c r="JF27" s="403"/>
      <c r="JG27" s="403"/>
      <c r="JH27" s="403"/>
      <c r="JI27" s="403"/>
      <c r="JJ27" s="403"/>
      <c r="JK27" s="403"/>
      <c r="JL27" s="403"/>
      <c r="JM27" s="403"/>
      <c r="JN27" s="403"/>
      <c r="JO27" s="403"/>
      <c r="JP27" s="403"/>
      <c r="JQ27" s="403"/>
      <c r="JR27" s="403"/>
      <c r="JS27" s="403"/>
      <c r="JT27" s="403"/>
      <c r="JU27" s="403"/>
      <c r="JV27" s="403"/>
      <c r="JW27" s="403"/>
      <c r="JX27" s="403"/>
      <c r="JY27" s="403"/>
    </row>
    <row r="28" spans="1:285" s="241" customFormat="1" x14ac:dyDescent="0.2">
      <c r="A28" s="2">
        <v>21</v>
      </c>
      <c r="B28" s="214"/>
      <c r="C28" s="433" t="s">
        <v>3077</v>
      </c>
      <c r="D28" s="433"/>
      <c r="E28" s="434"/>
      <c r="F28" s="433"/>
      <c r="G28" s="433"/>
      <c r="H28" s="433"/>
      <c r="I28" s="433"/>
      <c r="J28" s="433"/>
      <c r="K28" s="433"/>
      <c r="L28" s="433"/>
      <c r="M28" s="433"/>
      <c r="N28" s="433"/>
      <c r="O28" s="433"/>
      <c r="P28" s="433"/>
      <c r="Q28" s="433"/>
      <c r="R28" s="433"/>
      <c r="S28" s="433"/>
      <c r="T28" s="433"/>
      <c r="U28" s="433"/>
      <c r="V28" s="433"/>
      <c r="W28" s="433"/>
      <c r="X28" s="433"/>
      <c r="Y28" s="433"/>
      <c r="Z28" s="433"/>
      <c r="AA28" s="433"/>
      <c r="AB28" s="433"/>
      <c r="AC28" s="433"/>
      <c r="AD28" s="435"/>
      <c r="AE28" s="620">
        <f t="shared" si="5"/>
        <v>10</v>
      </c>
      <c r="AH28" s="12" t="str">
        <f ca="1">IF(OFFSET(BQ28,0,Lang_Order*Lang__T1)="","",OFFSET(BQ28,0,Lang_Order*Lang__T1))</f>
        <v>End users may use thisand the next 9 rows to specify user-defined vaccines</v>
      </c>
      <c r="AI28" s="403"/>
      <c r="AJ28" s="403"/>
      <c r="AK28" s="403"/>
      <c r="AL28" s="403"/>
      <c r="AM28" s="403"/>
      <c r="AN28" s="403"/>
      <c r="AO28" s="403"/>
      <c r="AP28" s="403"/>
      <c r="AQ28" s="403"/>
      <c r="AR28" s="403"/>
      <c r="AS28" s="403"/>
      <c r="AT28" s="403"/>
      <c r="AU28" s="403"/>
      <c r="AV28" s="403"/>
      <c r="AW28" s="403"/>
      <c r="AX28" s="403"/>
      <c r="AY28" s="403"/>
      <c r="AZ28" s="403"/>
      <c r="BA28" s="403"/>
      <c r="BB28" s="403"/>
      <c r="BC28" s="403"/>
      <c r="BD28" s="403"/>
      <c r="BE28" s="403"/>
      <c r="BF28" s="403"/>
      <c r="BG28" s="403"/>
      <c r="BH28" s="403"/>
      <c r="BI28" s="403"/>
      <c r="BJ28" s="403"/>
      <c r="BK28" s="403"/>
      <c r="BL28" s="403"/>
      <c r="BM28" s="403"/>
      <c r="BN28" s="403"/>
      <c r="BO28" s="403"/>
      <c r="BP28" s="403"/>
      <c r="BQ28" s="403" t="s">
        <v>3114</v>
      </c>
      <c r="BR28" s="403"/>
      <c r="BS28" s="403"/>
      <c r="BT28" s="403"/>
      <c r="BU28" s="403"/>
      <c r="BV28" s="403"/>
      <c r="BW28" s="403"/>
      <c r="BX28" s="403"/>
      <c r="BY28" s="403"/>
      <c r="BZ28" s="403"/>
      <c r="CA28" s="403"/>
      <c r="CB28" s="403"/>
      <c r="CC28" s="403"/>
      <c r="CD28" s="403"/>
      <c r="CE28" s="403"/>
      <c r="CF28" s="403"/>
      <c r="CG28" s="403"/>
      <c r="CH28" s="403"/>
      <c r="CI28" s="403"/>
      <c r="CJ28" s="403"/>
      <c r="CK28" s="403"/>
      <c r="CL28" s="403"/>
      <c r="CM28" s="403"/>
      <c r="CN28" s="403"/>
      <c r="CO28" s="403"/>
      <c r="CP28" s="403"/>
      <c r="CQ28" s="403"/>
      <c r="CR28" s="403"/>
      <c r="CS28" s="403"/>
      <c r="CT28" s="403"/>
      <c r="CU28" s="403"/>
      <c r="CV28" s="403"/>
      <c r="CW28" s="403"/>
      <c r="CX28" s="403"/>
      <c r="CY28" s="403"/>
      <c r="CZ28" s="403"/>
      <c r="DA28" s="403" t="s">
        <v>5820</v>
      </c>
      <c r="DB28" s="403"/>
      <c r="DC28" s="403"/>
      <c r="DD28" s="403"/>
      <c r="DE28" s="403"/>
      <c r="DF28" s="403"/>
      <c r="DG28" s="403"/>
      <c r="DH28" s="403"/>
      <c r="DI28" s="403"/>
      <c r="DJ28" s="403"/>
      <c r="DK28" s="403"/>
      <c r="DL28" s="403"/>
      <c r="DM28" s="403"/>
      <c r="DN28" s="403"/>
      <c r="DO28" s="403"/>
      <c r="DP28" s="403"/>
      <c r="DQ28" s="403"/>
      <c r="DR28" s="403"/>
      <c r="DS28" s="403"/>
      <c r="DT28" s="403"/>
      <c r="DU28" s="403"/>
      <c r="DV28" s="403"/>
      <c r="DW28" s="403"/>
      <c r="DX28" s="403"/>
      <c r="DY28" s="403"/>
      <c r="DZ28" s="403"/>
      <c r="EA28" s="403"/>
      <c r="EB28" s="403"/>
      <c r="EC28" s="403"/>
      <c r="ED28" s="403"/>
      <c r="EE28" s="403"/>
      <c r="EF28" s="403"/>
      <c r="EG28" s="403"/>
      <c r="EH28" s="403"/>
      <c r="EI28" s="403"/>
      <c r="EJ28" s="403"/>
      <c r="EK28" s="403" t="s">
        <v>5821</v>
      </c>
      <c r="EL28" s="403"/>
      <c r="EM28" s="403"/>
      <c r="EN28" s="403"/>
      <c r="EO28" s="403"/>
      <c r="EP28" s="403"/>
      <c r="EQ28" s="403"/>
      <c r="ER28" s="403"/>
      <c r="ES28" s="403"/>
      <c r="ET28" s="403"/>
      <c r="EU28" s="403"/>
      <c r="EV28" s="403"/>
      <c r="EW28" s="403"/>
      <c r="EX28" s="403"/>
      <c r="EY28" s="403"/>
      <c r="EZ28" s="403"/>
      <c r="FA28" s="403"/>
      <c r="FB28" s="403"/>
      <c r="FC28" s="403"/>
      <c r="FD28" s="403"/>
      <c r="FE28" s="403"/>
      <c r="FF28" s="403"/>
      <c r="FG28" s="403"/>
      <c r="FH28" s="403"/>
      <c r="FI28" s="403"/>
      <c r="FJ28" s="403"/>
      <c r="FK28" s="403"/>
      <c r="FL28" s="403"/>
      <c r="FM28" s="403"/>
      <c r="FN28" s="403"/>
      <c r="FO28" s="403"/>
      <c r="FP28" s="403"/>
      <c r="FQ28" s="403"/>
      <c r="FR28" s="403"/>
      <c r="FS28" s="403"/>
      <c r="FT28" s="403"/>
      <c r="FU28" s="403" t="s">
        <v>5822</v>
      </c>
      <c r="FV28" s="403"/>
      <c r="FW28" s="403"/>
      <c r="FX28" s="403"/>
      <c r="FY28" s="403"/>
      <c r="FZ28" s="403"/>
      <c r="GA28" s="403"/>
      <c r="GB28" s="403"/>
      <c r="GC28" s="403"/>
      <c r="GD28" s="403"/>
      <c r="GE28" s="403"/>
      <c r="GF28" s="403"/>
      <c r="GG28" s="403"/>
      <c r="GH28" s="403"/>
      <c r="GI28" s="403"/>
      <c r="GJ28" s="403"/>
      <c r="GK28" s="403"/>
      <c r="GL28" s="403"/>
      <c r="GM28" s="403"/>
      <c r="GN28" s="403"/>
      <c r="GO28" s="403"/>
      <c r="GP28" s="403"/>
      <c r="GQ28" s="403"/>
      <c r="GR28" s="403"/>
      <c r="GS28" s="403"/>
      <c r="GT28" s="403"/>
      <c r="GU28" s="403"/>
      <c r="GV28" s="403"/>
      <c r="GW28" s="403"/>
      <c r="GX28" s="403"/>
      <c r="GY28" s="403"/>
      <c r="GZ28" s="403"/>
      <c r="HA28" s="403"/>
      <c r="HB28" s="403"/>
      <c r="HC28" s="403"/>
      <c r="HD28" s="403"/>
      <c r="HE28" s="403" t="s">
        <v>5823</v>
      </c>
      <c r="HF28" s="403"/>
      <c r="HG28" s="403"/>
      <c r="HH28" s="403"/>
      <c r="HI28" s="403"/>
      <c r="HJ28" s="403"/>
      <c r="HK28" s="403"/>
      <c r="HL28" s="403"/>
      <c r="HM28" s="403"/>
      <c r="HN28" s="403"/>
      <c r="HO28" s="403"/>
      <c r="HP28" s="403"/>
      <c r="HQ28" s="403"/>
      <c r="HR28" s="403"/>
      <c r="HS28" s="403"/>
      <c r="HT28" s="403"/>
      <c r="HU28" s="403"/>
      <c r="HV28" s="403"/>
      <c r="HW28" s="403"/>
      <c r="HX28" s="403"/>
      <c r="HY28" s="403"/>
      <c r="HZ28" s="403"/>
      <c r="IA28" s="403"/>
      <c r="IB28" s="403"/>
      <c r="IC28" s="403"/>
      <c r="ID28" s="403"/>
      <c r="IE28" s="403"/>
      <c r="IF28" s="403"/>
      <c r="IG28" s="403"/>
      <c r="IH28" s="403"/>
      <c r="II28" s="403"/>
      <c r="IJ28" s="403"/>
      <c r="IK28" s="403"/>
      <c r="IL28" s="403"/>
      <c r="IM28" s="403"/>
      <c r="IN28" s="403"/>
      <c r="IO28" s="403" t="s">
        <v>5824</v>
      </c>
      <c r="IP28" s="403"/>
      <c r="IQ28" s="403"/>
      <c r="IR28" s="403"/>
      <c r="IS28" s="403"/>
      <c r="IT28" s="403"/>
      <c r="IU28" s="403"/>
      <c r="IV28" s="403"/>
      <c r="IW28" s="403"/>
      <c r="IX28" s="403"/>
      <c r="IY28" s="403"/>
      <c r="IZ28" s="403"/>
      <c r="JA28" s="403"/>
      <c r="JB28" s="403"/>
      <c r="JC28" s="403"/>
      <c r="JD28" s="403"/>
      <c r="JE28" s="403"/>
      <c r="JF28" s="403"/>
      <c r="JG28" s="403"/>
      <c r="JH28" s="403"/>
      <c r="JI28" s="403"/>
      <c r="JJ28" s="403"/>
      <c r="JK28" s="403"/>
      <c r="JL28" s="403"/>
      <c r="JM28" s="403"/>
      <c r="JN28" s="403"/>
      <c r="JO28" s="403"/>
      <c r="JP28" s="403"/>
      <c r="JQ28" s="403"/>
      <c r="JR28" s="403"/>
      <c r="JS28" s="403"/>
      <c r="JT28" s="403"/>
      <c r="JU28" s="403"/>
      <c r="JV28" s="403"/>
      <c r="JW28" s="403"/>
      <c r="JX28" s="403"/>
      <c r="JY28" s="403" t="s">
        <v>5825</v>
      </c>
    </row>
    <row r="29" spans="1:285" s="241" customFormat="1" x14ac:dyDescent="0.2">
      <c r="A29" s="2">
        <v>22</v>
      </c>
      <c r="B29" s="214"/>
      <c r="C29" s="433" t="s">
        <v>3109</v>
      </c>
      <c r="D29" s="433"/>
      <c r="E29" s="434"/>
      <c r="F29" s="433"/>
      <c r="G29" s="433"/>
      <c r="H29" s="433"/>
      <c r="I29" s="433"/>
      <c r="J29" s="433"/>
      <c r="K29" s="433"/>
      <c r="L29" s="433"/>
      <c r="M29" s="433"/>
      <c r="N29" s="433"/>
      <c r="O29" s="433"/>
      <c r="P29" s="433"/>
      <c r="Q29" s="433"/>
      <c r="R29" s="433"/>
      <c r="S29" s="433"/>
      <c r="T29" s="433"/>
      <c r="U29" s="433"/>
      <c r="V29" s="433"/>
      <c r="W29" s="433"/>
      <c r="X29" s="433"/>
      <c r="Y29" s="433"/>
      <c r="Z29" s="433"/>
      <c r="AA29" s="433"/>
      <c r="AB29" s="433"/>
      <c r="AC29" s="433"/>
      <c r="AD29" s="435"/>
      <c r="AE29" s="620">
        <f t="shared" si="5"/>
        <v>10</v>
      </c>
      <c r="AH29" s="12"/>
      <c r="AI29" s="403"/>
      <c r="AJ29" s="403"/>
      <c r="AK29" s="403"/>
      <c r="AL29" s="403"/>
      <c r="AM29" s="403"/>
      <c r="AN29" s="403"/>
      <c r="AO29" s="403"/>
      <c r="AP29" s="403"/>
      <c r="AQ29" s="403"/>
      <c r="AR29" s="403"/>
      <c r="AS29" s="403"/>
      <c r="AT29" s="403"/>
      <c r="AU29" s="403"/>
      <c r="AV29" s="403"/>
      <c r="AW29" s="403"/>
      <c r="AX29" s="403"/>
      <c r="AY29" s="403"/>
      <c r="AZ29" s="403"/>
      <c r="BA29" s="403"/>
      <c r="BB29" s="403"/>
      <c r="BC29" s="403"/>
      <c r="BD29" s="403"/>
      <c r="BE29" s="403"/>
      <c r="BF29" s="403"/>
      <c r="BG29" s="403"/>
      <c r="BH29" s="403"/>
      <c r="BI29" s="403"/>
      <c r="BJ29" s="403"/>
      <c r="BK29" s="403"/>
      <c r="BL29" s="403"/>
      <c r="BM29" s="403"/>
      <c r="BN29" s="403"/>
      <c r="BO29" s="403"/>
      <c r="BP29" s="403"/>
      <c r="BQ29" s="403"/>
      <c r="BR29" s="403"/>
      <c r="BS29" s="403"/>
      <c r="BT29" s="403" t="str">
        <f t="shared" ref="BT29:BT74" si="6">CONCATENATE($BS$1,AJ29)</f>
        <v/>
      </c>
      <c r="BU29" s="403" t="str">
        <f t="shared" ref="BU29:BU74" si="7">CONCATENATE($BS$1,AK29)</f>
        <v/>
      </c>
      <c r="BV29" s="403" t="str">
        <f t="shared" ref="BV29:BV74" si="8">CONCATENATE($BS$1,AL29)</f>
        <v/>
      </c>
      <c r="BW29" s="403" t="str">
        <f t="shared" ref="BW29:BW74" si="9">CONCATENATE($BS$1,AM29)</f>
        <v/>
      </c>
      <c r="BX29" s="403" t="str">
        <f t="shared" ref="BX29:BX74" si="10">CONCATENATE($BS$1,AN29)</f>
        <v/>
      </c>
      <c r="BY29" s="403" t="str">
        <f t="shared" ref="BY29:BY74" si="11">CONCATENATE($BS$1,AO29)</f>
        <v/>
      </c>
      <c r="BZ29" s="403" t="str">
        <f t="shared" ref="BZ29:BZ74" si="12">CONCATENATE($BS$1,AP29)</f>
        <v/>
      </c>
      <c r="CA29" s="403" t="str">
        <f t="shared" ref="CA29:CA74" si="13">CONCATENATE($BS$1,AQ29)</f>
        <v/>
      </c>
      <c r="CB29" s="403" t="str">
        <f t="shared" ref="CB29:CB74" si="14">CONCATENATE($BS$1,AR29)</f>
        <v/>
      </c>
      <c r="CC29" s="403" t="str">
        <f t="shared" ref="CC29:CC74" si="15">CONCATENATE($BS$1,AS29)</f>
        <v/>
      </c>
      <c r="CD29" s="403" t="str">
        <f t="shared" ref="CD29:CD74" si="16">CONCATENATE($BS$1,AT29)</f>
        <v/>
      </c>
      <c r="CE29" s="403" t="str">
        <f t="shared" ref="CE29:CE74" si="17">CONCATENATE($BS$1,AU29)</f>
        <v/>
      </c>
      <c r="CF29" s="403" t="str">
        <f t="shared" ref="CF29:CF74" si="18">CONCATENATE($BS$1,AV29)</f>
        <v/>
      </c>
      <c r="CG29" s="403" t="str">
        <f t="shared" ref="CG29:CG74" si="19">CONCATENATE($BS$1,AW29)</f>
        <v/>
      </c>
      <c r="CH29" s="403" t="str">
        <f t="shared" ref="CH29:CH74" si="20">CONCATENATE($BS$1,AX29)</f>
        <v/>
      </c>
      <c r="CI29" s="403" t="str">
        <f t="shared" ref="CI29:CI74" si="21">CONCATENATE($BS$1,AY29)</f>
        <v/>
      </c>
      <c r="CJ29" s="403" t="str">
        <f t="shared" ref="CJ29:CJ74" si="22">CONCATENATE($BS$1,AZ29)</f>
        <v/>
      </c>
      <c r="CK29" s="403" t="str">
        <f t="shared" ref="CK29:CK74" si="23">CONCATENATE($BS$1,BA29)</f>
        <v/>
      </c>
      <c r="CL29" s="403" t="str">
        <f t="shared" ref="CL29:CL74" si="24">CONCATENATE($BS$1,BB29)</f>
        <v/>
      </c>
      <c r="CM29" s="403" t="str">
        <f t="shared" ref="CM29:CM74" si="25">CONCATENATE($BS$1,BC29)</f>
        <v/>
      </c>
      <c r="CN29" s="403" t="str">
        <f t="shared" ref="CN29:CN74" si="26">CONCATENATE($BS$1,BD29)</f>
        <v/>
      </c>
      <c r="CO29" s="403" t="str">
        <f t="shared" ref="CO29:CO74" si="27">CONCATENATE($BS$1,BE29)</f>
        <v/>
      </c>
      <c r="CP29" s="403" t="str">
        <f t="shared" ref="CP29:CP74" si="28">CONCATENATE($BS$1,BF29)</f>
        <v/>
      </c>
      <c r="CQ29" s="403" t="str">
        <f t="shared" ref="CQ29:CQ74" si="29">CONCATENATE($BS$1,BG29)</f>
        <v/>
      </c>
      <c r="CR29" s="403" t="str">
        <f t="shared" ref="CR29:CR74" si="30">CONCATENATE($BS$1,BH29)</f>
        <v/>
      </c>
      <c r="CS29" s="403" t="str">
        <f t="shared" ref="CS29:CS74" si="31">CONCATENATE($BS$1,BI29)</f>
        <v/>
      </c>
      <c r="CT29" s="403" t="str">
        <f t="shared" ref="CT29:CT74" si="32">CONCATENATE($BS$1,BJ29)</f>
        <v/>
      </c>
      <c r="CU29" s="403" t="str">
        <f t="shared" ref="CU29:CU74" si="33">CONCATENATE($BS$1,BK29)</f>
        <v/>
      </c>
      <c r="CV29" s="403" t="str">
        <f t="shared" ref="CV29:CV74" si="34">CONCATENATE($BS$1,BL29)</f>
        <v/>
      </c>
      <c r="CW29" s="403" t="str">
        <f t="shared" ref="CW29:CW74" si="35">CONCATENATE($BS$1,BM29)</f>
        <v/>
      </c>
      <c r="CX29" s="403" t="str">
        <f t="shared" ref="CX29:CX74" si="36">CONCATENATE($BS$1,BN29)</f>
        <v/>
      </c>
      <c r="CY29" s="403" t="str">
        <f t="shared" ref="CY29:CY74" si="37">CONCATENATE($BS$1,BO29)</f>
        <v/>
      </c>
      <c r="CZ29" s="403" t="str">
        <f t="shared" ref="CZ29:CZ74" si="38">CONCATENATE($BS$1,BP29)</f>
        <v/>
      </c>
      <c r="DA29" s="403" t="str">
        <f t="shared" ref="DA29:DA74" si="39">CONCATENATE($BS$1,BQ29)</f>
        <v/>
      </c>
      <c r="DB29" s="403" t="str">
        <f t="shared" ref="DB29:DB74" si="40">CONCATENATE($BS$1,BR29)</f>
        <v/>
      </c>
      <c r="DC29" s="403"/>
      <c r="DD29" s="403" t="str">
        <f t="shared" ref="DD29:DD74" si="41">CONCATENATE($DC$1,AJ29)</f>
        <v/>
      </c>
      <c r="DE29" s="403" t="str">
        <f t="shared" ref="DE29:DE74" si="42">CONCATENATE($DC$1,AK29)</f>
        <v/>
      </c>
      <c r="DF29" s="403" t="str">
        <f t="shared" ref="DF29:DF74" si="43">CONCATENATE($DC$1,AL29)</f>
        <v/>
      </c>
      <c r="DG29" s="403" t="str">
        <f t="shared" ref="DG29:DG74" si="44">CONCATENATE($DC$1,AM29)</f>
        <v/>
      </c>
      <c r="DH29" s="403" t="str">
        <f t="shared" ref="DH29:DH74" si="45">CONCATENATE($DC$1,AN29)</f>
        <v/>
      </c>
      <c r="DI29" s="403" t="str">
        <f t="shared" ref="DI29:DI74" si="46">CONCATENATE($DC$1,AO29)</f>
        <v/>
      </c>
      <c r="DJ29" s="403" t="str">
        <f t="shared" ref="DJ29:DJ74" si="47">CONCATENATE($DC$1,AP29)</f>
        <v/>
      </c>
      <c r="DK29" s="403" t="str">
        <f t="shared" ref="DK29:DK74" si="48">CONCATENATE($DC$1,AQ29)</f>
        <v/>
      </c>
      <c r="DL29" s="403" t="str">
        <f t="shared" ref="DL29:DL74" si="49">CONCATENATE($DC$1,AR29)</f>
        <v/>
      </c>
      <c r="DM29" s="403" t="str">
        <f t="shared" ref="DM29:DM74" si="50">CONCATENATE($DC$1,AS29)</f>
        <v/>
      </c>
      <c r="DN29" s="403" t="str">
        <f t="shared" ref="DN29:DN74" si="51">CONCATENATE($DC$1,AT29)</f>
        <v/>
      </c>
      <c r="DO29" s="403" t="str">
        <f t="shared" ref="DO29:DO74" si="52">CONCATENATE($DC$1,AU29)</f>
        <v/>
      </c>
      <c r="DP29" s="403" t="str">
        <f t="shared" ref="DP29:DP74" si="53">CONCATENATE($DC$1,AV29)</f>
        <v/>
      </c>
      <c r="DQ29" s="403" t="str">
        <f t="shared" ref="DQ29:DQ74" si="54">CONCATENATE($DC$1,AW29)</f>
        <v/>
      </c>
      <c r="DR29" s="403" t="str">
        <f t="shared" ref="DR29:DR74" si="55">CONCATENATE($DC$1,AX29)</f>
        <v/>
      </c>
      <c r="DS29" s="403" t="str">
        <f t="shared" ref="DS29:DS74" si="56">CONCATENATE($DC$1,AY29)</f>
        <v/>
      </c>
      <c r="DT29" s="403" t="str">
        <f t="shared" ref="DT29:DT74" si="57">CONCATENATE($DC$1,AZ29)</f>
        <v/>
      </c>
      <c r="DU29" s="403" t="str">
        <f t="shared" ref="DU29:DU74" si="58">CONCATENATE($DC$1,BA29)</f>
        <v/>
      </c>
      <c r="DV29" s="403" t="str">
        <f t="shared" ref="DV29:DV74" si="59">CONCATENATE($DC$1,BB29)</f>
        <v/>
      </c>
      <c r="DW29" s="403" t="str">
        <f t="shared" ref="DW29:DW74" si="60">CONCATENATE($DC$1,BC29)</f>
        <v/>
      </c>
      <c r="DX29" s="403" t="str">
        <f t="shared" ref="DX29:DX74" si="61">CONCATENATE($DC$1,BD29)</f>
        <v/>
      </c>
      <c r="DY29" s="403" t="str">
        <f t="shared" ref="DY29:DY74" si="62">CONCATENATE($DC$1,BE29)</f>
        <v/>
      </c>
      <c r="DZ29" s="403" t="str">
        <f t="shared" ref="DZ29:DZ74" si="63">CONCATENATE($DC$1,BF29)</f>
        <v/>
      </c>
      <c r="EA29" s="403" t="str">
        <f t="shared" ref="EA29:EA74" si="64">CONCATENATE($DC$1,BG29)</f>
        <v/>
      </c>
      <c r="EB29" s="403" t="str">
        <f t="shared" ref="EB29:EB74" si="65">CONCATENATE($DC$1,BH29)</f>
        <v/>
      </c>
      <c r="EC29" s="403" t="str">
        <f t="shared" ref="EC29:EC74" si="66">CONCATENATE($DC$1,BI29)</f>
        <v/>
      </c>
      <c r="ED29" s="403" t="str">
        <f t="shared" ref="ED29:ED74" si="67">CONCATENATE($DC$1,BJ29)</f>
        <v/>
      </c>
      <c r="EE29" s="403" t="str">
        <f t="shared" ref="EE29:EE74" si="68">CONCATENATE($DC$1,BK29)</f>
        <v/>
      </c>
      <c r="EF29" s="403" t="str">
        <f t="shared" ref="EF29:EF74" si="69">CONCATENATE($DC$1,BL29)</f>
        <v/>
      </c>
      <c r="EG29" s="403" t="str">
        <f t="shared" ref="EG29:EG74" si="70">CONCATENATE($DC$1,BM29)</f>
        <v/>
      </c>
      <c r="EH29" s="403" t="str">
        <f t="shared" ref="EH29:EH74" si="71">CONCATENATE($DC$1,BN29)</f>
        <v/>
      </c>
      <c r="EI29" s="403" t="str">
        <f t="shared" ref="EI29:EI74" si="72">CONCATENATE($DC$1,BO29)</f>
        <v/>
      </c>
      <c r="EJ29" s="403" t="str">
        <f t="shared" ref="EJ29:EJ74" si="73">CONCATENATE($DC$1,BP29)</f>
        <v/>
      </c>
      <c r="EK29" s="403" t="str">
        <f t="shared" ref="EK29:EK74" si="74">CONCATENATE($DC$1,BQ29)</f>
        <v/>
      </c>
      <c r="EL29" s="403" t="str">
        <f t="shared" ref="EL29:EL74" si="75">CONCATENATE($DC$1,BR29)</f>
        <v/>
      </c>
      <c r="EM29" s="403"/>
      <c r="EN29" s="403" t="str">
        <f t="shared" ref="EN29:EN74" si="76">CONCATENATE($EM$1,AJ29)</f>
        <v/>
      </c>
      <c r="EO29" s="403" t="str">
        <f t="shared" ref="EO29:EO74" si="77">CONCATENATE($EM$1,AK29)</f>
        <v/>
      </c>
      <c r="EP29" s="403" t="str">
        <f t="shared" ref="EP29:EP74" si="78">CONCATENATE($EM$1,AL29)</f>
        <v/>
      </c>
      <c r="EQ29" s="403" t="str">
        <f t="shared" ref="EQ29:EQ74" si="79">CONCATENATE($EM$1,AM29)</f>
        <v/>
      </c>
      <c r="ER29" s="403" t="str">
        <f t="shared" ref="ER29:ER74" si="80">CONCATENATE($EM$1,AN29)</f>
        <v/>
      </c>
      <c r="ES29" s="403" t="str">
        <f t="shared" ref="ES29:ES74" si="81">CONCATENATE($EM$1,AO29)</f>
        <v/>
      </c>
      <c r="ET29" s="403" t="str">
        <f t="shared" ref="ET29:ET74" si="82">CONCATENATE($EM$1,AP29)</f>
        <v/>
      </c>
      <c r="EU29" s="403" t="str">
        <f t="shared" ref="EU29:EU74" si="83">CONCATENATE($EM$1,AQ29)</f>
        <v/>
      </c>
      <c r="EV29" s="403" t="str">
        <f t="shared" ref="EV29:EV74" si="84">CONCATENATE($EM$1,AR29)</f>
        <v/>
      </c>
      <c r="EW29" s="403" t="str">
        <f t="shared" ref="EW29:EW74" si="85">CONCATENATE($EM$1,AS29)</f>
        <v/>
      </c>
      <c r="EX29" s="403" t="str">
        <f t="shared" ref="EX29:EX74" si="86">CONCATENATE($EM$1,AT29)</f>
        <v/>
      </c>
      <c r="EY29" s="403" t="str">
        <f t="shared" ref="EY29:EY74" si="87">CONCATENATE($EM$1,AU29)</f>
        <v/>
      </c>
      <c r="EZ29" s="403" t="str">
        <f t="shared" ref="EZ29:EZ74" si="88">CONCATENATE($EM$1,AV29)</f>
        <v/>
      </c>
      <c r="FA29" s="403" t="str">
        <f t="shared" ref="FA29:FA74" si="89">CONCATENATE($EM$1,AW29)</f>
        <v/>
      </c>
      <c r="FB29" s="403" t="str">
        <f t="shared" ref="FB29:FB74" si="90">CONCATENATE($EM$1,AX29)</f>
        <v/>
      </c>
      <c r="FC29" s="403" t="str">
        <f t="shared" ref="FC29:FC74" si="91">CONCATENATE($EM$1,AY29)</f>
        <v/>
      </c>
      <c r="FD29" s="403" t="str">
        <f t="shared" ref="FD29:FD74" si="92">CONCATENATE($EM$1,AZ29)</f>
        <v/>
      </c>
      <c r="FE29" s="403" t="str">
        <f t="shared" ref="FE29:FE74" si="93">CONCATENATE($EM$1,BA29)</f>
        <v/>
      </c>
      <c r="FF29" s="403" t="str">
        <f t="shared" ref="FF29:FF74" si="94">CONCATENATE($EM$1,BB29)</f>
        <v/>
      </c>
      <c r="FG29" s="403" t="str">
        <f t="shared" ref="FG29:FG74" si="95">CONCATENATE($EM$1,BC29)</f>
        <v/>
      </c>
      <c r="FH29" s="403" t="str">
        <f t="shared" ref="FH29:FH74" si="96">CONCATENATE($EM$1,BD29)</f>
        <v/>
      </c>
      <c r="FI29" s="403" t="str">
        <f t="shared" ref="FI29:FI74" si="97">CONCATENATE($EM$1,BE29)</f>
        <v/>
      </c>
      <c r="FJ29" s="403" t="str">
        <f t="shared" ref="FJ29:FJ74" si="98">CONCATENATE($EM$1,BF29)</f>
        <v/>
      </c>
      <c r="FK29" s="403" t="str">
        <f t="shared" ref="FK29:FK74" si="99">CONCATENATE($EM$1,BG29)</f>
        <v/>
      </c>
      <c r="FL29" s="403" t="str">
        <f t="shared" ref="FL29:FL74" si="100">CONCATENATE($EM$1,BH29)</f>
        <v/>
      </c>
      <c r="FM29" s="403" t="str">
        <f t="shared" ref="FM29:FM74" si="101">CONCATENATE($EM$1,BI29)</f>
        <v/>
      </c>
      <c r="FN29" s="403" t="str">
        <f t="shared" ref="FN29:FN74" si="102">CONCATENATE($EM$1,BJ29)</f>
        <v/>
      </c>
      <c r="FO29" s="403" t="str">
        <f t="shared" ref="FO29:FO74" si="103">CONCATENATE($EM$1,BK29)</f>
        <v/>
      </c>
      <c r="FP29" s="403" t="str">
        <f t="shared" ref="FP29:FP74" si="104">CONCATENATE($EM$1,BL29)</f>
        <v/>
      </c>
      <c r="FQ29" s="403" t="str">
        <f t="shared" ref="FQ29:FQ74" si="105">CONCATENATE($EM$1,BM29)</f>
        <v/>
      </c>
      <c r="FR29" s="403" t="str">
        <f t="shared" ref="FR29:FR74" si="106">CONCATENATE($EM$1,BN29)</f>
        <v/>
      </c>
      <c r="FS29" s="403" t="str">
        <f t="shared" ref="FS29:FS74" si="107">CONCATENATE($EM$1,BO29)</f>
        <v/>
      </c>
      <c r="FT29" s="403" t="str">
        <f t="shared" ref="FT29:FT74" si="108">CONCATENATE($EM$1,BP29)</f>
        <v/>
      </c>
      <c r="FU29" s="403" t="str">
        <f t="shared" ref="FU29:FU74" si="109">CONCATENATE($EM$1,BQ29)</f>
        <v/>
      </c>
      <c r="FV29" s="403" t="str">
        <f t="shared" ref="FV29:FV74" si="110">CONCATENATE($EM$1,BR29)</f>
        <v/>
      </c>
      <c r="FW29" s="403"/>
      <c r="FX29" s="403" t="str">
        <f t="shared" ref="FX29:FX74" si="111">CONCATENATE($FW$1,AJ29)</f>
        <v/>
      </c>
      <c r="FY29" s="403" t="str">
        <f t="shared" ref="FY29:FY74" si="112">CONCATENATE($FW$1,AK29)</f>
        <v/>
      </c>
      <c r="FZ29" s="403" t="str">
        <f t="shared" ref="FZ29:FZ74" si="113">CONCATENATE($FW$1,AL29)</f>
        <v/>
      </c>
      <c r="GA29" s="403" t="str">
        <f t="shared" ref="GA29:GA74" si="114">CONCATENATE($FW$1,AM29)</f>
        <v/>
      </c>
      <c r="GB29" s="403" t="str">
        <f t="shared" ref="GB29:GB74" si="115">CONCATENATE($FW$1,AN29)</f>
        <v/>
      </c>
      <c r="GC29" s="403" t="str">
        <f t="shared" ref="GC29:GC74" si="116">CONCATENATE($FW$1,AO29)</f>
        <v/>
      </c>
      <c r="GD29" s="403" t="str">
        <f t="shared" ref="GD29:GD74" si="117">CONCATENATE($FW$1,AP29)</f>
        <v/>
      </c>
      <c r="GE29" s="403" t="str">
        <f t="shared" ref="GE29:GE74" si="118">CONCATENATE($FW$1,AQ29)</f>
        <v/>
      </c>
      <c r="GF29" s="403" t="str">
        <f t="shared" ref="GF29:GF74" si="119">CONCATENATE($FW$1,AR29)</f>
        <v/>
      </c>
      <c r="GG29" s="403" t="str">
        <f t="shared" ref="GG29:GG74" si="120">CONCATENATE($FW$1,AS29)</f>
        <v/>
      </c>
      <c r="GH29" s="403" t="str">
        <f t="shared" ref="GH29:GH74" si="121">CONCATENATE($FW$1,AT29)</f>
        <v/>
      </c>
      <c r="GI29" s="403" t="str">
        <f t="shared" ref="GI29:GI74" si="122">CONCATENATE($FW$1,AU29)</f>
        <v/>
      </c>
      <c r="GJ29" s="403" t="str">
        <f t="shared" ref="GJ29:GJ74" si="123">CONCATENATE($FW$1,AV29)</f>
        <v/>
      </c>
      <c r="GK29" s="403" t="str">
        <f t="shared" ref="GK29:GK74" si="124">CONCATENATE($FW$1,AW29)</f>
        <v/>
      </c>
      <c r="GL29" s="403" t="str">
        <f t="shared" ref="GL29:GL74" si="125">CONCATENATE($FW$1,AX29)</f>
        <v/>
      </c>
      <c r="GM29" s="403" t="str">
        <f t="shared" ref="GM29:GM74" si="126">CONCATENATE($FW$1,AY29)</f>
        <v/>
      </c>
      <c r="GN29" s="403" t="str">
        <f t="shared" ref="GN29:GN74" si="127">CONCATENATE($FW$1,AZ29)</f>
        <v/>
      </c>
      <c r="GO29" s="403" t="str">
        <f t="shared" ref="GO29:GO74" si="128">CONCATENATE($FW$1,BA29)</f>
        <v/>
      </c>
      <c r="GP29" s="403" t="str">
        <f t="shared" ref="GP29:GP74" si="129">CONCATENATE($FW$1,BB29)</f>
        <v/>
      </c>
      <c r="GQ29" s="403" t="str">
        <f t="shared" ref="GQ29:GQ74" si="130">CONCATENATE($FW$1,BC29)</f>
        <v/>
      </c>
      <c r="GR29" s="403" t="str">
        <f t="shared" ref="GR29:GR74" si="131">CONCATENATE($FW$1,BD29)</f>
        <v/>
      </c>
      <c r="GS29" s="403" t="str">
        <f t="shared" ref="GS29:GS74" si="132">CONCATENATE($FW$1,BE29)</f>
        <v/>
      </c>
      <c r="GT29" s="403" t="str">
        <f t="shared" ref="GT29:GT74" si="133">CONCATENATE($FW$1,BF29)</f>
        <v/>
      </c>
      <c r="GU29" s="403" t="str">
        <f t="shared" ref="GU29:GU74" si="134">CONCATENATE($FW$1,BG29)</f>
        <v/>
      </c>
      <c r="GV29" s="403" t="str">
        <f t="shared" ref="GV29:GV74" si="135">CONCATENATE($FW$1,BH29)</f>
        <v/>
      </c>
      <c r="GW29" s="403" t="str">
        <f t="shared" ref="GW29:GW74" si="136">CONCATENATE($FW$1,BI29)</f>
        <v/>
      </c>
      <c r="GX29" s="403" t="str">
        <f t="shared" ref="GX29:GX74" si="137">CONCATENATE($FW$1,BJ29)</f>
        <v/>
      </c>
      <c r="GY29" s="403" t="str">
        <f t="shared" ref="GY29:GY74" si="138">CONCATENATE($FW$1,BK29)</f>
        <v/>
      </c>
      <c r="GZ29" s="403" t="str">
        <f t="shared" ref="GZ29:GZ74" si="139">CONCATENATE($FW$1,BL29)</f>
        <v/>
      </c>
      <c r="HA29" s="403" t="str">
        <f t="shared" ref="HA29:HA74" si="140">CONCATENATE($FW$1,BM29)</f>
        <v/>
      </c>
      <c r="HB29" s="403" t="str">
        <f t="shared" ref="HB29:HB74" si="141">CONCATENATE($FW$1,BN29)</f>
        <v/>
      </c>
      <c r="HC29" s="403" t="str">
        <f t="shared" ref="HC29:HC74" si="142">CONCATENATE($FW$1,BO29)</f>
        <v/>
      </c>
      <c r="HD29" s="403" t="str">
        <f t="shared" ref="HD29:HD74" si="143">CONCATENATE($FW$1,BP29)</f>
        <v/>
      </c>
      <c r="HE29" s="403" t="str">
        <f t="shared" ref="HE29:HE74" si="144">CONCATENATE($FW$1,BQ29)</f>
        <v/>
      </c>
      <c r="HF29" s="403" t="str">
        <f t="shared" ref="HF29:HF74" si="145">CONCATENATE($FW$1,BR29)</f>
        <v/>
      </c>
      <c r="HG29" s="403"/>
      <c r="HH29" s="403"/>
      <c r="HI29" s="403"/>
      <c r="HJ29" s="403"/>
      <c r="HK29" s="403"/>
      <c r="HL29" s="403"/>
      <c r="HM29" s="403"/>
      <c r="HN29" s="403"/>
      <c r="HO29" s="403"/>
      <c r="HP29" s="403"/>
      <c r="HQ29" s="403"/>
      <c r="HR29" s="403"/>
      <c r="HS29" s="403"/>
      <c r="HT29" s="403"/>
      <c r="HU29" s="403"/>
      <c r="HV29" s="403"/>
      <c r="HW29" s="403"/>
      <c r="HX29" s="403"/>
      <c r="HY29" s="403"/>
      <c r="HZ29" s="403"/>
      <c r="IA29" s="403"/>
      <c r="IB29" s="403"/>
      <c r="IC29" s="403"/>
      <c r="ID29" s="403"/>
      <c r="IE29" s="403"/>
      <c r="IF29" s="403"/>
      <c r="IG29" s="403"/>
      <c r="IH29" s="403"/>
      <c r="II29" s="403"/>
      <c r="IJ29" s="403"/>
      <c r="IK29" s="403"/>
      <c r="IL29" s="403"/>
      <c r="IM29" s="403"/>
      <c r="IN29" s="403"/>
      <c r="IO29" s="403"/>
      <c r="IP29" s="403"/>
      <c r="IQ29" s="403"/>
      <c r="IR29" s="403"/>
      <c r="IS29" s="403"/>
      <c r="IT29" s="403"/>
      <c r="IU29" s="403"/>
      <c r="IV29" s="403"/>
      <c r="IW29" s="403"/>
      <c r="IX29" s="403"/>
      <c r="IY29" s="403"/>
      <c r="IZ29" s="403"/>
      <c r="JA29" s="403"/>
      <c r="JB29" s="403"/>
      <c r="JC29" s="403"/>
      <c r="JD29" s="403"/>
      <c r="JE29" s="403"/>
      <c r="JF29" s="403"/>
      <c r="JG29" s="403"/>
      <c r="JH29" s="403"/>
      <c r="JI29" s="403"/>
      <c r="JJ29" s="403"/>
      <c r="JK29" s="403"/>
      <c r="JL29" s="403"/>
      <c r="JM29" s="403"/>
      <c r="JN29" s="403"/>
      <c r="JO29" s="403"/>
      <c r="JP29" s="403"/>
      <c r="JQ29" s="403"/>
      <c r="JR29" s="403"/>
      <c r="JS29" s="403"/>
      <c r="JT29" s="403"/>
      <c r="JU29" s="403"/>
      <c r="JV29" s="403"/>
      <c r="JW29" s="403"/>
      <c r="JX29" s="403"/>
      <c r="JY29" s="403"/>
    </row>
    <row r="30" spans="1:285" s="241" customFormat="1" x14ac:dyDescent="0.2">
      <c r="A30" s="2">
        <v>23</v>
      </c>
      <c r="B30" s="214"/>
      <c r="C30" s="433" t="s">
        <v>3109</v>
      </c>
      <c r="D30" s="433"/>
      <c r="E30" s="434"/>
      <c r="F30" s="433"/>
      <c r="G30" s="433"/>
      <c r="H30" s="433"/>
      <c r="I30" s="433"/>
      <c r="J30" s="433"/>
      <c r="K30" s="433"/>
      <c r="L30" s="433"/>
      <c r="M30" s="433"/>
      <c r="N30" s="433"/>
      <c r="O30" s="433"/>
      <c r="P30" s="433"/>
      <c r="Q30" s="433"/>
      <c r="R30" s="433"/>
      <c r="S30" s="433"/>
      <c r="T30" s="433"/>
      <c r="U30" s="433"/>
      <c r="V30" s="433"/>
      <c r="W30" s="433"/>
      <c r="X30" s="433"/>
      <c r="Y30" s="433"/>
      <c r="Z30" s="433"/>
      <c r="AA30" s="433"/>
      <c r="AB30" s="433"/>
      <c r="AC30" s="433"/>
      <c r="AD30" s="435"/>
      <c r="AE30" s="620">
        <f t="shared" si="5"/>
        <v>10</v>
      </c>
      <c r="AH30" s="12"/>
      <c r="AI30" s="403"/>
      <c r="AJ30" s="403"/>
      <c r="AK30" s="403"/>
      <c r="AL30" s="403"/>
      <c r="AM30" s="403"/>
      <c r="AN30" s="403"/>
      <c r="AO30" s="403"/>
      <c r="AP30" s="403"/>
      <c r="AQ30" s="403"/>
      <c r="AR30" s="403"/>
      <c r="AS30" s="403"/>
      <c r="AT30" s="403"/>
      <c r="AU30" s="403"/>
      <c r="AV30" s="403"/>
      <c r="AW30" s="403"/>
      <c r="AX30" s="403"/>
      <c r="AY30" s="403"/>
      <c r="AZ30" s="403"/>
      <c r="BA30" s="403"/>
      <c r="BB30" s="403"/>
      <c r="BC30" s="403"/>
      <c r="BD30" s="403"/>
      <c r="BE30" s="403"/>
      <c r="BF30" s="403"/>
      <c r="BG30" s="403"/>
      <c r="BH30" s="403"/>
      <c r="BI30" s="403"/>
      <c r="BJ30" s="403"/>
      <c r="BK30" s="403"/>
      <c r="BL30" s="403"/>
      <c r="BM30" s="403"/>
      <c r="BN30" s="403"/>
      <c r="BO30" s="403"/>
      <c r="BP30" s="403"/>
      <c r="BQ30" s="403"/>
      <c r="BR30" s="403"/>
      <c r="BS30" s="403"/>
      <c r="BT30" s="403" t="str">
        <f t="shared" si="6"/>
        <v/>
      </c>
      <c r="BU30" s="403" t="str">
        <f t="shared" si="7"/>
        <v/>
      </c>
      <c r="BV30" s="403" t="str">
        <f t="shared" si="8"/>
        <v/>
      </c>
      <c r="BW30" s="403" t="str">
        <f t="shared" si="9"/>
        <v/>
      </c>
      <c r="BX30" s="403" t="str">
        <f t="shared" si="10"/>
        <v/>
      </c>
      <c r="BY30" s="403" t="str">
        <f t="shared" si="11"/>
        <v/>
      </c>
      <c r="BZ30" s="403" t="str">
        <f t="shared" si="12"/>
        <v/>
      </c>
      <c r="CA30" s="403" t="str">
        <f t="shared" si="13"/>
        <v/>
      </c>
      <c r="CB30" s="403" t="str">
        <f t="shared" si="14"/>
        <v/>
      </c>
      <c r="CC30" s="403" t="str">
        <f t="shared" si="15"/>
        <v/>
      </c>
      <c r="CD30" s="403" t="str">
        <f t="shared" si="16"/>
        <v/>
      </c>
      <c r="CE30" s="403" t="str">
        <f t="shared" si="17"/>
        <v/>
      </c>
      <c r="CF30" s="403" t="str">
        <f t="shared" si="18"/>
        <v/>
      </c>
      <c r="CG30" s="403" t="str">
        <f t="shared" si="19"/>
        <v/>
      </c>
      <c r="CH30" s="403" t="str">
        <f t="shared" si="20"/>
        <v/>
      </c>
      <c r="CI30" s="403" t="str">
        <f t="shared" si="21"/>
        <v/>
      </c>
      <c r="CJ30" s="403" t="str">
        <f t="shared" si="22"/>
        <v/>
      </c>
      <c r="CK30" s="403" t="str">
        <f t="shared" si="23"/>
        <v/>
      </c>
      <c r="CL30" s="403" t="str">
        <f t="shared" si="24"/>
        <v/>
      </c>
      <c r="CM30" s="403" t="str">
        <f t="shared" si="25"/>
        <v/>
      </c>
      <c r="CN30" s="403" t="str">
        <f t="shared" si="26"/>
        <v/>
      </c>
      <c r="CO30" s="403" t="str">
        <f t="shared" si="27"/>
        <v/>
      </c>
      <c r="CP30" s="403" t="str">
        <f t="shared" si="28"/>
        <v/>
      </c>
      <c r="CQ30" s="403" t="str">
        <f t="shared" si="29"/>
        <v/>
      </c>
      <c r="CR30" s="403" t="str">
        <f t="shared" si="30"/>
        <v/>
      </c>
      <c r="CS30" s="403" t="str">
        <f t="shared" si="31"/>
        <v/>
      </c>
      <c r="CT30" s="403" t="str">
        <f t="shared" si="32"/>
        <v/>
      </c>
      <c r="CU30" s="403" t="str">
        <f t="shared" si="33"/>
        <v/>
      </c>
      <c r="CV30" s="403" t="str">
        <f t="shared" si="34"/>
        <v/>
      </c>
      <c r="CW30" s="403" t="str">
        <f t="shared" si="35"/>
        <v/>
      </c>
      <c r="CX30" s="403" t="str">
        <f t="shared" si="36"/>
        <v/>
      </c>
      <c r="CY30" s="403" t="str">
        <f t="shared" si="37"/>
        <v/>
      </c>
      <c r="CZ30" s="403" t="str">
        <f t="shared" si="38"/>
        <v/>
      </c>
      <c r="DA30" s="403" t="str">
        <f t="shared" si="39"/>
        <v/>
      </c>
      <c r="DB30" s="403" t="str">
        <f t="shared" si="40"/>
        <v/>
      </c>
      <c r="DC30" s="403"/>
      <c r="DD30" s="403" t="str">
        <f t="shared" si="41"/>
        <v/>
      </c>
      <c r="DE30" s="403" t="str">
        <f t="shared" si="42"/>
        <v/>
      </c>
      <c r="DF30" s="403" t="str">
        <f t="shared" si="43"/>
        <v/>
      </c>
      <c r="DG30" s="403" t="str">
        <f t="shared" si="44"/>
        <v/>
      </c>
      <c r="DH30" s="403" t="str">
        <f t="shared" si="45"/>
        <v/>
      </c>
      <c r="DI30" s="403" t="str">
        <f t="shared" si="46"/>
        <v/>
      </c>
      <c r="DJ30" s="403" t="str">
        <f t="shared" si="47"/>
        <v/>
      </c>
      <c r="DK30" s="403" t="str">
        <f t="shared" si="48"/>
        <v/>
      </c>
      <c r="DL30" s="403" t="str">
        <f t="shared" si="49"/>
        <v/>
      </c>
      <c r="DM30" s="403" t="str">
        <f t="shared" si="50"/>
        <v/>
      </c>
      <c r="DN30" s="403" t="str">
        <f t="shared" si="51"/>
        <v/>
      </c>
      <c r="DO30" s="403" t="str">
        <f t="shared" si="52"/>
        <v/>
      </c>
      <c r="DP30" s="403" t="str">
        <f t="shared" si="53"/>
        <v/>
      </c>
      <c r="DQ30" s="403" t="str">
        <f t="shared" si="54"/>
        <v/>
      </c>
      <c r="DR30" s="403" t="str">
        <f t="shared" si="55"/>
        <v/>
      </c>
      <c r="DS30" s="403" t="str">
        <f t="shared" si="56"/>
        <v/>
      </c>
      <c r="DT30" s="403" t="str">
        <f t="shared" si="57"/>
        <v/>
      </c>
      <c r="DU30" s="403" t="str">
        <f t="shared" si="58"/>
        <v/>
      </c>
      <c r="DV30" s="403" t="str">
        <f t="shared" si="59"/>
        <v/>
      </c>
      <c r="DW30" s="403" t="str">
        <f t="shared" si="60"/>
        <v/>
      </c>
      <c r="DX30" s="403" t="str">
        <f t="shared" si="61"/>
        <v/>
      </c>
      <c r="DY30" s="403" t="str">
        <f t="shared" si="62"/>
        <v/>
      </c>
      <c r="DZ30" s="403" t="str">
        <f t="shared" si="63"/>
        <v/>
      </c>
      <c r="EA30" s="403" t="str">
        <f t="shared" si="64"/>
        <v/>
      </c>
      <c r="EB30" s="403" t="str">
        <f t="shared" si="65"/>
        <v/>
      </c>
      <c r="EC30" s="403" t="str">
        <f t="shared" si="66"/>
        <v/>
      </c>
      <c r="ED30" s="403" t="str">
        <f t="shared" si="67"/>
        <v/>
      </c>
      <c r="EE30" s="403" t="str">
        <f t="shared" si="68"/>
        <v/>
      </c>
      <c r="EF30" s="403" t="str">
        <f t="shared" si="69"/>
        <v/>
      </c>
      <c r="EG30" s="403" t="str">
        <f t="shared" si="70"/>
        <v/>
      </c>
      <c r="EH30" s="403" t="str">
        <f t="shared" si="71"/>
        <v/>
      </c>
      <c r="EI30" s="403" t="str">
        <f t="shared" si="72"/>
        <v/>
      </c>
      <c r="EJ30" s="403" t="str">
        <f t="shared" si="73"/>
        <v/>
      </c>
      <c r="EK30" s="403" t="str">
        <f t="shared" si="74"/>
        <v/>
      </c>
      <c r="EL30" s="403" t="str">
        <f t="shared" si="75"/>
        <v/>
      </c>
      <c r="EM30" s="403"/>
      <c r="EN30" s="403" t="str">
        <f t="shared" si="76"/>
        <v/>
      </c>
      <c r="EO30" s="403" t="str">
        <f t="shared" si="77"/>
        <v/>
      </c>
      <c r="EP30" s="403" t="str">
        <f t="shared" si="78"/>
        <v/>
      </c>
      <c r="EQ30" s="403" t="str">
        <f t="shared" si="79"/>
        <v/>
      </c>
      <c r="ER30" s="403" t="str">
        <f t="shared" si="80"/>
        <v/>
      </c>
      <c r="ES30" s="403" t="str">
        <f t="shared" si="81"/>
        <v/>
      </c>
      <c r="ET30" s="403" t="str">
        <f t="shared" si="82"/>
        <v/>
      </c>
      <c r="EU30" s="403" t="str">
        <f t="shared" si="83"/>
        <v/>
      </c>
      <c r="EV30" s="403" t="str">
        <f t="shared" si="84"/>
        <v/>
      </c>
      <c r="EW30" s="403" t="str">
        <f t="shared" si="85"/>
        <v/>
      </c>
      <c r="EX30" s="403" t="str">
        <f t="shared" si="86"/>
        <v/>
      </c>
      <c r="EY30" s="403" t="str">
        <f t="shared" si="87"/>
        <v/>
      </c>
      <c r="EZ30" s="403" t="str">
        <f t="shared" si="88"/>
        <v/>
      </c>
      <c r="FA30" s="403" t="str">
        <f t="shared" si="89"/>
        <v/>
      </c>
      <c r="FB30" s="403" t="str">
        <f t="shared" si="90"/>
        <v/>
      </c>
      <c r="FC30" s="403" t="str">
        <f t="shared" si="91"/>
        <v/>
      </c>
      <c r="FD30" s="403" t="str">
        <f t="shared" si="92"/>
        <v/>
      </c>
      <c r="FE30" s="403" t="str">
        <f t="shared" si="93"/>
        <v/>
      </c>
      <c r="FF30" s="403" t="str">
        <f t="shared" si="94"/>
        <v/>
      </c>
      <c r="FG30" s="403" t="str">
        <f t="shared" si="95"/>
        <v/>
      </c>
      <c r="FH30" s="403" t="str">
        <f t="shared" si="96"/>
        <v/>
      </c>
      <c r="FI30" s="403" t="str">
        <f t="shared" si="97"/>
        <v/>
      </c>
      <c r="FJ30" s="403" t="str">
        <f t="shared" si="98"/>
        <v/>
      </c>
      <c r="FK30" s="403" t="str">
        <f t="shared" si="99"/>
        <v/>
      </c>
      <c r="FL30" s="403" t="str">
        <f t="shared" si="100"/>
        <v/>
      </c>
      <c r="FM30" s="403" t="str">
        <f t="shared" si="101"/>
        <v/>
      </c>
      <c r="FN30" s="403" t="str">
        <f t="shared" si="102"/>
        <v/>
      </c>
      <c r="FO30" s="403" t="str">
        <f t="shared" si="103"/>
        <v/>
      </c>
      <c r="FP30" s="403" t="str">
        <f t="shared" si="104"/>
        <v/>
      </c>
      <c r="FQ30" s="403" t="str">
        <f t="shared" si="105"/>
        <v/>
      </c>
      <c r="FR30" s="403" t="str">
        <f t="shared" si="106"/>
        <v/>
      </c>
      <c r="FS30" s="403" t="str">
        <f t="shared" si="107"/>
        <v/>
      </c>
      <c r="FT30" s="403" t="str">
        <f t="shared" si="108"/>
        <v/>
      </c>
      <c r="FU30" s="403" t="str">
        <f t="shared" si="109"/>
        <v/>
      </c>
      <c r="FV30" s="403" t="str">
        <f t="shared" si="110"/>
        <v/>
      </c>
      <c r="FW30" s="403"/>
      <c r="FX30" s="403" t="str">
        <f t="shared" si="111"/>
        <v/>
      </c>
      <c r="FY30" s="403" t="str">
        <f t="shared" si="112"/>
        <v/>
      </c>
      <c r="FZ30" s="403" t="str">
        <f t="shared" si="113"/>
        <v/>
      </c>
      <c r="GA30" s="403" t="str">
        <f t="shared" si="114"/>
        <v/>
      </c>
      <c r="GB30" s="403" t="str">
        <f t="shared" si="115"/>
        <v/>
      </c>
      <c r="GC30" s="403" t="str">
        <f t="shared" si="116"/>
        <v/>
      </c>
      <c r="GD30" s="403" t="str">
        <f t="shared" si="117"/>
        <v/>
      </c>
      <c r="GE30" s="403" t="str">
        <f t="shared" si="118"/>
        <v/>
      </c>
      <c r="GF30" s="403" t="str">
        <f t="shared" si="119"/>
        <v/>
      </c>
      <c r="GG30" s="403" t="str">
        <f t="shared" si="120"/>
        <v/>
      </c>
      <c r="GH30" s="403" t="str">
        <f t="shared" si="121"/>
        <v/>
      </c>
      <c r="GI30" s="403" t="str">
        <f t="shared" si="122"/>
        <v/>
      </c>
      <c r="GJ30" s="403" t="str">
        <f t="shared" si="123"/>
        <v/>
      </c>
      <c r="GK30" s="403" t="str">
        <f t="shared" si="124"/>
        <v/>
      </c>
      <c r="GL30" s="403" t="str">
        <f t="shared" si="125"/>
        <v/>
      </c>
      <c r="GM30" s="403" t="str">
        <f t="shared" si="126"/>
        <v/>
      </c>
      <c r="GN30" s="403" t="str">
        <f t="shared" si="127"/>
        <v/>
      </c>
      <c r="GO30" s="403" t="str">
        <f t="shared" si="128"/>
        <v/>
      </c>
      <c r="GP30" s="403" t="str">
        <f t="shared" si="129"/>
        <v/>
      </c>
      <c r="GQ30" s="403" t="str">
        <f t="shared" si="130"/>
        <v/>
      </c>
      <c r="GR30" s="403" t="str">
        <f t="shared" si="131"/>
        <v/>
      </c>
      <c r="GS30" s="403" t="str">
        <f t="shared" si="132"/>
        <v/>
      </c>
      <c r="GT30" s="403" t="str">
        <f t="shared" si="133"/>
        <v/>
      </c>
      <c r="GU30" s="403" t="str">
        <f t="shared" si="134"/>
        <v/>
      </c>
      <c r="GV30" s="403" t="str">
        <f t="shared" si="135"/>
        <v/>
      </c>
      <c r="GW30" s="403" t="str">
        <f t="shared" si="136"/>
        <v/>
      </c>
      <c r="GX30" s="403" t="str">
        <f t="shared" si="137"/>
        <v/>
      </c>
      <c r="GY30" s="403" t="str">
        <f t="shared" si="138"/>
        <v/>
      </c>
      <c r="GZ30" s="403" t="str">
        <f t="shared" si="139"/>
        <v/>
      </c>
      <c r="HA30" s="403" t="str">
        <f t="shared" si="140"/>
        <v/>
      </c>
      <c r="HB30" s="403" t="str">
        <f t="shared" si="141"/>
        <v/>
      </c>
      <c r="HC30" s="403" t="str">
        <f t="shared" si="142"/>
        <v/>
      </c>
      <c r="HD30" s="403" t="str">
        <f t="shared" si="143"/>
        <v/>
      </c>
      <c r="HE30" s="403" t="str">
        <f t="shared" si="144"/>
        <v/>
      </c>
      <c r="HF30" s="403" t="str">
        <f t="shared" si="145"/>
        <v/>
      </c>
      <c r="HG30" s="403"/>
      <c r="HH30" s="403"/>
      <c r="HI30" s="403"/>
      <c r="HJ30" s="403"/>
      <c r="HK30" s="403"/>
      <c r="HL30" s="403"/>
      <c r="HM30" s="403"/>
      <c r="HN30" s="403"/>
      <c r="HO30" s="403"/>
      <c r="HP30" s="403"/>
      <c r="HQ30" s="403"/>
      <c r="HR30" s="403"/>
      <c r="HS30" s="403"/>
      <c r="HT30" s="403"/>
      <c r="HU30" s="403"/>
      <c r="HV30" s="403"/>
      <c r="HW30" s="403"/>
      <c r="HX30" s="403"/>
      <c r="HY30" s="403"/>
      <c r="HZ30" s="403"/>
      <c r="IA30" s="403"/>
      <c r="IB30" s="403"/>
      <c r="IC30" s="403"/>
      <c r="ID30" s="403"/>
      <c r="IE30" s="403"/>
      <c r="IF30" s="403"/>
      <c r="IG30" s="403"/>
      <c r="IH30" s="403"/>
      <c r="II30" s="403"/>
      <c r="IJ30" s="403"/>
      <c r="IK30" s="403"/>
      <c r="IL30" s="403"/>
      <c r="IM30" s="403"/>
      <c r="IN30" s="403"/>
      <c r="IO30" s="403"/>
      <c r="IP30" s="403"/>
      <c r="IQ30" s="403"/>
      <c r="IR30" s="403"/>
      <c r="IS30" s="403"/>
      <c r="IT30" s="403"/>
      <c r="IU30" s="403"/>
      <c r="IV30" s="403"/>
      <c r="IW30" s="403"/>
      <c r="IX30" s="403"/>
      <c r="IY30" s="403"/>
      <c r="IZ30" s="403"/>
      <c r="JA30" s="403"/>
      <c r="JB30" s="403"/>
      <c r="JC30" s="403"/>
      <c r="JD30" s="403"/>
      <c r="JE30" s="403"/>
      <c r="JF30" s="403"/>
      <c r="JG30" s="403"/>
      <c r="JH30" s="403"/>
      <c r="JI30" s="403"/>
      <c r="JJ30" s="403"/>
      <c r="JK30" s="403"/>
      <c r="JL30" s="403"/>
      <c r="JM30" s="403"/>
      <c r="JN30" s="403"/>
      <c r="JO30" s="403"/>
      <c r="JP30" s="403"/>
      <c r="JQ30" s="403"/>
      <c r="JR30" s="403"/>
      <c r="JS30" s="403"/>
      <c r="JT30" s="403"/>
      <c r="JU30" s="403"/>
      <c r="JV30" s="403"/>
      <c r="JW30" s="403"/>
      <c r="JX30" s="403"/>
      <c r="JY30" s="403"/>
    </row>
    <row r="31" spans="1:285" s="241" customFormat="1" x14ac:dyDescent="0.2">
      <c r="A31" s="2">
        <v>24</v>
      </c>
      <c r="B31" s="214"/>
      <c r="C31" s="433" t="s">
        <v>3109</v>
      </c>
      <c r="D31" s="433"/>
      <c r="E31" s="434"/>
      <c r="F31" s="433"/>
      <c r="G31" s="433"/>
      <c r="H31" s="433"/>
      <c r="I31" s="433"/>
      <c r="J31" s="433"/>
      <c r="K31" s="433"/>
      <c r="L31" s="433"/>
      <c r="M31" s="433"/>
      <c r="N31" s="433"/>
      <c r="O31" s="433"/>
      <c r="P31" s="433"/>
      <c r="Q31" s="433"/>
      <c r="R31" s="433"/>
      <c r="S31" s="433"/>
      <c r="T31" s="433"/>
      <c r="U31" s="433"/>
      <c r="V31" s="433"/>
      <c r="W31" s="433"/>
      <c r="X31" s="433"/>
      <c r="Y31" s="433"/>
      <c r="Z31" s="433"/>
      <c r="AA31" s="433"/>
      <c r="AB31" s="433"/>
      <c r="AC31" s="433"/>
      <c r="AD31" s="435"/>
      <c r="AE31" s="620">
        <f t="shared" si="5"/>
        <v>10</v>
      </c>
      <c r="AH31" s="12"/>
      <c r="AI31" s="403"/>
      <c r="AJ31" s="403"/>
      <c r="AK31" s="403"/>
      <c r="AL31" s="403"/>
      <c r="AM31" s="403"/>
      <c r="AN31" s="403"/>
      <c r="AO31" s="403"/>
      <c r="AP31" s="403"/>
      <c r="AQ31" s="403"/>
      <c r="AR31" s="403"/>
      <c r="AS31" s="403"/>
      <c r="AT31" s="403"/>
      <c r="AU31" s="403"/>
      <c r="AV31" s="403"/>
      <c r="AW31" s="403"/>
      <c r="AX31" s="403"/>
      <c r="AY31" s="403"/>
      <c r="AZ31" s="403"/>
      <c r="BA31" s="403"/>
      <c r="BB31" s="403"/>
      <c r="BC31" s="403"/>
      <c r="BD31" s="403"/>
      <c r="BE31" s="403"/>
      <c r="BF31" s="403"/>
      <c r="BG31" s="403"/>
      <c r="BH31" s="403"/>
      <c r="BI31" s="403"/>
      <c r="BJ31" s="403"/>
      <c r="BK31" s="403"/>
      <c r="BL31" s="403"/>
      <c r="BM31" s="403"/>
      <c r="BN31" s="403"/>
      <c r="BO31" s="403"/>
      <c r="BP31" s="403"/>
      <c r="BQ31" s="403"/>
      <c r="BR31" s="403"/>
      <c r="BS31" s="403"/>
      <c r="BT31" s="403" t="str">
        <f t="shared" si="6"/>
        <v/>
      </c>
      <c r="BU31" s="403" t="str">
        <f t="shared" si="7"/>
        <v/>
      </c>
      <c r="BV31" s="403" t="str">
        <f t="shared" si="8"/>
        <v/>
      </c>
      <c r="BW31" s="403" t="str">
        <f t="shared" si="9"/>
        <v/>
      </c>
      <c r="BX31" s="403" t="str">
        <f t="shared" si="10"/>
        <v/>
      </c>
      <c r="BY31" s="403" t="str">
        <f t="shared" si="11"/>
        <v/>
      </c>
      <c r="BZ31" s="403" t="str">
        <f t="shared" si="12"/>
        <v/>
      </c>
      <c r="CA31" s="403" t="str">
        <f t="shared" si="13"/>
        <v/>
      </c>
      <c r="CB31" s="403" t="str">
        <f t="shared" si="14"/>
        <v/>
      </c>
      <c r="CC31" s="403" t="str">
        <f t="shared" si="15"/>
        <v/>
      </c>
      <c r="CD31" s="403" t="str">
        <f t="shared" si="16"/>
        <v/>
      </c>
      <c r="CE31" s="403" t="str">
        <f t="shared" si="17"/>
        <v/>
      </c>
      <c r="CF31" s="403" t="str">
        <f t="shared" si="18"/>
        <v/>
      </c>
      <c r="CG31" s="403" t="str">
        <f t="shared" si="19"/>
        <v/>
      </c>
      <c r="CH31" s="403" t="str">
        <f t="shared" si="20"/>
        <v/>
      </c>
      <c r="CI31" s="403" t="str">
        <f t="shared" si="21"/>
        <v/>
      </c>
      <c r="CJ31" s="403" t="str">
        <f t="shared" si="22"/>
        <v/>
      </c>
      <c r="CK31" s="403" t="str">
        <f t="shared" si="23"/>
        <v/>
      </c>
      <c r="CL31" s="403" t="str">
        <f t="shared" si="24"/>
        <v/>
      </c>
      <c r="CM31" s="403" t="str">
        <f t="shared" si="25"/>
        <v/>
      </c>
      <c r="CN31" s="403" t="str">
        <f t="shared" si="26"/>
        <v/>
      </c>
      <c r="CO31" s="403" t="str">
        <f t="shared" si="27"/>
        <v/>
      </c>
      <c r="CP31" s="403" t="str">
        <f t="shared" si="28"/>
        <v/>
      </c>
      <c r="CQ31" s="403" t="str">
        <f t="shared" si="29"/>
        <v/>
      </c>
      <c r="CR31" s="403" t="str">
        <f t="shared" si="30"/>
        <v/>
      </c>
      <c r="CS31" s="403" t="str">
        <f t="shared" si="31"/>
        <v/>
      </c>
      <c r="CT31" s="403" t="str">
        <f t="shared" si="32"/>
        <v/>
      </c>
      <c r="CU31" s="403" t="str">
        <f t="shared" si="33"/>
        <v/>
      </c>
      <c r="CV31" s="403" t="str">
        <f t="shared" si="34"/>
        <v/>
      </c>
      <c r="CW31" s="403" t="str">
        <f t="shared" si="35"/>
        <v/>
      </c>
      <c r="CX31" s="403" t="str">
        <f t="shared" si="36"/>
        <v/>
      </c>
      <c r="CY31" s="403" t="str">
        <f t="shared" si="37"/>
        <v/>
      </c>
      <c r="CZ31" s="403" t="str">
        <f t="shared" si="38"/>
        <v/>
      </c>
      <c r="DA31" s="403" t="str">
        <f t="shared" si="39"/>
        <v/>
      </c>
      <c r="DB31" s="403" t="str">
        <f t="shared" si="40"/>
        <v/>
      </c>
      <c r="DC31" s="403"/>
      <c r="DD31" s="403" t="str">
        <f t="shared" si="41"/>
        <v/>
      </c>
      <c r="DE31" s="403" t="str">
        <f t="shared" si="42"/>
        <v/>
      </c>
      <c r="DF31" s="403" t="str">
        <f t="shared" si="43"/>
        <v/>
      </c>
      <c r="DG31" s="403" t="str">
        <f t="shared" si="44"/>
        <v/>
      </c>
      <c r="DH31" s="403" t="str">
        <f t="shared" si="45"/>
        <v/>
      </c>
      <c r="DI31" s="403" t="str">
        <f t="shared" si="46"/>
        <v/>
      </c>
      <c r="DJ31" s="403" t="str">
        <f t="shared" si="47"/>
        <v/>
      </c>
      <c r="DK31" s="403" t="str">
        <f t="shared" si="48"/>
        <v/>
      </c>
      <c r="DL31" s="403" t="str">
        <f t="shared" si="49"/>
        <v/>
      </c>
      <c r="DM31" s="403" t="str">
        <f t="shared" si="50"/>
        <v/>
      </c>
      <c r="DN31" s="403" t="str">
        <f t="shared" si="51"/>
        <v/>
      </c>
      <c r="DO31" s="403" t="str">
        <f t="shared" si="52"/>
        <v/>
      </c>
      <c r="DP31" s="403" t="str">
        <f t="shared" si="53"/>
        <v/>
      </c>
      <c r="DQ31" s="403" t="str">
        <f t="shared" si="54"/>
        <v/>
      </c>
      <c r="DR31" s="403" t="str">
        <f t="shared" si="55"/>
        <v/>
      </c>
      <c r="DS31" s="403" t="str">
        <f t="shared" si="56"/>
        <v/>
      </c>
      <c r="DT31" s="403" t="str">
        <f t="shared" si="57"/>
        <v/>
      </c>
      <c r="DU31" s="403" t="str">
        <f t="shared" si="58"/>
        <v/>
      </c>
      <c r="DV31" s="403" t="str">
        <f t="shared" si="59"/>
        <v/>
      </c>
      <c r="DW31" s="403" t="str">
        <f t="shared" si="60"/>
        <v/>
      </c>
      <c r="DX31" s="403" t="str">
        <f t="shared" si="61"/>
        <v/>
      </c>
      <c r="DY31" s="403" t="str">
        <f t="shared" si="62"/>
        <v/>
      </c>
      <c r="DZ31" s="403" t="str">
        <f t="shared" si="63"/>
        <v/>
      </c>
      <c r="EA31" s="403" t="str">
        <f t="shared" si="64"/>
        <v/>
      </c>
      <c r="EB31" s="403" t="str">
        <f t="shared" si="65"/>
        <v/>
      </c>
      <c r="EC31" s="403" t="str">
        <f t="shared" si="66"/>
        <v/>
      </c>
      <c r="ED31" s="403" t="str">
        <f t="shared" si="67"/>
        <v/>
      </c>
      <c r="EE31" s="403" t="str">
        <f t="shared" si="68"/>
        <v/>
      </c>
      <c r="EF31" s="403" t="str">
        <f t="shared" si="69"/>
        <v/>
      </c>
      <c r="EG31" s="403" t="str">
        <f t="shared" si="70"/>
        <v/>
      </c>
      <c r="EH31" s="403" t="str">
        <f t="shared" si="71"/>
        <v/>
      </c>
      <c r="EI31" s="403" t="str">
        <f t="shared" si="72"/>
        <v/>
      </c>
      <c r="EJ31" s="403" t="str">
        <f t="shared" si="73"/>
        <v/>
      </c>
      <c r="EK31" s="403" t="str">
        <f t="shared" si="74"/>
        <v/>
      </c>
      <c r="EL31" s="403" t="str">
        <f t="shared" si="75"/>
        <v/>
      </c>
      <c r="EM31" s="403"/>
      <c r="EN31" s="403" t="str">
        <f t="shared" si="76"/>
        <v/>
      </c>
      <c r="EO31" s="403" t="str">
        <f t="shared" si="77"/>
        <v/>
      </c>
      <c r="EP31" s="403" t="str">
        <f t="shared" si="78"/>
        <v/>
      </c>
      <c r="EQ31" s="403" t="str">
        <f t="shared" si="79"/>
        <v/>
      </c>
      <c r="ER31" s="403" t="str">
        <f t="shared" si="80"/>
        <v/>
      </c>
      <c r="ES31" s="403" t="str">
        <f t="shared" si="81"/>
        <v/>
      </c>
      <c r="ET31" s="403" t="str">
        <f t="shared" si="82"/>
        <v/>
      </c>
      <c r="EU31" s="403" t="str">
        <f t="shared" si="83"/>
        <v/>
      </c>
      <c r="EV31" s="403" t="str">
        <f t="shared" si="84"/>
        <v/>
      </c>
      <c r="EW31" s="403" t="str">
        <f t="shared" si="85"/>
        <v/>
      </c>
      <c r="EX31" s="403" t="str">
        <f t="shared" si="86"/>
        <v/>
      </c>
      <c r="EY31" s="403" t="str">
        <f t="shared" si="87"/>
        <v/>
      </c>
      <c r="EZ31" s="403" t="str">
        <f t="shared" si="88"/>
        <v/>
      </c>
      <c r="FA31" s="403" t="str">
        <f t="shared" si="89"/>
        <v/>
      </c>
      <c r="FB31" s="403" t="str">
        <f t="shared" si="90"/>
        <v/>
      </c>
      <c r="FC31" s="403" t="str">
        <f t="shared" si="91"/>
        <v/>
      </c>
      <c r="FD31" s="403" t="str">
        <f t="shared" si="92"/>
        <v/>
      </c>
      <c r="FE31" s="403" t="str">
        <f t="shared" si="93"/>
        <v/>
      </c>
      <c r="FF31" s="403" t="str">
        <f t="shared" si="94"/>
        <v/>
      </c>
      <c r="FG31" s="403" t="str">
        <f t="shared" si="95"/>
        <v/>
      </c>
      <c r="FH31" s="403" t="str">
        <f t="shared" si="96"/>
        <v/>
      </c>
      <c r="FI31" s="403" t="str">
        <f t="shared" si="97"/>
        <v/>
      </c>
      <c r="FJ31" s="403" t="str">
        <f t="shared" si="98"/>
        <v/>
      </c>
      <c r="FK31" s="403" t="str">
        <f t="shared" si="99"/>
        <v/>
      </c>
      <c r="FL31" s="403" t="str">
        <f t="shared" si="100"/>
        <v/>
      </c>
      <c r="FM31" s="403" t="str">
        <f t="shared" si="101"/>
        <v/>
      </c>
      <c r="FN31" s="403" t="str">
        <f t="shared" si="102"/>
        <v/>
      </c>
      <c r="FO31" s="403" t="str">
        <f t="shared" si="103"/>
        <v/>
      </c>
      <c r="FP31" s="403" t="str">
        <f t="shared" si="104"/>
        <v/>
      </c>
      <c r="FQ31" s="403" t="str">
        <f t="shared" si="105"/>
        <v/>
      </c>
      <c r="FR31" s="403" t="str">
        <f t="shared" si="106"/>
        <v/>
      </c>
      <c r="FS31" s="403" t="str">
        <f t="shared" si="107"/>
        <v/>
      </c>
      <c r="FT31" s="403" t="str">
        <f t="shared" si="108"/>
        <v/>
      </c>
      <c r="FU31" s="403" t="str">
        <f t="shared" si="109"/>
        <v/>
      </c>
      <c r="FV31" s="403" t="str">
        <f t="shared" si="110"/>
        <v/>
      </c>
      <c r="FW31" s="403"/>
      <c r="FX31" s="403" t="str">
        <f t="shared" si="111"/>
        <v/>
      </c>
      <c r="FY31" s="403" t="str">
        <f t="shared" si="112"/>
        <v/>
      </c>
      <c r="FZ31" s="403" t="str">
        <f t="shared" si="113"/>
        <v/>
      </c>
      <c r="GA31" s="403" t="str">
        <f t="shared" si="114"/>
        <v/>
      </c>
      <c r="GB31" s="403" t="str">
        <f t="shared" si="115"/>
        <v/>
      </c>
      <c r="GC31" s="403" t="str">
        <f t="shared" si="116"/>
        <v/>
      </c>
      <c r="GD31" s="403" t="str">
        <f t="shared" si="117"/>
        <v/>
      </c>
      <c r="GE31" s="403" t="str">
        <f t="shared" si="118"/>
        <v/>
      </c>
      <c r="GF31" s="403" t="str">
        <f t="shared" si="119"/>
        <v/>
      </c>
      <c r="GG31" s="403" t="str">
        <f t="shared" si="120"/>
        <v/>
      </c>
      <c r="GH31" s="403" t="str">
        <f t="shared" si="121"/>
        <v/>
      </c>
      <c r="GI31" s="403" t="str">
        <f t="shared" si="122"/>
        <v/>
      </c>
      <c r="GJ31" s="403" t="str">
        <f t="shared" si="123"/>
        <v/>
      </c>
      <c r="GK31" s="403" t="str">
        <f t="shared" si="124"/>
        <v/>
      </c>
      <c r="GL31" s="403" t="str">
        <f t="shared" si="125"/>
        <v/>
      </c>
      <c r="GM31" s="403" t="str">
        <f t="shared" si="126"/>
        <v/>
      </c>
      <c r="GN31" s="403" t="str">
        <f t="shared" si="127"/>
        <v/>
      </c>
      <c r="GO31" s="403" t="str">
        <f t="shared" si="128"/>
        <v/>
      </c>
      <c r="GP31" s="403" t="str">
        <f t="shared" si="129"/>
        <v/>
      </c>
      <c r="GQ31" s="403" t="str">
        <f t="shared" si="130"/>
        <v/>
      </c>
      <c r="GR31" s="403" t="str">
        <f t="shared" si="131"/>
        <v/>
      </c>
      <c r="GS31" s="403" t="str">
        <f t="shared" si="132"/>
        <v/>
      </c>
      <c r="GT31" s="403" t="str">
        <f t="shared" si="133"/>
        <v/>
      </c>
      <c r="GU31" s="403" t="str">
        <f t="shared" si="134"/>
        <v/>
      </c>
      <c r="GV31" s="403" t="str">
        <f t="shared" si="135"/>
        <v/>
      </c>
      <c r="GW31" s="403" t="str">
        <f t="shared" si="136"/>
        <v/>
      </c>
      <c r="GX31" s="403" t="str">
        <f t="shared" si="137"/>
        <v/>
      </c>
      <c r="GY31" s="403" t="str">
        <f t="shared" si="138"/>
        <v/>
      </c>
      <c r="GZ31" s="403" t="str">
        <f t="shared" si="139"/>
        <v/>
      </c>
      <c r="HA31" s="403" t="str">
        <f t="shared" si="140"/>
        <v/>
      </c>
      <c r="HB31" s="403" t="str">
        <f t="shared" si="141"/>
        <v/>
      </c>
      <c r="HC31" s="403" t="str">
        <f t="shared" si="142"/>
        <v/>
      </c>
      <c r="HD31" s="403" t="str">
        <f t="shared" si="143"/>
        <v/>
      </c>
      <c r="HE31" s="403" t="str">
        <f t="shared" si="144"/>
        <v/>
      </c>
      <c r="HF31" s="403" t="str">
        <f t="shared" si="145"/>
        <v/>
      </c>
      <c r="HG31" s="403"/>
      <c r="HH31" s="403"/>
      <c r="HI31" s="403"/>
      <c r="HJ31" s="403"/>
      <c r="HK31" s="403"/>
      <c r="HL31" s="403"/>
      <c r="HM31" s="403"/>
      <c r="HN31" s="403"/>
      <c r="HO31" s="403"/>
      <c r="HP31" s="403"/>
      <c r="HQ31" s="403"/>
      <c r="HR31" s="403"/>
      <c r="HS31" s="403"/>
      <c r="HT31" s="403"/>
      <c r="HU31" s="403"/>
      <c r="HV31" s="403"/>
      <c r="HW31" s="403"/>
      <c r="HX31" s="403"/>
      <c r="HY31" s="403"/>
      <c r="HZ31" s="403"/>
      <c r="IA31" s="403"/>
      <c r="IB31" s="403"/>
      <c r="IC31" s="403"/>
      <c r="ID31" s="403"/>
      <c r="IE31" s="403"/>
      <c r="IF31" s="403"/>
      <c r="IG31" s="403"/>
      <c r="IH31" s="403"/>
      <c r="II31" s="403"/>
      <c r="IJ31" s="403"/>
      <c r="IK31" s="403"/>
      <c r="IL31" s="403"/>
      <c r="IM31" s="403"/>
      <c r="IN31" s="403"/>
      <c r="IO31" s="403"/>
      <c r="IP31" s="403"/>
      <c r="IQ31" s="403"/>
      <c r="IR31" s="403"/>
      <c r="IS31" s="403"/>
      <c r="IT31" s="403"/>
      <c r="IU31" s="403"/>
      <c r="IV31" s="403"/>
      <c r="IW31" s="403"/>
      <c r="IX31" s="403"/>
      <c r="IY31" s="403"/>
      <c r="IZ31" s="403"/>
      <c r="JA31" s="403"/>
      <c r="JB31" s="403"/>
      <c r="JC31" s="403"/>
      <c r="JD31" s="403"/>
      <c r="JE31" s="403"/>
      <c r="JF31" s="403"/>
      <c r="JG31" s="403"/>
      <c r="JH31" s="403"/>
      <c r="JI31" s="403"/>
      <c r="JJ31" s="403"/>
      <c r="JK31" s="403"/>
      <c r="JL31" s="403"/>
      <c r="JM31" s="403"/>
      <c r="JN31" s="403"/>
      <c r="JO31" s="403"/>
      <c r="JP31" s="403"/>
      <c r="JQ31" s="403"/>
      <c r="JR31" s="403"/>
      <c r="JS31" s="403"/>
      <c r="JT31" s="403"/>
      <c r="JU31" s="403"/>
      <c r="JV31" s="403"/>
      <c r="JW31" s="403"/>
      <c r="JX31" s="403"/>
      <c r="JY31" s="403"/>
    </row>
    <row r="32" spans="1:285" s="241" customFormat="1" x14ac:dyDescent="0.2">
      <c r="A32" s="2">
        <v>25</v>
      </c>
      <c r="B32" s="214"/>
      <c r="C32" s="433"/>
      <c r="D32" s="433"/>
      <c r="E32" s="434"/>
      <c r="F32" s="433"/>
      <c r="G32" s="433"/>
      <c r="H32" s="433"/>
      <c r="I32" s="433"/>
      <c r="J32" s="433"/>
      <c r="K32" s="433"/>
      <c r="L32" s="433"/>
      <c r="M32" s="433"/>
      <c r="N32" s="433"/>
      <c r="O32" s="433"/>
      <c r="P32" s="433"/>
      <c r="Q32" s="433"/>
      <c r="R32" s="433"/>
      <c r="S32" s="433"/>
      <c r="T32" s="433"/>
      <c r="U32" s="433"/>
      <c r="V32" s="433"/>
      <c r="W32" s="433"/>
      <c r="X32" s="433"/>
      <c r="Y32" s="433"/>
      <c r="Z32" s="433"/>
      <c r="AA32" s="433"/>
      <c r="AB32" s="433"/>
      <c r="AC32" s="433"/>
      <c r="AD32" s="435"/>
      <c r="AE32" s="620">
        <f t="shared" si="5"/>
        <v>10</v>
      </c>
      <c r="AH32" s="12"/>
      <c r="AI32" s="403"/>
      <c r="AJ32" s="403"/>
      <c r="AK32" s="403"/>
      <c r="AL32" s="403"/>
      <c r="AM32" s="403"/>
      <c r="AN32" s="403"/>
      <c r="AO32" s="403"/>
      <c r="AP32" s="403"/>
      <c r="AQ32" s="403"/>
      <c r="AR32" s="403"/>
      <c r="AS32" s="403"/>
      <c r="AT32" s="403"/>
      <c r="AU32" s="403"/>
      <c r="AV32" s="403"/>
      <c r="AW32" s="403"/>
      <c r="AX32" s="403"/>
      <c r="AY32" s="403"/>
      <c r="AZ32" s="403"/>
      <c r="BA32" s="403"/>
      <c r="BB32" s="403"/>
      <c r="BC32" s="403"/>
      <c r="BD32" s="403"/>
      <c r="BE32" s="403"/>
      <c r="BF32" s="403"/>
      <c r="BG32" s="403"/>
      <c r="BH32" s="403"/>
      <c r="BI32" s="403"/>
      <c r="BJ32" s="403"/>
      <c r="BK32" s="403"/>
      <c r="BL32" s="403"/>
      <c r="BM32" s="403"/>
      <c r="BN32" s="403"/>
      <c r="BO32" s="403"/>
      <c r="BP32" s="403"/>
      <c r="BQ32" s="403"/>
      <c r="BR32" s="403"/>
      <c r="BS32" s="403"/>
      <c r="BT32" s="403" t="str">
        <f t="shared" si="6"/>
        <v/>
      </c>
      <c r="BU32" s="403" t="str">
        <f t="shared" si="7"/>
        <v/>
      </c>
      <c r="BV32" s="403" t="str">
        <f t="shared" si="8"/>
        <v/>
      </c>
      <c r="BW32" s="403" t="str">
        <f t="shared" si="9"/>
        <v/>
      </c>
      <c r="BX32" s="403" t="str">
        <f t="shared" si="10"/>
        <v/>
      </c>
      <c r="BY32" s="403" t="str">
        <f t="shared" si="11"/>
        <v/>
      </c>
      <c r="BZ32" s="403" t="str">
        <f t="shared" si="12"/>
        <v/>
      </c>
      <c r="CA32" s="403" t="str">
        <f t="shared" si="13"/>
        <v/>
      </c>
      <c r="CB32" s="403" t="str">
        <f t="shared" si="14"/>
        <v/>
      </c>
      <c r="CC32" s="403" t="str">
        <f t="shared" si="15"/>
        <v/>
      </c>
      <c r="CD32" s="403" t="str">
        <f t="shared" si="16"/>
        <v/>
      </c>
      <c r="CE32" s="403" t="str">
        <f t="shared" si="17"/>
        <v/>
      </c>
      <c r="CF32" s="403" t="str">
        <f t="shared" si="18"/>
        <v/>
      </c>
      <c r="CG32" s="403" t="str">
        <f t="shared" si="19"/>
        <v/>
      </c>
      <c r="CH32" s="403" t="str">
        <f t="shared" si="20"/>
        <v/>
      </c>
      <c r="CI32" s="403" t="str">
        <f t="shared" si="21"/>
        <v/>
      </c>
      <c r="CJ32" s="403" t="str">
        <f t="shared" si="22"/>
        <v/>
      </c>
      <c r="CK32" s="403" t="str">
        <f t="shared" si="23"/>
        <v/>
      </c>
      <c r="CL32" s="403" t="str">
        <f t="shared" si="24"/>
        <v/>
      </c>
      <c r="CM32" s="403" t="str">
        <f t="shared" si="25"/>
        <v/>
      </c>
      <c r="CN32" s="403" t="str">
        <f t="shared" si="26"/>
        <v/>
      </c>
      <c r="CO32" s="403" t="str">
        <f t="shared" si="27"/>
        <v/>
      </c>
      <c r="CP32" s="403" t="str">
        <f t="shared" si="28"/>
        <v/>
      </c>
      <c r="CQ32" s="403" t="str">
        <f t="shared" si="29"/>
        <v/>
      </c>
      <c r="CR32" s="403" t="str">
        <f t="shared" si="30"/>
        <v/>
      </c>
      <c r="CS32" s="403" t="str">
        <f t="shared" si="31"/>
        <v/>
      </c>
      <c r="CT32" s="403" t="str">
        <f t="shared" si="32"/>
        <v/>
      </c>
      <c r="CU32" s="403" t="str">
        <f t="shared" si="33"/>
        <v/>
      </c>
      <c r="CV32" s="403" t="str">
        <f t="shared" si="34"/>
        <v/>
      </c>
      <c r="CW32" s="403" t="str">
        <f t="shared" si="35"/>
        <v/>
      </c>
      <c r="CX32" s="403" t="str">
        <f t="shared" si="36"/>
        <v/>
      </c>
      <c r="CY32" s="403" t="str">
        <f t="shared" si="37"/>
        <v/>
      </c>
      <c r="CZ32" s="403" t="str">
        <f t="shared" si="38"/>
        <v/>
      </c>
      <c r="DA32" s="403" t="str">
        <f t="shared" si="39"/>
        <v/>
      </c>
      <c r="DB32" s="403" t="str">
        <f t="shared" si="40"/>
        <v/>
      </c>
      <c r="DC32" s="403"/>
      <c r="DD32" s="403" t="str">
        <f t="shared" si="41"/>
        <v/>
      </c>
      <c r="DE32" s="403" t="str">
        <f t="shared" si="42"/>
        <v/>
      </c>
      <c r="DF32" s="403" t="str">
        <f t="shared" si="43"/>
        <v/>
      </c>
      <c r="DG32" s="403" t="str">
        <f t="shared" si="44"/>
        <v/>
      </c>
      <c r="DH32" s="403" t="str">
        <f t="shared" si="45"/>
        <v/>
      </c>
      <c r="DI32" s="403" t="str">
        <f t="shared" si="46"/>
        <v/>
      </c>
      <c r="DJ32" s="403" t="str">
        <f t="shared" si="47"/>
        <v/>
      </c>
      <c r="DK32" s="403" t="str">
        <f t="shared" si="48"/>
        <v/>
      </c>
      <c r="DL32" s="403" t="str">
        <f t="shared" si="49"/>
        <v/>
      </c>
      <c r="DM32" s="403" t="str">
        <f t="shared" si="50"/>
        <v/>
      </c>
      <c r="DN32" s="403" t="str">
        <f t="shared" si="51"/>
        <v/>
      </c>
      <c r="DO32" s="403" t="str">
        <f t="shared" si="52"/>
        <v/>
      </c>
      <c r="DP32" s="403" t="str">
        <f t="shared" si="53"/>
        <v/>
      </c>
      <c r="DQ32" s="403" t="str">
        <f t="shared" si="54"/>
        <v/>
      </c>
      <c r="DR32" s="403" t="str">
        <f t="shared" si="55"/>
        <v/>
      </c>
      <c r="DS32" s="403" t="str">
        <f t="shared" si="56"/>
        <v/>
      </c>
      <c r="DT32" s="403" t="str">
        <f t="shared" si="57"/>
        <v/>
      </c>
      <c r="DU32" s="403" t="str">
        <f t="shared" si="58"/>
        <v/>
      </c>
      <c r="DV32" s="403" t="str">
        <f t="shared" si="59"/>
        <v/>
      </c>
      <c r="DW32" s="403" t="str">
        <f t="shared" si="60"/>
        <v/>
      </c>
      <c r="DX32" s="403" t="str">
        <f t="shared" si="61"/>
        <v/>
      </c>
      <c r="DY32" s="403" t="str">
        <f t="shared" si="62"/>
        <v/>
      </c>
      <c r="DZ32" s="403" t="str">
        <f t="shared" si="63"/>
        <v/>
      </c>
      <c r="EA32" s="403" t="str">
        <f t="shared" si="64"/>
        <v/>
      </c>
      <c r="EB32" s="403" t="str">
        <f t="shared" si="65"/>
        <v/>
      </c>
      <c r="EC32" s="403" t="str">
        <f t="shared" si="66"/>
        <v/>
      </c>
      <c r="ED32" s="403" t="str">
        <f t="shared" si="67"/>
        <v/>
      </c>
      <c r="EE32" s="403" t="str">
        <f t="shared" si="68"/>
        <v/>
      </c>
      <c r="EF32" s="403" t="str">
        <f t="shared" si="69"/>
        <v/>
      </c>
      <c r="EG32" s="403" t="str">
        <f t="shared" si="70"/>
        <v/>
      </c>
      <c r="EH32" s="403" t="str">
        <f t="shared" si="71"/>
        <v/>
      </c>
      <c r="EI32" s="403" t="str">
        <f t="shared" si="72"/>
        <v/>
      </c>
      <c r="EJ32" s="403" t="str">
        <f t="shared" si="73"/>
        <v/>
      </c>
      <c r="EK32" s="403" t="str">
        <f t="shared" si="74"/>
        <v/>
      </c>
      <c r="EL32" s="403" t="str">
        <f t="shared" si="75"/>
        <v/>
      </c>
      <c r="EM32" s="403"/>
      <c r="EN32" s="403" t="str">
        <f t="shared" si="76"/>
        <v/>
      </c>
      <c r="EO32" s="403" t="str">
        <f t="shared" si="77"/>
        <v/>
      </c>
      <c r="EP32" s="403" t="str">
        <f t="shared" si="78"/>
        <v/>
      </c>
      <c r="EQ32" s="403" t="str">
        <f t="shared" si="79"/>
        <v/>
      </c>
      <c r="ER32" s="403" t="str">
        <f t="shared" si="80"/>
        <v/>
      </c>
      <c r="ES32" s="403" t="str">
        <f t="shared" si="81"/>
        <v/>
      </c>
      <c r="ET32" s="403" t="str">
        <f t="shared" si="82"/>
        <v/>
      </c>
      <c r="EU32" s="403" t="str">
        <f t="shared" si="83"/>
        <v/>
      </c>
      <c r="EV32" s="403" t="str">
        <f t="shared" si="84"/>
        <v/>
      </c>
      <c r="EW32" s="403" t="str">
        <f t="shared" si="85"/>
        <v/>
      </c>
      <c r="EX32" s="403" t="str">
        <f t="shared" si="86"/>
        <v/>
      </c>
      <c r="EY32" s="403" t="str">
        <f t="shared" si="87"/>
        <v/>
      </c>
      <c r="EZ32" s="403" t="str">
        <f t="shared" si="88"/>
        <v/>
      </c>
      <c r="FA32" s="403" t="str">
        <f t="shared" si="89"/>
        <v/>
      </c>
      <c r="FB32" s="403" t="str">
        <f t="shared" si="90"/>
        <v/>
      </c>
      <c r="FC32" s="403" t="str">
        <f t="shared" si="91"/>
        <v/>
      </c>
      <c r="FD32" s="403" t="str">
        <f t="shared" si="92"/>
        <v/>
      </c>
      <c r="FE32" s="403" t="str">
        <f t="shared" si="93"/>
        <v/>
      </c>
      <c r="FF32" s="403" t="str">
        <f t="shared" si="94"/>
        <v/>
      </c>
      <c r="FG32" s="403" t="str">
        <f t="shared" si="95"/>
        <v/>
      </c>
      <c r="FH32" s="403" t="str">
        <f t="shared" si="96"/>
        <v/>
      </c>
      <c r="FI32" s="403" t="str">
        <f t="shared" si="97"/>
        <v/>
      </c>
      <c r="FJ32" s="403" t="str">
        <f t="shared" si="98"/>
        <v/>
      </c>
      <c r="FK32" s="403" t="str">
        <f t="shared" si="99"/>
        <v/>
      </c>
      <c r="FL32" s="403" t="str">
        <f t="shared" si="100"/>
        <v/>
      </c>
      <c r="FM32" s="403" t="str">
        <f t="shared" si="101"/>
        <v/>
      </c>
      <c r="FN32" s="403" t="str">
        <f t="shared" si="102"/>
        <v/>
      </c>
      <c r="FO32" s="403" t="str">
        <f t="shared" si="103"/>
        <v/>
      </c>
      <c r="FP32" s="403" t="str">
        <f t="shared" si="104"/>
        <v/>
      </c>
      <c r="FQ32" s="403" t="str">
        <f t="shared" si="105"/>
        <v/>
      </c>
      <c r="FR32" s="403" t="str">
        <f t="shared" si="106"/>
        <v/>
      </c>
      <c r="FS32" s="403" t="str">
        <f t="shared" si="107"/>
        <v/>
      </c>
      <c r="FT32" s="403" t="str">
        <f t="shared" si="108"/>
        <v/>
      </c>
      <c r="FU32" s="403" t="str">
        <f t="shared" si="109"/>
        <v/>
      </c>
      <c r="FV32" s="403" t="str">
        <f t="shared" si="110"/>
        <v/>
      </c>
      <c r="FW32" s="403"/>
      <c r="FX32" s="403" t="str">
        <f t="shared" si="111"/>
        <v/>
      </c>
      <c r="FY32" s="403" t="str">
        <f t="shared" si="112"/>
        <v/>
      </c>
      <c r="FZ32" s="403" t="str">
        <f t="shared" si="113"/>
        <v/>
      </c>
      <c r="GA32" s="403" t="str">
        <f t="shared" si="114"/>
        <v/>
      </c>
      <c r="GB32" s="403" t="str">
        <f t="shared" si="115"/>
        <v/>
      </c>
      <c r="GC32" s="403" t="str">
        <f t="shared" si="116"/>
        <v/>
      </c>
      <c r="GD32" s="403" t="str">
        <f t="shared" si="117"/>
        <v/>
      </c>
      <c r="GE32" s="403" t="str">
        <f t="shared" si="118"/>
        <v/>
      </c>
      <c r="GF32" s="403" t="str">
        <f t="shared" si="119"/>
        <v/>
      </c>
      <c r="GG32" s="403" t="str">
        <f t="shared" si="120"/>
        <v/>
      </c>
      <c r="GH32" s="403" t="str">
        <f t="shared" si="121"/>
        <v/>
      </c>
      <c r="GI32" s="403" t="str">
        <f t="shared" si="122"/>
        <v/>
      </c>
      <c r="GJ32" s="403" t="str">
        <f t="shared" si="123"/>
        <v/>
      </c>
      <c r="GK32" s="403" t="str">
        <f t="shared" si="124"/>
        <v/>
      </c>
      <c r="GL32" s="403" t="str">
        <f t="shared" si="125"/>
        <v/>
      </c>
      <c r="GM32" s="403" t="str">
        <f t="shared" si="126"/>
        <v/>
      </c>
      <c r="GN32" s="403" t="str">
        <f t="shared" si="127"/>
        <v/>
      </c>
      <c r="GO32" s="403" t="str">
        <f t="shared" si="128"/>
        <v/>
      </c>
      <c r="GP32" s="403" t="str">
        <f t="shared" si="129"/>
        <v/>
      </c>
      <c r="GQ32" s="403" t="str">
        <f t="shared" si="130"/>
        <v/>
      </c>
      <c r="GR32" s="403" t="str">
        <f t="shared" si="131"/>
        <v/>
      </c>
      <c r="GS32" s="403" t="str">
        <f t="shared" si="132"/>
        <v/>
      </c>
      <c r="GT32" s="403" t="str">
        <f t="shared" si="133"/>
        <v/>
      </c>
      <c r="GU32" s="403" t="str">
        <f t="shared" si="134"/>
        <v/>
      </c>
      <c r="GV32" s="403" t="str">
        <f t="shared" si="135"/>
        <v/>
      </c>
      <c r="GW32" s="403" t="str">
        <f t="shared" si="136"/>
        <v/>
      </c>
      <c r="GX32" s="403" t="str">
        <f t="shared" si="137"/>
        <v/>
      </c>
      <c r="GY32" s="403" t="str">
        <f t="shared" si="138"/>
        <v/>
      </c>
      <c r="GZ32" s="403" t="str">
        <f t="shared" si="139"/>
        <v/>
      </c>
      <c r="HA32" s="403" t="str">
        <f t="shared" si="140"/>
        <v/>
      </c>
      <c r="HB32" s="403" t="str">
        <f t="shared" si="141"/>
        <v/>
      </c>
      <c r="HC32" s="403" t="str">
        <f t="shared" si="142"/>
        <v/>
      </c>
      <c r="HD32" s="403" t="str">
        <f t="shared" si="143"/>
        <v/>
      </c>
      <c r="HE32" s="403" t="str">
        <f t="shared" si="144"/>
        <v/>
      </c>
      <c r="HF32" s="403" t="str">
        <f t="shared" si="145"/>
        <v/>
      </c>
      <c r="HG32" s="403"/>
      <c r="HH32" s="403"/>
      <c r="HI32" s="403"/>
      <c r="HJ32" s="403"/>
      <c r="HK32" s="403"/>
      <c r="HL32" s="403"/>
      <c r="HM32" s="403"/>
      <c r="HN32" s="403"/>
      <c r="HO32" s="403"/>
      <c r="HP32" s="403"/>
      <c r="HQ32" s="403"/>
      <c r="HR32" s="403"/>
      <c r="HS32" s="403"/>
      <c r="HT32" s="403"/>
      <c r="HU32" s="403"/>
      <c r="HV32" s="403"/>
      <c r="HW32" s="403"/>
      <c r="HX32" s="403"/>
      <c r="HY32" s="403"/>
      <c r="HZ32" s="403"/>
      <c r="IA32" s="403"/>
      <c r="IB32" s="403"/>
      <c r="IC32" s="403"/>
      <c r="ID32" s="403"/>
      <c r="IE32" s="403"/>
      <c r="IF32" s="403"/>
      <c r="IG32" s="403"/>
      <c r="IH32" s="403"/>
      <c r="II32" s="403"/>
      <c r="IJ32" s="403"/>
      <c r="IK32" s="403"/>
      <c r="IL32" s="403"/>
      <c r="IM32" s="403"/>
      <c r="IN32" s="403"/>
      <c r="IO32" s="403"/>
      <c r="IP32" s="403"/>
      <c r="IQ32" s="403"/>
      <c r="IR32" s="403"/>
      <c r="IS32" s="403"/>
      <c r="IT32" s="403"/>
      <c r="IU32" s="403"/>
      <c r="IV32" s="403"/>
      <c r="IW32" s="403"/>
      <c r="IX32" s="403"/>
      <c r="IY32" s="403"/>
      <c r="IZ32" s="403"/>
      <c r="JA32" s="403"/>
      <c r="JB32" s="403"/>
      <c r="JC32" s="403"/>
      <c r="JD32" s="403"/>
      <c r="JE32" s="403"/>
      <c r="JF32" s="403"/>
      <c r="JG32" s="403"/>
      <c r="JH32" s="403"/>
      <c r="JI32" s="403"/>
      <c r="JJ32" s="403"/>
      <c r="JK32" s="403"/>
      <c r="JL32" s="403"/>
      <c r="JM32" s="403"/>
      <c r="JN32" s="403"/>
      <c r="JO32" s="403"/>
      <c r="JP32" s="403"/>
      <c r="JQ32" s="403"/>
      <c r="JR32" s="403"/>
      <c r="JS32" s="403"/>
      <c r="JT32" s="403"/>
      <c r="JU32" s="403"/>
      <c r="JV32" s="403"/>
      <c r="JW32" s="403"/>
      <c r="JX32" s="403"/>
      <c r="JY32" s="403"/>
    </row>
    <row r="33" spans="1:285" s="241" customFormat="1" x14ac:dyDescent="0.2">
      <c r="A33" s="2">
        <v>26</v>
      </c>
      <c r="B33" s="214"/>
      <c r="C33" s="433"/>
      <c r="D33" s="433"/>
      <c r="E33" s="434"/>
      <c r="F33" s="433"/>
      <c r="G33" s="433"/>
      <c r="H33" s="433"/>
      <c r="I33" s="433"/>
      <c r="J33" s="433"/>
      <c r="K33" s="433"/>
      <c r="L33" s="433"/>
      <c r="M33" s="433"/>
      <c r="N33" s="433"/>
      <c r="O33" s="433"/>
      <c r="P33" s="433"/>
      <c r="Q33" s="433"/>
      <c r="R33" s="433"/>
      <c r="S33" s="433"/>
      <c r="T33" s="433"/>
      <c r="U33" s="433"/>
      <c r="V33" s="433"/>
      <c r="W33" s="433"/>
      <c r="X33" s="433"/>
      <c r="Y33" s="433"/>
      <c r="Z33" s="433"/>
      <c r="AA33" s="433"/>
      <c r="AB33" s="433"/>
      <c r="AC33" s="433"/>
      <c r="AD33" s="435"/>
      <c r="AE33" s="620">
        <f t="shared" si="5"/>
        <v>10</v>
      </c>
      <c r="AH33" s="12"/>
      <c r="AI33" s="403"/>
      <c r="AJ33" s="403"/>
      <c r="AK33" s="403"/>
      <c r="AL33" s="403"/>
      <c r="AM33" s="403"/>
      <c r="AN33" s="403"/>
      <c r="AO33" s="403"/>
      <c r="AP33" s="403"/>
      <c r="AQ33" s="403"/>
      <c r="AR33" s="403"/>
      <c r="AS33" s="403"/>
      <c r="AT33" s="403"/>
      <c r="AU33" s="403"/>
      <c r="AV33" s="403"/>
      <c r="AW33" s="403"/>
      <c r="AX33" s="403"/>
      <c r="AY33" s="403"/>
      <c r="AZ33" s="403"/>
      <c r="BA33" s="403"/>
      <c r="BB33" s="403"/>
      <c r="BC33" s="403"/>
      <c r="BD33" s="403"/>
      <c r="BE33" s="403"/>
      <c r="BF33" s="403"/>
      <c r="BG33" s="403"/>
      <c r="BH33" s="403"/>
      <c r="BI33" s="403"/>
      <c r="BJ33" s="403"/>
      <c r="BK33" s="403"/>
      <c r="BL33" s="403"/>
      <c r="BM33" s="403"/>
      <c r="BN33" s="403"/>
      <c r="BO33" s="403"/>
      <c r="BP33" s="403"/>
      <c r="BQ33" s="403"/>
      <c r="BR33" s="403"/>
      <c r="BS33" s="403"/>
      <c r="BT33" s="403" t="str">
        <f t="shared" si="6"/>
        <v/>
      </c>
      <c r="BU33" s="403" t="str">
        <f t="shared" si="7"/>
        <v/>
      </c>
      <c r="BV33" s="403" t="str">
        <f t="shared" si="8"/>
        <v/>
      </c>
      <c r="BW33" s="403" t="str">
        <f t="shared" si="9"/>
        <v/>
      </c>
      <c r="BX33" s="403" t="str">
        <f t="shared" si="10"/>
        <v/>
      </c>
      <c r="BY33" s="403" t="str">
        <f t="shared" si="11"/>
        <v/>
      </c>
      <c r="BZ33" s="403" t="str">
        <f t="shared" si="12"/>
        <v/>
      </c>
      <c r="CA33" s="403" t="str">
        <f t="shared" si="13"/>
        <v/>
      </c>
      <c r="CB33" s="403" t="str">
        <f t="shared" si="14"/>
        <v/>
      </c>
      <c r="CC33" s="403" t="str">
        <f t="shared" si="15"/>
        <v/>
      </c>
      <c r="CD33" s="403" t="str">
        <f t="shared" si="16"/>
        <v/>
      </c>
      <c r="CE33" s="403" t="str">
        <f t="shared" si="17"/>
        <v/>
      </c>
      <c r="CF33" s="403" t="str">
        <f t="shared" si="18"/>
        <v/>
      </c>
      <c r="CG33" s="403" t="str">
        <f t="shared" si="19"/>
        <v/>
      </c>
      <c r="CH33" s="403" t="str">
        <f t="shared" si="20"/>
        <v/>
      </c>
      <c r="CI33" s="403" t="str">
        <f t="shared" si="21"/>
        <v/>
      </c>
      <c r="CJ33" s="403" t="str">
        <f t="shared" si="22"/>
        <v/>
      </c>
      <c r="CK33" s="403" t="str">
        <f t="shared" si="23"/>
        <v/>
      </c>
      <c r="CL33" s="403" t="str">
        <f t="shared" si="24"/>
        <v/>
      </c>
      <c r="CM33" s="403" t="str">
        <f t="shared" si="25"/>
        <v/>
      </c>
      <c r="CN33" s="403" t="str">
        <f t="shared" si="26"/>
        <v/>
      </c>
      <c r="CO33" s="403" t="str">
        <f t="shared" si="27"/>
        <v/>
      </c>
      <c r="CP33" s="403" t="str">
        <f t="shared" si="28"/>
        <v/>
      </c>
      <c r="CQ33" s="403" t="str">
        <f t="shared" si="29"/>
        <v/>
      </c>
      <c r="CR33" s="403" t="str">
        <f t="shared" si="30"/>
        <v/>
      </c>
      <c r="CS33" s="403" t="str">
        <f t="shared" si="31"/>
        <v/>
      </c>
      <c r="CT33" s="403" t="str">
        <f t="shared" si="32"/>
        <v/>
      </c>
      <c r="CU33" s="403" t="str">
        <f t="shared" si="33"/>
        <v/>
      </c>
      <c r="CV33" s="403" t="str">
        <f t="shared" si="34"/>
        <v/>
      </c>
      <c r="CW33" s="403" t="str">
        <f t="shared" si="35"/>
        <v/>
      </c>
      <c r="CX33" s="403" t="str">
        <f t="shared" si="36"/>
        <v/>
      </c>
      <c r="CY33" s="403" t="str">
        <f t="shared" si="37"/>
        <v/>
      </c>
      <c r="CZ33" s="403" t="str">
        <f t="shared" si="38"/>
        <v/>
      </c>
      <c r="DA33" s="403" t="str">
        <f t="shared" si="39"/>
        <v/>
      </c>
      <c r="DB33" s="403" t="str">
        <f t="shared" si="40"/>
        <v/>
      </c>
      <c r="DC33" s="403"/>
      <c r="DD33" s="403" t="str">
        <f t="shared" si="41"/>
        <v/>
      </c>
      <c r="DE33" s="403" t="str">
        <f t="shared" si="42"/>
        <v/>
      </c>
      <c r="DF33" s="403" t="str">
        <f t="shared" si="43"/>
        <v/>
      </c>
      <c r="DG33" s="403" t="str">
        <f t="shared" si="44"/>
        <v/>
      </c>
      <c r="DH33" s="403" t="str">
        <f t="shared" si="45"/>
        <v/>
      </c>
      <c r="DI33" s="403" t="str">
        <f t="shared" si="46"/>
        <v/>
      </c>
      <c r="DJ33" s="403" t="str">
        <f t="shared" si="47"/>
        <v/>
      </c>
      <c r="DK33" s="403" t="str">
        <f t="shared" si="48"/>
        <v/>
      </c>
      <c r="DL33" s="403" t="str">
        <f t="shared" si="49"/>
        <v/>
      </c>
      <c r="DM33" s="403" t="str">
        <f t="shared" si="50"/>
        <v/>
      </c>
      <c r="DN33" s="403" t="str">
        <f t="shared" si="51"/>
        <v/>
      </c>
      <c r="DO33" s="403" t="str">
        <f t="shared" si="52"/>
        <v/>
      </c>
      <c r="DP33" s="403" t="str">
        <f t="shared" si="53"/>
        <v/>
      </c>
      <c r="DQ33" s="403" t="str">
        <f t="shared" si="54"/>
        <v/>
      </c>
      <c r="DR33" s="403" t="str">
        <f t="shared" si="55"/>
        <v/>
      </c>
      <c r="DS33" s="403" t="str">
        <f t="shared" si="56"/>
        <v/>
      </c>
      <c r="DT33" s="403" t="str">
        <f t="shared" si="57"/>
        <v/>
      </c>
      <c r="DU33" s="403" t="str">
        <f t="shared" si="58"/>
        <v/>
      </c>
      <c r="DV33" s="403" t="str">
        <f t="shared" si="59"/>
        <v/>
      </c>
      <c r="DW33" s="403" t="str">
        <f t="shared" si="60"/>
        <v/>
      </c>
      <c r="DX33" s="403" t="str">
        <f t="shared" si="61"/>
        <v/>
      </c>
      <c r="DY33" s="403" t="str">
        <f t="shared" si="62"/>
        <v/>
      </c>
      <c r="DZ33" s="403" t="str">
        <f t="shared" si="63"/>
        <v/>
      </c>
      <c r="EA33" s="403" t="str">
        <f t="shared" si="64"/>
        <v/>
      </c>
      <c r="EB33" s="403" t="str">
        <f t="shared" si="65"/>
        <v/>
      </c>
      <c r="EC33" s="403" t="str">
        <f t="shared" si="66"/>
        <v/>
      </c>
      <c r="ED33" s="403" t="str">
        <f t="shared" si="67"/>
        <v/>
      </c>
      <c r="EE33" s="403" t="str">
        <f t="shared" si="68"/>
        <v/>
      </c>
      <c r="EF33" s="403" t="str">
        <f t="shared" si="69"/>
        <v/>
      </c>
      <c r="EG33" s="403" t="str">
        <f t="shared" si="70"/>
        <v/>
      </c>
      <c r="EH33" s="403" t="str">
        <f t="shared" si="71"/>
        <v/>
      </c>
      <c r="EI33" s="403" t="str">
        <f t="shared" si="72"/>
        <v/>
      </c>
      <c r="EJ33" s="403" t="str">
        <f t="shared" si="73"/>
        <v/>
      </c>
      <c r="EK33" s="403" t="str">
        <f t="shared" si="74"/>
        <v/>
      </c>
      <c r="EL33" s="403" t="str">
        <f t="shared" si="75"/>
        <v/>
      </c>
      <c r="EM33" s="403"/>
      <c r="EN33" s="403" t="str">
        <f t="shared" si="76"/>
        <v/>
      </c>
      <c r="EO33" s="403" t="str">
        <f t="shared" si="77"/>
        <v/>
      </c>
      <c r="EP33" s="403" t="str">
        <f t="shared" si="78"/>
        <v/>
      </c>
      <c r="EQ33" s="403" t="str">
        <f t="shared" si="79"/>
        <v/>
      </c>
      <c r="ER33" s="403" t="str">
        <f t="shared" si="80"/>
        <v/>
      </c>
      <c r="ES33" s="403" t="str">
        <f t="shared" si="81"/>
        <v/>
      </c>
      <c r="ET33" s="403" t="str">
        <f t="shared" si="82"/>
        <v/>
      </c>
      <c r="EU33" s="403" t="str">
        <f t="shared" si="83"/>
        <v/>
      </c>
      <c r="EV33" s="403" t="str">
        <f t="shared" si="84"/>
        <v/>
      </c>
      <c r="EW33" s="403" t="str">
        <f t="shared" si="85"/>
        <v/>
      </c>
      <c r="EX33" s="403" t="str">
        <f t="shared" si="86"/>
        <v/>
      </c>
      <c r="EY33" s="403" t="str">
        <f t="shared" si="87"/>
        <v/>
      </c>
      <c r="EZ33" s="403" t="str">
        <f t="shared" si="88"/>
        <v/>
      </c>
      <c r="FA33" s="403" t="str">
        <f t="shared" si="89"/>
        <v/>
      </c>
      <c r="FB33" s="403" t="str">
        <f t="shared" si="90"/>
        <v/>
      </c>
      <c r="FC33" s="403" t="str">
        <f t="shared" si="91"/>
        <v/>
      </c>
      <c r="FD33" s="403" t="str">
        <f t="shared" si="92"/>
        <v/>
      </c>
      <c r="FE33" s="403" t="str">
        <f t="shared" si="93"/>
        <v/>
      </c>
      <c r="FF33" s="403" t="str">
        <f t="shared" si="94"/>
        <v/>
      </c>
      <c r="FG33" s="403" t="str">
        <f t="shared" si="95"/>
        <v/>
      </c>
      <c r="FH33" s="403" t="str">
        <f t="shared" si="96"/>
        <v/>
      </c>
      <c r="FI33" s="403" t="str">
        <f t="shared" si="97"/>
        <v/>
      </c>
      <c r="FJ33" s="403" t="str">
        <f t="shared" si="98"/>
        <v/>
      </c>
      <c r="FK33" s="403" t="str">
        <f t="shared" si="99"/>
        <v/>
      </c>
      <c r="FL33" s="403" t="str">
        <f t="shared" si="100"/>
        <v/>
      </c>
      <c r="FM33" s="403" t="str">
        <f t="shared" si="101"/>
        <v/>
      </c>
      <c r="FN33" s="403" t="str">
        <f t="shared" si="102"/>
        <v/>
      </c>
      <c r="FO33" s="403" t="str">
        <f t="shared" si="103"/>
        <v/>
      </c>
      <c r="FP33" s="403" t="str">
        <f t="shared" si="104"/>
        <v/>
      </c>
      <c r="FQ33" s="403" t="str">
        <f t="shared" si="105"/>
        <v/>
      </c>
      <c r="FR33" s="403" t="str">
        <f t="shared" si="106"/>
        <v/>
      </c>
      <c r="FS33" s="403" t="str">
        <f t="shared" si="107"/>
        <v/>
      </c>
      <c r="FT33" s="403" t="str">
        <f t="shared" si="108"/>
        <v/>
      </c>
      <c r="FU33" s="403" t="str">
        <f t="shared" si="109"/>
        <v/>
      </c>
      <c r="FV33" s="403" t="str">
        <f t="shared" si="110"/>
        <v/>
      </c>
      <c r="FW33" s="403"/>
      <c r="FX33" s="403" t="str">
        <f t="shared" si="111"/>
        <v/>
      </c>
      <c r="FY33" s="403" t="str">
        <f t="shared" si="112"/>
        <v/>
      </c>
      <c r="FZ33" s="403" t="str">
        <f t="shared" si="113"/>
        <v/>
      </c>
      <c r="GA33" s="403" t="str">
        <f t="shared" si="114"/>
        <v/>
      </c>
      <c r="GB33" s="403" t="str">
        <f t="shared" si="115"/>
        <v/>
      </c>
      <c r="GC33" s="403" t="str">
        <f t="shared" si="116"/>
        <v/>
      </c>
      <c r="GD33" s="403" t="str">
        <f t="shared" si="117"/>
        <v/>
      </c>
      <c r="GE33" s="403" t="str">
        <f t="shared" si="118"/>
        <v/>
      </c>
      <c r="GF33" s="403" t="str">
        <f t="shared" si="119"/>
        <v/>
      </c>
      <c r="GG33" s="403" t="str">
        <f t="shared" si="120"/>
        <v/>
      </c>
      <c r="GH33" s="403" t="str">
        <f t="shared" si="121"/>
        <v/>
      </c>
      <c r="GI33" s="403" t="str">
        <f t="shared" si="122"/>
        <v/>
      </c>
      <c r="GJ33" s="403" t="str">
        <f t="shared" si="123"/>
        <v/>
      </c>
      <c r="GK33" s="403" t="str">
        <f t="shared" si="124"/>
        <v/>
      </c>
      <c r="GL33" s="403" t="str">
        <f t="shared" si="125"/>
        <v/>
      </c>
      <c r="GM33" s="403" t="str">
        <f t="shared" si="126"/>
        <v/>
      </c>
      <c r="GN33" s="403" t="str">
        <f t="shared" si="127"/>
        <v/>
      </c>
      <c r="GO33" s="403" t="str">
        <f t="shared" si="128"/>
        <v/>
      </c>
      <c r="GP33" s="403" t="str">
        <f t="shared" si="129"/>
        <v/>
      </c>
      <c r="GQ33" s="403" t="str">
        <f t="shared" si="130"/>
        <v/>
      </c>
      <c r="GR33" s="403" t="str">
        <f t="shared" si="131"/>
        <v/>
      </c>
      <c r="GS33" s="403" t="str">
        <f t="shared" si="132"/>
        <v/>
      </c>
      <c r="GT33" s="403" t="str">
        <f t="shared" si="133"/>
        <v/>
      </c>
      <c r="GU33" s="403" t="str">
        <f t="shared" si="134"/>
        <v/>
      </c>
      <c r="GV33" s="403" t="str">
        <f t="shared" si="135"/>
        <v/>
      </c>
      <c r="GW33" s="403" t="str">
        <f t="shared" si="136"/>
        <v/>
      </c>
      <c r="GX33" s="403" t="str">
        <f t="shared" si="137"/>
        <v/>
      </c>
      <c r="GY33" s="403" t="str">
        <f t="shared" si="138"/>
        <v/>
      </c>
      <c r="GZ33" s="403" t="str">
        <f t="shared" si="139"/>
        <v/>
      </c>
      <c r="HA33" s="403" t="str">
        <f t="shared" si="140"/>
        <v/>
      </c>
      <c r="HB33" s="403" t="str">
        <f t="shared" si="141"/>
        <v/>
      </c>
      <c r="HC33" s="403" t="str">
        <f t="shared" si="142"/>
        <v/>
      </c>
      <c r="HD33" s="403" t="str">
        <f t="shared" si="143"/>
        <v/>
      </c>
      <c r="HE33" s="403" t="str">
        <f t="shared" si="144"/>
        <v/>
      </c>
      <c r="HF33" s="403" t="str">
        <f t="shared" si="145"/>
        <v/>
      </c>
      <c r="HG33" s="403"/>
      <c r="HH33" s="403"/>
      <c r="HI33" s="403"/>
      <c r="HJ33" s="403"/>
      <c r="HK33" s="403"/>
      <c r="HL33" s="403"/>
      <c r="HM33" s="403"/>
      <c r="HN33" s="403"/>
      <c r="HO33" s="403"/>
      <c r="HP33" s="403"/>
      <c r="HQ33" s="403"/>
      <c r="HR33" s="403"/>
      <c r="HS33" s="403"/>
      <c r="HT33" s="403"/>
      <c r="HU33" s="403"/>
      <c r="HV33" s="403"/>
      <c r="HW33" s="403"/>
      <c r="HX33" s="403"/>
      <c r="HY33" s="403"/>
      <c r="HZ33" s="403"/>
      <c r="IA33" s="403"/>
      <c r="IB33" s="403"/>
      <c r="IC33" s="403"/>
      <c r="ID33" s="403"/>
      <c r="IE33" s="403"/>
      <c r="IF33" s="403"/>
      <c r="IG33" s="403"/>
      <c r="IH33" s="403"/>
      <c r="II33" s="403"/>
      <c r="IJ33" s="403"/>
      <c r="IK33" s="403"/>
      <c r="IL33" s="403"/>
      <c r="IM33" s="403"/>
      <c r="IN33" s="403"/>
      <c r="IO33" s="403"/>
      <c r="IP33" s="403"/>
      <c r="IQ33" s="403"/>
      <c r="IR33" s="403"/>
      <c r="IS33" s="403"/>
      <c r="IT33" s="403"/>
      <c r="IU33" s="403"/>
      <c r="IV33" s="403"/>
      <c r="IW33" s="403"/>
      <c r="IX33" s="403"/>
      <c r="IY33" s="403"/>
      <c r="IZ33" s="403"/>
      <c r="JA33" s="403"/>
      <c r="JB33" s="403"/>
      <c r="JC33" s="403"/>
      <c r="JD33" s="403"/>
      <c r="JE33" s="403"/>
      <c r="JF33" s="403"/>
      <c r="JG33" s="403"/>
      <c r="JH33" s="403"/>
      <c r="JI33" s="403"/>
      <c r="JJ33" s="403"/>
      <c r="JK33" s="403"/>
      <c r="JL33" s="403"/>
      <c r="JM33" s="403"/>
      <c r="JN33" s="403"/>
      <c r="JO33" s="403"/>
      <c r="JP33" s="403"/>
      <c r="JQ33" s="403"/>
      <c r="JR33" s="403"/>
      <c r="JS33" s="403"/>
      <c r="JT33" s="403"/>
      <c r="JU33" s="403"/>
      <c r="JV33" s="403"/>
      <c r="JW33" s="403"/>
      <c r="JX33" s="403"/>
      <c r="JY33" s="403"/>
    </row>
    <row r="34" spans="1:285" s="241" customFormat="1" x14ac:dyDescent="0.2">
      <c r="A34" s="2">
        <v>27</v>
      </c>
      <c r="B34" s="214"/>
      <c r="C34" s="433"/>
      <c r="D34" s="433"/>
      <c r="E34" s="434"/>
      <c r="F34" s="433"/>
      <c r="G34" s="433"/>
      <c r="H34" s="433"/>
      <c r="I34" s="433"/>
      <c r="J34" s="433"/>
      <c r="K34" s="433"/>
      <c r="L34" s="433"/>
      <c r="M34" s="433"/>
      <c r="N34" s="433"/>
      <c r="O34" s="433"/>
      <c r="P34" s="433"/>
      <c r="Q34" s="433"/>
      <c r="R34" s="433"/>
      <c r="S34" s="433"/>
      <c r="T34" s="433"/>
      <c r="U34" s="433"/>
      <c r="V34" s="433"/>
      <c r="W34" s="433"/>
      <c r="X34" s="433"/>
      <c r="Y34" s="433"/>
      <c r="Z34" s="433"/>
      <c r="AA34" s="433"/>
      <c r="AB34" s="433"/>
      <c r="AC34" s="433"/>
      <c r="AD34" s="435"/>
      <c r="AE34" s="620">
        <f t="shared" si="5"/>
        <v>10</v>
      </c>
      <c r="AH34" s="12"/>
      <c r="AI34" s="403"/>
      <c r="AJ34" s="403"/>
      <c r="AK34" s="403"/>
      <c r="AL34" s="403"/>
      <c r="AM34" s="403"/>
      <c r="AN34" s="403"/>
      <c r="AO34" s="403"/>
      <c r="AP34" s="403"/>
      <c r="AQ34" s="403"/>
      <c r="AR34" s="403"/>
      <c r="AS34" s="403"/>
      <c r="AT34" s="403"/>
      <c r="AU34" s="403"/>
      <c r="AV34" s="403"/>
      <c r="AW34" s="403"/>
      <c r="AX34" s="403"/>
      <c r="AY34" s="403"/>
      <c r="AZ34" s="403"/>
      <c r="BA34" s="403"/>
      <c r="BB34" s="403"/>
      <c r="BC34" s="403"/>
      <c r="BD34" s="403"/>
      <c r="BE34" s="403"/>
      <c r="BF34" s="403"/>
      <c r="BG34" s="403"/>
      <c r="BH34" s="403"/>
      <c r="BI34" s="403"/>
      <c r="BJ34" s="403"/>
      <c r="BK34" s="403"/>
      <c r="BL34" s="403"/>
      <c r="BM34" s="403"/>
      <c r="BN34" s="403"/>
      <c r="BO34" s="403"/>
      <c r="BP34" s="403"/>
      <c r="BQ34" s="403"/>
      <c r="BR34" s="403"/>
      <c r="BS34" s="403"/>
      <c r="BT34" s="403" t="str">
        <f t="shared" si="6"/>
        <v/>
      </c>
      <c r="BU34" s="403" t="str">
        <f t="shared" si="7"/>
        <v/>
      </c>
      <c r="BV34" s="403" t="str">
        <f t="shared" si="8"/>
        <v/>
      </c>
      <c r="BW34" s="403" t="str">
        <f t="shared" si="9"/>
        <v/>
      </c>
      <c r="BX34" s="403" t="str">
        <f t="shared" si="10"/>
        <v/>
      </c>
      <c r="BY34" s="403" t="str">
        <f t="shared" si="11"/>
        <v/>
      </c>
      <c r="BZ34" s="403" t="str">
        <f t="shared" si="12"/>
        <v/>
      </c>
      <c r="CA34" s="403" t="str">
        <f t="shared" si="13"/>
        <v/>
      </c>
      <c r="CB34" s="403" t="str">
        <f t="shared" si="14"/>
        <v/>
      </c>
      <c r="CC34" s="403" t="str">
        <f t="shared" si="15"/>
        <v/>
      </c>
      <c r="CD34" s="403" t="str">
        <f t="shared" si="16"/>
        <v/>
      </c>
      <c r="CE34" s="403" t="str">
        <f t="shared" si="17"/>
        <v/>
      </c>
      <c r="CF34" s="403" t="str">
        <f t="shared" si="18"/>
        <v/>
      </c>
      <c r="CG34" s="403" t="str">
        <f t="shared" si="19"/>
        <v/>
      </c>
      <c r="CH34" s="403" t="str">
        <f t="shared" si="20"/>
        <v/>
      </c>
      <c r="CI34" s="403" t="str">
        <f t="shared" si="21"/>
        <v/>
      </c>
      <c r="CJ34" s="403" t="str">
        <f t="shared" si="22"/>
        <v/>
      </c>
      <c r="CK34" s="403" t="str">
        <f t="shared" si="23"/>
        <v/>
      </c>
      <c r="CL34" s="403" t="str">
        <f t="shared" si="24"/>
        <v/>
      </c>
      <c r="CM34" s="403" t="str">
        <f t="shared" si="25"/>
        <v/>
      </c>
      <c r="CN34" s="403" t="str">
        <f t="shared" si="26"/>
        <v/>
      </c>
      <c r="CO34" s="403" t="str">
        <f t="shared" si="27"/>
        <v/>
      </c>
      <c r="CP34" s="403" t="str">
        <f t="shared" si="28"/>
        <v/>
      </c>
      <c r="CQ34" s="403" t="str">
        <f t="shared" si="29"/>
        <v/>
      </c>
      <c r="CR34" s="403" t="str">
        <f t="shared" si="30"/>
        <v/>
      </c>
      <c r="CS34" s="403" t="str">
        <f t="shared" si="31"/>
        <v/>
      </c>
      <c r="CT34" s="403" t="str">
        <f t="shared" si="32"/>
        <v/>
      </c>
      <c r="CU34" s="403" t="str">
        <f t="shared" si="33"/>
        <v/>
      </c>
      <c r="CV34" s="403" t="str">
        <f t="shared" si="34"/>
        <v/>
      </c>
      <c r="CW34" s="403" t="str">
        <f t="shared" si="35"/>
        <v/>
      </c>
      <c r="CX34" s="403" t="str">
        <f t="shared" si="36"/>
        <v/>
      </c>
      <c r="CY34" s="403" t="str">
        <f t="shared" si="37"/>
        <v/>
      </c>
      <c r="CZ34" s="403" t="str">
        <f t="shared" si="38"/>
        <v/>
      </c>
      <c r="DA34" s="403" t="str">
        <f t="shared" si="39"/>
        <v/>
      </c>
      <c r="DB34" s="403" t="str">
        <f t="shared" si="40"/>
        <v/>
      </c>
      <c r="DC34" s="403"/>
      <c r="DD34" s="403" t="str">
        <f t="shared" si="41"/>
        <v/>
      </c>
      <c r="DE34" s="403" t="str">
        <f t="shared" si="42"/>
        <v/>
      </c>
      <c r="DF34" s="403" t="str">
        <f t="shared" si="43"/>
        <v/>
      </c>
      <c r="DG34" s="403" t="str">
        <f t="shared" si="44"/>
        <v/>
      </c>
      <c r="DH34" s="403" t="str">
        <f t="shared" si="45"/>
        <v/>
      </c>
      <c r="DI34" s="403" t="str">
        <f t="shared" si="46"/>
        <v/>
      </c>
      <c r="DJ34" s="403" t="str">
        <f t="shared" si="47"/>
        <v/>
      </c>
      <c r="DK34" s="403" t="str">
        <f t="shared" si="48"/>
        <v/>
      </c>
      <c r="DL34" s="403" t="str">
        <f t="shared" si="49"/>
        <v/>
      </c>
      <c r="DM34" s="403" t="str">
        <f t="shared" si="50"/>
        <v/>
      </c>
      <c r="DN34" s="403" t="str">
        <f t="shared" si="51"/>
        <v/>
      </c>
      <c r="DO34" s="403" t="str">
        <f t="shared" si="52"/>
        <v/>
      </c>
      <c r="DP34" s="403" t="str">
        <f t="shared" si="53"/>
        <v/>
      </c>
      <c r="DQ34" s="403" t="str">
        <f t="shared" si="54"/>
        <v/>
      </c>
      <c r="DR34" s="403" t="str">
        <f t="shared" si="55"/>
        <v/>
      </c>
      <c r="DS34" s="403" t="str">
        <f t="shared" si="56"/>
        <v/>
      </c>
      <c r="DT34" s="403" t="str">
        <f t="shared" si="57"/>
        <v/>
      </c>
      <c r="DU34" s="403" t="str">
        <f t="shared" si="58"/>
        <v/>
      </c>
      <c r="DV34" s="403" t="str">
        <f t="shared" si="59"/>
        <v/>
      </c>
      <c r="DW34" s="403" t="str">
        <f t="shared" si="60"/>
        <v/>
      </c>
      <c r="DX34" s="403" t="str">
        <f t="shared" si="61"/>
        <v/>
      </c>
      <c r="DY34" s="403" t="str">
        <f t="shared" si="62"/>
        <v/>
      </c>
      <c r="DZ34" s="403" t="str">
        <f t="shared" si="63"/>
        <v/>
      </c>
      <c r="EA34" s="403" t="str">
        <f t="shared" si="64"/>
        <v/>
      </c>
      <c r="EB34" s="403" t="str">
        <f t="shared" si="65"/>
        <v/>
      </c>
      <c r="EC34" s="403" t="str">
        <f t="shared" si="66"/>
        <v/>
      </c>
      <c r="ED34" s="403" t="str">
        <f t="shared" si="67"/>
        <v/>
      </c>
      <c r="EE34" s="403" t="str">
        <f t="shared" si="68"/>
        <v/>
      </c>
      <c r="EF34" s="403" t="str">
        <f t="shared" si="69"/>
        <v/>
      </c>
      <c r="EG34" s="403" t="str">
        <f t="shared" si="70"/>
        <v/>
      </c>
      <c r="EH34" s="403" t="str">
        <f t="shared" si="71"/>
        <v/>
      </c>
      <c r="EI34" s="403" t="str">
        <f t="shared" si="72"/>
        <v/>
      </c>
      <c r="EJ34" s="403" t="str">
        <f t="shared" si="73"/>
        <v/>
      </c>
      <c r="EK34" s="403" t="str">
        <f t="shared" si="74"/>
        <v/>
      </c>
      <c r="EL34" s="403" t="str">
        <f t="shared" si="75"/>
        <v/>
      </c>
      <c r="EM34" s="403"/>
      <c r="EN34" s="403" t="str">
        <f t="shared" si="76"/>
        <v/>
      </c>
      <c r="EO34" s="403" t="str">
        <f t="shared" si="77"/>
        <v/>
      </c>
      <c r="EP34" s="403" t="str">
        <f t="shared" si="78"/>
        <v/>
      </c>
      <c r="EQ34" s="403" t="str">
        <f t="shared" si="79"/>
        <v/>
      </c>
      <c r="ER34" s="403" t="str">
        <f t="shared" si="80"/>
        <v/>
      </c>
      <c r="ES34" s="403" t="str">
        <f t="shared" si="81"/>
        <v/>
      </c>
      <c r="ET34" s="403" t="str">
        <f t="shared" si="82"/>
        <v/>
      </c>
      <c r="EU34" s="403" t="str">
        <f t="shared" si="83"/>
        <v/>
      </c>
      <c r="EV34" s="403" t="str">
        <f t="shared" si="84"/>
        <v/>
      </c>
      <c r="EW34" s="403" t="str">
        <f t="shared" si="85"/>
        <v/>
      </c>
      <c r="EX34" s="403" t="str">
        <f t="shared" si="86"/>
        <v/>
      </c>
      <c r="EY34" s="403" t="str">
        <f t="shared" si="87"/>
        <v/>
      </c>
      <c r="EZ34" s="403" t="str">
        <f t="shared" si="88"/>
        <v/>
      </c>
      <c r="FA34" s="403" t="str">
        <f t="shared" si="89"/>
        <v/>
      </c>
      <c r="FB34" s="403" t="str">
        <f t="shared" si="90"/>
        <v/>
      </c>
      <c r="FC34" s="403" t="str">
        <f t="shared" si="91"/>
        <v/>
      </c>
      <c r="FD34" s="403" t="str">
        <f t="shared" si="92"/>
        <v/>
      </c>
      <c r="FE34" s="403" t="str">
        <f t="shared" si="93"/>
        <v/>
      </c>
      <c r="FF34" s="403" t="str">
        <f t="shared" si="94"/>
        <v/>
      </c>
      <c r="FG34" s="403" t="str">
        <f t="shared" si="95"/>
        <v/>
      </c>
      <c r="FH34" s="403" t="str">
        <f t="shared" si="96"/>
        <v/>
      </c>
      <c r="FI34" s="403" t="str">
        <f t="shared" si="97"/>
        <v/>
      </c>
      <c r="FJ34" s="403" t="str">
        <f t="shared" si="98"/>
        <v/>
      </c>
      <c r="FK34" s="403" t="str">
        <f t="shared" si="99"/>
        <v/>
      </c>
      <c r="FL34" s="403" t="str">
        <f t="shared" si="100"/>
        <v/>
      </c>
      <c r="FM34" s="403" t="str">
        <f t="shared" si="101"/>
        <v/>
      </c>
      <c r="FN34" s="403" t="str">
        <f t="shared" si="102"/>
        <v/>
      </c>
      <c r="FO34" s="403" t="str">
        <f t="shared" si="103"/>
        <v/>
      </c>
      <c r="FP34" s="403" t="str">
        <f t="shared" si="104"/>
        <v/>
      </c>
      <c r="FQ34" s="403" t="str">
        <f t="shared" si="105"/>
        <v/>
      </c>
      <c r="FR34" s="403" t="str">
        <f t="shared" si="106"/>
        <v/>
      </c>
      <c r="FS34" s="403" t="str">
        <f t="shared" si="107"/>
        <v/>
      </c>
      <c r="FT34" s="403" t="str">
        <f t="shared" si="108"/>
        <v/>
      </c>
      <c r="FU34" s="403" t="str">
        <f t="shared" si="109"/>
        <v/>
      </c>
      <c r="FV34" s="403" t="str">
        <f t="shared" si="110"/>
        <v/>
      </c>
      <c r="FW34" s="403"/>
      <c r="FX34" s="403" t="str">
        <f t="shared" si="111"/>
        <v/>
      </c>
      <c r="FY34" s="403" t="str">
        <f t="shared" si="112"/>
        <v/>
      </c>
      <c r="FZ34" s="403" t="str">
        <f t="shared" si="113"/>
        <v/>
      </c>
      <c r="GA34" s="403" t="str">
        <f t="shared" si="114"/>
        <v/>
      </c>
      <c r="GB34" s="403" t="str">
        <f t="shared" si="115"/>
        <v/>
      </c>
      <c r="GC34" s="403" t="str">
        <f t="shared" si="116"/>
        <v/>
      </c>
      <c r="GD34" s="403" t="str">
        <f t="shared" si="117"/>
        <v/>
      </c>
      <c r="GE34" s="403" t="str">
        <f t="shared" si="118"/>
        <v/>
      </c>
      <c r="GF34" s="403" t="str">
        <f t="shared" si="119"/>
        <v/>
      </c>
      <c r="GG34" s="403" t="str">
        <f t="shared" si="120"/>
        <v/>
      </c>
      <c r="GH34" s="403" t="str">
        <f t="shared" si="121"/>
        <v/>
      </c>
      <c r="GI34" s="403" t="str">
        <f t="shared" si="122"/>
        <v/>
      </c>
      <c r="GJ34" s="403" t="str">
        <f t="shared" si="123"/>
        <v/>
      </c>
      <c r="GK34" s="403" t="str">
        <f t="shared" si="124"/>
        <v/>
      </c>
      <c r="GL34" s="403" t="str">
        <f t="shared" si="125"/>
        <v/>
      </c>
      <c r="GM34" s="403" t="str">
        <f t="shared" si="126"/>
        <v/>
      </c>
      <c r="GN34" s="403" t="str">
        <f t="shared" si="127"/>
        <v/>
      </c>
      <c r="GO34" s="403" t="str">
        <f t="shared" si="128"/>
        <v/>
      </c>
      <c r="GP34" s="403" t="str">
        <f t="shared" si="129"/>
        <v/>
      </c>
      <c r="GQ34" s="403" t="str">
        <f t="shared" si="130"/>
        <v/>
      </c>
      <c r="GR34" s="403" t="str">
        <f t="shared" si="131"/>
        <v/>
      </c>
      <c r="GS34" s="403" t="str">
        <f t="shared" si="132"/>
        <v/>
      </c>
      <c r="GT34" s="403" t="str">
        <f t="shared" si="133"/>
        <v/>
      </c>
      <c r="GU34" s="403" t="str">
        <f t="shared" si="134"/>
        <v/>
      </c>
      <c r="GV34" s="403" t="str">
        <f t="shared" si="135"/>
        <v/>
      </c>
      <c r="GW34" s="403" t="str">
        <f t="shared" si="136"/>
        <v/>
      </c>
      <c r="GX34" s="403" t="str">
        <f t="shared" si="137"/>
        <v/>
      </c>
      <c r="GY34" s="403" t="str">
        <f t="shared" si="138"/>
        <v/>
      </c>
      <c r="GZ34" s="403" t="str">
        <f t="shared" si="139"/>
        <v/>
      </c>
      <c r="HA34" s="403" t="str">
        <f t="shared" si="140"/>
        <v/>
      </c>
      <c r="HB34" s="403" t="str">
        <f t="shared" si="141"/>
        <v/>
      </c>
      <c r="HC34" s="403" t="str">
        <f t="shared" si="142"/>
        <v/>
      </c>
      <c r="HD34" s="403" t="str">
        <f t="shared" si="143"/>
        <v/>
      </c>
      <c r="HE34" s="403" t="str">
        <f t="shared" si="144"/>
        <v/>
      </c>
      <c r="HF34" s="403" t="str">
        <f t="shared" si="145"/>
        <v/>
      </c>
      <c r="HG34" s="403"/>
      <c r="HH34" s="403"/>
      <c r="HI34" s="403"/>
      <c r="HJ34" s="403"/>
      <c r="HK34" s="403"/>
      <c r="HL34" s="403"/>
      <c r="HM34" s="403"/>
      <c r="HN34" s="403"/>
      <c r="HO34" s="403"/>
      <c r="HP34" s="403"/>
      <c r="HQ34" s="403"/>
      <c r="HR34" s="403"/>
      <c r="HS34" s="403"/>
      <c r="HT34" s="403"/>
      <c r="HU34" s="403"/>
      <c r="HV34" s="403"/>
      <c r="HW34" s="403"/>
      <c r="HX34" s="403"/>
      <c r="HY34" s="403"/>
      <c r="HZ34" s="403"/>
      <c r="IA34" s="403"/>
      <c r="IB34" s="403"/>
      <c r="IC34" s="403"/>
      <c r="ID34" s="403"/>
      <c r="IE34" s="403"/>
      <c r="IF34" s="403"/>
      <c r="IG34" s="403"/>
      <c r="IH34" s="403"/>
      <c r="II34" s="403"/>
      <c r="IJ34" s="403"/>
      <c r="IK34" s="403"/>
      <c r="IL34" s="403"/>
      <c r="IM34" s="403"/>
      <c r="IN34" s="403"/>
      <c r="IO34" s="403"/>
      <c r="IP34" s="403"/>
      <c r="IQ34" s="403"/>
      <c r="IR34" s="403"/>
      <c r="IS34" s="403"/>
      <c r="IT34" s="403"/>
      <c r="IU34" s="403"/>
      <c r="IV34" s="403"/>
      <c r="IW34" s="403"/>
      <c r="IX34" s="403"/>
      <c r="IY34" s="403"/>
      <c r="IZ34" s="403"/>
      <c r="JA34" s="403"/>
      <c r="JB34" s="403"/>
      <c r="JC34" s="403"/>
      <c r="JD34" s="403"/>
      <c r="JE34" s="403"/>
      <c r="JF34" s="403"/>
      <c r="JG34" s="403"/>
      <c r="JH34" s="403"/>
      <c r="JI34" s="403"/>
      <c r="JJ34" s="403"/>
      <c r="JK34" s="403"/>
      <c r="JL34" s="403"/>
      <c r="JM34" s="403"/>
      <c r="JN34" s="403"/>
      <c r="JO34" s="403"/>
      <c r="JP34" s="403"/>
      <c r="JQ34" s="403"/>
      <c r="JR34" s="403"/>
      <c r="JS34" s="403"/>
      <c r="JT34" s="403"/>
      <c r="JU34" s="403"/>
      <c r="JV34" s="403"/>
      <c r="JW34" s="403"/>
      <c r="JX34" s="403"/>
      <c r="JY34" s="403"/>
    </row>
    <row r="35" spans="1:285" x14ac:dyDescent="0.2">
      <c r="A35" s="2">
        <v>28</v>
      </c>
      <c r="B35" s="214"/>
      <c r="C35" s="433"/>
      <c r="D35" s="433"/>
      <c r="E35" s="434"/>
      <c r="F35" s="433"/>
      <c r="G35" s="433"/>
      <c r="H35" s="433"/>
      <c r="I35" s="433"/>
      <c r="J35" s="433"/>
      <c r="K35" s="433"/>
      <c r="L35" s="433"/>
      <c r="M35" s="433"/>
      <c r="N35" s="433"/>
      <c r="O35" s="433"/>
      <c r="P35" s="433"/>
      <c r="Q35" s="433"/>
      <c r="R35" s="433"/>
      <c r="S35" s="433"/>
      <c r="T35" s="433"/>
      <c r="U35" s="433"/>
      <c r="V35" s="433"/>
      <c r="W35" s="433"/>
      <c r="X35" s="433"/>
      <c r="Y35" s="433"/>
      <c r="Z35" s="433"/>
      <c r="AA35" s="433"/>
      <c r="AB35" s="433"/>
      <c r="AC35" s="433"/>
      <c r="AD35" s="435"/>
      <c r="AE35" s="620">
        <f t="shared" si="5"/>
        <v>10</v>
      </c>
      <c r="AH35" s="12"/>
      <c r="BT35" s="403" t="str">
        <f t="shared" si="6"/>
        <v/>
      </c>
      <c r="BU35" s="403" t="str">
        <f t="shared" si="7"/>
        <v/>
      </c>
      <c r="BV35" s="403" t="str">
        <f t="shared" si="8"/>
        <v/>
      </c>
      <c r="BW35" s="403" t="str">
        <f t="shared" si="9"/>
        <v/>
      </c>
      <c r="BX35" s="403" t="str">
        <f t="shared" si="10"/>
        <v/>
      </c>
      <c r="BY35" s="403" t="str">
        <f t="shared" si="11"/>
        <v/>
      </c>
      <c r="BZ35" s="403" t="str">
        <f t="shared" si="12"/>
        <v/>
      </c>
      <c r="CA35" s="403" t="str">
        <f t="shared" si="13"/>
        <v/>
      </c>
      <c r="CB35" s="403" t="str">
        <f t="shared" si="14"/>
        <v/>
      </c>
      <c r="CC35" s="403" t="str">
        <f t="shared" si="15"/>
        <v/>
      </c>
      <c r="CD35" s="403" t="str">
        <f t="shared" si="16"/>
        <v/>
      </c>
      <c r="CE35" s="403" t="str">
        <f t="shared" si="17"/>
        <v/>
      </c>
      <c r="CF35" s="403" t="str">
        <f t="shared" si="18"/>
        <v/>
      </c>
      <c r="CG35" s="403" t="str">
        <f t="shared" si="19"/>
        <v/>
      </c>
      <c r="CH35" s="403" t="str">
        <f t="shared" si="20"/>
        <v/>
      </c>
      <c r="CI35" s="403" t="str">
        <f t="shared" si="21"/>
        <v/>
      </c>
      <c r="CJ35" s="403" t="str">
        <f t="shared" si="22"/>
        <v/>
      </c>
      <c r="CK35" s="403" t="str">
        <f t="shared" si="23"/>
        <v/>
      </c>
      <c r="CL35" s="403" t="str">
        <f t="shared" si="24"/>
        <v/>
      </c>
      <c r="CM35" s="403" t="str">
        <f t="shared" si="25"/>
        <v/>
      </c>
      <c r="CN35" s="403" t="str">
        <f t="shared" si="26"/>
        <v/>
      </c>
      <c r="CO35" s="403" t="str">
        <f t="shared" si="27"/>
        <v/>
      </c>
      <c r="CP35" s="403" t="str">
        <f t="shared" si="28"/>
        <v/>
      </c>
      <c r="CQ35" s="403" t="str">
        <f t="shared" si="29"/>
        <v/>
      </c>
      <c r="CR35" s="403" t="str">
        <f t="shared" si="30"/>
        <v/>
      </c>
      <c r="CS35" s="403" t="str">
        <f t="shared" si="31"/>
        <v/>
      </c>
      <c r="CT35" s="403" t="str">
        <f t="shared" si="32"/>
        <v/>
      </c>
      <c r="CU35" s="403" t="str">
        <f t="shared" si="33"/>
        <v/>
      </c>
      <c r="CV35" s="403" t="str">
        <f t="shared" si="34"/>
        <v/>
      </c>
      <c r="CW35" s="403" t="str">
        <f t="shared" si="35"/>
        <v/>
      </c>
      <c r="CX35" s="403" t="str">
        <f t="shared" si="36"/>
        <v/>
      </c>
      <c r="CY35" s="403" t="str">
        <f t="shared" si="37"/>
        <v/>
      </c>
      <c r="CZ35" s="403" t="str">
        <f t="shared" si="38"/>
        <v/>
      </c>
      <c r="DA35" s="403" t="str">
        <f t="shared" si="39"/>
        <v/>
      </c>
      <c r="DB35" s="403" t="str">
        <f t="shared" si="40"/>
        <v/>
      </c>
      <c r="DD35" s="403" t="str">
        <f t="shared" si="41"/>
        <v/>
      </c>
      <c r="DE35" s="403" t="str">
        <f t="shared" si="42"/>
        <v/>
      </c>
      <c r="DF35" s="403" t="str">
        <f t="shared" si="43"/>
        <v/>
      </c>
      <c r="DG35" s="403" t="str">
        <f t="shared" si="44"/>
        <v/>
      </c>
      <c r="DH35" s="403" t="str">
        <f t="shared" si="45"/>
        <v/>
      </c>
      <c r="DI35" s="403" t="str">
        <f t="shared" si="46"/>
        <v/>
      </c>
      <c r="DJ35" s="403" t="str">
        <f t="shared" si="47"/>
        <v/>
      </c>
      <c r="DK35" s="403" t="str">
        <f t="shared" si="48"/>
        <v/>
      </c>
      <c r="DL35" s="403" t="str">
        <f t="shared" si="49"/>
        <v/>
      </c>
      <c r="DM35" s="403" t="str">
        <f t="shared" si="50"/>
        <v/>
      </c>
      <c r="DN35" s="403" t="str">
        <f t="shared" si="51"/>
        <v/>
      </c>
      <c r="DO35" s="403" t="str">
        <f t="shared" si="52"/>
        <v/>
      </c>
      <c r="DP35" s="403" t="str">
        <f t="shared" si="53"/>
        <v/>
      </c>
      <c r="DQ35" s="403" t="str">
        <f t="shared" si="54"/>
        <v/>
      </c>
      <c r="DR35" s="403" t="str">
        <f t="shared" si="55"/>
        <v/>
      </c>
      <c r="DS35" s="403" t="str">
        <f t="shared" si="56"/>
        <v/>
      </c>
      <c r="DT35" s="403" t="str">
        <f t="shared" si="57"/>
        <v/>
      </c>
      <c r="DU35" s="403" t="str">
        <f t="shared" si="58"/>
        <v/>
      </c>
      <c r="DV35" s="403" t="str">
        <f t="shared" si="59"/>
        <v/>
      </c>
      <c r="DW35" s="403" t="str">
        <f t="shared" si="60"/>
        <v/>
      </c>
      <c r="DX35" s="403" t="str">
        <f t="shared" si="61"/>
        <v/>
      </c>
      <c r="DY35" s="403" t="str">
        <f t="shared" si="62"/>
        <v/>
      </c>
      <c r="DZ35" s="403" t="str">
        <f t="shared" si="63"/>
        <v/>
      </c>
      <c r="EA35" s="403" t="str">
        <f t="shared" si="64"/>
        <v/>
      </c>
      <c r="EB35" s="403" t="str">
        <f t="shared" si="65"/>
        <v/>
      </c>
      <c r="EC35" s="403" t="str">
        <f t="shared" si="66"/>
        <v/>
      </c>
      <c r="ED35" s="403" t="str">
        <f t="shared" si="67"/>
        <v/>
      </c>
      <c r="EE35" s="403" t="str">
        <f t="shared" si="68"/>
        <v/>
      </c>
      <c r="EF35" s="403" t="str">
        <f t="shared" si="69"/>
        <v/>
      </c>
      <c r="EG35" s="403" t="str">
        <f t="shared" si="70"/>
        <v/>
      </c>
      <c r="EH35" s="403" t="str">
        <f t="shared" si="71"/>
        <v/>
      </c>
      <c r="EI35" s="403" t="str">
        <f t="shared" si="72"/>
        <v/>
      </c>
      <c r="EJ35" s="403" t="str">
        <f t="shared" si="73"/>
        <v/>
      </c>
      <c r="EK35" s="403" t="str">
        <f t="shared" si="74"/>
        <v/>
      </c>
      <c r="EL35" s="403" t="str">
        <f t="shared" si="75"/>
        <v/>
      </c>
      <c r="EN35" s="403" t="str">
        <f t="shared" si="76"/>
        <v/>
      </c>
      <c r="EO35" s="403" t="str">
        <f t="shared" si="77"/>
        <v/>
      </c>
      <c r="EP35" s="403" t="str">
        <f t="shared" si="78"/>
        <v/>
      </c>
      <c r="EQ35" s="403" t="str">
        <f t="shared" si="79"/>
        <v/>
      </c>
      <c r="ER35" s="403" t="str">
        <f t="shared" si="80"/>
        <v/>
      </c>
      <c r="ES35" s="403" t="str">
        <f t="shared" si="81"/>
        <v/>
      </c>
      <c r="ET35" s="403" t="str">
        <f t="shared" si="82"/>
        <v/>
      </c>
      <c r="EU35" s="403" t="str">
        <f t="shared" si="83"/>
        <v/>
      </c>
      <c r="EV35" s="403" t="str">
        <f t="shared" si="84"/>
        <v/>
      </c>
      <c r="EW35" s="403" t="str">
        <f t="shared" si="85"/>
        <v/>
      </c>
      <c r="EX35" s="403" t="str">
        <f t="shared" si="86"/>
        <v/>
      </c>
      <c r="EY35" s="403" t="str">
        <f t="shared" si="87"/>
        <v/>
      </c>
      <c r="EZ35" s="403" t="str">
        <f t="shared" si="88"/>
        <v/>
      </c>
      <c r="FA35" s="403" t="str">
        <f t="shared" si="89"/>
        <v/>
      </c>
      <c r="FB35" s="403" t="str">
        <f t="shared" si="90"/>
        <v/>
      </c>
      <c r="FC35" s="403" t="str">
        <f t="shared" si="91"/>
        <v/>
      </c>
      <c r="FD35" s="403" t="str">
        <f t="shared" si="92"/>
        <v/>
      </c>
      <c r="FE35" s="403" t="str">
        <f t="shared" si="93"/>
        <v/>
      </c>
      <c r="FF35" s="403" t="str">
        <f t="shared" si="94"/>
        <v/>
      </c>
      <c r="FG35" s="403" t="str">
        <f t="shared" si="95"/>
        <v/>
      </c>
      <c r="FH35" s="403" t="str">
        <f t="shared" si="96"/>
        <v/>
      </c>
      <c r="FI35" s="403" t="str">
        <f t="shared" si="97"/>
        <v/>
      </c>
      <c r="FJ35" s="403" t="str">
        <f t="shared" si="98"/>
        <v/>
      </c>
      <c r="FK35" s="403" t="str">
        <f t="shared" si="99"/>
        <v/>
      </c>
      <c r="FL35" s="403" t="str">
        <f t="shared" si="100"/>
        <v/>
      </c>
      <c r="FM35" s="403" t="str">
        <f t="shared" si="101"/>
        <v/>
      </c>
      <c r="FN35" s="403" t="str">
        <f t="shared" si="102"/>
        <v/>
      </c>
      <c r="FO35" s="403" t="str">
        <f t="shared" si="103"/>
        <v/>
      </c>
      <c r="FP35" s="403" t="str">
        <f t="shared" si="104"/>
        <v/>
      </c>
      <c r="FQ35" s="403" t="str">
        <f t="shared" si="105"/>
        <v/>
      </c>
      <c r="FR35" s="403" t="str">
        <f t="shared" si="106"/>
        <v/>
      </c>
      <c r="FS35" s="403" t="str">
        <f t="shared" si="107"/>
        <v/>
      </c>
      <c r="FT35" s="403" t="str">
        <f t="shared" si="108"/>
        <v/>
      </c>
      <c r="FU35" s="403" t="str">
        <f t="shared" si="109"/>
        <v/>
      </c>
      <c r="FV35" s="403" t="str">
        <f t="shared" si="110"/>
        <v/>
      </c>
      <c r="FX35" s="403" t="str">
        <f t="shared" si="111"/>
        <v/>
      </c>
      <c r="FY35" s="403" t="str">
        <f t="shared" si="112"/>
        <v/>
      </c>
      <c r="FZ35" s="403" t="str">
        <f t="shared" si="113"/>
        <v/>
      </c>
      <c r="GA35" s="403" t="str">
        <f t="shared" si="114"/>
        <v/>
      </c>
      <c r="GB35" s="403" t="str">
        <f t="shared" si="115"/>
        <v/>
      </c>
      <c r="GC35" s="403" t="str">
        <f t="shared" si="116"/>
        <v/>
      </c>
      <c r="GD35" s="403" t="str">
        <f t="shared" si="117"/>
        <v/>
      </c>
      <c r="GE35" s="403" t="str">
        <f t="shared" si="118"/>
        <v/>
      </c>
      <c r="GF35" s="403" t="str">
        <f t="shared" si="119"/>
        <v/>
      </c>
      <c r="GG35" s="403" t="str">
        <f t="shared" si="120"/>
        <v/>
      </c>
      <c r="GH35" s="403" t="str">
        <f t="shared" si="121"/>
        <v/>
      </c>
      <c r="GI35" s="403" t="str">
        <f t="shared" si="122"/>
        <v/>
      </c>
      <c r="GJ35" s="403" t="str">
        <f t="shared" si="123"/>
        <v/>
      </c>
      <c r="GK35" s="403" t="str">
        <f t="shared" si="124"/>
        <v/>
      </c>
      <c r="GL35" s="403" t="str">
        <f t="shared" si="125"/>
        <v/>
      </c>
      <c r="GM35" s="403" t="str">
        <f t="shared" si="126"/>
        <v/>
      </c>
      <c r="GN35" s="403" t="str">
        <f t="shared" si="127"/>
        <v/>
      </c>
      <c r="GO35" s="403" t="str">
        <f t="shared" si="128"/>
        <v/>
      </c>
      <c r="GP35" s="403" t="str">
        <f t="shared" si="129"/>
        <v/>
      </c>
      <c r="GQ35" s="403" t="str">
        <f t="shared" si="130"/>
        <v/>
      </c>
      <c r="GR35" s="403" t="str">
        <f t="shared" si="131"/>
        <v/>
      </c>
      <c r="GS35" s="403" t="str">
        <f t="shared" si="132"/>
        <v/>
      </c>
      <c r="GT35" s="403" t="str">
        <f t="shared" si="133"/>
        <v/>
      </c>
      <c r="GU35" s="403" t="str">
        <f t="shared" si="134"/>
        <v/>
      </c>
      <c r="GV35" s="403" t="str">
        <f t="shared" si="135"/>
        <v/>
      </c>
      <c r="GW35" s="403" t="str">
        <f t="shared" si="136"/>
        <v/>
      </c>
      <c r="GX35" s="403" t="str">
        <f t="shared" si="137"/>
        <v/>
      </c>
      <c r="GY35" s="403" t="str">
        <f t="shared" si="138"/>
        <v/>
      </c>
      <c r="GZ35" s="403" t="str">
        <f t="shared" si="139"/>
        <v/>
      </c>
      <c r="HA35" s="403" t="str">
        <f t="shared" si="140"/>
        <v/>
      </c>
      <c r="HB35" s="403" t="str">
        <f t="shared" si="141"/>
        <v/>
      </c>
      <c r="HC35" s="403" t="str">
        <f t="shared" si="142"/>
        <v/>
      </c>
      <c r="HD35" s="403" t="str">
        <f t="shared" si="143"/>
        <v/>
      </c>
      <c r="HE35" s="403" t="str">
        <f t="shared" si="144"/>
        <v/>
      </c>
      <c r="HF35" s="403" t="str">
        <f t="shared" si="145"/>
        <v/>
      </c>
    </row>
    <row r="36" spans="1:285" x14ac:dyDescent="0.2">
      <c r="A36" s="2">
        <v>29</v>
      </c>
      <c r="B36" s="214"/>
      <c r="C36" s="433"/>
      <c r="D36" s="433"/>
      <c r="E36" s="434"/>
      <c r="F36" s="433"/>
      <c r="G36" s="433"/>
      <c r="H36" s="433"/>
      <c r="I36" s="433"/>
      <c r="J36" s="433"/>
      <c r="K36" s="433"/>
      <c r="L36" s="433"/>
      <c r="M36" s="433"/>
      <c r="N36" s="433"/>
      <c r="O36" s="433"/>
      <c r="P36" s="433"/>
      <c r="Q36" s="433"/>
      <c r="R36" s="433"/>
      <c r="S36" s="433"/>
      <c r="T36" s="433"/>
      <c r="U36" s="433"/>
      <c r="V36" s="433"/>
      <c r="W36" s="433"/>
      <c r="X36" s="433"/>
      <c r="Y36" s="433"/>
      <c r="Z36" s="433"/>
      <c r="AA36" s="433"/>
      <c r="AB36" s="433"/>
      <c r="AC36" s="433"/>
      <c r="AD36" s="435"/>
      <c r="AE36" s="620">
        <f t="shared" si="5"/>
        <v>10</v>
      </c>
      <c r="AH36" s="12"/>
      <c r="BT36" s="403" t="str">
        <f t="shared" si="6"/>
        <v/>
      </c>
      <c r="BU36" s="403" t="str">
        <f t="shared" si="7"/>
        <v/>
      </c>
      <c r="BV36" s="403" t="str">
        <f t="shared" si="8"/>
        <v/>
      </c>
      <c r="BW36" s="403" t="str">
        <f t="shared" si="9"/>
        <v/>
      </c>
      <c r="BX36" s="403" t="str">
        <f t="shared" si="10"/>
        <v/>
      </c>
      <c r="BY36" s="403" t="str">
        <f t="shared" si="11"/>
        <v/>
      </c>
      <c r="BZ36" s="403" t="str">
        <f t="shared" si="12"/>
        <v/>
      </c>
      <c r="CA36" s="403" t="str">
        <f t="shared" si="13"/>
        <v/>
      </c>
      <c r="CB36" s="403" t="str">
        <f t="shared" si="14"/>
        <v/>
      </c>
      <c r="CC36" s="403" t="str">
        <f t="shared" si="15"/>
        <v/>
      </c>
      <c r="CD36" s="403" t="str">
        <f t="shared" si="16"/>
        <v/>
      </c>
      <c r="CE36" s="403" t="str">
        <f t="shared" si="17"/>
        <v/>
      </c>
      <c r="CF36" s="403" t="str">
        <f t="shared" si="18"/>
        <v/>
      </c>
      <c r="CG36" s="403" t="str">
        <f t="shared" si="19"/>
        <v/>
      </c>
      <c r="CH36" s="403" t="str">
        <f t="shared" si="20"/>
        <v/>
      </c>
      <c r="CI36" s="403" t="str">
        <f t="shared" si="21"/>
        <v/>
      </c>
      <c r="CJ36" s="403" t="str">
        <f t="shared" si="22"/>
        <v/>
      </c>
      <c r="CK36" s="403" t="str">
        <f t="shared" si="23"/>
        <v/>
      </c>
      <c r="CL36" s="403" t="str">
        <f t="shared" si="24"/>
        <v/>
      </c>
      <c r="CM36" s="403" t="str">
        <f t="shared" si="25"/>
        <v/>
      </c>
      <c r="CN36" s="403" t="str">
        <f t="shared" si="26"/>
        <v/>
      </c>
      <c r="CO36" s="403" t="str">
        <f t="shared" si="27"/>
        <v/>
      </c>
      <c r="CP36" s="403" t="str">
        <f t="shared" si="28"/>
        <v/>
      </c>
      <c r="CQ36" s="403" t="str">
        <f t="shared" si="29"/>
        <v/>
      </c>
      <c r="CR36" s="403" t="str">
        <f t="shared" si="30"/>
        <v/>
      </c>
      <c r="CS36" s="403" t="str">
        <f t="shared" si="31"/>
        <v/>
      </c>
      <c r="CT36" s="403" t="str">
        <f t="shared" si="32"/>
        <v/>
      </c>
      <c r="CU36" s="403" t="str">
        <f t="shared" si="33"/>
        <v/>
      </c>
      <c r="CV36" s="403" t="str">
        <f t="shared" si="34"/>
        <v/>
      </c>
      <c r="CW36" s="403" t="str">
        <f t="shared" si="35"/>
        <v/>
      </c>
      <c r="CX36" s="403" t="str">
        <f t="shared" si="36"/>
        <v/>
      </c>
      <c r="CY36" s="403" t="str">
        <f t="shared" si="37"/>
        <v/>
      </c>
      <c r="CZ36" s="403" t="str">
        <f t="shared" si="38"/>
        <v/>
      </c>
      <c r="DA36" s="403" t="str">
        <f t="shared" si="39"/>
        <v/>
      </c>
      <c r="DB36" s="403" t="str">
        <f t="shared" si="40"/>
        <v/>
      </c>
      <c r="DD36" s="403" t="str">
        <f t="shared" si="41"/>
        <v/>
      </c>
      <c r="DE36" s="403" t="str">
        <f t="shared" si="42"/>
        <v/>
      </c>
      <c r="DF36" s="403" t="str">
        <f t="shared" si="43"/>
        <v/>
      </c>
      <c r="DG36" s="403" t="str">
        <f t="shared" si="44"/>
        <v/>
      </c>
      <c r="DH36" s="403" t="str">
        <f t="shared" si="45"/>
        <v/>
      </c>
      <c r="DI36" s="403" t="str">
        <f t="shared" si="46"/>
        <v/>
      </c>
      <c r="DJ36" s="403" t="str">
        <f t="shared" si="47"/>
        <v/>
      </c>
      <c r="DK36" s="403" t="str">
        <f t="shared" si="48"/>
        <v/>
      </c>
      <c r="DL36" s="403" t="str">
        <f t="shared" si="49"/>
        <v/>
      </c>
      <c r="DM36" s="403" t="str">
        <f t="shared" si="50"/>
        <v/>
      </c>
      <c r="DN36" s="403" t="str">
        <f t="shared" si="51"/>
        <v/>
      </c>
      <c r="DO36" s="403" t="str">
        <f t="shared" si="52"/>
        <v/>
      </c>
      <c r="DP36" s="403" t="str">
        <f t="shared" si="53"/>
        <v/>
      </c>
      <c r="DQ36" s="403" t="str">
        <f t="shared" si="54"/>
        <v/>
      </c>
      <c r="DR36" s="403" t="str">
        <f t="shared" si="55"/>
        <v/>
      </c>
      <c r="DS36" s="403" t="str">
        <f t="shared" si="56"/>
        <v/>
      </c>
      <c r="DT36" s="403" t="str">
        <f t="shared" si="57"/>
        <v/>
      </c>
      <c r="DU36" s="403" t="str">
        <f t="shared" si="58"/>
        <v/>
      </c>
      <c r="DV36" s="403" t="str">
        <f t="shared" si="59"/>
        <v/>
      </c>
      <c r="DW36" s="403" t="str">
        <f t="shared" si="60"/>
        <v/>
      </c>
      <c r="DX36" s="403" t="str">
        <f t="shared" si="61"/>
        <v/>
      </c>
      <c r="DY36" s="403" t="str">
        <f t="shared" si="62"/>
        <v/>
      </c>
      <c r="DZ36" s="403" t="str">
        <f t="shared" si="63"/>
        <v/>
      </c>
      <c r="EA36" s="403" t="str">
        <f t="shared" si="64"/>
        <v/>
      </c>
      <c r="EB36" s="403" t="str">
        <f t="shared" si="65"/>
        <v/>
      </c>
      <c r="EC36" s="403" t="str">
        <f t="shared" si="66"/>
        <v/>
      </c>
      <c r="ED36" s="403" t="str">
        <f t="shared" si="67"/>
        <v/>
      </c>
      <c r="EE36" s="403" t="str">
        <f t="shared" si="68"/>
        <v/>
      </c>
      <c r="EF36" s="403" t="str">
        <f t="shared" si="69"/>
        <v/>
      </c>
      <c r="EG36" s="403" t="str">
        <f t="shared" si="70"/>
        <v/>
      </c>
      <c r="EH36" s="403" t="str">
        <f t="shared" si="71"/>
        <v/>
      </c>
      <c r="EI36" s="403" t="str">
        <f t="shared" si="72"/>
        <v/>
      </c>
      <c r="EJ36" s="403" t="str">
        <f t="shared" si="73"/>
        <v/>
      </c>
      <c r="EK36" s="403" t="str">
        <f t="shared" si="74"/>
        <v/>
      </c>
      <c r="EL36" s="403" t="str">
        <f t="shared" si="75"/>
        <v/>
      </c>
      <c r="EN36" s="403" t="str">
        <f t="shared" si="76"/>
        <v/>
      </c>
      <c r="EO36" s="403" t="str">
        <f t="shared" si="77"/>
        <v/>
      </c>
      <c r="EP36" s="403" t="str">
        <f t="shared" si="78"/>
        <v/>
      </c>
      <c r="EQ36" s="403" t="str">
        <f t="shared" si="79"/>
        <v/>
      </c>
      <c r="ER36" s="403" t="str">
        <f t="shared" si="80"/>
        <v/>
      </c>
      <c r="ES36" s="403" t="str">
        <f t="shared" si="81"/>
        <v/>
      </c>
      <c r="ET36" s="403" t="str">
        <f t="shared" si="82"/>
        <v/>
      </c>
      <c r="EU36" s="403" t="str">
        <f t="shared" si="83"/>
        <v/>
      </c>
      <c r="EV36" s="403" t="str">
        <f t="shared" si="84"/>
        <v/>
      </c>
      <c r="EW36" s="403" t="str">
        <f t="shared" si="85"/>
        <v/>
      </c>
      <c r="EX36" s="403" t="str">
        <f t="shared" si="86"/>
        <v/>
      </c>
      <c r="EY36" s="403" t="str">
        <f t="shared" si="87"/>
        <v/>
      </c>
      <c r="EZ36" s="403" t="str">
        <f t="shared" si="88"/>
        <v/>
      </c>
      <c r="FA36" s="403" t="str">
        <f t="shared" si="89"/>
        <v/>
      </c>
      <c r="FB36" s="403" t="str">
        <f t="shared" si="90"/>
        <v/>
      </c>
      <c r="FC36" s="403" t="str">
        <f t="shared" si="91"/>
        <v/>
      </c>
      <c r="FD36" s="403" t="str">
        <f t="shared" si="92"/>
        <v/>
      </c>
      <c r="FE36" s="403" t="str">
        <f t="shared" si="93"/>
        <v/>
      </c>
      <c r="FF36" s="403" t="str">
        <f t="shared" si="94"/>
        <v/>
      </c>
      <c r="FG36" s="403" t="str">
        <f t="shared" si="95"/>
        <v/>
      </c>
      <c r="FH36" s="403" t="str">
        <f t="shared" si="96"/>
        <v/>
      </c>
      <c r="FI36" s="403" t="str">
        <f t="shared" si="97"/>
        <v/>
      </c>
      <c r="FJ36" s="403" t="str">
        <f t="shared" si="98"/>
        <v/>
      </c>
      <c r="FK36" s="403" t="str">
        <f t="shared" si="99"/>
        <v/>
      </c>
      <c r="FL36" s="403" t="str">
        <f t="shared" si="100"/>
        <v/>
      </c>
      <c r="FM36" s="403" t="str">
        <f t="shared" si="101"/>
        <v/>
      </c>
      <c r="FN36" s="403" t="str">
        <f t="shared" si="102"/>
        <v/>
      </c>
      <c r="FO36" s="403" t="str">
        <f t="shared" si="103"/>
        <v/>
      </c>
      <c r="FP36" s="403" t="str">
        <f t="shared" si="104"/>
        <v/>
      </c>
      <c r="FQ36" s="403" t="str">
        <f t="shared" si="105"/>
        <v/>
      </c>
      <c r="FR36" s="403" t="str">
        <f t="shared" si="106"/>
        <v/>
      </c>
      <c r="FS36" s="403" t="str">
        <f t="shared" si="107"/>
        <v/>
      </c>
      <c r="FT36" s="403" t="str">
        <f t="shared" si="108"/>
        <v/>
      </c>
      <c r="FU36" s="403" t="str">
        <f t="shared" si="109"/>
        <v/>
      </c>
      <c r="FV36" s="403" t="str">
        <f t="shared" si="110"/>
        <v/>
      </c>
      <c r="FX36" s="403" t="str">
        <f t="shared" si="111"/>
        <v/>
      </c>
      <c r="FY36" s="403" t="str">
        <f t="shared" si="112"/>
        <v/>
      </c>
      <c r="FZ36" s="403" t="str">
        <f t="shared" si="113"/>
        <v/>
      </c>
      <c r="GA36" s="403" t="str">
        <f t="shared" si="114"/>
        <v/>
      </c>
      <c r="GB36" s="403" t="str">
        <f t="shared" si="115"/>
        <v/>
      </c>
      <c r="GC36" s="403" t="str">
        <f t="shared" si="116"/>
        <v/>
      </c>
      <c r="GD36" s="403" t="str">
        <f t="shared" si="117"/>
        <v/>
      </c>
      <c r="GE36" s="403" t="str">
        <f t="shared" si="118"/>
        <v/>
      </c>
      <c r="GF36" s="403" t="str">
        <f t="shared" si="119"/>
        <v/>
      </c>
      <c r="GG36" s="403" t="str">
        <f t="shared" si="120"/>
        <v/>
      </c>
      <c r="GH36" s="403" t="str">
        <f t="shared" si="121"/>
        <v/>
      </c>
      <c r="GI36" s="403" t="str">
        <f t="shared" si="122"/>
        <v/>
      </c>
      <c r="GJ36" s="403" t="str">
        <f t="shared" si="123"/>
        <v/>
      </c>
      <c r="GK36" s="403" t="str">
        <f t="shared" si="124"/>
        <v/>
      </c>
      <c r="GL36" s="403" t="str">
        <f t="shared" si="125"/>
        <v/>
      </c>
      <c r="GM36" s="403" t="str">
        <f t="shared" si="126"/>
        <v/>
      </c>
      <c r="GN36" s="403" t="str">
        <f t="shared" si="127"/>
        <v/>
      </c>
      <c r="GO36" s="403" t="str">
        <f t="shared" si="128"/>
        <v/>
      </c>
      <c r="GP36" s="403" t="str">
        <f t="shared" si="129"/>
        <v/>
      </c>
      <c r="GQ36" s="403" t="str">
        <f t="shared" si="130"/>
        <v/>
      </c>
      <c r="GR36" s="403" t="str">
        <f t="shared" si="131"/>
        <v/>
      </c>
      <c r="GS36" s="403" t="str">
        <f t="shared" si="132"/>
        <v/>
      </c>
      <c r="GT36" s="403" t="str">
        <f t="shared" si="133"/>
        <v/>
      </c>
      <c r="GU36" s="403" t="str">
        <f t="shared" si="134"/>
        <v/>
      </c>
      <c r="GV36" s="403" t="str">
        <f t="shared" si="135"/>
        <v/>
      </c>
      <c r="GW36" s="403" t="str">
        <f t="shared" si="136"/>
        <v/>
      </c>
      <c r="GX36" s="403" t="str">
        <f t="shared" si="137"/>
        <v/>
      </c>
      <c r="GY36" s="403" t="str">
        <f t="shared" si="138"/>
        <v/>
      </c>
      <c r="GZ36" s="403" t="str">
        <f t="shared" si="139"/>
        <v/>
      </c>
      <c r="HA36" s="403" t="str">
        <f t="shared" si="140"/>
        <v/>
      </c>
      <c r="HB36" s="403" t="str">
        <f t="shared" si="141"/>
        <v/>
      </c>
      <c r="HC36" s="403" t="str">
        <f t="shared" si="142"/>
        <v/>
      </c>
      <c r="HD36" s="403" t="str">
        <f t="shared" si="143"/>
        <v/>
      </c>
      <c r="HE36" s="403" t="str">
        <f t="shared" si="144"/>
        <v/>
      </c>
      <c r="HF36" s="403" t="str">
        <f t="shared" si="145"/>
        <v/>
      </c>
    </row>
    <row r="37" spans="1:285" x14ac:dyDescent="0.2">
      <c r="A37" s="2">
        <v>30</v>
      </c>
      <c r="B37" s="214"/>
      <c r="C37" s="436" t="s">
        <v>14243</v>
      </c>
      <c r="D37" s="436" t="s">
        <v>14196</v>
      </c>
      <c r="E37" s="437" t="s">
        <v>3121</v>
      </c>
      <c r="F37" s="436" t="s">
        <v>3131</v>
      </c>
      <c r="G37" s="436" t="s">
        <v>4342</v>
      </c>
      <c r="H37" s="436" t="s">
        <v>4625</v>
      </c>
      <c r="I37" s="436" t="s">
        <v>197</v>
      </c>
      <c r="J37" s="436" t="s">
        <v>7</v>
      </c>
      <c r="K37" s="436" t="s">
        <v>11</v>
      </c>
      <c r="L37" s="436" t="s">
        <v>4343</v>
      </c>
      <c r="M37" s="436" t="s">
        <v>3131</v>
      </c>
      <c r="N37" s="436" t="s">
        <v>197</v>
      </c>
      <c r="O37" s="436" t="s">
        <v>197</v>
      </c>
      <c r="P37" s="436" t="s">
        <v>3129</v>
      </c>
      <c r="Q37" s="436" t="s">
        <v>3122</v>
      </c>
      <c r="R37" s="436" t="s">
        <v>3123</v>
      </c>
      <c r="S37" s="436" t="s">
        <v>3122</v>
      </c>
      <c r="T37" s="436" t="s">
        <v>3123</v>
      </c>
      <c r="U37" s="436" t="s">
        <v>3123</v>
      </c>
      <c r="V37" s="436" t="s">
        <v>4344</v>
      </c>
      <c r="W37" s="436" t="s">
        <v>4345</v>
      </c>
      <c r="X37" s="436" t="s">
        <v>4344</v>
      </c>
      <c r="Y37" s="436" t="s">
        <v>3122</v>
      </c>
      <c r="Z37" s="436" t="s">
        <v>3122</v>
      </c>
      <c r="AA37" s="436" t="s">
        <v>3126</v>
      </c>
      <c r="AB37" s="436" t="s">
        <v>3123</v>
      </c>
      <c r="AC37" s="436" t="s">
        <v>3124</v>
      </c>
      <c r="AD37" s="438" t="s">
        <v>3125</v>
      </c>
      <c r="AE37" s="620">
        <f t="shared" si="5"/>
        <v>11</v>
      </c>
      <c r="AH37" s="12"/>
      <c r="BT37" s="403" t="str">
        <f t="shared" si="6"/>
        <v/>
      </c>
      <c r="BU37" s="403" t="str">
        <f t="shared" si="7"/>
        <v/>
      </c>
      <c r="BV37" s="403" t="str">
        <f t="shared" si="8"/>
        <v/>
      </c>
      <c r="BW37" s="403" t="str">
        <f t="shared" si="9"/>
        <v/>
      </c>
      <c r="BX37" s="403" t="str">
        <f t="shared" si="10"/>
        <v/>
      </c>
      <c r="BY37" s="403" t="str">
        <f t="shared" si="11"/>
        <v/>
      </c>
      <c r="BZ37" s="403" t="str">
        <f t="shared" si="12"/>
        <v/>
      </c>
      <c r="CA37" s="403" t="str">
        <f t="shared" si="13"/>
        <v/>
      </c>
      <c r="CB37" s="403" t="str">
        <f t="shared" si="14"/>
        <v/>
      </c>
      <c r="CC37" s="403" t="str">
        <f t="shared" si="15"/>
        <v/>
      </c>
      <c r="CD37" s="403" t="str">
        <f t="shared" si="16"/>
        <v/>
      </c>
      <c r="CE37" s="403" t="str">
        <f t="shared" si="17"/>
        <v/>
      </c>
      <c r="CF37" s="403" t="str">
        <f t="shared" si="18"/>
        <v/>
      </c>
      <c r="CG37" s="403" t="str">
        <f t="shared" si="19"/>
        <v/>
      </c>
      <c r="CH37" s="403" t="str">
        <f t="shared" si="20"/>
        <v/>
      </c>
      <c r="CI37" s="403" t="str">
        <f t="shared" si="21"/>
        <v/>
      </c>
      <c r="CJ37" s="403" t="str">
        <f t="shared" si="22"/>
        <v/>
      </c>
      <c r="CK37" s="403" t="str">
        <f t="shared" si="23"/>
        <v/>
      </c>
      <c r="CL37" s="403" t="str">
        <f t="shared" si="24"/>
        <v/>
      </c>
      <c r="CM37" s="403" t="str">
        <f t="shared" si="25"/>
        <v/>
      </c>
      <c r="CN37" s="403" t="str">
        <f t="shared" si="26"/>
        <v/>
      </c>
      <c r="CO37" s="403" t="str">
        <f t="shared" si="27"/>
        <v/>
      </c>
      <c r="CP37" s="403" t="str">
        <f t="shared" si="28"/>
        <v/>
      </c>
      <c r="CQ37" s="403" t="str">
        <f t="shared" si="29"/>
        <v/>
      </c>
      <c r="CR37" s="403" t="str">
        <f t="shared" si="30"/>
        <v/>
      </c>
      <c r="CS37" s="403" t="str">
        <f t="shared" si="31"/>
        <v/>
      </c>
      <c r="CT37" s="403" t="str">
        <f t="shared" si="32"/>
        <v/>
      </c>
      <c r="CU37" s="403" t="str">
        <f t="shared" si="33"/>
        <v/>
      </c>
      <c r="CV37" s="403" t="str">
        <f t="shared" si="34"/>
        <v/>
      </c>
      <c r="CW37" s="403" t="str">
        <f t="shared" si="35"/>
        <v/>
      </c>
      <c r="CX37" s="403" t="str">
        <f t="shared" si="36"/>
        <v/>
      </c>
      <c r="CY37" s="403" t="str">
        <f t="shared" si="37"/>
        <v/>
      </c>
      <c r="CZ37" s="403" t="str">
        <f t="shared" si="38"/>
        <v/>
      </c>
      <c r="DA37" s="403" t="str">
        <f t="shared" si="39"/>
        <v/>
      </c>
      <c r="DB37" s="403" t="str">
        <f t="shared" si="40"/>
        <v/>
      </c>
      <c r="DD37" s="403" t="str">
        <f t="shared" si="41"/>
        <v/>
      </c>
      <c r="DE37" s="403" t="str">
        <f t="shared" si="42"/>
        <v/>
      </c>
      <c r="DF37" s="403" t="str">
        <f t="shared" si="43"/>
        <v/>
      </c>
      <c r="DG37" s="403" t="str">
        <f t="shared" si="44"/>
        <v/>
      </c>
      <c r="DH37" s="403" t="str">
        <f t="shared" si="45"/>
        <v/>
      </c>
      <c r="DI37" s="403" t="str">
        <f t="shared" si="46"/>
        <v/>
      </c>
      <c r="DJ37" s="403" t="str">
        <f t="shared" si="47"/>
        <v/>
      </c>
      <c r="DK37" s="403" t="str">
        <f t="shared" si="48"/>
        <v/>
      </c>
      <c r="DL37" s="403" t="str">
        <f t="shared" si="49"/>
        <v/>
      </c>
      <c r="DM37" s="403" t="str">
        <f t="shared" si="50"/>
        <v/>
      </c>
      <c r="DN37" s="403" t="str">
        <f t="shared" si="51"/>
        <v/>
      </c>
      <c r="DO37" s="403" t="str">
        <f t="shared" si="52"/>
        <v/>
      </c>
      <c r="DP37" s="403" t="str">
        <f t="shared" si="53"/>
        <v/>
      </c>
      <c r="DQ37" s="403" t="str">
        <f t="shared" si="54"/>
        <v/>
      </c>
      <c r="DR37" s="403" t="str">
        <f t="shared" si="55"/>
        <v/>
      </c>
      <c r="DS37" s="403" t="str">
        <f t="shared" si="56"/>
        <v/>
      </c>
      <c r="DT37" s="403" t="str">
        <f t="shared" si="57"/>
        <v/>
      </c>
      <c r="DU37" s="403" t="str">
        <f t="shared" si="58"/>
        <v/>
      </c>
      <c r="DV37" s="403" t="str">
        <f t="shared" si="59"/>
        <v/>
      </c>
      <c r="DW37" s="403" t="str">
        <f t="shared" si="60"/>
        <v/>
      </c>
      <c r="DX37" s="403" t="str">
        <f t="shared" si="61"/>
        <v/>
      </c>
      <c r="DY37" s="403" t="str">
        <f t="shared" si="62"/>
        <v/>
      </c>
      <c r="DZ37" s="403" t="str">
        <f t="shared" si="63"/>
        <v/>
      </c>
      <c r="EA37" s="403" t="str">
        <f t="shared" si="64"/>
        <v/>
      </c>
      <c r="EB37" s="403" t="str">
        <f t="shared" si="65"/>
        <v/>
      </c>
      <c r="EC37" s="403" t="str">
        <f t="shared" si="66"/>
        <v/>
      </c>
      <c r="ED37" s="403" t="str">
        <f t="shared" si="67"/>
        <v/>
      </c>
      <c r="EE37" s="403" t="str">
        <f t="shared" si="68"/>
        <v/>
      </c>
      <c r="EF37" s="403" t="str">
        <f t="shared" si="69"/>
        <v/>
      </c>
      <c r="EG37" s="403" t="str">
        <f t="shared" si="70"/>
        <v/>
      </c>
      <c r="EH37" s="403" t="str">
        <f t="shared" si="71"/>
        <v/>
      </c>
      <c r="EI37" s="403" t="str">
        <f t="shared" si="72"/>
        <v/>
      </c>
      <c r="EJ37" s="403" t="str">
        <f t="shared" si="73"/>
        <v/>
      </c>
      <c r="EK37" s="403" t="str">
        <f t="shared" si="74"/>
        <v/>
      </c>
      <c r="EL37" s="403" t="str">
        <f t="shared" si="75"/>
        <v/>
      </c>
      <c r="EN37" s="403" t="str">
        <f t="shared" si="76"/>
        <v/>
      </c>
      <c r="EO37" s="403" t="str">
        <f t="shared" si="77"/>
        <v/>
      </c>
      <c r="EP37" s="403" t="str">
        <f t="shared" si="78"/>
        <v/>
      </c>
      <c r="EQ37" s="403" t="str">
        <f t="shared" si="79"/>
        <v/>
      </c>
      <c r="ER37" s="403" t="str">
        <f t="shared" si="80"/>
        <v/>
      </c>
      <c r="ES37" s="403" t="str">
        <f t="shared" si="81"/>
        <v/>
      </c>
      <c r="ET37" s="403" t="str">
        <f t="shared" si="82"/>
        <v/>
      </c>
      <c r="EU37" s="403" t="str">
        <f t="shared" si="83"/>
        <v/>
      </c>
      <c r="EV37" s="403" t="str">
        <f t="shared" si="84"/>
        <v/>
      </c>
      <c r="EW37" s="403" t="str">
        <f t="shared" si="85"/>
        <v/>
      </c>
      <c r="EX37" s="403" t="str">
        <f t="shared" si="86"/>
        <v/>
      </c>
      <c r="EY37" s="403" t="str">
        <f t="shared" si="87"/>
        <v/>
      </c>
      <c r="EZ37" s="403" t="str">
        <f t="shared" si="88"/>
        <v/>
      </c>
      <c r="FA37" s="403" t="str">
        <f t="shared" si="89"/>
        <v/>
      </c>
      <c r="FB37" s="403" t="str">
        <f t="shared" si="90"/>
        <v/>
      </c>
      <c r="FC37" s="403" t="str">
        <f t="shared" si="91"/>
        <v/>
      </c>
      <c r="FD37" s="403" t="str">
        <f t="shared" si="92"/>
        <v/>
      </c>
      <c r="FE37" s="403" t="str">
        <f t="shared" si="93"/>
        <v/>
      </c>
      <c r="FF37" s="403" t="str">
        <f t="shared" si="94"/>
        <v/>
      </c>
      <c r="FG37" s="403" t="str">
        <f t="shared" si="95"/>
        <v/>
      </c>
      <c r="FH37" s="403" t="str">
        <f t="shared" si="96"/>
        <v/>
      </c>
      <c r="FI37" s="403" t="str">
        <f t="shared" si="97"/>
        <v/>
      </c>
      <c r="FJ37" s="403" t="str">
        <f t="shared" si="98"/>
        <v/>
      </c>
      <c r="FK37" s="403" t="str">
        <f t="shared" si="99"/>
        <v/>
      </c>
      <c r="FL37" s="403" t="str">
        <f t="shared" si="100"/>
        <v/>
      </c>
      <c r="FM37" s="403" t="str">
        <f t="shared" si="101"/>
        <v/>
      </c>
      <c r="FN37" s="403" t="str">
        <f t="shared" si="102"/>
        <v/>
      </c>
      <c r="FO37" s="403" t="str">
        <f t="shared" si="103"/>
        <v/>
      </c>
      <c r="FP37" s="403" t="str">
        <f t="shared" si="104"/>
        <v/>
      </c>
      <c r="FQ37" s="403" t="str">
        <f t="shared" si="105"/>
        <v/>
      </c>
      <c r="FR37" s="403" t="str">
        <f t="shared" si="106"/>
        <v/>
      </c>
      <c r="FS37" s="403" t="str">
        <f t="shared" si="107"/>
        <v/>
      </c>
      <c r="FT37" s="403" t="str">
        <f t="shared" si="108"/>
        <v/>
      </c>
      <c r="FU37" s="403" t="str">
        <f t="shared" si="109"/>
        <v/>
      </c>
      <c r="FV37" s="403" t="str">
        <f t="shared" si="110"/>
        <v/>
      </c>
      <c r="FX37" s="403" t="str">
        <f t="shared" si="111"/>
        <v/>
      </c>
      <c r="FY37" s="403" t="str">
        <f t="shared" si="112"/>
        <v/>
      </c>
      <c r="FZ37" s="403" t="str">
        <f t="shared" si="113"/>
        <v/>
      </c>
      <c r="GA37" s="403" t="str">
        <f t="shared" si="114"/>
        <v/>
      </c>
      <c r="GB37" s="403" t="str">
        <f t="shared" si="115"/>
        <v/>
      </c>
      <c r="GC37" s="403" t="str">
        <f t="shared" si="116"/>
        <v/>
      </c>
      <c r="GD37" s="403" t="str">
        <f t="shared" si="117"/>
        <v/>
      </c>
      <c r="GE37" s="403" t="str">
        <f t="shared" si="118"/>
        <v/>
      </c>
      <c r="GF37" s="403" t="str">
        <f t="shared" si="119"/>
        <v/>
      </c>
      <c r="GG37" s="403" t="str">
        <f t="shared" si="120"/>
        <v/>
      </c>
      <c r="GH37" s="403" t="str">
        <f t="shared" si="121"/>
        <v/>
      </c>
      <c r="GI37" s="403" t="str">
        <f t="shared" si="122"/>
        <v/>
      </c>
      <c r="GJ37" s="403" t="str">
        <f t="shared" si="123"/>
        <v/>
      </c>
      <c r="GK37" s="403" t="str">
        <f t="shared" si="124"/>
        <v/>
      </c>
      <c r="GL37" s="403" t="str">
        <f t="shared" si="125"/>
        <v/>
      </c>
      <c r="GM37" s="403" t="str">
        <f t="shared" si="126"/>
        <v/>
      </c>
      <c r="GN37" s="403" t="str">
        <f t="shared" si="127"/>
        <v/>
      </c>
      <c r="GO37" s="403" t="str">
        <f t="shared" si="128"/>
        <v/>
      </c>
      <c r="GP37" s="403" t="str">
        <f t="shared" si="129"/>
        <v/>
      </c>
      <c r="GQ37" s="403" t="str">
        <f t="shared" si="130"/>
        <v/>
      </c>
      <c r="GR37" s="403" t="str">
        <f t="shared" si="131"/>
        <v/>
      </c>
      <c r="GS37" s="403" t="str">
        <f t="shared" si="132"/>
        <v/>
      </c>
      <c r="GT37" s="403" t="str">
        <f t="shared" si="133"/>
        <v/>
      </c>
      <c r="GU37" s="403" t="str">
        <f t="shared" si="134"/>
        <v/>
      </c>
      <c r="GV37" s="403" t="str">
        <f t="shared" si="135"/>
        <v/>
      </c>
      <c r="GW37" s="403" t="str">
        <f t="shared" si="136"/>
        <v/>
      </c>
      <c r="GX37" s="403" t="str">
        <f t="shared" si="137"/>
        <v/>
      </c>
      <c r="GY37" s="403" t="str">
        <f t="shared" si="138"/>
        <v/>
      </c>
      <c r="GZ37" s="403" t="str">
        <f t="shared" si="139"/>
        <v/>
      </c>
      <c r="HA37" s="403" t="str">
        <f t="shared" si="140"/>
        <v/>
      </c>
      <c r="HB37" s="403" t="str">
        <f t="shared" si="141"/>
        <v/>
      </c>
      <c r="HC37" s="403" t="str">
        <f t="shared" si="142"/>
        <v/>
      </c>
      <c r="HD37" s="403" t="str">
        <f t="shared" si="143"/>
        <v/>
      </c>
      <c r="HE37" s="403" t="str">
        <f t="shared" si="144"/>
        <v/>
      </c>
      <c r="HF37" s="403" t="str">
        <f t="shared" si="145"/>
        <v/>
      </c>
    </row>
    <row r="38" spans="1:285" x14ac:dyDescent="0.2">
      <c r="AE38" s="620">
        <f>MAX(AE12:AE37)</f>
        <v>11</v>
      </c>
      <c r="BT38" s="403" t="str">
        <f t="shared" si="6"/>
        <v/>
      </c>
      <c r="BU38" s="403" t="str">
        <f t="shared" si="7"/>
        <v/>
      </c>
      <c r="BV38" s="403" t="str">
        <f t="shared" si="8"/>
        <v/>
      </c>
      <c r="BW38" s="403" t="str">
        <f t="shared" si="9"/>
        <v/>
      </c>
      <c r="BX38" s="403" t="str">
        <f t="shared" si="10"/>
        <v/>
      </c>
      <c r="BY38" s="403" t="str">
        <f t="shared" si="11"/>
        <v/>
      </c>
      <c r="BZ38" s="403" t="str">
        <f t="shared" si="12"/>
        <v/>
      </c>
      <c r="CA38" s="403" t="str">
        <f t="shared" si="13"/>
        <v/>
      </c>
      <c r="CB38" s="403" t="str">
        <f t="shared" si="14"/>
        <v/>
      </c>
      <c r="CC38" s="403" t="str">
        <f t="shared" si="15"/>
        <v/>
      </c>
      <c r="CD38" s="403" t="str">
        <f t="shared" si="16"/>
        <v/>
      </c>
      <c r="CE38" s="403" t="str">
        <f t="shared" si="17"/>
        <v/>
      </c>
      <c r="CF38" s="403" t="str">
        <f t="shared" si="18"/>
        <v/>
      </c>
      <c r="CG38" s="403" t="str">
        <f t="shared" si="19"/>
        <v/>
      </c>
      <c r="CH38" s="403" t="str">
        <f t="shared" si="20"/>
        <v/>
      </c>
      <c r="CI38" s="403" t="str">
        <f t="shared" si="21"/>
        <v/>
      </c>
      <c r="CJ38" s="403" t="str">
        <f t="shared" si="22"/>
        <v/>
      </c>
      <c r="CK38" s="403" t="str">
        <f t="shared" si="23"/>
        <v/>
      </c>
      <c r="CL38" s="403" t="str">
        <f t="shared" si="24"/>
        <v/>
      </c>
      <c r="CM38" s="403" t="str">
        <f t="shared" si="25"/>
        <v/>
      </c>
      <c r="CN38" s="403" t="str">
        <f t="shared" si="26"/>
        <v/>
      </c>
      <c r="CO38" s="403" t="str">
        <f t="shared" si="27"/>
        <v/>
      </c>
      <c r="CP38" s="403" t="str">
        <f t="shared" si="28"/>
        <v/>
      </c>
      <c r="CQ38" s="403" t="str">
        <f t="shared" si="29"/>
        <v/>
      </c>
      <c r="CR38" s="403" t="str">
        <f t="shared" si="30"/>
        <v/>
      </c>
      <c r="CS38" s="403" t="str">
        <f t="shared" si="31"/>
        <v/>
      </c>
      <c r="CT38" s="403" t="str">
        <f t="shared" si="32"/>
        <v/>
      </c>
      <c r="CU38" s="403" t="str">
        <f t="shared" si="33"/>
        <v/>
      </c>
      <c r="CV38" s="403" t="str">
        <f t="shared" si="34"/>
        <v/>
      </c>
      <c r="CW38" s="403" t="str">
        <f t="shared" si="35"/>
        <v/>
      </c>
      <c r="CX38" s="403" t="str">
        <f t="shared" si="36"/>
        <v/>
      </c>
      <c r="CY38" s="403" t="str">
        <f t="shared" si="37"/>
        <v/>
      </c>
      <c r="CZ38" s="403" t="str">
        <f t="shared" si="38"/>
        <v/>
      </c>
      <c r="DA38" s="403" t="str">
        <f t="shared" si="39"/>
        <v/>
      </c>
      <c r="DB38" s="403" t="str">
        <f t="shared" si="40"/>
        <v/>
      </c>
      <c r="DD38" s="403" t="str">
        <f t="shared" si="41"/>
        <v/>
      </c>
      <c r="DE38" s="403" t="str">
        <f t="shared" si="42"/>
        <v/>
      </c>
      <c r="DF38" s="403" t="str">
        <f t="shared" si="43"/>
        <v/>
      </c>
      <c r="DG38" s="403" t="str">
        <f t="shared" si="44"/>
        <v/>
      </c>
      <c r="DH38" s="403" t="str">
        <f t="shared" si="45"/>
        <v/>
      </c>
      <c r="DI38" s="403" t="str">
        <f t="shared" si="46"/>
        <v/>
      </c>
      <c r="DJ38" s="403" t="str">
        <f t="shared" si="47"/>
        <v/>
      </c>
      <c r="DK38" s="403" t="str">
        <f t="shared" si="48"/>
        <v/>
      </c>
      <c r="DL38" s="403" t="str">
        <f t="shared" si="49"/>
        <v/>
      </c>
      <c r="DM38" s="403" t="str">
        <f t="shared" si="50"/>
        <v/>
      </c>
      <c r="DN38" s="403" t="str">
        <f t="shared" si="51"/>
        <v/>
      </c>
      <c r="DO38" s="403" t="str">
        <f t="shared" si="52"/>
        <v/>
      </c>
      <c r="DP38" s="403" t="str">
        <f t="shared" si="53"/>
        <v/>
      </c>
      <c r="DQ38" s="403" t="str">
        <f t="shared" si="54"/>
        <v/>
      </c>
      <c r="DR38" s="403" t="str">
        <f t="shared" si="55"/>
        <v/>
      </c>
      <c r="DS38" s="403" t="str">
        <f t="shared" si="56"/>
        <v/>
      </c>
      <c r="DT38" s="403" t="str">
        <f t="shared" si="57"/>
        <v/>
      </c>
      <c r="DU38" s="403" t="str">
        <f t="shared" si="58"/>
        <v/>
      </c>
      <c r="DV38" s="403" t="str">
        <f t="shared" si="59"/>
        <v/>
      </c>
      <c r="DW38" s="403" t="str">
        <f t="shared" si="60"/>
        <v/>
      </c>
      <c r="DX38" s="403" t="str">
        <f t="shared" si="61"/>
        <v/>
      </c>
      <c r="DY38" s="403" t="str">
        <f t="shared" si="62"/>
        <v/>
      </c>
      <c r="DZ38" s="403" t="str">
        <f t="shared" si="63"/>
        <v/>
      </c>
      <c r="EA38" s="403" t="str">
        <f t="shared" si="64"/>
        <v/>
      </c>
      <c r="EB38" s="403" t="str">
        <f t="shared" si="65"/>
        <v/>
      </c>
      <c r="EC38" s="403" t="str">
        <f t="shared" si="66"/>
        <v/>
      </c>
      <c r="ED38" s="403" t="str">
        <f t="shared" si="67"/>
        <v/>
      </c>
      <c r="EE38" s="403" t="str">
        <f t="shared" si="68"/>
        <v/>
      </c>
      <c r="EF38" s="403" t="str">
        <f t="shared" si="69"/>
        <v/>
      </c>
      <c r="EG38" s="403" t="str">
        <f t="shared" si="70"/>
        <v/>
      </c>
      <c r="EH38" s="403" t="str">
        <f t="shared" si="71"/>
        <v/>
      </c>
      <c r="EI38" s="403" t="str">
        <f t="shared" si="72"/>
        <v/>
      </c>
      <c r="EJ38" s="403" t="str">
        <f t="shared" si="73"/>
        <v/>
      </c>
      <c r="EK38" s="403" t="str">
        <f t="shared" si="74"/>
        <v/>
      </c>
      <c r="EL38" s="403" t="str">
        <f t="shared" si="75"/>
        <v/>
      </c>
      <c r="EN38" s="403" t="str">
        <f t="shared" si="76"/>
        <v/>
      </c>
      <c r="EO38" s="403" t="str">
        <f t="shared" si="77"/>
        <v/>
      </c>
      <c r="EP38" s="403" t="str">
        <f t="shared" si="78"/>
        <v/>
      </c>
      <c r="EQ38" s="403" t="str">
        <f t="shared" si="79"/>
        <v/>
      </c>
      <c r="ER38" s="403" t="str">
        <f t="shared" si="80"/>
        <v/>
      </c>
      <c r="ES38" s="403" t="str">
        <f t="shared" si="81"/>
        <v/>
      </c>
      <c r="ET38" s="403" t="str">
        <f t="shared" si="82"/>
        <v/>
      </c>
      <c r="EU38" s="403" t="str">
        <f t="shared" si="83"/>
        <v/>
      </c>
      <c r="EV38" s="403" t="str">
        <f t="shared" si="84"/>
        <v/>
      </c>
      <c r="EW38" s="403" t="str">
        <f t="shared" si="85"/>
        <v/>
      </c>
      <c r="EX38" s="403" t="str">
        <f t="shared" si="86"/>
        <v/>
      </c>
      <c r="EY38" s="403" t="str">
        <f t="shared" si="87"/>
        <v/>
      </c>
      <c r="EZ38" s="403" t="str">
        <f t="shared" si="88"/>
        <v/>
      </c>
      <c r="FA38" s="403" t="str">
        <f t="shared" si="89"/>
        <v/>
      </c>
      <c r="FB38" s="403" t="str">
        <f t="shared" si="90"/>
        <v/>
      </c>
      <c r="FC38" s="403" t="str">
        <f t="shared" si="91"/>
        <v/>
      </c>
      <c r="FD38" s="403" t="str">
        <f t="shared" si="92"/>
        <v/>
      </c>
      <c r="FE38" s="403" t="str">
        <f t="shared" si="93"/>
        <v/>
      </c>
      <c r="FF38" s="403" t="str">
        <f t="shared" si="94"/>
        <v/>
      </c>
      <c r="FG38" s="403" t="str">
        <f t="shared" si="95"/>
        <v/>
      </c>
      <c r="FH38" s="403" t="str">
        <f t="shared" si="96"/>
        <v/>
      </c>
      <c r="FI38" s="403" t="str">
        <f t="shared" si="97"/>
        <v/>
      </c>
      <c r="FJ38" s="403" t="str">
        <f t="shared" si="98"/>
        <v/>
      </c>
      <c r="FK38" s="403" t="str">
        <f t="shared" si="99"/>
        <v/>
      </c>
      <c r="FL38" s="403" t="str">
        <f t="shared" si="100"/>
        <v/>
      </c>
      <c r="FM38" s="403" t="str">
        <f t="shared" si="101"/>
        <v/>
      </c>
      <c r="FN38" s="403" t="str">
        <f t="shared" si="102"/>
        <v/>
      </c>
      <c r="FO38" s="403" t="str">
        <f t="shared" si="103"/>
        <v/>
      </c>
      <c r="FP38" s="403" t="str">
        <f t="shared" si="104"/>
        <v/>
      </c>
      <c r="FQ38" s="403" t="str">
        <f t="shared" si="105"/>
        <v/>
      </c>
      <c r="FR38" s="403" t="str">
        <f t="shared" si="106"/>
        <v/>
      </c>
      <c r="FS38" s="403" t="str">
        <f t="shared" si="107"/>
        <v/>
      </c>
      <c r="FT38" s="403" t="str">
        <f t="shared" si="108"/>
        <v/>
      </c>
      <c r="FU38" s="403" t="str">
        <f t="shared" si="109"/>
        <v/>
      </c>
      <c r="FV38" s="403" t="str">
        <f t="shared" si="110"/>
        <v/>
      </c>
      <c r="FX38" s="403" t="str">
        <f t="shared" si="111"/>
        <v/>
      </c>
      <c r="FY38" s="403" t="str">
        <f t="shared" si="112"/>
        <v/>
      </c>
      <c r="FZ38" s="403" t="str">
        <f t="shared" si="113"/>
        <v/>
      </c>
      <c r="GA38" s="403" t="str">
        <f t="shared" si="114"/>
        <v/>
      </c>
      <c r="GB38" s="403" t="str">
        <f t="shared" si="115"/>
        <v/>
      </c>
      <c r="GC38" s="403" t="str">
        <f t="shared" si="116"/>
        <v/>
      </c>
      <c r="GD38" s="403" t="str">
        <f t="shared" si="117"/>
        <v/>
      </c>
      <c r="GE38" s="403" t="str">
        <f t="shared" si="118"/>
        <v/>
      </c>
      <c r="GF38" s="403" t="str">
        <f t="shared" si="119"/>
        <v/>
      </c>
      <c r="GG38" s="403" t="str">
        <f t="shared" si="120"/>
        <v/>
      </c>
      <c r="GH38" s="403" t="str">
        <f t="shared" si="121"/>
        <v/>
      </c>
      <c r="GI38" s="403" t="str">
        <f t="shared" si="122"/>
        <v/>
      </c>
      <c r="GJ38" s="403" t="str">
        <f t="shared" si="123"/>
        <v/>
      </c>
      <c r="GK38" s="403" t="str">
        <f t="shared" si="124"/>
        <v/>
      </c>
      <c r="GL38" s="403" t="str">
        <f t="shared" si="125"/>
        <v/>
      </c>
      <c r="GM38" s="403" t="str">
        <f t="shared" si="126"/>
        <v/>
      </c>
      <c r="GN38" s="403" t="str">
        <f t="shared" si="127"/>
        <v/>
      </c>
      <c r="GO38" s="403" t="str">
        <f t="shared" si="128"/>
        <v/>
      </c>
      <c r="GP38" s="403" t="str">
        <f t="shared" si="129"/>
        <v/>
      </c>
      <c r="GQ38" s="403" t="str">
        <f t="shared" si="130"/>
        <v/>
      </c>
      <c r="GR38" s="403" t="str">
        <f t="shared" si="131"/>
        <v/>
      </c>
      <c r="GS38" s="403" t="str">
        <f t="shared" si="132"/>
        <v/>
      </c>
      <c r="GT38" s="403" t="str">
        <f t="shared" si="133"/>
        <v/>
      </c>
      <c r="GU38" s="403" t="str">
        <f t="shared" si="134"/>
        <v/>
      </c>
      <c r="GV38" s="403" t="str">
        <f t="shared" si="135"/>
        <v/>
      </c>
      <c r="GW38" s="403" t="str">
        <f t="shared" si="136"/>
        <v/>
      </c>
      <c r="GX38" s="403" t="str">
        <f t="shared" si="137"/>
        <v/>
      </c>
      <c r="GY38" s="403" t="str">
        <f t="shared" si="138"/>
        <v/>
      </c>
      <c r="GZ38" s="403" t="str">
        <f t="shared" si="139"/>
        <v/>
      </c>
      <c r="HA38" s="403" t="str">
        <f t="shared" si="140"/>
        <v/>
      </c>
      <c r="HB38" s="403" t="str">
        <f t="shared" si="141"/>
        <v/>
      </c>
      <c r="HC38" s="403" t="str">
        <f t="shared" si="142"/>
        <v/>
      </c>
      <c r="HD38" s="403" t="str">
        <f t="shared" si="143"/>
        <v/>
      </c>
      <c r="HE38" s="403" t="str">
        <f t="shared" si="144"/>
        <v/>
      </c>
      <c r="HF38" s="403" t="str">
        <f t="shared" si="145"/>
        <v/>
      </c>
    </row>
    <row r="39" spans="1:285" s="2" customFormat="1" hidden="1" x14ac:dyDescent="0.2">
      <c r="A39" s="121" t="s">
        <v>2635</v>
      </c>
      <c r="B39" s="73" t="s">
        <v>1542</v>
      </c>
      <c r="C39" s="2">
        <f>COLUMN(C39)-2</f>
        <v>1</v>
      </c>
      <c r="D39" s="2">
        <f t="shared" ref="D39:AH39" si="146">COLUMN(D39)-2</f>
        <v>2</v>
      </c>
      <c r="E39" s="2">
        <f t="shared" si="146"/>
        <v>3</v>
      </c>
      <c r="F39" s="2">
        <f t="shared" si="146"/>
        <v>4</v>
      </c>
      <c r="G39" s="2">
        <f t="shared" si="146"/>
        <v>5</v>
      </c>
      <c r="H39" s="2">
        <f t="shared" si="146"/>
        <v>6</v>
      </c>
      <c r="I39" s="2">
        <f t="shared" si="146"/>
        <v>7</v>
      </c>
      <c r="J39" s="2">
        <f t="shared" si="146"/>
        <v>8</v>
      </c>
      <c r="K39" s="2">
        <f t="shared" si="146"/>
        <v>9</v>
      </c>
      <c r="L39" s="2">
        <f t="shared" si="146"/>
        <v>10</v>
      </c>
      <c r="M39" s="2">
        <f>COLUMN(M39)-2</f>
        <v>11</v>
      </c>
      <c r="N39" s="2">
        <f>COLUMN(N39)-2</f>
        <v>12</v>
      </c>
      <c r="O39" s="2">
        <f t="shared" ref="O39:Q39" si="147">COLUMN(O39)-2</f>
        <v>13</v>
      </c>
      <c r="P39" s="2">
        <f t="shared" si="147"/>
        <v>14</v>
      </c>
      <c r="Q39" s="2">
        <f t="shared" si="147"/>
        <v>15</v>
      </c>
      <c r="R39" s="2">
        <f t="shared" si="146"/>
        <v>16</v>
      </c>
      <c r="S39" s="2">
        <f t="shared" si="146"/>
        <v>17</v>
      </c>
      <c r="T39" s="2">
        <f t="shared" si="146"/>
        <v>18</v>
      </c>
      <c r="U39" s="2">
        <f t="shared" si="146"/>
        <v>19</v>
      </c>
      <c r="V39" s="2">
        <f t="shared" si="146"/>
        <v>20</v>
      </c>
      <c r="W39" s="2">
        <f>COLUMN(W39)-2</f>
        <v>21</v>
      </c>
      <c r="X39" s="2">
        <f t="shared" si="146"/>
        <v>22</v>
      </c>
      <c r="Y39" s="2">
        <f t="shared" si="146"/>
        <v>23</v>
      </c>
      <c r="Z39" s="2">
        <f>COLUMN(Z39)-2</f>
        <v>24</v>
      </c>
      <c r="AA39" s="2">
        <f t="shared" si="146"/>
        <v>25</v>
      </c>
      <c r="AB39" s="2">
        <f t="shared" si="146"/>
        <v>26</v>
      </c>
      <c r="AC39" s="2">
        <f t="shared" si="146"/>
        <v>27</v>
      </c>
      <c r="AD39" s="2">
        <f t="shared" si="146"/>
        <v>28</v>
      </c>
      <c r="AE39" s="2">
        <f t="shared" si="146"/>
        <v>29</v>
      </c>
      <c r="AF39" s="2">
        <f t="shared" si="146"/>
        <v>30</v>
      </c>
      <c r="AG39" s="2">
        <f t="shared" si="146"/>
        <v>31</v>
      </c>
      <c r="AH39" s="2">
        <f t="shared" si="146"/>
        <v>32</v>
      </c>
      <c r="AI39" s="403"/>
      <c r="AJ39" s="403"/>
      <c r="AK39" s="403"/>
      <c r="AL39" s="403"/>
      <c r="AM39" s="403"/>
      <c r="AN39" s="403"/>
      <c r="AO39" s="403"/>
      <c r="AP39" s="403"/>
      <c r="AQ39" s="403"/>
      <c r="AR39" s="403"/>
      <c r="AS39" s="403"/>
      <c r="AT39" s="403"/>
      <c r="AU39" s="403"/>
      <c r="AV39" s="403"/>
      <c r="AW39" s="403"/>
      <c r="AX39" s="403"/>
      <c r="AY39" s="403"/>
      <c r="AZ39" s="403"/>
      <c r="BA39" s="403"/>
      <c r="BB39" s="403"/>
      <c r="BC39" s="403"/>
      <c r="BD39" s="403"/>
      <c r="BE39" s="403"/>
      <c r="BF39" s="403"/>
      <c r="BG39" s="403"/>
      <c r="BH39" s="403"/>
      <c r="BI39" s="403"/>
      <c r="BJ39" s="403"/>
      <c r="BK39" s="403"/>
      <c r="BL39" s="403"/>
      <c r="BM39" s="403"/>
      <c r="BN39" s="403"/>
      <c r="BO39" s="403"/>
      <c r="BP39" s="403"/>
      <c r="BQ39" s="403"/>
      <c r="BR39" s="403"/>
      <c r="BS39" s="403"/>
      <c r="BT39" s="403" t="str">
        <f t="shared" si="6"/>
        <v/>
      </c>
      <c r="BU39" s="403" t="str">
        <f t="shared" si="7"/>
        <v/>
      </c>
      <c r="BV39" s="403" t="str">
        <f t="shared" si="8"/>
        <v/>
      </c>
      <c r="BW39" s="403" t="str">
        <f t="shared" si="9"/>
        <v/>
      </c>
      <c r="BX39" s="403" t="str">
        <f t="shared" si="10"/>
        <v/>
      </c>
      <c r="BY39" s="403" t="str">
        <f t="shared" si="11"/>
        <v/>
      </c>
      <c r="BZ39" s="403" t="str">
        <f t="shared" si="12"/>
        <v/>
      </c>
      <c r="CA39" s="403" t="str">
        <f t="shared" si="13"/>
        <v/>
      </c>
      <c r="CB39" s="403" t="str">
        <f t="shared" si="14"/>
        <v/>
      </c>
      <c r="CC39" s="403" t="str">
        <f t="shared" si="15"/>
        <v/>
      </c>
      <c r="CD39" s="403" t="str">
        <f t="shared" si="16"/>
        <v/>
      </c>
      <c r="CE39" s="403" t="str">
        <f t="shared" si="17"/>
        <v/>
      </c>
      <c r="CF39" s="403" t="str">
        <f t="shared" si="18"/>
        <v/>
      </c>
      <c r="CG39" s="403" t="str">
        <f t="shared" si="19"/>
        <v/>
      </c>
      <c r="CH39" s="403" t="str">
        <f t="shared" si="20"/>
        <v/>
      </c>
      <c r="CI39" s="403" t="str">
        <f t="shared" si="21"/>
        <v/>
      </c>
      <c r="CJ39" s="403" t="str">
        <f t="shared" si="22"/>
        <v/>
      </c>
      <c r="CK39" s="403" t="str">
        <f t="shared" si="23"/>
        <v/>
      </c>
      <c r="CL39" s="403" t="str">
        <f t="shared" si="24"/>
        <v/>
      </c>
      <c r="CM39" s="403" t="str">
        <f t="shared" si="25"/>
        <v/>
      </c>
      <c r="CN39" s="403" t="str">
        <f t="shared" si="26"/>
        <v/>
      </c>
      <c r="CO39" s="403" t="str">
        <f t="shared" si="27"/>
        <v/>
      </c>
      <c r="CP39" s="403" t="str">
        <f t="shared" si="28"/>
        <v/>
      </c>
      <c r="CQ39" s="403" t="str">
        <f t="shared" si="29"/>
        <v/>
      </c>
      <c r="CR39" s="403" t="str">
        <f t="shared" si="30"/>
        <v/>
      </c>
      <c r="CS39" s="403" t="str">
        <f t="shared" si="31"/>
        <v/>
      </c>
      <c r="CT39" s="403" t="str">
        <f t="shared" si="32"/>
        <v/>
      </c>
      <c r="CU39" s="403" t="str">
        <f t="shared" si="33"/>
        <v/>
      </c>
      <c r="CV39" s="403" t="str">
        <f t="shared" si="34"/>
        <v/>
      </c>
      <c r="CW39" s="403" t="str">
        <f t="shared" si="35"/>
        <v/>
      </c>
      <c r="CX39" s="403" t="str">
        <f t="shared" si="36"/>
        <v/>
      </c>
      <c r="CY39" s="403" t="str">
        <f t="shared" si="37"/>
        <v/>
      </c>
      <c r="CZ39" s="403" t="str">
        <f t="shared" si="38"/>
        <v/>
      </c>
      <c r="DA39" s="403" t="str">
        <f t="shared" si="39"/>
        <v/>
      </c>
      <c r="DB39" s="403" t="str">
        <f t="shared" si="40"/>
        <v/>
      </c>
      <c r="DC39" s="403"/>
      <c r="DD39" s="403" t="str">
        <f t="shared" si="41"/>
        <v/>
      </c>
      <c r="DE39" s="403" t="str">
        <f t="shared" si="42"/>
        <v/>
      </c>
      <c r="DF39" s="403" t="str">
        <f t="shared" si="43"/>
        <v/>
      </c>
      <c r="DG39" s="403" t="str">
        <f t="shared" si="44"/>
        <v/>
      </c>
      <c r="DH39" s="403" t="str">
        <f t="shared" si="45"/>
        <v/>
      </c>
      <c r="DI39" s="403" t="str">
        <f t="shared" si="46"/>
        <v/>
      </c>
      <c r="DJ39" s="403" t="str">
        <f t="shared" si="47"/>
        <v/>
      </c>
      <c r="DK39" s="403" t="str">
        <f t="shared" si="48"/>
        <v/>
      </c>
      <c r="DL39" s="403" t="str">
        <f t="shared" si="49"/>
        <v/>
      </c>
      <c r="DM39" s="403" t="str">
        <f t="shared" si="50"/>
        <v/>
      </c>
      <c r="DN39" s="403" t="str">
        <f t="shared" si="51"/>
        <v/>
      </c>
      <c r="DO39" s="403" t="str">
        <f t="shared" si="52"/>
        <v/>
      </c>
      <c r="DP39" s="403" t="str">
        <f t="shared" si="53"/>
        <v/>
      </c>
      <c r="DQ39" s="403" t="str">
        <f t="shared" si="54"/>
        <v/>
      </c>
      <c r="DR39" s="403" t="str">
        <f t="shared" si="55"/>
        <v/>
      </c>
      <c r="DS39" s="403" t="str">
        <f t="shared" si="56"/>
        <v/>
      </c>
      <c r="DT39" s="403" t="str">
        <f t="shared" si="57"/>
        <v/>
      </c>
      <c r="DU39" s="403" t="str">
        <f t="shared" si="58"/>
        <v/>
      </c>
      <c r="DV39" s="403" t="str">
        <f t="shared" si="59"/>
        <v/>
      </c>
      <c r="DW39" s="403" t="str">
        <f t="shared" si="60"/>
        <v/>
      </c>
      <c r="DX39" s="403" t="str">
        <f t="shared" si="61"/>
        <v/>
      </c>
      <c r="DY39" s="403" t="str">
        <f t="shared" si="62"/>
        <v/>
      </c>
      <c r="DZ39" s="403" t="str">
        <f t="shared" si="63"/>
        <v/>
      </c>
      <c r="EA39" s="403" t="str">
        <f t="shared" si="64"/>
        <v/>
      </c>
      <c r="EB39" s="403" t="str">
        <f t="shared" si="65"/>
        <v/>
      </c>
      <c r="EC39" s="403" t="str">
        <f t="shared" si="66"/>
        <v/>
      </c>
      <c r="ED39" s="403" t="str">
        <f t="shared" si="67"/>
        <v/>
      </c>
      <c r="EE39" s="403" t="str">
        <f t="shared" si="68"/>
        <v/>
      </c>
      <c r="EF39" s="403" t="str">
        <f t="shared" si="69"/>
        <v/>
      </c>
      <c r="EG39" s="403" t="str">
        <f t="shared" si="70"/>
        <v/>
      </c>
      <c r="EH39" s="403" t="str">
        <f t="shared" si="71"/>
        <v/>
      </c>
      <c r="EI39" s="403" t="str">
        <f t="shared" si="72"/>
        <v/>
      </c>
      <c r="EJ39" s="403" t="str">
        <f t="shared" si="73"/>
        <v/>
      </c>
      <c r="EK39" s="403" t="str">
        <f t="shared" si="74"/>
        <v/>
      </c>
      <c r="EL39" s="403" t="str">
        <f t="shared" si="75"/>
        <v/>
      </c>
      <c r="EM39" s="403"/>
      <c r="EN39" s="403" t="str">
        <f t="shared" si="76"/>
        <v/>
      </c>
      <c r="EO39" s="403" t="str">
        <f t="shared" si="77"/>
        <v/>
      </c>
      <c r="EP39" s="403" t="str">
        <f t="shared" si="78"/>
        <v/>
      </c>
      <c r="EQ39" s="403" t="str">
        <f t="shared" si="79"/>
        <v/>
      </c>
      <c r="ER39" s="403" t="str">
        <f t="shared" si="80"/>
        <v/>
      </c>
      <c r="ES39" s="403" t="str">
        <f t="shared" si="81"/>
        <v/>
      </c>
      <c r="ET39" s="403" t="str">
        <f t="shared" si="82"/>
        <v/>
      </c>
      <c r="EU39" s="403" t="str">
        <f t="shared" si="83"/>
        <v/>
      </c>
      <c r="EV39" s="403" t="str">
        <f t="shared" si="84"/>
        <v/>
      </c>
      <c r="EW39" s="403" t="str">
        <f t="shared" si="85"/>
        <v/>
      </c>
      <c r="EX39" s="403" t="str">
        <f t="shared" si="86"/>
        <v/>
      </c>
      <c r="EY39" s="403" t="str">
        <f t="shared" si="87"/>
        <v/>
      </c>
      <c r="EZ39" s="403" t="str">
        <f t="shared" si="88"/>
        <v/>
      </c>
      <c r="FA39" s="403" t="str">
        <f t="shared" si="89"/>
        <v/>
      </c>
      <c r="FB39" s="403" t="str">
        <f t="shared" si="90"/>
        <v/>
      </c>
      <c r="FC39" s="403" t="str">
        <f t="shared" si="91"/>
        <v/>
      </c>
      <c r="FD39" s="403" t="str">
        <f t="shared" si="92"/>
        <v/>
      </c>
      <c r="FE39" s="403" t="str">
        <f t="shared" si="93"/>
        <v/>
      </c>
      <c r="FF39" s="403" t="str">
        <f t="shared" si="94"/>
        <v/>
      </c>
      <c r="FG39" s="403" t="str">
        <f t="shared" si="95"/>
        <v/>
      </c>
      <c r="FH39" s="403" t="str">
        <f t="shared" si="96"/>
        <v/>
      </c>
      <c r="FI39" s="403" t="str">
        <f t="shared" si="97"/>
        <v/>
      </c>
      <c r="FJ39" s="403" t="str">
        <f t="shared" si="98"/>
        <v/>
      </c>
      <c r="FK39" s="403" t="str">
        <f t="shared" si="99"/>
        <v/>
      </c>
      <c r="FL39" s="403" t="str">
        <f t="shared" si="100"/>
        <v/>
      </c>
      <c r="FM39" s="403" t="str">
        <f t="shared" si="101"/>
        <v/>
      </c>
      <c r="FN39" s="403" t="str">
        <f t="shared" si="102"/>
        <v/>
      </c>
      <c r="FO39" s="403" t="str">
        <f t="shared" si="103"/>
        <v/>
      </c>
      <c r="FP39" s="403" t="str">
        <f t="shared" si="104"/>
        <v/>
      </c>
      <c r="FQ39" s="403" t="str">
        <f t="shared" si="105"/>
        <v/>
      </c>
      <c r="FR39" s="403" t="str">
        <f t="shared" si="106"/>
        <v/>
      </c>
      <c r="FS39" s="403" t="str">
        <f t="shared" si="107"/>
        <v/>
      </c>
      <c r="FT39" s="403" t="str">
        <f t="shared" si="108"/>
        <v/>
      </c>
      <c r="FU39" s="403" t="str">
        <f t="shared" si="109"/>
        <v/>
      </c>
      <c r="FV39" s="403" t="str">
        <f t="shared" si="110"/>
        <v/>
      </c>
      <c r="FW39" s="403"/>
      <c r="FX39" s="403" t="str">
        <f t="shared" si="111"/>
        <v/>
      </c>
      <c r="FY39" s="403" t="str">
        <f t="shared" si="112"/>
        <v/>
      </c>
      <c r="FZ39" s="403" t="str">
        <f t="shared" si="113"/>
        <v/>
      </c>
      <c r="GA39" s="403" t="str">
        <f t="shared" si="114"/>
        <v/>
      </c>
      <c r="GB39" s="403" t="str">
        <f t="shared" si="115"/>
        <v/>
      </c>
      <c r="GC39" s="403" t="str">
        <f t="shared" si="116"/>
        <v/>
      </c>
      <c r="GD39" s="403" t="str">
        <f t="shared" si="117"/>
        <v/>
      </c>
      <c r="GE39" s="403" t="str">
        <f t="shared" si="118"/>
        <v/>
      </c>
      <c r="GF39" s="403" t="str">
        <f t="shared" si="119"/>
        <v/>
      </c>
      <c r="GG39" s="403" t="str">
        <f t="shared" si="120"/>
        <v/>
      </c>
      <c r="GH39" s="403" t="str">
        <f t="shared" si="121"/>
        <v/>
      </c>
      <c r="GI39" s="403" t="str">
        <f t="shared" si="122"/>
        <v/>
      </c>
      <c r="GJ39" s="403" t="str">
        <f t="shared" si="123"/>
        <v/>
      </c>
      <c r="GK39" s="403" t="str">
        <f t="shared" si="124"/>
        <v/>
      </c>
      <c r="GL39" s="403" t="str">
        <f t="shared" si="125"/>
        <v/>
      </c>
      <c r="GM39" s="403" t="str">
        <f t="shared" si="126"/>
        <v/>
      </c>
      <c r="GN39" s="403" t="str">
        <f t="shared" si="127"/>
        <v/>
      </c>
      <c r="GO39" s="403" t="str">
        <f t="shared" si="128"/>
        <v/>
      </c>
      <c r="GP39" s="403" t="str">
        <f t="shared" si="129"/>
        <v/>
      </c>
      <c r="GQ39" s="403" t="str">
        <f t="shared" si="130"/>
        <v/>
      </c>
      <c r="GR39" s="403" t="str">
        <f t="shared" si="131"/>
        <v/>
      </c>
      <c r="GS39" s="403" t="str">
        <f t="shared" si="132"/>
        <v/>
      </c>
      <c r="GT39" s="403" t="str">
        <f t="shared" si="133"/>
        <v/>
      </c>
      <c r="GU39" s="403" t="str">
        <f t="shared" si="134"/>
        <v/>
      </c>
      <c r="GV39" s="403" t="str">
        <f t="shared" si="135"/>
        <v/>
      </c>
      <c r="GW39" s="403" t="str">
        <f t="shared" si="136"/>
        <v/>
      </c>
      <c r="GX39" s="403" t="str">
        <f t="shared" si="137"/>
        <v/>
      </c>
      <c r="GY39" s="403" t="str">
        <f t="shared" si="138"/>
        <v/>
      </c>
      <c r="GZ39" s="403" t="str">
        <f t="shared" si="139"/>
        <v/>
      </c>
      <c r="HA39" s="403" t="str">
        <f t="shared" si="140"/>
        <v/>
      </c>
      <c r="HB39" s="403" t="str">
        <f t="shared" si="141"/>
        <v/>
      </c>
      <c r="HC39" s="403" t="str">
        <f t="shared" si="142"/>
        <v/>
      </c>
      <c r="HD39" s="403" t="str">
        <f t="shared" si="143"/>
        <v/>
      </c>
      <c r="HE39" s="403" t="str">
        <f t="shared" si="144"/>
        <v/>
      </c>
      <c r="HF39" s="403" t="str">
        <f t="shared" si="145"/>
        <v/>
      </c>
      <c r="HG39" s="403"/>
      <c r="HH39" s="403"/>
      <c r="HI39" s="403"/>
      <c r="HJ39" s="403"/>
      <c r="HK39" s="403"/>
      <c r="HL39" s="403"/>
      <c r="HM39" s="403"/>
      <c r="HN39" s="403"/>
      <c r="HO39" s="403"/>
      <c r="HP39" s="403"/>
      <c r="HQ39" s="403"/>
      <c r="HR39" s="403"/>
      <c r="HS39" s="403"/>
      <c r="HT39" s="403"/>
      <c r="HU39" s="403"/>
      <c r="HV39" s="403"/>
      <c r="HW39" s="403"/>
      <c r="HX39" s="403"/>
      <c r="HY39" s="403"/>
      <c r="HZ39" s="403"/>
      <c r="IA39" s="403"/>
      <c r="IB39" s="403"/>
      <c r="IC39" s="403"/>
      <c r="ID39" s="403"/>
      <c r="IE39" s="403"/>
      <c r="IF39" s="403"/>
      <c r="IG39" s="403"/>
      <c r="IH39" s="403"/>
      <c r="II39" s="403"/>
      <c r="IJ39" s="403"/>
      <c r="IK39" s="403"/>
      <c r="IL39" s="403"/>
      <c r="IM39" s="403"/>
      <c r="IN39" s="403"/>
      <c r="IO39" s="403"/>
      <c r="IP39" s="403"/>
      <c r="IQ39" s="403"/>
      <c r="IR39" s="403"/>
      <c r="IS39" s="403"/>
      <c r="IT39" s="403"/>
      <c r="IU39" s="403"/>
      <c r="IV39" s="403"/>
      <c r="IW39" s="403"/>
      <c r="IX39" s="403"/>
      <c r="IY39" s="403"/>
      <c r="IZ39" s="403"/>
      <c r="JA39" s="403"/>
      <c r="JB39" s="403"/>
      <c r="JC39" s="403"/>
      <c r="JD39" s="403"/>
      <c r="JE39" s="403"/>
      <c r="JF39" s="403"/>
      <c r="JG39" s="403"/>
      <c r="JH39" s="403"/>
      <c r="JI39" s="403"/>
      <c r="JJ39" s="403"/>
      <c r="JK39" s="403"/>
      <c r="JL39" s="403"/>
      <c r="JM39" s="403"/>
      <c r="JN39" s="403"/>
      <c r="JO39" s="403"/>
      <c r="JP39" s="403"/>
      <c r="JQ39" s="403"/>
      <c r="JR39" s="403"/>
      <c r="JS39" s="403"/>
      <c r="JT39" s="403"/>
      <c r="JU39" s="403"/>
      <c r="JV39" s="403"/>
      <c r="JW39" s="403"/>
      <c r="JX39" s="403"/>
      <c r="JY39" s="403"/>
    </row>
    <row r="40" spans="1:285" s="567" customFormat="1" ht="17.25" x14ac:dyDescent="0.3">
      <c r="B40" s="17" t="str">
        <f ca="1">IF(OFFSET(AK40,0,Lang_Order*Lang__T1)="","",OFFSET(AK40,0,Lang_Order*Lang__T1))</f>
        <v>T1.1 Vaccine Combinations (2-dose primary course, refrigerated vaccines only)</v>
      </c>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K40" s="567" t="s">
        <v>14448</v>
      </c>
      <c r="BU40" s="567" t="s">
        <v>14449</v>
      </c>
      <c r="DE40" s="567" t="s">
        <v>14450</v>
      </c>
      <c r="EO40" s="567" t="s">
        <v>14451</v>
      </c>
      <c r="FY40" s="567" t="s">
        <v>14452</v>
      </c>
      <c r="HI40" s="567" t="s">
        <v>14453</v>
      </c>
      <c r="IS40" s="567" t="s">
        <v>14454</v>
      </c>
    </row>
    <row r="41" spans="1:285" s="567" customFormat="1" ht="108" customHeight="1" x14ac:dyDescent="0.2">
      <c r="B41" s="679" t="str">
        <f ca="1">IF(OFFSET(AK41,0,Lang_Order*Lang__T1)="","",OFFSET(AK41,0,Lang_Order*Lang__T1))</f>
        <v>Instructions: Version 2.3 of the CVIC tool allows for a combination of multiple vaccine types to be used in each delivery modality, as long as these vaccines have similar specifications (i.e., storage requirement for all vaccines is refrigeration at 2-8C and a primary course is two doses). These combinations (A to D) can be constituted from the list of suitable vaccines listed below which have been automatically generated from the vaccine database and user-defined vaccines. Please enter a whole number greater than 0, which represents the share of each vaccine type towards each combination. This share can be represented as, for example, a percentage (totalling 100) or the number of doses contributed by each vaccine type.</v>
      </c>
      <c r="C41" s="679" t="str">
        <f t="shared" ref="C41:J41" ca="1" si="148">IF(OFFSET(AL41,0,Lang_Order*Lang__T1)="","",OFFSET(AL41,0,Lang_Order*Lang__T1))</f>
        <v/>
      </c>
      <c r="D41" s="679" t="str">
        <f t="shared" ca="1" si="148"/>
        <v/>
      </c>
      <c r="E41" s="679" t="str">
        <f t="shared" ca="1" si="148"/>
        <v/>
      </c>
      <c r="F41" s="679" t="str">
        <f t="shared" ca="1" si="148"/>
        <v/>
      </c>
      <c r="G41" s="679" t="str">
        <f t="shared" ca="1" si="148"/>
        <v/>
      </c>
      <c r="H41" s="679" t="str">
        <f t="shared" ca="1" si="148"/>
        <v/>
      </c>
      <c r="I41" s="679" t="str">
        <f t="shared" ca="1" si="148"/>
        <v/>
      </c>
      <c r="J41" s="679" t="str">
        <f t="shared" ca="1" si="148"/>
        <v/>
      </c>
      <c r="AK41" s="166" t="s">
        <v>14456</v>
      </c>
      <c r="BU41" s="166" t="s">
        <v>14753</v>
      </c>
      <c r="DE41" s="166" t="s">
        <v>14754</v>
      </c>
      <c r="EO41" s="166" t="s">
        <v>14755</v>
      </c>
      <c r="FY41" s="166" t="s">
        <v>14756</v>
      </c>
      <c r="HI41" s="166" t="s">
        <v>14457</v>
      </c>
      <c r="IS41" s="166" t="s">
        <v>14757</v>
      </c>
    </row>
    <row r="42" spans="1:285" s="567" customFormat="1" x14ac:dyDescent="0.2">
      <c r="E42" s="714" t="str">
        <f t="shared" ref="E42:J42" ca="1" si="149">IF(OFFSET(AN42,0,Lang_Order*Lang__T1)="","",OFFSET(AN42,0,Lang_Order*Lang__T1))</f>
        <v>Combination</v>
      </c>
      <c r="F42" s="714" t="str">
        <f t="shared" ca="1" si="149"/>
        <v/>
      </c>
      <c r="G42" s="714" t="str">
        <f t="shared" ca="1" si="149"/>
        <v/>
      </c>
      <c r="H42" s="714" t="str">
        <f t="shared" ca="1" si="149"/>
        <v/>
      </c>
      <c r="I42" s="714" t="str">
        <f t="shared" ca="1" si="149"/>
        <v/>
      </c>
      <c r="J42" s="714" t="str">
        <f t="shared" ca="1" si="149"/>
        <v/>
      </c>
      <c r="AN42" s="567" t="s">
        <v>14231</v>
      </c>
      <c r="BX42" s="567" t="s">
        <v>14333</v>
      </c>
      <c r="DH42" s="567" t="s">
        <v>14335</v>
      </c>
      <c r="ER42" s="567" t="s">
        <v>14337</v>
      </c>
      <c r="GB42" s="567" t="s">
        <v>14339</v>
      </c>
      <c r="HL42" s="567" t="s">
        <v>14341</v>
      </c>
      <c r="IV42" s="567" t="s">
        <v>14343</v>
      </c>
    </row>
    <row r="43" spans="1:285" s="567" customFormat="1" x14ac:dyDescent="0.2">
      <c r="E43" s="654" t="s">
        <v>14232</v>
      </c>
      <c r="F43" s="654" t="s">
        <v>14233</v>
      </c>
      <c r="G43" s="654" t="s">
        <v>14234</v>
      </c>
      <c r="J43" s="654" t="s">
        <v>14235</v>
      </c>
    </row>
    <row r="44" spans="1:285" s="567" customFormat="1" x14ac:dyDescent="0.2">
      <c r="A44" s="350">
        <v>2</v>
      </c>
      <c r="B44" s="2">
        <v>1</v>
      </c>
      <c r="C44" s="567" t="str">
        <f>IF(C80="","",C80)</f>
        <v>ChAdOx1-S (SK Bioscience)</v>
      </c>
      <c r="E44" s="655">
        <v>100</v>
      </c>
      <c r="F44" s="655"/>
      <c r="G44" s="655"/>
      <c r="J44" s="655"/>
    </row>
    <row r="45" spans="1:285" s="567" customFormat="1" x14ac:dyDescent="0.2">
      <c r="A45" s="350">
        <v>2</v>
      </c>
      <c r="B45" s="2">
        <v>2</v>
      </c>
      <c r="C45" s="567" t="str">
        <f t="shared" ref="C45:C71" si="150">IF(C81="","",C81)</f>
        <v>ChAdOx1-S (Covishield)</v>
      </c>
      <c r="E45" s="655"/>
      <c r="F45" s="655">
        <v>100</v>
      </c>
      <c r="G45" s="655"/>
      <c r="J45" s="655"/>
    </row>
    <row r="46" spans="1:285" s="567" customFormat="1" x14ac:dyDescent="0.2">
      <c r="A46" s="350">
        <v>2</v>
      </c>
      <c r="B46" s="2">
        <v>3</v>
      </c>
      <c r="C46" s="567" t="str">
        <f t="shared" si="150"/>
        <v>ChAdOx1-S (AstraZeneca AB)</v>
      </c>
      <c r="E46" s="655"/>
      <c r="F46" s="655"/>
      <c r="G46" s="655">
        <v>100</v>
      </c>
      <c r="J46" s="655"/>
    </row>
    <row r="47" spans="1:285" s="567" customFormat="1" x14ac:dyDescent="0.2">
      <c r="A47" s="350">
        <v>2</v>
      </c>
      <c r="B47" s="2">
        <v>4</v>
      </c>
      <c r="C47" s="567" t="str">
        <f t="shared" si="150"/>
        <v>VeroCell (Pre-filled syringe)</v>
      </c>
      <c r="E47" s="655"/>
      <c r="F47" s="655"/>
      <c r="G47" s="655"/>
      <c r="J47" s="655">
        <v>100</v>
      </c>
    </row>
    <row r="48" spans="1:285" s="567" customFormat="1" x14ac:dyDescent="0.2">
      <c r="A48" s="350">
        <v>2</v>
      </c>
      <c r="B48" s="2">
        <v>5</v>
      </c>
      <c r="C48" s="567" t="str">
        <f t="shared" si="150"/>
        <v>VeroCell (Vial)</v>
      </c>
      <c r="E48" s="655"/>
      <c r="F48" s="655"/>
      <c r="G48" s="655"/>
      <c r="J48" s="655"/>
    </row>
    <row r="49" spans="1:10" s="567" customFormat="1" x14ac:dyDescent="0.2">
      <c r="A49" s="350">
        <v>2</v>
      </c>
      <c r="B49" s="2">
        <v>6</v>
      </c>
      <c r="C49" s="567" t="str">
        <f t="shared" si="150"/>
        <v>CoronaVac (Pre-filled syringe)</v>
      </c>
      <c r="E49" s="655"/>
      <c r="F49" s="655"/>
      <c r="G49" s="655"/>
      <c r="J49" s="655"/>
    </row>
    <row r="50" spans="1:10" s="567" customFormat="1" x14ac:dyDescent="0.2">
      <c r="A50" s="350">
        <v>2</v>
      </c>
      <c r="B50" s="2">
        <v>7</v>
      </c>
      <c r="C50" s="567" t="str">
        <f t="shared" si="150"/>
        <v>CoronaVac (Vial)</v>
      </c>
      <c r="E50" s="655"/>
      <c r="F50" s="655"/>
      <c r="G50" s="655"/>
      <c r="J50" s="655"/>
    </row>
    <row r="51" spans="1:10" s="567" customFormat="1" x14ac:dyDescent="0.2">
      <c r="A51" s="350">
        <v>2</v>
      </c>
      <c r="B51" s="2">
        <v>8</v>
      </c>
      <c r="C51" s="567" t="str">
        <f t="shared" si="150"/>
        <v>BBV152 (Covaxin) 20-dose vial</v>
      </c>
      <c r="E51" s="655"/>
      <c r="F51" s="655"/>
      <c r="G51" s="655"/>
      <c r="J51" s="655"/>
    </row>
    <row r="52" spans="1:10" s="567" customFormat="1" x14ac:dyDescent="0.2">
      <c r="A52" s="350">
        <v>2</v>
      </c>
      <c r="B52" s="2">
        <v>9</v>
      </c>
      <c r="C52" s="567" t="str">
        <f t="shared" si="150"/>
        <v>NVX-CoV2373 (Nuvaxovid)</v>
      </c>
      <c r="E52" s="655"/>
      <c r="F52" s="655"/>
      <c r="G52" s="655"/>
      <c r="J52" s="655"/>
    </row>
    <row r="53" spans="1:10" s="567" customFormat="1" x14ac:dyDescent="0.2">
      <c r="A53" s="350">
        <v>2</v>
      </c>
      <c r="B53" s="2">
        <v>10</v>
      </c>
      <c r="C53" s="567" t="str">
        <f t="shared" si="150"/>
        <v>ChAdOx1-S (COVISHIELD)</v>
      </c>
      <c r="E53" s="655"/>
      <c r="F53" s="655"/>
      <c r="G53" s="655"/>
      <c r="J53" s="655"/>
    </row>
    <row r="54" spans="1:10" s="567" customFormat="1" x14ac:dyDescent="0.2">
      <c r="A54" s="350">
        <v>2</v>
      </c>
      <c r="B54" s="2">
        <v>11</v>
      </c>
      <c r="C54" s="567" t="str">
        <f t="shared" si="150"/>
        <v>2-8C Tozinameran (Comirnaty)</v>
      </c>
      <c r="E54" s="655"/>
      <c r="F54" s="655"/>
      <c r="G54" s="655"/>
      <c r="J54" s="655"/>
    </row>
    <row r="55" spans="1:10" s="567" customFormat="1" x14ac:dyDescent="0.2">
      <c r="A55" s="350">
        <v>2</v>
      </c>
      <c r="B55" s="2">
        <v>12</v>
      </c>
      <c r="C55" s="567" t="str">
        <f t="shared" si="150"/>
        <v/>
      </c>
      <c r="E55" s="655"/>
      <c r="F55" s="655"/>
      <c r="G55" s="655"/>
      <c r="J55" s="655"/>
    </row>
    <row r="56" spans="1:10" s="567" customFormat="1" x14ac:dyDescent="0.2">
      <c r="A56" s="350">
        <v>2</v>
      </c>
      <c r="B56" s="2">
        <v>13</v>
      </c>
      <c r="C56" s="567" t="str">
        <f t="shared" si="150"/>
        <v/>
      </c>
      <c r="E56" s="655"/>
      <c r="F56" s="655"/>
      <c r="G56" s="655"/>
      <c r="J56" s="655"/>
    </row>
    <row r="57" spans="1:10" s="567" customFormat="1" x14ac:dyDescent="0.2">
      <c r="A57" s="350">
        <v>2</v>
      </c>
      <c r="B57" s="2">
        <v>14</v>
      </c>
      <c r="C57" s="567" t="str">
        <f t="shared" si="150"/>
        <v/>
      </c>
      <c r="E57" s="655"/>
      <c r="F57" s="655"/>
      <c r="G57" s="655"/>
      <c r="J57" s="655"/>
    </row>
    <row r="58" spans="1:10" s="567" customFormat="1" x14ac:dyDescent="0.2">
      <c r="A58" s="350">
        <v>2</v>
      </c>
      <c r="B58" s="2">
        <v>15</v>
      </c>
      <c r="C58" s="567" t="str">
        <f t="shared" si="150"/>
        <v/>
      </c>
      <c r="E58" s="655"/>
      <c r="F58" s="655"/>
      <c r="G58" s="655"/>
      <c r="J58" s="655"/>
    </row>
    <row r="59" spans="1:10" s="567" customFormat="1" x14ac:dyDescent="0.2">
      <c r="A59" s="350">
        <v>2</v>
      </c>
      <c r="B59" s="2">
        <v>16</v>
      </c>
      <c r="C59" s="567" t="str">
        <f t="shared" si="150"/>
        <v/>
      </c>
      <c r="E59" s="655"/>
      <c r="F59" s="655"/>
      <c r="G59" s="655"/>
      <c r="J59" s="655"/>
    </row>
    <row r="60" spans="1:10" s="567" customFormat="1" x14ac:dyDescent="0.2">
      <c r="A60" s="350">
        <v>2</v>
      </c>
      <c r="B60" s="2">
        <v>17</v>
      </c>
      <c r="C60" s="567" t="str">
        <f t="shared" si="150"/>
        <v/>
      </c>
      <c r="E60" s="655"/>
      <c r="F60" s="655"/>
      <c r="G60" s="655"/>
      <c r="J60" s="655"/>
    </row>
    <row r="61" spans="1:10" s="567" customFormat="1" x14ac:dyDescent="0.2">
      <c r="A61" s="350">
        <v>2</v>
      </c>
      <c r="B61" s="2">
        <v>18</v>
      </c>
      <c r="C61" s="567" t="str">
        <f t="shared" si="150"/>
        <v/>
      </c>
      <c r="E61" s="655"/>
      <c r="F61" s="655"/>
      <c r="G61" s="655"/>
      <c r="J61" s="655"/>
    </row>
    <row r="62" spans="1:10" s="567" customFormat="1" x14ac:dyDescent="0.2">
      <c r="A62" s="350">
        <v>2</v>
      </c>
      <c r="B62" s="2">
        <v>19</v>
      </c>
      <c r="C62" s="567" t="str">
        <f t="shared" si="150"/>
        <v/>
      </c>
      <c r="E62" s="655"/>
      <c r="F62" s="655"/>
      <c r="G62" s="655"/>
      <c r="J62" s="655"/>
    </row>
    <row r="63" spans="1:10" s="567" customFormat="1" x14ac:dyDescent="0.2">
      <c r="A63" s="350">
        <v>2</v>
      </c>
      <c r="B63" s="2">
        <v>20</v>
      </c>
      <c r="C63" s="567" t="str">
        <f t="shared" si="150"/>
        <v/>
      </c>
      <c r="E63" s="655"/>
      <c r="F63" s="655"/>
      <c r="G63" s="655"/>
      <c r="J63" s="655"/>
    </row>
    <row r="64" spans="1:10" s="567" customFormat="1" x14ac:dyDescent="0.2">
      <c r="A64" s="350">
        <v>2</v>
      </c>
      <c r="B64" s="2">
        <v>21</v>
      </c>
      <c r="C64" s="567" t="str">
        <f t="shared" si="150"/>
        <v/>
      </c>
      <c r="E64" s="655"/>
      <c r="F64" s="655"/>
      <c r="G64" s="655"/>
      <c r="J64" s="655"/>
    </row>
    <row r="65" spans="1:285" s="567" customFormat="1" x14ac:dyDescent="0.2">
      <c r="A65" s="350">
        <v>2</v>
      </c>
      <c r="B65" s="2">
        <v>22</v>
      </c>
      <c r="C65" s="567" t="str">
        <f t="shared" si="150"/>
        <v/>
      </c>
      <c r="E65" s="655"/>
      <c r="F65" s="655"/>
      <c r="G65" s="655"/>
      <c r="J65" s="655"/>
    </row>
    <row r="66" spans="1:285" s="567" customFormat="1" x14ac:dyDescent="0.2">
      <c r="A66" s="350">
        <v>2</v>
      </c>
      <c r="B66" s="2">
        <v>23</v>
      </c>
      <c r="C66" s="567" t="str">
        <f t="shared" si="150"/>
        <v/>
      </c>
      <c r="E66" s="655"/>
      <c r="F66" s="655"/>
      <c r="G66" s="655"/>
      <c r="J66" s="655"/>
    </row>
    <row r="67" spans="1:285" s="567" customFormat="1" x14ac:dyDescent="0.2">
      <c r="A67" s="350">
        <v>2</v>
      </c>
      <c r="B67" s="2">
        <v>24</v>
      </c>
      <c r="C67" s="567" t="str">
        <f t="shared" si="150"/>
        <v/>
      </c>
      <c r="E67" s="655"/>
      <c r="F67" s="655"/>
      <c r="G67" s="655"/>
      <c r="J67" s="655"/>
    </row>
    <row r="68" spans="1:285" s="567" customFormat="1" x14ac:dyDescent="0.2">
      <c r="A68" s="350">
        <v>2</v>
      </c>
      <c r="B68" s="2">
        <v>25</v>
      </c>
      <c r="C68" s="567" t="str">
        <f t="shared" si="150"/>
        <v/>
      </c>
      <c r="E68" s="655"/>
      <c r="F68" s="655"/>
      <c r="G68" s="655"/>
      <c r="J68" s="655"/>
    </row>
    <row r="69" spans="1:285" s="567" customFormat="1" x14ac:dyDescent="0.2">
      <c r="A69" s="350">
        <v>2</v>
      </c>
      <c r="B69" s="2">
        <v>26</v>
      </c>
      <c r="C69" s="567" t="str">
        <f t="shared" si="150"/>
        <v/>
      </c>
      <c r="E69" s="655"/>
      <c r="F69" s="655"/>
      <c r="G69" s="655"/>
      <c r="J69" s="655"/>
    </row>
    <row r="70" spans="1:285" s="567" customFormat="1" x14ac:dyDescent="0.2">
      <c r="A70" s="350">
        <v>2</v>
      </c>
      <c r="B70" s="2">
        <v>27</v>
      </c>
      <c r="C70" s="567" t="str">
        <f t="shared" si="150"/>
        <v/>
      </c>
      <c r="E70" s="655"/>
      <c r="F70" s="655"/>
      <c r="G70" s="655"/>
      <c r="J70" s="655"/>
    </row>
    <row r="71" spans="1:285" s="567" customFormat="1" x14ac:dyDescent="0.2">
      <c r="A71" s="350">
        <v>2</v>
      </c>
      <c r="B71" s="2">
        <v>28</v>
      </c>
      <c r="C71" s="567" t="str">
        <f t="shared" si="150"/>
        <v/>
      </c>
      <c r="E71" s="655"/>
      <c r="F71" s="655"/>
      <c r="G71" s="655"/>
      <c r="J71" s="655"/>
    </row>
    <row r="72" spans="1:285" s="567" customFormat="1" x14ac:dyDescent="0.2">
      <c r="E72" s="4" t="str">
        <f>IF(AE108=0,Lang_CHECK,"OK")</f>
        <v>OK</v>
      </c>
      <c r="F72" s="4" t="str">
        <f>IF(AF108=0,Lang_CHECK,"OK")</f>
        <v>OK</v>
      </c>
      <c r="G72" s="4" t="str">
        <f>IF(AG108=0,Lang_CHECK,"OK")</f>
        <v>OK</v>
      </c>
      <c r="J72" s="4" t="str">
        <f>IF(AH108=0,Lang_CHECK,"OK")</f>
        <v>OK</v>
      </c>
      <c r="K72" s="621" t="str">
        <f ca="1">IF(OFFSET(AT72,0,Lang_Order*Lang__T1)="","",OFFSET(AT72,0,Lang_Order*Lang__T1))</f>
        <v>Ensure that there is at least one entry of 1 or more per column</v>
      </c>
      <c r="L72" s="621"/>
      <c r="M72" s="621"/>
      <c r="N72" s="621"/>
      <c r="O72" s="621"/>
      <c r="P72" s="621"/>
      <c r="Q72" s="567" t="str">
        <f ca="1">IF(OFFSET(AZ72,0,Lang_Order*Lang__T1)="","",OFFSET(AZ72,0,Lang_Order*Lang__T1))</f>
        <v/>
      </c>
      <c r="R72" s="567" t="str">
        <f ca="1">IF(OFFSET(BA72,0,Lang_Order*Lang__T1)="","",OFFSET(BA72,0,Lang_Order*Lang__T1))</f>
        <v/>
      </c>
      <c r="S72" s="567" t="str">
        <f ca="1">IF(OFFSET(BB72,0,Lang_Order*Lang__T1)="","",OFFSET(BB72,0,Lang_Order*Lang__T1))</f>
        <v/>
      </c>
      <c r="AT72" s="567" t="s">
        <v>14285</v>
      </c>
      <c r="CD72" s="567" t="s">
        <v>14334</v>
      </c>
      <c r="DN72" s="567" t="s">
        <v>14336</v>
      </c>
      <c r="EX72" s="567" t="s">
        <v>14338</v>
      </c>
      <c r="GH72" s="567" t="s">
        <v>14340</v>
      </c>
      <c r="HR72" s="567" t="s">
        <v>14342</v>
      </c>
      <c r="JB72" s="567" t="s">
        <v>14344</v>
      </c>
    </row>
    <row r="73" spans="1:285" s="567" customFormat="1" x14ac:dyDescent="0.2"/>
    <row r="74" spans="1:285" s="27" customFormat="1" ht="19.5" x14ac:dyDescent="0.3">
      <c r="AI74" s="403"/>
      <c r="AJ74" s="403"/>
      <c r="AK74" s="403"/>
      <c r="AL74" s="403"/>
      <c r="AM74" s="403"/>
      <c r="AN74" s="403"/>
      <c r="AO74" s="403"/>
      <c r="AP74" s="403"/>
      <c r="AQ74" s="403"/>
      <c r="AR74" s="403"/>
      <c r="AS74" s="403"/>
      <c r="AT74" s="403"/>
      <c r="AU74" s="403"/>
      <c r="AV74" s="403"/>
      <c r="AW74" s="403"/>
      <c r="AX74" s="403"/>
      <c r="AY74" s="403"/>
      <c r="AZ74" s="403"/>
      <c r="BA74" s="403"/>
      <c r="BB74" s="403"/>
      <c r="BC74" s="403"/>
      <c r="BD74" s="403"/>
      <c r="BE74" s="403"/>
      <c r="BF74" s="403"/>
      <c r="BG74" s="403"/>
      <c r="BH74" s="403"/>
      <c r="BI74" s="403"/>
      <c r="BJ74" s="403"/>
      <c r="BK74" s="403"/>
      <c r="BL74" s="403"/>
      <c r="BM74" s="403"/>
      <c r="BN74" s="403"/>
      <c r="BO74" s="403"/>
      <c r="BP74" s="403"/>
      <c r="BQ74" s="403"/>
      <c r="BR74" s="403"/>
      <c r="BS74" s="403"/>
      <c r="BT74" s="403" t="str">
        <f t="shared" si="6"/>
        <v/>
      </c>
      <c r="BU74" s="403" t="str">
        <f t="shared" si="7"/>
        <v/>
      </c>
      <c r="BV74" s="403" t="str">
        <f t="shared" si="8"/>
        <v/>
      </c>
      <c r="BW74" s="403" t="str">
        <f t="shared" si="9"/>
        <v/>
      </c>
      <c r="BX74" s="403" t="str">
        <f t="shared" si="10"/>
        <v/>
      </c>
      <c r="BY74" s="403" t="str">
        <f t="shared" si="11"/>
        <v/>
      </c>
      <c r="BZ74" s="403" t="str">
        <f t="shared" si="12"/>
        <v/>
      </c>
      <c r="CA74" s="403" t="str">
        <f t="shared" si="13"/>
        <v/>
      </c>
      <c r="CB74" s="403" t="str">
        <f t="shared" si="14"/>
        <v/>
      </c>
      <c r="CC74" s="403" t="str">
        <f t="shared" si="15"/>
        <v/>
      </c>
      <c r="CD74" s="403" t="str">
        <f t="shared" si="16"/>
        <v/>
      </c>
      <c r="CE74" s="403" t="str">
        <f t="shared" si="17"/>
        <v/>
      </c>
      <c r="CF74" s="403" t="str">
        <f t="shared" si="18"/>
        <v/>
      </c>
      <c r="CG74" s="403" t="str">
        <f t="shared" si="19"/>
        <v/>
      </c>
      <c r="CH74" s="403" t="str">
        <f t="shared" si="20"/>
        <v/>
      </c>
      <c r="CI74" s="403" t="str">
        <f t="shared" si="21"/>
        <v/>
      </c>
      <c r="CJ74" s="403" t="str">
        <f t="shared" si="22"/>
        <v/>
      </c>
      <c r="CK74" s="403" t="str">
        <f t="shared" si="23"/>
        <v/>
      </c>
      <c r="CL74" s="403" t="str">
        <f t="shared" si="24"/>
        <v/>
      </c>
      <c r="CM74" s="403" t="str">
        <f t="shared" si="25"/>
        <v/>
      </c>
      <c r="CN74" s="403" t="str">
        <f t="shared" si="26"/>
        <v/>
      </c>
      <c r="CO74" s="403" t="str">
        <f t="shared" si="27"/>
        <v/>
      </c>
      <c r="CP74" s="403" t="str">
        <f t="shared" si="28"/>
        <v/>
      </c>
      <c r="CQ74" s="403" t="str">
        <f t="shared" si="29"/>
        <v/>
      </c>
      <c r="CR74" s="403" t="str">
        <f t="shared" si="30"/>
        <v/>
      </c>
      <c r="CS74" s="403" t="str">
        <f t="shared" si="31"/>
        <v/>
      </c>
      <c r="CT74" s="403" t="str">
        <f t="shared" si="32"/>
        <v/>
      </c>
      <c r="CU74" s="403" t="str">
        <f t="shared" si="33"/>
        <v/>
      </c>
      <c r="CV74" s="403" t="str">
        <f t="shared" si="34"/>
        <v/>
      </c>
      <c r="CW74" s="403" t="str">
        <f t="shared" si="35"/>
        <v/>
      </c>
      <c r="CX74" s="403" t="str">
        <f t="shared" si="36"/>
        <v/>
      </c>
      <c r="CY74" s="403" t="str">
        <f t="shared" si="37"/>
        <v/>
      </c>
      <c r="CZ74" s="403" t="str">
        <f t="shared" si="38"/>
        <v/>
      </c>
      <c r="DA74" s="403" t="str">
        <f t="shared" si="39"/>
        <v/>
      </c>
      <c r="DB74" s="403" t="str">
        <f t="shared" si="40"/>
        <v/>
      </c>
      <c r="DC74" s="403"/>
      <c r="DD74" s="403" t="str">
        <f t="shared" si="41"/>
        <v/>
      </c>
      <c r="DE74" s="403" t="str">
        <f t="shared" si="42"/>
        <v/>
      </c>
      <c r="DF74" s="403" t="str">
        <f t="shared" si="43"/>
        <v/>
      </c>
      <c r="DG74" s="403" t="str">
        <f t="shared" si="44"/>
        <v/>
      </c>
      <c r="DH74" s="403" t="str">
        <f t="shared" si="45"/>
        <v/>
      </c>
      <c r="DI74" s="403" t="str">
        <f t="shared" si="46"/>
        <v/>
      </c>
      <c r="DJ74" s="403" t="str">
        <f t="shared" si="47"/>
        <v/>
      </c>
      <c r="DK74" s="403" t="str">
        <f t="shared" si="48"/>
        <v/>
      </c>
      <c r="DL74" s="403" t="str">
        <f t="shared" si="49"/>
        <v/>
      </c>
      <c r="DM74" s="403" t="str">
        <f t="shared" si="50"/>
        <v/>
      </c>
      <c r="DN74" s="403" t="str">
        <f t="shared" si="51"/>
        <v/>
      </c>
      <c r="DO74" s="403" t="str">
        <f t="shared" si="52"/>
        <v/>
      </c>
      <c r="DP74" s="403" t="str">
        <f t="shared" si="53"/>
        <v/>
      </c>
      <c r="DQ74" s="403" t="str">
        <f t="shared" si="54"/>
        <v/>
      </c>
      <c r="DR74" s="403" t="str">
        <f t="shared" si="55"/>
        <v/>
      </c>
      <c r="DS74" s="403" t="str">
        <f t="shared" si="56"/>
        <v/>
      </c>
      <c r="DT74" s="403" t="str">
        <f t="shared" si="57"/>
        <v/>
      </c>
      <c r="DU74" s="403" t="str">
        <f t="shared" si="58"/>
        <v/>
      </c>
      <c r="DV74" s="403" t="str">
        <f t="shared" si="59"/>
        <v/>
      </c>
      <c r="DW74" s="403" t="str">
        <f t="shared" si="60"/>
        <v/>
      </c>
      <c r="DX74" s="403" t="str">
        <f t="shared" si="61"/>
        <v/>
      </c>
      <c r="DY74" s="403" t="str">
        <f t="shared" si="62"/>
        <v/>
      </c>
      <c r="DZ74" s="403" t="str">
        <f t="shared" si="63"/>
        <v/>
      </c>
      <c r="EA74" s="403" t="str">
        <f t="shared" si="64"/>
        <v/>
      </c>
      <c r="EB74" s="403" t="str">
        <f t="shared" si="65"/>
        <v/>
      </c>
      <c r="EC74" s="403" t="str">
        <f t="shared" si="66"/>
        <v/>
      </c>
      <c r="ED74" s="403" t="str">
        <f t="shared" si="67"/>
        <v/>
      </c>
      <c r="EE74" s="403" t="str">
        <f t="shared" si="68"/>
        <v/>
      </c>
      <c r="EF74" s="403" t="str">
        <f t="shared" si="69"/>
        <v/>
      </c>
      <c r="EG74" s="403" t="str">
        <f t="shared" si="70"/>
        <v/>
      </c>
      <c r="EH74" s="403" t="str">
        <f t="shared" si="71"/>
        <v/>
      </c>
      <c r="EI74" s="403" t="str">
        <f t="shared" si="72"/>
        <v/>
      </c>
      <c r="EJ74" s="403" t="str">
        <f t="shared" si="73"/>
        <v/>
      </c>
      <c r="EK74" s="403" t="str">
        <f t="shared" si="74"/>
        <v/>
      </c>
      <c r="EL74" s="403" t="str">
        <f t="shared" si="75"/>
        <v/>
      </c>
      <c r="EM74" s="403"/>
      <c r="EN74" s="403" t="str">
        <f t="shared" si="76"/>
        <v/>
      </c>
      <c r="EO74" s="403" t="str">
        <f t="shared" si="77"/>
        <v/>
      </c>
      <c r="EP74" s="403" t="str">
        <f t="shared" si="78"/>
        <v/>
      </c>
      <c r="EQ74" s="403" t="str">
        <f t="shared" si="79"/>
        <v/>
      </c>
      <c r="ER74" s="403" t="str">
        <f t="shared" si="80"/>
        <v/>
      </c>
      <c r="ES74" s="403" t="str">
        <f t="shared" si="81"/>
        <v/>
      </c>
      <c r="ET74" s="403" t="str">
        <f t="shared" si="82"/>
        <v/>
      </c>
      <c r="EU74" s="403" t="str">
        <f t="shared" si="83"/>
        <v/>
      </c>
      <c r="EV74" s="403" t="str">
        <f t="shared" si="84"/>
        <v/>
      </c>
      <c r="EW74" s="403" t="str">
        <f t="shared" si="85"/>
        <v/>
      </c>
      <c r="EX74" s="403" t="str">
        <f t="shared" si="86"/>
        <v/>
      </c>
      <c r="EY74" s="403" t="str">
        <f t="shared" si="87"/>
        <v/>
      </c>
      <c r="EZ74" s="403" t="str">
        <f t="shared" si="88"/>
        <v/>
      </c>
      <c r="FA74" s="403" t="str">
        <f t="shared" si="89"/>
        <v/>
      </c>
      <c r="FB74" s="403" t="str">
        <f t="shared" si="90"/>
        <v/>
      </c>
      <c r="FC74" s="403" t="str">
        <f t="shared" si="91"/>
        <v/>
      </c>
      <c r="FD74" s="403" t="str">
        <f t="shared" si="92"/>
        <v/>
      </c>
      <c r="FE74" s="403" t="str">
        <f t="shared" si="93"/>
        <v/>
      </c>
      <c r="FF74" s="403" t="str">
        <f t="shared" si="94"/>
        <v/>
      </c>
      <c r="FG74" s="403" t="str">
        <f t="shared" si="95"/>
        <v/>
      </c>
      <c r="FH74" s="403" t="str">
        <f t="shared" si="96"/>
        <v/>
      </c>
      <c r="FI74" s="403" t="str">
        <f t="shared" si="97"/>
        <v/>
      </c>
      <c r="FJ74" s="403" t="str">
        <f t="shared" si="98"/>
        <v/>
      </c>
      <c r="FK74" s="403" t="str">
        <f t="shared" si="99"/>
        <v/>
      </c>
      <c r="FL74" s="403" t="str">
        <f t="shared" si="100"/>
        <v/>
      </c>
      <c r="FM74" s="403" t="str">
        <f t="shared" si="101"/>
        <v/>
      </c>
      <c r="FN74" s="403" t="str">
        <f t="shared" si="102"/>
        <v/>
      </c>
      <c r="FO74" s="403" t="str">
        <f t="shared" si="103"/>
        <v/>
      </c>
      <c r="FP74" s="403" t="str">
        <f t="shared" si="104"/>
        <v/>
      </c>
      <c r="FQ74" s="403" t="str">
        <f t="shared" si="105"/>
        <v/>
      </c>
      <c r="FR74" s="403" t="str">
        <f t="shared" si="106"/>
        <v/>
      </c>
      <c r="FS74" s="403" t="str">
        <f t="shared" si="107"/>
        <v/>
      </c>
      <c r="FT74" s="403" t="str">
        <f t="shared" si="108"/>
        <v/>
      </c>
      <c r="FU74" s="403" t="str">
        <f t="shared" si="109"/>
        <v/>
      </c>
      <c r="FV74" s="403" t="str">
        <f t="shared" si="110"/>
        <v/>
      </c>
      <c r="FW74" s="403"/>
      <c r="FX74" s="403" t="str">
        <f t="shared" si="111"/>
        <v/>
      </c>
      <c r="FY74" s="403" t="str">
        <f t="shared" si="112"/>
        <v/>
      </c>
      <c r="FZ74" s="403" t="str">
        <f t="shared" si="113"/>
        <v/>
      </c>
      <c r="GA74" s="403" t="str">
        <f t="shared" si="114"/>
        <v/>
      </c>
      <c r="GB74" s="403" t="str">
        <f t="shared" si="115"/>
        <v/>
      </c>
      <c r="GC74" s="403" t="str">
        <f t="shared" si="116"/>
        <v/>
      </c>
      <c r="GD74" s="403" t="str">
        <f t="shared" si="117"/>
        <v/>
      </c>
      <c r="GE74" s="403" t="str">
        <f t="shared" si="118"/>
        <v/>
      </c>
      <c r="GF74" s="403" t="str">
        <f t="shared" si="119"/>
        <v/>
      </c>
      <c r="GG74" s="403" t="str">
        <f t="shared" si="120"/>
        <v/>
      </c>
      <c r="GH74" s="403" t="str">
        <f t="shared" si="121"/>
        <v/>
      </c>
      <c r="GI74" s="403" t="str">
        <f t="shared" si="122"/>
        <v/>
      </c>
      <c r="GJ74" s="403" t="str">
        <f t="shared" si="123"/>
        <v/>
      </c>
      <c r="GK74" s="403" t="str">
        <f t="shared" si="124"/>
        <v/>
      </c>
      <c r="GL74" s="403" t="str">
        <f t="shared" si="125"/>
        <v/>
      </c>
      <c r="GM74" s="403" t="str">
        <f t="shared" si="126"/>
        <v/>
      </c>
      <c r="GN74" s="403" t="str">
        <f t="shared" si="127"/>
        <v/>
      </c>
      <c r="GO74" s="403" t="str">
        <f t="shared" si="128"/>
        <v/>
      </c>
      <c r="GP74" s="403" t="str">
        <f t="shared" si="129"/>
        <v/>
      </c>
      <c r="GQ74" s="403" t="str">
        <f t="shared" si="130"/>
        <v/>
      </c>
      <c r="GR74" s="403" t="str">
        <f t="shared" si="131"/>
        <v/>
      </c>
      <c r="GS74" s="403" t="str">
        <f t="shared" si="132"/>
        <v/>
      </c>
      <c r="GT74" s="403" t="str">
        <f t="shared" si="133"/>
        <v/>
      </c>
      <c r="GU74" s="403" t="str">
        <f t="shared" si="134"/>
        <v/>
      </c>
      <c r="GV74" s="403" t="str">
        <f t="shared" si="135"/>
        <v/>
      </c>
      <c r="GW74" s="403" t="str">
        <f t="shared" si="136"/>
        <v/>
      </c>
      <c r="GX74" s="403" t="str">
        <f t="shared" si="137"/>
        <v/>
      </c>
      <c r="GY74" s="403" t="str">
        <f t="shared" si="138"/>
        <v/>
      </c>
      <c r="GZ74" s="403" t="str">
        <f t="shared" si="139"/>
        <v/>
      </c>
      <c r="HA74" s="403" t="str">
        <f t="shared" si="140"/>
        <v/>
      </c>
      <c r="HB74" s="403" t="str">
        <f t="shared" si="141"/>
        <v/>
      </c>
      <c r="HC74" s="403" t="str">
        <f t="shared" si="142"/>
        <v/>
      </c>
      <c r="HD74" s="403" t="str">
        <f t="shared" si="143"/>
        <v/>
      </c>
      <c r="HE74" s="403" t="str">
        <f t="shared" si="144"/>
        <v/>
      </c>
      <c r="HF74" s="403" t="str">
        <f t="shared" si="145"/>
        <v/>
      </c>
      <c r="HG74" s="403"/>
      <c r="HH74" s="403"/>
      <c r="HI74" s="403"/>
      <c r="HJ74" s="403"/>
      <c r="HK74" s="403"/>
      <c r="HL74" s="403"/>
      <c r="HM74" s="403"/>
      <c r="HN74" s="403"/>
      <c r="HO74" s="403"/>
      <c r="HP74" s="403"/>
      <c r="HQ74" s="403"/>
      <c r="HR74" s="403"/>
      <c r="HS74" s="403"/>
      <c r="HT74" s="403"/>
      <c r="HU74" s="403"/>
      <c r="HV74" s="403"/>
      <c r="HW74" s="403"/>
      <c r="HX74" s="403"/>
      <c r="HY74" s="403"/>
      <c r="HZ74" s="403"/>
      <c r="IA74" s="403"/>
      <c r="IB74" s="403"/>
      <c r="IC74" s="403"/>
      <c r="ID74" s="403"/>
      <c r="IE74" s="403"/>
      <c r="IF74" s="403"/>
      <c r="IG74" s="403"/>
      <c r="IH74" s="403"/>
      <c r="II74" s="403"/>
      <c r="IJ74" s="403"/>
      <c r="IK74" s="403"/>
      <c r="IL74" s="403"/>
      <c r="IM74" s="403"/>
      <c r="IN74" s="403"/>
      <c r="IO74" s="403"/>
      <c r="IP74" s="403"/>
      <c r="IQ74" s="403"/>
      <c r="IR74" s="403"/>
      <c r="IS74" s="403"/>
      <c r="IT74" s="403"/>
      <c r="IU74" s="403"/>
      <c r="IV74" s="403"/>
      <c r="IW74" s="403"/>
      <c r="IX74" s="403"/>
      <c r="IY74" s="403"/>
      <c r="IZ74" s="403"/>
      <c r="JA74" s="403"/>
      <c r="JB74" s="403"/>
      <c r="JC74" s="403"/>
      <c r="JD74" s="403"/>
      <c r="JE74" s="403"/>
      <c r="JF74" s="403"/>
      <c r="JG74" s="403"/>
      <c r="JH74" s="403"/>
      <c r="JI74" s="403"/>
      <c r="JJ74" s="403"/>
      <c r="JK74" s="403"/>
      <c r="JL74" s="403"/>
      <c r="JM74" s="403"/>
      <c r="JN74" s="403"/>
      <c r="JO74" s="403"/>
      <c r="JP74" s="403"/>
      <c r="JQ74" s="403"/>
      <c r="JR74" s="403"/>
      <c r="JS74" s="403"/>
      <c r="JT74" s="403"/>
      <c r="JU74" s="403"/>
      <c r="JV74" s="403"/>
      <c r="JW74" s="403"/>
      <c r="JX74" s="403"/>
      <c r="JY74" s="403"/>
    </row>
    <row r="76" spans="1:285" x14ac:dyDescent="0.2">
      <c r="A76" s="684" t="str">
        <f>WHO_Copyright</f>
        <v>© World Health Organization and the United Nations Children’s Fund (UNICEF), 2022. Some rights reserved. This work is available under the CC BY-NC-SA 3.0 IGO licence.</v>
      </c>
      <c r="B76" s="684"/>
      <c r="C76" s="684"/>
      <c r="D76" s="684"/>
      <c r="E76" s="684"/>
      <c r="F76" s="684"/>
      <c r="G76" s="684"/>
      <c r="H76" s="684"/>
      <c r="I76" s="684"/>
      <c r="J76" s="684"/>
      <c r="K76" s="684"/>
      <c r="L76" s="684"/>
      <c r="M76" s="684"/>
      <c r="N76" s="684"/>
      <c r="O76" s="684"/>
      <c r="P76" s="684"/>
      <c r="Q76" s="684"/>
      <c r="R76" s="299"/>
      <c r="S76" s="299"/>
      <c r="T76" s="299"/>
      <c r="U76" s="299"/>
      <c r="V76" s="299"/>
      <c r="W76" s="299"/>
      <c r="X76" s="299"/>
      <c r="Y76" s="299"/>
      <c r="Z76" s="299"/>
      <c r="AA76" s="299"/>
      <c r="AB76" s="299"/>
      <c r="AC76" s="299"/>
      <c r="AD76" s="299"/>
      <c r="AE76" s="299"/>
      <c r="AF76" s="299"/>
    </row>
    <row r="77" spans="1:285" x14ac:dyDescent="0.2">
      <c r="A77" s="671" t="str">
        <f>WHO_Reference</f>
        <v>WHO reference number: WHO/2019-nCoV/Vaccine_deployment_tool/2022.1</v>
      </c>
      <c r="B77" s="671"/>
      <c r="C77" s="671"/>
      <c r="D77" s="671"/>
      <c r="E77" s="671"/>
      <c r="F77" s="671"/>
      <c r="G77" s="671"/>
      <c r="H77" s="671"/>
      <c r="I77" s="671"/>
      <c r="J77" s="671"/>
      <c r="K77" s="671"/>
      <c r="L77" s="671"/>
      <c r="M77" s="671"/>
      <c r="N77" s="671"/>
      <c r="O77" s="671"/>
      <c r="P77" s="671"/>
      <c r="Q77" s="671"/>
      <c r="R77" s="299"/>
      <c r="S77" s="299"/>
      <c r="T77" s="299"/>
      <c r="U77" s="299"/>
      <c r="V77" s="299"/>
      <c r="W77" s="299"/>
      <c r="X77" s="299"/>
      <c r="Y77" s="299"/>
      <c r="Z77" s="299"/>
      <c r="AA77" s="299"/>
      <c r="AB77" s="299"/>
      <c r="AC77" s="299"/>
      <c r="AD77" s="299"/>
      <c r="AE77" s="299"/>
      <c r="AF77" s="299"/>
    </row>
    <row r="78" spans="1:285" s="567" customFormat="1" hidden="1" x14ac:dyDescent="0.2">
      <c r="A78" s="344" t="s">
        <v>3031</v>
      </c>
      <c r="B78" s="617" t="s">
        <v>14242</v>
      </c>
      <c r="AM78" s="564"/>
      <c r="AN78" s="564"/>
      <c r="AO78" s="564"/>
      <c r="AP78" s="564"/>
      <c r="AQ78" s="564"/>
      <c r="AR78" s="564"/>
      <c r="AS78" s="564"/>
      <c r="AT78" s="564"/>
      <c r="AU78" s="564"/>
      <c r="AV78" s="564"/>
      <c r="AW78" s="564"/>
      <c r="AX78" s="564"/>
      <c r="AY78" s="564"/>
      <c r="AZ78" s="564"/>
      <c r="BA78" s="564"/>
      <c r="BB78" s="564"/>
      <c r="BC78" s="564"/>
      <c r="BD78" s="564"/>
      <c r="BE78" s="564"/>
      <c r="BF78" s="564"/>
      <c r="BG78" s="564"/>
      <c r="BH78" s="564"/>
      <c r="BI78" s="564"/>
      <c r="BJ78" s="564"/>
      <c r="BK78" s="564"/>
      <c r="BL78" s="564"/>
      <c r="BM78" s="564"/>
      <c r="BN78" s="564"/>
      <c r="BO78" s="564"/>
      <c r="BP78" s="564"/>
      <c r="BQ78" s="564"/>
      <c r="BR78" s="564"/>
      <c r="BS78" s="564"/>
      <c r="BT78" s="564"/>
      <c r="BU78" s="564"/>
      <c r="BV78" s="564"/>
      <c r="BW78" s="564"/>
      <c r="BX78" s="564"/>
      <c r="BY78" s="564"/>
      <c r="BZ78" s="564"/>
      <c r="CA78" s="564"/>
      <c r="CB78" s="564"/>
      <c r="CC78" s="564"/>
      <c r="CD78" s="564"/>
      <c r="CE78" s="564"/>
      <c r="CF78" s="564"/>
      <c r="CG78" s="564"/>
      <c r="CH78" s="564"/>
      <c r="CI78" s="564"/>
      <c r="CJ78" s="564"/>
      <c r="CK78" s="564"/>
      <c r="CL78" s="564"/>
      <c r="CM78" s="564"/>
      <c r="CN78" s="564"/>
      <c r="CO78" s="564"/>
      <c r="CP78" s="564"/>
      <c r="CQ78" s="564"/>
      <c r="CR78" s="564"/>
      <c r="CS78" s="564"/>
      <c r="CT78" s="564"/>
      <c r="CU78" s="564"/>
      <c r="CV78" s="564"/>
      <c r="CW78" s="564"/>
      <c r="CX78" s="564"/>
      <c r="CY78" s="564"/>
      <c r="CZ78" s="564"/>
      <c r="DA78" s="564"/>
      <c r="DB78" s="564"/>
      <c r="DC78" s="564"/>
      <c r="DD78" s="564"/>
      <c r="DE78" s="564"/>
      <c r="DF78" s="564"/>
      <c r="DG78" s="564"/>
      <c r="DH78" s="564"/>
      <c r="DI78" s="564"/>
      <c r="DJ78" s="564"/>
      <c r="DK78" s="564"/>
      <c r="DL78" s="564"/>
      <c r="DM78" s="564"/>
      <c r="DN78" s="564"/>
      <c r="DO78" s="564"/>
      <c r="DP78" s="564"/>
      <c r="DQ78" s="564"/>
      <c r="DR78" s="564"/>
      <c r="DS78" s="564"/>
      <c r="DT78" s="564"/>
      <c r="DU78" s="564"/>
      <c r="DV78" s="564"/>
      <c r="DW78" s="564"/>
      <c r="DX78" s="564"/>
      <c r="DY78" s="564"/>
      <c r="DZ78" s="564"/>
      <c r="EA78" s="564"/>
      <c r="EB78" s="564"/>
      <c r="EC78" s="564"/>
      <c r="ED78" s="564"/>
      <c r="EE78" s="564"/>
      <c r="EF78" s="564"/>
      <c r="EG78" s="564"/>
      <c r="EH78" s="564"/>
      <c r="EI78" s="564"/>
      <c r="EJ78" s="564"/>
      <c r="EK78" s="564"/>
      <c r="EL78" s="564"/>
      <c r="EM78" s="564"/>
      <c r="EN78" s="564"/>
      <c r="EO78" s="564"/>
      <c r="EP78" s="564"/>
      <c r="EQ78" s="564"/>
      <c r="ER78" s="564"/>
      <c r="ES78" s="564"/>
      <c r="ET78" s="564"/>
      <c r="EU78" s="564"/>
      <c r="EV78" s="564"/>
      <c r="EW78" s="564"/>
      <c r="EX78" s="564"/>
      <c r="EY78" s="564"/>
      <c r="EZ78" s="564"/>
      <c r="FA78" s="564"/>
      <c r="FB78" s="564"/>
      <c r="FC78" s="564"/>
      <c r="FD78" s="564"/>
      <c r="FE78" s="564"/>
      <c r="FF78" s="564"/>
      <c r="FG78" s="564"/>
      <c r="FH78" s="564"/>
      <c r="FI78" s="564"/>
      <c r="FJ78" s="564"/>
      <c r="FK78" s="564"/>
      <c r="FL78" s="564"/>
      <c r="FM78" s="564"/>
      <c r="FN78" s="564"/>
      <c r="FO78" s="564"/>
      <c r="FP78" s="564"/>
      <c r="FQ78" s="564"/>
      <c r="FR78" s="564"/>
      <c r="FS78" s="564"/>
      <c r="FT78" s="564"/>
      <c r="FU78" s="564"/>
      <c r="FV78" s="564"/>
      <c r="FW78" s="564"/>
      <c r="FX78" s="564"/>
      <c r="FY78" s="564"/>
      <c r="FZ78" s="564"/>
      <c r="GA78" s="564"/>
      <c r="GB78" s="564"/>
      <c r="GC78" s="564"/>
      <c r="GD78" s="564"/>
      <c r="GE78" s="564"/>
      <c r="GF78" s="564"/>
      <c r="GG78" s="564"/>
      <c r="GH78" s="564"/>
      <c r="GI78" s="564"/>
      <c r="GJ78" s="564"/>
      <c r="GK78" s="564"/>
      <c r="GL78" s="564"/>
      <c r="GM78" s="564"/>
      <c r="GN78" s="564"/>
      <c r="GO78" s="564"/>
      <c r="GP78" s="564"/>
      <c r="GQ78" s="564"/>
      <c r="GR78" s="564"/>
      <c r="GS78" s="564"/>
      <c r="GT78" s="564"/>
      <c r="GU78" s="564"/>
      <c r="GV78" s="564"/>
      <c r="GW78" s="564"/>
      <c r="GX78" s="564"/>
      <c r="GY78" s="564"/>
      <c r="GZ78" s="564"/>
      <c r="HA78" s="564"/>
      <c r="HB78" s="564"/>
      <c r="HC78" s="564"/>
      <c r="HD78" s="564"/>
      <c r="HE78" s="564"/>
      <c r="HF78" s="564"/>
      <c r="HG78" s="564"/>
      <c r="HH78" s="564"/>
      <c r="HI78" s="564"/>
      <c r="HJ78" s="564"/>
      <c r="HK78" s="564"/>
      <c r="HL78" s="564"/>
      <c r="HM78" s="564"/>
      <c r="HN78" s="564"/>
      <c r="HO78" s="564"/>
      <c r="HP78" s="564"/>
      <c r="HQ78" s="564"/>
      <c r="HR78" s="564"/>
      <c r="HS78" s="564"/>
      <c r="HT78" s="564"/>
      <c r="HU78" s="564"/>
      <c r="HV78" s="564"/>
      <c r="HW78" s="564"/>
      <c r="HX78" s="564"/>
      <c r="HY78" s="564"/>
      <c r="HZ78" s="564"/>
      <c r="IA78" s="564"/>
      <c r="IB78" s="564"/>
      <c r="IC78" s="564"/>
      <c r="ID78" s="564"/>
      <c r="IE78" s="564"/>
      <c r="IF78" s="564"/>
      <c r="IG78" s="564"/>
      <c r="IH78" s="564"/>
      <c r="II78" s="564"/>
      <c r="IJ78" s="564"/>
      <c r="IK78" s="564"/>
      <c r="IL78" s="564"/>
      <c r="IM78" s="564"/>
      <c r="IN78" s="564"/>
      <c r="IO78" s="564"/>
      <c r="IP78" s="564"/>
      <c r="IQ78" s="564"/>
      <c r="IR78" s="564"/>
      <c r="IS78" s="564"/>
      <c r="IT78" s="564"/>
      <c r="IU78" s="564"/>
      <c r="IV78" s="564"/>
      <c r="IW78" s="564"/>
      <c r="IX78" s="564"/>
      <c r="IY78" s="564"/>
      <c r="IZ78" s="564"/>
      <c r="JA78" s="564"/>
      <c r="JB78" s="564"/>
      <c r="JC78" s="564"/>
      <c r="JD78" s="564"/>
      <c r="JE78" s="564"/>
      <c r="JF78" s="564"/>
      <c r="JG78" s="564"/>
      <c r="JH78" s="564"/>
      <c r="JI78" s="564"/>
      <c r="JJ78" s="564"/>
      <c r="JK78" s="564"/>
      <c r="JL78" s="564"/>
      <c r="JM78" s="564"/>
      <c r="JN78" s="564"/>
      <c r="JO78" s="564"/>
      <c r="JP78" s="564"/>
      <c r="JQ78" s="564"/>
      <c r="JR78" s="564"/>
      <c r="JS78" s="564"/>
      <c r="JT78" s="564"/>
      <c r="JU78" s="564"/>
      <c r="JV78" s="564"/>
      <c r="JW78" s="564"/>
      <c r="JX78" s="564"/>
      <c r="JY78" s="564"/>
    </row>
    <row r="79" spans="1:285" s="567" customFormat="1" hidden="1" x14ac:dyDescent="0.2">
      <c r="A79" s="344" t="s">
        <v>3031</v>
      </c>
      <c r="B79" s="617"/>
      <c r="C79" s="617">
        <v>1</v>
      </c>
      <c r="D79" s="617">
        <v>2</v>
      </c>
      <c r="E79" s="617">
        <v>3</v>
      </c>
      <c r="F79" s="617">
        <v>4</v>
      </c>
      <c r="G79" s="617">
        <v>5</v>
      </c>
      <c r="H79" s="617">
        <v>6</v>
      </c>
      <c r="I79" s="617">
        <v>7</v>
      </c>
      <c r="J79" s="617">
        <v>8</v>
      </c>
      <c r="K79" s="617">
        <v>9</v>
      </c>
      <c r="L79" s="617">
        <v>10</v>
      </c>
      <c r="M79" s="617">
        <v>11</v>
      </c>
      <c r="N79" s="617">
        <v>12</v>
      </c>
      <c r="O79" s="617">
        <v>13</v>
      </c>
      <c r="P79" s="617">
        <v>14</v>
      </c>
      <c r="Q79" s="617">
        <v>15</v>
      </c>
      <c r="R79" s="617">
        <v>16</v>
      </c>
      <c r="S79" s="617">
        <v>17</v>
      </c>
      <c r="T79" s="617">
        <v>18</v>
      </c>
      <c r="U79" s="617">
        <v>19</v>
      </c>
      <c r="V79" s="617">
        <v>20</v>
      </c>
      <c r="W79" s="617">
        <v>21</v>
      </c>
      <c r="X79" s="617">
        <v>22</v>
      </c>
      <c r="Y79" s="617">
        <v>23</v>
      </c>
      <c r="Z79" s="617">
        <v>24</v>
      </c>
      <c r="AA79" s="617">
        <v>25</v>
      </c>
      <c r="AB79" s="617">
        <v>26</v>
      </c>
      <c r="AC79" s="617">
        <v>27</v>
      </c>
      <c r="AD79" s="617">
        <v>28</v>
      </c>
      <c r="AM79" s="564"/>
      <c r="AN79" s="564"/>
      <c r="AO79" s="564"/>
      <c r="AP79" s="564"/>
      <c r="AQ79" s="564"/>
      <c r="AR79" s="564"/>
      <c r="AS79" s="564"/>
      <c r="AT79" s="564"/>
      <c r="AU79" s="564"/>
      <c r="AV79" s="564"/>
      <c r="AW79" s="564"/>
      <c r="AX79" s="564"/>
      <c r="AY79" s="564"/>
      <c r="AZ79" s="564"/>
      <c r="BA79" s="564"/>
      <c r="BB79" s="564"/>
      <c r="BC79" s="564"/>
      <c r="BD79" s="564"/>
      <c r="BE79" s="564"/>
      <c r="BF79" s="564"/>
      <c r="BG79" s="564"/>
      <c r="BH79" s="564"/>
      <c r="BI79" s="564"/>
      <c r="BJ79" s="564"/>
      <c r="BK79" s="564"/>
      <c r="BL79" s="564"/>
      <c r="BM79" s="564"/>
      <c r="BN79" s="564"/>
      <c r="BO79" s="564"/>
      <c r="BP79" s="564"/>
      <c r="BQ79" s="564"/>
      <c r="BR79" s="564"/>
      <c r="BS79" s="564"/>
      <c r="BT79" s="564"/>
      <c r="BU79" s="564"/>
      <c r="BV79" s="564"/>
      <c r="BW79" s="564"/>
      <c r="BX79" s="564"/>
      <c r="BY79" s="564"/>
      <c r="BZ79" s="564"/>
      <c r="CA79" s="564"/>
      <c r="CB79" s="564"/>
      <c r="CC79" s="564"/>
      <c r="CD79" s="564"/>
      <c r="CE79" s="564"/>
      <c r="CF79" s="564"/>
      <c r="CG79" s="564"/>
      <c r="CH79" s="564"/>
      <c r="CI79" s="564"/>
      <c r="CJ79" s="564"/>
      <c r="CK79" s="564"/>
      <c r="CL79" s="564"/>
      <c r="CM79" s="564"/>
      <c r="CN79" s="564"/>
      <c r="CO79" s="564"/>
      <c r="CP79" s="564"/>
      <c r="CQ79" s="564"/>
      <c r="CR79" s="564"/>
      <c r="CS79" s="564"/>
      <c r="CT79" s="564"/>
      <c r="CU79" s="564"/>
      <c r="CV79" s="564"/>
      <c r="CW79" s="564"/>
      <c r="CX79" s="564"/>
      <c r="CY79" s="564"/>
      <c r="CZ79" s="564"/>
      <c r="DA79" s="564"/>
      <c r="DB79" s="564"/>
      <c r="DC79" s="564"/>
      <c r="DD79" s="564"/>
      <c r="DE79" s="564"/>
      <c r="DF79" s="564"/>
      <c r="DG79" s="564"/>
      <c r="DH79" s="564"/>
      <c r="DI79" s="564"/>
      <c r="DJ79" s="564"/>
      <c r="DK79" s="564"/>
      <c r="DL79" s="564"/>
      <c r="DM79" s="564"/>
      <c r="DN79" s="564"/>
      <c r="DO79" s="564"/>
      <c r="DP79" s="564"/>
      <c r="DQ79" s="564"/>
      <c r="DR79" s="564"/>
      <c r="DS79" s="564"/>
      <c r="DT79" s="564"/>
      <c r="DU79" s="564"/>
      <c r="DV79" s="564"/>
      <c r="DW79" s="564"/>
      <c r="DX79" s="564"/>
      <c r="DY79" s="564"/>
      <c r="DZ79" s="564"/>
      <c r="EA79" s="564"/>
      <c r="EB79" s="564"/>
      <c r="EC79" s="564"/>
      <c r="ED79" s="564"/>
      <c r="EE79" s="564"/>
      <c r="EF79" s="564"/>
      <c r="EG79" s="564"/>
      <c r="EH79" s="564"/>
      <c r="EI79" s="564"/>
      <c r="EJ79" s="564"/>
      <c r="EK79" s="564"/>
      <c r="EL79" s="564"/>
      <c r="EM79" s="564"/>
      <c r="EN79" s="564"/>
      <c r="EO79" s="564"/>
      <c r="EP79" s="564"/>
      <c r="EQ79" s="564"/>
      <c r="ER79" s="564"/>
      <c r="ES79" s="564"/>
      <c r="ET79" s="564"/>
      <c r="EU79" s="564"/>
      <c r="EV79" s="564"/>
      <c r="EW79" s="564"/>
      <c r="EX79" s="564"/>
      <c r="EY79" s="564"/>
      <c r="EZ79" s="564"/>
      <c r="FA79" s="564"/>
      <c r="FB79" s="564"/>
      <c r="FC79" s="564"/>
      <c r="FD79" s="564"/>
      <c r="FE79" s="564"/>
      <c r="FF79" s="564"/>
      <c r="FG79" s="564"/>
      <c r="FH79" s="564"/>
      <c r="FI79" s="564"/>
      <c r="FJ79" s="564"/>
      <c r="FK79" s="564"/>
      <c r="FL79" s="564"/>
      <c r="FM79" s="564"/>
      <c r="FN79" s="564"/>
      <c r="FO79" s="564"/>
      <c r="FP79" s="564"/>
      <c r="FQ79" s="564"/>
      <c r="FR79" s="564"/>
      <c r="FS79" s="564"/>
      <c r="FT79" s="564"/>
      <c r="FU79" s="564"/>
      <c r="FV79" s="564"/>
      <c r="FW79" s="564"/>
      <c r="FX79" s="564"/>
      <c r="FY79" s="564"/>
      <c r="FZ79" s="564"/>
      <c r="GA79" s="564"/>
      <c r="GB79" s="564"/>
      <c r="GC79" s="564"/>
      <c r="GD79" s="564"/>
      <c r="GE79" s="564"/>
      <c r="GF79" s="564"/>
      <c r="GG79" s="564"/>
      <c r="GH79" s="564"/>
      <c r="GI79" s="564"/>
      <c r="GJ79" s="564"/>
      <c r="GK79" s="564"/>
      <c r="GL79" s="564"/>
      <c r="GM79" s="564"/>
      <c r="GN79" s="564"/>
      <c r="GO79" s="564"/>
      <c r="GP79" s="564"/>
      <c r="GQ79" s="564"/>
      <c r="GR79" s="564"/>
      <c r="GS79" s="564"/>
      <c r="GT79" s="564"/>
      <c r="GU79" s="564"/>
      <c r="GV79" s="564"/>
      <c r="GW79" s="564"/>
      <c r="GX79" s="564"/>
      <c r="GY79" s="564"/>
      <c r="GZ79" s="564"/>
      <c r="HA79" s="564"/>
      <c r="HB79" s="564"/>
      <c r="HC79" s="564"/>
      <c r="HD79" s="564"/>
      <c r="HE79" s="564"/>
      <c r="HF79" s="564"/>
      <c r="HG79" s="564"/>
      <c r="HH79" s="564"/>
      <c r="HI79" s="564"/>
      <c r="HJ79" s="564"/>
      <c r="HK79" s="564"/>
      <c r="HL79" s="564"/>
      <c r="HM79" s="564"/>
      <c r="HN79" s="564"/>
      <c r="HO79" s="564"/>
      <c r="HP79" s="564"/>
      <c r="HQ79" s="564"/>
      <c r="HR79" s="564"/>
      <c r="HS79" s="564"/>
      <c r="HT79" s="564"/>
      <c r="HU79" s="564"/>
      <c r="HV79" s="564"/>
      <c r="HW79" s="564"/>
      <c r="HX79" s="564"/>
      <c r="HY79" s="564"/>
      <c r="HZ79" s="564"/>
      <c r="IA79" s="564"/>
      <c r="IB79" s="564"/>
      <c r="IC79" s="564"/>
      <c r="ID79" s="564"/>
      <c r="IE79" s="564"/>
      <c r="IF79" s="564"/>
      <c r="IG79" s="564"/>
      <c r="IH79" s="564"/>
      <c r="II79" s="564"/>
      <c r="IJ79" s="564"/>
      <c r="IK79" s="564"/>
      <c r="IL79" s="564"/>
      <c r="IM79" s="564"/>
      <c r="IN79" s="564"/>
      <c r="IO79" s="564"/>
      <c r="IP79" s="564"/>
      <c r="IQ79" s="564"/>
      <c r="IR79" s="564"/>
      <c r="IS79" s="564"/>
      <c r="IT79" s="564"/>
      <c r="IU79" s="564"/>
      <c r="IV79" s="564"/>
      <c r="IW79" s="564"/>
      <c r="IX79" s="564"/>
      <c r="IY79" s="564"/>
      <c r="IZ79" s="564"/>
      <c r="JA79" s="564"/>
      <c r="JB79" s="564"/>
      <c r="JC79" s="564"/>
      <c r="JD79" s="564"/>
      <c r="JE79" s="564"/>
      <c r="JF79" s="564"/>
      <c r="JG79" s="564"/>
      <c r="JH79" s="564"/>
      <c r="JI79" s="564"/>
      <c r="JJ79" s="564"/>
      <c r="JK79" s="564"/>
      <c r="JL79" s="564"/>
      <c r="JM79" s="564"/>
      <c r="JN79" s="564"/>
      <c r="JO79" s="564"/>
      <c r="JP79" s="564"/>
      <c r="JQ79" s="564"/>
      <c r="JR79" s="564"/>
      <c r="JS79" s="564"/>
      <c r="JT79" s="564"/>
      <c r="JU79" s="564"/>
      <c r="JV79" s="564"/>
      <c r="JW79" s="564"/>
      <c r="JX79" s="564"/>
      <c r="JY79" s="564"/>
    </row>
    <row r="80" spans="1:285" s="567" customFormat="1" hidden="1" x14ac:dyDescent="0.2">
      <c r="A80" s="2">
        <v>1</v>
      </c>
      <c r="C80" s="567" t="str" cm="1">
        <f t="array" ref="C80">IFERROR(VALUE(IF($A80&lt;=T1_Vaccines_NumSuitable,INDEX(T1_Vaccines_forCombi,MATCH($A80,$AE$12:$AE$37,0),C$79),"")),IF($A80&lt;=T1_Vaccines_NumSuitable,INDEX(T1_Vaccines_forCombi,MATCH($A80,$AE$12:$AE$37,0),C$79),""))</f>
        <v>ChAdOx1-S (SK Bioscience)</v>
      </c>
      <c r="D80" s="567" t="str" cm="1">
        <f t="array" ref="D80">IFERROR(VALUE(IF($A80&lt;=T1_Vaccines_NumSuitable,INDEX(T1_Vaccines_forCombi,MATCH($A80,$AE$12:$AE$37,0),D$79),"")),IF($A80&lt;=T1_Vaccines_NumSuitable,INDEX(T1_Vaccines_forCombi,MATCH($A80,$AE$12:$AE$37,0),D$79),""))</f>
        <v>SK Bioscience</v>
      </c>
      <c r="E80" s="567" cm="1">
        <f t="array" ref="E80">IFERROR(VALUE(IF($A80&lt;=T1_Vaccines_NumSuitable,INDEX(T1_Vaccines_forCombi,MATCH($A80,$AE$12:$AE$37,0),E$79),"")),IF($A80&lt;=T1_Vaccines_NumSuitable,INDEX(T1_Vaccines_forCombi,MATCH($A80,$AE$12:$AE$37,0),E$79),""))</f>
        <v>7</v>
      </c>
      <c r="F80" s="567" cm="1">
        <f t="array" ref="F80">IFERROR(VALUE(IF($A80&lt;=T1_Vaccines_NumSuitable,INDEX(T1_Vaccines_forCombi,MATCH($A80,$AE$12:$AE$37,0),F$79),"")),IF($A80&lt;=T1_Vaccines_NumSuitable,INDEX(T1_Vaccines_forCombi,MATCH($A80,$AE$12:$AE$37,0),F$79),""))</f>
        <v>2</v>
      </c>
      <c r="G80" s="567" cm="1">
        <f t="array" ref="G80">IFERROR(VALUE(IF($A80&lt;=T1_Vaccines_NumSuitable,INDEX(T1_Vaccines_forCombi,MATCH($A80,$AE$12:$AE$37,0),G$79),"")),IF($A80&lt;=T1_Vaccines_NumSuitable,INDEX(T1_Vaccines_forCombi,MATCH($A80,$AE$12:$AE$37,0),G$79),""))</f>
        <v>10</v>
      </c>
      <c r="H80" s="567" cm="1">
        <f t="array" ref="H80">IFERROR(VALUE(IF($A80&lt;=T1_Vaccines_NumSuitable,INDEX(T1_Vaccines_forCombi,MATCH($A80,$AE$12:$AE$37,0),H$79),"")),IF($A80&lt;=T1_Vaccines_NumSuitable,INDEX(T1_Vaccines_forCombi,MATCH($A80,$AE$12:$AE$37,0),H$79),""))</f>
        <v>8</v>
      </c>
      <c r="I80" s="567" t="str" cm="1">
        <f t="array" ref="I80">IFERROR(VALUE(IF($A80&lt;=T1_Vaccines_NumSuitable,INDEX(T1_Vaccines_forCombi,MATCH($A80,$AE$12:$AE$37,0),I$79),"")),IF($A80&lt;=T1_Vaccines_NumSuitable,INDEX(T1_Vaccines_forCombi,MATCH($A80,$AE$12:$AE$37,0),I$79),""))</f>
        <v/>
      </c>
      <c r="J80" s="567" t="str" cm="1">
        <f t="array" ref="J80">IFERROR(VALUE(IF($A80&lt;=T1_Vaccines_NumSuitable,INDEX(T1_Vaccines_forCombi,MATCH($A80,$AE$12:$AE$37,0),J$79),"")),IF($A80&lt;=T1_Vaccines_NumSuitable,INDEX(T1_Vaccines_forCombi,MATCH($A80,$AE$12:$AE$37,0),J$79),""))</f>
        <v>IM (intramuscular)</v>
      </c>
      <c r="K80" s="567" t="str" cm="1">
        <f t="array" ref="K80">IFERROR(VALUE(IF($A80&lt;=T1_Vaccines_NumSuitable,INDEX(T1_Vaccines_forCombi,MATCH($A80,$AE$12:$AE$37,0),K$79),"")),IF($A80&lt;=T1_Vaccines_NumSuitable,INDEX(T1_Vaccines_forCombi,MATCH($A80,$AE$12:$AE$37,0),K$79),""))</f>
        <v>Refrigerated (2 to 8C)</v>
      </c>
      <c r="L80" s="567" cm="1">
        <f t="array" ref="L80">IFERROR(VALUE(IF($A80&lt;=T1_Vaccines_NumSuitable,INDEX(T1_Vaccines_forCombi,MATCH($A80,$AE$12:$AE$37,0),L$79),"")),IF($A80&lt;=T1_Vaccines_NumSuitable,INDEX(T1_Vaccines_forCombi,MATCH($A80,$AE$12:$AE$37,0),L$79),""))</f>
        <v>3.76</v>
      </c>
      <c r="M80" s="567" cm="1">
        <f t="array" ref="M80">IFERROR(VALUE(IF($A80&lt;=T1_Vaccines_NumSuitable,INDEX(T1_Vaccines_forCombi,MATCH($A80,$AE$12:$AE$37,0),M$79),"")),IF($A80&lt;=T1_Vaccines_NumSuitable,INDEX(T1_Vaccines_forCombi,MATCH($A80,$AE$12:$AE$37,0),M$79),""))</f>
        <v>2</v>
      </c>
      <c r="N80" s="567" t="str" cm="1">
        <f t="array" ref="N80">IFERROR(VALUE(IF($A80&lt;=T1_Vaccines_NumSuitable,INDEX(T1_Vaccines_forCombi,MATCH($A80,$AE$12:$AE$37,0),N$79),"")),IF($A80&lt;=T1_Vaccines_NumSuitable,INDEX(T1_Vaccines_forCombi,MATCH($A80,$AE$12:$AE$37,0),N$79),""))</f>
        <v/>
      </c>
      <c r="O80" s="567" t="str" cm="1">
        <f t="array" ref="O80">IFERROR(VALUE(IF($A80&lt;=T1_Vaccines_NumSuitable,INDEX(T1_Vaccines_forCombi,MATCH($A80,$AE$12:$AE$37,0),O$79),"")),IF($A80&lt;=T1_Vaccines_NumSuitable,INDEX(T1_Vaccines_forCombi,MATCH($A80,$AE$12:$AE$37,0),O$79),""))</f>
        <v/>
      </c>
      <c r="P80" s="567" cm="1">
        <f t="array" ref="P80">IFERROR(VALUE(IF($A80&lt;=T1_Vaccines_NumSuitable,INDEX(T1_Vaccines_forCombi,MATCH($A80,$AE$12:$AE$37,0),P$79),"")),IF($A80&lt;=T1_Vaccines_NumSuitable,INDEX(T1_Vaccines_forCombi,MATCH($A80,$AE$12:$AE$37,0),P$79),""))</f>
        <v>10</v>
      </c>
      <c r="Q80" s="567" cm="1">
        <f t="array" ref="Q80">IFERROR(VALUE(IF($A80&lt;=T1_Vaccines_NumSuitable,INDEX(T1_Vaccines_forCombi,MATCH($A80,$AE$12:$AE$37,0),Q$79),"")),IF($A80&lt;=T1_Vaccines_NumSuitable,INDEX(T1_Vaccines_forCombi,MATCH($A80,$AE$12:$AE$37,0),Q$79),""))</f>
        <v>0</v>
      </c>
      <c r="R80" s="567" cm="1">
        <f t="array" ref="R80">IFERROR(VALUE(IF($A80&lt;=T1_Vaccines_NumSuitable,INDEX(T1_Vaccines_forCombi,MATCH($A80,$AE$12:$AE$37,0),R$79),"")),IF($A80&lt;=T1_Vaccines_NumSuitable,INDEX(T1_Vaccines_forCombi,MATCH($A80,$AE$12:$AE$37,0),R$79),""))</f>
        <v>0</v>
      </c>
      <c r="S80" s="567" cm="1">
        <f t="array" ref="S80">IFERROR(VALUE(IF($A80&lt;=T1_Vaccines_NumSuitable,INDEX(T1_Vaccines_forCombi,MATCH($A80,$AE$12:$AE$37,0),S$79),"")),IF($A80&lt;=T1_Vaccines_NumSuitable,INDEX(T1_Vaccines_forCombi,MATCH($A80,$AE$12:$AE$37,0),S$79),""))</f>
        <v>1.05</v>
      </c>
      <c r="T80" s="567" cm="1">
        <f t="array" ref="T80">IFERROR(VALUE(IF($A80&lt;=T1_Vaccines_NumSuitable,INDEX(T1_Vaccines_forCombi,MATCH($A80,$AE$12:$AE$37,0),T$79),"")),IF($A80&lt;=T1_Vaccines_NumSuitable,INDEX(T1_Vaccines_forCombi,MATCH($A80,$AE$12:$AE$37,0),T$79),""))</f>
        <v>1.05</v>
      </c>
      <c r="U80" s="567" cm="1">
        <f t="array" ref="U80">IFERROR(VALUE(IF($A80&lt;=T1_Vaccines_NumSuitable,INDEX(T1_Vaccines_forCombi,MATCH($A80,$AE$12:$AE$37,0),U$79),"")),IF($A80&lt;=T1_Vaccines_NumSuitable,INDEX(T1_Vaccines_forCombi,MATCH($A80,$AE$12:$AE$37,0),U$79),""))</f>
        <v>1.05</v>
      </c>
      <c r="V80" s="567" cm="1">
        <f t="array" ref="V80">IFERROR(VALUE(IF($A80&lt;=T1_Vaccines_NumSuitable,INDEX(T1_Vaccines_forCombi,MATCH($A80,$AE$12:$AE$37,0),V$79),"")),IF($A80&lt;=T1_Vaccines_NumSuitable,INDEX(T1_Vaccines_forCombi,MATCH($A80,$AE$12:$AE$37,0),V$79),""))</f>
        <v>0</v>
      </c>
      <c r="W80" s="567" cm="1">
        <f t="array" ref="W80">IFERROR(VALUE(IF($A80&lt;=T1_Vaccines_NumSuitable,INDEX(T1_Vaccines_forCombi,MATCH($A80,$AE$12:$AE$37,0),W$79),"")),IF($A80&lt;=T1_Vaccines_NumSuitable,INDEX(T1_Vaccines_forCombi,MATCH($A80,$AE$12:$AE$37,0),W$79),""))</f>
        <v>0</v>
      </c>
      <c r="X80" s="567" cm="1">
        <f t="array" ref="X80">IFERROR(VALUE(IF($A80&lt;=T1_Vaccines_NumSuitable,INDEX(T1_Vaccines_forCombi,MATCH($A80,$AE$12:$AE$37,0),X$79),"")),IF($A80&lt;=T1_Vaccines_NumSuitable,INDEX(T1_Vaccines_forCombi,MATCH($A80,$AE$12:$AE$37,0),X$79),""))</f>
        <v>0</v>
      </c>
      <c r="Y80" s="567" cm="1">
        <f t="array" ref="Y80">IFERROR(VALUE(IF($A80&lt;=T1_Vaccines_NumSuitable,INDEX(T1_Vaccines_forCombi,MATCH($A80,$AE$12:$AE$37,0),Y$79),"")),IF($A80&lt;=T1_Vaccines_NumSuitable,INDEX(T1_Vaccines_forCombi,MATCH($A80,$AE$12:$AE$37,0),Y$79),""))</f>
        <v>0</v>
      </c>
      <c r="Z80" s="567" cm="1">
        <f t="array" ref="Z80">IFERROR(VALUE(IF($A80&lt;=T1_Vaccines_NumSuitable,INDEX(T1_Vaccines_forCombi,MATCH($A80,$AE$12:$AE$37,0),Z$79),"")),IF($A80&lt;=T1_Vaccines_NumSuitable,INDEX(T1_Vaccines_forCombi,MATCH($A80,$AE$12:$AE$37,0),Z$79),""))</f>
        <v>0</v>
      </c>
      <c r="AA80" s="567" cm="1">
        <f t="array" ref="AA80">IFERROR(VALUE(IF($A80&lt;=T1_Vaccines_NumSuitable,INDEX(T1_Vaccines_forCombi,MATCH($A80,$AE$12:$AE$37,0),AA$79),"")),IF($A80&lt;=T1_Vaccines_NumSuitable,INDEX(T1_Vaccines_forCombi,MATCH($A80,$AE$12:$AE$37,0),AA$79),""))</f>
        <v>0.01</v>
      </c>
      <c r="AB80" s="567" cm="1">
        <f t="array" ref="AB80">IFERROR(VALUE(IF($A80&lt;=T1_Vaccines_NumSuitable,INDEX(T1_Vaccines_forCombi,MATCH($A80,$AE$12:$AE$37,0),AB$79),"")),IF($A80&lt;=T1_Vaccines_NumSuitable,INDEX(T1_Vaccines_forCombi,MATCH($A80,$AE$12:$AE$37,0),AB$79),""))</f>
        <v>1.05</v>
      </c>
      <c r="AC80" s="567" cm="1">
        <f t="array" ref="AC80">IFERROR(VALUE(IF($A80&lt;=T1_Vaccines_NumSuitable,INDEX(T1_Vaccines_forCombi,MATCH($A80,$AE$12:$AE$37,0),AC$79),"")),IF($A80&lt;=T1_Vaccines_NumSuitable,INDEX(T1_Vaccines_forCombi,MATCH($A80,$AE$12:$AE$37,0),AC$79),""))</f>
        <v>1</v>
      </c>
      <c r="AD80" s="567" cm="1">
        <f t="array" ref="AD80">IFERROR(VALUE(IF($A80&lt;=T1_Vaccines_NumSuitable,INDEX(T1_Vaccines_forCombi,MATCH($A80,$AE$12:$AE$37,0),AD$79),"")),IF($A80&lt;=T1_Vaccines_NumSuitable,INDEX(T1_Vaccines_forCombi,MATCH($A80,$AE$12:$AE$37,0),AD$79),""))</f>
        <v>0.05</v>
      </c>
      <c r="AE80" s="656">
        <f>E44</f>
        <v>100</v>
      </c>
      <c r="AF80" s="656">
        <f t="shared" ref="AF80:AG107" si="151">F44</f>
        <v>0</v>
      </c>
      <c r="AG80" s="656">
        <f t="shared" si="151"/>
        <v>0</v>
      </c>
      <c r="AH80" s="657">
        <f>J44</f>
        <v>0</v>
      </c>
      <c r="AI80" s="567">
        <f t="shared" ref="AI80:AL107" si="152">AE80/AE$108</f>
        <v>1</v>
      </c>
      <c r="AJ80" s="567">
        <f t="shared" si="152"/>
        <v>0</v>
      </c>
      <c r="AK80" s="567">
        <f t="shared" si="152"/>
        <v>0</v>
      </c>
      <c r="AL80" s="567">
        <f t="shared" si="152"/>
        <v>0</v>
      </c>
      <c r="AM80" s="564"/>
      <c r="AN80" s="564"/>
      <c r="AO80" s="564"/>
      <c r="AP80" s="564"/>
      <c r="AQ80" s="564"/>
      <c r="AR80" s="564"/>
      <c r="AS80" s="564"/>
      <c r="AT80" s="564"/>
      <c r="AU80" s="564"/>
      <c r="AV80" s="564"/>
      <c r="AW80" s="564"/>
      <c r="AX80" s="564"/>
      <c r="AY80" s="564"/>
      <c r="AZ80" s="564"/>
      <c r="BA80" s="564"/>
      <c r="BB80" s="564"/>
      <c r="BC80" s="564"/>
      <c r="BD80" s="564"/>
      <c r="BE80" s="564"/>
      <c r="BF80" s="564"/>
      <c r="BG80" s="564"/>
      <c r="BH80" s="564"/>
      <c r="BI80" s="564"/>
      <c r="BJ80" s="564"/>
      <c r="BK80" s="564"/>
      <c r="BL80" s="564"/>
      <c r="BM80" s="564"/>
      <c r="BN80" s="564"/>
      <c r="BO80" s="564"/>
      <c r="BP80" s="564"/>
      <c r="BQ80" s="564"/>
      <c r="BR80" s="564"/>
      <c r="BS80" s="564"/>
      <c r="BT80" s="564"/>
      <c r="BU80" s="564"/>
      <c r="BV80" s="564"/>
      <c r="BW80" s="564"/>
      <c r="BX80" s="564"/>
      <c r="BY80" s="564"/>
      <c r="BZ80" s="564"/>
      <c r="CA80" s="564"/>
      <c r="CB80" s="564"/>
      <c r="CC80" s="564"/>
      <c r="CD80" s="564"/>
      <c r="CE80" s="564"/>
      <c r="CF80" s="564"/>
      <c r="CG80" s="564"/>
      <c r="CH80" s="564"/>
      <c r="CI80" s="564"/>
      <c r="CJ80" s="564"/>
      <c r="CK80" s="564"/>
      <c r="CL80" s="564"/>
      <c r="CM80" s="564"/>
      <c r="CN80" s="564"/>
      <c r="CO80" s="564"/>
      <c r="CP80" s="564"/>
      <c r="CQ80" s="564"/>
      <c r="CR80" s="564"/>
      <c r="CS80" s="564"/>
      <c r="CT80" s="564"/>
      <c r="CU80" s="564"/>
      <c r="CV80" s="564"/>
      <c r="CW80" s="564"/>
      <c r="CX80" s="564"/>
      <c r="CY80" s="564"/>
      <c r="CZ80" s="564"/>
      <c r="DA80" s="564"/>
      <c r="DB80" s="564"/>
      <c r="DC80" s="564"/>
      <c r="DD80" s="564"/>
      <c r="DE80" s="564"/>
      <c r="DF80" s="564"/>
      <c r="DG80" s="564"/>
      <c r="DH80" s="564"/>
      <c r="DI80" s="564"/>
      <c r="DJ80" s="564"/>
      <c r="DK80" s="564"/>
      <c r="DL80" s="564"/>
      <c r="DM80" s="564"/>
      <c r="DN80" s="564"/>
      <c r="DO80" s="564"/>
      <c r="DP80" s="564"/>
      <c r="DQ80" s="564"/>
      <c r="DR80" s="564"/>
      <c r="DS80" s="564"/>
      <c r="DT80" s="564"/>
      <c r="DU80" s="564"/>
      <c r="DV80" s="564"/>
      <c r="DW80" s="564"/>
      <c r="DX80" s="564"/>
      <c r="DY80" s="564"/>
      <c r="DZ80" s="564"/>
      <c r="EA80" s="564"/>
      <c r="EB80" s="564"/>
      <c r="EC80" s="564"/>
      <c r="ED80" s="564"/>
      <c r="EE80" s="564"/>
      <c r="EF80" s="564"/>
      <c r="EG80" s="564"/>
      <c r="EH80" s="564"/>
      <c r="EI80" s="564"/>
      <c r="EJ80" s="564"/>
      <c r="EK80" s="564"/>
      <c r="EL80" s="564"/>
      <c r="EM80" s="564"/>
      <c r="EN80" s="564"/>
      <c r="EO80" s="564"/>
      <c r="EP80" s="564"/>
      <c r="EQ80" s="564"/>
      <c r="ER80" s="564"/>
      <c r="ES80" s="564"/>
      <c r="ET80" s="564"/>
      <c r="EU80" s="564"/>
      <c r="EV80" s="564"/>
      <c r="EW80" s="564"/>
      <c r="EX80" s="564"/>
      <c r="EY80" s="564"/>
      <c r="EZ80" s="564"/>
      <c r="FA80" s="564"/>
      <c r="FB80" s="564"/>
      <c r="FC80" s="564"/>
      <c r="FD80" s="564"/>
      <c r="FE80" s="564"/>
      <c r="FF80" s="564"/>
      <c r="FG80" s="564"/>
      <c r="FH80" s="564"/>
      <c r="FI80" s="564"/>
      <c r="FJ80" s="564"/>
      <c r="FK80" s="564"/>
      <c r="FL80" s="564"/>
      <c r="FM80" s="564"/>
      <c r="FN80" s="564"/>
      <c r="FO80" s="564"/>
      <c r="FP80" s="564"/>
      <c r="FQ80" s="564"/>
      <c r="FR80" s="564"/>
      <c r="FS80" s="564"/>
      <c r="FT80" s="564"/>
      <c r="FU80" s="564"/>
      <c r="FV80" s="564"/>
      <c r="FW80" s="564"/>
      <c r="FX80" s="564"/>
      <c r="FY80" s="564"/>
      <c r="FZ80" s="564"/>
      <c r="GA80" s="564"/>
      <c r="GB80" s="564"/>
      <c r="GC80" s="564"/>
      <c r="GD80" s="564"/>
      <c r="GE80" s="564"/>
      <c r="GF80" s="564"/>
      <c r="GG80" s="564"/>
      <c r="GH80" s="564"/>
      <c r="GI80" s="564"/>
      <c r="GJ80" s="564"/>
      <c r="GK80" s="564"/>
      <c r="GL80" s="564"/>
      <c r="GM80" s="564"/>
      <c r="GN80" s="564"/>
      <c r="GO80" s="564"/>
      <c r="GP80" s="564"/>
      <c r="GQ80" s="564"/>
      <c r="GR80" s="564"/>
      <c r="GS80" s="564"/>
      <c r="GT80" s="564"/>
      <c r="GU80" s="564"/>
      <c r="GV80" s="564"/>
      <c r="GW80" s="564"/>
      <c r="GX80" s="564"/>
      <c r="GY80" s="564"/>
      <c r="GZ80" s="564"/>
      <c r="HA80" s="564"/>
      <c r="HB80" s="564"/>
      <c r="HC80" s="564"/>
      <c r="HD80" s="564"/>
      <c r="HE80" s="564"/>
      <c r="HF80" s="564"/>
      <c r="HG80" s="564"/>
      <c r="HH80" s="564"/>
      <c r="HI80" s="564"/>
      <c r="HJ80" s="564"/>
      <c r="HK80" s="564"/>
      <c r="HL80" s="564"/>
      <c r="HM80" s="564"/>
      <c r="HN80" s="564"/>
      <c r="HO80" s="564"/>
      <c r="HP80" s="564"/>
      <c r="HQ80" s="564"/>
      <c r="HR80" s="564"/>
      <c r="HS80" s="564"/>
      <c r="HT80" s="564"/>
      <c r="HU80" s="564"/>
      <c r="HV80" s="564"/>
      <c r="HW80" s="564"/>
      <c r="HX80" s="564"/>
      <c r="HY80" s="564"/>
      <c r="HZ80" s="564"/>
      <c r="IA80" s="564"/>
      <c r="IB80" s="564"/>
      <c r="IC80" s="564"/>
      <c r="ID80" s="564"/>
      <c r="IE80" s="564"/>
      <c r="IF80" s="564"/>
      <c r="IG80" s="564"/>
      <c r="IH80" s="564"/>
      <c r="II80" s="564"/>
      <c r="IJ80" s="564"/>
      <c r="IK80" s="564"/>
      <c r="IL80" s="564"/>
      <c r="IM80" s="564"/>
      <c r="IN80" s="564"/>
      <c r="IO80" s="564"/>
      <c r="IP80" s="564"/>
      <c r="IQ80" s="564"/>
      <c r="IR80" s="564"/>
      <c r="IS80" s="564"/>
      <c r="IT80" s="564"/>
      <c r="IU80" s="564"/>
      <c r="IV80" s="564"/>
      <c r="IW80" s="564"/>
      <c r="IX80" s="564"/>
      <c r="IY80" s="564"/>
      <c r="IZ80" s="564"/>
      <c r="JA80" s="564"/>
      <c r="JB80" s="564"/>
      <c r="JC80" s="564"/>
      <c r="JD80" s="564"/>
      <c r="JE80" s="564"/>
      <c r="JF80" s="564"/>
      <c r="JG80" s="564"/>
      <c r="JH80" s="564"/>
      <c r="JI80" s="564"/>
      <c r="JJ80" s="564"/>
      <c r="JK80" s="564"/>
      <c r="JL80" s="564"/>
      <c r="JM80" s="564"/>
      <c r="JN80" s="564"/>
      <c r="JO80" s="564"/>
      <c r="JP80" s="564"/>
      <c r="JQ80" s="564"/>
      <c r="JR80" s="564"/>
      <c r="JS80" s="564"/>
      <c r="JT80" s="564"/>
      <c r="JU80" s="564"/>
      <c r="JV80" s="564"/>
      <c r="JW80" s="564"/>
      <c r="JX80" s="564"/>
      <c r="JY80" s="564"/>
    </row>
    <row r="81" spans="1:285" s="567" customFormat="1" hidden="1" x14ac:dyDescent="0.2">
      <c r="A81" s="2">
        <v>2</v>
      </c>
      <c r="C81" s="567" t="str" cm="1">
        <f t="array" ref="C81">IFERROR(VALUE(IF($A81&lt;=T1_Vaccines_NumSuitable,INDEX(T1_Vaccines_forCombi,MATCH($A81,$AE$12:$AE$37,0),C$79),"")),IF($A81&lt;=T1_Vaccines_NumSuitable,INDEX(T1_Vaccines_forCombi,MATCH($A81,$AE$12:$AE$37,0),C$79),""))</f>
        <v>ChAdOx1-S (Covishield)</v>
      </c>
      <c r="D81" s="567" t="str" cm="1">
        <f t="array" ref="D81">IFERROR(VALUE(IF($A81&lt;=T1_Vaccines_NumSuitable,INDEX(T1_Vaccines_forCombi,MATCH($A81,$AE$12:$AE$37,0),D$79),"")),IF($A81&lt;=T1_Vaccines_NumSuitable,INDEX(T1_Vaccines_forCombi,MATCH($A81,$AE$12:$AE$37,0),D$79),""))</f>
        <v>Serum Institute of India</v>
      </c>
      <c r="E81" s="567" cm="1">
        <f t="array" ref="E81">IFERROR(VALUE(IF($A81&lt;=T1_Vaccines_NumSuitable,INDEX(T1_Vaccines_forCombi,MATCH($A81,$AE$12:$AE$37,0),E$79),"")),IF($A81&lt;=T1_Vaccines_NumSuitable,INDEX(T1_Vaccines_forCombi,MATCH($A81,$AE$12:$AE$37,0),E$79),""))</f>
        <v>7</v>
      </c>
      <c r="F81" s="567" cm="1">
        <f t="array" ref="F81">IFERROR(VALUE(IF($A81&lt;=T1_Vaccines_NumSuitable,INDEX(T1_Vaccines_forCombi,MATCH($A81,$AE$12:$AE$37,0),F$79),"")),IF($A81&lt;=T1_Vaccines_NumSuitable,INDEX(T1_Vaccines_forCombi,MATCH($A81,$AE$12:$AE$37,0),F$79),""))</f>
        <v>2</v>
      </c>
      <c r="G81" s="567" cm="1">
        <f t="array" ref="G81">IFERROR(VALUE(IF($A81&lt;=T1_Vaccines_NumSuitable,INDEX(T1_Vaccines_forCombi,MATCH($A81,$AE$12:$AE$37,0),G$79),"")),IF($A81&lt;=T1_Vaccines_NumSuitable,INDEX(T1_Vaccines_forCombi,MATCH($A81,$AE$12:$AE$37,0),G$79),""))</f>
        <v>10</v>
      </c>
      <c r="H81" s="567" cm="1">
        <f t="array" ref="H81">IFERROR(VALUE(IF($A81&lt;=T1_Vaccines_NumSuitable,INDEX(T1_Vaccines_forCombi,MATCH($A81,$AE$12:$AE$37,0),H$79),"")),IF($A81&lt;=T1_Vaccines_NumSuitable,INDEX(T1_Vaccines_forCombi,MATCH($A81,$AE$12:$AE$37,0),H$79),""))</f>
        <v>8</v>
      </c>
      <c r="I81" s="567" t="str" cm="1">
        <f t="array" ref="I81">IFERROR(VALUE(IF($A81&lt;=T1_Vaccines_NumSuitable,INDEX(T1_Vaccines_forCombi,MATCH($A81,$AE$12:$AE$37,0),I$79),"")),IF($A81&lt;=T1_Vaccines_NumSuitable,INDEX(T1_Vaccines_forCombi,MATCH($A81,$AE$12:$AE$37,0),I$79),""))</f>
        <v/>
      </c>
      <c r="J81" s="567" t="str" cm="1">
        <f t="array" ref="J81">IFERROR(VALUE(IF($A81&lt;=T1_Vaccines_NumSuitable,INDEX(T1_Vaccines_forCombi,MATCH($A81,$AE$12:$AE$37,0),J$79),"")),IF($A81&lt;=T1_Vaccines_NumSuitable,INDEX(T1_Vaccines_forCombi,MATCH($A81,$AE$12:$AE$37,0),J$79),""))</f>
        <v>IM (intramuscular)</v>
      </c>
      <c r="K81" s="567" t="str" cm="1">
        <f t="array" ref="K81">IFERROR(VALUE(IF($A81&lt;=T1_Vaccines_NumSuitable,INDEX(T1_Vaccines_forCombi,MATCH($A81,$AE$12:$AE$37,0),K$79),"")),IF($A81&lt;=T1_Vaccines_NumSuitable,INDEX(T1_Vaccines_forCombi,MATCH($A81,$AE$12:$AE$37,0),K$79),""))</f>
        <v>Refrigerated (2 to 8C)</v>
      </c>
      <c r="L81" s="567" cm="1">
        <f t="array" ref="L81">IFERROR(VALUE(IF($A81&lt;=T1_Vaccines_NumSuitable,INDEX(T1_Vaccines_forCombi,MATCH($A81,$AE$12:$AE$37,0),L$79),"")),IF($A81&lt;=T1_Vaccines_NumSuitable,INDEX(T1_Vaccines_forCombi,MATCH($A81,$AE$12:$AE$37,0),L$79),""))</f>
        <v>2.109</v>
      </c>
      <c r="M81" s="567" cm="1">
        <f t="array" ref="M81">IFERROR(VALUE(IF($A81&lt;=T1_Vaccines_NumSuitable,INDEX(T1_Vaccines_forCombi,MATCH($A81,$AE$12:$AE$37,0),M$79),"")),IF($A81&lt;=T1_Vaccines_NumSuitable,INDEX(T1_Vaccines_forCombi,MATCH($A81,$AE$12:$AE$37,0),M$79),""))</f>
        <v>2</v>
      </c>
      <c r="N81" s="567" t="str" cm="1">
        <f t="array" ref="N81">IFERROR(VALUE(IF($A81&lt;=T1_Vaccines_NumSuitable,INDEX(T1_Vaccines_forCombi,MATCH($A81,$AE$12:$AE$37,0),N$79),"")),IF($A81&lt;=T1_Vaccines_NumSuitable,INDEX(T1_Vaccines_forCombi,MATCH($A81,$AE$12:$AE$37,0),N$79),""))</f>
        <v/>
      </c>
      <c r="O81" s="567" t="str" cm="1">
        <f t="array" ref="O81">IFERROR(VALUE(IF($A81&lt;=T1_Vaccines_NumSuitable,INDEX(T1_Vaccines_forCombi,MATCH($A81,$AE$12:$AE$37,0),O$79),"")),IF($A81&lt;=T1_Vaccines_NumSuitable,INDEX(T1_Vaccines_forCombi,MATCH($A81,$AE$12:$AE$37,0),O$79),""))</f>
        <v/>
      </c>
      <c r="P81" s="567" cm="1">
        <f t="array" ref="P81">IFERROR(VALUE(IF($A81&lt;=T1_Vaccines_NumSuitable,INDEX(T1_Vaccines_forCombi,MATCH($A81,$AE$12:$AE$37,0),P$79),"")),IF($A81&lt;=T1_Vaccines_NumSuitable,INDEX(T1_Vaccines_forCombi,MATCH($A81,$AE$12:$AE$37,0),P$79),""))</f>
        <v>10</v>
      </c>
      <c r="Q81" s="567" cm="1">
        <f t="array" ref="Q81">IFERROR(VALUE(IF($A81&lt;=T1_Vaccines_NumSuitable,INDEX(T1_Vaccines_forCombi,MATCH($A81,$AE$12:$AE$37,0),Q$79),"")),IF($A81&lt;=T1_Vaccines_NumSuitable,INDEX(T1_Vaccines_forCombi,MATCH($A81,$AE$12:$AE$37,0),Q$79),""))</f>
        <v>0</v>
      </c>
      <c r="R81" s="567" cm="1">
        <f t="array" ref="R81">IFERROR(VALUE(IF($A81&lt;=T1_Vaccines_NumSuitable,INDEX(T1_Vaccines_forCombi,MATCH($A81,$AE$12:$AE$37,0),R$79),"")),IF($A81&lt;=T1_Vaccines_NumSuitable,INDEX(T1_Vaccines_forCombi,MATCH($A81,$AE$12:$AE$37,0),R$79),""))</f>
        <v>0</v>
      </c>
      <c r="S81" s="567" cm="1">
        <f t="array" ref="S81">IFERROR(VALUE(IF($A81&lt;=T1_Vaccines_NumSuitable,INDEX(T1_Vaccines_forCombi,MATCH($A81,$AE$12:$AE$37,0),S$79),"")),IF($A81&lt;=T1_Vaccines_NumSuitable,INDEX(T1_Vaccines_forCombi,MATCH($A81,$AE$12:$AE$37,0),S$79),""))</f>
        <v>1.05</v>
      </c>
      <c r="T81" s="567" cm="1">
        <f t="array" ref="T81">IFERROR(VALUE(IF($A81&lt;=T1_Vaccines_NumSuitable,INDEX(T1_Vaccines_forCombi,MATCH($A81,$AE$12:$AE$37,0),T$79),"")),IF($A81&lt;=T1_Vaccines_NumSuitable,INDEX(T1_Vaccines_forCombi,MATCH($A81,$AE$12:$AE$37,0),T$79),""))</f>
        <v>1.05</v>
      </c>
      <c r="U81" s="567" cm="1">
        <f t="array" ref="U81">IFERROR(VALUE(IF($A81&lt;=T1_Vaccines_NumSuitable,INDEX(T1_Vaccines_forCombi,MATCH($A81,$AE$12:$AE$37,0),U$79),"")),IF($A81&lt;=T1_Vaccines_NumSuitable,INDEX(T1_Vaccines_forCombi,MATCH($A81,$AE$12:$AE$37,0),U$79),""))</f>
        <v>1.05</v>
      </c>
      <c r="V81" s="567" cm="1">
        <f t="array" ref="V81">IFERROR(VALUE(IF($A81&lt;=T1_Vaccines_NumSuitable,INDEX(T1_Vaccines_forCombi,MATCH($A81,$AE$12:$AE$37,0),V$79),"")),IF($A81&lt;=T1_Vaccines_NumSuitable,INDEX(T1_Vaccines_forCombi,MATCH($A81,$AE$12:$AE$37,0),V$79),""))</f>
        <v>0</v>
      </c>
      <c r="W81" s="567" cm="1">
        <f t="array" ref="W81">IFERROR(VALUE(IF($A81&lt;=T1_Vaccines_NumSuitable,INDEX(T1_Vaccines_forCombi,MATCH($A81,$AE$12:$AE$37,0),W$79),"")),IF($A81&lt;=T1_Vaccines_NumSuitable,INDEX(T1_Vaccines_forCombi,MATCH($A81,$AE$12:$AE$37,0),W$79),""))</f>
        <v>0</v>
      </c>
      <c r="X81" s="567" cm="1">
        <f t="array" ref="X81">IFERROR(VALUE(IF($A81&lt;=T1_Vaccines_NumSuitable,INDEX(T1_Vaccines_forCombi,MATCH($A81,$AE$12:$AE$37,0),X$79),"")),IF($A81&lt;=T1_Vaccines_NumSuitable,INDEX(T1_Vaccines_forCombi,MATCH($A81,$AE$12:$AE$37,0),X$79),""))</f>
        <v>0</v>
      </c>
      <c r="Y81" s="567" cm="1">
        <f t="array" ref="Y81">IFERROR(VALUE(IF($A81&lt;=T1_Vaccines_NumSuitable,INDEX(T1_Vaccines_forCombi,MATCH($A81,$AE$12:$AE$37,0),Y$79),"")),IF($A81&lt;=T1_Vaccines_NumSuitable,INDEX(T1_Vaccines_forCombi,MATCH($A81,$AE$12:$AE$37,0),Y$79),""))</f>
        <v>0</v>
      </c>
      <c r="Z81" s="567" cm="1">
        <f t="array" ref="Z81">IFERROR(VALUE(IF($A81&lt;=T1_Vaccines_NumSuitable,INDEX(T1_Vaccines_forCombi,MATCH($A81,$AE$12:$AE$37,0),Z$79),"")),IF($A81&lt;=T1_Vaccines_NumSuitable,INDEX(T1_Vaccines_forCombi,MATCH($A81,$AE$12:$AE$37,0),Z$79),""))</f>
        <v>0</v>
      </c>
      <c r="AA81" s="567" cm="1">
        <f t="array" ref="AA81">IFERROR(VALUE(IF($A81&lt;=T1_Vaccines_NumSuitable,INDEX(T1_Vaccines_forCombi,MATCH($A81,$AE$12:$AE$37,0),AA$79),"")),IF($A81&lt;=T1_Vaccines_NumSuitable,INDEX(T1_Vaccines_forCombi,MATCH($A81,$AE$12:$AE$37,0),AA$79),""))</f>
        <v>0.01</v>
      </c>
      <c r="AB81" s="567" cm="1">
        <f t="array" ref="AB81">IFERROR(VALUE(IF($A81&lt;=T1_Vaccines_NumSuitable,INDEX(T1_Vaccines_forCombi,MATCH($A81,$AE$12:$AE$37,0),AB$79),"")),IF($A81&lt;=T1_Vaccines_NumSuitable,INDEX(T1_Vaccines_forCombi,MATCH($A81,$AE$12:$AE$37,0),AB$79),""))</f>
        <v>1.05</v>
      </c>
      <c r="AC81" s="567" cm="1">
        <f t="array" ref="AC81">IFERROR(VALUE(IF($A81&lt;=T1_Vaccines_NumSuitable,INDEX(T1_Vaccines_forCombi,MATCH($A81,$AE$12:$AE$37,0),AC$79),"")),IF($A81&lt;=T1_Vaccines_NumSuitable,INDEX(T1_Vaccines_forCombi,MATCH($A81,$AE$12:$AE$37,0),AC$79),""))</f>
        <v>1</v>
      </c>
      <c r="AD81" s="567" cm="1">
        <f t="array" ref="AD81">IFERROR(VALUE(IF($A81&lt;=T1_Vaccines_NumSuitable,INDEX(T1_Vaccines_forCombi,MATCH($A81,$AE$12:$AE$37,0),AD$79),"")),IF($A81&lt;=T1_Vaccines_NumSuitable,INDEX(T1_Vaccines_forCombi,MATCH($A81,$AE$12:$AE$37,0),AD$79),""))</f>
        <v>0.05</v>
      </c>
      <c r="AE81" s="656">
        <f t="shared" ref="AE81:AE107" si="153">E45</f>
        <v>0</v>
      </c>
      <c r="AF81" s="656">
        <f t="shared" si="151"/>
        <v>100</v>
      </c>
      <c r="AG81" s="656">
        <f t="shared" si="151"/>
        <v>0</v>
      </c>
      <c r="AH81" s="657">
        <f t="shared" ref="AH81:AH107" si="154">J45</f>
        <v>0</v>
      </c>
      <c r="AI81" s="567">
        <f t="shared" si="152"/>
        <v>0</v>
      </c>
      <c r="AJ81" s="567">
        <f t="shared" si="152"/>
        <v>1</v>
      </c>
      <c r="AK81" s="567">
        <f t="shared" si="152"/>
        <v>0</v>
      </c>
      <c r="AL81" s="567">
        <f t="shared" si="152"/>
        <v>0</v>
      </c>
      <c r="AM81" s="564"/>
      <c r="AN81" s="564"/>
      <c r="AO81" s="564"/>
      <c r="AP81" s="564"/>
      <c r="AQ81" s="564"/>
      <c r="AR81" s="564"/>
      <c r="AS81" s="564"/>
      <c r="AT81" s="564"/>
      <c r="AU81" s="564"/>
      <c r="AV81" s="564"/>
      <c r="AW81" s="564"/>
      <c r="AX81" s="564"/>
      <c r="AY81" s="564"/>
      <c r="AZ81" s="564"/>
      <c r="BA81" s="564"/>
      <c r="BB81" s="564"/>
      <c r="BC81" s="564"/>
      <c r="BD81" s="564"/>
      <c r="BE81" s="564"/>
      <c r="BF81" s="564"/>
      <c r="BG81" s="564"/>
      <c r="BH81" s="564"/>
      <c r="BI81" s="564"/>
      <c r="BJ81" s="564"/>
      <c r="BK81" s="564"/>
      <c r="BL81" s="564"/>
      <c r="BM81" s="564"/>
      <c r="BN81" s="564"/>
      <c r="BO81" s="564"/>
      <c r="BP81" s="564"/>
      <c r="BQ81" s="564"/>
      <c r="BR81" s="564"/>
      <c r="BS81" s="564"/>
      <c r="BT81" s="564"/>
      <c r="BU81" s="564"/>
      <c r="BV81" s="564"/>
      <c r="BW81" s="564"/>
      <c r="BX81" s="564"/>
      <c r="BY81" s="564"/>
      <c r="BZ81" s="564"/>
      <c r="CA81" s="564"/>
      <c r="CB81" s="564"/>
      <c r="CC81" s="564"/>
      <c r="CD81" s="564"/>
      <c r="CE81" s="564"/>
      <c r="CF81" s="564"/>
      <c r="CG81" s="564"/>
      <c r="CH81" s="564"/>
      <c r="CI81" s="564"/>
      <c r="CJ81" s="564"/>
      <c r="CK81" s="564"/>
      <c r="CL81" s="564"/>
      <c r="CM81" s="564"/>
      <c r="CN81" s="564"/>
      <c r="CO81" s="564"/>
      <c r="CP81" s="564"/>
      <c r="CQ81" s="564"/>
      <c r="CR81" s="564"/>
      <c r="CS81" s="564"/>
      <c r="CT81" s="564"/>
      <c r="CU81" s="564"/>
      <c r="CV81" s="564"/>
      <c r="CW81" s="564"/>
      <c r="CX81" s="564"/>
      <c r="CY81" s="564"/>
      <c r="CZ81" s="564"/>
      <c r="DA81" s="564"/>
      <c r="DB81" s="564"/>
      <c r="DC81" s="564"/>
      <c r="DD81" s="564"/>
      <c r="DE81" s="564"/>
      <c r="DF81" s="564"/>
      <c r="DG81" s="564"/>
      <c r="DH81" s="564"/>
      <c r="DI81" s="564"/>
      <c r="DJ81" s="564"/>
      <c r="DK81" s="564"/>
      <c r="DL81" s="564"/>
      <c r="DM81" s="564"/>
      <c r="DN81" s="564"/>
      <c r="DO81" s="564"/>
      <c r="DP81" s="564"/>
      <c r="DQ81" s="564"/>
      <c r="DR81" s="564"/>
      <c r="DS81" s="564"/>
      <c r="DT81" s="564"/>
      <c r="DU81" s="564"/>
      <c r="DV81" s="564"/>
      <c r="DW81" s="564"/>
      <c r="DX81" s="564"/>
      <c r="DY81" s="564"/>
      <c r="DZ81" s="564"/>
      <c r="EA81" s="564"/>
      <c r="EB81" s="564"/>
      <c r="EC81" s="564"/>
      <c r="ED81" s="564"/>
      <c r="EE81" s="564"/>
      <c r="EF81" s="564"/>
      <c r="EG81" s="564"/>
      <c r="EH81" s="564"/>
      <c r="EI81" s="564"/>
      <c r="EJ81" s="564"/>
      <c r="EK81" s="564"/>
      <c r="EL81" s="564"/>
      <c r="EM81" s="564"/>
      <c r="EN81" s="564"/>
      <c r="EO81" s="564"/>
      <c r="EP81" s="564"/>
      <c r="EQ81" s="564"/>
      <c r="ER81" s="564"/>
      <c r="ES81" s="564"/>
      <c r="ET81" s="564"/>
      <c r="EU81" s="564"/>
      <c r="EV81" s="564"/>
      <c r="EW81" s="564"/>
      <c r="EX81" s="564"/>
      <c r="EY81" s="564"/>
      <c r="EZ81" s="564"/>
      <c r="FA81" s="564"/>
      <c r="FB81" s="564"/>
      <c r="FC81" s="564"/>
      <c r="FD81" s="564"/>
      <c r="FE81" s="564"/>
      <c r="FF81" s="564"/>
      <c r="FG81" s="564"/>
      <c r="FH81" s="564"/>
      <c r="FI81" s="564"/>
      <c r="FJ81" s="564"/>
      <c r="FK81" s="564"/>
      <c r="FL81" s="564"/>
      <c r="FM81" s="564"/>
      <c r="FN81" s="564"/>
      <c r="FO81" s="564"/>
      <c r="FP81" s="564"/>
      <c r="FQ81" s="564"/>
      <c r="FR81" s="564"/>
      <c r="FS81" s="564"/>
      <c r="FT81" s="564"/>
      <c r="FU81" s="564"/>
      <c r="FV81" s="564"/>
      <c r="FW81" s="564"/>
      <c r="FX81" s="564"/>
      <c r="FY81" s="564"/>
      <c r="FZ81" s="564"/>
      <c r="GA81" s="564"/>
      <c r="GB81" s="564"/>
      <c r="GC81" s="564"/>
      <c r="GD81" s="564"/>
      <c r="GE81" s="564"/>
      <c r="GF81" s="564"/>
      <c r="GG81" s="564"/>
      <c r="GH81" s="564"/>
      <c r="GI81" s="564"/>
      <c r="GJ81" s="564"/>
      <c r="GK81" s="564"/>
      <c r="GL81" s="564"/>
      <c r="GM81" s="564"/>
      <c r="GN81" s="564"/>
      <c r="GO81" s="564"/>
      <c r="GP81" s="564"/>
      <c r="GQ81" s="564"/>
      <c r="GR81" s="564"/>
      <c r="GS81" s="564"/>
      <c r="GT81" s="564"/>
      <c r="GU81" s="564"/>
      <c r="GV81" s="564"/>
      <c r="GW81" s="564"/>
      <c r="GX81" s="564"/>
      <c r="GY81" s="564"/>
      <c r="GZ81" s="564"/>
      <c r="HA81" s="564"/>
      <c r="HB81" s="564"/>
      <c r="HC81" s="564"/>
      <c r="HD81" s="564"/>
      <c r="HE81" s="564"/>
      <c r="HF81" s="564"/>
      <c r="HG81" s="564"/>
      <c r="HH81" s="564"/>
      <c r="HI81" s="564"/>
      <c r="HJ81" s="564"/>
      <c r="HK81" s="564"/>
      <c r="HL81" s="564"/>
      <c r="HM81" s="564"/>
      <c r="HN81" s="564"/>
      <c r="HO81" s="564"/>
      <c r="HP81" s="564"/>
      <c r="HQ81" s="564"/>
      <c r="HR81" s="564"/>
      <c r="HS81" s="564"/>
      <c r="HT81" s="564"/>
      <c r="HU81" s="564"/>
      <c r="HV81" s="564"/>
      <c r="HW81" s="564"/>
      <c r="HX81" s="564"/>
      <c r="HY81" s="564"/>
      <c r="HZ81" s="564"/>
      <c r="IA81" s="564"/>
      <c r="IB81" s="564"/>
      <c r="IC81" s="564"/>
      <c r="ID81" s="564"/>
      <c r="IE81" s="564"/>
      <c r="IF81" s="564"/>
      <c r="IG81" s="564"/>
      <c r="IH81" s="564"/>
      <c r="II81" s="564"/>
      <c r="IJ81" s="564"/>
      <c r="IK81" s="564"/>
      <c r="IL81" s="564"/>
      <c r="IM81" s="564"/>
      <c r="IN81" s="564"/>
      <c r="IO81" s="564"/>
      <c r="IP81" s="564"/>
      <c r="IQ81" s="564"/>
      <c r="IR81" s="564"/>
      <c r="IS81" s="564"/>
      <c r="IT81" s="564"/>
      <c r="IU81" s="564"/>
      <c r="IV81" s="564"/>
      <c r="IW81" s="564"/>
      <c r="IX81" s="564"/>
      <c r="IY81" s="564"/>
      <c r="IZ81" s="564"/>
      <c r="JA81" s="564"/>
      <c r="JB81" s="564"/>
      <c r="JC81" s="564"/>
      <c r="JD81" s="564"/>
      <c r="JE81" s="564"/>
      <c r="JF81" s="564"/>
      <c r="JG81" s="564"/>
      <c r="JH81" s="564"/>
      <c r="JI81" s="564"/>
      <c r="JJ81" s="564"/>
      <c r="JK81" s="564"/>
      <c r="JL81" s="564"/>
      <c r="JM81" s="564"/>
      <c r="JN81" s="564"/>
      <c r="JO81" s="564"/>
      <c r="JP81" s="564"/>
      <c r="JQ81" s="564"/>
      <c r="JR81" s="564"/>
      <c r="JS81" s="564"/>
      <c r="JT81" s="564"/>
      <c r="JU81" s="564"/>
      <c r="JV81" s="564"/>
      <c r="JW81" s="564"/>
      <c r="JX81" s="564"/>
      <c r="JY81" s="564"/>
    </row>
    <row r="82" spans="1:285" s="567" customFormat="1" hidden="1" x14ac:dyDescent="0.2">
      <c r="A82" s="2">
        <v>3</v>
      </c>
      <c r="C82" s="567" t="str" cm="1">
        <f t="array" ref="C82">IFERROR(VALUE(IF($A82&lt;=T1_Vaccines_NumSuitable,INDEX(T1_Vaccines_forCombi,MATCH($A82,$AE$12:$AE$37,0),C$79),"")),IF($A82&lt;=T1_Vaccines_NumSuitable,INDEX(T1_Vaccines_forCombi,MATCH($A82,$AE$12:$AE$37,0),C$79),""))</f>
        <v>ChAdOx1-S (AstraZeneca AB)</v>
      </c>
      <c r="D82" s="567" t="str" cm="1">
        <f t="array" ref="D82">IFERROR(VALUE(IF($A82&lt;=T1_Vaccines_NumSuitable,INDEX(T1_Vaccines_forCombi,MATCH($A82,$AE$12:$AE$37,0),D$79),"")),IF($A82&lt;=T1_Vaccines_NumSuitable,INDEX(T1_Vaccines_forCombi,MATCH($A82,$AE$12:$AE$37,0),D$79),""))</f>
        <v>AstraZeneca AB</v>
      </c>
      <c r="E82" s="567" cm="1">
        <f t="array" ref="E82">IFERROR(VALUE(IF($A82&lt;=T1_Vaccines_NumSuitable,INDEX(T1_Vaccines_forCombi,MATCH($A82,$AE$12:$AE$37,0),E$79),"")),IF($A82&lt;=T1_Vaccines_NumSuitable,INDEX(T1_Vaccines_forCombi,MATCH($A82,$AE$12:$AE$37,0),E$79),""))</f>
        <v>7</v>
      </c>
      <c r="F82" s="567" cm="1">
        <f t="array" ref="F82">IFERROR(VALUE(IF($A82&lt;=T1_Vaccines_NumSuitable,INDEX(T1_Vaccines_forCombi,MATCH($A82,$AE$12:$AE$37,0),F$79),"")),IF($A82&lt;=T1_Vaccines_NumSuitable,INDEX(T1_Vaccines_forCombi,MATCH($A82,$AE$12:$AE$37,0),F$79),""))</f>
        <v>2</v>
      </c>
      <c r="G82" s="567" cm="1">
        <f t="array" ref="G82">IFERROR(VALUE(IF($A82&lt;=T1_Vaccines_NumSuitable,INDEX(T1_Vaccines_forCombi,MATCH($A82,$AE$12:$AE$37,0),G$79),"")),IF($A82&lt;=T1_Vaccines_NumSuitable,INDEX(T1_Vaccines_forCombi,MATCH($A82,$AE$12:$AE$37,0),G$79),""))</f>
        <v>10</v>
      </c>
      <c r="H82" s="567" cm="1">
        <f t="array" ref="H82">IFERROR(VALUE(IF($A82&lt;=T1_Vaccines_NumSuitable,INDEX(T1_Vaccines_forCombi,MATCH($A82,$AE$12:$AE$37,0),H$79),"")),IF($A82&lt;=T1_Vaccines_NumSuitable,INDEX(T1_Vaccines_forCombi,MATCH($A82,$AE$12:$AE$37,0),H$79),""))</f>
        <v>8</v>
      </c>
      <c r="I82" s="567" t="str" cm="1">
        <f t="array" ref="I82">IFERROR(VALUE(IF($A82&lt;=T1_Vaccines_NumSuitable,INDEX(T1_Vaccines_forCombi,MATCH($A82,$AE$12:$AE$37,0),I$79),"")),IF($A82&lt;=T1_Vaccines_NumSuitable,INDEX(T1_Vaccines_forCombi,MATCH($A82,$AE$12:$AE$37,0),I$79),""))</f>
        <v/>
      </c>
      <c r="J82" s="567" t="str" cm="1">
        <f t="array" ref="J82">IFERROR(VALUE(IF($A82&lt;=T1_Vaccines_NumSuitable,INDEX(T1_Vaccines_forCombi,MATCH($A82,$AE$12:$AE$37,0),J$79),"")),IF($A82&lt;=T1_Vaccines_NumSuitable,INDEX(T1_Vaccines_forCombi,MATCH($A82,$AE$12:$AE$37,0),J$79),""))</f>
        <v>IM (intramuscular)</v>
      </c>
      <c r="K82" s="567" t="str" cm="1">
        <f t="array" ref="K82">IFERROR(VALUE(IF($A82&lt;=T1_Vaccines_NumSuitable,INDEX(T1_Vaccines_forCombi,MATCH($A82,$AE$12:$AE$37,0),K$79),"")),IF($A82&lt;=T1_Vaccines_NumSuitable,INDEX(T1_Vaccines_forCombi,MATCH($A82,$AE$12:$AE$37,0),K$79),""))</f>
        <v>Refrigerated (2 to 8C)</v>
      </c>
      <c r="L82" s="567" cm="1">
        <f t="array" ref="L82">IFERROR(VALUE(IF($A82&lt;=T1_Vaccines_NumSuitable,INDEX(T1_Vaccines_forCombi,MATCH($A82,$AE$12:$AE$37,0),L$79),"")),IF($A82&lt;=T1_Vaccines_NumSuitable,INDEX(T1_Vaccines_forCombi,MATCH($A82,$AE$12:$AE$37,0),L$79),""))</f>
        <v>3.76</v>
      </c>
      <c r="M82" s="567" cm="1">
        <f t="array" ref="M82">IFERROR(VALUE(IF($A82&lt;=T1_Vaccines_NumSuitable,INDEX(T1_Vaccines_forCombi,MATCH($A82,$AE$12:$AE$37,0),M$79),"")),IF($A82&lt;=T1_Vaccines_NumSuitable,INDEX(T1_Vaccines_forCombi,MATCH($A82,$AE$12:$AE$37,0),M$79),""))</f>
        <v>2</v>
      </c>
      <c r="N82" s="567" t="str" cm="1">
        <f t="array" ref="N82">IFERROR(VALUE(IF($A82&lt;=T1_Vaccines_NumSuitable,INDEX(T1_Vaccines_forCombi,MATCH($A82,$AE$12:$AE$37,0),N$79),"")),IF($A82&lt;=T1_Vaccines_NumSuitable,INDEX(T1_Vaccines_forCombi,MATCH($A82,$AE$12:$AE$37,0),N$79),""))</f>
        <v/>
      </c>
      <c r="O82" s="567" t="str" cm="1">
        <f t="array" ref="O82">IFERROR(VALUE(IF($A82&lt;=T1_Vaccines_NumSuitable,INDEX(T1_Vaccines_forCombi,MATCH($A82,$AE$12:$AE$37,0),O$79),"")),IF($A82&lt;=T1_Vaccines_NumSuitable,INDEX(T1_Vaccines_forCombi,MATCH($A82,$AE$12:$AE$37,0),O$79),""))</f>
        <v/>
      </c>
      <c r="P82" s="567" cm="1">
        <f t="array" ref="P82">IFERROR(VALUE(IF($A82&lt;=T1_Vaccines_NumSuitable,INDEX(T1_Vaccines_forCombi,MATCH($A82,$AE$12:$AE$37,0),P$79),"")),IF($A82&lt;=T1_Vaccines_NumSuitable,INDEX(T1_Vaccines_forCombi,MATCH($A82,$AE$12:$AE$37,0),P$79),""))</f>
        <v>10</v>
      </c>
      <c r="Q82" s="567" cm="1">
        <f t="array" ref="Q82">IFERROR(VALUE(IF($A82&lt;=T1_Vaccines_NumSuitable,INDEX(T1_Vaccines_forCombi,MATCH($A82,$AE$12:$AE$37,0),Q$79),"")),IF($A82&lt;=T1_Vaccines_NumSuitable,INDEX(T1_Vaccines_forCombi,MATCH($A82,$AE$12:$AE$37,0),Q$79),""))</f>
        <v>0</v>
      </c>
      <c r="R82" s="567" cm="1">
        <f t="array" ref="R82">IFERROR(VALUE(IF($A82&lt;=T1_Vaccines_NumSuitable,INDEX(T1_Vaccines_forCombi,MATCH($A82,$AE$12:$AE$37,0),R$79),"")),IF($A82&lt;=T1_Vaccines_NumSuitable,INDEX(T1_Vaccines_forCombi,MATCH($A82,$AE$12:$AE$37,0),R$79),""))</f>
        <v>0</v>
      </c>
      <c r="S82" s="567" cm="1">
        <f t="array" ref="S82">IFERROR(VALUE(IF($A82&lt;=T1_Vaccines_NumSuitable,INDEX(T1_Vaccines_forCombi,MATCH($A82,$AE$12:$AE$37,0),S$79),"")),IF($A82&lt;=T1_Vaccines_NumSuitable,INDEX(T1_Vaccines_forCombi,MATCH($A82,$AE$12:$AE$37,0),S$79),""))</f>
        <v>1.05</v>
      </c>
      <c r="T82" s="567" cm="1">
        <f t="array" ref="T82">IFERROR(VALUE(IF($A82&lt;=T1_Vaccines_NumSuitable,INDEX(T1_Vaccines_forCombi,MATCH($A82,$AE$12:$AE$37,0),T$79),"")),IF($A82&lt;=T1_Vaccines_NumSuitable,INDEX(T1_Vaccines_forCombi,MATCH($A82,$AE$12:$AE$37,0),T$79),""))</f>
        <v>1.05</v>
      </c>
      <c r="U82" s="567" cm="1">
        <f t="array" ref="U82">IFERROR(VALUE(IF($A82&lt;=T1_Vaccines_NumSuitable,INDEX(T1_Vaccines_forCombi,MATCH($A82,$AE$12:$AE$37,0),U$79),"")),IF($A82&lt;=T1_Vaccines_NumSuitable,INDEX(T1_Vaccines_forCombi,MATCH($A82,$AE$12:$AE$37,0),U$79),""))</f>
        <v>1.05</v>
      </c>
      <c r="V82" s="567" cm="1">
        <f t="array" ref="V82">IFERROR(VALUE(IF($A82&lt;=T1_Vaccines_NumSuitable,INDEX(T1_Vaccines_forCombi,MATCH($A82,$AE$12:$AE$37,0),V$79),"")),IF($A82&lt;=T1_Vaccines_NumSuitable,INDEX(T1_Vaccines_forCombi,MATCH($A82,$AE$12:$AE$37,0),V$79),""))</f>
        <v>0</v>
      </c>
      <c r="W82" s="567" cm="1">
        <f t="array" ref="W82">IFERROR(VALUE(IF($A82&lt;=T1_Vaccines_NumSuitable,INDEX(T1_Vaccines_forCombi,MATCH($A82,$AE$12:$AE$37,0),W$79),"")),IF($A82&lt;=T1_Vaccines_NumSuitable,INDEX(T1_Vaccines_forCombi,MATCH($A82,$AE$12:$AE$37,0),W$79),""))</f>
        <v>0</v>
      </c>
      <c r="X82" s="567" cm="1">
        <f t="array" ref="X82">IFERROR(VALUE(IF($A82&lt;=T1_Vaccines_NumSuitable,INDEX(T1_Vaccines_forCombi,MATCH($A82,$AE$12:$AE$37,0),X$79),"")),IF($A82&lt;=T1_Vaccines_NumSuitable,INDEX(T1_Vaccines_forCombi,MATCH($A82,$AE$12:$AE$37,0),X$79),""))</f>
        <v>0</v>
      </c>
      <c r="Y82" s="567" cm="1">
        <f t="array" ref="Y82">IFERROR(VALUE(IF($A82&lt;=T1_Vaccines_NumSuitable,INDEX(T1_Vaccines_forCombi,MATCH($A82,$AE$12:$AE$37,0),Y$79),"")),IF($A82&lt;=T1_Vaccines_NumSuitable,INDEX(T1_Vaccines_forCombi,MATCH($A82,$AE$12:$AE$37,0),Y$79),""))</f>
        <v>0</v>
      </c>
      <c r="Z82" s="567" cm="1">
        <f t="array" ref="Z82">IFERROR(VALUE(IF($A82&lt;=T1_Vaccines_NumSuitable,INDEX(T1_Vaccines_forCombi,MATCH($A82,$AE$12:$AE$37,0),Z$79),"")),IF($A82&lt;=T1_Vaccines_NumSuitable,INDEX(T1_Vaccines_forCombi,MATCH($A82,$AE$12:$AE$37,0),Z$79),""))</f>
        <v>0</v>
      </c>
      <c r="AA82" s="567" cm="1">
        <f t="array" ref="AA82">IFERROR(VALUE(IF($A82&lt;=T1_Vaccines_NumSuitable,INDEX(T1_Vaccines_forCombi,MATCH($A82,$AE$12:$AE$37,0),AA$79),"")),IF($A82&lt;=T1_Vaccines_NumSuitable,INDEX(T1_Vaccines_forCombi,MATCH($A82,$AE$12:$AE$37,0),AA$79),""))</f>
        <v>0.01</v>
      </c>
      <c r="AB82" s="567" cm="1">
        <f t="array" ref="AB82">IFERROR(VALUE(IF($A82&lt;=T1_Vaccines_NumSuitable,INDEX(T1_Vaccines_forCombi,MATCH($A82,$AE$12:$AE$37,0),AB$79),"")),IF($A82&lt;=T1_Vaccines_NumSuitable,INDEX(T1_Vaccines_forCombi,MATCH($A82,$AE$12:$AE$37,0),AB$79),""))</f>
        <v>1.05</v>
      </c>
      <c r="AC82" s="567" cm="1">
        <f t="array" ref="AC82">IFERROR(VALUE(IF($A82&lt;=T1_Vaccines_NumSuitable,INDEX(T1_Vaccines_forCombi,MATCH($A82,$AE$12:$AE$37,0),AC$79),"")),IF($A82&lt;=T1_Vaccines_NumSuitable,INDEX(T1_Vaccines_forCombi,MATCH($A82,$AE$12:$AE$37,0),AC$79),""))</f>
        <v>1</v>
      </c>
      <c r="AD82" s="567" cm="1">
        <f t="array" ref="AD82">IFERROR(VALUE(IF($A82&lt;=T1_Vaccines_NumSuitable,INDEX(T1_Vaccines_forCombi,MATCH($A82,$AE$12:$AE$37,0),AD$79),"")),IF($A82&lt;=T1_Vaccines_NumSuitable,INDEX(T1_Vaccines_forCombi,MATCH($A82,$AE$12:$AE$37,0),AD$79),""))</f>
        <v>0.05</v>
      </c>
      <c r="AE82" s="656">
        <f t="shared" si="153"/>
        <v>0</v>
      </c>
      <c r="AF82" s="656">
        <f t="shared" si="151"/>
        <v>0</v>
      </c>
      <c r="AG82" s="656">
        <f t="shared" si="151"/>
        <v>100</v>
      </c>
      <c r="AH82" s="657">
        <f t="shared" si="154"/>
        <v>0</v>
      </c>
      <c r="AI82" s="567">
        <f t="shared" si="152"/>
        <v>0</v>
      </c>
      <c r="AJ82" s="567">
        <f t="shared" si="152"/>
        <v>0</v>
      </c>
      <c r="AK82" s="567">
        <f t="shared" si="152"/>
        <v>1</v>
      </c>
      <c r="AL82" s="567">
        <f t="shared" si="152"/>
        <v>0</v>
      </c>
      <c r="AM82" s="564"/>
      <c r="AN82" s="564"/>
      <c r="AO82" s="564"/>
      <c r="AP82" s="564"/>
      <c r="AQ82" s="564"/>
      <c r="AR82" s="564"/>
      <c r="AS82" s="564"/>
      <c r="AT82" s="564"/>
      <c r="AU82" s="564"/>
      <c r="AV82" s="564"/>
      <c r="AW82" s="564"/>
      <c r="AX82" s="564"/>
      <c r="AY82" s="564"/>
      <c r="AZ82" s="564"/>
      <c r="BA82" s="564"/>
      <c r="BB82" s="564"/>
      <c r="BC82" s="564"/>
      <c r="BD82" s="564"/>
      <c r="BE82" s="564"/>
      <c r="BF82" s="564"/>
      <c r="BG82" s="564"/>
      <c r="BH82" s="564"/>
      <c r="BI82" s="564"/>
      <c r="BJ82" s="564"/>
      <c r="BK82" s="564"/>
      <c r="BL82" s="564"/>
      <c r="BM82" s="564"/>
      <c r="BN82" s="564"/>
      <c r="BO82" s="564"/>
      <c r="BP82" s="564"/>
      <c r="BQ82" s="564"/>
      <c r="BR82" s="564"/>
      <c r="BS82" s="564"/>
      <c r="BT82" s="564"/>
      <c r="BU82" s="564"/>
      <c r="BV82" s="564"/>
      <c r="BW82" s="564"/>
      <c r="BX82" s="564"/>
      <c r="BY82" s="564"/>
      <c r="BZ82" s="564"/>
      <c r="CA82" s="564"/>
      <c r="CB82" s="564"/>
      <c r="CC82" s="564"/>
      <c r="CD82" s="564"/>
      <c r="CE82" s="564"/>
      <c r="CF82" s="564"/>
      <c r="CG82" s="564"/>
      <c r="CH82" s="564"/>
      <c r="CI82" s="564"/>
      <c r="CJ82" s="564"/>
      <c r="CK82" s="564"/>
      <c r="CL82" s="564"/>
      <c r="CM82" s="564"/>
      <c r="CN82" s="564"/>
      <c r="CO82" s="564"/>
      <c r="CP82" s="564"/>
      <c r="CQ82" s="564"/>
      <c r="CR82" s="564"/>
      <c r="CS82" s="564"/>
      <c r="CT82" s="564"/>
      <c r="CU82" s="564"/>
      <c r="CV82" s="564"/>
      <c r="CW82" s="564"/>
      <c r="CX82" s="564"/>
      <c r="CY82" s="564"/>
      <c r="CZ82" s="564"/>
      <c r="DA82" s="564"/>
      <c r="DB82" s="564"/>
      <c r="DC82" s="564"/>
      <c r="DD82" s="564"/>
      <c r="DE82" s="564"/>
      <c r="DF82" s="564"/>
      <c r="DG82" s="564"/>
      <c r="DH82" s="564"/>
      <c r="DI82" s="564"/>
      <c r="DJ82" s="564"/>
      <c r="DK82" s="564"/>
      <c r="DL82" s="564"/>
      <c r="DM82" s="564"/>
      <c r="DN82" s="564"/>
      <c r="DO82" s="564"/>
      <c r="DP82" s="564"/>
      <c r="DQ82" s="564"/>
      <c r="DR82" s="564"/>
      <c r="DS82" s="564"/>
      <c r="DT82" s="564"/>
      <c r="DU82" s="564"/>
      <c r="DV82" s="564"/>
      <c r="DW82" s="564"/>
      <c r="DX82" s="564"/>
      <c r="DY82" s="564"/>
      <c r="DZ82" s="564"/>
      <c r="EA82" s="564"/>
      <c r="EB82" s="564"/>
      <c r="EC82" s="564"/>
      <c r="ED82" s="564"/>
      <c r="EE82" s="564"/>
      <c r="EF82" s="564"/>
      <c r="EG82" s="564"/>
      <c r="EH82" s="564"/>
      <c r="EI82" s="564"/>
      <c r="EJ82" s="564"/>
      <c r="EK82" s="564"/>
      <c r="EL82" s="564"/>
      <c r="EM82" s="564"/>
      <c r="EN82" s="564"/>
      <c r="EO82" s="564"/>
      <c r="EP82" s="564"/>
      <c r="EQ82" s="564"/>
      <c r="ER82" s="564"/>
      <c r="ES82" s="564"/>
      <c r="ET82" s="564"/>
      <c r="EU82" s="564"/>
      <c r="EV82" s="564"/>
      <c r="EW82" s="564"/>
      <c r="EX82" s="564"/>
      <c r="EY82" s="564"/>
      <c r="EZ82" s="564"/>
      <c r="FA82" s="564"/>
      <c r="FB82" s="564"/>
      <c r="FC82" s="564"/>
      <c r="FD82" s="564"/>
      <c r="FE82" s="564"/>
      <c r="FF82" s="564"/>
      <c r="FG82" s="564"/>
      <c r="FH82" s="564"/>
      <c r="FI82" s="564"/>
      <c r="FJ82" s="564"/>
      <c r="FK82" s="564"/>
      <c r="FL82" s="564"/>
      <c r="FM82" s="564"/>
      <c r="FN82" s="564"/>
      <c r="FO82" s="564"/>
      <c r="FP82" s="564"/>
      <c r="FQ82" s="564"/>
      <c r="FR82" s="564"/>
      <c r="FS82" s="564"/>
      <c r="FT82" s="564"/>
      <c r="FU82" s="564"/>
      <c r="FV82" s="564"/>
      <c r="FW82" s="564"/>
      <c r="FX82" s="564"/>
      <c r="FY82" s="564"/>
      <c r="FZ82" s="564"/>
      <c r="GA82" s="564"/>
      <c r="GB82" s="564"/>
      <c r="GC82" s="564"/>
      <c r="GD82" s="564"/>
      <c r="GE82" s="564"/>
      <c r="GF82" s="564"/>
      <c r="GG82" s="564"/>
      <c r="GH82" s="564"/>
      <c r="GI82" s="564"/>
      <c r="GJ82" s="564"/>
      <c r="GK82" s="564"/>
      <c r="GL82" s="564"/>
      <c r="GM82" s="564"/>
      <c r="GN82" s="564"/>
      <c r="GO82" s="564"/>
      <c r="GP82" s="564"/>
      <c r="GQ82" s="564"/>
      <c r="GR82" s="564"/>
      <c r="GS82" s="564"/>
      <c r="GT82" s="564"/>
      <c r="GU82" s="564"/>
      <c r="GV82" s="564"/>
      <c r="GW82" s="564"/>
      <c r="GX82" s="564"/>
      <c r="GY82" s="564"/>
      <c r="GZ82" s="564"/>
      <c r="HA82" s="564"/>
      <c r="HB82" s="564"/>
      <c r="HC82" s="564"/>
      <c r="HD82" s="564"/>
      <c r="HE82" s="564"/>
      <c r="HF82" s="564"/>
      <c r="HG82" s="564"/>
      <c r="HH82" s="564"/>
      <c r="HI82" s="564"/>
      <c r="HJ82" s="564"/>
      <c r="HK82" s="564"/>
      <c r="HL82" s="564"/>
      <c r="HM82" s="564"/>
      <c r="HN82" s="564"/>
      <c r="HO82" s="564"/>
      <c r="HP82" s="564"/>
      <c r="HQ82" s="564"/>
      <c r="HR82" s="564"/>
      <c r="HS82" s="564"/>
      <c r="HT82" s="564"/>
      <c r="HU82" s="564"/>
      <c r="HV82" s="564"/>
      <c r="HW82" s="564"/>
      <c r="HX82" s="564"/>
      <c r="HY82" s="564"/>
      <c r="HZ82" s="564"/>
      <c r="IA82" s="564"/>
      <c r="IB82" s="564"/>
      <c r="IC82" s="564"/>
      <c r="ID82" s="564"/>
      <c r="IE82" s="564"/>
      <c r="IF82" s="564"/>
      <c r="IG82" s="564"/>
      <c r="IH82" s="564"/>
      <c r="II82" s="564"/>
      <c r="IJ82" s="564"/>
      <c r="IK82" s="564"/>
      <c r="IL82" s="564"/>
      <c r="IM82" s="564"/>
      <c r="IN82" s="564"/>
      <c r="IO82" s="564"/>
      <c r="IP82" s="564"/>
      <c r="IQ82" s="564"/>
      <c r="IR82" s="564"/>
      <c r="IS82" s="564"/>
      <c r="IT82" s="564"/>
      <c r="IU82" s="564"/>
      <c r="IV82" s="564"/>
      <c r="IW82" s="564"/>
      <c r="IX82" s="564"/>
      <c r="IY82" s="564"/>
      <c r="IZ82" s="564"/>
      <c r="JA82" s="564"/>
      <c r="JB82" s="564"/>
      <c r="JC82" s="564"/>
      <c r="JD82" s="564"/>
      <c r="JE82" s="564"/>
      <c r="JF82" s="564"/>
      <c r="JG82" s="564"/>
      <c r="JH82" s="564"/>
      <c r="JI82" s="564"/>
      <c r="JJ82" s="564"/>
      <c r="JK82" s="564"/>
      <c r="JL82" s="564"/>
      <c r="JM82" s="564"/>
      <c r="JN82" s="564"/>
      <c r="JO82" s="564"/>
      <c r="JP82" s="564"/>
      <c r="JQ82" s="564"/>
      <c r="JR82" s="564"/>
      <c r="JS82" s="564"/>
      <c r="JT82" s="564"/>
      <c r="JU82" s="564"/>
      <c r="JV82" s="564"/>
      <c r="JW82" s="564"/>
      <c r="JX82" s="564"/>
      <c r="JY82" s="564"/>
    </row>
    <row r="83" spans="1:285" s="567" customFormat="1" hidden="1" x14ac:dyDescent="0.2">
      <c r="A83" s="2">
        <v>4</v>
      </c>
      <c r="C83" s="567" t="str" cm="1">
        <f t="array" ref="C83">IFERROR(VALUE(IF($A83&lt;=T1_Vaccines_NumSuitable,INDEX(T1_Vaccines_forCombi,MATCH($A83,$AE$12:$AE$37,0),C$79),"")),IF($A83&lt;=T1_Vaccines_NumSuitable,INDEX(T1_Vaccines_forCombi,MATCH($A83,$AE$12:$AE$37,0),C$79),""))</f>
        <v>VeroCell (Pre-filled syringe)</v>
      </c>
      <c r="D83" s="567" t="str" cm="1">
        <f t="array" ref="D83">IFERROR(VALUE(IF($A83&lt;=T1_Vaccines_NumSuitable,INDEX(T1_Vaccines_forCombi,MATCH($A83,$AE$12:$AE$37,0),D$79),"")),IF($A83&lt;=T1_Vaccines_NumSuitable,INDEX(T1_Vaccines_forCombi,MATCH($A83,$AE$12:$AE$37,0),D$79),""))</f>
        <v>Beijing Institute of Biological Products</v>
      </c>
      <c r="E83" s="567" cm="1">
        <f t="array" ref="E83">IFERROR(VALUE(IF($A83&lt;=T1_Vaccines_NumSuitable,INDEX(T1_Vaccines_forCombi,MATCH($A83,$AE$12:$AE$37,0),E$79),"")),IF($A83&lt;=T1_Vaccines_NumSuitable,INDEX(T1_Vaccines_forCombi,MATCH($A83,$AE$12:$AE$37,0),E$79),""))</f>
        <v>7</v>
      </c>
      <c r="F83" s="567" cm="1">
        <f t="array" ref="F83">IFERROR(VALUE(IF($A83&lt;=T1_Vaccines_NumSuitable,INDEX(T1_Vaccines_forCombi,MATCH($A83,$AE$12:$AE$37,0),F$79),"")),IF($A83&lt;=T1_Vaccines_NumSuitable,INDEX(T1_Vaccines_forCombi,MATCH($A83,$AE$12:$AE$37,0),F$79),""))</f>
        <v>2</v>
      </c>
      <c r="G83" s="567" cm="1">
        <f t="array" ref="G83">IFERROR(VALUE(IF($A83&lt;=T1_Vaccines_NumSuitable,INDEX(T1_Vaccines_forCombi,MATCH($A83,$AE$12:$AE$37,0),G$79),"")),IF($A83&lt;=T1_Vaccines_NumSuitable,INDEX(T1_Vaccines_forCombi,MATCH($A83,$AE$12:$AE$37,0),G$79),""))</f>
        <v>1</v>
      </c>
      <c r="H83" s="567" cm="1">
        <f t="array" ref="H83">IFERROR(VALUE(IF($A83&lt;=T1_Vaccines_NumSuitable,INDEX(T1_Vaccines_forCombi,MATCH($A83,$AE$12:$AE$37,0),H$79),"")),IF($A83&lt;=T1_Vaccines_NumSuitable,INDEX(T1_Vaccines_forCombi,MATCH($A83,$AE$12:$AE$37,0),H$79),""))</f>
        <v>3</v>
      </c>
      <c r="I83" s="567" t="str" cm="1">
        <f t="array" ref="I83">IFERROR(VALUE(IF($A83&lt;=T1_Vaccines_NumSuitable,INDEX(T1_Vaccines_forCombi,MATCH($A83,$AE$12:$AE$37,0),I$79),"")),IF($A83&lt;=T1_Vaccines_NumSuitable,INDEX(T1_Vaccines_forCombi,MATCH($A83,$AE$12:$AE$37,0),I$79),""))</f>
        <v/>
      </c>
      <c r="J83" s="567" t="str" cm="1">
        <f t="array" ref="J83">IFERROR(VALUE(IF($A83&lt;=T1_Vaccines_NumSuitable,INDEX(T1_Vaccines_forCombi,MATCH($A83,$AE$12:$AE$37,0),J$79),"")),IF($A83&lt;=T1_Vaccines_NumSuitable,INDEX(T1_Vaccines_forCombi,MATCH($A83,$AE$12:$AE$37,0),J$79),""))</f>
        <v>IM (intramuscular)</v>
      </c>
      <c r="K83" s="567" t="str" cm="1">
        <f t="array" ref="K83">IFERROR(VALUE(IF($A83&lt;=T1_Vaccines_NumSuitable,INDEX(T1_Vaccines_forCombi,MATCH($A83,$AE$12:$AE$37,0),K$79),"")),IF($A83&lt;=T1_Vaccines_NumSuitable,INDEX(T1_Vaccines_forCombi,MATCH($A83,$AE$12:$AE$37,0),K$79),""))</f>
        <v>Refrigerated (2 to 8C)</v>
      </c>
      <c r="L83" s="567" cm="1">
        <f t="array" ref="L83">IFERROR(VALUE(IF($A83&lt;=T1_Vaccines_NumSuitable,INDEX(T1_Vaccines_forCombi,MATCH($A83,$AE$12:$AE$37,0),L$79),"")),IF($A83&lt;=T1_Vaccines_NumSuitable,INDEX(T1_Vaccines_forCombi,MATCH($A83,$AE$12:$AE$37,0),L$79),""))</f>
        <v>94.9</v>
      </c>
      <c r="M83" s="567" cm="1">
        <f t="array" ref="M83">IFERROR(VALUE(IF($A83&lt;=T1_Vaccines_NumSuitable,INDEX(T1_Vaccines_forCombi,MATCH($A83,$AE$12:$AE$37,0),M$79),"")),IF($A83&lt;=T1_Vaccines_NumSuitable,INDEX(T1_Vaccines_forCombi,MATCH($A83,$AE$12:$AE$37,0),M$79),""))</f>
        <v>30</v>
      </c>
      <c r="N83" s="567" t="str" cm="1">
        <f t="array" ref="N83">IFERROR(VALUE(IF($A83&lt;=T1_Vaccines_NumSuitable,INDEX(T1_Vaccines_forCombi,MATCH($A83,$AE$12:$AE$37,0),N$79),"")),IF($A83&lt;=T1_Vaccines_NumSuitable,INDEX(T1_Vaccines_forCombi,MATCH($A83,$AE$12:$AE$37,0),N$79),""))</f>
        <v/>
      </c>
      <c r="O83" s="567" t="str" cm="1">
        <f t="array" ref="O83">IFERROR(VALUE(IF($A83&lt;=T1_Vaccines_NumSuitable,INDEX(T1_Vaccines_forCombi,MATCH($A83,$AE$12:$AE$37,0),O$79),"")),IF($A83&lt;=T1_Vaccines_NumSuitable,INDEX(T1_Vaccines_forCombi,MATCH($A83,$AE$12:$AE$37,0),O$79),""))</f>
        <v/>
      </c>
      <c r="P83" s="567" cm="1">
        <f t="array" ref="P83">IFERROR(VALUE(IF($A83&lt;=T1_Vaccines_NumSuitable,INDEX(T1_Vaccines_forCombi,MATCH($A83,$AE$12:$AE$37,0),P$79),"")),IF($A83&lt;=T1_Vaccines_NumSuitable,INDEX(T1_Vaccines_forCombi,MATCH($A83,$AE$12:$AE$37,0),P$79),""))</f>
        <v>10</v>
      </c>
      <c r="Q83" s="567" cm="1">
        <f t="array" ref="Q83">IFERROR(VALUE(IF($A83&lt;=T1_Vaccines_NumSuitable,INDEX(T1_Vaccines_forCombi,MATCH($A83,$AE$12:$AE$37,0),Q$79),"")),IF($A83&lt;=T1_Vaccines_NumSuitable,INDEX(T1_Vaccines_forCombi,MATCH($A83,$AE$12:$AE$37,0),Q$79),""))</f>
        <v>0</v>
      </c>
      <c r="R83" s="567" cm="1">
        <f t="array" ref="R83">IFERROR(VALUE(IF($A83&lt;=T1_Vaccines_NumSuitable,INDEX(T1_Vaccines_forCombi,MATCH($A83,$AE$12:$AE$37,0),R$79),"")),IF($A83&lt;=T1_Vaccines_NumSuitable,INDEX(T1_Vaccines_forCombi,MATCH($A83,$AE$12:$AE$37,0),R$79),""))</f>
        <v>0</v>
      </c>
      <c r="S83" s="567" cm="1">
        <f t="array" ref="S83">IFERROR(VALUE(IF($A83&lt;=T1_Vaccines_NumSuitable,INDEX(T1_Vaccines_forCombi,MATCH($A83,$AE$12:$AE$37,0),S$79),"")),IF($A83&lt;=T1_Vaccines_NumSuitable,INDEX(T1_Vaccines_forCombi,MATCH($A83,$AE$12:$AE$37,0),S$79),""))</f>
        <v>0</v>
      </c>
      <c r="T83" s="567" cm="1">
        <f t="array" ref="T83">IFERROR(VALUE(IF($A83&lt;=T1_Vaccines_NumSuitable,INDEX(T1_Vaccines_forCombi,MATCH($A83,$AE$12:$AE$37,0),T$79),"")),IF($A83&lt;=T1_Vaccines_NumSuitable,INDEX(T1_Vaccines_forCombi,MATCH($A83,$AE$12:$AE$37,0),T$79),""))</f>
        <v>0</v>
      </c>
      <c r="U83" s="567" cm="1">
        <f t="array" ref="U83">IFERROR(VALUE(IF($A83&lt;=T1_Vaccines_NumSuitable,INDEX(T1_Vaccines_forCombi,MATCH($A83,$AE$12:$AE$37,0),U$79),"")),IF($A83&lt;=T1_Vaccines_NumSuitable,INDEX(T1_Vaccines_forCombi,MATCH($A83,$AE$12:$AE$37,0),U$79),""))</f>
        <v>1.05</v>
      </c>
      <c r="V83" s="567" cm="1">
        <f t="array" ref="V83">IFERROR(VALUE(IF($A83&lt;=T1_Vaccines_NumSuitable,INDEX(T1_Vaccines_forCombi,MATCH($A83,$AE$12:$AE$37,0),V$79),"")),IF($A83&lt;=T1_Vaccines_NumSuitable,INDEX(T1_Vaccines_forCombi,MATCH($A83,$AE$12:$AE$37,0),V$79),""))</f>
        <v>0</v>
      </c>
      <c r="W83" s="567" cm="1">
        <f t="array" ref="W83">IFERROR(VALUE(IF($A83&lt;=T1_Vaccines_NumSuitable,INDEX(T1_Vaccines_forCombi,MATCH($A83,$AE$12:$AE$37,0),W$79),"")),IF($A83&lt;=T1_Vaccines_NumSuitable,INDEX(T1_Vaccines_forCombi,MATCH($A83,$AE$12:$AE$37,0),W$79),""))</f>
        <v>0</v>
      </c>
      <c r="X83" s="567" cm="1">
        <f t="array" ref="X83">IFERROR(VALUE(IF($A83&lt;=T1_Vaccines_NumSuitable,INDEX(T1_Vaccines_forCombi,MATCH($A83,$AE$12:$AE$37,0),X$79),"")),IF($A83&lt;=T1_Vaccines_NumSuitable,INDEX(T1_Vaccines_forCombi,MATCH($A83,$AE$12:$AE$37,0),X$79),""))</f>
        <v>0</v>
      </c>
      <c r="Y83" s="567" cm="1">
        <f t="array" ref="Y83">IFERROR(VALUE(IF($A83&lt;=T1_Vaccines_NumSuitable,INDEX(T1_Vaccines_forCombi,MATCH($A83,$AE$12:$AE$37,0),Y$79),"")),IF($A83&lt;=T1_Vaccines_NumSuitable,INDEX(T1_Vaccines_forCombi,MATCH($A83,$AE$12:$AE$37,0),Y$79),""))</f>
        <v>0</v>
      </c>
      <c r="Z83" s="567" cm="1">
        <f t="array" ref="Z83">IFERROR(VALUE(IF($A83&lt;=T1_Vaccines_NumSuitable,INDEX(T1_Vaccines_forCombi,MATCH($A83,$AE$12:$AE$37,0),Z$79),"")),IF($A83&lt;=T1_Vaccines_NumSuitable,INDEX(T1_Vaccines_forCombi,MATCH($A83,$AE$12:$AE$37,0),Z$79),""))</f>
        <v>0</v>
      </c>
      <c r="AA83" s="567" cm="1">
        <f t="array" ref="AA83">IFERROR(VALUE(IF($A83&lt;=T1_Vaccines_NumSuitable,INDEX(T1_Vaccines_forCombi,MATCH($A83,$AE$12:$AE$37,0),AA$79),"")),IF($A83&lt;=T1_Vaccines_NumSuitable,INDEX(T1_Vaccines_forCombi,MATCH($A83,$AE$12:$AE$37,0),AA$79),""))</f>
        <v>0.01</v>
      </c>
      <c r="AB83" s="567" cm="1">
        <f t="array" ref="AB83">IFERROR(VALUE(IF($A83&lt;=T1_Vaccines_NumSuitable,INDEX(T1_Vaccines_forCombi,MATCH($A83,$AE$12:$AE$37,0),AB$79),"")),IF($A83&lt;=T1_Vaccines_NumSuitable,INDEX(T1_Vaccines_forCombi,MATCH($A83,$AE$12:$AE$37,0),AB$79),""))</f>
        <v>1.05</v>
      </c>
      <c r="AC83" s="567" cm="1">
        <f t="array" ref="AC83">IFERROR(VALUE(IF($A83&lt;=T1_Vaccines_NumSuitable,INDEX(T1_Vaccines_forCombi,MATCH($A83,$AE$12:$AE$37,0),AC$79),"")),IF($A83&lt;=T1_Vaccines_NumSuitable,INDEX(T1_Vaccines_forCombi,MATCH($A83,$AE$12:$AE$37,0),AC$79),""))</f>
        <v>1</v>
      </c>
      <c r="AD83" s="567" cm="1">
        <f t="array" ref="AD83">IFERROR(VALUE(IF($A83&lt;=T1_Vaccines_NumSuitable,INDEX(T1_Vaccines_forCombi,MATCH($A83,$AE$12:$AE$37,0),AD$79),"")),IF($A83&lt;=T1_Vaccines_NumSuitable,INDEX(T1_Vaccines_forCombi,MATCH($A83,$AE$12:$AE$37,0),AD$79),""))</f>
        <v>0.05</v>
      </c>
      <c r="AE83" s="656">
        <f t="shared" si="153"/>
        <v>0</v>
      </c>
      <c r="AF83" s="656">
        <f t="shared" si="151"/>
        <v>0</v>
      </c>
      <c r="AG83" s="656">
        <f t="shared" si="151"/>
        <v>0</v>
      </c>
      <c r="AH83" s="657">
        <f t="shared" si="154"/>
        <v>100</v>
      </c>
      <c r="AI83" s="567">
        <f t="shared" si="152"/>
        <v>0</v>
      </c>
      <c r="AJ83" s="567">
        <f t="shared" si="152"/>
        <v>0</v>
      </c>
      <c r="AK83" s="567">
        <f t="shared" si="152"/>
        <v>0</v>
      </c>
      <c r="AL83" s="567">
        <f t="shared" si="152"/>
        <v>1</v>
      </c>
      <c r="AM83" s="564"/>
      <c r="AN83" s="564"/>
      <c r="AO83" s="564"/>
      <c r="AP83" s="564"/>
      <c r="AQ83" s="564"/>
      <c r="AR83" s="564"/>
      <c r="AS83" s="564"/>
      <c r="AT83" s="564"/>
      <c r="AU83" s="564"/>
      <c r="AV83" s="564"/>
      <c r="AW83" s="564"/>
      <c r="AX83" s="564"/>
      <c r="AY83" s="564"/>
      <c r="AZ83" s="564"/>
      <c r="BA83" s="564"/>
      <c r="BB83" s="564"/>
      <c r="BC83" s="564"/>
      <c r="BD83" s="564"/>
      <c r="BE83" s="564"/>
      <c r="BF83" s="564"/>
      <c r="BG83" s="564"/>
      <c r="BH83" s="564"/>
      <c r="BI83" s="564"/>
      <c r="BJ83" s="564"/>
      <c r="BK83" s="564"/>
      <c r="BL83" s="564"/>
      <c r="BM83" s="564"/>
      <c r="BN83" s="564"/>
      <c r="BO83" s="564"/>
      <c r="BP83" s="564"/>
      <c r="BQ83" s="564"/>
      <c r="BR83" s="564"/>
      <c r="BS83" s="564"/>
      <c r="BT83" s="564"/>
      <c r="BU83" s="564"/>
      <c r="BV83" s="564"/>
      <c r="BW83" s="564"/>
      <c r="BX83" s="564"/>
      <c r="BY83" s="564"/>
      <c r="BZ83" s="564"/>
      <c r="CA83" s="564"/>
      <c r="CB83" s="564"/>
      <c r="CC83" s="564"/>
      <c r="CD83" s="564"/>
      <c r="CE83" s="564"/>
      <c r="CF83" s="564"/>
      <c r="CG83" s="564"/>
      <c r="CH83" s="564"/>
      <c r="CI83" s="564"/>
      <c r="CJ83" s="564"/>
      <c r="CK83" s="564"/>
      <c r="CL83" s="564"/>
      <c r="CM83" s="564"/>
      <c r="CN83" s="564"/>
      <c r="CO83" s="564"/>
      <c r="CP83" s="564"/>
      <c r="CQ83" s="564"/>
      <c r="CR83" s="564"/>
      <c r="CS83" s="564"/>
      <c r="CT83" s="564"/>
      <c r="CU83" s="564"/>
      <c r="CV83" s="564"/>
      <c r="CW83" s="564"/>
      <c r="CX83" s="564"/>
      <c r="CY83" s="564"/>
      <c r="CZ83" s="564"/>
      <c r="DA83" s="564"/>
      <c r="DB83" s="564"/>
      <c r="DC83" s="564"/>
      <c r="DD83" s="564"/>
      <c r="DE83" s="564"/>
      <c r="DF83" s="564"/>
      <c r="DG83" s="564"/>
      <c r="DH83" s="564"/>
      <c r="DI83" s="564"/>
      <c r="DJ83" s="564"/>
      <c r="DK83" s="564"/>
      <c r="DL83" s="564"/>
      <c r="DM83" s="564"/>
      <c r="DN83" s="564"/>
      <c r="DO83" s="564"/>
      <c r="DP83" s="564"/>
      <c r="DQ83" s="564"/>
      <c r="DR83" s="564"/>
      <c r="DS83" s="564"/>
      <c r="DT83" s="564"/>
      <c r="DU83" s="564"/>
      <c r="DV83" s="564"/>
      <c r="DW83" s="564"/>
      <c r="DX83" s="564"/>
      <c r="DY83" s="564"/>
      <c r="DZ83" s="564"/>
      <c r="EA83" s="564"/>
      <c r="EB83" s="564"/>
      <c r="EC83" s="564"/>
      <c r="ED83" s="564"/>
      <c r="EE83" s="564"/>
      <c r="EF83" s="564"/>
      <c r="EG83" s="564"/>
      <c r="EH83" s="564"/>
      <c r="EI83" s="564"/>
      <c r="EJ83" s="564"/>
      <c r="EK83" s="564"/>
      <c r="EL83" s="564"/>
      <c r="EM83" s="564"/>
      <c r="EN83" s="564"/>
      <c r="EO83" s="564"/>
      <c r="EP83" s="564"/>
      <c r="EQ83" s="564"/>
      <c r="ER83" s="564"/>
      <c r="ES83" s="564"/>
      <c r="ET83" s="564"/>
      <c r="EU83" s="564"/>
      <c r="EV83" s="564"/>
      <c r="EW83" s="564"/>
      <c r="EX83" s="564"/>
      <c r="EY83" s="564"/>
      <c r="EZ83" s="564"/>
      <c r="FA83" s="564"/>
      <c r="FB83" s="564"/>
      <c r="FC83" s="564"/>
      <c r="FD83" s="564"/>
      <c r="FE83" s="564"/>
      <c r="FF83" s="564"/>
      <c r="FG83" s="564"/>
      <c r="FH83" s="564"/>
      <c r="FI83" s="564"/>
      <c r="FJ83" s="564"/>
      <c r="FK83" s="564"/>
      <c r="FL83" s="564"/>
      <c r="FM83" s="564"/>
      <c r="FN83" s="564"/>
      <c r="FO83" s="564"/>
      <c r="FP83" s="564"/>
      <c r="FQ83" s="564"/>
      <c r="FR83" s="564"/>
      <c r="FS83" s="564"/>
      <c r="FT83" s="564"/>
      <c r="FU83" s="564"/>
      <c r="FV83" s="564"/>
      <c r="FW83" s="564"/>
      <c r="FX83" s="564"/>
      <c r="FY83" s="564"/>
      <c r="FZ83" s="564"/>
      <c r="GA83" s="564"/>
      <c r="GB83" s="564"/>
      <c r="GC83" s="564"/>
      <c r="GD83" s="564"/>
      <c r="GE83" s="564"/>
      <c r="GF83" s="564"/>
      <c r="GG83" s="564"/>
      <c r="GH83" s="564"/>
      <c r="GI83" s="564"/>
      <c r="GJ83" s="564"/>
      <c r="GK83" s="564"/>
      <c r="GL83" s="564"/>
      <c r="GM83" s="564"/>
      <c r="GN83" s="564"/>
      <c r="GO83" s="564"/>
      <c r="GP83" s="564"/>
      <c r="GQ83" s="564"/>
      <c r="GR83" s="564"/>
      <c r="GS83" s="564"/>
      <c r="GT83" s="564"/>
      <c r="GU83" s="564"/>
      <c r="GV83" s="564"/>
      <c r="GW83" s="564"/>
      <c r="GX83" s="564"/>
      <c r="GY83" s="564"/>
      <c r="GZ83" s="564"/>
      <c r="HA83" s="564"/>
      <c r="HB83" s="564"/>
      <c r="HC83" s="564"/>
      <c r="HD83" s="564"/>
      <c r="HE83" s="564"/>
      <c r="HF83" s="564"/>
      <c r="HG83" s="564"/>
      <c r="HH83" s="564"/>
      <c r="HI83" s="564"/>
      <c r="HJ83" s="564"/>
      <c r="HK83" s="564"/>
      <c r="HL83" s="564"/>
      <c r="HM83" s="564"/>
      <c r="HN83" s="564"/>
      <c r="HO83" s="564"/>
      <c r="HP83" s="564"/>
      <c r="HQ83" s="564"/>
      <c r="HR83" s="564"/>
      <c r="HS83" s="564"/>
      <c r="HT83" s="564"/>
      <c r="HU83" s="564"/>
      <c r="HV83" s="564"/>
      <c r="HW83" s="564"/>
      <c r="HX83" s="564"/>
      <c r="HY83" s="564"/>
      <c r="HZ83" s="564"/>
      <c r="IA83" s="564"/>
      <c r="IB83" s="564"/>
      <c r="IC83" s="564"/>
      <c r="ID83" s="564"/>
      <c r="IE83" s="564"/>
      <c r="IF83" s="564"/>
      <c r="IG83" s="564"/>
      <c r="IH83" s="564"/>
      <c r="II83" s="564"/>
      <c r="IJ83" s="564"/>
      <c r="IK83" s="564"/>
      <c r="IL83" s="564"/>
      <c r="IM83" s="564"/>
      <c r="IN83" s="564"/>
      <c r="IO83" s="564"/>
      <c r="IP83" s="564"/>
      <c r="IQ83" s="564"/>
      <c r="IR83" s="564"/>
      <c r="IS83" s="564"/>
      <c r="IT83" s="564"/>
      <c r="IU83" s="564"/>
      <c r="IV83" s="564"/>
      <c r="IW83" s="564"/>
      <c r="IX83" s="564"/>
      <c r="IY83" s="564"/>
      <c r="IZ83" s="564"/>
      <c r="JA83" s="564"/>
      <c r="JB83" s="564"/>
      <c r="JC83" s="564"/>
      <c r="JD83" s="564"/>
      <c r="JE83" s="564"/>
      <c r="JF83" s="564"/>
      <c r="JG83" s="564"/>
      <c r="JH83" s="564"/>
      <c r="JI83" s="564"/>
      <c r="JJ83" s="564"/>
      <c r="JK83" s="564"/>
      <c r="JL83" s="564"/>
      <c r="JM83" s="564"/>
      <c r="JN83" s="564"/>
      <c r="JO83" s="564"/>
      <c r="JP83" s="564"/>
      <c r="JQ83" s="564"/>
      <c r="JR83" s="564"/>
      <c r="JS83" s="564"/>
      <c r="JT83" s="564"/>
      <c r="JU83" s="564"/>
      <c r="JV83" s="564"/>
      <c r="JW83" s="564"/>
      <c r="JX83" s="564"/>
      <c r="JY83" s="564"/>
    </row>
    <row r="84" spans="1:285" s="567" customFormat="1" hidden="1" x14ac:dyDescent="0.2">
      <c r="A84" s="2">
        <v>5</v>
      </c>
      <c r="C84" s="567" t="str" cm="1">
        <f t="array" ref="C84">IFERROR(VALUE(IF($A84&lt;=T1_Vaccines_NumSuitable,INDEX(T1_Vaccines_forCombi,MATCH($A84,$AE$12:$AE$37,0),C$79),"")),IF($A84&lt;=T1_Vaccines_NumSuitable,INDEX(T1_Vaccines_forCombi,MATCH($A84,$AE$12:$AE$37,0),C$79),""))</f>
        <v>VeroCell (Vial)</v>
      </c>
      <c r="D84" s="567" t="str" cm="1">
        <f t="array" ref="D84">IFERROR(VALUE(IF($A84&lt;=T1_Vaccines_NumSuitable,INDEX(T1_Vaccines_forCombi,MATCH($A84,$AE$12:$AE$37,0),D$79),"")),IF($A84&lt;=T1_Vaccines_NumSuitable,INDEX(T1_Vaccines_forCombi,MATCH($A84,$AE$12:$AE$37,0),D$79),""))</f>
        <v>Beijing Institute of Biological Products</v>
      </c>
      <c r="E84" s="567" cm="1">
        <f t="array" ref="E84">IFERROR(VALUE(IF($A84&lt;=T1_Vaccines_NumSuitable,INDEX(T1_Vaccines_forCombi,MATCH($A84,$AE$12:$AE$37,0),E$79),"")),IF($A84&lt;=T1_Vaccines_NumSuitable,INDEX(T1_Vaccines_forCombi,MATCH($A84,$AE$12:$AE$37,0),E$79),""))</f>
        <v>7</v>
      </c>
      <c r="F84" s="567" cm="1">
        <f t="array" ref="F84">IFERROR(VALUE(IF($A84&lt;=T1_Vaccines_NumSuitable,INDEX(T1_Vaccines_forCombi,MATCH($A84,$AE$12:$AE$37,0),F$79),"")),IF($A84&lt;=T1_Vaccines_NumSuitable,INDEX(T1_Vaccines_forCombi,MATCH($A84,$AE$12:$AE$37,0),F$79),""))</f>
        <v>2</v>
      </c>
      <c r="G84" s="567" cm="1">
        <f t="array" ref="G84">IFERROR(VALUE(IF($A84&lt;=T1_Vaccines_NumSuitable,INDEX(T1_Vaccines_forCombi,MATCH($A84,$AE$12:$AE$37,0),G$79),"")),IF($A84&lt;=T1_Vaccines_NumSuitable,INDEX(T1_Vaccines_forCombi,MATCH($A84,$AE$12:$AE$37,0),G$79),""))</f>
        <v>1</v>
      </c>
      <c r="H84" s="567" cm="1">
        <f t="array" ref="H84">IFERROR(VALUE(IF($A84&lt;=T1_Vaccines_NumSuitable,INDEX(T1_Vaccines_forCombi,MATCH($A84,$AE$12:$AE$37,0),H$79),"")),IF($A84&lt;=T1_Vaccines_NumSuitable,INDEX(T1_Vaccines_forCombi,MATCH($A84,$AE$12:$AE$37,0),H$79),""))</f>
        <v>3</v>
      </c>
      <c r="I84" s="567" t="str" cm="1">
        <f t="array" ref="I84">IFERROR(VALUE(IF($A84&lt;=T1_Vaccines_NumSuitable,INDEX(T1_Vaccines_forCombi,MATCH($A84,$AE$12:$AE$37,0),I$79),"")),IF($A84&lt;=T1_Vaccines_NumSuitable,INDEX(T1_Vaccines_forCombi,MATCH($A84,$AE$12:$AE$37,0),I$79),""))</f>
        <v/>
      </c>
      <c r="J84" s="567" t="str" cm="1">
        <f t="array" ref="J84">IFERROR(VALUE(IF($A84&lt;=T1_Vaccines_NumSuitable,INDEX(T1_Vaccines_forCombi,MATCH($A84,$AE$12:$AE$37,0),J$79),"")),IF($A84&lt;=T1_Vaccines_NumSuitable,INDEX(T1_Vaccines_forCombi,MATCH($A84,$AE$12:$AE$37,0),J$79),""))</f>
        <v>IM (intramuscular)</v>
      </c>
      <c r="K84" s="567" t="str" cm="1">
        <f t="array" ref="K84">IFERROR(VALUE(IF($A84&lt;=T1_Vaccines_NumSuitable,INDEX(T1_Vaccines_forCombi,MATCH($A84,$AE$12:$AE$37,0),K$79),"")),IF($A84&lt;=T1_Vaccines_NumSuitable,INDEX(T1_Vaccines_forCombi,MATCH($A84,$AE$12:$AE$37,0),K$79),""))</f>
        <v>Refrigerated (2 to 8C)</v>
      </c>
      <c r="L84" s="567" cm="1">
        <f t="array" ref="L84">IFERROR(VALUE(IF($A84&lt;=T1_Vaccines_NumSuitable,INDEX(T1_Vaccines_forCombi,MATCH($A84,$AE$12:$AE$37,0),L$79),"")),IF($A84&lt;=T1_Vaccines_NumSuitable,INDEX(T1_Vaccines_forCombi,MATCH($A84,$AE$12:$AE$37,0),L$79),""))</f>
        <v>21.2</v>
      </c>
      <c r="M84" s="567" cm="1">
        <f t="array" ref="M84">IFERROR(VALUE(IF($A84&lt;=T1_Vaccines_NumSuitable,INDEX(T1_Vaccines_forCombi,MATCH($A84,$AE$12:$AE$37,0),M$79),"")),IF($A84&lt;=T1_Vaccines_NumSuitable,INDEX(T1_Vaccines_forCombi,MATCH($A84,$AE$12:$AE$37,0),M$79),""))</f>
        <v>15</v>
      </c>
      <c r="N84" s="567" t="str" cm="1">
        <f t="array" ref="N84">IFERROR(VALUE(IF($A84&lt;=T1_Vaccines_NumSuitable,INDEX(T1_Vaccines_forCombi,MATCH($A84,$AE$12:$AE$37,0),N$79),"")),IF($A84&lt;=T1_Vaccines_NumSuitable,INDEX(T1_Vaccines_forCombi,MATCH($A84,$AE$12:$AE$37,0),N$79),""))</f>
        <v/>
      </c>
      <c r="O84" s="567" t="str" cm="1">
        <f t="array" ref="O84">IFERROR(VALUE(IF($A84&lt;=T1_Vaccines_NumSuitable,INDEX(T1_Vaccines_forCombi,MATCH($A84,$AE$12:$AE$37,0),O$79),"")),IF($A84&lt;=T1_Vaccines_NumSuitable,INDEX(T1_Vaccines_forCombi,MATCH($A84,$AE$12:$AE$37,0),O$79),""))</f>
        <v/>
      </c>
      <c r="P84" s="567" cm="1">
        <f t="array" ref="P84">IFERROR(VALUE(IF($A84&lt;=T1_Vaccines_NumSuitable,INDEX(T1_Vaccines_forCombi,MATCH($A84,$AE$12:$AE$37,0),P$79),"")),IF($A84&lt;=T1_Vaccines_NumSuitable,INDEX(T1_Vaccines_forCombi,MATCH($A84,$AE$12:$AE$37,0),P$79),""))</f>
        <v>10</v>
      </c>
      <c r="Q84" s="567" cm="1">
        <f t="array" ref="Q84">IFERROR(VALUE(IF($A84&lt;=T1_Vaccines_NumSuitable,INDEX(T1_Vaccines_forCombi,MATCH($A84,$AE$12:$AE$37,0),Q$79),"")),IF($A84&lt;=T1_Vaccines_NumSuitable,INDEX(T1_Vaccines_forCombi,MATCH($A84,$AE$12:$AE$37,0),Q$79),""))</f>
        <v>0</v>
      </c>
      <c r="R84" s="567" cm="1">
        <f t="array" ref="R84">IFERROR(VALUE(IF($A84&lt;=T1_Vaccines_NumSuitable,INDEX(T1_Vaccines_forCombi,MATCH($A84,$AE$12:$AE$37,0),R$79),"")),IF($A84&lt;=T1_Vaccines_NumSuitable,INDEX(T1_Vaccines_forCombi,MATCH($A84,$AE$12:$AE$37,0),R$79),""))</f>
        <v>0</v>
      </c>
      <c r="S84" s="567" cm="1">
        <f t="array" ref="S84">IFERROR(VALUE(IF($A84&lt;=T1_Vaccines_NumSuitable,INDEX(T1_Vaccines_forCombi,MATCH($A84,$AE$12:$AE$37,0),S$79),"")),IF($A84&lt;=T1_Vaccines_NumSuitable,INDEX(T1_Vaccines_forCombi,MATCH($A84,$AE$12:$AE$37,0),S$79),""))</f>
        <v>1.05</v>
      </c>
      <c r="T84" s="567" cm="1">
        <f t="array" ref="T84">IFERROR(VALUE(IF($A84&lt;=T1_Vaccines_NumSuitable,INDEX(T1_Vaccines_forCombi,MATCH($A84,$AE$12:$AE$37,0),T$79),"")),IF($A84&lt;=T1_Vaccines_NumSuitable,INDEX(T1_Vaccines_forCombi,MATCH($A84,$AE$12:$AE$37,0),T$79),""))</f>
        <v>1.05</v>
      </c>
      <c r="U84" s="567" cm="1">
        <f t="array" ref="U84">IFERROR(VALUE(IF($A84&lt;=T1_Vaccines_NumSuitable,INDEX(T1_Vaccines_forCombi,MATCH($A84,$AE$12:$AE$37,0),U$79),"")),IF($A84&lt;=T1_Vaccines_NumSuitable,INDEX(T1_Vaccines_forCombi,MATCH($A84,$AE$12:$AE$37,0),U$79),""))</f>
        <v>1.05</v>
      </c>
      <c r="V84" s="567" cm="1">
        <f t="array" ref="V84">IFERROR(VALUE(IF($A84&lt;=T1_Vaccines_NumSuitable,INDEX(T1_Vaccines_forCombi,MATCH($A84,$AE$12:$AE$37,0),V$79),"")),IF($A84&lt;=T1_Vaccines_NumSuitable,INDEX(T1_Vaccines_forCombi,MATCH($A84,$AE$12:$AE$37,0),V$79),""))</f>
        <v>0</v>
      </c>
      <c r="W84" s="567" cm="1">
        <f t="array" ref="W84">IFERROR(VALUE(IF($A84&lt;=T1_Vaccines_NumSuitable,INDEX(T1_Vaccines_forCombi,MATCH($A84,$AE$12:$AE$37,0),W$79),"")),IF($A84&lt;=T1_Vaccines_NumSuitable,INDEX(T1_Vaccines_forCombi,MATCH($A84,$AE$12:$AE$37,0),W$79),""))</f>
        <v>0</v>
      </c>
      <c r="X84" s="567" cm="1">
        <f t="array" ref="X84">IFERROR(VALUE(IF($A84&lt;=T1_Vaccines_NumSuitable,INDEX(T1_Vaccines_forCombi,MATCH($A84,$AE$12:$AE$37,0),X$79),"")),IF($A84&lt;=T1_Vaccines_NumSuitable,INDEX(T1_Vaccines_forCombi,MATCH($A84,$AE$12:$AE$37,0),X$79),""))</f>
        <v>0</v>
      </c>
      <c r="Y84" s="567" cm="1">
        <f t="array" ref="Y84">IFERROR(VALUE(IF($A84&lt;=T1_Vaccines_NumSuitable,INDEX(T1_Vaccines_forCombi,MATCH($A84,$AE$12:$AE$37,0),Y$79),"")),IF($A84&lt;=T1_Vaccines_NumSuitable,INDEX(T1_Vaccines_forCombi,MATCH($A84,$AE$12:$AE$37,0),Y$79),""))</f>
        <v>0</v>
      </c>
      <c r="Z84" s="567" cm="1">
        <f t="array" ref="Z84">IFERROR(VALUE(IF($A84&lt;=T1_Vaccines_NumSuitable,INDEX(T1_Vaccines_forCombi,MATCH($A84,$AE$12:$AE$37,0),Z$79),"")),IF($A84&lt;=T1_Vaccines_NumSuitable,INDEX(T1_Vaccines_forCombi,MATCH($A84,$AE$12:$AE$37,0),Z$79),""))</f>
        <v>0</v>
      </c>
      <c r="AA84" s="567" cm="1">
        <f t="array" ref="AA84">IFERROR(VALUE(IF($A84&lt;=T1_Vaccines_NumSuitable,INDEX(T1_Vaccines_forCombi,MATCH($A84,$AE$12:$AE$37,0),AA$79),"")),IF($A84&lt;=T1_Vaccines_NumSuitable,INDEX(T1_Vaccines_forCombi,MATCH($A84,$AE$12:$AE$37,0),AA$79),""))</f>
        <v>0.01</v>
      </c>
      <c r="AB84" s="567" cm="1">
        <f t="array" ref="AB84">IFERROR(VALUE(IF($A84&lt;=T1_Vaccines_NumSuitable,INDEX(T1_Vaccines_forCombi,MATCH($A84,$AE$12:$AE$37,0),AB$79),"")),IF($A84&lt;=T1_Vaccines_NumSuitable,INDEX(T1_Vaccines_forCombi,MATCH($A84,$AE$12:$AE$37,0),AB$79),""))</f>
        <v>1.05</v>
      </c>
      <c r="AC84" s="567" cm="1">
        <f t="array" ref="AC84">IFERROR(VALUE(IF($A84&lt;=T1_Vaccines_NumSuitable,INDEX(T1_Vaccines_forCombi,MATCH($A84,$AE$12:$AE$37,0),AC$79),"")),IF($A84&lt;=T1_Vaccines_NumSuitable,INDEX(T1_Vaccines_forCombi,MATCH($A84,$AE$12:$AE$37,0),AC$79),""))</f>
        <v>1</v>
      </c>
      <c r="AD84" s="567" cm="1">
        <f t="array" ref="AD84">IFERROR(VALUE(IF($A84&lt;=T1_Vaccines_NumSuitable,INDEX(T1_Vaccines_forCombi,MATCH($A84,$AE$12:$AE$37,0),AD$79),"")),IF($A84&lt;=T1_Vaccines_NumSuitable,INDEX(T1_Vaccines_forCombi,MATCH($A84,$AE$12:$AE$37,0),AD$79),""))</f>
        <v>0.05</v>
      </c>
      <c r="AE84" s="656">
        <f t="shared" si="153"/>
        <v>0</v>
      </c>
      <c r="AF84" s="656">
        <f t="shared" si="151"/>
        <v>0</v>
      </c>
      <c r="AG84" s="656">
        <f t="shared" si="151"/>
        <v>0</v>
      </c>
      <c r="AH84" s="657">
        <f t="shared" si="154"/>
        <v>0</v>
      </c>
      <c r="AI84" s="567">
        <f t="shared" si="152"/>
        <v>0</v>
      </c>
      <c r="AJ84" s="567">
        <f t="shared" si="152"/>
        <v>0</v>
      </c>
      <c r="AK84" s="567">
        <f t="shared" si="152"/>
        <v>0</v>
      </c>
      <c r="AL84" s="567">
        <f t="shared" si="152"/>
        <v>0</v>
      </c>
      <c r="AM84" s="564"/>
      <c r="AN84" s="564"/>
      <c r="AO84" s="564"/>
      <c r="AP84" s="564"/>
      <c r="AQ84" s="564"/>
      <c r="AR84" s="564"/>
      <c r="AS84" s="564"/>
      <c r="AT84" s="564"/>
      <c r="AU84" s="564"/>
      <c r="AV84" s="564"/>
      <c r="AW84" s="564"/>
      <c r="AX84" s="564"/>
      <c r="AY84" s="564"/>
      <c r="AZ84" s="564"/>
      <c r="BA84" s="564"/>
      <c r="BB84" s="564"/>
      <c r="BC84" s="564"/>
      <c r="BD84" s="564"/>
      <c r="BE84" s="564"/>
      <c r="BF84" s="564"/>
      <c r="BG84" s="564"/>
      <c r="BH84" s="564"/>
      <c r="BI84" s="564"/>
      <c r="BJ84" s="564"/>
      <c r="BK84" s="564"/>
      <c r="BL84" s="564"/>
      <c r="BM84" s="564"/>
      <c r="BN84" s="564"/>
      <c r="BO84" s="564"/>
      <c r="BP84" s="564"/>
      <c r="BQ84" s="564"/>
      <c r="BR84" s="564"/>
      <c r="BS84" s="564"/>
      <c r="BT84" s="564"/>
      <c r="BU84" s="564"/>
      <c r="BV84" s="564"/>
      <c r="BW84" s="564"/>
      <c r="BX84" s="564"/>
      <c r="BY84" s="564"/>
      <c r="BZ84" s="564"/>
      <c r="CA84" s="564"/>
      <c r="CB84" s="564"/>
      <c r="CC84" s="564"/>
      <c r="CD84" s="564"/>
      <c r="CE84" s="564"/>
      <c r="CF84" s="564"/>
      <c r="CG84" s="564"/>
      <c r="CH84" s="564"/>
      <c r="CI84" s="564"/>
      <c r="CJ84" s="564"/>
      <c r="CK84" s="564"/>
      <c r="CL84" s="564"/>
      <c r="CM84" s="564"/>
      <c r="CN84" s="564"/>
      <c r="CO84" s="564"/>
      <c r="CP84" s="564"/>
      <c r="CQ84" s="564"/>
      <c r="CR84" s="564"/>
      <c r="CS84" s="564"/>
      <c r="CT84" s="564"/>
      <c r="CU84" s="564"/>
      <c r="CV84" s="564"/>
      <c r="CW84" s="564"/>
      <c r="CX84" s="564"/>
      <c r="CY84" s="564"/>
      <c r="CZ84" s="564"/>
      <c r="DA84" s="564"/>
      <c r="DB84" s="564"/>
      <c r="DC84" s="564"/>
      <c r="DD84" s="564"/>
      <c r="DE84" s="564"/>
      <c r="DF84" s="564"/>
      <c r="DG84" s="564"/>
      <c r="DH84" s="564"/>
      <c r="DI84" s="564"/>
      <c r="DJ84" s="564"/>
      <c r="DK84" s="564"/>
      <c r="DL84" s="564"/>
      <c r="DM84" s="564"/>
      <c r="DN84" s="564"/>
      <c r="DO84" s="564"/>
      <c r="DP84" s="564"/>
      <c r="DQ84" s="564"/>
      <c r="DR84" s="564"/>
      <c r="DS84" s="564"/>
      <c r="DT84" s="564"/>
      <c r="DU84" s="564"/>
      <c r="DV84" s="564"/>
      <c r="DW84" s="564"/>
      <c r="DX84" s="564"/>
      <c r="DY84" s="564"/>
      <c r="DZ84" s="564"/>
      <c r="EA84" s="564"/>
      <c r="EB84" s="564"/>
      <c r="EC84" s="564"/>
      <c r="ED84" s="564"/>
      <c r="EE84" s="564"/>
      <c r="EF84" s="564"/>
      <c r="EG84" s="564"/>
      <c r="EH84" s="564"/>
      <c r="EI84" s="564"/>
      <c r="EJ84" s="564"/>
      <c r="EK84" s="564"/>
      <c r="EL84" s="564"/>
      <c r="EM84" s="564"/>
      <c r="EN84" s="564"/>
      <c r="EO84" s="564"/>
      <c r="EP84" s="564"/>
      <c r="EQ84" s="564"/>
      <c r="ER84" s="564"/>
      <c r="ES84" s="564"/>
      <c r="ET84" s="564"/>
      <c r="EU84" s="564"/>
      <c r="EV84" s="564"/>
      <c r="EW84" s="564"/>
      <c r="EX84" s="564"/>
      <c r="EY84" s="564"/>
      <c r="EZ84" s="564"/>
      <c r="FA84" s="564"/>
      <c r="FB84" s="564"/>
      <c r="FC84" s="564"/>
      <c r="FD84" s="564"/>
      <c r="FE84" s="564"/>
      <c r="FF84" s="564"/>
      <c r="FG84" s="564"/>
      <c r="FH84" s="564"/>
      <c r="FI84" s="564"/>
      <c r="FJ84" s="564"/>
      <c r="FK84" s="564"/>
      <c r="FL84" s="564"/>
      <c r="FM84" s="564"/>
      <c r="FN84" s="564"/>
      <c r="FO84" s="564"/>
      <c r="FP84" s="564"/>
      <c r="FQ84" s="564"/>
      <c r="FR84" s="564"/>
      <c r="FS84" s="564"/>
      <c r="FT84" s="564"/>
      <c r="FU84" s="564"/>
      <c r="FV84" s="564"/>
      <c r="FW84" s="564"/>
      <c r="FX84" s="564"/>
      <c r="FY84" s="564"/>
      <c r="FZ84" s="564"/>
      <c r="GA84" s="564"/>
      <c r="GB84" s="564"/>
      <c r="GC84" s="564"/>
      <c r="GD84" s="564"/>
      <c r="GE84" s="564"/>
      <c r="GF84" s="564"/>
      <c r="GG84" s="564"/>
      <c r="GH84" s="564"/>
      <c r="GI84" s="564"/>
      <c r="GJ84" s="564"/>
      <c r="GK84" s="564"/>
      <c r="GL84" s="564"/>
      <c r="GM84" s="564"/>
      <c r="GN84" s="564"/>
      <c r="GO84" s="564"/>
      <c r="GP84" s="564"/>
      <c r="GQ84" s="564"/>
      <c r="GR84" s="564"/>
      <c r="GS84" s="564"/>
      <c r="GT84" s="564"/>
      <c r="GU84" s="564"/>
      <c r="GV84" s="564"/>
      <c r="GW84" s="564"/>
      <c r="GX84" s="564"/>
      <c r="GY84" s="564"/>
      <c r="GZ84" s="564"/>
      <c r="HA84" s="564"/>
      <c r="HB84" s="564"/>
      <c r="HC84" s="564"/>
      <c r="HD84" s="564"/>
      <c r="HE84" s="564"/>
      <c r="HF84" s="564"/>
      <c r="HG84" s="564"/>
      <c r="HH84" s="564"/>
      <c r="HI84" s="564"/>
      <c r="HJ84" s="564"/>
      <c r="HK84" s="564"/>
      <c r="HL84" s="564"/>
      <c r="HM84" s="564"/>
      <c r="HN84" s="564"/>
      <c r="HO84" s="564"/>
      <c r="HP84" s="564"/>
      <c r="HQ84" s="564"/>
      <c r="HR84" s="564"/>
      <c r="HS84" s="564"/>
      <c r="HT84" s="564"/>
      <c r="HU84" s="564"/>
      <c r="HV84" s="564"/>
      <c r="HW84" s="564"/>
      <c r="HX84" s="564"/>
      <c r="HY84" s="564"/>
      <c r="HZ84" s="564"/>
      <c r="IA84" s="564"/>
      <c r="IB84" s="564"/>
      <c r="IC84" s="564"/>
      <c r="ID84" s="564"/>
      <c r="IE84" s="564"/>
      <c r="IF84" s="564"/>
      <c r="IG84" s="564"/>
      <c r="IH84" s="564"/>
      <c r="II84" s="564"/>
      <c r="IJ84" s="564"/>
      <c r="IK84" s="564"/>
      <c r="IL84" s="564"/>
      <c r="IM84" s="564"/>
      <c r="IN84" s="564"/>
      <c r="IO84" s="564"/>
      <c r="IP84" s="564"/>
      <c r="IQ84" s="564"/>
      <c r="IR84" s="564"/>
      <c r="IS84" s="564"/>
      <c r="IT84" s="564"/>
      <c r="IU84" s="564"/>
      <c r="IV84" s="564"/>
      <c r="IW84" s="564"/>
      <c r="IX84" s="564"/>
      <c r="IY84" s="564"/>
      <c r="IZ84" s="564"/>
      <c r="JA84" s="564"/>
      <c r="JB84" s="564"/>
      <c r="JC84" s="564"/>
      <c r="JD84" s="564"/>
      <c r="JE84" s="564"/>
      <c r="JF84" s="564"/>
      <c r="JG84" s="564"/>
      <c r="JH84" s="564"/>
      <c r="JI84" s="564"/>
      <c r="JJ84" s="564"/>
      <c r="JK84" s="564"/>
      <c r="JL84" s="564"/>
      <c r="JM84" s="564"/>
      <c r="JN84" s="564"/>
      <c r="JO84" s="564"/>
      <c r="JP84" s="564"/>
      <c r="JQ84" s="564"/>
      <c r="JR84" s="564"/>
      <c r="JS84" s="564"/>
      <c r="JT84" s="564"/>
      <c r="JU84" s="564"/>
      <c r="JV84" s="564"/>
      <c r="JW84" s="564"/>
      <c r="JX84" s="564"/>
      <c r="JY84" s="564"/>
    </row>
    <row r="85" spans="1:285" s="567" customFormat="1" hidden="1" x14ac:dyDescent="0.2">
      <c r="A85" s="2">
        <v>6</v>
      </c>
      <c r="C85" s="567" t="str" cm="1">
        <f t="array" ref="C85">IFERROR(VALUE(IF($A85&lt;=T1_Vaccines_NumSuitable,INDEX(T1_Vaccines_forCombi,MATCH($A85,$AE$12:$AE$37,0),C$79),"")),IF($A85&lt;=T1_Vaccines_NumSuitable,INDEX(T1_Vaccines_forCombi,MATCH($A85,$AE$12:$AE$37,0),C$79),""))</f>
        <v>CoronaVac (Pre-filled syringe)</v>
      </c>
      <c r="D85" s="567" t="str" cm="1">
        <f t="array" ref="D85">IFERROR(VALUE(IF($A85&lt;=T1_Vaccines_NumSuitable,INDEX(T1_Vaccines_forCombi,MATCH($A85,$AE$12:$AE$37,0),D$79),"")),IF($A85&lt;=T1_Vaccines_NumSuitable,INDEX(T1_Vaccines_forCombi,MATCH($A85,$AE$12:$AE$37,0),D$79),""))</f>
        <v>Sinovac Life Sciences</v>
      </c>
      <c r="E85" s="567" cm="1">
        <f t="array" ref="E85">IFERROR(VALUE(IF($A85&lt;=T1_Vaccines_NumSuitable,INDEX(T1_Vaccines_forCombi,MATCH($A85,$AE$12:$AE$37,0),E$79),"")),IF($A85&lt;=T1_Vaccines_NumSuitable,INDEX(T1_Vaccines_forCombi,MATCH($A85,$AE$12:$AE$37,0),E$79),""))</f>
        <v>7</v>
      </c>
      <c r="F85" s="567" cm="1">
        <f t="array" ref="F85">IFERROR(VALUE(IF($A85&lt;=T1_Vaccines_NumSuitable,INDEX(T1_Vaccines_forCombi,MATCH($A85,$AE$12:$AE$37,0),F$79),"")),IF($A85&lt;=T1_Vaccines_NumSuitable,INDEX(T1_Vaccines_forCombi,MATCH($A85,$AE$12:$AE$37,0),F$79),""))</f>
        <v>2</v>
      </c>
      <c r="G85" s="567" cm="1">
        <f t="array" ref="G85">IFERROR(VALUE(IF($A85&lt;=T1_Vaccines_NumSuitable,INDEX(T1_Vaccines_forCombi,MATCH($A85,$AE$12:$AE$37,0),G$79),"")),IF($A85&lt;=T1_Vaccines_NumSuitable,INDEX(T1_Vaccines_forCombi,MATCH($A85,$AE$12:$AE$37,0),G$79),""))</f>
        <v>1</v>
      </c>
      <c r="H85" s="567" cm="1">
        <f t="array" ref="H85">IFERROR(VALUE(IF($A85&lt;=T1_Vaccines_NumSuitable,INDEX(T1_Vaccines_forCombi,MATCH($A85,$AE$12:$AE$37,0),H$79),"")),IF($A85&lt;=T1_Vaccines_NumSuitable,INDEX(T1_Vaccines_forCombi,MATCH($A85,$AE$12:$AE$37,0),H$79),""))</f>
        <v>2</v>
      </c>
      <c r="I85" s="567" t="str" cm="1">
        <f t="array" ref="I85">IFERROR(VALUE(IF($A85&lt;=T1_Vaccines_NumSuitable,INDEX(T1_Vaccines_forCombi,MATCH($A85,$AE$12:$AE$37,0),I$79),"")),IF($A85&lt;=T1_Vaccines_NumSuitable,INDEX(T1_Vaccines_forCombi,MATCH($A85,$AE$12:$AE$37,0),I$79),""))</f>
        <v/>
      </c>
      <c r="J85" s="567" t="str" cm="1">
        <f t="array" ref="J85">IFERROR(VALUE(IF($A85&lt;=T1_Vaccines_NumSuitable,INDEX(T1_Vaccines_forCombi,MATCH($A85,$AE$12:$AE$37,0),J$79),"")),IF($A85&lt;=T1_Vaccines_NumSuitable,INDEX(T1_Vaccines_forCombi,MATCH($A85,$AE$12:$AE$37,0),J$79),""))</f>
        <v>IM (intramuscular)</v>
      </c>
      <c r="K85" s="567" t="str" cm="1">
        <f t="array" ref="K85">IFERROR(VALUE(IF($A85&lt;=T1_Vaccines_NumSuitable,INDEX(T1_Vaccines_forCombi,MATCH($A85,$AE$12:$AE$37,0),K$79),"")),IF($A85&lt;=T1_Vaccines_NumSuitable,INDEX(T1_Vaccines_forCombi,MATCH($A85,$AE$12:$AE$37,0),K$79),""))</f>
        <v>Refrigerated (2 to 8C)</v>
      </c>
      <c r="L85" s="567" cm="1">
        <f t="array" ref="L85">IFERROR(VALUE(IF($A85&lt;=T1_Vaccines_NumSuitable,INDEX(T1_Vaccines_forCombi,MATCH($A85,$AE$12:$AE$37,0),L$79),"")),IF($A85&lt;=T1_Vaccines_NumSuitable,INDEX(T1_Vaccines_forCombi,MATCH($A85,$AE$12:$AE$37,0),L$79),""))</f>
        <v>41.65</v>
      </c>
      <c r="M85" s="567" cm="1">
        <f t="array" ref="M85">IFERROR(VALUE(IF($A85&lt;=T1_Vaccines_NumSuitable,INDEX(T1_Vaccines_forCombi,MATCH($A85,$AE$12:$AE$37,0),M$79),"")),IF($A85&lt;=T1_Vaccines_NumSuitable,INDEX(T1_Vaccines_forCombi,MATCH($A85,$AE$12:$AE$37,0),M$79),""))</f>
        <v>30</v>
      </c>
      <c r="N85" s="567" t="str" cm="1">
        <f t="array" ref="N85">IFERROR(VALUE(IF($A85&lt;=T1_Vaccines_NumSuitable,INDEX(T1_Vaccines_forCombi,MATCH($A85,$AE$12:$AE$37,0),N$79),"")),IF($A85&lt;=T1_Vaccines_NumSuitable,INDEX(T1_Vaccines_forCombi,MATCH($A85,$AE$12:$AE$37,0),N$79),""))</f>
        <v/>
      </c>
      <c r="O85" s="567" t="str" cm="1">
        <f t="array" ref="O85">IFERROR(VALUE(IF($A85&lt;=T1_Vaccines_NumSuitable,INDEX(T1_Vaccines_forCombi,MATCH($A85,$AE$12:$AE$37,0),O$79),"")),IF($A85&lt;=T1_Vaccines_NumSuitable,INDEX(T1_Vaccines_forCombi,MATCH($A85,$AE$12:$AE$37,0),O$79),""))</f>
        <v/>
      </c>
      <c r="P85" s="567" cm="1">
        <f t="array" ref="P85">IFERROR(VALUE(IF($A85&lt;=T1_Vaccines_NumSuitable,INDEX(T1_Vaccines_forCombi,MATCH($A85,$AE$12:$AE$37,0),P$79),"")),IF($A85&lt;=T1_Vaccines_NumSuitable,INDEX(T1_Vaccines_forCombi,MATCH($A85,$AE$12:$AE$37,0),P$79),""))</f>
        <v>10</v>
      </c>
      <c r="Q85" s="567" cm="1">
        <f t="array" ref="Q85">IFERROR(VALUE(IF($A85&lt;=T1_Vaccines_NumSuitable,INDEX(T1_Vaccines_forCombi,MATCH($A85,$AE$12:$AE$37,0),Q$79),"")),IF($A85&lt;=T1_Vaccines_NumSuitable,INDEX(T1_Vaccines_forCombi,MATCH($A85,$AE$12:$AE$37,0),Q$79),""))</f>
        <v>0</v>
      </c>
      <c r="R85" s="567" cm="1">
        <f t="array" ref="R85">IFERROR(VALUE(IF($A85&lt;=T1_Vaccines_NumSuitable,INDEX(T1_Vaccines_forCombi,MATCH($A85,$AE$12:$AE$37,0),R$79),"")),IF($A85&lt;=T1_Vaccines_NumSuitable,INDEX(T1_Vaccines_forCombi,MATCH($A85,$AE$12:$AE$37,0),R$79),""))</f>
        <v>0</v>
      </c>
      <c r="S85" s="567" cm="1">
        <f t="array" ref="S85">IFERROR(VALUE(IF($A85&lt;=T1_Vaccines_NumSuitable,INDEX(T1_Vaccines_forCombi,MATCH($A85,$AE$12:$AE$37,0),S$79),"")),IF($A85&lt;=T1_Vaccines_NumSuitable,INDEX(T1_Vaccines_forCombi,MATCH($A85,$AE$12:$AE$37,0),S$79),""))</f>
        <v>0</v>
      </c>
      <c r="T85" s="567" cm="1">
        <f t="array" ref="T85">IFERROR(VALUE(IF($A85&lt;=T1_Vaccines_NumSuitable,INDEX(T1_Vaccines_forCombi,MATCH($A85,$AE$12:$AE$37,0),T$79),"")),IF($A85&lt;=T1_Vaccines_NumSuitable,INDEX(T1_Vaccines_forCombi,MATCH($A85,$AE$12:$AE$37,0),T$79),""))</f>
        <v>0</v>
      </c>
      <c r="U85" s="567" cm="1">
        <f t="array" ref="U85">IFERROR(VALUE(IF($A85&lt;=T1_Vaccines_NumSuitable,INDEX(T1_Vaccines_forCombi,MATCH($A85,$AE$12:$AE$37,0),U$79),"")),IF($A85&lt;=T1_Vaccines_NumSuitable,INDEX(T1_Vaccines_forCombi,MATCH($A85,$AE$12:$AE$37,0),U$79),""))</f>
        <v>1.05</v>
      </c>
      <c r="V85" s="567" cm="1">
        <f t="array" ref="V85">IFERROR(VALUE(IF($A85&lt;=T1_Vaccines_NumSuitable,INDEX(T1_Vaccines_forCombi,MATCH($A85,$AE$12:$AE$37,0),V$79),"")),IF($A85&lt;=T1_Vaccines_NumSuitable,INDEX(T1_Vaccines_forCombi,MATCH($A85,$AE$12:$AE$37,0),V$79),""))</f>
        <v>0</v>
      </c>
      <c r="W85" s="567" cm="1">
        <f t="array" ref="W85">IFERROR(VALUE(IF($A85&lt;=T1_Vaccines_NumSuitable,INDEX(T1_Vaccines_forCombi,MATCH($A85,$AE$12:$AE$37,0),W$79),"")),IF($A85&lt;=T1_Vaccines_NumSuitable,INDEX(T1_Vaccines_forCombi,MATCH($A85,$AE$12:$AE$37,0),W$79),""))</f>
        <v>0</v>
      </c>
      <c r="X85" s="567" cm="1">
        <f t="array" ref="X85">IFERROR(VALUE(IF($A85&lt;=T1_Vaccines_NumSuitable,INDEX(T1_Vaccines_forCombi,MATCH($A85,$AE$12:$AE$37,0),X$79),"")),IF($A85&lt;=T1_Vaccines_NumSuitable,INDEX(T1_Vaccines_forCombi,MATCH($A85,$AE$12:$AE$37,0),X$79),""))</f>
        <v>0</v>
      </c>
      <c r="Y85" s="567" cm="1">
        <f t="array" ref="Y85">IFERROR(VALUE(IF($A85&lt;=T1_Vaccines_NumSuitable,INDEX(T1_Vaccines_forCombi,MATCH($A85,$AE$12:$AE$37,0),Y$79),"")),IF($A85&lt;=T1_Vaccines_NumSuitable,INDEX(T1_Vaccines_forCombi,MATCH($A85,$AE$12:$AE$37,0),Y$79),""))</f>
        <v>0</v>
      </c>
      <c r="Z85" s="567" cm="1">
        <f t="array" ref="Z85">IFERROR(VALUE(IF($A85&lt;=T1_Vaccines_NumSuitable,INDEX(T1_Vaccines_forCombi,MATCH($A85,$AE$12:$AE$37,0),Z$79),"")),IF($A85&lt;=T1_Vaccines_NumSuitable,INDEX(T1_Vaccines_forCombi,MATCH($A85,$AE$12:$AE$37,0),Z$79),""))</f>
        <v>0</v>
      </c>
      <c r="AA85" s="567" cm="1">
        <f t="array" ref="AA85">IFERROR(VALUE(IF($A85&lt;=T1_Vaccines_NumSuitable,INDEX(T1_Vaccines_forCombi,MATCH($A85,$AE$12:$AE$37,0),AA$79),"")),IF($A85&lt;=T1_Vaccines_NumSuitable,INDEX(T1_Vaccines_forCombi,MATCH($A85,$AE$12:$AE$37,0),AA$79),""))</f>
        <v>0.01</v>
      </c>
      <c r="AB85" s="567" cm="1">
        <f t="array" ref="AB85">IFERROR(VALUE(IF($A85&lt;=T1_Vaccines_NumSuitable,INDEX(T1_Vaccines_forCombi,MATCH($A85,$AE$12:$AE$37,0),AB$79),"")),IF($A85&lt;=T1_Vaccines_NumSuitable,INDEX(T1_Vaccines_forCombi,MATCH($A85,$AE$12:$AE$37,0),AB$79),""))</f>
        <v>1.05</v>
      </c>
      <c r="AC85" s="567" cm="1">
        <f t="array" ref="AC85">IFERROR(VALUE(IF($A85&lt;=T1_Vaccines_NumSuitable,INDEX(T1_Vaccines_forCombi,MATCH($A85,$AE$12:$AE$37,0),AC$79),"")),IF($A85&lt;=T1_Vaccines_NumSuitable,INDEX(T1_Vaccines_forCombi,MATCH($A85,$AE$12:$AE$37,0),AC$79),""))</f>
        <v>1</v>
      </c>
      <c r="AD85" s="567" cm="1">
        <f t="array" ref="AD85">IFERROR(VALUE(IF($A85&lt;=T1_Vaccines_NumSuitable,INDEX(T1_Vaccines_forCombi,MATCH($A85,$AE$12:$AE$37,0),AD$79),"")),IF($A85&lt;=T1_Vaccines_NumSuitable,INDEX(T1_Vaccines_forCombi,MATCH($A85,$AE$12:$AE$37,0),AD$79),""))</f>
        <v>0.05</v>
      </c>
      <c r="AE85" s="656">
        <f t="shared" si="153"/>
        <v>0</v>
      </c>
      <c r="AF85" s="656">
        <f t="shared" si="151"/>
        <v>0</v>
      </c>
      <c r="AG85" s="656">
        <f t="shared" si="151"/>
        <v>0</v>
      </c>
      <c r="AH85" s="657">
        <f t="shared" si="154"/>
        <v>0</v>
      </c>
      <c r="AI85" s="567">
        <f t="shared" si="152"/>
        <v>0</v>
      </c>
      <c r="AJ85" s="567">
        <f t="shared" si="152"/>
        <v>0</v>
      </c>
      <c r="AK85" s="567">
        <f t="shared" si="152"/>
        <v>0</v>
      </c>
      <c r="AL85" s="567">
        <f t="shared" si="152"/>
        <v>0</v>
      </c>
      <c r="AM85" s="564"/>
      <c r="AN85" s="564"/>
      <c r="AO85" s="564"/>
      <c r="AP85" s="564"/>
      <c r="AQ85" s="564"/>
      <c r="AR85" s="564"/>
      <c r="AS85" s="564"/>
      <c r="AT85" s="564"/>
      <c r="AU85" s="564"/>
      <c r="AV85" s="564"/>
      <c r="AW85" s="564"/>
      <c r="AX85" s="564"/>
      <c r="AY85" s="564"/>
      <c r="AZ85" s="564"/>
      <c r="BA85" s="564"/>
      <c r="BB85" s="564"/>
      <c r="BC85" s="564"/>
      <c r="BD85" s="564"/>
      <c r="BE85" s="564"/>
      <c r="BF85" s="564"/>
      <c r="BG85" s="564"/>
      <c r="BH85" s="564"/>
      <c r="BI85" s="564"/>
      <c r="BJ85" s="564"/>
      <c r="BK85" s="564"/>
      <c r="BL85" s="564"/>
      <c r="BM85" s="564"/>
      <c r="BN85" s="564"/>
      <c r="BO85" s="564"/>
      <c r="BP85" s="564"/>
      <c r="BQ85" s="564"/>
      <c r="BR85" s="564"/>
      <c r="BS85" s="564"/>
      <c r="BT85" s="564"/>
      <c r="BU85" s="564"/>
      <c r="BV85" s="564"/>
      <c r="BW85" s="564"/>
      <c r="BX85" s="564"/>
      <c r="BY85" s="564"/>
      <c r="BZ85" s="564"/>
      <c r="CA85" s="564"/>
      <c r="CB85" s="564"/>
      <c r="CC85" s="564"/>
      <c r="CD85" s="564"/>
      <c r="CE85" s="564"/>
      <c r="CF85" s="564"/>
      <c r="CG85" s="564"/>
      <c r="CH85" s="564"/>
      <c r="CI85" s="564"/>
      <c r="CJ85" s="564"/>
      <c r="CK85" s="564"/>
      <c r="CL85" s="564"/>
      <c r="CM85" s="564"/>
      <c r="CN85" s="564"/>
      <c r="CO85" s="564"/>
      <c r="CP85" s="564"/>
      <c r="CQ85" s="564"/>
      <c r="CR85" s="564"/>
      <c r="CS85" s="564"/>
      <c r="CT85" s="564"/>
      <c r="CU85" s="564"/>
      <c r="CV85" s="564"/>
      <c r="CW85" s="564"/>
      <c r="CX85" s="564"/>
      <c r="CY85" s="564"/>
      <c r="CZ85" s="564"/>
      <c r="DA85" s="564"/>
      <c r="DB85" s="564"/>
      <c r="DC85" s="564"/>
      <c r="DD85" s="564"/>
      <c r="DE85" s="564"/>
      <c r="DF85" s="564"/>
      <c r="DG85" s="564"/>
      <c r="DH85" s="564"/>
      <c r="DI85" s="564"/>
      <c r="DJ85" s="564"/>
      <c r="DK85" s="564"/>
      <c r="DL85" s="564"/>
      <c r="DM85" s="564"/>
      <c r="DN85" s="564"/>
      <c r="DO85" s="564"/>
      <c r="DP85" s="564"/>
      <c r="DQ85" s="564"/>
      <c r="DR85" s="564"/>
      <c r="DS85" s="564"/>
      <c r="DT85" s="564"/>
      <c r="DU85" s="564"/>
      <c r="DV85" s="564"/>
      <c r="DW85" s="564"/>
      <c r="DX85" s="564"/>
      <c r="DY85" s="564"/>
      <c r="DZ85" s="564"/>
      <c r="EA85" s="564"/>
      <c r="EB85" s="564"/>
      <c r="EC85" s="564"/>
      <c r="ED85" s="564"/>
      <c r="EE85" s="564"/>
      <c r="EF85" s="564"/>
      <c r="EG85" s="564"/>
      <c r="EH85" s="564"/>
      <c r="EI85" s="564"/>
      <c r="EJ85" s="564"/>
      <c r="EK85" s="564"/>
      <c r="EL85" s="564"/>
      <c r="EM85" s="564"/>
      <c r="EN85" s="564"/>
      <c r="EO85" s="564"/>
      <c r="EP85" s="564"/>
      <c r="EQ85" s="564"/>
      <c r="ER85" s="564"/>
      <c r="ES85" s="564"/>
      <c r="ET85" s="564"/>
      <c r="EU85" s="564"/>
      <c r="EV85" s="564"/>
      <c r="EW85" s="564"/>
      <c r="EX85" s="564"/>
      <c r="EY85" s="564"/>
      <c r="EZ85" s="564"/>
      <c r="FA85" s="564"/>
      <c r="FB85" s="564"/>
      <c r="FC85" s="564"/>
      <c r="FD85" s="564"/>
      <c r="FE85" s="564"/>
      <c r="FF85" s="564"/>
      <c r="FG85" s="564"/>
      <c r="FH85" s="564"/>
      <c r="FI85" s="564"/>
      <c r="FJ85" s="564"/>
      <c r="FK85" s="564"/>
      <c r="FL85" s="564"/>
      <c r="FM85" s="564"/>
      <c r="FN85" s="564"/>
      <c r="FO85" s="564"/>
      <c r="FP85" s="564"/>
      <c r="FQ85" s="564"/>
      <c r="FR85" s="564"/>
      <c r="FS85" s="564"/>
      <c r="FT85" s="564"/>
      <c r="FU85" s="564"/>
      <c r="FV85" s="564"/>
      <c r="FW85" s="564"/>
      <c r="FX85" s="564"/>
      <c r="FY85" s="564"/>
      <c r="FZ85" s="564"/>
      <c r="GA85" s="564"/>
      <c r="GB85" s="564"/>
      <c r="GC85" s="564"/>
      <c r="GD85" s="564"/>
      <c r="GE85" s="564"/>
      <c r="GF85" s="564"/>
      <c r="GG85" s="564"/>
      <c r="GH85" s="564"/>
      <c r="GI85" s="564"/>
      <c r="GJ85" s="564"/>
      <c r="GK85" s="564"/>
      <c r="GL85" s="564"/>
      <c r="GM85" s="564"/>
      <c r="GN85" s="564"/>
      <c r="GO85" s="564"/>
      <c r="GP85" s="564"/>
      <c r="GQ85" s="564"/>
      <c r="GR85" s="564"/>
      <c r="GS85" s="564"/>
      <c r="GT85" s="564"/>
      <c r="GU85" s="564"/>
      <c r="GV85" s="564"/>
      <c r="GW85" s="564"/>
      <c r="GX85" s="564"/>
      <c r="GY85" s="564"/>
      <c r="GZ85" s="564"/>
      <c r="HA85" s="564"/>
      <c r="HB85" s="564"/>
      <c r="HC85" s="564"/>
      <c r="HD85" s="564"/>
      <c r="HE85" s="564"/>
      <c r="HF85" s="564"/>
      <c r="HG85" s="564"/>
      <c r="HH85" s="564"/>
      <c r="HI85" s="564"/>
      <c r="HJ85" s="564"/>
      <c r="HK85" s="564"/>
      <c r="HL85" s="564"/>
      <c r="HM85" s="564"/>
      <c r="HN85" s="564"/>
      <c r="HO85" s="564"/>
      <c r="HP85" s="564"/>
      <c r="HQ85" s="564"/>
      <c r="HR85" s="564"/>
      <c r="HS85" s="564"/>
      <c r="HT85" s="564"/>
      <c r="HU85" s="564"/>
      <c r="HV85" s="564"/>
      <c r="HW85" s="564"/>
      <c r="HX85" s="564"/>
      <c r="HY85" s="564"/>
      <c r="HZ85" s="564"/>
      <c r="IA85" s="564"/>
      <c r="IB85" s="564"/>
      <c r="IC85" s="564"/>
      <c r="ID85" s="564"/>
      <c r="IE85" s="564"/>
      <c r="IF85" s="564"/>
      <c r="IG85" s="564"/>
      <c r="IH85" s="564"/>
      <c r="II85" s="564"/>
      <c r="IJ85" s="564"/>
      <c r="IK85" s="564"/>
      <c r="IL85" s="564"/>
      <c r="IM85" s="564"/>
      <c r="IN85" s="564"/>
      <c r="IO85" s="564"/>
      <c r="IP85" s="564"/>
      <c r="IQ85" s="564"/>
      <c r="IR85" s="564"/>
      <c r="IS85" s="564"/>
      <c r="IT85" s="564"/>
      <c r="IU85" s="564"/>
      <c r="IV85" s="564"/>
      <c r="IW85" s="564"/>
      <c r="IX85" s="564"/>
      <c r="IY85" s="564"/>
      <c r="IZ85" s="564"/>
      <c r="JA85" s="564"/>
      <c r="JB85" s="564"/>
      <c r="JC85" s="564"/>
      <c r="JD85" s="564"/>
      <c r="JE85" s="564"/>
      <c r="JF85" s="564"/>
      <c r="JG85" s="564"/>
      <c r="JH85" s="564"/>
      <c r="JI85" s="564"/>
      <c r="JJ85" s="564"/>
      <c r="JK85" s="564"/>
      <c r="JL85" s="564"/>
      <c r="JM85" s="564"/>
      <c r="JN85" s="564"/>
      <c r="JO85" s="564"/>
      <c r="JP85" s="564"/>
      <c r="JQ85" s="564"/>
      <c r="JR85" s="564"/>
      <c r="JS85" s="564"/>
      <c r="JT85" s="564"/>
      <c r="JU85" s="564"/>
      <c r="JV85" s="564"/>
      <c r="JW85" s="564"/>
      <c r="JX85" s="564"/>
      <c r="JY85" s="564"/>
    </row>
    <row r="86" spans="1:285" s="567" customFormat="1" hidden="1" x14ac:dyDescent="0.2">
      <c r="A86" s="2">
        <v>7</v>
      </c>
      <c r="C86" s="567" t="str" cm="1">
        <f t="array" ref="C86">IFERROR(VALUE(IF($A86&lt;=T1_Vaccines_NumSuitable,INDEX(T1_Vaccines_forCombi,MATCH($A86,$AE$12:$AE$37,0),C$79),"")),IF($A86&lt;=T1_Vaccines_NumSuitable,INDEX(T1_Vaccines_forCombi,MATCH($A86,$AE$12:$AE$37,0),C$79),""))</f>
        <v>CoronaVac (Vial)</v>
      </c>
      <c r="D86" s="567" t="str" cm="1">
        <f t="array" ref="D86">IFERROR(VALUE(IF($A86&lt;=T1_Vaccines_NumSuitable,INDEX(T1_Vaccines_forCombi,MATCH($A86,$AE$12:$AE$37,0),D$79),"")),IF($A86&lt;=T1_Vaccines_NumSuitable,INDEX(T1_Vaccines_forCombi,MATCH($A86,$AE$12:$AE$37,0),D$79),""))</f>
        <v>Sinovac Life Sciences</v>
      </c>
      <c r="E86" s="567" cm="1">
        <f t="array" ref="E86">IFERROR(VALUE(IF($A86&lt;=T1_Vaccines_NumSuitable,INDEX(T1_Vaccines_forCombi,MATCH($A86,$AE$12:$AE$37,0),E$79),"")),IF($A86&lt;=T1_Vaccines_NumSuitable,INDEX(T1_Vaccines_forCombi,MATCH($A86,$AE$12:$AE$37,0),E$79),""))</f>
        <v>7</v>
      </c>
      <c r="F86" s="567" cm="1">
        <f t="array" ref="F86">IFERROR(VALUE(IF($A86&lt;=T1_Vaccines_NumSuitable,INDEX(T1_Vaccines_forCombi,MATCH($A86,$AE$12:$AE$37,0),F$79),"")),IF($A86&lt;=T1_Vaccines_NumSuitable,INDEX(T1_Vaccines_forCombi,MATCH($A86,$AE$12:$AE$37,0),F$79),""))</f>
        <v>2</v>
      </c>
      <c r="G86" s="567" cm="1">
        <f t="array" ref="G86">IFERROR(VALUE(IF($A86&lt;=T1_Vaccines_NumSuitable,INDEX(T1_Vaccines_forCombi,MATCH($A86,$AE$12:$AE$37,0),G$79),"")),IF($A86&lt;=T1_Vaccines_NumSuitable,INDEX(T1_Vaccines_forCombi,MATCH($A86,$AE$12:$AE$37,0),G$79),""))</f>
        <v>1</v>
      </c>
      <c r="H86" s="567" cm="1">
        <f t="array" ref="H86">IFERROR(VALUE(IF($A86&lt;=T1_Vaccines_NumSuitable,INDEX(T1_Vaccines_forCombi,MATCH($A86,$AE$12:$AE$37,0),H$79),"")),IF($A86&lt;=T1_Vaccines_NumSuitable,INDEX(T1_Vaccines_forCombi,MATCH($A86,$AE$12:$AE$37,0),H$79),""))</f>
        <v>2</v>
      </c>
      <c r="I86" s="567" t="str" cm="1">
        <f t="array" ref="I86">IFERROR(VALUE(IF($A86&lt;=T1_Vaccines_NumSuitable,INDEX(T1_Vaccines_forCombi,MATCH($A86,$AE$12:$AE$37,0),I$79),"")),IF($A86&lt;=T1_Vaccines_NumSuitable,INDEX(T1_Vaccines_forCombi,MATCH($A86,$AE$12:$AE$37,0),I$79),""))</f>
        <v/>
      </c>
      <c r="J86" s="567" t="str" cm="1">
        <f t="array" ref="J86">IFERROR(VALUE(IF($A86&lt;=T1_Vaccines_NumSuitable,INDEX(T1_Vaccines_forCombi,MATCH($A86,$AE$12:$AE$37,0),J$79),"")),IF($A86&lt;=T1_Vaccines_NumSuitable,INDEX(T1_Vaccines_forCombi,MATCH($A86,$AE$12:$AE$37,0),J$79),""))</f>
        <v>IM (intramuscular)</v>
      </c>
      <c r="K86" s="567" t="str" cm="1">
        <f t="array" ref="K86">IFERROR(VALUE(IF($A86&lt;=T1_Vaccines_NumSuitable,INDEX(T1_Vaccines_forCombi,MATCH($A86,$AE$12:$AE$37,0),K$79),"")),IF($A86&lt;=T1_Vaccines_NumSuitable,INDEX(T1_Vaccines_forCombi,MATCH($A86,$AE$12:$AE$37,0),K$79),""))</f>
        <v>Refrigerated (2 to 8C)</v>
      </c>
      <c r="L86" s="567" cm="1">
        <f t="array" ref="L86">IFERROR(VALUE(IF($A86&lt;=T1_Vaccines_NumSuitable,INDEX(T1_Vaccines_forCombi,MATCH($A86,$AE$12:$AE$37,0),L$79),"")),IF($A86&lt;=T1_Vaccines_NumSuitable,INDEX(T1_Vaccines_forCombi,MATCH($A86,$AE$12:$AE$37,0),L$79),""))</f>
        <v>16.3</v>
      </c>
      <c r="M86" s="567" cm="1">
        <f t="array" ref="M86">IFERROR(VALUE(IF($A86&lt;=T1_Vaccines_NumSuitable,INDEX(T1_Vaccines_forCombi,MATCH($A86,$AE$12:$AE$37,0),M$79),"")),IF($A86&lt;=T1_Vaccines_NumSuitable,INDEX(T1_Vaccines_forCombi,MATCH($A86,$AE$12:$AE$37,0),M$79),""))</f>
        <v>15</v>
      </c>
      <c r="N86" s="567" t="str" cm="1">
        <f t="array" ref="N86">IFERROR(VALUE(IF($A86&lt;=T1_Vaccines_NumSuitable,INDEX(T1_Vaccines_forCombi,MATCH($A86,$AE$12:$AE$37,0),N$79),"")),IF($A86&lt;=T1_Vaccines_NumSuitable,INDEX(T1_Vaccines_forCombi,MATCH($A86,$AE$12:$AE$37,0),N$79),""))</f>
        <v/>
      </c>
      <c r="O86" s="567" t="str" cm="1">
        <f t="array" ref="O86">IFERROR(VALUE(IF($A86&lt;=T1_Vaccines_NumSuitable,INDEX(T1_Vaccines_forCombi,MATCH($A86,$AE$12:$AE$37,0),O$79),"")),IF($A86&lt;=T1_Vaccines_NumSuitable,INDEX(T1_Vaccines_forCombi,MATCH($A86,$AE$12:$AE$37,0),O$79),""))</f>
        <v/>
      </c>
      <c r="P86" s="567" cm="1">
        <f t="array" ref="P86">IFERROR(VALUE(IF($A86&lt;=T1_Vaccines_NumSuitable,INDEX(T1_Vaccines_forCombi,MATCH($A86,$AE$12:$AE$37,0),P$79),"")),IF($A86&lt;=T1_Vaccines_NumSuitable,INDEX(T1_Vaccines_forCombi,MATCH($A86,$AE$12:$AE$37,0),P$79),""))</f>
        <v>10</v>
      </c>
      <c r="Q86" s="567" cm="1">
        <f t="array" ref="Q86">IFERROR(VALUE(IF($A86&lt;=T1_Vaccines_NumSuitable,INDEX(T1_Vaccines_forCombi,MATCH($A86,$AE$12:$AE$37,0),Q$79),"")),IF($A86&lt;=T1_Vaccines_NumSuitable,INDEX(T1_Vaccines_forCombi,MATCH($A86,$AE$12:$AE$37,0),Q$79),""))</f>
        <v>0</v>
      </c>
      <c r="R86" s="567" cm="1">
        <f t="array" ref="R86">IFERROR(VALUE(IF($A86&lt;=T1_Vaccines_NumSuitable,INDEX(T1_Vaccines_forCombi,MATCH($A86,$AE$12:$AE$37,0),R$79),"")),IF($A86&lt;=T1_Vaccines_NumSuitable,INDEX(T1_Vaccines_forCombi,MATCH($A86,$AE$12:$AE$37,0),R$79),""))</f>
        <v>0</v>
      </c>
      <c r="S86" s="567" cm="1">
        <f t="array" ref="S86">IFERROR(VALUE(IF($A86&lt;=T1_Vaccines_NumSuitable,INDEX(T1_Vaccines_forCombi,MATCH($A86,$AE$12:$AE$37,0),S$79),"")),IF($A86&lt;=T1_Vaccines_NumSuitable,INDEX(T1_Vaccines_forCombi,MATCH($A86,$AE$12:$AE$37,0),S$79),""))</f>
        <v>1.05</v>
      </c>
      <c r="T86" s="567" cm="1">
        <f t="array" ref="T86">IFERROR(VALUE(IF($A86&lt;=T1_Vaccines_NumSuitable,INDEX(T1_Vaccines_forCombi,MATCH($A86,$AE$12:$AE$37,0),T$79),"")),IF($A86&lt;=T1_Vaccines_NumSuitable,INDEX(T1_Vaccines_forCombi,MATCH($A86,$AE$12:$AE$37,0),T$79),""))</f>
        <v>1.05</v>
      </c>
      <c r="U86" s="567" cm="1">
        <f t="array" ref="U86">IFERROR(VALUE(IF($A86&lt;=T1_Vaccines_NumSuitable,INDEX(T1_Vaccines_forCombi,MATCH($A86,$AE$12:$AE$37,0),U$79),"")),IF($A86&lt;=T1_Vaccines_NumSuitable,INDEX(T1_Vaccines_forCombi,MATCH($A86,$AE$12:$AE$37,0),U$79),""))</f>
        <v>1.05</v>
      </c>
      <c r="V86" s="567" cm="1">
        <f t="array" ref="V86">IFERROR(VALUE(IF($A86&lt;=T1_Vaccines_NumSuitable,INDEX(T1_Vaccines_forCombi,MATCH($A86,$AE$12:$AE$37,0),V$79),"")),IF($A86&lt;=T1_Vaccines_NumSuitable,INDEX(T1_Vaccines_forCombi,MATCH($A86,$AE$12:$AE$37,0),V$79),""))</f>
        <v>0</v>
      </c>
      <c r="W86" s="567" cm="1">
        <f t="array" ref="W86">IFERROR(VALUE(IF($A86&lt;=T1_Vaccines_NumSuitable,INDEX(T1_Vaccines_forCombi,MATCH($A86,$AE$12:$AE$37,0),W$79),"")),IF($A86&lt;=T1_Vaccines_NumSuitable,INDEX(T1_Vaccines_forCombi,MATCH($A86,$AE$12:$AE$37,0),W$79),""))</f>
        <v>0</v>
      </c>
      <c r="X86" s="567" cm="1">
        <f t="array" ref="X86">IFERROR(VALUE(IF($A86&lt;=T1_Vaccines_NumSuitable,INDEX(T1_Vaccines_forCombi,MATCH($A86,$AE$12:$AE$37,0),X$79),"")),IF($A86&lt;=T1_Vaccines_NumSuitable,INDEX(T1_Vaccines_forCombi,MATCH($A86,$AE$12:$AE$37,0),X$79),""))</f>
        <v>0</v>
      </c>
      <c r="Y86" s="567" cm="1">
        <f t="array" ref="Y86">IFERROR(VALUE(IF($A86&lt;=T1_Vaccines_NumSuitable,INDEX(T1_Vaccines_forCombi,MATCH($A86,$AE$12:$AE$37,0),Y$79),"")),IF($A86&lt;=T1_Vaccines_NumSuitable,INDEX(T1_Vaccines_forCombi,MATCH($A86,$AE$12:$AE$37,0),Y$79),""))</f>
        <v>0</v>
      </c>
      <c r="Z86" s="567" cm="1">
        <f t="array" ref="Z86">IFERROR(VALUE(IF($A86&lt;=T1_Vaccines_NumSuitable,INDEX(T1_Vaccines_forCombi,MATCH($A86,$AE$12:$AE$37,0),Z$79),"")),IF($A86&lt;=T1_Vaccines_NumSuitable,INDEX(T1_Vaccines_forCombi,MATCH($A86,$AE$12:$AE$37,0),Z$79),""))</f>
        <v>0</v>
      </c>
      <c r="AA86" s="567" cm="1">
        <f t="array" ref="AA86">IFERROR(VALUE(IF($A86&lt;=T1_Vaccines_NumSuitable,INDEX(T1_Vaccines_forCombi,MATCH($A86,$AE$12:$AE$37,0),AA$79),"")),IF($A86&lt;=T1_Vaccines_NumSuitable,INDEX(T1_Vaccines_forCombi,MATCH($A86,$AE$12:$AE$37,0),AA$79),""))</f>
        <v>0.01</v>
      </c>
      <c r="AB86" s="567" cm="1">
        <f t="array" ref="AB86">IFERROR(VALUE(IF($A86&lt;=T1_Vaccines_NumSuitable,INDEX(T1_Vaccines_forCombi,MATCH($A86,$AE$12:$AE$37,0),AB$79),"")),IF($A86&lt;=T1_Vaccines_NumSuitable,INDEX(T1_Vaccines_forCombi,MATCH($A86,$AE$12:$AE$37,0),AB$79),""))</f>
        <v>1.05</v>
      </c>
      <c r="AC86" s="567" cm="1">
        <f t="array" ref="AC86">IFERROR(VALUE(IF($A86&lt;=T1_Vaccines_NumSuitable,INDEX(T1_Vaccines_forCombi,MATCH($A86,$AE$12:$AE$37,0),AC$79),"")),IF($A86&lt;=T1_Vaccines_NumSuitable,INDEX(T1_Vaccines_forCombi,MATCH($A86,$AE$12:$AE$37,0),AC$79),""))</f>
        <v>1</v>
      </c>
      <c r="AD86" s="567" cm="1">
        <f t="array" ref="AD86">IFERROR(VALUE(IF($A86&lt;=T1_Vaccines_NumSuitable,INDEX(T1_Vaccines_forCombi,MATCH($A86,$AE$12:$AE$37,0),AD$79),"")),IF($A86&lt;=T1_Vaccines_NumSuitable,INDEX(T1_Vaccines_forCombi,MATCH($A86,$AE$12:$AE$37,0),AD$79),""))</f>
        <v>0.05</v>
      </c>
      <c r="AE86" s="656">
        <f t="shared" si="153"/>
        <v>0</v>
      </c>
      <c r="AF86" s="656">
        <f t="shared" si="151"/>
        <v>0</v>
      </c>
      <c r="AG86" s="656">
        <f t="shared" si="151"/>
        <v>0</v>
      </c>
      <c r="AH86" s="657">
        <f t="shared" si="154"/>
        <v>0</v>
      </c>
      <c r="AI86" s="567">
        <f t="shared" si="152"/>
        <v>0</v>
      </c>
      <c r="AJ86" s="567">
        <f t="shared" si="152"/>
        <v>0</v>
      </c>
      <c r="AK86" s="567">
        <f t="shared" si="152"/>
        <v>0</v>
      </c>
      <c r="AL86" s="567">
        <f t="shared" si="152"/>
        <v>0</v>
      </c>
      <c r="AM86" s="564"/>
      <c r="AN86" s="564"/>
      <c r="AO86" s="564"/>
      <c r="AP86" s="564"/>
      <c r="AQ86" s="564"/>
      <c r="AR86" s="564"/>
      <c r="AS86" s="564"/>
      <c r="AT86" s="564"/>
      <c r="AU86" s="564"/>
      <c r="AV86" s="564"/>
      <c r="AW86" s="564"/>
      <c r="AX86" s="564"/>
      <c r="AY86" s="564"/>
      <c r="AZ86" s="564"/>
      <c r="BA86" s="564"/>
      <c r="BB86" s="564"/>
      <c r="BC86" s="564"/>
      <c r="BD86" s="564"/>
      <c r="BE86" s="564"/>
      <c r="BF86" s="564"/>
      <c r="BG86" s="564"/>
      <c r="BH86" s="564"/>
      <c r="BI86" s="564"/>
      <c r="BJ86" s="564"/>
      <c r="BK86" s="564"/>
      <c r="BL86" s="564"/>
      <c r="BM86" s="564"/>
      <c r="BN86" s="564"/>
      <c r="BO86" s="564"/>
      <c r="BP86" s="564"/>
      <c r="BQ86" s="564"/>
      <c r="BR86" s="564"/>
      <c r="BS86" s="564"/>
      <c r="BT86" s="564"/>
      <c r="BU86" s="564"/>
      <c r="BV86" s="564"/>
      <c r="BW86" s="564"/>
      <c r="BX86" s="564"/>
      <c r="BY86" s="564"/>
      <c r="BZ86" s="564"/>
      <c r="CA86" s="564"/>
      <c r="CB86" s="564"/>
      <c r="CC86" s="564"/>
      <c r="CD86" s="564"/>
      <c r="CE86" s="564"/>
      <c r="CF86" s="564"/>
      <c r="CG86" s="564"/>
      <c r="CH86" s="564"/>
      <c r="CI86" s="564"/>
      <c r="CJ86" s="564"/>
      <c r="CK86" s="564"/>
      <c r="CL86" s="564"/>
      <c r="CM86" s="564"/>
      <c r="CN86" s="564"/>
      <c r="CO86" s="564"/>
      <c r="CP86" s="564"/>
      <c r="CQ86" s="564"/>
      <c r="CR86" s="564"/>
      <c r="CS86" s="564"/>
      <c r="CT86" s="564"/>
      <c r="CU86" s="564"/>
      <c r="CV86" s="564"/>
      <c r="CW86" s="564"/>
      <c r="CX86" s="564"/>
      <c r="CY86" s="564"/>
      <c r="CZ86" s="564"/>
      <c r="DA86" s="564"/>
      <c r="DB86" s="564"/>
      <c r="DC86" s="564"/>
      <c r="DD86" s="564"/>
      <c r="DE86" s="564"/>
      <c r="DF86" s="564"/>
      <c r="DG86" s="564"/>
      <c r="DH86" s="564"/>
      <c r="DI86" s="564"/>
      <c r="DJ86" s="564"/>
      <c r="DK86" s="564"/>
      <c r="DL86" s="564"/>
      <c r="DM86" s="564"/>
      <c r="DN86" s="564"/>
      <c r="DO86" s="564"/>
      <c r="DP86" s="564"/>
      <c r="DQ86" s="564"/>
      <c r="DR86" s="564"/>
      <c r="DS86" s="564"/>
      <c r="DT86" s="564"/>
      <c r="DU86" s="564"/>
      <c r="DV86" s="564"/>
      <c r="DW86" s="564"/>
      <c r="DX86" s="564"/>
      <c r="DY86" s="564"/>
      <c r="DZ86" s="564"/>
      <c r="EA86" s="564"/>
      <c r="EB86" s="564"/>
      <c r="EC86" s="564"/>
      <c r="ED86" s="564"/>
      <c r="EE86" s="564"/>
      <c r="EF86" s="564"/>
      <c r="EG86" s="564"/>
      <c r="EH86" s="564"/>
      <c r="EI86" s="564"/>
      <c r="EJ86" s="564"/>
      <c r="EK86" s="564"/>
      <c r="EL86" s="564"/>
      <c r="EM86" s="564"/>
      <c r="EN86" s="564"/>
      <c r="EO86" s="564"/>
      <c r="EP86" s="564"/>
      <c r="EQ86" s="564"/>
      <c r="ER86" s="564"/>
      <c r="ES86" s="564"/>
      <c r="ET86" s="564"/>
      <c r="EU86" s="564"/>
      <c r="EV86" s="564"/>
      <c r="EW86" s="564"/>
      <c r="EX86" s="564"/>
      <c r="EY86" s="564"/>
      <c r="EZ86" s="564"/>
      <c r="FA86" s="564"/>
      <c r="FB86" s="564"/>
      <c r="FC86" s="564"/>
      <c r="FD86" s="564"/>
      <c r="FE86" s="564"/>
      <c r="FF86" s="564"/>
      <c r="FG86" s="564"/>
      <c r="FH86" s="564"/>
      <c r="FI86" s="564"/>
      <c r="FJ86" s="564"/>
      <c r="FK86" s="564"/>
      <c r="FL86" s="564"/>
      <c r="FM86" s="564"/>
      <c r="FN86" s="564"/>
      <c r="FO86" s="564"/>
      <c r="FP86" s="564"/>
      <c r="FQ86" s="564"/>
      <c r="FR86" s="564"/>
      <c r="FS86" s="564"/>
      <c r="FT86" s="564"/>
      <c r="FU86" s="564"/>
      <c r="FV86" s="564"/>
      <c r="FW86" s="564"/>
      <c r="FX86" s="564"/>
      <c r="FY86" s="564"/>
      <c r="FZ86" s="564"/>
      <c r="GA86" s="564"/>
      <c r="GB86" s="564"/>
      <c r="GC86" s="564"/>
      <c r="GD86" s="564"/>
      <c r="GE86" s="564"/>
      <c r="GF86" s="564"/>
      <c r="GG86" s="564"/>
      <c r="GH86" s="564"/>
      <c r="GI86" s="564"/>
      <c r="GJ86" s="564"/>
      <c r="GK86" s="564"/>
      <c r="GL86" s="564"/>
      <c r="GM86" s="564"/>
      <c r="GN86" s="564"/>
      <c r="GO86" s="564"/>
      <c r="GP86" s="564"/>
      <c r="GQ86" s="564"/>
      <c r="GR86" s="564"/>
      <c r="GS86" s="564"/>
      <c r="GT86" s="564"/>
      <c r="GU86" s="564"/>
      <c r="GV86" s="564"/>
      <c r="GW86" s="564"/>
      <c r="GX86" s="564"/>
      <c r="GY86" s="564"/>
      <c r="GZ86" s="564"/>
      <c r="HA86" s="564"/>
      <c r="HB86" s="564"/>
      <c r="HC86" s="564"/>
      <c r="HD86" s="564"/>
      <c r="HE86" s="564"/>
      <c r="HF86" s="564"/>
      <c r="HG86" s="564"/>
      <c r="HH86" s="564"/>
      <c r="HI86" s="564"/>
      <c r="HJ86" s="564"/>
      <c r="HK86" s="564"/>
      <c r="HL86" s="564"/>
      <c r="HM86" s="564"/>
      <c r="HN86" s="564"/>
      <c r="HO86" s="564"/>
      <c r="HP86" s="564"/>
      <c r="HQ86" s="564"/>
      <c r="HR86" s="564"/>
      <c r="HS86" s="564"/>
      <c r="HT86" s="564"/>
      <c r="HU86" s="564"/>
      <c r="HV86" s="564"/>
      <c r="HW86" s="564"/>
      <c r="HX86" s="564"/>
      <c r="HY86" s="564"/>
      <c r="HZ86" s="564"/>
      <c r="IA86" s="564"/>
      <c r="IB86" s="564"/>
      <c r="IC86" s="564"/>
      <c r="ID86" s="564"/>
      <c r="IE86" s="564"/>
      <c r="IF86" s="564"/>
      <c r="IG86" s="564"/>
      <c r="IH86" s="564"/>
      <c r="II86" s="564"/>
      <c r="IJ86" s="564"/>
      <c r="IK86" s="564"/>
      <c r="IL86" s="564"/>
      <c r="IM86" s="564"/>
      <c r="IN86" s="564"/>
      <c r="IO86" s="564"/>
      <c r="IP86" s="564"/>
      <c r="IQ86" s="564"/>
      <c r="IR86" s="564"/>
      <c r="IS86" s="564"/>
      <c r="IT86" s="564"/>
      <c r="IU86" s="564"/>
      <c r="IV86" s="564"/>
      <c r="IW86" s="564"/>
      <c r="IX86" s="564"/>
      <c r="IY86" s="564"/>
      <c r="IZ86" s="564"/>
      <c r="JA86" s="564"/>
      <c r="JB86" s="564"/>
      <c r="JC86" s="564"/>
      <c r="JD86" s="564"/>
      <c r="JE86" s="564"/>
      <c r="JF86" s="564"/>
      <c r="JG86" s="564"/>
      <c r="JH86" s="564"/>
      <c r="JI86" s="564"/>
      <c r="JJ86" s="564"/>
      <c r="JK86" s="564"/>
      <c r="JL86" s="564"/>
      <c r="JM86" s="564"/>
      <c r="JN86" s="564"/>
      <c r="JO86" s="564"/>
      <c r="JP86" s="564"/>
      <c r="JQ86" s="564"/>
      <c r="JR86" s="564"/>
      <c r="JS86" s="564"/>
      <c r="JT86" s="564"/>
      <c r="JU86" s="564"/>
      <c r="JV86" s="564"/>
      <c r="JW86" s="564"/>
      <c r="JX86" s="564"/>
      <c r="JY86" s="564"/>
    </row>
    <row r="87" spans="1:285" s="567" customFormat="1" hidden="1" x14ac:dyDescent="0.2">
      <c r="A87" s="2">
        <v>8</v>
      </c>
      <c r="C87" s="567" t="str" cm="1">
        <f t="array" ref="C87">IFERROR(VALUE(IF($A87&lt;=T1_Vaccines_NumSuitable,INDEX(T1_Vaccines_forCombi,MATCH($A87,$AE$12:$AE$37,0),C$79),"")),IF($A87&lt;=T1_Vaccines_NumSuitable,INDEX(T1_Vaccines_forCombi,MATCH($A87,$AE$12:$AE$37,0),C$79),""))</f>
        <v>BBV152 (Covaxin) 20-dose vial</v>
      </c>
      <c r="D87" s="567" t="str" cm="1">
        <f t="array" ref="D87">IFERROR(VALUE(IF($A87&lt;=T1_Vaccines_NumSuitable,INDEX(T1_Vaccines_forCombi,MATCH($A87,$AE$12:$AE$37,0),D$79),"")),IF($A87&lt;=T1_Vaccines_NumSuitable,INDEX(T1_Vaccines_forCombi,MATCH($A87,$AE$12:$AE$37,0),D$79),""))</f>
        <v>Bharat Biotech International</v>
      </c>
      <c r="E87" s="567" cm="1">
        <f t="array" ref="E87">IFERROR(VALUE(IF($A87&lt;=T1_Vaccines_NumSuitable,INDEX(T1_Vaccines_forCombi,MATCH($A87,$AE$12:$AE$37,0),E$79),"")),IF($A87&lt;=T1_Vaccines_NumSuitable,INDEX(T1_Vaccines_forCombi,MATCH($A87,$AE$12:$AE$37,0),E$79),""))</f>
        <v>7</v>
      </c>
      <c r="F87" s="567" cm="1">
        <f t="array" ref="F87">IFERROR(VALUE(IF($A87&lt;=T1_Vaccines_NumSuitable,INDEX(T1_Vaccines_forCombi,MATCH($A87,$AE$12:$AE$37,0),F$79),"")),IF($A87&lt;=T1_Vaccines_NumSuitable,INDEX(T1_Vaccines_forCombi,MATCH($A87,$AE$12:$AE$37,0),F$79),""))</f>
        <v>2</v>
      </c>
      <c r="G87" s="567" cm="1">
        <f t="array" ref="G87">IFERROR(VALUE(IF($A87&lt;=T1_Vaccines_NumSuitable,INDEX(T1_Vaccines_forCombi,MATCH($A87,$AE$12:$AE$37,0),G$79),"")),IF($A87&lt;=T1_Vaccines_NumSuitable,INDEX(T1_Vaccines_forCombi,MATCH($A87,$AE$12:$AE$37,0),G$79),""))</f>
        <v>20</v>
      </c>
      <c r="H87" s="567" cm="1">
        <f t="array" ref="H87">IFERROR(VALUE(IF($A87&lt;=T1_Vaccines_NumSuitable,INDEX(T1_Vaccines_forCombi,MATCH($A87,$AE$12:$AE$37,0),H$79),"")),IF($A87&lt;=T1_Vaccines_NumSuitable,INDEX(T1_Vaccines_forCombi,MATCH($A87,$AE$12:$AE$37,0),H$79),""))</f>
        <v>4</v>
      </c>
      <c r="I87" s="567" t="str" cm="1">
        <f t="array" ref="I87">IFERROR(VALUE(IF($A87&lt;=T1_Vaccines_NumSuitable,INDEX(T1_Vaccines_forCombi,MATCH($A87,$AE$12:$AE$37,0),I$79),"")),IF($A87&lt;=T1_Vaccines_NumSuitable,INDEX(T1_Vaccines_forCombi,MATCH($A87,$AE$12:$AE$37,0),I$79),""))</f>
        <v/>
      </c>
      <c r="J87" s="567" t="str" cm="1">
        <f t="array" ref="J87">IFERROR(VALUE(IF($A87&lt;=T1_Vaccines_NumSuitable,INDEX(T1_Vaccines_forCombi,MATCH($A87,$AE$12:$AE$37,0),J$79),"")),IF($A87&lt;=T1_Vaccines_NumSuitable,INDEX(T1_Vaccines_forCombi,MATCH($A87,$AE$12:$AE$37,0),J$79),""))</f>
        <v>IM (intramuscular)</v>
      </c>
      <c r="K87" s="567" t="str" cm="1">
        <f t="array" ref="K87">IFERROR(VALUE(IF($A87&lt;=T1_Vaccines_NumSuitable,INDEX(T1_Vaccines_forCombi,MATCH($A87,$AE$12:$AE$37,0),K$79),"")),IF($A87&lt;=T1_Vaccines_NumSuitable,INDEX(T1_Vaccines_forCombi,MATCH($A87,$AE$12:$AE$37,0),K$79),""))</f>
        <v>Refrigerated (2 to 8C)</v>
      </c>
      <c r="L87" s="567" cm="1">
        <f t="array" ref="L87">IFERROR(VALUE(IF($A87&lt;=T1_Vaccines_NumSuitable,INDEX(T1_Vaccines_forCombi,MATCH($A87,$AE$12:$AE$37,0),L$79),"")),IF($A87&lt;=T1_Vaccines_NumSuitable,INDEX(T1_Vaccines_forCombi,MATCH($A87,$AE$12:$AE$37,0),L$79),""))</f>
        <v>1.72</v>
      </c>
      <c r="M87" s="567" cm="1">
        <f t="array" ref="M87">IFERROR(VALUE(IF($A87&lt;=T1_Vaccines_NumSuitable,INDEX(T1_Vaccines_forCombi,MATCH($A87,$AE$12:$AE$37,0),M$79),"")),IF($A87&lt;=T1_Vaccines_NumSuitable,INDEX(T1_Vaccines_forCombi,MATCH($A87,$AE$12:$AE$37,0),M$79),""))</f>
        <v>2</v>
      </c>
      <c r="N87" s="567" t="str" cm="1">
        <f t="array" ref="N87">IFERROR(VALUE(IF($A87&lt;=T1_Vaccines_NumSuitable,INDEX(T1_Vaccines_forCombi,MATCH($A87,$AE$12:$AE$37,0),N$79),"")),IF($A87&lt;=T1_Vaccines_NumSuitable,INDEX(T1_Vaccines_forCombi,MATCH($A87,$AE$12:$AE$37,0),N$79),""))</f>
        <v/>
      </c>
      <c r="O87" s="567" t="str" cm="1">
        <f t="array" ref="O87">IFERROR(VALUE(IF($A87&lt;=T1_Vaccines_NumSuitable,INDEX(T1_Vaccines_forCombi,MATCH($A87,$AE$12:$AE$37,0),O$79),"")),IF($A87&lt;=T1_Vaccines_NumSuitable,INDEX(T1_Vaccines_forCombi,MATCH($A87,$AE$12:$AE$37,0),O$79),""))</f>
        <v/>
      </c>
      <c r="P87" s="567" cm="1">
        <f t="array" ref="P87">IFERROR(VALUE(IF($A87&lt;=T1_Vaccines_NumSuitable,INDEX(T1_Vaccines_forCombi,MATCH($A87,$AE$12:$AE$37,0),P$79),"")),IF($A87&lt;=T1_Vaccines_NumSuitable,INDEX(T1_Vaccines_forCombi,MATCH($A87,$AE$12:$AE$37,0),P$79),""))</f>
        <v>10</v>
      </c>
      <c r="Q87" s="567" cm="1">
        <f t="array" ref="Q87">IFERROR(VALUE(IF($A87&lt;=T1_Vaccines_NumSuitable,INDEX(T1_Vaccines_forCombi,MATCH($A87,$AE$12:$AE$37,0),Q$79),"")),IF($A87&lt;=T1_Vaccines_NumSuitable,INDEX(T1_Vaccines_forCombi,MATCH($A87,$AE$12:$AE$37,0),Q$79),""))</f>
        <v>0</v>
      </c>
      <c r="R87" s="567" cm="1">
        <f t="array" ref="R87">IFERROR(VALUE(IF($A87&lt;=T1_Vaccines_NumSuitable,INDEX(T1_Vaccines_forCombi,MATCH($A87,$AE$12:$AE$37,0),R$79),"")),IF($A87&lt;=T1_Vaccines_NumSuitable,INDEX(T1_Vaccines_forCombi,MATCH($A87,$AE$12:$AE$37,0),R$79),""))</f>
        <v>0</v>
      </c>
      <c r="S87" s="567" cm="1">
        <f t="array" ref="S87">IFERROR(VALUE(IF($A87&lt;=T1_Vaccines_NumSuitable,INDEX(T1_Vaccines_forCombi,MATCH($A87,$AE$12:$AE$37,0),S$79),"")),IF($A87&lt;=T1_Vaccines_NumSuitable,INDEX(T1_Vaccines_forCombi,MATCH($A87,$AE$12:$AE$37,0),S$79),""))</f>
        <v>1.05</v>
      </c>
      <c r="T87" s="567" cm="1">
        <f t="array" ref="T87">IFERROR(VALUE(IF($A87&lt;=T1_Vaccines_NumSuitable,INDEX(T1_Vaccines_forCombi,MATCH($A87,$AE$12:$AE$37,0),T$79),"")),IF($A87&lt;=T1_Vaccines_NumSuitable,INDEX(T1_Vaccines_forCombi,MATCH($A87,$AE$12:$AE$37,0),T$79),""))</f>
        <v>1.05</v>
      </c>
      <c r="U87" s="567" cm="1">
        <f t="array" ref="U87">IFERROR(VALUE(IF($A87&lt;=T1_Vaccines_NumSuitable,INDEX(T1_Vaccines_forCombi,MATCH($A87,$AE$12:$AE$37,0),U$79),"")),IF($A87&lt;=T1_Vaccines_NumSuitable,INDEX(T1_Vaccines_forCombi,MATCH($A87,$AE$12:$AE$37,0),U$79),""))</f>
        <v>1.05</v>
      </c>
      <c r="V87" s="567" cm="1">
        <f t="array" ref="V87">IFERROR(VALUE(IF($A87&lt;=T1_Vaccines_NumSuitable,INDEX(T1_Vaccines_forCombi,MATCH($A87,$AE$12:$AE$37,0),V$79),"")),IF($A87&lt;=T1_Vaccines_NumSuitable,INDEX(T1_Vaccines_forCombi,MATCH($A87,$AE$12:$AE$37,0),V$79),""))</f>
        <v>0</v>
      </c>
      <c r="W87" s="567" cm="1">
        <f t="array" ref="W87">IFERROR(VALUE(IF($A87&lt;=T1_Vaccines_NumSuitable,INDEX(T1_Vaccines_forCombi,MATCH($A87,$AE$12:$AE$37,0),W$79),"")),IF($A87&lt;=T1_Vaccines_NumSuitable,INDEX(T1_Vaccines_forCombi,MATCH($A87,$AE$12:$AE$37,0),W$79),""))</f>
        <v>0</v>
      </c>
      <c r="X87" s="567" cm="1">
        <f t="array" ref="X87">IFERROR(VALUE(IF($A87&lt;=T1_Vaccines_NumSuitable,INDEX(T1_Vaccines_forCombi,MATCH($A87,$AE$12:$AE$37,0),X$79),"")),IF($A87&lt;=T1_Vaccines_NumSuitable,INDEX(T1_Vaccines_forCombi,MATCH($A87,$AE$12:$AE$37,0),X$79),""))</f>
        <v>0</v>
      </c>
      <c r="Y87" s="567" cm="1">
        <f t="array" ref="Y87">IFERROR(VALUE(IF($A87&lt;=T1_Vaccines_NumSuitable,INDEX(T1_Vaccines_forCombi,MATCH($A87,$AE$12:$AE$37,0),Y$79),"")),IF($A87&lt;=T1_Vaccines_NumSuitable,INDEX(T1_Vaccines_forCombi,MATCH($A87,$AE$12:$AE$37,0),Y$79),""))</f>
        <v>0</v>
      </c>
      <c r="Z87" s="567" cm="1">
        <f t="array" ref="Z87">IFERROR(VALUE(IF($A87&lt;=T1_Vaccines_NumSuitable,INDEX(T1_Vaccines_forCombi,MATCH($A87,$AE$12:$AE$37,0),Z$79),"")),IF($A87&lt;=T1_Vaccines_NumSuitable,INDEX(T1_Vaccines_forCombi,MATCH($A87,$AE$12:$AE$37,0),Z$79),""))</f>
        <v>0</v>
      </c>
      <c r="AA87" s="567" cm="1">
        <f t="array" ref="AA87">IFERROR(VALUE(IF($A87&lt;=T1_Vaccines_NumSuitable,INDEX(T1_Vaccines_forCombi,MATCH($A87,$AE$12:$AE$37,0),AA$79),"")),IF($A87&lt;=T1_Vaccines_NumSuitable,INDEX(T1_Vaccines_forCombi,MATCH($A87,$AE$12:$AE$37,0),AA$79),""))</f>
        <v>0.01</v>
      </c>
      <c r="AB87" s="567" cm="1">
        <f t="array" ref="AB87">IFERROR(VALUE(IF($A87&lt;=T1_Vaccines_NumSuitable,INDEX(T1_Vaccines_forCombi,MATCH($A87,$AE$12:$AE$37,0),AB$79),"")),IF($A87&lt;=T1_Vaccines_NumSuitable,INDEX(T1_Vaccines_forCombi,MATCH($A87,$AE$12:$AE$37,0),AB$79),""))</f>
        <v>1.05</v>
      </c>
      <c r="AC87" s="567" cm="1">
        <f t="array" ref="AC87">IFERROR(VALUE(IF($A87&lt;=T1_Vaccines_NumSuitable,INDEX(T1_Vaccines_forCombi,MATCH($A87,$AE$12:$AE$37,0),AC$79),"")),IF($A87&lt;=T1_Vaccines_NumSuitable,INDEX(T1_Vaccines_forCombi,MATCH($A87,$AE$12:$AE$37,0),AC$79),""))</f>
        <v>1</v>
      </c>
      <c r="AD87" s="567" cm="1">
        <f t="array" ref="AD87">IFERROR(VALUE(IF($A87&lt;=T1_Vaccines_NumSuitable,INDEX(T1_Vaccines_forCombi,MATCH($A87,$AE$12:$AE$37,0),AD$79),"")),IF($A87&lt;=T1_Vaccines_NumSuitable,INDEX(T1_Vaccines_forCombi,MATCH($A87,$AE$12:$AE$37,0),AD$79),""))</f>
        <v>0.05</v>
      </c>
      <c r="AE87" s="656">
        <f t="shared" si="153"/>
        <v>0</v>
      </c>
      <c r="AF87" s="656">
        <f t="shared" si="151"/>
        <v>0</v>
      </c>
      <c r="AG87" s="656">
        <f t="shared" si="151"/>
        <v>0</v>
      </c>
      <c r="AH87" s="657">
        <f t="shared" si="154"/>
        <v>0</v>
      </c>
      <c r="AI87" s="567">
        <f t="shared" si="152"/>
        <v>0</v>
      </c>
      <c r="AJ87" s="567">
        <f t="shared" si="152"/>
        <v>0</v>
      </c>
      <c r="AK87" s="567">
        <f t="shared" si="152"/>
        <v>0</v>
      </c>
      <c r="AL87" s="567">
        <f t="shared" si="152"/>
        <v>0</v>
      </c>
      <c r="AM87" s="564"/>
      <c r="AN87" s="564"/>
      <c r="AO87" s="564"/>
      <c r="AP87" s="564"/>
      <c r="AQ87" s="564"/>
      <c r="AR87" s="564"/>
      <c r="AS87" s="564"/>
      <c r="AT87" s="564"/>
      <c r="AU87" s="564"/>
      <c r="AV87" s="564"/>
      <c r="AW87" s="564"/>
      <c r="AX87" s="564"/>
      <c r="AY87" s="564"/>
      <c r="AZ87" s="564"/>
      <c r="BA87" s="564"/>
      <c r="BB87" s="564"/>
      <c r="BC87" s="564"/>
      <c r="BD87" s="564"/>
      <c r="BE87" s="564"/>
      <c r="BF87" s="564"/>
      <c r="BG87" s="564"/>
      <c r="BH87" s="564"/>
      <c r="BI87" s="564"/>
      <c r="BJ87" s="564"/>
      <c r="BK87" s="564"/>
      <c r="BL87" s="564"/>
      <c r="BM87" s="564"/>
      <c r="BN87" s="564"/>
      <c r="BO87" s="564"/>
      <c r="BP87" s="564"/>
      <c r="BQ87" s="564"/>
      <c r="BR87" s="564"/>
      <c r="BS87" s="564"/>
      <c r="BT87" s="564"/>
      <c r="BU87" s="564"/>
      <c r="BV87" s="564"/>
      <c r="BW87" s="564"/>
      <c r="BX87" s="564"/>
      <c r="BY87" s="564"/>
      <c r="BZ87" s="564"/>
      <c r="CA87" s="564"/>
      <c r="CB87" s="564"/>
      <c r="CC87" s="564"/>
      <c r="CD87" s="564"/>
      <c r="CE87" s="564"/>
      <c r="CF87" s="564"/>
      <c r="CG87" s="564"/>
      <c r="CH87" s="564"/>
      <c r="CI87" s="564"/>
      <c r="CJ87" s="564"/>
      <c r="CK87" s="564"/>
      <c r="CL87" s="564"/>
      <c r="CM87" s="564"/>
      <c r="CN87" s="564"/>
      <c r="CO87" s="564"/>
      <c r="CP87" s="564"/>
      <c r="CQ87" s="564"/>
      <c r="CR87" s="564"/>
      <c r="CS87" s="564"/>
      <c r="CT87" s="564"/>
      <c r="CU87" s="564"/>
      <c r="CV87" s="564"/>
      <c r="CW87" s="564"/>
      <c r="CX87" s="564"/>
      <c r="CY87" s="564"/>
      <c r="CZ87" s="564"/>
      <c r="DA87" s="564"/>
      <c r="DB87" s="564"/>
      <c r="DC87" s="564"/>
      <c r="DD87" s="564"/>
      <c r="DE87" s="564"/>
      <c r="DF87" s="564"/>
      <c r="DG87" s="564"/>
      <c r="DH87" s="564"/>
      <c r="DI87" s="564"/>
      <c r="DJ87" s="564"/>
      <c r="DK87" s="564"/>
      <c r="DL87" s="564"/>
      <c r="DM87" s="564"/>
      <c r="DN87" s="564"/>
      <c r="DO87" s="564"/>
      <c r="DP87" s="564"/>
      <c r="DQ87" s="564"/>
      <c r="DR87" s="564"/>
      <c r="DS87" s="564"/>
      <c r="DT87" s="564"/>
      <c r="DU87" s="564"/>
      <c r="DV87" s="564"/>
      <c r="DW87" s="564"/>
      <c r="DX87" s="564"/>
      <c r="DY87" s="564"/>
      <c r="DZ87" s="564"/>
      <c r="EA87" s="564"/>
      <c r="EB87" s="564"/>
      <c r="EC87" s="564"/>
      <c r="ED87" s="564"/>
      <c r="EE87" s="564"/>
      <c r="EF87" s="564"/>
      <c r="EG87" s="564"/>
      <c r="EH87" s="564"/>
      <c r="EI87" s="564"/>
      <c r="EJ87" s="564"/>
      <c r="EK87" s="564"/>
      <c r="EL87" s="564"/>
      <c r="EM87" s="564"/>
      <c r="EN87" s="564"/>
      <c r="EO87" s="564"/>
      <c r="EP87" s="564"/>
      <c r="EQ87" s="564"/>
      <c r="ER87" s="564"/>
      <c r="ES87" s="564"/>
      <c r="ET87" s="564"/>
      <c r="EU87" s="564"/>
      <c r="EV87" s="564"/>
      <c r="EW87" s="564"/>
      <c r="EX87" s="564"/>
      <c r="EY87" s="564"/>
      <c r="EZ87" s="564"/>
      <c r="FA87" s="564"/>
      <c r="FB87" s="564"/>
      <c r="FC87" s="564"/>
      <c r="FD87" s="564"/>
      <c r="FE87" s="564"/>
      <c r="FF87" s="564"/>
      <c r="FG87" s="564"/>
      <c r="FH87" s="564"/>
      <c r="FI87" s="564"/>
      <c r="FJ87" s="564"/>
      <c r="FK87" s="564"/>
      <c r="FL87" s="564"/>
      <c r="FM87" s="564"/>
      <c r="FN87" s="564"/>
      <c r="FO87" s="564"/>
      <c r="FP87" s="564"/>
      <c r="FQ87" s="564"/>
      <c r="FR87" s="564"/>
      <c r="FS87" s="564"/>
      <c r="FT87" s="564"/>
      <c r="FU87" s="564"/>
      <c r="FV87" s="564"/>
      <c r="FW87" s="564"/>
      <c r="FX87" s="564"/>
      <c r="FY87" s="564"/>
      <c r="FZ87" s="564"/>
      <c r="GA87" s="564"/>
      <c r="GB87" s="564"/>
      <c r="GC87" s="564"/>
      <c r="GD87" s="564"/>
      <c r="GE87" s="564"/>
      <c r="GF87" s="564"/>
      <c r="GG87" s="564"/>
      <c r="GH87" s="564"/>
      <c r="GI87" s="564"/>
      <c r="GJ87" s="564"/>
      <c r="GK87" s="564"/>
      <c r="GL87" s="564"/>
      <c r="GM87" s="564"/>
      <c r="GN87" s="564"/>
      <c r="GO87" s="564"/>
      <c r="GP87" s="564"/>
      <c r="GQ87" s="564"/>
      <c r="GR87" s="564"/>
      <c r="GS87" s="564"/>
      <c r="GT87" s="564"/>
      <c r="GU87" s="564"/>
      <c r="GV87" s="564"/>
      <c r="GW87" s="564"/>
      <c r="GX87" s="564"/>
      <c r="GY87" s="564"/>
      <c r="GZ87" s="564"/>
      <c r="HA87" s="564"/>
      <c r="HB87" s="564"/>
      <c r="HC87" s="564"/>
      <c r="HD87" s="564"/>
      <c r="HE87" s="564"/>
      <c r="HF87" s="564"/>
      <c r="HG87" s="564"/>
      <c r="HH87" s="564"/>
      <c r="HI87" s="564"/>
      <c r="HJ87" s="564"/>
      <c r="HK87" s="564"/>
      <c r="HL87" s="564"/>
      <c r="HM87" s="564"/>
      <c r="HN87" s="564"/>
      <c r="HO87" s="564"/>
      <c r="HP87" s="564"/>
      <c r="HQ87" s="564"/>
      <c r="HR87" s="564"/>
      <c r="HS87" s="564"/>
      <c r="HT87" s="564"/>
      <c r="HU87" s="564"/>
      <c r="HV87" s="564"/>
      <c r="HW87" s="564"/>
      <c r="HX87" s="564"/>
      <c r="HY87" s="564"/>
      <c r="HZ87" s="564"/>
      <c r="IA87" s="564"/>
      <c r="IB87" s="564"/>
      <c r="IC87" s="564"/>
      <c r="ID87" s="564"/>
      <c r="IE87" s="564"/>
      <c r="IF87" s="564"/>
      <c r="IG87" s="564"/>
      <c r="IH87" s="564"/>
      <c r="II87" s="564"/>
      <c r="IJ87" s="564"/>
      <c r="IK87" s="564"/>
      <c r="IL87" s="564"/>
      <c r="IM87" s="564"/>
      <c r="IN87" s="564"/>
      <c r="IO87" s="564"/>
      <c r="IP87" s="564"/>
      <c r="IQ87" s="564"/>
      <c r="IR87" s="564"/>
      <c r="IS87" s="564"/>
      <c r="IT87" s="564"/>
      <c r="IU87" s="564"/>
      <c r="IV87" s="564"/>
      <c r="IW87" s="564"/>
      <c r="IX87" s="564"/>
      <c r="IY87" s="564"/>
      <c r="IZ87" s="564"/>
      <c r="JA87" s="564"/>
      <c r="JB87" s="564"/>
      <c r="JC87" s="564"/>
      <c r="JD87" s="564"/>
      <c r="JE87" s="564"/>
      <c r="JF87" s="564"/>
      <c r="JG87" s="564"/>
      <c r="JH87" s="564"/>
      <c r="JI87" s="564"/>
      <c r="JJ87" s="564"/>
      <c r="JK87" s="564"/>
      <c r="JL87" s="564"/>
      <c r="JM87" s="564"/>
      <c r="JN87" s="564"/>
      <c r="JO87" s="564"/>
      <c r="JP87" s="564"/>
      <c r="JQ87" s="564"/>
      <c r="JR87" s="564"/>
      <c r="JS87" s="564"/>
      <c r="JT87" s="564"/>
      <c r="JU87" s="564"/>
      <c r="JV87" s="564"/>
      <c r="JW87" s="564"/>
      <c r="JX87" s="564"/>
      <c r="JY87" s="564"/>
    </row>
    <row r="88" spans="1:285" s="567" customFormat="1" hidden="1" x14ac:dyDescent="0.2">
      <c r="A88" s="2">
        <v>9</v>
      </c>
      <c r="C88" s="567" t="str" cm="1">
        <f t="array" ref="C88">IFERROR(VALUE(IF($A88&lt;=T1_Vaccines_NumSuitable,INDEX(T1_Vaccines_forCombi,MATCH($A88,$AE$12:$AE$37,0),C$79),"")),IF($A88&lt;=T1_Vaccines_NumSuitable,INDEX(T1_Vaccines_forCombi,MATCH($A88,$AE$12:$AE$37,0),C$79),""))</f>
        <v>NVX-CoV2373 (Nuvaxovid)</v>
      </c>
      <c r="D88" s="567" t="str" cm="1">
        <f t="array" ref="D88">IFERROR(VALUE(IF($A88&lt;=T1_Vaccines_NumSuitable,INDEX(T1_Vaccines_forCombi,MATCH($A88,$AE$12:$AE$37,0),D$79),"")),IF($A88&lt;=T1_Vaccines_NumSuitable,INDEX(T1_Vaccines_forCombi,MATCH($A88,$AE$12:$AE$37,0),D$79),""))</f>
        <v>Novavax</v>
      </c>
      <c r="E88" s="567" cm="1">
        <f t="array" ref="E88">IFERROR(VALUE(IF($A88&lt;=T1_Vaccines_NumSuitable,INDEX(T1_Vaccines_forCombi,MATCH($A88,$AE$12:$AE$37,0),E$79),"")),IF($A88&lt;=T1_Vaccines_NumSuitable,INDEX(T1_Vaccines_forCombi,MATCH($A88,$AE$12:$AE$37,0),E$79),""))</f>
        <v>7</v>
      </c>
      <c r="F88" s="567" cm="1">
        <f t="array" ref="F88">IFERROR(VALUE(IF($A88&lt;=T1_Vaccines_NumSuitable,INDEX(T1_Vaccines_forCombi,MATCH($A88,$AE$12:$AE$37,0),F$79),"")),IF($A88&lt;=T1_Vaccines_NumSuitable,INDEX(T1_Vaccines_forCombi,MATCH($A88,$AE$12:$AE$37,0),F$79),""))</f>
        <v>2</v>
      </c>
      <c r="G88" s="567" cm="1">
        <f t="array" ref="G88">IFERROR(VALUE(IF($A88&lt;=T1_Vaccines_NumSuitable,INDEX(T1_Vaccines_forCombi,MATCH($A88,$AE$12:$AE$37,0),G$79),"")),IF($A88&lt;=T1_Vaccines_NumSuitable,INDEX(T1_Vaccines_forCombi,MATCH($A88,$AE$12:$AE$37,0),G$79),""))</f>
        <v>10</v>
      </c>
      <c r="H88" s="567" cm="1">
        <f t="array" ref="H88">IFERROR(VALUE(IF($A88&lt;=T1_Vaccines_NumSuitable,INDEX(T1_Vaccines_forCombi,MATCH($A88,$AE$12:$AE$37,0),H$79),"")),IF($A88&lt;=T1_Vaccines_NumSuitable,INDEX(T1_Vaccines_forCombi,MATCH($A88,$AE$12:$AE$37,0),H$79),""))</f>
        <v>3</v>
      </c>
      <c r="I88" s="567" t="str" cm="1">
        <f t="array" ref="I88">IFERROR(VALUE(IF($A88&lt;=T1_Vaccines_NumSuitable,INDEX(T1_Vaccines_forCombi,MATCH($A88,$AE$12:$AE$37,0),I$79),"")),IF($A88&lt;=T1_Vaccines_NumSuitable,INDEX(T1_Vaccines_forCombi,MATCH($A88,$AE$12:$AE$37,0),I$79),""))</f>
        <v/>
      </c>
      <c r="J88" s="567" t="str" cm="1">
        <f t="array" ref="J88">IFERROR(VALUE(IF($A88&lt;=T1_Vaccines_NumSuitable,INDEX(T1_Vaccines_forCombi,MATCH($A88,$AE$12:$AE$37,0),J$79),"")),IF($A88&lt;=T1_Vaccines_NumSuitable,INDEX(T1_Vaccines_forCombi,MATCH($A88,$AE$12:$AE$37,0),J$79),""))</f>
        <v>IM (intramuscular)</v>
      </c>
      <c r="K88" s="567" t="str" cm="1">
        <f t="array" ref="K88">IFERROR(VALUE(IF($A88&lt;=T1_Vaccines_NumSuitable,INDEX(T1_Vaccines_forCombi,MATCH($A88,$AE$12:$AE$37,0),K$79),"")),IF($A88&lt;=T1_Vaccines_NumSuitable,INDEX(T1_Vaccines_forCombi,MATCH($A88,$AE$12:$AE$37,0),K$79),""))</f>
        <v>Refrigerated (2 to 8C)</v>
      </c>
      <c r="L88" s="567" cm="1">
        <f t="array" ref="L88">IFERROR(VALUE(IF($A88&lt;=T1_Vaccines_NumSuitable,INDEX(T1_Vaccines_forCombi,MATCH($A88,$AE$12:$AE$37,0),L$79),"")),IF($A88&lt;=T1_Vaccines_NumSuitable,INDEX(T1_Vaccines_forCombi,MATCH($A88,$AE$12:$AE$37,0),L$79),""))</f>
        <v>2.0499999999999998</v>
      </c>
      <c r="M88" s="567" cm="1">
        <f t="array" ref="M88">IFERROR(VALUE(IF($A88&lt;=T1_Vaccines_NumSuitable,INDEX(T1_Vaccines_forCombi,MATCH($A88,$AE$12:$AE$37,0),M$79),"")),IF($A88&lt;=T1_Vaccines_NumSuitable,INDEX(T1_Vaccines_forCombi,MATCH($A88,$AE$12:$AE$37,0),M$79),""))</f>
        <v>2</v>
      </c>
      <c r="N88" s="567" t="str" cm="1">
        <f t="array" ref="N88">IFERROR(VALUE(IF($A88&lt;=T1_Vaccines_NumSuitable,INDEX(T1_Vaccines_forCombi,MATCH($A88,$AE$12:$AE$37,0),N$79),"")),IF($A88&lt;=T1_Vaccines_NumSuitable,INDEX(T1_Vaccines_forCombi,MATCH($A88,$AE$12:$AE$37,0),N$79),""))</f>
        <v/>
      </c>
      <c r="O88" s="567" t="str" cm="1">
        <f t="array" ref="O88">IFERROR(VALUE(IF($A88&lt;=T1_Vaccines_NumSuitable,INDEX(T1_Vaccines_forCombi,MATCH($A88,$AE$12:$AE$37,0),O$79),"")),IF($A88&lt;=T1_Vaccines_NumSuitable,INDEX(T1_Vaccines_forCombi,MATCH($A88,$AE$12:$AE$37,0),O$79),""))</f>
        <v/>
      </c>
      <c r="P88" s="567" cm="1">
        <f t="array" ref="P88">IFERROR(VALUE(IF($A88&lt;=T1_Vaccines_NumSuitable,INDEX(T1_Vaccines_forCombi,MATCH($A88,$AE$12:$AE$37,0),P$79),"")),IF($A88&lt;=T1_Vaccines_NumSuitable,INDEX(T1_Vaccines_forCombi,MATCH($A88,$AE$12:$AE$37,0),P$79),""))</f>
        <v>10</v>
      </c>
      <c r="Q88" s="567" cm="1">
        <f t="array" ref="Q88">IFERROR(VALUE(IF($A88&lt;=T1_Vaccines_NumSuitable,INDEX(T1_Vaccines_forCombi,MATCH($A88,$AE$12:$AE$37,0),Q$79),"")),IF($A88&lt;=T1_Vaccines_NumSuitable,INDEX(T1_Vaccines_forCombi,MATCH($A88,$AE$12:$AE$37,0),Q$79),""))</f>
        <v>0</v>
      </c>
      <c r="R88" s="567" cm="1">
        <f t="array" ref="R88">IFERROR(VALUE(IF($A88&lt;=T1_Vaccines_NumSuitable,INDEX(T1_Vaccines_forCombi,MATCH($A88,$AE$12:$AE$37,0),R$79),"")),IF($A88&lt;=T1_Vaccines_NumSuitable,INDEX(T1_Vaccines_forCombi,MATCH($A88,$AE$12:$AE$37,0),R$79),""))</f>
        <v>0</v>
      </c>
      <c r="S88" s="567" cm="1">
        <f t="array" ref="S88">IFERROR(VALUE(IF($A88&lt;=T1_Vaccines_NumSuitable,INDEX(T1_Vaccines_forCombi,MATCH($A88,$AE$12:$AE$37,0),S$79),"")),IF($A88&lt;=T1_Vaccines_NumSuitable,INDEX(T1_Vaccines_forCombi,MATCH($A88,$AE$12:$AE$37,0),S$79),""))</f>
        <v>1.05</v>
      </c>
      <c r="T88" s="567" cm="1">
        <f t="array" ref="T88">IFERROR(VALUE(IF($A88&lt;=T1_Vaccines_NumSuitable,INDEX(T1_Vaccines_forCombi,MATCH($A88,$AE$12:$AE$37,0),T$79),"")),IF($A88&lt;=T1_Vaccines_NumSuitable,INDEX(T1_Vaccines_forCombi,MATCH($A88,$AE$12:$AE$37,0),T$79),""))</f>
        <v>1.05</v>
      </c>
      <c r="U88" s="567" cm="1">
        <f t="array" ref="U88">IFERROR(VALUE(IF($A88&lt;=T1_Vaccines_NumSuitable,INDEX(T1_Vaccines_forCombi,MATCH($A88,$AE$12:$AE$37,0),U$79),"")),IF($A88&lt;=T1_Vaccines_NumSuitable,INDEX(T1_Vaccines_forCombi,MATCH($A88,$AE$12:$AE$37,0),U$79),""))</f>
        <v>1.05</v>
      </c>
      <c r="V88" s="567" cm="1">
        <f t="array" ref="V88">IFERROR(VALUE(IF($A88&lt;=T1_Vaccines_NumSuitable,INDEX(T1_Vaccines_forCombi,MATCH($A88,$AE$12:$AE$37,0),V$79),"")),IF($A88&lt;=T1_Vaccines_NumSuitable,INDEX(T1_Vaccines_forCombi,MATCH($A88,$AE$12:$AE$37,0),V$79),""))</f>
        <v>0</v>
      </c>
      <c r="W88" s="567" cm="1">
        <f t="array" ref="W88">IFERROR(VALUE(IF($A88&lt;=T1_Vaccines_NumSuitable,INDEX(T1_Vaccines_forCombi,MATCH($A88,$AE$12:$AE$37,0),W$79),"")),IF($A88&lt;=T1_Vaccines_NumSuitable,INDEX(T1_Vaccines_forCombi,MATCH($A88,$AE$12:$AE$37,0),W$79),""))</f>
        <v>0</v>
      </c>
      <c r="X88" s="567" cm="1">
        <f t="array" ref="X88">IFERROR(VALUE(IF($A88&lt;=T1_Vaccines_NumSuitable,INDEX(T1_Vaccines_forCombi,MATCH($A88,$AE$12:$AE$37,0),X$79),"")),IF($A88&lt;=T1_Vaccines_NumSuitable,INDEX(T1_Vaccines_forCombi,MATCH($A88,$AE$12:$AE$37,0),X$79),""))</f>
        <v>0</v>
      </c>
      <c r="Y88" s="567" cm="1">
        <f t="array" ref="Y88">IFERROR(VALUE(IF($A88&lt;=T1_Vaccines_NumSuitable,INDEX(T1_Vaccines_forCombi,MATCH($A88,$AE$12:$AE$37,0),Y$79),"")),IF($A88&lt;=T1_Vaccines_NumSuitable,INDEX(T1_Vaccines_forCombi,MATCH($A88,$AE$12:$AE$37,0),Y$79),""))</f>
        <v>0</v>
      </c>
      <c r="Z88" s="567" cm="1">
        <f t="array" ref="Z88">IFERROR(VALUE(IF($A88&lt;=T1_Vaccines_NumSuitable,INDEX(T1_Vaccines_forCombi,MATCH($A88,$AE$12:$AE$37,0),Z$79),"")),IF($A88&lt;=T1_Vaccines_NumSuitable,INDEX(T1_Vaccines_forCombi,MATCH($A88,$AE$12:$AE$37,0),Z$79),""))</f>
        <v>0</v>
      </c>
      <c r="AA88" s="567" cm="1">
        <f t="array" ref="AA88">IFERROR(VALUE(IF($A88&lt;=T1_Vaccines_NumSuitable,INDEX(T1_Vaccines_forCombi,MATCH($A88,$AE$12:$AE$37,0),AA$79),"")),IF($A88&lt;=T1_Vaccines_NumSuitable,INDEX(T1_Vaccines_forCombi,MATCH($A88,$AE$12:$AE$37,0),AA$79),""))</f>
        <v>0.01</v>
      </c>
      <c r="AB88" s="567" cm="1">
        <f t="array" ref="AB88">IFERROR(VALUE(IF($A88&lt;=T1_Vaccines_NumSuitable,INDEX(T1_Vaccines_forCombi,MATCH($A88,$AE$12:$AE$37,0),AB$79),"")),IF($A88&lt;=T1_Vaccines_NumSuitable,INDEX(T1_Vaccines_forCombi,MATCH($A88,$AE$12:$AE$37,0),AB$79),""))</f>
        <v>1.05</v>
      </c>
      <c r="AC88" s="567" cm="1">
        <f t="array" ref="AC88">IFERROR(VALUE(IF($A88&lt;=T1_Vaccines_NumSuitable,INDEX(T1_Vaccines_forCombi,MATCH($A88,$AE$12:$AE$37,0),AC$79),"")),IF($A88&lt;=T1_Vaccines_NumSuitable,INDEX(T1_Vaccines_forCombi,MATCH($A88,$AE$12:$AE$37,0),AC$79),""))</f>
        <v>1</v>
      </c>
      <c r="AD88" s="567" cm="1">
        <f t="array" ref="AD88">IFERROR(VALUE(IF($A88&lt;=T1_Vaccines_NumSuitable,INDEX(T1_Vaccines_forCombi,MATCH($A88,$AE$12:$AE$37,0),AD$79),"")),IF($A88&lt;=T1_Vaccines_NumSuitable,INDEX(T1_Vaccines_forCombi,MATCH($A88,$AE$12:$AE$37,0),AD$79),""))</f>
        <v>0.05</v>
      </c>
      <c r="AE88" s="656">
        <f t="shared" si="153"/>
        <v>0</v>
      </c>
      <c r="AF88" s="656">
        <f t="shared" si="151"/>
        <v>0</v>
      </c>
      <c r="AG88" s="656">
        <f t="shared" si="151"/>
        <v>0</v>
      </c>
      <c r="AH88" s="657">
        <f t="shared" si="154"/>
        <v>0</v>
      </c>
      <c r="AI88" s="567">
        <f t="shared" si="152"/>
        <v>0</v>
      </c>
      <c r="AJ88" s="567">
        <f t="shared" si="152"/>
        <v>0</v>
      </c>
      <c r="AK88" s="567">
        <f t="shared" si="152"/>
        <v>0</v>
      </c>
      <c r="AL88" s="567">
        <f t="shared" si="152"/>
        <v>0</v>
      </c>
      <c r="AM88" s="564"/>
      <c r="AN88" s="564"/>
      <c r="AO88" s="564"/>
      <c r="AP88" s="564"/>
      <c r="AQ88" s="564"/>
      <c r="AR88" s="564"/>
      <c r="AS88" s="564"/>
      <c r="AT88" s="564"/>
      <c r="AU88" s="564"/>
      <c r="AV88" s="564"/>
      <c r="AW88" s="564"/>
      <c r="AX88" s="564"/>
      <c r="AY88" s="564"/>
      <c r="AZ88" s="564"/>
      <c r="BA88" s="564"/>
      <c r="BB88" s="564"/>
      <c r="BC88" s="564"/>
      <c r="BD88" s="564"/>
      <c r="BE88" s="564"/>
      <c r="BF88" s="564"/>
      <c r="BG88" s="564"/>
      <c r="BH88" s="564"/>
      <c r="BI88" s="564"/>
      <c r="BJ88" s="564"/>
      <c r="BK88" s="564"/>
      <c r="BL88" s="564"/>
      <c r="BM88" s="564"/>
      <c r="BN88" s="564"/>
      <c r="BO88" s="564"/>
      <c r="BP88" s="564"/>
      <c r="BQ88" s="564"/>
      <c r="BR88" s="564"/>
      <c r="BS88" s="564"/>
      <c r="BT88" s="564"/>
      <c r="BU88" s="564"/>
      <c r="BV88" s="564"/>
      <c r="BW88" s="564"/>
      <c r="BX88" s="564"/>
      <c r="BY88" s="564"/>
      <c r="BZ88" s="564"/>
      <c r="CA88" s="564"/>
      <c r="CB88" s="564"/>
      <c r="CC88" s="564"/>
      <c r="CD88" s="564"/>
      <c r="CE88" s="564"/>
      <c r="CF88" s="564"/>
      <c r="CG88" s="564"/>
      <c r="CH88" s="564"/>
      <c r="CI88" s="564"/>
      <c r="CJ88" s="564"/>
      <c r="CK88" s="564"/>
      <c r="CL88" s="564"/>
      <c r="CM88" s="564"/>
      <c r="CN88" s="564"/>
      <c r="CO88" s="564"/>
      <c r="CP88" s="564"/>
      <c r="CQ88" s="564"/>
      <c r="CR88" s="564"/>
      <c r="CS88" s="564"/>
      <c r="CT88" s="564"/>
      <c r="CU88" s="564"/>
      <c r="CV88" s="564"/>
      <c r="CW88" s="564"/>
      <c r="CX88" s="564"/>
      <c r="CY88" s="564"/>
      <c r="CZ88" s="564"/>
      <c r="DA88" s="564"/>
      <c r="DB88" s="564"/>
      <c r="DC88" s="564"/>
      <c r="DD88" s="564"/>
      <c r="DE88" s="564"/>
      <c r="DF88" s="564"/>
      <c r="DG88" s="564"/>
      <c r="DH88" s="564"/>
      <c r="DI88" s="564"/>
      <c r="DJ88" s="564"/>
      <c r="DK88" s="564"/>
      <c r="DL88" s="564"/>
      <c r="DM88" s="564"/>
      <c r="DN88" s="564"/>
      <c r="DO88" s="564"/>
      <c r="DP88" s="564"/>
      <c r="DQ88" s="564"/>
      <c r="DR88" s="564"/>
      <c r="DS88" s="564"/>
      <c r="DT88" s="564"/>
      <c r="DU88" s="564"/>
      <c r="DV88" s="564"/>
      <c r="DW88" s="564"/>
      <c r="DX88" s="564"/>
      <c r="DY88" s="564"/>
      <c r="DZ88" s="564"/>
      <c r="EA88" s="564"/>
      <c r="EB88" s="564"/>
      <c r="EC88" s="564"/>
      <c r="ED88" s="564"/>
      <c r="EE88" s="564"/>
      <c r="EF88" s="564"/>
      <c r="EG88" s="564"/>
      <c r="EH88" s="564"/>
      <c r="EI88" s="564"/>
      <c r="EJ88" s="564"/>
      <c r="EK88" s="564"/>
      <c r="EL88" s="564"/>
      <c r="EM88" s="564"/>
      <c r="EN88" s="564"/>
      <c r="EO88" s="564"/>
      <c r="EP88" s="564"/>
      <c r="EQ88" s="564"/>
      <c r="ER88" s="564"/>
      <c r="ES88" s="564"/>
      <c r="ET88" s="564"/>
      <c r="EU88" s="564"/>
      <c r="EV88" s="564"/>
      <c r="EW88" s="564"/>
      <c r="EX88" s="564"/>
      <c r="EY88" s="564"/>
      <c r="EZ88" s="564"/>
      <c r="FA88" s="564"/>
      <c r="FB88" s="564"/>
      <c r="FC88" s="564"/>
      <c r="FD88" s="564"/>
      <c r="FE88" s="564"/>
      <c r="FF88" s="564"/>
      <c r="FG88" s="564"/>
      <c r="FH88" s="564"/>
      <c r="FI88" s="564"/>
      <c r="FJ88" s="564"/>
      <c r="FK88" s="564"/>
      <c r="FL88" s="564"/>
      <c r="FM88" s="564"/>
      <c r="FN88" s="564"/>
      <c r="FO88" s="564"/>
      <c r="FP88" s="564"/>
      <c r="FQ88" s="564"/>
      <c r="FR88" s="564"/>
      <c r="FS88" s="564"/>
      <c r="FT88" s="564"/>
      <c r="FU88" s="564"/>
      <c r="FV88" s="564"/>
      <c r="FW88" s="564"/>
      <c r="FX88" s="564"/>
      <c r="FY88" s="564"/>
      <c r="FZ88" s="564"/>
      <c r="GA88" s="564"/>
      <c r="GB88" s="564"/>
      <c r="GC88" s="564"/>
      <c r="GD88" s="564"/>
      <c r="GE88" s="564"/>
      <c r="GF88" s="564"/>
      <c r="GG88" s="564"/>
      <c r="GH88" s="564"/>
      <c r="GI88" s="564"/>
      <c r="GJ88" s="564"/>
      <c r="GK88" s="564"/>
      <c r="GL88" s="564"/>
      <c r="GM88" s="564"/>
      <c r="GN88" s="564"/>
      <c r="GO88" s="564"/>
      <c r="GP88" s="564"/>
      <c r="GQ88" s="564"/>
      <c r="GR88" s="564"/>
      <c r="GS88" s="564"/>
      <c r="GT88" s="564"/>
      <c r="GU88" s="564"/>
      <c r="GV88" s="564"/>
      <c r="GW88" s="564"/>
      <c r="GX88" s="564"/>
      <c r="GY88" s="564"/>
      <c r="GZ88" s="564"/>
      <c r="HA88" s="564"/>
      <c r="HB88" s="564"/>
      <c r="HC88" s="564"/>
      <c r="HD88" s="564"/>
      <c r="HE88" s="564"/>
      <c r="HF88" s="564"/>
      <c r="HG88" s="564"/>
      <c r="HH88" s="564"/>
      <c r="HI88" s="564"/>
      <c r="HJ88" s="564"/>
      <c r="HK88" s="564"/>
      <c r="HL88" s="564"/>
      <c r="HM88" s="564"/>
      <c r="HN88" s="564"/>
      <c r="HO88" s="564"/>
      <c r="HP88" s="564"/>
      <c r="HQ88" s="564"/>
      <c r="HR88" s="564"/>
      <c r="HS88" s="564"/>
      <c r="HT88" s="564"/>
      <c r="HU88" s="564"/>
      <c r="HV88" s="564"/>
      <c r="HW88" s="564"/>
      <c r="HX88" s="564"/>
      <c r="HY88" s="564"/>
      <c r="HZ88" s="564"/>
      <c r="IA88" s="564"/>
      <c r="IB88" s="564"/>
      <c r="IC88" s="564"/>
      <c r="ID88" s="564"/>
      <c r="IE88" s="564"/>
      <c r="IF88" s="564"/>
      <c r="IG88" s="564"/>
      <c r="IH88" s="564"/>
      <c r="II88" s="564"/>
      <c r="IJ88" s="564"/>
      <c r="IK88" s="564"/>
      <c r="IL88" s="564"/>
      <c r="IM88" s="564"/>
      <c r="IN88" s="564"/>
      <c r="IO88" s="564"/>
      <c r="IP88" s="564"/>
      <c r="IQ88" s="564"/>
      <c r="IR88" s="564"/>
      <c r="IS88" s="564"/>
      <c r="IT88" s="564"/>
      <c r="IU88" s="564"/>
      <c r="IV88" s="564"/>
      <c r="IW88" s="564"/>
      <c r="IX88" s="564"/>
      <c r="IY88" s="564"/>
      <c r="IZ88" s="564"/>
      <c r="JA88" s="564"/>
      <c r="JB88" s="564"/>
      <c r="JC88" s="564"/>
      <c r="JD88" s="564"/>
      <c r="JE88" s="564"/>
      <c r="JF88" s="564"/>
      <c r="JG88" s="564"/>
      <c r="JH88" s="564"/>
      <c r="JI88" s="564"/>
      <c r="JJ88" s="564"/>
      <c r="JK88" s="564"/>
      <c r="JL88" s="564"/>
      <c r="JM88" s="564"/>
      <c r="JN88" s="564"/>
      <c r="JO88" s="564"/>
      <c r="JP88" s="564"/>
      <c r="JQ88" s="564"/>
      <c r="JR88" s="564"/>
      <c r="JS88" s="564"/>
      <c r="JT88" s="564"/>
      <c r="JU88" s="564"/>
      <c r="JV88" s="564"/>
      <c r="JW88" s="564"/>
      <c r="JX88" s="564"/>
      <c r="JY88" s="564"/>
    </row>
    <row r="89" spans="1:285" s="567" customFormat="1" hidden="1" x14ac:dyDescent="0.2">
      <c r="A89" s="2">
        <v>10</v>
      </c>
      <c r="C89" s="567" t="str" cm="1">
        <f t="array" ref="C89">IFERROR(VALUE(IF($A89&lt;=T1_Vaccines_NumSuitable,INDEX(T1_Vaccines_forCombi,MATCH($A89,$AE$12:$AE$37,0),C$79),"")),IF($A89&lt;=T1_Vaccines_NumSuitable,INDEX(T1_Vaccines_forCombi,MATCH($A89,$AE$12:$AE$37,0),C$79),""))</f>
        <v>ChAdOx1-S (COVISHIELD)</v>
      </c>
      <c r="D89" s="567" t="str" cm="1">
        <f t="array" ref="D89">IFERROR(VALUE(IF($A89&lt;=T1_Vaccines_NumSuitable,INDEX(T1_Vaccines_forCombi,MATCH($A89,$AE$12:$AE$37,0),D$79),"")),IF($A89&lt;=T1_Vaccines_NumSuitable,INDEX(T1_Vaccines_forCombi,MATCH($A89,$AE$12:$AE$37,0),D$79),""))</f>
        <v>AstraZeneca</v>
      </c>
      <c r="E89" s="567" cm="1">
        <f t="array" ref="E89">IFERROR(VALUE(IF($A89&lt;=T1_Vaccines_NumSuitable,INDEX(T1_Vaccines_forCombi,MATCH($A89,$AE$12:$AE$37,0),E$79),"")),IF($A89&lt;=T1_Vaccines_NumSuitable,INDEX(T1_Vaccines_forCombi,MATCH($A89,$AE$12:$AE$37,0),E$79),""))</f>
        <v>7</v>
      </c>
      <c r="F89" s="567" cm="1">
        <f t="array" ref="F89">IFERROR(VALUE(IF($A89&lt;=T1_Vaccines_NumSuitable,INDEX(T1_Vaccines_forCombi,MATCH($A89,$AE$12:$AE$37,0),F$79),"")),IF($A89&lt;=T1_Vaccines_NumSuitable,INDEX(T1_Vaccines_forCombi,MATCH($A89,$AE$12:$AE$37,0),F$79),""))</f>
        <v>2</v>
      </c>
      <c r="G89" s="567" cm="1">
        <f t="array" ref="G89">IFERROR(VALUE(IF($A89&lt;=T1_Vaccines_NumSuitable,INDEX(T1_Vaccines_forCombi,MATCH($A89,$AE$12:$AE$37,0),G$79),"")),IF($A89&lt;=T1_Vaccines_NumSuitable,INDEX(T1_Vaccines_forCombi,MATCH($A89,$AE$12:$AE$37,0),G$79),""))</f>
        <v>10</v>
      </c>
      <c r="H89" s="567" cm="1">
        <f t="array" ref="H89">IFERROR(VALUE(IF($A89&lt;=T1_Vaccines_NumSuitable,INDEX(T1_Vaccines_forCombi,MATCH($A89,$AE$12:$AE$37,0),H$79),"")),IF($A89&lt;=T1_Vaccines_NumSuitable,INDEX(T1_Vaccines_forCombi,MATCH($A89,$AE$12:$AE$37,0),H$79),""))</f>
        <v>8</v>
      </c>
      <c r="I89" s="567" t="str" cm="1">
        <f t="array" ref="I89">IFERROR(VALUE(IF($A89&lt;=T1_Vaccines_NumSuitable,INDEX(T1_Vaccines_forCombi,MATCH($A89,$AE$12:$AE$37,0),I$79),"")),IF($A89&lt;=T1_Vaccines_NumSuitable,INDEX(T1_Vaccines_forCombi,MATCH($A89,$AE$12:$AE$37,0),I$79),""))</f>
        <v/>
      </c>
      <c r="J89" s="567" t="str" cm="1">
        <f t="array" ref="J89">IFERROR(VALUE(IF($A89&lt;=T1_Vaccines_NumSuitable,INDEX(T1_Vaccines_forCombi,MATCH($A89,$AE$12:$AE$37,0),J$79),"")),IF($A89&lt;=T1_Vaccines_NumSuitable,INDEX(T1_Vaccines_forCombi,MATCH($A89,$AE$12:$AE$37,0),J$79),""))</f>
        <v>IM (intramuscular)</v>
      </c>
      <c r="K89" s="567" t="str" cm="1">
        <f t="array" ref="K89">IFERROR(VALUE(IF($A89&lt;=T1_Vaccines_NumSuitable,INDEX(T1_Vaccines_forCombi,MATCH($A89,$AE$12:$AE$37,0),K$79),"")),IF($A89&lt;=T1_Vaccines_NumSuitable,INDEX(T1_Vaccines_forCombi,MATCH($A89,$AE$12:$AE$37,0),K$79),""))</f>
        <v>Refrigerated (2 to 8C)</v>
      </c>
      <c r="L89" s="567" cm="1">
        <f t="array" ref="L89">IFERROR(VALUE(IF($A89&lt;=T1_Vaccines_NumSuitable,INDEX(T1_Vaccines_forCombi,MATCH($A89,$AE$12:$AE$37,0),L$79),"")),IF($A89&lt;=T1_Vaccines_NumSuitable,INDEX(T1_Vaccines_forCombi,MATCH($A89,$AE$12:$AE$37,0),L$79),""))</f>
        <v>2.109</v>
      </c>
      <c r="M89" s="567" cm="1">
        <f t="array" ref="M89">IFERROR(VALUE(IF($A89&lt;=T1_Vaccines_NumSuitable,INDEX(T1_Vaccines_forCombi,MATCH($A89,$AE$12:$AE$37,0),M$79),"")),IF($A89&lt;=T1_Vaccines_NumSuitable,INDEX(T1_Vaccines_forCombi,MATCH($A89,$AE$12:$AE$37,0),M$79),""))</f>
        <v>2</v>
      </c>
      <c r="N89" s="567" t="str" cm="1">
        <f t="array" ref="N89">IFERROR(VALUE(IF($A89&lt;=T1_Vaccines_NumSuitable,INDEX(T1_Vaccines_forCombi,MATCH($A89,$AE$12:$AE$37,0),N$79),"")),IF($A89&lt;=T1_Vaccines_NumSuitable,INDEX(T1_Vaccines_forCombi,MATCH($A89,$AE$12:$AE$37,0),N$79),""))</f>
        <v/>
      </c>
      <c r="O89" s="567" t="str" cm="1">
        <f t="array" ref="O89">IFERROR(VALUE(IF($A89&lt;=T1_Vaccines_NumSuitable,INDEX(T1_Vaccines_forCombi,MATCH($A89,$AE$12:$AE$37,0),O$79),"")),IF($A89&lt;=T1_Vaccines_NumSuitable,INDEX(T1_Vaccines_forCombi,MATCH($A89,$AE$12:$AE$37,0),O$79),""))</f>
        <v/>
      </c>
      <c r="P89" s="567" cm="1">
        <f t="array" ref="P89">IFERROR(VALUE(IF($A89&lt;=T1_Vaccines_NumSuitable,INDEX(T1_Vaccines_forCombi,MATCH($A89,$AE$12:$AE$37,0),P$79),"")),IF($A89&lt;=T1_Vaccines_NumSuitable,INDEX(T1_Vaccines_forCombi,MATCH($A89,$AE$12:$AE$37,0),P$79),""))</f>
        <v>10</v>
      </c>
      <c r="Q89" s="567" cm="1">
        <f t="array" ref="Q89">IFERROR(VALUE(IF($A89&lt;=T1_Vaccines_NumSuitable,INDEX(T1_Vaccines_forCombi,MATCH($A89,$AE$12:$AE$37,0),Q$79),"")),IF($A89&lt;=T1_Vaccines_NumSuitable,INDEX(T1_Vaccines_forCombi,MATCH($A89,$AE$12:$AE$37,0),Q$79),""))</f>
        <v>0</v>
      </c>
      <c r="R89" s="567" cm="1">
        <f t="array" ref="R89">IFERROR(VALUE(IF($A89&lt;=T1_Vaccines_NumSuitable,INDEX(T1_Vaccines_forCombi,MATCH($A89,$AE$12:$AE$37,0),R$79),"")),IF($A89&lt;=T1_Vaccines_NumSuitable,INDEX(T1_Vaccines_forCombi,MATCH($A89,$AE$12:$AE$37,0),R$79),""))</f>
        <v>0</v>
      </c>
      <c r="S89" s="567" cm="1">
        <f t="array" ref="S89">IFERROR(VALUE(IF($A89&lt;=T1_Vaccines_NumSuitable,INDEX(T1_Vaccines_forCombi,MATCH($A89,$AE$12:$AE$37,0),S$79),"")),IF($A89&lt;=T1_Vaccines_NumSuitable,INDEX(T1_Vaccines_forCombi,MATCH($A89,$AE$12:$AE$37,0),S$79),""))</f>
        <v>1.05</v>
      </c>
      <c r="T89" s="567" cm="1">
        <f t="array" ref="T89">IFERROR(VALUE(IF($A89&lt;=T1_Vaccines_NumSuitable,INDEX(T1_Vaccines_forCombi,MATCH($A89,$AE$12:$AE$37,0),T$79),"")),IF($A89&lt;=T1_Vaccines_NumSuitable,INDEX(T1_Vaccines_forCombi,MATCH($A89,$AE$12:$AE$37,0),T$79),""))</f>
        <v>1.05</v>
      </c>
      <c r="U89" s="567" cm="1">
        <f t="array" ref="U89">IFERROR(VALUE(IF($A89&lt;=T1_Vaccines_NumSuitable,INDEX(T1_Vaccines_forCombi,MATCH($A89,$AE$12:$AE$37,0),U$79),"")),IF($A89&lt;=T1_Vaccines_NumSuitable,INDEX(T1_Vaccines_forCombi,MATCH($A89,$AE$12:$AE$37,0),U$79),""))</f>
        <v>1.05</v>
      </c>
      <c r="V89" s="567" cm="1">
        <f t="array" ref="V89">IFERROR(VALUE(IF($A89&lt;=T1_Vaccines_NumSuitable,INDEX(T1_Vaccines_forCombi,MATCH($A89,$AE$12:$AE$37,0),V$79),"")),IF($A89&lt;=T1_Vaccines_NumSuitable,INDEX(T1_Vaccines_forCombi,MATCH($A89,$AE$12:$AE$37,0),V$79),""))</f>
        <v>0</v>
      </c>
      <c r="W89" s="567" cm="1">
        <f t="array" ref="W89">IFERROR(VALUE(IF($A89&lt;=T1_Vaccines_NumSuitable,INDEX(T1_Vaccines_forCombi,MATCH($A89,$AE$12:$AE$37,0),W$79),"")),IF($A89&lt;=T1_Vaccines_NumSuitable,INDEX(T1_Vaccines_forCombi,MATCH($A89,$AE$12:$AE$37,0),W$79),""))</f>
        <v>0</v>
      </c>
      <c r="X89" s="567" cm="1">
        <f t="array" ref="X89">IFERROR(VALUE(IF($A89&lt;=T1_Vaccines_NumSuitable,INDEX(T1_Vaccines_forCombi,MATCH($A89,$AE$12:$AE$37,0),X$79),"")),IF($A89&lt;=T1_Vaccines_NumSuitable,INDEX(T1_Vaccines_forCombi,MATCH($A89,$AE$12:$AE$37,0),X$79),""))</f>
        <v>0</v>
      </c>
      <c r="Y89" s="567" cm="1">
        <f t="array" ref="Y89">IFERROR(VALUE(IF($A89&lt;=T1_Vaccines_NumSuitable,INDEX(T1_Vaccines_forCombi,MATCH($A89,$AE$12:$AE$37,0),Y$79),"")),IF($A89&lt;=T1_Vaccines_NumSuitable,INDEX(T1_Vaccines_forCombi,MATCH($A89,$AE$12:$AE$37,0),Y$79),""))</f>
        <v>0</v>
      </c>
      <c r="Z89" s="567" cm="1">
        <f t="array" ref="Z89">IFERROR(VALUE(IF($A89&lt;=T1_Vaccines_NumSuitable,INDEX(T1_Vaccines_forCombi,MATCH($A89,$AE$12:$AE$37,0),Z$79),"")),IF($A89&lt;=T1_Vaccines_NumSuitable,INDEX(T1_Vaccines_forCombi,MATCH($A89,$AE$12:$AE$37,0),Z$79),""))</f>
        <v>0</v>
      </c>
      <c r="AA89" s="567" cm="1">
        <f t="array" ref="AA89">IFERROR(VALUE(IF($A89&lt;=T1_Vaccines_NumSuitable,INDEX(T1_Vaccines_forCombi,MATCH($A89,$AE$12:$AE$37,0),AA$79),"")),IF($A89&lt;=T1_Vaccines_NumSuitable,INDEX(T1_Vaccines_forCombi,MATCH($A89,$AE$12:$AE$37,0),AA$79),""))</f>
        <v>0.01</v>
      </c>
      <c r="AB89" s="567" cm="1">
        <f t="array" ref="AB89">IFERROR(VALUE(IF($A89&lt;=T1_Vaccines_NumSuitable,INDEX(T1_Vaccines_forCombi,MATCH($A89,$AE$12:$AE$37,0),AB$79),"")),IF($A89&lt;=T1_Vaccines_NumSuitable,INDEX(T1_Vaccines_forCombi,MATCH($A89,$AE$12:$AE$37,0),AB$79),""))</f>
        <v>1.05</v>
      </c>
      <c r="AC89" s="567" cm="1">
        <f t="array" ref="AC89">IFERROR(VALUE(IF($A89&lt;=T1_Vaccines_NumSuitable,INDEX(T1_Vaccines_forCombi,MATCH($A89,$AE$12:$AE$37,0),AC$79),"")),IF($A89&lt;=T1_Vaccines_NumSuitable,INDEX(T1_Vaccines_forCombi,MATCH($A89,$AE$12:$AE$37,0),AC$79),""))</f>
        <v>1</v>
      </c>
      <c r="AD89" s="567" cm="1">
        <f t="array" ref="AD89">IFERROR(VALUE(IF($A89&lt;=T1_Vaccines_NumSuitable,INDEX(T1_Vaccines_forCombi,MATCH($A89,$AE$12:$AE$37,0),AD$79),"")),IF($A89&lt;=T1_Vaccines_NumSuitable,INDEX(T1_Vaccines_forCombi,MATCH($A89,$AE$12:$AE$37,0),AD$79),""))</f>
        <v>0.05</v>
      </c>
      <c r="AE89" s="656">
        <f t="shared" si="153"/>
        <v>0</v>
      </c>
      <c r="AF89" s="656">
        <f t="shared" si="151"/>
        <v>0</v>
      </c>
      <c r="AG89" s="656">
        <f t="shared" si="151"/>
        <v>0</v>
      </c>
      <c r="AH89" s="657">
        <f t="shared" si="154"/>
        <v>0</v>
      </c>
      <c r="AI89" s="567">
        <f t="shared" si="152"/>
        <v>0</v>
      </c>
      <c r="AJ89" s="567">
        <f t="shared" si="152"/>
        <v>0</v>
      </c>
      <c r="AK89" s="567">
        <f t="shared" si="152"/>
        <v>0</v>
      </c>
      <c r="AL89" s="567">
        <f t="shared" si="152"/>
        <v>0</v>
      </c>
      <c r="AM89" s="564"/>
      <c r="AN89" s="564"/>
      <c r="AO89" s="564"/>
      <c r="AP89" s="564"/>
      <c r="AQ89" s="564"/>
      <c r="AR89" s="564"/>
      <c r="AS89" s="564"/>
      <c r="AT89" s="564"/>
      <c r="AU89" s="564"/>
      <c r="AV89" s="564"/>
      <c r="AW89" s="564"/>
      <c r="AX89" s="564"/>
      <c r="AY89" s="564"/>
      <c r="AZ89" s="564"/>
      <c r="BA89" s="564"/>
      <c r="BB89" s="564"/>
      <c r="BC89" s="564"/>
      <c r="BD89" s="564"/>
      <c r="BE89" s="564"/>
      <c r="BF89" s="564"/>
      <c r="BG89" s="564"/>
      <c r="BH89" s="564"/>
      <c r="BI89" s="564"/>
      <c r="BJ89" s="564"/>
      <c r="BK89" s="564"/>
      <c r="BL89" s="564"/>
      <c r="BM89" s="564"/>
      <c r="BN89" s="564"/>
      <c r="BO89" s="564"/>
      <c r="BP89" s="564"/>
      <c r="BQ89" s="564"/>
      <c r="BR89" s="564"/>
      <c r="BS89" s="564"/>
      <c r="BT89" s="564"/>
      <c r="BU89" s="564"/>
      <c r="BV89" s="564"/>
      <c r="BW89" s="564"/>
      <c r="BX89" s="564"/>
      <c r="BY89" s="564"/>
      <c r="BZ89" s="564"/>
      <c r="CA89" s="564"/>
      <c r="CB89" s="564"/>
      <c r="CC89" s="564"/>
      <c r="CD89" s="564"/>
      <c r="CE89" s="564"/>
      <c r="CF89" s="564"/>
      <c r="CG89" s="564"/>
      <c r="CH89" s="564"/>
      <c r="CI89" s="564"/>
      <c r="CJ89" s="564"/>
      <c r="CK89" s="564"/>
      <c r="CL89" s="564"/>
      <c r="CM89" s="564"/>
      <c r="CN89" s="564"/>
      <c r="CO89" s="564"/>
      <c r="CP89" s="564"/>
      <c r="CQ89" s="564"/>
      <c r="CR89" s="564"/>
      <c r="CS89" s="564"/>
      <c r="CT89" s="564"/>
      <c r="CU89" s="564"/>
      <c r="CV89" s="564"/>
      <c r="CW89" s="564"/>
      <c r="CX89" s="564"/>
      <c r="CY89" s="564"/>
      <c r="CZ89" s="564"/>
      <c r="DA89" s="564"/>
      <c r="DB89" s="564"/>
      <c r="DC89" s="564"/>
      <c r="DD89" s="564"/>
      <c r="DE89" s="564"/>
      <c r="DF89" s="564"/>
      <c r="DG89" s="564"/>
      <c r="DH89" s="564"/>
      <c r="DI89" s="564"/>
      <c r="DJ89" s="564"/>
      <c r="DK89" s="564"/>
      <c r="DL89" s="564"/>
      <c r="DM89" s="564"/>
      <c r="DN89" s="564"/>
      <c r="DO89" s="564"/>
      <c r="DP89" s="564"/>
      <c r="DQ89" s="564"/>
      <c r="DR89" s="564"/>
      <c r="DS89" s="564"/>
      <c r="DT89" s="564"/>
      <c r="DU89" s="564"/>
      <c r="DV89" s="564"/>
      <c r="DW89" s="564"/>
      <c r="DX89" s="564"/>
      <c r="DY89" s="564"/>
      <c r="DZ89" s="564"/>
      <c r="EA89" s="564"/>
      <c r="EB89" s="564"/>
      <c r="EC89" s="564"/>
      <c r="ED89" s="564"/>
      <c r="EE89" s="564"/>
      <c r="EF89" s="564"/>
      <c r="EG89" s="564"/>
      <c r="EH89" s="564"/>
      <c r="EI89" s="564"/>
      <c r="EJ89" s="564"/>
      <c r="EK89" s="564"/>
      <c r="EL89" s="564"/>
      <c r="EM89" s="564"/>
      <c r="EN89" s="564"/>
      <c r="EO89" s="564"/>
      <c r="EP89" s="564"/>
      <c r="EQ89" s="564"/>
      <c r="ER89" s="564"/>
      <c r="ES89" s="564"/>
      <c r="ET89" s="564"/>
      <c r="EU89" s="564"/>
      <c r="EV89" s="564"/>
      <c r="EW89" s="564"/>
      <c r="EX89" s="564"/>
      <c r="EY89" s="564"/>
      <c r="EZ89" s="564"/>
      <c r="FA89" s="564"/>
      <c r="FB89" s="564"/>
      <c r="FC89" s="564"/>
      <c r="FD89" s="564"/>
      <c r="FE89" s="564"/>
      <c r="FF89" s="564"/>
      <c r="FG89" s="564"/>
      <c r="FH89" s="564"/>
      <c r="FI89" s="564"/>
      <c r="FJ89" s="564"/>
      <c r="FK89" s="564"/>
      <c r="FL89" s="564"/>
      <c r="FM89" s="564"/>
      <c r="FN89" s="564"/>
      <c r="FO89" s="564"/>
      <c r="FP89" s="564"/>
      <c r="FQ89" s="564"/>
      <c r="FR89" s="564"/>
      <c r="FS89" s="564"/>
      <c r="FT89" s="564"/>
      <c r="FU89" s="564"/>
      <c r="FV89" s="564"/>
      <c r="FW89" s="564"/>
      <c r="FX89" s="564"/>
      <c r="FY89" s="564"/>
      <c r="FZ89" s="564"/>
      <c r="GA89" s="564"/>
      <c r="GB89" s="564"/>
      <c r="GC89" s="564"/>
      <c r="GD89" s="564"/>
      <c r="GE89" s="564"/>
      <c r="GF89" s="564"/>
      <c r="GG89" s="564"/>
      <c r="GH89" s="564"/>
      <c r="GI89" s="564"/>
      <c r="GJ89" s="564"/>
      <c r="GK89" s="564"/>
      <c r="GL89" s="564"/>
      <c r="GM89" s="564"/>
      <c r="GN89" s="564"/>
      <c r="GO89" s="564"/>
      <c r="GP89" s="564"/>
      <c r="GQ89" s="564"/>
      <c r="GR89" s="564"/>
      <c r="GS89" s="564"/>
      <c r="GT89" s="564"/>
      <c r="GU89" s="564"/>
      <c r="GV89" s="564"/>
      <c r="GW89" s="564"/>
      <c r="GX89" s="564"/>
      <c r="GY89" s="564"/>
      <c r="GZ89" s="564"/>
      <c r="HA89" s="564"/>
      <c r="HB89" s="564"/>
      <c r="HC89" s="564"/>
      <c r="HD89" s="564"/>
      <c r="HE89" s="564"/>
      <c r="HF89" s="564"/>
      <c r="HG89" s="564"/>
      <c r="HH89" s="564"/>
      <c r="HI89" s="564"/>
      <c r="HJ89" s="564"/>
      <c r="HK89" s="564"/>
      <c r="HL89" s="564"/>
      <c r="HM89" s="564"/>
      <c r="HN89" s="564"/>
      <c r="HO89" s="564"/>
      <c r="HP89" s="564"/>
      <c r="HQ89" s="564"/>
      <c r="HR89" s="564"/>
      <c r="HS89" s="564"/>
      <c r="HT89" s="564"/>
      <c r="HU89" s="564"/>
      <c r="HV89" s="564"/>
      <c r="HW89" s="564"/>
      <c r="HX89" s="564"/>
      <c r="HY89" s="564"/>
      <c r="HZ89" s="564"/>
      <c r="IA89" s="564"/>
      <c r="IB89" s="564"/>
      <c r="IC89" s="564"/>
      <c r="ID89" s="564"/>
      <c r="IE89" s="564"/>
      <c r="IF89" s="564"/>
      <c r="IG89" s="564"/>
      <c r="IH89" s="564"/>
      <c r="II89" s="564"/>
      <c r="IJ89" s="564"/>
      <c r="IK89" s="564"/>
      <c r="IL89" s="564"/>
      <c r="IM89" s="564"/>
      <c r="IN89" s="564"/>
      <c r="IO89" s="564"/>
      <c r="IP89" s="564"/>
      <c r="IQ89" s="564"/>
      <c r="IR89" s="564"/>
      <c r="IS89" s="564"/>
      <c r="IT89" s="564"/>
      <c r="IU89" s="564"/>
      <c r="IV89" s="564"/>
      <c r="IW89" s="564"/>
      <c r="IX89" s="564"/>
      <c r="IY89" s="564"/>
      <c r="IZ89" s="564"/>
      <c r="JA89" s="564"/>
      <c r="JB89" s="564"/>
      <c r="JC89" s="564"/>
      <c r="JD89" s="564"/>
      <c r="JE89" s="564"/>
      <c r="JF89" s="564"/>
      <c r="JG89" s="564"/>
      <c r="JH89" s="564"/>
      <c r="JI89" s="564"/>
      <c r="JJ89" s="564"/>
      <c r="JK89" s="564"/>
      <c r="JL89" s="564"/>
      <c r="JM89" s="564"/>
      <c r="JN89" s="564"/>
      <c r="JO89" s="564"/>
      <c r="JP89" s="564"/>
      <c r="JQ89" s="564"/>
      <c r="JR89" s="564"/>
      <c r="JS89" s="564"/>
      <c r="JT89" s="564"/>
      <c r="JU89" s="564"/>
      <c r="JV89" s="564"/>
      <c r="JW89" s="564"/>
      <c r="JX89" s="564"/>
      <c r="JY89" s="564"/>
    </row>
    <row r="90" spans="1:285" s="567" customFormat="1" hidden="1" x14ac:dyDescent="0.2">
      <c r="A90" s="2">
        <v>11</v>
      </c>
      <c r="C90" s="567" t="str" cm="1">
        <f t="array" ref="C90">IFERROR(VALUE(IF($A90&lt;=T1_Vaccines_NumSuitable,INDEX(T1_Vaccines_forCombi,MATCH($A90,$AE$12:$AE$37,0),C$79),"")),IF($A90&lt;=T1_Vaccines_NumSuitable,INDEX(T1_Vaccines_forCombi,MATCH($A90,$AE$12:$AE$37,0),C$79),""))</f>
        <v>2-8C Tozinameran (Comirnaty)</v>
      </c>
      <c r="D90" s="567" t="str" cm="1">
        <f t="array" ref="D90">IFERROR(VALUE(IF($A90&lt;=T1_Vaccines_NumSuitable,INDEX(T1_Vaccines_forCombi,MATCH($A90,$AE$12:$AE$37,0),D$79),"")),IF($A90&lt;=T1_Vaccines_NumSuitable,INDEX(T1_Vaccines_forCombi,MATCH($A90,$AE$12:$AE$37,0),D$79),""))</f>
        <v>Pfizer Europe MA EEIG</v>
      </c>
      <c r="E90" s="567" cm="1">
        <f t="array" ref="E90">IFERROR(VALUE(IF($A90&lt;=T1_Vaccines_NumSuitable,INDEX(T1_Vaccines_forCombi,MATCH($A90,$AE$12:$AE$37,0),E$79),"")),IF($A90&lt;=T1_Vaccines_NumSuitable,INDEX(T1_Vaccines_forCombi,MATCH($A90,$AE$12:$AE$37,0),E$79),""))</f>
        <v>7</v>
      </c>
      <c r="F90" s="567" cm="1">
        <f t="array" ref="F90">IFERROR(VALUE(IF($A90&lt;=T1_Vaccines_NumSuitable,INDEX(T1_Vaccines_forCombi,MATCH($A90,$AE$12:$AE$37,0),F$79),"")),IF($A90&lt;=T1_Vaccines_NumSuitable,INDEX(T1_Vaccines_forCombi,MATCH($A90,$AE$12:$AE$37,0),F$79),""))</f>
        <v>2</v>
      </c>
      <c r="G90" s="567" cm="1">
        <f t="array" ref="G90">IFERROR(VALUE(IF($A90&lt;=T1_Vaccines_NumSuitable,INDEX(T1_Vaccines_forCombi,MATCH($A90,$AE$12:$AE$37,0),G$79),"")),IF($A90&lt;=T1_Vaccines_NumSuitable,INDEX(T1_Vaccines_forCombi,MATCH($A90,$AE$12:$AE$37,0),G$79),""))</f>
        <v>6</v>
      </c>
      <c r="H90" s="567" cm="1">
        <f t="array" ref="H90">IFERROR(VALUE(IF($A90&lt;=T1_Vaccines_NumSuitable,INDEX(T1_Vaccines_forCombi,MATCH($A90,$AE$12:$AE$37,0),H$79),"")),IF($A90&lt;=T1_Vaccines_NumSuitable,INDEX(T1_Vaccines_forCombi,MATCH($A90,$AE$12:$AE$37,0),H$79),""))</f>
        <v>3</v>
      </c>
      <c r="I90" s="567" t="str" cm="1">
        <f t="array" ref="I90">IFERROR(VALUE(IF($A90&lt;=T1_Vaccines_NumSuitable,INDEX(T1_Vaccines_forCombi,MATCH($A90,$AE$12:$AE$37,0),I$79),"")),IF($A90&lt;=T1_Vaccines_NumSuitable,INDEX(T1_Vaccines_forCombi,MATCH($A90,$AE$12:$AE$37,0),I$79),""))</f>
        <v/>
      </c>
      <c r="J90" s="567" t="str" cm="1">
        <f t="array" ref="J90">IFERROR(VALUE(IF($A90&lt;=T1_Vaccines_NumSuitable,INDEX(T1_Vaccines_forCombi,MATCH($A90,$AE$12:$AE$37,0),J$79),"")),IF($A90&lt;=T1_Vaccines_NumSuitable,INDEX(T1_Vaccines_forCombi,MATCH($A90,$AE$12:$AE$37,0),J$79),""))</f>
        <v>IM (intramuscular)</v>
      </c>
      <c r="K90" s="567" t="str" cm="1">
        <f t="array" ref="K90">IFERROR(VALUE(IF($A90&lt;=T1_Vaccines_NumSuitable,INDEX(T1_Vaccines_forCombi,MATCH($A90,$AE$12:$AE$37,0),K$79),"")),IF($A90&lt;=T1_Vaccines_NumSuitable,INDEX(T1_Vaccines_forCombi,MATCH($A90,$AE$12:$AE$37,0),K$79),""))</f>
        <v>Refrigerated (2 to 8C)</v>
      </c>
      <c r="L90" s="567" cm="1">
        <f t="array" ref="L90">IFERROR(VALUE(IF($A90&lt;=T1_Vaccines_NumSuitable,INDEX(T1_Vaccines_forCombi,MATCH($A90,$AE$12:$AE$37,0),L$79),"")),IF($A90&lt;=T1_Vaccines_NumSuitable,INDEX(T1_Vaccines_forCombi,MATCH($A90,$AE$12:$AE$37,0),L$79),""))</f>
        <v>1.8</v>
      </c>
      <c r="M90" s="567" cm="1">
        <f t="array" ref="M90">IFERROR(VALUE(IF($A90&lt;=T1_Vaccines_NumSuitable,INDEX(T1_Vaccines_forCombi,MATCH($A90,$AE$12:$AE$37,0),M$79),"")),IF($A90&lt;=T1_Vaccines_NumSuitable,INDEX(T1_Vaccines_forCombi,MATCH($A90,$AE$12:$AE$37,0),M$79),""))</f>
        <v>2</v>
      </c>
      <c r="N90" s="567" t="str" cm="1">
        <f t="array" ref="N90">IFERROR(VALUE(IF($A90&lt;=T1_Vaccines_NumSuitable,INDEX(T1_Vaccines_forCombi,MATCH($A90,$AE$12:$AE$37,0),N$79),"")),IF($A90&lt;=T1_Vaccines_NumSuitable,INDEX(T1_Vaccines_forCombi,MATCH($A90,$AE$12:$AE$37,0),N$79),""))</f>
        <v/>
      </c>
      <c r="O90" s="567" t="str" cm="1">
        <f t="array" ref="O90">IFERROR(VALUE(IF($A90&lt;=T1_Vaccines_NumSuitable,INDEX(T1_Vaccines_forCombi,MATCH($A90,$AE$12:$AE$37,0),O$79),"")),IF($A90&lt;=T1_Vaccines_NumSuitable,INDEX(T1_Vaccines_forCombi,MATCH($A90,$AE$12:$AE$37,0),O$79),""))</f>
        <v/>
      </c>
      <c r="P90" s="567" cm="1">
        <f t="array" ref="P90">IFERROR(VALUE(IF($A90&lt;=T1_Vaccines_NumSuitable,INDEX(T1_Vaccines_forCombi,MATCH($A90,$AE$12:$AE$37,0),P$79),"")),IF($A90&lt;=T1_Vaccines_NumSuitable,INDEX(T1_Vaccines_forCombi,MATCH($A90,$AE$12:$AE$37,0),P$79),""))</f>
        <v>10</v>
      </c>
      <c r="Q90" s="567" cm="1">
        <f t="array" ref="Q90">IFERROR(VALUE(IF($A90&lt;=T1_Vaccines_NumSuitable,INDEX(T1_Vaccines_forCombi,MATCH($A90,$AE$12:$AE$37,0),Q$79),"")),IF($A90&lt;=T1_Vaccines_NumSuitable,INDEX(T1_Vaccines_forCombi,MATCH($A90,$AE$12:$AE$37,0),Q$79),""))</f>
        <v>0</v>
      </c>
      <c r="R90" s="567" cm="1">
        <f t="array" ref="R90">IFERROR(VALUE(IF($A90&lt;=T1_Vaccines_NumSuitable,INDEX(T1_Vaccines_forCombi,MATCH($A90,$AE$12:$AE$37,0),R$79),"")),IF($A90&lt;=T1_Vaccines_NumSuitable,INDEX(T1_Vaccines_forCombi,MATCH($A90,$AE$12:$AE$37,0),R$79),""))</f>
        <v>1.05</v>
      </c>
      <c r="S90" s="567" cm="1">
        <f t="array" ref="S90">IFERROR(VALUE(IF($A90&lt;=T1_Vaccines_NumSuitable,INDEX(T1_Vaccines_forCombi,MATCH($A90,$AE$12:$AE$37,0),S$79),"")),IF($A90&lt;=T1_Vaccines_NumSuitable,INDEX(T1_Vaccines_forCombi,MATCH($A90,$AE$12:$AE$37,0),S$79),""))</f>
        <v>0</v>
      </c>
      <c r="T90" s="567" cm="1">
        <f t="array" ref="T90">IFERROR(VALUE(IF($A90&lt;=T1_Vaccines_NumSuitable,INDEX(T1_Vaccines_forCombi,MATCH($A90,$AE$12:$AE$37,0),T$79),"")),IF($A90&lt;=T1_Vaccines_NumSuitable,INDEX(T1_Vaccines_forCombi,MATCH($A90,$AE$12:$AE$37,0),T$79),""))</f>
        <v>1.05</v>
      </c>
      <c r="U90" s="567" cm="1">
        <f t="array" ref="U90">IFERROR(VALUE(IF($A90&lt;=T1_Vaccines_NumSuitable,INDEX(T1_Vaccines_forCombi,MATCH($A90,$AE$12:$AE$37,0),U$79),"")),IF($A90&lt;=T1_Vaccines_NumSuitable,INDEX(T1_Vaccines_forCombi,MATCH($A90,$AE$12:$AE$37,0),U$79),""))</f>
        <v>1.05</v>
      </c>
      <c r="V90" s="567" cm="1">
        <f t="array" ref="V90">IFERROR(VALUE(IF($A90&lt;=T1_Vaccines_NumSuitable,INDEX(T1_Vaccines_forCombi,MATCH($A90,$AE$12:$AE$37,0),V$79),"")),IF($A90&lt;=T1_Vaccines_NumSuitable,INDEX(T1_Vaccines_forCombi,MATCH($A90,$AE$12:$AE$37,0),V$79),""))</f>
        <v>0.17499999999999999</v>
      </c>
      <c r="W90" s="567" cm="1">
        <f t="array" ref="W90">IFERROR(VALUE(IF($A90&lt;=T1_Vaccines_NumSuitable,INDEX(T1_Vaccines_forCombi,MATCH($A90,$AE$12:$AE$37,0),W$79),"")),IF($A90&lt;=T1_Vaccines_NumSuitable,INDEX(T1_Vaccines_forCombi,MATCH($A90,$AE$12:$AE$37,0),W$79),""))</f>
        <v>0.315</v>
      </c>
      <c r="X90" s="567" cm="1">
        <f t="array" ref="X90">IFERROR(VALUE(IF($A90&lt;=T1_Vaccines_NumSuitable,INDEX(T1_Vaccines_forCombi,MATCH($A90,$AE$12:$AE$37,0),X$79),"")),IF($A90&lt;=T1_Vaccines_NumSuitable,INDEX(T1_Vaccines_forCombi,MATCH($A90,$AE$12:$AE$37,0),X$79),""))</f>
        <v>0.17499999999999999</v>
      </c>
      <c r="Y90" s="567" cm="1">
        <f t="array" ref="Y90">IFERROR(VALUE(IF($A90&lt;=T1_Vaccines_NumSuitable,INDEX(T1_Vaccines_forCombi,MATCH($A90,$AE$12:$AE$37,0),Y$79),"")),IF($A90&lt;=T1_Vaccines_NumSuitable,INDEX(T1_Vaccines_forCombi,MATCH($A90,$AE$12:$AE$37,0),Y$79),""))</f>
        <v>0</v>
      </c>
      <c r="Z90" s="567" cm="1">
        <f t="array" ref="Z90">IFERROR(VALUE(IF($A90&lt;=T1_Vaccines_NumSuitable,INDEX(T1_Vaccines_forCombi,MATCH($A90,$AE$12:$AE$37,0),Z$79),"")),IF($A90&lt;=T1_Vaccines_NumSuitable,INDEX(T1_Vaccines_forCombi,MATCH($A90,$AE$12:$AE$37,0),Z$79),""))</f>
        <v>0</v>
      </c>
      <c r="AA90" s="567" cm="1">
        <f t="array" ref="AA90">IFERROR(VALUE(IF($A90&lt;=T1_Vaccines_NumSuitable,INDEX(T1_Vaccines_forCombi,MATCH($A90,$AE$12:$AE$37,0),AA$79),"")),IF($A90&lt;=T1_Vaccines_NumSuitable,INDEX(T1_Vaccines_forCombi,MATCH($A90,$AE$12:$AE$37,0),AA$79),""))</f>
        <v>0.01</v>
      </c>
      <c r="AB90" s="567" cm="1">
        <f t="array" ref="AB90">IFERROR(VALUE(IF($A90&lt;=T1_Vaccines_NumSuitable,INDEX(T1_Vaccines_forCombi,MATCH($A90,$AE$12:$AE$37,0),AB$79),"")),IF($A90&lt;=T1_Vaccines_NumSuitable,INDEX(T1_Vaccines_forCombi,MATCH($A90,$AE$12:$AE$37,0),AB$79),""))</f>
        <v>1.05</v>
      </c>
      <c r="AC90" s="567" cm="1">
        <f t="array" ref="AC90">IFERROR(VALUE(IF($A90&lt;=T1_Vaccines_NumSuitable,INDEX(T1_Vaccines_forCombi,MATCH($A90,$AE$12:$AE$37,0),AC$79),"")),IF($A90&lt;=T1_Vaccines_NumSuitable,INDEX(T1_Vaccines_forCombi,MATCH($A90,$AE$12:$AE$37,0),AC$79),""))</f>
        <v>1</v>
      </c>
      <c r="AD90" s="567" cm="1">
        <f t="array" ref="AD90">IFERROR(VALUE(IF($A90&lt;=T1_Vaccines_NumSuitable,INDEX(T1_Vaccines_forCombi,MATCH($A90,$AE$12:$AE$37,0),AD$79),"")),IF($A90&lt;=T1_Vaccines_NumSuitable,INDEX(T1_Vaccines_forCombi,MATCH($A90,$AE$12:$AE$37,0),AD$79),""))</f>
        <v>0.05</v>
      </c>
      <c r="AE90" s="656">
        <f t="shared" si="153"/>
        <v>0</v>
      </c>
      <c r="AF90" s="656">
        <f t="shared" si="151"/>
        <v>0</v>
      </c>
      <c r="AG90" s="656">
        <f t="shared" si="151"/>
        <v>0</v>
      </c>
      <c r="AH90" s="657">
        <f t="shared" si="154"/>
        <v>0</v>
      </c>
      <c r="AI90" s="567">
        <f t="shared" si="152"/>
        <v>0</v>
      </c>
      <c r="AJ90" s="567">
        <f t="shared" si="152"/>
        <v>0</v>
      </c>
      <c r="AK90" s="567">
        <f t="shared" si="152"/>
        <v>0</v>
      </c>
      <c r="AL90" s="567">
        <f t="shared" si="152"/>
        <v>0</v>
      </c>
      <c r="AM90" s="564"/>
      <c r="AN90" s="564"/>
      <c r="AO90" s="564"/>
      <c r="AP90" s="564"/>
      <c r="AQ90" s="564"/>
      <c r="AR90" s="564"/>
      <c r="AS90" s="564"/>
      <c r="AT90" s="564"/>
      <c r="AU90" s="564"/>
      <c r="AV90" s="564"/>
      <c r="AW90" s="564"/>
      <c r="AX90" s="564"/>
      <c r="AY90" s="564"/>
      <c r="AZ90" s="564"/>
      <c r="BA90" s="564"/>
      <c r="BB90" s="564"/>
      <c r="BC90" s="564"/>
      <c r="BD90" s="564"/>
      <c r="BE90" s="564"/>
      <c r="BF90" s="564"/>
      <c r="BG90" s="564"/>
      <c r="BH90" s="564"/>
      <c r="BI90" s="564"/>
      <c r="BJ90" s="564"/>
      <c r="BK90" s="564"/>
      <c r="BL90" s="564"/>
      <c r="BM90" s="564"/>
      <c r="BN90" s="564"/>
      <c r="BO90" s="564"/>
      <c r="BP90" s="564"/>
      <c r="BQ90" s="564"/>
      <c r="BR90" s="564"/>
      <c r="BS90" s="564"/>
      <c r="BT90" s="564"/>
      <c r="BU90" s="564"/>
      <c r="BV90" s="564"/>
      <c r="BW90" s="564"/>
      <c r="BX90" s="564"/>
      <c r="BY90" s="564"/>
      <c r="BZ90" s="564"/>
      <c r="CA90" s="564"/>
      <c r="CB90" s="564"/>
      <c r="CC90" s="564"/>
      <c r="CD90" s="564"/>
      <c r="CE90" s="564"/>
      <c r="CF90" s="564"/>
      <c r="CG90" s="564"/>
      <c r="CH90" s="564"/>
      <c r="CI90" s="564"/>
      <c r="CJ90" s="564"/>
      <c r="CK90" s="564"/>
      <c r="CL90" s="564"/>
      <c r="CM90" s="564"/>
      <c r="CN90" s="564"/>
      <c r="CO90" s="564"/>
      <c r="CP90" s="564"/>
      <c r="CQ90" s="564"/>
      <c r="CR90" s="564"/>
      <c r="CS90" s="564"/>
      <c r="CT90" s="564"/>
      <c r="CU90" s="564"/>
      <c r="CV90" s="564"/>
      <c r="CW90" s="564"/>
      <c r="CX90" s="564"/>
      <c r="CY90" s="564"/>
      <c r="CZ90" s="564"/>
      <c r="DA90" s="564"/>
      <c r="DB90" s="564"/>
      <c r="DC90" s="564"/>
      <c r="DD90" s="564"/>
      <c r="DE90" s="564"/>
      <c r="DF90" s="564"/>
      <c r="DG90" s="564"/>
      <c r="DH90" s="564"/>
      <c r="DI90" s="564"/>
      <c r="DJ90" s="564"/>
      <c r="DK90" s="564"/>
      <c r="DL90" s="564"/>
      <c r="DM90" s="564"/>
      <c r="DN90" s="564"/>
      <c r="DO90" s="564"/>
      <c r="DP90" s="564"/>
      <c r="DQ90" s="564"/>
      <c r="DR90" s="564"/>
      <c r="DS90" s="564"/>
      <c r="DT90" s="564"/>
      <c r="DU90" s="564"/>
      <c r="DV90" s="564"/>
      <c r="DW90" s="564"/>
      <c r="DX90" s="564"/>
      <c r="DY90" s="564"/>
      <c r="DZ90" s="564"/>
      <c r="EA90" s="564"/>
      <c r="EB90" s="564"/>
      <c r="EC90" s="564"/>
      <c r="ED90" s="564"/>
      <c r="EE90" s="564"/>
      <c r="EF90" s="564"/>
      <c r="EG90" s="564"/>
      <c r="EH90" s="564"/>
      <c r="EI90" s="564"/>
      <c r="EJ90" s="564"/>
      <c r="EK90" s="564"/>
      <c r="EL90" s="564"/>
      <c r="EM90" s="564"/>
      <c r="EN90" s="564"/>
      <c r="EO90" s="564"/>
      <c r="EP90" s="564"/>
      <c r="EQ90" s="564"/>
      <c r="ER90" s="564"/>
      <c r="ES90" s="564"/>
      <c r="ET90" s="564"/>
      <c r="EU90" s="564"/>
      <c r="EV90" s="564"/>
      <c r="EW90" s="564"/>
      <c r="EX90" s="564"/>
      <c r="EY90" s="564"/>
      <c r="EZ90" s="564"/>
      <c r="FA90" s="564"/>
      <c r="FB90" s="564"/>
      <c r="FC90" s="564"/>
      <c r="FD90" s="564"/>
      <c r="FE90" s="564"/>
      <c r="FF90" s="564"/>
      <c r="FG90" s="564"/>
      <c r="FH90" s="564"/>
      <c r="FI90" s="564"/>
      <c r="FJ90" s="564"/>
      <c r="FK90" s="564"/>
      <c r="FL90" s="564"/>
      <c r="FM90" s="564"/>
      <c r="FN90" s="564"/>
      <c r="FO90" s="564"/>
      <c r="FP90" s="564"/>
      <c r="FQ90" s="564"/>
      <c r="FR90" s="564"/>
      <c r="FS90" s="564"/>
      <c r="FT90" s="564"/>
      <c r="FU90" s="564"/>
      <c r="FV90" s="564"/>
      <c r="FW90" s="564"/>
      <c r="FX90" s="564"/>
      <c r="FY90" s="564"/>
      <c r="FZ90" s="564"/>
      <c r="GA90" s="564"/>
      <c r="GB90" s="564"/>
      <c r="GC90" s="564"/>
      <c r="GD90" s="564"/>
      <c r="GE90" s="564"/>
      <c r="GF90" s="564"/>
      <c r="GG90" s="564"/>
      <c r="GH90" s="564"/>
      <c r="GI90" s="564"/>
      <c r="GJ90" s="564"/>
      <c r="GK90" s="564"/>
      <c r="GL90" s="564"/>
      <c r="GM90" s="564"/>
      <c r="GN90" s="564"/>
      <c r="GO90" s="564"/>
      <c r="GP90" s="564"/>
      <c r="GQ90" s="564"/>
      <c r="GR90" s="564"/>
      <c r="GS90" s="564"/>
      <c r="GT90" s="564"/>
      <c r="GU90" s="564"/>
      <c r="GV90" s="564"/>
      <c r="GW90" s="564"/>
      <c r="GX90" s="564"/>
      <c r="GY90" s="564"/>
      <c r="GZ90" s="564"/>
      <c r="HA90" s="564"/>
      <c r="HB90" s="564"/>
      <c r="HC90" s="564"/>
      <c r="HD90" s="564"/>
      <c r="HE90" s="564"/>
      <c r="HF90" s="564"/>
      <c r="HG90" s="564"/>
      <c r="HH90" s="564"/>
      <c r="HI90" s="564"/>
      <c r="HJ90" s="564"/>
      <c r="HK90" s="564"/>
      <c r="HL90" s="564"/>
      <c r="HM90" s="564"/>
      <c r="HN90" s="564"/>
      <c r="HO90" s="564"/>
      <c r="HP90" s="564"/>
      <c r="HQ90" s="564"/>
      <c r="HR90" s="564"/>
      <c r="HS90" s="564"/>
      <c r="HT90" s="564"/>
      <c r="HU90" s="564"/>
      <c r="HV90" s="564"/>
      <c r="HW90" s="564"/>
      <c r="HX90" s="564"/>
      <c r="HY90" s="564"/>
      <c r="HZ90" s="564"/>
      <c r="IA90" s="564"/>
      <c r="IB90" s="564"/>
      <c r="IC90" s="564"/>
      <c r="ID90" s="564"/>
      <c r="IE90" s="564"/>
      <c r="IF90" s="564"/>
      <c r="IG90" s="564"/>
      <c r="IH90" s="564"/>
      <c r="II90" s="564"/>
      <c r="IJ90" s="564"/>
      <c r="IK90" s="564"/>
      <c r="IL90" s="564"/>
      <c r="IM90" s="564"/>
      <c r="IN90" s="564"/>
      <c r="IO90" s="564"/>
      <c r="IP90" s="564"/>
      <c r="IQ90" s="564"/>
      <c r="IR90" s="564"/>
      <c r="IS90" s="564"/>
      <c r="IT90" s="564"/>
      <c r="IU90" s="564"/>
      <c r="IV90" s="564"/>
      <c r="IW90" s="564"/>
      <c r="IX90" s="564"/>
      <c r="IY90" s="564"/>
      <c r="IZ90" s="564"/>
      <c r="JA90" s="564"/>
      <c r="JB90" s="564"/>
      <c r="JC90" s="564"/>
      <c r="JD90" s="564"/>
      <c r="JE90" s="564"/>
      <c r="JF90" s="564"/>
      <c r="JG90" s="564"/>
      <c r="JH90" s="564"/>
      <c r="JI90" s="564"/>
      <c r="JJ90" s="564"/>
      <c r="JK90" s="564"/>
      <c r="JL90" s="564"/>
      <c r="JM90" s="564"/>
      <c r="JN90" s="564"/>
      <c r="JO90" s="564"/>
      <c r="JP90" s="564"/>
      <c r="JQ90" s="564"/>
      <c r="JR90" s="564"/>
      <c r="JS90" s="564"/>
      <c r="JT90" s="564"/>
      <c r="JU90" s="564"/>
      <c r="JV90" s="564"/>
      <c r="JW90" s="564"/>
      <c r="JX90" s="564"/>
      <c r="JY90" s="564"/>
    </row>
    <row r="91" spans="1:285" s="567" customFormat="1" hidden="1" x14ac:dyDescent="0.2">
      <c r="A91" s="2">
        <v>12</v>
      </c>
      <c r="C91" s="567" t="str" cm="1">
        <f t="array" ref="C91">IFERROR(VALUE(IF($A91&lt;=T1_Vaccines_NumSuitable,INDEX(T1_Vaccines_forCombi,MATCH($A91,$AE$12:$AE$37,0),C$79),"")),IF($A91&lt;=T1_Vaccines_NumSuitable,INDEX(T1_Vaccines_forCombi,MATCH($A91,$AE$12:$AE$37,0),C$79),""))</f>
        <v/>
      </c>
      <c r="D91" s="567" t="str" cm="1">
        <f t="array" ref="D91">IFERROR(VALUE(IF($A91&lt;=T1_Vaccines_NumSuitable,INDEX(T1_Vaccines_forCombi,MATCH($A91,$AE$12:$AE$37,0),D$79),"")),IF($A91&lt;=T1_Vaccines_NumSuitable,INDEX(T1_Vaccines_forCombi,MATCH($A91,$AE$12:$AE$37,0),D$79),""))</f>
        <v/>
      </c>
      <c r="E91" s="567" t="str" cm="1">
        <f t="array" ref="E91">IFERROR(VALUE(IF($A91&lt;=T1_Vaccines_NumSuitable,INDEX(T1_Vaccines_forCombi,MATCH($A91,$AE$12:$AE$37,0),E$79),"")),IF($A91&lt;=T1_Vaccines_NumSuitable,INDEX(T1_Vaccines_forCombi,MATCH($A91,$AE$12:$AE$37,0),E$79),""))</f>
        <v/>
      </c>
      <c r="F91" s="567" t="str" cm="1">
        <f t="array" ref="F91">IFERROR(VALUE(IF($A91&lt;=T1_Vaccines_NumSuitable,INDEX(T1_Vaccines_forCombi,MATCH($A91,$AE$12:$AE$37,0),F$79),"")),IF($A91&lt;=T1_Vaccines_NumSuitable,INDEX(T1_Vaccines_forCombi,MATCH($A91,$AE$12:$AE$37,0),F$79),""))</f>
        <v/>
      </c>
      <c r="G91" s="567" t="str" cm="1">
        <f t="array" ref="G91">IFERROR(VALUE(IF($A91&lt;=T1_Vaccines_NumSuitable,INDEX(T1_Vaccines_forCombi,MATCH($A91,$AE$12:$AE$37,0),G$79),"")),IF($A91&lt;=T1_Vaccines_NumSuitable,INDEX(T1_Vaccines_forCombi,MATCH($A91,$AE$12:$AE$37,0),G$79),""))</f>
        <v/>
      </c>
      <c r="H91" s="567" t="str" cm="1">
        <f t="array" ref="H91">IFERROR(VALUE(IF($A91&lt;=T1_Vaccines_NumSuitable,INDEX(T1_Vaccines_forCombi,MATCH($A91,$AE$12:$AE$37,0),H$79),"")),IF($A91&lt;=T1_Vaccines_NumSuitable,INDEX(T1_Vaccines_forCombi,MATCH($A91,$AE$12:$AE$37,0),H$79),""))</f>
        <v/>
      </c>
      <c r="I91" s="567" t="str" cm="1">
        <f t="array" ref="I91">IFERROR(VALUE(IF($A91&lt;=T1_Vaccines_NumSuitable,INDEX(T1_Vaccines_forCombi,MATCH($A91,$AE$12:$AE$37,0),I$79),"")),IF($A91&lt;=T1_Vaccines_NumSuitable,INDEX(T1_Vaccines_forCombi,MATCH($A91,$AE$12:$AE$37,0),I$79),""))</f>
        <v/>
      </c>
      <c r="J91" s="567" t="str" cm="1">
        <f t="array" ref="J91">IFERROR(VALUE(IF($A91&lt;=T1_Vaccines_NumSuitable,INDEX(T1_Vaccines_forCombi,MATCH($A91,$AE$12:$AE$37,0),J$79),"")),IF($A91&lt;=T1_Vaccines_NumSuitable,INDEX(T1_Vaccines_forCombi,MATCH($A91,$AE$12:$AE$37,0),J$79),""))</f>
        <v/>
      </c>
      <c r="K91" s="567" t="str" cm="1">
        <f t="array" ref="K91">IFERROR(VALUE(IF($A91&lt;=T1_Vaccines_NumSuitable,INDEX(T1_Vaccines_forCombi,MATCH($A91,$AE$12:$AE$37,0),K$79),"")),IF($A91&lt;=T1_Vaccines_NumSuitable,INDEX(T1_Vaccines_forCombi,MATCH($A91,$AE$12:$AE$37,0),K$79),""))</f>
        <v/>
      </c>
      <c r="L91" s="567" t="str" cm="1">
        <f t="array" ref="L91">IFERROR(VALUE(IF($A91&lt;=T1_Vaccines_NumSuitable,INDEX(T1_Vaccines_forCombi,MATCH($A91,$AE$12:$AE$37,0),L$79),"")),IF($A91&lt;=T1_Vaccines_NumSuitable,INDEX(T1_Vaccines_forCombi,MATCH($A91,$AE$12:$AE$37,0),L$79),""))</f>
        <v/>
      </c>
      <c r="M91" s="567" t="str" cm="1">
        <f t="array" ref="M91">IFERROR(VALUE(IF($A91&lt;=T1_Vaccines_NumSuitable,INDEX(T1_Vaccines_forCombi,MATCH($A91,$AE$12:$AE$37,0),M$79),"")),IF($A91&lt;=T1_Vaccines_NumSuitable,INDEX(T1_Vaccines_forCombi,MATCH($A91,$AE$12:$AE$37,0),M$79),""))</f>
        <v/>
      </c>
      <c r="N91" s="567" t="str" cm="1">
        <f t="array" ref="N91">IFERROR(VALUE(IF($A91&lt;=T1_Vaccines_NumSuitable,INDEX(T1_Vaccines_forCombi,MATCH($A91,$AE$12:$AE$37,0),N$79),"")),IF($A91&lt;=T1_Vaccines_NumSuitable,INDEX(T1_Vaccines_forCombi,MATCH($A91,$AE$12:$AE$37,0),N$79),""))</f>
        <v/>
      </c>
      <c r="O91" s="567" t="str" cm="1">
        <f t="array" ref="O91">IFERROR(VALUE(IF($A91&lt;=T1_Vaccines_NumSuitable,INDEX(T1_Vaccines_forCombi,MATCH($A91,$AE$12:$AE$37,0),O$79),"")),IF($A91&lt;=T1_Vaccines_NumSuitable,INDEX(T1_Vaccines_forCombi,MATCH($A91,$AE$12:$AE$37,0),O$79),""))</f>
        <v/>
      </c>
      <c r="P91" s="567" t="str" cm="1">
        <f t="array" ref="P91">IFERROR(VALUE(IF($A91&lt;=T1_Vaccines_NumSuitable,INDEX(T1_Vaccines_forCombi,MATCH($A91,$AE$12:$AE$37,0),P$79),"")),IF($A91&lt;=T1_Vaccines_NumSuitable,INDEX(T1_Vaccines_forCombi,MATCH($A91,$AE$12:$AE$37,0),P$79),""))</f>
        <v/>
      </c>
      <c r="Q91" s="567" t="str" cm="1">
        <f t="array" ref="Q91">IFERROR(VALUE(IF($A91&lt;=T1_Vaccines_NumSuitable,INDEX(T1_Vaccines_forCombi,MATCH($A91,$AE$12:$AE$37,0),Q$79),"")),IF($A91&lt;=T1_Vaccines_NumSuitable,INDEX(T1_Vaccines_forCombi,MATCH($A91,$AE$12:$AE$37,0),Q$79),""))</f>
        <v/>
      </c>
      <c r="R91" s="567" t="str" cm="1">
        <f t="array" ref="R91">IFERROR(VALUE(IF($A91&lt;=T1_Vaccines_NumSuitable,INDEX(T1_Vaccines_forCombi,MATCH($A91,$AE$12:$AE$37,0),R$79),"")),IF($A91&lt;=T1_Vaccines_NumSuitable,INDEX(T1_Vaccines_forCombi,MATCH($A91,$AE$12:$AE$37,0),R$79),""))</f>
        <v/>
      </c>
      <c r="S91" s="567" t="str" cm="1">
        <f t="array" ref="S91">IFERROR(VALUE(IF($A91&lt;=T1_Vaccines_NumSuitable,INDEX(T1_Vaccines_forCombi,MATCH($A91,$AE$12:$AE$37,0),S$79),"")),IF($A91&lt;=T1_Vaccines_NumSuitable,INDEX(T1_Vaccines_forCombi,MATCH($A91,$AE$12:$AE$37,0),S$79),""))</f>
        <v/>
      </c>
      <c r="T91" s="567" t="str" cm="1">
        <f t="array" ref="T91">IFERROR(VALUE(IF($A91&lt;=T1_Vaccines_NumSuitable,INDEX(T1_Vaccines_forCombi,MATCH($A91,$AE$12:$AE$37,0),T$79),"")),IF($A91&lt;=T1_Vaccines_NumSuitable,INDEX(T1_Vaccines_forCombi,MATCH($A91,$AE$12:$AE$37,0),T$79),""))</f>
        <v/>
      </c>
      <c r="U91" s="567" t="str" cm="1">
        <f t="array" ref="U91">IFERROR(VALUE(IF($A91&lt;=T1_Vaccines_NumSuitable,INDEX(T1_Vaccines_forCombi,MATCH($A91,$AE$12:$AE$37,0),U$79),"")),IF($A91&lt;=T1_Vaccines_NumSuitable,INDEX(T1_Vaccines_forCombi,MATCH($A91,$AE$12:$AE$37,0),U$79),""))</f>
        <v/>
      </c>
      <c r="V91" s="567" t="str" cm="1">
        <f t="array" ref="V91">IFERROR(VALUE(IF($A91&lt;=T1_Vaccines_NumSuitable,INDEX(T1_Vaccines_forCombi,MATCH($A91,$AE$12:$AE$37,0),V$79),"")),IF($A91&lt;=T1_Vaccines_NumSuitable,INDEX(T1_Vaccines_forCombi,MATCH($A91,$AE$12:$AE$37,0),V$79),""))</f>
        <v/>
      </c>
      <c r="W91" s="567" t="str" cm="1">
        <f t="array" ref="W91">IFERROR(VALUE(IF($A91&lt;=T1_Vaccines_NumSuitable,INDEX(T1_Vaccines_forCombi,MATCH($A91,$AE$12:$AE$37,0),W$79),"")),IF($A91&lt;=T1_Vaccines_NumSuitable,INDEX(T1_Vaccines_forCombi,MATCH($A91,$AE$12:$AE$37,0),W$79),""))</f>
        <v/>
      </c>
      <c r="X91" s="567" t="str" cm="1">
        <f t="array" ref="X91">IFERROR(VALUE(IF($A91&lt;=T1_Vaccines_NumSuitable,INDEX(T1_Vaccines_forCombi,MATCH($A91,$AE$12:$AE$37,0),X$79),"")),IF($A91&lt;=T1_Vaccines_NumSuitable,INDEX(T1_Vaccines_forCombi,MATCH($A91,$AE$12:$AE$37,0),X$79),""))</f>
        <v/>
      </c>
      <c r="Y91" s="567" t="str" cm="1">
        <f t="array" ref="Y91">IFERROR(VALUE(IF($A91&lt;=T1_Vaccines_NumSuitable,INDEX(T1_Vaccines_forCombi,MATCH($A91,$AE$12:$AE$37,0),Y$79),"")),IF($A91&lt;=T1_Vaccines_NumSuitable,INDEX(T1_Vaccines_forCombi,MATCH($A91,$AE$12:$AE$37,0),Y$79),""))</f>
        <v/>
      </c>
      <c r="Z91" s="567" t="str" cm="1">
        <f t="array" ref="Z91">IFERROR(VALUE(IF($A91&lt;=T1_Vaccines_NumSuitable,INDEX(T1_Vaccines_forCombi,MATCH($A91,$AE$12:$AE$37,0),Z$79),"")),IF($A91&lt;=T1_Vaccines_NumSuitable,INDEX(T1_Vaccines_forCombi,MATCH($A91,$AE$12:$AE$37,0),Z$79),""))</f>
        <v/>
      </c>
      <c r="AA91" s="567" t="str" cm="1">
        <f t="array" ref="AA91">IFERROR(VALUE(IF($A91&lt;=T1_Vaccines_NumSuitable,INDEX(T1_Vaccines_forCombi,MATCH($A91,$AE$12:$AE$37,0),AA$79),"")),IF($A91&lt;=T1_Vaccines_NumSuitable,INDEX(T1_Vaccines_forCombi,MATCH($A91,$AE$12:$AE$37,0),AA$79),""))</f>
        <v/>
      </c>
      <c r="AB91" s="567" t="str" cm="1">
        <f t="array" ref="AB91">IFERROR(VALUE(IF($A91&lt;=T1_Vaccines_NumSuitable,INDEX(T1_Vaccines_forCombi,MATCH($A91,$AE$12:$AE$37,0),AB$79),"")),IF($A91&lt;=T1_Vaccines_NumSuitable,INDEX(T1_Vaccines_forCombi,MATCH($A91,$AE$12:$AE$37,0),AB$79),""))</f>
        <v/>
      </c>
      <c r="AC91" s="567" t="str" cm="1">
        <f t="array" ref="AC91">IFERROR(VALUE(IF($A91&lt;=T1_Vaccines_NumSuitable,INDEX(T1_Vaccines_forCombi,MATCH($A91,$AE$12:$AE$37,0),AC$79),"")),IF($A91&lt;=T1_Vaccines_NumSuitable,INDEX(T1_Vaccines_forCombi,MATCH($A91,$AE$12:$AE$37,0),AC$79),""))</f>
        <v/>
      </c>
      <c r="AD91" s="567" t="str" cm="1">
        <f t="array" ref="AD91">IFERROR(VALUE(IF($A91&lt;=T1_Vaccines_NumSuitable,INDEX(T1_Vaccines_forCombi,MATCH($A91,$AE$12:$AE$37,0),AD$79),"")),IF($A91&lt;=T1_Vaccines_NumSuitable,INDEX(T1_Vaccines_forCombi,MATCH($A91,$AE$12:$AE$37,0),AD$79),""))</f>
        <v/>
      </c>
      <c r="AE91" s="656">
        <f t="shared" si="153"/>
        <v>0</v>
      </c>
      <c r="AF91" s="656">
        <f t="shared" si="151"/>
        <v>0</v>
      </c>
      <c r="AG91" s="656">
        <f t="shared" si="151"/>
        <v>0</v>
      </c>
      <c r="AH91" s="657">
        <f t="shared" si="154"/>
        <v>0</v>
      </c>
      <c r="AI91" s="567">
        <f t="shared" si="152"/>
        <v>0</v>
      </c>
      <c r="AJ91" s="567">
        <f t="shared" si="152"/>
        <v>0</v>
      </c>
      <c r="AK91" s="567">
        <f t="shared" si="152"/>
        <v>0</v>
      </c>
      <c r="AL91" s="567">
        <f t="shared" si="152"/>
        <v>0</v>
      </c>
      <c r="AM91" s="564"/>
      <c r="AN91" s="564"/>
      <c r="AO91" s="564"/>
      <c r="AP91" s="564"/>
      <c r="AQ91" s="564"/>
      <c r="AR91" s="564"/>
      <c r="AS91" s="564"/>
      <c r="AT91" s="564"/>
      <c r="AU91" s="564"/>
      <c r="AV91" s="564"/>
      <c r="AW91" s="564"/>
      <c r="AX91" s="564"/>
      <c r="AY91" s="564"/>
      <c r="AZ91" s="564"/>
      <c r="BA91" s="564"/>
      <c r="BB91" s="564"/>
      <c r="BC91" s="564"/>
      <c r="BD91" s="564"/>
      <c r="BE91" s="564"/>
      <c r="BF91" s="564"/>
      <c r="BG91" s="564"/>
      <c r="BH91" s="564"/>
      <c r="BI91" s="564"/>
      <c r="BJ91" s="564"/>
      <c r="BK91" s="564"/>
      <c r="BL91" s="564"/>
      <c r="BM91" s="564"/>
      <c r="BN91" s="564"/>
      <c r="BO91" s="564"/>
      <c r="BP91" s="564"/>
      <c r="BQ91" s="564"/>
      <c r="BR91" s="564"/>
      <c r="BS91" s="564"/>
      <c r="BT91" s="564"/>
      <c r="BU91" s="564"/>
      <c r="BV91" s="564"/>
      <c r="BW91" s="564"/>
      <c r="BX91" s="564"/>
      <c r="BY91" s="564"/>
      <c r="BZ91" s="564"/>
      <c r="CA91" s="564"/>
      <c r="CB91" s="564"/>
      <c r="CC91" s="564"/>
      <c r="CD91" s="564"/>
      <c r="CE91" s="564"/>
      <c r="CF91" s="564"/>
      <c r="CG91" s="564"/>
      <c r="CH91" s="564"/>
      <c r="CI91" s="564"/>
      <c r="CJ91" s="564"/>
      <c r="CK91" s="564"/>
      <c r="CL91" s="564"/>
      <c r="CM91" s="564"/>
      <c r="CN91" s="564"/>
      <c r="CO91" s="564"/>
      <c r="CP91" s="564"/>
      <c r="CQ91" s="564"/>
      <c r="CR91" s="564"/>
      <c r="CS91" s="564"/>
      <c r="CT91" s="564"/>
      <c r="CU91" s="564"/>
      <c r="CV91" s="564"/>
      <c r="CW91" s="564"/>
      <c r="CX91" s="564"/>
      <c r="CY91" s="564"/>
      <c r="CZ91" s="564"/>
      <c r="DA91" s="564"/>
      <c r="DB91" s="564"/>
      <c r="DC91" s="564"/>
      <c r="DD91" s="564"/>
      <c r="DE91" s="564"/>
      <c r="DF91" s="564"/>
      <c r="DG91" s="564"/>
      <c r="DH91" s="564"/>
      <c r="DI91" s="564"/>
      <c r="DJ91" s="564"/>
      <c r="DK91" s="564"/>
      <c r="DL91" s="564"/>
      <c r="DM91" s="564"/>
      <c r="DN91" s="564"/>
      <c r="DO91" s="564"/>
      <c r="DP91" s="564"/>
      <c r="DQ91" s="564"/>
      <c r="DR91" s="564"/>
      <c r="DS91" s="564"/>
      <c r="DT91" s="564"/>
      <c r="DU91" s="564"/>
      <c r="DV91" s="564"/>
      <c r="DW91" s="564"/>
      <c r="DX91" s="564"/>
      <c r="DY91" s="564"/>
      <c r="DZ91" s="564"/>
      <c r="EA91" s="564"/>
      <c r="EB91" s="564"/>
      <c r="EC91" s="564"/>
      <c r="ED91" s="564"/>
      <c r="EE91" s="564"/>
      <c r="EF91" s="564"/>
      <c r="EG91" s="564"/>
      <c r="EH91" s="564"/>
      <c r="EI91" s="564"/>
      <c r="EJ91" s="564"/>
      <c r="EK91" s="564"/>
      <c r="EL91" s="564"/>
      <c r="EM91" s="564"/>
      <c r="EN91" s="564"/>
      <c r="EO91" s="564"/>
      <c r="EP91" s="564"/>
      <c r="EQ91" s="564"/>
      <c r="ER91" s="564"/>
      <c r="ES91" s="564"/>
      <c r="ET91" s="564"/>
      <c r="EU91" s="564"/>
      <c r="EV91" s="564"/>
      <c r="EW91" s="564"/>
      <c r="EX91" s="564"/>
      <c r="EY91" s="564"/>
      <c r="EZ91" s="564"/>
      <c r="FA91" s="564"/>
      <c r="FB91" s="564"/>
      <c r="FC91" s="564"/>
      <c r="FD91" s="564"/>
      <c r="FE91" s="564"/>
      <c r="FF91" s="564"/>
      <c r="FG91" s="564"/>
      <c r="FH91" s="564"/>
      <c r="FI91" s="564"/>
      <c r="FJ91" s="564"/>
      <c r="FK91" s="564"/>
      <c r="FL91" s="564"/>
      <c r="FM91" s="564"/>
      <c r="FN91" s="564"/>
      <c r="FO91" s="564"/>
      <c r="FP91" s="564"/>
      <c r="FQ91" s="564"/>
      <c r="FR91" s="564"/>
      <c r="FS91" s="564"/>
      <c r="FT91" s="564"/>
      <c r="FU91" s="564"/>
      <c r="FV91" s="564"/>
      <c r="FW91" s="564"/>
      <c r="FX91" s="564"/>
      <c r="FY91" s="564"/>
      <c r="FZ91" s="564"/>
      <c r="GA91" s="564"/>
      <c r="GB91" s="564"/>
      <c r="GC91" s="564"/>
      <c r="GD91" s="564"/>
      <c r="GE91" s="564"/>
      <c r="GF91" s="564"/>
      <c r="GG91" s="564"/>
      <c r="GH91" s="564"/>
      <c r="GI91" s="564"/>
      <c r="GJ91" s="564"/>
      <c r="GK91" s="564"/>
      <c r="GL91" s="564"/>
      <c r="GM91" s="564"/>
      <c r="GN91" s="564"/>
      <c r="GO91" s="564"/>
      <c r="GP91" s="564"/>
      <c r="GQ91" s="564"/>
      <c r="GR91" s="564"/>
      <c r="GS91" s="564"/>
      <c r="GT91" s="564"/>
      <c r="GU91" s="564"/>
      <c r="GV91" s="564"/>
      <c r="GW91" s="564"/>
      <c r="GX91" s="564"/>
      <c r="GY91" s="564"/>
      <c r="GZ91" s="564"/>
      <c r="HA91" s="564"/>
      <c r="HB91" s="564"/>
      <c r="HC91" s="564"/>
      <c r="HD91" s="564"/>
      <c r="HE91" s="564"/>
      <c r="HF91" s="564"/>
      <c r="HG91" s="564"/>
      <c r="HH91" s="564"/>
      <c r="HI91" s="564"/>
      <c r="HJ91" s="564"/>
      <c r="HK91" s="564"/>
      <c r="HL91" s="564"/>
      <c r="HM91" s="564"/>
      <c r="HN91" s="564"/>
      <c r="HO91" s="564"/>
      <c r="HP91" s="564"/>
      <c r="HQ91" s="564"/>
      <c r="HR91" s="564"/>
      <c r="HS91" s="564"/>
      <c r="HT91" s="564"/>
      <c r="HU91" s="564"/>
      <c r="HV91" s="564"/>
      <c r="HW91" s="564"/>
      <c r="HX91" s="564"/>
      <c r="HY91" s="564"/>
      <c r="HZ91" s="564"/>
      <c r="IA91" s="564"/>
      <c r="IB91" s="564"/>
      <c r="IC91" s="564"/>
      <c r="ID91" s="564"/>
      <c r="IE91" s="564"/>
      <c r="IF91" s="564"/>
      <c r="IG91" s="564"/>
      <c r="IH91" s="564"/>
      <c r="II91" s="564"/>
      <c r="IJ91" s="564"/>
      <c r="IK91" s="564"/>
      <c r="IL91" s="564"/>
      <c r="IM91" s="564"/>
      <c r="IN91" s="564"/>
      <c r="IO91" s="564"/>
      <c r="IP91" s="564"/>
      <c r="IQ91" s="564"/>
      <c r="IR91" s="564"/>
      <c r="IS91" s="564"/>
      <c r="IT91" s="564"/>
      <c r="IU91" s="564"/>
      <c r="IV91" s="564"/>
      <c r="IW91" s="564"/>
      <c r="IX91" s="564"/>
      <c r="IY91" s="564"/>
      <c r="IZ91" s="564"/>
      <c r="JA91" s="564"/>
      <c r="JB91" s="564"/>
      <c r="JC91" s="564"/>
      <c r="JD91" s="564"/>
      <c r="JE91" s="564"/>
      <c r="JF91" s="564"/>
      <c r="JG91" s="564"/>
      <c r="JH91" s="564"/>
      <c r="JI91" s="564"/>
      <c r="JJ91" s="564"/>
      <c r="JK91" s="564"/>
      <c r="JL91" s="564"/>
      <c r="JM91" s="564"/>
      <c r="JN91" s="564"/>
      <c r="JO91" s="564"/>
      <c r="JP91" s="564"/>
      <c r="JQ91" s="564"/>
      <c r="JR91" s="564"/>
      <c r="JS91" s="564"/>
      <c r="JT91" s="564"/>
      <c r="JU91" s="564"/>
      <c r="JV91" s="564"/>
      <c r="JW91" s="564"/>
      <c r="JX91" s="564"/>
      <c r="JY91" s="564"/>
    </row>
    <row r="92" spans="1:285" s="567" customFormat="1" hidden="1" x14ac:dyDescent="0.2">
      <c r="A92" s="2">
        <v>13</v>
      </c>
      <c r="C92" s="567" t="str" cm="1">
        <f t="array" ref="C92">IFERROR(VALUE(IF($A92&lt;=T1_Vaccines_NumSuitable,INDEX(T1_Vaccines_forCombi,MATCH($A92,$AE$12:$AE$37,0),C$79),"")),IF($A92&lt;=T1_Vaccines_NumSuitable,INDEX(T1_Vaccines_forCombi,MATCH($A92,$AE$12:$AE$37,0),C$79),""))</f>
        <v/>
      </c>
      <c r="D92" s="567" t="str" cm="1">
        <f t="array" ref="D92">IFERROR(VALUE(IF($A92&lt;=T1_Vaccines_NumSuitable,INDEX(T1_Vaccines_forCombi,MATCH($A92,$AE$12:$AE$37,0),D$79),"")),IF($A92&lt;=T1_Vaccines_NumSuitable,INDEX(T1_Vaccines_forCombi,MATCH($A92,$AE$12:$AE$37,0),D$79),""))</f>
        <v/>
      </c>
      <c r="E92" s="567" t="str" cm="1">
        <f t="array" ref="E92">IFERROR(VALUE(IF($A92&lt;=T1_Vaccines_NumSuitable,INDEX(T1_Vaccines_forCombi,MATCH($A92,$AE$12:$AE$37,0),E$79),"")),IF($A92&lt;=T1_Vaccines_NumSuitable,INDEX(T1_Vaccines_forCombi,MATCH($A92,$AE$12:$AE$37,0),E$79),""))</f>
        <v/>
      </c>
      <c r="F92" s="567" t="str" cm="1">
        <f t="array" ref="F92">IFERROR(VALUE(IF($A92&lt;=T1_Vaccines_NumSuitable,INDEX(T1_Vaccines_forCombi,MATCH($A92,$AE$12:$AE$37,0),F$79),"")),IF($A92&lt;=T1_Vaccines_NumSuitable,INDEX(T1_Vaccines_forCombi,MATCH($A92,$AE$12:$AE$37,0),F$79),""))</f>
        <v/>
      </c>
      <c r="G92" s="567" t="str" cm="1">
        <f t="array" ref="G92">IFERROR(VALUE(IF($A92&lt;=T1_Vaccines_NumSuitable,INDEX(T1_Vaccines_forCombi,MATCH($A92,$AE$12:$AE$37,0),G$79),"")),IF($A92&lt;=T1_Vaccines_NumSuitable,INDEX(T1_Vaccines_forCombi,MATCH($A92,$AE$12:$AE$37,0),G$79),""))</f>
        <v/>
      </c>
      <c r="H92" s="567" t="str" cm="1">
        <f t="array" ref="H92">IFERROR(VALUE(IF($A92&lt;=T1_Vaccines_NumSuitable,INDEX(T1_Vaccines_forCombi,MATCH($A92,$AE$12:$AE$37,0),H$79),"")),IF($A92&lt;=T1_Vaccines_NumSuitable,INDEX(T1_Vaccines_forCombi,MATCH($A92,$AE$12:$AE$37,0),H$79),""))</f>
        <v/>
      </c>
      <c r="I92" s="567" t="str" cm="1">
        <f t="array" ref="I92">IFERROR(VALUE(IF($A92&lt;=T1_Vaccines_NumSuitable,INDEX(T1_Vaccines_forCombi,MATCH($A92,$AE$12:$AE$37,0),I$79),"")),IF($A92&lt;=T1_Vaccines_NumSuitable,INDEX(T1_Vaccines_forCombi,MATCH($A92,$AE$12:$AE$37,0),I$79),""))</f>
        <v/>
      </c>
      <c r="J92" s="567" t="str" cm="1">
        <f t="array" ref="J92">IFERROR(VALUE(IF($A92&lt;=T1_Vaccines_NumSuitable,INDEX(T1_Vaccines_forCombi,MATCH($A92,$AE$12:$AE$37,0),J$79),"")),IF($A92&lt;=T1_Vaccines_NumSuitable,INDEX(T1_Vaccines_forCombi,MATCH($A92,$AE$12:$AE$37,0),J$79),""))</f>
        <v/>
      </c>
      <c r="K92" s="567" t="str" cm="1">
        <f t="array" ref="K92">IFERROR(VALUE(IF($A92&lt;=T1_Vaccines_NumSuitable,INDEX(T1_Vaccines_forCombi,MATCH($A92,$AE$12:$AE$37,0),K$79),"")),IF($A92&lt;=T1_Vaccines_NumSuitable,INDEX(T1_Vaccines_forCombi,MATCH($A92,$AE$12:$AE$37,0),K$79),""))</f>
        <v/>
      </c>
      <c r="L92" s="567" t="str" cm="1">
        <f t="array" ref="L92">IFERROR(VALUE(IF($A92&lt;=T1_Vaccines_NumSuitable,INDEX(T1_Vaccines_forCombi,MATCH($A92,$AE$12:$AE$37,0),L$79),"")),IF($A92&lt;=T1_Vaccines_NumSuitable,INDEX(T1_Vaccines_forCombi,MATCH($A92,$AE$12:$AE$37,0),L$79),""))</f>
        <v/>
      </c>
      <c r="M92" s="567" t="str" cm="1">
        <f t="array" ref="M92">IFERROR(VALUE(IF($A92&lt;=T1_Vaccines_NumSuitable,INDEX(T1_Vaccines_forCombi,MATCH($A92,$AE$12:$AE$37,0),M$79),"")),IF($A92&lt;=T1_Vaccines_NumSuitable,INDEX(T1_Vaccines_forCombi,MATCH($A92,$AE$12:$AE$37,0),M$79),""))</f>
        <v/>
      </c>
      <c r="N92" s="567" t="str" cm="1">
        <f t="array" ref="N92">IFERROR(VALUE(IF($A92&lt;=T1_Vaccines_NumSuitable,INDEX(T1_Vaccines_forCombi,MATCH($A92,$AE$12:$AE$37,0),N$79),"")),IF($A92&lt;=T1_Vaccines_NumSuitable,INDEX(T1_Vaccines_forCombi,MATCH($A92,$AE$12:$AE$37,0),N$79),""))</f>
        <v/>
      </c>
      <c r="O92" s="567" t="str" cm="1">
        <f t="array" ref="O92">IFERROR(VALUE(IF($A92&lt;=T1_Vaccines_NumSuitable,INDEX(T1_Vaccines_forCombi,MATCH($A92,$AE$12:$AE$37,0),O$79),"")),IF($A92&lt;=T1_Vaccines_NumSuitable,INDEX(T1_Vaccines_forCombi,MATCH($A92,$AE$12:$AE$37,0),O$79),""))</f>
        <v/>
      </c>
      <c r="P92" s="567" t="str" cm="1">
        <f t="array" ref="P92">IFERROR(VALUE(IF($A92&lt;=T1_Vaccines_NumSuitable,INDEX(T1_Vaccines_forCombi,MATCH($A92,$AE$12:$AE$37,0),P$79),"")),IF($A92&lt;=T1_Vaccines_NumSuitable,INDEX(T1_Vaccines_forCombi,MATCH($A92,$AE$12:$AE$37,0),P$79),""))</f>
        <v/>
      </c>
      <c r="Q92" s="567" t="str" cm="1">
        <f t="array" ref="Q92">IFERROR(VALUE(IF($A92&lt;=T1_Vaccines_NumSuitable,INDEX(T1_Vaccines_forCombi,MATCH($A92,$AE$12:$AE$37,0),Q$79),"")),IF($A92&lt;=T1_Vaccines_NumSuitable,INDEX(T1_Vaccines_forCombi,MATCH($A92,$AE$12:$AE$37,0),Q$79),""))</f>
        <v/>
      </c>
      <c r="R92" s="567" t="str" cm="1">
        <f t="array" ref="R92">IFERROR(VALUE(IF($A92&lt;=T1_Vaccines_NumSuitable,INDEX(T1_Vaccines_forCombi,MATCH($A92,$AE$12:$AE$37,0),R$79),"")),IF($A92&lt;=T1_Vaccines_NumSuitable,INDEX(T1_Vaccines_forCombi,MATCH($A92,$AE$12:$AE$37,0),R$79),""))</f>
        <v/>
      </c>
      <c r="S92" s="567" t="str" cm="1">
        <f t="array" ref="S92">IFERROR(VALUE(IF($A92&lt;=T1_Vaccines_NumSuitable,INDEX(T1_Vaccines_forCombi,MATCH($A92,$AE$12:$AE$37,0),S$79),"")),IF($A92&lt;=T1_Vaccines_NumSuitable,INDEX(T1_Vaccines_forCombi,MATCH($A92,$AE$12:$AE$37,0),S$79),""))</f>
        <v/>
      </c>
      <c r="T92" s="567" t="str" cm="1">
        <f t="array" ref="T92">IFERROR(VALUE(IF($A92&lt;=T1_Vaccines_NumSuitable,INDEX(T1_Vaccines_forCombi,MATCH($A92,$AE$12:$AE$37,0),T$79),"")),IF($A92&lt;=T1_Vaccines_NumSuitable,INDEX(T1_Vaccines_forCombi,MATCH($A92,$AE$12:$AE$37,0),T$79),""))</f>
        <v/>
      </c>
      <c r="U92" s="567" t="str" cm="1">
        <f t="array" ref="U92">IFERROR(VALUE(IF($A92&lt;=T1_Vaccines_NumSuitable,INDEX(T1_Vaccines_forCombi,MATCH($A92,$AE$12:$AE$37,0),U$79),"")),IF($A92&lt;=T1_Vaccines_NumSuitable,INDEX(T1_Vaccines_forCombi,MATCH($A92,$AE$12:$AE$37,0),U$79),""))</f>
        <v/>
      </c>
      <c r="V92" s="567" t="str" cm="1">
        <f t="array" ref="V92">IFERROR(VALUE(IF($A92&lt;=T1_Vaccines_NumSuitable,INDEX(T1_Vaccines_forCombi,MATCH($A92,$AE$12:$AE$37,0),V$79),"")),IF($A92&lt;=T1_Vaccines_NumSuitable,INDEX(T1_Vaccines_forCombi,MATCH($A92,$AE$12:$AE$37,0),V$79),""))</f>
        <v/>
      </c>
      <c r="W92" s="567" t="str" cm="1">
        <f t="array" ref="W92">IFERROR(VALUE(IF($A92&lt;=T1_Vaccines_NumSuitable,INDEX(T1_Vaccines_forCombi,MATCH($A92,$AE$12:$AE$37,0),W$79),"")),IF($A92&lt;=T1_Vaccines_NumSuitable,INDEX(T1_Vaccines_forCombi,MATCH($A92,$AE$12:$AE$37,0),W$79),""))</f>
        <v/>
      </c>
      <c r="X92" s="567" t="str" cm="1">
        <f t="array" ref="X92">IFERROR(VALUE(IF($A92&lt;=T1_Vaccines_NumSuitable,INDEX(T1_Vaccines_forCombi,MATCH($A92,$AE$12:$AE$37,0),X$79),"")),IF($A92&lt;=T1_Vaccines_NumSuitable,INDEX(T1_Vaccines_forCombi,MATCH($A92,$AE$12:$AE$37,0),X$79),""))</f>
        <v/>
      </c>
      <c r="Y92" s="567" t="str" cm="1">
        <f t="array" ref="Y92">IFERROR(VALUE(IF($A92&lt;=T1_Vaccines_NumSuitable,INDEX(T1_Vaccines_forCombi,MATCH($A92,$AE$12:$AE$37,0),Y$79),"")),IF($A92&lt;=T1_Vaccines_NumSuitable,INDEX(T1_Vaccines_forCombi,MATCH($A92,$AE$12:$AE$37,0),Y$79),""))</f>
        <v/>
      </c>
      <c r="Z92" s="567" t="str" cm="1">
        <f t="array" ref="Z92">IFERROR(VALUE(IF($A92&lt;=T1_Vaccines_NumSuitable,INDEX(T1_Vaccines_forCombi,MATCH($A92,$AE$12:$AE$37,0),Z$79),"")),IF($A92&lt;=T1_Vaccines_NumSuitable,INDEX(T1_Vaccines_forCombi,MATCH($A92,$AE$12:$AE$37,0),Z$79),""))</f>
        <v/>
      </c>
      <c r="AA92" s="567" t="str" cm="1">
        <f t="array" ref="AA92">IFERROR(VALUE(IF($A92&lt;=T1_Vaccines_NumSuitable,INDEX(T1_Vaccines_forCombi,MATCH($A92,$AE$12:$AE$37,0),AA$79),"")),IF($A92&lt;=T1_Vaccines_NumSuitable,INDEX(T1_Vaccines_forCombi,MATCH($A92,$AE$12:$AE$37,0),AA$79),""))</f>
        <v/>
      </c>
      <c r="AB92" s="567" t="str" cm="1">
        <f t="array" ref="AB92">IFERROR(VALUE(IF($A92&lt;=T1_Vaccines_NumSuitable,INDEX(T1_Vaccines_forCombi,MATCH($A92,$AE$12:$AE$37,0),AB$79),"")),IF($A92&lt;=T1_Vaccines_NumSuitable,INDEX(T1_Vaccines_forCombi,MATCH($A92,$AE$12:$AE$37,0),AB$79),""))</f>
        <v/>
      </c>
      <c r="AC92" s="567" t="str" cm="1">
        <f t="array" ref="AC92">IFERROR(VALUE(IF($A92&lt;=T1_Vaccines_NumSuitable,INDEX(T1_Vaccines_forCombi,MATCH($A92,$AE$12:$AE$37,0),AC$79),"")),IF($A92&lt;=T1_Vaccines_NumSuitable,INDEX(T1_Vaccines_forCombi,MATCH($A92,$AE$12:$AE$37,0),AC$79),""))</f>
        <v/>
      </c>
      <c r="AD92" s="567" t="str" cm="1">
        <f t="array" ref="AD92">IFERROR(VALUE(IF($A92&lt;=T1_Vaccines_NumSuitable,INDEX(T1_Vaccines_forCombi,MATCH($A92,$AE$12:$AE$37,0),AD$79),"")),IF($A92&lt;=T1_Vaccines_NumSuitable,INDEX(T1_Vaccines_forCombi,MATCH($A92,$AE$12:$AE$37,0),AD$79),""))</f>
        <v/>
      </c>
      <c r="AE92" s="656">
        <f t="shared" si="153"/>
        <v>0</v>
      </c>
      <c r="AF92" s="656">
        <f t="shared" si="151"/>
        <v>0</v>
      </c>
      <c r="AG92" s="656">
        <f t="shared" si="151"/>
        <v>0</v>
      </c>
      <c r="AH92" s="657">
        <f t="shared" si="154"/>
        <v>0</v>
      </c>
      <c r="AI92" s="567">
        <f t="shared" si="152"/>
        <v>0</v>
      </c>
      <c r="AJ92" s="567">
        <f t="shared" si="152"/>
        <v>0</v>
      </c>
      <c r="AK92" s="567">
        <f t="shared" si="152"/>
        <v>0</v>
      </c>
      <c r="AL92" s="567">
        <f t="shared" si="152"/>
        <v>0</v>
      </c>
      <c r="AM92" s="564"/>
      <c r="AN92" s="564"/>
      <c r="AO92" s="564"/>
      <c r="AP92" s="564"/>
      <c r="AQ92" s="564"/>
      <c r="AR92" s="564"/>
      <c r="AS92" s="564"/>
      <c r="AT92" s="564"/>
      <c r="AU92" s="564"/>
      <c r="AV92" s="564"/>
      <c r="AW92" s="564"/>
      <c r="AX92" s="564"/>
      <c r="AY92" s="564"/>
      <c r="AZ92" s="564"/>
      <c r="BA92" s="564"/>
      <c r="BB92" s="564"/>
      <c r="BC92" s="564"/>
      <c r="BD92" s="564"/>
      <c r="BE92" s="564"/>
      <c r="BF92" s="564"/>
      <c r="BG92" s="564"/>
      <c r="BH92" s="564"/>
      <c r="BI92" s="564"/>
      <c r="BJ92" s="564"/>
      <c r="BK92" s="564"/>
      <c r="BL92" s="564"/>
      <c r="BM92" s="564"/>
      <c r="BN92" s="564"/>
      <c r="BO92" s="564"/>
      <c r="BP92" s="564"/>
      <c r="BQ92" s="564"/>
      <c r="BR92" s="564"/>
      <c r="BS92" s="564"/>
      <c r="BT92" s="564"/>
      <c r="BU92" s="564"/>
      <c r="BV92" s="564"/>
      <c r="BW92" s="564"/>
      <c r="BX92" s="564"/>
      <c r="BY92" s="564"/>
      <c r="BZ92" s="564"/>
      <c r="CA92" s="564"/>
      <c r="CB92" s="564"/>
      <c r="CC92" s="564"/>
      <c r="CD92" s="564"/>
      <c r="CE92" s="564"/>
      <c r="CF92" s="564"/>
      <c r="CG92" s="564"/>
      <c r="CH92" s="564"/>
      <c r="CI92" s="564"/>
      <c r="CJ92" s="564"/>
      <c r="CK92" s="564"/>
      <c r="CL92" s="564"/>
      <c r="CM92" s="564"/>
      <c r="CN92" s="564"/>
      <c r="CO92" s="564"/>
      <c r="CP92" s="564"/>
      <c r="CQ92" s="564"/>
      <c r="CR92" s="564"/>
      <c r="CS92" s="564"/>
      <c r="CT92" s="564"/>
      <c r="CU92" s="564"/>
      <c r="CV92" s="564"/>
      <c r="CW92" s="564"/>
      <c r="CX92" s="564"/>
      <c r="CY92" s="564"/>
      <c r="CZ92" s="564"/>
      <c r="DA92" s="564"/>
      <c r="DB92" s="564"/>
      <c r="DC92" s="564"/>
      <c r="DD92" s="564"/>
      <c r="DE92" s="564"/>
      <c r="DF92" s="564"/>
      <c r="DG92" s="564"/>
      <c r="DH92" s="564"/>
      <c r="DI92" s="564"/>
      <c r="DJ92" s="564"/>
      <c r="DK92" s="564"/>
      <c r="DL92" s="564"/>
      <c r="DM92" s="564"/>
      <c r="DN92" s="564"/>
      <c r="DO92" s="564"/>
      <c r="DP92" s="564"/>
      <c r="DQ92" s="564"/>
      <c r="DR92" s="564"/>
      <c r="DS92" s="564"/>
      <c r="DT92" s="564"/>
      <c r="DU92" s="564"/>
      <c r="DV92" s="564"/>
      <c r="DW92" s="564"/>
      <c r="DX92" s="564"/>
      <c r="DY92" s="564"/>
      <c r="DZ92" s="564"/>
      <c r="EA92" s="564"/>
      <c r="EB92" s="564"/>
      <c r="EC92" s="564"/>
      <c r="ED92" s="564"/>
      <c r="EE92" s="564"/>
      <c r="EF92" s="564"/>
      <c r="EG92" s="564"/>
      <c r="EH92" s="564"/>
      <c r="EI92" s="564"/>
      <c r="EJ92" s="564"/>
      <c r="EK92" s="564"/>
      <c r="EL92" s="564"/>
      <c r="EM92" s="564"/>
      <c r="EN92" s="564"/>
      <c r="EO92" s="564"/>
      <c r="EP92" s="564"/>
      <c r="EQ92" s="564"/>
      <c r="ER92" s="564"/>
      <c r="ES92" s="564"/>
      <c r="ET92" s="564"/>
      <c r="EU92" s="564"/>
      <c r="EV92" s="564"/>
      <c r="EW92" s="564"/>
      <c r="EX92" s="564"/>
      <c r="EY92" s="564"/>
      <c r="EZ92" s="564"/>
      <c r="FA92" s="564"/>
      <c r="FB92" s="564"/>
      <c r="FC92" s="564"/>
      <c r="FD92" s="564"/>
      <c r="FE92" s="564"/>
      <c r="FF92" s="564"/>
      <c r="FG92" s="564"/>
      <c r="FH92" s="564"/>
      <c r="FI92" s="564"/>
      <c r="FJ92" s="564"/>
      <c r="FK92" s="564"/>
      <c r="FL92" s="564"/>
      <c r="FM92" s="564"/>
      <c r="FN92" s="564"/>
      <c r="FO92" s="564"/>
      <c r="FP92" s="564"/>
      <c r="FQ92" s="564"/>
      <c r="FR92" s="564"/>
      <c r="FS92" s="564"/>
      <c r="FT92" s="564"/>
      <c r="FU92" s="564"/>
      <c r="FV92" s="564"/>
      <c r="FW92" s="564"/>
      <c r="FX92" s="564"/>
      <c r="FY92" s="564"/>
      <c r="FZ92" s="564"/>
      <c r="GA92" s="564"/>
      <c r="GB92" s="564"/>
      <c r="GC92" s="564"/>
      <c r="GD92" s="564"/>
      <c r="GE92" s="564"/>
      <c r="GF92" s="564"/>
      <c r="GG92" s="564"/>
      <c r="GH92" s="564"/>
      <c r="GI92" s="564"/>
      <c r="GJ92" s="564"/>
      <c r="GK92" s="564"/>
      <c r="GL92" s="564"/>
      <c r="GM92" s="564"/>
      <c r="GN92" s="564"/>
      <c r="GO92" s="564"/>
      <c r="GP92" s="564"/>
      <c r="GQ92" s="564"/>
      <c r="GR92" s="564"/>
      <c r="GS92" s="564"/>
      <c r="GT92" s="564"/>
      <c r="GU92" s="564"/>
      <c r="GV92" s="564"/>
      <c r="GW92" s="564"/>
      <c r="GX92" s="564"/>
      <c r="GY92" s="564"/>
      <c r="GZ92" s="564"/>
      <c r="HA92" s="564"/>
      <c r="HB92" s="564"/>
      <c r="HC92" s="564"/>
      <c r="HD92" s="564"/>
      <c r="HE92" s="564"/>
      <c r="HF92" s="564"/>
      <c r="HG92" s="564"/>
      <c r="HH92" s="564"/>
      <c r="HI92" s="564"/>
      <c r="HJ92" s="564"/>
      <c r="HK92" s="564"/>
      <c r="HL92" s="564"/>
      <c r="HM92" s="564"/>
      <c r="HN92" s="564"/>
      <c r="HO92" s="564"/>
      <c r="HP92" s="564"/>
      <c r="HQ92" s="564"/>
      <c r="HR92" s="564"/>
      <c r="HS92" s="564"/>
      <c r="HT92" s="564"/>
      <c r="HU92" s="564"/>
      <c r="HV92" s="564"/>
      <c r="HW92" s="564"/>
      <c r="HX92" s="564"/>
      <c r="HY92" s="564"/>
      <c r="HZ92" s="564"/>
      <c r="IA92" s="564"/>
      <c r="IB92" s="564"/>
      <c r="IC92" s="564"/>
      <c r="ID92" s="564"/>
      <c r="IE92" s="564"/>
      <c r="IF92" s="564"/>
      <c r="IG92" s="564"/>
      <c r="IH92" s="564"/>
      <c r="II92" s="564"/>
      <c r="IJ92" s="564"/>
      <c r="IK92" s="564"/>
      <c r="IL92" s="564"/>
      <c r="IM92" s="564"/>
      <c r="IN92" s="564"/>
      <c r="IO92" s="564"/>
      <c r="IP92" s="564"/>
      <c r="IQ92" s="564"/>
      <c r="IR92" s="564"/>
      <c r="IS92" s="564"/>
      <c r="IT92" s="564"/>
      <c r="IU92" s="564"/>
      <c r="IV92" s="564"/>
      <c r="IW92" s="564"/>
      <c r="IX92" s="564"/>
      <c r="IY92" s="564"/>
      <c r="IZ92" s="564"/>
      <c r="JA92" s="564"/>
      <c r="JB92" s="564"/>
      <c r="JC92" s="564"/>
      <c r="JD92" s="564"/>
      <c r="JE92" s="564"/>
      <c r="JF92" s="564"/>
      <c r="JG92" s="564"/>
      <c r="JH92" s="564"/>
      <c r="JI92" s="564"/>
      <c r="JJ92" s="564"/>
      <c r="JK92" s="564"/>
      <c r="JL92" s="564"/>
      <c r="JM92" s="564"/>
      <c r="JN92" s="564"/>
      <c r="JO92" s="564"/>
      <c r="JP92" s="564"/>
      <c r="JQ92" s="564"/>
      <c r="JR92" s="564"/>
      <c r="JS92" s="564"/>
      <c r="JT92" s="564"/>
      <c r="JU92" s="564"/>
      <c r="JV92" s="564"/>
      <c r="JW92" s="564"/>
      <c r="JX92" s="564"/>
      <c r="JY92" s="564"/>
    </row>
    <row r="93" spans="1:285" s="567" customFormat="1" hidden="1" x14ac:dyDescent="0.2">
      <c r="A93" s="2">
        <v>14</v>
      </c>
      <c r="C93" s="567" t="str" cm="1">
        <f t="array" ref="C93">IFERROR(VALUE(IF($A93&lt;=T1_Vaccines_NumSuitable,INDEX(T1_Vaccines_forCombi,MATCH($A93,$AE$12:$AE$37,0),C$79),"")),IF($A93&lt;=T1_Vaccines_NumSuitable,INDEX(T1_Vaccines_forCombi,MATCH($A93,$AE$12:$AE$37,0),C$79),""))</f>
        <v/>
      </c>
      <c r="D93" s="567" t="str" cm="1">
        <f t="array" ref="D93">IFERROR(VALUE(IF($A93&lt;=T1_Vaccines_NumSuitable,INDEX(T1_Vaccines_forCombi,MATCH($A93,$AE$12:$AE$37,0),D$79),"")),IF($A93&lt;=T1_Vaccines_NumSuitable,INDEX(T1_Vaccines_forCombi,MATCH($A93,$AE$12:$AE$37,0),D$79),""))</f>
        <v/>
      </c>
      <c r="E93" s="567" t="str" cm="1">
        <f t="array" ref="E93">IFERROR(VALUE(IF($A93&lt;=T1_Vaccines_NumSuitable,INDEX(T1_Vaccines_forCombi,MATCH($A93,$AE$12:$AE$37,0),E$79),"")),IF($A93&lt;=T1_Vaccines_NumSuitable,INDEX(T1_Vaccines_forCombi,MATCH($A93,$AE$12:$AE$37,0),E$79),""))</f>
        <v/>
      </c>
      <c r="F93" s="567" t="str" cm="1">
        <f t="array" ref="F93">IFERROR(VALUE(IF($A93&lt;=T1_Vaccines_NumSuitable,INDEX(T1_Vaccines_forCombi,MATCH($A93,$AE$12:$AE$37,0),F$79),"")),IF($A93&lt;=T1_Vaccines_NumSuitable,INDEX(T1_Vaccines_forCombi,MATCH($A93,$AE$12:$AE$37,0),F$79),""))</f>
        <v/>
      </c>
      <c r="G93" s="567" t="str" cm="1">
        <f t="array" ref="G93">IFERROR(VALUE(IF($A93&lt;=T1_Vaccines_NumSuitable,INDEX(T1_Vaccines_forCombi,MATCH($A93,$AE$12:$AE$37,0),G$79),"")),IF($A93&lt;=T1_Vaccines_NumSuitable,INDEX(T1_Vaccines_forCombi,MATCH($A93,$AE$12:$AE$37,0),G$79),""))</f>
        <v/>
      </c>
      <c r="H93" s="567" t="str" cm="1">
        <f t="array" ref="H93">IFERROR(VALUE(IF($A93&lt;=T1_Vaccines_NumSuitable,INDEX(T1_Vaccines_forCombi,MATCH($A93,$AE$12:$AE$37,0),H$79),"")),IF($A93&lt;=T1_Vaccines_NumSuitable,INDEX(T1_Vaccines_forCombi,MATCH($A93,$AE$12:$AE$37,0),H$79),""))</f>
        <v/>
      </c>
      <c r="I93" s="567" t="str" cm="1">
        <f t="array" ref="I93">IFERROR(VALUE(IF($A93&lt;=T1_Vaccines_NumSuitable,INDEX(T1_Vaccines_forCombi,MATCH($A93,$AE$12:$AE$37,0),I$79),"")),IF($A93&lt;=T1_Vaccines_NumSuitable,INDEX(T1_Vaccines_forCombi,MATCH($A93,$AE$12:$AE$37,0),I$79),""))</f>
        <v/>
      </c>
      <c r="J93" s="567" t="str" cm="1">
        <f t="array" ref="J93">IFERROR(VALUE(IF($A93&lt;=T1_Vaccines_NumSuitable,INDEX(T1_Vaccines_forCombi,MATCH($A93,$AE$12:$AE$37,0),J$79),"")),IF($A93&lt;=T1_Vaccines_NumSuitable,INDEX(T1_Vaccines_forCombi,MATCH($A93,$AE$12:$AE$37,0),J$79),""))</f>
        <v/>
      </c>
      <c r="K93" s="567" t="str" cm="1">
        <f t="array" ref="K93">IFERROR(VALUE(IF($A93&lt;=T1_Vaccines_NumSuitable,INDEX(T1_Vaccines_forCombi,MATCH($A93,$AE$12:$AE$37,0),K$79),"")),IF($A93&lt;=T1_Vaccines_NumSuitable,INDEX(T1_Vaccines_forCombi,MATCH($A93,$AE$12:$AE$37,0),K$79),""))</f>
        <v/>
      </c>
      <c r="L93" s="567" t="str" cm="1">
        <f t="array" ref="L93">IFERROR(VALUE(IF($A93&lt;=T1_Vaccines_NumSuitable,INDEX(T1_Vaccines_forCombi,MATCH($A93,$AE$12:$AE$37,0),L$79),"")),IF($A93&lt;=T1_Vaccines_NumSuitable,INDEX(T1_Vaccines_forCombi,MATCH($A93,$AE$12:$AE$37,0),L$79),""))</f>
        <v/>
      </c>
      <c r="M93" s="567" t="str" cm="1">
        <f t="array" ref="M93">IFERROR(VALUE(IF($A93&lt;=T1_Vaccines_NumSuitable,INDEX(T1_Vaccines_forCombi,MATCH($A93,$AE$12:$AE$37,0),M$79),"")),IF($A93&lt;=T1_Vaccines_NumSuitable,INDEX(T1_Vaccines_forCombi,MATCH($A93,$AE$12:$AE$37,0),M$79),""))</f>
        <v/>
      </c>
      <c r="N93" s="567" t="str" cm="1">
        <f t="array" ref="N93">IFERROR(VALUE(IF($A93&lt;=T1_Vaccines_NumSuitable,INDEX(T1_Vaccines_forCombi,MATCH($A93,$AE$12:$AE$37,0),N$79),"")),IF($A93&lt;=T1_Vaccines_NumSuitable,INDEX(T1_Vaccines_forCombi,MATCH($A93,$AE$12:$AE$37,0),N$79),""))</f>
        <v/>
      </c>
      <c r="O93" s="567" t="str" cm="1">
        <f t="array" ref="O93">IFERROR(VALUE(IF($A93&lt;=T1_Vaccines_NumSuitable,INDEX(T1_Vaccines_forCombi,MATCH($A93,$AE$12:$AE$37,0),O$79),"")),IF($A93&lt;=T1_Vaccines_NumSuitable,INDEX(T1_Vaccines_forCombi,MATCH($A93,$AE$12:$AE$37,0),O$79),""))</f>
        <v/>
      </c>
      <c r="P93" s="567" t="str" cm="1">
        <f t="array" ref="P93">IFERROR(VALUE(IF($A93&lt;=T1_Vaccines_NumSuitable,INDEX(T1_Vaccines_forCombi,MATCH($A93,$AE$12:$AE$37,0),P$79),"")),IF($A93&lt;=T1_Vaccines_NumSuitable,INDEX(T1_Vaccines_forCombi,MATCH($A93,$AE$12:$AE$37,0),P$79),""))</f>
        <v/>
      </c>
      <c r="Q93" s="567" t="str" cm="1">
        <f t="array" ref="Q93">IFERROR(VALUE(IF($A93&lt;=T1_Vaccines_NumSuitable,INDEX(T1_Vaccines_forCombi,MATCH($A93,$AE$12:$AE$37,0),Q$79),"")),IF($A93&lt;=T1_Vaccines_NumSuitable,INDEX(T1_Vaccines_forCombi,MATCH($A93,$AE$12:$AE$37,0),Q$79),""))</f>
        <v/>
      </c>
      <c r="R93" s="567" t="str" cm="1">
        <f t="array" ref="R93">IFERROR(VALUE(IF($A93&lt;=T1_Vaccines_NumSuitable,INDEX(T1_Vaccines_forCombi,MATCH($A93,$AE$12:$AE$37,0),R$79),"")),IF($A93&lt;=T1_Vaccines_NumSuitable,INDEX(T1_Vaccines_forCombi,MATCH($A93,$AE$12:$AE$37,0),R$79),""))</f>
        <v/>
      </c>
      <c r="S93" s="567" t="str" cm="1">
        <f t="array" ref="S93">IFERROR(VALUE(IF($A93&lt;=T1_Vaccines_NumSuitable,INDEX(T1_Vaccines_forCombi,MATCH($A93,$AE$12:$AE$37,0),S$79),"")),IF($A93&lt;=T1_Vaccines_NumSuitable,INDEX(T1_Vaccines_forCombi,MATCH($A93,$AE$12:$AE$37,0),S$79),""))</f>
        <v/>
      </c>
      <c r="T93" s="567" t="str" cm="1">
        <f t="array" ref="T93">IFERROR(VALUE(IF($A93&lt;=T1_Vaccines_NumSuitable,INDEX(T1_Vaccines_forCombi,MATCH($A93,$AE$12:$AE$37,0),T$79),"")),IF($A93&lt;=T1_Vaccines_NumSuitable,INDEX(T1_Vaccines_forCombi,MATCH($A93,$AE$12:$AE$37,0),T$79),""))</f>
        <v/>
      </c>
      <c r="U93" s="567" t="str" cm="1">
        <f t="array" ref="U93">IFERROR(VALUE(IF($A93&lt;=T1_Vaccines_NumSuitable,INDEX(T1_Vaccines_forCombi,MATCH($A93,$AE$12:$AE$37,0),U$79),"")),IF($A93&lt;=T1_Vaccines_NumSuitable,INDEX(T1_Vaccines_forCombi,MATCH($A93,$AE$12:$AE$37,0),U$79),""))</f>
        <v/>
      </c>
      <c r="V93" s="567" t="str" cm="1">
        <f t="array" ref="V93">IFERROR(VALUE(IF($A93&lt;=T1_Vaccines_NumSuitable,INDEX(T1_Vaccines_forCombi,MATCH($A93,$AE$12:$AE$37,0),V$79),"")),IF($A93&lt;=T1_Vaccines_NumSuitable,INDEX(T1_Vaccines_forCombi,MATCH($A93,$AE$12:$AE$37,0),V$79),""))</f>
        <v/>
      </c>
      <c r="W93" s="567" t="str" cm="1">
        <f t="array" ref="W93">IFERROR(VALUE(IF($A93&lt;=T1_Vaccines_NumSuitable,INDEX(T1_Vaccines_forCombi,MATCH($A93,$AE$12:$AE$37,0),W$79),"")),IF($A93&lt;=T1_Vaccines_NumSuitable,INDEX(T1_Vaccines_forCombi,MATCH($A93,$AE$12:$AE$37,0),W$79),""))</f>
        <v/>
      </c>
      <c r="X93" s="567" t="str" cm="1">
        <f t="array" ref="X93">IFERROR(VALUE(IF($A93&lt;=T1_Vaccines_NumSuitable,INDEX(T1_Vaccines_forCombi,MATCH($A93,$AE$12:$AE$37,0),X$79),"")),IF($A93&lt;=T1_Vaccines_NumSuitable,INDEX(T1_Vaccines_forCombi,MATCH($A93,$AE$12:$AE$37,0),X$79),""))</f>
        <v/>
      </c>
      <c r="Y93" s="567" t="str" cm="1">
        <f t="array" ref="Y93">IFERROR(VALUE(IF($A93&lt;=T1_Vaccines_NumSuitable,INDEX(T1_Vaccines_forCombi,MATCH($A93,$AE$12:$AE$37,0),Y$79),"")),IF($A93&lt;=T1_Vaccines_NumSuitable,INDEX(T1_Vaccines_forCombi,MATCH($A93,$AE$12:$AE$37,0),Y$79),""))</f>
        <v/>
      </c>
      <c r="Z93" s="567" t="str" cm="1">
        <f t="array" ref="Z93">IFERROR(VALUE(IF($A93&lt;=T1_Vaccines_NumSuitable,INDEX(T1_Vaccines_forCombi,MATCH($A93,$AE$12:$AE$37,0),Z$79),"")),IF($A93&lt;=T1_Vaccines_NumSuitable,INDEX(T1_Vaccines_forCombi,MATCH($A93,$AE$12:$AE$37,0),Z$79),""))</f>
        <v/>
      </c>
      <c r="AA93" s="567" t="str" cm="1">
        <f t="array" ref="AA93">IFERROR(VALUE(IF($A93&lt;=T1_Vaccines_NumSuitable,INDEX(T1_Vaccines_forCombi,MATCH($A93,$AE$12:$AE$37,0),AA$79),"")),IF($A93&lt;=T1_Vaccines_NumSuitable,INDEX(T1_Vaccines_forCombi,MATCH($A93,$AE$12:$AE$37,0),AA$79),""))</f>
        <v/>
      </c>
      <c r="AB93" s="567" t="str" cm="1">
        <f t="array" ref="AB93">IFERROR(VALUE(IF($A93&lt;=T1_Vaccines_NumSuitable,INDEX(T1_Vaccines_forCombi,MATCH($A93,$AE$12:$AE$37,0),AB$79),"")),IF($A93&lt;=T1_Vaccines_NumSuitable,INDEX(T1_Vaccines_forCombi,MATCH($A93,$AE$12:$AE$37,0),AB$79),""))</f>
        <v/>
      </c>
      <c r="AC93" s="567" t="str" cm="1">
        <f t="array" ref="AC93">IFERROR(VALUE(IF($A93&lt;=T1_Vaccines_NumSuitable,INDEX(T1_Vaccines_forCombi,MATCH($A93,$AE$12:$AE$37,0),AC$79),"")),IF($A93&lt;=T1_Vaccines_NumSuitable,INDEX(T1_Vaccines_forCombi,MATCH($A93,$AE$12:$AE$37,0),AC$79),""))</f>
        <v/>
      </c>
      <c r="AD93" s="567" t="str" cm="1">
        <f t="array" ref="AD93">IFERROR(VALUE(IF($A93&lt;=T1_Vaccines_NumSuitable,INDEX(T1_Vaccines_forCombi,MATCH($A93,$AE$12:$AE$37,0),AD$79),"")),IF($A93&lt;=T1_Vaccines_NumSuitable,INDEX(T1_Vaccines_forCombi,MATCH($A93,$AE$12:$AE$37,0),AD$79),""))</f>
        <v/>
      </c>
      <c r="AE93" s="656">
        <f t="shared" si="153"/>
        <v>0</v>
      </c>
      <c r="AF93" s="656">
        <f t="shared" si="151"/>
        <v>0</v>
      </c>
      <c r="AG93" s="656">
        <f t="shared" si="151"/>
        <v>0</v>
      </c>
      <c r="AH93" s="657">
        <f t="shared" si="154"/>
        <v>0</v>
      </c>
      <c r="AI93" s="567">
        <f t="shared" si="152"/>
        <v>0</v>
      </c>
      <c r="AJ93" s="567">
        <f t="shared" si="152"/>
        <v>0</v>
      </c>
      <c r="AK93" s="567">
        <f t="shared" si="152"/>
        <v>0</v>
      </c>
      <c r="AL93" s="567">
        <f t="shared" si="152"/>
        <v>0</v>
      </c>
      <c r="AM93" s="564"/>
      <c r="AN93" s="564"/>
      <c r="AO93" s="564"/>
      <c r="AP93" s="564"/>
      <c r="AQ93" s="564"/>
      <c r="AR93" s="564"/>
      <c r="AS93" s="564"/>
      <c r="AT93" s="564"/>
      <c r="AU93" s="564"/>
      <c r="AV93" s="564"/>
      <c r="AW93" s="564"/>
      <c r="AX93" s="564"/>
      <c r="AY93" s="564"/>
      <c r="AZ93" s="564"/>
      <c r="BA93" s="564"/>
      <c r="BB93" s="564"/>
      <c r="BC93" s="564"/>
      <c r="BD93" s="564"/>
      <c r="BE93" s="564"/>
      <c r="BF93" s="564"/>
      <c r="BG93" s="564"/>
      <c r="BH93" s="564"/>
      <c r="BI93" s="564"/>
      <c r="BJ93" s="564"/>
      <c r="BK93" s="564"/>
      <c r="BL93" s="564"/>
      <c r="BM93" s="564"/>
      <c r="BN93" s="564"/>
      <c r="BO93" s="564"/>
      <c r="BP93" s="564"/>
      <c r="BQ93" s="564"/>
      <c r="BR93" s="564"/>
      <c r="BS93" s="564"/>
      <c r="BT93" s="564"/>
      <c r="BU93" s="564"/>
      <c r="BV93" s="564"/>
      <c r="BW93" s="564"/>
      <c r="BX93" s="564"/>
      <c r="BY93" s="564"/>
      <c r="BZ93" s="564"/>
      <c r="CA93" s="564"/>
      <c r="CB93" s="564"/>
      <c r="CC93" s="564"/>
      <c r="CD93" s="564"/>
      <c r="CE93" s="564"/>
      <c r="CF93" s="564"/>
      <c r="CG93" s="564"/>
      <c r="CH93" s="564"/>
      <c r="CI93" s="564"/>
      <c r="CJ93" s="564"/>
      <c r="CK93" s="564"/>
      <c r="CL93" s="564"/>
      <c r="CM93" s="564"/>
      <c r="CN93" s="564"/>
      <c r="CO93" s="564"/>
      <c r="CP93" s="564"/>
      <c r="CQ93" s="564"/>
      <c r="CR93" s="564"/>
      <c r="CS93" s="564"/>
      <c r="CT93" s="564"/>
      <c r="CU93" s="564"/>
      <c r="CV93" s="564"/>
      <c r="CW93" s="564"/>
      <c r="CX93" s="564"/>
      <c r="CY93" s="564"/>
      <c r="CZ93" s="564"/>
      <c r="DA93" s="564"/>
      <c r="DB93" s="564"/>
      <c r="DC93" s="564"/>
      <c r="DD93" s="564"/>
      <c r="DE93" s="564"/>
      <c r="DF93" s="564"/>
      <c r="DG93" s="564"/>
      <c r="DH93" s="564"/>
      <c r="DI93" s="564"/>
      <c r="DJ93" s="564"/>
      <c r="DK93" s="564"/>
      <c r="DL93" s="564"/>
      <c r="DM93" s="564"/>
      <c r="DN93" s="564"/>
      <c r="DO93" s="564"/>
      <c r="DP93" s="564"/>
      <c r="DQ93" s="564"/>
      <c r="DR93" s="564"/>
      <c r="DS93" s="564"/>
      <c r="DT93" s="564"/>
      <c r="DU93" s="564"/>
      <c r="DV93" s="564"/>
      <c r="DW93" s="564"/>
      <c r="DX93" s="564"/>
      <c r="DY93" s="564"/>
      <c r="DZ93" s="564"/>
      <c r="EA93" s="564"/>
      <c r="EB93" s="564"/>
      <c r="EC93" s="564"/>
      <c r="ED93" s="564"/>
      <c r="EE93" s="564"/>
      <c r="EF93" s="564"/>
      <c r="EG93" s="564"/>
      <c r="EH93" s="564"/>
      <c r="EI93" s="564"/>
      <c r="EJ93" s="564"/>
      <c r="EK93" s="564"/>
      <c r="EL93" s="564"/>
      <c r="EM93" s="564"/>
      <c r="EN93" s="564"/>
      <c r="EO93" s="564"/>
      <c r="EP93" s="564"/>
      <c r="EQ93" s="564"/>
      <c r="ER93" s="564"/>
      <c r="ES93" s="564"/>
      <c r="ET93" s="564"/>
      <c r="EU93" s="564"/>
      <c r="EV93" s="564"/>
      <c r="EW93" s="564"/>
      <c r="EX93" s="564"/>
      <c r="EY93" s="564"/>
      <c r="EZ93" s="564"/>
      <c r="FA93" s="564"/>
      <c r="FB93" s="564"/>
      <c r="FC93" s="564"/>
      <c r="FD93" s="564"/>
      <c r="FE93" s="564"/>
      <c r="FF93" s="564"/>
      <c r="FG93" s="564"/>
      <c r="FH93" s="564"/>
      <c r="FI93" s="564"/>
      <c r="FJ93" s="564"/>
      <c r="FK93" s="564"/>
      <c r="FL93" s="564"/>
      <c r="FM93" s="564"/>
      <c r="FN93" s="564"/>
      <c r="FO93" s="564"/>
      <c r="FP93" s="564"/>
      <c r="FQ93" s="564"/>
      <c r="FR93" s="564"/>
      <c r="FS93" s="564"/>
      <c r="FT93" s="564"/>
      <c r="FU93" s="564"/>
      <c r="FV93" s="564"/>
      <c r="FW93" s="564"/>
      <c r="FX93" s="564"/>
      <c r="FY93" s="564"/>
      <c r="FZ93" s="564"/>
      <c r="GA93" s="564"/>
      <c r="GB93" s="564"/>
      <c r="GC93" s="564"/>
      <c r="GD93" s="564"/>
      <c r="GE93" s="564"/>
      <c r="GF93" s="564"/>
      <c r="GG93" s="564"/>
      <c r="GH93" s="564"/>
      <c r="GI93" s="564"/>
      <c r="GJ93" s="564"/>
      <c r="GK93" s="564"/>
      <c r="GL93" s="564"/>
      <c r="GM93" s="564"/>
      <c r="GN93" s="564"/>
      <c r="GO93" s="564"/>
      <c r="GP93" s="564"/>
      <c r="GQ93" s="564"/>
      <c r="GR93" s="564"/>
      <c r="GS93" s="564"/>
      <c r="GT93" s="564"/>
      <c r="GU93" s="564"/>
      <c r="GV93" s="564"/>
      <c r="GW93" s="564"/>
      <c r="GX93" s="564"/>
      <c r="GY93" s="564"/>
      <c r="GZ93" s="564"/>
      <c r="HA93" s="564"/>
      <c r="HB93" s="564"/>
      <c r="HC93" s="564"/>
      <c r="HD93" s="564"/>
      <c r="HE93" s="564"/>
      <c r="HF93" s="564"/>
      <c r="HG93" s="564"/>
      <c r="HH93" s="564"/>
      <c r="HI93" s="564"/>
      <c r="HJ93" s="564"/>
      <c r="HK93" s="564"/>
      <c r="HL93" s="564"/>
      <c r="HM93" s="564"/>
      <c r="HN93" s="564"/>
      <c r="HO93" s="564"/>
      <c r="HP93" s="564"/>
      <c r="HQ93" s="564"/>
      <c r="HR93" s="564"/>
      <c r="HS93" s="564"/>
      <c r="HT93" s="564"/>
      <c r="HU93" s="564"/>
      <c r="HV93" s="564"/>
      <c r="HW93" s="564"/>
      <c r="HX93" s="564"/>
      <c r="HY93" s="564"/>
      <c r="HZ93" s="564"/>
      <c r="IA93" s="564"/>
      <c r="IB93" s="564"/>
      <c r="IC93" s="564"/>
      <c r="ID93" s="564"/>
      <c r="IE93" s="564"/>
      <c r="IF93" s="564"/>
      <c r="IG93" s="564"/>
      <c r="IH93" s="564"/>
      <c r="II93" s="564"/>
      <c r="IJ93" s="564"/>
      <c r="IK93" s="564"/>
      <c r="IL93" s="564"/>
      <c r="IM93" s="564"/>
      <c r="IN93" s="564"/>
      <c r="IO93" s="564"/>
      <c r="IP93" s="564"/>
      <c r="IQ93" s="564"/>
      <c r="IR93" s="564"/>
      <c r="IS93" s="564"/>
      <c r="IT93" s="564"/>
      <c r="IU93" s="564"/>
      <c r="IV93" s="564"/>
      <c r="IW93" s="564"/>
      <c r="IX93" s="564"/>
      <c r="IY93" s="564"/>
      <c r="IZ93" s="564"/>
      <c r="JA93" s="564"/>
      <c r="JB93" s="564"/>
      <c r="JC93" s="564"/>
      <c r="JD93" s="564"/>
      <c r="JE93" s="564"/>
      <c r="JF93" s="564"/>
      <c r="JG93" s="564"/>
      <c r="JH93" s="564"/>
      <c r="JI93" s="564"/>
      <c r="JJ93" s="564"/>
      <c r="JK93" s="564"/>
      <c r="JL93" s="564"/>
      <c r="JM93" s="564"/>
      <c r="JN93" s="564"/>
      <c r="JO93" s="564"/>
      <c r="JP93" s="564"/>
      <c r="JQ93" s="564"/>
      <c r="JR93" s="564"/>
      <c r="JS93" s="564"/>
      <c r="JT93" s="564"/>
      <c r="JU93" s="564"/>
      <c r="JV93" s="564"/>
      <c r="JW93" s="564"/>
      <c r="JX93" s="564"/>
      <c r="JY93" s="564"/>
    </row>
    <row r="94" spans="1:285" s="567" customFormat="1" hidden="1" x14ac:dyDescent="0.2">
      <c r="A94" s="2">
        <v>15</v>
      </c>
      <c r="C94" s="567" t="str" cm="1">
        <f t="array" ref="C94">IFERROR(VALUE(IF($A94&lt;=T1_Vaccines_NumSuitable,INDEX(T1_Vaccines_forCombi,MATCH($A94,$AE$12:$AE$37,0),C$79),"")),IF($A94&lt;=T1_Vaccines_NumSuitable,INDEX(T1_Vaccines_forCombi,MATCH($A94,$AE$12:$AE$37,0),C$79),""))</f>
        <v/>
      </c>
      <c r="D94" s="567" t="str" cm="1">
        <f t="array" ref="D94">IFERROR(VALUE(IF($A94&lt;=T1_Vaccines_NumSuitable,INDEX(T1_Vaccines_forCombi,MATCH($A94,$AE$12:$AE$37,0),D$79),"")),IF($A94&lt;=T1_Vaccines_NumSuitable,INDEX(T1_Vaccines_forCombi,MATCH($A94,$AE$12:$AE$37,0),D$79),""))</f>
        <v/>
      </c>
      <c r="E94" s="567" t="str" cm="1">
        <f t="array" ref="E94">IFERROR(VALUE(IF($A94&lt;=T1_Vaccines_NumSuitable,INDEX(T1_Vaccines_forCombi,MATCH($A94,$AE$12:$AE$37,0),E$79),"")),IF($A94&lt;=T1_Vaccines_NumSuitable,INDEX(T1_Vaccines_forCombi,MATCH($A94,$AE$12:$AE$37,0),E$79),""))</f>
        <v/>
      </c>
      <c r="F94" s="567" t="str" cm="1">
        <f t="array" ref="F94">IFERROR(VALUE(IF($A94&lt;=T1_Vaccines_NumSuitable,INDEX(T1_Vaccines_forCombi,MATCH($A94,$AE$12:$AE$37,0),F$79),"")),IF($A94&lt;=T1_Vaccines_NumSuitable,INDEX(T1_Vaccines_forCombi,MATCH($A94,$AE$12:$AE$37,0),F$79),""))</f>
        <v/>
      </c>
      <c r="G94" s="567" t="str" cm="1">
        <f t="array" ref="G94">IFERROR(VALUE(IF($A94&lt;=T1_Vaccines_NumSuitable,INDEX(T1_Vaccines_forCombi,MATCH($A94,$AE$12:$AE$37,0),G$79),"")),IF($A94&lt;=T1_Vaccines_NumSuitable,INDEX(T1_Vaccines_forCombi,MATCH($A94,$AE$12:$AE$37,0),G$79),""))</f>
        <v/>
      </c>
      <c r="H94" s="567" t="str" cm="1">
        <f t="array" ref="H94">IFERROR(VALUE(IF($A94&lt;=T1_Vaccines_NumSuitable,INDEX(T1_Vaccines_forCombi,MATCH($A94,$AE$12:$AE$37,0),H$79),"")),IF($A94&lt;=T1_Vaccines_NumSuitable,INDEX(T1_Vaccines_forCombi,MATCH($A94,$AE$12:$AE$37,0),H$79),""))</f>
        <v/>
      </c>
      <c r="I94" s="567" t="str" cm="1">
        <f t="array" ref="I94">IFERROR(VALUE(IF($A94&lt;=T1_Vaccines_NumSuitable,INDEX(T1_Vaccines_forCombi,MATCH($A94,$AE$12:$AE$37,0),I$79),"")),IF($A94&lt;=T1_Vaccines_NumSuitable,INDEX(T1_Vaccines_forCombi,MATCH($A94,$AE$12:$AE$37,0),I$79),""))</f>
        <v/>
      </c>
      <c r="J94" s="567" t="str" cm="1">
        <f t="array" ref="J94">IFERROR(VALUE(IF($A94&lt;=T1_Vaccines_NumSuitable,INDEX(T1_Vaccines_forCombi,MATCH($A94,$AE$12:$AE$37,0),J$79),"")),IF($A94&lt;=T1_Vaccines_NumSuitable,INDEX(T1_Vaccines_forCombi,MATCH($A94,$AE$12:$AE$37,0),J$79),""))</f>
        <v/>
      </c>
      <c r="K94" s="567" t="str" cm="1">
        <f t="array" ref="K94">IFERROR(VALUE(IF($A94&lt;=T1_Vaccines_NumSuitable,INDEX(T1_Vaccines_forCombi,MATCH($A94,$AE$12:$AE$37,0),K$79),"")),IF($A94&lt;=T1_Vaccines_NumSuitable,INDEX(T1_Vaccines_forCombi,MATCH($A94,$AE$12:$AE$37,0),K$79),""))</f>
        <v/>
      </c>
      <c r="L94" s="567" t="str" cm="1">
        <f t="array" ref="L94">IFERROR(VALUE(IF($A94&lt;=T1_Vaccines_NumSuitable,INDEX(T1_Vaccines_forCombi,MATCH($A94,$AE$12:$AE$37,0),L$79),"")),IF($A94&lt;=T1_Vaccines_NumSuitable,INDEX(T1_Vaccines_forCombi,MATCH($A94,$AE$12:$AE$37,0),L$79),""))</f>
        <v/>
      </c>
      <c r="M94" s="567" t="str" cm="1">
        <f t="array" ref="M94">IFERROR(VALUE(IF($A94&lt;=T1_Vaccines_NumSuitable,INDEX(T1_Vaccines_forCombi,MATCH($A94,$AE$12:$AE$37,0),M$79),"")),IF($A94&lt;=T1_Vaccines_NumSuitable,INDEX(T1_Vaccines_forCombi,MATCH($A94,$AE$12:$AE$37,0),M$79),""))</f>
        <v/>
      </c>
      <c r="N94" s="567" t="str" cm="1">
        <f t="array" ref="N94">IFERROR(VALUE(IF($A94&lt;=T1_Vaccines_NumSuitable,INDEX(T1_Vaccines_forCombi,MATCH($A94,$AE$12:$AE$37,0),N$79),"")),IF($A94&lt;=T1_Vaccines_NumSuitable,INDEX(T1_Vaccines_forCombi,MATCH($A94,$AE$12:$AE$37,0),N$79),""))</f>
        <v/>
      </c>
      <c r="O94" s="567" t="str" cm="1">
        <f t="array" ref="O94">IFERROR(VALUE(IF($A94&lt;=T1_Vaccines_NumSuitable,INDEX(T1_Vaccines_forCombi,MATCH($A94,$AE$12:$AE$37,0),O$79),"")),IF($A94&lt;=T1_Vaccines_NumSuitable,INDEX(T1_Vaccines_forCombi,MATCH($A94,$AE$12:$AE$37,0),O$79),""))</f>
        <v/>
      </c>
      <c r="P94" s="567" t="str" cm="1">
        <f t="array" ref="P94">IFERROR(VALUE(IF($A94&lt;=T1_Vaccines_NumSuitable,INDEX(T1_Vaccines_forCombi,MATCH($A94,$AE$12:$AE$37,0),P$79),"")),IF($A94&lt;=T1_Vaccines_NumSuitable,INDEX(T1_Vaccines_forCombi,MATCH($A94,$AE$12:$AE$37,0),P$79),""))</f>
        <v/>
      </c>
      <c r="Q94" s="567" t="str" cm="1">
        <f t="array" ref="Q94">IFERROR(VALUE(IF($A94&lt;=T1_Vaccines_NumSuitable,INDEX(T1_Vaccines_forCombi,MATCH($A94,$AE$12:$AE$37,0),Q$79),"")),IF($A94&lt;=T1_Vaccines_NumSuitable,INDEX(T1_Vaccines_forCombi,MATCH($A94,$AE$12:$AE$37,0),Q$79),""))</f>
        <v/>
      </c>
      <c r="R94" s="567" t="str" cm="1">
        <f t="array" ref="R94">IFERROR(VALUE(IF($A94&lt;=T1_Vaccines_NumSuitable,INDEX(T1_Vaccines_forCombi,MATCH($A94,$AE$12:$AE$37,0),R$79),"")),IF($A94&lt;=T1_Vaccines_NumSuitable,INDEX(T1_Vaccines_forCombi,MATCH($A94,$AE$12:$AE$37,0),R$79),""))</f>
        <v/>
      </c>
      <c r="S94" s="567" t="str" cm="1">
        <f t="array" ref="S94">IFERROR(VALUE(IF($A94&lt;=T1_Vaccines_NumSuitable,INDEX(T1_Vaccines_forCombi,MATCH($A94,$AE$12:$AE$37,0),S$79),"")),IF($A94&lt;=T1_Vaccines_NumSuitable,INDEX(T1_Vaccines_forCombi,MATCH($A94,$AE$12:$AE$37,0),S$79),""))</f>
        <v/>
      </c>
      <c r="T94" s="567" t="str" cm="1">
        <f t="array" ref="T94">IFERROR(VALUE(IF($A94&lt;=T1_Vaccines_NumSuitable,INDEX(T1_Vaccines_forCombi,MATCH($A94,$AE$12:$AE$37,0),T$79),"")),IF($A94&lt;=T1_Vaccines_NumSuitable,INDEX(T1_Vaccines_forCombi,MATCH($A94,$AE$12:$AE$37,0),T$79),""))</f>
        <v/>
      </c>
      <c r="U94" s="567" t="str" cm="1">
        <f t="array" ref="U94">IFERROR(VALUE(IF($A94&lt;=T1_Vaccines_NumSuitable,INDEX(T1_Vaccines_forCombi,MATCH($A94,$AE$12:$AE$37,0),U$79),"")),IF($A94&lt;=T1_Vaccines_NumSuitable,INDEX(T1_Vaccines_forCombi,MATCH($A94,$AE$12:$AE$37,0),U$79),""))</f>
        <v/>
      </c>
      <c r="V94" s="567" t="str" cm="1">
        <f t="array" ref="V94">IFERROR(VALUE(IF($A94&lt;=T1_Vaccines_NumSuitable,INDEX(T1_Vaccines_forCombi,MATCH($A94,$AE$12:$AE$37,0),V$79),"")),IF($A94&lt;=T1_Vaccines_NumSuitable,INDEX(T1_Vaccines_forCombi,MATCH($A94,$AE$12:$AE$37,0),V$79),""))</f>
        <v/>
      </c>
      <c r="W94" s="567" t="str" cm="1">
        <f t="array" ref="W94">IFERROR(VALUE(IF($A94&lt;=T1_Vaccines_NumSuitable,INDEX(T1_Vaccines_forCombi,MATCH($A94,$AE$12:$AE$37,0),W$79),"")),IF($A94&lt;=T1_Vaccines_NumSuitable,INDEX(T1_Vaccines_forCombi,MATCH($A94,$AE$12:$AE$37,0),W$79),""))</f>
        <v/>
      </c>
      <c r="X94" s="567" t="str" cm="1">
        <f t="array" ref="X94">IFERROR(VALUE(IF($A94&lt;=T1_Vaccines_NumSuitable,INDEX(T1_Vaccines_forCombi,MATCH($A94,$AE$12:$AE$37,0),X$79),"")),IF($A94&lt;=T1_Vaccines_NumSuitable,INDEX(T1_Vaccines_forCombi,MATCH($A94,$AE$12:$AE$37,0),X$79),""))</f>
        <v/>
      </c>
      <c r="Y94" s="567" t="str" cm="1">
        <f t="array" ref="Y94">IFERROR(VALUE(IF($A94&lt;=T1_Vaccines_NumSuitable,INDEX(T1_Vaccines_forCombi,MATCH($A94,$AE$12:$AE$37,0),Y$79),"")),IF($A94&lt;=T1_Vaccines_NumSuitable,INDEX(T1_Vaccines_forCombi,MATCH($A94,$AE$12:$AE$37,0),Y$79),""))</f>
        <v/>
      </c>
      <c r="Z94" s="567" t="str" cm="1">
        <f t="array" ref="Z94">IFERROR(VALUE(IF($A94&lt;=T1_Vaccines_NumSuitable,INDEX(T1_Vaccines_forCombi,MATCH($A94,$AE$12:$AE$37,0),Z$79),"")),IF($A94&lt;=T1_Vaccines_NumSuitable,INDEX(T1_Vaccines_forCombi,MATCH($A94,$AE$12:$AE$37,0),Z$79),""))</f>
        <v/>
      </c>
      <c r="AA94" s="567" t="str" cm="1">
        <f t="array" ref="AA94">IFERROR(VALUE(IF($A94&lt;=T1_Vaccines_NumSuitable,INDEX(T1_Vaccines_forCombi,MATCH($A94,$AE$12:$AE$37,0),AA$79),"")),IF($A94&lt;=T1_Vaccines_NumSuitable,INDEX(T1_Vaccines_forCombi,MATCH($A94,$AE$12:$AE$37,0),AA$79),""))</f>
        <v/>
      </c>
      <c r="AB94" s="567" t="str" cm="1">
        <f t="array" ref="AB94">IFERROR(VALUE(IF($A94&lt;=T1_Vaccines_NumSuitable,INDEX(T1_Vaccines_forCombi,MATCH($A94,$AE$12:$AE$37,0),AB$79),"")),IF($A94&lt;=T1_Vaccines_NumSuitable,INDEX(T1_Vaccines_forCombi,MATCH($A94,$AE$12:$AE$37,0),AB$79),""))</f>
        <v/>
      </c>
      <c r="AC94" s="567" t="str" cm="1">
        <f t="array" ref="AC94">IFERROR(VALUE(IF($A94&lt;=T1_Vaccines_NumSuitable,INDEX(T1_Vaccines_forCombi,MATCH($A94,$AE$12:$AE$37,0),AC$79),"")),IF($A94&lt;=T1_Vaccines_NumSuitable,INDEX(T1_Vaccines_forCombi,MATCH($A94,$AE$12:$AE$37,0),AC$79),""))</f>
        <v/>
      </c>
      <c r="AD94" s="567" t="str" cm="1">
        <f t="array" ref="AD94">IFERROR(VALUE(IF($A94&lt;=T1_Vaccines_NumSuitable,INDEX(T1_Vaccines_forCombi,MATCH($A94,$AE$12:$AE$37,0),AD$79),"")),IF($A94&lt;=T1_Vaccines_NumSuitable,INDEX(T1_Vaccines_forCombi,MATCH($A94,$AE$12:$AE$37,0),AD$79),""))</f>
        <v/>
      </c>
      <c r="AE94" s="656">
        <f t="shared" si="153"/>
        <v>0</v>
      </c>
      <c r="AF94" s="656">
        <f t="shared" si="151"/>
        <v>0</v>
      </c>
      <c r="AG94" s="656">
        <f t="shared" si="151"/>
        <v>0</v>
      </c>
      <c r="AH94" s="657">
        <f t="shared" si="154"/>
        <v>0</v>
      </c>
      <c r="AI94" s="567">
        <f t="shared" si="152"/>
        <v>0</v>
      </c>
      <c r="AJ94" s="567">
        <f t="shared" si="152"/>
        <v>0</v>
      </c>
      <c r="AK94" s="567">
        <f t="shared" si="152"/>
        <v>0</v>
      </c>
      <c r="AL94" s="567">
        <f t="shared" si="152"/>
        <v>0</v>
      </c>
      <c r="AM94" s="564"/>
      <c r="AN94" s="564"/>
      <c r="AO94" s="564"/>
      <c r="AP94" s="564"/>
      <c r="AQ94" s="564"/>
      <c r="AR94" s="564"/>
      <c r="AS94" s="564"/>
      <c r="AT94" s="564"/>
      <c r="AU94" s="564"/>
      <c r="AV94" s="564"/>
      <c r="AW94" s="564"/>
      <c r="AX94" s="564"/>
      <c r="AY94" s="564"/>
      <c r="AZ94" s="564"/>
      <c r="BA94" s="564"/>
      <c r="BB94" s="564"/>
      <c r="BC94" s="564"/>
      <c r="BD94" s="564"/>
      <c r="BE94" s="564"/>
      <c r="BF94" s="564"/>
      <c r="BG94" s="564"/>
      <c r="BH94" s="564"/>
      <c r="BI94" s="564"/>
      <c r="BJ94" s="564"/>
      <c r="BK94" s="564"/>
      <c r="BL94" s="564"/>
      <c r="BM94" s="564"/>
      <c r="BN94" s="564"/>
      <c r="BO94" s="564"/>
      <c r="BP94" s="564"/>
      <c r="BQ94" s="564"/>
      <c r="BR94" s="564"/>
      <c r="BS94" s="564"/>
      <c r="BT94" s="564"/>
      <c r="BU94" s="564"/>
      <c r="BV94" s="564"/>
      <c r="BW94" s="564"/>
      <c r="BX94" s="564"/>
      <c r="BY94" s="564"/>
      <c r="BZ94" s="564"/>
      <c r="CA94" s="564"/>
      <c r="CB94" s="564"/>
      <c r="CC94" s="564"/>
      <c r="CD94" s="564"/>
      <c r="CE94" s="564"/>
      <c r="CF94" s="564"/>
      <c r="CG94" s="564"/>
      <c r="CH94" s="564"/>
      <c r="CI94" s="564"/>
      <c r="CJ94" s="564"/>
      <c r="CK94" s="564"/>
      <c r="CL94" s="564"/>
      <c r="CM94" s="564"/>
      <c r="CN94" s="564"/>
      <c r="CO94" s="564"/>
      <c r="CP94" s="564"/>
      <c r="CQ94" s="564"/>
      <c r="CR94" s="564"/>
      <c r="CS94" s="564"/>
      <c r="CT94" s="564"/>
      <c r="CU94" s="564"/>
      <c r="CV94" s="564"/>
      <c r="CW94" s="564"/>
      <c r="CX94" s="564"/>
      <c r="CY94" s="564"/>
      <c r="CZ94" s="564"/>
      <c r="DA94" s="564"/>
      <c r="DB94" s="564"/>
      <c r="DC94" s="564"/>
      <c r="DD94" s="564"/>
      <c r="DE94" s="564"/>
      <c r="DF94" s="564"/>
      <c r="DG94" s="564"/>
      <c r="DH94" s="564"/>
      <c r="DI94" s="564"/>
      <c r="DJ94" s="564"/>
      <c r="DK94" s="564"/>
      <c r="DL94" s="564"/>
      <c r="DM94" s="564"/>
      <c r="DN94" s="564"/>
      <c r="DO94" s="564"/>
      <c r="DP94" s="564"/>
      <c r="DQ94" s="564"/>
      <c r="DR94" s="564"/>
      <c r="DS94" s="564"/>
      <c r="DT94" s="564"/>
      <c r="DU94" s="564"/>
      <c r="DV94" s="564"/>
      <c r="DW94" s="564"/>
      <c r="DX94" s="564"/>
      <c r="DY94" s="564"/>
      <c r="DZ94" s="564"/>
      <c r="EA94" s="564"/>
      <c r="EB94" s="564"/>
      <c r="EC94" s="564"/>
      <c r="ED94" s="564"/>
      <c r="EE94" s="564"/>
      <c r="EF94" s="564"/>
      <c r="EG94" s="564"/>
      <c r="EH94" s="564"/>
      <c r="EI94" s="564"/>
      <c r="EJ94" s="564"/>
      <c r="EK94" s="564"/>
      <c r="EL94" s="564"/>
      <c r="EM94" s="564"/>
      <c r="EN94" s="564"/>
      <c r="EO94" s="564"/>
      <c r="EP94" s="564"/>
      <c r="EQ94" s="564"/>
      <c r="ER94" s="564"/>
      <c r="ES94" s="564"/>
      <c r="ET94" s="564"/>
      <c r="EU94" s="564"/>
      <c r="EV94" s="564"/>
      <c r="EW94" s="564"/>
      <c r="EX94" s="564"/>
      <c r="EY94" s="564"/>
      <c r="EZ94" s="564"/>
      <c r="FA94" s="564"/>
      <c r="FB94" s="564"/>
      <c r="FC94" s="564"/>
      <c r="FD94" s="564"/>
      <c r="FE94" s="564"/>
      <c r="FF94" s="564"/>
      <c r="FG94" s="564"/>
      <c r="FH94" s="564"/>
      <c r="FI94" s="564"/>
      <c r="FJ94" s="564"/>
      <c r="FK94" s="564"/>
      <c r="FL94" s="564"/>
      <c r="FM94" s="564"/>
      <c r="FN94" s="564"/>
      <c r="FO94" s="564"/>
      <c r="FP94" s="564"/>
      <c r="FQ94" s="564"/>
      <c r="FR94" s="564"/>
      <c r="FS94" s="564"/>
      <c r="FT94" s="564"/>
      <c r="FU94" s="564"/>
      <c r="FV94" s="564"/>
      <c r="FW94" s="564"/>
      <c r="FX94" s="564"/>
      <c r="FY94" s="564"/>
      <c r="FZ94" s="564"/>
      <c r="GA94" s="564"/>
      <c r="GB94" s="564"/>
      <c r="GC94" s="564"/>
      <c r="GD94" s="564"/>
      <c r="GE94" s="564"/>
      <c r="GF94" s="564"/>
      <c r="GG94" s="564"/>
      <c r="GH94" s="564"/>
      <c r="GI94" s="564"/>
      <c r="GJ94" s="564"/>
      <c r="GK94" s="564"/>
      <c r="GL94" s="564"/>
      <c r="GM94" s="564"/>
      <c r="GN94" s="564"/>
      <c r="GO94" s="564"/>
      <c r="GP94" s="564"/>
      <c r="GQ94" s="564"/>
      <c r="GR94" s="564"/>
      <c r="GS94" s="564"/>
      <c r="GT94" s="564"/>
      <c r="GU94" s="564"/>
      <c r="GV94" s="564"/>
      <c r="GW94" s="564"/>
      <c r="GX94" s="564"/>
      <c r="GY94" s="564"/>
      <c r="GZ94" s="564"/>
      <c r="HA94" s="564"/>
      <c r="HB94" s="564"/>
      <c r="HC94" s="564"/>
      <c r="HD94" s="564"/>
      <c r="HE94" s="564"/>
      <c r="HF94" s="564"/>
      <c r="HG94" s="564"/>
      <c r="HH94" s="564"/>
      <c r="HI94" s="564"/>
      <c r="HJ94" s="564"/>
      <c r="HK94" s="564"/>
      <c r="HL94" s="564"/>
      <c r="HM94" s="564"/>
      <c r="HN94" s="564"/>
      <c r="HO94" s="564"/>
      <c r="HP94" s="564"/>
      <c r="HQ94" s="564"/>
      <c r="HR94" s="564"/>
      <c r="HS94" s="564"/>
      <c r="HT94" s="564"/>
      <c r="HU94" s="564"/>
      <c r="HV94" s="564"/>
      <c r="HW94" s="564"/>
      <c r="HX94" s="564"/>
      <c r="HY94" s="564"/>
      <c r="HZ94" s="564"/>
      <c r="IA94" s="564"/>
      <c r="IB94" s="564"/>
      <c r="IC94" s="564"/>
      <c r="ID94" s="564"/>
      <c r="IE94" s="564"/>
      <c r="IF94" s="564"/>
      <c r="IG94" s="564"/>
      <c r="IH94" s="564"/>
      <c r="II94" s="564"/>
      <c r="IJ94" s="564"/>
      <c r="IK94" s="564"/>
      <c r="IL94" s="564"/>
      <c r="IM94" s="564"/>
      <c r="IN94" s="564"/>
      <c r="IO94" s="564"/>
      <c r="IP94" s="564"/>
      <c r="IQ94" s="564"/>
      <c r="IR94" s="564"/>
      <c r="IS94" s="564"/>
      <c r="IT94" s="564"/>
      <c r="IU94" s="564"/>
      <c r="IV94" s="564"/>
      <c r="IW94" s="564"/>
      <c r="IX94" s="564"/>
      <c r="IY94" s="564"/>
      <c r="IZ94" s="564"/>
      <c r="JA94" s="564"/>
      <c r="JB94" s="564"/>
      <c r="JC94" s="564"/>
      <c r="JD94" s="564"/>
      <c r="JE94" s="564"/>
      <c r="JF94" s="564"/>
      <c r="JG94" s="564"/>
      <c r="JH94" s="564"/>
      <c r="JI94" s="564"/>
      <c r="JJ94" s="564"/>
      <c r="JK94" s="564"/>
      <c r="JL94" s="564"/>
      <c r="JM94" s="564"/>
      <c r="JN94" s="564"/>
      <c r="JO94" s="564"/>
      <c r="JP94" s="564"/>
      <c r="JQ94" s="564"/>
      <c r="JR94" s="564"/>
      <c r="JS94" s="564"/>
      <c r="JT94" s="564"/>
      <c r="JU94" s="564"/>
      <c r="JV94" s="564"/>
      <c r="JW94" s="564"/>
      <c r="JX94" s="564"/>
      <c r="JY94" s="564"/>
    </row>
    <row r="95" spans="1:285" s="567" customFormat="1" hidden="1" x14ac:dyDescent="0.2">
      <c r="A95" s="2">
        <v>16</v>
      </c>
      <c r="C95" s="567" t="str" cm="1">
        <f t="array" ref="C95">IFERROR(VALUE(IF($A95&lt;=T1_Vaccines_NumSuitable,INDEX(T1_Vaccines_forCombi,MATCH($A95,$AE$12:$AE$37,0),C$79),"")),IF($A95&lt;=T1_Vaccines_NumSuitable,INDEX(T1_Vaccines_forCombi,MATCH($A95,$AE$12:$AE$37,0),C$79),""))</f>
        <v/>
      </c>
      <c r="D95" s="567" t="str" cm="1">
        <f t="array" ref="D95">IFERROR(VALUE(IF($A95&lt;=T1_Vaccines_NumSuitable,INDEX(T1_Vaccines_forCombi,MATCH($A95,$AE$12:$AE$37,0),D$79),"")),IF($A95&lt;=T1_Vaccines_NumSuitable,INDEX(T1_Vaccines_forCombi,MATCH($A95,$AE$12:$AE$37,0),D$79),""))</f>
        <v/>
      </c>
      <c r="E95" s="567" t="str" cm="1">
        <f t="array" ref="E95">IFERROR(VALUE(IF($A95&lt;=T1_Vaccines_NumSuitable,INDEX(T1_Vaccines_forCombi,MATCH($A95,$AE$12:$AE$37,0),E$79),"")),IF($A95&lt;=T1_Vaccines_NumSuitable,INDEX(T1_Vaccines_forCombi,MATCH($A95,$AE$12:$AE$37,0),E$79),""))</f>
        <v/>
      </c>
      <c r="F95" s="567" t="str" cm="1">
        <f t="array" ref="F95">IFERROR(VALUE(IF($A95&lt;=T1_Vaccines_NumSuitable,INDEX(T1_Vaccines_forCombi,MATCH($A95,$AE$12:$AE$37,0),F$79),"")),IF($A95&lt;=T1_Vaccines_NumSuitable,INDEX(T1_Vaccines_forCombi,MATCH($A95,$AE$12:$AE$37,0),F$79),""))</f>
        <v/>
      </c>
      <c r="G95" s="567" t="str" cm="1">
        <f t="array" ref="G95">IFERROR(VALUE(IF($A95&lt;=T1_Vaccines_NumSuitable,INDEX(T1_Vaccines_forCombi,MATCH($A95,$AE$12:$AE$37,0),G$79),"")),IF($A95&lt;=T1_Vaccines_NumSuitable,INDEX(T1_Vaccines_forCombi,MATCH($A95,$AE$12:$AE$37,0),G$79),""))</f>
        <v/>
      </c>
      <c r="H95" s="567" t="str" cm="1">
        <f t="array" ref="H95">IFERROR(VALUE(IF($A95&lt;=T1_Vaccines_NumSuitable,INDEX(T1_Vaccines_forCombi,MATCH($A95,$AE$12:$AE$37,0),H$79),"")),IF($A95&lt;=T1_Vaccines_NumSuitable,INDEX(T1_Vaccines_forCombi,MATCH($A95,$AE$12:$AE$37,0),H$79),""))</f>
        <v/>
      </c>
      <c r="I95" s="567" t="str" cm="1">
        <f t="array" ref="I95">IFERROR(VALUE(IF($A95&lt;=T1_Vaccines_NumSuitable,INDEX(T1_Vaccines_forCombi,MATCH($A95,$AE$12:$AE$37,0),I$79),"")),IF($A95&lt;=T1_Vaccines_NumSuitable,INDEX(T1_Vaccines_forCombi,MATCH($A95,$AE$12:$AE$37,0),I$79),""))</f>
        <v/>
      </c>
      <c r="J95" s="567" t="str" cm="1">
        <f t="array" ref="J95">IFERROR(VALUE(IF($A95&lt;=T1_Vaccines_NumSuitable,INDEX(T1_Vaccines_forCombi,MATCH($A95,$AE$12:$AE$37,0),J$79),"")),IF($A95&lt;=T1_Vaccines_NumSuitable,INDEX(T1_Vaccines_forCombi,MATCH($A95,$AE$12:$AE$37,0),J$79),""))</f>
        <v/>
      </c>
      <c r="K95" s="567" t="str" cm="1">
        <f t="array" ref="K95">IFERROR(VALUE(IF($A95&lt;=T1_Vaccines_NumSuitable,INDEX(T1_Vaccines_forCombi,MATCH($A95,$AE$12:$AE$37,0),K$79),"")),IF($A95&lt;=T1_Vaccines_NumSuitable,INDEX(T1_Vaccines_forCombi,MATCH($A95,$AE$12:$AE$37,0),K$79),""))</f>
        <v/>
      </c>
      <c r="L95" s="567" t="str" cm="1">
        <f t="array" ref="L95">IFERROR(VALUE(IF($A95&lt;=T1_Vaccines_NumSuitable,INDEX(T1_Vaccines_forCombi,MATCH($A95,$AE$12:$AE$37,0),L$79),"")),IF($A95&lt;=T1_Vaccines_NumSuitable,INDEX(T1_Vaccines_forCombi,MATCH($A95,$AE$12:$AE$37,0),L$79),""))</f>
        <v/>
      </c>
      <c r="M95" s="567" t="str" cm="1">
        <f t="array" ref="M95">IFERROR(VALUE(IF($A95&lt;=T1_Vaccines_NumSuitable,INDEX(T1_Vaccines_forCombi,MATCH($A95,$AE$12:$AE$37,0),M$79),"")),IF($A95&lt;=T1_Vaccines_NumSuitable,INDEX(T1_Vaccines_forCombi,MATCH($A95,$AE$12:$AE$37,0),M$79),""))</f>
        <v/>
      </c>
      <c r="N95" s="567" t="str" cm="1">
        <f t="array" ref="N95">IFERROR(VALUE(IF($A95&lt;=T1_Vaccines_NumSuitable,INDEX(T1_Vaccines_forCombi,MATCH($A95,$AE$12:$AE$37,0),N$79),"")),IF($A95&lt;=T1_Vaccines_NumSuitable,INDEX(T1_Vaccines_forCombi,MATCH($A95,$AE$12:$AE$37,0),N$79),""))</f>
        <v/>
      </c>
      <c r="O95" s="567" t="str" cm="1">
        <f t="array" ref="O95">IFERROR(VALUE(IF($A95&lt;=T1_Vaccines_NumSuitable,INDEX(T1_Vaccines_forCombi,MATCH($A95,$AE$12:$AE$37,0),O$79),"")),IF($A95&lt;=T1_Vaccines_NumSuitable,INDEX(T1_Vaccines_forCombi,MATCH($A95,$AE$12:$AE$37,0),O$79),""))</f>
        <v/>
      </c>
      <c r="P95" s="567" t="str" cm="1">
        <f t="array" ref="P95">IFERROR(VALUE(IF($A95&lt;=T1_Vaccines_NumSuitable,INDEX(T1_Vaccines_forCombi,MATCH($A95,$AE$12:$AE$37,0),P$79),"")),IF($A95&lt;=T1_Vaccines_NumSuitable,INDEX(T1_Vaccines_forCombi,MATCH($A95,$AE$12:$AE$37,0),P$79),""))</f>
        <v/>
      </c>
      <c r="Q95" s="567" t="str" cm="1">
        <f t="array" ref="Q95">IFERROR(VALUE(IF($A95&lt;=T1_Vaccines_NumSuitable,INDEX(T1_Vaccines_forCombi,MATCH($A95,$AE$12:$AE$37,0),Q$79),"")),IF($A95&lt;=T1_Vaccines_NumSuitable,INDEX(T1_Vaccines_forCombi,MATCH($A95,$AE$12:$AE$37,0),Q$79),""))</f>
        <v/>
      </c>
      <c r="R95" s="567" t="str" cm="1">
        <f t="array" ref="R95">IFERROR(VALUE(IF($A95&lt;=T1_Vaccines_NumSuitable,INDEX(T1_Vaccines_forCombi,MATCH($A95,$AE$12:$AE$37,0),R$79),"")),IF($A95&lt;=T1_Vaccines_NumSuitable,INDEX(T1_Vaccines_forCombi,MATCH($A95,$AE$12:$AE$37,0),R$79),""))</f>
        <v/>
      </c>
      <c r="S95" s="567" t="str" cm="1">
        <f t="array" ref="S95">IFERROR(VALUE(IF($A95&lt;=T1_Vaccines_NumSuitable,INDEX(T1_Vaccines_forCombi,MATCH($A95,$AE$12:$AE$37,0),S$79),"")),IF($A95&lt;=T1_Vaccines_NumSuitable,INDEX(T1_Vaccines_forCombi,MATCH($A95,$AE$12:$AE$37,0),S$79),""))</f>
        <v/>
      </c>
      <c r="T95" s="567" t="str" cm="1">
        <f t="array" ref="T95">IFERROR(VALUE(IF($A95&lt;=T1_Vaccines_NumSuitable,INDEX(T1_Vaccines_forCombi,MATCH($A95,$AE$12:$AE$37,0),T$79),"")),IF($A95&lt;=T1_Vaccines_NumSuitable,INDEX(T1_Vaccines_forCombi,MATCH($A95,$AE$12:$AE$37,0),T$79),""))</f>
        <v/>
      </c>
      <c r="U95" s="567" t="str" cm="1">
        <f t="array" ref="U95">IFERROR(VALUE(IF($A95&lt;=T1_Vaccines_NumSuitable,INDEX(T1_Vaccines_forCombi,MATCH($A95,$AE$12:$AE$37,0),U$79),"")),IF($A95&lt;=T1_Vaccines_NumSuitable,INDEX(T1_Vaccines_forCombi,MATCH($A95,$AE$12:$AE$37,0),U$79),""))</f>
        <v/>
      </c>
      <c r="V95" s="567" t="str" cm="1">
        <f t="array" ref="V95">IFERROR(VALUE(IF($A95&lt;=T1_Vaccines_NumSuitable,INDEX(T1_Vaccines_forCombi,MATCH($A95,$AE$12:$AE$37,0),V$79),"")),IF($A95&lt;=T1_Vaccines_NumSuitable,INDEX(T1_Vaccines_forCombi,MATCH($A95,$AE$12:$AE$37,0),V$79),""))</f>
        <v/>
      </c>
      <c r="W95" s="567" t="str" cm="1">
        <f t="array" ref="W95">IFERROR(VALUE(IF($A95&lt;=T1_Vaccines_NumSuitable,INDEX(T1_Vaccines_forCombi,MATCH($A95,$AE$12:$AE$37,0),W$79),"")),IF($A95&lt;=T1_Vaccines_NumSuitable,INDEX(T1_Vaccines_forCombi,MATCH($A95,$AE$12:$AE$37,0),W$79),""))</f>
        <v/>
      </c>
      <c r="X95" s="567" t="str" cm="1">
        <f t="array" ref="X95">IFERROR(VALUE(IF($A95&lt;=T1_Vaccines_NumSuitable,INDEX(T1_Vaccines_forCombi,MATCH($A95,$AE$12:$AE$37,0),X$79),"")),IF($A95&lt;=T1_Vaccines_NumSuitable,INDEX(T1_Vaccines_forCombi,MATCH($A95,$AE$12:$AE$37,0),X$79),""))</f>
        <v/>
      </c>
      <c r="Y95" s="567" t="str" cm="1">
        <f t="array" ref="Y95">IFERROR(VALUE(IF($A95&lt;=T1_Vaccines_NumSuitable,INDEX(T1_Vaccines_forCombi,MATCH($A95,$AE$12:$AE$37,0),Y$79),"")),IF($A95&lt;=T1_Vaccines_NumSuitable,INDEX(T1_Vaccines_forCombi,MATCH($A95,$AE$12:$AE$37,0),Y$79),""))</f>
        <v/>
      </c>
      <c r="Z95" s="567" t="str" cm="1">
        <f t="array" ref="Z95">IFERROR(VALUE(IF($A95&lt;=T1_Vaccines_NumSuitable,INDEX(T1_Vaccines_forCombi,MATCH($A95,$AE$12:$AE$37,0),Z$79),"")),IF($A95&lt;=T1_Vaccines_NumSuitable,INDEX(T1_Vaccines_forCombi,MATCH($A95,$AE$12:$AE$37,0),Z$79),""))</f>
        <v/>
      </c>
      <c r="AA95" s="567" t="str" cm="1">
        <f t="array" ref="AA95">IFERROR(VALUE(IF($A95&lt;=T1_Vaccines_NumSuitable,INDEX(T1_Vaccines_forCombi,MATCH($A95,$AE$12:$AE$37,0),AA$79),"")),IF($A95&lt;=T1_Vaccines_NumSuitable,INDEX(T1_Vaccines_forCombi,MATCH($A95,$AE$12:$AE$37,0),AA$79),""))</f>
        <v/>
      </c>
      <c r="AB95" s="567" t="str" cm="1">
        <f t="array" ref="AB95">IFERROR(VALUE(IF($A95&lt;=T1_Vaccines_NumSuitable,INDEX(T1_Vaccines_forCombi,MATCH($A95,$AE$12:$AE$37,0),AB$79),"")),IF($A95&lt;=T1_Vaccines_NumSuitable,INDEX(T1_Vaccines_forCombi,MATCH($A95,$AE$12:$AE$37,0),AB$79),""))</f>
        <v/>
      </c>
      <c r="AC95" s="567" t="str" cm="1">
        <f t="array" ref="AC95">IFERROR(VALUE(IF($A95&lt;=T1_Vaccines_NumSuitable,INDEX(T1_Vaccines_forCombi,MATCH($A95,$AE$12:$AE$37,0),AC$79),"")),IF($A95&lt;=T1_Vaccines_NumSuitable,INDEX(T1_Vaccines_forCombi,MATCH($A95,$AE$12:$AE$37,0),AC$79),""))</f>
        <v/>
      </c>
      <c r="AD95" s="567" t="str" cm="1">
        <f t="array" ref="AD95">IFERROR(VALUE(IF($A95&lt;=T1_Vaccines_NumSuitable,INDEX(T1_Vaccines_forCombi,MATCH($A95,$AE$12:$AE$37,0),AD$79),"")),IF($A95&lt;=T1_Vaccines_NumSuitable,INDEX(T1_Vaccines_forCombi,MATCH($A95,$AE$12:$AE$37,0),AD$79),""))</f>
        <v/>
      </c>
      <c r="AE95" s="656">
        <f t="shared" si="153"/>
        <v>0</v>
      </c>
      <c r="AF95" s="656">
        <f t="shared" si="151"/>
        <v>0</v>
      </c>
      <c r="AG95" s="656">
        <f t="shared" si="151"/>
        <v>0</v>
      </c>
      <c r="AH95" s="657">
        <f t="shared" si="154"/>
        <v>0</v>
      </c>
      <c r="AI95" s="567">
        <f t="shared" si="152"/>
        <v>0</v>
      </c>
      <c r="AJ95" s="567">
        <f t="shared" si="152"/>
        <v>0</v>
      </c>
      <c r="AK95" s="567">
        <f t="shared" si="152"/>
        <v>0</v>
      </c>
      <c r="AL95" s="567">
        <f t="shared" si="152"/>
        <v>0</v>
      </c>
      <c r="AM95" s="564"/>
      <c r="AN95" s="564"/>
      <c r="AO95" s="564"/>
      <c r="AP95" s="564"/>
      <c r="AQ95" s="564"/>
      <c r="AR95" s="564"/>
      <c r="AS95" s="564"/>
      <c r="AT95" s="564"/>
      <c r="AU95" s="564"/>
      <c r="AV95" s="564"/>
      <c r="AW95" s="564"/>
      <c r="AX95" s="564"/>
      <c r="AY95" s="564"/>
      <c r="AZ95" s="564"/>
      <c r="BA95" s="564"/>
      <c r="BB95" s="564"/>
      <c r="BC95" s="564"/>
      <c r="BD95" s="564"/>
      <c r="BE95" s="564"/>
      <c r="BF95" s="564"/>
      <c r="BG95" s="564"/>
      <c r="BH95" s="564"/>
      <c r="BI95" s="564"/>
      <c r="BJ95" s="564"/>
      <c r="BK95" s="564"/>
      <c r="BL95" s="564"/>
      <c r="BM95" s="564"/>
      <c r="BN95" s="564"/>
      <c r="BO95" s="564"/>
      <c r="BP95" s="564"/>
      <c r="BQ95" s="564"/>
      <c r="BR95" s="564"/>
      <c r="BS95" s="564"/>
      <c r="BT95" s="564"/>
      <c r="BU95" s="564"/>
      <c r="BV95" s="564"/>
      <c r="BW95" s="564"/>
      <c r="BX95" s="564"/>
      <c r="BY95" s="564"/>
      <c r="BZ95" s="564"/>
      <c r="CA95" s="564"/>
      <c r="CB95" s="564"/>
      <c r="CC95" s="564"/>
      <c r="CD95" s="564"/>
      <c r="CE95" s="564"/>
      <c r="CF95" s="564"/>
      <c r="CG95" s="564"/>
      <c r="CH95" s="564"/>
      <c r="CI95" s="564"/>
      <c r="CJ95" s="564"/>
      <c r="CK95" s="564"/>
      <c r="CL95" s="564"/>
      <c r="CM95" s="564"/>
      <c r="CN95" s="564"/>
      <c r="CO95" s="564"/>
      <c r="CP95" s="564"/>
      <c r="CQ95" s="564"/>
      <c r="CR95" s="564"/>
      <c r="CS95" s="564"/>
      <c r="CT95" s="564"/>
      <c r="CU95" s="564"/>
      <c r="CV95" s="564"/>
      <c r="CW95" s="564"/>
      <c r="CX95" s="564"/>
      <c r="CY95" s="564"/>
      <c r="CZ95" s="564"/>
      <c r="DA95" s="564"/>
      <c r="DB95" s="564"/>
      <c r="DC95" s="564"/>
      <c r="DD95" s="564"/>
      <c r="DE95" s="564"/>
      <c r="DF95" s="564"/>
      <c r="DG95" s="564"/>
      <c r="DH95" s="564"/>
      <c r="DI95" s="564"/>
      <c r="DJ95" s="564"/>
      <c r="DK95" s="564"/>
      <c r="DL95" s="564"/>
      <c r="DM95" s="564"/>
      <c r="DN95" s="564"/>
      <c r="DO95" s="564"/>
      <c r="DP95" s="564"/>
      <c r="DQ95" s="564"/>
      <c r="DR95" s="564"/>
      <c r="DS95" s="564"/>
      <c r="DT95" s="564"/>
      <c r="DU95" s="564"/>
      <c r="DV95" s="564"/>
      <c r="DW95" s="564"/>
      <c r="DX95" s="564"/>
      <c r="DY95" s="564"/>
      <c r="DZ95" s="564"/>
      <c r="EA95" s="564"/>
      <c r="EB95" s="564"/>
      <c r="EC95" s="564"/>
      <c r="ED95" s="564"/>
      <c r="EE95" s="564"/>
      <c r="EF95" s="564"/>
      <c r="EG95" s="564"/>
      <c r="EH95" s="564"/>
      <c r="EI95" s="564"/>
      <c r="EJ95" s="564"/>
      <c r="EK95" s="564"/>
      <c r="EL95" s="564"/>
      <c r="EM95" s="564"/>
      <c r="EN95" s="564"/>
      <c r="EO95" s="564"/>
      <c r="EP95" s="564"/>
      <c r="EQ95" s="564"/>
      <c r="ER95" s="564"/>
      <c r="ES95" s="564"/>
      <c r="ET95" s="564"/>
      <c r="EU95" s="564"/>
      <c r="EV95" s="564"/>
      <c r="EW95" s="564"/>
      <c r="EX95" s="564"/>
      <c r="EY95" s="564"/>
      <c r="EZ95" s="564"/>
      <c r="FA95" s="564"/>
      <c r="FB95" s="564"/>
      <c r="FC95" s="564"/>
      <c r="FD95" s="564"/>
      <c r="FE95" s="564"/>
      <c r="FF95" s="564"/>
      <c r="FG95" s="564"/>
      <c r="FH95" s="564"/>
      <c r="FI95" s="564"/>
      <c r="FJ95" s="564"/>
      <c r="FK95" s="564"/>
      <c r="FL95" s="564"/>
      <c r="FM95" s="564"/>
      <c r="FN95" s="564"/>
      <c r="FO95" s="564"/>
      <c r="FP95" s="564"/>
      <c r="FQ95" s="564"/>
      <c r="FR95" s="564"/>
      <c r="FS95" s="564"/>
      <c r="FT95" s="564"/>
      <c r="FU95" s="564"/>
      <c r="FV95" s="564"/>
      <c r="FW95" s="564"/>
      <c r="FX95" s="564"/>
      <c r="FY95" s="564"/>
      <c r="FZ95" s="564"/>
      <c r="GA95" s="564"/>
      <c r="GB95" s="564"/>
      <c r="GC95" s="564"/>
      <c r="GD95" s="564"/>
      <c r="GE95" s="564"/>
      <c r="GF95" s="564"/>
      <c r="GG95" s="564"/>
      <c r="GH95" s="564"/>
      <c r="GI95" s="564"/>
      <c r="GJ95" s="564"/>
      <c r="GK95" s="564"/>
      <c r="GL95" s="564"/>
      <c r="GM95" s="564"/>
      <c r="GN95" s="564"/>
      <c r="GO95" s="564"/>
      <c r="GP95" s="564"/>
      <c r="GQ95" s="564"/>
      <c r="GR95" s="564"/>
      <c r="GS95" s="564"/>
      <c r="GT95" s="564"/>
      <c r="GU95" s="564"/>
      <c r="GV95" s="564"/>
      <c r="GW95" s="564"/>
      <c r="GX95" s="564"/>
      <c r="GY95" s="564"/>
      <c r="GZ95" s="564"/>
      <c r="HA95" s="564"/>
      <c r="HB95" s="564"/>
      <c r="HC95" s="564"/>
      <c r="HD95" s="564"/>
      <c r="HE95" s="564"/>
      <c r="HF95" s="564"/>
      <c r="HG95" s="564"/>
      <c r="HH95" s="564"/>
      <c r="HI95" s="564"/>
      <c r="HJ95" s="564"/>
      <c r="HK95" s="564"/>
      <c r="HL95" s="564"/>
      <c r="HM95" s="564"/>
      <c r="HN95" s="564"/>
      <c r="HO95" s="564"/>
      <c r="HP95" s="564"/>
      <c r="HQ95" s="564"/>
      <c r="HR95" s="564"/>
      <c r="HS95" s="564"/>
      <c r="HT95" s="564"/>
      <c r="HU95" s="564"/>
      <c r="HV95" s="564"/>
      <c r="HW95" s="564"/>
      <c r="HX95" s="564"/>
      <c r="HY95" s="564"/>
      <c r="HZ95" s="564"/>
      <c r="IA95" s="564"/>
      <c r="IB95" s="564"/>
      <c r="IC95" s="564"/>
      <c r="ID95" s="564"/>
      <c r="IE95" s="564"/>
      <c r="IF95" s="564"/>
      <c r="IG95" s="564"/>
      <c r="IH95" s="564"/>
      <c r="II95" s="564"/>
      <c r="IJ95" s="564"/>
      <c r="IK95" s="564"/>
      <c r="IL95" s="564"/>
      <c r="IM95" s="564"/>
      <c r="IN95" s="564"/>
      <c r="IO95" s="564"/>
      <c r="IP95" s="564"/>
      <c r="IQ95" s="564"/>
      <c r="IR95" s="564"/>
      <c r="IS95" s="564"/>
      <c r="IT95" s="564"/>
      <c r="IU95" s="564"/>
      <c r="IV95" s="564"/>
      <c r="IW95" s="564"/>
      <c r="IX95" s="564"/>
      <c r="IY95" s="564"/>
      <c r="IZ95" s="564"/>
      <c r="JA95" s="564"/>
      <c r="JB95" s="564"/>
      <c r="JC95" s="564"/>
      <c r="JD95" s="564"/>
      <c r="JE95" s="564"/>
      <c r="JF95" s="564"/>
      <c r="JG95" s="564"/>
      <c r="JH95" s="564"/>
      <c r="JI95" s="564"/>
      <c r="JJ95" s="564"/>
      <c r="JK95" s="564"/>
      <c r="JL95" s="564"/>
      <c r="JM95" s="564"/>
      <c r="JN95" s="564"/>
      <c r="JO95" s="564"/>
      <c r="JP95" s="564"/>
      <c r="JQ95" s="564"/>
      <c r="JR95" s="564"/>
      <c r="JS95" s="564"/>
      <c r="JT95" s="564"/>
      <c r="JU95" s="564"/>
      <c r="JV95" s="564"/>
      <c r="JW95" s="564"/>
      <c r="JX95" s="564"/>
      <c r="JY95" s="564"/>
    </row>
    <row r="96" spans="1:285" s="567" customFormat="1" hidden="1" x14ac:dyDescent="0.2">
      <c r="A96" s="2">
        <v>17</v>
      </c>
      <c r="C96" s="567" t="str" cm="1">
        <f t="array" ref="C96">IFERROR(VALUE(IF($A96&lt;=T1_Vaccines_NumSuitable,INDEX(T1_Vaccines_forCombi,MATCH($A96,$AE$12:$AE$37,0),C$79),"")),IF($A96&lt;=T1_Vaccines_NumSuitable,INDEX(T1_Vaccines_forCombi,MATCH($A96,$AE$12:$AE$37,0),C$79),""))</f>
        <v/>
      </c>
      <c r="D96" s="567" t="str" cm="1">
        <f t="array" ref="D96">IFERROR(VALUE(IF($A96&lt;=T1_Vaccines_NumSuitable,INDEX(T1_Vaccines_forCombi,MATCH($A96,$AE$12:$AE$37,0),D$79),"")),IF($A96&lt;=T1_Vaccines_NumSuitable,INDEX(T1_Vaccines_forCombi,MATCH($A96,$AE$12:$AE$37,0),D$79),""))</f>
        <v/>
      </c>
      <c r="E96" s="567" t="str" cm="1">
        <f t="array" ref="E96">IFERROR(VALUE(IF($A96&lt;=T1_Vaccines_NumSuitable,INDEX(T1_Vaccines_forCombi,MATCH($A96,$AE$12:$AE$37,0),E$79),"")),IF($A96&lt;=T1_Vaccines_NumSuitable,INDEX(T1_Vaccines_forCombi,MATCH($A96,$AE$12:$AE$37,0),E$79),""))</f>
        <v/>
      </c>
      <c r="F96" s="567" t="str" cm="1">
        <f t="array" ref="F96">IFERROR(VALUE(IF($A96&lt;=T1_Vaccines_NumSuitable,INDEX(T1_Vaccines_forCombi,MATCH($A96,$AE$12:$AE$37,0),F$79),"")),IF($A96&lt;=T1_Vaccines_NumSuitable,INDEX(T1_Vaccines_forCombi,MATCH($A96,$AE$12:$AE$37,0),F$79),""))</f>
        <v/>
      </c>
      <c r="G96" s="567" t="str" cm="1">
        <f t="array" ref="G96">IFERROR(VALUE(IF($A96&lt;=T1_Vaccines_NumSuitable,INDEX(T1_Vaccines_forCombi,MATCH($A96,$AE$12:$AE$37,0),G$79),"")),IF($A96&lt;=T1_Vaccines_NumSuitable,INDEX(T1_Vaccines_forCombi,MATCH($A96,$AE$12:$AE$37,0),G$79),""))</f>
        <v/>
      </c>
      <c r="H96" s="567" t="str" cm="1">
        <f t="array" ref="H96">IFERROR(VALUE(IF($A96&lt;=T1_Vaccines_NumSuitable,INDEX(T1_Vaccines_forCombi,MATCH($A96,$AE$12:$AE$37,0),H$79),"")),IF($A96&lt;=T1_Vaccines_NumSuitable,INDEX(T1_Vaccines_forCombi,MATCH($A96,$AE$12:$AE$37,0),H$79),""))</f>
        <v/>
      </c>
      <c r="I96" s="567" t="str" cm="1">
        <f t="array" ref="I96">IFERROR(VALUE(IF($A96&lt;=T1_Vaccines_NumSuitable,INDEX(T1_Vaccines_forCombi,MATCH($A96,$AE$12:$AE$37,0),I$79),"")),IF($A96&lt;=T1_Vaccines_NumSuitable,INDEX(T1_Vaccines_forCombi,MATCH($A96,$AE$12:$AE$37,0),I$79),""))</f>
        <v/>
      </c>
      <c r="J96" s="567" t="str" cm="1">
        <f t="array" ref="J96">IFERROR(VALUE(IF($A96&lt;=T1_Vaccines_NumSuitable,INDEX(T1_Vaccines_forCombi,MATCH($A96,$AE$12:$AE$37,0),J$79),"")),IF($A96&lt;=T1_Vaccines_NumSuitable,INDEX(T1_Vaccines_forCombi,MATCH($A96,$AE$12:$AE$37,0),J$79),""))</f>
        <v/>
      </c>
      <c r="K96" s="567" t="str" cm="1">
        <f t="array" ref="K96">IFERROR(VALUE(IF($A96&lt;=T1_Vaccines_NumSuitable,INDEX(T1_Vaccines_forCombi,MATCH($A96,$AE$12:$AE$37,0),K$79),"")),IF($A96&lt;=T1_Vaccines_NumSuitable,INDEX(T1_Vaccines_forCombi,MATCH($A96,$AE$12:$AE$37,0),K$79),""))</f>
        <v/>
      </c>
      <c r="L96" s="567" t="str" cm="1">
        <f t="array" ref="L96">IFERROR(VALUE(IF($A96&lt;=T1_Vaccines_NumSuitable,INDEX(T1_Vaccines_forCombi,MATCH($A96,$AE$12:$AE$37,0),L$79),"")),IF($A96&lt;=T1_Vaccines_NumSuitable,INDEX(T1_Vaccines_forCombi,MATCH($A96,$AE$12:$AE$37,0),L$79),""))</f>
        <v/>
      </c>
      <c r="M96" s="567" t="str" cm="1">
        <f t="array" ref="M96">IFERROR(VALUE(IF($A96&lt;=T1_Vaccines_NumSuitable,INDEX(T1_Vaccines_forCombi,MATCH($A96,$AE$12:$AE$37,0),M$79),"")),IF($A96&lt;=T1_Vaccines_NumSuitable,INDEX(T1_Vaccines_forCombi,MATCH($A96,$AE$12:$AE$37,0),M$79),""))</f>
        <v/>
      </c>
      <c r="N96" s="567" t="str" cm="1">
        <f t="array" ref="N96">IFERROR(VALUE(IF($A96&lt;=T1_Vaccines_NumSuitable,INDEX(T1_Vaccines_forCombi,MATCH($A96,$AE$12:$AE$37,0),N$79),"")),IF($A96&lt;=T1_Vaccines_NumSuitable,INDEX(T1_Vaccines_forCombi,MATCH($A96,$AE$12:$AE$37,0),N$79),""))</f>
        <v/>
      </c>
      <c r="O96" s="567" t="str" cm="1">
        <f t="array" ref="O96">IFERROR(VALUE(IF($A96&lt;=T1_Vaccines_NumSuitable,INDEX(T1_Vaccines_forCombi,MATCH($A96,$AE$12:$AE$37,0),O$79),"")),IF($A96&lt;=T1_Vaccines_NumSuitable,INDEX(T1_Vaccines_forCombi,MATCH($A96,$AE$12:$AE$37,0),O$79),""))</f>
        <v/>
      </c>
      <c r="P96" s="567" t="str" cm="1">
        <f t="array" ref="P96">IFERROR(VALUE(IF($A96&lt;=T1_Vaccines_NumSuitable,INDEX(T1_Vaccines_forCombi,MATCH($A96,$AE$12:$AE$37,0),P$79),"")),IF($A96&lt;=T1_Vaccines_NumSuitable,INDEX(T1_Vaccines_forCombi,MATCH($A96,$AE$12:$AE$37,0),P$79),""))</f>
        <v/>
      </c>
      <c r="Q96" s="567" t="str" cm="1">
        <f t="array" ref="Q96">IFERROR(VALUE(IF($A96&lt;=T1_Vaccines_NumSuitable,INDEX(T1_Vaccines_forCombi,MATCH($A96,$AE$12:$AE$37,0),Q$79),"")),IF($A96&lt;=T1_Vaccines_NumSuitable,INDEX(T1_Vaccines_forCombi,MATCH($A96,$AE$12:$AE$37,0),Q$79),""))</f>
        <v/>
      </c>
      <c r="R96" s="567" t="str" cm="1">
        <f t="array" ref="R96">IFERROR(VALUE(IF($A96&lt;=T1_Vaccines_NumSuitable,INDEX(T1_Vaccines_forCombi,MATCH($A96,$AE$12:$AE$37,0),R$79),"")),IF($A96&lt;=T1_Vaccines_NumSuitable,INDEX(T1_Vaccines_forCombi,MATCH($A96,$AE$12:$AE$37,0),R$79),""))</f>
        <v/>
      </c>
      <c r="S96" s="567" t="str" cm="1">
        <f t="array" ref="S96">IFERROR(VALUE(IF($A96&lt;=T1_Vaccines_NumSuitable,INDEX(T1_Vaccines_forCombi,MATCH($A96,$AE$12:$AE$37,0),S$79),"")),IF($A96&lt;=T1_Vaccines_NumSuitable,INDEX(T1_Vaccines_forCombi,MATCH($A96,$AE$12:$AE$37,0),S$79),""))</f>
        <v/>
      </c>
      <c r="T96" s="567" t="str" cm="1">
        <f t="array" ref="T96">IFERROR(VALUE(IF($A96&lt;=T1_Vaccines_NumSuitable,INDEX(T1_Vaccines_forCombi,MATCH($A96,$AE$12:$AE$37,0),T$79),"")),IF($A96&lt;=T1_Vaccines_NumSuitable,INDEX(T1_Vaccines_forCombi,MATCH($A96,$AE$12:$AE$37,0),T$79),""))</f>
        <v/>
      </c>
      <c r="U96" s="567" t="str" cm="1">
        <f t="array" ref="U96">IFERROR(VALUE(IF($A96&lt;=T1_Vaccines_NumSuitable,INDEX(T1_Vaccines_forCombi,MATCH($A96,$AE$12:$AE$37,0),U$79),"")),IF($A96&lt;=T1_Vaccines_NumSuitable,INDEX(T1_Vaccines_forCombi,MATCH($A96,$AE$12:$AE$37,0),U$79),""))</f>
        <v/>
      </c>
      <c r="V96" s="567" t="str" cm="1">
        <f t="array" ref="V96">IFERROR(VALUE(IF($A96&lt;=T1_Vaccines_NumSuitable,INDEX(T1_Vaccines_forCombi,MATCH($A96,$AE$12:$AE$37,0),V$79),"")),IF($A96&lt;=T1_Vaccines_NumSuitable,INDEX(T1_Vaccines_forCombi,MATCH($A96,$AE$12:$AE$37,0),V$79),""))</f>
        <v/>
      </c>
      <c r="W96" s="567" t="str" cm="1">
        <f t="array" ref="W96">IFERROR(VALUE(IF($A96&lt;=T1_Vaccines_NumSuitable,INDEX(T1_Vaccines_forCombi,MATCH($A96,$AE$12:$AE$37,0),W$79),"")),IF($A96&lt;=T1_Vaccines_NumSuitable,INDEX(T1_Vaccines_forCombi,MATCH($A96,$AE$12:$AE$37,0),W$79),""))</f>
        <v/>
      </c>
      <c r="X96" s="567" t="str" cm="1">
        <f t="array" ref="X96">IFERROR(VALUE(IF($A96&lt;=T1_Vaccines_NumSuitable,INDEX(T1_Vaccines_forCombi,MATCH($A96,$AE$12:$AE$37,0),X$79),"")),IF($A96&lt;=T1_Vaccines_NumSuitable,INDEX(T1_Vaccines_forCombi,MATCH($A96,$AE$12:$AE$37,0),X$79),""))</f>
        <v/>
      </c>
      <c r="Y96" s="567" t="str" cm="1">
        <f t="array" ref="Y96">IFERROR(VALUE(IF($A96&lt;=T1_Vaccines_NumSuitable,INDEX(T1_Vaccines_forCombi,MATCH($A96,$AE$12:$AE$37,0),Y$79),"")),IF($A96&lt;=T1_Vaccines_NumSuitable,INDEX(T1_Vaccines_forCombi,MATCH($A96,$AE$12:$AE$37,0),Y$79),""))</f>
        <v/>
      </c>
      <c r="Z96" s="567" t="str" cm="1">
        <f t="array" ref="Z96">IFERROR(VALUE(IF($A96&lt;=T1_Vaccines_NumSuitable,INDEX(T1_Vaccines_forCombi,MATCH($A96,$AE$12:$AE$37,0),Z$79),"")),IF($A96&lt;=T1_Vaccines_NumSuitable,INDEX(T1_Vaccines_forCombi,MATCH($A96,$AE$12:$AE$37,0),Z$79),""))</f>
        <v/>
      </c>
      <c r="AA96" s="567" t="str" cm="1">
        <f t="array" ref="AA96">IFERROR(VALUE(IF($A96&lt;=T1_Vaccines_NumSuitable,INDEX(T1_Vaccines_forCombi,MATCH($A96,$AE$12:$AE$37,0),AA$79),"")),IF($A96&lt;=T1_Vaccines_NumSuitable,INDEX(T1_Vaccines_forCombi,MATCH($A96,$AE$12:$AE$37,0),AA$79),""))</f>
        <v/>
      </c>
      <c r="AB96" s="567" t="str" cm="1">
        <f t="array" ref="AB96">IFERROR(VALUE(IF($A96&lt;=T1_Vaccines_NumSuitable,INDEX(T1_Vaccines_forCombi,MATCH($A96,$AE$12:$AE$37,0),AB$79),"")),IF($A96&lt;=T1_Vaccines_NumSuitable,INDEX(T1_Vaccines_forCombi,MATCH($A96,$AE$12:$AE$37,0),AB$79),""))</f>
        <v/>
      </c>
      <c r="AC96" s="567" t="str" cm="1">
        <f t="array" ref="AC96">IFERROR(VALUE(IF($A96&lt;=T1_Vaccines_NumSuitable,INDEX(T1_Vaccines_forCombi,MATCH($A96,$AE$12:$AE$37,0),AC$79),"")),IF($A96&lt;=T1_Vaccines_NumSuitable,INDEX(T1_Vaccines_forCombi,MATCH($A96,$AE$12:$AE$37,0),AC$79),""))</f>
        <v/>
      </c>
      <c r="AD96" s="567" t="str" cm="1">
        <f t="array" ref="AD96">IFERROR(VALUE(IF($A96&lt;=T1_Vaccines_NumSuitable,INDEX(T1_Vaccines_forCombi,MATCH($A96,$AE$12:$AE$37,0),AD$79),"")),IF($A96&lt;=T1_Vaccines_NumSuitable,INDEX(T1_Vaccines_forCombi,MATCH($A96,$AE$12:$AE$37,0),AD$79),""))</f>
        <v/>
      </c>
      <c r="AE96" s="656">
        <f t="shared" si="153"/>
        <v>0</v>
      </c>
      <c r="AF96" s="656">
        <f t="shared" si="151"/>
        <v>0</v>
      </c>
      <c r="AG96" s="656">
        <f t="shared" si="151"/>
        <v>0</v>
      </c>
      <c r="AH96" s="657">
        <f t="shared" si="154"/>
        <v>0</v>
      </c>
      <c r="AI96" s="567">
        <f t="shared" si="152"/>
        <v>0</v>
      </c>
      <c r="AJ96" s="567">
        <f t="shared" si="152"/>
        <v>0</v>
      </c>
      <c r="AK96" s="567">
        <f t="shared" si="152"/>
        <v>0</v>
      </c>
      <c r="AL96" s="567">
        <f t="shared" si="152"/>
        <v>0</v>
      </c>
      <c r="AM96" s="564"/>
      <c r="AN96" s="564"/>
      <c r="AO96" s="564"/>
      <c r="AP96" s="564"/>
      <c r="AQ96" s="564"/>
      <c r="AR96" s="564"/>
      <c r="AS96" s="564"/>
      <c r="AT96" s="564"/>
      <c r="AU96" s="564"/>
      <c r="AV96" s="564"/>
      <c r="AW96" s="564"/>
      <c r="AX96" s="564"/>
      <c r="AY96" s="564"/>
      <c r="AZ96" s="564"/>
      <c r="BA96" s="564"/>
      <c r="BB96" s="564"/>
      <c r="BC96" s="564"/>
      <c r="BD96" s="564"/>
      <c r="BE96" s="564"/>
      <c r="BF96" s="564"/>
      <c r="BG96" s="564"/>
      <c r="BH96" s="564"/>
      <c r="BI96" s="564"/>
      <c r="BJ96" s="564"/>
      <c r="BK96" s="564"/>
      <c r="BL96" s="564"/>
      <c r="BM96" s="564"/>
      <c r="BN96" s="564"/>
      <c r="BO96" s="564"/>
      <c r="BP96" s="564"/>
      <c r="BQ96" s="564"/>
      <c r="BR96" s="564"/>
      <c r="BS96" s="564"/>
      <c r="BT96" s="564"/>
      <c r="BU96" s="564"/>
      <c r="BV96" s="564"/>
      <c r="BW96" s="564"/>
      <c r="BX96" s="564"/>
      <c r="BY96" s="564"/>
      <c r="BZ96" s="564"/>
      <c r="CA96" s="564"/>
      <c r="CB96" s="564"/>
      <c r="CC96" s="564"/>
      <c r="CD96" s="564"/>
      <c r="CE96" s="564"/>
      <c r="CF96" s="564"/>
      <c r="CG96" s="564"/>
      <c r="CH96" s="564"/>
      <c r="CI96" s="564"/>
      <c r="CJ96" s="564"/>
      <c r="CK96" s="564"/>
      <c r="CL96" s="564"/>
      <c r="CM96" s="564"/>
      <c r="CN96" s="564"/>
      <c r="CO96" s="564"/>
      <c r="CP96" s="564"/>
      <c r="CQ96" s="564"/>
      <c r="CR96" s="564"/>
      <c r="CS96" s="564"/>
      <c r="CT96" s="564"/>
      <c r="CU96" s="564"/>
      <c r="CV96" s="564"/>
      <c r="CW96" s="564"/>
      <c r="CX96" s="564"/>
      <c r="CY96" s="564"/>
      <c r="CZ96" s="564"/>
      <c r="DA96" s="564"/>
      <c r="DB96" s="564"/>
      <c r="DC96" s="564"/>
      <c r="DD96" s="564"/>
      <c r="DE96" s="564"/>
      <c r="DF96" s="564"/>
      <c r="DG96" s="564"/>
      <c r="DH96" s="564"/>
      <c r="DI96" s="564"/>
      <c r="DJ96" s="564"/>
      <c r="DK96" s="564"/>
      <c r="DL96" s="564"/>
      <c r="DM96" s="564"/>
      <c r="DN96" s="564"/>
      <c r="DO96" s="564"/>
      <c r="DP96" s="564"/>
      <c r="DQ96" s="564"/>
      <c r="DR96" s="564"/>
      <c r="DS96" s="564"/>
      <c r="DT96" s="564"/>
      <c r="DU96" s="564"/>
      <c r="DV96" s="564"/>
      <c r="DW96" s="564"/>
      <c r="DX96" s="564"/>
      <c r="DY96" s="564"/>
      <c r="DZ96" s="564"/>
      <c r="EA96" s="564"/>
      <c r="EB96" s="564"/>
      <c r="EC96" s="564"/>
      <c r="ED96" s="564"/>
      <c r="EE96" s="564"/>
      <c r="EF96" s="564"/>
      <c r="EG96" s="564"/>
      <c r="EH96" s="564"/>
      <c r="EI96" s="564"/>
      <c r="EJ96" s="564"/>
      <c r="EK96" s="564"/>
      <c r="EL96" s="564"/>
      <c r="EM96" s="564"/>
      <c r="EN96" s="564"/>
      <c r="EO96" s="564"/>
      <c r="EP96" s="564"/>
      <c r="EQ96" s="564"/>
      <c r="ER96" s="564"/>
      <c r="ES96" s="564"/>
      <c r="ET96" s="564"/>
      <c r="EU96" s="564"/>
      <c r="EV96" s="564"/>
      <c r="EW96" s="564"/>
      <c r="EX96" s="564"/>
      <c r="EY96" s="564"/>
      <c r="EZ96" s="564"/>
      <c r="FA96" s="564"/>
      <c r="FB96" s="564"/>
      <c r="FC96" s="564"/>
      <c r="FD96" s="564"/>
      <c r="FE96" s="564"/>
      <c r="FF96" s="564"/>
      <c r="FG96" s="564"/>
      <c r="FH96" s="564"/>
      <c r="FI96" s="564"/>
      <c r="FJ96" s="564"/>
      <c r="FK96" s="564"/>
      <c r="FL96" s="564"/>
      <c r="FM96" s="564"/>
      <c r="FN96" s="564"/>
      <c r="FO96" s="564"/>
      <c r="FP96" s="564"/>
      <c r="FQ96" s="564"/>
      <c r="FR96" s="564"/>
      <c r="FS96" s="564"/>
      <c r="FT96" s="564"/>
      <c r="FU96" s="564"/>
      <c r="FV96" s="564"/>
      <c r="FW96" s="564"/>
      <c r="FX96" s="564"/>
      <c r="FY96" s="564"/>
      <c r="FZ96" s="564"/>
      <c r="GA96" s="564"/>
      <c r="GB96" s="564"/>
      <c r="GC96" s="564"/>
      <c r="GD96" s="564"/>
      <c r="GE96" s="564"/>
      <c r="GF96" s="564"/>
      <c r="GG96" s="564"/>
      <c r="GH96" s="564"/>
      <c r="GI96" s="564"/>
      <c r="GJ96" s="564"/>
      <c r="GK96" s="564"/>
      <c r="GL96" s="564"/>
      <c r="GM96" s="564"/>
      <c r="GN96" s="564"/>
      <c r="GO96" s="564"/>
      <c r="GP96" s="564"/>
      <c r="GQ96" s="564"/>
      <c r="GR96" s="564"/>
      <c r="GS96" s="564"/>
      <c r="GT96" s="564"/>
      <c r="GU96" s="564"/>
      <c r="GV96" s="564"/>
      <c r="GW96" s="564"/>
      <c r="GX96" s="564"/>
      <c r="GY96" s="564"/>
      <c r="GZ96" s="564"/>
      <c r="HA96" s="564"/>
      <c r="HB96" s="564"/>
      <c r="HC96" s="564"/>
      <c r="HD96" s="564"/>
      <c r="HE96" s="564"/>
      <c r="HF96" s="564"/>
      <c r="HG96" s="564"/>
      <c r="HH96" s="564"/>
      <c r="HI96" s="564"/>
      <c r="HJ96" s="564"/>
      <c r="HK96" s="564"/>
      <c r="HL96" s="564"/>
      <c r="HM96" s="564"/>
      <c r="HN96" s="564"/>
      <c r="HO96" s="564"/>
      <c r="HP96" s="564"/>
      <c r="HQ96" s="564"/>
      <c r="HR96" s="564"/>
      <c r="HS96" s="564"/>
      <c r="HT96" s="564"/>
      <c r="HU96" s="564"/>
      <c r="HV96" s="564"/>
      <c r="HW96" s="564"/>
      <c r="HX96" s="564"/>
      <c r="HY96" s="564"/>
      <c r="HZ96" s="564"/>
      <c r="IA96" s="564"/>
      <c r="IB96" s="564"/>
      <c r="IC96" s="564"/>
      <c r="ID96" s="564"/>
      <c r="IE96" s="564"/>
      <c r="IF96" s="564"/>
      <c r="IG96" s="564"/>
      <c r="IH96" s="564"/>
      <c r="II96" s="564"/>
      <c r="IJ96" s="564"/>
      <c r="IK96" s="564"/>
      <c r="IL96" s="564"/>
      <c r="IM96" s="564"/>
      <c r="IN96" s="564"/>
      <c r="IO96" s="564"/>
      <c r="IP96" s="564"/>
      <c r="IQ96" s="564"/>
      <c r="IR96" s="564"/>
      <c r="IS96" s="564"/>
      <c r="IT96" s="564"/>
      <c r="IU96" s="564"/>
      <c r="IV96" s="564"/>
      <c r="IW96" s="564"/>
      <c r="IX96" s="564"/>
      <c r="IY96" s="564"/>
      <c r="IZ96" s="564"/>
      <c r="JA96" s="564"/>
      <c r="JB96" s="564"/>
      <c r="JC96" s="564"/>
      <c r="JD96" s="564"/>
      <c r="JE96" s="564"/>
      <c r="JF96" s="564"/>
      <c r="JG96" s="564"/>
      <c r="JH96" s="564"/>
      <c r="JI96" s="564"/>
      <c r="JJ96" s="564"/>
      <c r="JK96" s="564"/>
      <c r="JL96" s="564"/>
      <c r="JM96" s="564"/>
      <c r="JN96" s="564"/>
      <c r="JO96" s="564"/>
      <c r="JP96" s="564"/>
      <c r="JQ96" s="564"/>
      <c r="JR96" s="564"/>
      <c r="JS96" s="564"/>
      <c r="JT96" s="564"/>
      <c r="JU96" s="564"/>
      <c r="JV96" s="564"/>
      <c r="JW96" s="564"/>
      <c r="JX96" s="564"/>
      <c r="JY96" s="564"/>
    </row>
    <row r="97" spans="1:285" s="567" customFormat="1" hidden="1" x14ac:dyDescent="0.2">
      <c r="A97" s="2">
        <v>18</v>
      </c>
      <c r="C97" s="567" t="str" cm="1">
        <f t="array" ref="C97">IFERROR(VALUE(IF($A97&lt;=T1_Vaccines_NumSuitable,INDEX(T1_Vaccines_forCombi,MATCH($A97,$AE$12:$AE$37,0),C$79),"")),IF($A97&lt;=T1_Vaccines_NumSuitable,INDEX(T1_Vaccines_forCombi,MATCH($A97,$AE$12:$AE$37,0),C$79),""))</f>
        <v/>
      </c>
      <c r="D97" s="567" t="str" cm="1">
        <f t="array" ref="D97">IFERROR(VALUE(IF($A97&lt;=T1_Vaccines_NumSuitable,INDEX(T1_Vaccines_forCombi,MATCH($A97,$AE$12:$AE$37,0),D$79),"")),IF($A97&lt;=T1_Vaccines_NumSuitable,INDEX(T1_Vaccines_forCombi,MATCH($A97,$AE$12:$AE$37,0),D$79),""))</f>
        <v/>
      </c>
      <c r="E97" s="567" t="str" cm="1">
        <f t="array" ref="E97">IFERROR(VALUE(IF($A97&lt;=T1_Vaccines_NumSuitable,INDEX(T1_Vaccines_forCombi,MATCH($A97,$AE$12:$AE$37,0),E$79),"")),IF($A97&lt;=T1_Vaccines_NumSuitable,INDEX(T1_Vaccines_forCombi,MATCH($A97,$AE$12:$AE$37,0),E$79),""))</f>
        <v/>
      </c>
      <c r="F97" s="567" t="str" cm="1">
        <f t="array" ref="F97">IFERROR(VALUE(IF($A97&lt;=T1_Vaccines_NumSuitable,INDEX(T1_Vaccines_forCombi,MATCH($A97,$AE$12:$AE$37,0),F$79),"")),IF($A97&lt;=T1_Vaccines_NumSuitable,INDEX(T1_Vaccines_forCombi,MATCH($A97,$AE$12:$AE$37,0),F$79),""))</f>
        <v/>
      </c>
      <c r="G97" s="567" t="str" cm="1">
        <f t="array" ref="G97">IFERROR(VALUE(IF($A97&lt;=T1_Vaccines_NumSuitable,INDEX(T1_Vaccines_forCombi,MATCH($A97,$AE$12:$AE$37,0),G$79),"")),IF($A97&lt;=T1_Vaccines_NumSuitable,INDEX(T1_Vaccines_forCombi,MATCH($A97,$AE$12:$AE$37,0),G$79),""))</f>
        <v/>
      </c>
      <c r="H97" s="567" t="str" cm="1">
        <f t="array" ref="H97">IFERROR(VALUE(IF($A97&lt;=T1_Vaccines_NumSuitable,INDEX(T1_Vaccines_forCombi,MATCH($A97,$AE$12:$AE$37,0),H$79),"")),IF($A97&lt;=T1_Vaccines_NumSuitable,INDEX(T1_Vaccines_forCombi,MATCH($A97,$AE$12:$AE$37,0),H$79),""))</f>
        <v/>
      </c>
      <c r="I97" s="567" t="str" cm="1">
        <f t="array" ref="I97">IFERROR(VALUE(IF($A97&lt;=T1_Vaccines_NumSuitable,INDEX(T1_Vaccines_forCombi,MATCH($A97,$AE$12:$AE$37,0),I$79),"")),IF($A97&lt;=T1_Vaccines_NumSuitable,INDEX(T1_Vaccines_forCombi,MATCH($A97,$AE$12:$AE$37,0),I$79),""))</f>
        <v/>
      </c>
      <c r="J97" s="567" t="str" cm="1">
        <f t="array" ref="J97">IFERROR(VALUE(IF($A97&lt;=T1_Vaccines_NumSuitable,INDEX(T1_Vaccines_forCombi,MATCH($A97,$AE$12:$AE$37,0),J$79),"")),IF($A97&lt;=T1_Vaccines_NumSuitable,INDEX(T1_Vaccines_forCombi,MATCH($A97,$AE$12:$AE$37,0),J$79),""))</f>
        <v/>
      </c>
      <c r="K97" s="567" t="str" cm="1">
        <f t="array" ref="K97">IFERROR(VALUE(IF($A97&lt;=T1_Vaccines_NumSuitable,INDEX(T1_Vaccines_forCombi,MATCH($A97,$AE$12:$AE$37,0),K$79),"")),IF($A97&lt;=T1_Vaccines_NumSuitable,INDEX(T1_Vaccines_forCombi,MATCH($A97,$AE$12:$AE$37,0),K$79),""))</f>
        <v/>
      </c>
      <c r="L97" s="567" t="str" cm="1">
        <f t="array" ref="L97">IFERROR(VALUE(IF($A97&lt;=T1_Vaccines_NumSuitable,INDEX(T1_Vaccines_forCombi,MATCH($A97,$AE$12:$AE$37,0),L$79),"")),IF($A97&lt;=T1_Vaccines_NumSuitable,INDEX(T1_Vaccines_forCombi,MATCH($A97,$AE$12:$AE$37,0),L$79),""))</f>
        <v/>
      </c>
      <c r="M97" s="567" t="str" cm="1">
        <f t="array" ref="M97">IFERROR(VALUE(IF($A97&lt;=T1_Vaccines_NumSuitable,INDEX(T1_Vaccines_forCombi,MATCH($A97,$AE$12:$AE$37,0),M$79),"")),IF($A97&lt;=T1_Vaccines_NumSuitable,INDEX(T1_Vaccines_forCombi,MATCH($A97,$AE$12:$AE$37,0),M$79),""))</f>
        <v/>
      </c>
      <c r="N97" s="567" t="str" cm="1">
        <f t="array" ref="N97">IFERROR(VALUE(IF($A97&lt;=T1_Vaccines_NumSuitable,INDEX(T1_Vaccines_forCombi,MATCH($A97,$AE$12:$AE$37,0),N$79),"")),IF($A97&lt;=T1_Vaccines_NumSuitable,INDEX(T1_Vaccines_forCombi,MATCH($A97,$AE$12:$AE$37,0),N$79),""))</f>
        <v/>
      </c>
      <c r="O97" s="567" t="str" cm="1">
        <f t="array" ref="O97">IFERROR(VALUE(IF($A97&lt;=T1_Vaccines_NumSuitable,INDEX(T1_Vaccines_forCombi,MATCH($A97,$AE$12:$AE$37,0),O$79),"")),IF($A97&lt;=T1_Vaccines_NumSuitable,INDEX(T1_Vaccines_forCombi,MATCH($A97,$AE$12:$AE$37,0),O$79),""))</f>
        <v/>
      </c>
      <c r="P97" s="567" t="str" cm="1">
        <f t="array" ref="P97">IFERROR(VALUE(IF($A97&lt;=T1_Vaccines_NumSuitable,INDEX(T1_Vaccines_forCombi,MATCH($A97,$AE$12:$AE$37,0),P$79),"")),IF($A97&lt;=T1_Vaccines_NumSuitable,INDEX(T1_Vaccines_forCombi,MATCH($A97,$AE$12:$AE$37,0),P$79),""))</f>
        <v/>
      </c>
      <c r="Q97" s="567" t="str" cm="1">
        <f t="array" ref="Q97">IFERROR(VALUE(IF($A97&lt;=T1_Vaccines_NumSuitable,INDEX(T1_Vaccines_forCombi,MATCH($A97,$AE$12:$AE$37,0),Q$79),"")),IF($A97&lt;=T1_Vaccines_NumSuitable,INDEX(T1_Vaccines_forCombi,MATCH($A97,$AE$12:$AE$37,0),Q$79),""))</f>
        <v/>
      </c>
      <c r="R97" s="567" t="str" cm="1">
        <f t="array" ref="R97">IFERROR(VALUE(IF($A97&lt;=T1_Vaccines_NumSuitable,INDEX(T1_Vaccines_forCombi,MATCH($A97,$AE$12:$AE$37,0),R$79),"")),IF($A97&lt;=T1_Vaccines_NumSuitable,INDEX(T1_Vaccines_forCombi,MATCH($A97,$AE$12:$AE$37,0),R$79),""))</f>
        <v/>
      </c>
      <c r="S97" s="567" t="str" cm="1">
        <f t="array" ref="S97">IFERROR(VALUE(IF($A97&lt;=T1_Vaccines_NumSuitable,INDEX(T1_Vaccines_forCombi,MATCH($A97,$AE$12:$AE$37,0),S$79),"")),IF($A97&lt;=T1_Vaccines_NumSuitable,INDEX(T1_Vaccines_forCombi,MATCH($A97,$AE$12:$AE$37,0),S$79),""))</f>
        <v/>
      </c>
      <c r="T97" s="567" t="str" cm="1">
        <f t="array" ref="T97">IFERROR(VALUE(IF($A97&lt;=T1_Vaccines_NumSuitable,INDEX(T1_Vaccines_forCombi,MATCH($A97,$AE$12:$AE$37,0),T$79),"")),IF($A97&lt;=T1_Vaccines_NumSuitable,INDEX(T1_Vaccines_forCombi,MATCH($A97,$AE$12:$AE$37,0),T$79),""))</f>
        <v/>
      </c>
      <c r="U97" s="567" t="str" cm="1">
        <f t="array" ref="U97">IFERROR(VALUE(IF($A97&lt;=T1_Vaccines_NumSuitable,INDEX(T1_Vaccines_forCombi,MATCH($A97,$AE$12:$AE$37,0),U$79),"")),IF($A97&lt;=T1_Vaccines_NumSuitable,INDEX(T1_Vaccines_forCombi,MATCH($A97,$AE$12:$AE$37,0),U$79),""))</f>
        <v/>
      </c>
      <c r="V97" s="567" t="str" cm="1">
        <f t="array" ref="V97">IFERROR(VALUE(IF($A97&lt;=T1_Vaccines_NumSuitable,INDEX(T1_Vaccines_forCombi,MATCH($A97,$AE$12:$AE$37,0),V$79),"")),IF($A97&lt;=T1_Vaccines_NumSuitable,INDEX(T1_Vaccines_forCombi,MATCH($A97,$AE$12:$AE$37,0),V$79),""))</f>
        <v/>
      </c>
      <c r="W97" s="567" t="str" cm="1">
        <f t="array" ref="W97">IFERROR(VALUE(IF($A97&lt;=T1_Vaccines_NumSuitable,INDEX(T1_Vaccines_forCombi,MATCH($A97,$AE$12:$AE$37,0),W$79),"")),IF($A97&lt;=T1_Vaccines_NumSuitable,INDEX(T1_Vaccines_forCombi,MATCH($A97,$AE$12:$AE$37,0),W$79),""))</f>
        <v/>
      </c>
      <c r="X97" s="567" t="str" cm="1">
        <f t="array" ref="X97">IFERROR(VALUE(IF($A97&lt;=T1_Vaccines_NumSuitable,INDEX(T1_Vaccines_forCombi,MATCH($A97,$AE$12:$AE$37,0),X$79),"")),IF($A97&lt;=T1_Vaccines_NumSuitable,INDEX(T1_Vaccines_forCombi,MATCH($A97,$AE$12:$AE$37,0),X$79),""))</f>
        <v/>
      </c>
      <c r="Y97" s="567" t="str" cm="1">
        <f t="array" ref="Y97">IFERROR(VALUE(IF($A97&lt;=T1_Vaccines_NumSuitable,INDEX(T1_Vaccines_forCombi,MATCH($A97,$AE$12:$AE$37,0),Y$79),"")),IF($A97&lt;=T1_Vaccines_NumSuitable,INDEX(T1_Vaccines_forCombi,MATCH($A97,$AE$12:$AE$37,0),Y$79),""))</f>
        <v/>
      </c>
      <c r="Z97" s="567" t="str" cm="1">
        <f t="array" ref="Z97">IFERROR(VALUE(IF($A97&lt;=T1_Vaccines_NumSuitable,INDEX(T1_Vaccines_forCombi,MATCH($A97,$AE$12:$AE$37,0),Z$79),"")),IF($A97&lt;=T1_Vaccines_NumSuitable,INDEX(T1_Vaccines_forCombi,MATCH($A97,$AE$12:$AE$37,0),Z$79),""))</f>
        <v/>
      </c>
      <c r="AA97" s="567" t="str" cm="1">
        <f t="array" ref="AA97">IFERROR(VALUE(IF($A97&lt;=T1_Vaccines_NumSuitable,INDEX(T1_Vaccines_forCombi,MATCH($A97,$AE$12:$AE$37,0),AA$79),"")),IF($A97&lt;=T1_Vaccines_NumSuitable,INDEX(T1_Vaccines_forCombi,MATCH($A97,$AE$12:$AE$37,0),AA$79),""))</f>
        <v/>
      </c>
      <c r="AB97" s="567" t="str" cm="1">
        <f t="array" ref="AB97">IFERROR(VALUE(IF($A97&lt;=T1_Vaccines_NumSuitable,INDEX(T1_Vaccines_forCombi,MATCH($A97,$AE$12:$AE$37,0),AB$79),"")),IF($A97&lt;=T1_Vaccines_NumSuitable,INDEX(T1_Vaccines_forCombi,MATCH($A97,$AE$12:$AE$37,0),AB$79),""))</f>
        <v/>
      </c>
      <c r="AC97" s="567" t="str" cm="1">
        <f t="array" ref="AC97">IFERROR(VALUE(IF($A97&lt;=T1_Vaccines_NumSuitable,INDEX(T1_Vaccines_forCombi,MATCH($A97,$AE$12:$AE$37,0),AC$79),"")),IF($A97&lt;=T1_Vaccines_NumSuitable,INDEX(T1_Vaccines_forCombi,MATCH($A97,$AE$12:$AE$37,0),AC$79),""))</f>
        <v/>
      </c>
      <c r="AD97" s="567" t="str" cm="1">
        <f t="array" ref="AD97">IFERROR(VALUE(IF($A97&lt;=T1_Vaccines_NumSuitable,INDEX(T1_Vaccines_forCombi,MATCH($A97,$AE$12:$AE$37,0),AD$79),"")),IF($A97&lt;=T1_Vaccines_NumSuitable,INDEX(T1_Vaccines_forCombi,MATCH($A97,$AE$12:$AE$37,0),AD$79),""))</f>
        <v/>
      </c>
      <c r="AE97" s="656">
        <f t="shared" si="153"/>
        <v>0</v>
      </c>
      <c r="AF97" s="656">
        <f t="shared" si="151"/>
        <v>0</v>
      </c>
      <c r="AG97" s="656">
        <f t="shared" si="151"/>
        <v>0</v>
      </c>
      <c r="AH97" s="657">
        <f t="shared" si="154"/>
        <v>0</v>
      </c>
      <c r="AI97" s="567">
        <f t="shared" si="152"/>
        <v>0</v>
      </c>
      <c r="AJ97" s="567">
        <f t="shared" si="152"/>
        <v>0</v>
      </c>
      <c r="AK97" s="567">
        <f t="shared" si="152"/>
        <v>0</v>
      </c>
      <c r="AL97" s="567">
        <f t="shared" si="152"/>
        <v>0</v>
      </c>
      <c r="AM97" s="564"/>
      <c r="AN97" s="564"/>
      <c r="AO97" s="564"/>
      <c r="AP97" s="564"/>
      <c r="AQ97" s="564"/>
      <c r="AR97" s="564"/>
      <c r="AS97" s="564"/>
      <c r="AT97" s="564"/>
      <c r="AU97" s="564"/>
      <c r="AV97" s="564"/>
      <c r="AW97" s="564"/>
      <c r="AX97" s="564"/>
      <c r="AY97" s="564"/>
      <c r="AZ97" s="564"/>
      <c r="BA97" s="564"/>
      <c r="BB97" s="564"/>
      <c r="BC97" s="564"/>
      <c r="BD97" s="564"/>
      <c r="BE97" s="564"/>
      <c r="BF97" s="564"/>
      <c r="BG97" s="564"/>
      <c r="BH97" s="564"/>
      <c r="BI97" s="564"/>
      <c r="BJ97" s="564"/>
      <c r="BK97" s="564"/>
      <c r="BL97" s="564"/>
      <c r="BM97" s="564"/>
      <c r="BN97" s="564"/>
      <c r="BO97" s="564"/>
      <c r="BP97" s="564"/>
      <c r="BQ97" s="564"/>
      <c r="BR97" s="564"/>
      <c r="BS97" s="564"/>
      <c r="BT97" s="564"/>
      <c r="BU97" s="564"/>
      <c r="BV97" s="564"/>
      <c r="BW97" s="564"/>
      <c r="BX97" s="564"/>
      <c r="BY97" s="564"/>
      <c r="BZ97" s="564"/>
      <c r="CA97" s="564"/>
      <c r="CB97" s="564"/>
      <c r="CC97" s="564"/>
      <c r="CD97" s="564"/>
      <c r="CE97" s="564"/>
      <c r="CF97" s="564"/>
      <c r="CG97" s="564"/>
      <c r="CH97" s="564"/>
      <c r="CI97" s="564"/>
      <c r="CJ97" s="564"/>
      <c r="CK97" s="564"/>
      <c r="CL97" s="564"/>
      <c r="CM97" s="564"/>
      <c r="CN97" s="564"/>
      <c r="CO97" s="564"/>
      <c r="CP97" s="564"/>
      <c r="CQ97" s="564"/>
      <c r="CR97" s="564"/>
      <c r="CS97" s="564"/>
      <c r="CT97" s="564"/>
      <c r="CU97" s="564"/>
      <c r="CV97" s="564"/>
      <c r="CW97" s="564"/>
      <c r="CX97" s="564"/>
      <c r="CY97" s="564"/>
      <c r="CZ97" s="564"/>
      <c r="DA97" s="564"/>
      <c r="DB97" s="564"/>
      <c r="DC97" s="564"/>
      <c r="DD97" s="564"/>
      <c r="DE97" s="564"/>
      <c r="DF97" s="564"/>
      <c r="DG97" s="564"/>
      <c r="DH97" s="564"/>
      <c r="DI97" s="564"/>
      <c r="DJ97" s="564"/>
      <c r="DK97" s="564"/>
      <c r="DL97" s="564"/>
      <c r="DM97" s="564"/>
      <c r="DN97" s="564"/>
      <c r="DO97" s="564"/>
      <c r="DP97" s="564"/>
      <c r="DQ97" s="564"/>
      <c r="DR97" s="564"/>
      <c r="DS97" s="564"/>
      <c r="DT97" s="564"/>
      <c r="DU97" s="564"/>
      <c r="DV97" s="564"/>
      <c r="DW97" s="564"/>
      <c r="DX97" s="564"/>
      <c r="DY97" s="564"/>
      <c r="DZ97" s="564"/>
      <c r="EA97" s="564"/>
      <c r="EB97" s="564"/>
      <c r="EC97" s="564"/>
      <c r="ED97" s="564"/>
      <c r="EE97" s="564"/>
      <c r="EF97" s="564"/>
      <c r="EG97" s="564"/>
      <c r="EH97" s="564"/>
      <c r="EI97" s="564"/>
      <c r="EJ97" s="564"/>
      <c r="EK97" s="564"/>
      <c r="EL97" s="564"/>
      <c r="EM97" s="564"/>
      <c r="EN97" s="564"/>
      <c r="EO97" s="564"/>
      <c r="EP97" s="564"/>
      <c r="EQ97" s="564"/>
      <c r="ER97" s="564"/>
      <c r="ES97" s="564"/>
      <c r="ET97" s="564"/>
      <c r="EU97" s="564"/>
      <c r="EV97" s="564"/>
      <c r="EW97" s="564"/>
      <c r="EX97" s="564"/>
      <c r="EY97" s="564"/>
      <c r="EZ97" s="564"/>
      <c r="FA97" s="564"/>
      <c r="FB97" s="564"/>
      <c r="FC97" s="564"/>
      <c r="FD97" s="564"/>
      <c r="FE97" s="564"/>
      <c r="FF97" s="564"/>
      <c r="FG97" s="564"/>
      <c r="FH97" s="564"/>
      <c r="FI97" s="564"/>
      <c r="FJ97" s="564"/>
      <c r="FK97" s="564"/>
      <c r="FL97" s="564"/>
      <c r="FM97" s="564"/>
      <c r="FN97" s="564"/>
      <c r="FO97" s="564"/>
      <c r="FP97" s="564"/>
      <c r="FQ97" s="564"/>
      <c r="FR97" s="564"/>
      <c r="FS97" s="564"/>
      <c r="FT97" s="564"/>
      <c r="FU97" s="564"/>
      <c r="FV97" s="564"/>
      <c r="FW97" s="564"/>
      <c r="FX97" s="564"/>
      <c r="FY97" s="564"/>
      <c r="FZ97" s="564"/>
      <c r="GA97" s="564"/>
      <c r="GB97" s="564"/>
      <c r="GC97" s="564"/>
      <c r="GD97" s="564"/>
      <c r="GE97" s="564"/>
      <c r="GF97" s="564"/>
      <c r="GG97" s="564"/>
      <c r="GH97" s="564"/>
      <c r="GI97" s="564"/>
      <c r="GJ97" s="564"/>
      <c r="GK97" s="564"/>
      <c r="GL97" s="564"/>
      <c r="GM97" s="564"/>
      <c r="GN97" s="564"/>
      <c r="GO97" s="564"/>
      <c r="GP97" s="564"/>
      <c r="GQ97" s="564"/>
      <c r="GR97" s="564"/>
      <c r="GS97" s="564"/>
      <c r="GT97" s="564"/>
      <c r="GU97" s="564"/>
      <c r="GV97" s="564"/>
      <c r="GW97" s="564"/>
      <c r="GX97" s="564"/>
      <c r="GY97" s="564"/>
      <c r="GZ97" s="564"/>
      <c r="HA97" s="564"/>
      <c r="HB97" s="564"/>
      <c r="HC97" s="564"/>
      <c r="HD97" s="564"/>
      <c r="HE97" s="564"/>
      <c r="HF97" s="564"/>
      <c r="HG97" s="564"/>
      <c r="HH97" s="564"/>
      <c r="HI97" s="564"/>
      <c r="HJ97" s="564"/>
      <c r="HK97" s="564"/>
      <c r="HL97" s="564"/>
      <c r="HM97" s="564"/>
      <c r="HN97" s="564"/>
      <c r="HO97" s="564"/>
      <c r="HP97" s="564"/>
      <c r="HQ97" s="564"/>
      <c r="HR97" s="564"/>
      <c r="HS97" s="564"/>
      <c r="HT97" s="564"/>
      <c r="HU97" s="564"/>
      <c r="HV97" s="564"/>
      <c r="HW97" s="564"/>
      <c r="HX97" s="564"/>
      <c r="HY97" s="564"/>
      <c r="HZ97" s="564"/>
      <c r="IA97" s="564"/>
      <c r="IB97" s="564"/>
      <c r="IC97" s="564"/>
      <c r="ID97" s="564"/>
      <c r="IE97" s="564"/>
      <c r="IF97" s="564"/>
      <c r="IG97" s="564"/>
      <c r="IH97" s="564"/>
      <c r="II97" s="564"/>
      <c r="IJ97" s="564"/>
      <c r="IK97" s="564"/>
      <c r="IL97" s="564"/>
      <c r="IM97" s="564"/>
      <c r="IN97" s="564"/>
      <c r="IO97" s="564"/>
      <c r="IP97" s="564"/>
      <c r="IQ97" s="564"/>
      <c r="IR97" s="564"/>
      <c r="IS97" s="564"/>
      <c r="IT97" s="564"/>
      <c r="IU97" s="564"/>
      <c r="IV97" s="564"/>
      <c r="IW97" s="564"/>
      <c r="IX97" s="564"/>
      <c r="IY97" s="564"/>
      <c r="IZ97" s="564"/>
      <c r="JA97" s="564"/>
      <c r="JB97" s="564"/>
      <c r="JC97" s="564"/>
      <c r="JD97" s="564"/>
      <c r="JE97" s="564"/>
      <c r="JF97" s="564"/>
      <c r="JG97" s="564"/>
      <c r="JH97" s="564"/>
      <c r="JI97" s="564"/>
      <c r="JJ97" s="564"/>
      <c r="JK97" s="564"/>
      <c r="JL97" s="564"/>
      <c r="JM97" s="564"/>
      <c r="JN97" s="564"/>
      <c r="JO97" s="564"/>
      <c r="JP97" s="564"/>
      <c r="JQ97" s="564"/>
      <c r="JR97" s="564"/>
      <c r="JS97" s="564"/>
      <c r="JT97" s="564"/>
      <c r="JU97" s="564"/>
      <c r="JV97" s="564"/>
      <c r="JW97" s="564"/>
      <c r="JX97" s="564"/>
      <c r="JY97" s="564"/>
    </row>
    <row r="98" spans="1:285" s="567" customFormat="1" hidden="1" x14ac:dyDescent="0.2">
      <c r="A98" s="2">
        <v>19</v>
      </c>
      <c r="C98" s="567" t="str" cm="1">
        <f t="array" ref="C98">IFERROR(VALUE(IF($A98&lt;=T1_Vaccines_NumSuitable,INDEX(T1_Vaccines_forCombi,MATCH($A98,$AE$12:$AE$37,0),C$79),"")),IF($A98&lt;=T1_Vaccines_NumSuitable,INDEX(T1_Vaccines_forCombi,MATCH($A98,$AE$12:$AE$37,0),C$79),""))</f>
        <v/>
      </c>
      <c r="D98" s="567" t="str" cm="1">
        <f t="array" ref="D98">IFERROR(VALUE(IF($A98&lt;=T1_Vaccines_NumSuitable,INDEX(T1_Vaccines_forCombi,MATCH($A98,$AE$12:$AE$37,0),D$79),"")),IF($A98&lt;=T1_Vaccines_NumSuitable,INDEX(T1_Vaccines_forCombi,MATCH($A98,$AE$12:$AE$37,0),D$79),""))</f>
        <v/>
      </c>
      <c r="E98" s="567" t="str" cm="1">
        <f t="array" ref="E98">IFERROR(VALUE(IF($A98&lt;=T1_Vaccines_NumSuitable,INDEX(T1_Vaccines_forCombi,MATCH($A98,$AE$12:$AE$37,0),E$79),"")),IF($A98&lt;=T1_Vaccines_NumSuitable,INDEX(T1_Vaccines_forCombi,MATCH($A98,$AE$12:$AE$37,0),E$79),""))</f>
        <v/>
      </c>
      <c r="F98" s="567" t="str" cm="1">
        <f t="array" ref="F98">IFERROR(VALUE(IF($A98&lt;=T1_Vaccines_NumSuitable,INDEX(T1_Vaccines_forCombi,MATCH($A98,$AE$12:$AE$37,0),F$79),"")),IF($A98&lt;=T1_Vaccines_NumSuitable,INDEX(T1_Vaccines_forCombi,MATCH($A98,$AE$12:$AE$37,0),F$79),""))</f>
        <v/>
      </c>
      <c r="G98" s="567" t="str" cm="1">
        <f t="array" ref="G98">IFERROR(VALUE(IF($A98&lt;=T1_Vaccines_NumSuitable,INDEX(T1_Vaccines_forCombi,MATCH($A98,$AE$12:$AE$37,0),G$79),"")),IF($A98&lt;=T1_Vaccines_NumSuitable,INDEX(T1_Vaccines_forCombi,MATCH($A98,$AE$12:$AE$37,0),G$79),""))</f>
        <v/>
      </c>
      <c r="H98" s="567" t="str" cm="1">
        <f t="array" ref="H98">IFERROR(VALUE(IF($A98&lt;=T1_Vaccines_NumSuitable,INDEX(T1_Vaccines_forCombi,MATCH($A98,$AE$12:$AE$37,0),H$79),"")),IF($A98&lt;=T1_Vaccines_NumSuitable,INDEX(T1_Vaccines_forCombi,MATCH($A98,$AE$12:$AE$37,0),H$79),""))</f>
        <v/>
      </c>
      <c r="I98" s="567" t="str" cm="1">
        <f t="array" ref="I98">IFERROR(VALUE(IF($A98&lt;=T1_Vaccines_NumSuitable,INDEX(T1_Vaccines_forCombi,MATCH($A98,$AE$12:$AE$37,0),I$79),"")),IF($A98&lt;=T1_Vaccines_NumSuitable,INDEX(T1_Vaccines_forCombi,MATCH($A98,$AE$12:$AE$37,0),I$79),""))</f>
        <v/>
      </c>
      <c r="J98" s="567" t="str" cm="1">
        <f t="array" ref="J98">IFERROR(VALUE(IF($A98&lt;=T1_Vaccines_NumSuitable,INDEX(T1_Vaccines_forCombi,MATCH($A98,$AE$12:$AE$37,0),J$79),"")),IF($A98&lt;=T1_Vaccines_NumSuitable,INDEX(T1_Vaccines_forCombi,MATCH($A98,$AE$12:$AE$37,0),J$79),""))</f>
        <v/>
      </c>
      <c r="K98" s="567" t="str" cm="1">
        <f t="array" ref="K98">IFERROR(VALUE(IF($A98&lt;=T1_Vaccines_NumSuitable,INDEX(T1_Vaccines_forCombi,MATCH($A98,$AE$12:$AE$37,0),K$79),"")),IF($A98&lt;=T1_Vaccines_NumSuitable,INDEX(T1_Vaccines_forCombi,MATCH($A98,$AE$12:$AE$37,0),K$79),""))</f>
        <v/>
      </c>
      <c r="L98" s="567" t="str" cm="1">
        <f t="array" ref="L98">IFERROR(VALUE(IF($A98&lt;=T1_Vaccines_NumSuitable,INDEX(T1_Vaccines_forCombi,MATCH($A98,$AE$12:$AE$37,0),L$79),"")),IF($A98&lt;=T1_Vaccines_NumSuitable,INDEX(T1_Vaccines_forCombi,MATCH($A98,$AE$12:$AE$37,0),L$79),""))</f>
        <v/>
      </c>
      <c r="M98" s="567" t="str" cm="1">
        <f t="array" ref="M98">IFERROR(VALUE(IF($A98&lt;=T1_Vaccines_NumSuitable,INDEX(T1_Vaccines_forCombi,MATCH($A98,$AE$12:$AE$37,0),M$79),"")),IF($A98&lt;=T1_Vaccines_NumSuitable,INDEX(T1_Vaccines_forCombi,MATCH($A98,$AE$12:$AE$37,0),M$79),""))</f>
        <v/>
      </c>
      <c r="N98" s="567" t="str" cm="1">
        <f t="array" ref="N98">IFERROR(VALUE(IF($A98&lt;=T1_Vaccines_NumSuitable,INDEX(T1_Vaccines_forCombi,MATCH($A98,$AE$12:$AE$37,0),N$79),"")),IF($A98&lt;=T1_Vaccines_NumSuitable,INDEX(T1_Vaccines_forCombi,MATCH($A98,$AE$12:$AE$37,0),N$79),""))</f>
        <v/>
      </c>
      <c r="O98" s="567" t="str" cm="1">
        <f t="array" ref="O98">IFERROR(VALUE(IF($A98&lt;=T1_Vaccines_NumSuitable,INDEX(T1_Vaccines_forCombi,MATCH($A98,$AE$12:$AE$37,0),O$79),"")),IF($A98&lt;=T1_Vaccines_NumSuitable,INDEX(T1_Vaccines_forCombi,MATCH($A98,$AE$12:$AE$37,0),O$79),""))</f>
        <v/>
      </c>
      <c r="P98" s="567" t="str" cm="1">
        <f t="array" ref="P98">IFERROR(VALUE(IF($A98&lt;=T1_Vaccines_NumSuitable,INDEX(T1_Vaccines_forCombi,MATCH($A98,$AE$12:$AE$37,0),P$79),"")),IF($A98&lt;=T1_Vaccines_NumSuitable,INDEX(T1_Vaccines_forCombi,MATCH($A98,$AE$12:$AE$37,0),P$79),""))</f>
        <v/>
      </c>
      <c r="Q98" s="567" t="str" cm="1">
        <f t="array" ref="Q98">IFERROR(VALUE(IF($A98&lt;=T1_Vaccines_NumSuitable,INDEX(T1_Vaccines_forCombi,MATCH($A98,$AE$12:$AE$37,0),Q$79),"")),IF($A98&lt;=T1_Vaccines_NumSuitable,INDEX(T1_Vaccines_forCombi,MATCH($A98,$AE$12:$AE$37,0),Q$79),""))</f>
        <v/>
      </c>
      <c r="R98" s="567" t="str" cm="1">
        <f t="array" ref="R98">IFERROR(VALUE(IF($A98&lt;=T1_Vaccines_NumSuitable,INDEX(T1_Vaccines_forCombi,MATCH($A98,$AE$12:$AE$37,0),R$79),"")),IF($A98&lt;=T1_Vaccines_NumSuitable,INDEX(T1_Vaccines_forCombi,MATCH($A98,$AE$12:$AE$37,0),R$79),""))</f>
        <v/>
      </c>
      <c r="S98" s="567" t="str" cm="1">
        <f t="array" ref="S98">IFERROR(VALUE(IF($A98&lt;=T1_Vaccines_NumSuitable,INDEX(T1_Vaccines_forCombi,MATCH($A98,$AE$12:$AE$37,0),S$79),"")),IF($A98&lt;=T1_Vaccines_NumSuitable,INDEX(T1_Vaccines_forCombi,MATCH($A98,$AE$12:$AE$37,0),S$79),""))</f>
        <v/>
      </c>
      <c r="T98" s="567" t="str" cm="1">
        <f t="array" ref="T98">IFERROR(VALUE(IF($A98&lt;=T1_Vaccines_NumSuitable,INDEX(T1_Vaccines_forCombi,MATCH($A98,$AE$12:$AE$37,0),T$79),"")),IF($A98&lt;=T1_Vaccines_NumSuitable,INDEX(T1_Vaccines_forCombi,MATCH($A98,$AE$12:$AE$37,0),T$79),""))</f>
        <v/>
      </c>
      <c r="U98" s="567" t="str" cm="1">
        <f t="array" ref="U98">IFERROR(VALUE(IF($A98&lt;=T1_Vaccines_NumSuitable,INDEX(T1_Vaccines_forCombi,MATCH($A98,$AE$12:$AE$37,0),U$79),"")),IF($A98&lt;=T1_Vaccines_NumSuitable,INDEX(T1_Vaccines_forCombi,MATCH($A98,$AE$12:$AE$37,0),U$79),""))</f>
        <v/>
      </c>
      <c r="V98" s="567" t="str" cm="1">
        <f t="array" ref="V98">IFERROR(VALUE(IF($A98&lt;=T1_Vaccines_NumSuitable,INDEX(T1_Vaccines_forCombi,MATCH($A98,$AE$12:$AE$37,0),V$79),"")),IF($A98&lt;=T1_Vaccines_NumSuitable,INDEX(T1_Vaccines_forCombi,MATCH($A98,$AE$12:$AE$37,0),V$79),""))</f>
        <v/>
      </c>
      <c r="W98" s="567" t="str" cm="1">
        <f t="array" ref="W98">IFERROR(VALUE(IF($A98&lt;=T1_Vaccines_NumSuitable,INDEX(T1_Vaccines_forCombi,MATCH($A98,$AE$12:$AE$37,0),W$79),"")),IF($A98&lt;=T1_Vaccines_NumSuitable,INDEX(T1_Vaccines_forCombi,MATCH($A98,$AE$12:$AE$37,0),W$79),""))</f>
        <v/>
      </c>
      <c r="X98" s="567" t="str" cm="1">
        <f t="array" ref="X98">IFERROR(VALUE(IF($A98&lt;=T1_Vaccines_NumSuitable,INDEX(T1_Vaccines_forCombi,MATCH($A98,$AE$12:$AE$37,0),X$79),"")),IF($A98&lt;=T1_Vaccines_NumSuitable,INDEX(T1_Vaccines_forCombi,MATCH($A98,$AE$12:$AE$37,0),X$79),""))</f>
        <v/>
      </c>
      <c r="Y98" s="567" t="str" cm="1">
        <f t="array" ref="Y98">IFERROR(VALUE(IF($A98&lt;=T1_Vaccines_NumSuitable,INDEX(T1_Vaccines_forCombi,MATCH($A98,$AE$12:$AE$37,0),Y$79),"")),IF($A98&lt;=T1_Vaccines_NumSuitable,INDEX(T1_Vaccines_forCombi,MATCH($A98,$AE$12:$AE$37,0),Y$79),""))</f>
        <v/>
      </c>
      <c r="Z98" s="567" t="str" cm="1">
        <f t="array" ref="Z98">IFERROR(VALUE(IF($A98&lt;=T1_Vaccines_NumSuitable,INDEX(T1_Vaccines_forCombi,MATCH($A98,$AE$12:$AE$37,0),Z$79),"")),IF($A98&lt;=T1_Vaccines_NumSuitable,INDEX(T1_Vaccines_forCombi,MATCH($A98,$AE$12:$AE$37,0),Z$79),""))</f>
        <v/>
      </c>
      <c r="AA98" s="567" t="str" cm="1">
        <f t="array" ref="AA98">IFERROR(VALUE(IF($A98&lt;=T1_Vaccines_NumSuitable,INDEX(T1_Vaccines_forCombi,MATCH($A98,$AE$12:$AE$37,0),AA$79),"")),IF($A98&lt;=T1_Vaccines_NumSuitable,INDEX(T1_Vaccines_forCombi,MATCH($A98,$AE$12:$AE$37,0),AA$79),""))</f>
        <v/>
      </c>
      <c r="AB98" s="567" t="str" cm="1">
        <f t="array" ref="AB98">IFERROR(VALUE(IF($A98&lt;=T1_Vaccines_NumSuitable,INDEX(T1_Vaccines_forCombi,MATCH($A98,$AE$12:$AE$37,0),AB$79),"")),IF($A98&lt;=T1_Vaccines_NumSuitable,INDEX(T1_Vaccines_forCombi,MATCH($A98,$AE$12:$AE$37,0),AB$79),""))</f>
        <v/>
      </c>
      <c r="AC98" s="567" t="str" cm="1">
        <f t="array" ref="AC98">IFERROR(VALUE(IF($A98&lt;=T1_Vaccines_NumSuitable,INDEX(T1_Vaccines_forCombi,MATCH($A98,$AE$12:$AE$37,0),AC$79),"")),IF($A98&lt;=T1_Vaccines_NumSuitable,INDEX(T1_Vaccines_forCombi,MATCH($A98,$AE$12:$AE$37,0),AC$79),""))</f>
        <v/>
      </c>
      <c r="AD98" s="567" t="str" cm="1">
        <f t="array" ref="AD98">IFERROR(VALUE(IF($A98&lt;=T1_Vaccines_NumSuitable,INDEX(T1_Vaccines_forCombi,MATCH($A98,$AE$12:$AE$37,0),AD$79),"")),IF($A98&lt;=T1_Vaccines_NumSuitable,INDEX(T1_Vaccines_forCombi,MATCH($A98,$AE$12:$AE$37,0),AD$79),""))</f>
        <v/>
      </c>
      <c r="AE98" s="656">
        <f t="shared" si="153"/>
        <v>0</v>
      </c>
      <c r="AF98" s="656">
        <f t="shared" si="151"/>
        <v>0</v>
      </c>
      <c r="AG98" s="656">
        <f t="shared" si="151"/>
        <v>0</v>
      </c>
      <c r="AH98" s="657">
        <f t="shared" si="154"/>
        <v>0</v>
      </c>
      <c r="AI98" s="567">
        <f t="shared" si="152"/>
        <v>0</v>
      </c>
      <c r="AJ98" s="567">
        <f t="shared" si="152"/>
        <v>0</v>
      </c>
      <c r="AK98" s="567">
        <f t="shared" si="152"/>
        <v>0</v>
      </c>
      <c r="AL98" s="567">
        <f t="shared" si="152"/>
        <v>0</v>
      </c>
      <c r="AM98" s="564"/>
      <c r="AN98" s="564"/>
      <c r="AO98" s="564"/>
      <c r="AP98" s="564"/>
      <c r="AQ98" s="564"/>
      <c r="AR98" s="564"/>
      <c r="AS98" s="564"/>
      <c r="AT98" s="564"/>
      <c r="AU98" s="564"/>
      <c r="AV98" s="564"/>
      <c r="AW98" s="564"/>
      <c r="AX98" s="564"/>
      <c r="AY98" s="564"/>
      <c r="AZ98" s="564"/>
      <c r="BA98" s="564"/>
      <c r="BB98" s="564"/>
      <c r="BC98" s="564"/>
      <c r="BD98" s="564"/>
      <c r="BE98" s="564"/>
      <c r="BF98" s="564"/>
      <c r="BG98" s="564"/>
      <c r="BH98" s="564"/>
      <c r="BI98" s="564"/>
      <c r="BJ98" s="564"/>
      <c r="BK98" s="564"/>
      <c r="BL98" s="564"/>
      <c r="BM98" s="564"/>
      <c r="BN98" s="564"/>
      <c r="BO98" s="564"/>
      <c r="BP98" s="564"/>
      <c r="BQ98" s="564"/>
      <c r="BR98" s="564"/>
      <c r="BS98" s="564"/>
      <c r="BT98" s="564"/>
      <c r="BU98" s="564"/>
      <c r="BV98" s="564"/>
      <c r="BW98" s="564"/>
      <c r="BX98" s="564"/>
      <c r="BY98" s="564"/>
      <c r="BZ98" s="564"/>
      <c r="CA98" s="564"/>
      <c r="CB98" s="564"/>
      <c r="CC98" s="564"/>
      <c r="CD98" s="564"/>
      <c r="CE98" s="564"/>
      <c r="CF98" s="564"/>
      <c r="CG98" s="564"/>
      <c r="CH98" s="564"/>
      <c r="CI98" s="564"/>
      <c r="CJ98" s="564"/>
      <c r="CK98" s="564"/>
      <c r="CL98" s="564"/>
      <c r="CM98" s="564"/>
      <c r="CN98" s="564"/>
      <c r="CO98" s="564"/>
      <c r="CP98" s="564"/>
      <c r="CQ98" s="564"/>
      <c r="CR98" s="564"/>
      <c r="CS98" s="564"/>
      <c r="CT98" s="564"/>
      <c r="CU98" s="564"/>
      <c r="CV98" s="564"/>
      <c r="CW98" s="564"/>
      <c r="CX98" s="564"/>
      <c r="CY98" s="564"/>
      <c r="CZ98" s="564"/>
      <c r="DA98" s="564"/>
      <c r="DB98" s="564"/>
      <c r="DC98" s="564"/>
      <c r="DD98" s="564"/>
      <c r="DE98" s="564"/>
      <c r="DF98" s="564"/>
      <c r="DG98" s="564"/>
      <c r="DH98" s="564"/>
      <c r="DI98" s="564"/>
      <c r="DJ98" s="564"/>
      <c r="DK98" s="564"/>
      <c r="DL98" s="564"/>
      <c r="DM98" s="564"/>
      <c r="DN98" s="564"/>
      <c r="DO98" s="564"/>
      <c r="DP98" s="564"/>
      <c r="DQ98" s="564"/>
      <c r="DR98" s="564"/>
      <c r="DS98" s="564"/>
      <c r="DT98" s="564"/>
      <c r="DU98" s="564"/>
      <c r="DV98" s="564"/>
      <c r="DW98" s="564"/>
      <c r="DX98" s="564"/>
      <c r="DY98" s="564"/>
      <c r="DZ98" s="564"/>
      <c r="EA98" s="564"/>
      <c r="EB98" s="564"/>
      <c r="EC98" s="564"/>
      <c r="ED98" s="564"/>
      <c r="EE98" s="564"/>
      <c r="EF98" s="564"/>
      <c r="EG98" s="564"/>
      <c r="EH98" s="564"/>
      <c r="EI98" s="564"/>
      <c r="EJ98" s="564"/>
      <c r="EK98" s="564"/>
      <c r="EL98" s="564"/>
      <c r="EM98" s="564"/>
      <c r="EN98" s="564"/>
      <c r="EO98" s="564"/>
      <c r="EP98" s="564"/>
      <c r="EQ98" s="564"/>
      <c r="ER98" s="564"/>
      <c r="ES98" s="564"/>
      <c r="ET98" s="564"/>
      <c r="EU98" s="564"/>
      <c r="EV98" s="564"/>
      <c r="EW98" s="564"/>
      <c r="EX98" s="564"/>
      <c r="EY98" s="564"/>
      <c r="EZ98" s="564"/>
      <c r="FA98" s="564"/>
      <c r="FB98" s="564"/>
      <c r="FC98" s="564"/>
      <c r="FD98" s="564"/>
      <c r="FE98" s="564"/>
      <c r="FF98" s="564"/>
      <c r="FG98" s="564"/>
      <c r="FH98" s="564"/>
      <c r="FI98" s="564"/>
      <c r="FJ98" s="564"/>
      <c r="FK98" s="564"/>
      <c r="FL98" s="564"/>
      <c r="FM98" s="564"/>
      <c r="FN98" s="564"/>
      <c r="FO98" s="564"/>
      <c r="FP98" s="564"/>
      <c r="FQ98" s="564"/>
      <c r="FR98" s="564"/>
      <c r="FS98" s="564"/>
      <c r="FT98" s="564"/>
      <c r="FU98" s="564"/>
      <c r="FV98" s="564"/>
      <c r="FW98" s="564"/>
      <c r="FX98" s="564"/>
      <c r="FY98" s="564"/>
      <c r="FZ98" s="564"/>
      <c r="GA98" s="564"/>
      <c r="GB98" s="564"/>
      <c r="GC98" s="564"/>
      <c r="GD98" s="564"/>
      <c r="GE98" s="564"/>
      <c r="GF98" s="564"/>
      <c r="GG98" s="564"/>
      <c r="GH98" s="564"/>
      <c r="GI98" s="564"/>
      <c r="GJ98" s="564"/>
      <c r="GK98" s="564"/>
      <c r="GL98" s="564"/>
      <c r="GM98" s="564"/>
      <c r="GN98" s="564"/>
      <c r="GO98" s="564"/>
      <c r="GP98" s="564"/>
      <c r="GQ98" s="564"/>
      <c r="GR98" s="564"/>
      <c r="GS98" s="564"/>
      <c r="GT98" s="564"/>
      <c r="GU98" s="564"/>
      <c r="GV98" s="564"/>
      <c r="GW98" s="564"/>
      <c r="GX98" s="564"/>
      <c r="GY98" s="564"/>
      <c r="GZ98" s="564"/>
      <c r="HA98" s="564"/>
      <c r="HB98" s="564"/>
      <c r="HC98" s="564"/>
      <c r="HD98" s="564"/>
      <c r="HE98" s="564"/>
      <c r="HF98" s="564"/>
      <c r="HG98" s="564"/>
      <c r="HH98" s="564"/>
      <c r="HI98" s="564"/>
      <c r="HJ98" s="564"/>
      <c r="HK98" s="564"/>
      <c r="HL98" s="564"/>
      <c r="HM98" s="564"/>
      <c r="HN98" s="564"/>
      <c r="HO98" s="564"/>
      <c r="HP98" s="564"/>
      <c r="HQ98" s="564"/>
      <c r="HR98" s="564"/>
      <c r="HS98" s="564"/>
      <c r="HT98" s="564"/>
      <c r="HU98" s="564"/>
      <c r="HV98" s="564"/>
      <c r="HW98" s="564"/>
      <c r="HX98" s="564"/>
      <c r="HY98" s="564"/>
      <c r="HZ98" s="564"/>
      <c r="IA98" s="564"/>
      <c r="IB98" s="564"/>
      <c r="IC98" s="564"/>
      <c r="ID98" s="564"/>
      <c r="IE98" s="564"/>
      <c r="IF98" s="564"/>
      <c r="IG98" s="564"/>
      <c r="IH98" s="564"/>
      <c r="II98" s="564"/>
      <c r="IJ98" s="564"/>
      <c r="IK98" s="564"/>
      <c r="IL98" s="564"/>
      <c r="IM98" s="564"/>
      <c r="IN98" s="564"/>
      <c r="IO98" s="564"/>
      <c r="IP98" s="564"/>
      <c r="IQ98" s="564"/>
      <c r="IR98" s="564"/>
      <c r="IS98" s="564"/>
      <c r="IT98" s="564"/>
      <c r="IU98" s="564"/>
      <c r="IV98" s="564"/>
      <c r="IW98" s="564"/>
      <c r="IX98" s="564"/>
      <c r="IY98" s="564"/>
      <c r="IZ98" s="564"/>
      <c r="JA98" s="564"/>
      <c r="JB98" s="564"/>
      <c r="JC98" s="564"/>
      <c r="JD98" s="564"/>
      <c r="JE98" s="564"/>
      <c r="JF98" s="564"/>
      <c r="JG98" s="564"/>
      <c r="JH98" s="564"/>
      <c r="JI98" s="564"/>
      <c r="JJ98" s="564"/>
      <c r="JK98" s="564"/>
      <c r="JL98" s="564"/>
      <c r="JM98" s="564"/>
      <c r="JN98" s="564"/>
      <c r="JO98" s="564"/>
      <c r="JP98" s="564"/>
      <c r="JQ98" s="564"/>
      <c r="JR98" s="564"/>
      <c r="JS98" s="564"/>
      <c r="JT98" s="564"/>
      <c r="JU98" s="564"/>
      <c r="JV98" s="564"/>
      <c r="JW98" s="564"/>
      <c r="JX98" s="564"/>
      <c r="JY98" s="564"/>
    </row>
    <row r="99" spans="1:285" s="567" customFormat="1" hidden="1" x14ac:dyDescent="0.2">
      <c r="A99" s="2">
        <v>20</v>
      </c>
      <c r="C99" s="567" t="str" cm="1">
        <f t="array" ref="C99">IFERROR(VALUE(IF($A99&lt;=T1_Vaccines_NumSuitable,INDEX(T1_Vaccines_forCombi,MATCH($A99,$AE$12:$AE$37,0),C$79),"")),IF($A99&lt;=T1_Vaccines_NumSuitable,INDEX(T1_Vaccines_forCombi,MATCH($A99,$AE$12:$AE$37,0),C$79),""))</f>
        <v/>
      </c>
      <c r="D99" s="567" t="str" cm="1">
        <f t="array" ref="D99">IFERROR(VALUE(IF($A99&lt;=T1_Vaccines_NumSuitable,INDEX(T1_Vaccines_forCombi,MATCH($A99,$AE$12:$AE$37,0),D$79),"")),IF($A99&lt;=T1_Vaccines_NumSuitable,INDEX(T1_Vaccines_forCombi,MATCH($A99,$AE$12:$AE$37,0),D$79),""))</f>
        <v/>
      </c>
      <c r="E99" s="567" t="str" cm="1">
        <f t="array" ref="E99">IFERROR(VALUE(IF($A99&lt;=T1_Vaccines_NumSuitable,INDEX(T1_Vaccines_forCombi,MATCH($A99,$AE$12:$AE$37,0),E$79),"")),IF($A99&lt;=T1_Vaccines_NumSuitable,INDEX(T1_Vaccines_forCombi,MATCH($A99,$AE$12:$AE$37,0),E$79),""))</f>
        <v/>
      </c>
      <c r="F99" s="567" t="str" cm="1">
        <f t="array" ref="F99">IFERROR(VALUE(IF($A99&lt;=T1_Vaccines_NumSuitable,INDEX(T1_Vaccines_forCombi,MATCH($A99,$AE$12:$AE$37,0),F$79),"")),IF($A99&lt;=T1_Vaccines_NumSuitable,INDEX(T1_Vaccines_forCombi,MATCH($A99,$AE$12:$AE$37,0),F$79),""))</f>
        <v/>
      </c>
      <c r="G99" s="567" t="str" cm="1">
        <f t="array" ref="G99">IFERROR(VALUE(IF($A99&lt;=T1_Vaccines_NumSuitable,INDEX(T1_Vaccines_forCombi,MATCH($A99,$AE$12:$AE$37,0),G$79),"")),IF($A99&lt;=T1_Vaccines_NumSuitable,INDEX(T1_Vaccines_forCombi,MATCH($A99,$AE$12:$AE$37,0),G$79),""))</f>
        <v/>
      </c>
      <c r="H99" s="567" t="str" cm="1">
        <f t="array" ref="H99">IFERROR(VALUE(IF($A99&lt;=T1_Vaccines_NumSuitable,INDEX(T1_Vaccines_forCombi,MATCH($A99,$AE$12:$AE$37,0),H$79),"")),IF($A99&lt;=T1_Vaccines_NumSuitable,INDEX(T1_Vaccines_forCombi,MATCH($A99,$AE$12:$AE$37,0),H$79),""))</f>
        <v/>
      </c>
      <c r="I99" s="567" t="str" cm="1">
        <f t="array" ref="I99">IFERROR(VALUE(IF($A99&lt;=T1_Vaccines_NumSuitable,INDEX(T1_Vaccines_forCombi,MATCH($A99,$AE$12:$AE$37,0),I$79),"")),IF($A99&lt;=T1_Vaccines_NumSuitable,INDEX(T1_Vaccines_forCombi,MATCH($A99,$AE$12:$AE$37,0),I$79),""))</f>
        <v/>
      </c>
      <c r="J99" s="567" t="str" cm="1">
        <f t="array" ref="J99">IFERROR(VALUE(IF($A99&lt;=T1_Vaccines_NumSuitable,INDEX(T1_Vaccines_forCombi,MATCH($A99,$AE$12:$AE$37,0),J$79),"")),IF($A99&lt;=T1_Vaccines_NumSuitable,INDEX(T1_Vaccines_forCombi,MATCH($A99,$AE$12:$AE$37,0),J$79),""))</f>
        <v/>
      </c>
      <c r="K99" s="567" t="str" cm="1">
        <f t="array" ref="K99">IFERROR(VALUE(IF($A99&lt;=T1_Vaccines_NumSuitable,INDEX(T1_Vaccines_forCombi,MATCH($A99,$AE$12:$AE$37,0),K$79),"")),IF($A99&lt;=T1_Vaccines_NumSuitable,INDEX(T1_Vaccines_forCombi,MATCH($A99,$AE$12:$AE$37,0),K$79),""))</f>
        <v/>
      </c>
      <c r="L99" s="567" t="str" cm="1">
        <f t="array" ref="L99">IFERROR(VALUE(IF($A99&lt;=T1_Vaccines_NumSuitable,INDEX(T1_Vaccines_forCombi,MATCH($A99,$AE$12:$AE$37,0),L$79),"")),IF($A99&lt;=T1_Vaccines_NumSuitable,INDEX(T1_Vaccines_forCombi,MATCH($A99,$AE$12:$AE$37,0),L$79),""))</f>
        <v/>
      </c>
      <c r="M99" s="567" t="str" cm="1">
        <f t="array" ref="M99">IFERROR(VALUE(IF($A99&lt;=T1_Vaccines_NumSuitable,INDEX(T1_Vaccines_forCombi,MATCH($A99,$AE$12:$AE$37,0),M$79),"")),IF($A99&lt;=T1_Vaccines_NumSuitable,INDEX(T1_Vaccines_forCombi,MATCH($A99,$AE$12:$AE$37,0),M$79),""))</f>
        <v/>
      </c>
      <c r="N99" s="567" t="str" cm="1">
        <f t="array" ref="N99">IFERROR(VALUE(IF($A99&lt;=T1_Vaccines_NumSuitable,INDEX(T1_Vaccines_forCombi,MATCH($A99,$AE$12:$AE$37,0),N$79),"")),IF($A99&lt;=T1_Vaccines_NumSuitable,INDEX(T1_Vaccines_forCombi,MATCH($A99,$AE$12:$AE$37,0),N$79),""))</f>
        <v/>
      </c>
      <c r="O99" s="567" t="str" cm="1">
        <f t="array" ref="O99">IFERROR(VALUE(IF($A99&lt;=T1_Vaccines_NumSuitable,INDEX(T1_Vaccines_forCombi,MATCH($A99,$AE$12:$AE$37,0),O$79),"")),IF($A99&lt;=T1_Vaccines_NumSuitable,INDEX(T1_Vaccines_forCombi,MATCH($A99,$AE$12:$AE$37,0),O$79),""))</f>
        <v/>
      </c>
      <c r="P99" s="567" t="str" cm="1">
        <f t="array" ref="P99">IFERROR(VALUE(IF($A99&lt;=T1_Vaccines_NumSuitable,INDEX(T1_Vaccines_forCombi,MATCH($A99,$AE$12:$AE$37,0),P$79),"")),IF($A99&lt;=T1_Vaccines_NumSuitable,INDEX(T1_Vaccines_forCombi,MATCH($A99,$AE$12:$AE$37,0),P$79),""))</f>
        <v/>
      </c>
      <c r="Q99" s="567" t="str" cm="1">
        <f t="array" ref="Q99">IFERROR(VALUE(IF($A99&lt;=T1_Vaccines_NumSuitable,INDEX(T1_Vaccines_forCombi,MATCH($A99,$AE$12:$AE$37,0),Q$79),"")),IF($A99&lt;=T1_Vaccines_NumSuitable,INDEX(T1_Vaccines_forCombi,MATCH($A99,$AE$12:$AE$37,0),Q$79),""))</f>
        <v/>
      </c>
      <c r="R99" s="567" t="str" cm="1">
        <f t="array" ref="R99">IFERROR(VALUE(IF($A99&lt;=T1_Vaccines_NumSuitable,INDEX(T1_Vaccines_forCombi,MATCH($A99,$AE$12:$AE$37,0),R$79),"")),IF($A99&lt;=T1_Vaccines_NumSuitable,INDEX(T1_Vaccines_forCombi,MATCH($A99,$AE$12:$AE$37,0),R$79),""))</f>
        <v/>
      </c>
      <c r="S99" s="567" t="str" cm="1">
        <f t="array" ref="S99">IFERROR(VALUE(IF($A99&lt;=T1_Vaccines_NumSuitable,INDEX(T1_Vaccines_forCombi,MATCH($A99,$AE$12:$AE$37,0),S$79),"")),IF($A99&lt;=T1_Vaccines_NumSuitable,INDEX(T1_Vaccines_forCombi,MATCH($A99,$AE$12:$AE$37,0),S$79),""))</f>
        <v/>
      </c>
      <c r="T99" s="567" t="str" cm="1">
        <f t="array" ref="T99">IFERROR(VALUE(IF($A99&lt;=T1_Vaccines_NumSuitable,INDEX(T1_Vaccines_forCombi,MATCH($A99,$AE$12:$AE$37,0),T$79),"")),IF($A99&lt;=T1_Vaccines_NumSuitable,INDEX(T1_Vaccines_forCombi,MATCH($A99,$AE$12:$AE$37,0),T$79),""))</f>
        <v/>
      </c>
      <c r="U99" s="567" t="str" cm="1">
        <f t="array" ref="U99">IFERROR(VALUE(IF($A99&lt;=T1_Vaccines_NumSuitable,INDEX(T1_Vaccines_forCombi,MATCH($A99,$AE$12:$AE$37,0),U$79),"")),IF($A99&lt;=T1_Vaccines_NumSuitable,INDEX(T1_Vaccines_forCombi,MATCH($A99,$AE$12:$AE$37,0),U$79),""))</f>
        <v/>
      </c>
      <c r="V99" s="567" t="str" cm="1">
        <f t="array" ref="V99">IFERROR(VALUE(IF($A99&lt;=T1_Vaccines_NumSuitable,INDEX(T1_Vaccines_forCombi,MATCH($A99,$AE$12:$AE$37,0),V$79),"")),IF($A99&lt;=T1_Vaccines_NumSuitable,INDEX(T1_Vaccines_forCombi,MATCH($A99,$AE$12:$AE$37,0),V$79),""))</f>
        <v/>
      </c>
      <c r="W99" s="567" t="str" cm="1">
        <f t="array" ref="W99">IFERROR(VALUE(IF($A99&lt;=T1_Vaccines_NumSuitable,INDEX(T1_Vaccines_forCombi,MATCH($A99,$AE$12:$AE$37,0),W$79),"")),IF($A99&lt;=T1_Vaccines_NumSuitable,INDEX(T1_Vaccines_forCombi,MATCH($A99,$AE$12:$AE$37,0),W$79),""))</f>
        <v/>
      </c>
      <c r="X99" s="567" t="str" cm="1">
        <f t="array" ref="X99">IFERROR(VALUE(IF($A99&lt;=T1_Vaccines_NumSuitable,INDEX(T1_Vaccines_forCombi,MATCH($A99,$AE$12:$AE$37,0),X$79),"")),IF($A99&lt;=T1_Vaccines_NumSuitable,INDEX(T1_Vaccines_forCombi,MATCH($A99,$AE$12:$AE$37,0),X$79),""))</f>
        <v/>
      </c>
      <c r="Y99" s="567" t="str" cm="1">
        <f t="array" ref="Y99">IFERROR(VALUE(IF($A99&lt;=T1_Vaccines_NumSuitable,INDEX(T1_Vaccines_forCombi,MATCH($A99,$AE$12:$AE$37,0),Y$79),"")),IF($A99&lt;=T1_Vaccines_NumSuitable,INDEX(T1_Vaccines_forCombi,MATCH($A99,$AE$12:$AE$37,0),Y$79),""))</f>
        <v/>
      </c>
      <c r="Z99" s="567" t="str" cm="1">
        <f t="array" ref="Z99">IFERROR(VALUE(IF($A99&lt;=T1_Vaccines_NumSuitable,INDEX(T1_Vaccines_forCombi,MATCH($A99,$AE$12:$AE$37,0),Z$79),"")),IF($A99&lt;=T1_Vaccines_NumSuitable,INDEX(T1_Vaccines_forCombi,MATCH($A99,$AE$12:$AE$37,0),Z$79),""))</f>
        <v/>
      </c>
      <c r="AA99" s="567" t="str" cm="1">
        <f t="array" ref="AA99">IFERROR(VALUE(IF($A99&lt;=T1_Vaccines_NumSuitable,INDEX(T1_Vaccines_forCombi,MATCH($A99,$AE$12:$AE$37,0),AA$79),"")),IF($A99&lt;=T1_Vaccines_NumSuitable,INDEX(T1_Vaccines_forCombi,MATCH($A99,$AE$12:$AE$37,0),AA$79),""))</f>
        <v/>
      </c>
      <c r="AB99" s="567" t="str" cm="1">
        <f t="array" ref="AB99">IFERROR(VALUE(IF($A99&lt;=T1_Vaccines_NumSuitable,INDEX(T1_Vaccines_forCombi,MATCH($A99,$AE$12:$AE$37,0),AB$79),"")),IF($A99&lt;=T1_Vaccines_NumSuitable,INDEX(T1_Vaccines_forCombi,MATCH($A99,$AE$12:$AE$37,0),AB$79),""))</f>
        <v/>
      </c>
      <c r="AC99" s="567" t="str" cm="1">
        <f t="array" ref="AC99">IFERROR(VALUE(IF($A99&lt;=T1_Vaccines_NumSuitable,INDEX(T1_Vaccines_forCombi,MATCH($A99,$AE$12:$AE$37,0),AC$79),"")),IF($A99&lt;=T1_Vaccines_NumSuitable,INDEX(T1_Vaccines_forCombi,MATCH($A99,$AE$12:$AE$37,0),AC$79),""))</f>
        <v/>
      </c>
      <c r="AD99" s="567" t="str" cm="1">
        <f t="array" ref="AD99">IFERROR(VALUE(IF($A99&lt;=T1_Vaccines_NumSuitable,INDEX(T1_Vaccines_forCombi,MATCH($A99,$AE$12:$AE$37,0),AD$79),"")),IF($A99&lt;=T1_Vaccines_NumSuitable,INDEX(T1_Vaccines_forCombi,MATCH($A99,$AE$12:$AE$37,0),AD$79),""))</f>
        <v/>
      </c>
      <c r="AE99" s="656">
        <f t="shared" si="153"/>
        <v>0</v>
      </c>
      <c r="AF99" s="656">
        <f t="shared" si="151"/>
        <v>0</v>
      </c>
      <c r="AG99" s="656">
        <f t="shared" si="151"/>
        <v>0</v>
      </c>
      <c r="AH99" s="657">
        <f t="shared" si="154"/>
        <v>0</v>
      </c>
      <c r="AI99" s="567">
        <f t="shared" si="152"/>
        <v>0</v>
      </c>
      <c r="AJ99" s="567">
        <f t="shared" si="152"/>
        <v>0</v>
      </c>
      <c r="AK99" s="567">
        <f t="shared" si="152"/>
        <v>0</v>
      </c>
      <c r="AL99" s="567">
        <f t="shared" si="152"/>
        <v>0</v>
      </c>
      <c r="AM99" s="564"/>
      <c r="AN99" s="564"/>
      <c r="AO99" s="564"/>
      <c r="AP99" s="564"/>
      <c r="AQ99" s="564"/>
      <c r="AR99" s="564"/>
      <c r="AS99" s="564"/>
      <c r="AT99" s="564"/>
      <c r="AU99" s="564"/>
      <c r="AV99" s="564"/>
      <c r="AW99" s="564"/>
      <c r="AX99" s="564"/>
      <c r="AY99" s="564"/>
      <c r="AZ99" s="564"/>
      <c r="BA99" s="564"/>
      <c r="BB99" s="564"/>
      <c r="BC99" s="564"/>
      <c r="BD99" s="564"/>
      <c r="BE99" s="564"/>
      <c r="BF99" s="564"/>
      <c r="BG99" s="564"/>
      <c r="BH99" s="564"/>
      <c r="BI99" s="564"/>
      <c r="BJ99" s="564"/>
      <c r="BK99" s="564"/>
      <c r="BL99" s="564"/>
      <c r="BM99" s="564"/>
      <c r="BN99" s="564"/>
      <c r="BO99" s="564"/>
      <c r="BP99" s="564"/>
      <c r="BQ99" s="564"/>
      <c r="BR99" s="564"/>
      <c r="BS99" s="564"/>
      <c r="BT99" s="564"/>
      <c r="BU99" s="564"/>
      <c r="BV99" s="564"/>
      <c r="BW99" s="564"/>
      <c r="BX99" s="564"/>
      <c r="BY99" s="564"/>
      <c r="BZ99" s="564"/>
      <c r="CA99" s="564"/>
      <c r="CB99" s="564"/>
      <c r="CC99" s="564"/>
      <c r="CD99" s="564"/>
      <c r="CE99" s="564"/>
      <c r="CF99" s="564"/>
      <c r="CG99" s="564"/>
      <c r="CH99" s="564"/>
      <c r="CI99" s="564"/>
      <c r="CJ99" s="564"/>
      <c r="CK99" s="564"/>
      <c r="CL99" s="564"/>
      <c r="CM99" s="564"/>
      <c r="CN99" s="564"/>
      <c r="CO99" s="564"/>
      <c r="CP99" s="564"/>
      <c r="CQ99" s="564"/>
      <c r="CR99" s="564"/>
      <c r="CS99" s="564"/>
      <c r="CT99" s="564"/>
      <c r="CU99" s="564"/>
      <c r="CV99" s="564"/>
      <c r="CW99" s="564"/>
      <c r="CX99" s="564"/>
      <c r="CY99" s="564"/>
      <c r="CZ99" s="564"/>
      <c r="DA99" s="564"/>
      <c r="DB99" s="564"/>
      <c r="DC99" s="564"/>
      <c r="DD99" s="564"/>
      <c r="DE99" s="564"/>
      <c r="DF99" s="564"/>
      <c r="DG99" s="564"/>
      <c r="DH99" s="564"/>
      <c r="DI99" s="564"/>
      <c r="DJ99" s="564"/>
      <c r="DK99" s="564"/>
      <c r="DL99" s="564"/>
      <c r="DM99" s="564"/>
      <c r="DN99" s="564"/>
      <c r="DO99" s="564"/>
      <c r="DP99" s="564"/>
      <c r="DQ99" s="564"/>
      <c r="DR99" s="564"/>
      <c r="DS99" s="564"/>
      <c r="DT99" s="564"/>
      <c r="DU99" s="564"/>
      <c r="DV99" s="564"/>
      <c r="DW99" s="564"/>
      <c r="DX99" s="564"/>
      <c r="DY99" s="564"/>
      <c r="DZ99" s="564"/>
      <c r="EA99" s="564"/>
      <c r="EB99" s="564"/>
      <c r="EC99" s="564"/>
      <c r="ED99" s="564"/>
      <c r="EE99" s="564"/>
      <c r="EF99" s="564"/>
      <c r="EG99" s="564"/>
      <c r="EH99" s="564"/>
      <c r="EI99" s="564"/>
      <c r="EJ99" s="564"/>
      <c r="EK99" s="564"/>
      <c r="EL99" s="564"/>
      <c r="EM99" s="564"/>
      <c r="EN99" s="564"/>
      <c r="EO99" s="564"/>
      <c r="EP99" s="564"/>
      <c r="EQ99" s="564"/>
      <c r="ER99" s="564"/>
      <c r="ES99" s="564"/>
      <c r="ET99" s="564"/>
      <c r="EU99" s="564"/>
      <c r="EV99" s="564"/>
      <c r="EW99" s="564"/>
      <c r="EX99" s="564"/>
      <c r="EY99" s="564"/>
      <c r="EZ99" s="564"/>
      <c r="FA99" s="564"/>
      <c r="FB99" s="564"/>
      <c r="FC99" s="564"/>
      <c r="FD99" s="564"/>
      <c r="FE99" s="564"/>
      <c r="FF99" s="564"/>
      <c r="FG99" s="564"/>
      <c r="FH99" s="564"/>
      <c r="FI99" s="564"/>
      <c r="FJ99" s="564"/>
      <c r="FK99" s="564"/>
      <c r="FL99" s="564"/>
      <c r="FM99" s="564"/>
      <c r="FN99" s="564"/>
      <c r="FO99" s="564"/>
      <c r="FP99" s="564"/>
      <c r="FQ99" s="564"/>
      <c r="FR99" s="564"/>
      <c r="FS99" s="564"/>
      <c r="FT99" s="564"/>
      <c r="FU99" s="564"/>
      <c r="FV99" s="564"/>
      <c r="FW99" s="564"/>
      <c r="FX99" s="564"/>
      <c r="FY99" s="564"/>
      <c r="FZ99" s="564"/>
      <c r="GA99" s="564"/>
      <c r="GB99" s="564"/>
      <c r="GC99" s="564"/>
      <c r="GD99" s="564"/>
      <c r="GE99" s="564"/>
      <c r="GF99" s="564"/>
      <c r="GG99" s="564"/>
      <c r="GH99" s="564"/>
      <c r="GI99" s="564"/>
      <c r="GJ99" s="564"/>
      <c r="GK99" s="564"/>
      <c r="GL99" s="564"/>
      <c r="GM99" s="564"/>
      <c r="GN99" s="564"/>
      <c r="GO99" s="564"/>
      <c r="GP99" s="564"/>
      <c r="GQ99" s="564"/>
      <c r="GR99" s="564"/>
      <c r="GS99" s="564"/>
      <c r="GT99" s="564"/>
      <c r="GU99" s="564"/>
      <c r="GV99" s="564"/>
      <c r="GW99" s="564"/>
      <c r="GX99" s="564"/>
      <c r="GY99" s="564"/>
      <c r="GZ99" s="564"/>
      <c r="HA99" s="564"/>
      <c r="HB99" s="564"/>
      <c r="HC99" s="564"/>
      <c r="HD99" s="564"/>
      <c r="HE99" s="564"/>
      <c r="HF99" s="564"/>
      <c r="HG99" s="564"/>
      <c r="HH99" s="564"/>
      <c r="HI99" s="564"/>
      <c r="HJ99" s="564"/>
      <c r="HK99" s="564"/>
      <c r="HL99" s="564"/>
      <c r="HM99" s="564"/>
      <c r="HN99" s="564"/>
      <c r="HO99" s="564"/>
      <c r="HP99" s="564"/>
      <c r="HQ99" s="564"/>
      <c r="HR99" s="564"/>
      <c r="HS99" s="564"/>
      <c r="HT99" s="564"/>
      <c r="HU99" s="564"/>
      <c r="HV99" s="564"/>
      <c r="HW99" s="564"/>
      <c r="HX99" s="564"/>
      <c r="HY99" s="564"/>
      <c r="HZ99" s="564"/>
      <c r="IA99" s="564"/>
      <c r="IB99" s="564"/>
      <c r="IC99" s="564"/>
      <c r="ID99" s="564"/>
      <c r="IE99" s="564"/>
      <c r="IF99" s="564"/>
      <c r="IG99" s="564"/>
      <c r="IH99" s="564"/>
      <c r="II99" s="564"/>
      <c r="IJ99" s="564"/>
      <c r="IK99" s="564"/>
      <c r="IL99" s="564"/>
      <c r="IM99" s="564"/>
      <c r="IN99" s="564"/>
      <c r="IO99" s="564"/>
      <c r="IP99" s="564"/>
      <c r="IQ99" s="564"/>
      <c r="IR99" s="564"/>
      <c r="IS99" s="564"/>
      <c r="IT99" s="564"/>
      <c r="IU99" s="564"/>
      <c r="IV99" s="564"/>
      <c r="IW99" s="564"/>
      <c r="IX99" s="564"/>
      <c r="IY99" s="564"/>
      <c r="IZ99" s="564"/>
      <c r="JA99" s="564"/>
      <c r="JB99" s="564"/>
      <c r="JC99" s="564"/>
      <c r="JD99" s="564"/>
      <c r="JE99" s="564"/>
      <c r="JF99" s="564"/>
      <c r="JG99" s="564"/>
      <c r="JH99" s="564"/>
      <c r="JI99" s="564"/>
      <c r="JJ99" s="564"/>
      <c r="JK99" s="564"/>
      <c r="JL99" s="564"/>
      <c r="JM99" s="564"/>
      <c r="JN99" s="564"/>
      <c r="JO99" s="564"/>
      <c r="JP99" s="564"/>
      <c r="JQ99" s="564"/>
      <c r="JR99" s="564"/>
      <c r="JS99" s="564"/>
      <c r="JT99" s="564"/>
      <c r="JU99" s="564"/>
      <c r="JV99" s="564"/>
      <c r="JW99" s="564"/>
      <c r="JX99" s="564"/>
      <c r="JY99" s="564"/>
    </row>
    <row r="100" spans="1:285" s="567" customFormat="1" hidden="1" x14ac:dyDescent="0.2">
      <c r="A100" s="2">
        <v>21</v>
      </c>
      <c r="C100" s="567" t="str" cm="1">
        <f t="array" ref="C100">IFERROR(VALUE(IF($A100&lt;=T1_Vaccines_NumSuitable,INDEX(T1_Vaccines_forCombi,MATCH($A100,$AE$12:$AE$37,0),C$79),"")),IF($A100&lt;=T1_Vaccines_NumSuitable,INDEX(T1_Vaccines_forCombi,MATCH($A100,$AE$12:$AE$37,0),C$79),""))</f>
        <v/>
      </c>
      <c r="D100" s="567" t="str" cm="1">
        <f t="array" ref="D100">IFERROR(VALUE(IF($A100&lt;=T1_Vaccines_NumSuitable,INDEX(T1_Vaccines_forCombi,MATCH($A100,$AE$12:$AE$37,0),D$79),"")),IF($A100&lt;=T1_Vaccines_NumSuitable,INDEX(T1_Vaccines_forCombi,MATCH($A100,$AE$12:$AE$37,0),D$79),""))</f>
        <v/>
      </c>
      <c r="E100" s="567" t="str" cm="1">
        <f t="array" ref="E100">IFERROR(VALUE(IF($A100&lt;=T1_Vaccines_NumSuitable,INDEX(T1_Vaccines_forCombi,MATCH($A100,$AE$12:$AE$37,0),E$79),"")),IF($A100&lt;=T1_Vaccines_NumSuitable,INDEX(T1_Vaccines_forCombi,MATCH($A100,$AE$12:$AE$37,0),E$79),""))</f>
        <v/>
      </c>
      <c r="F100" s="567" t="str" cm="1">
        <f t="array" ref="F100">IFERROR(VALUE(IF($A100&lt;=T1_Vaccines_NumSuitable,INDEX(T1_Vaccines_forCombi,MATCH($A100,$AE$12:$AE$37,0),F$79),"")),IF($A100&lt;=T1_Vaccines_NumSuitable,INDEX(T1_Vaccines_forCombi,MATCH($A100,$AE$12:$AE$37,0),F$79),""))</f>
        <v/>
      </c>
      <c r="G100" s="567" t="str" cm="1">
        <f t="array" ref="G100">IFERROR(VALUE(IF($A100&lt;=T1_Vaccines_NumSuitable,INDEX(T1_Vaccines_forCombi,MATCH($A100,$AE$12:$AE$37,0),G$79),"")),IF($A100&lt;=T1_Vaccines_NumSuitable,INDEX(T1_Vaccines_forCombi,MATCH($A100,$AE$12:$AE$37,0),G$79),""))</f>
        <v/>
      </c>
      <c r="H100" s="567" t="str" cm="1">
        <f t="array" ref="H100">IFERROR(VALUE(IF($A100&lt;=T1_Vaccines_NumSuitable,INDEX(T1_Vaccines_forCombi,MATCH($A100,$AE$12:$AE$37,0),H$79),"")),IF($A100&lt;=T1_Vaccines_NumSuitable,INDEX(T1_Vaccines_forCombi,MATCH($A100,$AE$12:$AE$37,0),H$79),""))</f>
        <v/>
      </c>
      <c r="I100" s="567" t="str" cm="1">
        <f t="array" ref="I100">IFERROR(VALUE(IF($A100&lt;=T1_Vaccines_NumSuitable,INDEX(T1_Vaccines_forCombi,MATCH($A100,$AE$12:$AE$37,0),I$79),"")),IF($A100&lt;=T1_Vaccines_NumSuitable,INDEX(T1_Vaccines_forCombi,MATCH($A100,$AE$12:$AE$37,0),I$79),""))</f>
        <v/>
      </c>
      <c r="J100" s="567" t="str" cm="1">
        <f t="array" ref="J100">IFERROR(VALUE(IF($A100&lt;=T1_Vaccines_NumSuitable,INDEX(T1_Vaccines_forCombi,MATCH($A100,$AE$12:$AE$37,0),J$79),"")),IF($A100&lt;=T1_Vaccines_NumSuitable,INDEX(T1_Vaccines_forCombi,MATCH($A100,$AE$12:$AE$37,0),J$79),""))</f>
        <v/>
      </c>
      <c r="K100" s="567" t="str" cm="1">
        <f t="array" ref="K100">IFERROR(VALUE(IF($A100&lt;=T1_Vaccines_NumSuitable,INDEX(T1_Vaccines_forCombi,MATCH($A100,$AE$12:$AE$37,0),K$79),"")),IF($A100&lt;=T1_Vaccines_NumSuitable,INDEX(T1_Vaccines_forCombi,MATCH($A100,$AE$12:$AE$37,0),K$79),""))</f>
        <v/>
      </c>
      <c r="L100" s="567" t="str" cm="1">
        <f t="array" ref="L100">IFERROR(VALUE(IF($A100&lt;=T1_Vaccines_NumSuitable,INDEX(T1_Vaccines_forCombi,MATCH($A100,$AE$12:$AE$37,0),L$79),"")),IF($A100&lt;=T1_Vaccines_NumSuitable,INDEX(T1_Vaccines_forCombi,MATCH($A100,$AE$12:$AE$37,0),L$79),""))</f>
        <v/>
      </c>
      <c r="M100" s="567" t="str" cm="1">
        <f t="array" ref="M100">IFERROR(VALUE(IF($A100&lt;=T1_Vaccines_NumSuitable,INDEX(T1_Vaccines_forCombi,MATCH($A100,$AE$12:$AE$37,0),M$79),"")),IF($A100&lt;=T1_Vaccines_NumSuitable,INDEX(T1_Vaccines_forCombi,MATCH($A100,$AE$12:$AE$37,0),M$79),""))</f>
        <v/>
      </c>
      <c r="N100" s="567" t="str" cm="1">
        <f t="array" ref="N100">IFERROR(VALUE(IF($A100&lt;=T1_Vaccines_NumSuitable,INDEX(T1_Vaccines_forCombi,MATCH($A100,$AE$12:$AE$37,0),N$79),"")),IF($A100&lt;=T1_Vaccines_NumSuitable,INDEX(T1_Vaccines_forCombi,MATCH($A100,$AE$12:$AE$37,0),N$79),""))</f>
        <v/>
      </c>
      <c r="O100" s="567" t="str" cm="1">
        <f t="array" ref="O100">IFERROR(VALUE(IF($A100&lt;=T1_Vaccines_NumSuitable,INDEX(T1_Vaccines_forCombi,MATCH($A100,$AE$12:$AE$37,0),O$79),"")),IF($A100&lt;=T1_Vaccines_NumSuitable,INDEX(T1_Vaccines_forCombi,MATCH($A100,$AE$12:$AE$37,0),O$79),""))</f>
        <v/>
      </c>
      <c r="P100" s="567" t="str" cm="1">
        <f t="array" ref="P100">IFERROR(VALUE(IF($A100&lt;=T1_Vaccines_NumSuitable,INDEX(T1_Vaccines_forCombi,MATCH($A100,$AE$12:$AE$37,0),P$79),"")),IF($A100&lt;=T1_Vaccines_NumSuitable,INDEX(T1_Vaccines_forCombi,MATCH($A100,$AE$12:$AE$37,0),P$79),""))</f>
        <v/>
      </c>
      <c r="Q100" s="567" t="str" cm="1">
        <f t="array" ref="Q100">IFERROR(VALUE(IF($A100&lt;=T1_Vaccines_NumSuitable,INDEX(T1_Vaccines_forCombi,MATCH($A100,$AE$12:$AE$37,0),Q$79),"")),IF($A100&lt;=T1_Vaccines_NumSuitable,INDEX(T1_Vaccines_forCombi,MATCH($A100,$AE$12:$AE$37,0),Q$79),""))</f>
        <v/>
      </c>
      <c r="R100" s="567" t="str" cm="1">
        <f t="array" ref="R100">IFERROR(VALUE(IF($A100&lt;=T1_Vaccines_NumSuitable,INDEX(T1_Vaccines_forCombi,MATCH($A100,$AE$12:$AE$37,0),R$79),"")),IF($A100&lt;=T1_Vaccines_NumSuitable,INDEX(T1_Vaccines_forCombi,MATCH($A100,$AE$12:$AE$37,0),R$79),""))</f>
        <v/>
      </c>
      <c r="S100" s="567" t="str" cm="1">
        <f t="array" ref="S100">IFERROR(VALUE(IF($A100&lt;=T1_Vaccines_NumSuitable,INDEX(T1_Vaccines_forCombi,MATCH($A100,$AE$12:$AE$37,0),S$79),"")),IF($A100&lt;=T1_Vaccines_NumSuitable,INDEX(T1_Vaccines_forCombi,MATCH($A100,$AE$12:$AE$37,0),S$79),""))</f>
        <v/>
      </c>
      <c r="T100" s="567" t="str" cm="1">
        <f t="array" ref="T100">IFERROR(VALUE(IF($A100&lt;=T1_Vaccines_NumSuitable,INDEX(T1_Vaccines_forCombi,MATCH($A100,$AE$12:$AE$37,0),T$79),"")),IF($A100&lt;=T1_Vaccines_NumSuitable,INDEX(T1_Vaccines_forCombi,MATCH($A100,$AE$12:$AE$37,0),T$79),""))</f>
        <v/>
      </c>
      <c r="U100" s="567" t="str" cm="1">
        <f t="array" ref="U100">IFERROR(VALUE(IF($A100&lt;=T1_Vaccines_NumSuitable,INDEX(T1_Vaccines_forCombi,MATCH($A100,$AE$12:$AE$37,0),U$79),"")),IF($A100&lt;=T1_Vaccines_NumSuitable,INDEX(T1_Vaccines_forCombi,MATCH($A100,$AE$12:$AE$37,0),U$79),""))</f>
        <v/>
      </c>
      <c r="V100" s="567" t="str" cm="1">
        <f t="array" ref="V100">IFERROR(VALUE(IF($A100&lt;=T1_Vaccines_NumSuitable,INDEX(T1_Vaccines_forCombi,MATCH($A100,$AE$12:$AE$37,0),V$79),"")),IF($A100&lt;=T1_Vaccines_NumSuitable,INDEX(T1_Vaccines_forCombi,MATCH($A100,$AE$12:$AE$37,0),V$79),""))</f>
        <v/>
      </c>
      <c r="W100" s="567" t="str" cm="1">
        <f t="array" ref="W100">IFERROR(VALUE(IF($A100&lt;=T1_Vaccines_NumSuitable,INDEX(T1_Vaccines_forCombi,MATCH($A100,$AE$12:$AE$37,0),W$79),"")),IF($A100&lt;=T1_Vaccines_NumSuitable,INDEX(T1_Vaccines_forCombi,MATCH($A100,$AE$12:$AE$37,0),W$79),""))</f>
        <v/>
      </c>
      <c r="X100" s="567" t="str" cm="1">
        <f t="array" ref="X100">IFERROR(VALUE(IF($A100&lt;=T1_Vaccines_NumSuitable,INDEX(T1_Vaccines_forCombi,MATCH($A100,$AE$12:$AE$37,0),X$79),"")),IF($A100&lt;=T1_Vaccines_NumSuitable,INDEX(T1_Vaccines_forCombi,MATCH($A100,$AE$12:$AE$37,0),X$79),""))</f>
        <v/>
      </c>
      <c r="Y100" s="567" t="str" cm="1">
        <f t="array" ref="Y100">IFERROR(VALUE(IF($A100&lt;=T1_Vaccines_NumSuitable,INDEX(T1_Vaccines_forCombi,MATCH($A100,$AE$12:$AE$37,0),Y$79),"")),IF($A100&lt;=T1_Vaccines_NumSuitable,INDEX(T1_Vaccines_forCombi,MATCH($A100,$AE$12:$AE$37,0),Y$79),""))</f>
        <v/>
      </c>
      <c r="Z100" s="567" t="str" cm="1">
        <f t="array" ref="Z100">IFERROR(VALUE(IF($A100&lt;=T1_Vaccines_NumSuitable,INDEX(T1_Vaccines_forCombi,MATCH($A100,$AE$12:$AE$37,0),Z$79),"")),IF($A100&lt;=T1_Vaccines_NumSuitable,INDEX(T1_Vaccines_forCombi,MATCH($A100,$AE$12:$AE$37,0),Z$79),""))</f>
        <v/>
      </c>
      <c r="AA100" s="567" t="str" cm="1">
        <f t="array" ref="AA100">IFERROR(VALUE(IF($A100&lt;=T1_Vaccines_NumSuitable,INDEX(T1_Vaccines_forCombi,MATCH($A100,$AE$12:$AE$37,0),AA$79),"")),IF($A100&lt;=T1_Vaccines_NumSuitable,INDEX(T1_Vaccines_forCombi,MATCH($A100,$AE$12:$AE$37,0),AA$79),""))</f>
        <v/>
      </c>
      <c r="AB100" s="567" t="str" cm="1">
        <f t="array" ref="AB100">IFERROR(VALUE(IF($A100&lt;=T1_Vaccines_NumSuitable,INDEX(T1_Vaccines_forCombi,MATCH($A100,$AE$12:$AE$37,0),AB$79),"")),IF($A100&lt;=T1_Vaccines_NumSuitable,INDEX(T1_Vaccines_forCombi,MATCH($A100,$AE$12:$AE$37,0),AB$79),""))</f>
        <v/>
      </c>
      <c r="AC100" s="567" t="str" cm="1">
        <f t="array" ref="AC100">IFERROR(VALUE(IF($A100&lt;=T1_Vaccines_NumSuitable,INDEX(T1_Vaccines_forCombi,MATCH($A100,$AE$12:$AE$37,0),AC$79),"")),IF($A100&lt;=T1_Vaccines_NumSuitable,INDEX(T1_Vaccines_forCombi,MATCH($A100,$AE$12:$AE$37,0),AC$79),""))</f>
        <v/>
      </c>
      <c r="AD100" s="567" t="str" cm="1">
        <f t="array" ref="AD100">IFERROR(VALUE(IF($A100&lt;=T1_Vaccines_NumSuitable,INDEX(T1_Vaccines_forCombi,MATCH($A100,$AE$12:$AE$37,0),AD$79),"")),IF($A100&lt;=T1_Vaccines_NumSuitable,INDEX(T1_Vaccines_forCombi,MATCH($A100,$AE$12:$AE$37,0),AD$79),""))</f>
        <v/>
      </c>
      <c r="AE100" s="656">
        <f t="shared" si="153"/>
        <v>0</v>
      </c>
      <c r="AF100" s="656">
        <f t="shared" si="151"/>
        <v>0</v>
      </c>
      <c r="AG100" s="656">
        <f t="shared" si="151"/>
        <v>0</v>
      </c>
      <c r="AH100" s="657">
        <f t="shared" si="154"/>
        <v>0</v>
      </c>
      <c r="AI100" s="567">
        <f t="shared" si="152"/>
        <v>0</v>
      </c>
      <c r="AJ100" s="567">
        <f t="shared" si="152"/>
        <v>0</v>
      </c>
      <c r="AK100" s="567">
        <f t="shared" si="152"/>
        <v>0</v>
      </c>
      <c r="AL100" s="567">
        <f t="shared" si="152"/>
        <v>0</v>
      </c>
      <c r="AM100" s="564"/>
      <c r="AN100" s="564"/>
      <c r="AO100" s="564"/>
      <c r="AP100" s="564"/>
      <c r="AQ100" s="564"/>
      <c r="AR100" s="564"/>
      <c r="AS100" s="564"/>
      <c r="AT100" s="564"/>
      <c r="AU100" s="564"/>
      <c r="AV100" s="564"/>
      <c r="AW100" s="564"/>
      <c r="AX100" s="564"/>
      <c r="AY100" s="564"/>
      <c r="AZ100" s="564"/>
      <c r="BA100" s="564"/>
      <c r="BB100" s="564"/>
      <c r="BC100" s="564"/>
      <c r="BD100" s="564"/>
      <c r="BE100" s="564"/>
      <c r="BF100" s="564"/>
      <c r="BG100" s="564"/>
      <c r="BH100" s="564"/>
      <c r="BI100" s="564"/>
      <c r="BJ100" s="564"/>
      <c r="BK100" s="564"/>
      <c r="BL100" s="564"/>
      <c r="BM100" s="564"/>
      <c r="BN100" s="564"/>
      <c r="BO100" s="564"/>
      <c r="BP100" s="564"/>
      <c r="BQ100" s="564"/>
      <c r="BR100" s="564"/>
      <c r="BS100" s="564"/>
      <c r="BT100" s="564"/>
      <c r="BU100" s="564"/>
      <c r="BV100" s="564"/>
      <c r="BW100" s="564"/>
      <c r="BX100" s="564"/>
      <c r="BY100" s="564"/>
      <c r="BZ100" s="564"/>
      <c r="CA100" s="564"/>
      <c r="CB100" s="564"/>
      <c r="CC100" s="564"/>
      <c r="CD100" s="564"/>
      <c r="CE100" s="564"/>
      <c r="CF100" s="564"/>
      <c r="CG100" s="564"/>
      <c r="CH100" s="564"/>
      <c r="CI100" s="564"/>
      <c r="CJ100" s="564"/>
      <c r="CK100" s="564"/>
      <c r="CL100" s="564"/>
      <c r="CM100" s="564"/>
      <c r="CN100" s="564"/>
      <c r="CO100" s="564"/>
      <c r="CP100" s="564"/>
      <c r="CQ100" s="564"/>
      <c r="CR100" s="564"/>
      <c r="CS100" s="564"/>
      <c r="CT100" s="564"/>
      <c r="CU100" s="564"/>
      <c r="CV100" s="564"/>
      <c r="CW100" s="564"/>
      <c r="CX100" s="564"/>
      <c r="CY100" s="564"/>
      <c r="CZ100" s="564"/>
      <c r="DA100" s="564"/>
      <c r="DB100" s="564"/>
      <c r="DC100" s="564"/>
      <c r="DD100" s="564"/>
      <c r="DE100" s="564"/>
      <c r="DF100" s="564"/>
      <c r="DG100" s="564"/>
      <c r="DH100" s="564"/>
      <c r="DI100" s="564"/>
      <c r="DJ100" s="564"/>
      <c r="DK100" s="564"/>
      <c r="DL100" s="564"/>
      <c r="DM100" s="564"/>
      <c r="DN100" s="564"/>
      <c r="DO100" s="564"/>
      <c r="DP100" s="564"/>
      <c r="DQ100" s="564"/>
      <c r="DR100" s="564"/>
      <c r="DS100" s="564"/>
      <c r="DT100" s="564"/>
      <c r="DU100" s="564"/>
      <c r="DV100" s="564"/>
      <c r="DW100" s="564"/>
      <c r="DX100" s="564"/>
      <c r="DY100" s="564"/>
      <c r="DZ100" s="564"/>
      <c r="EA100" s="564"/>
      <c r="EB100" s="564"/>
      <c r="EC100" s="564"/>
      <c r="ED100" s="564"/>
      <c r="EE100" s="564"/>
      <c r="EF100" s="564"/>
      <c r="EG100" s="564"/>
      <c r="EH100" s="564"/>
      <c r="EI100" s="564"/>
      <c r="EJ100" s="564"/>
      <c r="EK100" s="564"/>
      <c r="EL100" s="564"/>
      <c r="EM100" s="564"/>
      <c r="EN100" s="564"/>
      <c r="EO100" s="564"/>
      <c r="EP100" s="564"/>
      <c r="EQ100" s="564"/>
      <c r="ER100" s="564"/>
      <c r="ES100" s="564"/>
      <c r="ET100" s="564"/>
      <c r="EU100" s="564"/>
      <c r="EV100" s="564"/>
      <c r="EW100" s="564"/>
      <c r="EX100" s="564"/>
      <c r="EY100" s="564"/>
      <c r="EZ100" s="564"/>
      <c r="FA100" s="564"/>
      <c r="FB100" s="564"/>
      <c r="FC100" s="564"/>
      <c r="FD100" s="564"/>
      <c r="FE100" s="564"/>
      <c r="FF100" s="564"/>
      <c r="FG100" s="564"/>
      <c r="FH100" s="564"/>
      <c r="FI100" s="564"/>
      <c r="FJ100" s="564"/>
      <c r="FK100" s="564"/>
      <c r="FL100" s="564"/>
      <c r="FM100" s="564"/>
      <c r="FN100" s="564"/>
      <c r="FO100" s="564"/>
      <c r="FP100" s="564"/>
      <c r="FQ100" s="564"/>
      <c r="FR100" s="564"/>
      <c r="FS100" s="564"/>
      <c r="FT100" s="564"/>
      <c r="FU100" s="564"/>
      <c r="FV100" s="564"/>
      <c r="FW100" s="564"/>
      <c r="FX100" s="564"/>
      <c r="FY100" s="564"/>
      <c r="FZ100" s="564"/>
      <c r="GA100" s="564"/>
      <c r="GB100" s="564"/>
      <c r="GC100" s="564"/>
      <c r="GD100" s="564"/>
      <c r="GE100" s="564"/>
      <c r="GF100" s="564"/>
      <c r="GG100" s="564"/>
      <c r="GH100" s="564"/>
      <c r="GI100" s="564"/>
      <c r="GJ100" s="564"/>
      <c r="GK100" s="564"/>
      <c r="GL100" s="564"/>
      <c r="GM100" s="564"/>
      <c r="GN100" s="564"/>
      <c r="GO100" s="564"/>
      <c r="GP100" s="564"/>
      <c r="GQ100" s="564"/>
      <c r="GR100" s="564"/>
      <c r="GS100" s="564"/>
      <c r="GT100" s="564"/>
      <c r="GU100" s="564"/>
      <c r="GV100" s="564"/>
      <c r="GW100" s="564"/>
      <c r="GX100" s="564"/>
      <c r="GY100" s="564"/>
      <c r="GZ100" s="564"/>
      <c r="HA100" s="564"/>
      <c r="HB100" s="564"/>
      <c r="HC100" s="564"/>
      <c r="HD100" s="564"/>
      <c r="HE100" s="564"/>
      <c r="HF100" s="564"/>
      <c r="HG100" s="564"/>
      <c r="HH100" s="564"/>
      <c r="HI100" s="564"/>
      <c r="HJ100" s="564"/>
      <c r="HK100" s="564"/>
      <c r="HL100" s="564"/>
      <c r="HM100" s="564"/>
      <c r="HN100" s="564"/>
      <c r="HO100" s="564"/>
      <c r="HP100" s="564"/>
      <c r="HQ100" s="564"/>
      <c r="HR100" s="564"/>
      <c r="HS100" s="564"/>
      <c r="HT100" s="564"/>
      <c r="HU100" s="564"/>
      <c r="HV100" s="564"/>
      <c r="HW100" s="564"/>
      <c r="HX100" s="564"/>
      <c r="HY100" s="564"/>
      <c r="HZ100" s="564"/>
      <c r="IA100" s="564"/>
      <c r="IB100" s="564"/>
      <c r="IC100" s="564"/>
      <c r="ID100" s="564"/>
      <c r="IE100" s="564"/>
      <c r="IF100" s="564"/>
      <c r="IG100" s="564"/>
      <c r="IH100" s="564"/>
      <c r="II100" s="564"/>
      <c r="IJ100" s="564"/>
      <c r="IK100" s="564"/>
      <c r="IL100" s="564"/>
      <c r="IM100" s="564"/>
      <c r="IN100" s="564"/>
      <c r="IO100" s="564"/>
      <c r="IP100" s="564"/>
      <c r="IQ100" s="564"/>
      <c r="IR100" s="564"/>
      <c r="IS100" s="564"/>
      <c r="IT100" s="564"/>
      <c r="IU100" s="564"/>
      <c r="IV100" s="564"/>
      <c r="IW100" s="564"/>
      <c r="IX100" s="564"/>
      <c r="IY100" s="564"/>
      <c r="IZ100" s="564"/>
      <c r="JA100" s="564"/>
      <c r="JB100" s="564"/>
      <c r="JC100" s="564"/>
      <c r="JD100" s="564"/>
      <c r="JE100" s="564"/>
      <c r="JF100" s="564"/>
      <c r="JG100" s="564"/>
      <c r="JH100" s="564"/>
      <c r="JI100" s="564"/>
      <c r="JJ100" s="564"/>
      <c r="JK100" s="564"/>
      <c r="JL100" s="564"/>
      <c r="JM100" s="564"/>
      <c r="JN100" s="564"/>
      <c r="JO100" s="564"/>
      <c r="JP100" s="564"/>
      <c r="JQ100" s="564"/>
      <c r="JR100" s="564"/>
      <c r="JS100" s="564"/>
      <c r="JT100" s="564"/>
      <c r="JU100" s="564"/>
      <c r="JV100" s="564"/>
      <c r="JW100" s="564"/>
      <c r="JX100" s="564"/>
      <c r="JY100" s="564"/>
    </row>
    <row r="101" spans="1:285" s="567" customFormat="1" hidden="1" x14ac:dyDescent="0.2">
      <c r="A101" s="2">
        <v>22</v>
      </c>
      <c r="C101" s="567" t="str" cm="1">
        <f t="array" ref="C101">IFERROR(VALUE(IF($A101&lt;=T1_Vaccines_NumSuitable,INDEX(T1_Vaccines_forCombi,MATCH($A101,$AE$12:$AE$37,0),C$79),"")),IF($A101&lt;=T1_Vaccines_NumSuitable,INDEX(T1_Vaccines_forCombi,MATCH($A101,$AE$12:$AE$37,0),C$79),""))</f>
        <v/>
      </c>
      <c r="D101" s="567" t="str" cm="1">
        <f t="array" ref="D101">IFERROR(VALUE(IF($A101&lt;=T1_Vaccines_NumSuitable,INDEX(T1_Vaccines_forCombi,MATCH($A101,$AE$12:$AE$37,0),D$79),"")),IF($A101&lt;=T1_Vaccines_NumSuitable,INDEX(T1_Vaccines_forCombi,MATCH($A101,$AE$12:$AE$37,0),D$79),""))</f>
        <v/>
      </c>
      <c r="E101" s="567" t="str" cm="1">
        <f t="array" ref="E101">IFERROR(VALUE(IF($A101&lt;=T1_Vaccines_NumSuitable,INDEX(T1_Vaccines_forCombi,MATCH($A101,$AE$12:$AE$37,0),E$79),"")),IF($A101&lt;=T1_Vaccines_NumSuitable,INDEX(T1_Vaccines_forCombi,MATCH($A101,$AE$12:$AE$37,0),E$79),""))</f>
        <v/>
      </c>
      <c r="F101" s="567" t="str" cm="1">
        <f t="array" ref="F101">IFERROR(VALUE(IF($A101&lt;=T1_Vaccines_NumSuitable,INDEX(T1_Vaccines_forCombi,MATCH($A101,$AE$12:$AE$37,0),F$79),"")),IF($A101&lt;=T1_Vaccines_NumSuitable,INDEX(T1_Vaccines_forCombi,MATCH($A101,$AE$12:$AE$37,0),F$79),""))</f>
        <v/>
      </c>
      <c r="G101" s="567" t="str" cm="1">
        <f t="array" ref="G101">IFERROR(VALUE(IF($A101&lt;=T1_Vaccines_NumSuitable,INDEX(T1_Vaccines_forCombi,MATCH($A101,$AE$12:$AE$37,0),G$79),"")),IF($A101&lt;=T1_Vaccines_NumSuitable,INDEX(T1_Vaccines_forCombi,MATCH($A101,$AE$12:$AE$37,0),G$79),""))</f>
        <v/>
      </c>
      <c r="H101" s="567" t="str" cm="1">
        <f t="array" ref="H101">IFERROR(VALUE(IF($A101&lt;=T1_Vaccines_NumSuitable,INDEX(T1_Vaccines_forCombi,MATCH($A101,$AE$12:$AE$37,0),H$79),"")),IF($A101&lt;=T1_Vaccines_NumSuitable,INDEX(T1_Vaccines_forCombi,MATCH($A101,$AE$12:$AE$37,0),H$79),""))</f>
        <v/>
      </c>
      <c r="I101" s="567" t="str" cm="1">
        <f t="array" ref="I101">IFERROR(VALUE(IF($A101&lt;=T1_Vaccines_NumSuitable,INDEX(T1_Vaccines_forCombi,MATCH($A101,$AE$12:$AE$37,0),I$79),"")),IF($A101&lt;=T1_Vaccines_NumSuitable,INDEX(T1_Vaccines_forCombi,MATCH($A101,$AE$12:$AE$37,0),I$79),""))</f>
        <v/>
      </c>
      <c r="J101" s="567" t="str" cm="1">
        <f t="array" ref="J101">IFERROR(VALUE(IF($A101&lt;=T1_Vaccines_NumSuitable,INDEX(T1_Vaccines_forCombi,MATCH($A101,$AE$12:$AE$37,0),J$79),"")),IF($A101&lt;=T1_Vaccines_NumSuitable,INDEX(T1_Vaccines_forCombi,MATCH($A101,$AE$12:$AE$37,0),J$79),""))</f>
        <v/>
      </c>
      <c r="K101" s="567" t="str" cm="1">
        <f t="array" ref="K101">IFERROR(VALUE(IF($A101&lt;=T1_Vaccines_NumSuitable,INDEX(T1_Vaccines_forCombi,MATCH($A101,$AE$12:$AE$37,0),K$79),"")),IF($A101&lt;=T1_Vaccines_NumSuitable,INDEX(T1_Vaccines_forCombi,MATCH($A101,$AE$12:$AE$37,0),K$79),""))</f>
        <v/>
      </c>
      <c r="L101" s="567" t="str" cm="1">
        <f t="array" ref="L101">IFERROR(VALUE(IF($A101&lt;=T1_Vaccines_NumSuitable,INDEX(T1_Vaccines_forCombi,MATCH($A101,$AE$12:$AE$37,0),L$79),"")),IF($A101&lt;=T1_Vaccines_NumSuitable,INDEX(T1_Vaccines_forCombi,MATCH($A101,$AE$12:$AE$37,0),L$79),""))</f>
        <v/>
      </c>
      <c r="M101" s="567" t="str" cm="1">
        <f t="array" ref="M101">IFERROR(VALUE(IF($A101&lt;=T1_Vaccines_NumSuitable,INDEX(T1_Vaccines_forCombi,MATCH($A101,$AE$12:$AE$37,0),M$79),"")),IF($A101&lt;=T1_Vaccines_NumSuitable,INDEX(T1_Vaccines_forCombi,MATCH($A101,$AE$12:$AE$37,0),M$79),""))</f>
        <v/>
      </c>
      <c r="N101" s="567" t="str" cm="1">
        <f t="array" ref="N101">IFERROR(VALUE(IF($A101&lt;=T1_Vaccines_NumSuitable,INDEX(T1_Vaccines_forCombi,MATCH($A101,$AE$12:$AE$37,0),N$79),"")),IF($A101&lt;=T1_Vaccines_NumSuitable,INDEX(T1_Vaccines_forCombi,MATCH($A101,$AE$12:$AE$37,0),N$79),""))</f>
        <v/>
      </c>
      <c r="O101" s="567" t="str" cm="1">
        <f t="array" ref="O101">IFERROR(VALUE(IF($A101&lt;=T1_Vaccines_NumSuitable,INDEX(T1_Vaccines_forCombi,MATCH($A101,$AE$12:$AE$37,0),O$79),"")),IF($A101&lt;=T1_Vaccines_NumSuitable,INDEX(T1_Vaccines_forCombi,MATCH($A101,$AE$12:$AE$37,0),O$79),""))</f>
        <v/>
      </c>
      <c r="P101" s="567" t="str" cm="1">
        <f t="array" ref="P101">IFERROR(VALUE(IF($A101&lt;=T1_Vaccines_NumSuitable,INDEX(T1_Vaccines_forCombi,MATCH($A101,$AE$12:$AE$37,0),P$79),"")),IF($A101&lt;=T1_Vaccines_NumSuitable,INDEX(T1_Vaccines_forCombi,MATCH($A101,$AE$12:$AE$37,0),P$79),""))</f>
        <v/>
      </c>
      <c r="Q101" s="567" t="str" cm="1">
        <f t="array" ref="Q101">IFERROR(VALUE(IF($A101&lt;=T1_Vaccines_NumSuitable,INDEX(T1_Vaccines_forCombi,MATCH($A101,$AE$12:$AE$37,0),Q$79),"")),IF($A101&lt;=T1_Vaccines_NumSuitable,INDEX(T1_Vaccines_forCombi,MATCH($A101,$AE$12:$AE$37,0),Q$79),""))</f>
        <v/>
      </c>
      <c r="R101" s="567" t="str" cm="1">
        <f t="array" ref="R101">IFERROR(VALUE(IF($A101&lt;=T1_Vaccines_NumSuitable,INDEX(T1_Vaccines_forCombi,MATCH($A101,$AE$12:$AE$37,0),R$79),"")),IF($A101&lt;=T1_Vaccines_NumSuitable,INDEX(T1_Vaccines_forCombi,MATCH($A101,$AE$12:$AE$37,0),R$79),""))</f>
        <v/>
      </c>
      <c r="S101" s="567" t="str" cm="1">
        <f t="array" ref="S101">IFERROR(VALUE(IF($A101&lt;=T1_Vaccines_NumSuitable,INDEX(T1_Vaccines_forCombi,MATCH($A101,$AE$12:$AE$37,0),S$79),"")),IF($A101&lt;=T1_Vaccines_NumSuitable,INDEX(T1_Vaccines_forCombi,MATCH($A101,$AE$12:$AE$37,0),S$79),""))</f>
        <v/>
      </c>
      <c r="T101" s="567" t="str" cm="1">
        <f t="array" ref="T101">IFERROR(VALUE(IF($A101&lt;=T1_Vaccines_NumSuitable,INDEX(T1_Vaccines_forCombi,MATCH($A101,$AE$12:$AE$37,0),T$79),"")),IF($A101&lt;=T1_Vaccines_NumSuitable,INDEX(T1_Vaccines_forCombi,MATCH($A101,$AE$12:$AE$37,0),T$79),""))</f>
        <v/>
      </c>
      <c r="U101" s="567" t="str" cm="1">
        <f t="array" ref="U101">IFERROR(VALUE(IF($A101&lt;=T1_Vaccines_NumSuitable,INDEX(T1_Vaccines_forCombi,MATCH($A101,$AE$12:$AE$37,0),U$79),"")),IF($A101&lt;=T1_Vaccines_NumSuitable,INDEX(T1_Vaccines_forCombi,MATCH($A101,$AE$12:$AE$37,0),U$79),""))</f>
        <v/>
      </c>
      <c r="V101" s="567" t="str" cm="1">
        <f t="array" ref="V101">IFERROR(VALUE(IF($A101&lt;=T1_Vaccines_NumSuitable,INDEX(T1_Vaccines_forCombi,MATCH($A101,$AE$12:$AE$37,0),V$79),"")),IF($A101&lt;=T1_Vaccines_NumSuitable,INDEX(T1_Vaccines_forCombi,MATCH($A101,$AE$12:$AE$37,0),V$79),""))</f>
        <v/>
      </c>
      <c r="W101" s="567" t="str" cm="1">
        <f t="array" ref="W101">IFERROR(VALUE(IF($A101&lt;=T1_Vaccines_NumSuitable,INDEX(T1_Vaccines_forCombi,MATCH($A101,$AE$12:$AE$37,0),W$79),"")),IF($A101&lt;=T1_Vaccines_NumSuitable,INDEX(T1_Vaccines_forCombi,MATCH($A101,$AE$12:$AE$37,0),W$79),""))</f>
        <v/>
      </c>
      <c r="X101" s="567" t="str" cm="1">
        <f t="array" ref="X101">IFERROR(VALUE(IF($A101&lt;=T1_Vaccines_NumSuitable,INDEX(T1_Vaccines_forCombi,MATCH($A101,$AE$12:$AE$37,0),X$79),"")),IF($A101&lt;=T1_Vaccines_NumSuitable,INDEX(T1_Vaccines_forCombi,MATCH($A101,$AE$12:$AE$37,0),X$79),""))</f>
        <v/>
      </c>
      <c r="Y101" s="567" t="str" cm="1">
        <f t="array" ref="Y101">IFERROR(VALUE(IF($A101&lt;=T1_Vaccines_NumSuitable,INDEX(T1_Vaccines_forCombi,MATCH($A101,$AE$12:$AE$37,0),Y$79),"")),IF($A101&lt;=T1_Vaccines_NumSuitable,INDEX(T1_Vaccines_forCombi,MATCH($A101,$AE$12:$AE$37,0),Y$79),""))</f>
        <v/>
      </c>
      <c r="Z101" s="567" t="str" cm="1">
        <f t="array" ref="Z101">IFERROR(VALUE(IF($A101&lt;=T1_Vaccines_NumSuitable,INDEX(T1_Vaccines_forCombi,MATCH($A101,$AE$12:$AE$37,0),Z$79),"")),IF($A101&lt;=T1_Vaccines_NumSuitable,INDEX(T1_Vaccines_forCombi,MATCH($A101,$AE$12:$AE$37,0),Z$79),""))</f>
        <v/>
      </c>
      <c r="AA101" s="567" t="str" cm="1">
        <f t="array" ref="AA101">IFERROR(VALUE(IF($A101&lt;=T1_Vaccines_NumSuitable,INDEX(T1_Vaccines_forCombi,MATCH($A101,$AE$12:$AE$37,0),AA$79),"")),IF($A101&lt;=T1_Vaccines_NumSuitable,INDEX(T1_Vaccines_forCombi,MATCH($A101,$AE$12:$AE$37,0),AA$79),""))</f>
        <v/>
      </c>
      <c r="AB101" s="567" t="str" cm="1">
        <f t="array" ref="AB101">IFERROR(VALUE(IF($A101&lt;=T1_Vaccines_NumSuitable,INDEX(T1_Vaccines_forCombi,MATCH($A101,$AE$12:$AE$37,0),AB$79),"")),IF($A101&lt;=T1_Vaccines_NumSuitable,INDEX(T1_Vaccines_forCombi,MATCH($A101,$AE$12:$AE$37,0),AB$79),""))</f>
        <v/>
      </c>
      <c r="AC101" s="567" t="str" cm="1">
        <f t="array" ref="AC101">IFERROR(VALUE(IF($A101&lt;=T1_Vaccines_NumSuitable,INDEX(T1_Vaccines_forCombi,MATCH($A101,$AE$12:$AE$37,0),AC$79),"")),IF($A101&lt;=T1_Vaccines_NumSuitable,INDEX(T1_Vaccines_forCombi,MATCH($A101,$AE$12:$AE$37,0),AC$79),""))</f>
        <v/>
      </c>
      <c r="AD101" s="567" t="str" cm="1">
        <f t="array" ref="AD101">IFERROR(VALUE(IF($A101&lt;=T1_Vaccines_NumSuitable,INDEX(T1_Vaccines_forCombi,MATCH($A101,$AE$12:$AE$37,0),AD$79),"")),IF($A101&lt;=T1_Vaccines_NumSuitable,INDEX(T1_Vaccines_forCombi,MATCH($A101,$AE$12:$AE$37,0),AD$79),""))</f>
        <v/>
      </c>
      <c r="AE101" s="656">
        <f t="shared" si="153"/>
        <v>0</v>
      </c>
      <c r="AF101" s="656">
        <f t="shared" si="151"/>
        <v>0</v>
      </c>
      <c r="AG101" s="656">
        <f t="shared" si="151"/>
        <v>0</v>
      </c>
      <c r="AH101" s="657">
        <f t="shared" si="154"/>
        <v>0</v>
      </c>
      <c r="AI101" s="567">
        <f t="shared" si="152"/>
        <v>0</v>
      </c>
      <c r="AJ101" s="567">
        <f t="shared" si="152"/>
        <v>0</v>
      </c>
      <c r="AK101" s="567">
        <f t="shared" si="152"/>
        <v>0</v>
      </c>
      <c r="AL101" s="567">
        <f t="shared" si="152"/>
        <v>0</v>
      </c>
      <c r="AM101" s="564"/>
      <c r="AN101" s="564"/>
      <c r="AO101" s="564"/>
      <c r="AP101" s="564"/>
      <c r="AQ101" s="564"/>
      <c r="AR101" s="564"/>
      <c r="AS101" s="564"/>
      <c r="AT101" s="564"/>
      <c r="AU101" s="564"/>
      <c r="AV101" s="564"/>
      <c r="AW101" s="564"/>
      <c r="AX101" s="564"/>
      <c r="AY101" s="564"/>
      <c r="AZ101" s="564"/>
      <c r="BA101" s="564"/>
      <c r="BB101" s="564"/>
      <c r="BC101" s="564"/>
      <c r="BD101" s="564"/>
      <c r="BE101" s="564"/>
      <c r="BF101" s="564"/>
      <c r="BG101" s="564"/>
      <c r="BH101" s="564"/>
      <c r="BI101" s="564"/>
      <c r="BJ101" s="564"/>
      <c r="BK101" s="564"/>
      <c r="BL101" s="564"/>
      <c r="BM101" s="564"/>
      <c r="BN101" s="564"/>
      <c r="BO101" s="564"/>
      <c r="BP101" s="564"/>
      <c r="BQ101" s="564"/>
      <c r="BR101" s="564"/>
      <c r="BS101" s="564"/>
      <c r="BT101" s="564"/>
      <c r="BU101" s="564"/>
      <c r="BV101" s="564"/>
      <c r="BW101" s="564"/>
      <c r="BX101" s="564"/>
      <c r="BY101" s="564"/>
      <c r="BZ101" s="564"/>
      <c r="CA101" s="564"/>
      <c r="CB101" s="564"/>
      <c r="CC101" s="564"/>
      <c r="CD101" s="564"/>
      <c r="CE101" s="564"/>
      <c r="CF101" s="564"/>
      <c r="CG101" s="564"/>
      <c r="CH101" s="564"/>
      <c r="CI101" s="564"/>
      <c r="CJ101" s="564"/>
      <c r="CK101" s="564"/>
      <c r="CL101" s="564"/>
      <c r="CM101" s="564"/>
      <c r="CN101" s="564"/>
      <c r="CO101" s="564"/>
      <c r="CP101" s="564"/>
      <c r="CQ101" s="564"/>
      <c r="CR101" s="564"/>
      <c r="CS101" s="564"/>
      <c r="CT101" s="564"/>
      <c r="CU101" s="564"/>
      <c r="CV101" s="564"/>
      <c r="CW101" s="564"/>
      <c r="CX101" s="564"/>
      <c r="CY101" s="564"/>
      <c r="CZ101" s="564"/>
      <c r="DA101" s="564"/>
      <c r="DB101" s="564"/>
      <c r="DC101" s="564"/>
      <c r="DD101" s="564"/>
      <c r="DE101" s="564"/>
      <c r="DF101" s="564"/>
      <c r="DG101" s="564"/>
      <c r="DH101" s="564"/>
      <c r="DI101" s="564"/>
      <c r="DJ101" s="564"/>
      <c r="DK101" s="564"/>
      <c r="DL101" s="564"/>
      <c r="DM101" s="564"/>
      <c r="DN101" s="564"/>
      <c r="DO101" s="564"/>
      <c r="DP101" s="564"/>
      <c r="DQ101" s="564"/>
      <c r="DR101" s="564"/>
      <c r="DS101" s="564"/>
      <c r="DT101" s="564"/>
      <c r="DU101" s="564"/>
      <c r="DV101" s="564"/>
      <c r="DW101" s="564"/>
      <c r="DX101" s="564"/>
      <c r="DY101" s="564"/>
      <c r="DZ101" s="564"/>
      <c r="EA101" s="564"/>
      <c r="EB101" s="564"/>
      <c r="EC101" s="564"/>
      <c r="ED101" s="564"/>
      <c r="EE101" s="564"/>
      <c r="EF101" s="564"/>
      <c r="EG101" s="564"/>
      <c r="EH101" s="564"/>
      <c r="EI101" s="564"/>
      <c r="EJ101" s="564"/>
      <c r="EK101" s="564"/>
      <c r="EL101" s="564"/>
      <c r="EM101" s="564"/>
      <c r="EN101" s="564"/>
      <c r="EO101" s="564"/>
      <c r="EP101" s="564"/>
      <c r="EQ101" s="564"/>
      <c r="ER101" s="564"/>
      <c r="ES101" s="564"/>
      <c r="ET101" s="564"/>
      <c r="EU101" s="564"/>
      <c r="EV101" s="564"/>
      <c r="EW101" s="564"/>
      <c r="EX101" s="564"/>
      <c r="EY101" s="564"/>
      <c r="EZ101" s="564"/>
      <c r="FA101" s="564"/>
      <c r="FB101" s="564"/>
      <c r="FC101" s="564"/>
      <c r="FD101" s="564"/>
      <c r="FE101" s="564"/>
      <c r="FF101" s="564"/>
      <c r="FG101" s="564"/>
      <c r="FH101" s="564"/>
      <c r="FI101" s="564"/>
      <c r="FJ101" s="564"/>
      <c r="FK101" s="564"/>
      <c r="FL101" s="564"/>
      <c r="FM101" s="564"/>
      <c r="FN101" s="564"/>
      <c r="FO101" s="564"/>
      <c r="FP101" s="564"/>
      <c r="FQ101" s="564"/>
      <c r="FR101" s="564"/>
      <c r="FS101" s="564"/>
      <c r="FT101" s="564"/>
      <c r="FU101" s="564"/>
      <c r="FV101" s="564"/>
      <c r="FW101" s="564"/>
      <c r="FX101" s="564"/>
      <c r="FY101" s="564"/>
      <c r="FZ101" s="564"/>
      <c r="GA101" s="564"/>
      <c r="GB101" s="564"/>
      <c r="GC101" s="564"/>
      <c r="GD101" s="564"/>
      <c r="GE101" s="564"/>
      <c r="GF101" s="564"/>
      <c r="GG101" s="564"/>
      <c r="GH101" s="564"/>
      <c r="GI101" s="564"/>
      <c r="GJ101" s="564"/>
      <c r="GK101" s="564"/>
      <c r="GL101" s="564"/>
      <c r="GM101" s="564"/>
      <c r="GN101" s="564"/>
      <c r="GO101" s="564"/>
      <c r="GP101" s="564"/>
      <c r="GQ101" s="564"/>
      <c r="GR101" s="564"/>
      <c r="GS101" s="564"/>
      <c r="GT101" s="564"/>
      <c r="GU101" s="564"/>
      <c r="GV101" s="564"/>
      <c r="GW101" s="564"/>
      <c r="GX101" s="564"/>
      <c r="GY101" s="564"/>
      <c r="GZ101" s="564"/>
      <c r="HA101" s="564"/>
      <c r="HB101" s="564"/>
      <c r="HC101" s="564"/>
      <c r="HD101" s="564"/>
      <c r="HE101" s="564"/>
      <c r="HF101" s="564"/>
      <c r="HG101" s="564"/>
      <c r="HH101" s="564"/>
      <c r="HI101" s="564"/>
      <c r="HJ101" s="564"/>
      <c r="HK101" s="564"/>
      <c r="HL101" s="564"/>
      <c r="HM101" s="564"/>
      <c r="HN101" s="564"/>
      <c r="HO101" s="564"/>
      <c r="HP101" s="564"/>
      <c r="HQ101" s="564"/>
      <c r="HR101" s="564"/>
      <c r="HS101" s="564"/>
      <c r="HT101" s="564"/>
      <c r="HU101" s="564"/>
      <c r="HV101" s="564"/>
      <c r="HW101" s="564"/>
      <c r="HX101" s="564"/>
      <c r="HY101" s="564"/>
      <c r="HZ101" s="564"/>
      <c r="IA101" s="564"/>
      <c r="IB101" s="564"/>
      <c r="IC101" s="564"/>
      <c r="ID101" s="564"/>
      <c r="IE101" s="564"/>
      <c r="IF101" s="564"/>
      <c r="IG101" s="564"/>
      <c r="IH101" s="564"/>
      <c r="II101" s="564"/>
      <c r="IJ101" s="564"/>
      <c r="IK101" s="564"/>
      <c r="IL101" s="564"/>
      <c r="IM101" s="564"/>
      <c r="IN101" s="564"/>
      <c r="IO101" s="564"/>
      <c r="IP101" s="564"/>
      <c r="IQ101" s="564"/>
      <c r="IR101" s="564"/>
      <c r="IS101" s="564"/>
      <c r="IT101" s="564"/>
      <c r="IU101" s="564"/>
      <c r="IV101" s="564"/>
      <c r="IW101" s="564"/>
      <c r="IX101" s="564"/>
      <c r="IY101" s="564"/>
      <c r="IZ101" s="564"/>
      <c r="JA101" s="564"/>
      <c r="JB101" s="564"/>
      <c r="JC101" s="564"/>
      <c r="JD101" s="564"/>
      <c r="JE101" s="564"/>
      <c r="JF101" s="564"/>
      <c r="JG101" s="564"/>
      <c r="JH101" s="564"/>
      <c r="JI101" s="564"/>
      <c r="JJ101" s="564"/>
      <c r="JK101" s="564"/>
      <c r="JL101" s="564"/>
      <c r="JM101" s="564"/>
      <c r="JN101" s="564"/>
      <c r="JO101" s="564"/>
      <c r="JP101" s="564"/>
      <c r="JQ101" s="564"/>
      <c r="JR101" s="564"/>
      <c r="JS101" s="564"/>
      <c r="JT101" s="564"/>
      <c r="JU101" s="564"/>
      <c r="JV101" s="564"/>
      <c r="JW101" s="564"/>
      <c r="JX101" s="564"/>
      <c r="JY101" s="564"/>
    </row>
    <row r="102" spans="1:285" s="567" customFormat="1" hidden="1" x14ac:dyDescent="0.2">
      <c r="A102" s="2">
        <v>23</v>
      </c>
      <c r="C102" s="567" t="str" cm="1">
        <f t="array" ref="C102">IFERROR(VALUE(IF($A102&lt;=T1_Vaccines_NumSuitable,INDEX(T1_Vaccines_forCombi,MATCH($A102,$AE$12:$AE$37,0),C$79),"")),IF($A102&lt;=T1_Vaccines_NumSuitable,INDEX(T1_Vaccines_forCombi,MATCH($A102,$AE$12:$AE$37,0),C$79),""))</f>
        <v/>
      </c>
      <c r="D102" s="567" t="str" cm="1">
        <f t="array" ref="D102">IFERROR(VALUE(IF($A102&lt;=T1_Vaccines_NumSuitable,INDEX(T1_Vaccines_forCombi,MATCH($A102,$AE$12:$AE$37,0),D$79),"")),IF($A102&lt;=T1_Vaccines_NumSuitable,INDEX(T1_Vaccines_forCombi,MATCH($A102,$AE$12:$AE$37,0),D$79),""))</f>
        <v/>
      </c>
      <c r="E102" s="567" t="str" cm="1">
        <f t="array" ref="E102">IFERROR(VALUE(IF($A102&lt;=T1_Vaccines_NumSuitable,INDEX(T1_Vaccines_forCombi,MATCH($A102,$AE$12:$AE$37,0),E$79),"")),IF($A102&lt;=T1_Vaccines_NumSuitable,INDEX(T1_Vaccines_forCombi,MATCH($A102,$AE$12:$AE$37,0),E$79),""))</f>
        <v/>
      </c>
      <c r="F102" s="567" t="str" cm="1">
        <f t="array" ref="F102">IFERROR(VALUE(IF($A102&lt;=T1_Vaccines_NumSuitable,INDEX(T1_Vaccines_forCombi,MATCH($A102,$AE$12:$AE$37,0),F$79),"")),IF($A102&lt;=T1_Vaccines_NumSuitable,INDEX(T1_Vaccines_forCombi,MATCH($A102,$AE$12:$AE$37,0),F$79),""))</f>
        <v/>
      </c>
      <c r="G102" s="567" t="str" cm="1">
        <f t="array" ref="G102">IFERROR(VALUE(IF($A102&lt;=T1_Vaccines_NumSuitable,INDEX(T1_Vaccines_forCombi,MATCH($A102,$AE$12:$AE$37,0),G$79),"")),IF($A102&lt;=T1_Vaccines_NumSuitable,INDEX(T1_Vaccines_forCombi,MATCH($A102,$AE$12:$AE$37,0),G$79),""))</f>
        <v/>
      </c>
      <c r="H102" s="567" t="str" cm="1">
        <f t="array" ref="H102">IFERROR(VALUE(IF($A102&lt;=T1_Vaccines_NumSuitable,INDEX(T1_Vaccines_forCombi,MATCH($A102,$AE$12:$AE$37,0),H$79),"")),IF($A102&lt;=T1_Vaccines_NumSuitable,INDEX(T1_Vaccines_forCombi,MATCH($A102,$AE$12:$AE$37,0),H$79),""))</f>
        <v/>
      </c>
      <c r="I102" s="567" t="str" cm="1">
        <f t="array" ref="I102">IFERROR(VALUE(IF($A102&lt;=T1_Vaccines_NumSuitable,INDEX(T1_Vaccines_forCombi,MATCH($A102,$AE$12:$AE$37,0),I$79),"")),IF($A102&lt;=T1_Vaccines_NumSuitable,INDEX(T1_Vaccines_forCombi,MATCH($A102,$AE$12:$AE$37,0),I$79),""))</f>
        <v/>
      </c>
      <c r="J102" s="567" t="str" cm="1">
        <f t="array" ref="J102">IFERROR(VALUE(IF($A102&lt;=T1_Vaccines_NumSuitable,INDEX(T1_Vaccines_forCombi,MATCH($A102,$AE$12:$AE$37,0),J$79),"")),IF($A102&lt;=T1_Vaccines_NumSuitable,INDEX(T1_Vaccines_forCombi,MATCH($A102,$AE$12:$AE$37,0),J$79),""))</f>
        <v/>
      </c>
      <c r="K102" s="567" t="str" cm="1">
        <f t="array" ref="K102">IFERROR(VALUE(IF($A102&lt;=T1_Vaccines_NumSuitable,INDEX(T1_Vaccines_forCombi,MATCH($A102,$AE$12:$AE$37,0),K$79),"")),IF($A102&lt;=T1_Vaccines_NumSuitable,INDEX(T1_Vaccines_forCombi,MATCH($A102,$AE$12:$AE$37,0),K$79),""))</f>
        <v/>
      </c>
      <c r="L102" s="567" t="str" cm="1">
        <f t="array" ref="L102">IFERROR(VALUE(IF($A102&lt;=T1_Vaccines_NumSuitable,INDEX(T1_Vaccines_forCombi,MATCH($A102,$AE$12:$AE$37,0),L$79),"")),IF($A102&lt;=T1_Vaccines_NumSuitable,INDEX(T1_Vaccines_forCombi,MATCH($A102,$AE$12:$AE$37,0),L$79),""))</f>
        <v/>
      </c>
      <c r="M102" s="567" t="str" cm="1">
        <f t="array" ref="M102">IFERROR(VALUE(IF($A102&lt;=T1_Vaccines_NumSuitable,INDEX(T1_Vaccines_forCombi,MATCH($A102,$AE$12:$AE$37,0),M$79),"")),IF($A102&lt;=T1_Vaccines_NumSuitable,INDEX(T1_Vaccines_forCombi,MATCH($A102,$AE$12:$AE$37,0),M$79),""))</f>
        <v/>
      </c>
      <c r="N102" s="567" t="str" cm="1">
        <f t="array" ref="N102">IFERROR(VALUE(IF($A102&lt;=T1_Vaccines_NumSuitable,INDEX(T1_Vaccines_forCombi,MATCH($A102,$AE$12:$AE$37,0),N$79),"")),IF($A102&lt;=T1_Vaccines_NumSuitable,INDEX(T1_Vaccines_forCombi,MATCH($A102,$AE$12:$AE$37,0),N$79),""))</f>
        <v/>
      </c>
      <c r="O102" s="567" t="str" cm="1">
        <f t="array" ref="O102">IFERROR(VALUE(IF($A102&lt;=T1_Vaccines_NumSuitable,INDEX(T1_Vaccines_forCombi,MATCH($A102,$AE$12:$AE$37,0),O$79),"")),IF($A102&lt;=T1_Vaccines_NumSuitable,INDEX(T1_Vaccines_forCombi,MATCH($A102,$AE$12:$AE$37,0),O$79),""))</f>
        <v/>
      </c>
      <c r="P102" s="567" t="str" cm="1">
        <f t="array" ref="P102">IFERROR(VALUE(IF($A102&lt;=T1_Vaccines_NumSuitable,INDEX(T1_Vaccines_forCombi,MATCH($A102,$AE$12:$AE$37,0),P$79),"")),IF($A102&lt;=T1_Vaccines_NumSuitable,INDEX(T1_Vaccines_forCombi,MATCH($A102,$AE$12:$AE$37,0),P$79),""))</f>
        <v/>
      </c>
      <c r="Q102" s="567" t="str" cm="1">
        <f t="array" ref="Q102">IFERROR(VALUE(IF($A102&lt;=T1_Vaccines_NumSuitable,INDEX(T1_Vaccines_forCombi,MATCH($A102,$AE$12:$AE$37,0),Q$79),"")),IF($A102&lt;=T1_Vaccines_NumSuitable,INDEX(T1_Vaccines_forCombi,MATCH($A102,$AE$12:$AE$37,0),Q$79),""))</f>
        <v/>
      </c>
      <c r="R102" s="567" t="str" cm="1">
        <f t="array" ref="R102">IFERROR(VALUE(IF($A102&lt;=T1_Vaccines_NumSuitable,INDEX(T1_Vaccines_forCombi,MATCH($A102,$AE$12:$AE$37,0),R$79),"")),IF($A102&lt;=T1_Vaccines_NumSuitable,INDEX(T1_Vaccines_forCombi,MATCH($A102,$AE$12:$AE$37,0),R$79),""))</f>
        <v/>
      </c>
      <c r="S102" s="567" t="str" cm="1">
        <f t="array" ref="S102">IFERROR(VALUE(IF($A102&lt;=T1_Vaccines_NumSuitable,INDEX(T1_Vaccines_forCombi,MATCH($A102,$AE$12:$AE$37,0),S$79),"")),IF($A102&lt;=T1_Vaccines_NumSuitable,INDEX(T1_Vaccines_forCombi,MATCH($A102,$AE$12:$AE$37,0),S$79),""))</f>
        <v/>
      </c>
      <c r="T102" s="567" t="str" cm="1">
        <f t="array" ref="T102">IFERROR(VALUE(IF($A102&lt;=T1_Vaccines_NumSuitable,INDEX(T1_Vaccines_forCombi,MATCH($A102,$AE$12:$AE$37,0),T$79),"")),IF($A102&lt;=T1_Vaccines_NumSuitable,INDEX(T1_Vaccines_forCombi,MATCH($A102,$AE$12:$AE$37,0),T$79),""))</f>
        <v/>
      </c>
      <c r="U102" s="567" t="str" cm="1">
        <f t="array" ref="U102">IFERROR(VALUE(IF($A102&lt;=T1_Vaccines_NumSuitable,INDEX(T1_Vaccines_forCombi,MATCH($A102,$AE$12:$AE$37,0),U$79),"")),IF($A102&lt;=T1_Vaccines_NumSuitable,INDEX(T1_Vaccines_forCombi,MATCH($A102,$AE$12:$AE$37,0),U$79),""))</f>
        <v/>
      </c>
      <c r="V102" s="567" t="str" cm="1">
        <f t="array" ref="V102">IFERROR(VALUE(IF($A102&lt;=T1_Vaccines_NumSuitable,INDEX(T1_Vaccines_forCombi,MATCH($A102,$AE$12:$AE$37,0),V$79),"")),IF($A102&lt;=T1_Vaccines_NumSuitable,INDEX(T1_Vaccines_forCombi,MATCH($A102,$AE$12:$AE$37,0),V$79),""))</f>
        <v/>
      </c>
      <c r="W102" s="567" t="str" cm="1">
        <f t="array" ref="W102">IFERROR(VALUE(IF($A102&lt;=T1_Vaccines_NumSuitable,INDEX(T1_Vaccines_forCombi,MATCH($A102,$AE$12:$AE$37,0),W$79),"")),IF($A102&lt;=T1_Vaccines_NumSuitable,INDEX(T1_Vaccines_forCombi,MATCH($A102,$AE$12:$AE$37,0),W$79),""))</f>
        <v/>
      </c>
      <c r="X102" s="567" t="str" cm="1">
        <f t="array" ref="X102">IFERROR(VALUE(IF($A102&lt;=T1_Vaccines_NumSuitable,INDEX(T1_Vaccines_forCombi,MATCH($A102,$AE$12:$AE$37,0),X$79),"")),IF($A102&lt;=T1_Vaccines_NumSuitable,INDEX(T1_Vaccines_forCombi,MATCH($A102,$AE$12:$AE$37,0),X$79),""))</f>
        <v/>
      </c>
      <c r="Y102" s="567" t="str" cm="1">
        <f t="array" ref="Y102">IFERROR(VALUE(IF($A102&lt;=T1_Vaccines_NumSuitable,INDEX(T1_Vaccines_forCombi,MATCH($A102,$AE$12:$AE$37,0),Y$79),"")),IF($A102&lt;=T1_Vaccines_NumSuitable,INDEX(T1_Vaccines_forCombi,MATCH($A102,$AE$12:$AE$37,0),Y$79),""))</f>
        <v/>
      </c>
      <c r="Z102" s="567" t="str" cm="1">
        <f t="array" ref="Z102">IFERROR(VALUE(IF($A102&lt;=T1_Vaccines_NumSuitable,INDEX(T1_Vaccines_forCombi,MATCH($A102,$AE$12:$AE$37,0),Z$79),"")),IF($A102&lt;=T1_Vaccines_NumSuitable,INDEX(T1_Vaccines_forCombi,MATCH($A102,$AE$12:$AE$37,0),Z$79),""))</f>
        <v/>
      </c>
      <c r="AA102" s="567" t="str" cm="1">
        <f t="array" ref="AA102">IFERROR(VALUE(IF($A102&lt;=T1_Vaccines_NumSuitable,INDEX(T1_Vaccines_forCombi,MATCH($A102,$AE$12:$AE$37,0),AA$79),"")),IF($A102&lt;=T1_Vaccines_NumSuitable,INDEX(T1_Vaccines_forCombi,MATCH($A102,$AE$12:$AE$37,0),AA$79),""))</f>
        <v/>
      </c>
      <c r="AB102" s="567" t="str" cm="1">
        <f t="array" ref="AB102">IFERROR(VALUE(IF($A102&lt;=T1_Vaccines_NumSuitable,INDEX(T1_Vaccines_forCombi,MATCH($A102,$AE$12:$AE$37,0),AB$79),"")),IF($A102&lt;=T1_Vaccines_NumSuitable,INDEX(T1_Vaccines_forCombi,MATCH($A102,$AE$12:$AE$37,0),AB$79),""))</f>
        <v/>
      </c>
      <c r="AC102" s="567" t="str" cm="1">
        <f t="array" ref="AC102">IFERROR(VALUE(IF($A102&lt;=T1_Vaccines_NumSuitable,INDEX(T1_Vaccines_forCombi,MATCH($A102,$AE$12:$AE$37,0),AC$79),"")),IF($A102&lt;=T1_Vaccines_NumSuitable,INDEX(T1_Vaccines_forCombi,MATCH($A102,$AE$12:$AE$37,0),AC$79),""))</f>
        <v/>
      </c>
      <c r="AD102" s="567" t="str" cm="1">
        <f t="array" ref="AD102">IFERROR(VALUE(IF($A102&lt;=T1_Vaccines_NumSuitable,INDEX(T1_Vaccines_forCombi,MATCH($A102,$AE$12:$AE$37,0),AD$79),"")),IF($A102&lt;=T1_Vaccines_NumSuitable,INDEX(T1_Vaccines_forCombi,MATCH($A102,$AE$12:$AE$37,0),AD$79),""))</f>
        <v/>
      </c>
      <c r="AE102" s="656">
        <f t="shared" si="153"/>
        <v>0</v>
      </c>
      <c r="AF102" s="656">
        <f t="shared" si="151"/>
        <v>0</v>
      </c>
      <c r="AG102" s="656">
        <f t="shared" si="151"/>
        <v>0</v>
      </c>
      <c r="AH102" s="657">
        <f t="shared" si="154"/>
        <v>0</v>
      </c>
      <c r="AI102" s="567">
        <f t="shared" si="152"/>
        <v>0</v>
      </c>
      <c r="AJ102" s="567">
        <f t="shared" si="152"/>
        <v>0</v>
      </c>
      <c r="AK102" s="567">
        <f t="shared" si="152"/>
        <v>0</v>
      </c>
      <c r="AL102" s="567">
        <f t="shared" si="152"/>
        <v>0</v>
      </c>
      <c r="AM102" s="564"/>
      <c r="AN102" s="564"/>
      <c r="AO102" s="564"/>
      <c r="AP102" s="564"/>
      <c r="AQ102" s="564"/>
      <c r="AR102" s="564"/>
      <c r="AS102" s="564"/>
      <c r="AT102" s="564"/>
      <c r="AU102" s="564"/>
      <c r="AV102" s="564"/>
      <c r="AW102" s="564"/>
      <c r="AX102" s="564"/>
      <c r="AY102" s="564"/>
      <c r="AZ102" s="564"/>
      <c r="BA102" s="564"/>
      <c r="BB102" s="564"/>
      <c r="BC102" s="564"/>
      <c r="BD102" s="564"/>
      <c r="BE102" s="564"/>
      <c r="BF102" s="564"/>
      <c r="BG102" s="564"/>
      <c r="BH102" s="564"/>
      <c r="BI102" s="564"/>
      <c r="BJ102" s="564"/>
      <c r="BK102" s="564"/>
      <c r="BL102" s="564"/>
      <c r="BM102" s="564"/>
      <c r="BN102" s="564"/>
      <c r="BO102" s="564"/>
      <c r="BP102" s="564"/>
      <c r="BQ102" s="564"/>
      <c r="BR102" s="564"/>
      <c r="BS102" s="564"/>
      <c r="BT102" s="564"/>
      <c r="BU102" s="564"/>
      <c r="BV102" s="564"/>
      <c r="BW102" s="564"/>
      <c r="BX102" s="564"/>
      <c r="BY102" s="564"/>
      <c r="BZ102" s="564"/>
      <c r="CA102" s="564"/>
      <c r="CB102" s="564"/>
      <c r="CC102" s="564"/>
      <c r="CD102" s="564"/>
      <c r="CE102" s="564"/>
      <c r="CF102" s="564"/>
      <c r="CG102" s="564"/>
      <c r="CH102" s="564"/>
      <c r="CI102" s="564"/>
      <c r="CJ102" s="564"/>
      <c r="CK102" s="564"/>
      <c r="CL102" s="564"/>
      <c r="CM102" s="564"/>
      <c r="CN102" s="564"/>
      <c r="CO102" s="564"/>
      <c r="CP102" s="564"/>
      <c r="CQ102" s="564"/>
      <c r="CR102" s="564"/>
      <c r="CS102" s="564"/>
      <c r="CT102" s="564"/>
      <c r="CU102" s="564"/>
      <c r="CV102" s="564"/>
      <c r="CW102" s="564"/>
      <c r="CX102" s="564"/>
      <c r="CY102" s="564"/>
      <c r="CZ102" s="564"/>
      <c r="DA102" s="564"/>
      <c r="DB102" s="564"/>
      <c r="DC102" s="564"/>
      <c r="DD102" s="564"/>
      <c r="DE102" s="564"/>
      <c r="DF102" s="564"/>
      <c r="DG102" s="564"/>
      <c r="DH102" s="564"/>
      <c r="DI102" s="564"/>
      <c r="DJ102" s="564"/>
      <c r="DK102" s="564"/>
      <c r="DL102" s="564"/>
      <c r="DM102" s="564"/>
      <c r="DN102" s="564"/>
      <c r="DO102" s="564"/>
      <c r="DP102" s="564"/>
      <c r="DQ102" s="564"/>
      <c r="DR102" s="564"/>
      <c r="DS102" s="564"/>
      <c r="DT102" s="564"/>
      <c r="DU102" s="564"/>
      <c r="DV102" s="564"/>
      <c r="DW102" s="564"/>
      <c r="DX102" s="564"/>
      <c r="DY102" s="564"/>
      <c r="DZ102" s="564"/>
      <c r="EA102" s="564"/>
      <c r="EB102" s="564"/>
      <c r="EC102" s="564"/>
      <c r="ED102" s="564"/>
      <c r="EE102" s="564"/>
      <c r="EF102" s="564"/>
      <c r="EG102" s="564"/>
      <c r="EH102" s="564"/>
      <c r="EI102" s="564"/>
      <c r="EJ102" s="564"/>
      <c r="EK102" s="564"/>
      <c r="EL102" s="564"/>
      <c r="EM102" s="564"/>
      <c r="EN102" s="564"/>
      <c r="EO102" s="564"/>
      <c r="EP102" s="564"/>
      <c r="EQ102" s="564"/>
      <c r="ER102" s="564"/>
      <c r="ES102" s="564"/>
      <c r="ET102" s="564"/>
      <c r="EU102" s="564"/>
      <c r="EV102" s="564"/>
      <c r="EW102" s="564"/>
      <c r="EX102" s="564"/>
      <c r="EY102" s="564"/>
      <c r="EZ102" s="564"/>
      <c r="FA102" s="564"/>
      <c r="FB102" s="564"/>
      <c r="FC102" s="564"/>
      <c r="FD102" s="564"/>
      <c r="FE102" s="564"/>
      <c r="FF102" s="564"/>
      <c r="FG102" s="564"/>
      <c r="FH102" s="564"/>
      <c r="FI102" s="564"/>
      <c r="FJ102" s="564"/>
      <c r="FK102" s="564"/>
      <c r="FL102" s="564"/>
      <c r="FM102" s="564"/>
      <c r="FN102" s="564"/>
      <c r="FO102" s="564"/>
      <c r="FP102" s="564"/>
      <c r="FQ102" s="564"/>
      <c r="FR102" s="564"/>
      <c r="FS102" s="564"/>
      <c r="FT102" s="564"/>
      <c r="FU102" s="564"/>
      <c r="FV102" s="564"/>
      <c r="FW102" s="564"/>
      <c r="FX102" s="564"/>
      <c r="FY102" s="564"/>
      <c r="FZ102" s="564"/>
      <c r="GA102" s="564"/>
      <c r="GB102" s="564"/>
      <c r="GC102" s="564"/>
      <c r="GD102" s="564"/>
      <c r="GE102" s="564"/>
      <c r="GF102" s="564"/>
      <c r="GG102" s="564"/>
      <c r="GH102" s="564"/>
      <c r="GI102" s="564"/>
      <c r="GJ102" s="564"/>
      <c r="GK102" s="564"/>
      <c r="GL102" s="564"/>
      <c r="GM102" s="564"/>
      <c r="GN102" s="564"/>
      <c r="GO102" s="564"/>
      <c r="GP102" s="564"/>
      <c r="GQ102" s="564"/>
      <c r="GR102" s="564"/>
      <c r="GS102" s="564"/>
      <c r="GT102" s="564"/>
      <c r="GU102" s="564"/>
      <c r="GV102" s="564"/>
      <c r="GW102" s="564"/>
      <c r="GX102" s="564"/>
      <c r="GY102" s="564"/>
      <c r="GZ102" s="564"/>
      <c r="HA102" s="564"/>
      <c r="HB102" s="564"/>
      <c r="HC102" s="564"/>
      <c r="HD102" s="564"/>
      <c r="HE102" s="564"/>
      <c r="HF102" s="564"/>
      <c r="HG102" s="564"/>
      <c r="HH102" s="564"/>
      <c r="HI102" s="564"/>
      <c r="HJ102" s="564"/>
      <c r="HK102" s="564"/>
      <c r="HL102" s="564"/>
      <c r="HM102" s="564"/>
      <c r="HN102" s="564"/>
      <c r="HO102" s="564"/>
      <c r="HP102" s="564"/>
      <c r="HQ102" s="564"/>
      <c r="HR102" s="564"/>
      <c r="HS102" s="564"/>
      <c r="HT102" s="564"/>
      <c r="HU102" s="564"/>
      <c r="HV102" s="564"/>
      <c r="HW102" s="564"/>
      <c r="HX102" s="564"/>
      <c r="HY102" s="564"/>
      <c r="HZ102" s="564"/>
      <c r="IA102" s="564"/>
      <c r="IB102" s="564"/>
      <c r="IC102" s="564"/>
      <c r="ID102" s="564"/>
      <c r="IE102" s="564"/>
      <c r="IF102" s="564"/>
      <c r="IG102" s="564"/>
      <c r="IH102" s="564"/>
      <c r="II102" s="564"/>
      <c r="IJ102" s="564"/>
      <c r="IK102" s="564"/>
      <c r="IL102" s="564"/>
      <c r="IM102" s="564"/>
      <c r="IN102" s="564"/>
      <c r="IO102" s="564"/>
      <c r="IP102" s="564"/>
      <c r="IQ102" s="564"/>
      <c r="IR102" s="564"/>
      <c r="IS102" s="564"/>
      <c r="IT102" s="564"/>
      <c r="IU102" s="564"/>
      <c r="IV102" s="564"/>
      <c r="IW102" s="564"/>
      <c r="IX102" s="564"/>
      <c r="IY102" s="564"/>
      <c r="IZ102" s="564"/>
      <c r="JA102" s="564"/>
      <c r="JB102" s="564"/>
      <c r="JC102" s="564"/>
      <c r="JD102" s="564"/>
      <c r="JE102" s="564"/>
      <c r="JF102" s="564"/>
      <c r="JG102" s="564"/>
      <c r="JH102" s="564"/>
      <c r="JI102" s="564"/>
      <c r="JJ102" s="564"/>
      <c r="JK102" s="564"/>
      <c r="JL102" s="564"/>
      <c r="JM102" s="564"/>
      <c r="JN102" s="564"/>
      <c r="JO102" s="564"/>
      <c r="JP102" s="564"/>
      <c r="JQ102" s="564"/>
      <c r="JR102" s="564"/>
      <c r="JS102" s="564"/>
      <c r="JT102" s="564"/>
      <c r="JU102" s="564"/>
      <c r="JV102" s="564"/>
      <c r="JW102" s="564"/>
      <c r="JX102" s="564"/>
      <c r="JY102" s="564"/>
    </row>
    <row r="103" spans="1:285" s="567" customFormat="1" hidden="1" x14ac:dyDescent="0.2">
      <c r="A103" s="2">
        <v>24</v>
      </c>
      <c r="C103" s="567" t="str" cm="1">
        <f t="array" ref="C103">IFERROR(VALUE(IF($A103&lt;=T1_Vaccines_NumSuitable,INDEX(T1_Vaccines_forCombi,MATCH($A103,$AE$12:$AE$37,0),C$79),"")),IF($A103&lt;=T1_Vaccines_NumSuitable,INDEX(T1_Vaccines_forCombi,MATCH($A103,$AE$12:$AE$37,0),C$79),""))</f>
        <v/>
      </c>
      <c r="D103" s="567" t="str" cm="1">
        <f t="array" ref="D103">IFERROR(VALUE(IF($A103&lt;=T1_Vaccines_NumSuitable,INDEX(T1_Vaccines_forCombi,MATCH($A103,$AE$12:$AE$37,0),D$79),"")),IF($A103&lt;=T1_Vaccines_NumSuitable,INDEX(T1_Vaccines_forCombi,MATCH($A103,$AE$12:$AE$37,0),D$79),""))</f>
        <v/>
      </c>
      <c r="E103" s="567" t="str" cm="1">
        <f t="array" ref="E103">IFERROR(VALUE(IF($A103&lt;=T1_Vaccines_NumSuitable,INDEX(T1_Vaccines_forCombi,MATCH($A103,$AE$12:$AE$37,0),E$79),"")),IF($A103&lt;=T1_Vaccines_NumSuitable,INDEX(T1_Vaccines_forCombi,MATCH($A103,$AE$12:$AE$37,0),E$79),""))</f>
        <v/>
      </c>
      <c r="F103" s="567" t="str" cm="1">
        <f t="array" ref="F103">IFERROR(VALUE(IF($A103&lt;=T1_Vaccines_NumSuitable,INDEX(T1_Vaccines_forCombi,MATCH($A103,$AE$12:$AE$37,0),F$79),"")),IF($A103&lt;=T1_Vaccines_NumSuitable,INDEX(T1_Vaccines_forCombi,MATCH($A103,$AE$12:$AE$37,0),F$79),""))</f>
        <v/>
      </c>
      <c r="G103" s="567" t="str" cm="1">
        <f t="array" ref="G103">IFERROR(VALUE(IF($A103&lt;=T1_Vaccines_NumSuitable,INDEX(T1_Vaccines_forCombi,MATCH($A103,$AE$12:$AE$37,0),G$79),"")),IF($A103&lt;=T1_Vaccines_NumSuitable,INDEX(T1_Vaccines_forCombi,MATCH($A103,$AE$12:$AE$37,0),G$79),""))</f>
        <v/>
      </c>
      <c r="H103" s="567" t="str" cm="1">
        <f t="array" ref="H103">IFERROR(VALUE(IF($A103&lt;=T1_Vaccines_NumSuitable,INDEX(T1_Vaccines_forCombi,MATCH($A103,$AE$12:$AE$37,0),H$79),"")),IF($A103&lt;=T1_Vaccines_NumSuitable,INDEX(T1_Vaccines_forCombi,MATCH($A103,$AE$12:$AE$37,0),H$79),""))</f>
        <v/>
      </c>
      <c r="I103" s="567" t="str" cm="1">
        <f t="array" ref="I103">IFERROR(VALUE(IF($A103&lt;=T1_Vaccines_NumSuitable,INDEX(T1_Vaccines_forCombi,MATCH($A103,$AE$12:$AE$37,0),I$79),"")),IF($A103&lt;=T1_Vaccines_NumSuitable,INDEX(T1_Vaccines_forCombi,MATCH($A103,$AE$12:$AE$37,0),I$79),""))</f>
        <v/>
      </c>
      <c r="J103" s="567" t="str" cm="1">
        <f t="array" ref="J103">IFERROR(VALUE(IF($A103&lt;=T1_Vaccines_NumSuitable,INDEX(T1_Vaccines_forCombi,MATCH($A103,$AE$12:$AE$37,0),J$79),"")),IF($A103&lt;=T1_Vaccines_NumSuitable,INDEX(T1_Vaccines_forCombi,MATCH($A103,$AE$12:$AE$37,0),J$79),""))</f>
        <v/>
      </c>
      <c r="K103" s="567" t="str" cm="1">
        <f t="array" ref="K103">IFERROR(VALUE(IF($A103&lt;=T1_Vaccines_NumSuitable,INDEX(T1_Vaccines_forCombi,MATCH($A103,$AE$12:$AE$37,0),K$79),"")),IF($A103&lt;=T1_Vaccines_NumSuitable,INDEX(T1_Vaccines_forCombi,MATCH($A103,$AE$12:$AE$37,0),K$79),""))</f>
        <v/>
      </c>
      <c r="L103" s="567" t="str" cm="1">
        <f t="array" ref="L103">IFERROR(VALUE(IF($A103&lt;=T1_Vaccines_NumSuitable,INDEX(T1_Vaccines_forCombi,MATCH($A103,$AE$12:$AE$37,0),L$79),"")),IF($A103&lt;=T1_Vaccines_NumSuitable,INDEX(T1_Vaccines_forCombi,MATCH($A103,$AE$12:$AE$37,0),L$79),""))</f>
        <v/>
      </c>
      <c r="M103" s="567" t="str" cm="1">
        <f t="array" ref="M103">IFERROR(VALUE(IF($A103&lt;=T1_Vaccines_NumSuitable,INDEX(T1_Vaccines_forCombi,MATCH($A103,$AE$12:$AE$37,0),M$79),"")),IF($A103&lt;=T1_Vaccines_NumSuitable,INDEX(T1_Vaccines_forCombi,MATCH($A103,$AE$12:$AE$37,0),M$79),""))</f>
        <v/>
      </c>
      <c r="N103" s="567" t="str" cm="1">
        <f t="array" ref="N103">IFERROR(VALUE(IF($A103&lt;=T1_Vaccines_NumSuitable,INDEX(T1_Vaccines_forCombi,MATCH($A103,$AE$12:$AE$37,0),N$79),"")),IF($A103&lt;=T1_Vaccines_NumSuitable,INDEX(T1_Vaccines_forCombi,MATCH($A103,$AE$12:$AE$37,0),N$79),""))</f>
        <v/>
      </c>
      <c r="O103" s="567" t="str" cm="1">
        <f t="array" ref="O103">IFERROR(VALUE(IF($A103&lt;=T1_Vaccines_NumSuitable,INDEX(T1_Vaccines_forCombi,MATCH($A103,$AE$12:$AE$37,0),O$79),"")),IF($A103&lt;=T1_Vaccines_NumSuitable,INDEX(T1_Vaccines_forCombi,MATCH($A103,$AE$12:$AE$37,0),O$79),""))</f>
        <v/>
      </c>
      <c r="P103" s="567" t="str" cm="1">
        <f t="array" ref="P103">IFERROR(VALUE(IF($A103&lt;=T1_Vaccines_NumSuitable,INDEX(T1_Vaccines_forCombi,MATCH($A103,$AE$12:$AE$37,0),P$79),"")),IF($A103&lt;=T1_Vaccines_NumSuitable,INDEX(T1_Vaccines_forCombi,MATCH($A103,$AE$12:$AE$37,0),P$79),""))</f>
        <v/>
      </c>
      <c r="Q103" s="567" t="str" cm="1">
        <f t="array" ref="Q103">IFERROR(VALUE(IF($A103&lt;=T1_Vaccines_NumSuitable,INDEX(T1_Vaccines_forCombi,MATCH($A103,$AE$12:$AE$37,0),Q$79),"")),IF($A103&lt;=T1_Vaccines_NumSuitable,INDEX(T1_Vaccines_forCombi,MATCH($A103,$AE$12:$AE$37,0),Q$79),""))</f>
        <v/>
      </c>
      <c r="R103" s="567" t="str" cm="1">
        <f t="array" ref="R103">IFERROR(VALUE(IF($A103&lt;=T1_Vaccines_NumSuitable,INDEX(T1_Vaccines_forCombi,MATCH($A103,$AE$12:$AE$37,0),R$79),"")),IF($A103&lt;=T1_Vaccines_NumSuitable,INDEX(T1_Vaccines_forCombi,MATCH($A103,$AE$12:$AE$37,0),R$79),""))</f>
        <v/>
      </c>
      <c r="S103" s="567" t="str" cm="1">
        <f t="array" ref="S103">IFERROR(VALUE(IF($A103&lt;=T1_Vaccines_NumSuitable,INDEX(T1_Vaccines_forCombi,MATCH($A103,$AE$12:$AE$37,0),S$79),"")),IF($A103&lt;=T1_Vaccines_NumSuitable,INDEX(T1_Vaccines_forCombi,MATCH($A103,$AE$12:$AE$37,0),S$79),""))</f>
        <v/>
      </c>
      <c r="T103" s="567" t="str" cm="1">
        <f t="array" ref="T103">IFERROR(VALUE(IF($A103&lt;=T1_Vaccines_NumSuitable,INDEX(T1_Vaccines_forCombi,MATCH($A103,$AE$12:$AE$37,0),T$79),"")),IF($A103&lt;=T1_Vaccines_NumSuitable,INDEX(T1_Vaccines_forCombi,MATCH($A103,$AE$12:$AE$37,0),T$79),""))</f>
        <v/>
      </c>
      <c r="U103" s="567" t="str" cm="1">
        <f t="array" ref="U103">IFERROR(VALUE(IF($A103&lt;=T1_Vaccines_NumSuitable,INDEX(T1_Vaccines_forCombi,MATCH($A103,$AE$12:$AE$37,0),U$79),"")),IF($A103&lt;=T1_Vaccines_NumSuitable,INDEX(T1_Vaccines_forCombi,MATCH($A103,$AE$12:$AE$37,0),U$79),""))</f>
        <v/>
      </c>
      <c r="V103" s="567" t="str" cm="1">
        <f t="array" ref="V103">IFERROR(VALUE(IF($A103&lt;=T1_Vaccines_NumSuitable,INDEX(T1_Vaccines_forCombi,MATCH($A103,$AE$12:$AE$37,0),V$79),"")),IF($A103&lt;=T1_Vaccines_NumSuitable,INDEX(T1_Vaccines_forCombi,MATCH($A103,$AE$12:$AE$37,0),V$79),""))</f>
        <v/>
      </c>
      <c r="W103" s="567" t="str" cm="1">
        <f t="array" ref="W103">IFERROR(VALUE(IF($A103&lt;=T1_Vaccines_NumSuitable,INDEX(T1_Vaccines_forCombi,MATCH($A103,$AE$12:$AE$37,0),W$79),"")),IF($A103&lt;=T1_Vaccines_NumSuitable,INDEX(T1_Vaccines_forCombi,MATCH($A103,$AE$12:$AE$37,0),W$79),""))</f>
        <v/>
      </c>
      <c r="X103" s="567" t="str" cm="1">
        <f t="array" ref="X103">IFERROR(VALUE(IF($A103&lt;=T1_Vaccines_NumSuitable,INDEX(T1_Vaccines_forCombi,MATCH($A103,$AE$12:$AE$37,0),X$79),"")),IF($A103&lt;=T1_Vaccines_NumSuitable,INDEX(T1_Vaccines_forCombi,MATCH($A103,$AE$12:$AE$37,0),X$79),""))</f>
        <v/>
      </c>
      <c r="Y103" s="567" t="str" cm="1">
        <f t="array" ref="Y103">IFERROR(VALUE(IF($A103&lt;=T1_Vaccines_NumSuitable,INDEX(T1_Vaccines_forCombi,MATCH($A103,$AE$12:$AE$37,0),Y$79),"")),IF($A103&lt;=T1_Vaccines_NumSuitable,INDEX(T1_Vaccines_forCombi,MATCH($A103,$AE$12:$AE$37,0),Y$79),""))</f>
        <v/>
      </c>
      <c r="Z103" s="567" t="str" cm="1">
        <f t="array" ref="Z103">IFERROR(VALUE(IF($A103&lt;=T1_Vaccines_NumSuitable,INDEX(T1_Vaccines_forCombi,MATCH($A103,$AE$12:$AE$37,0),Z$79),"")),IF($A103&lt;=T1_Vaccines_NumSuitable,INDEX(T1_Vaccines_forCombi,MATCH($A103,$AE$12:$AE$37,0),Z$79),""))</f>
        <v/>
      </c>
      <c r="AA103" s="567" t="str" cm="1">
        <f t="array" ref="AA103">IFERROR(VALUE(IF($A103&lt;=T1_Vaccines_NumSuitable,INDEX(T1_Vaccines_forCombi,MATCH($A103,$AE$12:$AE$37,0),AA$79),"")),IF($A103&lt;=T1_Vaccines_NumSuitable,INDEX(T1_Vaccines_forCombi,MATCH($A103,$AE$12:$AE$37,0),AA$79),""))</f>
        <v/>
      </c>
      <c r="AB103" s="567" t="str" cm="1">
        <f t="array" ref="AB103">IFERROR(VALUE(IF($A103&lt;=T1_Vaccines_NumSuitable,INDEX(T1_Vaccines_forCombi,MATCH($A103,$AE$12:$AE$37,0),AB$79),"")),IF($A103&lt;=T1_Vaccines_NumSuitable,INDEX(T1_Vaccines_forCombi,MATCH($A103,$AE$12:$AE$37,0),AB$79),""))</f>
        <v/>
      </c>
      <c r="AC103" s="567" t="str" cm="1">
        <f t="array" ref="AC103">IFERROR(VALUE(IF($A103&lt;=T1_Vaccines_NumSuitable,INDEX(T1_Vaccines_forCombi,MATCH($A103,$AE$12:$AE$37,0),AC$79),"")),IF($A103&lt;=T1_Vaccines_NumSuitable,INDEX(T1_Vaccines_forCombi,MATCH($A103,$AE$12:$AE$37,0),AC$79),""))</f>
        <v/>
      </c>
      <c r="AD103" s="567" t="str" cm="1">
        <f t="array" ref="AD103">IFERROR(VALUE(IF($A103&lt;=T1_Vaccines_NumSuitable,INDEX(T1_Vaccines_forCombi,MATCH($A103,$AE$12:$AE$37,0),AD$79),"")),IF($A103&lt;=T1_Vaccines_NumSuitable,INDEX(T1_Vaccines_forCombi,MATCH($A103,$AE$12:$AE$37,0),AD$79),""))</f>
        <v/>
      </c>
      <c r="AE103" s="656">
        <f t="shared" si="153"/>
        <v>0</v>
      </c>
      <c r="AF103" s="656">
        <f t="shared" si="151"/>
        <v>0</v>
      </c>
      <c r="AG103" s="656">
        <f t="shared" si="151"/>
        <v>0</v>
      </c>
      <c r="AH103" s="657">
        <f t="shared" si="154"/>
        <v>0</v>
      </c>
      <c r="AI103" s="567">
        <f t="shared" si="152"/>
        <v>0</v>
      </c>
      <c r="AJ103" s="567">
        <f t="shared" si="152"/>
        <v>0</v>
      </c>
      <c r="AK103" s="567">
        <f t="shared" si="152"/>
        <v>0</v>
      </c>
      <c r="AL103" s="567">
        <f t="shared" si="152"/>
        <v>0</v>
      </c>
      <c r="AM103" s="564"/>
      <c r="AN103" s="564"/>
      <c r="AO103" s="564"/>
      <c r="AP103" s="564"/>
      <c r="AQ103" s="564"/>
      <c r="AR103" s="564"/>
      <c r="AS103" s="564"/>
      <c r="AT103" s="564"/>
      <c r="AU103" s="564"/>
      <c r="AV103" s="564"/>
      <c r="AW103" s="564"/>
      <c r="AX103" s="564"/>
      <c r="AY103" s="564"/>
      <c r="AZ103" s="564"/>
      <c r="BA103" s="564"/>
      <c r="BB103" s="564"/>
      <c r="BC103" s="564"/>
      <c r="BD103" s="564"/>
      <c r="BE103" s="564"/>
      <c r="BF103" s="564"/>
      <c r="BG103" s="564"/>
      <c r="BH103" s="564"/>
      <c r="BI103" s="564"/>
      <c r="BJ103" s="564"/>
      <c r="BK103" s="564"/>
      <c r="BL103" s="564"/>
      <c r="BM103" s="564"/>
      <c r="BN103" s="564"/>
      <c r="BO103" s="564"/>
      <c r="BP103" s="564"/>
      <c r="BQ103" s="564"/>
      <c r="BR103" s="564"/>
      <c r="BS103" s="564"/>
      <c r="BT103" s="564"/>
      <c r="BU103" s="564"/>
      <c r="BV103" s="564"/>
      <c r="BW103" s="564"/>
      <c r="BX103" s="564"/>
      <c r="BY103" s="564"/>
      <c r="BZ103" s="564"/>
      <c r="CA103" s="564"/>
      <c r="CB103" s="564"/>
      <c r="CC103" s="564"/>
      <c r="CD103" s="564"/>
      <c r="CE103" s="564"/>
      <c r="CF103" s="564"/>
      <c r="CG103" s="564"/>
      <c r="CH103" s="564"/>
      <c r="CI103" s="564"/>
      <c r="CJ103" s="564"/>
      <c r="CK103" s="564"/>
      <c r="CL103" s="564"/>
      <c r="CM103" s="564"/>
      <c r="CN103" s="564"/>
      <c r="CO103" s="564"/>
      <c r="CP103" s="564"/>
      <c r="CQ103" s="564"/>
      <c r="CR103" s="564"/>
      <c r="CS103" s="564"/>
      <c r="CT103" s="564"/>
      <c r="CU103" s="564"/>
      <c r="CV103" s="564"/>
      <c r="CW103" s="564"/>
      <c r="CX103" s="564"/>
      <c r="CY103" s="564"/>
      <c r="CZ103" s="564"/>
      <c r="DA103" s="564"/>
      <c r="DB103" s="564"/>
      <c r="DC103" s="564"/>
      <c r="DD103" s="564"/>
      <c r="DE103" s="564"/>
      <c r="DF103" s="564"/>
      <c r="DG103" s="564"/>
      <c r="DH103" s="564"/>
      <c r="DI103" s="564"/>
      <c r="DJ103" s="564"/>
      <c r="DK103" s="564"/>
      <c r="DL103" s="564"/>
      <c r="DM103" s="564"/>
      <c r="DN103" s="564"/>
      <c r="DO103" s="564"/>
      <c r="DP103" s="564"/>
      <c r="DQ103" s="564"/>
      <c r="DR103" s="564"/>
      <c r="DS103" s="564"/>
      <c r="DT103" s="564"/>
      <c r="DU103" s="564"/>
      <c r="DV103" s="564"/>
      <c r="DW103" s="564"/>
      <c r="DX103" s="564"/>
      <c r="DY103" s="564"/>
      <c r="DZ103" s="564"/>
      <c r="EA103" s="564"/>
      <c r="EB103" s="564"/>
      <c r="EC103" s="564"/>
      <c r="ED103" s="564"/>
      <c r="EE103" s="564"/>
      <c r="EF103" s="564"/>
      <c r="EG103" s="564"/>
      <c r="EH103" s="564"/>
      <c r="EI103" s="564"/>
      <c r="EJ103" s="564"/>
      <c r="EK103" s="564"/>
      <c r="EL103" s="564"/>
      <c r="EM103" s="564"/>
      <c r="EN103" s="564"/>
      <c r="EO103" s="564"/>
      <c r="EP103" s="564"/>
      <c r="EQ103" s="564"/>
      <c r="ER103" s="564"/>
      <c r="ES103" s="564"/>
      <c r="ET103" s="564"/>
      <c r="EU103" s="564"/>
      <c r="EV103" s="564"/>
      <c r="EW103" s="564"/>
      <c r="EX103" s="564"/>
      <c r="EY103" s="564"/>
      <c r="EZ103" s="564"/>
      <c r="FA103" s="564"/>
      <c r="FB103" s="564"/>
      <c r="FC103" s="564"/>
      <c r="FD103" s="564"/>
      <c r="FE103" s="564"/>
      <c r="FF103" s="564"/>
      <c r="FG103" s="564"/>
      <c r="FH103" s="564"/>
      <c r="FI103" s="564"/>
      <c r="FJ103" s="564"/>
      <c r="FK103" s="564"/>
      <c r="FL103" s="564"/>
      <c r="FM103" s="564"/>
      <c r="FN103" s="564"/>
      <c r="FO103" s="564"/>
      <c r="FP103" s="564"/>
      <c r="FQ103" s="564"/>
      <c r="FR103" s="564"/>
      <c r="FS103" s="564"/>
      <c r="FT103" s="564"/>
      <c r="FU103" s="564"/>
      <c r="FV103" s="564"/>
      <c r="FW103" s="564"/>
      <c r="FX103" s="564"/>
      <c r="FY103" s="564"/>
      <c r="FZ103" s="564"/>
      <c r="GA103" s="564"/>
      <c r="GB103" s="564"/>
      <c r="GC103" s="564"/>
      <c r="GD103" s="564"/>
      <c r="GE103" s="564"/>
      <c r="GF103" s="564"/>
      <c r="GG103" s="564"/>
      <c r="GH103" s="564"/>
      <c r="GI103" s="564"/>
      <c r="GJ103" s="564"/>
      <c r="GK103" s="564"/>
      <c r="GL103" s="564"/>
      <c r="GM103" s="564"/>
      <c r="GN103" s="564"/>
      <c r="GO103" s="564"/>
      <c r="GP103" s="564"/>
      <c r="GQ103" s="564"/>
      <c r="GR103" s="564"/>
      <c r="GS103" s="564"/>
      <c r="GT103" s="564"/>
      <c r="GU103" s="564"/>
      <c r="GV103" s="564"/>
      <c r="GW103" s="564"/>
      <c r="GX103" s="564"/>
      <c r="GY103" s="564"/>
      <c r="GZ103" s="564"/>
      <c r="HA103" s="564"/>
      <c r="HB103" s="564"/>
      <c r="HC103" s="564"/>
      <c r="HD103" s="564"/>
      <c r="HE103" s="564"/>
      <c r="HF103" s="564"/>
      <c r="HG103" s="564"/>
      <c r="HH103" s="564"/>
      <c r="HI103" s="564"/>
      <c r="HJ103" s="564"/>
      <c r="HK103" s="564"/>
      <c r="HL103" s="564"/>
      <c r="HM103" s="564"/>
      <c r="HN103" s="564"/>
      <c r="HO103" s="564"/>
      <c r="HP103" s="564"/>
      <c r="HQ103" s="564"/>
      <c r="HR103" s="564"/>
      <c r="HS103" s="564"/>
      <c r="HT103" s="564"/>
      <c r="HU103" s="564"/>
      <c r="HV103" s="564"/>
      <c r="HW103" s="564"/>
      <c r="HX103" s="564"/>
      <c r="HY103" s="564"/>
      <c r="HZ103" s="564"/>
      <c r="IA103" s="564"/>
      <c r="IB103" s="564"/>
      <c r="IC103" s="564"/>
      <c r="ID103" s="564"/>
      <c r="IE103" s="564"/>
      <c r="IF103" s="564"/>
      <c r="IG103" s="564"/>
      <c r="IH103" s="564"/>
      <c r="II103" s="564"/>
      <c r="IJ103" s="564"/>
      <c r="IK103" s="564"/>
      <c r="IL103" s="564"/>
      <c r="IM103" s="564"/>
      <c r="IN103" s="564"/>
      <c r="IO103" s="564"/>
      <c r="IP103" s="564"/>
      <c r="IQ103" s="564"/>
      <c r="IR103" s="564"/>
      <c r="IS103" s="564"/>
      <c r="IT103" s="564"/>
      <c r="IU103" s="564"/>
      <c r="IV103" s="564"/>
      <c r="IW103" s="564"/>
      <c r="IX103" s="564"/>
      <c r="IY103" s="564"/>
      <c r="IZ103" s="564"/>
      <c r="JA103" s="564"/>
      <c r="JB103" s="564"/>
      <c r="JC103" s="564"/>
      <c r="JD103" s="564"/>
      <c r="JE103" s="564"/>
      <c r="JF103" s="564"/>
      <c r="JG103" s="564"/>
      <c r="JH103" s="564"/>
      <c r="JI103" s="564"/>
      <c r="JJ103" s="564"/>
      <c r="JK103" s="564"/>
      <c r="JL103" s="564"/>
      <c r="JM103" s="564"/>
      <c r="JN103" s="564"/>
      <c r="JO103" s="564"/>
      <c r="JP103" s="564"/>
      <c r="JQ103" s="564"/>
      <c r="JR103" s="564"/>
      <c r="JS103" s="564"/>
      <c r="JT103" s="564"/>
      <c r="JU103" s="564"/>
      <c r="JV103" s="564"/>
      <c r="JW103" s="564"/>
      <c r="JX103" s="564"/>
      <c r="JY103" s="564"/>
    </row>
    <row r="104" spans="1:285" s="567" customFormat="1" hidden="1" x14ac:dyDescent="0.2">
      <c r="A104" s="2">
        <v>25</v>
      </c>
      <c r="C104" s="567" t="str" cm="1">
        <f t="array" ref="C104">IFERROR(VALUE(IF($A104&lt;=T1_Vaccines_NumSuitable,INDEX(T1_Vaccines_forCombi,MATCH($A104,$AE$12:$AE$37,0),C$79),"")),IF($A104&lt;=T1_Vaccines_NumSuitable,INDEX(T1_Vaccines_forCombi,MATCH($A104,$AE$12:$AE$37,0),C$79),""))</f>
        <v/>
      </c>
      <c r="D104" s="567" t="str" cm="1">
        <f t="array" ref="D104">IFERROR(VALUE(IF($A104&lt;=T1_Vaccines_NumSuitable,INDEX(T1_Vaccines_forCombi,MATCH($A104,$AE$12:$AE$37,0),D$79),"")),IF($A104&lt;=T1_Vaccines_NumSuitable,INDEX(T1_Vaccines_forCombi,MATCH($A104,$AE$12:$AE$37,0),D$79),""))</f>
        <v/>
      </c>
      <c r="E104" s="567" t="str" cm="1">
        <f t="array" ref="E104">IFERROR(VALUE(IF($A104&lt;=T1_Vaccines_NumSuitable,INDEX(T1_Vaccines_forCombi,MATCH($A104,$AE$12:$AE$37,0),E$79),"")),IF($A104&lt;=T1_Vaccines_NumSuitable,INDEX(T1_Vaccines_forCombi,MATCH($A104,$AE$12:$AE$37,0),E$79),""))</f>
        <v/>
      </c>
      <c r="F104" s="567" t="str" cm="1">
        <f t="array" ref="F104">IFERROR(VALUE(IF($A104&lt;=T1_Vaccines_NumSuitable,INDEX(T1_Vaccines_forCombi,MATCH($A104,$AE$12:$AE$37,0),F$79),"")),IF($A104&lt;=T1_Vaccines_NumSuitable,INDEX(T1_Vaccines_forCombi,MATCH($A104,$AE$12:$AE$37,0),F$79),""))</f>
        <v/>
      </c>
      <c r="G104" s="567" t="str" cm="1">
        <f t="array" ref="G104">IFERROR(VALUE(IF($A104&lt;=T1_Vaccines_NumSuitable,INDEX(T1_Vaccines_forCombi,MATCH($A104,$AE$12:$AE$37,0),G$79),"")),IF($A104&lt;=T1_Vaccines_NumSuitable,INDEX(T1_Vaccines_forCombi,MATCH($A104,$AE$12:$AE$37,0),G$79),""))</f>
        <v/>
      </c>
      <c r="H104" s="567" t="str" cm="1">
        <f t="array" ref="H104">IFERROR(VALUE(IF($A104&lt;=T1_Vaccines_NumSuitable,INDEX(T1_Vaccines_forCombi,MATCH($A104,$AE$12:$AE$37,0),H$79),"")),IF($A104&lt;=T1_Vaccines_NumSuitable,INDEX(T1_Vaccines_forCombi,MATCH($A104,$AE$12:$AE$37,0),H$79),""))</f>
        <v/>
      </c>
      <c r="I104" s="567" t="str" cm="1">
        <f t="array" ref="I104">IFERROR(VALUE(IF($A104&lt;=T1_Vaccines_NumSuitable,INDEX(T1_Vaccines_forCombi,MATCH($A104,$AE$12:$AE$37,0),I$79),"")),IF($A104&lt;=T1_Vaccines_NumSuitable,INDEX(T1_Vaccines_forCombi,MATCH($A104,$AE$12:$AE$37,0),I$79),""))</f>
        <v/>
      </c>
      <c r="J104" s="567" t="str" cm="1">
        <f t="array" ref="J104">IFERROR(VALUE(IF($A104&lt;=T1_Vaccines_NumSuitable,INDEX(T1_Vaccines_forCombi,MATCH($A104,$AE$12:$AE$37,0),J$79),"")),IF($A104&lt;=T1_Vaccines_NumSuitable,INDEX(T1_Vaccines_forCombi,MATCH($A104,$AE$12:$AE$37,0),J$79),""))</f>
        <v/>
      </c>
      <c r="K104" s="567" t="str" cm="1">
        <f t="array" ref="K104">IFERROR(VALUE(IF($A104&lt;=T1_Vaccines_NumSuitable,INDEX(T1_Vaccines_forCombi,MATCH($A104,$AE$12:$AE$37,0),K$79),"")),IF($A104&lt;=T1_Vaccines_NumSuitable,INDEX(T1_Vaccines_forCombi,MATCH($A104,$AE$12:$AE$37,0),K$79),""))</f>
        <v/>
      </c>
      <c r="L104" s="567" t="str" cm="1">
        <f t="array" ref="L104">IFERROR(VALUE(IF($A104&lt;=T1_Vaccines_NumSuitable,INDEX(T1_Vaccines_forCombi,MATCH($A104,$AE$12:$AE$37,0),L$79),"")),IF($A104&lt;=T1_Vaccines_NumSuitable,INDEX(T1_Vaccines_forCombi,MATCH($A104,$AE$12:$AE$37,0),L$79),""))</f>
        <v/>
      </c>
      <c r="M104" s="567" t="str" cm="1">
        <f t="array" ref="M104">IFERROR(VALUE(IF($A104&lt;=T1_Vaccines_NumSuitable,INDEX(T1_Vaccines_forCombi,MATCH($A104,$AE$12:$AE$37,0),M$79),"")),IF($A104&lt;=T1_Vaccines_NumSuitable,INDEX(T1_Vaccines_forCombi,MATCH($A104,$AE$12:$AE$37,0),M$79),""))</f>
        <v/>
      </c>
      <c r="N104" s="567" t="str" cm="1">
        <f t="array" ref="N104">IFERROR(VALUE(IF($A104&lt;=T1_Vaccines_NumSuitable,INDEX(T1_Vaccines_forCombi,MATCH($A104,$AE$12:$AE$37,0),N$79),"")),IF($A104&lt;=T1_Vaccines_NumSuitable,INDEX(T1_Vaccines_forCombi,MATCH($A104,$AE$12:$AE$37,0),N$79),""))</f>
        <v/>
      </c>
      <c r="O104" s="567" t="str" cm="1">
        <f t="array" ref="O104">IFERROR(VALUE(IF($A104&lt;=T1_Vaccines_NumSuitable,INDEX(T1_Vaccines_forCombi,MATCH($A104,$AE$12:$AE$37,0),O$79),"")),IF($A104&lt;=T1_Vaccines_NumSuitable,INDEX(T1_Vaccines_forCombi,MATCH($A104,$AE$12:$AE$37,0),O$79),""))</f>
        <v/>
      </c>
      <c r="P104" s="567" t="str" cm="1">
        <f t="array" ref="P104">IFERROR(VALUE(IF($A104&lt;=T1_Vaccines_NumSuitable,INDEX(T1_Vaccines_forCombi,MATCH($A104,$AE$12:$AE$37,0),P$79),"")),IF($A104&lt;=T1_Vaccines_NumSuitable,INDEX(T1_Vaccines_forCombi,MATCH($A104,$AE$12:$AE$37,0),P$79),""))</f>
        <v/>
      </c>
      <c r="Q104" s="567" t="str" cm="1">
        <f t="array" ref="Q104">IFERROR(VALUE(IF($A104&lt;=T1_Vaccines_NumSuitable,INDEX(T1_Vaccines_forCombi,MATCH($A104,$AE$12:$AE$37,0),Q$79),"")),IF($A104&lt;=T1_Vaccines_NumSuitable,INDEX(T1_Vaccines_forCombi,MATCH($A104,$AE$12:$AE$37,0),Q$79),""))</f>
        <v/>
      </c>
      <c r="R104" s="567" t="str" cm="1">
        <f t="array" ref="R104">IFERROR(VALUE(IF($A104&lt;=T1_Vaccines_NumSuitable,INDEX(T1_Vaccines_forCombi,MATCH($A104,$AE$12:$AE$37,0),R$79),"")),IF($A104&lt;=T1_Vaccines_NumSuitable,INDEX(T1_Vaccines_forCombi,MATCH($A104,$AE$12:$AE$37,0),R$79),""))</f>
        <v/>
      </c>
      <c r="S104" s="567" t="str" cm="1">
        <f t="array" ref="S104">IFERROR(VALUE(IF($A104&lt;=T1_Vaccines_NumSuitable,INDEX(T1_Vaccines_forCombi,MATCH($A104,$AE$12:$AE$37,0),S$79),"")),IF($A104&lt;=T1_Vaccines_NumSuitable,INDEX(T1_Vaccines_forCombi,MATCH($A104,$AE$12:$AE$37,0),S$79),""))</f>
        <v/>
      </c>
      <c r="T104" s="567" t="str" cm="1">
        <f t="array" ref="T104">IFERROR(VALUE(IF($A104&lt;=T1_Vaccines_NumSuitable,INDEX(T1_Vaccines_forCombi,MATCH($A104,$AE$12:$AE$37,0),T$79),"")),IF($A104&lt;=T1_Vaccines_NumSuitable,INDEX(T1_Vaccines_forCombi,MATCH($A104,$AE$12:$AE$37,0),T$79),""))</f>
        <v/>
      </c>
      <c r="U104" s="567" t="str" cm="1">
        <f t="array" ref="U104">IFERROR(VALUE(IF($A104&lt;=T1_Vaccines_NumSuitable,INDEX(T1_Vaccines_forCombi,MATCH($A104,$AE$12:$AE$37,0),U$79),"")),IF($A104&lt;=T1_Vaccines_NumSuitable,INDEX(T1_Vaccines_forCombi,MATCH($A104,$AE$12:$AE$37,0),U$79),""))</f>
        <v/>
      </c>
      <c r="V104" s="567" t="str" cm="1">
        <f t="array" ref="V104">IFERROR(VALUE(IF($A104&lt;=T1_Vaccines_NumSuitable,INDEX(T1_Vaccines_forCombi,MATCH($A104,$AE$12:$AE$37,0),V$79),"")),IF($A104&lt;=T1_Vaccines_NumSuitable,INDEX(T1_Vaccines_forCombi,MATCH($A104,$AE$12:$AE$37,0),V$79),""))</f>
        <v/>
      </c>
      <c r="W104" s="567" t="str" cm="1">
        <f t="array" ref="W104">IFERROR(VALUE(IF($A104&lt;=T1_Vaccines_NumSuitable,INDEX(T1_Vaccines_forCombi,MATCH($A104,$AE$12:$AE$37,0),W$79),"")),IF($A104&lt;=T1_Vaccines_NumSuitable,INDEX(T1_Vaccines_forCombi,MATCH($A104,$AE$12:$AE$37,0),W$79),""))</f>
        <v/>
      </c>
      <c r="X104" s="567" t="str" cm="1">
        <f t="array" ref="X104">IFERROR(VALUE(IF($A104&lt;=T1_Vaccines_NumSuitable,INDEX(T1_Vaccines_forCombi,MATCH($A104,$AE$12:$AE$37,0),X$79),"")),IF($A104&lt;=T1_Vaccines_NumSuitable,INDEX(T1_Vaccines_forCombi,MATCH($A104,$AE$12:$AE$37,0),X$79),""))</f>
        <v/>
      </c>
      <c r="Y104" s="567" t="str" cm="1">
        <f t="array" ref="Y104">IFERROR(VALUE(IF($A104&lt;=T1_Vaccines_NumSuitable,INDEX(T1_Vaccines_forCombi,MATCH($A104,$AE$12:$AE$37,0),Y$79),"")),IF($A104&lt;=T1_Vaccines_NumSuitable,INDEX(T1_Vaccines_forCombi,MATCH($A104,$AE$12:$AE$37,0),Y$79),""))</f>
        <v/>
      </c>
      <c r="Z104" s="567" t="str" cm="1">
        <f t="array" ref="Z104">IFERROR(VALUE(IF($A104&lt;=T1_Vaccines_NumSuitable,INDEX(T1_Vaccines_forCombi,MATCH($A104,$AE$12:$AE$37,0),Z$79),"")),IF($A104&lt;=T1_Vaccines_NumSuitable,INDEX(T1_Vaccines_forCombi,MATCH($A104,$AE$12:$AE$37,0),Z$79),""))</f>
        <v/>
      </c>
      <c r="AA104" s="567" t="str" cm="1">
        <f t="array" ref="AA104">IFERROR(VALUE(IF($A104&lt;=T1_Vaccines_NumSuitable,INDEX(T1_Vaccines_forCombi,MATCH($A104,$AE$12:$AE$37,0),AA$79),"")),IF($A104&lt;=T1_Vaccines_NumSuitable,INDEX(T1_Vaccines_forCombi,MATCH($A104,$AE$12:$AE$37,0),AA$79),""))</f>
        <v/>
      </c>
      <c r="AB104" s="567" t="str" cm="1">
        <f t="array" ref="AB104">IFERROR(VALUE(IF($A104&lt;=T1_Vaccines_NumSuitable,INDEX(T1_Vaccines_forCombi,MATCH($A104,$AE$12:$AE$37,0),AB$79),"")),IF($A104&lt;=T1_Vaccines_NumSuitable,INDEX(T1_Vaccines_forCombi,MATCH($A104,$AE$12:$AE$37,0),AB$79),""))</f>
        <v/>
      </c>
      <c r="AC104" s="567" t="str" cm="1">
        <f t="array" ref="AC104">IFERROR(VALUE(IF($A104&lt;=T1_Vaccines_NumSuitable,INDEX(T1_Vaccines_forCombi,MATCH($A104,$AE$12:$AE$37,0),AC$79),"")),IF($A104&lt;=T1_Vaccines_NumSuitable,INDEX(T1_Vaccines_forCombi,MATCH($A104,$AE$12:$AE$37,0),AC$79),""))</f>
        <v/>
      </c>
      <c r="AD104" s="567" t="str" cm="1">
        <f t="array" ref="AD104">IFERROR(VALUE(IF($A104&lt;=T1_Vaccines_NumSuitable,INDEX(T1_Vaccines_forCombi,MATCH($A104,$AE$12:$AE$37,0),AD$79),"")),IF($A104&lt;=T1_Vaccines_NumSuitable,INDEX(T1_Vaccines_forCombi,MATCH($A104,$AE$12:$AE$37,0),AD$79),""))</f>
        <v/>
      </c>
      <c r="AE104" s="656">
        <f t="shared" si="153"/>
        <v>0</v>
      </c>
      <c r="AF104" s="656">
        <f t="shared" si="151"/>
        <v>0</v>
      </c>
      <c r="AG104" s="656">
        <f t="shared" si="151"/>
        <v>0</v>
      </c>
      <c r="AH104" s="657">
        <f t="shared" si="154"/>
        <v>0</v>
      </c>
      <c r="AI104" s="567">
        <f t="shared" si="152"/>
        <v>0</v>
      </c>
      <c r="AJ104" s="567">
        <f t="shared" si="152"/>
        <v>0</v>
      </c>
      <c r="AK104" s="567">
        <f t="shared" si="152"/>
        <v>0</v>
      </c>
      <c r="AL104" s="567">
        <f t="shared" si="152"/>
        <v>0</v>
      </c>
      <c r="AM104" s="564"/>
      <c r="AN104" s="564"/>
      <c r="AO104" s="564"/>
      <c r="AP104" s="564"/>
      <c r="AQ104" s="564"/>
      <c r="AR104" s="564"/>
      <c r="AS104" s="564"/>
      <c r="AT104" s="564"/>
      <c r="AU104" s="564"/>
      <c r="AV104" s="564"/>
      <c r="AW104" s="564"/>
      <c r="AX104" s="564"/>
      <c r="AY104" s="564"/>
      <c r="AZ104" s="564"/>
      <c r="BA104" s="564"/>
      <c r="BB104" s="564"/>
      <c r="BC104" s="564"/>
      <c r="BD104" s="564"/>
      <c r="BE104" s="564"/>
      <c r="BF104" s="564"/>
      <c r="BG104" s="564"/>
      <c r="BH104" s="564"/>
      <c r="BI104" s="564"/>
      <c r="BJ104" s="564"/>
      <c r="BK104" s="564"/>
      <c r="BL104" s="564"/>
      <c r="BM104" s="564"/>
      <c r="BN104" s="564"/>
      <c r="BO104" s="564"/>
      <c r="BP104" s="564"/>
      <c r="BQ104" s="564"/>
      <c r="BR104" s="564"/>
      <c r="BS104" s="564"/>
      <c r="BT104" s="564"/>
      <c r="BU104" s="564"/>
      <c r="BV104" s="564"/>
      <c r="BW104" s="564"/>
      <c r="BX104" s="564"/>
      <c r="BY104" s="564"/>
      <c r="BZ104" s="564"/>
      <c r="CA104" s="564"/>
      <c r="CB104" s="564"/>
      <c r="CC104" s="564"/>
      <c r="CD104" s="564"/>
      <c r="CE104" s="564"/>
      <c r="CF104" s="564"/>
      <c r="CG104" s="564"/>
      <c r="CH104" s="564"/>
      <c r="CI104" s="564"/>
      <c r="CJ104" s="564"/>
      <c r="CK104" s="564"/>
      <c r="CL104" s="564"/>
      <c r="CM104" s="564"/>
      <c r="CN104" s="564"/>
      <c r="CO104" s="564"/>
      <c r="CP104" s="564"/>
      <c r="CQ104" s="564"/>
      <c r="CR104" s="564"/>
      <c r="CS104" s="564"/>
      <c r="CT104" s="564"/>
      <c r="CU104" s="564"/>
      <c r="CV104" s="564"/>
      <c r="CW104" s="564"/>
      <c r="CX104" s="564"/>
      <c r="CY104" s="564"/>
      <c r="CZ104" s="564"/>
      <c r="DA104" s="564"/>
      <c r="DB104" s="564"/>
      <c r="DC104" s="564"/>
      <c r="DD104" s="564"/>
      <c r="DE104" s="564"/>
      <c r="DF104" s="564"/>
      <c r="DG104" s="564"/>
      <c r="DH104" s="564"/>
      <c r="DI104" s="564"/>
      <c r="DJ104" s="564"/>
      <c r="DK104" s="564"/>
      <c r="DL104" s="564"/>
      <c r="DM104" s="564"/>
      <c r="DN104" s="564"/>
      <c r="DO104" s="564"/>
      <c r="DP104" s="564"/>
      <c r="DQ104" s="564"/>
      <c r="DR104" s="564"/>
      <c r="DS104" s="564"/>
      <c r="DT104" s="564"/>
      <c r="DU104" s="564"/>
      <c r="DV104" s="564"/>
      <c r="DW104" s="564"/>
      <c r="DX104" s="564"/>
      <c r="DY104" s="564"/>
      <c r="DZ104" s="564"/>
      <c r="EA104" s="564"/>
      <c r="EB104" s="564"/>
      <c r="EC104" s="564"/>
      <c r="ED104" s="564"/>
      <c r="EE104" s="564"/>
      <c r="EF104" s="564"/>
      <c r="EG104" s="564"/>
      <c r="EH104" s="564"/>
      <c r="EI104" s="564"/>
      <c r="EJ104" s="564"/>
      <c r="EK104" s="564"/>
      <c r="EL104" s="564"/>
      <c r="EM104" s="564"/>
      <c r="EN104" s="564"/>
      <c r="EO104" s="564"/>
      <c r="EP104" s="564"/>
      <c r="EQ104" s="564"/>
      <c r="ER104" s="564"/>
      <c r="ES104" s="564"/>
      <c r="ET104" s="564"/>
      <c r="EU104" s="564"/>
      <c r="EV104" s="564"/>
      <c r="EW104" s="564"/>
      <c r="EX104" s="564"/>
      <c r="EY104" s="564"/>
      <c r="EZ104" s="564"/>
      <c r="FA104" s="564"/>
      <c r="FB104" s="564"/>
      <c r="FC104" s="564"/>
      <c r="FD104" s="564"/>
      <c r="FE104" s="564"/>
      <c r="FF104" s="564"/>
      <c r="FG104" s="564"/>
      <c r="FH104" s="564"/>
      <c r="FI104" s="564"/>
      <c r="FJ104" s="564"/>
      <c r="FK104" s="564"/>
      <c r="FL104" s="564"/>
      <c r="FM104" s="564"/>
      <c r="FN104" s="564"/>
      <c r="FO104" s="564"/>
      <c r="FP104" s="564"/>
      <c r="FQ104" s="564"/>
      <c r="FR104" s="564"/>
      <c r="FS104" s="564"/>
      <c r="FT104" s="564"/>
      <c r="FU104" s="564"/>
      <c r="FV104" s="564"/>
      <c r="FW104" s="564"/>
      <c r="FX104" s="564"/>
      <c r="FY104" s="564"/>
      <c r="FZ104" s="564"/>
      <c r="GA104" s="564"/>
      <c r="GB104" s="564"/>
      <c r="GC104" s="564"/>
      <c r="GD104" s="564"/>
      <c r="GE104" s="564"/>
      <c r="GF104" s="564"/>
      <c r="GG104" s="564"/>
      <c r="GH104" s="564"/>
      <c r="GI104" s="564"/>
      <c r="GJ104" s="564"/>
      <c r="GK104" s="564"/>
      <c r="GL104" s="564"/>
      <c r="GM104" s="564"/>
      <c r="GN104" s="564"/>
      <c r="GO104" s="564"/>
      <c r="GP104" s="564"/>
      <c r="GQ104" s="564"/>
      <c r="GR104" s="564"/>
      <c r="GS104" s="564"/>
      <c r="GT104" s="564"/>
      <c r="GU104" s="564"/>
      <c r="GV104" s="564"/>
      <c r="GW104" s="564"/>
      <c r="GX104" s="564"/>
      <c r="GY104" s="564"/>
      <c r="GZ104" s="564"/>
      <c r="HA104" s="564"/>
      <c r="HB104" s="564"/>
      <c r="HC104" s="564"/>
      <c r="HD104" s="564"/>
      <c r="HE104" s="564"/>
      <c r="HF104" s="564"/>
      <c r="HG104" s="564"/>
      <c r="HH104" s="564"/>
      <c r="HI104" s="564"/>
      <c r="HJ104" s="564"/>
      <c r="HK104" s="564"/>
      <c r="HL104" s="564"/>
      <c r="HM104" s="564"/>
      <c r="HN104" s="564"/>
      <c r="HO104" s="564"/>
      <c r="HP104" s="564"/>
      <c r="HQ104" s="564"/>
      <c r="HR104" s="564"/>
      <c r="HS104" s="564"/>
      <c r="HT104" s="564"/>
      <c r="HU104" s="564"/>
      <c r="HV104" s="564"/>
      <c r="HW104" s="564"/>
      <c r="HX104" s="564"/>
      <c r="HY104" s="564"/>
      <c r="HZ104" s="564"/>
      <c r="IA104" s="564"/>
      <c r="IB104" s="564"/>
      <c r="IC104" s="564"/>
      <c r="ID104" s="564"/>
      <c r="IE104" s="564"/>
      <c r="IF104" s="564"/>
      <c r="IG104" s="564"/>
      <c r="IH104" s="564"/>
      <c r="II104" s="564"/>
      <c r="IJ104" s="564"/>
      <c r="IK104" s="564"/>
      <c r="IL104" s="564"/>
      <c r="IM104" s="564"/>
      <c r="IN104" s="564"/>
      <c r="IO104" s="564"/>
      <c r="IP104" s="564"/>
      <c r="IQ104" s="564"/>
      <c r="IR104" s="564"/>
      <c r="IS104" s="564"/>
      <c r="IT104" s="564"/>
      <c r="IU104" s="564"/>
      <c r="IV104" s="564"/>
      <c r="IW104" s="564"/>
      <c r="IX104" s="564"/>
      <c r="IY104" s="564"/>
      <c r="IZ104" s="564"/>
      <c r="JA104" s="564"/>
      <c r="JB104" s="564"/>
      <c r="JC104" s="564"/>
      <c r="JD104" s="564"/>
      <c r="JE104" s="564"/>
      <c r="JF104" s="564"/>
      <c r="JG104" s="564"/>
      <c r="JH104" s="564"/>
      <c r="JI104" s="564"/>
      <c r="JJ104" s="564"/>
      <c r="JK104" s="564"/>
      <c r="JL104" s="564"/>
      <c r="JM104" s="564"/>
      <c r="JN104" s="564"/>
      <c r="JO104" s="564"/>
      <c r="JP104" s="564"/>
      <c r="JQ104" s="564"/>
      <c r="JR104" s="564"/>
      <c r="JS104" s="564"/>
      <c r="JT104" s="564"/>
      <c r="JU104" s="564"/>
      <c r="JV104" s="564"/>
      <c r="JW104" s="564"/>
      <c r="JX104" s="564"/>
      <c r="JY104" s="564"/>
    </row>
    <row r="105" spans="1:285" s="567" customFormat="1" hidden="1" x14ac:dyDescent="0.2">
      <c r="A105" s="2">
        <v>26</v>
      </c>
      <c r="C105" s="567" t="str" cm="1">
        <f t="array" ref="C105">IFERROR(VALUE(IF($A105&lt;=T1_Vaccines_NumSuitable,INDEX(T1_Vaccines_forCombi,MATCH($A105,$AE$12:$AE$37,0),C$79),"")),IF($A105&lt;=T1_Vaccines_NumSuitable,INDEX(T1_Vaccines_forCombi,MATCH($A105,$AE$12:$AE$37,0),C$79),""))</f>
        <v/>
      </c>
      <c r="D105" s="567" t="str" cm="1">
        <f t="array" ref="D105">IFERROR(VALUE(IF($A105&lt;=T1_Vaccines_NumSuitable,INDEX(T1_Vaccines_forCombi,MATCH($A105,$AE$12:$AE$37,0),D$79),"")),IF($A105&lt;=T1_Vaccines_NumSuitable,INDEX(T1_Vaccines_forCombi,MATCH($A105,$AE$12:$AE$37,0),D$79),""))</f>
        <v/>
      </c>
      <c r="E105" s="567" t="str" cm="1">
        <f t="array" ref="E105">IFERROR(VALUE(IF($A105&lt;=T1_Vaccines_NumSuitable,INDEX(T1_Vaccines_forCombi,MATCH($A105,$AE$12:$AE$37,0),E$79),"")),IF($A105&lt;=T1_Vaccines_NumSuitable,INDEX(T1_Vaccines_forCombi,MATCH($A105,$AE$12:$AE$37,0),E$79),""))</f>
        <v/>
      </c>
      <c r="F105" s="567" t="str" cm="1">
        <f t="array" ref="F105">IFERROR(VALUE(IF($A105&lt;=T1_Vaccines_NumSuitable,INDEX(T1_Vaccines_forCombi,MATCH($A105,$AE$12:$AE$37,0),F$79),"")),IF($A105&lt;=T1_Vaccines_NumSuitable,INDEX(T1_Vaccines_forCombi,MATCH($A105,$AE$12:$AE$37,0),F$79),""))</f>
        <v/>
      </c>
      <c r="G105" s="567" t="str" cm="1">
        <f t="array" ref="G105">IFERROR(VALUE(IF($A105&lt;=T1_Vaccines_NumSuitable,INDEX(T1_Vaccines_forCombi,MATCH($A105,$AE$12:$AE$37,0),G$79),"")),IF($A105&lt;=T1_Vaccines_NumSuitable,INDEX(T1_Vaccines_forCombi,MATCH($A105,$AE$12:$AE$37,0),G$79),""))</f>
        <v/>
      </c>
      <c r="H105" s="567" t="str" cm="1">
        <f t="array" ref="H105">IFERROR(VALUE(IF($A105&lt;=T1_Vaccines_NumSuitable,INDEX(T1_Vaccines_forCombi,MATCH($A105,$AE$12:$AE$37,0),H$79),"")),IF($A105&lt;=T1_Vaccines_NumSuitable,INDEX(T1_Vaccines_forCombi,MATCH($A105,$AE$12:$AE$37,0),H$79),""))</f>
        <v/>
      </c>
      <c r="I105" s="567" t="str" cm="1">
        <f t="array" ref="I105">IFERROR(VALUE(IF($A105&lt;=T1_Vaccines_NumSuitable,INDEX(T1_Vaccines_forCombi,MATCH($A105,$AE$12:$AE$37,0),I$79),"")),IF($A105&lt;=T1_Vaccines_NumSuitable,INDEX(T1_Vaccines_forCombi,MATCH($A105,$AE$12:$AE$37,0),I$79),""))</f>
        <v/>
      </c>
      <c r="J105" s="567" t="str" cm="1">
        <f t="array" ref="J105">IFERROR(VALUE(IF($A105&lt;=T1_Vaccines_NumSuitable,INDEX(T1_Vaccines_forCombi,MATCH($A105,$AE$12:$AE$37,0),J$79),"")),IF($A105&lt;=T1_Vaccines_NumSuitable,INDEX(T1_Vaccines_forCombi,MATCH($A105,$AE$12:$AE$37,0),J$79),""))</f>
        <v/>
      </c>
      <c r="K105" s="567" t="str" cm="1">
        <f t="array" ref="K105">IFERROR(VALUE(IF($A105&lt;=T1_Vaccines_NumSuitable,INDEX(T1_Vaccines_forCombi,MATCH($A105,$AE$12:$AE$37,0),K$79),"")),IF($A105&lt;=T1_Vaccines_NumSuitable,INDEX(T1_Vaccines_forCombi,MATCH($A105,$AE$12:$AE$37,0),K$79),""))</f>
        <v/>
      </c>
      <c r="L105" s="567" t="str" cm="1">
        <f t="array" ref="L105">IFERROR(VALUE(IF($A105&lt;=T1_Vaccines_NumSuitable,INDEX(T1_Vaccines_forCombi,MATCH($A105,$AE$12:$AE$37,0),L$79),"")),IF($A105&lt;=T1_Vaccines_NumSuitable,INDEX(T1_Vaccines_forCombi,MATCH($A105,$AE$12:$AE$37,0),L$79),""))</f>
        <v/>
      </c>
      <c r="M105" s="567" t="str" cm="1">
        <f t="array" ref="M105">IFERROR(VALUE(IF($A105&lt;=T1_Vaccines_NumSuitable,INDEX(T1_Vaccines_forCombi,MATCH($A105,$AE$12:$AE$37,0),M$79),"")),IF($A105&lt;=T1_Vaccines_NumSuitable,INDEX(T1_Vaccines_forCombi,MATCH($A105,$AE$12:$AE$37,0),M$79),""))</f>
        <v/>
      </c>
      <c r="N105" s="567" t="str" cm="1">
        <f t="array" ref="N105">IFERROR(VALUE(IF($A105&lt;=T1_Vaccines_NumSuitable,INDEX(T1_Vaccines_forCombi,MATCH($A105,$AE$12:$AE$37,0),N$79),"")),IF($A105&lt;=T1_Vaccines_NumSuitable,INDEX(T1_Vaccines_forCombi,MATCH($A105,$AE$12:$AE$37,0),N$79),""))</f>
        <v/>
      </c>
      <c r="O105" s="567" t="str" cm="1">
        <f t="array" ref="O105">IFERROR(VALUE(IF($A105&lt;=T1_Vaccines_NumSuitable,INDEX(T1_Vaccines_forCombi,MATCH($A105,$AE$12:$AE$37,0),O$79),"")),IF($A105&lt;=T1_Vaccines_NumSuitable,INDEX(T1_Vaccines_forCombi,MATCH($A105,$AE$12:$AE$37,0),O$79),""))</f>
        <v/>
      </c>
      <c r="P105" s="567" t="str" cm="1">
        <f t="array" ref="P105">IFERROR(VALUE(IF($A105&lt;=T1_Vaccines_NumSuitable,INDEX(T1_Vaccines_forCombi,MATCH($A105,$AE$12:$AE$37,0),P$79),"")),IF($A105&lt;=T1_Vaccines_NumSuitable,INDEX(T1_Vaccines_forCombi,MATCH($A105,$AE$12:$AE$37,0),P$79),""))</f>
        <v/>
      </c>
      <c r="Q105" s="567" t="str" cm="1">
        <f t="array" ref="Q105">IFERROR(VALUE(IF($A105&lt;=T1_Vaccines_NumSuitable,INDEX(T1_Vaccines_forCombi,MATCH($A105,$AE$12:$AE$37,0),Q$79),"")),IF($A105&lt;=T1_Vaccines_NumSuitable,INDEX(T1_Vaccines_forCombi,MATCH($A105,$AE$12:$AE$37,0),Q$79),""))</f>
        <v/>
      </c>
      <c r="R105" s="567" t="str" cm="1">
        <f t="array" ref="R105">IFERROR(VALUE(IF($A105&lt;=T1_Vaccines_NumSuitable,INDEX(T1_Vaccines_forCombi,MATCH($A105,$AE$12:$AE$37,0),R$79),"")),IF($A105&lt;=T1_Vaccines_NumSuitable,INDEX(T1_Vaccines_forCombi,MATCH($A105,$AE$12:$AE$37,0),R$79),""))</f>
        <v/>
      </c>
      <c r="S105" s="567" t="str" cm="1">
        <f t="array" ref="S105">IFERROR(VALUE(IF($A105&lt;=T1_Vaccines_NumSuitable,INDEX(T1_Vaccines_forCombi,MATCH($A105,$AE$12:$AE$37,0),S$79),"")),IF($A105&lt;=T1_Vaccines_NumSuitable,INDEX(T1_Vaccines_forCombi,MATCH($A105,$AE$12:$AE$37,0),S$79),""))</f>
        <v/>
      </c>
      <c r="T105" s="567" t="str" cm="1">
        <f t="array" ref="T105">IFERROR(VALUE(IF($A105&lt;=T1_Vaccines_NumSuitable,INDEX(T1_Vaccines_forCombi,MATCH($A105,$AE$12:$AE$37,0),T$79),"")),IF($A105&lt;=T1_Vaccines_NumSuitable,INDEX(T1_Vaccines_forCombi,MATCH($A105,$AE$12:$AE$37,0),T$79),""))</f>
        <v/>
      </c>
      <c r="U105" s="567" t="str" cm="1">
        <f t="array" ref="U105">IFERROR(VALUE(IF($A105&lt;=T1_Vaccines_NumSuitable,INDEX(T1_Vaccines_forCombi,MATCH($A105,$AE$12:$AE$37,0),U$79),"")),IF($A105&lt;=T1_Vaccines_NumSuitable,INDEX(T1_Vaccines_forCombi,MATCH($A105,$AE$12:$AE$37,0),U$79),""))</f>
        <v/>
      </c>
      <c r="V105" s="567" t="str" cm="1">
        <f t="array" ref="V105">IFERROR(VALUE(IF($A105&lt;=T1_Vaccines_NumSuitable,INDEX(T1_Vaccines_forCombi,MATCH($A105,$AE$12:$AE$37,0),V$79),"")),IF($A105&lt;=T1_Vaccines_NumSuitable,INDEX(T1_Vaccines_forCombi,MATCH($A105,$AE$12:$AE$37,0),V$79),""))</f>
        <v/>
      </c>
      <c r="W105" s="567" t="str" cm="1">
        <f t="array" ref="W105">IFERROR(VALUE(IF($A105&lt;=T1_Vaccines_NumSuitable,INDEX(T1_Vaccines_forCombi,MATCH($A105,$AE$12:$AE$37,0),W$79),"")),IF($A105&lt;=T1_Vaccines_NumSuitable,INDEX(T1_Vaccines_forCombi,MATCH($A105,$AE$12:$AE$37,0),W$79),""))</f>
        <v/>
      </c>
      <c r="X105" s="567" t="str" cm="1">
        <f t="array" ref="X105">IFERROR(VALUE(IF($A105&lt;=T1_Vaccines_NumSuitable,INDEX(T1_Vaccines_forCombi,MATCH($A105,$AE$12:$AE$37,0),X$79),"")),IF($A105&lt;=T1_Vaccines_NumSuitable,INDEX(T1_Vaccines_forCombi,MATCH($A105,$AE$12:$AE$37,0),X$79),""))</f>
        <v/>
      </c>
      <c r="Y105" s="567" t="str" cm="1">
        <f t="array" ref="Y105">IFERROR(VALUE(IF($A105&lt;=T1_Vaccines_NumSuitable,INDEX(T1_Vaccines_forCombi,MATCH($A105,$AE$12:$AE$37,0),Y$79),"")),IF($A105&lt;=T1_Vaccines_NumSuitable,INDEX(T1_Vaccines_forCombi,MATCH($A105,$AE$12:$AE$37,0),Y$79),""))</f>
        <v/>
      </c>
      <c r="Z105" s="567" t="str" cm="1">
        <f t="array" ref="Z105">IFERROR(VALUE(IF($A105&lt;=T1_Vaccines_NumSuitable,INDEX(T1_Vaccines_forCombi,MATCH($A105,$AE$12:$AE$37,0),Z$79),"")),IF($A105&lt;=T1_Vaccines_NumSuitable,INDEX(T1_Vaccines_forCombi,MATCH($A105,$AE$12:$AE$37,0),Z$79),""))</f>
        <v/>
      </c>
      <c r="AA105" s="567" t="str" cm="1">
        <f t="array" ref="AA105">IFERROR(VALUE(IF($A105&lt;=T1_Vaccines_NumSuitable,INDEX(T1_Vaccines_forCombi,MATCH($A105,$AE$12:$AE$37,0),AA$79),"")),IF($A105&lt;=T1_Vaccines_NumSuitable,INDEX(T1_Vaccines_forCombi,MATCH($A105,$AE$12:$AE$37,0),AA$79),""))</f>
        <v/>
      </c>
      <c r="AB105" s="567" t="str" cm="1">
        <f t="array" ref="AB105">IFERROR(VALUE(IF($A105&lt;=T1_Vaccines_NumSuitable,INDEX(T1_Vaccines_forCombi,MATCH($A105,$AE$12:$AE$37,0),AB$79),"")),IF($A105&lt;=T1_Vaccines_NumSuitable,INDEX(T1_Vaccines_forCombi,MATCH($A105,$AE$12:$AE$37,0),AB$79),""))</f>
        <v/>
      </c>
      <c r="AC105" s="567" t="str" cm="1">
        <f t="array" ref="AC105">IFERROR(VALUE(IF($A105&lt;=T1_Vaccines_NumSuitable,INDEX(T1_Vaccines_forCombi,MATCH($A105,$AE$12:$AE$37,0),AC$79),"")),IF($A105&lt;=T1_Vaccines_NumSuitable,INDEX(T1_Vaccines_forCombi,MATCH($A105,$AE$12:$AE$37,0),AC$79),""))</f>
        <v/>
      </c>
      <c r="AD105" s="567" t="str" cm="1">
        <f t="array" ref="AD105">IFERROR(VALUE(IF($A105&lt;=T1_Vaccines_NumSuitable,INDEX(T1_Vaccines_forCombi,MATCH($A105,$AE$12:$AE$37,0),AD$79),"")),IF($A105&lt;=T1_Vaccines_NumSuitable,INDEX(T1_Vaccines_forCombi,MATCH($A105,$AE$12:$AE$37,0),AD$79),""))</f>
        <v/>
      </c>
      <c r="AE105" s="656">
        <f t="shared" si="153"/>
        <v>0</v>
      </c>
      <c r="AF105" s="656">
        <f t="shared" si="151"/>
        <v>0</v>
      </c>
      <c r="AG105" s="656">
        <f t="shared" si="151"/>
        <v>0</v>
      </c>
      <c r="AH105" s="657">
        <f t="shared" si="154"/>
        <v>0</v>
      </c>
      <c r="AI105" s="567">
        <f t="shared" si="152"/>
        <v>0</v>
      </c>
      <c r="AJ105" s="567">
        <f t="shared" si="152"/>
        <v>0</v>
      </c>
      <c r="AK105" s="567">
        <f t="shared" si="152"/>
        <v>0</v>
      </c>
      <c r="AL105" s="567">
        <f t="shared" si="152"/>
        <v>0</v>
      </c>
      <c r="AM105" s="564"/>
      <c r="AN105" s="564"/>
      <c r="AO105" s="564"/>
      <c r="AP105" s="564"/>
      <c r="AQ105" s="564"/>
      <c r="AR105" s="564"/>
      <c r="AS105" s="564"/>
      <c r="AT105" s="564"/>
      <c r="AU105" s="564"/>
      <c r="AV105" s="564"/>
      <c r="AW105" s="564"/>
      <c r="AX105" s="564"/>
      <c r="AY105" s="564"/>
      <c r="AZ105" s="564"/>
      <c r="BA105" s="564"/>
      <c r="BB105" s="564"/>
      <c r="BC105" s="564"/>
      <c r="BD105" s="564"/>
      <c r="BE105" s="564"/>
      <c r="BF105" s="564"/>
      <c r="BG105" s="564"/>
      <c r="BH105" s="564"/>
      <c r="BI105" s="564"/>
      <c r="BJ105" s="564"/>
      <c r="BK105" s="564"/>
      <c r="BL105" s="564"/>
      <c r="BM105" s="564"/>
      <c r="BN105" s="564"/>
      <c r="BO105" s="564"/>
      <c r="BP105" s="564"/>
      <c r="BQ105" s="564"/>
      <c r="BR105" s="564"/>
      <c r="BS105" s="564"/>
      <c r="BT105" s="564"/>
      <c r="BU105" s="564"/>
      <c r="BV105" s="564"/>
      <c r="BW105" s="564"/>
      <c r="BX105" s="564"/>
      <c r="BY105" s="564"/>
      <c r="BZ105" s="564"/>
      <c r="CA105" s="564"/>
      <c r="CB105" s="564"/>
      <c r="CC105" s="564"/>
      <c r="CD105" s="564"/>
      <c r="CE105" s="564"/>
      <c r="CF105" s="564"/>
      <c r="CG105" s="564"/>
      <c r="CH105" s="564"/>
      <c r="CI105" s="564"/>
      <c r="CJ105" s="564"/>
      <c r="CK105" s="564"/>
      <c r="CL105" s="564"/>
      <c r="CM105" s="564"/>
      <c r="CN105" s="564"/>
      <c r="CO105" s="564"/>
      <c r="CP105" s="564"/>
      <c r="CQ105" s="564"/>
      <c r="CR105" s="564"/>
      <c r="CS105" s="564"/>
      <c r="CT105" s="564"/>
      <c r="CU105" s="564"/>
      <c r="CV105" s="564"/>
      <c r="CW105" s="564"/>
      <c r="CX105" s="564"/>
      <c r="CY105" s="564"/>
      <c r="CZ105" s="564"/>
      <c r="DA105" s="564"/>
      <c r="DB105" s="564"/>
      <c r="DC105" s="564"/>
      <c r="DD105" s="564"/>
      <c r="DE105" s="564"/>
      <c r="DF105" s="564"/>
      <c r="DG105" s="564"/>
      <c r="DH105" s="564"/>
      <c r="DI105" s="564"/>
      <c r="DJ105" s="564"/>
      <c r="DK105" s="564"/>
      <c r="DL105" s="564"/>
      <c r="DM105" s="564"/>
      <c r="DN105" s="564"/>
      <c r="DO105" s="564"/>
      <c r="DP105" s="564"/>
      <c r="DQ105" s="564"/>
      <c r="DR105" s="564"/>
      <c r="DS105" s="564"/>
      <c r="DT105" s="564"/>
      <c r="DU105" s="564"/>
      <c r="DV105" s="564"/>
      <c r="DW105" s="564"/>
      <c r="DX105" s="564"/>
      <c r="DY105" s="564"/>
      <c r="DZ105" s="564"/>
      <c r="EA105" s="564"/>
      <c r="EB105" s="564"/>
      <c r="EC105" s="564"/>
      <c r="ED105" s="564"/>
      <c r="EE105" s="564"/>
      <c r="EF105" s="564"/>
      <c r="EG105" s="564"/>
      <c r="EH105" s="564"/>
      <c r="EI105" s="564"/>
      <c r="EJ105" s="564"/>
      <c r="EK105" s="564"/>
      <c r="EL105" s="564"/>
      <c r="EM105" s="564"/>
      <c r="EN105" s="564"/>
      <c r="EO105" s="564"/>
      <c r="EP105" s="564"/>
      <c r="EQ105" s="564"/>
      <c r="ER105" s="564"/>
      <c r="ES105" s="564"/>
      <c r="ET105" s="564"/>
      <c r="EU105" s="564"/>
      <c r="EV105" s="564"/>
      <c r="EW105" s="564"/>
      <c r="EX105" s="564"/>
      <c r="EY105" s="564"/>
      <c r="EZ105" s="564"/>
      <c r="FA105" s="564"/>
      <c r="FB105" s="564"/>
      <c r="FC105" s="564"/>
      <c r="FD105" s="564"/>
      <c r="FE105" s="564"/>
      <c r="FF105" s="564"/>
      <c r="FG105" s="564"/>
      <c r="FH105" s="564"/>
      <c r="FI105" s="564"/>
      <c r="FJ105" s="564"/>
      <c r="FK105" s="564"/>
      <c r="FL105" s="564"/>
      <c r="FM105" s="564"/>
      <c r="FN105" s="564"/>
      <c r="FO105" s="564"/>
      <c r="FP105" s="564"/>
      <c r="FQ105" s="564"/>
      <c r="FR105" s="564"/>
      <c r="FS105" s="564"/>
      <c r="FT105" s="564"/>
      <c r="FU105" s="564"/>
      <c r="FV105" s="564"/>
      <c r="FW105" s="564"/>
      <c r="FX105" s="564"/>
      <c r="FY105" s="564"/>
      <c r="FZ105" s="564"/>
      <c r="GA105" s="564"/>
      <c r="GB105" s="564"/>
      <c r="GC105" s="564"/>
      <c r="GD105" s="564"/>
      <c r="GE105" s="564"/>
      <c r="GF105" s="564"/>
      <c r="GG105" s="564"/>
      <c r="GH105" s="564"/>
      <c r="GI105" s="564"/>
      <c r="GJ105" s="564"/>
      <c r="GK105" s="564"/>
      <c r="GL105" s="564"/>
      <c r="GM105" s="564"/>
      <c r="GN105" s="564"/>
      <c r="GO105" s="564"/>
      <c r="GP105" s="564"/>
      <c r="GQ105" s="564"/>
      <c r="GR105" s="564"/>
      <c r="GS105" s="564"/>
      <c r="GT105" s="564"/>
      <c r="GU105" s="564"/>
      <c r="GV105" s="564"/>
      <c r="GW105" s="564"/>
      <c r="GX105" s="564"/>
      <c r="GY105" s="564"/>
      <c r="GZ105" s="564"/>
      <c r="HA105" s="564"/>
      <c r="HB105" s="564"/>
      <c r="HC105" s="564"/>
      <c r="HD105" s="564"/>
      <c r="HE105" s="564"/>
      <c r="HF105" s="564"/>
      <c r="HG105" s="564"/>
      <c r="HH105" s="564"/>
      <c r="HI105" s="564"/>
      <c r="HJ105" s="564"/>
      <c r="HK105" s="564"/>
      <c r="HL105" s="564"/>
      <c r="HM105" s="564"/>
      <c r="HN105" s="564"/>
      <c r="HO105" s="564"/>
      <c r="HP105" s="564"/>
      <c r="HQ105" s="564"/>
      <c r="HR105" s="564"/>
      <c r="HS105" s="564"/>
      <c r="HT105" s="564"/>
      <c r="HU105" s="564"/>
      <c r="HV105" s="564"/>
      <c r="HW105" s="564"/>
      <c r="HX105" s="564"/>
      <c r="HY105" s="564"/>
      <c r="HZ105" s="564"/>
      <c r="IA105" s="564"/>
      <c r="IB105" s="564"/>
      <c r="IC105" s="564"/>
      <c r="ID105" s="564"/>
      <c r="IE105" s="564"/>
      <c r="IF105" s="564"/>
      <c r="IG105" s="564"/>
      <c r="IH105" s="564"/>
      <c r="II105" s="564"/>
      <c r="IJ105" s="564"/>
      <c r="IK105" s="564"/>
      <c r="IL105" s="564"/>
      <c r="IM105" s="564"/>
      <c r="IN105" s="564"/>
      <c r="IO105" s="564"/>
      <c r="IP105" s="564"/>
      <c r="IQ105" s="564"/>
      <c r="IR105" s="564"/>
      <c r="IS105" s="564"/>
      <c r="IT105" s="564"/>
      <c r="IU105" s="564"/>
      <c r="IV105" s="564"/>
      <c r="IW105" s="564"/>
      <c r="IX105" s="564"/>
      <c r="IY105" s="564"/>
      <c r="IZ105" s="564"/>
      <c r="JA105" s="564"/>
      <c r="JB105" s="564"/>
      <c r="JC105" s="564"/>
      <c r="JD105" s="564"/>
      <c r="JE105" s="564"/>
      <c r="JF105" s="564"/>
      <c r="JG105" s="564"/>
      <c r="JH105" s="564"/>
      <c r="JI105" s="564"/>
      <c r="JJ105" s="564"/>
      <c r="JK105" s="564"/>
      <c r="JL105" s="564"/>
      <c r="JM105" s="564"/>
      <c r="JN105" s="564"/>
      <c r="JO105" s="564"/>
      <c r="JP105" s="564"/>
      <c r="JQ105" s="564"/>
      <c r="JR105" s="564"/>
      <c r="JS105" s="564"/>
      <c r="JT105" s="564"/>
      <c r="JU105" s="564"/>
      <c r="JV105" s="564"/>
      <c r="JW105" s="564"/>
      <c r="JX105" s="564"/>
      <c r="JY105" s="564"/>
    </row>
    <row r="106" spans="1:285" s="567" customFormat="1" hidden="1" x14ac:dyDescent="0.2">
      <c r="A106" s="2">
        <v>27</v>
      </c>
      <c r="C106" s="567" t="str" cm="1">
        <f t="array" ref="C106">IFERROR(VALUE(IF($A106&lt;=T1_Vaccines_NumSuitable,INDEX(T1_Vaccines_forCombi,MATCH($A106,$AE$12:$AE$37,0),C$79),"")),IF($A106&lt;=T1_Vaccines_NumSuitable,INDEX(T1_Vaccines_forCombi,MATCH($A106,$AE$12:$AE$37,0),C$79),""))</f>
        <v/>
      </c>
      <c r="D106" s="567" t="str" cm="1">
        <f t="array" ref="D106">IFERROR(VALUE(IF($A106&lt;=T1_Vaccines_NumSuitable,INDEX(T1_Vaccines_forCombi,MATCH($A106,$AE$12:$AE$37,0),D$79),"")),IF($A106&lt;=T1_Vaccines_NumSuitable,INDEX(T1_Vaccines_forCombi,MATCH($A106,$AE$12:$AE$37,0),D$79),""))</f>
        <v/>
      </c>
      <c r="E106" s="567" t="str" cm="1">
        <f t="array" ref="E106">IFERROR(VALUE(IF($A106&lt;=T1_Vaccines_NumSuitable,INDEX(T1_Vaccines_forCombi,MATCH($A106,$AE$12:$AE$37,0),E$79),"")),IF($A106&lt;=T1_Vaccines_NumSuitable,INDEX(T1_Vaccines_forCombi,MATCH($A106,$AE$12:$AE$37,0),E$79),""))</f>
        <v/>
      </c>
      <c r="F106" s="567" t="str" cm="1">
        <f t="array" ref="F106">IFERROR(VALUE(IF($A106&lt;=T1_Vaccines_NumSuitable,INDEX(T1_Vaccines_forCombi,MATCH($A106,$AE$12:$AE$37,0),F$79),"")),IF($A106&lt;=T1_Vaccines_NumSuitable,INDEX(T1_Vaccines_forCombi,MATCH($A106,$AE$12:$AE$37,0),F$79),""))</f>
        <v/>
      </c>
      <c r="G106" s="567" t="str" cm="1">
        <f t="array" ref="G106">IFERROR(VALUE(IF($A106&lt;=T1_Vaccines_NumSuitable,INDEX(T1_Vaccines_forCombi,MATCH($A106,$AE$12:$AE$37,0),G$79),"")),IF($A106&lt;=T1_Vaccines_NumSuitable,INDEX(T1_Vaccines_forCombi,MATCH($A106,$AE$12:$AE$37,0),G$79),""))</f>
        <v/>
      </c>
      <c r="H106" s="567" t="str" cm="1">
        <f t="array" ref="H106">IFERROR(VALUE(IF($A106&lt;=T1_Vaccines_NumSuitable,INDEX(T1_Vaccines_forCombi,MATCH($A106,$AE$12:$AE$37,0),H$79),"")),IF($A106&lt;=T1_Vaccines_NumSuitable,INDEX(T1_Vaccines_forCombi,MATCH($A106,$AE$12:$AE$37,0),H$79),""))</f>
        <v/>
      </c>
      <c r="I106" s="567" t="str" cm="1">
        <f t="array" ref="I106">IFERROR(VALUE(IF($A106&lt;=T1_Vaccines_NumSuitable,INDEX(T1_Vaccines_forCombi,MATCH($A106,$AE$12:$AE$37,0),I$79),"")),IF($A106&lt;=T1_Vaccines_NumSuitable,INDEX(T1_Vaccines_forCombi,MATCH($A106,$AE$12:$AE$37,0),I$79),""))</f>
        <v/>
      </c>
      <c r="J106" s="567" t="str" cm="1">
        <f t="array" ref="J106">IFERROR(VALUE(IF($A106&lt;=T1_Vaccines_NumSuitable,INDEX(T1_Vaccines_forCombi,MATCH($A106,$AE$12:$AE$37,0),J$79),"")),IF($A106&lt;=T1_Vaccines_NumSuitable,INDEX(T1_Vaccines_forCombi,MATCH($A106,$AE$12:$AE$37,0),J$79),""))</f>
        <v/>
      </c>
      <c r="K106" s="567" t="str" cm="1">
        <f t="array" ref="K106">IFERROR(VALUE(IF($A106&lt;=T1_Vaccines_NumSuitable,INDEX(T1_Vaccines_forCombi,MATCH($A106,$AE$12:$AE$37,0),K$79),"")),IF($A106&lt;=T1_Vaccines_NumSuitable,INDEX(T1_Vaccines_forCombi,MATCH($A106,$AE$12:$AE$37,0),K$79),""))</f>
        <v/>
      </c>
      <c r="L106" s="567" t="str" cm="1">
        <f t="array" ref="L106">IFERROR(VALUE(IF($A106&lt;=T1_Vaccines_NumSuitable,INDEX(T1_Vaccines_forCombi,MATCH($A106,$AE$12:$AE$37,0),L$79),"")),IF($A106&lt;=T1_Vaccines_NumSuitable,INDEX(T1_Vaccines_forCombi,MATCH($A106,$AE$12:$AE$37,0),L$79),""))</f>
        <v/>
      </c>
      <c r="M106" s="567" t="str" cm="1">
        <f t="array" ref="M106">IFERROR(VALUE(IF($A106&lt;=T1_Vaccines_NumSuitable,INDEX(T1_Vaccines_forCombi,MATCH($A106,$AE$12:$AE$37,0),M$79),"")),IF($A106&lt;=T1_Vaccines_NumSuitable,INDEX(T1_Vaccines_forCombi,MATCH($A106,$AE$12:$AE$37,0),M$79),""))</f>
        <v/>
      </c>
      <c r="N106" s="567" t="str" cm="1">
        <f t="array" ref="N106">IFERROR(VALUE(IF($A106&lt;=T1_Vaccines_NumSuitable,INDEX(T1_Vaccines_forCombi,MATCH($A106,$AE$12:$AE$37,0),N$79),"")),IF($A106&lt;=T1_Vaccines_NumSuitable,INDEX(T1_Vaccines_forCombi,MATCH($A106,$AE$12:$AE$37,0),N$79),""))</f>
        <v/>
      </c>
      <c r="O106" s="567" t="str" cm="1">
        <f t="array" ref="O106">IFERROR(VALUE(IF($A106&lt;=T1_Vaccines_NumSuitable,INDEX(T1_Vaccines_forCombi,MATCH($A106,$AE$12:$AE$37,0),O$79),"")),IF($A106&lt;=T1_Vaccines_NumSuitable,INDEX(T1_Vaccines_forCombi,MATCH($A106,$AE$12:$AE$37,0),O$79),""))</f>
        <v/>
      </c>
      <c r="P106" s="567" t="str" cm="1">
        <f t="array" ref="P106">IFERROR(VALUE(IF($A106&lt;=T1_Vaccines_NumSuitable,INDEX(T1_Vaccines_forCombi,MATCH($A106,$AE$12:$AE$37,0),P$79),"")),IF($A106&lt;=T1_Vaccines_NumSuitable,INDEX(T1_Vaccines_forCombi,MATCH($A106,$AE$12:$AE$37,0),P$79),""))</f>
        <v/>
      </c>
      <c r="Q106" s="567" t="str" cm="1">
        <f t="array" ref="Q106">IFERROR(VALUE(IF($A106&lt;=T1_Vaccines_NumSuitable,INDEX(T1_Vaccines_forCombi,MATCH($A106,$AE$12:$AE$37,0),Q$79),"")),IF($A106&lt;=T1_Vaccines_NumSuitable,INDEX(T1_Vaccines_forCombi,MATCH($A106,$AE$12:$AE$37,0),Q$79),""))</f>
        <v/>
      </c>
      <c r="R106" s="567" t="str" cm="1">
        <f t="array" ref="R106">IFERROR(VALUE(IF($A106&lt;=T1_Vaccines_NumSuitable,INDEX(T1_Vaccines_forCombi,MATCH($A106,$AE$12:$AE$37,0),R$79),"")),IF($A106&lt;=T1_Vaccines_NumSuitable,INDEX(T1_Vaccines_forCombi,MATCH($A106,$AE$12:$AE$37,0),R$79),""))</f>
        <v/>
      </c>
      <c r="S106" s="567" t="str" cm="1">
        <f t="array" ref="S106">IFERROR(VALUE(IF($A106&lt;=T1_Vaccines_NumSuitable,INDEX(T1_Vaccines_forCombi,MATCH($A106,$AE$12:$AE$37,0),S$79),"")),IF($A106&lt;=T1_Vaccines_NumSuitable,INDEX(T1_Vaccines_forCombi,MATCH($A106,$AE$12:$AE$37,0),S$79),""))</f>
        <v/>
      </c>
      <c r="T106" s="567" t="str" cm="1">
        <f t="array" ref="T106">IFERROR(VALUE(IF($A106&lt;=T1_Vaccines_NumSuitable,INDEX(T1_Vaccines_forCombi,MATCH($A106,$AE$12:$AE$37,0),T$79),"")),IF($A106&lt;=T1_Vaccines_NumSuitable,INDEX(T1_Vaccines_forCombi,MATCH($A106,$AE$12:$AE$37,0),T$79),""))</f>
        <v/>
      </c>
      <c r="U106" s="567" t="str" cm="1">
        <f t="array" ref="U106">IFERROR(VALUE(IF($A106&lt;=T1_Vaccines_NumSuitable,INDEX(T1_Vaccines_forCombi,MATCH($A106,$AE$12:$AE$37,0),U$79),"")),IF($A106&lt;=T1_Vaccines_NumSuitable,INDEX(T1_Vaccines_forCombi,MATCH($A106,$AE$12:$AE$37,0),U$79),""))</f>
        <v/>
      </c>
      <c r="V106" s="567" t="str" cm="1">
        <f t="array" ref="V106">IFERROR(VALUE(IF($A106&lt;=T1_Vaccines_NumSuitable,INDEX(T1_Vaccines_forCombi,MATCH($A106,$AE$12:$AE$37,0),V$79),"")),IF($A106&lt;=T1_Vaccines_NumSuitable,INDEX(T1_Vaccines_forCombi,MATCH($A106,$AE$12:$AE$37,0),V$79),""))</f>
        <v/>
      </c>
      <c r="W106" s="567" t="str" cm="1">
        <f t="array" ref="W106">IFERROR(VALUE(IF($A106&lt;=T1_Vaccines_NumSuitable,INDEX(T1_Vaccines_forCombi,MATCH($A106,$AE$12:$AE$37,0),W$79),"")),IF($A106&lt;=T1_Vaccines_NumSuitable,INDEX(T1_Vaccines_forCombi,MATCH($A106,$AE$12:$AE$37,0),W$79),""))</f>
        <v/>
      </c>
      <c r="X106" s="567" t="str" cm="1">
        <f t="array" ref="X106">IFERROR(VALUE(IF($A106&lt;=T1_Vaccines_NumSuitable,INDEX(T1_Vaccines_forCombi,MATCH($A106,$AE$12:$AE$37,0),X$79),"")),IF($A106&lt;=T1_Vaccines_NumSuitable,INDEX(T1_Vaccines_forCombi,MATCH($A106,$AE$12:$AE$37,0),X$79),""))</f>
        <v/>
      </c>
      <c r="Y106" s="567" t="str" cm="1">
        <f t="array" ref="Y106">IFERROR(VALUE(IF($A106&lt;=T1_Vaccines_NumSuitable,INDEX(T1_Vaccines_forCombi,MATCH($A106,$AE$12:$AE$37,0),Y$79),"")),IF($A106&lt;=T1_Vaccines_NumSuitable,INDEX(T1_Vaccines_forCombi,MATCH($A106,$AE$12:$AE$37,0),Y$79),""))</f>
        <v/>
      </c>
      <c r="Z106" s="567" t="str" cm="1">
        <f t="array" ref="Z106">IFERROR(VALUE(IF($A106&lt;=T1_Vaccines_NumSuitable,INDEX(T1_Vaccines_forCombi,MATCH($A106,$AE$12:$AE$37,0),Z$79),"")),IF($A106&lt;=T1_Vaccines_NumSuitable,INDEX(T1_Vaccines_forCombi,MATCH($A106,$AE$12:$AE$37,0),Z$79),""))</f>
        <v/>
      </c>
      <c r="AA106" s="567" t="str" cm="1">
        <f t="array" ref="AA106">IFERROR(VALUE(IF($A106&lt;=T1_Vaccines_NumSuitable,INDEX(T1_Vaccines_forCombi,MATCH($A106,$AE$12:$AE$37,0),AA$79),"")),IF($A106&lt;=T1_Vaccines_NumSuitable,INDEX(T1_Vaccines_forCombi,MATCH($A106,$AE$12:$AE$37,0),AA$79),""))</f>
        <v/>
      </c>
      <c r="AB106" s="567" t="str" cm="1">
        <f t="array" ref="AB106">IFERROR(VALUE(IF($A106&lt;=T1_Vaccines_NumSuitable,INDEX(T1_Vaccines_forCombi,MATCH($A106,$AE$12:$AE$37,0),AB$79),"")),IF($A106&lt;=T1_Vaccines_NumSuitable,INDEX(T1_Vaccines_forCombi,MATCH($A106,$AE$12:$AE$37,0),AB$79),""))</f>
        <v/>
      </c>
      <c r="AC106" s="567" t="str" cm="1">
        <f t="array" ref="AC106">IFERROR(VALUE(IF($A106&lt;=T1_Vaccines_NumSuitable,INDEX(T1_Vaccines_forCombi,MATCH($A106,$AE$12:$AE$37,0),AC$79),"")),IF($A106&lt;=T1_Vaccines_NumSuitable,INDEX(T1_Vaccines_forCombi,MATCH($A106,$AE$12:$AE$37,0),AC$79),""))</f>
        <v/>
      </c>
      <c r="AD106" s="567" t="str" cm="1">
        <f t="array" ref="AD106">IFERROR(VALUE(IF($A106&lt;=T1_Vaccines_NumSuitable,INDEX(T1_Vaccines_forCombi,MATCH($A106,$AE$12:$AE$37,0),AD$79),"")),IF($A106&lt;=T1_Vaccines_NumSuitable,INDEX(T1_Vaccines_forCombi,MATCH($A106,$AE$12:$AE$37,0),AD$79),""))</f>
        <v/>
      </c>
      <c r="AE106" s="656">
        <f t="shared" si="153"/>
        <v>0</v>
      </c>
      <c r="AF106" s="656">
        <f t="shared" si="151"/>
        <v>0</v>
      </c>
      <c r="AG106" s="656">
        <f t="shared" si="151"/>
        <v>0</v>
      </c>
      <c r="AH106" s="657">
        <f t="shared" si="154"/>
        <v>0</v>
      </c>
      <c r="AI106" s="567">
        <f t="shared" si="152"/>
        <v>0</v>
      </c>
      <c r="AJ106" s="567">
        <f t="shared" si="152"/>
        <v>0</v>
      </c>
      <c r="AK106" s="567">
        <f t="shared" si="152"/>
        <v>0</v>
      </c>
      <c r="AL106" s="567">
        <f t="shared" si="152"/>
        <v>0</v>
      </c>
      <c r="AM106" s="564"/>
      <c r="AN106" s="564"/>
      <c r="AO106" s="564"/>
      <c r="AP106" s="564"/>
      <c r="AQ106" s="564"/>
      <c r="AR106" s="564"/>
      <c r="AS106" s="564"/>
      <c r="AT106" s="564"/>
      <c r="AU106" s="564"/>
      <c r="AV106" s="564"/>
      <c r="AW106" s="564"/>
      <c r="AX106" s="564"/>
      <c r="AY106" s="564"/>
      <c r="AZ106" s="564"/>
      <c r="BA106" s="564"/>
      <c r="BB106" s="564"/>
      <c r="BC106" s="564"/>
      <c r="BD106" s="564"/>
      <c r="BE106" s="564"/>
      <c r="BF106" s="564"/>
      <c r="BG106" s="564"/>
      <c r="BH106" s="564"/>
      <c r="BI106" s="564"/>
      <c r="BJ106" s="564"/>
      <c r="BK106" s="564"/>
      <c r="BL106" s="564"/>
      <c r="BM106" s="564"/>
      <c r="BN106" s="564"/>
      <c r="BO106" s="564"/>
      <c r="BP106" s="564"/>
      <c r="BQ106" s="564"/>
      <c r="BR106" s="564"/>
      <c r="BS106" s="564"/>
      <c r="BT106" s="564"/>
      <c r="BU106" s="564"/>
      <c r="BV106" s="564"/>
      <c r="BW106" s="564"/>
      <c r="BX106" s="564"/>
      <c r="BY106" s="564"/>
      <c r="BZ106" s="564"/>
      <c r="CA106" s="564"/>
      <c r="CB106" s="564"/>
      <c r="CC106" s="564"/>
      <c r="CD106" s="564"/>
      <c r="CE106" s="564"/>
      <c r="CF106" s="564"/>
      <c r="CG106" s="564"/>
      <c r="CH106" s="564"/>
      <c r="CI106" s="564"/>
      <c r="CJ106" s="564"/>
      <c r="CK106" s="564"/>
      <c r="CL106" s="564"/>
      <c r="CM106" s="564"/>
      <c r="CN106" s="564"/>
      <c r="CO106" s="564"/>
      <c r="CP106" s="564"/>
      <c r="CQ106" s="564"/>
      <c r="CR106" s="564"/>
      <c r="CS106" s="564"/>
      <c r="CT106" s="564"/>
      <c r="CU106" s="564"/>
      <c r="CV106" s="564"/>
      <c r="CW106" s="564"/>
      <c r="CX106" s="564"/>
      <c r="CY106" s="564"/>
      <c r="CZ106" s="564"/>
      <c r="DA106" s="564"/>
      <c r="DB106" s="564"/>
      <c r="DC106" s="564"/>
      <c r="DD106" s="564"/>
      <c r="DE106" s="564"/>
      <c r="DF106" s="564"/>
      <c r="DG106" s="564"/>
      <c r="DH106" s="564"/>
      <c r="DI106" s="564"/>
      <c r="DJ106" s="564"/>
      <c r="DK106" s="564"/>
      <c r="DL106" s="564"/>
      <c r="DM106" s="564"/>
      <c r="DN106" s="564"/>
      <c r="DO106" s="564"/>
      <c r="DP106" s="564"/>
      <c r="DQ106" s="564"/>
      <c r="DR106" s="564"/>
      <c r="DS106" s="564"/>
      <c r="DT106" s="564"/>
      <c r="DU106" s="564"/>
      <c r="DV106" s="564"/>
      <c r="DW106" s="564"/>
      <c r="DX106" s="564"/>
      <c r="DY106" s="564"/>
      <c r="DZ106" s="564"/>
      <c r="EA106" s="564"/>
      <c r="EB106" s="564"/>
      <c r="EC106" s="564"/>
      <c r="ED106" s="564"/>
      <c r="EE106" s="564"/>
      <c r="EF106" s="564"/>
      <c r="EG106" s="564"/>
      <c r="EH106" s="564"/>
      <c r="EI106" s="564"/>
      <c r="EJ106" s="564"/>
      <c r="EK106" s="564"/>
      <c r="EL106" s="564"/>
      <c r="EM106" s="564"/>
      <c r="EN106" s="564"/>
      <c r="EO106" s="564"/>
      <c r="EP106" s="564"/>
      <c r="EQ106" s="564"/>
      <c r="ER106" s="564"/>
      <c r="ES106" s="564"/>
      <c r="ET106" s="564"/>
      <c r="EU106" s="564"/>
      <c r="EV106" s="564"/>
      <c r="EW106" s="564"/>
      <c r="EX106" s="564"/>
      <c r="EY106" s="564"/>
      <c r="EZ106" s="564"/>
      <c r="FA106" s="564"/>
      <c r="FB106" s="564"/>
      <c r="FC106" s="564"/>
      <c r="FD106" s="564"/>
      <c r="FE106" s="564"/>
      <c r="FF106" s="564"/>
      <c r="FG106" s="564"/>
      <c r="FH106" s="564"/>
      <c r="FI106" s="564"/>
      <c r="FJ106" s="564"/>
      <c r="FK106" s="564"/>
      <c r="FL106" s="564"/>
      <c r="FM106" s="564"/>
      <c r="FN106" s="564"/>
      <c r="FO106" s="564"/>
      <c r="FP106" s="564"/>
      <c r="FQ106" s="564"/>
      <c r="FR106" s="564"/>
      <c r="FS106" s="564"/>
      <c r="FT106" s="564"/>
      <c r="FU106" s="564"/>
      <c r="FV106" s="564"/>
      <c r="FW106" s="564"/>
      <c r="FX106" s="564"/>
      <c r="FY106" s="564"/>
      <c r="FZ106" s="564"/>
      <c r="GA106" s="564"/>
      <c r="GB106" s="564"/>
      <c r="GC106" s="564"/>
      <c r="GD106" s="564"/>
      <c r="GE106" s="564"/>
      <c r="GF106" s="564"/>
      <c r="GG106" s="564"/>
      <c r="GH106" s="564"/>
      <c r="GI106" s="564"/>
      <c r="GJ106" s="564"/>
      <c r="GK106" s="564"/>
      <c r="GL106" s="564"/>
      <c r="GM106" s="564"/>
      <c r="GN106" s="564"/>
      <c r="GO106" s="564"/>
      <c r="GP106" s="564"/>
      <c r="GQ106" s="564"/>
      <c r="GR106" s="564"/>
      <c r="GS106" s="564"/>
      <c r="GT106" s="564"/>
      <c r="GU106" s="564"/>
      <c r="GV106" s="564"/>
      <c r="GW106" s="564"/>
      <c r="GX106" s="564"/>
      <c r="GY106" s="564"/>
      <c r="GZ106" s="564"/>
      <c r="HA106" s="564"/>
      <c r="HB106" s="564"/>
      <c r="HC106" s="564"/>
      <c r="HD106" s="564"/>
      <c r="HE106" s="564"/>
      <c r="HF106" s="564"/>
      <c r="HG106" s="564"/>
      <c r="HH106" s="564"/>
      <c r="HI106" s="564"/>
      <c r="HJ106" s="564"/>
      <c r="HK106" s="564"/>
      <c r="HL106" s="564"/>
      <c r="HM106" s="564"/>
      <c r="HN106" s="564"/>
      <c r="HO106" s="564"/>
      <c r="HP106" s="564"/>
      <c r="HQ106" s="564"/>
      <c r="HR106" s="564"/>
      <c r="HS106" s="564"/>
      <c r="HT106" s="564"/>
      <c r="HU106" s="564"/>
      <c r="HV106" s="564"/>
      <c r="HW106" s="564"/>
      <c r="HX106" s="564"/>
      <c r="HY106" s="564"/>
      <c r="HZ106" s="564"/>
      <c r="IA106" s="564"/>
      <c r="IB106" s="564"/>
      <c r="IC106" s="564"/>
      <c r="ID106" s="564"/>
      <c r="IE106" s="564"/>
      <c r="IF106" s="564"/>
      <c r="IG106" s="564"/>
      <c r="IH106" s="564"/>
      <c r="II106" s="564"/>
      <c r="IJ106" s="564"/>
      <c r="IK106" s="564"/>
      <c r="IL106" s="564"/>
      <c r="IM106" s="564"/>
      <c r="IN106" s="564"/>
      <c r="IO106" s="564"/>
      <c r="IP106" s="564"/>
      <c r="IQ106" s="564"/>
      <c r="IR106" s="564"/>
      <c r="IS106" s="564"/>
      <c r="IT106" s="564"/>
      <c r="IU106" s="564"/>
      <c r="IV106" s="564"/>
      <c r="IW106" s="564"/>
      <c r="IX106" s="564"/>
      <c r="IY106" s="564"/>
      <c r="IZ106" s="564"/>
      <c r="JA106" s="564"/>
      <c r="JB106" s="564"/>
      <c r="JC106" s="564"/>
      <c r="JD106" s="564"/>
      <c r="JE106" s="564"/>
      <c r="JF106" s="564"/>
      <c r="JG106" s="564"/>
      <c r="JH106" s="564"/>
      <c r="JI106" s="564"/>
      <c r="JJ106" s="564"/>
      <c r="JK106" s="564"/>
      <c r="JL106" s="564"/>
      <c r="JM106" s="564"/>
      <c r="JN106" s="564"/>
      <c r="JO106" s="564"/>
      <c r="JP106" s="564"/>
      <c r="JQ106" s="564"/>
      <c r="JR106" s="564"/>
      <c r="JS106" s="564"/>
      <c r="JT106" s="564"/>
      <c r="JU106" s="564"/>
      <c r="JV106" s="564"/>
      <c r="JW106" s="564"/>
      <c r="JX106" s="564"/>
      <c r="JY106" s="564"/>
    </row>
    <row r="107" spans="1:285" s="567" customFormat="1" hidden="1" x14ac:dyDescent="0.2">
      <c r="A107" s="2">
        <v>28</v>
      </c>
      <c r="C107" s="567" t="str" cm="1">
        <f t="array" ref="C107">IFERROR(VALUE(IF($A107&lt;=T1_Vaccines_NumSuitable,INDEX(T1_Vaccines_forCombi,MATCH($A107,$AE$12:$AE$37,0),C$79),"")),IF($A107&lt;=T1_Vaccines_NumSuitable,INDEX(T1_Vaccines_forCombi,MATCH($A107,$AE$12:$AE$37,0),C$79),""))</f>
        <v/>
      </c>
      <c r="D107" s="567" t="str" cm="1">
        <f t="array" ref="D107">IFERROR(VALUE(IF($A107&lt;=T1_Vaccines_NumSuitable,INDEX(T1_Vaccines_forCombi,MATCH($A107,$AE$12:$AE$37,0),D$79),"")),IF($A107&lt;=T1_Vaccines_NumSuitable,INDEX(T1_Vaccines_forCombi,MATCH($A107,$AE$12:$AE$37,0),D$79),""))</f>
        <v/>
      </c>
      <c r="E107" s="567" t="str" cm="1">
        <f t="array" ref="E107">IFERROR(VALUE(IF($A107&lt;=T1_Vaccines_NumSuitable,INDEX(T1_Vaccines_forCombi,MATCH($A107,$AE$12:$AE$37,0),E$79),"")),IF($A107&lt;=T1_Vaccines_NumSuitable,INDEX(T1_Vaccines_forCombi,MATCH($A107,$AE$12:$AE$37,0),E$79),""))</f>
        <v/>
      </c>
      <c r="F107" s="567" t="str" cm="1">
        <f t="array" ref="F107">IFERROR(VALUE(IF($A107&lt;=T1_Vaccines_NumSuitable,INDEX(T1_Vaccines_forCombi,MATCH($A107,$AE$12:$AE$37,0),F$79),"")),IF($A107&lt;=T1_Vaccines_NumSuitable,INDEX(T1_Vaccines_forCombi,MATCH($A107,$AE$12:$AE$37,0),F$79),""))</f>
        <v/>
      </c>
      <c r="G107" s="567" t="str" cm="1">
        <f t="array" ref="G107">IFERROR(VALUE(IF($A107&lt;=T1_Vaccines_NumSuitable,INDEX(T1_Vaccines_forCombi,MATCH($A107,$AE$12:$AE$37,0),G$79),"")),IF($A107&lt;=T1_Vaccines_NumSuitable,INDEX(T1_Vaccines_forCombi,MATCH($A107,$AE$12:$AE$37,0),G$79),""))</f>
        <v/>
      </c>
      <c r="H107" s="567" t="str" cm="1">
        <f t="array" ref="H107">IFERROR(VALUE(IF($A107&lt;=T1_Vaccines_NumSuitable,INDEX(T1_Vaccines_forCombi,MATCH($A107,$AE$12:$AE$37,0),H$79),"")),IF($A107&lt;=T1_Vaccines_NumSuitable,INDEX(T1_Vaccines_forCombi,MATCH($A107,$AE$12:$AE$37,0),H$79),""))</f>
        <v/>
      </c>
      <c r="I107" s="567" t="str" cm="1">
        <f t="array" ref="I107">IFERROR(VALUE(IF($A107&lt;=T1_Vaccines_NumSuitable,INDEX(T1_Vaccines_forCombi,MATCH($A107,$AE$12:$AE$37,0),I$79),"")),IF($A107&lt;=T1_Vaccines_NumSuitable,INDEX(T1_Vaccines_forCombi,MATCH($A107,$AE$12:$AE$37,0),I$79),""))</f>
        <v/>
      </c>
      <c r="J107" s="567" t="str" cm="1">
        <f t="array" ref="J107">IFERROR(VALUE(IF($A107&lt;=T1_Vaccines_NumSuitable,INDEX(T1_Vaccines_forCombi,MATCH($A107,$AE$12:$AE$37,0),J$79),"")),IF($A107&lt;=T1_Vaccines_NumSuitable,INDEX(T1_Vaccines_forCombi,MATCH($A107,$AE$12:$AE$37,0),J$79),""))</f>
        <v/>
      </c>
      <c r="K107" s="567" t="str" cm="1">
        <f t="array" ref="K107">IFERROR(VALUE(IF($A107&lt;=T1_Vaccines_NumSuitable,INDEX(T1_Vaccines_forCombi,MATCH($A107,$AE$12:$AE$37,0),K$79),"")),IF($A107&lt;=T1_Vaccines_NumSuitable,INDEX(T1_Vaccines_forCombi,MATCH($A107,$AE$12:$AE$37,0),K$79),""))</f>
        <v/>
      </c>
      <c r="L107" s="567" t="str" cm="1">
        <f t="array" ref="L107">IFERROR(VALUE(IF($A107&lt;=T1_Vaccines_NumSuitable,INDEX(T1_Vaccines_forCombi,MATCH($A107,$AE$12:$AE$37,0),L$79),"")),IF($A107&lt;=T1_Vaccines_NumSuitable,INDEX(T1_Vaccines_forCombi,MATCH($A107,$AE$12:$AE$37,0),L$79),""))</f>
        <v/>
      </c>
      <c r="M107" s="567" t="str" cm="1">
        <f t="array" ref="M107">IFERROR(VALUE(IF($A107&lt;=T1_Vaccines_NumSuitable,INDEX(T1_Vaccines_forCombi,MATCH($A107,$AE$12:$AE$37,0),M$79),"")),IF($A107&lt;=T1_Vaccines_NumSuitable,INDEX(T1_Vaccines_forCombi,MATCH($A107,$AE$12:$AE$37,0),M$79),""))</f>
        <v/>
      </c>
      <c r="N107" s="567" t="str" cm="1">
        <f t="array" ref="N107">IFERROR(VALUE(IF($A107&lt;=T1_Vaccines_NumSuitable,INDEX(T1_Vaccines_forCombi,MATCH($A107,$AE$12:$AE$37,0),N$79),"")),IF($A107&lt;=T1_Vaccines_NumSuitable,INDEX(T1_Vaccines_forCombi,MATCH($A107,$AE$12:$AE$37,0),N$79),""))</f>
        <v/>
      </c>
      <c r="O107" s="567" t="str" cm="1">
        <f t="array" ref="O107">IFERROR(VALUE(IF($A107&lt;=T1_Vaccines_NumSuitable,INDEX(T1_Vaccines_forCombi,MATCH($A107,$AE$12:$AE$37,0),O$79),"")),IF($A107&lt;=T1_Vaccines_NumSuitable,INDEX(T1_Vaccines_forCombi,MATCH($A107,$AE$12:$AE$37,0),O$79),""))</f>
        <v/>
      </c>
      <c r="P107" s="567" t="str" cm="1">
        <f t="array" ref="P107">IFERROR(VALUE(IF($A107&lt;=T1_Vaccines_NumSuitable,INDEX(T1_Vaccines_forCombi,MATCH($A107,$AE$12:$AE$37,0),P$79),"")),IF($A107&lt;=T1_Vaccines_NumSuitable,INDEX(T1_Vaccines_forCombi,MATCH($A107,$AE$12:$AE$37,0),P$79),""))</f>
        <v/>
      </c>
      <c r="Q107" s="567" t="str" cm="1">
        <f t="array" ref="Q107">IFERROR(VALUE(IF($A107&lt;=T1_Vaccines_NumSuitable,INDEX(T1_Vaccines_forCombi,MATCH($A107,$AE$12:$AE$37,0),Q$79),"")),IF($A107&lt;=T1_Vaccines_NumSuitable,INDEX(T1_Vaccines_forCombi,MATCH($A107,$AE$12:$AE$37,0),Q$79),""))</f>
        <v/>
      </c>
      <c r="R107" s="567" t="str" cm="1">
        <f t="array" ref="R107">IFERROR(VALUE(IF($A107&lt;=T1_Vaccines_NumSuitable,INDEX(T1_Vaccines_forCombi,MATCH($A107,$AE$12:$AE$37,0),R$79),"")),IF($A107&lt;=T1_Vaccines_NumSuitable,INDEX(T1_Vaccines_forCombi,MATCH($A107,$AE$12:$AE$37,0),R$79),""))</f>
        <v/>
      </c>
      <c r="S107" s="567" t="str" cm="1">
        <f t="array" ref="S107">IFERROR(VALUE(IF($A107&lt;=T1_Vaccines_NumSuitable,INDEX(T1_Vaccines_forCombi,MATCH($A107,$AE$12:$AE$37,0),S$79),"")),IF($A107&lt;=T1_Vaccines_NumSuitable,INDEX(T1_Vaccines_forCombi,MATCH($A107,$AE$12:$AE$37,0),S$79),""))</f>
        <v/>
      </c>
      <c r="T107" s="567" t="str" cm="1">
        <f t="array" ref="T107">IFERROR(VALUE(IF($A107&lt;=T1_Vaccines_NumSuitable,INDEX(T1_Vaccines_forCombi,MATCH($A107,$AE$12:$AE$37,0),T$79),"")),IF($A107&lt;=T1_Vaccines_NumSuitable,INDEX(T1_Vaccines_forCombi,MATCH($A107,$AE$12:$AE$37,0),T$79),""))</f>
        <v/>
      </c>
      <c r="U107" s="567" t="str" cm="1">
        <f t="array" ref="U107">IFERROR(VALUE(IF($A107&lt;=T1_Vaccines_NumSuitable,INDEX(T1_Vaccines_forCombi,MATCH($A107,$AE$12:$AE$37,0),U$79),"")),IF($A107&lt;=T1_Vaccines_NumSuitable,INDEX(T1_Vaccines_forCombi,MATCH($A107,$AE$12:$AE$37,0),U$79),""))</f>
        <v/>
      </c>
      <c r="V107" s="567" t="str" cm="1">
        <f t="array" ref="V107">IFERROR(VALUE(IF($A107&lt;=T1_Vaccines_NumSuitable,INDEX(T1_Vaccines_forCombi,MATCH($A107,$AE$12:$AE$37,0),V$79),"")),IF($A107&lt;=T1_Vaccines_NumSuitable,INDEX(T1_Vaccines_forCombi,MATCH($A107,$AE$12:$AE$37,0),V$79),""))</f>
        <v/>
      </c>
      <c r="W107" s="567" t="str" cm="1">
        <f t="array" ref="W107">IFERROR(VALUE(IF($A107&lt;=T1_Vaccines_NumSuitable,INDEX(T1_Vaccines_forCombi,MATCH($A107,$AE$12:$AE$37,0),W$79),"")),IF($A107&lt;=T1_Vaccines_NumSuitable,INDEX(T1_Vaccines_forCombi,MATCH($A107,$AE$12:$AE$37,0),W$79),""))</f>
        <v/>
      </c>
      <c r="X107" s="567" t="str" cm="1">
        <f t="array" ref="X107">IFERROR(VALUE(IF($A107&lt;=T1_Vaccines_NumSuitable,INDEX(T1_Vaccines_forCombi,MATCH($A107,$AE$12:$AE$37,0),X$79),"")),IF($A107&lt;=T1_Vaccines_NumSuitable,INDEX(T1_Vaccines_forCombi,MATCH($A107,$AE$12:$AE$37,0),X$79),""))</f>
        <v/>
      </c>
      <c r="Y107" s="567" t="str" cm="1">
        <f t="array" ref="Y107">IFERROR(VALUE(IF($A107&lt;=T1_Vaccines_NumSuitable,INDEX(T1_Vaccines_forCombi,MATCH($A107,$AE$12:$AE$37,0),Y$79),"")),IF($A107&lt;=T1_Vaccines_NumSuitable,INDEX(T1_Vaccines_forCombi,MATCH($A107,$AE$12:$AE$37,0),Y$79),""))</f>
        <v/>
      </c>
      <c r="Z107" s="567" t="str" cm="1">
        <f t="array" ref="Z107">IFERROR(VALUE(IF($A107&lt;=T1_Vaccines_NumSuitable,INDEX(T1_Vaccines_forCombi,MATCH($A107,$AE$12:$AE$37,0),Z$79),"")),IF($A107&lt;=T1_Vaccines_NumSuitable,INDEX(T1_Vaccines_forCombi,MATCH($A107,$AE$12:$AE$37,0),Z$79),""))</f>
        <v/>
      </c>
      <c r="AA107" s="567" t="str" cm="1">
        <f t="array" ref="AA107">IFERROR(VALUE(IF($A107&lt;=T1_Vaccines_NumSuitable,INDEX(T1_Vaccines_forCombi,MATCH($A107,$AE$12:$AE$37,0),AA$79),"")),IF($A107&lt;=T1_Vaccines_NumSuitable,INDEX(T1_Vaccines_forCombi,MATCH($A107,$AE$12:$AE$37,0),AA$79),""))</f>
        <v/>
      </c>
      <c r="AB107" s="567" t="str" cm="1">
        <f t="array" ref="AB107">IFERROR(VALUE(IF($A107&lt;=T1_Vaccines_NumSuitable,INDEX(T1_Vaccines_forCombi,MATCH($A107,$AE$12:$AE$37,0),AB$79),"")),IF($A107&lt;=T1_Vaccines_NumSuitable,INDEX(T1_Vaccines_forCombi,MATCH($A107,$AE$12:$AE$37,0),AB$79),""))</f>
        <v/>
      </c>
      <c r="AC107" s="567" t="str" cm="1">
        <f t="array" ref="AC107">IFERROR(VALUE(IF($A107&lt;=T1_Vaccines_NumSuitable,INDEX(T1_Vaccines_forCombi,MATCH($A107,$AE$12:$AE$37,0),AC$79),"")),IF($A107&lt;=T1_Vaccines_NumSuitable,INDEX(T1_Vaccines_forCombi,MATCH($A107,$AE$12:$AE$37,0),AC$79),""))</f>
        <v/>
      </c>
      <c r="AD107" s="567" t="str" cm="1">
        <f t="array" ref="AD107">IFERROR(VALUE(IF($A107&lt;=T1_Vaccines_NumSuitable,INDEX(T1_Vaccines_forCombi,MATCH($A107,$AE$12:$AE$37,0),AD$79),"")),IF($A107&lt;=T1_Vaccines_NumSuitable,INDEX(T1_Vaccines_forCombi,MATCH($A107,$AE$12:$AE$37,0),AD$79),""))</f>
        <v/>
      </c>
      <c r="AE107" s="656">
        <f t="shared" si="153"/>
        <v>0</v>
      </c>
      <c r="AF107" s="656">
        <f t="shared" si="151"/>
        <v>0</v>
      </c>
      <c r="AG107" s="656">
        <f t="shared" si="151"/>
        <v>0</v>
      </c>
      <c r="AH107" s="657">
        <f t="shared" si="154"/>
        <v>0</v>
      </c>
      <c r="AI107" s="567">
        <f t="shared" si="152"/>
        <v>0</v>
      </c>
      <c r="AJ107" s="567">
        <f t="shared" si="152"/>
        <v>0</v>
      </c>
      <c r="AK107" s="567">
        <f t="shared" si="152"/>
        <v>0</v>
      </c>
      <c r="AL107" s="567">
        <f t="shared" si="152"/>
        <v>0</v>
      </c>
      <c r="AM107" s="564"/>
      <c r="AN107" s="564"/>
      <c r="AO107" s="564"/>
      <c r="AP107" s="564"/>
      <c r="AQ107" s="564"/>
      <c r="AR107" s="564"/>
      <c r="AS107" s="564"/>
      <c r="AT107" s="564"/>
      <c r="AU107" s="564"/>
      <c r="AV107" s="564"/>
      <c r="AW107" s="564"/>
      <c r="AX107" s="564"/>
      <c r="AY107" s="564"/>
      <c r="AZ107" s="564"/>
      <c r="BA107" s="564"/>
      <c r="BB107" s="564"/>
      <c r="BC107" s="564"/>
      <c r="BD107" s="564"/>
      <c r="BE107" s="564"/>
      <c r="BF107" s="564"/>
      <c r="BG107" s="564"/>
      <c r="BH107" s="564"/>
      <c r="BI107" s="564"/>
      <c r="BJ107" s="564"/>
      <c r="BK107" s="564"/>
      <c r="BL107" s="564"/>
      <c r="BM107" s="564"/>
      <c r="BN107" s="564"/>
      <c r="BO107" s="564"/>
      <c r="BP107" s="564"/>
      <c r="BQ107" s="564"/>
      <c r="BR107" s="564"/>
      <c r="BS107" s="564"/>
      <c r="BT107" s="564"/>
      <c r="BU107" s="564"/>
      <c r="BV107" s="564"/>
      <c r="BW107" s="564"/>
      <c r="BX107" s="564"/>
      <c r="BY107" s="564"/>
      <c r="BZ107" s="564"/>
      <c r="CA107" s="564"/>
      <c r="CB107" s="564"/>
      <c r="CC107" s="564"/>
      <c r="CD107" s="564"/>
      <c r="CE107" s="564"/>
      <c r="CF107" s="564"/>
      <c r="CG107" s="564"/>
      <c r="CH107" s="564"/>
      <c r="CI107" s="564"/>
      <c r="CJ107" s="564"/>
      <c r="CK107" s="564"/>
      <c r="CL107" s="564"/>
      <c r="CM107" s="564"/>
      <c r="CN107" s="564"/>
      <c r="CO107" s="564"/>
      <c r="CP107" s="564"/>
      <c r="CQ107" s="564"/>
      <c r="CR107" s="564"/>
      <c r="CS107" s="564"/>
      <c r="CT107" s="564"/>
      <c r="CU107" s="564"/>
      <c r="CV107" s="564"/>
      <c r="CW107" s="564"/>
      <c r="CX107" s="564"/>
      <c r="CY107" s="564"/>
      <c r="CZ107" s="564"/>
      <c r="DA107" s="564"/>
      <c r="DB107" s="564"/>
      <c r="DC107" s="564"/>
      <c r="DD107" s="564"/>
      <c r="DE107" s="564"/>
      <c r="DF107" s="564"/>
      <c r="DG107" s="564"/>
      <c r="DH107" s="564"/>
      <c r="DI107" s="564"/>
      <c r="DJ107" s="564"/>
      <c r="DK107" s="564"/>
      <c r="DL107" s="564"/>
      <c r="DM107" s="564"/>
      <c r="DN107" s="564"/>
      <c r="DO107" s="564"/>
      <c r="DP107" s="564"/>
      <c r="DQ107" s="564"/>
      <c r="DR107" s="564"/>
      <c r="DS107" s="564"/>
      <c r="DT107" s="564"/>
      <c r="DU107" s="564"/>
      <c r="DV107" s="564"/>
      <c r="DW107" s="564"/>
      <c r="DX107" s="564"/>
      <c r="DY107" s="564"/>
      <c r="DZ107" s="564"/>
      <c r="EA107" s="564"/>
      <c r="EB107" s="564"/>
      <c r="EC107" s="564"/>
      <c r="ED107" s="564"/>
      <c r="EE107" s="564"/>
      <c r="EF107" s="564"/>
      <c r="EG107" s="564"/>
      <c r="EH107" s="564"/>
      <c r="EI107" s="564"/>
      <c r="EJ107" s="564"/>
      <c r="EK107" s="564"/>
      <c r="EL107" s="564"/>
      <c r="EM107" s="564"/>
      <c r="EN107" s="564"/>
      <c r="EO107" s="564"/>
      <c r="EP107" s="564"/>
      <c r="EQ107" s="564"/>
      <c r="ER107" s="564"/>
      <c r="ES107" s="564"/>
      <c r="ET107" s="564"/>
      <c r="EU107" s="564"/>
      <c r="EV107" s="564"/>
      <c r="EW107" s="564"/>
      <c r="EX107" s="564"/>
      <c r="EY107" s="564"/>
      <c r="EZ107" s="564"/>
      <c r="FA107" s="564"/>
      <c r="FB107" s="564"/>
      <c r="FC107" s="564"/>
      <c r="FD107" s="564"/>
      <c r="FE107" s="564"/>
      <c r="FF107" s="564"/>
      <c r="FG107" s="564"/>
      <c r="FH107" s="564"/>
      <c r="FI107" s="564"/>
      <c r="FJ107" s="564"/>
      <c r="FK107" s="564"/>
      <c r="FL107" s="564"/>
      <c r="FM107" s="564"/>
      <c r="FN107" s="564"/>
      <c r="FO107" s="564"/>
      <c r="FP107" s="564"/>
      <c r="FQ107" s="564"/>
      <c r="FR107" s="564"/>
      <c r="FS107" s="564"/>
      <c r="FT107" s="564"/>
      <c r="FU107" s="564"/>
      <c r="FV107" s="564"/>
      <c r="FW107" s="564"/>
      <c r="FX107" s="564"/>
      <c r="FY107" s="564"/>
      <c r="FZ107" s="564"/>
      <c r="GA107" s="564"/>
      <c r="GB107" s="564"/>
      <c r="GC107" s="564"/>
      <c r="GD107" s="564"/>
      <c r="GE107" s="564"/>
      <c r="GF107" s="564"/>
      <c r="GG107" s="564"/>
      <c r="GH107" s="564"/>
      <c r="GI107" s="564"/>
      <c r="GJ107" s="564"/>
      <c r="GK107" s="564"/>
      <c r="GL107" s="564"/>
      <c r="GM107" s="564"/>
      <c r="GN107" s="564"/>
      <c r="GO107" s="564"/>
      <c r="GP107" s="564"/>
      <c r="GQ107" s="564"/>
      <c r="GR107" s="564"/>
      <c r="GS107" s="564"/>
      <c r="GT107" s="564"/>
      <c r="GU107" s="564"/>
      <c r="GV107" s="564"/>
      <c r="GW107" s="564"/>
      <c r="GX107" s="564"/>
      <c r="GY107" s="564"/>
      <c r="GZ107" s="564"/>
      <c r="HA107" s="564"/>
      <c r="HB107" s="564"/>
      <c r="HC107" s="564"/>
      <c r="HD107" s="564"/>
      <c r="HE107" s="564"/>
      <c r="HF107" s="564"/>
      <c r="HG107" s="564"/>
      <c r="HH107" s="564"/>
      <c r="HI107" s="564"/>
      <c r="HJ107" s="564"/>
      <c r="HK107" s="564"/>
      <c r="HL107" s="564"/>
      <c r="HM107" s="564"/>
      <c r="HN107" s="564"/>
      <c r="HO107" s="564"/>
      <c r="HP107" s="564"/>
      <c r="HQ107" s="564"/>
      <c r="HR107" s="564"/>
      <c r="HS107" s="564"/>
      <c r="HT107" s="564"/>
      <c r="HU107" s="564"/>
      <c r="HV107" s="564"/>
      <c r="HW107" s="564"/>
      <c r="HX107" s="564"/>
      <c r="HY107" s="564"/>
      <c r="HZ107" s="564"/>
      <c r="IA107" s="564"/>
      <c r="IB107" s="564"/>
      <c r="IC107" s="564"/>
      <c r="ID107" s="564"/>
      <c r="IE107" s="564"/>
      <c r="IF107" s="564"/>
      <c r="IG107" s="564"/>
      <c r="IH107" s="564"/>
      <c r="II107" s="564"/>
      <c r="IJ107" s="564"/>
      <c r="IK107" s="564"/>
      <c r="IL107" s="564"/>
      <c r="IM107" s="564"/>
      <c r="IN107" s="564"/>
      <c r="IO107" s="564"/>
      <c r="IP107" s="564"/>
      <c r="IQ107" s="564"/>
      <c r="IR107" s="564"/>
      <c r="IS107" s="564"/>
      <c r="IT107" s="564"/>
      <c r="IU107" s="564"/>
      <c r="IV107" s="564"/>
      <c r="IW107" s="564"/>
      <c r="IX107" s="564"/>
      <c r="IY107" s="564"/>
      <c r="IZ107" s="564"/>
      <c r="JA107" s="564"/>
      <c r="JB107" s="564"/>
      <c r="JC107" s="564"/>
      <c r="JD107" s="564"/>
      <c r="JE107" s="564"/>
      <c r="JF107" s="564"/>
      <c r="JG107" s="564"/>
      <c r="JH107" s="564"/>
      <c r="JI107" s="564"/>
      <c r="JJ107" s="564"/>
      <c r="JK107" s="564"/>
      <c r="JL107" s="564"/>
      <c r="JM107" s="564"/>
      <c r="JN107" s="564"/>
      <c r="JO107" s="564"/>
      <c r="JP107" s="564"/>
      <c r="JQ107" s="564"/>
      <c r="JR107" s="564"/>
      <c r="JS107" s="564"/>
      <c r="JT107" s="564"/>
      <c r="JU107" s="564"/>
      <c r="JV107" s="564"/>
      <c r="JW107" s="564"/>
      <c r="JX107" s="564"/>
      <c r="JY107" s="564"/>
    </row>
    <row r="108" spans="1:285" s="567" customFormat="1" ht="13.5" hidden="1" thickBot="1" x14ac:dyDescent="0.25">
      <c r="A108" s="344" t="s">
        <v>3031</v>
      </c>
      <c r="C108" s="658"/>
      <c r="D108" s="658"/>
      <c r="E108" s="658"/>
      <c r="F108" s="658"/>
      <c r="G108" s="658"/>
      <c r="H108" s="658"/>
      <c r="I108" s="658"/>
      <c r="J108" s="658"/>
      <c r="K108" s="658"/>
      <c r="L108" s="658"/>
      <c r="M108" s="658"/>
      <c r="N108" s="658"/>
      <c r="O108" s="658"/>
      <c r="P108" s="658"/>
      <c r="Q108" s="658"/>
      <c r="R108" s="658"/>
      <c r="S108" s="658"/>
      <c r="T108" s="658"/>
      <c r="U108" s="658"/>
      <c r="V108" s="658"/>
      <c r="W108" s="658"/>
      <c r="X108" s="658"/>
      <c r="Y108" s="658"/>
      <c r="Z108" s="658"/>
      <c r="AA108" s="658"/>
      <c r="AB108" s="658"/>
      <c r="AC108" s="658"/>
      <c r="AD108" s="658"/>
      <c r="AE108" s="658">
        <f t="shared" ref="AE108" si="155">SUM(AE80:AE107)</f>
        <v>100</v>
      </c>
      <c r="AF108" s="658">
        <f>SUM(AF80:AF107)</f>
        <v>100</v>
      </c>
      <c r="AG108" s="658">
        <f t="shared" ref="AG108:AH108" si="156">SUM(AG80:AG107)</f>
        <v>100</v>
      </c>
      <c r="AH108" s="658">
        <f t="shared" si="156"/>
        <v>100</v>
      </c>
      <c r="AI108" s="658"/>
      <c r="AJ108" s="658"/>
      <c r="AK108" s="658"/>
      <c r="AL108" s="658"/>
      <c r="AM108" s="564"/>
      <c r="AN108" s="564"/>
      <c r="AO108" s="564"/>
      <c r="AP108" s="564"/>
      <c r="AQ108" s="564"/>
      <c r="AR108" s="564"/>
      <c r="AS108" s="564"/>
      <c r="AT108" s="564"/>
      <c r="AU108" s="564"/>
      <c r="AV108" s="564"/>
      <c r="AW108" s="564"/>
      <c r="AX108" s="564"/>
      <c r="AY108" s="564"/>
      <c r="AZ108" s="564"/>
      <c r="BA108" s="564"/>
      <c r="BB108" s="564"/>
      <c r="BC108" s="564"/>
      <c r="BD108" s="564"/>
      <c r="BE108" s="564"/>
      <c r="BF108" s="564"/>
      <c r="BG108" s="564"/>
      <c r="BH108" s="564"/>
      <c r="BI108" s="564"/>
      <c r="BJ108" s="564"/>
      <c r="BK108" s="564"/>
      <c r="BL108" s="564"/>
      <c r="BM108" s="564"/>
      <c r="BN108" s="564"/>
      <c r="BO108" s="564"/>
      <c r="BP108" s="564"/>
      <c r="BQ108" s="564"/>
      <c r="BR108" s="564"/>
      <c r="BS108" s="564"/>
      <c r="BT108" s="564"/>
      <c r="BU108" s="564"/>
      <c r="BV108" s="564"/>
      <c r="BW108" s="564"/>
      <c r="BX108" s="564"/>
      <c r="BY108" s="564"/>
      <c r="BZ108" s="564"/>
      <c r="CA108" s="564"/>
      <c r="CB108" s="564"/>
      <c r="CC108" s="564"/>
      <c r="CD108" s="564"/>
      <c r="CE108" s="564"/>
      <c r="CF108" s="564"/>
      <c r="CG108" s="564"/>
      <c r="CH108" s="564"/>
      <c r="CI108" s="564"/>
      <c r="CJ108" s="564"/>
      <c r="CK108" s="564"/>
      <c r="CL108" s="564"/>
      <c r="CM108" s="564"/>
      <c r="CN108" s="564"/>
      <c r="CO108" s="564"/>
      <c r="CP108" s="564"/>
      <c r="CQ108" s="564"/>
      <c r="CR108" s="564"/>
      <c r="CS108" s="564"/>
      <c r="CT108" s="564"/>
      <c r="CU108" s="564"/>
      <c r="CV108" s="564"/>
      <c r="CW108" s="564"/>
      <c r="CX108" s="564"/>
      <c r="CY108" s="564"/>
      <c r="CZ108" s="564"/>
      <c r="DA108" s="564"/>
      <c r="DB108" s="564"/>
      <c r="DC108" s="564"/>
      <c r="DD108" s="564"/>
      <c r="DE108" s="564"/>
      <c r="DF108" s="564"/>
      <c r="DG108" s="564"/>
      <c r="DH108" s="564"/>
      <c r="DI108" s="564"/>
      <c r="DJ108" s="564"/>
      <c r="DK108" s="564"/>
      <c r="DL108" s="564"/>
      <c r="DM108" s="564"/>
      <c r="DN108" s="564"/>
      <c r="DO108" s="564"/>
      <c r="DP108" s="564"/>
      <c r="DQ108" s="564"/>
      <c r="DR108" s="564"/>
      <c r="DS108" s="564"/>
      <c r="DT108" s="564"/>
      <c r="DU108" s="564"/>
      <c r="DV108" s="564"/>
      <c r="DW108" s="564"/>
      <c r="DX108" s="564"/>
      <c r="DY108" s="564"/>
      <c r="DZ108" s="564"/>
      <c r="EA108" s="564"/>
      <c r="EB108" s="564"/>
      <c r="EC108" s="564"/>
      <c r="ED108" s="564"/>
      <c r="EE108" s="564"/>
      <c r="EF108" s="564"/>
      <c r="EG108" s="564"/>
      <c r="EH108" s="564"/>
      <c r="EI108" s="564"/>
      <c r="EJ108" s="564"/>
      <c r="EK108" s="564"/>
      <c r="EL108" s="564"/>
      <c r="EM108" s="564"/>
      <c r="EN108" s="564"/>
      <c r="EO108" s="564"/>
      <c r="EP108" s="564"/>
      <c r="EQ108" s="564"/>
      <c r="ER108" s="564"/>
      <c r="ES108" s="564"/>
      <c r="ET108" s="564"/>
      <c r="EU108" s="564"/>
      <c r="EV108" s="564"/>
      <c r="EW108" s="564"/>
      <c r="EX108" s="564"/>
      <c r="EY108" s="564"/>
      <c r="EZ108" s="564"/>
      <c r="FA108" s="564"/>
      <c r="FB108" s="564"/>
      <c r="FC108" s="564"/>
      <c r="FD108" s="564"/>
      <c r="FE108" s="564"/>
      <c r="FF108" s="564"/>
      <c r="FG108" s="564"/>
      <c r="FH108" s="564"/>
      <c r="FI108" s="564"/>
      <c r="FJ108" s="564"/>
      <c r="FK108" s="564"/>
      <c r="FL108" s="564"/>
      <c r="FM108" s="564"/>
      <c r="FN108" s="564"/>
      <c r="FO108" s="564"/>
      <c r="FP108" s="564"/>
      <c r="FQ108" s="564"/>
      <c r="FR108" s="564"/>
      <c r="FS108" s="564"/>
      <c r="FT108" s="564"/>
      <c r="FU108" s="564"/>
      <c r="FV108" s="564"/>
      <c r="FW108" s="564"/>
      <c r="FX108" s="564"/>
      <c r="FY108" s="564"/>
      <c r="FZ108" s="564"/>
      <c r="GA108" s="564"/>
      <c r="GB108" s="564"/>
      <c r="GC108" s="564"/>
      <c r="GD108" s="564"/>
      <c r="GE108" s="564"/>
      <c r="GF108" s="564"/>
      <c r="GG108" s="564"/>
      <c r="GH108" s="564"/>
      <c r="GI108" s="564"/>
      <c r="GJ108" s="564"/>
      <c r="GK108" s="564"/>
      <c r="GL108" s="564"/>
      <c r="GM108" s="564"/>
      <c r="GN108" s="564"/>
      <c r="GO108" s="564"/>
      <c r="GP108" s="564"/>
      <c r="GQ108" s="564"/>
      <c r="GR108" s="564"/>
      <c r="GS108" s="564"/>
      <c r="GT108" s="564"/>
      <c r="GU108" s="564"/>
      <c r="GV108" s="564"/>
      <c r="GW108" s="564"/>
      <c r="GX108" s="564"/>
      <c r="GY108" s="564"/>
      <c r="GZ108" s="564"/>
      <c r="HA108" s="564"/>
      <c r="HB108" s="564"/>
      <c r="HC108" s="564"/>
      <c r="HD108" s="564"/>
      <c r="HE108" s="564"/>
      <c r="HF108" s="564"/>
      <c r="HG108" s="564"/>
      <c r="HH108" s="564"/>
      <c r="HI108" s="564"/>
      <c r="HJ108" s="564"/>
      <c r="HK108" s="564"/>
      <c r="HL108" s="564"/>
      <c r="HM108" s="564"/>
      <c r="HN108" s="564"/>
      <c r="HO108" s="564"/>
      <c r="HP108" s="564"/>
      <c r="HQ108" s="564"/>
      <c r="HR108" s="564"/>
      <c r="HS108" s="564"/>
      <c r="HT108" s="564"/>
      <c r="HU108" s="564"/>
      <c r="HV108" s="564"/>
      <c r="HW108" s="564"/>
      <c r="HX108" s="564"/>
      <c r="HY108" s="564"/>
      <c r="HZ108" s="564"/>
      <c r="IA108" s="564"/>
      <c r="IB108" s="564"/>
      <c r="IC108" s="564"/>
      <c r="ID108" s="564"/>
      <c r="IE108" s="564"/>
      <c r="IF108" s="564"/>
      <c r="IG108" s="564"/>
      <c r="IH108" s="564"/>
      <c r="II108" s="564"/>
      <c r="IJ108" s="564"/>
      <c r="IK108" s="564"/>
      <c r="IL108" s="564"/>
      <c r="IM108" s="564"/>
      <c r="IN108" s="564"/>
      <c r="IO108" s="564"/>
      <c r="IP108" s="564"/>
      <c r="IQ108" s="564"/>
      <c r="IR108" s="564"/>
      <c r="IS108" s="564"/>
      <c r="IT108" s="564"/>
      <c r="IU108" s="564"/>
      <c r="IV108" s="564"/>
      <c r="IW108" s="564"/>
      <c r="IX108" s="564"/>
      <c r="IY108" s="564"/>
      <c r="IZ108" s="564"/>
      <c r="JA108" s="564"/>
      <c r="JB108" s="564"/>
      <c r="JC108" s="564"/>
      <c r="JD108" s="564"/>
      <c r="JE108" s="564"/>
      <c r="JF108" s="564"/>
      <c r="JG108" s="564"/>
      <c r="JH108" s="564"/>
      <c r="JI108" s="564"/>
      <c r="JJ108" s="564"/>
      <c r="JK108" s="564"/>
      <c r="JL108" s="564"/>
      <c r="JM108" s="564"/>
      <c r="JN108" s="564"/>
      <c r="JO108" s="564"/>
      <c r="JP108" s="564"/>
      <c r="JQ108" s="564"/>
      <c r="JR108" s="564"/>
      <c r="JS108" s="564"/>
      <c r="JT108" s="564"/>
      <c r="JU108" s="564"/>
      <c r="JV108" s="564"/>
      <c r="JW108" s="564"/>
      <c r="JX108" s="564"/>
      <c r="JY108" s="564"/>
    </row>
    <row r="109" spans="1:285" s="567" customFormat="1" ht="13.5" hidden="1" thickTop="1" x14ac:dyDescent="0.2">
      <c r="A109" s="344" t="s">
        <v>3031</v>
      </c>
      <c r="AI109" s="564"/>
      <c r="AJ109" s="564"/>
      <c r="AK109" s="564"/>
      <c r="AL109" s="564"/>
      <c r="AM109" s="564"/>
      <c r="AN109" s="564"/>
      <c r="AO109" s="564"/>
      <c r="AP109" s="564"/>
      <c r="AQ109" s="564"/>
      <c r="AR109" s="564"/>
      <c r="AS109" s="564"/>
      <c r="AT109" s="564"/>
      <c r="AU109" s="564"/>
      <c r="AV109" s="564"/>
      <c r="AW109" s="564"/>
      <c r="AX109" s="564"/>
      <c r="AY109" s="564"/>
      <c r="AZ109" s="564"/>
      <c r="BA109" s="564"/>
      <c r="BB109" s="564"/>
      <c r="BC109" s="564"/>
      <c r="BD109" s="564"/>
      <c r="BE109" s="564"/>
      <c r="BF109" s="564"/>
      <c r="BG109" s="564"/>
      <c r="BH109" s="564"/>
      <c r="BI109" s="564"/>
      <c r="BJ109" s="564"/>
      <c r="BK109" s="564"/>
      <c r="BL109" s="564"/>
      <c r="BM109" s="564"/>
      <c r="BN109" s="564"/>
      <c r="BO109" s="564"/>
      <c r="BP109" s="564"/>
      <c r="BQ109" s="564"/>
      <c r="BR109" s="564"/>
      <c r="BS109" s="564"/>
      <c r="BT109" s="564"/>
      <c r="BU109" s="564"/>
      <c r="BV109" s="564"/>
      <c r="BW109" s="564"/>
      <c r="BX109" s="564"/>
      <c r="BY109" s="564"/>
      <c r="BZ109" s="564"/>
      <c r="CA109" s="564"/>
      <c r="CB109" s="564"/>
      <c r="CC109" s="564"/>
      <c r="CD109" s="564"/>
      <c r="CE109" s="564"/>
      <c r="CF109" s="564"/>
      <c r="CG109" s="564"/>
      <c r="CH109" s="564"/>
      <c r="CI109" s="564"/>
      <c r="CJ109" s="564"/>
      <c r="CK109" s="564"/>
      <c r="CL109" s="564"/>
      <c r="CM109" s="564"/>
      <c r="CN109" s="564"/>
      <c r="CO109" s="564"/>
      <c r="CP109" s="564"/>
      <c r="CQ109" s="564"/>
      <c r="CR109" s="564"/>
      <c r="CS109" s="564"/>
      <c r="CT109" s="564"/>
      <c r="CU109" s="564"/>
      <c r="CV109" s="564"/>
      <c r="CW109" s="564"/>
      <c r="CX109" s="564"/>
      <c r="CY109" s="564"/>
      <c r="CZ109" s="564"/>
      <c r="DA109" s="564"/>
      <c r="DB109" s="564"/>
      <c r="DC109" s="564"/>
      <c r="DD109" s="564"/>
      <c r="DE109" s="564"/>
      <c r="DF109" s="564"/>
      <c r="DG109" s="564"/>
      <c r="DH109" s="564"/>
      <c r="DI109" s="564"/>
      <c r="DJ109" s="564"/>
      <c r="DK109" s="564"/>
      <c r="DL109" s="564"/>
      <c r="DM109" s="564"/>
      <c r="DN109" s="564"/>
      <c r="DO109" s="564"/>
      <c r="DP109" s="564"/>
      <c r="DQ109" s="564"/>
      <c r="DR109" s="564"/>
      <c r="DS109" s="564"/>
      <c r="DT109" s="564"/>
      <c r="DU109" s="564"/>
      <c r="DV109" s="564"/>
      <c r="DW109" s="564"/>
      <c r="DX109" s="564"/>
      <c r="DY109" s="564"/>
      <c r="DZ109" s="564"/>
      <c r="EA109" s="564"/>
      <c r="EB109" s="564"/>
      <c r="EC109" s="564"/>
      <c r="ED109" s="564"/>
      <c r="EE109" s="564"/>
      <c r="EF109" s="564"/>
      <c r="EG109" s="564"/>
      <c r="EH109" s="564"/>
      <c r="EI109" s="564"/>
      <c r="EJ109" s="564"/>
      <c r="EK109" s="564"/>
      <c r="EL109" s="564"/>
      <c r="EM109" s="564"/>
      <c r="EN109" s="564"/>
      <c r="EO109" s="564"/>
      <c r="EP109" s="564"/>
      <c r="EQ109" s="564"/>
      <c r="ER109" s="564"/>
      <c r="ES109" s="564"/>
      <c r="ET109" s="564"/>
      <c r="EU109" s="564"/>
      <c r="EV109" s="564"/>
      <c r="EW109" s="564"/>
      <c r="EX109" s="564"/>
      <c r="EY109" s="564"/>
      <c r="EZ109" s="564"/>
      <c r="FA109" s="564"/>
      <c r="FB109" s="564"/>
      <c r="FC109" s="564"/>
      <c r="FD109" s="564"/>
      <c r="FE109" s="564"/>
      <c r="FF109" s="564"/>
      <c r="FG109" s="564"/>
      <c r="FH109" s="564"/>
      <c r="FI109" s="564"/>
      <c r="FJ109" s="564"/>
      <c r="FK109" s="564"/>
      <c r="FL109" s="564"/>
      <c r="FM109" s="564"/>
      <c r="FN109" s="564"/>
      <c r="FO109" s="564"/>
      <c r="FP109" s="564"/>
      <c r="FQ109" s="564"/>
      <c r="FR109" s="564"/>
      <c r="FS109" s="564"/>
      <c r="FT109" s="564"/>
      <c r="FU109" s="564"/>
      <c r="FV109" s="564"/>
      <c r="FW109" s="564"/>
      <c r="FX109" s="564"/>
      <c r="FY109" s="564"/>
      <c r="FZ109" s="564"/>
      <c r="GA109" s="564"/>
      <c r="GB109" s="564"/>
      <c r="GC109" s="564"/>
      <c r="GD109" s="564"/>
      <c r="GE109" s="564"/>
      <c r="GF109" s="564"/>
      <c r="GG109" s="564"/>
      <c r="GH109" s="564"/>
      <c r="GI109" s="564"/>
      <c r="GJ109" s="564"/>
      <c r="GK109" s="564"/>
      <c r="GL109" s="564"/>
      <c r="GM109" s="564"/>
      <c r="GN109" s="564"/>
      <c r="GO109" s="564"/>
      <c r="GP109" s="564"/>
      <c r="GQ109" s="564"/>
      <c r="GR109" s="564"/>
      <c r="GS109" s="564"/>
      <c r="GT109" s="564"/>
      <c r="GU109" s="564"/>
      <c r="GV109" s="564"/>
      <c r="GW109" s="564"/>
      <c r="GX109" s="564"/>
      <c r="GY109" s="564"/>
      <c r="GZ109" s="564"/>
      <c r="HA109" s="564"/>
      <c r="HB109" s="564"/>
      <c r="HC109" s="564"/>
      <c r="HD109" s="564"/>
      <c r="HE109" s="564"/>
      <c r="HF109" s="564"/>
      <c r="HG109" s="564"/>
      <c r="HH109" s="564"/>
      <c r="HI109" s="564"/>
      <c r="HJ109" s="564"/>
      <c r="HK109" s="564"/>
      <c r="HL109" s="564"/>
      <c r="HM109" s="564"/>
      <c r="HN109" s="564"/>
      <c r="HO109" s="564"/>
      <c r="HP109" s="564"/>
      <c r="HQ109" s="564"/>
      <c r="HR109" s="564"/>
      <c r="HS109" s="564"/>
      <c r="HT109" s="564"/>
      <c r="HU109" s="564"/>
      <c r="HV109" s="564"/>
      <c r="HW109" s="564"/>
      <c r="HX109" s="564"/>
      <c r="HY109" s="564"/>
      <c r="HZ109" s="564"/>
      <c r="IA109" s="564"/>
      <c r="IB109" s="564"/>
      <c r="IC109" s="564"/>
      <c r="ID109" s="564"/>
      <c r="IE109" s="564"/>
      <c r="IF109" s="564"/>
      <c r="IG109" s="564"/>
      <c r="IH109" s="564"/>
      <c r="II109" s="564"/>
      <c r="IJ109" s="564"/>
      <c r="IK109" s="564"/>
      <c r="IL109" s="564"/>
      <c r="IM109" s="564"/>
      <c r="IN109" s="564"/>
      <c r="IO109" s="564"/>
      <c r="IP109" s="564"/>
      <c r="IQ109" s="564"/>
      <c r="IR109" s="564"/>
      <c r="IS109" s="564"/>
      <c r="IT109" s="564"/>
      <c r="IU109" s="564"/>
      <c r="IV109" s="564"/>
      <c r="IW109" s="564"/>
      <c r="IX109" s="564"/>
      <c r="IY109" s="564"/>
      <c r="IZ109" s="564"/>
      <c r="JA109" s="564"/>
      <c r="JB109" s="564"/>
      <c r="JC109" s="564"/>
      <c r="JD109" s="564"/>
      <c r="JE109" s="564"/>
      <c r="JF109" s="564"/>
      <c r="JG109" s="564"/>
      <c r="JH109" s="564"/>
      <c r="JI109" s="564"/>
      <c r="JJ109" s="564"/>
      <c r="JK109" s="564"/>
      <c r="JL109" s="564"/>
      <c r="JM109" s="564"/>
      <c r="JN109" s="564"/>
      <c r="JO109" s="564"/>
      <c r="JP109" s="564"/>
      <c r="JQ109" s="564"/>
      <c r="JR109" s="564"/>
      <c r="JS109" s="564"/>
      <c r="JT109" s="564"/>
      <c r="JU109" s="564"/>
      <c r="JV109" s="564"/>
      <c r="JW109" s="564"/>
      <c r="JX109" s="564"/>
      <c r="JY109" s="564"/>
    </row>
    <row r="110" spans="1:285" s="567" customFormat="1" hidden="1" x14ac:dyDescent="0.2">
      <c r="A110" s="344" t="s">
        <v>3031</v>
      </c>
      <c r="C110" s="567" t="s">
        <v>14236</v>
      </c>
      <c r="D110" s="659" t="s">
        <v>14237</v>
      </c>
      <c r="E110" s="567">
        <f>SUMPRODUCT(E80:E107,$AI80:$AI107)</f>
        <v>7</v>
      </c>
      <c r="F110" s="659">
        <f>2</f>
        <v>2</v>
      </c>
      <c r="G110" s="567">
        <f>SUMPRODUCT(G80:G107,$AI80:$AI107)</f>
        <v>10</v>
      </c>
      <c r="H110" s="659"/>
      <c r="I110" s="659"/>
      <c r="J110" s="659" t="s">
        <v>7</v>
      </c>
      <c r="K110" s="659" t="s">
        <v>11</v>
      </c>
      <c r="L110" s="567">
        <f>SUMPRODUCT(L80:L107,$AI80:$AI107)</f>
        <v>3.76</v>
      </c>
      <c r="M110" s="567">
        <f>SUMPRODUCT(M80:M107,$AI80:$AI107)</f>
        <v>2</v>
      </c>
      <c r="N110" s="659"/>
      <c r="O110" s="659"/>
      <c r="P110" s="567">
        <f t="shared" ref="P110:AD110" si="157">SUMPRODUCT(P80:P107,$AI80:$AI107)</f>
        <v>10</v>
      </c>
      <c r="Q110" s="567">
        <f t="shared" si="157"/>
        <v>0</v>
      </c>
      <c r="R110" s="567">
        <f t="shared" si="157"/>
        <v>0</v>
      </c>
      <c r="S110" s="567">
        <f t="shared" si="157"/>
        <v>1.05</v>
      </c>
      <c r="T110" s="567">
        <f t="shared" si="157"/>
        <v>1.05</v>
      </c>
      <c r="U110" s="567">
        <f t="shared" si="157"/>
        <v>1.05</v>
      </c>
      <c r="V110" s="567">
        <f t="shared" si="157"/>
        <v>0</v>
      </c>
      <c r="W110" s="567">
        <f t="shared" si="157"/>
        <v>0</v>
      </c>
      <c r="X110" s="567">
        <f t="shared" si="157"/>
        <v>0</v>
      </c>
      <c r="Y110" s="567">
        <f t="shared" si="157"/>
        <v>0</v>
      </c>
      <c r="Z110" s="567">
        <f t="shared" si="157"/>
        <v>0</v>
      </c>
      <c r="AA110" s="567">
        <f t="shared" si="157"/>
        <v>0.01</v>
      </c>
      <c r="AB110" s="567">
        <f t="shared" si="157"/>
        <v>1.05</v>
      </c>
      <c r="AC110" s="567">
        <f t="shared" si="157"/>
        <v>1</v>
      </c>
      <c r="AD110" s="567">
        <f t="shared" si="157"/>
        <v>0.05</v>
      </c>
      <c r="AE110" s="38" t="s">
        <v>14238</v>
      </c>
      <c r="AI110" s="564"/>
      <c r="AJ110" s="564"/>
      <c r="AK110" s="564"/>
      <c r="AL110" s="564"/>
      <c r="AM110" s="564"/>
      <c r="AN110" s="564"/>
      <c r="AO110" s="564"/>
      <c r="AP110" s="564"/>
      <c r="AQ110" s="564"/>
      <c r="AR110" s="564"/>
      <c r="AS110" s="564"/>
      <c r="AT110" s="564"/>
      <c r="AU110" s="564"/>
      <c r="AV110" s="564"/>
      <c r="AW110" s="564"/>
      <c r="AX110" s="564"/>
      <c r="AY110" s="564"/>
      <c r="AZ110" s="564"/>
      <c r="BA110" s="564"/>
      <c r="BB110" s="564"/>
      <c r="BC110" s="564"/>
      <c r="BD110" s="564"/>
      <c r="BE110" s="564"/>
      <c r="BF110" s="564"/>
      <c r="BG110" s="564"/>
      <c r="BH110" s="564"/>
      <c r="BI110" s="564"/>
      <c r="BJ110" s="564"/>
      <c r="BK110" s="564"/>
      <c r="BL110" s="564"/>
      <c r="BM110" s="564"/>
      <c r="BN110" s="564"/>
      <c r="BO110" s="564"/>
      <c r="BP110" s="564"/>
      <c r="BQ110" s="564"/>
      <c r="BR110" s="564"/>
      <c r="BS110" s="564"/>
      <c r="BT110" s="564"/>
      <c r="BU110" s="564"/>
      <c r="BV110" s="564"/>
      <c r="BW110" s="564"/>
      <c r="BX110" s="564"/>
      <c r="BY110" s="564"/>
      <c r="BZ110" s="564"/>
      <c r="CA110" s="564"/>
      <c r="CB110" s="564"/>
      <c r="CC110" s="564"/>
      <c r="CD110" s="564"/>
      <c r="CE110" s="564"/>
      <c r="CF110" s="564"/>
      <c r="CG110" s="564"/>
      <c r="CH110" s="564"/>
      <c r="CI110" s="564"/>
      <c r="CJ110" s="564"/>
      <c r="CK110" s="564"/>
      <c r="CL110" s="564"/>
      <c r="CM110" s="564"/>
      <c r="CN110" s="564"/>
      <c r="CO110" s="564"/>
      <c r="CP110" s="564"/>
      <c r="CQ110" s="564"/>
      <c r="CR110" s="564"/>
      <c r="CS110" s="564"/>
      <c r="CT110" s="564"/>
      <c r="CU110" s="564"/>
      <c r="CV110" s="564"/>
      <c r="CW110" s="564"/>
      <c r="CX110" s="564"/>
      <c r="CY110" s="564"/>
      <c r="CZ110" s="564"/>
      <c r="DA110" s="564"/>
      <c r="DB110" s="564"/>
      <c r="DC110" s="564"/>
      <c r="DD110" s="564"/>
      <c r="DE110" s="564"/>
      <c r="DF110" s="564"/>
      <c r="DG110" s="564"/>
      <c r="DH110" s="564"/>
      <c r="DI110" s="564"/>
      <c r="DJ110" s="564"/>
      <c r="DK110" s="564"/>
      <c r="DL110" s="564"/>
      <c r="DM110" s="564"/>
      <c r="DN110" s="564"/>
      <c r="DO110" s="564"/>
      <c r="DP110" s="564"/>
      <c r="DQ110" s="564"/>
      <c r="DR110" s="564"/>
      <c r="DS110" s="564"/>
      <c r="DT110" s="564"/>
      <c r="DU110" s="564"/>
      <c r="DV110" s="564"/>
      <c r="DW110" s="564"/>
      <c r="DX110" s="564"/>
      <c r="DY110" s="564"/>
      <c r="DZ110" s="564"/>
      <c r="EA110" s="564"/>
      <c r="EB110" s="564"/>
      <c r="EC110" s="564"/>
      <c r="ED110" s="564"/>
      <c r="EE110" s="564"/>
      <c r="EF110" s="564"/>
      <c r="EG110" s="564"/>
      <c r="EH110" s="564"/>
      <c r="EI110" s="564"/>
      <c r="EJ110" s="564"/>
      <c r="EK110" s="564"/>
      <c r="EL110" s="564"/>
      <c r="EM110" s="564"/>
      <c r="EN110" s="564"/>
      <c r="EO110" s="564"/>
      <c r="EP110" s="564"/>
      <c r="EQ110" s="564"/>
      <c r="ER110" s="564"/>
      <c r="ES110" s="564"/>
      <c r="ET110" s="564"/>
      <c r="EU110" s="564"/>
      <c r="EV110" s="564"/>
      <c r="EW110" s="564"/>
      <c r="EX110" s="564"/>
      <c r="EY110" s="564"/>
      <c r="EZ110" s="564"/>
      <c r="FA110" s="564"/>
      <c r="FB110" s="564"/>
      <c r="FC110" s="564"/>
      <c r="FD110" s="564"/>
      <c r="FE110" s="564"/>
      <c r="FF110" s="564"/>
      <c r="FG110" s="564"/>
      <c r="FH110" s="564"/>
      <c r="FI110" s="564"/>
      <c r="FJ110" s="564"/>
      <c r="FK110" s="564"/>
      <c r="FL110" s="564"/>
      <c r="FM110" s="564"/>
      <c r="FN110" s="564"/>
      <c r="FO110" s="564"/>
      <c r="FP110" s="564"/>
      <c r="FQ110" s="564"/>
      <c r="FR110" s="564"/>
      <c r="FS110" s="564"/>
      <c r="FT110" s="564"/>
      <c r="FU110" s="564"/>
      <c r="FV110" s="564"/>
      <c r="FW110" s="564"/>
      <c r="FX110" s="564"/>
      <c r="FY110" s="564"/>
      <c r="FZ110" s="564"/>
      <c r="GA110" s="564"/>
      <c r="GB110" s="564"/>
      <c r="GC110" s="564"/>
      <c r="GD110" s="564"/>
      <c r="GE110" s="564"/>
      <c r="GF110" s="564"/>
      <c r="GG110" s="564"/>
      <c r="GH110" s="564"/>
      <c r="GI110" s="564"/>
      <c r="GJ110" s="564"/>
      <c r="GK110" s="564"/>
      <c r="GL110" s="564"/>
      <c r="GM110" s="564"/>
      <c r="GN110" s="564"/>
      <c r="GO110" s="564"/>
      <c r="GP110" s="564"/>
      <c r="GQ110" s="564"/>
      <c r="GR110" s="564"/>
      <c r="GS110" s="564"/>
      <c r="GT110" s="564"/>
      <c r="GU110" s="564"/>
      <c r="GV110" s="564"/>
      <c r="GW110" s="564"/>
      <c r="GX110" s="564"/>
      <c r="GY110" s="564"/>
      <c r="GZ110" s="564"/>
      <c r="HA110" s="564"/>
      <c r="HB110" s="564"/>
      <c r="HC110" s="564"/>
      <c r="HD110" s="564"/>
      <c r="HE110" s="564"/>
      <c r="HF110" s="564"/>
      <c r="HG110" s="564"/>
      <c r="HH110" s="564"/>
      <c r="HI110" s="564"/>
      <c r="HJ110" s="564"/>
      <c r="HK110" s="564"/>
      <c r="HL110" s="564"/>
      <c r="HM110" s="564"/>
      <c r="HN110" s="564"/>
      <c r="HO110" s="564"/>
      <c r="HP110" s="564"/>
      <c r="HQ110" s="564"/>
      <c r="HR110" s="564"/>
      <c r="HS110" s="564"/>
      <c r="HT110" s="564"/>
      <c r="HU110" s="564"/>
      <c r="HV110" s="564"/>
      <c r="HW110" s="564"/>
      <c r="HX110" s="564"/>
      <c r="HY110" s="564"/>
      <c r="HZ110" s="564"/>
      <c r="IA110" s="564"/>
      <c r="IB110" s="564"/>
      <c r="IC110" s="564"/>
      <c r="ID110" s="564"/>
      <c r="IE110" s="564"/>
      <c r="IF110" s="564"/>
      <c r="IG110" s="564"/>
      <c r="IH110" s="564"/>
      <c r="II110" s="564"/>
      <c r="IJ110" s="564"/>
      <c r="IK110" s="564"/>
      <c r="IL110" s="564"/>
      <c r="IM110" s="564"/>
      <c r="IN110" s="564"/>
      <c r="IO110" s="564"/>
      <c r="IP110" s="564"/>
      <c r="IQ110" s="564"/>
      <c r="IR110" s="564"/>
      <c r="IS110" s="564"/>
      <c r="IT110" s="564"/>
      <c r="IU110" s="564"/>
      <c r="IV110" s="564"/>
      <c r="IW110" s="564"/>
      <c r="IX110" s="564"/>
      <c r="IY110" s="564"/>
      <c r="IZ110" s="564"/>
      <c r="JA110" s="564"/>
      <c r="JB110" s="564"/>
      <c r="JC110" s="564"/>
      <c r="JD110" s="564"/>
      <c r="JE110" s="564"/>
      <c r="JF110" s="564"/>
      <c r="JG110" s="564"/>
      <c r="JH110" s="564"/>
      <c r="JI110" s="564"/>
      <c r="JJ110" s="564"/>
      <c r="JK110" s="564"/>
      <c r="JL110" s="564"/>
      <c r="JM110" s="564"/>
      <c r="JN110" s="564"/>
      <c r="JO110" s="564"/>
      <c r="JP110" s="564"/>
      <c r="JQ110" s="564"/>
      <c r="JR110" s="564"/>
      <c r="JS110" s="564"/>
      <c r="JT110" s="564"/>
      <c r="JU110" s="564"/>
      <c r="JV110" s="564"/>
      <c r="JW110" s="564"/>
      <c r="JX110" s="564"/>
      <c r="JY110" s="564"/>
    </row>
    <row r="111" spans="1:285" s="567" customFormat="1" hidden="1" x14ac:dyDescent="0.2">
      <c r="A111" s="344" t="s">
        <v>3031</v>
      </c>
      <c r="C111" s="567" t="s">
        <v>14239</v>
      </c>
      <c r="D111" s="659" t="s">
        <v>14237</v>
      </c>
      <c r="E111" s="567">
        <f>SUMPRODUCT(E80:E107,$AJ80:$AJ107)</f>
        <v>7</v>
      </c>
      <c r="F111" s="659">
        <v>2</v>
      </c>
      <c r="G111" s="567">
        <f>SUMPRODUCT(G80:G107,$AJ80:$AJ107)</f>
        <v>10</v>
      </c>
      <c r="H111" s="659"/>
      <c r="I111" s="659"/>
      <c r="J111" s="659" t="s">
        <v>7</v>
      </c>
      <c r="K111" s="659" t="s">
        <v>11</v>
      </c>
      <c r="L111" s="567">
        <f>SUMPRODUCT(L80:L107,$AJ80:$AJ107)</f>
        <v>2.109</v>
      </c>
      <c r="M111" s="567">
        <f>SUMPRODUCT(M80:M107,$AJ80:$AJ107)</f>
        <v>2</v>
      </c>
      <c r="N111" s="659"/>
      <c r="O111" s="659"/>
      <c r="P111" s="567">
        <f t="shared" ref="P111:AD111" si="158">SUMPRODUCT(P80:P107,$AJ80:$AJ107)</f>
        <v>10</v>
      </c>
      <c r="Q111" s="567">
        <f t="shared" si="158"/>
        <v>0</v>
      </c>
      <c r="R111" s="567">
        <f t="shared" si="158"/>
        <v>0</v>
      </c>
      <c r="S111" s="567">
        <f t="shared" si="158"/>
        <v>1.05</v>
      </c>
      <c r="T111" s="567">
        <f t="shared" si="158"/>
        <v>1.05</v>
      </c>
      <c r="U111" s="567">
        <f t="shared" si="158"/>
        <v>1.05</v>
      </c>
      <c r="V111" s="567">
        <f t="shared" si="158"/>
        <v>0</v>
      </c>
      <c r="W111" s="567">
        <f t="shared" si="158"/>
        <v>0</v>
      </c>
      <c r="X111" s="567">
        <f t="shared" si="158"/>
        <v>0</v>
      </c>
      <c r="Y111" s="567">
        <f t="shared" si="158"/>
        <v>0</v>
      </c>
      <c r="Z111" s="567">
        <f t="shared" si="158"/>
        <v>0</v>
      </c>
      <c r="AA111" s="567">
        <f t="shared" si="158"/>
        <v>0.01</v>
      </c>
      <c r="AB111" s="567">
        <f t="shared" si="158"/>
        <v>1.05</v>
      </c>
      <c r="AC111" s="567">
        <f t="shared" si="158"/>
        <v>1</v>
      </c>
      <c r="AD111" s="567">
        <f t="shared" si="158"/>
        <v>0.05</v>
      </c>
      <c r="AI111" s="564"/>
      <c r="AJ111" s="564"/>
      <c r="AK111" s="564"/>
      <c r="AL111" s="564"/>
      <c r="AM111" s="564"/>
      <c r="AN111" s="564"/>
      <c r="AO111" s="564"/>
      <c r="AP111" s="564"/>
      <c r="AQ111" s="564"/>
      <c r="AR111" s="564"/>
      <c r="AS111" s="564"/>
      <c r="AT111" s="564"/>
      <c r="AU111" s="564"/>
      <c r="AV111" s="564"/>
      <c r="AW111" s="564"/>
      <c r="AX111" s="564"/>
      <c r="AY111" s="564"/>
      <c r="AZ111" s="564"/>
      <c r="BA111" s="564"/>
      <c r="BB111" s="564"/>
      <c r="BC111" s="564"/>
      <c r="BD111" s="564"/>
      <c r="BE111" s="564"/>
      <c r="BF111" s="564"/>
      <c r="BG111" s="564"/>
      <c r="BH111" s="564"/>
      <c r="BI111" s="564"/>
      <c r="BJ111" s="564"/>
      <c r="BK111" s="564"/>
      <c r="BL111" s="564"/>
      <c r="BM111" s="564"/>
      <c r="BN111" s="564"/>
      <c r="BO111" s="564"/>
      <c r="BP111" s="564"/>
      <c r="BQ111" s="564"/>
      <c r="BR111" s="564"/>
      <c r="BS111" s="564"/>
      <c r="BT111" s="564"/>
      <c r="BU111" s="564"/>
      <c r="BV111" s="564"/>
      <c r="BW111" s="564"/>
      <c r="BX111" s="564"/>
      <c r="BY111" s="564"/>
      <c r="BZ111" s="564"/>
      <c r="CA111" s="564"/>
      <c r="CB111" s="564"/>
      <c r="CC111" s="564"/>
      <c r="CD111" s="564"/>
      <c r="CE111" s="564"/>
      <c r="CF111" s="564"/>
      <c r="CG111" s="564"/>
      <c r="CH111" s="564"/>
      <c r="CI111" s="564"/>
      <c r="CJ111" s="564"/>
      <c r="CK111" s="564"/>
      <c r="CL111" s="564"/>
      <c r="CM111" s="564"/>
      <c r="CN111" s="564"/>
      <c r="CO111" s="564"/>
      <c r="CP111" s="564"/>
      <c r="CQ111" s="564"/>
      <c r="CR111" s="564"/>
      <c r="CS111" s="564"/>
      <c r="CT111" s="564"/>
      <c r="CU111" s="564"/>
      <c r="CV111" s="564"/>
      <c r="CW111" s="564"/>
      <c r="CX111" s="564"/>
      <c r="CY111" s="564"/>
      <c r="CZ111" s="564"/>
      <c r="DA111" s="564"/>
      <c r="DB111" s="564"/>
      <c r="DC111" s="564"/>
      <c r="DD111" s="564"/>
      <c r="DE111" s="564"/>
      <c r="DF111" s="564"/>
      <c r="DG111" s="564"/>
      <c r="DH111" s="564"/>
      <c r="DI111" s="564"/>
      <c r="DJ111" s="564"/>
      <c r="DK111" s="564"/>
      <c r="DL111" s="564"/>
      <c r="DM111" s="564"/>
      <c r="DN111" s="564"/>
      <c r="DO111" s="564"/>
      <c r="DP111" s="564"/>
      <c r="DQ111" s="564"/>
      <c r="DR111" s="564"/>
      <c r="DS111" s="564"/>
      <c r="DT111" s="564"/>
      <c r="DU111" s="564"/>
      <c r="DV111" s="564"/>
      <c r="DW111" s="564"/>
      <c r="DX111" s="564"/>
      <c r="DY111" s="564"/>
      <c r="DZ111" s="564"/>
      <c r="EA111" s="564"/>
      <c r="EB111" s="564"/>
      <c r="EC111" s="564"/>
      <c r="ED111" s="564"/>
      <c r="EE111" s="564"/>
      <c r="EF111" s="564"/>
      <c r="EG111" s="564"/>
      <c r="EH111" s="564"/>
      <c r="EI111" s="564"/>
      <c r="EJ111" s="564"/>
      <c r="EK111" s="564"/>
      <c r="EL111" s="564"/>
      <c r="EM111" s="564"/>
      <c r="EN111" s="564"/>
      <c r="EO111" s="564"/>
      <c r="EP111" s="564"/>
      <c r="EQ111" s="564"/>
      <c r="ER111" s="564"/>
      <c r="ES111" s="564"/>
      <c r="ET111" s="564"/>
      <c r="EU111" s="564"/>
      <c r="EV111" s="564"/>
      <c r="EW111" s="564"/>
      <c r="EX111" s="564"/>
      <c r="EY111" s="564"/>
      <c r="EZ111" s="564"/>
      <c r="FA111" s="564"/>
      <c r="FB111" s="564"/>
      <c r="FC111" s="564"/>
      <c r="FD111" s="564"/>
      <c r="FE111" s="564"/>
      <c r="FF111" s="564"/>
      <c r="FG111" s="564"/>
      <c r="FH111" s="564"/>
      <c r="FI111" s="564"/>
      <c r="FJ111" s="564"/>
      <c r="FK111" s="564"/>
      <c r="FL111" s="564"/>
      <c r="FM111" s="564"/>
      <c r="FN111" s="564"/>
      <c r="FO111" s="564"/>
      <c r="FP111" s="564"/>
      <c r="FQ111" s="564"/>
      <c r="FR111" s="564"/>
      <c r="FS111" s="564"/>
      <c r="FT111" s="564"/>
      <c r="FU111" s="564"/>
      <c r="FV111" s="564"/>
      <c r="FW111" s="564"/>
      <c r="FX111" s="564"/>
      <c r="FY111" s="564"/>
      <c r="FZ111" s="564"/>
      <c r="GA111" s="564"/>
      <c r="GB111" s="564"/>
      <c r="GC111" s="564"/>
      <c r="GD111" s="564"/>
      <c r="GE111" s="564"/>
      <c r="GF111" s="564"/>
      <c r="GG111" s="564"/>
      <c r="GH111" s="564"/>
      <c r="GI111" s="564"/>
      <c r="GJ111" s="564"/>
      <c r="GK111" s="564"/>
      <c r="GL111" s="564"/>
      <c r="GM111" s="564"/>
      <c r="GN111" s="564"/>
      <c r="GO111" s="564"/>
      <c r="GP111" s="564"/>
      <c r="GQ111" s="564"/>
      <c r="GR111" s="564"/>
      <c r="GS111" s="564"/>
      <c r="GT111" s="564"/>
      <c r="GU111" s="564"/>
      <c r="GV111" s="564"/>
      <c r="GW111" s="564"/>
      <c r="GX111" s="564"/>
      <c r="GY111" s="564"/>
      <c r="GZ111" s="564"/>
      <c r="HA111" s="564"/>
      <c r="HB111" s="564"/>
      <c r="HC111" s="564"/>
      <c r="HD111" s="564"/>
      <c r="HE111" s="564"/>
      <c r="HF111" s="564"/>
      <c r="HG111" s="564"/>
      <c r="HH111" s="564"/>
      <c r="HI111" s="564"/>
      <c r="HJ111" s="564"/>
      <c r="HK111" s="564"/>
      <c r="HL111" s="564"/>
      <c r="HM111" s="564"/>
      <c r="HN111" s="564"/>
      <c r="HO111" s="564"/>
      <c r="HP111" s="564"/>
      <c r="HQ111" s="564"/>
      <c r="HR111" s="564"/>
      <c r="HS111" s="564"/>
      <c r="HT111" s="564"/>
      <c r="HU111" s="564"/>
      <c r="HV111" s="564"/>
      <c r="HW111" s="564"/>
      <c r="HX111" s="564"/>
      <c r="HY111" s="564"/>
      <c r="HZ111" s="564"/>
      <c r="IA111" s="564"/>
      <c r="IB111" s="564"/>
      <c r="IC111" s="564"/>
      <c r="ID111" s="564"/>
      <c r="IE111" s="564"/>
      <c r="IF111" s="564"/>
      <c r="IG111" s="564"/>
      <c r="IH111" s="564"/>
      <c r="II111" s="564"/>
      <c r="IJ111" s="564"/>
      <c r="IK111" s="564"/>
      <c r="IL111" s="564"/>
      <c r="IM111" s="564"/>
      <c r="IN111" s="564"/>
      <c r="IO111" s="564"/>
      <c r="IP111" s="564"/>
      <c r="IQ111" s="564"/>
      <c r="IR111" s="564"/>
      <c r="IS111" s="564"/>
      <c r="IT111" s="564"/>
      <c r="IU111" s="564"/>
      <c r="IV111" s="564"/>
      <c r="IW111" s="564"/>
      <c r="IX111" s="564"/>
      <c r="IY111" s="564"/>
      <c r="IZ111" s="564"/>
      <c r="JA111" s="564"/>
      <c r="JB111" s="564"/>
      <c r="JC111" s="564"/>
      <c r="JD111" s="564"/>
      <c r="JE111" s="564"/>
      <c r="JF111" s="564"/>
      <c r="JG111" s="564"/>
      <c r="JH111" s="564"/>
      <c r="JI111" s="564"/>
      <c r="JJ111" s="564"/>
      <c r="JK111" s="564"/>
      <c r="JL111" s="564"/>
      <c r="JM111" s="564"/>
      <c r="JN111" s="564"/>
      <c r="JO111" s="564"/>
      <c r="JP111" s="564"/>
      <c r="JQ111" s="564"/>
      <c r="JR111" s="564"/>
      <c r="JS111" s="564"/>
      <c r="JT111" s="564"/>
      <c r="JU111" s="564"/>
      <c r="JV111" s="564"/>
      <c r="JW111" s="564"/>
      <c r="JX111" s="564"/>
      <c r="JY111" s="564"/>
    </row>
    <row r="112" spans="1:285" s="567" customFormat="1" hidden="1" x14ac:dyDescent="0.2">
      <c r="A112" s="344" t="s">
        <v>3031</v>
      </c>
      <c r="C112" s="567" t="s">
        <v>14240</v>
      </c>
      <c r="D112" s="659" t="s">
        <v>14237</v>
      </c>
      <c r="E112" s="567">
        <f>SUMPRODUCT(E80:E107,$AK80:$AK107)</f>
        <v>7</v>
      </c>
      <c r="F112" s="659">
        <v>2</v>
      </c>
      <c r="G112" s="567">
        <f>SUMPRODUCT(G80:G107,$AK80:$AK107)</f>
        <v>10</v>
      </c>
      <c r="H112" s="659"/>
      <c r="I112" s="659"/>
      <c r="J112" s="659" t="s">
        <v>7</v>
      </c>
      <c r="K112" s="659" t="s">
        <v>11</v>
      </c>
      <c r="L112" s="567">
        <f t="shared" ref="L112:AD112" si="159">SUMPRODUCT(L80:L107,$AK80:$AK107)</f>
        <v>3.76</v>
      </c>
      <c r="M112" s="567">
        <f t="shared" si="159"/>
        <v>2</v>
      </c>
      <c r="N112" s="567">
        <f t="shared" si="159"/>
        <v>0</v>
      </c>
      <c r="O112" s="567">
        <f t="shared" si="159"/>
        <v>0</v>
      </c>
      <c r="P112" s="567">
        <f t="shared" si="159"/>
        <v>10</v>
      </c>
      <c r="Q112" s="567">
        <f t="shared" si="159"/>
        <v>0</v>
      </c>
      <c r="R112" s="567">
        <f t="shared" si="159"/>
        <v>0</v>
      </c>
      <c r="S112" s="567">
        <f t="shared" si="159"/>
        <v>1.05</v>
      </c>
      <c r="T112" s="567">
        <f t="shared" si="159"/>
        <v>1.05</v>
      </c>
      <c r="U112" s="567">
        <f t="shared" si="159"/>
        <v>1.05</v>
      </c>
      <c r="V112" s="567">
        <f t="shared" si="159"/>
        <v>0</v>
      </c>
      <c r="W112" s="567">
        <f t="shared" si="159"/>
        <v>0</v>
      </c>
      <c r="X112" s="567">
        <f t="shared" si="159"/>
        <v>0</v>
      </c>
      <c r="Y112" s="567">
        <f t="shared" si="159"/>
        <v>0</v>
      </c>
      <c r="Z112" s="567">
        <f t="shared" si="159"/>
        <v>0</v>
      </c>
      <c r="AA112" s="567">
        <f t="shared" si="159"/>
        <v>0.01</v>
      </c>
      <c r="AB112" s="567">
        <f t="shared" si="159"/>
        <v>1.05</v>
      </c>
      <c r="AC112" s="567">
        <f t="shared" si="159"/>
        <v>1</v>
      </c>
      <c r="AD112" s="567">
        <f t="shared" si="159"/>
        <v>0.05</v>
      </c>
      <c r="AI112" s="564"/>
      <c r="AJ112" s="564"/>
      <c r="AK112" s="564"/>
      <c r="AL112" s="564"/>
      <c r="AM112" s="564"/>
      <c r="AN112" s="564"/>
      <c r="AO112" s="564"/>
      <c r="AP112" s="564"/>
      <c r="AQ112" s="564"/>
      <c r="AR112" s="564"/>
      <c r="AS112" s="564"/>
      <c r="AT112" s="564"/>
      <c r="AU112" s="564"/>
      <c r="AV112" s="564"/>
      <c r="AW112" s="564"/>
      <c r="AX112" s="564"/>
      <c r="AY112" s="564"/>
      <c r="AZ112" s="564"/>
      <c r="BA112" s="564"/>
      <c r="BB112" s="564"/>
      <c r="BC112" s="564"/>
      <c r="BD112" s="564"/>
      <c r="BE112" s="564"/>
      <c r="BF112" s="564"/>
      <c r="BG112" s="564"/>
      <c r="BH112" s="564"/>
      <c r="BI112" s="564"/>
      <c r="BJ112" s="564"/>
      <c r="BK112" s="564"/>
      <c r="BL112" s="564"/>
      <c r="BM112" s="564"/>
      <c r="BN112" s="564"/>
      <c r="BO112" s="564"/>
      <c r="BP112" s="564"/>
      <c r="BQ112" s="564"/>
      <c r="BR112" s="564"/>
      <c r="BS112" s="564"/>
      <c r="BT112" s="564"/>
      <c r="BU112" s="564"/>
      <c r="BV112" s="564"/>
      <c r="BW112" s="564"/>
      <c r="BX112" s="564"/>
      <c r="BY112" s="564"/>
      <c r="BZ112" s="564"/>
      <c r="CA112" s="564"/>
      <c r="CB112" s="564"/>
      <c r="CC112" s="564"/>
      <c r="CD112" s="564"/>
      <c r="CE112" s="564"/>
      <c r="CF112" s="564"/>
      <c r="CG112" s="564"/>
      <c r="CH112" s="564"/>
      <c r="CI112" s="564"/>
      <c r="CJ112" s="564"/>
      <c r="CK112" s="564"/>
      <c r="CL112" s="564"/>
      <c r="CM112" s="564"/>
      <c r="CN112" s="564"/>
      <c r="CO112" s="564"/>
      <c r="CP112" s="564"/>
      <c r="CQ112" s="564"/>
      <c r="CR112" s="564"/>
      <c r="CS112" s="564"/>
      <c r="CT112" s="564"/>
      <c r="CU112" s="564"/>
      <c r="CV112" s="564"/>
      <c r="CW112" s="564"/>
      <c r="CX112" s="564"/>
      <c r="CY112" s="564"/>
      <c r="CZ112" s="564"/>
      <c r="DA112" s="564"/>
      <c r="DB112" s="564"/>
      <c r="DC112" s="564"/>
      <c r="DD112" s="564"/>
      <c r="DE112" s="564"/>
      <c r="DF112" s="564"/>
      <c r="DG112" s="564"/>
      <c r="DH112" s="564"/>
      <c r="DI112" s="564"/>
      <c r="DJ112" s="564"/>
      <c r="DK112" s="564"/>
      <c r="DL112" s="564"/>
      <c r="DM112" s="564"/>
      <c r="DN112" s="564"/>
      <c r="DO112" s="564"/>
      <c r="DP112" s="564"/>
      <c r="DQ112" s="564"/>
      <c r="DR112" s="564"/>
      <c r="DS112" s="564"/>
      <c r="DT112" s="564"/>
      <c r="DU112" s="564"/>
      <c r="DV112" s="564"/>
      <c r="DW112" s="564"/>
      <c r="DX112" s="564"/>
      <c r="DY112" s="564"/>
      <c r="DZ112" s="564"/>
      <c r="EA112" s="564"/>
      <c r="EB112" s="564"/>
      <c r="EC112" s="564"/>
      <c r="ED112" s="564"/>
      <c r="EE112" s="564"/>
      <c r="EF112" s="564"/>
      <c r="EG112" s="564"/>
      <c r="EH112" s="564"/>
      <c r="EI112" s="564"/>
      <c r="EJ112" s="564"/>
      <c r="EK112" s="564"/>
      <c r="EL112" s="564"/>
      <c r="EM112" s="564"/>
      <c r="EN112" s="564"/>
      <c r="EO112" s="564"/>
      <c r="EP112" s="564"/>
      <c r="EQ112" s="564"/>
      <c r="ER112" s="564"/>
      <c r="ES112" s="564"/>
      <c r="ET112" s="564"/>
      <c r="EU112" s="564"/>
      <c r="EV112" s="564"/>
      <c r="EW112" s="564"/>
      <c r="EX112" s="564"/>
      <c r="EY112" s="564"/>
      <c r="EZ112" s="564"/>
      <c r="FA112" s="564"/>
      <c r="FB112" s="564"/>
      <c r="FC112" s="564"/>
      <c r="FD112" s="564"/>
      <c r="FE112" s="564"/>
      <c r="FF112" s="564"/>
      <c r="FG112" s="564"/>
      <c r="FH112" s="564"/>
      <c r="FI112" s="564"/>
      <c r="FJ112" s="564"/>
      <c r="FK112" s="564"/>
      <c r="FL112" s="564"/>
      <c r="FM112" s="564"/>
      <c r="FN112" s="564"/>
      <c r="FO112" s="564"/>
      <c r="FP112" s="564"/>
      <c r="FQ112" s="564"/>
      <c r="FR112" s="564"/>
      <c r="FS112" s="564"/>
      <c r="FT112" s="564"/>
      <c r="FU112" s="564"/>
      <c r="FV112" s="564"/>
      <c r="FW112" s="564"/>
      <c r="FX112" s="564"/>
      <c r="FY112" s="564"/>
      <c r="FZ112" s="564"/>
      <c r="GA112" s="564"/>
      <c r="GB112" s="564"/>
      <c r="GC112" s="564"/>
      <c r="GD112" s="564"/>
      <c r="GE112" s="564"/>
      <c r="GF112" s="564"/>
      <c r="GG112" s="564"/>
      <c r="GH112" s="564"/>
      <c r="GI112" s="564"/>
      <c r="GJ112" s="564"/>
      <c r="GK112" s="564"/>
      <c r="GL112" s="564"/>
      <c r="GM112" s="564"/>
      <c r="GN112" s="564"/>
      <c r="GO112" s="564"/>
      <c r="GP112" s="564"/>
      <c r="GQ112" s="564"/>
      <c r="GR112" s="564"/>
      <c r="GS112" s="564"/>
      <c r="GT112" s="564"/>
      <c r="GU112" s="564"/>
      <c r="GV112" s="564"/>
      <c r="GW112" s="564"/>
      <c r="GX112" s="564"/>
      <c r="GY112" s="564"/>
      <c r="GZ112" s="564"/>
      <c r="HA112" s="564"/>
      <c r="HB112" s="564"/>
      <c r="HC112" s="564"/>
      <c r="HD112" s="564"/>
      <c r="HE112" s="564"/>
      <c r="HF112" s="564"/>
      <c r="HG112" s="564"/>
      <c r="HH112" s="564"/>
      <c r="HI112" s="564"/>
      <c r="HJ112" s="564"/>
      <c r="HK112" s="564"/>
      <c r="HL112" s="564"/>
      <c r="HM112" s="564"/>
      <c r="HN112" s="564"/>
      <c r="HO112" s="564"/>
      <c r="HP112" s="564"/>
      <c r="HQ112" s="564"/>
      <c r="HR112" s="564"/>
      <c r="HS112" s="564"/>
      <c r="HT112" s="564"/>
      <c r="HU112" s="564"/>
      <c r="HV112" s="564"/>
      <c r="HW112" s="564"/>
      <c r="HX112" s="564"/>
      <c r="HY112" s="564"/>
      <c r="HZ112" s="564"/>
      <c r="IA112" s="564"/>
      <c r="IB112" s="564"/>
      <c r="IC112" s="564"/>
      <c r="ID112" s="564"/>
      <c r="IE112" s="564"/>
      <c r="IF112" s="564"/>
      <c r="IG112" s="564"/>
      <c r="IH112" s="564"/>
      <c r="II112" s="564"/>
      <c r="IJ112" s="564"/>
      <c r="IK112" s="564"/>
      <c r="IL112" s="564"/>
      <c r="IM112" s="564"/>
      <c r="IN112" s="564"/>
      <c r="IO112" s="564"/>
      <c r="IP112" s="564"/>
      <c r="IQ112" s="564"/>
      <c r="IR112" s="564"/>
      <c r="IS112" s="564"/>
      <c r="IT112" s="564"/>
      <c r="IU112" s="564"/>
      <c r="IV112" s="564"/>
      <c r="IW112" s="564"/>
      <c r="IX112" s="564"/>
      <c r="IY112" s="564"/>
      <c r="IZ112" s="564"/>
      <c r="JA112" s="564"/>
      <c r="JB112" s="564"/>
      <c r="JC112" s="564"/>
      <c r="JD112" s="564"/>
      <c r="JE112" s="564"/>
      <c r="JF112" s="564"/>
      <c r="JG112" s="564"/>
      <c r="JH112" s="564"/>
      <c r="JI112" s="564"/>
      <c r="JJ112" s="564"/>
      <c r="JK112" s="564"/>
      <c r="JL112" s="564"/>
      <c r="JM112" s="564"/>
      <c r="JN112" s="564"/>
      <c r="JO112" s="564"/>
      <c r="JP112" s="564"/>
      <c r="JQ112" s="564"/>
      <c r="JR112" s="564"/>
      <c r="JS112" s="564"/>
      <c r="JT112" s="564"/>
      <c r="JU112" s="564"/>
      <c r="JV112" s="564"/>
      <c r="JW112" s="564"/>
      <c r="JX112" s="564"/>
      <c r="JY112" s="564"/>
    </row>
    <row r="113" spans="1:285" s="567" customFormat="1" hidden="1" x14ac:dyDescent="0.2">
      <c r="A113" s="344" t="s">
        <v>3031</v>
      </c>
      <c r="C113" s="567" t="s">
        <v>14241</v>
      </c>
      <c r="D113" s="659" t="s">
        <v>14237</v>
      </c>
      <c r="E113" s="567">
        <f>SUMPRODUCT(E80:E107,$AL80:$AL107)</f>
        <v>7</v>
      </c>
      <c r="F113" s="659">
        <v>2</v>
      </c>
      <c r="G113" s="567">
        <f>SUMPRODUCT(G80:G107,$AL80:$AL107)</f>
        <v>1</v>
      </c>
      <c r="H113" s="659"/>
      <c r="I113" s="659"/>
      <c r="J113" s="659" t="s">
        <v>7</v>
      </c>
      <c r="K113" s="659" t="s">
        <v>11</v>
      </c>
      <c r="L113" s="567">
        <f t="shared" ref="L113:AD113" si="160">SUMPRODUCT(L80:L107,$AL80:$AL107)</f>
        <v>94.9</v>
      </c>
      <c r="M113" s="567">
        <f t="shared" si="160"/>
        <v>30</v>
      </c>
      <c r="N113" s="567">
        <f t="shared" si="160"/>
        <v>0</v>
      </c>
      <c r="O113" s="567">
        <f t="shared" si="160"/>
        <v>0</v>
      </c>
      <c r="P113" s="567">
        <f t="shared" si="160"/>
        <v>10</v>
      </c>
      <c r="Q113" s="567">
        <f t="shared" si="160"/>
        <v>0</v>
      </c>
      <c r="R113" s="567">
        <f t="shared" si="160"/>
        <v>0</v>
      </c>
      <c r="S113" s="567">
        <f t="shared" si="160"/>
        <v>0</v>
      </c>
      <c r="T113" s="567">
        <f t="shared" si="160"/>
        <v>0</v>
      </c>
      <c r="U113" s="567">
        <f t="shared" si="160"/>
        <v>1.05</v>
      </c>
      <c r="V113" s="567">
        <f t="shared" si="160"/>
        <v>0</v>
      </c>
      <c r="W113" s="567">
        <f t="shared" si="160"/>
        <v>0</v>
      </c>
      <c r="X113" s="567">
        <f t="shared" si="160"/>
        <v>0</v>
      </c>
      <c r="Y113" s="567">
        <f t="shared" si="160"/>
        <v>0</v>
      </c>
      <c r="Z113" s="567">
        <f t="shared" si="160"/>
        <v>0</v>
      </c>
      <c r="AA113" s="567">
        <f t="shared" si="160"/>
        <v>0.01</v>
      </c>
      <c r="AB113" s="567">
        <f t="shared" si="160"/>
        <v>1.05</v>
      </c>
      <c r="AC113" s="567">
        <f t="shared" si="160"/>
        <v>1</v>
      </c>
      <c r="AD113" s="567">
        <f t="shared" si="160"/>
        <v>0.05</v>
      </c>
      <c r="AI113" s="564"/>
      <c r="AJ113" s="564"/>
      <c r="AK113" s="564"/>
      <c r="AL113" s="564"/>
      <c r="AM113" s="564"/>
      <c r="AN113" s="564"/>
      <c r="AO113" s="564"/>
      <c r="AP113" s="564"/>
      <c r="AQ113" s="564"/>
      <c r="AR113" s="564"/>
      <c r="AS113" s="564"/>
      <c r="AT113" s="564"/>
      <c r="AU113" s="564"/>
      <c r="AV113" s="564"/>
      <c r="AW113" s="564"/>
      <c r="AX113" s="564"/>
      <c r="AY113" s="564"/>
      <c r="AZ113" s="564"/>
      <c r="BA113" s="564"/>
      <c r="BB113" s="564"/>
      <c r="BC113" s="564"/>
      <c r="BD113" s="564"/>
      <c r="BE113" s="564"/>
      <c r="BF113" s="564"/>
      <c r="BG113" s="564"/>
      <c r="BH113" s="564"/>
      <c r="BI113" s="564"/>
      <c r="BJ113" s="564"/>
      <c r="BK113" s="564"/>
      <c r="BL113" s="564"/>
      <c r="BM113" s="564"/>
      <c r="BN113" s="564"/>
      <c r="BO113" s="564"/>
      <c r="BP113" s="564"/>
      <c r="BQ113" s="564"/>
      <c r="BR113" s="564"/>
      <c r="BS113" s="564"/>
      <c r="BT113" s="564"/>
      <c r="BU113" s="564"/>
      <c r="BV113" s="564"/>
      <c r="BW113" s="564"/>
      <c r="BX113" s="564"/>
      <c r="BY113" s="564"/>
      <c r="BZ113" s="564"/>
      <c r="CA113" s="564"/>
      <c r="CB113" s="564"/>
      <c r="CC113" s="564"/>
      <c r="CD113" s="564"/>
      <c r="CE113" s="564"/>
      <c r="CF113" s="564"/>
      <c r="CG113" s="564"/>
      <c r="CH113" s="564"/>
      <c r="CI113" s="564"/>
      <c r="CJ113" s="564"/>
      <c r="CK113" s="564"/>
      <c r="CL113" s="564"/>
      <c r="CM113" s="564"/>
      <c r="CN113" s="564"/>
      <c r="CO113" s="564"/>
      <c r="CP113" s="564"/>
      <c r="CQ113" s="564"/>
      <c r="CR113" s="564"/>
      <c r="CS113" s="564"/>
      <c r="CT113" s="564"/>
      <c r="CU113" s="564"/>
      <c r="CV113" s="564"/>
      <c r="CW113" s="564"/>
      <c r="CX113" s="564"/>
      <c r="CY113" s="564"/>
      <c r="CZ113" s="564"/>
      <c r="DA113" s="564"/>
      <c r="DB113" s="564"/>
      <c r="DC113" s="564"/>
      <c r="DD113" s="564"/>
      <c r="DE113" s="564"/>
      <c r="DF113" s="564"/>
      <c r="DG113" s="564"/>
      <c r="DH113" s="564"/>
      <c r="DI113" s="564"/>
      <c r="DJ113" s="564"/>
      <c r="DK113" s="564"/>
      <c r="DL113" s="564"/>
      <c r="DM113" s="564"/>
      <c r="DN113" s="564"/>
      <c r="DO113" s="564"/>
      <c r="DP113" s="564"/>
      <c r="DQ113" s="564"/>
      <c r="DR113" s="564"/>
      <c r="DS113" s="564"/>
      <c r="DT113" s="564"/>
      <c r="DU113" s="564"/>
      <c r="DV113" s="564"/>
      <c r="DW113" s="564"/>
      <c r="DX113" s="564"/>
      <c r="DY113" s="564"/>
      <c r="DZ113" s="564"/>
      <c r="EA113" s="564"/>
      <c r="EB113" s="564"/>
      <c r="EC113" s="564"/>
      <c r="ED113" s="564"/>
      <c r="EE113" s="564"/>
      <c r="EF113" s="564"/>
      <c r="EG113" s="564"/>
      <c r="EH113" s="564"/>
      <c r="EI113" s="564"/>
      <c r="EJ113" s="564"/>
      <c r="EK113" s="564"/>
      <c r="EL113" s="564"/>
      <c r="EM113" s="564"/>
      <c r="EN113" s="564"/>
      <c r="EO113" s="564"/>
      <c r="EP113" s="564"/>
      <c r="EQ113" s="564"/>
      <c r="ER113" s="564"/>
      <c r="ES113" s="564"/>
      <c r="ET113" s="564"/>
      <c r="EU113" s="564"/>
      <c r="EV113" s="564"/>
      <c r="EW113" s="564"/>
      <c r="EX113" s="564"/>
      <c r="EY113" s="564"/>
      <c r="EZ113" s="564"/>
      <c r="FA113" s="564"/>
      <c r="FB113" s="564"/>
      <c r="FC113" s="564"/>
      <c r="FD113" s="564"/>
      <c r="FE113" s="564"/>
      <c r="FF113" s="564"/>
      <c r="FG113" s="564"/>
      <c r="FH113" s="564"/>
      <c r="FI113" s="564"/>
      <c r="FJ113" s="564"/>
      <c r="FK113" s="564"/>
      <c r="FL113" s="564"/>
      <c r="FM113" s="564"/>
      <c r="FN113" s="564"/>
      <c r="FO113" s="564"/>
      <c r="FP113" s="564"/>
      <c r="FQ113" s="564"/>
      <c r="FR113" s="564"/>
      <c r="FS113" s="564"/>
      <c r="FT113" s="564"/>
      <c r="FU113" s="564"/>
      <c r="FV113" s="564"/>
      <c r="FW113" s="564"/>
      <c r="FX113" s="564"/>
      <c r="FY113" s="564"/>
      <c r="FZ113" s="564"/>
      <c r="GA113" s="564"/>
      <c r="GB113" s="564"/>
      <c r="GC113" s="564"/>
      <c r="GD113" s="564"/>
      <c r="GE113" s="564"/>
      <c r="GF113" s="564"/>
      <c r="GG113" s="564"/>
      <c r="GH113" s="564"/>
      <c r="GI113" s="564"/>
      <c r="GJ113" s="564"/>
      <c r="GK113" s="564"/>
      <c r="GL113" s="564"/>
      <c r="GM113" s="564"/>
      <c r="GN113" s="564"/>
      <c r="GO113" s="564"/>
      <c r="GP113" s="564"/>
      <c r="GQ113" s="564"/>
      <c r="GR113" s="564"/>
      <c r="GS113" s="564"/>
      <c r="GT113" s="564"/>
      <c r="GU113" s="564"/>
      <c r="GV113" s="564"/>
      <c r="GW113" s="564"/>
      <c r="GX113" s="564"/>
      <c r="GY113" s="564"/>
      <c r="GZ113" s="564"/>
      <c r="HA113" s="564"/>
      <c r="HB113" s="564"/>
      <c r="HC113" s="564"/>
      <c r="HD113" s="564"/>
      <c r="HE113" s="564"/>
      <c r="HF113" s="564"/>
      <c r="HG113" s="564"/>
      <c r="HH113" s="564"/>
      <c r="HI113" s="564"/>
      <c r="HJ113" s="564"/>
      <c r="HK113" s="564"/>
      <c r="HL113" s="564"/>
      <c r="HM113" s="564"/>
      <c r="HN113" s="564"/>
      <c r="HO113" s="564"/>
      <c r="HP113" s="564"/>
      <c r="HQ113" s="564"/>
      <c r="HR113" s="564"/>
      <c r="HS113" s="564"/>
      <c r="HT113" s="564"/>
      <c r="HU113" s="564"/>
      <c r="HV113" s="564"/>
      <c r="HW113" s="564"/>
      <c r="HX113" s="564"/>
      <c r="HY113" s="564"/>
      <c r="HZ113" s="564"/>
      <c r="IA113" s="564"/>
      <c r="IB113" s="564"/>
      <c r="IC113" s="564"/>
      <c r="ID113" s="564"/>
      <c r="IE113" s="564"/>
      <c r="IF113" s="564"/>
      <c r="IG113" s="564"/>
      <c r="IH113" s="564"/>
      <c r="II113" s="564"/>
      <c r="IJ113" s="564"/>
      <c r="IK113" s="564"/>
      <c r="IL113" s="564"/>
      <c r="IM113" s="564"/>
      <c r="IN113" s="564"/>
      <c r="IO113" s="564"/>
      <c r="IP113" s="564"/>
      <c r="IQ113" s="564"/>
      <c r="IR113" s="564"/>
      <c r="IS113" s="564"/>
      <c r="IT113" s="564"/>
      <c r="IU113" s="564"/>
      <c r="IV113" s="564"/>
      <c r="IW113" s="564"/>
      <c r="IX113" s="564"/>
      <c r="IY113" s="564"/>
      <c r="IZ113" s="564"/>
      <c r="JA113" s="564"/>
      <c r="JB113" s="564"/>
      <c r="JC113" s="564"/>
      <c r="JD113" s="564"/>
      <c r="JE113" s="564"/>
      <c r="JF113" s="564"/>
      <c r="JG113" s="564"/>
      <c r="JH113" s="564"/>
      <c r="JI113" s="564"/>
      <c r="JJ113" s="564"/>
      <c r="JK113" s="564"/>
      <c r="JL113" s="564"/>
      <c r="JM113" s="564"/>
      <c r="JN113" s="564"/>
      <c r="JO113" s="564"/>
      <c r="JP113" s="564"/>
      <c r="JQ113" s="564"/>
      <c r="JR113" s="564"/>
      <c r="JS113" s="564"/>
      <c r="JT113" s="564"/>
      <c r="JU113" s="564"/>
      <c r="JV113" s="564"/>
      <c r="JW113" s="564"/>
      <c r="JX113" s="564"/>
      <c r="JY113" s="564"/>
    </row>
    <row r="114" spans="1:285" x14ac:dyDescent="0.2">
      <c r="C114" s="299"/>
      <c r="D114" s="299"/>
      <c r="E114" s="299"/>
      <c r="F114" s="299"/>
      <c r="G114" s="299"/>
      <c r="H114" s="299"/>
      <c r="I114" s="299"/>
      <c r="J114" s="299"/>
      <c r="K114" s="299"/>
      <c r="L114" s="299"/>
      <c r="M114" s="299"/>
      <c r="N114" s="299"/>
      <c r="O114" s="299"/>
      <c r="P114" s="299"/>
      <c r="Q114" s="299"/>
      <c r="R114" s="299"/>
      <c r="S114" s="299"/>
      <c r="T114" s="299"/>
      <c r="U114" s="299"/>
      <c r="V114" s="299"/>
      <c r="W114" s="299"/>
      <c r="X114" s="299"/>
      <c r="Y114" s="299"/>
      <c r="Z114" s="299"/>
      <c r="AA114" s="299"/>
      <c r="AB114" s="299"/>
      <c r="AC114" s="299"/>
      <c r="AD114" s="299"/>
      <c r="AE114" s="299"/>
      <c r="AF114" s="299"/>
    </row>
    <row r="115" spans="1:285" x14ac:dyDescent="0.2">
      <c r="C115" s="299"/>
      <c r="D115" s="299"/>
      <c r="E115" s="299"/>
      <c r="F115" s="299"/>
      <c r="G115" s="299"/>
      <c r="H115" s="299"/>
      <c r="I115" s="299"/>
      <c r="J115" s="299"/>
      <c r="K115" s="299"/>
      <c r="L115" s="299"/>
      <c r="M115" s="299"/>
      <c r="N115" s="299"/>
      <c r="O115" s="299"/>
      <c r="P115" s="299"/>
      <c r="Q115" s="299"/>
      <c r="R115" s="299"/>
      <c r="S115" s="299"/>
      <c r="T115" s="299"/>
      <c r="U115" s="299"/>
      <c r="V115" s="299"/>
      <c r="W115" s="299"/>
      <c r="X115" s="299"/>
      <c r="Y115" s="299"/>
      <c r="Z115" s="299"/>
      <c r="AA115" s="299"/>
      <c r="AB115" s="299"/>
      <c r="AC115" s="299"/>
      <c r="AD115" s="299"/>
      <c r="AE115" s="299"/>
      <c r="AF115" s="299"/>
    </row>
    <row r="116" spans="1:285" x14ac:dyDescent="0.2">
      <c r="C116" s="299"/>
      <c r="D116" s="299"/>
      <c r="E116" s="299"/>
      <c r="F116" s="299"/>
      <c r="G116" s="299"/>
      <c r="H116" s="299"/>
      <c r="I116" s="299"/>
      <c r="J116" s="299"/>
      <c r="K116" s="299"/>
      <c r="L116" s="299"/>
      <c r="M116" s="299"/>
      <c r="N116" s="299"/>
      <c r="O116" s="299"/>
      <c r="P116" s="299"/>
      <c r="Q116" s="299"/>
      <c r="R116" s="299"/>
      <c r="S116" s="299"/>
      <c r="T116" s="299"/>
      <c r="U116" s="299"/>
      <c r="V116" s="299"/>
      <c r="W116" s="299"/>
      <c r="X116" s="299"/>
      <c r="Y116" s="299"/>
      <c r="Z116" s="299"/>
      <c r="AA116" s="299"/>
      <c r="AB116" s="299"/>
      <c r="AC116" s="299"/>
      <c r="AD116" s="299"/>
      <c r="AE116" s="299"/>
      <c r="AF116" s="299"/>
    </row>
    <row r="117" spans="1:285" x14ac:dyDescent="0.2">
      <c r="C117" s="299"/>
      <c r="D117" s="299"/>
      <c r="E117" s="299"/>
      <c r="F117" s="299"/>
      <c r="G117" s="299"/>
      <c r="H117" s="299"/>
      <c r="I117" s="299"/>
      <c r="J117" s="299"/>
      <c r="K117" s="299"/>
      <c r="L117" s="299"/>
      <c r="M117" s="299"/>
      <c r="N117" s="299"/>
      <c r="O117" s="299"/>
      <c r="P117" s="299"/>
      <c r="Q117" s="299"/>
      <c r="R117" s="299"/>
      <c r="S117" s="299"/>
      <c r="T117" s="299"/>
      <c r="U117" s="299"/>
      <c r="V117" s="299"/>
      <c r="W117" s="299"/>
      <c r="X117" s="299"/>
      <c r="Y117" s="299"/>
      <c r="Z117" s="299"/>
      <c r="AA117" s="299"/>
      <c r="AB117" s="299"/>
      <c r="AC117" s="299"/>
      <c r="AD117" s="299"/>
      <c r="AE117" s="299"/>
      <c r="AF117" s="299"/>
    </row>
    <row r="118" spans="1:285" x14ac:dyDescent="0.2">
      <c r="C118" s="299"/>
      <c r="D118" s="299"/>
      <c r="E118" s="299"/>
      <c r="F118" s="299"/>
      <c r="G118" s="299"/>
      <c r="H118" s="299"/>
      <c r="I118" s="299"/>
      <c r="J118" s="299"/>
      <c r="K118" s="299"/>
      <c r="L118" s="299"/>
      <c r="M118" s="299"/>
      <c r="N118" s="299"/>
      <c r="O118" s="299"/>
      <c r="P118" s="299"/>
      <c r="Q118" s="299"/>
      <c r="R118" s="299"/>
      <c r="S118" s="299"/>
      <c r="T118" s="299"/>
      <c r="U118" s="299"/>
      <c r="V118" s="299"/>
      <c r="W118" s="299"/>
      <c r="X118" s="299"/>
      <c r="Y118" s="299"/>
      <c r="Z118" s="299"/>
      <c r="AA118" s="299"/>
      <c r="AB118" s="299"/>
      <c r="AC118" s="299"/>
      <c r="AD118" s="299"/>
      <c r="AE118" s="299"/>
      <c r="AF118" s="299"/>
    </row>
    <row r="119" spans="1:285" x14ac:dyDescent="0.2">
      <c r="C119" s="299"/>
      <c r="D119" s="299"/>
      <c r="E119" s="299"/>
      <c r="F119" s="299"/>
      <c r="G119" s="299"/>
      <c r="H119" s="299"/>
      <c r="I119" s="299"/>
      <c r="J119" s="299"/>
      <c r="K119" s="299"/>
      <c r="L119" s="299"/>
      <c r="M119" s="299"/>
      <c r="N119" s="299"/>
      <c r="O119" s="299"/>
      <c r="P119" s="299"/>
      <c r="Q119" s="299"/>
      <c r="R119" s="299"/>
      <c r="S119" s="299"/>
      <c r="T119" s="299"/>
      <c r="U119" s="299"/>
      <c r="V119" s="299"/>
      <c r="W119" s="299"/>
      <c r="X119" s="299"/>
      <c r="Y119" s="299"/>
      <c r="Z119" s="299"/>
      <c r="AA119" s="299"/>
      <c r="AB119" s="299"/>
      <c r="AC119" s="299"/>
      <c r="AD119" s="299"/>
      <c r="AE119" s="299"/>
      <c r="AF119" s="299"/>
    </row>
    <row r="120" spans="1:285" x14ac:dyDescent="0.2">
      <c r="C120" s="299"/>
      <c r="D120" s="299"/>
      <c r="E120" s="299"/>
      <c r="F120" s="299"/>
      <c r="G120" s="299"/>
      <c r="H120" s="299"/>
      <c r="I120" s="299"/>
      <c r="J120" s="299"/>
      <c r="K120" s="299"/>
      <c r="L120" s="299"/>
      <c r="M120" s="299"/>
      <c r="N120" s="299"/>
      <c r="O120" s="299"/>
      <c r="P120" s="299"/>
      <c r="Q120" s="299"/>
      <c r="R120" s="299"/>
      <c r="S120" s="299"/>
      <c r="T120" s="299"/>
      <c r="U120" s="299"/>
      <c r="V120" s="299"/>
      <c r="W120" s="299"/>
      <c r="X120" s="299"/>
      <c r="Y120" s="299"/>
      <c r="Z120" s="299"/>
      <c r="AA120" s="299"/>
      <c r="AB120" s="299"/>
      <c r="AC120" s="299"/>
      <c r="AD120" s="299"/>
      <c r="AE120" s="299"/>
      <c r="AF120" s="299"/>
    </row>
    <row r="121" spans="1:285" x14ac:dyDescent="0.2">
      <c r="C121" s="299"/>
      <c r="D121" s="299"/>
      <c r="E121" s="299"/>
      <c r="F121" s="299"/>
      <c r="G121" s="299"/>
      <c r="H121" s="299"/>
      <c r="I121" s="299"/>
      <c r="J121" s="299"/>
      <c r="K121" s="299"/>
      <c r="L121" s="299"/>
      <c r="M121" s="299"/>
      <c r="N121" s="299"/>
      <c r="O121" s="299"/>
      <c r="P121" s="299"/>
      <c r="Q121" s="299"/>
      <c r="R121" s="299"/>
      <c r="S121" s="299"/>
      <c r="T121" s="299"/>
      <c r="U121" s="299"/>
      <c r="V121" s="299"/>
      <c r="W121" s="299"/>
      <c r="X121" s="299"/>
      <c r="Y121" s="299"/>
      <c r="Z121" s="299"/>
      <c r="AA121" s="299"/>
      <c r="AB121" s="299"/>
      <c r="AC121" s="299"/>
      <c r="AD121" s="299"/>
      <c r="AE121" s="299"/>
      <c r="AF121" s="299"/>
    </row>
    <row r="122" spans="1:285" x14ac:dyDescent="0.2">
      <c r="C122" s="299"/>
      <c r="D122" s="299"/>
      <c r="E122" s="299"/>
      <c r="F122" s="299"/>
      <c r="G122" s="299"/>
      <c r="H122" s="299"/>
      <c r="I122" s="299"/>
      <c r="J122" s="299"/>
      <c r="K122" s="299"/>
      <c r="L122" s="299"/>
      <c r="M122" s="299"/>
      <c r="N122" s="299"/>
      <c r="O122" s="299"/>
      <c r="P122" s="299"/>
      <c r="Q122" s="299"/>
      <c r="R122" s="299"/>
      <c r="S122" s="299"/>
      <c r="T122" s="299"/>
      <c r="U122" s="299"/>
      <c r="V122" s="299"/>
      <c r="W122" s="299"/>
      <c r="X122" s="299"/>
      <c r="Y122" s="299"/>
      <c r="Z122" s="299"/>
      <c r="AA122" s="299"/>
      <c r="AB122" s="299"/>
      <c r="AC122" s="299"/>
      <c r="AD122" s="299"/>
      <c r="AE122" s="299"/>
      <c r="AF122" s="299"/>
    </row>
    <row r="123" spans="1:285" x14ac:dyDescent="0.2">
      <c r="C123" s="299"/>
      <c r="D123" s="299"/>
      <c r="E123" s="299"/>
      <c r="F123" s="299"/>
      <c r="G123" s="299"/>
      <c r="H123" s="299"/>
      <c r="I123" s="299"/>
      <c r="J123" s="299"/>
      <c r="K123" s="299"/>
      <c r="L123" s="299"/>
      <c r="M123" s="299"/>
      <c r="N123" s="299"/>
      <c r="O123" s="299"/>
      <c r="P123" s="299"/>
      <c r="Q123" s="299"/>
      <c r="R123" s="299"/>
      <c r="S123" s="299"/>
      <c r="T123" s="299"/>
      <c r="U123" s="299"/>
      <c r="V123" s="299"/>
      <c r="W123" s="299"/>
      <c r="X123" s="299"/>
      <c r="Y123" s="299"/>
      <c r="Z123" s="299"/>
      <c r="AA123" s="299"/>
      <c r="AB123" s="299"/>
      <c r="AC123" s="299"/>
      <c r="AD123" s="299"/>
      <c r="AE123" s="299"/>
      <c r="AF123" s="299"/>
    </row>
    <row r="124" spans="1:285" x14ac:dyDescent="0.2">
      <c r="C124" s="299"/>
      <c r="D124" s="299"/>
      <c r="E124" s="299"/>
      <c r="F124" s="299"/>
      <c r="G124" s="299"/>
      <c r="H124" s="299"/>
      <c r="I124" s="299"/>
      <c r="J124" s="299"/>
      <c r="K124" s="299"/>
      <c r="L124" s="299"/>
      <c r="M124" s="299"/>
      <c r="N124" s="299"/>
      <c r="O124" s="299"/>
      <c r="P124" s="299"/>
      <c r="Q124" s="299"/>
      <c r="R124" s="299"/>
      <c r="S124" s="299"/>
      <c r="T124" s="299"/>
      <c r="U124" s="299"/>
      <c r="V124" s="299"/>
      <c r="W124" s="299"/>
      <c r="X124" s="299"/>
      <c r="Y124" s="299"/>
      <c r="Z124" s="299"/>
      <c r="AA124" s="299"/>
      <c r="AB124" s="299"/>
      <c r="AC124" s="299"/>
      <c r="AD124" s="299"/>
      <c r="AE124" s="299"/>
      <c r="AF124" s="299"/>
    </row>
    <row r="125" spans="1:285" x14ac:dyDescent="0.2">
      <c r="C125" s="299"/>
      <c r="D125" s="299"/>
      <c r="E125" s="299"/>
      <c r="F125" s="299"/>
      <c r="G125" s="299"/>
      <c r="H125" s="299"/>
      <c r="I125" s="299"/>
      <c r="J125" s="299"/>
      <c r="K125" s="299"/>
      <c r="L125" s="299"/>
      <c r="M125" s="299"/>
      <c r="N125" s="299"/>
      <c r="O125" s="299"/>
      <c r="P125" s="299"/>
      <c r="Q125" s="299"/>
      <c r="R125" s="299"/>
      <c r="S125" s="299"/>
      <c r="T125" s="299"/>
      <c r="U125" s="299"/>
      <c r="V125" s="299"/>
      <c r="W125" s="299"/>
      <c r="X125" s="299"/>
      <c r="Y125" s="299"/>
      <c r="Z125" s="299"/>
      <c r="AA125" s="299"/>
      <c r="AB125" s="299"/>
      <c r="AC125" s="299"/>
      <c r="AD125" s="299"/>
      <c r="AE125" s="299"/>
      <c r="AF125" s="299"/>
    </row>
    <row r="126" spans="1:285" x14ac:dyDescent="0.2">
      <c r="C126" s="299"/>
      <c r="D126" s="299"/>
      <c r="E126" s="299"/>
      <c r="F126" s="299"/>
      <c r="G126" s="299"/>
      <c r="H126" s="299"/>
      <c r="I126" s="299"/>
      <c r="J126" s="299"/>
      <c r="K126" s="299"/>
      <c r="L126" s="299"/>
      <c r="M126" s="299"/>
      <c r="N126" s="299"/>
      <c r="O126" s="299"/>
      <c r="P126" s="299"/>
      <c r="Q126" s="299"/>
      <c r="R126" s="299"/>
      <c r="S126" s="299"/>
      <c r="T126" s="299"/>
      <c r="U126" s="299"/>
      <c r="V126" s="299"/>
      <c r="W126" s="299"/>
      <c r="X126" s="299"/>
      <c r="Y126" s="299"/>
      <c r="Z126" s="299"/>
      <c r="AA126" s="299"/>
      <c r="AB126" s="299"/>
      <c r="AC126" s="299"/>
      <c r="AD126" s="299"/>
      <c r="AE126" s="299"/>
      <c r="AF126" s="299"/>
    </row>
    <row r="127" spans="1:285" x14ac:dyDescent="0.2">
      <c r="C127" s="299"/>
      <c r="D127" s="299"/>
      <c r="E127" s="299"/>
      <c r="F127" s="299"/>
      <c r="G127" s="299"/>
      <c r="H127" s="299"/>
      <c r="I127" s="299"/>
      <c r="J127" s="299"/>
      <c r="K127" s="299"/>
      <c r="L127" s="299"/>
      <c r="M127" s="299"/>
      <c r="N127" s="299"/>
      <c r="O127" s="299"/>
      <c r="P127" s="299"/>
      <c r="Q127" s="299"/>
      <c r="R127" s="299"/>
      <c r="S127" s="299"/>
      <c r="T127" s="299"/>
      <c r="U127" s="299"/>
      <c r="V127" s="299"/>
      <c r="W127" s="299"/>
      <c r="X127" s="299"/>
      <c r="Y127" s="299"/>
      <c r="Z127" s="299"/>
      <c r="AA127" s="299"/>
      <c r="AB127" s="299"/>
      <c r="AC127" s="299"/>
      <c r="AD127" s="299"/>
      <c r="AE127" s="299"/>
      <c r="AF127" s="299"/>
    </row>
    <row r="128" spans="1:285" x14ac:dyDescent="0.2">
      <c r="C128" s="299"/>
      <c r="D128" s="299"/>
      <c r="E128" s="299"/>
      <c r="F128" s="299"/>
      <c r="G128" s="299"/>
      <c r="H128" s="299"/>
      <c r="I128" s="299"/>
      <c r="J128" s="299"/>
      <c r="K128" s="299"/>
      <c r="L128" s="299"/>
      <c r="M128" s="299"/>
      <c r="N128" s="299"/>
      <c r="O128" s="299"/>
      <c r="P128" s="299"/>
      <c r="Q128" s="299"/>
      <c r="R128" s="299"/>
      <c r="S128" s="299"/>
      <c r="T128" s="299"/>
      <c r="U128" s="299"/>
      <c r="V128" s="299"/>
      <c r="W128" s="299"/>
      <c r="X128" s="299"/>
      <c r="Y128" s="299"/>
      <c r="Z128" s="299"/>
      <c r="AA128" s="299"/>
      <c r="AB128" s="299"/>
      <c r="AC128" s="299"/>
      <c r="AD128" s="299"/>
      <c r="AE128" s="299"/>
      <c r="AF128" s="299"/>
    </row>
    <row r="129" spans="3:32" x14ac:dyDescent="0.2">
      <c r="C129" s="299"/>
      <c r="D129" s="299"/>
      <c r="E129" s="299"/>
      <c r="F129" s="299"/>
      <c r="G129" s="299"/>
      <c r="H129" s="299"/>
      <c r="I129" s="299"/>
      <c r="J129" s="299"/>
      <c r="K129" s="299"/>
      <c r="L129" s="299"/>
      <c r="M129" s="299"/>
      <c r="N129" s="299"/>
      <c r="O129" s="299"/>
      <c r="P129" s="299"/>
      <c r="Q129" s="299"/>
      <c r="R129" s="299"/>
      <c r="S129" s="299"/>
      <c r="T129" s="299"/>
      <c r="U129" s="299"/>
      <c r="V129" s="299"/>
      <c r="W129" s="299"/>
      <c r="X129" s="299"/>
      <c r="Y129" s="299"/>
      <c r="Z129" s="299"/>
      <c r="AA129" s="299"/>
      <c r="AB129" s="299"/>
      <c r="AC129" s="299"/>
      <c r="AD129" s="299"/>
      <c r="AE129" s="299"/>
      <c r="AF129" s="299"/>
    </row>
    <row r="130" spans="3:32" x14ac:dyDescent="0.2">
      <c r="C130" s="299"/>
      <c r="D130" s="299"/>
      <c r="E130" s="299"/>
      <c r="F130" s="299"/>
      <c r="G130" s="299"/>
      <c r="H130" s="299"/>
      <c r="I130" s="299"/>
      <c r="J130" s="299"/>
      <c r="K130" s="299"/>
      <c r="L130" s="299"/>
      <c r="M130" s="299"/>
      <c r="N130" s="299"/>
      <c r="O130" s="299"/>
      <c r="P130" s="299"/>
      <c r="Q130" s="299"/>
      <c r="R130" s="299"/>
      <c r="S130" s="299"/>
      <c r="T130" s="299"/>
      <c r="U130" s="299"/>
      <c r="V130" s="299"/>
      <c r="W130" s="299"/>
      <c r="X130" s="299"/>
      <c r="Y130" s="299"/>
      <c r="Z130" s="299"/>
      <c r="AA130" s="299"/>
      <c r="AB130" s="299"/>
      <c r="AC130" s="299"/>
      <c r="AD130" s="299"/>
      <c r="AE130" s="299"/>
      <c r="AF130" s="299"/>
    </row>
    <row r="131" spans="3:32" x14ac:dyDescent="0.2">
      <c r="C131" s="299"/>
      <c r="D131" s="299"/>
      <c r="E131" s="299"/>
      <c r="F131" s="299"/>
      <c r="G131" s="299"/>
      <c r="H131" s="299"/>
      <c r="I131" s="299"/>
      <c r="J131" s="299"/>
      <c r="K131" s="299"/>
      <c r="L131" s="299"/>
      <c r="M131" s="299"/>
      <c r="N131" s="299"/>
      <c r="O131" s="299"/>
      <c r="P131" s="299"/>
      <c r="Q131" s="299"/>
      <c r="R131" s="299"/>
      <c r="S131" s="299"/>
      <c r="T131" s="299"/>
      <c r="U131" s="299"/>
      <c r="V131" s="299"/>
      <c r="W131" s="299"/>
      <c r="X131" s="299"/>
      <c r="Y131" s="299"/>
      <c r="Z131" s="299"/>
      <c r="AA131" s="299"/>
      <c r="AB131" s="299"/>
      <c r="AC131" s="299"/>
      <c r="AD131" s="299"/>
      <c r="AE131" s="299"/>
      <c r="AF131" s="299"/>
    </row>
    <row r="132" spans="3:32" x14ac:dyDescent="0.2">
      <c r="C132" s="299"/>
      <c r="D132" s="299"/>
      <c r="E132" s="299"/>
      <c r="F132" s="299"/>
      <c r="G132" s="299"/>
      <c r="H132" s="299"/>
      <c r="I132" s="299"/>
      <c r="J132" s="299"/>
      <c r="K132" s="299"/>
      <c r="L132" s="299"/>
      <c r="M132" s="299"/>
      <c r="N132" s="299"/>
      <c r="O132" s="299"/>
      <c r="P132" s="299"/>
      <c r="Q132" s="299"/>
      <c r="R132" s="299"/>
      <c r="S132" s="299"/>
      <c r="T132" s="299"/>
      <c r="U132" s="299"/>
      <c r="V132" s="299"/>
      <c r="W132" s="299"/>
      <c r="X132" s="299"/>
      <c r="Y132" s="299"/>
      <c r="Z132" s="299"/>
      <c r="AA132" s="299"/>
      <c r="AB132" s="299"/>
      <c r="AC132" s="299"/>
      <c r="AD132" s="299"/>
      <c r="AE132" s="299"/>
      <c r="AF132" s="299"/>
    </row>
    <row r="133" spans="3:32" x14ac:dyDescent="0.2">
      <c r="C133" s="299"/>
      <c r="D133" s="299"/>
      <c r="E133" s="299"/>
      <c r="F133" s="299"/>
      <c r="G133" s="299"/>
      <c r="H133" s="299"/>
      <c r="I133" s="299"/>
      <c r="J133" s="299"/>
      <c r="K133" s="299"/>
      <c r="L133" s="299"/>
      <c r="M133" s="299"/>
      <c r="N133" s="299"/>
      <c r="O133" s="299"/>
      <c r="P133" s="299"/>
      <c r="Q133" s="299"/>
      <c r="R133" s="299"/>
      <c r="S133" s="299"/>
      <c r="T133" s="299"/>
      <c r="U133" s="299"/>
      <c r="V133" s="299"/>
      <c r="W133" s="299"/>
      <c r="X133" s="299"/>
      <c r="Y133" s="299"/>
      <c r="Z133" s="299"/>
      <c r="AA133" s="299"/>
      <c r="AB133" s="299"/>
      <c r="AC133" s="299"/>
      <c r="AD133" s="299"/>
      <c r="AE133" s="299"/>
      <c r="AF133" s="299"/>
    </row>
    <row r="134" spans="3:32" x14ac:dyDescent="0.2">
      <c r="C134" s="299"/>
      <c r="D134" s="299"/>
      <c r="E134" s="299"/>
      <c r="F134" s="299"/>
      <c r="G134" s="299"/>
      <c r="H134" s="299"/>
      <c r="I134" s="299"/>
      <c r="J134" s="299"/>
      <c r="K134" s="299"/>
      <c r="L134" s="299"/>
      <c r="M134" s="299"/>
      <c r="N134" s="299"/>
      <c r="O134" s="299"/>
      <c r="P134" s="299"/>
      <c r="Q134" s="299"/>
      <c r="R134" s="299"/>
      <c r="S134" s="299"/>
      <c r="T134" s="299"/>
      <c r="U134" s="299"/>
      <c r="V134" s="299"/>
      <c r="W134" s="299"/>
      <c r="X134" s="299"/>
      <c r="Y134" s="299"/>
      <c r="Z134" s="299"/>
      <c r="AA134" s="299"/>
      <c r="AB134" s="299"/>
      <c r="AC134" s="299"/>
      <c r="AD134" s="299"/>
      <c r="AE134" s="299"/>
      <c r="AF134" s="299"/>
    </row>
    <row r="135" spans="3:32" x14ac:dyDescent="0.2">
      <c r="C135" s="299"/>
      <c r="D135" s="299"/>
      <c r="E135" s="299"/>
      <c r="F135" s="299"/>
      <c r="G135" s="299"/>
      <c r="H135" s="299"/>
      <c r="I135" s="299"/>
      <c r="J135" s="299"/>
      <c r="K135" s="299"/>
      <c r="L135" s="299"/>
      <c r="M135" s="299"/>
      <c r="N135" s="299"/>
      <c r="O135" s="299"/>
      <c r="P135" s="299"/>
      <c r="Q135" s="299"/>
      <c r="R135" s="299"/>
      <c r="S135" s="299"/>
      <c r="T135" s="299"/>
      <c r="U135" s="299"/>
      <c r="V135" s="299"/>
      <c r="W135" s="299"/>
      <c r="X135" s="299"/>
      <c r="Y135" s="299"/>
      <c r="Z135" s="299"/>
      <c r="AA135" s="299"/>
      <c r="AB135" s="299"/>
      <c r="AC135" s="299"/>
      <c r="AD135" s="299"/>
      <c r="AE135" s="299"/>
      <c r="AF135" s="299"/>
    </row>
    <row r="136" spans="3:32" x14ac:dyDescent="0.2">
      <c r="C136" s="299"/>
      <c r="D136" s="299"/>
      <c r="E136" s="299"/>
      <c r="F136" s="299"/>
      <c r="G136" s="299"/>
      <c r="H136" s="299"/>
      <c r="I136" s="299"/>
      <c r="J136" s="299"/>
      <c r="K136" s="299"/>
      <c r="L136" s="299"/>
      <c r="M136" s="299"/>
      <c r="N136" s="299"/>
      <c r="O136" s="299"/>
      <c r="P136" s="299"/>
      <c r="Q136" s="299"/>
      <c r="R136" s="299"/>
      <c r="S136" s="299"/>
      <c r="T136" s="299"/>
      <c r="U136" s="299"/>
      <c r="V136" s="299"/>
      <c r="W136" s="299"/>
      <c r="X136" s="299"/>
      <c r="Y136" s="299"/>
      <c r="Z136" s="299"/>
      <c r="AA136" s="299"/>
      <c r="AB136" s="299"/>
      <c r="AC136" s="299"/>
      <c r="AD136" s="299"/>
      <c r="AE136" s="299"/>
      <c r="AF136" s="299"/>
    </row>
    <row r="137" spans="3:32" x14ac:dyDescent="0.2">
      <c r="C137" s="299"/>
      <c r="D137" s="299"/>
      <c r="E137" s="299"/>
      <c r="F137" s="299"/>
      <c r="G137" s="299"/>
      <c r="H137" s="299"/>
      <c r="I137" s="299"/>
      <c r="J137" s="299"/>
      <c r="K137" s="299"/>
      <c r="L137" s="299"/>
      <c r="M137" s="299"/>
      <c r="N137" s="299"/>
      <c r="O137" s="299"/>
      <c r="P137" s="299"/>
      <c r="Q137" s="299"/>
      <c r="R137" s="299"/>
      <c r="S137" s="299"/>
      <c r="T137" s="299"/>
      <c r="U137" s="299"/>
      <c r="V137" s="299"/>
      <c r="W137" s="299"/>
      <c r="X137" s="299"/>
      <c r="Y137" s="299"/>
      <c r="Z137" s="299"/>
      <c r="AA137" s="299"/>
      <c r="AB137" s="299"/>
      <c r="AC137" s="299"/>
      <c r="AD137" s="299"/>
      <c r="AE137" s="299"/>
      <c r="AF137" s="299"/>
    </row>
    <row r="138" spans="3:32" x14ac:dyDescent="0.2">
      <c r="C138" s="299"/>
      <c r="D138" s="299"/>
      <c r="E138" s="299"/>
      <c r="F138" s="299"/>
      <c r="G138" s="299"/>
      <c r="H138" s="299"/>
      <c r="I138" s="299"/>
      <c r="J138" s="299"/>
      <c r="K138" s="299"/>
      <c r="L138" s="299"/>
      <c r="M138" s="299"/>
      <c r="N138" s="299"/>
      <c r="O138" s="299"/>
      <c r="P138" s="299"/>
      <c r="Q138" s="299"/>
      <c r="R138" s="299"/>
      <c r="S138" s="299"/>
      <c r="T138" s="299"/>
      <c r="U138" s="299"/>
      <c r="V138" s="299"/>
      <c r="W138" s="299"/>
      <c r="X138" s="299"/>
      <c r="Y138" s="299"/>
      <c r="Z138" s="299"/>
      <c r="AA138" s="299"/>
      <c r="AB138" s="299"/>
      <c r="AC138" s="299"/>
      <c r="AD138" s="299"/>
      <c r="AE138" s="299"/>
      <c r="AF138" s="299"/>
    </row>
    <row r="139" spans="3:32" x14ac:dyDescent="0.2">
      <c r="C139" s="299"/>
      <c r="D139" s="299"/>
      <c r="E139" s="299"/>
      <c r="F139" s="299"/>
      <c r="G139" s="299"/>
      <c r="H139" s="299"/>
      <c r="I139" s="299"/>
      <c r="J139" s="299"/>
      <c r="K139" s="299"/>
      <c r="L139" s="299"/>
      <c r="M139" s="299"/>
      <c r="N139" s="299"/>
      <c r="O139" s="299"/>
      <c r="P139" s="299"/>
      <c r="Q139" s="299"/>
      <c r="R139" s="299"/>
      <c r="S139" s="299"/>
      <c r="T139" s="299"/>
      <c r="U139" s="299"/>
      <c r="V139" s="299"/>
      <c r="W139" s="299"/>
      <c r="X139" s="299"/>
      <c r="Y139" s="299"/>
      <c r="Z139" s="299"/>
      <c r="AA139" s="299"/>
      <c r="AB139" s="299"/>
      <c r="AC139" s="299"/>
      <c r="AD139" s="299"/>
      <c r="AE139" s="299"/>
      <c r="AF139" s="299"/>
    </row>
    <row r="140" spans="3:32" x14ac:dyDescent="0.2">
      <c r="C140" s="299"/>
      <c r="D140" s="299"/>
      <c r="E140" s="299"/>
      <c r="F140" s="299"/>
      <c r="G140" s="299"/>
      <c r="H140" s="299"/>
      <c r="I140" s="299"/>
      <c r="J140" s="299"/>
      <c r="K140" s="299"/>
      <c r="L140" s="299"/>
      <c r="M140" s="299"/>
      <c r="N140" s="299"/>
      <c r="O140" s="299"/>
      <c r="P140" s="299"/>
      <c r="Q140" s="299"/>
      <c r="R140" s="299"/>
      <c r="S140" s="299"/>
      <c r="T140" s="299"/>
      <c r="U140" s="299"/>
      <c r="V140" s="299"/>
      <c r="W140" s="299"/>
      <c r="X140" s="299"/>
      <c r="Y140" s="299"/>
      <c r="Z140" s="299"/>
      <c r="AA140" s="299"/>
      <c r="AB140" s="299"/>
      <c r="AC140" s="299"/>
      <c r="AD140" s="299"/>
      <c r="AE140" s="299"/>
      <c r="AF140" s="299"/>
    </row>
    <row r="141" spans="3:32" x14ac:dyDescent="0.2">
      <c r="C141" s="299"/>
      <c r="D141" s="299"/>
      <c r="E141" s="299"/>
      <c r="F141" s="299"/>
      <c r="G141" s="299"/>
      <c r="H141" s="299"/>
      <c r="I141" s="299"/>
      <c r="J141" s="299"/>
      <c r="K141" s="299"/>
      <c r="L141" s="299"/>
      <c r="M141" s="299"/>
      <c r="N141" s="299"/>
      <c r="O141" s="299"/>
      <c r="P141" s="299"/>
      <c r="Q141" s="299"/>
      <c r="R141" s="299"/>
      <c r="S141" s="299"/>
      <c r="T141" s="299"/>
      <c r="U141" s="299"/>
      <c r="V141" s="299"/>
      <c r="W141" s="299"/>
      <c r="X141" s="299"/>
      <c r="Y141" s="299"/>
      <c r="Z141" s="299"/>
      <c r="AA141" s="299"/>
      <c r="AB141" s="299"/>
      <c r="AC141" s="299"/>
      <c r="AD141" s="299"/>
      <c r="AE141" s="299"/>
      <c r="AF141" s="299"/>
    </row>
    <row r="142" spans="3:32" x14ac:dyDescent="0.2">
      <c r="C142" s="299"/>
      <c r="D142" s="299"/>
      <c r="E142" s="299"/>
      <c r="F142" s="299"/>
      <c r="G142" s="299"/>
      <c r="H142" s="299"/>
      <c r="I142" s="299"/>
      <c r="J142" s="299"/>
      <c r="K142" s="299"/>
      <c r="L142" s="299"/>
      <c r="M142" s="299"/>
      <c r="N142" s="299"/>
      <c r="O142" s="299"/>
      <c r="P142" s="299"/>
      <c r="Q142" s="299"/>
      <c r="R142" s="299"/>
      <c r="S142" s="299"/>
      <c r="T142" s="299"/>
      <c r="U142" s="299"/>
      <c r="V142" s="299"/>
      <c r="W142" s="299"/>
      <c r="X142" s="299"/>
      <c r="Y142" s="299"/>
      <c r="Z142" s="299"/>
      <c r="AA142" s="299"/>
      <c r="AB142" s="299"/>
      <c r="AC142" s="299"/>
      <c r="AD142" s="299"/>
      <c r="AE142" s="299"/>
      <c r="AF142" s="299"/>
    </row>
    <row r="143" spans="3:32" x14ac:dyDescent="0.2">
      <c r="C143" s="299"/>
      <c r="D143" s="299"/>
      <c r="E143" s="299"/>
      <c r="F143" s="299"/>
      <c r="G143" s="299"/>
      <c r="H143" s="299"/>
      <c r="I143" s="299"/>
      <c r="J143" s="299"/>
      <c r="K143" s="299"/>
      <c r="L143" s="299"/>
      <c r="M143" s="299"/>
      <c r="N143" s="299"/>
      <c r="O143" s="299"/>
      <c r="P143" s="299"/>
      <c r="Q143" s="299"/>
      <c r="R143" s="299"/>
      <c r="S143" s="299"/>
      <c r="T143" s="299"/>
      <c r="U143" s="299"/>
      <c r="V143" s="299"/>
      <c r="W143" s="299"/>
      <c r="X143" s="299"/>
      <c r="Y143" s="299"/>
      <c r="Z143" s="299"/>
      <c r="AA143" s="299"/>
      <c r="AB143" s="299"/>
      <c r="AC143" s="299"/>
      <c r="AD143" s="299"/>
      <c r="AE143" s="299"/>
      <c r="AF143" s="299"/>
    </row>
    <row r="144" spans="3:32" x14ac:dyDescent="0.2">
      <c r="C144" s="299"/>
      <c r="D144" s="299"/>
      <c r="E144" s="299"/>
      <c r="F144" s="299"/>
      <c r="G144" s="299"/>
      <c r="H144" s="299"/>
      <c r="I144" s="299"/>
      <c r="J144" s="299"/>
      <c r="K144" s="299"/>
      <c r="L144" s="299"/>
      <c r="M144" s="299"/>
      <c r="N144" s="299"/>
      <c r="O144" s="299"/>
      <c r="P144" s="299"/>
      <c r="Q144" s="299"/>
      <c r="R144" s="299"/>
      <c r="S144" s="299"/>
      <c r="T144" s="299"/>
      <c r="U144" s="299"/>
      <c r="V144" s="299"/>
      <c r="W144" s="299"/>
      <c r="X144" s="299"/>
      <c r="Y144" s="299"/>
      <c r="Z144" s="299"/>
      <c r="AA144" s="299"/>
      <c r="AB144" s="299"/>
      <c r="AC144" s="299"/>
      <c r="AD144" s="299"/>
      <c r="AE144" s="299"/>
      <c r="AF144" s="299"/>
    </row>
  </sheetData>
  <sheetProtection algorithmName="SHA-512" hashValue="RpYLcxekT1a76io9VL8u2V0Nu+24PMeJ2hPlmRP7bpFwBgNhlJAMKNhvJ/N6iXZSHcAxWpBLkqXP4pn/8sG3aA==" saltValue="MkktHdd9XDWvT4+GLyVH+w==" spinCount="100000" sheet="1" objects="1" scenarios="1"/>
  <mergeCells count="8">
    <mergeCell ref="A77:Q77"/>
    <mergeCell ref="B41:J41"/>
    <mergeCell ref="E42:J42"/>
    <mergeCell ref="F4:AF4"/>
    <mergeCell ref="B3:J3"/>
    <mergeCell ref="R5:Z5"/>
    <mergeCell ref="AF8:AF27"/>
    <mergeCell ref="A76:Q76"/>
  </mergeCells>
  <phoneticPr fontId="4" type="noConversion"/>
  <conditionalFormatting sqref="E72:G72">
    <cfRule type="containsText" dxfId="130" priority="2" operator="containsText" text="OK">
      <formula>NOT(ISERROR(SEARCH("OK",E72)))</formula>
    </cfRule>
  </conditionalFormatting>
  <conditionalFormatting sqref="F72:G72 J72">
    <cfRule type="containsText" dxfId="129" priority="1" operator="containsText" text="OK">
      <formula>NOT(ISERROR(SEARCH("OK",F72)))</formula>
    </cfRule>
  </conditionalFormatting>
  <dataValidations count="9">
    <dataValidation type="whole" allowBlank="1" showInputMessage="1" showErrorMessage="1" sqref="G28:I37" xr:uid="{6C64C164-8389-42BD-90FA-585259399AA3}">
      <formula1>0</formula1>
      <formula2>999</formula2>
    </dataValidation>
    <dataValidation type="list" allowBlank="1" showInputMessage="1" showErrorMessage="1" sqref="K28:K37" xr:uid="{DFFDF4F2-22F8-41BD-8E51-45F8629F8A20}">
      <formula1>DataVal_VaccineStorageRequirements</formula1>
    </dataValidation>
    <dataValidation type="list" allowBlank="1" showInputMessage="1" showErrorMessage="1" sqref="J28:J37" xr:uid="{D04D43CE-69C5-4592-9516-88CD68A92119}">
      <formula1>DataVal_VaccineAdministrationRoute</formula1>
    </dataValidation>
    <dataValidation type="whole" allowBlank="1" showInputMessage="1" showErrorMessage="1" sqref="F28:F37" xr:uid="{30A6872D-D240-40E2-ACFE-4F3981F84C28}">
      <formula1>1</formula1>
      <formula2>2</formula2>
    </dataValidation>
    <dataValidation type="list" allowBlank="1" showInputMessage="1" showErrorMessage="1" sqref="O28:O37" xr:uid="{B267441A-1077-4C22-B1AB-A191697B863D}">
      <formula1>DataVal_WHOShippingClass</formula1>
    </dataValidation>
    <dataValidation type="decimal" allowBlank="1" showInputMessage="1" showErrorMessage="1" sqref="Q28:Q30 Q32:Q37" xr:uid="{130694DF-43B4-4C28-898C-CA78D2478276}">
      <formula1>0</formula1>
      <formula2>10000</formula2>
    </dataValidation>
    <dataValidation type="decimal" allowBlank="1" showInputMessage="1" showErrorMessage="1" sqref="L28:AD37 E28:E37" xr:uid="{2BF9E0A0-61C0-4429-B48E-FA7608BF9769}">
      <formula1>0</formula1>
      <formula2>99</formula2>
    </dataValidation>
    <dataValidation type="decimal" allowBlank="1" showInputMessage="1" showErrorMessage="1" sqref="Q28:Q37" xr:uid="{5E7EA045-8C94-488D-A9DB-5353C9B374E1}">
      <formula1>0</formula1>
      <formula2>100000</formula2>
    </dataValidation>
    <dataValidation type="whole" operator="greaterThanOrEqual" allowBlank="1" showInputMessage="1" showErrorMessage="1" sqref="E44:G71 J44:J71" xr:uid="{AD17F212-5248-4030-915E-D98453478151}">
      <formula1>0</formula1>
    </dataValidation>
  </dataValidation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A8967-2DD0-4A13-9391-A260A268F04F}">
  <sheetPr>
    <tabColor rgb="FF7030A0"/>
  </sheetPr>
  <dimension ref="A1:BJ15"/>
  <sheetViews>
    <sheetView workbookViewId="0"/>
  </sheetViews>
  <sheetFormatPr defaultColWidth="9.140625" defaultRowHeight="12.75" x14ac:dyDescent="0.2"/>
  <cols>
    <col min="1" max="1" width="42.85546875" style="299" customWidth="1"/>
    <col min="2" max="50" width="8.7109375" style="299" customWidth="1"/>
    <col min="51" max="16384" width="9.140625" style="299"/>
  </cols>
  <sheetData>
    <row r="1" spans="1:62" s="225" customFormat="1" ht="18.75" x14ac:dyDescent="0.2">
      <c r="A1" s="225" t="s">
        <v>3031</v>
      </c>
    </row>
    <row r="2" spans="1:62" s="27" customFormat="1" ht="19.5" x14ac:dyDescent="0.3">
      <c r="A2" s="27" t="s">
        <v>3159</v>
      </c>
    </row>
    <row r="3" spans="1:62" x14ac:dyDescent="0.2">
      <c r="A3" s="47" t="s">
        <v>3113</v>
      </c>
      <c r="B3" s="47"/>
      <c r="C3" s="47"/>
      <c r="D3" s="47"/>
      <c r="E3" s="47"/>
      <c r="F3" s="47"/>
      <c r="G3" s="47"/>
      <c r="H3" s="47"/>
      <c r="I3" s="47"/>
      <c r="J3" s="47"/>
      <c r="K3" s="47"/>
      <c r="L3" s="47"/>
      <c r="M3" s="47"/>
      <c r="N3" s="47"/>
      <c r="O3" s="47"/>
    </row>
    <row r="4" spans="1:62" x14ac:dyDescent="0.2">
      <c r="A4" s="47"/>
      <c r="B4" s="47"/>
      <c r="C4" s="47"/>
      <c r="D4" s="47"/>
      <c r="E4" s="47"/>
      <c r="F4" s="47"/>
      <c r="G4" s="47"/>
      <c r="H4" s="47"/>
      <c r="I4" s="47"/>
      <c r="J4" s="47"/>
      <c r="K4" s="47"/>
      <c r="L4" s="47"/>
      <c r="M4" s="47"/>
      <c r="N4" s="47"/>
      <c r="O4" s="47"/>
      <c r="P4" s="554" t="s">
        <v>4227</v>
      </c>
    </row>
    <row r="5" spans="1:62" s="423" customFormat="1" ht="96.75" customHeight="1" x14ac:dyDescent="0.2">
      <c r="P5" s="229" t="str">
        <f>'T1i. Vaccines'!P2</f>
        <v>Low Dead Space Syringe (0.3ml) AD</v>
      </c>
      <c r="Q5" s="229" t="str">
        <f>'T1i. Vaccines'!Q2</f>
        <v>Syringe (0.5ml) AD</v>
      </c>
      <c r="R5" s="229" t="str">
        <f>'T1i. Vaccines'!R2</f>
        <v>23G needle</v>
      </c>
      <c r="S5" s="229" t="str">
        <f>'T1i. Vaccines'!S2</f>
        <v>Alcohol Swab, Plaster, Dry Swabs</v>
      </c>
      <c r="T5" s="229" t="str">
        <f>'T1i. Vaccines'!T2</f>
        <v>21G needle</v>
      </c>
      <c r="U5" s="229" t="str">
        <f>'T1i. Vaccines'!U2</f>
        <v>Sodium Chloride 0.9 % ampule 10mls</v>
      </c>
      <c r="V5" s="229" t="str">
        <f>'T1i. Vaccines'!V2</f>
        <v>RUP syringe (3ml)</v>
      </c>
      <c r="W5" s="229" t="str">
        <f>'T1i. Vaccines'!W2</f>
        <v>…</v>
      </c>
      <c r="X5" s="229" t="str">
        <f>'T1i. Vaccines'!X2</f>
        <v>…</v>
      </c>
      <c r="Y5" s="229" t="str">
        <f>'T1i. Vaccines'!Y2</f>
        <v>Sharps Disposal (5L)</v>
      </c>
      <c r="Z5" s="229" t="str">
        <f>'T1i. Vaccines'!Z2</f>
        <v>Vaccination Card</v>
      </c>
      <c r="AA5" s="229" t="str">
        <f>'T1i. Vaccines'!AA2</f>
        <v>Electronic Records</v>
      </c>
      <c r="AB5" s="229" t="str">
        <f>'T1i. Vaccines'!AB2</f>
        <v>No fault compensation fund</v>
      </c>
      <c r="AC5" s="229" t="str">
        <f>'T1i. Vaccines'!AC2</f>
        <v>Medical mask</v>
      </c>
      <c r="AD5" s="229" t="str">
        <f>'T1i. Vaccines'!AD2</f>
        <v>Alcohol-based hand rub (1L)</v>
      </c>
      <c r="AE5" s="229" t="str">
        <f>'T1i. Vaccines'!AE2</f>
        <v>Liquid soap and water</v>
      </c>
      <c r="AF5" s="229" t="str">
        <f>'T1i. Vaccines'!AF2</f>
        <v>…</v>
      </c>
      <c r="AG5" s="229" t="str">
        <f>'T1i. Vaccines'!AG2</f>
        <v>…</v>
      </c>
      <c r="AH5" s="229" t="str">
        <f>'T1i. Vaccines'!AH2</f>
        <v>…</v>
      </c>
      <c r="AI5" s="229" t="str">
        <f>'T1i. Vaccines'!AI2</f>
        <v>…</v>
      </c>
      <c r="AJ5" s="229" t="str">
        <f>'T1i. Vaccines'!AJ2</f>
        <v>…</v>
      </c>
      <c r="AK5" s="229" t="str">
        <f>'T1i. Vaccines'!AK2</f>
        <v>Eye protection</v>
      </c>
      <c r="AL5" s="229" t="str">
        <f>'T1i. Vaccines'!AL2</f>
        <v>Face shield</v>
      </c>
      <c r="AM5" s="229" t="str">
        <f>'T1i. Vaccines'!AM2</f>
        <v>…</v>
      </c>
      <c r="AN5" s="229" t="str">
        <f>'T1i. Vaccines'!AN2</f>
        <v>…</v>
      </c>
      <c r="AO5" s="229" t="str">
        <f>'T1i. Vaccines'!AO2</f>
        <v>…</v>
      </c>
      <c r="AP5" s="229" t="str">
        <f>'T1i. Vaccines'!AP2</f>
        <v>Electronic temperature monitoring device</v>
      </c>
      <c r="AQ5" s="229" t="str">
        <f>'T1i. Vaccines'!AQ2</f>
        <v>Large, long range, cold box (20L)</v>
      </c>
      <c r="AR5" s="229" t="str">
        <f>'T1i. Vaccines'!AR2</f>
        <v>Vaccine carrier (1.5L)</v>
      </c>
      <c r="AS5" s="229" t="str">
        <f>'T1i. Vaccines'!AS2</f>
        <v>Icepacks</v>
      </c>
      <c r="AT5" s="229" t="str">
        <f>'T1i. Vaccines'!AT2</f>
        <v>X</v>
      </c>
      <c r="AU5" s="229" t="str">
        <f>'T1i. Vaccines'!AU2</f>
        <v>X</v>
      </c>
      <c r="AV5" s="229" t="str">
        <f>'T1i. Vaccines'!AV2</f>
        <v>X</v>
      </c>
      <c r="AW5" s="229" t="str">
        <f>'T1i. Vaccines'!AW2</f>
        <v>X</v>
      </c>
      <c r="AX5" s="229" t="str">
        <f>'T1i. Vaccines'!AX2</f>
        <v>X</v>
      </c>
      <c r="AY5" s="229"/>
      <c r="AZ5" s="229"/>
      <c r="BA5" s="229"/>
      <c r="BB5" s="229"/>
      <c r="BC5" s="229"/>
      <c r="BD5" s="229"/>
      <c r="BE5" s="229"/>
      <c r="BF5" s="229"/>
      <c r="BG5" s="229"/>
      <c r="BH5" s="229"/>
      <c r="BI5" s="229"/>
      <c r="BJ5" s="229"/>
    </row>
    <row r="6" spans="1:62" x14ac:dyDescent="0.2">
      <c r="A6" s="97" t="str">
        <f>'T1i. Vaccines'!A24</f>
        <v>Default Unit Prices (USD)</v>
      </c>
      <c r="B6" s="278" t="str">
        <f>'T1i. Vaccines'!B24</f>
        <v/>
      </c>
      <c r="C6" s="278" t="str">
        <f>'T1i. Vaccines'!C24</f>
        <v/>
      </c>
      <c r="D6" s="278" t="str">
        <f>'T1i. Vaccines'!D24</f>
        <v/>
      </c>
      <c r="E6" s="278" t="str">
        <f>'T1i. Vaccines'!E24</f>
        <v/>
      </c>
      <c r="F6" s="278" t="str">
        <f>'T1i. Vaccines'!F24</f>
        <v/>
      </c>
      <c r="G6" s="278" t="str">
        <f>'T1i. Vaccines'!G24</f>
        <v/>
      </c>
      <c r="H6" s="278" t="str">
        <f>'T1i. Vaccines'!H24</f>
        <v/>
      </c>
      <c r="I6" s="278" t="str">
        <f>'T1i. Vaccines'!I24</f>
        <v/>
      </c>
      <c r="J6" s="278" t="str">
        <f>'T1i. Vaccines'!J24</f>
        <v/>
      </c>
      <c r="K6" s="278" t="str">
        <f>'T1i. Vaccines'!K24</f>
        <v/>
      </c>
      <c r="L6" s="278" t="str">
        <f>'T1i. Vaccines'!L24</f>
        <v/>
      </c>
      <c r="M6" s="278" t="str">
        <f>'T1i. Vaccines'!M24</f>
        <v/>
      </c>
      <c r="N6" s="278" t="str">
        <f>'T1i. Vaccines'!N24</f>
        <v/>
      </c>
      <c r="O6" s="278" t="str">
        <f>'T1i. Vaccines'!O24</f>
        <v/>
      </c>
      <c r="P6" s="277" t="str">
        <f>'T1i. Vaccines'!P24</f>
        <v>0.05</v>
      </c>
      <c r="Q6" s="277" t="str">
        <f>'T1i. Vaccines'!Q24</f>
        <v>0.05</v>
      </c>
      <c r="R6" s="277" t="str">
        <f>'T1i. Vaccines'!R24</f>
        <v>0.01</v>
      </c>
      <c r="S6" s="277" t="str">
        <f>'T1i. Vaccines'!S24</f>
        <v>0.01</v>
      </c>
      <c r="T6" s="277" t="str">
        <f>'T1i. Vaccines'!T24</f>
        <v>0.01</v>
      </c>
      <c r="U6" s="277" t="str">
        <f>'T1i. Vaccines'!U24</f>
        <v>0.05</v>
      </c>
      <c r="V6" s="277" t="str">
        <f>'T1i. Vaccines'!V24</f>
        <v>0.06</v>
      </c>
      <c r="W6" s="277" t="str">
        <f>'T1i. Vaccines'!W24</f>
        <v>0.01</v>
      </c>
      <c r="X6" s="277" t="str">
        <f>'T1i. Vaccines'!X24</f>
        <v>0.01</v>
      </c>
      <c r="Y6" s="277" t="str">
        <f>'T1i. Vaccines'!Y24</f>
        <v>0.84</v>
      </c>
      <c r="Z6" s="277" t="str">
        <f>'T1i. Vaccines'!Z24</f>
        <v>0.03</v>
      </c>
      <c r="AA6" s="277" t="str">
        <f>'T1i. Vaccines'!AA24</f>
        <v/>
      </c>
      <c r="AB6" s="277" t="str">
        <f>'T1i. Vaccines'!AB24</f>
        <v>1</v>
      </c>
      <c r="AC6" s="277" t="str">
        <f>'T1i. Vaccines'!AC24</f>
        <v>0.31</v>
      </c>
      <c r="AD6" s="277" t="str">
        <f>'T1i. Vaccines'!AD24</f>
        <v>8.3</v>
      </c>
      <c r="AE6" s="277" t="str">
        <f>'T1i. Vaccines'!AE24</f>
        <v>0.9</v>
      </c>
      <c r="AF6" s="277" t="str">
        <f>'T1i. Vaccines'!AF24</f>
        <v>0</v>
      </c>
      <c r="AG6" s="277" t="str">
        <f>'T1i. Vaccines'!AG24</f>
        <v>0</v>
      </c>
      <c r="AH6" s="277" t="str">
        <f>'T1i. Vaccines'!AH24</f>
        <v>0</v>
      </c>
      <c r="AI6" s="277" t="str">
        <f>'T1i. Vaccines'!AI24</f>
        <v>0</v>
      </c>
      <c r="AJ6" s="277" t="str">
        <f>'T1i. Vaccines'!AJ24</f>
        <v>0</v>
      </c>
      <c r="AK6" s="277" t="str">
        <f>'T1i. Vaccines'!AK24</f>
        <v>5</v>
      </c>
      <c r="AL6" s="277" t="str">
        <f>'T1i. Vaccines'!AL24</f>
        <v>5</v>
      </c>
      <c r="AM6" s="277" t="str">
        <f>'T1i. Vaccines'!AM24</f>
        <v>0</v>
      </c>
      <c r="AN6" s="277" t="str">
        <f>'T1i. Vaccines'!AN24</f>
        <v>0</v>
      </c>
      <c r="AO6" s="277" t="str">
        <f>'T1i. Vaccines'!AO24</f>
        <v>0</v>
      </c>
      <c r="AP6" s="277" t="str">
        <f>'T1i. Vaccines'!AP24</f>
        <v>40</v>
      </c>
      <c r="AQ6" s="277" t="str">
        <f>'T1i. Vaccines'!AQ24</f>
        <v>83.19</v>
      </c>
      <c r="AR6" s="277" t="str">
        <f>'T1i. Vaccines'!AR24</f>
        <v>49</v>
      </c>
      <c r="AS6" s="277" t="str">
        <f>'T1i. Vaccines'!AS24</f>
        <v>0.49</v>
      </c>
      <c r="AT6" s="277" t="str">
        <f>'T1i. Vaccines'!AT24</f>
        <v/>
      </c>
      <c r="AU6" s="277" t="str">
        <f>'T1i. Vaccines'!AU24</f>
        <v/>
      </c>
      <c r="AV6" s="277" t="str">
        <f>'T1i. Vaccines'!AV24</f>
        <v/>
      </c>
      <c r="AW6" s="277" t="str">
        <f>'T1i. Vaccines'!AW24</f>
        <v/>
      </c>
      <c r="AX6" s="277" t="str">
        <f>'T1i. Vaccines'!AX24</f>
        <v/>
      </c>
      <c r="AY6" s="277"/>
      <c r="AZ6" s="277"/>
      <c r="BA6" s="277"/>
      <c r="BB6" s="277"/>
      <c r="BC6" s="277"/>
      <c r="BD6" s="277"/>
      <c r="BE6" s="277"/>
      <c r="BF6" s="277"/>
      <c r="BG6" s="277"/>
      <c r="BH6" s="277"/>
      <c r="BI6" s="277"/>
      <c r="BJ6" s="277"/>
    </row>
    <row r="7" spans="1:62" x14ac:dyDescent="0.2">
      <c r="A7" s="97" t="str">
        <f>'T1i. Vaccines'!A25</f>
        <v>Default Quantities</v>
      </c>
      <c r="B7" s="278" t="str">
        <f>'T1i. Vaccines'!B25</f>
        <v/>
      </c>
      <c r="C7" s="278" t="str">
        <f>'T1i. Vaccines'!C25</f>
        <v/>
      </c>
      <c r="D7" s="278" t="str">
        <f>'T1i. Vaccines'!D25</f>
        <v/>
      </c>
      <c r="E7" s="278" t="str">
        <f>'T1i. Vaccines'!E25</f>
        <v/>
      </c>
      <c r="F7" s="278" t="str">
        <f>'T1i. Vaccines'!F25</f>
        <v/>
      </c>
      <c r="G7" s="278" t="str">
        <f>'T1i. Vaccines'!G25</f>
        <v/>
      </c>
      <c r="H7" s="278" t="str">
        <f>'T1i. Vaccines'!H25</f>
        <v/>
      </c>
      <c r="I7" s="278" t="str">
        <f>'T1i. Vaccines'!I25</f>
        <v/>
      </c>
      <c r="J7" s="278" t="str">
        <f>'T1i. Vaccines'!J25</f>
        <v/>
      </c>
      <c r="K7" s="278" t="str">
        <f>'T1i. Vaccines'!K25</f>
        <v/>
      </c>
      <c r="L7" s="278" t="str">
        <f>'T1i. Vaccines'!L25</f>
        <v/>
      </c>
      <c r="M7" s="278" t="str">
        <f>'T1i. Vaccines'!M25</f>
        <v/>
      </c>
      <c r="N7" s="278" t="str">
        <f>'T1i. Vaccines'!N25</f>
        <v/>
      </c>
      <c r="O7" s="278" t="str">
        <f>'T1i. Vaccines'!O25</f>
        <v/>
      </c>
      <c r="P7" s="278" t="str">
        <f>'T1i. Vaccines'!P25</f>
        <v/>
      </c>
      <c r="Q7" s="278" t="str">
        <f>'T1i. Vaccines'!Q25</f>
        <v/>
      </c>
      <c r="R7" s="278" t="str">
        <f>'T1i. Vaccines'!R25</f>
        <v/>
      </c>
      <c r="S7" s="278" t="str">
        <f>'T1i. Vaccines'!S25</f>
        <v/>
      </c>
      <c r="T7" s="278" t="str">
        <f>'T1i. Vaccines'!T25</f>
        <v/>
      </c>
      <c r="U7" s="278" t="str">
        <f>'T1i. Vaccines'!U25</f>
        <v/>
      </c>
      <c r="V7" s="278" t="str">
        <f>'T1i. Vaccines'!V25</f>
        <v/>
      </c>
      <c r="W7" s="278" t="str">
        <f>'T1i. Vaccines'!W25</f>
        <v/>
      </c>
      <c r="X7" s="278" t="str">
        <f>'T1i. Vaccines'!X25</f>
        <v/>
      </c>
      <c r="Y7" s="278" t="str">
        <f>'T1i. Vaccines'!Y25</f>
        <v/>
      </c>
      <c r="Z7" s="278" t="str">
        <f>'T1i. Vaccines'!Z25</f>
        <v/>
      </c>
      <c r="AA7" s="278" t="str">
        <f>'T1i. Vaccines'!AA25</f>
        <v/>
      </c>
      <c r="AB7" s="278" t="str">
        <f>'T1i. Vaccines'!AB25</f>
        <v/>
      </c>
      <c r="AC7" s="278" t="str">
        <f>'T1i. Vaccines'!AC25</f>
        <v>2</v>
      </c>
      <c r="AD7" s="278" t="str">
        <f>'T1i. Vaccines'!AD25</f>
        <v>0.6</v>
      </c>
      <c r="AE7" s="278" t="str">
        <f>'T1i. Vaccines'!AE25</f>
        <v>0.05</v>
      </c>
      <c r="AF7" s="278" t="str">
        <f>'T1i. Vaccines'!AF25</f>
        <v>0</v>
      </c>
      <c r="AG7" s="278" t="str">
        <f>'T1i. Vaccines'!AG25</f>
        <v>0</v>
      </c>
      <c r="AH7" s="278" t="str">
        <f>'T1i. Vaccines'!AH25</f>
        <v>0</v>
      </c>
      <c r="AI7" s="278" t="str">
        <f>'T1i. Vaccines'!AI25</f>
        <v>0</v>
      </c>
      <c r="AJ7" s="278" t="str">
        <f>'T1i. Vaccines'!AJ25</f>
        <v>0</v>
      </c>
      <c r="AK7" s="278" t="str">
        <f>'T1i. Vaccines'!AK25</f>
        <v>0</v>
      </c>
      <c r="AL7" s="278" t="str">
        <f>'T1i. Vaccines'!AL25</f>
        <v>0</v>
      </c>
      <c r="AM7" s="278" t="str">
        <f>'T1i. Vaccines'!AM25</f>
        <v>0</v>
      </c>
      <c r="AN7" s="278" t="str">
        <f>'T1i. Vaccines'!AN25</f>
        <v>0</v>
      </c>
      <c r="AO7" s="278" t="str">
        <f>'T1i. Vaccines'!AO25</f>
        <v>0</v>
      </c>
      <c r="AP7" s="278" t="str">
        <f>'T1i. Vaccines'!AP25</f>
        <v/>
      </c>
      <c r="AQ7" s="278" t="str">
        <f>'T1i. Vaccines'!AQ25</f>
        <v/>
      </c>
      <c r="AR7" s="278" t="str">
        <f>'T1i. Vaccines'!AR25</f>
        <v/>
      </c>
      <c r="AS7" s="278" t="str">
        <f>'T1i. Vaccines'!AS25</f>
        <v/>
      </c>
      <c r="AT7" s="278" t="str">
        <f>'T1i. Vaccines'!AT25</f>
        <v/>
      </c>
      <c r="AU7" s="278" t="str">
        <f>'T1i. Vaccines'!AU25</f>
        <v/>
      </c>
      <c r="AV7" s="278" t="str">
        <f>'T1i. Vaccines'!AV25</f>
        <v/>
      </c>
      <c r="AW7" s="278" t="str">
        <f>'T1i. Vaccines'!AW25</f>
        <v/>
      </c>
      <c r="AX7" s="278" t="str">
        <f>'T1i. Vaccines'!AX25</f>
        <v/>
      </c>
    </row>
    <row r="8" spans="1:62" x14ac:dyDescent="0.2">
      <c r="A8" s="97" t="str">
        <f>'T1i. Vaccines'!A26</f>
        <v>Included as part of fully loaded vaccine doses</v>
      </c>
      <c r="B8" s="278" t="str">
        <f>'T1i. Vaccines'!B26</f>
        <v/>
      </c>
      <c r="C8" s="278" t="str">
        <f>'T1i. Vaccines'!C26</f>
        <v/>
      </c>
      <c r="D8" s="278" t="str">
        <f>'T1i. Vaccines'!D26</f>
        <v/>
      </c>
      <c r="E8" s="278" t="str">
        <f>'T1i. Vaccines'!E26</f>
        <v/>
      </c>
      <c r="F8" s="278" t="str">
        <f>'T1i. Vaccines'!F26</f>
        <v/>
      </c>
      <c r="G8" s="278" t="str">
        <f>'T1i. Vaccines'!G26</f>
        <v/>
      </c>
      <c r="H8" s="278" t="str">
        <f>'T1i. Vaccines'!H26</f>
        <v/>
      </c>
      <c r="I8" s="278" t="str">
        <f>'T1i. Vaccines'!I26</f>
        <v/>
      </c>
      <c r="J8" s="278" t="str">
        <f>'T1i. Vaccines'!J26</f>
        <v/>
      </c>
      <c r="K8" s="278" t="str">
        <f>'T1i. Vaccines'!K26</f>
        <v/>
      </c>
      <c r="L8" s="278" t="str">
        <f>'T1i. Vaccines'!L26</f>
        <v/>
      </c>
      <c r="M8" s="278" t="str">
        <f>'T1i. Vaccines'!M26</f>
        <v/>
      </c>
      <c r="N8" s="278" t="str">
        <f>'T1i. Vaccines'!N26</f>
        <v/>
      </c>
      <c r="O8" s="278" t="str">
        <f>'T1i. Vaccines'!O26</f>
        <v/>
      </c>
      <c r="P8" s="278" t="str">
        <f>'T1i. Vaccines'!P26</f>
        <v>1</v>
      </c>
      <c r="Q8" s="278" t="str">
        <f>'T1i. Vaccines'!Q26</f>
        <v>1</v>
      </c>
      <c r="R8" s="278" t="str">
        <f>'T1i. Vaccines'!R26</f>
        <v>1</v>
      </c>
      <c r="S8" s="278" t="str">
        <f>'T1i. Vaccines'!S26</f>
        <v>0</v>
      </c>
      <c r="T8" s="278" t="str">
        <f>'T1i. Vaccines'!T26</f>
        <v>1</v>
      </c>
      <c r="U8" s="278" t="str">
        <f>'T1i. Vaccines'!U26</f>
        <v>1</v>
      </c>
      <c r="V8" s="278" t="str">
        <f>'T1i. Vaccines'!V26</f>
        <v>1</v>
      </c>
      <c r="W8" s="278" t="str">
        <f>'T1i. Vaccines'!W26</f>
        <v>0</v>
      </c>
      <c r="X8" s="278" t="str">
        <f>'T1i. Vaccines'!X26</f>
        <v>0</v>
      </c>
      <c r="Y8" s="278" t="str">
        <f>'T1i. Vaccines'!Y26</f>
        <v>1</v>
      </c>
      <c r="Z8" s="545"/>
      <c r="AA8" s="545"/>
      <c r="AB8" s="278" t="str">
        <f>'T1i. Vaccines'!AB26</f>
        <v>1</v>
      </c>
      <c r="AC8" s="278" t="str">
        <f>'T1i. Vaccines'!AC26</f>
        <v/>
      </c>
      <c r="AD8" s="278" t="str">
        <f>'T1i. Vaccines'!AD26</f>
        <v/>
      </c>
      <c r="AE8" s="278" t="str">
        <f>'T1i. Vaccines'!AE26</f>
        <v/>
      </c>
      <c r="AF8" s="278" t="str">
        <f>'T1i. Vaccines'!AF26</f>
        <v/>
      </c>
      <c r="AG8" s="278" t="str">
        <f>'T1i. Vaccines'!AG26</f>
        <v/>
      </c>
      <c r="AH8" s="278" t="str">
        <f>'T1i. Vaccines'!AH26</f>
        <v/>
      </c>
      <c r="AI8" s="278" t="str">
        <f>'T1i. Vaccines'!AI26</f>
        <v/>
      </c>
      <c r="AJ8" s="278" t="str">
        <f>'T1i. Vaccines'!AJ26</f>
        <v/>
      </c>
      <c r="AK8" s="278" t="str">
        <f>'T1i. Vaccines'!AK26</f>
        <v/>
      </c>
      <c r="AL8" s="278" t="str">
        <f>'T1i. Vaccines'!AL26</f>
        <v/>
      </c>
      <c r="AM8" s="278" t="str">
        <f>'T1i. Vaccines'!AM26</f>
        <v/>
      </c>
      <c r="AN8" s="278" t="str">
        <f>'T1i. Vaccines'!AN26</f>
        <v/>
      </c>
      <c r="AO8" s="278" t="str">
        <f>'T1i. Vaccines'!AO26</f>
        <v/>
      </c>
      <c r="AP8" s="278" t="str">
        <f>'T1i. Vaccines'!AP26</f>
        <v/>
      </c>
      <c r="AQ8" s="278" t="str">
        <f>'T1i. Vaccines'!AQ26</f>
        <v/>
      </c>
      <c r="AR8" s="278" t="str">
        <f>'T1i. Vaccines'!AR26</f>
        <v/>
      </c>
      <c r="AS8" s="278" t="str">
        <f>'T1i. Vaccines'!AS26</f>
        <v/>
      </c>
      <c r="AT8" s="278" t="str">
        <f>'T1i. Vaccines'!AT26</f>
        <v/>
      </c>
      <c r="AU8" s="278" t="str">
        <f>'T1i. Vaccines'!AU26</f>
        <v/>
      </c>
      <c r="AV8" s="278" t="str">
        <f>'T1i. Vaccines'!AV26</f>
        <v/>
      </c>
      <c r="AW8" s="278" t="str">
        <f>'T1i. Vaccines'!AW26</f>
        <v/>
      </c>
      <c r="AX8" s="278" t="str">
        <f>'T1i. Vaccines'!AX26</f>
        <v/>
      </c>
    </row>
    <row r="9" spans="1:62" x14ac:dyDescent="0.2">
      <c r="A9" s="97" t="str">
        <f>'T1i. Vaccines'!A27</f>
        <v>Y</v>
      </c>
      <c r="B9" s="278" t="str">
        <f>'T1i. Vaccines'!B27</f>
        <v/>
      </c>
      <c r="C9" s="278" t="str">
        <f>'T1i. Vaccines'!C27</f>
        <v/>
      </c>
      <c r="D9" s="278" t="str">
        <f>'T1i. Vaccines'!D27</f>
        <v/>
      </c>
      <c r="E9" s="278" t="str">
        <f>'T1i. Vaccines'!E27</f>
        <v/>
      </c>
      <c r="F9" s="278" t="str">
        <f>'T1i. Vaccines'!F27</f>
        <v/>
      </c>
      <c r="G9" s="278" t="str">
        <f>'T1i. Vaccines'!G27</f>
        <v/>
      </c>
      <c r="H9" s="278" t="str">
        <f>'T1i. Vaccines'!H27</f>
        <v/>
      </c>
      <c r="I9" s="278" t="str">
        <f>'T1i. Vaccines'!I27</f>
        <v/>
      </c>
      <c r="J9" s="278" t="str">
        <f>'T1i. Vaccines'!J27</f>
        <v/>
      </c>
      <c r="K9" s="278" t="str">
        <f>'T1i. Vaccines'!K27</f>
        <v/>
      </c>
      <c r="L9" s="278" t="str">
        <f>'T1i. Vaccines'!L27</f>
        <v/>
      </c>
      <c r="M9" s="278" t="str">
        <f>'T1i. Vaccines'!M27</f>
        <v/>
      </c>
      <c r="N9" s="278" t="str">
        <f>'T1i. Vaccines'!N27</f>
        <v/>
      </c>
      <c r="O9" s="278" t="str">
        <f>'T1i. Vaccines'!O27</f>
        <v/>
      </c>
      <c r="P9" s="278" t="str">
        <f>'T1i. Vaccines'!P27</f>
        <v/>
      </c>
      <c r="Q9" s="278" t="str">
        <f>'T1i. Vaccines'!Q27</f>
        <v/>
      </c>
      <c r="R9" s="278" t="str">
        <f>'T1i. Vaccines'!R27</f>
        <v/>
      </c>
      <c r="S9" s="278" t="str">
        <f>'T1i. Vaccines'!S27</f>
        <v/>
      </c>
      <c r="T9" s="278" t="str">
        <f>'T1i. Vaccines'!T27</f>
        <v/>
      </c>
      <c r="U9" s="278" t="str">
        <f>'T1i. Vaccines'!U27</f>
        <v/>
      </c>
      <c r="V9" s="278" t="str">
        <f>'T1i. Vaccines'!V27</f>
        <v/>
      </c>
      <c r="W9" s="278" t="str">
        <f>'T1i. Vaccines'!W27</f>
        <v/>
      </c>
      <c r="X9" s="278" t="str">
        <f>'T1i. Vaccines'!X27</f>
        <v/>
      </c>
      <c r="Y9" s="278" t="str">
        <f>'T1i. Vaccines'!Y27</f>
        <v/>
      </c>
      <c r="Z9" s="278" t="str">
        <f>'T1i. Vaccines'!Z27</f>
        <v/>
      </c>
      <c r="AA9" s="278" t="str">
        <f>'T1i. Vaccines'!AA27</f>
        <v/>
      </c>
      <c r="AB9" s="278" t="str">
        <f>'T1i. Vaccines'!AB27</f>
        <v/>
      </c>
      <c r="AC9" s="278" t="str">
        <f>'T1i. Vaccines'!AC27</f>
        <v/>
      </c>
      <c r="AD9" s="278" t="str">
        <f>'T1i. Vaccines'!AD27</f>
        <v/>
      </c>
      <c r="AE9" s="278" t="str">
        <f>'T1i. Vaccines'!AE27</f>
        <v/>
      </c>
      <c r="AF9" s="278" t="str">
        <f>'T1i. Vaccines'!AF27</f>
        <v/>
      </c>
      <c r="AG9" s="278" t="str">
        <f>'T1i. Vaccines'!AG27</f>
        <v/>
      </c>
      <c r="AH9" s="278" t="str">
        <f>'T1i. Vaccines'!AH27</f>
        <v/>
      </c>
      <c r="AI9" s="278" t="str">
        <f>'T1i. Vaccines'!AI27</f>
        <v/>
      </c>
      <c r="AJ9" s="278" t="str">
        <f>'T1i. Vaccines'!AJ27</f>
        <v/>
      </c>
      <c r="AK9" s="278" t="str">
        <f>'T1i. Vaccines'!AK27</f>
        <v/>
      </c>
      <c r="AL9" s="278" t="str">
        <f>'T1i. Vaccines'!AL27</f>
        <v/>
      </c>
      <c r="AM9" s="278" t="str">
        <f>'T1i. Vaccines'!AM27</f>
        <v/>
      </c>
      <c r="AN9" s="278" t="str">
        <f>'T1i. Vaccines'!AN27</f>
        <v/>
      </c>
      <c r="AO9" s="278" t="str">
        <f>'T1i. Vaccines'!AO27</f>
        <v/>
      </c>
      <c r="AP9" s="278" t="str">
        <f>'T1i. Vaccines'!AP27</f>
        <v/>
      </c>
      <c r="AQ9" s="278" t="str">
        <f>'T1i. Vaccines'!AQ27</f>
        <v/>
      </c>
      <c r="AR9" s="278" t="str">
        <f>'T1i. Vaccines'!AR27</f>
        <v/>
      </c>
      <c r="AS9" s="278" t="str">
        <f>'T1i. Vaccines'!AS27</f>
        <v/>
      </c>
      <c r="AT9" s="278" t="str">
        <f>'T1i. Vaccines'!AT27</f>
        <v/>
      </c>
      <c r="AU9" s="278" t="str">
        <f>'T1i. Vaccines'!AU27</f>
        <v/>
      </c>
      <c r="AV9" s="278" t="str">
        <f>'T1i. Vaccines'!AV27</f>
        <v/>
      </c>
      <c r="AW9" s="278" t="str">
        <f>'T1i. Vaccines'!AW27</f>
        <v/>
      </c>
      <c r="AX9" s="278" t="str">
        <f>'T1i. Vaccines'!AX27</f>
        <v/>
      </c>
    </row>
    <row r="10" spans="1:62" x14ac:dyDescent="0.2">
      <c r="A10" s="97" t="str">
        <f>'T1i. Vaccines'!A28</f>
        <v>Y</v>
      </c>
      <c r="B10" s="278" t="str">
        <f>'T1i. Vaccines'!B28</f>
        <v/>
      </c>
      <c r="C10" s="278" t="str">
        <f>'T1i. Vaccines'!C28</f>
        <v/>
      </c>
      <c r="D10" s="278" t="str">
        <f>'T1i. Vaccines'!D28</f>
        <v/>
      </c>
      <c r="E10" s="278" t="str">
        <f>'T1i. Vaccines'!E28</f>
        <v/>
      </c>
      <c r="F10" s="278" t="str">
        <f>'T1i. Vaccines'!F28</f>
        <v/>
      </c>
      <c r="G10" s="278" t="str">
        <f>'T1i. Vaccines'!G28</f>
        <v/>
      </c>
      <c r="H10" s="278" t="str">
        <f>'T1i. Vaccines'!H28</f>
        <v/>
      </c>
      <c r="I10" s="278" t="str">
        <f>'T1i. Vaccines'!I28</f>
        <v/>
      </c>
      <c r="J10" s="278" t="str">
        <f>'T1i. Vaccines'!J28</f>
        <v/>
      </c>
      <c r="K10" s="278" t="str">
        <f>'T1i. Vaccines'!K28</f>
        <v/>
      </c>
      <c r="L10" s="278" t="str">
        <f>'T1i. Vaccines'!L28</f>
        <v/>
      </c>
      <c r="M10" s="278" t="str">
        <f>'T1i. Vaccines'!M28</f>
        <v/>
      </c>
      <c r="N10" s="278" t="str">
        <f>'T1i. Vaccines'!N28</f>
        <v/>
      </c>
      <c r="O10" s="278" t="str">
        <f>'T1i. Vaccines'!O28</f>
        <v/>
      </c>
      <c r="P10" s="278" t="str">
        <f>'T1i. Vaccines'!P28</f>
        <v/>
      </c>
      <c r="Q10" s="278" t="str">
        <f>'T1i. Vaccines'!Q28</f>
        <v/>
      </c>
      <c r="R10" s="278" t="str">
        <f>'T1i. Vaccines'!R28</f>
        <v/>
      </c>
      <c r="S10" s="278" t="str">
        <f>'T1i. Vaccines'!S28</f>
        <v/>
      </c>
      <c r="T10" s="278" t="str">
        <f>'T1i. Vaccines'!T28</f>
        <v/>
      </c>
      <c r="U10" s="278" t="str">
        <f>'T1i. Vaccines'!U28</f>
        <v/>
      </c>
      <c r="V10" s="278" t="str">
        <f>'T1i. Vaccines'!V28</f>
        <v/>
      </c>
      <c r="W10" s="278" t="str">
        <f>'T1i. Vaccines'!W28</f>
        <v/>
      </c>
      <c r="X10" s="278" t="str">
        <f>'T1i. Vaccines'!X28</f>
        <v/>
      </c>
      <c r="Y10" s="278" t="str">
        <f>'T1i. Vaccines'!Y28</f>
        <v/>
      </c>
      <c r="Z10" s="278" t="str">
        <f>'T1i. Vaccines'!Z28</f>
        <v/>
      </c>
      <c r="AA10" s="278" t="str">
        <f>'T1i. Vaccines'!AA28</f>
        <v/>
      </c>
      <c r="AB10" s="278" t="str">
        <f>'T1i. Vaccines'!AB28</f>
        <v/>
      </c>
      <c r="AC10" s="278" t="str">
        <f>'T1i. Vaccines'!AC28</f>
        <v/>
      </c>
      <c r="AD10" s="278" t="str">
        <f>'T1i. Vaccines'!AD28</f>
        <v/>
      </c>
      <c r="AE10" s="278" t="str">
        <f>'T1i. Vaccines'!AE28</f>
        <v/>
      </c>
      <c r="AF10" s="278" t="str">
        <f>'T1i. Vaccines'!AF28</f>
        <v/>
      </c>
      <c r="AG10" s="278" t="str">
        <f>'T1i. Vaccines'!AG28</f>
        <v/>
      </c>
      <c r="AH10" s="278" t="str">
        <f>'T1i. Vaccines'!AH28</f>
        <v/>
      </c>
      <c r="AI10" s="278" t="str">
        <f>'T1i. Vaccines'!AI28</f>
        <v/>
      </c>
      <c r="AJ10" s="278" t="str">
        <f>'T1i. Vaccines'!AJ28</f>
        <v/>
      </c>
      <c r="AK10" s="278" t="str">
        <f>'T1i. Vaccines'!AK28</f>
        <v/>
      </c>
      <c r="AL10" s="278" t="str">
        <f>'T1i. Vaccines'!AL28</f>
        <v/>
      </c>
      <c r="AM10" s="278" t="str">
        <f>'T1i. Vaccines'!AM28</f>
        <v/>
      </c>
      <c r="AN10" s="278" t="str">
        <f>'T1i. Vaccines'!AN28</f>
        <v/>
      </c>
      <c r="AO10" s="278" t="str">
        <f>'T1i. Vaccines'!AO28</f>
        <v/>
      </c>
      <c r="AP10" s="278" t="str">
        <f>'T1i. Vaccines'!AP28</f>
        <v/>
      </c>
      <c r="AQ10" s="278" t="str">
        <f>'T1i. Vaccines'!AQ28</f>
        <v/>
      </c>
      <c r="AR10" s="278" t="str">
        <f>'T1i. Vaccines'!AR28</f>
        <v/>
      </c>
      <c r="AS10" s="278" t="str">
        <f>'T1i. Vaccines'!AS28</f>
        <v/>
      </c>
      <c r="AT10" s="278" t="str">
        <f>'T1i. Vaccines'!AT28</f>
        <v/>
      </c>
      <c r="AU10" s="278" t="str">
        <f>'T1i. Vaccines'!AU28</f>
        <v/>
      </c>
      <c r="AV10" s="278" t="str">
        <f>'T1i. Vaccines'!AV28</f>
        <v/>
      </c>
      <c r="AW10" s="278" t="str">
        <f>'T1i. Vaccines'!AW28</f>
        <v/>
      </c>
      <c r="AX10" s="278" t="str">
        <f>'T1i. Vaccines'!AX28</f>
        <v/>
      </c>
    </row>
    <row r="11" spans="1:62" x14ac:dyDescent="0.2">
      <c r="A11" s="97" t="str">
        <f>'T1i. Vaccines'!A29</f>
        <v>Y</v>
      </c>
      <c r="B11" s="278" t="str">
        <f>'T1i. Vaccines'!B29</f>
        <v/>
      </c>
      <c r="C11" s="278" t="str">
        <f>'T1i. Vaccines'!C29</f>
        <v/>
      </c>
      <c r="D11" s="278" t="str">
        <f>'T1i. Vaccines'!D29</f>
        <v/>
      </c>
      <c r="E11" s="278" t="str">
        <f>'T1i. Vaccines'!E29</f>
        <v/>
      </c>
      <c r="F11" s="278" t="str">
        <f>'T1i. Vaccines'!F29</f>
        <v/>
      </c>
      <c r="G11" s="278" t="str">
        <f>'T1i. Vaccines'!G29</f>
        <v/>
      </c>
      <c r="H11" s="278" t="str">
        <f>'T1i. Vaccines'!H29</f>
        <v/>
      </c>
      <c r="I11" s="278" t="str">
        <f>'T1i. Vaccines'!I29</f>
        <v/>
      </c>
      <c r="J11" s="278" t="str">
        <f>'T1i. Vaccines'!J29</f>
        <v/>
      </c>
      <c r="K11" s="278" t="str">
        <f>'T1i. Vaccines'!K29</f>
        <v/>
      </c>
      <c r="L11" s="278" t="str">
        <f>'T1i. Vaccines'!L29</f>
        <v/>
      </c>
      <c r="M11" s="278" t="str">
        <f>'T1i. Vaccines'!M29</f>
        <v/>
      </c>
      <c r="N11" s="278" t="str">
        <f>'T1i. Vaccines'!N29</f>
        <v/>
      </c>
      <c r="O11" s="278" t="str">
        <f>'T1i. Vaccines'!O29</f>
        <v/>
      </c>
      <c r="P11" s="278" t="str">
        <f>'T1i. Vaccines'!P29</f>
        <v/>
      </c>
      <c r="Q11" s="278" t="str">
        <f>'T1i. Vaccines'!Q29</f>
        <v/>
      </c>
      <c r="R11" s="278" t="str">
        <f>'T1i. Vaccines'!R29</f>
        <v/>
      </c>
      <c r="S11" s="278" t="str">
        <f>'T1i. Vaccines'!S29</f>
        <v/>
      </c>
      <c r="T11" s="278" t="str">
        <f>'T1i. Vaccines'!T29</f>
        <v/>
      </c>
      <c r="U11" s="278" t="str">
        <f>'T1i. Vaccines'!U29</f>
        <v/>
      </c>
      <c r="V11" s="278" t="str">
        <f>'T1i. Vaccines'!V29</f>
        <v/>
      </c>
      <c r="W11" s="278" t="str">
        <f>'T1i. Vaccines'!W29</f>
        <v/>
      </c>
      <c r="X11" s="278" t="str">
        <f>'T1i. Vaccines'!X29</f>
        <v/>
      </c>
      <c r="Y11" s="278" t="str">
        <f>'T1i. Vaccines'!Y29</f>
        <v/>
      </c>
      <c r="Z11" s="278" t="str">
        <f>'T1i. Vaccines'!Z29</f>
        <v/>
      </c>
      <c r="AA11" s="278" t="str">
        <f>'T1i. Vaccines'!AA29</f>
        <v/>
      </c>
      <c r="AB11" s="278" t="str">
        <f>'T1i. Vaccines'!AB29</f>
        <v/>
      </c>
      <c r="AC11" s="278" t="str">
        <f>'T1i. Vaccines'!AC29</f>
        <v/>
      </c>
      <c r="AD11" s="278" t="str">
        <f>'T1i. Vaccines'!AD29</f>
        <v/>
      </c>
      <c r="AE11" s="278" t="str">
        <f>'T1i. Vaccines'!AE29</f>
        <v/>
      </c>
      <c r="AF11" s="278" t="str">
        <f>'T1i. Vaccines'!AF29</f>
        <v/>
      </c>
      <c r="AG11" s="278" t="str">
        <f>'T1i. Vaccines'!AG29</f>
        <v/>
      </c>
      <c r="AH11" s="278" t="str">
        <f>'T1i. Vaccines'!AH29</f>
        <v/>
      </c>
      <c r="AI11" s="278" t="str">
        <f>'T1i. Vaccines'!AI29</f>
        <v/>
      </c>
      <c r="AJ11" s="278" t="str">
        <f>'T1i. Vaccines'!AJ29</f>
        <v/>
      </c>
      <c r="AK11" s="278" t="str">
        <f>'T1i. Vaccines'!AK29</f>
        <v/>
      </c>
      <c r="AL11" s="278" t="str">
        <f>'T1i. Vaccines'!AL29</f>
        <v/>
      </c>
      <c r="AM11" s="278" t="str">
        <f>'T1i. Vaccines'!AM29</f>
        <v/>
      </c>
      <c r="AN11" s="278" t="str">
        <f>'T1i. Vaccines'!AN29</f>
        <v/>
      </c>
      <c r="AO11" s="278" t="str">
        <f>'T1i. Vaccines'!AO29</f>
        <v/>
      </c>
      <c r="AP11" s="278" t="str">
        <f>'T1i. Vaccines'!AP29</f>
        <v/>
      </c>
      <c r="AQ11" s="278" t="str">
        <f>'T1i. Vaccines'!AQ29</f>
        <v/>
      </c>
      <c r="AR11" s="278" t="str">
        <f>'T1i. Vaccines'!AR29</f>
        <v/>
      </c>
      <c r="AS11" s="278" t="str">
        <f>'T1i. Vaccines'!AS29</f>
        <v/>
      </c>
      <c r="AT11" s="278" t="str">
        <f>'T1i. Vaccines'!AT29</f>
        <v/>
      </c>
      <c r="AU11" s="278" t="str">
        <f>'T1i. Vaccines'!AU29</f>
        <v/>
      </c>
      <c r="AV11" s="278" t="str">
        <f>'T1i. Vaccines'!AV29</f>
        <v/>
      </c>
      <c r="AW11" s="278" t="str">
        <f>'T1i. Vaccines'!AW29</f>
        <v/>
      </c>
      <c r="AX11" s="278" t="str">
        <f>'T1i. Vaccines'!AX29</f>
        <v/>
      </c>
    </row>
    <row r="12" spans="1:62" x14ac:dyDescent="0.2">
      <c r="A12" s="97" t="str">
        <f>'T1i. Vaccines'!A30</f>
        <v>Misc Parameters</v>
      </c>
      <c r="B12" s="545"/>
      <c r="C12" s="278" t="str">
        <f>'T1i. Vaccines'!C30</f>
        <v>0.03</v>
      </c>
      <c r="D12" s="278" t="str">
        <f>'T1i. Vaccines'!D30</f>
        <v>0.17</v>
      </c>
      <c r="E12" s="278" t="str">
        <f>'T1i. Vaccines'!E30</f>
        <v>0.5</v>
      </c>
      <c r="F12" s="278" t="str">
        <f>'T1i. Vaccines'!F30</f>
        <v>0.5</v>
      </c>
      <c r="G12" s="278" t="str">
        <f>'T1i. Vaccines'!G30</f>
        <v>0.5</v>
      </c>
      <c r="H12" s="278" t="str">
        <f>'T1i. Vaccines'!H30</f>
        <v>0.5</v>
      </c>
      <c r="I12" s="278" t="str">
        <f>'T1i. Vaccines'!I30</f>
        <v/>
      </c>
      <c r="J12" s="278" t="str">
        <f>'T1i. Vaccines'!J30</f>
        <v/>
      </c>
      <c r="K12" s="278" t="str">
        <f>'T1i. Vaccines'!K30</f>
        <v/>
      </c>
      <c r="L12" s="278" t="str">
        <f>'T1i. Vaccines'!L30</f>
        <v/>
      </c>
      <c r="M12" s="278" t="str">
        <f>'T1i. Vaccines'!M30</f>
        <v/>
      </c>
      <c r="N12" s="278" t="str">
        <f>'T1i. Vaccines'!N30</f>
        <v/>
      </c>
      <c r="O12" s="278" t="str">
        <f>'T1i. Vaccines'!O30</f>
        <v/>
      </c>
      <c r="P12" s="278" t="str">
        <f>'T1i. Vaccines'!P30</f>
        <v/>
      </c>
      <c r="Q12" s="278" t="str">
        <f>'T1i. Vaccines'!Q30</f>
        <v/>
      </c>
      <c r="R12" s="278" t="str">
        <f>'T1i. Vaccines'!R30</f>
        <v/>
      </c>
      <c r="S12" s="278" t="str">
        <f>'T1i. Vaccines'!S30</f>
        <v/>
      </c>
      <c r="T12" s="278" t="str">
        <f>'T1i. Vaccines'!T30</f>
        <v/>
      </c>
      <c r="U12" s="278" t="str">
        <f>'T1i. Vaccines'!U30</f>
        <v/>
      </c>
      <c r="V12" s="278" t="str">
        <f>'T1i. Vaccines'!V30</f>
        <v/>
      </c>
      <c r="W12" s="278" t="str">
        <f>'T1i. Vaccines'!W30</f>
        <v/>
      </c>
      <c r="X12" s="278" t="str">
        <f>'T1i. Vaccines'!X30</f>
        <v/>
      </c>
      <c r="Y12" s="278" t="str">
        <f>'T1i. Vaccines'!Y30</f>
        <v/>
      </c>
      <c r="Z12" s="278" t="str">
        <f>'T1i. Vaccines'!Z30</f>
        <v/>
      </c>
      <c r="AA12" s="278" t="str">
        <f>'T1i. Vaccines'!AA30</f>
        <v/>
      </c>
      <c r="AB12" s="278" t="str">
        <f>'T1i. Vaccines'!AB30</f>
        <v/>
      </c>
      <c r="AC12" s="278" t="str">
        <f>'T1i. Vaccines'!AC30</f>
        <v/>
      </c>
      <c r="AD12" s="278" t="str">
        <f>'T1i. Vaccines'!AD30</f>
        <v/>
      </c>
      <c r="AE12" s="278" t="str">
        <f>'T1i. Vaccines'!AE30</f>
        <v/>
      </c>
      <c r="AF12" s="278" t="str">
        <f>'T1i. Vaccines'!AF30</f>
        <v/>
      </c>
      <c r="AG12" s="278" t="str">
        <f>'T1i. Vaccines'!AG30</f>
        <v/>
      </c>
      <c r="AH12" s="278" t="str">
        <f>'T1i. Vaccines'!AH30</f>
        <v/>
      </c>
      <c r="AI12" s="278" t="str">
        <f>'T1i. Vaccines'!AI30</f>
        <v/>
      </c>
      <c r="AJ12" s="278" t="str">
        <f>'T1i. Vaccines'!AJ30</f>
        <v/>
      </c>
      <c r="AK12" s="278" t="str">
        <f>'T1i. Vaccines'!AK30</f>
        <v/>
      </c>
      <c r="AL12" s="278" t="str">
        <f>'T1i. Vaccines'!AL30</f>
        <v/>
      </c>
      <c r="AM12" s="278" t="str">
        <f>'T1i. Vaccines'!AM30</f>
        <v/>
      </c>
      <c r="AN12" s="278" t="str">
        <f>'T1i. Vaccines'!AN30</f>
        <v/>
      </c>
      <c r="AO12" s="278" t="str">
        <f>'T1i. Vaccines'!AO30</f>
        <v/>
      </c>
      <c r="AP12" s="278" t="str">
        <f>'T1i. Vaccines'!AP30</f>
        <v/>
      </c>
      <c r="AQ12" s="278" t="str">
        <f>'T1i. Vaccines'!AQ30</f>
        <v/>
      </c>
      <c r="AR12" s="278" t="str">
        <f>'T1i. Vaccines'!AR30</f>
        <v/>
      </c>
      <c r="AS12" s="278" t="str">
        <f>'T1i. Vaccines'!AS30</f>
        <v/>
      </c>
      <c r="AT12" s="278" t="str">
        <f>'T1i. Vaccines'!AT30</f>
        <v/>
      </c>
      <c r="AU12" s="278" t="str">
        <f>'T1i. Vaccines'!AU30</f>
        <v/>
      </c>
      <c r="AV12" s="278" t="str">
        <f>'T1i. Vaccines'!AV30</f>
        <v/>
      </c>
      <c r="AW12" s="278" t="str">
        <f>'T1i. Vaccines'!AW30</f>
        <v/>
      </c>
      <c r="AX12" s="278" t="str">
        <f>'T1i. Vaccines'!AX30</f>
        <v/>
      </c>
    </row>
    <row r="13" spans="1:62" x14ac:dyDescent="0.2">
      <c r="A13" s="97" t="str">
        <f>'T1i. Vaccines'!A31</f>
        <v>Covax estimated fully loaded average price</v>
      </c>
      <c r="B13" s="278" t="str">
        <f>'T1i. Vaccines'!B31</f>
        <v>7</v>
      </c>
      <c r="C13" s="278" t="str">
        <f>'T1i. Vaccines'!C31</f>
        <v>7</v>
      </c>
      <c r="D13" s="278" t="str">
        <f>'T1i. Vaccines'!D31</f>
        <v>7</v>
      </c>
      <c r="E13" s="278">
        <v>7</v>
      </c>
      <c r="F13" s="278" t="str">
        <f>'T1i. Vaccines'!F31</f>
        <v/>
      </c>
      <c r="G13" s="278" t="str">
        <f>'T1i. Vaccines'!G31</f>
        <v/>
      </c>
      <c r="H13" s="278" t="str">
        <f>'T1i. Vaccines'!H31</f>
        <v/>
      </c>
      <c r="I13" s="278" t="str">
        <f>'T1i. Vaccines'!I31</f>
        <v/>
      </c>
      <c r="J13" s="278" t="str">
        <f>'T1i. Vaccines'!J31</f>
        <v/>
      </c>
      <c r="K13" s="278" t="str">
        <f>'T1i. Vaccines'!K31</f>
        <v/>
      </c>
      <c r="L13" s="278" t="str">
        <f>'T1i. Vaccines'!L31</f>
        <v/>
      </c>
      <c r="M13" s="278" t="str">
        <f>'T1i. Vaccines'!M31</f>
        <v/>
      </c>
      <c r="N13" s="278" t="str">
        <f>'T1i. Vaccines'!N31</f>
        <v/>
      </c>
      <c r="O13" s="278" t="str">
        <f>'T1i. Vaccines'!O31</f>
        <v/>
      </c>
      <c r="P13" s="278" t="str">
        <f>'T1i. Vaccines'!P31</f>
        <v/>
      </c>
      <c r="Q13" s="278" t="str">
        <f>'T1i. Vaccines'!Q31</f>
        <v/>
      </c>
      <c r="R13" s="278" t="str">
        <f>'T1i. Vaccines'!R31</f>
        <v/>
      </c>
      <c r="S13" s="278" t="str">
        <f>'T1i. Vaccines'!S31</f>
        <v/>
      </c>
      <c r="T13" s="278" t="str">
        <f>'T1i. Vaccines'!T31</f>
        <v/>
      </c>
      <c r="U13" s="278" t="str">
        <f>'T1i. Vaccines'!U31</f>
        <v/>
      </c>
      <c r="V13" s="278" t="str">
        <f>'T1i. Vaccines'!V31</f>
        <v/>
      </c>
      <c r="W13" s="278" t="str">
        <f>'T1i. Vaccines'!W31</f>
        <v/>
      </c>
      <c r="X13" s="278" t="str">
        <f>'T1i. Vaccines'!X31</f>
        <v/>
      </c>
      <c r="Y13" s="278" t="str">
        <f>'T1i. Vaccines'!Y31</f>
        <v/>
      </c>
      <c r="Z13" s="278" t="str">
        <f>'T1i. Vaccines'!Z31</f>
        <v/>
      </c>
      <c r="AA13" s="278" t="str">
        <f>'T1i. Vaccines'!AA31</f>
        <v/>
      </c>
      <c r="AB13" s="278" t="str">
        <f>'T1i. Vaccines'!AB31</f>
        <v/>
      </c>
      <c r="AC13" s="278" t="str">
        <f>'T1i. Vaccines'!AC31</f>
        <v/>
      </c>
      <c r="AD13" s="278" t="str">
        <f>'T1i. Vaccines'!AD31</f>
        <v/>
      </c>
      <c r="AE13" s="278" t="str">
        <f>'T1i. Vaccines'!AE31</f>
        <v/>
      </c>
      <c r="AF13" s="278" t="str">
        <f>'T1i. Vaccines'!AF31</f>
        <v/>
      </c>
      <c r="AG13" s="278" t="str">
        <f>'T1i. Vaccines'!AG31</f>
        <v/>
      </c>
      <c r="AH13" s="278" t="str">
        <f>'T1i. Vaccines'!AH31</f>
        <v/>
      </c>
      <c r="AI13" s="278" t="str">
        <f>'T1i. Vaccines'!AI31</f>
        <v/>
      </c>
      <c r="AJ13" s="278" t="str">
        <f>'T1i. Vaccines'!AJ31</f>
        <v/>
      </c>
      <c r="AK13" s="278" t="str">
        <f>'T1i. Vaccines'!AK31</f>
        <v/>
      </c>
      <c r="AL13" s="278" t="str">
        <f>'T1i. Vaccines'!AL31</f>
        <v/>
      </c>
      <c r="AM13" s="278" t="str">
        <f>'T1i. Vaccines'!AM31</f>
        <v/>
      </c>
      <c r="AN13" s="278" t="str">
        <f>'T1i. Vaccines'!AN31</f>
        <v/>
      </c>
      <c r="AO13" s="278" t="str">
        <f>'T1i. Vaccines'!AO31</f>
        <v/>
      </c>
      <c r="AP13" s="278" t="str">
        <f>'T1i. Vaccines'!AP31</f>
        <v/>
      </c>
      <c r="AQ13" s="278" t="str">
        <f>'T1i. Vaccines'!AQ31</f>
        <v/>
      </c>
      <c r="AR13" s="278" t="str">
        <f>'T1i. Vaccines'!AR31</f>
        <v/>
      </c>
      <c r="AS13" s="278" t="str">
        <f>'T1i. Vaccines'!AS31</f>
        <v/>
      </c>
      <c r="AT13" s="278" t="str">
        <f>'T1i. Vaccines'!AT31</f>
        <v/>
      </c>
      <c r="AU13" s="278" t="str">
        <f>'T1i. Vaccines'!AU31</f>
        <v/>
      </c>
      <c r="AV13" s="278" t="str">
        <f>'T1i. Vaccines'!AV31</f>
        <v/>
      </c>
      <c r="AW13" s="278" t="str">
        <f>'T1i. Vaccines'!AW31</f>
        <v/>
      </c>
      <c r="AX13" s="278" t="str">
        <f>'T1i. Vaccines'!AX31</f>
        <v/>
      </c>
    </row>
    <row r="14" spans="1:62" x14ac:dyDescent="0.2">
      <c r="A14" s="5" t="str">
        <f>'T1i. Vaccines'!A32</f>
        <v/>
      </c>
      <c r="B14" s="5"/>
      <c r="C14" s="5"/>
      <c r="D14" s="5"/>
      <c r="E14" s="5"/>
      <c r="F14" s="5"/>
      <c r="G14" s="5"/>
      <c r="H14" s="5"/>
      <c r="I14" s="5"/>
      <c r="J14" s="5"/>
      <c r="K14" s="5"/>
      <c r="L14" s="5"/>
      <c r="M14" s="5"/>
      <c r="N14" s="5"/>
      <c r="O14" s="5"/>
      <c r="P14" s="278" t="str">
        <f>IFERROR(VALUE('T1i. Vaccines'!P32),"")</f>
        <v/>
      </c>
      <c r="Q14" s="278" t="str">
        <f>IFERROR(VALUE('T1i. Vaccines'!Q32),"")</f>
        <v/>
      </c>
      <c r="R14" s="278" t="str">
        <f>IFERROR(VALUE('T1i. Vaccines'!R32),"")</f>
        <v/>
      </c>
      <c r="S14" s="278" t="str">
        <f>IFERROR(VALUE('T1i. Vaccines'!S32),"")</f>
        <v/>
      </c>
      <c r="T14" s="278" t="str">
        <f>IFERROR(VALUE('T1i. Vaccines'!T32),"")</f>
        <v/>
      </c>
      <c r="U14" s="278" t="str">
        <f>IFERROR(VALUE('T1i. Vaccines'!U32),"")</f>
        <v/>
      </c>
      <c r="V14" s="278" t="str">
        <f>IFERROR(VALUE('T1i. Vaccines'!V32),"")</f>
        <v/>
      </c>
      <c r="W14" s="278" t="str">
        <f>IFERROR(VALUE('T1i. Vaccines'!W32),"")</f>
        <v/>
      </c>
      <c r="X14" s="278" t="str">
        <f>IFERROR(VALUE('T1i. Vaccines'!X32),"")</f>
        <v/>
      </c>
      <c r="Y14" s="278" t="str">
        <f>IFERROR(VALUE('T1i. Vaccines'!Y32),"")</f>
        <v/>
      </c>
      <c r="Z14" s="278" t="str">
        <f>IFERROR(VALUE('T1i. Vaccines'!Z32),"")</f>
        <v/>
      </c>
      <c r="AA14" s="278" t="str">
        <f>IFERROR(VALUE('T1i. Vaccines'!AA32),"")</f>
        <v/>
      </c>
      <c r="AB14" s="278" t="str">
        <f>IFERROR(VALUE('T1i. Vaccines'!AB32),"")</f>
        <v/>
      </c>
      <c r="AC14" s="278" t="str">
        <f>IFERROR(VALUE('T1i. Vaccines'!AC32),"")</f>
        <v/>
      </c>
      <c r="AD14" s="278" t="str">
        <f>IFERROR(VALUE('T1i. Vaccines'!AD32),"")</f>
        <v/>
      </c>
      <c r="AE14" s="278" t="str">
        <f>IFERROR(VALUE('T1i. Vaccines'!AE32),"")</f>
        <v/>
      </c>
      <c r="AF14" s="278" t="str">
        <f>IFERROR(VALUE('T1i. Vaccines'!AF32),"")</f>
        <v/>
      </c>
      <c r="AG14" s="278" t="str">
        <f>IFERROR(VALUE('T1i. Vaccines'!AG32),"")</f>
        <v/>
      </c>
      <c r="AH14" s="278" t="str">
        <f>IFERROR(VALUE('T1i. Vaccines'!AH32),"")</f>
        <v/>
      </c>
      <c r="AI14" s="278" t="str">
        <f>IFERROR(VALUE('T1i. Vaccines'!AI32),"")</f>
        <v/>
      </c>
      <c r="AJ14" s="278" t="str">
        <f>IFERROR(VALUE('T1i. Vaccines'!AJ32),"")</f>
        <v/>
      </c>
      <c r="AK14" s="278" t="str">
        <f>IFERROR(VALUE('T1i. Vaccines'!AK32),"")</f>
        <v/>
      </c>
      <c r="AL14" s="278" t="str">
        <f>IFERROR(VALUE('T1i. Vaccines'!AL32),"")</f>
        <v/>
      </c>
      <c r="AM14" s="278" t="str">
        <f>IFERROR(VALUE('T1i. Vaccines'!AM32),"")</f>
        <v/>
      </c>
      <c r="AN14" s="278" t="str">
        <f>IFERROR(VALUE('T1i. Vaccines'!AN32),"")</f>
        <v/>
      </c>
      <c r="AO14" s="278" t="str">
        <f>IFERROR(VALUE('T1i. Vaccines'!AO32),"")</f>
        <v/>
      </c>
      <c r="AP14" s="278" t="str">
        <f>IFERROR(VALUE('T1i. Vaccines'!AP32),"")</f>
        <v/>
      </c>
      <c r="AQ14" s="278" t="str">
        <f>IFERROR(VALUE('T1i. Vaccines'!AQ32),"")</f>
        <v/>
      </c>
      <c r="AR14" s="278" t="str">
        <f>IFERROR(VALUE('T1i. Vaccines'!AR32),"")</f>
        <v/>
      </c>
      <c r="AS14" s="278" t="str">
        <f>IFERROR(VALUE('T1i. Vaccines'!AS32),"")</f>
        <v/>
      </c>
      <c r="AT14" s="278" t="str">
        <f>IFERROR(VALUE('T1i. Vaccines'!AT32),"")</f>
        <v/>
      </c>
      <c r="AU14" s="278" t="str">
        <f>IFERROR(VALUE('T1i. Vaccines'!AU32),"")</f>
        <v/>
      </c>
      <c r="AV14" s="278" t="str">
        <f>IFERROR(VALUE('T1i. Vaccines'!AV32),"")</f>
        <v/>
      </c>
      <c r="AW14" s="278" t="str">
        <f>IFERROR(VALUE('T1i. Vaccines'!AW32),"")</f>
        <v/>
      </c>
      <c r="AX14" s="278" t="str">
        <f>IFERROR(VALUE('T1i. Vaccines'!AX32),"")</f>
        <v/>
      </c>
    </row>
    <row r="15" spans="1:62" s="27" customFormat="1" ht="19.5" x14ac:dyDescent="0.3"/>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6A17E-9C81-4BDF-B2C5-174A4D8FDA3F}">
  <sheetPr codeName="Sheet30">
    <tabColor rgb="FF7030A0"/>
  </sheetPr>
  <dimension ref="A1:AX39"/>
  <sheetViews>
    <sheetView workbookViewId="0">
      <selection activeCell="C19" sqref="C19"/>
    </sheetView>
  </sheetViews>
  <sheetFormatPr defaultColWidth="9.28515625" defaultRowHeight="12.75" x14ac:dyDescent="0.2"/>
  <cols>
    <col min="1" max="1" width="36" style="272" bestFit="1" customWidth="1"/>
    <col min="2" max="3" width="81.140625" style="272" bestFit="1" customWidth="1"/>
    <col min="4" max="4" width="17.28515625" style="272" bestFit="1" customWidth="1"/>
    <col min="5" max="5" width="81.140625" style="272" bestFit="1" customWidth="1"/>
    <col min="6" max="6" width="27.5703125" style="272" bestFit="1" customWidth="1"/>
    <col min="7" max="7" width="18.140625" style="272" bestFit="1" customWidth="1"/>
    <col min="8" max="8" width="15" style="272" bestFit="1" customWidth="1"/>
    <col min="9" max="9" width="20.28515625" style="272" bestFit="1" customWidth="1"/>
    <col min="10" max="10" width="19.85546875" style="272" bestFit="1" customWidth="1"/>
    <col min="11" max="11" width="6.28515625" style="272" bestFit="1" customWidth="1"/>
    <col min="12" max="12" width="7.7109375" style="272" bestFit="1" customWidth="1"/>
    <col min="13" max="13" width="18.42578125" style="272" bestFit="1" customWidth="1"/>
    <col min="14" max="14" width="8.7109375" style="272" bestFit="1" customWidth="1"/>
    <col min="15" max="15" width="18.140625" style="272" bestFit="1" customWidth="1"/>
    <col min="16" max="16" width="28" style="272" bestFit="1" customWidth="1"/>
    <col min="17" max="17" width="15" style="272" bestFit="1" customWidth="1"/>
    <col min="18" max="18" width="9.5703125" style="272" bestFit="1" customWidth="1"/>
    <col min="19" max="19" width="26.140625" style="272" bestFit="1" customWidth="1"/>
    <col min="20" max="20" width="9.5703125" style="272" bestFit="1" customWidth="1"/>
    <col min="21" max="21" width="29.7109375" style="272" bestFit="1" customWidth="1"/>
    <col min="22" max="22" width="14.42578125" style="272" bestFit="1" customWidth="1"/>
    <col min="23" max="24" width="4.42578125" style="272" bestFit="1" customWidth="1"/>
    <col min="25" max="25" width="16.140625" style="272" bestFit="1" customWidth="1"/>
    <col min="26" max="26" width="13.85546875" style="272" bestFit="1" customWidth="1"/>
    <col min="27" max="27" width="15" style="272" bestFit="1" customWidth="1"/>
    <col min="28" max="28" width="22.5703125" style="272" bestFit="1" customWidth="1"/>
    <col min="29" max="29" width="11.28515625" style="272" bestFit="1" customWidth="1"/>
    <col min="30" max="30" width="22.7109375" style="272" bestFit="1" customWidth="1"/>
    <col min="31" max="31" width="17.7109375" style="272" bestFit="1" customWidth="1"/>
    <col min="32" max="36" width="2.28515625" style="272" customWidth="1"/>
    <col min="37" max="37" width="11.85546875" style="272" bestFit="1" customWidth="1"/>
    <col min="38" max="38" width="9.28515625" style="272" bestFit="1" customWidth="1"/>
    <col min="39" max="41" width="2.28515625" style="272" customWidth="1"/>
    <col min="42" max="42" width="32.7109375" style="272" bestFit="1" customWidth="1"/>
    <col min="43" max="43" width="25.7109375" style="272" bestFit="1" customWidth="1"/>
    <col min="44" max="44" width="16.85546875" style="272" bestFit="1" customWidth="1"/>
    <col min="45" max="45" width="7.42578125" style="272" bestFit="1" customWidth="1"/>
    <col min="46" max="50" width="2" style="272" customWidth="1"/>
    <col min="51" max="51" width="12.28515625" style="272" customWidth="1"/>
    <col min="52" max="53" width="12.5703125" style="272" bestFit="1" customWidth="1"/>
    <col min="54" max="16384" width="9.28515625" style="272"/>
  </cols>
  <sheetData>
    <row r="1" spans="1:50" x14ac:dyDescent="0.2">
      <c r="A1"/>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row>
    <row r="2" spans="1:50" x14ac:dyDescent="0.2">
      <c r="A2" s="108" t="s">
        <v>0</v>
      </c>
      <c r="B2" s="108" t="s">
        <v>1</v>
      </c>
      <c r="C2" s="108" t="s">
        <v>25</v>
      </c>
      <c r="D2" s="108" t="s">
        <v>48</v>
      </c>
      <c r="E2" s="108" t="s">
        <v>35</v>
      </c>
      <c r="F2" s="108" t="s">
        <v>6</v>
      </c>
      <c r="G2" s="108" t="s">
        <v>4</v>
      </c>
      <c r="H2" s="108" t="s">
        <v>2</v>
      </c>
      <c r="I2" s="108" t="s">
        <v>3</v>
      </c>
      <c r="J2" s="108" t="s">
        <v>49</v>
      </c>
      <c r="K2" s="108" t="s">
        <v>2713</v>
      </c>
      <c r="L2" s="108" t="s">
        <v>1710</v>
      </c>
      <c r="M2" s="108" t="s">
        <v>2726</v>
      </c>
      <c r="N2" s="108" t="s">
        <v>1572</v>
      </c>
      <c r="O2" s="108" t="s">
        <v>3982</v>
      </c>
      <c r="P2" s="108" t="s">
        <v>4620</v>
      </c>
      <c r="Q2" s="108" t="s">
        <v>4337</v>
      </c>
      <c r="R2" s="108" t="s">
        <v>4338</v>
      </c>
      <c r="S2" s="108" t="s">
        <v>4340</v>
      </c>
      <c r="T2" s="108" t="s">
        <v>4621</v>
      </c>
      <c r="U2" s="108" t="s">
        <v>4339</v>
      </c>
      <c r="V2" s="108" t="s">
        <v>4622</v>
      </c>
      <c r="W2" s="108" t="s">
        <v>3109</v>
      </c>
      <c r="X2" s="108" t="s">
        <v>3109</v>
      </c>
      <c r="Y2" s="108" t="s">
        <v>3118</v>
      </c>
      <c r="Z2" s="108" t="s">
        <v>3119</v>
      </c>
      <c r="AA2" s="108" t="s">
        <v>3120</v>
      </c>
      <c r="AB2" s="108" t="s">
        <v>4268</v>
      </c>
      <c r="AC2" s="108" t="s">
        <v>4004</v>
      </c>
      <c r="AD2" s="108" t="s">
        <v>4341</v>
      </c>
      <c r="AE2" s="108" t="s">
        <v>4005</v>
      </c>
      <c r="AF2" s="108" t="s">
        <v>3109</v>
      </c>
      <c r="AG2" s="108" t="s">
        <v>3109</v>
      </c>
      <c r="AH2" s="108" t="s">
        <v>3109</v>
      </c>
      <c r="AI2" s="108" t="s">
        <v>3109</v>
      </c>
      <c r="AJ2" s="108" t="s">
        <v>3109</v>
      </c>
      <c r="AK2" s="108" t="s">
        <v>1594</v>
      </c>
      <c r="AL2" s="108" t="s">
        <v>1595</v>
      </c>
      <c r="AM2" s="108" t="s">
        <v>3109</v>
      </c>
      <c r="AN2" s="108" t="s">
        <v>3109</v>
      </c>
      <c r="AO2" s="108" t="s">
        <v>3109</v>
      </c>
      <c r="AP2" s="108" t="s">
        <v>2710</v>
      </c>
      <c r="AQ2" s="108" t="s">
        <v>3687</v>
      </c>
      <c r="AR2" s="108" t="s">
        <v>3688</v>
      </c>
      <c r="AS2" s="108" t="s">
        <v>3689</v>
      </c>
      <c r="AT2" s="108" t="s">
        <v>3130</v>
      </c>
      <c r="AU2" s="108" t="s">
        <v>3130</v>
      </c>
      <c r="AV2" s="108" t="s">
        <v>3130</v>
      </c>
      <c r="AW2" s="108" t="s">
        <v>3130</v>
      </c>
      <c r="AX2" s="108" t="s">
        <v>3130</v>
      </c>
    </row>
    <row r="3" spans="1:50" x14ac:dyDescent="0.2">
      <c r="A3" s="108" t="s">
        <v>197</v>
      </c>
      <c r="B3" s="108" t="s">
        <v>197</v>
      </c>
      <c r="C3" s="108" t="s">
        <v>197</v>
      </c>
      <c r="D3" s="108" t="s">
        <v>197</v>
      </c>
      <c r="E3" s="108" t="s">
        <v>197</v>
      </c>
      <c r="F3" s="108" t="s">
        <v>197</v>
      </c>
      <c r="G3" s="108" t="s">
        <v>197</v>
      </c>
      <c r="H3" s="108" t="s">
        <v>197</v>
      </c>
      <c r="I3" s="108" t="s">
        <v>197</v>
      </c>
      <c r="J3" s="108" t="s">
        <v>197</v>
      </c>
      <c r="K3" s="108" t="s">
        <v>197</v>
      </c>
      <c r="L3" s="108" t="s">
        <v>197</v>
      </c>
      <c r="M3" s="108" t="s">
        <v>197</v>
      </c>
      <c r="N3" s="108" t="s">
        <v>197</v>
      </c>
      <c r="O3" s="108" t="s">
        <v>197</v>
      </c>
      <c r="P3" s="108" t="s">
        <v>197</v>
      </c>
      <c r="Q3" s="108" t="s">
        <v>197</v>
      </c>
      <c r="R3" s="108" t="s">
        <v>197</v>
      </c>
      <c r="S3" s="108" t="s">
        <v>197</v>
      </c>
      <c r="T3" s="108" t="s">
        <v>197</v>
      </c>
      <c r="U3" s="108" t="s">
        <v>197</v>
      </c>
      <c r="V3" s="108" t="s">
        <v>197</v>
      </c>
      <c r="W3" s="108" t="s">
        <v>197</v>
      </c>
      <c r="X3" s="108" t="s">
        <v>197</v>
      </c>
      <c r="Y3" s="108" t="s">
        <v>197</v>
      </c>
      <c r="Z3" s="108" t="s">
        <v>197</v>
      </c>
      <c r="AA3" s="108" t="s">
        <v>197</v>
      </c>
      <c r="AB3" s="108" t="s">
        <v>197</v>
      </c>
      <c r="AC3" s="108" t="s">
        <v>197</v>
      </c>
      <c r="AD3" s="108" t="s">
        <v>197</v>
      </c>
      <c r="AE3" s="108" t="s">
        <v>197</v>
      </c>
      <c r="AF3" s="108" t="s">
        <v>197</v>
      </c>
      <c r="AG3" s="108" t="s">
        <v>197</v>
      </c>
      <c r="AH3" s="108" t="s">
        <v>197</v>
      </c>
      <c r="AI3" s="108" t="s">
        <v>197</v>
      </c>
      <c r="AJ3" s="108" t="s">
        <v>197</v>
      </c>
      <c r="AK3" s="108" t="s">
        <v>197</v>
      </c>
      <c r="AL3" s="108" t="s">
        <v>197</v>
      </c>
      <c r="AM3" s="108" t="s">
        <v>197</v>
      </c>
      <c r="AN3" s="108" t="s">
        <v>197</v>
      </c>
      <c r="AO3" s="108" t="s">
        <v>197</v>
      </c>
      <c r="AP3" s="108" t="s">
        <v>197</v>
      </c>
      <c r="AQ3" s="108" t="s">
        <v>197</v>
      </c>
      <c r="AR3" s="108" t="s">
        <v>197</v>
      </c>
      <c r="AS3" s="108" t="s">
        <v>197</v>
      </c>
      <c r="AT3" s="108" t="s">
        <v>197</v>
      </c>
      <c r="AU3" s="108" t="s">
        <v>197</v>
      </c>
      <c r="AV3" s="108" t="s">
        <v>197</v>
      </c>
      <c r="AW3" s="108" t="s">
        <v>197</v>
      </c>
      <c r="AX3" s="108" t="s">
        <v>197</v>
      </c>
    </row>
    <row r="4" spans="1:50" x14ac:dyDescent="0.2">
      <c r="A4" s="108" t="s">
        <v>197</v>
      </c>
      <c r="B4" s="108" t="s">
        <v>197</v>
      </c>
      <c r="C4" s="108" t="s">
        <v>197</v>
      </c>
      <c r="D4" s="108" t="s">
        <v>197</v>
      </c>
      <c r="E4" s="108" t="s">
        <v>197</v>
      </c>
      <c r="F4" s="108" t="s">
        <v>197</v>
      </c>
      <c r="G4" s="108" t="s">
        <v>197</v>
      </c>
      <c r="H4" s="108" t="s">
        <v>197</v>
      </c>
      <c r="I4" s="108" t="s">
        <v>197</v>
      </c>
      <c r="J4" s="108" t="s">
        <v>197</v>
      </c>
      <c r="K4" s="108" t="s">
        <v>197</v>
      </c>
      <c r="L4" s="108" t="s">
        <v>197</v>
      </c>
      <c r="M4" s="108" t="s">
        <v>197</v>
      </c>
      <c r="N4" s="108" t="s">
        <v>197</v>
      </c>
      <c r="O4" s="108" t="s">
        <v>197</v>
      </c>
      <c r="P4" s="108" t="s">
        <v>197</v>
      </c>
      <c r="Q4" s="108" t="s">
        <v>197</v>
      </c>
      <c r="R4" s="108" t="s">
        <v>197</v>
      </c>
      <c r="S4" s="108" t="s">
        <v>197</v>
      </c>
      <c r="T4" s="108" t="s">
        <v>197</v>
      </c>
      <c r="U4" s="108" t="s">
        <v>197</v>
      </c>
      <c r="V4" s="108" t="s">
        <v>197</v>
      </c>
      <c r="W4" s="108" t="s">
        <v>197</v>
      </c>
      <c r="X4" s="108" t="s">
        <v>197</v>
      </c>
      <c r="Y4" s="108" t="s">
        <v>197</v>
      </c>
      <c r="Z4" s="108" t="s">
        <v>197</v>
      </c>
      <c r="AA4" s="108" t="s">
        <v>197</v>
      </c>
      <c r="AB4" s="108" t="s">
        <v>197</v>
      </c>
      <c r="AC4" s="108" t="s">
        <v>197</v>
      </c>
      <c r="AD4" s="108" t="s">
        <v>197</v>
      </c>
      <c r="AE4" s="108" t="s">
        <v>197</v>
      </c>
      <c r="AF4" s="108" t="s">
        <v>197</v>
      </c>
      <c r="AG4" s="108" t="s">
        <v>197</v>
      </c>
      <c r="AH4" s="108" t="s">
        <v>197</v>
      </c>
      <c r="AI4" s="108" t="s">
        <v>197</v>
      </c>
      <c r="AJ4" s="108" t="s">
        <v>197</v>
      </c>
      <c r="AK4" s="108" t="s">
        <v>197</v>
      </c>
      <c r="AL4" s="108" t="s">
        <v>197</v>
      </c>
      <c r="AM4" s="108" t="s">
        <v>197</v>
      </c>
      <c r="AN4" s="108" t="s">
        <v>197</v>
      </c>
      <c r="AO4" s="108" t="s">
        <v>197</v>
      </c>
      <c r="AP4" s="108" t="s">
        <v>197</v>
      </c>
      <c r="AQ4" s="108" t="s">
        <v>197</v>
      </c>
      <c r="AR4" s="108" t="s">
        <v>197</v>
      </c>
      <c r="AS4" s="108" t="s">
        <v>197</v>
      </c>
      <c r="AT4" s="108" t="s">
        <v>197</v>
      </c>
      <c r="AU4" s="108" t="s">
        <v>197</v>
      </c>
      <c r="AV4" s="108" t="s">
        <v>197</v>
      </c>
      <c r="AW4" s="108" t="s">
        <v>197</v>
      </c>
      <c r="AX4" s="108" t="s">
        <v>197</v>
      </c>
    </row>
    <row r="5" spans="1:50" x14ac:dyDescent="0.2">
      <c r="A5" s="108" t="s">
        <v>197</v>
      </c>
      <c r="B5" s="108" t="s">
        <v>197</v>
      </c>
      <c r="C5" s="108" t="s">
        <v>197</v>
      </c>
      <c r="D5" s="108" t="s">
        <v>197</v>
      </c>
      <c r="E5" s="108" t="s">
        <v>197</v>
      </c>
      <c r="F5" s="108" t="s">
        <v>197</v>
      </c>
      <c r="G5" s="108" t="s">
        <v>197</v>
      </c>
      <c r="H5" s="108" t="s">
        <v>197</v>
      </c>
      <c r="I5" s="108" t="s">
        <v>197</v>
      </c>
      <c r="J5" s="108" t="s">
        <v>197</v>
      </c>
      <c r="K5" s="108" t="s">
        <v>197</v>
      </c>
      <c r="L5" s="108" t="s">
        <v>197</v>
      </c>
      <c r="M5" s="108" t="s">
        <v>197</v>
      </c>
      <c r="N5" s="108" t="s">
        <v>197</v>
      </c>
      <c r="O5" s="108" t="s">
        <v>197</v>
      </c>
      <c r="P5" s="108" t="s">
        <v>197</v>
      </c>
      <c r="Q5" s="108" t="s">
        <v>197</v>
      </c>
      <c r="R5" s="108" t="s">
        <v>197</v>
      </c>
      <c r="S5" s="108" t="s">
        <v>197</v>
      </c>
      <c r="T5" s="108" t="s">
        <v>197</v>
      </c>
      <c r="U5" s="108" t="s">
        <v>197</v>
      </c>
      <c r="V5" s="108" t="s">
        <v>197</v>
      </c>
      <c r="W5" s="108" t="s">
        <v>197</v>
      </c>
      <c r="X5" s="108" t="s">
        <v>197</v>
      </c>
      <c r="Y5" s="108" t="s">
        <v>197</v>
      </c>
      <c r="Z5" s="108" t="s">
        <v>197</v>
      </c>
      <c r="AA5" s="108" t="s">
        <v>197</v>
      </c>
      <c r="AB5" s="108" t="s">
        <v>197</v>
      </c>
      <c r="AC5" s="108" t="s">
        <v>197</v>
      </c>
      <c r="AD5" s="108" t="s">
        <v>197</v>
      </c>
      <c r="AE5" s="108" t="s">
        <v>197</v>
      </c>
      <c r="AF5" s="108" t="s">
        <v>197</v>
      </c>
      <c r="AG5" s="108" t="s">
        <v>197</v>
      </c>
      <c r="AH5" s="108" t="s">
        <v>197</v>
      </c>
      <c r="AI5" s="108" t="s">
        <v>197</v>
      </c>
      <c r="AJ5" s="108" t="s">
        <v>197</v>
      </c>
      <c r="AK5" s="108" t="s">
        <v>197</v>
      </c>
      <c r="AL5" s="108" t="s">
        <v>197</v>
      </c>
      <c r="AM5" s="108" t="s">
        <v>197</v>
      </c>
      <c r="AN5" s="108" t="s">
        <v>197</v>
      </c>
      <c r="AO5" s="108" t="s">
        <v>197</v>
      </c>
      <c r="AP5" s="108" t="s">
        <v>197</v>
      </c>
      <c r="AQ5" s="108" t="s">
        <v>197</v>
      </c>
      <c r="AR5" s="108" t="s">
        <v>197</v>
      </c>
      <c r="AS5" s="108" t="s">
        <v>197</v>
      </c>
      <c r="AT5" s="108" t="s">
        <v>197</v>
      </c>
      <c r="AU5" s="108" t="s">
        <v>197</v>
      </c>
      <c r="AV5" s="108" t="s">
        <v>197</v>
      </c>
      <c r="AW5" s="108" t="s">
        <v>197</v>
      </c>
      <c r="AX5" s="108" t="s">
        <v>197</v>
      </c>
    </row>
    <row r="6" spans="1:50" x14ac:dyDescent="0.2">
      <c r="A6" s="108" t="s">
        <v>197</v>
      </c>
      <c r="B6" s="108" t="s">
        <v>197</v>
      </c>
      <c r="C6" s="108" t="s">
        <v>197</v>
      </c>
      <c r="D6" s="108" t="s">
        <v>197</v>
      </c>
      <c r="E6" s="108" t="s">
        <v>197</v>
      </c>
      <c r="F6" s="108" t="s">
        <v>197</v>
      </c>
      <c r="G6" s="108" t="s">
        <v>197</v>
      </c>
      <c r="H6" s="108" t="s">
        <v>197</v>
      </c>
      <c r="I6" s="108" t="s">
        <v>197</v>
      </c>
      <c r="J6" s="108" t="s">
        <v>197</v>
      </c>
      <c r="K6" s="108" t="s">
        <v>197</v>
      </c>
      <c r="L6" s="108" t="s">
        <v>197</v>
      </c>
      <c r="M6" s="108" t="s">
        <v>197</v>
      </c>
      <c r="N6" s="108" t="s">
        <v>197</v>
      </c>
      <c r="O6" s="108" t="s">
        <v>197</v>
      </c>
      <c r="P6" s="108" t="s">
        <v>197</v>
      </c>
      <c r="Q6" s="108" t="s">
        <v>197</v>
      </c>
      <c r="R6" s="108" t="s">
        <v>197</v>
      </c>
      <c r="S6" s="108" t="s">
        <v>197</v>
      </c>
      <c r="T6" s="108" t="s">
        <v>197</v>
      </c>
      <c r="U6" s="108" t="s">
        <v>197</v>
      </c>
      <c r="V6" s="108" t="s">
        <v>197</v>
      </c>
      <c r="W6" s="108" t="s">
        <v>197</v>
      </c>
      <c r="X6" s="108" t="s">
        <v>197</v>
      </c>
      <c r="Y6" s="108" t="s">
        <v>197</v>
      </c>
      <c r="Z6" s="108" t="s">
        <v>197</v>
      </c>
      <c r="AA6" s="108" t="s">
        <v>197</v>
      </c>
      <c r="AB6" s="108" t="s">
        <v>197</v>
      </c>
      <c r="AC6" s="108" t="s">
        <v>197</v>
      </c>
      <c r="AD6" s="108" t="s">
        <v>197</v>
      </c>
      <c r="AE6" s="108" t="s">
        <v>197</v>
      </c>
      <c r="AF6" s="108" t="s">
        <v>197</v>
      </c>
      <c r="AG6" s="108" t="s">
        <v>197</v>
      </c>
      <c r="AH6" s="108" t="s">
        <v>197</v>
      </c>
      <c r="AI6" s="108" t="s">
        <v>197</v>
      </c>
      <c r="AJ6" s="108" t="s">
        <v>197</v>
      </c>
      <c r="AK6" s="108" t="s">
        <v>197</v>
      </c>
      <c r="AL6" s="108" t="s">
        <v>197</v>
      </c>
      <c r="AM6" s="108" t="s">
        <v>197</v>
      </c>
      <c r="AN6" s="108" t="s">
        <v>197</v>
      </c>
      <c r="AO6" s="108" t="s">
        <v>197</v>
      </c>
      <c r="AP6" s="108" t="s">
        <v>197</v>
      </c>
      <c r="AQ6" s="108" t="s">
        <v>197</v>
      </c>
      <c r="AR6" s="108" t="s">
        <v>197</v>
      </c>
      <c r="AS6" s="108" t="s">
        <v>197</v>
      </c>
      <c r="AT6" s="108" t="s">
        <v>197</v>
      </c>
      <c r="AU6" s="108" t="s">
        <v>197</v>
      </c>
      <c r="AV6" s="108" t="s">
        <v>197</v>
      </c>
      <c r="AW6" s="108" t="s">
        <v>197</v>
      </c>
      <c r="AX6" s="108" t="s">
        <v>197</v>
      </c>
    </row>
    <row r="7" spans="1:50" x14ac:dyDescent="0.2">
      <c r="A7" s="108" t="s">
        <v>14195</v>
      </c>
      <c r="B7" s="108" t="s">
        <v>14196</v>
      </c>
      <c r="C7" s="108" t="s">
        <v>3121</v>
      </c>
      <c r="D7" s="108" t="s">
        <v>3131</v>
      </c>
      <c r="E7" s="108" t="s">
        <v>4342</v>
      </c>
      <c r="F7" s="108" t="s">
        <v>4625</v>
      </c>
      <c r="G7" s="108" t="s">
        <v>197</v>
      </c>
      <c r="H7" s="108" t="s">
        <v>7</v>
      </c>
      <c r="I7" s="108" t="s">
        <v>13</v>
      </c>
      <c r="J7" s="108" t="s">
        <v>4343</v>
      </c>
      <c r="K7" s="108" t="s">
        <v>3131</v>
      </c>
      <c r="L7" s="108" t="s">
        <v>197</v>
      </c>
      <c r="M7" s="108" t="s">
        <v>197</v>
      </c>
      <c r="N7" s="108" t="s">
        <v>3129</v>
      </c>
      <c r="O7" s="108" t="s">
        <v>3122</v>
      </c>
      <c r="P7" s="108" t="s">
        <v>3123</v>
      </c>
      <c r="Q7" s="108" t="s">
        <v>3122</v>
      </c>
      <c r="R7" s="108" t="s">
        <v>3123</v>
      </c>
      <c r="S7" s="108" t="s">
        <v>3123</v>
      </c>
      <c r="T7" s="108" t="s">
        <v>4344</v>
      </c>
      <c r="U7" s="108" t="s">
        <v>4345</v>
      </c>
      <c r="V7" s="108" t="s">
        <v>4344</v>
      </c>
      <c r="W7" s="108" t="s">
        <v>3122</v>
      </c>
      <c r="X7" s="108" t="s">
        <v>3122</v>
      </c>
      <c r="Y7" s="108" t="s">
        <v>3126</v>
      </c>
      <c r="Z7" s="108" t="s">
        <v>3123</v>
      </c>
      <c r="AA7" s="108" t="s">
        <v>3124</v>
      </c>
      <c r="AB7" s="108" t="s">
        <v>3125</v>
      </c>
      <c r="AC7" s="108" t="s">
        <v>197</v>
      </c>
      <c r="AD7" s="108" t="s">
        <v>197</v>
      </c>
      <c r="AE7" s="108" t="s">
        <v>197</v>
      </c>
      <c r="AF7" s="108" t="s">
        <v>197</v>
      </c>
      <c r="AG7" s="108" t="s">
        <v>197</v>
      </c>
      <c r="AH7" s="108" t="s">
        <v>197</v>
      </c>
      <c r="AI7" s="108" t="s">
        <v>197</v>
      </c>
      <c r="AJ7" s="108" t="s">
        <v>197</v>
      </c>
      <c r="AK7" s="108" t="s">
        <v>197</v>
      </c>
      <c r="AL7" s="108" t="s">
        <v>197</v>
      </c>
      <c r="AM7" s="108" t="s">
        <v>197</v>
      </c>
      <c r="AN7" s="108" t="s">
        <v>197</v>
      </c>
      <c r="AO7" s="108" t="s">
        <v>197</v>
      </c>
      <c r="AP7" s="108" t="s">
        <v>197</v>
      </c>
      <c r="AQ7" s="108" t="s">
        <v>197</v>
      </c>
      <c r="AR7" s="108" t="s">
        <v>197</v>
      </c>
      <c r="AS7" s="108" t="s">
        <v>197</v>
      </c>
      <c r="AT7" s="108" t="s">
        <v>197</v>
      </c>
      <c r="AU7" s="108" t="s">
        <v>197</v>
      </c>
      <c r="AV7" s="108" t="s">
        <v>197</v>
      </c>
      <c r="AW7" s="108" t="s">
        <v>197</v>
      </c>
      <c r="AX7" s="108" t="s">
        <v>197</v>
      </c>
    </row>
    <row r="8" spans="1:50" x14ac:dyDescent="0.2">
      <c r="A8" s="108" t="s">
        <v>14220</v>
      </c>
      <c r="B8" s="108" t="s">
        <v>14221</v>
      </c>
      <c r="C8" s="108" t="s">
        <v>3121</v>
      </c>
      <c r="D8" s="108" t="s">
        <v>3131</v>
      </c>
      <c r="E8" s="108" t="s">
        <v>3129</v>
      </c>
      <c r="F8" s="108" t="s">
        <v>4629</v>
      </c>
      <c r="G8" s="108" t="s">
        <v>197</v>
      </c>
      <c r="H8" s="108" t="s">
        <v>7</v>
      </c>
      <c r="I8" s="108" t="s">
        <v>12</v>
      </c>
      <c r="J8" s="108" t="s">
        <v>14222</v>
      </c>
      <c r="K8" s="108" t="s">
        <v>3131</v>
      </c>
      <c r="L8" s="108" t="s">
        <v>197</v>
      </c>
      <c r="M8" s="108" t="s">
        <v>197</v>
      </c>
      <c r="N8" s="108" t="s">
        <v>3129</v>
      </c>
      <c r="O8" s="108" t="s">
        <v>3122</v>
      </c>
      <c r="P8" s="108" t="s">
        <v>3122</v>
      </c>
      <c r="Q8" s="108" t="s">
        <v>3123</v>
      </c>
      <c r="R8" s="108" t="s">
        <v>3123</v>
      </c>
      <c r="S8" s="108" t="s">
        <v>3123</v>
      </c>
      <c r="T8" s="108" t="s">
        <v>3122</v>
      </c>
      <c r="U8" s="108" t="s">
        <v>3122</v>
      </c>
      <c r="V8" s="108" t="s">
        <v>3122</v>
      </c>
      <c r="W8" s="108" t="s">
        <v>3122</v>
      </c>
      <c r="X8" s="108" t="s">
        <v>3122</v>
      </c>
      <c r="Y8" s="108" t="s">
        <v>3126</v>
      </c>
      <c r="Z8" s="108" t="s">
        <v>3123</v>
      </c>
      <c r="AA8" s="108" t="s">
        <v>3124</v>
      </c>
      <c r="AB8" s="108" t="s">
        <v>3125</v>
      </c>
      <c r="AC8" s="108" t="s">
        <v>197</v>
      </c>
      <c r="AD8" s="108" t="s">
        <v>197</v>
      </c>
      <c r="AE8" s="108" t="s">
        <v>197</v>
      </c>
      <c r="AF8" s="108" t="s">
        <v>197</v>
      </c>
      <c r="AG8" s="108" t="s">
        <v>197</v>
      </c>
      <c r="AH8" s="108" t="s">
        <v>197</v>
      </c>
      <c r="AI8" s="108" t="s">
        <v>197</v>
      </c>
      <c r="AJ8" s="108" t="s">
        <v>197</v>
      </c>
      <c r="AK8" s="108" t="s">
        <v>197</v>
      </c>
      <c r="AL8" s="108" t="s">
        <v>197</v>
      </c>
      <c r="AM8" s="108" t="s">
        <v>197</v>
      </c>
      <c r="AN8" s="108" t="s">
        <v>197</v>
      </c>
      <c r="AO8" s="108" t="s">
        <v>197</v>
      </c>
      <c r="AP8" s="108" t="s">
        <v>197</v>
      </c>
      <c r="AQ8" s="108" t="s">
        <v>197</v>
      </c>
      <c r="AR8" s="108" t="s">
        <v>197</v>
      </c>
      <c r="AS8" s="108" t="s">
        <v>197</v>
      </c>
      <c r="AT8" s="108" t="s">
        <v>197</v>
      </c>
      <c r="AU8" s="108" t="s">
        <v>197</v>
      </c>
      <c r="AV8" s="108" t="s">
        <v>197</v>
      </c>
      <c r="AW8" s="108" t="s">
        <v>197</v>
      </c>
      <c r="AX8" s="108" t="s">
        <v>197</v>
      </c>
    </row>
    <row r="9" spans="1:50" x14ac:dyDescent="0.2">
      <c r="A9" s="108" t="s">
        <v>14197</v>
      </c>
      <c r="B9" s="108" t="s">
        <v>14198</v>
      </c>
      <c r="C9" s="108" t="s">
        <v>4632</v>
      </c>
      <c r="D9" s="108" t="s">
        <v>3124</v>
      </c>
      <c r="E9" s="108" t="s">
        <v>3127</v>
      </c>
      <c r="F9" s="108" t="s">
        <v>197</v>
      </c>
      <c r="G9" s="108" t="s">
        <v>197</v>
      </c>
      <c r="H9" s="108" t="s">
        <v>7</v>
      </c>
      <c r="I9" s="108" t="s">
        <v>11</v>
      </c>
      <c r="J9" s="108" t="s">
        <v>14199</v>
      </c>
      <c r="K9" s="108" t="s">
        <v>3131</v>
      </c>
      <c r="L9" s="108" t="s">
        <v>197</v>
      </c>
      <c r="M9" s="108" t="s">
        <v>197</v>
      </c>
      <c r="N9" s="108" t="s">
        <v>3129</v>
      </c>
      <c r="O9" s="108" t="s">
        <v>3122</v>
      </c>
      <c r="P9" s="108" t="s">
        <v>3122</v>
      </c>
      <c r="Q9" s="108" t="s">
        <v>3123</v>
      </c>
      <c r="R9" s="108" t="s">
        <v>3123</v>
      </c>
      <c r="S9" s="108" t="s">
        <v>3123</v>
      </c>
      <c r="T9" s="108" t="s">
        <v>3122</v>
      </c>
      <c r="U9" s="108" t="s">
        <v>3122</v>
      </c>
      <c r="V9" s="108" t="s">
        <v>3122</v>
      </c>
      <c r="W9" s="108" t="s">
        <v>3122</v>
      </c>
      <c r="X9" s="108" t="s">
        <v>3122</v>
      </c>
      <c r="Y9" s="108" t="s">
        <v>3126</v>
      </c>
      <c r="Z9" s="108" t="s">
        <v>3123</v>
      </c>
      <c r="AA9" s="108" t="s">
        <v>3124</v>
      </c>
      <c r="AB9" s="108" t="s">
        <v>3125</v>
      </c>
      <c r="AC9" s="108" t="s">
        <v>197</v>
      </c>
      <c r="AD9" s="108" t="s">
        <v>197</v>
      </c>
      <c r="AE9" s="108" t="s">
        <v>197</v>
      </c>
      <c r="AF9" s="108" t="s">
        <v>197</v>
      </c>
      <c r="AG9" s="108" t="s">
        <v>197</v>
      </c>
      <c r="AH9" s="108" t="s">
        <v>197</v>
      </c>
      <c r="AI9" s="108" t="s">
        <v>197</v>
      </c>
      <c r="AJ9" s="108" t="s">
        <v>197</v>
      </c>
      <c r="AK9" s="108" t="s">
        <v>197</v>
      </c>
      <c r="AL9" s="108" t="s">
        <v>197</v>
      </c>
      <c r="AM9" s="108" t="s">
        <v>197</v>
      </c>
      <c r="AN9" s="108" t="s">
        <v>197</v>
      </c>
      <c r="AO9" s="108" t="s">
        <v>197</v>
      </c>
      <c r="AP9" s="108" t="s">
        <v>197</v>
      </c>
      <c r="AQ9" s="108" t="s">
        <v>197</v>
      </c>
      <c r="AR9" s="108" t="s">
        <v>197</v>
      </c>
      <c r="AS9" s="108" t="s">
        <v>197</v>
      </c>
      <c r="AT9" s="108" t="s">
        <v>197</v>
      </c>
      <c r="AU9" s="108" t="s">
        <v>197</v>
      </c>
      <c r="AV9" s="108" t="s">
        <v>197</v>
      </c>
      <c r="AW9" s="108" t="s">
        <v>197</v>
      </c>
      <c r="AX9" s="108" t="s">
        <v>197</v>
      </c>
    </row>
    <row r="10" spans="1:50" x14ac:dyDescent="0.2">
      <c r="A10" s="108" t="s">
        <v>14200</v>
      </c>
      <c r="B10" s="108" t="s">
        <v>14201</v>
      </c>
      <c r="C10" s="108" t="s">
        <v>3121</v>
      </c>
      <c r="D10" s="108" t="s">
        <v>3131</v>
      </c>
      <c r="E10" s="108" t="s">
        <v>3129</v>
      </c>
      <c r="F10" s="108" t="s">
        <v>4628</v>
      </c>
      <c r="G10" s="108" t="s">
        <v>197</v>
      </c>
      <c r="H10" s="108" t="s">
        <v>7</v>
      </c>
      <c r="I10" s="108" t="s">
        <v>11</v>
      </c>
      <c r="J10" s="108" t="s">
        <v>14202</v>
      </c>
      <c r="K10" s="108" t="s">
        <v>3131</v>
      </c>
      <c r="L10" s="108" t="s">
        <v>197</v>
      </c>
      <c r="M10" s="108" t="s">
        <v>197</v>
      </c>
      <c r="N10" s="108" t="s">
        <v>3129</v>
      </c>
      <c r="O10" s="108" t="s">
        <v>3122</v>
      </c>
      <c r="P10" s="108" t="s">
        <v>3122</v>
      </c>
      <c r="Q10" s="108" t="s">
        <v>3123</v>
      </c>
      <c r="R10" s="108" t="s">
        <v>3123</v>
      </c>
      <c r="S10" s="108" t="s">
        <v>3123</v>
      </c>
      <c r="T10" s="108" t="s">
        <v>3122</v>
      </c>
      <c r="U10" s="108" t="s">
        <v>3122</v>
      </c>
      <c r="V10" s="108" t="s">
        <v>3122</v>
      </c>
      <c r="W10" s="108" t="s">
        <v>3122</v>
      </c>
      <c r="X10" s="108" t="s">
        <v>3122</v>
      </c>
      <c r="Y10" s="108" t="s">
        <v>3126</v>
      </c>
      <c r="Z10" s="108" t="s">
        <v>3123</v>
      </c>
      <c r="AA10" s="108" t="s">
        <v>3124</v>
      </c>
      <c r="AB10" s="108" t="s">
        <v>3125</v>
      </c>
      <c r="AC10" s="108" t="s">
        <v>197</v>
      </c>
      <c r="AD10" s="108" t="s">
        <v>197</v>
      </c>
      <c r="AE10" s="108" t="s">
        <v>197</v>
      </c>
      <c r="AF10" s="108" t="s">
        <v>197</v>
      </c>
      <c r="AG10" s="108" t="s">
        <v>197</v>
      </c>
      <c r="AH10" s="108" t="s">
        <v>197</v>
      </c>
      <c r="AI10" s="108" t="s">
        <v>197</v>
      </c>
      <c r="AJ10" s="108" t="s">
        <v>197</v>
      </c>
      <c r="AK10" s="108" t="s">
        <v>197</v>
      </c>
      <c r="AL10" s="108" t="s">
        <v>197</v>
      </c>
      <c r="AM10" s="108" t="s">
        <v>197</v>
      </c>
      <c r="AN10" s="108" t="s">
        <v>197</v>
      </c>
      <c r="AO10" s="108" t="s">
        <v>197</v>
      </c>
      <c r="AP10" s="108" t="s">
        <v>197</v>
      </c>
      <c r="AQ10" s="108" t="s">
        <v>197</v>
      </c>
      <c r="AR10" s="108" t="s">
        <v>197</v>
      </c>
      <c r="AS10" s="108" t="s">
        <v>197</v>
      </c>
      <c r="AT10" s="108" t="s">
        <v>197</v>
      </c>
      <c r="AU10" s="108" t="s">
        <v>197</v>
      </c>
      <c r="AV10" s="108" t="s">
        <v>197</v>
      </c>
      <c r="AW10" s="108" t="s">
        <v>197</v>
      </c>
      <c r="AX10" s="108" t="s">
        <v>197</v>
      </c>
    </row>
    <row r="11" spans="1:50" x14ac:dyDescent="0.2">
      <c r="A11" s="108" t="s">
        <v>14203</v>
      </c>
      <c r="B11" s="108" t="s">
        <v>14204</v>
      </c>
      <c r="C11" s="108" t="s">
        <v>3121</v>
      </c>
      <c r="D11" s="108" t="s">
        <v>3131</v>
      </c>
      <c r="E11" s="108" t="s">
        <v>3129</v>
      </c>
      <c r="F11" s="108" t="s">
        <v>4628</v>
      </c>
      <c r="G11" s="108" t="s">
        <v>197</v>
      </c>
      <c r="H11" s="108" t="s">
        <v>7</v>
      </c>
      <c r="I11" s="108" t="s">
        <v>11</v>
      </c>
      <c r="J11" s="108" t="s">
        <v>14205</v>
      </c>
      <c r="K11" s="108" t="s">
        <v>3131</v>
      </c>
      <c r="L11" s="108" t="s">
        <v>197</v>
      </c>
      <c r="M11" s="108" t="s">
        <v>197</v>
      </c>
      <c r="N11" s="108" t="s">
        <v>3129</v>
      </c>
      <c r="O11" s="108" t="s">
        <v>3122</v>
      </c>
      <c r="P11" s="108" t="s">
        <v>3122</v>
      </c>
      <c r="Q11" s="108" t="s">
        <v>3123</v>
      </c>
      <c r="R11" s="108" t="s">
        <v>3123</v>
      </c>
      <c r="S11" s="108" t="s">
        <v>3123</v>
      </c>
      <c r="T11" s="108" t="s">
        <v>3122</v>
      </c>
      <c r="U11" s="108" t="s">
        <v>3122</v>
      </c>
      <c r="V11" s="108" t="s">
        <v>3122</v>
      </c>
      <c r="W11" s="108" t="s">
        <v>3122</v>
      </c>
      <c r="X11" s="108" t="s">
        <v>3122</v>
      </c>
      <c r="Y11" s="108" t="s">
        <v>3126</v>
      </c>
      <c r="Z11" s="108" t="s">
        <v>3123</v>
      </c>
      <c r="AA11" s="108" t="s">
        <v>3124</v>
      </c>
      <c r="AB11" s="108" t="s">
        <v>3125</v>
      </c>
      <c r="AC11" s="108" t="s">
        <v>197</v>
      </c>
      <c r="AD11" s="108" t="s">
        <v>197</v>
      </c>
      <c r="AE11" s="108" t="s">
        <v>197</v>
      </c>
      <c r="AF11" s="108" t="s">
        <v>197</v>
      </c>
      <c r="AG11" s="108" t="s">
        <v>197</v>
      </c>
      <c r="AH11" s="108" t="s">
        <v>197</v>
      </c>
      <c r="AI11" s="108" t="s">
        <v>197</v>
      </c>
      <c r="AJ11" s="108" t="s">
        <v>197</v>
      </c>
      <c r="AK11" s="108" t="s">
        <v>197</v>
      </c>
      <c r="AL11" s="108" t="s">
        <v>197</v>
      </c>
      <c r="AM11" s="108" t="s">
        <v>197</v>
      </c>
      <c r="AN11" s="108" t="s">
        <v>197</v>
      </c>
      <c r="AO11" s="108" t="s">
        <v>197</v>
      </c>
      <c r="AP11" s="108" t="s">
        <v>197</v>
      </c>
      <c r="AQ11" s="108" t="s">
        <v>197</v>
      </c>
      <c r="AR11" s="108" t="s">
        <v>197</v>
      </c>
      <c r="AS11" s="108" t="s">
        <v>197</v>
      </c>
      <c r="AT11" s="108" t="s">
        <v>197</v>
      </c>
      <c r="AU11" s="108" t="s">
        <v>197</v>
      </c>
      <c r="AV11" s="108" t="s">
        <v>197</v>
      </c>
      <c r="AW11" s="108" t="s">
        <v>197</v>
      </c>
      <c r="AX11" s="108" t="s">
        <v>197</v>
      </c>
    </row>
    <row r="12" spans="1:50" x14ac:dyDescent="0.2">
      <c r="A12" s="108" t="s">
        <v>14206</v>
      </c>
      <c r="B12" s="108" t="s">
        <v>14207</v>
      </c>
      <c r="C12" s="108" t="s">
        <v>3121</v>
      </c>
      <c r="D12" s="108" t="s">
        <v>3131</v>
      </c>
      <c r="E12" s="108" t="s">
        <v>3129</v>
      </c>
      <c r="F12" s="108" t="s">
        <v>4628</v>
      </c>
      <c r="G12" s="108" t="s">
        <v>197</v>
      </c>
      <c r="H12" s="108" t="s">
        <v>7</v>
      </c>
      <c r="I12" s="108" t="s">
        <v>11</v>
      </c>
      <c r="J12" s="108" t="s">
        <v>14202</v>
      </c>
      <c r="K12" s="108" t="s">
        <v>3131</v>
      </c>
      <c r="L12" s="108" t="s">
        <v>197</v>
      </c>
      <c r="M12" s="108" t="s">
        <v>197</v>
      </c>
      <c r="N12" s="108" t="s">
        <v>3129</v>
      </c>
      <c r="O12" s="108" t="s">
        <v>3122</v>
      </c>
      <c r="P12" s="108" t="s">
        <v>3122</v>
      </c>
      <c r="Q12" s="108" t="s">
        <v>3123</v>
      </c>
      <c r="R12" s="108" t="s">
        <v>3123</v>
      </c>
      <c r="S12" s="108" t="s">
        <v>3123</v>
      </c>
      <c r="T12" s="108" t="s">
        <v>3122</v>
      </c>
      <c r="U12" s="108" t="s">
        <v>3122</v>
      </c>
      <c r="V12" s="108" t="s">
        <v>3122</v>
      </c>
      <c r="W12" s="108" t="s">
        <v>3122</v>
      </c>
      <c r="X12" s="108" t="s">
        <v>3122</v>
      </c>
      <c r="Y12" s="108" t="s">
        <v>3126</v>
      </c>
      <c r="Z12" s="108" t="s">
        <v>3123</v>
      </c>
      <c r="AA12" s="108" t="s">
        <v>3124</v>
      </c>
      <c r="AB12" s="108" t="s">
        <v>3125</v>
      </c>
      <c r="AC12" s="108" t="s">
        <v>197</v>
      </c>
      <c r="AD12" s="108" t="s">
        <v>197</v>
      </c>
      <c r="AE12" s="108" t="s">
        <v>197</v>
      </c>
      <c r="AF12" s="108" t="s">
        <v>197</v>
      </c>
      <c r="AG12" s="108" t="s">
        <v>197</v>
      </c>
      <c r="AH12" s="108" t="s">
        <v>197</v>
      </c>
      <c r="AI12" s="108" t="s">
        <v>197</v>
      </c>
      <c r="AJ12" s="108" t="s">
        <v>197</v>
      </c>
      <c r="AK12" s="108" t="s">
        <v>197</v>
      </c>
      <c r="AL12" s="108" t="s">
        <v>197</v>
      </c>
      <c r="AM12" s="108" t="s">
        <v>197</v>
      </c>
      <c r="AN12" s="108" t="s">
        <v>197</v>
      </c>
      <c r="AO12" s="108" t="s">
        <v>197</v>
      </c>
      <c r="AP12" s="108" t="s">
        <v>197</v>
      </c>
      <c r="AQ12" s="108" t="s">
        <v>197</v>
      </c>
      <c r="AR12" s="108" t="s">
        <v>197</v>
      </c>
      <c r="AS12" s="108" t="s">
        <v>197</v>
      </c>
      <c r="AT12" s="108" t="s">
        <v>197</v>
      </c>
      <c r="AU12" s="108" t="s">
        <v>197</v>
      </c>
      <c r="AV12" s="108" t="s">
        <v>197</v>
      </c>
      <c r="AW12" s="108" t="s">
        <v>197</v>
      </c>
      <c r="AX12" s="108" t="s">
        <v>197</v>
      </c>
    </row>
    <row r="13" spans="1:50" x14ac:dyDescent="0.2">
      <c r="A13" s="108" t="s">
        <v>14208</v>
      </c>
      <c r="B13" s="108" t="s">
        <v>14209</v>
      </c>
      <c r="C13" s="108" t="s">
        <v>3121</v>
      </c>
      <c r="D13" s="108" t="s">
        <v>3131</v>
      </c>
      <c r="E13" s="108" t="s">
        <v>3124</v>
      </c>
      <c r="F13" s="108" t="s">
        <v>4625</v>
      </c>
      <c r="G13" s="108" t="s">
        <v>197</v>
      </c>
      <c r="H13" s="108" t="s">
        <v>7</v>
      </c>
      <c r="I13" s="108" t="s">
        <v>11</v>
      </c>
      <c r="J13" s="108" t="s">
        <v>14210</v>
      </c>
      <c r="K13" s="108" t="s">
        <v>14211</v>
      </c>
      <c r="L13" s="108" t="s">
        <v>197</v>
      </c>
      <c r="M13" s="108" t="s">
        <v>197</v>
      </c>
      <c r="N13" s="108" t="s">
        <v>3129</v>
      </c>
      <c r="O13" s="108" t="s">
        <v>3122</v>
      </c>
      <c r="P13" s="108" t="s">
        <v>3122</v>
      </c>
      <c r="Q13" s="108" t="s">
        <v>3122</v>
      </c>
      <c r="R13" s="108" t="s">
        <v>3122</v>
      </c>
      <c r="S13" s="108" t="s">
        <v>3123</v>
      </c>
      <c r="T13" s="108" t="s">
        <v>3122</v>
      </c>
      <c r="U13" s="108" t="s">
        <v>3122</v>
      </c>
      <c r="V13" s="108" t="s">
        <v>3122</v>
      </c>
      <c r="W13" s="108" t="s">
        <v>3122</v>
      </c>
      <c r="X13" s="108" t="s">
        <v>3122</v>
      </c>
      <c r="Y13" s="108" t="s">
        <v>3126</v>
      </c>
      <c r="Z13" s="108" t="s">
        <v>3123</v>
      </c>
      <c r="AA13" s="108" t="s">
        <v>3124</v>
      </c>
      <c r="AB13" s="108" t="s">
        <v>3125</v>
      </c>
      <c r="AC13" s="108" t="s">
        <v>197</v>
      </c>
      <c r="AD13" s="108" t="s">
        <v>197</v>
      </c>
      <c r="AE13" s="108" t="s">
        <v>197</v>
      </c>
      <c r="AF13" s="108" t="s">
        <v>197</v>
      </c>
      <c r="AG13" s="108" t="s">
        <v>197</v>
      </c>
      <c r="AH13" s="108" t="s">
        <v>197</v>
      </c>
      <c r="AI13" s="108" t="s">
        <v>197</v>
      </c>
      <c r="AJ13" s="108" t="s">
        <v>197</v>
      </c>
      <c r="AK13" s="108" t="s">
        <v>197</v>
      </c>
      <c r="AL13" s="108" t="s">
        <v>197</v>
      </c>
      <c r="AM13" s="108" t="s">
        <v>197</v>
      </c>
      <c r="AN13" s="108" t="s">
        <v>197</v>
      </c>
      <c r="AO13" s="108" t="s">
        <v>197</v>
      </c>
      <c r="AP13" s="108" t="s">
        <v>197</v>
      </c>
      <c r="AQ13" s="108" t="s">
        <v>197</v>
      </c>
      <c r="AR13" s="108" t="s">
        <v>197</v>
      </c>
      <c r="AS13" s="108" t="s">
        <v>197</v>
      </c>
      <c r="AT13" s="108" t="s">
        <v>197</v>
      </c>
      <c r="AU13" s="108" t="s">
        <v>197</v>
      </c>
      <c r="AV13" s="108" t="s">
        <v>197</v>
      </c>
      <c r="AW13" s="108" t="s">
        <v>197</v>
      </c>
      <c r="AX13" s="108" t="s">
        <v>197</v>
      </c>
    </row>
    <row r="14" spans="1:50" x14ac:dyDescent="0.2">
      <c r="A14" s="108" t="s">
        <v>14212</v>
      </c>
      <c r="B14" s="108" t="s">
        <v>14209</v>
      </c>
      <c r="C14" s="108" t="s">
        <v>3121</v>
      </c>
      <c r="D14" s="108" t="s">
        <v>3131</v>
      </c>
      <c r="E14" s="108" t="s">
        <v>3124</v>
      </c>
      <c r="F14" s="108" t="s">
        <v>4625</v>
      </c>
      <c r="G14" s="108" t="s">
        <v>197</v>
      </c>
      <c r="H14" s="108" t="s">
        <v>7</v>
      </c>
      <c r="I14" s="108" t="s">
        <v>11</v>
      </c>
      <c r="J14" s="108" t="s">
        <v>14213</v>
      </c>
      <c r="K14" s="108" t="s">
        <v>14214</v>
      </c>
      <c r="L14" s="108" t="s">
        <v>197</v>
      </c>
      <c r="M14" s="108" t="s">
        <v>197</v>
      </c>
      <c r="N14" s="108" t="s">
        <v>3129</v>
      </c>
      <c r="O14" s="108" t="s">
        <v>3122</v>
      </c>
      <c r="P14" s="108" t="s">
        <v>3122</v>
      </c>
      <c r="Q14" s="108" t="s">
        <v>3123</v>
      </c>
      <c r="R14" s="108" t="s">
        <v>3123</v>
      </c>
      <c r="S14" s="108" t="s">
        <v>3123</v>
      </c>
      <c r="T14" s="108" t="s">
        <v>3122</v>
      </c>
      <c r="U14" s="108" t="s">
        <v>3122</v>
      </c>
      <c r="V14" s="108" t="s">
        <v>3122</v>
      </c>
      <c r="W14" s="108" t="s">
        <v>3122</v>
      </c>
      <c r="X14" s="108" t="s">
        <v>3122</v>
      </c>
      <c r="Y14" s="108" t="s">
        <v>3126</v>
      </c>
      <c r="Z14" s="108" t="s">
        <v>3123</v>
      </c>
      <c r="AA14" s="108" t="s">
        <v>3124</v>
      </c>
      <c r="AB14" s="108" t="s">
        <v>3125</v>
      </c>
      <c r="AC14" s="108" t="s">
        <v>197</v>
      </c>
      <c r="AD14" s="108" t="s">
        <v>197</v>
      </c>
      <c r="AE14" s="108" t="s">
        <v>197</v>
      </c>
      <c r="AF14" s="108" t="s">
        <v>197</v>
      </c>
      <c r="AG14" s="108" t="s">
        <v>197</v>
      </c>
      <c r="AH14" s="108" t="s">
        <v>197</v>
      </c>
      <c r="AI14" s="108" t="s">
        <v>197</v>
      </c>
      <c r="AJ14" s="108" t="s">
        <v>197</v>
      </c>
      <c r="AK14" s="108" t="s">
        <v>197</v>
      </c>
      <c r="AL14" s="108" t="s">
        <v>197</v>
      </c>
      <c r="AM14" s="108" t="s">
        <v>197</v>
      </c>
      <c r="AN14" s="108" t="s">
        <v>197</v>
      </c>
      <c r="AO14" s="108" t="s">
        <v>197</v>
      </c>
      <c r="AP14" s="108" t="s">
        <v>197</v>
      </c>
      <c r="AQ14" s="108" t="s">
        <v>197</v>
      </c>
      <c r="AR14" s="108" t="s">
        <v>197</v>
      </c>
      <c r="AS14" s="108" t="s">
        <v>197</v>
      </c>
      <c r="AT14" s="108" t="s">
        <v>197</v>
      </c>
      <c r="AU14" s="108" t="s">
        <v>197</v>
      </c>
      <c r="AV14" s="108" t="s">
        <v>197</v>
      </c>
      <c r="AW14" s="108" t="s">
        <v>197</v>
      </c>
      <c r="AX14" s="108" t="s">
        <v>197</v>
      </c>
    </row>
    <row r="15" spans="1:50" x14ac:dyDescent="0.2">
      <c r="A15" s="108" t="s">
        <v>14215</v>
      </c>
      <c r="B15" s="108" t="s">
        <v>14216</v>
      </c>
      <c r="C15" s="108" t="s">
        <v>3121</v>
      </c>
      <c r="D15" s="108" t="s">
        <v>3131</v>
      </c>
      <c r="E15" s="108" t="s">
        <v>3124</v>
      </c>
      <c r="F15" s="108" t="s">
        <v>3131</v>
      </c>
      <c r="G15" s="108" t="s">
        <v>197</v>
      </c>
      <c r="H15" s="108" t="s">
        <v>7</v>
      </c>
      <c r="I15" s="108" t="s">
        <v>11</v>
      </c>
      <c r="J15" s="108" t="s">
        <v>14217</v>
      </c>
      <c r="K15" s="108" t="s">
        <v>14211</v>
      </c>
      <c r="L15" s="108" t="s">
        <v>197</v>
      </c>
      <c r="M15" s="108" t="s">
        <v>197</v>
      </c>
      <c r="N15" s="108" t="s">
        <v>3129</v>
      </c>
      <c r="O15" s="108" t="s">
        <v>3122</v>
      </c>
      <c r="P15" s="108" t="s">
        <v>3122</v>
      </c>
      <c r="Q15" s="108" t="s">
        <v>3122</v>
      </c>
      <c r="R15" s="108" t="s">
        <v>3122</v>
      </c>
      <c r="S15" s="108" t="s">
        <v>3123</v>
      </c>
      <c r="T15" s="108" t="s">
        <v>3122</v>
      </c>
      <c r="U15" s="108" t="s">
        <v>3122</v>
      </c>
      <c r="V15" s="108" t="s">
        <v>3122</v>
      </c>
      <c r="W15" s="108" t="s">
        <v>3122</v>
      </c>
      <c r="X15" s="108" t="s">
        <v>3122</v>
      </c>
      <c r="Y15" s="108" t="s">
        <v>3126</v>
      </c>
      <c r="Z15" s="108" t="s">
        <v>3123</v>
      </c>
      <c r="AA15" s="108" t="s">
        <v>3124</v>
      </c>
      <c r="AB15" s="108" t="s">
        <v>3125</v>
      </c>
      <c r="AC15" s="108" t="s">
        <v>197</v>
      </c>
      <c r="AD15" s="108" t="s">
        <v>197</v>
      </c>
      <c r="AE15" s="108" t="s">
        <v>197</v>
      </c>
      <c r="AF15" s="108" t="s">
        <v>197</v>
      </c>
      <c r="AG15" s="108" t="s">
        <v>197</v>
      </c>
      <c r="AH15" s="108" t="s">
        <v>197</v>
      </c>
      <c r="AI15" s="108" t="s">
        <v>197</v>
      </c>
      <c r="AJ15" s="108" t="s">
        <v>197</v>
      </c>
      <c r="AK15" s="108" t="s">
        <v>197</v>
      </c>
      <c r="AL15" s="108" t="s">
        <v>197</v>
      </c>
      <c r="AM15" s="108" t="s">
        <v>197</v>
      </c>
      <c r="AN15" s="108" t="s">
        <v>197</v>
      </c>
      <c r="AO15" s="108" t="s">
        <v>197</v>
      </c>
      <c r="AP15" s="108" t="s">
        <v>197</v>
      </c>
      <c r="AQ15" s="108" t="s">
        <v>197</v>
      </c>
      <c r="AR15" s="108" t="s">
        <v>197</v>
      </c>
      <c r="AS15" s="108" t="s">
        <v>197</v>
      </c>
      <c r="AT15" s="108" t="s">
        <v>197</v>
      </c>
      <c r="AU15" s="108" t="s">
        <v>197</v>
      </c>
      <c r="AV15" s="108" t="s">
        <v>197</v>
      </c>
      <c r="AW15" s="108" t="s">
        <v>197</v>
      </c>
      <c r="AX15" s="108" t="s">
        <v>197</v>
      </c>
    </row>
    <row r="16" spans="1:50" x14ac:dyDescent="0.2">
      <c r="A16" s="108" t="s">
        <v>14218</v>
      </c>
      <c r="B16" s="108" t="s">
        <v>14216</v>
      </c>
      <c r="C16" s="108" t="s">
        <v>3121</v>
      </c>
      <c r="D16" s="108" t="s">
        <v>3131</v>
      </c>
      <c r="E16" s="108" t="s">
        <v>3124</v>
      </c>
      <c r="F16" s="108" t="s">
        <v>3131</v>
      </c>
      <c r="G16" s="108" t="s">
        <v>197</v>
      </c>
      <c r="H16" s="108" t="s">
        <v>7</v>
      </c>
      <c r="I16" s="108" t="s">
        <v>11</v>
      </c>
      <c r="J16" s="108" t="s">
        <v>14219</v>
      </c>
      <c r="K16" s="108" t="s">
        <v>14214</v>
      </c>
      <c r="L16" s="108" t="s">
        <v>197</v>
      </c>
      <c r="M16" s="108" t="s">
        <v>197</v>
      </c>
      <c r="N16" s="108" t="s">
        <v>3129</v>
      </c>
      <c r="O16" s="108" t="s">
        <v>3122</v>
      </c>
      <c r="P16" s="108" t="s">
        <v>3122</v>
      </c>
      <c r="Q16" s="108" t="s">
        <v>3123</v>
      </c>
      <c r="R16" s="108" t="s">
        <v>3123</v>
      </c>
      <c r="S16" s="108" t="s">
        <v>3123</v>
      </c>
      <c r="T16" s="108" t="s">
        <v>3122</v>
      </c>
      <c r="U16" s="108" t="s">
        <v>3122</v>
      </c>
      <c r="V16" s="108" t="s">
        <v>3122</v>
      </c>
      <c r="W16" s="108" t="s">
        <v>3122</v>
      </c>
      <c r="X16" s="108" t="s">
        <v>3122</v>
      </c>
      <c r="Y16" s="108" t="s">
        <v>3126</v>
      </c>
      <c r="Z16" s="108" t="s">
        <v>3123</v>
      </c>
      <c r="AA16" s="108" t="s">
        <v>3124</v>
      </c>
      <c r="AB16" s="108" t="s">
        <v>3125</v>
      </c>
      <c r="AC16" s="108" t="s">
        <v>197</v>
      </c>
      <c r="AD16" s="108" t="s">
        <v>197</v>
      </c>
      <c r="AE16" s="108" t="s">
        <v>197</v>
      </c>
      <c r="AF16" s="108" t="s">
        <v>197</v>
      </c>
      <c r="AG16" s="108" t="s">
        <v>197</v>
      </c>
      <c r="AH16" s="108" t="s">
        <v>197</v>
      </c>
      <c r="AI16" s="108" t="s">
        <v>197</v>
      </c>
      <c r="AJ16" s="108" t="s">
        <v>197</v>
      </c>
      <c r="AK16" s="108" t="s">
        <v>197</v>
      </c>
      <c r="AL16" s="108" t="s">
        <v>197</v>
      </c>
      <c r="AM16" s="108" t="s">
        <v>197</v>
      </c>
      <c r="AN16" s="108" t="s">
        <v>197</v>
      </c>
      <c r="AO16" s="108" t="s">
        <v>197</v>
      </c>
      <c r="AP16" s="108" t="s">
        <v>197</v>
      </c>
      <c r="AQ16" s="108" t="s">
        <v>197</v>
      </c>
      <c r="AR16" s="108" t="s">
        <v>197</v>
      </c>
      <c r="AS16" s="108" t="s">
        <v>197</v>
      </c>
      <c r="AT16" s="108" t="s">
        <v>197</v>
      </c>
      <c r="AU16" s="108" t="s">
        <v>197</v>
      </c>
      <c r="AV16" s="108" t="s">
        <v>197</v>
      </c>
      <c r="AW16" s="108" t="s">
        <v>197</v>
      </c>
      <c r="AX16" s="108" t="s">
        <v>197</v>
      </c>
    </row>
    <row r="17" spans="1:50" x14ac:dyDescent="0.2">
      <c r="A17" s="108" t="s">
        <v>14223</v>
      </c>
      <c r="B17" s="108" t="s">
        <v>14224</v>
      </c>
      <c r="C17" s="108" t="s">
        <v>3121</v>
      </c>
      <c r="D17" s="108" t="s">
        <v>3131</v>
      </c>
      <c r="E17" s="108" t="s">
        <v>14225</v>
      </c>
      <c r="F17" s="108" t="s">
        <v>4629</v>
      </c>
      <c r="G17" s="108" t="s">
        <v>197</v>
      </c>
      <c r="H17" s="108" t="s">
        <v>7</v>
      </c>
      <c r="I17" s="108" t="s">
        <v>11</v>
      </c>
      <c r="J17" s="108" t="s">
        <v>14226</v>
      </c>
      <c r="K17" s="108" t="s">
        <v>3131</v>
      </c>
      <c r="L17" s="108" t="s">
        <v>197</v>
      </c>
      <c r="M17" s="108" t="s">
        <v>197</v>
      </c>
      <c r="N17" s="108" t="s">
        <v>3129</v>
      </c>
      <c r="O17" s="108" t="s">
        <v>3122</v>
      </c>
      <c r="P17" s="108" t="s">
        <v>3122</v>
      </c>
      <c r="Q17" s="108" t="s">
        <v>3123</v>
      </c>
      <c r="R17" s="108" t="s">
        <v>3123</v>
      </c>
      <c r="S17" s="108" t="s">
        <v>3123</v>
      </c>
      <c r="T17" s="108" t="s">
        <v>3122</v>
      </c>
      <c r="U17" s="108" t="s">
        <v>3122</v>
      </c>
      <c r="V17" s="108" t="s">
        <v>3122</v>
      </c>
      <c r="W17" s="108" t="s">
        <v>3122</v>
      </c>
      <c r="X17" s="108" t="s">
        <v>3122</v>
      </c>
      <c r="Y17" s="108" t="s">
        <v>3126</v>
      </c>
      <c r="Z17" s="108" t="s">
        <v>3123</v>
      </c>
      <c r="AA17" s="108" t="s">
        <v>3124</v>
      </c>
      <c r="AB17" s="108" t="s">
        <v>3125</v>
      </c>
      <c r="AC17" s="108" t="s">
        <v>197</v>
      </c>
      <c r="AD17" s="108" t="s">
        <v>197</v>
      </c>
      <c r="AE17" s="108" t="s">
        <v>197</v>
      </c>
      <c r="AF17" s="108" t="s">
        <v>197</v>
      </c>
      <c r="AG17" s="108" t="s">
        <v>197</v>
      </c>
      <c r="AH17" s="108" t="s">
        <v>197</v>
      </c>
      <c r="AI17" s="108" t="s">
        <v>197</v>
      </c>
      <c r="AJ17" s="108" t="s">
        <v>197</v>
      </c>
      <c r="AK17" s="108" t="s">
        <v>197</v>
      </c>
      <c r="AL17" s="108" t="s">
        <v>197</v>
      </c>
      <c r="AM17" s="108" t="s">
        <v>197</v>
      </c>
      <c r="AN17" s="108" t="s">
        <v>197</v>
      </c>
      <c r="AO17" s="108" t="s">
        <v>197</v>
      </c>
      <c r="AP17" s="108" t="s">
        <v>197</v>
      </c>
      <c r="AQ17" s="108" t="s">
        <v>197</v>
      </c>
      <c r="AR17" s="108" t="s">
        <v>197</v>
      </c>
      <c r="AS17" s="108" t="s">
        <v>197</v>
      </c>
      <c r="AT17" s="108" t="s">
        <v>197</v>
      </c>
      <c r="AU17" s="108" t="s">
        <v>197</v>
      </c>
      <c r="AV17" s="108" t="s">
        <v>197</v>
      </c>
      <c r="AW17" s="108" t="s">
        <v>197</v>
      </c>
      <c r="AX17" s="108" t="s">
        <v>197</v>
      </c>
    </row>
    <row r="18" spans="1:50" x14ac:dyDescent="0.2">
      <c r="A18" s="108" t="s">
        <v>14227</v>
      </c>
      <c r="B18" s="108" t="s">
        <v>14228</v>
      </c>
      <c r="C18" s="108" t="s">
        <v>3121</v>
      </c>
      <c r="D18" s="108" t="s">
        <v>3131</v>
      </c>
      <c r="E18" s="108" t="s">
        <v>3129</v>
      </c>
      <c r="F18" s="108" t="s">
        <v>4625</v>
      </c>
      <c r="G18" s="108" t="s">
        <v>197</v>
      </c>
      <c r="H18" s="108" t="s">
        <v>7</v>
      </c>
      <c r="I18" s="108" t="s">
        <v>11</v>
      </c>
      <c r="J18" s="108" t="s">
        <v>14229</v>
      </c>
      <c r="K18" s="108" t="s">
        <v>3131</v>
      </c>
      <c r="L18" s="108" t="s">
        <v>197</v>
      </c>
      <c r="M18" s="108" t="s">
        <v>197</v>
      </c>
      <c r="N18" s="108" t="s">
        <v>3129</v>
      </c>
      <c r="O18" s="108" t="s">
        <v>3122</v>
      </c>
      <c r="P18" s="108" t="s">
        <v>3122</v>
      </c>
      <c r="Q18" s="108" t="s">
        <v>3123</v>
      </c>
      <c r="R18" s="108" t="s">
        <v>3123</v>
      </c>
      <c r="S18" s="108" t="s">
        <v>3123</v>
      </c>
      <c r="T18" s="108" t="s">
        <v>3122</v>
      </c>
      <c r="U18" s="108" t="s">
        <v>3122</v>
      </c>
      <c r="V18" s="108" t="s">
        <v>3122</v>
      </c>
      <c r="W18" s="108" t="s">
        <v>3122</v>
      </c>
      <c r="X18" s="108" t="s">
        <v>3122</v>
      </c>
      <c r="Y18" s="108" t="s">
        <v>3126</v>
      </c>
      <c r="Z18" s="108" t="s">
        <v>3123</v>
      </c>
      <c r="AA18" s="108" t="s">
        <v>3124</v>
      </c>
      <c r="AB18" s="108" t="s">
        <v>3125</v>
      </c>
      <c r="AC18" s="108" t="s">
        <v>197</v>
      </c>
      <c r="AD18" s="108" t="s">
        <v>197</v>
      </c>
      <c r="AE18" s="108" t="s">
        <v>197</v>
      </c>
      <c r="AF18" s="108" t="s">
        <v>197</v>
      </c>
      <c r="AG18" s="108" t="s">
        <v>197</v>
      </c>
      <c r="AH18" s="108" t="s">
        <v>197</v>
      </c>
      <c r="AI18" s="108" t="s">
        <v>197</v>
      </c>
      <c r="AJ18" s="108" t="s">
        <v>197</v>
      </c>
      <c r="AK18" s="108" t="s">
        <v>197</v>
      </c>
      <c r="AL18" s="108" t="s">
        <v>197</v>
      </c>
      <c r="AM18" s="108" t="s">
        <v>197</v>
      </c>
      <c r="AN18" s="108" t="s">
        <v>197</v>
      </c>
      <c r="AO18" s="108" t="s">
        <v>197</v>
      </c>
      <c r="AP18" s="108" t="s">
        <v>197</v>
      </c>
      <c r="AQ18" s="108" t="s">
        <v>197</v>
      </c>
      <c r="AR18" s="108" t="s">
        <v>197</v>
      </c>
      <c r="AS18" s="108" t="s">
        <v>197</v>
      </c>
      <c r="AT18" s="108" t="s">
        <v>197</v>
      </c>
      <c r="AU18" s="108" t="s">
        <v>197</v>
      </c>
      <c r="AV18" s="108" t="s">
        <v>197</v>
      </c>
      <c r="AW18" s="108" t="s">
        <v>197</v>
      </c>
      <c r="AX18" s="108" t="s">
        <v>197</v>
      </c>
    </row>
    <row r="19" spans="1:50" x14ac:dyDescent="0.2">
      <c r="A19" s="108" t="s">
        <v>197</v>
      </c>
      <c r="B19" s="108" t="s">
        <v>197</v>
      </c>
      <c r="C19" s="108" t="s">
        <v>197</v>
      </c>
      <c r="D19" s="108" t="s">
        <v>197</v>
      </c>
      <c r="E19" s="108" t="s">
        <v>197</v>
      </c>
      <c r="F19" s="108" t="s">
        <v>197</v>
      </c>
      <c r="G19" s="108" t="s">
        <v>197</v>
      </c>
      <c r="H19" s="108" t="s">
        <v>197</v>
      </c>
      <c r="I19" s="108" t="s">
        <v>197</v>
      </c>
      <c r="J19" s="108" t="s">
        <v>197</v>
      </c>
      <c r="K19" s="108" t="s">
        <v>197</v>
      </c>
      <c r="L19" s="108" t="s">
        <v>197</v>
      </c>
      <c r="M19" s="108" t="s">
        <v>197</v>
      </c>
      <c r="N19" s="108" t="s">
        <v>197</v>
      </c>
      <c r="O19" s="108" t="s">
        <v>197</v>
      </c>
      <c r="P19" s="108" t="s">
        <v>197</v>
      </c>
      <c r="Q19" s="108" t="s">
        <v>197</v>
      </c>
      <c r="R19" s="108" t="s">
        <v>197</v>
      </c>
      <c r="S19" s="108" t="s">
        <v>197</v>
      </c>
      <c r="T19" s="108" t="s">
        <v>197</v>
      </c>
      <c r="U19" s="108" t="s">
        <v>197</v>
      </c>
      <c r="V19" s="108" t="s">
        <v>197</v>
      </c>
      <c r="W19" s="108" t="s">
        <v>197</v>
      </c>
      <c r="X19" s="108" t="s">
        <v>197</v>
      </c>
      <c r="Y19" s="108" t="s">
        <v>197</v>
      </c>
      <c r="Z19" s="108" t="s">
        <v>197</v>
      </c>
      <c r="AA19" s="108" t="s">
        <v>197</v>
      </c>
      <c r="AB19" s="108" t="s">
        <v>197</v>
      </c>
      <c r="AC19" s="108" t="s">
        <v>197</v>
      </c>
      <c r="AD19" s="108" t="s">
        <v>197</v>
      </c>
      <c r="AE19" s="108" t="s">
        <v>197</v>
      </c>
      <c r="AF19" s="108" t="s">
        <v>197</v>
      </c>
      <c r="AG19" s="108" t="s">
        <v>197</v>
      </c>
      <c r="AH19" s="108" t="s">
        <v>197</v>
      </c>
      <c r="AI19" s="108" t="s">
        <v>197</v>
      </c>
      <c r="AJ19" s="108" t="s">
        <v>197</v>
      </c>
      <c r="AK19" s="108" t="s">
        <v>197</v>
      </c>
      <c r="AL19" s="108" t="s">
        <v>197</v>
      </c>
      <c r="AM19" s="108" t="s">
        <v>197</v>
      </c>
      <c r="AN19" s="108" t="s">
        <v>197</v>
      </c>
      <c r="AO19" s="108" t="s">
        <v>197</v>
      </c>
      <c r="AP19" s="108" t="s">
        <v>197</v>
      </c>
      <c r="AQ19" s="108" t="s">
        <v>197</v>
      </c>
      <c r="AR19" s="108" t="s">
        <v>197</v>
      </c>
      <c r="AS19" s="108" t="s">
        <v>197</v>
      </c>
      <c r="AT19" s="108" t="s">
        <v>197</v>
      </c>
      <c r="AU19" s="108" t="s">
        <v>197</v>
      </c>
      <c r="AV19" s="108" t="s">
        <v>197</v>
      </c>
      <c r="AW19" s="108" t="s">
        <v>197</v>
      </c>
      <c r="AX19" s="108" t="s">
        <v>197</v>
      </c>
    </row>
    <row r="20" spans="1:50" x14ac:dyDescent="0.2">
      <c r="A20" s="108" t="s">
        <v>4623</v>
      </c>
      <c r="B20" s="108" t="s">
        <v>4624</v>
      </c>
      <c r="C20" s="108" t="s">
        <v>3121</v>
      </c>
      <c r="D20" s="108" t="s">
        <v>3131</v>
      </c>
      <c r="E20" s="108" t="s">
        <v>4342</v>
      </c>
      <c r="F20" s="108" t="s">
        <v>4625</v>
      </c>
      <c r="G20" s="108" t="s">
        <v>197</v>
      </c>
      <c r="H20" s="108" t="s">
        <v>7</v>
      </c>
      <c r="I20" s="108" t="s">
        <v>13</v>
      </c>
      <c r="J20" s="108" t="s">
        <v>4343</v>
      </c>
      <c r="K20" s="108" t="s">
        <v>3131</v>
      </c>
      <c r="L20" s="108" t="s">
        <v>197</v>
      </c>
      <c r="M20" s="108" t="s">
        <v>197</v>
      </c>
      <c r="N20" s="108" t="s">
        <v>3129</v>
      </c>
      <c r="O20" s="108" t="s">
        <v>3122</v>
      </c>
      <c r="P20" s="108" t="s">
        <v>3123</v>
      </c>
      <c r="Q20" s="108" t="s">
        <v>3122</v>
      </c>
      <c r="R20" s="108" t="s">
        <v>3123</v>
      </c>
      <c r="S20" s="108" t="s">
        <v>3123</v>
      </c>
      <c r="T20" s="108" t="s">
        <v>4344</v>
      </c>
      <c r="U20" s="108" t="s">
        <v>4345</v>
      </c>
      <c r="V20" s="108" t="s">
        <v>4344</v>
      </c>
      <c r="W20" s="108" t="s">
        <v>3122</v>
      </c>
      <c r="X20" s="108" t="s">
        <v>3122</v>
      </c>
      <c r="Y20" s="108" t="s">
        <v>3126</v>
      </c>
      <c r="Z20" s="108" t="s">
        <v>3123</v>
      </c>
      <c r="AA20" s="108" t="s">
        <v>3124</v>
      </c>
      <c r="AB20" s="108" t="s">
        <v>3125</v>
      </c>
      <c r="AC20" s="108" t="s">
        <v>197</v>
      </c>
      <c r="AD20" s="108" t="s">
        <v>197</v>
      </c>
      <c r="AE20" s="108" t="s">
        <v>197</v>
      </c>
      <c r="AF20" s="108" t="s">
        <v>197</v>
      </c>
      <c r="AG20" s="108" t="s">
        <v>197</v>
      </c>
      <c r="AH20" s="108" t="s">
        <v>197</v>
      </c>
      <c r="AI20" s="108" t="s">
        <v>197</v>
      </c>
      <c r="AJ20" s="108" t="s">
        <v>197</v>
      </c>
      <c r="AK20" s="108" t="s">
        <v>197</v>
      </c>
      <c r="AL20" s="108" t="s">
        <v>197</v>
      </c>
      <c r="AM20" s="108" t="s">
        <v>197</v>
      </c>
      <c r="AN20" s="108" t="s">
        <v>197</v>
      </c>
      <c r="AO20" s="108" t="s">
        <v>197</v>
      </c>
      <c r="AP20" s="108" t="s">
        <v>197</v>
      </c>
      <c r="AQ20" s="108" t="s">
        <v>197</v>
      </c>
      <c r="AR20" s="108" t="s">
        <v>197</v>
      </c>
      <c r="AS20" s="108" t="s">
        <v>197</v>
      </c>
      <c r="AT20" s="108" t="s">
        <v>197</v>
      </c>
      <c r="AU20" s="108" t="s">
        <v>197</v>
      </c>
      <c r="AV20" s="108" t="s">
        <v>197</v>
      </c>
      <c r="AW20" s="108" t="s">
        <v>197</v>
      </c>
      <c r="AX20" s="108" t="s">
        <v>197</v>
      </c>
    </row>
    <row r="21" spans="1:50" x14ac:dyDescent="0.2">
      <c r="A21" s="108" t="s">
        <v>4626</v>
      </c>
      <c r="B21" s="108" t="s">
        <v>4627</v>
      </c>
      <c r="C21" s="108" t="s">
        <v>3121</v>
      </c>
      <c r="D21" s="108" t="s">
        <v>3131</v>
      </c>
      <c r="E21" s="108" t="s">
        <v>3129</v>
      </c>
      <c r="F21" s="108" t="s">
        <v>4628</v>
      </c>
      <c r="G21" s="108" t="s">
        <v>197</v>
      </c>
      <c r="H21" s="108" t="s">
        <v>7</v>
      </c>
      <c r="I21" s="108" t="s">
        <v>11</v>
      </c>
      <c r="J21" s="108" t="s">
        <v>14205</v>
      </c>
      <c r="K21" s="108" t="s">
        <v>3131</v>
      </c>
      <c r="L21" s="108" t="s">
        <v>197</v>
      </c>
      <c r="M21" s="108" t="s">
        <v>197</v>
      </c>
      <c r="N21" s="108" t="s">
        <v>3129</v>
      </c>
      <c r="O21" s="108" t="s">
        <v>3122</v>
      </c>
      <c r="P21" s="108" t="s">
        <v>3122</v>
      </c>
      <c r="Q21" s="108" t="s">
        <v>3123</v>
      </c>
      <c r="R21" s="108" t="s">
        <v>3123</v>
      </c>
      <c r="S21" s="108" t="s">
        <v>3123</v>
      </c>
      <c r="T21" s="108" t="s">
        <v>3122</v>
      </c>
      <c r="U21" s="108" t="s">
        <v>3122</v>
      </c>
      <c r="V21" s="108" t="s">
        <v>3122</v>
      </c>
      <c r="W21" s="108" t="s">
        <v>3122</v>
      </c>
      <c r="X21" s="108" t="s">
        <v>3122</v>
      </c>
      <c r="Y21" s="108" t="s">
        <v>3126</v>
      </c>
      <c r="Z21" s="108" t="s">
        <v>3123</v>
      </c>
      <c r="AA21" s="108" t="s">
        <v>3124</v>
      </c>
      <c r="AB21" s="108" t="s">
        <v>3125</v>
      </c>
      <c r="AC21" s="108" t="s">
        <v>197</v>
      </c>
      <c r="AD21" s="108" t="s">
        <v>197</v>
      </c>
      <c r="AE21" s="108" t="s">
        <v>197</v>
      </c>
      <c r="AF21" s="108" t="s">
        <v>197</v>
      </c>
      <c r="AG21" s="108" t="s">
        <v>197</v>
      </c>
      <c r="AH21" s="108" t="s">
        <v>197</v>
      </c>
      <c r="AI21" s="108" t="s">
        <v>197</v>
      </c>
      <c r="AJ21" s="108" t="s">
        <v>197</v>
      </c>
      <c r="AK21" s="108" t="s">
        <v>197</v>
      </c>
      <c r="AL21" s="108" t="s">
        <v>197</v>
      </c>
      <c r="AM21" s="108" t="s">
        <v>197</v>
      </c>
      <c r="AN21" s="108" t="s">
        <v>197</v>
      </c>
      <c r="AO21" s="108" t="s">
        <v>197</v>
      </c>
      <c r="AP21" s="108" t="s">
        <v>197</v>
      </c>
      <c r="AQ21" s="108" t="s">
        <v>197</v>
      </c>
      <c r="AR21" s="108" t="s">
        <v>197</v>
      </c>
      <c r="AS21" s="108" t="s">
        <v>197</v>
      </c>
      <c r="AT21" s="108" t="s">
        <v>197</v>
      </c>
      <c r="AU21" s="108" t="s">
        <v>197</v>
      </c>
      <c r="AV21" s="108" t="s">
        <v>197</v>
      </c>
      <c r="AW21" s="108" t="s">
        <v>197</v>
      </c>
      <c r="AX21" s="108" t="s">
        <v>197</v>
      </c>
    </row>
    <row r="22" spans="1:50" x14ac:dyDescent="0.2">
      <c r="A22" s="108" t="s">
        <v>4630</v>
      </c>
      <c r="B22" s="108" t="s">
        <v>4631</v>
      </c>
      <c r="C22" s="108" t="s">
        <v>4632</v>
      </c>
      <c r="D22" s="108" t="s">
        <v>3124</v>
      </c>
      <c r="E22" s="108" t="s">
        <v>3127</v>
      </c>
      <c r="F22" s="108" t="s">
        <v>197</v>
      </c>
      <c r="G22" s="108" t="s">
        <v>197</v>
      </c>
      <c r="H22" s="108" t="s">
        <v>7</v>
      </c>
      <c r="I22" s="108" t="s">
        <v>11</v>
      </c>
      <c r="J22" s="108" t="s">
        <v>14199</v>
      </c>
      <c r="K22" s="108" t="s">
        <v>3131</v>
      </c>
      <c r="L22" s="108" t="s">
        <v>197</v>
      </c>
      <c r="M22" s="108" t="s">
        <v>197</v>
      </c>
      <c r="N22" s="108" t="s">
        <v>3129</v>
      </c>
      <c r="O22" s="108" t="s">
        <v>3122</v>
      </c>
      <c r="P22" s="108" t="s">
        <v>3122</v>
      </c>
      <c r="Q22" s="108" t="s">
        <v>3123</v>
      </c>
      <c r="R22" s="108" t="s">
        <v>3123</v>
      </c>
      <c r="S22" s="108" t="s">
        <v>3123</v>
      </c>
      <c r="T22" s="108" t="s">
        <v>3122</v>
      </c>
      <c r="U22" s="108" t="s">
        <v>3122</v>
      </c>
      <c r="V22" s="108" t="s">
        <v>3122</v>
      </c>
      <c r="W22" s="108" t="s">
        <v>3122</v>
      </c>
      <c r="X22" s="108" t="s">
        <v>3122</v>
      </c>
      <c r="Y22" s="108" t="s">
        <v>3126</v>
      </c>
      <c r="Z22" s="108" t="s">
        <v>3123</v>
      </c>
      <c r="AA22" s="108" t="s">
        <v>3124</v>
      </c>
      <c r="AB22" s="108" t="s">
        <v>3125</v>
      </c>
      <c r="AC22" s="108" t="s">
        <v>197</v>
      </c>
      <c r="AD22" s="108" t="s">
        <v>197</v>
      </c>
      <c r="AE22" s="108" t="s">
        <v>197</v>
      </c>
      <c r="AF22" s="108" t="s">
        <v>197</v>
      </c>
      <c r="AG22" s="108" t="s">
        <v>197</v>
      </c>
      <c r="AH22" s="108" t="s">
        <v>197</v>
      </c>
      <c r="AI22" s="108" t="s">
        <v>197</v>
      </c>
      <c r="AJ22" s="108" t="s">
        <v>197</v>
      </c>
      <c r="AK22" s="108" t="s">
        <v>197</v>
      </c>
      <c r="AL22" s="108" t="s">
        <v>197</v>
      </c>
      <c r="AM22" s="108" t="s">
        <v>197</v>
      </c>
      <c r="AN22" s="108" t="s">
        <v>197</v>
      </c>
      <c r="AO22" s="108" t="s">
        <v>197</v>
      </c>
      <c r="AP22" s="108" t="s">
        <v>197</v>
      </c>
      <c r="AQ22" s="108" t="s">
        <v>197</v>
      </c>
      <c r="AR22" s="108" t="s">
        <v>197</v>
      </c>
      <c r="AS22" s="108" t="s">
        <v>197</v>
      </c>
      <c r="AT22" s="108" t="s">
        <v>197</v>
      </c>
      <c r="AU22" s="108" t="s">
        <v>197</v>
      </c>
      <c r="AV22" s="108" t="s">
        <v>197</v>
      </c>
      <c r="AW22" s="108" t="s">
        <v>197</v>
      </c>
      <c r="AX22" s="108" t="s">
        <v>197</v>
      </c>
    </row>
    <row r="23" spans="1:50" x14ac:dyDescent="0.2">
      <c r="A23" s="108" t="s">
        <v>3132</v>
      </c>
      <c r="B23" s="108" t="s">
        <v>197</v>
      </c>
      <c r="C23" s="108" t="s">
        <v>197</v>
      </c>
      <c r="D23" s="108" t="s">
        <v>197</v>
      </c>
      <c r="E23" s="108" t="s">
        <v>197</v>
      </c>
      <c r="F23" s="108" t="s">
        <v>197</v>
      </c>
      <c r="G23" s="108" t="s">
        <v>197</v>
      </c>
      <c r="H23" s="108" t="s">
        <v>197</v>
      </c>
      <c r="I23" s="108" t="s">
        <v>197</v>
      </c>
      <c r="J23" s="108" t="s">
        <v>197</v>
      </c>
      <c r="K23" s="108" t="s">
        <v>197</v>
      </c>
      <c r="L23" s="108" t="s">
        <v>197</v>
      </c>
      <c r="M23" s="108" t="s">
        <v>197</v>
      </c>
      <c r="N23" s="108" t="s">
        <v>197</v>
      </c>
      <c r="O23" s="108" t="s">
        <v>197</v>
      </c>
      <c r="P23" s="108" t="s">
        <v>197</v>
      </c>
      <c r="Q23" s="108" t="s">
        <v>197</v>
      </c>
      <c r="R23" s="108" t="s">
        <v>197</v>
      </c>
      <c r="S23" s="108" t="s">
        <v>197</v>
      </c>
      <c r="T23" s="108" t="s">
        <v>197</v>
      </c>
      <c r="U23" s="108" t="s">
        <v>197</v>
      </c>
      <c r="V23" s="108" t="s">
        <v>197</v>
      </c>
      <c r="W23" s="108" t="s">
        <v>197</v>
      </c>
      <c r="X23" s="108" t="s">
        <v>197</v>
      </c>
      <c r="Y23" s="108" t="s">
        <v>197</v>
      </c>
      <c r="Z23" s="108" t="s">
        <v>197</v>
      </c>
      <c r="AA23" s="108" t="s">
        <v>197</v>
      </c>
      <c r="AB23" s="108" t="s">
        <v>197</v>
      </c>
      <c r="AC23" s="108" t="s">
        <v>197</v>
      </c>
      <c r="AD23" s="108" t="s">
        <v>197</v>
      </c>
      <c r="AE23" s="108" t="s">
        <v>197</v>
      </c>
      <c r="AF23" s="108" t="s">
        <v>197</v>
      </c>
      <c r="AG23" s="108" t="s">
        <v>197</v>
      </c>
      <c r="AH23" s="108" t="s">
        <v>197</v>
      </c>
      <c r="AI23" s="108" t="s">
        <v>197</v>
      </c>
      <c r="AJ23" s="108" t="s">
        <v>197</v>
      </c>
      <c r="AK23" s="108" t="s">
        <v>197</v>
      </c>
      <c r="AL23" s="108" t="s">
        <v>197</v>
      </c>
      <c r="AM23" s="108" t="s">
        <v>197</v>
      </c>
      <c r="AN23" s="108" t="s">
        <v>197</v>
      </c>
      <c r="AO23" s="108" t="s">
        <v>197</v>
      </c>
      <c r="AP23" s="108" t="s">
        <v>197</v>
      </c>
      <c r="AQ23" s="108" t="s">
        <v>197</v>
      </c>
      <c r="AR23" s="108" t="s">
        <v>197</v>
      </c>
      <c r="AS23" s="108" t="s">
        <v>197</v>
      </c>
      <c r="AT23" s="108" t="s">
        <v>197</v>
      </c>
      <c r="AU23" s="108" t="s">
        <v>197</v>
      </c>
      <c r="AV23" s="108" t="s">
        <v>197</v>
      </c>
      <c r="AW23" s="108" t="s">
        <v>197</v>
      </c>
      <c r="AX23" s="108" t="s">
        <v>197</v>
      </c>
    </row>
    <row r="24" spans="1:50" x14ac:dyDescent="0.2">
      <c r="A24" s="108" t="s">
        <v>3133</v>
      </c>
      <c r="B24" s="108" t="s">
        <v>197</v>
      </c>
      <c r="C24" s="108" t="s">
        <v>197</v>
      </c>
      <c r="D24" s="108" t="s">
        <v>197</v>
      </c>
      <c r="E24" s="108" t="s">
        <v>197</v>
      </c>
      <c r="F24" s="108" t="s">
        <v>197</v>
      </c>
      <c r="G24" s="108" t="s">
        <v>197</v>
      </c>
      <c r="H24" s="108" t="s">
        <v>197</v>
      </c>
      <c r="I24" s="108" t="s">
        <v>197</v>
      </c>
      <c r="J24" s="108" t="s">
        <v>197</v>
      </c>
      <c r="K24" s="108" t="s">
        <v>197</v>
      </c>
      <c r="L24" s="108" t="s">
        <v>197</v>
      </c>
      <c r="M24" s="108" t="s">
        <v>197</v>
      </c>
      <c r="N24" s="108" t="s">
        <v>197</v>
      </c>
      <c r="O24" s="108" t="s">
        <v>197</v>
      </c>
      <c r="P24" s="108" t="s">
        <v>3125</v>
      </c>
      <c r="Q24" s="108" t="s">
        <v>3125</v>
      </c>
      <c r="R24" s="108" t="s">
        <v>3126</v>
      </c>
      <c r="S24" s="108" t="s">
        <v>3126</v>
      </c>
      <c r="T24" s="108" t="s">
        <v>3126</v>
      </c>
      <c r="U24" s="108" t="s">
        <v>3125</v>
      </c>
      <c r="V24" s="108" t="s">
        <v>4008</v>
      </c>
      <c r="W24" s="108" t="s">
        <v>3126</v>
      </c>
      <c r="X24" s="108" t="s">
        <v>3126</v>
      </c>
      <c r="Y24" s="108" t="s">
        <v>4009</v>
      </c>
      <c r="Z24" s="108" t="s">
        <v>3141</v>
      </c>
      <c r="AA24" s="108" t="s">
        <v>197</v>
      </c>
      <c r="AB24" s="108" t="s">
        <v>3124</v>
      </c>
      <c r="AC24" s="108" t="s">
        <v>4006</v>
      </c>
      <c r="AD24" s="108" t="s">
        <v>4010</v>
      </c>
      <c r="AE24" s="108" t="s">
        <v>4526</v>
      </c>
      <c r="AF24" s="108" t="s">
        <v>3122</v>
      </c>
      <c r="AG24" s="108" t="s">
        <v>3122</v>
      </c>
      <c r="AH24" s="108" t="s">
        <v>3122</v>
      </c>
      <c r="AI24" s="108" t="s">
        <v>3122</v>
      </c>
      <c r="AJ24" s="108" t="s">
        <v>3122</v>
      </c>
      <c r="AK24" s="108" t="s">
        <v>3127</v>
      </c>
      <c r="AL24" s="108" t="s">
        <v>3127</v>
      </c>
      <c r="AM24" s="108" t="s">
        <v>3122</v>
      </c>
      <c r="AN24" s="108" t="s">
        <v>3122</v>
      </c>
      <c r="AO24" s="108" t="s">
        <v>3122</v>
      </c>
      <c r="AP24" s="108" t="s">
        <v>4007</v>
      </c>
      <c r="AQ24" s="108" t="s">
        <v>3698</v>
      </c>
      <c r="AR24" s="108" t="s">
        <v>3699</v>
      </c>
      <c r="AS24" s="108" t="s">
        <v>3700</v>
      </c>
      <c r="AT24" s="108" t="s">
        <v>197</v>
      </c>
      <c r="AU24" s="108" t="s">
        <v>197</v>
      </c>
      <c r="AV24" s="108" t="s">
        <v>197</v>
      </c>
      <c r="AW24" s="108" t="s">
        <v>197</v>
      </c>
      <c r="AX24" s="108" t="s">
        <v>197</v>
      </c>
    </row>
    <row r="25" spans="1:50" x14ac:dyDescent="0.2">
      <c r="A25" s="108" t="s">
        <v>3134</v>
      </c>
      <c r="B25" s="108" t="s">
        <v>197</v>
      </c>
      <c r="C25" s="108" t="s">
        <v>197</v>
      </c>
      <c r="D25" s="108" t="s">
        <v>197</v>
      </c>
      <c r="E25" s="108" t="s">
        <v>197</v>
      </c>
      <c r="F25" s="108" t="s">
        <v>197</v>
      </c>
      <c r="G25" s="108" t="s">
        <v>197</v>
      </c>
      <c r="H25" s="108" t="s">
        <v>197</v>
      </c>
      <c r="I25" s="108" t="s">
        <v>197</v>
      </c>
      <c r="J25" s="108" t="s">
        <v>197</v>
      </c>
      <c r="K25" s="108" t="s">
        <v>197</v>
      </c>
      <c r="L25" s="108" t="s">
        <v>197</v>
      </c>
      <c r="M25" s="108" t="s">
        <v>197</v>
      </c>
      <c r="N25" s="108" t="s">
        <v>197</v>
      </c>
      <c r="O25" s="108" t="s">
        <v>197</v>
      </c>
      <c r="P25" s="108" t="s">
        <v>197</v>
      </c>
      <c r="Q25" s="108" t="s">
        <v>197</v>
      </c>
      <c r="R25" s="108" t="s">
        <v>197</v>
      </c>
      <c r="S25" s="108" t="s">
        <v>197</v>
      </c>
      <c r="T25" s="108" t="s">
        <v>197</v>
      </c>
      <c r="U25" s="108" t="s">
        <v>197</v>
      </c>
      <c r="V25" s="108" t="s">
        <v>197</v>
      </c>
      <c r="W25" s="108" t="s">
        <v>197</v>
      </c>
      <c r="X25" s="108" t="s">
        <v>197</v>
      </c>
      <c r="Y25" s="108" t="s">
        <v>197</v>
      </c>
      <c r="Z25" s="108" t="s">
        <v>197</v>
      </c>
      <c r="AA25" s="108" t="s">
        <v>197</v>
      </c>
      <c r="AB25" s="108" t="s">
        <v>197</v>
      </c>
      <c r="AC25" s="108" t="s">
        <v>3131</v>
      </c>
      <c r="AD25" s="108" t="s">
        <v>4346</v>
      </c>
      <c r="AE25" s="108" t="s">
        <v>3125</v>
      </c>
      <c r="AF25" s="108" t="s">
        <v>3122</v>
      </c>
      <c r="AG25" s="108" t="s">
        <v>3122</v>
      </c>
      <c r="AH25" s="108" t="s">
        <v>3122</v>
      </c>
      <c r="AI25" s="108" t="s">
        <v>3122</v>
      </c>
      <c r="AJ25" s="108" t="s">
        <v>3122</v>
      </c>
      <c r="AK25" s="108" t="s">
        <v>3122</v>
      </c>
      <c r="AL25" s="108" t="s">
        <v>3122</v>
      </c>
      <c r="AM25" s="108" t="s">
        <v>3122</v>
      </c>
      <c r="AN25" s="108" t="s">
        <v>3122</v>
      </c>
      <c r="AO25" s="108" t="s">
        <v>3122</v>
      </c>
      <c r="AP25" s="108" t="s">
        <v>197</v>
      </c>
      <c r="AQ25" s="108" t="s">
        <v>197</v>
      </c>
      <c r="AR25" s="108" t="s">
        <v>197</v>
      </c>
      <c r="AS25" s="108" t="s">
        <v>197</v>
      </c>
      <c r="AT25" s="108" t="s">
        <v>197</v>
      </c>
      <c r="AU25" s="108" t="s">
        <v>197</v>
      </c>
      <c r="AV25" s="108" t="s">
        <v>197</v>
      </c>
      <c r="AW25" s="108" t="s">
        <v>197</v>
      </c>
      <c r="AX25" s="108" t="s">
        <v>197</v>
      </c>
    </row>
    <row r="26" spans="1:50" x14ac:dyDescent="0.2">
      <c r="A26" s="108" t="s">
        <v>4347</v>
      </c>
      <c r="B26" s="108" t="s">
        <v>197</v>
      </c>
      <c r="C26" s="108" t="s">
        <v>197</v>
      </c>
      <c r="D26" s="108" t="s">
        <v>197</v>
      </c>
      <c r="E26" s="108" t="s">
        <v>197</v>
      </c>
      <c r="F26" s="108" t="s">
        <v>197</v>
      </c>
      <c r="G26" s="108" t="s">
        <v>197</v>
      </c>
      <c r="H26" s="108" t="s">
        <v>197</v>
      </c>
      <c r="I26" s="108" t="s">
        <v>197</v>
      </c>
      <c r="J26" s="108" t="s">
        <v>197</v>
      </c>
      <c r="K26" s="108" t="s">
        <v>197</v>
      </c>
      <c r="L26" s="108" t="s">
        <v>197</v>
      </c>
      <c r="M26" s="108" t="s">
        <v>197</v>
      </c>
      <c r="N26" s="108" t="s">
        <v>197</v>
      </c>
      <c r="O26" s="108" t="s">
        <v>197</v>
      </c>
      <c r="P26" s="108" t="s">
        <v>3124</v>
      </c>
      <c r="Q26" s="108" t="s">
        <v>3124</v>
      </c>
      <c r="R26" s="108" t="s">
        <v>3124</v>
      </c>
      <c r="S26" s="108" t="s">
        <v>3122</v>
      </c>
      <c r="T26" s="108" t="s">
        <v>3124</v>
      </c>
      <c r="U26" s="108" t="s">
        <v>3124</v>
      </c>
      <c r="V26" s="108" t="s">
        <v>3124</v>
      </c>
      <c r="W26" s="108" t="s">
        <v>3122</v>
      </c>
      <c r="X26" s="108" t="s">
        <v>3122</v>
      </c>
      <c r="Y26" s="108" t="s">
        <v>3124</v>
      </c>
      <c r="Z26" s="108" t="s">
        <v>197</v>
      </c>
      <c r="AA26" s="108" t="s">
        <v>197</v>
      </c>
      <c r="AB26" s="108" t="s">
        <v>3124</v>
      </c>
      <c r="AC26" s="108" t="s">
        <v>197</v>
      </c>
      <c r="AD26" s="108" t="s">
        <v>197</v>
      </c>
      <c r="AE26" s="108" t="s">
        <v>197</v>
      </c>
      <c r="AF26" s="108" t="s">
        <v>197</v>
      </c>
      <c r="AG26" s="108" t="s">
        <v>197</v>
      </c>
      <c r="AH26" s="108" t="s">
        <v>197</v>
      </c>
      <c r="AI26" s="108" t="s">
        <v>197</v>
      </c>
      <c r="AJ26" s="108" t="s">
        <v>197</v>
      </c>
      <c r="AK26" s="108" t="s">
        <v>197</v>
      </c>
      <c r="AL26" s="108" t="s">
        <v>197</v>
      </c>
      <c r="AM26" s="108" t="s">
        <v>197</v>
      </c>
      <c r="AN26" s="108" t="s">
        <v>197</v>
      </c>
      <c r="AO26" s="108" t="s">
        <v>197</v>
      </c>
      <c r="AP26" s="108" t="s">
        <v>197</v>
      </c>
      <c r="AQ26" s="108" t="s">
        <v>197</v>
      </c>
      <c r="AR26" s="108" t="s">
        <v>197</v>
      </c>
      <c r="AS26" s="108" t="s">
        <v>197</v>
      </c>
      <c r="AT26" s="108" t="s">
        <v>197</v>
      </c>
      <c r="AU26" s="108" t="s">
        <v>197</v>
      </c>
      <c r="AV26" s="108" t="s">
        <v>197</v>
      </c>
      <c r="AW26" s="108" t="s">
        <v>197</v>
      </c>
      <c r="AX26" s="108" t="s">
        <v>197</v>
      </c>
    </row>
    <row r="27" spans="1:50" x14ac:dyDescent="0.2">
      <c r="A27" s="108" t="s">
        <v>3135</v>
      </c>
      <c r="B27" s="108" t="s">
        <v>197</v>
      </c>
      <c r="C27" s="108" t="s">
        <v>197</v>
      </c>
      <c r="D27" s="108" t="s">
        <v>197</v>
      </c>
      <c r="E27" s="108" t="s">
        <v>197</v>
      </c>
      <c r="F27" s="108" t="s">
        <v>197</v>
      </c>
      <c r="G27" s="108" t="s">
        <v>197</v>
      </c>
      <c r="H27" s="108" t="s">
        <v>197</v>
      </c>
      <c r="I27" s="108" t="s">
        <v>197</v>
      </c>
      <c r="J27" s="108" t="s">
        <v>197</v>
      </c>
      <c r="K27" s="108" t="s">
        <v>197</v>
      </c>
      <c r="L27" s="108" t="s">
        <v>197</v>
      </c>
      <c r="M27" s="108" t="s">
        <v>197</v>
      </c>
      <c r="N27" s="108" t="s">
        <v>197</v>
      </c>
      <c r="O27" s="108" t="s">
        <v>197</v>
      </c>
      <c r="P27" s="108" t="s">
        <v>197</v>
      </c>
      <c r="Q27" s="108" t="s">
        <v>197</v>
      </c>
      <c r="R27" s="108" t="s">
        <v>197</v>
      </c>
      <c r="S27" s="108" t="s">
        <v>197</v>
      </c>
      <c r="T27" s="108" t="s">
        <v>197</v>
      </c>
      <c r="U27" s="108" t="s">
        <v>197</v>
      </c>
      <c r="V27" s="108" t="s">
        <v>197</v>
      </c>
      <c r="W27" s="108" t="s">
        <v>197</v>
      </c>
      <c r="X27" s="108" t="s">
        <v>197</v>
      </c>
      <c r="Y27" s="108" t="s">
        <v>197</v>
      </c>
      <c r="Z27" s="108" t="s">
        <v>197</v>
      </c>
      <c r="AA27" s="108" t="s">
        <v>197</v>
      </c>
      <c r="AB27" s="108" t="s">
        <v>197</v>
      </c>
      <c r="AC27" s="108" t="s">
        <v>197</v>
      </c>
      <c r="AD27" s="108" t="s">
        <v>197</v>
      </c>
      <c r="AE27" s="108" t="s">
        <v>197</v>
      </c>
      <c r="AF27" s="108" t="s">
        <v>197</v>
      </c>
      <c r="AG27" s="108" t="s">
        <v>197</v>
      </c>
      <c r="AH27" s="108" t="s">
        <v>197</v>
      </c>
      <c r="AI27" s="108" t="s">
        <v>197</v>
      </c>
      <c r="AJ27" s="108" t="s">
        <v>197</v>
      </c>
      <c r="AK27" s="108" t="s">
        <v>197</v>
      </c>
      <c r="AL27" s="108" t="s">
        <v>197</v>
      </c>
      <c r="AM27" s="108" t="s">
        <v>197</v>
      </c>
      <c r="AN27" s="108" t="s">
        <v>197</v>
      </c>
      <c r="AO27" s="108" t="s">
        <v>197</v>
      </c>
      <c r="AP27" s="108" t="s">
        <v>197</v>
      </c>
      <c r="AQ27" s="108" t="s">
        <v>197</v>
      </c>
      <c r="AR27" s="108" t="s">
        <v>197</v>
      </c>
      <c r="AS27" s="108" t="s">
        <v>197</v>
      </c>
      <c r="AT27" s="108" t="s">
        <v>197</v>
      </c>
      <c r="AU27" s="108" t="s">
        <v>197</v>
      </c>
      <c r="AV27" s="108" t="s">
        <v>197</v>
      </c>
      <c r="AW27" s="108" t="s">
        <v>197</v>
      </c>
      <c r="AX27" s="108" t="s">
        <v>197</v>
      </c>
    </row>
    <row r="28" spans="1:50" x14ac:dyDescent="0.2">
      <c r="A28" s="108" t="s">
        <v>3135</v>
      </c>
      <c r="B28" s="108" t="s">
        <v>197</v>
      </c>
      <c r="C28" s="108" t="s">
        <v>197</v>
      </c>
      <c r="D28" s="108" t="s">
        <v>197</v>
      </c>
      <c r="E28" s="108" t="s">
        <v>197</v>
      </c>
      <c r="F28" s="108" t="s">
        <v>197</v>
      </c>
      <c r="G28" s="108" t="s">
        <v>197</v>
      </c>
      <c r="H28" s="108" t="s">
        <v>197</v>
      </c>
      <c r="I28" s="108" t="s">
        <v>197</v>
      </c>
      <c r="J28" s="108" t="s">
        <v>197</v>
      </c>
      <c r="K28" s="108" t="s">
        <v>197</v>
      </c>
      <c r="L28" s="108" t="s">
        <v>197</v>
      </c>
      <c r="M28" s="108" t="s">
        <v>197</v>
      </c>
      <c r="N28" s="108" t="s">
        <v>197</v>
      </c>
      <c r="O28" s="108" t="s">
        <v>197</v>
      </c>
      <c r="P28" s="108" t="s">
        <v>197</v>
      </c>
      <c r="Q28" s="108" t="s">
        <v>197</v>
      </c>
      <c r="R28" s="108" t="s">
        <v>197</v>
      </c>
      <c r="S28" s="108" t="s">
        <v>197</v>
      </c>
      <c r="T28" s="108" t="s">
        <v>197</v>
      </c>
      <c r="U28" s="108" t="s">
        <v>197</v>
      </c>
      <c r="V28" s="108" t="s">
        <v>197</v>
      </c>
      <c r="W28" s="108" t="s">
        <v>197</v>
      </c>
      <c r="X28" s="108" t="s">
        <v>197</v>
      </c>
      <c r="Y28" s="108" t="s">
        <v>197</v>
      </c>
      <c r="Z28" s="108" t="s">
        <v>197</v>
      </c>
      <c r="AA28" s="108" t="s">
        <v>197</v>
      </c>
      <c r="AB28" s="108" t="s">
        <v>197</v>
      </c>
      <c r="AC28" s="108" t="s">
        <v>197</v>
      </c>
      <c r="AD28" s="108" t="s">
        <v>197</v>
      </c>
      <c r="AE28" s="108" t="s">
        <v>197</v>
      </c>
      <c r="AF28" s="108" t="s">
        <v>197</v>
      </c>
      <c r="AG28" s="108" t="s">
        <v>197</v>
      </c>
      <c r="AH28" s="108" t="s">
        <v>197</v>
      </c>
      <c r="AI28" s="108" t="s">
        <v>197</v>
      </c>
      <c r="AJ28" s="108" t="s">
        <v>197</v>
      </c>
      <c r="AK28" s="108" t="s">
        <v>197</v>
      </c>
      <c r="AL28" s="108" t="s">
        <v>197</v>
      </c>
      <c r="AM28" s="108" t="s">
        <v>197</v>
      </c>
      <c r="AN28" s="108" t="s">
        <v>197</v>
      </c>
      <c r="AO28" s="108" t="s">
        <v>197</v>
      </c>
      <c r="AP28" s="108" t="s">
        <v>197</v>
      </c>
      <c r="AQ28" s="108" t="s">
        <v>197</v>
      </c>
      <c r="AR28" s="108" t="s">
        <v>197</v>
      </c>
      <c r="AS28" s="108" t="s">
        <v>197</v>
      </c>
      <c r="AT28" s="108" t="s">
        <v>197</v>
      </c>
      <c r="AU28" s="108" t="s">
        <v>197</v>
      </c>
      <c r="AV28" s="108" t="s">
        <v>197</v>
      </c>
      <c r="AW28" s="108" t="s">
        <v>197</v>
      </c>
      <c r="AX28" s="108" t="s">
        <v>197</v>
      </c>
    </row>
    <row r="29" spans="1:50" x14ac:dyDescent="0.2">
      <c r="A29" s="108" t="s">
        <v>3135</v>
      </c>
      <c r="B29" s="108" t="s">
        <v>197</v>
      </c>
      <c r="C29" s="108" t="s">
        <v>197</v>
      </c>
      <c r="D29" s="108" t="s">
        <v>197</v>
      </c>
      <c r="E29" s="108" t="s">
        <v>197</v>
      </c>
      <c r="F29" s="108" t="s">
        <v>197</v>
      </c>
      <c r="G29" s="108" t="s">
        <v>197</v>
      </c>
      <c r="H29" s="108" t="s">
        <v>197</v>
      </c>
      <c r="I29" s="108" t="s">
        <v>197</v>
      </c>
      <c r="J29" s="108" t="s">
        <v>197</v>
      </c>
      <c r="K29" s="108" t="s">
        <v>197</v>
      </c>
      <c r="L29" s="108" t="s">
        <v>197</v>
      </c>
      <c r="M29" s="108" t="s">
        <v>197</v>
      </c>
      <c r="N29" s="108" t="s">
        <v>197</v>
      </c>
      <c r="O29" s="108" t="s">
        <v>197</v>
      </c>
      <c r="P29" s="108" t="s">
        <v>197</v>
      </c>
      <c r="Q29" s="108" t="s">
        <v>197</v>
      </c>
      <c r="R29" s="108" t="s">
        <v>197</v>
      </c>
      <c r="S29" s="108" t="s">
        <v>197</v>
      </c>
      <c r="T29" s="108" t="s">
        <v>197</v>
      </c>
      <c r="U29" s="108" t="s">
        <v>197</v>
      </c>
      <c r="V29" s="108" t="s">
        <v>197</v>
      </c>
      <c r="W29" s="108" t="s">
        <v>197</v>
      </c>
      <c r="X29" s="108" t="s">
        <v>197</v>
      </c>
      <c r="Y29" s="108" t="s">
        <v>197</v>
      </c>
      <c r="Z29" s="108" t="s">
        <v>197</v>
      </c>
      <c r="AA29" s="108" t="s">
        <v>197</v>
      </c>
      <c r="AB29" s="108" t="s">
        <v>197</v>
      </c>
      <c r="AC29" s="108" t="s">
        <v>197</v>
      </c>
      <c r="AD29" s="108" t="s">
        <v>197</v>
      </c>
      <c r="AE29" s="108" t="s">
        <v>197</v>
      </c>
      <c r="AF29" s="108" t="s">
        <v>197</v>
      </c>
      <c r="AG29" s="108" t="s">
        <v>197</v>
      </c>
      <c r="AH29" s="108" t="s">
        <v>197</v>
      </c>
      <c r="AI29" s="108" t="s">
        <v>197</v>
      </c>
      <c r="AJ29" s="108" t="s">
        <v>197</v>
      </c>
      <c r="AK29" s="108" t="s">
        <v>197</v>
      </c>
      <c r="AL29" s="108" t="s">
        <v>197</v>
      </c>
      <c r="AM29" s="108" t="s">
        <v>197</v>
      </c>
      <c r="AN29" s="108" t="s">
        <v>197</v>
      </c>
      <c r="AO29" s="108" t="s">
        <v>197</v>
      </c>
      <c r="AP29" s="108" t="s">
        <v>197</v>
      </c>
      <c r="AQ29" s="108" t="s">
        <v>197</v>
      </c>
      <c r="AR29" s="108" t="s">
        <v>197</v>
      </c>
      <c r="AS29" s="108" t="s">
        <v>197</v>
      </c>
      <c r="AT29" s="108" t="s">
        <v>197</v>
      </c>
      <c r="AU29" s="108" t="s">
        <v>197</v>
      </c>
      <c r="AV29" s="108" t="s">
        <v>197</v>
      </c>
      <c r="AW29" s="108" t="s">
        <v>197</v>
      </c>
      <c r="AX29" s="108" t="s">
        <v>197</v>
      </c>
    </row>
    <row r="30" spans="1:50" x14ac:dyDescent="0.2">
      <c r="A30" s="108" t="s">
        <v>3140</v>
      </c>
      <c r="B30" s="108" t="s">
        <v>4348</v>
      </c>
      <c r="C30" s="108" t="s">
        <v>3141</v>
      </c>
      <c r="D30" s="108" t="s">
        <v>4560</v>
      </c>
      <c r="E30" s="108" t="s">
        <v>4633</v>
      </c>
      <c r="F30" s="108" t="s">
        <v>4633</v>
      </c>
      <c r="G30" s="108" t="s">
        <v>4633</v>
      </c>
      <c r="H30" s="108" t="s">
        <v>4633</v>
      </c>
      <c r="I30" s="108" t="s">
        <v>197</v>
      </c>
      <c r="J30" s="108" t="s">
        <v>197</v>
      </c>
      <c r="K30" s="108" t="s">
        <v>197</v>
      </c>
      <c r="L30" s="108" t="s">
        <v>197</v>
      </c>
      <c r="M30" s="108" t="s">
        <v>197</v>
      </c>
      <c r="N30" s="108" t="s">
        <v>197</v>
      </c>
      <c r="O30" s="108" t="s">
        <v>197</v>
      </c>
      <c r="P30" s="108" t="s">
        <v>197</v>
      </c>
      <c r="Q30" s="108" t="s">
        <v>197</v>
      </c>
      <c r="R30" s="108" t="s">
        <v>197</v>
      </c>
      <c r="S30" s="108" t="s">
        <v>197</v>
      </c>
      <c r="T30" s="108" t="s">
        <v>197</v>
      </c>
      <c r="U30" s="108" t="s">
        <v>197</v>
      </c>
      <c r="V30" s="108" t="s">
        <v>197</v>
      </c>
      <c r="W30" s="108" t="s">
        <v>197</v>
      </c>
      <c r="X30" s="108" t="s">
        <v>197</v>
      </c>
      <c r="Y30" s="108" t="s">
        <v>197</v>
      </c>
      <c r="Z30" s="108" t="s">
        <v>197</v>
      </c>
      <c r="AA30" s="108" t="s">
        <v>197</v>
      </c>
      <c r="AB30" s="108" t="s">
        <v>197</v>
      </c>
      <c r="AC30" s="108" t="s">
        <v>197</v>
      </c>
      <c r="AD30" s="108" t="s">
        <v>197</v>
      </c>
      <c r="AE30" s="108" t="s">
        <v>197</v>
      </c>
      <c r="AF30" s="108" t="s">
        <v>197</v>
      </c>
      <c r="AG30" s="108" t="s">
        <v>197</v>
      </c>
      <c r="AH30" s="108" t="s">
        <v>197</v>
      </c>
      <c r="AI30" s="108" t="s">
        <v>197</v>
      </c>
      <c r="AJ30" s="108" t="s">
        <v>197</v>
      </c>
      <c r="AK30" s="108" t="s">
        <v>197</v>
      </c>
      <c r="AL30" s="108" t="s">
        <v>197</v>
      </c>
      <c r="AM30" s="108" t="s">
        <v>197</v>
      </c>
      <c r="AN30" s="108" t="s">
        <v>197</v>
      </c>
      <c r="AO30" s="108" t="s">
        <v>197</v>
      </c>
      <c r="AP30" s="108" t="s">
        <v>197</v>
      </c>
      <c r="AQ30" s="108" t="s">
        <v>197</v>
      </c>
      <c r="AR30" s="108" t="s">
        <v>197</v>
      </c>
      <c r="AS30" s="108" t="s">
        <v>197</v>
      </c>
      <c r="AT30" s="108" t="s">
        <v>197</v>
      </c>
      <c r="AU30" s="108" t="s">
        <v>197</v>
      </c>
      <c r="AV30" s="108" t="s">
        <v>197</v>
      </c>
      <c r="AW30" s="108" t="s">
        <v>197</v>
      </c>
      <c r="AX30" s="108" t="s">
        <v>197</v>
      </c>
    </row>
    <row r="31" spans="1:50" x14ac:dyDescent="0.2">
      <c r="A31" s="108" t="s">
        <v>4349</v>
      </c>
      <c r="B31" s="108" t="s">
        <v>3121</v>
      </c>
      <c r="C31" s="108" t="s">
        <v>3121</v>
      </c>
      <c r="D31" s="108" t="s">
        <v>3121</v>
      </c>
      <c r="E31" s="108" t="s">
        <v>3121</v>
      </c>
      <c r="F31" s="108" t="s">
        <v>197</v>
      </c>
      <c r="G31" s="108" t="s">
        <v>197</v>
      </c>
      <c r="H31" s="108" t="s">
        <v>197</v>
      </c>
      <c r="I31" s="108" t="s">
        <v>197</v>
      </c>
      <c r="J31" s="108" t="s">
        <v>197</v>
      </c>
      <c r="K31" s="108" t="s">
        <v>197</v>
      </c>
      <c r="L31" s="108" t="s">
        <v>197</v>
      </c>
      <c r="M31" s="108" t="s">
        <v>197</v>
      </c>
      <c r="N31" s="108" t="s">
        <v>197</v>
      </c>
      <c r="O31" s="108" t="s">
        <v>197</v>
      </c>
      <c r="P31" s="108" t="s">
        <v>197</v>
      </c>
      <c r="Q31" s="108" t="s">
        <v>197</v>
      </c>
      <c r="R31" s="108" t="s">
        <v>197</v>
      </c>
      <c r="S31" s="108" t="s">
        <v>197</v>
      </c>
      <c r="T31" s="108" t="s">
        <v>197</v>
      </c>
      <c r="U31" s="108" t="s">
        <v>197</v>
      </c>
      <c r="V31" s="108" t="s">
        <v>197</v>
      </c>
      <c r="W31" s="108" t="s">
        <v>197</v>
      </c>
      <c r="X31" s="108" t="s">
        <v>197</v>
      </c>
      <c r="Y31" s="108" t="s">
        <v>197</v>
      </c>
      <c r="Z31" s="108" t="s">
        <v>197</v>
      </c>
      <c r="AA31" s="108" t="s">
        <v>197</v>
      </c>
      <c r="AB31" s="108" t="s">
        <v>197</v>
      </c>
      <c r="AC31" s="108" t="s">
        <v>197</v>
      </c>
      <c r="AD31" s="108" t="s">
        <v>197</v>
      </c>
      <c r="AE31" s="108" t="s">
        <v>197</v>
      </c>
      <c r="AF31" s="108" t="s">
        <v>197</v>
      </c>
      <c r="AG31" s="108" t="s">
        <v>197</v>
      </c>
      <c r="AH31" s="108" t="s">
        <v>197</v>
      </c>
      <c r="AI31" s="108" t="s">
        <v>197</v>
      </c>
      <c r="AJ31" s="108" t="s">
        <v>197</v>
      </c>
      <c r="AK31" s="108" t="s">
        <v>197</v>
      </c>
      <c r="AL31" s="108" t="s">
        <v>197</v>
      </c>
      <c r="AM31" s="108" t="s">
        <v>197</v>
      </c>
      <c r="AN31" s="108" t="s">
        <v>197</v>
      </c>
      <c r="AO31" s="108" t="s">
        <v>197</v>
      </c>
      <c r="AP31" s="108" t="s">
        <v>197</v>
      </c>
      <c r="AQ31" s="108" t="s">
        <v>197</v>
      </c>
      <c r="AR31" s="108" t="s">
        <v>197</v>
      </c>
      <c r="AS31" s="108" t="s">
        <v>197</v>
      </c>
      <c r="AT31" s="108" t="s">
        <v>197</v>
      </c>
      <c r="AU31" s="108" t="s">
        <v>197</v>
      </c>
      <c r="AV31" s="108" t="s">
        <v>197</v>
      </c>
      <c r="AW31" s="108" t="s">
        <v>197</v>
      </c>
      <c r="AX31" s="108" t="s">
        <v>197</v>
      </c>
    </row>
    <row r="32" spans="1:50" x14ac:dyDescent="0.2">
      <c r="A32" s="108" t="s">
        <v>197</v>
      </c>
      <c r="B32" s="108" t="s">
        <v>197</v>
      </c>
      <c r="C32" s="108" t="s">
        <v>197</v>
      </c>
      <c r="D32" s="108" t="s">
        <v>197</v>
      </c>
      <c r="E32" s="108" t="s">
        <v>197</v>
      </c>
      <c r="F32" s="108" t="s">
        <v>197</v>
      </c>
      <c r="G32" s="108" t="s">
        <v>197</v>
      </c>
      <c r="H32" s="108" t="s">
        <v>197</v>
      </c>
      <c r="I32" s="108" t="s">
        <v>197</v>
      </c>
      <c r="J32" s="108" t="s">
        <v>197</v>
      </c>
      <c r="K32" s="108" t="s">
        <v>197</v>
      </c>
      <c r="L32" s="108" t="s">
        <v>197</v>
      </c>
      <c r="M32" s="108" t="s">
        <v>197</v>
      </c>
      <c r="N32" s="108" t="s">
        <v>197</v>
      </c>
      <c r="O32" s="108" t="s">
        <v>197</v>
      </c>
      <c r="P32" s="108" t="s">
        <v>197</v>
      </c>
      <c r="Q32" s="108" t="s">
        <v>197</v>
      </c>
      <c r="R32" s="108" t="s">
        <v>197</v>
      </c>
      <c r="S32" s="108" t="s">
        <v>197</v>
      </c>
      <c r="T32" s="108" t="s">
        <v>197</v>
      </c>
      <c r="U32" s="108" t="s">
        <v>197</v>
      </c>
      <c r="V32" s="108" t="s">
        <v>197</v>
      </c>
      <c r="W32" s="108" t="s">
        <v>197</v>
      </c>
      <c r="X32" s="108" t="s">
        <v>197</v>
      </c>
      <c r="Y32" s="108" t="s">
        <v>197</v>
      </c>
      <c r="Z32" s="108" t="s">
        <v>197</v>
      </c>
      <c r="AA32" s="108" t="s">
        <v>197</v>
      </c>
      <c r="AB32" s="108" t="s">
        <v>197</v>
      </c>
      <c r="AC32" s="108" t="s">
        <v>197</v>
      </c>
      <c r="AD32" s="108" t="s">
        <v>197</v>
      </c>
      <c r="AE32" s="108" t="s">
        <v>197</v>
      </c>
      <c r="AF32" s="108" t="s">
        <v>197</v>
      </c>
      <c r="AG32" s="108" t="s">
        <v>197</v>
      </c>
      <c r="AH32" s="108" t="s">
        <v>197</v>
      </c>
      <c r="AI32" s="108" t="s">
        <v>197</v>
      </c>
      <c r="AJ32" s="108" t="s">
        <v>197</v>
      </c>
      <c r="AK32" s="108" t="s">
        <v>197</v>
      </c>
      <c r="AL32" s="108" t="s">
        <v>197</v>
      </c>
      <c r="AM32" s="108" t="s">
        <v>197</v>
      </c>
      <c r="AN32" s="108" t="s">
        <v>197</v>
      </c>
      <c r="AO32" s="108" t="s">
        <v>197</v>
      </c>
      <c r="AP32" s="108" t="s">
        <v>197</v>
      </c>
      <c r="AQ32" s="108" t="s">
        <v>197</v>
      </c>
      <c r="AR32" s="108" t="s">
        <v>197</v>
      </c>
      <c r="AS32" s="108" t="s">
        <v>197</v>
      </c>
      <c r="AT32" s="108" t="s">
        <v>197</v>
      </c>
      <c r="AU32" s="108" t="s">
        <v>197</v>
      </c>
      <c r="AV32" s="108" t="s">
        <v>197</v>
      </c>
      <c r="AW32" s="108" t="s">
        <v>197</v>
      </c>
      <c r="AX32" s="108" t="s">
        <v>197</v>
      </c>
    </row>
    <row r="33" spans="1:50" x14ac:dyDescent="0.2">
      <c r="A33" s="108" t="s">
        <v>4020</v>
      </c>
      <c r="B33" s="108" t="s">
        <v>14230</v>
      </c>
      <c r="C33" s="108" t="s">
        <v>4003</v>
      </c>
      <c r="D33" s="426" t="s">
        <v>15205</v>
      </c>
      <c r="E33" s="108" t="s">
        <v>4357</v>
      </c>
      <c r="F33" s="108" t="s">
        <v>197</v>
      </c>
      <c r="G33" s="108" t="s">
        <v>197</v>
      </c>
      <c r="H33" s="108" t="s">
        <v>197</v>
      </c>
      <c r="I33" s="108" t="s">
        <v>197</v>
      </c>
      <c r="J33" s="108" t="s">
        <v>197</v>
      </c>
      <c r="K33" s="108" t="s">
        <v>197</v>
      </c>
      <c r="L33" s="108" t="s">
        <v>197</v>
      </c>
      <c r="M33" s="108" t="s">
        <v>197</v>
      </c>
      <c r="N33" s="108" t="s">
        <v>197</v>
      </c>
      <c r="O33" s="108" t="s">
        <v>197</v>
      </c>
      <c r="P33" s="108" t="s">
        <v>197</v>
      </c>
      <c r="Q33" s="108" t="s">
        <v>197</v>
      </c>
      <c r="R33" s="108" t="s">
        <v>197</v>
      </c>
      <c r="S33" s="108" t="s">
        <v>197</v>
      </c>
      <c r="T33" s="108" t="s">
        <v>197</v>
      </c>
      <c r="U33" s="108" t="s">
        <v>197</v>
      </c>
      <c r="V33" s="108" t="s">
        <v>197</v>
      </c>
      <c r="W33" s="108" t="s">
        <v>197</v>
      </c>
      <c r="X33" s="108" t="s">
        <v>197</v>
      </c>
      <c r="Y33" s="108" t="s">
        <v>197</v>
      </c>
      <c r="Z33" s="108" t="s">
        <v>197</v>
      </c>
      <c r="AA33" s="108" t="s">
        <v>197</v>
      </c>
      <c r="AB33" s="108" t="s">
        <v>197</v>
      </c>
      <c r="AC33" s="108" t="s">
        <v>197</v>
      </c>
      <c r="AD33" s="108" t="s">
        <v>197</v>
      </c>
      <c r="AE33" s="108" t="s">
        <v>197</v>
      </c>
      <c r="AF33" s="108" t="s">
        <v>197</v>
      </c>
      <c r="AG33" s="108" t="s">
        <v>197</v>
      </c>
      <c r="AH33" s="108" t="s">
        <v>197</v>
      </c>
      <c r="AI33" s="108" t="s">
        <v>197</v>
      </c>
      <c r="AJ33" s="108" t="s">
        <v>197</v>
      </c>
      <c r="AK33" s="108" t="s">
        <v>197</v>
      </c>
      <c r="AL33" s="108" t="s">
        <v>197</v>
      </c>
      <c r="AM33" s="108" t="s">
        <v>197</v>
      </c>
      <c r="AN33" s="108" t="s">
        <v>197</v>
      </c>
      <c r="AO33" s="108" t="s">
        <v>197</v>
      </c>
      <c r="AP33" s="108" t="s">
        <v>197</v>
      </c>
      <c r="AQ33" s="108" t="s">
        <v>197</v>
      </c>
      <c r="AR33" s="108" t="s">
        <v>197</v>
      </c>
      <c r="AS33" s="108" t="s">
        <v>197</v>
      </c>
      <c r="AT33" s="108" t="s">
        <v>197</v>
      </c>
      <c r="AU33" s="108" t="s">
        <v>197</v>
      </c>
      <c r="AV33" s="108" t="s">
        <v>197</v>
      </c>
      <c r="AW33" s="108" t="s">
        <v>197</v>
      </c>
      <c r="AX33" s="108" t="s">
        <v>197</v>
      </c>
    </row>
    <row r="34" spans="1:50" x14ac:dyDescent="0.2">
      <c r="A34" s="108" t="s">
        <v>4021</v>
      </c>
      <c r="B34" s="108" t="s">
        <v>14230</v>
      </c>
      <c r="C34" s="108" t="s">
        <v>4003</v>
      </c>
      <c r="D34" s="426" t="s">
        <v>15205</v>
      </c>
      <c r="E34" s="108" t="s">
        <v>4357</v>
      </c>
      <c r="F34" s="108" t="s">
        <v>197</v>
      </c>
      <c r="G34" s="108" t="s">
        <v>197</v>
      </c>
      <c r="H34" s="108" t="s">
        <v>197</v>
      </c>
      <c r="I34" s="108" t="s">
        <v>197</v>
      </c>
      <c r="J34" s="108" t="s">
        <v>197</v>
      </c>
      <c r="K34" s="108" t="s">
        <v>197</v>
      </c>
      <c r="L34" s="108" t="s">
        <v>197</v>
      </c>
      <c r="M34" s="108" t="s">
        <v>197</v>
      </c>
      <c r="N34" s="108" t="s">
        <v>197</v>
      </c>
      <c r="O34" s="108" t="s">
        <v>197</v>
      </c>
      <c r="P34" s="108" t="s">
        <v>197</v>
      </c>
      <c r="Q34" s="108" t="s">
        <v>197</v>
      </c>
      <c r="R34" s="108" t="s">
        <v>197</v>
      </c>
      <c r="S34" s="108" t="s">
        <v>197</v>
      </c>
      <c r="T34" s="108" t="s">
        <v>197</v>
      </c>
      <c r="U34" s="108" t="s">
        <v>197</v>
      </c>
      <c r="V34" s="108" t="s">
        <v>197</v>
      </c>
      <c r="W34" s="108" t="s">
        <v>197</v>
      </c>
      <c r="X34" s="108" t="s">
        <v>197</v>
      </c>
      <c r="Y34" s="108" t="s">
        <v>197</v>
      </c>
      <c r="Z34" s="108" t="s">
        <v>197</v>
      </c>
      <c r="AA34" s="108" t="s">
        <v>197</v>
      </c>
      <c r="AB34" s="108" t="s">
        <v>197</v>
      </c>
      <c r="AC34" s="108" t="s">
        <v>197</v>
      </c>
      <c r="AD34" s="108" t="s">
        <v>197</v>
      </c>
      <c r="AE34" s="108" t="s">
        <v>197</v>
      </c>
      <c r="AF34" s="108" t="s">
        <v>197</v>
      </c>
      <c r="AG34" s="108" t="s">
        <v>197</v>
      </c>
      <c r="AH34" s="108" t="s">
        <v>197</v>
      </c>
      <c r="AI34" s="108" t="s">
        <v>197</v>
      </c>
      <c r="AJ34" s="108" t="s">
        <v>197</v>
      </c>
      <c r="AK34" s="108" t="s">
        <v>197</v>
      </c>
      <c r="AL34" s="108" t="s">
        <v>197</v>
      </c>
      <c r="AM34" s="108" t="s">
        <v>197</v>
      </c>
      <c r="AN34" s="108" t="s">
        <v>197</v>
      </c>
      <c r="AO34" s="108" t="s">
        <v>197</v>
      </c>
      <c r="AP34" s="108" t="s">
        <v>197</v>
      </c>
      <c r="AQ34" s="108" t="s">
        <v>197</v>
      </c>
      <c r="AR34" s="108" t="s">
        <v>197</v>
      </c>
      <c r="AS34" s="108" t="s">
        <v>197</v>
      </c>
      <c r="AT34" s="108" t="s">
        <v>197</v>
      </c>
      <c r="AU34" s="108" t="s">
        <v>197</v>
      </c>
      <c r="AV34" s="108" t="s">
        <v>197</v>
      </c>
      <c r="AW34" s="108" t="s">
        <v>197</v>
      </c>
      <c r="AX34" s="108" t="s">
        <v>197</v>
      </c>
    </row>
    <row r="35" spans="1:50" x14ac:dyDescent="0.2">
      <c r="A35" s="108" t="s">
        <v>4012</v>
      </c>
      <c r="B35" s="108" t="s">
        <v>14230</v>
      </c>
      <c r="C35" s="108" t="s">
        <v>4003</v>
      </c>
      <c r="D35" s="426" t="s">
        <v>15205</v>
      </c>
      <c r="E35" s="108" t="s">
        <v>4357</v>
      </c>
      <c r="F35" s="108" t="s">
        <v>197</v>
      </c>
      <c r="G35" s="108" t="s">
        <v>197</v>
      </c>
      <c r="H35" s="108" t="s">
        <v>197</v>
      </c>
      <c r="I35" s="108" t="s">
        <v>197</v>
      </c>
      <c r="J35" s="108" t="s">
        <v>197</v>
      </c>
      <c r="K35" s="108" t="s">
        <v>197</v>
      </c>
      <c r="L35" s="108" t="s">
        <v>197</v>
      </c>
      <c r="M35" s="108" t="s">
        <v>197</v>
      </c>
      <c r="N35" s="108" t="s">
        <v>197</v>
      </c>
      <c r="O35" s="108" t="s">
        <v>197</v>
      </c>
      <c r="P35" s="108" t="s">
        <v>197</v>
      </c>
      <c r="Q35" s="108" t="s">
        <v>197</v>
      </c>
      <c r="R35" s="108" t="s">
        <v>197</v>
      </c>
      <c r="S35" s="108" t="s">
        <v>197</v>
      </c>
      <c r="T35" s="108" t="s">
        <v>197</v>
      </c>
      <c r="U35" s="108" t="s">
        <v>197</v>
      </c>
      <c r="V35" s="108" t="s">
        <v>197</v>
      </c>
      <c r="W35" s="108" t="s">
        <v>197</v>
      </c>
      <c r="X35" s="108" t="s">
        <v>197</v>
      </c>
      <c r="Y35" s="108" t="s">
        <v>197</v>
      </c>
      <c r="Z35" s="108" t="s">
        <v>197</v>
      </c>
      <c r="AA35" s="108" t="s">
        <v>197</v>
      </c>
      <c r="AB35" s="108" t="s">
        <v>197</v>
      </c>
      <c r="AC35" s="108" t="s">
        <v>197</v>
      </c>
      <c r="AD35" s="108" t="s">
        <v>197</v>
      </c>
      <c r="AE35" s="108" t="s">
        <v>197</v>
      </c>
      <c r="AF35" s="108" t="s">
        <v>197</v>
      </c>
      <c r="AG35" s="108" t="s">
        <v>197</v>
      </c>
      <c r="AH35" s="108" t="s">
        <v>197</v>
      </c>
      <c r="AI35" s="108" t="s">
        <v>197</v>
      </c>
      <c r="AJ35" s="108" t="s">
        <v>197</v>
      </c>
      <c r="AK35" s="108" t="s">
        <v>197</v>
      </c>
      <c r="AL35" s="108" t="s">
        <v>197</v>
      </c>
      <c r="AM35" s="108" t="s">
        <v>197</v>
      </c>
      <c r="AN35" s="108" t="s">
        <v>197</v>
      </c>
      <c r="AO35" s="108" t="s">
        <v>197</v>
      </c>
      <c r="AP35" s="108" t="s">
        <v>197</v>
      </c>
      <c r="AQ35" s="108" t="s">
        <v>197</v>
      </c>
      <c r="AR35" s="108" t="s">
        <v>197</v>
      </c>
      <c r="AS35" s="108" t="s">
        <v>197</v>
      </c>
      <c r="AT35" s="108" t="s">
        <v>197</v>
      </c>
      <c r="AU35" s="108" t="s">
        <v>197</v>
      </c>
      <c r="AV35" s="108" t="s">
        <v>197</v>
      </c>
      <c r="AW35" s="108" t="s">
        <v>197</v>
      </c>
      <c r="AX35" s="108" t="s">
        <v>197</v>
      </c>
    </row>
    <row r="36" spans="1:50" x14ac:dyDescent="0.2">
      <c r="A36" s="108" t="s">
        <v>4022</v>
      </c>
      <c r="B36" s="108" t="s">
        <v>14230</v>
      </c>
      <c r="C36" s="108" t="s">
        <v>4003</v>
      </c>
      <c r="D36" s="426" t="s">
        <v>15205</v>
      </c>
      <c r="E36" s="108" t="s">
        <v>4357</v>
      </c>
      <c r="F36" s="108" t="s">
        <v>197</v>
      </c>
      <c r="G36" s="108" t="s">
        <v>197</v>
      </c>
      <c r="H36" s="108" t="s">
        <v>197</v>
      </c>
      <c r="I36" s="108" t="s">
        <v>197</v>
      </c>
      <c r="J36" s="108" t="s">
        <v>197</v>
      </c>
      <c r="K36" s="108" t="s">
        <v>197</v>
      </c>
      <c r="L36" s="108" t="s">
        <v>197</v>
      </c>
      <c r="M36" s="108" t="s">
        <v>197</v>
      </c>
      <c r="N36" s="108" t="s">
        <v>197</v>
      </c>
      <c r="O36" s="108" t="s">
        <v>197</v>
      </c>
      <c r="P36" s="108" t="s">
        <v>197</v>
      </c>
      <c r="Q36" s="108" t="s">
        <v>197</v>
      </c>
      <c r="R36" s="108" t="s">
        <v>197</v>
      </c>
      <c r="S36" s="108" t="s">
        <v>197</v>
      </c>
      <c r="T36" s="108" t="s">
        <v>197</v>
      </c>
      <c r="U36" s="108" t="s">
        <v>197</v>
      </c>
      <c r="V36" s="108" t="s">
        <v>197</v>
      </c>
      <c r="W36" s="108" t="s">
        <v>197</v>
      </c>
      <c r="X36" s="108" t="s">
        <v>197</v>
      </c>
      <c r="Y36" s="108" t="s">
        <v>197</v>
      </c>
      <c r="Z36" s="108" t="s">
        <v>197</v>
      </c>
      <c r="AA36" s="108" t="s">
        <v>197</v>
      </c>
      <c r="AB36" s="108" t="s">
        <v>197</v>
      </c>
      <c r="AC36" s="108" t="s">
        <v>197</v>
      </c>
      <c r="AD36" s="108" t="s">
        <v>197</v>
      </c>
      <c r="AE36" s="108" t="s">
        <v>197</v>
      </c>
      <c r="AF36" s="108" t="s">
        <v>197</v>
      </c>
      <c r="AG36" s="108" t="s">
        <v>197</v>
      </c>
      <c r="AH36" s="108" t="s">
        <v>197</v>
      </c>
      <c r="AI36" s="108" t="s">
        <v>197</v>
      </c>
      <c r="AJ36" s="108" t="s">
        <v>197</v>
      </c>
      <c r="AK36" s="108" t="s">
        <v>197</v>
      </c>
      <c r="AL36" s="108" t="s">
        <v>197</v>
      </c>
      <c r="AM36" s="108" t="s">
        <v>197</v>
      </c>
      <c r="AN36" s="108" t="s">
        <v>197</v>
      </c>
      <c r="AO36" s="108" t="s">
        <v>197</v>
      </c>
      <c r="AP36" s="108" t="s">
        <v>197</v>
      </c>
      <c r="AQ36" s="108" t="s">
        <v>197</v>
      </c>
      <c r="AR36" s="108" t="s">
        <v>197</v>
      </c>
      <c r="AS36" s="108" t="s">
        <v>197</v>
      </c>
      <c r="AT36" s="108" t="s">
        <v>197</v>
      </c>
      <c r="AU36" s="108" t="s">
        <v>197</v>
      </c>
      <c r="AV36" s="108" t="s">
        <v>197</v>
      </c>
      <c r="AW36" s="108" t="s">
        <v>197</v>
      </c>
      <c r="AX36" s="108" t="s">
        <v>197</v>
      </c>
    </row>
    <row r="37" spans="1:50" x14ac:dyDescent="0.2">
      <c r="A37" s="108" t="s">
        <v>4023</v>
      </c>
      <c r="B37" s="108" t="s">
        <v>14230</v>
      </c>
      <c r="C37" s="108" t="s">
        <v>4003</v>
      </c>
      <c r="D37" s="426" t="s">
        <v>15205</v>
      </c>
      <c r="E37" s="108" t="s">
        <v>4357</v>
      </c>
      <c r="F37" s="108" t="s">
        <v>197</v>
      </c>
      <c r="G37" s="108" t="s">
        <v>197</v>
      </c>
      <c r="H37" s="108" t="s">
        <v>197</v>
      </c>
      <c r="I37" s="108" t="s">
        <v>197</v>
      </c>
      <c r="J37" s="108" t="s">
        <v>197</v>
      </c>
      <c r="K37" s="108" t="s">
        <v>197</v>
      </c>
      <c r="L37" s="108" t="s">
        <v>197</v>
      </c>
      <c r="M37" s="108" t="s">
        <v>197</v>
      </c>
      <c r="N37" s="108" t="s">
        <v>197</v>
      </c>
      <c r="O37" s="108" t="s">
        <v>197</v>
      </c>
      <c r="P37" s="108" t="s">
        <v>197</v>
      </c>
      <c r="Q37" s="108" t="s">
        <v>197</v>
      </c>
      <c r="R37" s="108" t="s">
        <v>197</v>
      </c>
      <c r="S37" s="108" t="s">
        <v>197</v>
      </c>
      <c r="T37" s="108" t="s">
        <v>197</v>
      </c>
      <c r="U37" s="108" t="s">
        <v>197</v>
      </c>
      <c r="V37" s="108" t="s">
        <v>197</v>
      </c>
      <c r="W37" s="108" t="s">
        <v>197</v>
      </c>
      <c r="X37" s="108" t="s">
        <v>197</v>
      </c>
      <c r="Y37" s="108" t="s">
        <v>197</v>
      </c>
      <c r="Z37" s="108" t="s">
        <v>197</v>
      </c>
      <c r="AA37" s="108" t="s">
        <v>197</v>
      </c>
      <c r="AB37" s="108" t="s">
        <v>197</v>
      </c>
      <c r="AC37" s="108" t="s">
        <v>197</v>
      </c>
      <c r="AD37" s="108" t="s">
        <v>197</v>
      </c>
      <c r="AE37" s="108" t="s">
        <v>197</v>
      </c>
      <c r="AF37" s="108" t="s">
        <v>197</v>
      </c>
      <c r="AG37" s="108" t="s">
        <v>197</v>
      </c>
      <c r="AH37" s="108" t="s">
        <v>197</v>
      </c>
      <c r="AI37" s="108" t="s">
        <v>197</v>
      </c>
      <c r="AJ37" s="108" t="s">
        <v>197</v>
      </c>
      <c r="AK37" s="108" t="s">
        <v>197</v>
      </c>
      <c r="AL37" s="108" t="s">
        <v>197</v>
      </c>
      <c r="AM37" s="108" t="s">
        <v>197</v>
      </c>
      <c r="AN37" s="108" t="s">
        <v>197</v>
      </c>
      <c r="AO37" s="108" t="s">
        <v>197</v>
      </c>
      <c r="AP37" s="108" t="s">
        <v>197</v>
      </c>
      <c r="AQ37" s="108" t="s">
        <v>197</v>
      </c>
      <c r="AR37" s="108" t="s">
        <v>197</v>
      </c>
      <c r="AS37" s="108" t="s">
        <v>197</v>
      </c>
      <c r="AT37" s="108" t="s">
        <v>197</v>
      </c>
      <c r="AU37" s="108" t="s">
        <v>197</v>
      </c>
      <c r="AV37" s="108" t="s">
        <v>197</v>
      </c>
      <c r="AW37" s="108" t="s">
        <v>197</v>
      </c>
      <c r="AX37" s="108" t="s">
        <v>197</v>
      </c>
    </row>
    <row r="38" spans="1:50" x14ac:dyDescent="0.2">
      <c r="A38" s="108" t="s">
        <v>4024</v>
      </c>
      <c r="B38" s="108" t="s">
        <v>14230</v>
      </c>
      <c r="C38" s="108" t="s">
        <v>4003</v>
      </c>
      <c r="D38" s="426" t="s">
        <v>15205</v>
      </c>
      <c r="E38" s="108" t="s">
        <v>4357</v>
      </c>
      <c r="F38" s="108" t="s">
        <v>197</v>
      </c>
      <c r="G38" s="108" t="s">
        <v>197</v>
      </c>
      <c r="H38" s="108" t="s">
        <v>197</v>
      </c>
      <c r="I38" s="108" t="s">
        <v>197</v>
      </c>
      <c r="J38" s="108" t="s">
        <v>197</v>
      </c>
      <c r="K38" s="108" t="s">
        <v>197</v>
      </c>
      <c r="L38" s="108" t="s">
        <v>197</v>
      </c>
      <c r="M38" s="108" t="s">
        <v>197</v>
      </c>
      <c r="N38" s="108" t="s">
        <v>197</v>
      </c>
      <c r="O38" s="108" t="s">
        <v>197</v>
      </c>
      <c r="P38" s="108" t="s">
        <v>197</v>
      </c>
      <c r="Q38" s="108" t="s">
        <v>197</v>
      </c>
      <c r="R38" s="108" t="s">
        <v>197</v>
      </c>
      <c r="S38" s="108" t="s">
        <v>197</v>
      </c>
      <c r="T38" s="108" t="s">
        <v>197</v>
      </c>
      <c r="U38" s="108" t="s">
        <v>197</v>
      </c>
      <c r="V38" s="108" t="s">
        <v>197</v>
      </c>
      <c r="W38" s="108" t="s">
        <v>197</v>
      </c>
      <c r="X38" s="108" t="s">
        <v>197</v>
      </c>
      <c r="Y38" s="108" t="s">
        <v>197</v>
      </c>
      <c r="Z38" s="108" t="s">
        <v>197</v>
      </c>
      <c r="AA38" s="108" t="s">
        <v>197</v>
      </c>
      <c r="AB38" s="108" t="s">
        <v>197</v>
      </c>
      <c r="AC38" s="108" t="s">
        <v>197</v>
      </c>
      <c r="AD38" s="108" t="s">
        <v>197</v>
      </c>
      <c r="AE38" s="108" t="s">
        <v>197</v>
      </c>
      <c r="AF38" s="108" t="s">
        <v>197</v>
      </c>
      <c r="AG38" s="108" t="s">
        <v>197</v>
      </c>
      <c r="AH38" s="108" t="s">
        <v>197</v>
      </c>
      <c r="AI38" s="108" t="s">
        <v>197</v>
      </c>
      <c r="AJ38" s="108" t="s">
        <v>197</v>
      </c>
      <c r="AK38" s="108" t="s">
        <v>197</v>
      </c>
      <c r="AL38" s="108" t="s">
        <v>197</v>
      </c>
      <c r="AM38" s="108" t="s">
        <v>197</v>
      </c>
      <c r="AN38" s="108" t="s">
        <v>197</v>
      </c>
      <c r="AO38" s="108" t="s">
        <v>197</v>
      </c>
      <c r="AP38" s="108" t="s">
        <v>197</v>
      </c>
      <c r="AQ38" s="108" t="s">
        <v>197</v>
      </c>
      <c r="AR38" s="108" t="s">
        <v>197</v>
      </c>
      <c r="AS38" s="108" t="s">
        <v>197</v>
      </c>
      <c r="AT38" s="108" t="s">
        <v>197</v>
      </c>
      <c r="AU38" s="108" t="s">
        <v>197</v>
      </c>
      <c r="AV38" s="108" t="s">
        <v>197</v>
      </c>
      <c r="AW38" s="108" t="s">
        <v>197</v>
      </c>
      <c r="AX38" s="108" t="s">
        <v>197</v>
      </c>
    </row>
    <row r="39" spans="1:50" x14ac:dyDescent="0.2">
      <c r="A39" s="108" t="s">
        <v>4025</v>
      </c>
      <c r="B39" s="108" t="s">
        <v>14230</v>
      </c>
      <c r="C39" s="108" t="s">
        <v>4003</v>
      </c>
      <c r="D39" s="426" t="s">
        <v>15205</v>
      </c>
      <c r="E39" s="108" t="s">
        <v>4357</v>
      </c>
      <c r="F39" s="108" t="s">
        <v>197</v>
      </c>
      <c r="G39" s="108" t="s">
        <v>197</v>
      </c>
      <c r="H39" s="108" t="s">
        <v>197</v>
      </c>
      <c r="I39" s="108" t="s">
        <v>197</v>
      </c>
      <c r="J39" s="108" t="s">
        <v>197</v>
      </c>
      <c r="K39" s="108" t="s">
        <v>197</v>
      </c>
      <c r="L39" s="108" t="s">
        <v>197</v>
      </c>
      <c r="M39" s="108" t="s">
        <v>197</v>
      </c>
      <c r="N39" s="108" t="s">
        <v>197</v>
      </c>
      <c r="O39" s="108" t="s">
        <v>197</v>
      </c>
      <c r="P39" s="108" t="s">
        <v>197</v>
      </c>
      <c r="Q39" s="108" t="s">
        <v>197</v>
      </c>
      <c r="R39" s="108" t="s">
        <v>197</v>
      </c>
      <c r="S39" s="108" t="s">
        <v>197</v>
      </c>
      <c r="T39" s="108" t="s">
        <v>197</v>
      </c>
      <c r="U39" s="108" t="s">
        <v>197</v>
      </c>
      <c r="V39" s="108" t="s">
        <v>197</v>
      </c>
      <c r="W39" s="108" t="s">
        <v>197</v>
      </c>
      <c r="X39" s="108" t="s">
        <v>197</v>
      </c>
      <c r="Y39" s="108" t="s">
        <v>197</v>
      </c>
      <c r="Z39" s="108" t="s">
        <v>197</v>
      </c>
      <c r="AA39" s="108" t="s">
        <v>197</v>
      </c>
      <c r="AB39" s="108" t="s">
        <v>197</v>
      </c>
      <c r="AC39" s="108" t="s">
        <v>197</v>
      </c>
      <c r="AD39" s="108" t="s">
        <v>197</v>
      </c>
      <c r="AE39" s="108" t="s">
        <v>197</v>
      </c>
      <c r="AF39" s="108" t="s">
        <v>197</v>
      </c>
      <c r="AG39" s="108" t="s">
        <v>197</v>
      </c>
      <c r="AH39" s="108" t="s">
        <v>197</v>
      </c>
      <c r="AI39" s="108" t="s">
        <v>197</v>
      </c>
      <c r="AJ39" s="108" t="s">
        <v>197</v>
      </c>
      <c r="AK39" s="108" t="s">
        <v>197</v>
      </c>
      <c r="AL39" s="108" t="s">
        <v>197</v>
      </c>
      <c r="AM39" s="108" t="s">
        <v>197</v>
      </c>
      <c r="AN39" s="108" t="s">
        <v>197</v>
      </c>
      <c r="AO39" s="108" t="s">
        <v>197</v>
      </c>
      <c r="AP39" s="108" t="s">
        <v>197</v>
      </c>
      <c r="AQ39" s="108" t="s">
        <v>197</v>
      </c>
      <c r="AR39" s="108" t="s">
        <v>197</v>
      </c>
      <c r="AS39" s="108" t="s">
        <v>197</v>
      </c>
      <c r="AT39" s="108" t="s">
        <v>197</v>
      </c>
      <c r="AU39" s="108" t="s">
        <v>197</v>
      </c>
      <c r="AV39" s="108" t="s">
        <v>197</v>
      </c>
      <c r="AW39" s="108" t="s">
        <v>197</v>
      </c>
      <c r="AX39" s="108" t="s">
        <v>197</v>
      </c>
    </row>
  </sheetData>
  <phoneticPr fontId="4" type="noConversion"/>
  <pageMargins left="0.7" right="0.7" top="0.75" bottom="0.75" header="0.3" footer="0.3"/>
  <pageSetup paperSize="9" orientation="portrait" horizontalDpi="0" verticalDpi="0"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D9231-3B75-4DAB-9491-8A0813790E89}">
  <sheetPr codeName="Sheet15">
    <tabColor rgb="FF7030A0"/>
  </sheetPr>
  <dimension ref="A1:H200"/>
  <sheetViews>
    <sheetView workbookViewId="0"/>
  </sheetViews>
  <sheetFormatPr defaultRowHeight="12.75" x14ac:dyDescent="0.2"/>
  <cols>
    <col min="1" max="1" width="18.42578125" style="15" customWidth="1"/>
    <col min="2" max="2" width="16.28515625" style="15" customWidth="1"/>
    <col min="4" max="4" width="10.7109375" customWidth="1"/>
  </cols>
  <sheetData>
    <row r="1" spans="1:8" x14ac:dyDescent="0.2">
      <c r="A1" s="15" t="s">
        <v>52</v>
      </c>
      <c r="B1" s="15" t="s">
        <v>51</v>
      </c>
      <c r="D1" t="s">
        <v>1543</v>
      </c>
      <c r="E1" t="s">
        <v>1542</v>
      </c>
      <c r="G1" s="168">
        <v>1</v>
      </c>
      <c r="H1" s="299"/>
    </row>
    <row r="2" spans="1:8" x14ac:dyDescent="0.2">
      <c r="A2" s="15" t="s">
        <v>264</v>
      </c>
      <c r="B2" s="15" t="s">
        <v>263</v>
      </c>
      <c r="D2">
        <v>50</v>
      </c>
      <c r="E2">
        <v>2</v>
      </c>
      <c r="G2" s="168">
        <v>2</v>
      </c>
      <c r="H2" s="299"/>
    </row>
    <row r="3" spans="1:8" x14ac:dyDescent="0.2">
      <c r="A3" s="15" t="s">
        <v>310</v>
      </c>
      <c r="B3" s="15" t="s">
        <v>309</v>
      </c>
      <c r="D3" s="241">
        <v>55</v>
      </c>
      <c r="E3" s="241">
        <v>3</v>
      </c>
      <c r="G3" s="299"/>
      <c r="H3" s="299"/>
    </row>
    <row r="4" spans="1:8" x14ac:dyDescent="0.2">
      <c r="A4" s="15" t="s">
        <v>118</v>
      </c>
      <c r="B4" s="15" t="s">
        <v>117</v>
      </c>
      <c r="D4" s="241">
        <v>60</v>
      </c>
      <c r="E4" s="241">
        <v>4</v>
      </c>
      <c r="G4" s="168" t="s">
        <v>7</v>
      </c>
      <c r="H4" s="299"/>
    </row>
    <row r="5" spans="1:8" x14ac:dyDescent="0.2">
      <c r="A5" s="15" t="s">
        <v>314</v>
      </c>
      <c r="B5" s="15" t="s">
        <v>313</v>
      </c>
      <c r="D5" s="241">
        <v>65</v>
      </c>
      <c r="E5" s="241">
        <v>5</v>
      </c>
      <c r="G5" s="168" t="s">
        <v>8</v>
      </c>
      <c r="H5" s="299"/>
    </row>
    <row r="6" spans="1:8" x14ac:dyDescent="0.2">
      <c r="A6" s="15" t="s">
        <v>86</v>
      </c>
      <c r="B6" s="15" t="s">
        <v>85</v>
      </c>
      <c r="D6" s="241">
        <v>70</v>
      </c>
      <c r="E6" s="241">
        <v>6</v>
      </c>
      <c r="G6" s="168" t="s">
        <v>9</v>
      </c>
      <c r="H6" s="299"/>
    </row>
    <row r="7" spans="1:8" x14ac:dyDescent="0.2">
      <c r="A7" s="15" t="s">
        <v>194</v>
      </c>
      <c r="B7" s="15" t="s">
        <v>193</v>
      </c>
      <c r="G7" s="168" t="s">
        <v>2883</v>
      </c>
      <c r="H7" s="299"/>
    </row>
    <row r="8" spans="1:8" x14ac:dyDescent="0.2">
      <c r="A8" s="15" t="s">
        <v>190</v>
      </c>
      <c r="B8" s="15" t="s">
        <v>189</v>
      </c>
      <c r="G8" s="299"/>
      <c r="H8" s="299"/>
    </row>
    <row r="9" spans="1:8" x14ac:dyDescent="0.2">
      <c r="A9" s="15" t="s">
        <v>316</v>
      </c>
      <c r="B9" s="15" t="s">
        <v>315</v>
      </c>
      <c r="G9" s="168" t="s">
        <v>10</v>
      </c>
      <c r="H9" s="299"/>
    </row>
    <row r="10" spans="1:8" x14ac:dyDescent="0.2">
      <c r="A10" s="15" t="s">
        <v>442</v>
      </c>
      <c r="B10" s="15" t="s">
        <v>441</v>
      </c>
      <c r="G10" s="168" t="s">
        <v>11</v>
      </c>
      <c r="H10" s="299"/>
    </row>
    <row r="11" spans="1:8" x14ac:dyDescent="0.2">
      <c r="A11" s="15" t="s">
        <v>318</v>
      </c>
      <c r="B11" s="15" t="s">
        <v>317</v>
      </c>
      <c r="G11" s="168" t="s">
        <v>12</v>
      </c>
      <c r="H11" s="299"/>
    </row>
    <row r="12" spans="1:8" x14ac:dyDescent="0.2">
      <c r="A12" s="15" t="s">
        <v>320</v>
      </c>
      <c r="B12" s="15" t="s">
        <v>319</v>
      </c>
      <c r="G12" s="168" t="s">
        <v>13</v>
      </c>
      <c r="H12" s="299"/>
    </row>
    <row r="13" spans="1:8" x14ac:dyDescent="0.2">
      <c r="A13" s="15" t="s">
        <v>196</v>
      </c>
      <c r="B13" s="15" t="s">
        <v>195</v>
      </c>
      <c r="G13" s="299"/>
      <c r="H13" s="299"/>
    </row>
    <row r="14" spans="1:8" x14ac:dyDescent="0.2">
      <c r="A14" s="15" t="s">
        <v>270</v>
      </c>
      <c r="B14" s="15" t="s">
        <v>269</v>
      </c>
      <c r="G14" s="168" t="s">
        <v>2728</v>
      </c>
      <c r="H14" s="299"/>
    </row>
    <row r="15" spans="1:8" x14ac:dyDescent="0.2">
      <c r="A15" s="15" t="s">
        <v>418</v>
      </c>
      <c r="B15" s="15" t="s">
        <v>417</v>
      </c>
      <c r="G15" s="168" t="s">
        <v>2729</v>
      </c>
      <c r="H15" s="299"/>
    </row>
    <row r="16" spans="1:8" x14ac:dyDescent="0.2">
      <c r="A16" s="15" t="s">
        <v>205</v>
      </c>
      <c r="B16" s="15" t="s">
        <v>204</v>
      </c>
      <c r="G16" s="168" t="s">
        <v>2730</v>
      </c>
      <c r="H16" s="299"/>
    </row>
    <row r="17" spans="1:8" x14ac:dyDescent="0.2">
      <c r="A17" s="15" t="s">
        <v>328</v>
      </c>
      <c r="B17" s="15" t="s">
        <v>327</v>
      </c>
      <c r="G17" s="299"/>
      <c r="H17" s="299"/>
    </row>
    <row r="18" spans="1:8" x14ac:dyDescent="0.2">
      <c r="A18" s="15" t="s">
        <v>322</v>
      </c>
      <c r="B18" s="15" t="s">
        <v>321</v>
      </c>
      <c r="G18" s="299"/>
      <c r="H18" s="299"/>
    </row>
    <row r="19" spans="1:8" x14ac:dyDescent="0.2">
      <c r="A19" s="15" t="s">
        <v>199</v>
      </c>
      <c r="B19" s="15" t="s">
        <v>198</v>
      </c>
      <c r="G19" s="299"/>
      <c r="H19" s="299"/>
    </row>
    <row r="20" spans="1:8" x14ac:dyDescent="0.2">
      <c r="A20" s="15" t="s">
        <v>96</v>
      </c>
      <c r="B20" s="15" t="s">
        <v>95</v>
      </c>
      <c r="G20" s="299"/>
      <c r="H20" s="299"/>
    </row>
    <row r="21" spans="1:8" x14ac:dyDescent="0.2">
      <c r="A21" s="15" t="s">
        <v>421</v>
      </c>
      <c r="B21" s="15" t="s">
        <v>420</v>
      </c>
      <c r="G21" s="299"/>
      <c r="H21" s="299"/>
    </row>
    <row r="22" spans="1:8" x14ac:dyDescent="0.2">
      <c r="A22" s="15" t="s">
        <v>201</v>
      </c>
      <c r="B22" s="15" t="s">
        <v>200</v>
      </c>
      <c r="G22" s="299"/>
      <c r="H22" s="299"/>
    </row>
    <row r="23" spans="1:8" x14ac:dyDescent="0.2">
      <c r="A23" s="15" t="s">
        <v>326</v>
      </c>
      <c r="B23" s="15" t="s">
        <v>325</v>
      </c>
      <c r="G23" s="299"/>
      <c r="H23" s="299"/>
    </row>
    <row r="24" spans="1:8" x14ac:dyDescent="0.2">
      <c r="A24" s="15" t="s">
        <v>100</v>
      </c>
      <c r="B24" s="15" t="s">
        <v>99</v>
      </c>
      <c r="G24" s="299"/>
      <c r="H24" s="299"/>
    </row>
    <row r="25" spans="1:8" x14ac:dyDescent="0.2">
      <c r="A25" s="15" t="s">
        <v>203</v>
      </c>
      <c r="B25" s="15" t="s">
        <v>202</v>
      </c>
      <c r="G25" s="299"/>
      <c r="H25" s="299"/>
    </row>
    <row r="26" spans="1:8" x14ac:dyDescent="0.2">
      <c r="A26" s="15" t="s">
        <v>445</v>
      </c>
      <c r="B26" s="15" t="s">
        <v>444</v>
      </c>
      <c r="G26" s="299"/>
      <c r="H26" s="299"/>
    </row>
    <row r="27" spans="1:8" x14ac:dyDescent="0.2">
      <c r="A27" s="15" t="s">
        <v>324</v>
      </c>
      <c r="B27" s="15" t="s">
        <v>323</v>
      </c>
      <c r="G27" s="194"/>
    </row>
    <row r="28" spans="1:8" x14ac:dyDescent="0.2">
      <c r="A28" s="15" t="s">
        <v>98</v>
      </c>
      <c r="B28" s="15" t="s">
        <v>97</v>
      </c>
      <c r="G28" s="168" t="s">
        <v>3701</v>
      </c>
    </row>
    <row r="29" spans="1:8" x14ac:dyDescent="0.2">
      <c r="A29" s="15" t="s">
        <v>92</v>
      </c>
      <c r="B29" s="15" t="s">
        <v>91</v>
      </c>
      <c r="G29" s="168" t="s">
        <v>3702</v>
      </c>
    </row>
    <row r="30" spans="1:8" x14ac:dyDescent="0.2">
      <c r="A30" s="15" t="s">
        <v>105</v>
      </c>
      <c r="B30" s="15" t="s">
        <v>104</v>
      </c>
      <c r="G30" s="168" t="s">
        <v>3703</v>
      </c>
    </row>
    <row r="31" spans="1:8" x14ac:dyDescent="0.2">
      <c r="A31" s="15" t="s">
        <v>116</v>
      </c>
      <c r="B31" s="15" t="s">
        <v>115</v>
      </c>
      <c r="G31" s="168" t="s">
        <v>3704</v>
      </c>
    </row>
    <row r="32" spans="1:8" x14ac:dyDescent="0.2">
      <c r="A32" s="15" t="s">
        <v>457</v>
      </c>
      <c r="B32" s="15" t="s">
        <v>456</v>
      </c>
      <c r="G32" s="168" t="s">
        <v>3705</v>
      </c>
    </row>
    <row r="33" spans="1:7" x14ac:dyDescent="0.2">
      <c r="A33" s="15" t="s">
        <v>107</v>
      </c>
      <c r="B33" s="15" t="s">
        <v>106</v>
      </c>
      <c r="G33" s="168" t="s">
        <v>3238</v>
      </c>
    </row>
    <row r="34" spans="1:7" x14ac:dyDescent="0.2">
      <c r="A34" s="15" t="s">
        <v>207</v>
      </c>
      <c r="B34" s="15" t="s">
        <v>206</v>
      </c>
      <c r="G34" s="168" t="s">
        <v>3250</v>
      </c>
    </row>
    <row r="35" spans="1:7" x14ac:dyDescent="0.2">
      <c r="A35" s="15" t="s">
        <v>103</v>
      </c>
      <c r="B35" s="15" t="s">
        <v>102</v>
      </c>
      <c r="G35" s="168" t="s">
        <v>3260</v>
      </c>
    </row>
    <row r="36" spans="1:7" x14ac:dyDescent="0.2">
      <c r="A36" s="15" t="s">
        <v>176</v>
      </c>
      <c r="B36" s="15" t="s">
        <v>175</v>
      </c>
      <c r="G36" s="168" t="s">
        <v>4507</v>
      </c>
    </row>
    <row r="37" spans="1:7" x14ac:dyDescent="0.2">
      <c r="A37" s="15" t="s">
        <v>210</v>
      </c>
      <c r="B37" s="15" t="s">
        <v>209</v>
      </c>
    </row>
    <row r="38" spans="1:7" x14ac:dyDescent="0.2">
      <c r="A38" s="15" t="s">
        <v>447</v>
      </c>
      <c r="B38" s="15" t="s">
        <v>446</v>
      </c>
    </row>
    <row r="39" spans="1:7" x14ac:dyDescent="0.2">
      <c r="A39" s="15" t="s">
        <v>212</v>
      </c>
      <c r="B39" s="15" t="s">
        <v>211</v>
      </c>
    </row>
    <row r="40" spans="1:7" x14ac:dyDescent="0.2">
      <c r="A40" s="15" t="s">
        <v>114</v>
      </c>
      <c r="B40" s="15" t="s">
        <v>113</v>
      </c>
    </row>
    <row r="41" spans="1:7" x14ac:dyDescent="0.2">
      <c r="A41" s="15" t="s">
        <v>112</v>
      </c>
      <c r="B41" s="15" t="s">
        <v>111</v>
      </c>
    </row>
    <row r="42" spans="1:7" x14ac:dyDescent="0.2">
      <c r="A42" s="15" t="s">
        <v>449</v>
      </c>
      <c r="B42" s="15" t="s">
        <v>448</v>
      </c>
    </row>
    <row r="43" spans="1:7" x14ac:dyDescent="0.2">
      <c r="A43" s="15" t="s">
        <v>214</v>
      </c>
      <c r="B43" s="15" t="s">
        <v>213</v>
      </c>
    </row>
    <row r="44" spans="1:7" x14ac:dyDescent="0.2">
      <c r="A44" s="15" t="s">
        <v>354</v>
      </c>
      <c r="B44" s="15" t="s">
        <v>353</v>
      </c>
    </row>
    <row r="45" spans="1:7" x14ac:dyDescent="0.2">
      <c r="A45" s="15" t="s">
        <v>216</v>
      </c>
      <c r="B45" s="15" t="s">
        <v>215</v>
      </c>
    </row>
    <row r="46" spans="1:7" x14ac:dyDescent="0.2">
      <c r="A46" s="15" t="s">
        <v>332</v>
      </c>
      <c r="B46" s="15" t="s">
        <v>331</v>
      </c>
    </row>
    <row r="47" spans="1:7" x14ac:dyDescent="0.2">
      <c r="A47" s="15" t="s">
        <v>334</v>
      </c>
      <c r="B47" s="15" t="s">
        <v>333</v>
      </c>
    </row>
    <row r="48" spans="1:7" x14ac:dyDescent="0.2">
      <c r="A48" s="15" t="s">
        <v>436</v>
      </c>
      <c r="B48" s="15" t="s">
        <v>435</v>
      </c>
    </row>
    <row r="49" spans="1:2" x14ac:dyDescent="0.2">
      <c r="A49" s="15" t="s">
        <v>110</v>
      </c>
      <c r="B49" s="15" t="s">
        <v>109</v>
      </c>
    </row>
    <row r="50" spans="1:2" x14ac:dyDescent="0.2">
      <c r="A50" s="15" t="s">
        <v>338</v>
      </c>
      <c r="B50" s="15" t="s">
        <v>337</v>
      </c>
    </row>
    <row r="51" spans="1:2" x14ac:dyDescent="0.2">
      <c r="A51" s="15" t="s">
        <v>272</v>
      </c>
      <c r="B51" s="15" t="s">
        <v>271</v>
      </c>
    </row>
    <row r="52" spans="1:2" x14ac:dyDescent="0.2">
      <c r="A52" s="15" t="s">
        <v>218</v>
      </c>
      <c r="B52" s="15" t="s">
        <v>217</v>
      </c>
    </row>
    <row r="53" spans="1:2" x14ac:dyDescent="0.2">
      <c r="A53" s="15" t="s">
        <v>220</v>
      </c>
      <c r="B53" s="15" t="s">
        <v>219</v>
      </c>
    </row>
    <row r="54" spans="1:2" x14ac:dyDescent="0.2">
      <c r="A54" s="15" t="s">
        <v>222</v>
      </c>
      <c r="B54" s="15" t="s">
        <v>221</v>
      </c>
    </row>
    <row r="55" spans="1:2" x14ac:dyDescent="0.2">
      <c r="A55" s="15" t="s">
        <v>274</v>
      </c>
      <c r="B55" s="15" t="s">
        <v>273</v>
      </c>
    </row>
    <row r="56" spans="1:2" x14ac:dyDescent="0.2">
      <c r="A56" s="15" t="s">
        <v>250</v>
      </c>
      <c r="B56" s="15" t="s">
        <v>249</v>
      </c>
    </row>
    <row r="57" spans="1:2" x14ac:dyDescent="0.2">
      <c r="A57" s="15" t="s">
        <v>135</v>
      </c>
      <c r="B57" s="15" t="s">
        <v>134</v>
      </c>
    </row>
    <row r="58" spans="1:2" x14ac:dyDescent="0.2">
      <c r="A58" s="15" t="s">
        <v>121</v>
      </c>
      <c r="B58" s="15" t="s">
        <v>120</v>
      </c>
    </row>
    <row r="59" spans="1:2" x14ac:dyDescent="0.2">
      <c r="A59" s="15" t="s">
        <v>342</v>
      </c>
      <c r="B59" s="15" t="s">
        <v>341</v>
      </c>
    </row>
    <row r="60" spans="1:2" x14ac:dyDescent="0.2">
      <c r="A60" s="15" t="s">
        <v>172</v>
      </c>
      <c r="B60" s="15" t="s">
        <v>171</v>
      </c>
    </row>
    <row r="61" spans="1:2" x14ac:dyDescent="0.2">
      <c r="A61" s="15" t="s">
        <v>123</v>
      </c>
      <c r="B61" s="15" t="s">
        <v>122</v>
      </c>
    </row>
    <row r="62" spans="1:2" x14ac:dyDescent="0.2">
      <c r="A62" s="15" t="s">
        <v>451</v>
      </c>
      <c r="B62" s="15" t="s">
        <v>450</v>
      </c>
    </row>
    <row r="63" spans="1:2" x14ac:dyDescent="0.2">
      <c r="A63" s="15" t="s">
        <v>344</v>
      </c>
      <c r="B63" s="15" t="s">
        <v>343</v>
      </c>
    </row>
    <row r="64" spans="1:2" x14ac:dyDescent="0.2">
      <c r="A64" s="15" t="s">
        <v>346</v>
      </c>
      <c r="B64" s="15" t="s">
        <v>345</v>
      </c>
    </row>
    <row r="65" spans="1:2" x14ac:dyDescent="0.2">
      <c r="A65" s="15" t="s">
        <v>125</v>
      </c>
      <c r="B65" s="15" t="s">
        <v>124</v>
      </c>
    </row>
    <row r="66" spans="1:2" x14ac:dyDescent="0.2">
      <c r="A66" s="15" t="s">
        <v>131</v>
      </c>
      <c r="B66" s="15" t="s">
        <v>130</v>
      </c>
    </row>
    <row r="67" spans="1:2" x14ac:dyDescent="0.2">
      <c r="A67" s="15" t="s">
        <v>350</v>
      </c>
      <c r="B67" s="15" t="s">
        <v>349</v>
      </c>
    </row>
    <row r="68" spans="1:2" x14ac:dyDescent="0.2">
      <c r="A68" s="15" t="s">
        <v>336</v>
      </c>
      <c r="B68" s="15" t="s">
        <v>335</v>
      </c>
    </row>
    <row r="69" spans="1:2" x14ac:dyDescent="0.2">
      <c r="A69" s="15" t="s">
        <v>127</v>
      </c>
      <c r="B69" s="15" t="s">
        <v>126</v>
      </c>
    </row>
    <row r="70" spans="1:2" x14ac:dyDescent="0.2">
      <c r="A70" s="15" t="s">
        <v>352</v>
      </c>
      <c r="B70" s="15" t="s">
        <v>351</v>
      </c>
    </row>
    <row r="71" spans="1:2" x14ac:dyDescent="0.2">
      <c r="A71" s="15" t="s">
        <v>224</v>
      </c>
      <c r="B71" s="15" t="s">
        <v>223</v>
      </c>
    </row>
    <row r="72" spans="1:2" x14ac:dyDescent="0.2">
      <c r="A72" s="15" t="s">
        <v>226</v>
      </c>
      <c r="B72" s="15" t="s">
        <v>225</v>
      </c>
    </row>
    <row r="73" spans="1:2" x14ac:dyDescent="0.2">
      <c r="A73" s="15" t="s">
        <v>129</v>
      </c>
      <c r="B73" s="15" t="s">
        <v>128</v>
      </c>
    </row>
    <row r="74" spans="1:2" x14ac:dyDescent="0.2">
      <c r="A74" s="15" t="s">
        <v>133</v>
      </c>
      <c r="B74" s="15" t="s">
        <v>132</v>
      </c>
    </row>
    <row r="75" spans="1:2" x14ac:dyDescent="0.2">
      <c r="A75" s="15" t="s">
        <v>228</v>
      </c>
      <c r="B75" s="15" t="s">
        <v>227</v>
      </c>
    </row>
    <row r="76" spans="1:2" x14ac:dyDescent="0.2">
      <c r="A76" s="15" t="s">
        <v>232</v>
      </c>
      <c r="B76" s="15" t="s">
        <v>231</v>
      </c>
    </row>
    <row r="77" spans="1:2" x14ac:dyDescent="0.2">
      <c r="A77" s="15" t="s">
        <v>230</v>
      </c>
      <c r="B77" s="15" t="s">
        <v>229</v>
      </c>
    </row>
    <row r="78" spans="1:2" x14ac:dyDescent="0.2">
      <c r="A78" s="15" t="s">
        <v>356</v>
      </c>
      <c r="B78" s="15" t="s">
        <v>355</v>
      </c>
    </row>
    <row r="79" spans="1:2" x14ac:dyDescent="0.2">
      <c r="A79" s="15" t="s">
        <v>360</v>
      </c>
      <c r="B79" s="15" t="s">
        <v>359</v>
      </c>
    </row>
    <row r="80" spans="1:2" x14ac:dyDescent="0.2">
      <c r="A80" s="15" t="s">
        <v>426</v>
      </c>
      <c r="B80" s="15" t="s">
        <v>425</v>
      </c>
    </row>
    <row r="81" spans="1:2" x14ac:dyDescent="0.2">
      <c r="A81" s="15" t="s">
        <v>423</v>
      </c>
      <c r="B81" s="15" t="s">
        <v>422</v>
      </c>
    </row>
    <row r="82" spans="1:2" x14ac:dyDescent="0.2">
      <c r="A82" s="15" t="s">
        <v>276</v>
      </c>
      <c r="B82" s="15" t="s">
        <v>275</v>
      </c>
    </row>
    <row r="83" spans="1:2" x14ac:dyDescent="0.2">
      <c r="A83" s="15" t="s">
        <v>278</v>
      </c>
      <c r="B83" s="15" t="s">
        <v>277</v>
      </c>
    </row>
    <row r="84" spans="1:2" x14ac:dyDescent="0.2">
      <c r="A84" s="15" t="s">
        <v>358</v>
      </c>
      <c r="B84" s="15" t="s">
        <v>357</v>
      </c>
    </row>
    <row r="85" spans="1:2" x14ac:dyDescent="0.2">
      <c r="A85" s="15" t="s">
        <v>362</v>
      </c>
      <c r="B85" s="15" t="s">
        <v>361</v>
      </c>
    </row>
    <row r="86" spans="1:2" x14ac:dyDescent="0.2">
      <c r="A86" s="15" t="s">
        <v>364</v>
      </c>
      <c r="B86" s="15" t="s">
        <v>363</v>
      </c>
    </row>
    <row r="87" spans="1:2" x14ac:dyDescent="0.2">
      <c r="A87" s="15" t="s">
        <v>234</v>
      </c>
      <c r="B87" s="15" t="s">
        <v>233</v>
      </c>
    </row>
    <row r="88" spans="1:2" x14ac:dyDescent="0.2">
      <c r="A88" s="15" t="s">
        <v>455</v>
      </c>
      <c r="B88" s="15" t="s">
        <v>454</v>
      </c>
    </row>
    <row r="89" spans="1:2" x14ac:dyDescent="0.2">
      <c r="A89" s="15" t="s">
        <v>280</v>
      </c>
      <c r="B89" s="15" t="s">
        <v>279</v>
      </c>
    </row>
    <row r="90" spans="1:2" x14ac:dyDescent="0.2">
      <c r="A90" s="15" t="s">
        <v>366</v>
      </c>
      <c r="B90" s="15" t="s">
        <v>365</v>
      </c>
    </row>
    <row r="91" spans="1:2" x14ac:dyDescent="0.2">
      <c r="A91" s="15" t="s">
        <v>137</v>
      </c>
      <c r="B91" s="15" t="s">
        <v>136</v>
      </c>
    </row>
    <row r="92" spans="1:2" x14ac:dyDescent="0.2">
      <c r="A92" s="15" t="s">
        <v>459</v>
      </c>
      <c r="B92" s="15" t="s">
        <v>458</v>
      </c>
    </row>
    <row r="93" spans="1:2" x14ac:dyDescent="0.2">
      <c r="A93" s="15" t="s">
        <v>459</v>
      </c>
      <c r="B93" s="15" t="s">
        <v>458</v>
      </c>
    </row>
    <row r="94" spans="1:2" x14ac:dyDescent="0.2">
      <c r="A94" s="15" t="s">
        <v>282</v>
      </c>
      <c r="B94" s="15" t="s">
        <v>281</v>
      </c>
    </row>
    <row r="95" spans="1:2" x14ac:dyDescent="0.2">
      <c r="A95" s="15" t="s">
        <v>368</v>
      </c>
      <c r="B95" s="15" t="s">
        <v>367</v>
      </c>
    </row>
    <row r="96" spans="1:2" x14ac:dyDescent="0.2">
      <c r="A96" s="15" t="s">
        <v>463</v>
      </c>
      <c r="B96" s="15" t="s">
        <v>462</v>
      </c>
    </row>
    <row r="97" spans="1:2" x14ac:dyDescent="0.2">
      <c r="A97" s="15" t="s">
        <v>374</v>
      </c>
      <c r="B97" s="15" t="s">
        <v>373</v>
      </c>
    </row>
    <row r="98" spans="1:2" x14ac:dyDescent="0.2">
      <c r="A98" s="15" t="s">
        <v>284</v>
      </c>
      <c r="B98" s="15" t="s">
        <v>283</v>
      </c>
    </row>
    <row r="99" spans="1:2" x14ac:dyDescent="0.2">
      <c r="A99" s="15" t="s">
        <v>141</v>
      </c>
      <c r="B99" s="15" t="s">
        <v>140</v>
      </c>
    </row>
    <row r="100" spans="1:2" x14ac:dyDescent="0.2">
      <c r="A100" s="15" t="s">
        <v>139</v>
      </c>
      <c r="B100" s="15" t="s">
        <v>138</v>
      </c>
    </row>
    <row r="101" spans="1:2" x14ac:dyDescent="0.2">
      <c r="A101" s="15" t="s">
        <v>286</v>
      </c>
      <c r="B101" s="15" t="s">
        <v>285</v>
      </c>
    </row>
    <row r="102" spans="1:2" x14ac:dyDescent="0.2">
      <c r="A102" s="15" t="s">
        <v>370</v>
      </c>
      <c r="B102" s="15" t="s">
        <v>369</v>
      </c>
    </row>
    <row r="103" spans="1:2" x14ac:dyDescent="0.2">
      <c r="A103" s="15" t="s">
        <v>372</v>
      </c>
      <c r="B103" s="15" t="s">
        <v>371</v>
      </c>
    </row>
    <row r="104" spans="1:2" x14ac:dyDescent="0.2">
      <c r="A104" s="15" t="s">
        <v>143</v>
      </c>
      <c r="B104" s="15" t="s">
        <v>142</v>
      </c>
    </row>
    <row r="105" spans="1:2" x14ac:dyDescent="0.2">
      <c r="A105" s="15" t="s">
        <v>154</v>
      </c>
      <c r="B105" s="15" t="s">
        <v>153</v>
      </c>
    </row>
    <row r="106" spans="1:2" x14ac:dyDescent="0.2">
      <c r="A106" s="15" t="s">
        <v>469</v>
      </c>
      <c r="B106" s="15" t="s">
        <v>468</v>
      </c>
    </row>
    <row r="107" spans="1:2" x14ac:dyDescent="0.2">
      <c r="A107" s="15" t="s">
        <v>430</v>
      </c>
      <c r="B107" s="15" t="s">
        <v>429</v>
      </c>
    </row>
    <row r="108" spans="1:2" x14ac:dyDescent="0.2">
      <c r="A108" s="15" t="s">
        <v>145</v>
      </c>
      <c r="B108" s="15" t="s">
        <v>144</v>
      </c>
    </row>
    <row r="109" spans="1:2" x14ac:dyDescent="0.2">
      <c r="A109" s="15" t="s">
        <v>382</v>
      </c>
      <c r="B109" s="15" t="s">
        <v>381</v>
      </c>
    </row>
    <row r="110" spans="1:2" x14ac:dyDescent="0.2">
      <c r="A110" s="15" t="s">
        <v>465</v>
      </c>
      <c r="B110" s="15" t="s">
        <v>464</v>
      </c>
    </row>
    <row r="111" spans="1:2" x14ac:dyDescent="0.2">
      <c r="A111" s="15" t="s">
        <v>465</v>
      </c>
      <c r="B111" s="15" t="s">
        <v>464</v>
      </c>
    </row>
    <row r="112" spans="1:2" x14ac:dyDescent="0.2">
      <c r="A112" s="15" t="s">
        <v>149</v>
      </c>
      <c r="B112" s="15" t="s">
        <v>148</v>
      </c>
    </row>
    <row r="113" spans="1:2" x14ac:dyDescent="0.2">
      <c r="A113" s="15" t="s">
        <v>151</v>
      </c>
      <c r="B113" s="15" t="s">
        <v>150</v>
      </c>
    </row>
    <row r="114" spans="1:2" x14ac:dyDescent="0.2">
      <c r="A114" s="15" t="s">
        <v>240</v>
      </c>
      <c r="B114" s="15" t="s">
        <v>239</v>
      </c>
    </row>
    <row r="115" spans="1:2" x14ac:dyDescent="0.2">
      <c r="A115" s="15" t="s">
        <v>453</v>
      </c>
      <c r="B115" s="15" t="s">
        <v>452</v>
      </c>
    </row>
    <row r="116" spans="1:2" x14ac:dyDescent="0.2">
      <c r="A116" s="15" t="s">
        <v>376</v>
      </c>
      <c r="B116" s="15" t="s">
        <v>375</v>
      </c>
    </row>
    <row r="117" spans="1:2" x14ac:dyDescent="0.2">
      <c r="A117" s="15" t="s">
        <v>467</v>
      </c>
      <c r="B117" s="15" t="s">
        <v>466</v>
      </c>
    </row>
    <row r="118" spans="1:2" x14ac:dyDescent="0.2">
      <c r="A118" s="15" t="s">
        <v>384</v>
      </c>
      <c r="B118" s="15" t="s">
        <v>383</v>
      </c>
    </row>
    <row r="119" spans="1:2" x14ac:dyDescent="0.2">
      <c r="A119" s="15" t="s">
        <v>288</v>
      </c>
      <c r="B119" s="15" t="s">
        <v>287</v>
      </c>
    </row>
    <row r="120" spans="1:2" x14ac:dyDescent="0.2">
      <c r="A120" s="15" t="s">
        <v>147</v>
      </c>
      <c r="B120" s="15" t="s">
        <v>146</v>
      </c>
    </row>
    <row r="121" spans="1:2" x14ac:dyDescent="0.2">
      <c r="A121" s="15" t="s">
        <v>432</v>
      </c>
      <c r="B121" s="15" t="s">
        <v>431</v>
      </c>
    </row>
    <row r="122" spans="1:2" x14ac:dyDescent="0.2">
      <c r="A122" s="15" t="s">
        <v>156</v>
      </c>
      <c r="B122" s="15" t="s">
        <v>155</v>
      </c>
    </row>
    <row r="123" spans="1:2" x14ac:dyDescent="0.2">
      <c r="A123" s="15" t="s">
        <v>473</v>
      </c>
      <c r="B123" s="15" t="s">
        <v>472</v>
      </c>
    </row>
    <row r="124" spans="1:2" x14ac:dyDescent="0.2">
      <c r="A124" s="15" t="s">
        <v>434</v>
      </c>
      <c r="B124" s="15" t="s">
        <v>433</v>
      </c>
    </row>
    <row r="125" spans="1:2" x14ac:dyDescent="0.2">
      <c r="A125" s="15" t="s">
        <v>386</v>
      </c>
      <c r="B125" s="15" t="s">
        <v>385</v>
      </c>
    </row>
    <row r="126" spans="1:2" x14ac:dyDescent="0.2">
      <c r="A126" s="15" t="s">
        <v>475</v>
      </c>
      <c r="B126" s="15" t="s">
        <v>474</v>
      </c>
    </row>
    <row r="127" spans="1:2" x14ac:dyDescent="0.2">
      <c r="A127" s="15" t="s">
        <v>242</v>
      </c>
      <c r="B127" s="15" t="s">
        <v>241</v>
      </c>
    </row>
    <row r="128" spans="1:2" x14ac:dyDescent="0.2">
      <c r="A128" s="15" t="s">
        <v>158</v>
      </c>
      <c r="B128" s="15" t="s">
        <v>157</v>
      </c>
    </row>
    <row r="129" spans="1:2" x14ac:dyDescent="0.2">
      <c r="A129" s="15" t="s">
        <v>160</v>
      </c>
      <c r="B129" s="15" t="s">
        <v>159</v>
      </c>
    </row>
    <row r="130" spans="1:2" x14ac:dyDescent="0.2">
      <c r="A130" s="15" t="s">
        <v>471</v>
      </c>
      <c r="B130" s="15" t="s">
        <v>470</v>
      </c>
    </row>
    <row r="131" spans="1:2" x14ac:dyDescent="0.2">
      <c r="A131" s="15" t="s">
        <v>380</v>
      </c>
      <c r="B131" s="15" t="s">
        <v>379</v>
      </c>
    </row>
    <row r="132" spans="1:2" x14ac:dyDescent="0.2">
      <c r="A132" s="15" t="s">
        <v>388</v>
      </c>
      <c r="B132" s="15" t="s">
        <v>387</v>
      </c>
    </row>
    <row r="133" spans="1:2" x14ac:dyDescent="0.2">
      <c r="A133" s="15" t="s">
        <v>294</v>
      </c>
      <c r="B133" s="15" t="s">
        <v>293</v>
      </c>
    </row>
    <row r="134" spans="1:2" x14ac:dyDescent="0.2">
      <c r="A134" s="15" t="s">
        <v>290</v>
      </c>
      <c r="B134" s="15" t="s">
        <v>289</v>
      </c>
    </row>
    <row r="135" spans="1:2" x14ac:dyDescent="0.2">
      <c r="A135" s="15" t="s">
        <v>292</v>
      </c>
      <c r="B135" s="15" t="s">
        <v>291</v>
      </c>
    </row>
    <row r="136" spans="1:2" x14ac:dyDescent="0.2">
      <c r="A136" s="15" t="s">
        <v>479</v>
      </c>
      <c r="B136" s="15" t="s">
        <v>478</v>
      </c>
    </row>
    <row r="137" spans="1:2" x14ac:dyDescent="0.2">
      <c r="A137" s="15" t="s">
        <v>244</v>
      </c>
      <c r="B137" s="15" t="s">
        <v>243</v>
      </c>
    </row>
    <row r="138" spans="1:2" x14ac:dyDescent="0.2">
      <c r="A138" s="15" t="s">
        <v>481</v>
      </c>
      <c r="B138" s="15" t="s">
        <v>480</v>
      </c>
    </row>
    <row r="139" spans="1:2" x14ac:dyDescent="0.2">
      <c r="A139" s="15" t="s">
        <v>248</v>
      </c>
      <c r="B139" s="15" t="s">
        <v>247</v>
      </c>
    </row>
    <row r="140" spans="1:2" x14ac:dyDescent="0.2">
      <c r="A140" s="15" t="s">
        <v>246</v>
      </c>
      <c r="B140" s="15" t="s">
        <v>245</v>
      </c>
    </row>
    <row r="141" spans="1:2" x14ac:dyDescent="0.2">
      <c r="A141" s="15" t="s">
        <v>477</v>
      </c>
      <c r="B141" s="15" t="s">
        <v>476</v>
      </c>
    </row>
    <row r="142" spans="1:2" x14ac:dyDescent="0.2">
      <c r="A142" s="15" t="s">
        <v>390</v>
      </c>
      <c r="B142" s="15" t="s">
        <v>389</v>
      </c>
    </row>
    <row r="143" spans="1:2" x14ac:dyDescent="0.2">
      <c r="A143" s="15" t="s">
        <v>392</v>
      </c>
      <c r="B143" s="15" t="s">
        <v>391</v>
      </c>
    </row>
    <row r="144" spans="1:2" x14ac:dyDescent="0.2">
      <c r="A144" s="15" t="s">
        <v>296</v>
      </c>
      <c r="B144" s="15" t="s">
        <v>295</v>
      </c>
    </row>
    <row r="145" spans="1:2" x14ac:dyDescent="0.2">
      <c r="A145" s="15" t="s">
        <v>461</v>
      </c>
      <c r="B145" s="15" t="s">
        <v>460</v>
      </c>
    </row>
    <row r="146" spans="1:2" x14ac:dyDescent="0.2">
      <c r="A146" s="15" t="s">
        <v>378</v>
      </c>
      <c r="B146" s="15" t="s">
        <v>377</v>
      </c>
    </row>
    <row r="147" spans="1:2" x14ac:dyDescent="0.2">
      <c r="A147" s="15" t="s">
        <v>394</v>
      </c>
      <c r="B147" s="15" t="s">
        <v>393</v>
      </c>
    </row>
    <row r="148" spans="1:2" x14ac:dyDescent="0.2">
      <c r="A148" s="15" t="s">
        <v>396</v>
      </c>
      <c r="B148" s="15" t="s">
        <v>395</v>
      </c>
    </row>
    <row r="149" spans="1:2" x14ac:dyDescent="0.2">
      <c r="A149" s="15" t="s">
        <v>162</v>
      </c>
      <c r="B149" s="15" t="s">
        <v>161</v>
      </c>
    </row>
    <row r="150" spans="1:2" x14ac:dyDescent="0.2">
      <c r="A150" s="15" t="s">
        <v>236</v>
      </c>
      <c r="B150" s="15" t="s">
        <v>235</v>
      </c>
    </row>
    <row r="151" spans="1:2" x14ac:dyDescent="0.2">
      <c r="A151" s="15" t="s">
        <v>238</v>
      </c>
      <c r="B151" s="15" t="s">
        <v>237</v>
      </c>
    </row>
    <row r="152" spans="1:2" x14ac:dyDescent="0.2">
      <c r="A152" s="15" t="s">
        <v>260</v>
      </c>
      <c r="B152" s="15" t="s">
        <v>259</v>
      </c>
    </row>
    <row r="153" spans="1:2" x14ac:dyDescent="0.2">
      <c r="A153" s="15" t="s">
        <v>495</v>
      </c>
      <c r="B153" s="15" t="s">
        <v>494</v>
      </c>
    </row>
    <row r="154" spans="1:2" x14ac:dyDescent="0.2">
      <c r="A154" s="15" t="s">
        <v>398</v>
      </c>
      <c r="B154" s="15" t="s">
        <v>397</v>
      </c>
    </row>
    <row r="155" spans="1:2" x14ac:dyDescent="0.2">
      <c r="A155" s="15" t="s">
        <v>170</v>
      </c>
      <c r="B155" s="15" t="s">
        <v>169</v>
      </c>
    </row>
    <row r="156" spans="1:2" x14ac:dyDescent="0.2">
      <c r="A156" s="15" t="s">
        <v>298</v>
      </c>
      <c r="B156" s="15" t="s">
        <v>297</v>
      </c>
    </row>
    <row r="157" spans="1:2" x14ac:dyDescent="0.2">
      <c r="A157" s="15" t="s">
        <v>164</v>
      </c>
      <c r="B157" s="15" t="s">
        <v>163</v>
      </c>
    </row>
    <row r="158" spans="1:2" x14ac:dyDescent="0.2">
      <c r="A158" s="15" t="s">
        <v>400</v>
      </c>
      <c r="B158" s="15" t="s">
        <v>399</v>
      </c>
    </row>
    <row r="159" spans="1:2" x14ac:dyDescent="0.2">
      <c r="A159" s="15" t="s">
        <v>174</v>
      </c>
      <c r="B159" s="15" t="s">
        <v>173</v>
      </c>
    </row>
    <row r="160" spans="1:2" x14ac:dyDescent="0.2">
      <c r="A160" s="15" t="s">
        <v>166</v>
      </c>
      <c r="B160" s="15" t="s">
        <v>165</v>
      </c>
    </row>
    <row r="161" spans="1:2" x14ac:dyDescent="0.2">
      <c r="A161" s="15" t="s">
        <v>483</v>
      </c>
      <c r="B161" s="15" t="s">
        <v>482</v>
      </c>
    </row>
    <row r="162" spans="1:2" x14ac:dyDescent="0.2">
      <c r="A162" s="15" t="s">
        <v>402</v>
      </c>
      <c r="B162" s="15" t="s">
        <v>401</v>
      </c>
    </row>
    <row r="163" spans="1:2" x14ac:dyDescent="0.2">
      <c r="A163" s="15" t="s">
        <v>404</v>
      </c>
      <c r="B163" s="15" t="s">
        <v>403</v>
      </c>
    </row>
    <row r="164" spans="1:2" x14ac:dyDescent="0.2">
      <c r="A164" s="15" t="s">
        <v>485</v>
      </c>
      <c r="B164" s="15" t="s">
        <v>484</v>
      </c>
    </row>
    <row r="165" spans="1:2" x14ac:dyDescent="0.2">
      <c r="A165" s="15" t="s">
        <v>485</v>
      </c>
      <c r="B165" s="15" t="s">
        <v>484</v>
      </c>
    </row>
    <row r="166" spans="1:2" x14ac:dyDescent="0.2">
      <c r="A166" s="15" t="s">
        <v>302</v>
      </c>
      <c r="B166" s="15" t="s">
        <v>301</v>
      </c>
    </row>
    <row r="167" spans="1:2" x14ac:dyDescent="0.2">
      <c r="A167" s="15" t="s">
        <v>184</v>
      </c>
      <c r="B167" s="15" t="s">
        <v>183</v>
      </c>
    </row>
    <row r="168" spans="1:2" x14ac:dyDescent="0.2">
      <c r="A168" s="15" t="s">
        <v>168</v>
      </c>
      <c r="B168" s="15" t="s">
        <v>167</v>
      </c>
    </row>
    <row r="169" spans="1:2" x14ac:dyDescent="0.2">
      <c r="A169" s="15" t="s">
        <v>340</v>
      </c>
      <c r="B169" s="15" t="s">
        <v>339</v>
      </c>
    </row>
    <row r="170" spans="1:2" x14ac:dyDescent="0.2">
      <c r="A170" s="15" t="s">
        <v>428</v>
      </c>
      <c r="B170" s="15" t="s">
        <v>427</v>
      </c>
    </row>
    <row r="171" spans="1:2" x14ac:dyDescent="0.2">
      <c r="A171" s="15" t="s">
        <v>300</v>
      </c>
      <c r="B171" s="15" t="s">
        <v>299</v>
      </c>
    </row>
    <row r="172" spans="1:2" x14ac:dyDescent="0.2">
      <c r="A172" s="15" t="s">
        <v>252</v>
      </c>
      <c r="B172" s="15" t="s">
        <v>251</v>
      </c>
    </row>
    <row r="173" spans="1:2" x14ac:dyDescent="0.2">
      <c r="A173" s="15" t="s">
        <v>406</v>
      </c>
      <c r="B173" s="15" t="s">
        <v>405</v>
      </c>
    </row>
    <row r="174" spans="1:2" x14ac:dyDescent="0.2">
      <c r="A174" s="15" t="s">
        <v>330</v>
      </c>
      <c r="B174" s="15" t="s">
        <v>329</v>
      </c>
    </row>
    <row r="175" spans="1:2" x14ac:dyDescent="0.2">
      <c r="A175" s="15" t="s">
        <v>304</v>
      </c>
      <c r="B175" s="15" t="s">
        <v>303</v>
      </c>
    </row>
    <row r="176" spans="1:2" x14ac:dyDescent="0.2">
      <c r="A176" s="15" t="s">
        <v>408</v>
      </c>
      <c r="B176" s="15" t="s">
        <v>407</v>
      </c>
    </row>
    <row r="177" spans="1:2" x14ac:dyDescent="0.2">
      <c r="A177" s="15" t="s">
        <v>438</v>
      </c>
      <c r="B177" s="15" t="s">
        <v>437</v>
      </c>
    </row>
    <row r="178" spans="1:2" x14ac:dyDescent="0.2">
      <c r="A178" s="15" t="s">
        <v>440</v>
      </c>
      <c r="B178" s="15" t="s">
        <v>439</v>
      </c>
    </row>
    <row r="179" spans="1:2" x14ac:dyDescent="0.2">
      <c r="A179" s="15" t="s">
        <v>178</v>
      </c>
      <c r="B179" s="15" t="s">
        <v>177</v>
      </c>
    </row>
    <row r="180" spans="1:2" x14ac:dyDescent="0.2">
      <c r="A180" s="15" t="s">
        <v>487</v>
      </c>
      <c r="B180" s="15" t="s">
        <v>486</v>
      </c>
    </row>
    <row r="181" spans="1:2" x14ac:dyDescent="0.2">
      <c r="A181" s="15" t="s">
        <v>254</v>
      </c>
      <c r="B181" s="15" t="s">
        <v>253</v>
      </c>
    </row>
    <row r="182" spans="1:2" x14ac:dyDescent="0.2">
      <c r="A182" s="15" t="s">
        <v>306</v>
      </c>
      <c r="B182" s="15" t="s">
        <v>305</v>
      </c>
    </row>
    <row r="183" spans="1:2" x14ac:dyDescent="0.2">
      <c r="A183" s="15" t="s">
        <v>412</v>
      </c>
      <c r="B183" s="15" t="s">
        <v>411</v>
      </c>
    </row>
    <row r="184" spans="1:2" x14ac:dyDescent="0.2">
      <c r="A184" s="15" t="s">
        <v>410</v>
      </c>
      <c r="B184" s="15" t="s">
        <v>409</v>
      </c>
    </row>
    <row r="185" spans="1:2" x14ac:dyDescent="0.2">
      <c r="A185" s="15" t="s">
        <v>489</v>
      </c>
      <c r="B185" s="15" t="s">
        <v>488</v>
      </c>
    </row>
    <row r="186" spans="1:2" x14ac:dyDescent="0.2">
      <c r="A186" s="15" t="s">
        <v>489</v>
      </c>
      <c r="B186" s="15" t="s">
        <v>488</v>
      </c>
    </row>
    <row r="187" spans="1:2" x14ac:dyDescent="0.2">
      <c r="A187" s="15" t="s">
        <v>182</v>
      </c>
      <c r="B187" s="15" t="s">
        <v>181</v>
      </c>
    </row>
    <row r="188" spans="1:2" x14ac:dyDescent="0.2">
      <c r="A188" s="15" t="s">
        <v>414</v>
      </c>
      <c r="B188" s="15" t="s">
        <v>413</v>
      </c>
    </row>
    <row r="189" spans="1:2" x14ac:dyDescent="0.2">
      <c r="A189" s="15" t="s">
        <v>268</v>
      </c>
      <c r="B189" s="15" t="s">
        <v>267</v>
      </c>
    </row>
    <row r="190" spans="1:2" x14ac:dyDescent="0.2">
      <c r="A190" s="15" t="s">
        <v>348</v>
      </c>
      <c r="B190" s="15" t="s">
        <v>347</v>
      </c>
    </row>
    <row r="191" spans="1:2" x14ac:dyDescent="0.2">
      <c r="A191" s="15" t="s">
        <v>180</v>
      </c>
      <c r="B191" s="15" t="s">
        <v>179</v>
      </c>
    </row>
    <row r="192" spans="1:2" x14ac:dyDescent="0.2">
      <c r="A192" s="15" t="s">
        <v>258</v>
      </c>
      <c r="B192" s="15" t="s">
        <v>257</v>
      </c>
    </row>
    <row r="193" spans="1:2" x14ac:dyDescent="0.2">
      <c r="A193" s="15" t="s">
        <v>256</v>
      </c>
      <c r="B193" s="15" t="s">
        <v>255</v>
      </c>
    </row>
    <row r="194" spans="1:2" x14ac:dyDescent="0.2">
      <c r="A194" s="15" t="s">
        <v>416</v>
      </c>
      <c r="B194" s="15" t="s">
        <v>415</v>
      </c>
    </row>
    <row r="195" spans="1:2" x14ac:dyDescent="0.2">
      <c r="A195" s="15" t="s">
        <v>493</v>
      </c>
      <c r="B195" s="15" t="s">
        <v>492</v>
      </c>
    </row>
    <row r="196" spans="1:2" x14ac:dyDescent="0.2">
      <c r="A196" s="15" t="s">
        <v>262</v>
      </c>
      <c r="B196" s="15" t="s">
        <v>261</v>
      </c>
    </row>
    <row r="197" spans="1:2" x14ac:dyDescent="0.2">
      <c r="A197" s="15" t="s">
        <v>491</v>
      </c>
      <c r="B197" s="15" t="s">
        <v>490</v>
      </c>
    </row>
    <row r="198" spans="1:2" x14ac:dyDescent="0.2">
      <c r="A198" s="15" t="s">
        <v>308</v>
      </c>
      <c r="B198" s="15" t="s">
        <v>307</v>
      </c>
    </row>
    <row r="199" spans="1:2" x14ac:dyDescent="0.2">
      <c r="A199" s="15" t="s">
        <v>186</v>
      </c>
      <c r="B199" s="15" t="s">
        <v>185</v>
      </c>
    </row>
    <row r="200" spans="1:2" x14ac:dyDescent="0.2">
      <c r="A200" s="15" t="s">
        <v>188</v>
      </c>
      <c r="B200" s="15" t="s">
        <v>187</v>
      </c>
    </row>
  </sheetData>
  <pageMargins left="0.7" right="0.7" top="0.75" bottom="0.75" header="0.3" footer="0.3"/>
  <pageSetup paperSize="9" orientation="portrait" horizontalDpi="0" verticalDpi="0" r:id="rId1"/>
  <tableParts count="2">
    <tablePart r:id="rId2"/>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D57E3-A0F2-4853-BCE2-7536928F1094}">
  <sheetPr codeName="Sheet17">
    <tabColor rgb="FF7030A0"/>
  </sheetPr>
  <dimension ref="A1:AL195"/>
  <sheetViews>
    <sheetView workbookViewId="0"/>
  </sheetViews>
  <sheetFormatPr defaultRowHeight="12.75" x14ac:dyDescent="0.2"/>
  <cols>
    <col min="1" max="1" width="16.28515625" customWidth="1"/>
    <col min="2" max="2" width="18.42578125" customWidth="1"/>
    <col min="3" max="3" width="15" customWidth="1"/>
    <col min="4" max="4" width="13.28515625" customWidth="1"/>
    <col min="5" max="5" width="20.28515625" customWidth="1"/>
    <col min="6" max="6" width="23.42578125" customWidth="1"/>
    <col min="7" max="7" width="22.28515625" customWidth="1"/>
    <col min="8" max="8" width="18.7109375" customWidth="1"/>
    <col min="9" max="9" width="11.28515625" customWidth="1"/>
    <col min="10" max="10" width="14.7109375" customWidth="1"/>
    <col min="11" max="11" width="14.42578125" customWidth="1"/>
    <col min="12" max="15" width="14.7109375" customWidth="1"/>
    <col min="16" max="16" width="11.7109375" customWidth="1"/>
    <col min="17" max="17" width="14" customWidth="1"/>
    <col min="18" max="25" width="14.28515625" customWidth="1"/>
    <col min="26" max="26" width="14" customWidth="1"/>
    <col min="27" max="27" width="13.7109375" customWidth="1"/>
    <col min="28" max="35" width="14" customWidth="1"/>
    <col min="36" max="37" width="14.28515625" customWidth="1"/>
    <col min="38" max="38" width="17.42578125" customWidth="1"/>
  </cols>
  <sheetData>
    <row r="1" spans="1:38" x14ac:dyDescent="0.2">
      <c r="A1" t="s">
        <v>1548</v>
      </c>
      <c r="B1" t="s">
        <v>1549</v>
      </c>
      <c r="C1" t="s">
        <v>1550</v>
      </c>
      <c r="D1" t="s">
        <v>1551</v>
      </c>
      <c r="E1" t="s">
        <v>1552</v>
      </c>
      <c r="F1" t="s">
        <v>1553</v>
      </c>
      <c r="G1" t="s">
        <v>53</v>
      </c>
      <c r="H1" t="s">
        <v>54</v>
      </c>
      <c r="I1" t="s">
        <v>55</v>
      </c>
      <c r="J1" t="s">
        <v>56</v>
      </c>
      <c r="K1" t="s">
        <v>57</v>
      </c>
      <c r="L1" t="s">
        <v>58</v>
      </c>
      <c r="M1" t="s">
        <v>59</v>
      </c>
      <c r="N1" t="s">
        <v>60</v>
      </c>
      <c r="O1" t="s">
        <v>61</v>
      </c>
      <c r="P1" t="s">
        <v>62</v>
      </c>
      <c r="Q1" t="s">
        <v>63</v>
      </c>
      <c r="R1" t="s">
        <v>64</v>
      </c>
      <c r="S1" t="s">
        <v>65</v>
      </c>
      <c r="T1" t="s">
        <v>66</v>
      </c>
      <c r="U1" t="s">
        <v>67</v>
      </c>
      <c r="V1" t="s">
        <v>68</v>
      </c>
      <c r="W1" t="s">
        <v>69</v>
      </c>
      <c r="X1" t="s">
        <v>70</v>
      </c>
      <c r="Y1" t="s">
        <v>71</v>
      </c>
      <c r="Z1" t="s">
        <v>72</v>
      </c>
      <c r="AA1" t="s">
        <v>73</v>
      </c>
      <c r="AB1" t="s">
        <v>74</v>
      </c>
      <c r="AC1" t="s">
        <v>75</v>
      </c>
      <c r="AD1" t="s">
        <v>76</v>
      </c>
      <c r="AE1" t="s">
        <v>77</v>
      </c>
      <c r="AF1" t="s">
        <v>78</v>
      </c>
      <c r="AG1" t="s">
        <v>79</v>
      </c>
      <c r="AH1" t="s">
        <v>80</v>
      </c>
      <c r="AI1" t="s">
        <v>81</v>
      </c>
      <c r="AJ1" t="s">
        <v>82</v>
      </c>
      <c r="AK1" t="s">
        <v>83</v>
      </c>
      <c r="AL1" t="s">
        <v>84</v>
      </c>
    </row>
    <row r="2" spans="1:38" x14ac:dyDescent="0.2">
      <c r="A2" t="s">
        <v>263</v>
      </c>
      <c r="B2" t="s">
        <v>264</v>
      </c>
      <c r="C2" t="s">
        <v>265</v>
      </c>
      <c r="D2" t="s">
        <v>266</v>
      </c>
      <c r="E2" t="s">
        <v>93</v>
      </c>
      <c r="F2" t="s">
        <v>94</v>
      </c>
      <c r="H2">
        <v>1</v>
      </c>
      <c r="I2">
        <v>1</v>
      </c>
      <c r="J2">
        <v>0.3665899932384491</v>
      </c>
      <c r="K2">
        <v>2.9491000175476074</v>
      </c>
      <c r="L2">
        <v>1.2241599559783936</v>
      </c>
      <c r="M2">
        <v>0.18330000340938568</v>
      </c>
      <c r="N2">
        <v>9.8190002143383026E-2</v>
      </c>
      <c r="O2">
        <v>8.5100002586841583E-2</v>
      </c>
      <c r="Q2">
        <v>2.9830000400543213</v>
      </c>
      <c r="R2">
        <v>9954</v>
      </c>
      <c r="U2">
        <v>9954</v>
      </c>
      <c r="V2">
        <v>1.4759999513626099</v>
      </c>
      <c r="W2">
        <v>4925</v>
      </c>
      <c r="X2">
        <v>4925</v>
      </c>
      <c r="Z2">
        <v>3.2999999821186066E-2</v>
      </c>
      <c r="AA2">
        <v>111</v>
      </c>
      <c r="AD2">
        <v>0.5130000114440918</v>
      </c>
      <c r="AE2">
        <v>1711</v>
      </c>
      <c r="AL2">
        <v>4.5</v>
      </c>
    </row>
    <row r="3" spans="1:38" x14ac:dyDescent="0.2">
      <c r="A3" t="s">
        <v>309</v>
      </c>
      <c r="B3" t="s">
        <v>310</v>
      </c>
      <c r="C3" t="s">
        <v>311</v>
      </c>
      <c r="D3" t="s">
        <v>312</v>
      </c>
      <c r="E3" t="s">
        <v>101</v>
      </c>
      <c r="F3" t="s">
        <v>90</v>
      </c>
      <c r="J3">
        <v>1.3550699949264526</v>
      </c>
      <c r="K3">
        <v>13.07798957824707</v>
      </c>
      <c r="M3">
        <v>0.7247999906539917</v>
      </c>
      <c r="N3">
        <v>0.34663999080657959</v>
      </c>
      <c r="O3">
        <v>0.28361999988555908</v>
      </c>
      <c r="P3">
        <v>0.17000000178813934</v>
      </c>
      <c r="AL3">
        <v>22.299999237060547</v>
      </c>
    </row>
    <row r="4" spans="1:38" x14ac:dyDescent="0.2">
      <c r="A4" t="s">
        <v>117</v>
      </c>
      <c r="B4" t="s">
        <v>118</v>
      </c>
      <c r="C4" t="s">
        <v>87</v>
      </c>
      <c r="D4" t="s">
        <v>119</v>
      </c>
      <c r="E4" t="s">
        <v>89</v>
      </c>
      <c r="F4" t="s">
        <v>90</v>
      </c>
      <c r="V4">
        <v>2.8619999885559082</v>
      </c>
      <c r="W4">
        <v>11139</v>
      </c>
      <c r="Y4">
        <v>11139</v>
      </c>
      <c r="AL4">
        <v>26.600000381469727</v>
      </c>
    </row>
    <row r="5" spans="1:38" x14ac:dyDescent="0.2">
      <c r="A5" t="s">
        <v>313</v>
      </c>
      <c r="B5" t="s">
        <v>314</v>
      </c>
      <c r="C5" t="s">
        <v>311</v>
      </c>
      <c r="D5" t="s">
        <v>312</v>
      </c>
      <c r="E5" t="s">
        <v>152</v>
      </c>
      <c r="F5" t="s">
        <v>197</v>
      </c>
      <c r="AL5">
        <v>28</v>
      </c>
    </row>
    <row r="6" spans="1:38" x14ac:dyDescent="0.2">
      <c r="A6" t="s">
        <v>85</v>
      </c>
      <c r="B6" t="s">
        <v>86</v>
      </c>
      <c r="C6" t="s">
        <v>87</v>
      </c>
      <c r="D6" t="s">
        <v>88</v>
      </c>
      <c r="E6" t="s">
        <v>89</v>
      </c>
      <c r="F6" t="s">
        <v>90</v>
      </c>
      <c r="AL6">
        <v>6.8000001907348633</v>
      </c>
    </row>
    <row r="7" spans="1:38" x14ac:dyDescent="0.2">
      <c r="A7" t="s">
        <v>193</v>
      </c>
      <c r="B7" t="s">
        <v>194</v>
      </c>
      <c r="C7" t="s">
        <v>191</v>
      </c>
      <c r="D7" t="s">
        <v>192</v>
      </c>
      <c r="E7" t="s">
        <v>152</v>
      </c>
      <c r="F7" t="s">
        <v>90</v>
      </c>
      <c r="J7">
        <v>1.111299991607666</v>
      </c>
      <c r="O7">
        <v>1.111299991607666</v>
      </c>
      <c r="V7">
        <v>46.868000030517578</v>
      </c>
      <c r="W7">
        <v>434</v>
      </c>
      <c r="X7">
        <v>434</v>
      </c>
      <c r="Z7">
        <v>0.43200001120567322</v>
      </c>
      <c r="AA7">
        <v>4</v>
      </c>
      <c r="AB7">
        <v>7</v>
      </c>
      <c r="AL7">
        <v>19.100000381469727</v>
      </c>
    </row>
    <row r="8" spans="1:38" x14ac:dyDescent="0.2">
      <c r="A8" t="s">
        <v>189</v>
      </c>
      <c r="B8" t="s">
        <v>190</v>
      </c>
      <c r="C8" t="s">
        <v>191</v>
      </c>
      <c r="D8" t="s">
        <v>192</v>
      </c>
      <c r="E8" t="s">
        <v>101</v>
      </c>
      <c r="F8" t="s">
        <v>90</v>
      </c>
      <c r="P8">
        <v>0.36000001430511475</v>
      </c>
      <c r="AL8">
        <v>28.5</v>
      </c>
    </row>
    <row r="9" spans="1:38" x14ac:dyDescent="0.2">
      <c r="A9" t="s">
        <v>315</v>
      </c>
      <c r="B9" t="s">
        <v>316</v>
      </c>
      <c r="C9" t="s">
        <v>311</v>
      </c>
      <c r="D9" t="s">
        <v>312</v>
      </c>
      <c r="E9" t="s">
        <v>101</v>
      </c>
      <c r="F9" t="s">
        <v>90</v>
      </c>
      <c r="J9">
        <v>4.0314898490905762</v>
      </c>
      <c r="K9">
        <v>7.9957900047302246</v>
      </c>
      <c r="L9">
        <v>0.53753000497817993</v>
      </c>
      <c r="M9">
        <v>1.8141700029373169</v>
      </c>
      <c r="N9">
        <v>1.5789999961853027</v>
      </c>
      <c r="O9">
        <v>0.63832002878189087</v>
      </c>
      <c r="Q9">
        <v>28.927999496459961</v>
      </c>
      <c r="R9">
        <v>8425</v>
      </c>
      <c r="S9">
        <v>1493</v>
      </c>
      <c r="T9">
        <v>6932</v>
      </c>
      <c r="V9">
        <v>51.551998138427734</v>
      </c>
      <c r="W9">
        <v>15014</v>
      </c>
      <c r="X9">
        <v>13726</v>
      </c>
      <c r="Y9">
        <v>1288</v>
      </c>
      <c r="Z9">
        <v>3.9070000648498535</v>
      </c>
      <c r="AA9">
        <v>1138</v>
      </c>
      <c r="AD9">
        <v>0.51499998569488525</v>
      </c>
      <c r="AE9">
        <v>150</v>
      </c>
      <c r="AL9">
        <v>20.899999618530273</v>
      </c>
    </row>
    <row r="10" spans="1:38" x14ac:dyDescent="0.2">
      <c r="A10" t="s">
        <v>441</v>
      </c>
      <c r="B10" t="s">
        <v>442</v>
      </c>
      <c r="C10" t="s">
        <v>443</v>
      </c>
      <c r="D10" t="s">
        <v>424</v>
      </c>
      <c r="E10" t="s">
        <v>152</v>
      </c>
      <c r="F10" t="s">
        <v>197</v>
      </c>
      <c r="Q10">
        <v>34.313999176025391</v>
      </c>
      <c r="R10">
        <v>80968</v>
      </c>
      <c r="S10">
        <v>36192</v>
      </c>
      <c r="T10">
        <v>39253</v>
      </c>
      <c r="U10">
        <v>5523</v>
      </c>
      <c r="V10">
        <v>121.10700225830078</v>
      </c>
      <c r="W10">
        <v>285769</v>
      </c>
      <c r="X10">
        <v>264876</v>
      </c>
      <c r="Y10">
        <v>20893</v>
      </c>
      <c r="Z10">
        <v>5.7090001106262207</v>
      </c>
      <c r="AA10">
        <v>13472</v>
      </c>
      <c r="AD10">
        <v>8.3299999237060547</v>
      </c>
      <c r="AE10">
        <v>19655</v>
      </c>
      <c r="AL10">
        <v>30.399999618530273</v>
      </c>
    </row>
    <row r="11" spans="1:38" x14ac:dyDescent="0.2">
      <c r="A11" t="s">
        <v>317</v>
      </c>
      <c r="B11" t="s">
        <v>318</v>
      </c>
      <c r="C11" t="s">
        <v>311</v>
      </c>
      <c r="D11" t="s">
        <v>312</v>
      </c>
      <c r="E11" t="s">
        <v>152</v>
      </c>
      <c r="F11" t="s">
        <v>197</v>
      </c>
      <c r="P11">
        <v>0.93999999761581421</v>
      </c>
      <c r="Q11">
        <v>50.359001159667969</v>
      </c>
      <c r="R11">
        <v>43385</v>
      </c>
      <c r="S11">
        <v>14130</v>
      </c>
      <c r="T11">
        <v>22902</v>
      </c>
      <c r="U11">
        <v>6353</v>
      </c>
      <c r="V11">
        <v>69.806999206542969</v>
      </c>
      <c r="W11">
        <v>60140</v>
      </c>
      <c r="X11">
        <v>58040</v>
      </c>
      <c r="Y11">
        <v>2100</v>
      </c>
      <c r="Z11">
        <v>5.6789999008178711</v>
      </c>
      <c r="AA11">
        <v>4893</v>
      </c>
      <c r="AD11">
        <v>6.9629998207092285</v>
      </c>
      <c r="AE11">
        <v>5999</v>
      </c>
      <c r="AL11">
        <v>21.899999618530273</v>
      </c>
    </row>
    <row r="12" spans="1:38" x14ac:dyDescent="0.2">
      <c r="A12" t="s">
        <v>319</v>
      </c>
      <c r="B12" t="s">
        <v>320</v>
      </c>
      <c r="C12" t="s">
        <v>311</v>
      </c>
      <c r="D12" t="s">
        <v>312</v>
      </c>
      <c r="E12" t="s">
        <v>101</v>
      </c>
      <c r="F12" t="s">
        <v>90</v>
      </c>
      <c r="J12">
        <v>7.9673500061035156</v>
      </c>
      <c r="L12">
        <v>7.436190128326416</v>
      </c>
      <c r="M12">
        <v>5.3115701675415039</v>
      </c>
      <c r="N12">
        <v>2.1246299743652344</v>
      </c>
      <c r="O12">
        <v>0.53115999698638916</v>
      </c>
      <c r="Q12">
        <v>34.459999084472656</v>
      </c>
      <c r="R12">
        <v>32756</v>
      </c>
      <c r="S12">
        <v>8307</v>
      </c>
      <c r="T12">
        <v>18405</v>
      </c>
      <c r="U12">
        <v>6044</v>
      </c>
      <c r="V12">
        <v>64.337997436523438</v>
      </c>
      <c r="W12">
        <v>61157</v>
      </c>
      <c r="X12">
        <v>56148</v>
      </c>
      <c r="Y12">
        <v>5009</v>
      </c>
      <c r="Z12">
        <v>2.7360000610351563</v>
      </c>
      <c r="AA12">
        <v>2601</v>
      </c>
      <c r="AD12">
        <v>1.9960000514984131</v>
      </c>
      <c r="AE12">
        <v>1897</v>
      </c>
      <c r="AL12">
        <v>19.899999618530273</v>
      </c>
    </row>
    <row r="13" spans="1:38" x14ac:dyDescent="0.2">
      <c r="A13" t="s">
        <v>195</v>
      </c>
      <c r="B13" t="s">
        <v>196</v>
      </c>
      <c r="C13" t="s">
        <v>191</v>
      </c>
      <c r="D13" t="s">
        <v>192</v>
      </c>
      <c r="E13" t="s">
        <v>152</v>
      </c>
      <c r="F13" t="s">
        <v>197</v>
      </c>
      <c r="J13">
        <v>1.0599600076675415</v>
      </c>
      <c r="K13">
        <v>39.748371124267578</v>
      </c>
      <c r="L13">
        <v>0</v>
      </c>
      <c r="M13">
        <v>0</v>
      </c>
      <c r="N13">
        <v>0.79496997594833374</v>
      </c>
      <c r="O13">
        <v>0.26499000191688538</v>
      </c>
      <c r="AL13">
        <v>32.099998474121094</v>
      </c>
    </row>
    <row r="14" spans="1:38" x14ac:dyDescent="0.2">
      <c r="A14" t="s">
        <v>269</v>
      </c>
      <c r="B14" t="s">
        <v>270</v>
      </c>
      <c r="C14" t="s">
        <v>265</v>
      </c>
      <c r="D14" t="s">
        <v>119</v>
      </c>
      <c r="E14" t="s">
        <v>152</v>
      </c>
      <c r="F14" t="s">
        <v>197</v>
      </c>
      <c r="Q14">
        <v>9.5729999542236328</v>
      </c>
      <c r="R14">
        <v>1279</v>
      </c>
      <c r="U14">
        <v>1279</v>
      </c>
      <c r="V14">
        <v>24.923000335693359</v>
      </c>
      <c r="W14">
        <v>3330</v>
      </c>
      <c r="X14">
        <v>3330</v>
      </c>
      <c r="Z14">
        <v>0.98000001907348633</v>
      </c>
      <c r="AA14">
        <v>131</v>
      </c>
      <c r="AC14">
        <v>208</v>
      </c>
      <c r="AD14">
        <v>1.6390000581741333</v>
      </c>
      <c r="AE14">
        <v>219</v>
      </c>
      <c r="AI14">
        <v>2</v>
      </c>
      <c r="AJ14">
        <v>292</v>
      </c>
      <c r="AL14">
        <v>28.700000762939453</v>
      </c>
    </row>
    <row r="15" spans="1:38" x14ac:dyDescent="0.2">
      <c r="A15" t="s">
        <v>417</v>
      </c>
      <c r="B15" t="s">
        <v>418</v>
      </c>
      <c r="C15" t="s">
        <v>419</v>
      </c>
      <c r="D15" t="s">
        <v>266</v>
      </c>
      <c r="E15" t="s">
        <v>89</v>
      </c>
      <c r="F15" t="s">
        <v>94</v>
      </c>
      <c r="J15">
        <v>0.16666999459266663</v>
      </c>
      <c r="K15">
        <v>6.2083702087402344</v>
      </c>
      <c r="L15">
        <v>1.7240000888705254E-2</v>
      </c>
      <c r="M15">
        <v>3.7680000066757202E-2</v>
      </c>
      <c r="N15">
        <v>8.4930002689361572E-2</v>
      </c>
      <c r="O15">
        <v>4.4059999287128448E-2</v>
      </c>
      <c r="Q15">
        <v>4.8870000839233398</v>
      </c>
      <c r="R15">
        <v>75514</v>
      </c>
      <c r="U15">
        <v>75514</v>
      </c>
      <c r="V15">
        <v>2.559999942779541</v>
      </c>
      <c r="W15">
        <v>39552</v>
      </c>
      <c r="X15">
        <v>38452</v>
      </c>
      <c r="Y15">
        <v>1100</v>
      </c>
      <c r="Z15">
        <v>0.41200000047683716</v>
      </c>
      <c r="AA15">
        <v>6360</v>
      </c>
      <c r="AD15">
        <v>0.78899997472763062</v>
      </c>
      <c r="AE15">
        <v>12199</v>
      </c>
      <c r="AF15">
        <v>71210</v>
      </c>
      <c r="AL15">
        <v>3.4000000953674316</v>
      </c>
    </row>
    <row r="16" spans="1:38" x14ac:dyDescent="0.2">
      <c r="A16" t="s">
        <v>204</v>
      </c>
      <c r="B16" t="s">
        <v>205</v>
      </c>
      <c r="C16" t="s">
        <v>191</v>
      </c>
      <c r="D16" t="s">
        <v>192</v>
      </c>
      <c r="E16" t="s">
        <v>152</v>
      </c>
      <c r="F16" t="s">
        <v>197</v>
      </c>
      <c r="J16">
        <v>1.0539499521255493</v>
      </c>
      <c r="K16">
        <v>3.8644800186157227</v>
      </c>
      <c r="L16">
        <v>0</v>
      </c>
      <c r="M16">
        <v>0</v>
      </c>
      <c r="N16">
        <v>0.70262998342514038</v>
      </c>
      <c r="O16">
        <v>0.35131999850273132</v>
      </c>
      <c r="AL16">
        <v>24.799999237060547</v>
      </c>
    </row>
    <row r="17" spans="1:38" x14ac:dyDescent="0.2">
      <c r="A17" t="s">
        <v>327</v>
      </c>
      <c r="B17" t="s">
        <v>328</v>
      </c>
      <c r="C17" t="s">
        <v>311</v>
      </c>
      <c r="D17" t="s">
        <v>312</v>
      </c>
      <c r="E17" t="s">
        <v>101</v>
      </c>
      <c r="F17" t="s">
        <v>90</v>
      </c>
      <c r="J17">
        <v>7.4492301940917969</v>
      </c>
      <c r="K17">
        <v>15.358019828796387</v>
      </c>
      <c r="L17">
        <v>2.8642599582672119</v>
      </c>
      <c r="M17">
        <v>4.1147098541259766</v>
      </c>
      <c r="N17">
        <v>2.78944993019104</v>
      </c>
      <c r="O17">
        <v>0.54506999254226685</v>
      </c>
      <c r="Q17">
        <v>50.119998931884766</v>
      </c>
      <c r="R17">
        <v>47272</v>
      </c>
      <c r="U17">
        <v>47272</v>
      </c>
      <c r="V17">
        <v>109.822998046875</v>
      </c>
      <c r="W17">
        <v>103582</v>
      </c>
      <c r="X17">
        <v>98674</v>
      </c>
      <c r="Y17">
        <v>4908</v>
      </c>
      <c r="Z17">
        <v>5.7399997711181641</v>
      </c>
      <c r="AA17">
        <v>5414</v>
      </c>
      <c r="AD17">
        <v>3.434999942779541</v>
      </c>
      <c r="AE17">
        <v>3240</v>
      </c>
      <c r="AL17">
        <v>26.600000381469727</v>
      </c>
    </row>
    <row r="18" spans="1:38" x14ac:dyDescent="0.2">
      <c r="A18" t="s">
        <v>321</v>
      </c>
      <c r="B18" t="s">
        <v>322</v>
      </c>
      <c r="C18" t="s">
        <v>311</v>
      </c>
      <c r="D18" t="s">
        <v>312</v>
      </c>
      <c r="E18" t="s">
        <v>152</v>
      </c>
      <c r="F18" t="s">
        <v>197</v>
      </c>
      <c r="P18">
        <v>0.87999999523162842</v>
      </c>
      <c r="Q18">
        <v>29.722999572753906</v>
      </c>
      <c r="R18">
        <v>33353</v>
      </c>
      <c r="S18">
        <v>12560</v>
      </c>
      <c r="T18">
        <v>20389</v>
      </c>
      <c r="U18">
        <v>404</v>
      </c>
      <c r="V18">
        <v>111.91400146484375</v>
      </c>
      <c r="W18">
        <v>125581</v>
      </c>
      <c r="X18">
        <v>118608</v>
      </c>
      <c r="Y18">
        <v>6973</v>
      </c>
      <c r="Z18">
        <v>7.2259998321533203</v>
      </c>
      <c r="AA18">
        <v>8108</v>
      </c>
      <c r="AD18">
        <v>12.038000106811523</v>
      </c>
      <c r="AE18">
        <v>13508</v>
      </c>
      <c r="AL18">
        <v>24.5</v>
      </c>
    </row>
    <row r="19" spans="1:38" x14ac:dyDescent="0.2">
      <c r="A19" t="s">
        <v>198</v>
      </c>
      <c r="B19" t="s">
        <v>199</v>
      </c>
      <c r="C19" t="s">
        <v>191</v>
      </c>
      <c r="D19" t="s">
        <v>192</v>
      </c>
      <c r="E19" t="s">
        <v>101</v>
      </c>
      <c r="F19" t="s">
        <v>90</v>
      </c>
      <c r="J19">
        <v>2.1090700626373291</v>
      </c>
      <c r="K19">
        <v>12.051819801330566</v>
      </c>
      <c r="L19">
        <v>12.051819801330566</v>
      </c>
      <c r="M19">
        <v>1.2051800489425659</v>
      </c>
      <c r="N19">
        <v>0.30129998922348022</v>
      </c>
      <c r="O19">
        <v>0.60259002447128296</v>
      </c>
      <c r="Q19">
        <v>5.6589999198913574</v>
      </c>
      <c r="R19">
        <v>200</v>
      </c>
      <c r="U19">
        <v>200</v>
      </c>
      <c r="V19">
        <v>1773.06201171875</v>
      </c>
      <c r="W19">
        <v>62660</v>
      </c>
      <c r="X19">
        <v>62660</v>
      </c>
      <c r="AL19">
        <v>22.399999618530273</v>
      </c>
    </row>
    <row r="20" spans="1:38" x14ac:dyDescent="0.2">
      <c r="A20" t="s">
        <v>95</v>
      </c>
      <c r="B20" t="s">
        <v>96</v>
      </c>
      <c r="C20" t="s">
        <v>87</v>
      </c>
      <c r="D20" t="s">
        <v>88</v>
      </c>
      <c r="E20" t="s">
        <v>89</v>
      </c>
      <c r="F20" t="s">
        <v>94</v>
      </c>
      <c r="I20">
        <v>1</v>
      </c>
      <c r="J20">
        <v>0.4068399965763092</v>
      </c>
      <c r="L20">
        <v>5.453589916229248</v>
      </c>
      <c r="M20">
        <v>0.25185000896453857</v>
      </c>
      <c r="N20">
        <v>4.8429999500513077E-2</v>
      </c>
      <c r="O20">
        <v>0.10655000060796738</v>
      </c>
      <c r="AL20">
        <v>8.1999998092651367</v>
      </c>
    </row>
    <row r="21" spans="1:38" x14ac:dyDescent="0.2">
      <c r="A21" t="s">
        <v>420</v>
      </c>
      <c r="B21" t="s">
        <v>421</v>
      </c>
      <c r="C21" t="s">
        <v>419</v>
      </c>
      <c r="D21" t="s">
        <v>266</v>
      </c>
      <c r="E21" t="s">
        <v>89</v>
      </c>
      <c r="F21" t="s">
        <v>94</v>
      </c>
      <c r="J21">
        <v>1.7242599725723267</v>
      </c>
      <c r="K21">
        <v>25.465980529785156</v>
      </c>
      <c r="L21">
        <v>1.5916199684143066</v>
      </c>
      <c r="M21">
        <v>1.3263499736785889</v>
      </c>
      <c r="N21">
        <v>0.26526999473571777</v>
      </c>
      <c r="O21">
        <v>0.13264000415802002</v>
      </c>
      <c r="Q21">
        <v>3.3929998874664307</v>
      </c>
      <c r="R21">
        <v>244</v>
      </c>
      <c r="U21">
        <v>244</v>
      </c>
      <c r="V21">
        <v>13.307999610900879</v>
      </c>
      <c r="W21">
        <v>957</v>
      </c>
      <c r="X21">
        <v>957</v>
      </c>
      <c r="AD21">
        <v>0.19499999284744263</v>
      </c>
      <c r="AE21">
        <v>14</v>
      </c>
      <c r="AL21">
        <v>5.8000001907348633</v>
      </c>
    </row>
    <row r="22" spans="1:38" x14ac:dyDescent="0.2">
      <c r="A22" t="s">
        <v>200</v>
      </c>
      <c r="B22" t="s">
        <v>201</v>
      </c>
      <c r="C22" t="s">
        <v>191</v>
      </c>
      <c r="D22" t="s">
        <v>192</v>
      </c>
      <c r="E22" t="s">
        <v>89</v>
      </c>
      <c r="F22" t="s">
        <v>90</v>
      </c>
      <c r="I22">
        <v>1</v>
      </c>
      <c r="J22">
        <v>1.0683000087738037</v>
      </c>
      <c r="K22">
        <v>13.794139862060547</v>
      </c>
      <c r="L22">
        <v>8.7806396484375</v>
      </c>
      <c r="M22">
        <v>0.77779000997543335</v>
      </c>
      <c r="O22">
        <v>0.2904999852180481</v>
      </c>
      <c r="AL22">
        <v>18.700000762939453</v>
      </c>
    </row>
    <row r="23" spans="1:38" x14ac:dyDescent="0.2">
      <c r="A23" t="s">
        <v>325</v>
      </c>
      <c r="B23" t="s">
        <v>326</v>
      </c>
      <c r="C23" t="s">
        <v>311</v>
      </c>
      <c r="D23" t="s">
        <v>312</v>
      </c>
      <c r="E23" t="s">
        <v>101</v>
      </c>
      <c r="F23" t="s">
        <v>90</v>
      </c>
      <c r="J23">
        <v>1.0184600353240967</v>
      </c>
      <c r="K23">
        <v>42.044158935546875</v>
      </c>
      <c r="L23">
        <v>0</v>
      </c>
      <c r="M23">
        <v>2.6110000908374786E-2</v>
      </c>
      <c r="N23">
        <v>0.86176997423171997</v>
      </c>
      <c r="O23">
        <v>0.13056999444961548</v>
      </c>
      <c r="Q23">
        <v>21.326000213623047</v>
      </c>
      <c r="R23">
        <v>7426</v>
      </c>
      <c r="S23">
        <v>753</v>
      </c>
      <c r="T23">
        <v>5627</v>
      </c>
      <c r="U23">
        <v>1046</v>
      </c>
      <c r="V23">
        <v>61.319000244140625</v>
      </c>
      <c r="W23">
        <v>21352</v>
      </c>
      <c r="X23">
        <v>20239</v>
      </c>
      <c r="Y23">
        <v>1113</v>
      </c>
      <c r="Z23">
        <v>2.3689999580383301</v>
      </c>
      <c r="AA23">
        <v>825</v>
      </c>
      <c r="AD23">
        <v>1.2660000324249268</v>
      </c>
      <c r="AE23">
        <v>441</v>
      </c>
      <c r="AL23">
        <v>19.399999618530273</v>
      </c>
    </row>
    <row r="24" spans="1:38" x14ac:dyDescent="0.2">
      <c r="A24" t="s">
        <v>99</v>
      </c>
      <c r="B24" t="s">
        <v>100</v>
      </c>
      <c r="C24" t="s">
        <v>87</v>
      </c>
      <c r="D24" t="s">
        <v>88</v>
      </c>
      <c r="E24" t="s">
        <v>101</v>
      </c>
      <c r="F24" t="s">
        <v>90</v>
      </c>
      <c r="J24">
        <v>1.2863999605178833</v>
      </c>
      <c r="M24">
        <v>0.79163002967834473</v>
      </c>
      <c r="N24">
        <v>0.34634000062942505</v>
      </c>
      <c r="O24">
        <v>0.14843000471591949</v>
      </c>
      <c r="AL24">
        <v>16.100000381469727</v>
      </c>
    </row>
    <row r="25" spans="1:38" x14ac:dyDescent="0.2">
      <c r="A25" t="s">
        <v>202</v>
      </c>
      <c r="B25" t="s">
        <v>203</v>
      </c>
      <c r="C25" t="s">
        <v>191</v>
      </c>
      <c r="D25" t="s">
        <v>192</v>
      </c>
      <c r="E25" t="s">
        <v>101</v>
      </c>
      <c r="F25" t="s">
        <v>90</v>
      </c>
      <c r="V25">
        <v>87.879997253417969</v>
      </c>
      <c r="W25">
        <v>1781878</v>
      </c>
      <c r="X25">
        <v>1781878</v>
      </c>
      <c r="AL25">
        <v>22.299999237060547</v>
      </c>
    </row>
    <row r="26" spans="1:38" x14ac:dyDescent="0.2">
      <c r="A26" t="s">
        <v>444</v>
      </c>
      <c r="B26" t="s">
        <v>445</v>
      </c>
      <c r="C26" t="s">
        <v>443</v>
      </c>
      <c r="D26" t="s">
        <v>424</v>
      </c>
      <c r="E26" t="s">
        <v>152</v>
      </c>
      <c r="F26" t="s">
        <v>197</v>
      </c>
      <c r="J26">
        <v>1.4361499547958374</v>
      </c>
      <c r="K26">
        <v>3.3510100841522217</v>
      </c>
      <c r="L26">
        <v>0.47872000932693481</v>
      </c>
      <c r="M26">
        <v>0.71806997060775757</v>
      </c>
      <c r="N26">
        <v>0.47872000932693481</v>
      </c>
      <c r="O26">
        <v>0.23936000466346741</v>
      </c>
      <c r="Q26">
        <v>15.104999542236328</v>
      </c>
      <c r="R26">
        <v>619</v>
      </c>
      <c r="S26">
        <v>262</v>
      </c>
      <c r="T26">
        <v>357</v>
      </c>
      <c r="V26">
        <v>62.958000183105469</v>
      </c>
      <c r="W26">
        <v>2580</v>
      </c>
      <c r="X26">
        <v>2580</v>
      </c>
      <c r="AB26">
        <v>266</v>
      </c>
      <c r="AG26">
        <v>308</v>
      </c>
      <c r="AH26">
        <v>350</v>
      </c>
      <c r="AJ26">
        <v>211</v>
      </c>
      <c r="AL26">
        <v>14.699999809265137</v>
      </c>
    </row>
    <row r="27" spans="1:38" x14ac:dyDescent="0.2">
      <c r="A27" t="s">
        <v>323</v>
      </c>
      <c r="B27" t="s">
        <v>324</v>
      </c>
      <c r="C27" t="s">
        <v>311</v>
      </c>
      <c r="D27" t="s">
        <v>312</v>
      </c>
      <c r="E27" t="s">
        <v>101</v>
      </c>
      <c r="F27" t="s">
        <v>90</v>
      </c>
      <c r="Q27">
        <v>39.75</v>
      </c>
      <c r="R27">
        <v>28801</v>
      </c>
      <c r="S27">
        <v>4747</v>
      </c>
      <c r="T27">
        <v>24054</v>
      </c>
      <c r="V27">
        <v>48.554000854492188</v>
      </c>
      <c r="W27">
        <v>35180</v>
      </c>
      <c r="X27">
        <v>31917</v>
      </c>
      <c r="Y27">
        <v>3263</v>
      </c>
      <c r="Z27">
        <v>9.7360000610351563</v>
      </c>
      <c r="AA27">
        <v>7054</v>
      </c>
      <c r="AL27">
        <v>27.399999618530273</v>
      </c>
    </row>
    <row r="28" spans="1:38" x14ac:dyDescent="0.2">
      <c r="A28" t="s">
        <v>97</v>
      </c>
      <c r="B28" t="s">
        <v>98</v>
      </c>
      <c r="C28" t="s">
        <v>87</v>
      </c>
      <c r="D28" t="s">
        <v>88</v>
      </c>
      <c r="E28" t="s">
        <v>93</v>
      </c>
      <c r="F28" t="s">
        <v>94</v>
      </c>
      <c r="H28">
        <v>1</v>
      </c>
      <c r="I28">
        <v>1</v>
      </c>
      <c r="J28">
        <v>0.30706000328063965</v>
      </c>
      <c r="L28">
        <v>11.886739730834961</v>
      </c>
      <c r="M28">
        <v>0.25391000509262085</v>
      </c>
      <c r="N28">
        <v>0</v>
      </c>
      <c r="O28">
        <v>5.3139999508857727E-2</v>
      </c>
      <c r="Q28">
        <v>0.4869999885559082</v>
      </c>
      <c r="R28">
        <v>857</v>
      </c>
      <c r="U28">
        <v>857</v>
      </c>
      <c r="V28">
        <v>4.6069998741149902</v>
      </c>
      <c r="W28">
        <v>8102</v>
      </c>
      <c r="X28">
        <v>6358</v>
      </c>
      <c r="Y28">
        <v>1744</v>
      </c>
      <c r="AD28">
        <v>0.12300000339746475</v>
      </c>
      <c r="AE28">
        <v>217</v>
      </c>
      <c r="AL28">
        <v>4.5</v>
      </c>
    </row>
    <row r="29" spans="1:38" x14ac:dyDescent="0.2">
      <c r="A29" t="s">
        <v>91</v>
      </c>
      <c r="B29" t="s">
        <v>92</v>
      </c>
      <c r="C29" t="s">
        <v>87</v>
      </c>
      <c r="D29" t="s">
        <v>88</v>
      </c>
      <c r="E29" t="s">
        <v>93</v>
      </c>
      <c r="F29" t="s">
        <v>94</v>
      </c>
      <c r="H29">
        <v>1</v>
      </c>
      <c r="I29">
        <v>1</v>
      </c>
      <c r="J29">
        <v>0.50183999538421631</v>
      </c>
      <c r="K29">
        <v>0</v>
      </c>
      <c r="L29">
        <v>5.0085902214050293</v>
      </c>
      <c r="M29">
        <v>0.32471999526023865</v>
      </c>
      <c r="N29">
        <v>0.14759999513626099</v>
      </c>
      <c r="O29">
        <v>2.9519999399781227E-2</v>
      </c>
      <c r="Q29">
        <v>0.61900001764297485</v>
      </c>
      <c r="R29">
        <v>609</v>
      </c>
      <c r="S29">
        <v>556</v>
      </c>
      <c r="T29">
        <v>53</v>
      </c>
      <c r="V29">
        <v>6.9510002136230469</v>
      </c>
      <c r="W29">
        <v>6843</v>
      </c>
      <c r="X29">
        <v>6819</v>
      </c>
      <c r="Y29">
        <v>24</v>
      </c>
      <c r="AL29">
        <v>4.4000000953674316</v>
      </c>
    </row>
    <row r="30" spans="1:38" x14ac:dyDescent="0.2">
      <c r="A30" t="s">
        <v>104</v>
      </c>
      <c r="B30" t="s">
        <v>520</v>
      </c>
      <c r="C30" t="s">
        <v>87</v>
      </c>
      <c r="D30" t="s">
        <v>88</v>
      </c>
      <c r="E30" t="s">
        <v>89</v>
      </c>
      <c r="F30" t="s">
        <v>94</v>
      </c>
      <c r="I30">
        <v>1</v>
      </c>
      <c r="J30">
        <v>1.7080099582672119</v>
      </c>
      <c r="L30">
        <v>11.832989692687988</v>
      </c>
      <c r="M30">
        <v>1.1567200422286987</v>
      </c>
      <c r="N30">
        <v>0.45284000039100647</v>
      </c>
      <c r="O30">
        <v>9.8439998924732208E-2</v>
      </c>
      <c r="Q30">
        <v>2.3139998912811279</v>
      </c>
      <c r="R30">
        <v>5240</v>
      </c>
      <c r="U30">
        <v>5240</v>
      </c>
      <c r="V30">
        <v>6.2560000419616699</v>
      </c>
      <c r="W30">
        <v>14168</v>
      </c>
      <c r="X30">
        <v>8868</v>
      </c>
      <c r="Y30">
        <v>5300</v>
      </c>
      <c r="Z30">
        <v>0.21600000560283661</v>
      </c>
      <c r="AA30">
        <v>490</v>
      </c>
      <c r="AB30">
        <v>120</v>
      </c>
      <c r="AC30">
        <v>190</v>
      </c>
      <c r="AD30">
        <v>1.0729999542236328</v>
      </c>
      <c r="AE30">
        <v>2430</v>
      </c>
      <c r="AF30">
        <v>2310</v>
      </c>
      <c r="AG30">
        <v>790</v>
      </c>
      <c r="AI30">
        <v>2380</v>
      </c>
      <c r="AJ30">
        <v>1600</v>
      </c>
      <c r="AL30">
        <v>9</v>
      </c>
    </row>
    <row r="31" spans="1:38" x14ac:dyDescent="0.2">
      <c r="A31" t="s">
        <v>115</v>
      </c>
      <c r="B31" t="s">
        <v>116</v>
      </c>
      <c r="C31" t="s">
        <v>87</v>
      </c>
      <c r="D31" t="s">
        <v>88</v>
      </c>
      <c r="E31" t="s">
        <v>89</v>
      </c>
      <c r="F31" t="s">
        <v>108</v>
      </c>
      <c r="J31">
        <v>1.0022100210189819</v>
      </c>
      <c r="K31">
        <v>33.473838806152344</v>
      </c>
      <c r="L31">
        <v>3.8083999156951904</v>
      </c>
      <c r="M31">
        <v>0.6013299822807312</v>
      </c>
      <c r="N31">
        <v>0</v>
      </c>
      <c r="O31">
        <v>0.40088000893592834</v>
      </c>
      <c r="V31">
        <v>9.1840000152587891</v>
      </c>
      <c r="W31">
        <v>476</v>
      </c>
      <c r="X31">
        <v>476</v>
      </c>
      <c r="AL31">
        <v>10.600000381469727</v>
      </c>
    </row>
    <row r="32" spans="1:38" x14ac:dyDescent="0.2">
      <c r="A32" t="s">
        <v>456</v>
      </c>
      <c r="B32" t="s">
        <v>457</v>
      </c>
      <c r="C32" t="s">
        <v>443</v>
      </c>
      <c r="D32" t="s">
        <v>424</v>
      </c>
      <c r="E32" t="s">
        <v>89</v>
      </c>
      <c r="F32" t="s">
        <v>94</v>
      </c>
      <c r="J32">
        <v>0.57481998205184937</v>
      </c>
      <c r="K32">
        <v>0.74660998582839966</v>
      </c>
      <c r="L32">
        <v>6.5542697906494141</v>
      </c>
      <c r="M32">
        <v>0.40303000807762146</v>
      </c>
      <c r="N32">
        <v>0.11231999844312668</v>
      </c>
      <c r="O32">
        <v>5.9459999203681946E-2</v>
      </c>
      <c r="Q32">
        <v>1.9270000457763672</v>
      </c>
      <c r="R32">
        <v>2944</v>
      </c>
      <c r="T32">
        <v>376</v>
      </c>
      <c r="U32">
        <v>2568</v>
      </c>
      <c r="V32">
        <v>9.6219997406005859</v>
      </c>
      <c r="W32">
        <v>14697</v>
      </c>
      <c r="X32">
        <v>9214</v>
      </c>
      <c r="Y32">
        <v>5483</v>
      </c>
      <c r="Z32">
        <v>0.16500000655651093</v>
      </c>
      <c r="AA32">
        <v>252</v>
      </c>
      <c r="AB32">
        <v>125</v>
      </c>
      <c r="AD32">
        <v>0.34400001168251038</v>
      </c>
      <c r="AE32">
        <v>526</v>
      </c>
      <c r="AF32">
        <v>89</v>
      </c>
      <c r="AI32">
        <v>554</v>
      </c>
      <c r="AL32">
        <v>3.5</v>
      </c>
    </row>
    <row r="33" spans="1:38" x14ac:dyDescent="0.2">
      <c r="A33" t="s">
        <v>106</v>
      </c>
      <c r="B33" t="s">
        <v>107</v>
      </c>
      <c r="C33" t="s">
        <v>87</v>
      </c>
      <c r="D33" t="s">
        <v>88</v>
      </c>
      <c r="E33" t="s">
        <v>89</v>
      </c>
      <c r="F33" t="s">
        <v>108</v>
      </c>
      <c r="H33">
        <v>1</v>
      </c>
      <c r="I33">
        <v>1</v>
      </c>
      <c r="J33">
        <v>0.79087001085281372</v>
      </c>
      <c r="K33">
        <v>7.4278898239135742</v>
      </c>
      <c r="L33">
        <v>0.6335899829864502</v>
      </c>
      <c r="M33">
        <v>0.67404001951217651</v>
      </c>
      <c r="N33">
        <v>7.6389998197555542E-2</v>
      </c>
      <c r="O33">
        <v>4.0440000593662262E-2</v>
      </c>
      <c r="AL33">
        <v>9.5</v>
      </c>
    </row>
    <row r="34" spans="1:38" x14ac:dyDescent="0.2">
      <c r="A34" t="s">
        <v>206</v>
      </c>
      <c r="B34" t="s">
        <v>207</v>
      </c>
      <c r="C34" t="s">
        <v>191</v>
      </c>
      <c r="D34" t="s">
        <v>208</v>
      </c>
      <c r="E34" t="s">
        <v>152</v>
      </c>
      <c r="F34" t="s">
        <v>197</v>
      </c>
      <c r="J34">
        <v>2.2682199478149414</v>
      </c>
      <c r="M34">
        <v>0.84987002611160278</v>
      </c>
      <c r="N34">
        <v>1.287600040435791</v>
      </c>
      <c r="O34">
        <v>0.13075000047683716</v>
      </c>
      <c r="P34">
        <v>0.18000000715255737</v>
      </c>
      <c r="V34">
        <v>97.474998474121094</v>
      </c>
      <c r="W34">
        <v>347636</v>
      </c>
      <c r="X34">
        <v>347636</v>
      </c>
      <c r="AL34">
        <v>31.299999237060547</v>
      </c>
    </row>
    <row r="35" spans="1:38" x14ac:dyDescent="0.2">
      <c r="A35" t="s">
        <v>102</v>
      </c>
      <c r="B35" t="s">
        <v>103</v>
      </c>
      <c r="C35" t="s">
        <v>87</v>
      </c>
      <c r="D35" t="s">
        <v>88</v>
      </c>
      <c r="E35" t="s">
        <v>93</v>
      </c>
      <c r="F35" t="s">
        <v>94</v>
      </c>
      <c r="H35">
        <v>1</v>
      </c>
      <c r="I35">
        <v>1</v>
      </c>
      <c r="J35">
        <v>0.47655999660491943</v>
      </c>
      <c r="K35">
        <v>12.17393970489502</v>
      </c>
      <c r="L35">
        <v>1.9928900003433228</v>
      </c>
      <c r="M35">
        <v>0.28159999847412109</v>
      </c>
      <c r="N35">
        <v>0.10830999910831451</v>
      </c>
      <c r="O35">
        <v>8.6649999022483826E-2</v>
      </c>
      <c r="AL35">
        <v>6.3000001907348633</v>
      </c>
    </row>
    <row r="36" spans="1:38" x14ac:dyDescent="0.2">
      <c r="A36" t="s">
        <v>175</v>
      </c>
      <c r="B36" t="s">
        <v>176</v>
      </c>
      <c r="C36" t="s">
        <v>87</v>
      </c>
      <c r="D36" t="s">
        <v>88</v>
      </c>
      <c r="E36" t="s">
        <v>93</v>
      </c>
      <c r="F36" t="s">
        <v>94</v>
      </c>
      <c r="H36">
        <v>1</v>
      </c>
      <c r="I36">
        <v>1</v>
      </c>
      <c r="J36">
        <v>0.65495002269744873</v>
      </c>
      <c r="K36">
        <v>5.879000186920166</v>
      </c>
      <c r="L36">
        <v>0</v>
      </c>
      <c r="M36">
        <v>0.49900999665260315</v>
      </c>
      <c r="N36">
        <v>0.1481499969959259</v>
      </c>
      <c r="O36">
        <v>7.799999788403511E-3</v>
      </c>
      <c r="Q36">
        <v>0.44499999284744263</v>
      </c>
      <c r="R36">
        <v>608</v>
      </c>
      <c r="U36">
        <v>608</v>
      </c>
      <c r="V36">
        <v>2.6389999389648438</v>
      </c>
      <c r="W36">
        <v>3606</v>
      </c>
      <c r="X36">
        <v>3606</v>
      </c>
      <c r="AD36">
        <v>5.7000000029802322E-2</v>
      </c>
      <c r="AE36">
        <v>78</v>
      </c>
      <c r="AL36">
        <v>4.8000001907348633</v>
      </c>
    </row>
    <row r="37" spans="1:38" x14ac:dyDescent="0.2">
      <c r="A37" t="s">
        <v>209</v>
      </c>
      <c r="B37" t="s">
        <v>210</v>
      </c>
      <c r="C37" t="s">
        <v>191</v>
      </c>
      <c r="D37" t="s">
        <v>192</v>
      </c>
      <c r="E37" t="s">
        <v>152</v>
      </c>
      <c r="F37" t="s">
        <v>90</v>
      </c>
      <c r="J37">
        <v>1.0442899465560913</v>
      </c>
      <c r="K37">
        <v>10.68690013885498</v>
      </c>
      <c r="L37">
        <v>0.11918999999761581</v>
      </c>
      <c r="M37">
        <v>0.56755000352859497</v>
      </c>
      <c r="N37">
        <v>0.1248600035905838</v>
      </c>
      <c r="O37">
        <v>0.35188001394271851</v>
      </c>
      <c r="P37">
        <v>0.37000000476837158</v>
      </c>
      <c r="Q37">
        <v>20.277999877929688</v>
      </c>
      <c r="R37">
        <v>36012</v>
      </c>
      <c r="S37">
        <v>17234</v>
      </c>
      <c r="T37">
        <v>18778</v>
      </c>
      <c r="V37">
        <v>92.305000305175781</v>
      </c>
      <c r="W37">
        <v>163924</v>
      </c>
      <c r="X37">
        <v>153039</v>
      </c>
      <c r="Y37">
        <v>10885</v>
      </c>
      <c r="Z37">
        <v>9.0769996643066406</v>
      </c>
      <c r="AA37">
        <v>16119</v>
      </c>
      <c r="AD37">
        <v>4.125</v>
      </c>
      <c r="AE37">
        <v>7325</v>
      </c>
      <c r="AL37">
        <v>28.799999237060547</v>
      </c>
    </row>
    <row r="38" spans="1:38" x14ac:dyDescent="0.2">
      <c r="A38" t="s">
        <v>446</v>
      </c>
      <c r="B38" t="s">
        <v>447</v>
      </c>
      <c r="C38" t="s">
        <v>443</v>
      </c>
      <c r="D38" t="s">
        <v>424</v>
      </c>
      <c r="E38" t="s">
        <v>101</v>
      </c>
      <c r="F38" t="s">
        <v>90</v>
      </c>
      <c r="Q38">
        <v>16.87700080871582</v>
      </c>
      <c r="R38">
        <v>2374917</v>
      </c>
      <c r="U38">
        <v>2374917</v>
      </c>
      <c r="V38">
        <v>21.349000930786133</v>
      </c>
      <c r="W38">
        <v>3004144</v>
      </c>
      <c r="X38">
        <v>3004144</v>
      </c>
      <c r="AD38">
        <v>2.9110000133514404</v>
      </c>
      <c r="AE38">
        <v>409595</v>
      </c>
      <c r="AL38">
        <v>6.5999999046325684</v>
      </c>
    </row>
    <row r="39" spans="1:38" x14ac:dyDescent="0.2">
      <c r="A39" t="s">
        <v>211</v>
      </c>
      <c r="B39" t="s">
        <v>212</v>
      </c>
      <c r="C39" t="s">
        <v>191</v>
      </c>
      <c r="D39" t="s">
        <v>192</v>
      </c>
      <c r="E39" t="s">
        <v>101</v>
      </c>
      <c r="F39" t="s">
        <v>90</v>
      </c>
      <c r="Q39">
        <v>18.534000396728516</v>
      </c>
      <c r="R39">
        <v>87050</v>
      </c>
      <c r="U39">
        <v>87050</v>
      </c>
      <c r="V39">
        <v>11.086999893188477</v>
      </c>
      <c r="W39">
        <v>52074</v>
      </c>
      <c r="X39">
        <v>52074</v>
      </c>
      <c r="AL39">
        <v>22.100000381469727</v>
      </c>
    </row>
    <row r="40" spans="1:38" x14ac:dyDescent="0.2">
      <c r="A40" t="s">
        <v>113</v>
      </c>
      <c r="B40" t="s">
        <v>114</v>
      </c>
      <c r="C40" t="s">
        <v>87</v>
      </c>
      <c r="D40" t="s">
        <v>88</v>
      </c>
      <c r="E40" t="s">
        <v>89</v>
      </c>
      <c r="F40" t="s">
        <v>94</v>
      </c>
      <c r="H40">
        <v>1</v>
      </c>
      <c r="I40">
        <v>1</v>
      </c>
      <c r="J40">
        <v>0.68035000562667847</v>
      </c>
      <c r="K40">
        <v>7.0756301879882813</v>
      </c>
      <c r="L40">
        <v>1.6328400373458862</v>
      </c>
      <c r="M40">
        <v>0.27213999629020691</v>
      </c>
      <c r="N40">
        <v>0.27213999629020691</v>
      </c>
      <c r="O40">
        <v>0.13606999814510345</v>
      </c>
      <c r="AL40">
        <v>6.9000000953674316</v>
      </c>
    </row>
    <row r="41" spans="1:38" x14ac:dyDescent="0.2">
      <c r="A41" t="s">
        <v>111</v>
      </c>
      <c r="B41" t="s">
        <v>112</v>
      </c>
      <c r="C41" t="s">
        <v>87</v>
      </c>
      <c r="D41" t="s">
        <v>88</v>
      </c>
      <c r="E41" t="s">
        <v>89</v>
      </c>
      <c r="F41" t="s">
        <v>108</v>
      </c>
      <c r="H41">
        <v>1</v>
      </c>
      <c r="I41">
        <v>1</v>
      </c>
      <c r="V41">
        <v>7.3000001907348633</v>
      </c>
      <c r="W41">
        <v>3458</v>
      </c>
      <c r="X41">
        <v>3458</v>
      </c>
      <c r="AL41">
        <v>8.3999996185302734</v>
      </c>
    </row>
    <row r="42" spans="1:38" x14ac:dyDescent="0.2">
      <c r="A42" t="s">
        <v>448</v>
      </c>
      <c r="B42" t="s">
        <v>449</v>
      </c>
      <c r="C42" t="s">
        <v>443</v>
      </c>
      <c r="D42" t="s">
        <v>197</v>
      </c>
      <c r="E42" t="s">
        <v>197</v>
      </c>
      <c r="F42" t="s">
        <v>197</v>
      </c>
      <c r="Q42">
        <v>14.12399959564209</v>
      </c>
      <c r="R42">
        <v>25</v>
      </c>
      <c r="U42">
        <v>25</v>
      </c>
      <c r="V42">
        <v>65.537002563476563</v>
      </c>
      <c r="W42">
        <v>116</v>
      </c>
      <c r="X42">
        <v>116</v>
      </c>
      <c r="Z42">
        <v>12.428999900817871</v>
      </c>
      <c r="AA42">
        <v>22</v>
      </c>
      <c r="AD42">
        <v>0.56499999761581421</v>
      </c>
      <c r="AE42">
        <v>1</v>
      </c>
      <c r="AF42">
        <v>8</v>
      </c>
      <c r="AI42">
        <v>10</v>
      </c>
      <c r="AL42">
        <v>55.299999237060547</v>
      </c>
    </row>
    <row r="43" spans="1:38" x14ac:dyDescent="0.2">
      <c r="A43" t="s">
        <v>213</v>
      </c>
      <c r="B43" t="s">
        <v>214</v>
      </c>
      <c r="C43" t="s">
        <v>191</v>
      </c>
      <c r="D43" t="s">
        <v>192</v>
      </c>
      <c r="E43" t="s">
        <v>101</v>
      </c>
      <c r="F43" t="s">
        <v>90</v>
      </c>
      <c r="J43">
        <v>0.84150999784469604</v>
      </c>
      <c r="K43">
        <v>2.1140499114990234</v>
      </c>
      <c r="L43">
        <v>0.69783997535705566</v>
      </c>
      <c r="M43">
        <v>0.26682001352310181</v>
      </c>
      <c r="N43">
        <v>0.28734999895095825</v>
      </c>
      <c r="O43">
        <v>0.28734999895095825</v>
      </c>
      <c r="Q43">
        <v>26.434000015258789</v>
      </c>
      <c r="R43">
        <v>12676</v>
      </c>
      <c r="U43">
        <v>12676</v>
      </c>
      <c r="V43">
        <v>23.940000534057617</v>
      </c>
      <c r="W43">
        <v>11480</v>
      </c>
      <c r="X43">
        <v>11480</v>
      </c>
      <c r="AL43">
        <v>25.700000762939453</v>
      </c>
    </row>
    <row r="44" spans="1:38" x14ac:dyDescent="0.2">
      <c r="A44" t="s">
        <v>353</v>
      </c>
      <c r="B44" t="s">
        <v>354</v>
      </c>
      <c r="C44" t="s">
        <v>311</v>
      </c>
      <c r="D44" t="s">
        <v>312</v>
      </c>
      <c r="E44" t="s">
        <v>152</v>
      </c>
      <c r="F44" t="s">
        <v>90</v>
      </c>
      <c r="J44">
        <v>1.5385600328445435</v>
      </c>
      <c r="K44">
        <v>0.83921998739242554</v>
      </c>
      <c r="L44">
        <v>0.30305001139640808</v>
      </c>
      <c r="M44">
        <v>0.51284998655319214</v>
      </c>
      <c r="N44">
        <v>0.67603999376296997</v>
      </c>
      <c r="O44">
        <v>0.34966999292373657</v>
      </c>
      <c r="P44">
        <v>0.4699999988079071</v>
      </c>
      <c r="Q44">
        <v>31.257999420166016</v>
      </c>
      <c r="R44">
        <v>13302</v>
      </c>
      <c r="S44">
        <v>3502</v>
      </c>
      <c r="T44">
        <v>9800</v>
      </c>
      <c r="V44">
        <v>61.416999816894531</v>
      </c>
      <c r="W44">
        <v>26136</v>
      </c>
      <c r="X44">
        <v>24558</v>
      </c>
      <c r="Y44">
        <v>1578</v>
      </c>
      <c r="Z44">
        <v>7.8179998397827148</v>
      </c>
      <c r="AA44">
        <v>3327</v>
      </c>
      <c r="AD44">
        <v>7.1059999465942383</v>
      </c>
      <c r="AE44">
        <v>3024</v>
      </c>
      <c r="AL44">
        <v>27.100000381469727</v>
      </c>
    </row>
    <row r="45" spans="1:38" x14ac:dyDescent="0.2">
      <c r="A45" t="s">
        <v>215</v>
      </c>
      <c r="B45" t="s">
        <v>216</v>
      </c>
      <c r="C45" t="s">
        <v>191</v>
      </c>
      <c r="D45" t="s">
        <v>192</v>
      </c>
      <c r="E45" t="s">
        <v>101</v>
      </c>
      <c r="F45" t="s">
        <v>197</v>
      </c>
      <c r="J45">
        <v>2.0416100025177002</v>
      </c>
      <c r="K45">
        <v>7.5273199081420898</v>
      </c>
      <c r="L45">
        <v>0.6391100287437439</v>
      </c>
      <c r="M45">
        <v>0.15090000629425049</v>
      </c>
      <c r="N45">
        <v>1.4646300077438354</v>
      </c>
      <c r="O45">
        <v>0.42607000470161438</v>
      </c>
      <c r="Q45">
        <v>75.672996520996094</v>
      </c>
      <c r="R45">
        <v>85563</v>
      </c>
      <c r="U45">
        <v>85563</v>
      </c>
      <c r="V45">
        <v>80.274002075195313</v>
      </c>
      <c r="W45">
        <v>90765</v>
      </c>
      <c r="X45">
        <v>90765</v>
      </c>
      <c r="Z45">
        <v>14.708000183105469</v>
      </c>
      <c r="AA45">
        <v>16630</v>
      </c>
      <c r="AC45">
        <v>4402</v>
      </c>
      <c r="AF45">
        <v>3058</v>
      </c>
      <c r="AH45">
        <v>1389</v>
      </c>
      <c r="AJ45">
        <v>6015</v>
      </c>
      <c r="AL45">
        <v>26.700000762939453</v>
      </c>
    </row>
    <row r="46" spans="1:38" x14ac:dyDescent="0.2">
      <c r="A46" t="s">
        <v>331</v>
      </c>
      <c r="B46" t="s">
        <v>332</v>
      </c>
      <c r="C46" t="s">
        <v>311</v>
      </c>
      <c r="D46" t="s">
        <v>312</v>
      </c>
      <c r="E46" t="s">
        <v>152</v>
      </c>
      <c r="F46" t="s">
        <v>197</v>
      </c>
      <c r="J46">
        <v>7.5361499786376953</v>
      </c>
      <c r="L46">
        <v>3.3299300670623779</v>
      </c>
      <c r="N46">
        <v>6.9227399826049805</v>
      </c>
      <c r="O46">
        <v>0.61340999603271484</v>
      </c>
      <c r="P46">
        <v>0.12999999523162842</v>
      </c>
      <c r="Q46">
        <v>24.993000030517578</v>
      </c>
      <c r="R46">
        <v>2880</v>
      </c>
      <c r="S46">
        <v>680</v>
      </c>
      <c r="T46">
        <v>2200</v>
      </c>
      <c r="V46">
        <v>39.130001068115234</v>
      </c>
      <c r="W46">
        <v>4509</v>
      </c>
      <c r="X46">
        <v>4268</v>
      </c>
      <c r="Y46">
        <v>241</v>
      </c>
      <c r="Z46">
        <v>7.2810001373291016</v>
      </c>
      <c r="AA46">
        <v>839</v>
      </c>
      <c r="AD46">
        <v>1.6319999694824219</v>
      </c>
      <c r="AE46">
        <v>188</v>
      </c>
      <c r="AL46">
        <v>22.600000381469727</v>
      </c>
    </row>
    <row r="47" spans="1:38" x14ac:dyDescent="0.2">
      <c r="A47" t="s">
        <v>333</v>
      </c>
      <c r="B47" t="s">
        <v>334</v>
      </c>
      <c r="C47" t="s">
        <v>311</v>
      </c>
      <c r="D47" t="s">
        <v>312</v>
      </c>
      <c r="E47" t="s">
        <v>152</v>
      </c>
      <c r="F47" t="s">
        <v>197</v>
      </c>
      <c r="J47">
        <v>1.2894500494003296</v>
      </c>
      <c r="K47">
        <v>224.84169006347656</v>
      </c>
      <c r="L47">
        <v>0.15884999930858612</v>
      </c>
      <c r="M47">
        <v>0.40178999304771423</v>
      </c>
      <c r="N47">
        <v>0.63538002967834473</v>
      </c>
      <c r="O47">
        <v>0.25227999687194824</v>
      </c>
      <c r="Q47">
        <v>39.345001220703125</v>
      </c>
      <c r="R47">
        <v>41671</v>
      </c>
      <c r="U47">
        <v>41671</v>
      </c>
      <c r="V47">
        <v>82.883003234863281</v>
      </c>
      <c r="W47">
        <v>87782</v>
      </c>
      <c r="X47">
        <v>83492</v>
      </c>
      <c r="Y47">
        <v>4290</v>
      </c>
      <c r="Z47">
        <v>7.4650001525878906</v>
      </c>
      <c r="AA47">
        <v>7906</v>
      </c>
      <c r="AD47">
        <v>6.3489999771118164</v>
      </c>
      <c r="AE47">
        <v>6724</v>
      </c>
      <c r="AL47">
        <v>28.5</v>
      </c>
    </row>
    <row r="48" spans="1:38" x14ac:dyDescent="0.2">
      <c r="A48" t="s">
        <v>435</v>
      </c>
      <c r="B48" t="s">
        <v>436</v>
      </c>
      <c r="C48" t="s">
        <v>419</v>
      </c>
      <c r="D48" t="s">
        <v>424</v>
      </c>
      <c r="E48" t="s">
        <v>93</v>
      </c>
      <c r="F48" t="s">
        <v>197</v>
      </c>
      <c r="J48">
        <v>6.860680103302002</v>
      </c>
      <c r="K48">
        <v>25.157180786132813</v>
      </c>
      <c r="L48">
        <v>3.9123599529266357</v>
      </c>
      <c r="M48">
        <v>6.3264498710632324</v>
      </c>
      <c r="N48">
        <v>0.53422999382019043</v>
      </c>
      <c r="Q48">
        <v>35.055000305175781</v>
      </c>
      <c r="R48">
        <v>87839</v>
      </c>
      <c r="U48">
        <v>87839</v>
      </c>
      <c r="AD48">
        <v>3.753000020980835</v>
      </c>
      <c r="AE48">
        <v>9404</v>
      </c>
      <c r="AL48">
        <v>7.0999999046325684</v>
      </c>
    </row>
    <row r="49" spans="1:38" x14ac:dyDescent="0.2">
      <c r="A49" t="s">
        <v>109</v>
      </c>
      <c r="B49" t="s">
        <v>110</v>
      </c>
      <c r="C49" t="s">
        <v>87</v>
      </c>
      <c r="D49" t="s">
        <v>88</v>
      </c>
      <c r="E49" t="s">
        <v>93</v>
      </c>
      <c r="F49" t="s">
        <v>94</v>
      </c>
      <c r="H49">
        <v>1</v>
      </c>
      <c r="I49">
        <v>1</v>
      </c>
      <c r="J49">
        <v>0.44584000110626221</v>
      </c>
      <c r="M49">
        <v>0.4295400083065033</v>
      </c>
      <c r="N49">
        <v>1.6289999708533287E-2</v>
      </c>
      <c r="AL49">
        <v>5.5999999046325684</v>
      </c>
    </row>
    <row r="50" spans="1:38" x14ac:dyDescent="0.2">
      <c r="A50" t="s">
        <v>337</v>
      </c>
      <c r="B50" t="s">
        <v>338</v>
      </c>
      <c r="C50" t="s">
        <v>311</v>
      </c>
      <c r="D50" t="s">
        <v>312</v>
      </c>
      <c r="E50" t="s">
        <v>152</v>
      </c>
      <c r="F50" t="s">
        <v>197</v>
      </c>
      <c r="J50">
        <v>1.0144000053405762</v>
      </c>
      <c r="K50">
        <v>69.068046569824219</v>
      </c>
      <c r="L50">
        <v>4.4669098854064941</v>
      </c>
      <c r="M50">
        <v>0.51609998941421509</v>
      </c>
      <c r="N50">
        <v>0.40931999683380127</v>
      </c>
      <c r="O50">
        <v>8.8979996740818024E-2</v>
      </c>
      <c r="P50">
        <v>0.80000001192092896</v>
      </c>
      <c r="Q50">
        <v>38.631999969482422</v>
      </c>
      <c r="R50">
        <v>21882</v>
      </c>
      <c r="S50">
        <v>4495</v>
      </c>
      <c r="T50">
        <v>9597</v>
      </c>
      <c r="U50">
        <v>7790</v>
      </c>
      <c r="V50">
        <v>102.21600341796875</v>
      </c>
      <c r="W50">
        <v>57897</v>
      </c>
      <c r="X50">
        <v>56060</v>
      </c>
      <c r="Y50">
        <v>1837</v>
      </c>
      <c r="Z50">
        <v>7.6659998893737793</v>
      </c>
      <c r="AA50">
        <v>4342</v>
      </c>
      <c r="AD50">
        <v>5.0830001831054688</v>
      </c>
      <c r="AE50">
        <v>2879</v>
      </c>
      <c r="AL50">
        <v>21.299999237060547</v>
      </c>
    </row>
    <row r="51" spans="1:38" x14ac:dyDescent="0.2">
      <c r="A51" t="s">
        <v>271</v>
      </c>
      <c r="B51" t="s">
        <v>272</v>
      </c>
      <c r="C51" t="s">
        <v>265</v>
      </c>
      <c r="D51" t="s">
        <v>119</v>
      </c>
      <c r="E51" t="s">
        <v>89</v>
      </c>
      <c r="F51" t="s">
        <v>94</v>
      </c>
      <c r="Q51">
        <v>2.2369999885559082</v>
      </c>
      <c r="R51">
        <v>201</v>
      </c>
      <c r="U51">
        <v>201</v>
      </c>
      <c r="V51">
        <v>7.2880001068115234</v>
      </c>
      <c r="W51">
        <v>655</v>
      </c>
      <c r="X51">
        <v>488</v>
      </c>
      <c r="Y51">
        <v>167</v>
      </c>
      <c r="Z51">
        <v>0.210999995470047</v>
      </c>
      <c r="AA51">
        <v>19</v>
      </c>
      <c r="AD51">
        <v>2.3369998931884766</v>
      </c>
      <c r="AE51">
        <v>210</v>
      </c>
      <c r="AL51">
        <v>12.199999809265137</v>
      </c>
    </row>
    <row r="52" spans="1:38" x14ac:dyDescent="0.2">
      <c r="A52" t="s">
        <v>217</v>
      </c>
      <c r="B52" t="s">
        <v>218</v>
      </c>
      <c r="C52" t="s">
        <v>191</v>
      </c>
      <c r="D52" t="s">
        <v>192</v>
      </c>
      <c r="E52" t="s">
        <v>101</v>
      </c>
      <c r="F52" t="s">
        <v>108</v>
      </c>
      <c r="J52">
        <v>5.5553197860717773</v>
      </c>
      <c r="K52">
        <v>84.71868896484375</v>
      </c>
      <c r="L52">
        <v>0</v>
      </c>
      <c r="M52">
        <v>2.7776598930358887</v>
      </c>
      <c r="N52">
        <v>2.7776598930358887</v>
      </c>
      <c r="O52">
        <v>0</v>
      </c>
      <c r="V52">
        <v>67.6510009765625</v>
      </c>
      <c r="W52">
        <v>481</v>
      </c>
      <c r="X52">
        <v>481</v>
      </c>
      <c r="AL52">
        <v>28.200000762939453</v>
      </c>
    </row>
    <row r="53" spans="1:38" x14ac:dyDescent="0.2">
      <c r="A53" t="s">
        <v>219</v>
      </c>
      <c r="B53" t="s">
        <v>220</v>
      </c>
      <c r="C53" t="s">
        <v>191</v>
      </c>
      <c r="D53" t="s">
        <v>192</v>
      </c>
      <c r="E53" t="s">
        <v>101</v>
      </c>
      <c r="F53" t="s">
        <v>90</v>
      </c>
      <c r="V53">
        <v>14.496999740600586</v>
      </c>
      <c r="W53">
        <v>14736</v>
      </c>
      <c r="X53">
        <v>14736</v>
      </c>
      <c r="AL53">
        <v>26.899999618530273</v>
      </c>
    </row>
    <row r="54" spans="1:38" x14ac:dyDescent="0.2">
      <c r="A54" t="s">
        <v>221</v>
      </c>
      <c r="B54" t="s">
        <v>222</v>
      </c>
      <c r="C54" t="s">
        <v>191</v>
      </c>
      <c r="D54" t="s">
        <v>192</v>
      </c>
      <c r="E54" t="s">
        <v>101</v>
      </c>
      <c r="F54" t="s">
        <v>90</v>
      </c>
      <c r="J54">
        <v>0.33041000366210938</v>
      </c>
      <c r="K54">
        <v>2.9101800918579102</v>
      </c>
      <c r="L54">
        <v>0.35583001375198364</v>
      </c>
      <c r="M54">
        <v>5.0829999148845673E-2</v>
      </c>
      <c r="N54">
        <v>0.18426999449729919</v>
      </c>
      <c r="O54">
        <v>9.5310002565383911E-2</v>
      </c>
      <c r="V54">
        <v>21.931999206542969</v>
      </c>
      <c r="W54">
        <v>34985</v>
      </c>
      <c r="X54">
        <v>34985</v>
      </c>
      <c r="AL54">
        <v>19.299999237060547</v>
      </c>
    </row>
    <row r="55" spans="1:38" x14ac:dyDescent="0.2">
      <c r="A55" t="s">
        <v>273</v>
      </c>
      <c r="B55" t="s">
        <v>274</v>
      </c>
      <c r="C55" t="s">
        <v>265</v>
      </c>
      <c r="D55" t="s">
        <v>119</v>
      </c>
      <c r="E55" t="s">
        <v>89</v>
      </c>
      <c r="F55" t="s">
        <v>90</v>
      </c>
      <c r="J55">
        <v>0.61664998531341553</v>
      </c>
      <c r="K55">
        <v>0.38266000151634216</v>
      </c>
      <c r="L55">
        <v>0.25347998738288879</v>
      </c>
      <c r="M55">
        <v>0.49599999189376831</v>
      </c>
      <c r="O55">
        <v>0.12065000087022781</v>
      </c>
      <c r="P55">
        <v>1.2200000286102295</v>
      </c>
      <c r="Q55">
        <v>11.380000114440918</v>
      </c>
      <c r="R55">
        <v>102901</v>
      </c>
      <c r="S55">
        <v>30000</v>
      </c>
      <c r="U55">
        <v>72901</v>
      </c>
      <c r="V55">
        <v>19.548999786376953</v>
      </c>
      <c r="W55">
        <v>176774</v>
      </c>
      <c r="X55">
        <v>176774</v>
      </c>
      <c r="Z55">
        <v>1.6319999694824219</v>
      </c>
      <c r="AA55">
        <v>14753</v>
      </c>
      <c r="AD55">
        <v>3.2630000114440918</v>
      </c>
      <c r="AE55">
        <v>29507</v>
      </c>
      <c r="AL55">
        <v>31.100000381469727</v>
      </c>
    </row>
    <row r="56" spans="1:38" x14ac:dyDescent="0.2">
      <c r="A56" t="s">
        <v>249</v>
      </c>
      <c r="B56" t="s">
        <v>250</v>
      </c>
      <c r="C56" t="s">
        <v>191</v>
      </c>
      <c r="D56" t="s">
        <v>192</v>
      </c>
      <c r="E56" t="s">
        <v>89</v>
      </c>
      <c r="F56" t="s">
        <v>90</v>
      </c>
      <c r="J56">
        <v>0.47315001487731934</v>
      </c>
      <c r="K56">
        <v>9.8415699005126953</v>
      </c>
      <c r="L56">
        <v>4.7320000827312469E-2</v>
      </c>
      <c r="M56">
        <v>0.39429000020027161</v>
      </c>
      <c r="N56">
        <v>3.1539998948574066E-2</v>
      </c>
      <c r="O56">
        <v>4.7320000827312469E-2</v>
      </c>
      <c r="P56">
        <v>0.30000001192092896</v>
      </c>
      <c r="V56">
        <v>17.590999603271484</v>
      </c>
      <c r="W56">
        <v>11074</v>
      </c>
      <c r="X56">
        <v>11074</v>
      </c>
      <c r="AL56">
        <v>22.700000762939453</v>
      </c>
    </row>
    <row r="57" spans="1:38" x14ac:dyDescent="0.2">
      <c r="A57" t="s">
        <v>134</v>
      </c>
      <c r="B57" t="s">
        <v>135</v>
      </c>
      <c r="C57" t="s">
        <v>87</v>
      </c>
      <c r="D57" t="s">
        <v>88</v>
      </c>
      <c r="E57" t="s">
        <v>101</v>
      </c>
      <c r="F57" t="s">
        <v>90</v>
      </c>
      <c r="AL57">
        <v>7.4000000953674316</v>
      </c>
    </row>
    <row r="58" spans="1:38" x14ac:dyDescent="0.2">
      <c r="A58" t="s">
        <v>120</v>
      </c>
      <c r="B58" t="s">
        <v>121</v>
      </c>
      <c r="C58" t="s">
        <v>87</v>
      </c>
      <c r="D58" t="s">
        <v>88</v>
      </c>
      <c r="E58" t="s">
        <v>93</v>
      </c>
      <c r="F58" t="s">
        <v>94</v>
      </c>
      <c r="H58">
        <v>1</v>
      </c>
      <c r="I58">
        <v>1</v>
      </c>
      <c r="J58">
        <v>0.36316999793052673</v>
      </c>
      <c r="K58">
        <v>2.9211399555206299</v>
      </c>
      <c r="L58">
        <v>0.88423997163772583</v>
      </c>
      <c r="M58">
        <v>0.2526400089263916</v>
      </c>
      <c r="N58">
        <v>9.4740003347396851E-2</v>
      </c>
      <c r="O58">
        <v>1.5790000557899475E-2</v>
      </c>
      <c r="V58">
        <v>12.477999687194824</v>
      </c>
      <c r="W58">
        <v>4132</v>
      </c>
      <c r="X58">
        <v>4132</v>
      </c>
      <c r="AL58">
        <v>4.0999999046325684</v>
      </c>
    </row>
    <row r="59" spans="1:38" x14ac:dyDescent="0.2">
      <c r="A59" t="s">
        <v>341</v>
      </c>
      <c r="B59" t="s">
        <v>342</v>
      </c>
      <c r="C59" t="s">
        <v>311</v>
      </c>
      <c r="D59" t="s">
        <v>312</v>
      </c>
      <c r="E59" t="s">
        <v>152</v>
      </c>
      <c r="F59" t="s">
        <v>197</v>
      </c>
      <c r="J59">
        <v>1.9421199560165405</v>
      </c>
      <c r="K59">
        <v>37.677188873291016</v>
      </c>
      <c r="M59">
        <v>1.3983299732208252</v>
      </c>
      <c r="N59">
        <v>0.31073999404907227</v>
      </c>
      <c r="O59">
        <v>0.23305000364780426</v>
      </c>
      <c r="P59">
        <v>0.4699999988079071</v>
      </c>
      <c r="Q59">
        <v>33.563999176025391</v>
      </c>
      <c r="R59">
        <v>4418</v>
      </c>
      <c r="S59">
        <v>1057</v>
      </c>
      <c r="T59">
        <v>3361</v>
      </c>
      <c r="V59">
        <v>60.722999572753906</v>
      </c>
      <c r="W59">
        <v>7993</v>
      </c>
      <c r="X59">
        <v>7551</v>
      </c>
      <c r="Y59">
        <v>442</v>
      </c>
      <c r="Z59">
        <v>9.2910003662109375</v>
      </c>
      <c r="AA59">
        <v>1223</v>
      </c>
      <c r="AD59">
        <v>6.7080001831054688</v>
      </c>
      <c r="AE59">
        <v>883</v>
      </c>
      <c r="AL59">
        <v>23.799999237060547</v>
      </c>
    </row>
    <row r="60" spans="1:38" x14ac:dyDescent="0.2">
      <c r="A60" t="s">
        <v>171</v>
      </c>
      <c r="B60" t="s">
        <v>172</v>
      </c>
      <c r="C60" t="s">
        <v>87</v>
      </c>
      <c r="D60" t="s">
        <v>88</v>
      </c>
      <c r="E60" t="s">
        <v>89</v>
      </c>
      <c r="F60" t="s">
        <v>90</v>
      </c>
      <c r="J60">
        <v>0.80031001567840576</v>
      </c>
      <c r="K60">
        <v>12.96504020690918</v>
      </c>
      <c r="L60">
        <v>0.64025002717971802</v>
      </c>
      <c r="M60">
        <v>0.16006000339984894</v>
      </c>
      <c r="N60">
        <v>0.48019000887870789</v>
      </c>
      <c r="O60">
        <v>0.16006000339984894</v>
      </c>
      <c r="V60">
        <v>35.131999969482422</v>
      </c>
      <c r="W60">
        <v>3847</v>
      </c>
      <c r="X60">
        <v>3847</v>
      </c>
      <c r="AL60">
        <v>13.5</v>
      </c>
    </row>
    <row r="61" spans="1:38" x14ac:dyDescent="0.2">
      <c r="A61" t="s">
        <v>122</v>
      </c>
      <c r="B61" t="s">
        <v>123</v>
      </c>
      <c r="C61" t="s">
        <v>87</v>
      </c>
      <c r="D61" t="s">
        <v>88</v>
      </c>
      <c r="E61" t="s">
        <v>93</v>
      </c>
      <c r="F61" t="s">
        <v>94</v>
      </c>
      <c r="I61">
        <v>1</v>
      </c>
      <c r="J61">
        <v>0.21890999376773834</v>
      </c>
      <c r="K61">
        <v>15.143340110778809</v>
      </c>
      <c r="L61">
        <v>1.8599999602884054E-3</v>
      </c>
      <c r="M61">
        <v>0.19235000014305115</v>
      </c>
      <c r="O61">
        <v>2.6569999754428864E-2</v>
      </c>
      <c r="AL61">
        <v>3.5999999046325684</v>
      </c>
    </row>
    <row r="62" spans="1:38" x14ac:dyDescent="0.2">
      <c r="A62" t="s">
        <v>450</v>
      </c>
      <c r="B62" t="s">
        <v>451</v>
      </c>
      <c r="C62" t="s">
        <v>443</v>
      </c>
      <c r="D62" t="s">
        <v>424</v>
      </c>
      <c r="E62" t="s">
        <v>101</v>
      </c>
      <c r="F62" t="s">
        <v>108</v>
      </c>
      <c r="G62">
        <v>1</v>
      </c>
      <c r="J62">
        <v>0</v>
      </c>
      <c r="N62">
        <v>0</v>
      </c>
      <c r="O62">
        <v>0</v>
      </c>
      <c r="AL62">
        <v>30</v>
      </c>
    </row>
    <row r="63" spans="1:38" x14ac:dyDescent="0.2">
      <c r="A63" t="s">
        <v>343</v>
      </c>
      <c r="B63" t="s">
        <v>344</v>
      </c>
      <c r="C63" t="s">
        <v>311</v>
      </c>
      <c r="D63" t="s">
        <v>312</v>
      </c>
      <c r="E63" t="s">
        <v>152</v>
      </c>
      <c r="F63" t="s">
        <v>197</v>
      </c>
      <c r="J63">
        <v>1.3821500539779663</v>
      </c>
      <c r="K63">
        <v>40.543109893798828</v>
      </c>
      <c r="L63">
        <v>3.5751700401306152</v>
      </c>
      <c r="M63">
        <v>0.42386001348495483</v>
      </c>
      <c r="N63">
        <v>0.86615002155303955</v>
      </c>
      <c r="O63">
        <v>9.2139996588230133E-2</v>
      </c>
      <c r="P63">
        <v>0.2800000011920929</v>
      </c>
      <c r="Q63">
        <v>33.922000885009766</v>
      </c>
      <c r="R63">
        <v>18526</v>
      </c>
      <c r="S63">
        <v>7167</v>
      </c>
      <c r="T63">
        <v>10775</v>
      </c>
      <c r="U63">
        <v>584</v>
      </c>
      <c r="V63">
        <v>146.75700378417969</v>
      </c>
      <c r="W63">
        <v>80150</v>
      </c>
      <c r="X63">
        <v>77867</v>
      </c>
      <c r="Y63">
        <v>2283</v>
      </c>
      <c r="Z63">
        <v>7.3020000457763672</v>
      </c>
      <c r="AA63">
        <v>3988</v>
      </c>
      <c r="AD63">
        <v>10.878000259399414</v>
      </c>
      <c r="AE63">
        <v>5941</v>
      </c>
      <c r="AL63">
        <v>24.899999618530273</v>
      </c>
    </row>
    <row r="64" spans="1:38" x14ac:dyDescent="0.2">
      <c r="A64" t="s">
        <v>345</v>
      </c>
      <c r="B64" t="s">
        <v>346</v>
      </c>
      <c r="C64" t="s">
        <v>311</v>
      </c>
      <c r="D64" t="s">
        <v>312</v>
      </c>
      <c r="E64" t="s">
        <v>152</v>
      </c>
      <c r="F64" t="s">
        <v>197</v>
      </c>
      <c r="P64">
        <v>9.0000003576278687E-2</v>
      </c>
      <c r="Q64">
        <v>32.115001678466797</v>
      </c>
      <c r="R64">
        <v>206159</v>
      </c>
      <c r="S64">
        <v>94322</v>
      </c>
      <c r="T64">
        <v>111837</v>
      </c>
      <c r="V64">
        <v>102.79199981689453</v>
      </c>
      <c r="W64">
        <v>659856</v>
      </c>
      <c r="X64">
        <v>638248</v>
      </c>
      <c r="Y64">
        <v>21608</v>
      </c>
      <c r="Z64">
        <v>6.5859999656677246</v>
      </c>
      <c r="AA64">
        <v>42281</v>
      </c>
      <c r="AD64">
        <v>10.925999641418457</v>
      </c>
      <c r="AE64">
        <v>70136</v>
      </c>
      <c r="AF64">
        <v>75417</v>
      </c>
      <c r="AL64">
        <v>23.200000762939453</v>
      </c>
    </row>
    <row r="65" spans="1:38" x14ac:dyDescent="0.2">
      <c r="A65" t="s">
        <v>124</v>
      </c>
      <c r="B65" t="s">
        <v>125</v>
      </c>
      <c r="C65" t="s">
        <v>87</v>
      </c>
      <c r="D65" t="s">
        <v>88</v>
      </c>
      <c r="E65" t="s">
        <v>101</v>
      </c>
      <c r="F65" t="s">
        <v>90</v>
      </c>
      <c r="J65">
        <v>3.5293200016021729</v>
      </c>
      <c r="K65">
        <v>29.430919647216797</v>
      </c>
      <c r="L65">
        <v>2.2132999897003174</v>
      </c>
      <c r="M65">
        <v>2.4525799751281738</v>
      </c>
      <c r="N65">
        <v>0.71783000230789185</v>
      </c>
      <c r="O65">
        <v>0.35890999436378479</v>
      </c>
      <c r="AL65">
        <v>13.399999618530273</v>
      </c>
    </row>
    <row r="66" spans="1:38" x14ac:dyDescent="0.2">
      <c r="A66" t="s">
        <v>130</v>
      </c>
      <c r="B66" t="s">
        <v>131</v>
      </c>
      <c r="C66" t="s">
        <v>87</v>
      </c>
      <c r="D66" t="s">
        <v>88</v>
      </c>
      <c r="E66" t="s">
        <v>93</v>
      </c>
      <c r="F66" t="s">
        <v>94</v>
      </c>
      <c r="H66">
        <v>1</v>
      </c>
      <c r="I66">
        <v>1</v>
      </c>
      <c r="J66">
        <v>0.70297002792358398</v>
      </c>
      <c r="K66">
        <v>26.604879379272461</v>
      </c>
      <c r="L66">
        <v>1.67631995677948</v>
      </c>
      <c r="M66">
        <v>0.37852001190185547</v>
      </c>
      <c r="N66">
        <v>0.21629999577999115</v>
      </c>
      <c r="O66">
        <v>0.10814999788999557</v>
      </c>
      <c r="P66">
        <v>9.0000003576278687E-2</v>
      </c>
      <c r="AL66">
        <v>8.6999998092651367</v>
      </c>
    </row>
    <row r="67" spans="1:38" x14ac:dyDescent="0.2">
      <c r="A67" t="s">
        <v>349</v>
      </c>
      <c r="B67" t="s">
        <v>350</v>
      </c>
      <c r="C67" t="s">
        <v>311</v>
      </c>
      <c r="D67" t="s">
        <v>312</v>
      </c>
      <c r="E67" t="s">
        <v>101</v>
      </c>
      <c r="F67" t="s">
        <v>90</v>
      </c>
      <c r="J67">
        <v>2.2115299701690674</v>
      </c>
      <c r="K67">
        <v>13.798999786376953</v>
      </c>
      <c r="O67">
        <v>2.2115299701690674</v>
      </c>
      <c r="P67">
        <v>0.57999998331069946</v>
      </c>
      <c r="Q67">
        <v>47.754001617431641</v>
      </c>
      <c r="R67">
        <v>19270</v>
      </c>
      <c r="S67">
        <v>4757</v>
      </c>
      <c r="T67">
        <v>14513</v>
      </c>
      <c r="V67">
        <v>38.202999114990234</v>
      </c>
      <c r="W67">
        <v>15416</v>
      </c>
      <c r="X67">
        <v>14809</v>
      </c>
      <c r="Y67">
        <v>607</v>
      </c>
      <c r="Z67">
        <v>5.3330001831054688</v>
      </c>
      <c r="AA67">
        <v>2152</v>
      </c>
      <c r="AD67">
        <v>0.7630000114440918</v>
      </c>
      <c r="AE67">
        <v>308</v>
      </c>
      <c r="AL67">
        <v>23.299999237060547</v>
      </c>
    </row>
    <row r="68" spans="1:38" x14ac:dyDescent="0.2">
      <c r="A68" t="s">
        <v>335</v>
      </c>
      <c r="B68" t="s">
        <v>336</v>
      </c>
      <c r="C68" t="s">
        <v>311</v>
      </c>
      <c r="D68" t="s">
        <v>312</v>
      </c>
      <c r="E68" t="s">
        <v>152</v>
      </c>
      <c r="F68" t="s">
        <v>197</v>
      </c>
      <c r="Q68">
        <v>40.846000671386719</v>
      </c>
      <c r="R68">
        <v>332695</v>
      </c>
      <c r="S68">
        <v>80436</v>
      </c>
      <c r="T68">
        <v>252259</v>
      </c>
      <c r="V68">
        <v>127.56199645996094</v>
      </c>
      <c r="W68">
        <v>1039000</v>
      </c>
      <c r="X68">
        <v>1016000</v>
      </c>
      <c r="Y68">
        <v>23000</v>
      </c>
      <c r="Z68">
        <v>8.4980001449584961</v>
      </c>
      <c r="AA68">
        <v>69214</v>
      </c>
      <c r="AD68">
        <v>6.3850002288818359</v>
      </c>
      <c r="AE68">
        <v>52004</v>
      </c>
      <c r="AL68">
        <v>25.700000762939453</v>
      </c>
    </row>
    <row r="69" spans="1:38" x14ac:dyDescent="0.2">
      <c r="A69" t="s">
        <v>126</v>
      </c>
      <c r="B69" t="s">
        <v>127</v>
      </c>
      <c r="C69" t="s">
        <v>87</v>
      </c>
      <c r="D69" t="s">
        <v>88</v>
      </c>
      <c r="E69" t="s">
        <v>89</v>
      </c>
      <c r="F69" t="s">
        <v>94</v>
      </c>
      <c r="I69">
        <v>1</v>
      </c>
      <c r="J69">
        <v>1.3626899719238281</v>
      </c>
      <c r="K69">
        <v>1.1079100370407104</v>
      </c>
      <c r="L69">
        <v>9.1257896423339844</v>
      </c>
      <c r="M69">
        <v>1.2970700263977051</v>
      </c>
      <c r="N69">
        <v>3.0880000442266464E-2</v>
      </c>
      <c r="O69">
        <v>3.474000096321106E-2</v>
      </c>
      <c r="V69">
        <v>15.008999824523926</v>
      </c>
      <c r="W69">
        <v>40862</v>
      </c>
      <c r="X69">
        <v>40862</v>
      </c>
      <c r="AL69">
        <v>9.6999998092651367</v>
      </c>
    </row>
    <row r="70" spans="1:38" x14ac:dyDescent="0.2">
      <c r="A70" t="s">
        <v>351</v>
      </c>
      <c r="B70" t="s">
        <v>352</v>
      </c>
      <c r="C70" t="s">
        <v>311</v>
      </c>
      <c r="D70" t="s">
        <v>312</v>
      </c>
      <c r="E70" t="s">
        <v>152</v>
      </c>
      <c r="F70" t="s">
        <v>197</v>
      </c>
      <c r="P70">
        <v>0.27000001072883606</v>
      </c>
      <c r="Q70">
        <v>52.166999816894531</v>
      </c>
      <c r="R70">
        <v>55827</v>
      </c>
      <c r="S70">
        <v>4307</v>
      </c>
      <c r="T70">
        <v>51520</v>
      </c>
      <c r="V70">
        <v>35.361000061035156</v>
      </c>
      <c r="W70">
        <v>37842</v>
      </c>
      <c r="X70">
        <v>35223</v>
      </c>
      <c r="Y70">
        <v>2619</v>
      </c>
      <c r="Z70">
        <v>12.845000267028809</v>
      </c>
      <c r="AA70">
        <v>13746</v>
      </c>
      <c r="AD70">
        <v>10.819999694824219</v>
      </c>
      <c r="AE70">
        <v>11579</v>
      </c>
      <c r="AL70">
        <v>27.399999618530273</v>
      </c>
    </row>
    <row r="71" spans="1:38" x14ac:dyDescent="0.2">
      <c r="A71" t="s">
        <v>223</v>
      </c>
      <c r="B71" t="s">
        <v>224</v>
      </c>
      <c r="C71" t="s">
        <v>191</v>
      </c>
      <c r="D71" t="s">
        <v>192</v>
      </c>
      <c r="E71" t="s">
        <v>101</v>
      </c>
      <c r="F71" t="s">
        <v>108</v>
      </c>
      <c r="J71">
        <v>0.94431000947952271</v>
      </c>
      <c r="K71">
        <v>33.99530029296875</v>
      </c>
      <c r="L71">
        <v>4.7215700149536133</v>
      </c>
      <c r="M71">
        <v>0.94431000947952271</v>
      </c>
      <c r="N71">
        <v>0</v>
      </c>
      <c r="O71">
        <v>0</v>
      </c>
      <c r="AL71">
        <v>20.200000762939453</v>
      </c>
    </row>
    <row r="72" spans="1:38" x14ac:dyDescent="0.2">
      <c r="A72" t="s">
        <v>225</v>
      </c>
      <c r="B72" t="s">
        <v>226</v>
      </c>
      <c r="C72" t="s">
        <v>191</v>
      </c>
      <c r="D72" t="s">
        <v>192</v>
      </c>
      <c r="E72" t="s">
        <v>101</v>
      </c>
      <c r="F72" t="s">
        <v>90</v>
      </c>
      <c r="J72">
        <v>0.34264001250267029</v>
      </c>
      <c r="K72">
        <v>3.5427498817443848</v>
      </c>
      <c r="L72">
        <v>0.49779000878334045</v>
      </c>
      <c r="M72">
        <v>0.27799001336097717</v>
      </c>
      <c r="N72">
        <v>3.2320000231266022E-2</v>
      </c>
      <c r="O72">
        <v>3.2320000231266022E-2</v>
      </c>
      <c r="V72">
        <v>0.52499997615814209</v>
      </c>
      <c r="W72">
        <v>836</v>
      </c>
      <c r="X72">
        <v>836</v>
      </c>
      <c r="AL72">
        <v>18.799999237060547</v>
      </c>
    </row>
    <row r="73" spans="1:38" x14ac:dyDescent="0.2">
      <c r="A73" t="s">
        <v>128</v>
      </c>
      <c r="B73" t="s">
        <v>129</v>
      </c>
      <c r="C73" t="s">
        <v>87</v>
      </c>
      <c r="D73" t="s">
        <v>88</v>
      </c>
      <c r="E73" t="s">
        <v>93</v>
      </c>
      <c r="F73" t="s">
        <v>94</v>
      </c>
      <c r="I73">
        <v>1</v>
      </c>
      <c r="J73">
        <v>0.3746199905872345</v>
      </c>
      <c r="K73">
        <v>6.2408499717712402</v>
      </c>
      <c r="L73">
        <v>3.5248498916625977</v>
      </c>
      <c r="M73">
        <v>0.26394000649452209</v>
      </c>
      <c r="N73">
        <v>8.513999730348587E-2</v>
      </c>
      <c r="O73">
        <v>2.5539999827742577E-2</v>
      </c>
      <c r="P73">
        <v>0</v>
      </c>
      <c r="AL73">
        <v>6.5999999046325684</v>
      </c>
    </row>
    <row r="74" spans="1:38" x14ac:dyDescent="0.2">
      <c r="A74" t="s">
        <v>132</v>
      </c>
      <c r="B74" t="s">
        <v>133</v>
      </c>
      <c r="C74" t="s">
        <v>87</v>
      </c>
      <c r="D74" t="s">
        <v>88</v>
      </c>
      <c r="E74" t="s">
        <v>93</v>
      </c>
      <c r="F74" t="s">
        <v>94</v>
      </c>
      <c r="H74">
        <v>1</v>
      </c>
      <c r="I74">
        <v>1</v>
      </c>
      <c r="J74">
        <v>56.446949005126953</v>
      </c>
      <c r="K74">
        <v>5.6329598426818848</v>
      </c>
      <c r="L74">
        <v>32.976291656494141</v>
      </c>
      <c r="M74">
        <v>25.641700744628906</v>
      </c>
      <c r="N74">
        <v>0</v>
      </c>
      <c r="O74">
        <v>30.80525016784668</v>
      </c>
      <c r="V74">
        <v>5.2290000915527344</v>
      </c>
      <c r="W74">
        <v>885</v>
      </c>
      <c r="X74">
        <v>885</v>
      </c>
      <c r="AL74">
        <v>8.1999998092651367</v>
      </c>
    </row>
    <row r="75" spans="1:38" x14ac:dyDescent="0.2">
      <c r="A75" t="s">
        <v>227</v>
      </c>
      <c r="B75" t="s">
        <v>228</v>
      </c>
      <c r="C75" t="s">
        <v>191</v>
      </c>
      <c r="D75" t="s">
        <v>192</v>
      </c>
      <c r="E75" t="s">
        <v>101</v>
      </c>
      <c r="F75" t="s">
        <v>94</v>
      </c>
      <c r="I75">
        <v>1</v>
      </c>
      <c r="J75">
        <v>3.3766300678253174</v>
      </c>
      <c r="K75">
        <v>25.637399673461914</v>
      </c>
      <c r="L75">
        <v>14.757140159606934</v>
      </c>
      <c r="M75">
        <v>2.0009698867797852</v>
      </c>
      <c r="N75">
        <v>1.2505999803543091</v>
      </c>
      <c r="O75">
        <v>0.12506000697612762</v>
      </c>
      <c r="V75">
        <v>6.2750000953674316</v>
      </c>
      <c r="W75">
        <v>479</v>
      </c>
      <c r="X75">
        <v>479</v>
      </c>
      <c r="AL75">
        <v>19.200000762939453</v>
      </c>
    </row>
    <row r="76" spans="1:38" x14ac:dyDescent="0.2">
      <c r="A76" t="s">
        <v>231</v>
      </c>
      <c r="B76" t="s">
        <v>232</v>
      </c>
      <c r="C76" t="s">
        <v>191</v>
      </c>
      <c r="D76" t="s">
        <v>192</v>
      </c>
      <c r="E76" t="s">
        <v>93</v>
      </c>
      <c r="F76" t="s">
        <v>94</v>
      </c>
      <c r="H76">
        <v>1</v>
      </c>
      <c r="I76">
        <v>1</v>
      </c>
      <c r="J76">
        <v>0.24231000244617462</v>
      </c>
      <c r="L76">
        <v>0.29076999425888062</v>
      </c>
      <c r="M76">
        <v>0.16477000713348389</v>
      </c>
      <c r="N76">
        <v>3.8770001381635666E-2</v>
      </c>
      <c r="O76">
        <v>3.8770001381635666E-2</v>
      </c>
      <c r="P76">
        <v>0</v>
      </c>
      <c r="AL76">
        <v>20.5</v>
      </c>
    </row>
    <row r="77" spans="1:38" x14ac:dyDescent="0.2">
      <c r="A77" t="s">
        <v>229</v>
      </c>
      <c r="B77" t="s">
        <v>230</v>
      </c>
      <c r="C77" t="s">
        <v>191</v>
      </c>
      <c r="D77" t="s">
        <v>192</v>
      </c>
      <c r="E77" t="s">
        <v>89</v>
      </c>
      <c r="F77" t="s">
        <v>94</v>
      </c>
      <c r="I77">
        <v>1</v>
      </c>
      <c r="J77">
        <v>0.35813000798225403</v>
      </c>
      <c r="K77">
        <v>17.585269927978516</v>
      </c>
      <c r="L77">
        <v>0.72860002517700195</v>
      </c>
      <c r="M77">
        <v>0.19758999347686768</v>
      </c>
      <c r="N77">
        <v>7.4100002646446228E-2</v>
      </c>
      <c r="O77">
        <v>8.6439996957778931E-2</v>
      </c>
      <c r="V77">
        <v>6.8480000495910645</v>
      </c>
      <c r="W77">
        <v>6133</v>
      </c>
      <c r="X77">
        <v>6133</v>
      </c>
      <c r="AL77">
        <v>19.399999618530273</v>
      </c>
    </row>
    <row r="78" spans="1:38" x14ac:dyDescent="0.2">
      <c r="A78" t="s">
        <v>355</v>
      </c>
      <c r="B78" t="s">
        <v>356</v>
      </c>
      <c r="C78" t="s">
        <v>311</v>
      </c>
      <c r="D78" t="s">
        <v>312</v>
      </c>
      <c r="E78" t="s">
        <v>152</v>
      </c>
      <c r="F78" t="s">
        <v>197</v>
      </c>
      <c r="J78">
        <v>1.0246200561523438</v>
      </c>
      <c r="K78">
        <v>5.7961201667785645</v>
      </c>
      <c r="L78">
        <v>0.11050000041723251</v>
      </c>
      <c r="M78">
        <v>0.74335002899169922</v>
      </c>
      <c r="N78">
        <v>0.17077000439167023</v>
      </c>
      <c r="O78">
        <v>0.11050000041723251</v>
      </c>
      <c r="P78">
        <v>0.40000000596046448</v>
      </c>
      <c r="Q78">
        <v>33.443000793457031</v>
      </c>
      <c r="R78">
        <v>32791</v>
      </c>
      <c r="U78">
        <v>32791</v>
      </c>
      <c r="V78">
        <v>66.248001098632813</v>
      </c>
      <c r="W78">
        <v>64956</v>
      </c>
      <c r="X78">
        <v>63289</v>
      </c>
      <c r="Y78">
        <v>1667</v>
      </c>
      <c r="Z78">
        <v>6.3260002136230469</v>
      </c>
      <c r="AA78">
        <v>6203</v>
      </c>
      <c r="AD78">
        <v>7.744999885559082</v>
      </c>
      <c r="AE78">
        <v>7594</v>
      </c>
      <c r="AL78">
        <v>28.600000381469727</v>
      </c>
    </row>
    <row r="79" spans="1:38" x14ac:dyDescent="0.2">
      <c r="A79" t="s">
        <v>359</v>
      </c>
      <c r="B79" t="s">
        <v>360</v>
      </c>
      <c r="C79" t="s">
        <v>311</v>
      </c>
      <c r="D79" t="s">
        <v>312</v>
      </c>
      <c r="E79" t="s">
        <v>152</v>
      </c>
      <c r="F79" t="s">
        <v>197</v>
      </c>
      <c r="J79">
        <v>3.6414899826049805</v>
      </c>
      <c r="K79">
        <v>17.297100067138672</v>
      </c>
      <c r="L79">
        <v>1.8207499980926514</v>
      </c>
      <c r="M79">
        <v>2.1242098808288574</v>
      </c>
      <c r="N79">
        <v>0.91036999225616455</v>
      </c>
      <c r="O79">
        <v>0.60692000389099121</v>
      </c>
      <c r="P79">
        <v>0.17000000178813934</v>
      </c>
      <c r="Q79">
        <v>36.305999755859375</v>
      </c>
      <c r="R79">
        <v>1193</v>
      </c>
      <c r="S79">
        <v>188</v>
      </c>
      <c r="T79">
        <v>722</v>
      </c>
      <c r="U79">
        <v>283</v>
      </c>
      <c r="V79">
        <v>160.95599365234375</v>
      </c>
      <c r="W79">
        <v>5289</v>
      </c>
      <c r="X79">
        <v>5019</v>
      </c>
      <c r="Y79">
        <v>270</v>
      </c>
      <c r="Z79">
        <v>8.3380002975463867</v>
      </c>
      <c r="AA79">
        <v>274</v>
      </c>
      <c r="AD79">
        <v>4.6560001373291016</v>
      </c>
      <c r="AE79">
        <v>153</v>
      </c>
      <c r="AL79">
        <v>23.100000381469727</v>
      </c>
    </row>
    <row r="80" spans="1:38" x14ac:dyDescent="0.2">
      <c r="A80" t="s">
        <v>425</v>
      </c>
      <c r="B80" t="s">
        <v>426</v>
      </c>
      <c r="C80" t="s">
        <v>419</v>
      </c>
      <c r="D80" t="s">
        <v>266</v>
      </c>
      <c r="E80" t="s">
        <v>89</v>
      </c>
      <c r="F80" t="s">
        <v>90</v>
      </c>
      <c r="P80">
        <v>0.31999999284744263</v>
      </c>
      <c r="Q80">
        <v>7.2470002174377441</v>
      </c>
      <c r="R80">
        <v>938861</v>
      </c>
      <c r="U80">
        <v>938861</v>
      </c>
      <c r="V80">
        <v>13.73900032043457</v>
      </c>
      <c r="W80">
        <v>1780006</v>
      </c>
      <c r="X80">
        <v>1780006</v>
      </c>
      <c r="Z80">
        <v>1.1920000314712524</v>
      </c>
      <c r="AA80">
        <v>154436</v>
      </c>
      <c r="AL80">
        <v>3.7999999523162842</v>
      </c>
    </row>
    <row r="81" spans="1:38" x14ac:dyDescent="0.2">
      <c r="A81" t="s">
        <v>422</v>
      </c>
      <c r="B81" t="s">
        <v>423</v>
      </c>
      <c r="C81" t="s">
        <v>419</v>
      </c>
      <c r="D81" t="s">
        <v>424</v>
      </c>
      <c r="E81" t="s">
        <v>101</v>
      </c>
      <c r="F81" t="s">
        <v>90</v>
      </c>
      <c r="J81">
        <v>0.43182998895645142</v>
      </c>
      <c r="K81">
        <v>9.2701797485351563</v>
      </c>
      <c r="L81">
        <v>3.4210400581359863</v>
      </c>
      <c r="M81">
        <v>0.43182998895645142</v>
      </c>
      <c r="AL81">
        <v>6.9000000953674316</v>
      </c>
    </row>
    <row r="82" spans="1:38" x14ac:dyDescent="0.2">
      <c r="A82" t="s">
        <v>275</v>
      </c>
      <c r="B82" t="s">
        <v>276</v>
      </c>
      <c r="C82" t="s">
        <v>265</v>
      </c>
      <c r="D82" t="s">
        <v>119</v>
      </c>
      <c r="E82" t="s">
        <v>101</v>
      </c>
      <c r="F82" t="s">
        <v>90</v>
      </c>
      <c r="Q82">
        <v>15.043999671936035</v>
      </c>
      <c r="R82">
        <v>116536</v>
      </c>
      <c r="U82">
        <v>116536</v>
      </c>
      <c r="V82">
        <v>15.640999794006348</v>
      </c>
      <c r="W82">
        <v>121166</v>
      </c>
      <c r="X82">
        <v>121166</v>
      </c>
      <c r="Z82">
        <v>3.5859999656677246</v>
      </c>
      <c r="AA82">
        <v>27783</v>
      </c>
      <c r="AD82">
        <v>2.2909998893737793</v>
      </c>
      <c r="AE82">
        <v>17750</v>
      </c>
      <c r="AL82">
        <v>25.5</v>
      </c>
    </row>
    <row r="83" spans="1:38" x14ac:dyDescent="0.2">
      <c r="A83" t="s">
        <v>277</v>
      </c>
      <c r="B83" t="s">
        <v>278</v>
      </c>
      <c r="C83" t="s">
        <v>265</v>
      </c>
      <c r="D83" t="s">
        <v>119</v>
      </c>
      <c r="E83" t="s">
        <v>101</v>
      </c>
      <c r="F83" t="s">
        <v>90</v>
      </c>
      <c r="H83">
        <v>1</v>
      </c>
      <c r="J83">
        <v>0.95068001747131348</v>
      </c>
      <c r="K83">
        <v>6.9035501480102539</v>
      </c>
      <c r="N83">
        <v>0.7700200080871582</v>
      </c>
      <c r="O83">
        <v>0.18065999448299408</v>
      </c>
      <c r="Q83">
        <v>10.36400032043457</v>
      </c>
      <c r="R83">
        <v>35664</v>
      </c>
      <c r="S83">
        <v>5533</v>
      </c>
      <c r="U83">
        <v>30131</v>
      </c>
      <c r="V83">
        <v>18.775999069213867</v>
      </c>
      <c r="W83">
        <v>64611</v>
      </c>
      <c r="X83">
        <v>63342</v>
      </c>
      <c r="Y83">
        <v>1269</v>
      </c>
      <c r="Z83">
        <v>2.2929999828338623</v>
      </c>
      <c r="AA83">
        <v>7891</v>
      </c>
      <c r="AD83">
        <v>2.502000093460083</v>
      </c>
      <c r="AE83">
        <v>8609</v>
      </c>
      <c r="AL83">
        <v>27.399999618530273</v>
      </c>
    </row>
    <row r="84" spans="1:38" x14ac:dyDescent="0.2">
      <c r="A84" t="s">
        <v>357</v>
      </c>
      <c r="B84" t="s">
        <v>358</v>
      </c>
      <c r="C84" t="s">
        <v>311</v>
      </c>
      <c r="D84" t="s">
        <v>312</v>
      </c>
      <c r="E84" t="s">
        <v>152</v>
      </c>
      <c r="F84" t="s">
        <v>197</v>
      </c>
      <c r="P84">
        <v>0.70999997854232788</v>
      </c>
      <c r="Q84">
        <v>30.291999816894531</v>
      </c>
      <c r="R84">
        <v>14016</v>
      </c>
      <c r="S84">
        <v>7626</v>
      </c>
      <c r="T84">
        <v>6390</v>
      </c>
      <c r="V84">
        <v>158.45799255371094</v>
      </c>
      <c r="W84">
        <v>73317</v>
      </c>
      <c r="X84">
        <v>55100</v>
      </c>
      <c r="Y84">
        <v>18217</v>
      </c>
      <c r="Z84">
        <v>5.9609999656677246</v>
      </c>
      <c r="AA84">
        <v>2758</v>
      </c>
      <c r="AD84">
        <v>11.755000114440918</v>
      </c>
      <c r="AE84">
        <v>5439</v>
      </c>
      <c r="AL84">
        <v>26.899999618530273</v>
      </c>
    </row>
    <row r="85" spans="1:38" x14ac:dyDescent="0.2">
      <c r="A85" t="s">
        <v>361</v>
      </c>
      <c r="B85" t="s">
        <v>362</v>
      </c>
      <c r="C85" t="s">
        <v>311</v>
      </c>
      <c r="D85" t="s">
        <v>119</v>
      </c>
      <c r="E85" t="s">
        <v>152</v>
      </c>
      <c r="F85" t="s">
        <v>197</v>
      </c>
      <c r="J85">
        <v>0.55605000257492065</v>
      </c>
      <c r="L85">
        <v>1.2930000200867653E-2</v>
      </c>
      <c r="N85">
        <v>0.47846001386642456</v>
      </c>
      <c r="O85">
        <v>7.7590003609657288E-2</v>
      </c>
      <c r="P85">
        <v>2.5899999141693115</v>
      </c>
      <c r="Q85">
        <v>34.668998718261719</v>
      </c>
      <c r="R85">
        <v>27230</v>
      </c>
      <c r="S85">
        <v>8620</v>
      </c>
      <c r="T85">
        <v>18610</v>
      </c>
      <c r="V85">
        <v>54.032001495361328</v>
      </c>
      <c r="W85">
        <v>42438</v>
      </c>
      <c r="X85">
        <v>39967</v>
      </c>
      <c r="Y85">
        <v>2471</v>
      </c>
      <c r="Z85">
        <v>8.0209999084472656</v>
      </c>
      <c r="AA85">
        <v>6300</v>
      </c>
      <c r="AD85">
        <v>7.3850002288818359</v>
      </c>
      <c r="AE85">
        <v>5800</v>
      </c>
      <c r="AL85">
        <v>26.700000762939453</v>
      </c>
    </row>
    <row r="86" spans="1:38" x14ac:dyDescent="0.2">
      <c r="A86" t="s">
        <v>363</v>
      </c>
      <c r="B86" t="s">
        <v>364</v>
      </c>
      <c r="C86" t="s">
        <v>311</v>
      </c>
      <c r="D86" t="s">
        <v>312</v>
      </c>
      <c r="E86" t="s">
        <v>152</v>
      </c>
      <c r="F86" t="s">
        <v>197</v>
      </c>
      <c r="J86">
        <v>2.0757400989532471</v>
      </c>
      <c r="M86">
        <v>0.10984999686479568</v>
      </c>
      <c r="N86">
        <v>1.8281600475311279</v>
      </c>
      <c r="O86">
        <v>0.13773000240325928</v>
      </c>
      <c r="P86">
        <v>0.2199999988079071</v>
      </c>
      <c r="Q86">
        <v>39.048000335693359</v>
      </c>
      <c r="R86">
        <v>235889</v>
      </c>
      <c r="S86">
        <v>53463</v>
      </c>
      <c r="T86">
        <v>182426</v>
      </c>
      <c r="V86">
        <v>55.675998687744141</v>
      </c>
      <c r="W86">
        <v>336338</v>
      </c>
      <c r="X86">
        <v>320705</v>
      </c>
      <c r="Y86">
        <v>15633</v>
      </c>
      <c r="Z86">
        <v>7.8810000419616699</v>
      </c>
      <c r="AA86">
        <v>47610</v>
      </c>
      <c r="AD86">
        <v>11.633000373840332</v>
      </c>
      <c r="AE86">
        <v>70277</v>
      </c>
      <c r="AL86">
        <v>22.899999618530273</v>
      </c>
    </row>
    <row r="87" spans="1:38" x14ac:dyDescent="0.2">
      <c r="A87" t="s">
        <v>233</v>
      </c>
      <c r="B87" t="s">
        <v>234</v>
      </c>
      <c r="C87" t="s">
        <v>191</v>
      </c>
      <c r="D87" t="s">
        <v>192</v>
      </c>
      <c r="E87" t="s">
        <v>101</v>
      </c>
      <c r="F87" t="s">
        <v>90</v>
      </c>
      <c r="J87">
        <v>0.75433999300003052</v>
      </c>
      <c r="M87">
        <v>0.39513000845909119</v>
      </c>
      <c r="N87">
        <v>0.2873699963092804</v>
      </c>
      <c r="O87">
        <v>7.1840003132820129E-2</v>
      </c>
      <c r="Q87">
        <v>3.7980000972747803</v>
      </c>
      <c r="R87">
        <v>1092</v>
      </c>
      <c r="S87">
        <v>783</v>
      </c>
      <c r="T87">
        <v>309</v>
      </c>
      <c r="V87">
        <v>14.270999908447266</v>
      </c>
      <c r="W87">
        <v>4103</v>
      </c>
      <c r="X87">
        <v>3795</v>
      </c>
      <c r="Y87">
        <v>308</v>
      </c>
      <c r="Z87">
        <v>0.125</v>
      </c>
      <c r="AA87">
        <v>36</v>
      </c>
      <c r="AB87">
        <v>124</v>
      </c>
      <c r="AC87">
        <v>2</v>
      </c>
      <c r="AD87">
        <v>0.25</v>
      </c>
      <c r="AE87">
        <v>72</v>
      </c>
      <c r="AF87">
        <v>97</v>
      </c>
      <c r="AG87">
        <v>46</v>
      </c>
      <c r="AH87">
        <v>203</v>
      </c>
      <c r="AJ87">
        <v>125</v>
      </c>
      <c r="AK87">
        <v>711</v>
      </c>
      <c r="AL87">
        <v>24.399999618530273</v>
      </c>
    </row>
    <row r="88" spans="1:38" x14ac:dyDescent="0.2">
      <c r="A88" t="s">
        <v>454</v>
      </c>
      <c r="B88" t="s">
        <v>455</v>
      </c>
      <c r="C88" t="s">
        <v>443</v>
      </c>
      <c r="D88" t="s">
        <v>424</v>
      </c>
      <c r="E88" t="s">
        <v>152</v>
      </c>
      <c r="F88" t="s">
        <v>197</v>
      </c>
      <c r="P88">
        <v>1.5700000524520874</v>
      </c>
      <c r="Q88">
        <v>23.413000106811523</v>
      </c>
      <c r="R88">
        <v>300075</v>
      </c>
      <c r="U88">
        <v>300075</v>
      </c>
      <c r="V88">
        <v>115.12899780273438</v>
      </c>
      <c r="W88">
        <v>1475591</v>
      </c>
      <c r="X88">
        <v>1445254</v>
      </c>
      <c r="Y88">
        <v>30337</v>
      </c>
      <c r="Z88">
        <v>7.880000114440918</v>
      </c>
      <c r="AA88">
        <v>100994</v>
      </c>
      <c r="AD88">
        <v>16.858999252319336</v>
      </c>
      <c r="AE88">
        <v>216077</v>
      </c>
      <c r="AL88">
        <v>4.4000000953674316</v>
      </c>
    </row>
    <row r="89" spans="1:38" x14ac:dyDescent="0.2">
      <c r="A89" t="s">
        <v>279</v>
      </c>
      <c r="B89" t="s">
        <v>280</v>
      </c>
      <c r="C89" t="s">
        <v>265</v>
      </c>
      <c r="D89" t="s">
        <v>119</v>
      </c>
      <c r="E89" t="s">
        <v>101</v>
      </c>
      <c r="F89" t="s">
        <v>90</v>
      </c>
      <c r="J89">
        <v>1.9384599924087524</v>
      </c>
      <c r="K89">
        <v>19.247159957885742</v>
      </c>
      <c r="M89">
        <v>1.4160399436950684</v>
      </c>
      <c r="N89">
        <v>0.41244000196456909</v>
      </c>
      <c r="O89">
        <v>0.10998000204563141</v>
      </c>
      <c r="P89">
        <v>0.68999999761581421</v>
      </c>
      <c r="Q89">
        <v>22.038000106811523</v>
      </c>
      <c r="R89">
        <v>19655</v>
      </c>
      <c r="U89">
        <v>19655</v>
      </c>
      <c r="V89">
        <v>37.449001312255859</v>
      </c>
      <c r="W89">
        <v>33400</v>
      </c>
      <c r="X89">
        <v>27601</v>
      </c>
      <c r="Y89">
        <v>5799</v>
      </c>
      <c r="Z89">
        <v>7.7150001525878906</v>
      </c>
      <c r="AA89">
        <v>6881</v>
      </c>
      <c r="AD89">
        <v>13.696000099182129</v>
      </c>
      <c r="AE89">
        <v>12215</v>
      </c>
      <c r="AL89">
        <v>33.400001525878906</v>
      </c>
    </row>
    <row r="90" spans="1:38" x14ac:dyDescent="0.2">
      <c r="A90" t="s">
        <v>365</v>
      </c>
      <c r="B90" t="s">
        <v>366</v>
      </c>
      <c r="C90" t="s">
        <v>311</v>
      </c>
      <c r="D90" t="s">
        <v>312</v>
      </c>
      <c r="E90" t="s">
        <v>101</v>
      </c>
      <c r="F90" t="s">
        <v>90</v>
      </c>
      <c r="J90">
        <v>3.5156900882720947</v>
      </c>
      <c r="K90">
        <v>22.407960891723633</v>
      </c>
      <c r="M90">
        <v>1.9889800548553467</v>
      </c>
      <c r="N90">
        <v>1.3624800443649292</v>
      </c>
      <c r="O90">
        <v>0.16423000395298004</v>
      </c>
      <c r="Q90">
        <v>39.799999237060547</v>
      </c>
      <c r="R90">
        <v>68864</v>
      </c>
      <c r="S90">
        <v>6243</v>
      </c>
      <c r="T90">
        <v>62621</v>
      </c>
      <c r="V90">
        <v>72.001998901367188</v>
      </c>
      <c r="W90">
        <v>124583</v>
      </c>
      <c r="X90">
        <v>115225</v>
      </c>
      <c r="Y90">
        <v>9358</v>
      </c>
      <c r="Z90">
        <v>3.7160000801086426</v>
      </c>
      <c r="AA90">
        <v>6430</v>
      </c>
      <c r="AD90">
        <v>8.1850004196166992</v>
      </c>
      <c r="AE90">
        <v>14163</v>
      </c>
      <c r="AL90">
        <v>21.299999237060547</v>
      </c>
    </row>
    <row r="91" spans="1:38" x14ac:dyDescent="0.2">
      <c r="A91" t="s">
        <v>136</v>
      </c>
      <c r="B91" t="s">
        <v>137</v>
      </c>
      <c r="C91" t="s">
        <v>87</v>
      </c>
      <c r="D91" t="s">
        <v>88</v>
      </c>
      <c r="E91" t="s">
        <v>89</v>
      </c>
      <c r="F91" t="s">
        <v>108</v>
      </c>
      <c r="J91">
        <v>1.4654899835586548</v>
      </c>
      <c r="K91">
        <v>7.552919864654541</v>
      </c>
      <c r="L91">
        <v>5.9859700202941895</v>
      </c>
      <c r="M91">
        <v>1.413640022277832</v>
      </c>
      <c r="N91">
        <v>3.6070000380277634E-2</v>
      </c>
      <c r="O91">
        <v>1.5780000016093254E-2</v>
      </c>
      <c r="Q91">
        <v>1.9589999914169312</v>
      </c>
      <c r="R91">
        <v>9149</v>
      </c>
      <c r="U91">
        <v>9149</v>
      </c>
      <c r="V91">
        <v>9.2740001678466797</v>
      </c>
      <c r="W91">
        <v>43311</v>
      </c>
      <c r="X91">
        <v>43311</v>
      </c>
      <c r="Z91">
        <v>0.23299999535083771</v>
      </c>
      <c r="AA91">
        <v>1090</v>
      </c>
      <c r="AD91">
        <v>0.50400000810623169</v>
      </c>
      <c r="AE91">
        <v>2355</v>
      </c>
      <c r="AL91">
        <v>6</v>
      </c>
    </row>
    <row r="92" spans="1:38" x14ac:dyDescent="0.2">
      <c r="A92" t="s">
        <v>458</v>
      </c>
      <c r="B92" t="s">
        <v>459</v>
      </c>
      <c r="C92" t="s">
        <v>443</v>
      </c>
      <c r="D92" t="s">
        <v>424</v>
      </c>
      <c r="E92" t="s">
        <v>89</v>
      </c>
      <c r="F92" t="s">
        <v>94</v>
      </c>
      <c r="G92">
        <v>1</v>
      </c>
      <c r="H92">
        <v>1</v>
      </c>
      <c r="J92">
        <v>0</v>
      </c>
      <c r="K92">
        <v>83.04754638671875</v>
      </c>
      <c r="L92">
        <v>140.69232177734375</v>
      </c>
      <c r="M92">
        <v>0</v>
      </c>
      <c r="N92">
        <v>0</v>
      </c>
      <c r="O92">
        <v>0</v>
      </c>
      <c r="P92">
        <v>0.28999999165534973</v>
      </c>
      <c r="AL92">
        <v>45.599998474121094</v>
      </c>
    </row>
    <row r="93" spans="1:38" x14ac:dyDescent="0.2">
      <c r="A93" t="s">
        <v>281</v>
      </c>
      <c r="B93" t="s">
        <v>282</v>
      </c>
      <c r="C93" t="s">
        <v>265</v>
      </c>
      <c r="D93" t="s">
        <v>119</v>
      </c>
      <c r="E93" t="s">
        <v>152</v>
      </c>
      <c r="F93" t="s">
        <v>197</v>
      </c>
      <c r="Q93">
        <v>26.521999359130859</v>
      </c>
      <c r="R93">
        <v>9789</v>
      </c>
      <c r="U93">
        <v>9789</v>
      </c>
      <c r="V93">
        <v>66.610000610351563</v>
      </c>
      <c r="W93">
        <v>24585</v>
      </c>
      <c r="X93">
        <v>24585</v>
      </c>
      <c r="Z93">
        <v>6.1479997634887695</v>
      </c>
      <c r="AA93">
        <v>2269</v>
      </c>
      <c r="AD93">
        <v>4.9149999618530273</v>
      </c>
      <c r="AE93">
        <v>1814</v>
      </c>
      <c r="AL93">
        <v>37</v>
      </c>
    </row>
    <row r="94" spans="1:38" x14ac:dyDescent="0.2">
      <c r="A94" t="s">
        <v>367</v>
      </c>
      <c r="B94" t="s">
        <v>368</v>
      </c>
      <c r="C94" t="s">
        <v>311</v>
      </c>
      <c r="D94" t="s">
        <v>312</v>
      </c>
      <c r="E94" t="s">
        <v>89</v>
      </c>
      <c r="F94" t="s">
        <v>94</v>
      </c>
      <c r="J94">
        <v>2.6317899227142334</v>
      </c>
      <c r="K94">
        <v>17.088630676269531</v>
      </c>
      <c r="M94">
        <v>1.7845699787139893</v>
      </c>
      <c r="N94">
        <v>0.14420999586582184</v>
      </c>
      <c r="O94">
        <v>0.70301002264022827</v>
      </c>
      <c r="Q94">
        <v>22.129999160766602</v>
      </c>
      <c r="R94">
        <v>12934</v>
      </c>
      <c r="U94">
        <v>12934</v>
      </c>
      <c r="V94">
        <v>59.444999694824219</v>
      </c>
      <c r="W94">
        <v>34743</v>
      </c>
      <c r="X94">
        <v>32440</v>
      </c>
      <c r="Y94">
        <v>2303</v>
      </c>
      <c r="Z94">
        <v>1.6510000228881836</v>
      </c>
      <c r="AA94">
        <v>965</v>
      </c>
      <c r="AD94">
        <v>0.414000004529953</v>
      </c>
      <c r="AE94">
        <v>242</v>
      </c>
      <c r="AL94">
        <v>15.399999618530273</v>
      </c>
    </row>
    <row r="95" spans="1:38" x14ac:dyDescent="0.2">
      <c r="A95" t="s">
        <v>462</v>
      </c>
      <c r="B95" t="s">
        <v>463</v>
      </c>
      <c r="C95" t="s">
        <v>443</v>
      </c>
      <c r="D95" t="s">
        <v>424</v>
      </c>
      <c r="E95" t="s">
        <v>89</v>
      </c>
      <c r="F95" t="s">
        <v>94</v>
      </c>
      <c r="J95">
        <v>2.2452900409698486</v>
      </c>
      <c r="L95">
        <v>12.954730033874512</v>
      </c>
      <c r="M95">
        <v>1.9055399894714355</v>
      </c>
      <c r="N95">
        <v>0.23634999990463257</v>
      </c>
      <c r="O95">
        <v>0.10339999943971634</v>
      </c>
      <c r="Q95">
        <v>4.9489998817443848</v>
      </c>
      <c r="R95">
        <v>3286</v>
      </c>
      <c r="U95">
        <v>3286</v>
      </c>
      <c r="V95">
        <v>12.388999938964844</v>
      </c>
      <c r="W95">
        <v>8226</v>
      </c>
      <c r="X95">
        <v>7479</v>
      </c>
      <c r="Y95">
        <v>747</v>
      </c>
      <c r="Z95">
        <v>0.51399999856948853</v>
      </c>
      <c r="AA95">
        <v>341</v>
      </c>
      <c r="AD95">
        <v>1.9220000505447388</v>
      </c>
      <c r="AE95">
        <v>1276</v>
      </c>
      <c r="AG95">
        <v>985</v>
      </c>
      <c r="AI95">
        <v>636</v>
      </c>
      <c r="AL95">
        <v>4.5</v>
      </c>
    </row>
    <row r="96" spans="1:38" x14ac:dyDescent="0.2">
      <c r="A96" t="s">
        <v>373</v>
      </c>
      <c r="B96" t="s">
        <v>374</v>
      </c>
      <c r="C96" t="s">
        <v>311</v>
      </c>
      <c r="D96" t="s">
        <v>312</v>
      </c>
      <c r="E96" t="s">
        <v>152</v>
      </c>
      <c r="F96" t="s">
        <v>197</v>
      </c>
      <c r="J96">
        <v>1.56072998046875</v>
      </c>
      <c r="L96">
        <v>1.5119600296020508</v>
      </c>
      <c r="M96">
        <v>0.4877299964427948</v>
      </c>
      <c r="N96">
        <v>0.34141001105308533</v>
      </c>
      <c r="O96">
        <v>0.73158997297286987</v>
      </c>
      <c r="P96">
        <v>0.17000000178813934</v>
      </c>
      <c r="Q96">
        <v>31.724000930786133</v>
      </c>
      <c r="R96">
        <v>6412</v>
      </c>
      <c r="S96">
        <v>1394</v>
      </c>
      <c r="T96">
        <v>5018</v>
      </c>
      <c r="V96">
        <v>49.525001525878906</v>
      </c>
      <c r="W96">
        <v>10010</v>
      </c>
      <c r="X96">
        <v>9619</v>
      </c>
      <c r="Y96">
        <v>391</v>
      </c>
      <c r="Z96">
        <v>6.9270000457763672</v>
      </c>
      <c r="AA96">
        <v>1400</v>
      </c>
      <c r="AD96">
        <v>7.6589999198913574</v>
      </c>
      <c r="AE96">
        <v>1548</v>
      </c>
      <c r="AL96">
        <v>25.700000762939453</v>
      </c>
    </row>
    <row r="97" spans="1:38" x14ac:dyDescent="0.2">
      <c r="A97" t="s">
        <v>283</v>
      </c>
      <c r="B97" t="s">
        <v>284</v>
      </c>
      <c r="C97" t="s">
        <v>265</v>
      </c>
      <c r="D97" t="s">
        <v>119</v>
      </c>
      <c r="E97" t="s">
        <v>101</v>
      </c>
      <c r="F97" t="s">
        <v>90</v>
      </c>
      <c r="H97">
        <v>1</v>
      </c>
      <c r="J97">
        <v>3.0900199413299561</v>
      </c>
      <c r="K97">
        <v>2.4471299648284912</v>
      </c>
      <c r="L97">
        <v>6.2219999730587006E-2</v>
      </c>
      <c r="M97">
        <v>0.76731997728347778</v>
      </c>
      <c r="N97">
        <v>1.6590700149536133</v>
      </c>
      <c r="O97">
        <v>0.66363000869750977</v>
      </c>
      <c r="P97">
        <v>1.559999942779541</v>
      </c>
      <c r="Q97">
        <v>20.735000610351563</v>
      </c>
      <c r="R97">
        <v>12982</v>
      </c>
      <c r="U97">
        <v>12982</v>
      </c>
      <c r="V97">
        <v>16.686000823974609</v>
      </c>
      <c r="W97">
        <v>10447</v>
      </c>
      <c r="X97">
        <v>8997</v>
      </c>
      <c r="Y97">
        <v>1450</v>
      </c>
      <c r="Z97">
        <v>8.7349996566772461</v>
      </c>
      <c r="AA97">
        <v>5469</v>
      </c>
      <c r="AD97">
        <v>11.810000419616699</v>
      </c>
      <c r="AE97">
        <v>7394</v>
      </c>
      <c r="AL97">
        <v>31.299999237060547</v>
      </c>
    </row>
    <row r="98" spans="1:38" x14ac:dyDescent="0.2">
      <c r="A98" t="s">
        <v>140</v>
      </c>
      <c r="B98" t="s">
        <v>141</v>
      </c>
      <c r="C98" t="s">
        <v>87</v>
      </c>
      <c r="D98" t="s">
        <v>88</v>
      </c>
      <c r="E98" t="s">
        <v>89</v>
      </c>
      <c r="F98" t="s">
        <v>94</v>
      </c>
      <c r="AL98">
        <v>13.5</v>
      </c>
    </row>
    <row r="99" spans="1:38" x14ac:dyDescent="0.2">
      <c r="A99" t="s">
        <v>138</v>
      </c>
      <c r="B99" t="s">
        <v>139</v>
      </c>
      <c r="C99" t="s">
        <v>87</v>
      </c>
      <c r="D99" t="s">
        <v>88</v>
      </c>
      <c r="E99" t="s">
        <v>93</v>
      </c>
      <c r="F99" t="s">
        <v>94</v>
      </c>
      <c r="H99">
        <v>1</v>
      </c>
      <c r="I99">
        <v>1</v>
      </c>
      <c r="J99">
        <v>0.37261000275611877</v>
      </c>
      <c r="K99">
        <v>9.315159797668457</v>
      </c>
      <c r="L99">
        <v>1.0479600429534912</v>
      </c>
      <c r="M99">
        <v>0.34931999444961548</v>
      </c>
      <c r="O99">
        <v>2.3290000855922699E-2</v>
      </c>
      <c r="P99">
        <v>0</v>
      </c>
      <c r="AL99">
        <v>8.6000003814697266</v>
      </c>
    </row>
    <row r="100" spans="1:38" x14ac:dyDescent="0.2">
      <c r="A100" t="s">
        <v>285</v>
      </c>
      <c r="B100" t="s">
        <v>286</v>
      </c>
      <c r="C100" t="s">
        <v>265</v>
      </c>
      <c r="D100" t="s">
        <v>119</v>
      </c>
      <c r="E100" t="s">
        <v>101</v>
      </c>
      <c r="F100" t="s">
        <v>90</v>
      </c>
      <c r="H100">
        <v>1</v>
      </c>
      <c r="J100">
        <v>2.64451003074646</v>
      </c>
      <c r="K100">
        <v>29.250890731811523</v>
      </c>
      <c r="L100">
        <v>1.6770100593566895</v>
      </c>
      <c r="M100">
        <v>1.5963799953460693</v>
      </c>
      <c r="N100">
        <v>0.54825001955032349</v>
      </c>
      <c r="O100">
        <v>0.49987998604774475</v>
      </c>
      <c r="Q100">
        <v>20.583000183105469</v>
      </c>
      <c r="R100">
        <v>13095</v>
      </c>
      <c r="U100">
        <v>13095</v>
      </c>
      <c r="V100">
        <v>67.928001403808594</v>
      </c>
      <c r="W100">
        <v>43216</v>
      </c>
      <c r="X100">
        <v>43216</v>
      </c>
      <c r="Z100">
        <v>7.2039999961853027</v>
      </c>
      <c r="AA100">
        <v>4583</v>
      </c>
      <c r="AD100">
        <v>6.1739997863769531</v>
      </c>
      <c r="AE100">
        <v>3928</v>
      </c>
      <c r="AL100">
        <v>31.799999237060547</v>
      </c>
    </row>
    <row r="101" spans="1:38" x14ac:dyDescent="0.2">
      <c r="A101" t="s">
        <v>369</v>
      </c>
      <c r="B101" t="s">
        <v>370</v>
      </c>
      <c r="C101" t="s">
        <v>311</v>
      </c>
      <c r="D101" t="s">
        <v>312</v>
      </c>
      <c r="E101" t="s">
        <v>152</v>
      </c>
      <c r="F101" t="s">
        <v>197</v>
      </c>
      <c r="J101">
        <v>2.1545100212097168</v>
      </c>
      <c r="K101">
        <v>21.014720916748047</v>
      </c>
      <c r="L101">
        <v>33.146240234375</v>
      </c>
      <c r="M101">
        <v>1.6573100090026855</v>
      </c>
      <c r="N101">
        <v>0</v>
      </c>
      <c r="O101">
        <v>0.49718999862670898</v>
      </c>
      <c r="P101">
        <v>7.9999998211860657E-2</v>
      </c>
      <c r="Q101">
        <v>42.506999969482422</v>
      </c>
      <c r="R101">
        <v>12631</v>
      </c>
      <c r="S101">
        <v>2769</v>
      </c>
      <c r="T101">
        <v>9862</v>
      </c>
      <c r="V101">
        <v>78.047996520996094</v>
      </c>
      <c r="W101">
        <v>23192</v>
      </c>
      <c r="X101">
        <v>22286</v>
      </c>
      <c r="Y101">
        <v>906</v>
      </c>
      <c r="Z101">
        <v>8.9820003509521484</v>
      </c>
      <c r="AA101">
        <v>2669</v>
      </c>
      <c r="AL101">
        <v>28.399999618530273</v>
      </c>
    </row>
    <row r="102" spans="1:38" x14ac:dyDescent="0.2">
      <c r="A102" t="s">
        <v>371</v>
      </c>
      <c r="B102" t="s">
        <v>372</v>
      </c>
      <c r="C102" t="s">
        <v>311</v>
      </c>
      <c r="D102" t="s">
        <v>312</v>
      </c>
      <c r="E102" t="s">
        <v>152</v>
      </c>
      <c r="F102" t="s">
        <v>197</v>
      </c>
      <c r="J102">
        <v>1.1312600374221802</v>
      </c>
      <c r="M102">
        <v>0.18853999674320221</v>
      </c>
      <c r="N102">
        <v>0.18853999674320221</v>
      </c>
      <c r="O102">
        <v>0.75418001413345337</v>
      </c>
      <c r="Q102">
        <v>28.891000747680664</v>
      </c>
      <c r="R102">
        <v>1602</v>
      </c>
      <c r="S102">
        <v>489</v>
      </c>
      <c r="T102">
        <v>1113</v>
      </c>
      <c r="V102">
        <v>123.57099914550781</v>
      </c>
      <c r="W102">
        <v>6852</v>
      </c>
      <c r="X102">
        <v>6657</v>
      </c>
      <c r="Y102">
        <v>195</v>
      </c>
      <c r="Z102">
        <v>8.5839996337890625</v>
      </c>
      <c r="AA102">
        <v>476</v>
      </c>
      <c r="AD102">
        <v>6.8889999389648438</v>
      </c>
      <c r="AE102">
        <v>382</v>
      </c>
      <c r="AL102">
        <v>24.200000762939453</v>
      </c>
    </row>
    <row r="103" spans="1:38" x14ac:dyDescent="0.2">
      <c r="A103" t="s">
        <v>142</v>
      </c>
      <c r="B103" t="s">
        <v>143</v>
      </c>
      <c r="C103" t="s">
        <v>87</v>
      </c>
      <c r="D103" t="s">
        <v>88</v>
      </c>
      <c r="E103" t="s">
        <v>93</v>
      </c>
      <c r="F103" t="s">
        <v>94</v>
      </c>
      <c r="I103">
        <v>1</v>
      </c>
      <c r="J103">
        <v>0.46674001216888428</v>
      </c>
      <c r="K103">
        <v>12.964099884033203</v>
      </c>
      <c r="L103">
        <v>0.27480998635292053</v>
      </c>
      <c r="M103">
        <v>0.33151999115943909</v>
      </c>
      <c r="N103">
        <v>0.10904999822378159</v>
      </c>
      <c r="O103">
        <v>2.6170000433921814E-2</v>
      </c>
      <c r="Q103">
        <v>1.812000036239624</v>
      </c>
      <c r="R103">
        <v>4275</v>
      </c>
      <c r="U103">
        <v>4275</v>
      </c>
      <c r="AL103">
        <v>4.5</v>
      </c>
    </row>
    <row r="104" spans="1:38" x14ac:dyDescent="0.2">
      <c r="A104" t="s">
        <v>153</v>
      </c>
      <c r="B104" t="s">
        <v>154</v>
      </c>
      <c r="C104" t="s">
        <v>87</v>
      </c>
      <c r="D104" t="s">
        <v>88</v>
      </c>
      <c r="E104" t="s">
        <v>93</v>
      </c>
      <c r="F104" t="s">
        <v>94</v>
      </c>
      <c r="I104">
        <v>1</v>
      </c>
      <c r="J104">
        <v>0.39724999666213989</v>
      </c>
      <c r="K104">
        <v>0.44613999128341675</v>
      </c>
      <c r="L104">
        <v>2.3040399551391602</v>
      </c>
      <c r="M104">
        <v>0.22612999379634857</v>
      </c>
      <c r="N104">
        <v>0.14056000113487244</v>
      </c>
      <c r="O104">
        <v>3.0559999868273735E-2</v>
      </c>
      <c r="AL104">
        <v>4.6999998092651367</v>
      </c>
    </row>
    <row r="105" spans="1:38" x14ac:dyDescent="0.2">
      <c r="A105" t="s">
        <v>468</v>
      </c>
      <c r="B105" t="s">
        <v>469</v>
      </c>
      <c r="C105" t="s">
        <v>443</v>
      </c>
      <c r="D105" t="s">
        <v>424</v>
      </c>
      <c r="E105" t="s">
        <v>101</v>
      </c>
      <c r="F105" t="s">
        <v>90</v>
      </c>
      <c r="J105">
        <v>0.46775001287460327</v>
      </c>
      <c r="M105">
        <v>0.31968000531196594</v>
      </c>
      <c r="N105">
        <v>7.0670001208782196E-2</v>
      </c>
      <c r="O105">
        <v>7.7399998903274536E-2</v>
      </c>
      <c r="P105">
        <v>0.8399999737739563</v>
      </c>
      <c r="V105">
        <v>31.697000503540039</v>
      </c>
      <c r="W105">
        <v>94668</v>
      </c>
      <c r="X105">
        <v>94668</v>
      </c>
      <c r="AL105">
        <v>15.300000190734863</v>
      </c>
    </row>
    <row r="106" spans="1:38" x14ac:dyDescent="0.2">
      <c r="A106" t="s">
        <v>429</v>
      </c>
      <c r="B106" t="s">
        <v>430</v>
      </c>
      <c r="C106" t="s">
        <v>419</v>
      </c>
      <c r="D106" t="s">
        <v>266</v>
      </c>
      <c r="E106" t="s">
        <v>101</v>
      </c>
      <c r="F106" t="s">
        <v>94</v>
      </c>
      <c r="J106">
        <v>6.6662201881408691</v>
      </c>
      <c r="K106">
        <v>11.013759613037109</v>
      </c>
      <c r="L106">
        <v>35.939628601074219</v>
      </c>
      <c r="M106">
        <v>6.086550235748291</v>
      </c>
      <c r="N106">
        <v>0.5796700119972229</v>
      </c>
      <c r="Q106">
        <v>17.701000213623047</v>
      </c>
      <c r="R106">
        <v>770</v>
      </c>
      <c r="S106">
        <v>464</v>
      </c>
      <c r="T106">
        <v>306</v>
      </c>
      <c r="V106">
        <v>53.701000213623047</v>
      </c>
      <c r="W106">
        <v>2336</v>
      </c>
      <c r="X106">
        <v>2336</v>
      </c>
      <c r="AC106">
        <v>40</v>
      </c>
      <c r="AI106">
        <v>285</v>
      </c>
      <c r="AK106">
        <v>509</v>
      </c>
      <c r="AL106">
        <v>7.9000000953674316</v>
      </c>
    </row>
    <row r="107" spans="1:38" x14ac:dyDescent="0.2">
      <c r="A107" t="s">
        <v>144</v>
      </c>
      <c r="B107" t="s">
        <v>145</v>
      </c>
      <c r="C107" t="s">
        <v>87</v>
      </c>
      <c r="D107" t="s">
        <v>88</v>
      </c>
      <c r="E107" t="s">
        <v>93</v>
      </c>
      <c r="F107" t="s">
        <v>94</v>
      </c>
      <c r="H107">
        <v>1</v>
      </c>
      <c r="I107">
        <v>1</v>
      </c>
      <c r="J107">
        <v>0.45746999979019165</v>
      </c>
      <c r="L107">
        <v>5.7052698135375977</v>
      </c>
      <c r="M107">
        <v>0.38558000326156616</v>
      </c>
      <c r="N107">
        <v>4.5749999582767487E-2</v>
      </c>
      <c r="O107">
        <v>2.61400006711483E-2</v>
      </c>
      <c r="AL107">
        <v>7.0999999046325684</v>
      </c>
    </row>
    <row r="108" spans="1:38" x14ac:dyDescent="0.2">
      <c r="A108" t="s">
        <v>381</v>
      </c>
      <c r="B108" t="s">
        <v>382</v>
      </c>
      <c r="C108" t="s">
        <v>311</v>
      </c>
      <c r="D108" t="s">
        <v>119</v>
      </c>
      <c r="E108" t="s">
        <v>152</v>
      </c>
      <c r="F108" t="s">
        <v>197</v>
      </c>
      <c r="J108">
        <v>0.93238997459411621</v>
      </c>
      <c r="K108">
        <v>2.0978798866271973</v>
      </c>
      <c r="L108">
        <v>1.8647799491882324</v>
      </c>
      <c r="M108">
        <v>0.46619999408721924</v>
      </c>
      <c r="N108">
        <v>0.23309999704360962</v>
      </c>
      <c r="O108">
        <v>0.23309999704360962</v>
      </c>
      <c r="Q108">
        <v>26.591999053955078</v>
      </c>
      <c r="R108">
        <v>1144</v>
      </c>
      <c r="S108">
        <v>346</v>
      </c>
      <c r="T108">
        <v>798</v>
      </c>
      <c r="V108">
        <v>83.751998901367188</v>
      </c>
      <c r="W108">
        <v>3603</v>
      </c>
      <c r="X108">
        <v>3412</v>
      </c>
      <c r="Y108">
        <v>191</v>
      </c>
      <c r="Z108">
        <v>4.6719999313354492</v>
      </c>
      <c r="AA108">
        <v>201</v>
      </c>
      <c r="AD108">
        <v>11.460000038146973</v>
      </c>
      <c r="AE108">
        <v>493</v>
      </c>
      <c r="AL108">
        <v>31</v>
      </c>
    </row>
    <row r="109" spans="1:38" x14ac:dyDescent="0.2">
      <c r="A109" t="s">
        <v>464</v>
      </c>
      <c r="B109" t="s">
        <v>465</v>
      </c>
      <c r="C109" t="s">
        <v>443</v>
      </c>
      <c r="D109" t="s">
        <v>424</v>
      </c>
      <c r="E109" t="s">
        <v>101</v>
      </c>
      <c r="F109" t="s">
        <v>94</v>
      </c>
      <c r="G109">
        <v>1</v>
      </c>
      <c r="H109">
        <v>1</v>
      </c>
      <c r="J109">
        <v>3.7998299598693848</v>
      </c>
      <c r="K109">
        <v>1.8999099731445313</v>
      </c>
      <c r="L109">
        <v>98.795463562011719</v>
      </c>
      <c r="M109">
        <v>0</v>
      </c>
      <c r="N109">
        <v>3.7998199462890625</v>
      </c>
      <c r="O109">
        <v>0</v>
      </c>
      <c r="AL109">
        <v>52.400001525878906</v>
      </c>
    </row>
    <row r="110" spans="1:38" x14ac:dyDescent="0.2">
      <c r="A110" t="s">
        <v>148</v>
      </c>
      <c r="B110" t="s">
        <v>149</v>
      </c>
      <c r="C110" t="s">
        <v>87</v>
      </c>
      <c r="D110" t="s">
        <v>88</v>
      </c>
      <c r="E110" t="s">
        <v>89</v>
      </c>
      <c r="F110" t="s">
        <v>94</v>
      </c>
      <c r="I110">
        <v>1</v>
      </c>
      <c r="J110">
        <v>1.0283099412918091</v>
      </c>
      <c r="K110">
        <v>11.645600318908691</v>
      </c>
      <c r="L110">
        <v>3.8047399520874023</v>
      </c>
      <c r="M110">
        <v>0.69410997629165649</v>
      </c>
      <c r="N110">
        <v>0.15424999594688416</v>
      </c>
      <c r="O110">
        <v>0.17994999885559082</v>
      </c>
      <c r="Q110">
        <v>1.5820000171661377</v>
      </c>
      <c r="R110">
        <v>622</v>
      </c>
      <c r="U110">
        <v>622</v>
      </c>
      <c r="V110">
        <v>9.7840003967285156</v>
      </c>
      <c r="W110">
        <v>3846</v>
      </c>
      <c r="X110">
        <v>3846</v>
      </c>
      <c r="AL110">
        <v>11.300000190734863</v>
      </c>
    </row>
    <row r="111" spans="1:38" x14ac:dyDescent="0.2">
      <c r="A111" t="s">
        <v>150</v>
      </c>
      <c r="B111" t="s">
        <v>151</v>
      </c>
      <c r="C111" t="s">
        <v>87</v>
      </c>
      <c r="D111" t="s">
        <v>88</v>
      </c>
      <c r="E111" t="s">
        <v>152</v>
      </c>
      <c r="F111" t="s">
        <v>90</v>
      </c>
      <c r="J111">
        <v>0.96432000398635864</v>
      </c>
      <c r="K111">
        <v>8.8395795822143555</v>
      </c>
      <c r="L111">
        <v>0.16072000563144684</v>
      </c>
      <c r="M111">
        <v>0.16072000563144684</v>
      </c>
      <c r="N111">
        <v>0.4018000066280365</v>
      </c>
      <c r="O111">
        <v>0.4018000066280365</v>
      </c>
      <c r="Q111">
        <v>19.318000793457031</v>
      </c>
      <c r="R111">
        <v>2429</v>
      </c>
      <c r="U111">
        <v>2429</v>
      </c>
      <c r="V111">
        <v>32.805999755859375</v>
      </c>
      <c r="W111">
        <v>4125</v>
      </c>
      <c r="X111">
        <v>4125</v>
      </c>
      <c r="Z111">
        <v>2.9110000133514404</v>
      </c>
      <c r="AA111">
        <v>366</v>
      </c>
      <c r="AD111">
        <v>3.9289999008178711</v>
      </c>
      <c r="AE111">
        <v>494</v>
      </c>
      <c r="AL111">
        <v>11.5</v>
      </c>
    </row>
    <row r="112" spans="1:38" x14ac:dyDescent="0.2">
      <c r="A112" t="s">
        <v>239</v>
      </c>
      <c r="B112" t="s">
        <v>240</v>
      </c>
      <c r="C112" t="s">
        <v>191</v>
      </c>
      <c r="D112" t="s">
        <v>192</v>
      </c>
      <c r="E112" t="s">
        <v>101</v>
      </c>
      <c r="F112" t="s">
        <v>90</v>
      </c>
      <c r="J112">
        <v>3.5125598907470703</v>
      </c>
      <c r="K112">
        <v>102.06699371337891</v>
      </c>
      <c r="N112">
        <v>3.4561600685119629</v>
      </c>
      <c r="O112">
        <v>5.6400001049041748E-2</v>
      </c>
      <c r="P112">
        <v>0.25</v>
      </c>
      <c r="Q112">
        <v>22.069999694824219</v>
      </c>
      <c r="R112">
        <v>265621</v>
      </c>
      <c r="U112">
        <v>265621</v>
      </c>
      <c r="V112">
        <v>22.23699951171875</v>
      </c>
      <c r="W112">
        <v>267631</v>
      </c>
      <c r="X112">
        <v>267631</v>
      </c>
      <c r="Z112">
        <v>1.2790000438690186</v>
      </c>
      <c r="AA112">
        <v>15397</v>
      </c>
      <c r="AL112">
        <v>28.399999618530273</v>
      </c>
    </row>
    <row r="113" spans="1:38" x14ac:dyDescent="0.2">
      <c r="A113" t="s">
        <v>452</v>
      </c>
      <c r="B113" t="s">
        <v>453</v>
      </c>
      <c r="C113" t="s">
        <v>443</v>
      </c>
      <c r="D113" t="s">
        <v>424</v>
      </c>
      <c r="E113" t="s">
        <v>89</v>
      </c>
      <c r="F113" t="s">
        <v>94</v>
      </c>
      <c r="G113">
        <v>1</v>
      </c>
      <c r="H113">
        <v>1</v>
      </c>
      <c r="J113">
        <v>4.8286299705505371</v>
      </c>
      <c r="K113">
        <v>117.81861877441406</v>
      </c>
      <c r="L113">
        <v>0</v>
      </c>
      <c r="M113">
        <v>4.8286299705505371</v>
      </c>
      <c r="N113">
        <v>0</v>
      </c>
      <c r="O113">
        <v>0</v>
      </c>
      <c r="P113">
        <v>0.18999999761581421</v>
      </c>
      <c r="AL113">
        <v>41.599998474121094</v>
      </c>
    </row>
    <row r="114" spans="1:38" x14ac:dyDescent="0.2">
      <c r="A114" t="s">
        <v>375</v>
      </c>
      <c r="B114" t="s">
        <v>376</v>
      </c>
      <c r="C114" t="s">
        <v>311</v>
      </c>
      <c r="D114" t="s">
        <v>312</v>
      </c>
      <c r="E114" t="s">
        <v>152</v>
      </c>
      <c r="F114" t="s">
        <v>197</v>
      </c>
      <c r="J114">
        <v>10.57334041595459</v>
      </c>
      <c r="N114">
        <v>10.57334041595459</v>
      </c>
      <c r="Q114">
        <v>75.067001342773438</v>
      </c>
      <c r="R114">
        <v>280</v>
      </c>
      <c r="S114">
        <v>51</v>
      </c>
      <c r="T114">
        <v>229</v>
      </c>
      <c r="V114">
        <v>201.60899353027344</v>
      </c>
      <c r="W114">
        <v>752</v>
      </c>
      <c r="X114">
        <v>732</v>
      </c>
      <c r="Y114">
        <v>20</v>
      </c>
      <c r="Z114">
        <v>10.187999725341797</v>
      </c>
      <c r="AA114">
        <v>38</v>
      </c>
      <c r="AD114">
        <v>26.273000717163086</v>
      </c>
      <c r="AE114">
        <v>98</v>
      </c>
    </row>
    <row r="115" spans="1:38" x14ac:dyDescent="0.2">
      <c r="A115" t="s">
        <v>466</v>
      </c>
      <c r="B115" t="s">
        <v>467</v>
      </c>
      <c r="C115" t="s">
        <v>443</v>
      </c>
      <c r="D115" t="s">
        <v>424</v>
      </c>
      <c r="E115" t="s">
        <v>89</v>
      </c>
      <c r="F115" t="s">
        <v>90</v>
      </c>
      <c r="J115">
        <v>2.5008199214935303</v>
      </c>
      <c r="K115">
        <v>41.034519195556641</v>
      </c>
      <c r="L115">
        <v>16.343360900878906</v>
      </c>
      <c r="M115">
        <v>1.2328000068664551</v>
      </c>
      <c r="N115">
        <v>1.2680200338363647</v>
      </c>
      <c r="P115">
        <v>0.85000002384185791</v>
      </c>
      <c r="Q115">
        <v>31.631999969482422</v>
      </c>
      <c r="R115">
        <v>9300</v>
      </c>
      <c r="U115">
        <v>9300</v>
      </c>
      <c r="V115">
        <v>40.256999969482422</v>
      </c>
      <c r="W115">
        <v>11836</v>
      </c>
      <c r="X115">
        <v>10948</v>
      </c>
      <c r="Y115">
        <v>888</v>
      </c>
      <c r="AJ115">
        <v>1047</v>
      </c>
      <c r="AL115">
        <v>19.600000381469727</v>
      </c>
    </row>
    <row r="116" spans="1:38" x14ac:dyDescent="0.2">
      <c r="A116" t="s">
        <v>383</v>
      </c>
      <c r="B116" t="s">
        <v>384</v>
      </c>
      <c r="C116" t="s">
        <v>311</v>
      </c>
      <c r="D116" t="s">
        <v>312</v>
      </c>
      <c r="E116" t="s">
        <v>101</v>
      </c>
      <c r="F116" t="s">
        <v>90</v>
      </c>
      <c r="J116">
        <v>2.0921099185943604</v>
      </c>
      <c r="K116">
        <v>15.93220043182373</v>
      </c>
      <c r="L116">
        <v>2.8967599868774414</v>
      </c>
      <c r="M116">
        <v>1.4483799934387207</v>
      </c>
      <c r="N116">
        <v>0.48278999328613281</v>
      </c>
      <c r="O116">
        <v>0.16092999279499054</v>
      </c>
      <c r="P116">
        <v>0.23999999463558197</v>
      </c>
      <c r="Q116">
        <v>21.861000061035156</v>
      </c>
      <c r="R116">
        <v>1370</v>
      </c>
      <c r="S116">
        <v>245</v>
      </c>
      <c r="T116">
        <v>1125</v>
      </c>
      <c r="V116">
        <v>54.459999084472656</v>
      </c>
      <c r="W116">
        <v>3413</v>
      </c>
      <c r="X116">
        <v>3170</v>
      </c>
      <c r="Y116">
        <v>243</v>
      </c>
      <c r="Z116">
        <v>0.39899998903274536</v>
      </c>
      <c r="AA116">
        <v>25</v>
      </c>
      <c r="AL116">
        <v>24.899999618530273</v>
      </c>
    </row>
    <row r="117" spans="1:38" x14ac:dyDescent="0.2">
      <c r="A117" t="s">
        <v>287</v>
      </c>
      <c r="B117" t="s">
        <v>288</v>
      </c>
      <c r="C117" t="s">
        <v>265</v>
      </c>
      <c r="D117" t="s">
        <v>119</v>
      </c>
      <c r="E117" t="s">
        <v>89</v>
      </c>
      <c r="F117" t="s">
        <v>90</v>
      </c>
      <c r="Q117">
        <v>9.1350002288818359</v>
      </c>
      <c r="R117">
        <v>31235</v>
      </c>
      <c r="S117">
        <v>10288</v>
      </c>
      <c r="U117">
        <v>20947</v>
      </c>
      <c r="V117">
        <v>9.4399995803833008</v>
      </c>
      <c r="W117">
        <v>32276</v>
      </c>
      <c r="X117">
        <v>29592</v>
      </c>
      <c r="Y117">
        <v>2684</v>
      </c>
      <c r="Z117">
        <v>1.3609999418258667</v>
      </c>
      <c r="AA117">
        <v>4655</v>
      </c>
      <c r="AL117">
        <v>25.600000381469727</v>
      </c>
    </row>
    <row r="118" spans="1:38" x14ac:dyDescent="0.2">
      <c r="A118" t="s">
        <v>146</v>
      </c>
      <c r="B118" t="s">
        <v>147</v>
      </c>
      <c r="C118" t="s">
        <v>87</v>
      </c>
      <c r="D118" t="s">
        <v>88</v>
      </c>
      <c r="E118" t="s">
        <v>93</v>
      </c>
      <c r="F118" t="s">
        <v>94</v>
      </c>
      <c r="I118">
        <v>1</v>
      </c>
      <c r="P118">
        <v>0</v>
      </c>
      <c r="V118">
        <v>5.9520001411437988</v>
      </c>
      <c r="W118">
        <v>15646</v>
      </c>
      <c r="X118">
        <v>10997</v>
      </c>
      <c r="Y118">
        <v>4649</v>
      </c>
      <c r="AL118">
        <v>6</v>
      </c>
    </row>
    <row r="119" spans="1:38" x14ac:dyDescent="0.2">
      <c r="A119" t="s">
        <v>431</v>
      </c>
      <c r="B119" t="s">
        <v>432</v>
      </c>
      <c r="C119" t="s">
        <v>419</v>
      </c>
      <c r="D119" t="s">
        <v>424</v>
      </c>
      <c r="E119" t="s">
        <v>89</v>
      </c>
      <c r="F119" t="s">
        <v>94</v>
      </c>
      <c r="H119">
        <v>1</v>
      </c>
      <c r="J119">
        <v>0.63463002443313599</v>
      </c>
      <c r="K119">
        <v>3.7890300750732422</v>
      </c>
      <c r="L119">
        <v>0.95383000373840332</v>
      </c>
      <c r="M119">
        <v>0.51258999109268188</v>
      </c>
      <c r="N119">
        <v>7.135000079870224E-2</v>
      </c>
      <c r="O119">
        <v>5.0700001418590546E-2</v>
      </c>
      <c r="AL119">
        <v>5.6999998092651367</v>
      </c>
    </row>
    <row r="120" spans="1:38" x14ac:dyDescent="0.2">
      <c r="A120" t="s">
        <v>155</v>
      </c>
      <c r="B120" t="s">
        <v>156</v>
      </c>
      <c r="C120" t="s">
        <v>87</v>
      </c>
      <c r="D120" t="s">
        <v>88</v>
      </c>
      <c r="E120" t="s">
        <v>101</v>
      </c>
      <c r="F120" t="s">
        <v>90</v>
      </c>
      <c r="J120">
        <v>1.910290002822876</v>
      </c>
      <c r="K120">
        <v>12.764209747314453</v>
      </c>
      <c r="L120">
        <v>2.3010299205780029</v>
      </c>
      <c r="M120">
        <v>1.3024699687957764</v>
      </c>
      <c r="N120">
        <v>0.17365999519824982</v>
      </c>
      <c r="O120">
        <v>0.43415999412536621</v>
      </c>
      <c r="V120">
        <v>18.527000427246094</v>
      </c>
      <c r="W120">
        <v>4212</v>
      </c>
      <c r="X120">
        <v>4212</v>
      </c>
      <c r="Z120">
        <v>0.29899999499320984</v>
      </c>
      <c r="AA120">
        <v>68</v>
      </c>
      <c r="AL120">
        <v>15</v>
      </c>
    </row>
    <row r="121" spans="1:38" x14ac:dyDescent="0.2">
      <c r="A121" t="s">
        <v>472</v>
      </c>
      <c r="B121" t="s">
        <v>473</v>
      </c>
      <c r="C121" t="s">
        <v>443</v>
      </c>
      <c r="D121" t="s">
        <v>424</v>
      </c>
      <c r="E121" t="s">
        <v>152</v>
      </c>
      <c r="F121" t="s">
        <v>90</v>
      </c>
      <c r="G121">
        <v>1</v>
      </c>
      <c r="J121">
        <v>9.9492597579956055</v>
      </c>
      <c r="N121">
        <v>9.9492597579956055</v>
      </c>
      <c r="AL121">
        <v>60.700000762939453</v>
      </c>
    </row>
    <row r="122" spans="1:38" x14ac:dyDescent="0.2">
      <c r="A122" t="s">
        <v>433</v>
      </c>
      <c r="B122" t="s">
        <v>434</v>
      </c>
      <c r="C122" t="s">
        <v>419</v>
      </c>
      <c r="D122" t="s">
        <v>266</v>
      </c>
      <c r="E122" t="s">
        <v>89</v>
      </c>
      <c r="F122" t="s">
        <v>94</v>
      </c>
      <c r="J122">
        <v>0.38133001327514648</v>
      </c>
      <c r="K122">
        <v>2.5146200656890869</v>
      </c>
      <c r="L122">
        <v>0.72308999300003052</v>
      </c>
      <c r="M122">
        <v>0.23383000493049622</v>
      </c>
      <c r="N122">
        <v>0.10433000326156616</v>
      </c>
      <c r="O122">
        <v>4.3170001357793808E-2</v>
      </c>
      <c r="V122">
        <v>21.368999481201172</v>
      </c>
      <c r="W122">
        <v>57495</v>
      </c>
      <c r="X122">
        <v>33293</v>
      </c>
      <c r="Y122">
        <v>24202</v>
      </c>
      <c r="AL122">
        <v>3.7999999523162842</v>
      </c>
    </row>
    <row r="123" spans="1:38" x14ac:dyDescent="0.2">
      <c r="A123" t="s">
        <v>385</v>
      </c>
      <c r="B123" t="s">
        <v>386</v>
      </c>
      <c r="C123" t="s">
        <v>311</v>
      </c>
      <c r="D123" t="s">
        <v>312</v>
      </c>
      <c r="E123" t="s">
        <v>152</v>
      </c>
      <c r="F123" t="s">
        <v>197</v>
      </c>
      <c r="J123">
        <v>0.76375997066497803</v>
      </c>
      <c r="O123">
        <v>0.76375997066497803</v>
      </c>
      <c r="P123">
        <v>0.30000001192092896</v>
      </c>
      <c r="Q123">
        <v>33.467998504638672</v>
      </c>
      <c r="R123">
        <v>56535</v>
      </c>
      <c r="S123">
        <v>24934</v>
      </c>
      <c r="T123">
        <v>31601</v>
      </c>
      <c r="V123">
        <v>105.29499816894531</v>
      </c>
      <c r="W123">
        <v>177870</v>
      </c>
      <c r="X123">
        <v>174285</v>
      </c>
      <c r="Y123">
        <v>3585</v>
      </c>
      <c r="Z123">
        <v>4.9790000915527344</v>
      </c>
      <c r="AA123">
        <v>8410</v>
      </c>
      <c r="AD123">
        <v>2.1519999504089355</v>
      </c>
      <c r="AE123">
        <v>3635</v>
      </c>
      <c r="AL123">
        <v>23.100000381469727</v>
      </c>
    </row>
    <row r="124" spans="1:38" x14ac:dyDescent="0.2">
      <c r="A124" t="s">
        <v>474</v>
      </c>
      <c r="B124" t="s">
        <v>475</v>
      </c>
      <c r="C124" t="s">
        <v>443</v>
      </c>
      <c r="D124" t="s">
        <v>424</v>
      </c>
      <c r="E124" t="s">
        <v>152</v>
      </c>
      <c r="F124" t="s">
        <v>197</v>
      </c>
      <c r="Q124">
        <v>32.374000549316406</v>
      </c>
      <c r="R124">
        <v>14787</v>
      </c>
      <c r="S124">
        <v>5447</v>
      </c>
      <c r="T124">
        <v>6687</v>
      </c>
      <c r="U124">
        <v>2653</v>
      </c>
      <c r="V124">
        <v>118.1719970703125</v>
      </c>
      <c r="W124">
        <v>53975</v>
      </c>
      <c r="X124">
        <v>51406</v>
      </c>
      <c r="Y124">
        <v>2569</v>
      </c>
      <c r="Z124">
        <v>6.1020002365112305</v>
      </c>
      <c r="AA124">
        <v>2787</v>
      </c>
      <c r="AD124">
        <v>6.5460000038146973</v>
      </c>
      <c r="AE124">
        <v>2990</v>
      </c>
      <c r="AL124">
        <v>32</v>
      </c>
    </row>
    <row r="125" spans="1:38" x14ac:dyDescent="0.2">
      <c r="A125" t="s">
        <v>241</v>
      </c>
      <c r="B125" t="s">
        <v>242</v>
      </c>
      <c r="C125" t="s">
        <v>191</v>
      </c>
      <c r="D125" t="s">
        <v>192</v>
      </c>
      <c r="E125" t="s">
        <v>89</v>
      </c>
      <c r="F125" t="s">
        <v>94</v>
      </c>
      <c r="I125">
        <v>1</v>
      </c>
      <c r="J125">
        <v>0.95386999845504761</v>
      </c>
      <c r="K125">
        <v>14.637009620666504</v>
      </c>
      <c r="L125">
        <v>2.5984799861907959</v>
      </c>
      <c r="M125">
        <v>0.42759999632835388</v>
      </c>
      <c r="N125">
        <v>0.42759999632835388</v>
      </c>
      <c r="O125">
        <v>9.8679997026920319E-2</v>
      </c>
      <c r="Q125">
        <v>8.9460000991821289</v>
      </c>
      <c r="R125">
        <v>5495</v>
      </c>
      <c r="U125">
        <v>5495</v>
      </c>
      <c r="V125">
        <v>13.548999786376953</v>
      </c>
      <c r="W125">
        <v>8323</v>
      </c>
      <c r="X125">
        <v>8323</v>
      </c>
      <c r="Z125">
        <v>0.42300000786781311</v>
      </c>
      <c r="AA125">
        <v>260</v>
      </c>
      <c r="AB125">
        <v>1263</v>
      </c>
      <c r="AD125">
        <v>1.8569999933242798</v>
      </c>
      <c r="AE125">
        <v>1141</v>
      </c>
      <c r="AG125">
        <v>4094</v>
      </c>
      <c r="AJ125">
        <v>1118</v>
      </c>
      <c r="AL125">
        <v>21.799999237060547</v>
      </c>
    </row>
    <row r="126" spans="1:38" x14ac:dyDescent="0.2">
      <c r="A126" t="s">
        <v>157</v>
      </c>
      <c r="B126" t="s">
        <v>158</v>
      </c>
      <c r="C126" t="s">
        <v>87</v>
      </c>
      <c r="D126" t="s">
        <v>88</v>
      </c>
      <c r="E126" t="s">
        <v>93</v>
      </c>
      <c r="F126" t="s">
        <v>94</v>
      </c>
      <c r="H126">
        <v>1</v>
      </c>
      <c r="I126">
        <v>1</v>
      </c>
      <c r="J126">
        <v>0.54960000514984131</v>
      </c>
      <c r="K126">
        <v>13.981060028076172</v>
      </c>
      <c r="L126">
        <v>4.9688000679016113</v>
      </c>
      <c r="M126">
        <v>0.43182998895645142</v>
      </c>
      <c r="N126">
        <v>6.1689998954534531E-2</v>
      </c>
      <c r="O126">
        <v>5.607999861240387E-2</v>
      </c>
      <c r="Q126">
        <v>0.2720000147819519</v>
      </c>
      <c r="R126">
        <v>523</v>
      </c>
      <c r="U126">
        <v>523</v>
      </c>
      <c r="V126">
        <v>3.0659999847412109</v>
      </c>
      <c r="W126">
        <v>5899</v>
      </c>
      <c r="X126">
        <v>4940</v>
      </c>
      <c r="Y126">
        <v>959</v>
      </c>
      <c r="Z126">
        <v>1.0999999940395355E-2</v>
      </c>
      <c r="AA126">
        <v>21</v>
      </c>
      <c r="AD126">
        <v>7.0000002160668373E-3</v>
      </c>
      <c r="AE126">
        <v>14</v>
      </c>
      <c r="AL126">
        <v>4.6999998092651367</v>
      </c>
    </row>
    <row r="127" spans="1:38" x14ac:dyDescent="0.2">
      <c r="A127" t="s">
        <v>159</v>
      </c>
      <c r="B127" t="s">
        <v>160</v>
      </c>
      <c r="C127" t="s">
        <v>87</v>
      </c>
      <c r="D127" t="s">
        <v>88</v>
      </c>
      <c r="E127" t="s">
        <v>89</v>
      </c>
      <c r="F127" t="s">
        <v>108</v>
      </c>
      <c r="H127">
        <v>1</v>
      </c>
      <c r="AL127">
        <v>7.8000001907348633</v>
      </c>
    </row>
    <row r="128" spans="1:38" x14ac:dyDescent="0.2">
      <c r="A128" t="s">
        <v>470</v>
      </c>
      <c r="B128" t="s">
        <v>471</v>
      </c>
      <c r="C128" t="s">
        <v>443</v>
      </c>
      <c r="D128" t="s">
        <v>197</v>
      </c>
      <c r="E128" t="s">
        <v>197</v>
      </c>
      <c r="F128" t="s">
        <v>197</v>
      </c>
      <c r="AL128">
        <v>49.299999237060547</v>
      </c>
    </row>
    <row r="129" spans="1:38" x14ac:dyDescent="0.2">
      <c r="A129" t="s">
        <v>379</v>
      </c>
      <c r="B129" t="s">
        <v>380</v>
      </c>
      <c r="C129" t="s">
        <v>311</v>
      </c>
      <c r="D129" t="s">
        <v>312</v>
      </c>
      <c r="E129" t="s">
        <v>101</v>
      </c>
      <c r="F129" t="s">
        <v>90</v>
      </c>
      <c r="AL129">
        <v>23.899999618530273</v>
      </c>
    </row>
    <row r="130" spans="1:38" x14ac:dyDescent="0.2">
      <c r="A130" t="s">
        <v>387</v>
      </c>
      <c r="B130" t="s">
        <v>388</v>
      </c>
      <c r="C130" t="s">
        <v>311</v>
      </c>
      <c r="D130" t="s">
        <v>312</v>
      </c>
      <c r="E130" t="s">
        <v>152</v>
      </c>
      <c r="F130" t="s">
        <v>197</v>
      </c>
      <c r="Q130">
        <v>26.832000732421875</v>
      </c>
      <c r="R130">
        <v>13798</v>
      </c>
      <c r="S130">
        <v>4595</v>
      </c>
      <c r="T130">
        <v>9203</v>
      </c>
      <c r="V130">
        <v>174.2550048828125</v>
      </c>
      <c r="W130">
        <v>89607</v>
      </c>
      <c r="X130">
        <v>86764</v>
      </c>
      <c r="Y130">
        <v>2843</v>
      </c>
      <c r="Z130">
        <v>8.6540002822875977</v>
      </c>
      <c r="AA130">
        <v>4450</v>
      </c>
      <c r="AD130">
        <v>7.2150001525878906</v>
      </c>
      <c r="AE130">
        <v>3710</v>
      </c>
      <c r="AL130">
        <v>25</v>
      </c>
    </row>
    <row r="131" spans="1:38" x14ac:dyDescent="0.2">
      <c r="A131" t="s">
        <v>289</v>
      </c>
      <c r="B131" t="s">
        <v>290</v>
      </c>
      <c r="C131" t="s">
        <v>265</v>
      </c>
      <c r="D131" t="s">
        <v>119</v>
      </c>
      <c r="E131" t="s">
        <v>152</v>
      </c>
      <c r="F131" t="s">
        <v>197</v>
      </c>
      <c r="J131">
        <v>1.3489500284194946</v>
      </c>
      <c r="K131">
        <v>2.7804999351501465</v>
      </c>
      <c r="L131">
        <v>2.0371999740600586</v>
      </c>
      <c r="M131">
        <v>0.96354001760482788</v>
      </c>
      <c r="N131">
        <v>0.27529999613761902</v>
      </c>
      <c r="O131">
        <v>0.11011999845504761</v>
      </c>
      <c r="Q131">
        <v>21.481000900268555</v>
      </c>
      <c r="R131">
        <v>8651</v>
      </c>
      <c r="S131">
        <v>5012</v>
      </c>
      <c r="T131">
        <v>3639</v>
      </c>
      <c r="V131">
        <v>46.668998718261719</v>
      </c>
      <c r="W131">
        <v>18795</v>
      </c>
      <c r="X131">
        <v>18022</v>
      </c>
      <c r="Y131">
        <v>773</v>
      </c>
      <c r="Z131">
        <v>2.5580000877380371</v>
      </c>
      <c r="AA131">
        <v>1030</v>
      </c>
      <c r="AB131">
        <v>302</v>
      </c>
      <c r="AD131">
        <v>4.8990001678466797</v>
      </c>
      <c r="AE131">
        <v>1973</v>
      </c>
      <c r="AF131">
        <v>1918</v>
      </c>
      <c r="AH131">
        <v>222</v>
      </c>
      <c r="AI131">
        <v>2319</v>
      </c>
      <c r="AL131">
        <v>22.899999618530273</v>
      </c>
    </row>
    <row r="132" spans="1:38" x14ac:dyDescent="0.2">
      <c r="A132" t="s">
        <v>291</v>
      </c>
      <c r="B132" t="s">
        <v>292</v>
      </c>
      <c r="C132" t="s">
        <v>265</v>
      </c>
      <c r="D132" t="s">
        <v>266</v>
      </c>
      <c r="E132" t="s">
        <v>89</v>
      </c>
      <c r="F132" t="s">
        <v>108</v>
      </c>
      <c r="J132">
        <v>0.53035002946853638</v>
      </c>
      <c r="K132">
        <v>2.98117995262146</v>
      </c>
      <c r="L132">
        <v>0.82792001962661743</v>
      </c>
      <c r="M132">
        <v>0.34918001294136047</v>
      </c>
      <c r="N132">
        <v>8.2350000739097595E-2</v>
      </c>
      <c r="O132">
        <v>9.8820000886917114E-2</v>
      </c>
      <c r="Q132">
        <v>8.9720001220703125</v>
      </c>
      <c r="R132">
        <v>175223</v>
      </c>
      <c r="U132">
        <v>175223</v>
      </c>
      <c r="V132">
        <v>4.6220002174377441</v>
      </c>
      <c r="W132">
        <v>90276</v>
      </c>
      <c r="X132">
        <v>90276</v>
      </c>
      <c r="Z132">
        <v>0.77300000190734863</v>
      </c>
      <c r="AA132">
        <v>15106</v>
      </c>
      <c r="AL132">
        <v>7.8000001907348633</v>
      </c>
    </row>
    <row r="133" spans="1:38" x14ac:dyDescent="0.2">
      <c r="A133" t="s">
        <v>478</v>
      </c>
      <c r="B133" t="s">
        <v>479</v>
      </c>
      <c r="C133" t="s">
        <v>443</v>
      </c>
      <c r="D133" t="s">
        <v>424</v>
      </c>
      <c r="E133" t="s">
        <v>152</v>
      </c>
      <c r="F133" t="s">
        <v>90</v>
      </c>
      <c r="G133">
        <v>1</v>
      </c>
      <c r="Q133">
        <v>14.204999923706055</v>
      </c>
      <c r="R133">
        <v>25</v>
      </c>
      <c r="U133">
        <v>25</v>
      </c>
      <c r="V133">
        <v>63.068000793457031</v>
      </c>
      <c r="W133">
        <v>111</v>
      </c>
      <c r="X133">
        <v>111</v>
      </c>
      <c r="AL133">
        <v>54.900001525878906</v>
      </c>
    </row>
    <row r="134" spans="1:38" x14ac:dyDescent="0.2">
      <c r="A134" t="s">
        <v>243</v>
      </c>
      <c r="B134" t="s">
        <v>244</v>
      </c>
      <c r="C134" t="s">
        <v>191</v>
      </c>
      <c r="D134" t="s">
        <v>192</v>
      </c>
      <c r="E134" t="s">
        <v>152</v>
      </c>
      <c r="F134" t="s">
        <v>90</v>
      </c>
      <c r="J134">
        <v>0.90575999021530151</v>
      </c>
      <c r="K134">
        <v>12.421810150146484</v>
      </c>
      <c r="L134">
        <v>10.040969848632813</v>
      </c>
      <c r="M134">
        <v>0.38817998766899109</v>
      </c>
      <c r="N134">
        <v>0.33641999959945679</v>
      </c>
      <c r="O134">
        <v>0.18115000426769257</v>
      </c>
      <c r="V134">
        <v>29.495000839233398</v>
      </c>
      <c r="W134">
        <v>11507</v>
      </c>
      <c r="X134">
        <v>11507</v>
      </c>
      <c r="AL134">
        <v>22.5</v>
      </c>
    </row>
    <row r="135" spans="1:38" x14ac:dyDescent="0.2">
      <c r="A135" t="s">
        <v>480</v>
      </c>
      <c r="B135" t="s">
        <v>481</v>
      </c>
      <c r="C135" t="s">
        <v>443</v>
      </c>
      <c r="D135" t="s">
        <v>424</v>
      </c>
      <c r="E135" t="s">
        <v>89</v>
      </c>
      <c r="F135" t="s">
        <v>108</v>
      </c>
      <c r="H135">
        <v>1</v>
      </c>
      <c r="J135">
        <v>1.5707700252532959</v>
      </c>
      <c r="K135">
        <v>35.51300048828125</v>
      </c>
      <c r="L135">
        <v>9.247039794921875</v>
      </c>
      <c r="M135">
        <v>1.2156399488449097</v>
      </c>
      <c r="N135">
        <v>0.25951999425888062</v>
      </c>
      <c r="O135">
        <v>9.5610000193119049E-2</v>
      </c>
      <c r="AL135">
        <v>19.399999618530273</v>
      </c>
    </row>
    <row r="136" spans="1:38" x14ac:dyDescent="0.2">
      <c r="A136" t="s">
        <v>247</v>
      </c>
      <c r="B136" t="s">
        <v>248</v>
      </c>
      <c r="C136" t="s">
        <v>191</v>
      </c>
      <c r="D136" t="s">
        <v>192</v>
      </c>
      <c r="E136" t="s">
        <v>101</v>
      </c>
      <c r="F136" t="s">
        <v>90</v>
      </c>
      <c r="J136">
        <v>2.425649881362915</v>
      </c>
      <c r="K136">
        <v>9.6584997177124023</v>
      </c>
      <c r="L136">
        <v>1.7347099781036377</v>
      </c>
      <c r="M136">
        <v>2.0581300258636475</v>
      </c>
      <c r="N136">
        <v>0.11761000007390976</v>
      </c>
      <c r="O136">
        <v>0.24991999566555023</v>
      </c>
      <c r="P136">
        <v>5.000000074505806E-2</v>
      </c>
      <c r="V136">
        <v>6.1430001258850098</v>
      </c>
      <c r="W136">
        <v>4054</v>
      </c>
      <c r="X136">
        <v>4054</v>
      </c>
      <c r="AL136">
        <v>19</v>
      </c>
    </row>
    <row r="137" spans="1:38" x14ac:dyDescent="0.2">
      <c r="A137" t="s">
        <v>245</v>
      </c>
      <c r="B137" t="s">
        <v>246</v>
      </c>
      <c r="C137" t="s">
        <v>191</v>
      </c>
      <c r="D137" t="s">
        <v>192</v>
      </c>
      <c r="E137" t="s">
        <v>101</v>
      </c>
      <c r="F137" t="s">
        <v>90</v>
      </c>
      <c r="V137">
        <v>20.823999404907227</v>
      </c>
      <c r="W137">
        <v>62660</v>
      </c>
      <c r="X137">
        <v>62660</v>
      </c>
      <c r="AL137">
        <v>19.100000381469727</v>
      </c>
    </row>
    <row r="138" spans="1:38" x14ac:dyDescent="0.2">
      <c r="A138" t="s">
        <v>476</v>
      </c>
      <c r="B138" t="s">
        <v>477</v>
      </c>
      <c r="C138" t="s">
        <v>443</v>
      </c>
      <c r="D138" t="s">
        <v>424</v>
      </c>
      <c r="E138" t="s">
        <v>89</v>
      </c>
      <c r="F138" t="s">
        <v>90</v>
      </c>
      <c r="J138">
        <v>1.8131300210952759</v>
      </c>
      <c r="M138">
        <v>1.4757100343704224</v>
      </c>
      <c r="N138">
        <v>0.21648000180721283</v>
      </c>
      <c r="O138">
        <v>0.12093999981880188</v>
      </c>
      <c r="AL138">
        <v>6</v>
      </c>
    </row>
    <row r="139" spans="1:38" x14ac:dyDescent="0.2">
      <c r="A139" t="s">
        <v>389</v>
      </c>
      <c r="B139" t="s">
        <v>390</v>
      </c>
      <c r="C139" t="s">
        <v>311</v>
      </c>
      <c r="D139" t="s">
        <v>312</v>
      </c>
      <c r="E139" t="s">
        <v>152</v>
      </c>
      <c r="F139" t="s">
        <v>90</v>
      </c>
      <c r="J139">
        <v>0.94460999965667725</v>
      </c>
      <c r="M139">
        <v>0.18317000567913055</v>
      </c>
      <c r="N139">
        <v>0.61229997873306274</v>
      </c>
      <c r="O139">
        <v>0.14914999902248383</v>
      </c>
      <c r="Q139">
        <v>23.020000457763672</v>
      </c>
      <c r="R139">
        <v>87687</v>
      </c>
      <c r="S139">
        <v>13744</v>
      </c>
      <c r="T139">
        <v>73943</v>
      </c>
      <c r="V139">
        <v>58.167999267578125</v>
      </c>
      <c r="W139">
        <v>221569</v>
      </c>
      <c r="X139">
        <v>199188</v>
      </c>
      <c r="Y139">
        <v>22381</v>
      </c>
      <c r="Z139">
        <v>3.4360001087188721</v>
      </c>
      <c r="AA139">
        <v>13088</v>
      </c>
      <c r="AD139">
        <v>7.2839999198913574</v>
      </c>
      <c r="AE139">
        <v>27747</v>
      </c>
      <c r="AL139">
        <v>25.600000381469727</v>
      </c>
    </row>
    <row r="140" spans="1:38" x14ac:dyDescent="0.2">
      <c r="A140" t="s">
        <v>391</v>
      </c>
      <c r="B140" t="s">
        <v>392</v>
      </c>
      <c r="C140" t="s">
        <v>311</v>
      </c>
      <c r="D140" t="s">
        <v>312</v>
      </c>
      <c r="E140" t="s">
        <v>152</v>
      </c>
      <c r="F140" t="s">
        <v>197</v>
      </c>
      <c r="K140">
        <v>3.0825300216674805</v>
      </c>
      <c r="L140">
        <v>0.17911000549793243</v>
      </c>
      <c r="P140">
        <v>9.0000003576278687E-2</v>
      </c>
      <c r="Q140">
        <v>45.567001342773438</v>
      </c>
      <c r="R140">
        <v>47473</v>
      </c>
      <c r="S140">
        <v>23748</v>
      </c>
      <c r="T140">
        <v>23725</v>
      </c>
      <c r="V140">
        <v>63.676998138427734</v>
      </c>
      <c r="W140">
        <v>66340</v>
      </c>
      <c r="X140">
        <v>63792</v>
      </c>
      <c r="Y140">
        <v>2548</v>
      </c>
      <c r="Z140">
        <v>8.7589998245239258</v>
      </c>
      <c r="AA140">
        <v>9125</v>
      </c>
      <c r="AD140">
        <v>8.0430002212524414</v>
      </c>
      <c r="AE140">
        <v>8379</v>
      </c>
      <c r="AL140">
        <v>23.200000762939453</v>
      </c>
    </row>
    <row r="141" spans="1:38" x14ac:dyDescent="0.2">
      <c r="A141" t="s">
        <v>295</v>
      </c>
      <c r="B141" t="s">
        <v>296</v>
      </c>
      <c r="C141" t="s">
        <v>265</v>
      </c>
      <c r="D141" t="s">
        <v>119</v>
      </c>
      <c r="E141" t="s">
        <v>152</v>
      </c>
      <c r="F141" t="s">
        <v>197</v>
      </c>
      <c r="Q141">
        <v>17.35099983215332</v>
      </c>
      <c r="R141">
        <v>4267</v>
      </c>
      <c r="U141">
        <v>4267</v>
      </c>
      <c r="V141">
        <v>55.998001098632813</v>
      </c>
      <c r="W141">
        <v>13771</v>
      </c>
      <c r="X141">
        <v>13771</v>
      </c>
      <c r="Z141">
        <v>6.7579998970031738</v>
      </c>
      <c r="AA141">
        <v>1662</v>
      </c>
      <c r="AD141">
        <v>8.685999870300293</v>
      </c>
      <c r="AE141">
        <v>2136</v>
      </c>
      <c r="AL141">
        <v>33.900001525878906</v>
      </c>
    </row>
    <row r="142" spans="1:38" x14ac:dyDescent="0.2">
      <c r="A142" t="s">
        <v>460</v>
      </c>
      <c r="B142" t="s">
        <v>461</v>
      </c>
      <c r="C142" t="s">
        <v>443</v>
      </c>
      <c r="D142" t="s">
        <v>424</v>
      </c>
      <c r="E142" t="s">
        <v>152</v>
      </c>
      <c r="F142" t="s">
        <v>197</v>
      </c>
      <c r="J142">
        <v>3.4204399585723877</v>
      </c>
      <c r="L142">
        <v>56.46868896484375</v>
      </c>
      <c r="M142">
        <v>2.7728900909423828</v>
      </c>
      <c r="N142">
        <v>0.55822998285293579</v>
      </c>
      <c r="O142">
        <v>8.9319996535778046E-2</v>
      </c>
      <c r="Q142">
        <v>22.069999694824219</v>
      </c>
      <c r="R142">
        <v>111694</v>
      </c>
      <c r="S142">
        <v>30299</v>
      </c>
      <c r="T142">
        <v>81395</v>
      </c>
      <c r="V142">
        <v>56.097000122070313</v>
      </c>
      <c r="W142">
        <v>283897</v>
      </c>
      <c r="X142">
        <v>282846</v>
      </c>
      <c r="Y142">
        <v>1051</v>
      </c>
      <c r="Z142">
        <v>4.5349998474121094</v>
      </c>
      <c r="AA142">
        <v>22952</v>
      </c>
      <c r="AD142">
        <v>6.4510002136230469</v>
      </c>
      <c r="AE142">
        <v>32645</v>
      </c>
      <c r="AL142">
        <v>4.9000000953674316</v>
      </c>
    </row>
    <row r="143" spans="1:38" x14ac:dyDescent="0.2">
      <c r="A143" t="s">
        <v>377</v>
      </c>
      <c r="B143" t="s">
        <v>378</v>
      </c>
      <c r="C143" t="s">
        <v>311</v>
      </c>
      <c r="D143" t="s">
        <v>312</v>
      </c>
      <c r="E143" t="s">
        <v>89</v>
      </c>
      <c r="F143" t="s">
        <v>90</v>
      </c>
      <c r="J143">
        <v>2.1220400333404541</v>
      </c>
      <c r="K143">
        <v>29.393180847167969</v>
      </c>
      <c r="L143">
        <v>10.094050407409668</v>
      </c>
      <c r="M143">
        <v>0.97499001026153564</v>
      </c>
      <c r="N143">
        <v>0.6595500111579895</v>
      </c>
      <c r="O143">
        <v>0.48750001192092896</v>
      </c>
      <c r="Q143">
        <v>24.746000289916992</v>
      </c>
      <c r="R143">
        <v>10080</v>
      </c>
      <c r="S143">
        <v>1728</v>
      </c>
      <c r="T143">
        <v>8352</v>
      </c>
      <c r="V143">
        <v>53.110000610351563</v>
      </c>
      <c r="W143">
        <v>21634</v>
      </c>
      <c r="X143">
        <v>20881</v>
      </c>
      <c r="Y143">
        <v>753</v>
      </c>
      <c r="Z143">
        <v>4.2989997863769531</v>
      </c>
      <c r="AA143">
        <v>1751</v>
      </c>
      <c r="AL143">
        <v>20.100000381469727</v>
      </c>
    </row>
    <row r="144" spans="1:38" x14ac:dyDescent="0.2">
      <c r="A144" t="s">
        <v>393</v>
      </c>
      <c r="B144" t="s">
        <v>394</v>
      </c>
      <c r="C144" t="s">
        <v>311</v>
      </c>
      <c r="D144" t="s">
        <v>312</v>
      </c>
      <c r="E144" t="s">
        <v>152</v>
      </c>
      <c r="F144" t="s">
        <v>90</v>
      </c>
      <c r="J144">
        <v>1.67753005027771</v>
      </c>
      <c r="K144">
        <v>1.8430000171065331E-2</v>
      </c>
      <c r="L144">
        <v>5.9909999370574951E-2</v>
      </c>
      <c r="M144">
        <v>0.42399001121520996</v>
      </c>
      <c r="N144">
        <v>0.50234001874923706</v>
      </c>
      <c r="O144">
        <v>0.75120002031326294</v>
      </c>
      <c r="P144">
        <v>0.57999998331069946</v>
      </c>
      <c r="AL144">
        <v>24.5</v>
      </c>
    </row>
    <row r="145" spans="1:38" x14ac:dyDescent="0.2">
      <c r="A145" t="s">
        <v>395</v>
      </c>
      <c r="B145" t="s">
        <v>396</v>
      </c>
      <c r="C145" t="s">
        <v>311</v>
      </c>
      <c r="D145" t="s">
        <v>312</v>
      </c>
      <c r="E145" t="s">
        <v>101</v>
      </c>
      <c r="F145" t="s">
        <v>90</v>
      </c>
      <c r="Q145">
        <v>40.113998413085938</v>
      </c>
      <c r="R145">
        <v>580311</v>
      </c>
      <c r="U145">
        <v>580311</v>
      </c>
      <c r="V145">
        <v>45.333000183105469</v>
      </c>
      <c r="W145">
        <v>655814</v>
      </c>
      <c r="X145">
        <v>600281</v>
      </c>
      <c r="Y145">
        <v>55533</v>
      </c>
      <c r="Z145">
        <v>2.8420000076293945</v>
      </c>
      <c r="AA145">
        <v>41113</v>
      </c>
      <c r="AD145">
        <v>0.49200001358985901</v>
      </c>
      <c r="AE145">
        <v>7115</v>
      </c>
      <c r="AL145">
        <v>25.700000762939453</v>
      </c>
    </row>
    <row r="146" spans="1:38" x14ac:dyDescent="0.2">
      <c r="A146" t="s">
        <v>161</v>
      </c>
      <c r="B146" t="s">
        <v>162</v>
      </c>
      <c r="C146" t="s">
        <v>87</v>
      </c>
      <c r="D146" t="s">
        <v>88</v>
      </c>
      <c r="E146" t="s">
        <v>93</v>
      </c>
      <c r="F146" t="s">
        <v>94</v>
      </c>
      <c r="I146">
        <v>1</v>
      </c>
      <c r="Q146">
        <v>0.9089999794960022</v>
      </c>
      <c r="R146">
        <v>1008</v>
      </c>
      <c r="S146">
        <v>834</v>
      </c>
      <c r="T146">
        <v>174</v>
      </c>
      <c r="V146">
        <v>9.3079996109008789</v>
      </c>
      <c r="W146">
        <v>10317</v>
      </c>
      <c r="X146">
        <v>9625</v>
      </c>
      <c r="Y146">
        <v>692</v>
      </c>
      <c r="AL146">
        <v>4.8000001907348633</v>
      </c>
    </row>
    <row r="147" spans="1:38" x14ac:dyDescent="0.2">
      <c r="A147" t="s">
        <v>235</v>
      </c>
      <c r="B147" t="s">
        <v>236</v>
      </c>
      <c r="C147" t="s">
        <v>191</v>
      </c>
      <c r="D147" t="s">
        <v>192</v>
      </c>
      <c r="E147" t="s">
        <v>152</v>
      </c>
      <c r="F147" t="s">
        <v>90</v>
      </c>
      <c r="J147">
        <v>7.3812999725341797</v>
      </c>
      <c r="K147">
        <v>0</v>
      </c>
      <c r="L147">
        <v>31.370519638061523</v>
      </c>
      <c r="M147">
        <v>3.6906499862670898</v>
      </c>
      <c r="N147">
        <v>3.6906499862670898</v>
      </c>
      <c r="O147">
        <v>0</v>
      </c>
      <c r="AL147">
        <v>23.100000381469727</v>
      </c>
    </row>
    <row r="148" spans="1:38" x14ac:dyDescent="0.2">
      <c r="A148" t="s">
        <v>237</v>
      </c>
      <c r="B148" t="s">
        <v>238</v>
      </c>
      <c r="C148" t="s">
        <v>191</v>
      </c>
      <c r="D148" t="s">
        <v>192</v>
      </c>
      <c r="E148" t="s">
        <v>101</v>
      </c>
      <c r="F148" t="s">
        <v>108</v>
      </c>
      <c r="J148">
        <v>1.6458799839019775</v>
      </c>
      <c r="K148">
        <v>18.653339385986328</v>
      </c>
      <c r="O148">
        <v>1.6458799839019775</v>
      </c>
      <c r="Q148">
        <v>26.809000015258789</v>
      </c>
      <c r="R148">
        <v>478</v>
      </c>
      <c r="U148">
        <v>478</v>
      </c>
      <c r="V148">
        <v>15.704000473022461</v>
      </c>
      <c r="W148">
        <v>280</v>
      </c>
      <c r="X148">
        <v>280</v>
      </c>
      <c r="Z148">
        <v>3.0850000381469727</v>
      </c>
      <c r="AA148">
        <v>55</v>
      </c>
      <c r="AL148">
        <v>19.799999237060547</v>
      </c>
    </row>
    <row r="149" spans="1:38" x14ac:dyDescent="0.2">
      <c r="A149" t="s">
        <v>259</v>
      </c>
      <c r="B149" t="s">
        <v>260</v>
      </c>
      <c r="C149" t="s">
        <v>191</v>
      </c>
      <c r="D149" t="s">
        <v>192</v>
      </c>
      <c r="E149" t="s">
        <v>101</v>
      </c>
      <c r="F149" t="s">
        <v>108</v>
      </c>
      <c r="J149">
        <v>0</v>
      </c>
      <c r="K149">
        <v>35.657791137695313</v>
      </c>
      <c r="L149">
        <v>0.91430002450942993</v>
      </c>
      <c r="M149">
        <v>0</v>
      </c>
      <c r="N149">
        <v>0</v>
      </c>
      <c r="O149">
        <v>0</v>
      </c>
      <c r="V149">
        <v>90.358001708984375</v>
      </c>
      <c r="W149">
        <v>984</v>
      </c>
      <c r="X149">
        <v>984</v>
      </c>
      <c r="AL149">
        <v>23.799999237060547</v>
      </c>
    </row>
    <row r="150" spans="1:38" x14ac:dyDescent="0.2">
      <c r="A150" t="s">
        <v>494</v>
      </c>
      <c r="B150" t="s">
        <v>495</v>
      </c>
      <c r="C150" t="s">
        <v>443</v>
      </c>
      <c r="D150" t="s">
        <v>424</v>
      </c>
      <c r="E150" t="s">
        <v>101</v>
      </c>
      <c r="F150" t="s">
        <v>94</v>
      </c>
      <c r="G150">
        <v>1</v>
      </c>
      <c r="J150">
        <v>4.2023000717163086</v>
      </c>
      <c r="K150">
        <v>0</v>
      </c>
      <c r="L150">
        <v>1.5758600234985352</v>
      </c>
      <c r="M150">
        <v>3.1517200469970703</v>
      </c>
      <c r="N150">
        <v>0.52529001235961914</v>
      </c>
      <c r="O150">
        <v>0.52529001235961914</v>
      </c>
      <c r="V150">
        <v>18.573999404907227</v>
      </c>
      <c r="W150">
        <v>357</v>
      </c>
      <c r="X150">
        <v>288</v>
      </c>
      <c r="Y150">
        <v>69</v>
      </c>
      <c r="AI150">
        <v>37</v>
      </c>
      <c r="AL150">
        <v>45.5</v>
      </c>
    </row>
    <row r="151" spans="1:38" x14ac:dyDescent="0.2">
      <c r="A151" t="s">
        <v>397</v>
      </c>
      <c r="B151" t="s">
        <v>398</v>
      </c>
      <c r="C151" t="s">
        <v>311</v>
      </c>
      <c r="D151" t="s">
        <v>312</v>
      </c>
      <c r="E151" t="s">
        <v>152</v>
      </c>
      <c r="F151" t="s">
        <v>197</v>
      </c>
      <c r="J151">
        <v>3.1798501014709473</v>
      </c>
      <c r="K151">
        <v>9.5395603179931641</v>
      </c>
      <c r="L151">
        <v>0</v>
      </c>
      <c r="M151">
        <v>0</v>
      </c>
      <c r="N151">
        <v>3.1798501014709473</v>
      </c>
      <c r="O151">
        <v>0</v>
      </c>
      <c r="Q151">
        <v>61.094001770019531</v>
      </c>
      <c r="R151">
        <v>201</v>
      </c>
      <c r="U151">
        <v>201</v>
      </c>
      <c r="V151">
        <v>82.067001342773438</v>
      </c>
      <c r="W151">
        <v>270</v>
      </c>
      <c r="X151">
        <v>253</v>
      </c>
      <c r="Y151">
        <v>17</v>
      </c>
      <c r="Z151">
        <v>6.6869997978210449</v>
      </c>
      <c r="AA151">
        <v>22</v>
      </c>
      <c r="AD151">
        <v>6.6869997978210449</v>
      </c>
      <c r="AE151">
        <v>22</v>
      </c>
    </row>
    <row r="152" spans="1:38" x14ac:dyDescent="0.2">
      <c r="A152" t="s">
        <v>169</v>
      </c>
      <c r="B152" t="s">
        <v>170</v>
      </c>
      <c r="C152" t="s">
        <v>87</v>
      </c>
      <c r="D152" t="s">
        <v>88</v>
      </c>
      <c r="E152" t="s">
        <v>89</v>
      </c>
      <c r="F152" t="s">
        <v>94</v>
      </c>
      <c r="I152">
        <v>1</v>
      </c>
      <c r="K152">
        <v>14.508299827575684</v>
      </c>
      <c r="L152">
        <v>2.0726099014282227</v>
      </c>
      <c r="M152">
        <v>0</v>
      </c>
      <c r="AL152">
        <v>10.600000381469727</v>
      </c>
    </row>
    <row r="153" spans="1:38" x14ac:dyDescent="0.2">
      <c r="A153" t="s">
        <v>297</v>
      </c>
      <c r="B153" t="s">
        <v>298</v>
      </c>
      <c r="C153" t="s">
        <v>265</v>
      </c>
      <c r="D153" t="s">
        <v>119</v>
      </c>
      <c r="E153" t="s">
        <v>152</v>
      </c>
      <c r="F153" t="s">
        <v>197</v>
      </c>
      <c r="J153">
        <v>1.040619969367981</v>
      </c>
      <c r="K153">
        <v>0</v>
      </c>
      <c r="L153">
        <v>0</v>
      </c>
      <c r="M153">
        <v>0.2115900069475174</v>
      </c>
      <c r="N153">
        <v>0.81515997648239136</v>
      </c>
      <c r="O153">
        <v>1.3869999907910824E-2</v>
      </c>
      <c r="P153">
        <v>0.10000000149011612</v>
      </c>
      <c r="Q153">
        <v>25.653999328613281</v>
      </c>
      <c r="R153">
        <v>79313</v>
      </c>
      <c r="U153">
        <v>79313</v>
      </c>
      <c r="V153">
        <v>52.013999938964844</v>
      </c>
      <c r="W153">
        <v>160811</v>
      </c>
      <c r="X153">
        <v>160811</v>
      </c>
      <c r="Z153">
        <v>3.9790000915527344</v>
      </c>
      <c r="AA153">
        <v>12301</v>
      </c>
      <c r="AD153">
        <v>6.999000072479248</v>
      </c>
      <c r="AE153">
        <v>21639</v>
      </c>
      <c r="AL153">
        <v>35</v>
      </c>
    </row>
    <row r="154" spans="1:38" x14ac:dyDescent="0.2">
      <c r="A154" t="s">
        <v>163</v>
      </c>
      <c r="B154" t="s">
        <v>164</v>
      </c>
      <c r="C154" t="s">
        <v>87</v>
      </c>
      <c r="D154" t="s">
        <v>88</v>
      </c>
      <c r="E154" t="s">
        <v>89</v>
      </c>
      <c r="F154" t="s">
        <v>94</v>
      </c>
      <c r="I154">
        <v>1</v>
      </c>
      <c r="J154">
        <v>0.1556600034236908</v>
      </c>
      <c r="K154">
        <v>6.8703098297119141</v>
      </c>
      <c r="L154">
        <v>0.53773999214172363</v>
      </c>
      <c r="M154">
        <v>0.1556600034236908</v>
      </c>
      <c r="AL154">
        <v>7.4000000953674316</v>
      </c>
    </row>
    <row r="155" spans="1:38" x14ac:dyDescent="0.2">
      <c r="A155" t="s">
        <v>399</v>
      </c>
      <c r="B155" t="s">
        <v>400</v>
      </c>
      <c r="C155" t="s">
        <v>311</v>
      </c>
      <c r="D155" t="s">
        <v>312</v>
      </c>
      <c r="E155" t="s">
        <v>101</v>
      </c>
      <c r="F155" t="s">
        <v>90</v>
      </c>
      <c r="J155">
        <v>1.0935300588607788</v>
      </c>
      <c r="K155">
        <v>1.6613199710845947</v>
      </c>
      <c r="L155">
        <v>1.6613199710845947</v>
      </c>
      <c r="M155">
        <v>0.42059001326560974</v>
      </c>
      <c r="N155">
        <v>0.43110001087188721</v>
      </c>
      <c r="O155">
        <v>0.24184000492095947</v>
      </c>
      <c r="P155">
        <v>0.31999999284744263</v>
      </c>
      <c r="Q155">
        <v>24.611000061035156</v>
      </c>
      <c r="R155">
        <v>21900</v>
      </c>
      <c r="S155">
        <v>6440</v>
      </c>
      <c r="T155">
        <v>15460</v>
      </c>
      <c r="V155">
        <v>73.024002075195313</v>
      </c>
      <c r="W155">
        <v>64979</v>
      </c>
      <c r="X155">
        <v>62400</v>
      </c>
      <c r="Y155">
        <v>2579</v>
      </c>
      <c r="Z155">
        <v>2.5959999561309814</v>
      </c>
      <c r="AA155">
        <v>2310</v>
      </c>
      <c r="AL155">
        <v>23.5</v>
      </c>
    </row>
    <row r="156" spans="1:38" x14ac:dyDescent="0.2">
      <c r="A156" t="s">
        <v>173</v>
      </c>
      <c r="B156" t="s">
        <v>174</v>
      </c>
      <c r="C156" t="s">
        <v>87</v>
      </c>
      <c r="D156" t="s">
        <v>88</v>
      </c>
      <c r="E156" t="s">
        <v>152</v>
      </c>
      <c r="F156" t="s">
        <v>90</v>
      </c>
      <c r="J156">
        <v>1.0771499872207642</v>
      </c>
      <c r="K156">
        <v>20.46575927734375</v>
      </c>
      <c r="L156">
        <v>5.3857297897338867</v>
      </c>
      <c r="O156">
        <v>1.0771499872207642</v>
      </c>
      <c r="AL156">
        <v>14.600000381469727</v>
      </c>
    </row>
    <row r="157" spans="1:38" x14ac:dyDescent="0.2">
      <c r="A157" t="s">
        <v>165</v>
      </c>
      <c r="B157" t="s">
        <v>166</v>
      </c>
      <c r="C157" t="s">
        <v>87</v>
      </c>
      <c r="D157" t="s">
        <v>88</v>
      </c>
      <c r="E157" t="s">
        <v>93</v>
      </c>
      <c r="F157" t="s">
        <v>94</v>
      </c>
      <c r="I157">
        <v>1</v>
      </c>
      <c r="L157">
        <v>1.2146899700164795</v>
      </c>
      <c r="V157">
        <v>10.050000190734863</v>
      </c>
      <c r="W157">
        <v>7052</v>
      </c>
      <c r="X157">
        <v>6467</v>
      </c>
      <c r="Y157">
        <v>585</v>
      </c>
      <c r="AL157">
        <v>7.5</v>
      </c>
    </row>
    <row r="158" spans="1:38" x14ac:dyDescent="0.2">
      <c r="A158" t="s">
        <v>482</v>
      </c>
      <c r="B158" t="s">
        <v>483</v>
      </c>
      <c r="C158" t="s">
        <v>443</v>
      </c>
      <c r="D158" t="s">
        <v>424</v>
      </c>
      <c r="E158" t="s">
        <v>152</v>
      </c>
      <c r="F158" t="s">
        <v>197</v>
      </c>
      <c r="J158">
        <v>0.49891999363899231</v>
      </c>
      <c r="K158">
        <v>59.223129272460938</v>
      </c>
      <c r="N158">
        <v>0.49891999363899231</v>
      </c>
      <c r="P158">
        <v>5.9099998474121094</v>
      </c>
      <c r="Q158">
        <v>20.125</v>
      </c>
      <c r="R158">
        <v>11120</v>
      </c>
      <c r="U158">
        <v>11120</v>
      </c>
      <c r="V158">
        <v>57.452999114990234</v>
      </c>
      <c r="W158">
        <v>31746</v>
      </c>
      <c r="X158">
        <v>31614</v>
      </c>
      <c r="Y158">
        <v>132</v>
      </c>
      <c r="AL158">
        <v>6.5999999046325684</v>
      </c>
    </row>
    <row r="159" spans="1:38" x14ac:dyDescent="0.2">
      <c r="A159" t="s">
        <v>401</v>
      </c>
      <c r="B159" t="s">
        <v>402</v>
      </c>
      <c r="C159" t="s">
        <v>311</v>
      </c>
      <c r="D159" t="s">
        <v>312</v>
      </c>
      <c r="E159" t="s">
        <v>152</v>
      </c>
      <c r="F159" t="s">
        <v>197</v>
      </c>
      <c r="J159">
        <v>1.54121994972229</v>
      </c>
      <c r="K159">
        <v>0.29357001185417175</v>
      </c>
      <c r="M159">
        <v>0.11009000241756439</v>
      </c>
      <c r="N159">
        <v>0.47703999280929565</v>
      </c>
      <c r="O159">
        <v>0.95408999919891357</v>
      </c>
      <c r="P159">
        <v>0.11999999731779099</v>
      </c>
      <c r="Q159">
        <v>34.214000701904297</v>
      </c>
      <c r="R159">
        <v>18574</v>
      </c>
      <c r="U159">
        <v>18574</v>
      </c>
      <c r="V159">
        <v>60.715000152587891</v>
      </c>
      <c r="W159">
        <v>32961</v>
      </c>
      <c r="X159">
        <v>31166</v>
      </c>
      <c r="Y159">
        <v>1795</v>
      </c>
      <c r="AL159">
        <v>22.399999618530273</v>
      </c>
    </row>
    <row r="160" spans="1:38" x14ac:dyDescent="0.2">
      <c r="A160" t="s">
        <v>403</v>
      </c>
      <c r="B160" t="s">
        <v>404</v>
      </c>
      <c r="C160" t="s">
        <v>311</v>
      </c>
      <c r="D160" t="s">
        <v>312</v>
      </c>
      <c r="E160" t="s">
        <v>152</v>
      </c>
      <c r="F160" t="s">
        <v>197</v>
      </c>
      <c r="J160">
        <v>1.254830002784729</v>
      </c>
      <c r="K160">
        <v>4.0057997703552246</v>
      </c>
      <c r="L160">
        <v>2.7509698867797852</v>
      </c>
      <c r="M160">
        <v>0.67567998170852661</v>
      </c>
      <c r="N160">
        <v>0.48263001441955566</v>
      </c>
      <c r="O160">
        <v>9.6529997885227203E-2</v>
      </c>
      <c r="P160">
        <v>0.8399999737739563</v>
      </c>
      <c r="Q160">
        <v>27.628000259399414</v>
      </c>
      <c r="R160">
        <v>5712</v>
      </c>
      <c r="S160">
        <v>1284</v>
      </c>
      <c r="T160">
        <v>4278</v>
      </c>
      <c r="U160">
        <v>150</v>
      </c>
      <c r="V160">
        <v>86.045997619628906</v>
      </c>
      <c r="W160">
        <v>17790</v>
      </c>
      <c r="X160">
        <v>17650</v>
      </c>
      <c r="Y160">
        <v>140</v>
      </c>
      <c r="Z160">
        <v>6.6020002365112305</v>
      </c>
      <c r="AA160">
        <v>1365</v>
      </c>
      <c r="AD160">
        <v>6.0170001983642578</v>
      </c>
      <c r="AE160">
        <v>1244</v>
      </c>
      <c r="AL160">
        <v>22.5</v>
      </c>
    </row>
    <row r="161" spans="1:38" x14ac:dyDescent="0.2">
      <c r="A161" t="s">
        <v>484</v>
      </c>
      <c r="B161" t="s">
        <v>485</v>
      </c>
      <c r="C161" t="s">
        <v>443</v>
      </c>
      <c r="D161" t="s">
        <v>424</v>
      </c>
      <c r="E161" t="s">
        <v>89</v>
      </c>
      <c r="F161" t="s">
        <v>94</v>
      </c>
      <c r="G161">
        <v>1</v>
      </c>
      <c r="H161">
        <v>1</v>
      </c>
      <c r="AL161">
        <v>20.5</v>
      </c>
    </row>
    <row r="162" spans="1:38" x14ac:dyDescent="0.2">
      <c r="A162" t="s">
        <v>301</v>
      </c>
      <c r="B162" t="s">
        <v>302</v>
      </c>
      <c r="C162" t="s">
        <v>265</v>
      </c>
      <c r="D162" t="s">
        <v>88</v>
      </c>
      <c r="E162" t="s">
        <v>93</v>
      </c>
      <c r="F162" t="s">
        <v>94</v>
      </c>
      <c r="H162">
        <v>1</v>
      </c>
      <c r="I162">
        <v>1</v>
      </c>
      <c r="Q162">
        <v>0.23000000417232513</v>
      </c>
      <c r="R162">
        <v>309</v>
      </c>
      <c r="U162">
        <v>309</v>
      </c>
      <c r="V162">
        <v>1.1189999580383301</v>
      </c>
      <c r="W162">
        <v>1502</v>
      </c>
      <c r="X162">
        <v>825</v>
      </c>
      <c r="Y162">
        <v>677</v>
      </c>
      <c r="AL162">
        <v>6.9000000953674316</v>
      </c>
    </row>
    <row r="163" spans="1:38" x14ac:dyDescent="0.2">
      <c r="A163" t="s">
        <v>183</v>
      </c>
      <c r="B163" t="s">
        <v>184</v>
      </c>
      <c r="C163" t="s">
        <v>87</v>
      </c>
      <c r="D163" t="s">
        <v>88</v>
      </c>
      <c r="E163" t="s">
        <v>101</v>
      </c>
      <c r="F163" t="s">
        <v>90</v>
      </c>
      <c r="J163">
        <v>0.67454999685287476</v>
      </c>
      <c r="K163">
        <v>5.8833398818969727</v>
      </c>
      <c r="L163">
        <v>0.54759997129440308</v>
      </c>
      <c r="M163">
        <v>0.52864998579025269</v>
      </c>
      <c r="N163">
        <v>0.1193699985742569</v>
      </c>
      <c r="O163">
        <v>2.6529999449849129E-2</v>
      </c>
      <c r="Q163">
        <v>7.5409998893737793</v>
      </c>
      <c r="R163">
        <v>41132</v>
      </c>
      <c r="U163">
        <v>41132</v>
      </c>
      <c r="V163">
        <v>12.263999938964844</v>
      </c>
      <c r="W163">
        <v>66891</v>
      </c>
      <c r="X163">
        <v>66891</v>
      </c>
      <c r="Z163">
        <v>1.0659999847412109</v>
      </c>
      <c r="AA163">
        <v>5817</v>
      </c>
      <c r="AB163">
        <v>4687</v>
      </c>
      <c r="AD163">
        <v>2.749000072479248</v>
      </c>
      <c r="AE163">
        <v>14994</v>
      </c>
      <c r="AF163">
        <v>17491</v>
      </c>
      <c r="AG163">
        <v>3435</v>
      </c>
      <c r="AI163">
        <v>145</v>
      </c>
      <c r="AJ163">
        <v>326</v>
      </c>
      <c r="AL163">
        <v>27</v>
      </c>
    </row>
    <row r="164" spans="1:38" x14ac:dyDescent="0.2">
      <c r="A164" t="s">
        <v>167</v>
      </c>
      <c r="B164" t="s">
        <v>168</v>
      </c>
      <c r="C164" t="s">
        <v>87</v>
      </c>
      <c r="D164" t="s">
        <v>88</v>
      </c>
      <c r="E164" t="s">
        <v>93</v>
      </c>
      <c r="F164" t="s">
        <v>94</v>
      </c>
      <c r="H164">
        <v>1</v>
      </c>
    </row>
    <row r="165" spans="1:38" x14ac:dyDescent="0.2">
      <c r="A165" t="s">
        <v>339</v>
      </c>
      <c r="B165" t="s">
        <v>340</v>
      </c>
      <c r="C165" t="s">
        <v>311</v>
      </c>
      <c r="D165" t="s">
        <v>312</v>
      </c>
      <c r="E165" t="s">
        <v>152</v>
      </c>
      <c r="F165" t="s">
        <v>197</v>
      </c>
      <c r="J165">
        <v>1.6344499588012695</v>
      </c>
      <c r="M165">
        <v>1.172029972076416</v>
      </c>
      <c r="N165">
        <v>0.30046999454498291</v>
      </c>
      <c r="O165">
        <v>0.1619500070810318</v>
      </c>
      <c r="P165">
        <v>0.20999999344348907</v>
      </c>
      <c r="Q165">
        <v>31.656999588012695</v>
      </c>
      <c r="R165">
        <v>148086</v>
      </c>
      <c r="S165">
        <v>34880</v>
      </c>
      <c r="T165">
        <v>113206</v>
      </c>
      <c r="V165">
        <v>51.16400146484375</v>
      </c>
      <c r="W165">
        <v>239333</v>
      </c>
      <c r="X165">
        <v>239333</v>
      </c>
      <c r="Z165">
        <v>7.1160001754760742</v>
      </c>
      <c r="AA165">
        <v>33286</v>
      </c>
      <c r="AD165">
        <v>11.664999961853027</v>
      </c>
      <c r="AE165">
        <v>54567</v>
      </c>
      <c r="AL165">
        <v>27.100000381469727</v>
      </c>
    </row>
    <row r="166" spans="1:38" x14ac:dyDescent="0.2">
      <c r="A166" t="s">
        <v>427</v>
      </c>
      <c r="B166" t="s">
        <v>428</v>
      </c>
      <c r="C166" t="s">
        <v>419</v>
      </c>
      <c r="D166" t="s">
        <v>266</v>
      </c>
      <c r="E166" t="s">
        <v>89</v>
      </c>
      <c r="F166" t="s">
        <v>90</v>
      </c>
      <c r="J166">
        <v>9.8719999194145203E-2</v>
      </c>
      <c r="K166">
        <v>272.64315795898438</v>
      </c>
      <c r="Q166">
        <v>8.3640003204345703</v>
      </c>
      <c r="R166">
        <v>17388</v>
      </c>
      <c r="S166">
        <v>15657</v>
      </c>
      <c r="T166">
        <v>1731</v>
      </c>
      <c r="V166">
        <v>19.131999969482422</v>
      </c>
      <c r="W166">
        <v>39773</v>
      </c>
      <c r="X166">
        <v>30931</v>
      </c>
      <c r="Y166">
        <v>8842</v>
      </c>
      <c r="Z166">
        <v>0.65399998426437378</v>
      </c>
      <c r="AA166">
        <v>1360</v>
      </c>
      <c r="AD166">
        <v>0.7070000171661377</v>
      </c>
      <c r="AE166">
        <v>1469</v>
      </c>
      <c r="AH166">
        <v>1526</v>
      </c>
      <c r="AI166">
        <v>1461</v>
      </c>
      <c r="AL166">
        <v>5.4000000953674316</v>
      </c>
    </row>
    <row r="167" spans="1:38" x14ac:dyDescent="0.2">
      <c r="A167" t="s">
        <v>299</v>
      </c>
      <c r="B167" t="s">
        <v>300</v>
      </c>
      <c r="C167" t="s">
        <v>265</v>
      </c>
      <c r="D167" t="s">
        <v>88</v>
      </c>
      <c r="E167" t="s">
        <v>93</v>
      </c>
      <c r="F167" t="s">
        <v>94</v>
      </c>
      <c r="H167">
        <v>1</v>
      </c>
      <c r="I167">
        <v>1</v>
      </c>
      <c r="J167">
        <v>1.3459999561309814</v>
      </c>
      <c r="K167">
        <v>10.768010139465332</v>
      </c>
      <c r="L167">
        <v>3.6824100017547607</v>
      </c>
      <c r="M167">
        <v>0.637440025806427</v>
      </c>
      <c r="N167">
        <v>0.67431998252868652</v>
      </c>
      <c r="O167">
        <v>3.4239999949932098E-2</v>
      </c>
      <c r="P167">
        <v>0.10000000149011612</v>
      </c>
      <c r="Q167">
        <v>1.9029999971389771</v>
      </c>
      <c r="R167">
        <v>7226</v>
      </c>
      <c r="S167">
        <v>7226</v>
      </c>
      <c r="V167">
        <v>12.013999938964844</v>
      </c>
      <c r="W167">
        <v>45627</v>
      </c>
      <c r="X167">
        <v>45541</v>
      </c>
      <c r="Y167">
        <v>86</v>
      </c>
    </row>
    <row r="168" spans="1:38" x14ac:dyDescent="0.2">
      <c r="A168" t="s">
        <v>251</v>
      </c>
      <c r="B168" t="s">
        <v>252</v>
      </c>
      <c r="C168" t="s">
        <v>191</v>
      </c>
      <c r="D168" t="s">
        <v>192</v>
      </c>
      <c r="E168" t="s">
        <v>101</v>
      </c>
      <c r="F168" t="s">
        <v>90</v>
      </c>
      <c r="J168">
        <v>0.37086999416351318</v>
      </c>
      <c r="K168">
        <v>45.245849609375</v>
      </c>
      <c r="L168">
        <v>1.1125999689102173</v>
      </c>
      <c r="M168">
        <v>0.18543000519275665</v>
      </c>
      <c r="N168">
        <v>0</v>
      </c>
      <c r="O168">
        <v>0.18543000519275665</v>
      </c>
      <c r="P168">
        <v>9.0000003576278687E-2</v>
      </c>
      <c r="V168">
        <v>20.35099983215332</v>
      </c>
      <c r="W168">
        <v>1126</v>
      </c>
      <c r="X168">
        <v>1126</v>
      </c>
      <c r="AL168">
        <v>26.5</v>
      </c>
    </row>
    <row r="169" spans="1:38" x14ac:dyDescent="0.2">
      <c r="A169" t="s">
        <v>405</v>
      </c>
      <c r="B169" t="s">
        <v>406</v>
      </c>
      <c r="C169" t="s">
        <v>311</v>
      </c>
      <c r="D169" t="s">
        <v>312</v>
      </c>
      <c r="E169" t="s">
        <v>152</v>
      </c>
      <c r="F169" t="s">
        <v>197</v>
      </c>
      <c r="P169">
        <v>0.88999998569488525</v>
      </c>
      <c r="Q169">
        <v>42.036998748779297</v>
      </c>
      <c r="R169">
        <v>40743</v>
      </c>
      <c r="S169">
        <v>6219</v>
      </c>
      <c r="T169">
        <v>21435</v>
      </c>
      <c r="U169">
        <v>13089</v>
      </c>
      <c r="V169">
        <v>118.10199737548828</v>
      </c>
      <c r="W169">
        <v>114466</v>
      </c>
      <c r="X169">
        <v>107271</v>
      </c>
      <c r="Y169">
        <v>7195</v>
      </c>
      <c r="Z169">
        <v>7.9619998931884766</v>
      </c>
      <c r="AA169">
        <v>7717</v>
      </c>
      <c r="AD169">
        <v>7.5380001068115234</v>
      </c>
      <c r="AE169">
        <v>7306</v>
      </c>
      <c r="AL169">
        <v>22.100000381469727</v>
      </c>
    </row>
    <row r="170" spans="1:38" x14ac:dyDescent="0.2">
      <c r="A170" t="s">
        <v>329</v>
      </c>
      <c r="B170" t="s">
        <v>330</v>
      </c>
      <c r="C170" t="s">
        <v>311</v>
      </c>
      <c r="D170" t="s">
        <v>312</v>
      </c>
      <c r="E170" t="s">
        <v>152</v>
      </c>
      <c r="F170" t="s">
        <v>197</v>
      </c>
      <c r="P170">
        <v>0.15000000596046448</v>
      </c>
      <c r="Q170">
        <v>41.171001434326172</v>
      </c>
      <c r="R170">
        <v>33785</v>
      </c>
      <c r="S170">
        <v>9225</v>
      </c>
      <c r="T170">
        <v>19639</v>
      </c>
      <c r="U170">
        <v>4921</v>
      </c>
      <c r="V170">
        <v>164.21000671386719</v>
      </c>
      <c r="W170">
        <v>134751</v>
      </c>
      <c r="X170">
        <v>132307</v>
      </c>
      <c r="Y170">
        <v>2444</v>
      </c>
      <c r="Z170">
        <v>5.0939998626708984</v>
      </c>
      <c r="AA170">
        <v>4180</v>
      </c>
      <c r="AD170">
        <v>6.4489998817443848</v>
      </c>
      <c r="AE170">
        <v>5292</v>
      </c>
      <c r="AL170">
        <v>21.200000762939453</v>
      </c>
    </row>
    <row r="171" spans="1:38" x14ac:dyDescent="0.2">
      <c r="A171" t="s">
        <v>303</v>
      </c>
      <c r="B171" t="s">
        <v>304</v>
      </c>
      <c r="C171" t="s">
        <v>265</v>
      </c>
      <c r="D171" t="s">
        <v>119</v>
      </c>
      <c r="E171" t="s">
        <v>93</v>
      </c>
      <c r="F171" t="s">
        <v>94</v>
      </c>
      <c r="H171">
        <v>1</v>
      </c>
      <c r="Q171">
        <v>15.512999534606934</v>
      </c>
      <c r="R171">
        <v>29025</v>
      </c>
      <c r="U171">
        <v>29025</v>
      </c>
      <c r="V171">
        <v>23.093999862670898</v>
      </c>
      <c r="W171">
        <v>43210</v>
      </c>
      <c r="X171">
        <v>43210</v>
      </c>
      <c r="Z171">
        <v>8.8640003204345703</v>
      </c>
      <c r="AA171">
        <v>16585</v>
      </c>
      <c r="AD171">
        <v>14.812000274658203</v>
      </c>
      <c r="AE171">
        <v>27715</v>
      </c>
      <c r="AL171">
        <v>25.799999237060547</v>
      </c>
    </row>
    <row r="172" spans="1:38" x14ac:dyDescent="0.2">
      <c r="A172" t="s">
        <v>407</v>
      </c>
      <c r="B172" t="s">
        <v>408</v>
      </c>
      <c r="C172" t="s">
        <v>311</v>
      </c>
      <c r="D172" t="s">
        <v>312</v>
      </c>
      <c r="E172" t="s">
        <v>93</v>
      </c>
      <c r="F172" t="s">
        <v>94</v>
      </c>
      <c r="J172">
        <v>4.6784601211547852</v>
      </c>
      <c r="K172">
        <v>20.724100112915039</v>
      </c>
      <c r="L172">
        <v>10.234129905700684</v>
      </c>
      <c r="M172">
        <v>3.0336899757385254</v>
      </c>
      <c r="N172">
        <v>1.6082199811935425</v>
      </c>
      <c r="O172">
        <v>3.6550000309944153E-2</v>
      </c>
      <c r="Q172">
        <v>21.025999069213867</v>
      </c>
      <c r="R172">
        <v>17352</v>
      </c>
      <c r="U172">
        <v>17352</v>
      </c>
      <c r="V172">
        <v>47.534000396728516</v>
      </c>
      <c r="W172">
        <v>39229</v>
      </c>
      <c r="X172">
        <v>34696</v>
      </c>
      <c r="Y172">
        <v>4533</v>
      </c>
      <c r="Z172">
        <v>1.562000036239624</v>
      </c>
      <c r="AA172">
        <v>1289</v>
      </c>
      <c r="AL172">
        <v>12.600000381469727</v>
      </c>
    </row>
    <row r="173" spans="1:38" x14ac:dyDescent="0.2">
      <c r="A173" t="s">
        <v>437</v>
      </c>
      <c r="B173" t="s">
        <v>438</v>
      </c>
      <c r="C173" t="s">
        <v>419</v>
      </c>
      <c r="D173" t="s">
        <v>424</v>
      </c>
      <c r="E173" t="s">
        <v>101</v>
      </c>
      <c r="F173" t="s">
        <v>90</v>
      </c>
      <c r="J173">
        <v>1.8444900512695313</v>
      </c>
      <c r="K173">
        <v>42.290390014648438</v>
      </c>
      <c r="M173">
        <v>1.0998300313949585</v>
      </c>
      <c r="N173">
        <v>0.61632001399993896</v>
      </c>
      <c r="O173">
        <v>0.12834000587463379</v>
      </c>
      <c r="AL173">
        <v>10.800000190734863</v>
      </c>
    </row>
    <row r="174" spans="1:38" x14ac:dyDescent="0.2">
      <c r="A174" t="s">
        <v>439</v>
      </c>
      <c r="B174" t="s">
        <v>440</v>
      </c>
      <c r="C174" t="s">
        <v>419</v>
      </c>
      <c r="D174" t="s">
        <v>424</v>
      </c>
      <c r="E174" t="s">
        <v>89</v>
      </c>
      <c r="F174" t="s">
        <v>108</v>
      </c>
      <c r="H174">
        <v>1</v>
      </c>
      <c r="Q174">
        <v>6.8210000991821289</v>
      </c>
      <c r="R174">
        <v>801</v>
      </c>
      <c r="U174">
        <v>801</v>
      </c>
      <c r="V174">
        <v>14.024999618530273</v>
      </c>
      <c r="W174">
        <v>1647</v>
      </c>
      <c r="X174">
        <v>1121</v>
      </c>
      <c r="Y174">
        <v>526</v>
      </c>
      <c r="Z174">
        <v>0.15299999713897705</v>
      </c>
      <c r="AA174">
        <v>18</v>
      </c>
      <c r="AD174">
        <v>6.8000003695487976E-2</v>
      </c>
      <c r="AE174">
        <v>8</v>
      </c>
      <c r="AF174">
        <v>128</v>
      </c>
      <c r="AL174">
        <v>2.9000000953674316</v>
      </c>
    </row>
    <row r="175" spans="1:38" x14ac:dyDescent="0.2">
      <c r="A175" t="s">
        <v>177</v>
      </c>
      <c r="B175" t="s">
        <v>178</v>
      </c>
      <c r="C175" t="s">
        <v>87</v>
      </c>
      <c r="D175" t="s">
        <v>88</v>
      </c>
      <c r="E175" t="s">
        <v>93</v>
      </c>
      <c r="F175" t="s">
        <v>94</v>
      </c>
      <c r="I175">
        <v>1</v>
      </c>
      <c r="J175">
        <v>0.60144001245498657</v>
      </c>
      <c r="L175">
        <v>10.943260192871094</v>
      </c>
      <c r="M175">
        <v>0.5134199857711792</v>
      </c>
      <c r="N175">
        <v>0</v>
      </c>
      <c r="O175">
        <v>8.8019996881484985E-2</v>
      </c>
      <c r="AL175">
        <v>7.0999999046325684</v>
      </c>
    </row>
    <row r="176" spans="1:38" x14ac:dyDescent="0.2">
      <c r="A176" t="s">
        <v>486</v>
      </c>
      <c r="B176" t="s">
        <v>487</v>
      </c>
      <c r="C176" t="s">
        <v>443</v>
      </c>
      <c r="D176" t="s">
        <v>424</v>
      </c>
      <c r="E176" t="s">
        <v>101</v>
      </c>
      <c r="F176" t="s">
        <v>94</v>
      </c>
      <c r="G176">
        <v>1</v>
      </c>
      <c r="J176">
        <v>3.7978401184082031</v>
      </c>
      <c r="K176">
        <v>14.241900444030762</v>
      </c>
      <c r="L176">
        <v>13.292440414428711</v>
      </c>
      <c r="M176">
        <v>2.8483800888061523</v>
      </c>
      <c r="N176">
        <v>0.94946002960205078</v>
      </c>
      <c r="AL176">
        <v>45.900001525878906</v>
      </c>
    </row>
    <row r="177" spans="1:38" x14ac:dyDescent="0.2">
      <c r="A177" t="s">
        <v>253</v>
      </c>
      <c r="B177" t="s">
        <v>254</v>
      </c>
      <c r="C177" t="s">
        <v>191</v>
      </c>
      <c r="D177" t="s">
        <v>192</v>
      </c>
      <c r="E177" t="s">
        <v>152</v>
      </c>
      <c r="F177" t="s">
        <v>90</v>
      </c>
      <c r="K177">
        <v>7.8291001319885254</v>
      </c>
      <c r="L177">
        <v>0.2982499897480011</v>
      </c>
      <c r="P177">
        <v>0.30000001192092896</v>
      </c>
      <c r="AL177">
        <v>19.700000762939453</v>
      </c>
    </row>
    <row r="178" spans="1:38" x14ac:dyDescent="0.2">
      <c r="A178" t="s">
        <v>305</v>
      </c>
      <c r="B178" t="s">
        <v>306</v>
      </c>
      <c r="C178" t="s">
        <v>265</v>
      </c>
      <c r="D178" t="s">
        <v>119</v>
      </c>
      <c r="E178" t="s">
        <v>89</v>
      </c>
      <c r="F178" t="s">
        <v>90</v>
      </c>
      <c r="J178">
        <v>2.328010082244873</v>
      </c>
      <c r="K178">
        <v>18.715019226074219</v>
      </c>
      <c r="M178">
        <v>1.191290020942688</v>
      </c>
      <c r="N178">
        <v>0.8639100193977356</v>
      </c>
      <c r="O178">
        <v>0.27281001210212708</v>
      </c>
      <c r="Q178">
        <v>12.769000053405762</v>
      </c>
      <c r="R178">
        <v>14127</v>
      </c>
      <c r="U178">
        <v>14127</v>
      </c>
      <c r="V178">
        <v>26.51099967956543</v>
      </c>
      <c r="W178">
        <v>29330</v>
      </c>
      <c r="X178">
        <v>27198</v>
      </c>
      <c r="Y178">
        <v>2132</v>
      </c>
      <c r="AL178">
        <v>27.299999237060547</v>
      </c>
    </row>
    <row r="179" spans="1:38" x14ac:dyDescent="0.2">
      <c r="A179" t="s">
        <v>411</v>
      </c>
      <c r="B179" t="s">
        <v>412</v>
      </c>
      <c r="C179" t="s">
        <v>311</v>
      </c>
      <c r="D179" t="s">
        <v>312</v>
      </c>
      <c r="E179" t="s">
        <v>101</v>
      </c>
      <c r="F179" t="s">
        <v>90</v>
      </c>
      <c r="J179">
        <v>1.5493899583816528</v>
      </c>
      <c r="K179">
        <v>10.03300952911377</v>
      </c>
      <c r="L179">
        <v>0.27090999484062195</v>
      </c>
      <c r="N179">
        <v>1.2331099510192871</v>
      </c>
      <c r="O179">
        <v>0.31628000736236572</v>
      </c>
      <c r="Q179">
        <v>17.559999465942383</v>
      </c>
      <c r="R179">
        <v>135616</v>
      </c>
      <c r="S179">
        <v>41542</v>
      </c>
      <c r="T179">
        <v>94074</v>
      </c>
      <c r="V179">
        <v>25.284000396728516</v>
      </c>
      <c r="W179">
        <v>195270</v>
      </c>
      <c r="X179">
        <v>142432</v>
      </c>
      <c r="Y179">
        <v>52838</v>
      </c>
      <c r="Z179">
        <v>2.9779999256134033</v>
      </c>
      <c r="AA179">
        <v>22996</v>
      </c>
      <c r="AD179">
        <v>3.5220000743865967</v>
      </c>
      <c r="AE179">
        <v>27199</v>
      </c>
      <c r="AL179">
        <v>32.200000762939453</v>
      </c>
    </row>
    <row r="180" spans="1:38" x14ac:dyDescent="0.2">
      <c r="A180" t="s">
        <v>409</v>
      </c>
      <c r="B180" t="s">
        <v>410</v>
      </c>
      <c r="C180" t="s">
        <v>311</v>
      </c>
      <c r="D180" t="s">
        <v>312</v>
      </c>
      <c r="E180" t="s">
        <v>101</v>
      </c>
      <c r="F180" t="s">
        <v>90</v>
      </c>
      <c r="Q180">
        <v>22.246999740600586</v>
      </c>
      <c r="R180">
        <v>12161</v>
      </c>
      <c r="S180">
        <v>4207</v>
      </c>
      <c r="T180">
        <v>7954</v>
      </c>
      <c r="V180">
        <v>44.272998809814453</v>
      </c>
      <c r="W180">
        <v>24201</v>
      </c>
      <c r="X180">
        <v>23090</v>
      </c>
      <c r="Y180">
        <v>1111</v>
      </c>
      <c r="Z180">
        <v>1.1540000438690186</v>
      </c>
      <c r="AA180">
        <v>631</v>
      </c>
      <c r="AD180">
        <v>1.6940000057220459</v>
      </c>
      <c r="AE180">
        <v>926</v>
      </c>
      <c r="AL180">
        <v>17.5</v>
      </c>
    </row>
    <row r="181" spans="1:38" x14ac:dyDescent="0.2">
      <c r="A181" t="s">
        <v>488</v>
      </c>
      <c r="B181" t="s">
        <v>489</v>
      </c>
      <c r="C181" t="s">
        <v>443</v>
      </c>
      <c r="D181" t="s">
        <v>424</v>
      </c>
      <c r="E181" t="s">
        <v>101</v>
      </c>
      <c r="F181" t="s">
        <v>94</v>
      </c>
      <c r="G181">
        <v>1</v>
      </c>
      <c r="H181">
        <v>1</v>
      </c>
      <c r="Q181">
        <v>9.1129999160766602</v>
      </c>
      <c r="V181">
        <v>37.363998413085938</v>
      </c>
      <c r="AL181">
        <v>51</v>
      </c>
    </row>
    <row r="182" spans="1:38" x14ac:dyDescent="0.2">
      <c r="A182" t="s">
        <v>181</v>
      </c>
      <c r="B182" t="s">
        <v>182</v>
      </c>
      <c r="C182" t="s">
        <v>87</v>
      </c>
      <c r="D182" t="s">
        <v>88</v>
      </c>
      <c r="E182" t="s">
        <v>93</v>
      </c>
      <c r="F182" t="s">
        <v>94</v>
      </c>
      <c r="I182">
        <v>1</v>
      </c>
      <c r="J182">
        <v>0.40448001027107239</v>
      </c>
      <c r="K182">
        <v>9.5931596755981445</v>
      </c>
      <c r="L182">
        <v>3.9170899391174316</v>
      </c>
      <c r="M182">
        <v>0.36190998554229736</v>
      </c>
      <c r="N182">
        <v>3.7259999662637711E-2</v>
      </c>
      <c r="O182">
        <v>5.3199999965727329E-3</v>
      </c>
      <c r="V182">
        <v>12.295999526977539</v>
      </c>
      <c r="W182">
        <v>45388</v>
      </c>
      <c r="X182">
        <v>45388</v>
      </c>
      <c r="AL182">
        <v>4.0999999046325684</v>
      </c>
    </row>
    <row r="183" spans="1:38" x14ac:dyDescent="0.2">
      <c r="A183" t="s">
        <v>413</v>
      </c>
      <c r="B183" t="s">
        <v>414</v>
      </c>
      <c r="C183" t="s">
        <v>311</v>
      </c>
      <c r="D183" t="s">
        <v>312</v>
      </c>
      <c r="E183" t="s">
        <v>89</v>
      </c>
      <c r="F183" t="s">
        <v>90</v>
      </c>
      <c r="P183">
        <v>7.9999998211860657E-2</v>
      </c>
      <c r="Q183">
        <v>29.923000335693359</v>
      </c>
      <c r="R183">
        <v>134986</v>
      </c>
      <c r="S183">
        <v>16249</v>
      </c>
      <c r="T183">
        <v>118737</v>
      </c>
      <c r="V183">
        <v>66.610000610351563</v>
      </c>
      <c r="W183">
        <v>300489</v>
      </c>
      <c r="X183">
        <v>284207</v>
      </c>
      <c r="Y183">
        <v>16282</v>
      </c>
      <c r="Z183">
        <v>5.9749999046325684</v>
      </c>
      <c r="AA183">
        <v>26954</v>
      </c>
      <c r="AD183">
        <v>0.33700001239776611</v>
      </c>
      <c r="AE183">
        <v>1521</v>
      </c>
      <c r="AL183">
        <v>26.100000381469727</v>
      </c>
    </row>
    <row r="184" spans="1:38" x14ac:dyDescent="0.2">
      <c r="A184" t="s">
        <v>267</v>
      </c>
      <c r="B184" t="s">
        <v>268</v>
      </c>
      <c r="C184" t="s">
        <v>265</v>
      </c>
      <c r="D184" t="s">
        <v>119</v>
      </c>
      <c r="E184" t="s">
        <v>152</v>
      </c>
      <c r="F184" t="s">
        <v>197</v>
      </c>
      <c r="Q184">
        <v>19.952999114990234</v>
      </c>
      <c r="R184">
        <v>18385</v>
      </c>
      <c r="U184">
        <v>18385</v>
      </c>
      <c r="V184">
        <v>39.589000701904297</v>
      </c>
      <c r="W184">
        <v>36478</v>
      </c>
      <c r="X184">
        <v>36478</v>
      </c>
      <c r="Z184">
        <v>4.3509998321533203</v>
      </c>
      <c r="AA184">
        <v>4009</v>
      </c>
      <c r="AD184">
        <v>6.0859999656677246</v>
      </c>
      <c r="AE184">
        <v>5608</v>
      </c>
      <c r="AL184">
        <v>29.899999618530273</v>
      </c>
    </row>
    <row r="185" spans="1:38" x14ac:dyDescent="0.2">
      <c r="A185" t="s">
        <v>347</v>
      </c>
      <c r="B185" t="s">
        <v>348</v>
      </c>
      <c r="C185" t="s">
        <v>311</v>
      </c>
      <c r="D185" t="s">
        <v>312</v>
      </c>
      <c r="E185" t="s">
        <v>152</v>
      </c>
      <c r="F185" t="s">
        <v>197</v>
      </c>
      <c r="P185">
        <v>7.0000000298023224E-2</v>
      </c>
      <c r="Q185">
        <v>27.14900016784668</v>
      </c>
      <c r="R185">
        <v>177620</v>
      </c>
      <c r="S185">
        <v>50595</v>
      </c>
      <c r="T185">
        <v>127025</v>
      </c>
      <c r="V185">
        <v>83.163002014160156</v>
      </c>
      <c r="W185">
        <v>544080</v>
      </c>
      <c r="X185">
        <v>512714</v>
      </c>
      <c r="Y185">
        <v>31366</v>
      </c>
      <c r="Z185">
        <v>5.25</v>
      </c>
      <c r="AA185">
        <v>34348</v>
      </c>
      <c r="AD185">
        <v>8.1409997940063477</v>
      </c>
      <c r="AE185">
        <v>53261</v>
      </c>
      <c r="AL185">
        <v>29.5</v>
      </c>
    </row>
    <row r="186" spans="1:38" x14ac:dyDescent="0.2">
      <c r="A186" t="s">
        <v>179</v>
      </c>
      <c r="B186" t="s">
        <v>180</v>
      </c>
      <c r="C186" t="s">
        <v>87</v>
      </c>
      <c r="D186" t="s">
        <v>88</v>
      </c>
      <c r="E186" t="s">
        <v>89</v>
      </c>
      <c r="F186" t="s">
        <v>94</v>
      </c>
      <c r="I186">
        <v>1</v>
      </c>
      <c r="Q186">
        <v>0.6029999852180481</v>
      </c>
      <c r="R186">
        <v>3015</v>
      </c>
      <c r="T186">
        <v>929</v>
      </c>
      <c r="U186">
        <v>2086</v>
      </c>
      <c r="V186">
        <v>4.314000129699707</v>
      </c>
      <c r="W186">
        <v>21552</v>
      </c>
      <c r="X186">
        <v>21552</v>
      </c>
      <c r="Z186">
        <v>2.0999999716877937E-2</v>
      </c>
      <c r="AA186">
        <v>104</v>
      </c>
      <c r="AB186">
        <v>933</v>
      </c>
      <c r="AD186">
        <v>0.14200000464916229</v>
      </c>
      <c r="AE186">
        <v>707</v>
      </c>
      <c r="AF186">
        <v>1132</v>
      </c>
      <c r="AG186">
        <v>1205</v>
      </c>
      <c r="AH186">
        <v>1119</v>
      </c>
      <c r="AI186">
        <v>93</v>
      </c>
      <c r="AJ186">
        <v>2508</v>
      </c>
      <c r="AL186">
        <v>7.0999999046325684</v>
      </c>
    </row>
    <row r="187" spans="1:38" x14ac:dyDescent="0.2">
      <c r="A187" t="s">
        <v>257</v>
      </c>
      <c r="B187" t="s">
        <v>258</v>
      </c>
      <c r="C187" t="s">
        <v>191</v>
      </c>
      <c r="D187" t="s">
        <v>208</v>
      </c>
      <c r="E187" t="s">
        <v>152</v>
      </c>
      <c r="F187" t="s">
        <v>197</v>
      </c>
      <c r="P187">
        <v>0.49000000953674316</v>
      </c>
      <c r="Q187">
        <v>25.739999771118164</v>
      </c>
      <c r="R187">
        <v>820251</v>
      </c>
      <c r="S187">
        <v>97527</v>
      </c>
      <c r="T187">
        <v>722724</v>
      </c>
      <c r="AL187">
        <v>37.299999237060547</v>
      </c>
    </row>
    <row r="188" spans="1:38" x14ac:dyDescent="0.2">
      <c r="A188" t="s">
        <v>255</v>
      </c>
      <c r="B188" t="s">
        <v>256</v>
      </c>
      <c r="C188" t="s">
        <v>191</v>
      </c>
      <c r="D188" t="s">
        <v>192</v>
      </c>
      <c r="E188" t="s">
        <v>152</v>
      </c>
      <c r="F188" t="s">
        <v>90</v>
      </c>
      <c r="J188">
        <v>3.9330101013183594</v>
      </c>
      <c r="K188">
        <v>17.610479354858398</v>
      </c>
      <c r="L188">
        <v>1.1740299463272095</v>
      </c>
      <c r="N188">
        <v>3.5220999717712402</v>
      </c>
      <c r="O188">
        <v>0.41091001033782959</v>
      </c>
      <c r="AL188">
        <v>28.899999618530273</v>
      </c>
    </row>
    <row r="189" spans="1:38" x14ac:dyDescent="0.2">
      <c r="A189" t="s">
        <v>415</v>
      </c>
      <c r="B189" t="s">
        <v>416</v>
      </c>
      <c r="C189" t="s">
        <v>311</v>
      </c>
      <c r="D189" t="s">
        <v>312</v>
      </c>
      <c r="E189" t="s">
        <v>89</v>
      </c>
      <c r="F189" t="s">
        <v>108</v>
      </c>
      <c r="Q189">
        <v>23.742000579833984</v>
      </c>
      <c r="R189">
        <v>72237</v>
      </c>
      <c r="S189">
        <v>14958</v>
      </c>
      <c r="T189">
        <v>57279</v>
      </c>
      <c r="V189">
        <v>112.80400085449219</v>
      </c>
      <c r="W189">
        <v>343223</v>
      </c>
      <c r="X189">
        <v>318196</v>
      </c>
      <c r="Y189">
        <v>25027</v>
      </c>
      <c r="Z189">
        <v>1.4859999418258667</v>
      </c>
      <c r="AA189">
        <v>4520</v>
      </c>
      <c r="AD189">
        <v>0.40900000929832458</v>
      </c>
      <c r="AE189">
        <v>1243</v>
      </c>
      <c r="AL189">
        <v>15.300000190734863</v>
      </c>
    </row>
    <row r="190" spans="1:38" x14ac:dyDescent="0.2">
      <c r="A190" t="s">
        <v>492</v>
      </c>
      <c r="B190" t="s">
        <v>493</v>
      </c>
      <c r="C190" t="s">
        <v>443</v>
      </c>
      <c r="D190" t="s">
        <v>424</v>
      </c>
      <c r="E190" t="s">
        <v>89</v>
      </c>
      <c r="F190" t="s">
        <v>94</v>
      </c>
      <c r="G190">
        <v>1</v>
      </c>
      <c r="J190">
        <v>2.373769998550415</v>
      </c>
      <c r="K190">
        <v>118.68826293945313</v>
      </c>
      <c r="L190">
        <v>15.429470062255859</v>
      </c>
      <c r="M190">
        <v>1.5825099945068359</v>
      </c>
      <c r="N190">
        <v>0.39563000202178955</v>
      </c>
      <c r="O190">
        <v>0.39563000202178955</v>
      </c>
      <c r="AL190">
        <v>23.5</v>
      </c>
    </row>
    <row r="191" spans="1:38" x14ac:dyDescent="0.2">
      <c r="A191" t="s">
        <v>261</v>
      </c>
      <c r="B191" t="s">
        <v>262</v>
      </c>
      <c r="C191" t="s">
        <v>191</v>
      </c>
      <c r="D191" t="s">
        <v>192</v>
      </c>
      <c r="E191" t="s">
        <v>101</v>
      </c>
      <c r="F191" t="s">
        <v>90</v>
      </c>
      <c r="H191">
        <v>1</v>
      </c>
      <c r="AL191">
        <v>25.200000762939453</v>
      </c>
    </row>
    <row r="192" spans="1:38" x14ac:dyDescent="0.2">
      <c r="A192" t="s">
        <v>490</v>
      </c>
      <c r="B192" t="s">
        <v>491</v>
      </c>
      <c r="C192" t="s">
        <v>443</v>
      </c>
      <c r="D192" t="s">
        <v>424</v>
      </c>
      <c r="E192" t="s">
        <v>89</v>
      </c>
      <c r="F192" t="s">
        <v>90</v>
      </c>
      <c r="P192">
        <v>0.10999999940395355</v>
      </c>
      <c r="Q192">
        <v>7.8299999237060547</v>
      </c>
      <c r="R192">
        <v>71815</v>
      </c>
      <c r="U192">
        <v>71815</v>
      </c>
      <c r="V192">
        <v>14.298999786376953</v>
      </c>
      <c r="W192">
        <v>131141</v>
      </c>
      <c r="X192">
        <v>102011</v>
      </c>
      <c r="Y192">
        <v>29130</v>
      </c>
      <c r="AD192">
        <v>3.3949999809265137</v>
      </c>
      <c r="AE192">
        <v>31134</v>
      </c>
      <c r="AF192">
        <v>1806</v>
      </c>
      <c r="AL192">
        <v>2.0999999046325684</v>
      </c>
    </row>
    <row r="193" spans="1:38" x14ac:dyDescent="0.2">
      <c r="A193" t="s">
        <v>307</v>
      </c>
      <c r="B193" t="s">
        <v>308</v>
      </c>
      <c r="C193" t="s">
        <v>265</v>
      </c>
      <c r="D193" t="s">
        <v>119</v>
      </c>
      <c r="E193" t="s">
        <v>93</v>
      </c>
      <c r="F193" t="s">
        <v>94</v>
      </c>
      <c r="H193">
        <v>1</v>
      </c>
      <c r="J193">
        <v>2.9704101085662842</v>
      </c>
      <c r="K193">
        <v>11.365409851074219</v>
      </c>
      <c r="L193">
        <v>4.7485599517822266</v>
      </c>
      <c r="M193">
        <v>2.0608499050140381</v>
      </c>
      <c r="N193">
        <v>0.90136998891830444</v>
      </c>
      <c r="O193">
        <v>8.1900004297494888E-3</v>
      </c>
      <c r="Q193">
        <v>5.250999927520752</v>
      </c>
      <c r="R193">
        <v>13560</v>
      </c>
      <c r="S193">
        <v>5412</v>
      </c>
      <c r="U193">
        <v>8148</v>
      </c>
      <c r="V193">
        <v>8.7889995574951172</v>
      </c>
      <c r="W193">
        <v>22696</v>
      </c>
      <c r="X193">
        <v>18696</v>
      </c>
      <c r="Y193">
        <v>4000</v>
      </c>
      <c r="Z193">
        <v>0.20999999344348907</v>
      </c>
      <c r="AA193">
        <v>543</v>
      </c>
      <c r="AD193">
        <v>1.0520000457763672</v>
      </c>
      <c r="AE193">
        <v>2716</v>
      </c>
      <c r="AF193">
        <v>3310</v>
      </c>
      <c r="AG193">
        <v>1960</v>
      </c>
      <c r="AL193">
        <v>14.100000381469727</v>
      </c>
    </row>
    <row r="194" spans="1:38" x14ac:dyDescent="0.2">
      <c r="A194" t="s">
        <v>185</v>
      </c>
      <c r="B194" t="s">
        <v>186</v>
      </c>
      <c r="C194" t="s">
        <v>87</v>
      </c>
      <c r="D194" t="s">
        <v>88</v>
      </c>
      <c r="E194" t="s">
        <v>89</v>
      </c>
      <c r="F194" t="s">
        <v>94</v>
      </c>
      <c r="I194">
        <v>1</v>
      </c>
      <c r="J194">
        <v>0.45396000146865845</v>
      </c>
      <c r="K194">
        <v>1.1761800050735474</v>
      </c>
      <c r="L194">
        <v>8.3295297622680664</v>
      </c>
      <c r="M194">
        <v>0.29576000571250916</v>
      </c>
      <c r="N194">
        <v>0.12381000071763992</v>
      </c>
      <c r="O194">
        <v>3.4389998763799667E-2</v>
      </c>
      <c r="AL194">
        <v>6.5</v>
      </c>
    </row>
    <row r="195" spans="1:38" x14ac:dyDescent="0.2">
      <c r="A195" t="s">
        <v>187</v>
      </c>
      <c r="B195" t="s">
        <v>188</v>
      </c>
      <c r="C195" t="s">
        <v>87</v>
      </c>
      <c r="D195" t="s">
        <v>88</v>
      </c>
      <c r="E195" t="s">
        <v>89</v>
      </c>
      <c r="F195" t="s">
        <v>108</v>
      </c>
      <c r="H195">
        <v>1</v>
      </c>
      <c r="J195">
        <v>0.5229799747467041</v>
      </c>
      <c r="K195">
        <v>0</v>
      </c>
      <c r="L195">
        <v>9.406590461730957</v>
      </c>
      <c r="M195">
        <v>0.36750000715255737</v>
      </c>
      <c r="N195">
        <v>7.7739998698234558E-2</v>
      </c>
      <c r="O195">
        <v>7.7739998698234558E-2</v>
      </c>
      <c r="Q195">
        <v>1.2400000095367432</v>
      </c>
      <c r="R195">
        <v>1685</v>
      </c>
      <c r="S195">
        <v>1458</v>
      </c>
      <c r="T195">
        <v>227</v>
      </c>
      <c r="V195">
        <v>15.371999740600586</v>
      </c>
      <c r="W195">
        <v>20885</v>
      </c>
      <c r="X195">
        <v>20885</v>
      </c>
      <c r="Z195">
        <v>7.9000003635883331E-2</v>
      </c>
      <c r="AA195">
        <v>107</v>
      </c>
      <c r="AB195">
        <v>171</v>
      </c>
      <c r="AD195">
        <v>0.14200000464916229</v>
      </c>
      <c r="AE195">
        <v>193</v>
      </c>
      <c r="AF195">
        <v>511</v>
      </c>
      <c r="AG195">
        <v>2052</v>
      </c>
      <c r="AH195">
        <v>2052</v>
      </c>
      <c r="AJ195">
        <v>519</v>
      </c>
      <c r="AL195">
        <v>12.300000190734863</v>
      </c>
    </row>
  </sheetData>
  <pageMargins left="0.7" right="0.7" top="0.75" bottom="0.75" header="0.3" footer="0.3"/>
  <pageSetup paperSize="9" orientation="portrait" horizontalDpi="0" verticalDpi="0" r:id="rId1"/>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8A8B6-3902-43B8-A6A5-B3924CAE8210}">
  <sheetPr codeName="Sheet18">
    <tabColor rgb="FF7030A0"/>
  </sheetPr>
  <dimension ref="A1:U93"/>
  <sheetViews>
    <sheetView workbookViewId="0"/>
  </sheetViews>
  <sheetFormatPr defaultRowHeight="12.75" x14ac:dyDescent="0.2"/>
  <cols>
    <col min="1" max="1" width="25.7109375" customWidth="1"/>
    <col min="2" max="2" width="33.28515625" customWidth="1"/>
    <col min="3" max="3" width="10.28515625" customWidth="1"/>
    <col min="4" max="4" width="33.28515625" customWidth="1"/>
    <col min="5" max="5" width="11.85546875" customWidth="1"/>
    <col min="6" max="6" width="7.28515625" customWidth="1"/>
    <col min="7" max="7" width="33.28515625" customWidth="1"/>
    <col min="8" max="8" width="7.28515625" customWidth="1"/>
    <col min="9" max="9" width="33.28515625" customWidth="1"/>
    <col min="10" max="11" width="7.28515625" customWidth="1"/>
    <col min="12" max="12" width="33.28515625" customWidth="1"/>
    <col min="13" max="13" width="7.28515625" customWidth="1"/>
    <col min="14" max="14" width="9.42578125" customWidth="1"/>
    <col min="15" max="15" width="33.28515625" customWidth="1"/>
    <col min="18" max="18" width="19.7109375" customWidth="1"/>
    <col min="19" max="19" width="10.28515625" style="15" customWidth="1"/>
    <col min="20" max="20" width="9.140625" style="15"/>
  </cols>
  <sheetData>
    <row r="1" spans="1:21" x14ac:dyDescent="0.2">
      <c r="B1" t="s">
        <v>527</v>
      </c>
      <c r="C1" t="s">
        <v>527</v>
      </c>
      <c r="D1" t="s">
        <v>19</v>
      </c>
      <c r="E1" t="s">
        <v>532</v>
      </c>
      <c r="G1" t="s">
        <v>528</v>
      </c>
      <c r="H1" t="s">
        <v>528</v>
      </c>
      <c r="L1" t="s">
        <v>529</v>
      </c>
      <c r="M1" t="s">
        <v>529</v>
      </c>
      <c r="N1" t="s">
        <v>535</v>
      </c>
      <c r="R1" s="15" t="s">
        <v>1646</v>
      </c>
      <c r="S1" s="15" t="s">
        <v>1649</v>
      </c>
      <c r="T1" s="15" t="s">
        <v>1650</v>
      </c>
      <c r="U1" s="15" t="s">
        <v>497</v>
      </c>
    </row>
    <row r="2" spans="1:21" x14ac:dyDescent="0.2">
      <c r="B2" t="s">
        <v>264</v>
      </c>
      <c r="C2" t="str">
        <f>VLOOKUP(B2,Country_Codes[],2,FALSE)</f>
        <v>AFG</v>
      </c>
      <c r="D2" t="str">
        <f t="shared" ref="D2:D33" si="0">VLOOKUP(C2,WB_WHO_Country_Database,2,FALSE)</f>
        <v>Afghanistan</v>
      </c>
      <c r="E2">
        <v>1</v>
      </c>
      <c r="G2" t="s">
        <v>264</v>
      </c>
      <c r="H2" t="str">
        <f>VLOOKUP(G2,Country_Codes[],2,FALSE)</f>
        <v>AFG</v>
      </c>
      <c r="I2" t="str">
        <f t="shared" ref="I2:I33" si="1">VLOOKUP(H2,WB_WHO_Country_Database,2,FALSE)</f>
        <v>Afghanistan</v>
      </c>
      <c r="L2" t="s">
        <v>264</v>
      </c>
      <c r="M2" t="str">
        <f>VLOOKUP(L2,Country_Codes[],2,FALSE)</f>
        <v>AFG</v>
      </c>
      <c r="N2">
        <v>1</v>
      </c>
      <c r="O2" t="str">
        <f t="shared" ref="O2:O33" si="2">VLOOKUP(M2,WB_WHO_Country_Database,2,FALSE)</f>
        <v>Afghanistan</v>
      </c>
      <c r="R2" s="15" t="s">
        <v>264</v>
      </c>
      <c r="S2" s="15" t="str">
        <f>VLOOKUP(R2,Country_Codes[],2,FALSE)</f>
        <v>AFG</v>
      </c>
      <c r="T2" s="15">
        <v>1</v>
      </c>
      <c r="U2" s="15">
        <v>1966</v>
      </c>
    </row>
    <row r="3" spans="1:21" x14ac:dyDescent="0.2">
      <c r="B3" t="s">
        <v>418</v>
      </c>
      <c r="C3" t="str">
        <f>VLOOKUP(B3,Country_Codes[],2,FALSE)</f>
        <v>BGD</v>
      </c>
      <c r="D3" t="str">
        <f t="shared" si="0"/>
        <v>Bangladesh</v>
      </c>
      <c r="E3">
        <v>1</v>
      </c>
      <c r="G3" t="s">
        <v>418</v>
      </c>
      <c r="H3" t="str">
        <f>VLOOKUP(G3,Country_Codes[],2,FALSE)</f>
        <v>BGD</v>
      </c>
      <c r="I3" t="str">
        <f t="shared" si="1"/>
        <v>Bangladesh</v>
      </c>
      <c r="L3" t="s">
        <v>118</v>
      </c>
      <c r="M3" t="str">
        <f>VLOOKUP(L3,Country_Codes[],2,FALSE)</f>
        <v>DZA</v>
      </c>
      <c r="N3">
        <v>1</v>
      </c>
      <c r="O3" t="str">
        <f t="shared" si="2"/>
        <v>Algeria</v>
      </c>
      <c r="R3" s="15" t="s">
        <v>316</v>
      </c>
      <c r="S3" s="15" t="str">
        <f>VLOOKUP(R3,Country_Codes[],2,FALSE)</f>
        <v>ARM</v>
      </c>
      <c r="T3" s="15">
        <v>1</v>
      </c>
      <c r="U3" s="15">
        <v>2005</v>
      </c>
    </row>
    <row r="4" spans="1:21" x14ac:dyDescent="0.2">
      <c r="B4" t="s">
        <v>96</v>
      </c>
      <c r="C4" t="str">
        <f>VLOOKUP(B4,Country_Codes[],2,FALSE)</f>
        <v>BEN</v>
      </c>
      <c r="D4" t="str">
        <f t="shared" si="0"/>
        <v>Benin</v>
      </c>
      <c r="E4">
        <v>1</v>
      </c>
      <c r="G4" t="s">
        <v>96</v>
      </c>
      <c r="H4" t="str">
        <f>VLOOKUP(G4,Country_Codes[],2,FALSE)</f>
        <v>BEN</v>
      </c>
      <c r="I4" t="str">
        <f t="shared" si="1"/>
        <v>Benin</v>
      </c>
      <c r="L4" t="s">
        <v>86</v>
      </c>
      <c r="M4" t="str">
        <f>VLOOKUP(L4,Country_Codes[],2,FALSE)</f>
        <v>AGO</v>
      </c>
      <c r="N4">
        <v>1</v>
      </c>
      <c r="O4" t="str">
        <f t="shared" si="2"/>
        <v>Angola</v>
      </c>
      <c r="R4" s="15" t="s">
        <v>442</v>
      </c>
      <c r="S4" s="15" t="str">
        <f>VLOOKUP(R4,Country_Codes[],2,FALSE)</f>
        <v>AUS</v>
      </c>
      <c r="T4" s="15">
        <v>1</v>
      </c>
      <c r="U4" s="15">
        <v>1966</v>
      </c>
    </row>
    <row r="5" spans="1:21" x14ac:dyDescent="0.2">
      <c r="B5" t="s">
        <v>98</v>
      </c>
      <c r="C5" t="str">
        <f>VLOOKUP(B5,Country_Codes[],2,FALSE)</f>
        <v>BFA</v>
      </c>
      <c r="D5" t="str">
        <f t="shared" si="0"/>
        <v>Burkina Faso</v>
      </c>
      <c r="E5">
        <v>1</v>
      </c>
      <c r="G5" t="s">
        <v>98</v>
      </c>
      <c r="H5" t="str">
        <f>VLOOKUP(G5,Country_Codes[],2,FALSE)</f>
        <v>BFA</v>
      </c>
      <c r="I5" t="str">
        <f t="shared" si="1"/>
        <v>Burkina Faso</v>
      </c>
      <c r="L5" t="s">
        <v>418</v>
      </c>
      <c r="M5" t="str">
        <f>VLOOKUP(L5,Country_Codes[],2,FALSE)</f>
        <v>BGD</v>
      </c>
      <c r="N5">
        <v>1</v>
      </c>
      <c r="O5" t="str">
        <f t="shared" si="2"/>
        <v>Bangladesh</v>
      </c>
      <c r="R5" s="15" t="s">
        <v>320</v>
      </c>
      <c r="S5" s="15" t="str">
        <f>VLOOKUP(R5,Country_Codes[],2,FALSE)</f>
        <v>AZE</v>
      </c>
      <c r="T5" s="15">
        <v>1</v>
      </c>
      <c r="U5" s="15">
        <v>1999</v>
      </c>
    </row>
    <row r="6" spans="1:21" x14ac:dyDescent="0.2">
      <c r="B6" t="s">
        <v>92</v>
      </c>
      <c r="C6" t="str">
        <f>VLOOKUP(B6,Country_Codes[],2,FALSE)</f>
        <v>BDI</v>
      </c>
      <c r="D6" t="str">
        <f t="shared" si="0"/>
        <v>Burundi</v>
      </c>
      <c r="E6">
        <v>1</v>
      </c>
      <c r="G6" t="s">
        <v>92</v>
      </c>
      <c r="H6" t="str">
        <f>VLOOKUP(G6,Country_Codes[],2,FALSE)</f>
        <v>BDI</v>
      </c>
      <c r="I6" t="str">
        <f t="shared" si="1"/>
        <v>Burundi</v>
      </c>
      <c r="L6" t="s">
        <v>96</v>
      </c>
      <c r="M6" t="str">
        <f>VLOOKUP(L6,Country_Codes[],2,FALSE)</f>
        <v>BEN</v>
      </c>
      <c r="N6">
        <v>1</v>
      </c>
      <c r="O6" t="str">
        <f t="shared" si="2"/>
        <v>Benin</v>
      </c>
      <c r="R6" s="15" t="s">
        <v>418</v>
      </c>
      <c r="S6" s="15" t="str">
        <f>VLOOKUP(R6,Country_Codes[],2,FALSE)</f>
        <v>BGD</v>
      </c>
      <c r="T6" s="15">
        <v>1</v>
      </c>
      <c r="U6" s="15">
        <v>1973</v>
      </c>
    </row>
    <row r="7" spans="1:21" x14ac:dyDescent="0.2">
      <c r="B7" t="s">
        <v>457</v>
      </c>
      <c r="C7" t="str">
        <f>VLOOKUP(B7,Country_Codes[],2,FALSE)</f>
        <v>KHM</v>
      </c>
      <c r="D7" t="str">
        <f t="shared" si="0"/>
        <v>Cambodia</v>
      </c>
      <c r="E7">
        <v>1</v>
      </c>
      <c r="G7" t="s">
        <v>457</v>
      </c>
      <c r="H7" t="str">
        <f>VLOOKUP(G7,Country_Codes[],2,FALSE)</f>
        <v>KHM</v>
      </c>
      <c r="I7" t="str">
        <f t="shared" si="1"/>
        <v>Cambodia</v>
      </c>
      <c r="L7" t="s">
        <v>421</v>
      </c>
      <c r="M7" t="str">
        <f>VLOOKUP(L7,Country_Codes[],2,FALSE)</f>
        <v>BTN</v>
      </c>
      <c r="N7">
        <v>1</v>
      </c>
      <c r="O7" t="str">
        <f t="shared" si="2"/>
        <v>Bhutan</v>
      </c>
      <c r="R7" s="15" t="s">
        <v>421</v>
      </c>
      <c r="S7" s="15" t="str">
        <f>VLOOKUP(R7,Country_Codes[],2,FALSE)</f>
        <v>BTN</v>
      </c>
      <c r="T7" s="15">
        <v>1</v>
      </c>
      <c r="U7" s="15">
        <v>1982</v>
      </c>
    </row>
    <row r="8" spans="1:21" x14ac:dyDescent="0.2">
      <c r="B8" t="s">
        <v>107</v>
      </c>
      <c r="C8" t="str">
        <f>VLOOKUP(B8,Country_Codes[],2,FALSE)</f>
        <v>CMR</v>
      </c>
      <c r="D8" t="str">
        <f t="shared" si="0"/>
        <v>Cameroon</v>
      </c>
      <c r="E8">
        <v>1</v>
      </c>
      <c r="G8" t="s">
        <v>107</v>
      </c>
      <c r="H8" t="str">
        <f>VLOOKUP(G8,Country_Codes[],2,FALSE)</f>
        <v>CMR</v>
      </c>
      <c r="I8" t="str">
        <f t="shared" si="1"/>
        <v>Cameroon</v>
      </c>
      <c r="L8" t="s">
        <v>201</v>
      </c>
      <c r="M8" t="str">
        <f>VLOOKUP(L8,Country_Codes[],2,FALSE)</f>
        <v>BOL</v>
      </c>
      <c r="N8">
        <v>1</v>
      </c>
      <c r="O8" t="str">
        <f t="shared" si="2"/>
        <v>Bolivia (Plurinational State of)</v>
      </c>
      <c r="R8" s="15" t="s">
        <v>445</v>
      </c>
      <c r="S8" s="15" t="str">
        <f>VLOOKUP(R8,Country_Codes[],2,FALSE)</f>
        <v>BRN</v>
      </c>
      <c r="T8" s="15">
        <v>1</v>
      </c>
      <c r="U8" s="15">
        <v>2006</v>
      </c>
    </row>
    <row r="9" spans="1:21" x14ac:dyDescent="0.2">
      <c r="B9" t="s">
        <v>103</v>
      </c>
      <c r="C9" t="str">
        <f>VLOOKUP(B9,Country_Codes[],2,FALSE)</f>
        <v>CAF</v>
      </c>
      <c r="D9" t="str">
        <f t="shared" si="0"/>
        <v>Central African Republic</v>
      </c>
      <c r="E9">
        <v>1</v>
      </c>
      <c r="G9" t="s">
        <v>103</v>
      </c>
      <c r="H9" t="str">
        <f>VLOOKUP(G9,Country_Codes[],2,FALSE)</f>
        <v>CAF</v>
      </c>
      <c r="I9" t="str">
        <f t="shared" si="1"/>
        <v>Central African Republic</v>
      </c>
      <c r="L9" t="s">
        <v>98</v>
      </c>
      <c r="M9" t="str">
        <f>VLOOKUP(L9,Country_Codes[],2,FALSE)</f>
        <v>BFA</v>
      </c>
      <c r="N9">
        <v>1</v>
      </c>
      <c r="O9" t="str">
        <f t="shared" si="2"/>
        <v>Burkina Faso</v>
      </c>
      <c r="R9" s="15" t="s">
        <v>457</v>
      </c>
      <c r="S9" s="15" t="str">
        <f>VLOOKUP(R9,Country_Codes[],2,FALSE)</f>
        <v>KHM</v>
      </c>
      <c r="T9" s="15">
        <v>1</v>
      </c>
      <c r="U9" s="15">
        <v>1966</v>
      </c>
    </row>
    <row r="10" spans="1:21" x14ac:dyDescent="0.2">
      <c r="B10" t="s">
        <v>176</v>
      </c>
      <c r="C10" t="str">
        <f>VLOOKUP(B10,Country_Codes[],2,FALSE)</f>
        <v>TCD</v>
      </c>
      <c r="D10" t="str">
        <f t="shared" si="0"/>
        <v>Chad</v>
      </c>
      <c r="E10">
        <v>1</v>
      </c>
      <c r="G10" t="s">
        <v>176</v>
      </c>
      <c r="H10" t="str">
        <f>VLOOKUP(G10,Country_Codes[],2,FALSE)</f>
        <v>TCD</v>
      </c>
      <c r="I10" t="str">
        <f t="shared" si="1"/>
        <v>Chad</v>
      </c>
      <c r="L10" t="s">
        <v>92</v>
      </c>
      <c r="M10" t="str">
        <f>VLOOKUP(L10,Country_Codes[],2,FALSE)</f>
        <v>BDI</v>
      </c>
      <c r="N10">
        <v>1</v>
      </c>
      <c r="O10" t="str">
        <f t="shared" si="2"/>
        <v>Burundi</v>
      </c>
      <c r="R10" s="15" t="s">
        <v>449</v>
      </c>
      <c r="S10" s="15" t="str">
        <f>VLOOKUP(R10,Country_Codes[],2,FALSE)</f>
        <v>COK</v>
      </c>
      <c r="T10" s="15">
        <v>1</v>
      </c>
      <c r="U10" s="15">
        <v>1976</v>
      </c>
    </row>
    <row r="11" spans="1:21" x14ac:dyDescent="0.2">
      <c r="B11" t="s">
        <v>114</v>
      </c>
      <c r="C11" t="str">
        <f>VLOOKUP(B11,Country_Codes[],2,FALSE)</f>
        <v>COM</v>
      </c>
      <c r="D11" t="str">
        <f t="shared" si="0"/>
        <v>Comoros</v>
      </c>
      <c r="E11">
        <v>1</v>
      </c>
      <c r="G11" t="s">
        <v>114</v>
      </c>
      <c r="H11" t="str">
        <f>VLOOKUP(G11,Country_Codes[],2,FALSE)</f>
        <v>COM</v>
      </c>
      <c r="I11" t="str">
        <f t="shared" si="1"/>
        <v>Comoros</v>
      </c>
      <c r="L11" t="s">
        <v>105</v>
      </c>
      <c r="M11" t="str">
        <f>VLOOKUP(L11,Country_Codes[],2,FALSE)</f>
        <v>CIV</v>
      </c>
      <c r="N11">
        <v>1</v>
      </c>
      <c r="O11" t="str">
        <f t="shared" si="2"/>
        <v>Côte d'Ivoire</v>
      </c>
      <c r="R11" s="15" t="s">
        <v>453</v>
      </c>
      <c r="S11" s="15" t="str">
        <f>VLOOKUP(R11,Country_Codes[],2,FALSE)</f>
        <v>FSM</v>
      </c>
      <c r="T11" s="15">
        <v>1</v>
      </c>
      <c r="U11" s="15">
        <v>1990</v>
      </c>
    </row>
    <row r="12" spans="1:21" x14ac:dyDescent="0.2">
      <c r="A12" t="s">
        <v>520</v>
      </c>
      <c r="B12" t="s">
        <v>105</v>
      </c>
      <c r="C12" t="str">
        <f>VLOOKUP(B12,Country_Codes[],2,FALSE)</f>
        <v>CIV</v>
      </c>
      <c r="D12" t="str">
        <f t="shared" si="0"/>
        <v>Côte d'Ivoire</v>
      </c>
      <c r="E12">
        <v>1</v>
      </c>
      <c r="G12" t="s">
        <v>105</v>
      </c>
      <c r="H12" t="str">
        <f>VLOOKUP(G12,Country_Codes[],2,FALSE)</f>
        <v>CIV</v>
      </c>
      <c r="I12" t="str">
        <f t="shared" si="1"/>
        <v>Côte d'Ivoire</v>
      </c>
      <c r="L12" t="s">
        <v>116</v>
      </c>
      <c r="M12" t="str">
        <f>VLOOKUP(L12,Country_Codes[],2,FALSE)</f>
        <v>CPV</v>
      </c>
      <c r="N12">
        <v>1</v>
      </c>
      <c r="O12" t="str">
        <f t="shared" si="2"/>
        <v>Cabo Verde</v>
      </c>
      <c r="R12" s="15" t="s">
        <v>451</v>
      </c>
      <c r="S12" s="15" t="str">
        <f>VLOOKUP(R12,Country_Codes[],2,FALSE)</f>
        <v>FJI</v>
      </c>
      <c r="T12" s="15">
        <v>1</v>
      </c>
      <c r="U12" s="15">
        <v>1970</v>
      </c>
    </row>
    <row r="13" spans="1:21" x14ac:dyDescent="0.2">
      <c r="A13" t="s">
        <v>521</v>
      </c>
      <c r="B13" t="s">
        <v>436</v>
      </c>
      <c r="C13" t="str">
        <f>VLOOKUP(B13,Country_Codes[],2,FALSE)</f>
        <v>PRK</v>
      </c>
      <c r="D13" t="str">
        <f t="shared" si="0"/>
        <v>Democratic People's Republic of Korea</v>
      </c>
      <c r="E13">
        <v>1</v>
      </c>
      <c r="G13" t="s">
        <v>436</v>
      </c>
      <c r="H13" t="str">
        <f>VLOOKUP(G13,Country_Codes[],2,FALSE)</f>
        <v>PRK</v>
      </c>
      <c r="I13" t="str">
        <f t="shared" si="1"/>
        <v>Democratic People's Republic of Korea</v>
      </c>
      <c r="L13" t="s">
        <v>457</v>
      </c>
      <c r="M13" t="str">
        <f>VLOOKUP(L13,Country_Codes[],2,FALSE)</f>
        <v>KHM</v>
      </c>
      <c r="N13">
        <v>1</v>
      </c>
      <c r="O13" t="str">
        <f t="shared" si="2"/>
        <v>Cambodia</v>
      </c>
      <c r="R13" s="15" t="s">
        <v>350</v>
      </c>
      <c r="S13" s="15" t="str">
        <f>VLOOKUP(R13,Country_Codes[],2,FALSE)</f>
        <v>GEO</v>
      </c>
      <c r="T13" s="15">
        <v>1</v>
      </c>
      <c r="U13" s="15">
        <v>2007</v>
      </c>
    </row>
    <row r="14" spans="1:21" x14ac:dyDescent="0.2">
      <c r="B14" t="s">
        <v>110</v>
      </c>
      <c r="C14" t="str">
        <f>VLOOKUP(B14,Country_Codes[],2,FALSE)</f>
        <v>COD</v>
      </c>
      <c r="D14" t="str">
        <f t="shared" si="0"/>
        <v>Democratic Republic of the Congo</v>
      </c>
      <c r="E14">
        <v>1</v>
      </c>
      <c r="G14" t="s">
        <v>110</v>
      </c>
      <c r="H14" t="str">
        <f>VLOOKUP(G14,Country_Codes[],2,FALSE)</f>
        <v>COD</v>
      </c>
      <c r="I14" t="str">
        <f t="shared" si="1"/>
        <v>Democratic Republic of the Congo</v>
      </c>
      <c r="L14" t="s">
        <v>107</v>
      </c>
      <c r="M14" t="str">
        <f>VLOOKUP(L14,Country_Codes[],2,FALSE)</f>
        <v>CMR</v>
      </c>
      <c r="N14">
        <v>1</v>
      </c>
      <c r="O14" t="str">
        <f t="shared" si="2"/>
        <v>Cameroon</v>
      </c>
      <c r="R14" s="38" t="s">
        <v>1647</v>
      </c>
      <c r="S14" s="38" t="s">
        <v>510</v>
      </c>
      <c r="T14" s="15">
        <v>1</v>
      </c>
      <c r="U14" s="15">
        <v>1969</v>
      </c>
    </row>
    <row r="15" spans="1:21" x14ac:dyDescent="0.2">
      <c r="B15" t="s">
        <v>272</v>
      </c>
      <c r="C15" t="str">
        <f>VLOOKUP(B15,Country_Codes[],2,FALSE)</f>
        <v>DJI</v>
      </c>
      <c r="D15" t="str">
        <f t="shared" si="0"/>
        <v>Djibouti</v>
      </c>
      <c r="E15">
        <v>1</v>
      </c>
      <c r="G15" t="s">
        <v>272</v>
      </c>
      <c r="H15" t="str">
        <f>VLOOKUP(G15,Country_Codes[],2,FALSE)</f>
        <v>DJI</v>
      </c>
      <c r="I15" t="str">
        <f t="shared" si="1"/>
        <v>Djibouti</v>
      </c>
      <c r="L15" t="s">
        <v>103</v>
      </c>
      <c r="M15" t="str">
        <f>VLOOKUP(L15,Country_Codes[],2,FALSE)</f>
        <v>CAF</v>
      </c>
      <c r="N15">
        <v>1</v>
      </c>
      <c r="O15" t="str">
        <f t="shared" si="2"/>
        <v>Central African Republic</v>
      </c>
      <c r="R15" s="15" t="s">
        <v>426</v>
      </c>
      <c r="S15" s="15" t="str">
        <f>VLOOKUP(R15,Country_Codes[],2,FALSE)</f>
        <v>IND</v>
      </c>
      <c r="T15" s="15">
        <v>1</v>
      </c>
      <c r="U15" s="15">
        <v>1966</v>
      </c>
    </row>
    <row r="16" spans="1:21" x14ac:dyDescent="0.2">
      <c r="B16" t="s">
        <v>121</v>
      </c>
      <c r="C16" t="str">
        <f>VLOOKUP(B16,Country_Codes[],2,FALSE)</f>
        <v>ERI</v>
      </c>
      <c r="D16" t="str">
        <f t="shared" si="0"/>
        <v>Eritrea</v>
      </c>
      <c r="E16">
        <v>1</v>
      </c>
      <c r="G16" t="s">
        <v>121</v>
      </c>
      <c r="H16" t="str">
        <f>VLOOKUP(G16,Country_Codes[],2,FALSE)</f>
        <v>ERI</v>
      </c>
      <c r="I16" t="str">
        <f t="shared" si="1"/>
        <v>Eritrea</v>
      </c>
      <c r="L16" t="s">
        <v>176</v>
      </c>
      <c r="M16" t="str">
        <f>VLOOKUP(L16,Country_Codes[],2,FALSE)</f>
        <v>TCD</v>
      </c>
      <c r="N16">
        <v>1</v>
      </c>
      <c r="O16" t="str">
        <f t="shared" si="2"/>
        <v>Chad</v>
      </c>
      <c r="R16" s="15" t="s">
        <v>423</v>
      </c>
      <c r="S16" s="15" t="str">
        <f>VLOOKUP(R16,Country_Codes[],2,FALSE)</f>
        <v>IDN</v>
      </c>
      <c r="T16" s="15">
        <v>1</v>
      </c>
      <c r="U16" s="15">
        <v>1966</v>
      </c>
    </row>
    <row r="17" spans="1:21" x14ac:dyDescent="0.2">
      <c r="B17" t="s">
        <v>123</v>
      </c>
      <c r="C17" t="str">
        <f>VLOOKUP(B17,Country_Codes[],2,FALSE)</f>
        <v>ETH</v>
      </c>
      <c r="D17" t="str">
        <f t="shared" si="0"/>
        <v>Ethiopia</v>
      </c>
      <c r="E17">
        <v>1</v>
      </c>
      <c r="G17" t="s">
        <v>123</v>
      </c>
      <c r="H17" t="str">
        <f>VLOOKUP(G17,Country_Codes[],2,FALSE)</f>
        <v>ETH</v>
      </c>
      <c r="I17" t="str">
        <f t="shared" si="1"/>
        <v>Ethiopia</v>
      </c>
      <c r="L17" t="s">
        <v>114</v>
      </c>
      <c r="M17" t="str">
        <f>VLOOKUP(L17,Country_Codes[],2,FALSE)</f>
        <v>COM</v>
      </c>
      <c r="N17">
        <v>1</v>
      </c>
      <c r="O17" t="str">
        <f t="shared" si="2"/>
        <v>Comoros</v>
      </c>
      <c r="R17" s="15" t="s">
        <v>455</v>
      </c>
      <c r="S17" s="15" t="str">
        <f>VLOOKUP(R17,Country_Codes[],2,FALSE)</f>
        <v>JPN</v>
      </c>
      <c r="T17" s="15">
        <v>1</v>
      </c>
      <c r="U17" s="15">
        <v>1966</v>
      </c>
    </row>
    <row r="18" spans="1:21" x14ac:dyDescent="0.2">
      <c r="B18" t="s">
        <v>131</v>
      </c>
      <c r="C18" t="str">
        <f>VLOOKUP(B18,Country_Codes[],2,FALSE)</f>
        <v>GMB</v>
      </c>
      <c r="D18" t="str">
        <f t="shared" si="0"/>
        <v>Gambia</v>
      </c>
      <c r="E18">
        <v>1</v>
      </c>
      <c r="G18" t="s">
        <v>131</v>
      </c>
      <c r="H18" t="str">
        <f>VLOOKUP(G18,Country_Codes[],2,FALSE)</f>
        <v>GMB</v>
      </c>
      <c r="I18" t="str">
        <f t="shared" si="1"/>
        <v>Gambia</v>
      </c>
      <c r="L18" t="s">
        <v>112</v>
      </c>
      <c r="M18" t="str">
        <f>VLOOKUP(L18,Country_Codes[],2,FALSE)</f>
        <v>COG</v>
      </c>
      <c r="N18">
        <v>1</v>
      </c>
      <c r="O18" t="str">
        <f t="shared" si="2"/>
        <v>Congo</v>
      </c>
      <c r="R18" s="15" t="s">
        <v>366</v>
      </c>
      <c r="S18" s="15" t="str">
        <f>VLOOKUP(R18,Country_Codes[],2,FALSE)</f>
        <v>KAZ</v>
      </c>
      <c r="T18" s="15">
        <v>1</v>
      </c>
      <c r="U18" s="15">
        <v>1994</v>
      </c>
    </row>
    <row r="19" spans="1:21" x14ac:dyDescent="0.2">
      <c r="B19" t="s">
        <v>127</v>
      </c>
      <c r="C19" t="str">
        <f>VLOOKUP(B19,Country_Codes[],2,FALSE)</f>
        <v>GHA</v>
      </c>
      <c r="D19" t="str">
        <f t="shared" si="0"/>
        <v>Ghana</v>
      </c>
      <c r="E19">
        <v>1</v>
      </c>
      <c r="G19" t="s">
        <v>127</v>
      </c>
      <c r="H19" t="str">
        <f>VLOOKUP(G19,Country_Codes[],2,FALSE)</f>
        <v>GHA</v>
      </c>
      <c r="I19" t="str">
        <f t="shared" si="1"/>
        <v>Ghana</v>
      </c>
      <c r="L19" t="s">
        <v>112</v>
      </c>
      <c r="M19" t="str">
        <f>VLOOKUP(L19,Country_Codes[],2,FALSE)</f>
        <v>COG</v>
      </c>
      <c r="N19">
        <v>1</v>
      </c>
      <c r="O19" t="str">
        <f t="shared" si="2"/>
        <v>Congo</v>
      </c>
      <c r="R19" s="15" t="s">
        <v>459</v>
      </c>
      <c r="S19" s="15" t="str">
        <f>VLOOKUP(R19,Country_Codes[],2,FALSE)</f>
        <v>KIR</v>
      </c>
      <c r="T19" s="15">
        <v>1</v>
      </c>
      <c r="U19" s="15">
        <v>1974</v>
      </c>
    </row>
    <row r="20" spans="1:21" x14ac:dyDescent="0.2">
      <c r="B20" t="s">
        <v>129</v>
      </c>
      <c r="C20" t="str">
        <f>VLOOKUP(B20,Country_Codes[],2,FALSE)</f>
        <v>GIN</v>
      </c>
      <c r="D20" t="str">
        <f t="shared" si="0"/>
        <v>Guinea</v>
      </c>
      <c r="E20">
        <v>1</v>
      </c>
      <c r="G20" t="s">
        <v>129</v>
      </c>
      <c r="H20" t="str">
        <f>VLOOKUP(G20,Country_Codes[],2,FALSE)</f>
        <v>GIN</v>
      </c>
      <c r="I20" t="str">
        <f t="shared" si="1"/>
        <v>Guinea</v>
      </c>
      <c r="L20" t="s">
        <v>436</v>
      </c>
      <c r="M20" t="str">
        <f>VLOOKUP(L20,Country_Codes[],2,FALSE)</f>
        <v>PRK</v>
      </c>
      <c r="N20">
        <v>1</v>
      </c>
      <c r="O20" t="str">
        <f t="shared" si="2"/>
        <v>Democratic People's Republic of Korea</v>
      </c>
      <c r="R20" s="15" t="s">
        <v>368</v>
      </c>
      <c r="S20" s="15" t="str">
        <f>VLOOKUP(R20,Country_Codes[],2,FALSE)</f>
        <v>KGZ</v>
      </c>
      <c r="T20" s="15">
        <v>1</v>
      </c>
      <c r="U20" s="15">
        <v>1994</v>
      </c>
    </row>
    <row r="21" spans="1:21" x14ac:dyDescent="0.2">
      <c r="A21" t="s">
        <v>522</v>
      </c>
      <c r="B21" t="s">
        <v>133</v>
      </c>
      <c r="C21" t="str">
        <f>VLOOKUP(B21,Country_Codes[],2,FALSE)</f>
        <v>GNB</v>
      </c>
      <c r="D21" t="str">
        <f t="shared" si="0"/>
        <v>Guinea-Bissau</v>
      </c>
      <c r="E21">
        <v>1</v>
      </c>
      <c r="G21" t="s">
        <v>133</v>
      </c>
      <c r="H21" t="str">
        <f>VLOOKUP(G21,Country_Codes[],2,FALSE)</f>
        <v>GNB</v>
      </c>
      <c r="I21" t="str">
        <f t="shared" si="1"/>
        <v>Guinea-Bissau</v>
      </c>
      <c r="L21" t="s">
        <v>272</v>
      </c>
      <c r="M21" t="str">
        <f>VLOOKUP(L21,Country_Codes[],2,FALSE)</f>
        <v>DJI</v>
      </c>
      <c r="N21">
        <v>1</v>
      </c>
      <c r="O21" t="str">
        <f t="shared" si="2"/>
        <v>Djibouti</v>
      </c>
      <c r="R21" s="15" t="s">
        <v>463</v>
      </c>
      <c r="S21" s="15" t="str">
        <f>VLOOKUP(R21,Country_Codes[],2,FALSE)</f>
        <v>LAO</v>
      </c>
      <c r="T21" s="15">
        <v>1</v>
      </c>
      <c r="U21" s="15">
        <v>1966</v>
      </c>
    </row>
    <row r="22" spans="1:21" x14ac:dyDescent="0.2">
      <c r="B22" t="s">
        <v>232</v>
      </c>
      <c r="C22" t="str">
        <f>VLOOKUP(B22,Country_Codes[],2,FALSE)</f>
        <v>HTI</v>
      </c>
      <c r="D22" t="str">
        <f t="shared" si="0"/>
        <v>Haiti</v>
      </c>
      <c r="E22">
        <v>1</v>
      </c>
      <c r="G22" t="s">
        <v>232</v>
      </c>
      <c r="H22" t="str">
        <f>VLOOKUP(G22,Country_Codes[],2,FALSE)</f>
        <v>HTI</v>
      </c>
      <c r="I22" t="str">
        <f t="shared" si="1"/>
        <v>Haiti</v>
      </c>
      <c r="L22" t="s">
        <v>218</v>
      </c>
      <c r="M22" t="str">
        <f>VLOOKUP(L22,Country_Codes[],2,FALSE)</f>
        <v>DMA</v>
      </c>
      <c r="N22">
        <v>1</v>
      </c>
      <c r="O22" t="str">
        <f t="shared" si="2"/>
        <v>Dominica</v>
      </c>
      <c r="R22" s="15" t="s">
        <v>469</v>
      </c>
      <c r="S22" s="15" t="str">
        <f>VLOOKUP(R22,Country_Codes[],2,FALSE)</f>
        <v>MYS</v>
      </c>
      <c r="T22" s="15">
        <v>1</v>
      </c>
      <c r="U22" s="15">
        <v>1966</v>
      </c>
    </row>
    <row r="23" spans="1:21" x14ac:dyDescent="0.2">
      <c r="B23" t="s">
        <v>137</v>
      </c>
      <c r="C23" t="str">
        <f>VLOOKUP(B23,Country_Codes[],2,FALSE)</f>
        <v>KEN</v>
      </c>
      <c r="D23" t="str">
        <f t="shared" si="0"/>
        <v>Kenya</v>
      </c>
      <c r="E23">
        <v>1</v>
      </c>
      <c r="G23" t="s">
        <v>426</v>
      </c>
      <c r="H23" t="str">
        <f>VLOOKUP(G23,Country_Codes[],2,FALSE)</f>
        <v>IND</v>
      </c>
      <c r="I23" t="str">
        <f t="shared" si="1"/>
        <v>India</v>
      </c>
      <c r="L23" t="s">
        <v>274</v>
      </c>
      <c r="M23" t="str">
        <f>VLOOKUP(L23,Country_Codes[],2,FALSE)</f>
        <v>EGY</v>
      </c>
      <c r="N23">
        <v>1</v>
      </c>
      <c r="O23" t="str">
        <f t="shared" si="2"/>
        <v>Egypt</v>
      </c>
      <c r="R23" s="15" t="s">
        <v>430</v>
      </c>
      <c r="S23" s="15" t="str">
        <f>VLOOKUP(R23,Country_Codes[],2,FALSE)</f>
        <v>MDV</v>
      </c>
      <c r="T23" s="15">
        <v>1</v>
      </c>
      <c r="U23" s="15">
        <v>1978</v>
      </c>
    </row>
    <row r="24" spans="1:21" x14ac:dyDescent="0.2">
      <c r="B24" t="s">
        <v>368</v>
      </c>
      <c r="C24" t="str">
        <f>VLOOKUP(B24,Country_Codes[],2,FALSE)</f>
        <v>KGZ</v>
      </c>
      <c r="D24" t="str">
        <f t="shared" si="0"/>
        <v>Kyrgyzstan</v>
      </c>
      <c r="E24">
        <v>1</v>
      </c>
      <c r="G24" t="s">
        <v>137</v>
      </c>
      <c r="H24" t="str">
        <f>VLOOKUP(G24,Country_Codes[],2,FALSE)</f>
        <v>KEN</v>
      </c>
      <c r="I24" t="str">
        <f t="shared" si="1"/>
        <v>Kenya</v>
      </c>
      <c r="L24" t="s">
        <v>250</v>
      </c>
      <c r="M24" t="str">
        <f>VLOOKUP(L24,Country_Codes[],2,FALSE)</f>
        <v>SLV</v>
      </c>
      <c r="N24">
        <v>1</v>
      </c>
      <c r="O24" t="str">
        <f t="shared" si="2"/>
        <v>El Salvador</v>
      </c>
      <c r="R24" s="15" t="s">
        <v>465</v>
      </c>
      <c r="S24" s="15" t="str">
        <f>VLOOKUP(R24,Country_Codes[],2,FALSE)</f>
        <v>MHL</v>
      </c>
      <c r="T24" s="15">
        <v>1</v>
      </c>
      <c r="U24" s="15">
        <v>1990</v>
      </c>
    </row>
    <row r="25" spans="1:21" x14ac:dyDescent="0.2">
      <c r="B25" t="s">
        <v>463</v>
      </c>
      <c r="C25" t="str">
        <f>VLOOKUP(B25,Country_Codes[],2,FALSE)</f>
        <v>LAO</v>
      </c>
      <c r="D25" t="str">
        <f t="shared" si="0"/>
        <v>Lao People's Democratic Republic</v>
      </c>
      <c r="E25">
        <v>1</v>
      </c>
      <c r="G25" t="s">
        <v>368</v>
      </c>
      <c r="H25" t="str">
        <f>VLOOKUP(G25,Country_Codes[],2,FALSE)</f>
        <v>KGZ</v>
      </c>
      <c r="I25" t="str">
        <f t="shared" si="1"/>
        <v>Kyrgyzstan</v>
      </c>
      <c r="L25" t="s">
        <v>121</v>
      </c>
      <c r="M25" t="str">
        <f>VLOOKUP(L25,Country_Codes[],2,FALSE)</f>
        <v>ERI</v>
      </c>
      <c r="N25">
        <v>1</v>
      </c>
      <c r="O25" t="str">
        <f t="shared" si="2"/>
        <v>Eritrea</v>
      </c>
      <c r="R25" s="15" t="s">
        <v>467</v>
      </c>
      <c r="S25" s="15" t="str">
        <f>VLOOKUP(R25,Country_Codes[],2,FALSE)</f>
        <v>MNG</v>
      </c>
      <c r="T25" s="15">
        <v>1</v>
      </c>
      <c r="U25" s="15">
        <v>1991</v>
      </c>
    </row>
    <row r="26" spans="1:21" x14ac:dyDescent="0.2">
      <c r="B26" t="s">
        <v>141</v>
      </c>
      <c r="C26" t="str">
        <f>VLOOKUP(B26,Country_Codes[],2,FALSE)</f>
        <v>LSO</v>
      </c>
      <c r="D26" t="str">
        <f t="shared" si="0"/>
        <v>Lesotho</v>
      </c>
      <c r="E26">
        <v>1</v>
      </c>
      <c r="G26" t="s">
        <v>463</v>
      </c>
      <c r="H26" t="str">
        <f>VLOOKUP(G26,Country_Codes[],2,FALSE)</f>
        <v>LAO</v>
      </c>
      <c r="I26" t="str">
        <f t="shared" si="1"/>
        <v>Lao People's Democratic Republic</v>
      </c>
      <c r="L26" t="s">
        <v>172</v>
      </c>
      <c r="M26" t="str">
        <f>VLOOKUP(L26,Country_Codes[],2,FALSE)</f>
        <v>SWZ</v>
      </c>
      <c r="N26">
        <v>1</v>
      </c>
      <c r="O26" t="str">
        <f t="shared" si="2"/>
        <v>Eswatini</v>
      </c>
      <c r="R26" s="15" t="s">
        <v>432</v>
      </c>
      <c r="S26" s="15" t="str">
        <f>VLOOKUP(R26,Country_Codes[],2,FALSE)</f>
        <v>MMR</v>
      </c>
      <c r="T26" s="15">
        <v>1</v>
      </c>
      <c r="U26" s="15">
        <v>1973</v>
      </c>
    </row>
    <row r="27" spans="1:21" x14ac:dyDescent="0.2">
      <c r="B27" t="s">
        <v>139</v>
      </c>
      <c r="C27" t="str">
        <f>VLOOKUP(B27,Country_Codes[],2,FALSE)</f>
        <v>LBR</v>
      </c>
      <c r="D27" t="str">
        <f t="shared" si="0"/>
        <v>Liberia</v>
      </c>
      <c r="E27">
        <v>1</v>
      </c>
      <c r="G27" t="s">
        <v>141</v>
      </c>
      <c r="H27" t="str">
        <f>VLOOKUP(G27,Country_Codes[],2,FALSE)</f>
        <v>LSO</v>
      </c>
      <c r="I27" t="str">
        <f t="shared" si="1"/>
        <v>Lesotho</v>
      </c>
      <c r="L27" t="s">
        <v>123</v>
      </c>
      <c r="M27" t="str">
        <f>VLOOKUP(L27,Country_Codes[],2,FALSE)</f>
        <v>ETH</v>
      </c>
      <c r="N27">
        <v>1</v>
      </c>
      <c r="O27" t="str">
        <f t="shared" si="2"/>
        <v>Ethiopia</v>
      </c>
      <c r="R27" s="15" t="s">
        <v>473</v>
      </c>
      <c r="S27" s="15" t="str">
        <f>VLOOKUP(R27,Country_Codes[],2,FALSE)</f>
        <v>NRU</v>
      </c>
      <c r="T27" s="15">
        <v>1</v>
      </c>
      <c r="U27" s="15">
        <v>1991</v>
      </c>
    </row>
    <row r="28" spans="1:21" x14ac:dyDescent="0.2">
      <c r="B28" t="s">
        <v>143</v>
      </c>
      <c r="C28" t="str">
        <f>VLOOKUP(B28,Country_Codes[],2,FALSE)</f>
        <v>MDG</v>
      </c>
      <c r="D28" t="str">
        <f t="shared" si="0"/>
        <v>Madagascar</v>
      </c>
      <c r="E28">
        <v>1</v>
      </c>
      <c r="G28" t="s">
        <v>139</v>
      </c>
      <c r="H28" t="str">
        <f>VLOOKUP(G28,Country_Codes[],2,FALSE)</f>
        <v>LBR</v>
      </c>
      <c r="I28" t="str">
        <f t="shared" si="1"/>
        <v>Liberia</v>
      </c>
      <c r="L28" t="s">
        <v>451</v>
      </c>
      <c r="M28" t="str">
        <f>VLOOKUP(L28,Country_Codes[],2,FALSE)</f>
        <v>FJI</v>
      </c>
      <c r="N28">
        <v>1</v>
      </c>
      <c r="O28" t="str">
        <f t="shared" si="2"/>
        <v>Fiji</v>
      </c>
      <c r="R28" s="15" t="s">
        <v>434</v>
      </c>
      <c r="S28" s="15" t="str">
        <f>VLOOKUP(R28,Country_Codes[],2,FALSE)</f>
        <v>NPL</v>
      </c>
      <c r="T28" s="15">
        <v>1</v>
      </c>
      <c r="U28" s="15">
        <v>1966</v>
      </c>
    </row>
    <row r="29" spans="1:21" x14ac:dyDescent="0.2">
      <c r="B29" t="s">
        <v>154</v>
      </c>
      <c r="C29" t="str">
        <f>VLOOKUP(B29,Country_Codes[],2,FALSE)</f>
        <v>MWI</v>
      </c>
      <c r="D29" t="str">
        <f t="shared" si="0"/>
        <v>Malawi</v>
      </c>
      <c r="E29">
        <v>1</v>
      </c>
      <c r="G29" t="s">
        <v>143</v>
      </c>
      <c r="H29" t="str">
        <f>VLOOKUP(G29,Country_Codes[],2,FALSE)</f>
        <v>MDG</v>
      </c>
      <c r="I29" t="str">
        <f t="shared" si="1"/>
        <v>Madagascar</v>
      </c>
      <c r="L29" t="s">
        <v>131</v>
      </c>
      <c r="M29" t="str">
        <f>VLOOKUP(L29,Country_Codes[],2,FALSE)</f>
        <v>GMB</v>
      </c>
      <c r="N29">
        <v>1</v>
      </c>
      <c r="O29" t="str">
        <f t="shared" si="2"/>
        <v>Gambia</v>
      </c>
      <c r="R29" s="15" t="s">
        <v>475</v>
      </c>
      <c r="S29" s="15" t="str">
        <f>VLOOKUP(R29,Country_Codes[],2,FALSE)</f>
        <v>NZL</v>
      </c>
      <c r="T29" s="15">
        <v>1</v>
      </c>
      <c r="U29" s="15">
        <v>1966</v>
      </c>
    </row>
    <row r="30" spans="1:21" x14ac:dyDescent="0.2">
      <c r="B30" t="s">
        <v>145</v>
      </c>
      <c r="C30" t="str">
        <f>VLOOKUP(B30,Country_Codes[],2,FALSE)</f>
        <v>MLI</v>
      </c>
      <c r="D30" t="str">
        <f t="shared" si="0"/>
        <v>Mali</v>
      </c>
      <c r="E30">
        <v>1</v>
      </c>
      <c r="G30" t="s">
        <v>154</v>
      </c>
      <c r="H30" t="str">
        <f>VLOOKUP(G30,Country_Codes[],2,FALSE)</f>
        <v>MWI</v>
      </c>
      <c r="I30" t="str">
        <f t="shared" si="1"/>
        <v>Malawi</v>
      </c>
      <c r="L30" t="s">
        <v>127</v>
      </c>
      <c r="M30" t="str">
        <f>VLOOKUP(L30,Country_Codes[],2,FALSE)</f>
        <v>GHA</v>
      </c>
      <c r="N30">
        <v>1</v>
      </c>
      <c r="O30" t="str">
        <f t="shared" si="2"/>
        <v>Ghana</v>
      </c>
      <c r="R30" s="15" t="s">
        <v>471</v>
      </c>
      <c r="S30" s="15" t="str">
        <f>VLOOKUP(R30,Country_Codes[],2,FALSE)</f>
        <v>NIU</v>
      </c>
      <c r="T30" s="15">
        <v>1</v>
      </c>
      <c r="U30" s="15">
        <v>2019</v>
      </c>
    </row>
    <row r="31" spans="1:21" x14ac:dyDescent="0.2">
      <c r="B31" t="s">
        <v>149</v>
      </c>
      <c r="C31" t="str">
        <f>VLOOKUP(B31,Country_Codes[],2,FALSE)</f>
        <v>MRT</v>
      </c>
      <c r="D31" t="str">
        <f t="shared" si="0"/>
        <v>Mauritania</v>
      </c>
      <c r="E31">
        <v>1</v>
      </c>
      <c r="G31" t="s">
        <v>145</v>
      </c>
      <c r="H31" t="str">
        <f>VLOOKUP(G31,Country_Codes[],2,FALSE)</f>
        <v>MLI</v>
      </c>
      <c r="I31" t="str">
        <f t="shared" si="1"/>
        <v>Mali</v>
      </c>
      <c r="L31" t="s">
        <v>224</v>
      </c>
      <c r="M31" t="str">
        <f>VLOOKUP(L31,Country_Codes[],2,FALSE)</f>
        <v>GRD</v>
      </c>
      <c r="N31">
        <v>1</v>
      </c>
      <c r="O31" t="str">
        <f t="shared" si="2"/>
        <v>Grenada</v>
      </c>
      <c r="R31" s="15" t="s">
        <v>292</v>
      </c>
      <c r="S31" s="15" t="str">
        <f>VLOOKUP(R31,Country_Codes[],2,FALSE)</f>
        <v>PAK</v>
      </c>
      <c r="T31" s="15">
        <v>1</v>
      </c>
      <c r="U31" s="15">
        <v>1966</v>
      </c>
    </row>
    <row r="32" spans="1:21" x14ac:dyDescent="0.2">
      <c r="B32" t="s">
        <v>147</v>
      </c>
      <c r="C32" t="str">
        <f>VLOOKUP(B32,Country_Codes[],2,FALSE)</f>
        <v>MOZ</v>
      </c>
      <c r="D32" t="str">
        <f t="shared" si="0"/>
        <v>Mozambique</v>
      </c>
      <c r="E32">
        <v>1</v>
      </c>
      <c r="G32" t="s">
        <v>149</v>
      </c>
      <c r="H32" t="str">
        <f>VLOOKUP(G32,Country_Codes[],2,FALSE)</f>
        <v>MRT</v>
      </c>
      <c r="I32" t="str">
        <f t="shared" si="1"/>
        <v>Mauritania</v>
      </c>
      <c r="L32" t="s">
        <v>129</v>
      </c>
      <c r="M32" t="str">
        <f>VLOOKUP(L32,Country_Codes[],2,FALSE)</f>
        <v>GIN</v>
      </c>
      <c r="N32">
        <v>1</v>
      </c>
      <c r="O32" t="str">
        <f t="shared" si="2"/>
        <v>Guinea</v>
      </c>
      <c r="R32" s="15" t="s">
        <v>479</v>
      </c>
      <c r="S32" s="15" t="str">
        <f>VLOOKUP(R32,Country_Codes[],2,FALSE)</f>
        <v>PLW</v>
      </c>
      <c r="T32" s="15">
        <v>1</v>
      </c>
      <c r="U32" s="15">
        <v>2003</v>
      </c>
    </row>
    <row r="33" spans="1:21" x14ac:dyDescent="0.2">
      <c r="B33" t="s">
        <v>432</v>
      </c>
      <c r="C33" t="str">
        <f>VLOOKUP(B33,Country_Codes[],2,FALSE)</f>
        <v>MMR</v>
      </c>
      <c r="D33" t="str">
        <f t="shared" si="0"/>
        <v>Myanmar</v>
      </c>
      <c r="E33">
        <v>1</v>
      </c>
      <c r="G33" t="s">
        <v>147</v>
      </c>
      <c r="H33" t="str">
        <f>VLOOKUP(G33,Country_Codes[],2,FALSE)</f>
        <v>MOZ</v>
      </c>
      <c r="I33" t="str">
        <f t="shared" si="1"/>
        <v>Mozambique</v>
      </c>
      <c r="L33" t="s">
        <v>133</v>
      </c>
      <c r="M33" t="str">
        <f>VLOOKUP(L33,Country_Codes[],2,FALSE)</f>
        <v>GNB</v>
      </c>
      <c r="N33">
        <v>1</v>
      </c>
      <c r="O33" t="str">
        <f t="shared" si="2"/>
        <v>Guinea-Bissau</v>
      </c>
      <c r="R33" s="15" t="s">
        <v>481</v>
      </c>
      <c r="S33" s="15" t="str">
        <f>VLOOKUP(R33,Country_Codes[],2,FALSE)</f>
        <v>PNG</v>
      </c>
      <c r="T33" s="15">
        <v>1</v>
      </c>
      <c r="U33" s="15">
        <v>1971</v>
      </c>
    </row>
    <row r="34" spans="1:21" x14ac:dyDescent="0.2">
      <c r="B34" t="s">
        <v>434</v>
      </c>
      <c r="C34" t="str">
        <f>VLOOKUP(B34,Country_Codes[],2,FALSE)</f>
        <v>NPL</v>
      </c>
      <c r="D34" t="str">
        <f t="shared" ref="D34:D57" si="3">VLOOKUP(C34,WB_WHO_Country_Database,2,FALSE)</f>
        <v>Nepal</v>
      </c>
      <c r="E34">
        <v>1</v>
      </c>
      <c r="G34" t="s">
        <v>432</v>
      </c>
      <c r="H34" t="str">
        <f>VLOOKUP(G34,Country_Codes[],2,FALSE)</f>
        <v>MMR</v>
      </c>
      <c r="I34" t="str">
        <f t="shared" ref="I34:I58" si="4">VLOOKUP(H34,WB_WHO_Country_Database,2,FALSE)</f>
        <v>Myanmar</v>
      </c>
      <c r="L34" t="s">
        <v>228</v>
      </c>
      <c r="M34" t="str">
        <f>VLOOKUP(L34,Country_Codes[],2,FALSE)</f>
        <v>GUY</v>
      </c>
      <c r="N34">
        <v>1</v>
      </c>
      <c r="O34" t="str">
        <f t="shared" ref="O34:O65" si="5">VLOOKUP(M34,WB_WHO_Country_Database,2,FALSE)</f>
        <v>Guyana</v>
      </c>
      <c r="R34" s="15" t="s">
        <v>447</v>
      </c>
      <c r="S34" s="15" t="str">
        <f>VLOOKUP(R34,Country_Codes[],2,FALSE)</f>
        <v>CHN</v>
      </c>
      <c r="T34" s="15">
        <v>1</v>
      </c>
      <c r="U34" s="15">
        <v>1986</v>
      </c>
    </row>
    <row r="35" spans="1:21" x14ac:dyDescent="0.2">
      <c r="B35" t="s">
        <v>242</v>
      </c>
      <c r="C35" t="str">
        <f>VLOOKUP(B35,Country_Codes[],2,FALSE)</f>
        <v>NIC</v>
      </c>
      <c r="D35" t="str">
        <f t="shared" si="3"/>
        <v>Nicaragua</v>
      </c>
      <c r="E35">
        <v>1</v>
      </c>
      <c r="G35" t="s">
        <v>434</v>
      </c>
      <c r="H35" t="str">
        <f>VLOOKUP(G35,Country_Codes[],2,FALSE)</f>
        <v>NPL</v>
      </c>
      <c r="I35" t="str">
        <f t="shared" si="4"/>
        <v>Nepal</v>
      </c>
      <c r="L35" t="s">
        <v>232</v>
      </c>
      <c r="M35" t="str">
        <f>VLOOKUP(L35,Country_Codes[],2,FALSE)</f>
        <v>HTI</v>
      </c>
      <c r="N35">
        <v>1</v>
      </c>
      <c r="O35" t="str">
        <f t="shared" si="5"/>
        <v>Haiti</v>
      </c>
      <c r="R35" s="15" t="s">
        <v>477</v>
      </c>
      <c r="S35" s="15" t="str">
        <f>VLOOKUP(R35,Country_Codes[],2,FALSE)</f>
        <v>PHL</v>
      </c>
      <c r="T35" s="15">
        <v>1</v>
      </c>
      <c r="U35" s="15">
        <v>1966</v>
      </c>
    </row>
    <row r="36" spans="1:21" x14ac:dyDescent="0.2">
      <c r="B36" t="s">
        <v>158</v>
      </c>
      <c r="C36" t="str">
        <f>VLOOKUP(B36,Country_Codes[],2,FALSE)</f>
        <v>NER</v>
      </c>
      <c r="D36" t="str">
        <f t="shared" si="3"/>
        <v>Niger</v>
      </c>
      <c r="E36">
        <v>1</v>
      </c>
      <c r="G36" t="s">
        <v>242</v>
      </c>
      <c r="H36" t="str">
        <f>VLOOKUP(G36,Country_Codes[],2,FALSE)</f>
        <v>NIC</v>
      </c>
      <c r="I36" t="str">
        <f t="shared" si="4"/>
        <v>Nicaragua</v>
      </c>
      <c r="L36" t="s">
        <v>230</v>
      </c>
      <c r="M36" t="str">
        <f>VLOOKUP(L36,Country_Codes[],2,FALSE)</f>
        <v>HND</v>
      </c>
      <c r="N36">
        <v>1</v>
      </c>
      <c r="O36" t="str">
        <f t="shared" si="5"/>
        <v>Honduras</v>
      </c>
      <c r="R36" s="15" t="s">
        <v>461</v>
      </c>
      <c r="S36" s="15" t="str">
        <f>VLOOKUP(R36,Country_Codes[],2,FALSE)</f>
        <v>KOR</v>
      </c>
      <c r="T36" s="15">
        <v>1</v>
      </c>
      <c r="U36" s="15">
        <v>1966</v>
      </c>
    </row>
    <row r="37" spans="1:21" x14ac:dyDescent="0.2">
      <c r="B37" t="s">
        <v>160</v>
      </c>
      <c r="C37" t="str">
        <f>VLOOKUP(B37,Country_Codes[],2,FALSE)</f>
        <v>NGA</v>
      </c>
      <c r="D37" t="str">
        <f t="shared" si="3"/>
        <v>Nigeria</v>
      </c>
      <c r="E37">
        <v>1</v>
      </c>
      <c r="G37" t="s">
        <v>158</v>
      </c>
      <c r="H37" t="str">
        <f>VLOOKUP(G37,Country_Codes[],2,FALSE)</f>
        <v>NER</v>
      </c>
      <c r="I37" t="str">
        <f t="shared" si="4"/>
        <v>Niger</v>
      </c>
      <c r="L37" t="s">
        <v>426</v>
      </c>
      <c r="M37" t="str">
        <f>VLOOKUP(L37,Country_Codes[],2,FALSE)</f>
        <v>IND</v>
      </c>
      <c r="N37">
        <v>1</v>
      </c>
      <c r="O37" t="str">
        <f t="shared" si="5"/>
        <v>India</v>
      </c>
      <c r="R37" s="15" t="s">
        <v>495</v>
      </c>
      <c r="S37" s="15" t="str">
        <f>VLOOKUP(R37,Country_Codes[],2,FALSE)</f>
        <v>WSM</v>
      </c>
      <c r="T37" s="15">
        <v>1</v>
      </c>
      <c r="U37" s="15">
        <v>1966</v>
      </c>
    </row>
    <row r="38" spans="1:21" x14ac:dyDescent="0.2">
      <c r="B38" t="s">
        <v>292</v>
      </c>
      <c r="C38" t="str">
        <f>VLOOKUP(B38,Country_Codes[],2,FALSE)</f>
        <v>PAK</v>
      </c>
      <c r="D38" t="str">
        <f t="shared" si="3"/>
        <v>Pakistan</v>
      </c>
      <c r="E38">
        <v>1</v>
      </c>
      <c r="G38" t="s">
        <v>160</v>
      </c>
      <c r="H38" t="str">
        <f>VLOOKUP(G38,Country_Codes[],2,FALSE)</f>
        <v>NGA</v>
      </c>
      <c r="I38" t="str">
        <f t="shared" si="4"/>
        <v>Nigeria</v>
      </c>
      <c r="L38" t="s">
        <v>423</v>
      </c>
      <c r="M38" t="str">
        <f>VLOOKUP(L38,Country_Codes[],2,FALSE)</f>
        <v>IDN</v>
      </c>
      <c r="N38">
        <v>1</v>
      </c>
      <c r="O38" t="str">
        <f t="shared" si="5"/>
        <v>Indonesia</v>
      </c>
      <c r="R38" s="15" t="s">
        <v>483</v>
      </c>
      <c r="S38" s="15" t="str">
        <f>VLOOKUP(R38,Country_Codes[],2,FALSE)</f>
        <v>SGP</v>
      </c>
      <c r="T38" s="15">
        <v>1</v>
      </c>
      <c r="U38" s="15">
        <v>1966</v>
      </c>
    </row>
    <row r="39" spans="1:21" x14ac:dyDescent="0.2">
      <c r="B39" t="s">
        <v>481</v>
      </c>
      <c r="C39" t="str">
        <f>VLOOKUP(B39,Country_Codes[],2,FALSE)</f>
        <v>PNG</v>
      </c>
      <c r="D39" t="str">
        <f t="shared" si="3"/>
        <v>Papua New Guinea</v>
      </c>
      <c r="E39">
        <v>1</v>
      </c>
      <c r="G39" t="s">
        <v>292</v>
      </c>
      <c r="H39" t="str">
        <f>VLOOKUP(G39,Country_Codes[],2,FALSE)</f>
        <v>PAK</v>
      </c>
      <c r="I39" t="str">
        <f t="shared" si="4"/>
        <v>Pakistan</v>
      </c>
      <c r="L39" t="s">
        <v>137</v>
      </c>
      <c r="M39" t="str">
        <f>VLOOKUP(L39,Country_Codes[],2,FALSE)</f>
        <v>KEN</v>
      </c>
      <c r="N39">
        <v>1</v>
      </c>
      <c r="O39" t="str">
        <f t="shared" si="5"/>
        <v>Kenya</v>
      </c>
      <c r="R39" s="15" t="s">
        <v>485</v>
      </c>
      <c r="S39" s="15" t="str">
        <f>VLOOKUP(R39,Country_Codes[],2,FALSE)</f>
        <v>SLB</v>
      </c>
      <c r="T39" s="15">
        <v>1</v>
      </c>
      <c r="U39" s="15">
        <v>1973</v>
      </c>
    </row>
    <row r="40" spans="1:21" x14ac:dyDescent="0.2">
      <c r="A40" t="s">
        <v>523</v>
      </c>
      <c r="B40" t="s">
        <v>112</v>
      </c>
      <c r="C40" t="str">
        <f>VLOOKUP(B40,Country_Codes[],2,FALSE)</f>
        <v>COG</v>
      </c>
      <c r="D40" t="str">
        <f t="shared" si="3"/>
        <v>Congo</v>
      </c>
      <c r="E40">
        <v>1</v>
      </c>
      <c r="G40" t="s">
        <v>481</v>
      </c>
      <c r="H40" t="str">
        <f>VLOOKUP(G40,Country_Codes[],2,FALSE)</f>
        <v>PNG</v>
      </c>
      <c r="I40" t="str">
        <f t="shared" si="4"/>
        <v>Papua New Guinea</v>
      </c>
      <c r="L40" t="s">
        <v>459</v>
      </c>
      <c r="M40" t="str">
        <f>VLOOKUP(L40,Country_Codes[],2,FALSE)</f>
        <v>KIR</v>
      </c>
      <c r="N40">
        <v>1</v>
      </c>
      <c r="O40" t="str">
        <f t="shared" si="5"/>
        <v>Kiribati</v>
      </c>
      <c r="R40" s="15" t="s">
        <v>428</v>
      </c>
      <c r="S40" s="15" t="str">
        <f>VLOOKUP(R40,Country_Codes[],2,FALSE)</f>
        <v>LKA</v>
      </c>
      <c r="T40" s="15">
        <v>1</v>
      </c>
      <c r="U40" s="15">
        <v>1966</v>
      </c>
    </row>
    <row r="41" spans="1:21" x14ac:dyDescent="0.2">
      <c r="A41" t="s">
        <v>524</v>
      </c>
      <c r="B41" t="s">
        <v>300</v>
      </c>
      <c r="C41" t="str">
        <f>VLOOKUP(B41,Country_Codes[],2,FALSE)</f>
        <v>SDN</v>
      </c>
      <c r="D41" t="str">
        <f t="shared" si="3"/>
        <v>Sudan</v>
      </c>
      <c r="E41">
        <v>1</v>
      </c>
      <c r="G41" t="s">
        <v>112</v>
      </c>
      <c r="H41" t="str">
        <f>VLOOKUP(G41,Country_Codes[],2,FALSE)</f>
        <v>COG</v>
      </c>
      <c r="I41" t="str">
        <f t="shared" si="4"/>
        <v>Congo</v>
      </c>
      <c r="L41" t="s">
        <v>368</v>
      </c>
      <c r="M41" t="str">
        <f>VLOOKUP(L41,Country_Codes[],2,FALSE)</f>
        <v>KGZ</v>
      </c>
      <c r="N41">
        <v>1</v>
      </c>
      <c r="O41" t="str">
        <f t="shared" si="5"/>
        <v>Kyrgyzstan</v>
      </c>
      <c r="R41" s="38" t="s">
        <v>1648</v>
      </c>
      <c r="S41" s="38" t="s">
        <v>518</v>
      </c>
      <c r="T41" s="15">
        <v>1</v>
      </c>
      <c r="U41" s="15">
        <v>1966</v>
      </c>
    </row>
    <row r="42" spans="1:21" x14ac:dyDescent="0.2">
      <c r="B42" t="s">
        <v>162</v>
      </c>
      <c r="C42" t="str">
        <f>VLOOKUP(B42,Country_Codes[],2,FALSE)</f>
        <v>RWA</v>
      </c>
      <c r="D42" t="str">
        <f t="shared" si="3"/>
        <v>Rwanda</v>
      </c>
      <c r="E42">
        <v>1</v>
      </c>
      <c r="G42" t="s">
        <v>300</v>
      </c>
      <c r="H42" t="str">
        <f>VLOOKUP(G42,Country_Codes[],2,FALSE)</f>
        <v>SDN</v>
      </c>
      <c r="I42" t="str">
        <f t="shared" si="4"/>
        <v>Sudan</v>
      </c>
      <c r="L42" t="s">
        <v>463</v>
      </c>
      <c r="M42" t="str">
        <f>VLOOKUP(L42,Country_Codes[],2,FALSE)</f>
        <v>LAO</v>
      </c>
      <c r="N42">
        <v>1</v>
      </c>
      <c r="O42" t="str">
        <f t="shared" si="5"/>
        <v>Lao People's Democratic Republic</v>
      </c>
      <c r="R42" s="15" t="s">
        <v>408</v>
      </c>
      <c r="S42" s="15" t="str">
        <f>VLOOKUP(R42,Country_Codes[],2,FALSE)</f>
        <v>TJK</v>
      </c>
      <c r="T42" s="15">
        <v>1</v>
      </c>
      <c r="U42" s="15">
        <v>1998</v>
      </c>
    </row>
    <row r="43" spans="1:21" x14ac:dyDescent="0.2">
      <c r="B43" t="s">
        <v>170</v>
      </c>
      <c r="C43" t="str">
        <f>VLOOKUP(B43,Country_Codes[],2,FALSE)</f>
        <v>STP</v>
      </c>
      <c r="D43" t="str">
        <f t="shared" si="3"/>
        <v>Sao Tome and Principe</v>
      </c>
      <c r="E43">
        <v>1</v>
      </c>
      <c r="G43" t="s">
        <v>162</v>
      </c>
      <c r="H43" t="str">
        <f>VLOOKUP(G43,Country_Codes[],2,FALSE)</f>
        <v>RWA</v>
      </c>
      <c r="I43" t="str">
        <f t="shared" si="4"/>
        <v>Rwanda</v>
      </c>
      <c r="L43" t="s">
        <v>141</v>
      </c>
      <c r="M43" t="str">
        <f>VLOOKUP(L43,Country_Codes[],2,FALSE)</f>
        <v>LSO</v>
      </c>
      <c r="N43">
        <v>1</v>
      </c>
      <c r="O43" t="str">
        <f t="shared" si="5"/>
        <v>Lesotho</v>
      </c>
      <c r="R43" s="15" t="s">
        <v>438</v>
      </c>
      <c r="S43" s="15" t="str">
        <f>VLOOKUP(R43,Country_Codes[],2,FALSE)</f>
        <v>THA</v>
      </c>
      <c r="T43" s="15">
        <v>1</v>
      </c>
      <c r="U43" s="15">
        <v>1966</v>
      </c>
    </row>
    <row r="44" spans="1:21" x14ac:dyDescent="0.2">
      <c r="B44" t="s">
        <v>164</v>
      </c>
      <c r="C44" t="str">
        <f>VLOOKUP(B44,Country_Codes[],2,FALSE)</f>
        <v>SEN</v>
      </c>
      <c r="D44" t="str">
        <f t="shared" si="3"/>
        <v>Senegal</v>
      </c>
      <c r="E44">
        <v>1</v>
      </c>
      <c r="G44" t="s">
        <v>170</v>
      </c>
      <c r="H44" t="str">
        <f>VLOOKUP(G44,Country_Codes[],2,FALSE)</f>
        <v>STP</v>
      </c>
      <c r="I44" t="str">
        <f t="shared" si="4"/>
        <v>Sao Tome and Principe</v>
      </c>
      <c r="L44" t="s">
        <v>139</v>
      </c>
      <c r="M44" t="str">
        <f>VLOOKUP(L44,Country_Codes[],2,FALSE)</f>
        <v>LBR</v>
      </c>
      <c r="N44">
        <v>1</v>
      </c>
      <c r="O44" t="str">
        <f t="shared" si="5"/>
        <v>Liberia</v>
      </c>
      <c r="R44" s="15" t="s">
        <v>440</v>
      </c>
      <c r="S44" s="15" t="str">
        <f>VLOOKUP(R44,Country_Codes[],2,FALSE)</f>
        <v>TLS</v>
      </c>
      <c r="T44" s="15">
        <v>1</v>
      </c>
      <c r="U44" s="15">
        <v>2002</v>
      </c>
    </row>
    <row r="45" spans="1:21" x14ac:dyDescent="0.2">
      <c r="B45" t="s">
        <v>166</v>
      </c>
      <c r="C45" t="str">
        <f>VLOOKUP(B45,Country_Codes[],2,FALSE)</f>
        <v>SLE</v>
      </c>
      <c r="D45" t="str">
        <f t="shared" si="3"/>
        <v>Sierra Leone</v>
      </c>
      <c r="E45">
        <v>1</v>
      </c>
      <c r="G45" t="s">
        <v>164</v>
      </c>
      <c r="H45" t="str">
        <f>VLOOKUP(G45,Country_Codes[],2,FALSE)</f>
        <v>SEN</v>
      </c>
      <c r="I45" t="str">
        <f t="shared" si="4"/>
        <v>Senegal</v>
      </c>
      <c r="L45" t="s">
        <v>143</v>
      </c>
      <c r="M45" t="str">
        <f>VLOOKUP(L45,Country_Codes[],2,FALSE)</f>
        <v>MDG</v>
      </c>
      <c r="N45">
        <v>1</v>
      </c>
      <c r="O45" t="str">
        <f t="shared" si="5"/>
        <v>Madagascar</v>
      </c>
      <c r="R45" s="15" t="s">
        <v>487</v>
      </c>
      <c r="S45" s="15" t="str">
        <f>VLOOKUP(R45,Country_Codes[],2,FALSE)</f>
        <v>TON</v>
      </c>
      <c r="T45" s="15">
        <v>1</v>
      </c>
      <c r="U45" s="15">
        <v>1972</v>
      </c>
    </row>
    <row r="46" spans="1:21" x14ac:dyDescent="0.2">
      <c r="B46" t="s">
        <v>485</v>
      </c>
      <c r="C46" t="str">
        <f>VLOOKUP(B46,Country_Codes[],2,FALSE)</f>
        <v>SLB</v>
      </c>
      <c r="D46" t="str">
        <f t="shared" si="3"/>
        <v>Solomon Islands</v>
      </c>
      <c r="E46">
        <v>1</v>
      </c>
      <c r="G46" t="s">
        <v>166</v>
      </c>
      <c r="H46" t="str">
        <f>VLOOKUP(G46,Country_Codes[],2,FALSE)</f>
        <v>SLE</v>
      </c>
      <c r="I46" t="str">
        <f t="shared" si="4"/>
        <v>Sierra Leone</v>
      </c>
      <c r="L46" t="s">
        <v>154</v>
      </c>
      <c r="M46" t="str">
        <f>VLOOKUP(L46,Country_Codes[],2,FALSE)</f>
        <v>MWI</v>
      </c>
      <c r="N46">
        <v>1</v>
      </c>
      <c r="O46" t="str">
        <f t="shared" si="5"/>
        <v>Malawi</v>
      </c>
      <c r="R46" s="15" t="s">
        <v>410</v>
      </c>
      <c r="S46" s="15" t="str">
        <f>VLOOKUP(R46,Country_Codes[],2,FALSE)</f>
        <v>TKM</v>
      </c>
      <c r="T46" s="15">
        <v>1</v>
      </c>
      <c r="U46" s="15">
        <v>2000</v>
      </c>
    </row>
    <row r="47" spans="1:21" x14ac:dyDescent="0.2">
      <c r="B47" t="s">
        <v>302</v>
      </c>
      <c r="C47" t="str">
        <f>VLOOKUP(B47,Country_Codes[],2,FALSE)</f>
        <v>SOM</v>
      </c>
      <c r="D47" t="str">
        <f t="shared" si="3"/>
        <v>Somalia</v>
      </c>
      <c r="E47">
        <v>1</v>
      </c>
      <c r="G47" t="s">
        <v>485</v>
      </c>
      <c r="H47" t="str">
        <f>VLOOKUP(G47,Country_Codes[],2,FALSE)</f>
        <v>SLB</v>
      </c>
      <c r="I47" t="str">
        <f t="shared" si="4"/>
        <v>Solomon Islands</v>
      </c>
      <c r="L47" t="s">
        <v>430</v>
      </c>
      <c r="M47" t="str">
        <f>VLOOKUP(L47,Country_Codes[],2,FALSE)</f>
        <v>MDV</v>
      </c>
      <c r="N47">
        <v>1</v>
      </c>
      <c r="O47" t="str">
        <f t="shared" si="5"/>
        <v>Maldives</v>
      </c>
      <c r="R47" s="15" t="s">
        <v>489</v>
      </c>
      <c r="S47" s="15" t="str">
        <f>VLOOKUP(R47,Country_Codes[],2,FALSE)</f>
        <v>TUV</v>
      </c>
      <c r="T47" s="15">
        <v>1</v>
      </c>
      <c r="U47" s="15">
        <v>1993</v>
      </c>
    </row>
    <row r="48" spans="1:21" x14ac:dyDescent="0.2">
      <c r="B48" t="s">
        <v>168</v>
      </c>
      <c r="C48" t="str">
        <f>VLOOKUP(B48,Country_Codes[],2,FALSE)</f>
        <v>SSD</v>
      </c>
      <c r="D48" t="str">
        <f t="shared" si="3"/>
        <v>South Sudan</v>
      </c>
      <c r="E48">
        <v>1</v>
      </c>
      <c r="G48" t="s">
        <v>302</v>
      </c>
      <c r="H48" t="str">
        <f>VLOOKUP(G48,Country_Codes[],2,FALSE)</f>
        <v>SOM</v>
      </c>
      <c r="I48" t="str">
        <f t="shared" si="4"/>
        <v>Somalia</v>
      </c>
      <c r="L48" t="s">
        <v>145</v>
      </c>
      <c r="M48" t="str">
        <f>VLOOKUP(L48,Country_Codes[],2,FALSE)</f>
        <v>MLI</v>
      </c>
      <c r="N48">
        <v>1</v>
      </c>
      <c r="O48" t="str">
        <f t="shared" si="5"/>
        <v>Mali</v>
      </c>
      <c r="R48" s="15" t="s">
        <v>416</v>
      </c>
      <c r="S48" s="15" t="str">
        <f>VLOOKUP(R48,Country_Codes[],2,FALSE)</f>
        <v>UZB</v>
      </c>
      <c r="T48" s="15">
        <v>1</v>
      </c>
      <c r="U48" s="15">
        <v>1995</v>
      </c>
    </row>
    <row r="49" spans="1:21" x14ac:dyDescent="0.2">
      <c r="A49" t="s">
        <v>525</v>
      </c>
      <c r="B49" t="s">
        <v>304</v>
      </c>
      <c r="C49" t="str">
        <f>VLOOKUP(B49,Country_Codes[],2,FALSE)</f>
        <v>SYR</v>
      </c>
      <c r="D49" t="str">
        <f t="shared" si="3"/>
        <v>Syrian Arab Republic</v>
      </c>
      <c r="E49">
        <v>1</v>
      </c>
      <c r="G49" t="s">
        <v>168</v>
      </c>
      <c r="H49" t="str">
        <f>VLOOKUP(G49,Country_Codes[],2,FALSE)</f>
        <v>SSD</v>
      </c>
      <c r="I49" t="str">
        <f t="shared" si="4"/>
        <v>South Sudan</v>
      </c>
      <c r="L49" t="s">
        <v>465</v>
      </c>
      <c r="M49" t="str">
        <f>VLOOKUP(L49,Country_Codes[],2,FALSE)</f>
        <v>MHL</v>
      </c>
      <c r="N49">
        <v>1</v>
      </c>
      <c r="O49" t="str">
        <f t="shared" si="5"/>
        <v>Marshall Islands</v>
      </c>
      <c r="R49" s="15" t="s">
        <v>493</v>
      </c>
      <c r="S49" s="15" t="str">
        <f>VLOOKUP(R49,Country_Codes[],2,FALSE)</f>
        <v>VUT</v>
      </c>
      <c r="T49" s="15">
        <v>1</v>
      </c>
      <c r="U49" s="15">
        <v>1981</v>
      </c>
    </row>
    <row r="50" spans="1:21" x14ac:dyDescent="0.2">
      <c r="B50" t="s">
        <v>408</v>
      </c>
      <c r="C50" t="str">
        <f>VLOOKUP(B50,Country_Codes[],2,FALSE)</f>
        <v>TJK</v>
      </c>
      <c r="D50" t="str">
        <f t="shared" si="3"/>
        <v>Tajikistan</v>
      </c>
      <c r="E50">
        <v>1</v>
      </c>
      <c r="G50" t="s">
        <v>304</v>
      </c>
      <c r="H50" t="str">
        <f>VLOOKUP(G50,Country_Codes[],2,FALSE)</f>
        <v>SYR</v>
      </c>
      <c r="I50" t="str">
        <f t="shared" si="4"/>
        <v>Syrian Arab Republic</v>
      </c>
      <c r="L50" t="s">
        <v>149</v>
      </c>
      <c r="M50" t="str">
        <f>VLOOKUP(L50,Country_Codes[],2,FALSE)</f>
        <v>MRT</v>
      </c>
      <c r="N50">
        <v>1</v>
      </c>
      <c r="O50" t="str">
        <f t="shared" si="5"/>
        <v>Mauritania</v>
      </c>
      <c r="R50" s="15" t="s">
        <v>491</v>
      </c>
      <c r="S50" s="15" t="str">
        <f>VLOOKUP(R50,Country_Codes[],2,FALSE)</f>
        <v>VNM</v>
      </c>
      <c r="T50" s="15">
        <v>1</v>
      </c>
      <c r="U50" s="15">
        <v>1966</v>
      </c>
    </row>
    <row r="51" spans="1:21" x14ac:dyDescent="0.2">
      <c r="A51" t="s">
        <v>526</v>
      </c>
      <c r="B51" t="s">
        <v>180</v>
      </c>
      <c r="C51" t="str">
        <f>VLOOKUP(B51,Country_Codes[],2,FALSE)</f>
        <v>TZA</v>
      </c>
      <c r="D51" t="str">
        <f t="shared" si="3"/>
        <v>United Republic of Tanzania</v>
      </c>
      <c r="E51">
        <v>1</v>
      </c>
      <c r="G51" t="s">
        <v>408</v>
      </c>
      <c r="H51" t="str">
        <f>VLOOKUP(G51,Country_Codes[],2,FALSE)</f>
        <v>TJK</v>
      </c>
      <c r="I51" t="str">
        <f t="shared" si="4"/>
        <v>Tajikistan</v>
      </c>
      <c r="L51" t="s">
        <v>453</v>
      </c>
      <c r="M51" t="str">
        <f>VLOOKUP(L51,Country_Codes[],2,FALSE)</f>
        <v>FSM</v>
      </c>
      <c r="N51">
        <v>1</v>
      </c>
      <c r="O51" t="str">
        <f t="shared" si="5"/>
        <v>Micronesia (Federated States of)</v>
      </c>
    </row>
    <row r="52" spans="1:21" x14ac:dyDescent="0.2">
      <c r="B52" t="s">
        <v>178</v>
      </c>
      <c r="C52" t="str">
        <f>VLOOKUP(B52,Country_Codes[],2,FALSE)</f>
        <v>TGO</v>
      </c>
      <c r="D52" t="str">
        <f t="shared" si="3"/>
        <v>Togo</v>
      </c>
      <c r="E52">
        <v>1</v>
      </c>
      <c r="G52" t="s">
        <v>180</v>
      </c>
      <c r="H52" t="str">
        <f>VLOOKUP(G52,Country_Codes[],2,FALSE)</f>
        <v>TZA</v>
      </c>
      <c r="I52" t="str">
        <f t="shared" si="4"/>
        <v>United Republic of Tanzania</v>
      </c>
      <c r="L52" t="s">
        <v>467</v>
      </c>
      <c r="M52" t="str">
        <f>VLOOKUP(L52,Country_Codes[],2,FALSE)</f>
        <v>MNG</v>
      </c>
      <c r="N52">
        <v>1</v>
      </c>
      <c r="O52" t="str">
        <f t="shared" si="5"/>
        <v>Mongolia</v>
      </c>
    </row>
    <row r="53" spans="1:21" x14ac:dyDescent="0.2">
      <c r="B53" t="s">
        <v>182</v>
      </c>
      <c r="C53" t="str">
        <f>VLOOKUP(B53,Country_Codes[],2,FALSE)</f>
        <v>UGA</v>
      </c>
      <c r="D53" t="str">
        <f t="shared" si="3"/>
        <v>Uganda</v>
      </c>
      <c r="E53">
        <v>1</v>
      </c>
      <c r="G53" t="s">
        <v>178</v>
      </c>
      <c r="H53" t="str">
        <f>VLOOKUP(G53,Country_Codes[],2,FALSE)</f>
        <v>TGO</v>
      </c>
      <c r="I53" t="str">
        <f t="shared" si="4"/>
        <v>Togo</v>
      </c>
      <c r="L53" t="s">
        <v>288</v>
      </c>
      <c r="M53" t="str">
        <f>VLOOKUP(L53,Country_Codes[],2,FALSE)</f>
        <v>MAR</v>
      </c>
      <c r="N53">
        <v>1</v>
      </c>
      <c r="O53" t="str">
        <f t="shared" si="5"/>
        <v>Morocco</v>
      </c>
    </row>
    <row r="54" spans="1:21" x14ac:dyDescent="0.2">
      <c r="B54" t="s">
        <v>416</v>
      </c>
      <c r="C54" t="str">
        <f>VLOOKUP(B54,Country_Codes[],2,FALSE)</f>
        <v>UZB</v>
      </c>
      <c r="D54" t="str">
        <f t="shared" si="3"/>
        <v>Uzbekistan</v>
      </c>
      <c r="E54">
        <v>1</v>
      </c>
      <c r="G54" t="s">
        <v>182</v>
      </c>
      <c r="H54" t="str">
        <f>VLOOKUP(G54,Country_Codes[],2,FALSE)</f>
        <v>UGA</v>
      </c>
      <c r="I54" t="str">
        <f t="shared" si="4"/>
        <v>Uganda</v>
      </c>
      <c r="L54" t="s">
        <v>147</v>
      </c>
      <c r="M54" t="str">
        <f>VLOOKUP(L54,Country_Codes[],2,FALSE)</f>
        <v>MOZ</v>
      </c>
      <c r="N54">
        <v>1</v>
      </c>
      <c r="O54" t="str">
        <f t="shared" si="5"/>
        <v>Mozambique</v>
      </c>
    </row>
    <row r="55" spans="1:21" x14ac:dyDescent="0.2">
      <c r="B55" t="s">
        <v>308</v>
      </c>
      <c r="C55" t="str">
        <f>VLOOKUP(B55,Country_Codes[],2,FALSE)</f>
        <v>YEM</v>
      </c>
      <c r="D55" t="str">
        <f t="shared" si="3"/>
        <v>Yemen</v>
      </c>
      <c r="E55">
        <v>1</v>
      </c>
      <c r="G55" t="s">
        <v>416</v>
      </c>
      <c r="H55" t="str">
        <f>VLOOKUP(G55,Country_Codes[],2,FALSE)</f>
        <v>UZB</v>
      </c>
      <c r="I55" t="str">
        <f t="shared" si="4"/>
        <v>Uzbekistan</v>
      </c>
      <c r="L55" t="s">
        <v>432</v>
      </c>
      <c r="M55" t="str">
        <f>VLOOKUP(L55,Country_Codes[],2,FALSE)</f>
        <v>MMR</v>
      </c>
      <c r="N55">
        <v>1</v>
      </c>
      <c r="O55" t="str">
        <f t="shared" si="5"/>
        <v>Myanmar</v>
      </c>
    </row>
    <row r="56" spans="1:21" x14ac:dyDescent="0.2">
      <c r="B56" t="s">
        <v>186</v>
      </c>
      <c r="C56" t="str">
        <f>VLOOKUP(B56,Country_Codes[],2,FALSE)</f>
        <v>ZMB</v>
      </c>
      <c r="D56" t="str">
        <f t="shared" si="3"/>
        <v>Zambia</v>
      </c>
      <c r="E56">
        <v>1</v>
      </c>
      <c r="G56" t="s">
        <v>308</v>
      </c>
      <c r="H56" t="str">
        <f>VLOOKUP(G56,Country_Codes[],2,FALSE)</f>
        <v>YEM</v>
      </c>
      <c r="I56" t="str">
        <f t="shared" si="4"/>
        <v>Yemen</v>
      </c>
      <c r="L56" t="s">
        <v>434</v>
      </c>
      <c r="M56" t="str">
        <f>VLOOKUP(L56,Country_Codes[],2,FALSE)</f>
        <v>NPL</v>
      </c>
      <c r="N56">
        <v>1</v>
      </c>
      <c r="O56" t="str">
        <f t="shared" si="5"/>
        <v>Nepal</v>
      </c>
    </row>
    <row r="57" spans="1:21" x14ac:dyDescent="0.2">
      <c r="B57" t="s">
        <v>188</v>
      </c>
      <c r="C57" t="str">
        <f>VLOOKUP(B57,Country_Codes[],2,FALSE)</f>
        <v>ZWE</v>
      </c>
      <c r="D57" t="str">
        <f t="shared" si="3"/>
        <v>Zimbabwe</v>
      </c>
      <c r="E57">
        <v>1</v>
      </c>
      <c r="G57" t="s">
        <v>186</v>
      </c>
      <c r="H57" t="str">
        <f>VLOOKUP(G57,Country_Codes[],2,FALSE)</f>
        <v>ZMB</v>
      </c>
      <c r="I57" t="str">
        <f t="shared" si="4"/>
        <v>Zambia</v>
      </c>
      <c r="L57" t="s">
        <v>242</v>
      </c>
      <c r="M57" t="str">
        <f>VLOOKUP(L57,Country_Codes[],2,FALSE)</f>
        <v>NIC</v>
      </c>
      <c r="N57">
        <v>1</v>
      </c>
      <c r="O57" t="str">
        <f t="shared" si="5"/>
        <v>Nicaragua</v>
      </c>
    </row>
    <row r="58" spans="1:21" x14ac:dyDescent="0.2">
      <c r="G58" t="s">
        <v>188</v>
      </c>
      <c r="H58" t="str">
        <f>VLOOKUP(G58,Country_Codes[],2,FALSE)</f>
        <v>ZWE</v>
      </c>
      <c r="I58" t="str">
        <f t="shared" si="4"/>
        <v>Zimbabwe</v>
      </c>
      <c r="L58" t="s">
        <v>158</v>
      </c>
      <c r="M58" t="str">
        <f>VLOOKUP(L58,Country_Codes[],2,FALSE)</f>
        <v>NER</v>
      </c>
      <c r="N58">
        <v>1</v>
      </c>
      <c r="O58" t="str">
        <f t="shared" si="5"/>
        <v>Niger</v>
      </c>
    </row>
    <row r="59" spans="1:21" x14ac:dyDescent="0.2">
      <c r="L59" t="s">
        <v>160</v>
      </c>
      <c r="M59" t="str">
        <f>VLOOKUP(L59,Country_Codes[],2,FALSE)</f>
        <v>NGA</v>
      </c>
      <c r="N59">
        <v>1</v>
      </c>
      <c r="O59" t="str">
        <f t="shared" si="5"/>
        <v>Nigeria</v>
      </c>
    </row>
    <row r="60" spans="1:21" x14ac:dyDescent="0.2">
      <c r="L60" t="s">
        <v>292</v>
      </c>
      <c r="M60" t="str">
        <f>VLOOKUP(L60,Country_Codes[],2,FALSE)</f>
        <v>PAK</v>
      </c>
      <c r="N60">
        <v>1</v>
      </c>
      <c r="O60" t="str">
        <f t="shared" si="5"/>
        <v>Pakistan</v>
      </c>
    </row>
    <row r="61" spans="1:21" x14ac:dyDescent="0.2">
      <c r="L61" t="s">
        <v>481</v>
      </c>
      <c r="M61" t="str">
        <f>VLOOKUP(L61,Country_Codes[],2,FALSE)</f>
        <v>PNG</v>
      </c>
      <c r="N61">
        <v>1</v>
      </c>
      <c r="O61" t="str">
        <f t="shared" si="5"/>
        <v>Papua New Guinea</v>
      </c>
    </row>
    <row r="62" spans="1:21" x14ac:dyDescent="0.2">
      <c r="L62" t="s">
        <v>477</v>
      </c>
      <c r="M62" t="str">
        <f>VLOOKUP(L62,Country_Codes[],2,FALSE)</f>
        <v>PHL</v>
      </c>
      <c r="N62">
        <v>1</v>
      </c>
      <c r="O62" t="str">
        <f t="shared" si="5"/>
        <v>Philippines</v>
      </c>
    </row>
    <row r="63" spans="1:21" x14ac:dyDescent="0.2">
      <c r="L63" t="s">
        <v>378</v>
      </c>
      <c r="M63" t="str">
        <f>VLOOKUP(L63,Country_Codes[],2,FALSE)</f>
        <v>MDA</v>
      </c>
      <c r="N63">
        <v>1</v>
      </c>
      <c r="O63" t="str">
        <f t="shared" si="5"/>
        <v>Republic of Moldova</v>
      </c>
    </row>
    <row r="64" spans="1:21" x14ac:dyDescent="0.2">
      <c r="L64" t="s">
        <v>162</v>
      </c>
      <c r="M64" t="str">
        <f>VLOOKUP(L64,Country_Codes[],2,FALSE)</f>
        <v>RWA</v>
      </c>
      <c r="N64">
        <v>1</v>
      </c>
      <c r="O64" t="str">
        <f t="shared" si="5"/>
        <v>Rwanda</v>
      </c>
    </row>
    <row r="65" spans="12:15" x14ac:dyDescent="0.2">
      <c r="L65" t="s">
        <v>238</v>
      </c>
      <c r="M65" t="str">
        <f>VLOOKUP(L65,Country_Codes[],2,FALSE)</f>
        <v>LCA</v>
      </c>
      <c r="N65">
        <v>1</v>
      </c>
      <c r="O65" t="str">
        <f t="shared" si="5"/>
        <v>Saint Lucia</v>
      </c>
    </row>
    <row r="66" spans="12:15" x14ac:dyDescent="0.2">
      <c r="L66" t="s">
        <v>260</v>
      </c>
      <c r="M66" t="str">
        <f>VLOOKUP(L66,Country_Codes[],2,FALSE)</f>
        <v>VCT</v>
      </c>
      <c r="N66">
        <v>1</v>
      </c>
      <c r="O66" t="str">
        <f t="shared" ref="O66:O93" si="6">VLOOKUP(M66,WB_WHO_Country_Database,2,FALSE)</f>
        <v>Saint Vincent and the Grenadines</v>
      </c>
    </row>
    <row r="67" spans="12:15" x14ac:dyDescent="0.2">
      <c r="L67" t="s">
        <v>495</v>
      </c>
      <c r="M67" t="str">
        <f>VLOOKUP(L67,Country_Codes[],2,FALSE)</f>
        <v>WSM</v>
      </c>
      <c r="N67">
        <v>1</v>
      </c>
      <c r="O67" t="str">
        <f t="shared" si="6"/>
        <v>Samoa</v>
      </c>
    </row>
    <row r="68" spans="12:15" x14ac:dyDescent="0.2">
      <c r="L68" t="s">
        <v>170</v>
      </c>
      <c r="M68" t="str">
        <f>VLOOKUP(L68,Country_Codes[],2,FALSE)</f>
        <v>STP</v>
      </c>
      <c r="N68">
        <v>1</v>
      </c>
      <c r="O68" t="str">
        <f t="shared" si="6"/>
        <v>Sao Tome and Principe</v>
      </c>
    </row>
    <row r="69" spans="12:15" x14ac:dyDescent="0.2">
      <c r="L69" t="s">
        <v>164</v>
      </c>
      <c r="M69" t="str">
        <f>VLOOKUP(L69,Country_Codes[],2,FALSE)</f>
        <v>SEN</v>
      </c>
      <c r="N69">
        <v>1</v>
      </c>
      <c r="O69" t="str">
        <f t="shared" si="6"/>
        <v>Senegal</v>
      </c>
    </row>
    <row r="70" spans="12:15" x14ac:dyDescent="0.2">
      <c r="L70" t="s">
        <v>166</v>
      </c>
      <c r="M70" t="str">
        <f>VLOOKUP(L70,Country_Codes[],2,FALSE)</f>
        <v>SLE</v>
      </c>
      <c r="N70">
        <v>1</v>
      </c>
      <c r="O70" t="str">
        <f t="shared" si="6"/>
        <v>Sierra Leone</v>
      </c>
    </row>
    <row r="71" spans="12:15" x14ac:dyDescent="0.2">
      <c r="L71" t="s">
        <v>485</v>
      </c>
      <c r="M71" t="str">
        <f>VLOOKUP(L71,Country_Codes[],2,FALSE)</f>
        <v>SLB</v>
      </c>
      <c r="N71">
        <v>1</v>
      </c>
      <c r="O71" t="str">
        <f t="shared" si="6"/>
        <v>Solomon Islands</v>
      </c>
    </row>
    <row r="72" spans="12:15" x14ac:dyDescent="0.2">
      <c r="L72" t="s">
        <v>302</v>
      </c>
      <c r="M72" t="str">
        <f>VLOOKUP(L72,Country_Codes[],2,FALSE)</f>
        <v>SOM</v>
      </c>
      <c r="N72">
        <v>1</v>
      </c>
      <c r="O72" t="str">
        <f t="shared" si="6"/>
        <v>Somalia</v>
      </c>
    </row>
    <row r="73" spans="12:15" x14ac:dyDescent="0.2">
      <c r="L73" t="s">
        <v>168</v>
      </c>
      <c r="M73" t="str">
        <f>VLOOKUP(L73,Country_Codes[],2,FALSE)</f>
        <v>SSD</v>
      </c>
      <c r="N73">
        <v>1</v>
      </c>
      <c r="O73" t="str">
        <f t="shared" si="6"/>
        <v>South Sudan</v>
      </c>
    </row>
    <row r="74" spans="12:15" x14ac:dyDescent="0.2">
      <c r="L74" t="s">
        <v>428</v>
      </c>
      <c r="M74" t="str">
        <f>VLOOKUP(L74,Country_Codes[],2,FALSE)</f>
        <v>LKA</v>
      </c>
      <c r="N74">
        <v>1</v>
      </c>
      <c r="O74" t="str">
        <f t="shared" si="6"/>
        <v>Sri Lanka</v>
      </c>
    </row>
    <row r="75" spans="12:15" x14ac:dyDescent="0.2">
      <c r="L75" t="s">
        <v>300</v>
      </c>
      <c r="M75" t="str">
        <f>VLOOKUP(L75,Country_Codes[],2,FALSE)</f>
        <v>SDN</v>
      </c>
      <c r="N75">
        <v>1</v>
      </c>
      <c r="O75" t="str">
        <f t="shared" si="6"/>
        <v>Sudan</v>
      </c>
    </row>
    <row r="76" spans="12:15" x14ac:dyDescent="0.2">
      <c r="L76" t="s">
        <v>304</v>
      </c>
      <c r="M76" t="str">
        <f>VLOOKUP(L76,Country_Codes[],2,FALSE)</f>
        <v>SYR</v>
      </c>
      <c r="N76">
        <v>1</v>
      </c>
      <c r="O76" t="str">
        <f t="shared" si="6"/>
        <v>Syrian Arab Republic</v>
      </c>
    </row>
    <row r="77" spans="12:15" x14ac:dyDescent="0.2">
      <c r="L77" t="s">
        <v>408</v>
      </c>
      <c r="M77" t="str">
        <f>VLOOKUP(L77,Country_Codes[],2,FALSE)</f>
        <v>TJK</v>
      </c>
      <c r="N77">
        <v>1</v>
      </c>
      <c r="O77" t="str">
        <f t="shared" si="6"/>
        <v>Tajikistan</v>
      </c>
    </row>
    <row r="78" spans="12:15" x14ac:dyDescent="0.2">
      <c r="L78" t="s">
        <v>440</v>
      </c>
      <c r="M78" t="str">
        <f>VLOOKUP(L78,Country_Codes[],2,FALSE)</f>
        <v>TLS</v>
      </c>
      <c r="N78">
        <v>1</v>
      </c>
      <c r="O78" t="str">
        <f t="shared" si="6"/>
        <v>Timor-Leste</v>
      </c>
    </row>
    <row r="79" spans="12:15" x14ac:dyDescent="0.2">
      <c r="L79" t="s">
        <v>178</v>
      </c>
      <c r="M79" t="str">
        <f>VLOOKUP(L79,Country_Codes[],2,FALSE)</f>
        <v>TGO</v>
      </c>
      <c r="N79">
        <v>1</v>
      </c>
      <c r="O79" t="str">
        <f t="shared" si="6"/>
        <v>Togo</v>
      </c>
    </row>
    <row r="80" spans="12:15" x14ac:dyDescent="0.2">
      <c r="L80" t="s">
        <v>487</v>
      </c>
      <c r="M80" t="str">
        <f>VLOOKUP(L80,Country_Codes[],2,FALSE)</f>
        <v>TON</v>
      </c>
      <c r="N80">
        <v>1</v>
      </c>
      <c r="O80" t="str">
        <f t="shared" si="6"/>
        <v>Tonga</v>
      </c>
    </row>
    <row r="81" spans="12:15" x14ac:dyDescent="0.2">
      <c r="L81" t="s">
        <v>306</v>
      </c>
      <c r="M81" t="str">
        <f>VLOOKUP(L81,Country_Codes[],2,FALSE)</f>
        <v>TUN</v>
      </c>
      <c r="N81">
        <v>1</v>
      </c>
      <c r="O81" t="str">
        <f t="shared" si="6"/>
        <v>Tunisia</v>
      </c>
    </row>
    <row r="82" spans="12:15" x14ac:dyDescent="0.2">
      <c r="L82" t="s">
        <v>489</v>
      </c>
      <c r="M82" t="str">
        <f>VLOOKUP(L82,Country_Codes[],2,FALSE)</f>
        <v>TUV</v>
      </c>
      <c r="N82">
        <v>1</v>
      </c>
      <c r="O82" t="str">
        <f t="shared" si="6"/>
        <v>Tuvalu</v>
      </c>
    </row>
    <row r="83" spans="12:15" x14ac:dyDescent="0.2">
      <c r="L83" t="s">
        <v>182</v>
      </c>
      <c r="M83" t="str">
        <f>VLOOKUP(L83,Country_Codes[],2,FALSE)</f>
        <v>UGA</v>
      </c>
      <c r="N83">
        <v>1</v>
      </c>
      <c r="O83" t="str">
        <f t="shared" si="6"/>
        <v>Uganda</v>
      </c>
    </row>
    <row r="84" spans="12:15" x14ac:dyDescent="0.2">
      <c r="L84" t="s">
        <v>414</v>
      </c>
      <c r="M84" t="str">
        <f>VLOOKUP(L84,Country_Codes[],2,FALSE)</f>
        <v>UKR</v>
      </c>
      <c r="N84">
        <v>1</v>
      </c>
      <c r="O84" t="str">
        <f t="shared" si="6"/>
        <v>Ukraine</v>
      </c>
    </row>
    <row r="85" spans="12:15" x14ac:dyDescent="0.2">
      <c r="L85" t="s">
        <v>180</v>
      </c>
      <c r="M85" t="str">
        <f>VLOOKUP(L85,Country_Codes[],2,FALSE)</f>
        <v>TZA</v>
      </c>
      <c r="N85">
        <v>1</v>
      </c>
      <c r="O85" t="str">
        <f t="shared" si="6"/>
        <v>United Republic of Tanzania</v>
      </c>
    </row>
    <row r="86" spans="12:15" x14ac:dyDescent="0.2">
      <c r="L86" t="s">
        <v>416</v>
      </c>
      <c r="M86" t="str">
        <f>VLOOKUP(L86,Country_Codes[],2,FALSE)</f>
        <v>UZB</v>
      </c>
      <c r="N86">
        <v>1</v>
      </c>
      <c r="O86" t="str">
        <f t="shared" si="6"/>
        <v>Uzbekistan</v>
      </c>
    </row>
    <row r="87" spans="12:15" x14ac:dyDescent="0.2">
      <c r="L87" t="s">
        <v>493</v>
      </c>
      <c r="M87" t="str">
        <f>VLOOKUP(L87,Country_Codes[],2,FALSE)</f>
        <v>VUT</v>
      </c>
      <c r="N87">
        <v>1</v>
      </c>
      <c r="O87" t="str">
        <f t="shared" si="6"/>
        <v>Vanuatu</v>
      </c>
    </row>
    <row r="88" spans="12:15" x14ac:dyDescent="0.2">
      <c r="L88" t="s">
        <v>491</v>
      </c>
      <c r="M88" t="str">
        <f>VLOOKUP(L88,Country_Codes[],2,FALSE)</f>
        <v>VNM</v>
      </c>
      <c r="N88">
        <v>1</v>
      </c>
      <c r="O88" t="str">
        <f t="shared" si="6"/>
        <v>Viet Nam</v>
      </c>
    </row>
    <row r="89" spans="12:15" x14ac:dyDescent="0.2">
      <c r="L89" t="s">
        <v>308</v>
      </c>
      <c r="M89" t="str">
        <f>VLOOKUP(L89,Country_Codes[],2,FALSE)</f>
        <v>YEM</v>
      </c>
      <c r="N89">
        <v>1</v>
      </c>
      <c r="O89" t="str">
        <f t="shared" si="6"/>
        <v>Yemen</v>
      </c>
    </row>
    <row r="90" spans="12:15" x14ac:dyDescent="0.2">
      <c r="L90" t="s">
        <v>186</v>
      </c>
      <c r="M90" t="str">
        <f>VLOOKUP(L90,Country_Codes[],2,FALSE)</f>
        <v>ZMB</v>
      </c>
      <c r="N90">
        <v>1</v>
      </c>
      <c r="O90" t="str">
        <f t="shared" si="6"/>
        <v>Zambia</v>
      </c>
    </row>
    <row r="91" spans="12:15" x14ac:dyDescent="0.2">
      <c r="L91" t="s">
        <v>188</v>
      </c>
      <c r="M91" t="str">
        <f>VLOOKUP(L91,Country_Codes[],2,FALSE)</f>
        <v>ZWE</v>
      </c>
      <c r="N91">
        <v>1</v>
      </c>
      <c r="O91" t="str">
        <f t="shared" si="6"/>
        <v>Zimbabwe</v>
      </c>
    </row>
    <row r="92" spans="12:15" x14ac:dyDescent="0.2">
      <c r="L92" s="38" t="s">
        <v>533</v>
      </c>
      <c r="M92" s="38" t="s">
        <v>531</v>
      </c>
      <c r="N92" s="38">
        <v>1</v>
      </c>
      <c r="O92" s="38" t="e">
        <f t="shared" si="6"/>
        <v>#N/A</v>
      </c>
    </row>
    <row r="93" spans="12:15" x14ac:dyDescent="0.2">
      <c r="L93" s="38" t="s">
        <v>534</v>
      </c>
      <c r="M93" s="38" t="s">
        <v>530</v>
      </c>
      <c r="N93" s="38">
        <v>1</v>
      </c>
      <c r="O93" s="38" t="e">
        <f t="shared" si="6"/>
        <v>#N/A</v>
      </c>
    </row>
  </sheetData>
  <sortState xmlns:xlrd2="http://schemas.microsoft.com/office/spreadsheetml/2017/richdata2" ref="L2:O97">
    <sortCondition ref="L2:L97"/>
  </sortState>
  <pageMargins left="0.7" right="0.7" top="0.75" bottom="0.75" header="0.3" footer="0.3"/>
  <pageSetup paperSize="9" orientation="portrait" horizontalDpi="0" verticalDpi="0" r:id="rId1"/>
  <tableParts count="3">
    <tablePart r:id="rId2"/>
    <tablePart r:id="rId3"/>
    <tablePart r:id="rId4"/>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D8639-2401-4389-94EF-411B8BC781AA}">
  <sheetPr codeName="Sheet19">
    <tabColor rgb="FF7030A0"/>
  </sheetPr>
  <dimension ref="A1:I1006"/>
  <sheetViews>
    <sheetView workbookViewId="0"/>
  </sheetViews>
  <sheetFormatPr defaultRowHeight="12.75" x14ac:dyDescent="0.2"/>
  <cols>
    <col min="3" max="3" width="14.28515625" customWidth="1"/>
    <col min="4" max="4" width="14.28515625" style="241" customWidth="1"/>
    <col min="5" max="8" width="20.7109375" customWidth="1"/>
    <col min="9" max="9" width="18.42578125" customWidth="1"/>
  </cols>
  <sheetData>
    <row r="1" spans="1:9" x14ac:dyDescent="0.2">
      <c r="A1" t="s">
        <v>496</v>
      </c>
      <c r="B1" t="s">
        <v>497</v>
      </c>
      <c r="C1" t="s">
        <v>536</v>
      </c>
      <c r="D1" s="241" t="s">
        <v>3079</v>
      </c>
      <c r="E1" t="s">
        <v>498</v>
      </c>
      <c r="F1" t="s">
        <v>499</v>
      </c>
      <c r="G1" t="s">
        <v>500</v>
      </c>
      <c r="H1" t="s">
        <v>501</v>
      </c>
      <c r="I1" t="s">
        <v>502</v>
      </c>
    </row>
    <row r="2" spans="1:9" x14ac:dyDescent="0.2">
      <c r="A2" t="s">
        <v>503</v>
      </c>
      <c r="B2">
        <v>2020</v>
      </c>
      <c r="C2" t="s">
        <v>537</v>
      </c>
      <c r="D2" s="241">
        <v>40504</v>
      </c>
      <c r="E2">
        <v>32362</v>
      </c>
      <c r="F2">
        <v>23299</v>
      </c>
      <c r="G2">
        <v>15593.0009765625</v>
      </c>
      <c r="H2">
        <v>9545.0009765625</v>
      </c>
      <c r="I2">
        <v>106765.984375</v>
      </c>
    </row>
    <row r="3" spans="1:9" x14ac:dyDescent="0.2">
      <c r="A3" t="s">
        <v>503</v>
      </c>
      <c r="B3">
        <v>2021</v>
      </c>
      <c r="C3" t="s">
        <v>538</v>
      </c>
      <c r="D3" s="241">
        <v>41064.0078125</v>
      </c>
      <c r="E3">
        <v>33131.00390625</v>
      </c>
      <c r="F3">
        <v>24172.998046875</v>
      </c>
      <c r="G3">
        <v>16227.9990234375</v>
      </c>
      <c r="H3">
        <v>9971.9990234375</v>
      </c>
      <c r="I3">
        <v>107194.9921875</v>
      </c>
    </row>
    <row r="4" spans="1:9" x14ac:dyDescent="0.2">
      <c r="A4" t="s">
        <v>503</v>
      </c>
      <c r="B4">
        <v>2022</v>
      </c>
      <c r="C4" t="s">
        <v>539</v>
      </c>
      <c r="D4" s="241">
        <v>41643.00390625</v>
      </c>
      <c r="E4">
        <v>33858.00390625</v>
      </c>
      <c r="F4">
        <v>25118</v>
      </c>
      <c r="G4">
        <v>16897</v>
      </c>
      <c r="H4">
        <v>10429</v>
      </c>
      <c r="I4">
        <v>107611.9921875</v>
      </c>
    </row>
    <row r="5" spans="1:9" x14ac:dyDescent="0.2">
      <c r="A5" t="s">
        <v>503</v>
      </c>
      <c r="B5">
        <v>2023</v>
      </c>
      <c r="C5" t="s">
        <v>540</v>
      </c>
      <c r="D5" s="241">
        <v>42209</v>
      </c>
      <c r="E5">
        <v>34532</v>
      </c>
      <c r="F5">
        <v>26077</v>
      </c>
      <c r="G5">
        <v>17596.998046875</v>
      </c>
      <c r="H5">
        <v>10907.0009765625</v>
      </c>
      <c r="I5">
        <v>108011.9921875</v>
      </c>
    </row>
    <row r="6" spans="1:9" x14ac:dyDescent="0.2">
      <c r="A6" t="s">
        <v>503</v>
      </c>
      <c r="B6">
        <v>2024</v>
      </c>
      <c r="C6" t="s">
        <v>541</v>
      </c>
      <c r="D6" s="241">
        <v>42726.99609375</v>
      </c>
      <c r="E6">
        <v>35157.99609375</v>
      </c>
      <c r="F6">
        <v>26984</v>
      </c>
      <c r="G6">
        <v>18332</v>
      </c>
      <c r="H6">
        <v>11400.0009765625</v>
      </c>
      <c r="I6">
        <v>108383.9921875</v>
      </c>
    </row>
    <row r="7" spans="1:9" x14ac:dyDescent="0.2">
      <c r="A7" t="s">
        <v>263</v>
      </c>
      <c r="B7">
        <v>2020</v>
      </c>
      <c r="C7" t="s">
        <v>542</v>
      </c>
      <c r="D7" s="241">
        <v>3484073.5</v>
      </c>
      <c r="E7">
        <v>2451714.75</v>
      </c>
      <c r="F7">
        <v>1643876</v>
      </c>
      <c r="G7">
        <v>1031237.9375</v>
      </c>
      <c r="H7">
        <v>586380.0625</v>
      </c>
      <c r="I7">
        <v>38928340</v>
      </c>
    </row>
    <row r="8" spans="1:9" x14ac:dyDescent="0.2">
      <c r="A8" t="s">
        <v>263</v>
      </c>
      <c r="B8">
        <v>2021</v>
      </c>
      <c r="C8" t="s">
        <v>543</v>
      </c>
      <c r="D8" s="241">
        <v>3610146.25</v>
      </c>
      <c r="E8">
        <v>2540935</v>
      </c>
      <c r="F8">
        <v>1704984</v>
      </c>
      <c r="G8">
        <v>1071384</v>
      </c>
      <c r="H8">
        <v>613719</v>
      </c>
      <c r="I8">
        <v>39835420</v>
      </c>
    </row>
    <row r="9" spans="1:9" x14ac:dyDescent="0.2">
      <c r="A9" t="s">
        <v>263</v>
      </c>
      <c r="B9">
        <v>2022</v>
      </c>
      <c r="C9" t="s">
        <v>544</v>
      </c>
      <c r="D9" s="241">
        <v>3744861.75</v>
      </c>
      <c r="E9">
        <v>2635964.75</v>
      </c>
      <c r="F9">
        <v>1769553.125</v>
      </c>
      <c r="G9">
        <v>1112684.125</v>
      </c>
      <c r="H9">
        <v>639348</v>
      </c>
      <c r="I9">
        <v>40754388</v>
      </c>
    </row>
    <row r="10" spans="1:9" x14ac:dyDescent="0.2">
      <c r="A10" t="s">
        <v>263</v>
      </c>
      <c r="B10">
        <v>2023</v>
      </c>
      <c r="C10" t="s">
        <v>545</v>
      </c>
      <c r="D10" s="241">
        <v>3888546</v>
      </c>
      <c r="E10">
        <v>2736705.75</v>
      </c>
      <c r="F10">
        <v>1837618.875</v>
      </c>
      <c r="G10">
        <v>1155307.875</v>
      </c>
      <c r="H10">
        <v>663854</v>
      </c>
      <c r="I10">
        <v>41681236</v>
      </c>
    </row>
    <row r="11" spans="1:9" x14ac:dyDescent="0.2">
      <c r="A11" t="s">
        <v>263</v>
      </c>
      <c r="B11">
        <v>2024</v>
      </c>
      <c r="C11" t="s">
        <v>546</v>
      </c>
      <c r="D11" s="241">
        <v>4041227.5</v>
      </c>
      <c r="E11">
        <v>2842605.5</v>
      </c>
      <c r="F11">
        <v>1908811</v>
      </c>
      <c r="G11">
        <v>1199246.875</v>
      </c>
      <c r="H11">
        <v>687856.0625</v>
      </c>
      <c r="I11">
        <v>42608712</v>
      </c>
    </row>
    <row r="12" spans="1:9" x14ac:dyDescent="0.2">
      <c r="A12" t="s">
        <v>85</v>
      </c>
      <c r="B12">
        <v>2020</v>
      </c>
      <c r="C12" t="s">
        <v>547</v>
      </c>
      <c r="D12" s="241">
        <v>2666820</v>
      </c>
      <c r="E12">
        <v>1879608.125</v>
      </c>
      <c r="F12">
        <v>1202218</v>
      </c>
      <c r="G12">
        <v>720250</v>
      </c>
      <c r="H12">
        <v>416321</v>
      </c>
      <c r="I12">
        <v>32866274</v>
      </c>
    </row>
    <row r="13" spans="1:9" x14ac:dyDescent="0.2">
      <c r="A13" t="s">
        <v>85</v>
      </c>
      <c r="B13">
        <v>2021</v>
      </c>
      <c r="C13" t="s">
        <v>548</v>
      </c>
      <c r="D13" s="241">
        <v>2768474</v>
      </c>
      <c r="E13">
        <v>1945936.125</v>
      </c>
      <c r="F13">
        <v>1257459.25</v>
      </c>
      <c r="G13">
        <v>748670</v>
      </c>
      <c r="H13">
        <v>429497</v>
      </c>
      <c r="I13">
        <v>33933612</v>
      </c>
    </row>
    <row r="14" spans="1:9" x14ac:dyDescent="0.2">
      <c r="A14" t="s">
        <v>85</v>
      </c>
      <c r="B14">
        <v>2022</v>
      </c>
      <c r="C14" t="s">
        <v>549</v>
      </c>
      <c r="D14" s="241">
        <v>2879659</v>
      </c>
      <c r="E14">
        <v>2009023.125</v>
      </c>
      <c r="F14">
        <v>1316231.125</v>
      </c>
      <c r="G14">
        <v>778667.9375</v>
      </c>
      <c r="H14">
        <v>440203.03125</v>
      </c>
      <c r="I14">
        <v>35027344</v>
      </c>
    </row>
    <row r="15" spans="1:9" x14ac:dyDescent="0.2">
      <c r="A15" t="s">
        <v>85</v>
      </c>
      <c r="B15">
        <v>2023</v>
      </c>
      <c r="C15" t="s">
        <v>550</v>
      </c>
      <c r="D15" s="241">
        <v>2999207.25</v>
      </c>
      <c r="E15">
        <v>2073051.25</v>
      </c>
      <c r="F15">
        <v>1376638.125</v>
      </c>
      <c r="G15">
        <v>810721</v>
      </c>
      <c r="H15">
        <v>449936.03125</v>
      </c>
      <c r="I15">
        <v>36148640</v>
      </c>
    </row>
    <row r="16" spans="1:9" x14ac:dyDescent="0.2">
      <c r="A16" t="s">
        <v>85</v>
      </c>
      <c r="B16">
        <v>2024</v>
      </c>
      <c r="C16" t="s">
        <v>551</v>
      </c>
      <c r="D16" s="241">
        <v>3124718.25</v>
      </c>
      <c r="E16">
        <v>2143962.5</v>
      </c>
      <c r="F16">
        <v>1435728.125</v>
      </c>
      <c r="G16">
        <v>845445</v>
      </c>
      <c r="H16">
        <v>460582</v>
      </c>
      <c r="I16">
        <v>37298620</v>
      </c>
    </row>
    <row r="17" spans="1:9" x14ac:dyDescent="0.2">
      <c r="A17" t="s">
        <v>309</v>
      </c>
      <c r="B17">
        <v>2020</v>
      </c>
      <c r="C17" t="s">
        <v>552</v>
      </c>
      <c r="D17" s="241">
        <v>995719.0625</v>
      </c>
      <c r="E17">
        <v>811534.0625</v>
      </c>
      <c r="F17">
        <v>609628.0625</v>
      </c>
      <c r="G17">
        <v>423169.03125</v>
      </c>
      <c r="H17">
        <v>279386.03125</v>
      </c>
      <c r="I17">
        <v>2877799.75</v>
      </c>
    </row>
    <row r="18" spans="1:9" x14ac:dyDescent="0.2">
      <c r="A18" t="s">
        <v>309</v>
      </c>
      <c r="B18">
        <v>2021</v>
      </c>
      <c r="C18" t="s">
        <v>553</v>
      </c>
      <c r="D18" s="241">
        <v>1007891.0625</v>
      </c>
      <c r="E18">
        <v>827784.0625</v>
      </c>
      <c r="F18">
        <v>628576.0625</v>
      </c>
      <c r="G18">
        <v>437843</v>
      </c>
      <c r="H18">
        <v>287475.96875</v>
      </c>
      <c r="I18">
        <v>2872933.5</v>
      </c>
    </row>
    <row r="19" spans="1:9" x14ac:dyDescent="0.2">
      <c r="A19" t="s">
        <v>309</v>
      </c>
      <c r="B19">
        <v>2022</v>
      </c>
      <c r="C19" t="s">
        <v>554</v>
      </c>
      <c r="D19" s="241">
        <v>1018431.0625</v>
      </c>
      <c r="E19">
        <v>841697.0625</v>
      </c>
      <c r="F19">
        <v>646943.0625</v>
      </c>
      <c r="G19">
        <v>453149.96875</v>
      </c>
      <c r="H19">
        <v>295671.96875</v>
      </c>
      <c r="I19">
        <v>2866377.75</v>
      </c>
    </row>
    <row r="20" spans="1:9" x14ac:dyDescent="0.2">
      <c r="A20" t="s">
        <v>309</v>
      </c>
      <c r="B20">
        <v>2023</v>
      </c>
      <c r="C20" t="s">
        <v>555</v>
      </c>
      <c r="D20" s="241">
        <v>1027431</v>
      </c>
      <c r="E20">
        <v>853756</v>
      </c>
      <c r="F20">
        <v>664500</v>
      </c>
      <c r="G20">
        <v>468969</v>
      </c>
      <c r="H20">
        <v>304327.03125</v>
      </c>
      <c r="I20">
        <v>2858418</v>
      </c>
    </row>
    <row r="21" spans="1:9" x14ac:dyDescent="0.2">
      <c r="A21" t="s">
        <v>309</v>
      </c>
      <c r="B21">
        <v>2024</v>
      </c>
      <c r="C21" t="s">
        <v>556</v>
      </c>
      <c r="D21" s="241">
        <v>1035272.125</v>
      </c>
      <c r="E21">
        <v>865027.0625</v>
      </c>
      <c r="F21">
        <v>681195</v>
      </c>
      <c r="G21">
        <v>485279.96875</v>
      </c>
      <c r="H21">
        <v>314026.9375</v>
      </c>
      <c r="I21">
        <v>2849657.25</v>
      </c>
    </row>
    <row r="22" spans="1:9" x14ac:dyDescent="0.2">
      <c r="A22" t="s">
        <v>267</v>
      </c>
      <c r="B22">
        <v>2020</v>
      </c>
      <c r="C22" t="s">
        <v>557</v>
      </c>
      <c r="D22" s="241">
        <v>1108930.125</v>
      </c>
      <c r="E22">
        <v>652329.0625</v>
      </c>
      <c r="F22">
        <v>311017</v>
      </c>
      <c r="G22">
        <v>125051</v>
      </c>
      <c r="H22">
        <v>68310.0078125</v>
      </c>
      <c r="I22">
        <v>9890400</v>
      </c>
    </row>
    <row r="23" spans="1:9" x14ac:dyDescent="0.2">
      <c r="A23" t="s">
        <v>267</v>
      </c>
      <c r="B23">
        <v>2021</v>
      </c>
      <c r="C23" t="s">
        <v>558</v>
      </c>
      <c r="D23" s="241">
        <v>1210622</v>
      </c>
      <c r="E23">
        <v>722814.9375</v>
      </c>
      <c r="F23">
        <v>359909</v>
      </c>
      <c r="G23">
        <v>144720</v>
      </c>
      <c r="H23">
        <v>71910</v>
      </c>
      <c r="I23">
        <v>9991083</v>
      </c>
    </row>
    <row r="24" spans="1:9" x14ac:dyDescent="0.2">
      <c r="A24" t="s">
        <v>267</v>
      </c>
      <c r="B24">
        <v>2022</v>
      </c>
      <c r="C24" t="s">
        <v>559</v>
      </c>
      <c r="D24" s="241">
        <v>1314049.875</v>
      </c>
      <c r="E24">
        <v>794194</v>
      </c>
      <c r="F24">
        <v>414551.03125</v>
      </c>
      <c r="G24">
        <v>169054.984375</v>
      </c>
      <c r="H24">
        <v>75107</v>
      </c>
      <c r="I24">
        <v>10081783</v>
      </c>
    </row>
    <row r="25" spans="1:9" x14ac:dyDescent="0.2">
      <c r="A25" t="s">
        <v>267</v>
      </c>
      <c r="B25">
        <v>2023</v>
      </c>
      <c r="C25" t="s">
        <v>560</v>
      </c>
      <c r="D25" s="241">
        <v>1414822</v>
      </c>
      <c r="E25">
        <v>867974.0625</v>
      </c>
      <c r="F25">
        <v>473681.96875</v>
      </c>
      <c r="G25">
        <v>198167</v>
      </c>
      <c r="H25">
        <v>79538</v>
      </c>
      <c r="I25">
        <v>10165149</v>
      </c>
    </row>
    <row r="26" spans="1:9" x14ac:dyDescent="0.2">
      <c r="A26" t="s">
        <v>267</v>
      </c>
      <c r="B26">
        <v>2024</v>
      </c>
      <c r="C26" t="s">
        <v>561</v>
      </c>
      <c r="D26" s="241">
        <v>1507662.125</v>
      </c>
      <c r="E26">
        <v>945953</v>
      </c>
      <c r="F26">
        <v>535632.9375</v>
      </c>
      <c r="G26">
        <v>232349</v>
      </c>
      <c r="H26">
        <v>87392</v>
      </c>
      <c r="I26">
        <v>10245002</v>
      </c>
    </row>
    <row r="27" spans="1:9" x14ac:dyDescent="0.2">
      <c r="A27" t="s">
        <v>189</v>
      </c>
      <c r="B27">
        <v>2020</v>
      </c>
      <c r="C27" t="s">
        <v>562</v>
      </c>
      <c r="D27" s="241">
        <v>11445856</v>
      </c>
      <c r="E27">
        <v>9144127</v>
      </c>
      <c r="F27">
        <v>7020919</v>
      </c>
      <c r="G27">
        <v>5137185.5</v>
      </c>
      <c r="H27">
        <v>3492176</v>
      </c>
      <c r="I27">
        <v>45195776</v>
      </c>
    </row>
    <row r="28" spans="1:9" x14ac:dyDescent="0.2">
      <c r="A28" t="s">
        <v>189</v>
      </c>
      <c r="B28">
        <v>2021</v>
      </c>
      <c r="C28" t="s">
        <v>563</v>
      </c>
      <c r="D28" s="241">
        <v>11635924</v>
      </c>
      <c r="E28">
        <v>9294852</v>
      </c>
      <c r="F28">
        <v>7153448.5</v>
      </c>
      <c r="G28">
        <v>5246493.5</v>
      </c>
      <c r="H28">
        <v>3583067</v>
      </c>
      <c r="I28">
        <v>45605816</v>
      </c>
    </row>
    <row r="29" spans="1:9" x14ac:dyDescent="0.2">
      <c r="A29" t="s">
        <v>189</v>
      </c>
      <c r="B29">
        <v>2022</v>
      </c>
      <c r="C29" t="s">
        <v>564</v>
      </c>
      <c r="D29" s="241">
        <v>11832279</v>
      </c>
      <c r="E29">
        <v>9443933</v>
      </c>
      <c r="F29">
        <v>7287202</v>
      </c>
      <c r="G29">
        <v>5352268.5</v>
      </c>
      <c r="H29">
        <v>3671114</v>
      </c>
      <c r="I29">
        <v>46010236</v>
      </c>
    </row>
    <row r="30" spans="1:9" x14ac:dyDescent="0.2">
      <c r="A30" t="s">
        <v>189</v>
      </c>
      <c r="B30">
        <v>2023</v>
      </c>
      <c r="C30" t="s">
        <v>565</v>
      </c>
      <c r="D30" s="241">
        <v>12039569</v>
      </c>
      <c r="E30">
        <v>9595005</v>
      </c>
      <c r="F30">
        <v>7421929.5</v>
      </c>
      <c r="G30">
        <v>5456631</v>
      </c>
      <c r="H30">
        <v>3756990.75</v>
      </c>
      <c r="I30">
        <v>46409180</v>
      </c>
    </row>
    <row r="31" spans="1:9" x14ac:dyDescent="0.2">
      <c r="A31" t="s">
        <v>189</v>
      </c>
      <c r="B31">
        <v>2024</v>
      </c>
      <c r="C31" t="s">
        <v>566</v>
      </c>
      <c r="D31" s="241">
        <v>12264354</v>
      </c>
      <c r="E31">
        <v>9753178</v>
      </c>
      <c r="F31">
        <v>7556791</v>
      </c>
      <c r="G31">
        <v>5562421</v>
      </c>
      <c r="H31">
        <v>3841398.25</v>
      </c>
      <c r="I31">
        <v>46803052</v>
      </c>
    </row>
    <row r="32" spans="1:9" x14ac:dyDescent="0.2">
      <c r="A32" t="s">
        <v>315</v>
      </c>
      <c r="B32">
        <v>2020</v>
      </c>
      <c r="C32" t="s">
        <v>567</v>
      </c>
      <c r="D32" s="241">
        <v>909480.0625</v>
      </c>
      <c r="E32">
        <v>746225.0625</v>
      </c>
      <c r="F32">
        <v>546826.9375</v>
      </c>
      <c r="G32">
        <v>349746</v>
      </c>
      <c r="H32">
        <v>218425</v>
      </c>
      <c r="I32">
        <v>2963234.5</v>
      </c>
    </row>
    <row r="33" spans="1:9" x14ac:dyDescent="0.2">
      <c r="A33" t="s">
        <v>315</v>
      </c>
      <c r="B33">
        <v>2021</v>
      </c>
      <c r="C33" t="s">
        <v>568</v>
      </c>
      <c r="D33" s="241">
        <v>914584</v>
      </c>
      <c r="E33">
        <v>756249.9375</v>
      </c>
      <c r="F33">
        <v>564774</v>
      </c>
      <c r="G33">
        <v>364556.03125</v>
      </c>
      <c r="H33">
        <v>223301</v>
      </c>
      <c r="I33">
        <v>2968128</v>
      </c>
    </row>
    <row r="34" spans="1:9" x14ac:dyDescent="0.2">
      <c r="A34" t="s">
        <v>315</v>
      </c>
      <c r="B34">
        <v>2022</v>
      </c>
      <c r="C34" t="s">
        <v>569</v>
      </c>
      <c r="D34" s="241">
        <v>919460.9375</v>
      </c>
      <c r="E34">
        <v>763683</v>
      </c>
      <c r="F34">
        <v>581610.9375</v>
      </c>
      <c r="G34">
        <v>381184</v>
      </c>
      <c r="H34">
        <v>228359</v>
      </c>
      <c r="I34">
        <v>2971969.25</v>
      </c>
    </row>
    <row r="35" spans="1:9" x14ac:dyDescent="0.2">
      <c r="A35" t="s">
        <v>315</v>
      </c>
      <c r="B35">
        <v>2023</v>
      </c>
      <c r="C35" t="s">
        <v>570</v>
      </c>
      <c r="D35" s="241">
        <v>924478.9375</v>
      </c>
      <c r="E35">
        <v>769210.9375</v>
      </c>
      <c r="F35">
        <v>596928.9375</v>
      </c>
      <c r="G35">
        <v>398780.96875</v>
      </c>
      <c r="H35">
        <v>234217.984375</v>
      </c>
      <c r="I35">
        <v>2974769.75</v>
      </c>
    </row>
    <row r="36" spans="1:9" x14ac:dyDescent="0.2">
      <c r="A36" t="s">
        <v>315</v>
      </c>
      <c r="B36">
        <v>2024</v>
      </c>
      <c r="C36" t="s">
        <v>571</v>
      </c>
      <c r="D36" s="241">
        <v>929967.0625</v>
      </c>
      <c r="E36">
        <v>773832</v>
      </c>
      <c r="F36">
        <v>610182.0625</v>
      </c>
      <c r="G36">
        <v>416134</v>
      </c>
      <c r="H36">
        <v>241787.015625</v>
      </c>
      <c r="I36">
        <v>2976513.75</v>
      </c>
    </row>
    <row r="37" spans="1:9" x14ac:dyDescent="0.2">
      <c r="A37" t="s">
        <v>193</v>
      </c>
      <c r="B37">
        <v>2020</v>
      </c>
      <c r="C37" t="s">
        <v>572</v>
      </c>
      <c r="D37" s="241">
        <v>26630</v>
      </c>
      <c r="E37">
        <v>19831</v>
      </c>
      <c r="F37">
        <v>13798.0009765625</v>
      </c>
      <c r="G37">
        <v>9139.9990234375</v>
      </c>
      <c r="H37">
        <v>5754.99951171875</v>
      </c>
      <c r="I37">
        <v>97927.9921875</v>
      </c>
    </row>
    <row r="38" spans="1:9" x14ac:dyDescent="0.2">
      <c r="A38" t="s">
        <v>193</v>
      </c>
      <c r="B38">
        <v>2021</v>
      </c>
      <c r="C38" t="s">
        <v>573</v>
      </c>
      <c r="D38" s="241">
        <v>27444</v>
      </c>
      <c r="E38">
        <v>20609.001953125</v>
      </c>
      <c r="F38">
        <v>14414.9990234375</v>
      </c>
      <c r="G38">
        <v>9533</v>
      </c>
      <c r="H38">
        <v>5992</v>
      </c>
      <c r="I38">
        <v>98728.015625</v>
      </c>
    </row>
    <row r="39" spans="1:9" x14ac:dyDescent="0.2">
      <c r="A39" t="s">
        <v>193</v>
      </c>
      <c r="B39">
        <v>2022</v>
      </c>
      <c r="C39" t="s">
        <v>574</v>
      </c>
      <c r="D39" s="241">
        <v>28244.001953125</v>
      </c>
      <c r="E39">
        <v>21394.998046875</v>
      </c>
      <c r="F39">
        <v>15063</v>
      </c>
      <c r="G39">
        <v>9946</v>
      </c>
      <c r="H39">
        <v>6230</v>
      </c>
      <c r="I39">
        <v>99505</v>
      </c>
    </row>
    <row r="40" spans="1:9" x14ac:dyDescent="0.2">
      <c r="A40" t="s">
        <v>193</v>
      </c>
      <c r="B40">
        <v>2023</v>
      </c>
      <c r="C40" t="s">
        <v>575</v>
      </c>
      <c r="D40" s="241">
        <v>29030.998046875</v>
      </c>
      <c r="E40">
        <v>22186.998046875</v>
      </c>
      <c r="F40">
        <v>15743.0009765625</v>
      </c>
      <c r="G40">
        <v>10391.0009765625</v>
      </c>
      <c r="H40">
        <v>6478</v>
      </c>
      <c r="I40">
        <v>100271.9921875</v>
      </c>
    </row>
    <row r="41" spans="1:9" x14ac:dyDescent="0.2">
      <c r="A41" t="s">
        <v>193</v>
      </c>
      <c r="B41">
        <v>2024</v>
      </c>
      <c r="C41" t="s">
        <v>576</v>
      </c>
      <c r="D41" s="241">
        <v>29803.998046875</v>
      </c>
      <c r="E41">
        <v>22972</v>
      </c>
      <c r="F41">
        <v>16440</v>
      </c>
      <c r="G41">
        <v>10870.0009765625</v>
      </c>
      <c r="H41">
        <v>6748</v>
      </c>
      <c r="I41">
        <v>101016</v>
      </c>
    </row>
    <row r="42" spans="1:9" x14ac:dyDescent="0.2">
      <c r="A42" t="s">
        <v>441</v>
      </c>
      <c r="B42">
        <v>2020</v>
      </c>
      <c r="C42" t="s">
        <v>577</v>
      </c>
      <c r="D42" s="241">
        <v>8660568</v>
      </c>
      <c r="E42">
        <v>7102244.5</v>
      </c>
      <c r="F42">
        <v>5552833.5</v>
      </c>
      <c r="G42">
        <v>4134308</v>
      </c>
      <c r="H42">
        <v>2901647.25</v>
      </c>
      <c r="I42">
        <v>25499880</v>
      </c>
    </row>
    <row r="43" spans="1:9" x14ac:dyDescent="0.2">
      <c r="A43" t="s">
        <v>441</v>
      </c>
      <c r="B43">
        <v>2021</v>
      </c>
      <c r="C43" t="s">
        <v>578</v>
      </c>
      <c r="D43" s="241">
        <v>8825042</v>
      </c>
      <c r="E43">
        <v>7250998.5</v>
      </c>
      <c r="F43">
        <v>5699552</v>
      </c>
      <c r="G43">
        <v>4255336.5</v>
      </c>
      <c r="H43">
        <v>3000549</v>
      </c>
      <c r="I43">
        <v>25788216</v>
      </c>
    </row>
    <row r="44" spans="1:9" x14ac:dyDescent="0.2">
      <c r="A44" t="s">
        <v>441</v>
      </c>
      <c r="B44">
        <v>2022</v>
      </c>
      <c r="C44" t="s">
        <v>579</v>
      </c>
      <c r="D44" s="241">
        <v>8997975</v>
      </c>
      <c r="E44">
        <v>7396237</v>
      </c>
      <c r="F44">
        <v>5850472</v>
      </c>
      <c r="G44">
        <v>4380940.5</v>
      </c>
      <c r="H44">
        <v>3098144</v>
      </c>
      <c r="I44">
        <v>26068792</v>
      </c>
    </row>
    <row r="45" spans="1:9" x14ac:dyDescent="0.2">
      <c r="A45" t="s">
        <v>441</v>
      </c>
      <c r="B45">
        <v>2023</v>
      </c>
      <c r="C45" t="s">
        <v>580</v>
      </c>
      <c r="D45" s="241">
        <v>9175070</v>
      </c>
      <c r="E45">
        <v>7541152</v>
      </c>
      <c r="F45">
        <v>6003770</v>
      </c>
      <c r="G45">
        <v>4511460</v>
      </c>
      <c r="H45">
        <v>3197106.25</v>
      </c>
      <c r="I45">
        <v>26343074</v>
      </c>
    </row>
    <row r="46" spans="1:9" x14ac:dyDescent="0.2">
      <c r="A46" t="s">
        <v>441</v>
      </c>
      <c r="B46">
        <v>2024</v>
      </c>
      <c r="C46" t="s">
        <v>581</v>
      </c>
      <c r="D46" s="241">
        <v>9347910</v>
      </c>
      <c r="E46">
        <v>7689478</v>
      </c>
      <c r="F46">
        <v>6155440</v>
      </c>
      <c r="G46">
        <v>4646097.5</v>
      </c>
      <c r="H46">
        <v>3300453.5</v>
      </c>
      <c r="I46">
        <v>26612910</v>
      </c>
    </row>
    <row r="47" spans="1:9" x14ac:dyDescent="0.2">
      <c r="A47" t="s">
        <v>317</v>
      </c>
      <c r="B47">
        <v>2020</v>
      </c>
      <c r="C47" t="s">
        <v>582</v>
      </c>
      <c r="D47" s="241">
        <v>3718952.25</v>
      </c>
      <c r="E47">
        <v>3005509</v>
      </c>
      <c r="F47">
        <v>2311952</v>
      </c>
      <c r="G47">
        <v>1729589.125</v>
      </c>
      <c r="H47">
        <v>1278632.125</v>
      </c>
      <c r="I47">
        <v>9006399</v>
      </c>
    </row>
    <row r="48" spans="1:9" x14ac:dyDescent="0.2">
      <c r="A48" t="s">
        <v>317</v>
      </c>
      <c r="B48">
        <v>2021</v>
      </c>
      <c r="C48" t="s">
        <v>583</v>
      </c>
      <c r="D48" s="241">
        <v>3770303</v>
      </c>
      <c r="E48">
        <v>3071191.75</v>
      </c>
      <c r="F48">
        <v>2366765.5</v>
      </c>
      <c r="G48">
        <v>1761468</v>
      </c>
      <c r="H48">
        <v>1294800</v>
      </c>
      <c r="I48">
        <v>9043073</v>
      </c>
    </row>
    <row r="49" spans="1:9" x14ac:dyDescent="0.2">
      <c r="A49" t="s">
        <v>317</v>
      </c>
      <c r="B49">
        <v>2022</v>
      </c>
      <c r="C49" t="s">
        <v>584</v>
      </c>
      <c r="D49" s="241">
        <v>3811347.25</v>
      </c>
      <c r="E49">
        <v>3133206.25</v>
      </c>
      <c r="F49">
        <v>2421568.25</v>
      </c>
      <c r="G49">
        <v>1795202.875</v>
      </c>
      <c r="H49">
        <v>1308210</v>
      </c>
      <c r="I49">
        <v>9066713</v>
      </c>
    </row>
    <row r="50" spans="1:9" x14ac:dyDescent="0.2">
      <c r="A50" t="s">
        <v>317</v>
      </c>
      <c r="B50">
        <v>2023</v>
      </c>
      <c r="C50" t="s">
        <v>585</v>
      </c>
      <c r="D50" s="241">
        <v>3844584</v>
      </c>
      <c r="E50">
        <v>3191151.75</v>
      </c>
      <c r="F50">
        <v>2476821</v>
      </c>
      <c r="G50">
        <v>1831699</v>
      </c>
      <c r="H50">
        <v>1321419</v>
      </c>
      <c r="I50">
        <v>9081181</v>
      </c>
    </row>
    <row r="51" spans="1:9" x14ac:dyDescent="0.2">
      <c r="A51" t="s">
        <v>317</v>
      </c>
      <c r="B51">
        <v>2024</v>
      </c>
      <c r="C51" t="s">
        <v>586</v>
      </c>
      <c r="D51" s="241">
        <v>3873669</v>
      </c>
      <c r="E51">
        <v>3244348</v>
      </c>
      <c r="F51">
        <v>2533034</v>
      </c>
      <c r="G51">
        <v>1871775.125</v>
      </c>
      <c r="H51">
        <v>1337603</v>
      </c>
      <c r="I51">
        <v>9092312</v>
      </c>
    </row>
    <row r="52" spans="1:9" x14ac:dyDescent="0.2">
      <c r="A52" t="s">
        <v>319</v>
      </c>
      <c r="B52">
        <v>2020</v>
      </c>
      <c r="C52" t="s">
        <v>587</v>
      </c>
      <c r="D52" s="241">
        <v>2461198.75</v>
      </c>
      <c r="E52">
        <v>1832750.125</v>
      </c>
      <c r="F52">
        <v>1180122.875</v>
      </c>
      <c r="G52">
        <v>683537</v>
      </c>
      <c r="H52">
        <v>375814.96875</v>
      </c>
      <c r="I52">
        <v>10139175</v>
      </c>
    </row>
    <row r="53" spans="1:9" x14ac:dyDescent="0.2">
      <c r="A53" t="s">
        <v>319</v>
      </c>
      <c r="B53">
        <v>2021</v>
      </c>
      <c r="C53" t="s">
        <v>588</v>
      </c>
      <c r="D53" s="241">
        <v>2527893.75</v>
      </c>
      <c r="E53">
        <v>1909046.125</v>
      </c>
      <c r="F53">
        <v>1254655</v>
      </c>
      <c r="G53">
        <v>728105.9375</v>
      </c>
      <c r="H53">
        <v>392184.9375</v>
      </c>
      <c r="I53">
        <v>10223344</v>
      </c>
    </row>
    <row r="54" spans="1:9" x14ac:dyDescent="0.2">
      <c r="A54" t="s">
        <v>319</v>
      </c>
      <c r="B54">
        <v>2022</v>
      </c>
      <c r="C54" t="s">
        <v>589</v>
      </c>
      <c r="D54" s="241">
        <v>2589606</v>
      </c>
      <c r="E54">
        <v>1977967</v>
      </c>
      <c r="F54">
        <v>1331690.125</v>
      </c>
      <c r="G54">
        <v>775284.0625</v>
      </c>
      <c r="H54">
        <v>411290</v>
      </c>
      <c r="I54">
        <v>10300197</v>
      </c>
    </row>
    <row r="55" spans="1:9" x14ac:dyDescent="0.2">
      <c r="A55" t="s">
        <v>319</v>
      </c>
      <c r="B55">
        <v>2023</v>
      </c>
      <c r="C55" t="s">
        <v>590</v>
      </c>
      <c r="D55" s="241">
        <v>2648297</v>
      </c>
      <c r="E55">
        <v>2041392</v>
      </c>
      <c r="F55">
        <v>1409272</v>
      </c>
      <c r="G55">
        <v>825762</v>
      </c>
      <c r="H55">
        <v>433545.03125</v>
      </c>
      <c r="I55">
        <v>10370489</v>
      </c>
    </row>
    <row r="56" spans="1:9" x14ac:dyDescent="0.2">
      <c r="A56" t="s">
        <v>319</v>
      </c>
      <c r="B56">
        <v>2024</v>
      </c>
      <c r="C56" t="s">
        <v>591</v>
      </c>
      <c r="D56" s="241">
        <v>2706509</v>
      </c>
      <c r="E56">
        <v>2102311</v>
      </c>
      <c r="F56">
        <v>1484601.875</v>
      </c>
      <c r="G56">
        <v>880636.0625</v>
      </c>
      <c r="H56">
        <v>459504</v>
      </c>
      <c r="I56">
        <v>10435340</v>
      </c>
    </row>
    <row r="57" spans="1:9" x14ac:dyDescent="0.2">
      <c r="A57" t="s">
        <v>91</v>
      </c>
      <c r="B57">
        <v>2020</v>
      </c>
      <c r="C57" t="s">
        <v>592</v>
      </c>
      <c r="D57" s="241">
        <v>976282</v>
      </c>
      <c r="E57">
        <v>716494</v>
      </c>
      <c r="F57">
        <v>484307.9375</v>
      </c>
      <c r="G57">
        <v>283016.96875</v>
      </c>
      <c r="H57">
        <v>144677</v>
      </c>
      <c r="I57">
        <v>11890779</v>
      </c>
    </row>
    <row r="58" spans="1:9" x14ac:dyDescent="0.2">
      <c r="A58" t="s">
        <v>91</v>
      </c>
      <c r="B58">
        <v>2021</v>
      </c>
      <c r="C58" t="s">
        <v>593</v>
      </c>
      <c r="D58" s="241">
        <v>1002167</v>
      </c>
      <c r="E58">
        <v>740141.9375</v>
      </c>
      <c r="F58">
        <v>506224.96875</v>
      </c>
      <c r="G58">
        <v>301136</v>
      </c>
      <c r="H58">
        <v>153931</v>
      </c>
      <c r="I58">
        <v>12255430</v>
      </c>
    </row>
    <row r="59" spans="1:9" x14ac:dyDescent="0.2">
      <c r="A59" t="s">
        <v>91</v>
      </c>
      <c r="B59">
        <v>2022</v>
      </c>
      <c r="C59" t="s">
        <v>594</v>
      </c>
      <c r="D59" s="241">
        <v>1027862.0625</v>
      </c>
      <c r="E59">
        <v>763667</v>
      </c>
      <c r="F59">
        <v>527278</v>
      </c>
      <c r="G59">
        <v>319732</v>
      </c>
      <c r="H59">
        <v>164074.984375</v>
      </c>
      <c r="I59">
        <v>12624846</v>
      </c>
    </row>
    <row r="60" spans="1:9" x14ac:dyDescent="0.2">
      <c r="A60" t="s">
        <v>91</v>
      </c>
      <c r="B60">
        <v>2023</v>
      </c>
      <c r="C60" t="s">
        <v>595</v>
      </c>
      <c r="D60" s="241">
        <v>1054921</v>
      </c>
      <c r="E60">
        <v>787068</v>
      </c>
      <c r="F60">
        <v>547742</v>
      </c>
      <c r="G60">
        <v>338494.03125</v>
      </c>
      <c r="H60">
        <v>174978</v>
      </c>
      <c r="I60">
        <v>12999140</v>
      </c>
    </row>
    <row r="61" spans="1:9" x14ac:dyDescent="0.2">
      <c r="A61" t="s">
        <v>91</v>
      </c>
      <c r="B61">
        <v>2024</v>
      </c>
      <c r="C61" t="s">
        <v>596</v>
      </c>
      <c r="D61" s="241">
        <v>1085439</v>
      </c>
      <c r="E61">
        <v>810169.9375</v>
      </c>
      <c r="F61">
        <v>567958</v>
      </c>
      <c r="G61">
        <v>356968.03125</v>
      </c>
      <c r="H61">
        <v>186519.015625</v>
      </c>
      <c r="I61">
        <v>13378732</v>
      </c>
    </row>
    <row r="62" spans="1:9" x14ac:dyDescent="0.2">
      <c r="A62" t="s">
        <v>321</v>
      </c>
      <c r="B62">
        <v>2020</v>
      </c>
      <c r="C62" t="s">
        <v>597</v>
      </c>
      <c r="D62" s="241">
        <v>4566141</v>
      </c>
      <c r="E62">
        <v>3770649.25</v>
      </c>
      <c r="F62">
        <v>2967400.25</v>
      </c>
      <c r="G62">
        <v>2231493.25</v>
      </c>
      <c r="H62">
        <v>1597524</v>
      </c>
      <c r="I62">
        <v>11589617</v>
      </c>
    </row>
    <row r="63" spans="1:9" x14ac:dyDescent="0.2">
      <c r="A63" t="s">
        <v>321</v>
      </c>
      <c r="B63">
        <v>2021</v>
      </c>
      <c r="C63" t="s">
        <v>598</v>
      </c>
      <c r="D63" s="241">
        <v>4617552</v>
      </c>
      <c r="E63">
        <v>3829025.25</v>
      </c>
      <c r="F63">
        <v>3025321</v>
      </c>
      <c r="G63">
        <v>2276836.25</v>
      </c>
      <c r="H63">
        <v>1631837</v>
      </c>
      <c r="I63">
        <v>11632333</v>
      </c>
    </row>
    <row r="64" spans="1:9" x14ac:dyDescent="0.2">
      <c r="A64" t="s">
        <v>321</v>
      </c>
      <c r="B64">
        <v>2022</v>
      </c>
      <c r="C64" t="s">
        <v>599</v>
      </c>
      <c r="D64" s="241">
        <v>4663510.5</v>
      </c>
      <c r="E64">
        <v>3882397</v>
      </c>
      <c r="F64">
        <v>3081828</v>
      </c>
      <c r="G64">
        <v>2322125.75</v>
      </c>
      <c r="H64">
        <v>1663313</v>
      </c>
      <c r="I64">
        <v>11668275</v>
      </c>
    </row>
    <row r="65" spans="1:9" x14ac:dyDescent="0.2">
      <c r="A65" t="s">
        <v>321</v>
      </c>
      <c r="B65">
        <v>2023</v>
      </c>
      <c r="C65" t="s">
        <v>600</v>
      </c>
      <c r="D65" s="241">
        <v>4706252.5</v>
      </c>
      <c r="E65">
        <v>3932499.75</v>
      </c>
      <c r="F65">
        <v>3137583.75</v>
      </c>
      <c r="G65">
        <v>2368541.75</v>
      </c>
      <c r="H65">
        <v>1694275</v>
      </c>
      <c r="I65">
        <v>11699400</v>
      </c>
    </row>
    <row r="66" spans="1:9" x14ac:dyDescent="0.2">
      <c r="A66" t="s">
        <v>321</v>
      </c>
      <c r="B66">
        <v>2024</v>
      </c>
      <c r="C66" t="s">
        <v>601</v>
      </c>
      <c r="D66" s="241">
        <v>4748183.5</v>
      </c>
      <c r="E66">
        <v>3981223</v>
      </c>
      <c r="F66">
        <v>3192901</v>
      </c>
      <c r="G66">
        <v>2417067.25</v>
      </c>
      <c r="H66">
        <v>1727511</v>
      </c>
      <c r="I66">
        <v>11728461</v>
      </c>
    </row>
    <row r="67" spans="1:9" x14ac:dyDescent="0.2">
      <c r="A67" t="s">
        <v>95</v>
      </c>
      <c r="B67">
        <v>2020</v>
      </c>
      <c r="C67" t="s">
        <v>602</v>
      </c>
      <c r="D67" s="241">
        <v>1266719</v>
      </c>
      <c r="E67">
        <v>903534.0625</v>
      </c>
      <c r="F67">
        <v>616038</v>
      </c>
      <c r="G67">
        <v>397452.03125</v>
      </c>
      <c r="H67">
        <v>236854.984375</v>
      </c>
      <c r="I67">
        <v>12123198</v>
      </c>
    </row>
    <row r="68" spans="1:9" x14ac:dyDescent="0.2">
      <c r="A68" t="s">
        <v>95</v>
      </c>
      <c r="B68">
        <v>2021</v>
      </c>
      <c r="C68" t="s">
        <v>603</v>
      </c>
      <c r="D68" s="241">
        <v>1310087</v>
      </c>
      <c r="E68">
        <v>935324</v>
      </c>
      <c r="F68">
        <v>637431</v>
      </c>
      <c r="G68">
        <v>410880.9375</v>
      </c>
      <c r="H68">
        <v>245065.015625</v>
      </c>
      <c r="I68">
        <v>12451030</v>
      </c>
    </row>
    <row r="69" spans="1:9" x14ac:dyDescent="0.2">
      <c r="A69" t="s">
        <v>95</v>
      </c>
      <c r="B69">
        <v>2022</v>
      </c>
      <c r="C69" t="s">
        <v>604</v>
      </c>
      <c r="D69" s="241">
        <v>1355330</v>
      </c>
      <c r="E69">
        <v>968737.0625</v>
      </c>
      <c r="F69">
        <v>659921.0625</v>
      </c>
      <c r="G69">
        <v>424611.03125</v>
      </c>
      <c r="H69">
        <v>253059</v>
      </c>
      <c r="I69">
        <v>12784729</v>
      </c>
    </row>
    <row r="70" spans="1:9" x14ac:dyDescent="0.2">
      <c r="A70" t="s">
        <v>95</v>
      </c>
      <c r="B70">
        <v>2023</v>
      </c>
      <c r="C70" t="s">
        <v>605</v>
      </c>
      <c r="D70" s="241">
        <v>1402679.125</v>
      </c>
      <c r="E70">
        <v>1003821</v>
      </c>
      <c r="F70">
        <v>683660</v>
      </c>
      <c r="G70">
        <v>438861</v>
      </c>
      <c r="H70">
        <v>260942.015625</v>
      </c>
      <c r="I70">
        <v>13124348</v>
      </c>
    </row>
    <row r="71" spans="1:9" x14ac:dyDescent="0.2">
      <c r="A71" t="s">
        <v>95</v>
      </c>
      <c r="B71">
        <v>2024</v>
      </c>
      <c r="C71" t="s">
        <v>606</v>
      </c>
      <c r="D71" s="241">
        <v>1452457</v>
      </c>
      <c r="E71">
        <v>1040617.0625</v>
      </c>
      <c r="F71">
        <v>708795</v>
      </c>
      <c r="G71">
        <v>453890</v>
      </c>
      <c r="H71">
        <v>268826</v>
      </c>
      <c r="I71">
        <v>13470103</v>
      </c>
    </row>
    <row r="72" spans="1:9" x14ac:dyDescent="0.2">
      <c r="A72" t="s">
        <v>97</v>
      </c>
      <c r="B72">
        <v>2020</v>
      </c>
      <c r="C72" t="s">
        <v>607</v>
      </c>
      <c r="D72" s="241">
        <v>1798316</v>
      </c>
      <c r="E72">
        <v>1244737.125</v>
      </c>
      <c r="F72">
        <v>820825.9375</v>
      </c>
      <c r="G72">
        <v>503984</v>
      </c>
      <c r="H72">
        <v>281949</v>
      </c>
      <c r="I72">
        <v>20903278</v>
      </c>
    </row>
    <row r="73" spans="1:9" x14ac:dyDescent="0.2">
      <c r="A73" t="s">
        <v>97</v>
      </c>
      <c r="B73">
        <v>2021</v>
      </c>
      <c r="C73" t="s">
        <v>608</v>
      </c>
      <c r="D73" s="241">
        <v>1864749.75</v>
      </c>
      <c r="E73">
        <v>1291702.875</v>
      </c>
      <c r="F73">
        <v>851024</v>
      </c>
      <c r="G73">
        <v>522433.96875</v>
      </c>
      <c r="H73">
        <v>292448</v>
      </c>
      <c r="I73">
        <v>21497096</v>
      </c>
    </row>
    <row r="74" spans="1:9" x14ac:dyDescent="0.2">
      <c r="A74" t="s">
        <v>97</v>
      </c>
      <c r="B74">
        <v>2022</v>
      </c>
      <c r="C74" t="s">
        <v>609</v>
      </c>
      <c r="D74" s="241">
        <v>1934507.125</v>
      </c>
      <c r="E74">
        <v>1341882.125</v>
      </c>
      <c r="F74">
        <v>882639.9375</v>
      </c>
      <c r="G74">
        <v>541516.9375</v>
      </c>
      <c r="H74">
        <v>302154</v>
      </c>
      <c r="I74">
        <v>22102840</v>
      </c>
    </row>
    <row r="75" spans="1:9" x14ac:dyDescent="0.2">
      <c r="A75" t="s">
        <v>97</v>
      </c>
      <c r="B75">
        <v>2023</v>
      </c>
      <c r="C75" t="s">
        <v>610</v>
      </c>
      <c r="D75" s="241">
        <v>2008378.875</v>
      </c>
      <c r="E75">
        <v>1395131</v>
      </c>
      <c r="F75">
        <v>916043.9375</v>
      </c>
      <c r="G75">
        <v>561356</v>
      </c>
      <c r="H75">
        <v>311405</v>
      </c>
      <c r="I75">
        <v>22720840</v>
      </c>
    </row>
    <row r="76" spans="1:9" x14ac:dyDescent="0.2">
      <c r="A76" t="s">
        <v>97</v>
      </c>
      <c r="B76">
        <v>2024</v>
      </c>
      <c r="C76" t="s">
        <v>611</v>
      </c>
      <c r="D76" s="241">
        <v>2087369.375</v>
      </c>
      <c r="E76">
        <v>1451016</v>
      </c>
      <c r="F76">
        <v>951612</v>
      </c>
      <c r="G76">
        <v>581983.0625</v>
      </c>
      <c r="H76">
        <v>320552</v>
      </c>
      <c r="I76">
        <v>23351512</v>
      </c>
    </row>
    <row r="77" spans="1:9" x14ac:dyDescent="0.2">
      <c r="A77" t="s">
        <v>417</v>
      </c>
      <c r="B77">
        <v>2020</v>
      </c>
      <c r="C77" t="s">
        <v>612</v>
      </c>
      <c r="D77" s="241">
        <v>28114414</v>
      </c>
      <c r="E77">
        <v>19809622</v>
      </c>
      <c r="F77">
        <v>13108713</v>
      </c>
      <c r="G77">
        <v>8608323</v>
      </c>
      <c r="H77">
        <v>5811875.5</v>
      </c>
      <c r="I77">
        <v>164689376</v>
      </c>
    </row>
    <row r="78" spans="1:9" x14ac:dyDescent="0.2">
      <c r="A78" t="s">
        <v>417</v>
      </c>
      <c r="B78">
        <v>2021</v>
      </c>
      <c r="C78" t="s">
        <v>613</v>
      </c>
      <c r="D78" s="241">
        <v>29154018</v>
      </c>
      <c r="E78">
        <v>20685010</v>
      </c>
      <c r="F78">
        <v>13696843</v>
      </c>
      <c r="G78">
        <v>8865237</v>
      </c>
      <c r="H78">
        <v>5922917</v>
      </c>
      <c r="I78">
        <v>166303520</v>
      </c>
    </row>
    <row r="79" spans="1:9" x14ac:dyDescent="0.2">
      <c r="A79" t="s">
        <v>417</v>
      </c>
      <c r="B79">
        <v>2022</v>
      </c>
      <c r="C79" t="s">
        <v>614</v>
      </c>
      <c r="D79" s="241">
        <v>30200484</v>
      </c>
      <c r="E79">
        <v>21594296</v>
      </c>
      <c r="F79">
        <v>14340281</v>
      </c>
      <c r="G79">
        <v>9158058</v>
      </c>
      <c r="H79">
        <v>6006958.5</v>
      </c>
      <c r="I79">
        <v>167885664</v>
      </c>
    </row>
    <row r="80" spans="1:9" x14ac:dyDescent="0.2">
      <c r="A80" t="s">
        <v>417</v>
      </c>
      <c r="B80">
        <v>2023</v>
      </c>
      <c r="C80" t="s">
        <v>615</v>
      </c>
      <c r="D80" s="241">
        <v>31267020</v>
      </c>
      <c r="E80">
        <v>22530786</v>
      </c>
      <c r="F80">
        <v>15031107</v>
      </c>
      <c r="G80">
        <v>9491986</v>
      </c>
      <c r="H80">
        <v>6083769</v>
      </c>
      <c r="I80">
        <v>169431792</v>
      </c>
    </row>
    <row r="81" spans="1:9" x14ac:dyDescent="0.2">
      <c r="A81" t="s">
        <v>417</v>
      </c>
      <c r="B81">
        <v>2024</v>
      </c>
      <c r="C81" t="s">
        <v>616</v>
      </c>
      <c r="D81" s="241">
        <v>32376122</v>
      </c>
      <c r="E81">
        <v>23483470</v>
      </c>
      <c r="F81">
        <v>15758384</v>
      </c>
      <c r="G81">
        <v>9873841</v>
      </c>
      <c r="H81">
        <v>6179818.5</v>
      </c>
      <c r="I81">
        <v>170937456</v>
      </c>
    </row>
    <row r="82" spans="1:9" x14ac:dyDescent="0.2">
      <c r="A82" t="s">
        <v>323</v>
      </c>
      <c r="B82">
        <v>2020</v>
      </c>
      <c r="C82" t="s">
        <v>617</v>
      </c>
      <c r="D82" s="241">
        <v>2903689</v>
      </c>
      <c r="E82">
        <v>2427139</v>
      </c>
      <c r="F82">
        <v>1958985</v>
      </c>
      <c r="G82">
        <v>1491687.125</v>
      </c>
      <c r="H82">
        <v>1036393.0625</v>
      </c>
      <c r="I82">
        <v>6948445</v>
      </c>
    </row>
    <row r="83" spans="1:9" x14ac:dyDescent="0.2">
      <c r="A83" t="s">
        <v>323</v>
      </c>
      <c r="B83">
        <v>2021</v>
      </c>
      <c r="C83" t="s">
        <v>618</v>
      </c>
      <c r="D83" s="241">
        <v>2902555</v>
      </c>
      <c r="E83">
        <v>2422111</v>
      </c>
      <c r="F83">
        <v>1959824.25</v>
      </c>
      <c r="G83">
        <v>1500015.125</v>
      </c>
      <c r="H83">
        <v>1052980.125</v>
      </c>
      <c r="I83">
        <v>6896655</v>
      </c>
    </row>
    <row r="84" spans="1:9" x14ac:dyDescent="0.2">
      <c r="A84" t="s">
        <v>323</v>
      </c>
      <c r="B84">
        <v>2022</v>
      </c>
      <c r="C84" t="s">
        <v>619</v>
      </c>
      <c r="D84" s="241">
        <v>2904542</v>
      </c>
      <c r="E84">
        <v>2416749</v>
      </c>
      <c r="F84">
        <v>1959422.125</v>
      </c>
      <c r="G84">
        <v>1506149</v>
      </c>
      <c r="H84">
        <v>1065523</v>
      </c>
      <c r="I84">
        <v>6844591.5</v>
      </c>
    </row>
    <row r="85" spans="1:9" x14ac:dyDescent="0.2">
      <c r="A85" t="s">
        <v>323</v>
      </c>
      <c r="B85">
        <v>2023</v>
      </c>
      <c r="C85" t="s">
        <v>620</v>
      </c>
      <c r="D85" s="241">
        <v>2908846</v>
      </c>
      <c r="E85">
        <v>2411782.75</v>
      </c>
      <c r="F85">
        <v>1957771</v>
      </c>
      <c r="G85">
        <v>1510130</v>
      </c>
      <c r="H85">
        <v>1074667</v>
      </c>
      <c r="I85">
        <v>6792227.5</v>
      </c>
    </row>
    <row r="86" spans="1:9" x14ac:dyDescent="0.2">
      <c r="A86" t="s">
        <v>323</v>
      </c>
      <c r="B86">
        <v>2024</v>
      </c>
      <c r="C86" t="s">
        <v>621</v>
      </c>
      <c r="D86" s="241">
        <v>2913587.25</v>
      </c>
      <c r="E86">
        <v>2407711.25</v>
      </c>
      <c r="F86">
        <v>1954302.125</v>
      </c>
      <c r="G86">
        <v>1511553.125</v>
      </c>
      <c r="H86">
        <v>1080921</v>
      </c>
      <c r="I86">
        <v>6739536.5</v>
      </c>
    </row>
    <row r="87" spans="1:9" x14ac:dyDescent="0.2">
      <c r="A87" t="s">
        <v>269</v>
      </c>
      <c r="B87">
        <v>2020</v>
      </c>
      <c r="C87" t="s">
        <v>622</v>
      </c>
      <c r="D87" s="241">
        <v>230469</v>
      </c>
      <c r="E87">
        <v>149292</v>
      </c>
      <c r="F87">
        <v>90238.0078125</v>
      </c>
      <c r="G87">
        <v>45118</v>
      </c>
      <c r="H87">
        <v>23666.001953125</v>
      </c>
      <c r="I87">
        <v>1701583</v>
      </c>
    </row>
    <row r="88" spans="1:9" x14ac:dyDescent="0.2">
      <c r="A88" t="s">
        <v>269</v>
      </c>
      <c r="B88">
        <v>2021</v>
      </c>
      <c r="C88" t="s">
        <v>623</v>
      </c>
      <c r="D88" s="241">
        <v>246551</v>
      </c>
      <c r="E88">
        <v>161092</v>
      </c>
      <c r="F88">
        <v>98796.0078125</v>
      </c>
      <c r="G88">
        <v>50526.99609375</v>
      </c>
      <c r="H88">
        <v>25323.001953125</v>
      </c>
      <c r="I88">
        <v>1748295</v>
      </c>
    </row>
    <row r="89" spans="1:9" x14ac:dyDescent="0.2">
      <c r="A89" t="s">
        <v>269</v>
      </c>
      <c r="B89">
        <v>2022</v>
      </c>
      <c r="C89" t="s">
        <v>624</v>
      </c>
      <c r="D89" s="241">
        <v>261368.953125</v>
      </c>
      <c r="E89">
        <v>172340.984375</v>
      </c>
      <c r="F89">
        <v>106817.0078125</v>
      </c>
      <c r="G89">
        <v>56573.99609375</v>
      </c>
      <c r="H89">
        <v>26977.001953125</v>
      </c>
      <c r="I89">
        <v>1783985</v>
      </c>
    </row>
    <row r="90" spans="1:9" x14ac:dyDescent="0.2">
      <c r="A90" t="s">
        <v>269</v>
      </c>
      <c r="B90">
        <v>2023</v>
      </c>
      <c r="C90" t="s">
        <v>625</v>
      </c>
      <c r="D90" s="241">
        <v>275344.0625</v>
      </c>
      <c r="E90">
        <v>183210</v>
      </c>
      <c r="F90">
        <v>114548.0078125</v>
      </c>
      <c r="G90">
        <v>63011</v>
      </c>
      <c r="H90">
        <v>28873</v>
      </c>
      <c r="I90">
        <v>1811996</v>
      </c>
    </row>
    <row r="91" spans="1:9" x14ac:dyDescent="0.2">
      <c r="A91" t="s">
        <v>269</v>
      </c>
      <c r="B91">
        <v>2024</v>
      </c>
      <c r="C91" t="s">
        <v>626</v>
      </c>
      <c r="D91" s="241">
        <v>289420.03125</v>
      </c>
      <c r="E91">
        <v>194159</v>
      </c>
      <c r="F91">
        <v>122527</v>
      </c>
      <c r="G91">
        <v>69602</v>
      </c>
      <c r="H91">
        <v>31418.998046875</v>
      </c>
      <c r="I91">
        <v>1837728</v>
      </c>
    </row>
    <row r="92" spans="1:9" x14ac:dyDescent="0.2">
      <c r="A92" t="s">
        <v>195</v>
      </c>
      <c r="B92">
        <v>2020</v>
      </c>
      <c r="C92" t="s">
        <v>627</v>
      </c>
      <c r="D92" s="241">
        <v>97278</v>
      </c>
      <c r="E92">
        <v>71708.9921875</v>
      </c>
      <c r="F92">
        <v>48055.99609375</v>
      </c>
      <c r="G92">
        <v>30472</v>
      </c>
      <c r="H92">
        <v>18626.001953125</v>
      </c>
      <c r="I92">
        <v>393248.03125</v>
      </c>
    </row>
    <row r="93" spans="1:9" x14ac:dyDescent="0.2">
      <c r="A93" t="s">
        <v>195</v>
      </c>
      <c r="B93">
        <v>2021</v>
      </c>
      <c r="C93" t="s">
        <v>628</v>
      </c>
      <c r="D93" s="241">
        <v>100460</v>
      </c>
      <c r="E93">
        <v>74475.0078125</v>
      </c>
      <c r="F93">
        <v>50458.00390625</v>
      </c>
      <c r="G93">
        <v>31883.001953125</v>
      </c>
      <c r="H93">
        <v>19343</v>
      </c>
      <c r="I93">
        <v>396913.96875</v>
      </c>
    </row>
    <row r="94" spans="1:9" x14ac:dyDescent="0.2">
      <c r="A94" t="s">
        <v>195</v>
      </c>
      <c r="B94">
        <v>2022</v>
      </c>
      <c r="C94" t="s">
        <v>629</v>
      </c>
      <c r="D94" s="241">
        <v>103905</v>
      </c>
      <c r="E94">
        <v>77255</v>
      </c>
      <c r="F94">
        <v>53103</v>
      </c>
      <c r="G94">
        <v>33448</v>
      </c>
      <c r="H94">
        <v>20123.998046875</v>
      </c>
      <c r="I94">
        <v>400514.96875</v>
      </c>
    </row>
    <row r="95" spans="1:9" x14ac:dyDescent="0.2">
      <c r="A95" t="s">
        <v>195</v>
      </c>
      <c r="B95">
        <v>2023</v>
      </c>
      <c r="C95" t="s">
        <v>630</v>
      </c>
      <c r="D95" s="241">
        <v>107465.9921875</v>
      </c>
      <c r="E95">
        <v>80063</v>
      </c>
      <c r="F95">
        <v>55880</v>
      </c>
      <c r="G95">
        <v>35156.00390625</v>
      </c>
      <c r="H95">
        <v>20971</v>
      </c>
      <c r="I95">
        <v>404047.9375</v>
      </c>
    </row>
    <row r="96" spans="1:9" x14ac:dyDescent="0.2">
      <c r="A96" t="s">
        <v>195</v>
      </c>
      <c r="B96">
        <v>2024</v>
      </c>
      <c r="C96" t="s">
        <v>631</v>
      </c>
      <c r="D96" s="241">
        <v>110923</v>
      </c>
      <c r="E96">
        <v>82940.9921875</v>
      </c>
      <c r="F96">
        <v>58644</v>
      </c>
      <c r="G96">
        <v>37013</v>
      </c>
      <c r="H96">
        <v>21905.998046875</v>
      </c>
      <c r="I96">
        <v>407521.96875</v>
      </c>
    </row>
    <row r="97" spans="1:9" x14ac:dyDescent="0.2">
      <c r="A97" t="s">
        <v>325</v>
      </c>
      <c r="B97">
        <v>2020</v>
      </c>
      <c r="C97" t="s">
        <v>632</v>
      </c>
      <c r="D97" s="241">
        <v>1329933.125</v>
      </c>
      <c r="E97">
        <v>1098595.125</v>
      </c>
      <c r="F97">
        <v>829751.0625</v>
      </c>
      <c r="G97">
        <v>587784.0625</v>
      </c>
      <c r="H97">
        <v>365956</v>
      </c>
      <c r="I97">
        <v>3280814.75</v>
      </c>
    </row>
    <row r="98" spans="1:9" x14ac:dyDescent="0.2">
      <c r="A98" t="s">
        <v>325</v>
      </c>
      <c r="B98">
        <v>2021</v>
      </c>
      <c r="C98" t="s">
        <v>633</v>
      </c>
      <c r="D98" s="241">
        <v>1337755</v>
      </c>
      <c r="E98">
        <v>1111837.875</v>
      </c>
      <c r="F98">
        <v>848974</v>
      </c>
      <c r="G98">
        <v>604777.0625</v>
      </c>
      <c r="H98">
        <v>379604.03125</v>
      </c>
      <c r="I98">
        <v>3263459</v>
      </c>
    </row>
    <row r="99" spans="1:9" x14ac:dyDescent="0.2">
      <c r="A99" t="s">
        <v>325</v>
      </c>
      <c r="B99">
        <v>2022</v>
      </c>
      <c r="C99" t="s">
        <v>634</v>
      </c>
      <c r="D99" s="241">
        <v>1346940.875</v>
      </c>
      <c r="E99">
        <v>1123147.125</v>
      </c>
      <c r="F99">
        <v>869837.9375</v>
      </c>
      <c r="G99">
        <v>620709.9375</v>
      </c>
      <c r="H99">
        <v>395514.96875</v>
      </c>
      <c r="I99">
        <v>3249313.25</v>
      </c>
    </row>
    <row r="100" spans="1:9" x14ac:dyDescent="0.2">
      <c r="A100" t="s">
        <v>325</v>
      </c>
      <c r="B100">
        <v>2023</v>
      </c>
      <c r="C100" t="s">
        <v>635</v>
      </c>
      <c r="D100" s="241">
        <v>1356903.875</v>
      </c>
      <c r="E100">
        <v>1133097.875</v>
      </c>
      <c r="F100">
        <v>891064</v>
      </c>
      <c r="G100">
        <v>636293</v>
      </c>
      <c r="H100">
        <v>412643.03125</v>
      </c>
      <c r="I100">
        <v>3237054</v>
      </c>
    </row>
    <row r="101" spans="1:9" x14ac:dyDescent="0.2">
      <c r="A101" t="s">
        <v>325</v>
      </c>
      <c r="B101">
        <v>2024</v>
      </c>
      <c r="C101" t="s">
        <v>636</v>
      </c>
      <c r="D101" s="241">
        <v>1366569.875</v>
      </c>
      <c r="E101">
        <v>1142588.875</v>
      </c>
      <c r="F101">
        <v>910590.125</v>
      </c>
      <c r="G101">
        <v>652551.0625</v>
      </c>
      <c r="H101">
        <v>429371.96875</v>
      </c>
      <c r="I101">
        <v>3225033.5</v>
      </c>
    </row>
    <row r="102" spans="1:9" x14ac:dyDescent="0.2">
      <c r="A102" t="s">
        <v>327</v>
      </c>
      <c r="B102">
        <v>2020</v>
      </c>
      <c r="C102" t="s">
        <v>637</v>
      </c>
      <c r="D102" s="241">
        <v>3483047</v>
      </c>
      <c r="E102">
        <v>2890787</v>
      </c>
      <c r="F102">
        <v>2137256</v>
      </c>
      <c r="G102">
        <v>1472222</v>
      </c>
      <c r="H102">
        <v>894004.9375</v>
      </c>
      <c r="I102">
        <v>9449321</v>
      </c>
    </row>
    <row r="103" spans="1:9" x14ac:dyDescent="0.2">
      <c r="A103" t="s">
        <v>327</v>
      </c>
      <c r="B103">
        <v>2021</v>
      </c>
      <c r="C103" t="s">
        <v>638</v>
      </c>
      <c r="D103" s="241">
        <v>3502499</v>
      </c>
      <c r="E103">
        <v>2922628.25</v>
      </c>
      <c r="F103">
        <v>2195278.75</v>
      </c>
      <c r="G103">
        <v>1520078</v>
      </c>
      <c r="H103">
        <v>919257</v>
      </c>
      <c r="I103">
        <v>9442868</v>
      </c>
    </row>
    <row r="104" spans="1:9" x14ac:dyDescent="0.2">
      <c r="A104" t="s">
        <v>327</v>
      </c>
      <c r="B104">
        <v>2022</v>
      </c>
      <c r="C104" t="s">
        <v>639</v>
      </c>
      <c r="D104" s="241">
        <v>3518044.75</v>
      </c>
      <c r="E104">
        <v>2935815.75</v>
      </c>
      <c r="F104">
        <v>2251578.75</v>
      </c>
      <c r="G104">
        <v>1559793</v>
      </c>
      <c r="H104">
        <v>954240.125</v>
      </c>
      <c r="I104">
        <v>9432802</v>
      </c>
    </row>
    <row r="105" spans="1:9" x14ac:dyDescent="0.2">
      <c r="A105" t="s">
        <v>327</v>
      </c>
      <c r="B105">
        <v>2023</v>
      </c>
      <c r="C105" t="s">
        <v>640</v>
      </c>
      <c r="D105" s="241">
        <v>3532182.25</v>
      </c>
      <c r="E105">
        <v>2938000.25</v>
      </c>
      <c r="F105">
        <v>2303638.25</v>
      </c>
      <c r="G105">
        <v>1595259.875</v>
      </c>
      <c r="H105">
        <v>994740.0625</v>
      </c>
      <c r="I105">
        <v>9419494</v>
      </c>
    </row>
    <row r="106" spans="1:9" x14ac:dyDescent="0.2">
      <c r="A106" t="s">
        <v>327</v>
      </c>
      <c r="B106">
        <v>2024</v>
      </c>
      <c r="C106" t="s">
        <v>641</v>
      </c>
      <c r="D106" s="241">
        <v>3546857.25</v>
      </c>
      <c r="E106">
        <v>2939914</v>
      </c>
      <c r="F106">
        <v>2347231</v>
      </c>
      <c r="G106">
        <v>1632428</v>
      </c>
      <c r="H106">
        <v>1034679.9375</v>
      </c>
      <c r="I106">
        <v>9403528</v>
      </c>
    </row>
    <row r="107" spans="1:9" x14ac:dyDescent="0.2">
      <c r="A107" t="s">
        <v>198</v>
      </c>
      <c r="B107">
        <v>2020</v>
      </c>
      <c r="C107" t="s">
        <v>642</v>
      </c>
      <c r="D107" s="241">
        <v>62173</v>
      </c>
      <c r="E107">
        <v>44691.99609375</v>
      </c>
      <c r="F107">
        <v>30362.998046875</v>
      </c>
      <c r="G107">
        <v>19912.998046875</v>
      </c>
      <c r="H107">
        <v>12549</v>
      </c>
      <c r="I107">
        <v>397621</v>
      </c>
    </row>
    <row r="108" spans="1:9" x14ac:dyDescent="0.2">
      <c r="A108" t="s">
        <v>198</v>
      </c>
      <c r="B108">
        <v>2021</v>
      </c>
      <c r="C108" t="s">
        <v>643</v>
      </c>
      <c r="D108" s="241">
        <v>64887</v>
      </c>
      <c r="E108">
        <v>46820.00390625</v>
      </c>
      <c r="F108">
        <v>31946.998046875</v>
      </c>
      <c r="G108">
        <v>20898.998046875</v>
      </c>
      <c r="H108">
        <v>13126</v>
      </c>
      <c r="I108">
        <v>404914.9375</v>
      </c>
    </row>
    <row r="109" spans="1:9" x14ac:dyDescent="0.2">
      <c r="A109" t="s">
        <v>198</v>
      </c>
      <c r="B109">
        <v>2022</v>
      </c>
      <c r="C109" t="s">
        <v>644</v>
      </c>
      <c r="D109" s="241">
        <v>67692</v>
      </c>
      <c r="E109">
        <v>48978</v>
      </c>
      <c r="F109">
        <v>33618</v>
      </c>
      <c r="G109">
        <v>21930.001953125</v>
      </c>
      <c r="H109">
        <v>13730.9990234375</v>
      </c>
      <c r="I109">
        <v>412200.9375</v>
      </c>
    </row>
    <row r="110" spans="1:9" x14ac:dyDescent="0.2">
      <c r="A110" t="s">
        <v>198</v>
      </c>
      <c r="B110">
        <v>2023</v>
      </c>
      <c r="C110" t="s">
        <v>645</v>
      </c>
      <c r="D110" s="241">
        <v>70556</v>
      </c>
      <c r="E110">
        <v>51184.00390625</v>
      </c>
      <c r="F110">
        <v>35357.00390625</v>
      </c>
      <c r="G110">
        <v>23017.001953125</v>
      </c>
      <c r="H110">
        <v>14366</v>
      </c>
      <c r="I110">
        <v>419428.96875</v>
      </c>
    </row>
    <row r="111" spans="1:9" x14ac:dyDescent="0.2">
      <c r="A111" t="s">
        <v>198</v>
      </c>
      <c r="B111">
        <v>2024</v>
      </c>
      <c r="C111" t="s">
        <v>646</v>
      </c>
      <c r="D111" s="241">
        <v>73464.0078125</v>
      </c>
      <c r="E111">
        <v>53485</v>
      </c>
      <c r="F111">
        <v>37165</v>
      </c>
      <c r="G111">
        <v>24195</v>
      </c>
      <c r="H111">
        <v>15049.9990234375</v>
      </c>
      <c r="I111">
        <v>426622.03125</v>
      </c>
    </row>
    <row r="112" spans="1:9" x14ac:dyDescent="0.2">
      <c r="A112" t="s">
        <v>200</v>
      </c>
      <c r="B112">
        <v>2020</v>
      </c>
      <c r="C112" t="s">
        <v>647</v>
      </c>
      <c r="D112" s="241">
        <v>2093770</v>
      </c>
      <c r="E112">
        <v>1613208</v>
      </c>
      <c r="F112">
        <v>1210178</v>
      </c>
      <c r="G112">
        <v>873987</v>
      </c>
      <c r="H112">
        <v>594860.0625</v>
      </c>
      <c r="I112">
        <v>11673030</v>
      </c>
    </row>
    <row r="113" spans="1:9" x14ac:dyDescent="0.2">
      <c r="A113" t="s">
        <v>200</v>
      </c>
      <c r="B113">
        <v>2021</v>
      </c>
      <c r="C113" t="s">
        <v>648</v>
      </c>
      <c r="D113" s="241">
        <v>2153116</v>
      </c>
      <c r="E113">
        <v>1659042.125</v>
      </c>
      <c r="F113">
        <v>1245337</v>
      </c>
      <c r="G113">
        <v>901217.9375</v>
      </c>
      <c r="H113">
        <v>616334.9375</v>
      </c>
      <c r="I113">
        <v>11832935</v>
      </c>
    </row>
    <row r="114" spans="1:9" x14ac:dyDescent="0.2">
      <c r="A114" t="s">
        <v>200</v>
      </c>
      <c r="B114">
        <v>2022</v>
      </c>
      <c r="C114" t="s">
        <v>649</v>
      </c>
      <c r="D114" s="241">
        <v>2214029.75</v>
      </c>
      <c r="E114">
        <v>1706026</v>
      </c>
      <c r="F114">
        <v>1281149</v>
      </c>
      <c r="G114">
        <v>928472.9375</v>
      </c>
      <c r="H114">
        <v>637485</v>
      </c>
      <c r="I114">
        <v>11992646</v>
      </c>
    </row>
    <row r="115" spans="1:9" x14ac:dyDescent="0.2">
      <c r="A115" t="s">
        <v>200</v>
      </c>
      <c r="B115">
        <v>2023</v>
      </c>
      <c r="C115" t="s">
        <v>650</v>
      </c>
      <c r="D115" s="241">
        <v>2276901</v>
      </c>
      <c r="E115">
        <v>1754609</v>
      </c>
      <c r="F115">
        <v>1318021.875</v>
      </c>
      <c r="G115">
        <v>956130</v>
      </c>
      <c r="H115">
        <v>658640</v>
      </c>
      <c r="I115">
        <v>12151988</v>
      </c>
    </row>
    <row r="116" spans="1:9" x14ac:dyDescent="0.2">
      <c r="A116" t="s">
        <v>200</v>
      </c>
      <c r="B116">
        <v>2024</v>
      </c>
      <c r="C116" t="s">
        <v>651</v>
      </c>
      <c r="D116" s="241">
        <v>2342352.25</v>
      </c>
      <c r="E116">
        <v>1805393.125</v>
      </c>
      <c r="F116">
        <v>1356461</v>
      </c>
      <c r="G116">
        <v>984698</v>
      </c>
      <c r="H116">
        <v>680167</v>
      </c>
      <c r="I116">
        <v>12310678</v>
      </c>
    </row>
    <row r="117" spans="1:9" x14ac:dyDescent="0.2">
      <c r="A117" t="s">
        <v>202</v>
      </c>
      <c r="B117">
        <v>2020</v>
      </c>
      <c r="C117" t="s">
        <v>652</v>
      </c>
      <c r="D117" s="241">
        <v>54278636</v>
      </c>
      <c r="E117">
        <v>41455708</v>
      </c>
      <c r="F117">
        <v>29857440</v>
      </c>
      <c r="G117">
        <v>20389280</v>
      </c>
      <c r="H117">
        <v>12960578</v>
      </c>
      <c r="I117">
        <v>212559408</v>
      </c>
    </row>
    <row r="118" spans="1:9" x14ac:dyDescent="0.2">
      <c r="A118" t="s">
        <v>202</v>
      </c>
      <c r="B118">
        <v>2021</v>
      </c>
      <c r="C118" t="s">
        <v>653</v>
      </c>
      <c r="D118" s="241">
        <v>55781536</v>
      </c>
      <c r="E118">
        <v>42855424</v>
      </c>
      <c r="F118">
        <v>31043958</v>
      </c>
      <c r="G118">
        <v>21268322</v>
      </c>
      <c r="H118">
        <v>13577109</v>
      </c>
      <c r="I118">
        <v>213993456</v>
      </c>
    </row>
    <row r="119" spans="1:9" x14ac:dyDescent="0.2">
      <c r="A119" t="s">
        <v>202</v>
      </c>
      <c r="B119">
        <v>2022</v>
      </c>
      <c r="C119" t="s">
        <v>654</v>
      </c>
      <c r="D119" s="241">
        <v>57282436</v>
      </c>
      <c r="E119">
        <v>44261584</v>
      </c>
      <c r="F119">
        <v>32273488</v>
      </c>
      <c r="G119">
        <v>22164590</v>
      </c>
      <c r="H119">
        <v>14217936</v>
      </c>
      <c r="I119">
        <v>215353584</v>
      </c>
    </row>
    <row r="120" spans="1:9" x14ac:dyDescent="0.2">
      <c r="A120" t="s">
        <v>202</v>
      </c>
      <c r="B120">
        <v>2023</v>
      </c>
      <c r="C120" t="s">
        <v>655</v>
      </c>
      <c r="D120" s="241">
        <v>58795456</v>
      </c>
      <c r="E120">
        <v>45669352</v>
      </c>
      <c r="F120">
        <v>33534016</v>
      </c>
      <c r="G120">
        <v>23086182</v>
      </c>
      <c r="H120">
        <v>14882023</v>
      </c>
      <c r="I120">
        <v>216641824</v>
      </c>
    </row>
    <row r="121" spans="1:9" x14ac:dyDescent="0.2">
      <c r="A121" t="s">
        <v>202</v>
      </c>
      <c r="B121">
        <v>2024</v>
      </c>
      <c r="C121" t="s">
        <v>656</v>
      </c>
      <c r="D121" s="241">
        <v>60344872</v>
      </c>
      <c r="E121">
        <v>47074428</v>
      </c>
      <c r="F121">
        <v>34808296</v>
      </c>
      <c r="G121">
        <v>24046788</v>
      </c>
      <c r="H121">
        <v>15567909</v>
      </c>
      <c r="I121">
        <v>217863024</v>
      </c>
    </row>
    <row r="122" spans="1:9" x14ac:dyDescent="0.2">
      <c r="A122" t="s">
        <v>204</v>
      </c>
      <c r="B122">
        <v>2020</v>
      </c>
      <c r="C122" t="s">
        <v>657</v>
      </c>
      <c r="D122" s="241">
        <v>106472</v>
      </c>
      <c r="E122">
        <v>86837</v>
      </c>
      <c r="F122">
        <v>66536</v>
      </c>
      <c r="G122">
        <v>47996</v>
      </c>
      <c r="H122">
        <v>32962.99609375</v>
      </c>
      <c r="I122">
        <v>287371.03125</v>
      </c>
    </row>
    <row r="123" spans="1:9" x14ac:dyDescent="0.2">
      <c r="A123" t="s">
        <v>204</v>
      </c>
      <c r="B123">
        <v>2021</v>
      </c>
      <c r="C123" t="s">
        <v>658</v>
      </c>
      <c r="D123" s="241">
        <v>108008</v>
      </c>
      <c r="E123">
        <v>88441.0078125</v>
      </c>
      <c r="F123">
        <v>68327.0078125</v>
      </c>
      <c r="G123">
        <v>49446.00390625</v>
      </c>
      <c r="H123">
        <v>33918.00390625</v>
      </c>
      <c r="I123">
        <v>287707.96875</v>
      </c>
    </row>
    <row r="124" spans="1:9" x14ac:dyDescent="0.2">
      <c r="A124" t="s">
        <v>204</v>
      </c>
      <c r="B124">
        <v>2022</v>
      </c>
      <c r="C124" t="s">
        <v>659</v>
      </c>
      <c r="D124" s="241">
        <v>109631</v>
      </c>
      <c r="E124">
        <v>89969.9921875</v>
      </c>
      <c r="F124">
        <v>70167.0078125</v>
      </c>
      <c r="G124">
        <v>51005.99609375</v>
      </c>
      <c r="H124">
        <v>34933</v>
      </c>
      <c r="I124">
        <v>288022.96875</v>
      </c>
    </row>
    <row r="125" spans="1:9" x14ac:dyDescent="0.2">
      <c r="A125" t="s">
        <v>204</v>
      </c>
      <c r="B125">
        <v>2023</v>
      </c>
      <c r="C125" t="s">
        <v>660</v>
      </c>
      <c r="D125" s="241">
        <v>111265</v>
      </c>
      <c r="E125">
        <v>91437.9921875</v>
      </c>
      <c r="F125">
        <v>71994.9921875</v>
      </c>
      <c r="G125">
        <v>52635</v>
      </c>
      <c r="H125">
        <v>36007</v>
      </c>
      <c r="I125">
        <v>288314.03125</v>
      </c>
    </row>
    <row r="126" spans="1:9" x14ac:dyDescent="0.2">
      <c r="A126" t="s">
        <v>204</v>
      </c>
      <c r="B126">
        <v>2024</v>
      </c>
      <c r="C126" t="s">
        <v>661</v>
      </c>
      <c r="D126" s="241">
        <v>112818</v>
      </c>
      <c r="E126">
        <v>92897</v>
      </c>
      <c r="F126">
        <v>73742.0078125</v>
      </c>
      <c r="G126">
        <v>54302</v>
      </c>
      <c r="H126">
        <v>37171.99609375</v>
      </c>
      <c r="I126">
        <v>288567</v>
      </c>
    </row>
    <row r="127" spans="1:9" x14ac:dyDescent="0.2">
      <c r="A127" t="s">
        <v>444</v>
      </c>
      <c r="B127">
        <v>2020</v>
      </c>
      <c r="C127" t="s">
        <v>662</v>
      </c>
      <c r="D127" s="241">
        <v>91776.9921875</v>
      </c>
      <c r="E127">
        <v>63785</v>
      </c>
      <c r="F127">
        <v>41556</v>
      </c>
      <c r="G127">
        <v>24369.998046875</v>
      </c>
      <c r="H127">
        <v>13043.0009765625</v>
      </c>
      <c r="I127">
        <v>437483.03125</v>
      </c>
    </row>
    <row r="128" spans="1:9" x14ac:dyDescent="0.2">
      <c r="A128" t="s">
        <v>444</v>
      </c>
      <c r="B128">
        <v>2021</v>
      </c>
      <c r="C128" t="s">
        <v>663</v>
      </c>
      <c r="D128" s="241">
        <v>96421.984375</v>
      </c>
      <c r="E128">
        <v>67540.9921875</v>
      </c>
      <c r="F128">
        <v>44366.00390625</v>
      </c>
      <c r="G128">
        <v>26335.998046875</v>
      </c>
      <c r="H128">
        <v>14070.0009765625</v>
      </c>
      <c r="I128">
        <v>441531.9375</v>
      </c>
    </row>
    <row r="129" spans="1:9" x14ac:dyDescent="0.2">
      <c r="A129" t="s">
        <v>444</v>
      </c>
      <c r="B129">
        <v>2022</v>
      </c>
      <c r="C129" t="s">
        <v>664</v>
      </c>
      <c r="D129" s="241">
        <v>100998</v>
      </c>
      <c r="E129">
        <v>71344</v>
      </c>
      <c r="F129">
        <v>47184.99609375</v>
      </c>
      <c r="G129">
        <v>28406.998046875</v>
      </c>
      <c r="H129">
        <v>15195</v>
      </c>
      <c r="I129">
        <v>445429.03125</v>
      </c>
    </row>
    <row r="130" spans="1:9" x14ac:dyDescent="0.2">
      <c r="A130" t="s">
        <v>444</v>
      </c>
      <c r="B130">
        <v>2023</v>
      </c>
      <c r="C130" t="s">
        <v>665</v>
      </c>
      <c r="D130" s="241">
        <v>105550</v>
      </c>
      <c r="E130">
        <v>75208.0078125</v>
      </c>
      <c r="F130">
        <v>50058</v>
      </c>
      <c r="G130">
        <v>30575</v>
      </c>
      <c r="H130">
        <v>16431</v>
      </c>
      <c r="I130">
        <v>449169</v>
      </c>
    </row>
    <row r="131" spans="1:9" x14ac:dyDescent="0.2">
      <c r="A131" t="s">
        <v>444</v>
      </c>
      <c r="B131">
        <v>2024</v>
      </c>
      <c r="C131" t="s">
        <v>666</v>
      </c>
      <c r="D131" s="241">
        <v>110214.0078125</v>
      </c>
      <c r="E131">
        <v>79214.0078125</v>
      </c>
      <c r="F131">
        <v>53096.00390625</v>
      </c>
      <c r="G131">
        <v>32860</v>
      </c>
      <c r="H131">
        <v>17810.998046875</v>
      </c>
      <c r="I131">
        <v>452767.03125</v>
      </c>
    </row>
    <row r="132" spans="1:9" x14ac:dyDescent="0.2">
      <c r="A132" t="s">
        <v>420</v>
      </c>
      <c r="B132">
        <v>2020</v>
      </c>
      <c r="C132" t="s">
        <v>667</v>
      </c>
      <c r="D132" s="241">
        <v>128191.984375</v>
      </c>
      <c r="E132">
        <v>94803</v>
      </c>
      <c r="F132">
        <v>69178</v>
      </c>
      <c r="G132">
        <v>47875</v>
      </c>
      <c r="H132">
        <v>32270</v>
      </c>
      <c r="I132">
        <v>771612.0625</v>
      </c>
    </row>
    <row r="133" spans="1:9" x14ac:dyDescent="0.2">
      <c r="A133" t="s">
        <v>420</v>
      </c>
      <c r="B133">
        <v>2021</v>
      </c>
      <c r="C133" t="s">
        <v>668</v>
      </c>
      <c r="D133" s="241">
        <v>132152</v>
      </c>
      <c r="E133">
        <v>97844</v>
      </c>
      <c r="F133">
        <v>71227</v>
      </c>
      <c r="G133">
        <v>49386</v>
      </c>
      <c r="H133">
        <v>33209.00390625</v>
      </c>
      <c r="I133">
        <v>779900</v>
      </c>
    </row>
    <row r="134" spans="1:9" x14ac:dyDescent="0.2">
      <c r="A134" t="s">
        <v>420</v>
      </c>
      <c r="B134">
        <v>2022</v>
      </c>
      <c r="C134" t="s">
        <v>669</v>
      </c>
      <c r="D134" s="241">
        <v>136297.984375</v>
      </c>
      <c r="E134">
        <v>101225</v>
      </c>
      <c r="F134">
        <v>73320</v>
      </c>
      <c r="G134">
        <v>51073.00390625</v>
      </c>
      <c r="H134">
        <v>34099.00390625</v>
      </c>
      <c r="I134">
        <v>787944.0625</v>
      </c>
    </row>
    <row r="135" spans="1:9" x14ac:dyDescent="0.2">
      <c r="A135" t="s">
        <v>420</v>
      </c>
      <c r="B135">
        <v>2023</v>
      </c>
      <c r="C135" t="s">
        <v>670</v>
      </c>
      <c r="D135" s="241">
        <v>140657</v>
      </c>
      <c r="E135">
        <v>104845.9921875</v>
      </c>
      <c r="F135">
        <v>75508.9921875</v>
      </c>
      <c r="G135">
        <v>52868.99609375</v>
      </c>
      <c r="H135">
        <v>34989.99609375</v>
      </c>
      <c r="I135">
        <v>795731.0625</v>
      </c>
    </row>
    <row r="136" spans="1:9" x14ac:dyDescent="0.2">
      <c r="A136" t="s">
        <v>420</v>
      </c>
      <c r="B136">
        <v>2024</v>
      </c>
      <c r="C136" t="s">
        <v>671</v>
      </c>
      <c r="D136" s="241">
        <v>145265.984375</v>
      </c>
      <c r="E136">
        <v>108543</v>
      </c>
      <c r="F136">
        <v>77862</v>
      </c>
      <c r="G136">
        <v>54673.99609375</v>
      </c>
      <c r="H136">
        <v>35948.99609375</v>
      </c>
      <c r="I136">
        <v>803268</v>
      </c>
    </row>
    <row r="137" spans="1:9" x14ac:dyDescent="0.2">
      <c r="A137" t="s">
        <v>99</v>
      </c>
      <c r="B137">
        <v>2020</v>
      </c>
      <c r="C137" t="s">
        <v>672</v>
      </c>
      <c r="D137" s="241">
        <v>311774.03125</v>
      </c>
      <c r="E137">
        <v>231417</v>
      </c>
      <c r="F137">
        <v>165191</v>
      </c>
      <c r="G137">
        <v>106105.9921875</v>
      </c>
      <c r="H137">
        <v>60939.99609375</v>
      </c>
      <c r="I137">
        <v>2351624.75</v>
      </c>
    </row>
    <row r="138" spans="1:9" x14ac:dyDescent="0.2">
      <c r="A138" t="s">
        <v>99</v>
      </c>
      <c r="B138">
        <v>2021</v>
      </c>
      <c r="C138" t="s">
        <v>673</v>
      </c>
      <c r="D138" s="241">
        <v>323600.03125</v>
      </c>
      <c r="E138">
        <v>238866.015625</v>
      </c>
      <c r="F138">
        <v>171497.015625</v>
      </c>
      <c r="G138">
        <v>111595</v>
      </c>
      <c r="H138">
        <v>64478.99609375</v>
      </c>
      <c r="I138">
        <v>2397240.25</v>
      </c>
    </row>
    <row r="139" spans="1:9" x14ac:dyDescent="0.2">
      <c r="A139" t="s">
        <v>99</v>
      </c>
      <c r="B139">
        <v>2022</v>
      </c>
      <c r="C139" t="s">
        <v>674</v>
      </c>
      <c r="D139" s="241">
        <v>336237</v>
      </c>
      <c r="E139">
        <v>246359</v>
      </c>
      <c r="F139">
        <v>177556.984375</v>
      </c>
      <c r="G139">
        <v>117168.984375</v>
      </c>
      <c r="H139">
        <v>68108.9921875</v>
      </c>
      <c r="I139">
        <v>2441153.75</v>
      </c>
    </row>
    <row r="140" spans="1:9" x14ac:dyDescent="0.2">
      <c r="A140" t="s">
        <v>99</v>
      </c>
      <c r="B140">
        <v>2023</v>
      </c>
      <c r="C140" t="s">
        <v>675</v>
      </c>
      <c r="D140" s="241">
        <v>349845</v>
      </c>
      <c r="E140">
        <v>254207.015625</v>
      </c>
      <c r="F140">
        <v>183511</v>
      </c>
      <c r="G140">
        <v>122757.9921875</v>
      </c>
      <c r="H140">
        <v>71854.9921875</v>
      </c>
      <c r="I140">
        <v>2483754</v>
      </c>
    </row>
    <row r="141" spans="1:9" x14ac:dyDescent="0.2">
      <c r="A141" t="s">
        <v>99</v>
      </c>
      <c r="B141">
        <v>2024</v>
      </c>
      <c r="C141" t="s">
        <v>676</v>
      </c>
      <c r="D141" s="241">
        <v>364593.96875</v>
      </c>
      <c r="E141">
        <v>262801.96875</v>
      </c>
      <c r="F141">
        <v>189511</v>
      </c>
      <c r="G141">
        <v>128229.9921875</v>
      </c>
      <c r="H141">
        <v>75731.9921875</v>
      </c>
      <c r="I141">
        <v>2525765.5</v>
      </c>
    </row>
    <row r="142" spans="1:9" x14ac:dyDescent="0.2">
      <c r="A142" t="s">
        <v>102</v>
      </c>
      <c r="B142">
        <v>2020</v>
      </c>
      <c r="C142" t="s">
        <v>677</v>
      </c>
      <c r="D142" s="241">
        <v>448693.03125</v>
      </c>
      <c r="E142">
        <v>319663.96875</v>
      </c>
      <c r="F142">
        <v>216097</v>
      </c>
      <c r="G142">
        <v>135142.984375</v>
      </c>
      <c r="H142">
        <v>77035.9921875</v>
      </c>
      <c r="I142">
        <v>4829763.5</v>
      </c>
    </row>
    <row r="143" spans="1:9" x14ac:dyDescent="0.2">
      <c r="A143" t="s">
        <v>102</v>
      </c>
      <c r="B143">
        <v>2021</v>
      </c>
      <c r="C143" t="s">
        <v>678</v>
      </c>
      <c r="D143" s="241">
        <v>458022.03125</v>
      </c>
      <c r="E143">
        <v>326578.03125</v>
      </c>
      <c r="F143">
        <v>221088.984375</v>
      </c>
      <c r="G143">
        <v>138599.984375</v>
      </c>
      <c r="H143">
        <v>78992</v>
      </c>
      <c r="I143">
        <v>4919986.5</v>
      </c>
    </row>
    <row r="144" spans="1:9" x14ac:dyDescent="0.2">
      <c r="A144" t="s">
        <v>102</v>
      </c>
      <c r="B144">
        <v>2022</v>
      </c>
      <c r="C144" t="s">
        <v>679</v>
      </c>
      <c r="D144" s="241">
        <v>467738.03125</v>
      </c>
      <c r="E144">
        <v>333662.03125</v>
      </c>
      <c r="F144">
        <v>226036.96875</v>
      </c>
      <c r="G144">
        <v>141961.984375</v>
      </c>
      <c r="H144">
        <v>80732</v>
      </c>
      <c r="I144">
        <v>5016678.5</v>
      </c>
    </row>
    <row r="145" spans="1:9" x14ac:dyDescent="0.2">
      <c r="A145" t="s">
        <v>102</v>
      </c>
      <c r="B145">
        <v>2023</v>
      </c>
      <c r="C145" t="s">
        <v>680</v>
      </c>
      <c r="D145" s="241">
        <v>477717</v>
      </c>
      <c r="E145">
        <v>340929.03125</v>
      </c>
      <c r="F145">
        <v>230984</v>
      </c>
      <c r="G145">
        <v>145213</v>
      </c>
      <c r="H145">
        <v>82256.0078125</v>
      </c>
      <c r="I145">
        <v>5119135.5</v>
      </c>
    </row>
    <row r="146" spans="1:9" x14ac:dyDescent="0.2">
      <c r="A146" t="s">
        <v>102</v>
      </c>
      <c r="B146">
        <v>2024</v>
      </c>
      <c r="C146" t="s">
        <v>681</v>
      </c>
      <c r="D146" s="241">
        <v>487840.03125</v>
      </c>
      <c r="E146">
        <v>348447.03125</v>
      </c>
      <c r="F146">
        <v>236020</v>
      </c>
      <c r="G146">
        <v>148346</v>
      </c>
      <c r="H146">
        <v>83583</v>
      </c>
      <c r="I146">
        <v>5226573</v>
      </c>
    </row>
    <row r="147" spans="1:9" x14ac:dyDescent="0.2">
      <c r="A147" t="s">
        <v>206</v>
      </c>
      <c r="B147">
        <v>2020</v>
      </c>
      <c r="C147" t="s">
        <v>682</v>
      </c>
      <c r="D147" s="241">
        <v>14577971</v>
      </c>
      <c r="E147">
        <v>12154490</v>
      </c>
      <c r="F147">
        <v>9395538</v>
      </c>
      <c r="G147">
        <v>6832974</v>
      </c>
      <c r="H147">
        <v>4682795</v>
      </c>
      <c r="I147">
        <v>37742160</v>
      </c>
    </row>
    <row r="148" spans="1:9" x14ac:dyDescent="0.2">
      <c r="A148" t="s">
        <v>206</v>
      </c>
      <c r="B148">
        <v>2021</v>
      </c>
      <c r="C148" t="s">
        <v>683</v>
      </c>
      <c r="D148" s="241">
        <v>14773259</v>
      </c>
      <c r="E148">
        <v>12390485</v>
      </c>
      <c r="F148">
        <v>9678489</v>
      </c>
      <c r="G148">
        <v>7064119</v>
      </c>
      <c r="H148">
        <v>4857208</v>
      </c>
      <c r="I148">
        <v>38067908</v>
      </c>
    </row>
    <row r="149" spans="1:9" x14ac:dyDescent="0.2">
      <c r="A149" t="s">
        <v>206</v>
      </c>
      <c r="B149">
        <v>2022</v>
      </c>
      <c r="C149" t="s">
        <v>684</v>
      </c>
      <c r="D149" s="241">
        <v>14970085</v>
      </c>
      <c r="E149">
        <v>12603634</v>
      </c>
      <c r="F149">
        <v>9967999</v>
      </c>
      <c r="G149">
        <v>7304372</v>
      </c>
      <c r="H149">
        <v>5032021.5</v>
      </c>
      <c r="I149">
        <v>38388416</v>
      </c>
    </row>
    <row r="150" spans="1:9" x14ac:dyDescent="0.2">
      <c r="A150" t="s">
        <v>206</v>
      </c>
      <c r="B150">
        <v>2023</v>
      </c>
      <c r="C150" t="s">
        <v>685</v>
      </c>
      <c r="D150" s="241">
        <v>15169819</v>
      </c>
      <c r="E150">
        <v>12801113</v>
      </c>
      <c r="F150">
        <v>10256312</v>
      </c>
      <c r="G150">
        <v>7554253.5</v>
      </c>
      <c r="H150">
        <v>5212020</v>
      </c>
      <c r="I150">
        <v>38704480</v>
      </c>
    </row>
    <row r="151" spans="1:9" x14ac:dyDescent="0.2">
      <c r="A151" t="s">
        <v>206</v>
      </c>
      <c r="B151">
        <v>2024</v>
      </c>
      <c r="C151" t="s">
        <v>686</v>
      </c>
      <c r="D151" s="241">
        <v>15371352</v>
      </c>
      <c r="E151">
        <v>12992947</v>
      </c>
      <c r="F151">
        <v>10530396</v>
      </c>
      <c r="G151">
        <v>7813158</v>
      </c>
      <c r="H151">
        <v>5403106.5</v>
      </c>
      <c r="I151">
        <v>39017092</v>
      </c>
    </row>
    <row r="152" spans="1:9" x14ac:dyDescent="0.2">
      <c r="A152" t="s">
        <v>329</v>
      </c>
      <c r="B152">
        <v>2020</v>
      </c>
      <c r="C152" t="s">
        <v>687</v>
      </c>
      <c r="D152" s="241">
        <v>3509265.5</v>
      </c>
      <c r="E152">
        <v>2832509.25</v>
      </c>
      <c r="F152">
        <v>2188643.25</v>
      </c>
      <c r="G152">
        <v>1652820</v>
      </c>
      <c r="H152">
        <v>1211208</v>
      </c>
      <c r="I152">
        <v>8654617</v>
      </c>
    </row>
    <row r="153" spans="1:9" x14ac:dyDescent="0.2">
      <c r="A153" t="s">
        <v>329</v>
      </c>
      <c r="B153">
        <v>2021</v>
      </c>
      <c r="C153" t="s">
        <v>688</v>
      </c>
      <c r="D153" s="241">
        <v>3569092.75</v>
      </c>
      <c r="E153">
        <v>2902840.75</v>
      </c>
      <c r="F153">
        <v>2245775</v>
      </c>
      <c r="G153">
        <v>1689589</v>
      </c>
      <c r="H153">
        <v>1239476</v>
      </c>
      <c r="I153">
        <v>8715493</v>
      </c>
    </row>
    <row r="154" spans="1:9" x14ac:dyDescent="0.2">
      <c r="A154" t="s">
        <v>329</v>
      </c>
      <c r="B154">
        <v>2022</v>
      </c>
      <c r="C154" t="s">
        <v>689</v>
      </c>
      <c r="D154" s="241">
        <v>3623169</v>
      </c>
      <c r="E154">
        <v>2973453.75</v>
      </c>
      <c r="F154">
        <v>2305865</v>
      </c>
      <c r="G154">
        <v>1728743</v>
      </c>
      <c r="H154">
        <v>1265200.125</v>
      </c>
      <c r="I154">
        <v>8773641</v>
      </c>
    </row>
    <row r="155" spans="1:9" x14ac:dyDescent="0.2">
      <c r="A155" t="s">
        <v>329</v>
      </c>
      <c r="B155">
        <v>2023</v>
      </c>
      <c r="C155" t="s">
        <v>690</v>
      </c>
      <c r="D155" s="241">
        <v>3672924.25</v>
      </c>
      <c r="E155">
        <v>3042990.25</v>
      </c>
      <c r="F155">
        <v>2368659.25</v>
      </c>
      <c r="G155">
        <v>1771031</v>
      </c>
      <c r="H155">
        <v>1290293</v>
      </c>
      <c r="I155">
        <v>8829562</v>
      </c>
    </row>
    <row r="156" spans="1:9" x14ac:dyDescent="0.2">
      <c r="A156" t="s">
        <v>329</v>
      </c>
      <c r="B156">
        <v>2024</v>
      </c>
      <c r="C156" t="s">
        <v>691</v>
      </c>
      <c r="D156" s="241">
        <v>3720482</v>
      </c>
      <c r="E156">
        <v>3109338</v>
      </c>
      <c r="F156">
        <v>2433607</v>
      </c>
      <c r="G156">
        <v>1817239</v>
      </c>
      <c r="H156">
        <v>1317444.125</v>
      </c>
      <c r="I156">
        <v>8883854</v>
      </c>
    </row>
    <row r="157" spans="1:9" x14ac:dyDescent="0.2">
      <c r="A157" t="s">
        <v>504</v>
      </c>
      <c r="B157">
        <v>2020</v>
      </c>
      <c r="C157" t="s">
        <v>692</v>
      </c>
      <c r="D157" s="241">
        <v>67944.0078125</v>
      </c>
      <c r="E157">
        <v>54230.00390625</v>
      </c>
      <c r="F157">
        <v>41766.0078125</v>
      </c>
      <c r="G157">
        <v>31147</v>
      </c>
      <c r="H157">
        <v>21754.001953125</v>
      </c>
      <c r="I157">
        <v>173859.015625</v>
      </c>
    </row>
    <row r="158" spans="1:9" x14ac:dyDescent="0.2">
      <c r="A158" t="s">
        <v>504</v>
      </c>
      <c r="B158">
        <v>2021</v>
      </c>
      <c r="C158" t="s">
        <v>693</v>
      </c>
      <c r="D158" s="241">
        <v>69505.015625</v>
      </c>
      <c r="E158">
        <v>55716.00390625</v>
      </c>
      <c r="F158">
        <v>42922</v>
      </c>
      <c r="G158">
        <v>32008</v>
      </c>
      <c r="H158">
        <v>22428.998046875</v>
      </c>
      <c r="I158">
        <v>175244</v>
      </c>
    </row>
    <row r="159" spans="1:9" x14ac:dyDescent="0.2">
      <c r="A159" t="s">
        <v>504</v>
      </c>
      <c r="B159">
        <v>2022</v>
      </c>
      <c r="C159" t="s">
        <v>694</v>
      </c>
      <c r="D159" s="241">
        <v>70942</v>
      </c>
      <c r="E159">
        <v>57156.0078125</v>
      </c>
      <c r="F159">
        <v>44069</v>
      </c>
      <c r="G159">
        <v>32825</v>
      </c>
      <c r="H159">
        <v>23095</v>
      </c>
      <c r="I159">
        <v>176461.03125</v>
      </c>
    </row>
    <row r="160" spans="1:9" x14ac:dyDescent="0.2">
      <c r="A160" t="s">
        <v>504</v>
      </c>
      <c r="B160">
        <v>2023</v>
      </c>
      <c r="C160" t="s">
        <v>695</v>
      </c>
      <c r="D160" s="241">
        <v>72277</v>
      </c>
      <c r="E160">
        <v>58569.99609375</v>
      </c>
      <c r="F160">
        <v>45240.99609375</v>
      </c>
      <c r="G160">
        <v>33645</v>
      </c>
      <c r="H160">
        <v>23769</v>
      </c>
      <c r="I160">
        <v>177559</v>
      </c>
    </row>
    <row r="161" spans="1:9" x14ac:dyDescent="0.2">
      <c r="A161" t="s">
        <v>504</v>
      </c>
      <c r="B161">
        <v>2024</v>
      </c>
      <c r="C161" t="s">
        <v>696</v>
      </c>
      <c r="D161" s="241">
        <v>73525.9921875</v>
      </c>
      <c r="E161">
        <v>59980</v>
      </c>
      <c r="F161">
        <v>46465</v>
      </c>
      <c r="G161">
        <v>34519</v>
      </c>
      <c r="H161">
        <v>24462</v>
      </c>
      <c r="I161">
        <v>178606</v>
      </c>
    </row>
    <row r="162" spans="1:9" x14ac:dyDescent="0.2">
      <c r="A162" t="s">
        <v>209</v>
      </c>
      <c r="B162">
        <v>2020</v>
      </c>
      <c r="C162" t="s">
        <v>697</v>
      </c>
      <c r="D162" s="241">
        <v>5674905.5</v>
      </c>
      <c r="E162">
        <v>4460310</v>
      </c>
      <c r="F162">
        <v>3322633.75</v>
      </c>
      <c r="G162">
        <v>2340335</v>
      </c>
      <c r="H162">
        <v>1530846.875</v>
      </c>
      <c r="I162">
        <v>19116208</v>
      </c>
    </row>
    <row r="163" spans="1:9" x14ac:dyDescent="0.2">
      <c r="A163" t="s">
        <v>209</v>
      </c>
      <c r="B163">
        <v>2021</v>
      </c>
      <c r="C163" t="s">
        <v>698</v>
      </c>
      <c r="D163" s="241">
        <v>5825918</v>
      </c>
      <c r="E163">
        <v>4604787.5</v>
      </c>
      <c r="F163">
        <v>3449349.75</v>
      </c>
      <c r="G163">
        <v>2440012</v>
      </c>
      <c r="H163">
        <v>1600662.125</v>
      </c>
      <c r="I163">
        <v>19212360</v>
      </c>
    </row>
    <row r="164" spans="1:9" x14ac:dyDescent="0.2">
      <c r="A164" t="s">
        <v>209</v>
      </c>
      <c r="B164">
        <v>2022</v>
      </c>
      <c r="C164" t="s">
        <v>699</v>
      </c>
      <c r="D164" s="241">
        <v>5954597.5</v>
      </c>
      <c r="E164">
        <v>4732609.5</v>
      </c>
      <c r="F164">
        <v>3566845.25</v>
      </c>
      <c r="G164">
        <v>2532788</v>
      </c>
      <c r="H164">
        <v>1669496.125</v>
      </c>
      <c r="I164">
        <v>19250192</v>
      </c>
    </row>
    <row r="165" spans="1:9" x14ac:dyDescent="0.2">
      <c r="A165" t="s">
        <v>209</v>
      </c>
      <c r="B165">
        <v>2023</v>
      </c>
      <c r="C165" t="s">
        <v>700</v>
      </c>
      <c r="D165" s="241">
        <v>6069160</v>
      </c>
      <c r="E165">
        <v>4849252.5</v>
      </c>
      <c r="F165">
        <v>3678530.25</v>
      </c>
      <c r="G165">
        <v>2622235</v>
      </c>
      <c r="H165">
        <v>1738503</v>
      </c>
      <c r="I165">
        <v>19249346</v>
      </c>
    </row>
    <row r="166" spans="1:9" x14ac:dyDescent="0.2">
      <c r="A166" t="s">
        <v>209</v>
      </c>
      <c r="B166">
        <v>2024</v>
      </c>
      <c r="C166" t="s">
        <v>701</v>
      </c>
      <c r="D166" s="241">
        <v>6182545.5</v>
      </c>
      <c r="E166">
        <v>4963940.5</v>
      </c>
      <c r="F166">
        <v>3790389.25</v>
      </c>
      <c r="G166">
        <v>2714488</v>
      </c>
      <c r="H166">
        <v>1809948</v>
      </c>
      <c r="I166">
        <v>19238996</v>
      </c>
    </row>
    <row r="167" spans="1:9" x14ac:dyDescent="0.2">
      <c r="A167" t="s">
        <v>446</v>
      </c>
      <c r="B167">
        <v>2020</v>
      </c>
      <c r="C167" t="s">
        <v>702</v>
      </c>
      <c r="D167" s="241">
        <v>471962144</v>
      </c>
      <c r="E167">
        <v>348516768</v>
      </c>
      <c r="F167">
        <v>249776320</v>
      </c>
      <c r="G167">
        <v>172262176</v>
      </c>
      <c r="H167">
        <v>98112408</v>
      </c>
      <c r="I167">
        <v>1439323776</v>
      </c>
    </row>
    <row r="168" spans="1:9" x14ac:dyDescent="0.2">
      <c r="A168" t="s">
        <v>446</v>
      </c>
      <c r="B168">
        <v>2021</v>
      </c>
      <c r="C168" t="s">
        <v>703</v>
      </c>
      <c r="D168" s="241">
        <v>486853408</v>
      </c>
      <c r="E168">
        <v>361980608</v>
      </c>
      <c r="F168">
        <v>258371808</v>
      </c>
      <c r="G168">
        <v>179274256</v>
      </c>
      <c r="H168">
        <v>104509032</v>
      </c>
      <c r="I168">
        <v>1444216320</v>
      </c>
    </row>
    <row r="169" spans="1:9" x14ac:dyDescent="0.2">
      <c r="A169" t="s">
        <v>446</v>
      </c>
      <c r="B169">
        <v>2022</v>
      </c>
      <c r="C169" t="s">
        <v>704</v>
      </c>
      <c r="D169" s="241">
        <v>501313984</v>
      </c>
      <c r="E169">
        <v>376288352</v>
      </c>
      <c r="F169">
        <v>267475312</v>
      </c>
      <c r="G169">
        <v>185501696</v>
      </c>
      <c r="H169">
        <v>111697360</v>
      </c>
      <c r="I169">
        <v>1448471552</v>
      </c>
    </row>
    <row r="170" spans="1:9" x14ac:dyDescent="0.2">
      <c r="A170" t="s">
        <v>446</v>
      </c>
      <c r="B170">
        <v>2023</v>
      </c>
      <c r="C170" t="s">
        <v>705</v>
      </c>
      <c r="D170" s="241">
        <v>515023904</v>
      </c>
      <c r="E170">
        <v>391107232</v>
      </c>
      <c r="F170">
        <v>277257536</v>
      </c>
      <c r="G170">
        <v>191400992</v>
      </c>
      <c r="H170">
        <v>119174712</v>
      </c>
      <c r="I170">
        <v>1452127360</v>
      </c>
    </row>
    <row r="171" spans="1:9" x14ac:dyDescent="0.2">
      <c r="A171" t="s">
        <v>446</v>
      </c>
      <c r="B171">
        <v>2024</v>
      </c>
      <c r="C171" t="s">
        <v>706</v>
      </c>
      <c r="D171" s="241">
        <v>527541824</v>
      </c>
      <c r="E171">
        <v>405923712</v>
      </c>
      <c r="F171">
        <v>287922400</v>
      </c>
      <c r="G171">
        <v>197622640</v>
      </c>
      <c r="H171">
        <v>126196728</v>
      </c>
      <c r="I171">
        <v>1455254912</v>
      </c>
    </row>
    <row r="172" spans="1:9" x14ac:dyDescent="0.2">
      <c r="A172" t="s">
        <v>104</v>
      </c>
      <c r="B172">
        <v>2020</v>
      </c>
      <c r="C172" t="s">
        <v>707</v>
      </c>
      <c r="D172" s="241">
        <v>2572369.75</v>
      </c>
      <c r="E172">
        <v>1833849</v>
      </c>
      <c r="F172">
        <v>1235144</v>
      </c>
      <c r="G172">
        <v>760375</v>
      </c>
      <c r="H172">
        <v>413078.03125</v>
      </c>
      <c r="I172">
        <v>26378280</v>
      </c>
    </row>
    <row r="173" spans="1:9" x14ac:dyDescent="0.2">
      <c r="A173" t="s">
        <v>104</v>
      </c>
      <c r="B173">
        <v>2021</v>
      </c>
      <c r="C173" t="s">
        <v>708</v>
      </c>
      <c r="D173" s="241">
        <v>2643441.75</v>
      </c>
      <c r="E173">
        <v>1883330.25</v>
      </c>
      <c r="F173">
        <v>1272062.125</v>
      </c>
      <c r="G173">
        <v>787556</v>
      </c>
      <c r="H173">
        <v>430217</v>
      </c>
      <c r="I173">
        <v>27053628</v>
      </c>
    </row>
    <row r="174" spans="1:9" x14ac:dyDescent="0.2">
      <c r="A174" t="s">
        <v>104</v>
      </c>
      <c r="B174">
        <v>2022</v>
      </c>
      <c r="C174" t="s">
        <v>709</v>
      </c>
      <c r="D174" s="241">
        <v>2718138</v>
      </c>
      <c r="E174">
        <v>1933893.25</v>
      </c>
      <c r="F174">
        <v>1308827</v>
      </c>
      <c r="G174">
        <v>813771.9375</v>
      </c>
      <c r="H174">
        <v>446661.96875</v>
      </c>
      <c r="I174">
        <v>27742298</v>
      </c>
    </row>
    <row r="175" spans="1:9" x14ac:dyDescent="0.2">
      <c r="A175" t="s">
        <v>104</v>
      </c>
      <c r="B175">
        <v>2023</v>
      </c>
      <c r="C175" t="s">
        <v>710</v>
      </c>
      <c r="D175" s="241">
        <v>2797071.25</v>
      </c>
      <c r="E175">
        <v>1986014</v>
      </c>
      <c r="F175">
        <v>1345575.125</v>
      </c>
      <c r="G175">
        <v>839070.0625</v>
      </c>
      <c r="H175">
        <v>462067</v>
      </c>
      <c r="I175">
        <v>28444208</v>
      </c>
    </row>
    <row r="176" spans="1:9" x14ac:dyDescent="0.2">
      <c r="A176" t="s">
        <v>104</v>
      </c>
      <c r="B176">
        <v>2024</v>
      </c>
      <c r="C176" t="s">
        <v>711</v>
      </c>
      <c r="D176" s="241">
        <v>2881228</v>
      </c>
      <c r="E176">
        <v>2040403.125</v>
      </c>
      <c r="F176">
        <v>1382421.125</v>
      </c>
      <c r="G176">
        <v>863502</v>
      </c>
      <c r="H176">
        <v>476084</v>
      </c>
      <c r="I176">
        <v>29159502</v>
      </c>
    </row>
    <row r="177" spans="1:9" x14ac:dyDescent="0.2">
      <c r="A177" t="s">
        <v>106</v>
      </c>
      <c r="B177">
        <v>2020</v>
      </c>
      <c r="C177" t="s">
        <v>712</v>
      </c>
      <c r="D177" s="241">
        <v>2429907.5</v>
      </c>
      <c r="E177">
        <v>1700776</v>
      </c>
      <c r="F177">
        <v>1141430</v>
      </c>
      <c r="G177">
        <v>721030</v>
      </c>
      <c r="H177">
        <v>408130.96875</v>
      </c>
      <c r="I177">
        <v>26545864</v>
      </c>
    </row>
    <row r="178" spans="1:9" x14ac:dyDescent="0.2">
      <c r="A178" t="s">
        <v>106</v>
      </c>
      <c r="B178">
        <v>2021</v>
      </c>
      <c r="C178" t="s">
        <v>713</v>
      </c>
      <c r="D178" s="241">
        <v>2512858.5</v>
      </c>
      <c r="E178">
        <v>1755711</v>
      </c>
      <c r="F178">
        <v>1175878</v>
      </c>
      <c r="G178">
        <v>742554</v>
      </c>
      <c r="H178">
        <v>422592.03125</v>
      </c>
      <c r="I178">
        <v>27224262</v>
      </c>
    </row>
    <row r="179" spans="1:9" x14ac:dyDescent="0.2">
      <c r="A179" t="s">
        <v>106</v>
      </c>
      <c r="B179">
        <v>2022</v>
      </c>
      <c r="C179" t="s">
        <v>714</v>
      </c>
      <c r="D179" s="241">
        <v>2600494.25</v>
      </c>
      <c r="E179">
        <v>1813546</v>
      </c>
      <c r="F179">
        <v>1211703</v>
      </c>
      <c r="G179">
        <v>763270.9375</v>
      </c>
      <c r="H179">
        <v>435813</v>
      </c>
      <c r="I179">
        <v>27911542</v>
      </c>
    </row>
    <row r="180" spans="1:9" x14ac:dyDescent="0.2">
      <c r="A180" t="s">
        <v>106</v>
      </c>
      <c r="B180">
        <v>2023</v>
      </c>
      <c r="C180" t="s">
        <v>715</v>
      </c>
      <c r="D180" s="241">
        <v>2693376.75</v>
      </c>
      <c r="E180">
        <v>1874704.125</v>
      </c>
      <c r="F180">
        <v>1249303.25</v>
      </c>
      <c r="G180">
        <v>783781.0625</v>
      </c>
      <c r="H180">
        <v>447784</v>
      </c>
      <c r="I180">
        <v>28608130</v>
      </c>
    </row>
    <row r="181" spans="1:9" x14ac:dyDescent="0.2">
      <c r="A181" t="s">
        <v>106</v>
      </c>
      <c r="B181">
        <v>2024</v>
      </c>
      <c r="C181" t="s">
        <v>716</v>
      </c>
      <c r="D181" s="241">
        <v>2792144</v>
      </c>
      <c r="E181">
        <v>1939616</v>
      </c>
      <c r="F181">
        <v>1289023.875</v>
      </c>
      <c r="G181">
        <v>804775</v>
      </c>
      <c r="H181">
        <v>458449</v>
      </c>
      <c r="I181">
        <v>29314690</v>
      </c>
    </row>
    <row r="182" spans="1:9" x14ac:dyDescent="0.2">
      <c r="A182" t="s">
        <v>109</v>
      </c>
      <c r="B182">
        <v>2020</v>
      </c>
      <c r="C182" t="s">
        <v>717</v>
      </c>
      <c r="D182" s="241">
        <v>8536979</v>
      </c>
      <c r="E182">
        <v>6115242</v>
      </c>
      <c r="F182">
        <v>4189976.5</v>
      </c>
      <c r="G182">
        <v>2703564.75</v>
      </c>
      <c r="H182">
        <v>1604134.875</v>
      </c>
      <c r="I182">
        <v>89561400</v>
      </c>
    </row>
    <row r="183" spans="1:9" x14ac:dyDescent="0.2">
      <c r="A183" t="s">
        <v>109</v>
      </c>
      <c r="B183">
        <v>2021</v>
      </c>
      <c r="C183" t="s">
        <v>718</v>
      </c>
      <c r="D183" s="241">
        <v>8823465</v>
      </c>
      <c r="E183">
        <v>6322792</v>
      </c>
      <c r="F183">
        <v>4332459.5</v>
      </c>
      <c r="G183">
        <v>2796736.75</v>
      </c>
      <c r="H183">
        <v>1665724</v>
      </c>
      <c r="I183">
        <v>92377968</v>
      </c>
    </row>
    <row r="184" spans="1:9" x14ac:dyDescent="0.2">
      <c r="A184" t="s">
        <v>109</v>
      </c>
      <c r="B184">
        <v>2022</v>
      </c>
      <c r="C184" t="s">
        <v>719</v>
      </c>
      <c r="D184" s="241">
        <v>9122828</v>
      </c>
      <c r="E184">
        <v>6539946</v>
      </c>
      <c r="F184">
        <v>4480561</v>
      </c>
      <c r="G184">
        <v>2891584.5</v>
      </c>
      <c r="H184">
        <v>1723062.125</v>
      </c>
      <c r="I184">
        <v>95240800</v>
      </c>
    </row>
    <row r="185" spans="1:9" x14ac:dyDescent="0.2">
      <c r="A185" t="s">
        <v>109</v>
      </c>
      <c r="B185">
        <v>2023</v>
      </c>
      <c r="C185" t="s">
        <v>720</v>
      </c>
      <c r="D185" s="241">
        <v>9436601</v>
      </c>
      <c r="E185">
        <v>6767730</v>
      </c>
      <c r="F185">
        <v>4635645</v>
      </c>
      <c r="G185">
        <v>2989225.75</v>
      </c>
      <c r="H185">
        <v>1777895</v>
      </c>
      <c r="I185">
        <v>98151936</v>
      </c>
    </row>
    <row r="186" spans="1:9" x14ac:dyDescent="0.2">
      <c r="A186" t="s">
        <v>109</v>
      </c>
      <c r="B186">
        <v>2024</v>
      </c>
      <c r="C186" t="s">
        <v>721</v>
      </c>
      <c r="D186" s="241">
        <v>9766551</v>
      </c>
      <c r="E186">
        <v>7007180.5</v>
      </c>
      <c r="F186">
        <v>4799012.5</v>
      </c>
      <c r="G186">
        <v>3090755.75</v>
      </c>
      <c r="H186">
        <v>1832272.125</v>
      </c>
      <c r="I186">
        <v>101115264</v>
      </c>
    </row>
    <row r="187" spans="1:9" x14ac:dyDescent="0.2">
      <c r="A187" t="s">
        <v>111</v>
      </c>
      <c r="B187">
        <v>2020</v>
      </c>
      <c r="C187" t="s">
        <v>722</v>
      </c>
      <c r="D187" s="241">
        <v>577639</v>
      </c>
      <c r="E187">
        <v>388665</v>
      </c>
      <c r="F187">
        <v>249747.015625</v>
      </c>
      <c r="G187">
        <v>152452.015625</v>
      </c>
      <c r="H187">
        <v>85010</v>
      </c>
      <c r="I187">
        <v>5518092.5</v>
      </c>
    </row>
    <row r="188" spans="1:9" x14ac:dyDescent="0.2">
      <c r="A188" t="s">
        <v>111</v>
      </c>
      <c r="B188">
        <v>2021</v>
      </c>
      <c r="C188" t="s">
        <v>723</v>
      </c>
      <c r="D188" s="241">
        <v>604714.9375</v>
      </c>
      <c r="E188">
        <v>407482.96875</v>
      </c>
      <c r="F188">
        <v>261423.953125</v>
      </c>
      <c r="G188">
        <v>159181.015625</v>
      </c>
      <c r="H188">
        <v>88976.0078125</v>
      </c>
      <c r="I188">
        <v>5657018</v>
      </c>
    </row>
    <row r="189" spans="1:9" x14ac:dyDescent="0.2">
      <c r="A189" t="s">
        <v>111</v>
      </c>
      <c r="B189">
        <v>2022</v>
      </c>
      <c r="C189" t="s">
        <v>724</v>
      </c>
      <c r="D189" s="241">
        <v>632610.0625</v>
      </c>
      <c r="E189">
        <v>427178.03125</v>
      </c>
      <c r="F189">
        <v>273736.03125</v>
      </c>
      <c r="G189">
        <v>166024.984375</v>
      </c>
      <c r="H189">
        <v>92842.9921875</v>
      </c>
      <c r="I189">
        <v>5797802</v>
      </c>
    </row>
    <row r="190" spans="1:9" x14ac:dyDescent="0.2">
      <c r="A190" t="s">
        <v>111</v>
      </c>
      <c r="B190">
        <v>2023</v>
      </c>
      <c r="C190" t="s">
        <v>725</v>
      </c>
      <c r="D190" s="241">
        <v>661553</v>
      </c>
      <c r="E190">
        <v>447900</v>
      </c>
      <c r="F190">
        <v>286844</v>
      </c>
      <c r="G190">
        <v>173176</v>
      </c>
      <c r="H190">
        <v>96671.0078125</v>
      </c>
      <c r="I190">
        <v>5940745.5</v>
      </c>
    </row>
    <row r="191" spans="1:9" x14ac:dyDescent="0.2">
      <c r="A191" t="s">
        <v>111</v>
      </c>
      <c r="B191">
        <v>2024</v>
      </c>
      <c r="C191" t="s">
        <v>726</v>
      </c>
      <c r="D191" s="241">
        <v>691840.0625</v>
      </c>
      <c r="E191">
        <v>469828</v>
      </c>
      <c r="F191">
        <v>300926.03125</v>
      </c>
      <c r="G191">
        <v>180869</v>
      </c>
      <c r="H191">
        <v>100523</v>
      </c>
      <c r="I191">
        <v>6086281</v>
      </c>
    </row>
    <row r="192" spans="1:9" x14ac:dyDescent="0.2">
      <c r="A192" t="s">
        <v>211</v>
      </c>
      <c r="B192">
        <v>2020</v>
      </c>
      <c r="C192" t="s">
        <v>727</v>
      </c>
      <c r="D192" s="241">
        <v>12240705</v>
      </c>
      <c r="E192">
        <v>9332240</v>
      </c>
      <c r="F192">
        <v>6696726</v>
      </c>
      <c r="G192">
        <v>4610276</v>
      </c>
      <c r="H192">
        <v>2925368</v>
      </c>
      <c r="I192">
        <v>50882888</v>
      </c>
    </row>
    <row r="193" spans="1:9" x14ac:dyDescent="0.2">
      <c r="A193" t="s">
        <v>211</v>
      </c>
      <c r="B193">
        <v>2021</v>
      </c>
      <c r="C193" t="s">
        <v>728</v>
      </c>
      <c r="D193" s="241">
        <v>12607055</v>
      </c>
      <c r="E193">
        <v>9685078</v>
      </c>
      <c r="F193">
        <v>6985664.5</v>
      </c>
      <c r="G193">
        <v>4816114</v>
      </c>
      <c r="H193">
        <v>3073563.25</v>
      </c>
      <c r="I193">
        <v>51265832</v>
      </c>
    </row>
    <row r="194" spans="1:9" x14ac:dyDescent="0.2">
      <c r="A194" t="s">
        <v>211</v>
      </c>
      <c r="B194">
        <v>2022</v>
      </c>
      <c r="C194" t="s">
        <v>729</v>
      </c>
      <c r="D194" s="241">
        <v>12942609</v>
      </c>
      <c r="E194">
        <v>10021567</v>
      </c>
      <c r="F194">
        <v>7276774.5</v>
      </c>
      <c r="G194">
        <v>5014323</v>
      </c>
      <c r="H194">
        <v>3225383</v>
      </c>
      <c r="I194">
        <v>51512760</v>
      </c>
    </row>
    <row r="195" spans="1:9" x14ac:dyDescent="0.2">
      <c r="A195" t="s">
        <v>211</v>
      </c>
      <c r="B195">
        <v>2023</v>
      </c>
      <c r="C195" t="s">
        <v>730</v>
      </c>
      <c r="D195" s="241">
        <v>13261090</v>
      </c>
      <c r="E195">
        <v>10345600</v>
      </c>
      <c r="F195">
        <v>7570731.5</v>
      </c>
      <c r="G195">
        <v>5212815.5</v>
      </c>
      <c r="H195">
        <v>3380707</v>
      </c>
      <c r="I195">
        <v>51672844</v>
      </c>
    </row>
    <row r="196" spans="1:9" x14ac:dyDescent="0.2">
      <c r="A196" t="s">
        <v>211</v>
      </c>
      <c r="B196">
        <v>2024</v>
      </c>
      <c r="C196" t="s">
        <v>731</v>
      </c>
      <c r="D196" s="241">
        <v>13585424</v>
      </c>
      <c r="E196">
        <v>10665498</v>
      </c>
      <c r="F196">
        <v>7869932.5</v>
      </c>
      <c r="G196">
        <v>5424522</v>
      </c>
      <c r="H196">
        <v>3540026.75</v>
      </c>
      <c r="I196">
        <v>51819752</v>
      </c>
    </row>
    <row r="197" spans="1:9" x14ac:dyDescent="0.2">
      <c r="A197" t="s">
        <v>113</v>
      </c>
      <c r="B197">
        <v>2020</v>
      </c>
      <c r="C197" t="s">
        <v>732</v>
      </c>
      <c r="D197" s="241">
        <v>95430.9921875</v>
      </c>
      <c r="E197">
        <v>67302.9921875</v>
      </c>
      <c r="F197">
        <v>44538.99609375</v>
      </c>
      <c r="G197">
        <v>27005.001953125</v>
      </c>
      <c r="H197">
        <v>14883.0009765625</v>
      </c>
      <c r="I197">
        <v>869595.0625</v>
      </c>
    </row>
    <row r="198" spans="1:9" x14ac:dyDescent="0.2">
      <c r="A198" t="s">
        <v>113</v>
      </c>
      <c r="B198">
        <v>2021</v>
      </c>
      <c r="C198" t="s">
        <v>733</v>
      </c>
      <c r="D198" s="241">
        <v>98647</v>
      </c>
      <c r="E198">
        <v>69739.015625</v>
      </c>
      <c r="F198">
        <v>46350.99609375</v>
      </c>
      <c r="G198">
        <v>28230.998046875</v>
      </c>
      <c r="H198">
        <v>15523.9990234375</v>
      </c>
      <c r="I198">
        <v>888455.8125</v>
      </c>
    </row>
    <row r="199" spans="1:9" x14ac:dyDescent="0.2">
      <c r="A199" t="s">
        <v>113</v>
      </c>
      <c r="B199">
        <v>2022</v>
      </c>
      <c r="C199" t="s">
        <v>734</v>
      </c>
      <c r="D199" s="241">
        <v>101950.0078125</v>
      </c>
      <c r="E199">
        <v>72210.0078125</v>
      </c>
      <c r="F199">
        <v>48172.99609375</v>
      </c>
      <c r="G199">
        <v>29463.998046875</v>
      </c>
      <c r="H199">
        <v>16177.9990234375</v>
      </c>
      <c r="I199">
        <v>907411.0625</v>
      </c>
    </row>
    <row r="200" spans="1:9" x14ac:dyDescent="0.2">
      <c r="A200" t="s">
        <v>113</v>
      </c>
      <c r="B200">
        <v>2023</v>
      </c>
      <c r="C200" t="s">
        <v>735</v>
      </c>
      <c r="D200" s="241">
        <v>105380</v>
      </c>
      <c r="E200">
        <v>74746.9921875</v>
      </c>
      <c r="F200">
        <v>50026</v>
      </c>
      <c r="G200">
        <v>30720</v>
      </c>
      <c r="H200">
        <v>16844</v>
      </c>
      <c r="I200">
        <v>926491.9375</v>
      </c>
    </row>
    <row r="201" spans="1:9" x14ac:dyDescent="0.2">
      <c r="A201" t="s">
        <v>113</v>
      </c>
      <c r="B201">
        <v>2024</v>
      </c>
      <c r="C201" t="s">
        <v>736</v>
      </c>
      <c r="D201" s="241">
        <v>108993.9921875</v>
      </c>
      <c r="E201">
        <v>77385</v>
      </c>
      <c r="F201">
        <v>51937.99609375</v>
      </c>
      <c r="G201">
        <v>32007</v>
      </c>
      <c r="H201">
        <v>17531.001953125</v>
      </c>
      <c r="I201">
        <v>945693</v>
      </c>
    </row>
    <row r="202" spans="1:9" x14ac:dyDescent="0.2">
      <c r="A202" t="s">
        <v>115</v>
      </c>
      <c r="B202">
        <v>2020</v>
      </c>
      <c r="C202" t="s">
        <v>737</v>
      </c>
      <c r="D202" s="241">
        <v>89937.9921875</v>
      </c>
      <c r="E202">
        <v>64680.9921875</v>
      </c>
      <c r="F202">
        <v>42026.00390625</v>
      </c>
      <c r="G202">
        <v>26612</v>
      </c>
      <c r="H202">
        <v>15653</v>
      </c>
      <c r="I202">
        <v>555988</v>
      </c>
    </row>
    <row r="203" spans="1:9" x14ac:dyDescent="0.2">
      <c r="A203" t="s">
        <v>115</v>
      </c>
      <c r="B203">
        <v>2021</v>
      </c>
      <c r="C203" t="s">
        <v>738</v>
      </c>
      <c r="D203" s="241">
        <v>93083</v>
      </c>
      <c r="E203">
        <v>67399</v>
      </c>
      <c r="F203">
        <v>44112.00390625</v>
      </c>
      <c r="G203">
        <v>27641</v>
      </c>
      <c r="H203">
        <v>15980</v>
      </c>
      <c r="I203">
        <v>561901.125</v>
      </c>
    </row>
    <row r="204" spans="1:9" x14ac:dyDescent="0.2">
      <c r="A204" t="s">
        <v>115</v>
      </c>
      <c r="B204">
        <v>2022</v>
      </c>
      <c r="C204" t="s">
        <v>739</v>
      </c>
      <c r="D204" s="241">
        <v>96305</v>
      </c>
      <c r="E204">
        <v>70073</v>
      </c>
      <c r="F204">
        <v>46435.0078125</v>
      </c>
      <c r="G204">
        <v>28655.998046875</v>
      </c>
      <c r="H204">
        <v>16513.998046875</v>
      </c>
      <c r="I204">
        <v>567675.9375</v>
      </c>
    </row>
    <row r="205" spans="1:9" x14ac:dyDescent="0.2">
      <c r="A205" t="s">
        <v>115</v>
      </c>
      <c r="B205">
        <v>2023</v>
      </c>
      <c r="C205" t="s">
        <v>740</v>
      </c>
      <c r="D205" s="241">
        <v>99660.9921875</v>
      </c>
      <c r="E205">
        <v>72756</v>
      </c>
      <c r="F205">
        <v>48923.0078125</v>
      </c>
      <c r="G205">
        <v>29746.001953125</v>
      </c>
      <c r="H205">
        <v>17189.001953125</v>
      </c>
      <c r="I205">
        <v>573321.9375</v>
      </c>
    </row>
    <row r="206" spans="1:9" x14ac:dyDescent="0.2">
      <c r="A206" t="s">
        <v>115</v>
      </c>
      <c r="B206">
        <v>2024</v>
      </c>
      <c r="C206" t="s">
        <v>741</v>
      </c>
      <c r="D206" s="241">
        <v>103223.9921875</v>
      </c>
      <c r="E206">
        <v>75523.9921875</v>
      </c>
      <c r="F206">
        <v>51463</v>
      </c>
      <c r="G206">
        <v>31042</v>
      </c>
      <c r="H206">
        <v>17907</v>
      </c>
      <c r="I206">
        <v>578868.0625</v>
      </c>
    </row>
    <row r="207" spans="1:9" x14ac:dyDescent="0.2">
      <c r="A207" t="s">
        <v>213</v>
      </c>
      <c r="B207">
        <v>2020</v>
      </c>
      <c r="C207" t="s">
        <v>742</v>
      </c>
      <c r="D207" s="241">
        <v>1369006</v>
      </c>
      <c r="E207">
        <v>1064063.875</v>
      </c>
      <c r="F207">
        <v>766611</v>
      </c>
      <c r="G207">
        <v>522304.0625</v>
      </c>
      <c r="H207">
        <v>343603</v>
      </c>
      <c r="I207">
        <v>5094114.5</v>
      </c>
    </row>
    <row r="208" spans="1:9" x14ac:dyDescent="0.2">
      <c r="A208" t="s">
        <v>213</v>
      </c>
      <c r="B208">
        <v>2021</v>
      </c>
      <c r="C208" t="s">
        <v>743</v>
      </c>
      <c r="D208" s="241">
        <v>1405316.875</v>
      </c>
      <c r="E208">
        <v>1102747</v>
      </c>
      <c r="F208">
        <v>801920.9375</v>
      </c>
      <c r="G208">
        <v>546916</v>
      </c>
      <c r="H208">
        <v>359342</v>
      </c>
      <c r="I208">
        <v>5139053.5</v>
      </c>
    </row>
    <row r="209" spans="1:9" x14ac:dyDescent="0.2">
      <c r="A209" t="s">
        <v>213</v>
      </c>
      <c r="B209">
        <v>2022</v>
      </c>
      <c r="C209" t="s">
        <v>744</v>
      </c>
      <c r="D209" s="241">
        <v>1440377.25</v>
      </c>
      <c r="E209">
        <v>1140752.25</v>
      </c>
      <c r="F209">
        <v>838561</v>
      </c>
      <c r="G209">
        <v>573207.9375</v>
      </c>
      <c r="H209">
        <v>375153.03125</v>
      </c>
      <c r="I209">
        <v>5182352</v>
      </c>
    </row>
    <row r="210" spans="1:9" x14ac:dyDescent="0.2">
      <c r="A210" t="s">
        <v>213</v>
      </c>
      <c r="B210">
        <v>2023</v>
      </c>
      <c r="C210" t="s">
        <v>745</v>
      </c>
      <c r="D210" s="241">
        <v>1475135.875</v>
      </c>
      <c r="E210">
        <v>1177992.75</v>
      </c>
      <c r="F210">
        <v>876038.0625</v>
      </c>
      <c r="G210">
        <v>601231.0625</v>
      </c>
      <c r="H210">
        <v>391666.96875</v>
      </c>
      <c r="I210">
        <v>5223972</v>
      </c>
    </row>
    <row r="211" spans="1:9" x14ac:dyDescent="0.2">
      <c r="A211" t="s">
        <v>213</v>
      </c>
      <c r="B211">
        <v>2024</v>
      </c>
      <c r="C211" t="s">
        <v>746</v>
      </c>
      <c r="D211" s="241">
        <v>1511019</v>
      </c>
      <c r="E211">
        <v>1214398.125</v>
      </c>
      <c r="F211">
        <v>913631.9375</v>
      </c>
      <c r="G211">
        <v>631013</v>
      </c>
      <c r="H211">
        <v>409781</v>
      </c>
      <c r="I211">
        <v>5263904</v>
      </c>
    </row>
    <row r="212" spans="1:9" x14ac:dyDescent="0.2">
      <c r="A212" t="s">
        <v>215</v>
      </c>
      <c r="B212">
        <v>2020</v>
      </c>
      <c r="C212" t="s">
        <v>747</v>
      </c>
      <c r="D212" s="241">
        <v>4374474</v>
      </c>
      <c r="E212">
        <v>3375999.75</v>
      </c>
      <c r="F212">
        <v>2407179</v>
      </c>
      <c r="G212">
        <v>1800184.875</v>
      </c>
      <c r="H212">
        <v>1233156.875</v>
      </c>
      <c r="I212">
        <v>11326617</v>
      </c>
    </row>
    <row r="213" spans="1:9" x14ac:dyDescent="0.2">
      <c r="A213" t="s">
        <v>215</v>
      </c>
      <c r="B213">
        <v>2021</v>
      </c>
      <c r="C213" t="s">
        <v>748</v>
      </c>
      <c r="D213" s="241">
        <v>4476338</v>
      </c>
      <c r="E213">
        <v>3484262.25</v>
      </c>
      <c r="F213">
        <v>2487080</v>
      </c>
      <c r="G213">
        <v>1831913</v>
      </c>
      <c r="H213">
        <v>1268725</v>
      </c>
      <c r="I213">
        <v>11317499</v>
      </c>
    </row>
    <row r="214" spans="1:9" x14ac:dyDescent="0.2">
      <c r="A214" t="s">
        <v>215</v>
      </c>
      <c r="B214">
        <v>2022</v>
      </c>
      <c r="C214" t="s">
        <v>749</v>
      </c>
      <c r="D214" s="241">
        <v>4573808.5</v>
      </c>
      <c r="E214">
        <v>3584062</v>
      </c>
      <c r="F214">
        <v>2581902</v>
      </c>
      <c r="G214">
        <v>1855564.125</v>
      </c>
      <c r="H214">
        <v>1305908.125</v>
      </c>
      <c r="I214">
        <v>11305648</v>
      </c>
    </row>
    <row r="215" spans="1:9" x14ac:dyDescent="0.2">
      <c r="A215" t="s">
        <v>215</v>
      </c>
      <c r="B215">
        <v>2023</v>
      </c>
      <c r="C215" t="s">
        <v>750</v>
      </c>
      <c r="D215" s="241">
        <v>4662806.5</v>
      </c>
      <c r="E215">
        <v>3678147</v>
      </c>
      <c r="F215">
        <v>2686638.75</v>
      </c>
      <c r="G215">
        <v>1879303</v>
      </c>
      <c r="H215">
        <v>1342677</v>
      </c>
      <c r="I215">
        <v>11291378</v>
      </c>
    </row>
    <row r="216" spans="1:9" x14ac:dyDescent="0.2">
      <c r="A216" t="s">
        <v>215</v>
      </c>
      <c r="B216">
        <v>2024</v>
      </c>
      <c r="C216" t="s">
        <v>751</v>
      </c>
      <c r="D216" s="241">
        <v>4737460</v>
      </c>
      <c r="E216">
        <v>3771915.25</v>
      </c>
      <c r="F216">
        <v>2793521.25</v>
      </c>
      <c r="G216">
        <v>1915357</v>
      </c>
      <c r="H216">
        <v>1375904.875</v>
      </c>
      <c r="I216">
        <v>11275085</v>
      </c>
    </row>
    <row r="217" spans="1:9" x14ac:dyDescent="0.2">
      <c r="A217" t="s">
        <v>505</v>
      </c>
      <c r="B217">
        <v>2020</v>
      </c>
      <c r="C217" t="s">
        <v>752</v>
      </c>
      <c r="D217" s="241">
        <v>64652.9921875</v>
      </c>
      <c r="E217">
        <v>53013.99609375</v>
      </c>
      <c r="F217">
        <v>40226.99609375</v>
      </c>
      <c r="G217">
        <v>28993</v>
      </c>
      <c r="H217">
        <v>19522</v>
      </c>
      <c r="I217">
        <v>164099.984375</v>
      </c>
    </row>
    <row r="218" spans="1:9" x14ac:dyDescent="0.2">
      <c r="A218" t="s">
        <v>505</v>
      </c>
      <c r="B218">
        <v>2021</v>
      </c>
      <c r="C218" t="s">
        <v>753</v>
      </c>
      <c r="D218" s="241">
        <v>65605</v>
      </c>
      <c r="E218">
        <v>54147.00390625</v>
      </c>
      <c r="F218">
        <v>41467.00390625</v>
      </c>
      <c r="G218">
        <v>29940</v>
      </c>
      <c r="H218">
        <v>20274</v>
      </c>
      <c r="I218">
        <v>164796</v>
      </c>
    </row>
    <row r="219" spans="1:9" x14ac:dyDescent="0.2">
      <c r="A219" t="s">
        <v>505</v>
      </c>
      <c r="B219">
        <v>2022</v>
      </c>
      <c r="C219" t="s">
        <v>754</v>
      </c>
      <c r="D219" s="241">
        <v>66490.0078125</v>
      </c>
      <c r="E219">
        <v>55124</v>
      </c>
      <c r="F219">
        <v>42723</v>
      </c>
      <c r="G219">
        <v>30877</v>
      </c>
      <c r="H219">
        <v>21003</v>
      </c>
      <c r="I219">
        <v>165530.984375</v>
      </c>
    </row>
    <row r="220" spans="1:9" x14ac:dyDescent="0.2">
      <c r="A220" t="s">
        <v>505</v>
      </c>
      <c r="B220">
        <v>2023</v>
      </c>
      <c r="C220" t="s">
        <v>755</v>
      </c>
      <c r="D220" s="241">
        <v>67309</v>
      </c>
      <c r="E220">
        <v>55996.9921875</v>
      </c>
      <c r="F220">
        <v>43963.99609375</v>
      </c>
      <c r="G220">
        <v>31828</v>
      </c>
      <c r="H220">
        <v>21729</v>
      </c>
      <c r="I220">
        <v>166277.015625</v>
      </c>
    </row>
    <row r="221" spans="1:9" x14ac:dyDescent="0.2">
      <c r="A221" t="s">
        <v>505</v>
      </c>
      <c r="B221">
        <v>2024</v>
      </c>
      <c r="C221" t="s">
        <v>756</v>
      </c>
      <c r="D221" s="241">
        <v>68053.9921875</v>
      </c>
      <c r="E221">
        <v>56843.99609375</v>
      </c>
      <c r="F221">
        <v>45153.99609375</v>
      </c>
      <c r="G221">
        <v>32824</v>
      </c>
      <c r="H221">
        <v>22469</v>
      </c>
      <c r="I221">
        <v>166999.015625</v>
      </c>
    </row>
    <row r="222" spans="1:9" x14ac:dyDescent="0.2">
      <c r="A222" t="s">
        <v>331</v>
      </c>
      <c r="B222">
        <v>2020</v>
      </c>
      <c r="C222" t="s">
        <v>757</v>
      </c>
      <c r="D222" s="241">
        <v>386492</v>
      </c>
      <c r="E222">
        <v>310710.03125</v>
      </c>
      <c r="F222">
        <v>238954.015625</v>
      </c>
      <c r="G222">
        <v>173965.015625</v>
      </c>
      <c r="H222">
        <v>118552.984375</v>
      </c>
      <c r="I222">
        <v>1207361.125</v>
      </c>
    </row>
    <row r="223" spans="1:9" x14ac:dyDescent="0.2">
      <c r="A223" t="s">
        <v>331</v>
      </c>
      <c r="B223">
        <v>2021</v>
      </c>
      <c r="C223" t="s">
        <v>758</v>
      </c>
      <c r="D223" s="241">
        <v>394938.03125</v>
      </c>
      <c r="E223">
        <v>318325</v>
      </c>
      <c r="F223">
        <v>245604</v>
      </c>
      <c r="G223">
        <v>179209.984375</v>
      </c>
      <c r="H223">
        <v>122526</v>
      </c>
      <c r="I223">
        <v>1215587.875</v>
      </c>
    </row>
    <row r="224" spans="1:9" x14ac:dyDescent="0.2">
      <c r="A224" t="s">
        <v>331</v>
      </c>
      <c r="B224">
        <v>2022</v>
      </c>
      <c r="C224" t="s">
        <v>759</v>
      </c>
      <c r="D224" s="241">
        <v>403477</v>
      </c>
      <c r="E224">
        <v>326078.96875</v>
      </c>
      <c r="F224">
        <v>252405</v>
      </c>
      <c r="G224">
        <v>184670.984375</v>
      </c>
      <c r="H224">
        <v>126456</v>
      </c>
      <c r="I224">
        <v>1223389.875</v>
      </c>
    </row>
    <row r="225" spans="1:9" x14ac:dyDescent="0.2">
      <c r="A225" t="s">
        <v>331</v>
      </c>
      <c r="B225">
        <v>2023</v>
      </c>
      <c r="C225" t="s">
        <v>760</v>
      </c>
      <c r="D225" s="241">
        <v>412220</v>
      </c>
      <c r="E225">
        <v>333994</v>
      </c>
      <c r="F225">
        <v>259361</v>
      </c>
      <c r="G225">
        <v>190382</v>
      </c>
      <c r="H225">
        <v>130435.9921875</v>
      </c>
      <c r="I225">
        <v>1230792.25</v>
      </c>
    </row>
    <row r="226" spans="1:9" x14ac:dyDescent="0.2">
      <c r="A226" t="s">
        <v>331</v>
      </c>
      <c r="B226">
        <v>2024</v>
      </c>
      <c r="C226" t="s">
        <v>761</v>
      </c>
      <c r="D226" s="241">
        <v>421312</v>
      </c>
      <c r="E226">
        <v>342065.03125</v>
      </c>
      <c r="F226">
        <v>266476.03125</v>
      </c>
      <c r="G226">
        <v>196331.96875</v>
      </c>
      <c r="H226">
        <v>134594.984375</v>
      </c>
      <c r="I226">
        <v>1237868.75</v>
      </c>
    </row>
    <row r="227" spans="1:9" x14ac:dyDescent="0.2">
      <c r="A227" t="s">
        <v>333</v>
      </c>
      <c r="B227">
        <v>2020</v>
      </c>
      <c r="C227" t="s">
        <v>762</v>
      </c>
      <c r="D227" s="241">
        <v>4152102</v>
      </c>
      <c r="E227">
        <v>3458105</v>
      </c>
      <c r="F227">
        <v>2800832</v>
      </c>
      <c r="G227">
        <v>2157110</v>
      </c>
      <c r="H227">
        <v>1476215</v>
      </c>
      <c r="I227">
        <v>10708983</v>
      </c>
    </row>
    <row r="228" spans="1:9" x14ac:dyDescent="0.2">
      <c r="A228" t="s">
        <v>333</v>
      </c>
      <c r="B228">
        <v>2021</v>
      </c>
      <c r="C228" t="s">
        <v>763</v>
      </c>
      <c r="D228" s="241">
        <v>4199843</v>
      </c>
      <c r="E228">
        <v>3481298.25</v>
      </c>
      <c r="F228">
        <v>2825608</v>
      </c>
      <c r="G228">
        <v>2191852</v>
      </c>
      <c r="H228">
        <v>1525354.125</v>
      </c>
      <c r="I228">
        <v>10724553</v>
      </c>
    </row>
    <row r="229" spans="1:9" x14ac:dyDescent="0.2">
      <c r="A229" t="s">
        <v>333</v>
      </c>
      <c r="B229">
        <v>2022</v>
      </c>
      <c r="C229" t="s">
        <v>764</v>
      </c>
      <c r="D229" s="241">
        <v>4257800.5</v>
      </c>
      <c r="E229">
        <v>3505623.75</v>
      </c>
      <c r="F229">
        <v>2851650.25</v>
      </c>
      <c r="G229">
        <v>2221619.75</v>
      </c>
      <c r="H229">
        <v>1572447.25</v>
      </c>
      <c r="I229">
        <v>10736782</v>
      </c>
    </row>
    <row r="230" spans="1:9" x14ac:dyDescent="0.2">
      <c r="A230" t="s">
        <v>333</v>
      </c>
      <c r="B230">
        <v>2023</v>
      </c>
      <c r="C230" t="s">
        <v>765</v>
      </c>
      <c r="D230" s="241">
        <v>4323987</v>
      </c>
      <c r="E230">
        <v>3533190</v>
      </c>
      <c r="F230">
        <v>2878282</v>
      </c>
      <c r="G230">
        <v>2247695</v>
      </c>
      <c r="H230">
        <v>1616571</v>
      </c>
      <c r="I230">
        <v>10745888</v>
      </c>
    </row>
    <row r="231" spans="1:9" x14ac:dyDescent="0.2">
      <c r="A231" t="s">
        <v>333</v>
      </c>
      <c r="B231">
        <v>2024</v>
      </c>
      <c r="C231" t="s">
        <v>766</v>
      </c>
      <c r="D231" s="241">
        <v>4394263.5</v>
      </c>
      <c r="E231">
        <v>3566232</v>
      </c>
      <c r="F231">
        <v>2903367</v>
      </c>
      <c r="G231">
        <v>2271232</v>
      </c>
      <c r="H231">
        <v>1655695</v>
      </c>
      <c r="I231">
        <v>10752389</v>
      </c>
    </row>
    <row r="232" spans="1:9" x14ac:dyDescent="0.2">
      <c r="A232" t="s">
        <v>335</v>
      </c>
      <c r="B232">
        <v>2020</v>
      </c>
      <c r="C232" t="s">
        <v>767</v>
      </c>
      <c r="D232" s="241">
        <v>37479700</v>
      </c>
      <c r="E232">
        <v>30798470</v>
      </c>
      <c r="F232">
        <v>23991298</v>
      </c>
      <c r="G232">
        <v>18170596</v>
      </c>
      <c r="H232">
        <v>13347157</v>
      </c>
      <c r="I232">
        <v>83783936</v>
      </c>
    </row>
    <row r="233" spans="1:9" x14ac:dyDescent="0.2">
      <c r="A233" t="s">
        <v>335</v>
      </c>
      <c r="B233">
        <v>2021</v>
      </c>
      <c r="C233" t="s">
        <v>768</v>
      </c>
      <c r="D233" s="241">
        <v>37736240</v>
      </c>
      <c r="E233">
        <v>31310160</v>
      </c>
      <c r="F233">
        <v>24440848</v>
      </c>
      <c r="G233">
        <v>18438830</v>
      </c>
      <c r="H233">
        <v>13462607</v>
      </c>
      <c r="I233">
        <v>83900464</v>
      </c>
    </row>
    <row r="234" spans="1:9" x14ac:dyDescent="0.2">
      <c r="A234" t="s">
        <v>335</v>
      </c>
      <c r="B234">
        <v>2022</v>
      </c>
      <c r="C234" t="s">
        <v>769</v>
      </c>
      <c r="D234" s="241">
        <v>37861932</v>
      </c>
      <c r="E234">
        <v>31776216</v>
      </c>
      <c r="F234">
        <v>24887948</v>
      </c>
      <c r="G234">
        <v>18699382</v>
      </c>
      <c r="H234">
        <v>13583528</v>
      </c>
      <c r="I234">
        <v>83883576</v>
      </c>
    </row>
    <row r="235" spans="1:9" x14ac:dyDescent="0.2">
      <c r="A235" t="s">
        <v>335</v>
      </c>
      <c r="B235">
        <v>2023</v>
      </c>
      <c r="C235" t="s">
        <v>770</v>
      </c>
      <c r="D235" s="241">
        <v>37899420</v>
      </c>
      <c r="E235">
        <v>32188010</v>
      </c>
      <c r="F235">
        <v>25335636</v>
      </c>
      <c r="G235">
        <v>18970546</v>
      </c>
      <c r="H235">
        <v>13719693</v>
      </c>
      <c r="I235">
        <v>83774528</v>
      </c>
    </row>
    <row r="236" spans="1:9" x14ac:dyDescent="0.2">
      <c r="A236" t="s">
        <v>335</v>
      </c>
      <c r="B236">
        <v>2024</v>
      </c>
      <c r="C236" t="s">
        <v>771</v>
      </c>
      <c r="D236" s="241">
        <v>37908412</v>
      </c>
      <c r="E236">
        <v>32528272</v>
      </c>
      <c r="F236">
        <v>25783292</v>
      </c>
      <c r="G236">
        <v>19273544</v>
      </c>
      <c r="H236">
        <v>13876709</v>
      </c>
      <c r="I236">
        <v>83636168</v>
      </c>
    </row>
    <row r="237" spans="1:9" x14ac:dyDescent="0.2">
      <c r="A237" t="s">
        <v>271</v>
      </c>
      <c r="B237">
        <v>2020</v>
      </c>
      <c r="C237" t="s">
        <v>772</v>
      </c>
      <c r="D237" s="241">
        <v>150905.984375</v>
      </c>
      <c r="E237">
        <v>108506.0078125</v>
      </c>
      <c r="F237">
        <v>72829.0078125</v>
      </c>
      <c r="G237">
        <v>46501</v>
      </c>
      <c r="H237">
        <v>28494.998046875</v>
      </c>
      <c r="I237">
        <v>988002.125</v>
      </c>
    </row>
    <row r="238" spans="1:9" x14ac:dyDescent="0.2">
      <c r="A238" t="s">
        <v>271</v>
      </c>
      <c r="B238">
        <v>2021</v>
      </c>
      <c r="C238" t="s">
        <v>773</v>
      </c>
      <c r="D238" s="241">
        <v>156825.015625</v>
      </c>
      <c r="E238">
        <v>112821.0078125</v>
      </c>
      <c r="F238">
        <v>76116.0078125</v>
      </c>
      <c r="G238">
        <v>48364.00390625</v>
      </c>
      <c r="H238">
        <v>29578.99609375</v>
      </c>
      <c r="I238">
        <v>1002196.9375</v>
      </c>
    </row>
    <row r="239" spans="1:9" x14ac:dyDescent="0.2">
      <c r="A239" t="s">
        <v>271</v>
      </c>
      <c r="B239">
        <v>2022</v>
      </c>
      <c r="C239" t="s">
        <v>774</v>
      </c>
      <c r="D239" s="241">
        <v>162937.96875</v>
      </c>
      <c r="E239">
        <v>117067</v>
      </c>
      <c r="F239">
        <v>79557</v>
      </c>
      <c r="G239">
        <v>50315.0078125</v>
      </c>
      <c r="H239">
        <v>30516</v>
      </c>
      <c r="I239">
        <v>1016098</v>
      </c>
    </row>
    <row r="240" spans="1:9" x14ac:dyDescent="0.2">
      <c r="A240" t="s">
        <v>271</v>
      </c>
      <c r="B240">
        <v>2023</v>
      </c>
      <c r="C240" t="s">
        <v>775</v>
      </c>
      <c r="D240" s="241">
        <v>169310</v>
      </c>
      <c r="E240">
        <v>121372</v>
      </c>
      <c r="F240">
        <v>83120</v>
      </c>
      <c r="G240">
        <v>52391.00390625</v>
      </c>
      <c r="H240">
        <v>31400.998046875</v>
      </c>
      <c r="I240">
        <v>1029701.0625</v>
      </c>
    </row>
    <row r="241" spans="1:9" x14ac:dyDescent="0.2">
      <c r="A241" t="s">
        <v>271</v>
      </c>
      <c r="B241">
        <v>2024</v>
      </c>
      <c r="C241" t="s">
        <v>776</v>
      </c>
      <c r="D241" s="241">
        <v>176071.015625</v>
      </c>
      <c r="E241">
        <v>125958</v>
      </c>
      <c r="F241">
        <v>86761</v>
      </c>
      <c r="G241">
        <v>54648</v>
      </c>
      <c r="H241">
        <v>32361</v>
      </c>
      <c r="I241">
        <v>1043016</v>
      </c>
    </row>
    <row r="242" spans="1:9" x14ac:dyDescent="0.2">
      <c r="A242" t="s">
        <v>337</v>
      </c>
      <c r="B242">
        <v>2020</v>
      </c>
      <c r="C242" t="s">
        <v>777</v>
      </c>
      <c r="D242" s="241">
        <v>2323767</v>
      </c>
      <c r="E242">
        <v>1902032.125</v>
      </c>
      <c r="F242">
        <v>1513641.125</v>
      </c>
      <c r="G242">
        <v>1167938</v>
      </c>
      <c r="H242">
        <v>859111</v>
      </c>
      <c r="I242">
        <v>5792203</v>
      </c>
    </row>
    <row r="243" spans="1:9" x14ac:dyDescent="0.2">
      <c r="A243" t="s">
        <v>337</v>
      </c>
      <c r="B243">
        <v>2021</v>
      </c>
      <c r="C243" t="s">
        <v>778</v>
      </c>
      <c r="D243" s="241">
        <v>2345734.25</v>
      </c>
      <c r="E243">
        <v>1929799.875</v>
      </c>
      <c r="F243">
        <v>1534363.875</v>
      </c>
      <c r="G243">
        <v>1182580.875</v>
      </c>
      <c r="H243">
        <v>878513.0625</v>
      </c>
      <c r="I243">
        <v>5813302</v>
      </c>
    </row>
    <row r="244" spans="1:9" x14ac:dyDescent="0.2">
      <c r="A244" t="s">
        <v>337</v>
      </c>
      <c r="B244">
        <v>2022</v>
      </c>
      <c r="C244" t="s">
        <v>779</v>
      </c>
      <c r="D244" s="241">
        <v>2366315</v>
      </c>
      <c r="E244">
        <v>1960548.875</v>
      </c>
      <c r="F244">
        <v>1557083.75</v>
      </c>
      <c r="G244">
        <v>1199268.75</v>
      </c>
      <c r="H244">
        <v>892705.9375</v>
      </c>
      <c r="I244">
        <v>5834952.5</v>
      </c>
    </row>
    <row r="245" spans="1:9" x14ac:dyDescent="0.2">
      <c r="A245" t="s">
        <v>337</v>
      </c>
      <c r="B245">
        <v>2023</v>
      </c>
      <c r="C245" t="s">
        <v>780</v>
      </c>
      <c r="D245" s="241">
        <v>2385651</v>
      </c>
      <c r="E245">
        <v>1992376</v>
      </c>
      <c r="F245">
        <v>1581668</v>
      </c>
      <c r="G245">
        <v>1217669</v>
      </c>
      <c r="H245">
        <v>903752.0625</v>
      </c>
      <c r="I245">
        <v>5856937</v>
      </c>
    </row>
    <row r="246" spans="1:9" x14ac:dyDescent="0.2">
      <c r="A246" t="s">
        <v>337</v>
      </c>
      <c r="B246">
        <v>2024</v>
      </c>
      <c r="C246" t="s">
        <v>781</v>
      </c>
      <c r="D246" s="241">
        <v>2403905.75</v>
      </c>
      <c r="E246">
        <v>2022184</v>
      </c>
      <c r="F246">
        <v>1607607</v>
      </c>
      <c r="G246">
        <v>1236871</v>
      </c>
      <c r="H246">
        <v>914480.0625</v>
      </c>
      <c r="I246">
        <v>5878875</v>
      </c>
    </row>
    <row r="247" spans="1:9" x14ac:dyDescent="0.2">
      <c r="A247" t="s">
        <v>219</v>
      </c>
      <c r="B247">
        <v>2020</v>
      </c>
      <c r="C247" t="s">
        <v>782</v>
      </c>
      <c r="D247" s="241">
        <v>2219492.75</v>
      </c>
      <c r="E247">
        <v>1678058</v>
      </c>
      <c r="F247">
        <v>1205158</v>
      </c>
      <c r="G247">
        <v>816594</v>
      </c>
      <c r="H247">
        <v>523018.96875</v>
      </c>
      <c r="I247">
        <v>10847904</v>
      </c>
    </row>
    <row r="248" spans="1:9" x14ac:dyDescent="0.2">
      <c r="A248" t="s">
        <v>219</v>
      </c>
      <c r="B248">
        <v>2021</v>
      </c>
      <c r="C248" t="s">
        <v>783</v>
      </c>
      <c r="D248" s="241">
        <v>2284213.75</v>
      </c>
      <c r="E248">
        <v>1733892.25</v>
      </c>
      <c r="F248">
        <v>1251291.125</v>
      </c>
      <c r="G248">
        <v>850767.9375</v>
      </c>
      <c r="H248">
        <v>544859</v>
      </c>
      <c r="I248">
        <v>10953715</v>
      </c>
    </row>
    <row r="249" spans="1:9" x14ac:dyDescent="0.2">
      <c r="A249" t="s">
        <v>219</v>
      </c>
      <c r="B249">
        <v>2022</v>
      </c>
      <c r="C249" t="s">
        <v>784</v>
      </c>
      <c r="D249" s="241">
        <v>2349966.75</v>
      </c>
      <c r="E249">
        <v>1790505</v>
      </c>
      <c r="F249">
        <v>1298588</v>
      </c>
      <c r="G249">
        <v>886241.9375</v>
      </c>
      <c r="H249">
        <v>567683</v>
      </c>
      <c r="I249">
        <v>11056373</v>
      </c>
    </row>
    <row r="250" spans="1:9" x14ac:dyDescent="0.2">
      <c r="A250" t="s">
        <v>219</v>
      </c>
      <c r="B250">
        <v>2023</v>
      </c>
      <c r="C250" t="s">
        <v>785</v>
      </c>
      <c r="D250" s="241">
        <v>2416666.25</v>
      </c>
      <c r="E250">
        <v>1847980</v>
      </c>
      <c r="F250">
        <v>1346980</v>
      </c>
      <c r="G250">
        <v>923026</v>
      </c>
      <c r="H250">
        <v>591628</v>
      </c>
      <c r="I250">
        <v>11155916</v>
      </c>
    </row>
    <row r="251" spans="1:9" x14ac:dyDescent="0.2">
      <c r="A251" t="s">
        <v>219</v>
      </c>
      <c r="B251">
        <v>2024</v>
      </c>
      <c r="C251" t="s">
        <v>786</v>
      </c>
      <c r="D251" s="241">
        <v>2484150.5</v>
      </c>
      <c r="E251">
        <v>1906393.875</v>
      </c>
      <c r="F251">
        <v>1396301.875</v>
      </c>
      <c r="G251">
        <v>961060</v>
      </c>
      <c r="H251">
        <v>616813</v>
      </c>
      <c r="I251">
        <v>11252476</v>
      </c>
    </row>
    <row r="252" spans="1:9" x14ac:dyDescent="0.2">
      <c r="A252" t="s">
        <v>117</v>
      </c>
      <c r="B252">
        <v>2020</v>
      </c>
      <c r="C252" t="s">
        <v>787</v>
      </c>
      <c r="D252" s="241">
        <v>8144237.5</v>
      </c>
      <c r="E252">
        <v>6082352.5</v>
      </c>
      <c r="F252">
        <v>4344180.5</v>
      </c>
      <c r="G252">
        <v>2956838.75</v>
      </c>
      <c r="H252">
        <v>1813638.875</v>
      </c>
      <c r="I252">
        <v>43851048</v>
      </c>
    </row>
    <row r="253" spans="1:9" x14ac:dyDescent="0.2">
      <c r="A253" t="s">
        <v>117</v>
      </c>
      <c r="B253">
        <v>2021</v>
      </c>
      <c r="C253" t="s">
        <v>788</v>
      </c>
      <c r="D253" s="241">
        <v>8430583</v>
      </c>
      <c r="E253">
        <v>6312635.5</v>
      </c>
      <c r="F253">
        <v>4519772</v>
      </c>
      <c r="G253">
        <v>3086738</v>
      </c>
      <c r="H253">
        <v>1901773.125</v>
      </c>
      <c r="I253">
        <v>44616624</v>
      </c>
    </row>
    <row r="254" spans="1:9" x14ac:dyDescent="0.2">
      <c r="A254" t="s">
        <v>117</v>
      </c>
      <c r="B254">
        <v>2022</v>
      </c>
      <c r="C254" t="s">
        <v>789</v>
      </c>
      <c r="D254" s="241">
        <v>8731271</v>
      </c>
      <c r="E254">
        <v>6555094</v>
      </c>
      <c r="F254">
        <v>4707922</v>
      </c>
      <c r="G254">
        <v>3218463.5</v>
      </c>
      <c r="H254">
        <v>2003487.875</v>
      </c>
      <c r="I254">
        <v>45350140</v>
      </c>
    </row>
    <row r="255" spans="1:9" x14ac:dyDescent="0.2">
      <c r="A255" t="s">
        <v>117</v>
      </c>
      <c r="B255">
        <v>2023</v>
      </c>
      <c r="C255" t="s">
        <v>790</v>
      </c>
      <c r="D255" s="241">
        <v>9048076</v>
      </c>
      <c r="E255">
        <v>6808634</v>
      </c>
      <c r="F255">
        <v>4907036</v>
      </c>
      <c r="G255">
        <v>3354435</v>
      </c>
      <c r="H255">
        <v>2114651</v>
      </c>
      <c r="I255">
        <v>46053472</v>
      </c>
    </row>
    <row r="256" spans="1:9" x14ac:dyDescent="0.2">
      <c r="A256" t="s">
        <v>117</v>
      </c>
      <c r="B256">
        <v>2024</v>
      </c>
      <c r="C256" t="s">
        <v>791</v>
      </c>
      <c r="D256" s="241">
        <v>9381251</v>
      </c>
      <c r="E256">
        <v>7069668</v>
      </c>
      <c r="F256">
        <v>5113087.5</v>
      </c>
      <c r="G256">
        <v>3497483</v>
      </c>
      <c r="H256">
        <v>2228194</v>
      </c>
      <c r="I256">
        <v>46731368</v>
      </c>
    </row>
    <row r="257" spans="1:9" x14ac:dyDescent="0.2">
      <c r="A257" t="s">
        <v>221</v>
      </c>
      <c r="B257">
        <v>2020</v>
      </c>
      <c r="C257" t="s">
        <v>792</v>
      </c>
      <c r="D257" s="241">
        <v>3532078</v>
      </c>
      <c r="E257">
        <v>2667774</v>
      </c>
      <c r="F257">
        <v>1940939.125</v>
      </c>
      <c r="G257">
        <v>1339305</v>
      </c>
      <c r="H257">
        <v>853201.0625</v>
      </c>
      <c r="I257">
        <v>17643058</v>
      </c>
    </row>
    <row r="258" spans="1:9" x14ac:dyDescent="0.2">
      <c r="A258" t="s">
        <v>221</v>
      </c>
      <c r="B258">
        <v>2021</v>
      </c>
      <c r="C258" t="s">
        <v>793</v>
      </c>
      <c r="D258" s="241">
        <v>3653683.25</v>
      </c>
      <c r="E258">
        <v>2767019.5</v>
      </c>
      <c r="F258">
        <v>2018083.875</v>
      </c>
      <c r="G258">
        <v>1398760</v>
      </c>
      <c r="H258">
        <v>893148.9375</v>
      </c>
      <c r="I258">
        <v>17888472</v>
      </c>
    </row>
    <row r="259" spans="1:9" x14ac:dyDescent="0.2">
      <c r="A259" t="s">
        <v>221</v>
      </c>
      <c r="B259">
        <v>2022</v>
      </c>
      <c r="C259" t="s">
        <v>794</v>
      </c>
      <c r="D259" s="241">
        <v>3774999.25</v>
      </c>
      <c r="E259">
        <v>2867202.5</v>
      </c>
      <c r="F259">
        <v>2095927.25</v>
      </c>
      <c r="G259">
        <v>1458330</v>
      </c>
      <c r="H259">
        <v>936500</v>
      </c>
      <c r="I259">
        <v>18113368</v>
      </c>
    </row>
    <row r="260" spans="1:9" x14ac:dyDescent="0.2">
      <c r="A260" t="s">
        <v>221</v>
      </c>
      <c r="B260">
        <v>2023</v>
      </c>
      <c r="C260" t="s">
        <v>795</v>
      </c>
      <c r="D260" s="241">
        <v>3896872.75</v>
      </c>
      <c r="E260">
        <v>2969057.75</v>
      </c>
      <c r="F260">
        <v>2175394</v>
      </c>
      <c r="G260">
        <v>1518864.875</v>
      </c>
      <c r="H260">
        <v>982694.9375</v>
      </c>
      <c r="I260">
        <v>18324150</v>
      </c>
    </row>
    <row r="261" spans="1:9" x14ac:dyDescent="0.2">
      <c r="A261" t="s">
        <v>221</v>
      </c>
      <c r="B261">
        <v>2024</v>
      </c>
      <c r="C261" t="s">
        <v>796</v>
      </c>
      <c r="D261" s="241">
        <v>4020806</v>
      </c>
      <c r="E261">
        <v>3073838</v>
      </c>
      <c r="F261">
        <v>2257979</v>
      </c>
      <c r="G261">
        <v>1581731.875</v>
      </c>
      <c r="H261">
        <v>1030803.125</v>
      </c>
      <c r="I261">
        <v>18530786</v>
      </c>
    </row>
    <row r="262" spans="1:9" x14ac:dyDescent="0.2">
      <c r="A262" t="s">
        <v>273</v>
      </c>
      <c r="B262">
        <v>2020</v>
      </c>
      <c r="C262" t="s">
        <v>797</v>
      </c>
      <c r="D262" s="241">
        <v>16262351</v>
      </c>
      <c r="E262">
        <v>12049115</v>
      </c>
      <c r="F262">
        <v>8417459</v>
      </c>
      <c r="G262">
        <v>5456144</v>
      </c>
      <c r="H262">
        <v>3294802</v>
      </c>
      <c r="I262">
        <v>102334392</v>
      </c>
    </row>
    <row r="263" spans="1:9" x14ac:dyDescent="0.2">
      <c r="A263" t="s">
        <v>273</v>
      </c>
      <c r="B263">
        <v>2021</v>
      </c>
      <c r="C263" t="s">
        <v>798</v>
      </c>
      <c r="D263" s="241">
        <v>16733623</v>
      </c>
      <c r="E263">
        <v>12428833</v>
      </c>
      <c r="F263">
        <v>8717858</v>
      </c>
      <c r="G263">
        <v>5662626</v>
      </c>
      <c r="H263">
        <v>3430272</v>
      </c>
      <c r="I263">
        <v>104258328</v>
      </c>
    </row>
    <row r="264" spans="1:9" x14ac:dyDescent="0.2">
      <c r="A264" t="s">
        <v>273</v>
      </c>
      <c r="B264">
        <v>2022</v>
      </c>
      <c r="C264" t="s">
        <v>799</v>
      </c>
      <c r="D264" s="241">
        <v>17183412</v>
      </c>
      <c r="E264">
        <v>12790477</v>
      </c>
      <c r="F264">
        <v>9006336</v>
      </c>
      <c r="G264">
        <v>5867146.5</v>
      </c>
      <c r="H264">
        <v>3542308.75</v>
      </c>
      <c r="I264">
        <v>106156688</v>
      </c>
    </row>
    <row r="265" spans="1:9" x14ac:dyDescent="0.2">
      <c r="A265" t="s">
        <v>273</v>
      </c>
      <c r="B265">
        <v>2023</v>
      </c>
      <c r="C265" t="s">
        <v>800</v>
      </c>
      <c r="D265" s="241">
        <v>17633630</v>
      </c>
      <c r="E265">
        <v>13145551</v>
      </c>
      <c r="F265">
        <v>9290199</v>
      </c>
      <c r="G265">
        <v>6072689.5</v>
      </c>
      <c r="H265">
        <v>3642679.25</v>
      </c>
      <c r="I265">
        <v>108031544</v>
      </c>
    </row>
    <row r="266" spans="1:9" x14ac:dyDescent="0.2">
      <c r="A266" t="s">
        <v>273</v>
      </c>
      <c r="B266">
        <v>2024</v>
      </c>
      <c r="C266" t="s">
        <v>801</v>
      </c>
      <c r="D266" s="241">
        <v>18117794</v>
      </c>
      <c r="E266">
        <v>13511594</v>
      </c>
      <c r="F266">
        <v>9580428</v>
      </c>
      <c r="G266">
        <v>6283868</v>
      </c>
      <c r="H266">
        <v>3747425</v>
      </c>
      <c r="I266">
        <v>109887168</v>
      </c>
    </row>
    <row r="267" spans="1:9" x14ac:dyDescent="0.2">
      <c r="A267" t="s">
        <v>120</v>
      </c>
      <c r="B267">
        <v>2020</v>
      </c>
      <c r="C267" t="s">
        <v>802</v>
      </c>
      <c r="D267" s="241">
        <v>400190.03125</v>
      </c>
      <c r="E267">
        <v>312089.03125</v>
      </c>
      <c r="F267">
        <v>228239.984375</v>
      </c>
      <c r="G267">
        <v>159819</v>
      </c>
      <c r="H267">
        <v>99912.9921875</v>
      </c>
      <c r="I267">
        <v>3546426.75</v>
      </c>
    </row>
    <row r="268" spans="1:9" x14ac:dyDescent="0.2">
      <c r="A268" t="s">
        <v>120</v>
      </c>
      <c r="B268">
        <v>2021</v>
      </c>
      <c r="C268" t="s">
        <v>803</v>
      </c>
      <c r="D268" s="241">
        <v>407097.03125</v>
      </c>
      <c r="E268">
        <v>312857.03125</v>
      </c>
      <c r="F268">
        <v>230450.015625</v>
      </c>
      <c r="G268">
        <v>161388</v>
      </c>
      <c r="H268">
        <v>102320</v>
      </c>
      <c r="I268">
        <v>3601461.75</v>
      </c>
    </row>
    <row r="269" spans="1:9" x14ac:dyDescent="0.2">
      <c r="A269" t="s">
        <v>120</v>
      </c>
      <c r="B269">
        <v>2022</v>
      </c>
      <c r="C269" t="s">
        <v>804</v>
      </c>
      <c r="D269" s="241">
        <v>418079.03125</v>
      </c>
      <c r="E269">
        <v>313695</v>
      </c>
      <c r="F269">
        <v>233798</v>
      </c>
      <c r="G269">
        <v>162939</v>
      </c>
      <c r="H269">
        <v>104614.0078125</v>
      </c>
      <c r="I269">
        <v>3662248</v>
      </c>
    </row>
    <row r="270" spans="1:9" x14ac:dyDescent="0.2">
      <c r="A270" t="s">
        <v>120</v>
      </c>
      <c r="B270">
        <v>2023</v>
      </c>
      <c r="C270" t="s">
        <v>805</v>
      </c>
      <c r="D270" s="241">
        <v>431433</v>
      </c>
      <c r="E270">
        <v>315232</v>
      </c>
      <c r="F270">
        <v>237583</v>
      </c>
      <c r="G270">
        <v>164491.984375</v>
      </c>
      <c r="H270">
        <v>106637.9921875</v>
      </c>
      <c r="I270">
        <v>3727655.75</v>
      </c>
    </row>
    <row r="271" spans="1:9" x14ac:dyDescent="0.2">
      <c r="A271" t="s">
        <v>120</v>
      </c>
      <c r="B271">
        <v>2024</v>
      </c>
      <c r="C271" t="s">
        <v>806</v>
      </c>
      <c r="D271" s="241">
        <v>444390.9375</v>
      </c>
      <c r="E271">
        <v>318389.96875</v>
      </c>
      <c r="F271">
        <v>240689</v>
      </c>
      <c r="G271">
        <v>166025</v>
      </c>
      <c r="H271">
        <v>108133</v>
      </c>
      <c r="I271">
        <v>3795984.5</v>
      </c>
    </row>
    <row r="272" spans="1:9" x14ac:dyDescent="0.2">
      <c r="A272" t="s">
        <v>506</v>
      </c>
      <c r="B272">
        <v>2020</v>
      </c>
      <c r="C272" t="s">
        <v>807</v>
      </c>
      <c r="D272" s="241">
        <v>89873</v>
      </c>
      <c r="E272">
        <v>60654.99609375</v>
      </c>
      <c r="F272">
        <v>37922</v>
      </c>
      <c r="G272">
        <v>20290</v>
      </c>
      <c r="H272">
        <v>9548</v>
      </c>
      <c r="I272">
        <v>597329.9375</v>
      </c>
    </row>
    <row r="273" spans="1:9" x14ac:dyDescent="0.2">
      <c r="A273" t="s">
        <v>506</v>
      </c>
      <c r="B273">
        <v>2021</v>
      </c>
      <c r="C273" t="s">
        <v>808</v>
      </c>
      <c r="D273" s="241">
        <v>94929</v>
      </c>
      <c r="E273">
        <v>64350.99609375</v>
      </c>
      <c r="F273">
        <v>40676.00390625</v>
      </c>
      <c r="G273">
        <v>22212.001953125</v>
      </c>
      <c r="H273">
        <v>10436</v>
      </c>
      <c r="I273">
        <v>611871.9375</v>
      </c>
    </row>
    <row r="274" spans="1:9" x14ac:dyDescent="0.2">
      <c r="A274" t="s">
        <v>506</v>
      </c>
      <c r="B274">
        <v>2022</v>
      </c>
      <c r="C274" t="s">
        <v>809</v>
      </c>
      <c r="D274" s="241">
        <v>100098.0078125</v>
      </c>
      <c r="E274">
        <v>68134</v>
      </c>
      <c r="F274">
        <v>43438.00390625</v>
      </c>
      <c r="G274">
        <v>24269</v>
      </c>
      <c r="H274">
        <v>11417.0009765625</v>
      </c>
      <c r="I274">
        <v>626167.9375</v>
      </c>
    </row>
    <row r="275" spans="1:9" x14ac:dyDescent="0.2">
      <c r="A275" t="s">
        <v>506</v>
      </c>
      <c r="B275">
        <v>2023</v>
      </c>
      <c r="C275" t="s">
        <v>810</v>
      </c>
      <c r="D275" s="241">
        <v>105444.0078125</v>
      </c>
      <c r="E275">
        <v>72046.0078125</v>
      </c>
      <c r="F275">
        <v>46245.99609375</v>
      </c>
      <c r="G275">
        <v>26430</v>
      </c>
      <c r="H275">
        <v>12502.9990234375</v>
      </c>
      <c r="I275">
        <v>640261.0625</v>
      </c>
    </row>
    <row r="276" spans="1:9" x14ac:dyDescent="0.2">
      <c r="A276" t="s">
        <v>506</v>
      </c>
      <c r="B276">
        <v>2024</v>
      </c>
      <c r="C276" t="s">
        <v>811</v>
      </c>
      <c r="D276" s="241">
        <v>111081</v>
      </c>
      <c r="E276">
        <v>76166</v>
      </c>
      <c r="F276">
        <v>49179</v>
      </c>
      <c r="G276">
        <v>28650</v>
      </c>
      <c r="H276">
        <v>13707.0009765625</v>
      </c>
      <c r="I276">
        <v>654266.9375</v>
      </c>
    </row>
    <row r="277" spans="1:9" x14ac:dyDescent="0.2">
      <c r="A277" t="s">
        <v>339</v>
      </c>
      <c r="B277">
        <v>2020</v>
      </c>
      <c r="C277" t="s">
        <v>812</v>
      </c>
      <c r="D277" s="241">
        <v>19326128</v>
      </c>
      <c r="E277">
        <v>15693886</v>
      </c>
      <c r="F277">
        <v>12279801</v>
      </c>
      <c r="G277">
        <v>9340490</v>
      </c>
      <c r="H277">
        <v>6939146.5</v>
      </c>
      <c r="I277">
        <v>46754780</v>
      </c>
    </row>
    <row r="278" spans="1:9" x14ac:dyDescent="0.2">
      <c r="A278" t="s">
        <v>339</v>
      </c>
      <c r="B278">
        <v>2021</v>
      </c>
      <c r="C278" t="s">
        <v>813</v>
      </c>
      <c r="D278" s="241">
        <v>19664734</v>
      </c>
      <c r="E278">
        <v>15986594</v>
      </c>
      <c r="F278">
        <v>12528193</v>
      </c>
      <c r="G278">
        <v>9498117</v>
      </c>
      <c r="H278">
        <v>7038396.5</v>
      </c>
      <c r="I278">
        <v>46745216</v>
      </c>
    </row>
    <row r="279" spans="1:9" x14ac:dyDescent="0.2">
      <c r="A279" t="s">
        <v>339</v>
      </c>
      <c r="B279">
        <v>2022</v>
      </c>
      <c r="C279" t="s">
        <v>814</v>
      </c>
      <c r="D279" s="241">
        <v>20012912</v>
      </c>
      <c r="E279">
        <v>16279724</v>
      </c>
      <c r="F279">
        <v>12791734</v>
      </c>
      <c r="G279">
        <v>9673081</v>
      </c>
      <c r="H279">
        <v>7130754</v>
      </c>
      <c r="I279">
        <v>46719144</v>
      </c>
    </row>
    <row r="280" spans="1:9" x14ac:dyDescent="0.2">
      <c r="A280" t="s">
        <v>339</v>
      </c>
      <c r="B280">
        <v>2023</v>
      </c>
      <c r="C280" t="s">
        <v>815</v>
      </c>
      <c r="D280" s="241">
        <v>20371780</v>
      </c>
      <c r="E280">
        <v>16578422</v>
      </c>
      <c r="F280">
        <v>13067932</v>
      </c>
      <c r="G280">
        <v>9866358</v>
      </c>
      <c r="H280">
        <v>7225442.5</v>
      </c>
      <c r="I280">
        <v>46679288</v>
      </c>
    </row>
    <row r="281" spans="1:9" x14ac:dyDescent="0.2">
      <c r="A281" t="s">
        <v>339</v>
      </c>
      <c r="B281">
        <v>2024</v>
      </c>
      <c r="C281" t="s">
        <v>816</v>
      </c>
      <c r="D281" s="241">
        <v>20740284</v>
      </c>
      <c r="E281">
        <v>16888650</v>
      </c>
      <c r="F281">
        <v>13351051</v>
      </c>
      <c r="G281">
        <v>10076894</v>
      </c>
      <c r="H281">
        <v>7334457.5</v>
      </c>
      <c r="I281">
        <v>46630676</v>
      </c>
    </row>
    <row r="282" spans="1:9" x14ac:dyDescent="0.2">
      <c r="A282" t="s">
        <v>341</v>
      </c>
      <c r="B282">
        <v>2020</v>
      </c>
      <c r="C282" t="s">
        <v>817</v>
      </c>
      <c r="D282" s="241">
        <v>521267.03125</v>
      </c>
      <c r="E282">
        <v>444852.03125</v>
      </c>
      <c r="F282">
        <v>355984</v>
      </c>
      <c r="G282">
        <v>270259</v>
      </c>
      <c r="H282">
        <v>186512</v>
      </c>
      <c r="I282">
        <v>1326538.875</v>
      </c>
    </row>
    <row r="283" spans="1:9" x14ac:dyDescent="0.2">
      <c r="A283" t="s">
        <v>341</v>
      </c>
      <c r="B283">
        <v>2021</v>
      </c>
      <c r="C283" t="s">
        <v>818</v>
      </c>
      <c r="D283" s="241">
        <v>524741</v>
      </c>
      <c r="E283">
        <v>446530.9375</v>
      </c>
      <c r="F283">
        <v>360403</v>
      </c>
      <c r="G283">
        <v>275061.96875</v>
      </c>
      <c r="H283">
        <v>189931.015625</v>
      </c>
      <c r="I283">
        <v>1325188</v>
      </c>
    </row>
    <row r="284" spans="1:9" x14ac:dyDescent="0.2">
      <c r="A284" t="s">
        <v>341</v>
      </c>
      <c r="B284">
        <v>2022</v>
      </c>
      <c r="C284" t="s">
        <v>819</v>
      </c>
      <c r="D284" s="241">
        <v>528808.9375</v>
      </c>
      <c r="E284">
        <v>446362</v>
      </c>
      <c r="F284">
        <v>364409</v>
      </c>
      <c r="G284">
        <v>278681</v>
      </c>
      <c r="H284">
        <v>194266.015625</v>
      </c>
      <c r="I284">
        <v>1321905</v>
      </c>
    </row>
    <row r="285" spans="1:9" x14ac:dyDescent="0.2">
      <c r="A285" t="s">
        <v>341</v>
      </c>
      <c r="B285">
        <v>2023</v>
      </c>
      <c r="C285" t="s">
        <v>820</v>
      </c>
      <c r="D285" s="241">
        <v>533219.0625</v>
      </c>
      <c r="E285">
        <v>445392</v>
      </c>
      <c r="F285">
        <v>367882</v>
      </c>
      <c r="G285">
        <v>281559</v>
      </c>
      <c r="H285">
        <v>199066</v>
      </c>
      <c r="I285">
        <v>1317216</v>
      </c>
    </row>
    <row r="286" spans="1:9" x14ac:dyDescent="0.2">
      <c r="A286" t="s">
        <v>341</v>
      </c>
      <c r="B286">
        <v>2024</v>
      </c>
      <c r="C286" t="s">
        <v>821</v>
      </c>
      <c r="D286" s="241">
        <v>537279</v>
      </c>
      <c r="E286">
        <v>445025.03125</v>
      </c>
      <c r="F286">
        <v>370455.03125</v>
      </c>
      <c r="G286">
        <v>284294</v>
      </c>
      <c r="H286">
        <v>203580.015625</v>
      </c>
      <c r="I286">
        <v>1311925.875</v>
      </c>
    </row>
    <row r="287" spans="1:9" x14ac:dyDescent="0.2">
      <c r="A287" t="s">
        <v>122</v>
      </c>
      <c r="B287">
        <v>2020</v>
      </c>
      <c r="C287" t="s">
        <v>822</v>
      </c>
      <c r="D287" s="241">
        <v>11826465</v>
      </c>
      <c r="E287">
        <v>8597720</v>
      </c>
      <c r="F287">
        <v>6122399</v>
      </c>
      <c r="G287">
        <v>4066135.25</v>
      </c>
      <c r="H287">
        <v>2497845.25</v>
      </c>
      <c r="I287">
        <v>114963584</v>
      </c>
    </row>
    <row r="288" spans="1:9" x14ac:dyDescent="0.2">
      <c r="A288" t="s">
        <v>122</v>
      </c>
      <c r="B288">
        <v>2021</v>
      </c>
      <c r="C288" t="s">
        <v>823</v>
      </c>
      <c r="D288" s="241">
        <v>12240625</v>
      </c>
      <c r="E288">
        <v>8868748</v>
      </c>
      <c r="F288">
        <v>6301463</v>
      </c>
      <c r="G288">
        <v>4201558.5</v>
      </c>
      <c r="H288">
        <v>2589719</v>
      </c>
      <c r="I288">
        <v>117876232</v>
      </c>
    </row>
    <row r="289" spans="1:9" x14ac:dyDescent="0.2">
      <c r="A289" t="s">
        <v>122</v>
      </c>
      <c r="B289">
        <v>2022</v>
      </c>
      <c r="C289" t="s">
        <v>824</v>
      </c>
      <c r="D289" s="241">
        <v>12681698</v>
      </c>
      <c r="E289">
        <v>9160154</v>
      </c>
      <c r="F289">
        <v>6480989.5</v>
      </c>
      <c r="G289">
        <v>4342471.5</v>
      </c>
      <c r="H289">
        <v>2674385.25</v>
      </c>
      <c r="I289">
        <v>120812704</v>
      </c>
    </row>
    <row r="290" spans="1:9" x14ac:dyDescent="0.2">
      <c r="A290" t="s">
        <v>122</v>
      </c>
      <c r="B290">
        <v>2023</v>
      </c>
      <c r="C290" t="s">
        <v>825</v>
      </c>
      <c r="D290" s="241">
        <v>13145892</v>
      </c>
      <c r="E290">
        <v>9472993</v>
      </c>
      <c r="F290">
        <v>6666838</v>
      </c>
      <c r="G290">
        <v>4486765.5</v>
      </c>
      <c r="H290">
        <v>2755432</v>
      </c>
      <c r="I290">
        <v>123771384</v>
      </c>
    </row>
    <row r="291" spans="1:9" x14ac:dyDescent="0.2">
      <c r="A291" t="s">
        <v>122</v>
      </c>
      <c r="B291">
        <v>2024</v>
      </c>
      <c r="C291" t="s">
        <v>826</v>
      </c>
      <c r="D291" s="241">
        <v>13627977</v>
      </c>
      <c r="E291">
        <v>9808547</v>
      </c>
      <c r="F291">
        <v>6867360</v>
      </c>
      <c r="G291">
        <v>4630868</v>
      </c>
      <c r="H291">
        <v>2837612.75</v>
      </c>
      <c r="I291">
        <v>126750864</v>
      </c>
    </row>
    <row r="292" spans="1:9" x14ac:dyDescent="0.2">
      <c r="A292" t="s">
        <v>343</v>
      </c>
      <c r="B292">
        <v>2020</v>
      </c>
      <c r="C292" t="s">
        <v>827</v>
      </c>
      <c r="D292" s="241">
        <v>2326886.25</v>
      </c>
      <c r="E292">
        <v>1975879.125</v>
      </c>
      <c r="F292">
        <v>1606331</v>
      </c>
      <c r="G292">
        <v>1249682.875</v>
      </c>
      <c r="H292">
        <v>894005.9375</v>
      </c>
      <c r="I292">
        <v>5540718.5</v>
      </c>
    </row>
    <row r="293" spans="1:9" x14ac:dyDescent="0.2">
      <c r="A293" t="s">
        <v>343</v>
      </c>
      <c r="B293">
        <v>2021</v>
      </c>
      <c r="C293" t="s">
        <v>828</v>
      </c>
      <c r="D293" s="241">
        <v>2339727.75</v>
      </c>
      <c r="E293">
        <v>1997407</v>
      </c>
      <c r="F293">
        <v>1630221</v>
      </c>
      <c r="G293">
        <v>1273646</v>
      </c>
      <c r="H293">
        <v>923683.0625</v>
      </c>
      <c r="I293">
        <v>5548361</v>
      </c>
    </row>
    <row r="294" spans="1:9" x14ac:dyDescent="0.2">
      <c r="A294" t="s">
        <v>343</v>
      </c>
      <c r="B294">
        <v>2022</v>
      </c>
      <c r="C294" t="s">
        <v>829</v>
      </c>
      <c r="D294" s="241">
        <v>2348735</v>
      </c>
      <c r="E294">
        <v>2016691.875</v>
      </c>
      <c r="F294">
        <v>1653143.875</v>
      </c>
      <c r="G294">
        <v>1295507.875</v>
      </c>
      <c r="H294">
        <v>949502</v>
      </c>
      <c r="I294">
        <v>5554955.5</v>
      </c>
    </row>
    <row r="295" spans="1:9" x14ac:dyDescent="0.2">
      <c r="A295" t="s">
        <v>343</v>
      </c>
      <c r="B295">
        <v>2023</v>
      </c>
      <c r="C295" t="s">
        <v>830</v>
      </c>
      <c r="D295" s="241">
        <v>2355965</v>
      </c>
      <c r="E295">
        <v>2033973.875</v>
      </c>
      <c r="F295">
        <v>1675305.875</v>
      </c>
      <c r="G295">
        <v>1316199</v>
      </c>
      <c r="H295">
        <v>972597</v>
      </c>
      <c r="I295">
        <v>5560627.5</v>
      </c>
    </row>
    <row r="296" spans="1:9" x14ac:dyDescent="0.2">
      <c r="A296" t="s">
        <v>343</v>
      </c>
      <c r="B296">
        <v>2024</v>
      </c>
      <c r="C296" t="s">
        <v>831</v>
      </c>
      <c r="D296" s="241">
        <v>2364241</v>
      </c>
      <c r="E296">
        <v>2049367.875</v>
      </c>
      <c r="F296">
        <v>1696777.875</v>
      </c>
      <c r="G296">
        <v>1336906.875</v>
      </c>
      <c r="H296">
        <v>994634.0625</v>
      </c>
      <c r="I296">
        <v>5565471</v>
      </c>
    </row>
    <row r="297" spans="1:9" x14ac:dyDescent="0.2">
      <c r="A297" t="s">
        <v>450</v>
      </c>
      <c r="B297">
        <v>2020</v>
      </c>
      <c r="C297" t="s">
        <v>832</v>
      </c>
      <c r="D297" s="241">
        <v>177747</v>
      </c>
      <c r="E297">
        <v>130345.9921875</v>
      </c>
      <c r="F297">
        <v>86310.0078125</v>
      </c>
      <c r="G297">
        <v>52149.99609375</v>
      </c>
      <c r="H297">
        <v>29191</v>
      </c>
      <c r="I297">
        <v>896444</v>
      </c>
    </row>
    <row r="298" spans="1:9" x14ac:dyDescent="0.2">
      <c r="A298" t="s">
        <v>450</v>
      </c>
      <c r="B298">
        <v>2021</v>
      </c>
      <c r="C298" t="s">
        <v>833</v>
      </c>
      <c r="D298" s="241">
        <v>181360.984375</v>
      </c>
      <c r="E298">
        <v>134256.984375</v>
      </c>
      <c r="F298">
        <v>89858.9921875</v>
      </c>
      <c r="G298">
        <v>54403</v>
      </c>
      <c r="H298">
        <v>30437.001953125</v>
      </c>
      <c r="I298">
        <v>902899.0625</v>
      </c>
    </row>
    <row r="299" spans="1:9" x14ac:dyDescent="0.2">
      <c r="A299" t="s">
        <v>450</v>
      </c>
      <c r="B299">
        <v>2022</v>
      </c>
      <c r="C299" t="s">
        <v>834</v>
      </c>
      <c r="D299" s="241">
        <v>184897</v>
      </c>
      <c r="E299">
        <v>138069</v>
      </c>
      <c r="F299">
        <v>93531.9921875</v>
      </c>
      <c r="G299">
        <v>56758</v>
      </c>
      <c r="H299">
        <v>31581</v>
      </c>
      <c r="I299">
        <v>909457</v>
      </c>
    </row>
    <row r="300" spans="1:9" x14ac:dyDescent="0.2">
      <c r="A300" t="s">
        <v>450</v>
      </c>
      <c r="B300">
        <v>2023</v>
      </c>
      <c r="C300" t="s">
        <v>835</v>
      </c>
      <c r="D300" s="241">
        <v>188416</v>
      </c>
      <c r="E300">
        <v>141762.015625</v>
      </c>
      <c r="F300">
        <v>97247</v>
      </c>
      <c r="G300">
        <v>59210</v>
      </c>
      <c r="H300">
        <v>32682</v>
      </c>
      <c r="I300">
        <v>916131</v>
      </c>
    </row>
    <row r="301" spans="1:9" x14ac:dyDescent="0.2">
      <c r="A301" t="s">
        <v>450</v>
      </c>
      <c r="B301">
        <v>2024</v>
      </c>
      <c r="C301" t="s">
        <v>836</v>
      </c>
      <c r="D301" s="241">
        <v>192024</v>
      </c>
      <c r="E301">
        <v>145319.984375</v>
      </c>
      <c r="F301">
        <v>100885.9921875</v>
      </c>
      <c r="G301">
        <v>61759</v>
      </c>
      <c r="H301">
        <v>33824.99609375</v>
      </c>
      <c r="I301">
        <v>922955</v>
      </c>
    </row>
    <row r="302" spans="1:9" x14ac:dyDescent="0.2">
      <c r="A302" t="s">
        <v>345</v>
      </c>
      <c r="B302">
        <v>2020</v>
      </c>
      <c r="C302" t="s">
        <v>837</v>
      </c>
      <c r="D302" s="241">
        <v>26154814</v>
      </c>
      <c r="E302">
        <v>21791414</v>
      </c>
      <c r="F302">
        <v>17519758</v>
      </c>
      <c r="G302">
        <v>13546511</v>
      </c>
      <c r="H302">
        <v>9754974</v>
      </c>
      <c r="I302">
        <v>65273516</v>
      </c>
    </row>
    <row r="303" spans="1:9" x14ac:dyDescent="0.2">
      <c r="A303" t="s">
        <v>345</v>
      </c>
      <c r="B303">
        <v>2021</v>
      </c>
      <c r="C303" t="s">
        <v>838</v>
      </c>
      <c r="D303" s="241">
        <v>26455266</v>
      </c>
      <c r="E303">
        <v>22085710</v>
      </c>
      <c r="F303">
        <v>17797864</v>
      </c>
      <c r="G303">
        <v>13796734</v>
      </c>
      <c r="H303">
        <v>10016272</v>
      </c>
      <c r="I303">
        <v>65426180</v>
      </c>
    </row>
    <row r="304" spans="1:9" x14ac:dyDescent="0.2">
      <c r="A304" t="s">
        <v>345</v>
      </c>
      <c r="B304">
        <v>2022</v>
      </c>
      <c r="C304" t="s">
        <v>839</v>
      </c>
      <c r="D304" s="241">
        <v>26751364</v>
      </c>
      <c r="E304">
        <v>22366948</v>
      </c>
      <c r="F304">
        <v>18075784</v>
      </c>
      <c r="G304">
        <v>14034614</v>
      </c>
      <c r="H304">
        <v>10256734</v>
      </c>
      <c r="I304">
        <v>65584524</v>
      </c>
    </row>
    <row r="305" spans="1:9" x14ac:dyDescent="0.2">
      <c r="A305" t="s">
        <v>345</v>
      </c>
      <c r="B305">
        <v>2023</v>
      </c>
      <c r="C305" t="s">
        <v>840</v>
      </c>
      <c r="D305" s="241">
        <v>27042646</v>
      </c>
      <c r="E305">
        <v>22645932</v>
      </c>
      <c r="F305">
        <v>18358962</v>
      </c>
      <c r="G305">
        <v>14272219</v>
      </c>
      <c r="H305">
        <v>10488025</v>
      </c>
      <c r="I305">
        <v>65745196</v>
      </c>
    </row>
    <row r="306" spans="1:9" x14ac:dyDescent="0.2">
      <c r="A306" t="s">
        <v>345</v>
      </c>
      <c r="B306">
        <v>2024</v>
      </c>
      <c r="C306" t="s">
        <v>841</v>
      </c>
      <c r="D306" s="241">
        <v>27323282</v>
      </c>
      <c r="E306">
        <v>22934668</v>
      </c>
      <c r="F306">
        <v>18649908</v>
      </c>
      <c r="G306">
        <v>14521982</v>
      </c>
      <c r="H306">
        <v>10722837</v>
      </c>
      <c r="I306">
        <v>65902032</v>
      </c>
    </row>
    <row r="307" spans="1:9" x14ac:dyDescent="0.2">
      <c r="A307" t="s">
        <v>452</v>
      </c>
      <c r="B307">
        <v>2020</v>
      </c>
      <c r="C307" t="s">
        <v>842</v>
      </c>
      <c r="D307" s="241">
        <v>18809</v>
      </c>
      <c r="E307">
        <v>13698</v>
      </c>
      <c r="F307">
        <v>9024</v>
      </c>
      <c r="G307">
        <v>5049.99951171875</v>
      </c>
      <c r="H307">
        <v>2291.999755859375</v>
      </c>
      <c r="I307">
        <v>115020.9921875</v>
      </c>
    </row>
    <row r="308" spans="1:9" x14ac:dyDescent="0.2">
      <c r="A308" t="s">
        <v>452</v>
      </c>
      <c r="B308">
        <v>2021</v>
      </c>
      <c r="C308" t="s">
        <v>843</v>
      </c>
      <c r="D308" s="241">
        <v>19236.001953125</v>
      </c>
      <c r="E308">
        <v>14112</v>
      </c>
      <c r="F308">
        <v>9410</v>
      </c>
      <c r="G308">
        <v>5369</v>
      </c>
      <c r="H308">
        <v>2484.000244140625</v>
      </c>
      <c r="I308">
        <v>116255</v>
      </c>
    </row>
    <row r="309" spans="1:9" x14ac:dyDescent="0.2">
      <c r="A309" t="s">
        <v>452</v>
      </c>
      <c r="B309">
        <v>2022</v>
      </c>
      <c r="C309" t="s">
        <v>844</v>
      </c>
      <c r="D309" s="241">
        <v>19667.00390625</v>
      </c>
      <c r="E309">
        <v>14526.9990234375</v>
      </c>
      <c r="F309">
        <v>9790.9990234375</v>
      </c>
      <c r="G309">
        <v>5691</v>
      </c>
      <c r="H309">
        <v>2682.000244140625</v>
      </c>
      <c r="I309">
        <v>117486</v>
      </c>
    </row>
    <row r="310" spans="1:9" x14ac:dyDescent="0.2">
      <c r="A310" t="s">
        <v>452</v>
      </c>
      <c r="B310">
        <v>2023</v>
      </c>
      <c r="C310" t="s">
        <v>845</v>
      </c>
      <c r="D310" s="241">
        <v>20089.001953125</v>
      </c>
      <c r="E310">
        <v>14929</v>
      </c>
      <c r="F310">
        <v>10158.9990234375</v>
      </c>
      <c r="G310">
        <v>6004</v>
      </c>
      <c r="H310">
        <v>2869.000244140625</v>
      </c>
      <c r="I310">
        <v>118708.0078125</v>
      </c>
    </row>
    <row r="311" spans="1:9" x14ac:dyDescent="0.2">
      <c r="A311" t="s">
        <v>452</v>
      </c>
      <c r="B311">
        <v>2024</v>
      </c>
      <c r="C311" t="s">
        <v>846</v>
      </c>
      <c r="D311" s="241">
        <v>20516</v>
      </c>
      <c r="E311">
        <v>15335</v>
      </c>
      <c r="F311">
        <v>10530.9990234375</v>
      </c>
      <c r="G311">
        <v>6316</v>
      </c>
      <c r="H311">
        <v>3062.000244140625</v>
      </c>
      <c r="I311">
        <v>119921</v>
      </c>
    </row>
    <row r="312" spans="1:9" x14ac:dyDescent="0.2">
      <c r="A312" t="s">
        <v>124</v>
      </c>
      <c r="B312">
        <v>2020</v>
      </c>
      <c r="C312" t="s">
        <v>847</v>
      </c>
      <c r="D312" s="241">
        <v>253309.015625</v>
      </c>
      <c r="E312">
        <v>174561</v>
      </c>
      <c r="F312">
        <v>119157.0078125</v>
      </c>
      <c r="G312">
        <v>78544.0078125</v>
      </c>
      <c r="H312">
        <v>47854.00390625</v>
      </c>
      <c r="I312">
        <v>2225728</v>
      </c>
    </row>
    <row r="313" spans="1:9" x14ac:dyDescent="0.2">
      <c r="A313" t="s">
        <v>124</v>
      </c>
      <c r="B313">
        <v>2021</v>
      </c>
      <c r="C313" t="s">
        <v>848</v>
      </c>
      <c r="D313" s="241">
        <v>264199</v>
      </c>
      <c r="E313">
        <v>181333</v>
      </c>
      <c r="F313">
        <v>122655</v>
      </c>
      <c r="G313">
        <v>80513</v>
      </c>
      <c r="H313">
        <v>49086</v>
      </c>
      <c r="I313">
        <v>2278829.25</v>
      </c>
    </row>
    <row r="314" spans="1:9" x14ac:dyDescent="0.2">
      <c r="A314" t="s">
        <v>124</v>
      </c>
      <c r="B314">
        <v>2022</v>
      </c>
      <c r="C314" t="s">
        <v>849</v>
      </c>
      <c r="D314" s="241">
        <v>275936</v>
      </c>
      <c r="E314">
        <v>188896</v>
      </c>
      <c r="F314">
        <v>126469</v>
      </c>
      <c r="G314">
        <v>82552.0078125</v>
      </c>
      <c r="H314">
        <v>50256</v>
      </c>
      <c r="I314">
        <v>2331531.5</v>
      </c>
    </row>
    <row r="315" spans="1:9" x14ac:dyDescent="0.2">
      <c r="A315" t="s">
        <v>124</v>
      </c>
      <c r="B315">
        <v>2023</v>
      </c>
      <c r="C315" t="s">
        <v>850</v>
      </c>
      <c r="D315" s="241">
        <v>288445.96875</v>
      </c>
      <c r="E315">
        <v>197194.984375</v>
      </c>
      <c r="F315">
        <v>130696.9921875</v>
      </c>
      <c r="G315">
        <v>84697.0078125</v>
      </c>
      <c r="H315">
        <v>51376.00390625</v>
      </c>
      <c r="I315">
        <v>2383905.25</v>
      </c>
    </row>
    <row r="316" spans="1:9" x14ac:dyDescent="0.2">
      <c r="A316" t="s">
        <v>124</v>
      </c>
      <c r="B316">
        <v>2024</v>
      </c>
      <c r="C316" t="s">
        <v>851</v>
      </c>
      <c r="D316" s="241">
        <v>301551</v>
      </c>
      <c r="E316">
        <v>206089.015625</v>
      </c>
      <c r="F316">
        <v>135427.015625</v>
      </c>
      <c r="G316">
        <v>86955.9921875</v>
      </c>
      <c r="H316">
        <v>52413</v>
      </c>
      <c r="I316">
        <v>2435945</v>
      </c>
    </row>
    <row r="317" spans="1:9" x14ac:dyDescent="0.2">
      <c r="A317" t="s">
        <v>347</v>
      </c>
      <c r="B317">
        <v>2020</v>
      </c>
      <c r="C317" t="s">
        <v>852</v>
      </c>
      <c r="D317" s="241">
        <v>25741490</v>
      </c>
      <c r="E317">
        <v>21106952</v>
      </c>
      <c r="F317">
        <v>16568027</v>
      </c>
      <c r="G317">
        <v>12663013</v>
      </c>
      <c r="H317">
        <v>9281251</v>
      </c>
      <c r="I317">
        <v>67886008</v>
      </c>
    </row>
    <row r="318" spans="1:9" x14ac:dyDescent="0.2">
      <c r="A318" t="s">
        <v>347</v>
      </c>
      <c r="B318">
        <v>2021</v>
      </c>
      <c r="C318" t="s">
        <v>853</v>
      </c>
      <c r="D318" s="241">
        <v>26040022</v>
      </c>
      <c r="E318">
        <v>21462988</v>
      </c>
      <c r="F318">
        <v>16870864</v>
      </c>
      <c r="G318">
        <v>12855270</v>
      </c>
      <c r="H318">
        <v>9460689</v>
      </c>
      <c r="I318">
        <v>68207120</v>
      </c>
    </row>
    <row r="319" spans="1:9" x14ac:dyDescent="0.2">
      <c r="A319" t="s">
        <v>347</v>
      </c>
      <c r="B319">
        <v>2022</v>
      </c>
      <c r="C319" t="s">
        <v>854</v>
      </c>
      <c r="D319" s="241">
        <v>26292608</v>
      </c>
      <c r="E319">
        <v>21797244</v>
      </c>
      <c r="F319">
        <v>17178398</v>
      </c>
      <c r="G319">
        <v>13046953</v>
      </c>
      <c r="H319">
        <v>9598723</v>
      </c>
      <c r="I319">
        <v>68497904</v>
      </c>
    </row>
    <row r="320" spans="1:9" x14ac:dyDescent="0.2">
      <c r="A320" t="s">
        <v>347</v>
      </c>
      <c r="B320">
        <v>2023</v>
      </c>
      <c r="C320" t="s">
        <v>855</v>
      </c>
      <c r="D320" s="241">
        <v>26518034</v>
      </c>
      <c r="E320">
        <v>22114162</v>
      </c>
      <c r="F320">
        <v>17493222</v>
      </c>
      <c r="G320">
        <v>13248892</v>
      </c>
      <c r="H320">
        <v>9715828</v>
      </c>
      <c r="I320">
        <v>68765936</v>
      </c>
    </row>
    <row r="321" spans="1:9" x14ac:dyDescent="0.2">
      <c r="A321" t="s">
        <v>347</v>
      </c>
      <c r="B321">
        <v>2024</v>
      </c>
      <c r="C321" t="s">
        <v>856</v>
      </c>
      <c r="D321" s="241">
        <v>26740940</v>
      </c>
      <c r="E321">
        <v>22417868</v>
      </c>
      <c r="F321">
        <v>17816094</v>
      </c>
      <c r="G321">
        <v>13473055</v>
      </c>
      <c r="H321">
        <v>9839562</v>
      </c>
      <c r="I321">
        <v>69021832</v>
      </c>
    </row>
    <row r="322" spans="1:9" x14ac:dyDescent="0.2">
      <c r="A322" t="s">
        <v>349</v>
      </c>
      <c r="B322">
        <v>2020</v>
      </c>
      <c r="C322" t="s">
        <v>857</v>
      </c>
      <c r="D322" s="241">
        <v>1381235</v>
      </c>
      <c r="E322">
        <v>1135414.875</v>
      </c>
      <c r="F322">
        <v>857612.0625</v>
      </c>
      <c r="G322">
        <v>608482.0625</v>
      </c>
      <c r="H322">
        <v>397754</v>
      </c>
      <c r="I322">
        <v>3989174.75</v>
      </c>
    </row>
    <row r="323" spans="1:9" x14ac:dyDescent="0.2">
      <c r="A323" t="s">
        <v>349</v>
      </c>
      <c r="B323">
        <v>2021</v>
      </c>
      <c r="C323" t="s">
        <v>858</v>
      </c>
      <c r="D323" s="241">
        <v>1385220.125</v>
      </c>
      <c r="E323">
        <v>1143460.125</v>
      </c>
      <c r="F323">
        <v>871881.9375</v>
      </c>
      <c r="G323">
        <v>619321.9375</v>
      </c>
      <c r="H323">
        <v>404464.03125</v>
      </c>
      <c r="I323">
        <v>3979773</v>
      </c>
    </row>
    <row r="324" spans="1:9" x14ac:dyDescent="0.2">
      <c r="A324" t="s">
        <v>349</v>
      </c>
      <c r="B324">
        <v>2022</v>
      </c>
      <c r="C324" t="s">
        <v>859</v>
      </c>
      <c r="D324" s="241">
        <v>1388166</v>
      </c>
      <c r="E324">
        <v>1147376.125</v>
      </c>
      <c r="F324">
        <v>885667.0625</v>
      </c>
      <c r="G324">
        <v>628889</v>
      </c>
      <c r="H324">
        <v>411116</v>
      </c>
      <c r="I324">
        <v>3968727.75</v>
      </c>
    </row>
    <row r="325" spans="1:9" x14ac:dyDescent="0.2">
      <c r="A325" t="s">
        <v>349</v>
      </c>
      <c r="B325">
        <v>2023</v>
      </c>
      <c r="C325" t="s">
        <v>860</v>
      </c>
      <c r="D325" s="241">
        <v>1390619.875</v>
      </c>
      <c r="E325">
        <v>1148644.875</v>
      </c>
      <c r="F325">
        <v>898326.9375</v>
      </c>
      <c r="G325">
        <v>637811.0625</v>
      </c>
      <c r="H325">
        <v>417694.9375</v>
      </c>
      <c r="I325">
        <v>3956337</v>
      </c>
    </row>
    <row r="326" spans="1:9" x14ac:dyDescent="0.2">
      <c r="A326" t="s">
        <v>349</v>
      </c>
      <c r="B326">
        <v>2024</v>
      </c>
      <c r="C326" t="s">
        <v>861</v>
      </c>
      <c r="D326" s="241">
        <v>1393030.875</v>
      </c>
      <c r="E326">
        <v>1149347.875</v>
      </c>
      <c r="F326">
        <v>908801</v>
      </c>
      <c r="G326">
        <v>646953.0625</v>
      </c>
      <c r="H326">
        <v>424074.03125</v>
      </c>
      <c r="I326">
        <v>3943049.75</v>
      </c>
    </row>
    <row r="327" spans="1:9" x14ac:dyDescent="0.2">
      <c r="A327" t="s">
        <v>126</v>
      </c>
      <c r="B327">
        <v>2020</v>
      </c>
      <c r="C327" t="s">
        <v>862</v>
      </c>
      <c r="D327" s="241">
        <v>3778094.25</v>
      </c>
      <c r="E327">
        <v>2588834.25</v>
      </c>
      <c r="F327">
        <v>1643115</v>
      </c>
      <c r="G327">
        <v>975803</v>
      </c>
      <c r="H327">
        <v>552048</v>
      </c>
      <c r="I327">
        <v>31072946</v>
      </c>
    </row>
    <row r="328" spans="1:9" x14ac:dyDescent="0.2">
      <c r="A328" t="s">
        <v>126</v>
      </c>
      <c r="B328">
        <v>2021</v>
      </c>
      <c r="C328" t="s">
        <v>863</v>
      </c>
      <c r="D328" s="241">
        <v>3928629</v>
      </c>
      <c r="E328">
        <v>2707046.25</v>
      </c>
      <c r="F328">
        <v>1724221</v>
      </c>
      <c r="G328">
        <v>1018600</v>
      </c>
      <c r="H328">
        <v>572915.9375</v>
      </c>
      <c r="I328">
        <v>31732126</v>
      </c>
    </row>
    <row r="329" spans="1:9" x14ac:dyDescent="0.2">
      <c r="A329" t="s">
        <v>126</v>
      </c>
      <c r="B329">
        <v>2022</v>
      </c>
      <c r="C329" t="s">
        <v>864</v>
      </c>
      <c r="D329" s="241">
        <v>4081660.25</v>
      </c>
      <c r="E329">
        <v>2828203</v>
      </c>
      <c r="F329">
        <v>1809716.75</v>
      </c>
      <c r="G329">
        <v>1064530</v>
      </c>
      <c r="H329">
        <v>590528</v>
      </c>
      <c r="I329">
        <v>32395456</v>
      </c>
    </row>
    <row r="330" spans="1:9" x14ac:dyDescent="0.2">
      <c r="A330" t="s">
        <v>126</v>
      </c>
      <c r="B330">
        <v>2023</v>
      </c>
      <c r="C330" t="s">
        <v>865</v>
      </c>
      <c r="D330" s="241">
        <v>4237852</v>
      </c>
      <c r="E330">
        <v>2952706.25</v>
      </c>
      <c r="F330">
        <v>1899574.125</v>
      </c>
      <c r="G330">
        <v>1114103</v>
      </c>
      <c r="H330">
        <v>607098</v>
      </c>
      <c r="I330">
        <v>33062742</v>
      </c>
    </row>
    <row r="331" spans="1:9" x14ac:dyDescent="0.2">
      <c r="A331" t="s">
        <v>126</v>
      </c>
      <c r="B331">
        <v>2024</v>
      </c>
      <c r="C331" t="s">
        <v>866</v>
      </c>
      <c r="D331" s="241">
        <v>4398145</v>
      </c>
      <c r="E331">
        <v>3081142.25</v>
      </c>
      <c r="F331">
        <v>1993664.75</v>
      </c>
      <c r="G331">
        <v>1167928.875</v>
      </c>
      <c r="H331">
        <v>625381.9375</v>
      </c>
      <c r="I331">
        <v>33733908</v>
      </c>
    </row>
    <row r="332" spans="1:9" x14ac:dyDescent="0.2">
      <c r="A332" t="s">
        <v>128</v>
      </c>
      <c r="B332">
        <v>2020</v>
      </c>
      <c r="C332" t="s">
        <v>867</v>
      </c>
      <c r="D332" s="241">
        <v>1232670.125</v>
      </c>
      <c r="E332">
        <v>899749.0625</v>
      </c>
      <c r="F332">
        <v>618146.0625</v>
      </c>
      <c r="G332">
        <v>387718.96875</v>
      </c>
      <c r="H332">
        <v>209997.015625</v>
      </c>
      <c r="I332">
        <v>13132790</v>
      </c>
    </row>
    <row r="333" spans="1:9" x14ac:dyDescent="0.2">
      <c r="A333" t="s">
        <v>128</v>
      </c>
      <c r="B333">
        <v>2021</v>
      </c>
      <c r="C333" t="s">
        <v>868</v>
      </c>
      <c r="D333" s="241">
        <v>1263513</v>
      </c>
      <c r="E333">
        <v>922998.0625</v>
      </c>
      <c r="F333">
        <v>636088</v>
      </c>
      <c r="G333">
        <v>401509</v>
      </c>
      <c r="H333">
        <v>218944.984375</v>
      </c>
      <c r="I333">
        <v>13497236</v>
      </c>
    </row>
    <row r="334" spans="1:9" x14ac:dyDescent="0.2">
      <c r="A334" t="s">
        <v>128</v>
      </c>
      <c r="B334">
        <v>2022</v>
      </c>
      <c r="C334" t="s">
        <v>869</v>
      </c>
      <c r="D334" s="241">
        <v>1295843.875</v>
      </c>
      <c r="E334">
        <v>946873.125</v>
      </c>
      <c r="F334">
        <v>654151.0625</v>
      </c>
      <c r="G334">
        <v>414636</v>
      </c>
      <c r="H334">
        <v>228168</v>
      </c>
      <c r="I334">
        <v>13865690</v>
      </c>
    </row>
    <row r="335" spans="1:9" x14ac:dyDescent="0.2">
      <c r="A335" t="s">
        <v>128</v>
      </c>
      <c r="B335">
        <v>2023</v>
      </c>
      <c r="C335" t="s">
        <v>870</v>
      </c>
      <c r="D335" s="241">
        <v>1330001.25</v>
      </c>
      <c r="E335">
        <v>971489.0625</v>
      </c>
      <c r="F335">
        <v>672398</v>
      </c>
      <c r="G335">
        <v>427329</v>
      </c>
      <c r="H335">
        <v>237247.015625</v>
      </c>
      <c r="I335">
        <v>14238717</v>
      </c>
    </row>
    <row r="336" spans="1:9" x14ac:dyDescent="0.2">
      <c r="A336" t="s">
        <v>128</v>
      </c>
      <c r="B336">
        <v>2024</v>
      </c>
      <c r="C336" t="s">
        <v>871</v>
      </c>
      <c r="D336" s="241">
        <v>1366480.75</v>
      </c>
      <c r="E336">
        <v>996994</v>
      </c>
      <c r="F336">
        <v>690891.9375</v>
      </c>
      <c r="G336">
        <v>439876</v>
      </c>
      <c r="H336">
        <v>245661.015625</v>
      </c>
      <c r="I336">
        <v>14617783</v>
      </c>
    </row>
    <row r="337" spans="1:9" x14ac:dyDescent="0.2">
      <c r="A337" t="s">
        <v>507</v>
      </c>
      <c r="B337">
        <v>2020</v>
      </c>
      <c r="C337" t="s">
        <v>872</v>
      </c>
      <c r="D337" s="241">
        <v>166674.984375</v>
      </c>
      <c r="E337">
        <v>135934.984375</v>
      </c>
      <c r="F337">
        <v>104473.0078125</v>
      </c>
      <c r="G337">
        <v>77434.0078125</v>
      </c>
      <c r="H337">
        <v>53904.00390625</v>
      </c>
      <c r="I337">
        <v>400126.96875</v>
      </c>
    </row>
    <row r="338" spans="1:9" x14ac:dyDescent="0.2">
      <c r="A338" t="s">
        <v>507</v>
      </c>
      <c r="B338">
        <v>2021</v>
      </c>
      <c r="C338" t="s">
        <v>873</v>
      </c>
      <c r="D338" s="241">
        <v>168817.984375</v>
      </c>
      <c r="E338">
        <v>138679</v>
      </c>
      <c r="F338">
        <v>107189.9921875</v>
      </c>
      <c r="G338">
        <v>79530.0078125</v>
      </c>
      <c r="H338">
        <v>55655.00390625</v>
      </c>
      <c r="I338">
        <v>400013.03125</v>
      </c>
    </row>
    <row r="339" spans="1:9" x14ac:dyDescent="0.2">
      <c r="A339" t="s">
        <v>507</v>
      </c>
      <c r="B339">
        <v>2022</v>
      </c>
      <c r="C339" t="s">
        <v>874</v>
      </c>
      <c r="D339" s="241">
        <v>171179</v>
      </c>
      <c r="E339">
        <v>141579.015625</v>
      </c>
      <c r="F339">
        <v>110263.9921875</v>
      </c>
      <c r="G339">
        <v>81792.9921875</v>
      </c>
      <c r="H339">
        <v>57550</v>
      </c>
      <c r="I339">
        <v>399802.0625</v>
      </c>
    </row>
    <row r="340" spans="1:9" x14ac:dyDescent="0.2">
      <c r="A340" t="s">
        <v>507</v>
      </c>
      <c r="B340">
        <v>2023</v>
      </c>
      <c r="C340" t="s">
        <v>875</v>
      </c>
      <c r="D340" s="241">
        <v>173546.984375</v>
      </c>
      <c r="E340">
        <v>144516.984375</v>
      </c>
      <c r="F340">
        <v>113544</v>
      </c>
      <c r="G340">
        <v>84206</v>
      </c>
      <c r="H340">
        <v>59552.99609375</v>
      </c>
      <c r="I340">
        <v>399536</v>
      </c>
    </row>
    <row r="341" spans="1:9" x14ac:dyDescent="0.2">
      <c r="A341" t="s">
        <v>507</v>
      </c>
      <c r="B341">
        <v>2024</v>
      </c>
      <c r="C341" t="s">
        <v>876</v>
      </c>
      <c r="D341" s="241">
        <v>175606.984375</v>
      </c>
      <c r="E341">
        <v>147318.984375</v>
      </c>
      <c r="F341">
        <v>116777.0078125</v>
      </c>
      <c r="G341">
        <v>86740.0078125</v>
      </c>
      <c r="H341">
        <v>61590</v>
      </c>
      <c r="I341">
        <v>399320.96875</v>
      </c>
    </row>
    <row r="342" spans="1:9" x14ac:dyDescent="0.2">
      <c r="A342" t="s">
        <v>130</v>
      </c>
      <c r="B342">
        <v>2020</v>
      </c>
      <c r="C342" t="s">
        <v>877</v>
      </c>
      <c r="D342" s="241">
        <v>211119.984375</v>
      </c>
      <c r="E342">
        <v>145590</v>
      </c>
      <c r="F342">
        <v>95209</v>
      </c>
      <c r="G342">
        <v>61173</v>
      </c>
      <c r="H342">
        <v>35927.99609375</v>
      </c>
      <c r="I342">
        <v>2416664</v>
      </c>
    </row>
    <row r="343" spans="1:9" x14ac:dyDescent="0.2">
      <c r="A343" t="s">
        <v>130</v>
      </c>
      <c r="B343">
        <v>2021</v>
      </c>
      <c r="C343" t="s">
        <v>878</v>
      </c>
      <c r="D343" s="241">
        <v>218166</v>
      </c>
      <c r="E343">
        <v>151240</v>
      </c>
      <c r="F343">
        <v>98425.9921875</v>
      </c>
      <c r="G343">
        <v>62543.0078125</v>
      </c>
      <c r="H343">
        <v>36974.00390625</v>
      </c>
      <c r="I343">
        <v>2486937.25</v>
      </c>
    </row>
    <row r="344" spans="1:9" x14ac:dyDescent="0.2">
      <c r="A344" t="s">
        <v>130</v>
      </c>
      <c r="B344">
        <v>2022</v>
      </c>
      <c r="C344" t="s">
        <v>879</v>
      </c>
      <c r="D344" s="241">
        <v>225294</v>
      </c>
      <c r="E344">
        <v>157263</v>
      </c>
      <c r="F344">
        <v>102040</v>
      </c>
      <c r="G344">
        <v>63865.00390625</v>
      </c>
      <c r="H344">
        <v>37824.00390625</v>
      </c>
      <c r="I344">
        <v>2558493</v>
      </c>
    </row>
    <row r="345" spans="1:9" x14ac:dyDescent="0.2">
      <c r="A345" t="s">
        <v>130</v>
      </c>
      <c r="B345">
        <v>2023</v>
      </c>
      <c r="C345" t="s">
        <v>880</v>
      </c>
      <c r="D345" s="241">
        <v>232658.015625</v>
      </c>
      <c r="E345">
        <v>163539.015625</v>
      </c>
      <c r="F345">
        <v>106022.9921875</v>
      </c>
      <c r="G345">
        <v>65263</v>
      </c>
      <c r="H345">
        <v>38517</v>
      </c>
      <c r="I345">
        <v>2631251</v>
      </c>
    </row>
    <row r="346" spans="1:9" x14ac:dyDescent="0.2">
      <c r="A346" t="s">
        <v>130</v>
      </c>
      <c r="B346">
        <v>2024</v>
      </c>
      <c r="C346" t="s">
        <v>881</v>
      </c>
      <c r="D346" s="241">
        <v>240511</v>
      </c>
      <c r="E346">
        <v>169917</v>
      </c>
      <c r="F346">
        <v>110334.0078125</v>
      </c>
      <c r="G346">
        <v>66926</v>
      </c>
      <c r="H346">
        <v>39092.99609375</v>
      </c>
      <c r="I346">
        <v>2705194</v>
      </c>
    </row>
    <row r="347" spans="1:9" x14ac:dyDescent="0.2">
      <c r="A347" t="s">
        <v>132</v>
      </c>
      <c r="B347">
        <v>2020</v>
      </c>
      <c r="C347" t="s">
        <v>882</v>
      </c>
      <c r="D347" s="241">
        <v>182155</v>
      </c>
      <c r="E347">
        <v>131054</v>
      </c>
      <c r="F347">
        <v>89966.9921875</v>
      </c>
      <c r="G347">
        <v>56792</v>
      </c>
      <c r="H347">
        <v>29551</v>
      </c>
      <c r="I347">
        <v>1967997.875</v>
      </c>
    </row>
    <row r="348" spans="1:9" x14ac:dyDescent="0.2">
      <c r="A348" t="s">
        <v>132</v>
      </c>
      <c r="B348">
        <v>2021</v>
      </c>
      <c r="C348" t="s">
        <v>883</v>
      </c>
      <c r="D348" s="241">
        <v>187415.96875</v>
      </c>
      <c r="E348">
        <v>134195.984375</v>
      </c>
      <c r="F348">
        <v>92289</v>
      </c>
      <c r="G348">
        <v>58795.99609375</v>
      </c>
      <c r="H348">
        <v>31191</v>
      </c>
      <c r="I348">
        <v>2015490.125</v>
      </c>
    </row>
    <row r="349" spans="1:9" x14ac:dyDescent="0.2">
      <c r="A349" t="s">
        <v>132</v>
      </c>
      <c r="B349">
        <v>2022</v>
      </c>
      <c r="C349" t="s">
        <v>884</v>
      </c>
      <c r="D349" s="241">
        <v>193131.984375</v>
      </c>
      <c r="E349">
        <v>137369</v>
      </c>
      <c r="F349">
        <v>94595.9921875</v>
      </c>
      <c r="G349">
        <v>60531.99609375</v>
      </c>
      <c r="H349">
        <v>32892.99609375</v>
      </c>
      <c r="I349">
        <v>2063361.125</v>
      </c>
    </row>
    <row r="350" spans="1:9" x14ac:dyDescent="0.2">
      <c r="A350" t="s">
        <v>132</v>
      </c>
      <c r="B350">
        <v>2023</v>
      </c>
      <c r="C350" t="s">
        <v>885</v>
      </c>
      <c r="D350" s="241">
        <v>199266.015625</v>
      </c>
      <c r="E350">
        <v>140685.015625</v>
      </c>
      <c r="F350">
        <v>96892.0078125</v>
      </c>
      <c r="G350">
        <v>62068.00390625</v>
      </c>
      <c r="H350">
        <v>34521</v>
      </c>
      <c r="I350">
        <v>2111612.25</v>
      </c>
    </row>
    <row r="351" spans="1:9" x14ac:dyDescent="0.2">
      <c r="A351" t="s">
        <v>132</v>
      </c>
      <c r="B351">
        <v>2024</v>
      </c>
      <c r="C351" t="s">
        <v>886</v>
      </c>
      <c r="D351" s="241">
        <v>205754</v>
      </c>
      <c r="E351">
        <v>144306</v>
      </c>
      <c r="F351">
        <v>99176</v>
      </c>
      <c r="G351">
        <v>63511.9921875</v>
      </c>
      <c r="H351">
        <v>35916.99609375</v>
      </c>
      <c r="I351">
        <v>2160280</v>
      </c>
    </row>
    <row r="352" spans="1:9" x14ac:dyDescent="0.2">
      <c r="A352" t="s">
        <v>134</v>
      </c>
      <c r="B352">
        <v>2020</v>
      </c>
      <c r="C352" t="s">
        <v>887</v>
      </c>
      <c r="D352" s="241">
        <v>115297</v>
      </c>
      <c r="E352">
        <v>78109.9921875</v>
      </c>
      <c r="F352">
        <v>53080</v>
      </c>
      <c r="G352">
        <v>33412.00390625</v>
      </c>
      <c r="H352">
        <v>18201</v>
      </c>
      <c r="I352">
        <v>1402985.125</v>
      </c>
    </row>
    <row r="353" spans="1:9" x14ac:dyDescent="0.2">
      <c r="A353" t="s">
        <v>134</v>
      </c>
      <c r="B353">
        <v>2021</v>
      </c>
      <c r="C353" t="s">
        <v>888</v>
      </c>
      <c r="D353" s="241">
        <v>118587.015625</v>
      </c>
      <c r="E353">
        <v>80517.0078125</v>
      </c>
      <c r="F353">
        <v>54129.9921875</v>
      </c>
      <c r="G353">
        <v>34350.9921875</v>
      </c>
      <c r="H353">
        <v>18884</v>
      </c>
      <c r="I353">
        <v>1449891.125</v>
      </c>
    </row>
    <row r="354" spans="1:9" x14ac:dyDescent="0.2">
      <c r="A354" t="s">
        <v>134</v>
      </c>
      <c r="B354">
        <v>2022</v>
      </c>
      <c r="C354" t="s">
        <v>889</v>
      </c>
      <c r="D354" s="241">
        <v>121518.0078125</v>
      </c>
      <c r="E354">
        <v>83187.0078125</v>
      </c>
      <c r="F354">
        <v>55036.99609375</v>
      </c>
      <c r="G354">
        <v>35144.99609375</v>
      </c>
      <c r="H354">
        <v>19533.998046875</v>
      </c>
      <c r="I354">
        <v>1496673.25</v>
      </c>
    </row>
    <row r="355" spans="1:9" x14ac:dyDescent="0.2">
      <c r="A355" t="s">
        <v>134</v>
      </c>
      <c r="B355">
        <v>2023</v>
      </c>
      <c r="C355" t="s">
        <v>890</v>
      </c>
      <c r="D355" s="241">
        <v>124057</v>
      </c>
      <c r="E355">
        <v>85911</v>
      </c>
      <c r="F355">
        <v>55901.99609375</v>
      </c>
      <c r="G355">
        <v>35773</v>
      </c>
      <c r="H355">
        <v>20092.998046875</v>
      </c>
      <c r="I355">
        <v>1543389</v>
      </c>
    </row>
    <row r="356" spans="1:9" x14ac:dyDescent="0.2">
      <c r="A356" t="s">
        <v>134</v>
      </c>
      <c r="B356">
        <v>2024</v>
      </c>
      <c r="C356" t="s">
        <v>891</v>
      </c>
      <c r="D356" s="241">
        <v>126201</v>
      </c>
      <c r="E356">
        <v>88437.9921875</v>
      </c>
      <c r="F356">
        <v>56922.0078125</v>
      </c>
      <c r="G356">
        <v>36255.00390625</v>
      </c>
      <c r="H356">
        <v>20508</v>
      </c>
      <c r="I356">
        <v>1590204</v>
      </c>
    </row>
    <row r="357" spans="1:9" x14ac:dyDescent="0.2">
      <c r="A357" t="s">
        <v>351</v>
      </c>
      <c r="B357">
        <v>2020</v>
      </c>
      <c r="C357" t="s">
        <v>892</v>
      </c>
      <c r="D357" s="241">
        <v>4504934</v>
      </c>
      <c r="E357">
        <v>3708591</v>
      </c>
      <c r="F357">
        <v>2999240</v>
      </c>
      <c r="G357">
        <v>2322712</v>
      </c>
      <c r="H357">
        <v>1742078</v>
      </c>
      <c r="I357">
        <v>10423055</v>
      </c>
    </row>
    <row r="358" spans="1:9" x14ac:dyDescent="0.2">
      <c r="A358" t="s">
        <v>351</v>
      </c>
      <c r="B358">
        <v>2021</v>
      </c>
      <c r="C358" t="s">
        <v>893</v>
      </c>
      <c r="D358" s="241">
        <v>4548805.5</v>
      </c>
      <c r="E358">
        <v>3749132.5</v>
      </c>
      <c r="F358">
        <v>3029510</v>
      </c>
      <c r="G358">
        <v>2348078</v>
      </c>
      <c r="H358">
        <v>1759529.875</v>
      </c>
      <c r="I358">
        <v>10370747</v>
      </c>
    </row>
    <row r="359" spans="1:9" x14ac:dyDescent="0.2">
      <c r="A359" t="s">
        <v>351</v>
      </c>
      <c r="B359">
        <v>2022</v>
      </c>
      <c r="C359" t="s">
        <v>894</v>
      </c>
      <c r="D359" s="241">
        <v>4592378.5</v>
      </c>
      <c r="E359">
        <v>3794486</v>
      </c>
      <c r="F359">
        <v>3058956</v>
      </c>
      <c r="G359">
        <v>2377388</v>
      </c>
      <c r="H359">
        <v>1774018.25</v>
      </c>
      <c r="I359">
        <v>10316640</v>
      </c>
    </row>
    <row r="360" spans="1:9" x14ac:dyDescent="0.2">
      <c r="A360" t="s">
        <v>351</v>
      </c>
      <c r="B360">
        <v>2023</v>
      </c>
      <c r="C360" t="s">
        <v>895</v>
      </c>
      <c r="D360" s="241">
        <v>4636083.5</v>
      </c>
      <c r="E360">
        <v>3843340</v>
      </c>
      <c r="F360">
        <v>3089410</v>
      </c>
      <c r="G360">
        <v>2409499.75</v>
      </c>
      <c r="H360">
        <v>1787890</v>
      </c>
      <c r="I360">
        <v>10261735</v>
      </c>
    </row>
    <row r="361" spans="1:9" x14ac:dyDescent="0.2">
      <c r="A361" t="s">
        <v>351</v>
      </c>
      <c r="B361">
        <v>2024</v>
      </c>
      <c r="C361" t="s">
        <v>896</v>
      </c>
      <c r="D361" s="241">
        <v>4680196.5</v>
      </c>
      <c r="E361">
        <v>3893043</v>
      </c>
      <c r="F361">
        <v>3123336</v>
      </c>
      <c r="G361">
        <v>2442139.25</v>
      </c>
      <c r="H361">
        <v>1804371</v>
      </c>
      <c r="I361">
        <v>10207411</v>
      </c>
    </row>
    <row r="362" spans="1:9" x14ac:dyDescent="0.2">
      <c r="A362" t="s">
        <v>223</v>
      </c>
      <c r="B362">
        <v>2020</v>
      </c>
      <c r="C362" t="s">
        <v>897</v>
      </c>
      <c r="D362" s="241">
        <v>28881</v>
      </c>
      <c r="E362">
        <v>22964</v>
      </c>
      <c r="F362">
        <v>16736</v>
      </c>
      <c r="G362">
        <v>11018</v>
      </c>
      <c r="H362">
        <v>7160.00048828125</v>
      </c>
      <c r="I362">
        <v>112519.0078125</v>
      </c>
    </row>
    <row r="363" spans="1:9" x14ac:dyDescent="0.2">
      <c r="A363" t="s">
        <v>223</v>
      </c>
      <c r="B363">
        <v>2021</v>
      </c>
      <c r="C363" t="s">
        <v>898</v>
      </c>
      <c r="D363" s="241">
        <v>29163.001953125</v>
      </c>
      <c r="E363">
        <v>23272.001953125</v>
      </c>
      <c r="F363">
        <v>17159</v>
      </c>
      <c r="G363">
        <v>11326</v>
      </c>
      <c r="H363">
        <v>7241</v>
      </c>
      <c r="I363">
        <v>113014.984375</v>
      </c>
    </row>
    <row r="364" spans="1:9" x14ac:dyDescent="0.2">
      <c r="A364" t="s">
        <v>223</v>
      </c>
      <c r="B364">
        <v>2022</v>
      </c>
      <c r="C364" t="s">
        <v>899</v>
      </c>
      <c r="D364" s="241">
        <v>29463.001953125</v>
      </c>
      <c r="E364">
        <v>23529.001953125</v>
      </c>
      <c r="F364">
        <v>17557</v>
      </c>
      <c r="G364">
        <v>11669.0009765625</v>
      </c>
      <c r="H364">
        <v>7302</v>
      </c>
      <c r="I364">
        <v>113477</v>
      </c>
    </row>
    <row r="365" spans="1:9" x14ac:dyDescent="0.2">
      <c r="A365" t="s">
        <v>223</v>
      </c>
      <c r="B365">
        <v>2023</v>
      </c>
      <c r="C365" t="s">
        <v>900</v>
      </c>
      <c r="D365" s="241">
        <v>29775</v>
      </c>
      <c r="E365">
        <v>23760</v>
      </c>
      <c r="F365">
        <v>17935</v>
      </c>
      <c r="G365">
        <v>12044</v>
      </c>
      <c r="H365">
        <v>7374</v>
      </c>
      <c r="I365">
        <v>113902.984375</v>
      </c>
    </row>
    <row r="366" spans="1:9" x14ac:dyDescent="0.2">
      <c r="A366" t="s">
        <v>223</v>
      </c>
      <c r="B366">
        <v>2024</v>
      </c>
      <c r="C366" t="s">
        <v>901</v>
      </c>
      <c r="D366" s="241">
        <v>30067.00390625</v>
      </c>
      <c r="E366">
        <v>23985.001953125</v>
      </c>
      <c r="F366">
        <v>18277</v>
      </c>
      <c r="G366">
        <v>12415.9990234375</v>
      </c>
      <c r="H366">
        <v>7480</v>
      </c>
      <c r="I366">
        <v>114288.984375</v>
      </c>
    </row>
    <row r="367" spans="1:9" x14ac:dyDescent="0.2">
      <c r="A367" t="s">
        <v>225</v>
      </c>
      <c r="B367">
        <v>2020</v>
      </c>
      <c r="C367" t="s">
        <v>902</v>
      </c>
      <c r="D367" s="241">
        <v>2349279</v>
      </c>
      <c r="E367">
        <v>1765372.75</v>
      </c>
      <c r="F367">
        <v>1295461.875</v>
      </c>
      <c r="G367">
        <v>903310</v>
      </c>
      <c r="H367">
        <v>576609.9375</v>
      </c>
      <c r="I367">
        <v>17915568</v>
      </c>
    </row>
    <row r="368" spans="1:9" x14ac:dyDescent="0.2">
      <c r="A368" t="s">
        <v>225</v>
      </c>
      <c r="B368">
        <v>2021</v>
      </c>
      <c r="C368" t="s">
        <v>903</v>
      </c>
      <c r="D368" s="241">
        <v>2434388.75</v>
      </c>
      <c r="E368">
        <v>1825792.125</v>
      </c>
      <c r="F368">
        <v>1340381.125</v>
      </c>
      <c r="G368">
        <v>939211</v>
      </c>
      <c r="H368">
        <v>601440</v>
      </c>
      <c r="I368">
        <v>18249866</v>
      </c>
    </row>
    <row r="369" spans="1:9" x14ac:dyDescent="0.2">
      <c r="A369" t="s">
        <v>225</v>
      </c>
      <c r="B369">
        <v>2022</v>
      </c>
      <c r="C369" t="s">
        <v>904</v>
      </c>
      <c r="D369" s="241">
        <v>2524546</v>
      </c>
      <c r="E369">
        <v>1889453</v>
      </c>
      <c r="F369">
        <v>1386770.875</v>
      </c>
      <c r="G369">
        <v>975406</v>
      </c>
      <c r="H369">
        <v>629091</v>
      </c>
      <c r="I369">
        <v>18584042</v>
      </c>
    </row>
    <row r="370" spans="1:9" x14ac:dyDescent="0.2">
      <c r="A370" t="s">
        <v>225</v>
      </c>
      <c r="B370">
        <v>2023</v>
      </c>
      <c r="C370" t="s">
        <v>905</v>
      </c>
      <c r="D370" s="241">
        <v>2620193.75</v>
      </c>
      <c r="E370">
        <v>1956720</v>
      </c>
      <c r="F370">
        <v>1434969</v>
      </c>
      <c r="G370">
        <v>1012144.9375</v>
      </c>
      <c r="H370">
        <v>658796.9375</v>
      </c>
      <c r="I370">
        <v>18917712</v>
      </c>
    </row>
    <row r="371" spans="1:9" x14ac:dyDescent="0.2">
      <c r="A371" t="s">
        <v>225</v>
      </c>
      <c r="B371">
        <v>2024</v>
      </c>
      <c r="C371" t="s">
        <v>906</v>
      </c>
      <c r="D371" s="241">
        <v>2722169.75</v>
      </c>
      <c r="E371">
        <v>2028195.125</v>
      </c>
      <c r="F371">
        <v>1485552.125</v>
      </c>
      <c r="G371">
        <v>1049955</v>
      </c>
      <c r="H371">
        <v>689377</v>
      </c>
      <c r="I371">
        <v>19250478</v>
      </c>
    </row>
    <row r="372" spans="1:9" x14ac:dyDescent="0.2">
      <c r="A372" t="s">
        <v>508</v>
      </c>
      <c r="B372">
        <v>2020</v>
      </c>
      <c r="C372" t="s">
        <v>907</v>
      </c>
      <c r="D372" s="241">
        <v>53190.00390625</v>
      </c>
      <c r="E372">
        <v>38272.00390625</v>
      </c>
      <c r="F372">
        <v>26478.998046875</v>
      </c>
      <c r="G372">
        <v>16626</v>
      </c>
      <c r="H372">
        <v>9253</v>
      </c>
      <c r="I372">
        <v>298682</v>
      </c>
    </row>
    <row r="373" spans="1:9" x14ac:dyDescent="0.2">
      <c r="A373" t="s">
        <v>508</v>
      </c>
      <c r="B373">
        <v>2021</v>
      </c>
      <c r="C373" t="s">
        <v>908</v>
      </c>
      <c r="D373" s="241">
        <v>55719</v>
      </c>
      <c r="E373">
        <v>40254</v>
      </c>
      <c r="F373">
        <v>27974</v>
      </c>
      <c r="G373">
        <v>17813.001953125</v>
      </c>
      <c r="H373">
        <v>9995</v>
      </c>
      <c r="I373">
        <v>306450</v>
      </c>
    </row>
    <row r="374" spans="1:9" x14ac:dyDescent="0.2">
      <c r="A374" t="s">
        <v>508</v>
      </c>
      <c r="B374">
        <v>2022</v>
      </c>
      <c r="C374" t="s">
        <v>909</v>
      </c>
      <c r="D374" s="241">
        <v>58407.99609375</v>
      </c>
      <c r="E374">
        <v>42410</v>
      </c>
      <c r="F374">
        <v>29534</v>
      </c>
      <c r="G374">
        <v>19086</v>
      </c>
      <c r="H374">
        <v>10838.0009765625</v>
      </c>
      <c r="I374">
        <v>314169</v>
      </c>
    </row>
    <row r="375" spans="1:9" x14ac:dyDescent="0.2">
      <c r="A375" t="s">
        <v>508</v>
      </c>
      <c r="B375">
        <v>2023</v>
      </c>
      <c r="C375" t="s">
        <v>910</v>
      </c>
      <c r="D375" s="241">
        <v>61229.99609375</v>
      </c>
      <c r="E375">
        <v>44714.99609375</v>
      </c>
      <c r="F375">
        <v>31181</v>
      </c>
      <c r="G375">
        <v>20434.998046875</v>
      </c>
      <c r="H375">
        <v>11769.0009765625</v>
      </c>
      <c r="I375">
        <v>321896.0625</v>
      </c>
    </row>
    <row r="376" spans="1:9" x14ac:dyDescent="0.2">
      <c r="A376" t="s">
        <v>508</v>
      </c>
      <c r="B376">
        <v>2024</v>
      </c>
      <c r="C376" t="s">
        <v>911</v>
      </c>
      <c r="D376" s="241">
        <v>64127</v>
      </c>
      <c r="E376">
        <v>47107.0078125</v>
      </c>
      <c r="F376">
        <v>32922</v>
      </c>
      <c r="G376">
        <v>21822.998046875</v>
      </c>
      <c r="H376">
        <v>12762.0009765625</v>
      </c>
      <c r="I376">
        <v>329645.03125</v>
      </c>
    </row>
    <row r="377" spans="1:9" x14ac:dyDescent="0.2">
      <c r="A377" t="s">
        <v>509</v>
      </c>
      <c r="B377">
        <v>2020</v>
      </c>
      <c r="C377" t="s">
        <v>912</v>
      </c>
      <c r="D377" s="241">
        <v>45839.99609375</v>
      </c>
      <c r="E377">
        <v>35614.99609375</v>
      </c>
      <c r="F377">
        <v>25675.99609375</v>
      </c>
      <c r="G377">
        <v>17784.99609375</v>
      </c>
      <c r="H377">
        <v>11345</v>
      </c>
      <c r="I377">
        <v>168783.015625</v>
      </c>
    </row>
    <row r="378" spans="1:9" x14ac:dyDescent="0.2">
      <c r="A378" t="s">
        <v>509</v>
      </c>
      <c r="B378">
        <v>2021</v>
      </c>
      <c r="C378" t="s">
        <v>913</v>
      </c>
      <c r="D378" s="241">
        <v>46975</v>
      </c>
      <c r="E378">
        <v>36784.00390625</v>
      </c>
      <c r="F378">
        <v>26722.998046875</v>
      </c>
      <c r="G378">
        <v>18515</v>
      </c>
      <c r="H378">
        <v>11913</v>
      </c>
      <c r="I378">
        <v>170184</v>
      </c>
    </row>
    <row r="379" spans="1:9" x14ac:dyDescent="0.2">
      <c r="A379" t="s">
        <v>509</v>
      </c>
      <c r="B379">
        <v>2022</v>
      </c>
      <c r="C379" t="s">
        <v>914</v>
      </c>
      <c r="D379" s="241">
        <v>48067</v>
      </c>
      <c r="E379">
        <v>37895.00390625</v>
      </c>
      <c r="F379">
        <v>27821.001953125</v>
      </c>
      <c r="G379">
        <v>19239</v>
      </c>
      <c r="H379">
        <v>12481</v>
      </c>
      <c r="I379">
        <v>171528.015625</v>
      </c>
    </row>
    <row r="380" spans="1:9" x14ac:dyDescent="0.2">
      <c r="A380" t="s">
        <v>509</v>
      </c>
      <c r="B380">
        <v>2023</v>
      </c>
      <c r="C380" t="s">
        <v>915</v>
      </c>
      <c r="D380" s="241">
        <v>49116.00390625</v>
      </c>
      <c r="E380">
        <v>38963.00390625</v>
      </c>
      <c r="F380">
        <v>28948.001953125</v>
      </c>
      <c r="G380">
        <v>19980.001953125</v>
      </c>
      <c r="H380">
        <v>13054.9990234375</v>
      </c>
      <c r="I380">
        <v>172819.015625</v>
      </c>
    </row>
    <row r="381" spans="1:9" x14ac:dyDescent="0.2">
      <c r="A381" t="s">
        <v>509</v>
      </c>
      <c r="B381">
        <v>2024</v>
      </c>
      <c r="C381" t="s">
        <v>916</v>
      </c>
      <c r="D381" s="241">
        <v>50107</v>
      </c>
      <c r="E381">
        <v>40013</v>
      </c>
      <c r="F381">
        <v>30069.001953125</v>
      </c>
      <c r="G381">
        <v>20778.001953125</v>
      </c>
      <c r="H381">
        <v>13641</v>
      </c>
      <c r="I381">
        <v>174069.984375</v>
      </c>
    </row>
    <row r="382" spans="1:9" x14ac:dyDescent="0.2">
      <c r="A382" t="s">
        <v>227</v>
      </c>
      <c r="B382">
        <v>2020</v>
      </c>
      <c r="C382" t="s">
        <v>917</v>
      </c>
      <c r="D382" s="241">
        <v>164640</v>
      </c>
      <c r="E382">
        <v>121866</v>
      </c>
      <c r="F382">
        <v>85303</v>
      </c>
      <c r="G382">
        <v>55058.0078125</v>
      </c>
      <c r="H382">
        <v>33947</v>
      </c>
      <c r="I382">
        <v>786558.9375</v>
      </c>
    </row>
    <row r="383" spans="1:9" x14ac:dyDescent="0.2">
      <c r="A383" t="s">
        <v>227</v>
      </c>
      <c r="B383">
        <v>2021</v>
      </c>
      <c r="C383" t="s">
        <v>918</v>
      </c>
      <c r="D383" s="241">
        <v>169260.015625</v>
      </c>
      <c r="E383">
        <v>126220</v>
      </c>
      <c r="F383">
        <v>88929</v>
      </c>
      <c r="G383">
        <v>57802</v>
      </c>
      <c r="H383">
        <v>35600.99609375</v>
      </c>
      <c r="I383">
        <v>790328.9375</v>
      </c>
    </row>
    <row r="384" spans="1:9" x14ac:dyDescent="0.2">
      <c r="A384" t="s">
        <v>227</v>
      </c>
      <c r="B384">
        <v>2022</v>
      </c>
      <c r="C384" t="s">
        <v>919</v>
      </c>
      <c r="D384" s="241">
        <v>173680.015625</v>
      </c>
      <c r="E384">
        <v>130537</v>
      </c>
      <c r="F384">
        <v>92475</v>
      </c>
      <c r="G384">
        <v>60681</v>
      </c>
      <c r="H384">
        <v>37207</v>
      </c>
      <c r="I384">
        <v>794039.0625</v>
      </c>
    </row>
    <row r="385" spans="1:9" x14ac:dyDescent="0.2">
      <c r="A385" t="s">
        <v>227</v>
      </c>
      <c r="B385">
        <v>2023</v>
      </c>
      <c r="C385" t="s">
        <v>920</v>
      </c>
      <c r="D385" s="241">
        <v>177944.03125</v>
      </c>
      <c r="E385">
        <v>134834</v>
      </c>
      <c r="F385">
        <v>96031.9921875</v>
      </c>
      <c r="G385">
        <v>63676</v>
      </c>
      <c r="H385">
        <v>38870.00390625</v>
      </c>
      <c r="I385">
        <v>797711.0625</v>
      </c>
    </row>
    <row r="386" spans="1:9" x14ac:dyDescent="0.2">
      <c r="A386" t="s">
        <v>227</v>
      </c>
      <c r="B386">
        <v>2024</v>
      </c>
      <c r="C386" t="s">
        <v>921</v>
      </c>
      <c r="D386" s="241">
        <v>182076.015625</v>
      </c>
      <c r="E386">
        <v>139104</v>
      </c>
      <c r="F386">
        <v>99681</v>
      </c>
      <c r="G386">
        <v>66728</v>
      </c>
      <c r="H386">
        <v>40698</v>
      </c>
      <c r="I386">
        <v>801342.9375</v>
      </c>
    </row>
    <row r="387" spans="1:9" x14ac:dyDescent="0.2">
      <c r="A387" t="s">
        <v>510</v>
      </c>
      <c r="B387">
        <v>2020</v>
      </c>
      <c r="C387" t="s">
        <v>922</v>
      </c>
      <c r="D387" s="241">
        <v>3161210.25</v>
      </c>
      <c r="E387">
        <v>2592328</v>
      </c>
      <c r="F387">
        <v>1953304.125</v>
      </c>
      <c r="G387">
        <v>1364214</v>
      </c>
      <c r="H387">
        <v>904423</v>
      </c>
      <c r="I387">
        <v>7496988</v>
      </c>
    </row>
    <row r="388" spans="1:9" x14ac:dyDescent="0.2">
      <c r="A388" t="s">
        <v>510</v>
      </c>
      <c r="B388">
        <v>2021</v>
      </c>
      <c r="C388" t="s">
        <v>923</v>
      </c>
      <c r="D388" s="241">
        <v>3221209.5</v>
      </c>
      <c r="E388">
        <v>2660990.5</v>
      </c>
      <c r="F388">
        <v>2032241.25</v>
      </c>
      <c r="G388">
        <v>1427833.125</v>
      </c>
      <c r="H388">
        <v>946509.0625</v>
      </c>
      <c r="I388">
        <v>7552801</v>
      </c>
    </row>
    <row r="389" spans="1:9" x14ac:dyDescent="0.2">
      <c r="A389" t="s">
        <v>510</v>
      </c>
      <c r="B389">
        <v>2022</v>
      </c>
      <c r="C389" t="s">
        <v>924</v>
      </c>
      <c r="D389" s="241">
        <v>3282347.25</v>
      </c>
      <c r="E389">
        <v>2725180.25</v>
      </c>
      <c r="F389">
        <v>2113020</v>
      </c>
      <c r="G389">
        <v>1495793.125</v>
      </c>
      <c r="H389">
        <v>990550.9375</v>
      </c>
      <c r="I389">
        <v>7604306</v>
      </c>
    </row>
    <row r="390" spans="1:9" x14ac:dyDescent="0.2">
      <c r="A390" t="s">
        <v>510</v>
      </c>
      <c r="B390">
        <v>2023</v>
      </c>
      <c r="C390" t="s">
        <v>925</v>
      </c>
      <c r="D390" s="241">
        <v>3344337.75</v>
      </c>
      <c r="E390">
        <v>2786304</v>
      </c>
      <c r="F390">
        <v>2193743</v>
      </c>
      <c r="G390">
        <v>1567518</v>
      </c>
      <c r="H390">
        <v>1037581.0625</v>
      </c>
      <c r="I390">
        <v>7653424.5</v>
      </c>
    </row>
    <row r="391" spans="1:9" x14ac:dyDescent="0.2">
      <c r="A391" t="s">
        <v>510</v>
      </c>
      <c r="B391">
        <v>2024</v>
      </c>
      <c r="C391" t="s">
        <v>926</v>
      </c>
      <c r="D391" s="241">
        <v>3405724</v>
      </c>
      <c r="E391">
        <v>2845993.25</v>
      </c>
      <c r="F391">
        <v>2271186.75</v>
      </c>
      <c r="G391">
        <v>1641726.875</v>
      </c>
      <c r="H391">
        <v>1088977</v>
      </c>
      <c r="I391">
        <v>7703193.5</v>
      </c>
    </row>
    <row r="392" spans="1:9" x14ac:dyDescent="0.2">
      <c r="A392" t="s">
        <v>229</v>
      </c>
      <c r="B392">
        <v>2020</v>
      </c>
      <c r="C392" t="s">
        <v>927</v>
      </c>
      <c r="D392" s="241">
        <v>1409886.875</v>
      </c>
      <c r="E392">
        <v>1028731.9375</v>
      </c>
      <c r="F392">
        <v>729876.0625</v>
      </c>
      <c r="G392">
        <v>492574.03125</v>
      </c>
      <c r="H392">
        <v>309798</v>
      </c>
      <c r="I392">
        <v>9904609</v>
      </c>
    </row>
    <row r="393" spans="1:9" x14ac:dyDescent="0.2">
      <c r="A393" t="s">
        <v>229</v>
      </c>
      <c r="B393">
        <v>2021</v>
      </c>
      <c r="C393" t="s">
        <v>928</v>
      </c>
      <c r="D393" s="241">
        <v>1466408.125</v>
      </c>
      <c r="E393">
        <v>1071128</v>
      </c>
      <c r="F393">
        <v>760012.0625</v>
      </c>
      <c r="G393">
        <v>514522.03125</v>
      </c>
      <c r="H393">
        <v>323893</v>
      </c>
      <c r="I393">
        <v>10062995</v>
      </c>
    </row>
    <row r="394" spans="1:9" x14ac:dyDescent="0.2">
      <c r="A394" t="s">
        <v>229</v>
      </c>
      <c r="B394">
        <v>2022</v>
      </c>
      <c r="C394" t="s">
        <v>929</v>
      </c>
      <c r="D394" s="241">
        <v>1526130</v>
      </c>
      <c r="E394">
        <v>1116759.125</v>
      </c>
      <c r="F394">
        <v>791898</v>
      </c>
      <c r="G394">
        <v>537666</v>
      </c>
      <c r="H394">
        <v>339429</v>
      </c>
      <c r="I394">
        <v>10221256</v>
      </c>
    </row>
    <row r="395" spans="1:9" x14ac:dyDescent="0.2">
      <c r="A395" t="s">
        <v>229</v>
      </c>
      <c r="B395">
        <v>2023</v>
      </c>
      <c r="C395" t="s">
        <v>930</v>
      </c>
      <c r="D395" s="241">
        <v>1589149.125</v>
      </c>
      <c r="E395">
        <v>1165304.125</v>
      </c>
      <c r="F395">
        <v>825733.9375</v>
      </c>
      <c r="G395">
        <v>562043</v>
      </c>
      <c r="H395">
        <v>356237</v>
      </c>
      <c r="I395">
        <v>10379104</v>
      </c>
    </row>
    <row r="396" spans="1:9" x14ac:dyDescent="0.2">
      <c r="A396" t="s">
        <v>229</v>
      </c>
      <c r="B396">
        <v>2024</v>
      </c>
      <c r="C396" t="s">
        <v>931</v>
      </c>
      <c r="D396" s="241">
        <v>1655566.875</v>
      </c>
      <c r="E396">
        <v>1216170.875</v>
      </c>
      <c r="F396">
        <v>861731.0625</v>
      </c>
      <c r="G396">
        <v>587626.125</v>
      </c>
      <c r="H396">
        <v>373980</v>
      </c>
      <c r="I396">
        <v>10536193</v>
      </c>
    </row>
    <row r="397" spans="1:9" x14ac:dyDescent="0.2">
      <c r="A397" t="s">
        <v>353</v>
      </c>
      <c r="B397">
        <v>2020</v>
      </c>
      <c r="C397" t="s">
        <v>932</v>
      </c>
      <c r="D397" s="241">
        <v>1742893.125</v>
      </c>
      <c r="E397">
        <v>1461878.875</v>
      </c>
      <c r="F397">
        <v>1161510</v>
      </c>
      <c r="G397">
        <v>872462.0625</v>
      </c>
      <c r="H397">
        <v>596132</v>
      </c>
      <c r="I397">
        <v>4105268</v>
      </c>
    </row>
    <row r="398" spans="1:9" x14ac:dyDescent="0.2">
      <c r="A398" t="s">
        <v>353</v>
      </c>
      <c r="B398">
        <v>2021</v>
      </c>
      <c r="C398" t="s">
        <v>933</v>
      </c>
      <c r="D398" s="241">
        <v>1743301</v>
      </c>
      <c r="E398">
        <v>1467895</v>
      </c>
      <c r="F398">
        <v>1171838.875</v>
      </c>
      <c r="G398">
        <v>884142</v>
      </c>
      <c r="H398">
        <v>606084.0625</v>
      </c>
      <c r="I398">
        <v>4081656.75</v>
      </c>
    </row>
    <row r="399" spans="1:9" x14ac:dyDescent="0.2">
      <c r="A399" t="s">
        <v>353</v>
      </c>
      <c r="B399">
        <v>2022</v>
      </c>
      <c r="C399" t="s">
        <v>934</v>
      </c>
      <c r="D399" s="241">
        <v>1743530.75</v>
      </c>
      <c r="E399">
        <v>1473057.875</v>
      </c>
      <c r="F399">
        <v>1182440</v>
      </c>
      <c r="G399">
        <v>894451.9375</v>
      </c>
      <c r="H399">
        <v>617663.9375</v>
      </c>
      <c r="I399">
        <v>4059285</v>
      </c>
    </row>
    <row r="400" spans="1:9" x14ac:dyDescent="0.2">
      <c r="A400" t="s">
        <v>353</v>
      </c>
      <c r="B400">
        <v>2023</v>
      </c>
      <c r="C400" t="s">
        <v>935</v>
      </c>
      <c r="D400" s="241">
        <v>1744140</v>
      </c>
      <c r="E400">
        <v>1477478.875</v>
      </c>
      <c r="F400">
        <v>1192904.875</v>
      </c>
      <c r="G400">
        <v>903896.0625</v>
      </c>
      <c r="H400">
        <v>630050.0625</v>
      </c>
      <c r="I400">
        <v>4037691</v>
      </c>
    </row>
    <row r="401" spans="1:9" x14ac:dyDescent="0.2">
      <c r="A401" t="s">
        <v>353</v>
      </c>
      <c r="B401">
        <v>2024</v>
      </c>
      <c r="C401" t="s">
        <v>936</v>
      </c>
      <c r="D401" s="241">
        <v>1745577</v>
      </c>
      <c r="E401">
        <v>1481007.125</v>
      </c>
      <c r="F401">
        <v>1202290</v>
      </c>
      <c r="G401">
        <v>913080</v>
      </c>
      <c r="H401">
        <v>641790</v>
      </c>
      <c r="I401">
        <v>4016135.25</v>
      </c>
    </row>
    <row r="402" spans="1:9" x14ac:dyDescent="0.2">
      <c r="A402" t="s">
        <v>231</v>
      </c>
      <c r="B402">
        <v>2020</v>
      </c>
      <c r="C402" t="s">
        <v>937</v>
      </c>
      <c r="D402" s="241">
        <v>1672624.875</v>
      </c>
      <c r="E402">
        <v>1248875.875</v>
      </c>
      <c r="F402">
        <v>883001.0625</v>
      </c>
      <c r="G402">
        <v>590047</v>
      </c>
      <c r="H402">
        <v>359069</v>
      </c>
      <c r="I402">
        <v>11402533</v>
      </c>
    </row>
    <row r="403" spans="1:9" x14ac:dyDescent="0.2">
      <c r="A403" t="s">
        <v>231</v>
      </c>
      <c r="B403">
        <v>2021</v>
      </c>
      <c r="C403" t="s">
        <v>938</v>
      </c>
      <c r="D403" s="241">
        <v>1712035.75</v>
      </c>
      <c r="E403">
        <v>1283786.875</v>
      </c>
      <c r="F403">
        <v>910222.125</v>
      </c>
      <c r="G403">
        <v>609501.0625</v>
      </c>
      <c r="H403">
        <v>371915</v>
      </c>
      <c r="I403">
        <v>11541683</v>
      </c>
    </row>
    <row r="404" spans="1:9" x14ac:dyDescent="0.2">
      <c r="A404" t="s">
        <v>231</v>
      </c>
      <c r="B404">
        <v>2022</v>
      </c>
      <c r="C404" t="s">
        <v>939</v>
      </c>
      <c r="D404" s="241">
        <v>1751731.125</v>
      </c>
      <c r="E404">
        <v>1319608</v>
      </c>
      <c r="F404">
        <v>938513.0625</v>
      </c>
      <c r="G404">
        <v>628586.0625</v>
      </c>
      <c r="H404">
        <v>385643.96875</v>
      </c>
      <c r="I404">
        <v>11680287</v>
      </c>
    </row>
    <row r="405" spans="1:9" x14ac:dyDescent="0.2">
      <c r="A405" t="s">
        <v>231</v>
      </c>
      <c r="B405">
        <v>2023</v>
      </c>
      <c r="C405" t="s">
        <v>940</v>
      </c>
      <c r="D405" s="241">
        <v>1792957.875</v>
      </c>
      <c r="E405">
        <v>1355997</v>
      </c>
      <c r="F405">
        <v>967722.125</v>
      </c>
      <c r="G405">
        <v>647783.0625</v>
      </c>
      <c r="H405">
        <v>399819</v>
      </c>
      <c r="I405">
        <v>11817965</v>
      </c>
    </row>
    <row r="406" spans="1:9" x14ac:dyDescent="0.2">
      <c r="A406" t="s">
        <v>231</v>
      </c>
      <c r="B406">
        <v>2024</v>
      </c>
      <c r="C406" t="s">
        <v>941</v>
      </c>
      <c r="D406" s="241">
        <v>1837494</v>
      </c>
      <c r="E406">
        <v>1392356</v>
      </c>
      <c r="F406">
        <v>997541</v>
      </c>
      <c r="G406">
        <v>667746.125</v>
      </c>
      <c r="H406">
        <v>413781.96875</v>
      </c>
      <c r="I406">
        <v>11954192</v>
      </c>
    </row>
    <row r="407" spans="1:9" x14ac:dyDescent="0.2">
      <c r="A407" t="s">
        <v>355</v>
      </c>
      <c r="B407">
        <v>2020</v>
      </c>
      <c r="C407" t="s">
        <v>942</v>
      </c>
      <c r="D407" s="241">
        <v>3785531.5</v>
      </c>
      <c r="E407">
        <v>3137380.5</v>
      </c>
      <c r="F407">
        <v>2584143.5</v>
      </c>
      <c r="G407">
        <v>1947825</v>
      </c>
      <c r="H407">
        <v>1277711.875</v>
      </c>
      <c r="I407">
        <v>9660350</v>
      </c>
    </row>
    <row r="408" spans="1:9" x14ac:dyDescent="0.2">
      <c r="A408" t="s">
        <v>355</v>
      </c>
      <c r="B408">
        <v>2021</v>
      </c>
      <c r="C408" t="s">
        <v>943</v>
      </c>
      <c r="D408" s="241">
        <v>3811508</v>
      </c>
      <c r="E408">
        <v>3142099.75</v>
      </c>
      <c r="F408">
        <v>2590940.25</v>
      </c>
      <c r="G408">
        <v>1984586.125</v>
      </c>
      <c r="H408">
        <v>1316929.25</v>
      </c>
      <c r="I408">
        <v>9634162</v>
      </c>
    </row>
    <row r="409" spans="1:9" x14ac:dyDescent="0.2">
      <c r="A409" t="s">
        <v>355</v>
      </c>
      <c r="B409">
        <v>2022</v>
      </c>
      <c r="C409" t="s">
        <v>944</v>
      </c>
      <c r="D409" s="241">
        <v>3843414.75</v>
      </c>
      <c r="E409">
        <v>3151735.75</v>
      </c>
      <c r="F409">
        <v>2591353.75</v>
      </c>
      <c r="G409">
        <v>2015415.125</v>
      </c>
      <c r="H409">
        <v>1361168.125</v>
      </c>
      <c r="I409">
        <v>9606252</v>
      </c>
    </row>
    <row r="410" spans="1:9" x14ac:dyDescent="0.2">
      <c r="A410" t="s">
        <v>355</v>
      </c>
      <c r="B410">
        <v>2023</v>
      </c>
      <c r="C410" t="s">
        <v>945</v>
      </c>
      <c r="D410" s="241">
        <v>3880244.75</v>
      </c>
      <c r="E410">
        <v>3166188</v>
      </c>
      <c r="F410">
        <v>2588265</v>
      </c>
      <c r="G410">
        <v>2039909.875</v>
      </c>
      <c r="H410">
        <v>1407032</v>
      </c>
      <c r="I410">
        <v>9576769</v>
      </c>
    </row>
    <row r="411" spans="1:9" x14ac:dyDescent="0.2">
      <c r="A411" t="s">
        <v>355</v>
      </c>
      <c r="B411">
        <v>2024</v>
      </c>
      <c r="C411" t="s">
        <v>946</v>
      </c>
      <c r="D411" s="241">
        <v>3919772.75</v>
      </c>
      <c r="E411">
        <v>3184152</v>
      </c>
      <c r="F411">
        <v>2585068</v>
      </c>
      <c r="G411">
        <v>2056869.875</v>
      </c>
      <c r="H411">
        <v>1448749</v>
      </c>
      <c r="I411">
        <v>9546042</v>
      </c>
    </row>
    <row r="412" spans="1:9" x14ac:dyDescent="0.2">
      <c r="A412" t="s">
        <v>422</v>
      </c>
      <c r="B412">
        <v>2020</v>
      </c>
      <c r="C412" t="s">
        <v>947</v>
      </c>
      <c r="D412" s="241">
        <v>56679400</v>
      </c>
      <c r="E412">
        <v>40724416</v>
      </c>
      <c r="F412">
        <v>27524296</v>
      </c>
      <c r="G412">
        <v>17129450</v>
      </c>
      <c r="H412">
        <v>9993087</v>
      </c>
      <c r="I412">
        <v>273523616</v>
      </c>
    </row>
    <row r="413" spans="1:9" x14ac:dyDescent="0.2">
      <c r="A413" t="s">
        <v>422</v>
      </c>
      <c r="B413">
        <v>2021</v>
      </c>
      <c r="C413" t="s">
        <v>948</v>
      </c>
      <c r="D413" s="241">
        <v>58754160</v>
      </c>
      <c r="E413">
        <v>42413568</v>
      </c>
      <c r="F413">
        <v>28803904</v>
      </c>
      <c r="G413">
        <v>17996348</v>
      </c>
      <c r="H413">
        <v>10451273</v>
      </c>
      <c r="I413">
        <v>276361792</v>
      </c>
    </row>
    <row r="414" spans="1:9" x14ac:dyDescent="0.2">
      <c r="A414" t="s">
        <v>422</v>
      </c>
      <c r="B414">
        <v>2022</v>
      </c>
      <c r="C414" t="s">
        <v>949</v>
      </c>
      <c r="D414" s="241">
        <v>60818064</v>
      </c>
      <c r="E414">
        <v>44115964</v>
      </c>
      <c r="F414">
        <v>30089322</v>
      </c>
      <c r="G414">
        <v>18903078</v>
      </c>
      <c r="H414">
        <v>10913709</v>
      </c>
      <c r="I414">
        <v>279134496</v>
      </c>
    </row>
    <row r="415" spans="1:9" x14ac:dyDescent="0.2">
      <c r="A415" t="s">
        <v>422</v>
      </c>
      <c r="B415">
        <v>2023</v>
      </c>
      <c r="C415" t="s">
        <v>950</v>
      </c>
      <c r="D415" s="241">
        <v>62884332</v>
      </c>
      <c r="E415">
        <v>45843916</v>
      </c>
      <c r="F415">
        <v>31397320</v>
      </c>
      <c r="G415">
        <v>19847926</v>
      </c>
      <c r="H415">
        <v>11395322</v>
      </c>
      <c r="I415">
        <v>281844320</v>
      </c>
    </row>
    <row r="416" spans="1:9" x14ac:dyDescent="0.2">
      <c r="A416" t="s">
        <v>422</v>
      </c>
      <c r="B416">
        <v>2024</v>
      </c>
      <c r="C416" t="s">
        <v>951</v>
      </c>
      <c r="D416" s="241">
        <v>64980636</v>
      </c>
      <c r="E416">
        <v>47621076</v>
      </c>
      <c r="F416">
        <v>32757012</v>
      </c>
      <c r="G416">
        <v>20830022</v>
      </c>
      <c r="H416">
        <v>11918180</v>
      </c>
      <c r="I416">
        <v>284495136</v>
      </c>
    </row>
    <row r="417" spans="1:9" x14ac:dyDescent="0.2">
      <c r="A417" t="s">
        <v>425</v>
      </c>
      <c r="B417">
        <v>2020</v>
      </c>
      <c r="C417" t="s">
        <v>952</v>
      </c>
      <c r="D417" s="241">
        <v>267742688</v>
      </c>
      <c r="E417">
        <v>198866752</v>
      </c>
      <c r="F417">
        <v>139610480</v>
      </c>
      <c r="G417">
        <v>90719944</v>
      </c>
      <c r="H417">
        <v>52459668</v>
      </c>
      <c r="I417">
        <v>1380004480</v>
      </c>
    </row>
    <row r="418" spans="1:9" x14ac:dyDescent="0.2">
      <c r="A418" t="s">
        <v>425</v>
      </c>
      <c r="B418">
        <v>2021</v>
      </c>
      <c r="C418" t="s">
        <v>953</v>
      </c>
      <c r="D418" s="241">
        <v>274908928</v>
      </c>
      <c r="E418">
        <v>204675280</v>
      </c>
      <c r="F418">
        <v>144322064</v>
      </c>
      <c r="G418">
        <v>94412992</v>
      </c>
      <c r="H418">
        <v>54980692</v>
      </c>
      <c r="I418">
        <v>1393408896</v>
      </c>
    </row>
    <row r="419" spans="1:9" x14ac:dyDescent="0.2">
      <c r="A419" t="s">
        <v>425</v>
      </c>
      <c r="B419">
        <v>2022</v>
      </c>
      <c r="C419" t="s">
        <v>954</v>
      </c>
      <c r="D419" s="241">
        <v>282429568</v>
      </c>
      <c r="E419">
        <v>210661552</v>
      </c>
      <c r="F419">
        <v>149161296</v>
      </c>
      <c r="G419">
        <v>98090496</v>
      </c>
      <c r="H419">
        <v>57657892</v>
      </c>
      <c r="I419">
        <v>1406631808</v>
      </c>
    </row>
    <row r="420" spans="1:9" x14ac:dyDescent="0.2">
      <c r="A420" t="s">
        <v>425</v>
      </c>
      <c r="B420">
        <v>2023</v>
      </c>
      <c r="C420" t="s">
        <v>955</v>
      </c>
      <c r="D420" s="241">
        <v>290250784</v>
      </c>
      <c r="E420">
        <v>216818464</v>
      </c>
      <c r="F420">
        <v>154105184</v>
      </c>
      <c r="G420">
        <v>101776520</v>
      </c>
      <c r="H420">
        <v>60406164</v>
      </c>
      <c r="I420">
        <v>1419655936</v>
      </c>
    </row>
    <row r="421" spans="1:9" x14ac:dyDescent="0.2">
      <c r="A421" t="s">
        <v>425</v>
      </c>
      <c r="B421">
        <v>2024</v>
      </c>
      <c r="C421" t="s">
        <v>956</v>
      </c>
      <c r="D421" s="241">
        <v>298263584</v>
      </c>
      <c r="E421">
        <v>223117376</v>
      </c>
      <c r="F421">
        <v>159098496</v>
      </c>
      <c r="G421">
        <v>105485840</v>
      </c>
      <c r="H421">
        <v>63106964</v>
      </c>
      <c r="I421">
        <v>1432456448</v>
      </c>
    </row>
    <row r="422" spans="1:9" x14ac:dyDescent="0.2">
      <c r="A422" t="s">
        <v>357</v>
      </c>
      <c r="B422">
        <v>2020</v>
      </c>
      <c r="C422" t="s">
        <v>957</v>
      </c>
      <c r="D422" s="241">
        <v>1570613.125</v>
      </c>
      <c r="E422">
        <v>1258416.125</v>
      </c>
      <c r="F422">
        <v>969680.0625</v>
      </c>
      <c r="G422">
        <v>719832</v>
      </c>
      <c r="H422">
        <v>488895.03125</v>
      </c>
      <c r="I422">
        <v>4937796.5</v>
      </c>
    </row>
    <row r="423" spans="1:9" x14ac:dyDescent="0.2">
      <c r="A423" t="s">
        <v>357</v>
      </c>
      <c r="B423">
        <v>2021</v>
      </c>
      <c r="C423" t="s">
        <v>958</v>
      </c>
      <c r="D423" s="241">
        <v>1613109.875</v>
      </c>
      <c r="E423">
        <v>1291589</v>
      </c>
      <c r="F423">
        <v>997950.9375</v>
      </c>
      <c r="G423">
        <v>742621.9375</v>
      </c>
      <c r="H423">
        <v>509668.96875</v>
      </c>
      <c r="I423">
        <v>4982904.5</v>
      </c>
    </row>
    <row r="424" spans="1:9" x14ac:dyDescent="0.2">
      <c r="A424" t="s">
        <v>357</v>
      </c>
      <c r="B424">
        <v>2022</v>
      </c>
      <c r="C424" t="s">
        <v>959</v>
      </c>
      <c r="D424" s="241">
        <v>1655061.125</v>
      </c>
      <c r="E424">
        <v>1322444.25</v>
      </c>
      <c r="F424">
        <v>1025938.9375</v>
      </c>
      <c r="G424">
        <v>763662.875</v>
      </c>
      <c r="H424">
        <v>529627.9375</v>
      </c>
      <c r="I424">
        <v>5020203</v>
      </c>
    </row>
    <row r="425" spans="1:9" x14ac:dyDescent="0.2">
      <c r="A425" t="s">
        <v>357</v>
      </c>
      <c r="B425">
        <v>2023</v>
      </c>
      <c r="C425" t="s">
        <v>960</v>
      </c>
      <c r="D425" s="241">
        <v>1697265</v>
      </c>
      <c r="E425">
        <v>1352668</v>
      </c>
      <c r="F425">
        <v>1053974</v>
      </c>
      <c r="G425">
        <v>784077</v>
      </c>
      <c r="H425">
        <v>549105.0625</v>
      </c>
      <c r="I425">
        <v>5051614</v>
      </c>
    </row>
    <row r="426" spans="1:9" x14ac:dyDescent="0.2">
      <c r="A426" t="s">
        <v>357</v>
      </c>
      <c r="B426">
        <v>2024</v>
      </c>
      <c r="C426" t="s">
        <v>961</v>
      </c>
      <c r="D426" s="241">
        <v>1740827.875</v>
      </c>
      <c r="E426">
        <v>1384778</v>
      </c>
      <c r="F426">
        <v>1082410</v>
      </c>
      <c r="G426">
        <v>805480</v>
      </c>
      <c r="H426">
        <v>568511.9375</v>
      </c>
      <c r="I426">
        <v>5080496.5</v>
      </c>
    </row>
    <row r="427" spans="1:9" x14ac:dyDescent="0.2">
      <c r="A427" t="s">
        <v>275</v>
      </c>
      <c r="B427">
        <v>2020</v>
      </c>
      <c r="C427" t="s">
        <v>962</v>
      </c>
      <c r="D427" s="241">
        <v>16941200</v>
      </c>
      <c r="E427">
        <v>12322722</v>
      </c>
      <c r="F427">
        <v>8645869</v>
      </c>
      <c r="G427">
        <v>5513594.5</v>
      </c>
      <c r="H427">
        <v>3248964</v>
      </c>
      <c r="I427">
        <v>83992960</v>
      </c>
    </row>
    <row r="428" spans="1:9" x14ac:dyDescent="0.2">
      <c r="A428" t="s">
        <v>275</v>
      </c>
      <c r="B428">
        <v>2021</v>
      </c>
      <c r="C428" t="s">
        <v>963</v>
      </c>
      <c r="D428" s="241">
        <v>17548680</v>
      </c>
      <c r="E428">
        <v>12824272</v>
      </c>
      <c r="F428">
        <v>9005137</v>
      </c>
      <c r="G428">
        <v>5783737</v>
      </c>
      <c r="H428">
        <v>3384539.25</v>
      </c>
      <c r="I428">
        <v>85028760</v>
      </c>
    </row>
    <row r="429" spans="1:9" x14ac:dyDescent="0.2">
      <c r="A429" t="s">
        <v>275</v>
      </c>
      <c r="B429">
        <v>2022</v>
      </c>
      <c r="C429" t="s">
        <v>964</v>
      </c>
      <c r="D429" s="241">
        <v>18181264</v>
      </c>
      <c r="E429">
        <v>13380054</v>
      </c>
      <c r="F429">
        <v>9377026</v>
      </c>
      <c r="G429">
        <v>6084528</v>
      </c>
      <c r="H429">
        <v>3537132</v>
      </c>
      <c r="I429">
        <v>86022840</v>
      </c>
    </row>
    <row r="430" spans="1:9" x14ac:dyDescent="0.2">
      <c r="A430" t="s">
        <v>275</v>
      </c>
      <c r="B430">
        <v>2023</v>
      </c>
      <c r="C430" t="s">
        <v>965</v>
      </c>
      <c r="D430" s="241">
        <v>18842812</v>
      </c>
      <c r="E430">
        <v>13973282</v>
      </c>
      <c r="F430">
        <v>9768059</v>
      </c>
      <c r="G430">
        <v>6407864</v>
      </c>
      <c r="H430">
        <v>3708889.25</v>
      </c>
      <c r="I430">
        <v>86975824</v>
      </c>
    </row>
    <row r="431" spans="1:9" x14ac:dyDescent="0.2">
      <c r="A431" t="s">
        <v>275</v>
      </c>
      <c r="B431">
        <v>2024</v>
      </c>
      <c r="C431" t="s">
        <v>966</v>
      </c>
      <c r="D431" s="241">
        <v>19537302</v>
      </c>
      <c r="E431">
        <v>14574876</v>
      </c>
      <c r="F431">
        <v>10186492</v>
      </c>
      <c r="G431">
        <v>6739237</v>
      </c>
      <c r="H431">
        <v>3900129</v>
      </c>
      <c r="I431">
        <v>87892024</v>
      </c>
    </row>
    <row r="432" spans="1:9" x14ac:dyDescent="0.2">
      <c r="A432" t="s">
        <v>277</v>
      </c>
      <c r="B432">
        <v>2020</v>
      </c>
      <c r="C432" t="s">
        <v>967</v>
      </c>
      <c r="D432" s="241">
        <v>4395623</v>
      </c>
      <c r="E432">
        <v>2980628</v>
      </c>
      <c r="F432">
        <v>2054471</v>
      </c>
      <c r="G432">
        <v>1384755</v>
      </c>
      <c r="H432">
        <v>762078</v>
      </c>
      <c r="I432">
        <v>40222504</v>
      </c>
    </row>
    <row r="433" spans="1:9" x14ac:dyDescent="0.2">
      <c r="A433" t="s">
        <v>277</v>
      </c>
      <c r="B433">
        <v>2021</v>
      </c>
      <c r="C433" t="s">
        <v>968</v>
      </c>
      <c r="D433" s="241">
        <v>4609264.5</v>
      </c>
      <c r="E433">
        <v>3118278</v>
      </c>
      <c r="F433">
        <v>2116909</v>
      </c>
      <c r="G433">
        <v>1431912</v>
      </c>
      <c r="H433">
        <v>803384</v>
      </c>
      <c r="I433">
        <v>41179348</v>
      </c>
    </row>
    <row r="434" spans="1:9" x14ac:dyDescent="0.2">
      <c r="A434" t="s">
        <v>277</v>
      </c>
      <c r="B434">
        <v>2022</v>
      </c>
      <c r="C434" t="s">
        <v>969</v>
      </c>
      <c r="D434" s="241">
        <v>4826579</v>
      </c>
      <c r="E434">
        <v>3270136.75</v>
      </c>
      <c r="F434">
        <v>2181902.5</v>
      </c>
      <c r="G434">
        <v>1469939.125</v>
      </c>
      <c r="H434">
        <v>851922.0625</v>
      </c>
      <c r="I434">
        <v>42164964</v>
      </c>
    </row>
    <row r="435" spans="1:9" x14ac:dyDescent="0.2">
      <c r="A435" t="s">
        <v>277</v>
      </c>
      <c r="B435">
        <v>2023</v>
      </c>
      <c r="C435" t="s">
        <v>970</v>
      </c>
      <c r="D435" s="241">
        <v>5050687</v>
      </c>
      <c r="E435">
        <v>3435252.75</v>
      </c>
      <c r="F435">
        <v>2254277.75</v>
      </c>
      <c r="G435">
        <v>1503573.25</v>
      </c>
      <c r="H435">
        <v>902238.0625</v>
      </c>
      <c r="I435">
        <v>43170812</v>
      </c>
    </row>
    <row r="436" spans="1:9" x14ac:dyDescent="0.2">
      <c r="A436" t="s">
        <v>277</v>
      </c>
      <c r="B436">
        <v>2024</v>
      </c>
      <c r="C436" t="s">
        <v>971</v>
      </c>
      <c r="D436" s="241">
        <v>5286779</v>
      </c>
      <c r="E436">
        <v>3611913.25</v>
      </c>
      <c r="F436">
        <v>2340624.25</v>
      </c>
      <c r="G436">
        <v>1539291.875</v>
      </c>
      <c r="H436">
        <v>946878</v>
      </c>
      <c r="I436">
        <v>44181836</v>
      </c>
    </row>
    <row r="437" spans="1:9" x14ac:dyDescent="0.2">
      <c r="A437" t="s">
        <v>359</v>
      </c>
      <c r="B437">
        <v>2020</v>
      </c>
      <c r="C437" t="s">
        <v>972</v>
      </c>
      <c r="D437" s="241">
        <v>115837.015625</v>
      </c>
      <c r="E437">
        <v>95111.0078125</v>
      </c>
      <c r="F437">
        <v>73726.0078125</v>
      </c>
      <c r="G437">
        <v>53315</v>
      </c>
      <c r="H437">
        <v>36190</v>
      </c>
      <c r="I437">
        <v>341249.96875</v>
      </c>
    </row>
    <row r="438" spans="1:9" x14ac:dyDescent="0.2">
      <c r="A438" t="s">
        <v>359</v>
      </c>
      <c r="B438">
        <v>2021</v>
      </c>
      <c r="C438" t="s">
        <v>973</v>
      </c>
      <c r="D438" s="241">
        <v>117813</v>
      </c>
      <c r="E438">
        <v>97125.0078125</v>
      </c>
      <c r="F438">
        <v>75864.0078125</v>
      </c>
      <c r="G438">
        <v>55168.00390625</v>
      </c>
      <c r="H438">
        <v>37533</v>
      </c>
      <c r="I438">
        <v>343360</v>
      </c>
    </row>
    <row r="439" spans="1:9" x14ac:dyDescent="0.2">
      <c r="A439" t="s">
        <v>359</v>
      </c>
      <c r="B439">
        <v>2022</v>
      </c>
      <c r="C439" t="s">
        <v>974</v>
      </c>
      <c r="D439" s="241">
        <v>119739</v>
      </c>
      <c r="E439">
        <v>99009</v>
      </c>
      <c r="F439">
        <v>77953</v>
      </c>
      <c r="G439">
        <v>57071.00390625</v>
      </c>
      <c r="H439">
        <v>38874</v>
      </c>
      <c r="I439">
        <v>345399.96875</v>
      </c>
    </row>
    <row r="440" spans="1:9" x14ac:dyDescent="0.2">
      <c r="A440" t="s">
        <v>359</v>
      </c>
      <c r="B440">
        <v>2023</v>
      </c>
      <c r="C440" t="s">
        <v>975</v>
      </c>
      <c r="D440" s="241">
        <v>121659.0078125</v>
      </c>
      <c r="E440">
        <v>100830.0078125</v>
      </c>
      <c r="F440">
        <v>80008</v>
      </c>
      <c r="G440">
        <v>59031.99609375</v>
      </c>
      <c r="H440">
        <v>40264</v>
      </c>
      <c r="I440">
        <v>347380.03125</v>
      </c>
    </row>
    <row r="441" spans="1:9" x14ac:dyDescent="0.2">
      <c r="A441" t="s">
        <v>359</v>
      </c>
      <c r="B441">
        <v>2024</v>
      </c>
      <c r="C441" t="s">
        <v>976</v>
      </c>
      <c r="D441" s="241">
        <v>123614</v>
      </c>
      <c r="E441">
        <v>102670.015625</v>
      </c>
      <c r="F441">
        <v>82041</v>
      </c>
      <c r="G441">
        <v>61039</v>
      </c>
      <c r="H441">
        <v>41759</v>
      </c>
      <c r="I441">
        <v>349314.0625</v>
      </c>
    </row>
    <row r="442" spans="1:9" x14ac:dyDescent="0.2">
      <c r="A442" t="s">
        <v>361</v>
      </c>
      <c r="B442">
        <v>2020</v>
      </c>
      <c r="C442" t="s">
        <v>977</v>
      </c>
      <c r="D442" s="241">
        <v>2219985.25</v>
      </c>
      <c r="E442">
        <v>1802464.125</v>
      </c>
      <c r="F442">
        <v>1424489</v>
      </c>
      <c r="G442">
        <v>1074532</v>
      </c>
      <c r="H442">
        <v>720845.875</v>
      </c>
      <c r="I442">
        <v>8655541</v>
      </c>
    </row>
    <row r="443" spans="1:9" x14ac:dyDescent="0.2">
      <c r="A443" t="s">
        <v>361</v>
      </c>
      <c r="B443">
        <v>2021</v>
      </c>
      <c r="C443" t="s">
        <v>978</v>
      </c>
      <c r="D443" s="241">
        <v>2270149</v>
      </c>
      <c r="E443">
        <v>1839410.875</v>
      </c>
      <c r="F443">
        <v>1456041</v>
      </c>
      <c r="G443">
        <v>1105784.875</v>
      </c>
      <c r="H443">
        <v>752813.0625</v>
      </c>
      <c r="I443">
        <v>8789776</v>
      </c>
    </row>
    <row r="444" spans="1:9" x14ac:dyDescent="0.2">
      <c r="A444" t="s">
        <v>361</v>
      </c>
      <c r="B444">
        <v>2022</v>
      </c>
      <c r="C444" t="s">
        <v>979</v>
      </c>
      <c r="D444" s="241">
        <v>2322551</v>
      </c>
      <c r="E444">
        <v>1876195.25</v>
      </c>
      <c r="F444">
        <v>1487712.25</v>
      </c>
      <c r="G444">
        <v>1134279</v>
      </c>
      <c r="H444">
        <v>785291.9375</v>
      </c>
      <c r="I444">
        <v>8922893</v>
      </c>
    </row>
    <row r="445" spans="1:9" x14ac:dyDescent="0.2">
      <c r="A445" t="s">
        <v>361</v>
      </c>
      <c r="B445">
        <v>2023</v>
      </c>
      <c r="C445" t="s">
        <v>980</v>
      </c>
      <c r="D445" s="241">
        <v>2377440.25</v>
      </c>
      <c r="E445">
        <v>1914245.125</v>
      </c>
      <c r="F445">
        <v>1520025</v>
      </c>
      <c r="G445">
        <v>1161354.125</v>
      </c>
      <c r="H445">
        <v>817852.0625</v>
      </c>
      <c r="I445">
        <v>9055151</v>
      </c>
    </row>
    <row r="446" spans="1:9" x14ac:dyDescent="0.2">
      <c r="A446" t="s">
        <v>361</v>
      </c>
      <c r="B446">
        <v>2024</v>
      </c>
      <c r="C446" t="s">
        <v>981</v>
      </c>
      <c r="D446" s="241">
        <v>2434846</v>
      </c>
      <c r="E446">
        <v>1955401.125</v>
      </c>
      <c r="F446">
        <v>1553359.125</v>
      </c>
      <c r="G446">
        <v>1188846.25</v>
      </c>
      <c r="H446">
        <v>849646.9375</v>
      </c>
      <c r="I446">
        <v>9187045</v>
      </c>
    </row>
    <row r="447" spans="1:9" x14ac:dyDescent="0.2">
      <c r="A447" t="s">
        <v>363</v>
      </c>
      <c r="B447">
        <v>2020</v>
      </c>
      <c r="C447" t="s">
        <v>982</v>
      </c>
      <c r="D447" s="241">
        <v>27609510</v>
      </c>
      <c r="E447">
        <v>22701264</v>
      </c>
      <c r="F447">
        <v>18042320</v>
      </c>
      <c r="G447">
        <v>14088751</v>
      </c>
      <c r="H447">
        <v>10557456</v>
      </c>
      <c r="I447">
        <v>60461824</v>
      </c>
    </row>
    <row r="448" spans="1:9" x14ac:dyDescent="0.2">
      <c r="A448" t="s">
        <v>363</v>
      </c>
      <c r="B448">
        <v>2021</v>
      </c>
      <c r="C448" t="s">
        <v>983</v>
      </c>
      <c r="D448" s="241">
        <v>27971448</v>
      </c>
      <c r="E448">
        <v>23054530</v>
      </c>
      <c r="F448">
        <v>18317138</v>
      </c>
      <c r="G448">
        <v>14251494</v>
      </c>
      <c r="H448">
        <v>10702301</v>
      </c>
      <c r="I448">
        <v>60367476</v>
      </c>
    </row>
    <row r="449" spans="1:9" x14ac:dyDescent="0.2">
      <c r="A449" t="s">
        <v>363</v>
      </c>
      <c r="B449">
        <v>2022</v>
      </c>
      <c r="C449" t="s">
        <v>984</v>
      </c>
      <c r="D449" s="241">
        <v>28322722</v>
      </c>
      <c r="E449">
        <v>23402312</v>
      </c>
      <c r="F449">
        <v>18613416</v>
      </c>
      <c r="G449">
        <v>14415882</v>
      </c>
      <c r="H449">
        <v>10827184</v>
      </c>
      <c r="I449">
        <v>60262780</v>
      </c>
    </row>
    <row r="450" spans="1:9" x14ac:dyDescent="0.2">
      <c r="A450" t="s">
        <v>363</v>
      </c>
      <c r="B450">
        <v>2023</v>
      </c>
      <c r="C450" t="s">
        <v>985</v>
      </c>
      <c r="D450" s="241">
        <v>28660558</v>
      </c>
      <c r="E450">
        <v>23749450</v>
      </c>
      <c r="F450">
        <v>18930304</v>
      </c>
      <c r="G450">
        <v>14593687</v>
      </c>
      <c r="H450">
        <v>10944677</v>
      </c>
      <c r="I450">
        <v>60147508</v>
      </c>
    </row>
    <row r="451" spans="1:9" x14ac:dyDescent="0.2">
      <c r="A451" t="s">
        <v>363</v>
      </c>
      <c r="B451">
        <v>2024</v>
      </c>
      <c r="C451" t="s">
        <v>986</v>
      </c>
      <c r="D451" s="241">
        <v>28976796</v>
      </c>
      <c r="E451">
        <v>24100054</v>
      </c>
      <c r="F451">
        <v>19261208</v>
      </c>
      <c r="G451">
        <v>14797329</v>
      </c>
      <c r="H451">
        <v>11069019</v>
      </c>
      <c r="I451">
        <v>60019212</v>
      </c>
    </row>
    <row r="452" spans="1:9" x14ac:dyDescent="0.2">
      <c r="A452" t="s">
        <v>233</v>
      </c>
      <c r="B452">
        <v>2020</v>
      </c>
      <c r="C452" t="s">
        <v>987</v>
      </c>
      <c r="D452" s="241">
        <v>713463</v>
      </c>
      <c r="E452">
        <v>542198</v>
      </c>
      <c r="F452">
        <v>392930</v>
      </c>
      <c r="G452">
        <v>268805</v>
      </c>
      <c r="H452">
        <v>178389</v>
      </c>
      <c r="I452">
        <v>2961161.25</v>
      </c>
    </row>
    <row r="453" spans="1:9" x14ac:dyDescent="0.2">
      <c r="A453" t="s">
        <v>233</v>
      </c>
      <c r="B453">
        <v>2021</v>
      </c>
      <c r="C453" t="s">
        <v>988</v>
      </c>
      <c r="D453" s="241">
        <v>729512.0625</v>
      </c>
      <c r="E453">
        <v>556886</v>
      </c>
      <c r="F453">
        <v>404513</v>
      </c>
      <c r="G453">
        <v>276495</v>
      </c>
      <c r="H453">
        <v>182277</v>
      </c>
      <c r="I453">
        <v>2973462.25</v>
      </c>
    </row>
    <row r="454" spans="1:9" x14ac:dyDescent="0.2">
      <c r="A454" t="s">
        <v>233</v>
      </c>
      <c r="B454">
        <v>2022</v>
      </c>
      <c r="C454" t="s">
        <v>989</v>
      </c>
      <c r="D454" s="241">
        <v>745139</v>
      </c>
      <c r="E454">
        <v>571646</v>
      </c>
      <c r="F454">
        <v>416064.03125</v>
      </c>
      <c r="G454">
        <v>284823</v>
      </c>
      <c r="H454">
        <v>185844.03125</v>
      </c>
      <c r="I454">
        <v>2985086.75</v>
      </c>
    </row>
    <row r="455" spans="1:9" x14ac:dyDescent="0.2">
      <c r="A455" t="s">
        <v>233</v>
      </c>
      <c r="B455">
        <v>2023</v>
      </c>
      <c r="C455" t="s">
        <v>990</v>
      </c>
      <c r="D455" s="241">
        <v>760248.0625</v>
      </c>
      <c r="E455">
        <v>586413.9375</v>
      </c>
      <c r="F455">
        <v>427709</v>
      </c>
      <c r="G455">
        <v>293669</v>
      </c>
      <c r="H455">
        <v>189444.984375</v>
      </c>
      <c r="I455">
        <v>2995999</v>
      </c>
    </row>
    <row r="456" spans="1:9" x14ac:dyDescent="0.2">
      <c r="A456" t="s">
        <v>233</v>
      </c>
      <c r="B456">
        <v>2024</v>
      </c>
      <c r="C456" t="s">
        <v>991</v>
      </c>
      <c r="D456" s="241">
        <v>774753.0625</v>
      </c>
      <c r="E456">
        <v>601145</v>
      </c>
      <c r="F456">
        <v>439722</v>
      </c>
      <c r="G456">
        <v>302853</v>
      </c>
      <c r="H456">
        <v>193575.015625</v>
      </c>
      <c r="I456">
        <v>3006090</v>
      </c>
    </row>
    <row r="457" spans="1:9" x14ac:dyDescent="0.2">
      <c r="A457" t="s">
        <v>279</v>
      </c>
      <c r="B457">
        <v>2020</v>
      </c>
      <c r="C457" t="s">
        <v>992</v>
      </c>
      <c r="D457" s="241">
        <v>1376234.875</v>
      </c>
      <c r="E457">
        <v>943012.0625</v>
      </c>
      <c r="F457">
        <v>620644.125</v>
      </c>
      <c r="G457">
        <v>403405</v>
      </c>
      <c r="H457">
        <v>254366.015625</v>
      </c>
      <c r="I457">
        <v>10203142</v>
      </c>
    </row>
    <row r="458" spans="1:9" x14ac:dyDescent="0.2">
      <c r="A458" t="s">
        <v>279</v>
      </c>
      <c r="B458">
        <v>2021</v>
      </c>
      <c r="C458" t="s">
        <v>993</v>
      </c>
      <c r="D458" s="241">
        <v>1435487.875</v>
      </c>
      <c r="E458">
        <v>985725.125</v>
      </c>
      <c r="F458">
        <v>646060.125</v>
      </c>
      <c r="G458">
        <v>415142</v>
      </c>
      <c r="H458">
        <v>260493.015625</v>
      </c>
      <c r="I458">
        <v>10269023</v>
      </c>
    </row>
    <row r="459" spans="1:9" x14ac:dyDescent="0.2">
      <c r="A459" t="s">
        <v>279</v>
      </c>
      <c r="B459">
        <v>2022</v>
      </c>
      <c r="C459" t="s">
        <v>994</v>
      </c>
      <c r="D459" s="241">
        <v>1490168.875</v>
      </c>
      <c r="E459">
        <v>1026047</v>
      </c>
      <c r="F459">
        <v>670815.0625</v>
      </c>
      <c r="G459">
        <v>425651.96875</v>
      </c>
      <c r="H459">
        <v>264698</v>
      </c>
      <c r="I459">
        <v>10300863</v>
      </c>
    </row>
    <row r="460" spans="1:9" x14ac:dyDescent="0.2">
      <c r="A460" t="s">
        <v>279</v>
      </c>
      <c r="B460">
        <v>2023</v>
      </c>
      <c r="C460" t="s">
        <v>995</v>
      </c>
      <c r="D460" s="241">
        <v>1542403</v>
      </c>
      <c r="E460">
        <v>1065793</v>
      </c>
      <c r="F460">
        <v>696118.9375</v>
      </c>
      <c r="G460">
        <v>436241</v>
      </c>
      <c r="H460">
        <v>267894</v>
      </c>
      <c r="I460">
        <v>10312320</v>
      </c>
    </row>
    <row r="461" spans="1:9" x14ac:dyDescent="0.2">
      <c r="A461" t="s">
        <v>279</v>
      </c>
      <c r="B461">
        <v>2024</v>
      </c>
      <c r="C461" t="s">
        <v>996</v>
      </c>
      <c r="D461" s="241">
        <v>1595255</v>
      </c>
      <c r="E461">
        <v>1107634</v>
      </c>
      <c r="F461">
        <v>723632.9375</v>
      </c>
      <c r="G461">
        <v>448586</v>
      </c>
      <c r="H461">
        <v>271205.03125</v>
      </c>
      <c r="I461">
        <v>10320861</v>
      </c>
    </row>
    <row r="462" spans="1:9" x14ac:dyDescent="0.2">
      <c r="A462" t="s">
        <v>454</v>
      </c>
      <c r="B462">
        <v>2020</v>
      </c>
      <c r="C462" t="s">
        <v>997</v>
      </c>
      <c r="D462" s="241">
        <v>59953508</v>
      </c>
      <c r="E462">
        <v>51294892</v>
      </c>
      <c r="F462">
        <v>43411988</v>
      </c>
      <c r="G462">
        <v>35915868</v>
      </c>
      <c r="H462">
        <v>27536752</v>
      </c>
      <c r="I462">
        <v>126476464</v>
      </c>
    </row>
    <row r="463" spans="1:9" x14ac:dyDescent="0.2">
      <c r="A463" t="s">
        <v>454</v>
      </c>
      <c r="B463">
        <v>2021</v>
      </c>
      <c r="C463" t="s">
        <v>998</v>
      </c>
      <c r="D463" s="241">
        <v>60543392</v>
      </c>
      <c r="E463">
        <v>51597712</v>
      </c>
      <c r="F463">
        <v>43611032</v>
      </c>
      <c r="G463">
        <v>36175004</v>
      </c>
      <c r="H463">
        <v>28090926</v>
      </c>
      <c r="I463">
        <v>126050792</v>
      </c>
    </row>
    <row r="464" spans="1:9" x14ac:dyDescent="0.2">
      <c r="A464" t="s">
        <v>454</v>
      </c>
      <c r="B464">
        <v>2022</v>
      </c>
      <c r="C464" t="s">
        <v>999</v>
      </c>
      <c r="D464" s="241">
        <v>61180024</v>
      </c>
      <c r="E464">
        <v>51879592</v>
      </c>
      <c r="F464">
        <v>43801804</v>
      </c>
      <c r="G464">
        <v>36348960</v>
      </c>
      <c r="H464">
        <v>28540668</v>
      </c>
      <c r="I464">
        <v>125584832</v>
      </c>
    </row>
    <row r="465" spans="1:9" x14ac:dyDescent="0.2">
      <c r="A465" t="s">
        <v>454</v>
      </c>
      <c r="B465">
        <v>2023</v>
      </c>
      <c r="C465" t="s">
        <v>1000</v>
      </c>
      <c r="D465" s="241">
        <v>61827508</v>
      </c>
      <c r="E465">
        <v>52177352</v>
      </c>
      <c r="F465">
        <v>43998164</v>
      </c>
      <c r="G465">
        <v>36471592</v>
      </c>
      <c r="H465">
        <v>28904220</v>
      </c>
      <c r="I465">
        <v>125081328</v>
      </c>
    </row>
    <row r="466" spans="1:9" x14ac:dyDescent="0.2">
      <c r="A466" t="s">
        <v>454</v>
      </c>
      <c r="B466">
        <v>2024</v>
      </c>
      <c r="C466" t="s">
        <v>1001</v>
      </c>
      <c r="D466" s="241">
        <v>62427816</v>
      </c>
      <c r="E466">
        <v>52544644</v>
      </c>
      <c r="F466">
        <v>44213952</v>
      </c>
      <c r="G466">
        <v>36590148</v>
      </c>
      <c r="H466">
        <v>29210110</v>
      </c>
      <c r="I466">
        <v>124543928</v>
      </c>
    </row>
    <row r="467" spans="1:9" x14ac:dyDescent="0.2">
      <c r="A467" t="s">
        <v>365</v>
      </c>
      <c r="B467">
        <v>2020</v>
      </c>
      <c r="C467" t="s">
        <v>1002</v>
      </c>
      <c r="D467" s="241">
        <v>4334665.5</v>
      </c>
      <c r="E467">
        <v>3356986</v>
      </c>
      <c r="F467">
        <v>2295225</v>
      </c>
      <c r="G467">
        <v>1483887</v>
      </c>
      <c r="H467">
        <v>856316</v>
      </c>
      <c r="I467">
        <v>18776708</v>
      </c>
    </row>
    <row r="468" spans="1:9" x14ac:dyDescent="0.2">
      <c r="A468" t="s">
        <v>365</v>
      </c>
      <c r="B468">
        <v>2021</v>
      </c>
      <c r="C468" t="s">
        <v>1003</v>
      </c>
      <c r="D468" s="241">
        <v>4429786.5</v>
      </c>
      <c r="E468">
        <v>3452334</v>
      </c>
      <c r="F468">
        <v>2399367.25</v>
      </c>
      <c r="G468">
        <v>1551610.125</v>
      </c>
      <c r="H468">
        <v>894918</v>
      </c>
      <c r="I468">
        <v>18994956</v>
      </c>
    </row>
    <row r="469" spans="1:9" x14ac:dyDescent="0.2">
      <c r="A469" t="s">
        <v>365</v>
      </c>
      <c r="B469">
        <v>2022</v>
      </c>
      <c r="C469" t="s">
        <v>1004</v>
      </c>
      <c r="D469" s="241">
        <v>4528250.5</v>
      </c>
      <c r="E469">
        <v>3533578</v>
      </c>
      <c r="F469">
        <v>2510977</v>
      </c>
      <c r="G469">
        <v>1615907.125</v>
      </c>
      <c r="H469">
        <v>942196</v>
      </c>
      <c r="I469">
        <v>19205038</v>
      </c>
    </row>
    <row r="470" spans="1:9" x14ac:dyDescent="0.2">
      <c r="A470" t="s">
        <v>365</v>
      </c>
      <c r="B470">
        <v>2023</v>
      </c>
      <c r="C470" t="s">
        <v>1005</v>
      </c>
      <c r="D470" s="241">
        <v>4629691</v>
      </c>
      <c r="E470">
        <v>3606948</v>
      </c>
      <c r="F470">
        <v>2624490</v>
      </c>
      <c r="G470">
        <v>1680612</v>
      </c>
      <c r="H470">
        <v>994908</v>
      </c>
      <c r="I470">
        <v>19407014</v>
      </c>
    </row>
    <row r="471" spans="1:9" x14ac:dyDescent="0.2">
      <c r="A471" t="s">
        <v>365</v>
      </c>
      <c r="B471">
        <v>2024</v>
      </c>
      <c r="C471" t="s">
        <v>1006</v>
      </c>
      <c r="D471" s="241">
        <v>4731608</v>
      </c>
      <c r="E471">
        <v>3681198.25</v>
      </c>
      <c r="F471">
        <v>2730803.25</v>
      </c>
      <c r="G471">
        <v>1751403</v>
      </c>
      <c r="H471">
        <v>1048202</v>
      </c>
      <c r="I471">
        <v>19601106</v>
      </c>
    </row>
    <row r="472" spans="1:9" x14ac:dyDescent="0.2">
      <c r="A472" t="s">
        <v>136</v>
      </c>
      <c r="B472">
        <v>2020</v>
      </c>
      <c r="C472" t="s">
        <v>1007</v>
      </c>
      <c r="D472" s="241">
        <v>5043046</v>
      </c>
      <c r="E472">
        <v>3438973.25</v>
      </c>
      <c r="F472">
        <v>2237443.25</v>
      </c>
      <c r="G472">
        <v>1349228</v>
      </c>
      <c r="H472">
        <v>718616.9375</v>
      </c>
      <c r="I472">
        <v>53771296</v>
      </c>
    </row>
    <row r="473" spans="1:9" x14ac:dyDescent="0.2">
      <c r="A473" t="s">
        <v>136</v>
      </c>
      <c r="B473">
        <v>2021</v>
      </c>
      <c r="C473" t="s">
        <v>1008</v>
      </c>
      <c r="D473" s="241">
        <v>5293352</v>
      </c>
      <c r="E473">
        <v>3608939</v>
      </c>
      <c r="F473">
        <v>2353264.25</v>
      </c>
      <c r="G473">
        <v>1427358</v>
      </c>
      <c r="H473">
        <v>767212.0625</v>
      </c>
      <c r="I473">
        <v>54985700</v>
      </c>
    </row>
    <row r="474" spans="1:9" x14ac:dyDescent="0.2">
      <c r="A474" t="s">
        <v>136</v>
      </c>
      <c r="B474">
        <v>2022</v>
      </c>
      <c r="C474" t="s">
        <v>1009</v>
      </c>
      <c r="D474" s="241">
        <v>5556372.5</v>
      </c>
      <c r="E474">
        <v>3786122</v>
      </c>
      <c r="F474">
        <v>2473446</v>
      </c>
      <c r="G474">
        <v>1506908</v>
      </c>
      <c r="H474">
        <v>817635.0625</v>
      </c>
      <c r="I474">
        <v>56215232</v>
      </c>
    </row>
    <row r="475" spans="1:9" x14ac:dyDescent="0.2">
      <c r="A475" t="s">
        <v>136</v>
      </c>
      <c r="B475">
        <v>2023</v>
      </c>
      <c r="C475" t="s">
        <v>1010</v>
      </c>
      <c r="D475" s="241">
        <v>5833918</v>
      </c>
      <c r="E475">
        <v>3973034</v>
      </c>
      <c r="F475">
        <v>2599372</v>
      </c>
      <c r="G475">
        <v>1588937</v>
      </c>
      <c r="H475">
        <v>869668</v>
      </c>
      <c r="I475">
        <v>57458892</v>
      </c>
    </row>
    <row r="476" spans="1:9" x14ac:dyDescent="0.2">
      <c r="A476" t="s">
        <v>136</v>
      </c>
      <c r="B476">
        <v>2024</v>
      </c>
      <c r="C476" t="s">
        <v>1011</v>
      </c>
      <c r="D476" s="241">
        <v>6128191</v>
      </c>
      <c r="E476">
        <v>4172970.75</v>
      </c>
      <c r="F476">
        <v>2732610.5</v>
      </c>
      <c r="G476">
        <v>1674759</v>
      </c>
      <c r="H476">
        <v>923009.0625</v>
      </c>
      <c r="I476">
        <v>58714804</v>
      </c>
    </row>
    <row r="477" spans="1:9" x14ac:dyDescent="0.2">
      <c r="A477" t="s">
        <v>367</v>
      </c>
      <c r="B477">
        <v>2020</v>
      </c>
      <c r="C477" t="s">
        <v>1012</v>
      </c>
      <c r="D477" s="241">
        <v>1109960.125</v>
      </c>
      <c r="E477">
        <v>813987</v>
      </c>
      <c r="F477">
        <v>528524.9375</v>
      </c>
      <c r="G477">
        <v>308456.03125</v>
      </c>
      <c r="H477">
        <v>164701</v>
      </c>
      <c r="I477">
        <v>6524191</v>
      </c>
    </row>
    <row r="478" spans="1:9" x14ac:dyDescent="0.2">
      <c r="A478" t="s">
        <v>367</v>
      </c>
      <c r="B478">
        <v>2021</v>
      </c>
      <c r="C478" t="s">
        <v>1013</v>
      </c>
      <c r="D478" s="241">
        <v>1145078</v>
      </c>
      <c r="E478">
        <v>847133</v>
      </c>
      <c r="F478">
        <v>558997</v>
      </c>
      <c r="G478">
        <v>327242.96875</v>
      </c>
      <c r="H478">
        <v>173029</v>
      </c>
      <c r="I478">
        <v>6628346.5</v>
      </c>
    </row>
    <row r="479" spans="1:9" x14ac:dyDescent="0.2">
      <c r="A479" t="s">
        <v>367</v>
      </c>
      <c r="B479">
        <v>2022</v>
      </c>
      <c r="C479" t="s">
        <v>1014</v>
      </c>
      <c r="D479" s="241">
        <v>1177994.875</v>
      </c>
      <c r="E479">
        <v>876762.0625</v>
      </c>
      <c r="F479">
        <v>589539.0625</v>
      </c>
      <c r="G479">
        <v>346492</v>
      </c>
      <c r="H479">
        <v>181610</v>
      </c>
      <c r="I479">
        <v>6728269.5</v>
      </c>
    </row>
    <row r="480" spans="1:9" x14ac:dyDescent="0.2">
      <c r="A480" t="s">
        <v>367</v>
      </c>
      <c r="B480">
        <v>2023</v>
      </c>
      <c r="C480" t="s">
        <v>1015</v>
      </c>
      <c r="D480" s="241">
        <v>1209806.875</v>
      </c>
      <c r="E480">
        <v>904319.9375</v>
      </c>
      <c r="F480">
        <v>619820</v>
      </c>
      <c r="G480">
        <v>366654.96875</v>
      </c>
      <c r="H480">
        <v>190853.984375</v>
      </c>
      <c r="I480">
        <v>6824516.5</v>
      </c>
    </row>
    <row r="481" spans="1:9" x14ac:dyDescent="0.2">
      <c r="A481" t="s">
        <v>367</v>
      </c>
      <c r="B481">
        <v>2024</v>
      </c>
      <c r="C481" t="s">
        <v>1016</v>
      </c>
      <c r="D481" s="241">
        <v>1242037</v>
      </c>
      <c r="E481">
        <v>932042.125</v>
      </c>
      <c r="F481">
        <v>649515</v>
      </c>
      <c r="G481">
        <v>388383.96875</v>
      </c>
      <c r="H481">
        <v>201315</v>
      </c>
      <c r="I481">
        <v>6918097</v>
      </c>
    </row>
    <row r="482" spans="1:9" x14ac:dyDescent="0.2">
      <c r="A482" t="s">
        <v>456</v>
      </c>
      <c r="B482">
        <v>2020</v>
      </c>
      <c r="C482" t="s">
        <v>1017</v>
      </c>
      <c r="D482" s="241">
        <v>2652355</v>
      </c>
      <c r="E482">
        <v>1919533.25</v>
      </c>
      <c r="F482">
        <v>1264871.25</v>
      </c>
      <c r="G482">
        <v>811352</v>
      </c>
      <c r="H482">
        <v>448095</v>
      </c>
      <c r="I482">
        <v>16718973</v>
      </c>
    </row>
    <row r="483" spans="1:9" x14ac:dyDescent="0.2">
      <c r="A483" t="s">
        <v>456</v>
      </c>
      <c r="B483">
        <v>2021</v>
      </c>
      <c r="C483" t="s">
        <v>1018</v>
      </c>
      <c r="D483" s="241">
        <v>2742310.75</v>
      </c>
      <c r="E483">
        <v>1994966.125</v>
      </c>
      <c r="F483">
        <v>1323101.25</v>
      </c>
      <c r="G483">
        <v>844845.9375</v>
      </c>
      <c r="H483">
        <v>473920</v>
      </c>
      <c r="I483">
        <v>16946446</v>
      </c>
    </row>
    <row r="484" spans="1:9" x14ac:dyDescent="0.2">
      <c r="A484" t="s">
        <v>456</v>
      </c>
      <c r="B484">
        <v>2022</v>
      </c>
      <c r="C484" t="s">
        <v>1019</v>
      </c>
      <c r="D484" s="241">
        <v>2840269</v>
      </c>
      <c r="E484">
        <v>2068302</v>
      </c>
      <c r="F484">
        <v>1387676</v>
      </c>
      <c r="G484">
        <v>875773</v>
      </c>
      <c r="H484">
        <v>501787.96875</v>
      </c>
      <c r="I484">
        <v>17168636</v>
      </c>
    </row>
    <row r="485" spans="1:9" x14ac:dyDescent="0.2">
      <c r="A485" t="s">
        <v>456</v>
      </c>
      <c r="B485">
        <v>2023</v>
      </c>
      <c r="C485" t="s">
        <v>1020</v>
      </c>
      <c r="D485" s="241">
        <v>2936804.5</v>
      </c>
      <c r="E485">
        <v>2141385.25</v>
      </c>
      <c r="F485">
        <v>1456487</v>
      </c>
      <c r="G485">
        <v>907043</v>
      </c>
      <c r="H485">
        <v>530225.0625</v>
      </c>
      <c r="I485">
        <v>17385668</v>
      </c>
    </row>
    <row r="486" spans="1:9" x14ac:dyDescent="0.2">
      <c r="A486" t="s">
        <v>456</v>
      </c>
      <c r="B486">
        <v>2024</v>
      </c>
      <c r="C486" t="s">
        <v>1021</v>
      </c>
      <c r="D486" s="241">
        <v>3016592.25</v>
      </c>
      <c r="E486">
        <v>2216872</v>
      </c>
      <c r="F486">
        <v>1526049</v>
      </c>
      <c r="G486">
        <v>942677.9375</v>
      </c>
      <c r="H486">
        <v>556998.9375</v>
      </c>
      <c r="I486">
        <v>17597870</v>
      </c>
    </row>
    <row r="487" spans="1:9" x14ac:dyDescent="0.2">
      <c r="A487" t="s">
        <v>458</v>
      </c>
      <c r="B487">
        <v>2020</v>
      </c>
      <c r="C487" t="s">
        <v>1022</v>
      </c>
      <c r="D487" s="241">
        <v>18050.001953125</v>
      </c>
      <c r="E487">
        <v>12618</v>
      </c>
      <c r="F487">
        <v>8061.99951171875</v>
      </c>
      <c r="G487">
        <v>5034</v>
      </c>
      <c r="H487">
        <v>2921</v>
      </c>
      <c r="I487">
        <v>119445.9921875</v>
      </c>
    </row>
    <row r="488" spans="1:9" x14ac:dyDescent="0.2">
      <c r="A488" t="s">
        <v>458</v>
      </c>
      <c r="B488">
        <v>2021</v>
      </c>
      <c r="C488" t="s">
        <v>1023</v>
      </c>
      <c r="D488" s="241">
        <v>18554.001953125</v>
      </c>
      <c r="E488">
        <v>13241</v>
      </c>
      <c r="F488">
        <v>8505</v>
      </c>
      <c r="G488">
        <v>5273</v>
      </c>
      <c r="H488">
        <v>3080.000244140625</v>
      </c>
      <c r="I488">
        <v>121388</v>
      </c>
    </row>
    <row r="489" spans="1:9" x14ac:dyDescent="0.2">
      <c r="A489" t="s">
        <v>458</v>
      </c>
      <c r="B489">
        <v>2022</v>
      </c>
      <c r="C489" t="s">
        <v>1024</v>
      </c>
      <c r="D489" s="241">
        <v>19018</v>
      </c>
      <c r="E489">
        <v>13905.0009765625</v>
      </c>
      <c r="F489">
        <v>8996.0009765625</v>
      </c>
      <c r="G489">
        <v>5527</v>
      </c>
      <c r="H489">
        <v>3245.000244140625</v>
      </c>
      <c r="I489">
        <v>123415.9921875</v>
      </c>
    </row>
    <row r="490" spans="1:9" x14ac:dyDescent="0.2">
      <c r="A490" t="s">
        <v>458</v>
      </c>
      <c r="B490">
        <v>2023</v>
      </c>
      <c r="C490" t="s">
        <v>1025</v>
      </c>
      <c r="D490" s="241">
        <v>19478.001953125</v>
      </c>
      <c r="E490">
        <v>14583</v>
      </c>
      <c r="F490">
        <v>9531</v>
      </c>
      <c r="G490">
        <v>5804.99951171875</v>
      </c>
      <c r="H490">
        <v>3421.000244140625</v>
      </c>
      <c r="I490">
        <v>125501</v>
      </c>
    </row>
    <row r="491" spans="1:9" x14ac:dyDescent="0.2">
      <c r="A491" t="s">
        <v>458</v>
      </c>
      <c r="B491">
        <v>2024</v>
      </c>
      <c r="C491" t="s">
        <v>1026</v>
      </c>
      <c r="D491" s="241">
        <v>19956.998046875</v>
      </c>
      <c r="E491">
        <v>15215</v>
      </c>
      <c r="F491">
        <v>10089</v>
      </c>
      <c r="G491">
        <v>6121.0009765625</v>
      </c>
      <c r="H491">
        <v>3600</v>
      </c>
      <c r="I491">
        <v>127579.9921875</v>
      </c>
    </row>
    <row r="492" spans="1:9" x14ac:dyDescent="0.2">
      <c r="A492" t="s">
        <v>460</v>
      </c>
      <c r="B492">
        <v>2020</v>
      </c>
      <c r="C492" t="s">
        <v>1027</v>
      </c>
      <c r="D492" s="241">
        <v>20347134</v>
      </c>
      <c r="E492">
        <v>16031619</v>
      </c>
      <c r="F492">
        <v>11870436</v>
      </c>
      <c r="G492">
        <v>8095870.5</v>
      </c>
      <c r="H492">
        <v>5416730.5</v>
      </c>
      <c r="I492">
        <v>51269180</v>
      </c>
    </row>
    <row r="493" spans="1:9" x14ac:dyDescent="0.2">
      <c r="A493" t="s">
        <v>460</v>
      </c>
      <c r="B493">
        <v>2021</v>
      </c>
      <c r="C493" t="s">
        <v>1028</v>
      </c>
      <c r="D493" s="241">
        <v>20908192</v>
      </c>
      <c r="E493">
        <v>16585969</v>
      </c>
      <c r="F493">
        <v>12394517</v>
      </c>
      <c r="G493">
        <v>8499672</v>
      </c>
      <c r="H493">
        <v>5637031</v>
      </c>
      <c r="I493">
        <v>51305184</v>
      </c>
    </row>
    <row r="494" spans="1:9" x14ac:dyDescent="0.2">
      <c r="A494" t="s">
        <v>460</v>
      </c>
      <c r="B494">
        <v>2022</v>
      </c>
      <c r="C494" t="s">
        <v>1029</v>
      </c>
      <c r="D494" s="241">
        <v>21447000</v>
      </c>
      <c r="E494">
        <v>17122822</v>
      </c>
      <c r="F494">
        <v>12908322</v>
      </c>
      <c r="G494">
        <v>8938783</v>
      </c>
      <c r="H494">
        <v>5863337.5</v>
      </c>
      <c r="I494">
        <v>51329904</v>
      </c>
    </row>
    <row r="495" spans="1:9" x14ac:dyDescent="0.2">
      <c r="A495" t="s">
        <v>460</v>
      </c>
      <c r="B495">
        <v>2023</v>
      </c>
      <c r="C495" t="s">
        <v>1030</v>
      </c>
      <c r="D495" s="241">
        <v>21966364</v>
      </c>
      <c r="E495">
        <v>17649042</v>
      </c>
      <c r="F495">
        <v>13417075</v>
      </c>
      <c r="G495">
        <v>9405824</v>
      </c>
      <c r="H495">
        <v>6108876</v>
      </c>
      <c r="I495">
        <v>51343972</v>
      </c>
    </row>
    <row r="496" spans="1:9" x14ac:dyDescent="0.2">
      <c r="A496" t="s">
        <v>460</v>
      </c>
      <c r="B496">
        <v>2024</v>
      </c>
      <c r="C496" t="s">
        <v>1031</v>
      </c>
      <c r="D496" s="241">
        <v>22469554</v>
      </c>
      <c r="E496">
        <v>18174934</v>
      </c>
      <c r="F496">
        <v>13930099</v>
      </c>
      <c r="G496">
        <v>9888338</v>
      </c>
      <c r="H496">
        <v>6391650.5</v>
      </c>
      <c r="I496">
        <v>51347168</v>
      </c>
    </row>
    <row r="497" spans="1:9" x14ac:dyDescent="0.2">
      <c r="A497" t="s">
        <v>281</v>
      </c>
      <c r="B497">
        <v>2020</v>
      </c>
      <c r="C497" t="s">
        <v>1032</v>
      </c>
      <c r="D497" s="241">
        <v>840204</v>
      </c>
      <c r="E497">
        <v>493003.0625</v>
      </c>
      <c r="F497">
        <v>278905.03125</v>
      </c>
      <c r="G497">
        <v>129642.015625</v>
      </c>
      <c r="H497">
        <v>58642.0078125</v>
      </c>
      <c r="I497">
        <v>4270563</v>
      </c>
    </row>
    <row r="498" spans="1:9" x14ac:dyDescent="0.2">
      <c r="A498" t="s">
        <v>281</v>
      </c>
      <c r="B498">
        <v>2021</v>
      </c>
      <c r="C498" t="s">
        <v>1033</v>
      </c>
      <c r="D498" s="241">
        <v>905373.0625</v>
      </c>
      <c r="E498">
        <v>538868</v>
      </c>
      <c r="F498">
        <v>305716.96875</v>
      </c>
      <c r="G498">
        <v>146180.015625</v>
      </c>
      <c r="H498">
        <v>63771.99609375</v>
      </c>
      <c r="I498">
        <v>4328553</v>
      </c>
    </row>
    <row r="499" spans="1:9" x14ac:dyDescent="0.2">
      <c r="A499" t="s">
        <v>281</v>
      </c>
      <c r="B499">
        <v>2022</v>
      </c>
      <c r="C499" t="s">
        <v>1034</v>
      </c>
      <c r="D499" s="241">
        <v>970551</v>
      </c>
      <c r="E499">
        <v>588407</v>
      </c>
      <c r="F499">
        <v>332850</v>
      </c>
      <c r="G499">
        <v>165521.03125</v>
      </c>
      <c r="H499">
        <v>69511.9921875</v>
      </c>
      <c r="I499">
        <v>4380330</v>
      </c>
    </row>
    <row r="500" spans="1:9" x14ac:dyDescent="0.2">
      <c r="A500" t="s">
        <v>281</v>
      </c>
      <c r="B500">
        <v>2023</v>
      </c>
      <c r="C500" t="s">
        <v>1035</v>
      </c>
      <c r="D500" s="241">
        <v>1035559.9375</v>
      </c>
      <c r="E500">
        <v>640932</v>
      </c>
      <c r="F500">
        <v>361550.03125</v>
      </c>
      <c r="G500">
        <v>186918.96875</v>
      </c>
      <c r="H500">
        <v>76427</v>
      </c>
      <c r="I500">
        <v>4427849.5</v>
      </c>
    </row>
    <row r="501" spans="1:9" x14ac:dyDescent="0.2">
      <c r="A501" t="s">
        <v>281</v>
      </c>
      <c r="B501">
        <v>2024</v>
      </c>
      <c r="C501" t="s">
        <v>1036</v>
      </c>
      <c r="D501" s="241">
        <v>1100290</v>
      </c>
      <c r="E501">
        <v>695292.0625</v>
      </c>
      <c r="F501">
        <v>393569.96875</v>
      </c>
      <c r="G501">
        <v>209176.984375</v>
      </c>
      <c r="H501">
        <v>85269</v>
      </c>
      <c r="I501">
        <v>4473162.5</v>
      </c>
    </row>
    <row r="502" spans="1:9" x14ac:dyDescent="0.2">
      <c r="A502" t="s">
        <v>462</v>
      </c>
      <c r="B502">
        <v>2020</v>
      </c>
      <c r="C502" t="s">
        <v>1037</v>
      </c>
      <c r="D502" s="241">
        <v>1020725.125</v>
      </c>
      <c r="E502">
        <v>731793.0625</v>
      </c>
      <c r="F502">
        <v>494147.96875</v>
      </c>
      <c r="G502">
        <v>309878</v>
      </c>
      <c r="H502">
        <v>176177</v>
      </c>
      <c r="I502">
        <v>7275556.5</v>
      </c>
    </row>
    <row r="503" spans="1:9" x14ac:dyDescent="0.2">
      <c r="A503" t="s">
        <v>462</v>
      </c>
      <c r="B503">
        <v>2021</v>
      </c>
      <c r="C503" t="s">
        <v>1038</v>
      </c>
      <c r="D503" s="241">
        <v>1056062</v>
      </c>
      <c r="E503">
        <v>757489.9375</v>
      </c>
      <c r="F503">
        <v>513276</v>
      </c>
      <c r="G503">
        <v>322666</v>
      </c>
      <c r="H503">
        <v>183664.015625</v>
      </c>
      <c r="I503">
        <v>7379358.5</v>
      </c>
    </row>
    <row r="504" spans="1:9" x14ac:dyDescent="0.2">
      <c r="A504" t="s">
        <v>462</v>
      </c>
      <c r="B504">
        <v>2022</v>
      </c>
      <c r="C504" t="s">
        <v>1039</v>
      </c>
      <c r="D504" s="241">
        <v>1094070.125</v>
      </c>
      <c r="E504">
        <v>784332</v>
      </c>
      <c r="F504">
        <v>533485</v>
      </c>
      <c r="G504">
        <v>335892.03125</v>
      </c>
      <c r="H504">
        <v>191450.015625</v>
      </c>
      <c r="I504">
        <v>7481025.5</v>
      </c>
    </row>
    <row r="505" spans="1:9" x14ac:dyDescent="0.2">
      <c r="A505" t="s">
        <v>462</v>
      </c>
      <c r="B505">
        <v>2023</v>
      </c>
      <c r="C505" t="s">
        <v>1040</v>
      </c>
      <c r="D505" s="241">
        <v>1134302</v>
      </c>
      <c r="E505">
        <v>812509.0625</v>
      </c>
      <c r="F505">
        <v>554620.0625</v>
      </c>
      <c r="G505">
        <v>349610.03125</v>
      </c>
      <c r="H505">
        <v>199449.984375</v>
      </c>
      <c r="I505">
        <v>7580607</v>
      </c>
    </row>
    <row r="506" spans="1:9" x14ac:dyDescent="0.2">
      <c r="A506" t="s">
        <v>462</v>
      </c>
      <c r="B506">
        <v>2024</v>
      </c>
      <c r="C506" t="s">
        <v>1041</v>
      </c>
      <c r="D506" s="241">
        <v>1175942.125</v>
      </c>
      <c r="E506">
        <v>842217.9375</v>
      </c>
      <c r="F506">
        <v>576360.9375</v>
      </c>
      <c r="G506">
        <v>363839.96875</v>
      </c>
      <c r="H506">
        <v>207540</v>
      </c>
      <c r="I506">
        <v>7678396.5</v>
      </c>
    </row>
    <row r="507" spans="1:9" x14ac:dyDescent="0.2">
      <c r="A507" t="s">
        <v>283</v>
      </c>
      <c r="B507">
        <v>2020</v>
      </c>
      <c r="C507" t="s">
        <v>1042</v>
      </c>
      <c r="D507" s="241">
        <v>1489325.125</v>
      </c>
      <c r="E507">
        <v>1098952.125</v>
      </c>
      <c r="F507">
        <v>764546.9375</v>
      </c>
      <c r="G507">
        <v>515255.96875</v>
      </c>
      <c r="H507">
        <v>316779.9375</v>
      </c>
      <c r="I507">
        <v>6825441.5</v>
      </c>
    </row>
    <row r="508" spans="1:9" x14ac:dyDescent="0.2">
      <c r="A508" t="s">
        <v>283</v>
      </c>
      <c r="B508">
        <v>2021</v>
      </c>
      <c r="C508" t="s">
        <v>1043</v>
      </c>
      <c r="D508" s="241">
        <v>1529224</v>
      </c>
      <c r="E508">
        <v>1138320.875</v>
      </c>
      <c r="F508">
        <v>793982.9375</v>
      </c>
      <c r="G508">
        <v>534147</v>
      </c>
      <c r="H508">
        <v>329804.03125</v>
      </c>
      <c r="I508">
        <v>6769150.5</v>
      </c>
    </row>
    <row r="509" spans="1:9" x14ac:dyDescent="0.2">
      <c r="A509" t="s">
        <v>283</v>
      </c>
      <c r="B509">
        <v>2022</v>
      </c>
      <c r="C509" t="s">
        <v>1044</v>
      </c>
      <c r="D509" s="241">
        <v>1559909</v>
      </c>
      <c r="E509">
        <v>1172638</v>
      </c>
      <c r="F509">
        <v>821605</v>
      </c>
      <c r="G509">
        <v>550089</v>
      </c>
      <c r="H509">
        <v>342286</v>
      </c>
      <c r="I509">
        <v>6684847</v>
      </c>
    </row>
    <row r="510" spans="1:9" x14ac:dyDescent="0.2">
      <c r="A510" t="s">
        <v>283</v>
      </c>
      <c r="B510">
        <v>2023</v>
      </c>
      <c r="C510" t="s">
        <v>1045</v>
      </c>
      <c r="D510" s="241">
        <v>1585280.875</v>
      </c>
      <c r="E510">
        <v>1203711</v>
      </c>
      <c r="F510">
        <v>848649.0625</v>
      </c>
      <c r="G510">
        <v>565047.0625</v>
      </c>
      <c r="H510">
        <v>354508</v>
      </c>
      <c r="I510">
        <v>6585115.5</v>
      </c>
    </row>
    <row r="511" spans="1:9" x14ac:dyDescent="0.2">
      <c r="A511" t="s">
        <v>283</v>
      </c>
      <c r="B511">
        <v>2024</v>
      </c>
      <c r="C511" t="s">
        <v>1046</v>
      </c>
      <c r="D511" s="241">
        <v>1611255.125</v>
      </c>
      <c r="E511">
        <v>1234461.125</v>
      </c>
      <c r="F511">
        <v>877061</v>
      </c>
      <c r="G511">
        <v>581941.9375</v>
      </c>
      <c r="H511">
        <v>366867.9375</v>
      </c>
      <c r="I511">
        <v>6485336</v>
      </c>
    </row>
    <row r="512" spans="1:9" x14ac:dyDescent="0.2">
      <c r="A512" t="s">
        <v>138</v>
      </c>
      <c r="B512">
        <v>2020</v>
      </c>
      <c r="C512" t="s">
        <v>1047</v>
      </c>
      <c r="D512" s="241">
        <v>548979</v>
      </c>
      <c r="E512">
        <v>390903.96875</v>
      </c>
      <c r="F512">
        <v>265150.96875</v>
      </c>
      <c r="G512">
        <v>167839</v>
      </c>
      <c r="H512">
        <v>96681</v>
      </c>
      <c r="I512">
        <v>5057677</v>
      </c>
    </row>
    <row r="513" spans="1:9" x14ac:dyDescent="0.2">
      <c r="A513" t="s">
        <v>138</v>
      </c>
      <c r="B513">
        <v>2021</v>
      </c>
      <c r="C513" t="s">
        <v>1048</v>
      </c>
      <c r="D513" s="241">
        <v>567960.0625</v>
      </c>
      <c r="E513">
        <v>404275.96875</v>
      </c>
      <c r="F513">
        <v>274500</v>
      </c>
      <c r="G513">
        <v>174047</v>
      </c>
      <c r="H513">
        <v>100171</v>
      </c>
      <c r="I513">
        <v>5180208.5</v>
      </c>
    </row>
    <row r="514" spans="1:9" x14ac:dyDescent="0.2">
      <c r="A514" t="s">
        <v>138</v>
      </c>
      <c r="B514">
        <v>2022</v>
      </c>
      <c r="C514" t="s">
        <v>1049</v>
      </c>
      <c r="D514" s="241">
        <v>587974.9375</v>
      </c>
      <c r="E514">
        <v>418231</v>
      </c>
      <c r="F514">
        <v>284209</v>
      </c>
      <c r="G514">
        <v>180344</v>
      </c>
      <c r="H514">
        <v>103798.0078125</v>
      </c>
      <c r="I514">
        <v>5305119.5</v>
      </c>
    </row>
    <row r="515" spans="1:9" x14ac:dyDescent="0.2">
      <c r="A515" t="s">
        <v>138</v>
      </c>
      <c r="B515">
        <v>2023</v>
      </c>
      <c r="C515" t="s">
        <v>1050</v>
      </c>
      <c r="D515" s="241">
        <v>609083.0625</v>
      </c>
      <c r="E515">
        <v>432878.0625</v>
      </c>
      <c r="F515">
        <v>294330.0625</v>
      </c>
      <c r="G515">
        <v>186793</v>
      </c>
      <c r="H515">
        <v>107506</v>
      </c>
      <c r="I515">
        <v>5432272</v>
      </c>
    </row>
    <row r="516" spans="1:9" x14ac:dyDescent="0.2">
      <c r="A516" t="s">
        <v>138</v>
      </c>
      <c r="B516">
        <v>2024</v>
      </c>
      <c r="C516" t="s">
        <v>1051</v>
      </c>
      <c r="D516" s="241">
        <v>631348</v>
      </c>
      <c r="E516">
        <v>448363</v>
      </c>
      <c r="F516">
        <v>304904.03125</v>
      </c>
      <c r="G516">
        <v>193464</v>
      </c>
      <c r="H516">
        <v>111212</v>
      </c>
      <c r="I516">
        <v>5561376.5</v>
      </c>
    </row>
    <row r="517" spans="1:9" x14ac:dyDescent="0.2">
      <c r="A517" t="s">
        <v>285</v>
      </c>
      <c r="B517">
        <v>2020</v>
      </c>
      <c r="C517" t="s">
        <v>1052</v>
      </c>
      <c r="D517" s="241">
        <v>1092038</v>
      </c>
      <c r="E517">
        <v>720131</v>
      </c>
      <c r="F517">
        <v>474883.96875</v>
      </c>
      <c r="G517">
        <v>310979.96875</v>
      </c>
      <c r="H517">
        <v>190625</v>
      </c>
      <c r="I517">
        <v>6871287</v>
      </c>
    </row>
    <row r="518" spans="1:9" x14ac:dyDescent="0.2">
      <c r="A518" t="s">
        <v>285</v>
      </c>
      <c r="B518">
        <v>2021</v>
      </c>
      <c r="C518" t="s">
        <v>1053</v>
      </c>
      <c r="D518" s="241">
        <v>1155070.875</v>
      </c>
      <c r="E518">
        <v>760654</v>
      </c>
      <c r="F518">
        <v>495171.96875</v>
      </c>
      <c r="G518">
        <v>321548</v>
      </c>
      <c r="H518">
        <v>196579.984375</v>
      </c>
      <c r="I518">
        <v>6958538.5</v>
      </c>
    </row>
    <row r="519" spans="1:9" x14ac:dyDescent="0.2">
      <c r="A519" t="s">
        <v>285</v>
      </c>
      <c r="B519">
        <v>2022</v>
      </c>
      <c r="C519" t="s">
        <v>1054</v>
      </c>
      <c r="D519" s="241">
        <v>1220080.75</v>
      </c>
      <c r="E519">
        <v>804655</v>
      </c>
      <c r="F519">
        <v>516947.03125</v>
      </c>
      <c r="G519">
        <v>332157</v>
      </c>
      <c r="H519">
        <v>202840.984375</v>
      </c>
      <c r="I519">
        <v>7040748.5</v>
      </c>
    </row>
    <row r="520" spans="1:9" x14ac:dyDescent="0.2">
      <c r="A520" t="s">
        <v>285</v>
      </c>
      <c r="B520">
        <v>2023</v>
      </c>
      <c r="C520" t="s">
        <v>1055</v>
      </c>
      <c r="D520" s="241">
        <v>1287439.875</v>
      </c>
      <c r="E520">
        <v>852252</v>
      </c>
      <c r="F520">
        <v>541117</v>
      </c>
      <c r="G520">
        <v>343396.96875</v>
      </c>
      <c r="H520">
        <v>209317</v>
      </c>
      <c r="I520">
        <v>7118656</v>
      </c>
    </row>
    <row r="521" spans="1:9" x14ac:dyDescent="0.2">
      <c r="A521" t="s">
        <v>285</v>
      </c>
      <c r="B521">
        <v>2024</v>
      </c>
      <c r="C521" t="s">
        <v>1056</v>
      </c>
      <c r="D521" s="241">
        <v>1357875.875</v>
      </c>
      <c r="E521">
        <v>903612</v>
      </c>
      <c r="F521">
        <v>568931</v>
      </c>
      <c r="G521">
        <v>356049</v>
      </c>
      <c r="H521">
        <v>215840</v>
      </c>
      <c r="I521">
        <v>7193917</v>
      </c>
    </row>
    <row r="522" spans="1:9" x14ac:dyDescent="0.2">
      <c r="A522" t="s">
        <v>237</v>
      </c>
      <c r="B522">
        <v>2020</v>
      </c>
      <c r="C522" t="s">
        <v>1057</v>
      </c>
      <c r="D522" s="241">
        <v>50702.0078125</v>
      </c>
      <c r="E522">
        <v>38345.00390625</v>
      </c>
      <c r="F522">
        <v>27327.001953125</v>
      </c>
      <c r="G522">
        <v>18910</v>
      </c>
      <c r="H522">
        <v>12771.9990234375</v>
      </c>
      <c r="I522">
        <v>183629.015625</v>
      </c>
    </row>
    <row r="523" spans="1:9" x14ac:dyDescent="0.2">
      <c r="A523" t="s">
        <v>237</v>
      </c>
      <c r="B523">
        <v>2021</v>
      </c>
      <c r="C523" t="s">
        <v>1058</v>
      </c>
      <c r="D523" s="241">
        <v>52059</v>
      </c>
      <c r="E523">
        <v>39668</v>
      </c>
      <c r="F523">
        <v>28369.001953125</v>
      </c>
      <c r="G523">
        <v>19516</v>
      </c>
      <c r="H523">
        <v>13107</v>
      </c>
      <c r="I523">
        <v>184401</v>
      </c>
    </row>
    <row r="524" spans="1:9" x14ac:dyDescent="0.2">
      <c r="A524" t="s">
        <v>237</v>
      </c>
      <c r="B524">
        <v>2022</v>
      </c>
      <c r="C524" t="s">
        <v>1059</v>
      </c>
      <c r="D524" s="241">
        <v>53385.00390625</v>
      </c>
      <c r="E524">
        <v>40993</v>
      </c>
      <c r="F524">
        <v>29477.001953125</v>
      </c>
      <c r="G524">
        <v>20179</v>
      </c>
      <c r="H524">
        <v>13445</v>
      </c>
      <c r="I524">
        <v>185112.015625</v>
      </c>
    </row>
    <row r="525" spans="1:9" x14ac:dyDescent="0.2">
      <c r="A525" t="s">
        <v>237</v>
      </c>
      <c r="B525">
        <v>2023</v>
      </c>
      <c r="C525" t="s">
        <v>1060</v>
      </c>
      <c r="D525" s="241">
        <v>54671.99609375</v>
      </c>
      <c r="E525">
        <v>42302</v>
      </c>
      <c r="F525">
        <v>30625</v>
      </c>
      <c r="G525">
        <v>20893.998046875</v>
      </c>
      <c r="H525">
        <v>13796</v>
      </c>
      <c r="I525">
        <v>185771.015625</v>
      </c>
    </row>
    <row r="526" spans="1:9" x14ac:dyDescent="0.2">
      <c r="A526" t="s">
        <v>237</v>
      </c>
      <c r="B526">
        <v>2024</v>
      </c>
      <c r="C526" t="s">
        <v>1061</v>
      </c>
      <c r="D526" s="241">
        <v>55948</v>
      </c>
      <c r="E526">
        <v>43604</v>
      </c>
      <c r="F526">
        <v>31812.001953125</v>
      </c>
      <c r="G526">
        <v>21692</v>
      </c>
      <c r="H526">
        <v>14202.0009765625</v>
      </c>
      <c r="I526">
        <v>186379.015625</v>
      </c>
    </row>
    <row r="527" spans="1:9" x14ac:dyDescent="0.2">
      <c r="A527" t="s">
        <v>427</v>
      </c>
      <c r="B527">
        <v>2020</v>
      </c>
      <c r="C527" t="s">
        <v>1062</v>
      </c>
      <c r="D527" s="241">
        <v>6074011.5</v>
      </c>
      <c r="E527">
        <v>4756736.5</v>
      </c>
      <c r="F527">
        <v>3519194</v>
      </c>
      <c r="G527">
        <v>2405322</v>
      </c>
      <c r="H527">
        <v>1505997.75</v>
      </c>
      <c r="I527">
        <v>21413246</v>
      </c>
    </row>
    <row r="528" spans="1:9" x14ac:dyDescent="0.2">
      <c r="A528" t="s">
        <v>427</v>
      </c>
      <c r="B528">
        <v>2021</v>
      </c>
      <c r="C528" t="s">
        <v>1063</v>
      </c>
      <c r="D528" s="241">
        <v>6199239.5</v>
      </c>
      <c r="E528">
        <v>4880648</v>
      </c>
      <c r="F528">
        <v>3633147.25</v>
      </c>
      <c r="G528">
        <v>2500883</v>
      </c>
      <c r="H528">
        <v>1582389</v>
      </c>
      <c r="I528">
        <v>21497304</v>
      </c>
    </row>
    <row r="529" spans="1:9" x14ac:dyDescent="0.2">
      <c r="A529" t="s">
        <v>427</v>
      </c>
      <c r="B529">
        <v>2022</v>
      </c>
      <c r="C529" t="s">
        <v>1064</v>
      </c>
      <c r="D529" s="241">
        <v>6324903</v>
      </c>
      <c r="E529">
        <v>5007599.5</v>
      </c>
      <c r="F529">
        <v>3748610</v>
      </c>
      <c r="G529">
        <v>2600535.25</v>
      </c>
      <c r="H529">
        <v>1654886.125</v>
      </c>
      <c r="I529">
        <v>21575844</v>
      </c>
    </row>
    <row r="530" spans="1:9" x14ac:dyDescent="0.2">
      <c r="A530" t="s">
        <v>427</v>
      </c>
      <c r="B530">
        <v>2023</v>
      </c>
      <c r="C530" t="s">
        <v>1065</v>
      </c>
      <c r="D530" s="241">
        <v>6453487</v>
      </c>
      <c r="E530">
        <v>5136044.5</v>
      </c>
      <c r="F530">
        <v>3865429.75</v>
      </c>
      <c r="G530">
        <v>2703392.75</v>
      </c>
      <c r="H530">
        <v>1725596.125</v>
      </c>
      <c r="I530">
        <v>21648988</v>
      </c>
    </row>
    <row r="531" spans="1:9" x14ac:dyDescent="0.2">
      <c r="A531" t="s">
        <v>427</v>
      </c>
      <c r="B531">
        <v>2024</v>
      </c>
      <c r="C531" t="s">
        <v>1066</v>
      </c>
      <c r="D531" s="241">
        <v>6588411.5</v>
      </c>
      <c r="E531">
        <v>5263417.5</v>
      </c>
      <c r="F531">
        <v>3983009</v>
      </c>
      <c r="G531">
        <v>2807331.75</v>
      </c>
      <c r="H531">
        <v>1797721</v>
      </c>
      <c r="I531">
        <v>21716872</v>
      </c>
    </row>
    <row r="532" spans="1:9" x14ac:dyDescent="0.2">
      <c r="A532" t="s">
        <v>140</v>
      </c>
      <c r="B532">
        <v>2020</v>
      </c>
      <c r="C532" t="s">
        <v>1067</v>
      </c>
      <c r="D532" s="241">
        <v>301959</v>
      </c>
      <c r="E532">
        <v>227260</v>
      </c>
      <c r="F532">
        <v>161188</v>
      </c>
      <c r="G532">
        <v>106018.0078125</v>
      </c>
      <c r="H532">
        <v>64375</v>
      </c>
      <c r="I532">
        <v>2142252.25</v>
      </c>
    </row>
    <row r="533" spans="1:9" x14ac:dyDescent="0.2">
      <c r="A533" t="s">
        <v>140</v>
      </c>
      <c r="B533">
        <v>2021</v>
      </c>
      <c r="C533" t="s">
        <v>1068</v>
      </c>
      <c r="D533" s="241">
        <v>306516</v>
      </c>
      <c r="E533">
        <v>230570.984375</v>
      </c>
      <c r="F533">
        <v>164277.984375</v>
      </c>
      <c r="G533">
        <v>108410</v>
      </c>
      <c r="H533">
        <v>65882</v>
      </c>
      <c r="I533">
        <v>2159067</v>
      </c>
    </row>
    <row r="534" spans="1:9" x14ac:dyDescent="0.2">
      <c r="A534" t="s">
        <v>140</v>
      </c>
      <c r="B534">
        <v>2022</v>
      </c>
      <c r="C534" t="s">
        <v>1069</v>
      </c>
      <c r="D534" s="241">
        <v>311723.96875</v>
      </c>
      <c r="E534">
        <v>234033.984375</v>
      </c>
      <c r="F534">
        <v>167417.984375</v>
      </c>
      <c r="G534">
        <v>110821.0078125</v>
      </c>
      <c r="H534">
        <v>67264.0078125</v>
      </c>
      <c r="I534">
        <v>2175694.5</v>
      </c>
    </row>
    <row r="535" spans="1:9" x14ac:dyDescent="0.2">
      <c r="A535" t="s">
        <v>140</v>
      </c>
      <c r="B535">
        <v>2023</v>
      </c>
      <c r="C535" t="s">
        <v>1070</v>
      </c>
      <c r="D535" s="241">
        <v>317689.03125</v>
      </c>
      <c r="E535">
        <v>237713.984375</v>
      </c>
      <c r="F535">
        <v>170545.984375</v>
      </c>
      <c r="G535">
        <v>113197.015625</v>
      </c>
      <c r="H535">
        <v>68536</v>
      </c>
      <c r="I535">
        <v>2192400.5</v>
      </c>
    </row>
    <row r="536" spans="1:9" x14ac:dyDescent="0.2">
      <c r="A536" t="s">
        <v>140</v>
      </c>
      <c r="B536">
        <v>2024</v>
      </c>
      <c r="C536" t="s">
        <v>1071</v>
      </c>
      <c r="D536" s="241">
        <v>324515.03125</v>
      </c>
      <c r="E536">
        <v>241676.015625</v>
      </c>
      <c r="F536">
        <v>173584</v>
      </c>
      <c r="G536">
        <v>115481.9921875</v>
      </c>
      <c r="H536">
        <v>69736</v>
      </c>
      <c r="I536">
        <v>2209599</v>
      </c>
    </row>
    <row r="537" spans="1:9" x14ac:dyDescent="0.2">
      <c r="A537" t="s">
        <v>369</v>
      </c>
      <c r="B537">
        <v>2020</v>
      </c>
      <c r="C537" t="s">
        <v>1072</v>
      </c>
      <c r="D537" s="241">
        <v>1168423.125</v>
      </c>
      <c r="E537">
        <v>983569</v>
      </c>
      <c r="F537">
        <v>747865</v>
      </c>
      <c r="G537">
        <v>561282</v>
      </c>
      <c r="H537">
        <v>395054</v>
      </c>
      <c r="I537">
        <v>2722291</v>
      </c>
    </row>
    <row r="538" spans="1:9" x14ac:dyDescent="0.2">
      <c r="A538" t="s">
        <v>369</v>
      </c>
      <c r="B538">
        <v>2021</v>
      </c>
      <c r="C538" t="s">
        <v>1073</v>
      </c>
      <c r="D538" s="241">
        <v>1168947.125</v>
      </c>
      <c r="E538">
        <v>988706</v>
      </c>
      <c r="F538">
        <v>760265</v>
      </c>
      <c r="G538">
        <v>567669</v>
      </c>
      <c r="H538">
        <v>398877</v>
      </c>
      <c r="I538">
        <v>2689861.75</v>
      </c>
    </row>
    <row r="539" spans="1:9" x14ac:dyDescent="0.2">
      <c r="A539" t="s">
        <v>369</v>
      </c>
      <c r="B539">
        <v>2022</v>
      </c>
      <c r="C539" t="s">
        <v>1074</v>
      </c>
      <c r="D539" s="241">
        <v>1170656.125</v>
      </c>
      <c r="E539">
        <v>989457</v>
      </c>
      <c r="F539">
        <v>774834.0625</v>
      </c>
      <c r="G539">
        <v>572440</v>
      </c>
      <c r="H539">
        <v>404550</v>
      </c>
      <c r="I539">
        <v>2661703.75</v>
      </c>
    </row>
    <row r="540" spans="1:9" x14ac:dyDescent="0.2">
      <c r="A540" t="s">
        <v>369</v>
      </c>
      <c r="B540">
        <v>2023</v>
      </c>
      <c r="C540" t="s">
        <v>1075</v>
      </c>
      <c r="D540" s="241">
        <v>1173381</v>
      </c>
      <c r="E540">
        <v>988198.0625</v>
      </c>
      <c r="F540">
        <v>790251.0625</v>
      </c>
      <c r="G540">
        <v>577225.0625</v>
      </c>
      <c r="H540">
        <v>411425.03125</v>
      </c>
      <c r="I540">
        <v>2636852.25</v>
      </c>
    </row>
    <row r="541" spans="1:9" x14ac:dyDescent="0.2">
      <c r="A541" t="s">
        <v>369</v>
      </c>
      <c r="B541">
        <v>2024</v>
      </c>
      <c r="C541" t="s">
        <v>1076</v>
      </c>
      <c r="D541" s="241">
        <v>1175960</v>
      </c>
      <c r="E541">
        <v>987977.9375</v>
      </c>
      <c r="F541">
        <v>804011</v>
      </c>
      <c r="G541">
        <v>584133</v>
      </c>
      <c r="H541">
        <v>418262.96875</v>
      </c>
      <c r="I541">
        <v>2613766</v>
      </c>
    </row>
    <row r="542" spans="1:9" x14ac:dyDescent="0.2">
      <c r="A542" t="s">
        <v>371</v>
      </c>
      <c r="B542">
        <v>2020</v>
      </c>
      <c r="C542" t="s">
        <v>1077</v>
      </c>
      <c r="D542" s="241">
        <v>215719.984375</v>
      </c>
      <c r="E542">
        <v>167536.984375</v>
      </c>
      <c r="F542">
        <v>124864</v>
      </c>
      <c r="G542">
        <v>90083</v>
      </c>
      <c r="H542">
        <v>62741</v>
      </c>
      <c r="I542">
        <v>625975.9375</v>
      </c>
    </row>
    <row r="543" spans="1:9" x14ac:dyDescent="0.2">
      <c r="A543" t="s">
        <v>371</v>
      </c>
      <c r="B543">
        <v>2021</v>
      </c>
      <c r="C543" t="s">
        <v>1078</v>
      </c>
      <c r="D543" s="241">
        <v>221558.015625</v>
      </c>
      <c r="E543">
        <v>173038.015625</v>
      </c>
      <c r="F543">
        <v>129137.0078125</v>
      </c>
      <c r="G543">
        <v>92979.0078125</v>
      </c>
      <c r="H543">
        <v>64624</v>
      </c>
      <c r="I543">
        <v>634813.875</v>
      </c>
    </row>
    <row r="544" spans="1:9" x14ac:dyDescent="0.2">
      <c r="A544" t="s">
        <v>371</v>
      </c>
      <c r="B544">
        <v>2022</v>
      </c>
      <c r="C544" t="s">
        <v>1079</v>
      </c>
      <c r="D544" s="241">
        <v>226790.015625</v>
      </c>
      <c r="E544">
        <v>178268</v>
      </c>
      <c r="F544">
        <v>133288.015625</v>
      </c>
      <c r="G544">
        <v>95827.0078125</v>
      </c>
      <c r="H544">
        <v>66383</v>
      </c>
      <c r="I544">
        <v>642367</v>
      </c>
    </row>
    <row r="545" spans="1:9" x14ac:dyDescent="0.2">
      <c r="A545" t="s">
        <v>371</v>
      </c>
      <c r="B545">
        <v>2023</v>
      </c>
      <c r="C545" t="s">
        <v>1080</v>
      </c>
      <c r="D545" s="241">
        <v>231543</v>
      </c>
      <c r="E545">
        <v>183269.984375</v>
      </c>
      <c r="F545">
        <v>137391</v>
      </c>
      <c r="G545">
        <v>98699</v>
      </c>
      <c r="H545">
        <v>68112</v>
      </c>
      <c r="I545">
        <v>648973</v>
      </c>
    </row>
    <row r="546" spans="1:9" x14ac:dyDescent="0.2">
      <c r="A546" t="s">
        <v>371</v>
      </c>
      <c r="B546">
        <v>2024</v>
      </c>
      <c r="C546" t="s">
        <v>1081</v>
      </c>
      <c r="D546" s="241">
        <v>236031</v>
      </c>
      <c r="E546">
        <v>188116.015625</v>
      </c>
      <c r="F546">
        <v>141568.015625</v>
      </c>
      <c r="G546">
        <v>101706</v>
      </c>
      <c r="H546">
        <v>69947</v>
      </c>
      <c r="I546">
        <v>655111</v>
      </c>
    </row>
    <row r="547" spans="1:9" x14ac:dyDescent="0.2">
      <c r="A547" t="s">
        <v>373</v>
      </c>
      <c r="B547">
        <v>2020</v>
      </c>
      <c r="C547" t="s">
        <v>1082</v>
      </c>
      <c r="D547" s="241">
        <v>784377</v>
      </c>
      <c r="E547">
        <v>665200</v>
      </c>
      <c r="F547">
        <v>520135</v>
      </c>
      <c r="G547">
        <v>390203.96875</v>
      </c>
      <c r="H547">
        <v>269991</v>
      </c>
      <c r="I547">
        <v>1886201.75</v>
      </c>
    </row>
    <row r="548" spans="1:9" x14ac:dyDescent="0.2">
      <c r="A548" t="s">
        <v>373</v>
      </c>
      <c r="B548">
        <v>2021</v>
      </c>
      <c r="C548" t="s">
        <v>1083</v>
      </c>
      <c r="D548" s="241">
        <v>780032</v>
      </c>
      <c r="E548">
        <v>662551.9375</v>
      </c>
      <c r="F548">
        <v>523104.96875</v>
      </c>
      <c r="G548">
        <v>392985</v>
      </c>
      <c r="H548">
        <v>271362.96875</v>
      </c>
      <c r="I548">
        <v>1866934</v>
      </c>
    </row>
    <row r="549" spans="1:9" x14ac:dyDescent="0.2">
      <c r="A549" t="s">
        <v>373</v>
      </c>
      <c r="B549">
        <v>2022</v>
      </c>
      <c r="C549" t="s">
        <v>1084</v>
      </c>
      <c r="D549" s="241">
        <v>780209.0625</v>
      </c>
      <c r="E549">
        <v>660563.0625</v>
      </c>
      <c r="F549">
        <v>528801.9375</v>
      </c>
      <c r="G549">
        <v>396280</v>
      </c>
      <c r="H549">
        <v>275455.03125</v>
      </c>
      <c r="I549">
        <v>1848833.75</v>
      </c>
    </row>
    <row r="550" spans="1:9" x14ac:dyDescent="0.2">
      <c r="A550" t="s">
        <v>373</v>
      </c>
      <c r="B550">
        <v>2023</v>
      </c>
      <c r="C550" t="s">
        <v>1085</v>
      </c>
      <c r="D550" s="241">
        <v>782922</v>
      </c>
      <c r="E550">
        <v>659041</v>
      </c>
      <c r="F550">
        <v>535597.0625</v>
      </c>
      <c r="G550">
        <v>399982</v>
      </c>
      <c r="H550">
        <v>281030.96875</v>
      </c>
      <c r="I550">
        <v>1831650</v>
      </c>
    </row>
    <row r="551" spans="1:9" x14ac:dyDescent="0.2">
      <c r="A551" t="s">
        <v>373</v>
      </c>
      <c r="B551">
        <v>2024</v>
      </c>
      <c r="C551" t="s">
        <v>1086</v>
      </c>
      <c r="D551" s="241">
        <v>784955.875</v>
      </c>
      <c r="E551">
        <v>657650.875</v>
      </c>
      <c r="F551">
        <v>540827.9375</v>
      </c>
      <c r="G551">
        <v>403841.96875</v>
      </c>
      <c r="H551">
        <v>286169.96875</v>
      </c>
      <c r="I551">
        <v>1815001</v>
      </c>
    </row>
    <row r="552" spans="1:9" x14ac:dyDescent="0.2">
      <c r="A552" t="s">
        <v>511</v>
      </c>
      <c r="B552">
        <v>2020</v>
      </c>
      <c r="C552" t="s">
        <v>1087</v>
      </c>
      <c r="D552" s="241">
        <v>222155</v>
      </c>
      <c r="E552">
        <v>175226.984375</v>
      </c>
      <c r="F552">
        <v>122540</v>
      </c>
      <c r="G552">
        <v>77737.0078125</v>
      </c>
      <c r="H552">
        <v>43546</v>
      </c>
      <c r="I552">
        <v>649341.9375</v>
      </c>
    </row>
    <row r="553" spans="1:9" x14ac:dyDescent="0.2">
      <c r="A553" t="s">
        <v>511</v>
      </c>
      <c r="B553">
        <v>2021</v>
      </c>
      <c r="C553" t="s">
        <v>1088</v>
      </c>
      <c r="D553" s="241">
        <v>229670.015625</v>
      </c>
      <c r="E553">
        <v>182745</v>
      </c>
      <c r="F553">
        <v>130514.0078125</v>
      </c>
      <c r="G553">
        <v>83817.0078125</v>
      </c>
      <c r="H553">
        <v>47500.9921875</v>
      </c>
      <c r="I553">
        <v>658391</v>
      </c>
    </row>
    <row r="554" spans="1:9" x14ac:dyDescent="0.2">
      <c r="A554" t="s">
        <v>511</v>
      </c>
      <c r="B554">
        <v>2022</v>
      </c>
      <c r="C554" t="s">
        <v>1089</v>
      </c>
      <c r="D554" s="241">
        <v>237457</v>
      </c>
      <c r="E554">
        <v>189670.015625</v>
      </c>
      <c r="F554">
        <v>138801</v>
      </c>
      <c r="G554">
        <v>90113.0078125</v>
      </c>
      <c r="H554">
        <v>51877</v>
      </c>
      <c r="I554">
        <v>667492</v>
      </c>
    </row>
    <row r="555" spans="1:9" x14ac:dyDescent="0.2">
      <c r="A555" t="s">
        <v>511</v>
      </c>
      <c r="B555">
        <v>2023</v>
      </c>
      <c r="C555" t="s">
        <v>1090</v>
      </c>
      <c r="D555" s="241">
        <v>245308</v>
      </c>
      <c r="E555">
        <v>196271.984375</v>
      </c>
      <c r="F555">
        <v>147192</v>
      </c>
      <c r="G555">
        <v>96684</v>
      </c>
      <c r="H555">
        <v>56654</v>
      </c>
      <c r="I555">
        <v>676537.0625</v>
      </c>
    </row>
    <row r="556" spans="1:9" x14ac:dyDescent="0.2">
      <c r="A556" t="s">
        <v>511</v>
      </c>
      <c r="B556">
        <v>2024</v>
      </c>
      <c r="C556" t="s">
        <v>1091</v>
      </c>
      <c r="D556" s="241">
        <v>252828</v>
      </c>
      <c r="E556">
        <v>202968.015625</v>
      </c>
      <c r="F556">
        <v>155357</v>
      </c>
      <c r="G556">
        <v>103629</v>
      </c>
      <c r="H556">
        <v>61794.00390625</v>
      </c>
      <c r="I556">
        <v>685379.125</v>
      </c>
    </row>
    <row r="557" spans="1:9" x14ac:dyDescent="0.2">
      <c r="A557" t="s">
        <v>287</v>
      </c>
      <c r="B557">
        <v>2020</v>
      </c>
      <c r="C557" t="s">
        <v>1092</v>
      </c>
      <c r="D557" s="241">
        <v>8118681</v>
      </c>
      <c r="E557">
        <v>6194116.5</v>
      </c>
      <c r="F557">
        <v>4374897.5</v>
      </c>
      <c r="G557">
        <v>2807659</v>
      </c>
      <c r="H557">
        <v>1639878</v>
      </c>
      <c r="I557">
        <v>36910564</v>
      </c>
    </row>
    <row r="558" spans="1:9" x14ac:dyDescent="0.2">
      <c r="A558" t="s">
        <v>287</v>
      </c>
      <c r="B558">
        <v>2021</v>
      </c>
      <c r="C558" t="s">
        <v>1093</v>
      </c>
      <c r="D558" s="241">
        <v>8364883</v>
      </c>
      <c r="E558">
        <v>6419857.5</v>
      </c>
      <c r="F558">
        <v>4579716.5</v>
      </c>
      <c r="G558">
        <v>2961439.25</v>
      </c>
      <c r="H558">
        <v>1719777.875</v>
      </c>
      <c r="I558">
        <v>37344784</v>
      </c>
    </row>
    <row r="559" spans="1:9" x14ac:dyDescent="0.2">
      <c r="A559" t="s">
        <v>287</v>
      </c>
      <c r="B559">
        <v>2022</v>
      </c>
      <c r="C559" t="s">
        <v>1094</v>
      </c>
      <c r="D559" s="241">
        <v>8607199</v>
      </c>
      <c r="E559">
        <v>6638547</v>
      </c>
      <c r="F559">
        <v>4785318</v>
      </c>
      <c r="G559">
        <v>3121201</v>
      </c>
      <c r="H559">
        <v>1811907</v>
      </c>
      <c r="I559">
        <v>37772760</v>
      </c>
    </row>
    <row r="560" spans="1:9" x14ac:dyDescent="0.2">
      <c r="A560" t="s">
        <v>287</v>
      </c>
      <c r="B560">
        <v>2023</v>
      </c>
      <c r="C560" t="s">
        <v>1095</v>
      </c>
      <c r="D560" s="241">
        <v>8850070</v>
      </c>
      <c r="E560">
        <v>6854071</v>
      </c>
      <c r="F560">
        <v>4991786.5</v>
      </c>
      <c r="G560">
        <v>3287499.25</v>
      </c>
      <c r="H560">
        <v>1915323</v>
      </c>
      <c r="I560">
        <v>38193552</v>
      </c>
    </row>
    <row r="561" spans="1:9" x14ac:dyDescent="0.2">
      <c r="A561" t="s">
        <v>287</v>
      </c>
      <c r="B561">
        <v>2024</v>
      </c>
      <c r="C561" t="s">
        <v>1096</v>
      </c>
      <c r="D561" s="241">
        <v>9100491</v>
      </c>
      <c r="E561">
        <v>7073033</v>
      </c>
      <c r="F561">
        <v>5200013.5</v>
      </c>
      <c r="G561">
        <v>3461373</v>
      </c>
      <c r="H561">
        <v>2028713.875</v>
      </c>
      <c r="I561">
        <v>38606160</v>
      </c>
    </row>
    <row r="562" spans="1:9" x14ac:dyDescent="0.2">
      <c r="A562" t="s">
        <v>377</v>
      </c>
      <c r="B562">
        <v>2020</v>
      </c>
      <c r="C562" t="s">
        <v>1097</v>
      </c>
      <c r="D562" s="241">
        <v>1283102</v>
      </c>
      <c r="E562">
        <v>1048638</v>
      </c>
      <c r="F562">
        <v>762087</v>
      </c>
      <c r="G562">
        <v>503962.03125</v>
      </c>
      <c r="H562">
        <v>273798</v>
      </c>
      <c r="I562">
        <v>4033963</v>
      </c>
    </row>
    <row r="563" spans="1:9" x14ac:dyDescent="0.2">
      <c r="A563" t="s">
        <v>377</v>
      </c>
      <c r="B563">
        <v>2021</v>
      </c>
      <c r="C563" t="s">
        <v>1098</v>
      </c>
      <c r="D563" s="241">
        <v>1289835</v>
      </c>
      <c r="E563">
        <v>1059052</v>
      </c>
      <c r="F563">
        <v>782938</v>
      </c>
      <c r="G563">
        <v>524021.96875</v>
      </c>
      <c r="H563">
        <v>287573</v>
      </c>
      <c r="I563">
        <v>4024025</v>
      </c>
    </row>
    <row r="564" spans="1:9" x14ac:dyDescent="0.2">
      <c r="A564" t="s">
        <v>377</v>
      </c>
      <c r="B564">
        <v>2022</v>
      </c>
      <c r="C564" t="s">
        <v>1099</v>
      </c>
      <c r="D564" s="241">
        <v>1297115</v>
      </c>
      <c r="E564">
        <v>1064393.125</v>
      </c>
      <c r="F564">
        <v>803573</v>
      </c>
      <c r="G564">
        <v>540993.9375</v>
      </c>
      <c r="H564">
        <v>305057.96875</v>
      </c>
      <c r="I564">
        <v>4013178</v>
      </c>
    </row>
    <row r="565" spans="1:9" x14ac:dyDescent="0.2">
      <c r="A565" t="s">
        <v>377</v>
      </c>
      <c r="B565">
        <v>2023</v>
      </c>
      <c r="C565" t="s">
        <v>1100</v>
      </c>
      <c r="D565" s="241">
        <v>1305206</v>
      </c>
      <c r="E565">
        <v>1066643</v>
      </c>
      <c r="F565">
        <v>822699.0625</v>
      </c>
      <c r="G565">
        <v>555984</v>
      </c>
      <c r="H565">
        <v>324233.96875</v>
      </c>
      <c r="I565">
        <v>4001345</v>
      </c>
    </row>
    <row r="566" spans="1:9" x14ac:dyDescent="0.2">
      <c r="A566" t="s">
        <v>377</v>
      </c>
      <c r="B566">
        <v>2024</v>
      </c>
      <c r="C566" t="s">
        <v>1101</v>
      </c>
      <c r="D566" s="241">
        <v>1314101.125</v>
      </c>
      <c r="E566">
        <v>1068555</v>
      </c>
      <c r="F566">
        <v>838283</v>
      </c>
      <c r="G566">
        <v>570679</v>
      </c>
      <c r="H566">
        <v>342287</v>
      </c>
      <c r="I566">
        <v>3988406.25</v>
      </c>
    </row>
    <row r="567" spans="1:9" x14ac:dyDescent="0.2">
      <c r="A567" t="s">
        <v>142</v>
      </c>
      <c r="B567">
        <v>2020</v>
      </c>
      <c r="C567" t="s">
        <v>1102</v>
      </c>
      <c r="D567" s="241">
        <v>2927652</v>
      </c>
      <c r="E567">
        <v>2069185</v>
      </c>
      <c r="F567">
        <v>1387887.25</v>
      </c>
      <c r="G567">
        <v>858611.9375</v>
      </c>
      <c r="H567">
        <v>472679.03125</v>
      </c>
      <c r="I567">
        <v>27691020</v>
      </c>
    </row>
    <row r="568" spans="1:9" x14ac:dyDescent="0.2">
      <c r="A568" t="s">
        <v>142</v>
      </c>
      <c r="B568">
        <v>2021</v>
      </c>
      <c r="C568" t="s">
        <v>1103</v>
      </c>
      <c r="D568" s="241">
        <v>3039905</v>
      </c>
      <c r="E568">
        <v>2149952.25</v>
      </c>
      <c r="F568">
        <v>1445607</v>
      </c>
      <c r="G568">
        <v>899371</v>
      </c>
      <c r="H568">
        <v>497055.03125</v>
      </c>
      <c r="I568">
        <v>28427336</v>
      </c>
    </row>
    <row r="569" spans="1:9" x14ac:dyDescent="0.2">
      <c r="A569" t="s">
        <v>142</v>
      </c>
      <c r="B569">
        <v>2022</v>
      </c>
      <c r="C569" t="s">
        <v>1104</v>
      </c>
      <c r="D569" s="241">
        <v>3158830</v>
      </c>
      <c r="E569">
        <v>2235138</v>
      </c>
      <c r="F569">
        <v>1505813</v>
      </c>
      <c r="G569">
        <v>940861.875</v>
      </c>
      <c r="H569">
        <v>523272.875</v>
      </c>
      <c r="I569">
        <v>29178074</v>
      </c>
    </row>
    <row r="570" spans="1:9" x14ac:dyDescent="0.2">
      <c r="A570" t="s">
        <v>142</v>
      </c>
      <c r="B570">
        <v>2023</v>
      </c>
      <c r="C570" t="s">
        <v>1105</v>
      </c>
      <c r="D570" s="241">
        <v>3284381</v>
      </c>
      <c r="E570">
        <v>2324975</v>
      </c>
      <c r="F570">
        <v>1568764</v>
      </c>
      <c r="G570">
        <v>983365</v>
      </c>
      <c r="H570">
        <v>550586</v>
      </c>
      <c r="I570">
        <v>29942590</v>
      </c>
    </row>
    <row r="571" spans="1:9" x14ac:dyDescent="0.2">
      <c r="A571" t="s">
        <v>142</v>
      </c>
      <c r="B571">
        <v>2024</v>
      </c>
      <c r="C571" t="s">
        <v>1106</v>
      </c>
      <c r="D571" s="241">
        <v>3416424</v>
      </c>
      <c r="E571">
        <v>2419661.25</v>
      </c>
      <c r="F571">
        <v>1634609.875</v>
      </c>
      <c r="G571">
        <v>1027152</v>
      </c>
      <c r="H571">
        <v>578057</v>
      </c>
      <c r="I571">
        <v>30720118</v>
      </c>
    </row>
    <row r="572" spans="1:9" x14ac:dyDescent="0.2">
      <c r="A572" t="s">
        <v>429</v>
      </c>
      <c r="B572">
        <v>2020</v>
      </c>
      <c r="C572" t="s">
        <v>1107</v>
      </c>
      <c r="D572" s="241">
        <v>66343.0078125</v>
      </c>
      <c r="E572">
        <v>46313.00390625</v>
      </c>
      <c r="F572">
        <v>31027</v>
      </c>
      <c r="G572">
        <v>19419.998046875</v>
      </c>
      <c r="H572">
        <v>12862.9990234375</v>
      </c>
      <c r="I572">
        <v>540542</v>
      </c>
    </row>
    <row r="573" spans="1:9" x14ac:dyDescent="0.2">
      <c r="A573" t="s">
        <v>429</v>
      </c>
      <c r="B573">
        <v>2021</v>
      </c>
      <c r="C573" t="s">
        <v>1108</v>
      </c>
      <c r="D573" s="241">
        <v>70720</v>
      </c>
      <c r="E573">
        <v>49205.99609375</v>
      </c>
      <c r="F573">
        <v>33059</v>
      </c>
      <c r="G573">
        <v>20595.001953125</v>
      </c>
      <c r="H573">
        <v>13230.0009765625</v>
      </c>
      <c r="I573">
        <v>543620.125</v>
      </c>
    </row>
    <row r="574" spans="1:9" x14ac:dyDescent="0.2">
      <c r="A574" t="s">
        <v>429</v>
      </c>
      <c r="B574">
        <v>2022</v>
      </c>
      <c r="C574" t="s">
        <v>1109</v>
      </c>
      <c r="D574" s="241">
        <v>74877</v>
      </c>
      <c r="E574">
        <v>51866.9921875</v>
      </c>
      <c r="F574">
        <v>34934.99609375</v>
      </c>
      <c r="G574">
        <v>21807.001953125</v>
      </c>
      <c r="H574">
        <v>13516.0009765625</v>
      </c>
      <c r="I574">
        <v>540985.0625</v>
      </c>
    </row>
    <row r="575" spans="1:9" x14ac:dyDescent="0.2">
      <c r="A575" t="s">
        <v>429</v>
      </c>
      <c r="B575">
        <v>2023</v>
      </c>
      <c r="C575" t="s">
        <v>1110</v>
      </c>
      <c r="D575" s="241">
        <v>78891</v>
      </c>
      <c r="E575">
        <v>54431</v>
      </c>
      <c r="F575">
        <v>36735</v>
      </c>
      <c r="G575">
        <v>23060.99609375</v>
      </c>
      <c r="H575">
        <v>13803</v>
      </c>
      <c r="I575">
        <v>534669.0625</v>
      </c>
    </row>
    <row r="576" spans="1:9" x14ac:dyDescent="0.2">
      <c r="A576" t="s">
        <v>429</v>
      </c>
      <c r="B576">
        <v>2024</v>
      </c>
      <c r="C576" t="s">
        <v>1111</v>
      </c>
      <c r="D576" s="241">
        <v>83009</v>
      </c>
      <c r="E576">
        <v>57173</v>
      </c>
      <c r="F576">
        <v>38624</v>
      </c>
      <c r="G576">
        <v>24401</v>
      </c>
      <c r="H576">
        <v>14222</v>
      </c>
      <c r="I576">
        <v>527652</v>
      </c>
    </row>
    <row r="577" spans="1:9" x14ac:dyDescent="0.2">
      <c r="A577" t="s">
        <v>239</v>
      </c>
      <c r="B577">
        <v>2020</v>
      </c>
      <c r="C577" t="s">
        <v>1112</v>
      </c>
      <c r="D577" s="241">
        <v>27249660</v>
      </c>
      <c r="E577">
        <v>20324742</v>
      </c>
      <c r="F577">
        <v>14491685</v>
      </c>
      <c r="G577">
        <v>9822230</v>
      </c>
      <c r="H577">
        <v>6226731.5</v>
      </c>
      <c r="I577">
        <v>128932768</v>
      </c>
    </row>
    <row r="578" spans="1:9" x14ac:dyDescent="0.2">
      <c r="A578" t="s">
        <v>239</v>
      </c>
      <c r="B578">
        <v>2021</v>
      </c>
      <c r="C578" t="s">
        <v>1113</v>
      </c>
      <c r="D578" s="241">
        <v>28137186</v>
      </c>
      <c r="E578">
        <v>21027254</v>
      </c>
      <c r="F578">
        <v>15028720</v>
      </c>
      <c r="G578">
        <v>10203219</v>
      </c>
      <c r="H578">
        <v>6469605.5</v>
      </c>
      <c r="I578">
        <v>130262224</v>
      </c>
    </row>
    <row r="579" spans="1:9" x14ac:dyDescent="0.2">
      <c r="A579" t="s">
        <v>239</v>
      </c>
      <c r="B579">
        <v>2022</v>
      </c>
      <c r="C579" t="s">
        <v>1114</v>
      </c>
      <c r="D579" s="241">
        <v>29048016</v>
      </c>
      <c r="E579">
        <v>21742952</v>
      </c>
      <c r="F579">
        <v>15583716</v>
      </c>
      <c r="G579">
        <v>10592211</v>
      </c>
      <c r="H579">
        <v>6726841</v>
      </c>
      <c r="I579">
        <v>131562800</v>
      </c>
    </row>
    <row r="580" spans="1:9" x14ac:dyDescent="0.2">
      <c r="A580" t="s">
        <v>239</v>
      </c>
      <c r="B580">
        <v>2023</v>
      </c>
      <c r="C580" t="s">
        <v>1115</v>
      </c>
      <c r="D580" s="241">
        <v>29977022</v>
      </c>
      <c r="E580">
        <v>22478894</v>
      </c>
      <c r="F580">
        <v>16158910</v>
      </c>
      <c r="G580">
        <v>10994563</v>
      </c>
      <c r="H580">
        <v>6997813.5</v>
      </c>
      <c r="I580">
        <v>132833768</v>
      </c>
    </row>
    <row r="581" spans="1:9" x14ac:dyDescent="0.2">
      <c r="A581" t="s">
        <v>239</v>
      </c>
      <c r="B581">
        <v>2024</v>
      </c>
      <c r="C581" t="s">
        <v>1116</v>
      </c>
      <c r="D581" s="241">
        <v>30916978</v>
      </c>
      <c r="E581">
        <v>23245964</v>
      </c>
      <c r="F581">
        <v>16756990</v>
      </c>
      <c r="G581">
        <v>11417570</v>
      </c>
      <c r="H581">
        <v>7280866</v>
      </c>
      <c r="I581">
        <v>134074392</v>
      </c>
    </row>
    <row r="582" spans="1:9" x14ac:dyDescent="0.2">
      <c r="A582" t="s">
        <v>379</v>
      </c>
      <c r="B582">
        <v>2020</v>
      </c>
      <c r="C582" t="s">
        <v>1117</v>
      </c>
      <c r="D582" s="241">
        <v>713516</v>
      </c>
      <c r="E582">
        <v>568443</v>
      </c>
      <c r="F582">
        <v>430684</v>
      </c>
      <c r="G582">
        <v>301619.03125</v>
      </c>
      <c r="H582">
        <v>186038.015625</v>
      </c>
      <c r="I582">
        <v>2083380.125</v>
      </c>
    </row>
    <row r="583" spans="1:9" x14ac:dyDescent="0.2">
      <c r="A583" t="s">
        <v>379</v>
      </c>
      <c r="B583">
        <v>2021</v>
      </c>
      <c r="C583" t="s">
        <v>1118</v>
      </c>
      <c r="D583" s="241">
        <v>722407.0625</v>
      </c>
      <c r="E583">
        <v>577687.0625</v>
      </c>
      <c r="F583">
        <v>439416.96875</v>
      </c>
      <c r="G583">
        <v>310329.96875</v>
      </c>
      <c r="H583">
        <v>192730.015625</v>
      </c>
      <c r="I583">
        <v>2082661.875</v>
      </c>
    </row>
    <row r="584" spans="1:9" x14ac:dyDescent="0.2">
      <c r="A584" t="s">
        <v>379</v>
      </c>
      <c r="B584">
        <v>2022</v>
      </c>
      <c r="C584" t="s">
        <v>1119</v>
      </c>
      <c r="D584" s="241">
        <v>730625.0625</v>
      </c>
      <c r="E584">
        <v>586679</v>
      </c>
      <c r="F584">
        <v>447652.03125</v>
      </c>
      <c r="G584">
        <v>318367</v>
      </c>
      <c r="H584">
        <v>199931.984375</v>
      </c>
      <c r="I584">
        <v>2081304.75</v>
      </c>
    </row>
    <row r="585" spans="1:9" x14ac:dyDescent="0.2">
      <c r="A585" t="s">
        <v>379</v>
      </c>
      <c r="B585">
        <v>2023</v>
      </c>
      <c r="C585" t="s">
        <v>1120</v>
      </c>
      <c r="D585" s="241">
        <v>738449.0625</v>
      </c>
      <c r="E585">
        <v>595378.0625</v>
      </c>
      <c r="F585">
        <v>455531</v>
      </c>
      <c r="G585">
        <v>325859</v>
      </c>
      <c r="H585">
        <v>207333</v>
      </c>
      <c r="I585">
        <v>2079336.875</v>
      </c>
    </row>
    <row r="586" spans="1:9" x14ac:dyDescent="0.2">
      <c r="A586" t="s">
        <v>379</v>
      </c>
      <c r="B586">
        <v>2024</v>
      </c>
      <c r="C586" t="s">
        <v>1121</v>
      </c>
      <c r="D586" s="241">
        <v>746357.125</v>
      </c>
      <c r="E586">
        <v>603762.0625</v>
      </c>
      <c r="F586">
        <v>463298</v>
      </c>
      <c r="G586">
        <v>333056</v>
      </c>
      <c r="H586">
        <v>214479</v>
      </c>
      <c r="I586">
        <v>2076820.25</v>
      </c>
    </row>
    <row r="587" spans="1:9" x14ac:dyDescent="0.2">
      <c r="A587" t="s">
        <v>144</v>
      </c>
      <c r="B587">
        <v>2020</v>
      </c>
      <c r="C587" t="s">
        <v>1122</v>
      </c>
      <c r="D587" s="241">
        <v>1630819</v>
      </c>
      <c r="E587">
        <v>1141598</v>
      </c>
      <c r="F587">
        <v>781700.0625</v>
      </c>
      <c r="G587">
        <v>501641.96875</v>
      </c>
      <c r="H587">
        <v>280408.96875</v>
      </c>
      <c r="I587">
        <v>20250834</v>
      </c>
    </row>
    <row r="588" spans="1:9" x14ac:dyDescent="0.2">
      <c r="A588" t="s">
        <v>144</v>
      </c>
      <c r="B588">
        <v>2021</v>
      </c>
      <c r="C588" t="s">
        <v>1123</v>
      </c>
      <c r="D588" s="241">
        <v>1689821.125</v>
      </c>
      <c r="E588">
        <v>1175578.125</v>
      </c>
      <c r="F588">
        <v>800814.9375</v>
      </c>
      <c r="G588">
        <v>515331.96875</v>
      </c>
      <c r="H588">
        <v>290380</v>
      </c>
      <c r="I588">
        <v>20855722</v>
      </c>
    </row>
    <row r="589" spans="1:9" x14ac:dyDescent="0.2">
      <c r="A589" t="s">
        <v>144</v>
      </c>
      <c r="B589">
        <v>2022</v>
      </c>
      <c r="C589" t="s">
        <v>1124</v>
      </c>
      <c r="D589" s="241">
        <v>1754035.75</v>
      </c>
      <c r="E589">
        <v>1212788.875</v>
      </c>
      <c r="F589">
        <v>820696.125</v>
      </c>
      <c r="G589">
        <v>528115.0625</v>
      </c>
      <c r="H589">
        <v>300264.96875</v>
      </c>
      <c r="I589">
        <v>21473778</v>
      </c>
    </row>
    <row r="590" spans="1:9" x14ac:dyDescent="0.2">
      <c r="A590" t="s">
        <v>144</v>
      </c>
      <c r="B590">
        <v>2023</v>
      </c>
      <c r="C590" t="s">
        <v>1125</v>
      </c>
      <c r="D590" s="241">
        <v>1823245.125</v>
      </c>
      <c r="E590">
        <v>1253693</v>
      </c>
      <c r="F590">
        <v>841939</v>
      </c>
      <c r="G590">
        <v>540378.0625</v>
      </c>
      <c r="H590">
        <v>309578</v>
      </c>
      <c r="I590">
        <v>22105730</v>
      </c>
    </row>
    <row r="591" spans="1:9" x14ac:dyDescent="0.2">
      <c r="A591" t="s">
        <v>144</v>
      </c>
      <c r="B591">
        <v>2024</v>
      </c>
      <c r="C591" t="s">
        <v>1126</v>
      </c>
      <c r="D591" s="241">
        <v>1896992.125</v>
      </c>
      <c r="E591">
        <v>1298823</v>
      </c>
      <c r="F591">
        <v>865264</v>
      </c>
      <c r="G591">
        <v>552522.9375</v>
      </c>
      <c r="H591">
        <v>317630</v>
      </c>
      <c r="I591">
        <v>22752840</v>
      </c>
    </row>
    <row r="592" spans="1:9" x14ac:dyDescent="0.2">
      <c r="A592" t="s">
        <v>381</v>
      </c>
      <c r="B592">
        <v>2020</v>
      </c>
      <c r="C592" t="s">
        <v>1127</v>
      </c>
      <c r="D592" s="241">
        <v>177499</v>
      </c>
      <c r="E592">
        <v>152463</v>
      </c>
      <c r="F592">
        <v>124287</v>
      </c>
      <c r="G592">
        <v>94156</v>
      </c>
      <c r="H592">
        <v>66607</v>
      </c>
      <c r="I592">
        <v>441539.03125</v>
      </c>
    </row>
    <row r="593" spans="1:9" x14ac:dyDescent="0.2">
      <c r="A593" t="s">
        <v>381</v>
      </c>
      <c r="B593">
        <v>2021</v>
      </c>
      <c r="C593" t="s">
        <v>1128</v>
      </c>
      <c r="D593" s="241">
        <v>179093.015625</v>
      </c>
      <c r="E593">
        <v>153911.015625</v>
      </c>
      <c r="F593">
        <v>126562.9921875</v>
      </c>
      <c r="G593">
        <v>96585</v>
      </c>
      <c r="H593">
        <v>69036.9921875</v>
      </c>
      <c r="I593">
        <v>442789.96875</v>
      </c>
    </row>
    <row r="594" spans="1:9" x14ac:dyDescent="0.2">
      <c r="A594" t="s">
        <v>381</v>
      </c>
      <c r="B594">
        <v>2022</v>
      </c>
      <c r="C594" t="s">
        <v>1129</v>
      </c>
      <c r="D594" s="241">
        <v>180829.015625</v>
      </c>
      <c r="E594">
        <v>155102</v>
      </c>
      <c r="F594">
        <v>128670</v>
      </c>
      <c r="G594">
        <v>99076.0078125</v>
      </c>
      <c r="H594">
        <v>71132</v>
      </c>
      <c r="I594">
        <v>444030</v>
      </c>
    </row>
    <row r="595" spans="1:9" x14ac:dyDescent="0.2">
      <c r="A595" t="s">
        <v>381</v>
      </c>
      <c r="B595">
        <v>2023</v>
      </c>
      <c r="C595" t="s">
        <v>1130</v>
      </c>
      <c r="D595" s="241">
        <v>182712</v>
      </c>
      <c r="E595">
        <v>156171</v>
      </c>
      <c r="F595">
        <v>130600.0078125</v>
      </c>
      <c r="G595">
        <v>101574.9921875</v>
      </c>
      <c r="H595">
        <v>73042.9921875</v>
      </c>
      <c r="I595">
        <v>445228</v>
      </c>
    </row>
    <row r="596" spans="1:9" x14ac:dyDescent="0.2">
      <c r="A596" t="s">
        <v>381</v>
      </c>
      <c r="B596">
        <v>2024</v>
      </c>
      <c r="C596" t="s">
        <v>1131</v>
      </c>
      <c r="D596" s="241">
        <v>184705.984375</v>
      </c>
      <c r="E596">
        <v>157300.984375</v>
      </c>
      <c r="F596">
        <v>132331</v>
      </c>
      <c r="G596">
        <v>103986</v>
      </c>
      <c r="H596">
        <v>74992</v>
      </c>
      <c r="I596">
        <v>446303.03125</v>
      </c>
    </row>
    <row r="597" spans="1:9" x14ac:dyDescent="0.2">
      <c r="A597" t="s">
        <v>431</v>
      </c>
      <c r="B597">
        <v>2020</v>
      </c>
      <c r="C597" t="s">
        <v>1132</v>
      </c>
      <c r="D597" s="241">
        <v>11015838</v>
      </c>
      <c r="E597">
        <v>7964491</v>
      </c>
      <c r="F597">
        <v>5442620</v>
      </c>
      <c r="G597">
        <v>3393042</v>
      </c>
      <c r="H597">
        <v>1838656</v>
      </c>
      <c r="I597">
        <v>54409800</v>
      </c>
    </row>
    <row r="598" spans="1:9" x14ac:dyDescent="0.2">
      <c r="A598" t="s">
        <v>431</v>
      </c>
      <c r="B598">
        <v>2021</v>
      </c>
      <c r="C598" t="s">
        <v>1133</v>
      </c>
      <c r="D598" s="241">
        <v>11332709</v>
      </c>
      <c r="E598">
        <v>8222321.5</v>
      </c>
      <c r="F598">
        <v>5637656</v>
      </c>
      <c r="G598">
        <v>3545369</v>
      </c>
      <c r="H598">
        <v>1934290.125</v>
      </c>
      <c r="I598">
        <v>54806020</v>
      </c>
    </row>
    <row r="599" spans="1:9" x14ac:dyDescent="0.2">
      <c r="A599" t="s">
        <v>431</v>
      </c>
      <c r="B599">
        <v>2022</v>
      </c>
      <c r="C599" t="s">
        <v>1134</v>
      </c>
      <c r="D599" s="241">
        <v>11665431</v>
      </c>
      <c r="E599">
        <v>8496894</v>
      </c>
      <c r="F599">
        <v>5839133</v>
      </c>
      <c r="G599">
        <v>3698958</v>
      </c>
      <c r="H599">
        <v>2039645.875</v>
      </c>
      <c r="I599">
        <v>55227156</v>
      </c>
    </row>
    <row r="600" spans="1:9" x14ac:dyDescent="0.2">
      <c r="A600" t="s">
        <v>431</v>
      </c>
      <c r="B600">
        <v>2023</v>
      </c>
      <c r="C600" t="s">
        <v>1135</v>
      </c>
      <c r="D600" s="241">
        <v>12009440</v>
      </c>
      <c r="E600">
        <v>8784231</v>
      </c>
      <c r="F600">
        <v>6047557.5</v>
      </c>
      <c r="G600">
        <v>3853775.25</v>
      </c>
      <c r="H600">
        <v>2150020</v>
      </c>
      <c r="I600">
        <v>55663644</v>
      </c>
    </row>
    <row r="601" spans="1:9" x14ac:dyDescent="0.2">
      <c r="A601" t="s">
        <v>431</v>
      </c>
      <c r="B601">
        <v>2024</v>
      </c>
      <c r="C601" t="s">
        <v>1136</v>
      </c>
      <c r="D601" s="241">
        <v>12358508</v>
      </c>
      <c r="E601">
        <v>9078248</v>
      </c>
      <c r="F601">
        <v>6263277.5</v>
      </c>
      <c r="G601">
        <v>4009294.75</v>
      </c>
      <c r="H601">
        <v>2259053.5</v>
      </c>
      <c r="I601">
        <v>56101112</v>
      </c>
    </row>
    <row r="602" spans="1:9" x14ac:dyDescent="0.2">
      <c r="A602" t="s">
        <v>383</v>
      </c>
      <c r="B602">
        <v>2020</v>
      </c>
      <c r="C602" t="s">
        <v>1137</v>
      </c>
      <c r="D602" s="241">
        <v>219116.015625</v>
      </c>
      <c r="E602">
        <v>180973</v>
      </c>
      <c r="F602">
        <v>138795.984375</v>
      </c>
      <c r="G602">
        <v>99042.0078125</v>
      </c>
      <c r="H602">
        <v>61850.99609375</v>
      </c>
      <c r="I602">
        <v>628062</v>
      </c>
    </row>
    <row r="603" spans="1:9" x14ac:dyDescent="0.2">
      <c r="A603" t="s">
        <v>383</v>
      </c>
      <c r="B603">
        <v>2021</v>
      </c>
      <c r="C603" t="s">
        <v>1138</v>
      </c>
      <c r="D603" s="241">
        <v>220425</v>
      </c>
      <c r="E603">
        <v>182491.984375</v>
      </c>
      <c r="F603">
        <v>141216</v>
      </c>
      <c r="G603">
        <v>101530.0078125</v>
      </c>
      <c r="H603">
        <v>63933.00390625</v>
      </c>
      <c r="I603">
        <v>628050.9375</v>
      </c>
    </row>
    <row r="604" spans="1:9" x14ac:dyDescent="0.2">
      <c r="A604" t="s">
        <v>383</v>
      </c>
      <c r="B604">
        <v>2022</v>
      </c>
      <c r="C604" t="s">
        <v>1139</v>
      </c>
      <c r="D604" s="241">
        <v>221993</v>
      </c>
      <c r="E604">
        <v>183706.984375</v>
      </c>
      <c r="F604">
        <v>143709</v>
      </c>
      <c r="G604">
        <v>103766</v>
      </c>
      <c r="H604">
        <v>66302</v>
      </c>
      <c r="I604">
        <v>627950.9375</v>
      </c>
    </row>
    <row r="605" spans="1:9" x14ac:dyDescent="0.2">
      <c r="A605" t="s">
        <v>383</v>
      </c>
      <c r="B605">
        <v>2023</v>
      </c>
      <c r="C605" t="s">
        <v>1140</v>
      </c>
      <c r="D605" s="241">
        <v>223746</v>
      </c>
      <c r="E605">
        <v>184744</v>
      </c>
      <c r="F605">
        <v>146139</v>
      </c>
      <c r="G605">
        <v>105834</v>
      </c>
      <c r="H605">
        <v>68792</v>
      </c>
      <c r="I605">
        <v>627766.125</v>
      </c>
    </row>
    <row r="606" spans="1:9" x14ac:dyDescent="0.2">
      <c r="A606" t="s">
        <v>383</v>
      </c>
      <c r="B606">
        <v>2024</v>
      </c>
      <c r="C606" t="s">
        <v>1141</v>
      </c>
      <c r="D606" s="241">
        <v>225498</v>
      </c>
      <c r="E606">
        <v>185756</v>
      </c>
      <c r="F606">
        <v>148254</v>
      </c>
      <c r="G606">
        <v>107839</v>
      </c>
      <c r="H606">
        <v>71135.9921875</v>
      </c>
      <c r="I606">
        <v>627488.9375</v>
      </c>
    </row>
    <row r="607" spans="1:9" x14ac:dyDescent="0.2">
      <c r="A607" t="s">
        <v>466</v>
      </c>
      <c r="B607">
        <v>2020</v>
      </c>
      <c r="C607" t="s">
        <v>1142</v>
      </c>
      <c r="D607" s="241">
        <v>553031.9375</v>
      </c>
      <c r="E607">
        <v>384675.03125</v>
      </c>
      <c r="F607">
        <v>238979.984375</v>
      </c>
      <c r="G607">
        <v>141370.984375</v>
      </c>
      <c r="H607">
        <v>80618</v>
      </c>
      <c r="I607">
        <v>3278292.25</v>
      </c>
    </row>
    <row r="608" spans="1:9" x14ac:dyDescent="0.2">
      <c r="A608" t="s">
        <v>466</v>
      </c>
      <c r="B608">
        <v>2021</v>
      </c>
      <c r="C608" t="s">
        <v>1143</v>
      </c>
      <c r="D608" s="241">
        <v>575804.9375</v>
      </c>
      <c r="E608">
        <v>403679.03125</v>
      </c>
      <c r="F608">
        <v>253994</v>
      </c>
      <c r="G608">
        <v>149066</v>
      </c>
      <c r="H608">
        <v>84005</v>
      </c>
      <c r="I608">
        <v>3329282.25</v>
      </c>
    </row>
    <row r="609" spans="1:9" x14ac:dyDescent="0.2">
      <c r="A609" t="s">
        <v>466</v>
      </c>
      <c r="B609">
        <v>2022</v>
      </c>
      <c r="C609" t="s">
        <v>1144</v>
      </c>
      <c r="D609" s="241">
        <v>598783.9375</v>
      </c>
      <c r="E609">
        <v>421942.03125</v>
      </c>
      <c r="F609">
        <v>270056.96875</v>
      </c>
      <c r="G609">
        <v>157130.015625</v>
      </c>
      <c r="H609">
        <v>87597.0078125</v>
      </c>
      <c r="I609">
        <v>3378078</v>
      </c>
    </row>
    <row r="610" spans="1:9" x14ac:dyDescent="0.2">
      <c r="A610" t="s">
        <v>466</v>
      </c>
      <c r="B610">
        <v>2023</v>
      </c>
      <c r="C610" t="s">
        <v>1145</v>
      </c>
      <c r="D610" s="241">
        <v>621996.875</v>
      </c>
      <c r="E610">
        <v>439940</v>
      </c>
      <c r="F610">
        <v>286749.03125</v>
      </c>
      <c r="G610">
        <v>165857.984375</v>
      </c>
      <c r="H610">
        <v>91484</v>
      </c>
      <c r="I610">
        <v>3424876.25</v>
      </c>
    </row>
    <row r="611" spans="1:9" x14ac:dyDescent="0.2">
      <c r="A611" t="s">
        <v>466</v>
      </c>
      <c r="B611">
        <v>2024</v>
      </c>
      <c r="C611" t="s">
        <v>1146</v>
      </c>
      <c r="D611" s="241">
        <v>645399</v>
      </c>
      <c r="E611">
        <v>458371.03125</v>
      </c>
      <c r="F611">
        <v>303448</v>
      </c>
      <c r="G611">
        <v>175636.984375</v>
      </c>
      <c r="H611">
        <v>95760</v>
      </c>
      <c r="I611">
        <v>3470038.75</v>
      </c>
    </row>
    <row r="612" spans="1:9" x14ac:dyDescent="0.2">
      <c r="A612" t="s">
        <v>146</v>
      </c>
      <c r="B612">
        <v>2020</v>
      </c>
      <c r="C612" t="s">
        <v>1147</v>
      </c>
      <c r="D612" s="241">
        <v>2769673.25</v>
      </c>
      <c r="E612">
        <v>1987053.125</v>
      </c>
      <c r="F612">
        <v>1369506.125</v>
      </c>
      <c r="G612">
        <v>894475.9375</v>
      </c>
      <c r="H612">
        <v>525844</v>
      </c>
      <c r="I612">
        <v>31255434</v>
      </c>
    </row>
    <row r="613" spans="1:9" x14ac:dyDescent="0.2">
      <c r="A613" t="s">
        <v>146</v>
      </c>
      <c r="B613">
        <v>2021</v>
      </c>
      <c r="C613" t="s">
        <v>1148</v>
      </c>
      <c r="D613" s="241">
        <v>2853016</v>
      </c>
      <c r="E613">
        <v>2043237.125</v>
      </c>
      <c r="F613">
        <v>1406842.125</v>
      </c>
      <c r="G613">
        <v>919115</v>
      </c>
      <c r="H613">
        <v>544441</v>
      </c>
      <c r="I613">
        <v>32163042</v>
      </c>
    </row>
    <row r="614" spans="1:9" x14ac:dyDescent="0.2">
      <c r="A614" t="s">
        <v>146</v>
      </c>
      <c r="B614">
        <v>2022</v>
      </c>
      <c r="C614" t="s">
        <v>1149</v>
      </c>
      <c r="D614" s="241">
        <v>2940831.75</v>
      </c>
      <c r="E614">
        <v>2101691</v>
      </c>
      <c r="F614">
        <v>1445583.125</v>
      </c>
      <c r="G614">
        <v>942566</v>
      </c>
      <c r="H614">
        <v>561487</v>
      </c>
      <c r="I614">
        <v>33089464</v>
      </c>
    </row>
    <row r="615" spans="1:9" x14ac:dyDescent="0.2">
      <c r="A615" t="s">
        <v>146</v>
      </c>
      <c r="B615">
        <v>2023</v>
      </c>
      <c r="C615" t="s">
        <v>1150</v>
      </c>
      <c r="D615" s="241">
        <v>3033594.25</v>
      </c>
      <c r="E615">
        <v>2162842</v>
      </c>
      <c r="F615">
        <v>1485765</v>
      </c>
      <c r="G615">
        <v>965490.9375</v>
      </c>
      <c r="H615">
        <v>576950</v>
      </c>
      <c r="I615">
        <v>34034808</v>
      </c>
    </row>
    <row r="616" spans="1:9" x14ac:dyDescent="0.2">
      <c r="A616" t="s">
        <v>146</v>
      </c>
      <c r="B616">
        <v>2024</v>
      </c>
      <c r="C616" t="s">
        <v>1151</v>
      </c>
      <c r="D616" s="241">
        <v>3132044</v>
      </c>
      <c r="E616">
        <v>2227286</v>
      </c>
      <c r="F616">
        <v>1527360</v>
      </c>
      <c r="G616">
        <v>988741.9375</v>
      </c>
      <c r="H616">
        <v>590755</v>
      </c>
      <c r="I616">
        <v>34999752</v>
      </c>
    </row>
    <row r="617" spans="1:9" x14ac:dyDescent="0.2">
      <c r="A617" t="s">
        <v>148</v>
      </c>
      <c r="B617">
        <v>2020</v>
      </c>
      <c r="C617" t="s">
        <v>1152</v>
      </c>
      <c r="D617" s="241">
        <v>503964</v>
      </c>
      <c r="E617">
        <v>354306</v>
      </c>
      <c r="F617">
        <v>236814.015625</v>
      </c>
      <c r="G617">
        <v>147763.015625</v>
      </c>
      <c r="H617">
        <v>85741.0078125</v>
      </c>
      <c r="I617">
        <v>4649659.5</v>
      </c>
    </row>
    <row r="618" spans="1:9" x14ac:dyDescent="0.2">
      <c r="A618" t="s">
        <v>148</v>
      </c>
      <c r="B618">
        <v>2021</v>
      </c>
      <c r="C618" t="s">
        <v>1153</v>
      </c>
      <c r="D618" s="241">
        <v>523347</v>
      </c>
      <c r="E618">
        <v>367963</v>
      </c>
      <c r="F618">
        <v>246133.015625</v>
      </c>
      <c r="G618">
        <v>153577.015625</v>
      </c>
      <c r="H618">
        <v>88917.0078125</v>
      </c>
      <c r="I618">
        <v>4775110</v>
      </c>
    </row>
    <row r="619" spans="1:9" x14ac:dyDescent="0.2">
      <c r="A619" t="s">
        <v>148</v>
      </c>
      <c r="B619">
        <v>2022</v>
      </c>
      <c r="C619" t="s">
        <v>1154</v>
      </c>
      <c r="D619" s="241">
        <v>543658</v>
      </c>
      <c r="E619">
        <v>382228.03125</v>
      </c>
      <c r="F619">
        <v>255788.984375</v>
      </c>
      <c r="G619">
        <v>159627.96875</v>
      </c>
      <c r="H619">
        <v>91942.9921875</v>
      </c>
      <c r="I619">
        <v>4901979.5</v>
      </c>
    </row>
    <row r="620" spans="1:9" x14ac:dyDescent="0.2">
      <c r="A620" t="s">
        <v>148</v>
      </c>
      <c r="B620">
        <v>2023</v>
      </c>
      <c r="C620" t="s">
        <v>1155</v>
      </c>
      <c r="D620" s="241">
        <v>565050.9375</v>
      </c>
      <c r="E620">
        <v>397207.96875</v>
      </c>
      <c r="F620">
        <v>265859.96875</v>
      </c>
      <c r="G620">
        <v>165927.015625</v>
      </c>
      <c r="H620">
        <v>94912</v>
      </c>
      <c r="I620">
        <v>5030233.5</v>
      </c>
    </row>
    <row r="621" spans="1:9" x14ac:dyDescent="0.2">
      <c r="A621" t="s">
        <v>148</v>
      </c>
      <c r="B621">
        <v>2024</v>
      </c>
      <c r="C621" t="s">
        <v>1156</v>
      </c>
      <c r="D621" s="241">
        <v>587785.0625</v>
      </c>
      <c r="E621">
        <v>413070.96875</v>
      </c>
      <c r="F621">
        <v>276469</v>
      </c>
      <c r="G621">
        <v>172502</v>
      </c>
      <c r="H621">
        <v>97982.0078125</v>
      </c>
      <c r="I621">
        <v>5159892.5</v>
      </c>
    </row>
    <row r="622" spans="1:9" x14ac:dyDescent="0.2">
      <c r="A622" t="s">
        <v>512</v>
      </c>
      <c r="B622">
        <v>2020</v>
      </c>
      <c r="C622" t="s">
        <v>1157</v>
      </c>
      <c r="D622" s="241">
        <v>172529</v>
      </c>
      <c r="E622">
        <v>142072.984375</v>
      </c>
      <c r="F622">
        <v>109734.0078125</v>
      </c>
      <c r="G622">
        <v>81423</v>
      </c>
      <c r="H622">
        <v>57267.00390625</v>
      </c>
      <c r="I622">
        <v>375264.96875</v>
      </c>
    </row>
    <row r="623" spans="1:9" x14ac:dyDescent="0.2">
      <c r="A623" t="s">
        <v>512</v>
      </c>
      <c r="B623">
        <v>2021</v>
      </c>
      <c r="C623" t="s">
        <v>1158</v>
      </c>
      <c r="D623" s="241">
        <v>174312.015625</v>
      </c>
      <c r="E623">
        <v>144790.015625</v>
      </c>
      <c r="F623">
        <v>112511</v>
      </c>
      <c r="G623">
        <v>83497</v>
      </c>
      <c r="H623">
        <v>58806.99609375</v>
      </c>
      <c r="I623">
        <v>374743</v>
      </c>
    </row>
    <row r="624" spans="1:9" x14ac:dyDescent="0.2">
      <c r="A624" t="s">
        <v>512</v>
      </c>
      <c r="B624">
        <v>2022</v>
      </c>
      <c r="C624" t="s">
        <v>1159</v>
      </c>
      <c r="D624" s="241">
        <v>176166</v>
      </c>
      <c r="E624">
        <v>147591</v>
      </c>
      <c r="F624">
        <v>115615.0078125</v>
      </c>
      <c r="G624">
        <v>85763.9921875</v>
      </c>
      <c r="H624">
        <v>60506</v>
      </c>
      <c r="I624">
        <v>374083</v>
      </c>
    </row>
    <row r="625" spans="1:9" x14ac:dyDescent="0.2">
      <c r="A625" t="s">
        <v>512</v>
      </c>
      <c r="B625">
        <v>2023</v>
      </c>
      <c r="C625" t="s">
        <v>1160</v>
      </c>
      <c r="D625" s="241">
        <v>177918</v>
      </c>
      <c r="E625">
        <v>150349.015625</v>
      </c>
      <c r="F625">
        <v>118894.015625</v>
      </c>
      <c r="G625">
        <v>88208.0078125</v>
      </c>
      <c r="H625">
        <v>62340</v>
      </c>
      <c r="I625">
        <v>373318</v>
      </c>
    </row>
    <row r="626" spans="1:9" x14ac:dyDescent="0.2">
      <c r="A626" t="s">
        <v>512</v>
      </c>
      <c r="B626">
        <v>2024</v>
      </c>
      <c r="C626" t="s">
        <v>1161</v>
      </c>
      <c r="D626" s="241">
        <v>179299</v>
      </c>
      <c r="E626">
        <v>152878.984375</v>
      </c>
      <c r="F626">
        <v>122108</v>
      </c>
      <c r="G626">
        <v>90790.0078125</v>
      </c>
      <c r="H626">
        <v>64256.99609375</v>
      </c>
      <c r="I626">
        <v>372532</v>
      </c>
    </row>
    <row r="627" spans="1:9" x14ac:dyDescent="0.2">
      <c r="A627" t="s">
        <v>150</v>
      </c>
      <c r="B627">
        <v>2020</v>
      </c>
      <c r="C627" t="s">
        <v>1162</v>
      </c>
      <c r="D627" s="241">
        <v>409710.0625</v>
      </c>
      <c r="E627">
        <v>324576.03125</v>
      </c>
      <c r="F627">
        <v>234361</v>
      </c>
      <c r="G627">
        <v>159226</v>
      </c>
      <c r="H627">
        <v>96371</v>
      </c>
      <c r="I627">
        <v>1271766.875</v>
      </c>
    </row>
    <row r="628" spans="1:9" x14ac:dyDescent="0.2">
      <c r="A628" t="s">
        <v>150</v>
      </c>
      <c r="B628">
        <v>2021</v>
      </c>
      <c r="C628" t="s">
        <v>1163</v>
      </c>
      <c r="D628" s="241">
        <v>415999.96875</v>
      </c>
      <c r="E628">
        <v>332835.96875</v>
      </c>
      <c r="F628">
        <v>243103</v>
      </c>
      <c r="G628">
        <v>165957.984375</v>
      </c>
      <c r="H628">
        <v>101821.0078125</v>
      </c>
      <c r="I628">
        <v>1273428</v>
      </c>
    </row>
    <row r="629" spans="1:9" x14ac:dyDescent="0.2">
      <c r="A629" t="s">
        <v>150</v>
      </c>
      <c r="B629">
        <v>2022</v>
      </c>
      <c r="C629" t="s">
        <v>1164</v>
      </c>
      <c r="D629" s="241">
        <v>421729.96875</v>
      </c>
      <c r="E629">
        <v>340445</v>
      </c>
      <c r="F629">
        <v>252213</v>
      </c>
      <c r="G629">
        <v>172471</v>
      </c>
      <c r="H629">
        <v>107407.0078125</v>
      </c>
      <c r="I629">
        <v>1274720</v>
      </c>
    </row>
    <row r="630" spans="1:9" x14ac:dyDescent="0.2">
      <c r="A630" t="s">
        <v>150</v>
      </c>
      <c r="B630">
        <v>2023</v>
      </c>
      <c r="C630" t="s">
        <v>1165</v>
      </c>
      <c r="D630" s="241">
        <v>427319</v>
      </c>
      <c r="E630">
        <v>347438</v>
      </c>
      <c r="F630">
        <v>261366.03125</v>
      </c>
      <c r="G630">
        <v>178961.015625</v>
      </c>
      <c r="H630">
        <v>113047.015625</v>
      </c>
      <c r="I630">
        <v>1275657.25</v>
      </c>
    </row>
    <row r="631" spans="1:9" x14ac:dyDescent="0.2">
      <c r="A631" t="s">
        <v>150</v>
      </c>
      <c r="B631">
        <v>2024</v>
      </c>
      <c r="C631" t="s">
        <v>1166</v>
      </c>
      <c r="D631" s="241">
        <v>433419</v>
      </c>
      <c r="E631">
        <v>353893</v>
      </c>
      <c r="F631">
        <v>270065.03125</v>
      </c>
      <c r="G631">
        <v>185717</v>
      </c>
      <c r="H631">
        <v>118613.0078125</v>
      </c>
      <c r="I631">
        <v>1276282</v>
      </c>
    </row>
    <row r="632" spans="1:9" x14ac:dyDescent="0.2">
      <c r="A632" t="s">
        <v>153</v>
      </c>
      <c r="B632">
        <v>2020</v>
      </c>
      <c r="C632" t="s">
        <v>1167</v>
      </c>
      <c r="D632" s="241">
        <v>1629101</v>
      </c>
      <c r="E632">
        <v>1147786</v>
      </c>
      <c r="F632">
        <v>782953</v>
      </c>
      <c r="G632">
        <v>505331.0625</v>
      </c>
      <c r="H632">
        <v>302705.03125</v>
      </c>
      <c r="I632">
        <v>19129954</v>
      </c>
    </row>
    <row r="633" spans="1:9" x14ac:dyDescent="0.2">
      <c r="A633" t="s">
        <v>153</v>
      </c>
      <c r="B633">
        <v>2021</v>
      </c>
      <c r="C633" t="s">
        <v>1168</v>
      </c>
      <c r="D633" s="241">
        <v>1689424</v>
      </c>
      <c r="E633">
        <v>1187202.875</v>
      </c>
      <c r="F633">
        <v>808035.0625</v>
      </c>
      <c r="G633">
        <v>521068</v>
      </c>
      <c r="H633">
        <v>313156.03125</v>
      </c>
      <c r="I633">
        <v>19647682</v>
      </c>
    </row>
    <row r="634" spans="1:9" x14ac:dyDescent="0.2">
      <c r="A634" t="s">
        <v>153</v>
      </c>
      <c r="B634">
        <v>2022</v>
      </c>
      <c r="C634" t="s">
        <v>1169</v>
      </c>
      <c r="D634" s="241">
        <v>1753380</v>
      </c>
      <c r="E634">
        <v>1229008.875</v>
      </c>
      <c r="F634">
        <v>834099.0625</v>
      </c>
      <c r="G634">
        <v>537263.0625</v>
      </c>
      <c r="H634">
        <v>322205</v>
      </c>
      <c r="I634">
        <v>20180840</v>
      </c>
    </row>
    <row r="635" spans="1:9" x14ac:dyDescent="0.2">
      <c r="A635" t="s">
        <v>153</v>
      </c>
      <c r="B635">
        <v>2023</v>
      </c>
      <c r="C635" t="s">
        <v>1170</v>
      </c>
      <c r="D635" s="241">
        <v>1821449.875</v>
      </c>
      <c r="E635">
        <v>1273623.875</v>
      </c>
      <c r="F635">
        <v>861578.875</v>
      </c>
      <c r="G635">
        <v>554022.9375</v>
      </c>
      <c r="H635">
        <v>330422.03125</v>
      </c>
      <c r="I635">
        <v>20728156</v>
      </c>
    </row>
    <row r="636" spans="1:9" x14ac:dyDescent="0.2">
      <c r="A636" t="s">
        <v>153</v>
      </c>
      <c r="B636">
        <v>2024</v>
      </c>
      <c r="C636" t="s">
        <v>1171</v>
      </c>
      <c r="D636" s="241">
        <v>1894117.125</v>
      </c>
      <c r="E636">
        <v>1321453</v>
      </c>
      <c r="F636">
        <v>890906</v>
      </c>
      <c r="G636">
        <v>571336</v>
      </c>
      <c r="H636">
        <v>338482</v>
      </c>
      <c r="I636">
        <v>21287588</v>
      </c>
    </row>
    <row r="637" spans="1:9" x14ac:dyDescent="0.2">
      <c r="A637" t="s">
        <v>468</v>
      </c>
      <c r="B637">
        <v>2020</v>
      </c>
      <c r="C637" t="s">
        <v>1172</v>
      </c>
      <c r="D637" s="241">
        <v>6694921</v>
      </c>
      <c r="E637">
        <v>5020446</v>
      </c>
      <c r="F637">
        <v>3548884.25</v>
      </c>
      <c r="G637">
        <v>2325067.25</v>
      </c>
      <c r="H637">
        <v>1397518.875</v>
      </c>
      <c r="I637">
        <v>32366000</v>
      </c>
    </row>
    <row r="638" spans="1:9" x14ac:dyDescent="0.2">
      <c r="A638" t="s">
        <v>468</v>
      </c>
      <c r="B638">
        <v>2021</v>
      </c>
      <c r="C638" t="s">
        <v>1173</v>
      </c>
      <c r="D638" s="241">
        <v>6911683.5</v>
      </c>
      <c r="E638">
        <v>5203756.5</v>
      </c>
      <c r="F638">
        <v>3702371.25</v>
      </c>
      <c r="G638">
        <v>2440363.25</v>
      </c>
      <c r="H638">
        <v>1475983</v>
      </c>
      <c r="I638">
        <v>32776196</v>
      </c>
    </row>
    <row r="639" spans="1:9" x14ac:dyDescent="0.2">
      <c r="A639" t="s">
        <v>468</v>
      </c>
      <c r="B639">
        <v>2022</v>
      </c>
      <c r="C639" t="s">
        <v>1174</v>
      </c>
      <c r="D639" s="241">
        <v>7135416.5</v>
      </c>
      <c r="E639">
        <v>5389201.5</v>
      </c>
      <c r="F639">
        <v>3859425</v>
      </c>
      <c r="G639">
        <v>2560431</v>
      </c>
      <c r="H639">
        <v>1555065</v>
      </c>
      <c r="I639">
        <v>33181078</v>
      </c>
    </row>
    <row r="640" spans="1:9" x14ac:dyDescent="0.2">
      <c r="A640" t="s">
        <v>468</v>
      </c>
      <c r="B640">
        <v>2023</v>
      </c>
      <c r="C640" t="s">
        <v>1175</v>
      </c>
      <c r="D640" s="241">
        <v>7363526</v>
      </c>
      <c r="E640">
        <v>5577237.5</v>
      </c>
      <c r="F640">
        <v>4019505.25</v>
      </c>
      <c r="G640">
        <v>2685125.25</v>
      </c>
      <c r="H640">
        <v>1635954.125</v>
      </c>
      <c r="I640">
        <v>33579264</v>
      </c>
    </row>
    <row r="641" spans="1:9" x14ac:dyDescent="0.2">
      <c r="A641" t="s">
        <v>468</v>
      </c>
      <c r="B641">
        <v>2024</v>
      </c>
      <c r="C641" t="s">
        <v>1176</v>
      </c>
      <c r="D641" s="241">
        <v>7592288</v>
      </c>
      <c r="E641">
        <v>5769042</v>
      </c>
      <c r="F641">
        <v>4182064.5</v>
      </c>
      <c r="G641">
        <v>2813802.25</v>
      </c>
      <c r="H641">
        <v>1720461</v>
      </c>
      <c r="I641">
        <v>33969288</v>
      </c>
    </row>
    <row r="642" spans="1:9" x14ac:dyDescent="0.2">
      <c r="A642" t="s">
        <v>513</v>
      </c>
      <c r="B642">
        <v>2020</v>
      </c>
      <c r="C642" t="s">
        <v>1177</v>
      </c>
      <c r="D642" s="241">
        <v>32810.99609375</v>
      </c>
      <c r="E642">
        <v>23615</v>
      </c>
      <c r="F642">
        <v>16647.001953125</v>
      </c>
      <c r="G642">
        <v>11371</v>
      </c>
      <c r="H642">
        <v>7275</v>
      </c>
      <c r="I642">
        <v>272813.03125</v>
      </c>
    </row>
    <row r="643" spans="1:9" x14ac:dyDescent="0.2">
      <c r="A643" t="s">
        <v>513</v>
      </c>
      <c r="B643">
        <v>2021</v>
      </c>
      <c r="C643" t="s">
        <v>1178</v>
      </c>
      <c r="D643" s="241">
        <v>34405.00390625</v>
      </c>
      <c r="E643">
        <v>24679.99609375</v>
      </c>
      <c r="F643">
        <v>17371.998046875</v>
      </c>
      <c r="G643">
        <v>11867</v>
      </c>
      <c r="H643">
        <v>7615.00048828125</v>
      </c>
      <c r="I643">
        <v>279507.0625</v>
      </c>
    </row>
    <row r="644" spans="1:9" x14ac:dyDescent="0.2">
      <c r="A644" t="s">
        <v>513</v>
      </c>
      <c r="B644">
        <v>2022</v>
      </c>
      <c r="C644" t="s">
        <v>1179</v>
      </c>
      <c r="D644" s="241">
        <v>36131.00390625</v>
      </c>
      <c r="E644">
        <v>25823</v>
      </c>
      <c r="F644">
        <v>18161</v>
      </c>
      <c r="G644">
        <v>12394</v>
      </c>
      <c r="H644">
        <v>7987.00048828125</v>
      </c>
      <c r="I644">
        <v>286254.03125</v>
      </c>
    </row>
    <row r="645" spans="1:9" x14ac:dyDescent="0.2">
      <c r="A645" t="s">
        <v>513</v>
      </c>
      <c r="B645">
        <v>2023</v>
      </c>
      <c r="C645" t="s">
        <v>1180</v>
      </c>
      <c r="D645" s="241">
        <v>37974.00390625</v>
      </c>
      <c r="E645">
        <v>27055</v>
      </c>
      <c r="F645">
        <v>19012.001953125</v>
      </c>
      <c r="G645">
        <v>12952</v>
      </c>
      <c r="H645">
        <v>8383</v>
      </c>
      <c r="I645">
        <v>293064</v>
      </c>
    </row>
    <row r="646" spans="1:9" x14ac:dyDescent="0.2">
      <c r="A646" t="s">
        <v>513</v>
      </c>
      <c r="B646">
        <v>2024</v>
      </c>
      <c r="C646" t="s">
        <v>1181</v>
      </c>
      <c r="D646" s="241">
        <v>39924</v>
      </c>
      <c r="E646">
        <v>28395.001953125</v>
      </c>
      <c r="F646">
        <v>19922.001953125</v>
      </c>
      <c r="G646">
        <v>13549.9990234375</v>
      </c>
      <c r="H646">
        <v>8797</v>
      </c>
      <c r="I646">
        <v>299934</v>
      </c>
    </row>
    <row r="647" spans="1:9" x14ac:dyDescent="0.2">
      <c r="A647" t="s">
        <v>155</v>
      </c>
      <c r="B647">
        <v>2020</v>
      </c>
      <c r="C647" t="s">
        <v>1182</v>
      </c>
      <c r="D647" s="241">
        <v>292843.0625</v>
      </c>
      <c r="E647">
        <v>210375</v>
      </c>
      <c r="F647">
        <v>142509</v>
      </c>
      <c r="G647">
        <v>91117.9921875</v>
      </c>
      <c r="H647">
        <v>55047.99609375</v>
      </c>
      <c r="I647">
        <v>2540916.25</v>
      </c>
    </row>
    <row r="648" spans="1:9" x14ac:dyDescent="0.2">
      <c r="A648" t="s">
        <v>155</v>
      </c>
      <c r="B648">
        <v>2021</v>
      </c>
      <c r="C648" t="s">
        <v>1183</v>
      </c>
      <c r="D648" s="241">
        <v>301735.03125</v>
      </c>
      <c r="E648">
        <v>216332.015625</v>
      </c>
      <c r="F648">
        <v>146907</v>
      </c>
      <c r="G648">
        <v>93585</v>
      </c>
      <c r="H648">
        <v>56100</v>
      </c>
      <c r="I648">
        <v>2587344</v>
      </c>
    </row>
    <row r="649" spans="1:9" x14ac:dyDescent="0.2">
      <c r="A649" t="s">
        <v>155</v>
      </c>
      <c r="B649">
        <v>2022</v>
      </c>
      <c r="C649" t="s">
        <v>1184</v>
      </c>
      <c r="D649" s="241">
        <v>311159.03125</v>
      </c>
      <c r="E649">
        <v>222239.015625</v>
      </c>
      <c r="F649">
        <v>151480.015625</v>
      </c>
      <c r="G649">
        <v>96108</v>
      </c>
      <c r="H649">
        <v>57074.99609375</v>
      </c>
      <c r="I649">
        <v>2633873.75</v>
      </c>
    </row>
    <row r="650" spans="1:9" x14ac:dyDescent="0.2">
      <c r="A650" t="s">
        <v>155</v>
      </c>
      <c r="B650">
        <v>2023</v>
      </c>
      <c r="C650" t="s">
        <v>1185</v>
      </c>
      <c r="D650" s="241">
        <v>321085</v>
      </c>
      <c r="E650">
        <v>228288.03125</v>
      </c>
      <c r="F650">
        <v>156169.015625</v>
      </c>
      <c r="G650">
        <v>98715.9921875</v>
      </c>
      <c r="H650">
        <v>58012</v>
      </c>
      <c r="I650">
        <v>2680496.5</v>
      </c>
    </row>
    <row r="651" spans="1:9" x14ac:dyDescent="0.2">
      <c r="A651" t="s">
        <v>155</v>
      </c>
      <c r="B651">
        <v>2024</v>
      </c>
      <c r="C651" t="s">
        <v>1186</v>
      </c>
      <c r="D651" s="241">
        <v>331442.0625</v>
      </c>
      <c r="E651">
        <v>234768.984375</v>
      </c>
      <c r="F651">
        <v>160885.015625</v>
      </c>
      <c r="G651">
        <v>101450</v>
      </c>
      <c r="H651">
        <v>58959.00390625</v>
      </c>
      <c r="I651">
        <v>2727256.75</v>
      </c>
    </row>
    <row r="652" spans="1:9" x14ac:dyDescent="0.2">
      <c r="A652" t="s">
        <v>514</v>
      </c>
      <c r="B652">
        <v>2020</v>
      </c>
      <c r="C652" t="s">
        <v>1187</v>
      </c>
      <c r="D652" s="241">
        <v>75468.0078125</v>
      </c>
      <c r="E652">
        <v>57224</v>
      </c>
      <c r="F652">
        <v>40517</v>
      </c>
      <c r="G652">
        <v>27684.998046875</v>
      </c>
      <c r="H652">
        <v>17722</v>
      </c>
      <c r="I652">
        <v>285491.03125</v>
      </c>
    </row>
    <row r="653" spans="1:9" x14ac:dyDescent="0.2">
      <c r="A653" t="s">
        <v>514</v>
      </c>
      <c r="B653">
        <v>2021</v>
      </c>
      <c r="C653" t="s">
        <v>1188</v>
      </c>
      <c r="D653" s="241">
        <v>78017</v>
      </c>
      <c r="E653">
        <v>59276.99609375</v>
      </c>
      <c r="F653">
        <v>42212.99609375</v>
      </c>
      <c r="G653">
        <v>28745</v>
      </c>
      <c r="H653">
        <v>18505</v>
      </c>
      <c r="I653">
        <v>288217</v>
      </c>
    </row>
    <row r="654" spans="1:9" x14ac:dyDescent="0.2">
      <c r="A654" t="s">
        <v>514</v>
      </c>
      <c r="B654">
        <v>2022</v>
      </c>
      <c r="C654" t="s">
        <v>1189</v>
      </c>
      <c r="D654" s="241">
        <v>80669.0078125</v>
      </c>
      <c r="E654">
        <v>61265</v>
      </c>
      <c r="F654">
        <v>44022</v>
      </c>
      <c r="G654">
        <v>29828.998046875</v>
      </c>
      <c r="H654">
        <v>19248</v>
      </c>
      <c r="I654">
        <v>290923.96875</v>
      </c>
    </row>
    <row r="655" spans="1:9" x14ac:dyDescent="0.2">
      <c r="A655" t="s">
        <v>514</v>
      </c>
      <c r="B655">
        <v>2023</v>
      </c>
      <c r="C655" t="s">
        <v>1190</v>
      </c>
      <c r="D655" s="241">
        <v>83354</v>
      </c>
      <c r="E655">
        <v>63249.99609375</v>
      </c>
      <c r="F655">
        <v>45909</v>
      </c>
      <c r="G655">
        <v>30972</v>
      </c>
      <c r="H655">
        <v>19979</v>
      </c>
      <c r="I655">
        <v>293581.03125</v>
      </c>
    </row>
    <row r="656" spans="1:9" x14ac:dyDescent="0.2">
      <c r="A656" t="s">
        <v>514</v>
      </c>
      <c r="B656">
        <v>2024</v>
      </c>
      <c r="C656" t="s">
        <v>1191</v>
      </c>
      <c r="D656" s="241">
        <v>85988</v>
      </c>
      <c r="E656">
        <v>65348</v>
      </c>
      <c r="F656">
        <v>47822</v>
      </c>
      <c r="G656">
        <v>32223</v>
      </c>
      <c r="H656">
        <v>20737.001953125</v>
      </c>
      <c r="I656">
        <v>296210.03125</v>
      </c>
    </row>
    <row r="657" spans="1:9" x14ac:dyDescent="0.2">
      <c r="A657" t="s">
        <v>157</v>
      </c>
      <c r="B657">
        <v>2020</v>
      </c>
      <c r="C657" t="s">
        <v>1192</v>
      </c>
      <c r="D657" s="241">
        <v>2042419.25</v>
      </c>
      <c r="E657">
        <v>1481069.25</v>
      </c>
      <c r="F657">
        <v>995569</v>
      </c>
      <c r="G657">
        <v>628425.0625</v>
      </c>
      <c r="H657">
        <v>350820.03125</v>
      </c>
      <c r="I657">
        <v>24206636</v>
      </c>
    </row>
    <row r="658" spans="1:9" x14ac:dyDescent="0.2">
      <c r="A658" t="s">
        <v>157</v>
      </c>
      <c r="B658">
        <v>2021</v>
      </c>
      <c r="C658" t="s">
        <v>1193</v>
      </c>
      <c r="D658" s="241">
        <v>2104173.75</v>
      </c>
      <c r="E658">
        <v>1527957</v>
      </c>
      <c r="F658">
        <v>1032824.9375</v>
      </c>
      <c r="G658">
        <v>651744</v>
      </c>
      <c r="H658">
        <v>367443.03125</v>
      </c>
      <c r="I658">
        <v>25130806</v>
      </c>
    </row>
    <row r="659" spans="1:9" x14ac:dyDescent="0.2">
      <c r="A659" t="s">
        <v>157</v>
      </c>
      <c r="B659">
        <v>2022</v>
      </c>
      <c r="C659" t="s">
        <v>1194</v>
      </c>
      <c r="D659" s="241">
        <v>2169576</v>
      </c>
      <c r="E659">
        <v>1574554.875</v>
      </c>
      <c r="F659">
        <v>1072520</v>
      </c>
      <c r="G659">
        <v>674647.9375</v>
      </c>
      <c r="H659">
        <v>383344</v>
      </c>
      <c r="I659">
        <v>26083662</v>
      </c>
    </row>
    <row r="660" spans="1:9" x14ac:dyDescent="0.2">
      <c r="A660" t="s">
        <v>157</v>
      </c>
      <c r="B660">
        <v>2023</v>
      </c>
      <c r="C660" t="s">
        <v>1195</v>
      </c>
      <c r="D660" s="241">
        <v>2238868.25</v>
      </c>
      <c r="E660">
        <v>1622009.75</v>
      </c>
      <c r="F660">
        <v>1113760.875</v>
      </c>
      <c r="G660">
        <v>698029.9375</v>
      </c>
      <c r="H660">
        <v>398613</v>
      </c>
      <c r="I660">
        <v>27066230</v>
      </c>
    </row>
    <row r="661" spans="1:9" x14ac:dyDescent="0.2">
      <c r="A661" t="s">
        <v>157</v>
      </c>
      <c r="B661">
        <v>2024</v>
      </c>
      <c r="C661" t="s">
        <v>1196</v>
      </c>
      <c r="D661" s="241">
        <v>2312231.25</v>
      </c>
      <c r="E661">
        <v>1672023.75</v>
      </c>
      <c r="F661">
        <v>1155164</v>
      </c>
      <c r="G661">
        <v>723047.9375</v>
      </c>
      <c r="H661">
        <v>413291</v>
      </c>
      <c r="I661">
        <v>28079834</v>
      </c>
    </row>
    <row r="662" spans="1:9" x14ac:dyDescent="0.2">
      <c r="A662" t="s">
        <v>159</v>
      </c>
      <c r="B662">
        <v>2020</v>
      </c>
      <c r="C662" t="s">
        <v>1197</v>
      </c>
      <c r="D662" s="241">
        <v>20001026</v>
      </c>
      <c r="E662">
        <v>14057558</v>
      </c>
      <c r="F662">
        <v>9300855</v>
      </c>
      <c r="G662">
        <v>5644232</v>
      </c>
      <c r="H662">
        <v>3042328.75</v>
      </c>
      <c r="I662">
        <v>206139584</v>
      </c>
    </row>
    <row r="663" spans="1:9" x14ac:dyDescent="0.2">
      <c r="A663" t="s">
        <v>159</v>
      </c>
      <c r="B663">
        <v>2021</v>
      </c>
      <c r="C663" t="s">
        <v>1198</v>
      </c>
      <c r="D663" s="241">
        <v>20606624</v>
      </c>
      <c r="E663">
        <v>14461086</v>
      </c>
      <c r="F663">
        <v>9583688</v>
      </c>
      <c r="G663">
        <v>5829082.5</v>
      </c>
      <c r="H663">
        <v>3161038.75</v>
      </c>
      <c r="I663">
        <v>211400672</v>
      </c>
    </row>
    <row r="664" spans="1:9" x14ac:dyDescent="0.2">
      <c r="A664" t="s">
        <v>159</v>
      </c>
      <c r="B664">
        <v>2022</v>
      </c>
      <c r="C664" t="s">
        <v>1199</v>
      </c>
      <c r="D664" s="241">
        <v>21246096</v>
      </c>
      <c r="E664">
        <v>14874058</v>
      </c>
      <c r="F664">
        <v>9869155</v>
      </c>
      <c r="G664">
        <v>6007551</v>
      </c>
      <c r="H664">
        <v>3260488</v>
      </c>
      <c r="I664">
        <v>216746944</v>
      </c>
    </row>
    <row r="665" spans="1:9" x14ac:dyDescent="0.2">
      <c r="A665" t="s">
        <v>159</v>
      </c>
      <c r="B665">
        <v>2023</v>
      </c>
      <c r="C665" t="s">
        <v>1200</v>
      </c>
      <c r="D665" s="241">
        <v>21923776</v>
      </c>
      <c r="E665">
        <v>15304848</v>
      </c>
      <c r="F665">
        <v>10159416</v>
      </c>
      <c r="G665">
        <v>6181695</v>
      </c>
      <c r="H665">
        <v>3344313</v>
      </c>
      <c r="I665">
        <v>222182400</v>
      </c>
    </row>
    <row r="666" spans="1:9" x14ac:dyDescent="0.2">
      <c r="A666" t="s">
        <v>159</v>
      </c>
      <c r="B666">
        <v>2024</v>
      </c>
      <c r="C666" t="s">
        <v>1201</v>
      </c>
      <c r="D666" s="241">
        <v>22645084</v>
      </c>
      <c r="E666">
        <v>15764249</v>
      </c>
      <c r="F666">
        <v>10456051</v>
      </c>
      <c r="G666">
        <v>6353587.5</v>
      </c>
      <c r="H666">
        <v>3416971</v>
      </c>
      <c r="I666">
        <v>227713040</v>
      </c>
    </row>
    <row r="667" spans="1:9" x14ac:dyDescent="0.2">
      <c r="A667" t="s">
        <v>241</v>
      </c>
      <c r="B667">
        <v>2020</v>
      </c>
      <c r="C667" t="s">
        <v>1202</v>
      </c>
      <c r="D667" s="241">
        <v>1082757.875</v>
      </c>
      <c r="E667">
        <v>808857</v>
      </c>
      <c r="F667">
        <v>575438.0625</v>
      </c>
      <c r="G667">
        <v>376108</v>
      </c>
      <c r="H667">
        <v>226686.015625</v>
      </c>
      <c r="I667">
        <v>6624554</v>
      </c>
    </row>
    <row r="668" spans="1:9" x14ac:dyDescent="0.2">
      <c r="A668" t="s">
        <v>241</v>
      </c>
      <c r="B668">
        <v>2021</v>
      </c>
      <c r="C668" t="s">
        <v>1203</v>
      </c>
      <c r="D668" s="241">
        <v>1120978.875</v>
      </c>
      <c r="E668">
        <v>837662.0625</v>
      </c>
      <c r="F668">
        <v>599716</v>
      </c>
      <c r="G668">
        <v>395606.03125</v>
      </c>
      <c r="H668">
        <v>237304.015625</v>
      </c>
      <c r="I668">
        <v>6702378</v>
      </c>
    </row>
    <row r="669" spans="1:9" x14ac:dyDescent="0.2">
      <c r="A669" t="s">
        <v>241</v>
      </c>
      <c r="B669">
        <v>2022</v>
      </c>
      <c r="C669" t="s">
        <v>1204</v>
      </c>
      <c r="D669" s="241">
        <v>1161402.125</v>
      </c>
      <c r="E669">
        <v>867204.0625</v>
      </c>
      <c r="F669">
        <v>624300</v>
      </c>
      <c r="G669">
        <v>415876.9375</v>
      </c>
      <c r="H669">
        <v>249921</v>
      </c>
      <c r="I669">
        <v>6779095</v>
      </c>
    </row>
    <row r="670" spans="1:9" x14ac:dyDescent="0.2">
      <c r="A670" t="s">
        <v>241</v>
      </c>
      <c r="B670">
        <v>2023</v>
      </c>
      <c r="C670" t="s">
        <v>1205</v>
      </c>
      <c r="D670" s="241">
        <v>1204216.875</v>
      </c>
      <c r="E670">
        <v>897986.125</v>
      </c>
      <c r="F670">
        <v>649374.125</v>
      </c>
      <c r="G670">
        <v>436828.9375</v>
      </c>
      <c r="H670">
        <v>264181</v>
      </c>
      <c r="I670">
        <v>6855177.5</v>
      </c>
    </row>
    <row r="671" spans="1:9" x14ac:dyDescent="0.2">
      <c r="A671" t="s">
        <v>241</v>
      </c>
      <c r="B671">
        <v>2024</v>
      </c>
      <c r="C671" t="s">
        <v>1206</v>
      </c>
      <c r="D671" s="241">
        <v>1249570.25</v>
      </c>
      <c r="E671">
        <v>930649.9375</v>
      </c>
      <c r="F671">
        <v>675141</v>
      </c>
      <c r="G671">
        <v>458293</v>
      </c>
      <c r="H671">
        <v>279506</v>
      </c>
      <c r="I671">
        <v>6931325</v>
      </c>
    </row>
    <row r="672" spans="1:9" x14ac:dyDescent="0.2">
      <c r="A672" t="s">
        <v>385</v>
      </c>
      <c r="B672">
        <v>2020</v>
      </c>
      <c r="C672" t="s">
        <v>1207</v>
      </c>
      <c r="D672" s="241">
        <v>7081971</v>
      </c>
      <c r="E672">
        <v>5808258.5</v>
      </c>
      <c r="F672">
        <v>4557898.5</v>
      </c>
      <c r="G672">
        <v>3432942</v>
      </c>
      <c r="H672">
        <v>2428398</v>
      </c>
      <c r="I672">
        <v>17134874</v>
      </c>
    </row>
    <row r="673" spans="1:9" x14ac:dyDescent="0.2">
      <c r="A673" t="s">
        <v>385</v>
      </c>
      <c r="B673">
        <v>2021</v>
      </c>
      <c r="C673" t="s">
        <v>1208</v>
      </c>
      <c r="D673" s="241">
        <v>7174016</v>
      </c>
      <c r="E673">
        <v>5918137</v>
      </c>
      <c r="F673">
        <v>4657180</v>
      </c>
      <c r="G673">
        <v>3512056.25</v>
      </c>
      <c r="H673">
        <v>2502869.25</v>
      </c>
      <c r="I673">
        <v>17173094</v>
      </c>
    </row>
    <row r="674" spans="1:9" x14ac:dyDescent="0.2">
      <c r="A674" t="s">
        <v>385</v>
      </c>
      <c r="B674">
        <v>2022</v>
      </c>
      <c r="C674" t="s">
        <v>1209</v>
      </c>
      <c r="D674" s="241">
        <v>7257504.5</v>
      </c>
      <c r="E674">
        <v>6025892.5</v>
      </c>
      <c r="F674">
        <v>4758022.5</v>
      </c>
      <c r="G674">
        <v>3591893.25</v>
      </c>
      <c r="H674">
        <v>2570206.25</v>
      </c>
      <c r="I674">
        <v>17211450</v>
      </c>
    </row>
    <row r="675" spans="1:9" x14ac:dyDescent="0.2">
      <c r="A675" t="s">
        <v>385</v>
      </c>
      <c r="B675">
        <v>2023</v>
      </c>
      <c r="C675" t="s">
        <v>1210</v>
      </c>
      <c r="D675" s="241">
        <v>7332907</v>
      </c>
      <c r="E675">
        <v>6130470.5</v>
      </c>
      <c r="F675">
        <v>4860442</v>
      </c>
      <c r="G675">
        <v>3673788.75</v>
      </c>
      <c r="H675">
        <v>2633889</v>
      </c>
      <c r="I675">
        <v>17249266</v>
      </c>
    </row>
    <row r="676" spans="1:9" x14ac:dyDescent="0.2">
      <c r="A676" t="s">
        <v>385</v>
      </c>
      <c r="B676">
        <v>2024</v>
      </c>
      <c r="C676" t="s">
        <v>1211</v>
      </c>
      <c r="D676" s="241">
        <v>7401448.5</v>
      </c>
      <c r="E676">
        <v>6230684.5</v>
      </c>
      <c r="F676">
        <v>4964507.5</v>
      </c>
      <c r="G676">
        <v>3759381</v>
      </c>
      <c r="H676">
        <v>2698828</v>
      </c>
      <c r="I676">
        <v>17285562</v>
      </c>
    </row>
    <row r="677" spans="1:9" x14ac:dyDescent="0.2">
      <c r="A677" t="s">
        <v>387</v>
      </c>
      <c r="B677">
        <v>2020</v>
      </c>
      <c r="C677" t="s">
        <v>1212</v>
      </c>
      <c r="D677" s="241">
        <v>1973851.125</v>
      </c>
      <c r="E677">
        <v>1596465.125</v>
      </c>
      <c r="F677">
        <v>1261343</v>
      </c>
      <c r="G677">
        <v>950160.0625</v>
      </c>
      <c r="H677">
        <v>675187</v>
      </c>
      <c r="I677">
        <v>5421241.5</v>
      </c>
    </row>
    <row r="678" spans="1:9" x14ac:dyDescent="0.2">
      <c r="A678" t="s">
        <v>387</v>
      </c>
      <c r="B678">
        <v>2021</v>
      </c>
      <c r="C678" t="s">
        <v>1213</v>
      </c>
      <c r="D678" s="241">
        <v>2010013</v>
      </c>
      <c r="E678">
        <v>1629007.875</v>
      </c>
      <c r="F678">
        <v>1287086</v>
      </c>
      <c r="G678">
        <v>972308.0625</v>
      </c>
      <c r="H678">
        <v>695686.0625</v>
      </c>
      <c r="I678">
        <v>5465628.5</v>
      </c>
    </row>
    <row r="679" spans="1:9" x14ac:dyDescent="0.2">
      <c r="A679" t="s">
        <v>387</v>
      </c>
      <c r="B679">
        <v>2022</v>
      </c>
      <c r="C679" t="s">
        <v>1214</v>
      </c>
      <c r="D679" s="241">
        <v>2046005.875</v>
      </c>
      <c r="E679">
        <v>1663272.875</v>
      </c>
      <c r="F679">
        <v>1312733.875</v>
      </c>
      <c r="G679">
        <v>995518</v>
      </c>
      <c r="H679">
        <v>714073</v>
      </c>
      <c r="I679">
        <v>5511371.5</v>
      </c>
    </row>
    <row r="680" spans="1:9" x14ac:dyDescent="0.2">
      <c r="A680" t="s">
        <v>387</v>
      </c>
      <c r="B680">
        <v>2023</v>
      </c>
      <c r="C680" t="s">
        <v>1215</v>
      </c>
      <c r="D680" s="241">
        <v>2081627.875</v>
      </c>
      <c r="E680">
        <v>1699006</v>
      </c>
      <c r="F680">
        <v>1339182</v>
      </c>
      <c r="G680">
        <v>1019750</v>
      </c>
      <c r="H680">
        <v>731593</v>
      </c>
      <c r="I680">
        <v>5558027</v>
      </c>
    </row>
    <row r="681" spans="1:9" x14ac:dyDescent="0.2">
      <c r="A681" t="s">
        <v>387</v>
      </c>
      <c r="B681">
        <v>2024</v>
      </c>
      <c r="C681" t="s">
        <v>1216</v>
      </c>
      <c r="D681" s="241">
        <v>2116356.25</v>
      </c>
      <c r="E681">
        <v>1735506.875</v>
      </c>
      <c r="F681">
        <v>1367507.875</v>
      </c>
      <c r="G681">
        <v>1044596.9375</v>
      </c>
      <c r="H681">
        <v>749889</v>
      </c>
      <c r="I681">
        <v>5604804</v>
      </c>
    </row>
    <row r="682" spans="1:9" x14ac:dyDescent="0.2">
      <c r="A682" t="s">
        <v>433</v>
      </c>
      <c r="B682">
        <v>2020</v>
      </c>
      <c r="C682" t="s">
        <v>1217</v>
      </c>
      <c r="D682" s="241">
        <v>4828927</v>
      </c>
      <c r="E682">
        <v>3565534.5</v>
      </c>
      <c r="F682">
        <v>2521225.5</v>
      </c>
      <c r="G682">
        <v>1698135</v>
      </c>
      <c r="H682">
        <v>1033148.0625</v>
      </c>
      <c r="I682">
        <v>29136806</v>
      </c>
    </row>
    <row r="683" spans="1:9" x14ac:dyDescent="0.2">
      <c r="A683" t="s">
        <v>433</v>
      </c>
      <c r="B683">
        <v>2021</v>
      </c>
      <c r="C683" t="s">
        <v>1218</v>
      </c>
      <c r="D683" s="241">
        <v>5001469</v>
      </c>
      <c r="E683">
        <v>3693163.5</v>
      </c>
      <c r="F683">
        <v>2606687.75</v>
      </c>
      <c r="G683">
        <v>1754097</v>
      </c>
      <c r="H683">
        <v>1072755</v>
      </c>
      <c r="I683">
        <v>29674922</v>
      </c>
    </row>
    <row r="684" spans="1:9" x14ac:dyDescent="0.2">
      <c r="A684" t="s">
        <v>433</v>
      </c>
      <c r="B684">
        <v>2022</v>
      </c>
      <c r="C684" t="s">
        <v>1219</v>
      </c>
      <c r="D684" s="241">
        <v>5186692</v>
      </c>
      <c r="E684">
        <v>3831135</v>
      </c>
      <c r="F684">
        <v>2699820</v>
      </c>
      <c r="G684">
        <v>1810977.125</v>
      </c>
      <c r="H684">
        <v>1113678.125</v>
      </c>
      <c r="I684">
        <v>30225580</v>
      </c>
    </row>
    <row r="685" spans="1:9" x14ac:dyDescent="0.2">
      <c r="A685" t="s">
        <v>433</v>
      </c>
      <c r="B685">
        <v>2023</v>
      </c>
      <c r="C685" t="s">
        <v>1220</v>
      </c>
      <c r="D685" s="241">
        <v>5382886</v>
      </c>
      <c r="E685">
        <v>3978213</v>
      </c>
      <c r="F685">
        <v>2800026</v>
      </c>
      <c r="G685">
        <v>1869939.125</v>
      </c>
      <c r="H685">
        <v>1154974</v>
      </c>
      <c r="I685">
        <v>30769710</v>
      </c>
    </row>
    <row r="686" spans="1:9" x14ac:dyDescent="0.2">
      <c r="A686" t="s">
        <v>433</v>
      </c>
      <c r="B686">
        <v>2024</v>
      </c>
      <c r="C686" t="s">
        <v>1221</v>
      </c>
      <c r="D686" s="241">
        <v>5588855</v>
      </c>
      <c r="E686">
        <v>4133413.5</v>
      </c>
      <c r="F686">
        <v>2906835.25</v>
      </c>
      <c r="G686">
        <v>1932810</v>
      </c>
      <c r="H686">
        <v>1195359</v>
      </c>
      <c r="I686">
        <v>31285684</v>
      </c>
    </row>
    <row r="687" spans="1:9" x14ac:dyDescent="0.2">
      <c r="A687" t="s">
        <v>474</v>
      </c>
      <c r="B687">
        <v>2020</v>
      </c>
      <c r="C687" t="s">
        <v>1222</v>
      </c>
      <c r="D687" s="241">
        <v>1699820.75</v>
      </c>
      <c r="E687">
        <v>1387839.875</v>
      </c>
      <c r="F687">
        <v>1071130.125</v>
      </c>
      <c r="G687">
        <v>789317</v>
      </c>
      <c r="H687">
        <v>548818.0625</v>
      </c>
      <c r="I687">
        <v>4822233.5</v>
      </c>
    </row>
    <row r="688" spans="1:9" x14ac:dyDescent="0.2">
      <c r="A688" t="s">
        <v>474</v>
      </c>
      <c r="B688">
        <v>2021</v>
      </c>
      <c r="C688" t="s">
        <v>1223</v>
      </c>
      <c r="D688" s="241">
        <v>1731527</v>
      </c>
      <c r="E688">
        <v>1419703</v>
      </c>
      <c r="F688">
        <v>1102308.125</v>
      </c>
      <c r="G688">
        <v>813457.9375</v>
      </c>
      <c r="H688">
        <v>568472</v>
      </c>
      <c r="I688">
        <v>4860642.5</v>
      </c>
    </row>
    <row r="689" spans="1:9" x14ac:dyDescent="0.2">
      <c r="A689" t="s">
        <v>474</v>
      </c>
      <c r="B689">
        <v>2022</v>
      </c>
      <c r="C689" t="s">
        <v>1224</v>
      </c>
      <c r="D689" s="241">
        <v>1763400.75</v>
      </c>
      <c r="E689">
        <v>1450156.875</v>
      </c>
      <c r="F689">
        <v>1134450.75</v>
      </c>
      <c r="G689">
        <v>838427</v>
      </c>
      <c r="H689">
        <v>587428.0625</v>
      </c>
      <c r="I689">
        <v>4898201.5</v>
      </c>
    </row>
    <row r="690" spans="1:9" x14ac:dyDescent="0.2">
      <c r="A690" t="s">
        <v>474</v>
      </c>
      <c r="B690">
        <v>2023</v>
      </c>
      <c r="C690" t="s">
        <v>1225</v>
      </c>
      <c r="D690" s="241">
        <v>1794837.875</v>
      </c>
      <c r="E690">
        <v>1479850</v>
      </c>
      <c r="F690">
        <v>1167122.875</v>
      </c>
      <c r="G690">
        <v>864480</v>
      </c>
      <c r="H690">
        <v>606355.9375</v>
      </c>
      <c r="I690">
        <v>4934976</v>
      </c>
    </row>
    <row r="691" spans="1:9" x14ac:dyDescent="0.2">
      <c r="A691" t="s">
        <v>474</v>
      </c>
      <c r="B691">
        <v>2024</v>
      </c>
      <c r="C691" t="s">
        <v>1226</v>
      </c>
      <c r="D691" s="241">
        <v>1824674</v>
      </c>
      <c r="E691">
        <v>1509694</v>
      </c>
      <c r="F691">
        <v>1199571.125</v>
      </c>
      <c r="G691">
        <v>891851</v>
      </c>
      <c r="H691">
        <v>626202.9375</v>
      </c>
      <c r="I691">
        <v>4971047.5</v>
      </c>
    </row>
    <row r="692" spans="1:9" x14ac:dyDescent="0.2">
      <c r="A692" t="s">
        <v>289</v>
      </c>
      <c r="B692">
        <v>2020</v>
      </c>
      <c r="C692" t="s">
        <v>1227</v>
      </c>
      <c r="D692" s="241">
        <v>533412.9375</v>
      </c>
      <c r="E692">
        <v>351696</v>
      </c>
      <c r="F692">
        <v>217812.984375</v>
      </c>
      <c r="G692">
        <v>128228.9921875</v>
      </c>
      <c r="H692">
        <v>75025.9921875</v>
      </c>
      <c r="I692">
        <v>5106621.5</v>
      </c>
    </row>
    <row r="693" spans="1:9" x14ac:dyDescent="0.2">
      <c r="A693" t="s">
        <v>289</v>
      </c>
      <c r="B693">
        <v>2021</v>
      </c>
      <c r="C693" t="s">
        <v>1228</v>
      </c>
      <c r="D693" s="241">
        <v>570478</v>
      </c>
      <c r="E693">
        <v>374742</v>
      </c>
      <c r="F693">
        <v>234003.984375</v>
      </c>
      <c r="G693">
        <v>137444.984375</v>
      </c>
      <c r="H693">
        <v>78983.0078125</v>
      </c>
      <c r="I693">
        <v>5223376</v>
      </c>
    </row>
    <row r="694" spans="1:9" x14ac:dyDescent="0.2">
      <c r="A694" t="s">
        <v>289</v>
      </c>
      <c r="B694">
        <v>2022</v>
      </c>
      <c r="C694" t="s">
        <v>1229</v>
      </c>
      <c r="D694" s="241">
        <v>610394.9375</v>
      </c>
      <c r="E694">
        <v>398231</v>
      </c>
      <c r="F694">
        <v>251588</v>
      </c>
      <c r="G694">
        <v>147478</v>
      </c>
      <c r="H694">
        <v>83623</v>
      </c>
      <c r="I694">
        <v>5324000</v>
      </c>
    </row>
    <row r="695" spans="1:9" x14ac:dyDescent="0.2">
      <c r="A695" t="s">
        <v>289</v>
      </c>
      <c r="B695">
        <v>2023</v>
      </c>
      <c r="C695" t="s">
        <v>1230</v>
      </c>
      <c r="D695" s="241">
        <v>652207.0625</v>
      </c>
      <c r="E695">
        <v>422619.96875</v>
      </c>
      <c r="F695">
        <v>270193</v>
      </c>
      <c r="G695">
        <v>158286.015625</v>
      </c>
      <c r="H695">
        <v>88924.9921875</v>
      </c>
      <c r="I695">
        <v>5412488</v>
      </c>
    </row>
    <row r="696" spans="1:9" x14ac:dyDescent="0.2">
      <c r="A696" t="s">
        <v>289</v>
      </c>
      <c r="B696">
        <v>2024</v>
      </c>
      <c r="C696" t="s">
        <v>1231</v>
      </c>
      <c r="D696" s="241">
        <v>694324.9375</v>
      </c>
      <c r="E696">
        <v>448722</v>
      </c>
      <c r="F696">
        <v>289190</v>
      </c>
      <c r="G696">
        <v>169898</v>
      </c>
      <c r="H696">
        <v>94826.0078125</v>
      </c>
      <c r="I696">
        <v>5494162.5</v>
      </c>
    </row>
    <row r="697" spans="1:9" x14ac:dyDescent="0.2">
      <c r="A697" t="s">
        <v>291</v>
      </c>
      <c r="B697">
        <v>2020</v>
      </c>
      <c r="C697" t="s">
        <v>1232</v>
      </c>
      <c r="D697" s="241">
        <v>30007534</v>
      </c>
      <c r="E697">
        <v>21776820</v>
      </c>
      <c r="F697">
        <v>14884918</v>
      </c>
      <c r="G697">
        <v>9605827</v>
      </c>
      <c r="H697">
        <v>5982504</v>
      </c>
      <c r="I697">
        <v>220892336</v>
      </c>
    </row>
    <row r="698" spans="1:9" x14ac:dyDescent="0.2">
      <c r="A698" t="s">
        <v>291</v>
      </c>
      <c r="B698">
        <v>2021</v>
      </c>
      <c r="C698" t="s">
        <v>1233</v>
      </c>
      <c r="D698" s="241">
        <v>30906072</v>
      </c>
      <c r="E698">
        <v>22489672</v>
      </c>
      <c r="F698">
        <v>15408501</v>
      </c>
      <c r="G698">
        <v>9906672</v>
      </c>
      <c r="H698">
        <v>6128222</v>
      </c>
      <c r="I698">
        <v>225199920</v>
      </c>
    </row>
    <row r="699" spans="1:9" x14ac:dyDescent="0.2">
      <c r="A699" t="s">
        <v>291</v>
      </c>
      <c r="B699">
        <v>2022</v>
      </c>
      <c r="C699" t="s">
        <v>1234</v>
      </c>
      <c r="D699" s="241">
        <v>31849548</v>
      </c>
      <c r="E699">
        <v>23235034</v>
      </c>
      <c r="F699">
        <v>15964828</v>
      </c>
      <c r="G699">
        <v>10237514</v>
      </c>
      <c r="H699">
        <v>6258475.5</v>
      </c>
      <c r="I699">
        <v>229488992</v>
      </c>
    </row>
    <row r="700" spans="1:9" x14ac:dyDescent="0.2">
      <c r="A700" t="s">
        <v>291</v>
      </c>
      <c r="B700">
        <v>2023</v>
      </c>
      <c r="C700" t="s">
        <v>1235</v>
      </c>
      <c r="D700" s="241">
        <v>32838844</v>
      </c>
      <c r="E700">
        <v>24009218</v>
      </c>
      <c r="F700">
        <v>16548396</v>
      </c>
      <c r="G700">
        <v>10594908</v>
      </c>
      <c r="H700">
        <v>6385465.5</v>
      </c>
      <c r="I700">
        <v>233757232</v>
      </c>
    </row>
    <row r="701" spans="1:9" x14ac:dyDescent="0.2">
      <c r="A701" t="s">
        <v>291</v>
      </c>
      <c r="B701">
        <v>2024</v>
      </c>
      <c r="C701" t="s">
        <v>1236</v>
      </c>
      <c r="D701" s="241">
        <v>33874220</v>
      </c>
      <c r="E701">
        <v>24805292</v>
      </c>
      <c r="F701">
        <v>17149978</v>
      </c>
      <c r="G701">
        <v>10972932</v>
      </c>
      <c r="H701">
        <v>6524704.5</v>
      </c>
      <c r="I701">
        <v>238005632</v>
      </c>
    </row>
    <row r="702" spans="1:9" x14ac:dyDescent="0.2">
      <c r="A702" t="s">
        <v>243</v>
      </c>
      <c r="B702">
        <v>2020</v>
      </c>
      <c r="C702" t="s">
        <v>1237</v>
      </c>
      <c r="D702" s="241">
        <v>961134.9375</v>
      </c>
      <c r="E702">
        <v>726490.9375</v>
      </c>
      <c r="F702">
        <v>528156</v>
      </c>
      <c r="G702">
        <v>368429.03125</v>
      </c>
      <c r="H702">
        <v>245524</v>
      </c>
      <c r="I702">
        <v>4314768</v>
      </c>
    </row>
    <row r="703" spans="1:9" x14ac:dyDescent="0.2">
      <c r="A703" t="s">
        <v>243</v>
      </c>
      <c r="B703">
        <v>2021</v>
      </c>
      <c r="C703" t="s">
        <v>1238</v>
      </c>
      <c r="D703" s="241">
        <v>995672</v>
      </c>
      <c r="E703">
        <v>754694</v>
      </c>
      <c r="F703">
        <v>550049</v>
      </c>
      <c r="G703">
        <v>384123</v>
      </c>
      <c r="H703">
        <v>256046.015625</v>
      </c>
      <c r="I703">
        <v>4381583.5</v>
      </c>
    </row>
    <row r="704" spans="1:9" x14ac:dyDescent="0.2">
      <c r="A704" t="s">
        <v>243</v>
      </c>
      <c r="B704">
        <v>2022</v>
      </c>
      <c r="C704" t="s">
        <v>1239</v>
      </c>
      <c r="D704" s="241">
        <v>1030653.0625</v>
      </c>
      <c r="E704">
        <v>783361.0625</v>
      </c>
      <c r="F704">
        <v>572608.0625</v>
      </c>
      <c r="G704">
        <v>400405.03125</v>
      </c>
      <c r="H704">
        <v>266900</v>
      </c>
      <c r="I704">
        <v>4446957</v>
      </c>
    </row>
    <row r="705" spans="1:9" x14ac:dyDescent="0.2">
      <c r="A705" t="s">
        <v>243</v>
      </c>
      <c r="B705">
        <v>2023</v>
      </c>
      <c r="C705" t="s">
        <v>1240</v>
      </c>
      <c r="D705" s="241">
        <v>1066123.875</v>
      </c>
      <c r="E705">
        <v>812701.875</v>
      </c>
      <c r="F705">
        <v>595954</v>
      </c>
      <c r="G705">
        <v>417426</v>
      </c>
      <c r="H705">
        <v>278258</v>
      </c>
      <c r="I705">
        <v>4510970.5</v>
      </c>
    </row>
    <row r="706" spans="1:9" x14ac:dyDescent="0.2">
      <c r="A706" t="s">
        <v>243</v>
      </c>
      <c r="B706">
        <v>2024</v>
      </c>
      <c r="C706" t="s">
        <v>1241</v>
      </c>
      <c r="D706" s="241">
        <v>1102170.875</v>
      </c>
      <c r="E706">
        <v>843021.0625</v>
      </c>
      <c r="F706">
        <v>620236</v>
      </c>
      <c r="G706">
        <v>435368</v>
      </c>
      <c r="H706">
        <v>290324</v>
      </c>
      <c r="I706">
        <v>4573764</v>
      </c>
    </row>
    <row r="707" spans="1:9" x14ac:dyDescent="0.2">
      <c r="A707" t="s">
        <v>245</v>
      </c>
      <c r="B707">
        <v>2020</v>
      </c>
      <c r="C707" t="s">
        <v>1242</v>
      </c>
      <c r="D707" s="241">
        <v>7438231</v>
      </c>
      <c r="E707">
        <v>5646101</v>
      </c>
      <c r="F707">
        <v>4124352</v>
      </c>
      <c r="G707">
        <v>2876880</v>
      </c>
      <c r="H707">
        <v>1847712.875</v>
      </c>
      <c r="I707">
        <v>32971852</v>
      </c>
    </row>
    <row r="708" spans="1:9" x14ac:dyDescent="0.2">
      <c r="A708" t="s">
        <v>245</v>
      </c>
      <c r="B708">
        <v>2021</v>
      </c>
      <c r="C708" t="s">
        <v>1243</v>
      </c>
      <c r="D708" s="241">
        <v>7667725.5</v>
      </c>
      <c r="E708">
        <v>5834764.5</v>
      </c>
      <c r="F708">
        <v>4270117.5</v>
      </c>
      <c r="G708">
        <v>2987079</v>
      </c>
      <c r="H708">
        <v>1927012.875</v>
      </c>
      <c r="I708">
        <v>33359410</v>
      </c>
    </row>
    <row r="709" spans="1:9" x14ac:dyDescent="0.2">
      <c r="A709" t="s">
        <v>245</v>
      </c>
      <c r="B709">
        <v>2022</v>
      </c>
      <c r="C709" t="s">
        <v>1244</v>
      </c>
      <c r="D709" s="241">
        <v>7900474.5</v>
      </c>
      <c r="E709">
        <v>6027828</v>
      </c>
      <c r="F709">
        <v>4420675.5</v>
      </c>
      <c r="G709">
        <v>3097411.75</v>
      </c>
      <c r="H709">
        <v>2011377.875</v>
      </c>
      <c r="I709">
        <v>33684216</v>
      </c>
    </row>
    <row r="710" spans="1:9" x14ac:dyDescent="0.2">
      <c r="A710" t="s">
        <v>245</v>
      </c>
      <c r="B710">
        <v>2023</v>
      </c>
      <c r="C710" t="s">
        <v>1245</v>
      </c>
      <c r="D710" s="241">
        <v>8135524.5</v>
      </c>
      <c r="E710">
        <v>6224329.5</v>
      </c>
      <c r="F710">
        <v>4575454</v>
      </c>
      <c r="G710">
        <v>3209178</v>
      </c>
      <c r="H710">
        <v>2099177</v>
      </c>
      <c r="I710">
        <v>33966052</v>
      </c>
    </row>
    <row r="711" spans="1:9" x14ac:dyDescent="0.2">
      <c r="A711" t="s">
        <v>245</v>
      </c>
      <c r="B711">
        <v>2024</v>
      </c>
      <c r="C711" t="s">
        <v>1246</v>
      </c>
      <c r="D711" s="241">
        <v>8372201</v>
      </c>
      <c r="E711">
        <v>6423292.5</v>
      </c>
      <c r="F711">
        <v>4733803.5</v>
      </c>
      <c r="G711">
        <v>3324359.75</v>
      </c>
      <c r="H711">
        <v>2187843</v>
      </c>
      <c r="I711">
        <v>34236196</v>
      </c>
    </row>
    <row r="712" spans="1:9" x14ac:dyDescent="0.2">
      <c r="A712" t="s">
        <v>476</v>
      </c>
      <c r="B712">
        <v>2020</v>
      </c>
      <c r="C712" t="s">
        <v>1247</v>
      </c>
      <c r="D712" s="241">
        <v>18799828</v>
      </c>
      <c r="E712">
        <v>13682832</v>
      </c>
      <c r="F712">
        <v>9432909</v>
      </c>
      <c r="G712">
        <v>6039722</v>
      </c>
      <c r="H712">
        <v>3554036.75</v>
      </c>
      <c r="I712">
        <v>109581080</v>
      </c>
    </row>
    <row r="713" spans="1:9" x14ac:dyDescent="0.2">
      <c r="A713" t="s">
        <v>476</v>
      </c>
      <c r="B713">
        <v>2021</v>
      </c>
      <c r="C713" t="s">
        <v>1248</v>
      </c>
      <c r="D713" s="241">
        <v>19451640</v>
      </c>
      <c r="E713">
        <v>14235348</v>
      </c>
      <c r="F713">
        <v>9861768</v>
      </c>
      <c r="G713">
        <v>6353734</v>
      </c>
      <c r="H713">
        <v>3753413</v>
      </c>
      <c r="I713">
        <v>111046896</v>
      </c>
    </row>
    <row r="714" spans="1:9" x14ac:dyDescent="0.2">
      <c r="A714" t="s">
        <v>476</v>
      </c>
      <c r="B714">
        <v>2022</v>
      </c>
      <c r="C714" t="s">
        <v>1249</v>
      </c>
      <c r="D714" s="241">
        <v>20074620</v>
      </c>
      <c r="E714">
        <v>14778676</v>
      </c>
      <c r="F714">
        <v>10280905</v>
      </c>
      <c r="G714">
        <v>6667728</v>
      </c>
      <c r="H714">
        <v>3952850.75</v>
      </c>
      <c r="I714">
        <v>112509000</v>
      </c>
    </row>
    <row r="715" spans="1:9" x14ac:dyDescent="0.2">
      <c r="A715" t="s">
        <v>476</v>
      </c>
      <c r="B715">
        <v>2023</v>
      </c>
      <c r="C715" t="s">
        <v>1250</v>
      </c>
      <c r="D715" s="241">
        <v>20687928</v>
      </c>
      <c r="E715">
        <v>15319801</v>
      </c>
      <c r="F715">
        <v>10699322</v>
      </c>
      <c r="G715">
        <v>6985156</v>
      </c>
      <c r="H715">
        <v>4156226.5</v>
      </c>
      <c r="I715">
        <v>113964104</v>
      </c>
    </row>
    <row r="716" spans="1:9" x14ac:dyDescent="0.2">
      <c r="A716" t="s">
        <v>476</v>
      </c>
      <c r="B716">
        <v>2024</v>
      </c>
      <c r="C716" t="s">
        <v>1251</v>
      </c>
      <c r="D716" s="241">
        <v>21321746</v>
      </c>
      <c r="E716">
        <v>15870581</v>
      </c>
      <c r="F716">
        <v>11132263</v>
      </c>
      <c r="G716">
        <v>7312170.5</v>
      </c>
      <c r="H716">
        <v>4369465.5</v>
      </c>
      <c r="I716">
        <v>115406840</v>
      </c>
    </row>
    <row r="717" spans="1:9" x14ac:dyDescent="0.2">
      <c r="A717" t="s">
        <v>480</v>
      </c>
      <c r="B717">
        <v>2020</v>
      </c>
      <c r="C717" t="s">
        <v>1252</v>
      </c>
      <c r="D717" s="241">
        <v>1165691</v>
      </c>
      <c r="E717">
        <v>816957.9375</v>
      </c>
      <c r="F717">
        <v>536572</v>
      </c>
      <c r="G717">
        <v>319552</v>
      </c>
      <c r="H717">
        <v>164486</v>
      </c>
      <c r="I717">
        <v>8947026</v>
      </c>
    </row>
    <row r="718" spans="1:9" x14ac:dyDescent="0.2">
      <c r="A718" t="s">
        <v>480</v>
      </c>
      <c r="B718">
        <v>2021</v>
      </c>
      <c r="C718" t="s">
        <v>1253</v>
      </c>
      <c r="D718" s="241">
        <v>1205128.875</v>
      </c>
      <c r="E718">
        <v>845290</v>
      </c>
      <c r="F718">
        <v>556700</v>
      </c>
      <c r="G718">
        <v>333602</v>
      </c>
      <c r="H718">
        <v>173203.015625</v>
      </c>
      <c r="I718">
        <v>9119004</v>
      </c>
    </row>
    <row r="719" spans="1:9" x14ac:dyDescent="0.2">
      <c r="A719" t="s">
        <v>480</v>
      </c>
      <c r="B719">
        <v>2022</v>
      </c>
      <c r="C719" t="s">
        <v>1254</v>
      </c>
      <c r="D719" s="241">
        <v>1246478</v>
      </c>
      <c r="E719">
        <v>874733.9375</v>
      </c>
      <c r="F719">
        <v>577278.9375</v>
      </c>
      <c r="G719">
        <v>347358.96875</v>
      </c>
      <c r="H719">
        <v>181763.015625</v>
      </c>
      <c r="I719">
        <v>9292173</v>
      </c>
    </row>
    <row r="720" spans="1:9" x14ac:dyDescent="0.2">
      <c r="A720" t="s">
        <v>480</v>
      </c>
      <c r="B720">
        <v>2023</v>
      </c>
      <c r="C720" t="s">
        <v>1255</v>
      </c>
      <c r="D720" s="241">
        <v>1289792.875</v>
      </c>
      <c r="E720">
        <v>905486</v>
      </c>
      <c r="F720">
        <v>598474.0625</v>
      </c>
      <c r="G720">
        <v>360990</v>
      </c>
      <c r="H720">
        <v>189969</v>
      </c>
      <c r="I720">
        <v>9466430</v>
      </c>
    </row>
    <row r="721" spans="1:9" x14ac:dyDescent="0.2">
      <c r="A721" t="s">
        <v>480</v>
      </c>
      <c r="B721">
        <v>2024</v>
      </c>
      <c r="C721" t="s">
        <v>1256</v>
      </c>
      <c r="D721" s="241">
        <v>1335095</v>
      </c>
      <c r="E721">
        <v>937717.0625</v>
      </c>
      <c r="F721">
        <v>620384.0625</v>
      </c>
      <c r="G721">
        <v>374645</v>
      </c>
      <c r="H721">
        <v>197614.015625</v>
      </c>
      <c r="I721">
        <v>9641705</v>
      </c>
    </row>
    <row r="722" spans="1:9" x14ac:dyDescent="0.2">
      <c r="A722" t="s">
        <v>389</v>
      </c>
      <c r="B722">
        <v>2020</v>
      </c>
      <c r="C722" t="s">
        <v>1257</v>
      </c>
      <c r="D722" s="241">
        <v>14380676</v>
      </c>
      <c r="E722">
        <v>12142178</v>
      </c>
      <c r="F722">
        <v>9817508</v>
      </c>
      <c r="G722">
        <v>7092248</v>
      </c>
      <c r="H722">
        <v>4643361</v>
      </c>
      <c r="I722">
        <v>37846600</v>
      </c>
    </row>
    <row r="723" spans="1:9" x14ac:dyDescent="0.2">
      <c r="A723" t="s">
        <v>389</v>
      </c>
      <c r="B723">
        <v>2021</v>
      </c>
      <c r="C723" t="s">
        <v>1258</v>
      </c>
      <c r="D723" s="241">
        <v>14476585</v>
      </c>
      <c r="E723">
        <v>12213223</v>
      </c>
      <c r="F723">
        <v>9968383</v>
      </c>
      <c r="G723">
        <v>7321515</v>
      </c>
      <c r="H723">
        <v>4828325</v>
      </c>
      <c r="I723">
        <v>37797000</v>
      </c>
    </row>
    <row r="724" spans="1:9" x14ac:dyDescent="0.2">
      <c r="A724" t="s">
        <v>389</v>
      </c>
      <c r="B724">
        <v>2022</v>
      </c>
      <c r="C724" t="s">
        <v>1259</v>
      </c>
      <c r="D724" s="241">
        <v>14594841</v>
      </c>
      <c r="E724">
        <v>12282997</v>
      </c>
      <c r="F724">
        <v>10091649</v>
      </c>
      <c r="G724">
        <v>7553448</v>
      </c>
      <c r="H724">
        <v>5017379.5</v>
      </c>
      <c r="I724">
        <v>37739780</v>
      </c>
    </row>
    <row r="725" spans="1:9" x14ac:dyDescent="0.2">
      <c r="A725" t="s">
        <v>389</v>
      </c>
      <c r="B725">
        <v>2023</v>
      </c>
      <c r="C725" t="s">
        <v>1260</v>
      </c>
      <c r="D725" s="241">
        <v>14733280</v>
      </c>
      <c r="E725">
        <v>12355779</v>
      </c>
      <c r="F725">
        <v>10193017</v>
      </c>
      <c r="G725">
        <v>7777796.5</v>
      </c>
      <c r="H725">
        <v>5210774.5</v>
      </c>
      <c r="I725">
        <v>37674024</v>
      </c>
    </row>
    <row r="726" spans="1:9" x14ac:dyDescent="0.2">
      <c r="A726" t="s">
        <v>389</v>
      </c>
      <c r="B726">
        <v>2024</v>
      </c>
      <c r="C726" t="s">
        <v>1261</v>
      </c>
      <c r="D726" s="241">
        <v>14883606</v>
      </c>
      <c r="E726">
        <v>12433252</v>
      </c>
      <c r="F726">
        <v>10278272</v>
      </c>
      <c r="G726">
        <v>7977086</v>
      </c>
      <c r="H726">
        <v>5407242.5</v>
      </c>
      <c r="I726">
        <v>37599152</v>
      </c>
    </row>
    <row r="727" spans="1:9" x14ac:dyDescent="0.2">
      <c r="A727" t="s">
        <v>515</v>
      </c>
      <c r="B727">
        <v>2020</v>
      </c>
      <c r="C727" t="s">
        <v>1262</v>
      </c>
      <c r="D727" s="241">
        <v>1206336</v>
      </c>
      <c r="E727">
        <v>994594</v>
      </c>
      <c r="F727">
        <v>792152</v>
      </c>
      <c r="G727">
        <v>595836</v>
      </c>
      <c r="H727">
        <v>431127</v>
      </c>
      <c r="I727">
        <v>2860839.75</v>
      </c>
    </row>
    <row r="728" spans="1:9" x14ac:dyDescent="0.2">
      <c r="A728" t="s">
        <v>515</v>
      </c>
      <c r="B728">
        <v>2021</v>
      </c>
      <c r="C728" t="s">
        <v>1263</v>
      </c>
      <c r="D728" s="241">
        <v>1205713</v>
      </c>
      <c r="E728">
        <v>997618</v>
      </c>
      <c r="F728">
        <v>797082</v>
      </c>
      <c r="G728">
        <v>601647</v>
      </c>
      <c r="H728">
        <v>436401</v>
      </c>
      <c r="I728">
        <v>2828246.5</v>
      </c>
    </row>
    <row r="729" spans="1:9" x14ac:dyDescent="0.2">
      <c r="A729" t="s">
        <v>515</v>
      </c>
      <c r="B729">
        <v>2022</v>
      </c>
      <c r="C729" t="s">
        <v>1264</v>
      </c>
      <c r="D729" s="241">
        <v>1216416.875</v>
      </c>
      <c r="E729">
        <v>1010808.9375</v>
      </c>
      <c r="F729">
        <v>809271</v>
      </c>
      <c r="G729">
        <v>614422</v>
      </c>
      <c r="H729">
        <v>444699.03125</v>
      </c>
      <c r="I729">
        <v>2829807.25</v>
      </c>
    </row>
    <row r="730" spans="1:9" x14ac:dyDescent="0.2">
      <c r="A730" t="s">
        <v>515</v>
      </c>
      <c r="B730">
        <v>2023</v>
      </c>
      <c r="C730" t="s">
        <v>1265</v>
      </c>
      <c r="D730" s="241">
        <v>1235016.875</v>
      </c>
      <c r="E730">
        <v>1031029.0625</v>
      </c>
      <c r="F730">
        <v>826769.0625</v>
      </c>
      <c r="G730">
        <v>632114</v>
      </c>
      <c r="H730">
        <v>455655.96875</v>
      </c>
      <c r="I730">
        <v>2854166.25</v>
      </c>
    </row>
    <row r="731" spans="1:9" x14ac:dyDescent="0.2">
      <c r="A731" t="s">
        <v>515</v>
      </c>
      <c r="B731">
        <v>2024</v>
      </c>
      <c r="C731" t="s">
        <v>1266</v>
      </c>
      <c r="D731" s="241">
        <v>1256309.25</v>
      </c>
      <c r="E731">
        <v>1053328.125</v>
      </c>
      <c r="F731">
        <v>846435.9375</v>
      </c>
      <c r="G731">
        <v>651293.9375</v>
      </c>
      <c r="H731">
        <v>468430</v>
      </c>
      <c r="I731">
        <v>2884074</v>
      </c>
    </row>
    <row r="732" spans="1:9" x14ac:dyDescent="0.2">
      <c r="A732" t="s">
        <v>435</v>
      </c>
      <c r="B732">
        <v>2020</v>
      </c>
      <c r="C732" t="s">
        <v>1267</v>
      </c>
      <c r="D732" s="241">
        <v>7505290</v>
      </c>
      <c r="E732">
        <v>5364801</v>
      </c>
      <c r="F732">
        <v>3882503.25</v>
      </c>
      <c r="G732">
        <v>2409986</v>
      </c>
      <c r="H732">
        <v>1747820</v>
      </c>
      <c r="I732">
        <v>25778816</v>
      </c>
    </row>
    <row r="733" spans="1:9" x14ac:dyDescent="0.2">
      <c r="A733" t="s">
        <v>435</v>
      </c>
      <c r="B733">
        <v>2021</v>
      </c>
      <c r="C733" t="s">
        <v>1268</v>
      </c>
      <c r="D733" s="241">
        <v>7742312</v>
      </c>
      <c r="E733">
        <v>5540898</v>
      </c>
      <c r="F733">
        <v>3988145.25</v>
      </c>
      <c r="G733">
        <v>2493232</v>
      </c>
      <c r="H733">
        <v>1740106.875</v>
      </c>
      <c r="I733">
        <v>25887044</v>
      </c>
    </row>
    <row r="734" spans="1:9" x14ac:dyDescent="0.2">
      <c r="A734" t="s">
        <v>435</v>
      </c>
      <c r="B734">
        <v>2022</v>
      </c>
      <c r="C734" t="s">
        <v>1269</v>
      </c>
      <c r="D734" s="241">
        <v>7977701</v>
      </c>
      <c r="E734">
        <v>5746381.5</v>
      </c>
      <c r="F734">
        <v>4067858.25</v>
      </c>
      <c r="G734">
        <v>2614094</v>
      </c>
      <c r="H734">
        <v>1707069.875</v>
      </c>
      <c r="I734">
        <v>25990676</v>
      </c>
    </row>
    <row r="735" spans="1:9" x14ac:dyDescent="0.2">
      <c r="A735" t="s">
        <v>435</v>
      </c>
      <c r="B735">
        <v>2023</v>
      </c>
      <c r="C735" t="s">
        <v>1270</v>
      </c>
      <c r="D735" s="241">
        <v>8199625</v>
      </c>
      <c r="E735">
        <v>5972034</v>
      </c>
      <c r="F735">
        <v>4139527.75</v>
      </c>
      <c r="G735">
        <v>2752107</v>
      </c>
      <c r="H735">
        <v>1669023</v>
      </c>
      <c r="I735">
        <v>26089816</v>
      </c>
    </row>
    <row r="736" spans="1:9" x14ac:dyDescent="0.2">
      <c r="A736" t="s">
        <v>435</v>
      </c>
      <c r="B736">
        <v>2024</v>
      </c>
      <c r="C736" t="s">
        <v>1271</v>
      </c>
      <c r="D736" s="241">
        <v>8392267</v>
      </c>
      <c r="E736">
        <v>6203082.5</v>
      </c>
      <c r="F736">
        <v>4230888</v>
      </c>
      <c r="G736">
        <v>2877890.25</v>
      </c>
      <c r="H736">
        <v>1653619</v>
      </c>
      <c r="I736">
        <v>26184714</v>
      </c>
    </row>
    <row r="737" spans="1:9" x14ac:dyDescent="0.2">
      <c r="A737" t="s">
        <v>391</v>
      </c>
      <c r="B737">
        <v>2020</v>
      </c>
      <c r="C737" t="s">
        <v>1272</v>
      </c>
      <c r="D737" s="241">
        <v>4475546.5</v>
      </c>
      <c r="E737">
        <v>3732157.75</v>
      </c>
      <c r="F737">
        <v>2994540</v>
      </c>
      <c r="G737">
        <v>2322021</v>
      </c>
      <c r="H737">
        <v>1700716.125</v>
      </c>
      <c r="I737">
        <v>10196707</v>
      </c>
    </row>
    <row r="738" spans="1:9" x14ac:dyDescent="0.2">
      <c r="A738" t="s">
        <v>391</v>
      </c>
      <c r="B738">
        <v>2021</v>
      </c>
      <c r="C738" t="s">
        <v>1273</v>
      </c>
      <c r="D738" s="241">
        <v>4524383.5</v>
      </c>
      <c r="E738">
        <v>3772973.25</v>
      </c>
      <c r="F738">
        <v>3034969.25</v>
      </c>
      <c r="G738">
        <v>2353806</v>
      </c>
      <c r="H738">
        <v>1729731</v>
      </c>
      <c r="I738">
        <v>10167924</v>
      </c>
    </row>
    <row r="739" spans="1:9" x14ac:dyDescent="0.2">
      <c r="A739" t="s">
        <v>391</v>
      </c>
      <c r="B739">
        <v>2022</v>
      </c>
      <c r="C739" t="s">
        <v>1274</v>
      </c>
      <c r="D739" s="241">
        <v>4577005</v>
      </c>
      <c r="E739">
        <v>3811790</v>
      </c>
      <c r="F739">
        <v>3077854</v>
      </c>
      <c r="G739">
        <v>2385587</v>
      </c>
      <c r="H739">
        <v>1757731.125</v>
      </c>
      <c r="I739">
        <v>10140569</v>
      </c>
    </row>
    <row r="740" spans="1:9" x14ac:dyDescent="0.2">
      <c r="A740" t="s">
        <v>391</v>
      </c>
      <c r="B740">
        <v>2023</v>
      </c>
      <c r="C740" t="s">
        <v>1275</v>
      </c>
      <c r="D740" s="241">
        <v>4631853.5</v>
      </c>
      <c r="E740">
        <v>3850519</v>
      </c>
      <c r="F740">
        <v>3122168</v>
      </c>
      <c r="G740">
        <v>2418260</v>
      </c>
      <c r="H740">
        <v>1785434.875</v>
      </c>
      <c r="I740">
        <v>10114017</v>
      </c>
    </row>
    <row r="741" spans="1:9" x14ac:dyDescent="0.2">
      <c r="A741" t="s">
        <v>391</v>
      </c>
      <c r="B741">
        <v>2024</v>
      </c>
      <c r="C741" t="s">
        <v>1276</v>
      </c>
      <c r="D741" s="241">
        <v>4686416.5</v>
      </c>
      <c r="E741">
        <v>3892140.75</v>
      </c>
      <c r="F741">
        <v>3166140</v>
      </c>
      <c r="G741">
        <v>2452978</v>
      </c>
      <c r="H741">
        <v>1813639.875</v>
      </c>
      <c r="I741">
        <v>10087499</v>
      </c>
    </row>
    <row r="742" spans="1:9" x14ac:dyDescent="0.2">
      <c r="A742" t="s">
        <v>247</v>
      </c>
      <c r="B742">
        <v>2020</v>
      </c>
      <c r="C742" t="s">
        <v>1277</v>
      </c>
      <c r="D742" s="241">
        <v>1254534.125</v>
      </c>
      <c r="E742">
        <v>963719</v>
      </c>
      <c r="F742">
        <v>706169.9375</v>
      </c>
      <c r="G742">
        <v>485794</v>
      </c>
      <c r="H742">
        <v>304008.03125</v>
      </c>
      <c r="I742">
        <v>7132529</v>
      </c>
    </row>
    <row r="743" spans="1:9" x14ac:dyDescent="0.2">
      <c r="A743" t="s">
        <v>247</v>
      </c>
      <c r="B743">
        <v>2021</v>
      </c>
      <c r="C743" t="s">
        <v>1278</v>
      </c>
      <c r="D743" s="241">
        <v>1283875</v>
      </c>
      <c r="E743">
        <v>990794.0625</v>
      </c>
      <c r="F743">
        <v>729009.0625</v>
      </c>
      <c r="G743">
        <v>504603.96875</v>
      </c>
      <c r="H743">
        <v>317832</v>
      </c>
      <c r="I743">
        <v>7219640.5</v>
      </c>
    </row>
    <row r="744" spans="1:9" x14ac:dyDescent="0.2">
      <c r="A744" t="s">
        <v>247</v>
      </c>
      <c r="B744">
        <v>2022</v>
      </c>
      <c r="C744" t="s">
        <v>1279</v>
      </c>
      <c r="D744" s="241">
        <v>1313185</v>
      </c>
      <c r="E744">
        <v>1018689.9375</v>
      </c>
      <c r="F744">
        <v>752327.9375</v>
      </c>
      <c r="G744">
        <v>523470.03125</v>
      </c>
      <c r="H744">
        <v>332523</v>
      </c>
      <c r="I744">
        <v>7305842</v>
      </c>
    </row>
    <row r="745" spans="1:9" x14ac:dyDescent="0.2">
      <c r="A745" t="s">
        <v>247</v>
      </c>
      <c r="B745">
        <v>2023</v>
      </c>
      <c r="C745" t="s">
        <v>1280</v>
      </c>
      <c r="D745" s="241">
        <v>1343086.875</v>
      </c>
      <c r="E745">
        <v>1047012.9375</v>
      </c>
      <c r="F745">
        <v>776087.0625</v>
      </c>
      <c r="G745">
        <v>542488.0625</v>
      </c>
      <c r="H745">
        <v>347774.03125</v>
      </c>
      <c r="I745">
        <v>7391010.5</v>
      </c>
    </row>
    <row r="746" spans="1:9" x14ac:dyDescent="0.2">
      <c r="A746" t="s">
        <v>247</v>
      </c>
      <c r="B746">
        <v>2024</v>
      </c>
      <c r="C746" t="s">
        <v>1281</v>
      </c>
      <c r="D746" s="241">
        <v>1374519.875</v>
      </c>
      <c r="E746">
        <v>1074992.75</v>
      </c>
      <c r="F746">
        <v>800132.9375</v>
      </c>
      <c r="G746">
        <v>561764</v>
      </c>
      <c r="H746">
        <v>363155</v>
      </c>
      <c r="I746">
        <v>7475017</v>
      </c>
    </row>
    <row r="747" spans="1:9" x14ac:dyDescent="0.2">
      <c r="A747" t="s">
        <v>293</v>
      </c>
      <c r="B747">
        <v>2020</v>
      </c>
      <c r="C747" t="s">
        <v>1282</v>
      </c>
      <c r="D747" s="241">
        <v>549234</v>
      </c>
      <c r="E747">
        <v>382403</v>
      </c>
      <c r="F747">
        <v>251915.96875</v>
      </c>
      <c r="G747">
        <v>164063.984375</v>
      </c>
      <c r="H747">
        <v>100063</v>
      </c>
      <c r="I747">
        <v>5101416</v>
      </c>
    </row>
    <row r="748" spans="1:9" x14ac:dyDescent="0.2">
      <c r="A748" t="s">
        <v>293</v>
      </c>
      <c r="B748">
        <v>2021</v>
      </c>
      <c r="C748" t="s">
        <v>1283</v>
      </c>
      <c r="D748" s="241">
        <v>573994</v>
      </c>
      <c r="E748">
        <v>401495</v>
      </c>
      <c r="F748">
        <v>264254</v>
      </c>
      <c r="G748">
        <v>170414</v>
      </c>
      <c r="H748">
        <v>104378.0078125</v>
      </c>
      <c r="I748">
        <v>5222756.5</v>
      </c>
    </row>
    <row r="749" spans="1:9" x14ac:dyDescent="0.2">
      <c r="A749" t="s">
        <v>293</v>
      </c>
      <c r="B749">
        <v>2022</v>
      </c>
      <c r="C749" t="s">
        <v>1284</v>
      </c>
      <c r="D749" s="241">
        <v>599028.9375</v>
      </c>
      <c r="E749">
        <v>421139</v>
      </c>
      <c r="F749">
        <v>277689.03125</v>
      </c>
      <c r="G749">
        <v>176826</v>
      </c>
      <c r="H749">
        <v>108447.0078125</v>
      </c>
      <c r="I749">
        <v>5345545</v>
      </c>
    </row>
    <row r="750" spans="1:9" x14ac:dyDescent="0.2">
      <c r="A750" t="s">
        <v>293</v>
      </c>
      <c r="B750">
        <v>2023</v>
      </c>
      <c r="C750" t="s">
        <v>1285</v>
      </c>
      <c r="D750" s="241">
        <v>624842</v>
      </c>
      <c r="E750">
        <v>441493.96875</v>
      </c>
      <c r="F750">
        <v>292207.9375</v>
      </c>
      <c r="G750">
        <v>183729</v>
      </c>
      <c r="H750">
        <v>112445</v>
      </c>
      <c r="I750">
        <v>5469363</v>
      </c>
    </row>
    <row r="751" spans="1:9" x14ac:dyDescent="0.2">
      <c r="A751" t="s">
        <v>293</v>
      </c>
      <c r="B751">
        <v>2024</v>
      </c>
      <c r="C751" t="s">
        <v>1286</v>
      </c>
      <c r="D751" s="241">
        <v>652162</v>
      </c>
      <c r="E751">
        <v>462779.03125</v>
      </c>
      <c r="F751">
        <v>307748.03125</v>
      </c>
      <c r="G751">
        <v>191674</v>
      </c>
      <c r="H751">
        <v>116539.9921875</v>
      </c>
      <c r="I751">
        <v>5593761.5</v>
      </c>
    </row>
    <row r="752" spans="1:9" x14ac:dyDescent="0.2">
      <c r="A752" t="s">
        <v>516</v>
      </c>
      <c r="B752">
        <v>2020</v>
      </c>
      <c r="C752" t="s">
        <v>1287</v>
      </c>
      <c r="D752" s="241">
        <v>73801.0078125</v>
      </c>
      <c r="E752">
        <v>54849.00390625</v>
      </c>
      <c r="F752">
        <v>38152</v>
      </c>
      <c r="G752">
        <v>25472</v>
      </c>
      <c r="H752">
        <v>15110</v>
      </c>
      <c r="I752">
        <v>280904</v>
      </c>
    </row>
    <row r="753" spans="1:9" x14ac:dyDescent="0.2">
      <c r="A753" t="s">
        <v>516</v>
      </c>
      <c r="B753">
        <v>2021</v>
      </c>
      <c r="C753" t="s">
        <v>1288</v>
      </c>
      <c r="D753" s="241">
        <v>76118</v>
      </c>
      <c r="E753">
        <v>56869</v>
      </c>
      <c r="F753">
        <v>39747.99609375</v>
      </c>
      <c r="G753">
        <v>26580.001953125</v>
      </c>
      <c r="H753">
        <v>15848</v>
      </c>
      <c r="I753">
        <v>282534.0625</v>
      </c>
    </row>
    <row r="754" spans="1:9" x14ac:dyDescent="0.2">
      <c r="A754" t="s">
        <v>516</v>
      </c>
      <c r="B754">
        <v>2022</v>
      </c>
      <c r="C754" t="s">
        <v>1289</v>
      </c>
      <c r="D754" s="241">
        <v>78677</v>
      </c>
      <c r="E754">
        <v>59024.0078125</v>
      </c>
      <c r="F754">
        <v>41560.00390625</v>
      </c>
      <c r="G754">
        <v>27720</v>
      </c>
      <c r="H754">
        <v>16773.998046875</v>
      </c>
      <c r="I754">
        <v>284160.03125</v>
      </c>
    </row>
    <row r="755" spans="1:9" x14ac:dyDescent="0.2">
      <c r="A755" t="s">
        <v>516</v>
      </c>
      <c r="B755">
        <v>2023</v>
      </c>
      <c r="C755" t="s">
        <v>1290</v>
      </c>
      <c r="D755" s="241">
        <v>81351</v>
      </c>
      <c r="E755">
        <v>61291.00390625</v>
      </c>
      <c r="F755">
        <v>43529.00390625</v>
      </c>
      <c r="G755">
        <v>28918.001953125</v>
      </c>
      <c r="H755">
        <v>17814</v>
      </c>
      <c r="I755">
        <v>285791.96875</v>
      </c>
    </row>
    <row r="756" spans="1:9" x14ac:dyDescent="0.2">
      <c r="A756" t="s">
        <v>516</v>
      </c>
      <c r="B756">
        <v>2024</v>
      </c>
      <c r="C756" t="s">
        <v>1291</v>
      </c>
      <c r="D756" s="241">
        <v>83914.0078125</v>
      </c>
      <c r="E756">
        <v>63615.9921875</v>
      </c>
      <c r="F756">
        <v>45551.99609375</v>
      </c>
      <c r="G756">
        <v>30212.001953125</v>
      </c>
      <c r="H756">
        <v>18863</v>
      </c>
      <c r="I756">
        <v>287416.96875</v>
      </c>
    </row>
    <row r="757" spans="1:9" x14ac:dyDescent="0.2">
      <c r="A757" t="s">
        <v>295</v>
      </c>
      <c r="B757">
        <v>2020</v>
      </c>
      <c r="C757" t="s">
        <v>1292</v>
      </c>
      <c r="D757" s="241">
        <v>356773</v>
      </c>
      <c r="E757">
        <v>201169.015625</v>
      </c>
      <c r="F757">
        <v>102612</v>
      </c>
      <c r="G757">
        <v>48662.99609375</v>
      </c>
      <c r="H757">
        <v>20816.001953125</v>
      </c>
      <c r="I757">
        <v>2881060.25</v>
      </c>
    </row>
    <row r="758" spans="1:9" x14ac:dyDescent="0.2">
      <c r="A758" t="s">
        <v>295</v>
      </c>
      <c r="B758">
        <v>2021</v>
      </c>
      <c r="C758" t="s">
        <v>1293</v>
      </c>
      <c r="D758" s="241">
        <v>387845.9375</v>
      </c>
      <c r="E758">
        <v>223325.015625</v>
      </c>
      <c r="F758">
        <v>115128.9921875</v>
      </c>
      <c r="G758">
        <v>54836.99609375</v>
      </c>
      <c r="H758">
        <v>23774</v>
      </c>
      <c r="I758">
        <v>2930524.25</v>
      </c>
    </row>
    <row r="759" spans="1:9" x14ac:dyDescent="0.2">
      <c r="A759" t="s">
        <v>295</v>
      </c>
      <c r="B759">
        <v>2022</v>
      </c>
      <c r="C759" t="s">
        <v>1294</v>
      </c>
      <c r="D759" s="241">
        <v>419041.03125</v>
      </c>
      <c r="E759">
        <v>247523</v>
      </c>
      <c r="F759">
        <v>128911.0078125</v>
      </c>
      <c r="G759">
        <v>61672.00390625</v>
      </c>
      <c r="H759">
        <v>27076.998046875</v>
      </c>
      <c r="I759">
        <v>2979914.75</v>
      </c>
    </row>
    <row r="760" spans="1:9" x14ac:dyDescent="0.2">
      <c r="A760" t="s">
        <v>295</v>
      </c>
      <c r="B760">
        <v>2023</v>
      </c>
      <c r="C760" t="s">
        <v>1295</v>
      </c>
      <c r="D760" s="241">
        <v>449467.96875</v>
      </c>
      <c r="E760">
        <v>273500.9375</v>
      </c>
      <c r="F760">
        <v>144073.015625</v>
      </c>
      <c r="G760">
        <v>69325.0078125</v>
      </c>
      <c r="H760">
        <v>30740.998046875</v>
      </c>
      <c r="I760">
        <v>3028939.75</v>
      </c>
    </row>
    <row r="761" spans="1:9" x14ac:dyDescent="0.2">
      <c r="A761" t="s">
        <v>295</v>
      </c>
      <c r="B761">
        <v>2024</v>
      </c>
      <c r="C761" t="s">
        <v>1296</v>
      </c>
      <c r="D761" s="241">
        <v>478115.03125</v>
      </c>
      <c r="E761">
        <v>300373.03125</v>
      </c>
      <c r="F761">
        <v>160859.984375</v>
      </c>
      <c r="G761">
        <v>77990.0078125</v>
      </c>
      <c r="H761">
        <v>34802</v>
      </c>
      <c r="I761">
        <v>3076460.75</v>
      </c>
    </row>
    <row r="762" spans="1:9" x14ac:dyDescent="0.2">
      <c r="A762" t="s">
        <v>517</v>
      </c>
      <c r="B762">
        <v>2020</v>
      </c>
      <c r="C762" t="s">
        <v>1297</v>
      </c>
      <c r="D762" s="241">
        <v>289005</v>
      </c>
      <c r="E762">
        <v>223647.984375</v>
      </c>
      <c r="F762">
        <v>163590</v>
      </c>
      <c r="G762">
        <v>113907.0078125</v>
      </c>
      <c r="H762">
        <v>73033</v>
      </c>
      <c r="I762">
        <v>895308</v>
      </c>
    </row>
    <row r="763" spans="1:9" x14ac:dyDescent="0.2">
      <c r="A763" t="s">
        <v>517</v>
      </c>
      <c r="B763">
        <v>2021</v>
      </c>
      <c r="C763" t="s">
        <v>1298</v>
      </c>
      <c r="D763" s="241">
        <v>296516.03125</v>
      </c>
      <c r="E763">
        <v>231819.984375</v>
      </c>
      <c r="F763">
        <v>170319.984375</v>
      </c>
      <c r="G763">
        <v>119014</v>
      </c>
      <c r="H763">
        <v>76619.9921875</v>
      </c>
      <c r="I763">
        <v>901696</v>
      </c>
    </row>
    <row r="764" spans="1:9" x14ac:dyDescent="0.2">
      <c r="A764" t="s">
        <v>517</v>
      </c>
      <c r="B764">
        <v>2022</v>
      </c>
      <c r="C764" t="s">
        <v>1299</v>
      </c>
      <c r="D764" s="241">
        <v>303458</v>
      </c>
      <c r="E764">
        <v>240079</v>
      </c>
      <c r="F764">
        <v>177292</v>
      </c>
      <c r="G764">
        <v>124169</v>
      </c>
      <c r="H764">
        <v>80557</v>
      </c>
      <c r="I764">
        <v>908063</v>
      </c>
    </row>
    <row r="765" spans="1:9" x14ac:dyDescent="0.2">
      <c r="A765" t="s">
        <v>517</v>
      </c>
      <c r="B765">
        <v>2023</v>
      </c>
      <c r="C765" t="s">
        <v>1300</v>
      </c>
      <c r="D765" s="241">
        <v>309997.96875</v>
      </c>
      <c r="E765">
        <v>248312.015625</v>
      </c>
      <c r="F765">
        <v>184538.03125</v>
      </c>
      <c r="G765">
        <v>129502</v>
      </c>
      <c r="H765">
        <v>84802</v>
      </c>
      <c r="I765">
        <v>914382.0625</v>
      </c>
    </row>
    <row r="766" spans="1:9" x14ac:dyDescent="0.2">
      <c r="A766" t="s">
        <v>517</v>
      </c>
      <c r="B766">
        <v>2024</v>
      </c>
      <c r="C766" t="s">
        <v>1301</v>
      </c>
      <c r="D766" s="241">
        <v>316440</v>
      </c>
      <c r="E766">
        <v>256351.015625</v>
      </c>
      <c r="F766">
        <v>192077</v>
      </c>
      <c r="G766">
        <v>135193</v>
      </c>
      <c r="H766">
        <v>89255.0078125</v>
      </c>
      <c r="I766">
        <v>920613.9375</v>
      </c>
    </row>
    <row r="767" spans="1:9" x14ac:dyDescent="0.2">
      <c r="A767" t="s">
        <v>393</v>
      </c>
      <c r="B767">
        <v>2020</v>
      </c>
      <c r="C767" t="s">
        <v>1302</v>
      </c>
      <c r="D767" s="241">
        <v>7558697.5</v>
      </c>
      <c r="E767">
        <v>6032549</v>
      </c>
      <c r="F767">
        <v>4989539</v>
      </c>
      <c r="G767">
        <v>3699579.25</v>
      </c>
      <c r="H767">
        <v>2453591.25</v>
      </c>
      <c r="I767">
        <v>19237680</v>
      </c>
    </row>
    <row r="768" spans="1:9" x14ac:dyDescent="0.2">
      <c r="A768" t="s">
        <v>393</v>
      </c>
      <c r="B768">
        <v>2021</v>
      </c>
      <c r="C768" t="s">
        <v>1303</v>
      </c>
      <c r="D768" s="241">
        <v>7610019</v>
      </c>
      <c r="E768">
        <v>6059161.5</v>
      </c>
      <c r="F768">
        <v>4978991</v>
      </c>
      <c r="G768">
        <v>3760248</v>
      </c>
      <c r="H768">
        <v>2507614</v>
      </c>
      <c r="I768">
        <v>19127774</v>
      </c>
    </row>
    <row r="769" spans="1:9" x14ac:dyDescent="0.2">
      <c r="A769" t="s">
        <v>393</v>
      </c>
      <c r="B769">
        <v>2022</v>
      </c>
      <c r="C769" t="s">
        <v>1304</v>
      </c>
      <c r="D769" s="241">
        <v>7662648</v>
      </c>
      <c r="E769">
        <v>6122665</v>
      </c>
      <c r="F769">
        <v>4950401</v>
      </c>
      <c r="G769">
        <v>3822524</v>
      </c>
      <c r="H769">
        <v>2567612.75</v>
      </c>
      <c r="I769">
        <v>19031332</v>
      </c>
    </row>
    <row r="770" spans="1:9" x14ac:dyDescent="0.2">
      <c r="A770" t="s">
        <v>393</v>
      </c>
      <c r="B770">
        <v>2023</v>
      </c>
      <c r="C770" t="s">
        <v>1305</v>
      </c>
      <c r="D770" s="241">
        <v>7717239.5</v>
      </c>
      <c r="E770">
        <v>6209355.5</v>
      </c>
      <c r="F770">
        <v>4916964.5</v>
      </c>
      <c r="G770">
        <v>3878455</v>
      </c>
      <c r="H770">
        <v>2630408</v>
      </c>
      <c r="I770">
        <v>18944132</v>
      </c>
    </row>
    <row r="771" spans="1:9" x14ac:dyDescent="0.2">
      <c r="A771" t="s">
        <v>393</v>
      </c>
      <c r="B771">
        <v>2024</v>
      </c>
      <c r="C771" t="s">
        <v>1306</v>
      </c>
      <c r="D771" s="241">
        <v>7774488</v>
      </c>
      <c r="E771">
        <v>6295846</v>
      </c>
      <c r="F771">
        <v>4897703.5</v>
      </c>
      <c r="G771">
        <v>3915161.75</v>
      </c>
      <c r="H771">
        <v>2690355</v>
      </c>
      <c r="I771">
        <v>18859616</v>
      </c>
    </row>
    <row r="772" spans="1:9" x14ac:dyDescent="0.2">
      <c r="A772" t="s">
        <v>395</v>
      </c>
      <c r="B772">
        <v>2020</v>
      </c>
      <c r="C772" t="s">
        <v>1307</v>
      </c>
      <c r="D772" s="241">
        <v>51604156</v>
      </c>
      <c r="E772">
        <v>43124508</v>
      </c>
      <c r="F772">
        <v>32706490</v>
      </c>
      <c r="G772">
        <v>22632870</v>
      </c>
      <c r="H772">
        <v>14205124</v>
      </c>
      <c r="I772">
        <v>145934464</v>
      </c>
    </row>
    <row r="773" spans="1:9" x14ac:dyDescent="0.2">
      <c r="A773" t="s">
        <v>395</v>
      </c>
      <c r="B773">
        <v>2021</v>
      </c>
      <c r="C773" t="s">
        <v>1308</v>
      </c>
      <c r="D773" s="241">
        <v>51824316</v>
      </c>
      <c r="E773">
        <v>43408268</v>
      </c>
      <c r="F773">
        <v>33432008</v>
      </c>
      <c r="G773">
        <v>23342106</v>
      </c>
      <c r="H773">
        <v>14668997</v>
      </c>
      <c r="I773">
        <v>145912032</v>
      </c>
    </row>
    <row r="774" spans="1:9" x14ac:dyDescent="0.2">
      <c r="A774" t="s">
        <v>395</v>
      </c>
      <c r="B774">
        <v>2022</v>
      </c>
      <c r="C774" t="s">
        <v>1309</v>
      </c>
      <c r="D774" s="241">
        <v>52082172</v>
      </c>
      <c r="E774">
        <v>43501364</v>
      </c>
      <c r="F774">
        <v>34106992</v>
      </c>
      <c r="G774">
        <v>24004026</v>
      </c>
      <c r="H774">
        <v>15166976</v>
      </c>
      <c r="I774">
        <v>145805920</v>
      </c>
    </row>
    <row r="775" spans="1:9" x14ac:dyDescent="0.2">
      <c r="A775" t="s">
        <v>395</v>
      </c>
      <c r="B775">
        <v>2023</v>
      </c>
      <c r="C775" t="s">
        <v>1310</v>
      </c>
      <c r="D775" s="241">
        <v>52367828</v>
      </c>
      <c r="E775">
        <v>43479948</v>
      </c>
      <c r="F775">
        <v>34696200</v>
      </c>
      <c r="G775">
        <v>24621828</v>
      </c>
      <c r="H775">
        <v>15682230</v>
      </c>
      <c r="I775">
        <v>145628560</v>
      </c>
    </row>
    <row r="776" spans="1:9" x14ac:dyDescent="0.2">
      <c r="A776" t="s">
        <v>395</v>
      </c>
      <c r="B776">
        <v>2024</v>
      </c>
      <c r="C776" t="s">
        <v>1311</v>
      </c>
      <c r="D776" s="241">
        <v>52657248</v>
      </c>
      <c r="E776">
        <v>43458144</v>
      </c>
      <c r="F776">
        <v>35149336</v>
      </c>
      <c r="G776">
        <v>25207702</v>
      </c>
      <c r="H776">
        <v>16194716</v>
      </c>
      <c r="I776">
        <v>145399104</v>
      </c>
    </row>
    <row r="777" spans="1:9" x14ac:dyDescent="0.2">
      <c r="A777" t="s">
        <v>161</v>
      </c>
      <c r="B777">
        <v>2020</v>
      </c>
      <c r="C777" t="s">
        <v>1312</v>
      </c>
      <c r="D777" s="241">
        <v>1391700.125</v>
      </c>
      <c r="E777">
        <v>1037281</v>
      </c>
      <c r="F777">
        <v>663252.9375</v>
      </c>
      <c r="G777">
        <v>404016</v>
      </c>
      <c r="H777">
        <v>218099</v>
      </c>
      <c r="I777">
        <v>12952208</v>
      </c>
    </row>
    <row r="778" spans="1:9" x14ac:dyDescent="0.2">
      <c r="A778" t="s">
        <v>161</v>
      </c>
      <c r="B778">
        <v>2021</v>
      </c>
      <c r="C778" t="s">
        <v>1313</v>
      </c>
      <c r="D778" s="241">
        <v>1435499</v>
      </c>
      <c r="E778">
        <v>1074995</v>
      </c>
      <c r="F778">
        <v>702617.9375</v>
      </c>
      <c r="G778">
        <v>425793</v>
      </c>
      <c r="H778">
        <v>231764</v>
      </c>
      <c r="I778">
        <v>13276518</v>
      </c>
    </row>
    <row r="779" spans="1:9" x14ac:dyDescent="0.2">
      <c r="A779" t="s">
        <v>161</v>
      </c>
      <c r="B779">
        <v>2022</v>
      </c>
      <c r="C779" t="s">
        <v>1314</v>
      </c>
      <c r="D779" s="241">
        <v>1485439.75</v>
      </c>
      <c r="E779">
        <v>1109497.75</v>
      </c>
      <c r="F779">
        <v>747417.0625</v>
      </c>
      <c r="G779">
        <v>447861.96875</v>
      </c>
      <c r="H779">
        <v>246979</v>
      </c>
      <c r="I779">
        <v>13600466</v>
      </c>
    </row>
    <row r="780" spans="1:9" x14ac:dyDescent="0.2">
      <c r="A780" t="s">
        <v>161</v>
      </c>
      <c r="B780">
        <v>2023</v>
      </c>
      <c r="C780" t="s">
        <v>1315</v>
      </c>
      <c r="D780" s="241">
        <v>1540590</v>
      </c>
      <c r="E780">
        <v>1142620</v>
      </c>
      <c r="F780">
        <v>794476</v>
      </c>
      <c r="G780">
        <v>471417</v>
      </c>
      <c r="H780">
        <v>263250</v>
      </c>
      <c r="I780">
        <v>13924495</v>
      </c>
    </row>
    <row r="781" spans="1:9" x14ac:dyDescent="0.2">
      <c r="A781" t="s">
        <v>161</v>
      </c>
      <c r="B781">
        <v>2024</v>
      </c>
      <c r="C781" t="s">
        <v>1316</v>
      </c>
      <c r="D781" s="241">
        <v>1599019</v>
      </c>
      <c r="E781">
        <v>1177152</v>
      </c>
      <c r="F781">
        <v>838810.0625</v>
      </c>
      <c r="G781">
        <v>498136</v>
      </c>
      <c r="H781">
        <v>279771</v>
      </c>
      <c r="I781">
        <v>14249746</v>
      </c>
    </row>
    <row r="782" spans="1:9" x14ac:dyDescent="0.2">
      <c r="A782" t="s">
        <v>297</v>
      </c>
      <c r="B782">
        <v>2020</v>
      </c>
      <c r="C782" t="s">
        <v>1317</v>
      </c>
      <c r="D782" s="241">
        <v>5253457.5</v>
      </c>
      <c r="E782">
        <v>3361712.25</v>
      </c>
      <c r="F782">
        <v>2036886</v>
      </c>
      <c r="G782">
        <v>1217949</v>
      </c>
      <c r="H782">
        <v>663365</v>
      </c>
      <c r="I782">
        <v>34813868</v>
      </c>
    </row>
    <row r="783" spans="1:9" x14ac:dyDescent="0.2">
      <c r="A783" t="s">
        <v>297</v>
      </c>
      <c r="B783">
        <v>2021</v>
      </c>
      <c r="C783" t="s">
        <v>1318</v>
      </c>
      <c r="D783" s="241">
        <v>5629669.5</v>
      </c>
      <c r="E783">
        <v>3593086</v>
      </c>
      <c r="F783">
        <v>2178167</v>
      </c>
      <c r="G783">
        <v>1289906.875</v>
      </c>
      <c r="H783">
        <v>702290.0625</v>
      </c>
      <c r="I783">
        <v>35340688</v>
      </c>
    </row>
    <row r="784" spans="1:9" x14ac:dyDescent="0.2">
      <c r="A784" t="s">
        <v>297</v>
      </c>
      <c r="B784">
        <v>2022</v>
      </c>
      <c r="C784" t="s">
        <v>1319</v>
      </c>
      <c r="D784" s="241">
        <v>6024815.5</v>
      </c>
      <c r="E784">
        <v>3834621.75</v>
      </c>
      <c r="F784">
        <v>2336068</v>
      </c>
      <c r="G784">
        <v>1363898.25</v>
      </c>
      <c r="H784">
        <v>747487.9375</v>
      </c>
      <c r="I784">
        <v>35844912</v>
      </c>
    </row>
    <row r="785" spans="1:9" x14ac:dyDescent="0.2">
      <c r="A785" t="s">
        <v>297</v>
      </c>
      <c r="B785">
        <v>2023</v>
      </c>
      <c r="C785" t="s">
        <v>1320</v>
      </c>
      <c r="D785" s="241">
        <v>6437349.5</v>
      </c>
      <c r="E785">
        <v>4092977</v>
      </c>
      <c r="F785">
        <v>2509375</v>
      </c>
      <c r="G785">
        <v>1444123</v>
      </c>
      <c r="H785">
        <v>797186.9375</v>
      </c>
      <c r="I785">
        <v>36329424</v>
      </c>
    </row>
    <row r="786" spans="1:9" x14ac:dyDescent="0.2">
      <c r="A786" t="s">
        <v>297</v>
      </c>
      <c r="B786">
        <v>2024</v>
      </c>
      <c r="C786" t="s">
        <v>1321</v>
      </c>
      <c r="D786" s="241">
        <v>6866782.5</v>
      </c>
      <c r="E786">
        <v>4376409</v>
      </c>
      <c r="F786">
        <v>2695404</v>
      </c>
      <c r="G786">
        <v>1536310</v>
      </c>
      <c r="H786">
        <v>848670</v>
      </c>
      <c r="I786">
        <v>36796736</v>
      </c>
    </row>
    <row r="787" spans="1:9" x14ac:dyDescent="0.2">
      <c r="A787" t="s">
        <v>299</v>
      </c>
      <c r="B787">
        <v>2020</v>
      </c>
      <c r="C787" t="s">
        <v>1322</v>
      </c>
      <c r="D787" s="241">
        <v>5039084.5</v>
      </c>
      <c r="E787">
        <v>3614527.75</v>
      </c>
      <c r="F787">
        <v>2486133</v>
      </c>
      <c r="G787">
        <v>1611077</v>
      </c>
      <c r="H787">
        <v>950173</v>
      </c>
      <c r="I787">
        <v>43849256</v>
      </c>
    </row>
    <row r="788" spans="1:9" x14ac:dyDescent="0.2">
      <c r="A788" t="s">
        <v>299</v>
      </c>
      <c r="B788">
        <v>2021</v>
      </c>
      <c r="C788" t="s">
        <v>1323</v>
      </c>
      <c r="D788" s="241">
        <v>5210448</v>
      </c>
      <c r="E788">
        <v>3744203</v>
      </c>
      <c r="F788">
        <v>2574558.75</v>
      </c>
      <c r="G788">
        <v>1671070.125</v>
      </c>
      <c r="H788">
        <v>990380</v>
      </c>
      <c r="I788">
        <v>44909352</v>
      </c>
    </row>
    <row r="789" spans="1:9" x14ac:dyDescent="0.2">
      <c r="A789" t="s">
        <v>299</v>
      </c>
      <c r="B789">
        <v>2022</v>
      </c>
      <c r="C789" t="s">
        <v>1324</v>
      </c>
      <c r="D789" s="241">
        <v>5388815</v>
      </c>
      <c r="E789">
        <v>3881882</v>
      </c>
      <c r="F789">
        <v>2667358.25</v>
      </c>
      <c r="G789">
        <v>1732319</v>
      </c>
      <c r="H789">
        <v>1030424.0625</v>
      </c>
      <c r="I789">
        <v>45992020</v>
      </c>
    </row>
    <row r="790" spans="1:9" x14ac:dyDescent="0.2">
      <c r="A790" t="s">
        <v>299</v>
      </c>
      <c r="B790">
        <v>2023</v>
      </c>
      <c r="C790" t="s">
        <v>1325</v>
      </c>
      <c r="D790" s="241">
        <v>5574499</v>
      </c>
      <c r="E790">
        <v>4026700.25</v>
      </c>
      <c r="F790">
        <v>2765282.25</v>
      </c>
      <c r="G790">
        <v>1795556</v>
      </c>
      <c r="H790">
        <v>1070387</v>
      </c>
      <c r="I790">
        <v>47095256</v>
      </c>
    </row>
    <row r="791" spans="1:9" x14ac:dyDescent="0.2">
      <c r="A791" t="s">
        <v>299</v>
      </c>
      <c r="B791">
        <v>2024</v>
      </c>
      <c r="C791" t="s">
        <v>1326</v>
      </c>
      <c r="D791" s="241">
        <v>5767885</v>
      </c>
      <c r="E791">
        <v>4177141</v>
      </c>
      <c r="F791">
        <v>2869079.25</v>
      </c>
      <c r="G791">
        <v>1861466.75</v>
      </c>
      <c r="H791">
        <v>1110210</v>
      </c>
      <c r="I791">
        <v>48216424</v>
      </c>
    </row>
    <row r="792" spans="1:9" x14ac:dyDescent="0.2">
      <c r="A792" t="s">
        <v>163</v>
      </c>
      <c r="B792">
        <v>2020</v>
      </c>
      <c r="C792" t="s">
        <v>1327</v>
      </c>
      <c r="D792" s="241">
        <v>1640993.125</v>
      </c>
      <c r="E792">
        <v>1173728</v>
      </c>
      <c r="F792">
        <v>806293</v>
      </c>
      <c r="G792">
        <v>520427</v>
      </c>
      <c r="H792">
        <v>300529.03125</v>
      </c>
      <c r="I792">
        <v>16743928</v>
      </c>
    </row>
    <row r="793" spans="1:9" x14ac:dyDescent="0.2">
      <c r="A793" t="s">
        <v>163</v>
      </c>
      <c r="B793">
        <v>2021</v>
      </c>
      <c r="C793" t="s">
        <v>1328</v>
      </c>
      <c r="D793" s="241">
        <v>1699432</v>
      </c>
      <c r="E793">
        <v>1213820.875</v>
      </c>
      <c r="F793">
        <v>832864.125</v>
      </c>
      <c r="G793">
        <v>538152.0625</v>
      </c>
      <c r="H793">
        <v>311925</v>
      </c>
      <c r="I793">
        <v>17196310</v>
      </c>
    </row>
    <row r="794" spans="1:9" x14ac:dyDescent="0.2">
      <c r="A794" t="s">
        <v>163</v>
      </c>
      <c r="B794">
        <v>2022</v>
      </c>
      <c r="C794" t="s">
        <v>1329</v>
      </c>
      <c r="D794" s="241">
        <v>1760294.25</v>
      </c>
      <c r="E794">
        <v>1255464.25</v>
      </c>
      <c r="F794">
        <v>860160.875</v>
      </c>
      <c r="G794">
        <v>555433.9375</v>
      </c>
      <c r="H794">
        <v>323254</v>
      </c>
      <c r="I794">
        <v>17653670</v>
      </c>
    </row>
    <row r="795" spans="1:9" x14ac:dyDescent="0.2">
      <c r="A795" t="s">
        <v>163</v>
      </c>
      <c r="B795">
        <v>2023</v>
      </c>
      <c r="C795" t="s">
        <v>1330</v>
      </c>
      <c r="D795" s="241">
        <v>1824295</v>
      </c>
      <c r="E795">
        <v>1299257.125</v>
      </c>
      <c r="F795">
        <v>888678</v>
      </c>
      <c r="G795">
        <v>572828</v>
      </c>
      <c r="H795">
        <v>334456</v>
      </c>
      <c r="I795">
        <v>18116522</v>
      </c>
    </row>
    <row r="796" spans="1:9" x14ac:dyDescent="0.2">
      <c r="A796" t="s">
        <v>163</v>
      </c>
      <c r="B796">
        <v>2024</v>
      </c>
      <c r="C796" t="s">
        <v>1331</v>
      </c>
      <c r="D796" s="241">
        <v>1892297</v>
      </c>
      <c r="E796">
        <v>1345920</v>
      </c>
      <c r="F796">
        <v>918984.9375</v>
      </c>
      <c r="G796">
        <v>590972.9375</v>
      </c>
      <c r="H796">
        <v>345346.03125</v>
      </c>
      <c r="I796">
        <v>18585814</v>
      </c>
    </row>
    <row r="797" spans="1:9" x14ac:dyDescent="0.2">
      <c r="A797" t="s">
        <v>482</v>
      </c>
      <c r="B797">
        <v>2020</v>
      </c>
      <c r="C797" t="s">
        <v>1332</v>
      </c>
      <c r="D797" s="241">
        <v>2170966</v>
      </c>
      <c r="E797">
        <v>1704554.875</v>
      </c>
      <c r="F797">
        <v>1224743.875</v>
      </c>
      <c r="G797">
        <v>781113</v>
      </c>
      <c r="H797">
        <v>425419</v>
      </c>
      <c r="I797">
        <v>5850342.5</v>
      </c>
    </row>
    <row r="798" spans="1:9" x14ac:dyDescent="0.2">
      <c r="A798" t="s">
        <v>482</v>
      </c>
      <c r="B798">
        <v>2021</v>
      </c>
      <c r="C798" t="s">
        <v>1333</v>
      </c>
      <c r="D798" s="241">
        <v>2237443.75</v>
      </c>
      <c r="E798">
        <v>1769592.75</v>
      </c>
      <c r="F798">
        <v>1292680.75</v>
      </c>
      <c r="G798">
        <v>841188.9375</v>
      </c>
      <c r="H798">
        <v>464837</v>
      </c>
      <c r="I798">
        <v>5896684.5</v>
      </c>
    </row>
    <row r="799" spans="1:9" x14ac:dyDescent="0.2">
      <c r="A799" t="s">
        <v>482</v>
      </c>
      <c r="B799">
        <v>2022</v>
      </c>
      <c r="C799" t="s">
        <v>1334</v>
      </c>
      <c r="D799" s="241">
        <v>2308717.25</v>
      </c>
      <c r="E799">
        <v>1835039</v>
      </c>
      <c r="F799">
        <v>1362969</v>
      </c>
      <c r="G799">
        <v>903903</v>
      </c>
      <c r="H799">
        <v>510935.96875</v>
      </c>
      <c r="I799">
        <v>5943551</v>
      </c>
    </row>
    <row r="800" spans="1:9" x14ac:dyDescent="0.2">
      <c r="A800" t="s">
        <v>482</v>
      </c>
      <c r="B800">
        <v>2023</v>
      </c>
      <c r="C800" t="s">
        <v>1335</v>
      </c>
      <c r="D800" s="241">
        <v>2382585.75</v>
      </c>
      <c r="E800">
        <v>1900888</v>
      </c>
      <c r="F800">
        <v>1434190.125</v>
      </c>
      <c r="G800">
        <v>968665.9375</v>
      </c>
      <c r="H800">
        <v>562274</v>
      </c>
      <c r="I800">
        <v>5990291.5</v>
      </c>
    </row>
    <row r="801" spans="1:9" x14ac:dyDescent="0.2">
      <c r="A801" t="s">
        <v>482</v>
      </c>
      <c r="B801">
        <v>2024</v>
      </c>
      <c r="C801" t="s">
        <v>1336</v>
      </c>
      <c r="D801" s="241">
        <v>2455096.25</v>
      </c>
      <c r="E801">
        <v>1966831</v>
      </c>
      <c r="F801">
        <v>1503870</v>
      </c>
      <c r="G801">
        <v>1034399.0625</v>
      </c>
      <c r="H801">
        <v>616451.9375</v>
      </c>
      <c r="I801">
        <v>6035675</v>
      </c>
    </row>
    <row r="802" spans="1:9" x14ac:dyDescent="0.2">
      <c r="A802" t="s">
        <v>484</v>
      </c>
      <c r="B802">
        <v>2020</v>
      </c>
      <c r="C802" t="s">
        <v>1337</v>
      </c>
      <c r="D802" s="241">
        <v>79332.9921875</v>
      </c>
      <c r="E802">
        <v>56527.00390625</v>
      </c>
      <c r="F802">
        <v>38638.00390625</v>
      </c>
      <c r="G802">
        <v>25213.001953125</v>
      </c>
      <c r="H802">
        <v>15660</v>
      </c>
      <c r="I802">
        <v>686878.0625</v>
      </c>
    </row>
    <row r="803" spans="1:9" x14ac:dyDescent="0.2">
      <c r="A803" t="s">
        <v>484</v>
      </c>
      <c r="B803">
        <v>2021</v>
      </c>
      <c r="C803" t="s">
        <v>1338</v>
      </c>
      <c r="D803" s="241">
        <v>82936.9921875</v>
      </c>
      <c r="E803">
        <v>58777.00390625</v>
      </c>
      <c r="F803">
        <v>40245.00390625</v>
      </c>
      <c r="G803">
        <v>26201.001953125</v>
      </c>
      <c r="H803">
        <v>16252.0009765625</v>
      </c>
      <c r="I803">
        <v>703994.875</v>
      </c>
    </row>
    <row r="804" spans="1:9" x14ac:dyDescent="0.2">
      <c r="A804" t="s">
        <v>484</v>
      </c>
      <c r="B804">
        <v>2022</v>
      </c>
      <c r="C804" t="s">
        <v>1339</v>
      </c>
      <c r="D804" s="241">
        <v>86840</v>
      </c>
      <c r="E804">
        <v>61083</v>
      </c>
      <c r="F804">
        <v>41947</v>
      </c>
      <c r="G804">
        <v>27249.998046875</v>
      </c>
      <c r="H804">
        <v>16822.998046875</v>
      </c>
      <c r="I804">
        <v>721164</v>
      </c>
    </row>
    <row r="805" spans="1:9" x14ac:dyDescent="0.2">
      <c r="A805" t="s">
        <v>484</v>
      </c>
      <c r="B805">
        <v>2023</v>
      </c>
      <c r="C805" t="s">
        <v>1340</v>
      </c>
      <c r="D805" s="241">
        <v>90987.9921875</v>
      </c>
      <c r="E805">
        <v>63516</v>
      </c>
      <c r="F805">
        <v>43725</v>
      </c>
      <c r="G805">
        <v>28359.001953125</v>
      </c>
      <c r="H805">
        <v>17388</v>
      </c>
      <c r="I805">
        <v>738415.9375</v>
      </c>
    </row>
    <row r="806" spans="1:9" x14ac:dyDescent="0.2">
      <c r="A806" t="s">
        <v>484</v>
      </c>
      <c r="B806">
        <v>2024</v>
      </c>
      <c r="C806" t="s">
        <v>1341</v>
      </c>
      <c r="D806" s="241">
        <v>95323</v>
      </c>
      <c r="E806">
        <v>66214.0078125</v>
      </c>
      <c r="F806">
        <v>45577</v>
      </c>
      <c r="G806">
        <v>29542</v>
      </c>
      <c r="H806">
        <v>17996</v>
      </c>
      <c r="I806">
        <v>755823.0625</v>
      </c>
    </row>
    <row r="807" spans="1:9" x14ac:dyDescent="0.2">
      <c r="A807" t="s">
        <v>165</v>
      </c>
      <c r="B807">
        <v>2020</v>
      </c>
      <c r="C807" t="s">
        <v>1342</v>
      </c>
      <c r="D807" s="241">
        <v>788446.0625</v>
      </c>
      <c r="E807">
        <v>552053</v>
      </c>
      <c r="F807">
        <v>369313</v>
      </c>
      <c r="G807">
        <v>233514</v>
      </c>
      <c r="H807">
        <v>135288</v>
      </c>
      <c r="I807">
        <v>7976986.5</v>
      </c>
    </row>
    <row r="808" spans="1:9" x14ac:dyDescent="0.2">
      <c r="A808" t="s">
        <v>165</v>
      </c>
      <c r="B808">
        <v>2021</v>
      </c>
      <c r="C808" t="s">
        <v>1343</v>
      </c>
      <c r="D808" s="241">
        <v>811251.0625</v>
      </c>
      <c r="E808">
        <v>567317</v>
      </c>
      <c r="F808">
        <v>378943.96875</v>
      </c>
      <c r="G808">
        <v>239197.015625</v>
      </c>
      <c r="H808">
        <v>139064.015625</v>
      </c>
      <c r="I808">
        <v>8141343</v>
      </c>
    </row>
    <row r="809" spans="1:9" x14ac:dyDescent="0.2">
      <c r="A809" t="s">
        <v>165</v>
      </c>
      <c r="B809">
        <v>2022</v>
      </c>
      <c r="C809" t="s">
        <v>1344</v>
      </c>
      <c r="D809" s="241">
        <v>835501</v>
      </c>
      <c r="E809">
        <v>583379</v>
      </c>
      <c r="F809">
        <v>388952.96875</v>
      </c>
      <c r="G809">
        <v>244674.015625</v>
      </c>
      <c r="H809">
        <v>142177</v>
      </c>
      <c r="I809">
        <v>8306443.5</v>
      </c>
    </row>
    <row r="810" spans="1:9" x14ac:dyDescent="0.2">
      <c r="A810" t="s">
        <v>165</v>
      </c>
      <c r="B810">
        <v>2023</v>
      </c>
      <c r="C810" t="s">
        <v>1345</v>
      </c>
      <c r="D810" s="241">
        <v>861111</v>
      </c>
      <c r="E810">
        <v>600244</v>
      </c>
      <c r="F810">
        <v>399322.03125</v>
      </c>
      <c r="G810">
        <v>250012</v>
      </c>
      <c r="H810">
        <v>144689.984375</v>
      </c>
      <c r="I810">
        <v>8472212</v>
      </c>
    </row>
    <row r="811" spans="1:9" x14ac:dyDescent="0.2">
      <c r="A811" t="s">
        <v>165</v>
      </c>
      <c r="B811">
        <v>2024</v>
      </c>
      <c r="C811" t="s">
        <v>1346</v>
      </c>
      <c r="D811" s="241">
        <v>887921</v>
      </c>
      <c r="E811">
        <v>617901.0625</v>
      </c>
      <c r="F811">
        <v>410009.96875</v>
      </c>
      <c r="G811">
        <v>255292.96875</v>
      </c>
      <c r="H811">
        <v>146677.984375</v>
      </c>
      <c r="I811">
        <v>8638685</v>
      </c>
    </row>
    <row r="812" spans="1:9" x14ac:dyDescent="0.2">
      <c r="A812" t="s">
        <v>249</v>
      </c>
      <c r="B812">
        <v>2020</v>
      </c>
      <c r="C812" t="s">
        <v>1347</v>
      </c>
      <c r="D812" s="241">
        <v>1350157.125</v>
      </c>
      <c r="E812">
        <v>1047030</v>
      </c>
      <c r="F812">
        <v>782086</v>
      </c>
      <c r="G812">
        <v>561118.9375</v>
      </c>
      <c r="H812">
        <v>375789.96875</v>
      </c>
      <c r="I812">
        <v>6486200</v>
      </c>
    </row>
    <row r="813" spans="1:9" x14ac:dyDescent="0.2">
      <c r="A813" t="s">
        <v>249</v>
      </c>
      <c r="B813">
        <v>2021</v>
      </c>
      <c r="C813" t="s">
        <v>1348</v>
      </c>
      <c r="D813" s="241">
        <v>1378173.125</v>
      </c>
      <c r="E813">
        <v>1070477.875</v>
      </c>
      <c r="F813">
        <v>800898.9375</v>
      </c>
      <c r="G813">
        <v>575436.9375</v>
      </c>
      <c r="H813">
        <v>386301</v>
      </c>
      <c r="I813">
        <v>6518500.5</v>
      </c>
    </row>
    <row r="814" spans="1:9" x14ac:dyDescent="0.2">
      <c r="A814" t="s">
        <v>249</v>
      </c>
      <c r="B814">
        <v>2022</v>
      </c>
      <c r="C814" t="s">
        <v>1349</v>
      </c>
      <c r="D814" s="241">
        <v>1407176.125</v>
      </c>
      <c r="E814">
        <v>1094574.125</v>
      </c>
      <c r="F814">
        <v>820628.875</v>
      </c>
      <c r="G814">
        <v>589769.9375</v>
      </c>
      <c r="H814">
        <v>397498.03125</v>
      </c>
      <c r="I814">
        <v>6550396.5</v>
      </c>
    </row>
    <row r="815" spans="1:9" x14ac:dyDescent="0.2">
      <c r="A815" t="s">
        <v>249</v>
      </c>
      <c r="B815">
        <v>2023</v>
      </c>
      <c r="C815" t="s">
        <v>1350</v>
      </c>
      <c r="D815" s="241">
        <v>1437052.875</v>
      </c>
      <c r="E815">
        <v>1119322.125</v>
      </c>
      <c r="F815">
        <v>841121.0625</v>
      </c>
      <c r="G815">
        <v>604329</v>
      </c>
      <c r="H815">
        <v>409154.96875</v>
      </c>
      <c r="I815">
        <v>6581790</v>
      </c>
    </row>
    <row r="816" spans="1:9" x14ac:dyDescent="0.2">
      <c r="A816" t="s">
        <v>249</v>
      </c>
      <c r="B816">
        <v>2024</v>
      </c>
      <c r="C816" t="s">
        <v>1351</v>
      </c>
      <c r="D816" s="241">
        <v>1467584</v>
      </c>
      <c r="E816">
        <v>1144699.125</v>
      </c>
      <c r="F816">
        <v>862089.0625</v>
      </c>
      <c r="G816">
        <v>619425</v>
      </c>
      <c r="H816">
        <v>420879.03125</v>
      </c>
      <c r="I816">
        <v>6612661.5</v>
      </c>
    </row>
    <row r="817" spans="1:9" x14ac:dyDescent="0.2">
      <c r="A817" t="s">
        <v>301</v>
      </c>
      <c r="B817">
        <v>2020</v>
      </c>
      <c r="C817" t="s">
        <v>1352</v>
      </c>
      <c r="D817" s="241">
        <v>1458091</v>
      </c>
      <c r="E817">
        <v>1050799</v>
      </c>
      <c r="F817">
        <v>724118.9375</v>
      </c>
      <c r="G817">
        <v>461244.03125</v>
      </c>
      <c r="H817">
        <v>261329.015625</v>
      </c>
      <c r="I817">
        <v>15893219</v>
      </c>
    </row>
    <row r="818" spans="1:9" x14ac:dyDescent="0.2">
      <c r="A818" t="s">
        <v>301</v>
      </c>
      <c r="B818">
        <v>2021</v>
      </c>
      <c r="C818" t="s">
        <v>1353</v>
      </c>
      <c r="D818" s="241">
        <v>1498485.125</v>
      </c>
      <c r="E818">
        <v>1080070</v>
      </c>
      <c r="F818">
        <v>745134</v>
      </c>
      <c r="G818">
        <v>477324.90625</v>
      </c>
      <c r="H818">
        <v>272883.96875</v>
      </c>
      <c r="I818">
        <v>16359500</v>
      </c>
    </row>
    <row r="819" spans="1:9" x14ac:dyDescent="0.2">
      <c r="A819" t="s">
        <v>301</v>
      </c>
      <c r="B819">
        <v>2022</v>
      </c>
      <c r="C819" t="s">
        <v>1354</v>
      </c>
      <c r="D819" s="241">
        <v>1541684</v>
      </c>
      <c r="E819">
        <v>1111252</v>
      </c>
      <c r="F819">
        <v>766715.0625</v>
      </c>
      <c r="G819">
        <v>493409.0625</v>
      </c>
      <c r="H819">
        <v>284057</v>
      </c>
      <c r="I819">
        <v>16841804</v>
      </c>
    </row>
    <row r="820" spans="1:9" x14ac:dyDescent="0.2">
      <c r="A820" t="s">
        <v>301</v>
      </c>
      <c r="B820">
        <v>2023</v>
      </c>
      <c r="C820" t="s">
        <v>1355</v>
      </c>
      <c r="D820" s="241">
        <v>1586756.875</v>
      </c>
      <c r="E820">
        <v>1144160.875</v>
      </c>
      <c r="F820">
        <v>788984</v>
      </c>
      <c r="G820">
        <v>509433</v>
      </c>
      <c r="H820">
        <v>294757.03125</v>
      </c>
      <c r="I820">
        <v>17339390</v>
      </c>
    </row>
    <row r="821" spans="1:9" x14ac:dyDescent="0.2">
      <c r="A821" t="s">
        <v>301</v>
      </c>
      <c r="B821">
        <v>2024</v>
      </c>
      <c r="C821" t="s">
        <v>1356</v>
      </c>
      <c r="D821" s="241">
        <v>1632369</v>
      </c>
      <c r="E821">
        <v>1178529</v>
      </c>
      <c r="F821">
        <v>812095</v>
      </c>
      <c r="G821">
        <v>525269.0625</v>
      </c>
      <c r="H821">
        <v>304887</v>
      </c>
      <c r="I821">
        <v>17851258</v>
      </c>
    </row>
    <row r="822" spans="1:9" x14ac:dyDescent="0.2">
      <c r="A822" t="s">
        <v>399</v>
      </c>
      <c r="B822">
        <v>2020</v>
      </c>
      <c r="C822" t="s">
        <v>1357</v>
      </c>
      <c r="D822" s="241">
        <v>3334575</v>
      </c>
      <c r="E822">
        <v>2763926</v>
      </c>
      <c r="F822">
        <v>2213067</v>
      </c>
      <c r="G822">
        <v>1665213</v>
      </c>
      <c r="H822">
        <v>1070596.125</v>
      </c>
      <c r="I822">
        <v>8737370</v>
      </c>
    </row>
    <row r="823" spans="1:9" x14ac:dyDescent="0.2">
      <c r="A823" t="s">
        <v>399</v>
      </c>
      <c r="B823">
        <v>2021</v>
      </c>
      <c r="C823" t="s">
        <v>1358</v>
      </c>
      <c r="D823" s="241">
        <v>3343973.25</v>
      </c>
      <c r="E823">
        <v>2770177</v>
      </c>
      <c r="F823">
        <v>2222018</v>
      </c>
      <c r="G823">
        <v>1687914</v>
      </c>
      <c r="H823">
        <v>1105129</v>
      </c>
      <c r="I823">
        <v>8697548</v>
      </c>
    </row>
    <row r="824" spans="1:9" x14ac:dyDescent="0.2">
      <c r="A824" t="s">
        <v>399</v>
      </c>
      <c r="B824">
        <v>2022</v>
      </c>
      <c r="C824" t="s">
        <v>1359</v>
      </c>
      <c r="D824" s="241">
        <v>3354278.75</v>
      </c>
      <c r="E824">
        <v>2775698</v>
      </c>
      <c r="F824">
        <v>2229243</v>
      </c>
      <c r="G824">
        <v>1702752.875</v>
      </c>
      <c r="H824">
        <v>1139711</v>
      </c>
      <c r="I824">
        <v>8653017</v>
      </c>
    </row>
    <row r="825" spans="1:9" x14ac:dyDescent="0.2">
      <c r="A825" t="s">
        <v>399</v>
      </c>
      <c r="B825">
        <v>2023</v>
      </c>
      <c r="C825" t="s">
        <v>1360</v>
      </c>
      <c r="D825" s="241">
        <v>3365132</v>
      </c>
      <c r="E825">
        <v>2780864</v>
      </c>
      <c r="F825">
        <v>2234897.25</v>
      </c>
      <c r="G825">
        <v>1711568.875</v>
      </c>
      <c r="H825">
        <v>1172077.875</v>
      </c>
      <c r="I825">
        <v>8604998</v>
      </c>
    </row>
    <row r="826" spans="1:9" x14ac:dyDescent="0.2">
      <c r="A826" t="s">
        <v>399</v>
      </c>
      <c r="B826">
        <v>2024</v>
      </c>
      <c r="C826" t="s">
        <v>1361</v>
      </c>
      <c r="D826" s="241">
        <v>3375765.25</v>
      </c>
      <c r="E826">
        <v>2785984.25</v>
      </c>
      <c r="F826">
        <v>2238849.75</v>
      </c>
      <c r="G826">
        <v>1717007.125</v>
      </c>
      <c r="H826">
        <v>1198718</v>
      </c>
      <c r="I826">
        <v>8555296</v>
      </c>
    </row>
    <row r="827" spans="1:9" x14ac:dyDescent="0.2">
      <c r="A827" t="s">
        <v>167</v>
      </c>
      <c r="B827">
        <v>2020</v>
      </c>
      <c r="C827" t="s">
        <v>1362</v>
      </c>
      <c r="D827" s="241">
        <v>1172204</v>
      </c>
      <c r="E827">
        <v>840002</v>
      </c>
      <c r="F827">
        <v>576679.0625</v>
      </c>
      <c r="G827">
        <v>375302</v>
      </c>
      <c r="H827">
        <v>231742</v>
      </c>
      <c r="I827">
        <v>11193729</v>
      </c>
    </row>
    <row r="828" spans="1:9" x14ac:dyDescent="0.2">
      <c r="A828" t="s">
        <v>167</v>
      </c>
      <c r="B828">
        <v>2021</v>
      </c>
      <c r="C828" t="s">
        <v>1363</v>
      </c>
      <c r="D828" s="241">
        <v>1198988</v>
      </c>
      <c r="E828">
        <v>859703</v>
      </c>
      <c r="F828">
        <v>589801</v>
      </c>
      <c r="G828">
        <v>382809.03125</v>
      </c>
      <c r="H828">
        <v>236263</v>
      </c>
      <c r="I828">
        <v>11381377</v>
      </c>
    </row>
    <row r="829" spans="1:9" x14ac:dyDescent="0.2">
      <c r="A829" t="s">
        <v>167</v>
      </c>
      <c r="B829">
        <v>2022</v>
      </c>
      <c r="C829" t="s">
        <v>1364</v>
      </c>
      <c r="D829" s="241">
        <v>1231583</v>
      </c>
      <c r="E829">
        <v>883818.0625</v>
      </c>
      <c r="F829">
        <v>605744.9375</v>
      </c>
      <c r="G829">
        <v>392275</v>
      </c>
      <c r="H829">
        <v>240398.015625</v>
      </c>
      <c r="I829">
        <v>11618518</v>
      </c>
    </row>
    <row r="830" spans="1:9" x14ac:dyDescent="0.2">
      <c r="A830" t="s">
        <v>167</v>
      </c>
      <c r="B830">
        <v>2023</v>
      </c>
      <c r="C830" t="s">
        <v>1365</v>
      </c>
      <c r="D830" s="241">
        <v>1268459</v>
      </c>
      <c r="E830">
        <v>911148</v>
      </c>
      <c r="F830">
        <v>623819</v>
      </c>
      <c r="G830">
        <v>403126</v>
      </c>
      <c r="H830">
        <v>244372.984375</v>
      </c>
      <c r="I830">
        <v>11891023</v>
      </c>
    </row>
    <row r="831" spans="1:9" x14ac:dyDescent="0.2">
      <c r="A831" t="s">
        <v>167</v>
      </c>
      <c r="B831">
        <v>2024</v>
      </c>
      <c r="C831" t="s">
        <v>1366</v>
      </c>
      <c r="D831" s="241">
        <v>1307549.875</v>
      </c>
      <c r="E831">
        <v>939994</v>
      </c>
      <c r="F831">
        <v>643047</v>
      </c>
      <c r="G831">
        <v>414521.96875</v>
      </c>
      <c r="H831">
        <v>248421</v>
      </c>
      <c r="I831">
        <v>12176471</v>
      </c>
    </row>
    <row r="832" spans="1:9" x14ac:dyDescent="0.2">
      <c r="A832" t="s">
        <v>169</v>
      </c>
      <c r="B832">
        <v>2020</v>
      </c>
      <c r="C832" t="s">
        <v>1367</v>
      </c>
      <c r="D832" s="241">
        <v>23704.998046875</v>
      </c>
      <c r="E832">
        <v>16344</v>
      </c>
      <c r="F832">
        <v>10925.0009765625</v>
      </c>
      <c r="G832">
        <v>6593</v>
      </c>
      <c r="H832">
        <v>3842.999755859375</v>
      </c>
      <c r="I832">
        <v>219161.046875</v>
      </c>
    </row>
    <row r="833" spans="1:9" x14ac:dyDescent="0.2">
      <c r="A833" t="s">
        <v>169</v>
      </c>
      <c r="B833">
        <v>2021</v>
      </c>
      <c r="C833" t="s">
        <v>1368</v>
      </c>
      <c r="D833" s="241">
        <v>24441</v>
      </c>
      <c r="E833">
        <v>17059</v>
      </c>
      <c r="F833">
        <v>11370.0009765625</v>
      </c>
      <c r="G833">
        <v>6903</v>
      </c>
      <c r="H833">
        <v>3963.999755859375</v>
      </c>
      <c r="I833">
        <v>223364</v>
      </c>
    </row>
    <row r="834" spans="1:9" x14ac:dyDescent="0.2">
      <c r="A834" t="s">
        <v>169</v>
      </c>
      <c r="B834">
        <v>2022</v>
      </c>
      <c r="C834" t="s">
        <v>1369</v>
      </c>
      <c r="D834" s="241">
        <v>25112</v>
      </c>
      <c r="E834">
        <v>17862.998046875</v>
      </c>
      <c r="F834">
        <v>11808.0009765625</v>
      </c>
      <c r="G834">
        <v>7253</v>
      </c>
      <c r="H834">
        <v>4086</v>
      </c>
      <c r="I834">
        <v>227678.96875</v>
      </c>
    </row>
    <row r="835" spans="1:9" x14ac:dyDescent="0.2">
      <c r="A835" t="s">
        <v>169</v>
      </c>
      <c r="B835">
        <v>2023</v>
      </c>
      <c r="C835" t="s">
        <v>1370</v>
      </c>
      <c r="D835" s="241">
        <v>25772.998046875</v>
      </c>
      <c r="E835">
        <v>18696.998046875</v>
      </c>
      <c r="F835">
        <v>12252.0009765625</v>
      </c>
      <c r="G835">
        <v>7620.99951171875</v>
      </c>
      <c r="H835">
        <v>4210.99951171875</v>
      </c>
      <c r="I835">
        <v>232132.015625</v>
      </c>
    </row>
    <row r="836" spans="1:9" x14ac:dyDescent="0.2">
      <c r="A836" t="s">
        <v>169</v>
      </c>
      <c r="B836">
        <v>2024</v>
      </c>
      <c r="C836" t="s">
        <v>1371</v>
      </c>
      <c r="D836" s="241">
        <v>26553</v>
      </c>
      <c r="E836">
        <v>19515.998046875</v>
      </c>
      <c r="F836">
        <v>12763</v>
      </c>
      <c r="G836">
        <v>8002.0009765625</v>
      </c>
      <c r="H836">
        <v>4366</v>
      </c>
      <c r="I836">
        <v>236760.03125</v>
      </c>
    </row>
    <row r="837" spans="1:9" x14ac:dyDescent="0.2">
      <c r="A837" t="s">
        <v>251</v>
      </c>
      <c r="B837">
        <v>2020</v>
      </c>
      <c r="C837" t="s">
        <v>1372</v>
      </c>
      <c r="D837" s="241">
        <v>128289.9921875</v>
      </c>
      <c r="E837">
        <v>95427.015625</v>
      </c>
      <c r="F837">
        <v>63462</v>
      </c>
      <c r="G837">
        <v>41861</v>
      </c>
      <c r="H837">
        <v>26534.001953125</v>
      </c>
      <c r="I837">
        <v>586634.0625</v>
      </c>
    </row>
    <row r="838" spans="1:9" x14ac:dyDescent="0.2">
      <c r="A838" t="s">
        <v>251</v>
      </c>
      <c r="B838">
        <v>2021</v>
      </c>
      <c r="C838" t="s">
        <v>1373</v>
      </c>
      <c r="D838" s="241">
        <v>131996</v>
      </c>
      <c r="E838">
        <v>98697.0078125</v>
      </c>
      <c r="F838">
        <v>66330.0078125</v>
      </c>
      <c r="G838">
        <v>43154.00390625</v>
      </c>
      <c r="H838">
        <v>27313.998046875</v>
      </c>
      <c r="I838">
        <v>591798.125</v>
      </c>
    </row>
    <row r="839" spans="1:9" x14ac:dyDescent="0.2">
      <c r="A839" t="s">
        <v>251</v>
      </c>
      <c r="B839">
        <v>2022</v>
      </c>
      <c r="C839" t="s">
        <v>1374</v>
      </c>
      <c r="D839" s="241">
        <v>135874</v>
      </c>
      <c r="E839">
        <v>101672.0078125</v>
      </c>
      <c r="F839">
        <v>69541.0078125</v>
      </c>
      <c r="G839">
        <v>44450</v>
      </c>
      <c r="H839">
        <v>28055.998046875</v>
      </c>
      <c r="I839">
        <v>596837.9375</v>
      </c>
    </row>
    <row r="840" spans="1:9" x14ac:dyDescent="0.2">
      <c r="A840" t="s">
        <v>251</v>
      </c>
      <c r="B840">
        <v>2023</v>
      </c>
      <c r="C840" t="s">
        <v>1375</v>
      </c>
      <c r="D840" s="241">
        <v>139792.984375</v>
      </c>
      <c r="E840">
        <v>104512.0078125</v>
      </c>
      <c r="F840">
        <v>72932.0078125</v>
      </c>
      <c r="G840">
        <v>45862</v>
      </c>
      <c r="H840">
        <v>28781</v>
      </c>
      <c r="I840">
        <v>601750</v>
      </c>
    </row>
    <row r="841" spans="1:9" x14ac:dyDescent="0.2">
      <c r="A841" t="s">
        <v>251</v>
      </c>
      <c r="B841">
        <v>2024</v>
      </c>
      <c r="C841" t="s">
        <v>1376</v>
      </c>
      <c r="D841" s="241">
        <v>143524</v>
      </c>
      <c r="E841">
        <v>107451.9921875</v>
      </c>
      <c r="F841">
        <v>76236</v>
      </c>
      <c r="G841">
        <v>47545.99609375</v>
      </c>
      <c r="H841">
        <v>29522</v>
      </c>
      <c r="I841">
        <v>606533</v>
      </c>
    </row>
    <row r="842" spans="1:9" x14ac:dyDescent="0.2">
      <c r="A842" t="s">
        <v>401</v>
      </c>
      <c r="B842">
        <v>2020</v>
      </c>
      <c r="C842" t="s">
        <v>1377</v>
      </c>
      <c r="D842" s="241">
        <v>1982769</v>
      </c>
      <c r="E842">
        <v>1635920.125</v>
      </c>
      <c r="F842">
        <v>1273552</v>
      </c>
      <c r="G842">
        <v>911714</v>
      </c>
      <c r="H842">
        <v>578341</v>
      </c>
      <c r="I842">
        <v>5459642.5</v>
      </c>
    </row>
    <row r="843" spans="1:9" x14ac:dyDescent="0.2">
      <c r="A843" t="s">
        <v>401</v>
      </c>
      <c r="B843">
        <v>2021</v>
      </c>
      <c r="C843" t="s">
        <v>1378</v>
      </c>
      <c r="D843" s="241">
        <v>2005128</v>
      </c>
      <c r="E843">
        <v>1654395</v>
      </c>
      <c r="F843">
        <v>1299201</v>
      </c>
      <c r="G843">
        <v>940524.9375</v>
      </c>
      <c r="H843">
        <v>602305</v>
      </c>
      <c r="I843">
        <v>5460725.5</v>
      </c>
    </row>
    <row r="844" spans="1:9" x14ac:dyDescent="0.2">
      <c r="A844" t="s">
        <v>401</v>
      </c>
      <c r="B844">
        <v>2022</v>
      </c>
      <c r="C844" t="s">
        <v>1379</v>
      </c>
      <c r="D844" s="241">
        <v>2030013.125</v>
      </c>
      <c r="E844">
        <v>1670928.25</v>
      </c>
      <c r="F844">
        <v>1323797</v>
      </c>
      <c r="G844">
        <v>967867</v>
      </c>
      <c r="H844">
        <v>628103</v>
      </c>
      <c r="I844">
        <v>5460194</v>
      </c>
    </row>
    <row r="845" spans="1:9" x14ac:dyDescent="0.2">
      <c r="A845" t="s">
        <v>401</v>
      </c>
      <c r="B845">
        <v>2023</v>
      </c>
      <c r="C845" t="s">
        <v>1380</v>
      </c>
      <c r="D845" s="241">
        <v>2057414.75</v>
      </c>
      <c r="E845">
        <v>1686772.875</v>
      </c>
      <c r="F845">
        <v>1346967.875</v>
      </c>
      <c r="G845">
        <v>993818</v>
      </c>
      <c r="H845">
        <v>654854</v>
      </c>
      <c r="I845">
        <v>5458099</v>
      </c>
    </row>
    <row r="846" spans="1:9" x14ac:dyDescent="0.2">
      <c r="A846" t="s">
        <v>401</v>
      </c>
      <c r="B846">
        <v>2024</v>
      </c>
      <c r="C846" t="s">
        <v>1381</v>
      </c>
      <c r="D846" s="241">
        <v>2086834</v>
      </c>
      <c r="E846">
        <v>1703461.875</v>
      </c>
      <c r="F846">
        <v>1367830</v>
      </c>
      <c r="G846">
        <v>1018348</v>
      </c>
      <c r="H846">
        <v>681039.0625</v>
      </c>
      <c r="I846">
        <v>5454536.5</v>
      </c>
    </row>
    <row r="847" spans="1:9" x14ac:dyDescent="0.2">
      <c r="A847" t="s">
        <v>403</v>
      </c>
      <c r="B847">
        <v>2020</v>
      </c>
      <c r="C847" t="s">
        <v>1382</v>
      </c>
      <c r="D847" s="241">
        <v>877916</v>
      </c>
      <c r="E847">
        <v>726604</v>
      </c>
      <c r="F847">
        <v>576714.0625</v>
      </c>
      <c r="G847">
        <v>431121.03125</v>
      </c>
      <c r="H847">
        <v>291773</v>
      </c>
      <c r="I847">
        <v>2078932.125</v>
      </c>
    </row>
    <row r="848" spans="1:9" x14ac:dyDescent="0.2">
      <c r="A848" t="s">
        <v>403</v>
      </c>
      <c r="B848">
        <v>2021</v>
      </c>
      <c r="C848" t="s">
        <v>1383</v>
      </c>
      <c r="D848" s="241">
        <v>886782</v>
      </c>
      <c r="E848">
        <v>736768</v>
      </c>
      <c r="F848">
        <v>587047</v>
      </c>
      <c r="G848">
        <v>442097</v>
      </c>
      <c r="H848">
        <v>300474</v>
      </c>
      <c r="I848">
        <v>2078722.875</v>
      </c>
    </row>
    <row r="849" spans="1:9" x14ac:dyDescent="0.2">
      <c r="A849" t="s">
        <v>403</v>
      </c>
      <c r="B849">
        <v>2022</v>
      </c>
      <c r="C849" t="s">
        <v>1384</v>
      </c>
      <c r="D849" s="241">
        <v>894751.0625</v>
      </c>
      <c r="E849">
        <v>746567.0625</v>
      </c>
      <c r="F849">
        <v>596903</v>
      </c>
      <c r="G849">
        <v>452150.96875</v>
      </c>
      <c r="H849">
        <v>310429</v>
      </c>
      <c r="I849">
        <v>2078031</v>
      </c>
    </row>
    <row r="850" spans="1:9" x14ac:dyDescent="0.2">
      <c r="A850" t="s">
        <v>403</v>
      </c>
      <c r="B850">
        <v>2023</v>
      </c>
      <c r="C850" t="s">
        <v>1385</v>
      </c>
      <c r="D850" s="241">
        <v>902424.9375</v>
      </c>
      <c r="E850">
        <v>756077</v>
      </c>
      <c r="F850">
        <v>606494.9375</v>
      </c>
      <c r="G850">
        <v>461619.03125</v>
      </c>
      <c r="H850">
        <v>321156</v>
      </c>
      <c r="I850">
        <v>2076867.875</v>
      </c>
    </row>
    <row r="851" spans="1:9" x14ac:dyDescent="0.2">
      <c r="A851" t="s">
        <v>403</v>
      </c>
      <c r="B851">
        <v>2024</v>
      </c>
      <c r="C851" t="s">
        <v>1386</v>
      </c>
      <c r="D851" s="241">
        <v>910582</v>
      </c>
      <c r="E851">
        <v>765251</v>
      </c>
      <c r="F851">
        <v>616009.9375</v>
      </c>
      <c r="G851">
        <v>470947.96875</v>
      </c>
      <c r="H851">
        <v>331819.96875</v>
      </c>
      <c r="I851">
        <v>2075216.125</v>
      </c>
    </row>
    <row r="852" spans="1:9" x14ac:dyDescent="0.2">
      <c r="A852" t="s">
        <v>405</v>
      </c>
      <c r="B852">
        <v>2020</v>
      </c>
      <c r="C852" t="s">
        <v>1387</v>
      </c>
      <c r="D852" s="241">
        <v>3916839.75</v>
      </c>
      <c r="E852">
        <v>3237434.75</v>
      </c>
      <c r="F852">
        <v>2620192.75</v>
      </c>
      <c r="G852">
        <v>2053060</v>
      </c>
      <c r="H852">
        <v>1526325.125</v>
      </c>
      <c r="I852">
        <v>10099271</v>
      </c>
    </row>
    <row r="853" spans="1:9" x14ac:dyDescent="0.2">
      <c r="A853" t="s">
        <v>405</v>
      </c>
      <c r="B853">
        <v>2021</v>
      </c>
      <c r="C853" t="s">
        <v>1388</v>
      </c>
      <c r="D853" s="241">
        <v>3962785.5</v>
      </c>
      <c r="E853">
        <v>3282210.25</v>
      </c>
      <c r="F853">
        <v>2653375.25</v>
      </c>
      <c r="G853">
        <v>2079781.25</v>
      </c>
      <c r="H853">
        <v>1558151</v>
      </c>
      <c r="I853">
        <v>10160158</v>
      </c>
    </row>
    <row r="854" spans="1:9" x14ac:dyDescent="0.2">
      <c r="A854" t="s">
        <v>405</v>
      </c>
      <c r="B854">
        <v>2022</v>
      </c>
      <c r="C854" t="s">
        <v>1389</v>
      </c>
      <c r="D854" s="241">
        <v>4007055</v>
      </c>
      <c r="E854">
        <v>3329656</v>
      </c>
      <c r="F854">
        <v>2687247</v>
      </c>
      <c r="G854">
        <v>2107509</v>
      </c>
      <c r="H854">
        <v>1583673.875</v>
      </c>
      <c r="I854">
        <v>10218972</v>
      </c>
    </row>
    <row r="855" spans="1:9" x14ac:dyDescent="0.2">
      <c r="A855" t="s">
        <v>405</v>
      </c>
      <c r="B855">
        <v>2023</v>
      </c>
      <c r="C855" t="s">
        <v>1390</v>
      </c>
      <c r="D855" s="241">
        <v>4049605.75</v>
      </c>
      <c r="E855">
        <v>3378808.75</v>
      </c>
      <c r="F855">
        <v>2722822</v>
      </c>
      <c r="G855">
        <v>2136571</v>
      </c>
      <c r="H855">
        <v>1605515</v>
      </c>
      <c r="I855">
        <v>10275854</v>
      </c>
    </row>
    <row r="856" spans="1:9" x14ac:dyDescent="0.2">
      <c r="A856" t="s">
        <v>405</v>
      </c>
      <c r="B856">
        <v>2024</v>
      </c>
      <c r="C856" t="s">
        <v>1391</v>
      </c>
      <c r="D856" s="241">
        <v>4090156</v>
      </c>
      <c r="E856">
        <v>3427784</v>
      </c>
      <c r="F856">
        <v>2761190</v>
      </c>
      <c r="G856">
        <v>2166791.75</v>
      </c>
      <c r="H856">
        <v>1627240.125</v>
      </c>
      <c r="I856">
        <v>10331079</v>
      </c>
    </row>
    <row r="857" spans="1:9" x14ac:dyDescent="0.2">
      <c r="A857" t="s">
        <v>171</v>
      </c>
      <c r="B857">
        <v>2020</v>
      </c>
      <c r="C857" t="s">
        <v>1392</v>
      </c>
      <c r="D857" s="241">
        <v>117911</v>
      </c>
      <c r="E857">
        <v>88316.9921875</v>
      </c>
      <c r="F857">
        <v>66194</v>
      </c>
      <c r="G857">
        <v>46554.99609375</v>
      </c>
      <c r="H857">
        <v>29671.998046875</v>
      </c>
      <c r="I857">
        <v>1160164.375</v>
      </c>
    </row>
    <row r="858" spans="1:9" x14ac:dyDescent="0.2">
      <c r="A858" t="s">
        <v>171</v>
      </c>
      <c r="B858">
        <v>2021</v>
      </c>
      <c r="C858" t="s">
        <v>1393</v>
      </c>
      <c r="D858" s="241">
        <v>120382</v>
      </c>
      <c r="E858">
        <v>89131.0078125</v>
      </c>
      <c r="F858">
        <v>66548</v>
      </c>
      <c r="G858">
        <v>47038</v>
      </c>
      <c r="H858">
        <v>30223.001953125</v>
      </c>
      <c r="I858">
        <v>1172369.125</v>
      </c>
    </row>
    <row r="859" spans="1:9" x14ac:dyDescent="0.2">
      <c r="A859" t="s">
        <v>171</v>
      </c>
      <c r="B859">
        <v>2022</v>
      </c>
      <c r="C859" t="s">
        <v>1394</v>
      </c>
      <c r="D859" s="241">
        <v>123381.9921875</v>
      </c>
      <c r="E859">
        <v>90192.9921875</v>
      </c>
      <c r="F859">
        <v>66963</v>
      </c>
      <c r="G859">
        <v>47535</v>
      </c>
      <c r="H859">
        <v>30700.001953125</v>
      </c>
      <c r="I859">
        <v>1184820.75</v>
      </c>
    </row>
    <row r="860" spans="1:9" x14ac:dyDescent="0.2">
      <c r="A860" t="s">
        <v>171</v>
      </c>
      <c r="B860">
        <v>2023</v>
      </c>
      <c r="C860" t="s">
        <v>1395</v>
      </c>
      <c r="D860" s="241">
        <v>126783.9921875</v>
      </c>
      <c r="E860">
        <v>91489.9921875</v>
      </c>
      <c r="F860">
        <v>67428.9921875</v>
      </c>
      <c r="G860">
        <v>47989</v>
      </c>
      <c r="H860">
        <v>31080</v>
      </c>
      <c r="I860">
        <v>1197512.125</v>
      </c>
    </row>
    <row r="861" spans="1:9" x14ac:dyDescent="0.2">
      <c r="A861" t="s">
        <v>171</v>
      </c>
      <c r="B861">
        <v>2024</v>
      </c>
      <c r="C861" t="s">
        <v>1396</v>
      </c>
      <c r="D861" s="241">
        <v>130408.0234375</v>
      </c>
      <c r="E861">
        <v>93011</v>
      </c>
      <c r="F861">
        <v>67925.9921875</v>
      </c>
      <c r="G861">
        <v>48333.99609375</v>
      </c>
      <c r="H861">
        <v>31352.001953125</v>
      </c>
      <c r="I861">
        <v>1210452.125</v>
      </c>
    </row>
    <row r="862" spans="1:9" x14ac:dyDescent="0.2">
      <c r="A862" t="s">
        <v>173</v>
      </c>
      <c r="B862">
        <v>2020</v>
      </c>
      <c r="C862" t="s">
        <v>1397</v>
      </c>
      <c r="D862" s="241">
        <v>25750.998046875</v>
      </c>
      <c r="E862">
        <v>18931.998046875</v>
      </c>
      <c r="F862">
        <v>12774</v>
      </c>
      <c r="G862">
        <v>7933</v>
      </c>
      <c r="H862">
        <v>4865</v>
      </c>
      <c r="I862">
        <v>98339.9921875</v>
      </c>
    </row>
    <row r="863" spans="1:9" x14ac:dyDescent="0.2">
      <c r="A863" t="s">
        <v>173</v>
      </c>
      <c r="B863">
        <v>2021</v>
      </c>
      <c r="C863" t="s">
        <v>1398</v>
      </c>
      <c r="D863" s="241">
        <v>26529.998046875</v>
      </c>
      <c r="E863">
        <v>19636</v>
      </c>
      <c r="F863">
        <v>13380</v>
      </c>
      <c r="G863">
        <v>8312</v>
      </c>
      <c r="H863">
        <v>4975.00048828125</v>
      </c>
      <c r="I863">
        <v>98909.9921875</v>
      </c>
    </row>
    <row r="864" spans="1:9" x14ac:dyDescent="0.2">
      <c r="A864" t="s">
        <v>173</v>
      </c>
      <c r="B864">
        <v>2022</v>
      </c>
      <c r="C864" t="s">
        <v>1399</v>
      </c>
      <c r="D864" s="241">
        <v>27312.99609375</v>
      </c>
      <c r="E864">
        <v>20326.998046875</v>
      </c>
      <c r="F864">
        <v>14001.0009765625</v>
      </c>
      <c r="G864">
        <v>8728.0009765625</v>
      </c>
      <c r="H864">
        <v>5119</v>
      </c>
      <c r="I864">
        <v>99433</v>
      </c>
    </row>
    <row r="865" spans="1:9" x14ac:dyDescent="0.2">
      <c r="A865" t="s">
        <v>173</v>
      </c>
      <c r="B865">
        <v>2023</v>
      </c>
      <c r="C865" t="s">
        <v>1400</v>
      </c>
      <c r="D865" s="241">
        <v>28102.001953125</v>
      </c>
      <c r="E865">
        <v>21018</v>
      </c>
      <c r="F865">
        <v>14639</v>
      </c>
      <c r="G865">
        <v>9180</v>
      </c>
      <c r="H865">
        <v>5298</v>
      </c>
      <c r="I865">
        <v>99911.984375</v>
      </c>
    </row>
    <row r="866" spans="1:9" x14ac:dyDescent="0.2">
      <c r="A866" t="s">
        <v>173</v>
      </c>
      <c r="B866">
        <v>2024</v>
      </c>
      <c r="C866" t="s">
        <v>1401</v>
      </c>
      <c r="D866" s="241">
        <v>28872.001953125</v>
      </c>
      <c r="E866">
        <v>21712</v>
      </c>
      <c r="F866">
        <v>15275</v>
      </c>
      <c r="G866">
        <v>9653.9990234375</v>
      </c>
      <c r="H866">
        <v>5513</v>
      </c>
      <c r="I866">
        <v>100357</v>
      </c>
    </row>
    <row r="867" spans="1:9" x14ac:dyDescent="0.2">
      <c r="A867" t="s">
        <v>303</v>
      </c>
      <c r="B867">
        <v>2020</v>
      </c>
      <c r="C867" t="s">
        <v>1402</v>
      </c>
      <c r="D867" s="241">
        <v>2603552.25</v>
      </c>
      <c r="E867">
        <v>1914114</v>
      </c>
      <c r="F867">
        <v>1318206</v>
      </c>
      <c r="G867">
        <v>853060</v>
      </c>
      <c r="H867">
        <v>495841.03125</v>
      </c>
      <c r="I867">
        <v>17500658</v>
      </c>
    </row>
    <row r="868" spans="1:9" x14ac:dyDescent="0.2">
      <c r="A868" t="s">
        <v>303</v>
      </c>
      <c r="B868">
        <v>2021</v>
      </c>
      <c r="C868" t="s">
        <v>1403</v>
      </c>
      <c r="D868" s="241">
        <v>2728739</v>
      </c>
      <c r="E868">
        <v>2003227</v>
      </c>
      <c r="F868">
        <v>1382419</v>
      </c>
      <c r="G868">
        <v>894415.9375</v>
      </c>
      <c r="H868">
        <v>519253.96875</v>
      </c>
      <c r="I868">
        <v>18275708</v>
      </c>
    </row>
    <row r="869" spans="1:9" x14ac:dyDescent="0.2">
      <c r="A869" t="s">
        <v>303</v>
      </c>
      <c r="B869">
        <v>2022</v>
      </c>
      <c r="C869" t="s">
        <v>1404</v>
      </c>
      <c r="D869" s="241">
        <v>2919870.75</v>
      </c>
      <c r="E869">
        <v>2138320</v>
      </c>
      <c r="F869">
        <v>1480459</v>
      </c>
      <c r="G869">
        <v>955748.9375</v>
      </c>
      <c r="H869">
        <v>557650.9375</v>
      </c>
      <c r="I869">
        <v>19364810</v>
      </c>
    </row>
    <row r="870" spans="1:9" x14ac:dyDescent="0.2">
      <c r="A870" t="s">
        <v>303</v>
      </c>
      <c r="B870">
        <v>2023</v>
      </c>
      <c r="C870" t="s">
        <v>1405</v>
      </c>
      <c r="D870" s="241">
        <v>3156035</v>
      </c>
      <c r="E870">
        <v>2303071.75</v>
      </c>
      <c r="F870">
        <v>1600103.875</v>
      </c>
      <c r="G870">
        <v>1030558</v>
      </c>
      <c r="H870">
        <v>605791</v>
      </c>
      <c r="I870">
        <v>20638288</v>
      </c>
    </row>
    <row r="871" spans="1:9" x14ac:dyDescent="0.2">
      <c r="A871" t="s">
        <v>303</v>
      </c>
      <c r="B871">
        <v>2024</v>
      </c>
      <c r="C871" t="s">
        <v>1406</v>
      </c>
      <c r="D871" s="241">
        <v>3411249</v>
      </c>
      <c r="E871">
        <v>2477262</v>
      </c>
      <c r="F871">
        <v>1725519</v>
      </c>
      <c r="G871">
        <v>1110853</v>
      </c>
      <c r="H871">
        <v>656764.0625</v>
      </c>
      <c r="I871">
        <v>21915484</v>
      </c>
    </row>
    <row r="872" spans="1:9" x14ac:dyDescent="0.2">
      <c r="A872" t="s">
        <v>175</v>
      </c>
      <c r="B872">
        <v>2020</v>
      </c>
      <c r="C872" t="s">
        <v>1407</v>
      </c>
      <c r="D872" s="241">
        <v>1301088</v>
      </c>
      <c r="E872">
        <v>938721</v>
      </c>
      <c r="F872">
        <v>646441</v>
      </c>
      <c r="G872">
        <v>410417.03125</v>
      </c>
      <c r="H872">
        <v>229091.984375</v>
      </c>
      <c r="I872">
        <v>16425859</v>
      </c>
    </row>
    <row r="873" spans="1:9" x14ac:dyDescent="0.2">
      <c r="A873" t="s">
        <v>175</v>
      </c>
      <c r="B873">
        <v>2021</v>
      </c>
      <c r="C873" t="s">
        <v>1408</v>
      </c>
      <c r="D873" s="241">
        <v>1340139</v>
      </c>
      <c r="E873">
        <v>964210.0625</v>
      </c>
      <c r="F873">
        <v>665269.0625</v>
      </c>
      <c r="G873">
        <v>424973</v>
      </c>
      <c r="H873">
        <v>238911</v>
      </c>
      <c r="I873">
        <v>16914988</v>
      </c>
    </row>
    <row r="874" spans="1:9" x14ac:dyDescent="0.2">
      <c r="A874" t="s">
        <v>175</v>
      </c>
      <c r="B874">
        <v>2022</v>
      </c>
      <c r="C874" t="s">
        <v>1409</v>
      </c>
      <c r="D874" s="241">
        <v>1382347</v>
      </c>
      <c r="E874">
        <v>990815.0625</v>
      </c>
      <c r="F874">
        <v>684425.0625</v>
      </c>
      <c r="G874">
        <v>439062</v>
      </c>
      <c r="H874">
        <v>248942.015625</v>
      </c>
      <c r="I874">
        <v>17413570</v>
      </c>
    </row>
    <row r="875" spans="1:9" x14ac:dyDescent="0.2">
      <c r="A875" t="s">
        <v>175</v>
      </c>
      <c r="B875">
        <v>2023</v>
      </c>
      <c r="C875" t="s">
        <v>1410</v>
      </c>
      <c r="D875" s="241">
        <v>1427658.875</v>
      </c>
      <c r="E875">
        <v>1018949</v>
      </c>
      <c r="F875">
        <v>703985.9375</v>
      </c>
      <c r="G875">
        <v>452814.03125</v>
      </c>
      <c r="H875">
        <v>258817.015625</v>
      </c>
      <c r="I875">
        <v>17921182</v>
      </c>
    </row>
    <row r="876" spans="1:9" x14ac:dyDescent="0.2">
      <c r="A876" t="s">
        <v>175</v>
      </c>
      <c r="B876">
        <v>2024</v>
      </c>
      <c r="C876" t="s">
        <v>1411</v>
      </c>
      <c r="D876" s="241">
        <v>1475906.125</v>
      </c>
      <c r="E876">
        <v>1049138</v>
      </c>
      <c r="F876">
        <v>723983.0625</v>
      </c>
      <c r="G876">
        <v>466366</v>
      </c>
      <c r="H876">
        <v>268074</v>
      </c>
      <c r="I876">
        <v>18437024</v>
      </c>
    </row>
    <row r="877" spans="1:9" x14ac:dyDescent="0.2">
      <c r="A877" t="s">
        <v>177</v>
      </c>
      <c r="B877">
        <v>2020</v>
      </c>
      <c r="C877" t="s">
        <v>1412</v>
      </c>
      <c r="D877" s="241">
        <v>839225</v>
      </c>
      <c r="E877">
        <v>584393</v>
      </c>
      <c r="F877">
        <v>388511.03125</v>
      </c>
      <c r="G877">
        <v>240499.015625</v>
      </c>
      <c r="H877">
        <v>132574</v>
      </c>
      <c r="I877">
        <v>8278737.5</v>
      </c>
    </row>
    <row r="878" spans="1:9" x14ac:dyDescent="0.2">
      <c r="A878" t="s">
        <v>177</v>
      </c>
      <c r="B878">
        <v>2021</v>
      </c>
      <c r="C878" t="s">
        <v>1413</v>
      </c>
      <c r="D878" s="241">
        <v>870449.875</v>
      </c>
      <c r="E878">
        <v>604907.875</v>
      </c>
      <c r="F878">
        <v>401767.03125</v>
      </c>
      <c r="G878">
        <v>248972.015625</v>
      </c>
      <c r="H878">
        <v>138099</v>
      </c>
      <c r="I878">
        <v>8478241</v>
      </c>
    </row>
    <row r="879" spans="1:9" x14ac:dyDescent="0.2">
      <c r="A879" t="s">
        <v>177</v>
      </c>
      <c r="B879">
        <v>2022</v>
      </c>
      <c r="C879" t="s">
        <v>1414</v>
      </c>
      <c r="D879" s="241">
        <v>903702.9375</v>
      </c>
      <c r="E879">
        <v>626616</v>
      </c>
      <c r="F879">
        <v>415590.03125</v>
      </c>
      <c r="G879">
        <v>257394.015625</v>
      </c>
      <c r="H879">
        <v>143187</v>
      </c>
      <c r="I879">
        <v>8680832</v>
      </c>
    </row>
    <row r="880" spans="1:9" x14ac:dyDescent="0.2">
      <c r="A880" t="s">
        <v>177</v>
      </c>
      <c r="B880">
        <v>2023</v>
      </c>
      <c r="C880" t="s">
        <v>1415</v>
      </c>
      <c r="D880" s="241">
        <v>939114.9375</v>
      </c>
      <c r="E880">
        <v>649737</v>
      </c>
      <c r="F880">
        <v>430119</v>
      </c>
      <c r="G880">
        <v>265906</v>
      </c>
      <c r="H880">
        <v>147910</v>
      </c>
      <c r="I880">
        <v>8886636</v>
      </c>
    </row>
    <row r="881" spans="1:9" x14ac:dyDescent="0.2">
      <c r="A881" t="s">
        <v>177</v>
      </c>
      <c r="B881">
        <v>2024</v>
      </c>
      <c r="C881" t="s">
        <v>1416</v>
      </c>
      <c r="D881" s="241">
        <v>976817</v>
      </c>
      <c r="E881">
        <v>674531</v>
      </c>
      <c r="F881">
        <v>445492</v>
      </c>
      <c r="G881">
        <v>274646.96875</v>
      </c>
      <c r="H881">
        <v>152331.984375</v>
      </c>
      <c r="I881">
        <v>9095786</v>
      </c>
    </row>
    <row r="882" spans="1:9" x14ac:dyDescent="0.2">
      <c r="A882" t="s">
        <v>437</v>
      </c>
      <c r="B882">
        <v>2020</v>
      </c>
      <c r="C882" t="s">
        <v>1417</v>
      </c>
      <c r="D882" s="241">
        <v>24093542</v>
      </c>
      <c r="E882">
        <v>18494590</v>
      </c>
      <c r="F882">
        <v>13412148</v>
      </c>
      <c r="G882">
        <v>9044495</v>
      </c>
      <c r="H882">
        <v>5787793.5</v>
      </c>
      <c r="I882">
        <v>69799968</v>
      </c>
    </row>
    <row r="883" spans="1:9" x14ac:dyDescent="0.2">
      <c r="A883" t="s">
        <v>437</v>
      </c>
      <c r="B883">
        <v>2021</v>
      </c>
      <c r="C883" t="s">
        <v>1418</v>
      </c>
      <c r="D883" s="241">
        <v>24738070</v>
      </c>
      <c r="E883">
        <v>19128094</v>
      </c>
      <c r="F883">
        <v>13962533</v>
      </c>
      <c r="G883">
        <v>9468446</v>
      </c>
      <c r="H883">
        <v>6044017.5</v>
      </c>
      <c r="I883">
        <v>69950856</v>
      </c>
    </row>
    <row r="884" spans="1:9" x14ac:dyDescent="0.2">
      <c r="A884" t="s">
        <v>437</v>
      </c>
      <c r="B884">
        <v>2022</v>
      </c>
      <c r="C884" t="s">
        <v>1419</v>
      </c>
      <c r="D884" s="241">
        <v>25365176</v>
      </c>
      <c r="E884">
        <v>19766488</v>
      </c>
      <c r="F884">
        <v>14516607</v>
      </c>
      <c r="G884">
        <v>9917666</v>
      </c>
      <c r="H884">
        <v>6314707.5</v>
      </c>
      <c r="I884">
        <v>70078192</v>
      </c>
    </row>
    <row r="885" spans="1:9" x14ac:dyDescent="0.2">
      <c r="A885" t="s">
        <v>437</v>
      </c>
      <c r="B885">
        <v>2023</v>
      </c>
      <c r="C885" t="s">
        <v>1420</v>
      </c>
      <c r="D885" s="241">
        <v>25973156</v>
      </c>
      <c r="E885">
        <v>20404352</v>
      </c>
      <c r="F885">
        <v>15075918</v>
      </c>
      <c r="G885">
        <v>10387030</v>
      </c>
      <c r="H885">
        <v>6603998</v>
      </c>
      <c r="I885">
        <v>70182832</v>
      </c>
    </row>
    <row r="886" spans="1:9" x14ac:dyDescent="0.2">
      <c r="A886" t="s">
        <v>437</v>
      </c>
      <c r="B886">
        <v>2024</v>
      </c>
      <c r="C886" t="s">
        <v>1421</v>
      </c>
      <c r="D886" s="241">
        <v>26560634</v>
      </c>
      <c r="E886">
        <v>21033842</v>
      </c>
      <c r="F886">
        <v>15643868</v>
      </c>
      <c r="G886">
        <v>10868864</v>
      </c>
      <c r="H886">
        <v>6917219</v>
      </c>
      <c r="I886">
        <v>70266072</v>
      </c>
    </row>
    <row r="887" spans="1:9" x14ac:dyDescent="0.2">
      <c r="A887" t="s">
        <v>407</v>
      </c>
      <c r="B887">
        <v>2020</v>
      </c>
      <c r="C887" t="s">
        <v>1422</v>
      </c>
      <c r="D887" s="241">
        <v>1250412.875</v>
      </c>
      <c r="E887">
        <v>878127.125</v>
      </c>
      <c r="F887">
        <v>549523.125</v>
      </c>
      <c r="G887">
        <v>303273</v>
      </c>
      <c r="H887">
        <v>161632.984375</v>
      </c>
      <c r="I887">
        <v>9537641</v>
      </c>
    </row>
    <row r="888" spans="1:9" x14ac:dyDescent="0.2">
      <c r="A888" t="s">
        <v>407</v>
      </c>
      <c r="B888">
        <v>2021</v>
      </c>
      <c r="C888" t="s">
        <v>1423</v>
      </c>
      <c r="D888" s="241">
        <v>1296837.875</v>
      </c>
      <c r="E888">
        <v>920383</v>
      </c>
      <c r="F888">
        <v>584617</v>
      </c>
      <c r="G888">
        <v>324323.03125</v>
      </c>
      <c r="H888">
        <v>169134</v>
      </c>
      <c r="I888">
        <v>9749624</v>
      </c>
    </row>
    <row r="889" spans="1:9" x14ac:dyDescent="0.2">
      <c r="A889" t="s">
        <v>407</v>
      </c>
      <c r="B889">
        <v>2022</v>
      </c>
      <c r="C889" t="s">
        <v>1424</v>
      </c>
      <c r="D889" s="241">
        <v>1343717</v>
      </c>
      <c r="E889">
        <v>962670.9375</v>
      </c>
      <c r="F889">
        <v>621009.9375</v>
      </c>
      <c r="G889">
        <v>347720.96875</v>
      </c>
      <c r="H889">
        <v>177030.984375</v>
      </c>
      <c r="I889">
        <v>9957469</v>
      </c>
    </row>
    <row r="890" spans="1:9" x14ac:dyDescent="0.2">
      <c r="A890" t="s">
        <v>407</v>
      </c>
      <c r="B890">
        <v>2023</v>
      </c>
      <c r="C890" t="s">
        <v>1425</v>
      </c>
      <c r="D890" s="241">
        <v>1391201</v>
      </c>
      <c r="E890">
        <v>1005052</v>
      </c>
      <c r="F890">
        <v>658326</v>
      </c>
      <c r="G890">
        <v>373143.96875</v>
      </c>
      <c r="H890">
        <v>185947.015625</v>
      </c>
      <c r="I890">
        <v>10161632</v>
      </c>
    </row>
    <row r="891" spans="1:9" x14ac:dyDescent="0.2">
      <c r="A891" t="s">
        <v>407</v>
      </c>
      <c r="B891">
        <v>2024</v>
      </c>
      <c r="C891" t="s">
        <v>1426</v>
      </c>
      <c r="D891" s="241">
        <v>1439250.875</v>
      </c>
      <c r="E891">
        <v>1047463</v>
      </c>
      <c r="F891">
        <v>695957</v>
      </c>
      <c r="G891">
        <v>400074.03125</v>
      </c>
      <c r="H891">
        <v>196713.984375</v>
      </c>
      <c r="I891">
        <v>10363184</v>
      </c>
    </row>
    <row r="892" spans="1:9" x14ac:dyDescent="0.2">
      <c r="A892" t="s">
        <v>409</v>
      </c>
      <c r="B892">
        <v>2020</v>
      </c>
      <c r="C892" t="s">
        <v>1427</v>
      </c>
      <c r="D892" s="241">
        <v>1024016.9375</v>
      </c>
      <c r="E892">
        <v>740420.0625</v>
      </c>
      <c r="F892">
        <v>488557.96875</v>
      </c>
      <c r="G892">
        <v>287563.96875</v>
      </c>
      <c r="H892">
        <v>154114</v>
      </c>
      <c r="I892">
        <v>6031187</v>
      </c>
    </row>
    <row r="893" spans="1:9" x14ac:dyDescent="0.2">
      <c r="A893" t="s">
        <v>409</v>
      </c>
      <c r="B893">
        <v>2021</v>
      </c>
      <c r="C893" t="s">
        <v>1428</v>
      </c>
      <c r="D893" s="241">
        <v>1057749</v>
      </c>
      <c r="E893">
        <v>770184.0625</v>
      </c>
      <c r="F893">
        <v>514235</v>
      </c>
      <c r="G893">
        <v>305565</v>
      </c>
      <c r="H893">
        <v>162804</v>
      </c>
      <c r="I893">
        <v>6117934</v>
      </c>
    </row>
    <row r="894" spans="1:9" x14ac:dyDescent="0.2">
      <c r="A894" t="s">
        <v>409</v>
      </c>
      <c r="B894">
        <v>2022</v>
      </c>
      <c r="C894" t="s">
        <v>1429</v>
      </c>
      <c r="D894" s="241">
        <v>1089105</v>
      </c>
      <c r="E894">
        <v>797842.0625</v>
      </c>
      <c r="F894">
        <v>538877</v>
      </c>
      <c r="G894">
        <v>323639.96875</v>
      </c>
      <c r="H894">
        <v>171959</v>
      </c>
      <c r="I894">
        <v>6201947</v>
      </c>
    </row>
    <row r="895" spans="1:9" x14ac:dyDescent="0.2">
      <c r="A895" t="s">
        <v>409</v>
      </c>
      <c r="B895">
        <v>2023</v>
      </c>
      <c r="C895" t="s">
        <v>1430</v>
      </c>
      <c r="D895" s="241">
        <v>1119589.125</v>
      </c>
      <c r="E895">
        <v>824280.9375</v>
      </c>
      <c r="F895">
        <v>562752.9375</v>
      </c>
      <c r="G895">
        <v>341925</v>
      </c>
      <c r="H895">
        <v>181588</v>
      </c>
      <c r="I895">
        <v>6283194</v>
      </c>
    </row>
    <row r="896" spans="1:9" x14ac:dyDescent="0.2">
      <c r="A896" t="s">
        <v>409</v>
      </c>
      <c r="B896">
        <v>2024</v>
      </c>
      <c r="C896" t="s">
        <v>1431</v>
      </c>
      <c r="D896" s="241">
        <v>1151650.875</v>
      </c>
      <c r="E896">
        <v>851006.125</v>
      </c>
      <c r="F896">
        <v>586566.0625</v>
      </c>
      <c r="G896">
        <v>360737.96875</v>
      </c>
      <c r="H896">
        <v>191965</v>
      </c>
      <c r="I896">
        <v>6361719.5</v>
      </c>
    </row>
    <row r="897" spans="1:9" x14ac:dyDescent="0.2">
      <c r="A897" t="s">
        <v>439</v>
      </c>
      <c r="B897">
        <v>2020</v>
      </c>
      <c r="C897" t="s">
        <v>1432</v>
      </c>
      <c r="D897" s="241">
        <v>175125.03125</v>
      </c>
      <c r="E897">
        <v>126963</v>
      </c>
      <c r="F897">
        <v>86651.9921875</v>
      </c>
      <c r="G897">
        <v>56468</v>
      </c>
      <c r="H897">
        <v>36508</v>
      </c>
      <c r="I897">
        <v>1318442</v>
      </c>
    </row>
    <row r="898" spans="1:9" x14ac:dyDescent="0.2">
      <c r="A898" t="s">
        <v>439</v>
      </c>
      <c r="B898">
        <v>2021</v>
      </c>
      <c r="C898" t="s">
        <v>1433</v>
      </c>
      <c r="D898" s="241">
        <v>179956.015625</v>
      </c>
      <c r="E898">
        <v>130728.015625</v>
      </c>
      <c r="F898">
        <v>89348.9921875</v>
      </c>
      <c r="G898">
        <v>57745</v>
      </c>
      <c r="H898">
        <v>37141</v>
      </c>
      <c r="I898">
        <v>1343875.25</v>
      </c>
    </row>
    <row r="899" spans="1:9" x14ac:dyDescent="0.2">
      <c r="A899" t="s">
        <v>439</v>
      </c>
      <c r="B899">
        <v>2022</v>
      </c>
      <c r="C899" t="s">
        <v>1434</v>
      </c>
      <c r="D899" s="241">
        <v>185448.015625</v>
      </c>
      <c r="E899">
        <v>134787</v>
      </c>
      <c r="F899">
        <v>92384.9921875</v>
      </c>
      <c r="G899">
        <v>59348.00390625</v>
      </c>
      <c r="H899">
        <v>37515.00390625</v>
      </c>
      <c r="I899">
        <v>1369430.875</v>
      </c>
    </row>
    <row r="900" spans="1:9" x14ac:dyDescent="0.2">
      <c r="A900" t="s">
        <v>439</v>
      </c>
      <c r="B900">
        <v>2023</v>
      </c>
      <c r="C900" t="s">
        <v>1435</v>
      </c>
      <c r="D900" s="241">
        <v>191062.015625</v>
      </c>
      <c r="E900">
        <v>139056.984375</v>
      </c>
      <c r="F900">
        <v>95643.9921875</v>
      </c>
      <c r="G900">
        <v>61185</v>
      </c>
      <c r="H900">
        <v>37764</v>
      </c>
      <c r="I900">
        <v>1395057.25</v>
      </c>
    </row>
    <row r="901" spans="1:9" x14ac:dyDescent="0.2">
      <c r="A901" t="s">
        <v>439</v>
      </c>
      <c r="B901">
        <v>2024</v>
      </c>
      <c r="C901" t="s">
        <v>1436</v>
      </c>
      <c r="D901" s="241">
        <v>196011</v>
      </c>
      <c r="E901">
        <v>143454</v>
      </c>
      <c r="F901">
        <v>98986</v>
      </c>
      <c r="G901">
        <v>63147.00390625</v>
      </c>
      <c r="H901">
        <v>38077.00390625</v>
      </c>
      <c r="I901">
        <v>1420761</v>
      </c>
    </row>
    <row r="902" spans="1:9" x14ac:dyDescent="0.2">
      <c r="A902" t="s">
        <v>486</v>
      </c>
      <c r="B902">
        <v>2020</v>
      </c>
      <c r="C902" t="s">
        <v>1437</v>
      </c>
      <c r="D902" s="241">
        <v>17923</v>
      </c>
      <c r="E902">
        <v>13066.9990234375</v>
      </c>
      <c r="F902">
        <v>9222</v>
      </c>
      <c r="G902">
        <v>6259.00048828125</v>
      </c>
      <c r="H902">
        <v>3919</v>
      </c>
      <c r="I902">
        <v>105697</v>
      </c>
    </row>
    <row r="903" spans="1:9" x14ac:dyDescent="0.2">
      <c r="A903" t="s">
        <v>486</v>
      </c>
      <c r="B903">
        <v>2021</v>
      </c>
      <c r="C903" t="s">
        <v>1438</v>
      </c>
      <c r="D903" s="241">
        <v>18313.998046875</v>
      </c>
      <c r="E903">
        <v>13425</v>
      </c>
      <c r="F903">
        <v>9421</v>
      </c>
      <c r="G903">
        <v>6371</v>
      </c>
      <c r="H903">
        <v>3985.000244140625</v>
      </c>
      <c r="I903">
        <v>106758.984375</v>
      </c>
    </row>
    <row r="904" spans="1:9" x14ac:dyDescent="0.2">
      <c r="A904" t="s">
        <v>486</v>
      </c>
      <c r="B904">
        <v>2022</v>
      </c>
      <c r="C904" t="s">
        <v>1439</v>
      </c>
      <c r="D904" s="241">
        <v>18654</v>
      </c>
      <c r="E904">
        <v>13792.0009765625</v>
      </c>
      <c r="F904">
        <v>9614</v>
      </c>
      <c r="G904">
        <v>6467</v>
      </c>
      <c r="H904">
        <v>4044.000244140625</v>
      </c>
      <c r="I904">
        <v>107747.984375</v>
      </c>
    </row>
    <row r="905" spans="1:9" x14ac:dyDescent="0.2">
      <c r="A905" t="s">
        <v>486</v>
      </c>
      <c r="B905">
        <v>2023</v>
      </c>
      <c r="C905" t="s">
        <v>1440</v>
      </c>
      <c r="D905" s="241">
        <v>18955</v>
      </c>
      <c r="E905">
        <v>14156</v>
      </c>
      <c r="F905">
        <v>9809.9990234375</v>
      </c>
      <c r="G905">
        <v>6556</v>
      </c>
      <c r="H905">
        <v>4093.999755859375</v>
      </c>
      <c r="I905">
        <v>108663</v>
      </c>
    </row>
    <row r="906" spans="1:9" x14ac:dyDescent="0.2">
      <c r="A906" t="s">
        <v>486</v>
      </c>
      <c r="B906">
        <v>2024</v>
      </c>
      <c r="C906" t="s">
        <v>1441</v>
      </c>
      <c r="D906" s="241">
        <v>19254</v>
      </c>
      <c r="E906">
        <v>14514.9990234375</v>
      </c>
      <c r="F906">
        <v>10033.0009765625</v>
      </c>
      <c r="G906">
        <v>6652</v>
      </c>
      <c r="H906">
        <v>4129</v>
      </c>
      <c r="I906">
        <v>109594</v>
      </c>
    </row>
    <row r="907" spans="1:9" x14ac:dyDescent="0.2">
      <c r="A907" t="s">
        <v>253</v>
      </c>
      <c r="B907">
        <v>2020</v>
      </c>
      <c r="C907" t="s">
        <v>1442</v>
      </c>
      <c r="D907" s="241">
        <v>411925</v>
      </c>
      <c r="E907">
        <v>329210</v>
      </c>
      <c r="F907">
        <v>236863</v>
      </c>
      <c r="G907">
        <v>161146</v>
      </c>
      <c r="H907">
        <v>100970</v>
      </c>
      <c r="I907">
        <v>1399491</v>
      </c>
    </row>
    <row r="908" spans="1:9" x14ac:dyDescent="0.2">
      <c r="A908" t="s">
        <v>253</v>
      </c>
      <c r="B908">
        <v>2021</v>
      </c>
      <c r="C908" t="s">
        <v>1443</v>
      </c>
      <c r="D908" s="241">
        <v>418537.96875</v>
      </c>
      <c r="E908">
        <v>336563.96875</v>
      </c>
      <c r="F908">
        <v>245642.96875</v>
      </c>
      <c r="G908">
        <v>167264.984375</v>
      </c>
      <c r="H908">
        <v>105315</v>
      </c>
      <c r="I908">
        <v>1403374</v>
      </c>
    </row>
    <row r="909" spans="1:9" x14ac:dyDescent="0.2">
      <c r="A909" t="s">
        <v>253</v>
      </c>
      <c r="B909">
        <v>2022</v>
      </c>
      <c r="C909" t="s">
        <v>1444</v>
      </c>
      <c r="D909" s="241">
        <v>425335.03125</v>
      </c>
      <c r="E909">
        <v>342707.03125</v>
      </c>
      <c r="F909">
        <v>254836.03125</v>
      </c>
      <c r="G909">
        <v>173313.015625</v>
      </c>
      <c r="H909">
        <v>109739.9921875</v>
      </c>
      <c r="I909">
        <v>1406587</v>
      </c>
    </row>
    <row r="910" spans="1:9" x14ac:dyDescent="0.2">
      <c r="A910" t="s">
        <v>253</v>
      </c>
      <c r="B910">
        <v>2023</v>
      </c>
      <c r="C910" t="s">
        <v>1445</v>
      </c>
      <c r="D910" s="241">
        <v>432334</v>
      </c>
      <c r="E910">
        <v>348089.03125</v>
      </c>
      <c r="F910">
        <v>264004.03125</v>
      </c>
      <c r="G910">
        <v>179484.984375</v>
      </c>
      <c r="H910">
        <v>114275.0078125</v>
      </c>
      <c r="I910">
        <v>1409174.875</v>
      </c>
    </row>
    <row r="911" spans="1:9" x14ac:dyDescent="0.2">
      <c r="A911" t="s">
        <v>253</v>
      </c>
      <c r="B911">
        <v>2024</v>
      </c>
      <c r="C911" t="s">
        <v>1446</v>
      </c>
      <c r="D911" s="241">
        <v>439398.03125</v>
      </c>
      <c r="E911">
        <v>353329</v>
      </c>
      <c r="F911">
        <v>272421.0625</v>
      </c>
      <c r="G911">
        <v>186025.015625</v>
      </c>
      <c r="H911">
        <v>118895.0078125</v>
      </c>
      <c r="I911">
        <v>1411184</v>
      </c>
    </row>
    <row r="912" spans="1:9" x14ac:dyDescent="0.2">
      <c r="A912" t="s">
        <v>305</v>
      </c>
      <c r="B912">
        <v>2020</v>
      </c>
      <c r="C912" t="s">
        <v>1447</v>
      </c>
      <c r="D912" s="241">
        <v>2949039.75</v>
      </c>
      <c r="E912">
        <v>2237701</v>
      </c>
      <c r="F912">
        <v>1587534</v>
      </c>
      <c r="G912">
        <v>1048662</v>
      </c>
      <c r="H912">
        <v>624940.0625</v>
      </c>
      <c r="I912">
        <v>11818618</v>
      </c>
    </row>
    <row r="913" spans="1:9" x14ac:dyDescent="0.2">
      <c r="A913" t="s">
        <v>305</v>
      </c>
      <c r="B913">
        <v>2021</v>
      </c>
      <c r="C913" t="s">
        <v>1448</v>
      </c>
      <c r="D913" s="241">
        <v>3027665</v>
      </c>
      <c r="E913">
        <v>2315455</v>
      </c>
      <c r="F913">
        <v>1652460.875</v>
      </c>
      <c r="G913">
        <v>1096761.875</v>
      </c>
      <c r="H913">
        <v>653040.9375</v>
      </c>
      <c r="I913">
        <v>11935764</v>
      </c>
    </row>
    <row r="914" spans="1:9" x14ac:dyDescent="0.2">
      <c r="A914" t="s">
        <v>305</v>
      </c>
      <c r="B914">
        <v>2022</v>
      </c>
      <c r="C914" t="s">
        <v>1449</v>
      </c>
      <c r="D914" s="241">
        <v>3101042.25</v>
      </c>
      <c r="E914">
        <v>2391728.25</v>
      </c>
      <c r="F914">
        <v>1717775.875</v>
      </c>
      <c r="G914">
        <v>1144369</v>
      </c>
      <c r="H914">
        <v>685046.0625</v>
      </c>
      <c r="I914">
        <v>12046657</v>
      </c>
    </row>
    <row r="915" spans="1:9" x14ac:dyDescent="0.2">
      <c r="A915" t="s">
        <v>305</v>
      </c>
      <c r="B915">
        <v>2023</v>
      </c>
      <c r="C915" t="s">
        <v>1450</v>
      </c>
      <c r="D915" s="241">
        <v>3172492</v>
      </c>
      <c r="E915">
        <v>2466669</v>
      </c>
      <c r="F915">
        <v>1783855</v>
      </c>
      <c r="G915">
        <v>1192660</v>
      </c>
      <c r="H915">
        <v>720093</v>
      </c>
      <c r="I915">
        <v>12151573</v>
      </c>
    </row>
    <row r="916" spans="1:9" x14ac:dyDescent="0.2">
      <c r="A916" t="s">
        <v>305</v>
      </c>
      <c r="B916">
        <v>2024</v>
      </c>
      <c r="C916" t="s">
        <v>1451</v>
      </c>
      <c r="D916" s="241">
        <v>3247087.75</v>
      </c>
      <c r="E916">
        <v>2540566</v>
      </c>
      <c r="F916">
        <v>1851345.125</v>
      </c>
      <c r="G916">
        <v>1243415</v>
      </c>
      <c r="H916">
        <v>756820</v>
      </c>
      <c r="I916">
        <v>12251376</v>
      </c>
    </row>
    <row r="917" spans="1:9" x14ac:dyDescent="0.2">
      <c r="A917" t="s">
        <v>411</v>
      </c>
      <c r="B917">
        <v>2020</v>
      </c>
      <c r="C917" t="s">
        <v>1452</v>
      </c>
      <c r="D917" s="241">
        <v>19929176</v>
      </c>
      <c r="E917">
        <v>15173708</v>
      </c>
      <c r="F917">
        <v>11020752</v>
      </c>
      <c r="G917">
        <v>7574552</v>
      </c>
      <c r="H917">
        <v>4828360</v>
      </c>
      <c r="I917">
        <v>84339064</v>
      </c>
    </row>
    <row r="918" spans="1:9" x14ac:dyDescent="0.2">
      <c r="A918" t="s">
        <v>411</v>
      </c>
      <c r="B918">
        <v>2021</v>
      </c>
      <c r="C918" t="s">
        <v>1453</v>
      </c>
      <c r="D918" s="241">
        <v>20562936</v>
      </c>
      <c r="E918">
        <v>15699500</v>
      </c>
      <c r="F918">
        <v>11452645</v>
      </c>
      <c r="G918">
        <v>7896582.5</v>
      </c>
      <c r="H918">
        <v>5040459</v>
      </c>
      <c r="I918">
        <v>85042744</v>
      </c>
    </row>
    <row r="919" spans="1:9" x14ac:dyDescent="0.2">
      <c r="A919" t="s">
        <v>411</v>
      </c>
      <c r="B919">
        <v>2022</v>
      </c>
      <c r="C919" t="s">
        <v>1454</v>
      </c>
      <c r="D919" s="241">
        <v>21162388</v>
      </c>
      <c r="E919">
        <v>16194476</v>
      </c>
      <c r="F919">
        <v>11869292</v>
      </c>
      <c r="G919">
        <v>8210227.5</v>
      </c>
      <c r="H919">
        <v>5255127</v>
      </c>
      <c r="I919">
        <v>85561968</v>
      </c>
    </row>
    <row r="920" spans="1:9" x14ac:dyDescent="0.2">
      <c r="A920" t="s">
        <v>411</v>
      </c>
      <c r="B920">
        <v>2023</v>
      </c>
      <c r="C920" t="s">
        <v>1455</v>
      </c>
      <c r="D920" s="241">
        <v>21741414</v>
      </c>
      <c r="E920">
        <v>16672730</v>
      </c>
      <c r="F920">
        <v>12276174</v>
      </c>
      <c r="G920">
        <v>8521967</v>
      </c>
      <c r="H920">
        <v>5475281</v>
      </c>
      <c r="I920">
        <v>85957264</v>
      </c>
    </row>
    <row r="921" spans="1:9" x14ac:dyDescent="0.2">
      <c r="A921" t="s">
        <v>411</v>
      </c>
      <c r="B921">
        <v>2024</v>
      </c>
      <c r="C921" t="s">
        <v>1456</v>
      </c>
      <c r="D921" s="241">
        <v>22325140</v>
      </c>
      <c r="E921">
        <v>17158692</v>
      </c>
      <c r="F921">
        <v>12685828</v>
      </c>
      <c r="G921">
        <v>8843203</v>
      </c>
      <c r="H921">
        <v>5705114.5</v>
      </c>
      <c r="I921">
        <v>86316448</v>
      </c>
    </row>
    <row r="922" spans="1:9" x14ac:dyDescent="0.2">
      <c r="A922" t="s">
        <v>518</v>
      </c>
      <c r="B922">
        <v>2020</v>
      </c>
      <c r="C922" t="s">
        <v>1457</v>
      </c>
      <c r="D922" s="241">
        <v>9118294</v>
      </c>
      <c r="E922">
        <v>7311656.5</v>
      </c>
      <c r="F922">
        <v>5459077</v>
      </c>
      <c r="G922">
        <v>3774701</v>
      </c>
      <c r="H922">
        <v>2358062.75</v>
      </c>
      <c r="I922">
        <v>23816776</v>
      </c>
    </row>
    <row r="923" spans="1:9" x14ac:dyDescent="0.2">
      <c r="A923" t="s">
        <v>518</v>
      </c>
      <c r="B923">
        <v>2021</v>
      </c>
      <c r="C923" t="s">
        <v>1458</v>
      </c>
      <c r="D923" s="241">
        <v>9305239</v>
      </c>
      <c r="E923">
        <v>7522736.5</v>
      </c>
      <c r="F923">
        <v>5671838</v>
      </c>
      <c r="G923">
        <v>3957387</v>
      </c>
      <c r="H923">
        <v>2483457</v>
      </c>
      <c r="I923">
        <v>23855006</v>
      </c>
    </row>
    <row r="924" spans="1:9" x14ac:dyDescent="0.2">
      <c r="A924" t="s">
        <v>518</v>
      </c>
      <c r="B924">
        <v>2022</v>
      </c>
      <c r="C924" t="s">
        <v>1459</v>
      </c>
      <c r="D924" s="241">
        <v>9474150</v>
      </c>
      <c r="E924">
        <v>7720851</v>
      </c>
      <c r="F924">
        <v>5881623</v>
      </c>
      <c r="G924">
        <v>4137211</v>
      </c>
      <c r="H924">
        <v>2621972</v>
      </c>
      <c r="I924">
        <v>23888600</v>
      </c>
    </row>
    <row r="925" spans="1:9" x14ac:dyDescent="0.2">
      <c r="A925" t="s">
        <v>518</v>
      </c>
      <c r="B925">
        <v>2023</v>
      </c>
      <c r="C925" t="s">
        <v>1460</v>
      </c>
      <c r="D925" s="241">
        <v>9635612</v>
      </c>
      <c r="E925">
        <v>7908144.5</v>
      </c>
      <c r="F925">
        <v>6087974.5</v>
      </c>
      <c r="G925">
        <v>4316677</v>
      </c>
      <c r="H925">
        <v>2770873.75</v>
      </c>
      <c r="I925">
        <v>23917880</v>
      </c>
    </row>
    <row r="926" spans="1:9" x14ac:dyDescent="0.2">
      <c r="A926" t="s">
        <v>518</v>
      </c>
      <c r="B926">
        <v>2024</v>
      </c>
      <c r="C926" t="s">
        <v>1461</v>
      </c>
      <c r="D926" s="241">
        <v>9806627</v>
      </c>
      <c r="E926">
        <v>8088747.5</v>
      </c>
      <c r="F926">
        <v>6291059.5</v>
      </c>
      <c r="G926">
        <v>4500571</v>
      </c>
      <c r="H926">
        <v>2926187</v>
      </c>
      <c r="I926">
        <v>23943318</v>
      </c>
    </row>
    <row r="927" spans="1:9" x14ac:dyDescent="0.2">
      <c r="A927" t="s">
        <v>179</v>
      </c>
      <c r="B927">
        <v>2020</v>
      </c>
      <c r="C927" t="s">
        <v>1462</v>
      </c>
      <c r="D927" s="241">
        <v>5453950.5</v>
      </c>
      <c r="E927">
        <v>3793168.25</v>
      </c>
      <c r="F927">
        <v>2527316.25</v>
      </c>
      <c r="G927">
        <v>1579126.875</v>
      </c>
      <c r="H927">
        <v>904516.125</v>
      </c>
      <c r="I927">
        <v>59734216</v>
      </c>
    </row>
    <row r="928" spans="1:9" x14ac:dyDescent="0.2">
      <c r="A928" t="s">
        <v>179</v>
      </c>
      <c r="B928">
        <v>2021</v>
      </c>
      <c r="C928" t="s">
        <v>1463</v>
      </c>
      <c r="D928" s="241">
        <v>5677280.5</v>
      </c>
      <c r="E928">
        <v>3946449.75</v>
      </c>
      <c r="F928">
        <v>2628129.75</v>
      </c>
      <c r="G928">
        <v>1642768.125</v>
      </c>
      <c r="H928">
        <v>944281.0625</v>
      </c>
      <c r="I928">
        <v>61498440</v>
      </c>
    </row>
    <row r="929" spans="1:9" x14ac:dyDescent="0.2">
      <c r="A929" t="s">
        <v>179</v>
      </c>
      <c r="B929">
        <v>2022</v>
      </c>
      <c r="C929" t="s">
        <v>1464</v>
      </c>
      <c r="D929" s="241">
        <v>5914067.5</v>
      </c>
      <c r="E929">
        <v>4109353.5</v>
      </c>
      <c r="F929">
        <v>2734250</v>
      </c>
      <c r="G929">
        <v>1709098.125</v>
      </c>
      <c r="H929">
        <v>981693</v>
      </c>
      <c r="I929">
        <v>63298548</v>
      </c>
    </row>
    <row r="930" spans="1:9" x14ac:dyDescent="0.2">
      <c r="A930" t="s">
        <v>179</v>
      </c>
      <c r="B930">
        <v>2023</v>
      </c>
      <c r="C930" t="s">
        <v>1465</v>
      </c>
      <c r="D930" s="241">
        <v>6164924</v>
      </c>
      <c r="E930">
        <v>4282495</v>
      </c>
      <c r="F930">
        <v>2846569.25</v>
      </c>
      <c r="G930">
        <v>1778441</v>
      </c>
      <c r="H930">
        <v>1018014.0625</v>
      </c>
      <c r="I930">
        <v>65136232</v>
      </c>
    </row>
    <row r="931" spans="1:9" x14ac:dyDescent="0.2">
      <c r="A931" t="s">
        <v>179</v>
      </c>
      <c r="B931">
        <v>2024</v>
      </c>
      <c r="C931" t="s">
        <v>1466</v>
      </c>
      <c r="D931" s="241">
        <v>6430212.5</v>
      </c>
      <c r="E931">
        <v>4466242.5</v>
      </c>
      <c r="F931">
        <v>2965811.75</v>
      </c>
      <c r="G931">
        <v>1850845.875</v>
      </c>
      <c r="H931">
        <v>1054701.875</v>
      </c>
      <c r="I931">
        <v>67014124</v>
      </c>
    </row>
    <row r="932" spans="1:9" x14ac:dyDescent="0.2">
      <c r="A932" t="s">
        <v>181</v>
      </c>
      <c r="B932">
        <v>2020</v>
      </c>
      <c r="C932" t="s">
        <v>1467</v>
      </c>
      <c r="D932" s="241">
        <v>3328445.25</v>
      </c>
      <c r="E932">
        <v>2262852.25</v>
      </c>
      <c r="F932">
        <v>1476010</v>
      </c>
      <c r="G932">
        <v>908276</v>
      </c>
      <c r="H932">
        <v>501685.03125</v>
      </c>
      <c r="I932">
        <v>45740996</v>
      </c>
    </row>
    <row r="933" spans="1:9" x14ac:dyDescent="0.2">
      <c r="A933" t="s">
        <v>181</v>
      </c>
      <c r="B933">
        <v>2021</v>
      </c>
      <c r="C933" t="s">
        <v>1468</v>
      </c>
      <c r="D933" s="241">
        <v>3474181.25</v>
      </c>
      <c r="E933">
        <v>2364799.25</v>
      </c>
      <c r="F933">
        <v>1539998</v>
      </c>
      <c r="G933">
        <v>948274.9375</v>
      </c>
      <c r="H933">
        <v>527120</v>
      </c>
      <c r="I933">
        <v>47123532</v>
      </c>
    </row>
    <row r="934" spans="1:9" x14ac:dyDescent="0.2">
      <c r="A934" t="s">
        <v>181</v>
      </c>
      <c r="B934">
        <v>2022</v>
      </c>
      <c r="C934" t="s">
        <v>1469</v>
      </c>
      <c r="D934" s="241">
        <v>3620605</v>
      </c>
      <c r="E934">
        <v>2469204</v>
      </c>
      <c r="F934">
        <v>1604725</v>
      </c>
      <c r="G934">
        <v>987001</v>
      </c>
      <c r="H934">
        <v>551490.9375</v>
      </c>
      <c r="I934">
        <v>48432880</v>
      </c>
    </row>
    <row r="935" spans="1:9" x14ac:dyDescent="0.2">
      <c r="A935" t="s">
        <v>181</v>
      </c>
      <c r="B935">
        <v>2023</v>
      </c>
      <c r="C935" t="s">
        <v>1470</v>
      </c>
      <c r="D935" s="241">
        <v>3770965</v>
      </c>
      <c r="E935">
        <v>2577277</v>
      </c>
      <c r="F935">
        <v>1671896</v>
      </c>
      <c r="G935">
        <v>1025805.0625</v>
      </c>
      <c r="H935">
        <v>574993</v>
      </c>
      <c r="I935">
        <v>49700756</v>
      </c>
    </row>
    <row r="936" spans="1:9" x14ac:dyDescent="0.2">
      <c r="A936" t="s">
        <v>181</v>
      </c>
      <c r="B936">
        <v>2024</v>
      </c>
      <c r="C936" t="s">
        <v>1471</v>
      </c>
      <c r="D936" s="241">
        <v>3929432.25</v>
      </c>
      <c r="E936">
        <v>2690288</v>
      </c>
      <c r="F936">
        <v>1743519.125</v>
      </c>
      <c r="G936">
        <v>1066333</v>
      </c>
      <c r="H936">
        <v>597815.9375</v>
      </c>
      <c r="I936">
        <v>50976036</v>
      </c>
    </row>
    <row r="937" spans="1:9" x14ac:dyDescent="0.2">
      <c r="A937" t="s">
        <v>413</v>
      </c>
      <c r="B937">
        <v>2020</v>
      </c>
      <c r="C937" t="s">
        <v>1472</v>
      </c>
      <c r="D937" s="241">
        <v>16246879</v>
      </c>
      <c r="E937">
        <v>13443920</v>
      </c>
      <c r="F937">
        <v>10340142</v>
      </c>
      <c r="G937">
        <v>7412497</v>
      </c>
      <c r="H937">
        <v>4800285</v>
      </c>
      <c r="I937">
        <v>43733752</v>
      </c>
    </row>
    <row r="938" spans="1:9" x14ac:dyDescent="0.2">
      <c r="A938" t="s">
        <v>413</v>
      </c>
      <c r="B938">
        <v>2021</v>
      </c>
      <c r="C938" t="s">
        <v>1473</v>
      </c>
      <c r="D938" s="241">
        <v>16253629</v>
      </c>
      <c r="E938">
        <v>13469319</v>
      </c>
      <c r="F938">
        <v>10447029</v>
      </c>
      <c r="G938">
        <v>7525379</v>
      </c>
      <c r="H938">
        <v>4880351</v>
      </c>
      <c r="I938">
        <v>43466824</v>
      </c>
    </row>
    <row r="939" spans="1:9" x14ac:dyDescent="0.2">
      <c r="A939" t="s">
        <v>413</v>
      </c>
      <c r="B939">
        <v>2022</v>
      </c>
      <c r="C939" t="s">
        <v>1474</v>
      </c>
      <c r="D939" s="241">
        <v>16260180</v>
      </c>
      <c r="E939">
        <v>13453916</v>
      </c>
      <c r="F939">
        <v>10540954</v>
      </c>
      <c r="G939">
        <v>7614733.5</v>
      </c>
      <c r="H939">
        <v>4966341.5</v>
      </c>
      <c r="I939">
        <v>43192116</v>
      </c>
    </row>
    <row r="940" spans="1:9" x14ac:dyDescent="0.2">
      <c r="A940" t="s">
        <v>413</v>
      </c>
      <c r="B940">
        <v>2023</v>
      </c>
      <c r="C940" t="s">
        <v>1475</v>
      </c>
      <c r="D940" s="241">
        <v>16271382</v>
      </c>
      <c r="E940">
        <v>13415420</v>
      </c>
      <c r="F940">
        <v>10617725</v>
      </c>
      <c r="G940">
        <v>7687557</v>
      </c>
      <c r="H940">
        <v>5052279</v>
      </c>
      <c r="I940">
        <v>42911304</v>
      </c>
    </row>
    <row r="941" spans="1:9" x14ac:dyDescent="0.2">
      <c r="A941" t="s">
        <v>413</v>
      </c>
      <c r="B941">
        <v>2024</v>
      </c>
      <c r="C941" t="s">
        <v>1476</v>
      </c>
      <c r="D941" s="241">
        <v>16289422</v>
      </c>
      <c r="E941">
        <v>13377238</v>
      </c>
      <c r="F941">
        <v>10669170</v>
      </c>
      <c r="G941">
        <v>7753322</v>
      </c>
      <c r="H941">
        <v>5128847</v>
      </c>
      <c r="I941">
        <v>42626272</v>
      </c>
    </row>
    <row r="942" spans="1:9" x14ac:dyDescent="0.2">
      <c r="A942" t="s">
        <v>255</v>
      </c>
      <c r="B942">
        <v>2020</v>
      </c>
      <c r="C942" t="s">
        <v>1477</v>
      </c>
      <c r="D942" s="241">
        <v>1094002</v>
      </c>
      <c r="E942">
        <v>897661</v>
      </c>
      <c r="F942">
        <v>702925.0625</v>
      </c>
      <c r="G942">
        <v>524101</v>
      </c>
      <c r="H942">
        <v>375003.96875</v>
      </c>
      <c r="I942">
        <v>3473727</v>
      </c>
    </row>
    <row r="943" spans="1:9" x14ac:dyDescent="0.2">
      <c r="A943" t="s">
        <v>255</v>
      </c>
      <c r="B943">
        <v>2021</v>
      </c>
      <c r="C943" t="s">
        <v>1478</v>
      </c>
      <c r="D943" s="241">
        <v>1105758</v>
      </c>
      <c r="E943">
        <v>907227.9375</v>
      </c>
      <c r="F943">
        <v>713420.9375</v>
      </c>
      <c r="G943">
        <v>532315.0625</v>
      </c>
      <c r="H943">
        <v>380289.96875</v>
      </c>
      <c r="I943">
        <v>3485152</v>
      </c>
    </row>
    <row r="944" spans="1:9" x14ac:dyDescent="0.2">
      <c r="A944" t="s">
        <v>255</v>
      </c>
      <c r="B944">
        <v>2022</v>
      </c>
      <c r="C944" t="s">
        <v>1479</v>
      </c>
      <c r="D944" s="241">
        <v>1118184.125</v>
      </c>
      <c r="E944">
        <v>915869.9375</v>
      </c>
      <c r="F944">
        <v>723802</v>
      </c>
      <c r="G944">
        <v>540726</v>
      </c>
      <c r="H944">
        <v>385160</v>
      </c>
      <c r="I944">
        <v>3496015</v>
      </c>
    </row>
    <row r="945" spans="1:9" x14ac:dyDescent="0.2">
      <c r="A945" t="s">
        <v>255</v>
      </c>
      <c r="B945">
        <v>2023</v>
      </c>
      <c r="C945" t="s">
        <v>1480</v>
      </c>
      <c r="D945" s="241">
        <v>1131277</v>
      </c>
      <c r="E945">
        <v>924200.9375</v>
      </c>
      <c r="F945">
        <v>733952.9375</v>
      </c>
      <c r="G945">
        <v>549337.9375</v>
      </c>
      <c r="H945">
        <v>389941</v>
      </c>
      <c r="I945">
        <v>3506373.25</v>
      </c>
    </row>
    <row r="946" spans="1:9" x14ac:dyDescent="0.2">
      <c r="A946" t="s">
        <v>255</v>
      </c>
      <c r="B946">
        <v>2024</v>
      </c>
      <c r="C946" t="s">
        <v>1481</v>
      </c>
      <c r="D946" s="241">
        <v>1145052</v>
      </c>
      <c r="E946">
        <v>933186.0625</v>
      </c>
      <c r="F946">
        <v>743709.0625</v>
      </c>
      <c r="G946">
        <v>558145.0625</v>
      </c>
      <c r="H946">
        <v>395081.96875</v>
      </c>
      <c r="I946">
        <v>3516365</v>
      </c>
    </row>
    <row r="947" spans="1:9" x14ac:dyDescent="0.2">
      <c r="A947" t="s">
        <v>257</v>
      </c>
      <c r="B947">
        <v>2020</v>
      </c>
      <c r="C947" t="s">
        <v>1482</v>
      </c>
      <c r="D947" s="241">
        <v>117838016</v>
      </c>
      <c r="E947">
        <v>97260208</v>
      </c>
      <c r="F947">
        <v>75717936</v>
      </c>
      <c r="G947">
        <v>55048812</v>
      </c>
      <c r="H947">
        <v>37229784</v>
      </c>
      <c r="I947">
        <v>331002624</v>
      </c>
    </row>
    <row r="948" spans="1:9" x14ac:dyDescent="0.2">
      <c r="A948" t="s">
        <v>257</v>
      </c>
      <c r="B948">
        <v>2021</v>
      </c>
      <c r="C948" t="s">
        <v>1483</v>
      </c>
      <c r="D948" s="241">
        <v>119132768</v>
      </c>
      <c r="E948">
        <v>98816176</v>
      </c>
      <c r="F948">
        <v>77519856</v>
      </c>
      <c r="G948">
        <v>56720276</v>
      </c>
      <c r="H948">
        <v>38542936</v>
      </c>
      <c r="I948">
        <v>332915072</v>
      </c>
    </row>
    <row r="949" spans="1:9" x14ac:dyDescent="0.2">
      <c r="A949" t="s">
        <v>257</v>
      </c>
      <c r="B949">
        <v>2022</v>
      </c>
      <c r="C949" t="s">
        <v>1484</v>
      </c>
      <c r="D949" s="241">
        <v>120381216</v>
      </c>
      <c r="E949">
        <v>100264616</v>
      </c>
      <c r="F949">
        <v>79277272</v>
      </c>
      <c r="G949">
        <v>58407580</v>
      </c>
      <c r="H949">
        <v>39856576</v>
      </c>
      <c r="I949">
        <v>334805280</v>
      </c>
    </row>
    <row r="950" spans="1:9" x14ac:dyDescent="0.2">
      <c r="A950" t="s">
        <v>257</v>
      </c>
      <c r="B950">
        <v>2023</v>
      </c>
      <c r="C950" t="s">
        <v>1485</v>
      </c>
      <c r="D950" s="241">
        <v>121601672</v>
      </c>
      <c r="E950">
        <v>101629912</v>
      </c>
      <c r="F950">
        <v>80980744</v>
      </c>
      <c r="G950">
        <v>60104884</v>
      </c>
      <c r="H950">
        <v>41190944</v>
      </c>
      <c r="I950">
        <v>336679264</v>
      </c>
    </row>
    <row r="951" spans="1:9" x14ac:dyDescent="0.2">
      <c r="A951" t="s">
        <v>257</v>
      </c>
      <c r="B951">
        <v>2024</v>
      </c>
      <c r="C951" t="s">
        <v>1486</v>
      </c>
      <c r="D951" s="241">
        <v>122807824</v>
      </c>
      <c r="E951">
        <v>102941600</v>
      </c>
      <c r="F951">
        <v>82611920</v>
      </c>
      <c r="G951">
        <v>61798552</v>
      </c>
      <c r="H951">
        <v>42570468</v>
      </c>
      <c r="I951">
        <v>338542592</v>
      </c>
    </row>
    <row r="952" spans="1:9" x14ac:dyDescent="0.2">
      <c r="A952" t="s">
        <v>415</v>
      </c>
      <c r="B952">
        <v>2020</v>
      </c>
      <c r="C952" t="s">
        <v>1487</v>
      </c>
      <c r="D952" s="241">
        <v>5839938.5</v>
      </c>
      <c r="E952">
        <v>4271297</v>
      </c>
      <c r="F952">
        <v>2771178</v>
      </c>
      <c r="G952">
        <v>1602793</v>
      </c>
      <c r="H952">
        <v>831550.0625</v>
      </c>
      <c r="I952">
        <v>33469196</v>
      </c>
    </row>
    <row r="953" spans="1:9" x14ac:dyDescent="0.2">
      <c r="A953" t="s">
        <v>415</v>
      </c>
      <c r="B953">
        <v>2021</v>
      </c>
      <c r="C953" t="s">
        <v>1488</v>
      </c>
      <c r="D953" s="241">
        <v>6024792</v>
      </c>
      <c r="E953">
        <v>4433839</v>
      </c>
      <c r="F953">
        <v>2925221</v>
      </c>
      <c r="G953">
        <v>1705432.125</v>
      </c>
      <c r="H953">
        <v>875320</v>
      </c>
      <c r="I953">
        <v>33935760</v>
      </c>
    </row>
    <row r="954" spans="1:9" x14ac:dyDescent="0.2">
      <c r="A954" t="s">
        <v>415</v>
      </c>
      <c r="B954">
        <v>2022</v>
      </c>
      <c r="C954" t="s">
        <v>1489</v>
      </c>
      <c r="D954" s="241">
        <v>6220434.5</v>
      </c>
      <c r="E954">
        <v>4590579.5</v>
      </c>
      <c r="F954">
        <v>3086832</v>
      </c>
      <c r="G954">
        <v>1812639.875</v>
      </c>
      <c r="H954">
        <v>929412.9375</v>
      </c>
      <c r="I954">
        <v>34382080</v>
      </c>
    </row>
    <row r="955" spans="1:9" x14ac:dyDescent="0.2">
      <c r="A955" t="s">
        <v>415</v>
      </c>
      <c r="B955">
        <v>2023</v>
      </c>
      <c r="C955" t="s">
        <v>1490</v>
      </c>
      <c r="D955" s="241">
        <v>6425296</v>
      </c>
      <c r="E955">
        <v>4745511.5</v>
      </c>
      <c r="F955">
        <v>3251568.75</v>
      </c>
      <c r="G955">
        <v>1924953</v>
      </c>
      <c r="H955">
        <v>991565</v>
      </c>
      <c r="I955">
        <v>34809380</v>
      </c>
    </row>
    <row r="956" spans="1:9" x14ac:dyDescent="0.2">
      <c r="A956" t="s">
        <v>415</v>
      </c>
      <c r="B956">
        <v>2024</v>
      </c>
      <c r="C956" t="s">
        <v>1491</v>
      </c>
      <c r="D956" s="241">
        <v>6634927</v>
      </c>
      <c r="E956">
        <v>4903654</v>
      </c>
      <c r="F956">
        <v>3411903</v>
      </c>
      <c r="G956">
        <v>2042945</v>
      </c>
      <c r="H956">
        <v>1058722</v>
      </c>
      <c r="I956">
        <v>35220456</v>
      </c>
    </row>
    <row r="957" spans="1:9" x14ac:dyDescent="0.2">
      <c r="A957" t="s">
        <v>259</v>
      </c>
      <c r="B957">
        <v>2020</v>
      </c>
      <c r="C957" t="s">
        <v>1492</v>
      </c>
      <c r="D957" s="241">
        <v>29874.998046875</v>
      </c>
      <c r="E957">
        <v>23092.998046875</v>
      </c>
      <c r="F957">
        <v>16284.998046875</v>
      </c>
      <c r="G957">
        <v>10996</v>
      </c>
      <c r="H957">
        <v>7108.99951171875</v>
      </c>
      <c r="I957">
        <v>110946.9921875</v>
      </c>
    </row>
    <row r="958" spans="1:9" x14ac:dyDescent="0.2">
      <c r="A958" t="s">
        <v>259</v>
      </c>
      <c r="B958">
        <v>2021</v>
      </c>
      <c r="C958" t="s">
        <v>1493</v>
      </c>
      <c r="D958" s="241">
        <v>30377.001953125</v>
      </c>
      <c r="E958">
        <v>23658</v>
      </c>
      <c r="F958">
        <v>16830</v>
      </c>
      <c r="G958">
        <v>11302</v>
      </c>
      <c r="H958">
        <v>7255</v>
      </c>
      <c r="I958">
        <v>111269</v>
      </c>
    </row>
    <row r="959" spans="1:9" x14ac:dyDescent="0.2">
      <c r="A959" t="s">
        <v>259</v>
      </c>
      <c r="B959">
        <v>2022</v>
      </c>
      <c r="C959" t="s">
        <v>1494</v>
      </c>
      <c r="D959" s="241">
        <v>30828.99609375</v>
      </c>
      <c r="E959">
        <v>24148.99609375</v>
      </c>
      <c r="F959">
        <v>17389.998046875</v>
      </c>
      <c r="G959">
        <v>11604.0009765625</v>
      </c>
      <c r="H959">
        <v>7398</v>
      </c>
      <c r="I959">
        <v>111552</v>
      </c>
    </row>
    <row r="960" spans="1:9" x14ac:dyDescent="0.2">
      <c r="A960" t="s">
        <v>259</v>
      </c>
      <c r="B960">
        <v>2023</v>
      </c>
      <c r="C960" t="s">
        <v>1495</v>
      </c>
      <c r="D960" s="241">
        <v>31268</v>
      </c>
      <c r="E960">
        <v>24599</v>
      </c>
      <c r="F960">
        <v>17960</v>
      </c>
      <c r="G960">
        <v>11926.0009765625</v>
      </c>
      <c r="H960">
        <v>7547.99951171875</v>
      </c>
      <c r="I960">
        <v>111805.984375</v>
      </c>
    </row>
    <row r="961" spans="1:9" x14ac:dyDescent="0.2">
      <c r="A961" t="s">
        <v>259</v>
      </c>
      <c r="B961">
        <v>2024</v>
      </c>
      <c r="C961" t="s">
        <v>1496</v>
      </c>
      <c r="D961" s="241">
        <v>31713.998046875</v>
      </c>
      <c r="E961">
        <v>25033</v>
      </c>
      <c r="F961">
        <v>18508.99609375</v>
      </c>
      <c r="G961">
        <v>12281</v>
      </c>
      <c r="H961">
        <v>7714.9990234375</v>
      </c>
      <c r="I961">
        <v>112044</v>
      </c>
    </row>
    <row r="962" spans="1:9" x14ac:dyDescent="0.2">
      <c r="A962" t="s">
        <v>261</v>
      </c>
      <c r="B962">
        <v>2020</v>
      </c>
      <c r="C962" t="s">
        <v>1497</v>
      </c>
      <c r="D962" s="241">
        <v>6459542</v>
      </c>
      <c r="E962">
        <v>4859711</v>
      </c>
      <c r="F962">
        <v>3444558.75</v>
      </c>
      <c r="G962">
        <v>2267118</v>
      </c>
      <c r="H962">
        <v>1402004.125</v>
      </c>
      <c r="I962">
        <v>28435942</v>
      </c>
    </row>
    <row r="963" spans="1:9" x14ac:dyDescent="0.2">
      <c r="A963" t="s">
        <v>261</v>
      </c>
      <c r="B963">
        <v>2021</v>
      </c>
      <c r="C963" t="s">
        <v>1498</v>
      </c>
      <c r="D963" s="241">
        <v>6587780.5</v>
      </c>
      <c r="E963">
        <v>4981516</v>
      </c>
      <c r="F963">
        <v>3547244</v>
      </c>
      <c r="G963">
        <v>2343742.25</v>
      </c>
      <c r="H963">
        <v>1448667</v>
      </c>
      <c r="I963">
        <v>28704950</v>
      </c>
    </row>
    <row r="964" spans="1:9" x14ac:dyDescent="0.2">
      <c r="A964" t="s">
        <v>261</v>
      </c>
      <c r="B964">
        <v>2022</v>
      </c>
      <c r="C964" t="s">
        <v>1499</v>
      </c>
      <c r="D964" s="241">
        <v>6769515.5</v>
      </c>
      <c r="E964">
        <v>5146807</v>
      </c>
      <c r="F964">
        <v>3680354.75</v>
      </c>
      <c r="G964">
        <v>2443280</v>
      </c>
      <c r="H964">
        <v>1506883</v>
      </c>
      <c r="I964">
        <v>29266982</v>
      </c>
    </row>
    <row r="965" spans="1:9" x14ac:dyDescent="0.2">
      <c r="A965" t="s">
        <v>261</v>
      </c>
      <c r="B965">
        <v>2023</v>
      </c>
      <c r="C965" t="s">
        <v>1500</v>
      </c>
      <c r="D965" s="241">
        <v>6990789</v>
      </c>
      <c r="E965">
        <v>5342718</v>
      </c>
      <c r="F965">
        <v>3836339.5</v>
      </c>
      <c r="G965">
        <v>2560060.5</v>
      </c>
      <c r="H965">
        <v>1574777</v>
      </c>
      <c r="I965">
        <v>30016608</v>
      </c>
    </row>
    <row r="966" spans="1:9" x14ac:dyDescent="0.2">
      <c r="A966" t="s">
        <v>261</v>
      </c>
      <c r="B966">
        <v>2024</v>
      </c>
      <c r="C966" t="s">
        <v>1501</v>
      </c>
      <c r="D966" s="241">
        <v>7229737.5</v>
      </c>
      <c r="E966">
        <v>5548495</v>
      </c>
      <c r="F966">
        <v>4002280.75</v>
      </c>
      <c r="G966">
        <v>2684280.75</v>
      </c>
      <c r="H966">
        <v>1648750</v>
      </c>
      <c r="I966">
        <v>30794036</v>
      </c>
    </row>
    <row r="967" spans="1:9" x14ac:dyDescent="0.2">
      <c r="A967" t="s">
        <v>519</v>
      </c>
      <c r="B967">
        <v>2020</v>
      </c>
      <c r="C967" t="s">
        <v>1502</v>
      </c>
      <c r="D967" s="241">
        <v>43309.00390625</v>
      </c>
      <c r="E967">
        <v>36224.00390625</v>
      </c>
      <c r="F967">
        <v>28860</v>
      </c>
      <c r="G967">
        <v>21402</v>
      </c>
      <c r="H967">
        <v>14838.9990234375</v>
      </c>
      <c r="I967">
        <v>104423.0078125</v>
      </c>
    </row>
    <row r="968" spans="1:9" x14ac:dyDescent="0.2">
      <c r="A968" t="s">
        <v>519</v>
      </c>
      <c r="B968">
        <v>2021</v>
      </c>
      <c r="C968" t="s">
        <v>1503</v>
      </c>
      <c r="D968" s="241">
        <v>43685.99609375</v>
      </c>
      <c r="E968">
        <v>36757</v>
      </c>
      <c r="F968">
        <v>29467</v>
      </c>
      <c r="G968">
        <v>22001</v>
      </c>
      <c r="H968">
        <v>15393.0009765625</v>
      </c>
      <c r="I968">
        <v>104218.0078125</v>
      </c>
    </row>
    <row r="969" spans="1:9" x14ac:dyDescent="0.2">
      <c r="A969" t="s">
        <v>519</v>
      </c>
      <c r="B969">
        <v>2022</v>
      </c>
      <c r="C969" t="s">
        <v>1504</v>
      </c>
      <c r="D969" s="241">
        <v>43979</v>
      </c>
      <c r="E969">
        <v>37243</v>
      </c>
      <c r="F969">
        <v>30015.998046875</v>
      </c>
      <c r="G969">
        <v>22604</v>
      </c>
      <c r="H969">
        <v>15874.0009765625</v>
      </c>
      <c r="I969">
        <v>103969</v>
      </c>
    </row>
    <row r="970" spans="1:9" x14ac:dyDescent="0.2">
      <c r="A970" t="s">
        <v>519</v>
      </c>
      <c r="B970">
        <v>2023</v>
      </c>
      <c r="C970" t="s">
        <v>1505</v>
      </c>
      <c r="D970" s="241">
        <v>44191</v>
      </c>
      <c r="E970">
        <v>37670</v>
      </c>
      <c r="F970">
        <v>30515</v>
      </c>
      <c r="G970">
        <v>23197.998046875</v>
      </c>
      <c r="H970">
        <v>16306</v>
      </c>
      <c r="I970">
        <v>103670.9921875</v>
      </c>
    </row>
    <row r="971" spans="1:9" x14ac:dyDescent="0.2">
      <c r="A971" t="s">
        <v>519</v>
      </c>
      <c r="B971">
        <v>2024</v>
      </c>
      <c r="C971" t="s">
        <v>1506</v>
      </c>
      <c r="D971" s="241">
        <v>44369</v>
      </c>
      <c r="E971">
        <v>38062</v>
      </c>
      <c r="F971">
        <v>30998.001953125</v>
      </c>
      <c r="G971">
        <v>23775.001953125</v>
      </c>
      <c r="H971">
        <v>16746</v>
      </c>
      <c r="I971">
        <v>103326.0078125</v>
      </c>
    </row>
    <row r="972" spans="1:9" x14ac:dyDescent="0.2">
      <c r="A972" t="s">
        <v>490</v>
      </c>
      <c r="B972">
        <v>2020</v>
      </c>
      <c r="C972" t="s">
        <v>1507</v>
      </c>
      <c r="D972" s="241">
        <v>23097586</v>
      </c>
      <c r="E972">
        <v>17229226</v>
      </c>
      <c r="F972">
        <v>11987616</v>
      </c>
      <c r="G972">
        <v>7656664</v>
      </c>
      <c r="H972">
        <v>4644931</v>
      </c>
      <c r="I972">
        <v>97338592</v>
      </c>
    </row>
    <row r="973" spans="1:9" x14ac:dyDescent="0.2">
      <c r="A973" t="s">
        <v>490</v>
      </c>
      <c r="B973">
        <v>2021</v>
      </c>
      <c r="C973" t="s">
        <v>1508</v>
      </c>
      <c r="D973" s="241">
        <v>23823298</v>
      </c>
      <c r="E973">
        <v>17865130</v>
      </c>
      <c r="F973">
        <v>12540045</v>
      </c>
      <c r="G973">
        <v>8058927</v>
      </c>
      <c r="H973">
        <v>4834080.5</v>
      </c>
      <c r="I973">
        <v>98168832</v>
      </c>
    </row>
    <row r="974" spans="1:9" x14ac:dyDescent="0.2">
      <c r="A974" t="s">
        <v>490</v>
      </c>
      <c r="B974">
        <v>2022</v>
      </c>
      <c r="C974" t="s">
        <v>1509</v>
      </c>
      <c r="D974" s="241">
        <v>24574378</v>
      </c>
      <c r="E974">
        <v>18508578</v>
      </c>
      <c r="F974">
        <v>13107405</v>
      </c>
      <c r="G974">
        <v>8490787</v>
      </c>
      <c r="H974">
        <v>5059792</v>
      </c>
      <c r="I974">
        <v>98953528</v>
      </c>
    </row>
    <row r="975" spans="1:9" x14ac:dyDescent="0.2">
      <c r="A975" t="s">
        <v>490</v>
      </c>
      <c r="B975">
        <v>2023</v>
      </c>
      <c r="C975" t="s">
        <v>1510</v>
      </c>
      <c r="D975" s="241">
        <v>25346328</v>
      </c>
      <c r="E975">
        <v>19162502</v>
      </c>
      <c r="F975">
        <v>13687483</v>
      </c>
      <c r="G975">
        <v>8948626</v>
      </c>
      <c r="H975">
        <v>5319798</v>
      </c>
      <c r="I975">
        <v>99698632</v>
      </c>
    </row>
    <row r="976" spans="1:9" x14ac:dyDescent="0.2">
      <c r="A976" t="s">
        <v>490</v>
      </c>
      <c r="B976">
        <v>2024</v>
      </c>
      <c r="C976" t="s">
        <v>1511</v>
      </c>
      <c r="D976" s="241">
        <v>26125778</v>
      </c>
      <c r="E976">
        <v>19828080</v>
      </c>
      <c r="F976">
        <v>14273879</v>
      </c>
      <c r="G976">
        <v>9424051</v>
      </c>
      <c r="H976">
        <v>5608959.5</v>
      </c>
      <c r="I976">
        <v>100414096</v>
      </c>
    </row>
    <row r="977" spans="1:9" x14ac:dyDescent="0.2">
      <c r="A977" t="s">
        <v>492</v>
      </c>
      <c r="B977">
        <v>2020</v>
      </c>
      <c r="C977" t="s">
        <v>1512</v>
      </c>
      <c r="D977" s="241">
        <v>38376</v>
      </c>
      <c r="E977">
        <v>26814.001953125</v>
      </c>
      <c r="F977">
        <v>17831.001953125</v>
      </c>
      <c r="G977">
        <v>11080.9990234375</v>
      </c>
      <c r="H977">
        <v>6394</v>
      </c>
      <c r="I977">
        <v>307150</v>
      </c>
    </row>
    <row r="978" spans="1:9" x14ac:dyDescent="0.2">
      <c r="A978" t="s">
        <v>492</v>
      </c>
      <c r="B978">
        <v>2021</v>
      </c>
      <c r="C978" t="s">
        <v>1513</v>
      </c>
      <c r="D978" s="241">
        <v>39647</v>
      </c>
      <c r="E978">
        <v>27830</v>
      </c>
      <c r="F978">
        <v>18449</v>
      </c>
      <c r="G978">
        <v>11429</v>
      </c>
      <c r="H978">
        <v>6563</v>
      </c>
      <c r="I978">
        <v>314463.96875</v>
      </c>
    </row>
    <row r="979" spans="1:9" x14ac:dyDescent="0.2">
      <c r="A979" t="s">
        <v>492</v>
      </c>
      <c r="B979">
        <v>2022</v>
      </c>
      <c r="C979" t="s">
        <v>1514</v>
      </c>
      <c r="D979" s="241">
        <v>40974</v>
      </c>
      <c r="E979">
        <v>28970.001953125</v>
      </c>
      <c r="F979">
        <v>19125</v>
      </c>
      <c r="G979">
        <v>11813</v>
      </c>
      <c r="H979">
        <v>6724</v>
      </c>
      <c r="I979">
        <v>321834.03125</v>
      </c>
    </row>
    <row r="980" spans="1:9" x14ac:dyDescent="0.2">
      <c r="A980" t="s">
        <v>492</v>
      </c>
      <c r="B980">
        <v>2023</v>
      </c>
      <c r="C980" t="s">
        <v>1515</v>
      </c>
      <c r="D980" s="241">
        <v>42365</v>
      </c>
      <c r="E980">
        <v>30185</v>
      </c>
      <c r="F980">
        <v>19854</v>
      </c>
      <c r="G980">
        <v>12219</v>
      </c>
      <c r="H980">
        <v>6869.99951171875</v>
      </c>
      <c r="I980">
        <v>329249.03125</v>
      </c>
    </row>
    <row r="981" spans="1:9" x14ac:dyDescent="0.2">
      <c r="A981" t="s">
        <v>492</v>
      </c>
      <c r="B981">
        <v>2024</v>
      </c>
      <c r="C981" t="s">
        <v>1516</v>
      </c>
      <c r="D981" s="241">
        <v>43849.00390625</v>
      </c>
      <c r="E981">
        <v>31428.99609375</v>
      </c>
      <c r="F981">
        <v>20656.998046875</v>
      </c>
      <c r="G981">
        <v>12660.0009765625</v>
      </c>
      <c r="H981">
        <v>7025</v>
      </c>
      <c r="I981">
        <v>336739</v>
      </c>
    </row>
    <row r="982" spans="1:9" x14ac:dyDescent="0.2">
      <c r="A982" t="s">
        <v>494</v>
      </c>
      <c r="B982">
        <v>2020</v>
      </c>
      <c r="C982" t="s">
        <v>1517</v>
      </c>
      <c r="D982" s="241">
        <v>32422</v>
      </c>
      <c r="E982">
        <v>23454.998046875</v>
      </c>
      <c r="F982">
        <v>15952</v>
      </c>
      <c r="G982">
        <v>10087</v>
      </c>
      <c r="H982">
        <v>5992.00048828125</v>
      </c>
      <c r="I982">
        <v>198409.984375</v>
      </c>
    </row>
    <row r="983" spans="1:9" x14ac:dyDescent="0.2">
      <c r="A983" t="s">
        <v>494</v>
      </c>
      <c r="B983">
        <v>2021</v>
      </c>
      <c r="C983" t="s">
        <v>1518</v>
      </c>
      <c r="D983" s="241">
        <v>33170.99609375</v>
      </c>
      <c r="E983">
        <v>24137.001953125</v>
      </c>
      <c r="F983">
        <v>16456.001953125</v>
      </c>
      <c r="G983">
        <v>10403</v>
      </c>
      <c r="H983">
        <v>6139</v>
      </c>
      <c r="I983">
        <v>200144.03125</v>
      </c>
    </row>
    <row r="984" spans="1:9" x14ac:dyDescent="0.2">
      <c r="A984" t="s">
        <v>494</v>
      </c>
      <c r="B984">
        <v>2022</v>
      </c>
      <c r="C984" t="s">
        <v>1519</v>
      </c>
      <c r="D984" s="241">
        <v>34131.99609375</v>
      </c>
      <c r="E984">
        <v>25004</v>
      </c>
      <c r="F984">
        <v>17094</v>
      </c>
      <c r="G984">
        <v>10818</v>
      </c>
      <c r="H984">
        <v>6337.00048828125</v>
      </c>
      <c r="I984">
        <v>202241</v>
      </c>
    </row>
    <row r="985" spans="1:9" x14ac:dyDescent="0.2">
      <c r="A985" t="s">
        <v>494</v>
      </c>
      <c r="B985">
        <v>2023</v>
      </c>
      <c r="C985" t="s">
        <v>1520</v>
      </c>
      <c r="D985" s="241">
        <v>35183.00390625</v>
      </c>
      <c r="E985">
        <v>25961.998046875</v>
      </c>
      <c r="F985">
        <v>17801.998046875</v>
      </c>
      <c r="G985">
        <v>11282</v>
      </c>
      <c r="H985">
        <v>6547</v>
      </c>
      <c r="I985">
        <v>204568.015625</v>
      </c>
    </row>
    <row r="986" spans="1:9" x14ac:dyDescent="0.2">
      <c r="A986" t="s">
        <v>494</v>
      </c>
      <c r="B986">
        <v>2024</v>
      </c>
      <c r="C986" t="s">
        <v>1521</v>
      </c>
      <c r="D986" s="241">
        <v>36195</v>
      </c>
      <c r="E986">
        <v>26918.001953125</v>
      </c>
      <c r="F986">
        <v>18536.001953125</v>
      </c>
      <c r="G986">
        <v>11769</v>
      </c>
      <c r="H986">
        <v>6775</v>
      </c>
      <c r="I986">
        <v>206972</v>
      </c>
    </row>
    <row r="987" spans="1:9" x14ac:dyDescent="0.2">
      <c r="A987" t="s">
        <v>307</v>
      </c>
      <c r="B987">
        <v>2020</v>
      </c>
      <c r="C987" t="s">
        <v>1522</v>
      </c>
      <c r="D987" s="241">
        <v>2806297.75</v>
      </c>
      <c r="E987">
        <v>2032985</v>
      </c>
      <c r="F987">
        <v>1383463</v>
      </c>
      <c r="G987">
        <v>874196</v>
      </c>
      <c r="H987">
        <v>504013.03125</v>
      </c>
      <c r="I987">
        <v>29825966</v>
      </c>
    </row>
    <row r="988" spans="1:9" x14ac:dyDescent="0.2">
      <c r="A988" t="s">
        <v>307</v>
      </c>
      <c r="B988">
        <v>2021</v>
      </c>
      <c r="C988" t="s">
        <v>1523</v>
      </c>
      <c r="D988" s="241">
        <v>2895066.25</v>
      </c>
      <c r="E988">
        <v>2094929.25</v>
      </c>
      <c r="F988">
        <v>1431740</v>
      </c>
      <c r="G988">
        <v>906191.875</v>
      </c>
      <c r="H988">
        <v>524556.9375</v>
      </c>
      <c r="I988">
        <v>30490636</v>
      </c>
    </row>
    <row r="989" spans="1:9" x14ac:dyDescent="0.2">
      <c r="A989" t="s">
        <v>307</v>
      </c>
      <c r="B989">
        <v>2022</v>
      </c>
      <c r="C989" t="s">
        <v>1524</v>
      </c>
      <c r="D989" s="241">
        <v>2989130.25</v>
      </c>
      <c r="E989">
        <v>2157044.25</v>
      </c>
      <c r="F989">
        <v>1481160.875</v>
      </c>
      <c r="G989">
        <v>938205</v>
      </c>
      <c r="H989">
        <v>543130</v>
      </c>
      <c r="I989">
        <v>31154864</v>
      </c>
    </row>
    <row r="990" spans="1:9" x14ac:dyDescent="0.2">
      <c r="A990" t="s">
        <v>307</v>
      </c>
      <c r="B990">
        <v>2023</v>
      </c>
      <c r="C990" t="s">
        <v>1525</v>
      </c>
      <c r="D990" s="241">
        <v>3090426</v>
      </c>
      <c r="E990">
        <v>2220990</v>
      </c>
      <c r="F990">
        <v>1531496</v>
      </c>
      <c r="G990">
        <v>970623</v>
      </c>
      <c r="H990">
        <v>560501.0625</v>
      </c>
      <c r="I990">
        <v>31818238</v>
      </c>
    </row>
    <row r="991" spans="1:9" x14ac:dyDescent="0.2">
      <c r="A991" t="s">
        <v>307</v>
      </c>
      <c r="B991">
        <v>2024</v>
      </c>
      <c r="C991" t="s">
        <v>1526</v>
      </c>
      <c r="D991" s="241">
        <v>3201416</v>
      </c>
      <c r="E991">
        <v>2288967</v>
      </c>
      <c r="F991">
        <v>1582166.875</v>
      </c>
      <c r="G991">
        <v>1003868.125</v>
      </c>
      <c r="H991">
        <v>577604.0625</v>
      </c>
      <c r="I991">
        <v>32480196</v>
      </c>
    </row>
    <row r="992" spans="1:9" x14ac:dyDescent="0.2">
      <c r="A992" t="s">
        <v>183</v>
      </c>
      <c r="B992">
        <v>2020</v>
      </c>
      <c r="C992" t="s">
        <v>1527</v>
      </c>
      <c r="D992" s="241">
        <v>9973822</v>
      </c>
      <c r="E992">
        <v>7281689.5</v>
      </c>
      <c r="F992">
        <v>5062290</v>
      </c>
      <c r="G992">
        <v>3267574.75</v>
      </c>
      <c r="H992">
        <v>1897849</v>
      </c>
      <c r="I992">
        <v>59308692</v>
      </c>
    </row>
    <row r="993" spans="1:9" x14ac:dyDescent="0.2">
      <c r="A993" t="s">
        <v>183</v>
      </c>
      <c r="B993">
        <v>2021</v>
      </c>
      <c r="C993" t="s">
        <v>1528</v>
      </c>
      <c r="D993" s="241">
        <v>10247055</v>
      </c>
      <c r="E993">
        <v>7486601.5</v>
      </c>
      <c r="F993">
        <v>5216147.5</v>
      </c>
      <c r="G993">
        <v>3381911.75</v>
      </c>
      <c r="H993">
        <v>1971368.125</v>
      </c>
      <c r="I993">
        <v>60041988</v>
      </c>
    </row>
    <row r="994" spans="1:9" x14ac:dyDescent="0.2">
      <c r="A994" t="s">
        <v>183</v>
      </c>
      <c r="B994">
        <v>2022</v>
      </c>
      <c r="C994" t="s">
        <v>1529</v>
      </c>
      <c r="D994" s="241">
        <v>10524537</v>
      </c>
      <c r="E994">
        <v>7691466</v>
      </c>
      <c r="F994">
        <v>5367597</v>
      </c>
      <c r="G994">
        <v>3492251</v>
      </c>
      <c r="H994">
        <v>2044316</v>
      </c>
      <c r="I994">
        <v>60756132</v>
      </c>
    </row>
    <row r="995" spans="1:9" x14ac:dyDescent="0.2">
      <c r="A995" t="s">
        <v>183</v>
      </c>
      <c r="B995">
        <v>2023</v>
      </c>
      <c r="C995" t="s">
        <v>1530</v>
      </c>
      <c r="D995" s="241">
        <v>10807096</v>
      </c>
      <c r="E995">
        <v>7898885.5</v>
      </c>
      <c r="F995">
        <v>5518731.5</v>
      </c>
      <c r="G995">
        <v>3599971.5</v>
      </c>
      <c r="H995">
        <v>2115712.25</v>
      </c>
      <c r="I995">
        <v>61452692</v>
      </c>
    </row>
    <row r="996" spans="1:9" x14ac:dyDescent="0.2">
      <c r="A996" t="s">
        <v>183</v>
      </c>
      <c r="B996">
        <v>2024</v>
      </c>
      <c r="C996" t="s">
        <v>1531</v>
      </c>
      <c r="D996" s="241">
        <v>11094229</v>
      </c>
      <c r="E996">
        <v>8111438.5</v>
      </c>
      <c r="F996">
        <v>5671525</v>
      </c>
      <c r="G996">
        <v>3706361.75</v>
      </c>
      <c r="H996">
        <v>2184055</v>
      </c>
      <c r="I996">
        <v>62134224</v>
      </c>
    </row>
    <row r="997" spans="1:9" x14ac:dyDescent="0.2">
      <c r="A997" t="s">
        <v>185</v>
      </c>
      <c r="B997">
        <v>2020</v>
      </c>
      <c r="C997" t="s">
        <v>1532</v>
      </c>
      <c r="D997" s="241">
        <v>1390767</v>
      </c>
      <c r="E997">
        <v>957170</v>
      </c>
      <c r="F997">
        <v>629508</v>
      </c>
      <c r="G997">
        <v>391954</v>
      </c>
      <c r="H997">
        <v>225673</v>
      </c>
      <c r="I997">
        <v>18383958</v>
      </c>
    </row>
    <row r="998" spans="1:9" x14ac:dyDescent="0.2">
      <c r="A998" t="s">
        <v>185</v>
      </c>
      <c r="B998">
        <v>2021</v>
      </c>
      <c r="C998" t="s">
        <v>1533</v>
      </c>
      <c r="D998" s="241">
        <v>1454776.875</v>
      </c>
      <c r="E998">
        <v>997567.9375</v>
      </c>
      <c r="F998">
        <v>656605.9375</v>
      </c>
      <c r="G998">
        <v>408230</v>
      </c>
      <c r="H998">
        <v>235328</v>
      </c>
      <c r="I998">
        <v>18920658</v>
      </c>
    </row>
    <row r="999" spans="1:9" x14ac:dyDescent="0.2">
      <c r="A999" t="s">
        <v>185</v>
      </c>
      <c r="B999">
        <v>2022</v>
      </c>
      <c r="C999" t="s">
        <v>1534</v>
      </c>
      <c r="D999" s="241">
        <v>1522385.25</v>
      </c>
      <c r="E999">
        <v>1038876</v>
      </c>
      <c r="F999">
        <v>684814</v>
      </c>
      <c r="G999">
        <v>424702</v>
      </c>
      <c r="H999">
        <v>244465.015625</v>
      </c>
      <c r="I999">
        <v>19470236</v>
      </c>
    </row>
    <row r="1000" spans="1:9" x14ac:dyDescent="0.2">
      <c r="A1000" t="s">
        <v>185</v>
      </c>
      <c r="B1000">
        <v>2023</v>
      </c>
      <c r="C1000" t="s">
        <v>1535</v>
      </c>
      <c r="D1000" s="241">
        <v>1594456.875</v>
      </c>
      <c r="E1000">
        <v>1082339</v>
      </c>
      <c r="F1000">
        <v>714287.9375</v>
      </c>
      <c r="G1000">
        <v>441729</v>
      </c>
      <c r="H1000">
        <v>253368.015625</v>
      </c>
      <c r="I1000">
        <v>20032802</v>
      </c>
    </row>
    <row r="1001" spans="1:9" x14ac:dyDescent="0.2">
      <c r="A1001" t="s">
        <v>185</v>
      </c>
      <c r="B1001">
        <v>2024</v>
      </c>
      <c r="C1001" t="s">
        <v>1536</v>
      </c>
      <c r="D1001" s="241">
        <v>1672283</v>
      </c>
      <c r="E1001">
        <v>1129775.125</v>
      </c>
      <c r="F1001">
        <v>745188.875</v>
      </c>
      <c r="G1001">
        <v>459801</v>
      </c>
      <c r="H1001">
        <v>262434.03125</v>
      </c>
      <c r="I1001">
        <v>20608356</v>
      </c>
    </row>
    <row r="1002" spans="1:9" x14ac:dyDescent="0.2">
      <c r="A1002" t="s">
        <v>187</v>
      </c>
      <c r="B1002">
        <v>2020</v>
      </c>
      <c r="C1002" t="s">
        <v>1537</v>
      </c>
      <c r="D1002" s="241">
        <v>1386523</v>
      </c>
      <c r="E1002">
        <v>997103.0625</v>
      </c>
      <c r="F1002">
        <v>688434</v>
      </c>
      <c r="G1002">
        <v>447992</v>
      </c>
      <c r="H1002">
        <v>263019</v>
      </c>
      <c r="I1002">
        <v>14862927</v>
      </c>
    </row>
    <row r="1003" spans="1:9" x14ac:dyDescent="0.2">
      <c r="A1003" t="s">
        <v>187</v>
      </c>
      <c r="B1003">
        <v>2021</v>
      </c>
      <c r="C1003" t="s">
        <v>1538</v>
      </c>
      <c r="D1003" s="241">
        <v>1429091</v>
      </c>
      <c r="E1003">
        <v>1024897</v>
      </c>
      <c r="F1003">
        <v>707683.9375</v>
      </c>
      <c r="G1003">
        <v>461222</v>
      </c>
      <c r="H1003">
        <v>270949.96875</v>
      </c>
      <c r="I1003">
        <v>15092171</v>
      </c>
    </row>
    <row r="1004" spans="1:9" x14ac:dyDescent="0.2">
      <c r="A1004" t="s">
        <v>187</v>
      </c>
      <c r="B1004">
        <v>2022</v>
      </c>
      <c r="C1004" t="s">
        <v>1539</v>
      </c>
      <c r="D1004" s="241">
        <v>1471263.875</v>
      </c>
      <c r="E1004">
        <v>1051992.875</v>
      </c>
      <c r="F1004">
        <v>726268.0625</v>
      </c>
      <c r="G1004">
        <v>473001.96875</v>
      </c>
      <c r="H1004">
        <v>278956</v>
      </c>
      <c r="I1004">
        <v>15331423</v>
      </c>
    </row>
    <row r="1005" spans="1:9" x14ac:dyDescent="0.2">
      <c r="A1005" t="s">
        <v>187</v>
      </c>
      <c r="B1005">
        <v>2023</v>
      </c>
      <c r="C1005" t="s">
        <v>1540</v>
      </c>
      <c r="D1005" s="241">
        <v>1516104.875</v>
      </c>
      <c r="E1005">
        <v>1079899</v>
      </c>
      <c r="F1005">
        <v>744961.125</v>
      </c>
      <c r="G1005">
        <v>484174</v>
      </c>
      <c r="H1005">
        <v>286839</v>
      </c>
      <c r="I1005">
        <v>15581022</v>
      </c>
    </row>
    <row r="1006" spans="1:9" x14ac:dyDescent="0.2">
      <c r="A1006" t="s">
        <v>187</v>
      </c>
      <c r="B1006">
        <v>2024</v>
      </c>
      <c r="C1006" t="s">
        <v>1541</v>
      </c>
      <c r="D1006" s="241">
        <v>1567995</v>
      </c>
      <c r="E1006">
        <v>1110590</v>
      </c>
      <c r="F1006">
        <v>764764</v>
      </c>
      <c r="G1006">
        <v>495854.03125</v>
      </c>
      <c r="H1006">
        <v>294345</v>
      </c>
      <c r="I1006">
        <v>15840802</v>
      </c>
    </row>
  </sheetData>
  <pageMargins left="0.7" right="0.7" top="0.75" bottom="0.75" header="0.3" footer="0.3"/>
  <pageSetup paperSize="9" orientation="portrait" horizontalDpi="0"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F48DB-3C0A-4AA0-B94C-8450A52B1BC0}">
  <sheetPr codeName="Sheet2">
    <tabColor rgb="FFC00000"/>
    <pageSetUpPr autoPageBreaks="0"/>
  </sheetPr>
  <dimension ref="A1:DR554"/>
  <sheetViews>
    <sheetView showGridLines="0" zoomScaleNormal="100" workbookViewId="0"/>
  </sheetViews>
  <sheetFormatPr defaultRowHeight="15" x14ac:dyDescent="0.25"/>
  <cols>
    <col min="1" max="1" width="4.28515625" style="9" customWidth="1"/>
    <col min="2" max="2" width="4.7109375" style="10" customWidth="1"/>
    <col min="3" max="3" width="4.28515625" style="622" customWidth="1"/>
    <col min="4" max="4" width="90.140625" style="5" customWidth="1"/>
    <col min="5" max="5" width="22.7109375" style="13" customWidth="1"/>
    <col min="6" max="6" width="20" style="15" customWidth="1"/>
    <col min="7" max="7" width="7.5703125" style="4" customWidth="1"/>
    <col min="8" max="8" width="30.7109375" style="3" customWidth="1"/>
    <col min="9" max="9" width="40.42578125" style="2" customWidth="1"/>
    <col min="10" max="10" width="11.28515625" style="3" hidden="1" customWidth="1"/>
    <col min="11" max="11" width="78.140625" style="12" customWidth="1"/>
    <col min="12" max="12" width="69.85546875" style="12" customWidth="1"/>
    <col min="13" max="96" width="3.85546875" style="403" hidden="1" customWidth="1"/>
    <col min="97" max="97" width="3.85546875" style="564" hidden="1" customWidth="1"/>
  </cols>
  <sheetData>
    <row r="1" spans="1:97" s="224" customFormat="1" ht="45" customHeight="1" x14ac:dyDescent="0.2">
      <c r="A1" s="224" t="str">
        <f ca="1">IF(OFFSET(N1,0,Lang_Order*Lang__A2)="","",OFFSET(N1,0,Lang_Order*Lang__A2))</f>
        <v>NAVIGATION BAR:</v>
      </c>
      <c r="C1" s="578"/>
      <c r="I1" s="396" t="str">
        <f ca="1">IF(COUNTIF(G:G,Lang_CHECK)=0,Lang_LogicPassed,CONCATENATE(Lang_LogicFailed,COUNTIF(G:G,Lang_CHECK)))</f>
        <v>Logic checks failed - Errors = 32</v>
      </c>
      <c r="J1" s="415" t="s">
        <v>3031</v>
      </c>
      <c r="M1" s="403">
        <v>12</v>
      </c>
      <c r="N1" s="403" t="s">
        <v>2910</v>
      </c>
      <c r="O1" s="403"/>
      <c r="P1" s="403"/>
      <c r="Q1" s="403"/>
      <c r="R1" s="403"/>
      <c r="S1" s="403"/>
      <c r="T1" s="403"/>
      <c r="U1" s="403"/>
      <c r="V1" s="403"/>
      <c r="W1" s="403"/>
      <c r="X1" s="403"/>
      <c r="Y1" s="403"/>
      <c r="Z1" s="403" t="s">
        <v>4634</v>
      </c>
      <c r="AA1" s="403"/>
      <c r="AB1" s="403"/>
      <c r="AC1" s="403"/>
      <c r="AD1" s="403"/>
      <c r="AE1" s="403"/>
      <c r="AF1" s="403"/>
      <c r="AG1" s="403"/>
      <c r="AH1" s="403"/>
      <c r="AI1" s="403"/>
      <c r="AJ1" s="403"/>
      <c r="AK1" s="403"/>
      <c r="AL1" s="403" t="s">
        <v>4635</v>
      </c>
      <c r="AM1" s="403"/>
      <c r="AN1" s="403"/>
      <c r="AO1" s="403"/>
      <c r="AP1" s="403"/>
      <c r="AQ1" s="403"/>
      <c r="AR1" s="403"/>
      <c r="AS1" s="403"/>
      <c r="AT1" s="403"/>
      <c r="AU1" s="403"/>
      <c r="AV1" s="403"/>
      <c r="AW1" s="403"/>
      <c r="AX1" s="403" t="s">
        <v>4636</v>
      </c>
      <c r="AY1" s="403"/>
      <c r="AZ1" s="403"/>
      <c r="BA1" s="403"/>
      <c r="BB1" s="403"/>
      <c r="BC1" s="403"/>
      <c r="BD1" s="403"/>
      <c r="BE1" s="403"/>
      <c r="BF1" s="403"/>
      <c r="BG1" s="403"/>
      <c r="BH1" s="403"/>
      <c r="BI1" s="403"/>
      <c r="BJ1" s="403" t="s">
        <v>4637</v>
      </c>
      <c r="BK1" s="403"/>
      <c r="BL1" s="403"/>
      <c r="BM1" s="403"/>
      <c r="BN1" s="403"/>
      <c r="BO1" s="403"/>
      <c r="BP1" s="403"/>
      <c r="BQ1" s="403"/>
      <c r="BR1" s="403"/>
      <c r="BS1" s="403"/>
      <c r="BT1" s="403"/>
      <c r="BU1" s="403"/>
      <c r="BV1" s="403" t="s">
        <v>4638</v>
      </c>
      <c r="BW1" s="403"/>
      <c r="BX1" s="403"/>
      <c r="BY1" s="403"/>
      <c r="BZ1" s="403"/>
      <c r="CA1" s="403"/>
      <c r="CB1" s="403"/>
      <c r="CC1" s="403"/>
      <c r="CD1" s="403"/>
      <c r="CE1" s="403"/>
      <c r="CF1" s="403"/>
      <c r="CG1" s="403"/>
      <c r="CH1" s="403" t="s">
        <v>4639</v>
      </c>
      <c r="CI1" s="403"/>
      <c r="CJ1" s="403"/>
      <c r="CK1" s="403"/>
      <c r="CL1" s="403"/>
      <c r="CM1" s="403"/>
      <c r="CN1" s="403"/>
      <c r="CO1" s="403"/>
      <c r="CP1" s="403"/>
      <c r="CQ1" s="403"/>
      <c r="CR1" s="403"/>
      <c r="CS1" s="564"/>
    </row>
    <row r="2" spans="1:97" s="299" customFormat="1" ht="99.95" customHeight="1" x14ac:dyDescent="0.2">
      <c r="C2" s="622"/>
      <c r="L2" s="567"/>
      <c r="M2" s="403"/>
      <c r="N2" s="403"/>
      <c r="O2" s="403"/>
      <c r="P2" s="403"/>
      <c r="Q2" s="403"/>
      <c r="R2" s="403"/>
      <c r="S2" s="403"/>
      <c r="T2" s="403"/>
      <c r="U2" s="403"/>
      <c r="V2" s="403"/>
      <c r="W2" s="403"/>
      <c r="X2" s="403"/>
      <c r="Y2" s="403"/>
      <c r="Z2" s="403"/>
      <c r="AA2" s="403"/>
      <c r="AB2" s="403"/>
      <c r="AC2" s="403"/>
      <c r="AD2" s="403"/>
      <c r="AE2" s="403"/>
      <c r="AF2" s="403"/>
      <c r="AG2" s="403"/>
      <c r="AH2" s="403"/>
      <c r="AI2" s="403"/>
      <c r="AJ2" s="403"/>
      <c r="AK2" s="403"/>
      <c r="AL2" s="403"/>
      <c r="AM2" s="403"/>
      <c r="AN2" s="403"/>
      <c r="AO2" s="403"/>
      <c r="AP2" s="403"/>
      <c r="AQ2" s="403"/>
      <c r="AR2" s="403"/>
      <c r="AS2" s="403"/>
      <c r="AT2" s="403"/>
      <c r="AU2" s="403"/>
      <c r="AV2" s="403"/>
      <c r="AW2" s="403"/>
      <c r="AX2" s="403"/>
      <c r="AY2" s="403"/>
      <c r="AZ2" s="403"/>
      <c r="BA2" s="403"/>
      <c r="BB2" s="403"/>
      <c r="BC2" s="403"/>
      <c r="BD2" s="403"/>
      <c r="BE2" s="403"/>
      <c r="BF2" s="403"/>
      <c r="BG2" s="403"/>
      <c r="BH2" s="403"/>
      <c r="BI2" s="403"/>
      <c r="BJ2" s="403"/>
      <c r="BK2" s="403"/>
      <c r="BL2" s="403"/>
      <c r="BM2" s="403"/>
      <c r="BN2" s="403"/>
      <c r="BO2" s="403"/>
      <c r="BP2" s="403"/>
      <c r="BQ2" s="403"/>
      <c r="BR2" s="403"/>
      <c r="BS2" s="403"/>
      <c r="BT2" s="403"/>
      <c r="BU2" s="403"/>
      <c r="BV2" s="403"/>
      <c r="BW2" s="403"/>
      <c r="BX2" s="403"/>
      <c r="BY2" s="403"/>
      <c r="BZ2" s="403"/>
      <c r="CA2" s="403"/>
      <c r="CB2" s="403"/>
      <c r="CC2" s="403"/>
      <c r="CD2" s="403"/>
      <c r="CE2" s="403"/>
      <c r="CF2" s="403"/>
      <c r="CG2" s="403"/>
      <c r="CH2" s="403"/>
      <c r="CI2" s="403"/>
      <c r="CJ2" s="403"/>
      <c r="CK2" s="403"/>
      <c r="CL2" s="403"/>
      <c r="CM2" s="403"/>
      <c r="CN2" s="403"/>
      <c r="CO2" s="403"/>
      <c r="CP2" s="403"/>
      <c r="CQ2" s="403"/>
      <c r="CR2" s="403"/>
      <c r="CS2" s="564"/>
    </row>
    <row r="3" spans="1:97" s="27" customFormat="1" ht="19.5" x14ac:dyDescent="0.3">
      <c r="A3" s="27" t="str">
        <f ca="1">IF(OFFSET(N3,0,Lang_Order*Lang__A2)="","",OFFSET(N3,0,Lang_Order*Lang__A2))</f>
        <v>A2. Country Context, Target Population, Delivery Parameters, and Vaccine Supply</v>
      </c>
      <c r="C3" s="579"/>
      <c r="D3" s="28"/>
      <c r="M3" s="403"/>
      <c r="N3" s="403" t="s">
        <v>3972</v>
      </c>
      <c r="O3" s="403"/>
      <c r="P3" s="403"/>
      <c r="Q3" s="403"/>
      <c r="R3" s="403"/>
      <c r="S3" s="403"/>
      <c r="T3" s="403"/>
      <c r="U3" s="403"/>
      <c r="V3" s="403"/>
      <c r="W3" s="403"/>
      <c r="X3" s="403"/>
      <c r="Y3" s="403"/>
      <c r="Z3" s="403" t="s">
        <v>5841</v>
      </c>
      <c r="AA3" s="403"/>
      <c r="AB3" s="403"/>
      <c r="AC3" s="403"/>
      <c r="AD3" s="403"/>
      <c r="AE3" s="403"/>
      <c r="AF3" s="403"/>
      <c r="AG3" s="403"/>
      <c r="AH3" s="403"/>
      <c r="AI3" s="403"/>
      <c r="AJ3" s="403"/>
      <c r="AK3" s="403"/>
      <c r="AL3" s="403" t="s">
        <v>5842</v>
      </c>
      <c r="AM3" s="403"/>
      <c r="AN3" s="403"/>
      <c r="AO3" s="403"/>
      <c r="AP3" s="403"/>
      <c r="AQ3" s="403"/>
      <c r="AR3" s="403"/>
      <c r="AS3" s="403"/>
      <c r="AT3" s="403"/>
      <c r="AU3" s="403"/>
      <c r="AV3" s="403"/>
      <c r="AW3" s="403"/>
      <c r="AX3" s="403" t="s">
        <v>5843</v>
      </c>
      <c r="AY3" s="403"/>
      <c r="AZ3" s="403"/>
      <c r="BA3" s="403"/>
      <c r="BB3" s="403"/>
      <c r="BC3" s="403"/>
      <c r="BD3" s="403"/>
      <c r="BE3" s="403"/>
      <c r="BF3" s="403"/>
      <c r="BG3" s="403"/>
      <c r="BH3" s="403"/>
      <c r="BI3" s="403"/>
      <c r="BJ3" s="403" t="s">
        <v>5844</v>
      </c>
      <c r="BK3" s="403"/>
      <c r="BL3" s="403"/>
      <c r="BM3" s="403"/>
      <c r="BN3" s="403"/>
      <c r="BO3" s="403"/>
      <c r="BP3" s="403"/>
      <c r="BQ3" s="403"/>
      <c r="BR3" s="403"/>
      <c r="BS3" s="403"/>
      <c r="BT3" s="403"/>
      <c r="BU3" s="403"/>
      <c r="BV3" s="403" t="s">
        <v>5845</v>
      </c>
      <c r="BW3" s="403"/>
      <c r="BX3" s="403"/>
      <c r="BY3" s="403"/>
      <c r="BZ3" s="403"/>
      <c r="CA3" s="403"/>
      <c r="CB3" s="403"/>
      <c r="CC3" s="403"/>
      <c r="CD3" s="403"/>
      <c r="CE3" s="403"/>
      <c r="CF3" s="403"/>
      <c r="CG3" s="403"/>
      <c r="CH3" s="403" t="s">
        <v>5846</v>
      </c>
      <c r="CI3" s="403"/>
      <c r="CJ3" s="403"/>
      <c r="CK3" s="403"/>
      <c r="CL3" s="403"/>
      <c r="CM3" s="403"/>
      <c r="CN3" s="403"/>
      <c r="CO3" s="403"/>
      <c r="CP3" s="403"/>
      <c r="CQ3" s="403"/>
      <c r="CR3" s="403"/>
      <c r="CS3" s="564"/>
    </row>
    <row r="4" spans="1:97" s="15" customFormat="1" ht="12.75" x14ac:dyDescent="0.2">
      <c r="B4" s="299"/>
      <c r="C4" s="622"/>
      <c r="L4" s="567"/>
      <c r="M4" s="403"/>
      <c r="N4" s="403"/>
      <c r="O4" s="403"/>
      <c r="P4" s="403"/>
      <c r="Q4" s="403"/>
      <c r="R4" s="403"/>
      <c r="S4" s="403"/>
      <c r="T4" s="403"/>
      <c r="U4" s="403"/>
      <c r="V4" s="403"/>
      <c r="W4" s="403"/>
      <c r="X4" s="403"/>
      <c r="Y4" s="403"/>
      <c r="Z4" s="403"/>
      <c r="AA4" s="403"/>
      <c r="AB4" s="403"/>
      <c r="AC4" s="403"/>
      <c r="AD4" s="403"/>
      <c r="AE4" s="403"/>
      <c r="AF4" s="403"/>
      <c r="AG4" s="403"/>
      <c r="AH4" s="403"/>
      <c r="AI4" s="403"/>
      <c r="AJ4" s="403"/>
      <c r="AK4" s="403"/>
      <c r="AL4" s="403"/>
      <c r="AM4" s="403"/>
      <c r="AN4" s="403"/>
      <c r="AO4" s="403"/>
      <c r="AP4" s="403"/>
      <c r="AQ4" s="403"/>
      <c r="AR4" s="403"/>
      <c r="AS4" s="403"/>
      <c r="AT4" s="403"/>
      <c r="AU4" s="403"/>
      <c r="AV4" s="403"/>
      <c r="AW4" s="403"/>
      <c r="AX4" s="403"/>
      <c r="AY4" s="403"/>
      <c r="AZ4" s="403"/>
      <c r="BA4" s="403"/>
      <c r="BB4" s="403"/>
      <c r="BC4" s="403"/>
      <c r="BD4" s="403"/>
      <c r="BE4" s="403"/>
      <c r="BF4" s="403"/>
      <c r="BG4" s="403"/>
      <c r="BH4" s="403"/>
      <c r="BI4" s="403"/>
      <c r="BJ4" s="403"/>
      <c r="BK4" s="403"/>
      <c r="BL4" s="403"/>
      <c r="BM4" s="403"/>
      <c r="BN4" s="403"/>
      <c r="BO4" s="403"/>
      <c r="BP4" s="403"/>
      <c r="BQ4" s="403"/>
      <c r="BR4" s="403"/>
      <c r="BS4" s="403"/>
      <c r="BT4" s="403"/>
      <c r="BU4" s="403"/>
      <c r="BV4" s="403"/>
      <c r="BW4" s="403"/>
      <c r="BX4" s="403"/>
      <c r="BY4" s="403"/>
      <c r="BZ4" s="403"/>
      <c r="CA4" s="403"/>
      <c r="CB4" s="403"/>
      <c r="CC4" s="403"/>
      <c r="CD4" s="403"/>
      <c r="CE4" s="403"/>
      <c r="CF4" s="403"/>
      <c r="CG4" s="403"/>
      <c r="CH4" s="403"/>
      <c r="CI4" s="403"/>
      <c r="CJ4" s="403"/>
      <c r="CK4" s="403"/>
      <c r="CL4" s="403"/>
      <c r="CM4" s="403"/>
      <c r="CN4" s="403"/>
      <c r="CO4" s="403"/>
      <c r="CP4" s="403"/>
      <c r="CQ4" s="403"/>
      <c r="CR4" s="403"/>
      <c r="CS4" s="564"/>
    </row>
    <row r="5" spans="1:97" s="299" customFormat="1" ht="17.25" x14ac:dyDescent="0.3">
      <c r="B5" s="17" t="str">
        <f ca="1">IF(OFFSET(O5,0,Lang_Order*Lang__A2)="","",OFFSET(O5,0,Lang_Order*Lang__A2))</f>
        <v>A2.1 Country Parameters</v>
      </c>
      <c r="C5" s="623"/>
      <c r="D5" s="17"/>
      <c r="E5" s="17" t="str">
        <f ca="1">IF(OFFSET(R5,0,Lang_Order*Lang__A2)="","",OFFSET(R5,0,Lang_Order*Lang__A2))</f>
        <v>INPUTS</v>
      </c>
      <c r="F5" s="17" t="str">
        <f ca="1">IF(OFFSET(S5,0,Lang_Order*Lang__A2)="","",OFFSET(S5,0,Lang_Order*Lang__A2))</f>
        <v>Suggestion</v>
      </c>
      <c r="G5" s="17"/>
      <c r="H5" s="17" t="str">
        <f ca="1">IF(OFFSET(U5,0,Lang_Order*Lang__A2)="","",OFFSET(U5,0,Lang_Order*Lang__A2))</f>
        <v>Derived</v>
      </c>
      <c r="I5" s="17" t="str">
        <f ca="1">IF(OFFSET(V5,0,Lang_Order*Lang__A2)="","",OFFSET(V5,0,Lang_Order*Lang__A2))</f>
        <v>Unit / Comment</v>
      </c>
      <c r="J5" s="17"/>
      <c r="K5" s="17" t="str">
        <f t="shared" ref="I5:K31" ca="1" si="0">IF(OFFSET(X5,0,Lang_Order*Lang__A2)="","",OFFSET(X5,0,Lang_Order*Lang__A2))</f>
        <v>Comments</v>
      </c>
      <c r="L5" s="17" t="str">
        <f t="shared" ref="L5" ca="1" si="1">IF(OFFSET(Y5,0,Lang_Order*Lang__A2)="","",OFFSET(Y5,0,Lang_Order*Lang__A2))</f>
        <v>User Notes</v>
      </c>
      <c r="M5" s="403"/>
      <c r="N5" s="403"/>
      <c r="O5" s="403" t="s">
        <v>14244</v>
      </c>
      <c r="P5" s="403"/>
      <c r="Q5" s="403"/>
      <c r="R5" s="403" t="s">
        <v>3744</v>
      </c>
      <c r="S5" s="403" t="s">
        <v>1638</v>
      </c>
      <c r="T5" s="403"/>
      <c r="U5" s="403" t="s">
        <v>17</v>
      </c>
      <c r="V5" s="403" t="s">
        <v>2870</v>
      </c>
      <c r="W5" s="403"/>
      <c r="X5" s="403" t="s">
        <v>13980</v>
      </c>
      <c r="Y5" s="403" t="s">
        <v>13981</v>
      </c>
      <c r="Z5" s="403"/>
      <c r="AA5" s="403" t="s">
        <v>5847</v>
      </c>
      <c r="AB5" s="403"/>
      <c r="AC5" s="403"/>
      <c r="AD5" s="403" t="s">
        <v>5848</v>
      </c>
      <c r="AE5" s="403" t="s">
        <v>1638</v>
      </c>
      <c r="AF5" s="403"/>
      <c r="AG5" s="403" t="s">
        <v>5849</v>
      </c>
      <c r="AH5" s="403" t="s">
        <v>5850</v>
      </c>
      <c r="AI5" s="403"/>
      <c r="AJ5" s="403" t="s">
        <v>14071</v>
      </c>
      <c r="AK5" s="403" t="s">
        <v>14076</v>
      </c>
      <c r="AL5" s="403"/>
      <c r="AM5" s="403" t="s">
        <v>5851</v>
      </c>
      <c r="AN5" s="403"/>
      <c r="AO5" s="403"/>
      <c r="AP5" s="403" t="s">
        <v>5852</v>
      </c>
      <c r="AQ5" s="403" t="s">
        <v>5853</v>
      </c>
      <c r="AR5" s="403"/>
      <c r="AS5" s="403" t="s">
        <v>5854</v>
      </c>
      <c r="AT5" s="403" t="s">
        <v>5855</v>
      </c>
      <c r="AU5" s="403"/>
      <c r="AV5" s="403" t="s">
        <v>14072</v>
      </c>
      <c r="AW5" s="403" t="s">
        <v>14077</v>
      </c>
      <c r="AX5" s="403"/>
      <c r="AY5" s="403" t="s">
        <v>5856</v>
      </c>
      <c r="AZ5" s="403"/>
      <c r="BA5" s="403"/>
      <c r="BB5" s="403" t="s">
        <v>5857</v>
      </c>
      <c r="BC5" s="403" t="s">
        <v>5858</v>
      </c>
      <c r="BD5" s="403"/>
      <c r="BE5" s="403" t="s">
        <v>5859</v>
      </c>
      <c r="BF5" s="403" t="s">
        <v>5860</v>
      </c>
      <c r="BG5" s="403"/>
      <c r="BH5" s="403" t="s">
        <v>14073</v>
      </c>
      <c r="BI5" s="403" t="s">
        <v>14078</v>
      </c>
      <c r="BJ5" s="403"/>
      <c r="BK5" s="403" t="s">
        <v>5861</v>
      </c>
      <c r="BL5" s="403"/>
      <c r="BM5" s="403"/>
      <c r="BN5" s="403" t="s">
        <v>5862</v>
      </c>
      <c r="BO5" s="403" t="s">
        <v>5863</v>
      </c>
      <c r="BP5" s="403"/>
      <c r="BQ5" s="403" t="s">
        <v>5864</v>
      </c>
      <c r="BR5" s="403" t="s">
        <v>5865</v>
      </c>
      <c r="BS5" s="403"/>
      <c r="BT5" s="403" t="s">
        <v>14074</v>
      </c>
      <c r="BU5" s="403" t="s">
        <v>14079</v>
      </c>
      <c r="BV5" s="403"/>
      <c r="BW5" s="403" t="s">
        <v>5866</v>
      </c>
      <c r="BX5" s="403"/>
      <c r="BY5" s="403"/>
      <c r="BZ5" s="403" t="s">
        <v>5867</v>
      </c>
      <c r="CA5" s="403" t="s">
        <v>5868</v>
      </c>
      <c r="CB5" s="403"/>
      <c r="CC5" s="403" t="s">
        <v>5869</v>
      </c>
      <c r="CD5" s="403" t="s">
        <v>5870</v>
      </c>
      <c r="CE5" s="403"/>
      <c r="CF5" s="403" t="s">
        <v>14075</v>
      </c>
      <c r="CG5" s="403" t="s">
        <v>14080</v>
      </c>
      <c r="CH5" s="403"/>
      <c r="CI5" s="403" t="s">
        <v>5872</v>
      </c>
      <c r="CJ5" s="403"/>
      <c r="CK5" s="403"/>
      <c r="CL5" s="403" t="s">
        <v>5873</v>
      </c>
      <c r="CM5" s="403" t="s">
        <v>5874</v>
      </c>
      <c r="CN5" s="403"/>
      <c r="CO5" s="403" t="s">
        <v>5875</v>
      </c>
      <c r="CP5" s="403" t="s">
        <v>5876</v>
      </c>
      <c r="CQ5" s="403"/>
      <c r="CR5" s="403" t="s">
        <v>5455</v>
      </c>
      <c r="CS5" s="564" t="s">
        <v>14081</v>
      </c>
    </row>
    <row r="6" spans="1:97" s="299" customFormat="1" ht="12.75" x14ac:dyDescent="0.2">
      <c r="A6" s="527"/>
      <c r="C6" s="622"/>
      <c r="D6" s="417" t="str">
        <f ca="1">IF(OFFSET(Q6,0,Lang_Order*Lang__A2)="","",OFFSET(Q6,0,Lang_Order*Lang__A2))</f>
        <v>Instructions: Please select the country and local currency unit to be used from the dropdown list.</v>
      </c>
      <c r="L6" s="567"/>
      <c r="M6" s="403"/>
      <c r="N6" s="403"/>
      <c r="O6" s="403"/>
      <c r="P6" s="403"/>
      <c r="Q6" s="403" t="s">
        <v>4062</v>
      </c>
      <c r="R6" s="403"/>
      <c r="S6" s="403"/>
      <c r="T6" s="403"/>
      <c r="U6" s="403"/>
      <c r="V6" s="403"/>
      <c r="W6" s="403"/>
      <c r="X6" s="403"/>
      <c r="Y6" s="403"/>
      <c r="Z6" s="403"/>
      <c r="AA6" s="403"/>
      <c r="AB6" s="403"/>
      <c r="AC6" s="403" t="s">
        <v>5877</v>
      </c>
      <c r="AD6" s="403"/>
      <c r="AE6" s="403"/>
      <c r="AF6" s="403"/>
      <c r="AG6" s="403"/>
      <c r="AH6" s="403"/>
      <c r="AI6" s="403"/>
      <c r="AJ6" s="403"/>
      <c r="AK6" s="403"/>
      <c r="AL6" s="403"/>
      <c r="AM6" s="403"/>
      <c r="AN6" s="403"/>
      <c r="AO6" s="403" t="s">
        <v>5878</v>
      </c>
      <c r="AP6" s="403"/>
      <c r="AQ6" s="403"/>
      <c r="AR6" s="403"/>
      <c r="AS6" s="403"/>
      <c r="AT6" s="403"/>
      <c r="AU6" s="403"/>
      <c r="AV6" s="403"/>
      <c r="AW6" s="403"/>
      <c r="AX6" s="403"/>
      <c r="AY6" s="403"/>
      <c r="AZ6" s="403"/>
      <c r="BA6" s="403" t="s">
        <v>5879</v>
      </c>
      <c r="BB6" s="403"/>
      <c r="BC6" s="403"/>
      <c r="BD6" s="403"/>
      <c r="BE6" s="403"/>
      <c r="BF6" s="403"/>
      <c r="BG6" s="403"/>
      <c r="BH6" s="403"/>
      <c r="BI6" s="403"/>
      <c r="BJ6" s="403"/>
      <c r="BK6" s="403"/>
      <c r="BL6" s="403"/>
      <c r="BM6" s="403" t="s">
        <v>5880</v>
      </c>
      <c r="BN6" s="403"/>
      <c r="BO6" s="403"/>
      <c r="BP6" s="403"/>
      <c r="BQ6" s="403"/>
      <c r="BR6" s="403"/>
      <c r="BS6" s="403"/>
      <c r="BT6" s="403"/>
      <c r="BU6" s="403"/>
      <c r="BV6" s="403"/>
      <c r="BW6" s="403"/>
      <c r="BX6" s="403"/>
      <c r="BY6" s="403" t="s">
        <v>5881</v>
      </c>
      <c r="BZ6" s="403"/>
      <c r="CA6" s="403"/>
      <c r="CB6" s="403"/>
      <c r="CC6" s="403"/>
      <c r="CD6" s="403"/>
      <c r="CE6" s="403"/>
      <c r="CF6" s="403"/>
      <c r="CG6" s="403"/>
      <c r="CH6" s="403"/>
      <c r="CI6" s="403"/>
      <c r="CJ6" s="403"/>
      <c r="CK6" s="403" t="s">
        <v>5882</v>
      </c>
      <c r="CL6" s="403"/>
      <c r="CM6" s="403"/>
      <c r="CN6" s="403"/>
      <c r="CO6" s="403"/>
      <c r="CP6" s="403"/>
      <c r="CQ6" s="403"/>
      <c r="CR6" s="403"/>
      <c r="CS6" s="564"/>
    </row>
    <row r="7" spans="1:97" s="15" customFormat="1" ht="12.75" x14ac:dyDescent="0.2">
      <c r="C7" s="624" t="str">
        <f ca="1">IF(OFFSET(P7,0,Lang_Order*Lang__A2)="","",OFFSET(P7,0,Lang_Order*Lang__A2))</f>
        <v>Country</v>
      </c>
      <c r="G7" s="194"/>
      <c r="K7" s="567"/>
      <c r="L7" s="567"/>
      <c r="M7" s="403"/>
      <c r="N7" s="403"/>
      <c r="O7" s="403"/>
      <c r="P7" s="403" t="s">
        <v>1649</v>
      </c>
      <c r="Q7" s="403"/>
      <c r="R7" s="403"/>
      <c r="S7" s="403"/>
      <c r="T7" s="403"/>
      <c r="U7" s="403"/>
      <c r="V7" s="403"/>
      <c r="W7" s="403"/>
      <c r="X7" s="403"/>
      <c r="Y7" s="403"/>
      <c r="Z7" s="403"/>
      <c r="AA7" s="403"/>
      <c r="AB7" s="403" t="s">
        <v>5883</v>
      </c>
      <c r="AC7" s="403"/>
      <c r="AD7" s="403"/>
      <c r="AE7" s="403"/>
      <c r="AF7" s="403"/>
      <c r="AG7" s="403"/>
      <c r="AH7" s="403"/>
      <c r="AI7" s="403"/>
      <c r="AJ7" s="403"/>
      <c r="AK7" s="403"/>
      <c r="AL7" s="403"/>
      <c r="AM7" s="403"/>
      <c r="AN7" s="403" t="s">
        <v>5884</v>
      </c>
      <c r="AO7" s="403"/>
      <c r="AP7" s="403"/>
      <c r="AQ7" s="403"/>
      <c r="AR7" s="403"/>
      <c r="AS7" s="403"/>
      <c r="AT7" s="403"/>
      <c r="AU7" s="403"/>
      <c r="AV7" s="403"/>
      <c r="AW7" s="403"/>
      <c r="AX7" s="403"/>
      <c r="AY7" s="403"/>
      <c r="AZ7" s="403" t="s">
        <v>5885</v>
      </c>
      <c r="BA7" s="403"/>
      <c r="BB7" s="403"/>
      <c r="BC7" s="403"/>
      <c r="BD7" s="403"/>
      <c r="BE7" s="403"/>
      <c r="BF7" s="403"/>
      <c r="BG7" s="403"/>
      <c r="BH7" s="403"/>
      <c r="BI7" s="403"/>
      <c r="BJ7" s="403"/>
      <c r="BK7" s="403"/>
      <c r="BL7" s="403" t="s">
        <v>5886</v>
      </c>
      <c r="BM7" s="403"/>
      <c r="BN7" s="403"/>
      <c r="BO7" s="403"/>
      <c r="BP7" s="403"/>
      <c r="BQ7" s="403"/>
      <c r="BR7" s="403"/>
      <c r="BS7" s="403"/>
      <c r="BT7" s="403"/>
      <c r="BU7" s="403"/>
      <c r="BV7" s="403"/>
      <c r="BW7" s="403"/>
      <c r="BX7" s="403" t="s">
        <v>5887</v>
      </c>
      <c r="BY7" s="403"/>
      <c r="BZ7" s="403"/>
      <c r="CA7" s="403"/>
      <c r="CB7" s="403"/>
      <c r="CC7" s="403"/>
      <c r="CD7" s="403"/>
      <c r="CE7" s="403"/>
      <c r="CF7" s="403"/>
      <c r="CG7" s="403"/>
      <c r="CH7" s="403"/>
      <c r="CI7" s="403"/>
      <c r="CJ7" s="403" t="s">
        <v>5888</v>
      </c>
      <c r="CK7" s="403"/>
      <c r="CL7" s="403"/>
      <c r="CM7" s="403"/>
      <c r="CN7" s="403"/>
      <c r="CO7" s="403"/>
      <c r="CP7" s="403"/>
      <c r="CQ7" s="403"/>
      <c r="CR7" s="403"/>
      <c r="CS7" s="564"/>
    </row>
    <row r="8" spans="1:97" ht="12.75" x14ac:dyDescent="0.2">
      <c r="A8" s="349">
        <v>1</v>
      </c>
      <c r="B8" s="9"/>
      <c r="D8" s="23" t="str">
        <f t="shared" ref="D8:D14" ca="1" si="2">IF(OFFSET(Q8,0,Lang_Order*Lang__A2)="","",OFFSET(Q8,0,Lang_Order*Lang__A2))</f>
        <v>Name of Country</v>
      </c>
      <c r="E8" s="35" t="s">
        <v>15209</v>
      </c>
      <c r="F8" s="9"/>
      <c r="G8" s="667"/>
      <c r="H8" s="3" t="s">
        <v>15210</v>
      </c>
      <c r="K8" s="567"/>
      <c r="L8" s="587"/>
      <c r="Q8" s="403" t="s">
        <v>4113</v>
      </c>
      <c r="AC8" s="403" t="s">
        <v>5889</v>
      </c>
      <c r="AO8" s="403" t="s">
        <v>5890</v>
      </c>
      <c r="BA8" s="403" t="s">
        <v>5891</v>
      </c>
      <c r="BM8" s="403" t="s">
        <v>5892</v>
      </c>
      <c r="BY8" s="403" t="s">
        <v>5893</v>
      </c>
      <c r="CK8" s="403" t="s">
        <v>5894</v>
      </c>
    </row>
    <row r="9" spans="1:97" ht="12.75" x14ac:dyDescent="0.2">
      <c r="A9" s="354">
        <v>1</v>
      </c>
      <c r="B9" s="9"/>
      <c r="D9" s="66" t="str">
        <f t="shared" ca="1" si="2"/>
        <v>What Local Currency Unit (LCU) to use for unit costs?</v>
      </c>
      <c r="E9" s="35"/>
      <c r="F9" s="9"/>
      <c r="G9" s="4" t="str">
        <f>IF(ISBLANK(E9),Lang_CHECK,"OK")</f>
        <v>CHECK</v>
      </c>
      <c r="H9" s="77" t="e">
        <f>VLOOKUP(LCU,FOREX2[],J9,FALSE)</f>
        <v>#N/A</v>
      </c>
      <c r="J9" s="3">
        <v>2</v>
      </c>
      <c r="K9" s="567"/>
      <c r="L9" s="587"/>
      <c r="Q9" s="403" t="s">
        <v>2903</v>
      </c>
      <c r="AC9" s="403" t="s">
        <v>5895</v>
      </c>
      <c r="AO9" s="403" t="s">
        <v>5896</v>
      </c>
      <c r="BA9" s="403" t="s">
        <v>5897</v>
      </c>
      <c r="BM9" s="403" t="s">
        <v>5898</v>
      </c>
      <c r="BY9" s="403" t="s">
        <v>5899</v>
      </c>
      <c r="CK9" s="403" t="s">
        <v>5900</v>
      </c>
    </row>
    <row r="10" spans="1:97" ht="12.75" x14ac:dyDescent="0.2">
      <c r="A10" s="350">
        <v>2</v>
      </c>
      <c r="B10" s="9"/>
      <c r="D10" s="359" t="str">
        <f t="shared" ca="1" si="2"/>
        <v>Currency conversion to use - 1 USD in LCUs (LEAVE BLANK for autocompletion):</v>
      </c>
      <c r="E10" s="35"/>
      <c r="F10" s="606" t="e">
        <f>CONCATENATE(Lang_LeaveBlank," = ",TEXT(VLOOKUP(LCU,FOREX2[],3,FALSE),"0.00"))</f>
        <v>#N/A</v>
      </c>
      <c r="G10" s="4" t="str">
        <f>IF(ISBLANK(H10),Lang_CHECK,"OK")</f>
        <v>OK</v>
      </c>
      <c r="H10" s="77" t="e">
        <f>IF(ISBLANK(E10),VLOOKUP(LCU,FOREX2[],J10,FALSE),E10)</f>
        <v>#N/A</v>
      </c>
      <c r="I10" s="607" t="str">
        <f ca="1">CONCATENATE(IF(OFFSET(V10,0,Lang_Order*Lang__A2)="","",OFFSET(V10,0,Lang_Order*Lang__A2)),TEXT('T6a. FOREX (XML)'!D2,"yyyy-mm-dd"))</f>
        <v>LCUs | Last auto update: 2022-03-28</v>
      </c>
      <c r="J10" s="3">
        <v>3</v>
      </c>
      <c r="K10" s="12" t="str">
        <f t="shared" ca="1" si="0"/>
        <v>Leave blank for auto completion; Source: http://www.floatrates.com/daily/usd.xml . To update - go to Data | Refresh All</v>
      </c>
      <c r="L10" s="587"/>
      <c r="Q10" s="403" t="s">
        <v>4063</v>
      </c>
      <c r="V10" s="403" t="s">
        <v>4108</v>
      </c>
      <c r="X10" s="403" t="s">
        <v>2973</v>
      </c>
      <c r="AC10" s="403" t="s">
        <v>5901</v>
      </c>
      <c r="AH10" s="403" t="s">
        <v>5902</v>
      </c>
      <c r="AJ10" s="403" t="s">
        <v>5903</v>
      </c>
      <c r="AO10" s="403" t="s">
        <v>5904</v>
      </c>
      <c r="AT10" s="403" t="s">
        <v>5905</v>
      </c>
      <c r="AV10" s="403" t="s">
        <v>5906</v>
      </c>
      <c r="BA10" s="403" t="s">
        <v>5907</v>
      </c>
      <c r="BF10" s="403" t="s">
        <v>5908</v>
      </c>
      <c r="BH10" s="403" t="s">
        <v>5909</v>
      </c>
      <c r="BM10" s="403" t="s">
        <v>5910</v>
      </c>
      <c r="BR10" s="403" t="s">
        <v>5911</v>
      </c>
      <c r="BT10" s="403" t="s">
        <v>5912</v>
      </c>
      <c r="BY10" s="403" t="s">
        <v>5913</v>
      </c>
      <c r="CD10" s="403" t="s">
        <v>5914</v>
      </c>
      <c r="CF10" s="403" t="s">
        <v>5915</v>
      </c>
      <c r="CK10" s="403" t="s">
        <v>5916</v>
      </c>
      <c r="CP10" s="403" t="s">
        <v>5917</v>
      </c>
      <c r="CR10" s="403" t="s">
        <v>5918</v>
      </c>
    </row>
    <row r="11" spans="1:97" ht="12.75" hidden="1" x14ac:dyDescent="0.2">
      <c r="B11" s="9"/>
      <c r="D11" s="23" t="str">
        <f t="shared" ca="1" si="2"/>
        <v>WHO  Region</v>
      </c>
      <c r="E11" s="34"/>
      <c r="F11" s="9"/>
      <c r="G11" s="15"/>
      <c r="H11" s="3" t="e">
        <f>VLOOKUP(Country_Code,WB_WHO[],J11,FALSE)</f>
        <v>#N/A</v>
      </c>
      <c r="J11" s="3">
        <v>3</v>
      </c>
      <c r="K11" s="567"/>
      <c r="L11" s="567"/>
      <c r="Q11" s="403" t="s">
        <v>1554</v>
      </c>
      <c r="AC11" s="403" t="s">
        <v>5919</v>
      </c>
      <c r="AO11" s="403" t="s">
        <v>5920</v>
      </c>
      <c r="BA11" s="403" t="s">
        <v>5921</v>
      </c>
      <c r="BM11" s="403" t="s">
        <v>5922</v>
      </c>
      <c r="BY11" s="403" t="s">
        <v>5923</v>
      </c>
      <c r="CK11" s="403" t="s">
        <v>5924</v>
      </c>
    </row>
    <row r="12" spans="1:97" ht="12.75" hidden="1" x14ac:dyDescent="0.2">
      <c r="B12" s="34"/>
      <c r="D12" s="23" t="str">
        <f t="shared" ca="1" si="2"/>
        <v>World Bank Region</v>
      </c>
      <c r="E12" s="34"/>
      <c r="F12" s="9"/>
      <c r="G12" s="15"/>
      <c r="H12" s="3" t="e">
        <f>VLOOKUP(Country_Code,WB_WHO[],J12,FALSE)</f>
        <v>#N/A</v>
      </c>
      <c r="J12" s="3">
        <v>4</v>
      </c>
      <c r="K12" s="567"/>
      <c r="L12" s="567"/>
      <c r="Q12" s="403" t="s">
        <v>1545</v>
      </c>
      <c r="AC12" s="403" t="s">
        <v>5925</v>
      </c>
      <c r="AO12" s="403" t="s">
        <v>5926</v>
      </c>
      <c r="BA12" s="403" t="s">
        <v>5927</v>
      </c>
      <c r="BM12" s="403" t="s">
        <v>5928</v>
      </c>
      <c r="BY12" s="403" t="s">
        <v>5929</v>
      </c>
      <c r="CK12" s="403" t="s">
        <v>5930</v>
      </c>
    </row>
    <row r="13" spans="1:97" ht="12.75" hidden="1" x14ac:dyDescent="0.2">
      <c r="B13" s="34"/>
      <c r="D13" s="23" t="str">
        <f t="shared" ca="1" si="2"/>
        <v>World Bank Lending Category</v>
      </c>
      <c r="E13" s="34"/>
      <c r="F13" s="9"/>
      <c r="G13" s="15"/>
      <c r="H13" s="3" t="e">
        <f>VLOOKUP(Country_Code,WB_WHO[],J13,FALSE)</f>
        <v>#N/A</v>
      </c>
      <c r="J13" s="3">
        <v>6</v>
      </c>
      <c r="K13" s="567"/>
      <c r="L13" s="567"/>
      <c r="Q13" s="403" t="s">
        <v>1544</v>
      </c>
      <c r="AC13" s="403" t="s">
        <v>5931</v>
      </c>
      <c r="AO13" s="403" t="s">
        <v>5932</v>
      </c>
      <c r="BA13" s="403" t="s">
        <v>5933</v>
      </c>
      <c r="BM13" s="403" t="s">
        <v>5934</v>
      </c>
      <c r="BY13" s="403" t="s">
        <v>5935</v>
      </c>
      <c r="CK13" s="403" t="s">
        <v>5936</v>
      </c>
    </row>
    <row r="14" spans="1:97" s="15" customFormat="1" ht="12.75" hidden="1" x14ac:dyDescent="0.2">
      <c r="A14" s="9"/>
      <c r="B14" s="34"/>
      <c r="C14" s="622"/>
      <c r="D14" s="66" t="str">
        <f t="shared" ca="1" si="2"/>
        <v>ADB Regional Member</v>
      </c>
      <c r="E14" s="34" t="str">
        <f>IF(H14=1,Lang_Yes,"")</f>
        <v/>
      </c>
      <c r="F14" s="9"/>
      <c r="H14" s="3" t="str">
        <f>IF(ISNA(VLOOKUP(Country_Code,ADB_Regional_Membership[],2,FALSE)),"NO",VLOOKUP(Country_Code,ADB_Regional_Membership[],2,FALSE))</f>
        <v>NO</v>
      </c>
      <c r="I14" s="2" t="str">
        <f t="shared" ref="I14:I21" ca="1" si="3">IF(OFFSET(V14,0,Lang_Order*Lang__A2)="","",OFFSET(V14,0,Lang_Order*Lang__A2))</f>
        <v>1 = Yes</v>
      </c>
      <c r="J14" s="3"/>
      <c r="K14" s="567"/>
      <c r="L14" s="567"/>
      <c r="M14" s="403"/>
      <c r="N14" s="403"/>
      <c r="O14" s="403"/>
      <c r="P14" s="403"/>
      <c r="Q14" s="403" t="s">
        <v>1646</v>
      </c>
      <c r="R14" s="403"/>
      <c r="S14" s="403"/>
      <c r="T14" s="403"/>
      <c r="U14" s="403"/>
      <c r="V14" s="403" t="s">
        <v>2871</v>
      </c>
      <c r="W14" s="403"/>
      <c r="X14" s="403"/>
      <c r="Y14" s="403"/>
      <c r="Z14" s="403"/>
      <c r="AA14" s="403"/>
      <c r="AB14" s="403"/>
      <c r="AC14" s="403" t="s">
        <v>5937</v>
      </c>
      <c r="AD14" s="403"/>
      <c r="AE14" s="403"/>
      <c r="AF14" s="403"/>
      <c r="AG14" s="403"/>
      <c r="AH14" s="403" t="s">
        <v>5938</v>
      </c>
      <c r="AI14" s="403"/>
      <c r="AJ14" s="403"/>
      <c r="AK14" s="403"/>
      <c r="AL14" s="403"/>
      <c r="AM14" s="403"/>
      <c r="AN14" s="403"/>
      <c r="AO14" s="403" t="s">
        <v>5939</v>
      </c>
      <c r="AP14" s="403"/>
      <c r="AQ14" s="403"/>
      <c r="AR14" s="403"/>
      <c r="AS14" s="403"/>
      <c r="AT14" s="403" t="s">
        <v>5940</v>
      </c>
      <c r="AU14" s="403"/>
      <c r="AV14" s="403"/>
      <c r="AW14" s="403"/>
      <c r="AX14" s="403"/>
      <c r="AY14" s="403"/>
      <c r="AZ14" s="403"/>
      <c r="BA14" s="403" t="s">
        <v>5941</v>
      </c>
      <c r="BB14" s="403"/>
      <c r="BC14" s="403"/>
      <c r="BD14" s="403"/>
      <c r="BE14" s="403"/>
      <c r="BF14" s="403" t="s">
        <v>5942</v>
      </c>
      <c r="BG14" s="403"/>
      <c r="BH14" s="403"/>
      <c r="BI14" s="403"/>
      <c r="BJ14" s="403"/>
      <c r="BK14" s="403"/>
      <c r="BL14" s="403"/>
      <c r="BM14" s="403" t="s">
        <v>5943</v>
      </c>
      <c r="BN14" s="403"/>
      <c r="BO14" s="403"/>
      <c r="BP14" s="403"/>
      <c r="BQ14" s="403"/>
      <c r="BR14" s="403" t="s">
        <v>5944</v>
      </c>
      <c r="BS14" s="403"/>
      <c r="BT14" s="403"/>
      <c r="BU14" s="403"/>
      <c r="BV14" s="403"/>
      <c r="BW14" s="403"/>
      <c r="BX14" s="403"/>
      <c r="BY14" s="403" t="s">
        <v>5945</v>
      </c>
      <c r="BZ14" s="403"/>
      <c r="CA14" s="403"/>
      <c r="CB14" s="403"/>
      <c r="CC14" s="403"/>
      <c r="CD14" s="403" t="s">
        <v>5946</v>
      </c>
      <c r="CE14" s="403"/>
      <c r="CF14" s="403"/>
      <c r="CG14" s="403"/>
      <c r="CH14" s="403"/>
      <c r="CI14" s="403"/>
      <c r="CJ14" s="403"/>
      <c r="CK14" s="403" t="s">
        <v>5947</v>
      </c>
      <c r="CL14" s="403"/>
      <c r="CM14" s="403"/>
      <c r="CN14" s="403"/>
      <c r="CO14" s="403"/>
      <c r="CP14" s="403" t="s">
        <v>5948</v>
      </c>
      <c r="CQ14" s="403"/>
      <c r="CR14" s="403"/>
      <c r="CS14" s="564"/>
    </row>
    <row r="15" spans="1:97" s="299" customFormat="1" ht="12.75" hidden="1" x14ac:dyDescent="0.2">
      <c r="A15" s="9"/>
      <c r="B15" s="34"/>
      <c r="C15" s="622"/>
      <c r="D15" s="66"/>
      <c r="E15" s="34"/>
      <c r="F15" s="9"/>
      <c r="I15" s="2"/>
      <c r="J15" s="3"/>
      <c r="K15" s="567"/>
      <c r="L15" s="567"/>
      <c r="M15" s="403"/>
      <c r="N15" s="403"/>
      <c r="O15" s="403"/>
      <c r="P15" s="403"/>
      <c r="Q15" s="403"/>
      <c r="R15" s="403"/>
      <c r="S15" s="403"/>
      <c r="T15" s="403"/>
      <c r="U15" s="403"/>
      <c r="V15" s="403"/>
      <c r="W15" s="403"/>
      <c r="X15" s="403"/>
      <c r="Y15" s="403"/>
      <c r="Z15" s="403"/>
      <c r="AA15" s="403"/>
      <c r="AB15" s="403"/>
      <c r="AC15" s="403"/>
      <c r="AD15" s="403"/>
      <c r="AE15" s="403"/>
      <c r="AF15" s="403"/>
      <c r="AG15" s="403"/>
      <c r="AH15" s="403"/>
      <c r="AI15" s="403"/>
      <c r="AJ15" s="403"/>
      <c r="AK15" s="403"/>
      <c r="AL15" s="403"/>
      <c r="AM15" s="403"/>
      <c r="AN15" s="403"/>
      <c r="AO15" s="403"/>
      <c r="AP15" s="403"/>
      <c r="AQ15" s="403"/>
      <c r="AR15" s="403"/>
      <c r="AS15" s="403"/>
      <c r="AT15" s="403"/>
      <c r="AU15" s="403"/>
      <c r="AV15" s="403"/>
      <c r="AW15" s="403"/>
      <c r="AX15" s="403"/>
      <c r="AY15" s="403"/>
      <c r="AZ15" s="403"/>
      <c r="BA15" s="403"/>
      <c r="BB15" s="403"/>
      <c r="BC15" s="403"/>
      <c r="BD15" s="403"/>
      <c r="BE15" s="403"/>
      <c r="BF15" s="403"/>
      <c r="BG15" s="403"/>
      <c r="BH15" s="403"/>
      <c r="BI15" s="403"/>
      <c r="BJ15" s="403"/>
      <c r="BK15" s="403"/>
      <c r="BL15" s="403"/>
      <c r="BM15" s="403"/>
      <c r="BN15" s="403"/>
      <c r="BO15" s="403"/>
      <c r="BP15" s="403"/>
      <c r="BQ15" s="403"/>
      <c r="BR15" s="403"/>
      <c r="BS15" s="403"/>
      <c r="BT15" s="403"/>
      <c r="BU15" s="403"/>
      <c r="BV15" s="403"/>
      <c r="BW15" s="403"/>
      <c r="BX15" s="403"/>
      <c r="BY15" s="403"/>
      <c r="BZ15" s="403"/>
      <c r="CA15" s="403"/>
      <c r="CB15" s="403"/>
      <c r="CC15" s="403"/>
      <c r="CD15" s="403"/>
      <c r="CE15" s="403"/>
      <c r="CF15" s="403"/>
      <c r="CG15" s="403"/>
      <c r="CH15" s="403"/>
      <c r="CI15" s="403"/>
      <c r="CJ15" s="403"/>
      <c r="CK15" s="403"/>
      <c r="CL15" s="403"/>
      <c r="CM15" s="403"/>
      <c r="CN15" s="403"/>
      <c r="CO15" s="403"/>
      <c r="CP15" s="403"/>
      <c r="CQ15" s="403"/>
      <c r="CR15" s="403"/>
      <c r="CS15" s="564"/>
    </row>
    <row r="16" spans="1:97" s="299" customFormat="1" ht="12.75" hidden="1" x14ac:dyDescent="0.2">
      <c r="A16" s="9"/>
      <c r="B16" s="34"/>
      <c r="C16" s="624" t="str">
        <f ca="1">IF(OFFSET(P16,0,Lang_Order*Lang__A2)="","",OFFSET(P16,0,Lang_Order*Lang__A2))</f>
        <v>Health Financing Context (Informational Only)</v>
      </c>
      <c r="D16" s="66"/>
      <c r="E16" s="34"/>
      <c r="F16" s="9"/>
      <c r="I16" s="2"/>
      <c r="J16" s="3"/>
      <c r="K16" s="12" t="str">
        <f t="shared" ca="1" si="0"/>
        <v>This is used in Sheet R2 for health financing benchmarking</v>
      </c>
      <c r="L16" s="567"/>
      <c r="M16" s="403"/>
      <c r="N16" s="403"/>
      <c r="O16" s="403"/>
      <c r="P16" s="403" t="s">
        <v>3743</v>
      </c>
      <c r="Q16" s="403"/>
      <c r="R16" s="403"/>
      <c r="S16" s="403"/>
      <c r="T16" s="403"/>
      <c r="U16" s="403"/>
      <c r="V16" s="403"/>
      <c r="W16" s="403"/>
      <c r="X16" s="403" t="s">
        <v>3742</v>
      </c>
      <c r="Y16" s="403"/>
      <c r="Z16" s="403"/>
      <c r="AA16" s="403"/>
      <c r="AB16" s="403" t="s">
        <v>5949</v>
      </c>
      <c r="AC16" s="403"/>
      <c r="AD16" s="403"/>
      <c r="AE16" s="403"/>
      <c r="AF16" s="403"/>
      <c r="AG16" s="403"/>
      <c r="AH16" s="403"/>
      <c r="AI16" s="403"/>
      <c r="AJ16" s="403" t="s">
        <v>5950</v>
      </c>
      <c r="AK16" s="403"/>
      <c r="AL16" s="403"/>
      <c r="AM16" s="403"/>
      <c r="AN16" s="403" t="s">
        <v>5951</v>
      </c>
      <c r="AO16" s="403"/>
      <c r="AP16" s="403"/>
      <c r="AQ16" s="403"/>
      <c r="AR16" s="403"/>
      <c r="AS16" s="403"/>
      <c r="AT16" s="403"/>
      <c r="AU16" s="403"/>
      <c r="AV16" s="403" t="s">
        <v>5952</v>
      </c>
      <c r="AW16" s="403"/>
      <c r="AX16" s="403"/>
      <c r="AY16" s="403"/>
      <c r="AZ16" s="403" t="s">
        <v>5953</v>
      </c>
      <c r="BA16" s="403"/>
      <c r="BB16" s="403"/>
      <c r="BC16" s="403"/>
      <c r="BD16" s="403"/>
      <c r="BE16" s="403"/>
      <c r="BF16" s="403"/>
      <c r="BG16" s="403"/>
      <c r="BH16" s="403" t="s">
        <v>5954</v>
      </c>
      <c r="BI16" s="403"/>
      <c r="BJ16" s="403"/>
      <c r="BK16" s="403"/>
      <c r="BL16" s="403" t="s">
        <v>5955</v>
      </c>
      <c r="BM16" s="403"/>
      <c r="BN16" s="403"/>
      <c r="BO16" s="403"/>
      <c r="BP16" s="403"/>
      <c r="BQ16" s="403"/>
      <c r="BR16" s="403"/>
      <c r="BS16" s="403"/>
      <c r="BT16" s="403" t="s">
        <v>5956</v>
      </c>
      <c r="BU16" s="403"/>
      <c r="BV16" s="403"/>
      <c r="BW16" s="403"/>
      <c r="BX16" s="403" t="s">
        <v>5957</v>
      </c>
      <c r="BY16" s="403"/>
      <c r="BZ16" s="403"/>
      <c r="CA16" s="403"/>
      <c r="CB16" s="403"/>
      <c r="CC16" s="403"/>
      <c r="CD16" s="403"/>
      <c r="CE16" s="403"/>
      <c r="CF16" s="403" t="s">
        <v>5958</v>
      </c>
      <c r="CG16" s="403"/>
      <c r="CH16" s="403"/>
      <c r="CI16" s="403"/>
      <c r="CJ16" s="403" t="s">
        <v>5959</v>
      </c>
      <c r="CK16" s="403"/>
      <c r="CL16" s="403"/>
      <c r="CM16" s="403"/>
      <c r="CN16" s="403"/>
      <c r="CO16" s="403"/>
      <c r="CP16" s="403"/>
      <c r="CQ16" s="403"/>
      <c r="CR16" s="403" t="s">
        <v>5960</v>
      </c>
      <c r="CS16" s="564"/>
    </row>
    <row r="17" spans="1:97" s="241" customFormat="1" ht="12.75" hidden="1" x14ac:dyDescent="0.2">
      <c r="A17" s="9"/>
      <c r="B17" s="34"/>
      <c r="C17" s="622"/>
      <c r="D17" s="66" t="str">
        <f t="shared" ref="D17:D21" ca="1" si="4">IF(OFFSET(Q17,0,Lang_Order*Lang__A2)="","",OFFSET(Q17,0,Lang_Order*Lang__A2))</f>
        <v>Current Health Expenditure (current US$)</v>
      </c>
      <c r="E17" s="34"/>
      <c r="F17" s="9"/>
      <c r="H17" s="117" t="e">
        <f>VLOOKUP(CONCATENATE(Country_Code,"2018"),WHO_GHED_2018_total[],J17,FALSE)*1000000</f>
        <v>#N/A</v>
      </c>
      <c r="I17" s="2" t="str">
        <f t="shared" ca="1" si="3"/>
        <v>che_usd</v>
      </c>
      <c r="J17" s="3">
        <v>2</v>
      </c>
      <c r="K17" s="12" t="str">
        <f t="shared" ca="1" si="0"/>
        <v>Source: WHO Global Health Expenditure Database (GHED) Preliminary Data for 2018</v>
      </c>
      <c r="L17" s="567"/>
      <c r="M17" s="403"/>
      <c r="N17" s="403"/>
      <c r="O17" s="403"/>
      <c r="P17" s="403"/>
      <c r="Q17" s="403" t="s">
        <v>3599</v>
      </c>
      <c r="R17" s="403"/>
      <c r="S17" s="403"/>
      <c r="T17" s="403"/>
      <c r="U17" s="403"/>
      <c r="V17" s="403" t="s">
        <v>4274</v>
      </c>
      <c r="W17" s="403"/>
      <c r="X17" s="403" t="s">
        <v>3107</v>
      </c>
      <c r="Y17" s="403"/>
      <c r="Z17" s="403"/>
      <c r="AA17" s="403"/>
      <c r="AB17" s="403"/>
      <c r="AC17" s="403" t="s">
        <v>5961</v>
      </c>
      <c r="AD17" s="403"/>
      <c r="AE17" s="403"/>
      <c r="AF17" s="403"/>
      <c r="AG17" s="403"/>
      <c r="AH17" s="403" t="s">
        <v>4274</v>
      </c>
      <c r="AI17" s="403"/>
      <c r="AJ17" s="403" t="s">
        <v>5962</v>
      </c>
      <c r="AK17" s="403"/>
      <c r="AL17" s="403"/>
      <c r="AM17" s="403"/>
      <c r="AN17" s="403"/>
      <c r="AO17" s="403" t="s">
        <v>5963</v>
      </c>
      <c r="AP17" s="403"/>
      <c r="AQ17" s="403"/>
      <c r="AR17" s="403"/>
      <c r="AS17" s="403"/>
      <c r="AT17" s="403" t="s">
        <v>5964</v>
      </c>
      <c r="AU17" s="403"/>
      <c r="AV17" s="403" t="s">
        <v>5965</v>
      </c>
      <c r="AW17" s="403"/>
      <c r="AX17" s="403"/>
      <c r="AY17" s="403"/>
      <c r="AZ17" s="403"/>
      <c r="BA17" s="403" t="s">
        <v>5966</v>
      </c>
      <c r="BB17" s="403"/>
      <c r="BC17" s="403"/>
      <c r="BD17" s="403"/>
      <c r="BE17" s="403"/>
      <c r="BF17" s="403" t="s">
        <v>5967</v>
      </c>
      <c r="BG17" s="403"/>
      <c r="BH17" s="403" t="s">
        <v>5968</v>
      </c>
      <c r="BI17" s="403"/>
      <c r="BJ17" s="403"/>
      <c r="BK17" s="403"/>
      <c r="BL17" s="403"/>
      <c r="BM17" s="403" t="s">
        <v>5969</v>
      </c>
      <c r="BN17" s="403"/>
      <c r="BO17" s="403"/>
      <c r="BP17" s="403"/>
      <c r="BQ17" s="403"/>
      <c r="BR17" s="403" t="s">
        <v>4274</v>
      </c>
      <c r="BS17" s="403"/>
      <c r="BT17" s="403" t="s">
        <v>5970</v>
      </c>
      <c r="BU17" s="403"/>
      <c r="BV17" s="403"/>
      <c r="BW17" s="403"/>
      <c r="BX17" s="403"/>
      <c r="BY17" s="403" t="s">
        <v>5971</v>
      </c>
      <c r="BZ17" s="403"/>
      <c r="CA17" s="403"/>
      <c r="CB17" s="403"/>
      <c r="CC17" s="403"/>
      <c r="CD17" s="403" t="s">
        <v>5972</v>
      </c>
      <c r="CE17" s="403"/>
      <c r="CF17" s="403" t="s">
        <v>5973</v>
      </c>
      <c r="CG17" s="403"/>
      <c r="CH17" s="403"/>
      <c r="CI17" s="403"/>
      <c r="CJ17" s="403"/>
      <c r="CK17" s="403" t="s">
        <v>5974</v>
      </c>
      <c r="CL17" s="403"/>
      <c r="CM17" s="403"/>
      <c r="CN17" s="403"/>
      <c r="CO17" s="403"/>
      <c r="CP17" s="403" t="s">
        <v>4274</v>
      </c>
      <c r="CQ17" s="403"/>
      <c r="CR17" s="403" t="s">
        <v>5975</v>
      </c>
      <c r="CS17" s="564"/>
    </row>
    <row r="18" spans="1:97" s="241" customFormat="1" ht="12.75" hidden="1" x14ac:dyDescent="0.2">
      <c r="A18" s="9"/>
      <c r="B18" s="34"/>
      <c r="C18" s="622"/>
      <c r="D18" s="66" t="str">
        <f t="shared" ca="1" si="4"/>
        <v>General Government Health Expenditure (current US$)</v>
      </c>
      <c r="E18" s="34"/>
      <c r="F18" s="9"/>
      <c r="H18" s="117" t="e">
        <f>VLOOKUP(CONCATENATE(Country_Code,"2018"),WHO_GHED_2018_total[],J18,FALSE)*1000000</f>
        <v>#N/A</v>
      </c>
      <c r="I18" s="2" t="str">
        <f t="shared" ca="1" si="3"/>
        <v>gghe_usd</v>
      </c>
      <c r="J18" s="3">
        <v>3</v>
      </c>
      <c r="K18" s="12" t="str">
        <f t="shared" ca="1" si="0"/>
        <v>Source: WHO Global Health Expenditure Database (GHED) Preliminary Data for 2018</v>
      </c>
      <c r="L18" s="567"/>
      <c r="M18" s="403"/>
      <c r="N18" s="403"/>
      <c r="O18" s="403"/>
      <c r="P18" s="403"/>
      <c r="Q18" s="403" t="s">
        <v>3600</v>
      </c>
      <c r="R18" s="403"/>
      <c r="S18" s="403"/>
      <c r="T18" s="403"/>
      <c r="U18" s="403"/>
      <c r="V18" s="403" t="s">
        <v>4277</v>
      </c>
      <c r="W18" s="403"/>
      <c r="X18" s="403" t="s">
        <v>3107</v>
      </c>
      <c r="Y18" s="403"/>
      <c r="Z18" s="403"/>
      <c r="AA18" s="403"/>
      <c r="AB18" s="403"/>
      <c r="AC18" s="403" t="s">
        <v>5976</v>
      </c>
      <c r="AD18" s="403"/>
      <c r="AE18" s="403"/>
      <c r="AF18" s="403"/>
      <c r="AG18" s="403"/>
      <c r="AH18" s="403" t="s">
        <v>4277</v>
      </c>
      <c r="AI18" s="403"/>
      <c r="AJ18" s="403" t="s">
        <v>5962</v>
      </c>
      <c r="AK18" s="403"/>
      <c r="AL18" s="403"/>
      <c r="AM18" s="403"/>
      <c r="AN18" s="403"/>
      <c r="AO18" s="403" t="s">
        <v>5977</v>
      </c>
      <c r="AP18" s="403"/>
      <c r="AQ18" s="403"/>
      <c r="AR18" s="403"/>
      <c r="AS18" s="403"/>
      <c r="AT18" s="403" t="s">
        <v>5978</v>
      </c>
      <c r="AU18" s="403"/>
      <c r="AV18" s="403" t="s">
        <v>5965</v>
      </c>
      <c r="AW18" s="403"/>
      <c r="AX18" s="403"/>
      <c r="AY18" s="403"/>
      <c r="AZ18" s="403"/>
      <c r="BA18" s="403" t="s">
        <v>5979</v>
      </c>
      <c r="BB18" s="403"/>
      <c r="BC18" s="403"/>
      <c r="BD18" s="403"/>
      <c r="BE18" s="403"/>
      <c r="BF18" s="403" t="s">
        <v>5980</v>
      </c>
      <c r="BG18" s="403"/>
      <c r="BH18" s="403" t="s">
        <v>5968</v>
      </c>
      <c r="BI18" s="403"/>
      <c r="BJ18" s="403"/>
      <c r="BK18" s="403"/>
      <c r="BL18" s="403"/>
      <c r="BM18" s="403" t="s">
        <v>5981</v>
      </c>
      <c r="BN18" s="403"/>
      <c r="BO18" s="403"/>
      <c r="BP18" s="403"/>
      <c r="BQ18" s="403"/>
      <c r="BR18" s="403" t="s">
        <v>4277</v>
      </c>
      <c r="BS18" s="403"/>
      <c r="BT18" s="403" t="s">
        <v>5970</v>
      </c>
      <c r="BU18" s="403"/>
      <c r="BV18" s="403"/>
      <c r="BW18" s="403"/>
      <c r="BX18" s="403"/>
      <c r="BY18" s="403" t="s">
        <v>5982</v>
      </c>
      <c r="BZ18" s="403"/>
      <c r="CA18" s="403"/>
      <c r="CB18" s="403"/>
      <c r="CC18" s="403"/>
      <c r="CD18" s="403" t="s">
        <v>5983</v>
      </c>
      <c r="CE18" s="403"/>
      <c r="CF18" s="403" t="s">
        <v>5973</v>
      </c>
      <c r="CG18" s="403"/>
      <c r="CH18" s="403"/>
      <c r="CI18" s="403"/>
      <c r="CJ18" s="403"/>
      <c r="CK18" s="403" t="s">
        <v>5984</v>
      </c>
      <c r="CL18" s="403"/>
      <c r="CM18" s="403"/>
      <c r="CN18" s="403"/>
      <c r="CO18" s="403"/>
      <c r="CP18" s="403" t="s">
        <v>4277</v>
      </c>
      <c r="CQ18" s="403"/>
      <c r="CR18" s="403" t="s">
        <v>5975</v>
      </c>
      <c r="CS18" s="564"/>
    </row>
    <row r="19" spans="1:97" s="241" customFormat="1" ht="12.75" hidden="1" x14ac:dyDescent="0.2">
      <c r="A19" s="9"/>
      <c r="B19" s="34"/>
      <c r="C19" s="622"/>
      <c r="D19" s="66" t="str">
        <f t="shared" ca="1" si="4"/>
        <v>Domestic General Government Health Expenditure (current US$)</v>
      </c>
      <c r="E19" s="34"/>
      <c r="F19" s="9"/>
      <c r="H19" s="117" t="e">
        <f>VLOOKUP(CONCATENATE(Country_Code,"2018"),WHO_GHED_2018_total[],J19,FALSE)*1000000</f>
        <v>#N/A</v>
      </c>
      <c r="I19" s="2" t="str">
        <f t="shared" ca="1" si="3"/>
        <v>gghed_usd</v>
      </c>
      <c r="J19" s="3">
        <v>4</v>
      </c>
      <c r="K19" s="12" t="str">
        <f t="shared" ca="1" si="0"/>
        <v>Source: WHO Global Health Expenditure Database (GHED) Preliminary Data for 2018</v>
      </c>
      <c r="L19" s="567"/>
      <c r="M19" s="403"/>
      <c r="N19" s="403"/>
      <c r="O19" s="403"/>
      <c r="P19" s="403"/>
      <c r="Q19" s="403" t="s">
        <v>3601</v>
      </c>
      <c r="R19" s="403"/>
      <c r="S19" s="403"/>
      <c r="T19" s="403"/>
      <c r="U19" s="403"/>
      <c r="V19" s="403" t="s">
        <v>4275</v>
      </c>
      <c r="W19" s="403"/>
      <c r="X19" s="403" t="s">
        <v>3107</v>
      </c>
      <c r="Y19" s="403"/>
      <c r="Z19" s="403"/>
      <c r="AA19" s="403"/>
      <c r="AB19" s="403"/>
      <c r="AC19" s="403" t="s">
        <v>5985</v>
      </c>
      <c r="AD19" s="403"/>
      <c r="AE19" s="403"/>
      <c r="AF19" s="403"/>
      <c r="AG19" s="403"/>
      <c r="AH19" s="403" t="s">
        <v>4275</v>
      </c>
      <c r="AI19" s="403"/>
      <c r="AJ19" s="403" t="s">
        <v>5962</v>
      </c>
      <c r="AK19" s="403"/>
      <c r="AL19" s="403"/>
      <c r="AM19" s="403"/>
      <c r="AN19" s="403"/>
      <c r="AO19" s="403" t="s">
        <v>5986</v>
      </c>
      <c r="AP19" s="403"/>
      <c r="AQ19" s="403"/>
      <c r="AR19" s="403"/>
      <c r="AS19" s="403"/>
      <c r="AT19" s="403" t="s">
        <v>5987</v>
      </c>
      <c r="AU19" s="403"/>
      <c r="AV19" s="403" t="s">
        <v>5965</v>
      </c>
      <c r="AW19" s="403"/>
      <c r="AX19" s="403"/>
      <c r="AY19" s="403"/>
      <c r="AZ19" s="403"/>
      <c r="BA19" s="403" t="s">
        <v>5988</v>
      </c>
      <c r="BB19" s="403"/>
      <c r="BC19" s="403"/>
      <c r="BD19" s="403"/>
      <c r="BE19" s="403"/>
      <c r="BF19" s="403" t="s">
        <v>5989</v>
      </c>
      <c r="BG19" s="403"/>
      <c r="BH19" s="403" t="s">
        <v>5968</v>
      </c>
      <c r="BI19" s="403"/>
      <c r="BJ19" s="403"/>
      <c r="BK19" s="403"/>
      <c r="BL19" s="403"/>
      <c r="BM19" s="403" t="s">
        <v>5990</v>
      </c>
      <c r="BN19" s="403"/>
      <c r="BO19" s="403"/>
      <c r="BP19" s="403"/>
      <c r="BQ19" s="403"/>
      <c r="BR19" s="403" t="s">
        <v>4275</v>
      </c>
      <c r="BS19" s="403"/>
      <c r="BT19" s="403" t="s">
        <v>5991</v>
      </c>
      <c r="BU19" s="403"/>
      <c r="BV19" s="403"/>
      <c r="BW19" s="403"/>
      <c r="BX19" s="403"/>
      <c r="BY19" s="403" t="s">
        <v>5992</v>
      </c>
      <c r="BZ19" s="403"/>
      <c r="CA19" s="403"/>
      <c r="CB19" s="403"/>
      <c r="CC19" s="403"/>
      <c r="CD19" s="403" t="s">
        <v>5993</v>
      </c>
      <c r="CE19" s="403"/>
      <c r="CF19" s="403" t="s">
        <v>5973</v>
      </c>
      <c r="CG19" s="403"/>
      <c r="CH19" s="403"/>
      <c r="CI19" s="403"/>
      <c r="CJ19" s="403"/>
      <c r="CK19" s="403" t="s">
        <v>5994</v>
      </c>
      <c r="CL19" s="403"/>
      <c r="CM19" s="403"/>
      <c r="CN19" s="403"/>
      <c r="CO19" s="403"/>
      <c r="CP19" s="403" t="s">
        <v>4275</v>
      </c>
      <c r="CQ19" s="403"/>
      <c r="CR19" s="403" t="s">
        <v>5975</v>
      </c>
      <c r="CS19" s="564"/>
    </row>
    <row r="20" spans="1:97" s="241" customFormat="1" ht="12.75" hidden="1" x14ac:dyDescent="0.2">
      <c r="A20" s="9"/>
      <c r="B20" s="34"/>
      <c r="C20" s="622"/>
      <c r="D20" s="66" t="str">
        <f t="shared" ca="1" si="4"/>
        <v>External Health Expenditure (current US$)</v>
      </c>
      <c r="E20" s="34"/>
      <c r="F20" s="9"/>
      <c r="H20" s="117" t="e">
        <f>VLOOKUP(CONCATENATE(Country_Code,"2018"),WHO_GHED_2018_total[],J20,FALSE)*1000000</f>
        <v>#N/A</v>
      </c>
      <c r="I20" s="2" t="str">
        <f t="shared" ca="1" si="3"/>
        <v>ext_usd</v>
      </c>
      <c r="J20" s="3">
        <v>5</v>
      </c>
      <c r="K20" s="12" t="str">
        <f t="shared" ca="1" si="0"/>
        <v>Source: WHO Global Health Expenditure Database (GHED) Preliminary Data for 2018</v>
      </c>
      <c r="L20" s="567"/>
      <c r="M20" s="403"/>
      <c r="N20" s="403"/>
      <c r="O20" s="403"/>
      <c r="P20" s="403"/>
      <c r="Q20" s="403" t="s">
        <v>3602</v>
      </c>
      <c r="R20" s="403"/>
      <c r="S20" s="403"/>
      <c r="T20" s="403"/>
      <c r="U20" s="403"/>
      <c r="V20" s="403" t="s">
        <v>4276</v>
      </c>
      <c r="W20" s="403"/>
      <c r="X20" s="403" t="s">
        <v>3107</v>
      </c>
      <c r="Y20" s="403"/>
      <c r="Z20" s="403"/>
      <c r="AA20" s="403"/>
      <c r="AB20" s="403"/>
      <c r="AC20" s="403" t="s">
        <v>5985</v>
      </c>
      <c r="AD20" s="403"/>
      <c r="AE20" s="403"/>
      <c r="AF20" s="403"/>
      <c r="AG20" s="403"/>
      <c r="AH20" s="403" t="s">
        <v>4276</v>
      </c>
      <c r="AI20" s="403"/>
      <c r="AJ20" s="403" t="s">
        <v>5962</v>
      </c>
      <c r="AK20" s="403"/>
      <c r="AL20" s="403"/>
      <c r="AM20" s="403"/>
      <c r="AN20" s="403"/>
      <c r="AO20" s="403" t="s">
        <v>5995</v>
      </c>
      <c r="AP20" s="403"/>
      <c r="AQ20" s="403"/>
      <c r="AR20" s="403"/>
      <c r="AS20" s="403"/>
      <c r="AT20" s="403" t="s">
        <v>5996</v>
      </c>
      <c r="AU20" s="403"/>
      <c r="AV20" s="403" t="s">
        <v>5965</v>
      </c>
      <c r="AW20" s="403"/>
      <c r="AX20" s="403"/>
      <c r="AY20" s="403"/>
      <c r="AZ20" s="403"/>
      <c r="BA20" s="403" t="s">
        <v>5997</v>
      </c>
      <c r="BB20" s="403"/>
      <c r="BC20" s="403"/>
      <c r="BD20" s="403"/>
      <c r="BE20" s="403"/>
      <c r="BF20" s="403" t="s">
        <v>4276</v>
      </c>
      <c r="BG20" s="403"/>
      <c r="BH20" s="403" t="s">
        <v>5968</v>
      </c>
      <c r="BI20" s="403"/>
      <c r="BJ20" s="403"/>
      <c r="BK20" s="403"/>
      <c r="BL20" s="403"/>
      <c r="BM20" s="403" t="s">
        <v>5998</v>
      </c>
      <c r="BN20" s="403"/>
      <c r="BO20" s="403"/>
      <c r="BP20" s="403"/>
      <c r="BQ20" s="403"/>
      <c r="BR20" s="403" t="s">
        <v>4276</v>
      </c>
      <c r="BS20" s="403"/>
      <c r="BT20" s="403" t="s">
        <v>5991</v>
      </c>
      <c r="BU20" s="403"/>
      <c r="BV20" s="403"/>
      <c r="BW20" s="403"/>
      <c r="BX20" s="403"/>
      <c r="BY20" s="403" t="s">
        <v>5999</v>
      </c>
      <c r="BZ20" s="403"/>
      <c r="CA20" s="403"/>
      <c r="CB20" s="403"/>
      <c r="CC20" s="403"/>
      <c r="CD20" s="403" t="s">
        <v>6000</v>
      </c>
      <c r="CE20" s="403"/>
      <c r="CF20" s="403" t="s">
        <v>6001</v>
      </c>
      <c r="CG20" s="403"/>
      <c r="CH20" s="403"/>
      <c r="CI20" s="403"/>
      <c r="CJ20" s="403"/>
      <c r="CK20" s="403" t="s">
        <v>6002</v>
      </c>
      <c r="CL20" s="403"/>
      <c r="CM20" s="403"/>
      <c r="CN20" s="403"/>
      <c r="CO20" s="403"/>
      <c r="CP20" s="403" t="s">
        <v>4276</v>
      </c>
      <c r="CQ20" s="403"/>
      <c r="CR20" s="403" t="s">
        <v>5975</v>
      </c>
      <c r="CS20" s="564"/>
    </row>
    <row r="21" spans="1:97" s="241" customFormat="1" ht="12.75" hidden="1" x14ac:dyDescent="0.2">
      <c r="A21" s="9"/>
      <c r="B21" s="34"/>
      <c r="C21" s="622"/>
      <c r="D21" s="66" t="str">
        <f t="shared" ca="1" si="4"/>
        <v>Health Capital Expenditure (current US$)</v>
      </c>
      <c r="E21" s="34"/>
      <c r="F21" s="9"/>
      <c r="H21" s="117" t="e">
        <f>VLOOKUP(CONCATENATE(Country_Code,"2018"),WHO_GHED_2018_total[],J21,FALSE)*1000000</f>
        <v>#N/A</v>
      </c>
      <c r="I21" s="2" t="str">
        <f t="shared" ca="1" si="3"/>
        <v>hk_usd</v>
      </c>
      <c r="J21" s="3">
        <v>6</v>
      </c>
      <c r="K21" s="12" t="str">
        <f t="shared" ca="1" si="0"/>
        <v>Source: WHO Global Health Expenditure Database (GHED) Preliminary Data for 2018</v>
      </c>
      <c r="L21" s="567"/>
      <c r="M21" s="403"/>
      <c r="N21" s="403"/>
      <c r="O21" s="403"/>
      <c r="P21" s="403"/>
      <c r="Q21" s="403" t="s">
        <v>3603</v>
      </c>
      <c r="R21" s="403"/>
      <c r="S21" s="403"/>
      <c r="T21" s="403"/>
      <c r="U21" s="403"/>
      <c r="V21" s="403" t="s">
        <v>4273</v>
      </c>
      <c r="W21" s="403"/>
      <c r="X21" s="403" t="s">
        <v>3107</v>
      </c>
      <c r="Y21" s="403"/>
      <c r="Z21" s="403"/>
      <c r="AA21" s="403"/>
      <c r="AB21" s="403"/>
      <c r="AC21" s="403" t="s">
        <v>6003</v>
      </c>
      <c r="AD21" s="403"/>
      <c r="AE21" s="403"/>
      <c r="AF21" s="403"/>
      <c r="AG21" s="403"/>
      <c r="AH21" s="403" t="s">
        <v>4273</v>
      </c>
      <c r="AI21" s="403"/>
      <c r="AJ21" s="403" t="s">
        <v>5962</v>
      </c>
      <c r="AK21" s="403"/>
      <c r="AL21" s="403"/>
      <c r="AM21" s="403"/>
      <c r="AN21" s="403"/>
      <c r="AO21" s="403" t="s">
        <v>6004</v>
      </c>
      <c r="AP21" s="403"/>
      <c r="AQ21" s="403"/>
      <c r="AR21" s="403"/>
      <c r="AS21" s="403"/>
      <c r="AT21" s="403" t="s">
        <v>6005</v>
      </c>
      <c r="AU21" s="403"/>
      <c r="AV21" s="403" t="s">
        <v>5965</v>
      </c>
      <c r="AW21" s="403"/>
      <c r="AX21" s="403"/>
      <c r="AY21" s="403"/>
      <c r="AZ21" s="403"/>
      <c r="BA21" s="403" t="s">
        <v>6006</v>
      </c>
      <c r="BB21" s="403"/>
      <c r="BC21" s="403"/>
      <c r="BD21" s="403"/>
      <c r="BE21" s="403"/>
      <c r="BF21" s="403" t="s">
        <v>6007</v>
      </c>
      <c r="BG21" s="403"/>
      <c r="BH21" s="403" t="s">
        <v>5968</v>
      </c>
      <c r="BI21" s="403"/>
      <c r="BJ21" s="403"/>
      <c r="BK21" s="403"/>
      <c r="BL21" s="403"/>
      <c r="BM21" s="403" t="s">
        <v>6008</v>
      </c>
      <c r="BN21" s="403"/>
      <c r="BO21" s="403"/>
      <c r="BP21" s="403"/>
      <c r="BQ21" s="403"/>
      <c r="BR21" s="403" t="s">
        <v>4273</v>
      </c>
      <c r="BS21" s="403"/>
      <c r="BT21" s="403" t="s">
        <v>5991</v>
      </c>
      <c r="BU21" s="403"/>
      <c r="BV21" s="403"/>
      <c r="BW21" s="403"/>
      <c r="BX21" s="403"/>
      <c r="BY21" s="403" t="s">
        <v>6009</v>
      </c>
      <c r="BZ21" s="403"/>
      <c r="CA21" s="403"/>
      <c r="CB21" s="403"/>
      <c r="CC21" s="403"/>
      <c r="CD21" s="403" t="s">
        <v>6010</v>
      </c>
      <c r="CE21" s="403"/>
      <c r="CF21" s="403" t="s">
        <v>6001</v>
      </c>
      <c r="CG21" s="403"/>
      <c r="CH21" s="403"/>
      <c r="CI21" s="403"/>
      <c r="CJ21" s="403"/>
      <c r="CK21" s="403" t="s">
        <v>6011</v>
      </c>
      <c r="CL21" s="403"/>
      <c r="CM21" s="403"/>
      <c r="CN21" s="403"/>
      <c r="CO21" s="403"/>
      <c r="CP21" s="403" t="s">
        <v>4273</v>
      </c>
      <c r="CQ21" s="403"/>
      <c r="CR21" s="403" t="s">
        <v>5975</v>
      </c>
      <c r="CS21" s="564"/>
    </row>
    <row r="22" spans="1:97" s="15" customFormat="1" ht="12.75" hidden="1" x14ac:dyDescent="0.2">
      <c r="C22" s="622"/>
      <c r="L22" s="567"/>
      <c r="M22" s="403"/>
      <c r="N22" s="403"/>
      <c r="O22" s="403"/>
      <c r="P22" s="403"/>
      <c r="Q22" s="403"/>
      <c r="R22" s="403"/>
      <c r="S22" s="403"/>
      <c r="T22" s="403"/>
      <c r="U22" s="403"/>
      <c r="V22" s="403"/>
      <c r="W22" s="403"/>
      <c r="X22" s="403"/>
      <c r="Y22" s="403"/>
      <c r="Z22" s="403"/>
      <c r="AA22" s="403"/>
      <c r="AB22" s="403"/>
      <c r="AC22" s="403"/>
      <c r="AD22" s="403"/>
      <c r="AE22" s="403"/>
      <c r="AF22" s="403"/>
      <c r="AG22" s="403"/>
      <c r="AH22" s="403"/>
      <c r="AI22" s="403"/>
      <c r="AJ22" s="403"/>
      <c r="AK22" s="403"/>
      <c r="AL22" s="403"/>
      <c r="AM22" s="403"/>
      <c r="AN22" s="403"/>
      <c r="AO22" s="403"/>
      <c r="AP22" s="403"/>
      <c r="AQ22" s="403"/>
      <c r="AR22" s="403"/>
      <c r="AS22" s="403"/>
      <c r="AT22" s="403"/>
      <c r="AU22" s="403"/>
      <c r="AV22" s="403"/>
      <c r="AW22" s="403"/>
      <c r="AX22" s="403"/>
      <c r="AY22" s="403"/>
      <c r="AZ22" s="403"/>
      <c r="BA22" s="403"/>
      <c r="BB22" s="403"/>
      <c r="BC22" s="403"/>
      <c r="BD22" s="403"/>
      <c r="BE22" s="403"/>
      <c r="BF22" s="403"/>
      <c r="BG22" s="403"/>
      <c r="BH22" s="403"/>
      <c r="BI22" s="403"/>
      <c r="BJ22" s="403"/>
      <c r="BK22" s="403"/>
      <c r="BL22" s="403"/>
      <c r="BM22" s="403"/>
      <c r="BN22" s="403"/>
      <c r="BO22" s="403"/>
      <c r="BP22" s="403"/>
      <c r="BQ22" s="403"/>
      <c r="BR22" s="403"/>
      <c r="BS22" s="403"/>
      <c r="BT22" s="403"/>
      <c r="BU22" s="403"/>
      <c r="BV22" s="403"/>
      <c r="BW22" s="403"/>
      <c r="BX22" s="403"/>
      <c r="BY22" s="403"/>
      <c r="BZ22" s="403"/>
      <c r="CA22" s="403"/>
      <c r="CB22" s="403"/>
      <c r="CC22" s="403"/>
      <c r="CD22" s="403"/>
      <c r="CE22" s="403"/>
      <c r="CF22" s="403"/>
      <c r="CG22" s="403"/>
      <c r="CH22" s="403"/>
      <c r="CI22" s="403"/>
      <c r="CJ22" s="403"/>
      <c r="CK22" s="403"/>
      <c r="CL22" s="403"/>
      <c r="CM22" s="403"/>
      <c r="CN22" s="403"/>
      <c r="CO22" s="403"/>
      <c r="CP22" s="403"/>
      <c r="CQ22" s="403"/>
      <c r="CR22" s="403"/>
      <c r="CS22" s="564"/>
    </row>
    <row r="23" spans="1:97" ht="12.75" hidden="1" x14ac:dyDescent="0.2">
      <c r="B23" s="9"/>
      <c r="C23" s="624" t="str">
        <f ca="1">IF(OFFSET(P23,0,Lang_Order*Lang__A2)="","",OFFSET(P23,0,Lang_Order*Lang__A2))</f>
        <v>Healthcare Infrastructure (FYI Only)</v>
      </c>
      <c r="D23" s="64"/>
      <c r="E23" s="15"/>
      <c r="G23" s="15"/>
      <c r="H23" s="15"/>
      <c r="I23" s="15"/>
      <c r="J23" s="15"/>
      <c r="K23" s="15" t="str">
        <f t="shared" ca="1" si="0"/>
        <v/>
      </c>
      <c r="L23" s="567"/>
      <c r="P23" s="403" t="s">
        <v>13809</v>
      </c>
      <c r="AB23" s="403" t="s">
        <v>13810</v>
      </c>
      <c r="AN23" s="403" t="s">
        <v>13811</v>
      </c>
      <c r="AZ23" s="403" t="s">
        <v>13812</v>
      </c>
      <c r="BL23" s="403" t="s">
        <v>13813</v>
      </c>
      <c r="BX23" s="403" t="s">
        <v>13814</v>
      </c>
      <c r="CJ23" s="403" t="s">
        <v>6012</v>
      </c>
    </row>
    <row r="24" spans="1:97" ht="12.75" hidden="1" x14ac:dyDescent="0.2">
      <c r="B24" s="9"/>
      <c r="D24" s="66" t="str">
        <f t="shared" ref="D24:D26" ca="1" si="5">IF(OFFSET(Q24,0,Lang_Order*Lang__A2)="","",OFFSET(Q24,0,Lang_Order*Lang__A2))</f>
        <v>Hospitals</v>
      </c>
      <c r="E24" s="299"/>
      <c r="F24" s="9"/>
      <c r="G24" s="15"/>
      <c r="H24" s="178" t="e">
        <f>ROUNDUP((VLOOKUP(Country_Code,WB_WHO[],J24,FALSE) *Pop_Total_2021) / 100000,0)</f>
        <v>#N/A</v>
      </c>
      <c r="J24" s="3">
        <v>10</v>
      </c>
      <c r="K24" s="12" t="str">
        <f t="shared" ca="1" si="0"/>
        <v>Source: GHO | DEVICES00 |Total density per 100 000 population: Hospitals | Assume cold-storage</v>
      </c>
      <c r="L24" s="567"/>
      <c r="Q24" s="403" t="s">
        <v>1555</v>
      </c>
      <c r="X24" s="403" t="s">
        <v>1557</v>
      </c>
      <c r="AC24" s="403" t="s">
        <v>13815</v>
      </c>
      <c r="AJ24" s="403" t="s">
        <v>1557</v>
      </c>
      <c r="AO24" s="403" t="s">
        <v>13816</v>
      </c>
      <c r="AV24" s="403" t="s">
        <v>6013</v>
      </c>
      <c r="BA24" s="403" t="s">
        <v>13817</v>
      </c>
      <c r="BH24" s="403" t="s">
        <v>6014</v>
      </c>
      <c r="BM24" s="403" t="s">
        <v>6015</v>
      </c>
      <c r="BT24" s="403" t="s">
        <v>6016</v>
      </c>
      <c r="BY24" s="403" t="s">
        <v>13818</v>
      </c>
      <c r="CF24" s="403" t="s">
        <v>6017</v>
      </c>
      <c r="CK24" s="403" t="s">
        <v>6018</v>
      </c>
      <c r="CR24" s="403" t="s">
        <v>6019</v>
      </c>
    </row>
    <row r="25" spans="1:97" ht="12.75" hidden="1" x14ac:dyDescent="0.2">
      <c r="B25" s="9"/>
      <c r="D25" s="66" t="str">
        <f t="shared" ca="1" si="5"/>
        <v>Health Centers</v>
      </c>
      <c r="E25" s="299"/>
      <c r="F25" s="9"/>
      <c r="G25" s="15"/>
      <c r="H25" s="178" t="e">
        <f>ROUNDUP((VLOOKUP(Country_Code,WB_WHO[],J25,FALSE) *Pop_Total_2021) / 100000,0)</f>
        <v>#N/A</v>
      </c>
      <c r="J25" s="3">
        <v>12</v>
      </c>
      <c r="K25" s="12" t="str">
        <f t="shared" ca="1" si="0"/>
        <v>Source: GHO |DEVICES02 | Total density per 100 000 population: Health centres | Assume cold-storage</v>
      </c>
      <c r="L25" s="567"/>
      <c r="Q25" s="403" t="s">
        <v>1556</v>
      </c>
      <c r="X25" s="403" t="s">
        <v>1558</v>
      </c>
      <c r="AC25" s="403" t="s">
        <v>13819</v>
      </c>
      <c r="AJ25" s="403" t="s">
        <v>1558</v>
      </c>
      <c r="AO25" s="403" t="s">
        <v>13820</v>
      </c>
      <c r="AV25" s="403" t="s">
        <v>6020</v>
      </c>
      <c r="BA25" s="403" t="s">
        <v>13821</v>
      </c>
      <c r="BH25" s="403" t="s">
        <v>6021</v>
      </c>
      <c r="BM25" s="403" t="s">
        <v>6022</v>
      </c>
      <c r="BT25" s="403" t="s">
        <v>6023</v>
      </c>
      <c r="BY25" s="403" t="s">
        <v>13822</v>
      </c>
      <c r="CF25" s="403" t="s">
        <v>6024</v>
      </c>
      <c r="CK25" s="403" t="s">
        <v>6025</v>
      </c>
      <c r="CR25" s="403" t="s">
        <v>6026</v>
      </c>
    </row>
    <row r="26" spans="1:97" ht="12.75" hidden="1" x14ac:dyDescent="0.2">
      <c r="B26" s="9"/>
      <c r="D26" s="66" t="str">
        <f t="shared" ca="1" si="5"/>
        <v>Health Posts</v>
      </c>
      <c r="E26" s="299"/>
      <c r="F26" s="9"/>
      <c r="G26" s="15"/>
      <c r="H26" s="178" t="e">
        <f>ROUNDUP((VLOOKUP(Country_Code,WB_WHO[],J26,FALSE) *Pop_Total_2021) / 100000,0)</f>
        <v>#N/A</v>
      </c>
      <c r="J26" s="3">
        <v>11</v>
      </c>
      <c r="K26" s="12" t="str">
        <f t="shared" ca="1" si="0"/>
        <v>Source: GHO | DEVICES01 | Total density per 100 000 population: Health posts | Assume NO cold-storage</v>
      </c>
      <c r="L26" s="567"/>
      <c r="Q26" s="403" t="s">
        <v>13823</v>
      </c>
      <c r="X26" s="403" t="s">
        <v>1559</v>
      </c>
      <c r="AC26" s="403" t="s">
        <v>13824</v>
      </c>
      <c r="AJ26" s="403" t="s">
        <v>1559</v>
      </c>
      <c r="AO26" s="403" t="s">
        <v>13825</v>
      </c>
      <c r="AV26" s="403" t="s">
        <v>6027</v>
      </c>
      <c r="BA26" s="403" t="s">
        <v>13826</v>
      </c>
      <c r="BH26" s="403" t="s">
        <v>6028</v>
      </c>
      <c r="BM26" s="403" t="s">
        <v>13827</v>
      </c>
      <c r="BT26" s="403" t="s">
        <v>6029</v>
      </c>
      <c r="BY26" s="403" t="s">
        <v>13828</v>
      </c>
      <c r="CF26" s="403" t="s">
        <v>6030</v>
      </c>
      <c r="CK26" s="403" t="s">
        <v>13829</v>
      </c>
      <c r="CR26" s="403" t="s">
        <v>6031</v>
      </c>
    </row>
    <row r="27" spans="1:97" s="15" customFormat="1" ht="12.75" x14ac:dyDescent="0.2">
      <c r="C27" s="622"/>
      <c r="D27" s="68"/>
      <c r="K27" s="15" t="str">
        <f t="shared" ca="1" si="0"/>
        <v/>
      </c>
      <c r="L27" s="567"/>
      <c r="M27" s="403"/>
      <c r="N27" s="403"/>
      <c r="O27" s="403"/>
      <c r="P27" s="403"/>
      <c r="Q27" s="403"/>
      <c r="R27" s="403"/>
      <c r="S27" s="403"/>
      <c r="T27" s="403"/>
      <c r="U27" s="403"/>
      <c r="V27" s="403"/>
      <c r="W27" s="403"/>
      <c r="X27" s="403"/>
      <c r="Y27" s="403"/>
      <c r="Z27" s="403"/>
      <c r="AA27" s="403"/>
      <c r="AB27" s="403"/>
      <c r="AC27" s="403"/>
      <c r="AD27" s="403"/>
      <c r="AE27" s="403"/>
      <c r="AF27" s="403"/>
      <c r="AG27" s="403"/>
      <c r="AH27" s="403"/>
      <c r="AI27" s="403"/>
      <c r="AJ27" s="403"/>
      <c r="AK27" s="403"/>
      <c r="AL27" s="403"/>
      <c r="AM27" s="403"/>
      <c r="AN27" s="403"/>
      <c r="AO27" s="403"/>
      <c r="AP27" s="403"/>
      <c r="AQ27" s="403"/>
      <c r="AR27" s="403"/>
      <c r="AS27" s="403"/>
      <c r="AT27" s="403"/>
      <c r="AU27" s="403"/>
      <c r="AV27" s="403"/>
      <c r="AW27" s="403"/>
      <c r="AX27" s="403"/>
      <c r="AY27" s="403"/>
      <c r="AZ27" s="403"/>
      <c r="BA27" s="403"/>
      <c r="BB27" s="403"/>
      <c r="BC27" s="403"/>
      <c r="BD27" s="403"/>
      <c r="BE27" s="403"/>
      <c r="BF27" s="403"/>
      <c r="BG27" s="403"/>
      <c r="BH27" s="403"/>
      <c r="BI27" s="403"/>
      <c r="BJ27" s="403"/>
      <c r="BK27" s="403"/>
      <c r="BL27" s="403"/>
      <c r="BM27" s="403"/>
      <c r="BN27" s="403"/>
      <c r="BO27" s="403"/>
      <c r="BP27" s="403"/>
      <c r="BQ27" s="403"/>
      <c r="BR27" s="403"/>
      <c r="BS27" s="403"/>
      <c r="BT27" s="403"/>
      <c r="BU27" s="403"/>
      <c r="BV27" s="403"/>
      <c r="BW27" s="403"/>
      <c r="BX27" s="403"/>
      <c r="BY27" s="403"/>
      <c r="BZ27" s="403"/>
      <c r="CA27" s="403"/>
      <c r="CB27" s="403"/>
      <c r="CC27" s="403"/>
      <c r="CD27" s="403"/>
      <c r="CE27" s="403"/>
      <c r="CF27" s="403"/>
      <c r="CG27" s="403"/>
      <c r="CH27" s="403"/>
      <c r="CI27" s="403"/>
      <c r="CJ27" s="403"/>
      <c r="CK27" s="403"/>
      <c r="CL27" s="403"/>
      <c r="CM27" s="403"/>
      <c r="CN27" s="403"/>
      <c r="CO27" s="403"/>
      <c r="CP27" s="403"/>
      <c r="CQ27" s="403"/>
      <c r="CR27" s="403"/>
      <c r="CS27" s="564"/>
    </row>
    <row r="28" spans="1:97" s="299" customFormat="1" ht="17.25" x14ac:dyDescent="0.3">
      <c r="B28" s="17" t="str">
        <f t="shared" ref="B28" ca="1" si="6">IF(OFFSET(O28,0,Lang_Order*Lang__A2)="","",OFFSET(O28,0,Lang_Order*Lang__A2))</f>
        <v>A2.2 Identification of Target Populations for Stages I - III</v>
      </c>
      <c r="C28" s="623"/>
      <c r="D28" s="351"/>
      <c r="E28" s="17" t="str">
        <f t="shared" ref="E28" ca="1" si="7">IF(OFFSET(R28,0,Lang_Order*Lang__A2)="","",OFFSET(R28,0,Lang_Order*Lang__A2))</f>
        <v>INPUTS</v>
      </c>
      <c r="F28" s="17" t="str">
        <f t="shared" ref="F28" ca="1" si="8">IF(OFFSET(S28,0,Lang_Order*Lang__A2)="","",OFFSET(S28,0,Lang_Order*Lang__A2))</f>
        <v>Suggestion</v>
      </c>
      <c r="G28" s="17" t="str">
        <f t="shared" ref="G28" ca="1" si="9">IF(OFFSET(T28,0,Lang_Order*Lang__A2)="","",OFFSET(T28,0,Lang_Order*Lang__A2))</f>
        <v/>
      </c>
      <c r="H28" s="17"/>
      <c r="I28" s="17" t="str">
        <f t="shared" ref="I28" ca="1" si="10">IF(OFFSET(V28,0,Lang_Order*Lang__A2)="","",OFFSET(V28,0,Lang_Order*Lang__A2))</f>
        <v>Unit / Comment</v>
      </c>
      <c r="J28" s="17"/>
      <c r="K28" s="17" t="str">
        <f t="shared" ref="K28" ca="1" si="11">IF(OFFSET(X28,0,Lang_Order*Lang__A2)="","",OFFSET(X28,0,Lang_Order*Lang__A2))</f>
        <v>Comments</v>
      </c>
      <c r="L28" s="17" t="str">
        <f t="shared" ref="L28" ca="1" si="12">IF(OFFSET(Y28,0,Lang_Order*Lang__A2)="","",OFFSET(Y28,0,Lang_Order*Lang__A2))</f>
        <v>User Notes</v>
      </c>
      <c r="M28" s="403"/>
      <c r="N28" s="403"/>
      <c r="O28" s="403" t="s">
        <v>3780</v>
      </c>
      <c r="P28" s="403"/>
      <c r="Q28" s="403"/>
      <c r="R28" s="403" t="s">
        <v>3744</v>
      </c>
      <c r="S28" s="403" t="s">
        <v>1638</v>
      </c>
      <c r="T28" s="403"/>
      <c r="U28" s="403" t="s">
        <v>17</v>
      </c>
      <c r="V28" s="403" t="s">
        <v>2870</v>
      </c>
      <c r="W28" s="403"/>
      <c r="X28" s="403" t="s">
        <v>13980</v>
      </c>
      <c r="Y28" s="403" t="s">
        <v>13981</v>
      </c>
      <c r="Z28" s="403"/>
      <c r="AA28" s="403" t="s">
        <v>6032</v>
      </c>
      <c r="AB28" s="403"/>
      <c r="AC28" s="403"/>
      <c r="AD28" s="403" t="s">
        <v>5848</v>
      </c>
      <c r="AE28" s="403" t="s">
        <v>1638</v>
      </c>
      <c r="AF28" s="403"/>
      <c r="AG28" s="403" t="s">
        <v>5849</v>
      </c>
      <c r="AH28" s="403" t="s">
        <v>5850</v>
      </c>
      <c r="AI28" s="403"/>
      <c r="AJ28" s="403" t="s">
        <v>14071</v>
      </c>
      <c r="AK28" s="403" t="s">
        <v>14076</v>
      </c>
      <c r="AL28" s="403"/>
      <c r="AM28" s="403" t="s">
        <v>6033</v>
      </c>
      <c r="AN28" s="403"/>
      <c r="AO28" s="403"/>
      <c r="AP28" s="403" t="s">
        <v>5852</v>
      </c>
      <c r="AQ28" s="403" t="s">
        <v>5853</v>
      </c>
      <c r="AR28" s="403"/>
      <c r="AS28" s="403" t="s">
        <v>6034</v>
      </c>
      <c r="AT28" s="403" t="s">
        <v>6035</v>
      </c>
      <c r="AU28" s="403"/>
      <c r="AV28" s="403" t="s">
        <v>14072</v>
      </c>
      <c r="AW28" s="403" t="s">
        <v>14077</v>
      </c>
      <c r="AX28" s="403"/>
      <c r="AY28" s="403" t="s">
        <v>6036</v>
      </c>
      <c r="AZ28" s="403"/>
      <c r="BA28" s="403"/>
      <c r="BB28" s="403" t="s">
        <v>5857</v>
      </c>
      <c r="BC28" s="403" t="s">
        <v>6037</v>
      </c>
      <c r="BD28" s="403"/>
      <c r="BE28" s="403" t="s">
        <v>5859</v>
      </c>
      <c r="BF28" s="403" t="s">
        <v>5860</v>
      </c>
      <c r="BG28" s="403"/>
      <c r="BH28" s="403" t="s">
        <v>14073</v>
      </c>
      <c r="BI28" s="403" t="s">
        <v>14078</v>
      </c>
      <c r="BJ28" s="403"/>
      <c r="BK28" s="403" t="s">
        <v>6038</v>
      </c>
      <c r="BL28" s="403"/>
      <c r="BM28" s="403"/>
      <c r="BN28" s="403" t="s">
        <v>5862</v>
      </c>
      <c r="BO28" s="403" t="s">
        <v>5863</v>
      </c>
      <c r="BP28" s="403"/>
      <c r="BQ28" s="403" t="s">
        <v>5864</v>
      </c>
      <c r="BR28" s="403" t="s">
        <v>5865</v>
      </c>
      <c r="BS28" s="403"/>
      <c r="BT28" s="403" t="s">
        <v>14074</v>
      </c>
      <c r="BU28" s="403" t="s">
        <v>14079</v>
      </c>
      <c r="BV28" s="403"/>
      <c r="BW28" s="403" t="s">
        <v>6039</v>
      </c>
      <c r="BX28" s="403"/>
      <c r="BY28" s="403"/>
      <c r="BZ28" s="403" t="s">
        <v>5867</v>
      </c>
      <c r="CA28" s="403" t="s">
        <v>5868</v>
      </c>
      <c r="CB28" s="403"/>
      <c r="CC28" s="403" t="s">
        <v>6040</v>
      </c>
      <c r="CD28" s="403" t="s">
        <v>6041</v>
      </c>
      <c r="CE28" s="403"/>
      <c r="CF28" s="403" t="s">
        <v>14075</v>
      </c>
      <c r="CG28" s="403" t="s">
        <v>14080</v>
      </c>
      <c r="CH28" s="403"/>
      <c r="CI28" s="403" t="s">
        <v>6042</v>
      </c>
      <c r="CJ28" s="403"/>
      <c r="CK28" s="403"/>
      <c r="CL28" s="403" t="s">
        <v>5873</v>
      </c>
      <c r="CM28" s="403" t="s">
        <v>5874</v>
      </c>
      <c r="CN28" s="403"/>
      <c r="CO28" s="403" t="s">
        <v>5875</v>
      </c>
      <c r="CP28" s="403" t="s">
        <v>5876</v>
      </c>
      <c r="CQ28" s="403"/>
      <c r="CR28" s="403" t="s">
        <v>5455</v>
      </c>
      <c r="CS28" s="564" t="s">
        <v>14081</v>
      </c>
    </row>
    <row r="29" spans="1:97" s="299" customFormat="1" ht="12.75" x14ac:dyDescent="0.2">
      <c r="A29" s="522"/>
      <c r="C29" s="622"/>
      <c r="D29" s="679" t="str">
        <f ca="1">IF(OFFSET(Q29,0,Lang_Order*Lang__A2)="","",OFFSET(Q29,0,Lang_Order*Lang__A2))</f>
        <v>Instructions: Please confirm the total population data or specify the population using national data, if preferred</v>
      </c>
      <c r="E29" s="679"/>
      <c r="F29" s="679"/>
      <c r="G29" s="679"/>
      <c r="H29" s="679"/>
      <c r="I29" s="679"/>
      <c r="L29" s="567"/>
      <c r="M29" s="403"/>
      <c r="N29" s="403"/>
      <c r="O29" s="403"/>
      <c r="P29" s="403"/>
      <c r="Q29" s="403" t="s">
        <v>4064</v>
      </c>
      <c r="R29" s="403"/>
      <c r="S29" s="403"/>
      <c r="T29" s="403"/>
      <c r="U29" s="403"/>
      <c r="V29" s="403"/>
      <c r="W29" s="403"/>
      <c r="X29" s="403"/>
      <c r="Y29" s="403"/>
      <c r="Z29" s="403"/>
      <c r="AA29" s="403"/>
      <c r="AB29" s="403"/>
      <c r="AC29" s="403" t="s">
        <v>6043</v>
      </c>
      <c r="AD29" s="403"/>
      <c r="AE29" s="403"/>
      <c r="AF29" s="403"/>
      <c r="AG29" s="403"/>
      <c r="AH29" s="403"/>
      <c r="AI29" s="403"/>
      <c r="AJ29" s="403"/>
      <c r="AK29" s="403"/>
      <c r="AL29" s="403"/>
      <c r="AM29" s="403"/>
      <c r="AN29" s="403"/>
      <c r="AO29" s="403" t="s">
        <v>6044</v>
      </c>
      <c r="AP29" s="403"/>
      <c r="AQ29" s="403"/>
      <c r="AR29" s="403"/>
      <c r="AS29" s="403"/>
      <c r="AT29" s="403"/>
      <c r="AU29" s="403"/>
      <c r="AV29" s="403"/>
      <c r="AW29" s="403"/>
      <c r="AX29" s="403"/>
      <c r="AY29" s="403"/>
      <c r="AZ29" s="403"/>
      <c r="BA29" s="403" t="s">
        <v>6045</v>
      </c>
      <c r="BB29" s="403"/>
      <c r="BC29" s="403"/>
      <c r="BD29" s="403"/>
      <c r="BE29" s="403"/>
      <c r="BF29" s="403"/>
      <c r="BG29" s="403"/>
      <c r="BH29" s="403"/>
      <c r="BI29" s="403"/>
      <c r="BJ29" s="403"/>
      <c r="BK29" s="403"/>
      <c r="BL29" s="403"/>
      <c r="BM29" s="403" t="s">
        <v>6046</v>
      </c>
      <c r="BN29" s="403"/>
      <c r="BO29" s="403"/>
      <c r="BP29" s="403"/>
      <c r="BQ29" s="403"/>
      <c r="BR29" s="403"/>
      <c r="BS29" s="403"/>
      <c r="BT29" s="403"/>
      <c r="BU29" s="403"/>
      <c r="BV29" s="403"/>
      <c r="BW29" s="403"/>
      <c r="BX29" s="403"/>
      <c r="BY29" s="403" t="s">
        <v>6047</v>
      </c>
      <c r="BZ29" s="403"/>
      <c r="CA29" s="403"/>
      <c r="CB29" s="403"/>
      <c r="CC29" s="403"/>
      <c r="CD29" s="403"/>
      <c r="CE29" s="403"/>
      <c r="CF29" s="403"/>
      <c r="CG29" s="403"/>
      <c r="CH29" s="403"/>
      <c r="CI29" s="403"/>
      <c r="CJ29" s="403"/>
      <c r="CK29" s="403" t="s">
        <v>6048</v>
      </c>
      <c r="CL29" s="403"/>
      <c r="CM29" s="403"/>
      <c r="CN29" s="403"/>
      <c r="CO29" s="403"/>
      <c r="CP29" s="403"/>
      <c r="CQ29" s="403"/>
      <c r="CR29" s="403"/>
      <c r="CS29" s="564"/>
    </row>
    <row r="30" spans="1:97" s="15" customFormat="1" ht="12.75" x14ac:dyDescent="0.2">
      <c r="A30" s="9"/>
      <c r="B30" s="9"/>
      <c r="C30" s="624" t="str">
        <f ca="1">IF(OFFSET(P30,0,Lang_Order*Lang__A2)="","",OFFSET(P30,0,Lang_Order*Lang__A2))</f>
        <v>Total Population</v>
      </c>
      <c r="D30" s="23"/>
      <c r="E30" s="299"/>
      <c r="F30" s="9"/>
      <c r="G30" s="9"/>
      <c r="H30" s="9"/>
      <c r="I30" s="9"/>
      <c r="J30" s="9"/>
      <c r="K30" s="567"/>
      <c r="L30" s="567"/>
      <c r="M30" s="403"/>
      <c r="N30" s="403"/>
      <c r="O30" s="403"/>
      <c r="P30" s="403" t="s">
        <v>2196</v>
      </c>
      <c r="Q30" s="403"/>
      <c r="R30" s="403"/>
      <c r="S30" s="403"/>
      <c r="T30" s="403"/>
      <c r="U30" s="403"/>
      <c r="V30" s="403"/>
      <c r="W30" s="403"/>
      <c r="X30" s="403"/>
      <c r="Y30" s="403"/>
      <c r="Z30" s="403"/>
      <c r="AA30" s="403"/>
      <c r="AB30" s="403" t="s">
        <v>6049</v>
      </c>
      <c r="AC30" s="403"/>
      <c r="AD30" s="403"/>
      <c r="AE30" s="403"/>
      <c r="AF30" s="403"/>
      <c r="AG30" s="403"/>
      <c r="AH30" s="403"/>
      <c r="AI30" s="403"/>
      <c r="AJ30" s="403"/>
      <c r="AK30" s="403"/>
      <c r="AL30" s="403"/>
      <c r="AM30" s="403"/>
      <c r="AN30" s="403" t="s">
        <v>6050</v>
      </c>
      <c r="AO30" s="403"/>
      <c r="AP30" s="403"/>
      <c r="AQ30" s="403"/>
      <c r="AR30" s="403"/>
      <c r="AS30" s="403"/>
      <c r="AT30" s="403"/>
      <c r="AU30" s="403"/>
      <c r="AV30" s="403"/>
      <c r="AW30" s="403"/>
      <c r="AX30" s="403"/>
      <c r="AY30" s="403"/>
      <c r="AZ30" s="403" t="s">
        <v>6051</v>
      </c>
      <c r="BA30" s="403"/>
      <c r="BB30" s="403"/>
      <c r="BC30" s="403"/>
      <c r="BD30" s="403"/>
      <c r="BE30" s="403"/>
      <c r="BF30" s="403"/>
      <c r="BG30" s="403"/>
      <c r="BH30" s="403"/>
      <c r="BI30" s="403"/>
      <c r="BJ30" s="403"/>
      <c r="BK30" s="403"/>
      <c r="BL30" s="403" t="s">
        <v>6052</v>
      </c>
      <c r="BM30" s="403"/>
      <c r="BN30" s="403"/>
      <c r="BO30" s="403"/>
      <c r="BP30" s="403"/>
      <c r="BQ30" s="403"/>
      <c r="BR30" s="403"/>
      <c r="BS30" s="403"/>
      <c r="BT30" s="403"/>
      <c r="BU30" s="403"/>
      <c r="BV30" s="403"/>
      <c r="BW30" s="403"/>
      <c r="BX30" s="403" t="s">
        <v>6053</v>
      </c>
      <c r="BY30" s="403"/>
      <c r="BZ30" s="403"/>
      <c r="CA30" s="403"/>
      <c r="CB30" s="403"/>
      <c r="CC30" s="403"/>
      <c r="CD30" s="403"/>
      <c r="CE30" s="403"/>
      <c r="CF30" s="403"/>
      <c r="CG30" s="403"/>
      <c r="CH30" s="403"/>
      <c r="CI30" s="403"/>
      <c r="CJ30" s="403" t="s">
        <v>6054</v>
      </c>
      <c r="CK30" s="403"/>
      <c r="CL30" s="403"/>
      <c r="CM30" s="403"/>
      <c r="CN30" s="403"/>
      <c r="CO30" s="403"/>
      <c r="CP30" s="403"/>
      <c r="CQ30" s="403"/>
      <c r="CR30" s="403"/>
      <c r="CS30" s="564"/>
    </row>
    <row r="31" spans="1:97" s="272" customFormat="1" ht="12.75" hidden="1" x14ac:dyDescent="0.2">
      <c r="A31" s="9"/>
      <c r="B31" s="344" t="s">
        <v>14111</v>
      </c>
      <c r="C31" s="624"/>
      <c r="D31" s="23">
        <v>2020</v>
      </c>
      <c r="E31" s="32"/>
      <c r="F31" s="299"/>
      <c r="G31" s="299"/>
      <c r="H31" s="178">
        <f>E33</f>
        <v>0</v>
      </c>
      <c r="I31" s="2" t="str">
        <f t="shared" ca="1" si="0"/>
        <v>Number</v>
      </c>
      <c r="J31" s="3" t="str">
        <f>Country_Code</f>
        <v>CUS</v>
      </c>
      <c r="K31" s="12" t="str">
        <f t="shared" ca="1" si="0"/>
        <v>Source: WDI SP.POP.TOTL for 2020 - Last Updated 12/18/2020; Will be used to calculate COVAX allocation</v>
      </c>
      <c r="L31" s="587"/>
      <c r="M31" s="403"/>
      <c r="N31" s="403"/>
      <c r="O31" s="403"/>
      <c r="P31" s="403"/>
      <c r="Q31" s="403"/>
      <c r="R31" s="403"/>
      <c r="S31" s="403"/>
      <c r="T31" s="403"/>
      <c r="U31" s="403"/>
      <c r="V31" s="403" t="s">
        <v>43</v>
      </c>
      <c r="W31" s="403"/>
      <c r="X31" s="403" t="s">
        <v>4572</v>
      </c>
      <c r="Y31" s="403"/>
      <c r="Z31" s="403"/>
      <c r="AA31" s="403"/>
      <c r="AB31" s="403"/>
      <c r="AC31" s="403"/>
      <c r="AD31" s="403"/>
      <c r="AE31" s="403"/>
      <c r="AF31" s="403"/>
      <c r="AG31" s="403"/>
      <c r="AH31" s="403" t="s">
        <v>6055</v>
      </c>
      <c r="AI31" s="403"/>
      <c r="AJ31" s="403" t="s">
        <v>13830</v>
      </c>
      <c r="AK31" s="403"/>
      <c r="AL31" s="403"/>
      <c r="AM31" s="403"/>
      <c r="AN31" s="403"/>
      <c r="AO31" s="403"/>
      <c r="AP31" s="403"/>
      <c r="AQ31" s="403"/>
      <c r="AR31" s="403"/>
      <c r="AS31" s="403"/>
      <c r="AT31" s="403" t="s">
        <v>6056</v>
      </c>
      <c r="AU31" s="403"/>
      <c r="AV31" s="403" t="s">
        <v>13831</v>
      </c>
      <c r="AW31" s="403"/>
      <c r="AX31" s="403"/>
      <c r="AY31" s="403"/>
      <c r="AZ31" s="403"/>
      <c r="BA31" s="403"/>
      <c r="BB31" s="403"/>
      <c r="BC31" s="403"/>
      <c r="BD31" s="403"/>
      <c r="BE31" s="403"/>
      <c r="BF31" s="403" t="s">
        <v>6057</v>
      </c>
      <c r="BG31" s="403"/>
      <c r="BH31" s="403" t="s">
        <v>13832</v>
      </c>
      <c r="BI31" s="403"/>
      <c r="BJ31" s="403"/>
      <c r="BK31" s="403"/>
      <c r="BL31" s="403"/>
      <c r="BM31" s="403"/>
      <c r="BN31" s="403"/>
      <c r="BO31" s="403"/>
      <c r="BP31" s="403"/>
      <c r="BQ31" s="403"/>
      <c r="BR31" s="403" t="s">
        <v>6057</v>
      </c>
      <c r="BS31" s="403"/>
      <c r="BT31" s="403" t="s">
        <v>13833</v>
      </c>
      <c r="BU31" s="403"/>
      <c r="BV31" s="403"/>
      <c r="BW31" s="403"/>
      <c r="BX31" s="403"/>
      <c r="BY31" s="403"/>
      <c r="BZ31" s="403"/>
      <c r="CA31" s="403"/>
      <c r="CB31" s="403"/>
      <c r="CC31" s="403"/>
      <c r="CD31" s="403" t="s">
        <v>6058</v>
      </c>
      <c r="CE31" s="403"/>
      <c r="CF31" s="403" t="s">
        <v>13834</v>
      </c>
      <c r="CG31" s="403"/>
      <c r="CH31" s="403"/>
      <c r="CI31" s="403"/>
      <c r="CJ31" s="403"/>
      <c r="CK31" s="403"/>
      <c r="CL31" s="403"/>
      <c r="CM31" s="403"/>
      <c r="CN31" s="403"/>
      <c r="CO31" s="403"/>
      <c r="CP31" s="403" t="s">
        <v>6059</v>
      </c>
      <c r="CQ31" s="403"/>
      <c r="CR31" s="403" t="s">
        <v>13835</v>
      </c>
      <c r="CS31" s="564"/>
    </row>
    <row r="32" spans="1:97" s="299" customFormat="1" ht="12.75" x14ac:dyDescent="0.2">
      <c r="C32" s="622"/>
      <c r="D32" s="335" t="str">
        <f ca="1">IF(OFFSET(Q32,0,Lang_Order*Lang__A2)="","",OFFSET(Q32,0,Lang_Order*Lang__A2))</f>
        <v>Manually specify total population here OR leave blank to use UN WPP (2019 Revision) Data</v>
      </c>
      <c r="K32" s="567"/>
      <c r="L32" s="567"/>
      <c r="M32" s="403"/>
      <c r="N32" s="403"/>
      <c r="O32" s="403"/>
      <c r="P32" s="403"/>
      <c r="Q32" s="403" t="s">
        <v>4065</v>
      </c>
      <c r="R32" s="403"/>
      <c r="S32" s="403"/>
      <c r="T32" s="403"/>
      <c r="U32" s="403"/>
      <c r="V32" s="403"/>
      <c r="W32" s="403"/>
      <c r="X32" s="403"/>
      <c r="Y32" s="403"/>
      <c r="Z32" s="403"/>
      <c r="AA32" s="403"/>
      <c r="AB32" s="403"/>
      <c r="AC32" s="403" t="s">
        <v>6060</v>
      </c>
      <c r="AD32" s="403"/>
      <c r="AE32" s="403"/>
      <c r="AF32" s="403"/>
      <c r="AG32" s="403"/>
      <c r="AH32" s="403"/>
      <c r="AI32" s="403"/>
      <c r="AJ32" s="403"/>
      <c r="AK32" s="403"/>
      <c r="AL32" s="403"/>
      <c r="AM32" s="403"/>
      <c r="AN32" s="403"/>
      <c r="AO32" s="403" t="s">
        <v>6061</v>
      </c>
      <c r="AP32" s="403"/>
      <c r="AQ32" s="403"/>
      <c r="AR32" s="403"/>
      <c r="AS32" s="403"/>
      <c r="AT32" s="403"/>
      <c r="AU32" s="403"/>
      <c r="AV32" s="403"/>
      <c r="AW32" s="403"/>
      <c r="AX32" s="403"/>
      <c r="AY32" s="403"/>
      <c r="AZ32" s="403"/>
      <c r="BA32" s="403" t="s">
        <v>6062</v>
      </c>
      <c r="BB32" s="403"/>
      <c r="BC32" s="403"/>
      <c r="BD32" s="403"/>
      <c r="BE32" s="403"/>
      <c r="BF32" s="403"/>
      <c r="BG32" s="403"/>
      <c r="BH32" s="403"/>
      <c r="BI32" s="403"/>
      <c r="BJ32" s="403"/>
      <c r="BK32" s="403"/>
      <c r="BL32" s="403"/>
      <c r="BM32" s="403" t="s">
        <v>6063</v>
      </c>
      <c r="BN32" s="403"/>
      <c r="BO32" s="403"/>
      <c r="BP32" s="403"/>
      <c r="BQ32" s="403"/>
      <c r="BR32" s="403"/>
      <c r="BS32" s="403"/>
      <c r="BT32" s="403"/>
      <c r="BU32" s="403"/>
      <c r="BV32" s="403"/>
      <c r="BW32" s="403"/>
      <c r="BX32" s="403"/>
      <c r="BY32" s="403" t="s">
        <v>6064</v>
      </c>
      <c r="BZ32" s="403"/>
      <c r="CA32" s="403"/>
      <c r="CB32" s="403"/>
      <c r="CC32" s="403"/>
      <c r="CD32" s="403"/>
      <c r="CE32" s="403"/>
      <c r="CF32" s="403"/>
      <c r="CG32" s="403"/>
      <c r="CH32" s="403"/>
      <c r="CI32" s="403"/>
      <c r="CJ32" s="403"/>
      <c r="CK32" s="403" t="s">
        <v>6065</v>
      </c>
      <c r="CL32" s="403"/>
      <c r="CM32" s="403"/>
      <c r="CN32" s="403"/>
      <c r="CO32" s="403"/>
      <c r="CP32" s="403"/>
      <c r="CQ32" s="403"/>
      <c r="CR32" s="403"/>
      <c r="CS32" s="564"/>
    </row>
    <row r="33" spans="1:97" ht="12.75" x14ac:dyDescent="0.2">
      <c r="A33" s="349">
        <v>1</v>
      </c>
      <c r="B33" s="9"/>
      <c r="D33" s="98" t="s">
        <v>21</v>
      </c>
      <c r="E33" s="32"/>
      <c r="F33" s="667"/>
      <c r="G33" s="4" t="str">
        <f>IF(ISBLANK(E33),Lang_CHECK,"OK")</f>
        <v>CHECK</v>
      </c>
      <c r="H33" s="178" t="e">
        <f>IF(ISBLANK(E33),ROUND(VLOOKUP(J33,UN_WPP[],7,FALSE),0),E33)</f>
        <v>#N/A</v>
      </c>
      <c r="I33" s="2" t="str">
        <f ca="1">IF(OFFSET(V33,0,Lang_Order*Lang__A2)="","",OFFSET(V33,0,Lang_Order*Lang__A2))</f>
        <v>Number</v>
      </c>
      <c r="J33" s="3" t="str">
        <f>CONCATENATE(Country_Code,D33)</f>
        <v>CUS2021</v>
      </c>
      <c r="L33" s="587"/>
      <c r="V33" s="403" t="s">
        <v>43</v>
      </c>
      <c r="X33" s="403" t="s">
        <v>1560</v>
      </c>
      <c r="AH33" s="403" t="s">
        <v>6055</v>
      </c>
      <c r="AJ33" s="403" t="s">
        <v>1560</v>
      </c>
      <c r="AT33" s="403" t="s">
        <v>6056</v>
      </c>
      <c r="AV33" s="403" t="s">
        <v>6066</v>
      </c>
      <c r="BF33" s="403" t="s">
        <v>6057</v>
      </c>
      <c r="BH33" s="403" t="s">
        <v>6067</v>
      </c>
      <c r="BR33" s="403" t="s">
        <v>6057</v>
      </c>
      <c r="BT33" s="403" t="s">
        <v>6068</v>
      </c>
      <c r="CD33" s="403" t="s">
        <v>6058</v>
      </c>
      <c r="CF33" s="403" t="s">
        <v>6069</v>
      </c>
      <c r="CP33" s="403" t="s">
        <v>6059</v>
      </c>
      <c r="CR33" s="403" t="s">
        <v>6070</v>
      </c>
    </row>
    <row r="34" spans="1:97" ht="12.75" x14ac:dyDescent="0.2">
      <c r="A34" s="349">
        <v>1</v>
      </c>
      <c r="B34" s="9"/>
      <c r="D34" s="98" t="s">
        <v>22</v>
      </c>
      <c r="E34" s="32"/>
      <c r="F34" s="667"/>
      <c r="G34" s="4" t="str">
        <f>IF(ISBLANK(E34),Lang_CHECK,"OK")</f>
        <v>CHECK</v>
      </c>
      <c r="H34" s="178" t="e">
        <f>IF(ISBLANK(E34),ROUND(VLOOKUP(J34,UN_WPP[],7,FALSE),0),E34)</f>
        <v>#N/A</v>
      </c>
      <c r="I34" s="2" t="str">
        <f ca="1">IF(OFFSET(V34,0,Lang_Order*Lang__A2)="","",OFFSET(V34,0,Lang_Order*Lang__A2))</f>
        <v>Number</v>
      </c>
      <c r="J34" s="3" t="str">
        <f>CONCATENATE(Country_Code,D34)</f>
        <v>CUS2022</v>
      </c>
      <c r="L34" s="587"/>
      <c r="V34" s="403" t="s">
        <v>43</v>
      </c>
      <c r="X34" s="403" t="s">
        <v>1560</v>
      </c>
      <c r="AH34" s="403" t="s">
        <v>6055</v>
      </c>
      <c r="AJ34" s="403" t="s">
        <v>1560</v>
      </c>
      <c r="AT34" s="403" t="s">
        <v>6056</v>
      </c>
      <c r="AV34" s="403" t="s">
        <v>6066</v>
      </c>
      <c r="BF34" s="403" t="s">
        <v>6057</v>
      </c>
      <c r="BH34" s="403" t="s">
        <v>6067</v>
      </c>
      <c r="BR34" s="403" t="s">
        <v>6057</v>
      </c>
      <c r="BT34" s="403" t="s">
        <v>6068</v>
      </c>
      <c r="CD34" s="403" t="s">
        <v>6058</v>
      </c>
      <c r="CF34" s="403" t="s">
        <v>6069</v>
      </c>
      <c r="CP34" s="403" t="s">
        <v>6059</v>
      </c>
      <c r="CR34" s="403" t="s">
        <v>6070</v>
      </c>
    </row>
    <row r="35" spans="1:97" ht="12.75" x14ac:dyDescent="0.2">
      <c r="A35" s="349">
        <v>1</v>
      </c>
      <c r="B35" s="9"/>
      <c r="D35" s="98" t="s">
        <v>23</v>
      </c>
      <c r="E35" s="32"/>
      <c r="F35" s="667"/>
      <c r="G35" s="4" t="str">
        <f>IF(ISBLANK(E35),Lang_CHECK,"OK")</f>
        <v>CHECK</v>
      </c>
      <c r="H35" s="178" t="e">
        <f>IF(ISBLANK(E35),ROUND(VLOOKUP(J35,UN_WPP[],7,FALSE),0),E35)</f>
        <v>#N/A</v>
      </c>
      <c r="I35" s="2" t="str">
        <f ca="1">IF(OFFSET(V35,0,Lang_Order*Lang__A2)="","",OFFSET(V35,0,Lang_Order*Lang__A2))</f>
        <v>Number</v>
      </c>
      <c r="J35" s="3" t="str">
        <f>CONCATENATE(Country_Code,D35)</f>
        <v>CUS2023</v>
      </c>
      <c r="L35" s="587"/>
      <c r="V35" s="403" t="s">
        <v>43</v>
      </c>
      <c r="X35" s="403" t="s">
        <v>1560</v>
      </c>
      <c r="AH35" s="403" t="s">
        <v>6055</v>
      </c>
      <c r="AJ35" s="403" t="s">
        <v>1560</v>
      </c>
      <c r="AT35" s="403" t="s">
        <v>6056</v>
      </c>
      <c r="AV35" s="403" t="s">
        <v>6066</v>
      </c>
      <c r="BF35" s="403" t="s">
        <v>6057</v>
      </c>
      <c r="BH35" s="403" t="s">
        <v>6067</v>
      </c>
      <c r="BR35" s="403" t="s">
        <v>6057</v>
      </c>
      <c r="BT35" s="403" t="s">
        <v>6068</v>
      </c>
      <c r="CD35" s="403" t="s">
        <v>6058</v>
      </c>
      <c r="CF35" s="403" t="s">
        <v>6069</v>
      </c>
      <c r="CP35" s="403" t="s">
        <v>6059</v>
      </c>
      <c r="CR35" s="403" t="s">
        <v>6070</v>
      </c>
    </row>
    <row r="36" spans="1:97" ht="12.75" hidden="1" x14ac:dyDescent="0.2">
      <c r="B36" s="344" t="s">
        <v>14112</v>
      </c>
      <c r="D36" s="64" t="s">
        <v>24</v>
      </c>
      <c r="E36" s="35"/>
      <c r="F36" s="81" t="str">
        <f>Lang_LeaveBlank</f>
        <v>Leave Blank</v>
      </c>
      <c r="G36" s="4" t="str">
        <f>IF(ISBLANK(H36),Lang_CHECK,"OK")</f>
        <v>OK</v>
      </c>
      <c r="H36" s="178" t="e">
        <f>IF(ISBLANK(E36),ROUND(VLOOKUP(J36,UN_WPP[],7,FALSE),0),E36)</f>
        <v>#N/A</v>
      </c>
      <c r="I36" s="73" t="s">
        <v>43</v>
      </c>
      <c r="J36" s="3" t="str">
        <f>CONCATENATE(Country_Code,D36)</f>
        <v>CUS2024</v>
      </c>
      <c r="K36" s="12" t="str">
        <f t="shared" ref="K36:K73" ca="1" si="13">IF(OFFSET(X36,0,Lang_Order*Lang__A2)="","",OFFSET(X36,0,Lang_Order*Lang__A2))</f>
        <v>Source: UN WPP 2019</v>
      </c>
      <c r="L36" s="587"/>
      <c r="V36" s="403" t="s">
        <v>43</v>
      </c>
      <c r="X36" s="403" t="s">
        <v>1560</v>
      </c>
      <c r="AH36" s="564" t="s">
        <v>6055</v>
      </c>
      <c r="AJ36" s="403" t="s">
        <v>1560</v>
      </c>
      <c r="AT36" s="564" t="s">
        <v>6056</v>
      </c>
      <c r="AV36" s="564" t="s">
        <v>6066</v>
      </c>
      <c r="BF36" s="564" t="s">
        <v>6057</v>
      </c>
      <c r="BH36" s="564" t="s">
        <v>6067</v>
      </c>
      <c r="BR36" s="403" t="s">
        <v>6057</v>
      </c>
      <c r="BT36" s="403" t="s">
        <v>6068</v>
      </c>
      <c r="CD36" s="403" t="s">
        <v>6058</v>
      </c>
      <c r="CF36" s="564" t="s">
        <v>6069</v>
      </c>
      <c r="CP36" s="403" t="s">
        <v>6059</v>
      </c>
      <c r="CR36" s="403" t="s">
        <v>6070</v>
      </c>
    </row>
    <row r="37" spans="1:97" s="299" customFormat="1" ht="12.75" x14ac:dyDescent="0.2">
      <c r="C37" s="622"/>
      <c r="D37" s="68"/>
      <c r="L37" s="567"/>
      <c r="M37" s="403"/>
      <c r="N37" s="403"/>
      <c r="O37" s="403"/>
      <c r="P37" s="403"/>
      <c r="Q37" s="403"/>
      <c r="R37" s="403"/>
      <c r="S37" s="403"/>
      <c r="T37" s="403"/>
      <c r="U37" s="403"/>
      <c r="V37" s="403"/>
      <c r="W37" s="403"/>
      <c r="X37" s="403"/>
      <c r="Y37" s="403"/>
      <c r="Z37" s="403"/>
      <c r="AA37" s="403"/>
      <c r="AB37" s="403"/>
      <c r="AC37" s="403"/>
      <c r="AD37" s="403"/>
      <c r="AE37" s="403"/>
      <c r="AF37" s="403"/>
      <c r="AG37" s="403"/>
      <c r="AH37" s="403"/>
      <c r="AI37" s="403"/>
      <c r="AJ37" s="403"/>
      <c r="AK37" s="403"/>
      <c r="AL37" s="403"/>
      <c r="AM37" s="403"/>
      <c r="AN37" s="403"/>
      <c r="AO37" s="403"/>
      <c r="AP37" s="403"/>
      <c r="AQ37" s="403"/>
      <c r="AR37" s="403"/>
      <c r="AS37" s="403"/>
      <c r="AT37" s="403"/>
      <c r="AU37" s="403"/>
      <c r="AV37" s="403"/>
      <c r="AW37" s="403"/>
      <c r="AX37" s="403"/>
      <c r="AY37" s="403"/>
      <c r="AZ37" s="403"/>
      <c r="BA37" s="403"/>
      <c r="BB37" s="403"/>
      <c r="BC37" s="403"/>
      <c r="BD37" s="403"/>
      <c r="BE37" s="403"/>
      <c r="BF37" s="403"/>
      <c r="BG37" s="403"/>
      <c r="BH37" s="403"/>
      <c r="BI37" s="403"/>
      <c r="BJ37" s="403"/>
      <c r="BK37" s="403"/>
      <c r="BL37" s="403"/>
      <c r="BM37" s="403"/>
      <c r="BN37" s="403"/>
      <c r="BO37" s="403"/>
      <c r="BP37" s="403"/>
      <c r="BQ37" s="403"/>
      <c r="BR37" s="403"/>
      <c r="BS37" s="403"/>
      <c r="BT37" s="403"/>
      <c r="BU37" s="403"/>
      <c r="BV37" s="403"/>
      <c r="BW37" s="403"/>
      <c r="BX37" s="403"/>
      <c r="BY37" s="403"/>
      <c r="BZ37" s="403"/>
      <c r="CA37" s="403"/>
      <c r="CB37" s="403"/>
      <c r="CC37" s="403"/>
      <c r="CD37" s="403"/>
      <c r="CE37" s="403"/>
      <c r="CF37" s="403"/>
      <c r="CG37" s="403"/>
      <c r="CH37" s="403"/>
      <c r="CI37" s="403"/>
      <c r="CJ37" s="403"/>
      <c r="CK37" s="403"/>
      <c r="CL37" s="403"/>
      <c r="CM37" s="403"/>
      <c r="CN37" s="403"/>
      <c r="CO37" s="403"/>
      <c r="CP37" s="403"/>
      <c r="CQ37" s="403"/>
      <c r="CR37" s="403"/>
      <c r="CS37" s="564"/>
    </row>
    <row r="38" spans="1:97" s="15" customFormat="1" x14ac:dyDescent="0.25">
      <c r="B38" s="567"/>
      <c r="C38" s="33" t="str">
        <f t="shared" ref="C38" ca="1" si="14">IF(OFFSET(P38,0,Lang_Order*Lang__A2)="","",OFFSET(P38,0,Lang_Order*Lang__A2))</f>
        <v>A2.2.1 Health workers | Delivery Modality 1 (Fixed sites with cold storage) - work-based eligibility</v>
      </c>
      <c r="D38" s="144"/>
      <c r="E38" s="8"/>
      <c r="F38" s="144"/>
      <c r="G38" s="144"/>
      <c r="H38" s="144"/>
      <c r="I38" s="144"/>
      <c r="J38" s="144"/>
      <c r="K38" s="144"/>
      <c r="L38" s="144"/>
      <c r="M38" s="403"/>
      <c r="N38" s="403"/>
      <c r="O38" s="403"/>
      <c r="P38" s="403" t="s">
        <v>14345</v>
      </c>
      <c r="Q38" s="403"/>
      <c r="R38" s="403"/>
      <c r="S38" s="403"/>
      <c r="T38" s="403"/>
      <c r="U38" s="403"/>
      <c r="V38" s="403"/>
      <c r="W38" s="403"/>
      <c r="X38" s="403" t="s">
        <v>13980</v>
      </c>
      <c r="Y38" s="403" t="s">
        <v>13981</v>
      </c>
      <c r="Z38" s="403"/>
      <c r="AA38" s="403"/>
      <c r="AB38" s="403" t="s">
        <v>14346</v>
      </c>
      <c r="AC38" s="403"/>
      <c r="AD38" s="403"/>
      <c r="AE38" s="403"/>
      <c r="AF38" s="403"/>
      <c r="AG38" s="403"/>
      <c r="AH38" s="403"/>
      <c r="AI38" s="403"/>
      <c r="AJ38" s="403" t="s">
        <v>14071</v>
      </c>
      <c r="AK38" s="403" t="s">
        <v>14076</v>
      </c>
      <c r="AL38" s="403"/>
      <c r="AM38" s="403"/>
      <c r="AN38" s="403" t="s">
        <v>14347</v>
      </c>
      <c r="AO38" s="403"/>
      <c r="AP38" s="403"/>
      <c r="AQ38" s="403"/>
      <c r="AR38" s="403"/>
      <c r="AS38" s="403"/>
      <c r="AT38" s="403"/>
      <c r="AU38" s="403"/>
      <c r="AV38" s="403" t="s">
        <v>14072</v>
      </c>
      <c r="AW38" s="403" t="s">
        <v>14077</v>
      </c>
      <c r="AX38" s="403"/>
      <c r="AY38" s="403"/>
      <c r="AZ38" s="403" t="s">
        <v>14348</v>
      </c>
      <c r="BA38" s="403"/>
      <c r="BB38" s="403"/>
      <c r="BC38" s="403"/>
      <c r="BD38" s="403"/>
      <c r="BE38" s="403"/>
      <c r="BF38" s="403"/>
      <c r="BG38" s="403"/>
      <c r="BH38" s="403" t="s">
        <v>14073</v>
      </c>
      <c r="BI38" s="403" t="s">
        <v>14078</v>
      </c>
      <c r="BJ38" s="403"/>
      <c r="BK38" s="403"/>
      <c r="BL38" s="403" t="s">
        <v>14349</v>
      </c>
      <c r="BM38" s="403"/>
      <c r="BN38" s="403"/>
      <c r="BO38" s="403"/>
      <c r="BP38" s="403"/>
      <c r="BQ38" s="403"/>
      <c r="BR38" s="403"/>
      <c r="BS38" s="403"/>
      <c r="BT38" s="403" t="s">
        <v>14074</v>
      </c>
      <c r="BU38" s="403" t="s">
        <v>14079</v>
      </c>
      <c r="BV38" s="403"/>
      <c r="BW38" s="403"/>
      <c r="BX38" s="403" t="s">
        <v>14350</v>
      </c>
      <c r="BY38" s="403"/>
      <c r="BZ38" s="403"/>
      <c r="CA38" s="403"/>
      <c r="CB38" s="403"/>
      <c r="CC38" s="403"/>
      <c r="CD38" s="403"/>
      <c r="CE38" s="403"/>
      <c r="CF38" s="403" t="s">
        <v>14075</v>
      </c>
      <c r="CG38" s="403" t="s">
        <v>14080</v>
      </c>
      <c r="CH38" s="403"/>
      <c r="CI38" s="403"/>
      <c r="CJ38" s="403" t="s">
        <v>14351</v>
      </c>
      <c r="CK38" s="403"/>
      <c r="CL38" s="403"/>
      <c r="CM38" s="403"/>
      <c r="CN38" s="403"/>
      <c r="CO38" s="403"/>
      <c r="CP38" s="403"/>
      <c r="CQ38" s="403"/>
      <c r="CR38" s="403" t="s">
        <v>5455</v>
      </c>
      <c r="CS38" s="564" t="s">
        <v>14081</v>
      </c>
    </row>
    <row r="39" spans="1:97" s="299" customFormat="1" ht="29.25" customHeight="1" x14ac:dyDescent="0.2">
      <c r="A39" s="522"/>
      <c r="C39" s="622"/>
      <c r="D39" s="679" t="str">
        <f t="shared" ref="D39:D44" ca="1" si="15">IF(OFFSET(Q39,0,Lang_Order*Lang__A2)="","",OFFSET(Q39,0,Lang_Order*Lang__A2))</f>
        <v>Instructions: Based on the NDVP/SAGE recommendations, please fill in the total (across all stages I - III) relevant target population, for each population described. Please note that the prioritization of these populations over Stage I-III can be specified later in section B1.2.</v>
      </c>
      <c r="E39" s="679"/>
      <c r="F39" s="679"/>
      <c r="G39" s="679"/>
      <c r="H39" s="679"/>
      <c r="I39" s="679"/>
      <c r="K39" s="567"/>
      <c r="L39" s="567"/>
      <c r="M39" s="403"/>
      <c r="N39" s="403"/>
      <c r="O39" s="403"/>
      <c r="P39" s="403"/>
      <c r="Q39" s="403" t="s">
        <v>4066</v>
      </c>
      <c r="R39" s="403"/>
      <c r="S39" s="403"/>
      <c r="T39" s="403"/>
      <c r="U39" s="403"/>
      <c r="V39" s="403"/>
      <c r="W39" s="403"/>
      <c r="X39" s="403" t="s">
        <v>197</v>
      </c>
      <c r="Y39" s="403"/>
      <c r="Z39" s="403"/>
      <c r="AA39" s="403"/>
      <c r="AB39" s="403"/>
      <c r="AC39" s="403" t="s">
        <v>6076</v>
      </c>
      <c r="AD39" s="403"/>
      <c r="AE39" s="403"/>
      <c r="AF39" s="403"/>
      <c r="AG39" s="403"/>
      <c r="AH39" s="403"/>
      <c r="AI39" s="403"/>
      <c r="AJ39" s="403"/>
      <c r="AK39" s="403"/>
      <c r="AL39" s="403"/>
      <c r="AM39" s="403"/>
      <c r="AN39" s="403"/>
      <c r="AO39" s="403" t="s">
        <v>6077</v>
      </c>
      <c r="AP39" s="403"/>
      <c r="AQ39" s="403"/>
      <c r="AR39" s="403"/>
      <c r="AS39" s="403"/>
      <c r="AT39" s="403"/>
      <c r="AU39" s="403"/>
      <c r="AV39" s="403"/>
      <c r="AW39" s="403"/>
      <c r="AX39" s="403"/>
      <c r="AY39" s="403"/>
      <c r="AZ39" s="403"/>
      <c r="BA39" s="403" t="s">
        <v>6078</v>
      </c>
      <c r="BB39" s="403"/>
      <c r="BC39" s="403"/>
      <c r="BD39" s="403"/>
      <c r="BE39" s="403"/>
      <c r="BF39" s="403"/>
      <c r="BG39" s="403"/>
      <c r="BH39" s="403"/>
      <c r="BI39" s="403"/>
      <c r="BJ39" s="403"/>
      <c r="BK39" s="403"/>
      <c r="BL39" s="403"/>
      <c r="BM39" s="403" t="s">
        <v>6079</v>
      </c>
      <c r="BN39" s="403"/>
      <c r="BO39" s="403"/>
      <c r="BP39" s="403"/>
      <c r="BQ39" s="403"/>
      <c r="BR39" s="403"/>
      <c r="BS39" s="403"/>
      <c r="BT39" s="403"/>
      <c r="BU39" s="403"/>
      <c r="BV39" s="403"/>
      <c r="BW39" s="403"/>
      <c r="BX39" s="403"/>
      <c r="BY39" s="403" t="s">
        <v>6080</v>
      </c>
      <c r="BZ39" s="403"/>
      <c r="CA39" s="403"/>
      <c r="CB39" s="403"/>
      <c r="CC39" s="403"/>
      <c r="CD39" s="403"/>
      <c r="CE39" s="403"/>
      <c r="CF39" s="403"/>
      <c r="CG39" s="403"/>
      <c r="CH39" s="403"/>
      <c r="CI39" s="403"/>
      <c r="CJ39" s="403"/>
      <c r="CK39" s="403" t="s">
        <v>6081</v>
      </c>
      <c r="CL39" s="403"/>
      <c r="CM39" s="403"/>
      <c r="CN39" s="403"/>
      <c r="CO39" s="403"/>
      <c r="CP39" s="403"/>
      <c r="CQ39" s="403"/>
      <c r="CR39" s="403"/>
      <c r="CS39" s="564"/>
    </row>
    <row r="40" spans="1:97" s="299" customFormat="1" ht="12.75" x14ac:dyDescent="0.2">
      <c r="A40" s="86"/>
      <c r="C40" s="624"/>
      <c r="D40" s="327" t="str">
        <f t="shared" ca="1" si="15"/>
        <v>SAGE Population Description</v>
      </c>
      <c r="E40" s="140"/>
      <c r="F40" s="68"/>
      <c r="G40" s="68"/>
      <c r="H40" s="68"/>
      <c r="I40" s="141"/>
      <c r="J40" s="68"/>
      <c r="K40" s="567"/>
      <c r="L40" s="567"/>
      <c r="M40" s="403"/>
      <c r="N40" s="403"/>
      <c r="O40" s="403"/>
      <c r="P40" s="403"/>
      <c r="Q40" s="403" t="s">
        <v>3748</v>
      </c>
      <c r="R40" s="403"/>
      <c r="S40" s="403"/>
      <c r="T40" s="403"/>
      <c r="U40" s="403"/>
      <c r="V40" s="403"/>
      <c r="W40" s="403"/>
      <c r="X40" s="403" t="s">
        <v>197</v>
      </c>
      <c r="Y40" s="403"/>
      <c r="Z40" s="403"/>
      <c r="AA40" s="403"/>
      <c r="AB40" s="403"/>
      <c r="AC40" s="403" t="s">
        <v>6082</v>
      </c>
      <c r="AD40" s="403"/>
      <c r="AE40" s="403"/>
      <c r="AF40" s="403"/>
      <c r="AG40" s="403"/>
      <c r="AH40" s="403"/>
      <c r="AI40" s="403"/>
      <c r="AJ40" s="403"/>
      <c r="AK40" s="403"/>
      <c r="AL40" s="403"/>
      <c r="AM40" s="403"/>
      <c r="AN40" s="403"/>
      <c r="AO40" s="403" t="s">
        <v>6083</v>
      </c>
      <c r="AP40" s="403"/>
      <c r="AQ40" s="403"/>
      <c r="AR40" s="403"/>
      <c r="AS40" s="403"/>
      <c r="AT40" s="403"/>
      <c r="AU40" s="403"/>
      <c r="AV40" s="403"/>
      <c r="AW40" s="403"/>
      <c r="AX40" s="403"/>
      <c r="AY40" s="403"/>
      <c r="AZ40" s="403"/>
      <c r="BA40" s="403" t="s">
        <v>6084</v>
      </c>
      <c r="BB40" s="403"/>
      <c r="BC40" s="403"/>
      <c r="BD40" s="403"/>
      <c r="BE40" s="403"/>
      <c r="BF40" s="403"/>
      <c r="BG40" s="403"/>
      <c r="BH40" s="403"/>
      <c r="BI40" s="403"/>
      <c r="BJ40" s="403"/>
      <c r="BK40" s="403"/>
      <c r="BL40" s="403"/>
      <c r="BM40" s="403" t="s">
        <v>6085</v>
      </c>
      <c r="BN40" s="403"/>
      <c r="BO40" s="403"/>
      <c r="BP40" s="403"/>
      <c r="BQ40" s="403"/>
      <c r="BR40" s="403"/>
      <c r="BS40" s="403"/>
      <c r="BT40" s="403"/>
      <c r="BU40" s="403"/>
      <c r="BV40" s="403"/>
      <c r="BW40" s="403"/>
      <c r="BX40" s="403"/>
      <c r="BY40" s="403" t="s">
        <v>6086</v>
      </c>
      <c r="BZ40" s="403"/>
      <c r="CA40" s="403"/>
      <c r="CB40" s="403"/>
      <c r="CC40" s="403"/>
      <c r="CD40" s="403"/>
      <c r="CE40" s="403"/>
      <c r="CF40" s="403"/>
      <c r="CG40" s="403"/>
      <c r="CH40" s="403"/>
      <c r="CI40" s="403"/>
      <c r="CJ40" s="403"/>
      <c r="CK40" s="403" t="s">
        <v>6087</v>
      </c>
      <c r="CL40" s="403"/>
      <c r="CM40" s="403"/>
      <c r="CN40" s="403"/>
      <c r="CO40" s="403"/>
      <c r="CP40" s="403"/>
      <c r="CQ40" s="403"/>
      <c r="CR40" s="403"/>
      <c r="CS40" s="564"/>
    </row>
    <row r="41" spans="1:97" s="299" customFormat="1" ht="12.75" x14ac:dyDescent="0.2">
      <c r="A41" s="350">
        <v>2</v>
      </c>
      <c r="C41" s="624"/>
      <c r="D41" s="329" t="str">
        <f t="shared" ca="1" si="15"/>
        <v>Health workers at high to very high risk of acquiring and transmitting infection</v>
      </c>
      <c r="E41" s="337"/>
      <c r="F41" s="629" t="str">
        <f t="shared" ref="F41" ca="1" si="16">IF(OFFSET(S41,0,Lang_Order*Lang__A2)="","",OFFSET(S41,0,Lang_Order*Lang__A2))</f>
        <v>EXCLUDE Social care workers in residential institutions (see A2.2.3)</v>
      </c>
      <c r="G41" s="68"/>
      <c r="H41" s="68"/>
      <c r="I41" s="141"/>
      <c r="J41" s="68"/>
      <c r="K41" s="567"/>
      <c r="L41" s="587"/>
      <c r="M41" s="403"/>
      <c r="N41" s="403"/>
      <c r="O41" s="403"/>
      <c r="P41" s="403"/>
      <c r="Q41" s="403" t="s">
        <v>3090</v>
      </c>
      <c r="R41" s="403"/>
      <c r="S41" s="403" t="s">
        <v>14352</v>
      </c>
      <c r="T41" s="403"/>
      <c r="U41" s="403"/>
      <c r="V41" s="403"/>
      <c r="W41" s="403"/>
      <c r="X41" s="403" t="s">
        <v>197</v>
      </c>
      <c r="Y41" s="403"/>
      <c r="Z41" s="403"/>
      <c r="AA41" s="403"/>
      <c r="AB41" s="403"/>
      <c r="AC41" s="403" t="s">
        <v>6088</v>
      </c>
      <c r="AD41" s="403"/>
      <c r="AE41" s="403" t="s">
        <v>14353</v>
      </c>
      <c r="AF41" s="403"/>
      <c r="AG41" s="403"/>
      <c r="AH41" s="403"/>
      <c r="AI41" s="403"/>
      <c r="AJ41" s="403"/>
      <c r="AK41" s="403"/>
      <c r="AL41" s="403"/>
      <c r="AM41" s="403"/>
      <c r="AN41" s="403"/>
      <c r="AO41" s="403" t="s">
        <v>6089</v>
      </c>
      <c r="AP41" s="403"/>
      <c r="AQ41" s="403" t="s">
        <v>14354</v>
      </c>
      <c r="AR41" s="403"/>
      <c r="AS41" s="403"/>
      <c r="AT41" s="403"/>
      <c r="AU41" s="403"/>
      <c r="AV41" s="403"/>
      <c r="AW41" s="403"/>
      <c r="AX41" s="403"/>
      <c r="AY41" s="403"/>
      <c r="AZ41" s="403"/>
      <c r="BA41" s="403" t="s">
        <v>6090</v>
      </c>
      <c r="BB41" s="403"/>
      <c r="BC41" s="403" t="s">
        <v>14355</v>
      </c>
      <c r="BD41" s="403"/>
      <c r="BE41" s="403"/>
      <c r="BF41" s="403"/>
      <c r="BG41" s="403"/>
      <c r="BH41" s="403"/>
      <c r="BI41" s="403"/>
      <c r="BJ41" s="403"/>
      <c r="BK41" s="403"/>
      <c r="BL41" s="403"/>
      <c r="BM41" s="403" t="s">
        <v>6091</v>
      </c>
      <c r="BN41" s="403"/>
      <c r="BO41" s="403" t="s">
        <v>14356</v>
      </c>
      <c r="BP41" s="403"/>
      <c r="BQ41" s="403"/>
      <c r="BR41" s="403"/>
      <c r="BS41" s="403"/>
      <c r="BT41" s="403"/>
      <c r="BU41" s="403"/>
      <c r="BV41" s="403"/>
      <c r="BW41" s="403"/>
      <c r="BX41" s="403"/>
      <c r="BY41" s="403" t="s">
        <v>6092</v>
      </c>
      <c r="BZ41" s="403"/>
      <c r="CA41" s="403" t="s">
        <v>14357</v>
      </c>
      <c r="CB41" s="403"/>
      <c r="CC41" s="403"/>
      <c r="CD41" s="403"/>
      <c r="CE41" s="403"/>
      <c r="CF41" s="403"/>
      <c r="CG41" s="403"/>
      <c r="CH41" s="403"/>
      <c r="CI41" s="403"/>
      <c r="CJ41" s="403"/>
      <c r="CK41" s="403" t="s">
        <v>6093</v>
      </c>
      <c r="CL41" s="403"/>
      <c r="CM41" s="403" t="s">
        <v>14358</v>
      </c>
      <c r="CN41" s="403"/>
      <c r="CO41" s="403"/>
      <c r="CP41" s="403"/>
      <c r="CQ41" s="403"/>
      <c r="CR41" s="403"/>
      <c r="CS41" s="564"/>
    </row>
    <row r="42" spans="1:97" s="299" customFormat="1" ht="12.75" x14ac:dyDescent="0.2">
      <c r="A42" s="350">
        <v>2</v>
      </c>
      <c r="C42" s="624"/>
      <c r="D42" s="329" t="str">
        <f t="shared" ca="1" si="15"/>
        <v>Health workers engaged in immunization delivery (routine programme-specific and COVID-19)</v>
      </c>
      <c r="E42" s="337"/>
      <c r="F42" s="68"/>
      <c r="G42" s="68"/>
      <c r="H42" s="68"/>
      <c r="I42" s="141"/>
      <c r="J42" s="68"/>
      <c r="K42" s="567"/>
      <c r="L42" s="587"/>
      <c r="M42" s="403"/>
      <c r="N42" s="403"/>
      <c r="O42" s="403"/>
      <c r="P42" s="403"/>
      <c r="Q42" s="403" t="s">
        <v>3092</v>
      </c>
      <c r="R42" s="403"/>
      <c r="S42" s="403"/>
      <c r="T42" s="403"/>
      <c r="U42" s="403"/>
      <c r="V42" s="403"/>
      <c r="W42" s="403"/>
      <c r="X42" s="403" t="s">
        <v>197</v>
      </c>
      <c r="Y42" s="403"/>
      <c r="Z42" s="403"/>
      <c r="AA42" s="403"/>
      <c r="AB42" s="403"/>
      <c r="AC42" s="403" t="s">
        <v>6094</v>
      </c>
      <c r="AD42" s="403"/>
      <c r="AE42" s="403"/>
      <c r="AF42" s="403"/>
      <c r="AG42" s="403"/>
      <c r="AH42" s="403"/>
      <c r="AI42" s="403"/>
      <c r="AJ42" s="403"/>
      <c r="AK42" s="403"/>
      <c r="AL42" s="403"/>
      <c r="AM42" s="403"/>
      <c r="AN42" s="403"/>
      <c r="AO42" s="403" t="s">
        <v>6095</v>
      </c>
      <c r="AP42" s="403"/>
      <c r="AQ42" s="403"/>
      <c r="AR42" s="403"/>
      <c r="AS42" s="403"/>
      <c r="AT42" s="403"/>
      <c r="AU42" s="403"/>
      <c r="AV42" s="403"/>
      <c r="AW42" s="403"/>
      <c r="AX42" s="403"/>
      <c r="AY42" s="403"/>
      <c r="AZ42" s="403"/>
      <c r="BA42" s="403" t="s">
        <v>6096</v>
      </c>
      <c r="BB42" s="403"/>
      <c r="BC42" s="403"/>
      <c r="BD42" s="403"/>
      <c r="BE42" s="403"/>
      <c r="BF42" s="403"/>
      <c r="BG42" s="403"/>
      <c r="BH42" s="403"/>
      <c r="BI42" s="403"/>
      <c r="BJ42" s="403"/>
      <c r="BK42" s="403"/>
      <c r="BL42" s="403"/>
      <c r="BM42" s="403" t="s">
        <v>6097</v>
      </c>
      <c r="BN42" s="403"/>
      <c r="BO42" s="403"/>
      <c r="BP42" s="403"/>
      <c r="BQ42" s="403"/>
      <c r="BR42" s="403"/>
      <c r="BS42" s="403"/>
      <c r="BT42" s="403"/>
      <c r="BU42" s="403"/>
      <c r="BV42" s="403"/>
      <c r="BW42" s="403"/>
      <c r="BX42" s="403"/>
      <c r="BY42" s="403" t="s">
        <v>6098</v>
      </c>
      <c r="BZ42" s="403"/>
      <c r="CA42" s="403"/>
      <c r="CB42" s="403"/>
      <c r="CC42" s="403"/>
      <c r="CD42" s="403"/>
      <c r="CE42" s="403"/>
      <c r="CF42" s="403"/>
      <c r="CG42" s="403"/>
      <c r="CH42" s="403"/>
      <c r="CI42" s="403"/>
      <c r="CJ42" s="403"/>
      <c r="CK42" s="403" t="s">
        <v>6099</v>
      </c>
      <c r="CL42" s="403"/>
      <c r="CM42" s="403"/>
      <c r="CN42" s="403"/>
      <c r="CO42" s="403"/>
      <c r="CP42" s="403"/>
      <c r="CQ42" s="403"/>
      <c r="CR42" s="403"/>
      <c r="CS42" s="564"/>
    </row>
    <row r="43" spans="1:97" s="299" customFormat="1" ht="12.75" x14ac:dyDescent="0.2">
      <c r="A43" s="350">
        <v>2</v>
      </c>
      <c r="C43" s="624"/>
      <c r="D43" s="329" t="str">
        <f t="shared" ca="1" si="15"/>
        <v>Health workers at low to moderate risk of acquiring and transmitting infection</v>
      </c>
      <c r="E43" s="337"/>
      <c r="F43" s="68"/>
      <c r="G43" s="68"/>
      <c r="H43" s="68"/>
      <c r="I43" s="141"/>
      <c r="J43" s="68"/>
      <c r="K43" s="567"/>
      <c r="L43" s="587"/>
      <c r="M43" s="403"/>
      <c r="N43" s="403"/>
      <c r="O43" s="403"/>
      <c r="P43" s="403"/>
      <c r="Q43" s="403" t="s">
        <v>3080</v>
      </c>
      <c r="R43" s="403"/>
      <c r="S43" s="403"/>
      <c r="T43" s="403"/>
      <c r="U43" s="403"/>
      <c r="V43" s="403"/>
      <c r="W43" s="403"/>
      <c r="X43" s="403" t="s">
        <v>197</v>
      </c>
      <c r="Y43" s="403"/>
      <c r="Z43" s="403"/>
      <c r="AA43" s="403"/>
      <c r="AB43" s="403"/>
      <c r="AC43" s="403" t="s">
        <v>6100</v>
      </c>
      <c r="AD43" s="403"/>
      <c r="AE43" s="403"/>
      <c r="AF43" s="403"/>
      <c r="AG43" s="403"/>
      <c r="AH43" s="403"/>
      <c r="AI43" s="403"/>
      <c r="AJ43" s="403"/>
      <c r="AK43" s="403"/>
      <c r="AL43" s="403"/>
      <c r="AM43" s="403"/>
      <c r="AN43" s="403"/>
      <c r="AO43" s="403" t="s">
        <v>6101</v>
      </c>
      <c r="AP43" s="403"/>
      <c r="AQ43" s="403"/>
      <c r="AR43" s="403"/>
      <c r="AS43" s="403"/>
      <c r="AT43" s="403"/>
      <c r="AU43" s="403"/>
      <c r="AV43" s="403"/>
      <c r="AW43" s="403"/>
      <c r="AX43" s="403"/>
      <c r="AY43" s="403"/>
      <c r="AZ43" s="403"/>
      <c r="BA43" s="403" t="s">
        <v>6102</v>
      </c>
      <c r="BB43" s="403"/>
      <c r="BC43" s="403"/>
      <c r="BD43" s="403"/>
      <c r="BE43" s="403"/>
      <c r="BF43" s="403"/>
      <c r="BG43" s="403"/>
      <c r="BH43" s="403"/>
      <c r="BI43" s="403"/>
      <c r="BJ43" s="403"/>
      <c r="BK43" s="403"/>
      <c r="BL43" s="403"/>
      <c r="BM43" s="403" t="s">
        <v>6103</v>
      </c>
      <c r="BN43" s="403"/>
      <c r="BO43" s="403"/>
      <c r="BP43" s="403"/>
      <c r="BQ43" s="403"/>
      <c r="BR43" s="403"/>
      <c r="BS43" s="403"/>
      <c r="BT43" s="403"/>
      <c r="BU43" s="403"/>
      <c r="BV43" s="403"/>
      <c r="BW43" s="403"/>
      <c r="BX43" s="403"/>
      <c r="BY43" s="403" t="s">
        <v>6104</v>
      </c>
      <c r="BZ43" s="403"/>
      <c r="CA43" s="403"/>
      <c r="CB43" s="403"/>
      <c r="CC43" s="403"/>
      <c r="CD43" s="403"/>
      <c r="CE43" s="403"/>
      <c r="CF43" s="403"/>
      <c r="CG43" s="403"/>
      <c r="CH43" s="403"/>
      <c r="CI43" s="403"/>
      <c r="CJ43" s="403"/>
      <c r="CK43" s="403" t="s">
        <v>6105</v>
      </c>
      <c r="CL43" s="403"/>
      <c r="CM43" s="403"/>
      <c r="CN43" s="403"/>
      <c r="CO43" s="403"/>
      <c r="CP43" s="403"/>
      <c r="CQ43" s="403"/>
      <c r="CR43" s="403"/>
      <c r="CS43" s="564"/>
    </row>
    <row r="44" spans="1:97" s="299" customFormat="1" ht="13.5" thickBot="1" x14ac:dyDescent="0.25">
      <c r="A44" s="86"/>
      <c r="C44" s="624"/>
      <c r="D44" s="244" t="str">
        <f t="shared" ca="1" si="15"/>
        <v>Total</v>
      </c>
      <c r="E44" s="338">
        <f>SUM(E41:E43)</f>
        <v>0</v>
      </c>
      <c r="F44" s="603" t="str">
        <f t="shared" ref="F44" ca="1" si="17">IF(OFFSET(S44,0,Lang_Order*Lang__A2)="","",OFFSET(S44,0,Lang_Order*Lang__A2))</f>
        <v>Note: Prioritization / sequencing is specified in B1.2</v>
      </c>
      <c r="G44" s="68"/>
      <c r="H44" s="68"/>
      <c r="I44" s="141"/>
      <c r="J44" s="68"/>
      <c r="K44" s="567"/>
      <c r="L44" s="567"/>
      <c r="M44" s="403"/>
      <c r="N44" s="403"/>
      <c r="O44" s="403"/>
      <c r="P44" s="403"/>
      <c r="Q44" s="403" t="s">
        <v>1605</v>
      </c>
      <c r="R44" s="403"/>
      <c r="S44" s="403" t="s">
        <v>3829</v>
      </c>
      <c r="T44" s="403"/>
      <c r="U44" s="403"/>
      <c r="V44" s="403"/>
      <c r="W44" s="403"/>
      <c r="X44" s="403" t="s">
        <v>197</v>
      </c>
      <c r="Y44" s="403"/>
      <c r="Z44" s="403"/>
      <c r="AA44" s="403"/>
      <c r="AB44" s="403"/>
      <c r="AC44" s="403" t="s">
        <v>1605</v>
      </c>
      <c r="AD44" s="403"/>
      <c r="AE44" s="403" t="s">
        <v>6106</v>
      </c>
      <c r="AF44" s="403"/>
      <c r="AG44" s="403"/>
      <c r="AH44" s="403"/>
      <c r="AI44" s="403"/>
      <c r="AJ44" s="403"/>
      <c r="AK44" s="403"/>
      <c r="AL44" s="403"/>
      <c r="AM44" s="403"/>
      <c r="AN44" s="403"/>
      <c r="AO44" s="403" t="s">
        <v>4676</v>
      </c>
      <c r="AP44" s="403"/>
      <c r="AQ44" s="403" t="s">
        <v>6107</v>
      </c>
      <c r="AR44" s="403"/>
      <c r="AS44" s="403"/>
      <c r="AT44" s="403"/>
      <c r="AU44" s="403"/>
      <c r="AV44" s="403"/>
      <c r="AW44" s="403"/>
      <c r="AX44" s="403"/>
      <c r="AY44" s="403"/>
      <c r="AZ44" s="403"/>
      <c r="BA44" s="403" t="s">
        <v>1605</v>
      </c>
      <c r="BB44" s="403"/>
      <c r="BC44" s="403" t="s">
        <v>6108</v>
      </c>
      <c r="BD44" s="403"/>
      <c r="BE44" s="403"/>
      <c r="BF44" s="403"/>
      <c r="BG44" s="403"/>
      <c r="BH44" s="403"/>
      <c r="BI44" s="403"/>
      <c r="BJ44" s="403"/>
      <c r="BK44" s="403"/>
      <c r="BL44" s="403"/>
      <c r="BM44" s="403" t="s">
        <v>1605</v>
      </c>
      <c r="BN44" s="403"/>
      <c r="BO44" s="403" t="s">
        <v>6109</v>
      </c>
      <c r="BP44" s="403"/>
      <c r="BQ44" s="403"/>
      <c r="BR44" s="403"/>
      <c r="BS44" s="403"/>
      <c r="BT44" s="403"/>
      <c r="BU44" s="403"/>
      <c r="BV44" s="403"/>
      <c r="BW44" s="403"/>
      <c r="BX44" s="403"/>
      <c r="BY44" s="403" t="s">
        <v>4686</v>
      </c>
      <c r="BZ44" s="403"/>
      <c r="CA44" s="403" t="s">
        <v>6110</v>
      </c>
      <c r="CB44" s="403"/>
      <c r="CC44" s="403"/>
      <c r="CD44" s="403"/>
      <c r="CE44" s="403"/>
      <c r="CF44" s="403"/>
      <c r="CG44" s="403"/>
      <c r="CH44" s="403"/>
      <c r="CI44" s="403"/>
      <c r="CJ44" s="403"/>
      <c r="CK44" s="403" t="s">
        <v>6111</v>
      </c>
      <c r="CL44" s="403"/>
      <c r="CM44" s="403" t="s">
        <v>6112</v>
      </c>
      <c r="CN44" s="403"/>
      <c r="CO44" s="403"/>
      <c r="CP44" s="403"/>
      <c r="CQ44" s="403"/>
      <c r="CR44" s="403"/>
      <c r="CS44" s="564"/>
    </row>
    <row r="45" spans="1:97" s="299" customFormat="1" ht="13.5" thickTop="1" x14ac:dyDescent="0.2">
      <c r="A45" s="86"/>
      <c r="B45" s="86"/>
      <c r="C45" s="624"/>
      <c r="D45" s="68"/>
      <c r="E45" s="68"/>
      <c r="F45" s="68"/>
      <c r="G45" s="68"/>
      <c r="H45" s="68"/>
      <c r="I45" s="141"/>
      <c r="J45" s="68"/>
      <c r="K45" s="567"/>
      <c r="L45" s="567"/>
      <c r="M45" s="403"/>
      <c r="N45" s="403"/>
      <c r="O45" s="403"/>
      <c r="P45" s="403"/>
      <c r="Q45" s="403"/>
      <c r="R45" s="403"/>
      <c r="S45" s="403"/>
      <c r="T45" s="403"/>
      <c r="U45" s="403"/>
      <c r="V45" s="403"/>
      <c r="W45" s="403"/>
      <c r="X45" s="403" t="s">
        <v>197</v>
      </c>
      <c r="Y45" s="403"/>
      <c r="Z45" s="403"/>
      <c r="AA45" s="403"/>
      <c r="AB45" s="403"/>
      <c r="AC45" s="403"/>
      <c r="AD45" s="403"/>
      <c r="AE45" s="403"/>
      <c r="AF45" s="403"/>
      <c r="AG45" s="403"/>
      <c r="AH45" s="403"/>
      <c r="AI45" s="403"/>
      <c r="AJ45" s="403"/>
      <c r="AK45" s="403"/>
      <c r="AL45" s="403"/>
      <c r="AM45" s="403"/>
      <c r="AN45" s="403"/>
      <c r="AO45" s="403"/>
      <c r="AP45" s="403"/>
      <c r="AQ45" s="403"/>
      <c r="AR45" s="403"/>
      <c r="AS45" s="403"/>
      <c r="AT45" s="403"/>
      <c r="AU45" s="403"/>
      <c r="AV45" s="403"/>
      <c r="AW45" s="403"/>
      <c r="AX45" s="403"/>
      <c r="AY45" s="403"/>
      <c r="AZ45" s="403"/>
      <c r="BA45" s="403"/>
      <c r="BB45" s="403"/>
      <c r="BC45" s="403"/>
      <c r="BD45" s="403"/>
      <c r="BE45" s="403"/>
      <c r="BF45" s="403"/>
      <c r="BG45" s="403"/>
      <c r="BH45" s="403"/>
      <c r="BI45" s="403"/>
      <c r="BJ45" s="403"/>
      <c r="BK45" s="403"/>
      <c r="BL45" s="403"/>
      <c r="BM45" s="403"/>
      <c r="BN45" s="403"/>
      <c r="BO45" s="403"/>
      <c r="BP45" s="403"/>
      <c r="BQ45" s="403"/>
      <c r="BR45" s="403"/>
      <c r="BS45" s="403"/>
      <c r="BT45" s="403"/>
      <c r="BU45" s="403"/>
      <c r="BV45" s="403"/>
      <c r="BW45" s="403"/>
      <c r="BX45" s="403"/>
      <c r="BY45" s="403"/>
      <c r="BZ45" s="403"/>
      <c r="CA45" s="403"/>
      <c r="CB45" s="403"/>
      <c r="CC45" s="403"/>
      <c r="CD45" s="403"/>
      <c r="CE45" s="403"/>
      <c r="CF45" s="403"/>
      <c r="CG45" s="403"/>
      <c r="CH45" s="403"/>
      <c r="CI45" s="403"/>
      <c r="CJ45" s="403"/>
      <c r="CK45" s="403"/>
      <c r="CL45" s="403"/>
      <c r="CM45" s="403"/>
      <c r="CN45" s="403"/>
      <c r="CO45" s="403"/>
      <c r="CP45" s="403"/>
      <c r="CQ45" s="403"/>
      <c r="CR45" s="403"/>
      <c r="CS45" s="564"/>
    </row>
    <row r="46" spans="1:97" s="299" customFormat="1" ht="12.75" x14ac:dyDescent="0.2">
      <c r="A46" s="86"/>
      <c r="B46" s="86"/>
      <c r="C46" s="624"/>
      <c r="D46" s="683" t="str">
        <f t="shared" ref="D46:D48" ca="1" si="18">IF(OFFSET(Q46,0,Lang_Order*Lang__A2)="","",OFFSET(Q46,0,Lang_Order*Lang__A2))</f>
        <v>Instructions: If the total reflects the NDVP intent, please enter it here either as an absolute population count OR as a percent of total population</v>
      </c>
      <c r="E46" s="683"/>
      <c r="F46" s="683"/>
      <c r="G46" s="683"/>
      <c r="H46" s="683"/>
      <c r="I46" s="683"/>
      <c r="J46" s="68"/>
      <c r="K46" s="567"/>
      <c r="L46" s="567"/>
      <c r="M46" s="403"/>
      <c r="N46" s="403"/>
      <c r="O46" s="403"/>
      <c r="P46" s="403"/>
      <c r="Q46" s="403" t="s">
        <v>4067</v>
      </c>
      <c r="R46" s="403"/>
      <c r="S46" s="403"/>
      <c r="T46" s="403"/>
      <c r="U46" s="403"/>
      <c r="V46" s="403"/>
      <c r="W46" s="403"/>
      <c r="X46" s="403" t="s">
        <v>197</v>
      </c>
      <c r="Y46" s="403"/>
      <c r="Z46" s="403"/>
      <c r="AA46" s="403"/>
      <c r="AB46" s="403"/>
      <c r="AC46" s="403" t="s">
        <v>6113</v>
      </c>
      <c r="AD46" s="403"/>
      <c r="AE46" s="403"/>
      <c r="AF46" s="403"/>
      <c r="AG46" s="403"/>
      <c r="AH46" s="403"/>
      <c r="AI46" s="403"/>
      <c r="AJ46" s="403"/>
      <c r="AK46" s="403"/>
      <c r="AL46" s="403"/>
      <c r="AM46" s="403"/>
      <c r="AN46" s="403"/>
      <c r="AO46" s="403" t="s">
        <v>6114</v>
      </c>
      <c r="AP46" s="403"/>
      <c r="AQ46" s="403"/>
      <c r="AR46" s="403"/>
      <c r="AS46" s="403"/>
      <c r="AT46" s="403"/>
      <c r="AU46" s="403"/>
      <c r="AV46" s="403"/>
      <c r="AW46" s="403"/>
      <c r="AX46" s="403"/>
      <c r="AY46" s="403"/>
      <c r="AZ46" s="403"/>
      <c r="BA46" s="403" t="s">
        <v>6115</v>
      </c>
      <c r="BB46" s="403"/>
      <c r="BC46" s="403"/>
      <c r="BD46" s="403"/>
      <c r="BE46" s="403"/>
      <c r="BF46" s="403"/>
      <c r="BG46" s="403"/>
      <c r="BH46" s="403"/>
      <c r="BI46" s="403"/>
      <c r="BJ46" s="403"/>
      <c r="BK46" s="403"/>
      <c r="BL46" s="403"/>
      <c r="BM46" s="403" t="s">
        <v>6116</v>
      </c>
      <c r="BN46" s="403"/>
      <c r="BO46" s="403"/>
      <c r="BP46" s="403"/>
      <c r="BQ46" s="403"/>
      <c r="BR46" s="403"/>
      <c r="BS46" s="403"/>
      <c r="BT46" s="403"/>
      <c r="BU46" s="403"/>
      <c r="BV46" s="403"/>
      <c r="BW46" s="403"/>
      <c r="BX46" s="403"/>
      <c r="BY46" s="403" t="s">
        <v>6117</v>
      </c>
      <c r="BZ46" s="403"/>
      <c r="CA46" s="403"/>
      <c r="CB46" s="403"/>
      <c r="CC46" s="403"/>
      <c r="CD46" s="403"/>
      <c r="CE46" s="403"/>
      <c r="CF46" s="403"/>
      <c r="CG46" s="403"/>
      <c r="CH46" s="403"/>
      <c r="CI46" s="403"/>
      <c r="CJ46" s="403"/>
      <c r="CK46" s="403" t="s">
        <v>6118</v>
      </c>
      <c r="CL46" s="403"/>
      <c r="CM46" s="403"/>
      <c r="CN46" s="403"/>
      <c r="CO46" s="403"/>
      <c r="CP46" s="403"/>
      <c r="CQ46" s="403"/>
      <c r="CR46" s="403"/>
      <c r="CS46" s="564"/>
    </row>
    <row r="47" spans="1:97" s="15" customFormat="1" ht="12.75" x14ac:dyDescent="0.2">
      <c r="A47" s="349">
        <v>1</v>
      </c>
      <c r="B47" s="86"/>
      <c r="C47" s="92"/>
      <c r="D47" s="7" t="str">
        <f t="shared" ca="1" si="18"/>
        <v>THEREFORE, Health workers … as absolute number OR</v>
      </c>
      <c r="E47" s="362"/>
      <c r="F47" s="680" t="str">
        <f t="shared" ref="F47:F48" ca="1" si="19">IF(OFFSET(S47,0,Lang_Order*Lang__A2)="","",OFFSET(S47,0,Lang_Order*Lang__A2))</f>
        <v>} OR</v>
      </c>
      <c r="G47" s="4" t="str">
        <f>IF(_xlfn.XOR(ISBLANK(E47),ISBLANK(E48)),"OK",Lang_CHECK)</f>
        <v>CHECK</v>
      </c>
      <c r="H47" s="355" t="e">
        <f>E47/(Pop_Total_2021)</f>
        <v>#N/A</v>
      </c>
      <c r="I47" s="141" t="str">
        <f t="shared" ref="I47:I48" ca="1" si="20">IF(OFFSET(V47,0,Lang_Order*Lang__A2)="","",OFFSET(V47,0,Lang_Order*Lang__A2))</f>
        <v>Whole number</v>
      </c>
      <c r="J47" s="68"/>
      <c r="K47" s="567"/>
      <c r="L47" s="587"/>
      <c r="M47" s="403"/>
      <c r="N47" s="403"/>
      <c r="O47" s="403"/>
      <c r="P47" s="403"/>
      <c r="Q47" s="403" t="s">
        <v>4068</v>
      </c>
      <c r="R47" s="403"/>
      <c r="S47" s="403" t="s">
        <v>2876</v>
      </c>
      <c r="T47" s="403"/>
      <c r="U47" s="403"/>
      <c r="V47" s="403" t="s">
        <v>45</v>
      </c>
      <c r="W47" s="403"/>
      <c r="X47" s="403" t="s">
        <v>197</v>
      </c>
      <c r="Y47" s="403"/>
      <c r="Z47" s="403"/>
      <c r="AA47" s="403"/>
      <c r="AB47" s="403"/>
      <c r="AC47" s="403" t="s">
        <v>6119</v>
      </c>
      <c r="AD47" s="403"/>
      <c r="AE47" s="403" t="s">
        <v>6120</v>
      </c>
      <c r="AF47" s="403"/>
      <c r="AG47" s="403"/>
      <c r="AH47" s="403" t="s">
        <v>6121</v>
      </c>
      <c r="AI47" s="403"/>
      <c r="AJ47" s="403"/>
      <c r="AK47" s="403"/>
      <c r="AL47" s="403"/>
      <c r="AM47" s="403"/>
      <c r="AN47" s="403"/>
      <c r="AO47" s="403" t="s">
        <v>6122</v>
      </c>
      <c r="AP47" s="403"/>
      <c r="AQ47" s="403" t="s">
        <v>6123</v>
      </c>
      <c r="AR47" s="403"/>
      <c r="AS47" s="403"/>
      <c r="AT47" s="403" t="s">
        <v>6124</v>
      </c>
      <c r="AU47" s="403"/>
      <c r="AV47" s="403"/>
      <c r="AW47" s="403"/>
      <c r="AX47" s="403"/>
      <c r="AY47" s="403"/>
      <c r="AZ47" s="403"/>
      <c r="BA47" s="403" t="s">
        <v>6125</v>
      </c>
      <c r="BB47" s="403"/>
      <c r="BC47" s="403" t="s">
        <v>6126</v>
      </c>
      <c r="BD47" s="403"/>
      <c r="BE47" s="403"/>
      <c r="BF47" s="403" t="s">
        <v>6127</v>
      </c>
      <c r="BG47" s="403"/>
      <c r="BH47" s="403"/>
      <c r="BI47" s="403"/>
      <c r="BJ47" s="403"/>
      <c r="BK47" s="403"/>
      <c r="BL47" s="403"/>
      <c r="BM47" s="403" t="s">
        <v>6128</v>
      </c>
      <c r="BN47" s="403"/>
      <c r="BO47" s="403" t="s">
        <v>6120</v>
      </c>
      <c r="BP47" s="403"/>
      <c r="BQ47" s="403"/>
      <c r="BR47" s="403" t="s">
        <v>6129</v>
      </c>
      <c r="BS47" s="403"/>
      <c r="BT47" s="403"/>
      <c r="BU47" s="403"/>
      <c r="BV47" s="403"/>
      <c r="BW47" s="403"/>
      <c r="BX47" s="403"/>
      <c r="BY47" s="403" t="s">
        <v>6130</v>
      </c>
      <c r="BZ47" s="403"/>
      <c r="CA47" s="403" t="s">
        <v>6131</v>
      </c>
      <c r="CB47" s="403"/>
      <c r="CC47" s="403"/>
      <c r="CD47" s="403" t="s">
        <v>6132</v>
      </c>
      <c r="CE47" s="403"/>
      <c r="CF47" s="403"/>
      <c r="CG47" s="403"/>
      <c r="CH47" s="403"/>
      <c r="CI47" s="403"/>
      <c r="CJ47" s="403"/>
      <c r="CK47" s="403" t="s">
        <v>6133</v>
      </c>
      <c r="CL47" s="403"/>
      <c r="CM47" s="403" t="s">
        <v>6134</v>
      </c>
      <c r="CN47" s="403"/>
      <c r="CO47" s="403"/>
      <c r="CP47" s="403" t="s">
        <v>6135</v>
      </c>
      <c r="CQ47" s="403"/>
      <c r="CR47" s="403"/>
      <c r="CS47" s="564"/>
    </row>
    <row r="48" spans="1:97" s="15" customFormat="1" ht="12.75" x14ac:dyDescent="0.2">
      <c r="A48" s="349">
        <v>1</v>
      </c>
      <c r="B48" s="86"/>
      <c r="C48" s="625"/>
      <c r="D48" s="7" t="str">
        <f t="shared" ca="1" si="18"/>
        <v>… as percent</v>
      </c>
      <c r="E48" s="363"/>
      <c r="F48" s="680" t="str">
        <f t="shared" ca="1" si="19"/>
        <v/>
      </c>
      <c r="G48" s="4" t="e">
        <f>IF(H48&gt;J48,Lang_CHECK,"OK")</f>
        <v>#N/A</v>
      </c>
      <c r="H48" s="355" t="e">
        <f>IF(ISBLANK(E48),H47,E48)</f>
        <v>#N/A</v>
      </c>
      <c r="I48" s="2" t="str">
        <f t="shared" ca="1" si="20"/>
        <v>Percent of Total Population</v>
      </c>
      <c r="J48" s="405">
        <v>0.1</v>
      </c>
      <c r="K48" s="143" t="str">
        <f t="shared" ca="1" si="13"/>
        <v>EXCLUDE Social care workers in residential institutions; Max 10%</v>
      </c>
      <c r="L48" s="587"/>
      <c r="M48" s="403"/>
      <c r="N48" s="403"/>
      <c r="O48" s="403"/>
      <c r="P48" s="403"/>
      <c r="Q48" s="403" t="s">
        <v>2629</v>
      </c>
      <c r="R48" s="403"/>
      <c r="S48" s="403"/>
      <c r="T48" s="403"/>
      <c r="U48" s="403"/>
      <c r="V48" s="403" t="s">
        <v>40</v>
      </c>
      <c r="W48" s="403"/>
      <c r="X48" s="403" t="s">
        <v>4105</v>
      </c>
      <c r="Y48" s="403"/>
      <c r="Z48" s="403"/>
      <c r="AA48" s="403"/>
      <c r="AB48" s="403"/>
      <c r="AC48" s="403" t="s">
        <v>6136</v>
      </c>
      <c r="AD48" s="403"/>
      <c r="AE48" s="403"/>
      <c r="AF48" s="403"/>
      <c r="AG48" s="403"/>
      <c r="AH48" s="403" t="s">
        <v>6137</v>
      </c>
      <c r="AI48" s="403"/>
      <c r="AJ48" s="403" t="s">
        <v>6138</v>
      </c>
      <c r="AK48" s="403"/>
      <c r="AL48" s="403"/>
      <c r="AM48" s="403"/>
      <c r="AN48" s="403"/>
      <c r="AO48" s="403" t="s">
        <v>6139</v>
      </c>
      <c r="AP48" s="403"/>
      <c r="AQ48" s="403"/>
      <c r="AR48" s="403"/>
      <c r="AS48" s="403"/>
      <c r="AT48" s="403" t="s">
        <v>6140</v>
      </c>
      <c r="AU48" s="403"/>
      <c r="AV48" s="403" t="s">
        <v>6141</v>
      </c>
      <c r="AW48" s="403"/>
      <c r="AX48" s="403"/>
      <c r="AY48" s="403"/>
      <c r="AZ48" s="403"/>
      <c r="BA48" s="403" t="s">
        <v>6142</v>
      </c>
      <c r="BB48" s="403"/>
      <c r="BC48" s="403"/>
      <c r="BD48" s="403"/>
      <c r="BE48" s="403"/>
      <c r="BF48" s="403" t="s">
        <v>6143</v>
      </c>
      <c r="BG48" s="403"/>
      <c r="BH48" s="403" t="s">
        <v>6144</v>
      </c>
      <c r="BI48" s="403"/>
      <c r="BJ48" s="403"/>
      <c r="BK48" s="403"/>
      <c r="BL48" s="403"/>
      <c r="BM48" s="403" t="s">
        <v>6145</v>
      </c>
      <c r="BN48" s="403"/>
      <c r="BO48" s="403"/>
      <c r="BP48" s="403"/>
      <c r="BQ48" s="403"/>
      <c r="BR48" s="403" t="s">
        <v>6146</v>
      </c>
      <c r="BS48" s="403"/>
      <c r="BT48" s="403" t="s">
        <v>6147</v>
      </c>
      <c r="BU48" s="403"/>
      <c r="BV48" s="403"/>
      <c r="BW48" s="403"/>
      <c r="BX48" s="403"/>
      <c r="BY48" s="403" t="s">
        <v>6148</v>
      </c>
      <c r="BZ48" s="403"/>
      <c r="CA48" s="403"/>
      <c r="CB48" s="403"/>
      <c r="CC48" s="403"/>
      <c r="CD48" s="403" t="s">
        <v>6149</v>
      </c>
      <c r="CE48" s="403"/>
      <c r="CF48" s="403" t="s">
        <v>6150</v>
      </c>
      <c r="CG48" s="403"/>
      <c r="CH48" s="403"/>
      <c r="CI48" s="403"/>
      <c r="CJ48" s="403"/>
      <c r="CK48" s="403" t="s">
        <v>6151</v>
      </c>
      <c r="CL48" s="403"/>
      <c r="CM48" s="403"/>
      <c r="CN48" s="403"/>
      <c r="CO48" s="403"/>
      <c r="CP48" s="403" t="s">
        <v>6152</v>
      </c>
      <c r="CQ48" s="403"/>
      <c r="CR48" s="403" t="s">
        <v>6153</v>
      </c>
      <c r="CS48" s="564"/>
    </row>
    <row r="49" spans="1:97" s="15" customFormat="1" ht="12.75" x14ac:dyDescent="0.2">
      <c r="B49" s="85"/>
      <c r="C49" s="626"/>
      <c r="D49" s="68"/>
      <c r="E49" s="356" t="str">
        <f t="shared" ref="E49" ca="1" si="21">IF(OFFSET(R49,0,Lang_Order*Lang__A2)="","",OFFSET(R49,0,Lang_Order*Lang__A2))</f>
        <v>Note: If BOTH absolute number AND percent are completed, percent will be used</v>
      </c>
      <c r="F49" s="68"/>
      <c r="G49" s="68"/>
      <c r="H49" s="68"/>
      <c r="J49" s="68"/>
      <c r="K49" s="567"/>
      <c r="L49" s="567"/>
      <c r="M49" s="403"/>
      <c r="N49" s="403"/>
      <c r="O49" s="403"/>
      <c r="P49" s="403"/>
      <c r="Q49" s="403"/>
      <c r="R49" s="403" t="s">
        <v>3750</v>
      </c>
      <c r="S49" s="403"/>
      <c r="T49" s="403"/>
      <c r="U49" s="403"/>
      <c r="V49" s="403"/>
      <c r="W49" s="403"/>
      <c r="X49" s="403" t="s">
        <v>197</v>
      </c>
      <c r="Y49" s="403"/>
      <c r="Z49" s="403"/>
      <c r="AA49" s="403"/>
      <c r="AB49" s="403"/>
      <c r="AC49" s="403"/>
      <c r="AD49" s="403" t="s">
        <v>6154</v>
      </c>
      <c r="AE49" s="403"/>
      <c r="AF49" s="403"/>
      <c r="AG49" s="403"/>
      <c r="AH49" s="403"/>
      <c r="AI49" s="403"/>
      <c r="AJ49" s="403"/>
      <c r="AK49" s="403"/>
      <c r="AL49" s="403"/>
      <c r="AM49" s="403"/>
      <c r="AN49" s="403"/>
      <c r="AO49" s="403"/>
      <c r="AP49" s="403" t="s">
        <v>6155</v>
      </c>
      <c r="AQ49" s="403"/>
      <c r="AR49" s="403"/>
      <c r="AS49" s="403"/>
      <c r="AT49" s="403"/>
      <c r="AU49" s="403"/>
      <c r="AV49" s="403"/>
      <c r="AW49" s="403"/>
      <c r="AX49" s="403"/>
      <c r="AY49" s="403"/>
      <c r="AZ49" s="403"/>
      <c r="BA49" s="403"/>
      <c r="BB49" s="403" t="s">
        <v>6156</v>
      </c>
      <c r="BC49" s="403"/>
      <c r="BD49" s="403"/>
      <c r="BE49" s="403"/>
      <c r="BF49" s="403"/>
      <c r="BG49" s="403"/>
      <c r="BH49" s="403"/>
      <c r="BI49" s="403"/>
      <c r="BJ49" s="403"/>
      <c r="BK49" s="403"/>
      <c r="BL49" s="403"/>
      <c r="BM49" s="403"/>
      <c r="BN49" s="403" t="s">
        <v>6157</v>
      </c>
      <c r="BO49" s="403"/>
      <c r="BP49" s="403"/>
      <c r="BQ49" s="403"/>
      <c r="BR49" s="403"/>
      <c r="BS49" s="403"/>
      <c r="BT49" s="403"/>
      <c r="BU49" s="403"/>
      <c r="BV49" s="403"/>
      <c r="BW49" s="403"/>
      <c r="BX49" s="403"/>
      <c r="BY49" s="403"/>
      <c r="BZ49" s="403" t="s">
        <v>6158</v>
      </c>
      <c r="CA49" s="403"/>
      <c r="CB49" s="403"/>
      <c r="CC49" s="403"/>
      <c r="CD49" s="403"/>
      <c r="CE49" s="403"/>
      <c r="CF49" s="403"/>
      <c r="CG49" s="403"/>
      <c r="CH49" s="403"/>
      <c r="CI49" s="403"/>
      <c r="CJ49" s="403"/>
      <c r="CK49" s="403"/>
      <c r="CL49" s="403" t="s">
        <v>6159</v>
      </c>
      <c r="CM49" s="403"/>
      <c r="CN49" s="403"/>
      <c r="CO49" s="403"/>
      <c r="CP49" s="403"/>
      <c r="CQ49" s="403"/>
      <c r="CR49" s="403"/>
      <c r="CS49" s="564"/>
    </row>
    <row r="50" spans="1:97" s="299" customFormat="1" ht="12.75" x14ac:dyDescent="0.2">
      <c r="B50" s="85"/>
      <c r="C50" s="626"/>
      <c r="D50" s="477" t="str">
        <f t="shared" ref="D50:F71" ca="1" si="22">IF(OFFSET(Q50,0,Lang_Order*Lang__A2)="","",OFFSET(Q50,0,Lang_Order*Lang__A2))</f>
        <v>NOTE: This population will be vaccinated at fixed sites with cold storage (Delivery Modality 1)</v>
      </c>
      <c r="E50" s="330"/>
      <c r="F50" s="68"/>
      <c r="G50" s="68"/>
      <c r="H50" s="68"/>
      <c r="J50" s="68"/>
      <c r="K50" s="567"/>
      <c r="L50" s="567"/>
      <c r="M50" s="403"/>
      <c r="N50" s="403"/>
      <c r="O50" s="403"/>
      <c r="P50" s="403"/>
      <c r="Q50" s="403" t="s">
        <v>3756</v>
      </c>
      <c r="R50" s="403"/>
      <c r="S50" s="403"/>
      <c r="T50" s="403"/>
      <c r="U50" s="403"/>
      <c r="V50" s="403"/>
      <c r="W50" s="403"/>
      <c r="X50" s="403" t="s">
        <v>197</v>
      </c>
      <c r="Y50" s="403"/>
      <c r="Z50" s="403"/>
      <c r="AA50" s="403"/>
      <c r="AB50" s="403"/>
      <c r="AC50" s="403" t="s">
        <v>6160</v>
      </c>
      <c r="AD50" s="403"/>
      <c r="AE50" s="403"/>
      <c r="AF50" s="403"/>
      <c r="AG50" s="403"/>
      <c r="AH50" s="403"/>
      <c r="AI50" s="403"/>
      <c r="AJ50" s="403"/>
      <c r="AK50" s="403"/>
      <c r="AL50" s="403"/>
      <c r="AM50" s="403"/>
      <c r="AN50" s="403"/>
      <c r="AO50" s="403" t="s">
        <v>6161</v>
      </c>
      <c r="AP50" s="403"/>
      <c r="AQ50" s="403"/>
      <c r="AR50" s="403"/>
      <c r="AS50" s="403"/>
      <c r="AT50" s="403"/>
      <c r="AU50" s="403"/>
      <c r="AV50" s="403"/>
      <c r="AW50" s="403"/>
      <c r="AX50" s="403"/>
      <c r="AY50" s="403"/>
      <c r="AZ50" s="403"/>
      <c r="BA50" s="403" t="s">
        <v>6162</v>
      </c>
      <c r="BB50" s="403"/>
      <c r="BC50" s="403"/>
      <c r="BD50" s="403"/>
      <c r="BE50" s="403"/>
      <c r="BF50" s="403"/>
      <c r="BG50" s="403"/>
      <c r="BH50" s="403"/>
      <c r="BI50" s="403"/>
      <c r="BJ50" s="403"/>
      <c r="BK50" s="403"/>
      <c r="BL50" s="403"/>
      <c r="BM50" s="403" t="s">
        <v>6163</v>
      </c>
      <c r="BN50" s="403"/>
      <c r="BO50" s="403"/>
      <c r="BP50" s="403"/>
      <c r="BQ50" s="403"/>
      <c r="BR50" s="403"/>
      <c r="BS50" s="403"/>
      <c r="BT50" s="403"/>
      <c r="BU50" s="403"/>
      <c r="BV50" s="403"/>
      <c r="BW50" s="403"/>
      <c r="BX50" s="403"/>
      <c r="BY50" s="403" t="s">
        <v>6164</v>
      </c>
      <c r="BZ50" s="403"/>
      <c r="CA50" s="403"/>
      <c r="CB50" s="403"/>
      <c r="CC50" s="403"/>
      <c r="CD50" s="403"/>
      <c r="CE50" s="403"/>
      <c r="CF50" s="403"/>
      <c r="CG50" s="403"/>
      <c r="CH50" s="403"/>
      <c r="CI50" s="403"/>
      <c r="CJ50" s="403"/>
      <c r="CK50" s="403" t="s">
        <v>6165</v>
      </c>
      <c r="CL50" s="403"/>
      <c r="CM50" s="403"/>
      <c r="CN50" s="403"/>
      <c r="CO50" s="403"/>
      <c r="CP50" s="403"/>
      <c r="CQ50" s="403"/>
      <c r="CR50" s="403"/>
      <c r="CS50" s="564"/>
    </row>
    <row r="51" spans="1:97" s="299" customFormat="1" ht="12.75" x14ac:dyDescent="0.2">
      <c r="B51" s="85"/>
      <c r="C51" s="626"/>
      <c r="D51" s="68"/>
      <c r="E51" s="330"/>
      <c r="F51" s="68"/>
      <c r="G51" s="68"/>
      <c r="H51" s="68"/>
      <c r="J51" s="68"/>
      <c r="K51" s="68"/>
      <c r="L51" s="567"/>
      <c r="M51" s="403"/>
      <c r="N51" s="403"/>
      <c r="O51" s="403"/>
      <c r="P51" s="403"/>
      <c r="Q51" s="403"/>
      <c r="R51" s="403"/>
      <c r="S51" s="403"/>
      <c r="T51" s="403"/>
      <c r="U51" s="403"/>
      <c r="V51" s="403"/>
      <c r="W51" s="403"/>
      <c r="X51" s="403" t="s">
        <v>197</v>
      </c>
      <c r="Y51" s="403"/>
      <c r="Z51" s="403"/>
      <c r="AA51" s="403"/>
      <c r="AB51" s="403"/>
      <c r="AC51" s="403"/>
      <c r="AD51" s="403"/>
      <c r="AE51" s="403"/>
      <c r="AF51" s="403"/>
      <c r="AG51" s="403"/>
      <c r="AH51" s="403"/>
      <c r="AI51" s="403"/>
      <c r="AJ51" s="403"/>
      <c r="AK51" s="403"/>
      <c r="AL51" s="403"/>
      <c r="AM51" s="403"/>
      <c r="AN51" s="403"/>
      <c r="AO51" s="403"/>
      <c r="AP51" s="403"/>
      <c r="AQ51" s="403"/>
      <c r="AR51" s="403"/>
      <c r="AS51" s="403"/>
      <c r="AT51" s="403"/>
      <c r="AU51" s="403"/>
      <c r="AV51" s="403"/>
      <c r="AW51" s="403"/>
      <c r="AX51" s="403"/>
      <c r="AY51" s="403"/>
      <c r="AZ51" s="403"/>
      <c r="BA51" s="403"/>
      <c r="BB51" s="403"/>
      <c r="BC51" s="403"/>
      <c r="BD51" s="403"/>
      <c r="BE51" s="403"/>
      <c r="BF51" s="403"/>
      <c r="BG51" s="403"/>
      <c r="BH51" s="403"/>
      <c r="BI51" s="403"/>
      <c r="BJ51" s="403"/>
      <c r="BK51" s="403"/>
      <c r="BL51" s="403"/>
      <c r="BM51" s="403"/>
      <c r="BN51" s="403"/>
      <c r="BO51" s="403"/>
      <c r="BP51" s="403"/>
      <c r="BQ51" s="403"/>
      <c r="BR51" s="403"/>
      <c r="BS51" s="403"/>
      <c r="BT51" s="403"/>
      <c r="BU51" s="403"/>
      <c r="BV51" s="403"/>
      <c r="BW51" s="403"/>
      <c r="BX51" s="403"/>
      <c r="BY51" s="403"/>
      <c r="BZ51" s="403"/>
      <c r="CA51" s="403"/>
      <c r="CB51" s="403"/>
      <c r="CC51" s="403"/>
      <c r="CD51" s="403"/>
      <c r="CE51" s="403"/>
      <c r="CF51" s="403"/>
      <c r="CG51" s="403"/>
      <c r="CH51" s="403"/>
      <c r="CI51" s="403"/>
      <c r="CJ51" s="403"/>
      <c r="CK51" s="403"/>
      <c r="CL51" s="403"/>
      <c r="CM51" s="403"/>
      <c r="CN51" s="403"/>
      <c r="CO51" s="403"/>
      <c r="CP51" s="403"/>
      <c r="CQ51" s="403"/>
      <c r="CR51" s="403"/>
      <c r="CS51" s="564"/>
    </row>
    <row r="52" spans="1:97" s="299" customFormat="1" x14ac:dyDescent="0.25">
      <c r="B52" s="567"/>
      <c r="C52" s="33" t="str">
        <f t="shared" ref="C52" ca="1" si="23">IF(OFFSET(P52,0,Lang_Order*Lang__A2)="","",OFFSET(P52,0,Lang_Order*Lang__A2))</f>
        <v>A2.2.2 Essential workers and related groups | Delivery Modality 1 and/or 2 (Fixed 'campaign' sites without cold storage) - work-based eligibility</v>
      </c>
      <c r="D52" s="144"/>
      <c r="E52" s="144"/>
      <c r="F52" s="144"/>
      <c r="G52" s="144"/>
      <c r="H52" s="144"/>
      <c r="I52" s="8"/>
      <c r="J52" s="144"/>
      <c r="K52" s="144"/>
      <c r="L52" s="144"/>
      <c r="M52" s="403"/>
      <c r="N52" s="403"/>
      <c r="O52" s="403"/>
      <c r="P52" s="403" t="s">
        <v>14359</v>
      </c>
      <c r="Q52" s="403"/>
      <c r="R52" s="403"/>
      <c r="S52" s="403"/>
      <c r="T52" s="403"/>
      <c r="U52" s="403"/>
      <c r="V52" s="403"/>
      <c r="W52" s="403"/>
      <c r="X52" s="403" t="s">
        <v>13980</v>
      </c>
      <c r="Y52" s="403" t="s">
        <v>13981</v>
      </c>
      <c r="Z52" s="403"/>
      <c r="AA52" s="403"/>
      <c r="AB52" s="403" t="s">
        <v>14360</v>
      </c>
      <c r="AC52" s="403"/>
      <c r="AD52" s="403"/>
      <c r="AE52" s="403"/>
      <c r="AF52" s="403"/>
      <c r="AG52" s="403"/>
      <c r="AH52" s="403"/>
      <c r="AI52" s="403"/>
      <c r="AJ52" s="403" t="s">
        <v>14071</v>
      </c>
      <c r="AK52" s="403" t="s">
        <v>14076</v>
      </c>
      <c r="AL52" s="403"/>
      <c r="AM52" s="403"/>
      <c r="AN52" s="403" t="s">
        <v>14361</v>
      </c>
      <c r="AO52" s="403"/>
      <c r="AP52" s="403"/>
      <c r="AQ52" s="403"/>
      <c r="AR52" s="403"/>
      <c r="AS52" s="403"/>
      <c r="AT52" s="403"/>
      <c r="AU52" s="403"/>
      <c r="AV52" s="403" t="s">
        <v>14072</v>
      </c>
      <c r="AW52" s="403" t="s">
        <v>14077</v>
      </c>
      <c r="AX52" s="403"/>
      <c r="AY52" s="403"/>
      <c r="AZ52" s="403" t="s">
        <v>14362</v>
      </c>
      <c r="BA52" s="403"/>
      <c r="BB52" s="403"/>
      <c r="BC52" s="403"/>
      <c r="BD52" s="403"/>
      <c r="BE52" s="403"/>
      <c r="BF52" s="403"/>
      <c r="BG52" s="403"/>
      <c r="BH52" s="403" t="s">
        <v>14073</v>
      </c>
      <c r="BI52" s="403" t="s">
        <v>14078</v>
      </c>
      <c r="BJ52" s="403"/>
      <c r="BK52" s="403"/>
      <c r="BL52" s="403" t="s">
        <v>14363</v>
      </c>
      <c r="BM52" s="403"/>
      <c r="BN52" s="403"/>
      <c r="BO52" s="403"/>
      <c r="BP52" s="403"/>
      <c r="BQ52" s="403"/>
      <c r="BR52" s="403"/>
      <c r="BS52" s="403"/>
      <c r="BT52" s="403" t="s">
        <v>14074</v>
      </c>
      <c r="BU52" s="403" t="s">
        <v>14079</v>
      </c>
      <c r="BV52" s="403"/>
      <c r="BW52" s="403"/>
      <c r="BX52" s="403" t="s">
        <v>14364</v>
      </c>
      <c r="BY52" s="403"/>
      <c r="BZ52" s="403"/>
      <c r="CA52" s="403"/>
      <c r="CB52" s="403"/>
      <c r="CC52" s="403"/>
      <c r="CD52" s="403"/>
      <c r="CE52" s="403"/>
      <c r="CF52" s="403" t="s">
        <v>14075</v>
      </c>
      <c r="CG52" s="403" t="s">
        <v>14080</v>
      </c>
      <c r="CH52" s="403"/>
      <c r="CI52" s="403"/>
      <c r="CJ52" s="403" t="s">
        <v>14365</v>
      </c>
      <c r="CK52" s="403"/>
      <c r="CL52" s="403"/>
      <c r="CM52" s="403"/>
      <c r="CN52" s="403"/>
      <c r="CO52" s="403"/>
      <c r="CP52" s="403"/>
      <c r="CQ52" s="403"/>
      <c r="CR52" s="403" t="s">
        <v>5455</v>
      </c>
      <c r="CS52" s="564" t="s">
        <v>14081</v>
      </c>
    </row>
    <row r="53" spans="1:97" s="299" customFormat="1" ht="31.5" customHeight="1" x14ac:dyDescent="0.2">
      <c r="A53" s="522"/>
      <c r="C53" s="622"/>
      <c r="D53" s="679" t="str">
        <f t="shared" ca="1" si="22"/>
        <v>Instructions: Based on the NDVP/SAGE recommendations, please fill in the total (across all stages I - III) relevant target population, for each population described. Please note that the prioritization of these populations over Stage I-III can be specified later in section B1.2.</v>
      </c>
      <c r="E53" s="679"/>
      <c r="F53" s="679"/>
      <c r="G53" s="679"/>
      <c r="H53" s="679"/>
      <c r="I53" s="679"/>
      <c r="K53" s="567"/>
      <c r="L53" s="567"/>
      <c r="M53" s="403"/>
      <c r="N53" s="403"/>
      <c r="O53" s="403"/>
      <c r="P53" s="403"/>
      <c r="Q53" s="403" t="s">
        <v>4066</v>
      </c>
      <c r="R53" s="403"/>
      <c r="S53" s="403"/>
      <c r="T53" s="403"/>
      <c r="U53" s="403"/>
      <c r="V53" s="403"/>
      <c r="W53" s="403"/>
      <c r="X53" s="403" t="s">
        <v>197</v>
      </c>
      <c r="Y53" s="403"/>
      <c r="Z53" s="403"/>
      <c r="AA53" s="403"/>
      <c r="AB53" s="403"/>
      <c r="AC53" s="403" t="s">
        <v>6166</v>
      </c>
      <c r="AD53" s="403"/>
      <c r="AE53" s="403"/>
      <c r="AF53" s="403"/>
      <c r="AG53" s="403"/>
      <c r="AH53" s="403"/>
      <c r="AI53" s="403"/>
      <c r="AJ53" s="403"/>
      <c r="AK53" s="403"/>
      <c r="AL53" s="403"/>
      <c r="AM53" s="403"/>
      <c r="AN53" s="403"/>
      <c r="AO53" s="403" t="s">
        <v>6167</v>
      </c>
      <c r="AP53" s="403"/>
      <c r="AQ53" s="403"/>
      <c r="AR53" s="403"/>
      <c r="AS53" s="403"/>
      <c r="AT53" s="403"/>
      <c r="AU53" s="403"/>
      <c r="AV53" s="403"/>
      <c r="AW53" s="403"/>
      <c r="AX53" s="403"/>
      <c r="AY53" s="403"/>
      <c r="AZ53" s="403"/>
      <c r="BA53" s="403" t="s">
        <v>6078</v>
      </c>
      <c r="BB53" s="403"/>
      <c r="BC53" s="403"/>
      <c r="BD53" s="403"/>
      <c r="BE53" s="403"/>
      <c r="BF53" s="403"/>
      <c r="BG53" s="403"/>
      <c r="BH53" s="403"/>
      <c r="BI53" s="403"/>
      <c r="BJ53" s="403"/>
      <c r="BK53" s="403"/>
      <c r="BL53" s="403"/>
      <c r="BM53" s="403" t="s">
        <v>6079</v>
      </c>
      <c r="BN53" s="403"/>
      <c r="BO53" s="403"/>
      <c r="BP53" s="403"/>
      <c r="BQ53" s="403"/>
      <c r="BR53" s="403"/>
      <c r="BS53" s="403"/>
      <c r="BT53" s="403"/>
      <c r="BU53" s="403"/>
      <c r="BV53" s="403"/>
      <c r="BW53" s="403"/>
      <c r="BX53" s="403"/>
      <c r="BY53" s="403" t="s">
        <v>6168</v>
      </c>
      <c r="BZ53" s="403"/>
      <c r="CA53" s="403"/>
      <c r="CB53" s="403"/>
      <c r="CC53" s="403"/>
      <c r="CD53" s="403"/>
      <c r="CE53" s="403"/>
      <c r="CF53" s="403"/>
      <c r="CG53" s="403"/>
      <c r="CH53" s="403"/>
      <c r="CI53" s="403"/>
      <c r="CJ53" s="403"/>
      <c r="CK53" s="403" t="s">
        <v>6081</v>
      </c>
      <c r="CL53" s="403"/>
      <c r="CM53" s="403"/>
      <c r="CN53" s="403"/>
      <c r="CO53" s="403"/>
      <c r="CP53" s="403"/>
      <c r="CQ53" s="403"/>
      <c r="CR53" s="403"/>
      <c r="CS53" s="564"/>
    </row>
    <row r="54" spans="1:97" s="299" customFormat="1" ht="12.75" x14ac:dyDescent="0.2">
      <c r="B54" s="85"/>
      <c r="C54" s="626"/>
      <c r="D54" s="476" t="str">
        <f t="shared" ca="1" si="22"/>
        <v>Note: Please do not double count high-risk age groups here</v>
      </c>
      <c r="E54" s="68"/>
      <c r="F54" s="68"/>
      <c r="G54" s="68"/>
      <c r="H54" s="68"/>
      <c r="J54" s="68"/>
      <c r="K54" s="567"/>
      <c r="L54" s="567"/>
      <c r="M54" s="403"/>
      <c r="N54" s="403"/>
      <c r="O54" s="403"/>
      <c r="P54" s="403"/>
      <c r="Q54" s="403" t="s">
        <v>4069</v>
      </c>
      <c r="R54" s="403"/>
      <c r="S54" s="403"/>
      <c r="T54" s="403"/>
      <c r="U54" s="403"/>
      <c r="V54" s="403"/>
      <c r="W54" s="403"/>
      <c r="X54" s="403" t="s">
        <v>197</v>
      </c>
      <c r="Y54" s="403"/>
      <c r="Z54" s="403"/>
      <c r="AA54" s="403"/>
      <c r="AB54" s="403"/>
      <c r="AC54" s="403" t="s">
        <v>6169</v>
      </c>
      <c r="AD54" s="403"/>
      <c r="AE54" s="403"/>
      <c r="AF54" s="403"/>
      <c r="AG54" s="403"/>
      <c r="AH54" s="403"/>
      <c r="AI54" s="403"/>
      <c r="AJ54" s="403"/>
      <c r="AK54" s="403"/>
      <c r="AL54" s="403"/>
      <c r="AM54" s="403"/>
      <c r="AN54" s="403"/>
      <c r="AO54" s="403" t="s">
        <v>6170</v>
      </c>
      <c r="AP54" s="403"/>
      <c r="AQ54" s="403"/>
      <c r="AR54" s="403"/>
      <c r="AS54" s="403"/>
      <c r="AT54" s="403"/>
      <c r="AU54" s="403"/>
      <c r="AV54" s="403"/>
      <c r="AW54" s="403"/>
      <c r="AX54" s="403"/>
      <c r="AY54" s="403"/>
      <c r="AZ54" s="403"/>
      <c r="BA54" s="403" t="s">
        <v>6171</v>
      </c>
      <c r="BB54" s="403"/>
      <c r="BC54" s="403"/>
      <c r="BD54" s="403"/>
      <c r="BE54" s="403"/>
      <c r="BF54" s="403"/>
      <c r="BG54" s="403"/>
      <c r="BH54" s="403"/>
      <c r="BI54" s="403"/>
      <c r="BJ54" s="403"/>
      <c r="BK54" s="403"/>
      <c r="BL54" s="403"/>
      <c r="BM54" s="403" t="s">
        <v>6172</v>
      </c>
      <c r="BN54" s="403"/>
      <c r="BO54" s="403"/>
      <c r="BP54" s="403"/>
      <c r="BQ54" s="403"/>
      <c r="BR54" s="403"/>
      <c r="BS54" s="403"/>
      <c r="BT54" s="403"/>
      <c r="BU54" s="403"/>
      <c r="BV54" s="403"/>
      <c r="BW54" s="403"/>
      <c r="BX54" s="403"/>
      <c r="BY54" s="403" t="s">
        <v>6173</v>
      </c>
      <c r="BZ54" s="403"/>
      <c r="CA54" s="403"/>
      <c r="CB54" s="403"/>
      <c r="CC54" s="403"/>
      <c r="CD54" s="403"/>
      <c r="CE54" s="403"/>
      <c r="CF54" s="403"/>
      <c r="CG54" s="403"/>
      <c r="CH54" s="403"/>
      <c r="CI54" s="403"/>
      <c r="CJ54" s="403"/>
      <c r="CK54" s="403" t="s">
        <v>6174</v>
      </c>
      <c r="CL54" s="403"/>
      <c r="CM54" s="403"/>
      <c r="CN54" s="403"/>
      <c r="CO54" s="403"/>
      <c r="CP54" s="403"/>
      <c r="CQ54" s="403"/>
      <c r="CR54" s="403"/>
      <c r="CS54" s="564"/>
    </row>
    <row r="55" spans="1:97" s="299" customFormat="1" ht="12.75" x14ac:dyDescent="0.2">
      <c r="B55" s="85"/>
      <c r="C55" s="626"/>
      <c r="D55" s="327" t="str">
        <f t="shared" ca="1" si="22"/>
        <v>SAGE Population Description</v>
      </c>
      <c r="E55" s="68"/>
      <c r="G55" s="68"/>
      <c r="H55" s="68"/>
      <c r="J55" s="68"/>
      <c r="K55" s="567"/>
      <c r="L55" s="567"/>
      <c r="M55" s="403"/>
      <c r="N55" s="403"/>
      <c r="O55" s="403"/>
      <c r="P55" s="403"/>
      <c r="Q55" s="403" t="s">
        <v>3748</v>
      </c>
      <c r="R55" s="403"/>
      <c r="S55" s="403"/>
      <c r="T55" s="403"/>
      <c r="U55" s="403"/>
      <c r="V55" s="403"/>
      <c r="W55" s="403"/>
      <c r="X55" s="403" t="s">
        <v>197</v>
      </c>
      <c r="Y55" s="403"/>
      <c r="Z55" s="403"/>
      <c r="AA55" s="403"/>
      <c r="AB55" s="403"/>
      <c r="AC55" s="403" t="s">
        <v>6175</v>
      </c>
      <c r="AD55" s="403"/>
      <c r="AE55" s="403"/>
      <c r="AF55" s="403"/>
      <c r="AG55" s="403"/>
      <c r="AH55" s="403"/>
      <c r="AI55" s="403"/>
      <c r="AJ55" s="403"/>
      <c r="AK55" s="403"/>
      <c r="AL55" s="403"/>
      <c r="AM55" s="403"/>
      <c r="AN55" s="403"/>
      <c r="AO55" s="403" t="s">
        <v>6176</v>
      </c>
      <c r="AP55" s="403"/>
      <c r="AQ55" s="403"/>
      <c r="AR55" s="403"/>
      <c r="AS55" s="403"/>
      <c r="AT55" s="403"/>
      <c r="AU55" s="403"/>
      <c r="AV55" s="403"/>
      <c r="AW55" s="403"/>
      <c r="AX55" s="403"/>
      <c r="AY55" s="403"/>
      <c r="AZ55" s="403"/>
      <c r="BA55" s="403" t="s">
        <v>6084</v>
      </c>
      <c r="BB55" s="403"/>
      <c r="BC55" s="403"/>
      <c r="BD55" s="403"/>
      <c r="BE55" s="403"/>
      <c r="BF55" s="403"/>
      <c r="BG55" s="403"/>
      <c r="BH55" s="403"/>
      <c r="BI55" s="403"/>
      <c r="BJ55" s="403"/>
      <c r="BK55" s="403"/>
      <c r="BL55" s="403"/>
      <c r="BM55" s="403" t="s">
        <v>6085</v>
      </c>
      <c r="BN55" s="403"/>
      <c r="BO55" s="403"/>
      <c r="BP55" s="403"/>
      <c r="BQ55" s="403"/>
      <c r="BR55" s="403"/>
      <c r="BS55" s="403"/>
      <c r="BT55" s="403"/>
      <c r="BU55" s="403"/>
      <c r="BV55" s="403"/>
      <c r="BW55" s="403"/>
      <c r="BX55" s="403"/>
      <c r="BY55" s="403" t="s">
        <v>6177</v>
      </c>
      <c r="BZ55" s="403"/>
      <c r="CA55" s="403"/>
      <c r="CB55" s="403"/>
      <c r="CC55" s="403"/>
      <c r="CD55" s="403"/>
      <c r="CE55" s="403"/>
      <c r="CF55" s="403"/>
      <c r="CG55" s="403"/>
      <c r="CH55" s="403"/>
      <c r="CI55" s="403"/>
      <c r="CJ55" s="403"/>
      <c r="CK55" s="403" t="s">
        <v>6087</v>
      </c>
      <c r="CL55" s="403"/>
      <c r="CM55" s="403"/>
      <c r="CN55" s="403"/>
      <c r="CO55" s="403"/>
      <c r="CP55" s="403"/>
      <c r="CQ55" s="403"/>
      <c r="CR55" s="403"/>
      <c r="CS55" s="564"/>
    </row>
    <row r="56" spans="1:97" s="299" customFormat="1" ht="12.75" x14ac:dyDescent="0.2">
      <c r="A56" s="350">
        <v>2</v>
      </c>
      <c r="B56" s="85"/>
      <c r="C56" s="626"/>
      <c r="D56" s="328" t="str">
        <f t="shared" ca="1" si="22"/>
        <v>Personnel needed for vaccine production and other high-risk laboratory staff</v>
      </c>
      <c r="E56" s="397"/>
      <c r="F56" s="68"/>
      <c r="G56" s="68"/>
      <c r="H56" s="68"/>
      <c r="J56" s="68"/>
      <c r="K56" s="567"/>
      <c r="L56" s="587"/>
      <c r="M56" s="403"/>
      <c r="N56" s="403"/>
      <c r="O56" s="403"/>
      <c r="P56" s="403"/>
      <c r="Q56" s="403" t="s">
        <v>3081</v>
      </c>
      <c r="R56" s="403"/>
      <c r="S56" s="403"/>
      <c r="T56" s="403"/>
      <c r="U56" s="403"/>
      <c r="V56" s="403"/>
      <c r="W56" s="403"/>
      <c r="X56" s="403" t="s">
        <v>197</v>
      </c>
      <c r="Y56" s="403"/>
      <c r="Z56" s="403"/>
      <c r="AA56" s="403"/>
      <c r="AB56" s="403"/>
      <c r="AC56" s="403" t="s">
        <v>6178</v>
      </c>
      <c r="AD56" s="403"/>
      <c r="AE56" s="403"/>
      <c r="AF56" s="403"/>
      <c r="AG56" s="403"/>
      <c r="AH56" s="403"/>
      <c r="AI56" s="403"/>
      <c r="AJ56" s="403"/>
      <c r="AK56" s="403"/>
      <c r="AL56" s="403"/>
      <c r="AM56" s="403"/>
      <c r="AN56" s="403"/>
      <c r="AO56" s="403" t="s">
        <v>6179</v>
      </c>
      <c r="AP56" s="403"/>
      <c r="AQ56" s="403"/>
      <c r="AR56" s="403"/>
      <c r="AS56" s="403"/>
      <c r="AT56" s="403"/>
      <c r="AU56" s="403"/>
      <c r="AV56" s="403"/>
      <c r="AW56" s="403"/>
      <c r="AX56" s="403"/>
      <c r="AY56" s="403"/>
      <c r="AZ56" s="403"/>
      <c r="BA56" s="403" t="s">
        <v>6180</v>
      </c>
      <c r="BB56" s="403"/>
      <c r="BC56" s="403"/>
      <c r="BD56" s="403"/>
      <c r="BE56" s="403"/>
      <c r="BF56" s="403"/>
      <c r="BG56" s="403"/>
      <c r="BH56" s="403"/>
      <c r="BI56" s="403"/>
      <c r="BJ56" s="403"/>
      <c r="BK56" s="403"/>
      <c r="BL56" s="403"/>
      <c r="BM56" s="403" t="s">
        <v>6181</v>
      </c>
      <c r="BN56" s="403"/>
      <c r="BO56" s="403"/>
      <c r="BP56" s="403"/>
      <c r="BQ56" s="403"/>
      <c r="BR56" s="403"/>
      <c r="BS56" s="403"/>
      <c r="BT56" s="403"/>
      <c r="BU56" s="403"/>
      <c r="BV56" s="403"/>
      <c r="BW56" s="403"/>
      <c r="BX56" s="403"/>
      <c r="BY56" s="403" t="s">
        <v>6182</v>
      </c>
      <c r="BZ56" s="403"/>
      <c r="CA56" s="403"/>
      <c r="CB56" s="403"/>
      <c r="CC56" s="403"/>
      <c r="CD56" s="403"/>
      <c r="CE56" s="403"/>
      <c r="CF56" s="403"/>
      <c r="CG56" s="403"/>
      <c r="CH56" s="403"/>
      <c r="CI56" s="403"/>
      <c r="CJ56" s="403"/>
      <c r="CK56" s="403" t="s">
        <v>6183</v>
      </c>
      <c r="CL56" s="403"/>
      <c r="CM56" s="403"/>
      <c r="CN56" s="403"/>
      <c r="CO56" s="403"/>
      <c r="CP56" s="403"/>
      <c r="CQ56" s="403"/>
      <c r="CR56" s="403"/>
      <c r="CS56" s="564"/>
    </row>
    <row r="57" spans="1:97" s="299" customFormat="1" ht="12.75" x14ac:dyDescent="0.2">
      <c r="A57" s="350">
        <v>2</v>
      </c>
      <c r="B57" s="85"/>
      <c r="C57" s="626"/>
      <c r="D57" s="328" t="str">
        <f t="shared" ca="1" si="22"/>
        <v xml:space="preserve">High-priority teachers and school staff </v>
      </c>
      <c r="E57" s="397"/>
      <c r="F57" s="68"/>
      <c r="G57" s="68"/>
      <c r="H57" s="68"/>
      <c r="J57" s="68"/>
      <c r="K57" s="567"/>
      <c r="L57" s="587"/>
      <c r="M57" s="403"/>
      <c r="N57" s="403"/>
      <c r="O57" s="403"/>
      <c r="P57" s="403"/>
      <c r="Q57" s="403" t="s">
        <v>3087</v>
      </c>
      <c r="R57" s="403"/>
      <c r="S57" s="403"/>
      <c r="T57" s="403"/>
      <c r="U57" s="403"/>
      <c r="V57" s="403"/>
      <c r="W57" s="403"/>
      <c r="X57" s="403" t="s">
        <v>197</v>
      </c>
      <c r="Y57" s="403"/>
      <c r="Z57" s="403"/>
      <c r="AA57" s="403"/>
      <c r="AB57" s="403"/>
      <c r="AC57" s="403" t="s">
        <v>6184</v>
      </c>
      <c r="AD57" s="403"/>
      <c r="AE57" s="403"/>
      <c r="AF57" s="403"/>
      <c r="AG57" s="403"/>
      <c r="AH57" s="403"/>
      <c r="AI57" s="403"/>
      <c r="AJ57" s="403"/>
      <c r="AK57" s="403"/>
      <c r="AL57" s="403"/>
      <c r="AM57" s="403"/>
      <c r="AN57" s="403"/>
      <c r="AO57" s="403" t="s">
        <v>6185</v>
      </c>
      <c r="AP57" s="403"/>
      <c r="AQ57" s="403"/>
      <c r="AR57" s="403"/>
      <c r="AS57" s="403"/>
      <c r="AT57" s="403"/>
      <c r="AU57" s="403"/>
      <c r="AV57" s="403"/>
      <c r="AW57" s="403"/>
      <c r="AX57" s="403"/>
      <c r="AY57" s="403"/>
      <c r="AZ57" s="403"/>
      <c r="BA57" s="403" t="s">
        <v>6186</v>
      </c>
      <c r="BB57" s="403"/>
      <c r="BC57" s="403"/>
      <c r="BD57" s="403"/>
      <c r="BE57" s="403"/>
      <c r="BF57" s="403"/>
      <c r="BG57" s="403"/>
      <c r="BH57" s="403"/>
      <c r="BI57" s="403"/>
      <c r="BJ57" s="403"/>
      <c r="BK57" s="403"/>
      <c r="BL57" s="403"/>
      <c r="BM57" s="403" t="s">
        <v>6187</v>
      </c>
      <c r="BN57" s="403"/>
      <c r="BO57" s="403"/>
      <c r="BP57" s="403"/>
      <c r="BQ57" s="403"/>
      <c r="BR57" s="403"/>
      <c r="BS57" s="403"/>
      <c r="BT57" s="403"/>
      <c r="BU57" s="403"/>
      <c r="BV57" s="403"/>
      <c r="BW57" s="403"/>
      <c r="BX57" s="403"/>
      <c r="BY57" s="403" t="s">
        <v>6188</v>
      </c>
      <c r="BZ57" s="403"/>
      <c r="CA57" s="403"/>
      <c r="CB57" s="403"/>
      <c r="CC57" s="403"/>
      <c r="CD57" s="403"/>
      <c r="CE57" s="403"/>
      <c r="CF57" s="403"/>
      <c r="CG57" s="403"/>
      <c r="CH57" s="403"/>
      <c r="CI57" s="403"/>
      <c r="CJ57" s="403"/>
      <c r="CK57" s="403" t="s">
        <v>6189</v>
      </c>
      <c r="CL57" s="403"/>
      <c r="CM57" s="403"/>
      <c r="CN57" s="403"/>
      <c r="CO57" s="403"/>
      <c r="CP57" s="403"/>
      <c r="CQ57" s="403"/>
      <c r="CR57" s="403"/>
      <c r="CS57" s="564"/>
    </row>
    <row r="58" spans="1:97" s="299" customFormat="1" ht="12.75" x14ac:dyDescent="0.2">
      <c r="A58" s="350">
        <v>2</v>
      </c>
      <c r="B58" s="85"/>
      <c r="C58" s="626"/>
      <c r="D58" s="328" t="str">
        <f t="shared" ca="1" si="22"/>
        <v xml:space="preserve">Low-priority teachers and school staff </v>
      </c>
      <c r="E58" s="397"/>
      <c r="F58" s="68"/>
      <c r="G58" s="68"/>
      <c r="H58" s="68"/>
      <c r="J58" s="68"/>
      <c r="K58" s="567"/>
      <c r="L58" s="587"/>
      <c r="M58" s="403"/>
      <c r="N58" s="403"/>
      <c r="O58" s="403"/>
      <c r="P58" s="403"/>
      <c r="Q58" s="403" t="s">
        <v>3083</v>
      </c>
      <c r="R58" s="403"/>
      <c r="S58" s="403"/>
      <c r="T58" s="403"/>
      <c r="U58" s="403"/>
      <c r="V58" s="403"/>
      <c r="W58" s="403"/>
      <c r="X58" s="403" t="s">
        <v>197</v>
      </c>
      <c r="Y58" s="403"/>
      <c r="Z58" s="403"/>
      <c r="AA58" s="403"/>
      <c r="AB58" s="403"/>
      <c r="AC58" s="403" t="s">
        <v>6190</v>
      </c>
      <c r="AD58" s="403"/>
      <c r="AE58" s="403"/>
      <c r="AF58" s="403"/>
      <c r="AG58" s="403"/>
      <c r="AH58" s="403"/>
      <c r="AI58" s="403"/>
      <c r="AJ58" s="403"/>
      <c r="AK58" s="403"/>
      <c r="AL58" s="403"/>
      <c r="AM58" s="403"/>
      <c r="AN58" s="403"/>
      <c r="AO58" s="403" t="s">
        <v>6191</v>
      </c>
      <c r="AP58" s="403"/>
      <c r="AQ58" s="403"/>
      <c r="AR58" s="403"/>
      <c r="AS58" s="403"/>
      <c r="AT58" s="403"/>
      <c r="AU58" s="403"/>
      <c r="AV58" s="403"/>
      <c r="AW58" s="403"/>
      <c r="AX58" s="403"/>
      <c r="AY58" s="403"/>
      <c r="AZ58" s="403"/>
      <c r="BA58" s="403" t="s">
        <v>6192</v>
      </c>
      <c r="BB58" s="403"/>
      <c r="BC58" s="403"/>
      <c r="BD58" s="403"/>
      <c r="BE58" s="403"/>
      <c r="BF58" s="403"/>
      <c r="BG58" s="403"/>
      <c r="BH58" s="403"/>
      <c r="BI58" s="403"/>
      <c r="BJ58" s="403"/>
      <c r="BK58" s="403"/>
      <c r="BL58" s="403"/>
      <c r="BM58" s="403" t="s">
        <v>6193</v>
      </c>
      <c r="BN58" s="403"/>
      <c r="BO58" s="403"/>
      <c r="BP58" s="403"/>
      <c r="BQ58" s="403"/>
      <c r="BR58" s="403"/>
      <c r="BS58" s="403"/>
      <c r="BT58" s="403"/>
      <c r="BU58" s="403"/>
      <c r="BV58" s="403"/>
      <c r="BW58" s="403"/>
      <c r="BX58" s="403"/>
      <c r="BY58" s="403" t="s">
        <v>6194</v>
      </c>
      <c r="BZ58" s="403"/>
      <c r="CA58" s="403"/>
      <c r="CB58" s="403"/>
      <c r="CC58" s="403"/>
      <c r="CD58" s="403"/>
      <c r="CE58" s="403"/>
      <c r="CF58" s="403"/>
      <c r="CG58" s="403"/>
      <c r="CH58" s="403"/>
      <c r="CI58" s="403"/>
      <c r="CJ58" s="403"/>
      <c r="CK58" s="403" t="s">
        <v>6195</v>
      </c>
      <c r="CL58" s="403"/>
      <c r="CM58" s="403"/>
      <c r="CN58" s="403"/>
      <c r="CO58" s="403"/>
      <c r="CP58" s="403"/>
      <c r="CQ58" s="403"/>
      <c r="CR58" s="403"/>
      <c r="CS58" s="564"/>
    </row>
    <row r="59" spans="1:97" s="299" customFormat="1" ht="12.75" x14ac:dyDescent="0.2">
      <c r="A59" s="350">
        <v>2</v>
      </c>
      <c r="B59" s="85"/>
      <c r="C59" s="626"/>
      <c r="D59" s="328" t="str">
        <f t="shared" ca="1" si="22"/>
        <v>Remaining teachers and school staff.</v>
      </c>
      <c r="E59" s="397"/>
      <c r="F59" s="68"/>
      <c r="G59" s="68"/>
      <c r="H59" s="68"/>
      <c r="J59" s="68"/>
      <c r="K59" s="567"/>
      <c r="L59" s="587"/>
      <c r="M59" s="403"/>
      <c r="N59" s="403"/>
      <c r="O59" s="403"/>
      <c r="P59" s="403"/>
      <c r="Q59" s="403" t="s">
        <v>3093</v>
      </c>
      <c r="R59" s="403"/>
      <c r="S59" s="403"/>
      <c r="T59" s="403"/>
      <c r="U59" s="403"/>
      <c r="V59" s="403"/>
      <c r="W59" s="403"/>
      <c r="X59" s="403" t="s">
        <v>197</v>
      </c>
      <c r="Y59" s="403"/>
      <c r="Z59" s="403"/>
      <c r="AA59" s="403"/>
      <c r="AB59" s="403"/>
      <c r="AC59" s="403" t="s">
        <v>6196</v>
      </c>
      <c r="AD59" s="403"/>
      <c r="AE59" s="403"/>
      <c r="AF59" s="403"/>
      <c r="AG59" s="403"/>
      <c r="AH59" s="403"/>
      <c r="AI59" s="403"/>
      <c r="AJ59" s="403"/>
      <c r="AK59" s="403"/>
      <c r="AL59" s="403"/>
      <c r="AM59" s="403"/>
      <c r="AN59" s="403"/>
      <c r="AO59" s="403" t="s">
        <v>6197</v>
      </c>
      <c r="AP59" s="403"/>
      <c r="AQ59" s="403"/>
      <c r="AR59" s="403"/>
      <c r="AS59" s="403"/>
      <c r="AT59" s="403"/>
      <c r="AU59" s="403"/>
      <c r="AV59" s="403"/>
      <c r="AW59" s="403"/>
      <c r="AX59" s="403"/>
      <c r="AY59" s="403"/>
      <c r="AZ59" s="403"/>
      <c r="BA59" s="403" t="s">
        <v>6198</v>
      </c>
      <c r="BB59" s="403"/>
      <c r="BC59" s="403"/>
      <c r="BD59" s="403"/>
      <c r="BE59" s="403"/>
      <c r="BF59" s="403"/>
      <c r="BG59" s="403"/>
      <c r="BH59" s="403"/>
      <c r="BI59" s="403"/>
      <c r="BJ59" s="403"/>
      <c r="BK59" s="403"/>
      <c r="BL59" s="403"/>
      <c r="BM59" s="403" t="s">
        <v>6199</v>
      </c>
      <c r="BN59" s="403"/>
      <c r="BO59" s="403"/>
      <c r="BP59" s="403"/>
      <c r="BQ59" s="403"/>
      <c r="BR59" s="403"/>
      <c r="BS59" s="403"/>
      <c r="BT59" s="403"/>
      <c r="BU59" s="403"/>
      <c r="BV59" s="403"/>
      <c r="BW59" s="403"/>
      <c r="BX59" s="403"/>
      <c r="BY59" s="403" t="s">
        <v>6200</v>
      </c>
      <c r="BZ59" s="403"/>
      <c r="CA59" s="403"/>
      <c r="CB59" s="403"/>
      <c r="CC59" s="403"/>
      <c r="CD59" s="403"/>
      <c r="CE59" s="403"/>
      <c r="CF59" s="403"/>
      <c r="CG59" s="403"/>
      <c r="CH59" s="403"/>
      <c r="CI59" s="403"/>
      <c r="CJ59" s="403"/>
      <c r="CK59" s="403" t="s">
        <v>6201</v>
      </c>
      <c r="CL59" s="403"/>
      <c r="CM59" s="403"/>
      <c r="CN59" s="403"/>
      <c r="CO59" s="403"/>
      <c r="CP59" s="403"/>
      <c r="CQ59" s="403"/>
      <c r="CR59" s="403"/>
      <c r="CS59" s="564"/>
    </row>
    <row r="60" spans="1:97" s="299" customFormat="1" ht="38.25" x14ac:dyDescent="0.2">
      <c r="A60" s="350">
        <v>2</v>
      </c>
      <c r="B60" s="85"/>
      <c r="C60" s="626"/>
      <c r="D60" s="328" t="str">
        <f t="shared" ca="1" si="22"/>
        <v xml:space="preserve">Other essential workers outside health and education sectors (examples: police officers, municipal services, child-care providers, agriculture and food workers, transportation workers, government workers essential to critical functioning of the state not covered by other categories). </v>
      </c>
      <c r="E60" s="397"/>
      <c r="F60" s="68"/>
      <c r="G60" s="68"/>
      <c r="H60" s="68"/>
      <c r="J60" s="68"/>
      <c r="K60" s="567"/>
      <c r="L60" s="587"/>
      <c r="M60" s="403"/>
      <c r="N60" s="403"/>
      <c r="O60" s="403"/>
      <c r="P60" s="403"/>
      <c r="Q60" s="403" t="s">
        <v>3094</v>
      </c>
      <c r="R60" s="403"/>
      <c r="S60" s="403"/>
      <c r="T60" s="403"/>
      <c r="U60" s="403"/>
      <c r="V60" s="403"/>
      <c r="W60" s="403"/>
      <c r="X60" s="403" t="s">
        <v>197</v>
      </c>
      <c r="Y60" s="403"/>
      <c r="Z60" s="403"/>
      <c r="AA60" s="403"/>
      <c r="AB60" s="403"/>
      <c r="AC60" s="403" t="s">
        <v>6202</v>
      </c>
      <c r="AD60" s="403"/>
      <c r="AE60" s="403"/>
      <c r="AF60" s="403"/>
      <c r="AG60" s="403"/>
      <c r="AH60" s="403"/>
      <c r="AI60" s="403"/>
      <c r="AJ60" s="403"/>
      <c r="AK60" s="403"/>
      <c r="AL60" s="403"/>
      <c r="AM60" s="403"/>
      <c r="AN60" s="403"/>
      <c r="AO60" s="403" t="s">
        <v>6203</v>
      </c>
      <c r="AP60" s="403"/>
      <c r="AQ60" s="403"/>
      <c r="AR60" s="403"/>
      <c r="AS60" s="403"/>
      <c r="AT60" s="403"/>
      <c r="AU60" s="403"/>
      <c r="AV60" s="403"/>
      <c r="AW60" s="403"/>
      <c r="AX60" s="403"/>
      <c r="AY60" s="403"/>
      <c r="AZ60" s="403"/>
      <c r="BA60" s="403" t="s">
        <v>6204</v>
      </c>
      <c r="BB60" s="403"/>
      <c r="BC60" s="403"/>
      <c r="BD60" s="403"/>
      <c r="BE60" s="403"/>
      <c r="BF60" s="403"/>
      <c r="BG60" s="403"/>
      <c r="BH60" s="403"/>
      <c r="BI60" s="403"/>
      <c r="BJ60" s="403"/>
      <c r="BK60" s="403"/>
      <c r="BL60" s="403"/>
      <c r="BM60" s="403" t="s">
        <v>6205</v>
      </c>
      <c r="BN60" s="403"/>
      <c r="BO60" s="403"/>
      <c r="BP60" s="403"/>
      <c r="BQ60" s="403"/>
      <c r="BR60" s="403"/>
      <c r="BS60" s="403"/>
      <c r="BT60" s="403"/>
      <c r="BU60" s="403"/>
      <c r="BV60" s="403"/>
      <c r="BW60" s="403"/>
      <c r="BX60" s="403"/>
      <c r="BY60" s="403" t="s">
        <v>6206</v>
      </c>
      <c r="BZ60" s="403"/>
      <c r="CA60" s="403"/>
      <c r="CB60" s="403"/>
      <c r="CC60" s="403"/>
      <c r="CD60" s="403"/>
      <c r="CE60" s="403"/>
      <c r="CF60" s="403"/>
      <c r="CG60" s="403"/>
      <c r="CH60" s="403"/>
      <c r="CI60" s="403"/>
      <c r="CJ60" s="403"/>
      <c r="CK60" s="403" t="s">
        <v>6207</v>
      </c>
      <c r="CL60" s="403"/>
      <c r="CM60" s="403"/>
      <c r="CN60" s="403"/>
      <c r="CO60" s="403"/>
      <c r="CP60" s="403"/>
      <c r="CQ60" s="403"/>
      <c r="CR60" s="403"/>
      <c r="CS60" s="564"/>
    </row>
    <row r="61" spans="1:97" s="299" customFormat="1" ht="12.75" x14ac:dyDescent="0.2">
      <c r="A61" s="350">
        <v>2</v>
      </c>
      <c r="B61" s="85"/>
      <c r="C61" s="626"/>
      <c r="D61" s="328" t="str">
        <f t="shared" ca="1" si="22"/>
        <v xml:space="preserve">Border protection staff screening for imported cases and workers for outbreak management </v>
      </c>
      <c r="E61" s="397"/>
      <c r="F61" s="68"/>
      <c r="G61" s="68"/>
      <c r="H61" s="68"/>
      <c r="J61" s="68"/>
      <c r="K61" s="567"/>
      <c r="L61" s="587"/>
      <c r="M61" s="403"/>
      <c r="N61" s="403"/>
      <c r="O61" s="403"/>
      <c r="P61" s="403"/>
      <c r="Q61" s="403" t="s">
        <v>3084</v>
      </c>
      <c r="R61" s="403"/>
      <c r="S61" s="403"/>
      <c r="T61" s="403"/>
      <c r="U61" s="403"/>
      <c r="V61" s="403"/>
      <c r="W61" s="403"/>
      <c r="X61" s="403" t="s">
        <v>197</v>
      </c>
      <c r="Y61" s="403"/>
      <c r="Z61" s="403"/>
      <c r="AA61" s="403"/>
      <c r="AB61" s="403"/>
      <c r="AC61" s="403" t="s">
        <v>6208</v>
      </c>
      <c r="AD61" s="403"/>
      <c r="AE61" s="403"/>
      <c r="AF61" s="403"/>
      <c r="AG61" s="403"/>
      <c r="AH61" s="403"/>
      <c r="AI61" s="403"/>
      <c r="AJ61" s="403"/>
      <c r="AK61" s="403"/>
      <c r="AL61" s="403"/>
      <c r="AM61" s="403"/>
      <c r="AN61" s="403"/>
      <c r="AO61" s="403" t="s">
        <v>6209</v>
      </c>
      <c r="AP61" s="403"/>
      <c r="AQ61" s="403"/>
      <c r="AR61" s="403"/>
      <c r="AS61" s="403"/>
      <c r="AT61" s="403"/>
      <c r="AU61" s="403"/>
      <c r="AV61" s="403"/>
      <c r="AW61" s="403"/>
      <c r="AX61" s="403"/>
      <c r="AY61" s="403"/>
      <c r="AZ61" s="403"/>
      <c r="BA61" s="403" t="s">
        <v>6210</v>
      </c>
      <c r="BB61" s="403"/>
      <c r="BC61" s="403"/>
      <c r="BD61" s="403"/>
      <c r="BE61" s="403"/>
      <c r="BF61" s="403"/>
      <c r="BG61" s="403"/>
      <c r="BH61" s="403"/>
      <c r="BI61" s="403"/>
      <c r="BJ61" s="403"/>
      <c r="BK61" s="403"/>
      <c r="BL61" s="403"/>
      <c r="BM61" s="403" t="s">
        <v>6211</v>
      </c>
      <c r="BN61" s="403"/>
      <c r="BO61" s="403"/>
      <c r="BP61" s="403"/>
      <c r="BQ61" s="403"/>
      <c r="BR61" s="403"/>
      <c r="BS61" s="403"/>
      <c r="BT61" s="403"/>
      <c r="BU61" s="403"/>
      <c r="BV61" s="403"/>
      <c r="BW61" s="403"/>
      <c r="BX61" s="403"/>
      <c r="BY61" s="403" t="s">
        <v>6212</v>
      </c>
      <c r="BZ61" s="403"/>
      <c r="CA61" s="403"/>
      <c r="CB61" s="403"/>
      <c r="CC61" s="403"/>
      <c r="CD61" s="403"/>
      <c r="CE61" s="403"/>
      <c r="CF61" s="403"/>
      <c r="CG61" s="403"/>
      <c r="CH61" s="403"/>
      <c r="CI61" s="403"/>
      <c r="CJ61" s="403"/>
      <c r="CK61" s="403" t="s">
        <v>6213</v>
      </c>
      <c r="CL61" s="403"/>
      <c r="CM61" s="403"/>
      <c r="CN61" s="403"/>
      <c r="CO61" s="403"/>
      <c r="CP61" s="403"/>
      <c r="CQ61" s="403"/>
      <c r="CR61" s="403"/>
      <c r="CS61" s="564"/>
    </row>
    <row r="62" spans="1:97" s="299" customFormat="1" ht="25.5" x14ac:dyDescent="0.2">
      <c r="A62" s="350">
        <v>2</v>
      </c>
      <c r="B62" s="85"/>
      <c r="C62" s="626"/>
      <c r="D62" s="328" t="str">
        <f t="shared" ca="1" si="22"/>
        <v>Essential travellers at risk for acquiring infection outside the home country and reintroducing infection upon return to home country</v>
      </c>
      <c r="E62" s="397"/>
      <c r="F62" s="68"/>
      <c r="G62" s="68"/>
      <c r="H62" s="68"/>
      <c r="J62" s="68"/>
      <c r="K62" s="567"/>
      <c r="L62" s="587"/>
      <c r="M62" s="403"/>
      <c r="N62" s="403"/>
      <c r="O62" s="403"/>
      <c r="P62" s="403"/>
      <c r="Q62" s="403" t="s">
        <v>3088</v>
      </c>
      <c r="R62" s="403"/>
      <c r="S62" s="403"/>
      <c r="T62" s="403"/>
      <c r="U62" s="403"/>
      <c r="V62" s="403"/>
      <c r="W62" s="403"/>
      <c r="X62" s="403" t="s">
        <v>197</v>
      </c>
      <c r="Y62" s="403"/>
      <c r="Z62" s="403"/>
      <c r="AA62" s="403"/>
      <c r="AB62" s="403"/>
      <c r="AC62" s="403" t="s">
        <v>6214</v>
      </c>
      <c r="AD62" s="403"/>
      <c r="AE62" s="403"/>
      <c r="AF62" s="403"/>
      <c r="AG62" s="403"/>
      <c r="AH62" s="403"/>
      <c r="AI62" s="403"/>
      <c r="AJ62" s="403"/>
      <c r="AK62" s="403"/>
      <c r="AL62" s="403"/>
      <c r="AM62" s="403"/>
      <c r="AN62" s="403"/>
      <c r="AO62" s="403" t="s">
        <v>6215</v>
      </c>
      <c r="AP62" s="403"/>
      <c r="AQ62" s="403"/>
      <c r="AR62" s="403"/>
      <c r="AS62" s="403"/>
      <c r="AT62" s="403"/>
      <c r="AU62" s="403"/>
      <c r="AV62" s="403"/>
      <c r="AW62" s="403"/>
      <c r="AX62" s="403"/>
      <c r="AY62" s="403"/>
      <c r="AZ62" s="403"/>
      <c r="BA62" s="403" t="s">
        <v>6216</v>
      </c>
      <c r="BB62" s="403"/>
      <c r="BC62" s="403"/>
      <c r="BD62" s="403"/>
      <c r="BE62" s="403"/>
      <c r="BF62" s="403"/>
      <c r="BG62" s="403"/>
      <c r="BH62" s="403"/>
      <c r="BI62" s="403"/>
      <c r="BJ62" s="403"/>
      <c r="BK62" s="403"/>
      <c r="BL62" s="403"/>
      <c r="BM62" s="403" t="s">
        <v>6217</v>
      </c>
      <c r="BN62" s="403"/>
      <c r="BO62" s="403"/>
      <c r="BP62" s="403"/>
      <c r="BQ62" s="403"/>
      <c r="BR62" s="403"/>
      <c r="BS62" s="403"/>
      <c r="BT62" s="403"/>
      <c r="BU62" s="403"/>
      <c r="BV62" s="403"/>
      <c r="BW62" s="403"/>
      <c r="BX62" s="403"/>
      <c r="BY62" s="403" t="s">
        <v>6218</v>
      </c>
      <c r="BZ62" s="403"/>
      <c r="CA62" s="403"/>
      <c r="CB62" s="403"/>
      <c r="CC62" s="403"/>
      <c r="CD62" s="403"/>
      <c r="CE62" s="403"/>
      <c r="CF62" s="403"/>
      <c r="CG62" s="403"/>
      <c r="CH62" s="403"/>
      <c r="CI62" s="403"/>
      <c r="CJ62" s="403"/>
      <c r="CK62" s="403" t="s">
        <v>6219</v>
      </c>
      <c r="CL62" s="403"/>
      <c r="CM62" s="403"/>
      <c r="CN62" s="403"/>
      <c r="CO62" s="403"/>
      <c r="CP62" s="403"/>
      <c r="CQ62" s="403"/>
      <c r="CR62" s="403"/>
      <c r="CS62" s="564"/>
    </row>
    <row r="63" spans="1:97" s="299" customFormat="1" ht="25.5" x14ac:dyDescent="0.2">
      <c r="A63" s="350">
        <v>2</v>
      </c>
      <c r="B63" s="85"/>
      <c r="C63" s="626"/>
      <c r="D63" s="328" t="str">
        <f t="shared" ca="1" si="22"/>
        <v>All travellers at risk for acquiring infection outside the home country and reintroducing infection upon return to home country.</v>
      </c>
      <c r="E63" s="397"/>
      <c r="F63" s="68"/>
      <c r="G63" s="68"/>
      <c r="H63" s="68"/>
      <c r="J63" s="68"/>
      <c r="K63" s="567"/>
      <c r="L63" s="587"/>
      <c r="M63" s="403"/>
      <c r="N63" s="403"/>
      <c r="O63" s="403"/>
      <c r="P63" s="403"/>
      <c r="Q63" s="403" t="s">
        <v>3085</v>
      </c>
      <c r="R63" s="403"/>
      <c r="S63" s="403"/>
      <c r="T63" s="403"/>
      <c r="U63" s="403"/>
      <c r="V63" s="403"/>
      <c r="W63" s="403"/>
      <c r="X63" s="403" t="s">
        <v>197</v>
      </c>
      <c r="Y63" s="403"/>
      <c r="Z63" s="403"/>
      <c r="AA63" s="403"/>
      <c r="AB63" s="403"/>
      <c r="AC63" s="403" t="s">
        <v>6220</v>
      </c>
      <c r="AD63" s="403"/>
      <c r="AE63" s="403"/>
      <c r="AF63" s="403"/>
      <c r="AG63" s="403"/>
      <c r="AH63" s="403"/>
      <c r="AI63" s="403"/>
      <c r="AJ63" s="403"/>
      <c r="AK63" s="403"/>
      <c r="AL63" s="403"/>
      <c r="AM63" s="403"/>
      <c r="AN63" s="403"/>
      <c r="AO63" s="403" t="s">
        <v>6221</v>
      </c>
      <c r="AP63" s="403"/>
      <c r="AQ63" s="403"/>
      <c r="AR63" s="403"/>
      <c r="AS63" s="403"/>
      <c r="AT63" s="403"/>
      <c r="AU63" s="403"/>
      <c r="AV63" s="403"/>
      <c r="AW63" s="403"/>
      <c r="AX63" s="403"/>
      <c r="AY63" s="403"/>
      <c r="AZ63" s="403"/>
      <c r="BA63" s="403" t="s">
        <v>6222</v>
      </c>
      <c r="BB63" s="403"/>
      <c r="BC63" s="403"/>
      <c r="BD63" s="403"/>
      <c r="BE63" s="403"/>
      <c r="BF63" s="403"/>
      <c r="BG63" s="403"/>
      <c r="BH63" s="403"/>
      <c r="BI63" s="403"/>
      <c r="BJ63" s="403"/>
      <c r="BK63" s="403"/>
      <c r="BL63" s="403"/>
      <c r="BM63" s="403" t="s">
        <v>6223</v>
      </c>
      <c r="BN63" s="403"/>
      <c r="BO63" s="403"/>
      <c r="BP63" s="403"/>
      <c r="BQ63" s="403"/>
      <c r="BR63" s="403"/>
      <c r="BS63" s="403"/>
      <c r="BT63" s="403"/>
      <c r="BU63" s="403"/>
      <c r="BV63" s="403"/>
      <c r="BW63" s="403"/>
      <c r="BX63" s="403"/>
      <c r="BY63" s="403" t="s">
        <v>6224</v>
      </c>
      <c r="BZ63" s="403"/>
      <c r="CA63" s="403"/>
      <c r="CB63" s="403"/>
      <c r="CC63" s="403"/>
      <c r="CD63" s="403"/>
      <c r="CE63" s="403"/>
      <c r="CF63" s="403"/>
      <c r="CG63" s="403"/>
      <c r="CH63" s="403"/>
      <c r="CI63" s="403"/>
      <c r="CJ63" s="403"/>
      <c r="CK63" s="403" t="s">
        <v>6225</v>
      </c>
      <c r="CL63" s="403"/>
      <c r="CM63" s="403"/>
      <c r="CN63" s="403"/>
      <c r="CO63" s="403"/>
      <c r="CP63" s="403"/>
      <c r="CQ63" s="403"/>
      <c r="CR63" s="403"/>
      <c r="CS63" s="564"/>
    </row>
    <row r="64" spans="1:97" s="299" customFormat="1" ht="25.5" x14ac:dyDescent="0.2">
      <c r="A64" s="350">
        <v>2</v>
      </c>
      <c r="B64" s="85"/>
      <c r="C64" s="626"/>
      <c r="D64" s="328" t="str">
        <f t="shared" ca="1" si="22"/>
        <v>Social/employment groups at elevated risk of acquiring and transmitting infection because they are unable to effectively physically distance</v>
      </c>
      <c r="E64" s="397"/>
      <c r="F64" s="629" t="str">
        <f t="shared" ca="1" si="22"/>
        <v>EXCLUDE Residential institutions (see A2.2.4)</v>
      </c>
      <c r="G64" s="68"/>
      <c r="H64" s="68"/>
      <c r="J64" s="68"/>
      <c r="K64" s="567"/>
      <c r="L64" s="587"/>
      <c r="M64" s="403"/>
      <c r="N64" s="403"/>
      <c r="O64" s="403"/>
      <c r="P64" s="403"/>
      <c r="Q64" s="403" t="s">
        <v>3095</v>
      </c>
      <c r="R64" s="403"/>
      <c r="S64" s="403" t="s">
        <v>14698</v>
      </c>
      <c r="T64" s="403"/>
      <c r="U64" s="403"/>
      <c r="V64" s="403"/>
      <c r="W64" s="403"/>
      <c r="X64" s="403" t="s">
        <v>197</v>
      </c>
      <c r="Y64" s="403"/>
      <c r="Z64" s="403"/>
      <c r="AA64" s="403"/>
      <c r="AB64" s="403"/>
      <c r="AC64" s="403" t="s">
        <v>6226</v>
      </c>
      <c r="AD64" s="403"/>
      <c r="AE64" s="403" t="s">
        <v>14699</v>
      </c>
      <c r="AF64" s="403"/>
      <c r="AG64" s="403"/>
      <c r="AH64" s="403"/>
      <c r="AI64" s="403"/>
      <c r="AJ64" s="403"/>
      <c r="AK64" s="403"/>
      <c r="AL64" s="403"/>
      <c r="AM64" s="403"/>
      <c r="AN64" s="403"/>
      <c r="AO64" s="403" t="s">
        <v>6227</v>
      </c>
      <c r="AP64" s="403"/>
      <c r="AQ64" s="403" t="s">
        <v>14700</v>
      </c>
      <c r="AR64" s="403"/>
      <c r="AS64" s="403"/>
      <c r="AT64" s="403"/>
      <c r="AU64" s="403"/>
      <c r="AV64" s="403"/>
      <c r="AW64" s="403"/>
      <c r="AX64" s="403"/>
      <c r="AY64" s="403"/>
      <c r="AZ64" s="403"/>
      <c r="BA64" s="403" t="s">
        <v>6228</v>
      </c>
      <c r="BB64" s="403"/>
      <c r="BC64" s="403" t="s">
        <v>14701</v>
      </c>
      <c r="BD64" s="403"/>
      <c r="BE64" s="403"/>
      <c r="BF64" s="403"/>
      <c r="BG64" s="403"/>
      <c r="BH64" s="403"/>
      <c r="BI64" s="403"/>
      <c r="BJ64" s="403"/>
      <c r="BK64" s="403"/>
      <c r="BL64" s="403"/>
      <c r="BM64" s="403" t="s">
        <v>6229</v>
      </c>
      <c r="BN64" s="403"/>
      <c r="BO64" s="403" t="s">
        <v>14702</v>
      </c>
      <c r="BP64" s="403"/>
      <c r="BQ64" s="403"/>
      <c r="BR64" s="403"/>
      <c r="BS64" s="403"/>
      <c r="BT64" s="403"/>
      <c r="BU64" s="403"/>
      <c r="BV64" s="403"/>
      <c r="BW64" s="403"/>
      <c r="BX64" s="403"/>
      <c r="BY64" s="403" t="s">
        <v>6230</v>
      </c>
      <c r="BZ64" s="403"/>
      <c r="CA64" s="403" t="s">
        <v>14703</v>
      </c>
      <c r="CB64" s="403"/>
      <c r="CC64" s="403"/>
      <c r="CD64" s="403"/>
      <c r="CE64" s="403"/>
      <c r="CF64" s="403"/>
      <c r="CG64" s="403"/>
      <c r="CH64" s="403"/>
      <c r="CI64" s="403"/>
      <c r="CJ64" s="403"/>
      <c r="CK64" s="403" t="s">
        <v>6231</v>
      </c>
      <c r="CL64" s="403"/>
      <c r="CM64" s="403" t="s">
        <v>14704</v>
      </c>
      <c r="CN64" s="403"/>
      <c r="CO64" s="403"/>
      <c r="CP64" s="403"/>
      <c r="CQ64" s="403"/>
      <c r="CR64" s="403"/>
      <c r="CS64" s="564"/>
    </row>
    <row r="65" spans="1:97" s="299" customFormat="1" ht="25.5" x14ac:dyDescent="0.2">
      <c r="A65" s="350">
        <v>2</v>
      </c>
      <c r="B65" s="85"/>
      <c r="C65" s="626"/>
      <c r="D65" s="328" t="str">
        <f t="shared" ca="1" si="22"/>
        <v>Emergency reserve of vaccines for utilization for outbreak response or mitigation (for example, severe localized outbreak).</v>
      </c>
      <c r="E65" s="397"/>
      <c r="F65" s="68"/>
      <c r="G65" s="68"/>
      <c r="H65" s="68"/>
      <c r="J65" s="68"/>
      <c r="K65" s="567"/>
      <c r="L65" s="587"/>
      <c r="M65" s="403"/>
      <c r="N65" s="403"/>
      <c r="O65" s="403"/>
      <c r="P65" s="403"/>
      <c r="Q65" s="403" t="s">
        <v>3086</v>
      </c>
      <c r="R65" s="403"/>
      <c r="S65" s="403"/>
      <c r="T65" s="403"/>
      <c r="U65" s="403"/>
      <c r="V65" s="403"/>
      <c r="W65" s="403"/>
      <c r="X65" s="403" t="s">
        <v>197</v>
      </c>
      <c r="Y65" s="403"/>
      <c r="Z65" s="403"/>
      <c r="AA65" s="403"/>
      <c r="AB65" s="403"/>
      <c r="AC65" s="403" t="s">
        <v>6232</v>
      </c>
      <c r="AD65" s="403"/>
      <c r="AE65" s="403"/>
      <c r="AF65" s="403"/>
      <c r="AG65" s="403"/>
      <c r="AH65" s="403"/>
      <c r="AI65" s="403"/>
      <c r="AJ65" s="403"/>
      <c r="AK65" s="403"/>
      <c r="AL65" s="403"/>
      <c r="AM65" s="403"/>
      <c r="AN65" s="403"/>
      <c r="AO65" s="403" t="s">
        <v>6233</v>
      </c>
      <c r="AP65" s="403"/>
      <c r="AQ65" s="403"/>
      <c r="AR65" s="403"/>
      <c r="AS65" s="403"/>
      <c r="AT65" s="403"/>
      <c r="AU65" s="403"/>
      <c r="AV65" s="403"/>
      <c r="AW65" s="403"/>
      <c r="AX65" s="403"/>
      <c r="AY65" s="403"/>
      <c r="AZ65" s="403"/>
      <c r="BA65" s="403" t="s">
        <v>6234</v>
      </c>
      <c r="BB65" s="403"/>
      <c r="BC65" s="403"/>
      <c r="BD65" s="403"/>
      <c r="BE65" s="403"/>
      <c r="BF65" s="403"/>
      <c r="BG65" s="403"/>
      <c r="BH65" s="403"/>
      <c r="BI65" s="403"/>
      <c r="BJ65" s="403"/>
      <c r="BK65" s="403"/>
      <c r="BL65" s="403"/>
      <c r="BM65" s="403" t="s">
        <v>6235</v>
      </c>
      <c r="BN65" s="403"/>
      <c r="BO65" s="403"/>
      <c r="BP65" s="403"/>
      <c r="BQ65" s="403"/>
      <c r="BR65" s="403"/>
      <c r="BS65" s="403"/>
      <c r="BT65" s="403"/>
      <c r="BU65" s="403"/>
      <c r="BV65" s="403"/>
      <c r="BW65" s="403"/>
      <c r="BX65" s="403"/>
      <c r="BY65" s="403" t="s">
        <v>6236</v>
      </c>
      <c r="BZ65" s="403"/>
      <c r="CA65" s="403"/>
      <c r="CB65" s="403"/>
      <c r="CC65" s="403"/>
      <c r="CD65" s="403"/>
      <c r="CE65" s="403"/>
      <c r="CF65" s="403"/>
      <c r="CG65" s="403"/>
      <c r="CH65" s="403"/>
      <c r="CI65" s="403"/>
      <c r="CJ65" s="403"/>
      <c r="CK65" s="403" t="s">
        <v>6237</v>
      </c>
      <c r="CL65" s="403"/>
      <c r="CM65" s="403"/>
      <c r="CN65" s="403"/>
      <c r="CO65" s="403"/>
      <c r="CP65" s="403"/>
      <c r="CQ65" s="403"/>
      <c r="CR65" s="403"/>
      <c r="CS65" s="564"/>
    </row>
    <row r="66" spans="1:97" s="299" customFormat="1" ht="13.5" thickBot="1" x14ac:dyDescent="0.25">
      <c r="B66" s="85"/>
      <c r="C66" s="626"/>
      <c r="D66" s="244" t="str">
        <f t="shared" ca="1" si="22"/>
        <v>Total</v>
      </c>
      <c r="E66" s="398">
        <f>SUM(E56:E65)</f>
        <v>0</v>
      </c>
      <c r="F66" s="603" t="str">
        <f t="shared" ca="1" si="22"/>
        <v>Note: Prioritization / sequencing is specified in B1.2</v>
      </c>
      <c r="G66" s="68"/>
      <c r="H66" s="68"/>
      <c r="J66" s="68"/>
      <c r="K66" s="567"/>
      <c r="L66" s="567"/>
      <c r="M66" s="403"/>
      <c r="N66" s="403"/>
      <c r="O66" s="403"/>
      <c r="P66" s="403"/>
      <c r="Q66" s="403" t="s">
        <v>1605</v>
      </c>
      <c r="R66" s="403"/>
      <c r="S66" s="403" t="s">
        <v>3829</v>
      </c>
      <c r="T66" s="403"/>
      <c r="U66" s="403"/>
      <c r="V66" s="403"/>
      <c r="W66" s="403"/>
      <c r="X66" s="403" t="s">
        <v>197</v>
      </c>
      <c r="Y66" s="403"/>
      <c r="Z66" s="403"/>
      <c r="AA66" s="403"/>
      <c r="AB66" s="403"/>
      <c r="AC66" s="403" t="s">
        <v>1605</v>
      </c>
      <c r="AD66" s="403"/>
      <c r="AE66" s="403" t="s">
        <v>6106</v>
      </c>
      <c r="AF66" s="403"/>
      <c r="AG66" s="403"/>
      <c r="AH66" s="403"/>
      <c r="AI66" s="403"/>
      <c r="AJ66" s="403"/>
      <c r="AK66" s="403"/>
      <c r="AL66" s="403"/>
      <c r="AM66" s="403"/>
      <c r="AN66" s="403"/>
      <c r="AO66" s="403" t="s">
        <v>4676</v>
      </c>
      <c r="AP66" s="403"/>
      <c r="AQ66" s="403" t="s">
        <v>6238</v>
      </c>
      <c r="AR66" s="403"/>
      <c r="AS66" s="403"/>
      <c r="AT66" s="403"/>
      <c r="AU66" s="403"/>
      <c r="AV66" s="403"/>
      <c r="AW66" s="403"/>
      <c r="AX66" s="403"/>
      <c r="AY66" s="403"/>
      <c r="AZ66" s="403"/>
      <c r="BA66" s="403" t="s">
        <v>1605</v>
      </c>
      <c r="BB66" s="403"/>
      <c r="BC66" s="403" t="s">
        <v>6108</v>
      </c>
      <c r="BD66" s="403"/>
      <c r="BE66" s="403"/>
      <c r="BF66" s="403"/>
      <c r="BG66" s="403"/>
      <c r="BH66" s="403"/>
      <c r="BI66" s="403"/>
      <c r="BJ66" s="403"/>
      <c r="BK66" s="403"/>
      <c r="BL66" s="403"/>
      <c r="BM66" s="403" t="s">
        <v>1605</v>
      </c>
      <c r="BN66" s="403"/>
      <c r="BO66" s="403" t="s">
        <v>6109</v>
      </c>
      <c r="BP66" s="403"/>
      <c r="BQ66" s="403"/>
      <c r="BR66" s="403"/>
      <c r="BS66" s="403"/>
      <c r="BT66" s="403"/>
      <c r="BU66" s="403"/>
      <c r="BV66" s="403"/>
      <c r="BW66" s="403"/>
      <c r="BX66" s="403"/>
      <c r="BY66" s="403" t="s">
        <v>6239</v>
      </c>
      <c r="BZ66" s="403"/>
      <c r="CA66" s="403" t="s">
        <v>6110</v>
      </c>
      <c r="CB66" s="403"/>
      <c r="CC66" s="403"/>
      <c r="CD66" s="403"/>
      <c r="CE66" s="403"/>
      <c r="CF66" s="403"/>
      <c r="CG66" s="403"/>
      <c r="CH66" s="403"/>
      <c r="CI66" s="403"/>
      <c r="CJ66" s="403"/>
      <c r="CK66" s="403" t="s">
        <v>6111</v>
      </c>
      <c r="CL66" s="403"/>
      <c r="CM66" s="403" t="s">
        <v>6240</v>
      </c>
      <c r="CN66" s="403"/>
      <c r="CO66" s="403"/>
      <c r="CP66" s="403"/>
      <c r="CQ66" s="403"/>
      <c r="CR66" s="403"/>
      <c r="CS66" s="564"/>
    </row>
    <row r="67" spans="1:97" s="299" customFormat="1" ht="13.5" thickTop="1" x14ac:dyDescent="0.2">
      <c r="B67" s="85"/>
      <c r="C67" s="626"/>
      <c r="D67" s="68"/>
      <c r="E67" s="140"/>
      <c r="F67" s="68"/>
      <c r="G67" s="68"/>
      <c r="H67" s="68"/>
      <c r="J67" s="68"/>
      <c r="K67" s="567"/>
      <c r="L67" s="567"/>
      <c r="M67" s="403"/>
      <c r="N67" s="403"/>
      <c r="O67" s="403"/>
      <c r="P67" s="403"/>
      <c r="Q67" s="403"/>
      <c r="R67" s="403"/>
      <c r="S67" s="403"/>
      <c r="T67" s="403"/>
      <c r="U67" s="403"/>
      <c r="V67" s="403"/>
      <c r="W67" s="403"/>
      <c r="X67" s="403" t="s">
        <v>197</v>
      </c>
      <c r="Y67" s="403"/>
      <c r="Z67" s="403"/>
      <c r="AA67" s="403"/>
      <c r="AB67" s="403"/>
      <c r="AC67" s="403"/>
      <c r="AD67" s="403"/>
      <c r="AE67" s="403"/>
      <c r="AF67" s="403"/>
      <c r="AG67" s="403"/>
      <c r="AH67" s="403"/>
      <c r="AI67" s="403"/>
      <c r="AJ67" s="403"/>
      <c r="AK67" s="403"/>
      <c r="AL67" s="403"/>
      <c r="AM67" s="403"/>
      <c r="AN67" s="403"/>
      <c r="AO67" s="403"/>
      <c r="AP67" s="403"/>
      <c r="AQ67" s="403"/>
      <c r="AR67" s="403"/>
      <c r="AS67" s="403"/>
      <c r="AT67" s="403"/>
      <c r="AU67" s="403"/>
      <c r="AV67" s="403"/>
      <c r="AW67" s="403"/>
      <c r="AX67" s="403"/>
      <c r="AY67" s="403"/>
      <c r="AZ67" s="403"/>
      <c r="BA67" s="403"/>
      <c r="BB67" s="403"/>
      <c r="BC67" s="403"/>
      <c r="BD67" s="403"/>
      <c r="BE67" s="403"/>
      <c r="BF67" s="403"/>
      <c r="BG67" s="403"/>
      <c r="BH67" s="403"/>
      <c r="BI67" s="403"/>
      <c r="BJ67" s="403"/>
      <c r="BK67" s="403"/>
      <c r="BL67" s="403"/>
      <c r="BM67" s="403"/>
      <c r="BN67" s="403"/>
      <c r="BO67" s="403"/>
      <c r="BP67" s="403"/>
      <c r="BQ67" s="403"/>
      <c r="BR67" s="403"/>
      <c r="BS67" s="403"/>
      <c r="BT67" s="403"/>
      <c r="BU67" s="403"/>
      <c r="BV67" s="403"/>
      <c r="BW67" s="403"/>
      <c r="BX67" s="403"/>
      <c r="BY67" s="403"/>
      <c r="BZ67" s="403"/>
      <c r="CA67" s="403"/>
      <c r="CB67" s="403"/>
      <c r="CC67" s="403"/>
      <c r="CD67" s="403"/>
      <c r="CE67" s="403"/>
      <c r="CF67" s="403"/>
      <c r="CG67" s="403"/>
      <c r="CH67" s="403"/>
      <c r="CI67" s="403"/>
      <c r="CJ67" s="403"/>
      <c r="CK67" s="403"/>
      <c r="CL67" s="403"/>
      <c r="CM67" s="403"/>
      <c r="CN67" s="403"/>
      <c r="CO67" s="403"/>
      <c r="CP67" s="403"/>
      <c r="CQ67" s="403"/>
      <c r="CR67" s="403"/>
      <c r="CS67" s="564"/>
    </row>
    <row r="68" spans="1:97" s="299" customFormat="1" ht="12.75" x14ac:dyDescent="0.2">
      <c r="B68" s="85"/>
      <c r="C68" s="626"/>
      <c r="D68" s="682" t="str">
        <f t="shared" ca="1" si="22"/>
        <v>Instructions: If the total reflects the NDVP, please enter it here either as an absolute population count OR as a percent of total population</v>
      </c>
      <c r="E68" s="682"/>
      <c r="F68" s="682"/>
      <c r="G68" s="682"/>
      <c r="H68" s="682"/>
      <c r="I68" s="682"/>
      <c r="J68" s="68"/>
      <c r="K68" s="567"/>
      <c r="L68" s="567"/>
      <c r="M68" s="403"/>
      <c r="N68" s="403"/>
      <c r="O68" s="403"/>
      <c r="P68" s="403"/>
      <c r="Q68" s="403" t="s">
        <v>4070</v>
      </c>
      <c r="R68" s="403"/>
      <c r="S68" s="403"/>
      <c r="T68" s="403"/>
      <c r="U68" s="403"/>
      <c r="V68" s="403"/>
      <c r="W68" s="403"/>
      <c r="X68" s="403" t="s">
        <v>197</v>
      </c>
      <c r="Y68" s="403"/>
      <c r="Z68" s="403"/>
      <c r="AA68" s="403"/>
      <c r="AB68" s="403"/>
      <c r="AC68" s="403" t="s">
        <v>6241</v>
      </c>
      <c r="AD68" s="403"/>
      <c r="AE68" s="403"/>
      <c r="AF68" s="403"/>
      <c r="AG68" s="403"/>
      <c r="AH68" s="403"/>
      <c r="AI68" s="403"/>
      <c r="AJ68" s="403"/>
      <c r="AK68" s="403"/>
      <c r="AL68" s="403"/>
      <c r="AM68" s="403"/>
      <c r="AN68" s="403"/>
      <c r="AO68" s="403" t="s">
        <v>6114</v>
      </c>
      <c r="AP68" s="403"/>
      <c r="AQ68" s="403"/>
      <c r="AR68" s="403"/>
      <c r="AS68" s="403"/>
      <c r="AT68" s="403"/>
      <c r="AU68" s="403"/>
      <c r="AV68" s="403"/>
      <c r="AW68" s="403"/>
      <c r="AX68" s="403"/>
      <c r="AY68" s="403"/>
      <c r="AZ68" s="403"/>
      <c r="BA68" s="403" t="s">
        <v>6115</v>
      </c>
      <c r="BB68" s="403"/>
      <c r="BC68" s="403"/>
      <c r="BD68" s="403"/>
      <c r="BE68" s="403"/>
      <c r="BF68" s="403"/>
      <c r="BG68" s="403"/>
      <c r="BH68" s="403"/>
      <c r="BI68" s="403"/>
      <c r="BJ68" s="403"/>
      <c r="BK68" s="403"/>
      <c r="BL68" s="403"/>
      <c r="BM68" s="403" t="s">
        <v>6242</v>
      </c>
      <c r="BN68" s="403"/>
      <c r="BO68" s="403"/>
      <c r="BP68" s="403"/>
      <c r="BQ68" s="403"/>
      <c r="BR68" s="403"/>
      <c r="BS68" s="403"/>
      <c r="BT68" s="403"/>
      <c r="BU68" s="403"/>
      <c r="BV68" s="403"/>
      <c r="BW68" s="403"/>
      <c r="BX68" s="403"/>
      <c r="BY68" s="403" t="s">
        <v>6243</v>
      </c>
      <c r="BZ68" s="403"/>
      <c r="CA68" s="403"/>
      <c r="CB68" s="403"/>
      <c r="CC68" s="403"/>
      <c r="CD68" s="403"/>
      <c r="CE68" s="403"/>
      <c r="CF68" s="403"/>
      <c r="CG68" s="403"/>
      <c r="CH68" s="403"/>
      <c r="CI68" s="403"/>
      <c r="CJ68" s="403"/>
      <c r="CK68" s="403" t="s">
        <v>6244</v>
      </c>
      <c r="CL68" s="403"/>
      <c r="CM68" s="403"/>
      <c r="CN68" s="403"/>
      <c r="CO68" s="403"/>
      <c r="CP68" s="403"/>
      <c r="CQ68" s="403"/>
      <c r="CR68" s="403"/>
      <c r="CS68" s="564"/>
    </row>
    <row r="69" spans="1:97" s="15" customFormat="1" ht="12.75" x14ac:dyDescent="0.2">
      <c r="A69" s="349">
        <v>1</v>
      </c>
      <c r="B69" s="85"/>
      <c r="C69" s="92"/>
      <c r="D69" s="7" t="str">
        <f t="shared" ca="1" si="22"/>
        <v>THEREFORE, Essential workers and related groups  … as absolute number OR</v>
      </c>
      <c r="E69" s="362"/>
      <c r="F69" s="680" t="str">
        <f t="shared" ref="F69:F70" ca="1" si="24">IF(OFFSET(S69,0,Lang_Order*Lang__A2)="","",OFFSET(S69,0,Lang_Order*Lang__A2))</f>
        <v>} OR</v>
      </c>
      <c r="G69" s="4" t="str">
        <f>IF(_xlfn.XOR(ISBLANK(E69),ISBLANK(E70)),"OK",Lang_CHECK)</f>
        <v>CHECK</v>
      </c>
      <c r="H69" s="384" t="e">
        <f>E69/(Pop_Total_2021)</f>
        <v>#N/A</v>
      </c>
      <c r="I69" s="141" t="str">
        <f t="shared" ref="I69:I70" ca="1" si="25">IF(OFFSET(V69,0,Lang_Order*Lang__A2)="","",OFFSET(V69,0,Lang_Order*Lang__A2))</f>
        <v>Whole number</v>
      </c>
      <c r="J69" s="68"/>
      <c r="K69" s="143" t="str">
        <f t="shared" ca="1" si="13"/>
        <v>EXCLUDE wardens / staff at residential institutions</v>
      </c>
      <c r="L69" s="587"/>
      <c r="M69" s="403"/>
      <c r="N69" s="403"/>
      <c r="O69" s="403"/>
      <c r="P69" s="403"/>
      <c r="Q69" s="403" t="s">
        <v>4071</v>
      </c>
      <c r="R69" s="403"/>
      <c r="S69" s="403" t="s">
        <v>2876</v>
      </c>
      <c r="T69" s="403"/>
      <c r="U69" s="403"/>
      <c r="V69" s="403" t="s">
        <v>45</v>
      </c>
      <c r="W69" s="403"/>
      <c r="X69" s="403" t="s">
        <v>4106</v>
      </c>
      <c r="Y69" s="403"/>
      <c r="Z69" s="403"/>
      <c r="AA69" s="403"/>
      <c r="AB69" s="403"/>
      <c r="AC69" s="403" t="s">
        <v>6245</v>
      </c>
      <c r="AD69" s="403"/>
      <c r="AE69" s="403" t="s">
        <v>6120</v>
      </c>
      <c r="AF69" s="403"/>
      <c r="AG69" s="403"/>
      <c r="AH69" s="403" t="s">
        <v>6121</v>
      </c>
      <c r="AI69" s="403"/>
      <c r="AJ69" s="403" t="s">
        <v>6246</v>
      </c>
      <c r="AK69" s="403"/>
      <c r="AL69" s="403"/>
      <c r="AM69" s="403"/>
      <c r="AN69" s="403"/>
      <c r="AO69" s="403" t="s">
        <v>6247</v>
      </c>
      <c r="AP69" s="403"/>
      <c r="AQ69" s="403" t="s">
        <v>6123</v>
      </c>
      <c r="AR69" s="403"/>
      <c r="AS69" s="403"/>
      <c r="AT69" s="403" t="s">
        <v>6124</v>
      </c>
      <c r="AU69" s="403"/>
      <c r="AV69" s="403" t="s">
        <v>6248</v>
      </c>
      <c r="AW69" s="403"/>
      <c r="AX69" s="403"/>
      <c r="AY69" s="403"/>
      <c r="AZ69" s="403"/>
      <c r="BA69" s="403" t="s">
        <v>6249</v>
      </c>
      <c r="BB69" s="403"/>
      <c r="BC69" s="403" t="s">
        <v>6126</v>
      </c>
      <c r="BD69" s="403"/>
      <c r="BE69" s="403"/>
      <c r="BF69" s="403" t="s">
        <v>6127</v>
      </c>
      <c r="BG69" s="403"/>
      <c r="BH69" s="403" t="s">
        <v>6250</v>
      </c>
      <c r="BI69" s="403"/>
      <c r="BJ69" s="403"/>
      <c r="BK69" s="403"/>
      <c r="BL69" s="403"/>
      <c r="BM69" s="403" t="s">
        <v>6251</v>
      </c>
      <c r="BN69" s="403"/>
      <c r="BO69" s="403" t="s">
        <v>6120</v>
      </c>
      <c r="BP69" s="403"/>
      <c r="BQ69" s="403"/>
      <c r="BR69" s="403" t="s">
        <v>6129</v>
      </c>
      <c r="BS69" s="403"/>
      <c r="BT69" s="403" t="s">
        <v>6252</v>
      </c>
      <c r="BU69" s="403"/>
      <c r="BV69" s="403"/>
      <c r="BW69" s="403"/>
      <c r="BX69" s="403"/>
      <c r="BY69" s="403" t="s">
        <v>6253</v>
      </c>
      <c r="BZ69" s="403"/>
      <c r="CA69" s="403" t="s">
        <v>6131</v>
      </c>
      <c r="CB69" s="403"/>
      <c r="CC69" s="403"/>
      <c r="CD69" s="403" t="s">
        <v>6254</v>
      </c>
      <c r="CE69" s="403"/>
      <c r="CF69" s="403" t="s">
        <v>6255</v>
      </c>
      <c r="CG69" s="403"/>
      <c r="CH69" s="403"/>
      <c r="CI69" s="403"/>
      <c r="CJ69" s="403"/>
      <c r="CK69" s="403" t="s">
        <v>6256</v>
      </c>
      <c r="CL69" s="403"/>
      <c r="CM69" s="403" t="s">
        <v>6134</v>
      </c>
      <c r="CN69" s="403"/>
      <c r="CO69" s="403"/>
      <c r="CP69" s="403" t="s">
        <v>6135</v>
      </c>
      <c r="CQ69" s="403"/>
      <c r="CR69" s="403" t="s">
        <v>6257</v>
      </c>
      <c r="CS69" s="564"/>
    </row>
    <row r="70" spans="1:97" s="15" customFormat="1" ht="12.75" x14ac:dyDescent="0.2">
      <c r="A70" s="349">
        <v>1</v>
      </c>
      <c r="B70" s="85"/>
      <c r="C70" s="624"/>
      <c r="D70" s="7" t="str">
        <f t="shared" ref="D70" ca="1" si="26">IF(OFFSET(Q70,0,Lang_Order*Lang__A2)="","",OFFSET(Q70,0,Lang_Order*Lang__A2))</f>
        <v>… as percent</v>
      </c>
      <c r="E70" s="363"/>
      <c r="F70" s="680" t="str">
        <f t="shared" ca="1" si="24"/>
        <v/>
      </c>
      <c r="G70" s="4" t="e">
        <f>IF(H70&gt;J70,Lang_CHECK,"OK")</f>
        <v>#N/A</v>
      </c>
      <c r="H70" s="384" t="e">
        <f>IF(ISBLANK(E70),H69,E70)</f>
        <v>#N/A</v>
      </c>
      <c r="I70" s="2" t="str">
        <f t="shared" ca="1" si="25"/>
        <v>Percent of Total Population</v>
      </c>
      <c r="J70" s="405">
        <v>0.2</v>
      </c>
      <c r="K70" s="143" t="str">
        <f t="shared" ca="1" si="13"/>
        <v>Max 20%</v>
      </c>
      <c r="L70" s="587"/>
      <c r="M70" s="403"/>
      <c r="N70" s="403"/>
      <c r="O70" s="403"/>
      <c r="P70" s="403"/>
      <c r="Q70" s="403" t="s">
        <v>2629</v>
      </c>
      <c r="R70" s="403"/>
      <c r="S70" s="403"/>
      <c r="T70" s="403"/>
      <c r="U70" s="403"/>
      <c r="V70" s="403" t="s">
        <v>40</v>
      </c>
      <c r="W70" s="403"/>
      <c r="X70" s="403" t="s">
        <v>3802</v>
      </c>
      <c r="Y70" s="403"/>
      <c r="Z70" s="403"/>
      <c r="AA70" s="403"/>
      <c r="AB70" s="403"/>
      <c r="AC70" s="403" t="s">
        <v>6136</v>
      </c>
      <c r="AD70" s="403"/>
      <c r="AE70" s="403"/>
      <c r="AF70" s="403"/>
      <c r="AG70" s="403"/>
      <c r="AH70" s="403" t="s">
        <v>6137</v>
      </c>
      <c r="AI70" s="403"/>
      <c r="AJ70" s="403" t="s">
        <v>3802</v>
      </c>
      <c r="AK70" s="403"/>
      <c r="AL70" s="403"/>
      <c r="AM70" s="403"/>
      <c r="AN70" s="403"/>
      <c r="AO70" s="403" t="s">
        <v>6139</v>
      </c>
      <c r="AP70" s="403"/>
      <c r="AQ70" s="403"/>
      <c r="AR70" s="403"/>
      <c r="AS70" s="403"/>
      <c r="AT70" s="403" t="s">
        <v>6140</v>
      </c>
      <c r="AU70" s="403"/>
      <c r="AV70" s="403" t="s">
        <v>6258</v>
      </c>
      <c r="AW70" s="403"/>
      <c r="AX70" s="403"/>
      <c r="AY70" s="403"/>
      <c r="AZ70" s="403"/>
      <c r="BA70" s="403" t="s">
        <v>6142</v>
      </c>
      <c r="BB70" s="403"/>
      <c r="BC70" s="403"/>
      <c r="BD70" s="403"/>
      <c r="BE70" s="403"/>
      <c r="BF70" s="403" t="s">
        <v>6143</v>
      </c>
      <c r="BG70" s="403"/>
      <c r="BH70" s="403" t="s">
        <v>3802</v>
      </c>
      <c r="BI70" s="403"/>
      <c r="BJ70" s="403"/>
      <c r="BK70" s="403"/>
      <c r="BL70" s="403"/>
      <c r="BM70" s="403" t="s">
        <v>6145</v>
      </c>
      <c r="BN70" s="403"/>
      <c r="BO70" s="403"/>
      <c r="BP70" s="403"/>
      <c r="BQ70" s="403"/>
      <c r="BR70" s="403" t="s">
        <v>6146</v>
      </c>
      <c r="BS70" s="403"/>
      <c r="BT70" s="403" t="s">
        <v>6259</v>
      </c>
      <c r="BU70" s="403"/>
      <c r="BV70" s="403"/>
      <c r="BW70" s="403"/>
      <c r="BX70" s="403"/>
      <c r="BY70" s="403" t="s">
        <v>6148</v>
      </c>
      <c r="BZ70" s="403"/>
      <c r="CA70" s="403"/>
      <c r="CB70" s="403"/>
      <c r="CC70" s="403"/>
      <c r="CD70" s="403" t="s">
        <v>6149</v>
      </c>
      <c r="CE70" s="403"/>
      <c r="CF70" s="403" t="s">
        <v>6260</v>
      </c>
      <c r="CG70" s="403"/>
      <c r="CH70" s="403"/>
      <c r="CI70" s="403"/>
      <c r="CJ70" s="403"/>
      <c r="CK70" s="403" t="s">
        <v>6151</v>
      </c>
      <c r="CL70" s="403"/>
      <c r="CM70" s="403"/>
      <c r="CN70" s="403"/>
      <c r="CO70" s="403"/>
      <c r="CP70" s="403" t="s">
        <v>6152</v>
      </c>
      <c r="CQ70" s="403"/>
      <c r="CR70" s="403" t="s">
        <v>6261</v>
      </c>
      <c r="CS70" s="564"/>
    </row>
    <row r="71" spans="1:97" s="299" customFormat="1" ht="12.75" x14ac:dyDescent="0.2">
      <c r="C71" s="622"/>
      <c r="D71" s="68"/>
      <c r="E71" s="356" t="str">
        <f t="shared" ca="1" si="22"/>
        <v>Note: If BOTH absolute number AND percent are completed, percent will be used</v>
      </c>
      <c r="F71" s="68"/>
      <c r="H71" s="68"/>
      <c r="J71" s="68"/>
      <c r="K71" s="567"/>
      <c r="L71" s="567"/>
      <c r="M71" s="403"/>
      <c r="N71" s="403"/>
      <c r="O71" s="403"/>
      <c r="P71" s="403"/>
      <c r="Q71" s="403"/>
      <c r="R71" s="403" t="s">
        <v>3750</v>
      </c>
      <c r="S71" s="403"/>
      <c r="T71" s="403"/>
      <c r="U71" s="403"/>
      <c r="V71" s="403"/>
      <c r="W71" s="403"/>
      <c r="X71" s="403" t="s">
        <v>197</v>
      </c>
      <c r="Y71" s="403"/>
      <c r="Z71" s="403"/>
      <c r="AA71" s="403"/>
      <c r="AB71" s="403"/>
      <c r="AC71" s="403"/>
      <c r="AD71" s="403" t="s">
        <v>6154</v>
      </c>
      <c r="AE71" s="403"/>
      <c r="AF71" s="403"/>
      <c r="AG71" s="403"/>
      <c r="AH71" s="403"/>
      <c r="AI71" s="403"/>
      <c r="AJ71" s="403"/>
      <c r="AK71" s="403"/>
      <c r="AL71" s="403"/>
      <c r="AM71" s="403"/>
      <c r="AN71" s="403"/>
      <c r="AO71" s="403"/>
      <c r="AP71" s="403" t="s">
        <v>6262</v>
      </c>
      <c r="AQ71" s="403"/>
      <c r="AR71" s="403"/>
      <c r="AS71" s="403"/>
      <c r="AT71" s="403"/>
      <c r="AU71" s="403"/>
      <c r="AV71" s="403"/>
      <c r="AW71" s="403"/>
      <c r="AX71" s="403"/>
      <c r="AY71" s="403"/>
      <c r="AZ71" s="403"/>
      <c r="BA71" s="403"/>
      <c r="BB71" s="403" t="s">
        <v>6156</v>
      </c>
      <c r="BC71" s="403"/>
      <c r="BD71" s="403"/>
      <c r="BE71" s="403"/>
      <c r="BF71" s="403"/>
      <c r="BG71" s="403"/>
      <c r="BH71" s="403"/>
      <c r="BI71" s="403"/>
      <c r="BJ71" s="403"/>
      <c r="BK71" s="403"/>
      <c r="BL71" s="403"/>
      <c r="BM71" s="403"/>
      <c r="BN71" s="403" t="s">
        <v>6157</v>
      </c>
      <c r="BO71" s="403"/>
      <c r="BP71" s="403"/>
      <c r="BQ71" s="403"/>
      <c r="BR71" s="403"/>
      <c r="BS71" s="403"/>
      <c r="BT71" s="403"/>
      <c r="BU71" s="403"/>
      <c r="BV71" s="403"/>
      <c r="BW71" s="403"/>
      <c r="BX71" s="403"/>
      <c r="BY71" s="403"/>
      <c r="BZ71" s="403" t="s">
        <v>6158</v>
      </c>
      <c r="CA71" s="403"/>
      <c r="CB71" s="403"/>
      <c r="CC71" s="403"/>
      <c r="CD71" s="403"/>
      <c r="CE71" s="403"/>
      <c r="CF71" s="403"/>
      <c r="CG71" s="403"/>
      <c r="CH71" s="403"/>
      <c r="CI71" s="403"/>
      <c r="CJ71" s="403"/>
      <c r="CK71" s="403"/>
      <c r="CL71" s="403" t="s">
        <v>6159</v>
      </c>
      <c r="CM71" s="403"/>
      <c r="CN71" s="403"/>
      <c r="CO71" s="403"/>
      <c r="CP71" s="403"/>
      <c r="CQ71" s="403"/>
      <c r="CR71" s="403"/>
      <c r="CS71" s="564"/>
    </row>
    <row r="72" spans="1:97" s="299" customFormat="1" ht="12.75" x14ac:dyDescent="0.2">
      <c r="C72" s="622"/>
      <c r="D72" s="477" t="str">
        <f t="shared" ref="D72:D73" ca="1" si="27">IF(OFFSET(Q72,0,Lang_Order*Lang__A2)="","",OFFSET(Q72,0,Lang_Order*Lang__A2))</f>
        <v>NOTE: This population will be vaccinated at fixed sites with cold storage (Delivery Modality 1) and during campaigns (Delivery Modality 2)</v>
      </c>
      <c r="E72" s="68"/>
      <c r="F72" s="68"/>
      <c r="H72" s="68"/>
      <c r="J72" s="68"/>
      <c r="K72" s="567"/>
      <c r="L72" s="567"/>
      <c r="M72" s="403"/>
      <c r="N72" s="403"/>
      <c r="O72" s="403"/>
      <c r="P72" s="403"/>
      <c r="Q72" s="403" t="s">
        <v>3757</v>
      </c>
      <c r="R72" s="403"/>
      <c r="S72" s="403"/>
      <c r="T72" s="403"/>
      <c r="U72" s="403"/>
      <c r="V72" s="403"/>
      <c r="W72" s="403"/>
      <c r="X72" s="403" t="s">
        <v>197</v>
      </c>
      <c r="Y72" s="403"/>
      <c r="Z72" s="403"/>
      <c r="AA72" s="403"/>
      <c r="AB72" s="403"/>
      <c r="AC72" s="403" t="s">
        <v>6263</v>
      </c>
      <c r="AD72" s="403"/>
      <c r="AE72" s="403"/>
      <c r="AF72" s="403"/>
      <c r="AG72" s="403"/>
      <c r="AH72" s="403"/>
      <c r="AI72" s="403"/>
      <c r="AJ72" s="403"/>
      <c r="AK72" s="403"/>
      <c r="AL72" s="403"/>
      <c r="AM72" s="403"/>
      <c r="AN72" s="403"/>
      <c r="AO72" s="403" t="s">
        <v>6264</v>
      </c>
      <c r="AP72" s="403"/>
      <c r="AQ72" s="403"/>
      <c r="AR72" s="403"/>
      <c r="AS72" s="403"/>
      <c r="AT72" s="403"/>
      <c r="AU72" s="403"/>
      <c r="AV72" s="403"/>
      <c r="AW72" s="403"/>
      <c r="AX72" s="403"/>
      <c r="AY72" s="403"/>
      <c r="AZ72" s="403"/>
      <c r="BA72" s="403" t="s">
        <v>6265</v>
      </c>
      <c r="BB72" s="403"/>
      <c r="BC72" s="403"/>
      <c r="BD72" s="403"/>
      <c r="BE72" s="403"/>
      <c r="BF72" s="403"/>
      <c r="BG72" s="403"/>
      <c r="BH72" s="403"/>
      <c r="BI72" s="403"/>
      <c r="BJ72" s="403"/>
      <c r="BK72" s="403"/>
      <c r="BL72" s="403"/>
      <c r="BM72" s="403" t="s">
        <v>6266</v>
      </c>
      <c r="BN72" s="403"/>
      <c r="BO72" s="403"/>
      <c r="BP72" s="403"/>
      <c r="BQ72" s="403"/>
      <c r="BR72" s="403"/>
      <c r="BS72" s="403"/>
      <c r="BT72" s="403"/>
      <c r="BU72" s="403"/>
      <c r="BV72" s="403"/>
      <c r="BW72" s="403"/>
      <c r="BX72" s="403"/>
      <c r="BY72" s="403" t="s">
        <v>6267</v>
      </c>
      <c r="BZ72" s="403"/>
      <c r="CA72" s="403"/>
      <c r="CB72" s="403"/>
      <c r="CC72" s="403"/>
      <c r="CD72" s="403"/>
      <c r="CE72" s="403"/>
      <c r="CF72" s="403"/>
      <c r="CG72" s="403"/>
      <c r="CH72" s="403"/>
      <c r="CI72" s="403"/>
      <c r="CJ72" s="403"/>
      <c r="CK72" s="403" t="s">
        <v>6268</v>
      </c>
      <c r="CL72" s="403"/>
      <c r="CM72" s="403"/>
      <c r="CN72" s="403"/>
      <c r="CO72" s="403"/>
      <c r="CP72" s="403"/>
      <c r="CQ72" s="403"/>
      <c r="CR72" s="403"/>
      <c r="CS72" s="564"/>
    </row>
    <row r="73" spans="1:97" ht="12.75" x14ac:dyDescent="0.2">
      <c r="A73" s="350">
        <v>2</v>
      </c>
      <c r="B73" s="567"/>
      <c r="D73" s="332" t="str">
        <f t="shared" ca="1" si="27"/>
        <v>What percent of the "Essential workers and related groups" live or work near fixed sites with cold storage?</v>
      </c>
      <c r="E73" s="40">
        <v>0.5</v>
      </c>
      <c r="F73" s="68"/>
      <c r="G73" s="4" t="str">
        <f>IF(ISBLANK(E73),Lang_CHECK,"OK")</f>
        <v>OK</v>
      </c>
      <c r="H73"/>
      <c r="I73" s="2" t="str">
        <f t="shared" ref="I73" ca="1" si="28">IF(OFFSET(V73,0,Lang_Order*Lang__A2)="","",OFFSET(V73,0,Lang_Order*Lang__A2))</f>
        <v>Percent of the Target Group</v>
      </c>
      <c r="J73" s="68"/>
      <c r="K73" s="143" t="str">
        <f t="shared" ca="1" si="13"/>
        <v>Or, put differently, what proportion of this target population is to be reached by Delivery Modality 1. 0% = All DM2; 100% = All DM1</v>
      </c>
      <c r="L73" s="587"/>
      <c r="Q73" s="403" t="s">
        <v>3762</v>
      </c>
      <c r="V73" s="403" t="s">
        <v>3785</v>
      </c>
      <c r="X73" s="403" t="s">
        <v>4553</v>
      </c>
      <c r="AC73" s="403" t="s">
        <v>6269</v>
      </c>
      <c r="AH73" s="403" t="s">
        <v>6270</v>
      </c>
      <c r="AJ73" s="403" t="s">
        <v>13836</v>
      </c>
      <c r="AO73" s="403" t="s">
        <v>6271</v>
      </c>
      <c r="AT73" s="403" t="s">
        <v>6272</v>
      </c>
      <c r="AV73" s="403" t="s">
        <v>13837</v>
      </c>
      <c r="BA73" s="403" t="s">
        <v>6273</v>
      </c>
      <c r="BF73" s="403" t="s">
        <v>6274</v>
      </c>
      <c r="BH73" s="403" t="s">
        <v>13838</v>
      </c>
      <c r="BM73" s="403" t="s">
        <v>6275</v>
      </c>
      <c r="BR73" s="403" t="s">
        <v>6276</v>
      </c>
      <c r="BT73" s="403" t="s">
        <v>13839</v>
      </c>
      <c r="BY73" s="403" t="s">
        <v>6277</v>
      </c>
      <c r="CD73" s="403" t="s">
        <v>6278</v>
      </c>
      <c r="CF73" s="403" t="s">
        <v>13840</v>
      </c>
      <c r="CK73" s="403" t="s">
        <v>6279</v>
      </c>
      <c r="CP73" s="403" t="s">
        <v>6280</v>
      </c>
      <c r="CR73" s="403" t="s">
        <v>13841</v>
      </c>
    </row>
    <row r="74" spans="1:97" s="299" customFormat="1" ht="12.75" x14ac:dyDescent="0.2">
      <c r="C74" s="622"/>
      <c r="D74" s="68"/>
      <c r="E74" s="68"/>
      <c r="F74" s="68"/>
      <c r="H74" s="68"/>
      <c r="J74" s="68"/>
      <c r="L74" s="567"/>
      <c r="M74" s="403"/>
      <c r="N74" s="403"/>
      <c r="O74" s="403"/>
      <c r="P74" s="403"/>
      <c r="Q74" s="403"/>
      <c r="R74" s="403"/>
      <c r="S74" s="403"/>
      <c r="T74" s="403"/>
      <c r="U74" s="403"/>
      <c r="V74" s="403"/>
      <c r="W74" s="403"/>
      <c r="X74" s="403" t="s">
        <v>197</v>
      </c>
      <c r="Y74" s="403"/>
      <c r="Z74" s="403"/>
      <c r="AA74" s="403"/>
      <c r="AB74" s="403"/>
      <c r="AC74" s="403"/>
      <c r="AD74" s="403"/>
      <c r="AE74" s="403"/>
      <c r="AF74" s="403"/>
      <c r="AG74" s="403"/>
      <c r="AH74" s="403"/>
      <c r="AI74" s="403"/>
      <c r="AJ74" s="403"/>
      <c r="AK74" s="403"/>
      <c r="AL74" s="403"/>
      <c r="AM74" s="403"/>
      <c r="AN74" s="403"/>
      <c r="AO74" s="403"/>
      <c r="AP74" s="403"/>
      <c r="AQ74" s="403"/>
      <c r="AR74" s="403"/>
      <c r="AS74" s="403"/>
      <c r="AT74" s="403"/>
      <c r="AU74" s="403"/>
      <c r="AV74" s="403"/>
      <c r="AW74" s="403"/>
      <c r="AX74" s="403"/>
      <c r="AY74" s="403"/>
      <c r="AZ74" s="403"/>
      <c r="BA74" s="403"/>
      <c r="BB74" s="403"/>
      <c r="BC74" s="403"/>
      <c r="BD74" s="403"/>
      <c r="BE74" s="403"/>
      <c r="BF74" s="403"/>
      <c r="BG74" s="403"/>
      <c r="BH74" s="403"/>
      <c r="BI74" s="403"/>
      <c r="BJ74" s="403"/>
      <c r="BK74" s="403"/>
      <c r="BL74" s="403"/>
      <c r="BM74" s="403"/>
      <c r="BN74" s="403"/>
      <c r="BO74" s="403"/>
      <c r="BP74" s="403"/>
      <c r="BQ74" s="403"/>
      <c r="BR74" s="403"/>
      <c r="BS74" s="403"/>
      <c r="BT74" s="403"/>
      <c r="BU74" s="403"/>
      <c r="BV74" s="403"/>
      <c r="BW74" s="403"/>
      <c r="BX74" s="403"/>
      <c r="BY74" s="403"/>
      <c r="BZ74" s="403"/>
      <c r="CA74" s="403"/>
      <c r="CB74" s="403"/>
      <c r="CC74" s="403"/>
      <c r="CD74" s="403"/>
      <c r="CE74" s="403"/>
      <c r="CF74" s="403"/>
      <c r="CG74" s="403"/>
      <c r="CH74" s="403"/>
      <c r="CI74" s="403"/>
      <c r="CJ74" s="403"/>
      <c r="CK74" s="403"/>
      <c r="CL74" s="403"/>
      <c r="CM74" s="403"/>
      <c r="CN74" s="403"/>
      <c r="CO74" s="403"/>
      <c r="CP74" s="403"/>
      <c r="CQ74" s="403"/>
      <c r="CR74" s="403"/>
      <c r="CS74" s="564"/>
    </row>
    <row r="75" spans="1:97" s="463" customFormat="1" ht="12.75" hidden="1" x14ac:dyDescent="0.2">
      <c r="B75" s="639" t="s">
        <v>14113</v>
      </c>
      <c r="C75" s="622"/>
      <c r="D75" s="476" t="str">
        <f t="shared" ref="D75:D76" ca="1" si="29">IF(OFFSET(Q75,0,Lang_Order*Lang__A2)="","",OFFSET(Q75,0,Lang_Order*Lang__A2))</f>
        <v>Note: Please do not double count high-risk age groups here</v>
      </c>
      <c r="E75" s="68"/>
      <c r="F75" s="68"/>
      <c r="H75" s="68"/>
      <c r="J75" s="68"/>
      <c r="K75" s="567"/>
      <c r="L75" s="567"/>
      <c r="M75" s="403"/>
      <c r="N75" s="403"/>
      <c r="O75" s="403"/>
      <c r="P75" s="403"/>
      <c r="Q75" s="403" t="s">
        <v>4069</v>
      </c>
      <c r="R75" s="403"/>
      <c r="S75" s="403"/>
      <c r="T75" s="403"/>
      <c r="U75" s="403"/>
      <c r="V75" s="403"/>
      <c r="W75" s="403"/>
      <c r="X75" s="403"/>
      <c r="Y75" s="403"/>
      <c r="Z75" s="403"/>
      <c r="AA75" s="403"/>
      <c r="AB75" s="403"/>
      <c r="AC75" s="403" t="s">
        <v>6281</v>
      </c>
      <c r="AD75" s="403"/>
      <c r="AE75" s="403"/>
      <c r="AF75" s="403"/>
      <c r="AG75" s="403"/>
      <c r="AH75" s="403"/>
      <c r="AI75" s="403"/>
      <c r="AJ75" s="403"/>
      <c r="AK75" s="403"/>
      <c r="AL75" s="403"/>
      <c r="AM75" s="403"/>
      <c r="AN75" s="403"/>
      <c r="AO75" s="403" t="s">
        <v>6282</v>
      </c>
      <c r="AP75" s="403"/>
      <c r="AQ75" s="403"/>
      <c r="AR75" s="403"/>
      <c r="AS75" s="403"/>
      <c r="AT75" s="403"/>
      <c r="AU75" s="403"/>
      <c r="AV75" s="403"/>
      <c r="AW75" s="403"/>
      <c r="AX75" s="403"/>
      <c r="AY75" s="403"/>
      <c r="AZ75" s="403"/>
      <c r="BA75" s="403" t="s">
        <v>6171</v>
      </c>
      <c r="BB75" s="403"/>
      <c r="BC75" s="403"/>
      <c r="BD75" s="403"/>
      <c r="BE75" s="403"/>
      <c r="BF75" s="403"/>
      <c r="BG75" s="403"/>
      <c r="BH75" s="403"/>
      <c r="BI75" s="403"/>
      <c r="BJ75" s="403"/>
      <c r="BK75" s="403"/>
      <c r="BL75" s="403"/>
      <c r="BM75" s="403" t="s">
        <v>6172</v>
      </c>
      <c r="BN75" s="403"/>
      <c r="BO75" s="403"/>
      <c r="BP75" s="403"/>
      <c r="BQ75" s="403"/>
      <c r="BR75" s="403"/>
      <c r="BS75" s="403"/>
      <c r="BT75" s="403"/>
      <c r="BU75" s="403"/>
      <c r="BV75" s="403"/>
      <c r="BW75" s="403"/>
      <c r="BX75" s="403"/>
      <c r="BY75" s="403" t="s">
        <v>6173</v>
      </c>
      <c r="BZ75" s="403"/>
      <c r="CA75" s="403"/>
      <c r="CB75" s="403"/>
      <c r="CC75" s="403"/>
      <c r="CD75" s="403"/>
      <c r="CE75" s="403"/>
      <c r="CF75" s="403"/>
      <c r="CG75" s="403"/>
      <c r="CH75" s="403"/>
      <c r="CI75" s="403"/>
      <c r="CJ75" s="403"/>
      <c r="CK75" s="403" t="s">
        <v>6174</v>
      </c>
      <c r="CL75" s="403"/>
      <c r="CM75" s="403"/>
      <c r="CN75" s="403"/>
      <c r="CO75" s="403"/>
      <c r="CP75" s="403"/>
      <c r="CQ75" s="403"/>
      <c r="CR75" s="403"/>
      <c r="CS75" s="564"/>
    </row>
    <row r="76" spans="1:97" s="463" customFormat="1" ht="12.75" hidden="1" x14ac:dyDescent="0.2">
      <c r="B76" s="639" t="s">
        <v>14113</v>
      </c>
      <c r="C76" s="622"/>
      <c r="D76" s="327" t="str">
        <f t="shared" ca="1" si="29"/>
        <v>SAGE Population Description</v>
      </c>
      <c r="E76" s="68"/>
      <c r="F76" s="68"/>
      <c r="H76" s="68"/>
      <c r="J76" s="68"/>
      <c r="K76" s="567"/>
      <c r="L76" s="567"/>
      <c r="M76" s="403"/>
      <c r="N76" s="403"/>
      <c r="O76" s="403"/>
      <c r="P76" s="403"/>
      <c r="Q76" s="403" t="s">
        <v>3748</v>
      </c>
      <c r="R76" s="403"/>
      <c r="S76" s="403"/>
      <c r="T76" s="403"/>
      <c r="U76" s="403"/>
      <c r="V76" s="403"/>
      <c r="W76" s="403"/>
      <c r="X76" s="403"/>
      <c r="Y76" s="403"/>
      <c r="Z76" s="403"/>
      <c r="AA76" s="403"/>
      <c r="AB76" s="403"/>
      <c r="AC76" s="403" t="s">
        <v>6283</v>
      </c>
      <c r="AD76" s="403"/>
      <c r="AE76" s="403"/>
      <c r="AF76" s="403"/>
      <c r="AG76" s="403"/>
      <c r="AH76" s="403"/>
      <c r="AI76" s="403"/>
      <c r="AJ76" s="403"/>
      <c r="AK76" s="403"/>
      <c r="AL76" s="403"/>
      <c r="AM76" s="403"/>
      <c r="AN76" s="403"/>
      <c r="AO76" s="403" t="s">
        <v>6176</v>
      </c>
      <c r="AP76" s="403"/>
      <c r="AQ76" s="403"/>
      <c r="AR76" s="403"/>
      <c r="AS76" s="403"/>
      <c r="AT76" s="403"/>
      <c r="AU76" s="403"/>
      <c r="AV76" s="403"/>
      <c r="AW76" s="403"/>
      <c r="AX76" s="403"/>
      <c r="AY76" s="403"/>
      <c r="AZ76" s="403"/>
      <c r="BA76" s="403" t="s">
        <v>6084</v>
      </c>
      <c r="BB76" s="403"/>
      <c r="BC76" s="403"/>
      <c r="BD76" s="403"/>
      <c r="BE76" s="403"/>
      <c r="BF76" s="403"/>
      <c r="BG76" s="403"/>
      <c r="BH76" s="403"/>
      <c r="BI76" s="403"/>
      <c r="BJ76" s="403"/>
      <c r="BK76" s="403"/>
      <c r="BL76" s="403"/>
      <c r="BM76" s="403" t="s">
        <v>6085</v>
      </c>
      <c r="BN76" s="403"/>
      <c r="BO76" s="403"/>
      <c r="BP76" s="403"/>
      <c r="BQ76" s="403"/>
      <c r="BR76" s="403"/>
      <c r="BS76" s="403"/>
      <c r="BT76" s="403"/>
      <c r="BU76" s="403"/>
      <c r="BV76" s="403"/>
      <c r="BW76" s="403"/>
      <c r="BX76" s="403"/>
      <c r="BY76" s="403" t="s">
        <v>6086</v>
      </c>
      <c r="BZ76" s="403"/>
      <c r="CA76" s="403"/>
      <c r="CB76" s="403"/>
      <c r="CC76" s="403"/>
      <c r="CD76" s="403"/>
      <c r="CE76" s="403"/>
      <c r="CF76" s="403"/>
      <c r="CG76" s="403"/>
      <c r="CH76" s="403"/>
      <c r="CI76" s="403"/>
      <c r="CJ76" s="403"/>
      <c r="CK76" s="403" t="s">
        <v>6087</v>
      </c>
      <c r="CL76" s="403"/>
      <c r="CM76" s="403"/>
      <c r="CN76" s="403"/>
      <c r="CO76" s="403"/>
      <c r="CP76" s="403"/>
      <c r="CQ76" s="403"/>
      <c r="CR76" s="403"/>
      <c r="CS76" s="564"/>
    </row>
    <row r="77" spans="1:97" s="299" customFormat="1" ht="12.75" hidden="1" x14ac:dyDescent="0.2">
      <c r="B77" s="639" t="s">
        <v>14113</v>
      </c>
      <c r="C77" s="626"/>
      <c r="D77" s="328" t="str">
        <f ca="1">IF(OFFSET(Q77,0,Lang_Order*Lang__A2)="","",OFFSET(Q77,0,Lang_Order*Lang__A2))</f>
        <v>Age groups at high risk of transmitting infection</v>
      </c>
      <c r="E77" s="68"/>
      <c r="F77" s="630" t="str">
        <f ca="1">IF(OFFSET(S77,0,Lang_Order*Lang__A2)="","",OFFSET(S77,0,Lang_Order*Lang__A2))</f>
        <v>EXCLUDE Older adults (see A2.2.3)</v>
      </c>
      <c r="G77" s="68"/>
      <c r="H77" s="68"/>
      <c r="J77" s="68"/>
      <c r="K77" s="567"/>
      <c r="L77" s="567"/>
      <c r="M77" s="403"/>
      <c r="N77" s="403"/>
      <c r="O77" s="403"/>
      <c r="P77" s="403"/>
      <c r="Q77" s="403" t="s">
        <v>3749</v>
      </c>
      <c r="R77" s="403"/>
      <c r="S77" s="403" t="s">
        <v>14366</v>
      </c>
      <c r="T77" s="403"/>
      <c r="U77" s="403"/>
      <c r="V77" s="403"/>
      <c r="W77" s="403"/>
      <c r="X77" s="403" t="s">
        <v>197</v>
      </c>
      <c r="Y77" s="403"/>
      <c r="Z77" s="403"/>
      <c r="AA77" s="403"/>
      <c r="AB77" s="403"/>
      <c r="AC77" s="403" t="s">
        <v>6284</v>
      </c>
      <c r="AD77" s="403"/>
      <c r="AE77" s="403" t="s">
        <v>14367</v>
      </c>
      <c r="AF77" s="403"/>
      <c r="AG77" s="403"/>
      <c r="AH77" s="403"/>
      <c r="AI77" s="403"/>
      <c r="AJ77" s="403"/>
      <c r="AK77" s="403"/>
      <c r="AL77" s="403"/>
      <c r="AM77" s="403"/>
      <c r="AN77" s="403"/>
      <c r="AO77" s="403" t="s">
        <v>6285</v>
      </c>
      <c r="AP77" s="403"/>
      <c r="AQ77" s="403" t="s">
        <v>14368</v>
      </c>
      <c r="AR77" s="403"/>
      <c r="AS77" s="403"/>
      <c r="AT77" s="403"/>
      <c r="AU77" s="403"/>
      <c r="AV77" s="403"/>
      <c r="AW77" s="403"/>
      <c r="AX77" s="403"/>
      <c r="AY77" s="403"/>
      <c r="AZ77" s="403"/>
      <c r="BA77" s="403" t="s">
        <v>6286</v>
      </c>
      <c r="BB77" s="403"/>
      <c r="BC77" s="403" t="s">
        <v>14369</v>
      </c>
      <c r="BD77" s="403"/>
      <c r="BE77" s="403"/>
      <c r="BF77" s="403"/>
      <c r="BG77" s="403"/>
      <c r="BH77" s="403"/>
      <c r="BI77" s="403"/>
      <c r="BJ77" s="403"/>
      <c r="BK77" s="403"/>
      <c r="BL77" s="403"/>
      <c r="BM77" s="403" t="s">
        <v>6287</v>
      </c>
      <c r="BN77" s="403"/>
      <c r="BO77" s="403" t="s">
        <v>14370</v>
      </c>
      <c r="BP77" s="403"/>
      <c r="BQ77" s="403"/>
      <c r="BR77" s="403"/>
      <c r="BS77" s="403"/>
      <c r="BT77" s="403"/>
      <c r="BU77" s="403"/>
      <c r="BV77" s="403"/>
      <c r="BW77" s="403"/>
      <c r="BX77" s="403"/>
      <c r="BY77" s="403" t="s">
        <v>6288</v>
      </c>
      <c r="BZ77" s="403"/>
      <c r="CA77" s="403" t="s">
        <v>14371</v>
      </c>
      <c r="CB77" s="403"/>
      <c r="CC77" s="403"/>
      <c r="CD77" s="403"/>
      <c r="CE77" s="403"/>
      <c r="CF77" s="403"/>
      <c r="CG77" s="403"/>
      <c r="CH77" s="403"/>
      <c r="CI77" s="403"/>
      <c r="CJ77" s="403"/>
      <c r="CK77" s="403" t="s">
        <v>6289</v>
      </c>
      <c r="CL77" s="403"/>
      <c r="CM77" s="403" t="s">
        <v>14372</v>
      </c>
      <c r="CN77" s="403"/>
      <c r="CO77" s="403"/>
      <c r="CP77" s="403"/>
      <c r="CQ77" s="403"/>
      <c r="CR77" s="403"/>
      <c r="CS77" s="564"/>
    </row>
    <row r="78" spans="1:97" s="463" customFormat="1" ht="12.75" hidden="1" x14ac:dyDescent="0.2">
      <c r="A78" s="349">
        <v>1</v>
      </c>
      <c r="B78" s="639" t="s">
        <v>14113</v>
      </c>
      <c r="C78" s="622"/>
      <c r="D78" s="7" t="str">
        <f t="shared" ref="D78:D79" ca="1" si="30">IF(OFFSET(Q78,0,Lang_Order*Lang__A2)="","",OFFSET(Q78,0,Lang_Order*Lang__A2))</f>
        <v>… absolute number OR</v>
      </c>
      <c r="E78" s="362"/>
      <c r="F78" s="680" t="str">
        <f t="shared" ref="F78:F79" ca="1" si="31">IF(OFFSET(S78,0,Lang_Order*Lang__A2)="","",OFFSET(S78,0,Lang_Order*Lang__A2))</f>
        <v>} OR</v>
      </c>
      <c r="G78" s="4" t="str">
        <f>IF(_xlfn.XOR(ISBLANK(E78),ISBLANK(E79)),"OK",Lang_CHECK)</f>
        <v>OK</v>
      </c>
      <c r="H78" s="384" t="e">
        <f>E78/(Pop_Total_2021-Pop_HR_2021)</f>
        <v>#N/A</v>
      </c>
      <c r="I78" s="141"/>
      <c r="K78" s="567"/>
      <c r="L78" s="587"/>
      <c r="M78" s="403"/>
      <c r="N78" s="403"/>
      <c r="O78" s="403"/>
      <c r="P78" s="403"/>
      <c r="Q78" s="403" t="s">
        <v>4086</v>
      </c>
      <c r="R78" s="403"/>
      <c r="S78" s="403" t="s">
        <v>2876</v>
      </c>
      <c r="T78" s="403"/>
      <c r="U78" s="403"/>
      <c r="V78" s="403"/>
      <c r="W78" s="403"/>
      <c r="X78" s="403" t="s">
        <v>197</v>
      </c>
      <c r="Y78" s="403"/>
      <c r="Z78" s="403"/>
      <c r="AA78" s="403"/>
      <c r="AB78" s="403"/>
      <c r="AC78" s="403" t="s">
        <v>6290</v>
      </c>
      <c r="AD78" s="403"/>
      <c r="AE78" s="403" t="s">
        <v>6120</v>
      </c>
      <c r="AF78" s="403"/>
      <c r="AG78" s="403"/>
      <c r="AH78" s="403"/>
      <c r="AI78" s="403"/>
      <c r="AJ78" s="403"/>
      <c r="AK78" s="403"/>
      <c r="AL78" s="403"/>
      <c r="AM78" s="403"/>
      <c r="AN78" s="403"/>
      <c r="AO78" s="403" t="s">
        <v>6291</v>
      </c>
      <c r="AP78" s="403"/>
      <c r="AQ78" s="403" t="s">
        <v>6123</v>
      </c>
      <c r="AR78" s="403"/>
      <c r="AS78" s="403"/>
      <c r="AT78" s="403"/>
      <c r="AU78" s="403"/>
      <c r="AV78" s="403"/>
      <c r="AW78" s="403"/>
      <c r="AX78" s="403"/>
      <c r="AY78" s="403"/>
      <c r="AZ78" s="403"/>
      <c r="BA78" s="403" t="s">
        <v>6292</v>
      </c>
      <c r="BB78" s="403"/>
      <c r="BC78" s="403" t="s">
        <v>6126</v>
      </c>
      <c r="BD78" s="403"/>
      <c r="BE78" s="403"/>
      <c r="BF78" s="403"/>
      <c r="BG78" s="403"/>
      <c r="BH78" s="403"/>
      <c r="BI78" s="403"/>
      <c r="BJ78" s="403"/>
      <c r="BK78" s="403"/>
      <c r="BL78" s="403"/>
      <c r="BM78" s="403" t="s">
        <v>6293</v>
      </c>
      <c r="BN78" s="403"/>
      <c r="BO78" s="403" t="s">
        <v>6120</v>
      </c>
      <c r="BP78" s="403"/>
      <c r="BQ78" s="403"/>
      <c r="BR78" s="403"/>
      <c r="BS78" s="403"/>
      <c r="BT78" s="403"/>
      <c r="BU78" s="403"/>
      <c r="BV78" s="403"/>
      <c r="BW78" s="403"/>
      <c r="BX78" s="403"/>
      <c r="BY78" s="403" t="s">
        <v>6294</v>
      </c>
      <c r="BZ78" s="403"/>
      <c r="CA78" s="403" t="s">
        <v>6131</v>
      </c>
      <c r="CB78" s="403"/>
      <c r="CC78" s="403"/>
      <c r="CD78" s="403"/>
      <c r="CE78" s="403"/>
      <c r="CF78" s="403"/>
      <c r="CG78" s="403"/>
      <c r="CH78" s="403"/>
      <c r="CI78" s="403"/>
      <c r="CJ78" s="403"/>
      <c r="CK78" s="403" t="s">
        <v>6295</v>
      </c>
      <c r="CL78" s="403"/>
      <c r="CM78" s="403" t="s">
        <v>6134</v>
      </c>
      <c r="CN78" s="403"/>
      <c r="CO78" s="403"/>
      <c r="CP78" s="403"/>
      <c r="CQ78" s="403"/>
      <c r="CR78" s="403"/>
      <c r="CS78" s="564"/>
    </row>
    <row r="79" spans="1:97" s="463" customFormat="1" ht="12.75" hidden="1" x14ac:dyDescent="0.2">
      <c r="A79" s="349">
        <v>1</v>
      </c>
      <c r="B79" s="639" t="s">
        <v>14113</v>
      </c>
      <c r="C79" s="622"/>
      <c r="D79" s="7" t="str">
        <f t="shared" ca="1" si="30"/>
        <v>… as percent</v>
      </c>
      <c r="E79" s="363">
        <v>0</v>
      </c>
      <c r="F79" s="680" t="str">
        <f t="shared" ca="1" si="31"/>
        <v/>
      </c>
      <c r="G79" s="4" t="str">
        <f>IF(H79&gt;J79,Lang_CHECK,"OK")</f>
        <v>OK</v>
      </c>
      <c r="H79" s="384">
        <f>IF(ISBLANK(E79),H78,E79)</f>
        <v>0</v>
      </c>
      <c r="I79" s="2" t="str">
        <f t="shared" ref="I79" ca="1" si="32">IF(OFFSET(V79,0,Lang_Order*Lang__A2)="","",OFFSET(V79,0,Lang_Order*Lang__A2))</f>
        <v>Percent of Low-Risk (by Age) Population</v>
      </c>
      <c r="J79" s="405">
        <v>0.8</v>
      </c>
      <c r="K79" s="143" t="str">
        <f t="shared" ref="K79" ca="1" si="33">IF(OFFSET(X79,0,Lang_Order*Lang__A2)="","",OFFSET(X79,0,Lang_Order*Lang__A2))</f>
        <v>Max 80%</v>
      </c>
      <c r="L79" s="587"/>
      <c r="M79" s="403"/>
      <c r="N79" s="403"/>
      <c r="O79" s="403"/>
      <c r="P79" s="403"/>
      <c r="Q79" s="403" t="s">
        <v>2629</v>
      </c>
      <c r="R79" s="403"/>
      <c r="S79" s="403"/>
      <c r="T79" s="403"/>
      <c r="U79" s="403"/>
      <c r="V79" s="403" t="s">
        <v>38</v>
      </c>
      <c r="W79" s="403"/>
      <c r="X79" s="403" t="s">
        <v>3796</v>
      </c>
      <c r="Y79" s="403"/>
      <c r="Z79" s="403"/>
      <c r="AA79" s="403"/>
      <c r="AB79" s="403"/>
      <c r="AC79" s="403" t="s">
        <v>6136</v>
      </c>
      <c r="AD79" s="403"/>
      <c r="AE79" s="403"/>
      <c r="AF79" s="403"/>
      <c r="AG79" s="403"/>
      <c r="AH79" s="403" t="s">
        <v>6296</v>
      </c>
      <c r="AI79" s="403"/>
      <c r="AJ79" s="403" t="s">
        <v>3796</v>
      </c>
      <c r="AK79" s="403"/>
      <c r="AL79" s="403"/>
      <c r="AM79" s="403"/>
      <c r="AN79" s="403"/>
      <c r="AO79" s="403" t="s">
        <v>6139</v>
      </c>
      <c r="AP79" s="403"/>
      <c r="AQ79" s="403"/>
      <c r="AR79" s="403"/>
      <c r="AS79" s="403"/>
      <c r="AT79" s="403" t="s">
        <v>6297</v>
      </c>
      <c r="AU79" s="403"/>
      <c r="AV79" s="403" t="s">
        <v>6298</v>
      </c>
      <c r="AW79" s="403"/>
      <c r="AX79" s="403"/>
      <c r="AY79" s="403"/>
      <c r="AZ79" s="403"/>
      <c r="BA79" s="403" t="s">
        <v>6142</v>
      </c>
      <c r="BB79" s="403"/>
      <c r="BC79" s="403"/>
      <c r="BD79" s="403"/>
      <c r="BE79" s="403"/>
      <c r="BF79" s="403" t="s">
        <v>6299</v>
      </c>
      <c r="BG79" s="403"/>
      <c r="BH79" s="403" t="s">
        <v>3796</v>
      </c>
      <c r="BI79" s="403"/>
      <c r="BJ79" s="403"/>
      <c r="BK79" s="403"/>
      <c r="BL79" s="403"/>
      <c r="BM79" s="403" t="s">
        <v>6145</v>
      </c>
      <c r="BN79" s="403"/>
      <c r="BO79" s="403"/>
      <c r="BP79" s="403"/>
      <c r="BQ79" s="403"/>
      <c r="BR79" s="403" t="s">
        <v>6300</v>
      </c>
      <c r="BS79" s="403"/>
      <c r="BT79" s="403" t="s">
        <v>6301</v>
      </c>
      <c r="BU79" s="403"/>
      <c r="BV79" s="403"/>
      <c r="BW79" s="403"/>
      <c r="BX79" s="403"/>
      <c r="BY79" s="403" t="s">
        <v>6148</v>
      </c>
      <c r="BZ79" s="403"/>
      <c r="CA79" s="403"/>
      <c r="CB79" s="403"/>
      <c r="CC79" s="403"/>
      <c r="CD79" s="403" t="s">
        <v>6302</v>
      </c>
      <c r="CE79" s="403"/>
      <c r="CF79" s="403" t="s">
        <v>6303</v>
      </c>
      <c r="CG79" s="403"/>
      <c r="CH79" s="403"/>
      <c r="CI79" s="403"/>
      <c r="CJ79" s="403"/>
      <c r="CK79" s="403" t="s">
        <v>6151</v>
      </c>
      <c r="CL79" s="403"/>
      <c r="CM79" s="403"/>
      <c r="CN79" s="403"/>
      <c r="CO79" s="403"/>
      <c r="CP79" s="403" t="s">
        <v>6304</v>
      </c>
      <c r="CQ79" s="403"/>
      <c r="CR79" s="403" t="s">
        <v>6305</v>
      </c>
      <c r="CS79" s="564"/>
    </row>
    <row r="80" spans="1:97" s="463" customFormat="1" ht="12.75" hidden="1" x14ac:dyDescent="0.2">
      <c r="B80" s="639" t="s">
        <v>14113</v>
      </c>
      <c r="C80" s="622"/>
      <c r="D80" s="68"/>
      <c r="E80" s="68"/>
      <c r="F80" s="68"/>
      <c r="H80" s="68"/>
      <c r="J80" s="68"/>
      <c r="L80" s="567"/>
      <c r="M80" s="403"/>
      <c r="N80" s="403"/>
      <c r="O80" s="403"/>
      <c r="P80" s="403"/>
      <c r="Q80" s="403"/>
      <c r="R80" s="403"/>
      <c r="S80" s="403"/>
      <c r="T80" s="403"/>
      <c r="U80" s="403"/>
      <c r="V80" s="403"/>
      <c r="W80" s="403"/>
      <c r="X80" s="403"/>
      <c r="Y80" s="403"/>
      <c r="Z80" s="403"/>
      <c r="AA80" s="403"/>
      <c r="AB80" s="403"/>
      <c r="AC80" s="403"/>
      <c r="AD80" s="403"/>
      <c r="AE80" s="403"/>
      <c r="AF80" s="403"/>
      <c r="AG80" s="403"/>
      <c r="AH80" s="403"/>
      <c r="AI80" s="403"/>
      <c r="AJ80" s="403"/>
      <c r="AK80" s="403"/>
      <c r="AL80" s="403"/>
      <c r="AM80" s="403"/>
      <c r="AN80" s="403"/>
      <c r="AO80" s="403"/>
      <c r="AP80" s="403"/>
      <c r="AQ80" s="403"/>
      <c r="AR80" s="403"/>
      <c r="AS80" s="403"/>
      <c r="AT80" s="403"/>
      <c r="AU80" s="403"/>
      <c r="AV80" s="403"/>
      <c r="AW80" s="403"/>
      <c r="AX80" s="403"/>
      <c r="AY80" s="403"/>
      <c r="AZ80" s="403"/>
      <c r="BA80" s="403"/>
      <c r="BB80" s="403"/>
      <c r="BC80" s="403"/>
      <c r="BD80" s="403"/>
      <c r="BE80" s="403"/>
      <c r="BF80" s="403"/>
      <c r="BG80" s="403"/>
      <c r="BH80" s="403"/>
      <c r="BI80" s="403"/>
      <c r="BJ80" s="403"/>
      <c r="BK80" s="403"/>
      <c r="BL80" s="403"/>
      <c r="BM80" s="403"/>
      <c r="BN80" s="403"/>
      <c r="BO80" s="403"/>
      <c r="BP80" s="403"/>
      <c r="BQ80" s="403"/>
      <c r="BR80" s="403"/>
      <c r="BS80" s="403"/>
      <c r="BT80" s="403"/>
      <c r="BU80" s="403"/>
      <c r="BV80" s="403"/>
      <c r="BW80" s="403"/>
      <c r="BX80" s="403"/>
      <c r="BY80" s="403"/>
      <c r="BZ80" s="403"/>
      <c r="CA80" s="403"/>
      <c r="CB80" s="403"/>
      <c r="CC80" s="403"/>
      <c r="CD80" s="403"/>
      <c r="CE80" s="403"/>
      <c r="CF80" s="403"/>
      <c r="CG80" s="403"/>
      <c r="CH80" s="403"/>
      <c r="CI80" s="403"/>
      <c r="CJ80" s="403"/>
      <c r="CK80" s="403"/>
      <c r="CL80" s="403"/>
      <c r="CM80" s="403"/>
      <c r="CN80" s="403"/>
      <c r="CO80" s="403"/>
      <c r="CP80" s="403"/>
      <c r="CQ80" s="403"/>
      <c r="CR80" s="403"/>
      <c r="CS80" s="564"/>
    </row>
    <row r="81" spans="1:97" s="15" customFormat="1" x14ac:dyDescent="0.25">
      <c r="B81" s="567"/>
      <c r="C81" s="33" t="str">
        <f t="shared" ref="C81" ca="1" si="34">IF(OFFSET(P81,0,Lang_Order*Lang__A2)="","",OFFSET(P81,0,Lang_Order*Lang__A2))</f>
        <v>A2.2.3 Older adults defined by age-based risk specific to country/region; specific age cut-off to be decided at the country level | Delivery Modality 1, 2, 3 (Residential Institutions), and/or 4 (Multi-day outreach) - voluntary eligibility</v>
      </c>
      <c r="D81" s="144"/>
      <c r="E81" s="144"/>
      <c r="F81" s="144"/>
      <c r="G81" s="144"/>
      <c r="H81" s="144"/>
      <c r="I81" s="144"/>
      <c r="J81" s="144"/>
      <c r="K81" s="144"/>
      <c r="L81" s="144"/>
      <c r="M81" s="403"/>
      <c r="N81" s="403"/>
      <c r="O81" s="403"/>
      <c r="P81" s="403" t="s">
        <v>14373</v>
      </c>
      <c r="Q81" s="403"/>
      <c r="R81" s="403"/>
      <c r="S81" s="403"/>
      <c r="T81" s="403"/>
      <c r="U81" s="403"/>
      <c r="V81" s="403"/>
      <c r="W81" s="403"/>
      <c r="X81" s="403" t="s">
        <v>197</v>
      </c>
      <c r="Y81" s="403"/>
      <c r="Z81" s="403"/>
      <c r="AA81" s="403"/>
      <c r="AB81" s="403" t="s">
        <v>14374</v>
      </c>
      <c r="AC81" s="403"/>
      <c r="AD81" s="403"/>
      <c r="AE81" s="403"/>
      <c r="AF81" s="403"/>
      <c r="AG81" s="403"/>
      <c r="AH81" s="403"/>
      <c r="AI81" s="403"/>
      <c r="AJ81" s="403"/>
      <c r="AK81" s="403"/>
      <c r="AL81" s="403"/>
      <c r="AM81" s="403"/>
      <c r="AN81" s="403" t="s">
        <v>14375</v>
      </c>
      <c r="AO81" s="403"/>
      <c r="AP81" s="403"/>
      <c r="AQ81" s="403"/>
      <c r="AR81" s="403"/>
      <c r="AS81" s="403"/>
      <c r="AT81" s="403"/>
      <c r="AU81" s="403"/>
      <c r="AV81" s="403"/>
      <c r="AW81" s="403"/>
      <c r="AX81" s="403"/>
      <c r="AY81" s="403"/>
      <c r="AZ81" s="403" t="s">
        <v>14376</v>
      </c>
      <c r="BA81" s="403"/>
      <c r="BB81" s="403"/>
      <c r="BC81" s="403"/>
      <c r="BD81" s="403"/>
      <c r="BE81" s="403"/>
      <c r="BF81" s="403"/>
      <c r="BG81" s="403"/>
      <c r="BH81" s="403"/>
      <c r="BI81" s="403"/>
      <c r="BJ81" s="403"/>
      <c r="BK81" s="403"/>
      <c r="BL81" s="403" t="s">
        <v>14377</v>
      </c>
      <c r="BM81" s="403"/>
      <c r="BN81" s="403"/>
      <c r="BO81" s="403"/>
      <c r="BP81" s="403"/>
      <c r="BQ81" s="403"/>
      <c r="BR81" s="403"/>
      <c r="BS81" s="403"/>
      <c r="BT81" s="403"/>
      <c r="BU81" s="403"/>
      <c r="BV81" s="403"/>
      <c r="BW81" s="403"/>
      <c r="BX81" s="403" t="s">
        <v>14378</v>
      </c>
      <c r="BY81" s="403"/>
      <c r="BZ81" s="403"/>
      <c r="CA81" s="403"/>
      <c r="CB81" s="403"/>
      <c r="CC81" s="403"/>
      <c r="CD81" s="403"/>
      <c r="CE81" s="403"/>
      <c r="CF81" s="403"/>
      <c r="CG81" s="403"/>
      <c r="CH81" s="403"/>
      <c r="CI81" s="403"/>
      <c r="CJ81" s="403" t="s">
        <v>14379</v>
      </c>
      <c r="CK81" s="403"/>
      <c r="CL81" s="403"/>
      <c r="CM81" s="403"/>
      <c r="CN81" s="403"/>
      <c r="CO81" s="403"/>
      <c r="CP81" s="403"/>
      <c r="CQ81" s="403"/>
      <c r="CR81" s="403"/>
      <c r="CS81" s="564"/>
    </row>
    <row r="82" spans="1:97" s="299" customFormat="1" ht="12.75" x14ac:dyDescent="0.2">
      <c r="A82" s="522"/>
      <c r="C82" s="622"/>
      <c r="D82" s="679" t="str">
        <f t="shared" ref="D82:D84" ca="1" si="35">IF(OFFSET(Q82,0,Lang_Order*Lang__A2)="","",OFFSET(Q82,0,Lang_Order*Lang__A2))</f>
        <v>Instructions: Based on the NDVP/SAGE recommendations, please select the specific age cut-off as decided by the country.</v>
      </c>
      <c r="E82" s="679"/>
      <c r="F82" s="679"/>
      <c r="G82" s="679"/>
      <c r="H82" s="679"/>
      <c r="I82" s="679"/>
      <c r="K82" s="567"/>
      <c r="L82" s="567"/>
      <c r="M82" s="403"/>
      <c r="N82" s="403"/>
      <c r="O82" s="403"/>
      <c r="P82" s="403"/>
      <c r="Q82" s="403" t="s">
        <v>4072</v>
      </c>
      <c r="R82" s="403"/>
      <c r="S82" s="403"/>
      <c r="T82" s="403"/>
      <c r="U82" s="403"/>
      <c r="V82" s="403"/>
      <c r="W82" s="403"/>
      <c r="X82" s="403" t="s">
        <v>197</v>
      </c>
      <c r="Y82" s="403"/>
      <c r="Z82" s="403"/>
      <c r="AA82" s="403"/>
      <c r="AB82" s="403"/>
      <c r="AC82" s="403" t="s">
        <v>6306</v>
      </c>
      <c r="AD82" s="403"/>
      <c r="AE82" s="403"/>
      <c r="AF82" s="403"/>
      <c r="AG82" s="403"/>
      <c r="AH82" s="403"/>
      <c r="AI82" s="403"/>
      <c r="AJ82" s="403"/>
      <c r="AK82" s="403"/>
      <c r="AL82" s="403"/>
      <c r="AM82" s="403"/>
      <c r="AN82" s="403"/>
      <c r="AO82" s="403" t="s">
        <v>6307</v>
      </c>
      <c r="AP82" s="403"/>
      <c r="AQ82" s="403"/>
      <c r="AR82" s="403"/>
      <c r="AS82" s="403"/>
      <c r="AT82" s="403"/>
      <c r="AU82" s="403"/>
      <c r="AV82" s="403"/>
      <c r="AW82" s="403"/>
      <c r="AX82" s="403"/>
      <c r="AY82" s="403"/>
      <c r="AZ82" s="403"/>
      <c r="BA82" s="403" t="s">
        <v>6308</v>
      </c>
      <c r="BB82" s="403"/>
      <c r="BC82" s="403"/>
      <c r="BD82" s="403"/>
      <c r="BE82" s="403"/>
      <c r="BF82" s="403"/>
      <c r="BG82" s="403"/>
      <c r="BH82" s="403"/>
      <c r="BI82" s="403"/>
      <c r="BJ82" s="403"/>
      <c r="BK82" s="403"/>
      <c r="BL82" s="403"/>
      <c r="BM82" s="403" t="s">
        <v>6309</v>
      </c>
      <c r="BN82" s="403"/>
      <c r="BO82" s="403"/>
      <c r="BP82" s="403"/>
      <c r="BQ82" s="403"/>
      <c r="BR82" s="403"/>
      <c r="BS82" s="403"/>
      <c r="BT82" s="403"/>
      <c r="BU82" s="403"/>
      <c r="BV82" s="403"/>
      <c r="BW82" s="403"/>
      <c r="BX82" s="403"/>
      <c r="BY82" s="403" t="s">
        <v>6310</v>
      </c>
      <c r="BZ82" s="403"/>
      <c r="CA82" s="403"/>
      <c r="CB82" s="403"/>
      <c r="CC82" s="403"/>
      <c r="CD82" s="403"/>
      <c r="CE82" s="403"/>
      <c r="CF82" s="403"/>
      <c r="CG82" s="403"/>
      <c r="CH82" s="403"/>
      <c r="CI82" s="403"/>
      <c r="CJ82" s="403"/>
      <c r="CK82" s="403" t="s">
        <v>6311</v>
      </c>
      <c r="CL82" s="403"/>
      <c r="CM82" s="403"/>
      <c r="CN82" s="403"/>
      <c r="CO82" s="403"/>
      <c r="CP82" s="403"/>
      <c r="CQ82" s="403"/>
      <c r="CR82" s="403"/>
      <c r="CS82" s="564"/>
    </row>
    <row r="83" spans="1:97" s="299" customFormat="1" ht="12.75" x14ac:dyDescent="0.2">
      <c r="C83" s="622"/>
      <c r="D83" s="327" t="str">
        <f t="shared" ca="1" si="35"/>
        <v>SAGE Population Description</v>
      </c>
      <c r="E83" s="68"/>
      <c r="F83" s="68"/>
      <c r="G83" s="68"/>
      <c r="H83" s="68"/>
      <c r="I83" s="68"/>
      <c r="J83" s="68"/>
      <c r="K83" s="567"/>
      <c r="L83" s="567"/>
      <c r="M83" s="403"/>
      <c r="N83" s="403"/>
      <c r="O83" s="403"/>
      <c r="P83" s="403"/>
      <c r="Q83" s="403" t="s">
        <v>3748</v>
      </c>
      <c r="R83" s="403"/>
      <c r="S83" s="403"/>
      <c r="T83" s="403"/>
      <c r="U83" s="403"/>
      <c r="V83" s="403"/>
      <c r="W83" s="403"/>
      <c r="X83" s="403" t="s">
        <v>197</v>
      </c>
      <c r="Y83" s="403"/>
      <c r="Z83" s="403"/>
      <c r="AA83" s="403"/>
      <c r="AB83" s="403"/>
      <c r="AC83" s="403" t="s">
        <v>6283</v>
      </c>
      <c r="AD83" s="403"/>
      <c r="AE83" s="403"/>
      <c r="AF83" s="403"/>
      <c r="AG83" s="403"/>
      <c r="AH83" s="403"/>
      <c r="AI83" s="403"/>
      <c r="AJ83" s="403"/>
      <c r="AK83" s="403"/>
      <c r="AL83" s="403"/>
      <c r="AM83" s="403"/>
      <c r="AN83" s="403"/>
      <c r="AO83" s="403" t="s">
        <v>6176</v>
      </c>
      <c r="AP83" s="403"/>
      <c r="AQ83" s="403"/>
      <c r="AR83" s="403"/>
      <c r="AS83" s="403"/>
      <c r="AT83" s="403"/>
      <c r="AU83" s="403"/>
      <c r="AV83" s="403"/>
      <c r="AW83" s="403"/>
      <c r="AX83" s="403"/>
      <c r="AY83" s="403"/>
      <c r="AZ83" s="403"/>
      <c r="BA83" s="403" t="s">
        <v>6084</v>
      </c>
      <c r="BB83" s="403"/>
      <c r="BC83" s="403"/>
      <c r="BD83" s="403"/>
      <c r="BE83" s="403"/>
      <c r="BF83" s="403"/>
      <c r="BG83" s="403"/>
      <c r="BH83" s="403"/>
      <c r="BI83" s="403"/>
      <c r="BJ83" s="403"/>
      <c r="BK83" s="403"/>
      <c r="BL83" s="403"/>
      <c r="BM83" s="403" t="s">
        <v>6085</v>
      </c>
      <c r="BN83" s="403"/>
      <c r="BO83" s="403"/>
      <c r="BP83" s="403"/>
      <c r="BQ83" s="403"/>
      <c r="BR83" s="403"/>
      <c r="BS83" s="403"/>
      <c r="BT83" s="403"/>
      <c r="BU83" s="403"/>
      <c r="BV83" s="403"/>
      <c r="BW83" s="403"/>
      <c r="BX83" s="403"/>
      <c r="BY83" s="403" t="s">
        <v>6086</v>
      </c>
      <c r="BZ83" s="403"/>
      <c r="CA83" s="403"/>
      <c r="CB83" s="403"/>
      <c r="CC83" s="403"/>
      <c r="CD83" s="403"/>
      <c r="CE83" s="403"/>
      <c r="CF83" s="403"/>
      <c r="CG83" s="403"/>
      <c r="CH83" s="403"/>
      <c r="CI83" s="403"/>
      <c r="CJ83" s="403"/>
      <c r="CK83" s="403" t="s">
        <v>6087</v>
      </c>
      <c r="CL83" s="403"/>
      <c r="CM83" s="403"/>
      <c r="CN83" s="403"/>
      <c r="CO83" s="403"/>
      <c r="CP83" s="403"/>
      <c r="CQ83" s="403"/>
      <c r="CR83" s="403"/>
      <c r="CS83" s="564"/>
    </row>
    <row r="84" spans="1:97" s="299" customFormat="1" ht="25.5" x14ac:dyDescent="0.2">
      <c r="C84" s="622"/>
      <c r="D84" s="328" t="str">
        <f t="shared" ca="1" si="35"/>
        <v>Older adults defined by age-based risk specific to country/region; specific age cut-off to be decided at the country level</v>
      </c>
      <c r="E84" s="68"/>
      <c r="F84" s="68"/>
      <c r="G84" s="68"/>
      <c r="H84" s="68"/>
      <c r="I84" s="68"/>
      <c r="J84" s="68"/>
      <c r="K84" s="567"/>
      <c r="L84" s="567"/>
      <c r="M84" s="403"/>
      <c r="N84" s="403"/>
      <c r="O84" s="403"/>
      <c r="P84" s="403"/>
      <c r="Q84" s="403" t="s">
        <v>3752</v>
      </c>
      <c r="R84" s="403"/>
      <c r="S84" s="403"/>
      <c r="T84" s="403"/>
      <c r="U84" s="403"/>
      <c r="V84" s="403"/>
      <c r="W84" s="403"/>
      <c r="X84" s="403" t="s">
        <v>197</v>
      </c>
      <c r="Y84" s="403"/>
      <c r="Z84" s="403"/>
      <c r="AA84" s="403"/>
      <c r="AB84" s="403"/>
      <c r="AC84" s="403" t="s">
        <v>6312</v>
      </c>
      <c r="AD84" s="403"/>
      <c r="AE84" s="403"/>
      <c r="AF84" s="403"/>
      <c r="AG84" s="403"/>
      <c r="AH84" s="403"/>
      <c r="AI84" s="403"/>
      <c r="AJ84" s="403"/>
      <c r="AK84" s="403"/>
      <c r="AL84" s="403"/>
      <c r="AM84" s="403"/>
      <c r="AN84" s="403"/>
      <c r="AO84" s="403" t="s">
        <v>6313</v>
      </c>
      <c r="AP84" s="403"/>
      <c r="AQ84" s="403"/>
      <c r="AR84" s="403"/>
      <c r="AS84" s="403"/>
      <c r="AT84" s="403"/>
      <c r="AU84" s="403"/>
      <c r="AV84" s="403"/>
      <c r="AW84" s="403"/>
      <c r="AX84" s="403"/>
      <c r="AY84" s="403"/>
      <c r="AZ84" s="403"/>
      <c r="BA84" s="403" t="s">
        <v>6314</v>
      </c>
      <c r="BB84" s="403"/>
      <c r="BC84" s="403"/>
      <c r="BD84" s="403"/>
      <c r="BE84" s="403"/>
      <c r="BF84" s="403"/>
      <c r="BG84" s="403"/>
      <c r="BH84" s="403"/>
      <c r="BI84" s="403"/>
      <c r="BJ84" s="403"/>
      <c r="BK84" s="403"/>
      <c r="BL84" s="403"/>
      <c r="BM84" s="403" t="s">
        <v>6315</v>
      </c>
      <c r="BN84" s="403"/>
      <c r="BO84" s="403"/>
      <c r="BP84" s="403"/>
      <c r="BQ84" s="403"/>
      <c r="BR84" s="403"/>
      <c r="BS84" s="403"/>
      <c r="BT84" s="403"/>
      <c r="BU84" s="403"/>
      <c r="BV84" s="403"/>
      <c r="BW84" s="403"/>
      <c r="BX84" s="403"/>
      <c r="BY84" s="403" t="s">
        <v>6316</v>
      </c>
      <c r="BZ84" s="403"/>
      <c r="CA84" s="403"/>
      <c r="CB84" s="403"/>
      <c r="CC84" s="403"/>
      <c r="CD84" s="403"/>
      <c r="CE84" s="403"/>
      <c r="CF84" s="403"/>
      <c r="CG84" s="403"/>
      <c r="CH84" s="403"/>
      <c r="CI84" s="403"/>
      <c r="CJ84" s="403"/>
      <c r="CK84" s="403" t="s">
        <v>6317</v>
      </c>
      <c r="CL84" s="403"/>
      <c r="CM84" s="403"/>
      <c r="CN84" s="403"/>
      <c r="CO84" s="403"/>
      <c r="CP84" s="403"/>
      <c r="CQ84" s="403"/>
      <c r="CR84" s="403"/>
      <c r="CS84" s="564"/>
    </row>
    <row r="85" spans="1:97" s="299" customFormat="1" ht="12.75" hidden="1" x14ac:dyDescent="0.2">
      <c r="C85" s="622"/>
      <c r="D85" s="68"/>
      <c r="E85" s="68"/>
      <c r="F85" s="68"/>
      <c r="G85" s="68"/>
      <c r="H85" s="68"/>
      <c r="I85" s="68"/>
      <c r="J85" s="68"/>
      <c r="K85" s="567"/>
      <c r="L85" s="567"/>
      <c r="M85" s="403"/>
      <c r="N85" s="403"/>
      <c r="O85" s="403"/>
      <c r="P85" s="403"/>
      <c r="Q85" s="403"/>
      <c r="R85" s="403"/>
      <c r="S85" s="403"/>
      <c r="T85" s="403"/>
      <c r="U85" s="403"/>
      <c r="V85" s="403"/>
      <c r="W85" s="403"/>
      <c r="X85" s="403" t="s">
        <v>197</v>
      </c>
      <c r="Y85" s="403"/>
      <c r="Z85" s="403"/>
      <c r="AA85" s="403"/>
      <c r="AB85" s="403"/>
      <c r="AC85" s="403"/>
      <c r="AD85" s="403"/>
      <c r="AE85" s="403"/>
      <c r="AF85" s="403"/>
      <c r="AG85" s="403"/>
      <c r="AH85" s="403"/>
      <c r="AI85" s="403"/>
      <c r="AJ85" s="403"/>
      <c r="AK85" s="403"/>
      <c r="AL85" s="403"/>
      <c r="AM85" s="403"/>
      <c r="AN85" s="403"/>
      <c r="AO85" s="403"/>
      <c r="AP85" s="403"/>
      <c r="AQ85" s="403"/>
      <c r="AR85" s="403"/>
      <c r="AS85" s="403"/>
      <c r="AT85" s="403"/>
      <c r="AU85" s="403"/>
      <c r="AV85" s="403"/>
      <c r="AW85" s="403"/>
      <c r="AX85" s="403"/>
      <c r="AY85" s="403"/>
      <c r="AZ85" s="403"/>
      <c r="BA85" s="403"/>
      <c r="BB85" s="403"/>
      <c r="BC85" s="403"/>
      <c r="BD85" s="403"/>
      <c r="BE85" s="403"/>
      <c r="BF85" s="403"/>
      <c r="BG85" s="403"/>
      <c r="BH85" s="403"/>
      <c r="BI85" s="403"/>
      <c r="BJ85" s="403"/>
      <c r="BK85" s="403"/>
      <c r="BL85" s="403"/>
      <c r="BM85" s="403"/>
      <c r="BN85" s="403"/>
      <c r="BO85" s="403"/>
      <c r="BP85" s="403"/>
      <c r="BQ85" s="403"/>
      <c r="BR85" s="403"/>
      <c r="BS85" s="403"/>
      <c r="BT85" s="403"/>
      <c r="BU85" s="403"/>
      <c r="BV85" s="403"/>
      <c r="BW85" s="403"/>
      <c r="BX85" s="403"/>
      <c r="BY85" s="403"/>
      <c r="BZ85" s="403"/>
      <c r="CA85" s="403"/>
      <c r="CB85" s="403"/>
      <c r="CC85" s="403"/>
      <c r="CD85" s="403"/>
      <c r="CE85" s="403"/>
      <c r="CF85" s="403"/>
      <c r="CG85" s="403"/>
      <c r="CH85" s="403"/>
      <c r="CI85" s="403"/>
      <c r="CJ85" s="403"/>
      <c r="CK85" s="403"/>
      <c r="CL85" s="403"/>
      <c r="CM85" s="403"/>
      <c r="CN85" s="403"/>
      <c r="CO85" s="403"/>
      <c r="CP85" s="403"/>
      <c r="CQ85" s="403"/>
      <c r="CR85" s="403"/>
      <c r="CS85" s="564"/>
    </row>
    <row r="86" spans="1:97" ht="12.75" hidden="1" x14ac:dyDescent="0.2">
      <c r="A86" s="350">
        <v>2</v>
      </c>
      <c r="B86" s="299"/>
      <c r="D86" s="97" t="str">
        <f t="shared" ref="D86:D88" ca="1" si="36">IF(OFFSET(Q86,0,Lang_Order*Lang__A2)="","",OFFSET(Q86,0,Lang_Order*Lang__A2))</f>
        <v>Select age cut-off</v>
      </c>
      <c r="E86" s="35">
        <v>65</v>
      </c>
      <c r="F86" s="87">
        <v>65</v>
      </c>
      <c r="G86" s="4" t="str">
        <f>IF(ISBLANK(E86),Lang_CHECK,"OK")</f>
        <v>OK</v>
      </c>
      <c r="H86" s="378" t="e">
        <f>Pop_HR_2021/Pop_Total_2021</f>
        <v>#N/A</v>
      </c>
      <c r="I86" s="2" t="str">
        <f t="shared" ref="I86" ca="1" si="37">IF(OFFSET(V86,0,Lang_Order*Lang__A2)="","",OFFSET(V86,0,Lang_Order*Lang__A2))</f>
        <v>Years | Percent of Total Population</v>
      </c>
      <c r="J86" s="3">
        <f>VLOOKUP(E86,UN_WPP_AgeOffset[],2,FALSE)</f>
        <v>5</v>
      </c>
      <c r="K86" s="567"/>
      <c r="L86" s="587"/>
      <c r="Q86" s="403" t="s">
        <v>3753</v>
      </c>
      <c r="V86" s="403" t="s">
        <v>1570</v>
      </c>
      <c r="X86" s="403" t="s">
        <v>197</v>
      </c>
      <c r="AC86" s="403" t="s">
        <v>6318</v>
      </c>
      <c r="AH86" s="403" t="s">
        <v>6319</v>
      </c>
      <c r="AO86" s="403" t="s">
        <v>6320</v>
      </c>
      <c r="AT86" s="403" t="s">
        <v>6321</v>
      </c>
      <c r="BA86" s="403" t="s">
        <v>6322</v>
      </c>
      <c r="BF86" s="403" t="s">
        <v>6323</v>
      </c>
      <c r="BM86" s="403" t="s">
        <v>6324</v>
      </c>
      <c r="BR86" s="403" t="s">
        <v>6325</v>
      </c>
      <c r="BY86" s="403" t="s">
        <v>6326</v>
      </c>
      <c r="CD86" s="403" t="s">
        <v>6327</v>
      </c>
      <c r="CK86" s="403" t="s">
        <v>6328</v>
      </c>
      <c r="CP86" s="403" t="s">
        <v>6329</v>
      </c>
    </row>
    <row r="87" spans="1:97" s="15" customFormat="1" ht="12.75" x14ac:dyDescent="0.2">
      <c r="A87" s="299"/>
      <c r="B87" s="299"/>
      <c r="C87" s="624"/>
      <c r="D87" s="679" t="str">
        <f t="shared" ca="1" si="36"/>
        <v>Instructions: Please confirm the total high-risk (by age) population data or specify the population using national data, if preferred</v>
      </c>
      <c r="E87" s="679"/>
      <c r="F87" s="679"/>
      <c r="G87" s="679"/>
      <c r="H87" s="679"/>
      <c r="I87" s="679"/>
      <c r="J87" s="34"/>
      <c r="K87" s="567"/>
      <c r="L87" s="567"/>
      <c r="M87" s="403"/>
      <c r="N87" s="403"/>
      <c r="O87" s="403"/>
      <c r="P87" s="403"/>
      <c r="Q87" s="403" t="s">
        <v>4073</v>
      </c>
      <c r="R87" s="403"/>
      <c r="S87" s="403"/>
      <c r="T87" s="403"/>
      <c r="U87" s="403"/>
      <c r="V87" s="403"/>
      <c r="W87" s="403"/>
      <c r="X87" s="403" t="s">
        <v>197</v>
      </c>
      <c r="Y87" s="403"/>
      <c r="Z87" s="403"/>
      <c r="AA87" s="403"/>
      <c r="AB87" s="403"/>
      <c r="AC87" s="403" t="s">
        <v>6330</v>
      </c>
      <c r="AD87" s="403"/>
      <c r="AE87" s="403"/>
      <c r="AF87" s="403"/>
      <c r="AG87" s="403"/>
      <c r="AH87" s="403"/>
      <c r="AI87" s="403"/>
      <c r="AJ87" s="403"/>
      <c r="AK87" s="403"/>
      <c r="AL87" s="403"/>
      <c r="AM87" s="403"/>
      <c r="AN87" s="403"/>
      <c r="AO87" s="403" t="s">
        <v>6331</v>
      </c>
      <c r="AP87" s="403"/>
      <c r="AQ87" s="403"/>
      <c r="AR87" s="403"/>
      <c r="AS87" s="403"/>
      <c r="AT87" s="403"/>
      <c r="AU87" s="403"/>
      <c r="AV87" s="403"/>
      <c r="AW87" s="403"/>
      <c r="AX87" s="403"/>
      <c r="AY87" s="403"/>
      <c r="AZ87" s="403"/>
      <c r="BA87" s="403" t="s">
        <v>6332</v>
      </c>
      <c r="BB87" s="403"/>
      <c r="BC87" s="403"/>
      <c r="BD87" s="403"/>
      <c r="BE87" s="403"/>
      <c r="BF87" s="403"/>
      <c r="BG87" s="403"/>
      <c r="BH87" s="403"/>
      <c r="BI87" s="403"/>
      <c r="BJ87" s="403"/>
      <c r="BK87" s="403"/>
      <c r="BL87" s="403"/>
      <c r="BM87" s="403" t="s">
        <v>6333</v>
      </c>
      <c r="BN87" s="403"/>
      <c r="BO87" s="403"/>
      <c r="BP87" s="403"/>
      <c r="BQ87" s="403"/>
      <c r="BR87" s="403"/>
      <c r="BS87" s="403"/>
      <c r="BT87" s="403"/>
      <c r="BU87" s="403"/>
      <c r="BV87" s="403"/>
      <c r="BW87" s="403"/>
      <c r="BX87" s="403"/>
      <c r="BY87" s="403" t="s">
        <v>6334</v>
      </c>
      <c r="BZ87" s="403"/>
      <c r="CA87" s="403"/>
      <c r="CB87" s="403"/>
      <c r="CC87" s="403"/>
      <c r="CD87" s="403"/>
      <c r="CE87" s="403"/>
      <c r="CF87" s="403"/>
      <c r="CG87" s="403"/>
      <c r="CH87" s="403"/>
      <c r="CI87" s="403"/>
      <c r="CJ87" s="403"/>
      <c r="CK87" s="403" t="s">
        <v>6335</v>
      </c>
      <c r="CL87" s="403"/>
      <c r="CM87" s="403"/>
      <c r="CN87" s="403"/>
      <c r="CO87" s="403"/>
      <c r="CP87" s="403"/>
      <c r="CQ87" s="403"/>
      <c r="CR87" s="403"/>
      <c r="CS87" s="564"/>
    </row>
    <row r="88" spans="1:97" s="15" customFormat="1" ht="12.75" x14ac:dyDescent="0.2">
      <c r="A88" s="299"/>
      <c r="B88" s="299"/>
      <c r="C88" s="624"/>
      <c r="D88" s="685" t="str">
        <f t="shared" ca="1" si="36"/>
        <v>Manually specify the older persons population here OR leave blank to use UN WPP (2019 Revision) Data</v>
      </c>
      <c r="E88" s="685"/>
      <c r="F88" s="685"/>
      <c r="G88" s="685"/>
      <c r="H88" s="685"/>
      <c r="I88" s="685"/>
      <c r="J88" s="34"/>
      <c r="K88" s="567"/>
      <c r="L88" s="567"/>
      <c r="M88" s="403"/>
      <c r="N88" s="403"/>
      <c r="O88" s="403"/>
      <c r="P88" s="403"/>
      <c r="Q88" s="403" t="s">
        <v>4074</v>
      </c>
      <c r="R88" s="403"/>
      <c r="S88" s="403"/>
      <c r="T88" s="403"/>
      <c r="U88" s="403"/>
      <c r="V88" s="403"/>
      <c r="W88" s="403"/>
      <c r="X88" s="403" t="s">
        <v>197</v>
      </c>
      <c r="Y88" s="403"/>
      <c r="Z88" s="403"/>
      <c r="AA88" s="403"/>
      <c r="AB88" s="403"/>
      <c r="AC88" s="403" t="s">
        <v>6336</v>
      </c>
      <c r="AD88" s="403"/>
      <c r="AE88" s="403"/>
      <c r="AF88" s="403"/>
      <c r="AG88" s="403"/>
      <c r="AH88" s="403"/>
      <c r="AI88" s="403"/>
      <c r="AJ88" s="403"/>
      <c r="AK88" s="403"/>
      <c r="AL88" s="403"/>
      <c r="AM88" s="403"/>
      <c r="AN88" s="403"/>
      <c r="AO88" s="403" t="s">
        <v>6337</v>
      </c>
      <c r="AP88" s="403"/>
      <c r="AQ88" s="403"/>
      <c r="AR88" s="403"/>
      <c r="AS88" s="403"/>
      <c r="AT88" s="403"/>
      <c r="AU88" s="403"/>
      <c r="AV88" s="403"/>
      <c r="AW88" s="403"/>
      <c r="AX88" s="403"/>
      <c r="AY88" s="403"/>
      <c r="AZ88" s="403"/>
      <c r="BA88" s="403" t="s">
        <v>6338</v>
      </c>
      <c r="BB88" s="403"/>
      <c r="BC88" s="403"/>
      <c r="BD88" s="403"/>
      <c r="BE88" s="403"/>
      <c r="BF88" s="403"/>
      <c r="BG88" s="403"/>
      <c r="BH88" s="403"/>
      <c r="BI88" s="403"/>
      <c r="BJ88" s="403"/>
      <c r="BK88" s="403"/>
      <c r="BL88" s="403"/>
      <c r="BM88" s="403" t="s">
        <v>6339</v>
      </c>
      <c r="BN88" s="403"/>
      <c r="BO88" s="403"/>
      <c r="BP88" s="403"/>
      <c r="BQ88" s="403"/>
      <c r="BR88" s="403"/>
      <c r="BS88" s="403"/>
      <c r="BT88" s="403"/>
      <c r="BU88" s="403"/>
      <c r="BV88" s="403"/>
      <c r="BW88" s="403"/>
      <c r="BX88" s="403"/>
      <c r="BY88" s="403" t="s">
        <v>6340</v>
      </c>
      <c r="BZ88" s="403"/>
      <c r="CA88" s="403"/>
      <c r="CB88" s="403"/>
      <c r="CC88" s="403"/>
      <c r="CD88" s="403"/>
      <c r="CE88" s="403"/>
      <c r="CF88" s="403"/>
      <c r="CG88" s="403"/>
      <c r="CH88" s="403"/>
      <c r="CI88" s="403"/>
      <c r="CJ88" s="403"/>
      <c r="CK88" s="403" t="s">
        <v>6341</v>
      </c>
      <c r="CL88" s="403"/>
      <c r="CM88" s="403"/>
      <c r="CN88" s="403"/>
      <c r="CO88" s="403"/>
      <c r="CP88" s="403"/>
      <c r="CQ88" s="403"/>
      <c r="CR88" s="403"/>
      <c r="CS88" s="564"/>
    </row>
    <row r="89" spans="1:97" ht="12.75" x14ac:dyDescent="0.2">
      <c r="A89" s="349">
        <v>1</v>
      </c>
      <c r="B89" s="299"/>
      <c r="D89" s="98" t="s">
        <v>21</v>
      </c>
      <c r="E89" s="32"/>
      <c r="F89" s="68"/>
      <c r="G89" s="4" t="str">
        <f>IF(ISBLANK(E89),Lang_CHECK,"OK")</f>
        <v>CHECK</v>
      </c>
      <c r="H89" s="250" t="e">
        <f>IF(ISBLANK(E89),ROUND(VLOOKUP(J89,UN_WPP[],UN_WPP_Offset,FALSE),0),E89)</f>
        <v>#N/A</v>
      </c>
      <c r="I89" s="2" t="str">
        <f t="shared" ref="I89:I92" ca="1" si="38">IF(OFFSET(V89,0,Lang_Order*Lang__A2)="","",OFFSET(V89,0,Lang_Order*Lang__A2))</f>
        <v>Number</v>
      </c>
      <c r="J89" s="3" t="str">
        <f>CONCATENATE(Country_Code,D89)</f>
        <v>CUS2021</v>
      </c>
      <c r="K89" s="143"/>
      <c r="L89" s="587"/>
      <c r="S89" s="403" t="s">
        <v>4103</v>
      </c>
      <c r="V89" s="403" t="s">
        <v>43</v>
      </c>
      <c r="X89" s="403" t="s">
        <v>1560</v>
      </c>
      <c r="AE89" s="403" t="s">
        <v>6342</v>
      </c>
      <c r="AH89" s="403" t="s">
        <v>6055</v>
      </c>
      <c r="AJ89" s="403" t="s">
        <v>1560</v>
      </c>
      <c r="AQ89" s="403" t="s">
        <v>6343</v>
      </c>
      <c r="AT89" s="403" t="s">
        <v>6056</v>
      </c>
      <c r="AV89" s="403" t="s">
        <v>6344</v>
      </c>
      <c r="BC89" s="403" t="s">
        <v>6345</v>
      </c>
      <c r="BF89" s="403" t="s">
        <v>6057</v>
      </c>
      <c r="BH89" s="403" t="s">
        <v>6067</v>
      </c>
      <c r="BO89" s="403" t="s">
        <v>5277</v>
      </c>
      <c r="BR89" s="403" t="s">
        <v>6057</v>
      </c>
      <c r="BT89" s="403" t="s">
        <v>6068</v>
      </c>
      <c r="CA89" s="403" t="s">
        <v>6346</v>
      </c>
      <c r="CD89" s="403" t="s">
        <v>6347</v>
      </c>
      <c r="CF89" s="403" t="s">
        <v>6348</v>
      </c>
      <c r="CM89" s="403" t="s">
        <v>5212</v>
      </c>
      <c r="CP89" s="403" t="s">
        <v>6059</v>
      </c>
      <c r="CR89" s="403" t="s">
        <v>6070</v>
      </c>
    </row>
    <row r="90" spans="1:97" ht="12.75" x14ac:dyDescent="0.2">
      <c r="A90" s="349">
        <v>1</v>
      </c>
      <c r="B90" s="299"/>
      <c r="D90" s="98" t="s">
        <v>22</v>
      </c>
      <c r="E90" s="32"/>
      <c r="F90" s="68"/>
      <c r="G90" s="4" t="str">
        <f>IF(ISBLANK(E90),Lang_CHECK,"OK")</f>
        <v>CHECK</v>
      </c>
      <c r="H90" s="250" t="e">
        <f>IF(ISBLANK(E90),ROUND(VLOOKUP(J90,UN_WPP[],UN_WPP_Offset,FALSE),0),E90)</f>
        <v>#N/A</v>
      </c>
      <c r="I90" s="2" t="str">
        <f t="shared" ca="1" si="38"/>
        <v>Number</v>
      </c>
      <c r="J90" s="3" t="str">
        <f>CONCATENATE(Country_Code,D90)</f>
        <v>CUS2022</v>
      </c>
      <c r="K90" s="143"/>
      <c r="L90" s="587"/>
      <c r="S90" s="403" t="s">
        <v>4103</v>
      </c>
      <c r="V90" s="403" t="s">
        <v>43</v>
      </c>
      <c r="X90" s="403" t="s">
        <v>1560</v>
      </c>
      <c r="AE90" s="403" t="s">
        <v>6342</v>
      </c>
      <c r="AH90" s="403" t="s">
        <v>6055</v>
      </c>
      <c r="AJ90" s="403" t="s">
        <v>1560</v>
      </c>
      <c r="AQ90" s="403" t="s">
        <v>6343</v>
      </c>
      <c r="AT90" s="403" t="s">
        <v>6056</v>
      </c>
      <c r="AV90" s="403" t="s">
        <v>6344</v>
      </c>
      <c r="BC90" s="403" t="s">
        <v>6345</v>
      </c>
      <c r="BF90" s="403" t="s">
        <v>6057</v>
      </c>
      <c r="BH90" s="403" t="s">
        <v>6067</v>
      </c>
      <c r="BO90" s="403" t="s">
        <v>5277</v>
      </c>
      <c r="BR90" s="403" t="s">
        <v>6057</v>
      </c>
      <c r="BT90" s="403" t="s">
        <v>6068</v>
      </c>
      <c r="CA90" s="403" t="s">
        <v>6346</v>
      </c>
      <c r="CD90" s="403" t="s">
        <v>6347</v>
      </c>
      <c r="CF90" s="403" t="s">
        <v>6348</v>
      </c>
      <c r="CM90" s="403" t="s">
        <v>5212</v>
      </c>
      <c r="CP90" s="403" t="s">
        <v>6059</v>
      </c>
      <c r="CR90" s="403" t="s">
        <v>6070</v>
      </c>
    </row>
    <row r="91" spans="1:97" ht="12.75" x14ac:dyDescent="0.2">
      <c r="A91" s="349">
        <v>1</v>
      </c>
      <c r="B91" s="299"/>
      <c r="D91" s="98" t="s">
        <v>23</v>
      </c>
      <c r="E91" s="32"/>
      <c r="F91" s="68"/>
      <c r="G91" s="4" t="str">
        <f>IF(ISBLANK(E91),Lang_CHECK,"OK")</f>
        <v>CHECK</v>
      </c>
      <c r="H91" s="250" t="e">
        <f>IF(ISBLANK(E91),ROUND(VLOOKUP(J91,UN_WPP[],UN_WPP_Offset,FALSE),0),E91)</f>
        <v>#N/A</v>
      </c>
      <c r="I91" s="2" t="str">
        <f t="shared" ca="1" si="38"/>
        <v>Number</v>
      </c>
      <c r="J91" s="3" t="str">
        <f>CONCATENATE(Country_Code,D91)</f>
        <v>CUS2023</v>
      </c>
      <c r="K91" s="143"/>
      <c r="L91" s="587"/>
      <c r="S91" s="403" t="s">
        <v>4103</v>
      </c>
      <c r="V91" s="403" t="s">
        <v>43</v>
      </c>
      <c r="X91" s="403" t="s">
        <v>1560</v>
      </c>
      <c r="AE91" s="403" t="s">
        <v>6342</v>
      </c>
      <c r="AH91" s="403" t="s">
        <v>6055</v>
      </c>
      <c r="AJ91" s="403" t="s">
        <v>1560</v>
      </c>
      <c r="AQ91" s="403" t="s">
        <v>6343</v>
      </c>
      <c r="AT91" s="403" t="s">
        <v>6056</v>
      </c>
      <c r="AV91" s="403" t="s">
        <v>6344</v>
      </c>
      <c r="BC91" s="403" t="s">
        <v>6345</v>
      </c>
      <c r="BF91" s="403" t="s">
        <v>6057</v>
      </c>
      <c r="BH91" s="403" t="s">
        <v>6067</v>
      </c>
      <c r="BO91" s="403" t="s">
        <v>5277</v>
      </c>
      <c r="BR91" s="403" t="s">
        <v>6057</v>
      </c>
      <c r="BT91" s="403" t="s">
        <v>6068</v>
      </c>
      <c r="CA91" s="403" t="s">
        <v>6346</v>
      </c>
      <c r="CD91" s="403" t="s">
        <v>6347</v>
      </c>
      <c r="CF91" s="403" t="s">
        <v>6348</v>
      </c>
      <c r="CM91" s="403" t="s">
        <v>5212</v>
      </c>
      <c r="CP91" s="403" t="s">
        <v>6059</v>
      </c>
      <c r="CR91" s="403" t="s">
        <v>6070</v>
      </c>
    </row>
    <row r="92" spans="1:97" ht="12.75" hidden="1" x14ac:dyDescent="0.2">
      <c r="B92" s="346" t="s">
        <v>14112</v>
      </c>
      <c r="D92" s="98" t="s">
        <v>24</v>
      </c>
      <c r="E92" s="35"/>
      <c r="F92" s="81" t="str">
        <f>Lang_LeaveBlank</f>
        <v>Leave Blank</v>
      </c>
      <c r="G92" s="4" t="str">
        <f>IF(ISBLANK(H92),Lang_CHECK,"OK")</f>
        <v>OK</v>
      </c>
      <c r="H92" s="178" t="e">
        <f>IF(ISBLANK(E92),ROUND(VLOOKUP(J92,UN_WPP[],UN_WPP_Offset,FALSE),0),E92)</f>
        <v>#N/A</v>
      </c>
      <c r="I92" s="2" t="str">
        <f t="shared" ca="1" si="38"/>
        <v>Number</v>
      </c>
      <c r="J92" s="3" t="str">
        <f>CONCATENATE(Country_Code,D92)</f>
        <v>CUS2024</v>
      </c>
      <c r="K92" s="143" t="str">
        <f t="shared" ref="K92:K106" ca="1" si="39">IF(OFFSET(X92,0,Lang_Order*Lang__A2)="","",OFFSET(X92,0,Lang_Order*Lang__A2))</f>
        <v>Source: UN WPP 2019</v>
      </c>
      <c r="L92" s="587"/>
      <c r="Q92" s="403" t="s">
        <v>24</v>
      </c>
      <c r="S92" s="403" t="s">
        <v>4103</v>
      </c>
      <c r="V92" s="403" t="s">
        <v>43</v>
      </c>
      <c r="X92" s="403" t="s">
        <v>1560</v>
      </c>
      <c r="AC92" s="403">
        <v>2024</v>
      </c>
      <c r="AE92" s="403" t="s">
        <v>4103</v>
      </c>
      <c r="AH92" s="403" t="s">
        <v>43</v>
      </c>
      <c r="AJ92" s="403" t="s">
        <v>1560</v>
      </c>
      <c r="AO92" s="403" t="s">
        <v>6349</v>
      </c>
      <c r="AQ92" s="403" t="s">
        <v>6350</v>
      </c>
      <c r="AT92" s="403" t="s">
        <v>6071</v>
      </c>
      <c r="AV92" s="403" t="s">
        <v>6072</v>
      </c>
      <c r="BA92" s="403" t="s">
        <v>6351</v>
      </c>
      <c r="BC92" s="403" t="s">
        <v>6352</v>
      </c>
      <c r="BF92" s="403" t="s">
        <v>6073</v>
      </c>
      <c r="BH92" s="403" t="s">
        <v>6074</v>
      </c>
      <c r="BM92" s="403" t="s">
        <v>24</v>
      </c>
      <c r="BO92" s="403" t="s">
        <v>5277</v>
      </c>
      <c r="BR92" s="403" t="s">
        <v>6057</v>
      </c>
      <c r="BT92" s="403" t="s">
        <v>6068</v>
      </c>
      <c r="BY92" s="403" t="s">
        <v>6353</v>
      </c>
      <c r="CA92" s="403" t="s">
        <v>6354</v>
      </c>
      <c r="CD92" s="403" t="s">
        <v>6058</v>
      </c>
      <c r="CF92" s="403" t="s">
        <v>6075</v>
      </c>
      <c r="CK92" s="403">
        <v>2024</v>
      </c>
      <c r="CM92" s="403" t="s">
        <v>5212</v>
      </c>
      <c r="CP92" s="403" t="s">
        <v>6059</v>
      </c>
      <c r="CR92" s="403" t="s">
        <v>6070</v>
      </c>
    </row>
    <row r="93" spans="1:97" s="299" customFormat="1" ht="12.75" x14ac:dyDescent="0.2">
      <c r="C93" s="622"/>
      <c r="D93" s="679" t="str">
        <f t="shared" ref="D93" ca="1" si="40">IF(OFFSET(Q93,0,Lang_Order*Lang__A2)="","",OFFSET(Q93,0,Lang_Order*Lang__A2))</f>
        <v>Instructions: If the country wishes to cover older persons living in residential institutions, please fill below. Else enter 0.</v>
      </c>
      <c r="E93" s="679"/>
      <c r="F93" s="679"/>
      <c r="G93" s="679"/>
      <c r="H93" s="679"/>
      <c r="I93" s="679"/>
      <c r="K93" s="567"/>
      <c r="L93" s="567"/>
      <c r="M93" s="403"/>
      <c r="N93" s="403"/>
      <c r="O93" s="403"/>
      <c r="P93" s="403"/>
      <c r="Q93" s="403" t="s">
        <v>4075</v>
      </c>
      <c r="R93" s="403"/>
      <c r="S93" s="403"/>
      <c r="T93" s="403"/>
      <c r="U93" s="403"/>
      <c r="V93" s="403"/>
      <c r="W93" s="403"/>
      <c r="X93" s="403" t="s">
        <v>197</v>
      </c>
      <c r="Y93" s="403"/>
      <c r="Z93" s="403"/>
      <c r="AA93" s="403"/>
      <c r="AB93" s="403"/>
      <c r="AC93" s="403" t="s">
        <v>6355</v>
      </c>
      <c r="AD93" s="403"/>
      <c r="AE93" s="403"/>
      <c r="AF93" s="403"/>
      <c r="AG93" s="403"/>
      <c r="AH93" s="403"/>
      <c r="AI93" s="403"/>
      <c r="AJ93" s="403"/>
      <c r="AK93" s="403"/>
      <c r="AL93" s="403"/>
      <c r="AM93" s="403"/>
      <c r="AN93" s="403"/>
      <c r="AO93" s="403" t="s">
        <v>6356</v>
      </c>
      <c r="AP93" s="403"/>
      <c r="AQ93" s="403"/>
      <c r="AR93" s="403"/>
      <c r="AS93" s="403"/>
      <c r="AT93" s="403"/>
      <c r="AU93" s="403"/>
      <c r="AV93" s="403"/>
      <c r="AW93" s="403"/>
      <c r="AX93" s="403"/>
      <c r="AY93" s="403"/>
      <c r="AZ93" s="403"/>
      <c r="BA93" s="403" t="s">
        <v>6357</v>
      </c>
      <c r="BB93" s="403"/>
      <c r="BC93" s="403"/>
      <c r="BD93" s="403"/>
      <c r="BE93" s="403"/>
      <c r="BF93" s="403"/>
      <c r="BG93" s="403"/>
      <c r="BH93" s="403"/>
      <c r="BI93" s="403"/>
      <c r="BJ93" s="403"/>
      <c r="BK93" s="403"/>
      <c r="BL93" s="403"/>
      <c r="BM93" s="403" t="s">
        <v>6358</v>
      </c>
      <c r="BN93" s="403"/>
      <c r="BO93" s="403"/>
      <c r="BP93" s="403"/>
      <c r="BQ93" s="403"/>
      <c r="BR93" s="403"/>
      <c r="BS93" s="403"/>
      <c r="BT93" s="403"/>
      <c r="BU93" s="403"/>
      <c r="BV93" s="403"/>
      <c r="BW93" s="403"/>
      <c r="BX93" s="403"/>
      <c r="BY93" s="403" t="s">
        <v>6359</v>
      </c>
      <c r="BZ93" s="403"/>
      <c r="CA93" s="403"/>
      <c r="CB93" s="403"/>
      <c r="CC93" s="403"/>
      <c r="CD93" s="403"/>
      <c r="CE93" s="403"/>
      <c r="CF93" s="403"/>
      <c r="CG93" s="403"/>
      <c r="CH93" s="403"/>
      <c r="CI93" s="403"/>
      <c r="CJ93" s="403"/>
      <c r="CK93" s="403" t="s">
        <v>6360</v>
      </c>
      <c r="CL93" s="403"/>
      <c r="CM93" s="403"/>
      <c r="CN93" s="403"/>
      <c r="CO93" s="403"/>
      <c r="CP93" s="403"/>
      <c r="CQ93" s="403"/>
      <c r="CR93" s="403"/>
      <c r="CS93" s="564"/>
    </row>
    <row r="94" spans="1:97" s="299" customFormat="1" ht="12.75" x14ac:dyDescent="0.2">
      <c r="B94" s="567"/>
      <c r="C94" s="622"/>
      <c r="D94" s="333" t="str">
        <f t="shared" ref="D94:D98" ca="1" si="41">IF(OFFSET(Q94,0,Lang_Order*Lang__A2)="","",OFFSET(Q94,0,Lang_Order*Lang__A2))</f>
        <v>How many (absolute number or percent of older persons) live in residential institutions?</v>
      </c>
      <c r="K94" s="143" t="str">
        <f t="shared" ca="1" si="39"/>
        <v>Delivery Modality 3</v>
      </c>
      <c r="L94" s="567"/>
      <c r="M94" s="403"/>
      <c r="N94" s="403"/>
      <c r="O94" s="403"/>
      <c r="P94" s="403"/>
      <c r="Q94" s="403" t="s">
        <v>3751</v>
      </c>
      <c r="R94" s="403"/>
      <c r="S94" s="403"/>
      <c r="T94" s="403"/>
      <c r="U94" s="403"/>
      <c r="V94" s="403"/>
      <c r="W94" s="403"/>
      <c r="X94" s="403" t="s">
        <v>1564</v>
      </c>
      <c r="Y94" s="403"/>
      <c r="Z94" s="403"/>
      <c r="AA94" s="403"/>
      <c r="AB94" s="403"/>
      <c r="AC94" s="403" t="s">
        <v>6361</v>
      </c>
      <c r="AD94" s="403"/>
      <c r="AE94" s="403"/>
      <c r="AF94" s="403"/>
      <c r="AG94" s="403"/>
      <c r="AH94" s="403"/>
      <c r="AI94" s="403"/>
      <c r="AJ94" s="403" t="s">
        <v>7418</v>
      </c>
      <c r="AK94" s="403"/>
      <c r="AL94" s="403"/>
      <c r="AM94" s="403"/>
      <c r="AN94" s="403"/>
      <c r="AO94" s="403" t="s">
        <v>6362</v>
      </c>
      <c r="AP94" s="403"/>
      <c r="AQ94" s="403"/>
      <c r="AR94" s="403"/>
      <c r="AS94" s="403"/>
      <c r="AT94" s="403"/>
      <c r="AU94" s="403"/>
      <c r="AV94" s="403" t="s">
        <v>9676</v>
      </c>
      <c r="AW94" s="403"/>
      <c r="AX94" s="403"/>
      <c r="AY94" s="403"/>
      <c r="AZ94" s="403"/>
      <c r="BA94" s="403" t="s">
        <v>6363</v>
      </c>
      <c r="BB94" s="403"/>
      <c r="BC94" s="403"/>
      <c r="BD94" s="403"/>
      <c r="BE94" s="403"/>
      <c r="BF94" s="403"/>
      <c r="BG94" s="403"/>
      <c r="BH94" s="403" t="s">
        <v>7420</v>
      </c>
      <c r="BI94" s="403"/>
      <c r="BJ94" s="403"/>
      <c r="BK94" s="403"/>
      <c r="BL94" s="403"/>
      <c r="BM94" s="403" t="s">
        <v>6364</v>
      </c>
      <c r="BN94" s="403"/>
      <c r="BO94" s="403"/>
      <c r="BP94" s="403"/>
      <c r="BQ94" s="403"/>
      <c r="BR94" s="403"/>
      <c r="BS94" s="403"/>
      <c r="BT94" s="403" t="s">
        <v>13842</v>
      </c>
      <c r="BU94" s="403"/>
      <c r="BV94" s="403"/>
      <c r="BW94" s="403"/>
      <c r="BX94" s="403"/>
      <c r="BY94" s="403" t="s">
        <v>6365</v>
      </c>
      <c r="BZ94" s="403"/>
      <c r="CA94" s="403"/>
      <c r="CB94" s="403"/>
      <c r="CC94" s="403"/>
      <c r="CD94" s="403"/>
      <c r="CE94" s="403"/>
      <c r="CF94" s="403" t="s">
        <v>7422</v>
      </c>
      <c r="CG94" s="403"/>
      <c r="CH94" s="403"/>
      <c r="CI94" s="403"/>
      <c r="CJ94" s="403"/>
      <c r="CK94" s="403" t="s">
        <v>6366</v>
      </c>
      <c r="CL94" s="403"/>
      <c r="CM94" s="403"/>
      <c r="CN94" s="403"/>
      <c r="CO94" s="403"/>
      <c r="CP94" s="403"/>
      <c r="CQ94" s="403"/>
      <c r="CR94" s="403" t="s">
        <v>7423</v>
      </c>
      <c r="CS94" s="564"/>
    </row>
    <row r="95" spans="1:97" s="15" customFormat="1" ht="12.75" x14ac:dyDescent="0.2">
      <c r="A95" s="349">
        <v>1</v>
      </c>
      <c r="B95" s="299"/>
      <c r="C95" s="624"/>
      <c r="D95" s="7" t="str">
        <f t="shared" ca="1" si="41"/>
        <v>… as absolute number OR</v>
      </c>
      <c r="E95" s="362"/>
      <c r="F95" s="680" t="str">
        <f t="shared" ref="F95:F96" ca="1" si="42">IF(OFFSET(S95,0,Lang_Order*Lang__A2)="","",OFFSET(S95,0,Lang_Order*Lang__A2))</f>
        <v>} OR</v>
      </c>
      <c r="G95" s="4" t="str">
        <f>IF(_xlfn.XOR(ISBLANK(E95),ISBLANK(E96)),"OK",Lang_CHECK)</f>
        <v>CHECK</v>
      </c>
      <c r="H95" s="384" t="e">
        <f>E95/(Pop_HR_2021)</f>
        <v>#N/A</v>
      </c>
      <c r="I95" s="141" t="str">
        <f t="shared" ref="I95:I98" ca="1" si="43">IF(OFFSET(V95,0,Lang_Order*Lang__A2)="","",OFFSET(V95,0,Lang_Order*Lang__A2))</f>
        <v>Whole number</v>
      </c>
      <c r="J95" s="299"/>
      <c r="K95" s="143" t="str">
        <f t="shared" ca="1" si="39"/>
        <v>e.g. nursing homes; assumes this sub-population is immobile</v>
      </c>
      <c r="L95" s="587"/>
      <c r="M95" s="403"/>
      <c r="N95" s="403"/>
      <c r="O95" s="403"/>
      <c r="P95" s="403"/>
      <c r="Q95" s="403" t="s">
        <v>4076</v>
      </c>
      <c r="R95" s="403"/>
      <c r="S95" s="403" t="s">
        <v>2876</v>
      </c>
      <c r="T95" s="403"/>
      <c r="U95" s="403"/>
      <c r="V95" s="403" t="s">
        <v>45</v>
      </c>
      <c r="W95" s="403"/>
      <c r="X95" s="403" t="s">
        <v>46</v>
      </c>
      <c r="Y95" s="403"/>
      <c r="Z95" s="403"/>
      <c r="AA95" s="403"/>
      <c r="AB95" s="403"/>
      <c r="AC95" s="403" t="s">
        <v>6367</v>
      </c>
      <c r="AD95" s="403"/>
      <c r="AE95" s="403" t="s">
        <v>6120</v>
      </c>
      <c r="AF95" s="403"/>
      <c r="AG95" s="403"/>
      <c r="AH95" s="403" t="s">
        <v>6121</v>
      </c>
      <c r="AI95" s="403"/>
      <c r="AJ95" s="403" t="s">
        <v>6368</v>
      </c>
      <c r="AK95" s="403"/>
      <c r="AL95" s="403"/>
      <c r="AM95" s="403"/>
      <c r="AN95" s="403"/>
      <c r="AO95" s="403" t="s">
        <v>6369</v>
      </c>
      <c r="AP95" s="403"/>
      <c r="AQ95" s="403" t="s">
        <v>6370</v>
      </c>
      <c r="AR95" s="403"/>
      <c r="AS95" s="403"/>
      <c r="AT95" s="403" t="s">
        <v>6371</v>
      </c>
      <c r="AU95" s="403"/>
      <c r="AV95" s="403" t="s">
        <v>6372</v>
      </c>
      <c r="AW95" s="403"/>
      <c r="AX95" s="403"/>
      <c r="AY95" s="403"/>
      <c r="AZ95" s="403"/>
      <c r="BA95" s="403" t="s">
        <v>6373</v>
      </c>
      <c r="BB95" s="403"/>
      <c r="BC95" s="403" t="s">
        <v>6126</v>
      </c>
      <c r="BD95" s="403"/>
      <c r="BE95" s="403"/>
      <c r="BF95" s="403" t="s">
        <v>6127</v>
      </c>
      <c r="BG95" s="403"/>
      <c r="BH95" s="403" t="s">
        <v>6374</v>
      </c>
      <c r="BI95" s="403"/>
      <c r="BJ95" s="403"/>
      <c r="BK95" s="403"/>
      <c r="BL95" s="403"/>
      <c r="BM95" s="403" t="s">
        <v>6375</v>
      </c>
      <c r="BN95" s="403"/>
      <c r="BO95" s="403" t="s">
        <v>6120</v>
      </c>
      <c r="BP95" s="403"/>
      <c r="BQ95" s="403"/>
      <c r="BR95" s="403" t="s">
        <v>6129</v>
      </c>
      <c r="BS95" s="403"/>
      <c r="BT95" s="403" t="s">
        <v>6376</v>
      </c>
      <c r="BU95" s="403"/>
      <c r="BV95" s="403"/>
      <c r="BW95" s="403"/>
      <c r="BX95" s="403"/>
      <c r="BY95" s="403" t="s">
        <v>6377</v>
      </c>
      <c r="BZ95" s="403"/>
      <c r="CA95" s="403" t="s">
        <v>6378</v>
      </c>
      <c r="CB95" s="403"/>
      <c r="CC95" s="403"/>
      <c r="CD95" s="403" t="s">
        <v>6254</v>
      </c>
      <c r="CE95" s="403"/>
      <c r="CF95" s="403" t="s">
        <v>6379</v>
      </c>
      <c r="CG95" s="403"/>
      <c r="CH95" s="403"/>
      <c r="CI95" s="403"/>
      <c r="CJ95" s="403"/>
      <c r="CK95" s="403" t="s">
        <v>6295</v>
      </c>
      <c r="CL95" s="403"/>
      <c r="CM95" s="403" t="s">
        <v>6134</v>
      </c>
      <c r="CN95" s="403"/>
      <c r="CO95" s="403"/>
      <c r="CP95" s="403" t="s">
        <v>6135</v>
      </c>
      <c r="CQ95" s="403"/>
      <c r="CR95" s="403" t="s">
        <v>6380</v>
      </c>
      <c r="CS95" s="564"/>
    </row>
    <row r="96" spans="1:97" s="15" customFormat="1" ht="12.75" x14ac:dyDescent="0.2">
      <c r="A96" s="349">
        <v>1</v>
      </c>
      <c r="B96" s="299"/>
      <c r="C96" s="624"/>
      <c r="D96" s="7" t="str">
        <f t="shared" ca="1" si="41"/>
        <v>… as percent</v>
      </c>
      <c r="E96" s="363"/>
      <c r="F96" s="680" t="str">
        <f t="shared" ca="1" si="42"/>
        <v/>
      </c>
      <c r="G96" s="4" t="e">
        <f>IF(H96&gt;J96,Lang_CHECK,"OK")</f>
        <v>#N/A</v>
      </c>
      <c r="H96" s="384" t="e">
        <f>IF(ISBLANK(E96),H95,E96)</f>
        <v>#N/A</v>
      </c>
      <c r="I96" s="2" t="str">
        <f t="shared" ca="1" si="43"/>
        <v>Percent of High-Risk (by Age) Population</v>
      </c>
      <c r="J96" s="405">
        <v>0.1</v>
      </c>
      <c r="K96" s="143" t="str">
        <f t="shared" ca="1" si="39"/>
        <v xml:space="preserve">Max 10%; </v>
      </c>
      <c r="L96" s="587"/>
      <c r="M96" s="403"/>
      <c r="N96" s="403"/>
      <c r="O96" s="403"/>
      <c r="P96" s="403"/>
      <c r="Q96" s="403" t="s">
        <v>2629</v>
      </c>
      <c r="R96" s="403"/>
      <c r="S96" s="403"/>
      <c r="T96" s="403"/>
      <c r="U96" s="403"/>
      <c r="V96" s="403" t="s">
        <v>39</v>
      </c>
      <c r="W96" s="403"/>
      <c r="X96" s="403" t="s">
        <v>3010</v>
      </c>
      <c r="Y96" s="403"/>
      <c r="Z96" s="403"/>
      <c r="AA96" s="403"/>
      <c r="AB96" s="403"/>
      <c r="AC96" s="403" t="s">
        <v>6136</v>
      </c>
      <c r="AD96" s="403"/>
      <c r="AE96" s="403"/>
      <c r="AF96" s="403"/>
      <c r="AG96" s="403"/>
      <c r="AH96" s="403" t="s">
        <v>6381</v>
      </c>
      <c r="AI96" s="403"/>
      <c r="AJ96" s="403" t="s">
        <v>2632</v>
      </c>
      <c r="AK96" s="403"/>
      <c r="AL96" s="403"/>
      <c r="AM96" s="403"/>
      <c r="AN96" s="403"/>
      <c r="AO96" s="403" t="s">
        <v>6139</v>
      </c>
      <c r="AP96" s="403"/>
      <c r="AQ96" s="403"/>
      <c r="AR96" s="403"/>
      <c r="AS96" s="403"/>
      <c r="AT96" s="403" t="s">
        <v>6382</v>
      </c>
      <c r="AU96" s="403"/>
      <c r="AV96" s="403" t="s">
        <v>6383</v>
      </c>
      <c r="AW96" s="403"/>
      <c r="AX96" s="403"/>
      <c r="AY96" s="403"/>
      <c r="AZ96" s="403"/>
      <c r="BA96" s="403" t="s">
        <v>6142</v>
      </c>
      <c r="BB96" s="403"/>
      <c r="BC96" s="403"/>
      <c r="BD96" s="403"/>
      <c r="BE96" s="403"/>
      <c r="BF96" s="403" t="s">
        <v>6384</v>
      </c>
      <c r="BG96" s="403"/>
      <c r="BH96" s="403" t="s">
        <v>3010</v>
      </c>
      <c r="BI96" s="403"/>
      <c r="BJ96" s="403"/>
      <c r="BK96" s="403"/>
      <c r="BL96" s="403"/>
      <c r="BM96" s="403" t="s">
        <v>6145</v>
      </c>
      <c r="BN96" s="403"/>
      <c r="BO96" s="403"/>
      <c r="BP96" s="403"/>
      <c r="BQ96" s="403"/>
      <c r="BR96" s="403" t="s">
        <v>6385</v>
      </c>
      <c r="BS96" s="403"/>
      <c r="BT96" s="403" t="s">
        <v>6386</v>
      </c>
      <c r="BU96" s="403"/>
      <c r="BV96" s="403"/>
      <c r="BW96" s="403"/>
      <c r="BX96" s="403"/>
      <c r="BY96" s="403" t="s">
        <v>6387</v>
      </c>
      <c r="BZ96" s="403"/>
      <c r="CA96" s="403"/>
      <c r="CB96" s="403"/>
      <c r="CC96" s="403"/>
      <c r="CD96" s="403" t="s">
        <v>6388</v>
      </c>
      <c r="CE96" s="403"/>
      <c r="CF96" s="403" t="s">
        <v>6389</v>
      </c>
      <c r="CG96" s="403"/>
      <c r="CH96" s="403"/>
      <c r="CI96" s="403"/>
      <c r="CJ96" s="403"/>
      <c r="CK96" s="403" t="s">
        <v>6151</v>
      </c>
      <c r="CL96" s="403"/>
      <c r="CM96" s="403"/>
      <c r="CN96" s="403"/>
      <c r="CO96" s="403"/>
      <c r="CP96" s="403" t="s">
        <v>6390</v>
      </c>
      <c r="CQ96" s="403"/>
      <c r="CR96" s="403" t="s">
        <v>6391</v>
      </c>
      <c r="CS96" s="564"/>
    </row>
    <row r="97" spans="1:97" ht="12.75" x14ac:dyDescent="0.2">
      <c r="A97" s="350">
        <v>2</v>
      </c>
      <c r="B97" s="299"/>
      <c r="D97" s="23" t="str">
        <f t="shared" ca="1" si="41"/>
        <v>One social care staff looks after how many residents?</v>
      </c>
      <c r="E97" s="35">
        <v>3</v>
      </c>
      <c r="G97" s="4" t="str">
        <f>IF(ISBLANK(E97),Lang_CHECK,"OK")</f>
        <v>OK</v>
      </c>
      <c r="H97"/>
      <c r="I97" s="2" t="str">
        <f t="shared" ca="1" si="43"/>
        <v>One staff for every n residents.</v>
      </c>
      <c r="J97" s="299"/>
      <c r="K97" s="143" t="str">
        <f t="shared" ca="1" si="39"/>
        <v>Derive the number of social care workers from this - will be vaccinated together with residents; Enter zero if not covering this group.</v>
      </c>
      <c r="L97" s="587"/>
      <c r="Q97" s="403" t="s">
        <v>3755</v>
      </c>
      <c r="V97" s="403" t="s">
        <v>3200</v>
      </c>
      <c r="X97" s="403" t="s">
        <v>3832</v>
      </c>
      <c r="AC97" s="403" t="s">
        <v>6392</v>
      </c>
      <c r="AH97" s="403" t="s">
        <v>6393</v>
      </c>
      <c r="AJ97" s="403" t="s">
        <v>6394</v>
      </c>
      <c r="AO97" s="403" t="s">
        <v>6395</v>
      </c>
      <c r="AT97" s="403" t="s">
        <v>6396</v>
      </c>
      <c r="AV97" s="403" t="s">
        <v>6397</v>
      </c>
      <c r="BA97" s="403" t="s">
        <v>6398</v>
      </c>
      <c r="BF97" s="403" t="s">
        <v>6399</v>
      </c>
      <c r="BH97" s="403" t="s">
        <v>6400</v>
      </c>
      <c r="BM97" s="403" t="s">
        <v>6401</v>
      </c>
      <c r="BR97" s="403" t="s">
        <v>6402</v>
      </c>
      <c r="BT97" s="403" t="s">
        <v>6403</v>
      </c>
      <c r="BY97" s="403" t="s">
        <v>6404</v>
      </c>
      <c r="CD97" s="403" t="s">
        <v>6405</v>
      </c>
      <c r="CF97" s="403" t="s">
        <v>6406</v>
      </c>
      <c r="CK97" s="403" t="s">
        <v>6407</v>
      </c>
      <c r="CP97" s="403" t="s">
        <v>6408</v>
      </c>
      <c r="CR97" s="403" t="s">
        <v>6409</v>
      </c>
    </row>
    <row r="98" spans="1:97" ht="12.75" x14ac:dyDescent="0.2">
      <c r="A98" s="349">
        <v>1</v>
      </c>
      <c r="B98" s="524"/>
      <c r="D98" s="23" t="str">
        <f t="shared" ca="1" si="41"/>
        <v>How many residential Institutions for older adults are there in the country?</v>
      </c>
      <c r="E98" s="35"/>
      <c r="F98" s="81" t="e">
        <f>IF(Pop_OlderAdultsinResInsts_Percent=0,"0","&gt; 0")</f>
        <v>#N/A</v>
      </c>
      <c r="G98" s="4" t="e">
        <f>IF(AND(Pop_OlderAdultsinResInsts_Percent&gt;0,E98=0),Lang_CHECK,"OK")</f>
        <v>#N/A</v>
      </c>
      <c r="H98" s="3" t="e">
        <f>IF(Pop_OlderAdultsinResInsts_Percent=0,0,MAX(1,E98))</f>
        <v>#N/A</v>
      </c>
      <c r="I98" s="2" t="str">
        <f t="shared" ca="1" si="43"/>
        <v>Whole number</v>
      </c>
      <c r="J98" s="508"/>
      <c r="K98" s="567"/>
      <c r="L98" s="587"/>
      <c r="Q98" s="403" t="s">
        <v>3754</v>
      </c>
      <c r="V98" s="403" t="s">
        <v>45</v>
      </c>
      <c r="X98" s="403" t="s">
        <v>197</v>
      </c>
      <c r="AC98" s="403" t="s">
        <v>6410</v>
      </c>
      <c r="AH98" s="403" t="s">
        <v>6121</v>
      </c>
      <c r="AO98" s="403" t="s">
        <v>6411</v>
      </c>
      <c r="AT98" s="403" t="s">
        <v>6371</v>
      </c>
      <c r="BA98" s="403" t="s">
        <v>6412</v>
      </c>
      <c r="BF98" s="403" t="s">
        <v>6127</v>
      </c>
      <c r="BM98" s="403" t="s">
        <v>6413</v>
      </c>
      <c r="BR98" s="403" t="s">
        <v>6129</v>
      </c>
      <c r="BY98" s="403" t="s">
        <v>6414</v>
      </c>
      <c r="CD98" s="403" t="s">
        <v>6254</v>
      </c>
      <c r="CK98" s="403" t="s">
        <v>6415</v>
      </c>
      <c r="CP98" s="403" t="s">
        <v>6135</v>
      </c>
    </row>
    <row r="99" spans="1:97" s="15" customFormat="1" ht="12.75" x14ac:dyDescent="0.2">
      <c r="C99" s="624"/>
      <c r="D99" s="7"/>
      <c r="E99" s="68"/>
      <c r="F99" s="68"/>
      <c r="G99" s="68"/>
      <c r="H99" s="68"/>
      <c r="I99" s="141"/>
      <c r="J99" s="299"/>
      <c r="K99" s="567"/>
      <c r="L99" s="567"/>
      <c r="M99" s="403"/>
      <c r="N99" s="403"/>
      <c r="O99" s="403"/>
      <c r="P99" s="403"/>
      <c r="Q99" s="403"/>
      <c r="R99" s="403"/>
      <c r="S99" s="403"/>
      <c r="T99" s="403"/>
      <c r="U99" s="403"/>
      <c r="V99" s="403"/>
      <c r="W99" s="403"/>
      <c r="X99" s="403" t="s">
        <v>197</v>
      </c>
      <c r="Y99" s="403"/>
      <c r="Z99" s="403"/>
      <c r="AA99" s="403"/>
      <c r="AB99" s="403"/>
      <c r="AC99" s="403"/>
      <c r="AD99" s="403"/>
      <c r="AE99" s="403"/>
      <c r="AF99" s="403"/>
      <c r="AG99" s="403"/>
      <c r="AH99" s="403"/>
      <c r="AI99" s="403"/>
      <c r="AJ99" s="403"/>
      <c r="AK99" s="403"/>
      <c r="AL99" s="403"/>
      <c r="AM99" s="403"/>
      <c r="AN99" s="403"/>
      <c r="AO99" s="403"/>
      <c r="AP99" s="403"/>
      <c r="AQ99" s="403"/>
      <c r="AR99" s="403"/>
      <c r="AS99" s="403"/>
      <c r="AT99" s="403"/>
      <c r="AU99" s="403"/>
      <c r="AV99" s="403"/>
      <c r="AW99" s="403"/>
      <c r="AX99" s="403"/>
      <c r="AY99" s="403"/>
      <c r="AZ99" s="403"/>
      <c r="BA99" s="403"/>
      <c r="BB99" s="403"/>
      <c r="BC99" s="403"/>
      <c r="BD99" s="403"/>
      <c r="BE99" s="403"/>
      <c r="BF99" s="403"/>
      <c r="BG99" s="403"/>
      <c r="BH99" s="403"/>
      <c r="BI99" s="403"/>
      <c r="BJ99" s="403"/>
      <c r="BK99" s="403"/>
      <c r="BL99" s="403"/>
      <c r="BM99" s="403"/>
      <c r="BN99" s="403"/>
      <c r="BO99" s="403"/>
      <c r="BP99" s="403"/>
      <c r="BQ99" s="403"/>
      <c r="BR99" s="403"/>
      <c r="BS99" s="403"/>
      <c r="BT99" s="403"/>
      <c r="BU99" s="403"/>
      <c r="BV99" s="403"/>
      <c r="BW99" s="403"/>
      <c r="BX99" s="403"/>
      <c r="BY99" s="403"/>
      <c r="BZ99" s="403"/>
      <c r="CA99" s="403"/>
      <c r="CB99" s="403"/>
      <c r="CC99" s="403"/>
      <c r="CD99" s="403"/>
      <c r="CE99" s="403"/>
      <c r="CF99" s="403"/>
      <c r="CG99" s="403"/>
      <c r="CH99" s="403"/>
      <c r="CI99" s="403"/>
      <c r="CJ99" s="403"/>
      <c r="CK99" s="403"/>
      <c r="CL99" s="403"/>
      <c r="CM99" s="403"/>
      <c r="CN99" s="403"/>
      <c r="CO99" s="403"/>
      <c r="CP99" s="403"/>
      <c r="CQ99" s="403"/>
      <c r="CR99" s="403"/>
      <c r="CS99" s="564"/>
    </row>
    <row r="100" spans="1:97" s="299" customFormat="1" ht="12.75" x14ac:dyDescent="0.2">
      <c r="C100" s="624"/>
      <c r="D100" s="679" t="str">
        <f t="shared" ref="D100:D103" ca="1" si="44">IF(OFFSET(Q100,0,Lang_Order*Lang__A2)="","",OFFSET(Q100,0,Lang_Order*Lang__A2))</f>
        <v>Instructions: If the country wishes to vaccinate household members of older adults AND those with underlying health conditions, please fill below. Else enter 0.</v>
      </c>
      <c r="E100" s="679"/>
      <c r="F100" s="679"/>
      <c r="G100" s="679"/>
      <c r="H100" s="679"/>
      <c r="I100" s="679"/>
      <c r="K100" s="567"/>
      <c r="L100" s="567"/>
      <c r="M100" s="403"/>
      <c r="N100" s="403"/>
      <c r="O100" s="403"/>
      <c r="P100" s="403"/>
      <c r="Q100" s="403" t="s">
        <v>4077</v>
      </c>
      <c r="R100" s="403"/>
      <c r="S100" s="403"/>
      <c r="T100" s="403"/>
      <c r="U100" s="403"/>
      <c r="V100" s="403"/>
      <c r="W100" s="403"/>
      <c r="X100" s="403" t="s">
        <v>197</v>
      </c>
      <c r="Y100" s="403"/>
      <c r="Z100" s="403"/>
      <c r="AA100" s="403"/>
      <c r="AB100" s="403"/>
      <c r="AC100" s="403" t="s">
        <v>6416</v>
      </c>
      <c r="AD100" s="403"/>
      <c r="AE100" s="403"/>
      <c r="AF100" s="403"/>
      <c r="AG100" s="403"/>
      <c r="AH100" s="403"/>
      <c r="AI100" s="403"/>
      <c r="AJ100" s="403"/>
      <c r="AK100" s="403"/>
      <c r="AL100" s="403"/>
      <c r="AM100" s="403"/>
      <c r="AN100" s="403"/>
      <c r="AO100" s="403" t="s">
        <v>6417</v>
      </c>
      <c r="AP100" s="403"/>
      <c r="AQ100" s="403"/>
      <c r="AR100" s="403"/>
      <c r="AS100" s="403"/>
      <c r="AT100" s="403"/>
      <c r="AU100" s="403"/>
      <c r="AV100" s="403"/>
      <c r="AW100" s="403"/>
      <c r="AX100" s="403"/>
      <c r="AY100" s="403"/>
      <c r="AZ100" s="403"/>
      <c r="BA100" s="403" t="s">
        <v>6418</v>
      </c>
      <c r="BB100" s="403"/>
      <c r="BC100" s="403"/>
      <c r="BD100" s="403"/>
      <c r="BE100" s="403"/>
      <c r="BF100" s="403"/>
      <c r="BG100" s="403"/>
      <c r="BH100" s="403"/>
      <c r="BI100" s="403"/>
      <c r="BJ100" s="403"/>
      <c r="BK100" s="403"/>
      <c r="BL100" s="403"/>
      <c r="BM100" s="403" t="s">
        <v>6419</v>
      </c>
      <c r="BN100" s="403"/>
      <c r="BO100" s="403"/>
      <c r="BP100" s="403"/>
      <c r="BQ100" s="403"/>
      <c r="BR100" s="403"/>
      <c r="BS100" s="403"/>
      <c r="BT100" s="403"/>
      <c r="BU100" s="403"/>
      <c r="BV100" s="403"/>
      <c r="BW100" s="403"/>
      <c r="BX100" s="403"/>
      <c r="BY100" s="403" t="s">
        <v>6420</v>
      </c>
      <c r="BZ100" s="403"/>
      <c r="CA100" s="403"/>
      <c r="CB100" s="403"/>
      <c r="CC100" s="403"/>
      <c r="CD100" s="403"/>
      <c r="CE100" s="403"/>
      <c r="CF100" s="403"/>
      <c r="CG100" s="403"/>
      <c r="CH100" s="403"/>
      <c r="CI100" s="403"/>
      <c r="CJ100" s="403"/>
      <c r="CK100" s="403" t="s">
        <v>6421</v>
      </c>
      <c r="CL100" s="403"/>
      <c r="CM100" s="403"/>
      <c r="CN100" s="403"/>
      <c r="CO100" s="403"/>
      <c r="CP100" s="403"/>
      <c r="CQ100" s="403"/>
      <c r="CR100" s="403"/>
      <c r="CS100" s="564"/>
    </row>
    <row r="101" spans="1:97" s="299" customFormat="1" ht="25.5" x14ac:dyDescent="0.2">
      <c r="C101" s="624"/>
      <c r="D101" s="649" t="str">
        <f t="shared" ca="1" si="44"/>
        <v>Do you wish to vaccinate household members of older adults AND those with underlying health conditions (A2.2.5)?</v>
      </c>
      <c r="E101" s="68"/>
      <c r="F101" s="68"/>
      <c r="G101" s="68"/>
      <c r="H101" s="68"/>
      <c r="I101" s="141"/>
      <c r="J101" s="68"/>
      <c r="K101" s="567"/>
      <c r="L101" s="567"/>
      <c r="M101" s="403"/>
      <c r="N101" s="403"/>
      <c r="O101" s="403"/>
      <c r="P101" s="403"/>
      <c r="Q101" s="403" t="s">
        <v>14380</v>
      </c>
      <c r="R101" s="403"/>
      <c r="S101" s="403"/>
      <c r="T101" s="403"/>
      <c r="U101" s="403"/>
      <c r="V101" s="403"/>
      <c r="W101" s="403"/>
      <c r="X101" s="403" t="s">
        <v>197</v>
      </c>
      <c r="Y101" s="403"/>
      <c r="Z101" s="403"/>
      <c r="AA101" s="403"/>
      <c r="AB101" s="403"/>
      <c r="AC101" s="403" t="s">
        <v>14381</v>
      </c>
      <c r="AD101" s="403"/>
      <c r="AE101" s="403"/>
      <c r="AF101" s="403"/>
      <c r="AG101" s="403"/>
      <c r="AH101" s="403"/>
      <c r="AI101" s="403"/>
      <c r="AJ101" s="403"/>
      <c r="AK101" s="403"/>
      <c r="AL101" s="403"/>
      <c r="AM101" s="403"/>
      <c r="AN101" s="403"/>
      <c r="AO101" s="403" t="s">
        <v>14382</v>
      </c>
      <c r="AP101" s="403"/>
      <c r="AQ101" s="403"/>
      <c r="AR101" s="403"/>
      <c r="AS101" s="403"/>
      <c r="AT101" s="403"/>
      <c r="AU101" s="403"/>
      <c r="AV101" s="403"/>
      <c r="AW101" s="403"/>
      <c r="AX101" s="403"/>
      <c r="AY101" s="403"/>
      <c r="AZ101" s="403"/>
      <c r="BA101" s="403" t="s">
        <v>14383</v>
      </c>
      <c r="BB101" s="403"/>
      <c r="BC101" s="403"/>
      <c r="BD101" s="403"/>
      <c r="BE101" s="403"/>
      <c r="BF101" s="403"/>
      <c r="BG101" s="403"/>
      <c r="BH101" s="403"/>
      <c r="BI101" s="403"/>
      <c r="BJ101" s="403"/>
      <c r="BK101" s="403"/>
      <c r="BL101" s="403"/>
      <c r="BM101" s="403" t="s">
        <v>14384</v>
      </c>
      <c r="BN101" s="403"/>
      <c r="BO101" s="403"/>
      <c r="BP101" s="403"/>
      <c r="BQ101" s="403"/>
      <c r="BR101" s="403"/>
      <c r="BS101" s="403"/>
      <c r="BT101" s="403"/>
      <c r="BU101" s="403"/>
      <c r="BV101" s="403"/>
      <c r="BW101" s="403"/>
      <c r="BX101" s="403"/>
      <c r="BY101" s="403" t="s">
        <v>14385</v>
      </c>
      <c r="BZ101" s="403"/>
      <c r="CA101" s="403"/>
      <c r="CB101" s="403"/>
      <c r="CC101" s="403"/>
      <c r="CD101" s="403"/>
      <c r="CE101" s="403"/>
      <c r="CF101" s="403"/>
      <c r="CG101" s="403"/>
      <c r="CH101" s="403"/>
      <c r="CI101" s="403"/>
      <c r="CJ101" s="403"/>
      <c r="CK101" s="403" t="s">
        <v>14386</v>
      </c>
      <c r="CL101" s="403"/>
      <c r="CM101" s="403"/>
      <c r="CN101" s="403"/>
      <c r="CO101" s="403"/>
      <c r="CP101" s="403"/>
      <c r="CQ101" s="403"/>
      <c r="CR101" s="403"/>
      <c r="CS101" s="564"/>
    </row>
    <row r="102" spans="1:97" ht="12.75" x14ac:dyDescent="0.2">
      <c r="B102" s="9"/>
      <c r="D102" s="107" t="str">
        <f t="shared" ca="1" si="44"/>
        <v>Household Size - FYI only</v>
      </c>
      <c r="E102" s="34"/>
      <c r="F102" s="9"/>
      <c r="G102" s="9"/>
      <c r="H102" s="385" t="str">
        <f>_xlfn.IFNA(VLOOKUP(Country_Code,Household_Size[],J102,FALSE),"---")</f>
        <v>---</v>
      </c>
      <c r="I102" s="2" t="str">
        <f t="shared" ref="I102:I103" ca="1" si="45">IF(OFFSET(V102,0,Lang_Order*Lang__A2)="","",OFFSET(V102,0,Lang_Order*Lang__A2))</f>
        <v>Average household size (number of members)</v>
      </c>
      <c r="J102" s="3">
        <v>4</v>
      </c>
      <c r="K102" s="143" t="str">
        <f t="shared" ca="1" si="39"/>
        <v>Source: https://population.un.org/Household/index.html | United Nations, Department of Economic and Social Affairs, Population Division (2019). Database on Household Size and Composition 2019.</v>
      </c>
      <c r="L102" s="567"/>
      <c r="Q102" s="403" t="s">
        <v>3759</v>
      </c>
      <c r="V102" s="403" t="s">
        <v>2618</v>
      </c>
      <c r="X102" s="403" t="s">
        <v>1717</v>
      </c>
      <c r="AC102" s="403" t="s">
        <v>6422</v>
      </c>
      <c r="AH102" s="403" t="s">
        <v>6423</v>
      </c>
      <c r="AJ102" s="403" t="s">
        <v>6424</v>
      </c>
      <c r="AO102" s="403" t="s">
        <v>6425</v>
      </c>
      <c r="AT102" s="403" t="s">
        <v>6426</v>
      </c>
      <c r="AV102" s="403" t="s">
        <v>6427</v>
      </c>
      <c r="BA102" s="403" t="s">
        <v>6428</v>
      </c>
      <c r="BF102" s="403" t="s">
        <v>6429</v>
      </c>
      <c r="BH102" s="403" t="s">
        <v>6430</v>
      </c>
      <c r="BM102" s="403" t="s">
        <v>6431</v>
      </c>
      <c r="BR102" s="403" t="s">
        <v>6432</v>
      </c>
      <c r="BT102" s="403" t="s">
        <v>6433</v>
      </c>
      <c r="BY102" s="403" t="s">
        <v>6434</v>
      </c>
      <c r="CD102" s="403" t="s">
        <v>6435</v>
      </c>
      <c r="CF102" s="403" t="s">
        <v>6436</v>
      </c>
      <c r="CK102" s="403" t="s">
        <v>6437</v>
      </c>
      <c r="CP102" s="403" t="s">
        <v>6438</v>
      </c>
      <c r="CR102" s="403" t="s">
        <v>6439</v>
      </c>
    </row>
    <row r="103" spans="1:97" ht="12.75" x14ac:dyDescent="0.2">
      <c r="A103" s="350">
        <v>2</v>
      </c>
      <c r="B103" s="299"/>
      <c r="D103" s="23" t="str">
        <f t="shared" ca="1" si="44"/>
        <v>Additional household members to cover per older adult / person with underlying health conditions</v>
      </c>
      <c r="E103" s="35">
        <v>0</v>
      </c>
      <c r="F103" s="81" t="str">
        <f>TEXT(IF(Household_Size_Value="---","",Household_Size_Value-1),"0.0")</f>
        <v/>
      </c>
      <c r="G103" s="4" t="str">
        <f>IF(ISBLANK(E103),Lang_CHECK,"OK")</f>
        <v>OK</v>
      </c>
      <c r="H103" s="15"/>
      <c r="I103" s="2" t="str">
        <f t="shared" ca="1" si="45"/>
        <v>Number, can be decimal; Zero is allowed</v>
      </c>
      <c r="J103" s="299"/>
      <c r="K103" s="143" t="str">
        <f t="shared" ca="1" si="39"/>
        <v>How many additional household members to vaccinate for each priority individual with underlying health conditions or above HR age threshold. Enter zero if not covering household members.</v>
      </c>
      <c r="L103" s="587"/>
      <c r="Q103" s="403" t="s">
        <v>3830</v>
      </c>
      <c r="V103" s="403" t="s">
        <v>2960</v>
      </c>
      <c r="X103" s="403" t="s">
        <v>3833</v>
      </c>
      <c r="AC103" s="403" t="s">
        <v>6440</v>
      </c>
      <c r="AH103" s="403" t="s">
        <v>6441</v>
      </c>
      <c r="AJ103" s="403" t="s">
        <v>6442</v>
      </c>
      <c r="AO103" s="403" t="s">
        <v>6443</v>
      </c>
      <c r="AT103" s="403" t="s">
        <v>6444</v>
      </c>
      <c r="AV103" s="403" t="s">
        <v>6445</v>
      </c>
      <c r="BA103" s="403" t="s">
        <v>6446</v>
      </c>
      <c r="BF103" s="403" t="s">
        <v>6447</v>
      </c>
      <c r="BH103" s="403" t="s">
        <v>6448</v>
      </c>
      <c r="BM103" s="403" t="s">
        <v>6449</v>
      </c>
      <c r="BR103" s="403" t="s">
        <v>6450</v>
      </c>
      <c r="BT103" s="403" t="s">
        <v>6451</v>
      </c>
      <c r="BY103" s="403" t="s">
        <v>6452</v>
      </c>
      <c r="CD103" s="403" t="s">
        <v>6453</v>
      </c>
      <c r="CF103" s="403" t="s">
        <v>6454</v>
      </c>
      <c r="CK103" s="403" t="s">
        <v>6455</v>
      </c>
      <c r="CP103" s="403" t="s">
        <v>6456</v>
      </c>
      <c r="CR103" s="403" t="s">
        <v>6457</v>
      </c>
    </row>
    <row r="104" spans="1:97" s="299" customFormat="1" ht="12.75" x14ac:dyDescent="0.2">
      <c r="C104" s="624"/>
      <c r="D104" s="7"/>
      <c r="E104" s="68"/>
      <c r="F104" s="68"/>
      <c r="G104" s="68"/>
      <c r="H104" s="68"/>
      <c r="I104" s="141"/>
      <c r="K104" s="567"/>
      <c r="L104" s="567"/>
      <c r="M104" s="403"/>
      <c r="N104" s="403"/>
      <c r="O104" s="403"/>
      <c r="P104" s="403"/>
      <c r="Q104" s="403"/>
      <c r="R104" s="403"/>
      <c r="S104" s="403"/>
      <c r="T104" s="403"/>
      <c r="U104" s="403"/>
      <c r="V104" s="403"/>
      <c r="W104" s="403"/>
      <c r="X104" s="403" t="s">
        <v>197</v>
      </c>
      <c r="Y104" s="403"/>
      <c r="Z104" s="403"/>
      <c r="AA104" s="403"/>
      <c r="AB104" s="403"/>
      <c r="AC104" s="403"/>
      <c r="AD104" s="403"/>
      <c r="AE104" s="403"/>
      <c r="AF104" s="403"/>
      <c r="AG104" s="403"/>
      <c r="AH104" s="403"/>
      <c r="AI104" s="403"/>
      <c r="AJ104" s="403"/>
      <c r="AK104" s="403"/>
      <c r="AL104" s="403"/>
      <c r="AM104" s="403"/>
      <c r="AN104" s="403"/>
      <c r="AO104" s="403"/>
      <c r="AP104" s="403"/>
      <c r="AQ104" s="403"/>
      <c r="AR104" s="403"/>
      <c r="AS104" s="403"/>
      <c r="AT104" s="403"/>
      <c r="AU104" s="403"/>
      <c r="AV104" s="403"/>
      <c r="AW104" s="403"/>
      <c r="AX104" s="403"/>
      <c r="AY104" s="403"/>
      <c r="AZ104" s="403"/>
      <c r="BA104" s="403"/>
      <c r="BB104" s="403"/>
      <c r="BC104" s="403"/>
      <c r="BD104" s="403"/>
      <c r="BE104" s="403"/>
      <c r="BF104" s="403"/>
      <c r="BG104" s="403"/>
      <c r="BH104" s="403"/>
      <c r="BI104" s="403"/>
      <c r="BJ104" s="403"/>
      <c r="BK104" s="403"/>
      <c r="BL104" s="403"/>
      <c r="BM104" s="403"/>
      <c r="BN104" s="403"/>
      <c r="BO104" s="403"/>
      <c r="BP104" s="403"/>
      <c r="BQ104" s="403"/>
      <c r="BR104" s="403"/>
      <c r="BS104" s="403"/>
      <c r="BT104" s="403"/>
      <c r="BU104" s="403"/>
      <c r="BV104" s="403"/>
      <c r="BW104" s="403"/>
      <c r="BX104" s="403"/>
      <c r="BY104" s="403"/>
      <c r="BZ104" s="403"/>
      <c r="CA104" s="403"/>
      <c r="CB104" s="403"/>
      <c r="CC104" s="403"/>
      <c r="CD104" s="403"/>
      <c r="CE104" s="403"/>
      <c r="CF104" s="403"/>
      <c r="CG104" s="403"/>
      <c r="CH104" s="403"/>
      <c r="CI104" s="403"/>
      <c r="CJ104" s="403"/>
      <c r="CK104" s="403"/>
      <c r="CL104" s="403"/>
      <c r="CM104" s="403"/>
      <c r="CN104" s="403"/>
      <c r="CO104" s="403"/>
      <c r="CP104" s="403"/>
      <c r="CQ104" s="403"/>
      <c r="CR104" s="403"/>
      <c r="CS104" s="564"/>
    </row>
    <row r="105" spans="1:97" s="299" customFormat="1" ht="12.75" x14ac:dyDescent="0.2">
      <c r="C105" s="622"/>
      <c r="D105" s="477" t="str">
        <f t="shared" ref="D105:F120" ca="1" si="46">IF(OFFSET(Q105,0,Lang_Order*Lang__A2)="","",OFFSET(Q105,0,Lang_Order*Lang__A2))</f>
        <v>NOTE: Depending on location, older adults will be vaccinated at fixed sites with cold storage (Delivery Modality 1), during campaigns (Delivery Modality 2), at residential institutions (Delivery Modality 3), or by outreach (Delivery Modality 4)</v>
      </c>
      <c r="K105" s="567"/>
      <c r="L105" s="567"/>
      <c r="M105" s="403"/>
      <c r="N105" s="403"/>
      <c r="O105" s="403"/>
      <c r="P105" s="403"/>
      <c r="Q105" s="403" t="s">
        <v>3758</v>
      </c>
      <c r="R105" s="403"/>
      <c r="S105" s="403"/>
      <c r="T105" s="403"/>
      <c r="U105" s="403"/>
      <c r="V105" s="403"/>
      <c r="W105" s="403"/>
      <c r="X105" s="403" t="s">
        <v>197</v>
      </c>
      <c r="Y105" s="403"/>
      <c r="Z105" s="403"/>
      <c r="AA105" s="403"/>
      <c r="AB105" s="403"/>
      <c r="AC105" s="403" t="s">
        <v>6458</v>
      </c>
      <c r="AD105" s="403"/>
      <c r="AE105" s="403"/>
      <c r="AF105" s="403"/>
      <c r="AG105" s="403"/>
      <c r="AH105" s="403"/>
      <c r="AI105" s="403"/>
      <c r="AJ105" s="403"/>
      <c r="AK105" s="403"/>
      <c r="AL105" s="403"/>
      <c r="AM105" s="403"/>
      <c r="AN105" s="403"/>
      <c r="AO105" s="403" t="s">
        <v>6459</v>
      </c>
      <c r="AP105" s="403"/>
      <c r="AQ105" s="403"/>
      <c r="AR105" s="403"/>
      <c r="AS105" s="403"/>
      <c r="AT105" s="403"/>
      <c r="AU105" s="403"/>
      <c r="AV105" s="403"/>
      <c r="AW105" s="403"/>
      <c r="AX105" s="403"/>
      <c r="AY105" s="403"/>
      <c r="AZ105" s="403"/>
      <c r="BA105" s="403" t="s">
        <v>6460</v>
      </c>
      <c r="BB105" s="403"/>
      <c r="BC105" s="403"/>
      <c r="BD105" s="403"/>
      <c r="BE105" s="403"/>
      <c r="BF105" s="403"/>
      <c r="BG105" s="403"/>
      <c r="BH105" s="403"/>
      <c r="BI105" s="403"/>
      <c r="BJ105" s="403"/>
      <c r="BK105" s="403"/>
      <c r="BL105" s="403"/>
      <c r="BM105" s="403" t="s">
        <v>6461</v>
      </c>
      <c r="BN105" s="403"/>
      <c r="BO105" s="403"/>
      <c r="BP105" s="403"/>
      <c r="BQ105" s="403"/>
      <c r="BR105" s="403"/>
      <c r="BS105" s="403"/>
      <c r="BT105" s="403"/>
      <c r="BU105" s="403"/>
      <c r="BV105" s="403"/>
      <c r="BW105" s="403"/>
      <c r="BX105" s="403"/>
      <c r="BY105" s="403" t="s">
        <v>6462</v>
      </c>
      <c r="BZ105" s="403"/>
      <c r="CA105" s="403"/>
      <c r="CB105" s="403"/>
      <c r="CC105" s="403"/>
      <c r="CD105" s="403"/>
      <c r="CE105" s="403"/>
      <c r="CF105" s="403"/>
      <c r="CG105" s="403"/>
      <c r="CH105" s="403"/>
      <c r="CI105" s="403"/>
      <c r="CJ105" s="403"/>
      <c r="CK105" s="403" t="s">
        <v>6463</v>
      </c>
      <c r="CL105" s="403"/>
      <c r="CM105" s="403"/>
      <c r="CN105" s="403"/>
      <c r="CO105" s="403"/>
      <c r="CP105" s="403"/>
      <c r="CQ105" s="403"/>
      <c r="CR105" s="403"/>
      <c r="CS105" s="564"/>
    </row>
    <row r="106" spans="1:97" s="15" customFormat="1" ht="25.5" x14ac:dyDescent="0.2">
      <c r="A106" s="350">
        <v>2</v>
      </c>
      <c r="B106" s="567"/>
      <c r="C106" s="622"/>
      <c r="D106" s="332" t="str">
        <f t="shared" ca="1" si="46"/>
        <v>Among those living in easier-to-reach communities, what percent of the "Older adults" and other high risk groups [A2.2.5] live or work near fixed sites with cold storage?</v>
      </c>
      <c r="E106" s="40">
        <v>0.5</v>
      </c>
      <c r="G106" s="4" t="str">
        <f>IF(ISBLANK(E106),Lang_CHECK,"OK")</f>
        <v>OK</v>
      </c>
      <c r="I106" s="2" t="str">
        <f t="shared" ref="I106" ca="1" si="47">IF(OFFSET(V106,0,Lang_Order*Lang__A2)="","",OFFSET(V106,0,Lang_Order*Lang__A2))</f>
        <v>Percent of the Target Group</v>
      </c>
      <c r="J106" s="299"/>
      <c r="K106" s="143" t="str">
        <f t="shared" ca="1" si="39"/>
        <v>Delivery Modality 1 vs 2. Note: For older adults reached by Delivery Modality 4, please see [A2.2.4 Question 4]</v>
      </c>
      <c r="L106" s="587"/>
      <c r="M106" s="403"/>
      <c r="N106" s="403"/>
      <c r="O106" s="403"/>
      <c r="P106" s="403"/>
      <c r="Q106" s="403" t="s">
        <v>14387</v>
      </c>
      <c r="R106" s="403"/>
      <c r="S106" s="403"/>
      <c r="T106" s="403"/>
      <c r="U106" s="403"/>
      <c r="V106" s="403" t="s">
        <v>3785</v>
      </c>
      <c r="W106" s="403"/>
      <c r="X106" s="403" t="s">
        <v>14388</v>
      </c>
      <c r="Y106" s="403"/>
      <c r="Z106" s="403"/>
      <c r="AA106" s="403"/>
      <c r="AB106" s="403"/>
      <c r="AC106" s="403" t="s">
        <v>14389</v>
      </c>
      <c r="AD106" s="403"/>
      <c r="AE106" s="403"/>
      <c r="AF106" s="403"/>
      <c r="AG106" s="403"/>
      <c r="AH106" s="403" t="s">
        <v>6270</v>
      </c>
      <c r="AI106" s="403"/>
      <c r="AJ106" s="403" t="s">
        <v>14390</v>
      </c>
      <c r="AK106" s="403"/>
      <c r="AL106" s="403"/>
      <c r="AM106" s="403"/>
      <c r="AN106" s="403"/>
      <c r="AO106" s="403" t="s">
        <v>14391</v>
      </c>
      <c r="AP106" s="403"/>
      <c r="AQ106" s="403"/>
      <c r="AR106" s="403"/>
      <c r="AS106" s="403"/>
      <c r="AT106" s="403" t="s">
        <v>6464</v>
      </c>
      <c r="AU106" s="403"/>
      <c r="AV106" s="403" t="s">
        <v>14392</v>
      </c>
      <c r="AW106" s="403"/>
      <c r="AX106" s="403"/>
      <c r="AY106" s="403"/>
      <c r="AZ106" s="403"/>
      <c r="BA106" s="403" t="s">
        <v>14393</v>
      </c>
      <c r="BB106" s="403"/>
      <c r="BC106" s="403"/>
      <c r="BD106" s="403"/>
      <c r="BE106" s="403"/>
      <c r="BF106" s="403" t="s">
        <v>6274</v>
      </c>
      <c r="BG106" s="403"/>
      <c r="BH106" s="403" t="s">
        <v>14394</v>
      </c>
      <c r="BI106" s="403"/>
      <c r="BJ106" s="403"/>
      <c r="BK106" s="403"/>
      <c r="BL106" s="403"/>
      <c r="BM106" s="403" t="s">
        <v>14395</v>
      </c>
      <c r="BN106" s="403"/>
      <c r="BO106" s="403"/>
      <c r="BP106" s="403"/>
      <c r="BQ106" s="403"/>
      <c r="BR106" s="403" t="s">
        <v>6276</v>
      </c>
      <c r="BS106" s="403"/>
      <c r="BT106" s="403" t="s">
        <v>14396</v>
      </c>
      <c r="BU106" s="403"/>
      <c r="BV106" s="403"/>
      <c r="BW106" s="403"/>
      <c r="BX106" s="403"/>
      <c r="BY106" s="403" t="s">
        <v>14397</v>
      </c>
      <c r="BZ106" s="403"/>
      <c r="CA106" s="403"/>
      <c r="CB106" s="403"/>
      <c r="CC106" s="403"/>
      <c r="CD106" s="403" t="s">
        <v>6465</v>
      </c>
      <c r="CE106" s="403"/>
      <c r="CF106" s="403" t="s">
        <v>14398</v>
      </c>
      <c r="CG106" s="403"/>
      <c r="CH106" s="403"/>
      <c r="CI106" s="403"/>
      <c r="CJ106" s="403"/>
      <c r="CK106" s="403" t="s">
        <v>14399</v>
      </c>
      <c r="CL106" s="403"/>
      <c r="CM106" s="403"/>
      <c r="CN106" s="403"/>
      <c r="CO106" s="403"/>
      <c r="CP106" s="403" t="s">
        <v>6466</v>
      </c>
      <c r="CQ106" s="403"/>
      <c r="CR106" s="403" t="s">
        <v>14400</v>
      </c>
      <c r="CS106" s="564"/>
    </row>
    <row r="107" spans="1:97" s="15" customFormat="1" ht="12.75" x14ac:dyDescent="0.2">
      <c r="C107" s="624"/>
      <c r="D107" s="68"/>
      <c r="E107" s="68"/>
      <c r="F107" s="68"/>
      <c r="G107" s="68"/>
      <c r="H107" s="68"/>
      <c r="I107" s="141"/>
      <c r="J107" s="68"/>
      <c r="K107" s="68"/>
      <c r="L107" s="567"/>
      <c r="M107" s="403"/>
      <c r="N107" s="403"/>
      <c r="O107" s="403"/>
      <c r="P107" s="403"/>
      <c r="Q107" s="403"/>
      <c r="R107" s="403"/>
      <c r="S107" s="403"/>
      <c r="T107" s="403"/>
      <c r="U107" s="403"/>
      <c r="V107" s="403"/>
      <c r="W107" s="403"/>
      <c r="X107" s="403" t="s">
        <v>197</v>
      </c>
      <c r="Y107" s="403"/>
      <c r="Z107" s="403"/>
      <c r="AA107" s="403"/>
      <c r="AB107" s="403"/>
      <c r="AC107" s="403"/>
      <c r="AD107" s="403"/>
      <c r="AE107" s="403"/>
      <c r="AF107" s="403"/>
      <c r="AG107" s="403"/>
      <c r="AH107" s="403"/>
      <c r="AI107" s="403"/>
      <c r="AJ107" s="403"/>
      <c r="AK107" s="403"/>
      <c r="AL107" s="403"/>
      <c r="AM107" s="403"/>
      <c r="AN107" s="403"/>
      <c r="AO107" s="403"/>
      <c r="AP107" s="403"/>
      <c r="AQ107" s="403"/>
      <c r="AR107" s="403"/>
      <c r="AS107" s="403"/>
      <c r="AT107" s="403"/>
      <c r="AU107" s="403"/>
      <c r="AV107" s="403"/>
      <c r="AW107" s="403"/>
      <c r="AX107" s="403"/>
      <c r="AY107" s="403"/>
      <c r="AZ107" s="403"/>
      <c r="BA107" s="403"/>
      <c r="BB107" s="403"/>
      <c r="BC107" s="403"/>
      <c r="BD107" s="403"/>
      <c r="BE107" s="403"/>
      <c r="BF107" s="403"/>
      <c r="BG107" s="403"/>
      <c r="BH107" s="403"/>
      <c r="BI107" s="403"/>
      <c r="BJ107" s="403"/>
      <c r="BK107" s="403"/>
      <c r="BL107" s="403"/>
      <c r="BM107" s="403"/>
      <c r="BN107" s="403"/>
      <c r="BO107" s="403"/>
      <c r="BP107" s="403"/>
      <c r="BQ107" s="403"/>
      <c r="BR107" s="403"/>
      <c r="BS107" s="403"/>
      <c r="BT107" s="403"/>
      <c r="BU107" s="403"/>
      <c r="BV107" s="403"/>
      <c r="BW107" s="403"/>
      <c r="BX107" s="403"/>
      <c r="BY107" s="403"/>
      <c r="BZ107" s="403"/>
      <c r="CA107" s="403"/>
      <c r="CB107" s="403"/>
      <c r="CC107" s="403"/>
      <c r="CD107" s="403"/>
      <c r="CE107" s="403"/>
      <c r="CF107" s="403"/>
      <c r="CG107" s="403"/>
      <c r="CH107" s="403"/>
      <c r="CI107" s="403"/>
      <c r="CJ107" s="403"/>
      <c r="CK107" s="403"/>
      <c r="CL107" s="403"/>
      <c r="CM107" s="403"/>
      <c r="CN107" s="403"/>
      <c r="CO107" s="403"/>
      <c r="CP107" s="403"/>
      <c r="CQ107" s="403"/>
      <c r="CR107" s="403"/>
      <c r="CS107" s="564"/>
    </row>
    <row r="108" spans="1:97" s="15" customFormat="1" x14ac:dyDescent="0.25">
      <c r="B108" s="567"/>
      <c r="C108" s="33" t="str">
        <f t="shared" ref="C108" ca="1" si="48">IF(OFFSET(P108,0,Lang_Order*Lang__A2)="","",OFFSET(P108,0,Lang_Order*Lang__A2))</f>
        <v>A2.2.4 Sociodemographic groups at significantly higher risk of severe disease or death | Delivery Modality 1, 2, 3, and/or 4 - voluntary eligibility</v>
      </c>
      <c r="D108" s="70"/>
      <c r="E108" s="144"/>
      <c r="F108" s="144"/>
      <c r="G108" s="144"/>
      <c r="H108" s="144"/>
      <c r="I108" s="144"/>
      <c r="J108" s="144"/>
      <c r="K108" s="144" t="str">
        <f t="shared" ref="K108" ca="1" si="49">IF(OFFSET(X108,0,Lang_Order*Lang__A2)="","",OFFSET(X108,0,Lang_Order*Lang__A2))</f>
        <v/>
      </c>
      <c r="L108" s="144" t="str">
        <f t="shared" ref="L108" ca="1" si="50">IF(OFFSET(Y108,0,Lang_Order*Lang__A2)="","",OFFSET(Y108,0,Lang_Order*Lang__A2))</f>
        <v/>
      </c>
      <c r="M108" s="403"/>
      <c r="N108" s="403"/>
      <c r="O108" s="403"/>
      <c r="P108" s="403" t="s">
        <v>14401</v>
      </c>
      <c r="Q108" s="403"/>
      <c r="R108" s="403"/>
      <c r="S108" s="403"/>
      <c r="T108" s="403"/>
      <c r="U108" s="403"/>
      <c r="V108" s="403"/>
      <c r="W108" s="403"/>
      <c r="X108" s="403" t="s">
        <v>197</v>
      </c>
      <c r="Y108" s="403"/>
      <c r="Z108" s="403"/>
      <c r="AA108" s="403"/>
      <c r="AB108" s="403" t="s">
        <v>14402</v>
      </c>
      <c r="AC108" s="403"/>
      <c r="AD108" s="403"/>
      <c r="AE108" s="403"/>
      <c r="AF108" s="403"/>
      <c r="AG108" s="403"/>
      <c r="AH108" s="403"/>
      <c r="AI108" s="403"/>
      <c r="AJ108" s="403"/>
      <c r="AK108" s="403"/>
      <c r="AL108" s="403"/>
      <c r="AM108" s="403"/>
      <c r="AN108" s="403" t="s">
        <v>14403</v>
      </c>
      <c r="AO108" s="403"/>
      <c r="AP108" s="403"/>
      <c r="AQ108" s="403"/>
      <c r="AR108" s="403"/>
      <c r="AS108" s="403"/>
      <c r="AT108" s="403"/>
      <c r="AU108" s="403"/>
      <c r="AV108" s="403"/>
      <c r="AW108" s="403"/>
      <c r="AX108" s="403"/>
      <c r="AY108" s="403"/>
      <c r="AZ108" s="403" t="s">
        <v>14404</v>
      </c>
      <c r="BA108" s="403"/>
      <c r="BB108" s="403"/>
      <c r="BC108" s="403"/>
      <c r="BD108" s="403"/>
      <c r="BE108" s="403"/>
      <c r="BF108" s="403"/>
      <c r="BG108" s="403"/>
      <c r="BH108" s="403"/>
      <c r="BI108" s="403"/>
      <c r="BJ108" s="403"/>
      <c r="BK108" s="403"/>
      <c r="BL108" s="403" t="s">
        <v>14405</v>
      </c>
      <c r="BM108" s="403"/>
      <c r="BN108" s="403"/>
      <c r="BO108" s="403"/>
      <c r="BP108" s="403"/>
      <c r="BQ108" s="403"/>
      <c r="BR108" s="403"/>
      <c r="BS108" s="403"/>
      <c r="BT108" s="403"/>
      <c r="BU108" s="403"/>
      <c r="BV108" s="403"/>
      <c r="BW108" s="403"/>
      <c r="BX108" s="403" t="s">
        <v>14406</v>
      </c>
      <c r="BY108" s="403"/>
      <c r="BZ108" s="403"/>
      <c r="CA108" s="403"/>
      <c r="CB108" s="403"/>
      <c r="CC108" s="403"/>
      <c r="CD108" s="403"/>
      <c r="CE108" s="403"/>
      <c r="CF108" s="403"/>
      <c r="CG108" s="403"/>
      <c r="CH108" s="403"/>
      <c r="CI108" s="403"/>
      <c r="CJ108" s="403" t="s">
        <v>14407</v>
      </c>
      <c r="CK108" s="403"/>
      <c r="CL108" s="403"/>
      <c r="CM108" s="403"/>
      <c r="CN108" s="403"/>
      <c r="CO108" s="403"/>
      <c r="CP108" s="403"/>
      <c r="CQ108" s="403"/>
      <c r="CR108" s="403"/>
      <c r="CS108" s="564"/>
    </row>
    <row r="109" spans="1:97" s="299" customFormat="1" ht="30" customHeight="1" x14ac:dyDescent="0.2">
      <c r="A109" s="567"/>
      <c r="C109" s="622"/>
      <c r="D109" s="679" t="str">
        <f t="shared" ca="1" si="46"/>
        <v>Instructions: Based on the NDVP/SAGE recommendations, please fill in the total (across all stages I - III) relevant target population, for the populations described, broken down by the vaccination delivery strategy - either as an absolute population count OR as a percent of total population. Please note that the prioritization of these populations over Stage I-III can be specified later in section B1.2.</v>
      </c>
      <c r="E109" s="679"/>
      <c r="F109" s="679"/>
      <c r="G109" s="679"/>
      <c r="H109" s="679"/>
      <c r="I109" s="679"/>
      <c r="K109" s="567"/>
      <c r="L109" s="567"/>
      <c r="M109" s="403"/>
      <c r="N109" s="403"/>
      <c r="O109" s="403"/>
      <c r="P109" s="403"/>
      <c r="Q109" s="403" t="s">
        <v>4078</v>
      </c>
      <c r="R109" s="403"/>
      <c r="S109" s="403"/>
      <c r="T109" s="403"/>
      <c r="U109" s="403"/>
      <c r="V109" s="403"/>
      <c r="W109" s="403"/>
      <c r="X109" s="403" t="s">
        <v>197</v>
      </c>
      <c r="Y109" s="403"/>
      <c r="Z109" s="403"/>
      <c r="AA109" s="403"/>
      <c r="AB109" s="403"/>
      <c r="AC109" s="403" t="s">
        <v>6467</v>
      </c>
      <c r="AD109" s="403"/>
      <c r="AE109" s="403"/>
      <c r="AF109" s="403"/>
      <c r="AG109" s="403"/>
      <c r="AH109" s="403"/>
      <c r="AI109" s="403"/>
      <c r="AJ109" s="403"/>
      <c r="AK109" s="403"/>
      <c r="AL109" s="403"/>
      <c r="AM109" s="403"/>
      <c r="AN109" s="403"/>
      <c r="AO109" s="403" t="s">
        <v>6468</v>
      </c>
      <c r="AP109" s="403"/>
      <c r="AQ109" s="403"/>
      <c r="AR109" s="403"/>
      <c r="AS109" s="403"/>
      <c r="AT109" s="403"/>
      <c r="AU109" s="403"/>
      <c r="AV109" s="403"/>
      <c r="AW109" s="403"/>
      <c r="AX109" s="403"/>
      <c r="AY109" s="403"/>
      <c r="AZ109" s="403"/>
      <c r="BA109" s="403" t="s">
        <v>6469</v>
      </c>
      <c r="BB109" s="403"/>
      <c r="BC109" s="403"/>
      <c r="BD109" s="403"/>
      <c r="BE109" s="403"/>
      <c r="BF109" s="403"/>
      <c r="BG109" s="403"/>
      <c r="BH109" s="403"/>
      <c r="BI109" s="403"/>
      <c r="BJ109" s="403"/>
      <c r="BK109" s="403"/>
      <c r="BL109" s="403"/>
      <c r="BM109" s="403" t="s">
        <v>6470</v>
      </c>
      <c r="BN109" s="403"/>
      <c r="BO109" s="403"/>
      <c r="BP109" s="403"/>
      <c r="BQ109" s="403"/>
      <c r="BR109" s="403"/>
      <c r="BS109" s="403"/>
      <c r="BT109" s="403"/>
      <c r="BU109" s="403"/>
      <c r="BV109" s="403"/>
      <c r="BW109" s="403"/>
      <c r="BX109" s="403"/>
      <c r="BY109" s="403" t="s">
        <v>6471</v>
      </c>
      <c r="BZ109" s="403"/>
      <c r="CA109" s="403"/>
      <c r="CB109" s="403"/>
      <c r="CC109" s="403"/>
      <c r="CD109" s="403"/>
      <c r="CE109" s="403"/>
      <c r="CF109" s="403"/>
      <c r="CG109" s="403"/>
      <c r="CH109" s="403"/>
      <c r="CI109" s="403"/>
      <c r="CJ109" s="403"/>
      <c r="CK109" s="403" t="s">
        <v>6472</v>
      </c>
      <c r="CL109" s="403"/>
      <c r="CM109" s="403"/>
      <c r="CN109" s="403"/>
      <c r="CO109" s="403"/>
      <c r="CP109" s="403"/>
      <c r="CQ109" s="403"/>
      <c r="CR109" s="403"/>
      <c r="CS109" s="564"/>
    </row>
    <row r="110" spans="1:97" s="299" customFormat="1" ht="12.75" x14ac:dyDescent="0.2">
      <c r="B110" s="85"/>
      <c r="C110" s="626"/>
      <c r="D110" s="476" t="str">
        <f t="shared" ca="1" si="46"/>
        <v>Note: Please do not double count high-risk age groups or other priority groups here</v>
      </c>
      <c r="E110" s="68"/>
      <c r="F110" s="68"/>
      <c r="G110" s="68"/>
      <c r="H110" s="68"/>
      <c r="K110" s="567"/>
      <c r="L110" s="567"/>
      <c r="M110" s="403"/>
      <c r="N110" s="403"/>
      <c r="O110" s="403"/>
      <c r="P110" s="403"/>
      <c r="Q110" s="403" t="s">
        <v>4079</v>
      </c>
      <c r="R110" s="403"/>
      <c r="S110" s="403"/>
      <c r="T110" s="403"/>
      <c r="U110" s="403"/>
      <c r="V110" s="403"/>
      <c r="W110" s="403"/>
      <c r="X110" s="403" t="s">
        <v>197</v>
      </c>
      <c r="Y110" s="403"/>
      <c r="Z110" s="403"/>
      <c r="AA110" s="403"/>
      <c r="AB110" s="403"/>
      <c r="AC110" s="403" t="s">
        <v>6473</v>
      </c>
      <c r="AD110" s="403"/>
      <c r="AE110" s="403"/>
      <c r="AF110" s="403"/>
      <c r="AG110" s="403"/>
      <c r="AH110" s="403"/>
      <c r="AI110" s="403"/>
      <c r="AJ110" s="403"/>
      <c r="AK110" s="403"/>
      <c r="AL110" s="403"/>
      <c r="AM110" s="403"/>
      <c r="AN110" s="403"/>
      <c r="AO110" s="403" t="s">
        <v>6474</v>
      </c>
      <c r="AP110" s="403"/>
      <c r="AQ110" s="403"/>
      <c r="AR110" s="403"/>
      <c r="AS110" s="403"/>
      <c r="AT110" s="403"/>
      <c r="AU110" s="403"/>
      <c r="AV110" s="403"/>
      <c r="AW110" s="403"/>
      <c r="AX110" s="403"/>
      <c r="AY110" s="403"/>
      <c r="AZ110" s="403"/>
      <c r="BA110" s="403" t="s">
        <v>6475</v>
      </c>
      <c r="BB110" s="403"/>
      <c r="BC110" s="403"/>
      <c r="BD110" s="403"/>
      <c r="BE110" s="403"/>
      <c r="BF110" s="403"/>
      <c r="BG110" s="403"/>
      <c r="BH110" s="403"/>
      <c r="BI110" s="403"/>
      <c r="BJ110" s="403"/>
      <c r="BK110" s="403"/>
      <c r="BL110" s="403"/>
      <c r="BM110" s="403" t="s">
        <v>6476</v>
      </c>
      <c r="BN110" s="403"/>
      <c r="BO110" s="403"/>
      <c r="BP110" s="403"/>
      <c r="BQ110" s="403"/>
      <c r="BR110" s="403"/>
      <c r="BS110" s="403"/>
      <c r="BT110" s="403"/>
      <c r="BU110" s="403"/>
      <c r="BV110" s="403"/>
      <c r="BW110" s="403"/>
      <c r="BX110" s="403"/>
      <c r="BY110" s="403" t="s">
        <v>6477</v>
      </c>
      <c r="BZ110" s="403"/>
      <c r="CA110" s="403"/>
      <c r="CB110" s="403"/>
      <c r="CC110" s="403"/>
      <c r="CD110" s="403"/>
      <c r="CE110" s="403"/>
      <c r="CF110" s="403"/>
      <c r="CG110" s="403"/>
      <c r="CH110" s="403"/>
      <c r="CI110" s="403"/>
      <c r="CJ110" s="403"/>
      <c r="CK110" s="403" t="s">
        <v>6478</v>
      </c>
      <c r="CL110" s="403"/>
      <c r="CM110" s="403"/>
      <c r="CN110" s="403"/>
      <c r="CO110" s="403"/>
      <c r="CP110" s="403"/>
      <c r="CQ110" s="403"/>
      <c r="CR110" s="403"/>
      <c r="CS110" s="564"/>
    </row>
    <row r="111" spans="1:97" s="299" customFormat="1" ht="12.75" x14ac:dyDescent="0.2">
      <c r="C111" s="622"/>
      <c r="D111" s="327" t="str">
        <f t="shared" ca="1" si="46"/>
        <v>SAGE Population Description</v>
      </c>
      <c r="K111" s="567"/>
      <c r="L111" s="567"/>
      <c r="M111" s="403"/>
      <c r="N111" s="403"/>
      <c r="O111" s="403"/>
      <c r="P111" s="403"/>
      <c r="Q111" s="403" t="s">
        <v>3748</v>
      </c>
      <c r="R111" s="403"/>
      <c r="S111" s="403"/>
      <c r="T111" s="403"/>
      <c r="U111" s="403"/>
      <c r="V111" s="403"/>
      <c r="W111" s="403"/>
      <c r="X111" s="403" t="s">
        <v>197</v>
      </c>
      <c r="Y111" s="403"/>
      <c r="Z111" s="403"/>
      <c r="AA111" s="403"/>
      <c r="AB111" s="403"/>
      <c r="AC111" s="403" t="s">
        <v>6479</v>
      </c>
      <c r="AD111" s="403"/>
      <c r="AE111" s="403"/>
      <c r="AF111" s="403"/>
      <c r="AG111" s="403"/>
      <c r="AH111" s="403"/>
      <c r="AI111" s="403"/>
      <c r="AJ111" s="403"/>
      <c r="AK111" s="403"/>
      <c r="AL111" s="403"/>
      <c r="AM111" s="403"/>
      <c r="AN111" s="403"/>
      <c r="AO111" s="403" t="s">
        <v>6176</v>
      </c>
      <c r="AP111" s="403"/>
      <c r="AQ111" s="403"/>
      <c r="AR111" s="403"/>
      <c r="AS111" s="403"/>
      <c r="AT111" s="403"/>
      <c r="AU111" s="403"/>
      <c r="AV111" s="403"/>
      <c r="AW111" s="403"/>
      <c r="AX111" s="403"/>
      <c r="AY111" s="403"/>
      <c r="AZ111" s="403"/>
      <c r="BA111" s="403" t="s">
        <v>6084</v>
      </c>
      <c r="BB111" s="403"/>
      <c r="BC111" s="403"/>
      <c r="BD111" s="403"/>
      <c r="BE111" s="403"/>
      <c r="BF111" s="403"/>
      <c r="BG111" s="403"/>
      <c r="BH111" s="403"/>
      <c r="BI111" s="403"/>
      <c r="BJ111" s="403"/>
      <c r="BK111" s="403"/>
      <c r="BL111" s="403"/>
      <c r="BM111" s="403" t="s">
        <v>6085</v>
      </c>
      <c r="BN111" s="403"/>
      <c r="BO111" s="403"/>
      <c r="BP111" s="403"/>
      <c r="BQ111" s="403"/>
      <c r="BR111" s="403"/>
      <c r="BS111" s="403"/>
      <c r="BT111" s="403"/>
      <c r="BU111" s="403"/>
      <c r="BV111" s="403"/>
      <c r="BW111" s="403"/>
      <c r="BX111" s="403"/>
      <c r="BY111" s="403" t="s">
        <v>6086</v>
      </c>
      <c r="BZ111" s="403"/>
      <c r="CA111" s="403"/>
      <c r="CB111" s="403"/>
      <c r="CC111" s="403"/>
      <c r="CD111" s="403"/>
      <c r="CE111" s="403"/>
      <c r="CF111" s="403"/>
      <c r="CG111" s="403"/>
      <c r="CH111" s="403"/>
      <c r="CI111" s="403"/>
      <c r="CJ111" s="403"/>
      <c r="CK111" s="403" t="s">
        <v>6087</v>
      </c>
      <c r="CL111" s="403"/>
      <c r="CM111" s="403"/>
      <c r="CN111" s="403"/>
      <c r="CO111" s="403"/>
      <c r="CP111" s="403"/>
      <c r="CQ111" s="403"/>
      <c r="CR111" s="403"/>
      <c r="CS111" s="564"/>
    </row>
    <row r="112" spans="1:97" s="299" customFormat="1" ht="76.5" x14ac:dyDescent="0.2">
      <c r="C112" s="622"/>
      <c r="D112" s="329" t="str">
        <f t="shared" ca="1" si="46"/>
        <v>Sociodemographic groups at significantly higher risk of severe disease or death (depending on country context, examples may include: disadvantaged or persecuted ethnic, racial, gender, and religious groups and sexual minorities; people living with disabilities; people living in extreme poverty, homeless and those living in informal settlements or urban slums; low-income migrant workers; refugees, internally displaced persons, asylum seekers, populations in conflict settings or those affected by humanitarian emergencies, vulnerable migrants in irregular situations; nomadic populations; and hard-to-reach population groups such as those in rural and remote areas).</v>
      </c>
      <c r="K112" s="567"/>
      <c r="L112" s="567"/>
      <c r="M112" s="403"/>
      <c r="N112" s="403"/>
      <c r="O112" s="403"/>
      <c r="P112" s="403"/>
      <c r="Q112" s="403" t="s">
        <v>3091</v>
      </c>
      <c r="R112" s="403"/>
      <c r="S112" s="403"/>
      <c r="T112" s="403"/>
      <c r="U112" s="403"/>
      <c r="V112" s="403"/>
      <c r="W112" s="403"/>
      <c r="X112" s="403" t="s">
        <v>197</v>
      </c>
      <c r="Y112" s="403"/>
      <c r="Z112" s="403"/>
      <c r="AA112" s="403"/>
      <c r="AB112" s="403"/>
      <c r="AC112" s="403" t="s">
        <v>6480</v>
      </c>
      <c r="AD112" s="403"/>
      <c r="AE112" s="403"/>
      <c r="AF112" s="403"/>
      <c r="AG112" s="403"/>
      <c r="AH112" s="403"/>
      <c r="AI112" s="403"/>
      <c r="AJ112" s="403"/>
      <c r="AK112" s="403"/>
      <c r="AL112" s="403"/>
      <c r="AM112" s="403"/>
      <c r="AN112" s="403"/>
      <c r="AO112" s="403" t="s">
        <v>6481</v>
      </c>
      <c r="AP112" s="403"/>
      <c r="AQ112" s="403"/>
      <c r="AR112" s="403"/>
      <c r="AS112" s="403"/>
      <c r="AT112" s="403"/>
      <c r="AU112" s="403"/>
      <c r="AV112" s="403"/>
      <c r="AW112" s="403"/>
      <c r="AX112" s="403"/>
      <c r="AY112" s="403"/>
      <c r="AZ112" s="403"/>
      <c r="BA112" s="403" t="s">
        <v>6482</v>
      </c>
      <c r="BB112" s="403"/>
      <c r="BC112" s="403"/>
      <c r="BD112" s="403"/>
      <c r="BE112" s="403"/>
      <c r="BF112" s="403"/>
      <c r="BG112" s="403"/>
      <c r="BH112" s="403"/>
      <c r="BI112" s="403"/>
      <c r="BJ112" s="403"/>
      <c r="BK112" s="403"/>
      <c r="BL112" s="403"/>
      <c r="BM112" s="403" t="s">
        <v>6483</v>
      </c>
      <c r="BN112" s="403"/>
      <c r="BO112" s="403"/>
      <c r="BP112" s="403"/>
      <c r="BQ112" s="403"/>
      <c r="BR112" s="403"/>
      <c r="BS112" s="403"/>
      <c r="BT112" s="403"/>
      <c r="BU112" s="403"/>
      <c r="BV112" s="403"/>
      <c r="BW112" s="403"/>
      <c r="BX112" s="403"/>
      <c r="BY112" s="403" t="s">
        <v>6484</v>
      </c>
      <c r="BZ112" s="403"/>
      <c r="CA112" s="403"/>
      <c r="CB112" s="403"/>
      <c r="CC112" s="403"/>
      <c r="CD112" s="403"/>
      <c r="CE112" s="403"/>
      <c r="CF112" s="403"/>
      <c r="CG112" s="403"/>
      <c r="CH112" s="403"/>
      <c r="CI112" s="403"/>
      <c r="CJ112" s="403"/>
      <c r="CK112" s="403" t="s">
        <v>6485</v>
      </c>
      <c r="CL112" s="403"/>
      <c r="CM112" s="403"/>
      <c r="CN112" s="403"/>
      <c r="CO112" s="403"/>
      <c r="CP112" s="403"/>
      <c r="CQ112" s="403"/>
      <c r="CR112" s="403"/>
      <c r="CS112" s="564"/>
    </row>
    <row r="113" spans="1:97" s="299" customFormat="1" ht="12.75" x14ac:dyDescent="0.2">
      <c r="C113" s="622"/>
      <c r="K113" s="567"/>
      <c r="L113" s="567"/>
      <c r="M113" s="403"/>
      <c r="N113" s="403"/>
      <c r="O113" s="403"/>
      <c r="P113" s="403"/>
      <c r="Q113" s="403"/>
      <c r="R113" s="403"/>
      <c r="S113" s="403"/>
      <c r="T113" s="403"/>
      <c r="U113" s="403"/>
      <c r="V113" s="403"/>
      <c r="W113" s="403"/>
      <c r="X113" s="403" t="s">
        <v>197</v>
      </c>
      <c r="Y113" s="403"/>
      <c r="Z113" s="403"/>
      <c r="AA113" s="403"/>
      <c r="AB113" s="403"/>
      <c r="AC113" s="403"/>
      <c r="AD113" s="403"/>
      <c r="AE113" s="403"/>
      <c r="AF113" s="403"/>
      <c r="AG113" s="403"/>
      <c r="AH113" s="403"/>
      <c r="AI113" s="403"/>
      <c r="AJ113" s="403"/>
      <c r="AK113" s="403"/>
      <c r="AL113" s="403"/>
      <c r="AM113" s="403"/>
      <c r="AN113" s="403"/>
      <c r="AO113" s="403"/>
      <c r="AP113" s="403"/>
      <c r="AQ113" s="403"/>
      <c r="AR113" s="403"/>
      <c r="AS113" s="403"/>
      <c r="AT113" s="403"/>
      <c r="AU113" s="403"/>
      <c r="AV113" s="403"/>
      <c r="AW113" s="403"/>
      <c r="AX113" s="403"/>
      <c r="AY113" s="403"/>
      <c r="AZ113" s="403"/>
      <c r="BA113" s="403"/>
      <c r="BB113" s="403"/>
      <c r="BC113" s="403"/>
      <c r="BD113" s="403"/>
      <c r="BE113" s="403"/>
      <c r="BF113" s="403"/>
      <c r="BG113" s="403"/>
      <c r="BH113" s="403"/>
      <c r="BI113" s="403"/>
      <c r="BJ113" s="403"/>
      <c r="BK113" s="403"/>
      <c r="BL113" s="403"/>
      <c r="BM113" s="403"/>
      <c r="BN113" s="403"/>
      <c r="BO113" s="403"/>
      <c r="BP113" s="403"/>
      <c r="BQ113" s="403"/>
      <c r="BR113" s="403"/>
      <c r="BS113" s="403"/>
      <c r="BT113" s="403"/>
      <c r="BU113" s="403"/>
      <c r="BV113" s="403"/>
      <c r="BW113" s="403"/>
      <c r="BX113" s="403"/>
      <c r="BY113" s="403"/>
      <c r="BZ113" s="403"/>
      <c r="CA113" s="403"/>
      <c r="CB113" s="403"/>
      <c r="CC113" s="403"/>
      <c r="CD113" s="403"/>
      <c r="CE113" s="403"/>
      <c r="CF113" s="403"/>
      <c r="CG113" s="403"/>
      <c r="CH113" s="403"/>
      <c r="CI113" s="403"/>
      <c r="CJ113" s="403"/>
      <c r="CK113" s="403"/>
      <c r="CL113" s="403"/>
      <c r="CM113" s="403"/>
      <c r="CN113" s="403"/>
      <c r="CO113" s="403"/>
      <c r="CP113" s="403"/>
      <c r="CQ113" s="403"/>
      <c r="CR113" s="403"/>
      <c r="CS113" s="564"/>
    </row>
    <row r="114" spans="1:97" s="299" customFormat="1" ht="12.75" x14ac:dyDescent="0.2">
      <c r="C114" s="622"/>
      <c r="D114" s="34" t="str">
        <f t="shared" ca="1" si="46"/>
        <v>For the purposes of costing this diverse population group it is divided into 4 sub-categories, based on delivery modality:</v>
      </c>
      <c r="K114" s="567"/>
      <c r="L114" s="567"/>
      <c r="M114" s="403"/>
      <c r="N114" s="403"/>
      <c r="O114" s="403"/>
      <c r="P114" s="403"/>
      <c r="Q114" s="403" t="s">
        <v>3793</v>
      </c>
      <c r="R114" s="403"/>
      <c r="S114" s="403"/>
      <c r="T114" s="403"/>
      <c r="U114" s="403"/>
      <c r="V114" s="403"/>
      <c r="W114" s="403"/>
      <c r="X114" s="403" t="s">
        <v>197</v>
      </c>
      <c r="Y114" s="403"/>
      <c r="Z114" s="403"/>
      <c r="AA114" s="403"/>
      <c r="AB114" s="403"/>
      <c r="AC114" s="403" t="s">
        <v>6486</v>
      </c>
      <c r="AD114" s="403"/>
      <c r="AE114" s="403"/>
      <c r="AF114" s="403"/>
      <c r="AG114" s="403"/>
      <c r="AH114" s="403"/>
      <c r="AI114" s="403"/>
      <c r="AJ114" s="403"/>
      <c r="AK114" s="403"/>
      <c r="AL114" s="403"/>
      <c r="AM114" s="403"/>
      <c r="AN114" s="403"/>
      <c r="AO114" s="403" t="s">
        <v>6487</v>
      </c>
      <c r="AP114" s="403"/>
      <c r="AQ114" s="403"/>
      <c r="AR114" s="403"/>
      <c r="AS114" s="403"/>
      <c r="AT114" s="403"/>
      <c r="AU114" s="403"/>
      <c r="AV114" s="403"/>
      <c r="AW114" s="403"/>
      <c r="AX114" s="403"/>
      <c r="AY114" s="403"/>
      <c r="AZ114" s="403"/>
      <c r="BA114" s="403" t="s">
        <v>6488</v>
      </c>
      <c r="BB114" s="403"/>
      <c r="BC114" s="403"/>
      <c r="BD114" s="403"/>
      <c r="BE114" s="403"/>
      <c r="BF114" s="403"/>
      <c r="BG114" s="403"/>
      <c r="BH114" s="403"/>
      <c r="BI114" s="403"/>
      <c r="BJ114" s="403"/>
      <c r="BK114" s="403"/>
      <c r="BL114" s="403"/>
      <c r="BM114" s="403" t="s">
        <v>6489</v>
      </c>
      <c r="BN114" s="403"/>
      <c r="BO114" s="403"/>
      <c r="BP114" s="403"/>
      <c r="BQ114" s="403"/>
      <c r="BR114" s="403"/>
      <c r="BS114" s="403"/>
      <c r="BT114" s="403"/>
      <c r="BU114" s="403"/>
      <c r="BV114" s="403"/>
      <c r="BW114" s="403"/>
      <c r="BX114" s="403"/>
      <c r="BY114" s="403" t="s">
        <v>6490</v>
      </c>
      <c r="BZ114" s="403"/>
      <c r="CA114" s="403"/>
      <c r="CB114" s="403"/>
      <c r="CC114" s="403"/>
      <c r="CD114" s="403"/>
      <c r="CE114" s="403"/>
      <c r="CF114" s="403"/>
      <c r="CG114" s="403"/>
      <c r="CH114" s="403"/>
      <c r="CI114" s="403"/>
      <c r="CJ114" s="403"/>
      <c r="CK114" s="403" t="s">
        <v>6491</v>
      </c>
      <c r="CL114" s="403"/>
      <c r="CM114" s="403"/>
      <c r="CN114" s="403"/>
      <c r="CO114" s="403"/>
      <c r="CP114" s="403"/>
      <c r="CQ114" s="403"/>
      <c r="CR114" s="403"/>
      <c r="CS114" s="564"/>
    </row>
    <row r="115" spans="1:97" s="299" customFormat="1" ht="12.75" x14ac:dyDescent="0.2">
      <c r="C115" s="622"/>
      <c r="D115" s="34"/>
      <c r="K115" s="567"/>
      <c r="L115" s="567"/>
      <c r="M115" s="403"/>
      <c r="N115" s="403"/>
      <c r="O115" s="403"/>
      <c r="P115" s="403"/>
      <c r="Q115" s="403"/>
      <c r="R115" s="403"/>
      <c r="S115" s="403"/>
      <c r="T115" s="403"/>
      <c r="U115" s="403"/>
      <c r="V115" s="403"/>
      <c r="W115" s="403"/>
      <c r="X115" s="403" t="s">
        <v>197</v>
      </c>
      <c r="Y115" s="403"/>
      <c r="Z115" s="403"/>
      <c r="AA115" s="403"/>
      <c r="AB115" s="403"/>
      <c r="AC115" s="403"/>
      <c r="AD115" s="403"/>
      <c r="AE115" s="403"/>
      <c r="AF115" s="403"/>
      <c r="AG115" s="403"/>
      <c r="AH115" s="403"/>
      <c r="AI115" s="403"/>
      <c r="AJ115" s="403"/>
      <c r="AK115" s="403"/>
      <c r="AL115" s="403"/>
      <c r="AM115" s="403"/>
      <c r="AN115" s="403"/>
      <c r="AO115" s="403"/>
      <c r="AP115" s="403"/>
      <c r="AQ115" s="403"/>
      <c r="AR115" s="403"/>
      <c r="AS115" s="403"/>
      <c r="AT115" s="403"/>
      <c r="AU115" s="403"/>
      <c r="AV115" s="403"/>
      <c r="AW115" s="403"/>
      <c r="AX115" s="403"/>
      <c r="AY115" s="403"/>
      <c r="AZ115" s="403"/>
      <c r="BA115" s="403"/>
      <c r="BB115" s="403"/>
      <c r="BC115" s="403"/>
      <c r="BD115" s="403"/>
      <c r="BE115" s="403"/>
      <c r="BF115" s="403"/>
      <c r="BG115" s="403"/>
      <c r="BH115" s="403"/>
      <c r="BI115" s="403"/>
      <c r="BJ115" s="403"/>
      <c r="BK115" s="403"/>
      <c r="BL115" s="403"/>
      <c r="BM115" s="403"/>
      <c r="BN115" s="403"/>
      <c r="BO115" s="403"/>
      <c r="BP115" s="403"/>
      <c r="BQ115" s="403"/>
      <c r="BR115" s="403"/>
      <c r="BS115" s="403"/>
      <c r="BT115" s="403"/>
      <c r="BU115" s="403"/>
      <c r="BV115" s="403"/>
      <c r="BW115" s="403"/>
      <c r="BX115" s="403"/>
      <c r="BY115" s="403"/>
      <c r="BZ115" s="403"/>
      <c r="CA115" s="403"/>
      <c r="CB115" s="403"/>
      <c r="CC115" s="403"/>
      <c r="CD115" s="403"/>
      <c r="CE115" s="403"/>
      <c r="CF115" s="403"/>
      <c r="CG115" s="403"/>
      <c r="CH115" s="403"/>
      <c r="CI115" s="403"/>
      <c r="CJ115" s="403"/>
      <c r="CK115" s="403"/>
      <c r="CL115" s="403"/>
      <c r="CM115" s="403"/>
      <c r="CN115" s="403"/>
      <c r="CO115" s="403"/>
      <c r="CP115" s="403"/>
      <c r="CQ115" s="403"/>
      <c r="CR115" s="403"/>
      <c r="CS115" s="564"/>
    </row>
    <row r="116" spans="1:97" s="299" customFormat="1" ht="25.5" x14ac:dyDescent="0.2">
      <c r="C116" s="622"/>
      <c r="D116" s="358" t="str">
        <f t="shared" ca="1" si="46"/>
        <v>1. Those who live in accessible communities,
vaccinated at fixed sites and during campaigns (Delivery Modality 1 and 2)</v>
      </c>
      <c r="K116" s="567"/>
      <c r="L116" s="567"/>
      <c r="M116" s="403"/>
      <c r="N116" s="403"/>
      <c r="O116" s="403"/>
      <c r="P116" s="403"/>
      <c r="Q116" s="403" t="s">
        <v>4080</v>
      </c>
      <c r="R116" s="403"/>
      <c r="S116" s="403"/>
      <c r="T116" s="403"/>
      <c r="U116" s="403"/>
      <c r="V116" s="403"/>
      <c r="W116" s="403"/>
      <c r="X116" s="403" t="s">
        <v>197</v>
      </c>
      <c r="Y116" s="403"/>
      <c r="Z116" s="403"/>
      <c r="AA116" s="403"/>
      <c r="AB116" s="403"/>
      <c r="AC116" s="403" t="s">
        <v>6492</v>
      </c>
      <c r="AD116" s="403"/>
      <c r="AE116" s="403"/>
      <c r="AF116" s="403"/>
      <c r="AG116" s="403"/>
      <c r="AH116" s="403"/>
      <c r="AI116" s="403"/>
      <c r="AJ116" s="403"/>
      <c r="AK116" s="403"/>
      <c r="AL116" s="403"/>
      <c r="AM116" s="403"/>
      <c r="AN116" s="403"/>
      <c r="AO116" s="403" t="s">
        <v>6493</v>
      </c>
      <c r="AP116" s="403"/>
      <c r="AQ116" s="403"/>
      <c r="AR116" s="403"/>
      <c r="AS116" s="403"/>
      <c r="AT116" s="403"/>
      <c r="AU116" s="403"/>
      <c r="AV116" s="403"/>
      <c r="AW116" s="403"/>
      <c r="AX116" s="403"/>
      <c r="AY116" s="403"/>
      <c r="AZ116" s="403"/>
      <c r="BA116" s="403" t="s">
        <v>6494</v>
      </c>
      <c r="BB116" s="403"/>
      <c r="BC116" s="403"/>
      <c r="BD116" s="403"/>
      <c r="BE116" s="403"/>
      <c r="BF116" s="403"/>
      <c r="BG116" s="403"/>
      <c r="BH116" s="403"/>
      <c r="BI116" s="403"/>
      <c r="BJ116" s="403"/>
      <c r="BK116" s="403"/>
      <c r="BL116" s="403"/>
      <c r="BM116" s="403" t="s">
        <v>6495</v>
      </c>
      <c r="BN116" s="403"/>
      <c r="BO116" s="403"/>
      <c r="BP116" s="403"/>
      <c r="BQ116" s="403"/>
      <c r="BR116" s="403"/>
      <c r="BS116" s="403"/>
      <c r="BT116" s="403"/>
      <c r="BU116" s="403"/>
      <c r="BV116" s="403"/>
      <c r="BW116" s="403"/>
      <c r="BX116" s="403"/>
      <c r="BY116" s="403" t="s">
        <v>6496</v>
      </c>
      <c r="BZ116" s="403"/>
      <c r="CA116" s="403"/>
      <c r="CB116" s="403"/>
      <c r="CC116" s="403"/>
      <c r="CD116" s="403"/>
      <c r="CE116" s="403"/>
      <c r="CF116" s="403"/>
      <c r="CG116" s="403"/>
      <c r="CH116" s="403"/>
      <c r="CI116" s="403"/>
      <c r="CJ116" s="403"/>
      <c r="CK116" s="403" t="s">
        <v>6497</v>
      </c>
      <c r="CL116" s="403"/>
      <c r="CM116" s="403"/>
      <c r="CN116" s="403"/>
      <c r="CO116" s="403"/>
      <c r="CP116" s="403"/>
      <c r="CQ116" s="403"/>
      <c r="CR116" s="403"/>
      <c r="CS116" s="564"/>
    </row>
    <row r="117" spans="1:97" s="299" customFormat="1" ht="12.75" x14ac:dyDescent="0.2">
      <c r="A117" s="349">
        <v>1</v>
      </c>
      <c r="B117" s="85"/>
      <c r="C117" s="92"/>
      <c r="D117" s="7" t="str">
        <f t="shared" ca="1" si="46"/>
        <v>… as absolute number OR</v>
      </c>
      <c r="E117" s="362"/>
      <c r="F117" s="680" t="str">
        <f t="shared" ref="F117:F118" ca="1" si="51">IF(OFFSET(S117,0,Lang_Order*Lang__A2)="","",OFFSET(S117,0,Lang_Order*Lang__A2))</f>
        <v>} OR</v>
      </c>
      <c r="G117" s="4" t="str">
        <f>IF(_xlfn.XOR(ISBLANK(E117),ISBLANK(E118)),"OK",Lang_CHECK)</f>
        <v>CHECK</v>
      </c>
      <c r="H117" s="384" t="e">
        <f>E117/(Pop_Total_2021)</f>
        <v>#N/A</v>
      </c>
      <c r="I117" s="141" t="str">
        <f t="shared" ref="I117:I118" ca="1" si="52">IF(OFFSET(V117,0,Lang_Order*Lang__A2)="","",OFFSET(V117,0,Lang_Order*Lang__A2))</f>
        <v>Whole number</v>
      </c>
      <c r="K117" s="567"/>
      <c r="L117" s="587"/>
      <c r="M117" s="403"/>
      <c r="N117" s="403"/>
      <c r="O117" s="403"/>
      <c r="P117" s="403"/>
      <c r="Q117" s="403" t="s">
        <v>4076</v>
      </c>
      <c r="R117" s="403"/>
      <c r="S117" s="403" t="s">
        <v>2876</v>
      </c>
      <c r="T117" s="403"/>
      <c r="U117" s="403"/>
      <c r="V117" s="403" t="s">
        <v>45</v>
      </c>
      <c r="W117" s="403"/>
      <c r="X117" s="403" t="s">
        <v>197</v>
      </c>
      <c r="Y117" s="403"/>
      <c r="Z117" s="403"/>
      <c r="AA117" s="403"/>
      <c r="AB117" s="403"/>
      <c r="AC117" s="403" t="s">
        <v>6367</v>
      </c>
      <c r="AD117" s="403"/>
      <c r="AE117" s="403" t="s">
        <v>6120</v>
      </c>
      <c r="AF117" s="403"/>
      <c r="AG117" s="403"/>
      <c r="AH117" s="403" t="s">
        <v>6121</v>
      </c>
      <c r="AI117" s="403"/>
      <c r="AJ117" s="403"/>
      <c r="AK117" s="403"/>
      <c r="AL117" s="403"/>
      <c r="AM117" s="403"/>
      <c r="AN117" s="403"/>
      <c r="AO117" s="403" t="s">
        <v>6498</v>
      </c>
      <c r="AP117" s="403"/>
      <c r="AQ117" s="403" t="s">
        <v>6123</v>
      </c>
      <c r="AR117" s="403"/>
      <c r="AS117" s="403"/>
      <c r="AT117" s="403" t="s">
        <v>6124</v>
      </c>
      <c r="AU117" s="403"/>
      <c r="AV117" s="403"/>
      <c r="AW117" s="403"/>
      <c r="AX117" s="403"/>
      <c r="AY117" s="403"/>
      <c r="AZ117" s="403"/>
      <c r="BA117" s="403" t="s">
        <v>6499</v>
      </c>
      <c r="BB117" s="403"/>
      <c r="BC117" s="403" t="s">
        <v>6126</v>
      </c>
      <c r="BD117" s="403"/>
      <c r="BE117" s="403"/>
      <c r="BF117" s="403" t="s">
        <v>6127</v>
      </c>
      <c r="BG117" s="403"/>
      <c r="BH117" s="403"/>
      <c r="BI117" s="403"/>
      <c r="BJ117" s="403"/>
      <c r="BK117" s="403"/>
      <c r="BL117" s="403"/>
      <c r="BM117" s="403" t="s">
        <v>6375</v>
      </c>
      <c r="BN117" s="403"/>
      <c r="BO117" s="403" t="s">
        <v>6120</v>
      </c>
      <c r="BP117" s="403"/>
      <c r="BQ117" s="403"/>
      <c r="BR117" s="403" t="s">
        <v>6129</v>
      </c>
      <c r="BS117" s="403"/>
      <c r="BT117" s="403"/>
      <c r="BU117" s="403"/>
      <c r="BV117" s="403"/>
      <c r="BW117" s="403"/>
      <c r="BX117" s="403"/>
      <c r="BY117" s="403" t="s">
        <v>6377</v>
      </c>
      <c r="BZ117" s="403"/>
      <c r="CA117" s="403" t="s">
        <v>6500</v>
      </c>
      <c r="CB117" s="403"/>
      <c r="CC117" s="403"/>
      <c r="CD117" s="403" t="s">
        <v>6254</v>
      </c>
      <c r="CE117" s="403"/>
      <c r="CF117" s="403"/>
      <c r="CG117" s="403"/>
      <c r="CH117" s="403"/>
      <c r="CI117" s="403"/>
      <c r="CJ117" s="403"/>
      <c r="CK117" s="403" t="s">
        <v>6295</v>
      </c>
      <c r="CL117" s="403"/>
      <c r="CM117" s="403" t="s">
        <v>6134</v>
      </c>
      <c r="CN117" s="403"/>
      <c r="CO117" s="403"/>
      <c r="CP117" s="403" t="s">
        <v>6135</v>
      </c>
      <c r="CQ117" s="403"/>
      <c r="CR117" s="403"/>
      <c r="CS117" s="564"/>
    </row>
    <row r="118" spans="1:97" s="299" customFormat="1" ht="12.75" x14ac:dyDescent="0.2">
      <c r="A118" s="349">
        <v>1</v>
      </c>
      <c r="B118" s="567"/>
      <c r="C118" s="624"/>
      <c r="D118" s="7" t="str">
        <f t="shared" ca="1" si="46"/>
        <v>… as percent</v>
      </c>
      <c r="E118" s="363"/>
      <c r="F118" s="680" t="str">
        <f t="shared" ca="1" si="51"/>
        <v/>
      </c>
      <c r="G118" s="4" t="e">
        <f>IF(H118&gt;J118,Lang_CHECK,"OK")</f>
        <v>#N/A</v>
      </c>
      <c r="H118" s="384" t="e">
        <f>IF(ISBLANK(E118),H117,E118)</f>
        <v>#N/A</v>
      </c>
      <c r="I118" s="2" t="str">
        <f t="shared" ca="1" si="52"/>
        <v>Percent of Total Population</v>
      </c>
      <c r="J118" s="405">
        <v>0.1</v>
      </c>
      <c r="K118" s="143" t="str">
        <f t="shared" ref="K118:K135" ca="1" si="53">IF(OFFSET(X118,0,Lang_Order*Lang__A2)="","",OFFSET(X118,0,Lang_Order*Lang__A2))</f>
        <v>Max 10%</v>
      </c>
      <c r="L118" s="587"/>
      <c r="M118" s="403"/>
      <c r="N118" s="403"/>
      <c r="O118" s="403"/>
      <c r="P118" s="403"/>
      <c r="Q118" s="564" t="s">
        <v>2629</v>
      </c>
      <c r="R118" s="564"/>
      <c r="S118" s="564"/>
      <c r="T118" s="564"/>
      <c r="U118" s="564"/>
      <c r="V118" s="564" t="s">
        <v>40</v>
      </c>
      <c r="W118" s="564"/>
      <c r="X118" s="564" t="s">
        <v>2632</v>
      </c>
      <c r="Y118" s="564"/>
      <c r="Z118" s="564"/>
      <c r="AA118" s="564"/>
      <c r="AB118" s="564"/>
      <c r="AC118" s="564" t="s">
        <v>6136</v>
      </c>
      <c r="AD118" s="564"/>
      <c r="AE118" s="564"/>
      <c r="AF118" s="564"/>
      <c r="AG118" s="564"/>
      <c r="AH118" s="564" t="s">
        <v>6137</v>
      </c>
      <c r="AI118" s="564"/>
      <c r="AJ118" s="564" t="s">
        <v>2632</v>
      </c>
      <c r="AK118" s="564"/>
      <c r="AL118" s="564"/>
      <c r="AM118" s="564"/>
      <c r="AN118" s="564"/>
      <c r="AO118" s="564" t="s">
        <v>6139</v>
      </c>
      <c r="AP118" s="564"/>
      <c r="AQ118" s="564"/>
      <c r="AR118" s="564"/>
      <c r="AS118" s="564"/>
      <c r="AT118" s="564" t="s">
        <v>6140</v>
      </c>
      <c r="AU118" s="564"/>
      <c r="AV118" s="564" t="s">
        <v>6522</v>
      </c>
      <c r="AW118" s="564"/>
      <c r="AX118" s="564"/>
      <c r="AY118" s="564"/>
      <c r="AZ118" s="564"/>
      <c r="BA118" s="564" t="s">
        <v>6142</v>
      </c>
      <c r="BB118" s="564"/>
      <c r="BC118" s="564"/>
      <c r="BD118" s="564"/>
      <c r="BE118" s="564"/>
      <c r="BF118" s="564" t="s">
        <v>6143</v>
      </c>
      <c r="BG118" s="564"/>
      <c r="BH118" s="564" t="s">
        <v>2632</v>
      </c>
      <c r="BI118" s="564"/>
      <c r="BJ118" s="564"/>
      <c r="BK118" s="564"/>
      <c r="BL118" s="564"/>
      <c r="BM118" s="564" t="s">
        <v>6145</v>
      </c>
      <c r="BN118" s="564"/>
      <c r="BO118" s="564"/>
      <c r="BP118" s="564"/>
      <c r="BQ118" s="564"/>
      <c r="BR118" s="564" t="s">
        <v>6146</v>
      </c>
      <c r="BS118" s="564"/>
      <c r="BT118" s="564" t="s">
        <v>6501</v>
      </c>
      <c r="BU118" s="564"/>
      <c r="BV118" s="564"/>
      <c r="BW118" s="564"/>
      <c r="BX118" s="564"/>
      <c r="BY118" s="564" t="s">
        <v>6387</v>
      </c>
      <c r="BZ118" s="564"/>
      <c r="CA118" s="564"/>
      <c r="CB118" s="564"/>
      <c r="CC118" s="564"/>
      <c r="CD118" s="564" t="s">
        <v>6149</v>
      </c>
      <c r="CE118" s="564"/>
      <c r="CF118" s="564" t="s">
        <v>6502</v>
      </c>
      <c r="CG118" s="564"/>
      <c r="CH118" s="564"/>
      <c r="CI118" s="564"/>
      <c r="CJ118" s="564"/>
      <c r="CK118" s="564" t="s">
        <v>6151</v>
      </c>
      <c r="CL118" s="564"/>
      <c r="CM118" s="564"/>
      <c r="CN118" s="564"/>
      <c r="CO118" s="564"/>
      <c r="CP118" s="564" t="s">
        <v>6152</v>
      </c>
      <c r="CQ118" s="564"/>
      <c r="CR118" s="564" t="s">
        <v>6503</v>
      </c>
      <c r="CS118" s="564"/>
    </row>
    <row r="119" spans="1:97" s="299" customFormat="1" ht="12.75" x14ac:dyDescent="0.2">
      <c r="C119" s="622"/>
      <c r="K119" s="567"/>
      <c r="L119" s="567"/>
      <c r="M119" s="403"/>
      <c r="N119" s="403"/>
      <c r="O119" s="403"/>
      <c r="P119" s="403"/>
      <c r="Q119" s="403"/>
      <c r="R119" s="403"/>
      <c r="S119" s="403"/>
      <c r="T119" s="403"/>
      <c r="U119" s="403"/>
      <c r="V119" s="403"/>
      <c r="W119" s="403"/>
      <c r="X119" s="403" t="s">
        <v>197</v>
      </c>
      <c r="Y119" s="403"/>
      <c r="Z119" s="403"/>
      <c r="AA119" s="403"/>
      <c r="AB119" s="403"/>
      <c r="AC119" s="403"/>
      <c r="AD119" s="403"/>
      <c r="AE119" s="403"/>
      <c r="AF119" s="403"/>
      <c r="AG119" s="403"/>
      <c r="AH119" s="403"/>
      <c r="AI119" s="403"/>
      <c r="AJ119" s="403"/>
      <c r="AK119" s="403"/>
      <c r="AL119" s="403"/>
      <c r="AM119" s="403"/>
      <c r="AN119" s="403"/>
      <c r="AO119" s="403"/>
      <c r="AP119" s="403"/>
      <c r="AQ119" s="403"/>
      <c r="AR119" s="403"/>
      <c r="AS119" s="403"/>
      <c r="AT119" s="403"/>
      <c r="AU119" s="403"/>
      <c r="AV119" s="403"/>
      <c r="AW119" s="403"/>
      <c r="AX119" s="403"/>
      <c r="AY119" s="403"/>
      <c r="AZ119" s="403"/>
      <c r="BA119" s="403"/>
      <c r="BB119" s="403"/>
      <c r="BC119" s="403"/>
      <c r="BD119" s="403"/>
      <c r="BE119" s="403"/>
      <c r="BF119" s="403"/>
      <c r="BG119" s="403"/>
      <c r="BH119" s="403"/>
      <c r="BI119" s="403"/>
      <c r="BJ119" s="403"/>
      <c r="BK119" s="403"/>
      <c r="BL119" s="403"/>
      <c r="BM119" s="403"/>
      <c r="BN119" s="403"/>
      <c r="BO119" s="403"/>
      <c r="BP119" s="403"/>
      <c r="BQ119" s="403"/>
      <c r="BR119" s="403"/>
      <c r="BS119" s="403"/>
      <c r="BT119" s="403"/>
      <c r="BU119" s="403"/>
      <c r="BV119" s="403"/>
      <c r="BW119" s="403"/>
      <c r="BX119" s="403"/>
      <c r="BY119" s="403"/>
      <c r="BZ119" s="403"/>
      <c r="CA119" s="403"/>
      <c r="CB119" s="403"/>
      <c r="CC119" s="403"/>
      <c r="CD119" s="403"/>
      <c r="CE119" s="403"/>
      <c r="CF119" s="403"/>
      <c r="CG119" s="403"/>
      <c r="CH119" s="403"/>
      <c r="CI119" s="403"/>
      <c r="CJ119" s="403"/>
      <c r="CK119" s="403"/>
      <c r="CL119" s="403"/>
      <c r="CM119" s="403"/>
      <c r="CN119" s="403"/>
      <c r="CO119" s="403"/>
      <c r="CP119" s="403"/>
      <c r="CQ119" s="403"/>
      <c r="CR119" s="403"/>
      <c r="CS119" s="564"/>
    </row>
    <row r="120" spans="1:97" s="299" customFormat="1" ht="38.25" x14ac:dyDescent="0.2">
      <c r="C120" s="622"/>
      <c r="D120" s="358" t="str">
        <f t="shared" ca="1" si="46"/>
        <v>2. Those who live in residential facilities / refugee camps,
vaccinated at these residential facilities / camps (Delivery Modality 3)
For example: Refugee camps</v>
      </c>
      <c r="F120" s="631" t="str">
        <f t="shared" ca="1" si="46"/>
        <v>EXCLUDE Older adults (see A2.2.3)</v>
      </c>
      <c r="K120" s="567"/>
      <c r="L120" s="567"/>
      <c r="M120" s="403"/>
      <c r="N120" s="403"/>
      <c r="O120" s="403"/>
      <c r="P120" s="403"/>
      <c r="Q120" s="403" t="s">
        <v>4081</v>
      </c>
      <c r="R120" s="403"/>
      <c r="S120" s="403" t="s">
        <v>14366</v>
      </c>
      <c r="T120" s="403"/>
      <c r="U120" s="403"/>
      <c r="V120" s="403"/>
      <c r="W120" s="403"/>
      <c r="X120" s="403" t="s">
        <v>197</v>
      </c>
      <c r="Y120" s="403"/>
      <c r="Z120" s="403"/>
      <c r="AA120" s="403"/>
      <c r="AB120" s="403"/>
      <c r="AC120" s="403" t="s">
        <v>6504</v>
      </c>
      <c r="AD120" s="403"/>
      <c r="AE120" s="403" t="s">
        <v>14367</v>
      </c>
      <c r="AF120" s="403"/>
      <c r="AG120" s="403"/>
      <c r="AH120" s="403"/>
      <c r="AI120" s="403"/>
      <c r="AJ120" s="403"/>
      <c r="AK120" s="403"/>
      <c r="AL120" s="403"/>
      <c r="AM120" s="403"/>
      <c r="AN120" s="403"/>
      <c r="AO120" s="403" t="s">
        <v>6505</v>
      </c>
      <c r="AP120" s="403"/>
      <c r="AQ120" s="403" t="s">
        <v>14408</v>
      </c>
      <c r="AR120" s="403"/>
      <c r="AS120" s="403"/>
      <c r="AT120" s="403"/>
      <c r="AU120" s="403"/>
      <c r="AV120" s="403"/>
      <c r="AW120" s="403"/>
      <c r="AX120" s="403"/>
      <c r="AY120" s="403"/>
      <c r="AZ120" s="403"/>
      <c r="BA120" s="403" t="s">
        <v>6506</v>
      </c>
      <c r="BB120" s="403"/>
      <c r="BC120" s="403" t="s">
        <v>14369</v>
      </c>
      <c r="BD120" s="403"/>
      <c r="BE120" s="403"/>
      <c r="BF120" s="403"/>
      <c r="BG120" s="403"/>
      <c r="BH120" s="403"/>
      <c r="BI120" s="403"/>
      <c r="BJ120" s="403"/>
      <c r="BK120" s="403"/>
      <c r="BL120" s="403"/>
      <c r="BM120" s="403" t="s">
        <v>6507</v>
      </c>
      <c r="BN120" s="403"/>
      <c r="BO120" s="403" t="s">
        <v>14370</v>
      </c>
      <c r="BP120" s="403"/>
      <c r="BQ120" s="403"/>
      <c r="BR120" s="403"/>
      <c r="BS120" s="403"/>
      <c r="BT120" s="403"/>
      <c r="BU120" s="403"/>
      <c r="BV120" s="403"/>
      <c r="BW120" s="403"/>
      <c r="BX120" s="403"/>
      <c r="BY120" s="403" t="s">
        <v>6508</v>
      </c>
      <c r="BZ120" s="403"/>
      <c r="CA120" s="403" t="s">
        <v>14371</v>
      </c>
      <c r="CB120" s="403"/>
      <c r="CC120" s="403"/>
      <c r="CD120" s="403"/>
      <c r="CE120" s="403"/>
      <c r="CF120" s="403"/>
      <c r="CG120" s="403"/>
      <c r="CH120" s="403"/>
      <c r="CI120" s="403"/>
      <c r="CJ120" s="403"/>
      <c r="CK120" s="403" t="s">
        <v>6509</v>
      </c>
      <c r="CL120" s="403"/>
      <c r="CM120" s="403" t="s">
        <v>14372</v>
      </c>
      <c r="CN120" s="403"/>
      <c r="CO120" s="403"/>
      <c r="CP120" s="403"/>
      <c r="CQ120" s="403"/>
      <c r="CR120" s="403"/>
      <c r="CS120" s="564"/>
    </row>
    <row r="121" spans="1:97" s="15" customFormat="1" ht="12.75" x14ac:dyDescent="0.2">
      <c r="A121" s="349">
        <v>1</v>
      </c>
      <c r="B121" s="299"/>
      <c r="C121" s="624"/>
      <c r="D121" s="7" t="str">
        <f t="shared" ref="D121:D124" ca="1" si="54">IF(OFFSET(Q121,0,Lang_Order*Lang__A2)="","",OFFSET(Q121,0,Lang_Order*Lang__A2))</f>
        <v>Residents (not for older adults) … absolute number OR</v>
      </c>
      <c r="E121" s="362"/>
      <c r="F121" s="680" t="str">
        <f t="shared" ref="F121:F122" ca="1" si="55">IF(OFFSET(S121,0,Lang_Order*Lang__A2)="","",OFFSET(S121,0,Lang_Order*Lang__A2))</f>
        <v>} OR</v>
      </c>
      <c r="G121" s="4" t="str">
        <f>IF(_xlfn.XOR(ISBLANK(E121),ISBLANK(E122)),"OK",Lang_CHECK)</f>
        <v>CHECK</v>
      </c>
      <c r="H121" s="384" t="e">
        <f>E121/(Pop_Total_2021)</f>
        <v>#N/A</v>
      </c>
      <c r="I121" s="141" t="str">
        <f t="shared" ref="I121:I124" ca="1" si="56">IF(OFFSET(V121,0,Lang_Order*Lang__A2)="","",OFFSET(V121,0,Lang_Order*Lang__A2))</f>
        <v>Whole number</v>
      </c>
      <c r="J121" s="299"/>
      <c r="K121" s="143" t="str">
        <f t="shared" ca="1" si="53"/>
        <v>Assumes this sub-population is immobile</v>
      </c>
      <c r="L121" s="587"/>
      <c r="M121" s="403"/>
      <c r="N121" s="403"/>
      <c r="O121" s="403"/>
      <c r="P121" s="403"/>
      <c r="Q121" s="403" t="s">
        <v>4082</v>
      </c>
      <c r="R121" s="403"/>
      <c r="S121" s="403" t="s">
        <v>2876</v>
      </c>
      <c r="T121" s="403"/>
      <c r="U121" s="403"/>
      <c r="V121" s="403" t="s">
        <v>45</v>
      </c>
      <c r="W121" s="403"/>
      <c r="X121" s="403" t="s">
        <v>3106</v>
      </c>
      <c r="Y121" s="403"/>
      <c r="Z121" s="403"/>
      <c r="AA121" s="403"/>
      <c r="AB121" s="403"/>
      <c r="AC121" s="403" t="s">
        <v>6510</v>
      </c>
      <c r="AD121" s="403"/>
      <c r="AE121" s="403" t="s">
        <v>6120</v>
      </c>
      <c r="AF121" s="403"/>
      <c r="AG121" s="403"/>
      <c r="AH121" s="403" t="s">
        <v>6121</v>
      </c>
      <c r="AI121" s="403"/>
      <c r="AJ121" s="403" t="s">
        <v>6511</v>
      </c>
      <c r="AK121" s="403"/>
      <c r="AL121" s="403"/>
      <c r="AM121" s="403"/>
      <c r="AN121" s="403"/>
      <c r="AO121" s="403" t="s">
        <v>6512</v>
      </c>
      <c r="AP121" s="403"/>
      <c r="AQ121" s="403" t="s">
        <v>6123</v>
      </c>
      <c r="AR121" s="403"/>
      <c r="AS121" s="403"/>
      <c r="AT121" s="403" t="s">
        <v>6124</v>
      </c>
      <c r="AU121" s="403"/>
      <c r="AV121" s="403" t="s">
        <v>6513</v>
      </c>
      <c r="AW121" s="403"/>
      <c r="AX121" s="403"/>
      <c r="AY121" s="403"/>
      <c r="AZ121" s="403"/>
      <c r="BA121" s="403" t="s">
        <v>6514</v>
      </c>
      <c r="BB121" s="403"/>
      <c r="BC121" s="403" t="s">
        <v>6126</v>
      </c>
      <c r="BD121" s="403"/>
      <c r="BE121" s="403"/>
      <c r="BF121" s="403" t="s">
        <v>6127</v>
      </c>
      <c r="BG121" s="403"/>
      <c r="BH121" s="403" t="s">
        <v>6515</v>
      </c>
      <c r="BI121" s="403"/>
      <c r="BJ121" s="403"/>
      <c r="BK121" s="403"/>
      <c r="BL121" s="403"/>
      <c r="BM121" s="403" t="s">
        <v>6516</v>
      </c>
      <c r="BN121" s="403"/>
      <c r="BO121" s="403" t="s">
        <v>6120</v>
      </c>
      <c r="BP121" s="403"/>
      <c r="BQ121" s="403"/>
      <c r="BR121" s="403" t="s">
        <v>6129</v>
      </c>
      <c r="BS121" s="403"/>
      <c r="BT121" s="403" t="s">
        <v>6517</v>
      </c>
      <c r="BU121" s="403"/>
      <c r="BV121" s="403"/>
      <c r="BW121" s="403"/>
      <c r="BX121" s="403"/>
      <c r="BY121" s="403" t="s">
        <v>6518</v>
      </c>
      <c r="BZ121" s="403"/>
      <c r="CA121" s="403" t="s">
        <v>6131</v>
      </c>
      <c r="CB121" s="403"/>
      <c r="CC121" s="403"/>
      <c r="CD121" s="403" t="s">
        <v>6254</v>
      </c>
      <c r="CE121" s="403"/>
      <c r="CF121" s="403" t="s">
        <v>6519</v>
      </c>
      <c r="CG121" s="403"/>
      <c r="CH121" s="403"/>
      <c r="CI121" s="403"/>
      <c r="CJ121" s="403"/>
      <c r="CK121" s="403" t="s">
        <v>6520</v>
      </c>
      <c r="CL121" s="403"/>
      <c r="CM121" s="403" t="s">
        <v>6134</v>
      </c>
      <c r="CN121" s="403"/>
      <c r="CO121" s="403"/>
      <c r="CP121" s="403" t="s">
        <v>6135</v>
      </c>
      <c r="CQ121" s="403"/>
      <c r="CR121" s="403" t="s">
        <v>6521</v>
      </c>
      <c r="CS121" s="564"/>
    </row>
    <row r="122" spans="1:97" s="15" customFormat="1" ht="12.75" x14ac:dyDescent="0.2">
      <c r="A122" s="349">
        <v>1</v>
      </c>
      <c r="B122" s="299"/>
      <c r="C122" s="624"/>
      <c r="D122" s="7" t="str">
        <f t="shared" ca="1" si="54"/>
        <v>… as percent</v>
      </c>
      <c r="E122" s="363"/>
      <c r="F122" s="680" t="str">
        <f t="shared" ca="1" si="55"/>
        <v/>
      </c>
      <c r="G122" s="4" t="e">
        <f>IF(H122&gt;J122,Lang_CHECK,"OK")</f>
        <v>#N/A</v>
      </c>
      <c r="H122" s="384" t="e">
        <f>IF(ISBLANK(E122),H121,E122)</f>
        <v>#N/A</v>
      </c>
      <c r="I122" s="2" t="str">
        <f t="shared" ca="1" si="56"/>
        <v>Percent of Total Population</v>
      </c>
      <c r="J122" s="405">
        <v>0.1</v>
      </c>
      <c r="K122" s="143" t="str">
        <f t="shared" ca="1" si="53"/>
        <v>Max 10%</v>
      </c>
      <c r="L122" s="587"/>
      <c r="M122" s="403"/>
      <c r="N122" s="403"/>
      <c r="O122" s="403"/>
      <c r="P122" s="403"/>
      <c r="Q122" s="403" t="s">
        <v>2629</v>
      </c>
      <c r="R122" s="403"/>
      <c r="S122" s="403"/>
      <c r="T122" s="403"/>
      <c r="U122" s="403"/>
      <c r="V122" s="403" t="s">
        <v>40</v>
      </c>
      <c r="W122" s="403"/>
      <c r="X122" s="403" t="s">
        <v>2632</v>
      </c>
      <c r="Y122" s="403"/>
      <c r="Z122" s="403"/>
      <c r="AA122" s="403"/>
      <c r="AB122" s="403"/>
      <c r="AC122" s="403" t="s">
        <v>6136</v>
      </c>
      <c r="AD122" s="403"/>
      <c r="AE122" s="403"/>
      <c r="AF122" s="403"/>
      <c r="AG122" s="403"/>
      <c r="AH122" s="403" t="s">
        <v>6137</v>
      </c>
      <c r="AI122" s="403"/>
      <c r="AJ122" s="403" t="s">
        <v>2632</v>
      </c>
      <c r="AK122" s="403"/>
      <c r="AL122" s="403"/>
      <c r="AM122" s="403"/>
      <c r="AN122" s="403"/>
      <c r="AO122" s="403" t="s">
        <v>6139</v>
      </c>
      <c r="AP122" s="403"/>
      <c r="AQ122" s="403"/>
      <c r="AR122" s="403"/>
      <c r="AS122" s="403"/>
      <c r="AT122" s="403" t="s">
        <v>6140</v>
      </c>
      <c r="AU122" s="403"/>
      <c r="AV122" s="403" t="s">
        <v>6522</v>
      </c>
      <c r="AW122" s="403"/>
      <c r="AX122" s="403"/>
      <c r="AY122" s="403"/>
      <c r="AZ122" s="403"/>
      <c r="BA122" s="403" t="s">
        <v>6142</v>
      </c>
      <c r="BB122" s="403"/>
      <c r="BC122" s="403"/>
      <c r="BD122" s="403"/>
      <c r="BE122" s="403"/>
      <c r="BF122" s="403" t="s">
        <v>6143</v>
      </c>
      <c r="BG122" s="403"/>
      <c r="BH122" s="403" t="s">
        <v>2632</v>
      </c>
      <c r="BI122" s="403"/>
      <c r="BJ122" s="403"/>
      <c r="BK122" s="403"/>
      <c r="BL122" s="403"/>
      <c r="BM122" s="403" t="s">
        <v>6145</v>
      </c>
      <c r="BN122" s="403"/>
      <c r="BO122" s="403"/>
      <c r="BP122" s="403"/>
      <c r="BQ122" s="403"/>
      <c r="BR122" s="403" t="s">
        <v>6146</v>
      </c>
      <c r="BS122" s="403"/>
      <c r="BT122" s="403" t="s">
        <v>6501</v>
      </c>
      <c r="BU122" s="403"/>
      <c r="BV122" s="403"/>
      <c r="BW122" s="403"/>
      <c r="BX122" s="403"/>
      <c r="BY122" s="403" t="s">
        <v>6148</v>
      </c>
      <c r="BZ122" s="403"/>
      <c r="CA122" s="403"/>
      <c r="CB122" s="403"/>
      <c r="CC122" s="403"/>
      <c r="CD122" s="403" t="s">
        <v>6149</v>
      </c>
      <c r="CE122" s="403"/>
      <c r="CF122" s="403" t="s">
        <v>6502</v>
      </c>
      <c r="CG122" s="403"/>
      <c r="CH122" s="403"/>
      <c r="CI122" s="403"/>
      <c r="CJ122" s="403"/>
      <c r="CK122" s="403" t="s">
        <v>6151</v>
      </c>
      <c r="CL122" s="403"/>
      <c r="CM122" s="403"/>
      <c r="CN122" s="403"/>
      <c r="CO122" s="403"/>
      <c r="CP122" s="403" t="s">
        <v>6152</v>
      </c>
      <c r="CQ122" s="403"/>
      <c r="CR122" s="403" t="s">
        <v>6503</v>
      </c>
      <c r="CS122" s="564"/>
    </row>
    <row r="123" spans="1:97" ht="12.75" x14ac:dyDescent="0.2">
      <c r="A123" s="350">
        <v>2</v>
      </c>
      <c r="B123" s="299"/>
      <c r="D123" s="23" t="str">
        <f t="shared" ca="1" si="54"/>
        <v>One staff looks after how many residents?</v>
      </c>
      <c r="E123" s="35">
        <v>5</v>
      </c>
      <c r="G123" s="4" t="str">
        <f>IF(ISBLANK(E123),Lang_CHECK,"OK")</f>
        <v>OK</v>
      </c>
      <c r="H123"/>
      <c r="I123" s="2" t="str">
        <f t="shared" ca="1" si="56"/>
        <v>One staff for every n residents</v>
      </c>
      <c r="J123" s="299"/>
      <c r="K123" s="143" t="str">
        <f t="shared" ca="1" si="53"/>
        <v>Derive the number of staff from this - will be vaccinated together with residents; Zero if not covering this group</v>
      </c>
      <c r="L123" s="587"/>
      <c r="Q123" s="403" t="s">
        <v>3763</v>
      </c>
      <c r="V123" s="403" t="s">
        <v>44</v>
      </c>
      <c r="X123" s="403" t="s">
        <v>3201</v>
      </c>
      <c r="AC123" s="403" t="s">
        <v>6523</v>
      </c>
      <c r="AH123" s="403" t="s">
        <v>6393</v>
      </c>
      <c r="AJ123" s="403" t="s">
        <v>6524</v>
      </c>
      <c r="AO123" s="403" t="s">
        <v>6525</v>
      </c>
      <c r="AT123" s="403" t="s">
        <v>6526</v>
      </c>
      <c r="AV123" s="403" t="s">
        <v>6527</v>
      </c>
      <c r="BA123" s="403" t="s">
        <v>6528</v>
      </c>
      <c r="BF123" s="403" t="s">
        <v>6399</v>
      </c>
      <c r="BH123" s="403" t="s">
        <v>6529</v>
      </c>
      <c r="BM123" s="403" t="s">
        <v>6530</v>
      </c>
      <c r="BR123" s="403" t="s">
        <v>6402</v>
      </c>
      <c r="BT123" s="403" t="s">
        <v>6531</v>
      </c>
      <c r="BY123" s="403" t="s">
        <v>6532</v>
      </c>
      <c r="CD123" s="403" t="s">
        <v>6533</v>
      </c>
      <c r="CF123" s="403" t="s">
        <v>6534</v>
      </c>
      <c r="CK123" s="403" t="s">
        <v>6535</v>
      </c>
      <c r="CP123" s="403" t="s">
        <v>6536</v>
      </c>
      <c r="CR123" s="403" t="s">
        <v>6537</v>
      </c>
    </row>
    <row r="124" spans="1:97" ht="12.75" x14ac:dyDescent="0.2">
      <c r="A124" s="349">
        <v>1</v>
      </c>
      <c r="B124" s="524"/>
      <c r="D124" s="23" t="str">
        <f t="shared" ca="1" si="54"/>
        <v>How many such residential facilities / camps (not for older adults) are there in the country?</v>
      </c>
      <c r="E124" s="35"/>
      <c r="F124" s="81" t="e">
        <f>IF(Pop_Priorty_SocDem_Res_Percent=0,"0","&gt; 0")</f>
        <v>#N/A</v>
      </c>
      <c r="G124" s="4" t="e">
        <f>IF(AND(Pop_Priorty_SocDem_Res_Percent&gt;0,E124=0),Lang_CHECK,"OK")</f>
        <v>#N/A</v>
      </c>
      <c r="H124" s="3" t="e">
        <f>IF(Pop_Priorty_SocDem_Res_Percent=0,0,MAX(1,E124))</f>
        <v>#N/A</v>
      </c>
      <c r="I124" s="2" t="str">
        <f t="shared" ca="1" si="56"/>
        <v>Whole number</v>
      </c>
      <c r="J124" s="3" t="e">
        <f>IF(Pop_Priorty_SocDem_Res_Percent&gt;0,1,0)</f>
        <v>#N/A</v>
      </c>
      <c r="K124" s="567"/>
      <c r="L124" s="587"/>
      <c r="Q124" s="403" t="s">
        <v>3779</v>
      </c>
      <c r="V124" s="403" t="s">
        <v>45</v>
      </c>
      <c r="X124" s="403" t="s">
        <v>197</v>
      </c>
      <c r="AC124" s="403" t="s">
        <v>6538</v>
      </c>
      <c r="AH124" s="403" t="s">
        <v>6121</v>
      </c>
      <c r="AO124" s="403" t="s">
        <v>6539</v>
      </c>
      <c r="AT124" s="403" t="s">
        <v>6371</v>
      </c>
      <c r="BA124" s="403" t="s">
        <v>6540</v>
      </c>
      <c r="BF124" s="403" t="s">
        <v>6127</v>
      </c>
      <c r="BM124" s="403" t="s">
        <v>6541</v>
      </c>
      <c r="BR124" s="403" t="s">
        <v>6129</v>
      </c>
      <c r="BY124" s="403" t="s">
        <v>6542</v>
      </c>
      <c r="CD124" s="403" t="s">
        <v>6254</v>
      </c>
      <c r="CK124" s="403" t="s">
        <v>6543</v>
      </c>
      <c r="CP124" s="403" t="s">
        <v>6135</v>
      </c>
    </row>
    <row r="125" spans="1:97" s="15" customFormat="1" ht="12.75" x14ac:dyDescent="0.2">
      <c r="A125" s="567"/>
      <c r="B125" s="299"/>
      <c r="C125" s="624"/>
      <c r="D125" s="68"/>
      <c r="E125" s="68"/>
      <c r="F125" s="68"/>
      <c r="G125" s="68"/>
      <c r="H125" s="68"/>
      <c r="I125" s="68"/>
      <c r="J125" s="68"/>
      <c r="K125" s="567"/>
      <c r="L125" s="567"/>
      <c r="M125" s="403"/>
      <c r="N125" s="403"/>
      <c r="O125" s="403"/>
      <c r="P125" s="403"/>
      <c r="Q125" s="403"/>
      <c r="R125" s="403"/>
      <c r="S125" s="403"/>
      <c r="T125" s="403"/>
      <c r="U125" s="403"/>
      <c r="V125" s="403"/>
      <c r="W125" s="403"/>
      <c r="X125" s="403" t="s">
        <v>197</v>
      </c>
      <c r="Y125" s="403"/>
      <c r="Z125" s="403"/>
      <c r="AA125" s="403"/>
      <c r="AB125" s="403"/>
      <c r="AC125" s="403"/>
      <c r="AD125" s="403"/>
      <c r="AE125" s="403"/>
      <c r="AF125" s="403"/>
      <c r="AG125" s="403"/>
      <c r="AH125" s="403"/>
      <c r="AI125" s="403"/>
      <c r="AJ125" s="403"/>
      <c r="AK125" s="403"/>
      <c r="AL125" s="403"/>
      <c r="AM125" s="403"/>
      <c r="AN125" s="403"/>
      <c r="AO125" s="403"/>
      <c r="AP125" s="403"/>
      <c r="AQ125" s="403"/>
      <c r="AR125" s="403"/>
      <c r="AS125" s="403"/>
      <c r="AT125" s="403"/>
      <c r="AU125" s="403"/>
      <c r="AV125" s="403"/>
      <c r="AW125" s="403"/>
      <c r="AX125" s="403"/>
      <c r="AY125" s="403"/>
      <c r="AZ125" s="403"/>
      <c r="BA125" s="403"/>
      <c r="BB125" s="403"/>
      <c r="BC125" s="403"/>
      <c r="BD125" s="403"/>
      <c r="BE125" s="403"/>
      <c r="BF125" s="403"/>
      <c r="BG125" s="403"/>
      <c r="BH125" s="403"/>
      <c r="BI125" s="403"/>
      <c r="BJ125" s="403"/>
      <c r="BK125" s="403"/>
      <c r="BL125" s="403"/>
      <c r="BM125" s="403"/>
      <c r="BN125" s="403"/>
      <c r="BO125" s="403"/>
      <c r="BP125" s="403"/>
      <c r="BQ125" s="403"/>
      <c r="BR125" s="403"/>
      <c r="BS125" s="403"/>
      <c r="BT125" s="403"/>
      <c r="BU125" s="403"/>
      <c r="BV125" s="403"/>
      <c r="BW125" s="403"/>
      <c r="BX125" s="403"/>
      <c r="BY125" s="403"/>
      <c r="BZ125" s="403"/>
      <c r="CA125" s="403"/>
      <c r="CB125" s="403"/>
      <c r="CC125" s="403"/>
      <c r="CD125" s="403"/>
      <c r="CE125" s="403"/>
      <c r="CF125" s="403"/>
      <c r="CG125" s="403"/>
      <c r="CH125" s="403"/>
      <c r="CI125" s="403"/>
      <c r="CJ125" s="403"/>
      <c r="CK125" s="403"/>
      <c r="CL125" s="403"/>
      <c r="CM125" s="403"/>
      <c r="CN125" s="403"/>
      <c r="CO125" s="403"/>
      <c r="CP125" s="403"/>
      <c r="CQ125" s="403"/>
      <c r="CR125" s="403"/>
      <c r="CS125" s="564"/>
    </row>
    <row r="126" spans="1:97" s="299" customFormat="1" ht="38.25" x14ac:dyDescent="0.2">
      <c r="C126" s="624"/>
      <c r="D126" s="358" t="str">
        <f t="shared" ref="D126:F145" ca="1" si="57">IF(OFFSET(Q126,0,Lang_Order*Lang__A2)="","",OFFSET(Q126,0,Lang_Order*Lang__A2))</f>
        <v>3 Special populations who are Hard-to-Reach,
who will be vaccinated by outreach (Delivery Modality 4)
For example: Refugees, internally displaced persons, nomadic populations</v>
      </c>
      <c r="E126" s="477" t="str">
        <f t="shared" ca="1" si="57"/>
        <v>NOTE: Please do not double count the general hard-to-reach population ("Hard-to-reach population groups such as those in rural and remote areas") described next</v>
      </c>
      <c r="F126" s="68"/>
      <c r="G126" s="68"/>
      <c r="H126" s="68"/>
      <c r="I126" s="141"/>
      <c r="K126" s="567"/>
      <c r="L126" s="567"/>
      <c r="M126" s="403"/>
      <c r="N126" s="403"/>
      <c r="O126" s="403"/>
      <c r="P126" s="403"/>
      <c r="Q126" s="403" t="s">
        <v>4083</v>
      </c>
      <c r="R126" s="403" t="s">
        <v>4554</v>
      </c>
      <c r="S126" s="403"/>
      <c r="T126" s="403"/>
      <c r="U126" s="403"/>
      <c r="V126" s="403"/>
      <c r="W126" s="403"/>
      <c r="X126" s="403" t="s">
        <v>197</v>
      </c>
      <c r="Y126" s="403"/>
      <c r="Z126" s="403"/>
      <c r="AA126" s="403"/>
      <c r="AB126" s="403"/>
      <c r="AC126" s="403" t="s">
        <v>6544</v>
      </c>
      <c r="AD126" s="403" t="s">
        <v>13843</v>
      </c>
      <c r="AE126" s="403"/>
      <c r="AF126" s="403"/>
      <c r="AG126" s="403"/>
      <c r="AH126" s="403"/>
      <c r="AI126" s="403"/>
      <c r="AJ126" s="403"/>
      <c r="AK126" s="403"/>
      <c r="AL126" s="403"/>
      <c r="AM126" s="403"/>
      <c r="AN126" s="403"/>
      <c r="AO126" s="403" t="s">
        <v>6545</v>
      </c>
      <c r="AP126" s="403" t="s">
        <v>13844</v>
      </c>
      <c r="AQ126" s="403"/>
      <c r="AR126" s="403"/>
      <c r="AS126" s="403"/>
      <c r="AT126" s="403"/>
      <c r="AU126" s="403"/>
      <c r="AV126" s="403"/>
      <c r="AW126" s="403"/>
      <c r="AX126" s="403"/>
      <c r="AY126" s="403"/>
      <c r="AZ126" s="403"/>
      <c r="BA126" s="403" t="s">
        <v>6546</v>
      </c>
      <c r="BB126" s="403" t="s">
        <v>13845</v>
      </c>
      <c r="BC126" s="403"/>
      <c r="BD126" s="403"/>
      <c r="BE126" s="403"/>
      <c r="BF126" s="403"/>
      <c r="BG126" s="403"/>
      <c r="BH126" s="403"/>
      <c r="BI126" s="403"/>
      <c r="BJ126" s="403"/>
      <c r="BK126" s="403"/>
      <c r="BL126" s="403"/>
      <c r="BM126" s="403" t="s">
        <v>6547</v>
      </c>
      <c r="BN126" s="403" t="s">
        <v>13846</v>
      </c>
      <c r="BO126" s="403"/>
      <c r="BP126" s="403"/>
      <c r="BQ126" s="403"/>
      <c r="BR126" s="403"/>
      <c r="BS126" s="403"/>
      <c r="BT126" s="403"/>
      <c r="BU126" s="403"/>
      <c r="BV126" s="403"/>
      <c r="BW126" s="403"/>
      <c r="BX126" s="403"/>
      <c r="BY126" s="403" t="s">
        <v>6548</v>
      </c>
      <c r="BZ126" s="403" t="s">
        <v>13847</v>
      </c>
      <c r="CA126" s="403"/>
      <c r="CB126" s="403"/>
      <c r="CC126" s="403"/>
      <c r="CD126" s="403"/>
      <c r="CE126" s="403"/>
      <c r="CF126" s="403"/>
      <c r="CG126" s="403"/>
      <c r="CH126" s="403"/>
      <c r="CI126" s="403"/>
      <c r="CJ126" s="403"/>
      <c r="CK126" s="403" t="s">
        <v>6549</v>
      </c>
      <c r="CL126" s="403" t="s">
        <v>13848</v>
      </c>
      <c r="CM126" s="403"/>
      <c r="CN126" s="403"/>
      <c r="CO126" s="403"/>
      <c r="CP126" s="403"/>
      <c r="CQ126" s="403"/>
      <c r="CR126" s="403"/>
      <c r="CS126" s="564"/>
    </row>
    <row r="127" spans="1:97" s="299" customFormat="1" ht="12.75" x14ac:dyDescent="0.2">
      <c r="A127" s="349">
        <v>1</v>
      </c>
      <c r="C127" s="624"/>
      <c r="D127" s="7" t="str">
        <f t="shared" ca="1" si="57"/>
        <v>Hard-to-reach population groups … absolute number OR</v>
      </c>
      <c r="E127" s="362"/>
      <c r="F127" s="680" t="str">
        <f t="shared" ref="F127:F128" ca="1" si="58">IF(OFFSET(S127,0,Lang_Order*Lang__A2)="","",OFFSET(S127,0,Lang_Order*Lang__A2))</f>
        <v>} OR</v>
      </c>
      <c r="G127" s="4" t="str">
        <f>IF(_xlfn.XOR(ISBLANK(E127),ISBLANK(E128)),"OK",Lang_CHECK)</f>
        <v>CHECK</v>
      </c>
      <c r="H127" s="296" t="e">
        <f>E127/(Pop_Total_2021)</f>
        <v>#N/A</v>
      </c>
      <c r="I127" s="141"/>
      <c r="K127" s="567"/>
      <c r="L127" s="587"/>
      <c r="M127" s="403"/>
      <c r="N127" s="403"/>
      <c r="O127" s="403"/>
      <c r="P127" s="403"/>
      <c r="Q127" s="403" t="s">
        <v>4084</v>
      </c>
      <c r="R127" s="403"/>
      <c r="S127" s="403" t="s">
        <v>2876</v>
      </c>
      <c r="T127" s="403"/>
      <c r="U127" s="403"/>
      <c r="V127" s="403"/>
      <c r="W127" s="403"/>
      <c r="X127" s="403" t="s">
        <v>197</v>
      </c>
      <c r="Y127" s="403"/>
      <c r="Z127" s="403"/>
      <c r="AA127" s="403"/>
      <c r="AB127" s="403"/>
      <c r="AC127" s="403" t="s">
        <v>6550</v>
      </c>
      <c r="AD127" s="403"/>
      <c r="AE127" s="403" t="s">
        <v>6120</v>
      </c>
      <c r="AF127" s="403"/>
      <c r="AG127" s="403"/>
      <c r="AH127" s="403"/>
      <c r="AI127" s="403"/>
      <c r="AJ127" s="403"/>
      <c r="AK127" s="403"/>
      <c r="AL127" s="403"/>
      <c r="AM127" s="403"/>
      <c r="AN127" s="403"/>
      <c r="AO127" s="403" t="s">
        <v>6551</v>
      </c>
      <c r="AP127" s="403"/>
      <c r="AQ127" s="403" t="s">
        <v>6123</v>
      </c>
      <c r="AR127" s="403"/>
      <c r="AS127" s="403"/>
      <c r="AT127" s="403"/>
      <c r="AU127" s="403"/>
      <c r="AV127" s="403"/>
      <c r="AW127" s="403"/>
      <c r="AX127" s="403"/>
      <c r="AY127" s="403"/>
      <c r="AZ127" s="403"/>
      <c r="BA127" s="403" t="s">
        <v>6552</v>
      </c>
      <c r="BB127" s="403"/>
      <c r="BC127" s="403" t="s">
        <v>6126</v>
      </c>
      <c r="BD127" s="403"/>
      <c r="BE127" s="403"/>
      <c r="BF127" s="403"/>
      <c r="BG127" s="403"/>
      <c r="BH127" s="403"/>
      <c r="BI127" s="403"/>
      <c r="BJ127" s="403"/>
      <c r="BK127" s="403"/>
      <c r="BL127" s="403"/>
      <c r="BM127" s="403" t="s">
        <v>6553</v>
      </c>
      <c r="BN127" s="403"/>
      <c r="BO127" s="403" t="s">
        <v>6120</v>
      </c>
      <c r="BP127" s="403"/>
      <c r="BQ127" s="403"/>
      <c r="BR127" s="403"/>
      <c r="BS127" s="403"/>
      <c r="BT127" s="403"/>
      <c r="BU127" s="403"/>
      <c r="BV127" s="403"/>
      <c r="BW127" s="403"/>
      <c r="BX127" s="403"/>
      <c r="BY127" s="403" t="s">
        <v>6554</v>
      </c>
      <c r="BZ127" s="403"/>
      <c r="CA127" s="403" t="s">
        <v>6131</v>
      </c>
      <c r="CB127" s="403"/>
      <c r="CC127" s="403"/>
      <c r="CD127" s="403"/>
      <c r="CE127" s="403"/>
      <c r="CF127" s="403"/>
      <c r="CG127" s="403"/>
      <c r="CH127" s="403"/>
      <c r="CI127" s="403"/>
      <c r="CJ127" s="403"/>
      <c r="CK127" s="403" t="s">
        <v>6555</v>
      </c>
      <c r="CL127" s="403"/>
      <c r="CM127" s="403" t="s">
        <v>6134</v>
      </c>
      <c r="CN127" s="403"/>
      <c r="CO127" s="403"/>
      <c r="CP127" s="403"/>
      <c r="CQ127" s="403"/>
      <c r="CR127" s="403"/>
      <c r="CS127" s="564"/>
    </row>
    <row r="128" spans="1:97" s="299" customFormat="1" ht="12.75" x14ac:dyDescent="0.2">
      <c r="A128" s="349">
        <v>1</v>
      </c>
      <c r="C128" s="624"/>
      <c r="D128" s="7" t="str">
        <f t="shared" ca="1" si="57"/>
        <v>… as percent</v>
      </c>
      <c r="E128" s="363"/>
      <c r="F128" s="680" t="str">
        <f t="shared" ca="1" si="58"/>
        <v/>
      </c>
      <c r="G128" s="4" t="e">
        <f>IF(H128&gt;J128,Lang_CHECK,"OK")</f>
        <v>#N/A</v>
      </c>
      <c r="H128" s="296" t="e">
        <f>IF(ISBLANK(E128),H127,E128)</f>
        <v>#N/A</v>
      </c>
      <c r="I128" s="2" t="str">
        <f t="shared" ref="I128" ca="1" si="59">IF(OFFSET(V128,0,Lang_Order*Lang__A2)="","",OFFSET(V128,0,Lang_Order*Lang__A2))</f>
        <v>Percent of Total Population</v>
      </c>
      <c r="J128" s="405">
        <v>0.1</v>
      </c>
      <c r="K128" s="143" t="str">
        <f t="shared" ca="1" si="53"/>
        <v>Max 10%; Note: Will use the same DM1 to DM2 proportion as A2.2.3</v>
      </c>
      <c r="L128" s="587"/>
      <c r="M128" s="403"/>
      <c r="N128" s="403"/>
      <c r="O128" s="403"/>
      <c r="P128" s="403"/>
      <c r="Q128" s="403" t="s">
        <v>2629</v>
      </c>
      <c r="R128" s="403"/>
      <c r="S128" s="403"/>
      <c r="T128" s="403"/>
      <c r="U128" s="403"/>
      <c r="V128" s="403" t="s">
        <v>40</v>
      </c>
      <c r="W128" s="403"/>
      <c r="X128" s="403" t="s">
        <v>14409</v>
      </c>
      <c r="Y128" s="403"/>
      <c r="Z128" s="403"/>
      <c r="AA128" s="403"/>
      <c r="AB128" s="403"/>
      <c r="AC128" s="403" t="s">
        <v>6136</v>
      </c>
      <c r="AD128" s="403"/>
      <c r="AE128" s="403"/>
      <c r="AF128" s="403"/>
      <c r="AG128" s="403"/>
      <c r="AH128" s="403" t="s">
        <v>6137</v>
      </c>
      <c r="AI128" s="403"/>
      <c r="AJ128" s="403" t="s">
        <v>14410</v>
      </c>
      <c r="AK128" s="403"/>
      <c r="AL128" s="403"/>
      <c r="AM128" s="403"/>
      <c r="AN128" s="403"/>
      <c r="AO128" s="403" t="s">
        <v>6139</v>
      </c>
      <c r="AP128" s="403"/>
      <c r="AQ128" s="403"/>
      <c r="AR128" s="403"/>
      <c r="AS128" s="403"/>
      <c r="AT128" s="403" t="s">
        <v>6140</v>
      </c>
      <c r="AU128" s="403"/>
      <c r="AV128" s="403" t="s">
        <v>14411</v>
      </c>
      <c r="AW128" s="403"/>
      <c r="AX128" s="403"/>
      <c r="AY128" s="403"/>
      <c r="AZ128" s="403"/>
      <c r="BA128" s="403" t="s">
        <v>6142</v>
      </c>
      <c r="BB128" s="403"/>
      <c r="BC128" s="403"/>
      <c r="BD128" s="403"/>
      <c r="BE128" s="403"/>
      <c r="BF128" s="403" t="s">
        <v>6143</v>
      </c>
      <c r="BG128" s="403"/>
      <c r="BH128" s="403" t="s">
        <v>14412</v>
      </c>
      <c r="BI128" s="403"/>
      <c r="BJ128" s="403"/>
      <c r="BK128" s="403"/>
      <c r="BL128" s="403"/>
      <c r="BM128" s="403" t="s">
        <v>6145</v>
      </c>
      <c r="BN128" s="403"/>
      <c r="BO128" s="403"/>
      <c r="BP128" s="403"/>
      <c r="BQ128" s="403"/>
      <c r="BR128" s="403" t="s">
        <v>6146</v>
      </c>
      <c r="BS128" s="403"/>
      <c r="BT128" s="403" t="s">
        <v>14413</v>
      </c>
      <c r="BU128" s="403"/>
      <c r="BV128" s="403"/>
      <c r="BW128" s="403"/>
      <c r="BX128" s="403"/>
      <c r="BY128" s="403" t="s">
        <v>6387</v>
      </c>
      <c r="BZ128" s="403"/>
      <c r="CA128" s="403"/>
      <c r="CB128" s="403"/>
      <c r="CC128" s="403"/>
      <c r="CD128" s="403" t="s">
        <v>6149</v>
      </c>
      <c r="CE128" s="403"/>
      <c r="CF128" s="403" t="s">
        <v>14414</v>
      </c>
      <c r="CG128" s="403"/>
      <c r="CH128" s="403"/>
      <c r="CI128" s="403"/>
      <c r="CJ128" s="403"/>
      <c r="CK128" s="403" t="s">
        <v>6151</v>
      </c>
      <c r="CL128" s="403"/>
      <c r="CM128" s="403"/>
      <c r="CN128" s="403"/>
      <c r="CO128" s="403"/>
      <c r="CP128" s="403" t="s">
        <v>6152</v>
      </c>
      <c r="CQ128" s="403"/>
      <c r="CR128" s="403" t="s">
        <v>14415</v>
      </c>
      <c r="CS128" s="564"/>
    </row>
    <row r="129" spans="1:97" s="299" customFormat="1" ht="12.75" x14ac:dyDescent="0.2">
      <c r="C129" s="624"/>
      <c r="D129" s="68"/>
      <c r="E129" s="68"/>
      <c r="F129" s="68"/>
      <c r="G129" s="68"/>
      <c r="H129" s="68"/>
      <c r="I129" s="141"/>
      <c r="K129" s="567"/>
      <c r="L129" s="567"/>
      <c r="M129" s="403"/>
      <c r="N129" s="403"/>
      <c r="O129" s="403"/>
      <c r="P129" s="403"/>
      <c r="Q129" s="403"/>
      <c r="R129" s="403"/>
      <c r="S129" s="403"/>
      <c r="T129" s="403"/>
      <c r="U129" s="403"/>
      <c r="V129" s="403"/>
      <c r="W129" s="403"/>
      <c r="X129" s="403" t="s">
        <v>197</v>
      </c>
      <c r="Y129" s="403"/>
      <c r="Z129" s="403"/>
      <c r="AA129" s="403"/>
      <c r="AB129" s="403"/>
      <c r="AC129" s="403"/>
      <c r="AD129" s="403"/>
      <c r="AE129" s="403"/>
      <c r="AF129" s="403"/>
      <c r="AG129" s="403"/>
      <c r="AH129" s="403"/>
      <c r="AI129" s="403"/>
      <c r="AJ129" s="403"/>
      <c r="AK129" s="403"/>
      <c r="AL129" s="403"/>
      <c r="AM129" s="403"/>
      <c r="AN129" s="403"/>
      <c r="AO129" s="403"/>
      <c r="AP129" s="403"/>
      <c r="AQ129" s="403"/>
      <c r="AR129" s="403"/>
      <c r="AS129" s="403"/>
      <c r="AT129" s="403"/>
      <c r="AU129" s="403"/>
      <c r="AV129" s="403"/>
      <c r="AW129" s="403"/>
      <c r="AX129" s="403"/>
      <c r="AY129" s="403"/>
      <c r="AZ129" s="403"/>
      <c r="BA129" s="403"/>
      <c r="BB129" s="403"/>
      <c r="BC129" s="403"/>
      <c r="BD129" s="403"/>
      <c r="BE129" s="403"/>
      <c r="BF129" s="403"/>
      <c r="BG129" s="403"/>
      <c r="BH129" s="403"/>
      <c r="BI129" s="403"/>
      <c r="BJ129" s="403"/>
      <c r="BK129" s="403"/>
      <c r="BL129" s="403"/>
      <c r="BM129" s="403"/>
      <c r="BN129" s="403"/>
      <c r="BO129" s="403"/>
      <c r="BP129" s="403"/>
      <c r="BQ129" s="403"/>
      <c r="BR129" s="403"/>
      <c r="BS129" s="403"/>
      <c r="BT129" s="403"/>
      <c r="BU129" s="403"/>
      <c r="BV129" s="403"/>
      <c r="BW129" s="403"/>
      <c r="BX129" s="403"/>
      <c r="BY129" s="403"/>
      <c r="BZ129" s="403"/>
      <c r="CA129" s="403"/>
      <c r="CB129" s="403"/>
      <c r="CC129" s="403"/>
      <c r="CD129" s="403"/>
      <c r="CE129" s="403"/>
      <c r="CF129" s="403"/>
      <c r="CG129" s="403"/>
      <c r="CH129" s="403"/>
      <c r="CI129" s="403"/>
      <c r="CJ129" s="403"/>
      <c r="CK129" s="403"/>
      <c r="CL129" s="403"/>
      <c r="CM129" s="403"/>
      <c r="CN129" s="403"/>
      <c r="CO129" s="403"/>
      <c r="CP129" s="403"/>
      <c r="CQ129" s="403"/>
      <c r="CR129" s="403"/>
      <c r="CS129" s="564"/>
    </row>
    <row r="130" spans="1:97" s="463" customFormat="1" x14ac:dyDescent="0.25">
      <c r="B130" s="567"/>
      <c r="C130" s="622"/>
      <c r="D130" s="8" t="str">
        <f t="shared" ref="D130" ca="1" si="60">IF(OFFSET(Q130,0,Lang_Order*Lang__A2)="","",OFFSET(Q130,0,Lang_Order*Lang__A2))</f>
        <v>General hard-to-reach population | Delivery Modality 4 - voluntary eligibility</v>
      </c>
      <c r="E130" s="144"/>
      <c r="F130" s="144"/>
      <c r="G130" s="144"/>
      <c r="H130" s="144"/>
      <c r="I130" s="144"/>
      <c r="J130" s="8"/>
      <c r="K130" s="144" t="str">
        <f t="shared" ref="K130" ca="1" si="61">IF(OFFSET(X130,0,Lang_Order*Lang__A2)="","",OFFSET(X130,0,Lang_Order*Lang__A2))</f>
        <v/>
      </c>
      <c r="L130" s="144" t="str">
        <f t="shared" ref="L130" ca="1" si="62">IF(OFFSET(Y130,0,Lang_Order*Lang__A2)="","",OFFSET(Y130,0,Lang_Order*Lang__A2))</f>
        <v/>
      </c>
      <c r="Q130" s="564" t="s">
        <v>4555</v>
      </c>
      <c r="R130" s="564"/>
      <c r="S130" s="564"/>
      <c r="T130" s="564"/>
      <c r="U130" s="564"/>
      <c r="V130" s="564"/>
      <c r="W130" s="564"/>
      <c r="X130" s="564"/>
      <c r="Y130" s="564"/>
      <c r="Z130" s="564"/>
      <c r="AA130" s="564"/>
      <c r="AB130" s="564"/>
      <c r="AC130" s="564" t="s">
        <v>13849</v>
      </c>
      <c r="AD130" s="564"/>
      <c r="AE130" s="564"/>
      <c r="AF130" s="564"/>
      <c r="AG130" s="564"/>
      <c r="AH130" s="564"/>
      <c r="AI130" s="564"/>
      <c r="AJ130" s="564"/>
      <c r="AK130" s="564"/>
      <c r="AL130" s="564"/>
      <c r="AM130" s="564"/>
      <c r="AN130" s="564"/>
      <c r="AO130" s="564" t="s">
        <v>13850</v>
      </c>
      <c r="AP130" s="564"/>
      <c r="AQ130" s="564"/>
      <c r="AR130" s="564"/>
      <c r="AS130" s="564"/>
      <c r="AT130" s="564"/>
      <c r="AU130" s="564"/>
      <c r="AV130" s="564"/>
      <c r="AW130" s="564"/>
      <c r="AX130" s="564"/>
      <c r="AY130" s="564"/>
      <c r="AZ130" s="564"/>
      <c r="BA130" s="564" t="s">
        <v>13851</v>
      </c>
      <c r="BB130" s="564"/>
      <c r="BC130" s="564"/>
      <c r="BD130" s="564"/>
      <c r="BE130" s="564"/>
      <c r="BF130" s="564"/>
      <c r="BG130" s="564"/>
      <c r="BH130" s="564"/>
      <c r="BI130" s="564"/>
      <c r="BJ130" s="564"/>
      <c r="BK130" s="564"/>
      <c r="BL130" s="564"/>
      <c r="BM130" s="564" t="s">
        <v>13852</v>
      </c>
      <c r="BN130" s="564"/>
      <c r="BO130" s="564"/>
      <c r="BP130" s="564"/>
      <c r="BQ130" s="564"/>
      <c r="BR130" s="564"/>
      <c r="BS130" s="564"/>
      <c r="BT130" s="564"/>
      <c r="BU130" s="564"/>
      <c r="BV130" s="564"/>
      <c r="BW130" s="564"/>
      <c r="BX130" s="564"/>
      <c r="BY130" s="564" t="s">
        <v>13853</v>
      </c>
      <c r="BZ130" s="564"/>
      <c r="CA130" s="564"/>
      <c r="CB130" s="564"/>
      <c r="CC130" s="564"/>
      <c r="CD130" s="564"/>
      <c r="CE130" s="564"/>
      <c r="CF130" s="564"/>
      <c r="CG130" s="564"/>
      <c r="CH130" s="564"/>
      <c r="CI130" s="564"/>
      <c r="CJ130" s="564"/>
      <c r="CK130" s="564" t="s">
        <v>13854</v>
      </c>
      <c r="CS130" s="564"/>
    </row>
    <row r="131" spans="1:97" s="299" customFormat="1" ht="12.75" x14ac:dyDescent="0.2">
      <c r="B131" s="567"/>
      <c r="C131" s="625"/>
      <c r="D131" s="686" t="str">
        <f t="shared" ref="D131" ca="1" si="63">IF(OFFSET(Q131,0,Lang_Order*Lang__A2)="","",OFFSET(Q131,0,Lang_Order*Lang__A2))</f>
        <v>"Hard-to-reach population groups such as those in rural and remote areas", who will be vaccinated by outreach (Delivery Modality 4). See Special Note.</v>
      </c>
      <c r="E131" s="686" t="str">
        <f t="shared" ref="E131" ca="1" si="64">IF(OFFSET(R131,0,Lang_Order*Lang__A2)="","",OFFSET(R131,0,Lang_Order*Lang__A2))</f>
        <v/>
      </c>
      <c r="F131" s="686" t="str">
        <f t="shared" ref="F131" ca="1" si="65">IF(OFFSET(S131,0,Lang_Order*Lang__A2)="","",OFFSET(S131,0,Lang_Order*Lang__A2))</f>
        <v/>
      </c>
      <c r="G131" s="686" t="str">
        <f t="shared" ref="G131" ca="1" si="66">IF(OFFSET(T131,0,Lang_Order*Lang__A2)="","",OFFSET(T131,0,Lang_Order*Lang__A2))</f>
        <v/>
      </c>
      <c r="H131" s="686" t="str">
        <f t="shared" ref="H131" ca="1" si="67">IF(OFFSET(U131,0,Lang_Order*Lang__A2)="","",OFFSET(U131,0,Lang_Order*Lang__A2))</f>
        <v/>
      </c>
      <c r="I131" s="686" t="str">
        <f t="shared" ref="I131" ca="1" si="68">IF(OFFSET(V131,0,Lang_Order*Lang__A2)="","",OFFSET(V131,0,Lang_Order*Lang__A2))</f>
        <v/>
      </c>
      <c r="K131" s="567"/>
      <c r="L131" s="567"/>
      <c r="M131" s="403"/>
      <c r="N131" s="403"/>
      <c r="O131" s="403"/>
      <c r="P131" s="403"/>
      <c r="Q131" s="403" t="s">
        <v>4561</v>
      </c>
      <c r="R131" s="403"/>
      <c r="S131" s="403"/>
      <c r="T131" s="403"/>
      <c r="U131" s="403"/>
      <c r="V131" s="403"/>
      <c r="W131" s="403"/>
      <c r="X131" s="403" t="s">
        <v>197</v>
      </c>
      <c r="Y131" s="403"/>
      <c r="Z131" s="403"/>
      <c r="AA131" s="403"/>
      <c r="AB131" s="403"/>
      <c r="AC131" s="403" t="s">
        <v>13855</v>
      </c>
      <c r="AD131" s="403"/>
      <c r="AE131" s="403"/>
      <c r="AF131" s="403"/>
      <c r="AG131" s="403"/>
      <c r="AH131" s="403"/>
      <c r="AI131" s="403"/>
      <c r="AJ131" s="403"/>
      <c r="AK131" s="403"/>
      <c r="AL131" s="403"/>
      <c r="AM131" s="403"/>
      <c r="AN131" s="403"/>
      <c r="AO131" s="403" t="s">
        <v>13856</v>
      </c>
      <c r="AP131" s="403"/>
      <c r="AQ131" s="403"/>
      <c r="AR131" s="403"/>
      <c r="AS131" s="403"/>
      <c r="AT131" s="403"/>
      <c r="AU131" s="403"/>
      <c r="AV131" s="403"/>
      <c r="AW131" s="403"/>
      <c r="AX131" s="403"/>
      <c r="AY131" s="403"/>
      <c r="AZ131" s="403"/>
      <c r="BA131" s="403" t="s">
        <v>13857</v>
      </c>
      <c r="BB131" s="403"/>
      <c r="BC131" s="403"/>
      <c r="BD131" s="403"/>
      <c r="BE131" s="403"/>
      <c r="BF131" s="403"/>
      <c r="BG131" s="403"/>
      <c r="BH131" s="403"/>
      <c r="BI131" s="403"/>
      <c r="BJ131" s="403"/>
      <c r="BK131" s="403"/>
      <c r="BL131" s="403"/>
      <c r="BM131" s="403" t="s">
        <v>13858</v>
      </c>
      <c r="BN131" s="403"/>
      <c r="BO131" s="403"/>
      <c r="BP131" s="403"/>
      <c r="BQ131" s="403"/>
      <c r="BR131" s="403"/>
      <c r="BS131" s="403"/>
      <c r="BT131" s="403"/>
      <c r="BU131" s="403"/>
      <c r="BV131" s="403"/>
      <c r="BW131" s="403"/>
      <c r="BX131" s="403"/>
      <c r="BY131" s="403" t="s">
        <v>13859</v>
      </c>
      <c r="BZ131" s="403"/>
      <c r="CA131" s="403"/>
      <c r="CB131" s="403"/>
      <c r="CC131" s="403"/>
      <c r="CD131" s="403"/>
      <c r="CE131" s="403"/>
      <c r="CF131" s="403"/>
      <c r="CG131" s="403"/>
      <c r="CH131" s="403"/>
      <c r="CI131" s="403"/>
      <c r="CJ131" s="403"/>
      <c r="CK131" s="403" t="s">
        <v>13860</v>
      </c>
      <c r="CL131" s="403"/>
      <c r="CM131" s="403"/>
      <c r="CN131" s="403"/>
      <c r="CO131" s="403"/>
      <c r="CP131" s="403"/>
      <c r="CQ131" s="403"/>
      <c r="CR131" s="403"/>
      <c r="CS131" s="564"/>
    </row>
    <row r="132" spans="1:97" s="299" customFormat="1" ht="105.75" customHeight="1" x14ac:dyDescent="0.2">
      <c r="B132" s="567"/>
      <c r="C132" s="622"/>
      <c r="D132" s="679" t="str">
        <f t="shared" ref="D132" ca="1" si="69">IF(OFFSET(Q132,0,Lang_Order*Lang__A2)="","",OFFSET(Q132,0,Lang_Order*Lang__A2))</f>
        <v>Special Note: This is a potentially large group of people within the country AND overlaps with other priority populations, i.e. (i) "Older Adults" and (ii) "Groups with comorbidities or health states determined to be at significantly higher risk of severe disease or death".
 Please input the TOTAL POPULATION who will need to be reached by outreach, DOUBLE COUNTING overlapping groups such as "Older Adults" and "Groups with comorbidities or health states determined to be at significantly higher risk of severe disease or death". Please DO NOT double count special populations who are hard-to reach defined above.
 Or, put differently, out of the total of "Older Adults", "Groups with comorbidities or health states determined to be at significantly higher risk of severe disease or death", and non-prioritized groups, what proportion will need to be vaccinated by outreach (Delivery Modality 4)?</v>
      </c>
      <c r="E132" s="679" t="str">
        <f t="shared" ref="E132" ca="1" si="70">IF(OFFSET(R132,0,Lang_Order*Lang__A2)="","",OFFSET(R132,0,Lang_Order*Lang__A2))</f>
        <v/>
      </c>
      <c r="F132" s="679" t="str">
        <f t="shared" ref="F132" ca="1" si="71">IF(OFFSET(S132,0,Lang_Order*Lang__A2)="","",OFFSET(S132,0,Lang_Order*Lang__A2))</f>
        <v/>
      </c>
      <c r="G132" s="679" t="str">
        <f t="shared" ref="G132" ca="1" si="72">IF(OFFSET(T132,0,Lang_Order*Lang__A2)="","",OFFSET(T132,0,Lang_Order*Lang__A2))</f>
        <v/>
      </c>
      <c r="H132" s="679" t="str">
        <f t="shared" ref="H132" ca="1" si="73">IF(OFFSET(U132,0,Lang_Order*Lang__A2)="","",OFFSET(U132,0,Lang_Order*Lang__A2))</f>
        <v/>
      </c>
      <c r="I132" s="679" t="str">
        <f t="shared" ref="I132" ca="1" si="74">IF(OFFSET(V132,0,Lang_Order*Lang__A2)="","",OFFSET(V132,0,Lang_Order*Lang__A2))</f>
        <v/>
      </c>
      <c r="K132" s="567"/>
      <c r="L132" s="567"/>
      <c r="M132" s="403"/>
      <c r="N132" s="403"/>
      <c r="O132" s="403"/>
      <c r="P132" s="403"/>
      <c r="Q132" s="403" t="s">
        <v>13861</v>
      </c>
      <c r="R132" s="403"/>
      <c r="S132" s="403"/>
      <c r="T132" s="403"/>
      <c r="U132" s="403"/>
      <c r="V132" s="403"/>
      <c r="W132" s="403"/>
      <c r="X132" s="403" t="s">
        <v>197</v>
      </c>
      <c r="Y132" s="403"/>
      <c r="Z132" s="403"/>
      <c r="AA132" s="403"/>
      <c r="AB132" s="403"/>
      <c r="AC132" s="403" t="s">
        <v>13862</v>
      </c>
      <c r="AD132" s="403"/>
      <c r="AE132" s="403"/>
      <c r="AF132" s="403"/>
      <c r="AG132" s="403"/>
      <c r="AH132" s="403"/>
      <c r="AI132" s="403"/>
      <c r="AJ132" s="403"/>
      <c r="AK132" s="403"/>
      <c r="AL132" s="403"/>
      <c r="AM132" s="403"/>
      <c r="AN132" s="403"/>
      <c r="AO132" s="403" t="s">
        <v>13863</v>
      </c>
      <c r="AP132" s="403"/>
      <c r="AQ132" s="403"/>
      <c r="AR132" s="403"/>
      <c r="AS132" s="403"/>
      <c r="AT132" s="403"/>
      <c r="AU132" s="403"/>
      <c r="AV132" s="403"/>
      <c r="AW132" s="403"/>
      <c r="AX132" s="403"/>
      <c r="AY132" s="403"/>
      <c r="AZ132" s="403"/>
      <c r="BA132" s="403" t="s">
        <v>13864</v>
      </c>
      <c r="BB132" s="403"/>
      <c r="BC132" s="403"/>
      <c r="BD132" s="403"/>
      <c r="BE132" s="403"/>
      <c r="BF132" s="403"/>
      <c r="BG132" s="403"/>
      <c r="BH132" s="403"/>
      <c r="BI132" s="403"/>
      <c r="BJ132" s="403"/>
      <c r="BK132" s="403"/>
      <c r="BL132" s="403"/>
      <c r="BM132" s="403" t="s">
        <v>13865</v>
      </c>
      <c r="BN132" s="403"/>
      <c r="BO132" s="403"/>
      <c r="BP132" s="403"/>
      <c r="BQ132" s="403"/>
      <c r="BR132" s="403"/>
      <c r="BS132" s="403"/>
      <c r="BT132" s="403"/>
      <c r="BU132" s="403"/>
      <c r="BV132" s="403"/>
      <c r="BW132" s="403"/>
      <c r="BX132" s="403"/>
      <c r="BY132" s="403" t="s">
        <v>13866</v>
      </c>
      <c r="BZ132" s="403"/>
      <c r="CA132" s="403"/>
      <c r="CB132" s="403"/>
      <c r="CC132" s="403"/>
      <c r="CD132" s="403"/>
      <c r="CE132" s="403"/>
      <c r="CF132" s="403"/>
      <c r="CG132" s="403"/>
      <c r="CH132" s="403"/>
      <c r="CI132" s="403"/>
      <c r="CJ132" s="403"/>
      <c r="CK132" s="403" t="s">
        <v>13867</v>
      </c>
      <c r="CL132" s="403"/>
      <c r="CM132" s="403"/>
      <c r="CN132" s="403"/>
      <c r="CO132" s="403"/>
      <c r="CP132" s="403"/>
      <c r="CQ132" s="403"/>
      <c r="CR132" s="403"/>
      <c r="CS132" s="564"/>
    </row>
    <row r="133" spans="1:97" s="299" customFormat="1" ht="12.75" x14ac:dyDescent="0.2">
      <c r="B133" s="567"/>
      <c r="C133" s="622"/>
      <c r="D133" s="31" t="str">
        <f t="shared" ca="1" si="57"/>
        <v>Rural population - FYI only</v>
      </c>
      <c r="E133" s="68"/>
      <c r="F133" s="81" t="e">
        <f>TEXT(1-Urban_Population_Percent,"0.0%")</f>
        <v>#N/A</v>
      </c>
      <c r="G133" s="68"/>
      <c r="H133" s="68"/>
      <c r="I133" s="2" t="str">
        <f t="shared" ref="I133:I135" ca="1" si="75">IF(OFFSET(V133,0,Lang_Order*Lang__A2)="","",OFFSET(V133,0,Lang_Order*Lang__A2))</f>
        <v>Percent of Total Population</v>
      </c>
      <c r="K133" s="143" t="str">
        <f t="shared" ca="1" si="53"/>
        <v>Source: WDI</v>
      </c>
      <c r="L133" s="567"/>
      <c r="M133" s="403"/>
      <c r="N133" s="403"/>
      <c r="O133" s="403"/>
      <c r="P133" s="403"/>
      <c r="Q133" s="403" t="s">
        <v>4116</v>
      </c>
      <c r="R133" s="403"/>
      <c r="S133" s="403"/>
      <c r="T133" s="403"/>
      <c r="U133" s="403"/>
      <c r="V133" s="403" t="s">
        <v>40</v>
      </c>
      <c r="W133" s="403"/>
      <c r="X133" s="403" t="s">
        <v>2874</v>
      </c>
      <c r="Y133" s="403"/>
      <c r="Z133" s="403"/>
      <c r="AA133" s="403"/>
      <c r="AB133" s="403"/>
      <c r="AC133" s="403" t="s">
        <v>6556</v>
      </c>
      <c r="AD133" s="403"/>
      <c r="AE133" s="403"/>
      <c r="AF133" s="403"/>
      <c r="AG133" s="403"/>
      <c r="AH133" s="403" t="s">
        <v>6137</v>
      </c>
      <c r="AI133" s="403"/>
      <c r="AJ133" s="403" t="s">
        <v>6557</v>
      </c>
      <c r="AK133" s="403"/>
      <c r="AL133" s="403"/>
      <c r="AM133" s="403"/>
      <c r="AN133" s="403"/>
      <c r="AO133" s="403" t="s">
        <v>6558</v>
      </c>
      <c r="AP133" s="403"/>
      <c r="AQ133" s="403"/>
      <c r="AR133" s="403"/>
      <c r="AS133" s="403"/>
      <c r="AT133" s="403" t="s">
        <v>6140</v>
      </c>
      <c r="AU133" s="403"/>
      <c r="AV133" s="403" t="s">
        <v>6559</v>
      </c>
      <c r="AW133" s="403"/>
      <c r="AX133" s="403"/>
      <c r="AY133" s="403"/>
      <c r="AZ133" s="403"/>
      <c r="BA133" s="403" t="s">
        <v>6560</v>
      </c>
      <c r="BB133" s="403"/>
      <c r="BC133" s="403"/>
      <c r="BD133" s="403"/>
      <c r="BE133" s="403"/>
      <c r="BF133" s="403" t="s">
        <v>6143</v>
      </c>
      <c r="BG133" s="403"/>
      <c r="BH133" s="403" t="s">
        <v>6561</v>
      </c>
      <c r="BI133" s="403"/>
      <c r="BJ133" s="403"/>
      <c r="BK133" s="403"/>
      <c r="BL133" s="403"/>
      <c r="BM133" s="403" t="s">
        <v>6562</v>
      </c>
      <c r="BN133" s="403"/>
      <c r="BO133" s="403"/>
      <c r="BP133" s="403"/>
      <c r="BQ133" s="403"/>
      <c r="BR133" s="403" t="s">
        <v>6146</v>
      </c>
      <c r="BS133" s="403"/>
      <c r="BT133" s="403" t="s">
        <v>6563</v>
      </c>
      <c r="BU133" s="403"/>
      <c r="BV133" s="403"/>
      <c r="BW133" s="403"/>
      <c r="BX133" s="403"/>
      <c r="BY133" s="403"/>
      <c r="BZ133" s="403"/>
      <c r="CA133" s="403"/>
      <c r="CB133" s="403"/>
      <c r="CC133" s="403"/>
      <c r="CD133" s="403" t="s">
        <v>6149</v>
      </c>
      <c r="CE133" s="403"/>
      <c r="CF133" s="403" t="s">
        <v>6564</v>
      </c>
      <c r="CG133" s="403"/>
      <c r="CH133" s="403"/>
      <c r="CI133" s="403"/>
      <c r="CJ133" s="403"/>
      <c r="CK133" s="403" t="s">
        <v>6565</v>
      </c>
      <c r="CL133" s="403"/>
      <c r="CM133" s="403"/>
      <c r="CN133" s="403"/>
      <c r="CO133" s="403"/>
      <c r="CP133" s="403" t="s">
        <v>6152</v>
      </c>
      <c r="CQ133" s="403"/>
      <c r="CR133" s="403" t="s">
        <v>6566</v>
      </c>
      <c r="CS133" s="564"/>
    </row>
    <row r="134" spans="1:97" s="15" customFormat="1" ht="12.75" x14ac:dyDescent="0.2">
      <c r="A134" s="349">
        <v>1</v>
      </c>
      <c r="B134" s="567"/>
      <c r="C134" s="624"/>
      <c r="D134" s="7" t="str">
        <f t="shared" ca="1" si="57"/>
        <v>Hard-to-reach population groups … absolute number OR</v>
      </c>
      <c r="E134" s="362"/>
      <c r="F134" s="680" t="str">
        <f t="shared" ref="F134:F135" ca="1" si="76">IF(OFFSET(S134,0,Lang_Order*Lang__A2)="","",OFFSET(S134,0,Lang_Order*Lang__A2))</f>
        <v>} OR</v>
      </c>
      <c r="G134" s="4" t="str">
        <f>IF(_xlfn.XOR(ISBLANK(E134),ISBLANK(E135)),"OK",Lang_CHECK)</f>
        <v>CHECK</v>
      </c>
      <c r="H134" s="296" t="e">
        <f>E134/(Pop_Total_2021)</f>
        <v>#N/A</v>
      </c>
      <c r="I134" s="141"/>
      <c r="J134" s="299"/>
      <c r="K134" s="567"/>
      <c r="L134" s="587"/>
      <c r="M134" s="403"/>
      <c r="N134" s="403"/>
      <c r="O134" s="403"/>
      <c r="P134" s="403"/>
      <c r="Q134" s="403" t="s">
        <v>4084</v>
      </c>
      <c r="R134" s="403"/>
      <c r="S134" s="403" t="s">
        <v>2876</v>
      </c>
      <c r="T134" s="403"/>
      <c r="U134" s="403"/>
      <c r="V134" s="403"/>
      <c r="W134" s="403"/>
      <c r="X134" s="403" t="s">
        <v>197</v>
      </c>
      <c r="Y134" s="403"/>
      <c r="Z134" s="403"/>
      <c r="AA134" s="403"/>
      <c r="AB134" s="403"/>
      <c r="AC134" s="403" t="s">
        <v>6567</v>
      </c>
      <c r="AD134" s="403"/>
      <c r="AE134" s="403" t="s">
        <v>6120</v>
      </c>
      <c r="AF134" s="403"/>
      <c r="AG134" s="403"/>
      <c r="AH134" s="403"/>
      <c r="AI134" s="403"/>
      <c r="AJ134" s="403"/>
      <c r="AK134" s="403"/>
      <c r="AL134" s="403"/>
      <c r="AM134" s="403"/>
      <c r="AN134" s="403"/>
      <c r="AO134" s="403" t="s">
        <v>6568</v>
      </c>
      <c r="AP134" s="403"/>
      <c r="AQ134" s="403" t="s">
        <v>6123</v>
      </c>
      <c r="AR134" s="403"/>
      <c r="AS134" s="403"/>
      <c r="AT134" s="403"/>
      <c r="AU134" s="403"/>
      <c r="AV134" s="403"/>
      <c r="AW134" s="403"/>
      <c r="AX134" s="403"/>
      <c r="AY134" s="403"/>
      <c r="AZ134" s="403"/>
      <c r="BA134" s="403" t="s">
        <v>6552</v>
      </c>
      <c r="BB134" s="403"/>
      <c r="BC134" s="403" t="s">
        <v>6126</v>
      </c>
      <c r="BD134" s="403"/>
      <c r="BE134" s="403"/>
      <c r="BF134" s="403"/>
      <c r="BG134" s="403"/>
      <c r="BH134" s="403"/>
      <c r="BI134" s="403"/>
      <c r="BJ134" s="403"/>
      <c r="BK134" s="403"/>
      <c r="BL134" s="403"/>
      <c r="BM134" s="403" t="s">
        <v>6553</v>
      </c>
      <c r="BN134" s="403"/>
      <c r="BO134" s="403" t="s">
        <v>6120</v>
      </c>
      <c r="BP134" s="403"/>
      <c r="BQ134" s="403"/>
      <c r="BR134" s="403"/>
      <c r="BS134" s="403"/>
      <c r="BT134" s="403"/>
      <c r="BU134" s="403"/>
      <c r="BV134" s="403"/>
      <c r="BW134" s="403"/>
      <c r="BX134" s="403"/>
      <c r="BY134" s="403" t="s">
        <v>6569</v>
      </c>
      <c r="BZ134" s="403"/>
      <c r="CA134" s="403" t="s">
        <v>6131</v>
      </c>
      <c r="CB134" s="403"/>
      <c r="CC134" s="403"/>
      <c r="CD134" s="403"/>
      <c r="CE134" s="403"/>
      <c r="CF134" s="403"/>
      <c r="CG134" s="403"/>
      <c r="CH134" s="403"/>
      <c r="CI134" s="403"/>
      <c r="CJ134" s="403"/>
      <c r="CK134" s="403" t="s">
        <v>6555</v>
      </c>
      <c r="CL134" s="403"/>
      <c r="CM134" s="403" t="s">
        <v>6134</v>
      </c>
      <c r="CN134" s="403"/>
      <c r="CO134" s="403"/>
      <c r="CP134" s="403"/>
      <c r="CQ134" s="403"/>
      <c r="CR134" s="403"/>
      <c r="CS134" s="564"/>
    </row>
    <row r="135" spans="1:97" s="15" customFormat="1" ht="12.75" x14ac:dyDescent="0.2">
      <c r="A135" s="349">
        <v>1</v>
      </c>
      <c r="B135" s="567"/>
      <c r="C135" s="624"/>
      <c r="D135" s="7" t="str">
        <f t="shared" ca="1" si="57"/>
        <v>… as percent</v>
      </c>
      <c r="E135" s="363"/>
      <c r="F135" s="680" t="str">
        <f t="shared" ca="1" si="76"/>
        <v/>
      </c>
      <c r="G135" s="4" t="e">
        <f>IF(H135&gt;J135,Lang_CHECK,"OK")</f>
        <v>#N/A</v>
      </c>
      <c r="H135" s="296" t="e">
        <f>IF(ISBLANK(E135),H134,E135)</f>
        <v>#N/A</v>
      </c>
      <c r="I135" s="2" t="str">
        <f t="shared" ca="1" si="75"/>
        <v>Percent of Total Population</v>
      </c>
      <c r="J135" s="405">
        <v>0.9</v>
      </c>
      <c r="K135" s="143" t="str">
        <f t="shared" ca="1" si="53"/>
        <v>Max 90%; If using a high value, please ensure that the target population defined does not exceed the total population</v>
      </c>
      <c r="L135" s="587"/>
      <c r="M135" s="403"/>
      <c r="N135" s="403"/>
      <c r="O135" s="403"/>
      <c r="P135" s="403"/>
      <c r="Q135" s="403" t="s">
        <v>2629</v>
      </c>
      <c r="R135" s="403"/>
      <c r="S135" s="403"/>
      <c r="T135" s="403"/>
      <c r="U135" s="403"/>
      <c r="V135" s="403" t="s">
        <v>40</v>
      </c>
      <c r="W135" s="403"/>
      <c r="X135" s="403" t="s">
        <v>4446</v>
      </c>
      <c r="Y135" s="403"/>
      <c r="Z135" s="403"/>
      <c r="AA135" s="403"/>
      <c r="AB135" s="403"/>
      <c r="AC135" s="403" t="s">
        <v>6136</v>
      </c>
      <c r="AD135" s="403"/>
      <c r="AE135" s="403"/>
      <c r="AF135" s="403"/>
      <c r="AG135" s="403"/>
      <c r="AH135" s="403" t="s">
        <v>6137</v>
      </c>
      <c r="AI135" s="403"/>
      <c r="AJ135" s="403" t="s">
        <v>13868</v>
      </c>
      <c r="AK135" s="403"/>
      <c r="AL135" s="403"/>
      <c r="AM135" s="403"/>
      <c r="AN135" s="403"/>
      <c r="AO135" s="403" t="s">
        <v>6139</v>
      </c>
      <c r="AP135" s="403"/>
      <c r="AQ135" s="403"/>
      <c r="AR135" s="403"/>
      <c r="AS135" s="403"/>
      <c r="AT135" s="403" t="s">
        <v>6140</v>
      </c>
      <c r="AU135" s="403"/>
      <c r="AV135" s="403" t="s">
        <v>13869</v>
      </c>
      <c r="AW135" s="403"/>
      <c r="AX135" s="403"/>
      <c r="AY135" s="403"/>
      <c r="AZ135" s="403"/>
      <c r="BA135" s="403" t="s">
        <v>6142</v>
      </c>
      <c r="BB135" s="403"/>
      <c r="BC135" s="403"/>
      <c r="BD135" s="403"/>
      <c r="BE135" s="403"/>
      <c r="BF135" s="403" t="s">
        <v>6143</v>
      </c>
      <c r="BG135" s="403"/>
      <c r="BH135" s="403" t="s">
        <v>13870</v>
      </c>
      <c r="BI135" s="403"/>
      <c r="BJ135" s="403"/>
      <c r="BK135" s="403"/>
      <c r="BL135" s="403"/>
      <c r="BM135" s="403" t="s">
        <v>6145</v>
      </c>
      <c r="BN135" s="403"/>
      <c r="BO135" s="403"/>
      <c r="BP135" s="403"/>
      <c r="BQ135" s="403"/>
      <c r="BR135" s="403" t="s">
        <v>6146</v>
      </c>
      <c r="BS135" s="403"/>
      <c r="BT135" s="403" t="s">
        <v>13871</v>
      </c>
      <c r="BU135" s="403"/>
      <c r="BV135" s="403"/>
      <c r="BW135" s="403"/>
      <c r="BX135" s="403"/>
      <c r="BY135" s="403" t="s">
        <v>6570</v>
      </c>
      <c r="BZ135" s="403"/>
      <c r="CA135" s="403"/>
      <c r="CB135" s="403"/>
      <c r="CC135" s="403"/>
      <c r="CD135" s="403" t="s">
        <v>6149</v>
      </c>
      <c r="CE135" s="403"/>
      <c r="CF135" s="403" t="s">
        <v>13872</v>
      </c>
      <c r="CG135" s="403"/>
      <c r="CH135" s="403"/>
      <c r="CI135" s="403"/>
      <c r="CJ135" s="403"/>
      <c r="CK135" s="403" t="s">
        <v>6151</v>
      </c>
      <c r="CL135" s="403"/>
      <c r="CM135" s="403"/>
      <c r="CN135" s="403"/>
      <c r="CO135" s="403"/>
      <c r="CP135" s="403" t="s">
        <v>6152</v>
      </c>
      <c r="CQ135" s="403"/>
      <c r="CR135" s="403" t="s">
        <v>13873</v>
      </c>
      <c r="CS135" s="564"/>
    </row>
    <row r="136" spans="1:97" s="15" customFormat="1" ht="12.75" x14ac:dyDescent="0.2">
      <c r="A136" s="299"/>
      <c r="B136" s="567"/>
      <c r="C136" s="622"/>
      <c r="J136" s="299"/>
      <c r="L136" s="567"/>
      <c r="M136" s="403"/>
      <c r="N136" s="403"/>
      <c r="O136" s="403"/>
      <c r="P136" s="403"/>
      <c r="Q136" s="403"/>
      <c r="R136" s="403"/>
      <c r="S136" s="403"/>
      <c r="T136" s="403"/>
      <c r="U136" s="403"/>
      <c r="V136" s="403"/>
      <c r="W136" s="403"/>
      <c r="X136" s="403" t="s">
        <v>197</v>
      </c>
      <c r="Y136" s="403"/>
      <c r="Z136" s="403"/>
      <c r="AA136" s="403"/>
      <c r="AB136" s="403"/>
      <c r="AC136" s="403"/>
      <c r="AD136" s="403"/>
      <c r="AE136" s="403"/>
      <c r="AF136" s="403"/>
      <c r="AG136" s="403"/>
      <c r="AH136" s="403"/>
      <c r="AI136" s="403"/>
      <c r="AJ136" s="403"/>
      <c r="AK136" s="403"/>
      <c r="AL136" s="403"/>
      <c r="AM136" s="403"/>
      <c r="AN136" s="403"/>
      <c r="AO136" s="403"/>
      <c r="AP136" s="403"/>
      <c r="AQ136" s="403"/>
      <c r="AR136" s="403"/>
      <c r="AS136" s="403"/>
      <c r="AT136" s="403"/>
      <c r="AU136" s="403"/>
      <c r="AV136" s="403"/>
      <c r="AW136" s="403"/>
      <c r="AX136" s="403"/>
      <c r="AY136" s="403"/>
      <c r="AZ136" s="403"/>
      <c r="BA136" s="403"/>
      <c r="BB136" s="403"/>
      <c r="BC136" s="403"/>
      <c r="BD136" s="403"/>
      <c r="BE136" s="403"/>
      <c r="BF136" s="403"/>
      <c r="BG136" s="403"/>
      <c r="BH136" s="403"/>
      <c r="BI136" s="403"/>
      <c r="BJ136" s="403"/>
      <c r="BK136" s="403"/>
      <c r="BL136" s="403"/>
      <c r="BM136" s="403"/>
      <c r="BN136" s="403"/>
      <c r="BO136" s="403"/>
      <c r="BP136" s="403"/>
      <c r="BQ136" s="403"/>
      <c r="BR136" s="403"/>
      <c r="BS136" s="403"/>
      <c r="BT136" s="403"/>
      <c r="BU136" s="403"/>
      <c r="BV136" s="403"/>
      <c r="BW136" s="403"/>
      <c r="BX136" s="403"/>
      <c r="BY136" s="403"/>
      <c r="BZ136" s="403"/>
      <c r="CA136" s="403"/>
      <c r="CB136" s="403"/>
      <c r="CC136" s="403"/>
      <c r="CD136" s="403"/>
      <c r="CE136" s="403"/>
      <c r="CF136" s="403"/>
      <c r="CG136" s="403"/>
      <c r="CH136" s="403"/>
      <c r="CI136" s="403"/>
      <c r="CJ136" s="403"/>
      <c r="CK136" s="403"/>
      <c r="CL136" s="403"/>
      <c r="CM136" s="403"/>
      <c r="CN136" s="403"/>
      <c r="CO136" s="403"/>
      <c r="CP136" s="403"/>
      <c r="CQ136" s="403"/>
      <c r="CR136" s="403"/>
      <c r="CS136" s="564"/>
    </row>
    <row r="137" spans="1:97" s="299" customFormat="1" x14ac:dyDescent="0.25">
      <c r="B137" s="567"/>
      <c r="C137" s="33" t="s">
        <v>14416</v>
      </c>
      <c r="D137" s="144"/>
      <c r="E137" s="8"/>
      <c r="F137" s="8"/>
      <c r="G137" s="8"/>
      <c r="H137" s="8"/>
      <c r="I137" s="8"/>
      <c r="J137" s="8"/>
      <c r="K137" s="144" t="str">
        <f t="shared" ref="K137" ca="1" si="77">IF(OFFSET(X137,0,Lang_Order*Lang__A2)="","",OFFSET(X137,0,Lang_Order*Lang__A2))</f>
        <v/>
      </c>
      <c r="L137" s="144" t="str">
        <f t="shared" ref="L137" ca="1" si="78">IF(OFFSET(Y137,0,Lang_Order*Lang__A2)="","",OFFSET(Y137,0,Lang_Order*Lang__A2))</f>
        <v/>
      </c>
      <c r="M137" s="403"/>
      <c r="N137" s="403"/>
      <c r="O137" s="403"/>
      <c r="P137" s="403" t="s">
        <v>14416</v>
      </c>
      <c r="Q137" s="403"/>
      <c r="R137" s="403"/>
      <c r="S137" s="403"/>
      <c r="T137" s="403"/>
      <c r="U137" s="403"/>
      <c r="V137" s="403"/>
      <c r="W137" s="403"/>
      <c r="X137" s="403" t="s">
        <v>197</v>
      </c>
      <c r="Y137" s="403"/>
      <c r="Z137" s="403"/>
      <c r="AA137" s="403"/>
      <c r="AB137" s="403" t="s">
        <v>14417</v>
      </c>
      <c r="AC137" s="403"/>
      <c r="AD137" s="403"/>
      <c r="AE137" s="403"/>
      <c r="AF137" s="403"/>
      <c r="AG137" s="403"/>
      <c r="AH137" s="403"/>
      <c r="AI137" s="403"/>
      <c r="AJ137" s="403"/>
      <c r="AK137" s="403"/>
      <c r="AL137" s="403"/>
      <c r="AM137" s="403"/>
      <c r="AN137" s="403" t="s">
        <v>14418</v>
      </c>
      <c r="AO137" s="403"/>
      <c r="AP137" s="403"/>
      <c r="AQ137" s="403"/>
      <c r="AR137" s="403"/>
      <c r="AS137" s="403"/>
      <c r="AT137" s="403"/>
      <c r="AU137" s="403"/>
      <c r="AV137" s="403"/>
      <c r="AW137" s="403"/>
      <c r="AX137" s="403"/>
      <c r="AY137" s="403"/>
      <c r="AZ137" s="403" t="s">
        <v>14419</v>
      </c>
      <c r="BA137" s="403"/>
      <c r="BB137" s="403"/>
      <c r="BC137" s="403"/>
      <c r="BD137" s="403"/>
      <c r="BE137" s="403"/>
      <c r="BF137" s="403"/>
      <c r="BG137" s="403"/>
      <c r="BH137" s="403"/>
      <c r="BI137" s="403"/>
      <c r="BJ137" s="403"/>
      <c r="BK137" s="403"/>
      <c r="BL137" s="403" t="s">
        <v>14420</v>
      </c>
      <c r="BM137" s="403"/>
      <c r="BN137" s="403"/>
      <c r="BO137" s="403"/>
      <c r="BP137" s="403"/>
      <c r="BQ137" s="403"/>
      <c r="BR137" s="403"/>
      <c r="BS137" s="403"/>
      <c r="BT137" s="403"/>
      <c r="BU137" s="403"/>
      <c r="BV137" s="403"/>
      <c r="BW137" s="403"/>
      <c r="BX137" s="403" t="s">
        <v>14421</v>
      </c>
      <c r="BY137" s="403"/>
      <c r="BZ137" s="403"/>
      <c r="CA137" s="403"/>
      <c r="CB137" s="403"/>
      <c r="CC137" s="403"/>
      <c r="CD137" s="403"/>
      <c r="CE137" s="403"/>
      <c r="CF137" s="403"/>
      <c r="CG137" s="403"/>
      <c r="CH137" s="403"/>
      <c r="CI137" s="403"/>
      <c r="CJ137" s="403" t="s">
        <v>14422</v>
      </c>
      <c r="CK137" s="403"/>
      <c r="CL137" s="403"/>
      <c r="CM137" s="403"/>
      <c r="CN137" s="403"/>
      <c r="CO137" s="403"/>
      <c r="CP137" s="403"/>
      <c r="CQ137" s="403"/>
      <c r="CR137" s="403"/>
      <c r="CS137" s="564"/>
    </row>
    <row r="138" spans="1:97" s="299" customFormat="1" ht="12.75" x14ac:dyDescent="0.2">
      <c r="B138" s="463"/>
      <c r="C138" s="622"/>
      <c r="D138" s="34" t="str">
        <f t="shared" ca="1" si="57"/>
        <v>Informational demographic and epiemiological data to assist with completing this section</v>
      </c>
      <c r="L138" s="567"/>
      <c r="M138" s="403"/>
      <c r="N138" s="403"/>
      <c r="O138" s="403"/>
      <c r="P138" s="403"/>
      <c r="Q138" s="403" t="s">
        <v>3761</v>
      </c>
      <c r="R138" s="403"/>
      <c r="S138" s="403"/>
      <c r="T138" s="403"/>
      <c r="U138" s="403"/>
      <c r="V138" s="403"/>
      <c r="W138" s="403"/>
      <c r="X138" s="403" t="s">
        <v>197</v>
      </c>
      <c r="Y138" s="403"/>
      <c r="Z138" s="403"/>
      <c r="AA138" s="403"/>
      <c r="AB138" s="403"/>
      <c r="AC138" s="403" t="s">
        <v>6571</v>
      </c>
      <c r="AD138" s="403"/>
      <c r="AE138" s="403"/>
      <c r="AF138" s="403"/>
      <c r="AG138" s="403"/>
      <c r="AH138" s="403"/>
      <c r="AI138" s="403"/>
      <c r="AJ138" s="403"/>
      <c r="AK138" s="403"/>
      <c r="AL138" s="403"/>
      <c r="AM138" s="403"/>
      <c r="AN138" s="403"/>
      <c r="AO138" s="403" t="s">
        <v>6572</v>
      </c>
      <c r="AP138" s="403"/>
      <c r="AQ138" s="403"/>
      <c r="AR138" s="403"/>
      <c r="AS138" s="403"/>
      <c r="AT138" s="403"/>
      <c r="AU138" s="403"/>
      <c r="AV138" s="403"/>
      <c r="AW138" s="403"/>
      <c r="AX138" s="403"/>
      <c r="AY138" s="403"/>
      <c r="AZ138" s="403"/>
      <c r="BA138" s="403" t="s">
        <v>6573</v>
      </c>
      <c r="BB138" s="403"/>
      <c r="BC138" s="403"/>
      <c r="BD138" s="403"/>
      <c r="BE138" s="403"/>
      <c r="BF138" s="403"/>
      <c r="BG138" s="403"/>
      <c r="BH138" s="403"/>
      <c r="BI138" s="403"/>
      <c r="BJ138" s="403"/>
      <c r="BK138" s="403"/>
      <c r="BL138" s="403"/>
      <c r="BM138" s="403" t="s">
        <v>6574</v>
      </c>
      <c r="BN138" s="403"/>
      <c r="BO138" s="403"/>
      <c r="BP138" s="403"/>
      <c r="BQ138" s="403"/>
      <c r="BR138" s="403"/>
      <c r="BS138" s="403"/>
      <c r="BT138" s="403"/>
      <c r="BU138" s="403"/>
      <c r="BV138" s="403"/>
      <c r="BW138" s="403"/>
      <c r="BX138" s="403"/>
      <c r="BY138" s="403" t="s">
        <v>6575</v>
      </c>
      <c r="BZ138" s="403"/>
      <c r="CA138" s="403"/>
      <c r="CB138" s="403"/>
      <c r="CC138" s="403"/>
      <c r="CD138" s="403"/>
      <c r="CE138" s="403"/>
      <c r="CF138" s="403"/>
      <c r="CG138" s="403"/>
      <c r="CH138" s="403"/>
      <c r="CI138" s="403"/>
      <c r="CJ138" s="403"/>
      <c r="CK138" s="403" t="s">
        <v>6576</v>
      </c>
      <c r="CL138" s="403"/>
      <c r="CM138" s="403"/>
      <c r="CN138" s="403"/>
      <c r="CO138" s="403"/>
      <c r="CP138" s="403"/>
      <c r="CQ138" s="403"/>
      <c r="CR138" s="403"/>
      <c r="CS138" s="564"/>
    </row>
    <row r="139" spans="1:97" ht="12.75" x14ac:dyDescent="0.2">
      <c r="A139" s="15"/>
      <c r="B139" s="463"/>
      <c r="D139" s="31" t="str">
        <f t="shared" ca="1" si="57"/>
        <v>Obesity Prevalence - FYI only</v>
      </c>
      <c r="E139" s="15"/>
      <c r="F139" s="299"/>
      <c r="G139" s="68"/>
      <c r="H139" s="57" t="e">
        <f>VLOOKUP(Country_Code,WB_WHO[],J139,FALSE)/100</f>
        <v>#N/A</v>
      </c>
      <c r="I139" s="2" t="str">
        <f t="shared" ref="I139:I141" ca="1" si="79">IF(OFFSET(V139,0,Lang_Order*Lang__A2)="","",OFFSET(V139,0,Lang_Order*Lang__A2))</f>
        <v>Percent of those Age 18+</v>
      </c>
      <c r="J139" s="3">
        <v>38</v>
      </c>
      <c r="K139" s="143" t="str">
        <f t="shared" ref="K139:K141" ca="1" si="80">IF(OFFSET(X139,0,Lang_Order*Lang__A2)="","",OFFSET(X139,0,Lang_Order*Lang__A2))</f>
        <v>FYI only; Source: GHO - Prevalence of obesity among adults, BMI &gt;= 30 (crude estimate) (%)</v>
      </c>
      <c r="L139" s="567"/>
      <c r="Q139" s="403" t="s">
        <v>2630</v>
      </c>
      <c r="V139" s="403" t="s">
        <v>41</v>
      </c>
      <c r="X139" s="403" t="s">
        <v>2819</v>
      </c>
      <c r="AC139" s="403" t="s">
        <v>6577</v>
      </c>
      <c r="AH139" s="403" t="s">
        <v>6578</v>
      </c>
      <c r="AJ139" s="403" t="s">
        <v>6579</v>
      </c>
      <c r="AO139" s="403" t="s">
        <v>6580</v>
      </c>
      <c r="AT139" s="403" t="s">
        <v>6581</v>
      </c>
      <c r="AV139" s="403" t="s">
        <v>6582</v>
      </c>
      <c r="BA139" s="403" t="s">
        <v>6583</v>
      </c>
      <c r="BF139" s="403" t="s">
        <v>6584</v>
      </c>
      <c r="BH139" s="403" t="s">
        <v>6585</v>
      </c>
      <c r="BM139" s="403" t="s">
        <v>6586</v>
      </c>
      <c r="BR139" s="403" t="s">
        <v>6587</v>
      </c>
      <c r="BT139" s="403" t="s">
        <v>6588</v>
      </c>
      <c r="BY139" s="403" t="s">
        <v>6589</v>
      </c>
      <c r="CD139" s="403" t="s">
        <v>6590</v>
      </c>
      <c r="CF139" s="403" t="s">
        <v>6591</v>
      </c>
      <c r="CK139" s="403" t="s">
        <v>6592</v>
      </c>
      <c r="CP139" s="403" t="s">
        <v>6593</v>
      </c>
      <c r="CR139" s="403" t="s">
        <v>6594</v>
      </c>
    </row>
    <row r="140" spans="1:97" ht="12.75" x14ac:dyDescent="0.2">
      <c r="A140" s="15"/>
      <c r="B140" s="463"/>
      <c r="D140" s="105" t="str">
        <f t="shared" ca="1" si="57"/>
        <v>Diabetes Mellitus Prevalence - FYI only</v>
      </c>
      <c r="E140" s="15"/>
      <c r="F140" s="299"/>
      <c r="G140" s="68"/>
      <c r="H140" s="57" t="e">
        <f>VLOOKUP(Country_Code,SH.STA.DIAB.ZS[],J140,FALSE)/100</f>
        <v>#N/A</v>
      </c>
      <c r="I140" s="2" t="str">
        <f t="shared" ca="1" si="79"/>
        <v>Percent of those Age 20-79</v>
      </c>
      <c r="J140" s="3">
        <v>2</v>
      </c>
      <c r="K140" s="143" t="str">
        <f t="shared" ca="1" si="80"/>
        <v>FYI only; Source: WDI SH.STA.DIAB.ZS | Diabetes prevalence (% of population ages 20 to 79)</v>
      </c>
      <c r="L140" s="567"/>
      <c r="Q140" s="403" t="s">
        <v>2631</v>
      </c>
      <c r="V140" s="403" t="s">
        <v>42</v>
      </c>
      <c r="X140" s="403" t="s">
        <v>2625</v>
      </c>
      <c r="AC140" s="403" t="s">
        <v>6595</v>
      </c>
      <c r="AH140" s="403" t="s">
        <v>6596</v>
      </c>
      <c r="AJ140" s="403" t="s">
        <v>6597</v>
      </c>
      <c r="AO140" s="403" t="s">
        <v>6598</v>
      </c>
      <c r="AT140" s="403" t="s">
        <v>6599</v>
      </c>
      <c r="AV140" s="403" t="s">
        <v>6600</v>
      </c>
      <c r="BA140" s="403" t="s">
        <v>6601</v>
      </c>
      <c r="BF140" s="403" t="s">
        <v>6602</v>
      </c>
      <c r="BH140" s="403" t="s">
        <v>6603</v>
      </c>
      <c r="BM140" s="403" t="s">
        <v>6604</v>
      </c>
      <c r="BR140" s="403" t="s">
        <v>6605</v>
      </c>
      <c r="BT140" s="403" t="s">
        <v>6606</v>
      </c>
      <c r="BY140" s="403" t="s">
        <v>6607</v>
      </c>
      <c r="CD140" s="403" t="s">
        <v>6608</v>
      </c>
      <c r="CF140" s="403" t="s">
        <v>6609</v>
      </c>
      <c r="CK140" s="403" t="s">
        <v>6610</v>
      </c>
      <c r="CP140" s="403" t="s">
        <v>6611</v>
      </c>
      <c r="CR140" s="403" t="s">
        <v>6612</v>
      </c>
    </row>
    <row r="141" spans="1:97" s="241" customFormat="1" ht="12.75" x14ac:dyDescent="0.2">
      <c r="A141" s="9"/>
      <c r="B141" s="463"/>
      <c r="C141" s="622"/>
      <c r="D141" s="105" t="str">
        <f t="shared" ca="1" si="57"/>
        <v>Crude Birth Rate (CBR)</v>
      </c>
      <c r="E141" s="299"/>
      <c r="F141" s="299"/>
      <c r="G141" s="299"/>
      <c r="H141" s="77" t="e">
        <f>VLOOKUP(Country_Code,SP.DYN.CBRT.IN[],J141,FALSE)</f>
        <v>#N/A</v>
      </c>
      <c r="I141" s="2" t="str">
        <f t="shared" ca="1" si="79"/>
        <v>per 1,000</v>
      </c>
      <c r="J141" s="3">
        <v>2</v>
      </c>
      <c r="K141" s="143" t="str">
        <f t="shared" ca="1" si="80"/>
        <v>Source: SP.DYN.CBRT.IN | https://data.worldbank.org/indicator/SP.DYN.CBRT.IN</v>
      </c>
      <c r="L141" s="567"/>
      <c r="M141" s="403"/>
      <c r="N141" s="403"/>
      <c r="O141" s="403"/>
      <c r="P141" s="403"/>
      <c r="Q141" s="403" t="s">
        <v>3101</v>
      </c>
      <c r="R141" s="403"/>
      <c r="S141" s="403" t="s">
        <v>4103</v>
      </c>
      <c r="T141" s="403"/>
      <c r="U141" s="403"/>
      <c r="V141" s="403" t="s">
        <v>3103</v>
      </c>
      <c r="W141" s="403"/>
      <c r="X141" s="403" t="s">
        <v>3104</v>
      </c>
      <c r="Y141" s="403"/>
      <c r="Z141" s="403"/>
      <c r="AA141" s="403"/>
      <c r="AB141" s="403"/>
      <c r="AC141" s="403" t="s">
        <v>6613</v>
      </c>
      <c r="AD141" s="403"/>
      <c r="AE141" s="403" t="s">
        <v>6342</v>
      </c>
      <c r="AF141" s="403"/>
      <c r="AG141" s="403"/>
      <c r="AH141" s="403" t="s">
        <v>6614</v>
      </c>
      <c r="AI141" s="403"/>
      <c r="AJ141" s="403" t="s">
        <v>3104</v>
      </c>
      <c r="AK141" s="403"/>
      <c r="AL141" s="403"/>
      <c r="AM141" s="403"/>
      <c r="AN141" s="403"/>
      <c r="AO141" s="403" t="s">
        <v>6615</v>
      </c>
      <c r="AP141" s="403"/>
      <c r="AQ141" s="403" t="s">
        <v>5245</v>
      </c>
      <c r="AR141" s="403"/>
      <c r="AS141" s="403"/>
      <c r="AT141" s="403" t="s">
        <v>6616</v>
      </c>
      <c r="AU141" s="403"/>
      <c r="AV141" s="403" t="s">
        <v>6617</v>
      </c>
      <c r="AW141" s="403"/>
      <c r="AX141" s="403"/>
      <c r="AY141" s="403"/>
      <c r="AZ141" s="403"/>
      <c r="BA141" s="403" t="s">
        <v>6618</v>
      </c>
      <c r="BB141" s="403"/>
      <c r="BC141" s="403" t="s">
        <v>6345</v>
      </c>
      <c r="BD141" s="403"/>
      <c r="BE141" s="403"/>
      <c r="BF141" s="403" t="s">
        <v>6619</v>
      </c>
      <c r="BG141" s="403"/>
      <c r="BH141" s="403" t="s">
        <v>6620</v>
      </c>
      <c r="BI141" s="403"/>
      <c r="BJ141" s="403"/>
      <c r="BK141" s="403"/>
      <c r="BL141" s="403"/>
      <c r="BM141" s="403" t="s">
        <v>6621</v>
      </c>
      <c r="BN141" s="403"/>
      <c r="BO141" s="403" t="s">
        <v>5277</v>
      </c>
      <c r="BP141" s="403"/>
      <c r="BQ141" s="403"/>
      <c r="BR141" s="403" t="s">
        <v>6619</v>
      </c>
      <c r="BS141" s="403"/>
      <c r="BT141" s="403" t="s">
        <v>6622</v>
      </c>
      <c r="BU141" s="403"/>
      <c r="BV141" s="403"/>
      <c r="BW141" s="403"/>
      <c r="BX141" s="403"/>
      <c r="BY141" s="403" t="s">
        <v>6623</v>
      </c>
      <c r="BZ141" s="403"/>
      <c r="CA141" s="403" t="s">
        <v>6624</v>
      </c>
      <c r="CB141" s="403"/>
      <c r="CC141" s="403"/>
      <c r="CD141" s="403" t="s">
        <v>6625</v>
      </c>
      <c r="CE141" s="403"/>
      <c r="CF141" s="403" t="s">
        <v>6626</v>
      </c>
      <c r="CG141" s="403"/>
      <c r="CH141" s="403"/>
      <c r="CI141" s="403"/>
      <c r="CJ141" s="403"/>
      <c r="CK141" s="403" t="s">
        <v>6627</v>
      </c>
      <c r="CL141" s="403"/>
      <c r="CM141" s="403" t="s">
        <v>5212</v>
      </c>
      <c r="CN141" s="403"/>
      <c r="CO141" s="403"/>
      <c r="CP141" s="403" t="s">
        <v>6628</v>
      </c>
      <c r="CQ141" s="403"/>
      <c r="CR141" s="403" t="s">
        <v>6629</v>
      </c>
      <c r="CS141" s="564"/>
    </row>
    <row r="142" spans="1:97" s="299" customFormat="1" ht="12.75" x14ac:dyDescent="0.2">
      <c r="C142" s="622"/>
      <c r="D142" s="476" t="str">
        <f t="shared" ca="1" si="57"/>
        <v>Note: Please do not double count high-risk age groups here</v>
      </c>
      <c r="K142" s="567"/>
      <c r="L142" s="567"/>
      <c r="M142" s="403"/>
      <c r="N142" s="403"/>
      <c r="O142" s="403"/>
      <c r="P142" s="403"/>
      <c r="Q142" s="403" t="s">
        <v>4069</v>
      </c>
      <c r="R142" s="403"/>
      <c r="S142" s="403"/>
      <c r="T142" s="403"/>
      <c r="U142" s="403"/>
      <c r="V142" s="403"/>
      <c r="W142" s="403"/>
      <c r="X142" s="403" t="s">
        <v>197</v>
      </c>
      <c r="Y142" s="403"/>
      <c r="Z142" s="403"/>
      <c r="AA142" s="403"/>
      <c r="AB142" s="403"/>
      <c r="AC142" s="403" t="s">
        <v>6630</v>
      </c>
      <c r="AD142" s="403"/>
      <c r="AE142" s="403"/>
      <c r="AF142" s="403"/>
      <c r="AG142" s="403"/>
      <c r="AH142" s="403"/>
      <c r="AI142" s="403"/>
      <c r="AJ142" s="403"/>
      <c r="AK142" s="403"/>
      <c r="AL142" s="403"/>
      <c r="AM142" s="403"/>
      <c r="AN142" s="403"/>
      <c r="AO142" s="403" t="s">
        <v>6631</v>
      </c>
      <c r="AP142" s="403"/>
      <c r="AQ142" s="403"/>
      <c r="AR142" s="403"/>
      <c r="AS142" s="403"/>
      <c r="AT142" s="403"/>
      <c r="AU142" s="403"/>
      <c r="AV142" s="403"/>
      <c r="AW142" s="403"/>
      <c r="AX142" s="403"/>
      <c r="AY142" s="403"/>
      <c r="AZ142" s="403"/>
      <c r="BA142" s="403" t="s">
        <v>6171</v>
      </c>
      <c r="BB142" s="403"/>
      <c r="BC142" s="403"/>
      <c r="BD142" s="403"/>
      <c r="BE142" s="403"/>
      <c r="BF142" s="403"/>
      <c r="BG142" s="403"/>
      <c r="BH142" s="403"/>
      <c r="BI142" s="403"/>
      <c r="BJ142" s="403"/>
      <c r="BK142" s="403"/>
      <c r="BL142" s="403"/>
      <c r="BM142" s="403" t="s">
        <v>6172</v>
      </c>
      <c r="BN142" s="403"/>
      <c r="BO142" s="403"/>
      <c r="BP142" s="403"/>
      <c r="BQ142" s="403"/>
      <c r="BR142" s="403"/>
      <c r="BS142" s="403"/>
      <c r="BT142" s="403"/>
      <c r="BU142" s="403"/>
      <c r="BV142" s="403"/>
      <c r="BW142" s="403"/>
      <c r="BX142" s="403"/>
      <c r="BY142" s="403" t="s">
        <v>6173</v>
      </c>
      <c r="BZ142" s="403"/>
      <c r="CA142" s="403"/>
      <c r="CB142" s="403"/>
      <c r="CC142" s="403"/>
      <c r="CD142" s="403"/>
      <c r="CE142" s="403"/>
      <c r="CF142" s="403"/>
      <c r="CG142" s="403"/>
      <c r="CH142" s="403"/>
      <c r="CI142" s="403"/>
      <c r="CJ142" s="403"/>
      <c r="CK142" s="403" t="s">
        <v>6174</v>
      </c>
      <c r="CL142" s="403"/>
      <c r="CM142" s="403"/>
      <c r="CN142" s="403"/>
      <c r="CO142" s="403"/>
      <c r="CP142" s="403"/>
      <c r="CQ142" s="403"/>
      <c r="CR142" s="403"/>
      <c r="CS142" s="564"/>
    </row>
    <row r="143" spans="1:97" s="299" customFormat="1" ht="30" customHeight="1" x14ac:dyDescent="0.2">
      <c r="C143" s="622"/>
      <c r="D143" s="679" t="str">
        <f t="shared" ca="1" si="57"/>
        <v>Instructions: Based on the NDVP/SAGE recommendations, please fill in the total (across all stages I - III) relevant target population, for the population described below. Please note that the prioritization of these populations over Stage I-III can be specified later in section B1.2. Helpful data sources are provided on the right.</v>
      </c>
      <c r="E143" s="679"/>
      <c r="F143" s="679"/>
      <c r="G143" s="679"/>
      <c r="H143" s="679"/>
      <c r="I143" s="679"/>
      <c r="K143" s="567"/>
      <c r="L143" s="567"/>
      <c r="M143" s="403"/>
      <c r="N143" s="403"/>
      <c r="O143" s="403"/>
      <c r="P143" s="403"/>
      <c r="Q143" s="403" t="s">
        <v>4085</v>
      </c>
      <c r="R143" s="403"/>
      <c r="S143" s="403"/>
      <c r="T143" s="403"/>
      <c r="U143" s="403"/>
      <c r="V143" s="403"/>
      <c r="W143" s="403"/>
      <c r="X143" s="403"/>
      <c r="Y143" s="403"/>
      <c r="Z143" s="403"/>
      <c r="AA143" s="403"/>
      <c r="AB143" s="403"/>
      <c r="AC143" s="403" t="s">
        <v>6632</v>
      </c>
      <c r="AD143" s="403"/>
      <c r="AE143" s="403"/>
      <c r="AF143" s="403"/>
      <c r="AG143" s="403"/>
      <c r="AH143" s="403"/>
      <c r="AI143" s="403"/>
      <c r="AJ143" s="403"/>
      <c r="AK143" s="403"/>
      <c r="AL143" s="403"/>
      <c r="AM143" s="403"/>
      <c r="AN143" s="403"/>
      <c r="AO143" s="403" t="s">
        <v>6633</v>
      </c>
      <c r="AP143" s="403"/>
      <c r="AQ143" s="403"/>
      <c r="AR143" s="403"/>
      <c r="AS143" s="403"/>
      <c r="AT143" s="403"/>
      <c r="AU143" s="403"/>
      <c r="AV143" s="403"/>
      <c r="AW143" s="403"/>
      <c r="AX143" s="403"/>
      <c r="AY143" s="403"/>
      <c r="AZ143" s="403"/>
      <c r="BA143" s="403" t="s">
        <v>6634</v>
      </c>
      <c r="BB143" s="403"/>
      <c r="BC143" s="403"/>
      <c r="BD143" s="403"/>
      <c r="BE143" s="403"/>
      <c r="BF143" s="403"/>
      <c r="BG143" s="403"/>
      <c r="BH143" s="403"/>
      <c r="BI143" s="403"/>
      <c r="BJ143" s="403"/>
      <c r="BK143" s="403"/>
      <c r="BL143" s="403"/>
      <c r="BM143" s="403" t="s">
        <v>6635</v>
      </c>
      <c r="BN143" s="403"/>
      <c r="BO143" s="403"/>
      <c r="BP143" s="403"/>
      <c r="BQ143" s="403"/>
      <c r="BR143" s="403"/>
      <c r="BS143" s="403"/>
      <c r="BT143" s="403"/>
      <c r="BU143" s="403"/>
      <c r="BV143" s="403"/>
      <c r="BW143" s="403"/>
      <c r="BX143" s="403"/>
      <c r="BY143" s="403" t="s">
        <v>6636</v>
      </c>
      <c r="BZ143" s="403"/>
      <c r="CA143" s="403"/>
      <c r="CB143" s="403"/>
      <c r="CC143" s="403"/>
      <c r="CD143" s="403"/>
      <c r="CE143" s="403"/>
      <c r="CF143" s="403"/>
      <c r="CG143" s="403"/>
      <c r="CH143" s="403"/>
      <c r="CI143" s="403"/>
      <c r="CJ143" s="403"/>
      <c r="CK143" s="403" t="s">
        <v>6637</v>
      </c>
      <c r="CL143" s="403"/>
      <c r="CM143" s="403"/>
      <c r="CN143" s="403"/>
      <c r="CO143" s="403"/>
      <c r="CP143" s="403"/>
      <c r="CQ143" s="403"/>
      <c r="CR143" s="403"/>
      <c r="CS143" s="564"/>
    </row>
    <row r="144" spans="1:97" s="299" customFormat="1" ht="12.75" x14ac:dyDescent="0.2">
      <c r="C144" s="622"/>
      <c r="D144" s="327" t="str">
        <f t="shared" ref="D144:D150" ca="1" si="81">IF(OFFSET(Q144,0,Lang_Order*Lang__A2)="","",OFFSET(Q144,0,Lang_Order*Lang__A2))</f>
        <v>SAGE Population Description</v>
      </c>
      <c r="E144" s="357" t="s">
        <v>3784</v>
      </c>
      <c r="H144" s="357" t="s">
        <v>3783</v>
      </c>
      <c r="K144" s="567"/>
      <c r="L144" s="567"/>
      <c r="M144" s="403"/>
      <c r="N144" s="403"/>
      <c r="O144" s="403"/>
      <c r="P144" s="403"/>
      <c r="Q144" s="403" t="s">
        <v>3748</v>
      </c>
      <c r="R144" s="403"/>
      <c r="S144" s="403"/>
      <c r="T144" s="403"/>
      <c r="U144" s="403"/>
      <c r="V144" s="403"/>
      <c r="W144" s="403"/>
      <c r="X144" s="403" t="s">
        <v>197</v>
      </c>
      <c r="Y144" s="403"/>
      <c r="Z144" s="403"/>
      <c r="AA144" s="403"/>
      <c r="AB144" s="403"/>
      <c r="AC144" s="403" t="s">
        <v>6283</v>
      </c>
      <c r="AD144" s="403"/>
      <c r="AE144" s="403"/>
      <c r="AF144" s="403"/>
      <c r="AG144" s="403"/>
      <c r="AH144" s="403"/>
      <c r="AI144" s="403"/>
      <c r="AJ144" s="403"/>
      <c r="AK144" s="403"/>
      <c r="AL144" s="403"/>
      <c r="AM144" s="403"/>
      <c r="AN144" s="403"/>
      <c r="AO144" s="403" t="s">
        <v>6176</v>
      </c>
      <c r="AP144" s="403"/>
      <c r="AQ144" s="403"/>
      <c r="AR144" s="403"/>
      <c r="AS144" s="403"/>
      <c r="AT144" s="403"/>
      <c r="AU144" s="403"/>
      <c r="AV144" s="403"/>
      <c r="AW144" s="403"/>
      <c r="AX144" s="403"/>
      <c r="AY144" s="403"/>
      <c r="AZ144" s="403"/>
      <c r="BA144" s="403" t="s">
        <v>6084</v>
      </c>
      <c r="BB144" s="403"/>
      <c r="BC144" s="403"/>
      <c r="BD144" s="403"/>
      <c r="BE144" s="403"/>
      <c r="BF144" s="403"/>
      <c r="BG144" s="403"/>
      <c r="BH144" s="403"/>
      <c r="BI144" s="403"/>
      <c r="BJ144" s="403"/>
      <c r="BK144" s="403"/>
      <c r="BL144" s="403"/>
      <c r="BM144" s="403" t="s">
        <v>6085</v>
      </c>
      <c r="BN144" s="403"/>
      <c r="BO144" s="403"/>
      <c r="BP144" s="403"/>
      <c r="BQ144" s="403"/>
      <c r="BR144" s="403"/>
      <c r="BS144" s="403"/>
      <c r="BT144" s="403"/>
      <c r="BU144" s="403"/>
      <c r="BV144" s="403"/>
      <c r="BW144" s="403"/>
      <c r="BX144" s="403"/>
      <c r="BY144" s="403" t="s">
        <v>6086</v>
      </c>
      <c r="BZ144" s="403"/>
      <c r="CA144" s="403"/>
      <c r="CB144" s="403"/>
      <c r="CC144" s="403"/>
      <c r="CD144" s="403"/>
      <c r="CE144" s="403"/>
      <c r="CF144" s="403"/>
      <c r="CG144" s="403"/>
      <c r="CH144" s="403"/>
      <c r="CI144" s="403"/>
      <c r="CJ144" s="403"/>
      <c r="CK144" s="403" t="s">
        <v>6087</v>
      </c>
      <c r="CL144" s="403"/>
      <c r="CM144" s="403"/>
      <c r="CN144" s="403"/>
      <c r="CO144" s="403"/>
      <c r="CP144" s="403"/>
      <c r="CQ144" s="403"/>
      <c r="CR144" s="403"/>
      <c r="CS144" s="564"/>
    </row>
    <row r="145" spans="1:109" s="299" customFormat="1" ht="12.75" x14ac:dyDescent="0.2">
      <c r="C145" s="622"/>
      <c r="D145" s="329" t="str">
        <f t="shared" ca="1" si="81"/>
        <v>Groups with comorbidities or health states determined to be at significantly higher risk of severe disease or death</v>
      </c>
      <c r="F145" s="331" t="str">
        <f t="shared" ca="1" si="57"/>
        <v>EXCLUDE Older adults (see A2.2.3) and pregnant women</v>
      </c>
      <c r="K145" s="567"/>
      <c r="L145" s="567"/>
      <c r="M145" s="403"/>
      <c r="N145" s="403"/>
      <c r="O145" s="403"/>
      <c r="P145" s="403"/>
      <c r="Q145" s="403" t="s">
        <v>3082</v>
      </c>
      <c r="R145" s="403"/>
      <c r="S145" s="403" t="s">
        <v>14423</v>
      </c>
      <c r="T145" s="403"/>
      <c r="U145" s="403"/>
      <c r="V145" s="403"/>
      <c r="W145" s="403"/>
      <c r="X145" s="403" t="s">
        <v>197</v>
      </c>
      <c r="Y145" s="403"/>
      <c r="Z145" s="403"/>
      <c r="AA145" s="403"/>
      <c r="AB145" s="403"/>
      <c r="AC145" s="403" t="s">
        <v>6638</v>
      </c>
      <c r="AD145" s="403"/>
      <c r="AE145" s="403" t="s">
        <v>14424</v>
      </c>
      <c r="AF145" s="403"/>
      <c r="AG145" s="403"/>
      <c r="AH145" s="403"/>
      <c r="AI145" s="403"/>
      <c r="AJ145" s="403"/>
      <c r="AK145" s="403"/>
      <c r="AL145" s="403"/>
      <c r="AM145" s="403"/>
      <c r="AN145" s="403"/>
      <c r="AO145" s="403" t="s">
        <v>6639</v>
      </c>
      <c r="AP145" s="403"/>
      <c r="AQ145" s="403" t="s">
        <v>14425</v>
      </c>
      <c r="AR145" s="403"/>
      <c r="AS145" s="403"/>
      <c r="AT145" s="403"/>
      <c r="AU145" s="403"/>
      <c r="AV145" s="403"/>
      <c r="AW145" s="403"/>
      <c r="AX145" s="403"/>
      <c r="AY145" s="403"/>
      <c r="AZ145" s="403"/>
      <c r="BA145" s="403" t="s">
        <v>6640</v>
      </c>
      <c r="BB145" s="403"/>
      <c r="BC145" s="403" t="s">
        <v>14426</v>
      </c>
      <c r="BD145" s="403"/>
      <c r="BE145" s="403"/>
      <c r="BF145" s="403"/>
      <c r="BG145" s="403"/>
      <c r="BH145" s="403"/>
      <c r="BI145" s="403"/>
      <c r="BJ145" s="403"/>
      <c r="BK145" s="403"/>
      <c r="BL145" s="403"/>
      <c r="BM145" s="403" t="s">
        <v>6641</v>
      </c>
      <c r="BN145" s="403"/>
      <c r="BO145" s="403" t="s">
        <v>14427</v>
      </c>
      <c r="BP145" s="403"/>
      <c r="BQ145" s="403"/>
      <c r="BR145" s="403"/>
      <c r="BS145" s="403"/>
      <c r="BT145" s="403"/>
      <c r="BU145" s="403"/>
      <c r="BV145" s="403"/>
      <c r="BW145" s="403"/>
      <c r="BX145" s="403"/>
      <c r="BY145" s="403" t="s">
        <v>6642</v>
      </c>
      <c r="BZ145" s="403"/>
      <c r="CA145" s="403" t="s">
        <v>14428</v>
      </c>
      <c r="CB145" s="403"/>
      <c r="CC145" s="403"/>
      <c r="CD145" s="403"/>
      <c r="CE145" s="403"/>
      <c r="CF145" s="403"/>
      <c r="CG145" s="403"/>
      <c r="CH145" s="403"/>
      <c r="CI145" s="403"/>
      <c r="CJ145" s="403"/>
      <c r="CK145" s="403" t="s">
        <v>6643</v>
      </c>
      <c r="CL145" s="403"/>
      <c r="CM145" s="403" t="s">
        <v>14429</v>
      </c>
      <c r="CN145" s="403"/>
      <c r="CO145" s="403"/>
      <c r="CP145" s="403"/>
      <c r="CQ145" s="403"/>
      <c r="CR145" s="403"/>
      <c r="CS145" s="564"/>
    </row>
    <row r="146" spans="1:109" s="15" customFormat="1" ht="12.75" x14ac:dyDescent="0.2">
      <c r="A146" s="349">
        <v>1</v>
      </c>
      <c r="B146" s="299"/>
      <c r="C146" s="624"/>
      <c r="D146" s="7" t="str">
        <f t="shared" ca="1" si="81"/>
        <v>… absolute number OR</v>
      </c>
      <c r="E146" s="362"/>
      <c r="F146" s="680" t="str">
        <f t="shared" ref="F146:F147" ca="1" si="82">IF(OFFSET(S146,0,Lang_Order*Lang__A2)="","",OFFSET(S146,0,Lang_Order*Lang__A2))</f>
        <v>} OR</v>
      </c>
      <c r="G146" s="4" t="str">
        <f>IF(_xlfn.XOR(ISBLANK(E146),ISBLANK(E147)),"OK",Lang_CHECK)</f>
        <v>CHECK</v>
      </c>
      <c r="H146" s="384" t="e">
        <f>E146/(Pop_Total_2021-Pop_HR_2021)</f>
        <v>#N/A</v>
      </c>
      <c r="I146" s="141"/>
      <c r="J146" s="299"/>
      <c r="K146" s="567"/>
      <c r="L146" s="587"/>
      <c r="M146" s="403"/>
      <c r="N146" s="403"/>
      <c r="O146" s="403"/>
      <c r="P146" s="403"/>
      <c r="Q146" s="403" t="s">
        <v>4086</v>
      </c>
      <c r="R146" s="403"/>
      <c r="S146" s="403" t="s">
        <v>2876</v>
      </c>
      <c r="T146" s="403"/>
      <c r="U146" s="403"/>
      <c r="V146" s="403"/>
      <c r="W146" s="403"/>
      <c r="X146" s="403" t="s">
        <v>197</v>
      </c>
      <c r="Y146" s="403"/>
      <c r="Z146" s="403"/>
      <c r="AA146" s="403"/>
      <c r="AB146" s="403"/>
      <c r="AC146" s="403" t="s">
        <v>6644</v>
      </c>
      <c r="AD146" s="403"/>
      <c r="AE146" s="403" t="s">
        <v>6120</v>
      </c>
      <c r="AF146" s="403"/>
      <c r="AG146" s="403"/>
      <c r="AH146" s="403"/>
      <c r="AI146" s="403"/>
      <c r="AJ146" s="403"/>
      <c r="AK146" s="403"/>
      <c r="AL146" s="403"/>
      <c r="AM146" s="403"/>
      <c r="AN146" s="403"/>
      <c r="AO146" s="403" t="s">
        <v>6498</v>
      </c>
      <c r="AP146" s="403"/>
      <c r="AQ146" s="403" t="s">
        <v>6123</v>
      </c>
      <c r="AR146" s="403"/>
      <c r="AS146" s="403"/>
      <c r="AT146" s="403"/>
      <c r="AU146" s="403"/>
      <c r="AV146" s="403"/>
      <c r="AW146" s="403"/>
      <c r="AX146" s="403"/>
      <c r="AY146" s="403"/>
      <c r="AZ146" s="403"/>
      <c r="BA146" s="403" t="s">
        <v>6373</v>
      </c>
      <c r="BB146" s="403"/>
      <c r="BC146" s="403" t="s">
        <v>6126</v>
      </c>
      <c r="BD146" s="403"/>
      <c r="BE146" s="403"/>
      <c r="BF146" s="403"/>
      <c r="BG146" s="403"/>
      <c r="BH146" s="403"/>
      <c r="BI146" s="403"/>
      <c r="BJ146" s="403"/>
      <c r="BK146" s="403"/>
      <c r="BL146" s="403"/>
      <c r="BM146" s="403" t="s">
        <v>6293</v>
      </c>
      <c r="BN146" s="403"/>
      <c r="BO146" s="403" t="s">
        <v>6120</v>
      </c>
      <c r="BP146" s="403"/>
      <c r="BQ146" s="403"/>
      <c r="BR146" s="403"/>
      <c r="BS146" s="403"/>
      <c r="BT146" s="403"/>
      <c r="BU146" s="403"/>
      <c r="BV146" s="403"/>
      <c r="BW146" s="403"/>
      <c r="BX146" s="403"/>
      <c r="BY146" s="403" t="s">
        <v>6645</v>
      </c>
      <c r="BZ146" s="403"/>
      <c r="CA146" s="403" t="s">
        <v>6131</v>
      </c>
      <c r="CB146" s="403"/>
      <c r="CC146" s="403"/>
      <c r="CD146" s="403"/>
      <c r="CE146" s="403"/>
      <c r="CF146" s="403"/>
      <c r="CG146" s="403"/>
      <c r="CH146" s="403"/>
      <c r="CI146" s="403"/>
      <c r="CJ146" s="403"/>
      <c r="CK146" s="403" t="s">
        <v>6295</v>
      </c>
      <c r="CL146" s="403"/>
      <c r="CM146" s="403" t="s">
        <v>6134</v>
      </c>
      <c r="CN146" s="403"/>
      <c r="CO146" s="403"/>
      <c r="CP146" s="403"/>
      <c r="CQ146" s="403"/>
      <c r="CR146" s="403"/>
      <c r="CS146" s="564"/>
    </row>
    <row r="147" spans="1:109" s="15" customFormat="1" ht="12.75" x14ac:dyDescent="0.2">
      <c r="A147" s="349">
        <v>1</v>
      </c>
      <c r="B147" s="299"/>
      <c r="C147" s="624"/>
      <c r="D147" s="7" t="str">
        <f t="shared" ca="1" si="81"/>
        <v>… as percent</v>
      </c>
      <c r="E147" s="363"/>
      <c r="F147" s="680" t="str">
        <f t="shared" ca="1" si="82"/>
        <v/>
      </c>
      <c r="G147" s="4" t="e">
        <f>IF(H147&gt;J147,Lang_CHECK,"OK")</f>
        <v>#N/A</v>
      </c>
      <c r="H147" s="384" t="e">
        <f>IF(ISBLANK(E147),H146,E147)</f>
        <v>#N/A</v>
      </c>
      <c r="I147" s="2" t="str">
        <f t="shared" ref="I147" ca="1" si="83">IF(OFFSET(V147,0,Lang_Order*Lang__A2)="","",OFFSET(V147,0,Lang_Order*Lang__A2))</f>
        <v>Percent of Low-Risk (by Age) Population</v>
      </c>
      <c r="J147" s="405">
        <v>0.5</v>
      </c>
      <c r="K147" s="143" t="str">
        <f t="shared" ref="K147" ca="1" si="84">IF(OFFSET(X147,0,Lang_Order*Lang__A2)="","",OFFSET(X147,0,Lang_Order*Lang__A2))</f>
        <v>Max 50%</v>
      </c>
      <c r="L147" s="587"/>
      <c r="M147" s="403"/>
      <c r="N147" s="403"/>
      <c r="O147" s="403"/>
      <c r="P147" s="403"/>
      <c r="Q147" s="403" t="s">
        <v>2629</v>
      </c>
      <c r="R147" s="403"/>
      <c r="S147" s="403"/>
      <c r="T147" s="403"/>
      <c r="U147" s="403"/>
      <c r="V147" s="403" t="s">
        <v>38</v>
      </c>
      <c r="W147" s="403"/>
      <c r="X147" s="403" t="s">
        <v>3803</v>
      </c>
      <c r="Y147" s="403"/>
      <c r="Z147" s="403"/>
      <c r="AA147" s="403"/>
      <c r="AB147" s="403"/>
      <c r="AC147" s="403" t="s">
        <v>6136</v>
      </c>
      <c r="AD147" s="403"/>
      <c r="AE147" s="403"/>
      <c r="AF147" s="403"/>
      <c r="AG147" s="403"/>
      <c r="AH147" s="403" t="s">
        <v>6296</v>
      </c>
      <c r="AI147" s="403"/>
      <c r="AJ147" s="403" t="s">
        <v>3803</v>
      </c>
      <c r="AK147" s="403"/>
      <c r="AL147" s="403"/>
      <c r="AM147" s="403"/>
      <c r="AN147" s="403"/>
      <c r="AO147" s="403" t="s">
        <v>6139</v>
      </c>
      <c r="AP147" s="403"/>
      <c r="AQ147" s="403"/>
      <c r="AR147" s="403"/>
      <c r="AS147" s="403"/>
      <c r="AT147" s="403" t="s">
        <v>6646</v>
      </c>
      <c r="AU147" s="403"/>
      <c r="AV147" s="403" t="s">
        <v>6647</v>
      </c>
      <c r="AW147" s="403"/>
      <c r="AX147" s="403"/>
      <c r="AY147" s="403"/>
      <c r="AZ147" s="403"/>
      <c r="BA147" s="403" t="s">
        <v>6142</v>
      </c>
      <c r="BB147" s="403"/>
      <c r="BC147" s="403"/>
      <c r="BD147" s="403"/>
      <c r="BE147" s="403"/>
      <c r="BF147" s="403" t="s">
        <v>6648</v>
      </c>
      <c r="BG147" s="403"/>
      <c r="BH147" s="403" t="s">
        <v>3803</v>
      </c>
      <c r="BI147" s="403"/>
      <c r="BJ147" s="403"/>
      <c r="BK147" s="403"/>
      <c r="BL147" s="403"/>
      <c r="BM147" s="403" t="s">
        <v>6145</v>
      </c>
      <c r="BN147" s="403"/>
      <c r="BO147" s="403"/>
      <c r="BP147" s="403"/>
      <c r="BQ147" s="403"/>
      <c r="BR147" s="403" t="s">
        <v>6300</v>
      </c>
      <c r="BS147" s="403"/>
      <c r="BT147" s="403" t="s">
        <v>6649</v>
      </c>
      <c r="BU147" s="403"/>
      <c r="BV147" s="403"/>
      <c r="BW147" s="403"/>
      <c r="BX147" s="403"/>
      <c r="BY147" s="403" t="s">
        <v>6387</v>
      </c>
      <c r="BZ147" s="403"/>
      <c r="CA147" s="403"/>
      <c r="CB147" s="403"/>
      <c r="CC147" s="403"/>
      <c r="CD147" s="403" t="s">
        <v>6650</v>
      </c>
      <c r="CE147" s="403"/>
      <c r="CF147" s="403" t="s">
        <v>6651</v>
      </c>
      <c r="CG147" s="403"/>
      <c r="CH147" s="403"/>
      <c r="CI147" s="403"/>
      <c r="CJ147" s="403"/>
      <c r="CK147" s="403" t="s">
        <v>6151</v>
      </c>
      <c r="CL147" s="403"/>
      <c r="CM147" s="403"/>
      <c r="CN147" s="403"/>
      <c r="CO147" s="403"/>
      <c r="CP147" s="403" t="s">
        <v>6652</v>
      </c>
      <c r="CQ147" s="403"/>
      <c r="CR147" s="403" t="s">
        <v>6653</v>
      </c>
      <c r="CS147" s="564"/>
    </row>
    <row r="148" spans="1:109" s="299" customFormat="1" ht="12.75" x14ac:dyDescent="0.2">
      <c r="B148" s="567"/>
      <c r="C148" s="622"/>
      <c r="D148" s="478" t="str">
        <f t="shared" ca="1" si="81"/>
        <v>Note: Please do not double count other high risk groups here</v>
      </c>
      <c r="K148" s="567"/>
      <c r="L148" s="567"/>
      <c r="M148" s="403"/>
      <c r="N148" s="403"/>
      <c r="O148" s="403"/>
      <c r="P148" s="403"/>
      <c r="Q148" s="403" t="s">
        <v>3760</v>
      </c>
      <c r="R148" s="403"/>
      <c r="S148" s="403"/>
      <c r="T148" s="403"/>
      <c r="U148" s="403"/>
      <c r="V148" s="403"/>
      <c r="W148" s="403"/>
      <c r="X148" s="403" t="s">
        <v>197</v>
      </c>
      <c r="Y148" s="403"/>
      <c r="Z148" s="403"/>
      <c r="AA148" s="403"/>
      <c r="AB148" s="403"/>
      <c r="AC148" s="403" t="s">
        <v>6654</v>
      </c>
      <c r="AD148" s="403"/>
      <c r="AE148" s="403"/>
      <c r="AF148" s="403"/>
      <c r="AG148" s="403"/>
      <c r="AH148" s="403"/>
      <c r="AI148" s="403"/>
      <c r="AJ148" s="403"/>
      <c r="AK148" s="403"/>
      <c r="AL148" s="403"/>
      <c r="AM148" s="403"/>
      <c r="AN148" s="403"/>
      <c r="AO148" s="403" t="s">
        <v>6655</v>
      </c>
      <c r="AP148" s="403"/>
      <c r="AQ148" s="403"/>
      <c r="AR148" s="403"/>
      <c r="AS148" s="403"/>
      <c r="AT148" s="403"/>
      <c r="AU148" s="403"/>
      <c r="AV148" s="403"/>
      <c r="AW148" s="403"/>
      <c r="AX148" s="403"/>
      <c r="AY148" s="403"/>
      <c r="AZ148" s="403"/>
      <c r="BA148" s="403" t="s">
        <v>6656</v>
      </c>
      <c r="BB148" s="403"/>
      <c r="BC148" s="403"/>
      <c r="BD148" s="403"/>
      <c r="BE148" s="403"/>
      <c r="BF148" s="403"/>
      <c r="BG148" s="403"/>
      <c r="BH148" s="403"/>
      <c r="BI148" s="403"/>
      <c r="BJ148" s="403"/>
      <c r="BK148" s="403"/>
      <c r="BL148" s="403"/>
      <c r="BM148" s="403" t="s">
        <v>6657</v>
      </c>
      <c r="BN148" s="403"/>
      <c r="BO148" s="403"/>
      <c r="BP148" s="403"/>
      <c r="BQ148" s="403"/>
      <c r="BR148" s="403"/>
      <c r="BS148" s="403"/>
      <c r="BT148" s="403"/>
      <c r="BU148" s="403"/>
      <c r="BV148" s="403"/>
      <c r="BW148" s="403"/>
      <c r="BX148" s="403"/>
      <c r="BY148" s="403" t="s">
        <v>6658</v>
      </c>
      <c r="BZ148" s="403"/>
      <c r="CA148" s="403"/>
      <c r="CB148" s="403"/>
      <c r="CC148" s="403"/>
      <c r="CD148" s="403"/>
      <c r="CE148" s="403"/>
      <c r="CF148" s="403"/>
      <c r="CG148" s="403"/>
      <c r="CH148" s="403"/>
      <c r="CI148" s="403"/>
      <c r="CJ148" s="403"/>
      <c r="CK148" s="403" t="s">
        <v>6659</v>
      </c>
      <c r="CL148" s="403"/>
      <c r="CM148" s="403"/>
      <c r="CN148" s="403"/>
      <c r="CO148" s="403"/>
      <c r="CP148" s="403"/>
      <c r="CQ148" s="403"/>
      <c r="CR148" s="403"/>
      <c r="CS148" s="564"/>
    </row>
    <row r="149" spans="1:109" s="299" customFormat="1" ht="12.75" x14ac:dyDescent="0.2">
      <c r="B149" s="567"/>
      <c r="C149" s="622"/>
      <c r="D149" s="327" t="str">
        <f t="shared" ca="1" si="81"/>
        <v>SAGE Population Description</v>
      </c>
      <c r="K149" s="567"/>
      <c r="L149" s="567"/>
      <c r="M149" s="403"/>
      <c r="N149" s="403"/>
      <c r="O149" s="403"/>
      <c r="P149" s="403"/>
      <c r="Q149" s="403" t="s">
        <v>3748</v>
      </c>
      <c r="R149" s="403"/>
      <c r="S149" s="403"/>
      <c r="T149" s="403"/>
      <c r="U149" s="403"/>
      <c r="V149" s="403"/>
      <c r="W149" s="403"/>
      <c r="X149" s="403" t="s">
        <v>197</v>
      </c>
      <c r="Y149" s="403"/>
      <c r="Z149" s="403"/>
      <c r="AA149" s="403"/>
      <c r="AB149" s="403"/>
      <c r="AC149" s="403" t="s">
        <v>6660</v>
      </c>
      <c r="AD149" s="403"/>
      <c r="AE149" s="403"/>
      <c r="AF149" s="403"/>
      <c r="AG149" s="403"/>
      <c r="AH149" s="403"/>
      <c r="AI149" s="403"/>
      <c r="AJ149" s="403"/>
      <c r="AK149" s="403"/>
      <c r="AL149" s="403"/>
      <c r="AM149" s="403"/>
      <c r="AN149" s="403"/>
      <c r="AO149" s="403" t="s">
        <v>6176</v>
      </c>
      <c r="AP149" s="403"/>
      <c r="AQ149" s="403"/>
      <c r="AR149" s="403"/>
      <c r="AS149" s="403"/>
      <c r="AT149" s="403"/>
      <c r="AU149" s="403"/>
      <c r="AV149" s="403"/>
      <c r="AW149" s="403"/>
      <c r="AX149" s="403"/>
      <c r="AY149" s="403"/>
      <c r="AZ149" s="403"/>
      <c r="BA149" s="403" t="s">
        <v>6084</v>
      </c>
      <c r="BB149" s="403"/>
      <c r="BC149" s="403"/>
      <c r="BD149" s="403"/>
      <c r="BE149" s="403"/>
      <c r="BF149" s="403"/>
      <c r="BG149" s="403"/>
      <c r="BH149" s="403"/>
      <c r="BI149" s="403"/>
      <c r="BJ149" s="403"/>
      <c r="BK149" s="403"/>
      <c r="BL149" s="403"/>
      <c r="BM149" s="403" t="s">
        <v>6085</v>
      </c>
      <c r="BN149" s="403"/>
      <c r="BO149" s="403"/>
      <c r="BP149" s="403"/>
      <c r="BQ149" s="403"/>
      <c r="BR149" s="403"/>
      <c r="BS149" s="403"/>
      <c r="BT149" s="403"/>
      <c r="BU149" s="403"/>
      <c r="BV149" s="403"/>
      <c r="BW149" s="403"/>
      <c r="BX149" s="403"/>
      <c r="BY149" s="403" t="s">
        <v>6086</v>
      </c>
      <c r="BZ149" s="403"/>
      <c r="CA149" s="403"/>
      <c r="CB149" s="403"/>
      <c r="CC149" s="403"/>
      <c r="CD149" s="403"/>
      <c r="CE149" s="403"/>
      <c r="CF149" s="403"/>
      <c r="CG149" s="403"/>
      <c r="CH149" s="403"/>
      <c r="CI149" s="403"/>
      <c r="CJ149" s="403"/>
      <c r="CK149" s="403" t="s">
        <v>6087</v>
      </c>
      <c r="CL149" s="403"/>
      <c r="CM149" s="403"/>
      <c r="CN149" s="403"/>
      <c r="CO149" s="403"/>
      <c r="CP149" s="403"/>
      <c r="CQ149" s="403"/>
      <c r="CR149" s="403"/>
      <c r="CS149" s="564"/>
    </row>
    <row r="150" spans="1:109" s="299" customFormat="1" ht="12.75" x14ac:dyDescent="0.2">
      <c r="B150" s="567"/>
      <c r="C150" s="622"/>
      <c r="D150" s="31" t="str">
        <f t="shared" ca="1" si="81"/>
        <v>Pregnant women</v>
      </c>
      <c r="K150" s="567"/>
      <c r="L150" s="567"/>
      <c r="M150" s="403"/>
      <c r="N150" s="403"/>
      <c r="O150" s="403"/>
      <c r="P150" s="403"/>
      <c r="Q150" s="403" t="s">
        <v>3089</v>
      </c>
      <c r="R150" s="403"/>
      <c r="S150" s="403"/>
      <c r="T150" s="403"/>
      <c r="U150" s="403"/>
      <c r="V150" s="403"/>
      <c r="W150" s="403"/>
      <c r="X150" s="403" t="s">
        <v>197</v>
      </c>
      <c r="Y150" s="403"/>
      <c r="Z150" s="403"/>
      <c r="AA150" s="403"/>
      <c r="AB150" s="403"/>
      <c r="AC150" s="403" t="s">
        <v>6661</v>
      </c>
      <c r="AD150" s="403"/>
      <c r="AE150" s="403"/>
      <c r="AF150" s="403"/>
      <c r="AG150" s="403"/>
      <c r="AH150" s="403"/>
      <c r="AI150" s="403"/>
      <c r="AJ150" s="403"/>
      <c r="AK150" s="403"/>
      <c r="AL150" s="403"/>
      <c r="AM150" s="403"/>
      <c r="AN150" s="403"/>
      <c r="AO150" s="403" t="s">
        <v>6662</v>
      </c>
      <c r="AP150" s="403"/>
      <c r="AQ150" s="403"/>
      <c r="AR150" s="403"/>
      <c r="AS150" s="403"/>
      <c r="AT150" s="403"/>
      <c r="AU150" s="403"/>
      <c r="AV150" s="403"/>
      <c r="AW150" s="403"/>
      <c r="AX150" s="403"/>
      <c r="AY150" s="403"/>
      <c r="AZ150" s="403"/>
      <c r="BA150" s="403" t="s">
        <v>6663</v>
      </c>
      <c r="BB150" s="403"/>
      <c r="BC150" s="403"/>
      <c r="BD150" s="403"/>
      <c r="BE150" s="403"/>
      <c r="BF150" s="403"/>
      <c r="BG150" s="403"/>
      <c r="BH150" s="403"/>
      <c r="BI150" s="403"/>
      <c r="BJ150" s="403"/>
      <c r="BK150" s="403"/>
      <c r="BL150" s="403"/>
      <c r="BM150" s="403" t="s">
        <v>6664</v>
      </c>
      <c r="BN150" s="403"/>
      <c r="BO150" s="403"/>
      <c r="BP150" s="403"/>
      <c r="BQ150" s="403"/>
      <c r="BR150" s="403"/>
      <c r="BS150" s="403"/>
      <c r="BT150" s="403"/>
      <c r="BU150" s="403"/>
      <c r="BV150" s="403"/>
      <c r="BW150" s="403"/>
      <c r="BX150" s="403"/>
      <c r="BY150" s="403" t="s">
        <v>6665</v>
      </c>
      <c r="BZ150" s="403"/>
      <c r="CA150" s="403"/>
      <c r="CB150" s="403"/>
      <c r="CC150" s="403"/>
      <c r="CD150" s="403"/>
      <c r="CE150" s="403"/>
      <c r="CF150" s="403"/>
      <c r="CG150" s="403"/>
      <c r="CH150" s="403"/>
      <c r="CI150" s="403"/>
      <c r="CJ150" s="403"/>
      <c r="CK150" s="403" t="s">
        <v>6666</v>
      </c>
      <c r="CL150" s="403"/>
      <c r="CM150" s="403"/>
      <c r="CN150" s="403"/>
      <c r="CO150" s="403"/>
      <c r="CP150" s="403"/>
      <c r="CQ150" s="403"/>
      <c r="CR150" s="403"/>
      <c r="CS150" s="564"/>
    </row>
    <row r="151" spans="1:109" s="299" customFormat="1" ht="12.75" x14ac:dyDescent="0.2">
      <c r="B151" s="567"/>
      <c r="C151" s="622"/>
      <c r="K151" s="567"/>
      <c r="L151" s="567"/>
      <c r="M151" s="403"/>
      <c r="N151" s="403"/>
      <c r="O151" s="403"/>
      <c r="P151" s="403"/>
      <c r="Q151" s="403"/>
      <c r="R151" s="403"/>
      <c r="S151" s="403"/>
      <c r="T151" s="403"/>
      <c r="U151" s="403"/>
      <c r="V151" s="403"/>
      <c r="W151" s="403"/>
      <c r="X151" s="403" t="s">
        <v>197</v>
      </c>
      <c r="Y151" s="403"/>
      <c r="Z151" s="403"/>
      <c r="AA151" s="403"/>
      <c r="AB151" s="403"/>
      <c r="AC151" s="403"/>
      <c r="AD151" s="403"/>
      <c r="AE151" s="403"/>
      <c r="AF151" s="403"/>
      <c r="AG151" s="403"/>
      <c r="AH151" s="403"/>
      <c r="AI151" s="403"/>
      <c r="AJ151" s="403"/>
      <c r="AK151" s="403"/>
      <c r="AL151" s="403"/>
      <c r="AM151" s="403"/>
      <c r="AN151" s="403"/>
      <c r="AO151" s="403"/>
      <c r="AP151" s="403"/>
      <c r="AQ151" s="403"/>
      <c r="AR151" s="403"/>
      <c r="AS151" s="403"/>
      <c r="AT151" s="403"/>
      <c r="AU151" s="403"/>
      <c r="AV151" s="403"/>
      <c r="AW151" s="403"/>
      <c r="AX151" s="403"/>
      <c r="AY151" s="403"/>
      <c r="AZ151" s="403"/>
      <c r="BA151" s="403"/>
      <c r="BB151" s="403"/>
      <c r="BC151" s="403"/>
      <c r="BD151" s="403"/>
      <c r="BE151" s="403"/>
      <c r="BF151" s="403"/>
      <c r="BG151" s="403"/>
      <c r="BH151" s="403"/>
      <c r="BI151" s="403"/>
      <c r="BJ151" s="403"/>
      <c r="BK151" s="403"/>
      <c r="BL151" s="403"/>
      <c r="BM151" s="403"/>
      <c r="BN151" s="403"/>
      <c r="BO151" s="403"/>
      <c r="BP151" s="403"/>
      <c r="BQ151" s="403"/>
      <c r="BR151" s="403"/>
      <c r="BS151" s="403"/>
      <c r="BT151" s="403"/>
      <c r="BU151" s="403"/>
      <c r="BV151" s="403"/>
      <c r="BW151" s="403"/>
      <c r="BX151" s="403"/>
      <c r="BY151" s="403"/>
      <c r="BZ151" s="403"/>
      <c r="CA151" s="403"/>
      <c r="CB151" s="403"/>
      <c r="CC151" s="403"/>
      <c r="CD151" s="403"/>
      <c r="CE151" s="403"/>
      <c r="CF151" s="403"/>
      <c r="CG151" s="403"/>
      <c r="CH151" s="403"/>
      <c r="CI151" s="403"/>
      <c r="CJ151" s="403"/>
      <c r="CK151" s="403"/>
      <c r="CL151" s="403"/>
      <c r="CM151" s="403"/>
      <c r="CN151" s="403"/>
      <c r="CO151" s="403"/>
      <c r="CP151" s="403"/>
      <c r="CQ151" s="403"/>
      <c r="CR151" s="403"/>
      <c r="CS151" s="564"/>
    </row>
    <row r="152" spans="1:109" s="299" customFormat="1" ht="12.75" x14ac:dyDescent="0.2">
      <c r="B152" s="567"/>
      <c r="C152" s="622"/>
      <c r="D152" s="336" t="str">
        <f t="shared" ref="D152:D153" ca="1" si="85">IF(OFFSET(Q152,0,Lang_Order*Lang__A2)="","",OFFSET(Q152,0,Lang_Order*Lang__A2))</f>
        <v>If you do not with to cover pregnant women, enter 0</v>
      </c>
      <c r="H152" s="2" t="str">
        <f t="shared" ref="H152" ca="1" si="86">IF(OFFSET(U152,0,Lang_Order*Lang__A2)="","",OFFSET(U152,0,Lang_Order*Lang__A2))</f>
        <v/>
      </c>
      <c r="K152" s="567"/>
      <c r="L152" s="567"/>
      <c r="M152" s="403"/>
      <c r="N152" s="403"/>
      <c r="O152" s="403"/>
      <c r="P152" s="403"/>
      <c r="Q152" s="403" t="s">
        <v>4115</v>
      </c>
      <c r="R152" s="403"/>
      <c r="S152" s="403"/>
      <c r="T152" s="403"/>
      <c r="U152" s="403"/>
      <c r="V152" s="403"/>
      <c r="W152" s="403"/>
      <c r="X152" s="403"/>
      <c r="Y152" s="403"/>
      <c r="Z152" s="403"/>
      <c r="AA152" s="403"/>
      <c r="AB152" s="403"/>
      <c r="AC152" s="403" t="s">
        <v>6667</v>
      </c>
      <c r="AD152" s="403"/>
      <c r="AE152" s="403"/>
      <c r="AF152" s="403"/>
      <c r="AG152" s="403"/>
      <c r="AH152" s="403"/>
      <c r="AI152" s="403"/>
      <c r="AJ152" s="403"/>
      <c r="AK152" s="403"/>
      <c r="AL152" s="403"/>
      <c r="AM152" s="403"/>
      <c r="AN152" s="403"/>
      <c r="AO152" s="403" t="s">
        <v>6668</v>
      </c>
      <c r="AP152" s="403"/>
      <c r="AQ152" s="403"/>
      <c r="AR152" s="403"/>
      <c r="AS152" s="403"/>
      <c r="AT152" s="403"/>
      <c r="AU152" s="403"/>
      <c r="AV152" s="403"/>
      <c r="AW152" s="403"/>
      <c r="AX152" s="403"/>
      <c r="AY152" s="403"/>
      <c r="AZ152" s="403"/>
      <c r="BA152" s="403" t="s">
        <v>6669</v>
      </c>
      <c r="BB152" s="403"/>
      <c r="BC152" s="403"/>
      <c r="BD152" s="403"/>
      <c r="BE152" s="403"/>
      <c r="BF152" s="403"/>
      <c r="BG152" s="403"/>
      <c r="BH152" s="403"/>
      <c r="BI152" s="403"/>
      <c r="BJ152" s="403"/>
      <c r="BK152" s="403"/>
      <c r="BL152" s="403"/>
      <c r="BM152" s="403" t="s">
        <v>6670</v>
      </c>
      <c r="BN152" s="403"/>
      <c r="BO152" s="403"/>
      <c r="BP152" s="403"/>
      <c r="BQ152" s="403"/>
      <c r="BR152" s="403"/>
      <c r="BS152" s="403"/>
      <c r="BT152" s="403"/>
      <c r="BU152" s="403"/>
      <c r="BV152" s="403"/>
      <c r="BW152" s="403"/>
      <c r="BX152" s="403"/>
      <c r="BY152" s="403" t="s">
        <v>6671</v>
      </c>
      <c r="BZ152" s="403"/>
      <c r="CA152" s="403"/>
      <c r="CB152" s="403"/>
      <c r="CC152" s="403"/>
      <c r="CD152" s="403"/>
      <c r="CE152" s="403"/>
      <c r="CF152" s="403"/>
      <c r="CG152" s="403"/>
      <c r="CH152" s="403"/>
      <c r="CI152" s="403"/>
      <c r="CJ152" s="403"/>
      <c r="CK152" s="403" t="s">
        <v>6672</v>
      </c>
      <c r="CL152" s="403"/>
      <c r="CM152" s="403"/>
      <c r="CN152" s="403"/>
      <c r="CO152" s="403"/>
      <c r="CP152" s="403"/>
      <c r="CQ152" s="403"/>
      <c r="CR152" s="403"/>
      <c r="CS152" s="564"/>
    </row>
    <row r="153" spans="1:109" s="241" customFormat="1" ht="12.75" x14ac:dyDescent="0.2">
      <c r="A153" s="349">
        <v>1</v>
      </c>
      <c r="B153" s="567"/>
      <c r="C153" s="622"/>
      <c r="D153" s="66" t="str">
        <f t="shared" ca="1" si="85"/>
        <v>Pregnancies per year</v>
      </c>
      <c r="E153" s="407"/>
      <c r="F153" s="669"/>
      <c r="G153" s="4" t="str">
        <f>IF(ISBLANK(H153),Lang_CHECK,"OK")</f>
        <v>OK</v>
      </c>
      <c r="H153" s="378">
        <f>IF(ISBLANK(E153),0,E153/Pop_Total_2021)</f>
        <v>0</v>
      </c>
      <c r="I153" s="2" t="str">
        <f t="shared" ref="I153" ca="1" si="87">IF(OFFSET(V153,0,Lang_Order*Lang__A2)="","",OFFSET(V153,0,Lang_Order*Lang__A2))</f>
        <v>Births per 1,000 Population per Year. Zero is allowed</v>
      </c>
      <c r="J153" s="299"/>
      <c r="K153" s="12" t="str">
        <f ca="1">IF(OFFSET(X153,0,Lang_Order*Lang__A2)="","",OFFSET(X153,0,Lang_Order*Lang__A2))</f>
        <v>Enter zero if no plans to cover pregnant women.</v>
      </c>
      <c r="L153" s="587"/>
      <c r="M153" s="403"/>
      <c r="N153" s="403"/>
      <c r="O153" s="403"/>
      <c r="P153" s="403"/>
      <c r="Q153" s="564" t="s">
        <v>4114</v>
      </c>
      <c r="R153" s="564"/>
      <c r="S153" s="564"/>
      <c r="T153" s="564"/>
      <c r="U153" s="564"/>
      <c r="V153" s="564" t="s">
        <v>3781</v>
      </c>
      <c r="W153" s="564"/>
      <c r="X153" s="564" t="s">
        <v>14258</v>
      </c>
      <c r="Y153" s="564"/>
      <c r="Z153" s="564"/>
      <c r="AA153" s="564"/>
      <c r="AB153" s="564"/>
      <c r="AC153" s="564" t="s">
        <v>6673</v>
      </c>
      <c r="AD153" s="564"/>
      <c r="AE153" s="564"/>
      <c r="AF153" s="564"/>
      <c r="AG153" s="564"/>
      <c r="AH153" s="564" t="s">
        <v>6674</v>
      </c>
      <c r="AI153" s="564"/>
      <c r="AJ153" s="564" t="s">
        <v>14259</v>
      </c>
      <c r="AK153" s="564"/>
      <c r="AL153" s="564"/>
      <c r="AM153" s="564"/>
      <c r="AN153" s="564"/>
      <c r="AO153" s="564" t="s">
        <v>6675</v>
      </c>
      <c r="AP153" s="564"/>
      <c r="AQ153" s="564"/>
      <c r="AR153" s="564"/>
      <c r="AS153" s="564"/>
      <c r="AT153" s="564" t="s">
        <v>6676</v>
      </c>
      <c r="AU153" s="564"/>
      <c r="AV153" s="564" t="s">
        <v>14260</v>
      </c>
      <c r="AW153" s="564"/>
      <c r="AX153" s="564"/>
      <c r="AY153" s="564"/>
      <c r="AZ153" s="564"/>
      <c r="BA153" s="564" t="s">
        <v>6677</v>
      </c>
      <c r="BB153" s="564"/>
      <c r="BC153" s="564"/>
      <c r="BD153" s="564"/>
      <c r="BE153" s="564"/>
      <c r="BF153" s="564" t="s">
        <v>6678</v>
      </c>
      <c r="BG153" s="564"/>
      <c r="BH153" s="564" t="s">
        <v>14261</v>
      </c>
      <c r="BI153" s="564"/>
      <c r="BJ153" s="564"/>
      <c r="BK153" s="564"/>
      <c r="BL153" s="564"/>
      <c r="BM153" s="564" t="s">
        <v>6679</v>
      </c>
      <c r="BN153" s="564"/>
      <c r="BO153" s="564"/>
      <c r="BP153" s="564"/>
      <c r="BQ153" s="564"/>
      <c r="BR153" s="564" t="s">
        <v>6680</v>
      </c>
      <c r="BS153" s="564"/>
      <c r="BT153" s="564" t="s">
        <v>14262</v>
      </c>
      <c r="BU153" s="564"/>
      <c r="BV153" s="564"/>
      <c r="BW153" s="564"/>
      <c r="BX153" s="564"/>
      <c r="BY153" s="564" t="s">
        <v>6681</v>
      </c>
      <c r="BZ153" s="564"/>
      <c r="CA153" s="564"/>
      <c r="CB153" s="564"/>
      <c r="CC153" s="564"/>
      <c r="CD153" s="564" t="s">
        <v>6682</v>
      </c>
      <c r="CE153" s="564"/>
      <c r="CF153" s="564" t="s">
        <v>14263</v>
      </c>
      <c r="CG153" s="564"/>
      <c r="CH153" s="564"/>
      <c r="CI153" s="564"/>
      <c r="CJ153" s="564"/>
      <c r="CK153" s="564" t="s">
        <v>6683</v>
      </c>
      <c r="CL153" s="564"/>
      <c r="CM153" s="564"/>
      <c r="CN153" s="564"/>
      <c r="CO153" s="564"/>
      <c r="CP153" s="564" t="s">
        <v>6684</v>
      </c>
      <c r="CQ153" s="564"/>
      <c r="CR153" s="564" t="s">
        <v>14264</v>
      </c>
      <c r="CS153" s="564"/>
      <c r="CT153" s="567"/>
      <c r="CU153" s="567"/>
      <c r="CV153" s="567"/>
      <c r="CW153" s="567"/>
      <c r="CX153" s="567"/>
      <c r="CY153" s="567"/>
      <c r="CZ153" s="567"/>
      <c r="DA153" s="567"/>
      <c r="DB153" s="567"/>
      <c r="DC153" s="567"/>
      <c r="DD153" s="567"/>
      <c r="DE153" s="567"/>
    </row>
    <row r="154" spans="1:109" s="299" customFormat="1" ht="12.75" x14ac:dyDescent="0.2">
      <c r="C154" s="624"/>
      <c r="E154" s="68"/>
      <c r="F154" s="68"/>
      <c r="G154" s="68"/>
      <c r="H154" s="68"/>
      <c r="I154" s="141"/>
      <c r="J154" s="68"/>
      <c r="K154" s="68" t="str">
        <f ca="1">IF(OFFSET(X154,0,Lang_Order*Lang__A2)="","",OFFSET(X154,0,Lang_Order*Lang__A2))</f>
        <v/>
      </c>
      <c r="L154" s="68"/>
      <c r="M154" s="403"/>
      <c r="N154" s="403"/>
      <c r="O154" s="403"/>
      <c r="P154" s="403"/>
      <c r="Q154" s="403"/>
      <c r="R154" s="403"/>
      <c r="S154" s="403"/>
      <c r="T154" s="403"/>
      <c r="U154" s="403"/>
      <c r="V154" s="403"/>
      <c r="W154" s="403"/>
      <c r="X154" s="403" t="s">
        <v>197</v>
      </c>
      <c r="Y154" s="403"/>
      <c r="Z154" s="403"/>
      <c r="AA154" s="403"/>
      <c r="AB154" s="403"/>
      <c r="AC154" s="403"/>
      <c r="AD154" s="403"/>
      <c r="AE154" s="403"/>
      <c r="AF154" s="403"/>
      <c r="AG154" s="403"/>
      <c r="AH154" s="403"/>
      <c r="AI154" s="403"/>
      <c r="AJ154" s="403"/>
      <c r="AK154" s="403"/>
      <c r="AL154" s="403"/>
      <c r="AM154" s="403"/>
      <c r="AN154" s="403"/>
      <c r="AO154" s="403"/>
      <c r="AP154" s="403"/>
      <c r="AQ154" s="403"/>
      <c r="AR154" s="403"/>
      <c r="AS154" s="403"/>
      <c r="AT154" s="403"/>
      <c r="AU154" s="403"/>
      <c r="AV154" s="403"/>
      <c r="AW154" s="403"/>
      <c r="AX154" s="403"/>
      <c r="AY154" s="403"/>
      <c r="AZ154" s="403"/>
      <c r="BA154" s="403"/>
      <c r="BB154" s="403"/>
      <c r="BC154" s="403"/>
      <c r="BD154" s="403"/>
      <c r="BE154" s="403"/>
      <c r="BF154" s="403"/>
      <c r="BG154" s="403"/>
      <c r="BH154" s="403"/>
      <c r="BI154" s="403"/>
      <c r="BJ154" s="403"/>
      <c r="BK154" s="403"/>
      <c r="BL154" s="403"/>
      <c r="BM154" s="403"/>
      <c r="BN154" s="403"/>
      <c r="BO154" s="403"/>
      <c r="BP154" s="403"/>
      <c r="BQ154" s="403"/>
      <c r="BR154" s="403"/>
      <c r="BS154" s="403"/>
      <c r="BT154" s="403"/>
      <c r="BU154" s="403"/>
      <c r="BV154" s="403"/>
      <c r="BW154" s="403"/>
      <c r="BX154" s="403"/>
      <c r="BY154" s="403"/>
      <c r="BZ154" s="403"/>
      <c r="CA154" s="403"/>
      <c r="CB154" s="403"/>
      <c r="CC154" s="403"/>
      <c r="CD154" s="403"/>
      <c r="CE154" s="403"/>
      <c r="CF154" s="403"/>
      <c r="CG154" s="403"/>
      <c r="CH154" s="403"/>
      <c r="CI154" s="403"/>
      <c r="CJ154" s="403"/>
      <c r="CK154" s="403"/>
      <c r="CL154" s="403"/>
      <c r="CM154" s="403"/>
      <c r="CN154" s="403"/>
      <c r="CO154" s="403"/>
      <c r="CP154" s="403"/>
      <c r="CQ154" s="403"/>
      <c r="CR154" s="403"/>
      <c r="CS154" s="564"/>
    </row>
    <row r="155" spans="1:109" s="299" customFormat="1" x14ac:dyDescent="0.25">
      <c r="C155" s="624"/>
      <c r="D155" s="511" t="str">
        <f ca="1">IF(OFFSET(Q155,0,Lang_Order*Lang__A2)="","",OFFSET(Q155,0,Lang_Order*Lang__A2))</f>
        <v>Logic checks for target population specifications - no data entry required</v>
      </c>
      <c r="E155" s="144"/>
      <c r="F155" s="144"/>
      <c r="G155" s="144"/>
      <c r="H155" s="144"/>
      <c r="I155" s="144"/>
      <c r="J155" s="144"/>
      <c r="K155" s="512" t="str">
        <f ca="1">IF(OFFSET(X155,0,Lang_Order*Lang__A2)="","",OFFSET(X155,0,Lang_Order*Lang__A2))</f>
        <v/>
      </c>
      <c r="L155" s="512"/>
      <c r="M155" s="403"/>
      <c r="N155" s="403"/>
      <c r="O155" s="403"/>
      <c r="P155" s="403"/>
      <c r="Q155" s="403" t="s">
        <v>3782</v>
      </c>
      <c r="R155" s="403"/>
      <c r="S155" s="403"/>
      <c r="T155" s="403"/>
      <c r="U155" s="403"/>
      <c r="V155" s="403"/>
      <c r="W155" s="403"/>
      <c r="X155" s="403" t="s">
        <v>197</v>
      </c>
      <c r="Y155" s="403"/>
      <c r="Z155" s="403"/>
      <c r="AA155" s="403"/>
      <c r="AB155" s="403"/>
      <c r="AC155" s="403" t="s">
        <v>6685</v>
      </c>
      <c r="AD155" s="403"/>
      <c r="AE155" s="403"/>
      <c r="AF155" s="403"/>
      <c r="AG155" s="403"/>
      <c r="AH155" s="403"/>
      <c r="AI155" s="403"/>
      <c r="AJ155" s="403"/>
      <c r="AK155" s="403"/>
      <c r="AL155" s="403"/>
      <c r="AM155" s="403"/>
      <c r="AN155" s="403"/>
      <c r="AO155" s="403" t="s">
        <v>6686</v>
      </c>
      <c r="AP155" s="403"/>
      <c r="AQ155" s="403"/>
      <c r="AR155" s="403"/>
      <c r="AS155" s="403"/>
      <c r="AT155" s="403"/>
      <c r="AU155" s="403"/>
      <c r="AV155" s="403"/>
      <c r="AW155" s="403"/>
      <c r="AX155" s="403"/>
      <c r="AY155" s="403"/>
      <c r="AZ155" s="403"/>
      <c r="BA155" s="403" t="s">
        <v>6687</v>
      </c>
      <c r="BB155" s="403"/>
      <c r="BC155" s="403"/>
      <c r="BD155" s="403"/>
      <c r="BE155" s="403"/>
      <c r="BF155" s="403"/>
      <c r="BG155" s="403"/>
      <c r="BH155" s="403"/>
      <c r="BI155" s="403"/>
      <c r="BJ155" s="403"/>
      <c r="BK155" s="403"/>
      <c r="BL155" s="403"/>
      <c r="BM155" s="403" t="s">
        <v>6688</v>
      </c>
      <c r="BN155" s="403"/>
      <c r="BO155" s="403"/>
      <c r="BP155" s="403"/>
      <c r="BQ155" s="403"/>
      <c r="BR155" s="403"/>
      <c r="BS155" s="403"/>
      <c r="BT155" s="403"/>
      <c r="BU155" s="403"/>
      <c r="BV155" s="403"/>
      <c r="BW155" s="403"/>
      <c r="BX155" s="403"/>
      <c r="BY155" s="403" t="s">
        <v>6689</v>
      </c>
      <c r="BZ155" s="403"/>
      <c r="CA155" s="403"/>
      <c r="CB155" s="403"/>
      <c r="CC155" s="403"/>
      <c r="CD155" s="403"/>
      <c r="CE155" s="403"/>
      <c r="CF155" s="403"/>
      <c r="CG155" s="403"/>
      <c r="CH155" s="403"/>
      <c r="CI155" s="403"/>
      <c r="CJ155" s="403"/>
      <c r="CK155" s="403" t="s">
        <v>6690</v>
      </c>
      <c r="CL155" s="403"/>
      <c r="CM155" s="403"/>
      <c r="CN155" s="403"/>
      <c r="CO155" s="403"/>
      <c r="CP155" s="403"/>
      <c r="CQ155" s="403"/>
      <c r="CR155" s="403"/>
      <c r="CS155" s="564"/>
    </row>
    <row r="156" spans="1:109" s="299" customFormat="1" ht="12.75" x14ac:dyDescent="0.2">
      <c r="C156" s="622"/>
      <c r="D156" s="679" t="str">
        <f t="shared" ref="D156" ca="1" si="88">IF(OFFSET(Q156,0,Lang_Order*Lang__A2)="","",OFFSET(Q156,0,Lang_Order*Lang__A2))</f>
        <v>Instructions: No data entry is required below but check if there are any errors flagged "CHECK" instead of "OK". If so, please review the target population specifications and/or timing of delivery (B1.2)</v>
      </c>
      <c r="E156" s="679"/>
      <c r="F156" s="679"/>
      <c r="G156" s="679"/>
      <c r="H156" s="679"/>
      <c r="I156" s="679"/>
      <c r="K156" s="567"/>
      <c r="L156" s="567"/>
      <c r="M156" s="403"/>
      <c r="N156" s="403"/>
      <c r="O156" s="403"/>
      <c r="P156" s="403"/>
      <c r="Q156" s="403" t="s">
        <v>4087</v>
      </c>
      <c r="R156" s="403"/>
      <c r="S156" s="403"/>
      <c r="T156" s="403"/>
      <c r="U156" s="403"/>
      <c r="V156" s="403"/>
      <c r="W156" s="403"/>
      <c r="X156" s="403" t="s">
        <v>197</v>
      </c>
      <c r="Y156" s="403"/>
      <c r="Z156" s="403"/>
      <c r="AA156" s="403"/>
      <c r="AB156" s="403"/>
      <c r="AC156" s="403" t="s">
        <v>6691</v>
      </c>
      <c r="AD156" s="403"/>
      <c r="AE156" s="403"/>
      <c r="AF156" s="403"/>
      <c r="AG156" s="403"/>
      <c r="AH156" s="403"/>
      <c r="AI156" s="403"/>
      <c r="AJ156" s="403"/>
      <c r="AK156" s="403"/>
      <c r="AL156" s="403"/>
      <c r="AM156" s="403"/>
      <c r="AN156" s="403"/>
      <c r="AO156" s="403" t="s">
        <v>6692</v>
      </c>
      <c r="AP156" s="403"/>
      <c r="AQ156" s="403"/>
      <c r="AR156" s="403"/>
      <c r="AS156" s="403"/>
      <c r="AT156" s="403"/>
      <c r="AU156" s="403"/>
      <c r="AV156" s="403"/>
      <c r="AW156" s="403"/>
      <c r="AX156" s="403"/>
      <c r="AY156" s="403"/>
      <c r="AZ156" s="403"/>
      <c r="BA156" s="403" t="s">
        <v>6693</v>
      </c>
      <c r="BB156" s="403"/>
      <c r="BC156" s="403"/>
      <c r="BD156" s="403"/>
      <c r="BE156" s="403"/>
      <c r="BF156" s="403"/>
      <c r="BG156" s="403"/>
      <c r="BH156" s="403"/>
      <c r="BI156" s="403"/>
      <c r="BJ156" s="403"/>
      <c r="BK156" s="403"/>
      <c r="BL156" s="403"/>
      <c r="BM156" s="403" t="s">
        <v>6694</v>
      </c>
      <c r="BN156" s="403"/>
      <c r="BO156" s="403"/>
      <c r="BP156" s="403"/>
      <c r="BQ156" s="403"/>
      <c r="BR156" s="403"/>
      <c r="BS156" s="403"/>
      <c r="BT156" s="403"/>
      <c r="BU156" s="403"/>
      <c r="BV156" s="403"/>
      <c r="BW156" s="403"/>
      <c r="BX156" s="403"/>
      <c r="BY156" s="403" t="s">
        <v>6695</v>
      </c>
      <c r="BZ156" s="403"/>
      <c r="CA156" s="403"/>
      <c r="CB156" s="403"/>
      <c r="CC156" s="403"/>
      <c r="CD156" s="403"/>
      <c r="CE156" s="403"/>
      <c r="CF156" s="403"/>
      <c r="CG156" s="403"/>
      <c r="CH156" s="403"/>
      <c r="CI156" s="403"/>
      <c r="CJ156" s="403"/>
      <c r="CK156" s="403" t="s">
        <v>6696</v>
      </c>
      <c r="CL156" s="403"/>
      <c r="CM156" s="403"/>
      <c r="CN156" s="403"/>
      <c r="CO156" s="403"/>
      <c r="CP156" s="403"/>
      <c r="CQ156" s="403"/>
      <c r="CR156" s="403"/>
      <c r="CS156" s="564"/>
    </row>
    <row r="157" spans="1:109" s="299" customFormat="1" ht="12.75" x14ac:dyDescent="0.2">
      <c r="C157" s="624"/>
      <c r="D157" s="479" t="str">
        <f t="shared" ref="D157:D160" ca="1" si="89">IF(OFFSET(Q157,0,Lang_Order*Lang__A2)="","",OFFSET(Q157,0,Lang_Order*Lang__A2))</f>
        <v>Note: If any logic checks have failed, please re-adjust target population parameters</v>
      </c>
      <c r="E157" s="68"/>
      <c r="F157" s="68"/>
      <c r="G157" s="68"/>
      <c r="H157" s="68"/>
      <c r="I157" s="141"/>
      <c r="J157" s="68"/>
      <c r="K157" s="567"/>
      <c r="L157" s="567"/>
      <c r="M157" s="403"/>
      <c r="N157" s="403"/>
      <c r="O157" s="403"/>
      <c r="P157" s="403"/>
      <c r="Q157" s="403" t="s">
        <v>4088</v>
      </c>
      <c r="R157" s="403"/>
      <c r="S157" s="403"/>
      <c r="T157" s="403"/>
      <c r="U157" s="403"/>
      <c r="V157" s="403"/>
      <c r="W157" s="403"/>
      <c r="X157" s="403" t="s">
        <v>197</v>
      </c>
      <c r="Y157" s="403"/>
      <c r="Z157" s="403"/>
      <c r="AA157" s="403"/>
      <c r="AB157" s="403"/>
      <c r="AC157" s="403" t="s">
        <v>6697</v>
      </c>
      <c r="AD157" s="403"/>
      <c r="AE157" s="403"/>
      <c r="AF157" s="403"/>
      <c r="AG157" s="403"/>
      <c r="AH157" s="403"/>
      <c r="AI157" s="403"/>
      <c r="AJ157" s="403"/>
      <c r="AK157" s="403"/>
      <c r="AL157" s="403"/>
      <c r="AM157" s="403"/>
      <c r="AN157" s="403"/>
      <c r="AO157" s="403" t="s">
        <v>6698</v>
      </c>
      <c r="AP157" s="403"/>
      <c r="AQ157" s="403"/>
      <c r="AR157" s="403"/>
      <c r="AS157" s="403"/>
      <c r="AT157" s="403"/>
      <c r="AU157" s="403"/>
      <c r="AV157" s="403"/>
      <c r="AW157" s="403"/>
      <c r="AX157" s="403"/>
      <c r="AY157" s="403"/>
      <c r="AZ157" s="403"/>
      <c r="BA157" s="403" t="s">
        <v>6699</v>
      </c>
      <c r="BB157" s="403"/>
      <c r="BC157" s="403"/>
      <c r="BD157" s="403"/>
      <c r="BE157" s="403"/>
      <c r="BF157" s="403"/>
      <c r="BG157" s="403"/>
      <c r="BH157" s="403"/>
      <c r="BI157" s="403"/>
      <c r="BJ157" s="403"/>
      <c r="BK157" s="403"/>
      <c r="BL157" s="403"/>
      <c r="BM157" s="403" t="s">
        <v>6700</v>
      </c>
      <c r="BN157" s="403"/>
      <c r="BO157" s="403"/>
      <c r="BP157" s="403"/>
      <c r="BQ157" s="403"/>
      <c r="BR157" s="403"/>
      <c r="BS157" s="403"/>
      <c r="BT157" s="403"/>
      <c r="BU157" s="403"/>
      <c r="BV157" s="403"/>
      <c r="BW157" s="403"/>
      <c r="BX157" s="403"/>
      <c r="BY157" s="403" t="s">
        <v>6701</v>
      </c>
      <c r="BZ157" s="403"/>
      <c r="CA157" s="403"/>
      <c r="CB157" s="403"/>
      <c r="CC157" s="403"/>
      <c r="CD157" s="403"/>
      <c r="CE157" s="403"/>
      <c r="CF157" s="403"/>
      <c r="CG157" s="403"/>
      <c r="CH157" s="403"/>
      <c r="CI157" s="403"/>
      <c r="CJ157" s="403"/>
      <c r="CK157" s="403" t="s">
        <v>6702</v>
      </c>
      <c r="CL157" s="403"/>
      <c r="CM157" s="403"/>
      <c r="CN157" s="403"/>
      <c r="CO157" s="403"/>
      <c r="CP157" s="403"/>
      <c r="CQ157" s="403"/>
      <c r="CR157" s="403"/>
      <c r="CS157" s="564"/>
    </row>
    <row r="158" spans="1:109" s="241" customFormat="1" ht="12.75" x14ac:dyDescent="0.2">
      <c r="A158" s="567"/>
      <c r="C158" s="624"/>
      <c r="D158" s="328" t="str">
        <f t="shared" ca="1" si="89"/>
        <v>Additional population check #1: ERROR if target population exceeds total population</v>
      </c>
      <c r="E158" s="68"/>
      <c r="F158" s="68"/>
      <c r="G158" s="233" t="e">
        <f>'B1. Target Population'!J51</f>
        <v>#N/A</v>
      </c>
      <c r="H158" s="68"/>
      <c r="I158" s="141"/>
      <c r="J158" s="68"/>
      <c r="K158" s="608" t="str">
        <f ca="1">IF(OFFSET(X158,0,Lang_Order*Lang__A2)="","",OFFSET(X158,0,Lang_Order*Lang__A2))</f>
        <v>A "CHECK" error here means that the high-priority population specified exceeds the total population</v>
      </c>
      <c r="L158" s="567"/>
      <c r="M158" s="403"/>
      <c r="N158" s="403"/>
      <c r="O158" s="403"/>
      <c r="P158" s="403"/>
      <c r="Q158" s="403" t="s">
        <v>3831</v>
      </c>
      <c r="R158" s="403"/>
      <c r="S158" s="403"/>
      <c r="T158" s="403"/>
      <c r="U158" s="403"/>
      <c r="V158" s="403"/>
      <c r="W158" s="403"/>
      <c r="X158" s="403" t="s">
        <v>3016</v>
      </c>
      <c r="Y158" s="403"/>
      <c r="Z158" s="403"/>
      <c r="AA158" s="403"/>
      <c r="AB158" s="403"/>
      <c r="AC158" s="403" t="s">
        <v>6703</v>
      </c>
      <c r="AD158" s="403"/>
      <c r="AE158" s="403"/>
      <c r="AF158" s="403"/>
      <c r="AG158" s="403"/>
      <c r="AH158" s="403"/>
      <c r="AI158" s="403"/>
      <c r="AJ158" s="403" t="s">
        <v>6704</v>
      </c>
      <c r="AK158" s="403"/>
      <c r="AL158" s="403"/>
      <c r="AM158" s="403"/>
      <c r="AN158" s="403"/>
      <c r="AO158" s="403" t="s">
        <v>6705</v>
      </c>
      <c r="AP158" s="403"/>
      <c r="AQ158" s="403"/>
      <c r="AR158" s="403"/>
      <c r="AS158" s="403"/>
      <c r="AT158" s="403"/>
      <c r="AU158" s="403"/>
      <c r="AV158" s="403" t="s">
        <v>6706</v>
      </c>
      <c r="AW158" s="403"/>
      <c r="AX158" s="403"/>
      <c r="AY158" s="403"/>
      <c r="AZ158" s="403"/>
      <c r="BA158" s="403" t="s">
        <v>6707</v>
      </c>
      <c r="BB158" s="403"/>
      <c r="BC158" s="403"/>
      <c r="BD158" s="403"/>
      <c r="BE158" s="403"/>
      <c r="BF158" s="403"/>
      <c r="BG158" s="403"/>
      <c r="BH158" s="403" t="s">
        <v>6708</v>
      </c>
      <c r="BI158" s="403"/>
      <c r="BJ158" s="403"/>
      <c r="BK158" s="403"/>
      <c r="BL158" s="403"/>
      <c r="BM158" s="403" t="s">
        <v>6709</v>
      </c>
      <c r="BN158" s="403"/>
      <c r="BO158" s="403"/>
      <c r="BP158" s="403"/>
      <c r="BQ158" s="403"/>
      <c r="BR158" s="403"/>
      <c r="BS158" s="403"/>
      <c r="BT158" s="403" t="s">
        <v>6710</v>
      </c>
      <c r="BU158" s="403"/>
      <c r="BV158" s="403"/>
      <c r="BW158" s="403"/>
      <c r="BX158" s="403"/>
      <c r="BY158" s="403" t="s">
        <v>6711</v>
      </c>
      <c r="BZ158" s="403"/>
      <c r="CA158" s="403"/>
      <c r="CB158" s="403"/>
      <c r="CC158" s="403"/>
      <c r="CD158" s="403"/>
      <c r="CE158" s="403"/>
      <c r="CF158" s="403" t="s">
        <v>6712</v>
      </c>
      <c r="CG158" s="403"/>
      <c r="CH158" s="403"/>
      <c r="CI158" s="403"/>
      <c r="CJ158" s="403"/>
      <c r="CK158" s="403" t="s">
        <v>6713</v>
      </c>
      <c r="CL158" s="403"/>
      <c r="CM158" s="403"/>
      <c r="CN158" s="403"/>
      <c r="CO158" s="403"/>
      <c r="CP158" s="403"/>
      <c r="CQ158" s="403"/>
      <c r="CR158" s="403" t="s">
        <v>6714</v>
      </c>
      <c r="CS158" s="564"/>
    </row>
    <row r="159" spans="1:109" s="241" customFormat="1" ht="12.75" x14ac:dyDescent="0.2">
      <c r="A159" s="567"/>
      <c r="C159" s="624"/>
      <c r="D159" s="98" t="str">
        <f t="shared" ca="1" si="89"/>
        <v>Additional population check #2</v>
      </c>
      <c r="E159" s="68"/>
      <c r="F159" s="68"/>
      <c r="G159" s="233" t="e">
        <f>'B1. Target Population'!J106</f>
        <v>#N/A</v>
      </c>
      <c r="H159" s="68"/>
      <c r="I159" s="141"/>
      <c r="J159" s="68"/>
      <c r="K159" s="12" t="str">
        <f ca="1">IF(OFFSET(X159,0,Lang_Order*Lang__A2)="","",OFFSET(X159,0,Lang_Order*Lang__A2))</f>
        <v>If any error here - please adjust the timing in B1.2 for residential institutions for high risk age groups - do not spread out the delivery thinly</v>
      </c>
      <c r="L159" s="567"/>
      <c r="M159" s="403"/>
      <c r="N159" s="403"/>
      <c r="O159" s="403"/>
      <c r="P159" s="403"/>
      <c r="Q159" s="403" t="s">
        <v>3034</v>
      </c>
      <c r="R159" s="403"/>
      <c r="S159" s="403"/>
      <c r="T159" s="403"/>
      <c r="U159" s="403"/>
      <c r="V159" s="403"/>
      <c r="W159" s="403"/>
      <c r="X159" s="403" t="s">
        <v>3028</v>
      </c>
      <c r="Y159" s="403"/>
      <c r="Z159" s="403"/>
      <c r="AA159" s="403"/>
      <c r="AB159" s="403"/>
      <c r="AC159" s="403" t="s">
        <v>6715</v>
      </c>
      <c r="AD159" s="403"/>
      <c r="AE159" s="403"/>
      <c r="AF159" s="403"/>
      <c r="AG159" s="403"/>
      <c r="AH159" s="403"/>
      <c r="AI159" s="403"/>
      <c r="AJ159" s="403" t="s">
        <v>6716</v>
      </c>
      <c r="AK159" s="403"/>
      <c r="AL159" s="403"/>
      <c r="AM159" s="403"/>
      <c r="AN159" s="403"/>
      <c r="AO159" s="403" t="s">
        <v>6717</v>
      </c>
      <c r="AP159" s="403"/>
      <c r="AQ159" s="403"/>
      <c r="AR159" s="403"/>
      <c r="AS159" s="403"/>
      <c r="AT159" s="403"/>
      <c r="AU159" s="403"/>
      <c r="AV159" s="403" t="s">
        <v>6718</v>
      </c>
      <c r="AW159" s="403"/>
      <c r="AX159" s="403"/>
      <c r="AY159" s="403"/>
      <c r="AZ159" s="403"/>
      <c r="BA159" s="403" t="s">
        <v>6719</v>
      </c>
      <c r="BB159" s="403"/>
      <c r="BC159" s="403"/>
      <c r="BD159" s="403"/>
      <c r="BE159" s="403"/>
      <c r="BF159" s="403"/>
      <c r="BG159" s="403"/>
      <c r="BH159" s="403" t="s">
        <v>6720</v>
      </c>
      <c r="BI159" s="403"/>
      <c r="BJ159" s="403"/>
      <c r="BK159" s="403"/>
      <c r="BL159" s="403"/>
      <c r="BM159" s="403" t="s">
        <v>6721</v>
      </c>
      <c r="BN159" s="403"/>
      <c r="BO159" s="403"/>
      <c r="BP159" s="403"/>
      <c r="BQ159" s="403"/>
      <c r="BR159" s="403"/>
      <c r="BS159" s="403"/>
      <c r="BT159" s="403" t="s">
        <v>6722</v>
      </c>
      <c r="BU159" s="403"/>
      <c r="BV159" s="403"/>
      <c r="BW159" s="403"/>
      <c r="BX159" s="403"/>
      <c r="BY159" s="403" t="s">
        <v>6723</v>
      </c>
      <c r="BZ159" s="403"/>
      <c r="CA159" s="403"/>
      <c r="CB159" s="403"/>
      <c r="CC159" s="403"/>
      <c r="CD159" s="403"/>
      <c r="CE159" s="403"/>
      <c r="CF159" s="403" t="s">
        <v>6724</v>
      </c>
      <c r="CG159" s="403"/>
      <c r="CH159" s="403"/>
      <c r="CI159" s="403"/>
      <c r="CJ159" s="403"/>
      <c r="CK159" s="403" t="s">
        <v>6725</v>
      </c>
      <c r="CL159" s="403"/>
      <c r="CM159" s="403"/>
      <c r="CN159" s="403"/>
      <c r="CO159" s="403"/>
      <c r="CP159" s="403"/>
      <c r="CQ159" s="403"/>
      <c r="CR159" s="403" t="s">
        <v>6726</v>
      </c>
      <c r="CS159" s="564"/>
    </row>
    <row r="160" spans="1:109" s="241" customFormat="1" ht="12.75" x14ac:dyDescent="0.2">
      <c r="A160" s="567"/>
      <c r="C160" s="624"/>
      <c r="D160" s="98" t="str">
        <f t="shared" ca="1" si="89"/>
        <v>Additional population check #3</v>
      </c>
      <c r="E160" s="68"/>
      <c r="F160" s="68"/>
      <c r="G160" s="233" t="e">
        <f>'B1. Target Population'!J107</f>
        <v>#N/A</v>
      </c>
      <c r="H160" s="68"/>
      <c r="I160" s="141"/>
      <c r="J160" s="68"/>
      <c r="K160" s="12" t="str">
        <f ca="1">IF(OFFSET(X160,0,Lang_Order*Lang__A2)="","",OFFSET(X160,0,Lang_Order*Lang__A2))</f>
        <v>If any error here - please adjust the timing in B1.2 for residential institutions for low risk age groups - do not spread out the delivery thinly</v>
      </c>
      <c r="L160" s="567"/>
      <c r="M160" s="403"/>
      <c r="N160" s="403"/>
      <c r="O160" s="403"/>
      <c r="P160" s="403"/>
      <c r="Q160" s="403" t="s">
        <v>3035</v>
      </c>
      <c r="R160" s="403"/>
      <c r="S160" s="403"/>
      <c r="T160" s="403"/>
      <c r="U160" s="403"/>
      <c r="V160" s="403"/>
      <c r="W160" s="403"/>
      <c r="X160" s="403" t="s">
        <v>3027</v>
      </c>
      <c r="Y160" s="403"/>
      <c r="Z160" s="403"/>
      <c r="AA160" s="403"/>
      <c r="AB160" s="403"/>
      <c r="AC160" s="403" t="s">
        <v>6727</v>
      </c>
      <c r="AD160" s="403"/>
      <c r="AE160" s="403"/>
      <c r="AF160" s="403"/>
      <c r="AG160" s="403"/>
      <c r="AH160" s="403"/>
      <c r="AI160" s="403"/>
      <c r="AJ160" s="403" t="s">
        <v>6728</v>
      </c>
      <c r="AK160" s="403"/>
      <c r="AL160" s="403"/>
      <c r="AM160" s="403"/>
      <c r="AN160" s="403"/>
      <c r="AO160" s="403" t="s">
        <v>6729</v>
      </c>
      <c r="AP160" s="403"/>
      <c r="AQ160" s="403"/>
      <c r="AR160" s="403"/>
      <c r="AS160" s="403"/>
      <c r="AT160" s="403"/>
      <c r="AU160" s="403"/>
      <c r="AV160" s="403" t="s">
        <v>6718</v>
      </c>
      <c r="AW160" s="403"/>
      <c r="AX160" s="403"/>
      <c r="AY160" s="403"/>
      <c r="AZ160" s="403"/>
      <c r="BA160" s="403" t="s">
        <v>6730</v>
      </c>
      <c r="BB160" s="403"/>
      <c r="BC160" s="403"/>
      <c r="BD160" s="403"/>
      <c r="BE160" s="403"/>
      <c r="BF160" s="403"/>
      <c r="BG160" s="403"/>
      <c r="BH160" s="403" t="s">
        <v>6731</v>
      </c>
      <c r="BI160" s="403"/>
      <c r="BJ160" s="403"/>
      <c r="BK160" s="403"/>
      <c r="BL160" s="403"/>
      <c r="BM160" s="403" t="s">
        <v>6732</v>
      </c>
      <c r="BN160" s="403"/>
      <c r="BO160" s="403"/>
      <c r="BP160" s="403"/>
      <c r="BQ160" s="403"/>
      <c r="BR160" s="403"/>
      <c r="BS160" s="403"/>
      <c r="BT160" s="403" t="s">
        <v>6733</v>
      </c>
      <c r="BU160" s="403"/>
      <c r="BV160" s="403"/>
      <c r="BW160" s="403"/>
      <c r="BX160" s="403"/>
      <c r="BY160" s="403" t="s">
        <v>6734</v>
      </c>
      <c r="BZ160" s="403"/>
      <c r="CA160" s="403"/>
      <c r="CB160" s="403"/>
      <c r="CC160" s="403"/>
      <c r="CD160" s="403"/>
      <c r="CE160" s="403"/>
      <c r="CF160" s="403" t="s">
        <v>6735</v>
      </c>
      <c r="CG160" s="403"/>
      <c r="CH160" s="403"/>
      <c r="CI160" s="403"/>
      <c r="CJ160" s="403"/>
      <c r="CK160" s="403" t="s">
        <v>6736</v>
      </c>
      <c r="CL160" s="403"/>
      <c r="CM160" s="403"/>
      <c r="CN160" s="403"/>
      <c r="CO160" s="403"/>
      <c r="CP160" s="403"/>
      <c r="CQ160" s="403"/>
      <c r="CR160" s="403" t="s">
        <v>6737</v>
      </c>
      <c r="CS160" s="564"/>
    </row>
    <row r="161" spans="1:97" s="241" customFormat="1" ht="12.75" x14ac:dyDescent="0.2">
      <c r="C161" s="624"/>
      <c r="D161" s="68"/>
      <c r="E161" s="68"/>
      <c r="F161" s="68"/>
      <c r="G161" s="68"/>
      <c r="H161" s="68"/>
      <c r="I161" s="141"/>
      <c r="J161" s="68"/>
      <c r="K161" s="68"/>
      <c r="L161" s="567"/>
      <c r="M161" s="403"/>
      <c r="N161" s="403"/>
      <c r="O161" s="403"/>
      <c r="P161" s="403"/>
      <c r="Q161" s="403"/>
      <c r="R161" s="403"/>
      <c r="S161" s="403"/>
      <c r="T161" s="403"/>
      <c r="U161" s="403"/>
      <c r="V161" s="403"/>
      <c r="W161" s="403"/>
      <c r="X161" s="403" t="s">
        <v>197</v>
      </c>
      <c r="Y161" s="403"/>
      <c r="Z161" s="403"/>
      <c r="AA161" s="403"/>
      <c r="AB161" s="403"/>
      <c r="AC161" s="403"/>
      <c r="AD161" s="403"/>
      <c r="AE161" s="403"/>
      <c r="AF161" s="403"/>
      <c r="AG161" s="403"/>
      <c r="AH161" s="403"/>
      <c r="AI161" s="403"/>
      <c r="AJ161" s="403"/>
      <c r="AK161" s="403"/>
      <c r="AL161" s="403"/>
      <c r="AM161" s="403"/>
      <c r="AN161" s="403"/>
      <c r="AO161" s="403"/>
      <c r="AP161" s="403"/>
      <c r="AQ161" s="403"/>
      <c r="AR161" s="403"/>
      <c r="AS161" s="403"/>
      <c r="AT161" s="403"/>
      <c r="AU161" s="403"/>
      <c r="AV161" s="403"/>
      <c r="AW161" s="403"/>
      <c r="AX161" s="403"/>
      <c r="AY161" s="403"/>
      <c r="AZ161" s="403"/>
      <c r="BA161" s="403"/>
      <c r="BB161" s="403"/>
      <c r="BC161" s="403"/>
      <c r="BD161" s="403"/>
      <c r="BE161" s="403"/>
      <c r="BF161" s="403"/>
      <c r="BG161" s="403"/>
      <c r="BH161" s="403"/>
      <c r="BI161" s="403"/>
      <c r="BJ161" s="403"/>
      <c r="BK161" s="403"/>
      <c r="BL161" s="403"/>
      <c r="BM161" s="403"/>
      <c r="BN161" s="403"/>
      <c r="BO161" s="403"/>
      <c r="BP161" s="403"/>
      <c r="BQ161" s="403"/>
      <c r="BR161" s="403"/>
      <c r="BS161" s="403"/>
      <c r="BT161" s="403"/>
      <c r="BU161" s="403"/>
      <c r="BV161" s="403"/>
      <c r="BW161" s="403"/>
      <c r="BX161" s="403"/>
      <c r="BY161" s="403"/>
      <c r="BZ161" s="403"/>
      <c r="CA161" s="403"/>
      <c r="CB161" s="403"/>
      <c r="CC161" s="403"/>
      <c r="CD161" s="403"/>
      <c r="CE161" s="403"/>
      <c r="CF161" s="403"/>
      <c r="CG161" s="403"/>
      <c r="CH161" s="403"/>
      <c r="CI161" s="403"/>
      <c r="CJ161" s="403"/>
      <c r="CK161" s="403"/>
      <c r="CL161" s="403"/>
      <c r="CM161" s="403"/>
      <c r="CN161" s="403"/>
      <c r="CO161" s="403"/>
      <c r="CP161" s="403"/>
      <c r="CQ161" s="403"/>
      <c r="CR161" s="403"/>
      <c r="CS161" s="564"/>
    </row>
    <row r="162" spans="1:97" s="194" customFormat="1" ht="17.25" x14ac:dyDescent="0.3">
      <c r="B162" s="17" t="str">
        <f t="shared" ref="B162" ca="1" si="90">IF(OFFSET(O162,0,Lang_Order*Lang__A2)="","",OFFSET(O162,0,Lang_Order*Lang__A2))</f>
        <v>A2.3 Delivery Parameters</v>
      </c>
      <c r="C162" s="623"/>
      <c r="D162" s="351"/>
      <c r="E162" s="326" t="str">
        <f t="shared" ref="E162" ca="1" si="91">IF(OFFSET(R162,0,Lang_Order*Lang__A2)="","",OFFSET(R162,0,Lang_Order*Lang__A2))</f>
        <v>INPUTS</v>
      </c>
      <c r="F162" s="326" t="str">
        <f t="shared" ref="F162" ca="1" si="92">IF(OFFSET(S162,0,Lang_Order*Lang__A2)="","",OFFSET(S162,0,Lang_Order*Lang__A2))</f>
        <v>Suggestion</v>
      </c>
      <c r="G162" s="326" t="str">
        <f t="shared" ref="G162" ca="1" si="93">IF(OFFSET(T162,0,Lang_Order*Lang__A2)="","",OFFSET(T162,0,Lang_Order*Lang__A2))</f>
        <v/>
      </c>
      <c r="H162" s="326" t="str">
        <f t="shared" ref="H162" ca="1" si="94">IF(OFFSET(U162,0,Lang_Order*Lang__A2)="","",OFFSET(U162,0,Lang_Order*Lang__A2))</f>
        <v>Derived</v>
      </c>
      <c r="I162" s="326" t="str">
        <f t="shared" ref="I162:I168" ca="1" si="95">IF(OFFSET(V162,0,Lang_Order*Lang__A2)="","",OFFSET(V162,0,Lang_Order*Lang__A2))</f>
        <v>Unit / Comment</v>
      </c>
      <c r="J162" s="326"/>
      <c r="K162" s="326" t="str">
        <f t="shared" ref="K162" ca="1" si="96">IF(OFFSET(X162,0,Lang_Order*Lang__A2)="","",OFFSET(X162,0,Lang_Order*Lang__A2))</f>
        <v>Comments</v>
      </c>
      <c r="L162" s="326" t="str">
        <f t="shared" ref="L162" ca="1" si="97">IF(OFFSET(Y162,0,Lang_Order*Lang__A2)="","",OFFSET(Y162,0,Lang_Order*Lang__A2))</f>
        <v>User Notes</v>
      </c>
      <c r="M162" s="403"/>
      <c r="N162" s="403"/>
      <c r="O162" s="403" t="s">
        <v>3821</v>
      </c>
      <c r="P162" s="403"/>
      <c r="Q162" s="403"/>
      <c r="R162" s="403" t="s">
        <v>3744</v>
      </c>
      <c r="S162" s="403" t="s">
        <v>1638</v>
      </c>
      <c r="T162" s="403"/>
      <c r="U162" s="403" t="s">
        <v>17</v>
      </c>
      <c r="V162" s="403" t="s">
        <v>2870</v>
      </c>
      <c r="W162" s="403"/>
      <c r="X162" s="403" t="s">
        <v>13980</v>
      </c>
      <c r="Y162" s="403" t="s">
        <v>13981</v>
      </c>
      <c r="Z162" s="403"/>
      <c r="AA162" s="403" t="s">
        <v>6738</v>
      </c>
      <c r="AB162" s="403"/>
      <c r="AC162" s="403"/>
      <c r="AD162" s="403" t="s">
        <v>5848</v>
      </c>
      <c r="AE162" s="403" t="s">
        <v>1638</v>
      </c>
      <c r="AF162" s="403"/>
      <c r="AG162" s="403" t="s">
        <v>5849</v>
      </c>
      <c r="AH162" s="403" t="s">
        <v>5850</v>
      </c>
      <c r="AI162" s="403"/>
      <c r="AJ162" s="403" t="s">
        <v>14071</v>
      </c>
      <c r="AK162" s="403" t="s">
        <v>14076</v>
      </c>
      <c r="AL162" s="403"/>
      <c r="AM162" s="403" t="s">
        <v>6739</v>
      </c>
      <c r="AN162" s="403"/>
      <c r="AO162" s="403"/>
      <c r="AP162" s="403" t="s">
        <v>5852</v>
      </c>
      <c r="AQ162" s="403" t="s">
        <v>5853</v>
      </c>
      <c r="AR162" s="403"/>
      <c r="AS162" s="403" t="s">
        <v>6034</v>
      </c>
      <c r="AT162" s="403" t="s">
        <v>6740</v>
      </c>
      <c r="AU162" s="403"/>
      <c r="AV162" s="403" t="s">
        <v>14072</v>
      </c>
      <c r="AW162" s="403" t="s">
        <v>14077</v>
      </c>
      <c r="AX162" s="403"/>
      <c r="AY162" s="403" t="s">
        <v>6741</v>
      </c>
      <c r="AZ162" s="403"/>
      <c r="BA162" s="403"/>
      <c r="BB162" s="403" t="s">
        <v>5857</v>
      </c>
      <c r="BC162" s="403" t="s">
        <v>5858</v>
      </c>
      <c r="BD162" s="403"/>
      <c r="BE162" s="403" t="s">
        <v>5859</v>
      </c>
      <c r="BF162" s="403" t="s">
        <v>5860</v>
      </c>
      <c r="BG162" s="403"/>
      <c r="BH162" s="403" t="s">
        <v>14073</v>
      </c>
      <c r="BI162" s="403" t="s">
        <v>14078</v>
      </c>
      <c r="BJ162" s="403"/>
      <c r="BK162" s="403" t="s">
        <v>6742</v>
      </c>
      <c r="BL162" s="403"/>
      <c r="BM162" s="403"/>
      <c r="BN162" s="403" t="s">
        <v>5862</v>
      </c>
      <c r="BO162" s="403" t="s">
        <v>5863</v>
      </c>
      <c r="BP162" s="403"/>
      <c r="BQ162" s="403" t="s">
        <v>5864</v>
      </c>
      <c r="BR162" s="403" t="s">
        <v>5865</v>
      </c>
      <c r="BS162" s="403"/>
      <c r="BT162" s="403" t="s">
        <v>14074</v>
      </c>
      <c r="BU162" s="403" t="s">
        <v>14079</v>
      </c>
      <c r="BV162" s="403"/>
      <c r="BW162" s="403" t="s">
        <v>6743</v>
      </c>
      <c r="BX162" s="403"/>
      <c r="BY162" s="403"/>
      <c r="BZ162" s="403" t="s">
        <v>5867</v>
      </c>
      <c r="CA162" s="403" t="s">
        <v>5868</v>
      </c>
      <c r="CB162" s="403"/>
      <c r="CC162" s="403" t="s">
        <v>6040</v>
      </c>
      <c r="CD162" s="403" t="s">
        <v>6041</v>
      </c>
      <c r="CE162" s="403"/>
      <c r="CF162" s="403" t="s">
        <v>14075</v>
      </c>
      <c r="CG162" s="403" t="s">
        <v>14080</v>
      </c>
      <c r="CH162" s="403"/>
      <c r="CI162" s="403" t="s">
        <v>6744</v>
      </c>
      <c r="CJ162" s="403"/>
      <c r="CK162" s="403"/>
      <c r="CL162" s="403" t="s">
        <v>5873</v>
      </c>
      <c r="CM162" s="403" t="s">
        <v>5874</v>
      </c>
      <c r="CN162" s="403"/>
      <c r="CO162" s="403" t="s">
        <v>5875</v>
      </c>
      <c r="CP162" s="403" t="s">
        <v>5876</v>
      </c>
      <c r="CQ162" s="403"/>
      <c r="CR162" s="403" t="s">
        <v>5455</v>
      </c>
      <c r="CS162" s="564" t="s">
        <v>14081</v>
      </c>
    </row>
    <row r="163" spans="1:97" ht="12.75" x14ac:dyDescent="0.2">
      <c r="B163" s="9"/>
      <c r="C163" s="624" t="str">
        <f t="shared" ref="C163" ca="1" si="98">IF(OFFSET(P163,0,Lang_Order*Lang__A2)="","",OFFSET(P163,0,Lang_Order*Lang__A2))</f>
        <v>Geographic Context (Informational Only)</v>
      </c>
      <c r="D163" s="23"/>
      <c r="E163" s="15"/>
      <c r="G163" s="15"/>
      <c r="H163" s="15"/>
      <c r="I163" s="15"/>
      <c r="J163" s="15"/>
      <c r="K163" s="15"/>
      <c r="L163" s="567"/>
      <c r="P163" s="403" t="s">
        <v>3808</v>
      </c>
      <c r="X163" s="403" t="s">
        <v>197</v>
      </c>
      <c r="AB163" s="403" t="s">
        <v>6745</v>
      </c>
      <c r="AN163" s="403" t="s">
        <v>6746</v>
      </c>
      <c r="AZ163" s="403" t="s">
        <v>6747</v>
      </c>
      <c r="BL163" s="403" t="s">
        <v>6748</v>
      </c>
      <c r="BX163" s="403" t="s">
        <v>6749</v>
      </c>
      <c r="CJ163" s="403" t="s">
        <v>6750</v>
      </c>
    </row>
    <row r="164" spans="1:97" ht="12.75" x14ac:dyDescent="0.2">
      <c r="A164" s="349">
        <v>1</v>
      </c>
      <c r="B164" s="9"/>
      <c r="D164" s="107" t="str">
        <f t="shared" ref="C164:D170" ca="1" si="99">IF(OFFSET(Q164,0,Lang_Order*Lang__A2)="","",OFFSET(Q164,0,Lang_Order*Lang__A2))</f>
        <v>Surface area</v>
      </c>
      <c r="E164" s="407"/>
      <c r="F164" s="667"/>
      <c r="G164" s="4" t="str">
        <f>IF(ISBLANK(E164),Lang_CHECK,"OK")</f>
        <v>CHECK</v>
      </c>
      <c r="H164" s="386">
        <f>E164</f>
        <v>0</v>
      </c>
      <c r="I164" s="2" t="str">
        <f t="shared" ca="1" si="95"/>
        <v>Sq km</v>
      </c>
      <c r="J164" s="3">
        <v>2</v>
      </c>
      <c r="K164" s="143" t="str">
        <f ca="1">IF(OFFSET(X164,0,Lang_Order*Lang__A2)="","",OFFSET(X164,0,Lang_Order*Lang__A2))</f>
        <v>Source: WDI</v>
      </c>
      <c r="L164" s="587"/>
      <c r="Q164" s="403" t="s">
        <v>2626</v>
      </c>
      <c r="V164" s="403" t="s">
        <v>2627</v>
      </c>
      <c r="X164" s="403" t="s">
        <v>2874</v>
      </c>
      <c r="AC164" s="403" t="s">
        <v>6751</v>
      </c>
      <c r="AH164" s="403" t="s">
        <v>6752</v>
      </c>
      <c r="AJ164" s="403" t="s">
        <v>2874</v>
      </c>
      <c r="AO164" s="403" t="s">
        <v>6753</v>
      </c>
      <c r="AT164" s="403" t="s">
        <v>6754</v>
      </c>
      <c r="AV164" s="403" t="s">
        <v>6559</v>
      </c>
      <c r="BA164" s="403" t="s">
        <v>6755</v>
      </c>
      <c r="BF164" s="403" t="s">
        <v>6752</v>
      </c>
      <c r="BH164" s="403" t="s">
        <v>6561</v>
      </c>
      <c r="BM164" s="403" t="s">
        <v>6756</v>
      </c>
      <c r="BR164" s="403" t="s">
        <v>6752</v>
      </c>
      <c r="BT164" s="403" t="s">
        <v>6563</v>
      </c>
      <c r="BY164" s="403" t="s">
        <v>6757</v>
      </c>
      <c r="CD164" s="403" t="s">
        <v>6758</v>
      </c>
      <c r="CF164" s="403" t="s">
        <v>6759</v>
      </c>
      <c r="CK164" s="403" t="s">
        <v>6760</v>
      </c>
      <c r="CP164" s="403" t="s">
        <v>6761</v>
      </c>
      <c r="CR164" s="403" t="s">
        <v>6566</v>
      </c>
    </row>
    <row r="165" spans="1:97" ht="12.75" hidden="1" x14ac:dyDescent="0.2">
      <c r="B165" s="9"/>
      <c r="D165" s="64" t="str">
        <f t="shared" ca="1" si="99"/>
        <v>Pacific island small state?</v>
      </c>
      <c r="E165" s="34" t="e">
        <f>IF(H165=1,Lang_Yes,"")</f>
        <v>#N/A</v>
      </c>
      <c r="F165" s="81" t="e">
        <f>IF(H165=1,Lang_ConsiderUniversal,"")</f>
        <v>#N/A</v>
      </c>
      <c r="G165" s="299"/>
      <c r="H165" s="208" t="e">
        <f>VLOOKUP(Country_Code,WB_WHO[],J165,FALSE)</f>
        <v>#N/A</v>
      </c>
      <c r="I165" s="2" t="str">
        <f t="shared" ca="1" si="95"/>
        <v>1 = Yes | 0 = No</v>
      </c>
      <c r="J165" s="3">
        <v>7</v>
      </c>
      <c r="K165" s="143" t="str">
        <f ca="1">IF(OFFSET(X165,0,Lang_Order*Lang__A2)="","",OFFSET(X165,0,Lang_Order*Lang__A2))</f>
        <v>IF PIC, consider a universal immunization strategy</v>
      </c>
      <c r="L165" s="567"/>
      <c r="Q165" s="403" t="s">
        <v>1546</v>
      </c>
      <c r="R165" s="403" t="s">
        <v>197</v>
      </c>
      <c r="S165" s="403" t="s">
        <v>197</v>
      </c>
      <c r="V165" s="403" t="s">
        <v>2670</v>
      </c>
      <c r="X165" s="403" t="s">
        <v>2889</v>
      </c>
      <c r="AC165" s="403" t="s">
        <v>6762</v>
      </c>
      <c r="AH165" s="403" t="s">
        <v>6763</v>
      </c>
      <c r="AJ165" s="403" t="s">
        <v>6764</v>
      </c>
      <c r="AO165" s="403" t="s">
        <v>6765</v>
      </c>
      <c r="AT165" s="403" t="s">
        <v>6766</v>
      </c>
      <c r="AV165" s="403" t="s">
        <v>6767</v>
      </c>
      <c r="BA165" s="403" t="s">
        <v>6768</v>
      </c>
      <c r="BF165" s="403" t="s">
        <v>6769</v>
      </c>
      <c r="BH165" s="403" t="s">
        <v>6770</v>
      </c>
      <c r="BM165" s="403" t="s">
        <v>6771</v>
      </c>
      <c r="BR165" s="403" t="s">
        <v>6772</v>
      </c>
      <c r="BT165" s="403" t="s">
        <v>6773</v>
      </c>
      <c r="BY165" s="403" t="s">
        <v>6774</v>
      </c>
      <c r="CD165" s="403" t="s">
        <v>6775</v>
      </c>
      <c r="CF165" s="403" t="s">
        <v>6776</v>
      </c>
      <c r="CK165" s="403" t="s">
        <v>6777</v>
      </c>
      <c r="CP165" s="403" t="s">
        <v>6778</v>
      </c>
      <c r="CR165" s="403" t="s">
        <v>6779</v>
      </c>
    </row>
    <row r="166" spans="1:97" s="15" customFormat="1" ht="12.75" hidden="1" x14ac:dyDescent="0.2">
      <c r="A166" s="9"/>
      <c r="B166" s="9"/>
      <c r="C166" s="622"/>
      <c r="D166" s="107" t="str">
        <f t="shared" ca="1" si="99"/>
        <v>Urban population</v>
      </c>
      <c r="E166" s="34"/>
      <c r="F166" s="9"/>
      <c r="H166" s="387" t="e">
        <f>VLOOKUP(Country_Code,SP.URB.TOTL.IN.ZS[],J166,FALSE)/100</f>
        <v>#N/A</v>
      </c>
      <c r="I166" s="2" t="str">
        <f t="shared" ca="1" si="95"/>
        <v>Percent of total population</v>
      </c>
      <c r="J166" s="3">
        <v>2</v>
      </c>
      <c r="K166" s="143" t="str">
        <f ca="1">IF(OFFSET(X166,0,Lang_Order*Lang__A2)="","",OFFSET(X166,0,Lang_Order*Lang__A2))</f>
        <v>Source: WDI SP.URB.TOTL.IN.ZS</v>
      </c>
      <c r="L166" s="567"/>
      <c r="M166" s="403"/>
      <c r="N166" s="403"/>
      <c r="O166" s="403"/>
      <c r="P166" s="403"/>
      <c r="Q166" s="403" t="s">
        <v>2628</v>
      </c>
      <c r="R166" s="403"/>
      <c r="S166" s="403"/>
      <c r="T166" s="403"/>
      <c r="U166" s="403"/>
      <c r="V166" s="403" t="s">
        <v>1569</v>
      </c>
      <c r="W166" s="403"/>
      <c r="X166" s="403" t="s">
        <v>2872</v>
      </c>
      <c r="Y166" s="403"/>
      <c r="Z166" s="403"/>
      <c r="AA166" s="403"/>
      <c r="AB166" s="403"/>
      <c r="AC166" s="403" t="s">
        <v>6780</v>
      </c>
      <c r="AD166" s="403"/>
      <c r="AE166" s="403"/>
      <c r="AF166" s="403"/>
      <c r="AG166" s="403"/>
      <c r="AH166" s="403" t="s">
        <v>6137</v>
      </c>
      <c r="AI166" s="403"/>
      <c r="AJ166" s="403" t="s">
        <v>2872</v>
      </c>
      <c r="AK166" s="403"/>
      <c r="AL166" s="403"/>
      <c r="AM166" s="403"/>
      <c r="AN166" s="403"/>
      <c r="AO166" s="403" t="s">
        <v>6781</v>
      </c>
      <c r="AP166" s="403"/>
      <c r="AQ166" s="403"/>
      <c r="AR166" s="403"/>
      <c r="AS166" s="403"/>
      <c r="AT166" s="403" t="s">
        <v>6782</v>
      </c>
      <c r="AU166" s="403"/>
      <c r="AV166" s="403" t="s">
        <v>6783</v>
      </c>
      <c r="AW166" s="403"/>
      <c r="AX166" s="403"/>
      <c r="AY166" s="403"/>
      <c r="AZ166" s="403"/>
      <c r="BA166" s="403" t="s">
        <v>6784</v>
      </c>
      <c r="BB166" s="403"/>
      <c r="BC166" s="403"/>
      <c r="BD166" s="403"/>
      <c r="BE166" s="403"/>
      <c r="BF166" s="403" t="s">
        <v>6143</v>
      </c>
      <c r="BG166" s="403"/>
      <c r="BH166" s="403" t="s">
        <v>6785</v>
      </c>
      <c r="BI166" s="403"/>
      <c r="BJ166" s="403"/>
      <c r="BK166" s="403"/>
      <c r="BL166" s="403"/>
      <c r="BM166" s="403" t="s">
        <v>6786</v>
      </c>
      <c r="BN166" s="403"/>
      <c r="BO166" s="403"/>
      <c r="BP166" s="403"/>
      <c r="BQ166" s="403"/>
      <c r="BR166" s="403" t="s">
        <v>6787</v>
      </c>
      <c r="BS166" s="403"/>
      <c r="BT166" s="403" t="s">
        <v>6788</v>
      </c>
      <c r="BU166" s="403"/>
      <c r="BV166" s="403"/>
      <c r="BW166" s="403"/>
      <c r="BX166" s="403"/>
      <c r="BY166" s="403" t="s">
        <v>6789</v>
      </c>
      <c r="BZ166" s="403"/>
      <c r="CA166" s="403"/>
      <c r="CB166" s="403"/>
      <c r="CC166" s="403"/>
      <c r="CD166" s="403" t="s">
        <v>6790</v>
      </c>
      <c r="CE166" s="403"/>
      <c r="CF166" s="403" t="s">
        <v>6791</v>
      </c>
      <c r="CG166" s="403"/>
      <c r="CH166" s="403"/>
      <c r="CI166" s="403"/>
      <c r="CJ166" s="403"/>
      <c r="CK166" s="403" t="s">
        <v>6792</v>
      </c>
      <c r="CL166" s="403"/>
      <c r="CM166" s="403"/>
      <c r="CN166" s="403"/>
      <c r="CO166" s="403"/>
      <c r="CP166" s="403" t="s">
        <v>6152</v>
      </c>
      <c r="CQ166" s="403"/>
      <c r="CR166" s="403" t="s">
        <v>6793</v>
      </c>
      <c r="CS166" s="564"/>
    </row>
    <row r="167" spans="1:97" s="15" customFormat="1" ht="12.75" hidden="1" x14ac:dyDescent="0.2">
      <c r="A167" s="9"/>
      <c r="B167" s="9"/>
      <c r="C167" s="622"/>
      <c r="D167" s="107" t="str">
        <f t="shared" ca="1" si="99"/>
        <v>Population in the largest city</v>
      </c>
      <c r="E167" s="34"/>
      <c r="F167" s="9"/>
      <c r="H167" s="387" t="e">
        <f>VLOOKUP(Country_Code,EN.URB.LCTY.UR.ZS[],J167,FALSE)/100</f>
        <v>#N/A</v>
      </c>
      <c r="I167" s="2" t="str">
        <f t="shared" ca="1" si="95"/>
        <v>Percent of urban population</v>
      </c>
      <c r="J167" s="3">
        <v>2</v>
      </c>
      <c r="K167" s="143" t="str">
        <f ca="1">IF(OFFSET(X167,0,Lang_Order*Lang__A2)="","",OFFSET(X167,0,Lang_Order*Lang__A2))</f>
        <v xml:space="preserve">Source: WDI </v>
      </c>
      <c r="L167" s="567"/>
      <c r="M167" s="403"/>
      <c r="N167" s="403"/>
      <c r="O167" s="403"/>
      <c r="P167" s="403"/>
      <c r="Q167" s="403" t="s">
        <v>2649</v>
      </c>
      <c r="R167" s="403"/>
      <c r="S167" s="403"/>
      <c r="T167" s="403"/>
      <c r="U167" s="403"/>
      <c r="V167" s="403" t="s">
        <v>2650</v>
      </c>
      <c r="W167" s="403"/>
      <c r="X167" s="403" t="s">
        <v>2873</v>
      </c>
      <c r="Y167" s="403"/>
      <c r="Z167" s="403"/>
      <c r="AA167" s="403"/>
      <c r="AB167" s="403"/>
      <c r="AC167" s="403" t="s">
        <v>6794</v>
      </c>
      <c r="AD167" s="403"/>
      <c r="AE167" s="403"/>
      <c r="AF167" s="403"/>
      <c r="AG167" s="403"/>
      <c r="AH167" s="403" t="s">
        <v>6795</v>
      </c>
      <c r="AI167" s="403"/>
      <c r="AJ167" s="403" t="s">
        <v>2873</v>
      </c>
      <c r="AK167" s="403"/>
      <c r="AL167" s="403"/>
      <c r="AM167" s="403"/>
      <c r="AN167" s="403"/>
      <c r="AO167" s="403" t="s">
        <v>6796</v>
      </c>
      <c r="AP167" s="403"/>
      <c r="AQ167" s="403"/>
      <c r="AR167" s="403"/>
      <c r="AS167" s="403"/>
      <c r="AT167" s="403" t="s">
        <v>6797</v>
      </c>
      <c r="AU167" s="403"/>
      <c r="AV167" s="403" t="s">
        <v>6798</v>
      </c>
      <c r="AW167" s="403"/>
      <c r="AX167" s="403"/>
      <c r="AY167" s="403"/>
      <c r="AZ167" s="403"/>
      <c r="BA167" s="403" t="s">
        <v>6799</v>
      </c>
      <c r="BB167" s="403"/>
      <c r="BC167" s="403"/>
      <c r="BD167" s="403"/>
      <c r="BE167" s="403"/>
      <c r="BF167" s="403" t="s">
        <v>6800</v>
      </c>
      <c r="BG167" s="403"/>
      <c r="BH167" s="403" t="s">
        <v>6801</v>
      </c>
      <c r="BI167" s="403"/>
      <c r="BJ167" s="403"/>
      <c r="BK167" s="403"/>
      <c r="BL167" s="403"/>
      <c r="BM167" s="403" t="s">
        <v>6802</v>
      </c>
      <c r="BN167" s="403"/>
      <c r="BO167" s="403"/>
      <c r="BP167" s="403"/>
      <c r="BQ167" s="403"/>
      <c r="BR167" s="403" t="s">
        <v>6803</v>
      </c>
      <c r="BS167" s="403"/>
      <c r="BT167" s="403" t="s">
        <v>6804</v>
      </c>
      <c r="BU167" s="403"/>
      <c r="BV167" s="403"/>
      <c r="BW167" s="403"/>
      <c r="BX167" s="403"/>
      <c r="BY167" s="403" t="s">
        <v>6805</v>
      </c>
      <c r="BZ167" s="403"/>
      <c r="CA167" s="403"/>
      <c r="CB167" s="403"/>
      <c r="CC167" s="403"/>
      <c r="CD167" s="403" t="s">
        <v>6806</v>
      </c>
      <c r="CE167" s="403"/>
      <c r="CF167" s="403" t="s">
        <v>6759</v>
      </c>
      <c r="CG167" s="403"/>
      <c r="CH167" s="403"/>
      <c r="CI167" s="403"/>
      <c r="CJ167" s="403"/>
      <c r="CK167" s="403" t="s">
        <v>6807</v>
      </c>
      <c r="CL167" s="403"/>
      <c r="CM167" s="403"/>
      <c r="CN167" s="403"/>
      <c r="CO167" s="403"/>
      <c r="CP167" s="403" t="s">
        <v>6808</v>
      </c>
      <c r="CQ167" s="403"/>
      <c r="CR167" s="403" t="s">
        <v>6809</v>
      </c>
      <c r="CS167" s="564"/>
    </row>
    <row r="168" spans="1:97" ht="12.75" hidden="1" x14ac:dyDescent="0.2">
      <c r="B168" s="9"/>
      <c r="D168" s="64" t="str">
        <f t="shared" ca="1" si="99"/>
        <v>Fragile and conflict affected situation?</v>
      </c>
      <c r="E168" s="34" t="e">
        <f>IF(H168=1,Lang_Yes,"")</f>
        <v>#N/A</v>
      </c>
      <c r="F168" s="81" t="e">
        <f>IF(H168=1,Lang_ConsiderSecurity,"")</f>
        <v>#N/A</v>
      </c>
      <c r="G168" s="299"/>
      <c r="H168" s="208" t="e">
        <f>VLOOKUP(Country_Code,WB_WHO[],J168,FALSE)</f>
        <v>#N/A</v>
      </c>
      <c r="I168" s="2" t="str">
        <f t="shared" ca="1" si="95"/>
        <v>1 = Yes | 0 = No</v>
      </c>
      <c r="J168" s="3">
        <v>8</v>
      </c>
      <c r="K168" s="143" t="str">
        <f ca="1">IF(OFFSET(X168,0,Lang_Order*Lang__A2)="","",OFFSET(X168,0,Lang_Order*Lang__A2))</f>
        <v>Security costs will be activated by default. Can be overriden in Sheet A3.</v>
      </c>
      <c r="L168" s="567"/>
      <c r="Q168" s="403" t="s">
        <v>1547</v>
      </c>
      <c r="S168" s="403" t="s">
        <v>4104</v>
      </c>
      <c r="V168" s="403" t="s">
        <v>2670</v>
      </c>
      <c r="X168" s="403" t="s">
        <v>3820</v>
      </c>
      <c r="AC168" s="403" t="s">
        <v>6810</v>
      </c>
      <c r="AE168" s="403" t="s">
        <v>6811</v>
      </c>
      <c r="AH168" s="403" t="s">
        <v>6763</v>
      </c>
      <c r="AJ168" s="403" t="s">
        <v>6812</v>
      </c>
      <c r="AO168" s="403" t="s">
        <v>6813</v>
      </c>
      <c r="AQ168" s="403" t="s">
        <v>6814</v>
      </c>
      <c r="AT168" s="403" t="s">
        <v>6766</v>
      </c>
      <c r="AV168" s="403" t="s">
        <v>6815</v>
      </c>
      <c r="BA168" s="403" t="s">
        <v>6816</v>
      </c>
      <c r="BC168" s="403" t="s">
        <v>6817</v>
      </c>
      <c r="BF168" s="403" t="s">
        <v>6818</v>
      </c>
      <c r="BH168" s="403" t="s">
        <v>6819</v>
      </c>
      <c r="BM168" s="403" t="s">
        <v>6820</v>
      </c>
      <c r="BO168" s="403" t="s">
        <v>5278</v>
      </c>
      <c r="BR168" s="403" t="s">
        <v>6772</v>
      </c>
      <c r="BT168" s="403" t="s">
        <v>6821</v>
      </c>
      <c r="BY168" s="403" t="s">
        <v>6822</v>
      </c>
      <c r="CA168" s="403" t="s">
        <v>6823</v>
      </c>
      <c r="CD168" s="403" t="s">
        <v>6775</v>
      </c>
      <c r="CF168" s="403" t="s">
        <v>6824</v>
      </c>
      <c r="CK168" s="403" t="s">
        <v>6825</v>
      </c>
      <c r="CM168" s="403" t="s">
        <v>5213</v>
      </c>
      <c r="CP168" s="403" t="s">
        <v>6826</v>
      </c>
      <c r="CR168" s="403" t="s">
        <v>6827</v>
      </c>
    </row>
    <row r="169" spans="1:97" s="299" customFormat="1" ht="66.75" customHeight="1" x14ac:dyDescent="0.2">
      <c r="C169" s="622"/>
      <c r="D169" s="679" t="str">
        <f t="shared" ca="1" si="99"/>
        <v>Instructions: Please specify the core HRH cadres who may be considered as POTENTIAL supply of vaccinators. Please note that the model separately estimates vaccinators required and this section is to allow the required vaccinator workforce to be contextualized against the POTENTIAL supply of vaccinators. Additional user defined HRH cadres can be specified. OR a grand total may be specified instead to override the sum total of the individual carders. If this section is left blank, data from the latest estimates of National Health Workforce Accounts will be used.
Note: This version of the model estimates needs for a single cadre of vaccinators. Supervisors and others are not included in this version.</v>
      </c>
      <c r="E169" s="679"/>
      <c r="F169" s="679"/>
      <c r="G169" s="679"/>
      <c r="H169" s="679"/>
      <c r="I169" s="679"/>
      <c r="J169" s="68"/>
      <c r="K169" s="567"/>
      <c r="L169" s="567"/>
      <c r="M169" s="403"/>
      <c r="N169" s="403"/>
      <c r="O169" s="403"/>
      <c r="P169" s="403"/>
      <c r="Q169" s="403" t="s">
        <v>4089</v>
      </c>
      <c r="R169" s="403"/>
      <c r="S169" s="403"/>
      <c r="T169" s="403"/>
      <c r="U169" s="403"/>
      <c r="V169" s="403"/>
      <c r="W169" s="403"/>
      <c r="X169" s="403" t="s">
        <v>197</v>
      </c>
      <c r="Y169" s="403"/>
      <c r="Z169" s="403"/>
      <c r="AA169" s="403"/>
      <c r="AB169" s="403"/>
      <c r="AC169" s="403" t="s">
        <v>6828</v>
      </c>
      <c r="AD169" s="403"/>
      <c r="AE169" s="403"/>
      <c r="AF169" s="403"/>
      <c r="AG169" s="403"/>
      <c r="AH169" s="403"/>
      <c r="AI169" s="403"/>
      <c r="AJ169" s="403"/>
      <c r="AK169" s="403"/>
      <c r="AL169" s="403"/>
      <c r="AM169" s="403"/>
      <c r="AN169" s="403"/>
      <c r="AO169" s="403" t="s">
        <v>6829</v>
      </c>
      <c r="AP169" s="403"/>
      <c r="AQ169" s="403"/>
      <c r="AR169" s="403"/>
      <c r="AS169" s="403"/>
      <c r="AT169" s="403"/>
      <c r="AU169" s="403"/>
      <c r="AV169" s="403"/>
      <c r="AW169" s="403"/>
      <c r="AX169" s="403"/>
      <c r="AY169" s="403"/>
      <c r="AZ169" s="403"/>
      <c r="BA169" s="403" t="s">
        <v>6830</v>
      </c>
      <c r="BB169" s="403"/>
      <c r="BC169" s="403"/>
      <c r="BD169" s="403"/>
      <c r="BE169" s="403"/>
      <c r="BF169" s="403"/>
      <c r="BG169" s="403"/>
      <c r="BH169" s="403"/>
      <c r="BI169" s="403"/>
      <c r="BJ169" s="403"/>
      <c r="BK169" s="403"/>
      <c r="BL169" s="403"/>
      <c r="BM169" s="403" t="s">
        <v>6831</v>
      </c>
      <c r="BN169" s="403"/>
      <c r="BO169" s="403"/>
      <c r="BP169" s="403"/>
      <c r="BQ169" s="403"/>
      <c r="BR169" s="403"/>
      <c r="BS169" s="403"/>
      <c r="BT169" s="403"/>
      <c r="BU169" s="403"/>
      <c r="BV169" s="403"/>
      <c r="BW169" s="403"/>
      <c r="BX169" s="403"/>
      <c r="BY169" s="403" t="s">
        <v>6832</v>
      </c>
      <c r="BZ169" s="403"/>
      <c r="CA169" s="403"/>
      <c r="CB169" s="403"/>
      <c r="CC169" s="403"/>
      <c r="CD169" s="403"/>
      <c r="CE169" s="403"/>
      <c r="CF169" s="403"/>
      <c r="CG169" s="403"/>
      <c r="CH169" s="403"/>
      <c r="CI169" s="403"/>
      <c r="CJ169" s="403"/>
      <c r="CK169" s="403" t="s">
        <v>6833</v>
      </c>
      <c r="CL169" s="403"/>
      <c r="CM169" s="403"/>
      <c r="CN169" s="403"/>
      <c r="CO169" s="403"/>
      <c r="CP169" s="403"/>
      <c r="CQ169" s="403"/>
      <c r="CR169" s="403"/>
      <c r="CS169" s="564"/>
    </row>
    <row r="170" spans="1:97" ht="12.75" x14ac:dyDescent="0.2">
      <c r="B170" s="9"/>
      <c r="C170" s="624" t="str">
        <f t="shared" ca="1" si="99"/>
        <v>Human Resources for Health (as potential supply of vaccinators NOT target population)</v>
      </c>
      <c r="D170" s="64"/>
      <c r="E170" s="68"/>
      <c r="G170" s="15"/>
      <c r="H170" s="15"/>
      <c r="I170" s="15"/>
      <c r="J170" s="15"/>
      <c r="K170" s="567"/>
      <c r="L170" s="567"/>
      <c r="P170" s="403" t="s">
        <v>4090</v>
      </c>
      <c r="X170" s="403" t="s">
        <v>197</v>
      </c>
      <c r="AB170" s="403" t="s">
        <v>6834</v>
      </c>
      <c r="AN170" s="403" t="s">
        <v>6835</v>
      </c>
      <c r="AZ170" s="403" t="s">
        <v>6836</v>
      </c>
      <c r="BL170" s="403" t="s">
        <v>6837</v>
      </c>
      <c r="BX170" s="403" t="s">
        <v>6838</v>
      </c>
      <c r="CJ170" s="403" t="s">
        <v>6839</v>
      </c>
    </row>
    <row r="171" spans="1:97" s="272" customFormat="1" ht="12.75" x14ac:dyDescent="0.2">
      <c r="A171" s="350">
        <v>2</v>
      </c>
      <c r="B171" s="9"/>
      <c r="C171" s="622"/>
      <c r="D171" s="107" t="str">
        <f t="shared" ref="D171:D174" ca="1" si="100">IF(OFFSET(Q171,0,Lang_Order*Lang__A2)="","",OFFSET(Q171,0,Lang_Order*Lang__A2))</f>
        <v>Medical Doctors</v>
      </c>
      <c r="E171" s="35"/>
      <c r="F171" s="667"/>
      <c r="H171" s="250">
        <f>E171</f>
        <v>0</v>
      </c>
      <c r="I171" s="2"/>
      <c r="J171" s="3">
        <v>3</v>
      </c>
      <c r="K171" s="143" t="str">
        <f t="shared" ref="K171:K177" ca="1" si="101">IF(OFFSET(X171,0,Lang_Order*Lang__A2)="","",OFFSET(X171,0,Lang_Order*Lang__A2))</f>
        <v>Source: WHO estimation of stock in 2020 based on latest reported health workforce stock in the National Health Workforce Accounts</v>
      </c>
      <c r="L171" s="587"/>
      <c r="M171" s="403"/>
      <c r="N171" s="403"/>
      <c r="O171" s="403"/>
      <c r="P171" s="403"/>
      <c r="Q171" s="403" t="s">
        <v>3142</v>
      </c>
      <c r="R171" s="403"/>
      <c r="S171" s="403"/>
      <c r="T171" s="403"/>
      <c r="U171" s="403"/>
      <c r="V171" s="403"/>
      <c r="W171" s="403"/>
      <c r="X171" s="403" t="s">
        <v>3146</v>
      </c>
      <c r="Y171" s="403"/>
      <c r="Z171" s="403"/>
      <c r="AA171" s="403"/>
      <c r="AB171" s="403"/>
      <c r="AC171" s="403" t="s">
        <v>6840</v>
      </c>
      <c r="AD171" s="403"/>
      <c r="AE171" s="403"/>
      <c r="AF171" s="403"/>
      <c r="AG171" s="403"/>
      <c r="AH171" s="403"/>
      <c r="AI171" s="403"/>
      <c r="AJ171" s="403" t="s">
        <v>6841</v>
      </c>
      <c r="AK171" s="403"/>
      <c r="AL171" s="403"/>
      <c r="AM171" s="403"/>
      <c r="AN171" s="403"/>
      <c r="AO171" s="403" t="s">
        <v>6842</v>
      </c>
      <c r="AP171" s="403"/>
      <c r="AQ171" s="403"/>
      <c r="AR171" s="403"/>
      <c r="AS171" s="403"/>
      <c r="AT171" s="403"/>
      <c r="AU171" s="403"/>
      <c r="AV171" s="403" t="s">
        <v>6843</v>
      </c>
      <c r="AW171" s="403"/>
      <c r="AX171" s="403"/>
      <c r="AY171" s="403"/>
      <c r="AZ171" s="403"/>
      <c r="BA171" s="403" t="s">
        <v>6844</v>
      </c>
      <c r="BB171" s="403"/>
      <c r="BC171" s="403"/>
      <c r="BD171" s="403"/>
      <c r="BE171" s="403"/>
      <c r="BF171" s="403"/>
      <c r="BG171" s="403"/>
      <c r="BH171" s="403" t="s">
        <v>6845</v>
      </c>
      <c r="BI171" s="403"/>
      <c r="BJ171" s="403"/>
      <c r="BK171" s="403"/>
      <c r="BL171" s="403"/>
      <c r="BM171" s="403" t="s">
        <v>6844</v>
      </c>
      <c r="BN171" s="403"/>
      <c r="BO171" s="403"/>
      <c r="BP171" s="403"/>
      <c r="BQ171" s="403"/>
      <c r="BR171" s="403"/>
      <c r="BS171" s="403"/>
      <c r="BT171" s="403" t="s">
        <v>6846</v>
      </c>
      <c r="BU171" s="403"/>
      <c r="BV171" s="403"/>
      <c r="BW171" s="403"/>
      <c r="BX171" s="403"/>
      <c r="BY171" s="403" t="s">
        <v>6847</v>
      </c>
      <c r="BZ171" s="403"/>
      <c r="CA171" s="403"/>
      <c r="CB171" s="403"/>
      <c r="CC171" s="403"/>
      <c r="CD171" s="403"/>
      <c r="CE171" s="403"/>
      <c r="CF171" s="403" t="s">
        <v>6848</v>
      </c>
      <c r="CG171" s="403"/>
      <c r="CH171" s="403"/>
      <c r="CI171" s="403"/>
      <c r="CJ171" s="403"/>
      <c r="CK171" s="403" t="s">
        <v>6849</v>
      </c>
      <c r="CL171" s="403"/>
      <c r="CM171" s="403"/>
      <c r="CN171" s="403"/>
      <c r="CO171" s="403"/>
      <c r="CP171" s="403"/>
      <c r="CQ171" s="403"/>
      <c r="CR171" s="403" t="s">
        <v>6850</v>
      </c>
      <c r="CS171" s="564"/>
    </row>
    <row r="172" spans="1:97" s="272" customFormat="1" ht="12.75" x14ac:dyDescent="0.2">
      <c r="A172" s="350">
        <v>2</v>
      </c>
      <c r="B172" s="9"/>
      <c r="C172" s="622"/>
      <c r="D172" s="107" t="str">
        <f t="shared" ca="1" si="100"/>
        <v>Nurses</v>
      </c>
      <c r="E172" s="35"/>
      <c r="F172" s="667"/>
      <c r="H172" s="250">
        <f t="shared" ref="H172:H174" si="102">E172</f>
        <v>0</v>
      </c>
      <c r="I172" s="2"/>
      <c r="J172" s="3">
        <v>4</v>
      </c>
      <c r="K172" s="143" t="str">
        <f t="shared" ca="1" si="101"/>
        <v>Source: WHO estimation of stock in 2020 based on latest reported health workforce stock in the National Health Workforce Accounts</v>
      </c>
      <c r="L172" s="587"/>
      <c r="M172" s="403"/>
      <c r="N172" s="403"/>
      <c r="O172" s="403"/>
      <c r="P172" s="403"/>
      <c r="Q172" s="403" t="s">
        <v>3143</v>
      </c>
      <c r="R172" s="403"/>
      <c r="S172" s="403"/>
      <c r="T172" s="403"/>
      <c r="U172" s="403"/>
      <c r="V172" s="403"/>
      <c r="W172" s="403"/>
      <c r="X172" s="403" t="s">
        <v>3146</v>
      </c>
      <c r="Y172" s="403"/>
      <c r="Z172" s="403"/>
      <c r="AA172" s="403"/>
      <c r="AB172" s="403"/>
      <c r="AC172" s="403" t="s">
        <v>6851</v>
      </c>
      <c r="AD172" s="403"/>
      <c r="AE172" s="403"/>
      <c r="AF172" s="403"/>
      <c r="AG172" s="403"/>
      <c r="AH172" s="403"/>
      <c r="AI172" s="403"/>
      <c r="AJ172" s="403" t="s">
        <v>6841</v>
      </c>
      <c r="AK172" s="403"/>
      <c r="AL172" s="403"/>
      <c r="AM172" s="403"/>
      <c r="AN172" s="403"/>
      <c r="AO172" s="403" t="s">
        <v>6852</v>
      </c>
      <c r="AP172" s="403"/>
      <c r="AQ172" s="403"/>
      <c r="AR172" s="403"/>
      <c r="AS172" s="403"/>
      <c r="AT172" s="403"/>
      <c r="AU172" s="403"/>
      <c r="AV172" s="403" t="s">
        <v>6843</v>
      </c>
      <c r="AW172" s="403"/>
      <c r="AX172" s="403"/>
      <c r="AY172" s="403"/>
      <c r="AZ172" s="403"/>
      <c r="BA172" s="403" t="s">
        <v>6853</v>
      </c>
      <c r="BB172" s="403"/>
      <c r="BC172" s="403"/>
      <c r="BD172" s="403"/>
      <c r="BE172" s="403"/>
      <c r="BF172" s="403"/>
      <c r="BG172" s="403"/>
      <c r="BH172" s="403" t="s">
        <v>6845</v>
      </c>
      <c r="BI172" s="403"/>
      <c r="BJ172" s="403"/>
      <c r="BK172" s="403"/>
      <c r="BL172" s="403"/>
      <c r="BM172" s="403" t="s">
        <v>6854</v>
      </c>
      <c r="BN172" s="403"/>
      <c r="BO172" s="403"/>
      <c r="BP172" s="403"/>
      <c r="BQ172" s="403"/>
      <c r="BR172" s="403"/>
      <c r="BS172" s="403"/>
      <c r="BT172" s="403" t="s">
        <v>6846</v>
      </c>
      <c r="BU172" s="403"/>
      <c r="BV172" s="403"/>
      <c r="BW172" s="403"/>
      <c r="BX172" s="403"/>
      <c r="BY172" s="403" t="s">
        <v>6855</v>
      </c>
      <c r="BZ172" s="403"/>
      <c r="CA172" s="403"/>
      <c r="CB172" s="403"/>
      <c r="CC172" s="403"/>
      <c r="CD172" s="403"/>
      <c r="CE172" s="403"/>
      <c r="CF172" s="403" t="s">
        <v>6856</v>
      </c>
      <c r="CG172" s="403"/>
      <c r="CH172" s="403"/>
      <c r="CI172" s="403"/>
      <c r="CJ172" s="403"/>
      <c r="CK172" s="403" t="s">
        <v>6857</v>
      </c>
      <c r="CL172" s="403"/>
      <c r="CM172" s="403"/>
      <c r="CN172" s="403"/>
      <c r="CO172" s="403"/>
      <c r="CP172" s="403"/>
      <c r="CQ172" s="403"/>
      <c r="CR172" s="403" t="s">
        <v>6850</v>
      </c>
      <c r="CS172" s="564"/>
    </row>
    <row r="173" spans="1:97" s="272" customFormat="1" ht="12.75" x14ac:dyDescent="0.2">
      <c r="A173" s="350">
        <v>2</v>
      </c>
      <c r="B173" s="9"/>
      <c r="C173" s="622"/>
      <c r="D173" s="107" t="str">
        <f t="shared" ca="1" si="100"/>
        <v>Midwives</v>
      </c>
      <c r="E173" s="35"/>
      <c r="F173" s="667"/>
      <c r="H173" s="250">
        <f t="shared" si="102"/>
        <v>0</v>
      </c>
      <c r="I173" s="2"/>
      <c r="J173" s="3">
        <v>5</v>
      </c>
      <c r="K173" s="143" t="str">
        <f t="shared" ca="1" si="101"/>
        <v>Source: WHO estimation of stock in 2020 based on latest reported health workforce stock in the National Health Workforce Accounts</v>
      </c>
      <c r="L173" s="587"/>
      <c r="M173" s="403"/>
      <c r="N173" s="403"/>
      <c r="O173" s="403"/>
      <c r="P173" s="403"/>
      <c r="Q173" s="403" t="s">
        <v>3144</v>
      </c>
      <c r="R173" s="403"/>
      <c r="S173" s="403"/>
      <c r="T173" s="403"/>
      <c r="U173" s="403"/>
      <c r="V173" s="403"/>
      <c r="W173" s="403"/>
      <c r="X173" s="403" t="s">
        <v>3146</v>
      </c>
      <c r="Y173" s="403"/>
      <c r="Z173" s="403"/>
      <c r="AA173" s="403"/>
      <c r="AB173" s="403"/>
      <c r="AC173" s="403" t="s">
        <v>6858</v>
      </c>
      <c r="AD173" s="403"/>
      <c r="AE173" s="403"/>
      <c r="AF173" s="403"/>
      <c r="AG173" s="403"/>
      <c r="AH173" s="403"/>
      <c r="AI173" s="403"/>
      <c r="AJ173" s="403" t="s">
        <v>6841</v>
      </c>
      <c r="AK173" s="403"/>
      <c r="AL173" s="403"/>
      <c r="AM173" s="403"/>
      <c r="AN173" s="403"/>
      <c r="AO173" s="403" t="s">
        <v>6859</v>
      </c>
      <c r="AP173" s="403"/>
      <c r="AQ173" s="403"/>
      <c r="AR173" s="403"/>
      <c r="AS173" s="403"/>
      <c r="AT173" s="403"/>
      <c r="AU173" s="403"/>
      <c r="AV173" s="403" t="s">
        <v>6843</v>
      </c>
      <c r="AW173" s="403"/>
      <c r="AX173" s="403"/>
      <c r="AY173" s="403"/>
      <c r="AZ173" s="403"/>
      <c r="BA173" s="403" t="s">
        <v>6860</v>
      </c>
      <c r="BB173" s="403"/>
      <c r="BC173" s="403"/>
      <c r="BD173" s="403"/>
      <c r="BE173" s="403"/>
      <c r="BF173" s="403"/>
      <c r="BG173" s="403"/>
      <c r="BH173" s="403" t="s">
        <v>6845</v>
      </c>
      <c r="BI173" s="403"/>
      <c r="BJ173" s="403"/>
      <c r="BK173" s="403"/>
      <c r="BL173" s="403"/>
      <c r="BM173" s="403" t="s">
        <v>6861</v>
      </c>
      <c r="BN173" s="403"/>
      <c r="BO173" s="403"/>
      <c r="BP173" s="403"/>
      <c r="BQ173" s="403"/>
      <c r="BR173" s="403"/>
      <c r="BS173" s="403"/>
      <c r="BT173" s="403" t="s">
        <v>6846</v>
      </c>
      <c r="BU173" s="403"/>
      <c r="BV173" s="403"/>
      <c r="BW173" s="403"/>
      <c r="BX173" s="403"/>
      <c r="BY173" s="403" t="s">
        <v>6862</v>
      </c>
      <c r="BZ173" s="403"/>
      <c r="CA173" s="403"/>
      <c r="CB173" s="403"/>
      <c r="CC173" s="403"/>
      <c r="CD173" s="403"/>
      <c r="CE173" s="403"/>
      <c r="CF173" s="403" t="s">
        <v>6856</v>
      </c>
      <c r="CG173" s="403"/>
      <c r="CH173" s="403"/>
      <c r="CI173" s="403"/>
      <c r="CJ173" s="403"/>
      <c r="CK173" s="403" t="s">
        <v>6863</v>
      </c>
      <c r="CL173" s="403"/>
      <c r="CM173" s="403"/>
      <c r="CN173" s="403"/>
      <c r="CO173" s="403"/>
      <c r="CP173" s="403"/>
      <c r="CQ173" s="403"/>
      <c r="CR173" s="403" t="s">
        <v>6850</v>
      </c>
      <c r="CS173" s="564"/>
    </row>
    <row r="174" spans="1:97" s="272" customFormat="1" ht="12.75" x14ac:dyDescent="0.2">
      <c r="A174" s="350">
        <v>2</v>
      </c>
      <c r="B174" s="9"/>
      <c r="C174" s="622"/>
      <c r="D174" s="107" t="str">
        <f t="shared" ca="1" si="100"/>
        <v>Pharmacists</v>
      </c>
      <c r="E174" s="35"/>
      <c r="F174" s="667"/>
      <c r="H174" s="250">
        <f t="shared" si="102"/>
        <v>0</v>
      </c>
      <c r="I174" s="2"/>
      <c r="J174" s="3">
        <v>6</v>
      </c>
      <c r="K174" s="143" t="str">
        <f t="shared" ca="1" si="101"/>
        <v>Source: WHO estimation of stock in 2020 based on latest reported health workforce stock in the National Health Workforce Accounts</v>
      </c>
      <c r="L174" s="587"/>
      <c r="M174" s="403"/>
      <c r="N174" s="403"/>
      <c r="O174" s="403"/>
      <c r="P174" s="403"/>
      <c r="Q174" s="403" t="s">
        <v>3145</v>
      </c>
      <c r="R174" s="403"/>
      <c r="S174" s="403"/>
      <c r="T174" s="403"/>
      <c r="U174" s="403"/>
      <c r="V174" s="403"/>
      <c r="W174" s="403"/>
      <c r="X174" s="403" t="s">
        <v>3146</v>
      </c>
      <c r="Y174" s="403"/>
      <c r="Z174" s="403"/>
      <c r="AA174" s="403"/>
      <c r="AB174" s="403"/>
      <c r="AC174" s="403" t="s">
        <v>6864</v>
      </c>
      <c r="AD174" s="403"/>
      <c r="AE174" s="403"/>
      <c r="AF174" s="403"/>
      <c r="AG174" s="403"/>
      <c r="AH174" s="403"/>
      <c r="AI174" s="403"/>
      <c r="AJ174" s="403" t="s">
        <v>6841</v>
      </c>
      <c r="AK174" s="403"/>
      <c r="AL174" s="403"/>
      <c r="AM174" s="403"/>
      <c r="AN174" s="403"/>
      <c r="AO174" s="403" t="s">
        <v>6865</v>
      </c>
      <c r="AP174" s="403"/>
      <c r="AQ174" s="403"/>
      <c r="AR174" s="403"/>
      <c r="AS174" s="403"/>
      <c r="AT174" s="403"/>
      <c r="AU174" s="403"/>
      <c r="AV174" s="403" t="s">
        <v>6843</v>
      </c>
      <c r="AW174" s="403"/>
      <c r="AX174" s="403"/>
      <c r="AY174" s="403"/>
      <c r="AZ174" s="403"/>
      <c r="BA174" s="403" t="s">
        <v>6866</v>
      </c>
      <c r="BB174" s="403"/>
      <c r="BC174" s="403"/>
      <c r="BD174" s="403"/>
      <c r="BE174" s="403"/>
      <c r="BF174" s="403"/>
      <c r="BG174" s="403"/>
      <c r="BH174" s="403" t="s">
        <v>6845</v>
      </c>
      <c r="BI174" s="403"/>
      <c r="BJ174" s="403"/>
      <c r="BK174" s="403"/>
      <c r="BL174" s="403"/>
      <c r="BM174" s="403" t="s">
        <v>6867</v>
      </c>
      <c r="BN174" s="403"/>
      <c r="BO174" s="403"/>
      <c r="BP174" s="403"/>
      <c r="BQ174" s="403"/>
      <c r="BR174" s="403"/>
      <c r="BS174" s="403"/>
      <c r="BT174" s="403" t="s">
        <v>6846</v>
      </c>
      <c r="BU174" s="403"/>
      <c r="BV174" s="403"/>
      <c r="BW174" s="403"/>
      <c r="BX174" s="403"/>
      <c r="BY174" s="403" t="s">
        <v>6868</v>
      </c>
      <c r="BZ174" s="403"/>
      <c r="CA174" s="403"/>
      <c r="CB174" s="403"/>
      <c r="CC174" s="403"/>
      <c r="CD174" s="403"/>
      <c r="CE174" s="403"/>
      <c r="CF174" s="403" t="s">
        <v>6848</v>
      </c>
      <c r="CG174" s="403"/>
      <c r="CH174" s="403"/>
      <c r="CI174" s="403"/>
      <c r="CJ174" s="403"/>
      <c r="CK174" s="403" t="s">
        <v>6869</v>
      </c>
      <c r="CL174" s="403"/>
      <c r="CM174" s="403"/>
      <c r="CN174" s="403"/>
      <c r="CO174" s="403"/>
      <c r="CP174" s="403"/>
      <c r="CQ174" s="403"/>
      <c r="CR174" s="403" t="s">
        <v>6850</v>
      </c>
      <c r="CS174" s="564"/>
    </row>
    <row r="175" spans="1:97" s="241" customFormat="1" ht="12.75" x14ac:dyDescent="0.2">
      <c r="A175" s="350">
        <v>2</v>
      </c>
      <c r="B175" s="9"/>
      <c r="C175" s="622"/>
      <c r="D175" s="364" t="s">
        <v>14150</v>
      </c>
      <c r="E175" s="35"/>
      <c r="F175" s="667"/>
      <c r="H175" s="250">
        <f>E175</f>
        <v>0</v>
      </c>
      <c r="I175" s="2"/>
      <c r="J175" s="3"/>
      <c r="K175" s="143" t="str">
        <f t="shared" ca="1" si="101"/>
        <v>Countries can add additional cadres if needed for HRH supply - pool of potential vaccinators - NOTE THIS IS NOT health workers to be vaccinated</v>
      </c>
      <c r="L175" s="587"/>
      <c r="M175" s="403"/>
      <c r="N175" s="403"/>
      <c r="O175" s="403"/>
      <c r="P175" s="403"/>
      <c r="Q175" s="403" t="s">
        <v>4122</v>
      </c>
      <c r="R175" s="403"/>
      <c r="S175" s="403"/>
      <c r="T175" s="403"/>
      <c r="U175" s="403"/>
      <c r="V175" s="403"/>
      <c r="W175" s="403"/>
      <c r="X175" s="403" t="s">
        <v>3100</v>
      </c>
      <c r="Y175" s="403"/>
      <c r="Z175" s="403"/>
      <c r="AA175" s="403"/>
      <c r="AB175" s="403"/>
      <c r="AC175" s="403" t="s">
        <v>6870</v>
      </c>
      <c r="AD175" s="403"/>
      <c r="AE175" s="403"/>
      <c r="AF175" s="403"/>
      <c r="AG175" s="403"/>
      <c r="AH175" s="403"/>
      <c r="AI175" s="403"/>
      <c r="AJ175" s="403" t="s">
        <v>6871</v>
      </c>
      <c r="AK175" s="403"/>
      <c r="AL175" s="403"/>
      <c r="AM175" s="403"/>
      <c r="AN175" s="403"/>
      <c r="AO175" s="403" t="s">
        <v>6872</v>
      </c>
      <c r="AP175" s="403"/>
      <c r="AQ175" s="403"/>
      <c r="AR175" s="403"/>
      <c r="AS175" s="403"/>
      <c r="AT175" s="403"/>
      <c r="AU175" s="403"/>
      <c r="AV175" s="403" t="s">
        <v>6873</v>
      </c>
      <c r="AW175" s="403"/>
      <c r="AX175" s="403"/>
      <c r="AY175" s="403"/>
      <c r="AZ175" s="403"/>
      <c r="BA175" s="403" t="s">
        <v>6874</v>
      </c>
      <c r="BB175" s="403"/>
      <c r="BC175" s="403"/>
      <c r="BD175" s="403"/>
      <c r="BE175" s="403"/>
      <c r="BF175" s="403"/>
      <c r="BG175" s="403"/>
      <c r="BH175" s="403" t="s">
        <v>6875</v>
      </c>
      <c r="BI175" s="403"/>
      <c r="BJ175" s="403"/>
      <c r="BK175" s="403"/>
      <c r="BL175" s="403"/>
      <c r="BM175" s="403" t="s">
        <v>6876</v>
      </c>
      <c r="BN175" s="403"/>
      <c r="BO175" s="403"/>
      <c r="BP175" s="403"/>
      <c r="BQ175" s="403"/>
      <c r="BR175" s="403"/>
      <c r="BS175" s="403"/>
      <c r="BT175" s="403" t="s">
        <v>6877</v>
      </c>
      <c r="BU175" s="403"/>
      <c r="BV175" s="403"/>
      <c r="BW175" s="403"/>
      <c r="BX175" s="403"/>
      <c r="BY175" s="403" t="s">
        <v>6878</v>
      </c>
      <c r="BZ175" s="403"/>
      <c r="CA175" s="403"/>
      <c r="CB175" s="403"/>
      <c r="CC175" s="403"/>
      <c r="CD175" s="403"/>
      <c r="CE175" s="403"/>
      <c r="CF175" s="403" t="s">
        <v>6879</v>
      </c>
      <c r="CG175" s="403"/>
      <c r="CH175" s="403"/>
      <c r="CI175" s="403"/>
      <c r="CJ175" s="403"/>
      <c r="CK175" s="403" t="s">
        <v>6880</v>
      </c>
      <c r="CL175" s="403"/>
      <c r="CM175" s="403"/>
      <c r="CN175" s="403"/>
      <c r="CO175" s="403"/>
      <c r="CP175" s="403"/>
      <c r="CQ175" s="403"/>
      <c r="CR175" s="403" t="s">
        <v>6881</v>
      </c>
      <c r="CS175" s="564"/>
    </row>
    <row r="176" spans="1:97" s="241" customFormat="1" ht="12.75" x14ac:dyDescent="0.2">
      <c r="A176" s="350">
        <v>2</v>
      </c>
      <c r="B176" s="9"/>
      <c r="C176" s="622"/>
      <c r="D176" s="652" t="s">
        <v>14150</v>
      </c>
      <c r="E176" s="35"/>
      <c r="F176" s="667"/>
      <c r="H176" s="250">
        <f>E176</f>
        <v>0</v>
      </c>
      <c r="I176" s="2"/>
      <c r="J176" s="3"/>
      <c r="K176" s="143" t="str">
        <f t="shared" ca="1" si="101"/>
        <v>Countries can add additional cadres if needed for HRH supply - pool of potential vaccinators - NOTE THIS IS NOT health workers to be vaccinated</v>
      </c>
      <c r="L176" s="587"/>
      <c r="M176" s="403"/>
      <c r="N176" s="403"/>
      <c r="O176" s="403"/>
      <c r="P176" s="403"/>
      <c r="Q176" s="403" t="s">
        <v>4122</v>
      </c>
      <c r="R176" s="403"/>
      <c r="S176" s="403"/>
      <c r="T176" s="403"/>
      <c r="U176" s="403"/>
      <c r="V176" s="403"/>
      <c r="W176" s="403"/>
      <c r="X176" s="403" t="s">
        <v>3100</v>
      </c>
      <c r="Y176" s="403"/>
      <c r="Z176" s="403"/>
      <c r="AA176" s="403"/>
      <c r="AB176" s="403"/>
      <c r="AC176" s="403" t="s">
        <v>6870</v>
      </c>
      <c r="AD176" s="403"/>
      <c r="AE176" s="403"/>
      <c r="AF176" s="403"/>
      <c r="AG176" s="403"/>
      <c r="AH176" s="403"/>
      <c r="AI176" s="403"/>
      <c r="AJ176" s="403" t="s">
        <v>6871</v>
      </c>
      <c r="AK176" s="403"/>
      <c r="AL176" s="403"/>
      <c r="AM176" s="403"/>
      <c r="AN176" s="403"/>
      <c r="AO176" s="403" t="s">
        <v>6872</v>
      </c>
      <c r="AP176" s="403"/>
      <c r="AQ176" s="403"/>
      <c r="AR176" s="403"/>
      <c r="AS176" s="403"/>
      <c r="AT176" s="403"/>
      <c r="AU176" s="403"/>
      <c r="AV176" s="403" t="s">
        <v>6873</v>
      </c>
      <c r="AW176" s="403"/>
      <c r="AX176" s="403"/>
      <c r="AY176" s="403"/>
      <c r="AZ176" s="403"/>
      <c r="BA176" s="403" t="s">
        <v>6874</v>
      </c>
      <c r="BB176" s="403"/>
      <c r="BC176" s="403"/>
      <c r="BD176" s="403"/>
      <c r="BE176" s="403"/>
      <c r="BF176" s="403"/>
      <c r="BG176" s="403"/>
      <c r="BH176" s="403" t="s">
        <v>6875</v>
      </c>
      <c r="BI176" s="403"/>
      <c r="BJ176" s="403"/>
      <c r="BK176" s="403"/>
      <c r="BL176" s="403"/>
      <c r="BM176" s="403" t="s">
        <v>6876</v>
      </c>
      <c r="BN176" s="403"/>
      <c r="BO176" s="403"/>
      <c r="BP176" s="403"/>
      <c r="BQ176" s="403"/>
      <c r="BR176" s="403"/>
      <c r="BS176" s="403"/>
      <c r="BT176" s="403" t="s">
        <v>6877</v>
      </c>
      <c r="BU176" s="403"/>
      <c r="BV176" s="403"/>
      <c r="BW176" s="403"/>
      <c r="BX176" s="403"/>
      <c r="BY176" s="403" t="s">
        <v>6878</v>
      </c>
      <c r="BZ176" s="403"/>
      <c r="CA176" s="403"/>
      <c r="CB176" s="403"/>
      <c r="CC176" s="403"/>
      <c r="CD176" s="403"/>
      <c r="CE176" s="403"/>
      <c r="CF176" s="403" t="s">
        <v>6879</v>
      </c>
      <c r="CG176" s="403"/>
      <c r="CH176" s="403"/>
      <c r="CI176" s="403"/>
      <c r="CJ176" s="403"/>
      <c r="CK176" s="403" t="s">
        <v>6880</v>
      </c>
      <c r="CL176" s="403"/>
      <c r="CM176" s="403"/>
      <c r="CN176" s="403"/>
      <c r="CO176" s="403"/>
      <c r="CP176" s="403"/>
      <c r="CQ176" s="403"/>
      <c r="CR176" s="403" t="s">
        <v>6881</v>
      </c>
      <c r="CS176" s="564"/>
    </row>
    <row r="177" spans="1:122" ht="25.5" x14ac:dyDescent="0.2">
      <c r="A177" s="349">
        <v>1</v>
      </c>
      <c r="B177" s="9"/>
      <c r="D177" s="430" t="str">
        <f t="shared" ref="D177" ca="1" si="103">IF(OFFSET(Q177,0,Lang_Order*Lang__A2)="","",OFFSET(Q177,0,Lang_Order*Lang__A2))</f>
        <v>Total HRH Supply for Potential Vaccinator Impact
[override here to provide an overall number]</v>
      </c>
      <c r="E177" s="32"/>
      <c r="F177" s="667"/>
      <c r="G177" s="4" t="str">
        <f>IF(OR(ISERROR(H177),H177&lt;1),Lang_CHECK,"OK")</f>
        <v>CHECK</v>
      </c>
      <c r="H177" s="250">
        <f>IF(ISBLANK(E177),SUM(H171:H176),E177)</f>
        <v>0</v>
      </c>
      <c r="K177" s="143" t="str">
        <f t="shared" ca="1" si="101"/>
        <v>If no data or data from GHO not updated, MUST override here. Leave blank to use NHWA data</v>
      </c>
      <c r="L177" s="587"/>
      <c r="Q177" s="403" t="s">
        <v>4242</v>
      </c>
      <c r="X177" s="403" t="s">
        <v>3074</v>
      </c>
      <c r="AC177" s="403" t="s">
        <v>6882</v>
      </c>
      <c r="AJ177" s="403" t="s">
        <v>6883</v>
      </c>
      <c r="AO177" s="403" t="s">
        <v>6884</v>
      </c>
      <c r="AV177" s="403" t="s">
        <v>6885</v>
      </c>
      <c r="BA177" s="403" t="s">
        <v>6886</v>
      </c>
      <c r="BH177" s="403" t="s">
        <v>6887</v>
      </c>
      <c r="BM177" s="403" t="s">
        <v>6888</v>
      </c>
      <c r="BT177" s="403" t="s">
        <v>6889</v>
      </c>
      <c r="BY177" s="403" t="s">
        <v>6890</v>
      </c>
      <c r="CF177" s="403" t="s">
        <v>6891</v>
      </c>
      <c r="CK177" s="403" t="s">
        <v>6892</v>
      </c>
      <c r="CR177" s="403" t="s">
        <v>6893</v>
      </c>
    </row>
    <row r="178" spans="1:122" s="299" customFormat="1" ht="12.75" x14ac:dyDescent="0.2">
      <c r="C178" s="622"/>
      <c r="D178" s="68"/>
      <c r="F178" s="667"/>
      <c r="K178" s="567"/>
      <c r="L178" s="567"/>
      <c r="M178" s="403"/>
      <c r="N178" s="403"/>
      <c r="O178" s="403"/>
      <c r="P178" s="403"/>
      <c r="Q178" s="403"/>
      <c r="R178" s="403"/>
      <c r="S178" s="403"/>
      <c r="T178" s="403"/>
      <c r="U178" s="403"/>
      <c r="V178" s="403"/>
      <c r="W178" s="403"/>
      <c r="X178" s="403" t="s">
        <v>197</v>
      </c>
      <c r="Y178" s="403"/>
      <c r="Z178" s="403"/>
      <c r="AA178" s="403"/>
      <c r="AB178" s="403"/>
      <c r="AC178" s="403"/>
      <c r="AD178" s="403"/>
      <c r="AE178" s="403"/>
      <c r="AF178" s="403"/>
      <c r="AG178" s="403"/>
      <c r="AH178" s="403"/>
      <c r="AI178" s="403"/>
      <c r="AJ178" s="403"/>
      <c r="AK178" s="403"/>
      <c r="AL178" s="403"/>
      <c r="AM178" s="403"/>
      <c r="AN178" s="403"/>
      <c r="AO178" s="403"/>
      <c r="AP178" s="403"/>
      <c r="AQ178" s="403"/>
      <c r="AR178" s="403"/>
      <c r="AS178" s="403"/>
      <c r="AT178" s="403"/>
      <c r="AU178" s="403"/>
      <c r="AV178" s="403"/>
      <c r="AW178" s="403"/>
      <c r="AX178" s="403"/>
      <c r="AY178" s="403"/>
      <c r="AZ178" s="403"/>
      <c r="BA178" s="403"/>
      <c r="BB178" s="403"/>
      <c r="BC178" s="403"/>
      <c r="BD178" s="403"/>
      <c r="BE178" s="403"/>
      <c r="BF178" s="403"/>
      <c r="BG178" s="403"/>
      <c r="BH178" s="403"/>
      <c r="BI178" s="403"/>
      <c r="BJ178" s="403"/>
      <c r="BK178" s="403"/>
      <c r="BL178" s="403"/>
      <c r="BM178" s="403"/>
      <c r="BN178" s="403"/>
      <c r="BO178" s="403"/>
      <c r="BP178" s="403"/>
      <c r="BQ178" s="403"/>
      <c r="BR178" s="403"/>
      <c r="BS178" s="403"/>
      <c r="BT178" s="403"/>
      <c r="BU178" s="403"/>
      <c r="BV178" s="403"/>
      <c r="BW178" s="403"/>
      <c r="BX178" s="403"/>
      <c r="BY178" s="403"/>
      <c r="BZ178" s="403"/>
      <c r="CA178" s="403"/>
      <c r="CB178" s="403"/>
      <c r="CC178" s="403"/>
      <c r="CD178" s="403"/>
      <c r="CE178" s="403"/>
      <c r="CF178" s="403"/>
      <c r="CG178" s="403"/>
      <c r="CH178" s="403"/>
      <c r="CI178" s="403"/>
      <c r="CJ178" s="403"/>
      <c r="CK178" s="403"/>
      <c r="CL178" s="403"/>
      <c r="CM178" s="403"/>
      <c r="CN178" s="403"/>
      <c r="CO178" s="403"/>
      <c r="CP178" s="403"/>
      <c r="CQ178" s="403"/>
      <c r="CR178" s="403"/>
      <c r="CS178" s="564"/>
    </row>
    <row r="179" spans="1:122" s="299" customFormat="1" ht="12.75" x14ac:dyDescent="0.2">
      <c r="A179" s="349">
        <v>1</v>
      </c>
      <c r="B179" s="567"/>
      <c r="C179" s="627"/>
      <c r="D179" s="609" t="str">
        <f t="shared" ref="D179:D180" ca="1" si="104">IF(OFFSET(Q179,0,Lang_Order*Lang__A2)="","",OFFSET(Q179,0,Lang_Order*Lang__A2))</f>
        <v>Maximum redeployable HRH, % of health workforce … as absolute number OR</v>
      </c>
      <c r="E179" s="35"/>
      <c r="F179" s="667"/>
      <c r="G179" s="4" t="str">
        <f>IF(OR(ISBLANK(E179),ISBLANK(E180)),"OK",Lang_CHECK)</f>
        <v>OK</v>
      </c>
      <c r="H179" s="355">
        <f>IF(ISBLANK(E179),0,E179/HRH_Total_Supply)</f>
        <v>0</v>
      </c>
      <c r="I179" s="2" t="str">
        <f t="shared" ref="I179:I180" ca="1" si="105">IF(OFFSET(V179,0,Lang_Order*Lang__A2)="","",OFFSET(V179,0,Lang_Order*Lang__A2))</f>
        <v>Percent of Total HRH Supply</v>
      </c>
      <c r="J179" s="3">
        <v>2</v>
      </c>
      <c r="K179" s="143" t="str">
        <f ca="1">IF(OFFSET(X179,0,Lang_Order*Lang__A2)="","",OFFSET(X179,0,Lang_Order*Lang__A2))</f>
        <v>Vaccinators may be (i) redeployed health workers or (ii) newly recruited health workers. This model estimates vaccinator human resource needs. If these exceed the maximum redeployable numbers, additional vaccinators are assumed to be newly recruited and a monthly salary [can be changed in A3.1] will be costed.</v>
      </c>
      <c r="L179" s="587"/>
      <c r="M179" s="403"/>
      <c r="N179" s="403"/>
      <c r="O179" s="403"/>
      <c r="P179" s="403"/>
      <c r="Q179" s="403" t="s">
        <v>4091</v>
      </c>
      <c r="R179" s="403"/>
      <c r="S179" s="403"/>
      <c r="T179" s="403"/>
      <c r="U179" s="403"/>
      <c r="V179" s="403" t="s">
        <v>3745</v>
      </c>
      <c r="W179" s="403"/>
      <c r="X179" s="403" t="s">
        <v>4434</v>
      </c>
      <c r="Y179" s="403"/>
      <c r="Z179" s="403"/>
      <c r="AA179" s="403"/>
      <c r="AB179" s="403"/>
      <c r="AC179" s="403" t="s">
        <v>6894</v>
      </c>
      <c r="AD179" s="403"/>
      <c r="AE179" s="403"/>
      <c r="AF179" s="403"/>
      <c r="AG179" s="403"/>
      <c r="AH179" s="403" t="s">
        <v>6895</v>
      </c>
      <c r="AI179" s="403"/>
      <c r="AJ179" s="403" t="s">
        <v>13874</v>
      </c>
      <c r="AK179" s="403"/>
      <c r="AL179" s="403"/>
      <c r="AM179" s="403"/>
      <c r="AN179" s="403"/>
      <c r="AO179" s="403" t="s">
        <v>6896</v>
      </c>
      <c r="AP179" s="403"/>
      <c r="AQ179" s="403"/>
      <c r="AR179" s="403"/>
      <c r="AS179" s="403"/>
      <c r="AT179" s="403" t="s">
        <v>6897</v>
      </c>
      <c r="AU179" s="403"/>
      <c r="AV179" s="403" t="s">
        <v>13875</v>
      </c>
      <c r="AW179" s="403"/>
      <c r="AX179" s="403"/>
      <c r="AY179" s="403"/>
      <c r="AZ179" s="403"/>
      <c r="BA179" s="403" t="s">
        <v>6898</v>
      </c>
      <c r="BB179" s="403"/>
      <c r="BC179" s="403"/>
      <c r="BD179" s="403"/>
      <c r="BE179" s="403"/>
      <c r="BF179" s="403" t="s">
        <v>6899</v>
      </c>
      <c r="BG179" s="403"/>
      <c r="BH179" s="403" t="s">
        <v>13876</v>
      </c>
      <c r="BI179" s="403"/>
      <c r="BJ179" s="403"/>
      <c r="BK179" s="403"/>
      <c r="BL179" s="403"/>
      <c r="BM179" s="403" t="s">
        <v>6900</v>
      </c>
      <c r="BN179" s="403"/>
      <c r="BO179" s="403"/>
      <c r="BP179" s="403"/>
      <c r="BQ179" s="403"/>
      <c r="BR179" s="403" t="s">
        <v>6901</v>
      </c>
      <c r="BS179" s="403"/>
      <c r="BT179" s="403" t="s">
        <v>13877</v>
      </c>
      <c r="BU179" s="403"/>
      <c r="BV179" s="403"/>
      <c r="BW179" s="403"/>
      <c r="BX179" s="403"/>
      <c r="BY179" s="403" t="s">
        <v>6902</v>
      </c>
      <c r="BZ179" s="403"/>
      <c r="CA179" s="403"/>
      <c r="CB179" s="403"/>
      <c r="CC179" s="403"/>
      <c r="CD179" s="403" t="s">
        <v>6903</v>
      </c>
      <c r="CE179" s="403"/>
      <c r="CF179" s="403" t="s">
        <v>13878</v>
      </c>
      <c r="CG179" s="403"/>
      <c r="CH179" s="403"/>
      <c r="CI179" s="403"/>
      <c r="CJ179" s="403"/>
      <c r="CK179" s="403" t="s">
        <v>6904</v>
      </c>
      <c r="CL179" s="403"/>
      <c r="CM179" s="403"/>
      <c r="CN179" s="403"/>
      <c r="CO179" s="403"/>
      <c r="CP179" s="403" t="s">
        <v>6905</v>
      </c>
      <c r="CQ179" s="403"/>
      <c r="CR179" s="403" t="s">
        <v>13879</v>
      </c>
      <c r="CS179" s="564"/>
    </row>
    <row r="180" spans="1:122" s="241" customFormat="1" ht="12.75" x14ac:dyDescent="0.2">
      <c r="A180" s="349">
        <v>1</v>
      </c>
      <c r="B180" s="567"/>
      <c r="C180" s="627"/>
      <c r="D180" s="406" t="str">
        <f t="shared" ca="1" si="104"/>
        <v>… as percent</v>
      </c>
      <c r="E180" s="40"/>
      <c r="F180" s="667"/>
      <c r="G180" s="4" t="str">
        <f>IF(ISBLANK(HRH_Redeployable_Percent),Lang_CHECK,"OK")</f>
        <v>OK</v>
      </c>
      <c r="H180" s="388">
        <f>IF(ISBLANK(E180),IF(ISBLANK(E179),0,H179),E180)</f>
        <v>0</v>
      </c>
      <c r="I180" s="2" t="str">
        <f t="shared" ca="1" si="105"/>
        <v>Percent of health workforce</v>
      </c>
      <c r="J180" s="3">
        <v>2</v>
      </c>
      <c r="K180" s="143" t="str">
        <f ca="1">IF(OFFSET(X180,0,Lang_Order*Lang__A2)="","",OFFSET(X180,0,Lang_Order*Lang__A2))</f>
        <v>The redeployment factor is the percentage of the current health workforce that can be redeployed to conduct vaccination (WHO estimate). It varies by country and considers the most recently reported UHC index and health workforce density.</v>
      </c>
      <c r="L180" s="587"/>
      <c r="M180" s="403"/>
      <c r="N180" s="403"/>
      <c r="O180" s="403"/>
      <c r="P180" s="403"/>
      <c r="Q180" s="403" t="s">
        <v>2629</v>
      </c>
      <c r="R180" s="403"/>
      <c r="S180" s="403"/>
      <c r="T180" s="403"/>
      <c r="U180" s="403"/>
      <c r="V180" s="403" t="s">
        <v>3158</v>
      </c>
      <c r="W180" s="403"/>
      <c r="X180" s="403" t="s">
        <v>4557</v>
      </c>
      <c r="Y180" s="403"/>
      <c r="Z180" s="403"/>
      <c r="AA180" s="403"/>
      <c r="AB180" s="403"/>
      <c r="AC180" s="403" t="s">
        <v>6136</v>
      </c>
      <c r="AD180" s="403"/>
      <c r="AE180" s="403"/>
      <c r="AF180" s="403"/>
      <c r="AG180" s="403"/>
      <c r="AH180" s="403" t="s">
        <v>6906</v>
      </c>
      <c r="AI180" s="403"/>
      <c r="AJ180" s="403" t="s">
        <v>13880</v>
      </c>
      <c r="AK180" s="403"/>
      <c r="AL180" s="403"/>
      <c r="AM180" s="403"/>
      <c r="AN180" s="403"/>
      <c r="AO180" s="403" t="s">
        <v>6907</v>
      </c>
      <c r="AP180" s="403"/>
      <c r="AQ180" s="403"/>
      <c r="AR180" s="403"/>
      <c r="AS180" s="403"/>
      <c r="AT180" s="403" t="s">
        <v>6908</v>
      </c>
      <c r="AU180" s="403"/>
      <c r="AV180" s="403" t="s">
        <v>13881</v>
      </c>
      <c r="AW180" s="403"/>
      <c r="AX180" s="403"/>
      <c r="AY180" s="403"/>
      <c r="AZ180" s="403"/>
      <c r="BA180" s="403" t="s">
        <v>6909</v>
      </c>
      <c r="BB180" s="403"/>
      <c r="BC180" s="403"/>
      <c r="BD180" s="403"/>
      <c r="BE180" s="403"/>
      <c r="BF180" s="403" t="s">
        <v>6910</v>
      </c>
      <c r="BG180" s="403"/>
      <c r="BH180" s="403" t="s">
        <v>13882</v>
      </c>
      <c r="BI180" s="403"/>
      <c r="BJ180" s="403"/>
      <c r="BK180" s="403"/>
      <c r="BL180" s="403"/>
      <c r="BM180" s="403" t="s">
        <v>6145</v>
      </c>
      <c r="BN180" s="403"/>
      <c r="BO180" s="403"/>
      <c r="BP180" s="403"/>
      <c r="BQ180" s="403"/>
      <c r="BR180" s="403" t="s">
        <v>6911</v>
      </c>
      <c r="BS180" s="403"/>
      <c r="BT180" s="403" t="s">
        <v>13883</v>
      </c>
      <c r="BU180" s="403"/>
      <c r="BV180" s="403"/>
      <c r="BW180" s="403"/>
      <c r="BX180" s="403"/>
      <c r="BY180" s="403" t="s">
        <v>6148</v>
      </c>
      <c r="BZ180" s="403"/>
      <c r="CA180" s="403"/>
      <c r="CB180" s="403"/>
      <c r="CC180" s="403"/>
      <c r="CD180" s="403" t="s">
        <v>6912</v>
      </c>
      <c r="CE180" s="403"/>
      <c r="CF180" s="403" t="s">
        <v>13884</v>
      </c>
      <c r="CG180" s="403"/>
      <c r="CH180" s="403"/>
      <c r="CI180" s="403"/>
      <c r="CJ180" s="403"/>
      <c r="CK180" s="403" t="s">
        <v>6151</v>
      </c>
      <c r="CL180" s="403"/>
      <c r="CM180" s="403"/>
      <c r="CN180" s="403"/>
      <c r="CO180" s="403"/>
      <c r="CP180" s="403" t="s">
        <v>6913</v>
      </c>
      <c r="CQ180" s="403"/>
      <c r="CR180" s="403" t="s">
        <v>13885</v>
      </c>
      <c r="CS180" s="564"/>
    </row>
    <row r="181" spans="1:122" ht="12.75" x14ac:dyDescent="0.2">
      <c r="B181" s="567"/>
      <c r="D181" s="69"/>
      <c r="E181" s="64"/>
      <c r="F181" s="69"/>
      <c r="G181" s="64"/>
      <c r="H181" s="64"/>
      <c r="I181" s="7"/>
      <c r="J181" s="299"/>
      <c r="K181" s="143" t="str">
        <f ca="1">IF(OFFSET(X181,0,Lang_Order*Lang__A2)="","",OFFSET(X181,0,Lang_Order*Lang__A2))</f>
        <v>Entering 100% means that all vaccinators will be redeployed health workers. Unlike newly recruited vaccinators, salaries for redeployed health workers are not included in the costs.</v>
      </c>
      <c r="L181" s="587"/>
      <c r="X181" s="403" t="s">
        <v>4556</v>
      </c>
      <c r="AJ181" s="403" t="s">
        <v>13886</v>
      </c>
      <c r="AV181" s="403" t="s">
        <v>13887</v>
      </c>
      <c r="BH181" s="403" t="s">
        <v>13888</v>
      </c>
      <c r="BT181" s="403" t="s">
        <v>13889</v>
      </c>
      <c r="CF181" s="403" t="s">
        <v>13890</v>
      </c>
      <c r="CR181" s="403" t="s">
        <v>13891</v>
      </c>
    </row>
    <row r="182" spans="1:122" ht="12.75" x14ac:dyDescent="0.2">
      <c r="A182" s="350">
        <v>2</v>
      </c>
      <c r="B182" s="34"/>
      <c r="C182" s="627"/>
      <c r="D182" s="23" t="str">
        <f t="shared" ref="D182:D186" ca="1" si="106">IF(OFFSET(Q182,0,Lang_Order*Lang__A2)="","",OFFSET(Q182,0,Lang_Order*Lang__A2))</f>
        <v>Working Hours per Day</v>
      </c>
      <c r="E182" s="35">
        <v>8</v>
      </c>
      <c r="F182" s="81">
        <v>8</v>
      </c>
      <c r="G182" s="4" t="str">
        <f t="shared" ref="G182:G186" si="107">IF(ISBLANK(E182),Lang_CHECK,"OK")</f>
        <v>OK</v>
      </c>
      <c r="H182" s="241"/>
      <c r="I182" s="2" t="str">
        <f t="shared" ref="I182:I185" ca="1" si="108">IF(OFFSET(V182,0,Lang_Order*Lang__A2)="","",OFFSET(V182,0,Lang_Order*Lang__A2))</f>
        <v>hours</v>
      </c>
      <c r="J182" s="299"/>
      <c r="K182" s="567"/>
      <c r="L182" s="567"/>
      <c r="Q182" s="403" t="s">
        <v>2659</v>
      </c>
      <c r="V182" s="403" t="s">
        <v>3746</v>
      </c>
      <c r="X182" s="403" t="s">
        <v>197</v>
      </c>
      <c r="AC182" s="403" t="s">
        <v>6914</v>
      </c>
      <c r="AH182" s="403" t="s">
        <v>6915</v>
      </c>
      <c r="AO182" s="403" t="s">
        <v>6916</v>
      </c>
      <c r="AT182" s="403" t="s">
        <v>6917</v>
      </c>
      <c r="BA182" s="403" t="s">
        <v>6918</v>
      </c>
      <c r="BF182" s="403" t="s">
        <v>6919</v>
      </c>
      <c r="BM182" s="403" t="s">
        <v>6920</v>
      </c>
      <c r="BR182" s="403" t="s">
        <v>6919</v>
      </c>
      <c r="BY182" s="403" t="s">
        <v>6921</v>
      </c>
      <c r="CD182" s="403" t="s">
        <v>6922</v>
      </c>
      <c r="CK182" s="403" t="s">
        <v>6923</v>
      </c>
      <c r="CP182" s="403" t="s">
        <v>6924</v>
      </c>
    </row>
    <row r="183" spans="1:122" ht="12.75" x14ac:dyDescent="0.2">
      <c r="A183" s="350">
        <v>2</v>
      </c>
      <c r="B183" s="34"/>
      <c r="C183" s="627"/>
      <c r="D183" s="23" t="str">
        <f t="shared" ca="1" si="106"/>
        <v>Working Days per Week</v>
      </c>
      <c r="E183" s="35">
        <v>4.5</v>
      </c>
      <c r="F183" s="81">
        <v>4.5</v>
      </c>
      <c r="G183" s="4" t="str">
        <f t="shared" si="107"/>
        <v>OK</v>
      </c>
      <c r="H183" s="241"/>
      <c r="I183" s="2" t="str">
        <f t="shared" ca="1" si="108"/>
        <v>days</v>
      </c>
      <c r="J183" s="299"/>
      <c r="K183" s="143" t="str">
        <f ca="1">IF(OFFSET(X183,0,Lang_Order*Lang__A2)="","",OFFSET(X183,0,Lang_Order*Lang__A2))</f>
        <v>Consider time needed for training, supervision, and breaks</v>
      </c>
      <c r="L183" s="587"/>
      <c r="Q183" s="403" t="s">
        <v>2660</v>
      </c>
      <c r="V183" s="403" t="s">
        <v>2697</v>
      </c>
      <c r="X183" s="403" t="s">
        <v>3834</v>
      </c>
      <c r="AC183" s="403" t="s">
        <v>6925</v>
      </c>
      <c r="AH183" s="403" t="s">
        <v>6926</v>
      </c>
      <c r="AJ183" s="403" t="s">
        <v>6927</v>
      </c>
      <c r="AO183" s="403" t="s">
        <v>6928</v>
      </c>
      <c r="AT183" s="403" t="s">
        <v>5684</v>
      </c>
      <c r="AV183" s="403" t="s">
        <v>6929</v>
      </c>
      <c r="BA183" s="403" t="s">
        <v>6930</v>
      </c>
      <c r="BF183" s="403" t="s">
        <v>6931</v>
      </c>
      <c r="BH183" s="403" t="s">
        <v>6932</v>
      </c>
      <c r="BM183" s="403" t="s">
        <v>6933</v>
      </c>
      <c r="BR183" s="403" t="s">
        <v>6934</v>
      </c>
      <c r="BT183" s="403" t="s">
        <v>6935</v>
      </c>
      <c r="BY183" s="403" t="s">
        <v>6936</v>
      </c>
      <c r="CD183" s="403" t="s">
        <v>6937</v>
      </c>
      <c r="CF183" s="403" t="s">
        <v>6938</v>
      </c>
      <c r="CK183" s="403" t="s">
        <v>6939</v>
      </c>
      <c r="CP183" s="403" t="s">
        <v>5721</v>
      </c>
      <c r="CR183" s="403" t="s">
        <v>6940</v>
      </c>
    </row>
    <row r="184" spans="1:122" ht="22.5" x14ac:dyDescent="0.2">
      <c r="A184" s="349">
        <v>1</v>
      </c>
      <c r="B184" s="34"/>
      <c r="C184" s="627"/>
      <c r="D184" s="335" t="str">
        <f t="shared" ca="1" si="106"/>
        <v>Mobile Team Travel and Setup Time (Hours) per Working Day</v>
      </c>
      <c r="E184" s="35"/>
      <c r="F184" s="69"/>
      <c r="G184" s="4" t="str">
        <f>IF(ISBLANK(E184),Lang_CHECK,"OK")</f>
        <v>CHECK</v>
      </c>
      <c r="H184" s="241"/>
      <c r="I184" s="2" t="str">
        <f t="shared" ca="1" si="108"/>
        <v>hours</v>
      </c>
      <c r="J184" s="299"/>
      <c r="K184" s="608" t="str">
        <f ca="1">IF(OFFSET(X184,0,Lang_Order*Lang__A2)="","",OFFSET(X184,0,Lang_Order*Lang__A2))</f>
        <v>Will be subtracted from working hours per day - remaining hours will be uninterupted vaccination unless no more persons to vaccinate</v>
      </c>
      <c r="L184" s="587"/>
      <c r="Q184" s="403" t="s">
        <v>3006</v>
      </c>
      <c r="V184" s="403" t="s">
        <v>3746</v>
      </c>
      <c r="X184" s="403" t="s">
        <v>3041</v>
      </c>
      <c r="AC184" s="403" t="s">
        <v>6941</v>
      </c>
      <c r="AH184" s="403" t="s">
        <v>6915</v>
      </c>
      <c r="AJ184" s="403" t="s">
        <v>6942</v>
      </c>
      <c r="AO184" s="403" t="s">
        <v>6943</v>
      </c>
      <c r="AT184" s="403" t="s">
        <v>6917</v>
      </c>
      <c r="AV184" s="403" t="s">
        <v>6944</v>
      </c>
      <c r="BA184" s="403" t="s">
        <v>6945</v>
      </c>
      <c r="BF184" s="403" t="s">
        <v>6919</v>
      </c>
      <c r="BH184" s="403" t="s">
        <v>6946</v>
      </c>
      <c r="BM184" s="403" t="s">
        <v>6947</v>
      </c>
      <c r="BR184" s="403" t="s">
        <v>6919</v>
      </c>
      <c r="BT184" s="403" t="s">
        <v>6948</v>
      </c>
      <c r="BY184" s="403" t="s">
        <v>6949</v>
      </c>
      <c r="CD184" s="403" t="s">
        <v>6922</v>
      </c>
      <c r="CF184" s="403" t="s">
        <v>6950</v>
      </c>
      <c r="CK184" s="403" t="s">
        <v>6951</v>
      </c>
      <c r="CP184" s="403" t="s">
        <v>6924</v>
      </c>
      <c r="CR184" s="403" t="s">
        <v>6952</v>
      </c>
    </row>
    <row r="185" spans="1:122" s="241" customFormat="1" ht="12.75" x14ac:dyDescent="0.2">
      <c r="A185" s="350">
        <v>2</v>
      </c>
      <c r="B185" s="34"/>
      <c r="C185" s="627"/>
      <c r="D185" s="23" t="str">
        <f t="shared" ca="1" si="106"/>
        <v>HRH robustness adjustments (to define upper and lower variant)</v>
      </c>
      <c r="E185" s="35">
        <v>2.5</v>
      </c>
      <c r="F185" s="81">
        <v>2.5</v>
      </c>
      <c r="G185" s="4" t="str">
        <f t="shared" si="107"/>
        <v>OK</v>
      </c>
      <c r="I185" s="2" t="str">
        <f t="shared" ca="1" si="108"/>
        <v>mins</v>
      </c>
      <c r="J185" s="299"/>
      <c r="K185" s="143" t="str">
        <f ca="1">IF(OFFSET(X185,0,Lang_Order*Lang__A2)="","",OFFSET(X185,0,Lang_Order*Lang__A2))</f>
        <v>Minutes of health worker time required to vaccinate per dose - added (upeer variant) or subtracted (lower variant) to medium variant in T1 vaccines database</v>
      </c>
      <c r="L185" s="587"/>
      <c r="M185" s="403"/>
      <c r="N185" s="403"/>
      <c r="O185" s="403"/>
      <c r="P185" s="403"/>
      <c r="Q185" s="403" t="s">
        <v>3009</v>
      </c>
      <c r="R185" s="403"/>
      <c r="S185" s="403"/>
      <c r="T185" s="403"/>
      <c r="U185" s="403"/>
      <c r="V185" s="403" t="s">
        <v>3007</v>
      </c>
      <c r="W185" s="403"/>
      <c r="X185" s="403" t="s">
        <v>3008</v>
      </c>
      <c r="Y185" s="403"/>
      <c r="Z185" s="403"/>
      <c r="AA185" s="403"/>
      <c r="AB185" s="403"/>
      <c r="AC185" s="403" t="s">
        <v>6953</v>
      </c>
      <c r="AD185" s="403"/>
      <c r="AE185" s="403"/>
      <c r="AF185" s="403"/>
      <c r="AG185" s="403"/>
      <c r="AH185" s="403" t="s">
        <v>6954</v>
      </c>
      <c r="AI185" s="403"/>
      <c r="AJ185" s="403" t="s">
        <v>6955</v>
      </c>
      <c r="AK185" s="403"/>
      <c r="AL185" s="403"/>
      <c r="AM185" s="403"/>
      <c r="AN185" s="403"/>
      <c r="AO185" s="403" t="s">
        <v>6956</v>
      </c>
      <c r="AP185" s="403"/>
      <c r="AQ185" s="403"/>
      <c r="AR185" s="403"/>
      <c r="AS185" s="403"/>
      <c r="AT185" s="403" t="s">
        <v>6957</v>
      </c>
      <c r="AU185" s="403"/>
      <c r="AV185" s="403" t="s">
        <v>6958</v>
      </c>
      <c r="AW185" s="403"/>
      <c r="AX185" s="403"/>
      <c r="AY185" s="403"/>
      <c r="AZ185" s="403"/>
      <c r="BA185" s="403" t="s">
        <v>6959</v>
      </c>
      <c r="BB185" s="403"/>
      <c r="BC185" s="403"/>
      <c r="BD185" s="403"/>
      <c r="BE185" s="403"/>
      <c r="BF185" s="403" t="s">
        <v>6960</v>
      </c>
      <c r="BG185" s="403"/>
      <c r="BH185" s="403" t="s">
        <v>6961</v>
      </c>
      <c r="BI185" s="403"/>
      <c r="BJ185" s="403"/>
      <c r="BK185" s="403"/>
      <c r="BL185" s="403"/>
      <c r="BM185" s="403" t="s">
        <v>6962</v>
      </c>
      <c r="BN185" s="403"/>
      <c r="BO185" s="403"/>
      <c r="BP185" s="403"/>
      <c r="BQ185" s="403"/>
      <c r="BR185" s="403" t="s">
        <v>6963</v>
      </c>
      <c r="BS185" s="403"/>
      <c r="BT185" s="403" t="s">
        <v>6964</v>
      </c>
      <c r="BU185" s="403"/>
      <c r="BV185" s="403"/>
      <c r="BW185" s="403"/>
      <c r="BX185" s="403"/>
      <c r="BY185" s="403" t="s">
        <v>6965</v>
      </c>
      <c r="BZ185" s="403"/>
      <c r="CA185" s="403"/>
      <c r="CB185" s="403"/>
      <c r="CC185" s="403"/>
      <c r="CD185" s="403" t="s">
        <v>6966</v>
      </c>
      <c r="CE185" s="403"/>
      <c r="CF185" s="403" t="s">
        <v>6967</v>
      </c>
      <c r="CG185" s="403"/>
      <c r="CH185" s="403"/>
      <c r="CI185" s="403"/>
      <c r="CJ185" s="403"/>
      <c r="CK185" s="403" t="s">
        <v>6968</v>
      </c>
      <c r="CL185" s="403"/>
      <c r="CM185" s="403"/>
      <c r="CN185" s="403"/>
      <c r="CO185" s="403"/>
      <c r="CP185" s="403" t="s">
        <v>6969</v>
      </c>
      <c r="CQ185" s="403"/>
      <c r="CR185" s="403" t="s">
        <v>6970</v>
      </c>
      <c r="CS185" s="564"/>
    </row>
    <row r="186" spans="1:122" s="194" customFormat="1" ht="12.75" x14ac:dyDescent="0.2">
      <c r="A186" s="350">
        <v>2</v>
      </c>
      <c r="B186" s="34"/>
      <c r="C186" s="627"/>
      <c r="D186" s="23" t="str">
        <f t="shared" ca="1" si="106"/>
        <v>For domestic personnel transport: Maximum capacity per car</v>
      </c>
      <c r="E186" s="103">
        <v>3</v>
      </c>
      <c r="F186" s="81">
        <v>3</v>
      </c>
      <c r="G186" s="4" t="str">
        <f t="shared" si="107"/>
        <v>OK</v>
      </c>
      <c r="H186" s="77"/>
      <c r="I186" s="2"/>
      <c r="J186" s="299"/>
      <c r="K186" s="143" t="str">
        <f ca="1">IF(OFFSET(X186,0,Lang_Order*Lang__A2)="","",OFFSET(X186,0,Lang_Order*Lang__A2))</f>
        <v>Consider space needed for cold boxes and dry storage</v>
      </c>
      <c r="L186" s="587"/>
      <c r="M186" s="403"/>
      <c r="N186" s="403"/>
      <c r="O186" s="403"/>
      <c r="P186" s="403"/>
      <c r="Q186" s="403" t="s">
        <v>2902</v>
      </c>
      <c r="R186" s="403"/>
      <c r="S186" s="403"/>
      <c r="T186" s="403"/>
      <c r="U186" s="403"/>
      <c r="V186" s="403"/>
      <c r="W186" s="403"/>
      <c r="X186" s="403" t="s">
        <v>3747</v>
      </c>
      <c r="Y186" s="403"/>
      <c r="Z186" s="403"/>
      <c r="AA186" s="403"/>
      <c r="AB186" s="403"/>
      <c r="AC186" s="403" t="s">
        <v>6971</v>
      </c>
      <c r="AD186" s="403"/>
      <c r="AE186" s="403"/>
      <c r="AF186" s="403"/>
      <c r="AG186" s="403"/>
      <c r="AH186" s="403"/>
      <c r="AI186" s="403"/>
      <c r="AJ186" s="403" t="s">
        <v>6972</v>
      </c>
      <c r="AK186" s="403"/>
      <c r="AL186" s="403"/>
      <c r="AM186" s="403"/>
      <c r="AN186" s="403"/>
      <c r="AO186" s="403" t="s">
        <v>6973</v>
      </c>
      <c r="AP186" s="403"/>
      <c r="AQ186" s="403"/>
      <c r="AR186" s="403"/>
      <c r="AS186" s="403"/>
      <c r="AT186" s="403"/>
      <c r="AU186" s="403"/>
      <c r="AV186" s="403" t="s">
        <v>6974</v>
      </c>
      <c r="AW186" s="403"/>
      <c r="AX186" s="403"/>
      <c r="AY186" s="403"/>
      <c r="AZ186" s="403"/>
      <c r="BA186" s="403" t="s">
        <v>6975</v>
      </c>
      <c r="BB186" s="403"/>
      <c r="BC186" s="403"/>
      <c r="BD186" s="403"/>
      <c r="BE186" s="403"/>
      <c r="BF186" s="403"/>
      <c r="BG186" s="403"/>
      <c r="BH186" s="403" t="s">
        <v>6976</v>
      </c>
      <c r="BI186" s="403"/>
      <c r="BJ186" s="403"/>
      <c r="BK186" s="403"/>
      <c r="BL186" s="403"/>
      <c r="BM186" s="403" t="s">
        <v>6977</v>
      </c>
      <c r="BN186" s="403"/>
      <c r="BO186" s="403"/>
      <c r="BP186" s="403"/>
      <c r="BQ186" s="403"/>
      <c r="BR186" s="403"/>
      <c r="BS186" s="403"/>
      <c r="BT186" s="403" t="s">
        <v>6978</v>
      </c>
      <c r="BU186" s="403"/>
      <c r="BV186" s="403"/>
      <c r="BW186" s="403"/>
      <c r="BX186" s="403"/>
      <c r="BY186" s="403" t="s">
        <v>6979</v>
      </c>
      <c r="BZ186" s="403"/>
      <c r="CA186" s="403"/>
      <c r="CB186" s="403"/>
      <c r="CC186" s="403"/>
      <c r="CD186" s="403"/>
      <c r="CE186" s="403"/>
      <c r="CF186" s="403" t="s">
        <v>6980</v>
      </c>
      <c r="CG186" s="403"/>
      <c r="CH186" s="403"/>
      <c r="CI186" s="403"/>
      <c r="CJ186" s="403"/>
      <c r="CK186" s="403" t="s">
        <v>6981</v>
      </c>
      <c r="CL186" s="403"/>
      <c r="CM186" s="403"/>
      <c r="CN186" s="403"/>
      <c r="CO186" s="403"/>
      <c r="CP186" s="403"/>
      <c r="CQ186" s="403"/>
      <c r="CR186" s="403" t="s">
        <v>6982</v>
      </c>
      <c r="CS186" s="564"/>
    </row>
    <row r="187" spans="1:122" s="299" customFormat="1" ht="12.75" x14ac:dyDescent="0.2">
      <c r="C187" s="622"/>
      <c r="D187" s="68"/>
      <c r="E187" s="68"/>
      <c r="F187" s="68"/>
      <c r="G187" s="68"/>
      <c r="H187" s="68"/>
      <c r="I187" s="68"/>
      <c r="K187" s="567"/>
      <c r="L187" s="567"/>
      <c r="M187" s="403"/>
      <c r="N187" s="403"/>
      <c r="O187" s="403"/>
      <c r="P187" s="403"/>
      <c r="Q187" s="403"/>
      <c r="R187" s="403"/>
      <c r="S187" s="403"/>
      <c r="T187" s="403"/>
      <c r="U187" s="403"/>
      <c r="V187" s="403"/>
      <c r="W187" s="403"/>
      <c r="X187" s="403" t="s">
        <v>197</v>
      </c>
      <c r="Y187" s="403"/>
      <c r="Z187" s="403"/>
      <c r="AA187" s="403"/>
      <c r="AB187" s="403"/>
      <c r="AC187" s="403"/>
      <c r="AD187" s="403"/>
      <c r="AE187" s="403"/>
      <c r="AF187" s="403"/>
      <c r="AG187" s="403"/>
      <c r="AH187" s="403"/>
      <c r="AI187" s="403"/>
      <c r="AJ187" s="403"/>
      <c r="AK187" s="403"/>
      <c r="AL187" s="403"/>
      <c r="AM187" s="403"/>
      <c r="AN187" s="403"/>
      <c r="AO187" s="403"/>
      <c r="AP187" s="403"/>
      <c r="AQ187" s="403"/>
      <c r="AR187" s="403"/>
      <c r="AS187" s="403"/>
      <c r="AT187" s="403"/>
      <c r="AU187" s="403"/>
      <c r="AV187" s="403"/>
      <c r="AW187" s="403"/>
      <c r="AX187" s="403"/>
      <c r="AY187" s="403"/>
      <c r="AZ187" s="403"/>
      <c r="BA187" s="403"/>
      <c r="BB187" s="403"/>
      <c r="BC187" s="403"/>
      <c r="BD187" s="403"/>
      <c r="BE187" s="403"/>
      <c r="BF187" s="403"/>
      <c r="BG187" s="403"/>
      <c r="BH187" s="403"/>
      <c r="BI187" s="403"/>
      <c r="BJ187" s="403"/>
      <c r="BK187" s="403"/>
      <c r="BL187" s="403"/>
      <c r="BM187" s="403"/>
      <c r="BN187" s="403"/>
      <c r="BO187" s="403"/>
      <c r="BP187" s="403"/>
      <c r="BQ187" s="403"/>
      <c r="BR187" s="403"/>
      <c r="BS187" s="403"/>
      <c r="BT187" s="403"/>
      <c r="BU187" s="403"/>
      <c r="BV187" s="403"/>
      <c r="BW187" s="403"/>
      <c r="BX187" s="403"/>
      <c r="BY187" s="403"/>
      <c r="BZ187" s="403"/>
      <c r="CA187" s="403"/>
      <c r="CB187" s="403"/>
      <c r="CC187" s="403"/>
      <c r="CD187" s="403"/>
      <c r="CE187" s="403"/>
      <c r="CF187" s="403"/>
      <c r="CG187" s="403"/>
      <c r="CH187" s="403"/>
      <c r="CI187" s="403"/>
      <c r="CJ187" s="403"/>
      <c r="CK187" s="403"/>
      <c r="CL187" s="403"/>
      <c r="CM187" s="403"/>
      <c r="CN187" s="403"/>
      <c r="CO187" s="403"/>
      <c r="CP187" s="403"/>
      <c r="CQ187" s="403"/>
      <c r="CR187" s="403"/>
      <c r="CS187" s="564"/>
    </row>
    <row r="188" spans="1:122" s="299" customFormat="1" ht="12.75" x14ac:dyDescent="0.2">
      <c r="C188" s="624" t="str">
        <f t="shared" ref="C188" ca="1" si="109">IF(OFFSET(P188,0,Lang_Order*Lang__A2)="","",OFFSET(P188,0,Lang_Order*Lang__A2))</f>
        <v>Distribution and Service Points</v>
      </c>
      <c r="D188" s="68"/>
      <c r="E188" s="68"/>
      <c r="F188" s="68"/>
      <c r="G188" s="68"/>
      <c r="H188" s="68"/>
      <c r="I188" s="68"/>
      <c r="K188" s="567"/>
      <c r="L188" s="567"/>
      <c r="M188" s="403"/>
      <c r="N188" s="403"/>
      <c r="O188" s="403"/>
      <c r="P188" s="403" t="s">
        <v>3804</v>
      </c>
      <c r="Q188" s="403"/>
      <c r="R188" s="403"/>
      <c r="S188" s="403"/>
      <c r="T188" s="403"/>
      <c r="U188" s="403"/>
      <c r="V188" s="403"/>
      <c r="W188" s="403"/>
      <c r="X188" s="403" t="s">
        <v>197</v>
      </c>
      <c r="Y188" s="403"/>
      <c r="Z188" s="403"/>
      <c r="AA188" s="403"/>
      <c r="AB188" s="403" t="s">
        <v>6983</v>
      </c>
      <c r="AC188" s="403"/>
      <c r="AD188" s="403"/>
      <c r="AE188" s="403"/>
      <c r="AF188" s="403"/>
      <c r="AG188" s="403"/>
      <c r="AH188" s="403"/>
      <c r="AI188" s="403"/>
      <c r="AJ188" s="403"/>
      <c r="AK188" s="403"/>
      <c r="AL188" s="403"/>
      <c r="AM188" s="403"/>
      <c r="AN188" s="403" t="s">
        <v>6984</v>
      </c>
      <c r="AO188" s="403"/>
      <c r="AP188" s="403"/>
      <c r="AQ188" s="403"/>
      <c r="AR188" s="403"/>
      <c r="AS188" s="403"/>
      <c r="AT188" s="403"/>
      <c r="AU188" s="403"/>
      <c r="AV188" s="403"/>
      <c r="AW188" s="403"/>
      <c r="AX188" s="403"/>
      <c r="AY188" s="403"/>
      <c r="AZ188" s="403" t="s">
        <v>6985</v>
      </c>
      <c r="BA188" s="403"/>
      <c r="BB188" s="403"/>
      <c r="BC188" s="403"/>
      <c r="BD188" s="403"/>
      <c r="BE188" s="403"/>
      <c r="BF188" s="403"/>
      <c r="BG188" s="403"/>
      <c r="BH188" s="403"/>
      <c r="BI188" s="403"/>
      <c r="BJ188" s="403"/>
      <c r="BK188" s="403"/>
      <c r="BL188" s="403" t="s">
        <v>6986</v>
      </c>
      <c r="BM188" s="403"/>
      <c r="BN188" s="403"/>
      <c r="BO188" s="403"/>
      <c r="BP188" s="403"/>
      <c r="BQ188" s="403"/>
      <c r="BR188" s="403"/>
      <c r="BS188" s="403"/>
      <c r="BT188" s="403"/>
      <c r="BU188" s="403"/>
      <c r="BV188" s="403"/>
      <c r="BW188" s="403"/>
      <c r="BX188" s="403" t="s">
        <v>6987</v>
      </c>
      <c r="BY188" s="403"/>
      <c r="BZ188" s="403"/>
      <c r="CA188" s="403"/>
      <c r="CB188" s="403"/>
      <c r="CC188" s="403"/>
      <c r="CD188" s="403"/>
      <c r="CE188" s="403"/>
      <c r="CF188" s="403"/>
      <c r="CG188" s="403"/>
      <c r="CH188" s="403"/>
      <c r="CI188" s="403"/>
      <c r="CJ188" s="403" t="s">
        <v>6988</v>
      </c>
      <c r="CK188" s="403"/>
      <c r="CL188" s="403"/>
      <c r="CM188" s="403"/>
      <c r="CN188" s="403"/>
      <c r="CO188" s="403"/>
      <c r="CP188" s="403"/>
      <c r="CQ188" s="403"/>
      <c r="CR188" s="403"/>
      <c r="CS188" s="564"/>
    </row>
    <row r="189" spans="1:122" s="299" customFormat="1" ht="12.75" x14ac:dyDescent="0.2">
      <c r="C189" s="622"/>
      <c r="D189" s="683" t="str">
        <f t="shared" ref="D189:D194" ca="1" si="110">IF(OFFSET(Q189,0,Lang_Order*Lang__A2)="","",OFFSET(Q189,0,Lang_Order*Lang__A2))</f>
        <v>Instructions: Please indicate the total number distribution points and service points nationwide which will be used for Covid-19 vaccination, as per the description below:</v>
      </c>
      <c r="E189" s="683"/>
      <c r="F189" s="683"/>
      <c r="G189" s="683"/>
      <c r="H189" s="683"/>
      <c r="I189" s="683"/>
      <c r="K189" s="567"/>
      <c r="L189" s="567"/>
      <c r="M189" s="403"/>
      <c r="N189" s="403"/>
      <c r="O189" s="403"/>
      <c r="P189" s="403"/>
      <c r="Q189" s="403" t="s">
        <v>4092</v>
      </c>
      <c r="R189" s="403"/>
      <c r="S189" s="403"/>
      <c r="T189" s="403"/>
      <c r="U189" s="403"/>
      <c r="V189" s="403"/>
      <c r="W189" s="403"/>
      <c r="X189" s="403" t="s">
        <v>197</v>
      </c>
      <c r="Y189" s="403"/>
      <c r="Z189" s="403"/>
      <c r="AA189" s="403"/>
      <c r="AB189" s="403"/>
      <c r="AC189" s="403" t="s">
        <v>6989</v>
      </c>
      <c r="AD189" s="403"/>
      <c r="AE189" s="403"/>
      <c r="AF189" s="403"/>
      <c r="AG189" s="403"/>
      <c r="AH189" s="403"/>
      <c r="AI189" s="403"/>
      <c r="AJ189" s="403"/>
      <c r="AK189" s="403"/>
      <c r="AL189" s="403"/>
      <c r="AM189" s="403"/>
      <c r="AN189" s="403"/>
      <c r="AO189" s="403" t="s">
        <v>6990</v>
      </c>
      <c r="AP189" s="403"/>
      <c r="AQ189" s="403"/>
      <c r="AR189" s="403"/>
      <c r="AS189" s="403"/>
      <c r="AT189" s="403"/>
      <c r="AU189" s="403"/>
      <c r="AV189" s="403"/>
      <c r="AW189" s="403"/>
      <c r="AX189" s="403"/>
      <c r="AY189" s="403"/>
      <c r="AZ189" s="403"/>
      <c r="BA189" s="403" t="s">
        <v>6991</v>
      </c>
      <c r="BB189" s="403"/>
      <c r="BC189" s="403"/>
      <c r="BD189" s="403"/>
      <c r="BE189" s="403"/>
      <c r="BF189" s="403"/>
      <c r="BG189" s="403"/>
      <c r="BH189" s="403"/>
      <c r="BI189" s="403"/>
      <c r="BJ189" s="403"/>
      <c r="BK189" s="403"/>
      <c r="BL189" s="403"/>
      <c r="BM189" s="403" t="s">
        <v>6992</v>
      </c>
      <c r="BN189" s="403"/>
      <c r="BO189" s="403"/>
      <c r="BP189" s="403"/>
      <c r="BQ189" s="403"/>
      <c r="BR189" s="403"/>
      <c r="BS189" s="403"/>
      <c r="BT189" s="403"/>
      <c r="BU189" s="403"/>
      <c r="BV189" s="403"/>
      <c r="BW189" s="403"/>
      <c r="BX189" s="403"/>
      <c r="BY189" s="403" t="s">
        <v>6993</v>
      </c>
      <c r="BZ189" s="403"/>
      <c r="CA189" s="403"/>
      <c r="CB189" s="403"/>
      <c r="CC189" s="403"/>
      <c r="CD189" s="403"/>
      <c r="CE189" s="403"/>
      <c r="CF189" s="403"/>
      <c r="CG189" s="403"/>
      <c r="CH189" s="403"/>
      <c r="CI189" s="403"/>
      <c r="CJ189" s="403"/>
      <c r="CK189" s="403" t="s">
        <v>6994</v>
      </c>
      <c r="CL189" s="403"/>
      <c r="CM189" s="403"/>
      <c r="CN189" s="403"/>
      <c r="CO189" s="403"/>
      <c r="CP189" s="403"/>
      <c r="CQ189" s="403"/>
      <c r="CR189" s="403"/>
      <c r="CS189" s="564"/>
    </row>
    <row r="190" spans="1:122" s="241" customFormat="1" ht="12.75" x14ac:dyDescent="0.2">
      <c r="A190" s="349">
        <v>1</v>
      </c>
      <c r="B190" s="9"/>
      <c r="C190" s="622"/>
      <c r="D190" s="359" t="str">
        <f t="shared" ca="1" si="110"/>
        <v>Number of sub-national level 1 admin. divisions (e.g. province/region/state) - cold-storage distribution points</v>
      </c>
      <c r="E190" s="32"/>
      <c r="F190" s="299"/>
      <c r="G190" s="4" t="str">
        <f>IF(ISBLANK(E190),Lang_CHECK,"OK")</f>
        <v>CHECK</v>
      </c>
      <c r="H190" s="77"/>
      <c r="I190" s="2" t="str">
        <f t="shared" ref="I190:I194" ca="1" si="111">IF(OFFSET(V190,0,Lang_Order*Lang__A2)="","",OFFSET(V190,0,Lang_Order*Lang__A2))</f>
        <v>Whole number; Non-zero</v>
      </c>
      <c r="J190" s="299"/>
      <c r="K190" s="143" t="str">
        <f ca="1">IF(OFFSET(X190,0,Lang_Order*Lang__A2)="","",OFFSET(X190,0,Lang_Order*Lang__A2))</f>
        <v>"Regions" in this model: (i) regional cold storage distribution points; (ii) potential origins for outreach and campaigns</v>
      </c>
      <c r="L190" s="587"/>
      <c r="M190" s="403"/>
      <c r="N190" s="403"/>
      <c r="O190" s="403"/>
      <c r="P190" s="403"/>
      <c r="Q190" s="403" t="s">
        <v>3806</v>
      </c>
      <c r="R190" s="403"/>
      <c r="S190" s="403"/>
      <c r="T190" s="403"/>
      <c r="U190" s="403"/>
      <c r="V190" s="403" t="s">
        <v>4381</v>
      </c>
      <c r="W190" s="403"/>
      <c r="X190" s="403" t="s">
        <v>3835</v>
      </c>
      <c r="Y190" s="403"/>
      <c r="Z190" s="403"/>
      <c r="AA190" s="403"/>
      <c r="AB190" s="403"/>
      <c r="AC190" s="403" t="s">
        <v>6995</v>
      </c>
      <c r="AD190" s="403"/>
      <c r="AE190" s="403"/>
      <c r="AF190" s="403"/>
      <c r="AG190" s="403"/>
      <c r="AH190" s="403" t="s">
        <v>6996</v>
      </c>
      <c r="AI190" s="403"/>
      <c r="AJ190" s="403" t="s">
        <v>6997</v>
      </c>
      <c r="AK190" s="403"/>
      <c r="AL190" s="403"/>
      <c r="AM190" s="403"/>
      <c r="AN190" s="403"/>
      <c r="AO190" s="403" t="s">
        <v>6998</v>
      </c>
      <c r="AP190" s="403"/>
      <c r="AQ190" s="403"/>
      <c r="AR190" s="403"/>
      <c r="AS190" s="403"/>
      <c r="AT190" s="403" t="s">
        <v>6999</v>
      </c>
      <c r="AU190" s="403"/>
      <c r="AV190" s="403" t="s">
        <v>7000</v>
      </c>
      <c r="AW190" s="403"/>
      <c r="AX190" s="403"/>
      <c r="AY190" s="403"/>
      <c r="AZ190" s="403"/>
      <c r="BA190" s="403" t="s">
        <v>7001</v>
      </c>
      <c r="BB190" s="403"/>
      <c r="BC190" s="403"/>
      <c r="BD190" s="403"/>
      <c r="BE190" s="403"/>
      <c r="BF190" s="403" t="s">
        <v>7002</v>
      </c>
      <c r="BG190" s="403"/>
      <c r="BH190" s="403" t="s">
        <v>7003</v>
      </c>
      <c r="BI190" s="403"/>
      <c r="BJ190" s="403"/>
      <c r="BK190" s="403"/>
      <c r="BL190" s="403"/>
      <c r="BM190" s="403" t="s">
        <v>7004</v>
      </c>
      <c r="BN190" s="403"/>
      <c r="BO190" s="403"/>
      <c r="BP190" s="403"/>
      <c r="BQ190" s="403"/>
      <c r="BR190" s="403" t="s">
        <v>7005</v>
      </c>
      <c r="BS190" s="403"/>
      <c r="BT190" s="403" t="s">
        <v>7006</v>
      </c>
      <c r="BU190" s="403"/>
      <c r="BV190" s="403"/>
      <c r="BW190" s="403"/>
      <c r="BX190" s="403"/>
      <c r="BY190" s="403" t="s">
        <v>7007</v>
      </c>
      <c r="BZ190" s="403"/>
      <c r="CA190" s="403"/>
      <c r="CB190" s="403"/>
      <c r="CC190" s="403"/>
      <c r="CD190" s="403" t="s">
        <v>7008</v>
      </c>
      <c r="CE190" s="403"/>
      <c r="CF190" s="403" t="s">
        <v>7009</v>
      </c>
      <c r="CG190" s="403"/>
      <c r="CH190" s="403"/>
      <c r="CI190" s="403"/>
      <c r="CJ190" s="403"/>
      <c r="CK190" s="403" t="s">
        <v>7010</v>
      </c>
      <c r="CL190" s="403"/>
      <c r="CM190" s="403"/>
      <c r="CN190" s="403"/>
      <c r="CO190" s="403"/>
      <c r="CP190" s="403" t="s">
        <v>7011</v>
      </c>
      <c r="CQ190" s="403"/>
      <c r="CR190" s="403" t="s">
        <v>7012</v>
      </c>
      <c r="CS190" s="564"/>
    </row>
    <row r="191" spans="1:122" s="241" customFormat="1" ht="12.75" x14ac:dyDescent="0.2">
      <c r="A191" s="349">
        <v>1</v>
      </c>
      <c r="B191" s="9"/>
      <c r="C191" s="622"/>
      <c r="D191" s="359" t="str">
        <f t="shared" ca="1" si="110"/>
        <v>Number of sub-national level 2 admin. divisions (e.g. district) - cold storage distribution points</v>
      </c>
      <c r="E191" s="32"/>
      <c r="F191" s="299"/>
      <c r="G191" s="4" t="str">
        <f>IF(ISBLANK(E191),Lang_CHECK,"OK")</f>
        <v>CHECK</v>
      </c>
      <c r="H191" s="77"/>
      <c r="I191" s="2" t="str">
        <f t="shared" ca="1" si="111"/>
        <v>Whole number; Non-zero</v>
      </c>
      <c r="J191" s="299"/>
      <c r="K191" s="143" t="str">
        <f ca="1">IF(OFFSET(X191,0,Lang_Order*Lang__A2)="","",OFFSET(X191,0,Lang_Order*Lang__A2))</f>
        <v>"Districts" in this model: (i) district-level cold storage distribution points, (ii) potential origins for outreach and campaigns</v>
      </c>
      <c r="L191" s="587"/>
      <c r="M191" s="403"/>
      <c r="N191" s="403"/>
      <c r="O191" s="403"/>
      <c r="P191" s="403"/>
      <c r="Q191" s="403" t="s">
        <v>3807</v>
      </c>
      <c r="R191" s="403"/>
      <c r="S191" s="403"/>
      <c r="T191" s="403"/>
      <c r="U191" s="403"/>
      <c r="V191" s="403" t="s">
        <v>4381</v>
      </c>
      <c r="W191" s="403"/>
      <c r="X191" s="403" t="s">
        <v>3836</v>
      </c>
      <c r="Y191" s="403"/>
      <c r="Z191" s="403"/>
      <c r="AA191" s="403"/>
      <c r="AB191" s="403"/>
      <c r="AC191" s="403" t="s">
        <v>7013</v>
      </c>
      <c r="AD191" s="403"/>
      <c r="AE191" s="403"/>
      <c r="AF191" s="403"/>
      <c r="AG191" s="403"/>
      <c r="AH191" s="403" t="s">
        <v>6996</v>
      </c>
      <c r="AI191" s="403"/>
      <c r="AJ191" s="403" t="s">
        <v>7014</v>
      </c>
      <c r="AK191" s="403"/>
      <c r="AL191" s="403"/>
      <c r="AM191" s="403"/>
      <c r="AN191" s="403"/>
      <c r="AO191" s="403" t="s">
        <v>7015</v>
      </c>
      <c r="AP191" s="403"/>
      <c r="AQ191" s="403"/>
      <c r="AR191" s="403"/>
      <c r="AS191" s="403"/>
      <c r="AT191" s="403" t="s">
        <v>6999</v>
      </c>
      <c r="AU191" s="403"/>
      <c r="AV191" s="403" t="s">
        <v>7016</v>
      </c>
      <c r="AW191" s="403"/>
      <c r="AX191" s="403"/>
      <c r="AY191" s="403"/>
      <c r="AZ191" s="403"/>
      <c r="BA191" s="403" t="s">
        <v>7017</v>
      </c>
      <c r="BB191" s="403"/>
      <c r="BC191" s="403"/>
      <c r="BD191" s="403"/>
      <c r="BE191" s="403"/>
      <c r="BF191" s="403" t="s">
        <v>7002</v>
      </c>
      <c r="BG191" s="403"/>
      <c r="BH191" s="403" t="s">
        <v>7018</v>
      </c>
      <c r="BI191" s="403"/>
      <c r="BJ191" s="403"/>
      <c r="BK191" s="403"/>
      <c r="BL191" s="403"/>
      <c r="BM191" s="403" t="s">
        <v>7019</v>
      </c>
      <c r="BN191" s="403"/>
      <c r="BO191" s="403"/>
      <c r="BP191" s="403"/>
      <c r="BQ191" s="403"/>
      <c r="BR191" s="403" t="s">
        <v>7005</v>
      </c>
      <c r="BS191" s="403"/>
      <c r="BT191" s="403" t="s">
        <v>7020</v>
      </c>
      <c r="BU191" s="403"/>
      <c r="BV191" s="403"/>
      <c r="BW191" s="403"/>
      <c r="BX191" s="403"/>
      <c r="BY191" s="403" t="s">
        <v>7021</v>
      </c>
      <c r="BZ191" s="403"/>
      <c r="CA191" s="403"/>
      <c r="CB191" s="403"/>
      <c r="CC191" s="403"/>
      <c r="CD191" s="403" t="s">
        <v>7008</v>
      </c>
      <c r="CE191" s="403"/>
      <c r="CF191" s="403" t="s">
        <v>7022</v>
      </c>
      <c r="CG191" s="403"/>
      <c r="CH191" s="403"/>
      <c r="CI191" s="403"/>
      <c r="CJ191" s="403"/>
      <c r="CK191" s="403" t="s">
        <v>7023</v>
      </c>
      <c r="CL191" s="403"/>
      <c r="CM191" s="403"/>
      <c r="CN191" s="403"/>
      <c r="CO191" s="403"/>
      <c r="CP191" s="403" t="s">
        <v>7011</v>
      </c>
      <c r="CQ191" s="403"/>
      <c r="CR191" s="403" t="s">
        <v>7024</v>
      </c>
      <c r="CS191" s="564"/>
    </row>
    <row r="192" spans="1:122" ht="12.75" x14ac:dyDescent="0.2">
      <c r="A192" s="349">
        <v>1</v>
      </c>
      <c r="B192" s="9"/>
      <c r="D192" s="23" t="str">
        <f t="shared" ca="1" si="110"/>
        <v>Fixed sites with cold-storage</v>
      </c>
      <c r="E192" s="32"/>
      <c r="F192" s="299"/>
      <c r="G192" s="4" t="str">
        <f>IF(ISBLANK(E192),Lang_CHECK,"OK")</f>
        <v>CHECK</v>
      </c>
      <c r="I192" s="2" t="str">
        <f t="shared" ca="1" si="111"/>
        <v>Whole number; Non-zero</v>
      </c>
      <c r="K192" s="143" t="str">
        <f ca="1">IF(OFFSET(X192,0,Lang_Order*Lang__A2)="","",OFFSET(X192,0,Lang_Order*Lang__A2))</f>
        <v>Delivery Modality 1</v>
      </c>
      <c r="L192" s="587"/>
      <c r="Q192" s="564" t="s">
        <v>3004</v>
      </c>
      <c r="R192" s="564"/>
      <c r="S192" s="564"/>
      <c r="T192" s="564"/>
      <c r="U192" s="564"/>
      <c r="V192" s="564" t="s">
        <v>4381</v>
      </c>
      <c r="W192" s="564"/>
      <c r="X192" s="564" t="s">
        <v>1632</v>
      </c>
      <c r="Y192" s="564"/>
      <c r="Z192" s="564"/>
      <c r="AA192" s="564"/>
      <c r="AB192" s="564"/>
      <c r="AC192" s="564" t="s">
        <v>7025</v>
      </c>
      <c r="AD192" s="564"/>
      <c r="AE192" s="564"/>
      <c r="AF192" s="564"/>
      <c r="AG192" s="564"/>
      <c r="AH192" s="564" t="s">
        <v>6996</v>
      </c>
      <c r="AI192" s="564"/>
      <c r="AJ192" s="564" t="s">
        <v>7476</v>
      </c>
      <c r="AK192" s="564"/>
      <c r="AL192" s="564"/>
      <c r="AM192" s="564"/>
      <c r="AN192" s="564"/>
      <c r="AO192" s="564" t="s">
        <v>7026</v>
      </c>
      <c r="AP192" s="564"/>
      <c r="AQ192" s="564"/>
      <c r="AR192" s="564"/>
      <c r="AS192" s="564"/>
      <c r="AT192" s="564" t="s">
        <v>6999</v>
      </c>
      <c r="AU192" s="564"/>
      <c r="AV192" s="564" t="s">
        <v>7477</v>
      </c>
      <c r="AW192" s="564"/>
      <c r="AX192" s="564"/>
      <c r="AY192" s="564"/>
      <c r="AZ192" s="564"/>
      <c r="BA192" s="564" t="s">
        <v>7027</v>
      </c>
      <c r="BB192" s="564"/>
      <c r="BC192" s="564"/>
      <c r="BD192" s="564"/>
      <c r="BE192" s="564"/>
      <c r="BF192" s="564" t="s">
        <v>7002</v>
      </c>
      <c r="BG192" s="564"/>
      <c r="BH192" s="564" t="s">
        <v>14265</v>
      </c>
      <c r="BI192" s="564"/>
      <c r="BJ192" s="564"/>
      <c r="BK192" s="564"/>
      <c r="BL192" s="564"/>
      <c r="BM192" s="564" t="s">
        <v>7028</v>
      </c>
      <c r="BN192" s="564"/>
      <c r="BO192" s="564"/>
      <c r="BP192" s="564"/>
      <c r="BQ192" s="564"/>
      <c r="BR192" s="564" t="s">
        <v>7005</v>
      </c>
      <c r="BS192" s="564"/>
      <c r="BT192" s="564" t="s">
        <v>7479</v>
      </c>
      <c r="BU192" s="564"/>
      <c r="BV192" s="564"/>
      <c r="BW192" s="564"/>
      <c r="BX192" s="564"/>
      <c r="BY192" s="564" t="s">
        <v>7029</v>
      </c>
      <c r="BZ192" s="564"/>
      <c r="CA192" s="564"/>
      <c r="CB192" s="564"/>
      <c r="CC192" s="564"/>
      <c r="CD192" s="564" t="s">
        <v>7008</v>
      </c>
      <c r="CE192" s="564"/>
      <c r="CF192" s="564" t="s">
        <v>14266</v>
      </c>
      <c r="CG192" s="564"/>
      <c r="CH192" s="564"/>
      <c r="CI192" s="564"/>
      <c r="CJ192" s="564"/>
      <c r="CK192" s="564" t="s">
        <v>7030</v>
      </c>
      <c r="CL192" s="564"/>
      <c r="CM192" s="564"/>
      <c r="CN192" s="564"/>
      <c r="CO192" s="564"/>
      <c r="CP192" s="564" t="s">
        <v>7011</v>
      </c>
      <c r="CQ192" s="564"/>
      <c r="CR192" s="564" t="s">
        <v>7481</v>
      </c>
      <c r="CT192" s="567"/>
      <c r="CU192" s="567"/>
      <c r="CV192" s="567"/>
      <c r="CW192" s="567"/>
      <c r="CX192" s="567"/>
      <c r="CY192" s="567"/>
      <c r="CZ192" s="567"/>
      <c r="DA192" s="567"/>
      <c r="DB192" s="567"/>
      <c r="DC192" s="567"/>
      <c r="DD192" s="567"/>
      <c r="DE192" s="567"/>
      <c r="DF192" s="567"/>
      <c r="DG192" s="567"/>
      <c r="DH192" s="567"/>
      <c r="DI192" s="567"/>
      <c r="DJ192" s="567"/>
      <c r="DK192" s="567"/>
      <c r="DL192" s="567"/>
      <c r="DM192" s="567"/>
      <c r="DN192" s="567"/>
      <c r="DO192" s="567"/>
      <c r="DP192" s="567"/>
      <c r="DQ192" s="567"/>
      <c r="DR192" s="567"/>
    </row>
    <row r="193" spans="1:97" ht="12.75" x14ac:dyDescent="0.2">
      <c r="A193" s="349">
        <v>1</v>
      </c>
      <c r="B193" s="9"/>
      <c r="D193" s="335" t="str">
        <f t="shared" ca="1" si="110"/>
        <v>Campaign sites (Fixed sites without cold-storage)</v>
      </c>
      <c r="E193" s="32"/>
      <c r="F193" s="81" t="e">
        <f>IF(J193&gt;0,CONCATENATE("&gt; ",J193),"")</f>
        <v>#N/A</v>
      </c>
      <c r="G193" s="4" t="e">
        <f>IF(Sites_NoColdStorage&lt;J193,Lang_CHECK,"OK")</f>
        <v>#N/A</v>
      </c>
      <c r="I193" s="2" t="str">
        <f t="shared" ca="1" si="111"/>
        <v>Whole number</v>
      </c>
      <c r="J193" s="3" t="e">
        <f>IF('B1. Target Population'!J165&gt;1,4,0)</f>
        <v>#N/A</v>
      </c>
      <c r="K193" s="143" t="str">
        <f ca="1">IF(OFFSET(X193,0,Lang_Order*Lang__A2)="","",OFFSET(X193,0,Lang_Order*Lang__A2))</f>
        <v>Delivery Modality 2 (e.g. one-day campaigns); Avoid using too few sites (e.g., not less than half the number of fixed sites with cold storage)</v>
      </c>
      <c r="L193" s="587"/>
      <c r="Q193" s="403" t="s">
        <v>3805</v>
      </c>
      <c r="V193" s="403" t="s">
        <v>45</v>
      </c>
      <c r="X193" s="403" t="s">
        <v>4433</v>
      </c>
      <c r="AC193" s="403" t="s">
        <v>7031</v>
      </c>
      <c r="AH193" s="403" t="s">
        <v>6121</v>
      </c>
      <c r="AJ193" s="403" t="s">
        <v>13893</v>
      </c>
      <c r="AO193" s="403" t="s">
        <v>7032</v>
      </c>
      <c r="AT193" s="403" t="s">
        <v>6371</v>
      </c>
      <c r="AV193" s="403" t="s">
        <v>13894</v>
      </c>
      <c r="BA193" s="403" t="s">
        <v>7033</v>
      </c>
      <c r="BF193" s="403" t="s">
        <v>6127</v>
      </c>
      <c r="BH193" s="403" t="s">
        <v>13895</v>
      </c>
      <c r="BM193" s="403" t="s">
        <v>7034</v>
      </c>
      <c r="BR193" s="403" t="s">
        <v>6129</v>
      </c>
      <c r="BT193" s="403" t="s">
        <v>13896</v>
      </c>
      <c r="BY193" s="403" t="s">
        <v>7035</v>
      </c>
      <c r="CD193" s="403" t="s">
        <v>13892</v>
      </c>
      <c r="CF193" s="403" t="s">
        <v>13897</v>
      </c>
      <c r="CK193" s="403" t="s">
        <v>7036</v>
      </c>
      <c r="CP193" s="403" t="s">
        <v>6135</v>
      </c>
      <c r="CR193" s="403" t="s">
        <v>13898</v>
      </c>
    </row>
    <row r="194" spans="1:97" ht="12.75" x14ac:dyDescent="0.2">
      <c r="A194" s="349">
        <v>1</v>
      </c>
      <c r="B194" s="9"/>
      <c r="D194" s="23" t="str">
        <f t="shared" ca="1" si="110"/>
        <v>Outreach sites</v>
      </c>
      <c r="E194" s="32"/>
      <c r="F194" s="81" t="e">
        <f>IF(J194=1,"&gt; 0","")</f>
        <v>#N/A</v>
      </c>
      <c r="G194" s="4" t="e">
        <f>IF(Critical_Sites&lt;J194,Lang_CHECK,"OK")</f>
        <v>#N/A</v>
      </c>
      <c r="H194"/>
      <c r="I194" s="2" t="str">
        <f t="shared" ca="1" si="111"/>
        <v>Whole number</v>
      </c>
      <c r="J194" s="3" t="e">
        <f>IF('B1. Target Population'!J160&gt;1,1,0)</f>
        <v>#N/A</v>
      </c>
      <c r="K194" s="143" t="str">
        <f t="shared" ref="K194:K220" ca="1" si="112">IF(OFFSET(X194,0,Lang_Order*Lang__A2)="","",OFFSET(X194,0,Lang_Order*Lang__A2))</f>
        <v>Delivery Modality 4 (e.g., outreach) | Population centers | EPI sites for remote populations)</v>
      </c>
      <c r="L194" s="587"/>
      <c r="Q194" s="403" t="s">
        <v>3005</v>
      </c>
      <c r="V194" s="403" t="s">
        <v>45</v>
      </c>
      <c r="X194" s="403" t="s">
        <v>3002</v>
      </c>
      <c r="AC194" s="403" t="s">
        <v>7037</v>
      </c>
      <c r="AH194" s="403" t="s">
        <v>6121</v>
      </c>
      <c r="AJ194" s="403" t="s">
        <v>7038</v>
      </c>
      <c r="AO194" s="403" t="s">
        <v>7039</v>
      </c>
      <c r="AT194" s="403" t="s">
        <v>6371</v>
      </c>
      <c r="AV194" s="403" t="s">
        <v>7040</v>
      </c>
      <c r="BA194" s="403" t="s">
        <v>7041</v>
      </c>
      <c r="BF194" s="403" t="s">
        <v>6127</v>
      </c>
      <c r="BH194" s="403" t="s">
        <v>7042</v>
      </c>
      <c r="BM194" s="403" t="s">
        <v>7043</v>
      </c>
      <c r="BR194" s="403" t="s">
        <v>6129</v>
      </c>
      <c r="BT194" s="403" t="s">
        <v>7044</v>
      </c>
      <c r="BY194" s="403" t="s">
        <v>7045</v>
      </c>
      <c r="CD194" s="403" t="s">
        <v>13892</v>
      </c>
      <c r="CF194" s="403" t="s">
        <v>7046</v>
      </c>
      <c r="CK194" s="403" t="s">
        <v>7047</v>
      </c>
      <c r="CP194" s="403" t="s">
        <v>6135</v>
      </c>
      <c r="CR194" s="403" t="s">
        <v>7048</v>
      </c>
    </row>
    <row r="195" spans="1:97" s="299" customFormat="1" ht="12.75" x14ac:dyDescent="0.2">
      <c r="B195" s="9"/>
      <c r="C195" s="622"/>
      <c r="K195" s="567"/>
      <c r="L195" s="567"/>
      <c r="M195" s="403"/>
      <c r="N195" s="403"/>
      <c r="O195" s="403"/>
      <c r="P195" s="403"/>
      <c r="Q195" s="403"/>
      <c r="R195" s="403"/>
      <c r="S195" s="403"/>
      <c r="T195" s="403"/>
      <c r="U195" s="403"/>
      <c r="V195" s="403"/>
      <c r="W195" s="403"/>
      <c r="X195" s="403" t="s">
        <v>197</v>
      </c>
      <c r="Y195" s="403"/>
      <c r="Z195" s="403"/>
      <c r="AA195" s="403"/>
      <c r="AB195" s="403"/>
      <c r="AC195" s="403"/>
      <c r="AD195" s="403"/>
      <c r="AE195" s="403"/>
      <c r="AF195" s="403"/>
      <c r="AG195" s="403"/>
      <c r="AH195" s="403"/>
      <c r="AI195" s="403"/>
      <c r="AJ195" s="403"/>
      <c r="AK195" s="403"/>
      <c r="AL195" s="403"/>
      <c r="AM195" s="403"/>
      <c r="AN195" s="403"/>
      <c r="AO195" s="403"/>
      <c r="AP195" s="403"/>
      <c r="AQ195" s="403"/>
      <c r="AR195" s="403"/>
      <c r="AS195" s="403"/>
      <c r="AT195" s="403"/>
      <c r="AU195" s="403"/>
      <c r="AV195" s="403"/>
      <c r="AW195" s="403"/>
      <c r="AX195" s="403"/>
      <c r="AY195" s="403"/>
      <c r="AZ195" s="403"/>
      <c r="BA195" s="403"/>
      <c r="BB195" s="403"/>
      <c r="BC195" s="403"/>
      <c r="BD195" s="403"/>
      <c r="BE195" s="403"/>
      <c r="BF195" s="403"/>
      <c r="BG195" s="403"/>
      <c r="BH195" s="403"/>
      <c r="BI195" s="403"/>
      <c r="BJ195" s="403"/>
      <c r="BK195" s="403"/>
      <c r="BL195" s="403"/>
      <c r="BM195" s="403"/>
      <c r="BN195" s="403"/>
      <c r="BO195" s="403"/>
      <c r="BP195" s="403"/>
      <c r="BQ195" s="403"/>
      <c r="BR195" s="403"/>
      <c r="BS195" s="403"/>
      <c r="BT195" s="403"/>
      <c r="BU195" s="403"/>
      <c r="BV195" s="403"/>
      <c r="BW195" s="403"/>
      <c r="BX195" s="403"/>
      <c r="BY195" s="403"/>
      <c r="BZ195" s="403"/>
      <c r="CA195" s="403"/>
      <c r="CB195" s="403"/>
      <c r="CC195" s="403"/>
      <c r="CD195" s="403"/>
      <c r="CE195" s="403"/>
      <c r="CF195" s="403"/>
      <c r="CG195" s="403"/>
      <c r="CH195" s="403"/>
      <c r="CI195" s="403"/>
      <c r="CJ195" s="403"/>
      <c r="CK195" s="403"/>
      <c r="CL195" s="403"/>
      <c r="CM195" s="403"/>
      <c r="CN195" s="403"/>
      <c r="CO195" s="403"/>
      <c r="CP195" s="403"/>
      <c r="CQ195" s="403"/>
      <c r="CR195" s="403"/>
      <c r="CS195" s="564"/>
    </row>
    <row r="196" spans="1:97" s="15" customFormat="1" ht="12.75" x14ac:dyDescent="0.2">
      <c r="A196" s="299"/>
      <c r="B196" s="9"/>
      <c r="C196" s="622"/>
      <c r="D196" s="15" t="str">
        <f t="shared" ref="D196" ca="1" si="113">IF(OFFSET(Q196,0,Lang_Order*Lang__A2)="","",OFFSET(Q196,0,Lang_Order*Lang__A2))</f>
        <v>What percent of the hard-to-reach population vaccinated by outreach:</v>
      </c>
      <c r="J196" s="299"/>
      <c r="K196" s="567"/>
      <c r="L196" s="567"/>
      <c r="M196" s="403"/>
      <c r="N196" s="403"/>
      <c r="O196" s="403"/>
      <c r="P196" s="403"/>
      <c r="Q196" s="403" t="s">
        <v>3809</v>
      </c>
      <c r="R196" s="403"/>
      <c r="S196" s="403"/>
      <c r="T196" s="403"/>
      <c r="U196" s="403"/>
      <c r="V196" s="403"/>
      <c r="W196" s="403"/>
      <c r="X196" s="403" t="s">
        <v>197</v>
      </c>
      <c r="Y196" s="403"/>
      <c r="Z196" s="403"/>
      <c r="AA196" s="403"/>
      <c r="AB196" s="403"/>
      <c r="AC196" s="403" t="s">
        <v>7049</v>
      </c>
      <c r="AD196" s="403"/>
      <c r="AE196" s="403"/>
      <c r="AF196" s="403"/>
      <c r="AG196" s="403"/>
      <c r="AH196" s="403"/>
      <c r="AI196" s="403"/>
      <c r="AJ196" s="403"/>
      <c r="AK196" s="403"/>
      <c r="AL196" s="403"/>
      <c r="AM196" s="403"/>
      <c r="AN196" s="403"/>
      <c r="AO196" s="403" t="s">
        <v>7050</v>
      </c>
      <c r="AP196" s="403"/>
      <c r="AQ196" s="403"/>
      <c r="AR196" s="403"/>
      <c r="AS196" s="403"/>
      <c r="AT196" s="403"/>
      <c r="AU196" s="403"/>
      <c r="AV196" s="403"/>
      <c r="AW196" s="403"/>
      <c r="AX196" s="403"/>
      <c r="AY196" s="403"/>
      <c r="AZ196" s="403"/>
      <c r="BA196" s="403" t="s">
        <v>7051</v>
      </c>
      <c r="BB196" s="403"/>
      <c r="BC196" s="403"/>
      <c r="BD196" s="403"/>
      <c r="BE196" s="403"/>
      <c r="BF196" s="403"/>
      <c r="BG196" s="403"/>
      <c r="BH196" s="403"/>
      <c r="BI196" s="403"/>
      <c r="BJ196" s="403"/>
      <c r="BK196" s="403"/>
      <c r="BL196" s="403"/>
      <c r="BM196" s="403" t="s">
        <v>7052</v>
      </c>
      <c r="BN196" s="403"/>
      <c r="BO196" s="403"/>
      <c r="BP196" s="403"/>
      <c r="BQ196" s="403"/>
      <c r="BR196" s="403"/>
      <c r="BS196" s="403"/>
      <c r="BT196" s="403"/>
      <c r="BU196" s="403"/>
      <c r="BV196" s="403"/>
      <c r="BW196" s="403"/>
      <c r="BX196" s="403"/>
      <c r="BY196" s="403" t="s">
        <v>7053</v>
      </c>
      <c r="BZ196" s="403"/>
      <c r="CA196" s="403"/>
      <c r="CB196" s="403"/>
      <c r="CC196" s="403"/>
      <c r="CD196" s="403"/>
      <c r="CE196" s="403"/>
      <c r="CF196" s="403"/>
      <c r="CG196" s="403"/>
      <c r="CH196" s="403"/>
      <c r="CI196" s="403"/>
      <c r="CJ196" s="403"/>
      <c r="CK196" s="403" t="s">
        <v>7054</v>
      </c>
      <c r="CL196" s="403"/>
      <c r="CM196" s="403"/>
      <c r="CN196" s="403"/>
      <c r="CO196" s="403"/>
      <c r="CP196" s="403"/>
      <c r="CQ196" s="403"/>
      <c r="CR196" s="403"/>
      <c r="CS196" s="564"/>
    </row>
    <row r="197" spans="1:97" s="15" customFormat="1" ht="12.75" x14ac:dyDescent="0.2">
      <c r="A197" s="350">
        <v>2</v>
      </c>
      <c r="B197" s="9"/>
      <c r="C197" s="622"/>
      <c r="D197" s="31" t="str">
        <f t="shared" ref="D197:D199" ca="1" si="114">IF(OFFSET(Q197,0,Lang_Order*Lang__A2)="","",OFFSET(Q197,0,Lang_Order*Lang__A2))</f>
        <v>… need to be reached by mobile team Type A (single-person team)</v>
      </c>
      <c r="E197" s="40">
        <v>0.2</v>
      </c>
      <c r="G197" s="4" t="str">
        <f>IF(ISBLANK(E197),Lang_CHECK,"OK")</f>
        <v>OK</v>
      </c>
      <c r="I197" s="2" t="str">
        <f t="shared" ref="I197:I199" ca="1" si="115">IF(OFFSET(V197,0,Lang_Order*Lang__A2)="","",OFFSET(V197,0,Lang_Order*Lang__A2))</f>
        <v>Percent of Difficult to Access Population</v>
      </c>
      <c r="J197" s="299"/>
      <c r="K197" s="143" t="str">
        <f t="shared" ca="1" si="112"/>
        <v>Delivery Modality 4 (e.g., outreach / mobile)</v>
      </c>
      <c r="L197" s="587"/>
      <c r="M197" s="403"/>
      <c r="N197" s="403"/>
      <c r="O197" s="403"/>
      <c r="P197" s="403"/>
      <c r="Q197" s="403" t="s">
        <v>1688</v>
      </c>
      <c r="R197" s="403"/>
      <c r="S197" s="403"/>
      <c r="T197" s="403"/>
      <c r="U197" s="403"/>
      <c r="V197" s="564" t="s">
        <v>3096</v>
      </c>
      <c r="W197" s="403"/>
      <c r="X197" s="403" t="s">
        <v>3003</v>
      </c>
      <c r="Y197" s="403"/>
      <c r="Z197" s="403"/>
      <c r="AA197" s="403"/>
      <c r="AB197" s="403"/>
      <c r="AC197" s="403" t="s">
        <v>7055</v>
      </c>
      <c r="AD197" s="403"/>
      <c r="AE197" s="403"/>
      <c r="AF197" s="403"/>
      <c r="AG197" s="403"/>
      <c r="AH197" s="564" t="s">
        <v>7076</v>
      </c>
      <c r="AI197" s="403"/>
      <c r="AJ197" s="403" t="s">
        <v>7056</v>
      </c>
      <c r="AK197" s="403"/>
      <c r="AL197" s="403"/>
      <c r="AM197" s="403"/>
      <c r="AN197" s="403"/>
      <c r="AO197" s="403" t="s">
        <v>7057</v>
      </c>
      <c r="AP197" s="403"/>
      <c r="AQ197" s="403"/>
      <c r="AR197" s="403"/>
      <c r="AS197" s="403"/>
      <c r="AT197" s="564" t="s">
        <v>7079</v>
      </c>
      <c r="AU197" s="403"/>
      <c r="AV197" s="403" t="s">
        <v>7058</v>
      </c>
      <c r="AW197" s="403"/>
      <c r="AX197" s="403"/>
      <c r="AY197" s="403"/>
      <c r="AZ197" s="403"/>
      <c r="BA197" s="403" t="s">
        <v>7059</v>
      </c>
      <c r="BB197" s="403"/>
      <c r="BC197" s="403"/>
      <c r="BD197" s="403"/>
      <c r="BE197" s="403"/>
      <c r="BF197" s="564" t="s">
        <v>7082</v>
      </c>
      <c r="BG197" s="403"/>
      <c r="BH197" s="403" t="s">
        <v>7060</v>
      </c>
      <c r="BI197" s="403"/>
      <c r="BJ197" s="403"/>
      <c r="BK197" s="403"/>
      <c r="BL197" s="403"/>
      <c r="BM197" s="403" t="s">
        <v>7061</v>
      </c>
      <c r="BN197" s="403"/>
      <c r="BO197" s="403"/>
      <c r="BP197" s="403"/>
      <c r="BQ197" s="403"/>
      <c r="BR197" s="564" t="s">
        <v>7085</v>
      </c>
      <c r="BS197" s="403"/>
      <c r="BT197" s="403" t="s">
        <v>7062</v>
      </c>
      <c r="BU197" s="403"/>
      <c r="BV197" s="403"/>
      <c r="BW197" s="403"/>
      <c r="BX197" s="403"/>
      <c r="BY197" s="403" t="s">
        <v>7063</v>
      </c>
      <c r="BZ197" s="403"/>
      <c r="CA197" s="403"/>
      <c r="CB197" s="403"/>
      <c r="CC197" s="403"/>
      <c r="CD197" s="403" t="s">
        <v>7064</v>
      </c>
      <c r="CE197" s="403"/>
      <c r="CF197" s="564" t="s">
        <v>7088</v>
      </c>
      <c r="CG197" s="403"/>
      <c r="CH197" s="403"/>
      <c r="CI197" s="403"/>
      <c r="CJ197" s="403"/>
      <c r="CK197" s="403" t="s">
        <v>7065</v>
      </c>
      <c r="CL197" s="403"/>
      <c r="CM197" s="403"/>
      <c r="CN197" s="403"/>
      <c r="CO197" s="403"/>
      <c r="CP197" s="403" t="s">
        <v>7066</v>
      </c>
      <c r="CQ197" s="403"/>
      <c r="CR197" s="564" t="s">
        <v>7091</v>
      </c>
      <c r="CS197" s="564"/>
    </row>
    <row r="198" spans="1:97" s="15" customFormat="1" ht="12.75" x14ac:dyDescent="0.2">
      <c r="A198" s="350">
        <v>2</v>
      </c>
      <c r="B198" s="9"/>
      <c r="C198" s="622"/>
      <c r="D198" s="31" t="str">
        <f t="shared" ca="1" si="114"/>
        <v>… need to be reached by mobile team Type B (multi-person team)</v>
      </c>
      <c r="E198" s="40">
        <v>0.3</v>
      </c>
      <c r="G198" s="4" t="str">
        <f>IF(ISBLANK(E198),Lang_CHECK,"OK")</f>
        <v>OK</v>
      </c>
      <c r="I198" s="2" t="str">
        <f t="shared" ca="1" si="115"/>
        <v>Percent of Difficult to Access Population</v>
      </c>
      <c r="J198" s="299"/>
      <c r="K198" s="143" t="str">
        <f t="shared" ca="1" si="112"/>
        <v>Delivery Modality 4 (e.g., outreach / mobile)</v>
      </c>
      <c r="L198" s="587"/>
      <c r="M198" s="403"/>
      <c r="N198" s="403"/>
      <c r="O198" s="403"/>
      <c r="P198" s="403"/>
      <c r="Q198" s="403" t="s">
        <v>1689</v>
      </c>
      <c r="R198" s="403"/>
      <c r="S198" s="403"/>
      <c r="T198" s="403"/>
      <c r="U198" s="403"/>
      <c r="V198" s="564" t="s">
        <v>3096</v>
      </c>
      <c r="W198" s="403"/>
      <c r="X198" s="403" t="s">
        <v>3003</v>
      </c>
      <c r="Y198" s="403"/>
      <c r="Z198" s="403"/>
      <c r="AA198" s="403"/>
      <c r="AB198" s="403"/>
      <c r="AC198" s="403" t="s">
        <v>7067</v>
      </c>
      <c r="AD198" s="403"/>
      <c r="AE198" s="403"/>
      <c r="AF198" s="403"/>
      <c r="AG198" s="403"/>
      <c r="AH198" s="564" t="s">
        <v>7076</v>
      </c>
      <c r="AI198" s="403"/>
      <c r="AJ198" s="403" t="s">
        <v>7056</v>
      </c>
      <c r="AK198" s="403"/>
      <c r="AL198" s="403"/>
      <c r="AM198" s="403"/>
      <c r="AN198" s="403"/>
      <c r="AO198" s="403" t="s">
        <v>7068</v>
      </c>
      <c r="AP198" s="403"/>
      <c r="AQ198" s="403"/>
      <c r="AR198" s="403"/>
      <c r="AS198" s="403"/>
      <c r="AT198" s="564" t="s">
        <v>7079</v>
      </c>
      <c r="AU198" s="403"/>
      <c r="AV198" s="403" t="s">
        <v>7058</v>
      </c>
      <c r="AW198" s="403"/>
      <c r="AX198" s="403"/>
      <c r="AY198" s="403"/>
      <c r="AZ198" s="403"/>
      <c r="BA198" s="403" t="s">
        <v>7069</v>
      </c>
      <c r="BB198" s="403"/>
      <c r="BC198" s="403"/>
      <c r="BD198" s="403"/>
      <c r="BE198" s="403"/>
      <c r="BF198" s="564" t="s">
        <v>7082</v>
      </c>
      <c r="BG198" s="403"/>
      <c r="BH198" s="403" t="s">
        <v>7060</v>
      </c>
      <c r="BI198" s="403"/>
      <c r="BJ198" s="403"/>
      <c r="BK198" s="403"/>
      <c r="BL198" s="403"/>
      <c r="BM198" s="403" t="s">
        <v>7070</v>
      </c>
      <c r="BN198" s="403"/>
      <c r="BO198" s="403"/>
      <c r="BP198" s="403"/>
      <c r="BQ198" s="403"/>
      <c r="BR198" s="564" t="s">
        <v>7085</v>
      </c>
      <c r="BS198" s="403"/>
      <c r="BT198" s="403" t="s">
        <v>7062</v>
      </c>
      <c r="BU198" s="403"/>
      <c r="BV198" s="403"/>
      <c r="BW198" s="403"/>
      <c r="BX198" s="403"/>
      <c r="BY198" s="403" t="s">
        <v>7071</v>
      </c>
      <c r="BZ198" s="403"/>
      <c r="CA198" s="403"/>
      <c r="CB198" s="403"/>
      <c r="CC198" s="403"/>
      <c r="CD198" s="403" t="s">
        <v>7072</v>
      </c>
      <c r="CE198" s="403"/>
      <c r="CF198" s="564" t="s">
        <v>7088</v>
      </c>
      <c r="CG198" s="403"/>
      <c r="CH198" s="403"/>
      <c r="CI198" s="403"/>
      <c r="CJ198" s="403"/>
      <c r="CK198" s="403" t="s">
        <v>7073</v>
      </c>
      <c r="CL198" s="403"/>
      <c r="CM198" s="403"/>
      <c r="CN198" s="403"/>
      <c r="CO198" s="403"/>
      <c r="CP198" s="403" t="s">
        <v>7074</v>
      </c>
      <c r="CQ198" s="403"/>
      <c r="CR198" s="564" t="s">
        <v>7091</v>
      </c>
      <c r="CS198" s="564"/>
    </row>
    <row r="199" spans="1:97" s="15" customFormat="1" ht="12.75" x14ac:dyDescent="0.2">
      <c r="A199" s="299"/>
      <c r="C199" s="622"/>
      <c r="D199" s="329" t="str">
        <f t="shared" ca="1" si="114"/>
        <v>… [implied remainder] can come to the outreach site ('the basecamp')</v>
      </c>
      <c r="G199" s="4" t="str">
        <f>IF(OR(ISBLANK(H199),CriticalPopulation_CometoSite&lt;0),Lang_CHECK,"OK")</f>
        <v>OK</v>
      </c>
      <c r="H199" s="67">
        <f>1-SUM(E197:E198)</f>
        <v>0.5</v>
      </c>
      <c r="I199" s="2" t="str">
        <f t="shared" ca="1" si="115"/>
        <v>Percent of Difficult to Access Population</v>
      </c>
      <c r="J199" s="299"/>
      <c r="K199" s="143" t="str">
        <f t="shared" ca="1" si="112"/>
        <v>Delivery Modality 4 (e.g., outreach)</v>
      </c>
      <c r="L199" s="587"/>
      <c r="M199" s="403"/>
      <c r="N199" s="403"/>
      <c r="O199" s="403"/>
      <c r="P199" s="403"/>
      <c r="Q199" s="403" t="s">
        <v>4093</v>
      </c>
      <c r="R199" s="403"/>
      <c r="S199" s="403"/>
      <c r="T199" s="403"/>
      <c r="U199" s="403"/>
      <c r="V199" s="403" t="s">
        <v>3096</v>
      </c>
      <c r="W199" s="403"/>
      <c r="X199" s="403" t="s">
        <v>2875</v>
      </c>
      <c r="Y199" s="403"/>
      <c r="Z199" s="403"/>
      <c r="AA199" s="403"/>
      <c r="AB199" s="403"/>
      <c r="AC199" s="403" t="s">
        <v>7075</v>
      </c>
      <c r="AD199" s="403"/>
      <c r="AE199" s="403"/>
      <c r="AF199" s="403"/>
      <c r="AG199" s="403"/>
      <c r="AH199" s="403" t="s">
        <v>7076</v>
      </c>
      <c r="AI199" s="403"/>
      <c r="AJ199" s="403" t="s">
        <v>7077</v>
      </c>
      <c r="AK199" s="403"/>
      <c r="AL199" s="403"/>
      <c r="AM199" s="403"/>
      <c r="AN199" s="403"/>
      <c r="AO199" s="403" t="s">
        <v>7078</v>
      </c>
      <c r="AP199" s="403"/>
      <c r="AQ199" s="403"/>
      <c r="AR199" s="403"/>
      <c r="AS199" s="403"/>
      <c r="AT199" s="403" t="s">
        <v>7079</v>
      </c>
      <c r="AU199" s="403"/>
      <c r="AV199" s="403" t="s">
        <v>7080</v>
      </c>
      <c r="AW199" s="403"/>
      <c r="AX199" s="403"/>
      <c r="AY199" s="403"/>
      <c r="AZ199" s="403"/>
      <c r="BA199" s="403" t="s">
        <v>7081</v>
      </c>
      <c r="BB199" s="403"/>
      <c r="BC199" s="403"/>
      <c r="BD199" s="403"/>
      <c r="BE199" s="403"/>
      <c r="BF199" s="403" t="s">
        <v>7082</v>
      </c>
      <c r="BG199" s="403"/>
      <c r="BH199" s="403" t="s">
        <v>7083</v>
      </c>
      <c r="BI199" s="403"/>
      <c r="BJ199" s="403"/>
      <c r="BK199" s="403"/>
      <c r="BL199" s="403"/>
      <c r="BM199" s="403" t="s">
        <v>7084</v>
      </c>
      <c r="BN199" s="403"/>
      <c r="BO199" s="403"/>
      <c r="BP199" s="403"/>
      <c r="BQ199" s="403"/>
      <c r="BR199" s="403" t="s">
        <v>7085</v>
      </c>
      <c r="BS199" s="403"/>
      <c r="BT199" s="403" t="s">
        <v>7086</v>
      </c>
      <c r="BU199" s="403"/>
      <c r="BV199" s="403"/>
      <c r="BW199" s="403"/>
      <c r="BX199" s="403"/>
      <c r="BY199" s="403" t="s">
        <v>7087</v>
      </c>
      <c r="BZ199" s="403"/>
      <c r="CA199" s="403"/>
      <c r="CB199" s="403"/>
      <c r="CC199" s="403"/>
      <c r="CD199" s="403" t="s">
        <v>7064</v>
      </c>
      <c r="CE199" s="403"/>
      <c r="CF199" s="403" t="s">
        <v>7088</v>
      </c>
      <c r="CG199" s="403"/>
      <c r="CH199" s="403"/>
      <c r="CI199" s="403"/>
      <c r="CJ199" s="403"/>
      <c r="CK199" s="403" t="s">
        <v>7089</v>
      </c>
      <c r="CL199" s="403"/>
      <c r="CM199" s="403"/>
      <c r="CN199" s="403"/>
      <c r="CO199" s="403"/>
      <c r="CP199" s="403" t="s">
        <v>7090</v>
      </c>
      <c r="CQ199" s="403"/>
      <c r="CR199" s="403" t="s">
        <v>7091</v>
      </c>
      <c r="CS199" s="564"/>
    </row>
    <row r="200" spans="1:97" s="299" customFormat="1" ht="12.75" x14ac:dyDescent="0.2">
      <c r="C200" s="622"/>
      <c r="K200" s="567"/>
      <c r="L200" s="567"/>
      <c r="M200" s="403"/>
      <c r="N200" s="403"/>
      <c r="O200" s="403"/>
      <c r="P200" s="403"/>
      <c r="Q200" s="403"/>
      <c r="R200" s="403"/>
      <c r="S200" s="403"/>
      <c r="T200" s="403"/>
      <c r="U200" s="403"/>
      <c r="V200" s="403"/>
      <c r="W200" s="403"/>
      <c r="X200" s="403" t="s">
        <v>197</v>
      </c>
      <c r="Y200" s="403"/>
      <c r="Z200" s="403"/>
      <c r="AA200" s="403"/>
      <c r="AB200" s="403"/>
      <c r="AC200" s="403"/>
      <c r="AD200" s="403"/>
      <c r="AE200" s="403"/>
      <c r="AF200" s="403"/>
      <c r="AG200" s="403"/>
      <c r="AH200" s="403"/>
      <c r="AI200" s="403"/>
      <c r="AJ200" s="403"/>
      <c r="AK200" s="403"/>
      <c r="AL200" s="403"/>
      <c r="AM200" s="403"/>
      <c r="AN200" s="403"/>
      <c r="AO200" s="403"/>
      <c r="AP200" s="403"/>
      <c r="AQ200" s="403"/>
      <c r="AR200" s="403"/>
      <c r="AS200" s="403"/>
      <c r="AT200" s="403"/>
      <c r="AU200" s="403"/>
      <c r="AV200" s="403"/>
      <c r="AW200" s="403"/>
      <c r="AX200" s="403"/>
      <c r="AY200" s="403"/>
      <c r="AZ200" s="403"/>
      <c r="BA200" s="403"/>
      <c r="BB200" s="403"/>
      <c r="BC200" s="403"/>
      <c r="BD200" s="403"/>
      <c r="BE200" s="403"/>
      <c r="BF200" s="403"/>
      <c r="BG200" s="403"/>
      <c r="BH200" s="403"/>
      <c r="BI200" s="403"/>
      <c r="BJ200" s="403"/>
      <c r="BK200" s="403"/>
      <c r="BL200" s="403"/>
      <c r="BM200" s="403"/>
      <c r="BN200" s="403"/>
      <c r="BO200" s="403"/>
      <c r="BP200" s="403"/>
      <c r="BQ200" s="403"/>
      <c r="BR200" s="403"/>
      <c r="BS200" s="403"/>
      <c r="BT200" s="403"/>
      <c r="BU200" s="403"/>
      <c r="BV200" s="403"/>
      <c r="BW200" s="403"/>
      <c r="BX200" s="403"/>
      <c r="BY200" s="403"/>
      <c r="BZ200" s="403"/>
      <c r="CA200" s="403"/>
      <c r="CB200" s="403"/>
      <c r="CC200" s="403"/>
      <c r="CD200" s="403"/>
      <c r="CE200" s="403"/>
      <c r="CF200" s="403"/>
      <c r="CG200" s="403"/>
      <c r="CH200" s="403"/>
      <c r="CI200" s="403"/>
      <c r="CJ200" s="403"/>
      <c r="CK200" s="403"/>
      <c r="CL200" s="403"/>
      <c r="CM200" s="403"/>
      <c r="CN200" s="403"/>
      <c r="CO200" s="403"/>
      <c r="CP200" s="403"/>
      <c r="CQ200" s="403"/>
      <c r="CR200" s="403"/>
      <c r="CS200" s="564"/>
    </row>
    <row r="201" spans="1:97" s="299" customFormat="1" ht="12.75" x14ac:dyDescent="0.2">
      <c r="C201" s="622"/>
      <c r="D201" s="299" t="str">
        <f t="shared" ref="D201" ca="1" si="116">IF(OFFSET(Q201,0,Lang_Order*Lang__A2)="","",OFFSET(Q201,0,Lang_Order*Lang__A2))</f>
        <v>For vaccinations during campaigns and at residential institutions:</v>
      </c>
      <c r="K201" s="143" t="str">
        <f t="shared" ca="1" si="112"/>
        <v>This is for estimation of cold storage capacity needs at the various levels</v>
      </c>
      <c r="L201" s="567"/>
      <c r="M201" s="403"/>
      <c r="N201" s="403"/>
      <c r="O201" s="403"/>
      <c r="P201" s="403"/>
      <c r="Q201" s="403" t="s">
        <v>3828</v>
      </c>
      <c r="R201" s="403"/>
      <c r="S201" s="403"/>
      <c r="T201" s="403"/>
      <c r="U201" s="403"/>
      <c r="V201" s="403"/>
      <c r="W201" s="403"/>
      <c r="X201" s="403" t="s">
        <v>3827</v>
      </c>
      <c r="Y201" s="403"/>
      <c r="Z201" s="403"/>
      <c r="AA201" s="403"/>
      <c r="AB201" s="403"/>
      <c r="AC201" s="403" t="s">
        <v>7092</v>
      </c>
      <c r="AD201" s="403"/>
      <c r="AE201" s="403"/>
      <c r="AF201" s="403"/>
      <c r="AG201" s="403"/>
      <c r="AH201" s="403"/>
      <c r="AI201" s="403"/>
      <c r="AJ201" s="403" t="s">
        <v>7093</v>
      </c>
      <c r="AK201" s="403"/>
      <c r="AL201" s="403"/>
      <c r="AM201" s="403"/>
      <c r="AN201" s="403"/>
      <c r="AO201" s="403" t="s">
        <v>7094</v>
      </c>
      <c r="AP201" s="403"/>
      <c r="AQ201" s="403"/>
      <c r="AR201" s="403"/>
      <c r="AS201" s="403"/>
      <c r="AT201" s="403"/>
      <c r="AU201" s="403"/>
      <c r="AV201" s="403" t="s">
        <v>7095</v>
      </c>
      <c r="AW201" s="403"/>
      <c r="AX201" s="403"/>
      <c r="AY201" s="403"/>
      <c r="AZ201" s="403"/>
      <c r="BA201" s="403" t="s">
        <v>7096</v>
      </c>
      <c r="BB201" s="403"/>
      <c r="BC201" s="403"/>
      <c r="BD201" s="403"/>
      <c r="BE201" s="403"/>
      <c r="BF201" s="403"/>
      <c r="BG201" s="403"/>
      <c r="BH201" s="403" t="s">
        <v>7097</v>
      </c>
      <c r="BI201" s="403"/>
      <c r="BJ201" s="403"/>
      <c r="BK201" s="403"/>
      <c r="BL201" s="403"/>
      <c r="BM201" s="403" t="s">
        <v>7098</v>
      </c>
      <c r="BN201" s="403"/>
      <c r="BO201" s="403"/>
      <c r="BP201" s="403"/>
      <c r="BQ201" s="403"/>
      <c r="BR201" s="403"/>
      <c r="BS201" s="403"/>
      <c r="BT201" s="403" t="s">
        <v>7099</v>
      </c>
      <c r="BU201" s="403"/>
      <c r="BV201" s="403"/>
      <c r="BW201" s="403"/>
      <c r="BX201" s="403"/>
      <c r="BY201" s="403" t="s">
        <v>7100</v>
      </c>
      <c r="BZ201" s="403"/>
      <c r="CA201" s="403"/>
      <c r="CB201" s="403"/>
      <c r="CC201" s="403"/>
      <c r="CD201" s="403"/>
      <c r="CE201" s="403"/>
      <c r="CF201" s="403" t="s">
        <v>7101</v>
      </c>
      <c r="CG201" s="403"/>
      <c r="CH201" s="403"/>
      <c r="CI201" s="403"/>
      <c r="CJ201" s="403"/>
      <c r="CK201" s="403" t="s">
        <v>7102</v>
      </c>
      <c r="CL201" s="403"/>
      <c r="CM201" s="403"/>
      <c r="CN201" s="403"/>
      <c r="CO201" s="403"/>
      <c r="CP201" s="403"/>
      <c r="CQ201" s="403"/>
      <c r="CR201" s="403" t="s">
        <v>7103</v>
      </c>
      <c r="CS201" s="564"/>
    </row>
    <row r="202" spans="1:97" s="299" customFormat="1" ht="12.75" x14ac:dyDescent="0.2">
      <c r="A202" s="350">
        <v>2</v>
      </c>
      <c r="C202" s="622"/>
      <c r="D202" s="353" t="str">
        <f t="shared" ref="D202:D204" ca="1" si="117">IF(OFFSET(Q202,0,Lang_Order*Lang__A2)="","",OFFSET(Q202,0,Lang_Order*Lang__A2))</f>
        <v>… percent which originate from fixed sites</v>
      </c>
      <c r="E202" s="40">
        <v>0.3</v>
      </c>
      <c r="G202" s="4" t="str">
        <f>IF(ISBLANK(E202),Lang_CHECK,"OK")</f>
        <v>OK</v>
      </c>
      <c r="K202" s="567"/>
      <c r="L202" s="587"/>
      <c r="M202" s="403"/>
      <c r="N202" s="403"/>
      <c r="O202" s="403"/>
      <c r="P202" s="403"/>
      <c r="Q202" s="403" t="s">
        <v>3825</v>
      </c>
      <c r="R202" s="403"/>
      <c r="S202" s="403"/>
      <c r="T202" s="403"/>
      <c r="U202" s="403"/>
      <c r="V202" s="403"/>
      <c r="W202" s="403"/>
      <c r="X202" s="403" t="s">
        <v>197</v>
      </c>
      <c r="Y202" s="403"/>
      <c r="Z202" s="403"/>
      <c r="AA202" s="403"/>
      <c r="AB202" s="403"/>
      <c r="AC202" s="403" t="s">
        <v>7104</v>
      </c>
      <c r="AD202" s="403"/>
      <c r="AE202" s="403"/>
      <c r="AF202" s="403"/>
      <c r="AG202" s="403"/>
      <c r="AH202" s="403"/>
      <c r="AI202" s="403"/>
      <c r="AJ202" s="403"/>
      <c r="AK202" s="403"/>
      <c r="AL202" s="403"/>
      <c r="AM202" s="403"/>
      <c r="AN202" s="403"/>
      <c r="AO202" s="403" t="s">
        <v>7105</v>
      </c>
      <c r="AP202" s="403"/>
      <c r="AQ202" s="403"/>
      <c r="AR202" s="403"/>
      <c r="AS202" s="403"/>
      <c r="AT202" s="403"/>
      <c r="AU202" s="403"/>
      <c r="AV202" s="403"/>
      <c r="AW202" s="403"/>
      <c r="AX202" s="403"/>
      <c r="AY202" s="403"/>
      <c r="AZ202" s="403"/>
      <c r="BA202" s="403" t="s">
        <v>7106</v>
      </c>
      <c r="BB202" s="403"/>
      <c r="BC202" s="403"/>
      <c r="BD202" s="403"/>
      <c r="BE202" s="403"/>
      <c r="BF202" s="403"/>
      <c r="BG202" s="403"/>
      <c r="BH202" s="403"/>
      <c r="BI202" s="403"/>
      <c r="BJ202" s="403"/>
      <c r="BK202" s="403"/>
      <c r="BL202" s="403"/>
      <c r="BM202" s="403" t="s">
        <v>7107</v>
      </c>
      <c r="BN202" s="403"/>
      <c r="BO202" s="403"/>
      <c r="BP202" s="403"/>
      <c r="BQ202" s="403"/>
      <c r="BR202" s="403"/>
      <c r="BS202" s="403"/>
      <c r="BT202" s="403"/>
      <c r="BU202" s="403"/>
      <c r="BV202" s="403"/>
      <c r="BW202" s="403"/>
      <c r="BX202" s="403"/>
      <c r="BY202" s="403" t="s">
        <v>7108</v>
      </c>
      <c r="BZ202" s="403"/>
      <c r="CA202" s="403"/>
      <c r="CB202" s="403"/>
      <c r="CC202" s="403"/>
      <c r="CD202" s="403"/>
      <c r="CE202" s="403"/>
      <c r="CF202" s="403"/>
      <c r="CG202" s="403"/>
      <c r="CH202" s="403"/>
      <c r="CI202" s="403"/>
      <c r="CJ202" s="403"/>
      <c r="CK202" s="403" t="s">
        <v>7109</v>
      </c>
      <c r="CL202" s="403"/>
      <c r="CM202" s="403"/>
      <c r="CN202" s="403"/>
      <c r="CO202" s="403"/>
      <c r="CP202" s="403"/>
      <c r="CQ202" s="403"/>
      <c r="CR202" s="403"/>
      <c r="CS202" s="564"/>
    </row>
    <row r="203" spans="1:97" s="299" customFormat="1" ht="12.75" x14ac:dyDescent="0.2">
      <c r="A203" s="350">
        <v>2</v>
      </c>
      <c r="C203" s="622"/>
      <c r="D203" s="353" t="str">
        <f t="shared" ca="1" si="117"/>
        <v>… percent which originate from district-level stores</v>
      </c>
      <c r="E203" s="40">
        <v>0.4</v>
      </c>
      <c r="G203" s="4" t="str">
        <f>IF(ISBLANK(E203),Lang_CHECK,"OK")</f>
        <v>OK</v>
      </c>
      <c r="K203" s="567"/>
      <c r="L203" s="587"/>
      <c r="M203" s="403"/>
      <c r="N203" s="403"/>
      <c r="O203" s="403"/>
      <c r="P203" s="403"/>
      <c r="Q203" s="403" t="s">
        <v>3824</v>
      </c>
      <c r="R203" s="403"/>
      <c r="S203" s="403"/>
      <c r="T203" s="403"/>
      <c r="U203" s="403"/>
      <c r="V203" s="403"/>
      <c r="W203" s="403"/>
      <c r="X203" s="403" t="s">
        <v>197</v>
      </c>
      <c r="Y203" s="403"/>
      <c r="Z203" s="403"/>
      <c r="AA203" s="403"/>
      <c r="AB203" s="403"/>
      <c r="AC203" s="403" t="s">
        <v>7110</v>
      </c>
      <c r="AD203" s="403"/>
      <c r="AE203" s="403"/>
      <c r="AF203" s="403"/>
      <c r="AG203" s="403"/>
      <c r="AH203" s="403"/>
      <c r="AI203" s="403"/>
      <c r="AJ203" s="403"/>
      <c r="AK203" s="403"/>
      <c r="AL203" s="403"/>
      <c r="AM203" s="403"/>
      <c r="AN203" s="403"/>
      <c r="AO203" s="403" t="s">
        <v>7111</v>
      </c>
      <c r="AP203" s="403"/>
      <c r="AQ203" s="403"/>
      <c r="AR203" s="403"/>
      <c r="AS203" s="403"/>
      <c r="AT203" s="403"/>
      <c r="AU203" s="403"/>
      <c r="AV203" s="403"/>
      <c r="AW203" s="403"/>
      <c r="AX203" s="403"/>
      <c r="AY203" s="403"/>
      <c r="AZ203" s="403"/>
      <c r="BA203" s="403" t="s">
        <v>7106</v>
      </c>
      <c r="BB203" s="403"/>
      <c r="BC203" s="403"/>
      <c r="BD203" s="403"/>
      <c r="BE203" s="403"/>
      <c r="BF203" s="403"/>
      <c r="BG203" s="403"/>
      <c r="BH203" s="403"/>
      <c r="BI203" s="403"/>
      <c r="BJ203" s="403"/>
      <c r="BK203" s="403"/>
      <c r="BL203" s="403"/>
      <c r="BM203" s="403" t="s">
        <v>7112</v>
      </c>
      <c r="BN203" s="403"/>
      <c r="BO203" s="403"/>
      <c r="BP203" s="403"/>
      <c r="BQ203" s="403"/>
      <c r="BR203" s="403"/>
      <c r="BS203" s="403"/>
      <c r="BT203" s="403"/>
      <c r="BU203" s="403"/>
      <c r="BV203" s="403"/>
      <c r="BW203" s="403"/>
      <c r="BX203" s="403"/>
      <c r="BY203" s="403" t="s">
        <v>7113</v>
      </c>
      <c r="BZ203" s="403"/>
      <c r="CA203" s="403"/>
      <c r="CB203" s="403"/>
      <c r="CC203" s="403"/>
      <c r="CD203" s="403"/>
      <c r="CE203" s="403"/>
      <c r="CF203" s="403"/>
      <c r="CG203" s="403"/>
      <c r="CH203" s="403"/>
      <c r="CI203" s="403"/>
      <c r="CJ203" s="403"/>
      <c r="CK203" s="403" t="s">
        <v>7114</v>
      </c>
      <c r="CL203" s="403"/>
      <c r="CM203" s="403"/>
      <c r="CN203" s="403"/>
      <c r="CO203" s="403"/>
      <c r="CP203" s="403"/>
      <c r="CQ203" s="403"/>
      <c r="CR203" s="403"/>
      <c r="CS203" s="564"/>
    </row>
    <row r="204" spans="1:97" s="299" customFormat="1" ht="12.75" x14ac:dyDescent="0.2">
      <c r="C204" s="622"/>
      <c r="D204" s="353" t="str">
        <f t="shared" ca="1" si="117"/>
        <v>… [implied remainder] percent which originate from regional-level stores</v>
      </c>
      <c r="G204" s="4" t="str">
        <f>IF(OR(ISBLANK(H204),H204&lt;0),Lang_CHECK,"OK")</f>
        <v>OK</v>
      </c>
      <c r="H204" s="67">
        <f>1-SUM(E202:E203)</f>
        <v>0.30000000000000004</v>
      </c>
      <c r="K204" s="567"/>
      <c r="L204" s="587"/>
      <c r="M204" s="403"/>
      <c r="N204" s="403"/>
      <c r="O204" s="403"/>
      <c r="P204" s="403"/>
      <c r="Q204" s="403" t="s">
        <v>4094</v>
      </c>
      <c r="R204" s="403"/>
      <c r="S204" s="403"/>
      <c r="T204" s="403"/>
      <c r="U204" s="403"/>
      <c r="V204" s="403"/>
      <c r="W204" s="403"/>
      <c r="X204" s="403" t="s">
        <v>197</v>
      </c>
      <c r="Y204" s="403"/>
      <c r="Z204" s="403"/>
      <c r="AA204" s="403"/>
      <c r="AB204" s="403"/>
      <c r="AC204" s="403" t="s">
        <v>7115</v>
      </c>
      <c r="AD204" s="403"/>
      <c r="AE204" s="403"/>
      <c r="AF204" s="403"/>
      <c r="AG204" s="403"/>
      <c r="AH204" s="403"/>
      <c r="AI204" s="403"/>
      <c r="AJ204" s="403"/>
      <c r="AK204" s="403"/>
      <c r="AL204" s="403"/>
      <c r="AM204" s="403"/>
      <c r="AN204" s="403"/>
      <c r="AO204" s="403" t="s">
        <v>7116</v>
      </c>
      <c r="AP204" s="403"/>
      <c r="AQ204" s="403"/>
      <c r="AR204" s="403"/>
      <c r="AS204" s="403"/>
      <c r="AT204" s="403"/>
      <c r="AU204" s="403"/>
      <c r="AV204" s="403"/>
      <c r="AW204" s="403"/>
      <c r="AX204" s="403"/>
      <c r="AY204" s="403"/>
      <c r="AZ204" s="403"/>
      <c r="BA204" s="403" t="s">
        <v>7117</v>
      </c>
      <c r="BB204" s="403"/>
      <c r="BC204" s="403"/>
      <c r="BD204" s="403"/>
      <c r="BE204" s="403"/>
      <c r="BF204" s="403"/>
      <c r="BG204" s="403"/>
      <c r="BH204" s="403"/>
      <c r="BI204" s="403"/>
      <c r="BJ204" s="403"/>
      <c r="BK204" s="403"/>
      <c r="BL204" s="403"/>
      <c r="BM204" s="403" t="s">
        <v>7118</v>
      </c>
      <c r="BN204" s="403"/>
      <c r="BO204" s="403"/>
      <c r="BP204" s="403"/>
      <c r="BQ204" s="403"/>
      <c r="BR204" s="403"/>
      <c r="BS204" s="403"/>
      <c r="BT204" s="403"/>
      <c r="BU204" s="403"/>
      <c r="BV204" s="403"/>
      <c r="BW204" s="403"/>
      <c r="BX204" s="403"/>
      <c r="BY204" s="403" t="s">
        <v>7119</v>
      </c>
      <c r="BZ204" s="403"/>
      <c r="CA204" s="403"/>
      <c r="CB204" s="403"/>
      <c r="CC204" s="403"/>
      <c r="CD204" s="403"/>
      <c r="CE204" s="403"/>
      <c r="CF204" s="403"/>
      <c r="CG204" s="403"/>
      <c r="CH204" s="403"/>
      <c r="CI204" s="403"/>
      <c r="CJ204" s="403"/>
      <c r="CK204" s="403" t="s">
        <v>7120</v>
      </c>
      <c r="CL204" s="403"/>
      <c r="CM204" s="403"/>
      <c r="CN204" s="403"/>
      <c r="CO204" s="403"/>
      <c r="CP204" s="403"/>
      <c r="CQ204" s="403"/>
      <c r="CR204" s="403"/>
      <c r="CS204" s="564"/>
    </row>
    <row r="205" spans="1:97" s="299" customFormat="1" ht="12.75" x14ac:dyDescent="0.2">
      <c r="C205" s="622"/>
      <c r="K205" s="567"/>
      <c r="L205" s="567"/>
      <c r="M205" s="403"/>
      <c r="N205" s="403"/>
      <c r="O205" s="403"/>
      <c r="P205" s="403"/>
      <c r="Q205" s="403"/>
      <c r="R205" s="403"/>
      <c r="S205" s="403"/>
      <c r="T205" s="403"/>
      <c r="U205" s="403"/>
      <c r="V205" s="403"/>
      <c r="W205" s="403"/>
      <c r="X205" s="403" t="s">
        <v>197</v>
      </c>
      <c r="Y205" s="403"/>
      <c r="Z205" s="403"/>
      <c r="AA205" s="403"/>
      <c r="AB205" s="403"/>
      <c r="AC205" s="403"/>
      <c r="AD205" s="403"/>
      <c r="AE205" s="403"/>
      <c r="AF205" s="403"/>
      <c r="AG205" s="403"/>
      <c r="AH205" s="403"/>
      <c r="AI205" s="403"/>
      <c r="AJ205" s="403"/>
      <c r="AK205" s="403"/>
      <c r="AL205" s="403"/>
      <c r="AM205" s="403"/>
      <c r="AN205" s="403"/>
      <c r="AO205" s="403"/>
      <c r="AP205" s="403"/>
      <c r="AQ205" s="403"/>
      <c r="AR205" s="403"/>
      <c r="AS205" s="403"/>
      <c r="AT205" s="403"/>
      <c r="AU205" s="403"/>
      <c r="AV205" s="403"/>
      <c r="AW205" s="403"/>
      <c r="AX205" s="403"/>
      <c r="AY205" s="403"/>
      <c r="AZ205" s="403"/>
      <c r="BA205" s="403"/>
      <c r="BB205" s="403"/>
      <c r="BC205" s="403"/>
      <c r="BD205" s="403"/>
      <c r="BE205" s="403"/>
      <c r="BF205" s="403"/>
      <c r="BG205" s="403"/>
      <c r="BH205" s="403"/>
      <c r="BI205" s="403"/>
      <c r="BJ205" s="403"/>
      <c r="BK205" s="403"/>
      <c r="BL205" s="403"/>
      <c r="BM205" s="403"/>
      <c r="BN205" s="403"/>
      <c r="BO205" s="403"/>
      <c r="BP205" s="403"/>
      <c r="BQ205" s="403"/>
      <c r="BR205" s="403"/>
      <c r="BS205" s="403"/>
      <c r="BT205" s="403"/>
      <c r="BU205" s="403"/>
      <c r="BV205" s="403"/>
      <c r="BW205" s="403"/>
      <c r="BX205" s="403"/>
      <c r="BY205" s="403"/>
      <c r="BZ205" s="403"/>
      <c r="CA205" s="403"/>
      <c r="CB205" s="403"/>
      <c r="CC205" s="403"/>
      <c r="CD205" s="403"/>
      <c r="CE205" s="403"/>
      <c r="CF205" s="403"/>
      <c r="CG205" s="403"/>
      <c r="CH205" s="403"/>
      <c r="CI205" s="403"/>
      <c r="CJ205" s="403"/>
      <c r="CK205" s="403"/>
      <c r="CL205" s="403"/>
      <c r="CM205" s="403"/>
      <c r="CN205" s="403"/>
      <c r="CO205" s="403"/>
      <c r="CP205" s="403"/>
      <c r="CQ205" s="403"/>
      <c r="CR205" s="403"/>
      <c r="CS205" s="564"/>
    </row>
    <row r="206" spans="1:97" s="299" customFormat="1" ht="12.75" x14ac:dyDescent="0.2">
      <c r="C206" s="622"/>
      <c r="D206" s="299" t="str">
        <f t="shared" ref="D206:D209" ca="1" si="118">IF(OFFSET(Q206,0,Lang_Order*Lang__A2)="","",OFFSET(Q206,0,Lang_Order*Lang__A2))</f>
        <v>For vaccination by outreach:</v>
      </c>
      <c r="K206" s="143" t="str">
        <f t="shared" ca="1" si="112"/>
        <v>This is for estimation of cold storage capacity needs at the various levels</v>
      </c>
      <c r="L206" s="567"/>
      <c r="M206" s="403"/>
      <c r="N206" s="403"/>
      <c r="O206" s="403"/>
      <c r="P206" s="403"/>
      <c r="Q206" s="403" t="s">
        <v>3826</v>
      </c>
      <c r="R206" s="403"/>
      <c r="S206" s="403"/>
      <c r="T206" s="403"/>
      <c r="U206" s="403"/>
      <c r="V206" s="403"/>
      <c r="W206" s="403"/>
      <c r="X206" s="403" t="s">
        <v>3827</v>
      </c>
      <c r="Y206" s="403"/>
      <c r="Z206" s="403"/>
      <c r="AA206" s="403"/>
      <c r="AB206" s="403"/>
      <c r="AC206" s="403" t="s">
        <v>7121</v>
      </c>
      <c r="AD206" s="403"/>
      <c r="AE206" s="403"/>
      <c r="AF206" s="403"/>
      <c r="AG206" s="403"/>
      <c r="AH206" s="403"/>
      <c r="AI206" s="403"/>
      <c r="AJ206" s="403" t="s">
        <v>7093</v>
      </c>
      <c r="AK206" s="403"/>
      <c r="AL206" s="403"/>
      <c r="AM206" s="403"/>
      <c r="AN206" s="403"/>
      <c r="AO206" s="403" t="s">
        <v>7122</v>
      </c>
      <c r="AP206" s="403"/>
      <c r="AQ206" s="403"/>
      <c r="AR206" s="403"/>
      <c r="AS206" s="403"/>
      <c r="AT206" s="403"/>
      <c r="AU206" s="403"/>
      <c r="AV206" s="403" t="s">
        <v>7095</v>
      </c>
      <c r="AW206" s="403"/>
      <c r="AX206" s="403"/>
      <c r="AY206" s="403"/>
      <c r="AZ206" s="403"/>
      <c r="BA206" s="403" t="s">
        <v>7123</v>
      </c>
      <c r="BB206" s="403"/>
      <c r="BC206" s="403"/>
      <c r="BD206" s="403"/>
      <c r="BE206" s="403"/>
      <c r="BF206" s="403"/>
      <c r="BG206" s="403"/>
      <c r="BH206" s="403" t="s">
        <v>7097</v>
      </c>
      <c r="BI206" s="403"/>
      <c r="BJ206" s="403"/>
      <c r="BK206" s="403"/>
      <c r="BL206" s="403"/>
      <c r="BM206" s="403" t="s">
        <v>7124</v>
      </c>
      <c r="BN206" s="403"/>
      <c r="BO206" s="403"/>
      <c r="BP206" s="403"/>
      <c r="BQ206" s="403"/>
      <c r="BR206" s="403"/>
      <c r="BS206" s="403"/>
      <c r="BT206" s="403" t="s">
        <v>7099</v>
      </c>
      <c r="BU206" s="403"/>
      <c r="BV206" s="403"/>
      <c r="BW206" s="403"/>
      <c r="BX206" s="403"/>
      <c r="BY206" s="403" t="s">
        <v>7125</v>
      </c>
      <c r="BZ206" s="403"/>
      <c r="CA206" s="403"/>
      <c r="CB206" s="403"/>
      <c r="CC206" s="403"/>
      <c r="CD206" s="403"/>
      <c r="CE206" s="403"/>
      <c r="CF206" s="403" t="s">
        <v>7101</v>
      </c>
      <c r="CG206" s="403"/>
      <c r="CH206" s="403"/>
      <c r="CI206" s="403"/>
      <c r="CJ206" s="403"/>
      <c r="CK206" s="403" t="s">
        <v>7126</v>
      </c>
      <c r="CL206" s="403"/>
      <c r="CM206" s="403"/>
      <c r="CN206" s="403"/>
      <c r="CO206" s="403"/>
      <c r="CP206" s="403"/>
      <c r="CQ206" s="403"/>
      <c r="CR206" s="403" t="s">
        <v>7103</v>
      </c>
      <c r="CS206" s="564"/>
    </row>
    <row r="207" spans="1:97" s="299" customFormat="1" ht="12.75" x14ac:dyDescent="0.2">
      <c r="A207" s="350">
        <v>2</v>
      </c>
      <c r="C207" s="622"/>
      <c r="D207" s="353" t="str">
        <f t="shared" ca="1" si="118"/>
        <v>… percent which originate from fixed sites</v>
      </c>
      <c r="E207" s="40">
        <v>0.3</v>
      </c>
      <c r="G207" s="4" t="str">
        <f>IF(ISBLANK(E207),Lang_CHECK,"OK")</f>
        <v>OK</v>
      </c>
      <c r="K207" s="567"/>
      <c r="L207" s="587"/>
      <c r="M207" s="403"/>
      <c r="N207" s="403"/>
      <c r="O207" s="403"/>
      <c r="P207" s="403"/>
      <c r="Q207" s="403" t="s">
        <v>3825</v>
      </c>
      <c r="R207" s="403"/>
      <c r="S207" s="403"/>
      <c r="T207" s="403"/>
      <c r="U207" s="403"/>
      <c r="V207" s="403"/>
      <c r="W207" s="403"/>
      <c r="X207" s="403" t="s">
        <v>197</v>
      </c>
      <c r="Y207" s="403"/>
      <c r="Z207" s="403"/>
      <c r="AA207" s="403"/>
      <c r="AB207" s="403"/>
      <c r="AC207" s="403" t="s">
        <v>7104</v>
      </c>
      <c r="AD207" s="403"/>
      <c r="AE207" s="403"/>
      <c r="AF207" s="403"/>
      <c r="AG207" s="403"/>
      <c r="AH207" s="403"/>
      <c r="AI207" s="403"/>
      <c r="AJ207" s="403"/>
      <c r="AK207" s="403"/>
      <c r="AL207" s="403"/>
      <c r="AM207" s="403"/>
      <c r="AN207" s="403"/>
      <c r="AO207" s="403" t="s">
        <v>7127</v>
      </c>
      <c r="AP207" s="403"/>
      <c r="AQ207" s="403"/>
      <c r="AR207" s="403"/>
      <c r="AS207" s="403"/>
      <c r="AT207" s="403"/>
      <c r="AU207" s="403"/>
      <c r="AV207" s="403"/>
      <c r="AW207" s="403"/>
      <c r="AX207" s="403"/>
      <c r="AY207" s="403"/>
      <c r="AZ207" s="403"/>
      <c r="BA207" s="403" t="s">
        <v>7106</v>
      </c>
      <c r="BB207" s="403"/>
      <c r="BC207" s="403"/>
      <c r="BD207" s="403"/>
      <c r="BE207" s="403"/>
      <c r="BF207" s="403"/>
      <c r="BG207" s="403"/>
      <c r="BH207" s="403"/>
      <c r="BI207" s="403"/>
      <c r="BJ207" s="403"/>
      <c r="BK207" s="403"/>
      <c r="BL207" s="403"/>
      <c r="BM207" s="403" t="s">
        <v>7107</v>
      </c>
      <c r="BN207" s="403"/>
      <c r="BO207" s="403"/>
      <c r="BP207" s="403"/>
      <c r="BQ207" s="403"/>
      <c r="BR207" s="403"/>
      <c r="BS207" s="403"/>
      <c r="BT207" s="403"/>
      <c r="BU207" s="403"/>
      <c r="BV207" s="403"/>
      <c r="BW207" s="403"/>
      <c r="BX207" s="403"/>
      <c r="BY207" s="403" t="s">
        <v>7128</v>
      </c>
      <c r="BZ207" s="403"/>
      <c r="CA207" s="403"/>
      <c r="CB207" s="403"/>
      <c r="CC207" s="403"/>
      <c r="CD207" s="403"/>
      <c r="CE207" s="403"/>
      <c r="CF207" s="403"/>
      <c r="CG207" s="403"/>
      <c r="CH207" s="403"/>
      <c r="CI207" s="403"/>
      <c r="CJ207" s="403"/>
      <c r="CK207" s="403" t="s">
        <v>7129</v>
      </c>
      <c r="CL207" s="403"/>
      <c r="CM207" s="403"/>
      <c r="CN207" s="403"/>
      <c r="CO207" s="403"/>
      <c r="CP207" s="403"/>
      <c r="CQ207" s="403"/>
      <c r="CR207" s="403"/>
      <c r="CS207" s="564"/>
    </row>
    <row r="208" spans="1:97" s="299" customFormat="1" ht="12.75" x14ac:dyDescent="0.2">
      <c r="A208" s="350">
        <v>2</v>
      </c>
      <c r="C208" s="622"/>
      <c r="D208" s="353" t="str">
        <f t="shared" ca="1" si="118"/>
        <v>… percent which originate from district-level stores</v>
      </c>
      <c r="E208" s="40">
        <v>0.4</v>
      </c>
      <c r="G208" s="4" t="str">
        <f>IF(ISBLANK(E208),Lang_CHECK,"OK")</f>
        <v>OK</v>
      </c>
      <c r="K208" s="567"/>
      <c r="L208" s="587"/>
      <c r="M208" s="403"/>
      <c r="N208" s="403"/>
      <c r="O208" s="403"/>
      <c r="P208" s="403"/>
      <c r="Q208" s="403" t="s">
        <v>3824</v>
      </c>
      <c r="R208" s="403"/>
      <c r="S208" s="403"/>
      <c r="T208" s="403"/>
      <c r="U208" s="403"/>
      <c r="V208" s="403"/>
      <c r="W208" s="403"/>
      <c r="X208" s="403" t="s">
        <v>197</v>
      </c>
      <c r="Y208" s="403"/>
      <c r="Z208" s="403"/>
      <c r="AA208" s="403"/>
      <c r="AB208" s="403"/>
      <c r="AC208" s="403" t="s">
        <v>7110</v>
      </c>
      <c r="AD208" s="403"/>
      <c r="AE208" s="403"/>
      <c r="AF208" s="403"/>
      <c r="AG208" s="403"/>
      <c r="AH208" s="403"/>
      <c r="AI208" s="403"/>
      <c r="AJ208" s="403"/>
      <c r="AK208" s="403"/>
      <c r="AL208" s="403"/>
      <c r="AM208" s="403"/>
      <c r="AN208" s="403"/>
      <c r="AO208" s="403" t="s">
        <v>7130</v>
      </c>
      <c r="AP208" s="403"/>
      <c r="AQ208" s="403"/>
      <c r="AR208" s="403"/>
      <c r="AS208" s="403"/>
      <c r="AT208" s="403"/>
      <c r="AU208" s="403"/>
      <c r="AV208" s="403"/>
      <c r="AW208" s="403"/>
      <c r="AX208" s="403"/>
      <c r="AY208" s="403"/>
      <c r="AZ208" s="403"/>
      <c r="BA208" s="403" t="s">
        <v>7106</v>
      </c>
      <c r="BB208" s="403"/>
      <c r="BC208" s="403"/>
      <c r="BD208" s="403"/>
      <c r="BE208" s="403"/>
      <c r="BF208" s="403"/>
      <c r="BG208" s="403"/>
      <c r="BH208" s="403"/>
      <c r="BI208" s="403"/>
      <c r="BJ208" s="403"/>
      <c r="BK208" s="403"/>
      <c r="BL208" s="403"/>
      <c r="BM208" s="403" t="s">
        <v>7112</v>
      </c>
      <c r="BN208" s="403"/>
      <c r="BO208" s="403"/>
      <c r="BP208" s="403"/>
      <c r="BQ208" s="403"/>
      <c r="BR208" s="403"/>
      <c r="BS208" s="403"/>
      <c r="BT208" s="403"/>
      <c r="BU208" s="403"/>
      <c r="BV208" s="403"/>
      <c r="BW208" s="403"/>
      <c r="BX208" s="403"/>
      <c r="BY208" s="403" t="s">
        <v>7131</v>
      </c>
      <c r="BZ208" s="403"/>
      <c r="CA208" s="403"/>
      <c r="CB208" s="403"/>
      <c r="CC208" s="403"/>
      <c r="CD208" s="403"/>
      <c r="CE208" s="403"/>
      <c r="CF208" s="403"/>
      <c r="CG208" s="403"/>
      <c r="CH208" s="403"/>
      <c r="CI208" s="403"/>
      <c r="CJ208" s="403"/>
      <c r="CK208" s="403" t="s">
        <v>7114</v>
      </c>
      <c r="CL208" s="403"/>
      <c r="CM208" s="403"/>
      <c r="CN208" s="403"/>
      <c r="CO208" s="403"/>
      <c r="CP208" s="403"/>
      <c r="CQ208" s="403"/>
      <c r="CR208" s="403"/>
      <c r="CS208" s="564"/>
    </row>
    <row r="209" spans="1:97" s="299" customFormat="1" ht="12.75" x14ac:dyDescent="0.2">
      <c r="C209" s="622"/>
      <c r="D209" s="353" t="str">
        <f t="shared" ca="1" si="118"/>
        <v>… [implied remainder] percent which originate from regional-level stores</v>
      </c>
      <c r="G209" s="4" t="str">
        <f>IF(OR(ISBLANK(H209),H209&lt;0),Lang_CHECK,"OK")</f>
        <v>OK</v>
      </c>
      <c r="H209" s="67">
        <f>1-SUM(E207:E208)</f>
        <v>0.30000000000000004</v>
      </c>
      <c r="K209" s="567"/>
      <c r="L209" s="587"/>
      <c r="M209" s="403"/>
      <c r="N209" s="403"/>
      <c r="O209" s="403"/>
      <c r="P209" s="403"/>
      <c r="Q209" s="403" t="s">
        <v>4094</v>
      </c>
      <c r="R209" s="403"/>
      <c r="S209" s="403"/>
      <c r="T209" s="403"/>
      <c r="U209" s="403"/>
      <c r="V209" s="403"/>
      <c r="W209" s="403"/>
      <c r="X209" s="403" t="s">
        <v>197</v>
      </c>
      <c r="Y209" s="403"/>
      <c r="Z209" s="403"/>
      <c r="AA209" s="403"/>
      <c r="AB209" s="403"/>
      <c r="AC209" s="403" t="s">
        <v>7115</v>
      </c>
      <c r="AD209" s="403"/>
      <c r="AE209" s="403"/>
      <c r="AF209" s="403"/>
      <c r="AG209" s="403"/>
      <c r="AH209" s="403"/>
      <c r="AI209" s="403"/>
      <c r="AJ209" s="403"/>
      <c r="AK209" s="403"/>
      <c r="AL209" s="403"/>
      <c r="AM209" s="403"/>
      <c r="AN209" s="403"/>
      <c r="AO209" s="403" t="s">
        <v>7116</v>
      </c>
      <c r="AP209" s="403"/>
      <c r="AQ209" s="403"/>
      <c r="AR209" s="403"/>
      <c r="AS209" s="403"/>
      <c r="AT209" s="403"/>
      <c r="AU209" s="403"/>
      <c r="AV209" s="403"/>
      <c r="AW209" s="403"/>
      <c r="AX209" s="403"/>
      <c r="AY209" s="403"/>
      <c r="AZ209" s="403"/>
      <c r="BA209" s="403" t="s">
        <v>7117</v>
      </c>
      <c r="BB209" s="403"/>
      <c r="BC209" s="403"/>
      <c r="BD209" s="403"/>
      <c r="BE209" s="403"/>
      <c r="BF209" s="403"/>
      <c r="BG209" s="403"/>
      <c r="BH209" s="403"/>
      <c r="BI209" s="403"/>
      <c r="BJ209" s="403"/>
      <c r="BK209" s="403"/>
      <c r="BL209" s="403"/>
      <c r="BM209" s="403" t="s">
        <v>7118</v>
      </c>
      <c r="BN209" s="403"/>
      <c r="BO209" s="403"/>
      <c r="BP209" s="403"/>
      <c r="BQ209" s="403"/>
      <c r="BR209" s="403"/>
      <c r="BS209" s="403"/>
      <c r="BT209" s="403"/>
      <c r="BU209" s="403"/>
      <c r="BV209" s="403"/>
      <c r="BW209" s="403"/>
      <c r="BX209" s="403"/>
      <c r="BY209" s="403" t="s">
        <v>7132</v>
      </c>
      <c r="BZ209" s="403"/>
      <c r="CA209" s="403"/>
      <c r="CB209" s="403"/>
      <c r="CC209" s="403"/>
      <c r="CD209" s="403"/>
      <c r="CE209" s="403"/>
      <c r="CF209" s="403"/>
      <c r="CG209" s="403"/>
      <c r="CH209" s="403"/>
      <c r="CI209" s="403"/>
      <c r="CJ209" s="403"/>
      <c r="CK209" s="403" t="s">
        <v>7120</v>
      </c>
      <c r="CL209" s="403"/>
      <c r="CM209" s="403"/>
      <c r="CN209" s="403"/>
      <c r="CO209" s="403"/>
      <c r="CP209" s="403"/>
      <c r="CQ209" s="403"/>
      <c r="CR209" s="403"/>
      <c r="CS209" s="564"/>
    </row>
    <row r="210" spans="1:97" s="299" customFormat="1" ht="12.75" x14ac:dyDescent="0.2">
      <c r="C210" s="622"/>
      <c r="K210" s="567"/>
      <c r="L210" s="567"/>
      <c r="M210" s="403"/>
      <c r="N210" s="403"/>
      <c r="O210" s="403"/>
      <c r="P210" s="403"/>
      <c r="Q210" s="403"/>
      <c r="R210" s="403"/>
      <c r="S210" s="403"/>
      <c r="T210" s="403"/>
      <c r="U210" s="403"/>
      <c r="V210" s="403"/>
      <c r="W210" s="403"/>
      <c r="X210" s="403" t="s">
        <v>197</v>
      </c>
      <c r="Y210" s="403"/>
      <c r="Z210" s="403"/>
      <c r="AA210" s="403"/>
      <c r="AB210" s="403"/>
      <c r="AC210" s="403"/>
      <c r="AD210" s="403"/>
      <c r="AE210" s="403"/>
      <c r="AF210" s="403"/>
      <c r="AG210" s="403"/>
      <c r="AH210" s="403"/>
      <c r="AI210" s="403"/>
      <c r="AJ210" s="403"/>
      <c r="AK210" s="403"/>
      <c r="AL210" s="403"/>
      <c r="AM210" s="403"/>
      <c r="AN210" s="403"/>
      <c r="AO210" s="403"/>
      <c r="AP210" s="403"/>
      <c r="AQ210" s="403"/>
      <c r="AR210" s="403"/>
      <c r="AS210" s="403"/>
      <c r="AT210" s="403"/>
      <c r="AU210" s="403"/>
      <c r="AV210" s="403"/>
      <c r="AW210" s="403"/>
      <c r="AX210" s="403"/>
      <c r="AY210" s="403"/>
      <c r="AZ210" s="403"/>
      <c r="BA210" s="403"/>
      <c r="BB210" s="403"/>
      <c r="BC210" s="403"/>
      <c r="BD210" s="403"/>
      <c r="BE210" s="403"/>
      <c r="BF210" s="403"/>
      <c r="BG210" s="403"/>
      <c r="BH210" s="403"/>
      <c r="BI210" s="403"/>
      <c r="BJ210" s="403"/>
      <c r="BK210" s="403"/>
      <c r="BL210" s="403"/>
      <c r="BM210" s="403"/>
      <c r="BN210" s="403"/>
      <c r="BO210" s="403"/>
      <c r="BP210" s="403"/>
      <c r="BQ210" s="403"/>
      <c r="BR210" s="403"/>
      <c r="BS210" s="403"/>
      <c r="BT210" s="403"/>
      <c r="BU210" s="403"/>
      <c r="BV210" s="403"/>
      <c r="BW210" s="403"/>
      <c r="BX210" s="403"/>
      <c r="BY210" s="403"/>
      <c r="BZ210" s="403"/>
      <c r="CA210" s="403"/>
      <c r="CB210" s="403"/>
      <c r="CC210" s="403"/>
      <c r="CD210" s="403"/>
      <c r="CE210" s="403"/>
      <c r="CF210" s="403"/>
      <c r="CG210" s="403"/>
      <c r="CH210" s="403"/>
      <c r="CI210" s="403"/>
      <c r="CJ210" s="403"/>
      <c r="CK210" s="403"/>
      <c r="CL210" s="403"/>
      <c r="CM210" s="403"/>
      <c r="CN210" s="403"/>
      <c r="CO210" s="403"/>
      <c r="CP210" s="403"/>
      <c r="CQ210" s="403"/>
      <c r="CR210" s="403"/>
      <c r="CS210" s="564"/>
    </row>
    <row r="211" spans="1:97" s="194" customFormat="1" ht="12.75" x14ac:dyDescent="0.2">
      <c r="C211" s="624" t="str">
        <f t="shared" ref="C211:D220" ca="1" si="119">IF(OFFSET(P211,0,Lang_Order*Lang__A2)="","",OFFSET(P211,0,Lang_Order*Lang__A2))</f>
        <v>Logistics and Cold Chain</v>
      </c>
      <c r="D211" s="68"/>
      <c r="E211" s="68"/>
      <c r="F211" s="68"/>
      <c r="G211" s="68"/>
      <c r="H211" s="68"/>
      <c r="I211" s="141"/>
      <c r="J211" s="299"/>
      <c r="K211" s="567"/>
      <c r="L211" s="567"/>
      <c r="M211" s="403"/>
      <c r="N211" s="403"/>
      <c r="O211" s="403"/>
      <c r="P211" s="403" t="s">
        <v>4404</v>
      </c>
      <c r="Q211" s="403"/>
      <c r="R211" s="403"/>
      <c r="S211" s="403"/>
      <c r="T211" s="403"/>
      <c r="U211" s="403"/>
      <c r="V211" s="403"/>
      <c r="W211" s="403"/>
      <c r="X211" s="403" t="s">
        <v>197</v>
      </c>
      <c r="Y211" s="403"/>
      <c r="Z211" s="403"/>
      <c r="AA211" s="403"/>
      <c r="AB211" s="403" t="s">
        <v>7133</v>
      </c>
      <c r="AC211" s="403"/>
      <c r="AD211" s="403"/>
      <c r="AE211" s="403"/>
      <c r="AF211" s="403"/>
      <c r="AG211" s="403"/>
      <c r="AH211" s="403"/>
      <c r="AI211" s="403"/>
      <c r="AJ211" s="403"/>
      <c r="AK211" s="403"/>
      <c r="AL211" s="403"/>
      <c r="AM211" s="403"/>
      <c r="AN211" s="403" t="s">
        <v>7134</v>
      </c>
      <c r="AO211" s="403"/>
      <c r="AP211" s="403"/>
      <c r="AQ211" s="403"/>
      <c r="AR211" s="403"/>
      <c r="AS211" s="403"/>
      <c r="AT211" s="403"/>
      <c r="AU211" s="403"/>
      <c r="AV211" s="403"/>
      <c r="AW211" s="403"/>
      <c r="AX211" s="403"/>
      <c r="AY211" s="403"/>
      <c r="AZ211" s="403" t="s">
        <v>7135</v>
      </c>
      <c r="BA211" s="403"/>
      <c r="BB211" s="403"/>
      <c r="BC211" s="403"/>
      <c r="BD211" s="403"/>
      <c r="BE211" s="403"/>
      <c r="BF211" s="403"/>
      <c r="BG211" s="403"/>
      <c r="BH211" s="403"/>
      <c r="BI211" s="403"/>
      <c r="BJ211" s="403"/>
      <c r="BK211" s="403"/>
      <c r="BL211" s="403" t="s">
        <v>7136</v>
      </c>
      <c r="BM211" s="403"/>
      <c r="BN211" s="403"/>
      <c r="BO211" s="403"/>
      <c r="BP211" s="403"/>
      <c r="BQ211" s="403"/>
      <c r="BR211" s="403"/>
      <c r="BS211" s="403"/>
      <c r="BT211" s="403"/>
      <c r="BU211" s="403"/>
      <c r="BV211" s="403"/>
      <c r="BW211" s="403"/>
      <c r="BX211" s="403" t="s">
        <v>7137</v>
      </c>
      <c r="BY211" s="403"/>
      <c r="BZ211" s="403"/>
      <c r="CA211" s="403"/>
      <c r="CB211" s="403"/>
      <c r="CC211" s="403"/>
      <c r="CD211" s="403"/>
      <c r="CE211" s="403"/>
      <c r="CF211" s="403"/>
      <c r="CG211" s="403"/>
      <c r="CH211" s="403"/>
      <c r="CI211" s="403"/>
      <c r="CJ211" s="403" t="s">
        <v>7138</v>
      </c>
      <c r="CK211" s="403"/>
      <c r="CL211" s="403"/>
      <c r="CM211" s="403"/>
      <c r="CN211" s="403"/>
      <c r="CO211" s="403"/>
      <c r="CP211" s="403"/>
      <c r="CQ211" s="403"/>
      <c r="CR211" s="403"/>
      <c r="CS211" s="564"/>
    </row>
    <row r="212" spans="1:97" s="15" customFormat="1" ht="12.75" x14ac:dyDescent="0.2">
      <c r="A212" s="9"/>
      <c r="B212" s="9"/>
      <c r="C212" s="627"/>
      <c r="D212" s="23" t="str">
        <f t="shared" ca="1" si="119"/>
        <v>One time period, in days, is</v>
      </c>
      <c r="E212" s="15">
        <v>180</v>
      </c>
      <c r="F212" s="81">
        <v>180</v>
      </c>
      <c r="G212" s="194"/>
      <c r="H212" s="24"/>
      <c r="I212" s="2" t="str">
        <f t="shared" ref="I212:I219" ca="1" si="120">IF(OFFSET(V212,0,Lang_Order*Lang__A2)="","",OFFSET(V212,0,Lang_Order*Lang__A2))</f>
        <v>Days</v>
      </c>
      <c r="J212" s="299"/>
      <c r="K212" s="143" t="str">
        <f t="shared" ca="1" si="112"/>
        <v>Changes not allowed</v>
      </c>
      <c r="L212" s="567"/>
      <c r="M212" s="403"/>
      <c r="N212" s="403"/>
      <c r="O212" s="403"/>
      <c r="P212" s="403"/>
      <c r="Q212" s="403" t="s">
        <v>3764</v>
      </c>
      <c r="R212" s="403"/>
      <c r="S212" s="403"/>
      <c r="T212" s="403"/>
      <c r="U212" s="403"/>
      <c r="V212" s="403" t="s">
        <v>15</v>
      </c>
      <c r="W212" s="403"/>
      <c r="X212" s="403" t="s">
        <v>4405</v>
      </c>
      <c r="Y212" s="403"/>
      <c r="Z212" s="403"/>
      <c r="AA212" s="403"/>
      <c r="AB212" s="403"/>
      <c r="AC212" s="403" t="s">
        <v>7139</v>
      </c>
      <c r="AD212" s="403"/>
      <c r="AE212" s="403"/>
      <c r="AF212" s="403"/>
      <c r="AG212" s="403"/>
      <c r="AH212" s="403" t="s">
        <v>5674</v>
      </c>
      <c r="AI212" s="403"/>
      <c r="AJ212" s="403" t="s">
        <v>7140</v>
      </c>
      <c r="AK212" s="403"/>
      <c r="AL212" s="403"/>
      <c r="AM212" s="403"/>
      <c r="AN212" s="403"/>
      <c r="AO212" s="403" t="s">
        <v>7141</v>
      </c>
      <c r="AP212" s="403"/>
      <c r="AQ212" s="403"/>
      <c r="AR212" s="403"/>
      <c r="AS212" s="403"/>
      <c r="AT212" s="403" t="s">
        <v>7142</v>
      </c>
      <c r="AU212" s="403"/>
      <c r="AV212" s="403" t="s">
        <v>7143</v>
      </c>
      <c r="AW212" s="403"/>
      <c r="AX212" s="403"/>
      <c r="AY212" s="403"/>
      <c r="AZ212" s="403"/>
      <c r="BA212" s="403" t="s">
        <v>7144</v>
      </c>
      <c r="BB212" s="403"/>
      <c r="BC212" s="403"/>
      <c r="BD212" s="403"/>
      <c r="BE212" s="403"/>
      <c r="BF212" s="403" t="s">
        <v>5693</v>
      </c>
      <c r="BG212" s="403"/>
      <c r="BH212" s="403" t="s">
        <v>7145</v>
      </c>
      <c r="BI212" s="403"/>
      <c r="BJ212" s="403"/>
      <c r="BK212" s="403"/>
      <c r="BL212" s="403"/>
      <c r="BM212" s="403" t="s">
        <v>7146</v>
      </c>
      <c r="BN212" s="403"/>
      <c r="BO212" s="403"/>
      <c r="BP212" s="403"/>
      <c r="BQ212" s="403"/>
      <c r="BR212" s="403" t="s">
        <v>5702</v>
      </c>
      <c r="BS212" s="403"/>
      <c r="BT212" s="403" t="s">
        <v>7147</v>
      </c>
      <c r="BU212" s="403"/>
      <c r="BV212" s="403"/>
      <c r="BW212" s="403"/>
      <c r="BX212" s="403"/>
      <c r="BY212" s="403" t="s">
        <v>7148</v>
      </c>
      <c r="BZ212" s="403"/>
      <c r="CA212" s="403"/>
      <c r="CB212" s="403"/>
      <c r="CC212" s="403"/>
      <c r="CD212" s="403" t="s">
        <v>5711</v>
      </c>
      <c r="CE212" s="403"/>
      <c r="CF212" s="403" t="s">
        <v>7149</v>
      </c>
      <c r="CG212" s="403"/>
      <c r="CH212" s="403"/>
      <c r="CI212" s="403"/>
      <c r="CJ212" s="403"/>
      <c r="CK212" s="403" t="s">
        <v>7150</v>
      </c>
      <c r="CL212" s="403"/>
      <c r="CM212" s="403"/>
      <c r="CN212" s="403"/>
      <c r="CO212" s="403"/>
      <c r="CP212" s="403" t="s">
        <v>5721</v>
      </c>
      <c r="CQ212" s="403"/>
      <c r="CR212" s="403" t="s">
        <v>7151</v>
      </c>
      <c r="CS212" s="564"/>
    </row>
    <row r="213" spans="1:97" s="193" customFormat="1" ht="12.75" x14ac:dyDescent="0.2">
      <c r="A213" s="350">
        <v>2</v>
      </c>
      <c r="B213" s="34"/>
      <c r="C213" s="627"/>
      <c r="D213" s="5" t="str">
        <f t="shared" ca="1" si="119"/>
        <v>Combine international shipments?</v>
      </c>
      <c r="E213" s="103" t="s">
        <v>2671</v>
      </c>
      <c r="F213" s="81" t="str">
        <f>Lang_Yes</f>
        <v>Yes</v>
      </c>
      <c r="G213" s="4" t="str">
        <f>IF(ISBLANK(E213),Lang_CHECK,"OK")</f>
        <v>OK</v>
      </c>
      <c r="H213" s="77"/>
      <c r="I213" s="2" t="str">
        <f t="shared" ca="1" si="120"/>
        <v>Blank assumed as NO</v>
      </c>
      <c r="J213" s="299"/>
      <c r="K213" s="143" t="str">
        <f t="shared" ca="1" si="112"/>
        <v>If different vaccines have the same temperature requirements, pack and ship together</v>
      </c>
      <c r="L213" s="587"/>
      <c r="M213" s="403"/>
      <c r="N213" s="403"/>
      <c r="O213" s="403"/>
      <c r="P213" s="403"/>
      <c r="Q213" s="403" t="s">
        <v>2901</v>
      </c>
      <c r="R213" s="403"/>
      <c r="S213" s="403"/>
      <c r="T213" s="403"/>
      <c r="U213" s="403"/>
      <c r="V213" s="403" t="s">
        <v>2806</v>
      </c>
      <c r="W213" s="403"/>
      <c r="X213" s="403" t="s">
        <v>3011</v>
      </c>
      <c r="Y213" s="403"/>
      <c r="Z213" s="403"/>
      <c r="AA213" s="403"/>
      <c r="AB213" s="403"/>
      <c r="AC213" s="403" t="s">
        <v>7152</v>
      </c>
      <c r="AD213" s="403"/>
      <c r="AE213" s="403"/>
      <c r="AF213" s="403"/>
      <c r="AG213" s="403"/>
      <c r="AH213" s="403" t="s">
        <v>7153</v>
      </c>
      <c r="AI213" s="403"/>
      <c r="AJ213" s="403" t="s">
        <v>7154</v>
      </c>
      <c r="AK213" s="403"/>
      <c r="AL213" s="403"/>
      <c r="AM213" s="403"/>
      <c r="AN213" s="403"/>
      <c r="AO213" s="403" t="s">
        <v>7155</v>
      </c>
      <c r="AP213" s="403"/>
      <c r="AQ213" s="403"/>
      <c r="AR213" s="403"/>
      <c r="AS213" s="403"/>
      <c r="AT213" s="403" t="s">
        <v>7156</v>
      </c>
      <c r="AU213" s="403"/>
      <c r="AV213" s="403" t="s">
        <v>7157</v>
      </c>
      <c r="AW213" s="403"/>
      <c r="AX213" s="403"/>
      <c r="AY213" s="403"/>
      <c r="AZ213" s="403"/>
      <c r="BA213" s="403" t="s">
        <v>7158</v>
      </c>
      <c r="BB213" s="403"/>
      <c r="BC213" s="403"/>
      <c r="BD213" s="403"/>
      <c r="BE213" s="403"/>
      <c r="BF213" s="403" t="s">
        <v>7159</v>
      </c>
      <c r="BG213" s="403"/>
      <c r="BH213" s="403" t="s">
        <v>7160</v>
      </c>
      <c r="BI213" s="403"/>
      <c r="BJ213" s="403"/>
      <c r="BK213" s="403"/>
      <c r="BL213" s="403"/>
      <c r="BM213" s="403" t="s">
        <v>7161</v>
      </c>
      <c r="BN213" s="403"/>
      <c r="BO213" s="403"/>
      <c r="BP213" s="403"/>
      <c r="BQ213" s="403"/>
      <c r="BR213" s="403" t="s">
        <v>7162</v>
      </c>
      <c r="BS213" s="403"/>
      <c r="BT213" s="403" t="s">
        <v>7163</v>
      </c>
      <c r="BU213" s="403"/>
      <c r="BV213" s="403"/>
      <c r="BW213" s="403"/>
      <c r="BX213" s="403"/>
      <c r="BY213" s="403" t="s">
        <v>7164</v>
      </c>
      <c r="BZ213" s="403"/>
      <c r="CA213" s="403"/>
      <c r="CB213" s="403"/>
      <c r="CC213" s="403"/>
      <c r="CD213" s="403" t="s">
        <v>7165</v>
      </c>
      <c r="CE213" s="403"/>
      <c r="CF213" s="403" t="s">
        <v>7166</v>
      </c>
      <c r="CG213" s="403"/>
      <c r="CH213" s="403"/>
      <c r="CI213" s="403"/>
      <c r="CJ213" s="403"/>
      <c r="CK213" s="403" t="s">
        <v>7167</v>
      </c>
      <c r="CL213" s="403"/>
      <c r="CM213" s="403"/>
      <c r="CN213" s="403"/>
      <c r="CO213" s="403"/>
      <c r="CP213" s="403" t="s">
        <v>7168</v>
      </c>
      <c r="CQ213" s="403"/>
      <c r="CR213" s="403" t="s">
        <v>7169</v>
      </c>
      <c r="CS213" s="564"/>
    </row>
    <row r="214" spans="1:97" s="15" customFormat="1" ht="12.75" x14ac:dyDescent="0.2">
      <c r="A214" s="350">
        <v>2</v>
      </c>
      <c r="B214" s="9"/>
      <c r="C214" s="627"/>
      <c r="D214" s="23" t="str">
        <f t="shared" ca="1" si="119"/>
        <v>Vaccination Secondary Packaging Volume Buffer</v>
      </c>
      <c r="E214" s="35">
        <v>1.25</v>
      </c>
      <c r="F214" s="81">
        <v>1.25</v>
      </c>
      <c r="G214" s="4" t="str">
        <f>IF(OR(ISBLANK(E214),Volume_Buffer&lt;1),Lang_CHECK,"OK")</f>
        <v>OK</v>
      </c>
      <c r="H214" s="24"/>
      <c r="I214" s="2" t="str">
        <f t="shared" ca="1" si="120"/>
        <v>Factor (i.e. 1.25 = 25% extra)</v>
      </c>
      <c r="J214" s="299"/>
      <c r="K214" s="143" t="str">
        <f t="shared" ca="1" si="112"/>
        <v>Source: WHO WHO/IVB/08.01 2008 pg 24</v>
      </c>
      <c r="L214" s="587"/>
      <c r="M214" s="403"/>
      <c r="N214" s="403"/>
      <c r="O214" s="403"/>
      <c r="P214" s="403"/>
      <c r="Q214" s="403" t="s">
        <v>2639</v>
      </c>
      <c r="R214" s="403"/>
      <c r="S214" s="403"/>
      <c r="T214" s="403"/>
      <c r="U214" s="403"/>
      <c r="V214" s="403" t="s">
        <v>3192</v>
      </c>
      <c r="W214" s="403"/>
      <c r="X214" s="403" t="s">
        <v>2640</v>
      </c>
      <c r="Y214" s="403"/>
      <c r="Z214" s="403"/>
      <c r="AA214" s="403"/>
      <c r="AB214" s="403"/>
      <c r="AC214" s="403" t="s">
        <v>7170</v>
      </c>
      <c r="AD214" s="403"/>
      <c r="AE214" s="403"/>
      <c r="AF214" s="403"/>
      <c r="AG214" s="403"/>
      <c r="AH214" s="403" t="s">
        <v>7171</v>
      </c>
      <c r="AI214" s="403"/>
      <c r="AJ214" s="403" t="s">
        <v>7172</v>
      </c>
      <c r="AK214" s="403"/>
      <c r="AL214" s="403"/>
      <c r="AM214" s="403"/>
      <c r="AN214" s="403"/>
      <c r="AO214" s="403" t="s">
        <v>7173</v>
      </c>
      <c r="AP214" s="403"/>
      <c r="AQ214" s="403"/>
      <c r="AR214" s="403"/>
      <c r="AS214" s="403"/>
      <c r="AT214" s="403" t="s">
        <v>7174</v>
      </c>
      <c r="AU214" s="403"/>
      <c r="AV214" s="403" t="s">
        <v>7175</v>
      </c>
      <c r="AW214" s="403"/>
      <c r="AX214" s="403"/>
      <c r="AY214" s="403"/>
      <c r="AZ214" s="403"/>
      <c r="BA214" s="403" t="s">
        <v>7176</v>
      </c>
      <c r="BB214" s="403"/>
      <c r="BC214" s="403"/>
      <c r="BD214" s="403"/>
      <c r="BE214" s="403"/>
      <c r="BF214" s="403" t="s">
        <v>7177</v>
      </c>
      <c r="BG214" s="403"/>
      <c r="BH214" s="403" t="s">
        <v>7178</v>
      </c>
      <c r="BI214" s="403"/>
      <c r="BJ214" s="403"/>
      <c r="BK214" s="403"/>
      <c r="BL214" s="403"/>
      <c r="BM214" s="403" t="s">
        <v>7179</v>
      </c>
      <c r="BN214" s="403"/>
      <c r="BO214" s="403"/>
      <c r="BP214" s="403"/>
      <c r="BQ214" s="403"/>
      <c r="BR214" s="403" t="s">
        <v>7180</v>
      </c>
      <c r="BS214" s="403"/>
      <c r="BT214" s="403" t="s">
        <v>7181</v>
      </c>
      <c r="BU214" s="403"/>
      <c r="BV214" s="403"/>
      <c r="BW214" s="403"/>
      <c r="BX214" s="403"/>
      <c r="BY214" s="403" t="s">
        <v>7182</v>
      </c>
      <c r="BZ214" s="403"/>
      <c r="CA214" s="403"/>
      <c r="CB214" s="403"/>
      <c r="CC214" s="403"/>
      <c r="CD214" s="403" t="s">
        <v>7183</v>
      </c>
      <c r="CE214" s="403"/>
      <c r="CF214" s="403" t="s">
        <v>7184</v>
      </c>
      <c r="CG214" s="403"/>
      <c r="CH214" s="403"/>
      <c r="CI214" s="403"/>
      <c r="CJ214" s="403"/>
      <c r="CK214" s="403" t="s">
        <v>7185</v>
      </c>
      <c r="CL214" s="403"/>
      <c r="CM214" s="403"/>
      <c r="CN214" s="403"/>
      <c r="CO214" s="403"/>
      <c r="CP214" s="403" t="s">
        <v>7186</v>
      </c>
      <c r="CQ214" s="403"/>
      <c r="CR214" s="403" t="s">
        <v>7187</v>
      </c>
      <c r="CS214" s="564"/>
    </row>
    <row r="215" spans="1:97" s="15" customFormat="1" ht="12.75" x14ac:dyDescent="0.2">
      <c r="A215" s="350">
        <v>2</v>
      </c>
      <c r="B215" s="9"/>
      <c r="C215" s="627"/>
      <c r="D215" s="5" t="str">
        <f t="shared" ca="1" si="119"/>
        <v>International shipments per period</v>
      </c>
      <c r="E215" s="35">
        <v>2</v>
      </c>
      <c r="F215" s="81">
        <v>2</v>
      </c>
      <c r="G215" s="4" t="str">
        <f t="shared" ref="G215:G220" si="121">IF(ISBLANK(E215),Lang_CHECK,"OK")</f>
        <v>OK</v>
      </c>
      <c r="H215" s="24"/>
      <c r="I215" s="2" t="str">
        <f t="shared" ca="1" si="120"/>
        <v>Whole number; Time period is half a year</v>
      </c>
      <c r="J215" s="299"/>
      <c r="K215" s="143" t="str">
        <f t="shared" ca="1" si="112"/>
        <v>From manufacturer country to receiving country point of entry</v>
      </c>
      <c r="L215" s="587"/>
      <c r="M215" s="403"/>
      <c r="N215" s="403"/>
      <c r="O215" s="403"/>
      <c r="P215" s="403"/>
      <c r="Q215" s="403" t="s">
        <v>2637</v>
      </c>
      <c r="R215" s="403"/>
      <c r="S215" s="403"/>
      <c r="T215" s="403"/>
      <c r="U215" s="403"/>
      <c r="V215" s="403" t="s">
        <v>1661</v>
      </c>
      <c r="W215" s="403"/>
      <c r="X215" s="403" t="s">
        <v>2638</v>
      </c>
      <c r="Y215" s="403"/>
      <c r="Z215" s="403"/>
      <c r="AA215" s="403"/>
      <c r="AB215" s="403"/>
      <c r="AC215" s="403" t="s">
        <v>7188</v>
      </c>
      <c r="AD215" s="403"/>
      <c r="AE215" s="403"/>
      <c r="AF215" s="403"/>
      <c r="AG215" s="403"/>
      <c r="AH215" s="403" t="s">
        <v>7189</v>
      </c>
      <c r="AI215" s="403"/>
      <c r="AJ215" s="403" t="s">
        <v>7190</v>
      </c>
      <c r="AK215" s="403"/>
      <c r="AL215" s="403"/>
      <c r="AM215" s="403"/>
      <c r="AN215" s="403"/>
      <c r="AO215" s="403" t="s">
        <v>7191</v>
      </c>
      <c r="AP215" s="403"/>
      <c r="AQ215" s="403"/>
      <c r="AR215" s="403"/>
      <c r="AS215" s="403"/>
      <c r="AT215" s="403" t="s">
        <v>7192</v>
      </c>
      <c r="AU215" s="403"/>
      <c r="AV215" s="403" t="s">
        <v>7193</v>
      </c>
      <c r="AW215" s="403"/>
      <c r="AX215" s="403"/>
      <c r="AY215" s="403"/>
      <c r="AZ215" s="403"/>
      <c r="BA215" s="403" t="s">
        <v>7194</v>
      </c>
      <c r="BB215" s="403"/>
      <c r="BC215" s="403"/>
      <c r="BD215" s="403"/>
      <c r="BE215" s="403"/>
      <c r="BF215" s="403" t="s">
        <v>7195</v>
      </c>
      <c r="BG215" s="403"/>
      <c r="BH215" s="403" t="s">
        <v>7196</v>
      </c>
      <c r="BI215" s="403"/>
      <c r="BJ215" s="403"/>
      <c r="BK215" s="403"/>
      <c r="BL215" s="403"/>
      <c r="BM215" s="403" t="s">
        <v>7197</v>
      </c>
      <c r="BN215" s="403"/>
      <c r="BO215" s="403"/>
      <c r="BP215" s="403"/>
      <c r="BQ215" s="403"/>
      <c r="BR215" s="403" t="s">
        <v>7198</v>
      </c>
      <c r="BS215" s="403"/>
      <c r="BT215" s="403" t="s">
        <v>7199</v>
      </c>
      <c r="BU215" s="403"/>
      <c r="BV215" s="403"/>
      <c r="BW215" s="403"/>
      <c r="BX215" s="403"/>
      <c r="BY215" s="403" t="s">
        <v>7200</v>
      </c>
      <c r="BZ215" s="403"/>
      <c r="CA215" s="403"/>
      <c r="CB215" s="403"/>
      <c r="CC215" s="403"/>
      <c r="CD215" s="403" t="s">
        <v>7201</v>
      </c>
      <c r="CE215" s="403"/>
      <c r="CF215" s="403" t="s">
        <v>7202</v>
      </c>
      <c r="CG215" s="403"/>
      <c r="CH215" s="403"/>
      <c r="CI215" s="403"/>
      <c r="CJ215" s="403"/>
      <c r="CK215" s="403" t="s">
        <v>7203</v>
      </c>
      <c r="CL215" s="403"/>
      <c r="CM215" s="403"/>
      <c r="CN215" s="403"/>
      <c r="CO215" s="403"/>
      <c r="CP215" s="403" t="s">
        <v>7204</v>
      </c>
      <c r="CQ215" s="403"/>
      <c r="CR215" s="403" t="s">
        <v>7205</v>
      </c>
      <c r="CS215" s="564"/>
    </row>
    <row r="216" spans="1:97" s="15" customFormat="1" ht="12.75" x14ac:dyDescent="0.2">
      <c r="A216" s="350">
        <v>2</v>
      </c>
      <c r="B216" s="9"/>
      <c r="C216" s="627"/>
      <c r="D216" s="66" t="str">
        <f t="shared" ca="1" si="119"/>
        <v>Vaccination deliveries from central to regional per period</v>
      </c>
      <c r="E216" s="35">
        <v>2</v>
      </c>
      <c r="F216" s="81">
        <v>2</v>
      </c>
      <c r="G216" s="4" t="str">
        <f t="shared" si="121"/>
        <v>OK</v>
      </c>
      <c r="H216" s="24"/>
      <c r="I216" s="2" t="str">
        <f t="shared" ca="1" si="120"/>
        <v>Whole number; Time period is half a year</v>
      </c>
      <c r="J216" s="299"/>
      <c r="K216" s="567"/>
      <c r="L216" s="587"/>
      <c r="M216" s="403"/>
      <c r="N216" s="403"/>
      <c r="O216" s="403"/>
      <c r="P216" s="403"/>
      <c r="Q216" s="403" t="s">
        <v>3630</v>
      </c>
      <c r="R216" s="403"/>
      <c r="S216" s="403"/>
      <c r="T216" s="403"/>
      <c r="U216" s="403"/>
      <c r="V216" s="403" t="s">
        <v>1661</v>
      </c>
      <c r="W216" s="403"/>
      <c r="X216" s="403" t="s">
        <v>197</v>
      </c>
      <c r="Y216" s="403"/>
      <c r="Z216" s="403"/>
      <c r="AA216" s="403"/>
      <c r="AB216" s="403"/>
      <c r="AC216" s="403" t="s">
        <v>7206</v>
      </c>
      <c r="AD216" s="403"/>
      <c r="AE216" s="403"/>
      <c r="AF216" s="403"/>
      <c r="AG216" s="403"/>
      <c r="AH216" s="403" t="s">
        <v>7189</v>
      </c>
      <c r="AI216" s="403"/>
      <c r="AJ216" s="403"/>
      <c r="AK216" s="403"/>
      <c r="AL216" s="403"/>
      <c r="AM216" s="403"/>
      <c r="AN216" s="403"/>
      <c r="AO216" s="403" t="s">
        <v>7207</v>
      </c>
      <c r="AP216" s="403"/>
      <c r="AQ216" s="403"/>
      <c r="AR216" s="403"/>
      <c r="AS216" s="403"/>
      <c r="AT216" s="403" t="s">
        <v>7208</v>
      </c>
      <c r="AU216" s="403"/>
      <c r="AV216" s="403"/>
      <c r="AW216" s="403"/>
      <c r="AX216" s="403"/>
      <c r="AY216" s="403"/>
      <c r="AZ216" s="403"/>
      <c r="BA216" s="403" t="s">
        <v>7209</v>
      </c>
      <c r="BB216" s="403"/>
      <c r="BC216" s="403"/>
      <c r="BD216" s="403"/>
      <c r="BE216" s="403"/>
      <c r="BF216" s="403" t="s">
        <v>7210</v>
      </c>
      <c r="BG216" s="403"/>
      <c r="BH216" s="403"/>
      <c r="BI216" s="403"/>
      <c r="BJ216" s="403"/>
      <c r="BK216" s="403"/>
      <c r="BL216" s="403"/>
      <c r="BM216" s="403" t="s">
        <v>7211</v>
      </c>
      <c r="BN216" s="403"/>
      <c r="BO216" s="403"/>
      <c r="BP216" s="403"/>
      <c r="BQ216" s="403"/>
      <c r="BR216" s="403" t="s">
        <v>7198</v>
      </c>
      <c r="BS216" s="403"/>
      <c r="BT216" s="403"/>
      <c r="BU216" s="403"/>
      <c r="BV216" s="403"/>
      <c r="BW216" s="403"/>
      <c r="BX216" s="403"/>
      <c r="BY216" s="403" t="s">
        <v>7212</v>
      </c>
      <c r="BZ216" s="403"/>
      <c r="CA216" s="403"/>
      <c r="CB216" s="403"/>
      <c r="CC216" s="403"/>
      <c r="CD216" s="403" t="s">
        <v>7201</v>
      </c>
      <c r="CE216" s="403"/>
      <c r="CF216" s="403"/>
      <c r="CG216" s="403"/>
      <c r="CH216" s="403"/>
      <c r="CI216" s="403"/>
      <c r="CJ216" s="403"/>
      <c r="CK216" s="403" t="s">
        <v>7213</v>
      </c>
      <c r="CL216" s="403"/>
      <c r="CM216" s="403"/>
      <c r="CN216" s="403"/>
      <c r="CO216" s="403"/>
      <c r="CP216" s="403" t="s">
        <v>7204</v>
      </c>
      <c r="CQ216" s="403"/>
      <c r="CR216" s="403"/>
      <c r="CS216" s="564"/>
    </row>
    <row r="217" spans="1:97" s="281" customFormat="1" ht="12.75" x14ac:dyDescent="0.2">
      <c r="A217" s="350">
        <v>2</v>
      </c>
      <c r="B217" s="9"/>
      <c r="C217" s="627"/>
      <c r="D217" s="66" t="str">
        <f t="shared" ca="1" si="119"/>
        <v>Vaccination deliveries from regional to district + health facilities per period</v>
      </c>
      <c r="E217" s="35">
        <v>2</v>
      </c>
      <c r="F217" s="81">
        <v>2</v>
      </c>
      <c r="G217" s="4" t="str">
        <f t="shared" si="121"/>
        <v>OK</v>
      </c>
      <c r="H217" s="24"/>
      <c r="I217" s="2" t="str">
        <f t="shared" ca="1" si="120"/>
        <v>Whole number; Time period is half a year</v>
      </c>
      <c r="J217" s="299"/>
      <c r="K217" s="567"/>
      <c r="L217" s="587"/>
      <c r="M217" s="403"/>
      <c r="N217" s="403"/>
      <c r="O217" s="403"/>
      <c r="P217" s="403"/>
      <c r="Q217" s="403" t="s">
        <v>3631</v>
      </c>
      <c r="R217" s="403"/>
      <c r="S217" s="403"/>
      <c r="T217" s="403"/>
      <c r="U217" s="403"/>
      <c r="V217" s="403" t="s">
        <v>1661</v>
      </c>
      <c r="W217" s="403"/>
      <c r="X217" s="403" t="s">
        <v>197</v>
      </c>
      <c r="Y217" s="403"/>
      <c r="Z217" s="403"/>
      <c r="AA217" s="403"/>
      <c r="AB217" s="403"/>
      <c r="AC217" s="403" t="s">
        <v>7214</v>
      </c>
      <c r="AD217" s="403"/>
      <c r="AE217" s="403"/>
      <c r="AF217" s="403"/>
      <c r="AG217" s="403"/>
      <c r="AH217" s="403" t="s">
        <v>7189</v>
      </c>
      <c r="AI217" s="403"/>
      <c r="AJ217" s="403"/>
      <c r="AK217" s="403"/>
      <c r="AL217" s="403"/>
      <c r="AM217" s="403"/>
      <c r="AN217" s="403"/>
      <c r="AO217" s="403" t="s">
        <v>7215</v>
      </c>
      <c r="AP217" s="403"/>
      <c r="AQ217" s="403"/>
      <c r="AR217" s="403"/>
      <c r="AS217" s="403"/>
      <c r="AT217" s="403" t="s">
        <v>7208</v>
      </c>
      <c r="AU217" s="403"/>
      <c r="AV217" s="403"/>
      <c r="AW217" s="403"/>
      <c r="AX217" s="403"/>
      <c r="AY217" s="403"/>
      <c r="AZ217" s="403"/>
      <c r="BA217" s="403" t="s">
        <v>7216</v>
      </c>
      <c r="BB217" s="403"/>
      <c r="BC217" s="403"/>
      <c r="BD217" s="403"/>
      <c r="BE217" s="403"/>
      <c r="BF217" s="403" t="s">
        <v>7210</v>
      </c>
      <c r="BG217" s="403"/>
      <c r="BH217" s="403"/>
      <c r="BI217" s="403"/>
      <c r="BJ217" s="403"/>
      <c r="BK217" s="403"/>
      <c r="BL217" s="403"/>
      <c r="BM217" s="403" t="s">
        <v>7217</v>
      </c>
      <c r="BN217" s="403"/>
      <c r="BO217" s="403"/>
      <c r="BP217" s="403"/>
      <c r="BQ217" s="403"/>
      <c r="BR217" s="403" t="s">
        <v>7198</v>
      </c>
      <c r="BS217" s="403"/>
      <c r="BT217" s="403"/>
      <c r="BU217" s="403"/>
      <c r="BV217" s="403"/>
      <c r="BW217" s="403"/>
      <c r="BX217" s="403"/>
      <c r="BY217" s="403" t="s">
        <v>7218</v>
      </c>
      <c r="BZ217" s="403"/>
      <c r="CA217" s="403"/>
      <c r="CB217" s="403"/>
      <c r="CC217" s="403"/>
      <c r="CD217" s="403" t="s">
        <v>7201</v>
      </c>
      <c r="CE217" s="403"/>
      <c r="CF217" s="403"/>
      <c r="CG217" s="403"/>
      <c r="CH217" s="403"/>
      <c r="CI217" s="403"/>
      <c r="CJ217" s="403"/>
      <c r="CK217" s="403" t="s">
        <v>7219</v>
      </c>
      <c r="CL217" s="403"/>
      <c r="CM217" s="403"/>
      <c r="CN217" s="403"/>
      <c r="CO217" s="403"/>
      <c r="CP217" s="403" t="s">
        <v>7204</v>
      </c>
      <c r="CQ217" s="403"/>
      <c r="CR217" s="403"/>
      <c r="CS217" s="564"/>
    </row>
    <row r="218" spans="1:97" s="241" customFormat="1" ht="12.75" x14ac:dyDescent="0.2">
      <c r="A218" s="350">
        <v>2</v>
      </c>
      <c r="B218" s="9"/>
      <c r="C218" s="627"/>
      <c r="D218" s="66" t="str">
        <f t="shared" ca="1" si="119"/>
        <v>Cold-storage reserve capacity</v>
      </c>
      <c r="E218" s="154">
        <v>1.25</v>
      </c>
      <c r="F218" s="81">
        <v>1.25</v>
      </c>
      <c r="G218" s="4" t="str">
        <f t="shared" si="121"/>
        <v>OK</v>
      </c>
      <c r="H218" s="24"/>
      <c r="I218" s="2" t="str">
        <f t="shared" ca="1" si="120"/>
        <v>Factor (i.e. 1.25 = 25% extra)</v>
      </c>
      <c r="J218" s="299"/>
      <c r="K218" s="143" t="str">
        <f t="shared" ca="1" si="112"/>
        <v>Reserve capacity needed at all levels of cold storage</v>
      </c>
      <c r="L218" s="587"/>
      <c r="M218" s="403"/>
      <c r="N218" s="403"/>
      <c r="O218" s="403"/>
      <c r="P218" s="403"/>
      <c r="Q218" s="403" t="s">
        <v>3000</v>
      </c>
      <c r="R218" s="403"/>
      <c r="S218" s="403"/>
      <c r="T218" s="403"/>
      <c r="U218" s="403"/>
      <c r="V218" s="403" t="s">
        <v>3192</v>
      </c>
      <c r="W218" s="403"/>
      <c r="X218" s="403" t="s">
        <v>3837</v>
      </c>
      <c r="Y218" s="403"/>
      <c r="Z218" s="403"/>
      <c r="AA218" s="403"/>
      <c r="AB218" s="403"/>
      <c r="AC218" s="403" t="s">
        <v>7220</v>
      </c>
      <c r="AD218" s="403"/>
      <c r="AE218" s="403"/>
      <c r="AF218" s="403"/>
      <c r="AG218" s="403"/>
      <c r="AH218" s="403" t="s">
        <v>7171</v>
      </c>
      <c r="AI218" s="403"/>
      <c r="AJ218" s="403" t="s">
        <v>7221</v>
      </c>
      <c r="AK218" s="403"/>
      <c r="AL218" s="403"/>
      <c r="AM218" s="403"/>
      <c r="AN218" s="403"/>
      <c r="AO218" s="403" t="s">
        <v>7222</v>
      </c>
      <c r="AP218" s="403"/>
      <c r="AQ218" s="403"/>
      <c r="AR218" s="403"/>
      <c r="AS218" s="403"/>
      <c r="AT218" s="403" t="s">
        <v>7174</v>
      </c>
      <c r="AU218" s="403"/>
      <c r="AV218" s="403" t="s">
        <v>7223</v>
      </c>
      <c r="AW218" s="403"/>
      <c r="AX218" s="403"/>
      <c r="AY218" s="403"/>
      <c r="AZ218" s="403"/>
      <c r="BA218" s="403" t="s">
        <v>7224</v>
      </c>
      <c r="BB218" s="403"/>
      <c r="BC218" s="403"/>
      <c r="BD218" s="403"/>
      <c r="BE218" s="403"/>
      <c r="BF218" s="403" t="s">
        <v>7177</v>
      </c>
      <c r="BG218" s="403"/>
      <c r="BH218" s="403" t="s">
        <v>7225</v>
      </c>
      <c r="BI218" s="403"/>
      <c r="BJ218" s="403"/>
      <c r="BK218" s="403"/>
      <c r="BL218" s="403"/>
      <c r="BM218" s="403" t="s">
        <v>7226</v>
      </c>
      <c r="BN218" s="403"/>
      <c r="BO218" s="403"/>
      <c r="BP218" s="403"/>
      <c r="BQ218" s="403"/>
      <c r="BR218" s="403" t="s">
        <v>7180</v>
      </c>
      <c r="BS218" s="403"/>
      <c r="BT218" s="403" t="s">
        <v>7227</v>
      </c>
      <c r="BU218" s="403"/>
      <c r="BV218" s="403"/>
      <c r="BW218" s="403"/>
      <c r="BX218" s="403"/>
      <c r="BY218" s="403" t="s">
        <v>7228</v>
      </c>
      <c r="BZ218" s="403"/>
      <c r="CA218" s="403"/>
      <c r="CB218" s="403"/>
      <c r="CC218" s="403"/>
      <c r="CD218" s="403" t="s">
        <v>7183</v>
      </c>
      <c r="CE218" s="403"/>
      <c r="CF218" s="403" t="s">
        <v>7229</v>
      </c>
      <c r="CG218" s="403"/>
      <c r="CH218" s="403"/>
      <c r="CI218" s="403"/>
      <c r="CJ218" s="403"/>
      <c r="CK218" s="403" t="s">
        <v>7230</v>
      </c>
      <c r="CL218" s="403"/>
      <c r="CM218" s="403"/>
      <c r="CN218" s="403"/>
      <c r="CO218" s="403"/>
      <c r="CP218" s="403" t="s">
        <v>7186</v>
      </c>
      <c r="CQ218" s="403"/>
      <c r="CR218" s="403" t="s">
        <v>7231</v>
      </c>
      <c r="CS218" s="564"/>
    </row>
    <row r="219" spans="1:97" s="241" customFormat="1" ht="12.75" x14ac:dyDescent="0.2">
      <c r="A219" s="349">
        <v>1</v>
      </c>
      <c r="B219" s="9"/>
      <c r="C219" s="627"/>
      <c r="D219" s="335" t="str">
        <f t="shared" ca="1" si="119"/>
        <v>Solar Direct Drive cold storage (versus on-grid electricity)</v>
      </c>
      <c r="E219" s="40"/>
      <c r="F219" s="68"/>
      <c r="G219" s="4" t="str">
        <f t="shared" si="121"/>
        <v>CHECK</v>
      </c>
      <c r="H219" s="24"/>
      <c r="I219" s="2" t="str">
        <f t="shared" ca="1" si="120"/>
        <v>Proportion of total cold storage</v>
      </c>
      <c r="J219" s="299"/>
      <c r="K219" s="143" t="str">
        <f t="shared" ca="1" si="112"/>
        <v>This is for cold storage at fixed sites and districts..Central and regional cold storage assummed to be on-grid</v>
      </c>
      <c r="L219" s="587"/>
      <c r="M219" s="403"/>
      <c r="N219" s="403"/>
      <c r="O219" s="403"/>
      <c r="P219" s="403"/>
      <c r="Q219" s="403" t="s">
        <v>3199</v>
      </c>
      <c r="R219" s="403"/>
      <c r="S219" s="403"/>
      <c r="T219" s="403"/>
      <c r="U219" s="403"/>
      <c r="V219" s="403" t="s">
        <v>3075</v>
      </c>
      <c r="W219" s="403"/>
      <c r="X219" s="403" t="s">
        <v>3632</v>
      </c>
      <c r="Y219" s="403"/>
      <c r="Z219" s="403"/>
      <c r="AA219" s="403"/>
      <c r="AB219" s="403"/>
      <c r="AC219" s="403" t="s">
        <v>7232</v>
      </c>
      <c r="AD219" s="403"/>
      <c r="AE219" s="403"/>
      <c r="AF219" s="403"/>
      <c r="AG219" s="403"/>
      <c r="AH219" s="403" t="s">
        <v>7233</v>
      </c>
      <c r="AI219" s="403"/>
      <c r="AJ219" s="403" t="s">
        <v>7234</v>
      </c>
      <c r="AK219" s="403"/>
      <c r="AL219" s="403"/>
      <c r="AM219" s="403"/>
      <c r="AN219" s="403"/>
      <c r="AO219" s="403" t="s">
        <v>7235</v>
      </c>
      <c r="AP219" s="403"/>
      <c r="AQ219" s="403"/>
      <c r="AR219" s="403"/>
      <c r="AS219" s="403"/>
      <c r="AT219" s="403" t="s">
        <v>7236</v>
      </c>
      <c r="AU219" s="403"/>
      <c r="AV219" s="403" t="s">
        <v>7237</v>
      </c>
      <c r="AW219" s="403"/>
      <c r="AX219" s="403"/>
      <c r="AY219" s="403"/>
      <c r="AZ219" s="403"/>
      <c r="BA219" s="403" t="s">
        <v>7238</v>
      </c>
      <c r="BB219" s="403"/>
      <c r="BC219" s="403"/>
      <c r="BD219" s="403"/>
      <c r="BE219" s="403"/>
      <c r="BF219" s="403" t="s">
        <v>7239</v>
      </c>
      <c r="BG219" s="403"/>
      <c r="BH219" s="403" t="s">
        <v>7240</v>
      </c>
      <c r="BI219" s="403"/>
      <c r="BJ219" s="403"/>
      <c r="BK219" s="403"/>
      <c r="BL219" s="403"/>
      <c r="BM219" s="403" t="s">
        <v>7241</v>
      </c>
      <c r="BN219" s="403"/>
      <c r="BO219" s="403"/>
      <c r="BP219" s="403"/>
      <c r="BQ219" s="403"/>
      <c r="BR219" s="403" t="s">
        <v>7242</v>
      </c>
      <c r="BS219" s="403"/>
      <c r="BT219" s="403" t="s">
        <v>7243</v>
      </c>
      <c r="BU219" s="403"/>
      <c r="BV219" s="403"/>
      <c r="BW219" s="403"/>
      <c r="BX219" s="403"/>
      <c r="BY219" s="403" t="s">
        <v>7244</v>
      </c>
      <c r="BZ219" s="403"/>
      <c r="CA219" s="403"/>
      <c r="CB219" s="403"/>
      <c r="CC219" s="403"/>
      <c r="CD219" s="403" t="s">
        <v>7245</v>
      </c>
      <c r="CE219" s="403"/>
      <c r="CF219" s="403" t="s">
        <v>7246</v>
      </c>
      <c r="CG219" s="403"/>
      <c r="CH219" s="403"/>
      <c r="CI219" s="403"/>
      <c r="CJ219" s="403"/>
      <c r="CK219" s="403" t="s">
        <v>7247</v>
      </c>
      <c r="CL219" s="403"/>
      <c r="CM219" s="403"/>
      <c r="CN219" s="403"/>
      <c r="CO219" s="403"/>
      <c r="CP219" s="403" t="s">
        <v>7248</v>
      </c>
      <c r="CQ219" s="403"/>
      <c r="CR219" s="403" t="s">
        <v>7249</v>
      </c>
      <c r="CS219" s="564"/>
    </row>
    <row r="220" spans="1:97" s="150" customFormat="1" ht="12.75" x14ac:dyDescent="0.2">
      <c r="A220" s="350">
        <v>2</v>
      </c>
      <c r="B220" s="9"/>
      <c r="C220" s="627"/>
      <c r="D220" s="335" t="str">
        <f t="shared" ca="1" si="119"/>
        <v>Use Long Range (4 days cold like) cold boxes for outreach?</v>
      </c>
      <c r="E220" s="35" t="s">
        <v>2671</v>
      </c>
      <c r="F220" s="81" t="str">
        <f>Lang_Yes</f>
        <v>Yes</v>
      </c>
      <c r="G220" s="4" t="str">
        <f t="shared" si="121"/>
        <v>OK</v>
      </c>
      <c r="H220" s="147">
        <f>IF(E220=Lang_No,2,4)</f>
        <v>4</v>
      </c>
      <c r="I220" s="2"/>
      <c r="J220" s="299"/>
      <c r="K220" s="143" t="str">
        <f t="shared" ca="1" si="112"/>
        <v>Default is long range. "No" = Short Range (2 days); Source: https://www.unicef.org/supply/media/4411/file/E004-cold-boxes-vaccine-carriers%20-procurement-guidelines.pdf</v>
      </c>
      <c r="L220" s="587"/>
      <c r="M220" s="403"/>
      <c r="N220" s="403"/>
      <c r="O220" s="403"/>
      <c r="P220" s="403"/>
      <c r="Q220" s="403" t="s">
        <v>4171</v>
      </c>
      <c r="R220" s="403"/>
      <c r="S220" s="403"/>
      <c r="T220" s="403"/>
      <c r="U220" s="403"/>
      <c r="V220" s="403"/>
      <c r="W220" s="403"/>
      <c r="X220" s="403" t="s">
        <v>4172</v>
      </c>
      <c r="Y220" s="403"/>
      <c r="Z220" s="403"/>
      <c r="AA220" s="403"/>
      <c r="AB220" s="403"/>
      <c r="AC220" s="403" t="s">
        <v>7250</v>
      </c>
      <c r="AD220" s="403"/>
      <c r="AE220" s="403"/>
      <c r="AF220" s="403"/>
      <c r="AG220" s="403"/>
      <c r="AH220" s="403"/>
      <c r="AI220" s="403"/>
      <c r="AJ220" s="403" t="s">
        <v>7251</v>
      </c>
      <c r="AK220" s="403"/>
      <c r="AL220" s="403"/>
      <c r="AM220" s="403"/>
      <c r="AN220" s="403"/>
      <c r="AO220" s="403" t="s">
        <v>7252</v>
      </c>
      <c r="AP220" s="403"/>
      <c r="AQ220" s="403"/>
      <c r="AR220" s="403"/>
      <c r="AS220" s="403"/>
      <c r="AT220" s="403"/>
      <c r="AU220" s="403"/>
      <c r="AV220" s="403" t="s">
        <v>7253</v>
      </c>
      <c r="AW220" s="403"/>
      <c r="AX220" s="403"/>
      <c r="AY220" s="403"/>
      <c r="AZ220" s="403"/>
      <c r="BA220" s="403" t="s">
        <v>7254</v>
      </c>
      <c r="BB220" s="403"/>
      <c r="BC220" s="403"/>
      <c r="BD220" s="403"/>
      <c r="BE220" s="403"/>
      <c r="BF220" s="403"/>
      <c r="BG220" s="403"/>
      <c r="BH220" s="403" t="s">
        <v>7255</v>
      </c>
      <c r="BI220" s="403"/>
      <c r="BJ220" s="403"/>
      <c r="BK220" s="403"/>
      <c r="BL220" s="403"/>
      <c r="BM220" s="403" t="s">
        <v>7256</v>
      </c>
      <c r="BN220" s="403"/>
      <c r="BO220" s="403"/>
      <c r="BP220" s="403"/>
      <c r="BQ220" s="403"/>
      <c r="BR220" s="403"/>
      <c r="BS220" s="403"/>
      <c r="BT220" s="403" t="s">
        <v>7257</v>
      </c>
      <c r="BU220" s="403"/>
      <c r="BV220" s="403"/>
      <c r="BW220" s="403"/>
      <c r="BX220" s="403"/>
      <c r="BY220" s="403" t="s">
        <v>7258</v>
      </c>
      <c r="BZ220" s="403"/>
      <c r="CA220" s="403"/>
      <c r="CB220" s="403"/>
      <c r="CC220" s="403"/>
      <c r="CD220" s="403"/>
      <c r="CE220" s="403"/>
      <c r="CF220" s="403" t="s">
        <v>7259</v>
      </c>
      <c r="CG220" s="403"/>
      <c r="CH220" s="403"/>
      <c r="CI220" s="403"/>
      <c r="CJ220" s="403"/>
      <c r="CK220" s="403" t="s">
        <v>7260</v>
      </c>
      <c r="CL220" s="403"/>
      <c r="CM220" s="403"/>
      <c r="CN220" s="403"/>
      <c r="CO220" s="403"/>
      <c r="CP220" s="403"/>
      <c r="CQ220" s="403"/>
      <c r="CR220" s="403" t="s">
        <v>7261</v>
      </c>
      <c r="CS220" s="564"/>
    </row>
    <row r="221" spans="1:97" s="194" customFormat="1" ht="12.75" x14ac:dyDescent="0.2">
      <c r="B221" s="299"/>
      <c r="C221" s="622"/>
      <c r="J221" s="299"/>
      <c r="L221" s="567"/>
      <c r="M221" s="403"/>
      <c r="N221" s="403"/>
      <c r="O221" s="403"/>
      <c r="P221" s="403"/>
      <c r="Q221" s="403"/>
      <c r="R221" s="403"/>
      <c r="S221" s="403"/>
      <c r="T221" s="403"/>
      <c r="U221" s="403"/>
      <c r="V221" s="403"/>
      <c r="W221" s="403"/>
      <c r="X221" s="403" t="s">
        <v>197</v>
      </c>
      <c r="Y221" s="403"/>
      <c r="Z221" s="403"/>
      <c r="AA221" s="403"/>
      <c r="AB221" s="403"/>
      <c r="AC221" s="403"/>
      <c r="AD221" s="403"/>
      <c r="AE221" s="403"/>
      <c r="AF221" s="403"/>
      <c r="AG221" s="403"/>
      <c r="AH221" s="403"/>
      <c r="AI221" s="403"/>
      <c r="AJ221" s="403"/>
      <c r="AK221" s="403"/>
      <c r="AL221" s="403"/>
      <c r="AM221" s="403"/>
      <c r="AN221" s="403"/>
      <c r="AO221" s="403"/>
      <c r="AP221" s="403"/>
      <c r="AQ221" s="403"/>
      <c r="AR221" s="403"/>
      <c r="AS221" s="403"/>
      <c r="AT221" s="403"/>
      <c r="AU221" s="403"/>
      <c r="AV221" s="403"/>
      <c r="AW221" s="403"/>
      <c r="AX221" s="403"/>
      <c r="AY221" s="403"/>
      <c r="AZ221" s="403"/>
      <c r="BA221" s="403"/>
      <c r="BB221" s="403"/>
      <c r="BC221" s="403"/>
      <c r="BD221" s="403"/>
      <c r="BE221" s="403"/>
      <c r="BF221" s="403"/>
      <c r="BG221" s="403"/>
      <c r="BH221" s="403"/>
      <c r="BI221" s="403"/>
      <c r="BJ221" s="403"/>
      <c r="BK221" s="403"/>
      <c r="BL221" s="403"/>
      <c r="BM221" s="403"/>
      <c r="BN221" s="403"/>
      <c r="BO221" s="403"/>
      <c r="BP221" s="403"/>
      <c r="BQ221" s="403"/>
      <c r="BR221" s="403"/>
      <c r="BS221" s="403"/>
      <c r="BT221" s="403"/>
      <c r="BU221" s="403"/>
      <c r="BV221" s="403"/>
      <c r="BW221" s="403"/>
      <c r="BX221" s="403"/>
      <c r="BY221" s="403"/>
      <c r="BZ221" s="403"/>
      <c r="CA221" s="403"/>
      <c r="CB221" s="403"/>
      <c r="CC221" s="403"/>
      <c r="CD221" s="403"/>
      <c r="CE221" s="403"/>
      <c r="CF221" s="403"/>
      <c r="CG221" s="403"/>
      <c r="CH221" s="403"/>
      <c r="CI221" s="403"/>
      <c r="CJ221" s="403"/>
      <c r="CK221" s="403"/>
      <c r="CL221" s="403"/>
      <c r="CM221" s="403"/>
      <c r="CN221" s="403"/>
      <c r="CO221" s="403"/>
      <c r="CP221" s="403"/>
      <c r="CQ221" s="403"/>
      <c r="CR221" s="403"/>
      <c r="CS221" s="564"/>
    </row>
    <row r="222" spans="1:97" ht="17.25" x14ac:dyDescent="0.3">
      <c r="A222" s="15"/>
      <c r="B222" s="17" t="str">
        <f t="shared" ref="B222" ca="1" si="122">IF(OFFSET(O222,0,Lang_Order*Lang__A2)="","",OFFSET(O222,0,Lang_Order*Lang__A2))</f>
        <v>A2.4 Vaccine Selection, Wastage, and Expected Uptake</v>
      </c>
      <c r="C222" s="623"/>
      <c r="D222" s="17"/>
      <c r="E222" s="326" t="str">
        <f t="shared" ref="E222" ca="1" si="123">IF(OFFSET(R222,0,Lang_Order*Lang__A2)="","",OFFSET(R222,0,Lang_Order*Lang__A2))</f>
        <v>INPUTS</v>
      </c>
      <c r="F222" s="326" t="str">
        <f t="shared" ref="F222" ca="1" si="124">IF(OFFSET(S222,0,Lang_Order*Lang__A2)="","",OFFSET(S222,0,Lang_Order*Lang__A2))</f>
        <v>Suggestion</v>
      </c>
      <c r="G222" s="326" t="str">
        <f t="shared" ref="G222" ca="1" si="125">IF(OFFSET(T222,0,Lang_Order*Lang__A2)="","",OFFSET(T222,0,Lang_Order*Lang__A2))</f>
        <v/>
      </c>
      <c r="H222" s="326" t="str">
        <f t="shared" ref="H222" ca="1" si="126">IF(OFFSET(U222,0,Lang_Order*Lang__A2)="","",OFFSET(U222,0,Lang_Order*Lang__A2))</f>
        <v>Derived</v>
      </c>
      <c r="I222" s="326" t="str">
        <f t="shared" ref="I222" ca="1" si="127">IF(OFFSET(V222,0,Lang_Order*Lang__A2)="","",OFFSET(V222,0,Lang_Order*Lang__A2))</f>
        <v>Unit / Comment</v>
      </c>
      <c r="J222" s="326"/>
      <c r="K222" s="326" t="str">
        <f t="shared" ref="K222" ca="1" si="128">IF(OFFSET(X222,0,Lang_Order*Lang__A2)="","",OFFSET(X222,0,Lang_Order*Lang__A2))</f>
        <v>Comments</v>
      </c>
      <c r="L222" s="326" t="str">
        <f t="shared" ref="L222" ca="1" si="129">IF(OFFSET(Y222,0,Lang_Order*Lang__A2)="","",OFFSET(Y222,0,Lang_Order*Lang__A2))</f>
        <v>User Notes</v>
      </c>
      <c r="O222" s="403" t="s">
        <v>3822</v>
      </c>
      <c r="R222" s="403" t="s">
        <v>3744</v>
      </c>
      <c r="S222" s="403" t="s">
        <v>1638</v>
      </c>
      <c r="U222" s="403" t="s">
        <v>17</v>
      </c>
      <c r="V222" s="403" t="s">
        <v>2870</v>
      </c>
      <c r="X222" s="403" t="s">
        <v>13980</v>
      </c>
      <c r="Y222" s="403" t="s">
        <v>13981</v>
      </c>
      <c r="AA222" s="403" t="s">
        <v>7262</v>
      </c>
      <c r="AD222" s="403" t="s">
        <v>5848</v>
      </c>
      <c r="AE222" s="403" t="s">
        <v>1638</v>
      </c>
      <c r="AG222" s="403" t="s">
        <v>5849</v>
      </c>
      <c r="AH222" s="403" t="s">
        <v>5850</v>
      </c>
      <c r="AJ222" s="403" t="s">
        <v>14071</v>
      </c>
      <c r="AK222" s="403" t="s">
        <v>14076</v>
      </c>
      <c r="AM222" s="403" t="s">
        <v>7263</v>
      </c>
      <c r="AP222" s="403" t="s">
        <v>5852</v>
      </c>
      <c r="AQ222" s="403" t="s">
        <v>5853</v>
      </c>
      <c r="AS222" s="403" t="s">
        <v>6034</v>
      </c>
      <c r="AT222" s="403" t="s">
        <v>6740</v>
      </c>
      <c r="AV222" s="403" t="s">
        <v>14072</v>
      </c>
      <c r="AW222" s="403" t="s">
        <v>14077</v>
      </c>
      <c r="AY222" s="403" t="s">
        <v>7264</v>
      </c>
      <c r="BB222" s="403" t="s">
        <v>5857</v>
      </c>
      <c r="BC222" s="403" t="s">
        <v>6037</v>
      </c>
      <c r="BE222" s="403" t="s">
        <v>5859</v>
      </c>
      <c r="BF222" s="403" t="s">
        <v>5860</v>
      </c>
      <c r="BH222" s="403" t="s">
        <v>14073</v>
      </c>
      <c r="BI222" s="403" t="s">
        <v>14078</v>
      </c>
      <c r="BK222" s="403" t="s">
        <v>7265</v>
      </c>
      <c r="BN222" s="403" t="s">
        <v>5862</v>
      </c>
      <c r="BO222" s="403" t="s">
        <v>5863</v>
      </c>
      <c r="BQ222" s="403" t="s">
        <v>5864</v>
      </c>
      <c r="BR222" s="403" t="s">
        <v>5865</v>
      </c>
      <c r="BT222" s="403" t="s">
        <v>14074</v>
      </c>
      <c r="BU222" s="403" t="s">
        <v>14079</v>
      </c>
      <c r="BW222" s="403" t="s">
        <v>7266</v>
      </c>
      <c r="BZ222" s="403" t="s">
        <v>5867</v>
      </c>
      <c r="CA222" s="403" t="s">
        <v>5868</v>
      </c>
      <c r="CC222" s="403" t="s">
        <v>6040</v>
      </c>
      <c r="CD222" s="403" t="s">
        <v>6041</v>
      </c>
      <c r="CF222" s="403" t="s">
        <v>14075</v>
      </c>
      <c r="CG222" s="403" t="s">
        <v>14080</v>
      </c>
      <c r="CI222" s="403" t="s">
        <v>7267</v>
      </c>
      <c r="CL222" s="403" t="s">
        <v>5873</v>
      </c>
      <c r="CM222" s="403" t="s">
        <v>5874</v>
      </c>
      <c r="CO222" s="403" t="s">
        <v>5875</v>
      </c>
      <c r="CP222" s="403" t="s">
        <v>5876</v>
      </c>
      <c r="CR222" s="403" t="s">
        <v>5455</v>
      </c>
      <c r="CS222" s="564" t="s">
        <v>14081</v>
      </c>
    </row>
    <row r="223" spans="1:97" ht="12.75" x14ac:dyDescent="0.2">
      <c r="B223" s="9"/>
      <c r="C223" s="624" t="str">
        <f t="shared" ref="C223" ca="1" si="130">IF(OFFSET(P223,0,Lang_Order*Lang__A2)="","",OFFSET(P223,0,Lang_Order*Lang__A2))</f>
        <v>Vaccine Selection for Delivery Modalities</v>
      </c>
      <c r="D223" s="23"/>
      <c r="E223" s="122"/>
      <c r="F223" s="122"/>
      <c r="G223" s="5"/>
      <c r="H223" s="5"/>
      <c r="I223" s="5"/>
      <c r="J223" s="299"/>
      <c r="K223" s="5"/>
      <c r="L223" s="567"/>
      <c r="P223" s="403" t="s">
        <v>33</v>
      </c>
      <c r="X223" s="403" t="s">
        <v>197</v>
      </c>
      <c r="AB223" s="403" t="s">
        <v>7268</v>
      </c>
      <c r="AN223" s="403" t="s">
        <v>7269</v>
      </c>
      <c r="AZ223" s="403" t="s">
        <v>7270</v>
      </c>
      <c r="BL223" s="403" t="s">
        <v>7271</v>
      </c>
      <c r="BX223" s="403" t="s">
        <v>7272</v>
      </c>
      <c r="CJ223" s="403" t="s">
        <v>7273</v>
      </c>
    </row>
    <row r="224" spans="1:97" s="194" customFormat="1" ht="38.1" customHeight="1" x14ac:dyDescent="0.2">
      <c r="A224" s="9"/>
      <c r="B224" s="9"/>
      <c r="C224" s="624"/>
      <c r="D224" s="683" t="str">
        <f t="shared" ref="D224:D229" ca="1" si="131">IF(OFFSET(Q224,0,Lang_Order*Lang__A2)="","",OFFSET(Q224,0,Lang_Order*Lang__A2))</f>
        <v>Instructions: Please select the vaccine type to be used for costing. You may select separate vaccine types for each delivery modality. You may also use the same vaccine for one or more or all delivery modalities.</v>
      </c>
      <c r="E224" s="683"/>
      <c r="F224" s="683"/>
      <c r="G224" s="683"/>
      <c r="H224" s="475" t="str">
        <f ca="1">IF(OFFSET(U224,0,Lang_Order*Lang__A2)="","",OFFSET(U224,0,Lang_Order*Lang__A2))</f>
        <v>Doses per course</v>
      </c>
      <c r="I224" s="5"/>
      <c r="J224" s="299"/>
      <c r="K224" s="567"/>
      <c r="L224" s="567"/>
      <c r="M224" s="403"/>
      <c r="N224" s="403"/>
      <c r="O224" s="403"/>
      <c r="P224" s="403"/>
      <c r="Q224" s="403" t="s">
        <v>4095</v>
      </c>
      <c r="R224" s="403"/>
      <c r="S224" s="403"/>
      <c r="T224" s="403"/>
      <c r="U224" s="403" t="s">
        <v>1607</v>
      </c>
      <c r="V224" s="403"/>
      <c r="W224" s="403"/>
      <c r="X224" s="403" t="s">
        <v>197</v>
      </c>
      <c r="Y224" s="403"/>
      <c r="Z224" s="403"/>
      <c r="AA224" s="403"/>
      <c r="AB224" s="403"/>
      <c r="AC224" s="403" t="s">
        <v>7274</v>
      </c>
      <c r="AD224" s="403"/>
      <c r="AE224" s="403"/>
      <c r="AF224" s="403"/>
      <c r="AG224" s="403" t="s">
        <v>5731</v>
      </c>
      <c r="AH224" s="403"/>
      <c r="AI224" s="403"/>
      <c r="AJ224" s="403"/>
      <c r="AK224" s="403"/>
      <c r="AL224" s="403"/>
      <c r="AM224" s="403"/>
      <c r="AN224" s="403"/>
      <c r="AO224" s="403" t="s">
        <v>7275</v>
      </c>
      <c r="AP224" s="403"/>
      <c r="AQ224" s="403"/>
      <c r="AR224" s="403"/>
      <c r="AS224" s="403" t="s">
        <v>7276</v>
      </c>
      <c r="AT224" s="403"/>
      <c r="AU224" s="403"/>
      <c r="AV224" s="403"/>
      <c r="AW224" s="403"/>
      <c r="AX224" s="403"/>
      <c r="AY224" s="403"/>
      <c r="AZ224" s="403"/>
      <c r="BA224" s="403" t="s">
        <v>7277</v>
      </c>
      <c r="BB224" s="403"/>
      <c r="BC224" s="403"/>
      <c r="BD224" s="403"/>
      <c r="BE224" s="403" t="s">
        <v>5761</v>
      </c>
      <c r="BF224" s="403"/>
      <c r="BG224" s="403"/>
      <c r="BH224" s="403"/>
      <c r="BI224" s="403"/>
      <c r="BJ224" s="403"/>
      <c r="BK224" s="403"/>
      <c r="BL224" s="403"/>
      <c r="BM224" s="403" t="s">
        <v>7278</v>
      </c>
      <c r="BN224" s="403"/>
      <c r="BO224" s="403"/>
      <c r="BP224" s="403"/>
      <c r="BQ224" s="403" t="s">
        <v>5775</v>
      </c>
      <c r="BR224" s="403"/>
      <c r="BS224" s="403"/>
      <c r="BT224" s="403"/>
      <c r="BU224" s="403"/>
      <c r="BV224" s="403"/>
      <c r="BW224" s="403"/>
      <c r="BX224" s="403"/>
      <c r="BY224" s="403" t="s">
        <v>7279</v>
      </c>
      <c r="BZ224" s="403"/>
      <c r="CA224" s="403"/>
      <c r="CB224" s="403"/>
      <c r="CC224" s="403" t="s">
        <v>5788</v>
      </c>
      <c r="CD224" s="403"/>
      <c r="CE224" s="403"/>
      <c r="CF224" s="403"/>
      <c r="CG224" s="403"/>
      <c r="CH224" s="403"/>
      <c r="CI224" s="403"/>
      <c r="CJ224" s="403"/>
      <c r="CK224" s="403" t="s">
        <v>7280</v>
      </c>
      <c r="CL224" s="403"/>
      <c r="CM224" s="403"/>
      <c r="CN224" s="403"/>
      <c r="CO224" s="403" t="s">
        <v>7281</v>
      </c>
      <c r="CP224" s="403"/>
      <c r="CQ224" s="403"/>
      <c r="CR224" s="403"/>
      <c r="CS224" s="564"/>
    </row>
    <row r="225" spans="1:97" ht="12.75" x14ac:dyDescent="0.2">
      <c r="A225" s="349">
        <v>1</v>
      </c>
      <c r="B225" s="9"/>
      <c r="C225" s="627"/>
      <c r="D225" s="23" t="str">
        <f t="shared" ca="1" si="131"/>
        <v>Delivery Modality 1: Fixed sites with cold-storage</v>
      </c>
      <c r="E225" s="35"/>
      <c r="F225" s="299"/>
      <c r="G225" s="4" t="str">
        <f>IF(ISBLANK(E225),Lang_CHECK,"OK")</f>
        <v>CHECK</v>
      </c>
      <c r="H225" s="147" t="e">
        <f>VALUE(VLOOKUP(DM1_Vaccine,'T1. Vaccines'!$C$8:$AD$37,J225,FALSE))</f>
        <v>#N/A</v>
      </c>
      <c r="J225" s="3">
        <f>'T1. Vaccines'!$F$39</f>
        <v>4</v>
      </c>
      <c r="K225" s="567"/>
      <c r="L225" s="587"/>
      <c r="Q225" s="403" t="s">
        <v>4096</v>
      </c>
      <c r="X225" s="403" t="s">
        <v>197</v>
      </c>
      <c r="AC225" s="403" t="s">
        <v>7282</v>
      </c>
      <c r="AO225" s="403" t="s">
        <v>7283</v>
      </c>
      <c r="BA225" s="403" t="s">
        <v>7284</v>
      </c>
      <c r="BM225" s="403" t="s">
        <v>7285</v>
      </c>
      <c r="BY225" s="403" t="s">
        <v>7286</v>
      </c>
      <c r="CK225" s="403" t="s">
        <v>7287</v>
      </c>
    </row>
    <row r="226" spans="1:97" ht="12.75" x14ac:dyDescent="0.2">
      <c r="A226" s="349">
        <v>1</v>
      </c>
      <c r="B226" s="9"/>
      <c r="C226" s="627"/>
      <c r="D226" s="23" t="str">
        <f t="shared" ca="1" si="131"/>
        <v>Delivery Modality 2: Campaigns at fixed sites with no cold-storage</v>
      </c>
      <c r="E226" s="668"/>
      <c r="F226" s="122"/>
      <c r="G226" s="4" t="str">
        <f>IF(ISBLANK(E226),Lang_CHECK,"OK")</f>
        <v>CHECK</v>
      </c>
      <c r="H226" s="147" t="e">
        <f>VALUE(VLOOKUP(DM2_Vaccine,'T1. Vaccines'!$C$8:$AD$37,J226,FALSE))</f>
        <v>#N/A</v>
      </c>
      <c r="J226" s="3">
        <f>'T1. Vaccines'!$F$39</f>
        <v>4</v>
      </c>
      <c r="K226" s="567"/>
      <c r="L226" s="587"/>
      <c r="Q226" s="403" t="s">
        <v>4097</v>
      </c>
      <c r="X226" s="403" t="s">
        <v>197</v>
      </c>
      <c r="AC226" s="403" t="s">
        <v>7288</v>
      </c>
      <c r="AO226" s="403" t="s">
        <v>7289</v>
      </c>
      <c r="BA226" s="403" t="s">
        <v>7290</v>
      </c>
      <c r="BM226" s="403" t="s">
        <v>7291</v>
      </c>
      <c r="BY226" s="403" t="s">
        <v>7292</v>
      </c>
      <c r="CK226" s="403" t="s">
        <v>7293</v>
      </c>
    </row>
    <row r="227" spans="1:97" ht="12.75" x14ac:dyDescent="0.2">
      <c r="A227" s="349">
        <v>1</v>
      </c>
      <c r="B227" s="9"/>
      <c r="C227" s="627"/>
      <c r="D227" s="23" t="str">
        <f t="shared" ca="1" si="131"/>
        <v>Delivery Modality 3: Residential Institutions</v>
      </c>
      <c r="E227" s="668"/>
      <c r="F227" s="122"/>
      <c r="G227" s="4" t="str">
        <f>IF(ISBLANK(E227),Lang_CHECK,"OK")</f>
        <v>CHECK</v>
      </c>
      <c r="H227" s="147" t="e">
        <f>VALUE(VLOOKUP(DM3_Vaccine,'T1. Vaccines'!$C$8:$AD$37,J227,FALSE))</f>
        <v>#N/A</v>
      </c>
      <c r="J227" s="3">
        <f>'T1. Vaccines'!$F$39</f>
        <v>4</v>
      </c>
      <c r="K227" s="567"/>
      <c r="L227" s="587"/>
      <c r="Q227" s="403" t="s">
        <v>4098</v>
      </c>
      <c r="X227" s="403" t="s">
        <v>197</v>
      </c>
      <c r="AC227" s="403" t="s">
        <v>7294</v>
      </c>
      <c r="AO227" s="403" t="s">
        <v>7295</v>
      </c>
      <c r="BA227" s="403" t="s">
        <v>7296</v>
      </c>
      <c r="BM227" s="403" t="s">
        <v>7297</v>
      </c>
      <c r="BY227" s="403" t="s">
        <v>7298</v>
      </c>
      <c r="CK227" s="403" t="s">
        <v>7299</v>
      </c>
    </row>
    <row r="228" spans="1:97" ht="12.75" x14ac:dyDescent="0.2">
      <c r="A228" s="349">
        <v>1</v>
      </c>
      <c r="B228" s="9"/>
      <c r="C228" s="627"/>
      <c r="D228" s="23" t="str">
        <f t="shared" ca="1" si="131"/>
        <v>Delivery Modality 4: Outreach &amp; Mobile sites</v>
      </c>
      <c r="E228" s="668"/>
      <c r="F228" s="533" t="e">
        <f>IF('B3. International Logistics'!C34='T2. Misc'!G12,Lang_AvoidUCC,"")</f>
        <v>#N/A</v>
      </c>
      <c r="G228" s="4" t="e">
        <f>IF(OR(F228&lt;&gt;"",ISBLANK(E228)),Lang_CHECK,"OK")</f>
        <v>#N/A</v>
      </c>
      <c r="H228" s="147" t="e">
        <f>VALUE(VLOOKUP(DM4_Vaccine,'T1. Vaccines'!$C$8:$AD$37,J228,FALSE))</f>
        <v>#N/A</v>
      </c>
      <c r="J228" s="3">
        <f>'T1. Vaccines'!$F$39</f>
        <v>4</v>
      </c>
      <c r="K228" s="143" t="s">
        <v>4530</v>
      </c>
      <c r="L228" s="587"/>
      <c r="Q228" s="403" t="s">
        <v>4099</v>
      </c>
      <c r="X228" s="403" t="s">
        <v>4530</v>
      </c>
      <c r="AC228" s="403" t="s">
        <v>7300</v>
      </c>
      <c r="AJ228" s="403" t="s">
        <v>13905</v>
      </c>
      <c r="AO228" s="403" t="s">
        <v>7301</v>
      </c>
      <c r="AV228" s="403" t="s">
        <v>13906</v>
      </c>
      <c r="BA228" s="403" t="s">
        <v>7302</v>
      </c>
      <c r="BH228" s="403" t="s">
        <v>13907</v>
      </c>
      <c r="BM228" s="403" t="s">
        <v>7303</v>
      </c>
      <c r="BT228" s="403" t="s">
        <v>13908</v>
      </c>
      <c r="BY228" s="403" t="s">
        <v>7304</v>
      </c>
      <c r="CF228" s="403" t="s">
        <v>13909</v>
      </c>
      <c r="CK228" s="403" t="s">
        <v>7305</v>
      </c>
      <c r="CR228" s="403" t="s">
        <v>13910</v>
      </c>
    </row>
    <row r="229" spans="1:97" s="15" customFormat="1" ht="12.75" x14ac:dyDescent="0.2">
      <c r="A229" s="9"/>
      <c r="B229" s="9"/>
      <c r="C229" s="627"/>
      <c r="D229" s="228" t="str">
        <f t="shared" ca="1" si="131"/>
        <v>Click here to change vaccine specifications</v>
      </c>
      <c r="F229" s="122"/>
      <c r="G229" s="194"/>
      <c r="K229" s="567"/>
      <c r="L229" s="567"/>
      <c r="M229" s="403"/>
      <c r="N229" s="403"/>
      <c r="O229" s="403"/>
      <c r="P229" s="403"/>
      <c r="Q229" s="403" t="s">
        <v>2953</v>
      </c>
      <c r="R229" s="403"/>
      <c r="S229" s="403"/>
      <c r="T229" s="403"/>
      <c r="U229" s="403"/>
      <c r="V229" s="403"/>
      <c r="W229" s="403"/>
      <c r="X229" s="403" t="s">
        <v>197</v>
      </c>
      <c r="Y229" s="403"/>
      <c r="Z229" s="403"/>
      <c r="AA229" s="403"/>
      <c r="AB229" s="403"/>
      <c r="AC229" s="403" t="s">
        <v>7306</v>
      </c>
      <c r="AD229" s="403"/>
      <c r="AE229" s="403"/>
      <c r="AF229" s="403"/>
      <c r="AG229" s="403"/>
      <c r="AH229" s="403"/>
      <c r="AI229" s="403"/>
      <c r="AJ229" s="403"/>
      <c r="AK229" s="403"/>
      <c r="AL229" s="403"/>
      <c r="AM229" s="403"/>
      <c r="AN229" s="403"/>
      <c r="AO229" s="403" t="s">
        <v>7307</v>
      </c>
      <c r="AP229" s="403"/>
      <c r="AQ229" s="403"/>
      <c r="AR229" s="403"/>
      <c r="AS229" s="403"/>
      <c r="AT229" s="403"/>
      <c r="AU229" s="403"/>
      <c r="AV229" s="403"/>
      <c r="AW229" s="403"/>
      <c r="AX229" s="403"/>
      <c r="AY229" s="403"/>
      <c r="AZ229" s="403"/>
      <c r="BA229" s="403" t="s">
        <v>7308</v>
      </c>
      <c r="BB229" s="403"/>
      <c r="BC229" s="403"/>
      <c r="BD229" s="403"/>
      <c r="BE229" s="403"/>
      <c r="BF229" s="403"/>
      <c r="BG229" s="403"/>
      <c r="BH229" s="403"/>
      <c r="BI229" s="403"/>
      <c r="BJ229" s="403"/>
      <c r="BK229" s="403"/>
      <c r="BL229" s="403"/>
      <c r="BM229" s="403" t="s">
        <v>7309</v>
      </c>
      <c r="BN229" s="403"/>
      <c r="BO229" s="403"/>
      <c r="BP229" s="403"/>
      <c r="BQ229" s="403"/>
      <c r="BR229" s="403"/>
      <c r="BS229" s="403"/>
      <c r="BT229" s="403"/>
      <c r="BU229" s="403"/>
      <c r="BV229" s="403"/>
      <c r="BW229" s="403"/>
      <c r="BX229" s="403"/>
      <c r="BY229" s="403" t="s">
        <v>7310</v>
      </c>
      <c r="BZ229" s="403"/>
      <c r="CA229" s="403"/>
      <c r="CB229" s="403"/>
      <c r="CC229" s="403"/>
      <c r="CD229" s="403"/>
      <c r="CE229" s="403"/>
      <c r="CF229" s="403"/>
      <c r="CG229" s="403"/>
      <c r="CH229" s="403"/>
      <c r="CI229" s="403"/>
      <c r="CJ229" s="403"/>
      <c r="CK229" s="403" t="s">
        <v>7311</v>
      </c>
      <c r="CL229" s="403"/>
      <c r="CM229" s="403"/>
      <c r="CN229" s="403"/>
      <c r="CO229" s="403"/>
      <c r="CP229" s="403"/>
      <c r="CQ229" s="403"/>
      <c r="CR229" s="403"/>
      <c r="CS229" s="564"/>
    </row>
    <row r="230" spans="1:97" s="15" customFormat="1" ht="12.75" hidden="1" x14ac:dyDescent="0.2">
      <c r="A230" s="9"/>
      <c r="B230" s="346" t="s">
        <v>14116</v>
      </c>
      <c r="C230" s="624" t="str">
        <f t="shared" ref="C230" ca="1" si="132">IF(OFFSET(P230,0,Lang_Order*Lang__A2)="","",OFFSET(P230,0,Lang_Order*Lang__A2))</f>
        <v>Final Vaccine Price (INDICATIVE ONLY, based on indicative prices in user-editable vaccine database)</v>
      </c>
      <c r="D230" s="23"/>
      <c r="E230" s="122"/>
      <c r="F230" s="122"/>
      <c r="H230" s="25" t="str">
        <f t="shared" ref="H230" ca="1" si="133">IF(OFFSET(U230,0,Lang_Order*Lang__A2)="","",OFFSET(U230,0,Lang_Order*Lang__A2))</f>
        <v>USD per DOSE (not per course)</v>
      </c>
      <c r="K230" s="567"/>
      <c r="L230" s="567"/>
      <c r="M230" s="403"/>
      <c r="N230" s="403"/>
      <c r="O230" s="403"/>
      <c r="P230" s="403" t="s">
        <v>4123</v>
      </c>
      <c r="Q230" s="403"/>
      <c r="R230" s="403"/>
      <c r="S230" s="403"/>
      <c r="T230" s="403"/>
      <c r="U230" s="403" t="s">
        <v>1641</v>
      </c>
      <c r="V230" s="403"/>
      <c r="W230" s="403"/>
      <c r="X230" s="403" t="s">
        <v>197</v>
      </c>
      <c r="Y230" s="403"/>
      <c r="Z230" s="403"/>
      <c r="AA230" s="403"/>
      <c r="AB230" s="403" t="s">
        <v>7312</v>
      </c>
      <c r="AC230" s="403"/>
      <c r="AD230" s="403"/>
      <c r="AE230" s="403"/>
      <c r="AF230" s="403"/>
      <c r="AG230" s="403" t="s">
        <v>7313</v>
      </c>
      <c r="AH230" s="403"/>
      <c r="AI230" s="403"/>
      <c r="AJ230" s="403"/>
      <c r="AK230" s="403"/>
      <c r="AL230" s="403"/>
      <c r="AM230" s="403"/>
      <c r="AN230" s="403" t="s">
        <v>7314</v>
      </c>
      <c r="AO230" s="403"/>
      <c r="AP230" s="403"/>
      <c r="AQ230" s="403"/>
      <c r="AR230" s="403"/>
      <c r="AS230" s="403" t="s">
        <v>7315</v>
      </c>
      <c r="AT230" s="403"/>
      <c r="AU230" s="403"/>
      <c r="AV230" s="403"/>
      <c r="AW230" s="403"/>
      <c r="AX230" s="403"/>
      <c r="AY230" s="403"/>
      <c r="AZ230" s="403" t="s">
        <v>7316</v>
      </c>
      <c r="BA230" s="403"/>
      <c r="BB230" s="403"/>
      <c r="BC230" s="403"/>
      <c r="BD230" s="403"/>
      <c r="BE230" s="403" t="s">
        <v>7317</v>
      </c>
      <c r="BF230" s="403"/>
      <c r="BG230" s="403"/>
      <c r="BH230" s="403"/>
      <c r="BI230" s="403"/>
      <c r="BJ230" s="403"/>
      <c r="BK230" s="403"/>
      <c r="BL230" s="403" t="s">
        <v>7318</v>
      </c>
      <c r="BM230" s="403"/>
      <c r="BN230" s="403"/>
      <c r="BO230" s="403"/>
      <c r="BP230" s="403"/>
      <c r="BQ230" s="403" t="s">
        <v>7319</v>
      </c>
      <c r="BR230" s="403"/>
      <c r="BS230" s="403"/>
      <c r="BT230" s="403"/>
      <c r="BU230" s="403"/>
      <c r="BV230" s="403"/>
      <c r="BW230" s="403"/>
      <c r="BX230" s="403" t="s">
        <v>7320</v>
      </c>
      <c r="BY230" s="403"/>
      <c r="BZ230" s="403"/>
      <c r="CA230" s="403"/>
      <c r="CB230" s="403"/>
      <c r="CC230" s="403" t="s">
        <v>7321</v>
      </c>
      <c r="CD230" s="403"/>
      <c r="CE230" s="403"/>
      <c r="CF230" s="403"/>
      <c r="CG230" s="403"/>
      <c r="CH230" s="403"/>
      <c r="CI230" s="403"/>
      <c r="CJ230" s="403" t="s">
        <v>7322</v>
      </c>
      <c r="CK230" s="403"/>
      <c r="CL230" s="403"/>
      <c r="CM230" s="403"/>
      <c r="CN230" s="403"/>
      <c r="CO230" s="403" t="s">
        <v>7323</v>
      </c>
      <c r="CP230" s="403"/>
      <c r="CQ230" s="403"/>
      <c r="CR230" s="403"/>
      <c r="CS230" s="564"/>
    </row>
    <row r="231" spans="1:97" s="15" customFormat="1" ht="12.75" hidden="1" x14ac:dyDescent="0.2">
      <c r="A231" s="9"/>
      <c r="B231" s="346" t="s">
        <v>14116</v>
      </c>
      <c r="C231" s="627"/>
      <c r="D231" s="66" t="str">
        <f>CONCATENATE("",DM1_Vaccine)</f>
        <v/>
      </c>
      <c r="E231" s="122"/>
      <c r="F231" s="122"/>
      <c r="G231" s="194"/>
      <c r="H231" s="101" t="e">
        <f>VALUE(VLOOKUP(DM1_Vaccine,'T1. Vaccines'!$C$8:$AD$37,J231,FALSE))</f>
        <v>#N/A</v>
      </c>
      <c r="I231" s="2"/>
      <c r="J231" s="3">
        <f>'T1. Vaccines'!$E$39</f>
        <v>3</v>
      </c>
      <c r="K231" s="143" t="str">
        <f t="shared" ref="K231:L256" ca="1" si="134">IF(OFFSET(X231,0,Lang_Order*Lang__A2)="","",OFFSET(X231,0,Lang_Order*Lang__A2))</f>
        <v>Including prepayments and cost sharing</v>
      </c>
      <c r="L231" s="567"/>
      <c r="M231" s="403"/>
      <c r="N231" s="403"/>
      <c r="O231" s="403"/>
      <c r="P231" s="403"/>
      <c r="Q231" s="403"/>
      <c r="R231" s="403"/>
      <c r="S231" s="403"/>
      <c r="T231" s="403"/>
      <c r="U231" s="403"/>
      <c r="V231" s="403"/>
      <c r="W231" s="403"/>
      <c r="X231" s="403" t="s">
        <v>1711</v>
      </c>
      <c r="Y231" s="403"/>
      <c r="Z231" s="403"/>
      <c r="AA231" s="403"/>
      <c r="AB231" s="403"/>
      <c r="AC231" s="403"/>
      <c r="AD231" s="403"/>
      <c r="AE231" s="403"/>
      <c r="AF231" s="403"/>
      <c r="AG231" s="403"/>
      <c r="AH231" s="403"/>
      <c r="AI231" s="403"/>
      <c r="AJ231" s="403" t="s">
        <v>7324</v>
      </c>
      <c r="AK231" s="403"/>
      <c r="AL231" s="403"/>
      <c r="AM231" s="403"/>
      <c r="AN231" s="403"/>
      <c r="AO231" s="403"/>
      <c r="AP231" s="403"/>
      <c r="AQ231" s="403"/>
      <c r="AR231" s="403"/>
      <c r="AS231" s="403"/>
      <c r="AT231" s="403"/>
      <c r="AU231" s="403"/>
      <c r="AV231" s="403" t="s">
        <v>7325</v>
      </c>
      <c r="AW231" s="403"/>
      <c r="AX231" s="403"/>
      <c r="AY231" s="403"/>
      <c r="AZ231" s="403"/>
      <c r="BA231" s="403"/>
      <c r="BB231" s="403"/>
      <c r="BC231" s="403"/>
      <c r="BD231" s="403"/>
      <c r="BE231" s="403"/>
      <c r="BF231" s="403"/>
      <c r="BG231" s="403"/>
      <c r="BH231" s="403" t="s">
        <v>7326</v>
      </c>
      <c r="BI231" s="403"/>
      <c r="BJ231" s="403"/>
      <c r="BK231" s="403"/>
      <c r="BL231" s="403"/>
      <c r="BM231" s="403"/>
      <c r="BN231" s="403"/>
      <c r="BO231" s="403"/>
      <c r="BP231" s="403"/>
      <c r="BQ231" s="403"/>
      <c r="BR231" s="403"/>
      <c r="BS231" s="403"/>
      <c r="BT231" s="403" t="s">
        <v>7327</v>
      </c>
      <c r="BU231" s="403"/>
      <c r="BV231" s="403"/>
      <c r="BW231" s="403"/>
      <c r="BX231" s="403"/>
      <c r="BY231" s="403"/>
      <c r="BZ231" s="403"/>
      <c r="CA231" s="403"/>
      <c r="CB231" s="403"/>
      <c r="CC231" s="403"/>
      <c r="CD231" s="403"/>
      <c r="CE231" s="403"/>
      <c r="CF231" s="403" t="s">
        <v>7328</v>
      </c>
      <c r="CG231" s="403"/>
      <c r="CH231" s="403"/>
      <c r="CI231" s="403"/>
      <c r="CJ231" s="403"/>
      <c r="CK231" s="403"/>
      <c r="CL231" s="403"/>
      <c r="CM231" s="403"/>
      <c r="CN231" s="403"/>
      <c r="CO231" s="403"/>
      <c r="CP231" s="403"/>
      <c r="CQ231" s="403"/>
      <c r="CR231" s="403" t="s">
        <v>7329</v>
      </c>
      <c r="CS231" s="564"/>
    </row>
    <row r="232" spans="1:97" s="15" customFormat="1" ht="12.75" hidden="1" x14ac:dyDescent="0.2">
      <c r="A232" s="9"/>
      <c r="B232" s="346" t="s">
        <v>14116</v>
      </c>
      <c r="C232" s="627"/>
      <c r="D232" s="66" t="str">
        <f>CONCATENATE("",DM2_Vaccine)</f>
        <v/>
      </c>
      <c r="E232" s="122"/>
      <c r="F232" s="122"/>
      <c r="G232" s="194"/>
      <c r="H232" s="101" t="e">
        <f>VALUE(VLOOKUP(DM2_Vaccine,'T1. Vaccines'!$C$8:$AD$37,J232,FALSE))</f>
        <v>#N/A</v>
      </c>
      <c r="I232" s="2"/>
      <c r="J232" s="3">
        <f>'T1. Vaccines'!$E$39</f>
        <v>3</v>
      </c>
      <c r="K232" s="143" t="str">
        <f t="shared" ca="1" si="134"/>
        <v>Including prepayments and cost sharing</v>
      </c>
      <c r="L232" s="567"/>
      <c r="M232" s="403"/>
      <c r="N232" s="403"/>
      <c r="O232" s="403"/>
      <c r="P232" s="403"/>
      <c r="Q232" s="403"/>
      <c r="R232" s="403"/>
      <c r="S232" s="403"/>
      <c r="T232" s="403"/>
      <c r="U232" s="403"/>
      <c r="V232" s="403"/>
      <c r="W232" s="403"/>
      <c r="X232" s="403" t="s">
        <v>1711</v>
      </c>
      <c r="Y232" s="403"/>
      <c r="Z232" s="403"/>
      <c r="AA232" s="403"/>
      <c r="AB232" s="403"/>
      <c r="AC232" s="403"/>
      <c r="AD232" s="403"/>
      <c r="AE232" s="403"/>
      <c r="AF232" s="403"/>
      <c r="AG232" s="403"/>
      <c r="AH232" s="403"/>
      <c r="AI232" s="403"/>
      <c r="AJ232" s="403" t="s">
        <v>7324</v>
      </c>
      <c r="AK232" s="403"/>
      <c r="AL232" s="403"/>
      <c r="AM232" s="403"/>
      <c r="AN232" s="403"/>
      <c r="AO232" s="403"/>
      <c r="AP232" s="403"/>
      <c r="AQ232" s="403"/>
      <c r="AR232" s="403"/>
      <c r="AS232" s="403"/>
      <c r="AT232" s="403"/>
      <c r="AU232" s="403"/>
      <c r="AV232" s="403" t="s">
        <v>7325</v>
      </c>
      <c r="AW232" s="403"/>
      <c r="AX232" s="403"/>
      <c r="AY232" s="403"/>
      <c r="AZ232" s="403"/>
      <c r="BA232" s="403"/>
      <c r="BB232" s="403"/>
      <c r="BC232" s="403"/>
      <c r="BD232" s="403"/>
      <c r="BE232" s="403"/>
      <c r="BF232" s="403"/>
      <c r="BG232" s="403"/>
      <c r="BH232" s="403" t="s">
        <v>7326</v>
      </c>
      <c r="BI232" s="403"/>
      <c r="BJ232" s="403"/>
      <c r="BK232" s="403"/>
      <c r="BL232" s="403"/>
      <c r="BM232" s="403"/>
      <c r="BN232" s="403"/>
      <c r="BO232" s="403"/>
      <c r="BP232" s="403"/>
      <c r="BQ232" s="403"/>
      <c r="BR232" s="403"/>
      <c r="BS232" s="403"/>
      <c r="BT232" s="403" t="s">
        <v>7327</v>
      </c>
      <c r="BU232" s="403"/>
      <c r="BV232" s="403"/>
      <c r="BW232" s="403"/>
      <c r="BX232" s="403"/>
      <c r="BY232" s="403"/>
      <c r="BZ232" s="403"/>
      <c r="CA232" s="403"/>
      <c r="CB232" s="403"/>
      <c r="CC232" s="403"/>
      <c r="CD232" s="403"/>
      <c r="CE232" s="403"/>
      <c r="CF232" s="403" t="s">
        <v>7328</v>
      </c>
      <c r="CG232" s="403"/>
      <c r="CH232" s="403"/>
      <c r="CI232" s="403"/>
      <c r="CJ232" s="403"/>
      <c r="CK232" s="403"/>
      <c r="CL232" s="403"/>
      <c r="CM232" s="403"/>
      <c r="CN232" s="403"/>
      <c r="CO232" s="403"/>
      <c r="CP232" s="403"/>
      <c r="CQ232" s="403"/>
      <c r="CR232" s="403" t="s">
        <v>7329</v>
      </c>
      <c r="CS232" s="564"/>
    </row>
    <row r="233" spans="1:97" s="15" customFormat="1" ht="12.75" hidden="1" x14ac:dyDescent="0.2">
      <c r="A233" s="9"/>
      <c r="B233" s="346" t="s">
        <v>14116</v>
      </c>
      <c r="C233" s="627"/>
      <c r="D233" s="66" t="str">
        <f>CONCATENATE("",DM3_Vaccine)</f>
        <v/>
      </c>
      <c r="E233" s="122"/>
      <c r="F233" s="122"/>
      <c r="G233" s="194"/>
      <c r="H233" s="101" t="e">
        <f>VALUE(VLOOKUP(DM3_Vaccine,'T1. Vaccines'!$C$8:$AD$37,J233,FALSE))</f>
        <v>#N/A</v>
      </c>
      <c r="I233" s="2"/>
      <c r="J233" s="3">
        <f>'T1. Vaccines'!$E$39</f>
        <v>3</v>
      </c>
      <c r="K233" s="143" t="str">
        <f t="shared" ca="1" si="134"/>
        <v>Including prepayments and cost sharing</v>
      </c>
      <c r="L233" s="567"/>
      <c r="M233" s="403"/>
      <c r="N233" s="403"/>
      <c r="O233" s="403"/>
      <c r="P233" s="403"/>
      <c r="Q233" s="403"/>
      <c r="R233" s="403"/>
      <c r="S233" s="403"/>
      <c r="T233" s="403"/>
      <c r="U233" s="403"/>
      <c r="V233" s="403"/>
      <c r="W233" s="403"/>
      <c r="X233" s="403" t="s">
        <v>1711</v>
      </c>
      <c r="Y233" s="403"/>
      <c r="Z233" s="403"/>
      <c r="AA233" s="403"/>
      <c r="AB233" s="403"/>
      <c r="AC233" s="403"/>
      <c r="AD233" s="403"/>
      <c r="AE233" s="403"/>
      <c r="AF233" s="403"/>
      <c r="AG233" s="403"/>
      <c r="AH233" s="403"/>
      <c r="AI233" s="403"/>
      <c r="AJ233" s="403" t="s">
        <v>7324</v>
      </c>
      <c r="AK233" s="403"/>
      <c r="AL233" s="403"/>
      <c r="AM233" s="403"/>
      <c r="AN233" s="403"/>
      <c r="AO233" s="403"/>
      <c r="AP233" s="403"/>
      <c r="AQ233" s="403"/>
      <c r="AR233" s="403"/>
      <c r="AS233" s="403"/>
      <c r="AT233" s="403"/>
      <c r="AU233" s="403"/>
      <c r="AV233" s="403" t="s">
        <v>7325</v>
      </c>
      <c r="AW233" s="403"/>
      <c r="AX233" s="403"/>
      <c r="AY233" s="403"/>
      <c r="AZ233" s="403"/>
      <c r="BA233" s="403"/>
      <c r="BB233" s="403"/>
      <c r="BC233" s="403"/>
      <c r="BD233" s="403"/>
      <c r="BE233" s="403"/>
      <c r="BF233" s="403"/>
      <c r="BG233" s="403"/>
      <c r="BH233" s="403" t="s">
        <v>7326</v>
      </c>
      <c r="BI233" s="403"/>
      <c r="BJ233" s="403"/>
      <c r="BK233" s="403"/>
      <c r="BL233" s="403"/>
      <c r="BM233" s="403"/>
      <c r="BN233" s="403"/>
      <c r="BO233" s="403"/>
      <c r="BP233" s="403"/>
      <c r="BQ233" s="403"/>
      <c r="BR233" s="403"/>
      <c r="BS233" s="403"/>
      <c r="BT233" s="403" t="s">
        <v>7327</v>
      </c>
      <c r="BU233" s="403"/>
      <c r="BV233" s="403"/>
      <c r="BW233" s="403"/>
      <c r="BX233" s="403"/>
      <c r="BY233" s="403"/>
      <c r="BZ233" s="403"/>
      <c r="CA233" s="403"/>
      <c r="CB233" s="403"/>
      <c r="CC233" s="403"/>
      <c r="CD233" s="403"/>
      <c r="CE233" s="403"/>
      <c r="CF233" s="403" t="s">
        <v>7328</v>
      </c>
      <c r="CG233" s="403"/>
      <c r="CH233" s="403"/>
      <c r="CI233" s="403"/>
      <c r="CJ233" s="403"/>
      <c r="CK233" s="403"/>
      <c r="CL233" s="403"/>
      <c r="CM233" s="403"/>
      <c r="CN233" s="403"/>
      <c r="CO233" s="403"/>
      <c r="CP233" s="403"/>
      <c r="CQ233" s="403"/>
      <c r="CR233" s="403" t="s">
        <v>7329</v>
      </c>
      <c r="CS233" s="564"/>
    </row>
    <row r="234" spans="1:97" s="15" customFormat="1" ht="12.75" hidden="1" x14ac:dyDescent="0.2">
      <c r="A234" s="9"/>
      <c r="B234" s="346" t="s">
        <v>14116</v>
      </c>
      <c r="C234" s="627"/>
      <c r="D234" s="66" t="str">
        <f>CONCATENATE("",DM4_Vaccine)</f>
        <v/>
      </c>
      <c r="E234" s="122"/>
      <c r="F234" s="122"/>
      <c r="G234" s="194"/>
      <c r="H234" s="101" t="e">
        <f>VALUE(VLOOKUP(DM4_Vaccine,'T1. Vaccines'!$C$8:$AD$37,J234,FALSE))</f>
        <v>#N/A</v>
      </c>
      <c r="I234" s="2"/>
      <c r="J234" s="3">
        <f>'T1. Vaccines'!$E$39</f>
        <v>3</v>
      </c>
      <c r="K234" s="143" t="str">
        <f t="shared" ca="1" si="134"/>
        <v>Including prepayments and cost sharing</v>
      </c>
      <c r="L234" s="567"/>
      <c r="M234" s="403"/>
      <c r="N234" s="403"/>
      <c r="O234" s="403"/>
      <c r="P234" s="403"/>
      <c r="Q234" s="403"/>
      <c r="R234" s="403"/>
      <c r="S234" s="403"/>
      <c r="T234" s="403"/>
      <c r="U234" s="403"/>
      <c r="V234" s="403"/>
      <c r="W234" s="403"/>
      <c r="X234" s="403" t="s">
        <v>1711</v>
      </c>
      <c r="Y234" s="403"/>
      <c r="Z234" s="403"/>
      <c r="AA234" s="403"/>
      <c r="AB234" s="403"/>
      <c r="AC234" s="403"/>
      <c r="AD234" s="403"/>
      <c r="AE234" s="403"/>
      <c r="AF234" s="403"/>
      <c r="AG234" s="403"/>
      <c r="AH234" s="403"/>
      <c r="AI234" s="403"/>
      <c r="AJ234" s="403" t="s">
        <v>7324</v>
      </c>
      <c r="AK234" s="403"/>
      <c r="AL234" s="403"/>
      <c r="AM234" s="403"/>
      <c r="AN234" s="403"/>
      <c r="AO234" s="403"/>
      <c r="AP234" s="403"/>
      <c r="AQ234" s="403"/>
      <c r="AR234" s="403"/>
      <c r="AS234" s="403"/>
      <c r="AT234" s="403"/>
      <c r="AU234" s="403"/>
      <c r="AV234" s="403" t="s">
        <v>7325</v>
      </c>
      <c r="AW234" s="403"/>
      <c r="AX234" s="403"/>
      <c r="AY234" s="403"/>
      <c r="AZ234" s="403"/>
      <c r="BA234" s="403"/>
      <c r="BB234" s="403"/>
      <c r="BC234" s="403"/>
      <c r="BD234" s="403"/>
      <c r="BE234" s="403"/>
      <c r="BF234" s="403"/>
      <c r="BG234" s="403"/>
      <c r="BH234" s="403" t="s">
        <v>7326</v>
      </c>
      <c r="BI234" s="403"/>
      <c r="BJ234" s="403"/>
      <c r="BK234" s="403"/>
      <c r="BL234" s="403"/>
      <c r="BM234" s="403"/>
      <c r="BN234" s="403"/>
      <c r="BO234" s="403"/>
      <c r="BP234" s="403"/>
      <c r="BQ234" s="403"/>
      <c r="BR234" s="403"/>
      <c r="BS234" s="403"/>
      <c r="BT234" s="403" t="s">
        <v>7327</v>
      </c>
      <c r="BU234" s="403"/>
      <c r="BV234" s="403"/>
      <c r="BW234" s="403"/>
      <c r="BX234" s="403"/>
      <c r="BY234" s="403"/>
      <c r="BZ234" s="403"/>
      <c r="CA234" s="403"/>
      <c r="CB234" s="403"/>
      <c r="CC234" s="403"/>
      <c r="CD234" s="403"/>
      <c r="CE234" s="403"/>
      <c r="CF234" s="403" t="s">
        <v>7328</v>
      </c>
      <c r="CG234" s="403"/>
      <c r="CH234" s="403"/>
      <c r="CI234" s="403"/>
      <c r="CJ234" s="403"/>
      <c r="CK234" s="403"/>
      <c r="CL234" s="403"/>
      <c r="CM234" s="403"/>
      <c r="CN234" s="403"/>
      <c r="CO234" s="403"/>
      <c r="CP234" s="403"/>
      <c r="CQ234" s="403"/>
      <c r="CR234" s="403" t="s">
        <v>7329</v>
      </c>
      <c r="CS234" s="564"/>
    </row>
    <row r="235" spans="1:97" s="15" customFormat="1" ht="12.75" hidden="1" x14ac:dyDescent="0.2">
      <c r="A235" s="9"/>
      <c r="B235" s="9"/>
      <c r="C235" s="627"/>
      <c r="D235" s="23"/>
      <c r="E235" s="122"/>
      <c r="F235" s="122"/>
      <c r="J235" s="299"/>
      <c r="K235" s="567"/>
      <c r="L235" s="567"/>
      <c r="M235" s="403"/>
      <c r="N235" s="403"/>
      <c r="O235" s="403"/>
      <c r="P235" s="403"/>
      <c r="Q235" s="403"/>
      <c r="R235" s="403"/>
      <c r="S235" s="403"/>
      <c r="T235" s="403"/>
      <c r="U235" s="403"/>
      <c r="V235" s="403"/>
      <c r="W235" s="403"/>
      <c r="X235" s="403" t="s">
        <v>197</v>
      </c>
      <c r="Y235" s="403"/>
      <c r="Z235" s="403"/>
      <c r="AA235" s="403"/>
      <c r="AB235" s="403"/>
      <c r="AC235" s="403"/>
      <c r="AD235" s="403"/>
      <c r="AE235" s="403"/>
      <c r="AF235" s="403"/>
      <c r="AG235" s="403"/>
      <c r="AH235" s="403"/>
      <c r="AI235" s="403"/>
      <c r="AJ235" s="403"/>
      <c r="AK235" s="403"/>
      <c r="AL235" s="403"/>
      <c r="AM235" s="403"/>
      <c r="AN235" s="403"/>
      <c r="AO235" s="403"/>
      <c r="AP235" s="403"/>
      <c r="AQ235" s="403"/>
      <c r="AR235" s="403"/>
      <c r="AS235" s="403"/>
      <c r="AT235" s="403"/>
      <c r="AU235" s="403"/>
      <c r="AV235" s="403"/>
      <c r="AW235" s="403"/>
      <c r="AX235" s="403"/>
      <c r="AY235" s="403"/>
      <c r="AZ235" s="403"/>
      <c r="BA235" s="403"/>
      <c r="BB235" s="403"/>
      <c r="BC235" s="403"/>
      <c r="BD235" s="403"/>
      <c r="BE235" s="403"/>
      <c r="BF235" s="403"/>
      <c r="BG235" s="403"/>
      <c r="BH235" s="403"/>
      <c r="BI235" s="403"/>
      <c r="BJ235" s="403"/>
      <c r="BK235" s="403"/>
      <c r="BL235" s="403"/>
      <c r="BM235" s="403"/>
      <c r="BN235" s="403"/>
      <c r="BO235" s="403"/>
      <c r="BP235" s="403"/>
      <c r="BQ235" s="403"/>
      <c r="BR235" s="403"/>
      <c r="BS235" s="403"/>
      <c r="BT235" s="403"/>
      <c r="BU235" s="403"/>
      <c r="BV235" s="403"/>
      <c r="BW235" s="403"/>
      <c r="BX235" s="403"/>
      <c r="BY235" s="403"/>
      <c r="BZ235" s="403"/>
      <c r="CA235" s="403"/>
      <c r="CB235" s="403"/>
      <c r="CC235" s="403"/>
      <c r="CD235" s="403"/>
      <c r="CE235" s="403"/>
      <c r="CF235" s="403"/>
      <c r="CG235" s="403"/>
      <c r="CH235" s="403"/>
      <c r="CI235" s="403"/>
      <c r="CJ235" s="403"/>
      <c r="CK235" s="403"/>
      <c r="CL235" s="403"/>
      <c r="CM235" s="403"/>
      <c r="CN235" s="403"/>
      <c r="CO235" s="403"/>
      <c r="CP235" s="403"/>
      <c r="CQ235" s="403"/>
      <c r="CR235" s="403"/>
      <c r="CS235" s="564"/>
    </row>
    <row r="236" spans="1:97" s="15" customFormat="1" x14ac:dyDescent="0.25">
      <c r="A236" s="9"/>
      <c r="B236" s="9"/>
      <c r="C236" s="624" t="str">
        <f t="shared" ref="C236" ca="1" si="135">IF(OFFSET(P236,0,Lang_Order*Lang__A2)="","",OFFSET(P236,0,Lang_Order*Lang__A2))</f>
        <v>Vaccine Wastage (for demand estimations)</v>
      </c>
      <c r="D236" s="23"/>
      <c r="E236" s="122"/>
      <c r="F236" s="122"/>
      <c r="G236" s="22"/>
      <c r="H236" s="22"/>
      <c r="I236" s="22"/>
      <c r="J236" s="299"/>
      <c r="K236" s="143" t="str">
        <f t="shared" ca="1" si="134"/>
        <v>Note: Covax supply allocations do not calculate in vaccine wastages</v>
      </c>
      <c r="L236" s="567"/>
      <c r="M236" s="403"/>
      <c r="N236" s="403"/>
      <c r="O236" s="403"/>
      <c r="P236" s="403" t="s">
        <v>4100</v>
      </c>
      <c r="Q236" s="403"/>
      <c r="R236" s="403"/>
      <c r="S236" s="403"/>
      <c r="T236" s="403"/>
      <c r="U236" s="403"/>
      <c r="V236" s="403"/>
      <c r="W236" s="403"/>
      <c r="X236" s="403" t="s">
        <v>3801</v>
      </c>
      <c r="Y236" s="403"/>
      <c r="Z236" s="403"/>
      <c r="AA236" s="403"/>
      <c r="AB236" s="403" t="s">
        <v>7330</v>
      </c>
      <c r="AC236" s="403"/>
      <c r="AD236" s="403"/>
      <c r="AE236" s="403"/>
      <c r="AF236" s="403"/>
      <c r="AG236" s="403"/>
      <c r="AH236" s="403"/>
      <c r="AI236" s="403"/>
      <c r="AJ236" s="403" t="s">
        <v>7331</v>
      </c>
      <c r="AK236" s="403"/>
      <c r="AL236" s="403"/>
      <c r="AM236" s="403"/>
      <c r="AN236" s="403" t="s">
        <v>7332</v>
      </c>
      <c r="AO236" s="403"/>
      <c r="AP236" s="403"/>
      <c r="AQ236" s="403"/>
      <c r="AR236" s="403"/>
      <c r="AS236" s="403"/>
      <c r="AT236" s="403"/>
      <c r="AU236" s="403"/>
      <c r="AV236" s="403" t="s">
        <v>7333</v>
      </c>
      <c r="AW236" s="403"/>
      <c r="AX236" s="403"/>
      <c r="AY236" s="403"/>
      <c r="AZ236" s="403" t="s">
        <v>7334</v>
      </c>
      <c r="BA236" s="403"/>
      <c r="BB236" s="403"/>
      <c r="BC236" s="403"/>
      <c r="BD236" s="403"/>
      <c r="BE236" s="403"/>
      <c r="BF236" s="403"/>
      <c r="BG236" s="403"/>
      <c r="BH236" s="403" t="s">
        <v>7335</v>
      </c>
      <c r="BI236" s="403"/>
      <c r="BJ236" s="403"/>
      <c r="BK236" s="403"/>
      <c r="BL236" s="403" t="s">
        <v>7336</v>
      </c>
      <c r="BM236" s="403"/>
      <c r="BN236" s="403"/>
      <c r="BO236" s="403"/>
      <c r="BP236" s="403"/>
      <c r="BQ236" s="403"/>
      <c r="BR236" s="403"/>
      <c r="BS236" s="403"/>
      <c r="BT236" s="403" t="s">
        <v>7337</v>
      </c>
      <c r="BU236" s="403"/>
      <c r="BV236" s="403"/>
      <c r="BW236" s="403"/>
      <c r="BX236" s="403" t="s">
        <v>7338</v>
      </c>
      <c r="BY236" s="403"/>
      <c r="BZ236" s="403"/>
      <c r="CA236" s="403"/>
      <c r="CB236" s="403"/>
      <c r="CC236" s="403"/>
      <c r="CD236" s="403"/>
      <c r="CE236" s="403"/>
      <c r="CF236" s="403" t="s">
        <v>7339</v>
      </c>
      <c r="CG236" s="403"/>
      <c r="CH236" s="403"/>
      <c r="CI236" s="403"/>
      <c r="CJ236" s="403" t="s">
        <v>7340</v>
      </c>
      <c r="CK236" s="403"/>
      <c r="CL236" s="403"/>
      <c r="CM236" s="403"/>
      <c r="CN236" s="403"/>
      <c r="CO236" s="403"/>
      <c r="CP236" s="403"/>
      <c r="CQ236" s="403"/>
      <c r="CR236" s="403" t="s">
        <v>7341</v>
      </c>
      <c r="CS236" s="564"/>
    </row>
    <row r="237" spans="1:97" x14ac:dyDescent="0.25">
      <c r="A237" s="349">
        <v>1</v>
      </c>
      <c r="B237" s="9"/>
      <c r="C237" s="627"/>
      <c r="D237" s="23" t="str">
        <f t="shared" ref="D237:D238" ca="1" si="136">IF(OFFSET(Q237,0,Lang_Order*Lang__A2)="","",OFFSET(Q237,0,Lang_Order*Lang__A2))</f>
        <v>Default Vaccine Wastage Rate</v>
      </c>
      <c r="E237" s="40"/>
      <c r="F237" s="522"/>
      <c r="G237" s="4" t="str">
        <f>IF(ISBLANK(E237),Lang_CHECK,"OK")</f>
        <v>CHECK</v>
      </c>
      <c r="H237" s="22"/>
      <c r="J237" s="299"/>
      <c r="K237" s="567"/>
      <c r="L237" s="587"/>
      <c r="Q237" s="403" t="s">
        <v>2982</v>
      </c>
      <c r="X237" s="403" t="s">
        <v>197</v>
      </c>
      <c r="AC237" s="403" t="s">
        <v>7342</v>
      </c>
      <c r="AO237" s="403" t="s">
        <v>7343</v>
      </c>
      <c r="BA237" s="403" t="s">
        <v>7344</v>
      </c>
      <c r="BM237" s="403" t="s">
        <v>7345</v>
      </c>
      <c r="BY237" s="403" t="s">
        <v>7346</v>
      </c>
      <c r="CK237" s="403" t="s">
        <v>7347</v>
      </c>
    </row>
    <row r="238" spans="1:97" ht="12.75" x14ac:dyDescent="0.2">
      <c r="B238" s="9"/>
      <c r="C238" s="627"/>
      <c r="D238" s="23" t="str">
        <f t="shared" ca="1" si="136"/>
        <v>Default Wastage Multiplication Factor (WMF)</v>
      </c>
      <c r="E238" s="122"/>
      <c r="F238" s="122"/>
      <c r="G238" s="194"/>
      <c r="H238" s="24">
        <f>1 / (1 -E237)</f>
        <v>1</v>
      </c>
      <c r="J238" s="299"/>
      <c r="K238" s="143" t="str">
        <f t="shared" ca="1" si="134"/>
        <v>Source for formula - WHO WHO/IVB/08.01 2008</v>
      </c>
      <c r="L238" s="567"/>
      <c r="Q238" s="403" t="s">
        <v>2983</v>
      </c>
      <c r="X238" s="403" t="s">
        <v>1582</v>
      </c>
      <c r="AC238" s="403" t="s">
        <v>7348</v>
      </c>
      <c r="AJ238" s="403" t="s">
        <v>7349</v>
      </c>
      <c r="AO238" s="403" t="s">
        <v>7350</v>
      </c>
      <c r="AV238" s="403" t="s">
        <v>7351</v>
      </c>
      <c r="BA238" s="403" t="s">
        <v>7352</v>
      </c>
      <c r="BH238" s="403" t="s">
        <v>7353</v>
      </c>
      <c r="BM238" s="403" t="s">
        <v>7354</v>
      </c>
      <c r="BT238" s="403" t="s">
        <v>7355</v>
      </c>
      <c r="BY238" s="403" t="s">
        <v>7356</v>
      </c>
      <c r="CF238" s="403" t="s">
        <v>7357</v>
      </c>
      <c r="CK238" s="403" t="s">
        <v>7358</v>
      </c>
      <c r="CR238" s="403" t="s">
        <v>7359</v>
      </c>
    </row>
    <row r="239" spans="1:97" s="194" customFormat="1" ht="12.75" x14ac:dyDescent="0.2">
      <c r="A239" s="9"/>
      <c r="C239" s="622"/>
      <c r="J239" s="299"/>
      <c r="K239" s="567"/>
      <c r="L239" s="567"/>
      <c r="M239" s="403"/>
      <c r="N239" s="403"/>
      <c r="O239" s="403"/>
      <c r="P239" s="403"/>
      <c r="Q239" s="403"/>
      <c r="R239" s="403"/>
      <c r="S239" s="403"/>
      <c r="T239" s="403"/>
      <c r="U239" s="403"/>
      <c r="V239" s="403"/>
      <c r="W239" s="403"/>
      <c r="X239" s="403" t="s">
        <v>197</v>
      </c>
      <c r="Y239" s="403"/>
      <c r="Z239" s="403"/>
      <c r="AA239" s="403"/>
      <c r="AB239" s="403"/>
      <c r="AC239" s="403"/>
      <c r="AD239" s="403"/>
      <c r="AE239" s="403"/>
      <c r="AF239" s="403"/>
      <c r="AG239" s="403"/>
      <c r="AH239" s="403"/>
      <c r="AI239" s="403"/>
      <c r="AJ239" s="403"/>
      <c r="AK239" s="403"/>
      <c r="AL239" s="403"/>
      <c r="AM239" s="403"/>
      <c r="AN239" s="403"/>
      <c r="AO239" s="403"/>
      <c r="AP239" s="403"/>
      <c r="AQ239" s="403"/>
      <c r="AR239" s="403"/>
      <c r="AS239" s="403"/>
      <c r="AT239" s="403"/>
      <c r="AU239" s="403"/>
      <c r="AV239" s="403"/>
      <c r="AW239" s="403"/>
      <c r="AX239" s="403"/>
      <c r="AY239" s="403"/>
      <c r="AZ239" s="403"/>
      <c r="BA239" s="403"/>
      <c r="BB239" s="403"/>
      <c r="BC239" s="403"/>
      <c r="BD239" s="403"/>
      <c r="BE239" s="403"/>
      <c r="BF239" s="403"/>
      <c r="BG239" s="403"/>
      <c r="BH239" s="403"/>
      <c r="BI239" s="403"/>
      <c r="BJ239" s="403"/>
      <c r="BK239" s="403"/>
      <c r="BL239" s="403"/>
      <c r="BM239" s="403"/>
      <c r="BN239" s="403"/>
      <c r="BO239" s="403"/>
      <c r="BP239" s="403"/>
      <c r="BQ239" s="403"/>
      <c r="BR239" s="403"/>
      <c r="BS239" s="403"/>
      <c r="BT239" s="403"/>
      <c r="BU239" s="403"/>
      <c r="BV239" s="403"/>
      <c r="BW239" s="403"/>
      <c r="BX239" s="403"/>
      <c r="BY239" s="403"/>
      <c r="BZ239" s="403"/>
      <c r="CA239" s="403"/>
      <c r="CB239" s="403"/>
      <c r="CC239" s="403"/>
      <c r="CD239" s="403"/>
      <c r="CE239" s="403"/>
      <c r="CF239" s="403"/>
      <c r="CG239" s="403"/>
      <c r="CH239" s="403"/>
      <c r="CI239" s="403"/>
      <c r="CJ239" s="403"/>
      <c r="CK239" s="403"/>
      <c r="CL239" s="403"/>
      <c r="CM239" s="403"/>
      <c r="CN239" s="403"/>
      <c r="CO239" s="403"/>
      <c r="CP239" s="403"/>
      <c r="CQ239" s="403"/>
      <c r="CR239" s="403"/>
      <c r="CS239" s="564"/>
    </row>
    <row r="240" spans="1:97" s="194" customFormat="1" ht="12.75" x14ac:dyDescent="0.2">
      <c r="A240" s="9"/>
      <c r="C240" s="622"/>
      <c r="D240" s="31" t="str">
        <f t="shared" ref="D240" ca="1" si="137">IF(OFFSET(Q240,0,Lang_Order*Lang__A2)="","",OFFSET(Q240,0,Lang_Order*Lang__A2))</f>
        <v>Vaccine Wastage Rate - for Delivery Modality:</v>
      </c>
      <c r="E240" s="47" t="str">
        <f t="shared" ref="E240" ca="1" si="138">IF(OFFSET(R240,0,Lang_Order*Lang__A2)="","",OFFSET(R240,0,Lang_Order*Lang__A2))</f>
        <v>If wish to override default, else leave blank</v>
      </c>
      <c r="H240" s="25" t="str">
        <f t="shared" ref="H240" ca="1" si="139">IF(OFFSET(U240,0,Lang_Order*Lang__A2)="","",OFFSET(U240,0,Lang_Order*Lang__A2))</f>
        <v>WMF</v>
      </c>
      <c r="J240" s="299"/>
      <c r="K240" s="567"/>
      <c r="L240" s="567"/>
      <c r="M240" s="403"/>
      <c r="N240" s="403"/>
      <c r="O240" s="403"/>
      <c r="P240" s="403"/>
      <c r="Q240" s="403" t="s">
        <v>4124</v>
      </c>
      <c r="R240" s="403" t="s">
        <v>2984</v>
      </c>
      <c r="S240" s="403"/>
      <c r="T240" s="403"/>
      <c r="U240" s="403" t="s">
        <v>2981</v>
      </c>
      <c r="V240" s="403"/>
      <c r="W240" s="403"/>
      <c r="X240" s="403" t="s">
        <v>197</v>
      </c>
      <c r="Y240" s="403"/>
      <c r="Z240" s="403"/>
      <c r="AA240" s="403"/>
      <c r="AB240" s="403"/>
      <c r="AC240" s="403" t="s">
        <v>7360</v>
      </c>
      <c r="AD240" s="403" t="s">
        <v>7361</v>
      </c>
      <c r="AE240" s="403"/>
      <c r="AF240" s="403"/>
      <c r="AG240" s="403" t="s">
        <v>7362</v>
      </c>
      <c r="AH240" s="403"/>
      <c r="AI240" s="403"/>
      <c r="AJ240" s="403"/>
      <c r="AK240" s="403"/>
      <c r="AL240" s="403"/>
      <c r="AM240" s="403"/>
      <c r="AN240" s="403"/>
      <c r="AO240" s="403" t="s">
        <v>7363</v>
      </c>
      <c r="AP240" s="403" t="s">
        <v>7364</v>
      </c>
      <c r="AQ240" s="403"/>
      <c r="AR240" s="403"/>
      <c r="AS240" s="403" t="s">
        <v>7365</v>
      </c>
      <c r="AT240" s="403"/>
      <c r="AU240" s="403"/>
      <c r="AV240" s="403"/>
      <c r="AW240" s="403"/>
      <c r="AX240" s="403"/>
      <c r="AY240" s="403"/>
      <c r="AZ240" s="403"/>
      <c r="BA240" s="403" t="s">
        <v>7366</v>
      </c>
      <c r="BB240" s="403" t="s">
        <v>7367</v>
      </c>
      <c r="BC240" s="403"/>
      <c r="BD240" s="403"/>
      <c r="BE240" s="403" t="s">
        <v>7368</v>
      </c>
      <c r="BF240" s="403"/>
      <c r="BG240" s="403"/>
      <c r="BH240" s="403"/>
      <c r="BI240" s="403"/>
      <c r="BJ240" s="403"/>
      <c r="BK240" s="403"/>
      <c r="BL240" s="403"/>
      <c r="BM240" s="403" t="s">
        <v>7369</v>
      </c>
      <c r="BN240" s="403" t="s">
        <v>7370</v>
      </c>
      <c r="BO240" s="403"/>
      <c r="BP240" s="403"/>
      <c r="BQ240" s="403" t="s">
        <v>7368</v>
      </c>
      <c r="BR240" s="403"/>
      <c r="BS240" s="403"/>
      <c r="BT240" s="403"/>
      <c r="BU240" s="403"/>
      <c r="BV240" s="403"/>
      <c r="BW240" s="403"/>
      <c r="BX240" s="403"/>
      <c r="BY240" s="403" t="s">
        <v>7371</v>
      </c>
      <c r="BZ240" s="403" t="s">
        <v>7372</v>
      </c>
      <c r="CA240" s="403"/>
      <c r="CB240" s="403"/>
      <c r="CC240" s="403" t="s">
        <v>7356</v>
      </c>
      <c r="CD240" s="403"/>
      <c r="CE240" s="403"/>
      <c r="CF240" s="403"/>
      <c r="CG240" s="403"/>
      <c r="CH240" s="403"/>
      <c r="CI240" s="403"/>
      <c r="CJ240" s="403"/>
      <c r="CK240" s="403" t="s">
        <v>7373</v>
      </c>
      <c r="CL240" s="403" t="s">
        <v>7374</v>
      </c>
      <c r="CM240" s="403"/>
      <c r="CN240" s="403"/>
      <c r="CO240" s="403" t="s">
        <v>2981</v>
      </c>
      <c r="CP240" s="403"/>
      <c r="CQ240" s="403"/>
      <c r="CR240" s="403"/>
      <c r="CS240" s="564"/>
    </row>
    <row r="241" spans="1:97" s="194" customFormat="1" ht="12.75" x14ac:dyDescent="0.2">
      <c r="A241" s="350">
        <v>2</v>
      </c>
      <c r="B241" s="9"/>
      <c r="C241" s="627"/>
      <c r="D241" s="270" t="str">
        <f>CONCATENATE(" 1 - ",DM1_Vaccine)</f>
        <v xml:space="preserve"> 1 - </v>
      </c>
      <c r="E241" s="40"/>
      <c r="F241" s="522"/>
      <c r="H241" s="24">
        <f>IF(ISBLANK(E241),WMF,1 / (1 -E241))</f>
        <v>1</v>
      </c>
      <c r="I241" s="2"/>
      <c r="J241" s="299"/>
      <c r="K241" s="143" t="str">
        <f t="shared" ca="1" si="134"/>
        <v>This section allows the user to input delivery modality specific vaccine waste rates IF DESIRED, leave blank otherwise</v>
      </c>
      <c r="L241" s="587"/>
      <c r="M241" s="403"/>
      <c r="N241" s="403"/>
      <c r="O241" s="403"/>
      <c r="P241" s="403"/>
      <c r="Q241" s="403"/>
      <c r="R241" s="403"/>
      <c r="S241" s="403"/>
      <c r="T241" s="403"/>
      <c r="U241" s="403"/>
      <c r="V241" s="403"/>
      <c r="W241" s="403"/>
      <c r="X241" s="403" t="s">
        <v>2985</v>
      </c>
      <c r="Y241" s="403"/>
      <c r="Z241" s="403"/>
      <c r="AA241" s="403"/>
      <c r="AB241" s="403"/>
      <c r="AC241" s="403"/>
      <c r="AD241" s="403"/>
      <c r="AE241" s="403"/>
      <c r="AF241" s="403"/>
      <c r="AG241" s="403"/>
      <c r="AH241" s="403"/>
      <c r="AI241" s="403"/>
      <c r="AJ241" s="403" t="s">
        <v>7375</v>
      </c>
      <c r="AK241" s="403"/>
      <c r="AL241" s="403"/>
      <c r="AM241" s="403"/>
      <c r="AN241" s="403"/>
      <c r="AO241" s="403"/>
      <c r="AP241" s="403"/>
      <c r="AQ241" s="403"/>
      <c r="AR241" s="403"/>
      <c r="AS241" s="403"/>
      <c r="AT241" s="403"/>
      <c r="AU241" s="403"/>
      <c r="AV241" s="403" t="s">
        <v>7376</v>
      </c>
      <c r="AW241" s="403"/>
      <c r="AX241" s="403"/>
      <c r="AY241" s="403"/>
      <c r="AZ241" s="403"/>
      <c r="BA241" s="403"/>
      <c r="BB241" s="403"/>
      <c r="BC241" s="403"/>
      <c r="BD241" s="403"/>
      <c r="BE241" s="403"/>
      <c r="BF241" s="403"/>
      <c r="BG241" s="403"/>
      <c r="BH241" s="403" t="s">
        <v>7377</v>
      </c>
      <c r="BI241" s="403"/>
      <c r="BJ241" s="403"/>
      <c r="BK241" s="403"/>
      <c r="BL241" s="403"/>
      <c r="BM241" s="403"/>
      <c r="BN241" s="403"/>
      <c r="BO241" s="403"/>
      <c r="BP241" s="403"/>
      <c r="BQ241" s="403"/>
      <c r="BR241" s="403"/>
      <c r="BS241" s="403"/>
      <c r="BT241" s="403" t="s">
        <v>7378</v>
      </c>
      <c r="BU241" s="403"/>
      <c r="BV241" s="403"/>
      <c r="BW241" s="403"/>
      <c r="BX241" s="403"/>
      <c r="BY241" s="403"/>
      <c r="BZ241" s="403"/>
      <c r="CA241" s="403"/>
      <c r="CB241" s="403"/>
      <c r="CC241" s="403"/>
      <c r="CD241" s="403"/>
      <c r="CE241" s="403"/>
      <c r="CF241" s="403" t="s">
        <v>7379</v>
      </c>
      <c r="CG241" s="403"/>
      <c r="CH241" s="403"/>
      <c r="CI241" s="403"/>
      <c r="CJ241" s="403"/>
      <c r="CK241" s="403"/>
      <c r="CL241" s="403"/>
      <c r="CM241" s="403"/>
      <c r="CN241" s="403"/>
      <c r="CO241" s="403"/>
      <c r="CP241" s="403"/>
      <c r="CQ241" s="403"/>
      <c r="CR241" s="403" t="s">
        <v>7380</v>
      </c>
      <c r="CS241" s="564"/>
    </row>
    <row r="242" spans="1:97" s="194" customFormat="1" ht="12.75" x14ac:dyDescent="0.2">
      <c r="A242" s="350">
        <v>2</v>
      </c>
      <c r="B242" s="9"/>
      <c r="C242" s="627"/>
      <c r="D242" s="270" t="str">
        <f>CONCATENATE("2 - ",DM2_Vaccine)</f>
        <v xml:space="preserve">2 - </v>
      </c>
      <c r="E242" s="40"/>
      <c r="F242" s="522"/>
      <c r="H242" s="24">
        <f>IF(ISBLANK(E242),WMF,1 / (1 -E242))</f>
        <v>1</v>
      </c>
      <c r="I242" s="2"/>
      <c r="J242" s="299"/>
      <c r="K242" s="143" t="str">
        <f t="shared" ca="1" si="134"/>
        <v>This section allows the user to input delivery modality specific vaccine waste rates IF DESIRED, leave blank otherwise</v>
      </c>
      <c r="L242" s="587"/>
      <c r="M242" s="403"/>
      <c r="N242" s="403"/>
      <c r="O242" s="403"/>
      <c r="P242" s="403"/>
      <c r="Q242" s="403"/>
      <c r="R242" s="403"/>
      <c r="S242" s="403"/>
      <c r="T242" s="403"/>
      <c r="U242" s="403"/>
      <c r="V242" s="403"/>
      <c r="W242" s="403"/>
      <c r="X242" s="403" t="s">
        <v>2985</v>
      </c>
      <c r="Y242" s="403"/>
      <c r="Z242" s="403"/>
      <c r="AA242" s="403"/>
      <c r="AB242" s="403"/>
      <c r="AC242" s="403"/>
      <c r="AD242" s="403"/>
      <c r="AE242" s="403"/>
      <c r="AF242" s="403"/>
      <c r="AG242" s="403"/>
      <c r="AH242" s="403"/>
      <c r="AI242" s="403"/>
      <c r="AJ242" s="403" t="s">
        <v>7375</v>
      </c>
      <c r="AK242" s="403"/>
      <c r="AL242" s="403"/>
      <c r="AM242" s="403"/>
      <c r="AN242" s="403"/>
      <c r="AO242" s="403"/>
      <c r="AP242" s="403"/>
      <c r="AQ242" s="403"/>
      <c r="AR242" s="403"/>
      <c r="AS242" s="403"/>
      <c r="AT242" s="403"/>
      <c r="AU242" s="403"/>
      <c r="AV242" s="403" t="s">
        <v>7376</v>
      </c>
      <c r="AW242" s="403"/>
      <c r="AX242" s="403"/>
      <c r="AY242" s="403"/>
      <c r="AZ242" s="403"/>
      <c r="BA242" s="403"/>
      <c r="BB242" s="403"/>
      <c r="BC242" s="403"/>
      <c r="BD242" s="403"/>
      <c r="BE242" s="403"/>
      <c r="BF242" s="403"/>
      <c r="BG242" s="403"/>
      <c r="BH242" s="403" t="s">
        <v>7377</v>
      </c>
      <c r="BI242" s="403"/>
      <c r="BJ242" s="403"/>
      <c r="BK242" s="403"/>
      <c r="BL242" s="403"/>
      <c r="BM242" s="403"/>
      <c r="BN242" s="403"/>
      <c r="BO242" s="403"/>
      <c r="BP242" s="403"/>
      <c r="BQ242" s="403"/>
      <c r="BR242" s="403"/>
      <c r="BS242" s="403"/>
      <c r="BT242" s="403" t="s">
        <v>7378</v>
      </c>
      <c r="BU242" s="403"/>
      <c r="BV242" s="403"/>
      <c r="BW242" s="403"/>
      <c r="BX242" s="403"/>
      <c r="BY242" s="403"/>
      <c r="BZ242" s="403"/>
      <c r="CA242" s="403"/>
      <c r="CB242" s="403"/>
      <c r="CC242" s="403"/>
      <c r="CD242" s="403"/>
      <c r="CE242" s="403"/>
      <c r="CF242" s="403" t="s">
        <v>7381</v>
      </c>
      <c r="CG242" s="403"/>
      <c r="CH242" s="403"/>
      <c r="CI242" s="403"/>
      <c r="CJ242" s="403"/>
      <c r="CK242" s="403"/>
      <c r="CL242" s="403"/>
      <c r="CM242" s="403"/>
      <c r="CN242" s="403"/>
      <c r="CO242" s="403"/>
      <c r="CP242" s="403"/>
      <c r="CQ242" s="403"/>
      <c r="CR242" s="403" t="s">
        <v>7380</v>
      </c>
      <c r="CS242" s="564"/>
    </row>
    <row r="243" spans="1:97" s="194" customFormat="1" ht="12.75" x14ac:dyDescent="0.2">
      <c r="A243" s="350">
        <v>2</v>
      </c>
      <c r="B243" s="9"/>
      <c r="C243" s="627"/>
      <c r="D243" s="270" t="str">
        <f>CONCATENATE("3 - ",DM3_Vaccine)</f>
        <v xml:space="preserve">3 - </v>
      </c>
      <c r="E243" s="40"/>
      <c r="F243" s="522"/>
      <c r="H243" s="24">
        <f>IF(ISBLANK(E243),WMF,1 / (1 -E243))</f>
        <v>1</v>
      </c>
      <c r="I243" s="2"/>
      <c r="J243" s="299"/>
      <c r="K243" s="143" t="str">
        <f t="shared" ca="1" si="134"/>
        <v>This section allows the user to input delivery modality specific vaccine waste rates IF DESIRED, leave blank otherwise</v>
      </c>
      <c r="L243" s="587"/>
      <c r="M243" s="403"/>
      <c r="N243" s="403"/>
      <c r="O243" s="403"/>
      <c r="P243" s="403"/>
      <c r="Q243" s="403"/>
      <c r="R243" s="403"/>
      <c r="S243" s="403"/>
      <c r="T243" s="403"/>
      <c r="U243" s="403"/>
      <c r="V243" s="403"/>
      <c r="W243" s="403"/>
      <c r="X243" s="403" t="s">
        <v>2985</v>
      </c>
      <c r="Y243" s="403"/>
      <c r="Z243" s="403"/>
      <c r="AA243" s="403"/>
      <c r="AB243" s="403"/>
      <c r="AC243" s="403"/>
      <c r="AD243" s="403"/>
      <c r="AE243" s="403"/>
      <c r="AF243" s="403"/>
      <c r="AG243" s="403"/>
      <c r="AH243" s="403"/>
      <c r="AI243" s="403"/>
      <c r="AJ243" s="403" t="s">
        <v>7375</v>
      </c>
      <c r="AK243" s="403"/>
      <c r="AL243" s="403"/>
      <c r="AM243" s="403"/>
      <c r="AN243" s="403"/>
      <c r="AO243" s="403"/>
      <c r="AP243" s="403"/>
      <c r="AQ243" s="403"/>
      <c r="AR243" s="403"/>
      <c r="AS243" s="403"/>
      <c r="AT243" s="403"/>
      <c r="AU243" s="403"/>
      <c r="AV243" s="403" t="s">
        <v>7376</v>
      </c>
      <c r="AW243" s="403"/>
      <c r="AX243" s="403"/>
      <c r="AY243" s="403"/>
      <c r="AZ243" s="403"/>
      <c r="BA243" s="403"/>
      <c r="BB243" s="403"/>
      <c r="BC243" s="403"/>
      <c r="BD243" s="403"/>
      <c r="BE243" s="403"/>
      <c r="BF243" s="403"/>
      <c r="BG243" s="403"/>
      <c r="BH243" s="403" t="s">
        <v>7377</v>
      </c>
      <c r="BI243" s="403"/>
      <c r="BJ243" s="403"/>
      <c r="BK243" s="403"/>
      <c r="BL243" s="403"/>
      <c r="BM243" s="403"/>
      <c r="BN243" s="403"/>
      <c r="BO243" s="403"/>
      <c r="BP243" s="403"/>
      <c r="BQ243" s="403"/>
      <c r="BR243" s="403"/>
      <c r="BS243" s="403"/>
      <c r="BT243" s="403" t="s">
        <v>7378</v>
      </c>
      <c r="BU243" s="403"/>
      <c r="BV243" s="403"/>
      <c r="BW243" s="403"/>
      <c r="BX243" s="403"/>
      <c r="BY243" s="403"/>
      <c r="BZ243" s="403"/>
      <c r="CA243" s="403"/>
      <c r="CB243" s="403"/>
      <c r="CC243" s="403"/>
      <c r="CD243" s="403"/>
      <c r="CE243" s="403"/>
      <c r="CF243" s="403" t="s">
        <v>7379</v>
      </c>
      <c r="CG243" s="403"/>
      <c r="CH243" s="403"/>
      <c r="CI243" s="403"/>
      <c r="CJ243" s="403"/>
      <c r="CK243" s="403"/>
      <c r="CL243" s="403"/>
      <c r="CM243" s="403"/>
      <c r="CN243" s="403"/>
      <c r="CO243" s="403"/>
      <c r="CP243" s="403"/>
      <c r="CQ243" s="403"/>
      <c r="CR243" s="403" t="s">
        <v>7380</v>
      </c>
      <c r="CS243" s="564"/>
    </row>
    <row r="244" spans="1:97" s="194" customFormat="1" ht="12.75" x14ac:dyDescent="0.2">
      <c r="A244" s="350">
        <v>2</v>
      </c>
      <c r="B244" s="9"/>
      <c r="C244" s="627"/>
      <c r="D244" s="270" t="str">
        <f>CONCATENATE("4 - ",DM4_Vaccine)</f>
        <v xml:space="preserve">4 - </v>
      </c>
      <c r="E244" s="40"/>
      <c r="F244" s="522"/>
      <c r="H244" s="24">
        <f>IF(ISBLANK(E244),WMF,1 / (1 -E244))</f>
        <v>1</v>
      </c>
      <c r="I244" s="2"/>
      <c r="J244" s="299"/>
      <c r="K244" s="143" t="str">
        <f t="shared" ca="1" si="134"/>
        <v>This section allows the user to input delivery modality specific vaccine waste rates IF DESIRED, leave blank otherwise</v>
      </c>
      <c r="L244" s="587"/>
      <c r="M244" s="403"/>
      <c r="N244" s="403"/>
      <c r="O244" s="403"/>
      <c r="P244" s="403"/>
      <c r="Q244" s="403"/>
      <c r="R244" s="403"/>
      <c r="S244" s="403"/>
      <c r="T244" s="403"/>
      <c r="U244" s="403"/>
      <c r="V244" s="403"/>
      <c r="W244" s="403"/>
      <c r="X244" s="403" t="s">
        <v>2985</v>
      </c>
      <c r="Y244" s="403"/>
      <c r="Z244" s="403"/>
      <c r="AA244" s="403"/>
      <c r="AB244" s="403"/>
      <c r="AC244" s="403"/>
      <c r="AD244" s="403"/>
      <c r="AE244" s="403"/>
      <c r="AF244" s="403"/>
      <c r="AG244" s="403"/>
      <c r="AH244" s="403"/>
      <c r="AI244" s="403"/>
      <c r="AJ244" s="403" t="s">
        <v>7375</v>
      </c>
      <c r="AK244" s="403"/>
      <c r="AL244" s="403"/>
      <c r="AM244" s="403"/>
      <c r="AN244" s="403"/>
      <c r="AO244" s="403"/>
      <c r="AP244" s="403"/>
      <c r="AQ244" s="403"/>
      <c r="AR244" s="403"/>
      <c r="AS244" s="403"/>
      <c r="AT244" s="403"/>
      <c r="AU244" s="403"/>
      <c r="AV244" s="403" t="s">
        <v>7376</v>
      </c>
      <c r="AW244" s="403"/>
      <c r="AX244" s="403"/>
      <c r="AY244" s="403"/>
      <c r="AZ244" s="403"/>
      <c r="BA244" s="403"/>
      <c r="BB244" s="403"/>
      <c r="BC244" s="403"/>
      <c r="BD244" s="403"/>
      <c r="BE244" s="403"/>
      <c r="BF244" s="403"/>
      <c r="BG244" s="403"/>
      <c r="BH244" s="403" t="s">
        <v>7377</v>
      </c>
      <c r="BI244" s="403"/>
      <c r="BJ244" s="403"/>
      <c r="BK244" s="403"/>
      <c r="BL244" s="403"/>
      <c r="BM244" s="403"/>
      <c r="BN244" s="403"/>
      <c r="BO244" s="403"/>
      <c r="BP244" s="403"/>
      <c r="BQ244" s="403"/>
      <c r="BR244" s="403"/>
      <c r="BS244" s="403"/>
      <c r="BT244" s="403" t="s">
        <v>7378</v>
      </c>
      <c r="BU244" s="403"/>
      <c r="BV244" s="403"/>
      <c r="BW244" s="403"/>
      <c r="BX244" s="403"/>
      <c r="BY244" s="403"/>
      <c r="BZ244" s="403"/>
      <c r="CA244" s="403"/>
      <c r="CB244" s="403"/>
      <c r="CC244" s="403"/>
      <c r="CD244" s="403"/>
      <c r="CE244" s="403"/>
      <c r="CF244" s="403" t="s">
        <v>7379</v>
      </c>
      <c r="CG244" s="403"/>
      <c r="CH244" s="403"/>
      <c r="CI244" s="403"/>
      <c r="CJ244" s="403"/>
      <c r="CK244" s="403"/>
      <c r="CL244" s="403"/>
      <c r="CM244" s="403"/>
      <c r="CN244" s="403"/>
      <c r="CO244" s="403"/>
      <c r="CP244" s="403"/>
      <c r="CQ244" s="403"/>
      <c r="CR244" s="403" t="s">
        <v>7380</v>
      </c>
      <c r="CS244" s="564"/>
    </row>
    <row r="245" spans="1:97" ht="12.75" x14ac:dyDescent="0.2">
      <c r="B245" s="9"/>
      <c r="C245" s="627"/>
      <c r="D245" s="23"/>
      <c r="E245" s="122"/>
      <c r="G245" s="5"/>
      <c r="H245" s="5"/>
      <c r="J245" s="299"/>
      <c r="K245" s="567"/>
      <c r="L245" s="567"/>
      <c r="X245" s="403" t="s">
        <v>197</v>
      </c>
    </row>
    <row r="246" spans="1:97" s="193" customFormat="1" ht="12.75" x14ac:dyDescent="0.2">
      <c r="A246" s="9"/>
      <c r="C246" s="624" t="str">
        <f t="shared" ref="C246" ca="1" si="140">IF(OFFSET(P246,0,Lang_Order*Lang__A2)="","",OFFSET(P246,0,Lang_Order*Lang__A2))</f>
        <v>Expected Uptake, by delivery modality and eligibility crriteria. Please consider country-specific factors as uptake rates may vary widely by country. 100% = all those eligible for vaccination will accept vaccination.</v>
      </c>
      <c r="F246" s="522"/>
      <c r="J246" s="299"/>
      <c r="K246" s="143" t="str">
        <f t="shared" ca="1" si="134"/>
        <v>Expected vaccine acceptance by delivery modality and target group (work-based eligibility criteria vs voluntary)</v>
      </c>
      <c r="L246" s="567"/>
      <c r="M246" s="403"/>
      <c r="N246" s="403"/>
      <c r="O246" s="403"/>
      <c r="P246" s="403" t="s">
        <v>4558</v>
      </c>
      <c r="Q246" s="403"/>
      <c r="R246" s="403"/>
      <c r="S246" s="403"/>
      <c r="T246" s="403"/>
      <c r="U246" s="403"/>
      <c r="V246" s="403"/>
      <c r="W246" s="403"/>
      <c r="X246" s="403" t="s">
        <v>3838</v>
      </c>
      <c r="Y246" s="403"/>
      <c r="Z246" s="403"/>
      <c r="AA246" s="403"/>
      <c r="AB246" s="403" t="s">
        <v>13911</v>
      </c>
      <c r="AC246" s="403"/>
      <c r="AD246" s="403"/>
      <c r="AE246" s="403"/>
      <c r="AF246" s="403"/>
      <c r="AG246" s="403"/>
      <c r="AH246" s="403"/>
      <c r="AI246" s="403"/>
      <c r="AJ246" s="403" t="s">
        <v>7382</v>
      </c>
      <c r="AK246" s="403"/>
      <c r="AL246" s="403"/>
      <c r="AM246" s="403"/>
      <c r="AN246" s="403" t="s">
        <v>13912</v>
      </c>
      <c r="AO246" s="403"/>
      <c r="AP246" s="403"/>
      <c r="AQ246" s="403"/>
      <c r="AR246" s="403"/>
      <c r="AS246" s="403"/>
      <c r="AT246" s="403"/>
      <c r="AU246" s="403"/>
      <c r="AV246" s="403" t="s">
        <v>7383</v>
      </c>
      <c r="AW246" s="403"/>
      <c r="AX246" s="403"/>
      <c r="AY246" s="403"/>
      <c r="AZ246" s="403" t="s">
        <v>13913</v>
      </c>
      <c r="BA246" s="403"/>
      <c r="BB246" s="403"/>
      <c r="BC246" s="403"/>
      <c r="BD246" s="403"/>
      <c r="BE246" s="403"/>
      <c r="BF246" s="403"/>
      <c r="BG246" s="403"/>
      <c r="BH246" s="403" t="s">
        <v>7384</v>
      </c>
      <c r="BI246" s="403"/>
      <c r="BJ246" s="403"/>
      <c r="BK246" s="403"/>
      <c r="BL246" s="403" t="s">
        <v>13914</v>
      </c>
      <c r="BM246" s="403"/>
      <c r="BN246" s="403"/>
      <c r="BO246" s="403"/>
      <c r="BP246" s="403"/>
      <c r="BQ246" s="403"/>
      <c r="BR246" s="403"/>
      <c r="BS246" s="403"/>
      <c r="BT246" s="403" t="s">
        <v>7385</v>
      </c>
      <c r="BU246" s="403"/>
      <c r="BV246" s="403"/>
      <c r="BW246" s="403"/>
      <c r="BX246" s="403" t="s">
        <v>13915</v>
      </c>
      <c r="BY246" s="403"/>
      <c r="BZ246" s="403"/>
      <c r="CA246" s="403"/>
      <c r="CB246" s="403"/>
      <c r="CC246" s="403"/>
      <c r="CD246" s="403"/>
      <c r="CE246" s="403"/>
      <c r="CF246" s="403" t="s">
        <v>7386</v>
      </c>
      <c r="CG246" s="403"/>
      <c r="CH246" s="403"/>
      <c r="CI246" s="403"/>
      <c r="CJ246" s="403" t="s">
        <v>13916</v>
      </c>
      <c r="CK246" s="403"/>
      <c r="CL246" s="403"/>
      <c r="CM246" s="403"/>
      <c r="CN246" s="403"/>
      <c r="CO246" s="403"/>
      <c r="CP246" s="403"/>
      <c r="CQ246" s="403"/>
      <c r="CR246" s="403" t="s">
        <v>7387</v>
      </c>
      <c r="CS246" s="564"/>
    </row>
    <row r="247" spans="1:97" ht="12.75" x14ac:dyDescent="0.2">
      <c r="A247" s="349">
        <v>1</v>
      </c>
      <c r="B247" s="85"/>
      <c r="C247" s="627"/>
      <c r="D247" s="5" t="str">
        <f t="shared" ref="D247:D252" ca="1" si="141">IF(OFFSET(Q247,0,Lang_Order*Lang__A2)="","",OFFSET(Q247,0,Lang_Order*Lang__A2))</f>
        <v>Work-based | Delivery Modality 1</v>
      </c>
      <c r="E247" s="40"/>
      <c r="F247" s="522"/>
      <c r="G247" s="4" t="str">
        <f t="shared" ref="G247:G252" si="142">IF(ISBLANK(E247),Lang_CHECK,"OK")</f>
        <v>CHECK</v>
      </c>
      <c r="H247"/>
      <c r="I247" s="2" t="str">
        <f t="shared" ref="I247:I252" ca="1" si="143">IF(OFFSET(V247,0,Lang_Order*Lang__A2)="","",OFFSET(V247,0,Lang_Order*Lang__A2))</f>
        <v>Percent of those offered COVID-19 vaccination</v>
      </c>
      <c r="J247" s="299"/>
      <c r="K247" s="143" t="str">
        <f t="shared" ca="1" si="134"/>
        <v>Note: Expected uptake for vaccination by individuals eligible by virtue of their occupation ('work-based') may be higher than those who are invited for vaccination due to their age, comorbidites, or health states ('voluntary')</v>
      </c>
      <c r="L247" s="587"/>
      <c r="Q247" s="403" t="s">
        <v>1619</v>
      </c>
      <c r="V247" s="403" t="s">
        <v>47</v>
      </c>
      <c r="X247" s="403" t="s">
        <v>4528</v>
      </c>
      <c r="AC247" s="403" t="s">
        <v>7388</v>
      </c>
      <c r="AH247" s="403" t="s">
        <v>7389</v>
      </c>
      <c r="AJ247" s="403" t="s">
        <v>13917</v>
      </c>
      <c r="AO247" s="403" t="s">
        <v>7390</v>
      </c>
      <c r="AT247" s="403" t="s">
        <v>7391</v>
      </c>
      <c r="AV247" s="403" t="s">
        <v>13918</v>
      </c>
      <c r="BA247" s="403" t="s">
        <v>7392</v>
      </c>
      <c r="BF247" s="403" t="s">
        <v>7393</v>
      </c>
      <c r="BH247" s="403" t="s">
        <v>13919</v>
      </c>
      <c r="BM247" s="403" t="s">
        <v>7394</v>
      </c>
      <c r="BR247" s="403" t="s">
        <v>7395</v>
      </c>
      <c r="BT247" s="403" t="s">
        <v>13920</v>
      </c>
      <c r="BY247" s="403" t="s">
        <v>7396</v>
      </c>
      <c r="CD247" s="403" t="s">
        <v>7397</v>
      </c>
      <c r="CF247" s="403" t="s">
        <v>13921</v>
      </c>
      <c r="CK247" s="403" t="s">
        <v>7398</v>
      </c>
      <c r="CP247" s="403" t="s">
        <v>7399</v>
      </c>
      <c r="CR247" s="403" t="s">
        <v>13922</v>
      </c>
    </row>
    <row r="248" spans="1:97" s="15" customFormat="1" ht="12.75" x14ac:dyDescent="0.2">
      <c r="A248" s="349">
        <v>1</v>
      </c>
      <c r="B248" s="85"/>
      <c r="C248" s="627"/>
      <c r="D248" s="5" t="str">
        <f t="shared" ca="1" si="141"/>
        <v>Voluntary | Delivery Modality 1</v>
      </c>
      <c r="E248" s="40"/>
      <c r="F248" s="522"/>
      <c r="G248" s="4" t="str">
        <f t="shared" si="142"/>
        <v>CHECK</v>
      </c>
      <c r="I248" s="2" t="str">
        <f t="shared" ca="1" si="143"/>
        <v>Percent of those offered COVID-19 vaccination</v>
      </c>
      <c r="J248" s="299"/>
      <c r="K248" s="143" t="str">
        <f t="shared" ca="1" si="134"/>
        <v>Further reading</v>
      </c>
      <c r="L248" s="587"/>
      <c r="M248" s="403"/>
      <c r="N248" s="403"/>
      <c r="O248" s="403"/>
      <c r="P248" s="403"/>
      <c r="Q248" s="403" t="s">
        <v>1620</v>
      </c>
      <c r="R248" s="403"/>
      <c r="S248" s="403"/>
      <c r="T248" s="403"/>
      <c r="U248" s="403"/>
      <c r="V248" s="403" t="s">
        <v>47</v>
      </c>
      <c r="W248" s="403"/>
      <c r="X248" s="403" t="s">
        <v>13923</v>
      </c>
      <c r="Y248" s="403"/>
      <c r="Z248" s="403"/>
      <c r="AA248" s="403"/>
      <c r="AB248" s="403"/>
      <c r="AC248" s="403" t="s">
        <v>7400</v>
      </c>
      <c r="AD248" s="403"/>
      <c r="AE248" s="403"/>
      <c r="AF248" s="403"/>
      <c r="AG248" s="403"/>
      <c r="AH248" s="403" t="s">
        <v>7389</v>
      </c>
      <c r="AI248" s="403"/>
      <c r="AJ248" s="403" t="s">
        <v>13924</v>
      </c>
      <c r="AK248" s="403"/>
      <c r="AL248" s="403"/>
      <c r="AM248" s="403"/>
      <c r="AN248" s="403"/>
      <c r="AO248" s="403" t="s">
        <v>7401</v>
      </c>
      <c r="AP248" s="403"/>
      <c r="AQ248" s="403"/>
      <c r="AR248" s="403"/>
      <c r="AS248" s="403"/>
      <c r="AT248" s="403" t="s">
        <v>7391</v>
      </c>
      <c r="AU248" s="403"/>
      <c r="AV248" s="403" t="s">
        <v>13925</v>
      </c>
      <c r="AW248" s="403"/>
      <c r="AX248" s="403"/>
      <c r="AY248" s="403"/>
      <c r="AZ248" s="403"/>
      <c r="BA248" s="403" t="s">
        <v>7402</v>
      </c>
      <c r="BB248" s="403"/>
      <c r="BC248" s="403"/>
      <c r="BD248" s="403"/>
      <c r="BE248" s="403"/>
      <c r="BF248" s="403" t="s">
        <v>7393</v>
      </c>
      <c r="BG248" s="403"/>
      <c r="BH248" s="403" t="s">
        <v>13926</v>
      </c>
      <c r="BI248" s="403"/>
      <c r="BJ248" s="403"/>
      <c r="BK248" s="403"/>
      <c r="BL248" s="403"/>
      <c r="BM248" s="403" t="s">
        <v>7403</v>
      </c>
      <c r="BN248" s="403"/>
      <c r="BO248" s="403"/>
      <c r="BP248" s="403"/>
      <c r="BQ248" s="403"/>
      <c r="BR248" s="403" t="s">
        <v>7395</v>
      </c>
      <c r="BS248" s="403"/>
      <c r="BT248" s="403" t="s">
        <v>13927</v>
      </c>
      <c r="BU248" s="403"/>
      <c r="BV248" s="403"/>
      <c r="BW248" s="403"/>
      <c r="BX248" s="403"/>
      <c r="BY248" s="403" t="s">
        <v>7404</v>
      </c>
      <c r="BZ248" s="403"/>
      <c r="CA248" s="403"/>
      <c r="CB248" s="403"/>
      <c r="CC248" s="403"/>
      <c r="CD248" s="403" t="s">
        <v>7397</v>
      </c>
      <c r="CE248" s="403"/>
      <c r="CF248" s="403" t="s">
        <v>13928</v>
      </c>
      <c r="CG248" s="403"/>
      <c r="CH248" s="403"/>
      <c r="CI248" s="403"/>
      <c r="CJ248" s="403"/>
      <c r="CK248" s="403" t="s">
        <v>7405</v>
      </c>
      <c r="CL248" s="403"/>
      <c r="CM248" s="403"/>
      <c r="CN248" s="403"/>
      <c r="CO248" s="403"/>
      <c r="CP248" s="403" t="s">
        <v>7399</v>
      </c>
      <c r="CQ248" s="403"/>
      <c r="CR248" s="403" t="s">
        <v>13929</v>
      </c>
      <c r="CS248" s="564"/>
    </row>
    <row r="249" spans="1:97" ht="12.75" x14ac:dyDescent="0.2">
      <c r="A249" s="349">
        <v>1</v>
      </c>
      <c r="B249" s="85"/>
      <c r="C249" s="627"/>
      <c r="D249" s="5" t="str">
        <f t="shared" ca="1" si="141"/>
        <v>Work-based | Delivery Modality 2</v>
      </c>
      <c r="E249" s="40"/>
      <c r="F249" s="522"/>
      <c r="G249" s="4" t="str">
        <f t="shared" si="142"/>
        <v>CHECK</v>
      </c>
      <c r="H249"/>
      <c r="I249" s="2" t="str">
        <f t="shared" ca="1" si="143"/>
        <v>Percent of those offered COVID-19 vaccination</v>
      </c>
      <c r="J249" s="299"/>
      <c r="K249" s="143" t="s">
        <v>13930</v>
      </c>
      <c r="L249" s="587"/>
      <c r="Q249" s="403" t="s">
        <v>1617</v>
      </c>
      <c r="V249" s="403" t="s">
        <v>47</v>
      </c>
      <c r="X249" s="403" t="s">
        <v>197</v>
      </c>
      <c r="AC249" s="403" t="s">
        <v>7406</v>
      </c>
      <c r="AH249" s="403" t="s">
        <v>7389</v>
      </c>
      <c r="AO249" s="403" t="s">
        <v>7407</v>
      </c>
      <c r="AT249" s="403" t="s">
        <v>7391</v>
      </c>
      <c r="BA249" s="403" t="s">
        <v>7408</v>
      </c>
      <c r="BF249" s="403" t="s">
        <v>7393</v>
      </c>
      <c r="BM249" s="403" t="s">
        <v>7409</v>
      </c>
      <c r="BR249" s="403" t="s">
        <v>7395</v>
      </c>
      <c r="BY249" s="403" t="s">
        <v>7410</v>
      </c>
      <c r="CD249" s="403" t="s">
        <v>7397</v>
      </c>
      <c r="CK249" s="403" t="s">
        <v>7411</v>
      </c>
      <c r="CP249" s="403" t="s">
        <v>7399</v>
      </c>
    </row>
    <row r="250" spans="1:97" ht="12.75" x14ac:dyDescent="0.2">
      <c r="A250" s="349">
        <v>1</v>
      </c>
      <c r="B250" s="85"/>
      <c r="C250" s="627"/>
      <c r="D250" s="5" t="str">
        <f t="shared" ca="1" si="141"/>
        <v>Voluntary | Delivery Modality 2</v>
      </c>
      <c r="E250" s="40"/>
      <c r="F250" s="522"/>
      <c r="G250" s="4" t="str">
        <f t="shared" si="142"/>
        <v>CHECK</v>
      </c>
      <c r="H250"/>
      <c r="I250" s="2" t="str">
        <f t="shared" ca="1" si="143"/>
        <v>Percent of those offered COVID-19 vaccination</v>
      </c>
      <c r="J250" s="299"/>
      <c r="K250" s="567"/>
      <c r="L250" s="587"/>
      <c r="Q250" s="403" t="s">
        <v>1616</v>
      </c>
      <c r="V250" s="403" t="s">
        <v>47</v>
      </c>
      <c r="X250" s="403" t="s">
        <v>197</v>
      </c>
      <c r="AC250" s="403" t="s">
        <v>7412</v>
      </c>
      <c r="AH250" s="403" t="s">
        <v>7389</v>
      </c>
      <c r="AO250" s="403" t="s">
        <v>7413</v>
      </c>
      <c r="AT250" s="403" t="s">
        <v>7391</v>
      </c>
      <c r="BA250" s="403" t="s">
        <v>7414</v>
      </c>
      <c r="BF250" s="403" t="s">
        <v>7393</v>
      </c>
      <c r="BM250" s="403" t="s">
        <v>7415</v>
      </c>
      <c r="BR250" s="403" t="s">
        <v>7395</v>
      </c>
      <c r="BY250" s="403" t="s">
        <v>7416</v>
      </c>
      <c r="CD250" s="403" t="s">
        <v>7397</v>
      </c>
      <c r="CK250" s="403" t="s">
        <v>7417</v>
      </c>
      <c r="CP250" s="403" t="s">
        <v>7399</v>
      </c>
    </row>
    <row r="251" spans="1:97" ht="12.75" x14ac:dyDescent="0.2">
      <c r="A251" s="349">
        <v>1</v>
      </c>
      <c r="B251" s="85"/>
      <c r="C251" s="627"/>
      <c r="D251" s="5" t="str">
        <f t="shared" ca="1" si="141"/>
        <v>Delivery Modality 3</v>
      </c>
      <c r="E251" s="40"/>
      <c r="F251" s="522"/>
      <c r="G251" s="4" t="str">
        <f t="shared" si="142"/>
        <v>CHECK</v>
      </c>
      <c r="H251"/>
      <c r="I251" s="2" t="str">
        <f t="shared" ca="1" si="143"/>
        <v>Percent of those offered COVID-19 vaccination</v>
      </c>
      <c r="J251" s="299"/>
      <c r="K251" s="567"/>
      <c r="L251" s="587"/>
      <c r="Q251" s="403" t="s">
        <v>1564</v>
      </c>
      <c r="V251" s="403" t="s">
        <v>47</v>
      </c>
      <c r="X251" s="403" t="s">
        <v>197</v>
      </c>
      <c r="AC251" s="403" t="s">
        <v>7418</v>
      </c>
      <c r="AH251" s="403" t="s">
        <v>7389</v>
      </c>
      <c r="AO251" s="403" t="s">
        <v>7419</v>
      </c>
      <c r="AT251" s="403" t="s">
        <v>7391</v>
      </c>
      <c r="BA251" s="403" t="s">
        <v>7420</v>
      </c>
      <c r="BF251" s="403" t="s">
        <v>7393</v>
      </c>
      <c r="BM251" s="403" t="s">
        <v>7421</v>
      </c>
      <c r="BR251" s="403" t="s">
        <v>7395</v>
      </c>
      <c r="BY251" s="403" t="s">
        <v>7422</v>
      </c>
      <c r="CD251" s="403" t="s">
        <v>7397</v>
      </c>
      <c r="CK251" s="403" t="s">
        <v>7423</v>
      </c>
      <c r="CP251" s="403" t="s">
        <v>7399</v>
      </c>
    </row>
    <row r="252" spans="1:97" ht="12.75" x14ac:dyDescent="0.2">
      <c r="A252" s="349">
        <v>1</v>
      </c>
      <c r="B252" s="85"/>
      <c r="C252" s="627"/>
      <c r="D252" s="5" t="str">
        <f t="shared" ca="1" si="141"/>
        <v>Delivery Modality 4</v>
      </c>
      <c r="E252" s="40"/>
      <c r="F252" s="522"/>
      <c r="G252" s="4" t="str">
        <f t="shared" si="142"/>
        <v>CHECK</v>
      </c>
      <c r="H252"/>
      <c r="I252" s="2" t="str">
        <f t="shared" ca="1" si="143"/>
        <v>Percent of those offered COVID-19 vaccination</v>
      </c>
      <c r="J252" s="299"/>
      <c r="K252" s="567"/>
      <c r="L252" s="587"/>
      <c r="Q252" s="403" t="s">
        <v>1565</v>
      </c>
      <c r="V252" s="403" t="s">
        <v>47</v>
      </c>
      <c r="X252" s="403" t="s">
        <v>197</v>
      </c>
      <c r="AC252" s="403" t="s">
        <v>7424</v>
      </c>
      <c r="AH252" s="403" t="s">
        <v>7389</v>
      </c>
      <c r="AO252" s="403" t="s">
        <v>7425</v>
      </c>
      <c r="AT252" s="403" t="s">
        <v>7391</v>
      </c>
      <c r="BA252" s="403" t="s">
        <v>7426</v>
      </c>
      <c r="BF252" s="403" t="s">
        <v>7393</v>
      </c>
      <c r="BM252" s="403" t="s">
        <v>7427</v>
      </c>
      <c r="BR252" s="403" t="s">
        <v>7395</v>
      </c>
      <c r="BY252" s="403" t="s">
        <v>7428</v>
      </c>
      <c r="CD252" s="403" t="s">
        <v>7397</v>
      </c>
      <c r="CK252" s="403" t="s">
        <v>7429</v>
      </c>
      <c r="CP252" s="403" t="s">
        <v>7399</v>
      </c>
    </row>
    <row r="253" spans="1:97" s="15" customFormat="1" ht="12.75" x14ac:dyDescent="0.2">
      <c r="C253" s="622"/>
      <c r="J253" s="299"/>
      <c r="L253" s="567"/>
      <c r="M253" s="403"/>
      <c r="N253" s="403"/>
      <c r="O253" s="403"/>
      <c r="P253" s="403"/>
      <c r="Q253" s="403"/>
      <c r="R253" s="403"/>
      <c r="S253" s="403"/>
      <c r="T253" s="403"/>
      <c r="U253" s="403"/>
      <c r="V253" s="403"/>
      <c r="W253" s="403"/>
      <c r="X253" s="403" t="s">
        <v>197</v>
      </c>
      <c r="Y253" s="403"/>
      <c r="Z253" s="403"/>
      <c r="AA253" s="403"/>
      <c r="AB253" s="403"/>
      <c r="AC253" s="403"/>
      <c r="AD253" s="403"/>
      <c r="AE253" s="403"/>
      <c r="AF253" s="403"/>
      <c r="AG253" s="403"/>
      <c r="AH253" s="403"/>
      <c r="AI253" s="403"/>
      <c r="AJ253" s="403"/>
      <c r="AK253" s="403"/>
      <c r="AL253" s="403"/>
      <c r="AM253" s="403"/>
      <c r="AN253" s="403"/>
      <c r="AO253" s="403"/>
      <c r="AP253" s="403"/>
      <c r="AQ253" s="403"/>
      <c r="AR253" s="403"/>
      <c r="AS253" s="403"/>
      <c r="AT253" s="403"/>
      <c r="AU253" s="403"/>
      <c r="AV253" s="403"/>
      <c r="AW253" s="403"/>
      <c r="AX253" s="403"/>
      <c r="AY253" s="403"/>
      <c r="AZ253" s="403"/>
      <c r="BA253" s="403"/>
      <c r="BB253" s="403"/>
      <c r="BC253" s="403"/>
      <c r="BD253" s="403"/>
      <c r="BE253" s="403"/>
      <c r="BF253" s="403"/>
      <c r="BG253" s="403"/>
      <c r="BH253" s="403"/>
      <c r="BI253" s="403"/>
      <c r="BJ253" s="403"/>
      <c r="BK253" s="403"/>
      <c r="BL253" s="403"/>
      <c r="BM253" s="403"/>
      <c r="BN253" s="403"/>
      <c r="BO253" s="403"/>
      <c r="BP253" s="403"/>
      <c r="BQ253" s="403"/>
      <c r="BR253" s="403"/>
      <c r="BS253" s="403"/>
      <c r="BT253" s="403"/>
      <c r="BU253" s="403"/>
      <c r="BV253" s="403"/>
      <c r="BW253" s="403"/>
      <c r="BX253" s="403"/>
      <c r="BY253" s="403"/>
      <c r="BZ253" s="403"/>
      <c r="CA253" s="403"/>
      <c r="CB253" s="403"/>
      <c r="CC253" s="403"/>
      <c r="CD253" s="403"/>
      <c r="CE253" s="403"/>
      <c r="CF253" s="403"/>
      <c r="CG253" s="403"/>
      <c r="CH253" s="403"/>
      <c r="CI253" s="403"/>
      <c r="CJ253" s="403"/>
      <c r="CK253" s="403"/>
      <c r="CL253" s="403"/>
      <c r="CM253" s="403"/>
      <c r="CN253" s="403"/>
      <c r="CO253" s="403"/>
      <c r="CP253" s="403"/>
      <c r="CQ253" s="403"/>
      <c r="CR253" s="403"/>
      <c r="CS253" s="564"/>
    </row>
    <row r="254" spans="1:97" s="299" customFormat="1" ht="17.25" hidden="1" x14ac:dyDescent="0.3">
      <c r="A254" s="662" t="s">
        <v>14287</v>
      </c>
      <c r="B254" s="352" t="str">
        <f t="shared" ref="B254" ca="1" si="144">IF(OFFSET(O254,0,Lang_Order*Lang__A2)="","",OFFSET(O254,0,Lang_Order*Lang__A2))</f>
        <v>A2.5 Results-based Financing (RBF)</v>
      </c>
      <c r="C254" s="628"/>
      <c r="D254" s="352"/>
      <c r="E254" s="360" t="str">
        <f t="shared" ref="E254" ca="1" si="145">IF(OFFSET(R254,0,Lang_Order*Lang__A2)="","",OFFSET(R254,0,Lang_Order*Lang__A2))</f>
        <v>INPUTS</v>
      </c>
      <c r="F254" s="360" t="str">
        <f t="shared" ref="F254" ca="1" si="146">IF(OFFSET(S254,0,Lang_Order*Lang__A2)="","",OFFSET(S254,0,Lang_Order*Lang__A2))</f>
        <v>Suggestion</v>
      </c>
      <c r="G254" s="360" t="str">
        <f t="shared" ref="G254" ca="1" si="147">IF(OFFSET(T254,0,Lang_Order*Lang__A2)="","",OFFSET(T254,0,Lang_Order*Lang__A2))</f>
        <v/>
      </c>
      <c r="H254" s="360" t="str">
        <f t="shared" ref="H254" ca="1" si="148">IF(OFFSET(U254,0,Lang_Order*Lang__A2)="","",OFFSET(U254,0,Lang_Order*Lang__A2))</f>
        <v>Derived</v>
      </c>
      <c r="I254" s="360" t="str">
        <f t="shared" ref="I254" ca="1" si="149">IF(OFFSET(V254,0,Lang_Order*Lang__A2)="","",OFFSET(V254,0,Lang_Order*Lang__A2))</f>
        <v>Unit / Comment</v>
      </c>
      <c r="J254" s="360"/>
      <c r="K254" s="360" t="str">
        <f t="shared" ca="1" si="134"/>
        <v>Comments</v>
      </c>
      <c r="L254" s="360" t="str">
        <f t="shared" ca="1" si="134"/>
        <v>User Notes</v>
      </c>
      <c r="M254" s="403"/>
      <c r="N254" s="403"/>
      <c r="O254" s="403" t="s">
        <v>3823</v>
      </c>
      <c r="P254" s="403"/>
      <c r="Q254" s="403"/>
      <c r="R254" s="403" t="s">
        <v>3744</v>
      </c>
      <c r="S254" s="403" t="s">
        <v>1638</v>
      </c>
      <c r="T254" s="403"/>
      <c r="U254" s="403" t="s">
        <v>17</v>
      </c>
      <c r="V254" s="403" t="s">
        <v>2870</v>
      </c>
      <c r="W254" s="403"/>
      <c r="X254" s="403" t="s">
        <v>13980</v>
      </c>
      <c r="Y254" s="403" t="s">
        <v>13981</v>
      </c>
      <c r="Z254" s="403"/>
      <c r="AA254" s="403" t="s">
        <v>7430</v>
      </c>
      <c r="AB254" s="403"/>
      <c r="AC254" s="403"/>
      <c r="AD254" s="403" t="s">
        <v>5848</v>
      </c>
      <c r="AE254" s="403" t="s">
        <v>1638</v>
      </c>
      <c r="AF254" s="403"/>
      <c r="AG254" s="403" t="s">
        <v>5849</v>
      </c>
      <c r="AH254" s="403" t="s">
        <v>5850</v>
      </c>
      <c r="AI254" s="403"/>
      <c r="AJ254" s="403" t="s">
        <v>14071</v>
      </c>
      <c r="AK254" s="403" t="s">
        <v>14076</v>
      </c>
      <c r="AL254" s="403"/>
      <c r="AM254" s="403" t="s">
        <v>7431</v>
      </c>
      <c r="AN254" s="403"/>
      <c r="AO254" s="403"/>
      <c r="AP254" s="403" t="s">
        <v>5852</v>
      </c>
      <c r="AQ254" s="403" t="s">
        <v>5853</v>
      </c>
      <c r="AR254" s="403"/>
      <c r="AS254" s="403" t="s">
        <v>6034</v>
      </c>
      <c r="AT254" s="403" t="s">
        <v>6740</v>
      </c>
      <c r="AU254" s="403"/>
      <c r="AV254" s="403" t="s">
        <v>14072</v>
      </c>
      <c r="AW254" s="403" t="s">
        <v>14077</v>
      </c>
      <c r="AX254" s="403"/>
      <c r="AY254" s="403" t="s">
        <v>7432</v>
      </c>
      <c r="AZ254" s="403"/>
      <c r="BA254" s="403"/>
      <c r="BB254" s="403" t="s">
        <v>5857</v>
      </c>
      <c r="BC254" s="403" t="s">
        <v>6037</v>
      </c>
      <c r="BD254" s="403"/>
      <c r="BE254" s="403" t="s">
        <v>5859</v>
      </c>
      <c r="BF254" s="403" t="s">
        <v>5860</v>
      </c>
      <c r="BG254" s="403"/>
      <c r="BH254" s="403" t="s">
        <v>14073</v>
      </c>
      <c r="BI254" s="403" t="s">
        <v>14078</v>
      </c>
      <c r="BJ254" s="403"/>
      <c r="BK254" s="403" t="s">
        <v>7433</v>
      </c>
      <c r="BL254" s="403"/>
      <c r="BM254" s="403"/>
      <c r="BN254" s="403" t="s">
        <v>5862</v>
      </c>
      <c r="BO254" s="403" t="s">
        <v>5863</v>
      </c>
      <c r="BP254" s="403"/>
      <c r="BQ254" s="403" t="s">
        <v>5864</v>
      </c>
      <c r="BR254" s="403" t="s">
        <v>5865</v>
      </c>
      <c r="BS254" s="403"/>
      <c r="BT254" s="403" t="s">
        <v>14074</v>
      </c>
      <c r="BU254" s="403" t="s">
        <v>14079</v>
      </c>
      <c r="BV254" s="403"/>
      <c r="BW254" s="403" t="s">
        <v>7434</v>
      </c>
      <c r="BX254" s="403"/>
      <c r="BY254" s="403"/>
      <c r="BZ254" s="403" t="s">
        <v>5867</v>
      </c>
      <c r="CA254" s="403" t="s">
        <v>5868</v>
      </c>
      <c r="CB254" s="403"/>
      <c r="CC254" s="403" t="s">
        <v>6040</v>
      </c>
      <c r="CD254" s="403" t="s">
        <v>6041</v>
      </c>
      <c r="CE254" s="403"/>
      <c r="CF254" s="403" t="s">
        <v>14075</v>
      </c>
      <c r="CG254" s="403" t="s">
        <v>14080</v>
      </c>
      <c r="CH254" s="403"/>
      <c r="CI254" s="403" t="s">
        <v>7435</v>
      </c>
      <c r="CJ254" s="403"/>
      <c r="CK254" s="403"/>
      <c r="CL254" s="403" t="s">
        <v>5873</v>
      </c>
      <c r="CM254" s="403" t="s">
        <v>5874</v>
      </c>
      <c r="CN254" s="403"/>
      <c r="CO254" s="403" t="s">
        <v>5875</v>
      </c>
      <c r="CP254" s="403" t="s">
        <v>5876</v>
      </c>
      <c r="CQ254" s="403"/>
      <c r="CR254" s="403" t="s">
        <v>5455</v>
      </c>
      <c r="CS254" s="564" t="s">
        <v>14081</v>
      </c>
    </row>
    <row r="255" spans="1:97" s="150" customFormat="1" ht="12.75" hidden="1" x14ac:dyDescent="0.2">
      <c r="A255" s="9"/>
      <c r="B255" s="662" t="s">
        <v>14287</v>
      </c>
      <c r="C255" s="624"/>
      <c r="D255" s="687" t="str">
        <f t="shared" ref="D255:D256" ca="1" si="150">IF(OFFSET(Q255,0,Lang_Order*Lang__A2)="","",OFFSET(Q255,0,Lang_Order*Lang__A2))</f>
        <v>Instructions: Please select "YES" if you plan to use RBF for ONE OR MORE of the delivery modalities; Select "NO" if using input-based financing for ALL delivery modalities.</v>
      </c>
      <c r="E255" s="687"/>
      <c r="F255" s="687"/>
      <c r="G255" s="687"/>
      <c r="H255" s="687"/>
      <c r="I255" s="687"/>
      <c r="J255" s="463"/>
      <c r="K255" s="64"/>
      <c r="L255" s="567"/>
      <c r="M255" s="403"/>
      <c r="N255" s="403"/>
      <c r="O255" s="403"/>
      <c r="P255" s="403"/>
      <c r="Q255" s="403" t="s">
        <v>14288</v>
      </c>
      <c r="R255" s="403"/>
      <c r="S255" s="403"/>
      <c r="T255" s="403"/>
      <c r="U255" s="403"/>
      <c r="V255" s="403"/>
      <c r="W255" s="403"/>
      <c r="X255" s="403" t="s">
        <v>197</v>
      </c>
      <c r="Y255" s="403"/>
      <c r="Z255" s="403"/>
      <c r="AA255" s="403"/>
      <c r="AB255" s="403"/>
      <c r="AC255" s="403" t="s">
        <v>14308</v>
      </c>
      <c r="AD255" s="403"/>
      <c r="AE255" s="403"/>
      <c r="AF255" s="403"/>
      <c r="AG255" s="403"/>
      <c r="AH255" s="403"/>
      <c r="AI255" s="403"/>
      <c r="AJ255" s="403"/>
      <c r="AK255" s="403"/>
      <c r="AL255" s="403"/>
      <c r="AM255" s="403"/>
      <c r="AN255" s="403"/>
      <c r="AO255" s="403" t="s">
        <v>14309</v>
      </c>
      <c r="AP255" s="403"/>
      <c r="AQ255" s="403"/>
      <c r="AR255" s="403"/>
      <c r="AS255" s="403"/>
      <c r="AT255" s="403"/>
      <c r="AU255" s="403"/>
      <c r="AV255" s="403"/>
      <c r="AW255" s="403"/>
      <c r="AX255" s="403"/>
      <c r="AY255" s="403"/>
      <c r="AZ255" s="403"/>
      <c r="BA255" s="403" t="s">
        <v>14310</v>
      </c>
      <c r="BB255" s="403"/>
      <c r="BC255" s="403"/>
      <c r="BD255" s="403"/>
      <c r="BE255" s="403"/>
      <c r="BF255" s="403"/>
      <c r="BG255" s="403"/>
      <c r="BH255" s="403"/>
      <c r="BI255" s="403"/>
      <c r="BJ255" s="403"/>
      <c r="BK255" s="403"/>
      <c r="BL255" s="403"/>
      <c r="BM255" s="403" t="s">
        <v>14311</v>
      </c>
      <c r="BN255" s="403"/>
      <c r="BO255" s="403"/>
      <c r="BP255" s="403"/>
      <c r="BQ255" s="403"/>
      <c r="BR255" s="403"/>
      <c r="BS255" s="403"/>
      <c r="BT255" s="403"/>
      <c r="BU255" s="403"/>
      <c r="BV255" s="403"/>
      <c r="BW255" s="403"/>
      <c r="BX255" s="403"/>
      <c r="BY255" s="566" t="s">
        <v>14312</v>
      </c>
      <c r="BZ255" s="403"/>
      <c r="CA255" s="403"/>
      <c r="CB255" s="403"/>
      <c r="CC255" s="403"/>
      <c r="CD255" s="403"/>
      <c r="CE255" s="403"/>
      <c r="CF255" s="403"/>
      <c r="CG255" s="403"/>
      <c r="CH255" s="403"/>
      <c r="CI255" s="403"/>
      <c r="CJ255" s="403"/>
      <c r="CK255" s="403" t="s">
        <v>14313</v>
      </c>
      <c r="CL255" s="403"/>
      <c r="CM255" s="403"/>
      <c r="CN255" s="403"/>
      <c r="CO255" s="403"/>
      <c r="CP255" s="403"/>
      <c r="CQ255" s="403"/>
      <c r="CR255" s="403"/>
      <c r="CS255" s="564"/>
    </row>
    <row r="256" spans="1:97" ht="12.75" hidden="1" x14ac:dyDescent="0.2">
      <c r="A256" s="350">
        <v>2</v>
      </c>
      <c r="B256" s="662" t="s">
        <v>14287</v>
      </c>
      <c r="D256" s="107" t="str">
        <f t="shared" ca="1" si="150"/>
        <v>Do you wish to use results-based financing (RBF) for last mile delivery?</v>
      </c>
      <c r="E256" s="35" t="s">
        <v>2672</v>
      </c>
      <c r="F256" s="9"/>
      <c r="G256" s="4" t="str">
        <f>IF(ISBLANK(E256),Lang_CHECK,"OK")</f>
        <v>OK</v>
      </c>
      <c r="H256" s="88"/>
      <c r="J256" s="299"/>
      <c r="K256" s="143" t="str">
        <f t="shared" ca="1" si="134"/>
        <v>Results-based financing should cover last mile delivery incl. HRH, demand generation, PPE, local transport, data management, monitoring, and pharmacovigilance, and security. Vaccine doses, cold chain, and vaccine-related supplies provided separately.</v>
      </c>
      <c r="L256" s="587"/>
      <c r="Q256" s="403" t="s">
        <v>4118</v>
      </c>
      <c r="X256" s="403" t="s">
        <v>14180</v>
      </c>
      <c r="AC256" s="403" t="s">
        <v>7436</v>
      </c>
      <c r="AJ256" s="403" t="s">
        <v>7437</v>
      </c>
      <c r="AO256" s="403" t="s">
        <v>7438</v>
      </c>
      <c r="AV256" s="403" t="s">
        <v>7439</v>
      </c>
      <c r="BA256" s="403" t="s">
        <v>7440</v>
      </c>
      <c r="BH256" s="403" t="s">
        <v>7441</v>
      </c>
      <c r="BM256" s="403" t="s">
        <v>7442</v>
      </c>
      <c r="BT256" s="403" t="s">
        <v>7443</v>
      </c>
      <c r="BY256" s="566" t="s">
        <v>7444</v>
      </c>
      <c r="CF256" s="403" t="s">
        <v>7445</v>
      </c>
      <c r="CK256" s="403" t="s">
        <v>7446</v>
      </c>
      <c r="CR256" s="403" t="s">
        <v>7447</v>
      </c>
    </row>
    <row r="257" spans="1:97" s="15" customFormat="1" ht="12.75" hidden="1" x14ac:dyDescent="0.2">
      <c r="A257" s="9"/>
      <c r="B257" s="662" t="s">
        <v>14287</v>
      </c>
      <c r="C257" s="622"/>
      <c r="J257" s="299"/>
      <c r="K257" s="567"/>
      <c r="L257" s="567"/>
      <c r="M257" s="403"/>
      <c r="N257" s="403"/>
      <c r="O257" s="403"/>
      <c r="P257" s="403"/>
      <c r="Q257" s="403"/>
      <c r="R257" s="403"/>
      <c r="S257" s="403"/>
      <c r="T257" s="403"/>
      <c r="U257" s="403"/>
      <c r="V257" s="403"/>
      <c r="W257" s="403"/>
      <c r="X257" s="403" t="s">
        <v>197</v>
      </c>
      <c r="Y257" s="403"/>
      <c r="Z257" s="403"/>
      <c r="AA257" s="403"/>
      <c r="AB257" s="403"/>
      <c r="AC257" s="403"/>
      <c r="AD257" s="403"/>
      <c r="AE257" s="403"/>
      <c r="AF257" s="403"/>
      <c r="AG257" s="403"/>
      <c r="AH257" s="403"/>
      <c r="AI257" s="403"/>
      <c r="AJ257" s="403"/>
      <c r="AK257" s="403"/>
      <c r="AL257" s="403"/>
      <c r="AM257" s="403"/>
      <c r="AN257" s="403"/>
      <c r="AO257" s="403"/>
      <c r="AP257" s="403"/>
      <c r="AQ257" s="403"/>
      <c r="AR257" s="403"/>
      <c r="AS257" s="403"/>
      <c r="AT257" s="403"/>
      <c r="AU257" s="403"/>
      <c r="AV257" s="403"/>
      <c r="AW257" s="403"/>
      <c r="AX257" s="403"/>
      <c r="AY257" s="403"/>
      <c r="AZ257" s="403"/>
      <c r="BA257" s="403"/>
      <c r="BB257" s="403"/>
      <c r="BC257" s="403"/>
      <c r="BD257" s="403"/>
      <c r="BE257" s="403"/>
      <c r="BF257" s="403"/>
      <c r="BG257" s="403"/>
      <c r="BH257" s="403"/>
      <c r="BI257" s="403"/>
      <c r="BJ257" s="403"/>
      <c r="BK257" s="403"/>
      <c r="BL257" s="403"/>
      <c r="BM257" s="403"/>
      <c r="BN257" s="403"/>
      <c r="BO257" s="403"/>
      <c r="BP257" s="403"/>
      <c r="BQ257" s="403"/>
      <c r="BR257" s="403"/>
      <c r="BS257" s="403"/>
      <c r="BT257" s="403"/>
      <c r="BU257" s="403"/>
      <c r="BV257" s="403"/>
      <c r="BW257" s="403"/>
      <c r="BX257" s="403"/>
      <c r="BY257" s="403"/>
      <c r="BZ257" s="403"/>
      <c r="CA257" s="403"/>
      <c r="CB257" s="403"/>
      <c r="CC257" s="403"/>
      <c r="CD257" s="403"/>
      <c r="CE257" s="403"/>
      <c r="CF257" s="403"/>
      <c r="CG257" s="403"/>
      <c r="CH257" s="403"/>
      <c r="CI257" s="403"/>
      <c r="CJ257" s="403"/>
      <c r="CK257" s="403"/>
      <c r="CL257" s="403"/>
      <c r="CM257" s="403"/>
      <c r="CN257" s="403"/>
      <c r="CO257" s="403"/>
      <c r="CP257" s="403"/>
      <c r="CQ257" s="403"/>
      <c r="CR257" s="403"/>
      <c r="CS257" s="564"/>
    </row>
    <row r="258" spans="1:97" s="150" customFormat="1" ht="12.75" hidden="1" x14ac:dyDescent="0.2">
      <c r="A258" s="9"/>
      <c r="B258" s="662" t="s">
        <v>14287</v>
      </c>
      <c r="C258" s="622"/>
      <c r="D258" s="404" t="str">
        <f t="shared" ref="D258:E259" ca="1" si="151">IF(OFFSET(Q258,0,Lang_Order*Lang__A2)="","",OFFSET(Q258,0,Lang_Order*Lang__A2))</f>
        <v>Note: Some cells below will be greyed out if not applicable (i.e., input-based financing selected)</v>
      </c>
      <c r="E258" s="342" t="str">
        <f t="shared" ca="1" si="151"/>
        <v>If RBF selected, MUST complete these below</v>
      </c>
      <c r="J258" s="299"/>
      <c r="K258" s="567"/>
      <c r="L258" s="567"/>
      <c r="M258" s="403"/>
      <c r="N258" s="403"/>
      <c r="O258" s="403"/>
      <c r="P258" s="403"/>
      <c r="Q258" s="403" t="s">
        <v>4101</v>
      </c>
      <c r="R258" s="403" t="s">
        <v>2674</v>
      </c>
      <c r="S258" s="403"/>
      <c r="T258" s="403"/>
      <c r="U258" s="403"/>
      <c r="V258" s="403"/>
      <c r="W258" s="403"/>
      <c r="X258" s="403" t="s">
        <v>197</v>
      </c>
      <c r="Y258" s="403"/>
      <c r="Z258" s="403"/>
      <c r="AA258" s="403"/>
      <c r="AB258" s="403"/>
      <c r="AC258" s="403" t="s">
        <v>7448</v>
      </c>
      <c r="AD258" s="403" t="s">
        <v>7449</v>
      </c>
      <c r="AE258" s="403"/>
      <c r="AF258" s="403"/>
      <c r="AG258" s="403"/>
      <c r="AH258" s="403"/>
      <c r="AI258" s="403"/>
      <c r="AJ258" s="403"/>
      <c r="AK258" s="403"/>
      <c r="AL258" s="403"/>
      <c r="AM258" s="403"/>
      <c r="AN258" s="403"/>
      <c r="AO258" s="403" t="s">
        <v>7450</v>
      </c>
      <c r="AP258" s="403" t="s">
        <v>7451</v>
      </c>
      <c r="AQ258" s="403"/>
      <c r="AR258" s="403"/>
      <c r="AS258" s="403"/>
      <c r="AT258" s="403"/>
      <c r="AU258" s="403"/>
      <c r="AV258" s="403"/>
      <c r="AW258" s="403"/>
      <c r="AX258" s="403"/>
      <c r="AY258" s="403"/>
      <c r="AZ258" s="403"/>
      <c r="BA258" s="403" t="s">
        <v>7452</v>
      </c>
      <c r="BB258" s="403" t="s">
        <v>7453</v>
      </c>
      <c r="BC258" s="403"/>
      <c r="BD258" s="403"/>
      <c r="BE258" s="403"/>
      <c r="BF258" s="403"/>
      <c r="BG258" s="403"/>
      <c r="BH258" s="403"/>
      <c r="BI258" s="403"/>
      <c r="BJ258" s="403"/>
      <c r="BK258" s="403"/>
      <c r="BL258" s="403"/>
      <c r="BM258" s="403" t="s">
        <v>7454</v>
      </c>
      <c r="BN258" s="403" t="s">
        <v>7455</v>
      </c>
      <c r="BO258" s="403"/>
      <c r="BP258" s="403"/>
      <c r="BQ258" s="403"/>
      <c r="BR258" s="403"/>
      <c r="BS258" s="403"/>
      <c r="BT258" s="403"/>
      <c r="BU258" s="403"/>
      <c r="BV258" s="403"/>
      <c r="BW258" s="403"/>
      <c r="BX258" s="403"/>
      <c r="BY258" s="403" t="s">
        <v>2642</v>
      </c>
      <c r="BZ258" s="403" t="s">
        <v>7456</v>
      </c>
      <c r="CA258" s="403"/>
      <c r="CB258" s="403"/>
      <c r="CC258" s="403"/>
      <c r="CD258" s="403"/>
      <c r="CE258" s="403"/>
      <c r="CF258" s="403"/>
      <c r="CG258" s="403"/>
      <c r="CH258" s="403"/>
      <c r="CI258" s="403"/>
      <c r="CJ258" s="403"/>
      <c r="CK258" s="403" t="s">
        <v>7457</v>
      </c>
      <c r="CL258" s="403" t="s">
        <v>7458</v>
      </c>
      <c r="CM258" s="403"/>
      <c r="CN258" s="403"/>
      <c r="CO258" s="403"/>
      <c r="CP258" s="403"/>
      <c r="CQ258" s="403"/>
      <c r="CR258" s="403"/>
      <c r="CS258" s="564"/>
    </row>
    <row r="259" spans="1:97" s="15" customFormat="1" ht="12.75" hidden="1" x14ac:dyDescent="0.2">
      <c r="A259" s="9"/>
      <c r="B259" s="662" t="s">
        <v>14287</v>
      </c>
      <c r="C259" s="622" t="str">
        <f t="shared" ref="C259" ca="1" si="152">IF(OFFSET(P259,0,Lang_Order*Lang__A2)="","",OFFSET(P259,0,Lang_Order*Lang__A2))</f>
        <v>Price per person who has completed the primary course</v>
      </c>
      <c r="E259" s="15" t="str">
        <f t="shared" ca="1" si="151"/>
        <v>LCU</v>
      </c>
      <c r="H259" s="15" t="s">
        <v>26</v>
      </c>
      <c r="J259" s="299"/>
      <c r="K259" s="663"/>
      <c r="L259" s="567"/>
      <c r="M259" s="403"/>
      <c r="N259" s="403"/>
      <c r="O259" s="403"/>
      <c r="P259" s="403" t="s">
        <v>14286</v>
      </c>
      <c r="Q259" s="403"/>
      <c r="R259" s="403" t="s">
        <v>50</v>
      </c>
      <c r="S259" s="403"/>
      <c r="T259" s="403"/>
      <c r="U259" s="403"/>
      <c r="V259" s="403"/>
      <c r="W259" s="403"/>
      <c r="X259" s="403"/>
      <c r="Y259" s="403"/>
      <c r="Z259" s="403"/>
      <c r="AA259" s="403"/>
      <c r="AB259" s="403" t="s">
        <v>14747</v>
      </c>
      <c r="AC259" s="403"/>
      <c r="AD259" s="403" t="s">
        <v>7459</v>
      </c>
      <c r="AE259" s="403"/>
      <c r="AF259" s="403"/>
      <c r="AG259" s="403"/>
      <c r="AH259" s="403"/>
      <c r="AI259" s="403"/>
      <c r="AJ259" s="403"/>
      <c r="AK259" s="403"/>
      <c r="AL259" s="403"/>
      <c r="AM259" s="403"/>
      <c r="AN259" s="403" t="s">
        <v>14748</v>
      </c>
      <c r="AO259" s="403"/>
      <c r="AP259" s="403" t="s">
        <v>5248</v>
      </c>
      <c r="AQ259" s="403"/>
      <c r="AR259" s="403"/>
      <c r="AS259" s="403"/>
      <c r="AT259" s="403"/>
      <c r="AU259" s="403"/>
      <c r="AV259" s="403"/>
      <c r="AW259" s="403"/>
      <c r="AX259" s="403"/>
      <c r="AY259" s="403"/>
      <c r="AZ259" s="403" t="s">
        <v>14749</v>
      </c>
      <c r="BA259" s="403"/>
      <c r="BB259" s="403" t="s">
        <v>7460</v>
      </c>
      <c r="BC259" s="403"/>
      <c r="BD259" s="403"/>
      <c r="BE259" s="403"/>
      <c r="BF259" s="403"/>
      <c r="BG259" s="403"/>
      <c r="BH259" s="403"/>
      <c r="BI259" s="403"/>
      <c r="BJ259" s="403"/>
      <c r="BK259" s="403"/>
      <c r="BL259" s="403" t="s">
        <v>14750</v>
      </c>
      <c r="BM259" s="403"/>
      <c r="BN259" s="403" t="s">
        <v>5280</v>
      </c>
      <c r="BO259" s="403"/>
      <c r="BP259" s="403"/>
      <c r="BQ259" s="403"/>
      <c r="BR259" s="403"/>
      <c r="BS259" s="403"/>
      <c r="BT259" s="403"/>
      <c r="BU259" s="403"/>
      <c r="BV259" s="403"/>
      <c r="BW259" s="403"/>
      <c r="BX259" s="403" t="s">
        <v>14751</v>
      </c>
      <c r="BY259" s="403"/>
      <c r="BZ259" s="403" t="s">
        <v>7462</v>
      </c>
      <c r="CA259" s="403"/>
      <c r="CB259" s="403"/>
      <c r="CC259" s="403"/>
      <c r="CD259" s="403"/>
      <c r="CE259" s="403"/>
      <c r="CF259" s="403"/>
      <c r="CG259" s="403"/>
      <c r="CH259" s="403"/>
      <c r="CI259" s="403"/>
      <c r="CJ259" s="403" t="s">
        <v>14752</v>
      </c>
      <c r="CK259" s="403"/>
      <c r="CL259" s="403" t="s">
        <v>50</v>
      </c>
      <c r="CM259" s="403"/>
      <c r="CN259" s="403"/>
      <c r="CO259" s="403"/>
      <c r="CP259" s="403"/>
      <c r="CQ259" s="403"/>
      <c r="CR259" s="403"/>
      <c r="CS259" s="564"/>
    </row>
    <row r="260" spans="1:97" s="15" customFormat="1" ht="12.75" hidden="1" x14ac:dyDescent="0.2">
      <c r="A260" s="350">
        <v>2</v>
      </c>
      <c r="B260" s="662" t="s">
        <v>14287</v>
      </c>
      <c r="C260" s="622"/>
      <c r="D260" s="5" t="str">
        <f t="shared" ref="D260:D265" ca="1" si="153">IF(OFFSET(Q260,0,Lang_Order*Lang__A2)="","",OFFSET(Q260,0,Lang_Order*Lang__A2))</f>
        <v>Work-based | Delivery Modality 1</v>
      </c>
      <c r="E260" s="154">
        <v>0</v>
      </c>
      <c r="G260" s="4" t="str">
        <f t="shared" ref="G260:G265" si="154">IF(AND(ISBLANK(E260),RBF=Lang_Yes),Lang_CHECK,"OK")</f>
        <v>OK</v>
      </c>
      <c r="H260" s="11" t="e">
        <f t="shared" ref="H260:H265" si="155">E260/USD2LCU</f>
        <v>#N/A</v>
      </c>
      <c r="J260" s="299"/>
      <c r="K260" s="567"/>
      <c r="L260" s="587"/>
      <c r="M260" s="403"/>
      <c r="N260" s="403"/>
      <c r="O260" s="403"/>
      <c r="P260" s="403"/>
      <c r="Q260" s="403" t="s">
        <v>1619</v>
      </c>
      <c r="R260" s="403"/>
      <c r="S260" s="403"/>
      <c r="T260" s="403"/>
      <c r="U260" s="403"/>
      <c r="V260" s="403"/>
      <c r="W260" s="403"/>
      <c r="X260" s="403" t="s">
        <v>197</v>
      </c>
      <c r="Y260" s="403"/>
      <c r="Z260" s="403"/>
      <c r="AA260" s="403"/>
      <c r="AB260" s="403"/>
      <c r="AC260" s="403" t="s">
        <v>7388</v>
      </c>
      <c r="AD260" s="403"/>
      <c r="AE260" s="403"/>
      <c r="AF260" s="403"/>
      <c r="AG260" s="403"/>
      <c r="AH260" s="403"/>
      <c r="AI260" s="403"/>
      <c r="AJ260" s="403"/>
      <c r="AK260" s="403"/>
      <c r="AL260" s="403"/>
      <c r="AM260" s="403"/>
      <c r="AN260" s="403"/>
      <c r="AO260" s="403" t="s">
        <v>7390</v>
      </c>
      <c r="AP260" s="403"/>
      <c r="AQ260" s="403"/>
      <c r="AR260" s="403"/>
      <c r="AS260" s="403"/>
      <c r="AT260" s="403"/>
      <c r="AU260" s="403"/>
      <c r="AV260" s="403"/>
      <c r="AW260" s="403"/>
      <c r="AX260" s="403"/>
      <c r="AY260" s="403"/>
      <c r="AZ260" s="403"/>
      <c r="BA260" s="403" t="s">
        <v>7392</v>
      </c>
      <c r="BB260" s="403"/>
      <c r="BC260" s="403"/>
      <c r="BD260" s="403"/>
      <c r="BE260" s="403"/>
      <c r="BF260" s="403"/>
      <c r="BG260" s="403"/>
      <c r="BH260" s="403"/>
      <c r="BI260" s="403"/>
      <c r="BJ260" s="403"/>
      <c r="BK260" s="403"/>
      <c r="BL260" s="403"/>
      <c r="BM260" s="403" t="s">
        <v>7394</v>
      </c>
      <c r="BN260" s="403"/>
      <c r="BO260" s="403"/>
      <c r="BP260" s="403"/>
      <c r="BQ260" s="403"/>
      <c r="BR260" s="403"/>
      <c r="BS260" s="403"/>
      <c r="BT260" s="403"/>
      <c r="BU260" s="403"/>
      <c r="BV260" s="403"/>
      <c r="BW260" s="403"/>
      <c r="BX260" s="403"/>
      <c r="BY260" s="403" t="s">
        <v>7396</v>
      </c>
      <c r="BZ260" s="403"/>
      <c r="CA260" s="403"/>
      <c r="CB260" s="403"/>
      <c r="CC260" s="403"/>
      <c r="CD260" s="403"/>
      <c r="CE260" s="403"/>
      <c r="CF260" s="403"/>
      <c r="CG260" s="403"/>
      <c r="CH260" s="403"/>
      <c r="CI260" s="403"/>
      <c r="CJ260" s="403"/>
      <c r="CK260" s="403" t="s">
        <v>7398</v>
      </c>
      <c r="CL260" s="403"/>
      <c r="CM260" s="403"/>
      <c r="CN260" s="403"/>
      <c r="CO260" s="403"/>
      <c r="CP260" s="403"/>
      <c r="CQ260" s="403"/>
      <c r="CR260" s="403"/>
      <c r="CS260" s="564"/>
    </row>
    <row r="261" spans="1:97" s="15" customFormat="1" ht="12.75" hidden="1" x14ac:dyDescent="0.2">
      <c r="A261" s="350">
        <v>2</v>
      </c>
      <c r="B261" s="662" t="s">
        <v>14287</v>
      </c>
      <c r="C261" s="622"/>
      <c r="D261" s="5" t="str">
        <f t="shared" ca="1" si="153"/>
        <v>Voluntary | Delivery Modality 1</v>
      </c>
      <c r="E261" s="154">
        <v>0</v>
      </c>
      <c r="G261" s="4" t="str">
        <f t="shared" si="154"/>
        <v>OK</v>
      </c>
      <c r="H261" s="11" t="e">
        <f t="shared" si="155"/>
        <v>#N/A</v>
      </c>
      <c r="J261" s="299"/>
      <c r="K261" s="567"/>
      <c r="L261" s="587"/>
      <c r="M261" s="403"/>
      <c r="N261" s="403"/>
      <c r="O261" s="403"/>
      <c r="P261" s="403"/>
      <c r="Q261" s="403" t="s">
        <v>1620</v>
      </c>
      <c r="R261" s="403"/>
      <c r="S261" s="403"/>
      <c r="T261" s="403"/>
      <c r="U261" s="403"/>
      <c r="V261" s="403"/>
      <c r="W261" s="403"/>
      <c r="X261" s="403" t="s">
        <v>197</v>
      </c>
      <c r="Y261" s="403"/>
      <c r="Z261" s="403"/>
      <c r="AA261" s="403"/>
      <c r="AB261" s="403"/>
      <c r="AC261" s="403" t="s">
        <v>7400</v>
      </c>
      <c r="AD261" s="403"/>
      <c r="AE261" s="403"/>
      <c r="AF261" s="403"/>
      <c r="AG261" s="403"/>
      <c r="AH261" s="403"/>
      <c r="AI261" s="403"/>
      <c r="AJ261" s="403"/>
      <c r="AK261" s="403"/>
      <c r="AL261" s="403"/>
      <c r="AM261" s="403"/>
      <c r="AN261" s="403"/>
      <c r="AO261" s="403" t="s">
        <v>7401</v>
      </c>
      <c r="AP261" s="403"/>
      <c r="AQ261" s="403"/>
      <c r="AR261" s="403"/>
      <c r="AS261" s="403"/>
      <c r="AT261" s="403"/>
      <c r="AU261" s="403"/>
      <c r="AV261" s="403"/>
      <c r="AW261" s="403"/>
      <c r="AX261" s="403"/>
      <c r="AY261" s="403"/>
      <c r="AZ261" s="403"/>
      <c r="BA261" s="403" t="s">
        <v>7402</v>
      </c>
      <c r="BB261" s="403"/>
      <c r="BC261" s="403"/>
      <c r="BD261" s="403"/>
      <c r="BE261" s="403"/>
      <c r="BF261" s="403"/>
      <c r="BG261" s="403"/>
      <c r="BH261" s="403"/>
      <c r="BI261" s="403"/>
      <c r="BJ261" s="403"/>
      <c r="BK261" s="403"/>
      <c r="BL261" s="403"/>
      <c r="BM261" s="403" t="s">
        <v>7403</v>
      </c>
      <c r="BN261" s="403"/>
      <c r="BO261" s="403"/>
      <c r="BP261" s="403"/>
      <c r="BQ261" s="403"/>
      <c r="BR261" s="403"/>
      <c r="BS261" s="403"/>
      <c r="BT261" s="403"/>
      <c r="BU261" s="403"/>
      <c r="BV261" s="403"/>
      <c r="BW261" s="403"/>
      <c r="BX261" s="403"/>
      <c r="BY261" s="403" t="s">
        <v>7463</v>
      </c>
      <c r="BZ261" s="403"/>
      <c r="CA261" s="403"/>
      <c r="CB261" s="403"/>
      <c r="CC261" s="403"/>
      <c r="CD261" s="403"/>
      <c r="CE261" s="403"/>
      <c r="CF261" s="403"/>
      <c r="CG261" s="403"/>
      <c r="CH261" s="403"/>
      <c r="CI261" s="403"/>
      <c r="CJ261" s="403"/>
      <c r="CK261" s="403" t="s">
        <v>7405</v>
      </c>
      <c r="CL261" s="403"/>
      <c r="CM261" s="403"/>
      <c r="CN261" s="403"/>
      <c r="CO261" s="403"/>
      <c r="CP261" s="403"/>
      <c r="CQ261" s="403"/>
      <c r="CR261" s="403"/>
      <c r="CS261" s="564"/>
    </row>
    <row r="262" spans="1:97" s="15" customFormat="1" ht="12.75" hidden="1" x14ac:dyDescent="0.2">
      <c r="A262" s="350">
        <v>2</v>
      </c>
      <c r="B262" s="662" t="s">
        <v>14287</v>
      </c>
      <c r="C262" s="622"/>
      <c r="D262" s="5" t="str">
        <f t="shared" ca="1" si="153"/>
        <v>Work-based | Delivery Modality 2</v>
      </c>
      <c r="E262" s="154">
        <v>0</v>
      </c>
      <c r="G262" s="4" t="str">
        <f t="shared" si="154"/>
        <v>OK</v>
      </c>
      <c r="H262" s="11" t="e">
        <f t="shared" si="155"/>
        <v>#N/A</v>
      </c>
      <c r="J262" s="299"/>
      <c r="K262" s="567"/>
      <c r="L262" s="587"/>
      <c r="M262" s="403"/>
      <c r="N262" s="403"/>
      <c r="O262" s="403"/>
      <c r="P262" s="403"/>
      <c r="Q262" s="403" t="s">
        <v>1617</v>
      </c>
      <c r="R262" s="403"/>
      <c r="S262" s="403"/>
      <c r="T262" s="403"/>
      <c r="U262" s="403"/>
      <c r="V262" s="403"/>
      <c r="W262" s="403"/>
      <c r="X262" s="403" t="s">
        <v>197</v>
      </c>
      <c r="Y262" s="403"/>
      <c r="Z262" s="403"/>
      <c r="AA262" s="403"/>
      <c r="AB262" s="403"/>
      <c r="AC262" s="403" t="s">
        <v>7406</v>
      </c>
      <c r="AD262" s="403"/>
      <c r="AE262" s="403"/>
      <c r="AF262" s="403"/>
      <c r="AG262" s="403"/>
      <c r="AH262" s="403"/>
      <c r="AI262" s="403"/>
      <c r="AJ262" s="403"/>
      <c r="AK262" s="403"/>
      <c r="AL262" s="403"/>
      <c r="AM262" s="403"/>
      <c r="AN262" s="403"/>
      <c r="AO262" s="403" t="s">
        <v>7407</v>
      </c>
      <c r="AP262" s="403"/>
      <c r="AQ262" s="403"/>
      <c r="AR262" s="403"/>
      <c r="AS262" s="403"/>
      <c r="AT262" s="403"/>
      <c r="AU262" s="403"/>
      <c r="AV262" s="403"/>
      <c r="AW262" s="403"/>
      <c r="AX262" s="403"/>
      <c r="AY262" s="403"/>
      <c r="AZ262" s="403"/>
      <c r="BA262" s="403" t="s">
        <v>7408</v>
      </c>
      <c r="BB262" s="403"/>
      <c r="BC262" s="403"/>
      <c r="BD262" s="403"/>
      <c r="BE262" s="403"/>
      <c r="BF262" s="403"/>
      <c r="BG262" s="403"/>
      <c r="BH262" s="403"/>
      <c r="BI262" s="403"/>
      <c r="BJ262" s="403"/>
      <c r="BK262" s="403"/>
      <c r="BL262" s="403"/>
      <c r="BM262" s="403" t="s">
        <v>7409</v>
      </c>
      <c r="BN262" s="403"/>
      <c r="BO262" s="403"/>
      <c r="BP262" s="403"/>
      <c r="BQ262" s="403"/>
      <c r="BR262" s="403"/>
      <c r="BS262" s="403"/>
      <c r="BT262" s="403"/>
      <c r="BU262" s="403"/>
      <c r="BV262" s="403"/>
      <c r="BW262" s="403"/>
      <c r="BX262" s="403"/>
      <c r="BY262" s="403" t="s">
        <v>7410</v>
      </c>
      <c r="BZ262" s="403"/>
      <c r="CA262" s="403"/>
      <c r="CB262" s="403"/>
      <c r="CC262" s="403"/>
      <c r="CD262" s="403"/>
      <c r="CE262" s="403"/>
      <c r="CF262" s="403"/>
      <c r="CG262" s="403"/>
      <c r="CH262" s="403"/>
      <c r="CI262" s="403"/>
      <c r="CJ262" s="403"/>
      <c r="CK262" s="403" t="s">
        <v>7411</v>
      </c>
      <c r="CL262" s="403"/>
      <c r="CM262" s="403"/>
      <c r="CN262" s="403"/>
      <c r="CO262" s="403"/>
      <c r="CP262" s="403"/>
      <c r="CQ262" s="403"/>
      <c r="CR262" s="403"/>
      <c r="CS262" s="564"/>
    </row>
    <row r="263" spans="1:97" s="15" customFormat="1" ht="12.75" hidden="1" x14ac:dyDescent="0.2">
      <c r="A263" s="350">
        <v>2</v>
      </c>
      <c r="B263" s="662" t="s">
        <v>14287</v>
      </c>
      <c r="C263" s="622"/>
      <c r="D263" s="5" t="str">
        <f t="shared" ca="1" si="153"/>
        <v>Voluntary | Delivery Modality 2</v>
      </c>
      <c r="E263" s="154">
        <v>0</v>
      </c>
      <c r="G263" s="4" t="str">
        <f t="shared" si="154"/>
        <v>OK</v>
      </c>
      <c r="H263" s="11" t="e">
        <f t="shared" si="155"/>
        <v>#N/A</v>
      </c>
      <c r="J263" s="299"/>
      <c r="K263" s="567"/>
      <c r="L263" s="587"/>
      <c r="M263" s="403"/>
      <c r="N263" s="403"/>
      <c r="O263" s="403"/>
      <c r="P263" s="403"/>
      <c r="Q263" s="403" t="s">
        <v>1616</v>
      </c>
      <c r="R263" s="403"/>
      <c r="S263" s="403"/>
      <c r="T263" s="403"/>
      <c r="U263" s="403"/>
      <c r="V263" s="403"/>
      <c r="W263" s="403"/>
      <c r="X263" s="403" t="s">
        <v>197</v>
      </c>
      <c r="Y263" s="403"/>
      <c r="Z263" s="403"/>
      <c r="AA263" s="403"/>
      <c r="AB263" s="403"/>
      <c r="AC263" s="403" t="s">
        <v>7412</v>
      </c>
      <c r="AD263" s="403"/>
      <c r="AE263" s="403"/>
      <c r="AF263" s="403"/>
      <c r="AG263" s="403"/>
      <c r="AH263" s="403"/>
      <c r="AI263" s="403"/>
      <c r="AJ263" s="403"/>
      <c r="AK263" s="403"/>
      <c r="AL263" s="403"/>
      <c r="AM263" s="403"/>
      <c r="AN263" s="403"/>
      <c r="AO263" s="403" t="s">
        <v>7413</v>
      </c>
      <c r="AP263" s="403"/>
      <c r="AQ263" s="403"/>
      <c r="AR263" s="403"/>
      <c r="AS263" s="403"/>
      <c r="AT263" s="403"/>
      <c r="AU263" s="403"/>
      <c r="AV263" s="403"/>
      <c r="AW263" s="403"/>
      <c r="AX263" s="403"/>
      <c r="AY263" s="403"/>
      <c r="AZ263" s="403"/>
      <c r="BA263" s="403" t="s">
        <v>7414</v>
      </c>
      <c r="BB263" s="403"/>
      <c r="BC263" s="403"/>
      <c r="BD263" s="403"/>
      <c r="BE263" s="403"/>
      <c r="BF263" s="403"/>
      <c r="BG263" s="403"/>
      <c r="BH263" s="403"/>
      <c r="BI263" s="403"/>
      <c r="BJ263" s="403"/>
      <c r="BK263" s="403"/>
      <c r="BL263" s="403"/>
      <c r="BM263" s="403" t="s">
        <v>7415</v>
      </c>
      <c r="BN263" s="403"/>
      <c r="BO263" s="403"/>
      <c r="BP263" s="403"/>
      <c r="BQ263" s="403"/>
      <c r="BR263" s="403"/>
      <c r="BS263" s="403"/>
      <c r="BT263" s="403"/>
      <c r="BU263" s="403"/>
      <c r="BV263" s="403"/>
      <c r="BW263" s="403"/>
      <c r="BX263" s="403"/>
      <c r="BY263" s="403" t="s">
        <v>7416</v>
      </c>
      <c r="BZ263" s="403"/>
      <c r="CA263" s="403"/>
      <c r="CB263" s="403"/>
      <c r="CC263" s="403"/>
      <c r="CD263" s="403"/>
      <c r="CE263" s="403"/>
      <c r="CF263" s="403"/>
      <c r="CG263" s="403"/>
      <c r="CH263" s="403"/>
      <c r="CI263" s="403"/>
      <c r="CJ263" s="403"/>
      <c r="CK263" s="403" t="s">
        <v>7417</v>
      </c>
      <c r="CL263" s="403"/>
      <c r="CM263" s="403"/>
      <c r="CN263" s="403"/>
      <c r="CO263" s="403"/>
      <c r="CP263" s="403"/>
      <c r="CQ263" s="403"/>
      <c r="CR263" s="403"/>
      <c r="CS263" s="564"/>
    </row>
    <row r="264" spans="1:97" s="15" customFormat="1" ht="12.75" hidden="1" x14ac:dyDescent="0.2">
      <c r="A264" s="350">
        <v>2</v>
      </c>
      <c r="B264" s="662" t="s">
        <v>14287</v>
      </c>
      <c r="C264" s="622"/>
      <c r="D264" s="5" t="str">
        <f t="shared" ca="1" si="153"/>
        <v>Delivery Modality 3</v>
      </c>
      <c r="E264" s="154">
        <v>0</v>
      </c>
      <c r="G264" s="4" t="str">
        <f t="shared" si="154"/>
        <v>OK</v>
      </c>
      <c r="H264" s="11" t="e">
        <f t="shared" si="155"/>
        <v>#N/A</v>
      </c>
      <c r="J264" s="299"/>
      <c r="K264" s="567"/>
      <c r="L264" s="587"/>
      <c r="M264" s="403"/>
      <c r="N264" s="403"/>
      <c r="O264" s="403"/>
      <c r="P264" s="403"/>
      <c r="Q264" s="403" t="s">
        <v>1564</v>
      </c>
      <c r="R264" s="403"/>
      <c r="S264" s="403"/>
      <c r="T264" s="403"/>
      <c r="U264" s="403"/>
      <c r="V264" s="403"/>
      <c r="W264" s="403"/>
      <c r="X264" s="403" t="s">
        <v>197</v>
      </c>
      <c r="Y264" s="403"/>
      <c r="Z264" s="403"/>
      <c r="AA264" s="403"/>
      <c r="AB264" s="403"/>
      <c r="AC264" s="403" t="s">
        <v>7418</v>
      </c>
      <c r="AD264" s="403"/>
      <c r="AE264" s="403"/>
      <c r="AF264" s="403"/>
      <c r="AG264" s="403"/>
      <c r="AH264" s="403"/>
      <c r="AI264" s="403"/>
      <c r="AJ264" s="403"/>
      <c r="AK264" s="403"/>
      <c r="AL264" s="403"/>
      <c r="AM264" s="403"/>
      <c r="AN264" s="403"/>
      <c r="AO264" s="403" t="s">
        <v>7419</v>
      </c>
      <c r="AP264" s="403"/>
      <c r="AQ264" s="403"/>
      <c r="AR264" s="403"/>
      <c r="AS264" s="403"/>
      <c r="AT264" s="403"/>
      <c r="AU264" s="403"/>
      <c r="AV264" s="403"/>
      <c r="AW264" s="403"/>
      <c r="AX264" s="403"/>
      <c r="AY264" s="403"/>
      <c r="AZ264" s="403"/>
      <c r="BA264" s="403" t="s">
        <v>7420</v>
      </c>
      <c r="BB264" s="403"/>
      <c r="BC264" s="403"/>
      <c r="BD264" s="403"/>
      <c r="BE264" s="403"/>
      <c r="BF264" s="403"/>
      <c r="BG264" s="403"/>
      <c r="BH264" s="403"/>
      <c r="BI264" s="403"/>
      <c r="BJ264" s="403"/>
      <c r="BK264" s="403"/>
      <c r="BL264" s="403"/>
      <c r="BM264" s="403" t="s">
        <v>7421</v>
      </c>
      <c r="BN264" s="403"/>
      <c r="BO264" s="403"/>
      <c r="BP264" s="403"/>
      <c r="BQ264" s="403"/>
      <c r="BR264" s="403"/>
      <c r="BS264" s="403"/>
      <c r="BT264" s="403"/>
      <c r="BU264" s="403"/>
      <c r="BV264" s="403"/>
      <c r="BW264" s="403"/>
      <c r="BX264" s="403"/>
      <c r="BY264" s="403" t="s">
        <v>7422</v>
      </c>
      <c r="BZ264" s="403"/>
      <c r="CA264" s="403"/>
      <c r="CB264" s="403"/>
      <c r="CC264" s="403"/>
      <c r="CD264" s="403"/>
      <c r="CE264" s="403"/>
      <c r="CF264" s="403"/>
      <c r="CG264" s="403"/>
      <c r="CH264" s="403"/>
      <c r="CI264" s="403"/>
      <c r="CJ264" s="403"/>
      <c r="CK264" s="403" t="s">
        <v>7423</v>
      </c>
      <c r="CL264" s="403"/>
      <c r="CM264" s="403"/>
      <c r="CN264" s="403"/>
      <c r="CO264" s="403"/>
      <c r="CP264" s="403"/>
      <c r="CQ264" s="403"/>
      <c r="CR264" s="403"/>
      <c r="CS264" s="564"/>
    </row>
    <row r="265" spans="1:97" s="15" customFormat="1" ht="12.75" hidden="1" x14ac:dyDescent="0.2">
      <c r="A265" s="350">
        <v>2</v>
      </c>
      <c r="B265" s="662" t="s">
        <v>14287</v>
      </c>
      <c r="C265" s="622"/>
      <c r="D265" s="5" t="str">
        <f t="shared" ca="1" si="153"/>
        <v>Delivery Modality 4</v>
      </c>
      <c r="E265" s="154">
        <v>0</v>
      </c>
      <c r="G265" s="4" t="str">
        <f t="shared" si="154"/>
        <v>OK</v>
      </c>
      <c r="H265" s="11" t="e">
        <f t="shared" si="155"/>
        <v>#N/A</v>
      </c>
      <c r="J265" s="299"/>
      <c r="K265" s="567"/>
      <c r="L265" s="587"/>
      <c r="M265" s="403"/>
      <c r="N265" s="403"/>
      <c r="O265" s="403"/>
      <c r="P265" s="403"/>
      <c r="Q265" s="403" t="s">
        <v>1565</v>
      </c>
      <c r="R265" s="403"/>
      <c r="S265" s="403"/>
      <c r="T265" s="403"/>
      <c r="U265" s="403"/>
      <c r="V265" s="403"/>
      <c r="W265" s="403"/>
      <c r="X265" s="403" t="s">
        <v>197</v>
      </c>
      <c r="Y265" s="403"/>
      <c r="Z265" s="403"/>
      <c r="AA265" s="403"/>
      <c r="AB265" s="403"/>
      <c r="AC265" s="403" t="s">
        <v>7424</v>
      </c>
      <c r="AD265" s="403"/>
      <c r="AE265" s="403"/>
      <c r="AF265" s="403"/>
      <c r="AG265" s="403"/>
      <c r="AH265" s="403"/>
      <c r="AI265" s="403"/>
      <c r="AJ265" s="403"/>
      <c r="AK265" s="403"/>
      <c r="AL265" s="403"/>
      <c r="AM265" s="403"/>
      <c r="AN265" s="403"/>
      <c r="AO265" s="403" t="s">
        <v>7425</v>
      </c>
      <c r="AP265" s="403"/>
      <c r="AQ265" s="403"/>
      <c r="AR265" s="403"/>
      <c r="AS265" s="403"/>
      <c r="AT265" s="403"/>
      <c r="AU265" s="403"/>
      <c r="AV265" s="403"/>
      <c r="AW265" s="403"/>
      <c r="AX265" s="403"/>
      <c r="AY265" s="403"/>
      <c r="AZ265" s="403"/>
      <c r="BA265" s="403" t="s">
        <v>7426</v>
      </c>
      <c r="BB265" s="403"/>
      <c r="BC265" s="403"/>
      <c r="BD265" s="403"/>
      <c r="BE265" s="403"/>
      <c r="BF265" s="403"/>
      <c r="BG265" s="403"/>
      <c r="BH265" s="403"/>
      <c r="BI265" s="403"/>
      <c r="BJ265" s="403"/>
      <c r="BK265" s="403"/>
      <c r="BL265" s="403"/>
      <c r="BM265" s="403" t="s">
        <v>7427</v>
      </c>
      <c r="BN265" s="403"/>
      <c r="BO265" s="403"/>
      <c r="BP265" s="403"/>
      <c r="BQ265" s="403"/>
      <c r="BR265" s="403"/>
      <c r="BS265" s="403"/>
      <c r="BT265" s="403"/>
      <c r="BU265" s="403"/>
      <c r="BV265" s="403"/>
      <c r="BW265" s="403"/>
      <c r="BX265" s="403"/>
      <c r="BY265" s="403" t="s">
        <v>7428</v>
      </c>
      <c r="BZ265" s="403"/>
      <c r="CA265" s="403"/>
      <c r="CB265" s="403"/>
      <c r="CC265" s="403"/>
      <c r="CD265" s="403"/>
      <c r="CE265" s="403"/>
      <c r="CF265" s="403"/>
      <c r="CG265" s="403"/>
      <c r="CH265" s="403"/>
      <c r="CI265" s="403"/>
      <c r="CJ265" s="403"/>
      <c r="CK265" s="403" t="s">
        <v>7429</v>
      </c>
      <c r="CL265" s="403"/>
      <c r="CM265" s="403"/>
      <c r="CN265" s="403"/>
      <c r="CO265" s="403"/>
      <c r="CP265" s="403"/>
      <c r="CQ265" s="403"/>
      <c r="CR265" s="403"/>
      <c r="CS265" s="564"/>
    </row>
    <row r="266" spans="1:97" s="15" customFormat="1" ht="12.75" hidden="1" x14ac:dyDescent="0.2">
      <c r="A266" s="9"/>
      <c r="B266" s="662" t="s">
        <v>14287</v>
      </c>
      <c r="C266" s="622"/>
      <c r="J266" s="299"/>
      <c r="K266" s="567"/>
      <c r="L266" s="567"/>
      <c r="M266" s="403"/>
      <c r="N266" s="403"/>
      <c r="O266" s="403"/>
      <c r="P266" s="403"/>
      <c r="Q266" s="403"/>
      <c r="R266" s="403"/>
      <c r="S266" s="403"/>
      <c r="T266" s="403"/>
      <c r="U266" s="403"/>
      <c r="V266" s="403"/>
      <c r="W266" s="403"/>
      <c r="X266" s="403" t="s">
        <v>197</v>
      </c>
      <c r="Y266" s="403"/>
      <c r="Z266" s="403"/>
      <c r="AA266" s="403"/>
      <c r="AB266" s="403"/>
      <c r="AC266" s="403"/>
      <c r="AD266" s="403"/>
      <c r="AE266" s="403"/>
      <c r="AF266" s="403"/>
      <c r="AG266" s="403"/>
      <c r="AH266" s="403"/>
      <c r="AI266" s="403"/>
      <c r="AJ266" s="403"/>
      <c r="AK266" s="403"/>
      <c r="AL266" s="403"/>
      <c r="AM266" s="403"/>
      <c r="AN266" s="403"/>
      <c r="AO266" s="403"/>
      <c r="AP266" s="403"/>
      <c r="AQ266" s="403"/>
      <c r="AR266" s="403"/>
      <c r="AS266" s="403"/>
      <c r="AT266" s="403"/>
      <c r="AU266" s="403"/>
      <c r="AV266" s="403"/>
      <c r="AW266" s="403"/>
      <c r="AX266" s="403"/>
      <c r="AY266" s="403"/>
      <c r="AZ266" s="403"/>
      <c r="BA266" s="403"/>
      <c r="BB266" s="403"/>
      <c r="BC266" s="403"/>
      <c r="BD266" s="403"/>
      <c r="BE266" s="403"/>
      <c r="BF266" s="403"/>
      <c r="BG266" s="403"/>
      <c r="BH266" s="403"/>
      <c r="BI266" s="403"/>
      <c r="BJ266" s="403"/>
      <c r="BK266" s="403"/>
      <c r="BL266" s="403"/>
      <c r="BM266" s="403"/>
      <c r="BN266" s="403"/>
      <c r="BO266" s="403"/>
      <c r="BP266" s="403"/>
      <c r="BQ266" s="403"/>
      <c r="BR266" s="403"/>
      <c r="BS266" s="403"/>
      <c r="BT266" s="403"/>
      <c r="BU266" s="403"/>
      <c r="BV266" s="403"/>
      <c r="BW266" s="403"/>
      <c r="BX266" s="403"/>
      <c r="BY266" s="403"/>
      <c r="BZ266" s="403"/>
      <c r="CA266" s="403"/>
      <c r="CB266" s="403"/>
      <c r="CC266" s="403"/>
      <c r="CD266" s="403"/>
      <c r="CE266" s="403"/>
      <c r="CF266" s="403"/>
      <c r="CG266" s="403"/>
      <c r="CH266" s="403"/>
      <c r="CI266" s="403"/>
      <c r="CJ266" s="403"/>
      <c r="CK266" s="403"/>
      <c r="CL266" s="403"/>
      <c r="CM266" s="403"/>
      <c r="CN266" s="403"/>
      <c r="CO266" s="403"/>
      <c r="CP266" s="403"/>
      <c r="CQ266" s="403"/>
      <c r="CR266" s="403"/>
      <c r="CS266" s="564"/>
    </row>
    <row r="267" spans="1:97" s="150" customFormat="1" ht="12.75" hidden="1" x14ac:dyDescent="0.2">
      <c r="A267" s="9"/>
      <c r="B267" s="662" t="s">
        <v>14287</v>
      </c>
      <c r="C267" s="622"/>
      <c r="E267" s="342" t="str">
        <f t="shared" ref="E267" ca="1" si="156">IF(OFFSET(R267,0,Lang_Order*Lang__A2)="","",OFFSET(R267,0,Lang_Order*Lang__A2))</f>
        <v>If RBF selected, MUST complete these below</v>
      </c>
      <c r="J267" s="299"/>
      <c r="K267" s="567"/>
      <c r="L267" s="567"/>
      <c r="M267" s="403"/>
      <c r="N267" s="403"/>
      <c r="O267" s="403"/>
      <c r="P267" s="403"/>
      <c r="Q267" s="403"/>
      <c r="R267" s="403" t="s">
        <v>2674</v>
      </c>
      <c r="S267" s="403"/>
      <c r="T267" s="403"/>
      <c r="U267" s="403"/>
      <c r="V267" s="403"/>
      <c r="W267" s="403"/>
      <c r="X267" s="403" t="s">
        <v>197</v>
      </c>
      <c r="Y267" s="403"/>
      <c r="Z267" s="403"/>
      <c r="AA267" s="403"/>
      <c r="AB267" s="403"/>
      <c r="AC267" s="403"/>
      <c r="AD267" s="403" t="s">
        <v>7449</v>
      </c>
      <c r="AE267" s="403"/>
      <c r="AF267" s="403"/>
      <c r="AG267" s="403"/>
      <c r="AH267" s="403"/>
      <c r="AI267" s="403"/>
      <c r="AJ267" s="403"/>
      <c r="AK267" s="403"/>
      <c r="AL267" s="403"/>
      <c r="AM267" s="403"/>
      <c r="AN267" s="403"/>
      <c r="AO267" s="403"/>
      <c r="AP267" s="403" t="s">
        <v>7451</v>
      </c>
      <c r="AQ267" s="403"/>
      <c r="AR267" s="403"/>
      <c r="AS267" s="403"/>
      <c r="AT267" s="403"/>
      <c r="AU267" s="403"/>
      <c r="AV267" s="403"/>
      <c r="AW267" s="403"/>
      <c r="AX267" s="403"/>
      <c r="AY267" s="403"/>
      <c r="AZ267" s="403"/>
      <c r="BA267" s="403"/>
      <c r="BB267" s="403" t="s">
        <v>7453</v>
      </c>
      <c r="BC267" s="403"/>
      <c r="BD267" s="403"/>
      <c r="BE267" s="403"/>
      <c r="BF267" s="403"/>
      <c r="BG267" s="403"/>
      <c r="BH267" s="403"/>
      <c r="BI267" s="403"/>
      <c r="BJ267" s="403"/>
      <c r="BK267" s="403"/>
      <c r="BL267" s="403"/>
      <c r="BM267" s="403"/>
      <c r="BN267" s="403" t="s">
        <v>7455</v>
      </c>
      <c r="BO267" s="403"/>
      <c r="BP267" s="403"/>
      <c r="BQ267" s="403"/>
      <c r="BR267" s="403"/>
      <c r="BS267" s="403"/>
      <c r="BT267" s="403"/>
      <c r="BU267" s="403"/>
      <c r="BV267" s="403"/>
      <c r="BW267" s="403"/>
      <c r="BX267" s="403"/>
      <c r="BY267" s="403"/>
      <c r="BZ267" s="403" t="s">
        <v>7456</v>
      </c>
      <c r="CA267" s="403"/>
      <c r="CB267" s="403"/>
      <c r="CC267" s="403"/>
      <c r="CD267" s="403"/>
      <c r="CE267" s="403"/>
      <c r="CF267" s="403"/>
      <c r="CG267" s="403"/>
      <c r="CH267" s="403"/>
      <c r="CI267" s="403"/>
      <c r="CJ267" s="403"/>
      <c r="CK267" s="403"/>
      <c r="CL267" s="403" t="s">
        <v>7458</v>
      </c>
      <c r="CM267" s="403"/>
      <c r="CN267" s="403"/>
      <c r="CO267" s="403"/>
      <c r="CP267" s="403"/>
      <c r="CQ267" s="403"/>
      <c r="CR267" s="403"/>
      <c r="CS267" s="564"/>
    </row>
    <row r="268" spans="1:97" s="122" customFormat="1" ht="12.75" hidden="1" x14ac:dyDescent="0.2">
      <c r="A268" s="9"/>
      <c r="B268" s="662" t="s">
        <v>14287</v>
      </c>
      <c r="C268" s="624" t="str">
        <f t="shared" ref="C268" ca="1" si="157">IF(OFFSET(P268,0,Lang_Order*Lang__A2)="","",OFFSET(P268,0,Lang_Order*Lang__A2))</f>
        <v>If RBF selected, use RBF for these delivery modalities?</v>
      </c>
      <c r="H268" s="2" t="str">
        <f t="shared" ref="H268" ca="1" si="158">IF(OFFSET(U268,0,Lang_Order*Lang__A2)="","",OFFSET(U268,0,Lang_Order*Lang__A2))</f>
        <v>Note: 1 = IBF, 0 = RBF</v>
      </c>
      <c r="J268" s="299"/>
      <c r="K268" s="567"/>
      <c r="L268" s="567"/>
      <c r="M268" s="403"/>
      <c r="N268" s="403"/>
      <c r="O268" s="403"/>
      <c r="P268" s="403" t="s">
        <v>2673</v>
      </c>
      <c r="Q268" s="403"/>
      <c r="R268" s="403"/>
      <c r="S268" s="403"/>
      <c r="T268" s="403"/>
      <c r="U268" s="403" t="s">
        <v>2675</v>
      </c>
      <c r="V268" s="403"/>
      <c r="W268" s="403"/>
      <c r="X268" s="403" t="s">
        <v>197</v>
      </c>
      <c r="Y268" s="403"/>
      <c r="Z268" s="403"/>
      <c r="AA268" s="403"/>
      <c r="AB268" s="403" t="s">
        <v>7464</v>
      </c>
      <c r="AC268" s="403"/>
      <c r="AD268" s="403"/>
      <c r="AE268" s="403"/>
      <c r="AF268" s="403"/>
      <c r="AG268" s="403" t="s">
        <v>7465</v>
      </c>
      <c r="AH268" s="403"/>
      <c r="AI268" s="403"/>
      <c r="AJ268" s="403"/>
      <c r="AK268" s="403"/>
      <c r="AL268" s="403"/>
      <c r="AM268" s="403"/>
      <c r="AN268" s="403" t="s">
        <v>7466</v>
      </c>
      <c r="AO268" s="403"/>
      <c r="AP268" s="403"/>
      <c r="AQ268" s="403"/>
      <c r="AR268" s="403"/>
      <c r="AS268" s="403" t="s">
        <v>7467</v>
      </c>
      <c r="AT268" s="403"/>
      <c r="AU268" s="403"/>
      <c r="AV268" s="403"/>
      <c r="AW268" s="403"/>
      <c r="AX268" s="403"/>
      <c r="AY268" s="403"/>
      <c r="AZ268" s="403" t="s">
        <v>7468</v>
      </c>
      <c r="BA268" s="403"/>
      <c r="BB268" s="403"/>
      <c r="BC268" s="403"/>
      <c r="BD268" s="403"/>
      <c r="BE268" s="403" t="s">
        <v>7469</v>
      </c>
      <c r="BF268" s="403"/>
      <c r="BG268" s="403"/>
      <c r="BH268" s="403"/>
      <c r="BI268" s="403"/>
      <c r="BJ268" s="403"/>
      <c r="BK268" s="403"/>
      <c r="BL268" s="403" t="s">
        <v>7470</v>
      </c>
      <c r="BM268" s="403"/>
      <c r="BN268" s="403"/>
      <c r="BO268" s="403"/>
      <c r="BP268" s="403"/>
      <c r="BQ268" s="403" t="s">
        <v>7471</v>
      </c>
      <c r="BR268" s="403"/>
      <c r="BS268" s="403"/>
      <c r="BT268" s="403"/>
      <c r="BU268" s="403"/>
      <c r="BV268" s="403"/>
      <c r="BW268" s="403"/>
      <c r="BX268" s="403" t="s">
        <v>7472</v>
      </c>
      <c r="BY268" s="403"/>
      <c r="BZ268" s="403"/>
      <c r="CA268" s="403"/>
      <c r="CB268" s="403"/>
      <c r="CC268" s="403" t="s">
        <v>7473</v>
      </c>
      <c r="CD268" s="403"/>
      <c r="CE268" s="403"/>
      <c r="CF268" s="403"/>
      <c r="CG268" s="403"/>
      <c r="CH268" s="403"/>
      <c r="CI268" s="403"/>
      <c r="CJ268" s="403" t="s">
        <v>7474</v>
      </c>
      <c r="CK268" s="403"/>
      <c r="CL268" s="403"/>
      <c r="CM268" s="403"/>
      <c r="CN268" s="403"/>
      <c r="CO268" s="403" t="s">
        <v>7475</v>
      </c>
      <c r="CP268" s="403"/>
      <c r="CQ268" s="403"/>
      <c r="CR268" s="403"/>
      <c r="CS268" s="564"/>
    </row>
    <row r="269" spans="1:97" s="15" customFormat="1" ht="12.75" hidden="1" x14ac:dyDescent="0.2">
      <c r="A269" s="350">
        <v>2</v>
      </c>
      <c r="B269" s="662" t="s">
        <v>14287</v>
      </c>
      <c r="C269" s="622"/>
      <c r="D269" s="5" t="str">
        <f t="shared" ref="D269:D272" ca="1" si="159">IF(OFFSET(Q269,0,Lang_Order*Lang__A2)="","",OFFSET(Q269,0,Lang_Order*Lang__A2))</f>
        <v>Delivery Modality 1</v>
      </c>
      <c r="E269" s="35" t="s">
        <v>2671</v>
      </c>
      <c r="G269" s="4" t="str">
        <f>IF(AND(ISBLANK(E269),RBF=Lang_Yes),Lang_CHECK,"OK")</f>
        <v>OK</v>
      </c>
      <c r="H269" s="3">
        <f>IF(AND(RBF=Lang_Yes,E269=Lang_Yes),0,1)</f>
        <v>1</v>
      </c>
      <c r="J269" s="299"/>
      <c r="K269" s="567"/>
      <c r="L269" s="587"/>
      <c r="M269" s="403"/>
      <c r="N269" s="403"/>
      <c r="O269" s="403"/>
      <c r="P269" s="403"/>
      <c r="Q269" s="403" t="s">
        <v>1632</v>
      </c>
      <c r="R269" s="403"/>
      <c r="S269" s="403"/>
      <c r="T269" s="403"/>
      <c r="U269" s="403"/>
      <c r="V269" s="403"/>
      <c r="W269" s="403"/>
      <c r="X269" s="403" t="s">
        <v>197</v>
      </c>
      <c r="Y269" s="403"/>
      <c r="Z269" s="403"/>
      <c r="AA269" s="403"/>
      <c r="AB269" s="403"/>
      <c r="AC269" s="403" t="s">
        <v>7476</v>
      </c>
      <c r="AD269" s="403"/>
      <c r="AE269" s="403"/>
      <c r="AF269" s="403"/>
      <c r="AG269" s="403"/>
      <c r="AH269" s="403"/>
      <c r="AI269" s="403"/>
      <c r="AJ269" s="403"/>
      <c r="AK269" s="403"/>
      <c r="AL269" s="403"/>
      <c r="AM269" s="403"/>
      <c r="AN269" s="403"/>
      <c r="AO269" s="403" t="s">
        <v>7477</v>
      </c>
      <c r="AP269" s="403"/>
      <c r="AQ269" s="403"/>
      <c r="AR269" s="403"/>
      <c r="AS269" s="403"/>
      <c r="AT269" s="403"/>
      <c r="AU269" s="403"/>
      <c r="AV269" s="403"/>
      <c r="AW269" s="403"/>
      <c r="AX269" s="403"/>
      <c r="AY269" s="403"/>
      <c r="AZ269" s="403"/>
      <c r="BA269" s="403" t="s">
        <v>7478</v>
      </c>
      <c r="BB269" s="403"/>
      <c r="BC269" s="403"/>
      <c r="BD269" s="403"/>
      <c r="BE269" s="403"/>
      <c r="BF269" s="403"/>
      <c r="BG269" s="403"/>
      <c r="BH269" s="403"/>
      <c r="BI269" s="403"/>
      <c r="BJ269" s="403"/>
      <c r="BK269" s="403"/>
      <c r="BL269" s="403"/>
      <c r="BM269" s="403" t="s">
        <v>7479</v>
      </c>
      <c r="BN269" s="403"/>
      <c r="BO269" s="403"/>
      <c r="BP269" s="403"/>
      <c r="BQ269" s="403"/>
      <c r="BR269" s="403"/>
      <c r="BS269" s="403"/>
      <c r="BT269" s="403"/>
      <c r="BU269" s="403"/>
      <c r="BV269" s="403"/>
      <c r="BW269" s="403"/>
      <c r="BX269" s="403"/>
      <c r="BY269" s="403" t="s">
        <v>7480</v>
      </c>
      <c r="BZ269" s="403"/>
      <c r="CA269" s="403"/>
      <c r="CB269" s="403"/>
      <c r="CC269" s="403"/>
      <c r="CD269" s="403"/>
      <c r="CE269" s="403"/>
      <c r="CF269" s="403"/>
      <c r="CG269" s="403"/>
      <c r="CH269" s="403"/>
      <c r="CI269" s="403"/>
      <c r="CJ269" s="403"/>
      <c r="CK269" s="403" t="s">
        <v>7481</v>
      </c>
      <c r="CL269" s="403"/>
      <c r="CM269" s="403"/>
      <c r="CN269" s="403"/>
      <c r="CO269" s="403"/>
      <c r="CP269" s="403"/>
      <c r="CQ269" s="403"/>
      <c r="CR269" s="403"/>
      <c r="CS269" s="564"/>
    </row>
    <row r="270" spans="1:97" s="15" customFormat="1" ht="12.75" hidden="1" x14ac:dyDescent="0.2">
      <c r="A270" s="350">
        <v>2</v>
      </c>
      <c r="B270" s="662" t="s">
        <v>14287</v>
      </c>
      <c r="C270" s="622"/>
      <c r="D270" s="5" t="str">
        <f t="shared" ca="1" si="159"/>
        <v>Delivery Modality 2</v>
      </c>
      <c r="E270" s="35" t="s">
        <v>2671</v>
      </c>
      <c r="G270" s="4" t="str">
        <f>IF(AND(ISBLANK(E270),RBF=Lang_Yes),Lang_CHECK,"OK")</f>
        <v>OK</v>
      </c>
      <c r="H270" s="3">
        <f>IF(AND(RBF=Lang_Yes,E270=Lang_Yes),0,1)</f>
        <v>1</v>
      </c>
      <c r="K270" s="567"/>
      <c r="L270" s="587"/>
      <c r="M270" s="403"/>
      <c r="N270" s="403"/>
      <c r="O270" s="403"/>
      <c r="P270" s="403"/>
      <c r="Q270" s="403" t="s">
        <v>1639</v>
      </c>
      <c r="R270" s="403"/>
      <c r="S270" s="403"/>
      <c r="T270" s="403"/>
      <c r="U270" s="403"/>
      <c r="V270" s="403"/>
      <c r="W270" s="403"/>
      <c r="X270" s="403" t="s">
        <v>197</v>
      </c>
      <c r="Y270" s="403"/>
      <c r="Z270" s="403"/>
      <c r="AA270" s="403"/>
      <c r="AB270" s="403"/>
      <c r="AC270" s="403" t="s">
        <v>7482</v>
      </c>
      <c r="AD270" s="403"/>
      <c r="AE270" s="403"/>
      <c r="AF270" s="403"/>
      <c r="AG270" s="403"/>
      <c r="AH270" s="403"/>
      <c r="AI270" s="403"/>
      <c r="AJ270" s="403"/>
      <c r="AK270" s="403"/>
      <c r="AL270" s="403"/>
      <c r="AM270" s="403"/>
      <c r="AN270" s="403"/>
      <c r="AO270" s="403" t="s">
        <v>7483</v>
      </c>
      <c r="AP270" s="403"/>
      <c r="AQ270" s="403"/>
      <c r="AR270" s="403"/>
      <c r="AS270" s="403"/>
      <c r="AT270" s="403"/>
      <c r="AU270" s="403"/>
      <c r="AV270" s="403"/>
      <c r="AW270" s="403"/>
      <c r="AX270" s="403"/>
      <c r="AY270" s="403"/>
      <c r="AZ270" s="403"/>
      <c r="BA270" s="403" t="s">
        <v>7484</v>
      </c>
      <c r="BB270" s="403"/>
      <c r="BC270" s="403"/>
      <c r="BD270" s="403"/>
      <c r="BE270" s="403"/>
      <c r="BF270" s="403"/>
      <c r="BG270" s="403"/>
      <c r="BH270" s="403"/>
      <c r="BI270" s="403"/>
      <c r="BJ270" s="403"/>
      <c r="BK270" s="403"/>
      <c r="BL270" s="403"/>
      <c r="BM270" s="403" t="s">
        <v>7485</v>
      </c>
      <c r="BN270" s="403"/>
      <c r="BO270" s="403"/>
      <c r="BP270" s="403"/>
      <c r="BQ270" s="403"/>
      <c r="BR270" s="403"/>
      <c r="BS270" s="403"/>
      <c r="BT270" s="403"/>
      <c r="BU270" s="403"/>
      <c r="BV270" s="403"/>
      <c r="BW270" s="403"/>
      <c r="BX270" s="403"/>
      <c r="BY270" s="403" t="s">
        <v>7486</v>
      </c>
      <c r="BZ270" s="403"/>
      <c r="CA270" s="403"/>
      <c r="CB270" s="403"/>
      <c r="CC270" s="403"/>
      <c r="CD270" s="403"/>
      <c r="CE270" s="403"/>
      <c r="CF270" s="403"/>
      <c r="CG270" s="403"/>
      <c r="CH270" s="403"/>
      <c r="CI270" s="403"/>
      <c r="CJ270" s="403"/>
      <c r="CK270" s="403" t="s">
        <v>7487</v>
      </c>
      <c r="CL270" s="403"/>
      <c r="CM270" s="403"/>
      <c r="CN270" s="403"/>
      <c r="CO270" s="403"/>
      <c r="CP270" s="403"/>
      <c r="CQ270" s="403"/>
      <c r="CR270" s="403"/>
      <c r="CS270" s="564"/>
    </row>
    <row r="271" spans="1:97" s="15" customFormat="1" ht="12.75" hidden="1" x14ac:dyDescent="0.2">
      <c r="A271" s="350">
        <v>2</v>
      </c>
      <c r="B271" s="662" t="s">
        <v>14287</v>
      </c>
      <c r="C271" s="622"/>
      <c r="D271" s="5" t="str">
        <f t="shared" ca="1" si="159"/>
        <v>Delivery Modality 3</v>
      </c>
      <c r="E271" s="35" t="s">
        <v>2671</v>
      </c>
      <c r="G271" s="4" t="str">
        <f>IF(AND(ISBLANK(E271),RBF=Lang_Yes),Lang_CHECK,"OK")</f>
        <v>OK</v>
      </c>
      <c r="H271" s="3">
        <f>IF(AND(RBF=Lang_Yes,E271=Lang_Yes),0,1)</f>
        <v>1</v>
      </c>
      <c r="K271" s="567"/>
      <c r="L271" s="587"/>
      <c r="M271" s="403"/>
      <c r="N271" s="403"/>
      <c r="O271" s="403"/>
      <c r="P271" s="403"/>
      <c r="Q271" s="403" t="s">
        <v>1564</v>
      </c>
      <c r="R271" s="403"/>
      <c r="S271" s="403"/>
      <c r="T271" s="403"/>
      <c r="U271" s="403"/>
      <c r="V271" s="403"/>
      <c r="W271" s="403"/>
      <c r="X271" s="403" t="s">
        <v>197</v>
      </c>
      <c r="Y271" s="403"/>
      <c r="Z271" s="403"/>
      <c r="AA271" s="403"/>
      <c r="AB271" s="403"/>
      <c r="AC271" s="403" t="s">
        <v>7418</v>
      </c>
      <c r="AD271" s="403"/>
      <c r="AE271" s="403"/>
      <c r="AF271" s="403"/>
      <c r="AG271" s="403"/>
      <c r="AH271" s="403"/>
      <c r="AI271" s="403"/>
      <c r="AJ271" s="403"/>
      <c r="AK271" s="403"/>
      <c r="AL271" s="403"/>
      <c r="AM271" s="403"/>
      <c r="AN271" s="403"/>
      <c r="AO271" s="403" t="s">
        <v>7419</v>
      </c>
      <c r="AP271" s="403"/>
      <c r="AQ271" s="403"/>
      <c r="AR271" s="403"/>
      <c r="AS271" s="403"/>
      <c r="AT271" s="403"/>
      <c r="AU271" s="403"/>
      <c r="AV271" s="403"/>
      <c r="AW271" s="403"/>
      <c r="AX271" s="403"/>
      <c r="AY271" s="403"/>
      <c r="AZ271" s="403"/>
      <c r="BA271" s="403" t="s">
        <v>7488</v>
      </c>
      <c r="BB271" s="403"/>
      <c r="BC271" s="403"/>
      <c r="BD271" s="403"/>
      <c r="BE271" s="403"/>
      <c r="BF271" s="403"/>
      <c r="BG271" s="403"/>
      <c r="BH271" s="403"/>
      <c r="BI271" s="403"/>
      <c r="BJ271" s="403"/>
      <c r="BK271" s="403"/>
      <c r="BL271" s="403"/>
      <c r="BM271" s="403" t="s">
        <v>7489</v>
      </c>
      <c r="BN271" s="403"/>
      <c r="BO271" s="403"/>
      <c r="BP271" s="403"/>
      <c r="BQ271" s="403"/>
      <c r="BR271" s="403"/>
      <c r="BS271" s="403"/>
      <c r="BT271" s="403"/>
      <c r="BU271" s="403"/>
      <c r="BV271" s="403"/>
      <c r="BW271" s="403"/>
      <c r="BX271" s="403"/>
      <c r="BY271" s="403" t="s">
        <v>7422</v>
      </c>
      <c r="BZ271" s="403"/>
      <c r="CA271" s="403"/>
      <c r="CB271" s="403"/>
      <c r="CC271" s="403"/>
      <c r="CD271" s="403"/>
      <c r="CE271" s="403"/>
      <c r="CF271" s="403"/>
      <c r="CG271" s="403"/>
      <c r="CH271" s="403"/>
      <c r="CI271" s="403"/>
      <c r="CJ271" s="403"/>
      <c r="CK271" s="403" t="s">
        <v>7423</v>
      </c>
      <c r="CL271" s="403"/>
      <c r="CM271" s="403"/>
      <c r="CN271" s="403"/>
      <c r="CO271" s="403"/>
      <c r="CP271" s="403"/>
      <c r="CQ271" s="403"/>
      <c r="CR271" s="403"/>
      <c r="CS271" s="564"/>
    </row>
    <row r="272" spans="1:97" s="15" customFormat="1" ht="12.75" hidden="1" x14ac:dyDescent="0.2">
      <c r="A272" s="350">
        <v>2</v>
      </c>
      <c r="B272" s="662" t="s">
        <v>14287</v>
      </c>
      <c r="C272" s="622"/>
      <c r="D272" s="5" t="str">
        <f t="shared" ca="1" si="159"/>
        <v>Delivery Modality 4</v>
      </c>
      <c r="E272" s="35" t="s">
        <v>2671</v>
      </c>
      <c r="G272" s="4" t="str">
        <f>IF(AND(ISBLANK(E272),RBF=Lang_Yes),Lang_CHECK,"OK")</f>
        <v>OK</v>
      </c>
      <c r="H272" s="3">
        <f>IF(AND(RBF=Lang_Yes,E272=Lang_Yes),0,1)</f>
        <v>1</v>
      </c>
      <c r="K272" s="567"/>
      <c r="L272" s="587"/>
      <c r="M272" s="403"/>
      <c r="N272" s="403"/>
      <c r="O272" s="403"/>
      <c r="P272" s="403"/>
      <c r="Q272" s="403" t="s">
        <v>1565</v>
      </c>
      <c r="R272" s="403"/>
      <c r="S272" s="403"/>
      <c r="T272" s="403"/>
      <c r="U272" s="403"/>
      <c r="V272" s="403"/>
      <c r="W272" s="403"/>
      <c r="X272" s="403" t="s">
        <v>197</v>
      </c>
      <c r="Y272" s="403"/>
      <c r="Z272" s="403"/>
      <c r="AA272" s="403"/>
      <c r="AB272" s="403"/>
      <c r="AC272" s="403" t="s">
        <v>7424</v>
      </c>
      <c r="AD272" s="403"/>
      <c r="AE272" s="403"/>
      <c r="AF272" s="403"/>
      <c r="AG272" s="403"/>
      <c r="AH272" s="403"/>
      <c r="AI272" s="403"/>
      <c r="AJ272" s="403"/>
      <c r="AK272" s="403"/>
      <c r="AL272" s="403"/>
      <c r="AM272" s="403"/>
      <c r="AN272" s="403"/>
      <c r="AO272" s="403" t="s">
        <v>7425</v>
      </c>
      <c r="AP272" s="403"/>
      <c r="AQ272" s="403"/>
      <c r="AR272" s="403"/>
      <c r="AS272" s="403"/>
      <c r="AT272" s="403"/>
      <c r="AU272" s="403"/>
      <c r="AV272" s="403"/>
      <c r="AW272" s="403"/>
      <c r="AX272" s="403"/>
      <c r="AY272" s="403"/>
      <c r="AZ272" s="403"/>
      <c r="BA272" s="403" t="s">
        <v>7490</v>
      </c>
      <c r="BB272" s="403"/>
      <c r="BC272" s="403"/>
      <c r="BD272" s="403"/>
      <c r="BE272" s="403"/>
      <c r="BF272" s="403"/>
      <c r="BG272" s="403"/>
      <c r="BH272" s="403"/>
      <c r="BI272" s="403"/>
      <c r="BJ272" s="403"/>
      <c r="BK272" s="403"/>
      <c r="BL272" s="403"/>
      <c r="BM272" s="403" t="s">
        <v>7491</v>
      </c>
      <c r="BN272" s="403"/>
      <c r="BO272" s="403"/>
      <c r="BP272" s="403"/>
      <c r="BQ272" s="403"/>
      <c r="BR272" s="403"/>
      <c r="BS272" s="403"/>
      <c r="BT272" s="403"/>
      <c r="BU272" s="403"/>
      <c r="BV272" s="403"/>
      <c r="BW272" s="403"/>
      <c r="BX272" s="403"/>
      <c r="BY272" s="403" t="s">
        <v>7428</v>
      </c>
      <c r="BZ272" s="403"/>
      <c r="CA272" s="403"/>
      <c r="CB272" s="403"/>
      <c r="CC272" s="403"/>
      <c r="CD272" s="403"/>
      <c r="CE272" s="403"/>
      <c r="CF272" s="403"/>
      <c r="CG272" s="403"/>
      <c r="CH272" s="403"/>
      <c r="CI272" s="403"/>
      <c r="CJ272" s="403"/>
      <c r="CK272" s="403" t="s">
        <v>7429</v>
      </c>
      <c r="CL272" s="403"/>
      <c r="CM272" s="403"/>
      <c r="CN272" s="403"/>
      <c r="CO272" s="403"/>
      <c r="CP272" s="403"/>
      <c r="CQ272" s="403"/>
      <c r="CR272" s="403"/>
      <c r="CS272" s="564"/>
    </row>
    <row r="273" spans="1:97" s="15" customFormat="1" ht="12.75" hidden="1" x14ac:dyDescent="0.2">
      <c r="B273" s="662" t="s">
        <v>14287</v>
      </c>
      <c r="C273" s="622"/>
      <c r="L273" s="567"/>
      <c r="M273" s="403"/>
      <c r="N273" s="403"/>
      <c r="O273" s="403"/>
      <c r="P273" s="403"/>
      <c r="Q273" s="403"/>
      <c r="R273" s="403"/>
      <c r="S273" s="403"/>
      <c r="T273" s="403"/>
      <c r="U273" s="403"/>
      <c r="V273" s="403"/>
      <c r="W273" s="403"/>
      <c r="X273" s="403" t="s">
        <v>197</v>
      </c>
      <c r="Y273" s="403"/>
      <c r="Z273" s="403"/>
      <c r="AA273" s="403"/>
      <c r="AB273" s="403"/>
      <c r="AC273" s="403"/>
      <c r="AD273" s="403"/>
      <c r="AE273" s="403"/>
      <c r="AF273" s="403"/>
      <c r="AG273" s="403"/>
      <c r="AH273" s="403"/>
      <c r="AI273" s="403"/>
      <c r="AJ273" s="403"/>
      <c r="AK273" s="403"/>
      <c r="AL273" s="403"/>
      <c r="AM273" s="403"/>
      <c r="AN273" s="403"/>
      <c r="AO273" s="403"/>
      <c r="AP273" s="403"/>
      <c r="AQ273" s="403"/>
      <c r="AR273" s="403"/>
      <c r="AS273" s="403"/>
      <c r="AT273" s="403"/>
      <c r="AU273" s="403"/>
      <c r="AV273" s="403"/>
      <c r="AW273" s="403"/>
      <c r="AX273" s="403"/>
      <c r="AY273" s="403"/>
      <c r="AZ273" s="403"/>
      <c r="BA273" s="403"/>
      <c r="BB273" s="403"/>
      <c r="BC273" s="403"/>
      <c r="BD273" s="403"/>
      <c r="BE273" s="403"/>
      <c r="BF273" s="403"/>
      <c r="BG273" s="403"/>
      <c r="BH273" s="403"/>
      <c r="BI273" s="403"/>
      <c r="BJ273" s="403"/>
      <c r="BK273" s="403"/>
      <c r="BL273" s="403"/>
      <c r="BM273" s="403"/>
      <c r="BN273" s="403"/>
      <c r="BO273" s="403"/>
      <c r="BP273" s="403"/>
      <c r="BQ273" s="403"/>
      <c r="BR273" s="403"/>
      <c r="BS273" s="403"/>
      <c r="BT273" s="403"/>
      <c r="BU273" s="403"/>
      <c r="BV273" s="403"/>
      <c r="BW273" s="403"/>
      <c r="BX273" s="403"/>
      <c r="BY273" s="403"/>
      <c r="BZ273" s="403"/>
      <c r="CA273" s="403"/>
      <c r="CB273" s="403"/>
      <c r="CC273" s="403"/>
      <c r="CD273" s="403"/>
      <c r="CE273" s="403"/>
      <c r="CF273" s="403"/>
      <c r="CG273" s="403"/>
      <c r="CH273" s="403"/>
      <c r="CI273" s="403"/>
      <c r="CJ273" s="403"/>
      <c r="CK273" s="403"/>
      <c r="CL273" s="403"/>
      <c r="CM273" s="403"/>
      <c r="CN273" s="403"/>
      <c r="CO273" s="403"/>
      <c r="CP273" s="403"/>
      <c r="CQ273" s="403"/>
      <c r="CR273" s="403"/>
      <c r="CS273" s="564"/>
    </row>
    <row r="274" spans="1:97" s="299" customFormat="1" ht="17.25" x14ac:dyDescent="0.3">
      <c r="B274" s="17" t="str">
        <f t="shared" ref="B274:C276" ca="1" si="160">IF(OFFSET(O274,0,Lang_Order*Lang__A2)="","",OFFSET(O274,0,Lang_Order*Lang__A2))</f>
        <v>A2.6 Vaccine Supply</v>
      </c>
      <c r="C274" s="623"/>
      <c r="D274" s="17"/>
      <c r="E274" s="326" t="str">
        <f t="shared" ref="E274" ca="1" si="161">IF(OFFSET(R274,0,Lang_Order*Lang__A2)="","",OFFSET(R274,0,Lang_Order*Lang__A2))</f>
        <v>INPUTS</v>
      </c>
      <c r="F274" s="326" t="str">
        <f t="shared" ref="F274" ca="1" si="162">IF(OFFSET(S274,0,Lang_Order*Lang__A2)="","",OFFSET(S274,0,Lang_Order*Lang__A2))</f>
        <v>Suggestion</v>
      </c>
      <c r="G274" s="326"/>
      <c r="H274" s="326" t="str">
        <f t="shared" ref="H274" ca="1" si="163">IF(OFFSET(U274,0,Lang_Order*Lang__A2)="","",OFFSET(U274,0,Lang_Order*Lang__A2))</f>
        <v>Derived</v>
      </c>
      <c r="I274" s="326" t="str">
        <f t="shared" ref="I274" ca="1" si="164">IF(OFFSET(V274,0,Lang_Order*Lang__A2)="","",OFFSET(V274,0,Lang_Order*Lang__A2))</f>
        <v>Unit / Comment</v>
      </c>
      <c r="J274" s="326"/>
      <c r="K274" s="326" t="str">
        <f t="shared" ref="K274" ca="1" si="165">IF(OFFSET(X274,0,Lang_Order*Lang__A2)="","",OFFSET(X274,0,Lang_Order*Lang__A2))</f>
        <v>Comments</v>
      </c>
      <c r="L274" s="326" t="str">
        <f t="shared" ref="L274" ca="1" si="166">IF(OFFSET(Y274,0,Lang_Order*Lang__A2)="","",OFFSET(Y274,0,Lang_Order*Lang__A2))</f>
        <v>User Notes</v>
      </c>
      <c r="M274" s="403"/>
      <c r="N274" s="403"/>
      <c r="O274" s="403" t="s">
        <v>4237</v>
      </c>
      <c r="P274" s="403"/>
      <c r="Q274" s="403"/>
      <c r="R274" s="403" t="s">
        <v>3744</v>
      </c>
      <c r="S274" s="403" t="s">
        <v>1638</v>
      </c>
      <c r="T274" s="403"/>
      <c r="U274" s="403" t="s">
        <v>17</v>
      </c>
      <c r="V274" s="403" t="s">
        <v>2870</v>
      </c>
      <c r="W274" s="403"/>
      <c r="X274" s="403" t="s">
        <v>13980</v>
      </c>
      <c r="Y274" s="403" t="s">
        <v>13981</v>
      </c>
      <c r="Z274" s="403"/>
      <c r="AA274" s="403" t="s">
        <v>7492</v>
      </c>
      <c r="AB274" s="403"/>
      <c r="AC274" s="403"/>
      <c r="AD274" s="403" t="s">
        <v>5848</v>
      </c>
      <c r="AE274" s="403" t="s">
        <v>1638</v>
      </c>
      <c r="AF274" s="403"/>
      <c r="AG274" s="403" t="s">
        <v>5849</v>
      </c>
      <c r="AH274" s="403" t="s">
        <v>5850</v>
      </c>
      <c r="AI274" s="403"/>
      <c r="AJ274" s="403" t="s">
        <v>14071</v>
      </c>
      <c r="AK274" s="403" t="s">
        <v>14076</v>
      </c>
      <c r="AL274" s="403"/>
      <c r="AM274" s="403" t="s">
        <v>7493</v>
      </c>
      <c r="AN274" s="403"/>
      <c r="AO274" s="403"/>
      <c r="AP274" s="403" t="s">
        <v>5852</v>
      </c>
      <c r="AQ274" s="403" t="s">
        <v>5853</v>
      </c>
      <c r="AR274" s="403"/>
      <c r="AS274" s="403" t="s">
        <v>6034</v>
      </c>
      <c r="AT274" s="403" t="s">
        <v>6740</v>
      </c>
      <c r="AU274" s="403"/>
      <c r="AV274" s="403" t="s">
        <v>14072</v>
      </c>
      <c r="AW274" s="403" t="s">
        <v>14077</v>
      </c>
      <c r="AX274" s="403"/>
      <c r="AY274" s="403" t="s">
        <v>7494</v>
      </c>
      <c r="AZ274" s="403"/>
      <c r="BA274" s="403"/>
      <c r="BB274" s="403" t="s">
        <v>5857</v>
      </c>
      <c r="BC274" s="403" t="s">
        <v>6037</v>
      </c>
      <c r="BD274" s="403"/>
      <c r="BE274" s="403" t="s">
        <v>5859</v>
      </c>
      <c r="BF274" s="403" t="s">
        <v>7495</v>
      </c>
      <c r="BG274" s="403"/>
      <c r="BH274" s="403" t="s">
        <v>14073</v>
      </c>
      <c r="BI274" s="403" t="s">
        <v>14078</v>
      </c>
      <c r="BJ274" s="403"/>
      <c r="BK274" s="403" t="s">
        <v>7496</v>
      </c>
      <c r="BL274" s="403"/>
      <c r="BM274" s="403"/>
      <c r="BN274" s="403" t="s">
        <v>5862</v>
      </c>
      <c r="BO274" s="403" t="s">
        <v>5863</v>
      </c>
      <c r="BP274" s="403"/>
      <c r="BQ274" s="403" t="s">
        <v>5864</v>
      </c>
      <c r="BR274" s="403" t="s">
        <v>5865</v>
      </c>
      <c r="BS274" s="403"/>
      <c r="BT274" s="403" t="s">
        <v>14074</v>
      </c>
      <c r="BU274" s="403" t="s">
        <v>14079</v>
      </c>
      <c r="BV274" s="403"/>
      <c r="BW274" s="403" t="s">
        <v>7497</v>
      </c>
      <c r="BX274" s="403"/>
      <c r="BY274" s="403"/>
      <c r="BZ274" s="403" t="s">
        <v>5867</v>
      </c>
      <c r="CA274" s="403" t="s">
        <v>5868</v>
      </c>
      <c r="CB274" s="403"/>
      <c r="CC274" s="403" t="s">
        <v>6040</v>
      </c>
      <c r="CD274" s="403" t="s">
        <v>6041</v>
      </c>
      <c r="CE274" s="403"/>
      <c r="CF274" s="403" t="s">
        <v>14075</v>
      </c>
      <c r="CG274" s="403" t="s">
        <v>14080</v>
      </c>
      <c r="CH274" s="403"/>
      <c r="CI274" s="403" t="s">
        <v>7498</v>
      </c>
      <c r="CJ274" s="403"/>
      <c r="CK274" s="403"/>
      <c r="CL274" s="403" t="s">
        <v>5873</v>
      </c>
      <c r="CM274" s="403" t="s">
        <v>5874</v>
      </c>
      <c r="CN274" s="403"/>
      <c r="CO274" s="403" t="s">
        <v>5875</v>
      </c>
      <c r="CP274" s="403" t="s">
        <v>5876</v>
      </c>
      <c r="CQ274" s="403"/>
      <c r="CR274" s="403" t="s">
        <v>5455</v>
      </c>
      <c r="CS274" s="564" t="s">
        <v>14081</v>
      </c>
    </row>
    <row r="275" spans="1:97" s="299" customFormat="1" ht="12.75" x14ac:dyDescent="0.2">
      <c r="C275" s="622"/>
      <c r="L275" s="567"/>
      <c r="M275" s="403"/>
      <c r="N275" s="403"/>
      <c r="O275" s="403"/>
      <c r="P275" s="403"/>
      <c r="Q275" s="403"/>
      <c r="R275" s="403"/>
      <c r="S275" s="403"/>
      <c r="T275" s="403"/>
      <c r="U275" s="403"/>
      <c r="V275" s="403"/>
      <c r="W275" s="403"/>
      <c r="X275" s="403"/>
      <c r="Y275" s="403"/>
      <c r="Z275" s="403"/>
      <c r="AA275" s="403"/>
      <c r="AB275" s="403"/>
      <c r="AC275" s="403"/>
      <c r="AD275" s="403"/>
      <c r="AE275" s="403"/>
      <c r="AF275" s="403"/>
      <c r="AG275" s="403"/>
      <c r="AH275" s="403"/>
      <c r="AI275" s="403"/>
      <c r="AJ275" s="403"/>
      <c r="AK275" s="403"/>
      <c r="AL275" s="403"/>
      <c r="AM275" s="403"/>
      <c r="AN275" s="403"/>
      <c r="AO275" s="403"/>
      <c r="AP275" s="403"/>
      <c r="AQ275" s="403"/>
      <c r="AR275" s="403"/>
      <c r="AS275" s="403"/>
      <c r="AT275" s="403"/>
      <c r="AU275" s="403"/>
      <c r="AV275" s="403"/>
      <c r="AW275" s="403"/>
      <c r="AX275" s="403"/>
      <c r="AY275" s="403"/>
      <c r="AZ275" s="403"/>
      <c r="BA275" s="403"/>
      <c r="BB275" s="403"/>
      <c r="BC275" s="403"/>
      <c r="BD275" s="403"/>
      <c r="BE275" s="403"/>
      <c r="BF275" s="403"/>
      <c r="BG275" s="403"/>
      <c r="BH275" s="403"/>
      <c r="BI275" s="403"/>
      <c r="BJ275" s="403"/>
      <c r="BK275" s="403"/>
      <c r="BL275" s="403"/>
      <c r="BM275" s="403"/>
      <c r="BN275" s="403"/>
      <c r="BO275" s="403"/>
      <c r="BP275" s="403"/>
      <c r="BQ275" s="403"/>
      <c r="BR275" s="403"/>
      <c r="BS275" s="403"/>
      <c r="BT275" s="403"/>
      <c r="BU275" s="403"/>
      <c r="BV275" s="403"/>
      <c r="BW275" s="403"/>
      <c r="BX275" s="403"/>
      <c r="BY275" s="403"/>
      <c r="BZ275" s="403"/>
      <c r="CA275" s="403"/>
      <c r="CB275" s="403"/>
      <c r="CC275" s="403"/>
      <c r="CD275" s="403"/>
      <c r="CE275" s="403"/>
      <c r="CF275" s="403"/>
      <c r="CG275" s="403"/>
      <c r="CH275" s="403"/>
      <c r="CI275" s="403"/>
      <c r="CJ275" s="403"/>
      <c r="CK275" s="403"/>
      <c r="CL275" s="403"/>
      <c r="CM275" s="403"/>
      <c r="CN275" s="403"/>
      <c r="CO275" s="403"/>
      <c r="CP275" s="403"/>
      <c r="CQ275" s="403"/>
      <c r="CR275" s="403"/>
      <c r="CS275" s="564"/>
    </row>
    <row r="276" spans="1:97" s="299" customFormat="1" x14ac:dyDescent="0.25">
      <c r="C276" s="33" t="str">
        <f t="shared" ca="1" si="160"/>
        <v>A2.6.1 Covax Vaccine Supply for 2021 only</v>
      </c>
      <c r="D276" s="8"/>
      <c r="E276" s="8"/>
      <c r="F276" s="8"/>
      <c r="G276" s="8"/>
      <c r="H276" s="8"/>
      <c r="I276" s="8"/>
      <c r="J276" s="8"/>
      <c r="K276" s="8"/>
      <c r="L276" s="8"/>
      <c r="M276" s="403"/>
      <c r="N276" s="403"/>
      <c r="O276" s="403"/>
      <c r="P276" s="403" t="s">
        <v>4362</v>
      </c>
      <c r="Q276" s="403"/>
      <c r="R276" s="403"/>
      <c r="S276" s="403"/>
      <c r="T276" s="403"/>
      <c r="U276" s="403"/>
      <c r="V276" s="403"/>
      <c r="W276" s="403"/>
      <c r="X276" s="403"/>
      <c r="Y276" s="403"/>
      <c r="Z276" s="403"/>
      <c r="AA276" s="403"/>
      <c r="AB276" s="403" t="s">
        <v>7499</v>
      </c>
      <c r="AC276" s="403"/>
      <c r="AD276" s="403"/>
      <c r="AE276" s="403"/>
      <c r="AF276" s="403"/>
      <c r="AG276" s="403"/>
      <c r="AH276" s="403"/>
      <c r="AI276" s="403"/>
      <c r="AJ276" s="403"/>
      <c r="AK276" s="403"/>
      <c r="AL276" s="403"/>
      <c r="AM276" s="403"/>
      <c r="AN276" s="403" t="s">
        <v>7500</v>
      </c>
      <c r="AO276" s="403"/>
      <c r="AP276" s="403"/>
      <c r="AQ276" s="403"/>
      <c r="AR276" s="403"/>
      <c r="AS276" s="403"/>
      <c r="AT276" s="403"/>
      <c r="AU276" s="403"/>
      <c r="AV276" s="403"/>
      <c r="AW276" s="403"/>
      <c r="AX276" s="403"/>
      <c r="AY276" s="403"/>
      <c r="AZ276" s="403" t="s">
        <v>7501</v>
      </c>
      <c r="BA276" s="403"/>
      <c r="BB276" s="403"/>
      <c r="BC276" s="403"/>
      <c r="BD276" s="403"/>
      <c r="BE276" s="403"/>
      <c r="BF276" s="403"/>
      <c r="BG276" s="403"/>
      <c r="BH276" s="403"/>
      <c r="BI276" s="403"/>
      <c r="BJ276" s="403"/>
      <c r="BK276" s="403"/>
      <c r="BL276" s="403" t="s">
        <v>7502</v>
      </c>
      <c r="BM276" s="403"/>
      <c r="BN276" s="403"/>
      <c r="BO276" s="403"/>
      <c r="BP276" s="403"/>
      <c r="BQ276" s="403"/>
      <c r="BR276" s="403"/>
      <c r="BS276" s="403"/>
      <c r="BT276" s="403"/>
      <c r="BU276" s="403"/>
      <c r="BV276" s="403"/>
      <c r="BW276" s="403"/>
      <c r="BX276" s="403" t="s">
        <v>7503</v>
      </c>
      <c r="BY276" s="403"/>
      <c r="BZ276" s="403"/>
      <c r="CA276" s="403"/>
      <c r="CB276" s="403"/>
      <c r="CC276" s="403"/>
      <c r="CD276" s="403"/>
      <c r="CE276" s="403"/>
      <c r="CF276" s="403"/>
      <c r="CG276" s="403"/>
      <c r="CH276" s="403"/>
      <c r="CI276" s="403"/>
      <c r="CJ276" s="403" t="s">
        <v>7504</v>
      </c>
      <c r="CK276" s="403"/>
      <c r="CL276" s="403"/>
      <c r="CM276" s="403"/>
      <c r="CN276" s="403"/>
      <c r="CO276" s="403"/>
      <c r="CP276" s="403"/>
      <c r="CQ276" s="403"/>
      <c r="CR276" s="403"/>
      <c r="CS276" s="564"/>
    </row>
    <row r="277" spans="1:97" s="15" customFormat="1" ht="12.75" x14ac:dyDescent="0.2">
      <c r="A277" s="9"/>
      <c r="B277" s="429"/>
      <c r="C277" s="624" t="str">
        <f t="shared" ref="C277" ca="1" si="167">IF(OFFSET(P277,0,Lang_Order*Lang__A2)="","",OFFSET(P277,0,Lang_Order*Lang__A2))</f>
        <v>COVAX Participation Status</v>
      </c>
      <c r="D277" s="23"/>
      <c r="E277" s="122"/>
      <c r="F277" s="122"/>
      <c r="L277" s="567"/>
      <c r="M277" s="403"/>
      <c r="N277" s="403"/>
      <c r="O277" s="403"/>
      <c r="P277" s="403" t="s">
        <v>1707</v>
      </c>
      <c r="Q277" s="403"/>
      <c r="R277" s="403"/>
      <c r="S277" s="403"/>
      <c r="T277" s="403"/>
      <c r="U277" s="403"/>
      <c r="V277" s="403"/>
      <c r="W277" s="403"/>
      <c r="X277" s="403" t="s">
        <v>197</v>
      </c>
      <c r="Y277" s="403"/>
      <c r="Z277" s="403"/>
      <c r="AA277" s="403"/>
      <c r="AB277" s="403" t="s">
        <v>7505</v>
      </c>
      <c r="AC277" s="403"/>
      <c r="AD277" s="403"/>
      <c r="AE277" s="403"/>
      <c r="AF277" s="403"/>
      <c r="AG277" s="403"/>
      <c r="AH277" s="403"/>
      <c r="AI277" s="403"/>
      <c r="AJ277" s="403"/>
      <c r="AK277" s="403"/>
      <c r="AL277" s="403"/>
      <c r="AM277" s="403"/>
      <c r="AN277" s="403" t="s">
        <v>7506</v>
      </c>
      <c r="AO277" s="403"/>
      <c r="AP277" s="403"/>
      <c r="AQ277" s="403"/>
      <c r="AR277" s="403"/>
      <c r="AS277" s="403"/>
      <c r="AT277" s="403"/>
      <c r="AU277" s="403"/>
      <c r="AV277" s="403"/>
      <c r="AW277" s="403"/>
      <c r="AX277" s="403"/>
      <c r="AY277" s="403"/>
      <c r="AZ277" s="403" t="s">
        <v>7507</v>
      </c>
      <c r="BA277" s="403"/>
      <c r="BB277" s="403"/>
      <c r="BC277" s="403"/>
      <c r="BD277" s="403"/>
      <c r="BE277" s="403"/>
      <c r="BF277" s="403"/>
      <c r="BG277" s="403"/>
      <c r="BH277" s="403"/>
      <c r="BI277" s="403"/>
      <c r="BJ277" s="403"/>
      <c r="BK277" s="403"/>
      <c r="BL277" s="403" t="s">
        <v>7508</v>
      </c>
      <c r="BM277" s="403"/>
      <c r="BN277" s="403"/>
      <c r="BO277" s="403"/>
      <c r="BP277" s="403"/>
      <c r="BQ277" s="403"/>
      <c r="BR277" s="403"/>
      <c r="BS277" s="403"/>
      <c r="BT277" s="403"/>
      <c r="BU277" s="403"/>
      <c r="BV277" s="403"/>
      <c r="BW277" s="403"/>
      <c r="BX277" s="403" t="s">
        <v>7509</v>
      </c>
      <c r="BY277" s="403"/>
      <c r="BZ277" s="403"/>
      <c r="CA277" s="403"/>
      <c r="CB277" s="403"/>
      <c r="CC277" s="403"/>
      <c r="CD277" s="403"/>
      <c r="CE277" s="403"/>
      <c r="CF277" s="403"/>
      <c r="CG277" s="403"/>
      <c r="CH277" s="403"/>
      <c r="CI277" s="403"/>
      <c r="CJ277" s="403" t="s">
        <v>7510</v>
      </c>
      <c r="CK277" s="403"/>
      <c r="CL277" s="403"/>
      <c r="CM277" s="403"/>
      <c r="CN277" s="403"/>
      <c r="CO277" s="403"/>
      <c r="CP277" s="403"/>
      <c r="CQ277" s="403"/>
      <c r="CR277" s="403"/>
      <c r="CS277" s="564"/>
    </row>
    <row r="278" spans="1:97" ht="12.75" x14ac:dyDescent="0.2">
      <c r="B278" s="429"/>
      <c r="C278" s="627"/>
      <c r="D278" s="23" t="str">
        <f t="shared" ref="D278:D290" ca="1" si="168">IF(OFFSET(Q278,0,Lang_Order*Lang__A2)="","",OFFSET(Q278,0,Lang_Order*Lang__A2))</f>
        <v>GAVI 56 Status</v>
      </c>
      <c r="E278" s="122"/>
      <c r="F278" s="122"/>
      <c r="G278" s="194"/>
      <c r="H278" s="667"/>
      <c r="J278" s="3">
        <v>3</v>
      </c>
      <c r="K278" s="143" t="str">
        <f t="shared" ref="I278:K337" ca="1" si="169">IF(OFFSET(X278,0,Lang_Order*Lang__A2)="","",OFFSET(X278,0,Lang_Order*Lang__A2))</f>
        <v>1 = Yes</v>
      </c>
      <c r="L278" s="567"/>
      <c r="Q278" s="403" t="s">
        <v>20</v>
      </c>
      <c r="X278" s="403" t="s">
        <v>2871</v>
      </c>
      <c r="AC278" s="403" t="s">
        <v>7511</v>
      </c>
      <c r="AJ278" s="403" t="s">
        <v>5938</v>
      </c>
      <c r="AO278" s="403" t="s">
        <v>7512</v>
      </c>
      <c r="AV278" s="403" t="s">
        <v>7513</v>
      </c>
      <c r="BA278" s="403" t="s">
        <v>7514</v>
      </c>
      <c r="BH278" s="403" t="s">
        <v>5942</v>
      </c>
      <c r="BM278" s="403" t="s">
        <v>7515</v>
      </c>
      <c r="BT278" s="403" t="s">
        <v>5944</v>
      </c>
      <c r="BY278" s="403" t="s">
        <v>7516</v>
      </c>
      <c r="CF278" s="403" t="s">
        <v>7517</v>
      </c>
      <c r="CK278" s="403" t="s">
        <v>7518</v>
      </c>
      <c r="CR278" s="403" t="s">
        <v>5948</v>
      </c>
    </row>
    <row r="279" spans="1:97" ht="12.75" x14ac:dyDescent="0.2">
      <c r="A279" s="349">
        <v>1</v>
      </c>
      <c r="B279" s="429"/>
      <c r="C279" s="627"/>
      <c r="D279" s="23" t="str">
        <f t="shared" ca="1" si="168"/>
        <v>Advance Market Commitment (AMC) country?</v>
      </c>
      <c r="E279" s="299"/>
      <c r="F279" s="122"/>
      <c r="G279" s="194"/>
      <c r="H279" s="35"/>
      <c r="J279" s="3">
        <v>2</v>
      </c>
      <c r="K279" s="143" t="str">
        <f t="shared" ca="1" si="169"/>
        <v>1 = Yes</v>
      </c>
      <c r="L279" s="567"/>
      <c r="Q279" s="403" t="s">
        <v>1709</v>
      </c>
      <c r="X279" s="403" t="s">
        <v>2871</v>
      </c>
      <c r="AC279" s="403" t="s">
        <v>7519</v>
      </c>
      <c r="AJ279" s="403" t="s">
        <v>5938</v>
      </c>
      <c r="AO279" s="403" t="s">
        <v>7520</v>
      </c>
      <c r="AV279" s="403" t="s">
        <v>5940</v>
      </c>
      <c r="BA279" s="403" t="s">
        <v>7521</v>
      </c>
      <c r="BH279" s="403" t="s">
        <v>5942</v>
      </c>
      <c r="BM279" s="403" t="s">
        <v>7522</v>
      </c>
      <c r="BT279" s="403" t="s">
        <v>5944</v>
      </c>
      <c r="BY279" s="403" t="s">
        <v>7523</v>
      </c>
      <c r="CF279" s="403" t="s">
        <v>5946</v>
      </c>
      <c r="CK279" s="403" t="s">
        <v>7524</v>
      </c>
      <c r="CR279" s="403" t="s">
        <v>5948</v>
      </c>
    </row>
    <row r="280" spans="1:97" ht="12.75" x14ac:dyDescent="0.2">
      <c r="A280" s="349">
        <v>1</v>
      </c>
      <c r="B280" s="429"/>
      <c r="C280" s="627"/>
      <c r="D280" s="335" t="str">
        <f t="shared" ca="1" si="168"/>
        <v>If not AMC, Committed or Optional Purchase Agreement?</v>
      </c>
      <c r="E280" s="35" t="s">
        <v>1566</v>
      </c>
      <c r="G280" s="4" t="str">
        <f>IF(AND(ISBLANK(E280),AMC_Status=0),Lang_CHECK,"OK")</f>
        <v>OK</v>
      </c>
      <c r="H280" s="3" t="str">
        <f>IF(AMC_Status=Lang_Yes,"AMC",E280)</f>
        <v>Committed</v>
      </c>
      <c r="J280" s="208">
        <f>IF(H280=Lang_NonCovaxParticipant,0,1)</f>
        <v>1</v>
      </c>
      <c r="K280" s="608" t="str">
        <f t="shared" ca="1" si="169"/>
        <v>Options: Committed | Optional | Non-participant; Ignored if AMC</v>
      </c>
      <c r="L280" s="587"/>
      <c r="Q280" s="403" t="s">
        <v>1708</v>
      </c>
      <c r="X280" s="403" t="s">
        <v>4107</v>
      </c>
      <c r="AC280" s="403" t="s">
        <v>7525</v>
      </c>
      <c r="AJ280" s="403" t="s">
        <v>7526</v>
      </c>
      <c r="AO280" s="403" t="s">
        <v>7527</v>
      </c>
      <c r="AV280" s="403" t="s">
        <v>7528</v>
      </c>
      <c r="BA280" s="403" t="s">
        <v>7529</v>
      </c>
      <c r="BH280" s="403" t="s">
        <v>7530</v>
      </c>
      <c r="BM280" s="403" t="s">
        <v>7531</v>
      </c>
      <c r="BT280" s="403" t="s">
        <v>7532</v>
      </c>
      <c r="BY280" s="403" t="s">
        <v>7533</v>
      </c>
      <c r="CF280" s="403" t="s">
        <v>7534</v>
      </c>
      <c r="CK280" s="403" t="s">
        <v>7535</v>
      </c>
      <c r="CR280" s="403" t="s">
        <v>7536</v>
      </c>
    </row>
    <row r="281" spans="1:97" s="518" customFormat="1" ht="12.75" x14ac:dyDescent="0.2">
      <c r="C281" s="622"/>
      <c r="K281" s="68" t="str">
        <f t="shared" ca="1" si="169"/>
        <v/>
      </c>
      <c r="L281" s="567"/>
      <c r="Q281" s="564"/>
      <c r="R281" s="564"/>
      <c r="S281" s="564"/>
      <c r="T281" s="564"/>
      <c r="U281" s="564"/>
      <c r="V281" s="564"/>
      <c r="W281" s="564" t="s">
        <v>4236</v>
      </c>
      <c r="X281" s="564"/>
      <c r="Y281" s="564"/>
      <c r="Z281" s="564"/>
      <c r="AA281" s="564"/>
      <c r="AB281" s="564"/>
      <c r="AC281" s="564"/>
      <c r="AD281" s="564"/>
      <c r="AE281" s="564"/>
      <c r="AF281" s="564"/>
      <c r="AG281" s="564"/>
      <c r="AH281" s="564"/>
      <c r="AI281" s="564" t="s">
        <v>7537</v>
      </c>
      <c r="AJ281" s="564"/>
      <c r="AK281" s="564"/>
      <c r="AL281" s="564"/>
      <c r="AM281" s="564"/>
      <c r="AN281" s="564"/>
      <c r="AO281" s="564"/>
      <c r="AP281" s="564"/>
      <c r="AQ281" s="564"/>
      <c r="AR281" s="564"/>
      <c r="AS281" s="564"/>
      <c r="AT281" s="564"/>
      <c r="AU281" s="564" t="s">
        <v>7538</v>
      </c>
      <c r="AV281" s="564"/>
      <c r="AW281" s="564"/>
      <c r="AX281" s="564"/>
      <c r="AY281" s="564"/>
      <c r="AZ281" s="564"/>
      <c r="BA281" s="564"/>
      <c r="BB281" s="564"/>
      <c r="BC281" s="564"/>
      <c r="BD281" s="564"/>
      <c r="BE281" s="564"/>
      <c r="BF281" s="564"/>
      <c r="BG281" s="564" t="s">
        <v>7539</v>
      </c>
      <c r="BH281" s="564"/>
      <c r="BI281" s="564"/>
      <c r="BJ281" s="564"/>
      <c r="BK281" s="564"/>
      <c r="BL281" s="564"/>
      <c r="BM281" s="564"/>
      <c r="BN281" s="564"/>
      <c r="BO281" s="564"/>
      <c r="BP281" s="564"/>
      <c r="BQ281" s="564"/>
      <c r="BR281" s="564"/>
      <c r="BS281" s="564" t="s">
        <v>7540</v>
      </c>
      <c r="BT281" s="564"/>
      <c r="BU281" s="564"/>
      <c r="BV281" s="564"/>
      <c r="BW281" s="564"/>
      <c r="BX281" s="564"/>
      <c r="BY281" s="564"/>
      <c r="BZ281" s="564"/>
      <c r="CA281" s="564"/>
      <c r="CB281" s="564"/>
      <c r="CC281" s="564"/>
      <c r="CD281" s="564"/>
      <c r="CE281" s="564" t="s">
        <v>7541</v>
      </c>
      <c r="CF281" s="564"/>
      <c r="CG281" s="564"/>
      <c r="CH281" s="564"/>
      <c r="CI281" s="564"/>
      <c r="CJ281" s="564"/>
      <c r="CK281" s="564"/>
      <c r="CQ281" s="518" t="s">
        <v>7542</v>
      </c>
      <c r="CS281" s="564"/>
    </row>
    <row r="282" spans="1:97" ht="12.75" hidden="1" x14ac:dyDescent="0.2">
      <c r="B282" s="346" t="s">
        <v>14117</v>
      </c>
      <c r="C282" s="627"/>
      <c r="D282" s="518"/>
      <c r="E282" s="518"/>
      <c r="F282" s="518"/>
      <c r="G282" s="518"/>
      <c r="H282" s="57">
        <f>SUM(H287:H288)</f>
        <v>0.2</v>
      </c>
      <c r="I282" s="2" t="str">
        <f t="shared" ref="I282:I290" ca="1" si="170">IF(OFFSET(V282,0,Lang_Order*Lang__A2)="","",OFFSET(V282,0,Lang_Order*Lang__A2))</f>
        <v>Percent of total population in 2020</v>
      </c>
      <c r="J282" s="527"/>
      <c r="K282" s="143" t="str">
        <f t="shared" ca="1" si="169"/>
        <v>Options: Self-financing: 10 - 50%; AMC 3 - 20%</v>
      </c>
      <c r="L282" s="567"/>
      <c r="Q282" s="564" t="s">
        <v>4235</v>
      </c>
      <c r="R282" s="564"/>
      <c r="S282" s="564"/>
      <c r="T282" s="564"/>
      <c r="U282" s="564"/>
      <c r="V282" s="564" t="s">
        <v>4261</v>
      </c>
      <c r="W282" s="564"/>
      <c r="X282" s="564" t="s">
        <v>4376</v>
      </c>
      <c r="Y282" s="564"/>
      <c r="Z282" s="564"/>
      <c r="AA282" s="564"/>
      <c r="AB282" s="564"/>
      <c r="AC282" s="564" t="s">
        <v>7543</v>
      </c>
      <c r="AD282" s="564"/>
      <c r="AE282" s="564"/>
      <c r="AF282" s="564"/>
      <c r="AG282" s="564"/>
      <c r="AH282" s="564" t="s">
        <v>7544</v>
      </c>
      <c r="AI282" s="564"/>
      <c r="AJ282" s="564" t="s">
        <v>7545</v>
      </c>
      <c r="AK282" s="564"/>
      <c r="AL282" s="564"/>
      <c r="AM282" s="564"/>
      <c r="AN282" s="564"/>
      <c r="AO282" s="564" t="s">
        <v>7546</v>
      </c>
      <c r="AP282" s="564"/>
      <c r="AQ282" s="564"/>
      <c r="AR282" s="564"/>
      <c r="AS282" s="564"/>
      <c r="AT282" s="564" t="s">
        <v>7547</v>
      </c>
      <c r="AU282" s="564"/>
      <c r="AV282" s="564" t="s">
        <v>7548</v>
      </c>
      <c r="AW282" s="564"/>
      <c r="AX282" s="564"/>
      <c r="AY282" s="564"/>
      <c r="AZ282" s="564"/>
      <c r="BA282" s="564" t="s">
        <v>7549</v>
      </c>
      <c r="BB282" s="564"/>
      <c r="BC282" s="564"/>
      <c r="BD282" s="564"/>
      <c r="BE282" s="564"/>
      <c r="BF282" s="564" t="s">
        <v>7550</v>
      </c>
      <c r="BG282" s="564"/>
      <c r="BH282" s="564" t="s">
        <v>7551</v>
      </c>
      <c r="BI282" s="564"/>
      <c r="BJ282" s="564"/>
      <c r="BK282" s="564"/>
      <c r="BL282" s="564"/>
      <c r="BM282" s="564" t="s">
        <v>7552</v>
      </c>
      <c r="BN282" s="564"/>
      <c r="BO282" s="564"/>
      <c r="BP282" s="564"/>
      <c r="BQ282" s="564"/>
      <c r="BR282" s="564" t="s">
        <v>7553</v>
      </c>
      <c r="BS282" s="564"/>
      <c r="BT282" s="564" t="s">
        <v>7554</v>
      </c>
      <c r="BU282" s="564"/>
      <c r="BV282" s="564"/>
      <c r="BW282" s="564"/>
      <c r="BX282" s="564"/>
      <c r="BY282" s="564" t="s">
        <v>7555</v>
      </c>
      <c r="BZ282" s="564"/>
      <c r="CA282" s="564"/>
      <c r="CB282" s="564"/>
      <c r="CC282" s="564"/>
      <c r="CD282" s="564" t="s">
        <v>7556</v>
      </c>
      <c r="CE282" s="564"/>
      <c r="CF282" s="564" t="s">
        <v>7557</v>
      </c>
      <c r="CG282" s="564"/>
      <c r="CH282" s="564"/>
      <c r="CI282" s="564"/>
      <c r="CJ282" s="564"/>
      <c r="CK282" s="564" t="s">
        <v>7558</v>
      </c>
      <c r="CP282" s="403" t="s">
        <v>7559</v>
      </c>
      <c r="CR282" s="403" t="s">
        <v>7560</v>
      </c>
    </row>
    <row r="283" spans="1:97" s="463" customFormat="1" ht="12.75" hidden="1" x14ac:dyDescent="0.2">
      <c r="B283" s="346" t="s">
        <v>14117</v>
      </c>
      <c r="C283" s="627"/>
      <c r="H283" s="387">
        <f>SUM(H287:H292)</f>
        <v>0.2</v>
      </c>
      <c r="K283" s="68"/>
      <c r="L283" s="567"/>
      <c r="Q283" s="564"/>
      <c r="R283" s="564"/>
      <c r="S283" s="564"/>
      <c r="T283" s="564"/>
      <c r="U283" s="564"/>
      <c r="V283" s="564"/>
      <c r="W283" s="564"/>
      <c r="X283" s="564"/>
      <c r="Y283" s="564"/>
      <c r="Z283" s="564"/>
      <c r="AA283" s="564"/>
      <c r="AB283" s="564"/>
      <c r="AC283" s="564"/>
      <c r="AD283" s="564"/>
      <c r="AE283" s="564"/>
      <c r="AF283" s="564"/>
      <c r="AG283" s="564"/>
      <c r="AH283" s="564"/>
      <c r="AI283" s="564"/>
      <c r="AJ283" s="564"/>
      <c r="AK283" s="564"/>
      <c r="AL283" s="564"/>
      <c r="AM283" s="564"/>
      <c r="AN283" s="564"/>
      <c r="AO283" s="564"/>
      <c r="AP283" s="564"/>
      <c r="AQ283" s="564"/>
      <c r="AR283" s="564"/>
      <c r="AS283" s="564"/>
      <c r="AT283" s="564"/>
      <c r="AU283" s="564"/>
      <c r="AV283" s="564"/>
      <c r="AW283" s="564"/>
      <c r="AX283" s="564"/>
      <c r="AY283" s="564"/>
      <c r="AZ283" s="564"/>
      <c r="BA283" s="564"/>
      <c r="BB283" s="564"/>
      <c r="BC283" s="564"/>
      <c r="BD283" s="564"/>
      <c r="BE283" s="564"/>
      <c r="BF283" s="564"/>
      <c r="BG283" s="564"/>
      <c r="BH283" s="564"/>
      <c r="BI283" s="564"/>
      <c r="BJ283" s="564"/>
      <c r="BK283" s="564"/>
      <c r="BL283" s="564"/>
      <c r="BM283" s="564"/>
      <c r="BN283" s="564"/>
      <c r="BO283" s="564"/>
      <c r="BP283" s="564"/>
      <c r="BQ283" s="564"/>
      <c r="BR283" s="564"/>
      <c r="BS283" s="564"/>
      <c r="BT283" s="564"/>
      <c r="BU283" s="564"/>
      <c r="BV283" s="564"/>
      <c r="BW283" s="564"/>
      <c r="BX283" s="564"/>
      <c r="BY283" s="564"/>
      <c r="BZ283" s="564"/>
      <c r="CA283" s="564"/>
      <c r="CB283" s="564"/>
      <c r="CC283" s="564"/>
      <c r="CD283" s="564"/>
      <c r="CE283" s="564"/>
      <c r="CF283" s="564"/>
      <c r="CG283" s="564"/>
      <c r="CH283" s="564"/>
      <c r="CI283" s="564"/>
      <c r="CJ283" s="564"/>
      <c r="CK283" s="564"/>
      <c r="CS283" s="564"/>
    </row>
    <row r="284" spans="1:97" s="463" customFormat="1" ht="12.75" x14ac:dyDescent="0.2">
      <c r="B284" s="567"/>
      <c r="C284" s="627"/>
      <c r="D284" s="34" t="str">
        <f t="shared" ref="D284:D285" ca="1" si="171">IF(OFFSET(Q284,0,Lang_Order*Lang__A2)="","",OFFSET(Q284,0,Lang_Order*Lang__A2))</f>
        <v>Covax Request or, when confirmed, Allocation</v>
      </c>
      <c r="F284" s="530"/>
      <c r="K284" s="68"/>
      <c r="L284" s="567"/>
      <c r="Q284" s="564" t="s">
        <v>4551</v>
      </c>
      <c r="R284" s="564"/>
      <c r="S284" s="564"/>
      <c r="T284" s="564"/>
      <c r="U284" s="564"/>
      <c r="V284" s="564"/>
      <c r="W284" s="564"/>
      <c r="X284" s="564"/>
      <c r="Y284" s="564"/>
      <c r="Z284" s="564"/>
      <c r="AA284" s="564"/>
      <c r="AB284" s="564"/>
      <c r="AC284" s="564" t="s">
        <v>13931</v>
      </c>
      <c r="AD284" s="564"/>
      <c r="AE284" s="564"/>
      <c r="AF284" s="564"/>
      <c r="AG284" s="564"/>
      <c r="AH284" s="564"/>
      <c r="AI284" s="564"/>
      <c r="AJ284" s="564"/>
      <c r="AK284" s="564"/>
      <c r="AL284" s="564"/>
      <c r="AM284" s="564"/>
      <c r="AN284" s="564"/>
      <c r="AO284" s="564" t="s">
        <v>13932</v>
      </c>
      <c r="AP284" s="564"/>
      <c r="AQ284" s="564"/>
      <c r="AR284" s="564"/>
      <c r="AS284" s="564"/>
      <c r="AT284" s="564"/>
      <c r="AU284" s="564"/>
      <c r="AV284" s="564"/>
      <c r="AW284" s="564"/>
      <c r="AX284" s="564"/>
      <c r="AY284" s="564"/>
      <c r="AZ284" s="564"/>
      <c r="BA284" s="564" t="s">
        <v>13933</v>
      </c>
      <c r="BB284" s="564"/>
      <c r="BC284" s="564"/>
      <c r="BD284" s="564"/>
      <c r="BE284" s="564"/>
      <c r="BF284" s="564"/>
      <c r="BG284" s="564"/>
      <c r="BH284" s="564"/>
      <c r="BI284" s="564"/>
      <c r="BJ284" s="564"/>
      <c r="BK284" s="564"/>
      <c r="BL284" s="564"/>
      <c r="BM284" s="564" t="s">
        <v>13934</v>
      </c>
      <c r="BN284" s="564"/>
      <c r="BO284" s="564"/>
      <c r="BP284" s="564"/>
      <c r="BQ284" s="564"/>
      <c r="BR284" s="564"/>
      <c r="BS284" s="564"/>
      <c r="BT284" s="564"/>
      <c r="BU284" s="564"/>
      <c r="BV284" s="564"/>
      <c r="BW284" s="564"/>
      <c r="BX284" s="564"/>
      <c r="BY284" s="564" t="s">
        <v>13935</v>
      </c>
      <c r="BZ284" s="564"/>
      <c r="CA284" s="564"/>
      <c r="CB284" s="564"/>
      <c r="CC284" s="564"/>
      <c r="CD284" s="564"/>
      <c r="CE284" s="564"/>
      <c r="CF284" s="564"/>
      <c r="CG284" s="564"/>
      <c r="CH284" s="564"/>
      <c r="CI284" s="564"/>
      <c r="CJ284" s="564"/>
      <c r="CK284" s="564" t="s">
        <v>13936</v>
      </c>
      <c r="CS284" s="564"/>
    </row>
    <row r="285" spans="1:97" s="527" customFormat="1" ht="67.5" customHeight="1" x14ac:dyDescent="0.2">
      <c r="B285" s="567"/>
      <c r="C285" s="627"/>
      <c r="D285" s="679" t="str">
        <f t="shared" ca="1" si="171"/>
        <v>Instructions: For Covax participants (AMC92 or self-financing), please enter the Covax vaccine supply request, OR once allocations are confirmed, update this section with the confirmed allocation by half-year time periods. If the allocation is presented in terms of a number of doses rather than population coverage, a simple calculator is provided below to assist with the conversion.
 For AMC92 countries, if supply requests above the fully-subsidized amount are desired based on cost-sharing arrangements, please enter these the excess above the full-subsidized amount in 2022 onwards.</v>
      </c>
      <c r="E285" s="679" t="str">
        <f t="shared" ref="E285" ca="1" si="172">IF(OFFSET(R285,0,Lang_Order*Lang__A2)="","",OFFSET(R285,0,Lang_Order*Lang__A2))</f>
        <v/>
      </c>
      <c r="F285" s="679" t="str">
        <f t="shared" ref="F285" ca="1" si="173">IF(OFFSET(S285,0,Lang_Order*Lang__A2)="","",OFFSET(S285,0,Lang_Order*Lang__A2))</f>
        <v/>
      </c>
      <c r="G285" s="679" t="str">
        <f t="shared" ref="G285" ca="1" si="174">IF(OFFSET(T285,0,Lang_Order*Lang__A2)="","",OFFSET(T285,0,Lang_Order*Lang__A2))</f>
        <v/>
      </c>
      <c r="H285" s="679" t="str">
        <f t="shared" ref="H285" ca="1" si="175">IF(OFFSET(U285,0,Lang_Order*Lang__A2)="","",OFFSET(U285,0,Lang_Order*Lang__A2))</f>
        <v/>
      </c>
      <c r="I285" s="679" t="str">
        <f t="shared" ref="I285" ca="1" si="176">IF(OFFSET(V285,0,Lang_Order*Lang__A2)="","",OFFSET(V285,0,Lang_Order*Lang__A2))</f>
        <v/>
      </c>
      <c r="K285" s="68"/>
      <c r="L285" s="567"/>
      <c r="Q285" s="564" t="s">
        <v>13937</v>
      </c>
      <c r="R285" s="564"/>
      <c r="S285" s="564"/>
      <c r="T285" s="564"/>
      <c r="U285" s="564"/>
      <c r="V285" s="564"/>
      <c r="W285" s="564"/>
      <c r="X285" s="564"/>
      <c r="Y285" s="564"/>
      <c r="Z285" s="564"/>
      <c r="AA285" s="564"/>
      <c r="AB285" s="564"/>
      <c r="AC285" s="564" t="s">
        <v>13938</v>
      </c>
      <c r="AD285" s="564"/>
      <c r="AE285" s="564"/>
      <c r="AF285" s="564"/>
      <c r="AG285" s="564"/>
      <c r="AH285" s="564"/>
      <c r="AI285" s="564"/>
      <c r="AJ285" s="564"/>
      <c r="AK285" s="564"/>
      <c r="AL285" s="564"/>
      <c r="AM285" s="564"/>
      <c r="AN285" s="564"/>
      <c r="AO285" s="564" t="s">
        <v>13939</v>
      </c>
      <c r="AP285" s="564"/>
      <c r="AQ285" s="564"/>
      <c r="AR285" s="564"/>
      <c r="AS285" s="564"/>
      <c r="AT285" s="564"/>
      <c r="AU285" s="564"/>
      <c r="AV285" s="564"/>
      <c r="AW285" s="564"/>
      <c r="AX285" s="564"/>
      <c r="AY285" s="564"/>
      <c r="AZ285" s="564"/>
      <c r="BA285" s="564" t="s">
        <v>13940</v>
      </c>
      <c r="BB285" s="564"/>
      <c r="BC285" s="564"/>
      <c r="BD285" s="564"/>
      <c r="BE285" s="564"/>
      <c r="BF285" s="564"/>
      <c r="BG285" s="564"/>
      <c r="BH285" s="564"/>
      <c r="BI285" s="564"/>
      <c r="BJ285" s="564"/>
      <c r="BK285" s="564"/>
      <c r="BL285" s="564"/>
      <c r="BM285" s="564" t="s">
        <v>13941</v>
      </c>
      <c r="BN285" s="564"/>
      <c r="BO285" s="564"/>
      <c r="BP285" s="564"/>
      <c r="BQ285" s="564"/>
      <c r="BR285" s="564"/>
      <c r="BS285" s="564"/>
      <c r="BT285" s="564"/>
      <c r="BU285" s="564"/>
      <c r="BV285" s="564"/>
      <c r="BW285" s="564"/>
      <c r="BX285" s="564"/>
      <c r="BY285" s="564" t="s">
        <v>13942</v>
      </c>
      <c r="BZ285" s="564"/>
      <c r="CA285" s="564"/>
      <c r="CB285" s="564"/>
      <c r="CC285" s="564"/>
      <c r="CD285" s="564"/>
      <c r="CE285" s="564"/>
      <c r="CF285" s="564"/>
      <c r="CG285" s="564"/>
      <c r="CH285" s="564"/>
      <c r="CI285" s="564"/>
      <c r="CJ285" s="564"/>
      <c r="CK285" s="564" t="s">
        <v>13943</v>
      </c>
      <c r="CS285" s="564"/>
    </row>
    <row r="286" spans="1:97" s="463" customFormat="1" ht="36" customHeight="1" x14ac:dyDescent="0.2">
      <c r="B286" s="85"/>
      <c r="C286" s="624"/>
      <c r="D286" s="681" t="str">
        <f>Lang_CovaxNotice</f>
        <v>IMPORTANT NOTE: Actual number of fully-subsidized vaccine doses which can be supplied by COVAX will depend on vaccine prices, characteristics, supply, and available resources, and may be higher or lower than numbers listed here</v>
      </c>
      <c r="E286" s="681"/>
      <c r="F286" s="681"/>
      <c r="K286" s="567"/>
      <c r="L286" s="567"/>
      <c r="M286" s="403"/>
      <c r="N286" s="403"/>
      <c r="O286" s="403"/>
      <c r="P286" s="403"/>
      <c r="Q286" s="403"/>
      <c r="R286" s="403"/>
      <c r="S286" s="403"/>
      <c r="T286" s="403"/>
      <c r="U286" s="403"/>
      <c r="V286" s="403"/>
      <c r="W286" s="403"/>
      <c r="X286" s="403"/>
      <c r="Y286" s="403"/>
      <c r="Z286" s="403"/>
      <c r="AA286" s="403"/>
      <c r="AB286" s="403"/>
      <c r="AC286" s="403"/>
      <c r="AD286" s="403"/>
      <c r="AE286" s="403"/>
      <c r="AF286" s="403"/>
      <c r="AG286" s="403"/>
      <c r="AH286" s="403"/>
      <c r="AI286" s="403"/>
      <c r="AJ286" s="403"/>
      <c r="AK286" s="403"/>
      <c r="AL286" s="403"/>
      <c r="AM286" s="403"/>
      <c r="AN286" s="403"/>
      <c r="AO286" s="403"/>
      <c r="AP286" s="403"/>
      <c r="AQ286" s="403"/>
      <c r="AR286" s="403"/>
      <c r="AS286" s="403"/>
      <c r="AT286" s="403"/>
      <c r="AU286" s="403"/>
      <c r="AV286" s="403"/>
      <c r="AW286" s="403"/>
      <c r="AX286" s="403"/>
      <c r="AY286" s="403"/>
      <c r="AZ286" s="403"/>
      <c r="BA286" s="403"/>
      <c r="BB286" s="403"/>
      <c r="BC286" s="403"/>
      <c r="BD286" s="403"/>
      <c r="BE286" s="403"/>
      <c r="BF286" s="403"/>
      <c r="BG286" s="403"/>
      <c r="BH286" s="403"/>
      <c r="BI286" s="403"/>
      <c r="BJ286" s="403"/>
      <c r="BK286" s="403"/>
      <c r="BL286" s="403"/>
      <c r="BM286" s="403"/>
      <c r="BN286" s="403"/>
      <c r="BO286" s="403"/>
      <c r="BP286" s="403"/>
      <c r="BQ286" s="403"/>
      <c r="BR286" s="403"/>
      <c r="BS286" s="403"/>
      <c r="BT286" s="403"/>
      <c r="BU286" s="403"/>
      <c r="BV286" s="403"/>
      <c r="BW286" s="403"/>
      <c r="BX286" s="403"/>
      <c r="BY286" s="403"/>
      <c r="BZ286" s="403"/>
      <c r="CA286" s="403"/>
      <c r="CB286" s="403"/>
      <c r="CC286" s="403"/>
      <c r="CD286" s="403"/>
      <c r="CE286" s="403"/>
      <c r="CF286" s="403"/>
      <c r="CG286" s="403"/>
      <c r="CH286" s="403"/>
      <c r="CI286" s="403"/>
      <c r="CJ286" s="403"/>
      <c r="CK286" s="403"/>
      <c r="CL286" s="403"/>
      <c r="CM286" s="403"/>
      <c r="CN286" s="403"/>
      <c r="CO286" s="403"/>
      <c r="CP286" s="403"/>
      <c r="CQ286" s="403"/>
      <c r="CR286" s="403"/>
      <c r="CS286" s="564"/>
    </row>
    <row r="287" spans="1:97" s="272" customFormat="1" ht="12.75" x14ac:dyDescent="0.2">
      <c r="A287" s="349">
        <v>1</v>
      </c>
      <c r="B287" s="85"/>
      <c r="C287" s="627"/>
      <c r="D287" s="31" t="str">
        <f t="shared" ca="1" si="168"/>
        <v>Stage 1 (H1 2021)</v>
      </c>
      <c r="E287" s="377"/>
      <c r="F287" s="520">
        <f>J287</f>
        <v>0.03</v>
      </c>
      <c r="G287" s="518"/>
      <c r="H287" s="491">
        <f>IF(ISBLANK(E287),F287*J280,E287)</f>
        <v>0.03</v>
      </c>
      <c r="I287" s="2" t="str">
        <f t="shared" ca="1" si="170"/>
        <v>Percent of total population in 2020</v>
      </c>
      <c r="J287" s="264">
        <f>_xlfn.NUMBERVALUE('T1s. Vaccine-related Supplies'!C12)</f>
        <v>0.03</v>
      </c>
      <c r="K287" s="143" t="str">
        <f t="shared" ca="1" si="169"/>
        <v>Covax available supply in Stage 1 (H1 2021); Max 20%</v>
      </c>
      <c r="L287" s="587"/>
      <c r="M287" s="403"/>
      <c r="N287" s="403"/>
      <c r="O287" s="403"/>
      <c r="P287" s="403"/>
      <c r="Q287" s="403" t="s">
        <v>4233</v>
      </c>
      <c r="R287" s="403"/>
      <c r="S287" s="403"/>
      <c r="T287" s="403"/>
      <c r="U287" s="403"/>
      <c r="V287" s="403" t="s">
        <v>4261</v>
      </c>
      <c r="W287" s="403"/>
      <c r="X287" s="403" t="s">
        <v>4615</v>
      </c>
      <c r="Y287" s="403"/>
      <c r="Z287" s="403"/>
      <c r="AA287" s="403"/>
      <c r="AB287" s="403"/>
      <c r="AC287" s="403" t="s">
        <v>7561</v>
      </c>
      <c r="AD287" s="403"/>
      <c r="AE287" s="403"/>
      <c r="AF287" s="403"/>
      <c r="AG287" s="403"/>
      <c r="AH287" s="403" t="s">
        <v>7544</v>
      </c>
      <c r="AI287" s="403"/>
      <c r="AJ287" s="403" t="s">
        <v>13944</v>
      </c>
      <c r="AK287" s="403"/>
      <c r="AL287" s="403"/>
      <c r="AM287" s="403"/>
      <c r="AN287" s="403"/>
      <c r="AO287" s="403" t="s">
        <v>7562</v>
      </c>
      <c r="AP287" s="403"/>
      <c r="AQ287" s="403"/>
      <c r="AR287" s="403"/>
      <c r="AS287" s="403"/>
      <c r="AT287" s="403" t="s">
        <v>7547</v>
      </c>
      <c r="AU287" s="403"/>
      <c r="AV287" s="403" t="s">
        <v>13945</v>
      </c>
      <c r="AW287" s="403"/>
      <c r="AX287" s="403"/>
      <c r="AY287" s="403"/>
      <c r="AZ287" s="403"/>
      <c r="BA287" s="403" t="s">
        <v>7563</v>
      </c>
      <c r="BB287" s="403"/>
      <c r="BC287" s="403"/>
      <c r="BD287" s="403"/>
      <c r="BE287" s="403"/>
      <c r="BF287" s="403" t="s">
        <v>7550</v>
      </c>
      <c r="BG287" s="403"/>
      <c r="BH287" s="403" t="s">
        <v>13946</v>
      </c>
      <c r="BI287" s="403"/>
      <c r="BJ287" s="403"/>
      <c r="BK287" s="403"/>
      <c r="BL287" s="403"/>
      <c r="BM287" s="403" t="s">
        <v>7564</v>
      </c>
      <c r="BN287" s="403"/>
      <c r="BO287" s="403"/>
      <c r="BP287" s="403"/>
      <c r="BQ287" s="403"/>
      <c r="BR287" s="403" t="s">
        <v>7553</v>
      </c>
      <c r="BS287" s="403"/>
      <c r="BT287" s="403" t="s">
        <v>13947</v>
      </c>
      <c r="BU287" s="403"/>
      <c r="BV287" s="403"/>
      <c r="BW287" s="403"/>
      <c r="BX287" s="403"/>
      <c r="BY287" s="403" t="s">
        <v>7565</v>
      </c>
      <c r="BZ287" s="403"/>
      <c r="CA287" s="403"/>
      <c r="CB287" s="403"/>
      <c r="CC287" s="403"/>
      <c r="CD287" s="403" t="s">
        <v>7566</v>
      </c>
      <c r="CE287" s="403"/>
      <c r="CF287" s="403" t="s">
        <v>13948</v>
      </c>
      <c r="CG287" s="403"/>
      <c r="CH287" s="403"/>
      <c r="CI287" s="403"/>
      <c r="CJ287" s="403"/>
      <c r="CK287" s="403" t="s">
        <v>7568</v>
      </c>
      <c r="CL287" s="403"/>
      <c r="CM287" s="403"/>
      <c r="CN287" s="403"/>
      <c r="CO287" s="403"/>
      <c r="CP287" s="403" t="s">
        <v>7559</v>
      </c>
      <c r="CQ287" s="403"/>
      <c r="CR287" s="403" t="s">
        <v>13949</v>
      </c>
      <c r="CS287" s="564"/>
    </row>
    <row r="288" spans="1:97" s="194" customFormat="1" ht="12.75" x14ac:dyDescent="0.2">
      <c r="A288" s="349">
        <v>1</v>
      </c>
      <c r="B288" s="85"/>
      <c r="C288" s="627"/>
      <c r="D288" s="31" t="str">
        <f t="shared" ca="1" si="168"/>
        <v>Stage 2 (H2 2021)</v>
      </c>
      <c r="E288" s="377"/>
      <c r="F288" s="520">
        <f>IF(ISBLANK(E287),J288,MAX(0,J287+J288-E287))</f>
        <v>0.17</v>
      </c>
      <c r="G288" s="518"/>
      <c r="H288" s="57">
        <f>IF(ISBLANK(E288),J280*F288,E288)</f>
        <v>0.17</v>
      </c>
      <c r="I288" s="2" t="str">
        <f t="shared" ca="1" si="170"/>
        <v>Percent of total population in 2020</v>
      </c>
      <c r="J288" s="264">
        <f>_xlfn.NUMBERVALUE('T1s. Vaccine-related Supplies'!D12)</f>
        <v>0.17</v>
      </c>
      <c r="K288" s="143" t="str">
        <f t="shared" ca="1" si="169"/>
        <v>Covax available supply in Stage 2 (H2 2021)</v>
      </c>
      <c r="L288" s="587"/>
      <c r="M288" s="403"/>
      <c r="N288" s="403"/>
      <c r="O288" s="403"/>
      <c r="P288" s="403"/>
      <c r="Q288" s="403" t="s">
        <v>4234</v>
      </c>
      <c r="R288" s="403"/>
      <c r="S288" s="403"/>
      <c r="T288" s="403"/>
      <c r="U288" s="403"/>
      <c r="V288" s="403" t="s">
        <v>4261</v>
      </c>
      <c r="W288" s="403"/>
      <c r="X288" s="403" t="s">
        <v>4614</v>
      </c>
      <c r="Y288" s="403"/>
      <c r="Z288" s="403"/>
      <c r="AA288" s="403"/>
      <c r="AB288" s="403"/>
      <c r="AC288" s="403" t="s">
        <v>7569</v>
      </c>
      <c r="AD288" s="403"/>
      <c r="AE288" s="403"/>
      <c r="AF288" s="403"/>
      <c r="AG288" s="403"/>
      <c r="AH288" s="403" t="s">
        <v>7544</v>
      </c>
      <c r="AI288" s="403"/>
      <c r="AJ288" s="403" t="s">
        <v>13950</v>
      </c>
      <c r="AK288" s="403"/>
      <c r="AL288" s="403"/>
      <c r="AM288" s="403"/>
      <c r="AN288" s="403"/>
      <c r="AO288" s="403" t="s">
        <v>7570</v>
      </c>
      <c r="AP288" s="403"/>
      <c r="AQ288" s="403"/>
      <c r="AR288" s="403"/>
      <c r="AS288" s="403"/>
      <c r="AT288" s="403" t="s">
        <v>7547</v>
      </c>
      <c r="AU288" s="403"/>
      <c r="AV288" s="403" t="s">
        <v>13951</v>
      </c>
      <c r="AW288" s="403"/>
      <c r="AX288" s="403"/>
      <c r="AY288" s="403"/>
      <c r="AZ288" s="403"/>
      <c r="BA288" s="403" t="s">
        <v>7571</v>
      </c>
      <c r="BB288" s="403"/>
      <c r="BC288" s="403"/>
      <c r="BD288" s="403"/>
      <c r="BE288" s="403"/>
      <c r="BF288" s="403" t="s">
        <v>7550</v>
      </c>
      <c r="BG288" s="403"/>
      <c r="BH288" s="403" t="s">
        <v>13952</v>
      </c>
      <c r="BI288" s="403"/>
      <c r="BJ288" s="403"/>
      <c r="BK288" s="403"/>
      <c r="BL288" s="403"/>
      <c r="BM288" s="403" t="s">
        <v>7572</v>
      </c>
      <c r="BN288" s="403"/>
      <c r="BO288" s="403"/>
      <c r="BP288" s="403"/>
      <c r="BQ288" s="403"/>
      <c r="BR288" s="403" t="s">
        <v>7553</v>
      </c>
      <c r="BS288" s="403"/>
      <c r="BT288" s="403" t="s">
        <v>13953</v>
      </c>
      <c r="BU288" s="403"/>
      <c r="BV288" s="403"/>
      <c r="BW288" s="403"/>
      <c r="BX288" s="403"/>
      <c r="BY288" s="403" t="s">
        <v>7573</v>
      </c>
      <c r="BZ288" s="403"/>
      <c r="CA288" s="403"/>
      <c r="CB288" s="403"/>
      <c r="CC288" s="403"/>
      <c r="CD288" s="403" t="s">
        <v>7574</v>
      </c>
      <c r="CE288" s="403"/>
      <c r="CF288" s="403" t="s">
        <v>13954</v>
      </c>
      <c r="CG288" s="403"/>
      <c r="CH288" s="403"/>
      <c r="CI288" s="403"/>
      <c r="CJ288" s="403"/>
      <c r="CK288" s="403" t="s">
        <v>7576</v>
      </c>
      <c r="CL288" s="403"/>
      <c r="CM288" s="403"/>
      <c r="CN288" s="403"/>
      <c r="CO288" s="403"/>
      <c r="CP288" s="403" t="s">
        <v>7559</v>
      </c>
      <c r="CQ288" s="403"/>
      <c r="CR288" s="403" t="s">
        <v>13955</v>
      </c>
      <c r="CS288" s="564"/>
    </row>
    <row r="289" spans="1:97" s="299" customFormat="1" ht="12.75" x14ac:dyDescent="0.2">
      <c r="A289" s="349">
        <v>1</v>
      </c>
      <c r="B289" s="85"/>
      <c r="C289" s="627"/>
      <c r="D289" s="23" t="str">
        <f t="shared" ca="1" si="168"/>
        <v>H1 2022</v>
      </c>
      <c r="E289" s="377"/>
      <c r="G289" s="518"/>
      <c r="H289" s="57">
        <f>MIN(J289,E289*J$280)</f>
        <v>0</v>
      </c>
      <c r="I289" s="2" t="str">
        <f t="shared" ca="1" si="170"/>
        <v>Percent of total population in 2020</v>
      </c>
      <c r="J289" s="264">
        <f>_xlfn.NUMBERVALUE('T1s. Vaccine-related Supplies'!E12)</f>
        <v>0.5</v>
      </c>
      <c r="K289" s="143" t="str">
        <f t="shared" ca="1" si="169"/>
        <v>Covax available supply; Overall total can exceed 100% of total population</v>
      </c>
      <c r="L289" s="587"/>
      <c r="M289" s="403"/>
      <c r="N289" s="403"/>
      <c r="O289" s="403"/>
      <c r="P289" s="403"/>
      <c r="Q289" s="403" t="s">
        <v>1599</v>
      </c>
      <c r="R289" s="403"/>
      <c r="S289" s="403"/>
      <c r="T289" s="403"/>
      <c r="U289" s="403"/>
      <c r="V289" s="403" t="s">
        <v>4261</v>
      </c>
      <c r="W289" s="403"/>
      <c r="X289" s="403" t="s">
        <v>4250</v>
      </c>
      <c r="Y289" s="403"/>
      <c r="Z289" s="403"/>
      <c r="AA289" s="403"/>
      <c r="AB289" s="403"/>
      <c r="AC289" s="403" t="s">
        <v>4665</v>
      </c>
      <c r="AD289" s="403"/>
      <c r="AE289" s="403"/>
      <c r="AF289" s="403"/>
      <c r="AG289" s="403"/>
      <c r="AH289" s="403" t="s">
        <v>7544</v>
      </c>
      <c r="AI289" s="403"/>
      <c r="AJ289" s="403" t="s">
        <v>7577</v>
      </c>
      <c r="AK289" s="403"/>
      <c r="AL289" s="403"/>
      <c r="AM289" s="403"/>
      <c r="AN289" s="403"/>
      <c r="AO289" s="403" t="s">
        <v>4672</v>
      </c>
      <c r="AP289" s="403"/>
      <c r="AQ289" s="403"/>
      <c r="AR289" s="403"/>
      <c r="AS289" s="403"/>
      <c r="AT289" s="403" t="s">
        <v>7547</v>
      </c>
      <c r="AU289" s="403"/>
      <c r="AV289" s="403" t="s">
        <v>7578</v>
      </c>
      <c r="AW289" s="403"/>
      <c r="AX289" s="403"/>
      <c r="AY289" s="403"/>
      <c r="AZ289" s="403"/>
      <c r="BA289" s="403" t="s">
        <v>1599</v>
      </c>
      <c r="BB289" s="403"/>
      <c r="BC289" s="403"/>
      <c r="BD289" s="403"/>
      <c r="BE289" s="403"/>
      <c r="BF289" s="403" t="s">
        <v>7550</v>
      </c>
      <c r="BG289" s="403"/>
      <c r="BH289" s="403" t="s">
        <v>7579</v>
      </c>
      <c r="BI289" s="403"/>
      <c r="BJ289" s="403"/>
      <c r="BK289" s="403"/>
      <c r="BL289" s="403"/>
      <c r="BM289" s="403" t="s">
        <v>4665</v>
      </c>
      <c r="BN289" s="403"/>
      <c r="BO289" s="403"/>
      <c r="BP289" s="403"/>
      <c r="BQ289" s="403"/>
      <c r="BR289" s="403" t="s">
        <v>7553</v>
      </c>
      <c r="BS289" s="403"/>
      <c r="BT289" s="403" t="s">
        <v>7580</v>
      </c>
      <c r="BU289" s="403"/>
      <c r="BV289" s="403"/>
      <c r="BW289" s="403"/>
      <c r="BX289" s="403"/>
      <c r="BY289" s="403" t="s">
        <v>7581</v>
      </c>
      <c r="BZ289" s="403"/>
      <c r="CA289" s="403"/>
      <c r="CB289" s="403"/>
      <c r="CC289" s="403"/>
      <c r="CD289" s="403" t="s">
        <v>7567</v>
      </c>
      <c r="CE289" s="403"/>
      <c r="CF289" s="403" t="s">
        <v>7582</v>
      </c>
      <c r="CG289" s="403"/>
      <c r="CH289" s="403"/>
      <c r="CI289" s="403"/>
      <c r="CJ289" s="403"/>
      <c r="CK289" s="403" t="s">
        <v>4690</v>
      </c>
      <c r="CL289" s="403"/>
      <c r="CM289" s="403"/>
      <c r="CN289" s="403"/>
      <c r="CO289" s="403"/>
      <c r="CP289" s="403" t="s">
        <v>7559</v>
      </c>
      <c r="CQ289" s="403"/>
      <c r="CR289" s="403" t="s">
        <v>7583</v>
      </c>
      <c r="CS289" s="564"/>
    </row>
    <row r="290" spans="1:97" s="299" customFormat="1" ht="12.75" x14ac:dyDescent="0.2">
      <c r="A290" s="349">
        <v>1</v>
      </c>
      <c r="B290" s="85"/>
      <c r="C290" s="627"/>
      <c r="D290" s="23" t="str">
        <f t="shared" ca="1" si="168"/>
        <v>H2 2022</v>
      </c>
      <c r="E290" s="377"/>
      <c r="G290" s="518"/>
      <c r="H290" s="57">
        <f>MIN(J290,E290*J$280)</f>
        <v>0</v>
      </c>
      <c r="I290" s="2" t="str">
        <f t="shared" ca="1" si="170"/>
        <v>Percent of total population in 2020</v>
      </c>
      <c r="J290" s="264">
        <f>_xlfn.NUMBERVALUE('T1s. Vaccine-related Supplies'!F12)</f>
        <v>0.5</v>
      </c>
      <c r="K290" s="143" t="str">
        <f t="shared" ca="1" si="169"/>
        <v>Covax available supply; Overall total can exceed 100% of total population</v>
      </c>
      <c r="L290" s="587"/>
      <c r="M290" s="403"/>
      <c r="N290" s="403"/>
      <c r="O290" s="403"/>
      <c r="P290" s="403"/>
      <c r="Q290" s="403" t="s">
        <v>1600</v>
      </c>
      <c r="R290" s="403"/>
      <c r="S290" s="403"/>
      <c r="T290" s="403"/>
      <c r="U290" s="403"/>
      <c r="V290" s="403" t="s">
        <v>4261</v>
      </c>
      <c r="W290" s="403"/>
      <c r="X290" s="403" t="s">
        <v>4250</v>
      </c>
      <c r="Y290" s="403"/>
      <c r="Z290" s="403"/>
      <c r="AA290" s="403"/>
      <c r="AB290" s="403"/>
      <c r="AC290" s="403" t="s">
        <v>4666</v>
      </c>
      <c r="AD290" s="403"/>
      <c r="AE290" s="403"/>
      <c r="AF290" s="403"/>
      <c r="AG290" s="403"/>
      <c r="AH290" s="403" t="s">
        <v>7544</v>
      </c>
      <c r="AI290" s="403"/>
      <c r="AJ290" s="403" t="s">
        <v>7577</v>
      </c>
      <c r="AK290" s="403"/>
      <c r="AL290" s="403"/>
      <c r="AM290" s="403"/>
      <c r="AN290" s="403"/>
      <c r="AO290" s="403" t="s">
        <v>4673</v>
      </c>
      <c r="AP290" s="403"/>
      <c r="AQ290" s="403"/>
      <c r="AR290" s="403"/>
      <c r="AS290" s="403"/>
      <c r="AT290" s="403" t="s">
        <v>7547</v>
      </c>
      <c r="AU290" s="403"/>
      <c r="AV290" s="403" t="s">
        <v>7578</v>
      </c>
      <c r="AW290" s="403"/>
      <c r="AX290" s="403"/>
      <c r="AY290" s="403"/>
      <c r="AZ290" s="403"/>
      <c r="BA290" s="403" t="s">
        <v>1600</v>
      </c>
      <c r="BB290" s="403"/>
      <c r="BC290" s="403"/>
      <c r="BD290" s="403"/>
      <c r="BE290" s="403"/>
      <c r="BF290" s="403" t="s">
        <v>7550</v>
      </c>
      <c r="BG290" s="403"/>
      <c r="BH290" s="403" t="s">
        <v>7579</v>
      </c>
      <c r="BI290" s="403"/>
      <c r="BJ290" s="403"/>
      <c r="BK290" s="403"/>
      <c r="BL290" s="403"/>
      <c r="BM290" s="403" t="s">
        <v>4666</v>
      </c>
      <c r="BN290" s="403"/>
      <c r="BO290" s="403"/>
      <c r="BP290" s="403"/>
      <c r="BQ290" s="403"/>
      <c r="BR290" s="403" t="s">
        <v>7553</v>
      </c>
      <c r="BS290" s="403"/>
      <c r="BT290" s="403" t="s">
        <v>7580</v>
      </c>
      <c r="BU290" s="403"/>
      <c r="BV290" s="403"/>
      <c r="BW290" s="403"/>
      <c r="BX290" s="403"/>
      <c r="BY290" s="403" t="s">
        <v>7584</v>
      </c>
      <c r="BZ290" s="403"/>
      <c r="CA290" s="403"/>
      <c r="CB290" s="403"/>
      <c r="CC290" s="403"/>
      <c r="CD290" s="403" t="s">
        <v>7585</v>
      </c>
      <c r="CE290" s="403"/>
      <c r="CF290" s="403" t="s">
        <v>7582</v>
      </c>
      <c r="CG290" s="403"/>
      <c r="CH290" s="403"/>
      <c r="CI290" s="403"/>
      <c r="CJ290" s="403"/>
      <c r="CK290" s="403" t="s">
        <v>4691</v>
      </c>
      <c r="CL290" s="403"/>
      <c r="CM290" s="403"/>
      <c r="CN290" s="403"/>
      <c r="CO290" s="403"/>
      <c r="CP290" s="403" t="s">
        <v>7559</v>
      </c>
      <c r="CQ290" s="403"/>
      <c r="CR290" s="403" t="s">
        <v>7583</v>
      </c>
      <c r="CS290" s="564"/>
    </row>
    <row r="291" spans="1:97" s="299" customFormat="1" ht="12.75" x14ac:dyDescent="0.2">
      <c r="A291" s="349">
        <v>1</v>
      </c>
      <c r="B291" s="85"/>
      <c r="C291" s="627"/>
      <c r="D291" s="23" t="str">
        <f t="shared" ref="D291:D292" ca="1" si="177">IF(OFFSET(Q291,0,Lang_Order*Lang__A2)="","",OFFSET(Q291,0,Lang_Order*Lang__A2))</f>
        <v>H1 2023</v>
      </c>
      <c r="E291" s="377"/>
      <c r="G291" s="518"/>
      <c r="H291" s="57">
        <f>MIN(J291,E291*J$280)</f>
        <v>0</v>
      </c>
      <c r="I291" s="2" t="str">
        <f t="shared" ref="I291:I292" ca="1" si="178">IF(OFFSET(V291,0,Lang_Order*Lang__A2)="","",OFFSET(V291,0,Lang_Order*Lang__A2))</f>
        <v>Percent of total population in 2020</v>
      </c>
      <c r="J291" s="264">
        <f>_xlfn.NUMBERVALUE('T1s. Vaccine-related Supplies'!G12)</f>
        <v>0.5</v>
      </c>
      <c r="K291" s="143" t="str">
        <f t="shared" ref="K291:K292" ca="1" si="179">IF(OFFSET(X291,0,Lang_Order*Lang__A2)="","",OFFSET(X291,0,Lang_Order*Lang__A2))</f>
        <v>Covax available supply; Overall total can exceed 100% of total population</v>
      </c>
      <c r="L291" s="587"/>
      <c r="M291" s="403"/>
      <c r="N291" s="403"/>
      <c r="O291" s="403"/>
      <c r="P291" s="403"/>
      <c r="Q291" s="403" t="s">
        <v>1602</v>
      </c>
      <c r="R291" s="403"/>
      <c r="S291" s="403"/>
      <c r="T291" s="403"/>
      <c r="U291" s="403"/>
      <c r="V291" s="403" t="s">
        <v>4261</v>
      </c>
      <c r="W291" s="403"/>
      <c r="X291" s="403" t="s">
        <v>4250</v>
      </c>
      <c r="Y291" s="403"/>
      <c r="Z291" s="403"/>
      <c r="AA291" s="403"/>
      <c r="AB291" s="403"/>
      <c r="AC291" s="403" t="s">
        <v>4667</v>
      </c>
      <c r="AD291" s="403"/>
      <c r="AE291" s="403"/>
      <c r="AF291" s="403"/>
      <c r="AG291" s="403"/>
      <c r="AH291" s="403" t="s">
        <v>7544</v>
      </c>
      <c r="AI291" s="403"/>
      <c r="AJ291" s="403" t="s">
        <v>7577</v>
      </c>
      <c r="AK291" s="403"/>
      <c r="AL291" s="403"/>
      <c r="AM291" s="403"/>
      <c r="AN291" s="403"/>
      <c r="AO291" s="403" t="s">
        <v>4674</v>
      </c>
      <c r="AP291" s="403"/>
      <c r="AQ291" s="403"/>
      <c r="AR291" s="403"/>
      <c r="AS291" s="403"/>
      <c r="AT291" s="403" t="s">
        <v>7547</v>
      </c>
      <c r="AU291" s="403"/>
      <c r="AV291" s="403" t="s">
        <v>7578</v>
      </c>
      <c r="AW291" s="403"/>
      <c r="AX291" s="403"/>
      <c r="AY291" s="403"/>
      <c r="AZ291" s="403"/>
      <c r="BA291" s="403" t="s">
        <v>1602</v>
      </c>
      <c r="BB291" s="403"/>
      <c r="BC291" s="403"/>
      <c r="BD291" s="403"/>
      <c r="BE291" s="403"/>
      <c r="BF291" s="403" t="s">
        <v>7550</v>
      </c>
      <c r="BG291" s="403"/>
      <c r="BH291" s="403" t="s">
        <v>7579</v>
      </c>
      <c r="BI291" s="403"/>
      <c r="BJ291" s="403"/>
      <c r="BK291" s="403"/>
      <c r="BL291" s="403"/>
      <c r="BM291" s="403" t="s">
        <v>4667</v>
      </c>
      <c r="BN291" s="403"/>
      <c r="BO291" s="403"/>
      <c r="BP291" s="403"/>
      <c r="BQ291" s="403"/>
      <c r="BR291" s="403" t="s">
        <v>7553</v>
      </c>
      <c r="BS291" s="403"/>
      <c r="BT291" s="403" t="s">
        <v>7580</v>
      </c>
      <c r="BU291" s="403"/>
      <c r="BV291" s="403"/>
      <c r="BW291" s="403"/>
      <c r="BX291" s="403"/>
      <c r="BY291" s="403" t="s">
        <v>1602</v>
      </c>
      <c r="BZ291" s="403"/>
      <c r="CA291" s="403"/>
      <c r="CB291" s="403"/>
      <c r="CC291" s="403"/>
      <c r="CD291" s="403" t="s">
        <v>7575</v>
      </c>
      <c r="CE291" s="403"/>
      <c r="CF291" s="403" t="s">
        <v>7582</v>
      </c>
      <c r="CG291" s="403"/>
      <c r="CH291" s="403"/>
      <c r="CI291" s="403"/>
      <c r="CJ291" s="403"/>
      <c r="CK291" s="403" t="s">
        <v>4692</v>
      </c>
      <c r="CL291" s="403"/>
      <c r="CM291" s="403"/>
      <c r="CN291" s="403"/>
      <c r="CO291" s="403"/>
      <c r="CP291" s="403" t="s">
        <v>7559</v>
      </c>
      <c r="CQ291" s="403"/>
      <c r="CR291" s="403" t="s">
        <v>7583</v>
      </c>
      <c r="CS291" s="564"/>
    </row>
    <row r="292" spans="1:97" s="299" customFormat="1" ht="12.75" x14ac:dyDescent="0.2">
      <c r="A292" s="349">
        <v>1</v>
      </c>
      <c r="B292" s="85"/>
      <c r="C292" s="627"/>
      <c r="D292" s="23" t="str">
        <f t="shared" ca="1" si="177"/>
        <v>H2 2023</v>
      </c>
      <c r="E292" s="377"/>
      <c r="G292" s="518"/>
      <c r="H292" s="57">
        <f>MIN(J292,E292*J$280)</f>
        <v>0</v>
      </c>
      <c r="I292" s="2" t="str">
        <f t="shared" ca="1" si="178"/>
        <v>Percent of total population in 2020</v>
      </c>
      <c r="J292" s="264">
        <f>_xlfn.NUMBERVALUE('T1s. Vaccine-related Supplies'!H12)</f>
        <v>0.5</v>
      </c>
      <c r="K292" s="143" t="str">
        <f t="shared" ca="1" si="179"/>
        <v>Covax available supply; Overall total can exceed 100% of total population</v>
      </c>
      <c r="L292" s="587"/>
      <c r="M292" s="403"/>
      <c r="N292" s="403"/>
      <c r="O292" s="403"/>
      <c r="P292" s="403"/>
      <c r="Q292" s="403" t="s">
        <v>1601</v>
      </c>
      <c r="R292" s="403"/>
      <c r="S292" s="403"/>
      <c r="T292" s="403"/>
      <c r="U292" s="403"/>
      <c r="V292" s="403" t="s">
        <v>4261</v>
      </c>
      <c r="W292" s="403"/>
      <c r="X292" s="403" t="s">
        <v>4250</v>
      </c>
      <c r="Y292" s="403"/>
      <c r="Z292" s="403"/>
      <c r="AA292" s="403"/>
      <c r="AB292" s="403"/>
      <c r="AC292" s="403" t="s">
        <v>4668</v>
      </c>
      <c r="AD292" s="403"/>
      <c r="AE292" s="403"/>
      <c r="AF292" s="403"/>
      <c r="AG292" s="403"/>
      <c r="AH292" s="403" t="s">
        <v>7544</v>
      </c>
      <c r="AI292" s="403"/>
      <c r="AJ292" s="403" t="s">
        <v>7577</v>
      </c>
      <c r="AK292" s="403"/>
      <c r="AL292" s="403"/>
      <c r="AM292" s="403"/>
      <c r="AN292" s="403"/>
      <c r="AO292" s="403" t="s">
        <v>4675</v>
      </c>
      <c r="AP292" s="403"/>
      <c r="AQ292" s="403"/>
      <c r="AR292" s="403"/>
      <c r="AS292" s="403"/>
      <c r="AT292" s="403" t="s">
        <v>7547</v>
      </c>
      <c r="AU292" s="403"/>
      <c r="AV292" s="403" t="s">
        <v>7578</v>
      </c>
      <c r="AW292" s="403"/>
      <c r="AX292" s="403"/>
      <c r="AY292" s="403"/>
      <c r="AZ292" s="403"/>
      <c r="BA292" s="403" t="s">
        <v>1601</v>
      </c>
      <c r="BB292" s="403"/>
      <c r="BC292" s="403"/>
      <c r="BD292" s="403"/>
      <c r="BE292" s="403"/>
      <c r="BF292" s="403" t="s">
        <v>7550</v>
      </c>
      <c r="BG292" s="403"/>
      <c r="BH292" s="403" t="s">
        <v>7579</v>
      </c>
      <c r="BI292" s="403"/>
      <c r="BJ292" s="403"/>
      <c r="BK292" s="403"/>
      <c r="BL292" s="403"/>
      <c r="BM292" s="403" t="s">
        <v>4668</v>
      </c>
      <c r="BN292" s="403"/>
      <c r="BO292" s="403"/>
      <c r="BP292" s="403"/>
      <c r="BQ292" s="403"/>
      <c r="BR292" s="403" t="s">
        <v>7553</v>
      </c>
      <c r="BS292" s="403"/>
      <c r="BT292" s="403" t="s">
        <v>7580</v>
      </c>
      <c r="BU292" s="403"/>
      <c r="BV292" s="403"/>
      <c r="BW292" s="403"/>
      <c r="BX292" s="403"/>
      <c r="BY292" s="403" t="s">
        <v>1601</v>
      </c>
      <c r="BZ292" s="403"/>
      <c r="CA292" s="403"/>
      <c r="CB292" s="403"/>
      <c r="CC292" s="403"/>
      <c r="CD292" s="403" t="s">
        <v>7556</v>
      </c>
      <c r="CE292" s="403"/>
      <c r="CF292" s="403" t="s">
        <v>7582</v>
      </c>
      <c r="CG292" s="403"/>
      <c r="CH292" s="403"/>
      <c r="CI292" s="403"/>
      <c r="CJ292" s="403"/>
      <c r="CK292" s="403" t="s">
        <v>4693</v>
      </c>
      <c r="CL292" s="403"/>
      <c r="CM292" s="403"/>
      <c r="CN292" s="403"/>
      <c r="CO292" s="403"/>
      <c r="CP292" s="403" t="s">
        <v>7559</v>
      </c>
      <c r="CQ292" s="403"/>
      <c r="CR292" s="403" t="s">
        <v>7583</v>
      </c>
      <c r="CS292" s="564"/>
    </row>
    <row r="293" spans="1:97" s="194" customFormat="1" ht="12.75" x14ac:dyDescent="0.2">
      <c r="A293" s="463"/>
      <c r="B293" s="85"/>
      <c r="C293" s="622"/>
      <c r="F293" s="299"/>
      <c r="G293" s="463"/>
      <c r="H293" s="463"/>
      <c r="K293" s="143" t="str">
        <f t="shared" ca="1" si="169"/>
        <v>Note: Total population in 2020 for Covax calculations is based on World Bank projections for 2020</v>
      </c>
      <c r="L293" s="567"/>
      <c r="M293" s="403"/>
      <c r="N293" s="403"/>
      <c r="O293" s="403"/>
      <c r="P293" s="403"/>
      <c r="Q293" s="403"/>
      <c r="R293" s="403"/>
      <c r="S293" s="403"/>
      <c r="T293" s="403"/>
      <c r="U293" s="403"/>
      <c r="V293" s="403"/>
      <c r="W293" s="403"/>
      <c r="X293" s="403" t="s">
        <v>4573</v>
      </c>
      <c r="Y293" s="403"/>
      <c r="Z293" s="403"/>
      <c r="AA293" s="403"/>
      <c r="AB293" s="403"/>
      <c r="AC293" s="403"/>
      <c r="AD293" s="403"/>
      <c r="AE293" s="403"/>
      <c r="AF293" s="403"/>
      <c r="AG293" s="403"/>
      <c r="AH293" s="403"/>
      <c r="AI293" s="403"/>
      <c r="AJ293" s="403" t="s">
        <v>13962</v>
      </c>
      <c r="AK293" s="403"/>
      <c r="AL293" s="403"/>
      <c r="AM293" s="403"/>
      <c r="AN293" s="403"/>
      <c r="AO293" s="403"/>
      <c r="AP293" s="403"/>
      <c r="AQ293" s="403"/>
      <c r="AR293" s="403"/>
      <c r="AS293" s="403"/>
      <c r="AT293" s="403"/>
      <c r="AU293" s="403"/>
      <c r="AV293" s="403" t="s">
        <v>13963</v>
      </c>
      <c r="AW293" s="403"/>
      <c r="AX293" s="403"/>
      <c r="AY293" s="403"/>
      <c r="AZ293" s="403"/>
      <c r="BA293" s="403"/>
      <c r="BB293" s="403"/>
      <c r="BC293" s="403"/>
      <c r="BD293" s="403"/>
      <c r="BE293" s="403"/>
      <c r="BF293" s="403"/>
      <c r="BG293" s="403"/>
      <c r="BH293" s="403" t="s">
        <v>13964</v>
      </c>
      <c r="BI293" s="403"/>
      <c r="BJ293" s="403"/>
      <c r="BK293" s="403"/>
      <c r="BL293" s="403"/>
      <c r="BM293" s="403"/>
      <c r="BN293" s="403"/>
      <c r="BO293" s="403"/>
      <c r="BP293" s="403"/>
      <c r="BQ293" s="403"/>
      <c r="BR293" s="403"/>
      <c r="BS293" s="403"/>
      <c r="BT293" s="403" t="s">
        <v>13965</v>
      </c>
      <c r="BU293" s="403"/>
      <c r="BV293" s="403"/>
      <c r="BW293" s="403"/>
      <c r="BX293" s="403"/>
      <c r="BY293" s="403"/>
      <c r="BZ293" s="403"/>
      <c r="CA293" s="403"/>
      <c r="CB293" s="403"/>
      <c r="CC293" s="403"/>
      <c r="CD293" s="403"/>
      <c r="CE293" s="403"/>
      <c r="CF293" s="403" t="s">
        <v>13966</v>
      </c>
      <c r="CG293" s="403"/>
      <c r="CH293" s="403"/>
      <c r="CI293" s="403"/>
      <c r="CJ293" s="403"/>
      <c r="CK293" s="403"/>
      <c r="CL293" s="403"/>
      <c r="CM293" s="403"/>
      <c r="CN293" s="403"/>
      <c r="CO293" s="403"/>
      <c r="CP293" s="403"/>
      <c r="CQ293" s="403"/>
      <c r="CR293" s="403" t="s">
        <v>13967</v>
      </c>
      <c r="CS293" s="564"/>
    </row>
    <row r="294" spans="1:97" s="299" customFormat="1" ht="12.75" x14ac:dyDescent="0.2">
      <c r="B294" s="85"/>
      <c r="C294" s="622"/>
      <c r="D294" s="678" t="s">
        <v>4443</v>
      </c>
      <c r="E294" s="678" t="s">
        <v>197</v>
      </c>
      <c r="F294" s="463"/>
      <c r="G294" s="463"/>
      <c r="H294" s="463"/>
      <c r="K294" s="567"/>
      <c r="L294" s="567"/>
      <c r="M294" s="403"/>
      <c r="N294" s="403"/>
      <c r="O294" s="403"/>
      <c r="P294" s="403"/>
      <c r="Q294" s="403" t="s">
        <v>4443</v>
      </c>
      <c r="R294" s="403"/>
      <c r="S294" s="403"/>
      <c r="T294" s="403"/>
      <c r="U294" s="403"/>
      <c r="V294" s="403"/>
      <c r="W294" s="403"/>
      <c r="X294" s="403"/>
      <c r="Y294" s="403"/>
      <c r="Z294" s="403"/>
      <c r="AA294" s="403"/>
      <c r="AB294" s="403"/>
      <c r="AC294" s="403" t="s">
        <v>13956</v>
      </c>
      <c r="AD294" s="403"/>
      <c r="AE294" s="403"/>
      <c r="AF294" s="403"/>
      <c r="AG294" s="403"/>
      <c r="AH294" s="403"/>
      <c r="AI294" s="403"/>
      <c r="AJ294" s="403"/>
      <c r="AK294" s="403"/>
      <c r="AL294" s="403"/>
      <c r="AM294" s="403"/>
      <c r="AN294" s="403"/>
      <c r="AO294" s="403" t="s">
        <v>13957</v>
      </c>
      <c r="AP294" s="403"/>
      <c r="AQ294" s="403"/>
      <c r="AR294" s="403"/>
      <c r="AS294" s="403"/>
      <c r="AT294" s="403"/>
      <c r="AU294" s="403"/>
      <c r="AV294" s="403"/>
      <c r="AW294" s="403"/>
      <c r="AX294" s="403"/>
      <c r="AY294" s="403"/>
      <c r="AZ294" s="403"/>
      <c r="BA294" s="403" t="s">
        <v>13958</v>
      </c>
      <c r="BB294" s="403"/>
      <c r="BC294" s="403"/>
      <c r="BD294" s="403"/>
      <c r="BE294" s="403"/>
      <c r="BF294" s="403"/>
      <c r="BG294" s="403"/>
      <c r="BH294" s="403"/>
      <c r="BI294" s="403"/>
      <c r="BJ294" s="403"/>
      <c r="BK294" s="403"/>
      <c r="BL294" s="403"/>
      <c r="BM294" s="403" t="s">
        <v>13959</v>
      </c>
      <c r="BN294" s="403"/>
      <c r="BO294" s="403"/>
      <c r="BP294" s="403"/>
      <c r="BQ294" s="403"/>
      <c r="BR294" s="403"/>
      <c r="BS294" s="403"/>
      <c r="BT294" s="403"/>
      <c r="BU294" s="403"/>
      <c r="BV294" s="403"/>
      <c r="BW294" s="403"/>
      <c r="BX294" s="403"/>
      <c r="BY294" s="403" t="s">
        <v>13960</v>
      </c>
      <c r="BZ294" s="403"/>
      <c r="CA294" s="403"/>
      <c r="CB294" s="403"/>
      <c r="CC294" s="403"/>
      <c r="CD294" s="403"/>
      <c r="CE294" s="403"/>
      <c r="CF294" s="403"/>
      <c r="CG294" s="403"/>
      <c r="CH294" s="403"/>
      <c r="CI294" s="403"/>
      <c r="CJ294" s="403"/>
      <c r="CK294" s="403" t="s">
        <v>13961</v>
      </c>
      <c r="CL294" s="403"/>
      <c r="CM294" s="403"/>
      <c r="CN294" s="403"/>
      <c r="CO294" s="403"/>
      <c r="CP294" s="403"/>
      <c r="CQ294" s="403"/>
      <c r="CR294" s="403"/>
      <c r="CS294" s="564"/>
    </row>
    <row r="295" spans="1:97" s="299" customFormat="1" ht="12.75" x14ac:dyDescent="0.2">
      <c r="B295" s="85"/>
      <c r="C295" s="622"/>
      <c r="D295" s="5" t="str">
        <f t="shared" ref="D295:D297" ca="1" si="180">IF(OFFSET(Q295,0,Lang_Order*Lang__A2)="","",OFFSET(Q295,0,Lang_Order*Lang__A2))</f>
        <v>Number of doses per course</v>
      </c>
      <c r="E295" s="35"/>
      <c r="H295" s="3" t="str">
        <f>IF(ISBLANK(E295),J295,E295)</f>
        <v/>
      </c>
      <c r="J295" s="3" t="str">
        <f>IF(COUNTIF(H225:H228,2)=4,2,IF(COUNTIF(H225:H228,1)=4,1,""))</f>
        <v/>
      </c>
      <c r="K295" s="567"/>
      <c r="L295" s="587"/>
      <c r="M295" s="403"/>
      <c r="N295" s="403"/>
      <c r="O295" s="403"/>
      <c r="P295" s="403"/>
      <c r="Q295" s="403" t="s">
        <v>4264</v>
      </c>
      <c r="R295" s="403"/>
      <c r="S295" s="403"/>
      <c r="T295" s="403"/>
      <c r="U295" s="403"/>
      <c r="V295" s="403"/>
      <c r="W295" s="403"/>
      <c r="X295" s="403"/>
      <c r="Y295" s="403"/>
      <c r="Z295" s="403"/>
      <c r="AA295" s="403"/>
      <c r="AB295" s="403"/>
      <c r="AC295" s="403" t="s">
        <v>7586</v>
      </c>
      <c r="AD295" s="403"/>
      <c r="AE295" s="403"/>
      <c r="AF295" s="403"/>
      <c r="AG295" s="403"/>
      <c r="AH295" s="403"/>
      <c r="AI295" s="403"/>
      <c r="AJ295" s="403"/>
      <c r="AK295" s="403"/>
      <c r="AL295" s="403"/>
      <c r="AM295" s="403"/>
      <c r="AN295" s="403"/>
      <c r="AO295" s="403" t="s">
        <v>7587</v>
      </c>
      <c r="AP295" s="403"/>
      <c r="AQ295" s="403"/>
      <c r="AR295" s="403"/>
      <c r="AS295" s="403"/>
      <c r="AT295" s="403"/>
      <c r="AU295" s="403"/>
      <c r="AV295" s="403"/>
      <c r="AW295" s="403"/>
      <c r="AX295" s="403"/>
      <c r="AY295" s="403"/>
      <c r="AZ295" s="403"/>
      <c r="BA295" s="403" t="s">
        <v>7588</v>
      </c>
      <c r="BB295" s="403"/>
      <c r="BC295" s="403"/>
      <c r="BD295" s="403"/>
      <c r="BE295" s="403"/>
      <c r="BF295" s="403"/>
      <c r="BG295" s="403"/>
      <c r="BH295" s="403"/>
      <c r="BI295" s="403"/>
      <c r="BJ295" s="403"/>
      <c r="BK295" s="403"/>
      <c r="BL295" s="403"/>
      <c r="BM295" s="403" t="s">
        <v>7589</v>
      </c>
      <c r="BN295" s="403"/>
      <c r="BO295" s="403"/>
      <c r="BP295" s="403"/>
      <c r="BQ295" s="403"/>
      <c r="BR295" s="403"/>
      <c r="BS295" s="403"/>
      <c r="BT295" s="403"/>
      <c r="BU295" s="403"/>
      <c r="BV295" s="403"/>
      <c r="BW295" s="403"/>
      <c r="BX295" s="403"/>
      <c r="BY295" s="403" t="s">
        <v>7590</v>
      </c>
      <c r="BZ295" s="403"/>
      <c r="CA295" s="403"/>
      <c r="CB295" s="403"/>
      <c r="CC295" s="403"/>
      <c r="CD295" s="403"/>
      <c r="CE295" s="403"/>
      <c r="CF295" s="403"/>
      <c r="CG295" s="403"/>
      <c r="CH295" s="403"/>
      <c r="CI295" s="403"/>
      <c r="CJ295" s="403"/>
      <c r="CK295" s="403" t="s">
        <v>7591</v>
      </c>
      <c r="CL295" s="403"/>
      <c r="CM295" s="403"/>
      <c r="CN295" s="403"/>
      <c r="CO295" s="403"/>
      <c r="CP295" s="403"/>
      <c r="CQ295" s="403"/>
      <c r="CR295" s="403"/>
      <c r="CS295" s="564"/>
    </row>
    <row r="296" spans="1:97" s="299" customFormat="1" ht="12.75" x14ac:dyDescent="0.2">
      <c r="B296" s="85"/>
      <c r="C296" s="622"/>
      <c r="D296" s="5" t="str">
        <f t="shared" ca="1" si="180"/>
        <v>Number of doses</v>
      </c>
      <c r="E296" s="407"/>
      <c r="F296" s="418">
        <f>Pop_Total_2020</f>
        <v>0</v>
      </c>
      <c r="I296" s="2" t="str">
        <f t="shared" ref="I296" ca="1" si="181">IF(OFFSET(V296,0,Lang_Order*Lang__A2)="","",OFFSET(V296,0,Lang_Order*Lang__A2))</f>
        <v/>
      </c>
      <c r="K296" s="567"/>
      <c r="L296" s="587"/>
      <c r="M296" s="403"/>
      <c r="N296" s="403"/>
      <c r="O296" s="403"/>
      <c r="P296" s="403"/>
      <c r="Q296" s="403" t="s">
        <v>4263</v>
      </c>
      <c r="R296" s="403"/>
      <c r="S296" s="403"/>
      <c r="T296" s="403"/>
      <c r="U296" s="403"/>
      <c r="V296" s="403"/>
      <c r="W296" s="403"/>
      <c r="X296" s="403"/>
      <c r="Y296" s="403"/>
      <c r="Z296" s="403"/>
      <c r="AA296" s="403"/>
      <c r="AB296" s="403"/>
      <c r="AC296" s="403" t="s">
        <v>7592</v>
      </c>
      <c r="AD296" s="403"/>
      <c r="AE296" s="403"/>
      <c r="AF296" s="403"/>
      <c r="AG296" s="403"/>
      <c r="AH296" s="403"/>
      <c r="AI296" s="403"/>
      <c r="AJ296" s="403"/>
      <c r="AK296" s="403"/>
      <c r="AL296" s="403"/>
      <c r="AM296" s="403"/>
      <c r="AN296" s="403"/>
      <c r="AO296" s="403" t="s">
        <v>7593</v>
      </c>
      <c r="AP296" s="403"/>
      <c r="AQ296" s="403"/>
      <c r="AR296" s="403"/>
      <c r="AS296" s="403"/>
      <c r="AT296" s="403"/>
      <c r="AU296" s="403"/>
      <c r="AV296" s="403"/>
      <c r="AW296" s="403"/>
      <c r="AX296" s="403"/>
      <c r="AY296" s="403"/>
      <c r="AZ296" s="403"/>
      <c r="BA296" s="403" t="s">
        <v>7588</v>
      </c>
      <c r="BB296" s="403"/>
      <c r="BC296" s="403"/>
      <c r="BD296" s="403"/>
      <c r="BE296" s="403"/>
      <c r="BF296" s="403"/>
      <c r="BG296" s="403"/>
      <c r="BH296" s="403"/>
      <c r="BI296" s="403"/>
      <c r="BJ296" s="403"/>
      <c r="BK296" s="403"/>
      <c r="BL296" s="403"/>
      <c r="BM296" s="403" t="s">
        <v>7594</v>
      </c>
      <c r="BN296" s="403"/>
      <c r="BO296" s="403"/>
      <c r="BP296" s="403"/>
      <c r="BQ296" s="403"/>
      <c r="BR296" s="403"/>
      <c r="BS296" s="403"/>
      <c r="BT296" s="403"/>
      <c r="BU296" s="403"/>
      <c r="BV296" s="403"/>
      <c r="BW296" s="403"/>
      <c r="BX296" s="403"/>
      <c r="BY296" s="403" t="s">
        <v>7595</v>
      </c>
      <c r="BZ296" s="403"/>
      <c r="CA296" s="403"/>
      <c r="CB296" s="403"/>
      <c r="CC296" s="403"/>
      <c r="CD296" s="403"/>
      <c r="CE296" s="403"/>
      <c r="CF296" s="403"/>
      <c r="CG296" s="403"/>
      <c r="CH296" s="403"/>
      <c r="CI296" s="403"/>
      <c r="CJ296" s="403"/>
      <c r="CK296" s="403" t="s">
        <v>7596</v>
      </c>
      <c r="CL296" s="403"/>
      <c r="CM296" s="403"/>
      <c r="CN296" s="403"/>
      <c r="CO296" s="403"/>
      <c r="CP296" s="403"/>
      <c r="CQ296" s="403"/>
      <c r="CR296" s="403"/>
      <c r="CS296" s="564"/>
    </row>
    <row r="297" spans="1:97" s="463" customFormat="1" ht="12.75" x14ac:dyDescent="0.2">
      <c r="B297" s="85"/>
      <c r="C297" s="622"/>
      <c r="D297" s="5" t="str">
        <f t="shared" ca="1" si="180"/>
        <v>as 'percent of total population in 2020':</v>
      </c>
      <c r="E297" s="453" t="e">
        <f>IF(H295=0,"",E296/(F296*H295))</f>
        <v>#VALUE!</v>
      </c>
      <c r="I297" s="2"/>
      <c r="K297" s="567"/>
      <c r="L297" s="567"/>
      <c r="M297" s="403"/>
      <c r="N297" s="403"/>
      <c r="O297" s="403"/>
      <c r="P297" s="403"/>
      <c r="Q297" s="403" t="s">
        <v>4406</v>
      </c>
      <c r="R297" s="403"/>
      <c r="S297" s="403"/>
      <c r="T297" s="403"/>
      <c r="U297" s="403"/>
      <c r="V297" s="403"/>
      <c r="W297" s="403"/>
      <c r="X297" s="403"/>
      <c r="Y297" s="403"/>
      <c r="Z297" s="403"/>
      <c r="AA297" s="403"/>
      <c r="AB297" s="403"/>
      <c r="AC297" s="403" t="s">
        <v>7597</v>
      </c>
      <c r="AD297" s="403"/>
      <c r="AE297" s="403"/>
      <c r="AF297" s="403"/>
      <c r="AG297" s="403"/>
      <c r="AH297" s="403"/>
      <c r="AI297" s="403"/>
      <c r="AJ297" s="403"/>
      <c r="AK297" s="403"/>
      <c r="AL297" s="403"/>
      <c r="AM297" s="403"/>
      <c r="AN297" s="403"/>
      <c r="AO297" s="403" t="s">
        <v>7598</v>
      </c>
      <c r="AP297" s="403"/>
      <c r="AQ297" s="403"/>
      <c r="AR297" s="403"/>
      <c r="AS297" s="403"/>
      <c r="AT297" s="403"/>
      <c r="AU297" s="403"/>
      <c r="AV297" s="403"/>
      <c r="AW297" s="403"/>
      <c r="AX297" s="403"/>
      <c r="AY297" s="403"/>
      <c r="AZ297" s="403"/>
      <c r="BA297" s="403" t="s">
        <v>7599</v>
      </c>
      <c r="BB297" s="403"/>
      <c r="BC297" s="403"/>
      <c r="BD297" s="403"/>
      <c r="BE297" s="403"/>
      <c r="BF297" s="403"/>
      <c r="BG297" s="403"/>
      <c r="BH297" s="403"/>
      <c r="BI297" s="403"/>
      <c r="BJ297" s="403"/>
      <c r="BK297" s="403"/>
      <c r="BL297" s="403"/>
      <c r="BM297" s="403" t="s">
        <v>7600</v>
      </c>
      <c r="BN297" s="403"/>
      <c r="BO297" s="403"/>
      <c r="BP297" s="403"/>
      <c r="BQ297" s="403"/>
      <c r="BR297" s="403"/>
      <c r="BS297" s="403"/>
      <c r="BT297" s="403"/>
      <c r="BU297" s="403"/>
      <c r="BV297" s="403"/>
      <c r="BW297" s="403"/>
      <c r="BX297" s="403"/>
      <c r="BY297" s="403" t="s">
        <v>7601</v>
      </c>
      <c r="BZ297" s="403"/>
      <c r="CA297" s="403"/>
      <c r="CB297" s="403"/>
      <c r="CC297" s="403"/>
      <c r="CD297" s="403"/>
      <c r="CE297" s="403"/>
      <c r="CF297" s="403"/>
      <c r="CG297" s="403"/>
      <c r="CH297" s="403"/>
      <c r="CI297" s="403"/>
      <c r="CJ297" s="403"/>
      <c r="CK297" s="403" t="s">
        <v>7602</v>
      </c>
      <c r="CL297" s="403"/>
      <c r="CM297" s="403"/>
      <c r="CN297" s="403"/>
      <c r="CO297" s="403"/>
      <c r="CP297" s="403"/>
      <c r="CQ297" s="403"/>
      <c r="CR297" s="403"/>
      <c r="CS297" s="564"/>
    </row>
    <row r="298" spans="1:97" s="299" customFormat="1" ht="12.75" x14ac:dyDescent="0.2">
      <c r="C298" s="622"/>
      <c r="K298" s="567"/>
      <c r="L298" s="567"/>
      <c r="M298" s="403"/>
      <c r="N298" s="403"/>
      <c r="O298" s="403"/>
      <c r="P298" s="403"/>
      <c r="Q298" s="403"/>
      <c r="R298" s="403"/>
      <c r="S298" s="403"/>
      <c r="T298" s="403"/>
      <c r="U298" s="403"/>
      <c r="V298" s="403"/>
      <c r="W298" s="403"/>
      <c r="X298" s="403"/>
      <c r="Y298" s="403"/>
      <c r="Z298" s="403"/>
      <c r="AA298" s="403"/>
      <c r="AB298" s="403"/>
      <c r="AC298" s="403"/>
      <c r="AD298" s="403"/>
      <c r="AE298" s="403"/>
      <c r="AF298" s="403"/>
      <c r="AG298" s="403"/>
      <c r="AH298" s="403"/>
      <c r="AI298" s="403"/>
      <c r="AJ298" s="403"/>
      <c r="AK298" s="403"/>
      <c r="AL298" s="403"/>
      <c r="AM298" s="403"/>
      <c r="AN298" s="403"/>
      <c r="AO298" s="403"/>
      <c r="AP298" s="403"/>
      <c r="AQ298" s="403"/>
      <c r="AR298" s="403"/>
      <c r="AS298" s="403"/>
      <c r="AT298" s="403"/>
      <c r="AU298" s="403"/>
      <c r="AV298" s="403"/>
      <c r="AW298" s="403"/>
      <c r="AX298" s="403"/>
      <c r="AY298" s="403"/>
      <c r="AZ298" s="403"/>
      <c r="BA298" s="403"/>
      <c r="BB298" s="403"/>
      <c r="BC298" s="403"/>
      <c r="BD298" s="403"/>
      <c r="BE298" s="403"/>
      <c r="BF298" s="403"/>
      <c r="BG298" s="403"/>
      <c r="BH298" s="403"/>
      <c r="BI298" s="403"/>
      <c r="BJ298" s="403"/>
      <c r="BK298" s="403"/>
      <c r="BL298" s="403"/>
      <c r="BM298" s="403"/>
      <c r="BN298" s="403"/>
      <c r="BO298" s="403"/>
      <c r="BP298" s="403"/>
      <c r="BQ298" s="403"/>
      <c r="BR298" s="403"/>
      <c r="BS298" s="403"/>
      <c r="BT298" s="403"/>
      <c r="BU298" s="403"/>
      <c r="BV298" s="403"/>
      <c r="BW298" s="403"/>
      <c r="BX298" s="403"/>
      <c r="BY298" s="403"/>
      <c r="BZ298" s="403"/>
      <c r="CA298" s="403"/>
      <c r="CB298" s="403"/>
      <c r="CC298" s="403"/>
      <c r="CD298" s="403"/>
      <c r="CE298" s="403"/>
      <c r="CF298" s="403"/>
      <c r="CG298" s="403"/>
      <c r="CH298" s="403"/>
      <c r="CI298" s="403"/>
      <c r="CJ298" s="403"/>
      <c r="CK298" s="403"/>
      <c r="CL298" s="403"/>
      <c r="CM298" s="403"/>
      <c r="CN298" s="403"/>
      <c r="CO298" s="403"/>
      <c r="CP298" s="403"/>
      <c r="CQ298" s="403"/>
      <c r="CR298" s="403"/>
      <c r="CS298" s="564"/>
    </row>
    <row r="299" spans="1:97" s="194" customFormat="1" ht="12.75" x14ac:dyDescent="0.2">
      <c r="B299" s="85"/>
      <c r="C299" s="624" t="str">
        <f t="shared" ref="C299" ca="1" si="182">IF(OFFSET(P299,0,Lang_Order*Lang__A2)="","",OFFSET(P299,0,Lang_Order*Lang__A2))</f>
        <v>Gavi COVAX Advance Market Commitment (AMC) Countries</v>
      </c>
      <c r="E299" s="542"/>
      <c r="F299" s="542"/>
      <c r="G299" s="542"/>
      <c r="H299" s="542"/>
      <c r="K299" s="567"/>
      <c r="L299" s="567"/>
      <c r="M299" s="403"/>
      <c r="N299" s="403"/>
      <c r="O299" s="403"/>
      <c r="P299" s="403" t="s">
        <v>4239</v>
      </c>
      <c r="Q299" s="403"/>
      <c r="R299" s="403"/>
      <c r="S299" s="403"/>
      <c r="T299" s="403"/>
      <c r="U299" s="403"/>
      <c r="V299" s="403"/>
      <c r="W299" s="403"/>
      <c r="X299" s="403" t="s">
        <v>197</v>
      </c>
      <c r="Y299" s="403"/>
      <c r="Z299" s="403"/>
      <c r="AA299" s="403"/>
      <c r="AB299" s="403" t="s">
        <v>7603</v>
      </c>
      <c r="AC299" s="403"/>
      <c r="AD299" s="403"/>
      <c r="AE299" s="403"/>
      <c r="AF299" s="403"/>
      <c r="AG299" s="403"/>
      <c r="AH299" s="403"/>
      <c r="AI299" s="403"/>
      <c r="AJ299" s="403"/>
      <c r="AK299" s="403"/>
      <c r="AL299" s="403"/>
      <c r="AM299" s="403"/>
      <c r="AN299" s="403" t="s">
        <v>7604</v>
      </c>
      <c r="AO299" s="403"/>
      <c r="AP299" s="403"/>
      <c r="AQ299" s="403"/>
      <c r="AR299" s="403"/>
      <c r="AS299" s="403"/>
      <c r="AT299" s="403"/>
      <c r="AU299" s="403"/>
      <c r="AV299" s="403"/>
      <c r="AW299" s="403"/>
      <c r="AX299" s="403"/>
      <c r="AY299" s="403"/>
      <c r="AZ299" s="403" t="s">
        <v>7605</v>
      </c>
      <c r="BA299" s="403"/>
      <c r="BB299" s="403"/>
      <c r="BC299" s="403"/>
      <c r="BD299" s="403"/>
      <c r="BE299" s="403"/>
      <c r="BF299" s="403"/>
      <c r="BG299" s="403"/>
      <c r="BH299" s="403"/>
      <c r="BI299" s="403"/>
      <c r="BJ299" s="403"/>
      <c r="BK299" s="403"/>
      <c r="BL299" s="403" t="s">
        <v>7606</v>
      </c>
      <c r="BM299" s="403"/>
      <c r="BN299" s="403"/>
      <c r="BO299" s="403"/>
      <c r="BP299" s="403"/>
      <c r="BQ299" s="403"/>
      <c r="BR299" s="403"/>
      <c r="BS299" s="403"/>
      <c r="BT299" s="403"/>
      <c r="BU299" s="403"/>
      <c r="BV299" s="403"/>
      <c r="BW299" s="403"/>
      <c r="BX299" s="403" t="s">
        <v>7607</v>
      </c>
      <c r="BY299" s="403"/>
      <c r="BZ299" s="403"/>
      <c r="CA299" s="403"/>
      <c r="CB299" s="403"/>
      <c r="CC299" s="403"/>
      <c r="CD299" s="403"/>
      <c r="CE299" s="403"/>
      <c r="CF299" s="403"/>
      <c r="CG299" s="403"/>
      <c r="CH299" s="403"/>
      <c r="CI299" s="403"/>
      <c r="CJ299" s="403" t="s">
        <v>7608</v>
      </c>
      <c r="CK299" s="403"/>
      <c r="CL299" s="403"/>
      <c r="CM299" s="403"/>
      <c r="CN299" s="403"/>
      <c r="CO299" s="403"/>
      <c r="CP299" s="403"/>
      <c r="CQ299" s="403"/>
      <c r="CR299" s="403"/>
      <c r="CS299" s="564"/>
    </row>
    <row r="300" spans="1:97" s="272" customFormat="1" ht="12.75" x14ac:dyDescent="0.2">
      <c r="B300" s="85"/>
      <c r="C300" s="624"/>
      <c r="D300" s="5" t="str">
        <f t="shared" ref="D300:D304" ca="1" si="183">IF(OFFSET(Q300,0,Lang_Order*Lang__A2)="","",OFFSET(Q300,0,Lang_Order*Lang__A2))</f>
        <v>Fully-subsidized doses (2021)</v>
      </c>
      <c r="F300" s="299"/>
      <c r="G300" s="518"/>
      <c r="H300" s="57">
        <f>IF(AMC_Status=1,MIN(SUM(H287:H292),J300),0)</f>
        <v>0</v>
      </c>
      <c r="I300" s="73" t="str">
        <f ca="1">IF(OFFSET(V292,0,Lang_Order*Lang__A2)="","",OFFSET(V292,0,Lang_Order*Lang__A2))</f>
        <v>Percent of total population in 2020</v>
      </c>
      <c r="J300" s="486">
        <f>J287+J288</f>
        <v>0.2</v>
      </c>
      <c r="K300" s="567"/>
      <c r="L300" s="567"/>
      <c r="M300" s="403"/>
      <c r="N300" s="403"/>
      <c r="O300" s="403"/>
      <c r="P300" s="403"/>
      <c r="Q300" s="403" t="s">
        <v>4359</v>
      </c>
      <c r="R300" s="403"/>
      <c r="S300" s="403"/>
      <c r="T300" s="403"/>
      <c r="U300" s="403"/>
      <c r="V300" s="403"/>
      <c r="W300" s="403"/>
      <c r="X300" s="403" t="s">
        <v>197</v>
      </c>
      <c r="Y300" s="403"/>
      <c r="Z300" s="403"/>
      <c r="AA300" s="403"/>
      <c r="AB300" s="403"/>
      <c r="AC300" s="403" t="s">
        <v>7609</v>
      </c>
      <c r="AD300" s="403"/>
      <c r="AE300" s="403"/>
      <c r="AF300" s="403"/>
      <c r="AG300" s="403"/>
      <c r="AH300" s="403"/>
      <c r="AI300" s="403"/>
      <c r="AJ300" s="403"/>
      <c r="AK300" s="403"/>
      <c r="AL300" s="403"/>
      <c r="AM300" s="403"/>
      <c r="AN300" s="403"/>
      <c r="AO300" s="403" t="s">
        <v>7610</v>
      </c>
      <c r="AP300" s="403"/>
      <c r="AQ300" s="403"/>
      <c r="AR300" s="403"/>
      <c r="AS300" s="403"/>
      <c r="AT300" s="403"/>
      <c r="AU300" s="403"/>
      <c r="AV300" s="403"/>
      <c r="AW300" s="403"/>
      <c r="AX300" s="403"/>
      <c r="AY300" s="403"/>
      <c r="AZ300" s="403"/>
      <c r="BA300" s="403" t="s">
        <v>7611</v>
      </c>
      <c r="BB300" s="403"/>
      <c r="BC300" s="403"/>
      <c r="BD300" s="403"/>
      <c r="BE300" s="403"/>
      <c r="BF300" s="403"/>
      <c r="BG300" s="403"/>
      <c r="BH300" s="403"/>
      <c r="BI300" s="403"/>
      <c r="BJ300" s="403"/>
      <c r="BK300" s="403"/>
      <c r="BL300" s="403"/>
      <c r="BM300" s="403" t="s">
        <v>7612</v>
      </c>
      <c r="BN300" s="403"/>
      <c r="BO300" s="403"/>
      <c r="BP300" s="403"/>
      <c r="BQ300" s="403"/>
      <c r="BR300" s="403"/>
      <c r="BS300" s="403"/>
      <c r="BT300" s="403"/>
      <c r="BU300" s="403"/>
      <c r="BV300" s="403"/>
      <c r="BW300" s="403"/>
      <c r="BX300" s="403"/>
      <c r="BY300" s="403" t="s">
        <v>7613</v>
      </c>
      <c r="BZ300" s="403"/>
      <c r="CA300" s="403"/>
      <c r="CB300" s="403"/>
      <c r="CC300" s="403"/>
      <c r="CD300" s="403"/>
      <c r="CE300" s="403"/>
      <c r="CF300" s="403"/>
      <c r="CG300" s="403"/>
      <c r="CH300" s="403"/>
      <c r="CI300" s="403"/>
      <c r="CJ300" s="403"/>
      <c r="CK300" s="403" t="s">
        <v>7614</v>
      </c>
      <c r="CL300" s="403"/>
      <c r="CM300" s="403"/>
      <c r="CN300" s="403"/>
      <c r="CO300" s="403"/>
      <c r="CP300" s="403"/>
      <c r="CQ300" s="403"/>
      <c r="CR300" s="403"/>
      <c r="CS300" s="564"/>
    </row>
    <row r="301" spans="1:97" s="272" customFormat="1" ht="12.75" x14ac:dyDescent="0.2">
      <c r="B301" s="85"/>
      <c r="C301" s="624"/>
      <c r="D301" s="6" t="str">
        <f t="shared" ca="1" si="183"/>
        <v>Cost-sharing doses (orders above fully-subsidized doses; 2021)</v>
      </c>
      <c r="G301" s="543"/>
      <c r="H301" s="57">
        <f>MAX(SUM(H287:H292)-J300,0)</f>
        <v>0</v>
      </c>
      <c r="I301" s="73" t="str">
        <f ca="1">IF(OFFSET(V292,0,Lang_Order*Lang__A2)="","",OFFSET(V292,0,Lang_Order*Lang__A2))</f>
        <v>Percent of total population in 2020</v>
      </c>
      <c r="K301" s="567"/>
      <c r="L301" s="567"/>
      <c r="M301" s="403"/>
      <c r="N301" s="403"/>
      <c r="O301" s="403"/>
      <c r="P301" s="403"/>
      <c r="Q301" s="403" t="s">
        <v>4360</v>
      </c>
      <c r="R301" s="403"/>
      <c r="S301" s="403"/>
      <c r="T301" s="403"/>
      <c r="U301" s="403"/>
      <c r="V301" s="403"/>
      <c r="W301" s="403"/>
      <c r="X301" s="403"/>
      <c r="Y301" s="403"/>
      <c r="Z301" s="403"/>
      <c r="AA301" s="403"/>
      <c r="AB301" s="403"/>
      <c r="AC301" s="403" t="s">
        <v>7615</v>
      </c>
      <c r="AD301" s="403"/>
      <c r="AE301" s="403"/>
      <c r="AF301" s="403"/>
      <c r="AG301" s="403"/>
      <c r="AH301" s="403"/>
      <c r="AI301" s="403"/>
      <c r="AJ301" s="403"/>
      <c r="AK301" s="403"/>
      <c r="AL301" s="403"/>
      <c r="AM301" s="403"/>
      <c r="AN301" s="403"/>
      <c r="AO301" s="403" t="s">
        <v>7616</v>
      </c>
      <c r="AP301" s="403"/>
      <c r="AQ301" s="403"/>
      <c r="AR301" s="403"/>
      <c r="AS301" s="403"/>
      <c r="AT301" s="403"/>
      <c r="AU301" s="403"/>
      <c r="AV301" s="403"/>
      <c r="AW301" s="403"/>
      <c r="AX301" s="403"/>
      <c r="AY301" s="403"/>
      <c r="AZ301" s="403"/>
      <c r="BA301" s="403" t="s">
        <v>7617</v>
      </c>
      <c r="BB301" s="403"/>
      <c r="BC301" s="403"/>
      <c r="BD301" s="403"/>
      <c r="BE301" s="403"/>
      <c r="BF301" s="403"/>
      <c r="BG301" s="403"/>
      <c r="BH301" s="403"/>
      <c r="BI301" s="403"/>
      <c r="BJ301" s="403"/>
      <c r="BK301" s="403"/>
      <c r="BL301" s="403"/>
      <c r="BM301" s="403" t="s">
        <v>7618</v>
      </c>
      <c r="BN301" s="403"/>
      <c r="BO301" s="403"/>
      <c r="BP301" s="403"/>
      <c r="BQ301" s="403"/>
      <c r="BR301" s="403"/>
      <c r="BS301" s="403"/>
      <c r="BT301" s="403"/>
      <c r="BU301" s="403"/>
      <c r="BV301" s="403"/>
      <c r="BW301" s="403"/>
      <c r="BX301" s="403"/>
      <c r="BY301" s="403" t="s">
        <v>7619</v>
      </c>
      <c r="BZ301" s="403"/>
      <c r="CA301" s="403"/>
      <c r="CB301" s="403"/>
      <c r="CC301" s="403"/>
      <c r="CD301" s="403"/>
      <c r="CE301" s="403"/>
      <c r="CF301" s="403"/>
      <c r="CG301" s="403"/>
      <c r="CH301" s="403"/>
      <c r="CI301" s="403"/>
      <c r="CJ301" s="403"/>
      <c r="CK301" s="403" t="s">
        <v>7620</v>
      </c>
      <c r="CL301" s="403"/>
      <c r="CM301" s="403"/>
      <c r="CN301" s="403"/>
      <c r="CO301" s="403"/>
      <c r="CP301" s="403"/>
      <c r="CQ301" s="403"/>
      <c r="CR301" s="403"/>
      <c r="CS301" s="564"/>
    </row>
    <row r="302" spans="1:97" s="122" customFormat="1" ht="12.75" x14ac:dyDescent="0.2">
      <c r="A302" s="9"/>
      <c r="B302" s="85"/>
      <c r="C302" s="627"/>
      <c r="D302" s="23" t="str">
        <f ca="1">IF(OFFSET(Q302,0,Lang_Order*Lang__A2)="","",OFFSET(Q302,0,Lang_Order*Lang__A2))</f>
        <v>Implied Covax subsidy (covered by Covax for AMC countries)</v>
      </c>
      <c r="E302" s="463"/>
      <c r="F302" s="463"/>
      <c r="G302" s="527"/>
      <c r="H302" s="117">
        <f>IF(AMC_Status=1,H300*Pop_Total_2020*2*J302,0)</f>
        <v>0</v>
      </c>
      <c r="I302" s="2" t="s">
        <v>26</v>
      </c>
      <c r="J302" s="474">
        <f>_xlfn.NUMBERVALUE('T1s. Vaccine-related Supplies'!B13)</f>
        <v>7</v>
      </c>
      <c r="K302" s="143" t="str">
        <f t="shared" ca="1" si="169"/>
        <v>For costing vaccine doses which are supplied by Covax, a 1-dose course vaccine (e.g. JNJ-78436735) will use the same average price per course as a 2-dose course vaccine. Vaccine delivery costs will differ.</v>
      </c>
      <c r="L302" s="567"/>
      <c r="M302" s="403"/>
      <c r="N302" s="403"/>
      <c r="O302" s="403"/>
      <c r="P302" s="403"/>
      <c r="Q302" s="403" t="s">
        <v>4361</v>
      </c>
      <c r="R302" s="403"/>
      <c r="S302" s="403"/>
      <c r="T302" s="403"/>
      <c r="U302" s="403"/>
      <c r="V302" s="403"/>
      <c r="W302" s="403"/>
      <c r="X302" s="403" t="s">
        <v>4610</v>
      </c>
      <c r="Y302" s="403"/>
      <c r="Z302" s="403"/>
      <c r="AA302" s="403"/>
      <c r="AB302" s="403"/>
      <c r="AC302" s="403" t="s">
        <v>7621</v>
      </c>
      <c r="AD302" s="403"/>
      <c r="AE302" s="403"/>
      <c r="AF302" s="403"/>
      <c r="AG302" s="403"/>
      <c r="AH302" s="403"/>
      <c r="AI302" s="403"/>
      <c r="AJ302" s="403" t="s">
        <v>13974</v>
      </c>
      <c r="AK302" s="403"/>
      <c r="AL302" s="403"/>
      <c r="AM302" s="403"/>
      <c r="AN302" s="403"/>
      <c r="AO302" s="403" t="s">
        <v>7622</v>
      </c>
      <c r="AP302" s="403"/>
      <c r="AQ302" s="403"/>
      <c r="AR302" s="403"/>
      <c r="AS302" s="403"/>
      <c r="AT302" s="403"/>
      <c r="AU302" s="403"/>
      <c r="AV302" s="403" t="s">
        <v>13975</v>
      </c>
      <c r="AW302" s="403"/>
      <c r="AX302" s="403"/>
      <c r="AY302" s="403"/>
      <c r="AZ302" s="403"/>
      <c r="BA302" s="403" t="s">
        <v>7623</v>
      </c>
      <c r="BB302" s="403"/>
      <c r="BC302" s="403"/>
      <c r="BD302" s="403"/>
      <c r="BE302" s="403"/>
      <c r="BF302" s="403"/>
      <c r="BG302" s="403"/>
      <c r="BH302" s="403" t="s">
        <v>13976</v>
      </c>
      <c r="BI302" s="403"/>
      <c r="BJ302" s="403"/>
      <c r="BK302" s="403"/>
      <c r="BL302" s="403"/>
      <c r="BM302" s="403" t="s">
        <v>7624</v>
      </c>
      <c r="BN302" s="403"/>
      <c r="BO302" s="403"/>
      <c r="BP302" s="403"/>
      <c r="BQ302" s="403"/>
      <c r="BR302" s="403"/>
      <c r="BS302" s="403"/>
      <c r="BT302" s="403" t="s">
        <v>13977</v>
      </c>
      <c r="BU302" s="403"/>
      <c r="BV302" s="403"/>
      <c r="BW302" s="403"/>
      <c r="BX302" s="403"/>
      <c r="BY302" s="403" t="s">
        <v>7625</v>
      </c>
      <c r="BZ302" s="403"/>
      <c r="CA302" s="403"/>
      <c r="CB302" s="403"/>
      <c r="CC302" s="403"/>
      <c r="CD302" s="403"/>
      <c r="CE302" s="403"/>
      <c r="CF302" s="403" t="s">
        <v>13978</v>
      </c>
      <c r="CG302" s="403"/>
      <c r="CH302" s="403"/>
      <c r="CI302" s="403"/>
      <c r="CJ302" s="403"/>
      <c r="CK302" s="403" t="s">
        <v>7626</v>
      </c>
      <c r="CL302" s="403"/>
      <c r="CM302" s="403"/>
      <c r="CN302" s="403"/>
      <c r="CO302" s="403"/>
      <c r="CP302" s="403"/>
      <c r="CQ302" s="403"/>
      <c r="CR302" s="403" t="s">
        <v>13979</v>
      </c>
      <c r="CS302" s="564"/>
    </row>
    <row r="303" spans="1:97" s="15" customFormat="1" ht="12.75" x14ac:dyDescent="0.2">
      <c r="A303" s="350">
        <v>2</v>
      </c>
      <c r="B303" s="85"/>
      <c r="C303" s="627"/>
      <c r="D303" s="66" t="str">
        <f t="shared" ca="1" si="183"/>
        <v>Cost-sharing fully-loaded price per dose</v>
      </c>
      <c r="E303" s="39"/>
      <c r="F303" s="81" t="str">
        <f t="shared" ref="F303" si="184">Lang_LeaveBlank</f>
        <v>Leave Blank</v>
      </c>
      <c r="G303" s="299"/>
      <c r="H303" s="474">
        <f>IF(ISBLANK(E303),J303,E303)</f>
        <v>7</v>
      </c>
      <c r="I303" s="2" t="str">
        <f t="shared" ca="1" si="169"/>
        <v>USD per dose</v>
      </c>
      <c r="J303" s="474">
        <f>_xlfn.NUMBERVALUE('T1s. Vaccine-related Supplies'!C13)</f>
        <v>7</v>
      </c>
      <c r="K303" s="143" t="str">
        <f t="shared" ca="1" si="169"/>
        <v>Price for additional (cost sharing) doses; Leave blank to use default (Covax estimated fully-loaded average price)</v>
      </c>
      <c r="L303" s="587"/>
      <c r="M303" s="403"/>
      <c r="N303" s="403"/>
      <c r="O303" s="403"/>
      <c r="P303" s="403"/>
      <c r="Q303" s="403" t="s">
        <v>4365</v>
      </c>
      <c r="R303" s="403"/>
      <c r="S303" s="403"/>
      <c r="T303" s="403"/>
      <c r="U303" s="403"/>
      <c r="V303" s="403" t="s">
        <v>4364</v>
      </c>
      <c r="W303" s="403"/>
      <c r="X303" s="403" t="s">
        <v>4363</v>
      </c>
      <c r="Y303" s="403"/>
      <c r="Z303" s="403"/>
      <c r="AA303" s="403"/>
      <c r="AB303" s="403"/>
      <c r="AC303" s="403" t="s">
        <v>7627</v>
      </c>
      <c r="AD303" s="403"/>
      <c r="AE303" s="403"/>
      <c r="AF303" s="403"/>
      <c r="AG303" s="403"/>
      <c r="AH303" s="403" t="s">
        <v>13968</v>
      </c>
      <c r="AI303" s="403"/>
      <c r="AJ303" s="403" t="s">
        <v>7628</v>
      </c>
      <c r="AK303" s="403"/>
      <c r="AL303" s="403"/>
      <c r="AM303" s="403"/>
      <c r="AN303" s="403"/>
      <c r="AO303" s="403" t="s">
        <v>7629</v>
      </c>
      <c r="AP303" s="403"/>
      <c r="AQ303" s="403"/>
      <c r="AR303" s="403"/>
      <c r="AS303" s="403"/>
      <c r="AT303" s="403" t="s">
        <v>13969</v>
      </c>
      <c r="AU303" s="403"/>
      <c r="AV303" s="403" t="s">
        <v>7630</v>
      </c>
      <c r="AW303" s="403"/>
      <c r="AX303" s="403"/>
      <c r="AY303" s="403"/>
      <c r="AZ303" s="403"/>
      <c r="BA303" s="403" t="s">
        <v>7631</v>
      </c>
      <c r="BB303" s="403"/>
      <c r="BC303" s="403"/>
      <c r="BD303" s="403"/>
      <c r="BE303" s="403"/>
      <c r="BF303" s="403" t="s">
        <v>13970</v>
      </c>
      <c r="BG303" s="403"/>
      <c r="BH303" s="403" t="s">
        <v>7632</v>
      </c>
      <c r="BI303" s="403"/>
      <c r="BJ303" s="403"/>
      <c r="BK303" s="403"/>
      <c r="BL303" s="403"/>
      <c r="BM303" s="403" t="s">
        <v>7633</v>
      </c>
      <c r="BN303" s="403"/>
      <c r="BO303" s="403"/>
      <c r="BP303" s="403"/>
      <c r="BQ303" s="403"/>
      <c r="BR303" s="403" t="s">
        <v>13971</v>
      </c>
      <c r="BS303" s="403"/>
      <c r="BT303" s="403" t="s">
        <v>7634</v>
      </c>
      <c r="BU303" s="403"/>
      <c r="BV303" s="403"/>
      <c r="BW303" s="403"/>
      <c r="BX303" s="403"/>
      <c r="BY303" s="403" t="s">
        <v>7635</v>
      </c>
      <c r="BZ303" s="403"/>
      <c r="CA303" s="403"/>
      <c r="CB303" s="403"/>
      <c r="CC303" s="403"/>
      <c r="CD303" s="403" t="s">
        <v>13972</v>
      </c>
      <c r="CE303" s="403"/>
      <c r="CF303" s="403" t="s">
        <v>7636</v>
      </c>
      <c r="CG303" s="403"/>
      <c r="CH303" s="403"/>
      <c r="CI303" s="403"/>
      <c r="CJ303" s="403"/>
      <c r="CK303" s="403" t="s">
        <v>7637</v>
      </c>
      <c r="CL303" s="403"/>
      <c r="CM303" s="403"/>
      <c r="CN303" s="403"/>
      <c r="CO303" s="403"/>
      <c r="CP303" s="403" t="s">
        <v>13973</v>
      </c>
      <c r="CQ303" s="403"/>
      <c r="CR303" s="403" t="s">
        <v>7638</v>
      </c>
      <c r="CS303" s="564"/>
    </row>
    <row r="304" spans="1:97" s="193" customFormat="1" ht="12.75" x14ac:dyDescent="0.2">
      <c r="A304" s="9"/>
      <c r="B304" s="85"/>
      <c r="C304" s="627"/>
      <c r="D304" s="23" t="str">
        <f t="shared" ca="1" si="183"/>
        <v>Cost-sharing for additional doses</v>
      </c>
      <c r="E304" s="463"/>
      <c r="F304" s="463"/>
      <c r="G304" s="527"/>
      <c r="H304" s="117">
        <f>IF(AMC_Status=1,H301*Pop_Total_2020*2*AMC_CostSharing,0)</f>
        <v>0</v>
      </c>
      <c r="I304" s="2" t="s">
        <v>26</v>
      </c>
      <c r="J304" s="299"/>
      <c r="K304" s="143" t="str">
        <f t="shared" ca="1" si="169"/>
        <v>For costing vaccine doses which are supplied by Covax, a 1-dose course vaccine (e.g. JNJ-78436735) will use the same average price per course as a 2-dose course vaccine. Vaccine delivery costs will differ.</v>
      </c>
      <c r="L304" s="567"/>
      <c r="M304" s="403"/>
      <c r="N304" s="403"/>
      <c r="O304" s="403"/>
      <c r="P304" s="403"/>
      <c r="Q304" s="403" t="s">
        <v>4358</v>
      </c>
      <c r="R304" s="403"/>
      <c r="S304" s="403"/>
      <c r="T304" s="403"/>
      <c r="U304" s="403"/>
      <c r="V304" s="403"/>
      <c r="W304" s="403"/>
      <c r="X304" s="403" t="s">
        <v>4610</v>
      </c>
      <c r="Y304" s="403"/>
      <c r="Z304" s="403"/>
      <c r="AA304" s="403"/>
      <c r="AB304" s="403"/>
      <c r="AC304" s="403" t="s">
        <v>7639</v>
      </c>
      <c r="AD304" s="403"/>
      <c r="AE304" s="403"/>
      <c r="AF304" s="403"/>
      <c r="AG304" s="403"/>
      <c r="AH304" s="403"/>
      <c r="AI304" s="403"/>
      <c r="AJ304" s="403" t="s">
        <v>13974</v>
      </c>
      <c r="AK304" s="403"/>
      <c r="AL304" s="403"/>
      <c r="AM304" s="403"/>
      <c r="AN304" s="403"/>
      <c r="AO304" s="403" t="s">
        <v>7640</v>
      </c>
      <c r="AP304" s="403"/>
      <c r="AQ304" s="403"/>
      <c r="AR304" s="403"/>
      <c r="AS304" s="403"/>
      <c r="AT304" s="403"/>
      <c r="AU304" s="403"/>
      <c r="AV304" s="403" t="s">
        <v>13975</v>
      </c>
      <c r="AW304" s="403"/>
      <c r="AX304" s="403"/>
      <c r="AY304" s="403"/>
      <c r="AZ304" s="403"/>
      <c r="BA304" s="403" t="s">
        <v>7641</v>
      </c>
      <c r="BB304" s="403"/>
      <c r="BC304" s="403"/>
      <c r="BD304" s="403"/>
      <c r="BE304" s="403"/>
      <c r="BF304" s="403"/>
      <c r="BG304" s="403"/>
      <c r="BH304" s="403" t="s">
        <v>13976</v>
      </c>
      <c r="BI304" s="403"/>
      <c r="BJ304" s="403"/>
      <c r="BK304" s="403"/>
      <c r="BL304" s="403"/>
      <c r="BM304" s="403" t="s">
        <v>7642</v>
      </c>
      <c r="BN304" s="403"/>
      <c r="BO304" s="403"/>
      <c r="BP304" s="403"/>
      <c r="BQ304" s="403"/>
      <c r="BR304" s="403"/>
      <c r="BS304" s="403"/>
      <c r="BT304" s="403" t="s">
        <v>13977</v>
      </c>
      <c r="BU304" s="403"/>
      <c r="BV304" s="403"/>
      <c r="BW304" s="403"/>
      <c r="BX304" s="403"/>
      <c r="BY304" s="403" t="s">
        <v>7643</v>
      </c>
      <c r="BZ304" s="403"/>
      <c r="CA304" s="403"/>
      <c r="CB304" s="403"/>
      <c r="CC304" s="403"/>
      <c r="CD304" s="403"/>
      <c r="CE304" s="403"/>
      <c r="CF304" s="403" t="s">
        <v>13978</v>
      </c>
      <c r="CG304" s="403"/>
      <c r="CH304" s="403"/>
      <c r="CI304" s="403"/>
      <c r="CJ304" s="403"/>
      <c r="CK304" s="403" t="s">
        <v>7644</v>
      </c>
      <c r="CL304" s="403"/>
      <c r="CM304" s="403"/>
      <c r="CN304" s="403"/>
      <c r="CO304" s="403"/>
      <c r="CP304" s="403"/>
      <c r="CQ304" s="403"/>
      <c r="CR304" s="403" t="s">
        <v>13979</v>
      </c>
      <c r="CS304" s="564"/>
    </row>
    <row r="305" spans="1:97" s="15" customFormat="1" ht="12.75" x14ac:dyDescent="0.2">
      <c r="A305" s="9"/>
      <c r="B305" s="85"/>
      <c r="C305" s="627"/>
      <c r="D305" s="23"/>
      <c r="E305" s="122"/>
      <c r="F305" s="463"/>
      <c r="G305" s="463"/>
      <c r="H305" s="5"/>
      <c r="I305" s="5"/>
      <c r="J305" s="299"/>
      <c r="K305" s="567"/>
      <c r="L305" s="567"/>
      <c r="M305" s="403"/>
      <c r="N305" s="403"/>
      <c r="O305" s="403"/>
      <c r="P305" s="403"/>
      <c r="Q305" s="403"/>
      <c r="R305" s="403"/>
      <c r="S305" s="403"/>
      <c r="T305" s="403"/>
      <c r="U305" s="403"/>
      <c r="V305" s="403"/>
      <c r="W305" s="403"/>
      <c r="X305" s="403" t="s">
        <v>197</v>
      </c>
      <c r="Y305" s="403"/>
      <c r="Z305" s="403"/>
      <c r="AA305" s="403"/>
      <c r="AB305" s="403"/>
      <c r="AC305" s="403"/>
      <c r="AD305" s="403"/>
      <c r="AE305" s="403"/>
      <c r="AF305" s="403"/>
      <c r="AG305" s="403"/>
      <c r="AH305" s="403"/>
      <c r="AI305" s="403"/>
      <c r="AJ305" s="403"/>
      <c r="AK305" s="403"/>
      <c r="AL305" s="403"/>
      <c r="AM305" s="403"/>
      <c r="AN305" s="403"/>
      <c r="AO305" s="403"/>
      <c r="AP305" s="403"/>
      <c r="AQ305" s="403"/>
      <c r="AR305" s="403"/>
      <c r="AS305" s="403"/>
      <c r="AT305" s="403"/>
      <c r="AU305" s="403"/>
      <c r="AV305" s="403"/>
      <c r="AW305" s="403"/>
      <c r="AX305" s="403"/>
      <c r="AY305" s="403"/>
      <c r="AZ305" s="403"/>
      <c r="BA305" s="403"/>
      <c r="BB305" s="403"/>
      <c r="BC305" s="403"/>
      <c r="BD305" s="403"/>
      <c r="BE305" s="403"/>
      <c r="BF305" s="403"/>
      <c r="BG305" s="403"/>
      <c r="BH305" s="403"/>
      <c r="BI305" s="403"/>
      <c r="BJ305" s="403"/>
      <c r="BK305" s="403"/>
      <c r="BL305" s="403"/>
      <c r="BM305" s="403"/>
      <c r="BN305" s="403"/>
      <c r="BO305" s="403"/>
      <c r="BP305" s="403"/>
      <c r="BQ305" s="403"/>
      <c r="BR305" s="403"/>
      <c r="BS305" s="403"/>
      <c r="BT305" s="403"/>
      <c r="BU305" s="403"/>
      <c r="BV305" s="403"/>
      <c r="BW305" s="403"/>
      <c r="BX305" s="403"/>
      <c r="BY305" s="403"/>
      <c r="BZ305" s="403"/>
      <c r="CA305" s="403"/>
      <c r="CB305" s="403"/>
      <c r="CC305" s="403"/>
      <c r="CD305" s="403"/>
      <c r="CE305" s="403"/>
      <c r="CF305" s="403"/>
      <c r="CG305" s="403"/>
      <c r="CH305" s="403"/>
      <c r="CI305" s="403"/>
      <c r="CJ305" s="403"/>
      <c r="CK305" s="403"/>
      <c r="CL305" s="403"/>
      <c r="CM305" s="403"/>
      <c r="CN305" s="403"/>
      <c r="CO305" s="403"/>
      <c r="CP305" s="403"/>
      <c r="CQ305" s="403"/>
      <c r="CR305" s="403"/>
      <c r="CS305" s="564"/>
    </row>
    <row r="306" spans="1:97" ht="12.75" x14ac:dyDescent="0.2">
      <c r="B306" s="429"/>
      <c r="C306" s="624" t="str">
        <f t="shared" ref="C306" ca="1" si="185">IF(OFFSET(P306,0,Lang_Order*Lang__A2)="","",OFFSET(P306,0,Lang_Order*Lang__A2))</f>
        <v>Committed Purchase Arrangement (CPA)</v>
      </c>
      <c r="D306" s="23"/>
      <c r="E306" s="122"/>
      <c r="F306" s="122"/>
      <c r="G306"/>
      <c r="H306"/>
      <c r="J306" s="299"/>
      <c r="K306" s="143" t="str">
        <f t="shared" ca="1" si="169"/>
        <v>Note: Quantity of vaccine doses dependent on available Covax supply</v>
      </c>
      <c r="L306" s="567"/>
      <c r="P306" s="403" t="s">
        <v>30</v>
      </c>
      <c r="X306" s="403" t="s">
        <v>4370</v>
      </c>
      <c r="AB306" s="403" t="s">
        <v>7645</v>
      </c>
      <c r="AJ306" s="403" t="s">
        <v>7646</v>
      </c>
      <c r="AN306" s="403" t="s">
        <v>7647</v>
      </c>
      <c r="AV306" s="403" t="s">
        <v>7648</v>
      </c>
      <c r="AZ306" s="403" t="s">
        <v>7649</v>
      </c>
      <c r="BH306" s="403" t="s">
        <v>7650</v>
      </c>
      <c r="BL306" s="403" t="s">
        <v>7651</v>
      </c>
      <c r="BT306" s="403" t="s">
        <v>7652</v>
      </c>
      <c r="BX306" s="403" t="s">
        <v>7653</v>
      </c>
      <c r="CF306" s="403" t="s">
        <v>7654</v>
      </c>
      <c r="CJ306" s="403" t="s">
        <v>7655</v>
      </c>
      <c r="CR306" s="403" t="s">
        <v>7656</v>
      </c>
    </row>
    <row r="307" spans="1:97" ht="12.75" x14ac:dyDescent="0.2">
      <c r="B307" s="429"/>
      <c r="C307" s="627"/>
      <c r="D307" s="23" t="str">
        <f t="shared" ref="D307:D315" ca="1" si="186">IF(OFFSET(Q307,0,Lang_Order*Lang__A2)="","",OFFSET(Q307,0,Lang_Order*Lang__A2))</f>
        <v>Upfront payment per dose</v>
      </c>
      <c r="E307" s="299"/>
      <c r="F307" s="299"/>
      <c r="G307" s="299"/>
      <c r="H307" s="428">
        <v>1.6</v>
      </c>
      <c r="I307" s="2" t="s">
        <v>26</v>
      </c>
      <c r="J307" s="299"/>
      <c r="K307" s="143" t="str">
        <f t="shared" ca="1" si="169"/>
        <v>Source: COVAX</v>
      </c>
      <c r="L307" s="567"/>
      <c r="Q307" s="403" t="s">
        <v>3178</v>
      </c>
      <c r="X307" s="403" t="s">
        <v>1706</v>
      </c>
      <c r="AC307" s="403" t="s">
        <v>7657</v>
      </c>
      <c r="AJ307" s="403" t="s">
        <v>1706</v>
      </c>
      <c r="AO307" s="403" t="s">
        <v>7658</v>
      </c>
      <c r="AV307" s="403" t="s">
        <v>7659</v>
      </c>
      <c r="BA307" s="403" t="s">
        <v>7660</v>
      </c>
      <c r="BH307" s="403" t="s">
        <v>7661</v>
      </c>
      <c r="BM307" s="403" t="s">
        <v>7662</v>
      </c>
      <c r="BT307" s="403" t="s">
        <v>7663</v>
      </c>
      <c r="BY307" s="403" t="s">
        <v>7664</v>
      </c>
      <c r="CF307" s="403" t="s">
        <v>7665</v>
      </c>
      <c r="CK307" s="403" t="s">
        <v>7666</v>
      </c>
      <c r="CR307" s="403" t="s">
        <v>7667</v>
      </c>
    </row>
    <row r="308" spans="1:97" ht="12.75" x14ac:dyDescent="0.2">
      <c r="B308" s="429"/>
      <c r="C308" s="627"/>
      <c r="D308" s="23" t="str">
        <f t="shared" ca="1" si="186"/>
        <v>Financial guarantee</v>
      </c>
      <c r="E308" s="299"/>
      <c r="F308" s="299"/>
      <c r="G308" s="299"/>
      <c r="H308" s="428">
        <v>8.9499999999999993</v>
      </c>
      <c r="I308" s="2" t="s">
        <v>26</v>
      </c>
      <c r="J308" s="299"/>
      <c r="K308" s="143" t="str">
        <f t="shared" ca="1" si="169"/>
        <v>Source: COVAX</v>
      </c>
      <c r="L308" s="567"/>
      <c r="Q308" s="403" t="s">
        <v>27</v>
      </c>
      <c r="X308" s="403" t="s">
        <v>1706</v>
      </c>
      <c r="AC308" s="403" t="s">
        <v>7668</v>
      </c>
      <c r="AJ308" s="403" t="s">
        <v>1706</v>
      </c>
      <c r="AO308" s="403" t="s">
        <v>7669</v>
      </c>
      <c r="AV308" s="403" t="s">
        <v>7659</v>
      </c>
      <c r="BA308" s="403" t="s">
        <v>7670</v>
      </c>
      <c r="BH308" s="403" t="s">
        <v>7661</v>
      </c>
      <c r="BM308" s="403" t="s">
        <v>7671</v>
      </c>
      <c r="BT308" s="403" t="s">
        <v>7663</v>
      </c>
      <c r="BY308" s="403" t="s">
        <v>7672</v>
      </c>
      <c r="CF308" s="403" t="s">
        <v>7665</v>
      </c>
      <c r="CK308" s="403" t="s">
        <v>7673</v>
      </c>
      <c r="CR308" s="403" t="s">
        <v>7667</v>
      </c>
    </row>
    <row r="309" spans="1:97" ht="12.75" x14ac:dyDescent="0.2">
      <c r="B309" s="429"/>
      <c r="C309" s="627"/>
      <c r="D309" s="23" t="str">
        <f t="shared" ca="1" si="186"/>
        <v>Final price upper limit</v>
      </c>
      <c r="E309" s="122"/>
      <c r="F309" s="122"/>
      <c r="G309" s="194"/>
      <c r="H309" s="11">
        <f>2 * SUM(H307:H308)</f>
        <v>21.099999999999998</v>
      </c>
      <c r="I309" s="2" t="s">
        <v>26</v>
      </c>
      <c r="J309" s="299"/>
      <c r="K309" s="143" t="str">
        <f t="shared" ca="1" si="169"/>
        <v>If final price above this, CPA participant can cancel</v>
      </c>
      <c r="L309" s="567"/>
      <c r="Q309" s="403" t="s">
        <v>28</v>
      </c>
      <c r="X309" s="403" t="s">
        <v>32</v>
      </c>
      <c r="AC309" s="403" t="s">
        <v>7674</v>
      </c>
      <c r="AJ309" s="403" t="s">
        <v>7675</v>
      </c>
      <c r="AO309" s="403" t="s">
        <v>7676</v>
      </c>
      <c r="AV309" s="403" t="s">
        <v>7677</v>
      </c>
      <c r="BA309" s="403" t="s">
        <v>7678</v>
      </c>
      <c r="BH309" s="403" t="s">
        <v>7679</v>
      </c>
      <c r="BM309" s="403" t="s">
        <v>7680</v>
      </c>
      <c r="BT309" s="403" t="s">
        <v>7681</v>
      </c>
      <c r="BY309" s="403" t="s">
        <v>7682</v>
      </c>
      <c r="CF309" s="403" t="s">
        <v>7683</v>
      </c>
      <c r="CK309" s="403" t="s">
        <v>7684</v>
      </c>
      <c r="CR309" s="403" t="s">
        <v>7685</v>
      </c>
    </row>
    <row r="310" spans="1:97" s="463" customFormat="1" ht="12.75" x14ac:dyDescent="0.2">
      <c r="A310" s="350">
        <v>2</v>
      </c>
      <c r="B310" s="429"/>
      <c r="C310" s="622"/>
      <c r="D310" s="23" t="str">
        <f t="shared" ca="1" si="186"/>
        <v>Final price</v>
      </c>
      <c r="E310" s="39"/>
      <c r="F310" s="81" t="str">
        <f t="shared" ref="F310" si="187">Lang_LeaveBlank</f>
        <v>Leave Blank</v>
      </c>
      <c r="H310" s="474">
        <f>IF(ISBLANK(E310),J310,E310)</f>
        <v>7</v>
      </c>
      <c r="I310" s="2" t="s">
        <v>26</v>
      </c>
      <c r="J310" s="11">
        <f>_xlfn.NUMBERVALUE('T1s. Vaccine-related Supplies'!D13)</f>
        <v>7</v>
      </c>
      <c r="K310" s="143" t="str">
        <f t="shared" ca="1" si="169"/>
        <v>Final price for CPA doses; Leave blank to use default</v>
      </c>
      <c r="L310" s="587"/>
      <c r="M310" s="403"/>
      <c r="N310" s="403"/>
      <c r="O310" s="403"/>
      <c r="P310" s="403"/>
      <c r="Q310" s="403" t="s">
        <v>4368</v>
      </c>
      <c r="R310" s="403"/>
      <c r="S310" s="403"/>
      <c r="T310" s="403"/>
      <c r="U310" s="403"/>
      <c r="V310" s="403"/>
      <c r="W310" s="403"/>
      <c r="X310" s="403" t="s">
        <v>4367</v>
      </c>
      <c r="Y310" s="403"/>
      <c r="Z310" s="403"/>
      <c r="AA310" s="403"/>
      <c r="AB310" s="403"/>
      <c r="AC310" s="403" t="s">
        <v>7686</v>
      </c>
      <c r="AD310" s="403"/>
      <c r="AE310" s="403"/>
      <c r="AF310" s="403"/>
      <c r="AG310" s="403"/>
      <c r="AH310" s="403"/>
      <c r="AI310" s="403"/>
      <c r="AJ310" s="403" t="s">
        <v>7687</v>
      </c>
      <c r="AK310" s="403"/>
      <c r="AL310" s="403"/>
      <c r="AM310" s="403"/>
      <c r="AN310" s="403"/>
      <c r="AO310" s="403" t="s">
        <v>7688</v>
      </c>
      <c r="AP310" s="403"/>
      <c r="AQ310" s="403"/>
      <c r="AR310" s="403"/>
      <c r="AS310" s="403"/>
      <c r="AT310" s="403"/>
      <c r="AU310" s="403"/>
      <c r="AV310" s="403" t="s">
        <v>7689</v>
      </c>
      <c r="AW310" s="403"/>
      <c r="AX310" s="403"/>
      <c r="AY310" s="403"/>
      <c r="AZ310" s="403"/>
      <c r="BA310" s="403" t="s">
        <v>7690</v>
      </c>
      <c r="BB310" s="403"/>
      <c r="BC310" s="403"/>
      <c r="BD310" s="403"/>
      <c r="BE310" s="403"/>
      <c r="BF310" s="403"/>
      <c r="BG310" s="403"/>
      <c r="BH310" s="403" t="s">
        <v>7691</v>
      </c>
      <c r="BI310" s="403"/>
      <c r="BJ310" s="403"/>
      <c r="BK310" s="403"/>
      <c r="BL310" s="403"/>
      <c r="BM310" s="403" t="s">
        <v>7692</v>
      </c>
      <c r="BN310" s="403"/>
      <c r="BO310" s="403"/>
      <c r="BP310" s="403"/>
      <c r="BQ310" s="403"/>
      <c r="BR310" s="403"/>
      <c r="BS310" s="403"/>
      <c r="BT310" s="403" t="s">
        <v>7693</v>
      </c>
      <c r="BU310" s="403"/>
      <c r="BV310" s="403"/>
      <c r="BW310" s="403"/>
      <c r="BX310" s="403"/>
      <c r="BY310" s="403" t="s">
        <v>7694</v>
      </c>
      <c r="BZ310" s="403"/>
      <c r="CA310" s="403"/>
      <c r="CB310" s="403"/>
      <c r="CC310" s="403"/>
      <c r="CD310" s="403"/>
      <c r="CE310" s="403"/>
      <c r="CF310" s="403" t="s">
        <v>7695</v>
      </c>
      <c r="CG310" s="403"/>
      <c r="CH310" s="403"/>
      <c r="CI310" s="403"/>
      <c r="CJ310" s="403"/>
      <c r="CK310" s="403" t="s">
        <v>7696</v>
      </c>
      <c r="CL310" s="403"/>
      <c r="CM310" s="403"/>
      <c r="CN310" s="403"/>
      <c r="CO310" s="403"/>
      <c r="CP310" s="403"/>
      <c r="CQ310" s="403"/>
      <c r="CR310" s="403" t="s">
        <v>7697</v>
      </c>
      <c r="CS310" s="564"/>
    </row>
    <row r="311" spans="1:97" s="122" customFormat="1" ht="12.75" x14ac:dyDescent="0.2">
      <c r="A311" s="9"/>
      <c r="B311" s="429"/>
      <c r="C311" s="627"/>
      <c r="D311" s="23" t="str">
        <f t="shared" ca="1" si="186"/>
        <v>Total upfront payment</v>
      </c>
      <c r="G311" s="543"/>
      <c r="H311" s="117">
        <f>IF($H$280=Lang_Committed,H307*Covax_3Year_Total*Pop_Total_2020*2,0)</f>
        <v>0</v>
      </c>
      <c r="I311" s="2" t="s">
        <v>26</v>
      </c>
      <c r="J311" s="299"/>
      <c r="K311" s="143" t="str">
        <f t="shared" ca="1" si="169"/>
        <v>Assumes a 2-dose regiment; Based on requested quantity</v>
      </c>
      <c r="L311" s="567"/>
      <c r="M311" s="403"/>
      <c r="N311" s="403"/>
      <c r="O311" s="403"/>
      <c r="P311" s="403"/>
      <c r="Q311" s="403" t="s">
        <v>3179</v>
      </c>
      <c r="R311" s="403"/>
      <c r="S311" s="403"/>
      <c r="T311" s="403"/>
      <c r="U311" s="403"/>
      <c r="V311" s="403"/>
      <c r="W311" s="403"/>
      <c r="X311" s="403" t="s">
        <v>4371</v>
      </c>
      <c r="Y311" s="403"/>
      <c r="Z311" s="403"/>
      <c r="AA311" s="403"/>
      <c r="AB311" s="403"/>
      <c r="AC311" s="403" t="s">
        <v>7698</v>
      </c>
      <c r="AD311" s="403"/>
      <c r="AE311" s="403"/>
      <c r="AF311" s="403"/>
      <c r="AG311" s="403"/>
      <c r="AH311" s="403"/>
      <c r="AI311" s="403"/>
      <c r="AJ311" s="403" t="s">
        <v>7699</v>
      </c>
      <c r="AK311" s="403"/>
      <c r="AL311" s="403"/>
      <c r="AM311" s="403"/>
      <c r="AN311" s="403"/>
      <c r="AO311" s="403" t="s">
        <v>7700</v>
      </c>
      <c r="AP311" s="403"/>
      <c r="AQ311" s="403"/>
      <c r="AR311" s="403"/>
      <c r="AS311" s="403"/>
      <c r="AT311" s="403"/>
      <c r="AU311" s="403"/>
      <c r="AV311" s="403" t="s">
        <v>7701</v>
      </c>
      <c r="AW311" s="403"/>
      <c r="AX311" s="403"/>
      <c r="AY311" s="403"/>
      <c r="AZ311" s="403"/>
      <c r="BA311" s="403" t="s">
        <v>7702</v>
      </c>
      <c r="BB311" s="403"/>
      <c r="BC311" s="403"/>
      <c r="BD311" s="403"/>
      <c r="BE311" s="403"/>
      <c r="BF311" s="403"/>
      <c r="BG311" s="403"/>
      <c r="BH311" s="403" t="s">
        <v>7703</v>
      </c>
      <c r="BI311" s="403"/>
      <c r="BJ311" s="403"/>
      <c r="BK311" s="403"/>
      <c r="BL311" s="403"/>
      <c r="BM311" s="403" t="s">
        <v>7704</v>
      </c>
      <c r="BN311" s="403"/>
      <c r="BO311" s="403"/>
      <c r="BP311" s="403"/>
      <c r="BQ311" s="403"/>
      <c r="BR311" s="403"/>
      <c r="BS311" s="403"/>
      <c r="BT311" s="403" t="s">
        <v>7705</v>
      </c>
      <c r="BU311" s="403"/>
      <c r="BV311" s="403"/>
      <c r="BW311" s="403"/>
      <c r="BX311" s="403"/>
      <c r="BY311" s="403" t="s">
        <v>7706</v>
      </c>
      <c r="BZ311" s="403"/>
      <c r="CA311" s="403"/>
      <c r="CB311" s="403"/>
      <c r="CC311" s="403"/>
      <c r="CD311" s="403"/>
      <c r="CE311" s="403"/>
      <c r="CF311" s="403" t="s">
        <v>7707</v>
      </c>
      <c r="CG311" s="403"/>
      <c r="CH311" s="403"/>
      <c r="CI311" s="403"/>
      <c r="CJ311" s="403"/>
      <c r="CK311" s="403" t="s">
        <v>7708</v>
      </c>
      <c r="CL311" s="403"/>
      <c r="CM311" s="403"/>
      <c r="CN311" s="403"/>
      <c r="CO311" s="403"/>
      <c r="CP311" s="403"/>
      <c r="CQ311" s="403"/>
      <c r="CR311" s="403" t="s">
        <v>7709</v>
      </c>
      <c r="CS311" s="564"/>
    </row>
    <row r="312" spans="1:97" s="122" customFormat="1" ht="12.75" x14ac:dyDescent="0.2">
      <c r="A312" s="9"/>
      <c r="B312" s="429"/>
      <c r="C312" s="627"/>
      <c r="D312" s="23" t="str">
        <f t="shared" ca="1" si="186"/>
        <v>Total financial guarantee</v>
      </c>
      <c r="E312" s="463"/>
      <c r="G312" s="543"/>
      <c r="H312" s="117">
        <f>IF($H$280=Lang_Committed,H308*Covax_3Year_Total*Pop_Total_2020*2,0)</f>
        <v>0</v>
      </c>
      <c r="I312" s="2" t="s">
        <v>26</v>
      </c>
      <c r="J312" s="299"/>
      <c r="K312" s="143" t="str">
        <f t="shared" ca="1" si="169"/>
        <v>Assumes a 2-dose regiment; Based on requested quantity</v>
      </c>
      <c r="L312" s="567"/>
      <c r="M312" s="403"/>
      <c r="N312" s="403"/>
      <c r="O312" s="403"/>
      <c r="P312" s="403"/>
      <c r="Q312" s="403" t="s">
        <v>2667</v>
      </c>
      <c r="R312" s="403"/>
      <c r="S312" s="403"/>
      <c r="T312" s="403"/>
      <c r="U312" s="403"/>
      <c r="V312" s="403"/>
      <c r="W312" s="403"/>
      <c r="X312" s="403" t="s">
        <v>4371</v>
      </c>
      <c r="Y312" s="403"/>
      <c r="Z312" s="403"/>
      <c r="AA312" s="403"/>
      <c r="AB312" s="403"/>
      <c r="AC312" s="403" t="s">
        <v>7710</v>
      </c>
      <c r="AD312" s="403"/>
      <c r="AE312" s="403"/>
      <c r="AF312" s="403"/>
      <c r="AG312" s="403"/>
      <c r="AH312" s="403"/>
      <c r="AI312" s="403"/>
      <c r="AJ312" s="403" t="s">
        <v>7699</v>
      </c>
      <c r="AK312" s="403"/>
      <c r="AL312" s="403"/>
      <c r="AM312" s="403"/>
      <c r="AN312" s="403"/>
      <c r="AO312" s="403" t="s">
        <v>7711</v>
      </c>
      <c r="AP312" s="403"/>
      <c r="AQ312" s="403"/>
      <c r="AR312" s="403"/>
      <c r="AS312" s="403"/>
      <c r="AT312" s="403"/>
      <c r="AU312" s="403"/>
      <c r="AV312" s="403" t="s">
        <v>7701</v>
      </c>
      <c r="AW312" s="403"/>
      <c r="AX312" s="403"/>
      <c r="AY312" s="403"/>
      <c r="AZ312" s="403"/>
      <c r="BA312" s="403" t="s">
        <v>7712</v>
      </c>
      <c r="BB312" s="403"/>
      <c r="BC312" s="403"/>
      <c r="BD312" s="403"/>
      <c r="BE312" s="403"/>
      <c r="BF312" s="403"/>
      <c r="BG312" s="403"/>
      <c r="BH312" s="403" t="s">
        <v>7703</v>
      </c>
      <c r="BI312" s="403"/>
      <c r="BJ312" s="403"/>
      <c r="BK312" s="403"/>
      <c r="BL312" s="403"/>
      <c r="BM312" s="403" t="s">
        <v>7713</v>
      </c>
      <c r="BN312" s="403"/>
      <c r="BO312" s="403"/>
      <c r="BP312" s="403"/>
      <c r="BQ312" s="403"/>
      <c r="BR312" s="403"/>
      <c r="BS312" s="403"/>
      <c r="BT312" s="403" t="s">
        <v>7705</v>
      </c>
      <c r="BU312" s="403"/>
      <c r="BV312" s="403"/>
      <c r="BW312" s="403"/>
      <c r="BX312" s="403"/>
      <c r="BY312" s="403" t="s">
        <v>7714</v>
      </c>
      <c r="BZ312" s="403"/>
      <c r="CA312" s="403"/>
      <c r="CB312" s="403"/>
      <c r="CC312" s="403"/>
      <c r="CD312" s="403"/>
      <c r="CE312" s="403"/>
      <c r="CF312" s="403" t="s">
        <v>7707</v>
      </c>
      <c r="CG312" s="403"/>
      <c r="CH312" s="403"/>
      <c r="CI312" s="403"/>
      <c r="CJ312" s="403"/>
      <c r="CK312" s="403" t="s">
        <v>7715</v>
      </c>
      <c r="CL312" s="403"/>
      <c r="CM312" s="403"/>
      <c r="CN312" s="403"/>
      <c r="CO312" s="403"/>
      <c r="CP312" s="403"/>
      <c r="CQ312" s="403"/>
      <c r="CR312" s="403" t="s">
        <v>7709</v>
      </c>
      <c r="CS312" s="564"/>
    </row>
    <row r="313" spans="1:97" s="122" customFormat="1" ht="12.75" x14ac:dyDescent="0.2">
      <c r="A313" s="9"/>
      <c r="B313" s="429"/>
      <c r="C313" s="627"/>
      <c r="D313" s="31" t="str">
        <f t="shared" ca="1" si="186"/>
        <v>Maximum final price (excluding up-front and financial guarantee)</v>
      </c>
      <c r="E313" s="463"/>
      <c r="G313" s="543"/>
      <c r="H313" s="117">
        <f>IF($H$280=Lang_Committed,(H309-H307-H308)*Covax_3Year_Total*Pop_Total_2020*2,0)</f>
        <v>0</v>
      </c>
      <c r="I313" s="2" t="s">
        <v>26</v>
      </c>
      <c r="J313" s="299"/>
      <c r="K313" s="567"/>
      <c r="L313" s="567"/>
      <c r="M313" s="403"/>
      <c r="N313" s="403"/>
      <c r="O313" s="403"/>
      <c r="P313" s="403"/>
      <c r="Q313" s="403" t="s">
        <v>2668</v>
      </c>
      <c r="R313" s="403"/>
      <c r="S313" s="403"/>
      <c r="T313" s="403"/>
      <c r="U313" s="403"/>
      <c r="V313" s="403"/>
      <c r="W313" s="403"/>
      <c r="X313" s="403" t="s">
        <v>4373</v>
      </c>
      <c r="Y313" s="403"/>
      <c r="Z313" s="403"/>
      <c r="AA313" s="403"/>
      <c r="AB313" s="403"/>
      <c r="AC313" s="403" t="s">
        <v>7716</v>
      </c>
      <c r="AD313" s="403"/>
      <c r="AE313" s="403"/>
      <c r="AF313" s="403"/>
      <c r="AG313" s="403"/>
      <c r="AH313" s="403"/>
      <c r="AI313" s="403"/>
      <c r="AJ313" s="403" t="s">
        <v>7717</v>
      </c>
      <c r="AK313" s="403"/>
      <c r="AL313" s="403"/>
      <c r="AM313" s="403"/>
      <c r="AN313" s="403"/>
      <c r="AO313" s="403" t="s">
        <v>7718</v>
      </c>
      <c r="AP313" s="403"/>
      <c r="AQ313" s="403"/>
      <c r="AR313" s="403"/>
      <c r="AS313" s="403"/>
      <c r="AT313" s="403"/>
      <c r="AU313" s="403"/>
      <c r="AV313" s="403" t="s">
        <v>7719</v>
      </c>
      <c r="AW313" s="403"/>
      <c r="AX313" s="403"/>
      <c r="AY313" s="403"/>
      <c r="AZ313" s="403"/>
      <c r="BA313" s="403" t="s">
        <v>7720</v>
      </c>
      <c r="BB313" s="403"/>
      <c r="BC313" s="403"/>
      <c r="BD313" s="403"/>
      <c r="BE313" s="403"/>
      <c r="BF313" s="403"/>
      <c r="BG313" s="403"/>
      <c r="BH313" s="403" t="s">
        <v>7721</v>
      </c>
      <c r="BI313" s="403"/>
      <c r="BJ313" s="403"/>
      <c r="BK313" s="403"/>
      <c r="BL313" s="403"/>
      <c r="BM313" s="403" t="s">
        <v>7722</v>
      </c>
      <c r="BN313" s="403"/>
      <c r="BO313" s="403"/>
      <c r="BP313" s="403"/>
      <c r="BQ313" s="403"/>
      <c r="BR313" s="403"/>
      <c r="BS313" s="403"/>
      <c r="BT313" s="403" t="s">
        <v>7723</v>
      </c>
      <c r="BU313" s="403"/>
      <c r="BV313" s="403"/>
      <c r="BW313" s="403"/>
      <c r="BX313" s="403"/>
      <c r="BY313" s="403" t="s">
        <v>7724</v>
      </c>
      <c r="BZ313" s="403"/>
      <c r="CA313" s="403"/>
      <c r="CB313" s="403"/>
      <c r="CC313" s="403"/>
      <c r="CD313" s="403"/>
      <c r="CE313" s="403"/>
      <c r="CF313" s="403" t="s">
        <v>7725</v>
      </c>
      <c r="CG313" s="403"/>
      <c r="CH313" s="403"/>
      <c r="CI313" s="403"/>
      <c r="CJ313" s="403"/>
      <c r="CK313" s="403" t="s">
        <v>7726</v>
      </c>
      <c r="CL313" s="403"/>
      <c r="CM313" s="403"/>
      <c r="CN313" s="403"/>
      <c r="CO313" s="403"/>
      <c r="CP313" s="403"/>
      <c r="CQ313" s="403"/>
      <c r="CR313" s="403" t="s">
        <v>7727</v>
      </c>
      <c r="CS313" s="564"/>
    </row>
    <row r="314" spans="1:97" s="463" customFormat="1" ht="12.75" x14ac:dyDescent="0.2">
      <c r="A314" s="9"/>
      <c r="B314" s="429"/>
      <c r="C314" s="627"/>
      <c r="D314" s="23" t="str">
        <f t="shared" ca="1" si="186"/>
        <v>Total, based on final price</v>
      </c>
      <c r="G314" s="543"/>
      <c r="H314" s="117">
        <f>IF($H$280=Lang_Committed,H310*Covax_3Year_Total*Pop_Total_2020*2,0)</f>
        <v>0</v>
      </c>
      <c r="I314" s="2" t="s">
        <v>26</v>
      </c>
      <c r="K314" s="143" t="str">
        <f t="shared" ca="1" si="169"/>
        <v>Assumes a 2-dose regiment; Based on available quantity</v>
      </c>
      <c r="L314" s="567"/>
      <c r="M314" s="403"/>
      <c r="N314" s="403"/>
      <c r="O314" s="403"/>
      <c r="P314" s="403"/>
      <c r="Q314" s="403" t="s">
        <v>4369</v>
      </c>
      <c r="R314" s="403"/>
      <c r="S314" s="403"/>
      <c r="T314" s="403"/>
      <c r="U314" s="403"/>
      <c r="V314" s="403"/>
      <c r="W314" s="403"/>
      <c r="X314" s="403" t="s">
        <v>4372</v>
      </c>
      <c r="Y314" s="403"/>
      <c r="Z314" s="403"/>
      <c r="AA314" s="403"/>
      <c r="AB314" s="403"/>
      <c r="AC314" s="403" t="s">
        <v>7728</v>
      </c>
      <c r="AD314" s="403"/>
      <c r="AE314" s="403"/>
      <c r="AF314" s="403"/>
      <c r="AG314" s="403"/>
      <c r="AH314" s="403"/>
      <c r="AI314" s="403"/>
      <c r="AJ314" s="403" t="s">
        <v>7699</v>
      </c>
      <c r="AK314" s="403"/>
      <c r="AL314" s="403"/>
      <c r="AM314" s="403"/>
      <c r="AN314" s="403"/>
      <c r="AO314" s="403" t="s">
        <v>7729</v>
      </c>
      <c r="AP314" s="403"/>
      <c r="AQ314" s="403"/>
      <c r="AR314" s="403"/>
      <c r="AS314" s="403"/>
      <c r="AT314" s="403"/>
      <c r="AU314" s="403"/>
      <c r="AV314" s="403" t="s">
        <v>7730</v>
      </c>
      <c r="AW314" s="403"/>
      <c r="AX314" s="403"/>
      <c r="AY314" s="403"/>
      <c r="AZ314" s="403"/>
      <c r="BA314" s="403" t="s">
        <v>7731</v>
      </c>
      <c r="BB314" s="403"/>
      <c r="BC314" s="403"/>
      <c r="BD314" s="403"/>
      <c r="BE314" s="403"/>
      <c r="BF314" s="403"/>
      <c r="BG314" s="403"/>
      <c r="BH314" s="403" t="s">
        <v>7732</v>
      </c>
      <c r="BI314" s="403"/>
      <c r="BJ314" s="403"/>
      <c r="BK314" s="403"/>
      <c r="BL314" s="403"/>
      <c r="BM314" s="403" t="s">
        <v>7733</v>
      </c>
      <c r="BN314" s="403"/>
      <c r="BO314" s="403"/>
      <c r="BP314" s="403"/>
      <c r="BQ314" s="403"/>
      <c r="BR314" s="403"/>
      <c r="BS314" s="403"/>
      <c r="BT314" s="403" t="s">
        <v>7734</v>
      </c>
      <c r="BU314" s="403"/>
      <c r="BV314" s="403"/>
      <c r="BW314" s="403"/>
      <c r="BX314" s="403"/>
      <c r="BY314" s="403" t="s">
        <v>7735</v>
      </c>
      <c r="BZ314" s="403"/>
      <c r="CA314" s="403"/>
      <c r="CB314" s="403"/>
      <c r="CC314" s="403"/>
      <c r="CD314" s="403"/>
      <c r="CE314" s="403"/>
      <c r="CF314" s="403" t="s">
        <v>7736</v>
      </c>
      <c r="CG314" s="403"/>
      <c r="CH314" s="403"/>
      <c r="CI314" s="403"/>
      <c r="CJ314" s="403"/>
      <c r="CK314" s="403" t="s">
        <v>7737</v>
      </c>
      <c r="CL314" s="403"/>
      <c r="CM314" s="403"/>
      <c r="CN314" s="403"/>
      <c r="CO314" s="403"/>
      <c r="CP314" s="403"/>
      <c r="CQ314" s="403"/>
      <c r="CR314" s="403" t="s">
        <v>7738</v>
      </c>
      <c r="CS314" s="564"/>
    </row>
    <row r="315" spans="1:97" s="281" customFormat="1" ht="12.75" x14ac:dyDescent="0.2">
      <c r="A315" s="9"/>
      <c r="B315" s="429"/>
      <c r="C315" s="627"/>
      <c r="D315" s="23" t="str">
        <f t="shared" ca="1" si="186"/>
        <v>Remainder</v>
      </c>
      <c r="E315" s="463"/>
      <c r="G315" s="4" t="str">
        <f>IF(H315&lt;0,Lang_CHECK,"OK")</f>
        <v>OK</v>
      </c>
      <c r="H315" s="117">
        <f>IF($H$280=Lang_Committed,H314-H311,0)</f>
        <v>0</v>
      </c>
      <c r="I315" s="2" t="s">
        <v>26</v>
      </c>
      <c r="J315" s="299"/>
      <c r="K315" s="143" t="str">
        <f t="shared" ca="1" si="169"/>
        <v>Total (based on final price) minus upfront payment; Warning if negative number</v>
      </c>
      <c r="L315" s="567"/>
      <c r="M315" s="403"/>
      <c r="N315" s="403"/>
      <c r="O315" s="403"/>
      <c r="P315" s="403"/>
      <c r="Q315" s="403" t="s">
        <v>4374</v>
      </c>
      <c r="R315" s="403"/>
      <c r="S315" s="403"/>
      <c r="T315" s="403"/>
      <c r="U315" s="403"/>
      <c r="V315" s="403"/>
      <c r="W315" s="403"/>
      <c r="X315" s="403" t="s">
        <v>4375</v>
      </c>
      <c r="Y315" s="403"/>
      <c r="Z315" s="403"/>
      <c r="AA315" s="403"/>
      <c r="AB315" s="403"/>
      <c r="AC315" s="403" t="s">
        <v>7739</v>
      </c>
      <c r="AD315" s="403"/>
      <c r="AE315" s="403"/>
      <c r="AF315" s="403"/>
      <c r="AG315" s="403"/>
      <c r="AH315" s="403"/>
      <c r="AI315" s="403"/>
      <c r="AJ315" s="403" t="s">
        <v>7740</v>
      </c>
      <c r="AK315" s="403"/>
      <c r="AL315" s="403"/>
      <c r="AM315" s="403"/>
      <c r="AN315" s="403"/>
      <c r="AO315" s="403" t="s">
        <v>7741</v>
      </c>
      <c r="AP315" s="403"/>
      <c r="AQ315" s="403"/>
      <c r="AR315" s="403"/>
      <c r="AS315" s="403"/>
      <c r="AT315" s="403"/>
      <c r="AU315" s="403"/>
      <c r="AV315" s="403" t="s">
        <v>7742</v>
      </c>
      <c r="AW315" s="403"/>
      <c r="AX315" s="403"/>
      <c r="AY315" s="403"/>
      <c r="AZ315" s="403"/>
      <c r="BA315" s="403" t="s">
        <v>7743</v>
      </c>
      <c r="BB315" s="403"/>
      <c r="BC315" s="403"/>
      <c r="BD315" s="403"/>
      <c r="BE315" s="403"/>
      <c r="BF315" s="403"/>
      <c r="BG315" s="403"/>
      <c r="BH315" s="403" t="s">
        <v>7744</v>
      </c>
      <c r="BI315" s="403"/>
      <c r="BJ315" s="403"/>
      <c r="BK315" s="403"/>
      <c r="BL315" s="403"/>
      <c r="BM315" s="403" t="s">
        <v>7745</v>
      </c>
      <c r="BN315" s="403"/>
      <c r="BO315" s="403"/>
      <c r="BP315" s="403"/>
      <c r="BQ315" s="403"/>
      <c r="BR315" s="403"/>
      <c r="BS315" s="403"/>
      <c r="BT315" s="403" t="s">
        <v>7746</v>
      </c>
      <c r="BU315" s="403"/>
      <c r="BV315" s="403"/>
      <c r="BW315" s="403"/>
      <c r="BX315" s="403"/>
      <c r="BY315" s="403" t="s">
        <v>7747</v>
      </c>
      <c r="BZ315" s="403"/>
      <c r="CA315" s="403"/>
      <c r="CB315" s="403"/>
      <c r="CC315" s="403"/>
      <c r="CD315" s="403"/>
      <c r="CE315" s="403"/>
      <c r="CF315" s="403" t="s">
        <v>7748</v>
      </c>
      <c r="CG315" s="403"/>
      <c r="CH315" s="403"/>
      <c r="CI315" s="403"/>
      <c r="CJ315" s="403"/>
      <c r="CK315" s="403" t="s">
        <v>7749</v>
      </c>
      <c r="CL315" s="403"/>
      <c r="CM315" s="403"/>
      <c r="CN315" s="403"/>
      <c r="CO315" s="403"/>
      <c r="CP315" s="403"/>
      <c r="CQ315" s="403"/>
      <c r="CR315" s="403" t="s">
        <v>7750</v>
      </c>
      <c r="CS315" s="564"/>
    </row>
    <row r="316" spans="1:97" ht="12.75" x14ac:dyDescent="0.2">
      <c r="B316" s="429"/>
      <c r="C316" s="627"/>
      <c r="D316" s="23"/>
      <c r="E316" s="122"/>
      <c r="F316" s="122"/>
      <c r="G316" s="194"/>
      <c r="H316"/>
      <c r="J316" s="299"/>
      <c r="K316" s="567"/>
      <c r="L316" s="567"/>
      <c r="X316" s="403" t="s">
        <v>197</v>
      </c>
    </row>
    <row r="317" spans="1:97" ht="12.75" x14ac:dyDescent="0.2">
      <c r="B317" s="429"/>
      <c r="C317" s="624" t="str">
        <f t="shared" ref="C317" ca="1" si="188">IF(OFFSET(P317,0,Lang_Order*Lang__A2)="","",OFFSET(P317,0,Lang_Order*Lang__A2))</f>
        <v>Optional Purchase Agreement (OPA)</v>
      </c>
      <c r="D317" s="23"/>
      <c r="E317" s="122"/>
      <c r="F317" s="122"/>
      <c r="G317"/>
      <c r="H317"/>
      <c r="J317" s="299"/>
      <c r="K317" s="567"/>
      <c r="L317" s="567"/>
      <c r="P317" s="403" t="s">
        <v>29</v>
      </c>
      <c r="X317" s="403" t="s">
        <v>197</v>
      </c>
      <c r="AB317" s="403" t="s">
        <v>7751</v>
      </c>
      <c r="AN317" s="403" t="s">
        <v>7752</v>
      </c>
      <c r="AZ317" s="403" t="s">
        <v>7753</v>
      </c>
      <c r="BL317" s="403" t="s">
        <v>7754</v>
      </c>
      <c r="BX317" s="403" t="s">
        <v>7755</v>
      </c>
      <c r="CJ317" s="403" t="s">
        <v>7756</v>
      </c>
    </row>
    <row r="318" spans="1:97" ht="12.75" x14ac:dyDescent="0.2">
      <c r="B318" s="429"/>
      <c r="C318" s="627"/>
      <c r="D318" s="23" t="str">
        <f t="shared" ref="D318:D325" ca="1" si="189">IF(OFFSET(Q318,0,Lang_Order*Lang__A2)="","",OFFSET(Q318,0,Lang_Order*Lang__A2))</f>
        <v>Upfront payment per dose</v>
      </c>
      <c r="E318" s="299"/>
      <c r="F318" s="299"/>
      <c r="G318" s="299"/>
      <c r="H318" s="428">
        <v>3.1</v>
      </c>
      <c r="I318" s="2" t="s">
        <v>26</v>
      </c>
      <c r="J318" s="299"/>
      <c r="K318" s="143" t="str">
        <f t="shared" ca="1" si="169"/>
        <v>Source: COVAX</v>
      </c>
      <c r="L318" s="567"/>
      <c r="Q318" s="403" t="s">
        <v>3178</v>
      </c>
      <c r="X318" s="403" t="s">
        <v>1706</v>
      </c>
      <c r="AC318" s="403" t="s">
        <v>7657</v>
      </c>
      <c r="AJ318" s="403" t="s">
        <v>1706</v>
      </c>
      <c r="AO318" s="403" t="s">
        <v>7757</v>
      </c>
      <c r="AV318" s="403" t="s">
        <v>7659</v>
      </c>
      <c r="BA318" s="403" t="s">
        <v>7660</v>
      </c>
      <c r="BH318" s="403" t="s">
        <v>7661</v>
      </c>
      <c r="BM318" s="403" t="s">
        <v>7662</v>
      </c>
      <c r="BT318" s="403" t="s">
        <v>7663</v>
      </c>
      <c r="BY318" s="403" t="s">
        <v>7664</v>
      </c>
      <c r="CF318" s="403" t="s">
        <v>7665</v>
      </c>
      <c r="CK318" s="403" t="s">
        <v>7666</v>
      </c>
      <c r="CR318" s="403" t="s">
        <v>7667</v>
      </c>
    </row>
    <row r="319" spans="1:97" ht="12.75" x14ac:dyDescent="0.2">
      <c r="B319" s="429"/>
      <c r="C319" s="627"/>
      <c r="D319" s="23" t="str">
        <f t="shared" ca="1" si="189"/>
        <v>Risk-sharing gurantee</v>
      </c>
      <c r="E319" s="299"/>
      <c r="F319" s="299"/>
      <c r="G319" s="299"/>
      <c r="H319" s="428">
        <v>0.4</v>
      </c>
      <c r="I319" s="2" t="s">
        <v>26</v>
      </c>
      <c r="J319" s="299"/>
      <c r="K319" s="143" t="str">
        <f t="shared" ca="1" si="169"/>
        <v>Source: COVAX</v>
      </c>
      <c r="L319" s="567"/>
      <c r="Q319" s="403" t="s">
        <v>31</v>
      </c>
      <c r="X319" s="403" t="s">
        <v>1706</v>
      </c>
      <c r="AC319" s="403" t="s">
        <v>7758</v>
      </c>
      <c r="AJ319" s="403" t="s">
        <v>1706</v>
      </c>
      <c r="AO319" s="403" t="s">
        <v>7759</v>
      </c>
      <c r="AV319" s="403" t="s">
        <v>7659</v>
      </c>
      <c r="BA319" s="403" t="s">
        <v>7760</v>
      </c>
      <c r="BH319" s="403" t="s">
        <v>7661</v>
      </c>
      <c r="BM319" s="403" t="s">
        <v>7761</v>
      </c>
      <c r="BT319" s="403" t="s">
        <v>7663</v>
      </c>
      <c r="BY319" s="403" t="s">
        <v>7762</v>
      </c>
      <c r="CF319" s="403" t="s">
        <v>7665</v>
      </c>
      <c r="CK319" s="403" t="s">
        <v>7763</v>
      </c>
      <c r="CR319" s="403" t="s">
        <v>7667</v>
      </c>
    </row>
    <row r="320" spans="1:97" ht="12.75" hidden="1" x14ac:dyDescent="0.2">
      <c r="B320" s="346" t="s">
        <v>14118</v>
      </c>
      <c r="C320" s="627"/>
      <c r="D320" s="23" t="str">
        <f t="shared" ca="1" si="189"/>
        <v>Decision Window 2 for OPA - Does the country which to proceed?</v>
      </c>
      <c r="E320" s="35" t="s">
        <v>2671</v>
      </c>
      <c r="F320" s="81" t="str">
        <f>Lang_Yes</f>
        <v>Yes</v>
      </c>
      <c r="G320" s="4" t="str">
        <f>IF(AND(ISBLANK(E320),AMC_Status=0),Lang_CHECK,"OK")</f>
        <v>OK</v>
      </c>
      <c r="H320" s="15"/>
      <c r="I320" s="2" t="s">
        <v>26</v>
      </c>
      <c r="J320" s="299"/>
      <c r="K320" s="567"/>
      <c r="L320" s="587"/>
      <c r="Q320" s="403" t="s">
        <v>4117</v>
      </c>
      <c r="V320" s="403" t="s">
        <v>4119</v>
      </c>
      <c r="X320" s="403" t="s">
        <v>4378</v>
      </c>
      <c r="AC320" s="403" t="s">
        <v>7764</v>
      </c>
      <c r="AH320" s="403" t="s">
        <v>7765</v>
      </c>
      <c r="AJ320" s="403" t="s">
        <v>7766</v>
      </c>
      <c r="AO320" s="403" t="s">
        <v>7767</v>
      </c>
      <c r="AT320" s="403" t="s">
        <v>7768</v>
      </c>
      <c r="AV320" s="403" t="s">
        <v>7769</v>
      </c>
      <c r="BA320" s="403" t="s">
        <v>7770</v>
      </c>
      <c r="BF320" s="403" t="s">
        <v>7771</v>
      </c>
      <c r="BH320" s="403" t="s">
        <v>7772</v>
      </c>
      <c r="BM320" s="403" t="s">
        <v>7773</v>
      </c>
      <c r="BR320" s="403" t="s">
        <v>7774</v>
      </c>
      <c r="BT320" s="403" t="s">
        <v>7775</v>
      </c>
      <c r="BY320" s="403" t="s">
        <v>7776</v>
      </c>
      <c r="CD320" s="403" t="s">
        <v>7777</v>
      </c>
      <c r="CF320" s="403" t="s">
        <v>7778</v>
      </c>
      <c r="CK320" s="403" t="s">
        <v>7779</v>
      </c>
      <c r="CP320" s="403" t="s">
        <v>7780</v>
      </c>
      <c r="CR320" s="403" t="s">
        <v>7781</v>
      </c>
    </row>
    <row r="321" spans="1:97" s="463" customFormat="1" ht="12.75" x14ac:dyDescent="0.2">
      <c r="A321" s="350">
        <v>2</v>
      </c>
      <c r="B321" s="429"/>
      <c r="C321" s="627"/>
      <c r="D321" s="23" t="str">
        <f ca="1">IF(OFFSET(Q321,0,Lang_Order*Lang__A2)="","",OFFSET(Q321,0,Lang_Order*Lang__A2))</f>
        <v>Final price</v>
      </c>
      <c r="E321" s="39"/>
      <c r="F321" s="81" t="str">
        <f t="shared" ref="F321" si="190">Lang_LeaveBlank</f>
        <v>Leave Blank</v>
      </c>
      <c r="H321" s="474">
        <f>IF(ISBLANK(E321),J321,E321)</f>
        <v>7</v>
      </c>
      <c r="I321" s="2" t="s">
        <v>26</v>
      </c>
      <c r="J321" s="11">
        <f>_xlfn.NUMBERVALUE('T1s. Vaccine-related Supplies'!E13)</f>
        <v>7</v>
      </c>
      <c r="K321" s="567"/>
      <c r="L321" s="587"/>
      <c r="M321" s="403"/>
      <c r="N321" s="403"/>
      <c r="O321" s="403"/>
      <c r="P321" s="403"/>
      <c r="Q321" s="403" t="s">
        <v>4368</v>
      </c>
      <c r="R321" s="403"/>
      <c r="S321" s="403"/>
      <c r="T321" s="403"/>
      <c r="U321" s="403"/>
      <c r="V321" s="403"/>
      <c r="W321" s="403"/>
      <c r="X321" s="403"/>
      <c r="Y321" s="403"/>
      <c r="Z321" s="403"/>
      <c r="AA321" s="403"/>
      <c r="AB321" s="403"/>
      <c r="AC321" s="403" t="s">
        <v>7686</v>
      </c>
      <c r="AD321" s="403"/>
      <c r="AE321" s="403"/>
      <c r="AF321" s="403"/>
      <c r="AG321" s="403"/>
      <c r="AH321" s="403"/>
      <c r="AI321" s="403"/>
      <c r="AJ321" s="403"/>
      <c r="AK321" s="403"/>
      <c r="AL321" s="403"/>
      <c r="AM321" s="403"/>
      <c r="AN321" s="403"/>
      <c r="AO321" s="403" t="s">
        <v>7688</v>
      </c>
      <c r="AP321" s="403"/>
      <c r="AQ321" s="403"/>
      <c r="AR321" s="403"/>
      <c r="AS321" s="403"/>
      <c r="AT321" s="403"/>
      <c r="AU321" s="403"/>
      <c r="AV321" s="403"/>
      <c r="AW321" s="403"/>
      <c r="AX321" s="403"/>
      <c r="AY321" s="403"/>
      <c r="AZ321" s="403"/>
      <c r="BA321" s="403" t="s">
        <v>7782</v>
      </c>
      <c r="BB321" s="403"/>
      <c r="BC321" s="403"/>
      <c r="BD321" s="403"/>
      <c r="BE321" s="403"/>
      <c r="BF321" s="403"/>
      <c r="BG321" s="403"/>
      <c r="BH321" s="403"/>
      <c r="BI321" s="403"/>
      <c r="BJ321" s="403"/>
      <c r="BK321" s="403"/>
      <c r="BL321" s="403"/>
      <c r="BM321" s="403" t="s">
        <v>7692</v>
      </c>
      <c r="BN321" s="403"/>
      <c r="BO321" s="403"/>
      <c r="BP321" s="403"/>
      <c r="BQ321" s="403"/>
      <c r="BR321" s="403"/>
      <c r="BS321" s="403"/>
      <c r="BT321" s="403"/>
      <c r="BU321" s="403"/>
      <c r="BV321" s="403"/>
      <c r="BW321" s="403"/>
      <c r="BX321" s="403"/>
      <c r="BY321" s="403" t="s">
        <v>7783</v>
      </c>
      <c r="BZ321" s="403"/>
      <c r="CA321" s="403"/>
      <c r="CB321" s="403"/>
      <c r="CC321" s="403"/>
      <c r="CD321" s="403"/>
      <c r="CE321" s="403"/>
      <c r="CF321" s="403"/>
      <c r="CG321" s="403"/>
      <c r="CH321" s="403"/>
      <c r="CI321" s="403"/>
      <c r="CJ321" s="403"/>
      <c r="CK321" s="403" t="s">
        <v>7696</v>
      </c>
      <c r="CL321" s="403"/>
      <c r="CM321" s="403"/>
      <c r="CN321" s="403"/>
      <c r="CO321" s="403"/>
      <c r="CP321" s="403"/>
      <c r="CQ321" s="403"/>
      <c r="CR321" s="403"/>
      <c r="CS321" s="564"/>
    </row>
    <row r="322" spans="1:97" s="122" customFormat="1" ht="12.75" x14ac:dyDescent="0.2">
      <c r="A322" s="9"/>
      <c r="B322" s="429"/>
      <c r="C322" s="627"/>
      <c r="D322" s="23" t="str">
        <f t="shared" ca="1" si="189"/>
        <v>Total upfront payment</v>
      </c>
      <c r="E322" s="23"/>
      <c r="F322" s="23"/>
      <c r="G322" s="543"/>
      <c r="H322" s="117">
        <f>IF($H$280=Lang_Optional,H318*Covax_3Year_Total*Pop_Total_2020*2,0)</f>
        <v>0</v>
      </c>
      <c r="I322" s="2" t="s">
        <v>26</v>
      </c>
      <c r="J322" s="299"/>
      <c r="K322" s="143" t="str">
        <f t="shared" ca="1" si="169"/>
        <v>Assumes a 2-dose regiment; Based on requested quantity; Paid on signing agreement</v>
      </c>
      <c r="L322" s="567"/>
      <c r="M322" s="403"/>
      <c r="N322" s="403"/>
      <c r="O322" s="403"/>
      <c r="P322" s="403"/>
      <c r="Q322" s="403" t="s">
        <v>3179</v>
      </c>
      <c r="R322" s="403"/>
      <c r="S322" s="403"/>
      <c r="T322" s="403"/>
      <c r="U322" s="403" t="s">
        <v>197</v>
      </c>
      <c r="V322" s="403"/>
      <c r="W322" s="403"/>
      <c r="X322" s="403" t="s">
        <v>4379</v>
      </c>
      <c r="Y322" s="403"/>
      <c r="Z322" s="403"/>
      <c r="AA322" s="403"/>
      <c r="AB322" s="403"/>
      <c r="AC322" s="403" t="s">
        <v>7698</v>
      </c>
      <c r="AD322" s="403"/>
      <c r="AE322" s="403"/>
      <c r="AF322" s="403"/>
      <c r="AG322" s="403"/>
      <c r="AH322" s="403"/>
      <c r="AI322" s="403"/>
      <c r="AJ322" s="403" t="s">
        <v>7784</v>
      </c>
      <c r="AK322" s="403"/>
      <c r="AL322" s="403"/>
      <c r="AM322" s="403"/>
      <c r="AN322" s="403"/>
      <c r="AO322" s="403" t="s">
        <v>7700</v>
      </c>
      <c r="AP322" s="403"/>
      <c r="AQ322" s="403"/>
      <c r="AR322" s="403"/>
      <c r="AS322" s="403"/>
      <c r="AT322" s="403"/>
      <c r="AU322" s="403"/>
      <c r="AV322" s="403" t="s">
        <v>7785</v>
      </c>
      <c r="AW322" s="403"/>
      <c r="AX322" s="403"/>
      <c r="AY322" s="403"/>
      <c r="AZ322" s="403"/>
      <c r="BA322" s="403" t="s">
        <v>7702</v>
      </c>
      <c r="BB322" s="403"/>
      <c r="BC322" s="403"/>
      <c r="BD322" s="403"/>
      <c r="BE322" s="403"/>
      <c r="BF322" s="403"/>
      <c r="BG322" s="403"/>
      <c r="BH322" s="403" t="s">
        <v>7786</v>
      </c>
      <c r="BI322" s="403"/>
      <c r="BJ322" s="403"/>
      <c r="BK322" s="403"/>
      <c r="BL322" s="403"/>
      <c r="BM322" s="403" t="s">
        <v>7704</v>
      </c>
      <c r="BN322" s="403"/>
      <c r="BO322" s="403"/>
      <c r="BP322" s="403"/>
      <c r="BQ322" s="403"/>
      <c r="BR322" s="403"/>
      <c r="BS322" s="403"/>
      <c r="BT322" s="403" t="s">
        <v>7787</v>
      </c>
      <c r="BU322" s="403"/>
      <c r="BV322" s="403"/>
      <c r="BW322" s="403"/>
      <c r="BX322" s="403"/>
      <c r="BY322" s="403" t="s">
        <v>7706</v>
      </c>
      <c r="BZ322" s="403"/>
      <c r="CA322" s="403"/>
      <c r="CB322" s="403"/>
      <c r="CC322" s="403"/>
      <c r="CD322" s="403"/>
      <c r="CE322" s="403"/>
      <c r="CF322" s="403" t="s">
        <v>7788</v>
      </c>
      <c r="CG322" s="403"/>
      <c r="CH322" s="403"/>
      <c r="CI322" s="403"/>
      <c r="CJ322" s="403"/>
      <c r="CK322" s="403" t="s">
        <v>7708</v>
      </c>
      <c r="CL322" s="403"/>
      <c r="CM322" s="403"/>
      <c r="CN322" s="403"/>
      <c r="CO322" s="403"/>
      <c r="CP322" s="403"/>
      <c r="CQ322" s="403"/>
      <c r="CR322" s="403" t="s">
        <v>7789</v>
      </c>
      <c r="CS322" s="564"/>
    </row>
    <row r="323" spans="1:97" s="122" customFormat="1" ht="12.75" x14ac:dyDescent="0.2">
      <c r="A323" s="9"/>
      <c r="B323" s="429"/>
      <c r="C323" s="627"/>
      <c r="D323" s="23" t="str">
        <f t="shared" ca="1" si="189"/>
        <v>Total risk-sharing gurantee</v>
      </c>
      <c r="E323" s="23"/>
      <c r="F323" s="23"/>
      <c r="G323" s="543"/>
      <c r="H323" s="117">
        <f>IF($H$280=Lang_Optional,H319*Covax_3Year_Total*Pop_Total_2020*2,0)</f>
        <v>0</v>
      </c>
      <c r="I323" s="2" t="s">
        <v>26</v>
      </c>
      <c r="J323" s="299"/>
      <c r="K323" s="143" t="str">
        <f t="shared" ca="1" si="169"/>
        <v>Assumes a 2-dose regiment; Based on requested quantity; To be paid by Oct 9, 2020</v>
      </c>
      <c r="L323" s="567"/>
      <c r="M323" s="403"/>
      <c r="N323" s="403"/>
      <c r="O323" s="403"/>
      <c r="P323" s="403"/>
      <c r="Q323" s="403" t="s">
        <v>2669</v>
      </c>
      <c r="R323" s="403"/>
      <c r="S323" s="403"/>
      <c r="T323" s="403"/>
      <c r="U323" s="403" t="s">
        <v>197</v>
      </c>
      <c r="V323" s="403"/>
      <c r="W323" s="403"/>
      <c r="X323" s="403" t="s">
        <v>4380</v>
      </c>
      <c r="Y323" s="403"/>
      <c r="Z323" s="403"/>
      <c r="AA323" s="403"/>
      <c r="AB323" s="403"/>
      <c r="AC323" s="403" t="s">
        <v>7790</v>
      </c>
      <c r="AD323" s="403"/>
      <c r="AE323" s="403"/>
      <c r="AF323" s="403"/>
      <c r="AG323" s="403"/>
      <c r="AH323" s="403"/>
      <c r="AI323" s="403"/>
      <c r="AJ323" s="403" t="s">
        <v>7791</v>
      </c>
      <c r="AK323" s="403"/>
      <c r="AL323" s="403"/>
      <c r="AM323" s="403"/>
      <c r="AN323" s="403"/>
      <c r="AO323" s="403" t="s">
        <v>7792</v>
      </c>
      <c r="AP323" s="403"/>
      <c r="AQ323" s="403"/>
      <c r="AR323" s="403"/>
      <c r="AS323" s="403"/>
      <c r="AT323" s="403"/>
      <c r="AU323" s="403"/>
      <c r="AV323" s="403" t="s">
        <v>7793</v>
      </c>
      <c r="AW323" s="403"/>
      <c r="AX323" s="403"/>
      <c r="AY323" s="403"/>
      <c r="AZ323" s="403"/>
      <c r="BA323" s="403" t="s">
        <v>7794</v>
      </c>
      <c r="BB323" s="403"/>
      <c r="BC323" s="403"/>
      <c r="BD323" s="403"/>
      <c r="BE323" s="403"/>
      <c r="BF323" s="403"/>
      <c r="BG323" s="403"/>
      <c r="BH323" s="403" t="s">
        <v>7795</v>
      </c>
      <c r="BI323" s="403"/>
      <c r="BJ323" s="403"/>
      <c r="BK323" s="403"/>
      <c r="BL323" s="403"/>
      <c r="BM323" s="403" t="s">
        <v>7796</v>
      </c>
      <c r="BN323" s="403"/>
      <c r="BO323" s="403"/>
      <c r="BP323" s="403"/>
      <c r="BQ323" s="403"/>
      <c r="BR323" s="403"/>
      <c r="BS323" s="403"/>
      <c r="BT323" s="403" t="s">
        <v>7797</v>
      </c>
      <c r="BU323" s="403"/>
      <c r="BV323" s="403"/>
      <c r="BW323" s="403"/>
      <c r="BX323" s="403"/>
      <c r="BY323" s="403" t="s">
        <v>7798</v>
      </c>
      <c r="BZ323" s="403"/>
      <c r="CA323" s="403"/>
      <c r="CB323" s="403"/>
      <c r="CC323" s="403"/>
      <c r="CD323" s="403"/>
      <c r="CE323" s="403"/>
      <c r="CF323" s="403" t="s">
        <v>7799</v>
      </c>
      <c r="CG323" s="403"/>
      <c r="CH323" s="403"/>
      <c r="CI323" s="403"/>
      <c r="CJ323" s="403"/>
      <c r="CK323" s="403" t="s">
        <v>7800</v>
      </c>
      <c r="CL323" s="403"/>
      <c r="CM323" s="403"/>
      <c r="CN323" s="403"/>
      <c r="CO323" s="403"/>
      <c r="CP323" s="403"/>
      <c r="CQ323" s="403"/>
      <c r="CR323" s="403" t="s">
        <v>7801</v>
      </c>
      <c r="CS323" s="564"/>
    </row>
    <row r="324" spans="1:97" s="463" customFormat="1" ht="12.75" x14ac:dyDescent="0.2">
      <c r="A324" s="9"/>
      <c r="B324" s="429"/>
      <c r="C324" s="627"/>
      <c r="D324" s="23" t="str">
        <f t="shared" ca="1" si="189"/>
        <v>Total, based on final price</v>
      </c>
      <c r="E324" s="23"/>
      <c r="F324" s="23"/>
      <c r="G324" s="543"/>
      <c r="H324" s="117">
        <f>IF($H$280=Lang_Optional,H321*Covax_3Year_Total*Pop_Total_2020*2,0)</f>
        <v>0</v>
      </c>
      <c r="I324" s="2" t="s">
        <v>26</v>
      </c>
      <c r="K324" s="567"/>
      <c r="L324" s="567"/>
      <c r="M324" s="403"/>
      <c r="N324" s="403"/>
      <c r="O324" s="403"/>
      <c r="P324" s="403"/>
      <c r="Q324" s="403" t="s">
        <v>4369</v>
      </c>
      <c r="R324" s="403"/>
      <c r="S324" s="403"/>
      <c r="T324" s="403"/>
      <c r="U324" s="403"/>
      <c r="V324" s="403"/>
      <c r="W324" s="403"/>
      <c r="X324" s="403" t="s">
        <v>4372</v>
      </c>
      <c r="Y324" s="403"/>
      <c r="Z324" s="403"/>
      <c r="AA324" s="403"/>
      <c r="AB324" s="403"/>
      <c r="AC324" s="403" t="s">
        <v>7802</v>
      </c>
      <c r="AD324" s="403"/>
      <c r="AE324" s="403"/>
      <c r="AF324" s="403"/>
      <c r="AG324" s="403"/>
      <c r="AH324" s="403"/>
      <c r="AI324" s="403"/>
      <c r="AJ324" s="403" t="s">
        <v>7699</v>
      </c>
      <c r="AK324" s="403"/>
      <c r="AL324" s="403"/>
      <c r="AM324" s="403"/>
      <c r="AN324" s="403"/>
      <c r="AO324" s="403" t="s">
        <v>7729</v>
      </c>
      <c r="AP324" s="403"/>
      <c r="AQ324" s="403"/>
      <c r="AR324" s="403"/>
      <c r="AS324" s="403"/>
      <c r="AT324" s="403"/>
      <c r="AU324" s="403"/>
      <c r="AV324" s="403" t="s">
        <v>7803</v>
      </c>
      <c r="AW324" s="403"/>
      <c r="AX324" s="403"/>
      <c r="AY324" s="403"/>
      <c r="AZ324" s="403"/>
      <c r="BA324" s="403" t="s">
        <v>7731</v>
      </c>
      <c r="BB324" s="403"/>
      <c r="BC324" s="403"/>
      <c r="BD324" s="403"/>
      <c r="BE324" s="403"/>
      <c r="BF324" s="403"/>
      <c r="BG324" s="403"/>
      <c r="BH324" s="403" t="s">
        <v>7732</v>
      </c>
      <c r="BI324" s="403"/>
      <c r="BJ324" s="403"/>
      <c r="BK324" s="403"/>
      <c r="BL324" s="403"/>
      <c r="BM324" s="403" t="s">
        <v>7733</v>
      </c>
      <c r="BN324" s="403"/>
      <c r="BO324" s="403"/>
      <c r="BP324" s="403"/>
      <c r="BQ324" s="403"/>
      <c r="BR324" s="403"/>
      <c r="BS324" s="403"/>
      <c r="BT324" s="403" t="s">
        <v>7734</v>
      </c>
      <c r="BU324" s="403"/>
      <c r="BV324" s="403"/>
      <c r="BW324" s="403"/>
      <c r="BX324" s="403"/>
      <c r="BY324" s="403" t="s">
        <v>7735</v>
      </c>
      <c r="BZ324" s="403"/>
      <c r="CA324" s="403"/>
      <c r="CB324" s="403"/>
      <c r="CC324" s="403"/>
      <c r="CD324" s="403"/>
      <c r="CE324" s="403"/>
      <c r="CF324" s="403" t="s">
        <v>7736</v>
      </c>
      <c r="CG324" s="403"/>
      <c r="CH324" s="403"/>
      <c r="CI324" s="403"/>
      <c r="CJ324" s="403"/>
      <c r="CK324" s="403" t="s">
        <v>7737</v>
      </c>
      <c r="CL324" s="403"/>
      <c r="CM324" s="403"/>
      <c r="CN324" s="403"/>
      <c r="CO324" s="403"/>
      <c r="CP324" s="403"/>
      <c r="CQ324" s="403"/>
      <c r="CR324" s="403" t="s">
        <v>7738</v>
      </c>
      <c r="CS324" s="564"/>
    </row>
    <row r="325" spans="1:97" s="281" customFormat="1" ht="12.75" x14ac:dyDescent="0.2">
      <c r="A325" s="9"/>
      <c r="B325" s="429"/>
      <c r="C325" s="627"/>
      <c r="D325" s="23" t="str">
        <f t="shared" ca="1" si="189"/>
        <v>Remainder</v>
      </c>
      <c r="E325" s="23"/>
      <c r="F325" s="23"/>
      <c r="G325" s="4" t="str">
        <f>IF(H325&lt;0,Lang_CHECK,"OK")</f>
        <v>OK</v>
      </c>
      <c r="H325" s="117">
        <f>IF($H$280=Lang_Optional,H324-H322-H323,0)</f>
        <v>0</v>
      </c>
      <c r="I325" s="2" t="s">
        <v>26</v>
      </c>
      <c r="J325" s="299"/>
      <c r="K325" s="143" t="str">
        <f t="shared" ca="1" si="169"/>
        <v>Total (based on final price) minus upfront payment and risk-sharing guarantee; Warning if negative number</v>
      </c>
      <c r="L325" s="567"/>
      <c r="M325" s="403"/>
      <c r="N325" s="403"/>
      <c r="O325" s="403"/>
      <c r="P325" s="403"/>
      <c r="Q325" s="403" t="s">
        <v>4374</v>
      </c>
      <c r="R325" s="403"/>
      <c r="S325" s="403"/>
      <c r="T325" s="403"/>
      <c r="U325" s="403"/>
      <c r="V325" s="403"/>
      <c r="W325" s="403"/>
      <c r="X325" s="403" t="s">
        <v>4377</v>
      </c>
      <c r="Y325" s="403"/>
      <c r="Z325" s="403"/>
      <c r="AA325" s="403"/>
      <c r="AB325" s="403"/>
      <c r="AC325" s="403" t="s">
        <v>7739</v>
      </c>
      <c r="AD325" s="403"/>
      <c r="AE325" s="403"/>
      <c r="AF325" s="403"/>
      <c r="AG325" s="403"/>
      <c r="AH325" s="403"/>
      <c r="AI325" s="403"/>
      <c r="AJ325" s="403" t="s">
        <v>7804</v>
      </c>
      <c r="AK325" s="403"/>
      <c r="AL325" s="403"/>
      <c r="AM325" s="403"/>
      <c r="AN325" s="403"/>
      <c r="AO325" s="403" t="s">
        <v>7805</v>
      </c>
      <c r="AP325" s="403"/>
      <c r="AQ325" s="403"/>
      <c r="AR325" s="403"/>
      <c r="AS325" s="403"/>
      <c r="AT325" s="403"/>
      <c r="AU325" s="403"/>
      <c r="AV325" s="403" t="s">
        <v>7806</v>
      </c>
      <c r="AW325" s="403"/>
      <c r="AX325" s="403"/>
      <c r="AY325" s="403"/>
      <c r="AZ325" s="403"/>
      <c r="BA325" s="403" t="s">
        <v>7743</v>
      </c>
      <c r="BB325" s="403"/>
      <c r="BC325" s="403"/>
      <c r="BD325" s="403"/>
      <c r="BE325" s="403"/>
      <c r="BF325" s="403"/>
      <c r="BG325" s="403"/>
      <c r="BH325" s="403" t="s">
        <v>7807</v>
      </c>
      <c r="BI325" s="403"/>
      <c r="BJ325" s="403"/>
      <c r="BK325" s="403"/>
      <c r="BL325" s="403"/>
      <c r="BM325" s="403" t="s">
        <v>7745</v>
      </c>
      <c r="BN325" s="403"/>
      <c r="BO325" s="403"/>
      <c r="BP325" s="403"/>
      <c r="BQ325" s="403"/>
      <c r="BR325" s="403"/>
      <c r="BS325" s="403"/>
      <c r="BT325" s="403" t="s">
        <v>7808</v>
      </c>
      <c r="BU325" s="403"/>
      <c r="BV325" s="403"/>
      <c r="BW325" s="403"/>
      <c r="BX325" s="403"/>
      <c r="BY325" s="403" t="s">
        <v>7747</v>
      </c>
      <c r="BZ325" s="403"/>
      <c r="CA325" s="403"/>
      <c r="CB325" s="403"/>
      <c r="CC325" s="403"/>
      <c r="CD325" s="403"/>
      <c r="CE325" s="403"/>
      <c r="CF325" s="403" t="s">
        <v>7809</v>
      </c>
      <c r="CG325" s="403"/>
      <c r="CH325" s="403"/>
      <c r="CI325" s="403"/>
      <c r="CJ325" s="403"/>
      <c r="CK325" s="403" t="s">
        <v>7749</v>
      </c>
      <c r="CL325" s="403"/>
      <c r="CM325" s="403"/>
      <c r="CN325" s="403"/>
      <c r="CO325" s="403"/>
      <c r="CP325" s="403"/>
      <c r="CQ325" s="403"/>
      <c r="CR325" s="403" t="s">
        <v>7810</v>
      </c>
      <c r="CS325" s="564"/>
    </row>
    <row r="326" spans="1:97" s="463" customFormat="1" ht="12.75" x14ac:dyDescent="0.2">
      <c r="C326" s="622"/>
      <c r="K326" s="68"/>
      <c r="L326" s="567"/>
      <c r="M326" s="403"/>
      <c r="N326" s="403"/>
      <c r="O326" s="403"/>
      <c r="P326" s="403"/>
      <c r="Q326" s="403"/>
      <c r="R326" s="403"/>
      <c r="S326" s="403"/>
      <c r="T326" s="403"/>
      <c r="U326" s="403"/>
      <c r="V326" s="403"/>
      <c r="W326" s="403"/>
      <c r="X326" s="403"/>
      <c r="Y326" s="403"/>
      <c r="Z326" s="403"/>
      <c r="AA326" s="403"/>
      <c r="AB326" s="403"/>
      <c r="AC326" s="403"/>
      <c r="AD326" s="403"/>
      <c r="AE326" s="403"/>
      <c r="AF326" s="403"/>
      <c r="AG326" s="403"/>
      <c r="AH326" s="403"/>
      <c r="AI326" s="403"/>
      <c r="AJ326" s="403"/>
      <c r="AK326" s="403"/>
      <c r="AL326" s="403"/>
      <c r="AM326" s="403"/>
      <c r="AN326" s="403"/>
      <c r="AO326" s="403"/>
      <c r="AP326" s="403"/>
      <c r="AQ326" s="403"/>
      <c r="AR326" s="403"/>
      <c r="AS326" s="403"/>
      <c r="AT326" s="403"/>
      <c r="AU326" s="403"/>
      <c r="AV326" s="403"/>
      <c r="AW326" s="403"/>
      <c r="AX326" s="403"/>
      <c r="AY326" s="403"/>
      <c r="AZ326" s="403"/>
      <c r="BA326" s="403"/>
      <c r="BB326" s="403"/>
      <c r="BC326" s="403"/>
      <c r="BD326" s="403"/>
      <c r="BE326" s="403"/>
      <c r="BF326" s="403"/>
      <c r="BG326" s="403"/>
      <c r="BH326" s="403"/>
      <c r="BI326" s="403"/>
      <c r="BJ326" s="403"/>
      <c r="BK326" s="403"/>
      <c r="BL326" s="403"/>
      <c r="BM326" s="403"/>
      <c r="BN326" s="403"/>
      <c r="BO326" s="403"/>
      <c r="BP326" s="403"/>
      <c r="BQ326" s="403"/>
      <c r="BR326" s="403"/>
      <c r="BS326" s="403"/>
      <c r="BT326" s="403"/>
      <c r="BU326" s="403"/>
      <c r="BV326" s="403"/>
      <c r="BW326" s="403"/>
      <c r="BX326" s="403"/>
      <c r="BY326" s="403"/>
      <c r="BZ326" s="403"/>
      <c r="CA326" s="403"/>
      <c r="CB326" s="403"/>
      <c r="CC326" s="403"/>
      <c r="CD326" s="403"/>
      <c r="CE326" s="403"/>
      <c r="CF326" s="403"/>
      <c r="CG326" s="403"/>
      <c r="CH326" s="403"/>
      <c r="CI326" s="403"/>
      <c r="CJ326" s="403"/>
      <c r="CK326" s="403"/>
      <c r="CL326" s="403"/>
      <c r="CM326" s="403"/>
      <c r="CN326" s="403"/>
      <c r="CO326" s="403"/>
      <c r="CP326" s="403"/>
      <c r="CQ326" s="403"/>
      <c r="CR326" s="403"/>
      <c r="CS326" s="564"/>
    </row>
    <row r="327" spans="1:97" s="299" customFormat="1" x14ac:dyDescent="0.25">
      <c r="C327" s="33" t="str">
        <f t="shared" ref="C327" ca="1" si="191">IF(OFFSET(P327,0,Lang_Order*Lang__A2)="","",OFFSET(P327,0,Lang_Order*Lang__A2))</f>
        <v>A2.6.2 Non-Covax Vaccine Supply (2021-2023)</v>
      </c>
      <c r="D327" s="8"/>
      <c r="E327" s="8"/>
      <c r="F327" s="8"/>
      <c r="G327" s="8"/>
      <c r="H327" s="8"/>
      <c r="I327" s="8"/>
      <c r="J327" s="8"/>
      <c r="K327" s="144"/>
      <c r="L327" s="144"/>
      <c r="M327" s="403"/>
      <c r="N327" s="403"/>
      <c r="O327" s="403"/>
      <c r="P327" s="403" t="s">
        <v>4383</v>
      </c>
      <c r="Q327" s="403"/>
      <c r="R327" s="403"/>
      <c r="S327" s="403"/>
      <c r="T327" s="403"/>
      <c r="U327" s="403"/>
      <c r="V327" s="403"/>
      <c r="W327" s="403"/>
      <c r="X327" s="403"/>
      <c r="Y327" s="403"/>
      <c r="Z327" s="403"/>
      <c r="AA327" s="403"/>
      <c r="AB327" s="403" t="s">
        <v>7811</v>
      </c>
      <c r="AC327" s="403"/>
      <c r="AD327" s="403"/>
      <c r="AE327" s="403"/>
      <c r="AF327" s="403"/>
      <c r="AG327" s="403"/>
      <c r="AH327" s="403"/>
      <c r="AI327" s="403"/>
      <c r="AJ327" s="403"/>
      <c r="AK327" s="403"/>
      <c r="AL327" s="403"/>
      <c r="AM327" s="403"/>
      <c r="AN327" s="403" t="s">
        <v>7812</v>
      </c>
      <c r="AO327" s="403"/>
      <c r="AP327" s="403"/>
      <c r="AQ327" s="403"/>
      <c r="AR327" s="403"/>
      <c r="AS327" s="403"/>
      <c r="AT327" s="403"/>
      <c r="AU327" s="403"/>
      <c r="AV327" s="403"/>
      <c r="AW327" s="403"/>
      <c r="AX327" s="403"/>
      <c r="AY327" s="403"/>
      <c r="AZ327" s="403" t="s">
        <v>7813</v>
      </c>
      <c r="BA327" s="403"/>
      <c r="BB327" s="403"/>
      <c r="BC327" s="403"/>
      <c r="BD327" s="403"/>
      <c r="BE327" s="403"/>
      <c r="BF327" s="403"/>
      <c r="BG327" s="403"/>
      <c r="BH327" s="403"/>
      <c r="BI327" s="403"/>
      <c r="BJ327" s="403"/>
      <c r="BK327" s="403"/>
      <c r="BL327" s="403" t="s">
        <v>7814</v>
      </c>
      <c r="BM327" s="403"/>
      <c r="BN327" s="403"/>
      <c r="BO327" s="403"/>
      <c r="BP327" s="403"/>
      <c r="BQ327" s="403"/>
      <c r="BR327" s="403"/>
      <c r="BS327" s="403"/>
      <c r="BT327" s="403"/>
      <c r="BU327" s="403"/>
      <c r="BV327" s="403"/>
      <c r="BW327" s="403"/>
      <c r="BX327" s="403" t="s">
        <v>7815</v>
      </c>
      <c r="BY327" s="403" t="s">
        <v>7816</v>
      </c>
      <c r="BZ327" s="403"/>
      <c r="CA327" s="403"/>
      <c r="CB327" s="403"/>
      <c r="CC327" s="403"/>
      <c r="CD327" s="403"/>
      <c r="CE327" s="403"/>
      <c r="CF327" s="403"/>
      <c r="CG327" s="403"/>
      <c r="CH327" s="403"/>
      <c r="CI327" s="403"/>
      <c r="CJ327" s="403" t="s">
        <v>7817</v>
      </c>
      <c r="CK327" s="403"/>
      <c r="CL327" s="403"/>
      <c r="CM327" s="403"/>
      <c r="CN327" s="403"/>
      <c r="CO327" s="403"/>
      <c r="CP327" s="403"/>
      <c r="CQ327" s="403"/>
      <c r="CR327" s="403"/>
      <c r="CS327" s="564"/>
    </row>
    <row r="328" spans="1:97" s="299" customFormat="1" ht="12.75" x14ac:dyDescent="0.2">
      <c r="C328" s="622"/>
      <c r="D328" s="678" t="str">
        <f t="shared" ref="D328:D335" ca="1" si="192">IF(OFFSET(Q328,0,Lang_Order*Lang__A2)="","",OFFSET(Q328,0,Lang_Order*Lang__A2))</f>
        <v xml:space="preserve">Instructions: Use this section for vaccine dose supply obtained beyond Covax - including domestic production, in kind donations, </v>
      </c>
      <c r="E328" s="678" t="str">
        <f t="shared" ref="E328" ca="1" si="193">IF(OFFSET(R328,0,Lang_Order*Lang__A2)="","",OFFSET(R328,0,Lang_Order*Lang__A2))</f>
        <v/>
      </c>
      <c r="F328" s="678" t="str">
        <f t="shared" ref="F328" ca="1" si="194">IF(OFFSET(S328,0,Lang_Order*Lang__A2)="","",OFFSET(S328,0,Lang_Order*Lang__A2))</f>
        <v/>
      </c>
      <c r="G328" s="678" t="str">
        <f t="shared" ref="G328" ca="1" si="195">IF(OFFSET(T328,0,Lang_Order*Lang__A2)="","",OFFSET(T328,0,Lang_Order*Lang__A2))</f>
        <v/>
      </c>
      <c r="H328" s="678" t="str">
        <f t="shared" ref="H328:H329" ca="1" si="196">IF(OFFSET(U328,0,Lang_Order*Lang__A2)="","",OFFSET(U328,0,Lang_Order*Lang__A2))</f>
        <v/>
      </c>
      <c r="I328" s="678" t="str">
        <f t="shared" ref="I328" ca="1" si="197">IF(OFFSET(V328,0,Lang_Order*Lang__A2)="","",OFFSET(V328,0,Lang_Order*Lang__A2))</f>
        <v/>
      </c>
      <c r="J328" s="678" t="str">
        <f t="shared" ref="J328" ca="1" si="198">IF(OFFSET(W328,0,Lang_Order*Lang__A2)="","",OFFSET(W328,0,Lang_Order*Lang__A2))</f>
        <v/>
      </c>
      <c r="K328" s="68"/>
      <c r="L328" s="68"/>
      <c r="M328" s="403"/>
      <c r="N328" s="403"/>
      <c r="O328" s="403"/>
      <c r="P328" s="403"/>
      <c r="Q328" s="403" t="s">
        <v>4240</v>
      </c>
      <c r="R328" s="403"/>
      <c r="S328" s="403"/>
      <c r="T328" s="403"/>
      <c r="U328" s="403"/>
      <c r="V328" s="403"/>
      <c r="W328" s="403"/>
      <c r="X328" s="403"/>
      <c r="Y328" s="403"/>
      <c r="Z328" s="403"/>
      <c r="AA328" s="403"/>
      <c r="AB328" s="403"/>
      <c r="AC328" s="403" t="s">
        <v>7818</v>
      </c>
      <c r="AD328" s="403"/>
      <c r="AE328" s="403"/>
      <c r="AF328" s="403"/>
      <c r="AG328" s="403"/>
      <c r="AH328" s="403"/>
      <c r="AI328" s="403"/>
      <c r="AJ328" s="403"/>
      <c r="AK328" s="403"/>
      <c r="AL328" s="403"/>
      <c r="AM328" s="403"/>
      <c r="AN328" s="403"/>
      <c r="AO328" s="403" t="s">
        <v>7819</v>
      </c>
      <c r="AP328" s="403"/>
      <c r="AQ328" s="403"/>
      <c r="AR328" s="403"/>
      <c r="AS328" s="403"/>
      <c r="AT328" s="403"/>
      <c r="AU328" s="403"/>
      <c r="AV328" s="403"/>
      <c r="AW328" s="403"/>
      <c r="AX328" s="403"/>
      <c r="AY328" s="403"/>
      <c r="AZ328" s="403"/>
      <c r="BA328" s="403" t="s">
        <v>7820</v>
      </c>
      <c r="BB328" s="403"/>
      <c r="BC328" s="403"/>
      <c r="BD328" s="403"/>
      <c r="BE328" s="403"/>
      <c r="BF328" s="403"/>
      <c r="BG328" s="403"/>
      <c r="BH328" s="403"/>
      <c r="BI328" s="403"/>
      <c r="BJ328" s="403"/>
      <c r="BK328" s="403"/>
      <c r="BL328" s="403"/>
      <c r="BM328" s="403" t="s">
        <v>7821</v>
      </c>
      <c r="BN328" s="403"/>
      <c r="BO328" s="403"/>
      <c r="BP328" s="403"/>
      <c r="BQ328" s="403"/>
      <c r="BR328" s="403"/>
      <c r="BS328" s="403"/>
      <c r="BT328" s="403"/>
      <c r="BU328" s="403"/>
      <c r="BV328" s="403"/>
      <c r="BW328" s="403"/>
      <c r="BX328" s="403"/>
      <c r="BY328" s="403" t="s">
        <v>7822</v>
      </c>
      <c r="BZ328" s="403"/>
      <c r="CA328" s="403"/>
      <c r="CB328" s="403"/>
      <c r="CC328" s="403"/>
      <c r="CD328" s="403"/>
      <c r="CE328" s="403"/>
      <c r="CF328" s="403"/>
      <c r="CG328" s="403"/>
      <c r="CH328" s="403"/>
      <c r="CI328" s="403"/>
      <c r="CJ328" s="403"/>
      <c r="CK328" s="403" t="s">
        <v>7823</v>
      </c>
      <c r="CL328" s="403"/>
      <c r="CM328" s="403"/>
      <c r="CN328" s="403"/>
      <c r="CO328" s="403"/>
      <c r="CP328" s="403"/>
      <c r="CQ328" s="403"/>
      <c r="CR328" s="403"/>
      <c r="CS328" s="564"/>
    </row>
    <row r="329" spans="1:97" s="299" customFormat="1" ht="12.75" x14ac:dyDescent="0.2">
      <c r="C329" s="622"/>
      <c r="D329" s="34" t="str">
        <f t="shared" ca="1" si="192"/>
        <v>Non-Covax vaccine doses (courses as percent of 2020 population)</v>
      </c>
      <c r="H329" s="431" t="str">
        <f t="shared" ca="1" si="196"/>
        <v>Courses</v>
      </c>
      <c r="K329" s="68"/>
      <c r="L329" s="567"/>
      <c r="M329" s="403"/>
      <c r="N329" s="403"/>
      <c r="O329" s="403"/>
      <c r="P329" s="403"/>
      <c r="Q329" s="403" t="s">
        <v>4265</v>
      </c>
      <c r="R329" s="403"/>
      <c r="S329" s="403"/>
      <c r="T329" s="403"/>
      <c r="U329" s="403" t="s">
        <v>2958</v>
      </c>
      <c r="V329" s="403"/>
      <c r="W329" s="403"/>
      <c r="X329" s="403"/>
      <c r="Y329" s="403"/>
      <c r="Z329" s="403"/>
      <c r="AA329" s="403"/>
      <c r="AB329" s="403"/>
      <c r="AC329" s="403" t="s">
        <v>7824</v>
      </c>
      <c r="AD329" s="403"/>
      <c r="AE329" s="403"/>
      <c r="AF329" s="403"/>
      <c r="AG329" s="403" t="s">
        <v>7825</v>
      </c>
      <c r="AH329" s="403"/>
      <c r="AI329" s="403"/>
      <c r="AJ329" s="403"/>
      <c r="AK329" s="403"/>
      <c r="AL329" s="403"/>
      <c r="AM329" s="403"/>
      <c r="AN329" s="403"/>
      <c r="AO329" s="403" t="s">
        <v>7826</v>
      </c>
      <c r="AP329" s="403"/>
      <c r="AQ329" s="403"/>
      <c r="AR329" s="403"/>
      <c r="AS329" s="403" t="s">
        <v>7827</v>
      </c>
      <c r="AT329" s="403"/>
      <c r="AU329" s="403"/>
      <c r="AV329" s="403"/>
      <c r="AW329" s="403"/>
      <c r="AX329" s="403"/>
      <c r="AY329" s="403"/>
      <c r="AZ329" s="403"/>
      <c r="BA329" s="403" t="s">
        <v>7828</v>
      </c>
      <c r="BB329" s="403"/>
      <c r="BC329" s="403"/>
      <c r="BD329" s="403"/>
      <c r="BE329" s="403" t="s">
        <v>7829</v>
      </c>
      <c r="BF329" s="403"/>
      <c r="BG329" s="403"/>
      <c r="BH329" s="403"/>
      <c r="BI329" s="403"/>
      <c r="BJ329" s="403"/>
      <c r="BK329" s="403"/>
      <c r="BL329" s="403"/>
      <c r="BM329" s="403" t="s">
        <v>7830</v>
      </c>
      <c r="BN329" s="403"/>
      <c r="BO329" s="403"/>
      <c r="BP329" s="403"/>
      <c r="BQ329" s="403" t="s">
        <v>7831</v>
      </c>
      <c r="BR329" s="403"/>
      <c r="BS329" s="403"/>
      <c r="BT329" s="403"/>
      <c r="BU329" s="403"/>
      <c r="BV329" s="403"/>
      <c r="BW329" s="403"/>
      <c r="BX329" s="403"/>
      <c r="BY329" s="403" t="s">
        <v>7832</v>
      </c>
      <c r="BZ329" s="403"/>
      <c r="CA329" s="403"/>
      <c r="CB329" s="403"/>
      <c r="CC329" s="403" t="s">
        <v>7833</v>
      </c>
      <c r="CD329" s="403"/>
      <c r="CE329" s="403"/>
      <c r="CF329" s="403"/>
      <c r="CG329" s="403"/>
      <c r="CH329" s="403"/>
      <c r="CI329" s="403"/>
      <c r="CJ329" s="403"/>
      <c r="CK329" s="403" t="s">
        <v>7834</v>
      </c>
      <c r="CL329" s="403"/>
      <c r="CM329" s="403"/>
      <c r="CN329" s="403"/>
      <c r="CO329" s="403" t="s">
        <v>7835</v>
      </c>
      <c r="CP329" s="403"/>
      <c r="CQ329" s="403"/>
      <c r="CR329" s="403"/>
      <c r="CS329" s="564"/>
    </row>
    <row r="330" spans="1:97" s="299" customFormat="1" ht="12.75" x14ac:dyDescent="0.2">
      <c r="A330" s="349">
        <v>1</v>
      </c>
      <c r="C330" s="622"/>
      <c r="D330" s="5" t="str">
        <f t="shared" ca="1" si="192"/>
        <v>Stage 1 (H1 2021)</v>
      </c>
      <c r="E330" s="377"/>
      <c r="H330" s="450">
        <f t="shared" ref="H330:H335" si="199">ROUND(E330*Pop_Total_2020,0)</f>
        <v>0</v>
      </c>
      <c r="K330" s="143" t="str">
        <f t="shared" ca="1" si="169"/>
        <v>Allowed to exceed 100% (e.g. if vaccine durability requires multiple courses per person)</v>
      </c>
      <c r="L330" s="587"/>
      <c r="M330" s="403"/>
      <c r="N330" s="403"/>
      <c r="O330" s="403"/>
      <c r="P330" s="403"/>
      <c r="Q330" s="403" t="s">
        <v>4233</v>
      </c>
      <c r="R330" s="403"/>
      <c r="S330" s="403"/>
      <c r="T330" s="403"/>
      <c r="U330" s="403"/>
      <c r="V330" s="403"/>
      <c r="W330" s="403"/>
      <c r="X330" s="403" t="s">
        <v>4252</v>
      </c>
      <c r="Y330" s="403"/>
      <c r="Z330" s="403"/>
      <c r="AA330" s="403"/>
      <c r="AB330" s="403"/>
      <c r="AC330" s="403" t="s">
        <v>7561</v>
      </c>
      <c r="AD330" s="403"/>
      <c r="AE330" s="403"/>
      <c r="AF330" s="403"/>
      <c r="AG330" s="403"/>
      <c r="AH330" s="403"/>
      <c r="AI330" s="403"/>
      <c r="AJ330" s="403" t="s">
        <v>7836</v>
      </c>
      <c r="AK330" s="403"/>
      <c r="AL330" s="403"/>
      <c r="AM330" s="403"/>
      <c r="AN330" s="403"/>
      <c r="AO330" s="403" t="s">
        <v>7562</v>
      </c>
      <c r="AP330" s="403"/>
      <c r="AQ330" s="403"/>
      <c r="AR330" s="403"/>
      <c r="AS330" s="403"/>
      <c r="AT330" s="403"/>
      <c r="AU330" s="403"/>
      <c r="AV330" s="403" t="s">
        <v>7837</v>
      </c>
      <c r="AW330" s="403"/>
      <c r="AX330" s="403"/>
      <c r="AY330" s="403"/>
      <c r="AZ330" s="403"/>
      <c r="BA330" s="403" t="s">
        <v>7563</v>
      </c>
      <c r="BB330" s="403"/>
      <c r="BC330" s="403"/>
      <c r="BD330" s="403"/>
      <c r="BE330" s="403"/>
      <c r="BF330" s="403"/>
      <c r="BG330" s="403"/>
      <c r="BH330" s="403" t="s">
        <v>7838</v>
      </c>
      <c r="BI330" s="403"/>
      <c r="BJ330" s="403"/>
      <c r="BK330" s="403"/>
      <c r="BL330" s="403"/>
      <c r="BM330" s="403" t="s">
        <v>7564</v>
      </c>
      <c r="BN330" s="403"/>
      <c r="BO330" s="403"/>
      <c r="BP330" s="403"/>
      <c r="BQ330" s="403"/>
      <c r="BR330" s="403"/>
      <c r="BS330" s="403"/>
      <c r="BT330" s="403" t="s">
        <v>7839</v>
      </c>
      <c r="BU330" s="403"/>
      <c r="BV330" s="403"/>
      <c r="BW330" s="403"/>
      <c r="BX330" s="403"/>
      <c r="BY330" s="403" t="s">
        <v>7840</v>
      </c>
      <c r="BZ330" s="403"/>
      <c r="CA330" s="403"/>
      <c r="CB330" s="403"/>
      <c r="CC330" s="403"/>
      <c r="CD330" s="403"/>
      <c r="CE330" s="403"/>
      <c r="CF330" s="403" t="s">
        <v>7841</v>
      </c>
      <c r="CG330" s="403"/>
      <c r="CH330" s="403"/>
      <c r="CI330" s="403"/>
      <c r="CJ330" s="403"/>
      <c r="CK330" s="403" t="s">
        <v>7568</v>
      </c>
      <c r="CL330" s="403"/>
      <c r="CM330" s="403"/>
      <c r="CN330" s="403"/>
      <c r="CO330" s="403"/>
      <c r="CP330" s="403"/>
      <c r="CQ330" s="403"/>
      <c r="CR330" s="403" t="s">
        <v>7842</v>
      </c>
      <c r="CS330" s="564"/>
    </row>
    <row r="331" spans="1:97" s="299" customFormat="1" ht="12.75" x14ac:dyDescent="0.2">
      <c r="A331" s="349">
        <v>1</v>
      </c>
      <c r="C331" s="622"/>
      <c r="D331" s="5" t="str">
        <f t="shared" ca="1" si="192"/>
        <v>Stage 2 (H2 2021)</v>
      </c>
      <c r="E331" s="377"/>
      <c r="H331" s="450">
        <f t="shared" si="199"/>
        <v>0</v>
      </c>
      <c r="K331" s="567"/>
      <c r="L331" s="587"/>
      <c r="M331" s="403"/>
      <c r="N331" s="403"/>
      <c r="O331" s="403"/>
      <c r="P331" s="403"/>
      <c r="Q331" s="403" t="s">
        <v>4234</v>
      </c>
      <c r="R331" s="403"/>
      <c r="S331" s="403"/>
      <c r="T331" s="403"/>
      <c r="U331" s="403"/>
      <c r="V331" s="403"/>
      <c r="W331" s="403"/>
      <c r="X331" s="403"/>
      <c r="Y331" s="403"/>
      <c r="Z331" s="403"/>
      <c r="AA331" s="403"/>
      <c r="AB331" s="403"/>
      <c r="AC331" s="403" t="s">
        <v>7569</v>
      </c>
      <c r="AD331" s="403"/>
      <c r="AE331" s="403"/>
      <c r="AF331" s="403"/>
      <c r="AG331" s="403"/>
      <c r="AH331" s="403"/>
      <c r="AI331" s="403"/>
      <c r="AJ331" s="403"/>
      <c r="AK331" s="403"/>
      <c r="AL331" s="403"/>
      <c r="AM331" s="403"/>
      <c r="AN331" s="403"/>
      <c r="AO331" s="403" t="s">
        <v>7570</v>
      </c>
      <c r="AP331" s="403"/>
      <c r="AQ331" s="403"/>
      <c r="AR331" s="403"/>
      <c r="AS331" s="403"/>
      <c r="AT331" s="403"/>
      <c r="AU331" s="403"/>
      <c r="AV331" s="403"/>
      <c r="AW331" s="403"/>
      <c r="AX331" s="403"/>
      <c r="AY331" s="403"/>
      <c r="AZ331" s="403"/>
      <c r="BA331" s="403" t="s">
        <v>7571</v>
      </c>
      <c r="BB331" s="403"/>
      <c r="BC331" s="403"/>
      <c r="BD331" s="403"/>
      <c r="BE331" s="403"/>
      <c r="BF331" s="403"/>
      <c r="BG331" s="403"/>
      <c r="BH331" s="403"/>
      <c r="BI331" s="403"/>
      <c r="BJ331" s="403"/>
      <c r="BK331" s="403"/>
      <c r="BL331" s="403"/>
      <c r="BM331" s="403" t="s">
        <v>7572</v>
      </c>
      <c r="BN331" s="403"/>
      <c r="BO331" s="403"/>
      <c r="BP331" s="403"/>
      <c r="BQ331" s="403"/>
      <c r="BR331" s="403"/>
      <c r="BS331" s="403"/>
      <c r="BT331" s="403"/>
      <c r="BU331" s="403"/>
      <c r="BV331" s="403"/>
      <c r="BW331" s="403"/>
      <c r="BX331" s="403"/>
      <c r="BY331" s="403" t="s">
        <v>7581</v>
      </c>
      <c r="BZ331" s="403"/>
      <c r="CA331" s="403"/>
      <c r="CB331" s="403"/>
      <c r="CC331" s="403"/>
      <c r="CD331" s="403"/>
      <c r="CE331" s="403"/>
      <c r="CF331" s="403"/>
      <c r="CG331" s="403"/>
      <c r="CH331" s="403"/>
      <c r="CI331" s="403"/>
      <c r="CJ331" s="403"/>
      <c r="CK331" s="403" t="s">
        <v>7843</v>
      </c>
      <c r="CL331" s="403"/>
      <c r="CM331" s="403"/>
      <c r="CN331" s="403"/>
      <c r="CO331" s="403"/>
      <c r="CP331" s="403"/>
      <c r="CQ331" s="403"/>
      <c r="CR331" s="403"/>
      <c r="CS331" s="564"/>
    </row>
    <row r="332" spans="1:97" s="299" customFormat="1" ht="12.75" x14ac:dyDescent="0.2">
      <c r="A332" s="349">
        <v>1</v>
      </c>
      <c r="C332" s="622"/>
      <c r="D332" s="5" t="str">
        <f t="shared" ca="1" si="192"/>
        <v>H1 2022</v>
      </c>
      <c r="E332" s="377"/>
      <c r="H332" s="450">
        <f t="shared" si="199"/>
        <v>0</v>
      </c>
      <c r="K332" s="567"/>
      <c r="L332" s="587"/>
      <c r="M332" s="403"/>
      <c r="N332" s="403"/>
      <c r="O332" s="403"/>
      <c r="P332" s="403"/>
      <c r="Q332" s="403" t="s">
        <v>1599</v>
      </c>
      <c r="R332" s="403"/>
      <c r="S332" s="403"/>
      <c r="T332" s="403"/>
      <c r="U332" s="403"/>
      <c r="V332" s="403"/>
      <c r="W332" s="403"/>
      <c r="X332" s="403"/>
      <c r="Y332" s="403"/>
      <c r="Z332" s="403"/>
      <c r="AA332" s="403"/>
      <c r="AB332" s="403"/>
      <c r="AC332" s="403" t="s">
        <v>4665</v>
      </c>
      <c r="AD332" s="403"/>
      <c r="AE332" s="403"/>
      <c r="AF332" s="403"/>
      <c r="AG332" s="403"/>
      <c r="AH332" s="403"/>
      <c r="AI332" s="403"/>
      <c r="AJ332" s="403"/>
      <c r="AK332" s="403"/>
      <c r="AL332" s="403"/>
      <c r="AM332" s="403"/>
      <c r="AN332" s="403"/>
      <c r="AO332" s="403" t="s">
        <v>4672</v>
      </c>
      <c r="AP332" s="403"/>
      <c r="AQ332" s="403"/>
      <c r="AR332" s="403"/>
      <c r="AS332" s="403"/>
      <c r="AT332" s="403"/>
      <c r="AU332" s="403"/>
      <c r="AV332" s="403"/>
      <c r="AW332" s="403"/>
      <c r="AX332" s="403"/>
      <c r="AY332" s="403"/>
      <c r="AZ332" s="403"/>
      <c r="BA332" s="403" t="s">
        <v>1599</v>
      </c>
      <c r="BB332" s="403"/>
      <c r="BC332" s="403"/>
      <c r="BD332" s="403"/>
      <c r="BE332" s="403"/>
      <c r="BF332" s="403"/>
      <c r="BG332" s="403"/>
      <c r="BH332" s="403"/>
      <c r="BI332" s="403"/>
      <c r="BJ332" s="403"/>
      <c r="BK332" s="403"/>
      <c r="BL332" s="403"/>
      <c r="BM332" s="403" t="s">
        <v>4665</v>
      </c>
      <c r="BN332" s="403"/>
      <c r="BO332" s="403"/>
      <c r="BP332" s="403"/>
      <c r="BQ332" s="403"/>
      <c r="BR332" s="403"/>
      <c r="BS332" s="403"/>
      <c r="BT332" s="403"/>
      <c r="BU332" s="403"/>
      <c r="BV332" s="403"/>
      <c r="BW332" s="403"/>
      <c r="BX332" s="403"/>
      <c r="BY332" s="403" t="s">
        <v>1600</v>
      </c>
      <c r="BZ332" s="403"/>
      <c r="CA332" s="403"/>
      <c r="CB332" s="403"/>
      <c r="CC332" s="403"/>
      <c r="CD332" s="403"/>
      <c r="CE332" s="403"/>
      <c r="CF332" s="403"/>
      <c r="CG332" s="403"/>
      <c r="CH332" s="403"/>
      <c r="CI332" s="403"/>
      <c r="CJ332" s="403"/>
      <c r="CK332" s="403" t="s">
        <v>4690</v>
      </c>
      <c r="CL332" s="403"/>
      <c r="CM332" s="403"/>
      <c r="CN332" s="403"/>
      <c r="CO332" s="403"/>
      <c r="CP332" s="403"/>
      <c r="CQ332" s="403"/>
      <c r="CR332" s="403"/>
      <c r="CS332" s="564"/>
    </row>
    <row r="333" spans="1:97" s="299" customFormat="1" ht="12.75" x14ac:dyDescent="0.2">
      <c r="A333" s="349">
        <v>1</v>
      </c>
      <c r="C333" s="622"/>
      <c r="D333" s="5" t="str">
        <f t="shared" ca="1" si="192"/>
        <v>H2 2022</v>
      </c>
      <c r="E333" s="377"/>
      <c r="H333" s="450">
        <f t="shared" si="199"/>
        <v>0</v>
      </c>
      <c r="K333" s="567"/>
      <c r="L333" s="587"/>
      <c r="M333" s="403"/>
      <c r="N333" s="403"/>
      <c r="O333" s="403"/>
      <c r="P333" s="403"/>
      <c r="Q333" s="403" t="s">
        <v>1600</v>
      </c>
      <c r="R333" s="403"/>
      <c r="S333" s="403"/>
      <c r="T333" s="403"/>
      <c r="U333" s="403"/>
      <c r="V333" s="403"/>
      <c r="W333" s="403"/>
      <c r="X333" s="403"/>
      <c r="Y333" s="403"/>
      <c r="Z333" s="403"/>
      <c r="AA333" s="403"/>
      <c r="AB333" s="403"/>
      <c r="AC333" s="403" t="s">
        <v>4666</v>
      </c>
      <c r="AD333" s="403"/>
      <c r="AE333" s="403"/>
      <c r="AF333" s="403"/>
      <c r="AG333" s="403"/>
      <c r="AH333" s="403"/>
      <c r="AI333" s="403"/>
      <c r="AJ333" s="403"/>
      <c r="AK333" s="403"/>
      <c r="AL333" s="403"/>
      <c r="AM333" s="403"/>
      <c r="AN333" s="403"/>
      <c r="AO333" s="403" t="s">
        <v>4673</v>
      </c>
      <c r="AP333" s="403"/>
      <c r="AQ333" s="403"/>
      <c r="AR333" s="403"/>
      <c r="AS333" s="403"/>
      <c r="AT333" s="403"/>
      <c r="AU333" s="403"/>
      <c r="AV333" s="403"/>
      <c r="AW333" s="403"/>
      <c r="AX333" s="403"/>
      <c r="AY333" s="403"/>
      <c r="AZ333" s="403"/>
      <c r="BA333" s="403" t="s">
        <v>1600</v>
      </c>
      <c r="BB333" s="403"/>
      <c r="BC333" s="403"/>
      <c r="BD333" s="403"/>
      <c r="BE333" s="403"/>
      <c r="BF333" s="403"/>
      <c r="BG333" s="403"/>
      <c r="BH333" s="403"/>
      <c r="BI333" s="403"/>
      <c r="BJ333" s="403"/>
      <c r="BK333" s="403"/>
      <c r="BL333" s="403"/>
      <c r="BM333" s="403" t="s">
        <v>4666</v>
      </c>
      <c r="BN333" s="403"/>
      <c r="BO333" s="403"/>
      <c r="BP333" s="403"/>
      <c r="BQ333" s="403"/>
      <c r="BR333" s="403"/>
      <c r="BS333" s="403"/>
      <c r="BT333" s="403"/>
      <c r="BU333" s="403"/>
      <c r="BV333" s="403"/>
      <c r="BW333" s="403"/>
      <c r="BX333" s="403"/>
      <c r="BY333" s="403" t="s">
        <v>1602</v>
      </c>
      <c r="BZ333" s="403"/>
      <c r="CA333" s="403"/>
      <c r="CB333" s="403"/>
      <c r="CC333" s="403"/>
      <c r="CD333" s="403"/>
      <c r="CE333" s="403"/>
      <c r="CF333" s="403"/>
      <c r="CG333" s="403"/>
      <c r="CH333" s="403"/>
      <c r="CI333" s="403"/>
      <c r="CJ333" s="403"/>
      <c r="CK333" s="403" t="s">
        <v>4691</v>
      </c>
      <c r="CL333" s="403"/>
      <c r="CM333" s="403"/>
      <c r="CN333" s="403"/>
      <c r="CO333" s="403"/>
      <c r="CP333" s="403"/>
      <c r="CQ333" s="403"/>
      <c r="CR333" s="403"/>
      <c r="CS333" s="564"/>
    </row>
    <row r="334" spans="1:97" s="299" customFormat="1" ht="12.75" x14ac:dyDescent="0.2">
      <c r="A334" s="349">
        <v>1</v>
      </c>
      <c r="C334" s="622"/>
      <c r="D334" s="5" t="str">
        <f t="shared" ca="1" si="192"/>
        <v>H1 2023</v>
      </c>
      <c r="E334" s="377"/>
      <c r="H334" s="450">
        <f t="shared" si="199"/>
        <v>0</v>
      </c>
      <c r="K334" s="567"/>
      <c r="L334" s="587"/>
      <c r="M334" s="403"/>
      <c r="N334" s="403"/>
      <c r="O334" s="403"/>
      <c r="P334" s="403"/>
      <c r="Q334" s="403" t="s">
        <v>1602</v>
      </c>
      <c r="R334" s="403"/>
      <c r="S334" s="403"/>
      <c r="T334" s="403"/>
      <c r="U334" s="403"/>
      <c r="V334" s="403"/>
      <c r="W334" s="403"/>
      <c r="X334" s="403"/>
      <c r="Y334" s="403"/>
      <c r="Z334" s="403"/>
      <c r="AA334" s="403"/>
      <c r="AB334" s="403"/>
      <c r="AC334" s="403" t="s">
        <v>4667</v>
      </c>
      <c r="AD334" s="403"/>
      <c r="AE334" s="403"/>
      <c r="AF334" s="403"/>
      <c r="AG334" s="403"/>
      <c r="AH334" s="403"/>
      <c r="AI334" s="403"/>
      <c r="AJ334" s="403"/>
      <c r="AK334" s="403"/>
      <c r="AL334" s="403"/>
      <c r="AM334" s="403"/>
      <c r="AN334" s="403"/>
      <c r="AO334" s="403" t="s">
        <v>4674</v>
      </c>
      <c r="AP334" s="403"/>
      <c r="AQ334" s="403"/>
      <c r="AR334" s="403"/>
      <c r="AS334" s="403"/>
      <c r="AT334" s="403"/>
      <c r="AU334" s="403"/>
      <c r="AV334" s="403"/>
      <c r="AW334" s="403"/>
      <c r="AX334" s="403"/>
      <c r="AY334" s="403"/>
      <c r="AZ334" s="403"/>
      <c r="BA334" s="403" t="s">
        <v>1602</v>
      </c>
      <c r="BB334" s="403"/>
      <c r="BC334" s="403"/>
      <c r="BD334" s="403"/>
      <c r="BE334" s="403"/>
      <c r="BF334" s="403"/>
      <c r="BG334" s="403"/>
      <c r="BH334" s="403"/>
      <c r="BI334" s="403"/>
      <c r="BJ334" s="403"/>
      <c r="BK334" s="403"/>
      <c r="BL334" s="403"/>
      <c r="BM334" s="403" t="s">
        <v>4667</v>
      </c>
      <c r="BN334" s="403"/>
      <c r="BO334" s="403"/>
      <c r="BP334" s="403"/>
      <c r="BQ334" s="403"/>
      <c r="BR334" s="403"/>
      <c r="BS334" s="403"/>
      <c r="BT334" s="403"/>
      <c r="BU334" s="403"/>
      <c r="BV334" s="403"/>
      <c r="BW334" s="403"/>
      <c r="BX334" s="403"/>
      <c r="BY334" s="403" t="s">
        <v>1601</v>
      </c>
      <c r="BZ334" s="403"/>
      <c r="CA334" s="403"/>
      <c r="CB334" s="403"/>
      <c r="CC334" s="403"/>
      <c r="CD334" s="403"/>
      <c r="CE334" s="403"/>
      <c r="CF334" s="403"/>
      <c r="CG334" s="403"/>
      <c r="CH334" s="403"/>
      <c r="CI334" s="403"/>
      <c r="CJ334" s="403"/>
      <c r="CK334" s="403" t="s">
        <v>4692</v>
      </c>
      <c r="CL334" s="403"/>
      <c r="CM334" s="403"/>
      <c r="CN334" s="403"/>
      <c r="CO334" s="403"/>
      <c r="CP334" s="403"/>
      <c r="CQ334" s="403"/>
      <c r="CR334" s="403"/>
      <c r="CS334" s="564"/>
    </row>
    <row r="335" spans="1:97" s="299" customFormat="1" ht="12.75" x14ac:dyDescent="0.2">
      <c r="A335" s="349">
        <v>1</v>
      </c>
      <c r="C335" s="622"/>
      <c r="D335" s="5" t="str">
        <f t="shared" ca="1" si="192"/>
        <v>H2 2023</v>
      </c>
      <c r="E335" s="377"/>
      <c r="H335" s="450">
        <f t="shared" si="199"/>
        <v>0</v>
      </c>
      <c r="K335" s="567"/>
      <c r="L335" s="587"/>
      <c r="M335" s="403"/>
      <c r="N335" s="403"/>
      <c r="O335" s="403"/>
      <c r="P335" s="403"/>
      <c r="Q335" s="403" t="s">
        <v>1601</v>
      </c>
      <c r="R335" s="403"/>
      <c r="S335" s="403"/>
      <c r="T335" s="403"/>
      <c r="U335" s="403"/>
      <c r="V335" s="403"/>
      <c r="W335" s="403"/>
      <c r="X335" s="403"/>
      <c r="Y335" s="403"/>
      <c r="Z335" s="403"/>
      <c r="AA335" s="403"/>
      <c r="AB335" s="403"/>
      <c r="AC335" s="403" t="s">
        <v>4668</v>
      </c>
      <c r="AD335" s="403"/>
      <c r="AE335" s="403"/>
      <c r="AF335" s="403"/>
      <c r="AG335" s="403"/>
      <c r="AH335" s="403"/>
      <c r="AI335" s="403"/>
      <c r="AJ335" s="403"/>
      <c r="AK335" s="403"/>
      <c r="AL335" s="403"/>
      <c r="AM335" s="403"/>
      <c r="AN335" s="403"/>
      <c r="AO335" s="403" t="s">
        <v>4675</v>
      </c>
      <c r="AP335" s="403"/>
      <c r="AQ335" s="403"/>
      <c r="AR335" s="403"/>
      <c r="AS335" s="403"/>
      <c r="AT335" s="403"/>
      <c r="AU335" s="403"/>
      <c r="AV335" s="403"/>
      <c r="AW335" s="403"/>
      <c r="AX335" s="403"/>
      <c r="AY335" s="403"/>
      <c r="AZ335" s="403"/>
      <c r="BA335" s="403" t="s">
        <v>1601</v>
      </c>
      <c r="BB335" s="403"/>
      <c r="BC335" s="403"/>
      <c r="BD335" s="403"/>
      <c r="BE335" s="403"/>
      <c r="BF335" s="403"/>
      <c r="BG335" s="403"/>
      <c r="BH335" s="403"/>
      <c r="BI335" s="403"/>
      <c r="BJ335" s="403"/>
      <c r="BK335" s="403"/>
      <c r="BL335" s="403"/>
      <c r="BM335" s="403" t="s">
        <v>4668</v>
      </c>
      <c r="BN335" s="403"/>
      <c r="BO335" s="403"/>
      <c r="BP335" s="403"/>
      <c r="BQ335" s="403"/>
      <c r="BR335" s="403"/>
      <c r="BS335" s="403"/>
      <c r="BT335" s="403"/>
      <c r="BU335" s="403"/>
      <c r="BV335" s="403"/>
      <c r="BW335" s="403"/>
      <c r="BX335" s="403"/>
      <c r="BY335" s="403"/>
      <c r="BZ335" s="403"/>
      <c r="CA335" s="403"/>
      <c r="CB335" s="403"/>
      <c r="CC335" s="403"/>
      <c r="CD335" s="403"/>
      <c r="CE335" s="403"/>
      <c r="CF335" s="403"/>
      <c r="CG335" s="403"/>
      <c r="CH335" s="403"/>
      <c r="CI335" s="403"/>
      <c r="CJ335" s="403"/>
      <c r="CK335" s="403" t="s">
        <v>4693</v>
      </c>
      <c r="CL335" s="403"/>
      <c r="CM335" s="403"/>
      <c r="CN335" s="403"/>
      <c r="CO335" s="403"/>
      <c r="CP335" s="403"/>
      <c r="CQ335" s="403"/>
      <c r="CR335" s="403"/>
      <c r="CS335" s="564"/>
    </row>
    <row r="336" spans="1:97" s="299" customFormat="1" ht="12.75" x14ac:dyDescent="0.2">
      <c r="C336" s="622"/>
      <c r="K336" s="68"/>
      <c r="L336" s="567"/>
      <c r="M336" s="403"/>
      <c r="N336" s="403"/>
      <c r="O336" s="403"/>
      <c r="P336" s="403"/>
      <c r="Q336" s="403"/>
      <c r="R336" s="403"/>
      <c r="S336" s="403"/>
      <c r="T336" s="403"/>
      <c r="U336" s="403"/>
      <c r="V336" s="403"/>
      <c r="W336" s="403"/>
      <c r="X336" s="403"/>
      <c r="Y336" s="403"/>
      <c r="Z336" s="403"/>
      <c r="AA336" s="403"/>
      <c r="AB336" s="403"/>
      <c r="AC336" s="403"/>
      <c r="AD336" s="403"/>
      <c r="AE336" s="403"/>
      <c r="AF336" s="403"/>
      <c r="AG336" s="403"/>
      <c r="AH336" s="403"/>
      <c r="AI336" s="403"/>
      <c r="AJ336" s="403"/>
      <c r="AK336" s="403"/>
      <c r="AL336" s="403"/>
      <c r="AM336" s="403"/>
      <c r="AN336" s="403"/>
      <c r="AO336" s="403"/>
      <c r="AP336" s="403"/>
      <c r="AQ336" s="403"/>
      <c r="AR336" s="403"/>
      <c r="AS336" s="403"/>
      <c r="AT336" s="403"/>
      <c r="AU336" s="403"/>
      <c r="AV336" s="403"/>
      <c r="AW336" s="403"/>
      <c r="AX336" s="403"/>
      <c r="AY336" s="403"/>
      <c r="AZ336" s="403"/>
      <c r="BA336" s="403"/>
      <c r="BB336" s="403"/>
      <c r="BC336" s="403"/>
      <c r="BD336" s="403"/>
      <c r="BE336" s="403"/>
      <c r="BF336" s="403"/>
      <c r="BG336" s="403"/>
      <c r="BH336" s="403"/>
      <c r="BI336" s="403"/>
      <c r="BJ336" s="403"/>
      <c r="BK336" s="403"/>
      <c r="BL336" s="403"/>
      <c r="BM336" s="403"/>
      <c r="BN336" s="403"/>
      <c r="BO336" s="403"/>
      <c r="BP336" s="403"/>
      <c r="BQ336" s="403"/>
      <c r="BR336" s="403"/>
      <c r="BS336" s="403"/>
      <c r="BT336" s="403"/>
      <c r="BU336" s="403"/>
      <c r="BV336" s="403"/>
      <c r="BW336" s="403"/>
      <c r="BX336" s="403"/>
      <c r="BY336" s="403" t="s">
        <v>7844</v>
      </c>
      <c r="BZ336" s="403"/>
      <c r="CA336" s="403"/>
      <c r="CB336" s="403"/>
      <c r="CC336" s="403"/>
      <c r="CD336" s="403"/>
      <c r="CE336" s="403"/>
      <c r="CF336" s="403"/>
      <c r="CG336" s="403"/>
      <c r="CH336" s="403"/>
      <c r="CI336" s="403"/>
      <c r="CJ336" s="403"/>
      <c r="CK336" s="403"/>
      <c r="CL336" s="403"/>
      <c r="CM336" s="403"/>
      <c r="CN336" s="403"/>
      <c r="CO336" s="403"/>
      <c r="CP336" s="403"/>
      <c r="CQ336" s="403"/>
      <c r="CR336" s="403"/>
      <c r="CS336" s="564"/>
    </row>
    <row r="337" spans="1:97" s="299" customFormat="1" ht="12.75" x14ac:dyDescent="0.2">
      <c r="C337" s="622"/>
      <c r="D337" s="34" t="str">
        <f t="shared" ref="D337:D343" ca="1" si="200">IF(OFFSET(Q337,0,Lang_Order*Lang__A2)="","",OFFSET(Q337,0,Lang_Order*Lang__A2))</f>
        <v>Total cost of the non-Covax vaccine doses, USD</v>
      </c>
      <c r="E337" s="463"/>
      <c r="K337" s="143" t="str">
        <f t="shared" ca="1" si="169"/>
        <v>Total for all doses in the time period, not per dose</v>
      </c>
      <c r="L337" s="567"/>
      <c r="M337" s="403"/>
      <c r="N337" s="403"/>
      <c r="O337" s="403"/>
      <c r="P337" s="403"/>
      <c r="Q337" s="403" t="s">
        <v>4241</v>
      </c>
      <c r="R337" s="403"/>
      <c r="S337" s="403"/>
      <c r="T337" s="403"/>
      <c r="U337" s="403"/>
      <c r="V337" s="403"/>
      <c r="W337" s="403" t="s">
        <v>197</v>
      </c>
      <c r="X337" s="403" t="s">
        <v>4262</v>
      </c>
      <c r="Y337" s="403"/>
      <c r="Z337" s="403"/>
      <c r="AA337" s="403"/>
      <c r="AB337" s="403"/>
      <c r="AC337" s="403" t="s">
        <v>7845</v>
      </c>
      <c r="AD337" s="403"/>
      <c r="AE337" s="403"/>
      <c r="AF337" s="403"/>
      <c r="AG337" s="403"/>
      <c r="AH337" s="403"/>
      <c r="AI337" s="403"/>
      <c r="AJ337" s="403" t="s">
        <v>7846</v>
      </c>
      <c r="AK337" s="403"/>
      <c r="AL337" s="403"/>
      <c r="AM337" s="403"/>
      <c r="AN337" s="403"/>
      <c r="AO337" s="403" t="s">
        <v>7847</v>
      </c>
      <c r="AP337" s="403"/>
      <c r="AQ337" s="403"/>
      <c r="AR337" s="403"/>
      <c r="AS337" s="403"/>
      <c r="AT337" s="403"/>
      <c r="AU337" s="403"/>
      <c r="AV337" s="403" t="s">
        <v>7848</v>
      </c>
      <c r="AW337" s="403"/>
      <c r="AX337" s="403"/>
      <c r="AY337" s="403"/>
      <c r="AZ337" s="403"/>
      <c r="BA337" s="403" t="s">
        <v>7849</v>
      </c>
      <c r="BB337" s="403"/>
      <c r="BC337" s="403"/>
      <c r="BD337" s="403"/>
      <c r="BE337" s="403"/>
      <c r="BF337" s="403"/>
      <c r="BG337" s="403"/>
      <c r="BH337" s="403" t="s">
        <v>7850</v>
      </c>
      <c r="BI337" s="403"/>
      <c r="BJ337" s="403"/>
      <c r="BK337" s="403"/>
      <c r="BL337" s="403"/>
      <c r="BM337" s="403" t="s">
        <v>7851</v>
      </c>
      <c r="BN337" s="403"/>
      <c r="BO337" s="403"/>
      <c r="BP337" s="403"/>
      <c r="BQ337" s="403"/>
      <c r="BR337" s="403"/>
      <c r="BS337" s="403"/>
      <c r="BT337" s="403" t="s">
        <v>7852</v>
      </c>
      <c r="BU337" s="403"/>
      <c r="BV337" s="403"/>
      <c r="BW337" s="403"/>
      <c r="BX337" s="403"/>
      <c r="BY337" s="403" t="s">
        <v>7565</v>
      </c>
      <c r="BZ337" s="403"/>
      <c r="CA337" s="403"/>
      <c r="CB337" s="403"/>
      <c r="CC337" s="403"/>
      <c r="CD337" s="403"/>
      <c r="CE337" s="403"/>
      <c r="CF337" s="403" t="s">
        <v>7853</v>
      </c>
      <c r="CG337" s="403"/>
      <c r="CH337" s="403"/>
      <c r="CI337" s="403"/>
      <c r="CJ337" s="403"/>
      <c r="CK337" s="403" t="s">
        <v>7854</v>
      </c>
      <c r="CL337" s="403"/>
      <c r="CM337" s="403"/>
      <c r="CN337" s="403"/>
      <c r="CO337" s="403"/>
      <c r="CP337" s="403"/>
      <c r="CQ337" s="403"/>
      <c r="CR337" s="403" t="s">
        <v>7855</v>
      </c>
      <c r="CS337" s="564"/>
    </row>
    <row r="338" spans="1:97" s="299" customFormat="1" ht="12.75" x14ac:dyDescent="0.2">
      <c r="A338" s="349">
        <v>1</v>
      </c>
      <c r="C338" s="622"/>
      <c r="D338" s="5" t="str">
        <f t="shared" ca="1" si="200"/>
        <v>Stage 1 (H1 2021)</v>
      </c>
      <c r="E338" s="284"/>
      <c r="K338" s="567"/>
      <c r="L338" s="587"/>
      <c r="M338" s="403"/>
      <c r="N338" s="403"/>
      <c r="O338" s="403"/>
      <c r="P338" s="403"/>
      <c r="Q338" s="403" t="s">
        <v>4233</v>
      </c>
      <c r="R338" s="403"/>
      <c r="S338" s="403"/>
      <c r="T338" s="403"/>
      <c r="U338" s="403"/>
      <c r="V338" s="403"/>
      <c r="W338" s="403"/>
      <c r="X338" s="403"/>
      <c r="Y338" s="403"/>
      <c r="Z338" s="403"/>
      <c r="AA338" s="403"/>
      <c r="AB338" s="403"/>
      <c r="AC338" s="403" t="s">
        <v>7561</v>
      </c>
      <c r="AD338" s="403"/>
      <c r="AE338" s="403"/>
      <c r="AF338" s="403"/>
      <c r="AG338" s="403"/>
      <c r="AH338" s="403"/>
      <c r="AI338" s="403"/>
      <c r="AJ338" s="403"/>
      <c r="AK338" s="403"/>
      <c r="AL338" s="403"/>
      <c r="AM338" s="403"/>
      <c r="AN338" s="403"/>
      <c r="AO338" s="403" t="s">
        <v>7562</v>
      </c>
      <c r="AP338" s="403"/>
      <c r="AQ338" s="403"/>
      <c r="AR338" s="403"/>
      <c r="AS338" s="403"/>
      <c r="AT338" s="403"/>
      <c r="AU338" s="403"/>
      <c r="AV338" s="403"/>
      <c r="AW338" s="403"/>
      <c r="AX338" s="403"/>
      <c r="AY338" s="403"/>
      <c r="AZ338" s="403"/>
      <c r="BA338" s="403" t="s">
        <v>7563</v>
      </c>
      <c r="BB338" s="403"/>
      <c r="BC338" s="403"/>
      <c r="BD338" s="403"/>
      <c r="BE338" s="403"/>
      <c r="BF338" s="403"/>
      <c r="BG338" s="403"/>
      <c r="BH338" s="403"/>
      <c r="BI338" s="403"/>
      <c r="BJ338" s="403"/>
      <c r="BK338" s="403"/>
      <c r="BL338" s="403"/>
      <c r="BM338" s="403" t="s">
        <v>7564</v>
      </c>
      <c r="BN338" s="403"/>
      <c r="BO338" s="403"/>
      <c r="BP338" s="403"/>
      <c r="BQ338" s="403"/>
      <c r="BR338" s="403"/>
      <c r="BS338" s="403"/>
      <c r="BT338" s="403"/>
      <c r="BU338" s="403"/>
      <c r="BV338" s="403"/>
      <c r="BW338" s="403"/>
      <c r="BX338" s="403"/>
      <c r="BY338" s="403" t="s">
        <v>7856</v>
      </c>
      <c r="BZ338" s="403"/>
      <c r="CA338" s="403"/>
      <c r="CB338" s="403"/>
      <c r="CC338" s="403"/>
      <c r="CD338" s="403"/>
      <c r="CE338" s="403"/>
      <c r="CF338" s="403"/>
      <c r="CG338" s="403"/>
      <c r="CH338" s="403"/>
      <c r="CI338" s="403"/>
      <c r="CJ338" s="403"/>
      <c r="CK338" s="403" t="s">
        <v>7568</v>
      </c>
      <c r="CL338" s="403"/>
      <c r="CM338" s="403"/>
      <c r="CN338" s="403"/>
      <c r="CO338" s="403"/>
      <c r="CP338" s="403"/>
      <c r="CQ338" s="403"/>
      <c r="CR338" s="403"/>
      <c r="CS338" s="564"/>
    </row>
    <row r="339" spans="1:97" s="299" customFormat="1" ht="12.75" x14ac:dyDescent="0.2">
      <c r="A339" s="349">
        <v>1</v>
      </c>
      <c r="C339" s="622"/>
      <c r="D339" s="5" t="str">
        <f t="shared" ca="1" si="200"/>
        <v>Stage 2 (H2 2021)</v>
      </c>
      <c r="E339" s="284"/>
      <c r="K339" s="567"/>
      <c r="L339" s="587"/>
      <c r="M339" s="403"/>
      <c r="N339" s="403"/>
      <c r="O339" s="403"/>
      <c r="P339" s="403"/>
      <c r="Q339" s="403" t="s">
        <v>4234</v>
      </c>
      <c r="R339" s="403"/>
      <c r="S339" s="403"/>
      <c r="T339" s="403"/>
      <c r="U339" s="403"/>
      <c r="V339" s="403"/>
      <c r="W339" s="403"/>
      <c r="X339" s="403"/>
      <c r="Y339" s="403"/>
      <c r="Z339" s="403"/>
      <c r="AA339" s="403"/>
      <c r="AB339" s="403"/>
      <c r="AC339" s="403" t="s">
        <v>7569</v>
      </c>
      <c r="AD339" s="403"/>
      <c r="AE339" s="403"/>
      <c r="AF339" s="403"/>
      <c r="AG339" s="403"/>
      <c r="AH339" s="403"/>
      <c r="AI339" s="403"/>
      <c r="AJ339" s="403"/>
      <c r="AK339" s="403"/>
      <c r="AL339" s="403"/>
      <c r="AM339" s="403"/>
      <c r="AN339" s="403"/>
      <c r="AO339" s="403" t="s">
        <v>7570</v>
      </c>
      <c r="AP339" s="403"/>
      <c r="AQ339" s="403"/>
      <c r="AR339" s="403"/>
      <c r="AS339" s="403"/>
      <c r="AT339" s="403"/>
      <c r="AU339" s="403"/>
      <c r="AV339" s="403"/>
      <c r="AW339" s="403"/>
      <c r="AX339" s="403"/>
      <c r="AY339" s="403"/>
      <c r="AZ339" s="403"/>
      <c r="BA339" s="403" t="s">
        <v>7571</v>
      </c>
      <c r="BB339" s="403"/>
      <c r="BC339" s="403"/>
      <c r="BD339" s="403"/>
      <c r="BE339" s="403"/>
      <c r="BF339" s="403"/>
      <c r="BG339" s="403"/>
      <c r="BH339" s="403"/>
      <c r="BI339" s="403"/>
      <c r="BJ339" s="403"/>
      <c r="BK339" s="403"/>
      <c r="BL339" s="403"/>
      <c r="BM339" s="403" t="s">
        <v>7572</v>
      </c>
      <c r="BN339" s="403"/>
      <c r="BO339" s="403"/>
      <c r="BP339" s="403"/>
      <c r="BQ339" s="403"/>
      <c r="BR339" s="403"/>
      <c r="BS339" s="403"/>
      <c r="BT339" s="403"/>
      <c r="BU339" s="403"/>
      <c r="BV339" s="403"/>
      <c r="BW339" s="403"/>
      <c r="BX339" s="403"/>
      <c r="BY339" s="403" t="s">
        <v>1599</v>
      </c>
      <c r="BZ339" s="403"/>
      <c r="CA339" s="403"/>
      <c r="CB339" s="403"/>
      <c r="CC339" s="403"/>
      <c r="CD339" s="403"/>
      <c r="CE339" s="403"/>
      <c r="CF339" s="403"/>
      <c r="CG339" s="403"/>
      <c r="CH339" s="403"/>
      <c r="CI339" s="403"/>
      <c r="CJ339" s="403"/>
      <c r="CK339" s="403" t="s">
        <v>7843</v>
      </c>
      <c r="CL339" s="403"/>
      <c r="CM339" s="403"/>
      <c r="CN339" s="403"/>
      <c r="CO339" s="403"/>
      <c r="CP339" s="403"/>
      <c r="CQ339" s="403"/>
      <c r="CR339" s="403"/>
      <c r="CS339" s="564"/>
    </row>
    <row r="340" spans="1:97" s="299" customFormat="1" ht="12.75" x14ac:dyDescent="0.2">
      <c r="A340" s="349">
        <v>1</v>
      </c>
      <c r="C340" s="622"/>
      <c r="D340" s="5" t="str">
        <f t="shared" ca="1" si="200"/>
        <v>H1 2022</v>
      </c>
      <c r="E340" s="284"/>
      <c r="K340" s="567"/>
      <c r="L340" s="587"/>
      <c r="M340" s="403"/>
      <c r="N340" s="403"/>
      <c r="O340" s="403"/>
      <c r="P340" s="403"/>
      <c r="Q340" s="403" t="s">
        <v>1599</v>
      </c>
      <c r="R340" s="403"/>
      <c r="S340" s="403"/>
      <c r="T340" s="403"/>
      <c r="U340" s="403"/>
      <c r="V340" s="403"/>
      <c r="W340" s="403"/>
      <c r="X340" s="403"/>
      <c r="Y340" s="403"/>
      <c r="Z340" s="403"/>
      <c r="AA340" s="403"/>
      <c r="AB340" s="403"/>
      <c r="AC340" s="403" t="s">
        <v>4665</v>
      </c>
      <c r="AD340" s="403"/>
      <c r="AE340" s="403"/>
      <c r="AF340" s="403"/>
      <c r="AG340" s="403"/>
      <c r="AH340" s="403"/>
      <c r="AI340" s="403"/>
      <c r="AJ340" s="403"/>
      <c r="AK340" s="403"/>
      <c r="AL340" s="403"/>
      <c r="AM340" s="403"/>
      <c r="AN340" s="403"/>
      <c r="AO340" s="403" t="s">
        <v>4672</v>
      </c>
      <c r="AP340" s="403"/>
      <c r="AQ340" s="403"/>
      <c r="AR340" s="403"/>
      <c r="AS340" s="403"/>
      <c r="AT340" s="403"/>
      <c r="AU340" s="403"/>
      <c r="AV340" s="403"/>
      <c r="AW340" s="403"/>
      <c r="AX340" s="403"/>
      <c r="AY340" s="403"/>
      <c r="AZ340" s="403"/>
      <c r="BA340" s="403" t="s">
        <v>1599</v>
      </c>
      <c r="BB340" s="403"/>
      <c r="BC340" s="403"/>
      <c r="BD340" s="403"/>
      <c r="BE340" s="403"/>
      <c r="BF340" s="403"/>
      <c r="BG340" s="403"/>
      <c r="BH340" s="403"/>
      <c r="BI340" s="403"/>
      <c r="BJ340" s="403"/>
      <c r="BK340" s="403"/>
      <c r="BL340" s="403"/>
      <c r="BM340" s="403" t="s">
        <v>4665</v>
      </c>
      <c r="BN340" s="403"/>
      <c r="BO340" s="403"/>
      <c r="BP340" s="403"/>
      <c r="BQ340" s="403"/>
      <c r="BR340" s="403"/>
      <c r="BS340" s="403"/>
      <c r="BT340" s="403"/>
      <c r="BU340" s="403"/>
      <c r="BV340" s="403"/>
      <c r="BW340" s="403"/>
      <c r="BX340" s="403"/>
      <c r="BY340" s="403" t="s">
        <v>1600</v>
      </c>
      <c r="BZ340" s="403"/>
      <c r="CA340" s="403"/>
      <c r="CB340" s="403"/>
      <c r="CC340" s="403"/>
      <c r="CD340" s="403"/>
      <c r="CE340" s="403"/>
      <c r="CF340" s="403"/>
      <c r="CG340" s="403"/>
      <c r="CH340" s="403"/>
      <c r="CI340" s="403"/>
      <c r="CJ340" s="403"/>
      <c r="CK340" s="403" t="s">
        <v>4690</v>
      </c>
      <c r="CL340" s="403"/>
      <c r="CM340" s="403"/>
      <c r="CN340" s="403"/>
      <c r="CO340" s="403"/>
      <c r="CP340" s="403"/>
      <c r="CQ340" s="403"/>
      <c r="CR340" s="403"/>
      <c r="CS340" s="564"/>
    </row>
    <row r="341" spans="1:97" s="299" customFormat="1" ht="12.75" x14ac:dyDescent="0.2">
      <c r="A341" s="349">
        <v>1</v>
      </c>
      <c r="C341" s="622"/>
      <c r="D341" s="5" t="str">
        <f t="shared" ca="1" si="200"/>
        <v>H2 2022</v>
      </c>
      <c r="E341" s="284"/>
      <c r="K341" s="567"/>
      <c r="L341" s="587"/>
      <c r="M341" s="403"/>
      <c r="N341" s="403"/>
      <c r="O341" s="403"/>
      <c r="P341" s="403"/>
      <c r="Q341" s="403" t="s">
        <v>1600</v>
      </c>
      <c r="R341" s="403"/>
      <c r="S341" s="403"/>
      <c r="T341" s="403"/>
      <c r="U341" s="403"/>
      <c r="V341" s="403"/>
      <c r="W341" s="403"/>
      <c r="X341" s="403"/>
      <c r="Y341" s="403"/>
      <c r="Z341" s="403"/>
      <c r="AA341" s="403"/>
      <c r="AB341" s="403"/>
      <c r="AC341" s="403" t="s">
        <v>4666</v>
      </c>
      <c r="AD341" s="403"/>
      <c r="AE341" s="403"/>
      <c r="AF341" s="403"/>
      <c r="AG341" s="403"/>
      <c r="AH341" s="403"/>
      <c r="AI341" s="403"/>
      <c r="AJ341" s="403"/>
      <c r="AK341" s="403"/>
      <c r="AL341" s="403"/>
      <c r="AM341" s="403"/>
      <c r="AN341" s="403"/>
      <c r="AO341" s="403" t="s">
        <v>4673</v>
      </c>
      <c r="AP341" s="403"/>
      <c r="AQ341" s="403"/>
      <c r="AR341" s="403"/>
      <c r="AS341" s="403"/>
      <c r="AT341" s="403"/>
      <c r="AU341" s="403"/>
      <c r="AV341" s="403"/>
      <c r="AW341" s="403"/>
      <c r="AX341" s="403"/>
      <c r="AY341" s="403"/>
      <c r="AZ341" s="403"/>
      <c r="BA341" s="403" t="s">
        <v>1600</v>
      </c>
      <c r="BB341" s="403"/>
      <c r="BC341" s="403"/>
      <c r="BD341" s="403"/>
      <c r="BE341" s="403"/>
      <c r="BF341" s="403"/>
      <c r="BG341" s="403"/>
      <c r="BH341" s="403"/>
      <c r="BI341" s="403"/>
      <c r="BJ341" s="403"/>
      <c r="BK341" s="403"/>
      <c r="BL341" s="403"/>
      <c r="BM341" s="403" t="s">
        <v>4666</v>
      </c>
      <c r="BN341" s="403"/>
      <c r="BO341" s="403"/>
      <c r="BP341" s="403"/>
      <c r="BQ341" s="403"/>
      <c r="BR341" s="403"/>
      <c r="BS341" s="403"/>
      <c r="BT341" s="403"/>
      <c r="BU341" s="403"/>
      <c r="BV341" s="403"/>
      <c r="BW341" s="403"/>
      <c r="BX341" s="403"/>
      <c r="BY341" s="403" t="s">
        <v>1602</v>
      </c>
      <c r="BZ341" s="403"/>
      <c r="CA341" s="403"/>
      <c r="CB341" s="403"/>
      <c r="CC341" s="403"/>
      <c r="CD341" s="403"/>
      <c r="CE341" s="403"/>
      <c r="CF341" s="403"/>
      <c r="CG341" s="403"/>
      <c r="CH341" s="403"/>
      <c r="CI341" s="403"/>
      <c r="CJ341" s="403"/>
      <c r="CK341" s="403" t="s">
        <v>4691</v>
      </c>
      <c r="CL341" s="403"/>
      <c r="CM341" s="403"/>
      <c r="CN341" s="403"/>
      <c r="CO341" s="403"/>
      <c r="CP341" s="403"/>
      <c r="CQ341" s="403"/>
      <c r="CR341" s="403"/>
      <c r="CS341" s="564"/>
    </row>
    <row r="342" spans="1:97" s="299" customFormat="1" ht="12.75" x14ac:dyDescent="0.2">
      <c r="A342" s="349">
        <v>1</v>
      </c>
      <c r="C342" s="622"/>
      <c r="D342" s="5" t="str">
        <f t="shared" ca="1" si="200"/>
        <v>H1 2023</v>
      </c>
      <c r="E342" s="284"/>
      <c r="K342" s="567"/>
      <c r="L342" s="587"/>
      <c r="M342" s="403"/>
      <c r="N342" s="403"/>
      <c r="O342" s="403"/>
      <c r="P342" s="403"/>
      <c r="Q342" s="403" t="s">
        <v>1602</v>
      </c>
      <c r="R342" s="403"/>
      <c r="S342" s="403"/>
      <c r="T342" s="403"/>
      <c r="U342" s="403"/>
      <c r="V342" s="403"/>
      <c r="W342" s="403"/>
      <c r="X342" s="403"/>
      <c r="Y342" s="403"/>
      <c r="Z342" s="403"/>
      <c r="AA342" s="403"/>
      <c r="AB342" s="403"/>
      <c r="AC342" s="403" t="s">
        <v>4667</v>
      </c>
      <c r="AD342" s="403"/>
      <c r="AE342" s="403"/>
      <c r="AF342" s="403"/>
      <c r="AG342" s="403"/>
      <c r="AH342" s="403"/>
      <c r="AI342" s="403"/>
      <c r="AJ342" s="403"/>
      <c r="AK342" s="403"/>
      <c r="AL342" s="403"/>
      <c r="AM342" s="403"/>
      <c r="AN342" s="403"/>
      <c r="AO342" s="403" t="s">
        <v>4674</v>
      </c>
      <c r="AP342" s="403"/>
      <c r="AQ342" s="403"/>
      <c r="AR342" s="403"/>
      <c r="AS342" s="403"/>
      <c r="AT342" s="403"/>
      <c r="AU342" s="403"/>
      <c r="AV342" s="403"/>
      <c r="AW342" s="403"/>
      <c r="AX342" s="403"/>
      <c r="AY342" s="403"/>
      <c r="AZ342" s="403"/>
      <c r="BA342" s="403" t="s">
        <v>1602</v>
      </c>
      <c r="BB342" s="403"/>
      <c r="BC342" s="403"/>
      <c r="BD342" s="403"/>
      <c r="BE342" s="403"/>
      <c r="BF342" s="403"/>
      <c r="BG342" s="403"/>
      <c r="BH342" s="403"/>
      <c r="BI342" s="403"/>
      <c r="BJ342" s="403"/>
      <c r="BK342" s="403"/>
      <c r="BL342" s="403"/>
      <c r="BM342" s="403" t="s">
        <v>4667</v>
      </c>
      <c r="BN342" s="403"/>
      <c r="BO342" s="403"/>
      <c r="BP342" s="403"/>
      <c r="BQ342" s="403"/>
      <c r="BR342" s="403"/>
      <c r="BS342" s="403"/>
      <c r="BT342" s="403"/>
      <c r="BU342" s="403"/>
      <c r="BV342" s="403"/>
      <c r="BW342" s="403"/>
      <c r="BX342" s="403"/>
      <c r="BY342" s="403" t="s">
        <v>1601</v>
      </c>
      <c r="BZ342" s="403"/>
      <c r="CA342" s="403"/>
      <c r="CB342" s="403"/>
      <c r="CC342" s="403"/>
      <c r="CD342" s="403"/>
      <c r="CE342" s="403"/>
      <c r="CF342" s="403"/>
      <c r="CG342" s="403"/>
      <c r="CH342" s="403"/>
      <c r="CI342" s="403"/>
      <c r="CJ342" s="403"/>
      <c r="CK342" s="403" t="s">
        <v>4692</v>
      </c>
      <c r="CL342" s="403"/>
      <c r="CM342" s="403"/>
      <c r="CN342" s="403"/>
      <c r="CO342" s="403"/>
      <c r="CP342" s="403"/>
      <c r="CQ342" s="403"/>
      <c r="CR342" s="403"/>
      <c r="CS342" s="564"/>
    </row>
    <row r="343" spans="1:97" s="299" customFormat="1" ht="12.75" x14ac:dyDescent="0.2">
      <c r="A343" s="349">
        <v>1</v>
      </c>
      <c r="C343" s="622"/>
      <c r="D343" s="5" t="str">
        <f t="shared" ca="1" si="200"/>
        <v>H2 2023</v>
      </c>
      <c r="E343" s="284"/>
      <c r="K343" s="567"/>
      <c r="L343" s="587"/>
      <c r="M343" s="403"/>
      <c r="N343" s="403"/>
      <c r="O343" s="403"/>
      <c r="P343" s="403"/>
      <c r="Q343" s="403" t="s">
        <v>1601</v>
      </c>
      <c r="R343" s="403"/>
      <c r="S343" s="403"/>
      <c r="T343" s="403"/>
      <c r="U343" s="403"/>
      <c r="V343" s="403"/>
      <c r="W343" s="403"/>
      <c r="X343" s="403"/>
      <c r="Y343" s="403"/>
      <c r="Z343" s="403"/>
      <c r="AA343" s="403"/>
      <c r="AB343" s="403"/>
      <c r="AC343" s="403" t="s">
        <v>4668</v>
      </c>
      <c r="AD343" s="403"/>
      <c r="AE343" s="403"/>
      <c r="AF343" s="403"/>
      <c r="AG343" s="403"/>
      <c r="AH343" s="403"/>
      <c r="AI343" s="403"/>
      <c r="AJ343" s="403"/>
      <c r="AK343" s="403"/>
      <c r="AL343" s="403"/>
      <c r="AM343" s="403"/>
      <c r="AN343" s="403"/>
      <c r="AO343" s="403" t="s">
        <v>4675</v>
      </c>
      <c r="AP343" s="403"/>
      <c r="AQ343" s="403"/>
      <c r="AR343" s="403"/>
      <c r="AS343" s="403"/>
      <c r="AT343" s="403"/>
      <c r="AU343" s="403"/>
      <c r="AV343" s="403"/>
      <c r="AW343" s="403"/>
      <c r="AX343" s="403"/>
      <c r="AY343" s="403"/>
      <c r="AZ343" s="403"/>
      <c r="BA343" s="403" t="s">
        <v>1601</v>
      </c>
      <c r="BB343" s="403"/>
      <c r="BC343" s="403"/>
      <c r="BD343" s="403"/>
      <c r="BE343" s="403"/>
      <c r="BF343" s="403"/>
      <c r="BG343" s="403"/>
      <c r="BH343" s="403"/>
      <c r="BI343" s="403"/>
      <c r="BJ343" s="403"/>
      <c r="BK343" s="403"/>
      <c r="BL343" s="403"/>
      <c r="BM343" s="403" t="s">
        <v>4668</v>
      </c>
      <c r="BN343" s="403"/>
      <c r="BO343" s="403"/>
      <c r="BP343" s="403"/>
      <c r="BQ343" s="403"/>
      <c r="BR343" s="403"/>
      <c r="BS343" s="403"/>
      <c r="BT343" s="403"/>
      <c r="BU343" s="403"/>
      <c r="BV343" s="403"/>
      <c r="BW343" s="403"/>
      <c r="BX343" s="403"/>
      <c r="BY343" s="403" t="s">
        <v>1601</v>
      </c>
      <c r="BZ343" s="403"/>
      <c r="CA343" s="403"/>
      <c r="CB343" s="403"/>
      <c r="CC343" s="403"/>
      <c r="CD343" s="403"/>
      <c r="CE343" s="403"/>
      <c r="CF343" s="403"/>
      <c r="CG343" s="403"/>
      <c r="CH343" s="403"/>
      <c r="CI343" s="403"/>
      <c r="CJ343" s="403"/>
      <c r="CK343" s="403" t="s">
        <v>4693</v>
      </c>
      <c r="CL343" s="403"/>
      <c r="CM343" s="403"/>
      <c r="CN343" s="403"/>
      <c r="CO343" s="403"/>
      <c r="CP343" s="403"/>
      <c r="CQ343" s="403"/>
      <c r="CR343" s="403"/>
      <c r="CS343" s="564"/>
    </row>
    <row r="344" spans="1:97" s="299" customFormat="1" ht="12.75" x14ac:dyDescent="0.2">
      <c r="C344" s="622"/>
      <c r="K344" s="68"/>
      <c r="L344" s="68"/>
      <c r="M344" s="403"/>
      <c r="N344" s="403"/>
      <c r="O344" s="403"/>
      <c r="P344" s="403"/>
      <c r="Q344" s="403"/>
      <c r="R344" s="403"/>
      <c r="S344" s="403"/>
      <c r="T344" s="403"/>
      <c r="U344" s="403"/>
      <c r="V344" s="403"/>
      <c r="W344" s="403"/>
      <c r="X344" s="403"/>
      <c r="Y344" s="403"/>
      <c r="Z344" s="403"/>
      <c r="AA344" s="403"/>
      <c r="AB344" s="403"/>
      <c r="AC344" s="403"/>
      <c r="AD344" s="403"/>
      <c r="AE344" s="403"/>
      <c r="AF344" s="403"/>
      <c r="AG344" s="403"/>
      <c r="AH344" s="403"/>
      <c r="AI344" s="403"/>
      <c r="AJ344" s="403"/>
      <c r="AK344" s="403"/>
      <c r="AL344" s="403"/>
      <c r="AM344" s="403"/>
      <c r="AN344" s="403"/>
      <c r="AO344" s="403"/>
      <c r="AP344" s="403"/>
      <c r="AQ344" s="403"/>
      <c r="AR344" s="403"/>
      <c r="AS344" s="403"/>
      <c r="AT344" s="403"/>
      <c r="AU344" s="403"/>
      <c r="AV344" s="403"/>
      <c r="AW344" s="403"/>
      <c r="AX344" s="403"/>
      <c r="AY344" s="403"/>
      <c r="AZ344" s="403"/>
      <c r="BA344" s="403"/>
      <c r="BB344" s="403"/>
      <c r="BC344" s="403"/>
      <c r="BD344" s="403"/>
      <c r="BE344" s="403"/>
      <c r="BF344" s="403"/>
      <c r="BG344" s="403"/>
      <c r="BH344" s="403"/>
      <c r="BI344" s="403"/>
      <c r="BJ344" s="403"/>
      <c r="BK344" s="403"/>
      <c r="BL344" s="403"/>
      <c r="BM344" s="403"/>
      <c r="BN344" s="403"/>
      <c r="BO344" s="403"/>
      <c r="BP344" s="403"/>
      <c r="BQ344" s="403"/>
      <c r="BR344" s="403"/>
      <c r="BS344" s="403"/>
      <c r="BT344" s="403"/>
      <c r="BU344" s="403"/>
      <c r="BV344" s="403"/>
      <c r="BW344" s="403"/>
      <c r="BX344" s="403"/>
      <c r="BY344" s="403"/>
      <c r="BZ344" s="403"/>
      <c r="CA344" s="403"/>
      <c r="CB344" s="403"/>
      <c r="CC344" s="403"/>
      <c r="CD344" s="403"/>
      <c r="CE344" s="403"/>
      <c r="CF344" s="403"/>
      <c r="CG344" s="403"/>
      <c r="CH344" s="403"/>
      <c r="CI344" s="403"/>
      <c r="CJ344" s="403"/>
      <c r="CK344" s="403"/>
      <c r="CL344" s="403"/>
      <c r="CM344" s="403"/>
      <c r="CN344" s="403"/>
      <c r="CO344" s="403"/>
      <c r="CP344" s="403"/>
      <c r="CQ344" s="403"/>
      <c r="CR344" s="403"/>
      <c r="CS344" s="564"/>
    </row>
    <row r="345" spans="1:97" s="299" customFormat="1" x14ac:dyDescent="0.25">
      <c r="C345" s="33" t="str">
        <f t="shared" ref="C345" ca="1" si="201">IF(OFFSET(P345,0,Lang_Order*Lang__A2)="","",OFFSET(P345,0,Lang_Order*Lang__A2))</f>
        <v>A2.6.3 Total Available Vaccine Supply, 2021-2023</v>
      </c>
      <c r="D345" s="8"/>
      <c r="E345" s="8"/>
      <c r="F345" s="8"/>
      <c r="G345" s="8"/>
      <c r="H345" s="8"/>
      <c r="I345" s="8"/>
      <c r="J345" s="8"/>
      <c r="K345" s="144"/>
      <c r="L345" s="144"/>
      <c r="M345" s="403"/>
      <c r="N345" s="403"/>
      <c r="O345" s="403"/>
      <c r="P345" s="403" t="s">
        <v>4251</v>
      </c>
      <c r="Q345" s="403"/>
      <c r="R345" s="403"/>
      <c r="S345" s="403"/>
      <c r="T345" s="403"/>
      <c r="U345" s="403"/>
      <c r="V345" s="403"/>
      <c r="W345" s="403"/>
      <c r="X345" s="403"/>
      <c r="Y345" s="403"/>
      <c r="Z345" s="403"/>
      <c r="AA345" s="403"/>
      <c r="AB345" s="403" t="s">
        <v>7857</v>
      </c>
      <c r="AC345" s="403"/>
      <c r="AD345" s="403"/>
      <c r="AE345" s="403"/>
      <c r="AF345" s="403"/>
      <c r="AG345" s="403"/>
      <c r="AH345" s="403"/>
      <c r="AI345" s="403"/>
      <c r="AJ345" s="403"/>
      <c r="AK345" s="403"/>
      <c r="AL345" s="403"/>
      <c r="AM345" s="403"/>
      <c r="AN345" s="403" t="s">
        <v>7858</v>
      </c>
      <c r="AO345" s="403"/>
      <c r="AP345" s="403"/>
      <c r="AQ345" s="403"/>
      <c r="AR345" s="403"/>
      <c r="AS345" s="403"/>
      <c r="AT345" s="403"/>
      <c r="AU345" s="403"/>
      <c r="AV345" s="403"/>
      <c r="AW345" s="403"/>
      <c r="AX345" s="403"/>
      <c r="AY345" s="403"/>
      <c r="AZ345" s="403" t="s">
        <v>7859</v>
      </c>
      <c r="BA345" s="403"/>
      <c r="BB345" s="403"/>
      <c r="BC345" s="403"/>
      <c r="BD345" s="403"/>
      <c r="BE345" s="403"/>
      <c r="BF345" s="403"/>
      <c r="BG345" s="403"/>
      <c r="BH345" s="403"/>
      <c r="BI345" s="403"/>
      <c r="BJ345" s="403"/>
      <c r="BK345" s="403"/>
      <c r="BL345" s="403" t="s">
        <v>7860</v>
      </c>
      <c r="BM345" s="403"/>
      <c r="BN345" s="403"/>
      <c r="BO345" s="403"/>
      <c r="BP345" s="403"/>
      <c r="BQ345" s="403"/>
      <c r="BR345" s="403"/>
      <c r="BS345" s="403"/>
      <c r="BT345" s="403"/>
      <c r="BU345" s="403"/>
      <c r="BV345" s="403"/>
      <c r="BW345" s="403"/>
      <c r="BX345" s="403" t="s">
        <v>7861</v>
      </c>
      <c r="BY345" s="403"/>
      <c r="BZ345" s="403"/>
      <c r="CA345" s="403"/>
      <c r="CB345" s="403"/>
      <c r="CC345" s="403"/>
      <c r="CD345" s="403"/>
      <c r="CE345" s="403"/>
      <c r="CF345" s="403"/>
      <c r="CG345" s="403"/>
      <c r="CH345" s="403"/>
      <c r="CI345" s="403"/>
      <c r="CJ345" s="403" t="s">
        <v>7862</v>
      </c>
      <c r="CK345" s="403"/>
      <c r="CL345" s="403"/>
      <c r="CM345" s="403"/>
      <c r="CN345" s="403"/>
      <c r="CO345" s="403"/>
      <c r="CP345" s="403"/>
      <c r="CQ345" s="403"/>
      <c r="CR345" s="403"/>
      <c r="CS345" s="564"/>
    </row>
    <row r="346" spans="1:97" s="299" customFormat="1" ht="12.75" x14ac:dyDescent="0.2">
      <c r="C346" s="622"/>
      <c r="D346" s="34" t="str">
        <f t="shared" ref="D346:E352" ca="1" si="202">IF(OFFSET(Q346,0,Lang_Order*Lang__A2)="","",OFFSET(Q346,0,Lang_Order*Lang__A2))</f>
        <v>Total Covid-19 vaccine doses as percent of 2020 population</v>
      </c>
      <c r="E346" s="90" t="str">
        <f t="shared" ca="1" si="202"/>
        <v>Percent of total population in 2020</v>
      </c>
      <c r="H346" s="431" t="str">
        <f t="shared" ref="H346" ca="1" si="203">IF(OFFSET(U346,0,Lang_Order*Lang__A2)="","",OFFSET(U346,0,Lang_Order*Lang__A2))</f>
        <v>Courses</v>
      </c>
      <c r="K346" s="567"/>
      <c r="L346" s="567"/>
      <c r="M346" s="403"/>
      <c r="N346" s="403"/>
      <c r="O346" s="403"/>
      <c r="P346" s="403"/>
      <c r="Q346" s="403" t="s">
        <v>4243</v>
      </c>
      <c r="R346" s="403" t="s">
        <v>4261</v>
      </c>
      <c r="S346" s="403"/>
      <c r="T346" s="403"/>
      <c r="U346" s="403" t="s">
        <v>2958</v>
      </c>
      <c r="V346" s="403"/>
      <c r="W346" s="403" t="s">
        <v>197</v>
      </c>
      <c r="X346" s="403"/>
      <c r="Y346" s="403"/>
      <c r="Z346" s="403"/>
      <c r="AA346" s="403"/>
      <c r="AB346" s="403"/>
      <c r="AC346" s="403" t="s">
        <v>7863</v>
      </c>
      <c r="AD346" s="403" t="s">
        <v>7544</v>
      </c>
      <c r="AE346" s="403"/>
      <c r="AF346" s="403"/>
      <c r="AG346" s="403" t="s">
        <v>7825</v>
      </c>
      <c r="AH346" s="403"/>
      <c r="AI346" s="403"/>
      <c r="AJ346" s="403"/>
      <c r="AK346" s="403"/>
      <c r="AL346" s="403"/>
      <c r="AM346" s="403"/>
      <c r="AN346" s="403"/>
      <c r="AO346" s="403" t="s">
        <v>7864</v>
      </c>
      <c r="AP346" s="403" t="s">
        <v>7865</v>
      </c>
      <c r="AQ346" s="403"/>
      <c r="AR346" s="403"/>
      <c r="AS346" s="403" t="s">
        <v>7866</v>
      </c>
      <c r="AT346" s="403"/>
      <c r="AU346" s="403"/>
      <c r="AV346" s="403"/>
      <c r="AW346" s="403"/>
      <c r="AX346" s="403"/>
      <c r="AY346" s="403"/>
      <c r="AZ346" s="403"/>
      <c r="BA346" s="403" t="s">
        <v>7867</v>
      </c>
      <c r="BB346" s="403" t="s">
        <v>7550</v>
      </c>
      <c r="BC346" s="403"/>
      <c r="BD346" s="403"/>
      <c r="BE346" s="403" t="s">
        <v>7829</v>
      </c>
      <c r="BF346" s="403"/>
      <c r="BG346" s="403"/>
      <c r="BH346" s="403"/>
      <c r="BI346" s="403"/>
      <c r="BJ346" s="403"/>
      <c r="BK346" s="403"/>
      <c r="BL346" s="403"/>
      <c r="BM346" s="403" t="s">
        <v>7868</v>
      </c>
      <c r="BN346" s="403" t="s">
        <v>7553</v>
      </c>
      <c r="BO346" s="403"/>
      <c r="BP346" s="403"/>
      <c r="BQ346" s="403" t="s">
        <v>7831</v>
      </c>
      <c r="BR346" s="403"/>
      <c r="BS346" s="403"/>
      <c r="BT346" s="403"/>
      <c r="BU346" s="403"/>
      <c r="BV346" s="403"/>
      <c r="BW346" s="403"/>
      <c r="BX346" s="403"/>
      <c r="BY346" s="403" t="s">
        <v>7869</v>
      </c>
      <c r="BZ346" s="403" t="s">
        <v>7585</v>
      </c>
      <c r="CA346" s="403"/>
      <c r="CB346" s="403"/>
      <c r="CC346" s="403" t="s">
        <v>7833</v>
      </c>
      <c r="CD346" s="403"/>
      <c r="CE346" s="403"/>
      <c r="CF346" s="403"/>
      <c r="CG346" s="403"/>
      <c r="CH346" s="403"/>
      <c r="CI346" s="403"/>
      <c r="CJ346" s="403"/>
      <c r="CK346" s="403" t="s">
        <v>7870</v>
      </c>
      <c r="CL346" s="403" t="s">
        <v>7559</v>
      </c>
      <c r="CM346" s="403"/>
      <c r="CN346" s="403"/>
      <c r="CO346" s="403" t="s">
        <v>7871</v>
      </c>
      <c r="CP346" s="403"/>
      <c r="CQ346" s="403"/>
      <c r="CR346" s="403"/>
      <c r="CS346" s="564"/>
    </row>
    <row r="347" spans="1:97" s="299" customFormat="1" ht="12.75" x14ac:dyDescent="0.2">
      <c r="C347" s="622"/>
      <c r="D347" s="5" t="str">
        <f t="shared" ca="1" si="202"/>
        <v>Stage 1 (H1 2021)</v>
      </c>
      <c r="E347" s="492">
        <f t="shared" ref="E347:E352" si="204">H287+E330</f>
        <v>0.03</v>
      </c>
      <c r="H347" s="450">
        <f t="shared" ref="H347:H352" si="205">ROUND(E347*Pop_Total_2020,0)</f>
        <v>0</v>
      </c>
      <c r="K347" s="567"/>
      <c r="L347" s="567"/>
      <c r="M347" s="403"/>
      <c r="N347" s="403"/>
      <c r="O347" s="403"/>
      <c r="P347" s="403"/>
      <c r="Q347" s="403" t="s">
        <v>4233</v>
      </c>
      <c r="R347" s="403"/>
      <c r="S347" s="403"/>
      <c r="T347" s="403"/>
      <c r="U347" s="403"/>
      <c r="V347" s="403"/>
      <c r="W347" s="403"/>
      <c r="X347" s="403"/>
      <c r="Y347" s="403"/>
      <c r="Z347" s="403"/>
      <c r="AA347" s="403"/>
      <c r="AB347" s="403"/>
      <c r="AC347" s="403" t="s">
        <v>7561</v>
      </c>
      <c r="AD347" s="403"/>
      <c r="AE347" s="403"/>
      <c r="AF347" s="403"/>
      <c r="AG347" s="403"/>
      <c r="AH347" s="403"/>
      <c r="AI347" s="403"/>
      <c r="AJ347" s="403"/>
      <c r="AK347" s="403"/>
      <c r="AL347" s="403"/>
      <c r="AM347" s="403"/>
      <c r="AN347" s="403"/>
      <c r="AO347" s="403" t="s">
        <v>7562</v>
      </c>
      <c r="AP347" s="403"/>
      <c r="AQ347" s="403"/>
      <c r="AR347" s="403"/>
      <c r="AS347" s="403"/>
      <c r="AT347" s="403"/>
      <c r="AU347" s="403"/>
      <c r="AV347" s="403"/>
      <c r="AW347" s="403"/>
      <c r="AX347" s="403"/>
      <c r="AY347" s="403"/>
      <c r="AZ347" s="403"/>
      <c r="BA347" s="403" t="s">
        <v>7563</v>
      </c>
      <c r="BB347" s="403"/>
      <c r="BC347" s="403"/>
      <c r="BD347" s="403"/>
      <c r="BE347" s="403"/>
      <c r="BF347" s="403"/>
      <c r="BG347" s="403"/>
      <c r="BH347" s="403"/>
      <c r="BI347" s="403"/>
      <c r="BJ347" s="403"/>
      <c r="BK347" s="403"/>
      <c r="BL347" s="403"/>
      <c r="BM347" s="403" t="s">
        <v>7564</v>
      </c>
      <c r="BN347" s="403"/>
      <c r="BO347" s="403"/>
      <c r="BP347" s="403"/>
      <c r="BQ347" s="403"/>
      <c r="BR347" s="403"/>
      <c r="BS347" s="403"/>
      <c r="BT347" s="403"/>
      <c r="BU347" s="403"/>
      <c r="BV347" s="403"/>
      <c r="BW347" s="403"/>
      <c r="BX347" s="403"/>
      <c r="BY347" s="403" t="s">
        <v>7565</v>
      </c>
      <c r="BZ347" s="403"/>
      <c r="CA347" s="403"/>
      <c r="CB347" s="403"/>
      <c r="CC347" s="403"/>
      <c r="CD347" s="403"/>
      <c r="CE347" s="403"/>
      <c r="CF347" s="403"/>
      <c r="CG347" s="403"/>
      <c r="CH347" s="403"/>
      <c r="CI347" s="403"/>
      <c r="CJ347" s="403"/>
      <c r="CK347" s="403" t="s">
        <v>7568</v>
      </c>
      <c r="CL347" s="403"/>
      <c r="CM347" s="403"/>
      <c r="CN347" s="403"/>
      <c r="CO347" s="403"/>
      <c r="CP347" s="403"/>
      <c r="CQ347" s="403"/>
      <c r="CR347" s="403"/>
      <c r="CS347" s="564"/>
    </row>
    <row r="348" spans="1:97" s="299" customFormat="1" ht="12.75" x14ac:dyDescent="0.2">
      <c r="C348" s="622"/>
      <c r="D348" s="5" t="str">
        <f t="shared" ca="1" si="202"/>
        <v>Stage 2 (H2 2021)</v>
      </c>
      <c r="E348" s="492">
        <f t="shared" si="204"/>
        <v>0.17</v>
      </c>
      <c r="H348" s="450">
        <f t="shared" si="205"/>
        <v>0</v>
      </c>
      <c r="K348" s="567"/>
      <c r="L348" s="567"/>
      <c r="M348" s="403"/>
      <c r="N348" s="403"/>
      <c r="O348" s="403"/>
      <c r="P348" s="403"/>
      <c r="Q348" s="403" t="s">
        <v>4234</v>
      </c>
      <c r="R348" s="403"/>
      <c r="S348" s="403"/>
      <c r="T348" s="403"/>
      <c r="U348" s="403"/>
      <c r="V348" s="403"/>
      <c r="W348" s="403"/>
      <c r="X348" s="403"/>
      <c r="Y348" s="403"/>
      <c r="Z348" s="403"/>
      <c r="AA348" s="403"/>
      <c r="AB348" s="403"/>
      <c r="AC348" s="403" t="s">
        <v>7569</v>
      </c>
      <c r="AD348" s="403"/>
      <c r="AE348" s="403"/>
      <c r="AF348" s="403"/>
      <c r="AG348" s="403"/>
      <c r="AH348" s="403"/>
      <c r="AI348" s="403"/>
      <c r="AJ348" s="403"/>
      <c r="AK348" s="403"/>
      <c r="AL348" s="403"/>
      <c r="AM348" s="403"/>
      <c r="AN348" s="403"/>
      <c r="AO348" s="403" t="s">
        <v>7570</v>
      </c>
      <c r="AP348" s="403"/>
      <c r="AQ348" s="403"/>
      <c r="AR348" s="403"/>
      <c r="AS348" s="403"/>
      <c r="AT348" s="403"/>
      <c r="AU348" s="403"/>
      <c r="AV348" s="403"/>
      <c r="AW348" s="403"/>
      <c r="AX348" s="403"/>
      <c r="AY348" s="403"/>
      <c r="AZ348" s="403"/>
      <c r="BA348" s="403" t="s">
        <v>7571</v>
      </c>
      <c r="BB348" s="403"/>
      <c r="BC348" s="403"/>
      <c r="BD348" s="403"/>
      <c r="BE348" s="403"/>
      <c r="BF348" s="403"/>
      <c r="BG348" s="403"/>
      <c r="BH348" s="403"/>
      <c r="BI348" s="403"/>
      <c r="BJ348" s="403"/>
      <c r="BK348" s="403"/>
      <c r="BL348" s="403"/>
      <c r="BM348" s="403" t="s">
        <v>7572</v>
      </c>
      <c r="BN348" s="403"/>
      <c r="BO348" s="403"/>
      <c r="BP348" s="403"/>
      <c r="BQ348" s="403"/>
      <c r="BR348" s="403"/>
      <c r="BS348" s="403"/>
      <c r="BT348" s="403"/>
      <c r="BU348" s="403"/>
      <c r="BV348" s="403"/>
      <c r="BW348" s="403"/>
      <c r="BX348" s="403"/>
      <c r="BY348" s="403" t="s">
        <v>7856</v>
      </c>
      <c r="BZ348" s="403"/>
      <c r="CA348" s="403"/>
      <c r="CB348" s="403"/>
      <c r="CC348" s="403"/>
      <c r="CD348" s="403"/>
      <c r="CE348" s="403"/>
      <c r="CF348" s="403"/>
      <c r="CG348" s="403"/>
      <c r="CH348" s="403"/>
      <c r="CI348" s="403"/>
      <c r="CJ348" s="403"/>
      <c r="CK348" s="403" t="s">
        <v>7843</v>
      </c>
      <c r="CL348" s="403"/>
      <c r="CM348" s="403"/>
      <c r="CN348" s="403"/>
      <c r="CO348" s="403"/>
      <c r="CP348" s="403"/>
      <c r="CQ348" s="403"/>
      <c r="CR348" s="403"/>
      <c r="CS348" s="564"/>
    </row>
    <row r="349" spans="1:97" s="299" customFormat="1" ht="12.75" x14ac:dyDescent="0.2">
      <c r="C349" s="622"/>
      <c r="D349" s="5" t="str">
        <f t="shared" ca="1" si="202"/>
        <v>H1 2022</v>
      </c>
      <c r="E349" s="492">
        <f t="shared" si="204"/>
        <v>0</v>
      </c>
      <c r="H349" s="450">
        <f t="shared" si="205"/>
        <v>0</v>
      </c>
      <c r="K349" s="567"/>
      <c r="L349" s="567"/>
      <c r="M349" s="403"/>
      <c r="N349" s="403"/>
      <c r="O349" s="403"/>
      <c r="P349" s="403"/>
      <c r="Q349" s="403" t="s">
        <v>1599</v>
      </c>
      <c r="R349" s="403"/>
      <c r="S349" s="403"/>
      <c r="T349" s="403"/>
      <c r="U349" s="403"/>
      <c r="V349" s="403"/>
      <c r="W349" s="403"/>
      <c r="X349" s="403"/>
      <c r="Y349" s="403"/>
      <c r="Z349" s="403"/>
      <c r="AA349" s="403"/>
      <c r="AB349" s="403"/>
      <c r="AC349" s="403" t="s">
        <v>4665</v>
      </c>
      <c r="AD349" s="403"/>
      <c r="AE349" s="403"/>
      <c r="AF349" s="403"/>
      <c r="AG349" s="403"/>
      <c r="AH349" s="403"/>
      <c r="AI349" s="403"/>
      <c r="AJ349" s="403"/>
      <c r="AK349" s="403"/>
      <c r="AL349" s="403"/>
      <c r="AM349" s="403"/>
      <c r="AN349" s="403"/>
      <c r="AO349" s="403" t="s">
        <v>4672</v>
      </c>
      <c r="AP349" s="403"/>
      <c r="AQ349" s="403"/>
      <c r="AR349" s="403"/>
      <c r="AS349" s="403"/>
      <c r="AT349" s="403"/>
      <c r="AU349" s="403"/>
      <c r="AV349" s="403"/>
      <c r="AW349" s="403"/>
      <c r="AX349" s="403"/>
      <c r="AY349" s="403"/>
      <c r="AZ349" s="403"/>
      <c r="BA349" s="403" t="s">
        <v>1599</v>
      </c>
      <c r="BB349" s="403"/>
      <c r="BC349" s="403"/>
      <c r="BD349" s="403"/>
      <c r="BE349" s="403"/>
      <c r="BF349" s="403"/>
      <c r="BG349" s="403"/>
      <c r="BH349" s="403"/>
      <c r="BI349" s="403"/>
      <c r="BJ349" s="403"/>
      <c r="BK349" s="403"/>
      <c r="BL349" s="403"/>
      <c r="BM349" s="403" t="s">
        <v>4665</v>
      </c>
      <c r="BN349" s="403"/>
      <c r="BO349" s="403"/>
      <c r="BP349" s="403"/>
      <c r="BQ349" s="403"/>
      <c r="BR349" s="403"/>
      <c r="BS349" s="403"/>
      <c r="BT349" s="403"/>
      <c r="BU349" s="403"/>
      <c r="BV349" s="403"/>
      <c r="BW349" s="403"/>
      <c r="BX349" s="403"/>
      <c r="BY349" s="403" t="s">
        <v>1599</v>
      </c>
      <c r="BZ349" s="403"/>
      <c r="CA349" s="403"/>
      <c r="CB349" s="403"/>
      <c r="CC349" s="403"/>
      <c r="CD349" s="403"/>
      <c r="CE349" s="403"/>
      <c r="CF349" s="403"/>
      <c r="CG349" s="403"/>
      <c r="CH349" s="403"/>
      <c r="CI349" s="403"/>
      <c r="CJ349" s="403"/>
      <c r="CK349" s="403" t="s">
        <v>4690</v>
      </c>
      <c r="CL349" s="403"/>
      <c r="CM349" s="403"/>
      <c r="CN349" s="403"/>
      <c r="CO349" s="403"/>
      <c r="CP349" s="403"/>
      <c r="CQ349" s="403"/>
      <c r="CR349" s="403"/>
      <c r="CS349" s="564"/>
    </row>
    <row r="350" spans="1:97" s="299" customFormat="1" ht="12.75" x14ac:dyDescent="0.2">
      <c r="C350" s="622"/>
      <c r="D350" s="5" t="str">
        <f t="shared" ca="1" si="202"/>
        <v>H2 2022</v>
      </c>
      <c r="E350" s="492">
        <f t="shared" si="204"/>
        <v>0</v>
      </c>
      <c r="H350" s="450">
        <f t="shared" si="205"/>
        <v>0</v>
      </c>
      <c r="K350" s="567"/>
      <c r="L350" s="567"/>
      <c r="M350" s="403"/>
      <c r="N350" s="403"/>
      <c r="O350" s="403"/>
      <c r="P350" s="403"/>
      <c r="Q350" s="403" t="s">
        <v>1600</v>
      </c>
      <c r="R350" s="403"/>
      <c r="S350" s="403"/>
      <c r="T350" s="403"/>
      <c r="U350" s="403"/>
      <c r="V350" s="403"/>
      <c r="W350" s="403"/>
      <c r="X350" s="403"/>
      <c r="Y350" s="403"/>
      <c r="Z350" s="403"/>
      <c r="AA350" s="403"/>
      <c r="AB350" s="403"/>
      <c r="AC350" s="403" t="s">
        <v>4666</v>
      </c>
      <c r="AD350" s="403"/>
      <c r="AE350" s="403"/>
      <c r="AF350" s="403"/>
      <c r="AG350" s="403"/>
      <c r="AH350" s="403"/>
      <c r="AI350" s="403"/>
      <c r="AJ350" s="403"/>
      <c r="AK350" s="403"/>
      <c r="AL350" s="403"/>
      <c r="AM350" s="403"/>
      <c r="AN350" s="403"/>
      <c r="AO350" s="403" t="s">
        <v>4673</v>
      </c>
      <c r="AP350" s="403"/>
      <c r="AQ350" s="403"/>
      <c r="AR350" s="403"/>
      <c r="AS350" s="403"/>
      <c r="AT350" s="403"/>
      <c r="AU350" s="403"/>
      <c r="AV350" s="403"/>
      <c r="AW350" s="403"/>
      <c r="AX350" s="403"/>
      <c r="AY350" s="403"/>
      <c r="AZ350" s="403"/>
      <c r="BA350" s="403" t="s">
        <v>1600</v>
      </c>
      <c r="BB350" s="403"/>
      <c r="BC350" s="403"/>
      <c r="BD350" s="403"/>
      <c r="BE350" s="403"/>
      <c r="BF350" s="403"/>
      <c r="BG350" s="403"/>
      <c r="BH350" s="403"/>
      <c r="BI350" s="403"/>
      <c r="BJ350" s="403"/>
      <c r="BK350" s="403"/>
      <c r="BL350" s="403"/>
      <c r="BM350" s="403" t="s">
        <v>4666</v>
      </c>
      <c r="BN350" s="403"/>
      <c r="BO350" s="403"/>
      <c r="BP350" s="403"/>
      <c r="BQ350" s="403"/>
      <c r="BR350" s="403"/>
      <c r="BS350" s="403"/>
      <c r="BT350" s="403"/>
      <c r="BU350" s="403"/>
      <c r="BV350" s="403"/>
      <c r="BW350" s="403"/>
      <c r="BX350" s="403"/>
      <c r="BY350" s="403" t="s">
        <v>1600</v>
      </c>
      <c r="BZ350" s="403"/>
      <c r="CA350" s="403"/>
      <c r="CB350" s="403"/>
      <c r="CC350" s="403"/>
      <c r="CD350" s="403"/>
      <c r="CE350" s="403"/>
      <c r="CF350" s="403"/>
      <c r="CG350" s="403"/>
      <c r="CH350" s="403"/>
      <c r="CI350" s="403"/>
      <c r="CJ350" s="403"/>
      <c r="CK350" s="403" t="s">
        <v>4691</v>
      </c>
      <c r="CL350" s="403"/>
      <c r="CM350" s="403"/>
      <c r="CN350" s="403"/>
      <c r="CO350" s="403"/>
      <c r="CP350" s="403"/>
      <c r="CQ350" s="403"/>
      <c r="CR350" s="403"/>
      <c r="CS350" s="564"/>
    </row>
    <row r="351" spans="1:97" s="299" customFormat="1" ht="12.75" x14ac:dyDescent="0.2">
      <c r="C351" s="622"/>
      <c r="D351" s="5" t="str">
        <f t="shared" ca="1" si="202"/>
        <v>H1 2023</v>
      </c>
      <c r="E351" s="492">
        <f t="shared" si="204"/>
        <v>0</v>
      </c>
      <c r="H351" s="450">
        <f t="shared" si="205"/>
        <v>0</v>
      </c>
      <c r="K351" s="567"/>
      <c r="L351" s="567"/>
      <c r="M351" s="403"/>
      <c r="N351" s="403"/>
      <c r="O351" s="403"/>
      <c r="P351" s="403"/>
      <c r="Q351" s="403" t="s">
        <v>1602</v>
      </c>
      <c r="R351" s="403"/>
      <c r="S351" s="403"/>
      <c r="T351" s="403"/>
      <c r="U351" s="403"/>
      <c r="V351" s="403"/>
      <c r="W351" s="403"/>
      <c r="X351" s="403"/>
      <c r="Y351" s="403"/>
      <c r="Z351" s="403"/>
      <c r="AA351" s="403"/>
      <c r="AB351" s="403"/>
      <c r="AC351" s="403" t="s">
        <v>4667</v>
      </c>
      <c r="AD351" s="403"/>
      <c r="AE351" s="403"/>
      <c r="AF351" s="403"/>
      <c r="AG351" s="403"/>
      <c r="AH351" s="403"/>
      <c r="AI351" s="403"/>
      <c r="AJ351" s="403"/>
      <c r="AK351" s="403"/>
      <c r="AL351" s="403"/>
      <c r="AM351" s="403"/>
      <c r="AN351" s="403"/>
      <c r="AO351" s="403" t="s">
        <v>4674</v>
      </c>
      <c r="AP351" s="403"/>
      <c r="AQ351" s="403"/>
      <c r="AR351" s="403"/>
      <c r="AS351" s="403"/>
      <c r="AT351" s="403"/>
      <c r="AU351" s="403"/>
      <c r="AV351" s="403"/>
      <c r="AW351" s="403"/>
      <c r="AX351" s="403"/>
      <c r="AY351" s="403"/>
      <c r="AZ351" s="403"/>
      <c r="BA351" s="403" t="s">
        <v>1602</v>
      </c>
      <c r="BB351" s="403"/>
      <c r="BC351" s="403"/>
      <c r="BD351" s="403"/>
      <c r="BE351" s="403"/>
      <c r="BF351" s="403"/>
      <c r="BG351" s="403"/>
      <c r="BH351" s="403"/>
      <c r="BI351" s="403"/>
      <c r="BJ351" s="403"/>
      <c r="BK351" s="403"/>
      <c r="BL351" s="403"/>
      <c r="BM351" s="403" t="s">
        <v>4667</v>
      </c>
      <c r="BN351" s="403"/>
      <c r="BO351" s="403"/>
      <c r="BP351" s="403"/>
      <c r="BQ351" s="403"/>
      <c r="BR351" s="403"/>
      <c r="BS351" s="403"/>
      <c r="BT351" s="403"/>
      <c r="BU351" s="403"/>
      <c r="BV351" s="403"/>
      <c r="BW351" s="403"/>
      <c r="BX351" s="403"/>
      <c r="BY351" s="403" t="s">
        <v>1602</v>
      </c>
      <c r="BZ351" s="403"/>
      <c r="CA351" s="403"/>
      <c r="CB351" s="403"/>
      <c r="CC351" s="403"/>
      <c r="CD351" s="403"/>
      <c r="CE351" s="403"/>
      <c r="CF351" s="403"/>
      <c r="CG351" s="403"/>
      <c r="CH351" s="403"/>
      <c r="CI351" s="403"/>
      <c r="CJ351" s="403"/>
      <c r="CK351" s="403" t="s">
        <v>4692</v>
      </c>
      <c r="CL351" s="403"/>
      <c r="CM351" s="403"/>
      <c r="CN351" s="403"/>
      <c r="CO351" s="403"/>
      <c r="CP351" s="403"/>
      <c r="CQ351" s="403"/>
      <c r="CR351" s="403"/>
      <c r="CS351" s="564"/>
    </row>
    <row r="352" spans="1:97" s="299" customFormat="1" ht="12.75" x14ac:dyDescent="0.2">
      <c r="C352" s="622"/>
      <c r="D352" s="5" t="str">
        <f t="shared" ca="1" si="202"/>
        <v>H2 2023</v>
      </c>
      <c r="E352" s="492">
        <f t="shared" si="204"/>
        <v>0</v>
      </c>
      <c r="H352" s="450">
        <f t="shared" si="205"/>
        <v>0</v>
      </c>
      <c r="K352" s="567"/>
      <c r="L352" s="567"/>
      <c r="M352" s="403"/>
      <c r="N352" s="403"/>
      <c r="O352" s="403"/>
      <c r="P352" s="403"/>
      <c r="Q352" s="403" t="s">
        <v>1601</v>
      </c>
      <c r="R352" s="403"/>
      <c r="S352" s="403"/>
      <c r="T352" s="403"/>
      <c r="U352" s="403"/>
      <c r="V352" s="403"/>
      <c r="W352" s="403"/>
      <c r="X352" s="403"/>
      <c r="Y352" s="403"/>
      <c r="Z352" s="403"/>
      <c r="AA352" s="403"/>
      <c r="AB352" s="403"/>
      <c r="AC352" s="403" t="s">
        <v>4668</v>
      </c>
      <c r="AD352" s="403"/>
      <c r="AE352" s="403"/>
      <c r="AF352" s="403"/>
      <c r="AG352" s="403"/>
      <c r="AH352" s="403"/>
      <c r="AI352" s="403"/>
      <c r="AJ352" s="403"/>
      <c r="AK352" s="403"/>
      <c r="AL352" s="403"/>
      <c r="AM352" s="403"/>
      <c r="AN352" s="403"/>
      <c r="AO352" s="403" t="s">
        <v>4675</v>
      </c>
      <c r="AP352" s="403"/>
      <c r="AQ352" s="403"/>
      <c r="AR352" s="403"/>
      <c r="AS352" s="403"/>
      <c r="AT352" s="403"/>
      <c r="AU352" s="403"/>
      <c r="AV352" s="403"/>
      <c r="AW352" s="403"/>
      <c r="AX352" s="403"/>
      <c r="AY352" s="403"/>
      <c r="AZ352" s="403"/>
      <c r="BA352" s="403" t="s">
        <v>1601</v>
      </c>
      <c r="BB352" s="403"/>
      <c r="BC352" s="403"/>
      <c r="BD352" s="403"/>
      <c r="BE352" s="403"/>
      <c r="BF352" s="403"/>
      <c r="BG352" s="403"/>
      <c r="BH352" s="403"/>
      <c r="BI352" s="403"/>
      <c r="BJ352" s="403"/>
      <c r="BK352" s="403"/>
      <c r="BL352" s="403"/>
      <c r="BM352" s="403" t="s">
        <v>4668</v>
      </c>
      <c r="BN352" s="403"/>
      <c r="BO352" s="403"/>
      <c r="BP352" s="403"/>
      <c r="BQ352" s="403"/>
      <c r="BR352" s="403"/>
      <c r="BS352" s="403"/>
      <c r="BT352" s="403"/>
      <c r="BU352" s="403"/>
      <c r="BV352" s="403"/>
      <c r="BW352" s="403"/>
      <c r="BX352" s="403"/>
      <c r="BY352" s="403" t="s">
        <v>1601</v>
      </c>
      <c r="BZ352" s="403"/>
      <c r="CA352" s="403"/>
      <c r="CB352" s="403"/>
      <c r="CC352" s="403"/>
      <c r="CD352" s="403"/>
      <c r="CE352" s="403"/>
      <c r="CF352" s="403"/>
      <c r="CG352" s="403"/>
      <c r="CH352" s="403"/>
      <c r="CI352" s="403"/>
      <c r="CJ352" s="403"/>
      <c r="CK352" s="403" t="s">
        <v>4693</v>
      </c>
      <c r="CL352" s="403"/>
      <c r="CM352" s="403"/>
      <c r="CN352" s="403"/>
      <c r="CO352" s="403"/>
      <c r="CP352" s="403"/>
      <c r="CQ352" s="403"/>
      <c r="CR352" s="403"/>
      <c r="CS352" s="564"/>
    </row>
    <row r="353" spans="1:97" s="299" customFormat="1" ht="12.75" x14ac:dyDescent="0.2">
      <c r="C353" s="622"/>
      <c r="L353" s="567"/>
      <c r="M353" s="403"/>
      <c r="N353" s="403"/>
      <c r="O353" s="403"/>
      <c r="P353" s="403"/>
      <c r="Q353" s="403"/>
      <c r="R353" s="403"/>
      <c r="S353" s="403"/>
      <c r="T353" s="403"/>
      <c r="U353" s="403"/>
      <c r="V353" s="403"/>
      <c r="W353" s="403"/>
      <c r="X353" s="403" t="s">
        <v>197</v>
      </c>
      <c r="Y353" s="403"/>
      <c r="Z353" s="403"/>
      <c r="AA353" s="403"/>
      <c r="AB353" s="403" t="s">
        <v>197</v>
      </c>
      <c r="AC353" s="403" t="s">
        <v>197</v>
      </c>
      <c r="AD353" s="403" t="s">
        <v>197</v>
      </c>
      <c r="AE353" s="403" t="s">
        <v>197</v>
      </c>
      <c r="AF353" s="403"/>
      <c r="AG353" s="403" t="s">
        <v>197</v>
      </c>
      <c r="AH353" s="403" t="s">
        <v>197</v>
      </c>
      <c r="AI353" s="403"/>
      <c r="AJ353" s="403"/>
      <c r="AK353" s="403"/>
      <c r="AL353" s="403"/>
      <c r="AM353" s="403"/>
      <c r="AN353" s="403"/>
      <c r="AO353" s="403"/>
      <c r="AP353" s="403"/>
      <c r="AQ353" s="403"/>
      <c r="AR353" s="403"/>
      <c r="AS353" s="403"/>
      <c r="AT353" s="403"/>
      <c r="AU353" s="403"/>
      <c r="AV353" s="403"/>
      <c r="AW353" s="403"/>
      <c r="AX353" s="403"/>
      <c r="AY353" s="403"/>
      <c r="AZ353" s="403"/>
      <c r="BA353" s="403"/>
      <c r="BB353" s="403"/>
      <c r="BC353" s="403"/>
      <c r="BD353" s="403"/>
      <c r="BE353" s="403"/>
      <c r="BF353" s="403"/>
      <c r="BG353" s="403"/>
      <c r="BH353" s="403"/>
      <c r="BI353" s="403"/>
      <c r="BJ353" s="403"/>
      <c r="BK353" s="403"/>
      <c r="BL353" s="403"/>
      <c r="BM353" s="403"/>
      <c r="BN353" s="403"/>
      <c r="BO353" s="403"/>
      <c r="BP353" s="403"/>
      <c r="BQ353" s="403"/>
      <c r="BR353" s="403"/>
      <c r="BS353" s="403"/>
      <c r="BT353" s="403"/>
      <c r="BU353" s="403"/>
      <c r="BV353" s="403"/>
      <c r="BW353" s="403"/>
      <c r="BX353" s="403"/>
      <c r="BY353" s="403"/>
      <c r="BZ353" s="403"/>
      <c r="CA353" s="403"/>
      <c r="CB353" s="403"/>
      <c r="CC353" s="403"/>
      <c r="CD353" s="403"/>
      <c r="CE353" s="403"/>
      <c r="CF353" s="403"/>
      <c r="CG353" s="403"/>
      <c r="CH353" s="403"/>
      <c r="CI353" s="403"/>
      <c r="CJ353" s="403"/>
      <c r="CK353" s="403"/>
      <c r="CL353" s="403"/>
      <c r="CM353" s="403"/>
      <c r="CN353" s="403"/>
      <c r="CO353" s="403"/>
      <c r="CP353" s="403"/>
      <c r="CQ353" s="403"/>
      <c r="CR353" s="403"/>
      <c r="CS353" s="564"/>
    </row>
    <row r="354" spans="1:97" s="27" customFormat="1" ht="19.5" x14ac:dyDescent="0.3">
      <c r="C354" s="579"/>
      <c r="M354" s="403"/>
      <c r="N354" s="403"/>
      <c r="O354" s="403"/>
      <c r="P354" s="403"/>
      <c r="Q354" s="403"/>
      <c r="R354" s="403"/>
      <c r="S354" s="403"/>
      <c r="T354" s="403"/>
      <c r="U354" s="403"/>
      <c r="V354" s="403"/>
      <c r="W354" s="403"/>
      <c r="X354" s="403"/>
      <c r="Y354" s="403"/>
      <c r="Z354" s="403"/>
      <c r="AA354" s="403" t="s">
        <v>197</v>
      </c>
      <c r="AB354" s="403" t="s">
        <v>197</v>
      </c>
      <c r="AC354" s="403" t="s">
        <v>197</v>
      </c>
      <c r="AD354" s="403" t="s">
        <v>197</v>
      </c>
      <c r="AE354" s="403" t="s">
        <v>197</v>
      </c>
      <c r="AF354" s="403" t="s">
        <v>197</v>
      </c>
      <c r="AG354" s="403" t="s">
        <v>197</v>
      </c>
      <c r="AH354" s="403" t="s">
        <v>197</v>
      </c>
      <c r="AI354" s="403" t="s">
        <v>197</v>
      </c>
      <c r="AJ354" s="403"/>
      <c r="AK354" s="403"/>
      <c r="AL354" s="403"/>
      <c r="AM354" s="403"/>
      <c r="AN354" s="403"/>
      <c r="AO354" s="403"/>
      <c r="AP354" s="403"/>
      <c r="AQ354" s="403"/>
      <c r="AR354" s="403"/>
      <c r="AS354" s="403"/>
      <c r="AT354" s="403"/>
      <c r="AU354" s="403"/>
      <c r="AV354" s="403"/>
      <c r="AW354" s="403"/>
      <c r="AX354" s="403"/>
      <c r="AY354" s="403"/>
      <c r="AZ354" s="403"/>
      <c r="BA354" s="403"/>
      <c r="BB354" s="403"/>
      <c r="BC354" s="403"/>
      <c r="BD354" s="403"/>
      <c r="BE354" s="403"/>
      <c r="BF354" s="403"/>
      <c r="BG354" s="403"/>
      <c r="BH354" s="403"/>
      <c r="BI354" s="403"/>
      <c r="BJ354" s="403"/>
      <c r="BK354" s="403"/>
      <c r="BL354" s="403"/>
      <c r="BM354" s="403"/>
      <c r="BN354" s="403"/>
      <c r="BO354" s="403"/>
      <c r="BP354" s="403"/>
      <c r="BQ354" s="403"/>
      <c r="BR354" s="403"/>
      <c r="BS354" s="403"/>
      <c r="BT354" s="403"/>
      <c r="BU354" s="403"/>
      <c r="BV354" s="403"/>
      <c r="BW354" s="403"/>
      <c r="BX354" s="403"/>
      <c r="BY354" s="403"/>
      <c r="BZ354" s="403"/>
      <c r="CA354" s="403"/>
      <c r="CB354" s="403"/>
      <c r="CC354" s="403"/>
      <c r="CD354" s="403"/>
      <c r="CE354" s="403"/>
      <c r="CF354" s="403"/>
      <c r="CG354" s="403"/>
      <c r="CH354" s="403"/>
      <c r="CI354" s="403"/>
      <c r="CJ354" s="403"/>
      <c r="CK354" s="403"/>
      <c r="CL354" s="403"/>
      <c r="CM354" s="403"/>
      <c r="CN354" s="403"/>
      <c r="CO354" s="403"/>
      <c r="CP354" s="403"/>
      <c r="CQ354" s="403"/>
      <c r="CR354" s="403"/>
      <c r="CS354" s="564"/>
    </row>
    <row r="355" spans="1:97" s="15" customFormat="1" ht="12.75" x14ac:dyDescent="0.2">
      <c r="C355" s="622"/>
      <c r="L355" s="567"/>
      <c r="M355" s="403"/>
      <c r="N355" s="403"/>
      <c r="O355" s="403"/>
      <c r="P355" s="403"/>
      <c r="Q355" s="403"/>
      <c r="R355" s="403"/>
      <c r="S355" s="403"/>
      <c r="T355" s="403"/>
      <c r="U355" s="403"/>
      <c r="V355" s="403"/>
      <c r="W355" s="403"/>
      <c r="X355" s="403"/>
      <c r="Y355" s="403"/>
      <c r="Z355" s="403"/>
      <c r="AA355" s="403"/>
      <c r="AB355" s="403"/>
      <c r="AC355" s="403"/>
      <c r="AD355" s="403"/>
      <c r="AE355" s="403"/>
      <c r="AF355" s="403"/>
      <c r="AG355" s="403"/>
      <c r="AH355" s="403"/>
      <c r="AI355" s="403"/>
      <c r="AJ355" s="403"/>
      <c r="AK355" s="403"/>
      <c r="AL355" s="403"/>
      <c r="AM355" s="403"/>
      <c r="AN355" s="403"/>
      <c r="AO355" s="403"/>
      <c r="AP355" s="403"/>
      <c r="AQ355" s="403"/>
      <c r="AR355" s="403"/>
      <c r="AS355" s="403"/>
      <c r="AT355" s="403"/>
      <c r="AU355" s="403"/>
      <c r="AV355" s="403"/>
      <c r="AW355" s="403"/>
      <c r="AX355" s="403"/>
      <c r="AY355" s="403"/>
      <c r="AZ355" s="403"/>
      <c r="BA355" s="403"/>
      <c r="BB355" s="403"/>
      <c r="BC355" s="403"/>
      <c r="BD355" s="403"/>
      <c r="BE355" s="403"/>
      <c r="BF355" s="403"/>
      <c r="BG355" s="403"/>
      <c r="BH355" s="403"/>
      <c r="BI355" s="403"/>
      <c r="BJ355" s="403"/>
      <c r="BK355" s="403"/>
      <c r="BL355" s="403"/>
      <c r="BM355" s="403"/>
      <c r="BN355" s="403"/>
      <c r="BO355" s="403"/>
      <c r="BP355" s="403"/>
      <c r="BQ355" s="403"/>
      <c r="BR355" s="403"/>
      <c r="BS355" s="403"/>
      <c r="BT355" s="403"/>
      <c r="BU355" s="403"/>
      <c r="BV355" s="403"/>
      <c r="BW355" s="403"/>
      <c r="BX355" s="403"/>
      <c r="BY355" s="403"/>
      <c r="BZ355" s="403"/>
      <c r="CA355" s="403"/>
      <c r="CB355" s="403"/>
      <c r="CC355" s="403"/>
      <c r="CD355" s="403"/>
      <c r="CE355" s="403"/>
      <c r="CF355" s="403"/>
      <c r="CG355" s="403"/>
      <c r="CH355" s="403"/>
      <c r="CI355" s="403"/>
      <c r="CJ355" s="403"/>
      <c r="CK355" s="403"/>
      <c r="CL355" s="403"/>
      <c r="CM355" s="403"/>
      <c r="CN355" s="403"/>
      <c r="CO355" s="403"/>
      <c r="CP355" s="403"/>
      <c r="CQ355" s="403"/>
      <c r="CR355" s="403"/>
      <c r="CS355" s="564"/>
    </row>
    <row r="356" spans="1:97" s="15" customFormat="1" ht="12.75" x14ac:dyDescent="0.2">
      <c r="C356" s="622"/>
      <c r="L356" s="567"/>
      <c r="M356" s="403"/>
      <c r="N356" s="403"/>
      <c r="O356" s="403"/>
      <c r="P356" s="403"/>
      <c r="Q356" s="403"/>
      <c r="R356" s="403"/>
      <c r="S356" s="403"/>
      <c r="T356" s="403"/>
      <c r="U356" s="403"/>
      <c r="V356" s="403"/>
      <c r="W356" s="403"/>
      <c r="X356" s="403"/>
      <c r="Y356" s="403"/>
      <c r="Z356" s="403"/>
      <c r="AA356" s="403"/>
      <c r="AB356" s="403"/>
      <c r="AC356" s="403"/>
      <c r="AD356" s="403"/>
      <c r="AE356" s="403"/>
      <c r="AF356" s="403"/>
      <c r="AG356" s="403"/>
      <c r="AH356" s="403"/>
      <c r="AI356" s="403"/>
      <c r="AJ356" s="403"/>
      <c r="AK356" s="403"/>
      <c r="AL356" s="403"/>
      <c r="AM356" s="403"/>
      <c r="AN356" s="403"/>
      <c r="AO356" s="403"/>
      <c r="AP356" s="403"/>
      <c r="AQ356" s="403"/>
      <c r="AR356" s="403"/>
      <c r="AS356" s="403"/>
      <c r="AT356" s="403"/>
      <c r="AU356" s="403"/>
      <c r="AV356" s="403"/>
      <c r="AW356" s="403"/>
      <c r="AX356" s="403"/>
      <c r="AY356" s="403"/>
      <c r="AZ356" s="403"/>
      <c r="BA356" s="403"/>
      <c r="BB356" s="403"/>
      <c r="BC356" s="403"/>
      <c r="BD356" s="403"/>
      <c r="BE356" s="403"/>
      <c r="BF356" s="403"/>
      <c r="BG356" s="403"/>
      <c r="BH356" s="403"/>
      <c r="BI356" s="403"/>
      <c r="BJ356" s="403"/>
      <c r="BK356" s="403"/>
      <c r="BL356" s="403"/>
      <c r="BM356" s="403"/>
      <c r="BN356" s="403"/>
      <c r="BO356" s="403"/>
      <c r="BP356" s="403"/>
      <c r="BQ356" s="403"/>
      <c r="BR356" s="403"/>
      <c r="BS356" s="403"/>
      <c r="BT356" s="403"/>
      <c r="BU356" s="403"/>
      <c r="BV356" s="403"/>
      <c r="BW356" s="403"/>
      <c r="BX356" s="403"/>
      <c r="BY356" s="403"/>
      <c r="BZ356" s="403"/>
      <c r="CA356" s="403"/>
      <c r="CB356" s="403"/>
      <c r="CC356" s="403"/>
      <c r="CD356" s="403"/>
      <c r="CE356" s="403"/>
      <c r="CF356" s="403"/>
      <c r="CG356" s="403"/>
      <c r="CH356" s="403"/>
      <c r="CI356" s="403"/>
      <c r="CJ356" s="403"/>
      <c r="CK356" s="403"/>
      <c r="CL356" s="403"/>
      <c r="CM356" s="403"/>
      <c r="CN356" s="403"/>
      <c r="CO356" s="403"/>
      <c r="CP356" s="403"/>
      <c r="CQ356" s="403"/>
      <c r="CR356" s="403"/>
      <c r="CS356" s="564"/>
    </row>
    <row r="357" spans="1:97" s="15" customFormat="1" ht="12.75" x14ac:dyDescent="0.2">
      <c r="C357" s="622"/>
      <c r="L357" s="567"/>
      <c r="M357" s="403"/>
      <c r="N357" s="403"/>
      <c r="O357" s="403"/>
      <c r="P357" s="403"/>
      <c r="Q357" s="403"/>
      <c r="R357" s="403"/>
      <c r="S357" s="403"/>
      <c r="T357" s="403"/>
      <c r="U357" s="403"/>
      <c r="V357" s="403"/>
      <c r="W357" s="403"/>
      <c r="X357" s="403"/>
      <c r="Y357" s="403"/>
      <c r="Z357" s="403"/>
      <c r="AA357" s="403"/>
      <c r="AB357" s="403"/>
      <c r="AC357" s="403"/>
      <c r="AD357" s="403"/>
      <c r="AE357" s="403"/>
      <c r="AF357" s="403"/>
      <c r="AG357" s="403"/>
      <c r="AH357" s="403"/>
      <c r="AI357" s="403"/>
      <c r="AJ357" s="403"/>
      <c r="AK357" s="403"/>
      <c r="AL357" s="403"/>
      <c r="AM357" s="403"/>
      <c r="AN357" s="403"/>
      <c r="AO357" s="403"/>
      <c r="AP357" s="403"/>
      <c r="AQ357" s="403"/>
      <c r="AR357" s="403"/>
      <c r="AS357" s="403"/>
      <c r="AT357" s="403"/>
      <c r="AU357" s="403"/>
      <c r="AV357" s="403"/>
      <c r="AW357" s="403"/>
      <c r="AX357" s="403"/>
      <c r="AY357" s="403"/>
      <c r="AZ357" s="403"/>
      <c r="BA357" s="403"/>
      <c r="BB357" s="403"/>
      <c r="BC357" s="403"/>
      <c r="BD357" s="403"/>
      <c r="BE357" s="403"/>
      <c r="BF357" s="403"/>
      <c r="BG357" s="403"/>
      <c r="BH357" s="403"/>
      <c r="BI357" s="403"/>
      <c r="BJ357" s="403"/>
      <c r="BK357" s="403"/>
      <c r="BL357" s="403"/>
      <c r="BM357" s="403"/>
      <c r="BN357" s="403"/>
      <c r="BO357" s="403"/>
      <c r="BP357" s="403"/>
      <c r="BQ357" s="403"/>
      <c r="BR357" s="403"/>
      <c r="BS357" s="403"/>
      <c r="BT357" s="403"/>
      <c r="BU357" s="403"/>
      <c r="BV357" s="403"/>
      <c r="BW357" s="403"/>
      <c r="BX357" s="403"/>
      <c r="BY357" s="403"/>
      <c r="BZ357" s="403"/>
      <c r="CA357" s="403"/>
      <c r="CB357" s="403"/>
      <c r="CC357" s="403"/>
      <c r="CD357" s="403"/>
      <c r="CE357" s="403"/>
      <c r="CF357" s="403"/>
      <c r="CG357" s="403"/>
      <c r="CH357" s="403"/>
      <c r="CI357" s="403"/>
      <c r="CJ357" s="403"/>
      <c r="CK357" s="403"/>
      <c r="CL357" s="403"/>
      <c r="CM357" s="403"/>
      <c r="CN357" s="403"/>
      <c r="CO357" s="403"/>
      <c r="CP357" s="403"/>
      <c r="CQ357" s="403"/>
      <c r="CR357" s="403"/>
      <c r="CS357" s="564"/>
    </row>
    <row r="358" spans="1:97" s="15" customFormat="1" ht="12.75" x14ac:dyDescent="0.2">
      <c r="C358" s="622"/>
      <c r="L358" s="567"/>
      <c r="M358" s="403"/>
      <c r="N358" s="403"/>
      <c r="O358" s="403"/>
      <c r="P358" s="403"/>
      <c r="Q358" s="403"/>
      <c r="R358" s="403"/>
      <c r="S358" s="403"/>
      <c r="T358" s="403"/>
      <c r="U358" s="403"/>
      <c r="V358" s="403"/>
      <c r="W358" s="403"/>
      <c r="X358" s="403"/>
      <c r="Y358" s="403"/>
      <c r="Z358" s="403"/>
      <c r="AA358" s="403"/>
      <c r="AB358" s="403"/>
      <c r="AC358" s="403"/>
      <c r="AD358" s="403"/>
      <c r="AE358" s="403"/>
      <c r="AF358" s="403"/>
      <c r="AG358" s="403"/>
      <c r="AH358" s="403"/>
      <c r="AI358" s="403"/>
      <c r="AJ358" s="403"/>
      <c r="AK358" s="403"/>
      <c r="AL358" s="403"/>
      <c r="AM358" s="403"/>
      <c r="AN358" s="403"/>
      <c r="AO358" s="403"/>
      <c r="AP358" s="403"/>
      <c r="AQ358" s="403"/>
      <c r="AR358" s="403"/>
      <c r="AS358" s="403"/>
      <c r="AT358" s="403"/>
      <c r="AU358" s="403"/>
      <c r="AV358" s="403"/>
      <c r="AW358" s="403"/>
      <c r="AX358" s="403"/>
      <c r="AY358" s="403"/>
      <c r="AZ358" s="403"/>
      <c r="BA358" s="403"/>
      <c r="BB358" s="403"/>
      <c r="BC358" s="403"/>
      <c r="BD358" s="403"/>
      <c r="BE358" s="403"/>
      <c r="BF358" s="403"/>
      <c r="BG358" s="403"/>
      <c r="BH358" s="403"/>
      <c r="BI358" s="403"/>
      <c r="BJ358" s="403"/>
      <c r="BK358" s="403"/>
      <c r="BL358" s="403"/>
      <c r="BM358" s="403"/>
      <c r="BN358" s="403"/>
      <c r="BO358" s="403"/>
      <c r="BP358" s="403"/>
      <c r="BQ358" s="403"/>
      <c r="BR358" s="403"/>
      <c r="BS358" s="403"/>
      <c r="BT358" s="403"/>
      <c r="BU358" s="403"/>
      <c r="BV358" s="403"/>
      <c r="BW358" s="403"/>
      <c r="BX358" s="403"/>
      <c r="BY358" s="403"/>
      <c r="BZ358" s="403"/>
      <c r="CA358" s="403"/>
      <c r="CB358" s="403"/>
      <c r="CC358" s="403"/>
      <c r="CD358" s="403"/>
      <c r="CE358" s="403"/>
      <c r="CF358" s="403"/>
      <c r="CG358" s="403"/>
      <c r="CH358" s="403"/>
      <c r="CI358" s="403"/>
      <c r="CJ358" s="403"/>
      <c r="CK358" s="403"/>
      <c r="CL358" s="403"/>
      <c r="CM358" s="403"/>
      <c r="CN358" s="403"/>
      <c r="CO358" s="403"/>
      <c r="CP358" s="403"/>
      <c r="CQ358" s="403"/>
      <c r="CR358" s="403"/>
      <c r="CS358" s="564"/>
    </row>
    <row r="359" spans="1:97" s="15" customFormat="1" ht="12.75" x14ac:dyDescent="0.2">
      <c r="C359" s="622"/>
      <c r="L359" s="567"/>
      <c r="M359" s="403"/>
      <c r="N359" s="403"/>
      <c r="O359" s="403"/>
      <c r="P359" s="403"/>
      <c r="Q359" s="403"/>
      <c r="R359" s="403"/>
      <c r="S359" s="403"/>
      <c r="T359" s="403"/>
      <c r="U359" s="403"/>
      <c r="V359" s="403"/>
      <c r="W359" s="403"/>
      <c r="X359" s="403"/>
      <c r="Y359" s="403"/>
      <c r="Z359" s="403"/>
      <c r="AA359" s="403"/>
      <c r="AB359" s="403"/>
      <c r="AC359" s="403"/>
      <c r="AD359" s="403"/>
      <c r="AE359" s="403"/>
      <c r="AF359" s="403"/>
      <c r="AG359" s="403"/>
      <c r="AH359" s="403"/>
      <c r="AI359" s="403"/>
      <c r="AJ359" s="403"/>
      <c r="AK359" s="403"/>
      <c r="AL359" s="403"/>
      <c r="AM359" s="403"/>
      <c r="AN359" s="403"/>
      <c r="AO359" s="403"/>
      <c r="AP359" s="403"/>
      <c r="AQ359" s="403"/>
      <c r="AR359" s="403"/>
      <c r="AS359" s="403"/>
      <c r="AT359" s="403"/>
      <c r="AU359" s="403"/>
      <c r="AV359" s="403"/>
      <c r="AW359" s="403"/>
      <c r="AX359" s="403"/>
      <c r="AY359" s="403"/>
      <c r="AZ359" s="403"/>
      <c r="BA359" s="403"/>
      <c r="BB359" s="403"/>
      <c r="BC359" s="403"/>
      <c r="BD359" s="403"/>
      <c r="BE359" s="403"/>
      <c r="BF359" s="403"/>
      <c r="BG359" s="403"/>
      <c r="BH359" s="403"/>
      <c r="BI359" s="403"/>
      <c r="BJ359" s="403"/>
      <c r="BK359" s="403"/>
      <c r="BL359" s="403"/>
      <c r="BM359" s="403"/>
      <c r="BN359" s="403"/>
      <c r="BO359" s="403"/>
      <c r="BP359" s="403"/>
      <c r="BQ359" s="403"/>
      <c r="BR359" s="403"/>
      <c r="BS359" s="403"/>
      <c r="BT359" s="403"/>
      <c r="BU359" s="403"/>
      <c r="BV359" s="403"/>
      <c r="BW359" s="403"/>
      <c r="BX359" s="403"/>
      <c r="BY359" s="403"/>
      <c r="BZ359" s="403"/>
      <c r="CA359" s="403"/>
      <c r="CB359" s="403"/>
      <c r="CC359" s="403"/>
      <c r="CD359" s="403"/>
      <c r="CE359" s="403"/>
      <c r="CF359" s="403"/>
      <c r="CG359" s="403"/>
      <c r="CH359" s="403"/>
      <c r="CI359" s="403"/>
      <c r="CJ359" s="403"/>
      <c r="CK359" s="403"/>
      <c r="CL359" s="403"/>
      <c r="CM359" s="403"/>
      <c r="CN359" s="403"/>
      <c r="CO359" s="403"/>
      <c r="CP359" s="403"/>
      <c r="CQ359" s="403"/>
      <c r="CR359" s="403"/>
      <c r="CS359" s="564"/>
    </row>
    <row r="360" spans="1:97" s="15" customFormat="1" ht="12.75" x14ac:dyDescent="0.2">
      <c r="A360" s="684" t="str">
        <f>WHO_Copyright</f>
        <v>© World Health Organization and the United Nations Children’s Fund (UNICEF), 2022. Some rights reserved. This work is available under the CC BY-NC-SA 3.0 IGO licence.</v>
      </c>
      <c r="B360" s="684"/>
      <c r="C360" s="684"/>
      <c r="D360" s="684"/>
      <c r="E360" s="684"/>
      <c r="F360" s="684"/>
      <c r="G360" s="684"/>
      <c r="H360" s="684"/>
      <c r="L360" s="567"/>
      <c r="M360" s="403"/>
      <c r="N360" s="403"/>
      <c r="O360" s="403"/>
      <c r="P360" s="403"/>
      <c r="Q360" s="403"/>
      <c r="R360" s="403"/>
      <c r="S360" s="403"/>
      <c r="T360" s="403"/>
      <c r="U360" s="403"/>
      <c r="V360" s="403"/>
      <c r="W360" s="403"/>
      <c r="X360" s="403"/>
      <c r="Y360" s="403"/>
      <c r="Z360" s="403"/>
      <c r="AA360" s="403"/>
      <c r="AB360" s="403"/>
      <c r="AC360" s="403"/>
      <c r="AD360" s="403"/>
      <c r="AE360" s="403"/>
      <c r="AF360" s="403"/>
      <c r="AG360" s="403"/>
      <c r="AH360" s="403"/>
      <c r="AI360" s="403"/>
      <c r="AJ360" s="403"/>
      <c r="AK360" s="403"/>
      <c r="AL360" s="403"/>
      <c r="AM360" s="403"/>
      <c r="AN360" s="403"/>
      <c r="AO360" s="403"/>
      <c r="AP360" s="403"/>
      <c r="AQ360" s="403"/>
      <c r="AR360" s="403"/>
      <c r="AS360" s="403"/>
      <c r="AT360" s="403"/>
      <c r="AU360" s="403"/>
      <c r="AV360" s="403"/>
      <c r="AW360" s="403"/>
      <c r="AX360" s="403"/>
      <c r="AY360" s="403"/>
      <c r="AZ360" s="403"/>
      <c r="BA360" s="403"/>
      <c r="BB360" s="403"/>
      <c r="BC360" s="403"/>
      <c r="BD360" s="403"/>
      <c r="BE360" s="403"/>
      <c r="BF360" s="403"/>
      <c r="BG360" s="403"/>
      <c r="BH360" s="403"/>
      <c r="BI360" s="403"/>
      <c r="BJ360" s="403"/>
      <c r="BK360" s="403"/>
      <c r="BL360" s="403"/>
      <c r="BM360" s="403"/>
      <c r="BN360" s="403"/>
      <c r="BO360" s="403"/>
      <c r="BP360" s="403"/>
      <c r="BQ360" s="403"/>
      <c r="BR360" s="403"/>
      <c r="BS360" s="403"/>
      <c r="BT360" s="403"/>
      <c r="BU360" s="403"/>
      <c r="BV360" s="403"/>
      <c r="BW360" s="403"/>
      <c r="BX360" s="403"/>
      <c r="BY360" s="403"/>
      <c r="BZ360" s="403"/>
      <c r="CA360" s="403"/>
      <c r="CB360" s="403"/>
      <c r="CC360" s="403"/>
      <c r="CD360" s="403"/>
      <c r="CE360" s="403"/>
      <c r="CF360" s="403"/>
      <c r="CG360" s="403"/>
      <c r="CH360" s="403"/>
      <c r="CI360" s="403"/>
      <c r="CJ360" s="403"/>
      <c r="CK360" s="403"/>
      <c r="CL360" s="403"/>
      <c r="CM360" s="403"/>
      <c r="CN360" s="403"/>
      <c r="CO360" s="403"/>
      <c r="CP360" s="403"/>
      <c r="CQ360" s="403"/>
      <c r="CR360" s="403"/>
      <c r="CS360" s="564"/>
    </row>
    <row r="361" spans="1:97" s="15" customFormat="1" ht="12.75" x14ac:dyDescent="0.2">
      <c r="A361" s="671" t="str">
        <f>WHO_Reference</f>
        <v>WHO reference number: WHO/2019-nCoV/Vaccine_deployment_tool/2022.1</v>
      </c>
      <c r="B361" s="671"/>
      <c r="C361" s="671"/>
      <c r="D361" s="671"/>
      <c r="E361" s="671"/>
      <c r="F361" s="671"/>
      <c r="G361" s="671"/>
      <c r="H361" s="671"/>
      <c r="L361" s="567"/>
      <c r="M361" s="403"/>
      <c r="N361" s="403"/>
      <c r="O361" s="403"/>
      <c r="P361" s="403"/>
      <c r="Q361" s="403"/>
      <c r="R361" s="403"/>
      <c r="S361" s="403"/>
      <c r="T361" s="403"/>
      <c r="U361" s="403"/>
      <c r="V361" s="403"/>
      <c r="W361" s="403"/>
      <c r="X361" s="403"/>
      <c r="Y361" s="403"/>
      <c r="Z361" s="403"/>
      <c r="AA361" s="403"/>
      <c r="AB361" s="403"/>
      <c r="AC361" s="403"/>
      <c r="AD361" s="403"/>
      <c r="AE361" s="403"/>
      <c r="AF361" s="403"/>
      <c r="AG361" s="403"/>
      <c r="AH361" s="403"/>
      <c r="AI361" s="403"/>
      <c r="AJ361" s="403"/>
      <c r="AK361" s="403"/>
      <c r="AL361" s="403"/>
      <c r="AM361" s="403"/>
      <c r="AN361" s="403"/>
      <c r="AO361" s="403"/>
      <c r="AP361" s="403"/>
      <c r="AQ361" s="403"/>
      <c r="AR361" s="403"/>
      <c r="AS361" s="403"/>
      <c r="AT361" s="403"/>
      <c r="AU361" s="403"/>
      <c r="AV361" s="403"/>
      <c r="AW361" s="403"/>
      <c r="AX361" s="403"/>
      <c r="AY361" s="403"/>
      <c r="AZ361" s="403"/>
      <c r="BA361" s="403"/>
      <c r="BB361" s="403"/>
      <c r="BC361" s="403"/>
      <c r="BD361" s="403"/>
      <c r="BE361" s="403"/>
      <c r="BF361" s="403"/>
      <c r="BG361" s="403"/>
      <c r="BH361" s="403"/>
      <c r="BI361" s="403"/>
      <c r="BJ361" s="403"/>
      <c r="BK361" s="403"/>
      <c r="BL361" s="403"/>
      <c r="BM361" s="403"/>
      <c r="BN361" s="403"/>
      <c r="BO361" s="403"/>
      <c r="BP361" s="403"/>
      <c r="BQ361" s="403"/>
      <c r="BR361" s="403"/>
      <c r="BS361" s="403"/>
      <c r="BT361" s="403"/>
      <c r="BU361" s="403"/>
      <c r="BV361" s="403"/>
      <c r="BW361" s="403"/>
      <c r="BX361" s="403"/>
      <c r="BY361" s="403"/>
      <c r="BZ361" s="403"/>
      <c r="CA361" s="403"/>
      <c r="CB361" s="403"/>
      <c r="CC361" s="403"/>
      <c r="CD361" s="403"/>
      <c r="CE361" s="403"/>
      <c r="CF361" s="403"/>
      <c r="CG361" s="403"/>
      <c r="CH361" s="403"/>
      <c r="CI361" s="403"/>
      <c r="CJ361" s="403"/>
      <c r="CK361" s="403"/>
      <c r="CL361" s="403"/>
      <c r="CM361" s="403"/>
      <c r="CN361" s="403"/>
      <c r="CO361" s="403"/>
      <c r="CP361" s="403"/>
      <c r="CQ361" s="403"/>
      <c r="CR361" s="403"/>
      <c r="CS361" s="564"/>
    </row>
    <row r="362" spans="1:97" s="15" customFormat="1" ht="12.75" x14ac:dyDescent="0.2">
      <c r="C362" s="622"/>
      <c r="L362" s="567"/>
      <c r="M362" s="403"/>
      <c r="N362" s="403"/>
      <c r="O362" s="403"/>
      <c r="P362" s="403"/>
      <c r="Q362" s="403"/>
      <c r="R362" s="403"/>
      <c r="S362" s="403"/>
      <c r="T362" s="403"/>
      <c r="U362" s="403"/>
      <c r="V362" s="403"/>
      <c r="W362" s="403"/>
      <c r="X362" s="403"/>
      <c r="Y362" s="403"/>
      <c r="Z362" s="403"/>
      <c r="AA362" s="403"/>
      <c r="AB362" s="403"/>
      <c r="AC362" s="403"/>
      <c r="AD362" s="403"/>
      <c r="AE362" s="403"/>
      <c r="AF362" s="403"/>
      <c r="AG362" s="403"/>
      <c r="AH362" s="403"/>
      <c r="AI362" s="403"/>
      <c r="AJ362" s="403"/>
      <c r="AK362" s="403"/>
      <c r="AL362" s="403"/>
      <c r="AM362" s="403"/>
      <c r="AN362" s="403"/>
      <c r="AO362" s="403"/>
      <c r="AP362" s="403"/>
      <c r="AQ362" s="403"/>
      <c r="AR362" s="403"/>
      <c r="AS362" s="403"/>
      <c r="AT362" s="403"/>
      <c r="AU362" s="403"/>
      <c r="AV362" s="403"/>
      <c r="AW362" s="403"/>
      <c r="AX362" s="403"/>
      <c r="AY362" s="403"/>
      <c r="AZ362" s="403"/>
      <c r="BA362" s="403"/>
      <c r="BB362" s="403"/>
      <c r="BC362" s="403"/>
      <c r="BD362" s="403"/>
      <c r="BE362" s="403"/>
      <c r="BF362" s="403"/>
      <c r="BG362" s="403"/>
      <c r="BH362" s="403"/>
      <c r="BI362" s="403"/>
      <c r="BJ362" s="403"/>
      <c r="BK362" s="403"/>
      <c r="BL362" s="403"/>
      <c r="BM362" s="403"/>
      <c r="BN362" s="403"/>
      <c r="BO362" s="403"/>
      <c r="BP362" s="403"/>
      <c r="BQ362" s="403"/>
      <c r="BR362" s="403"/>
      <c r="BS362" s="403"/>
      <c r="BT362" s="403"/>
      <c r="BU362" s="403"/>
      <c r="BV362" s="403"/>
      <c r="BW362" s="403"/>
      <c r="BX362" s="403"/>
      <c r="BY362" s="403"/>
      <c r="BZ362" s="403"/>
      <c r="CA362" s="403"/>
      <c r="CB362" s="403"/>
      <c r="CC362" s="403"/>
      <c r="CD362" s="403"/>
      <c r="CE362" s="403"/>
      <c r="CF362" s="403"/>
      <c r="CG362" s="403"/>
      <c r="CH362" s="403"/>
      <c r="CI362" s="403"/>
      <c r="CJ362" s="403"/>
      <c r="CK362" s="403"/>
      <c r="CL362" s="403"/>
      <c r="CM362" s="403"/>
      <c r="CN362" s="403"/>
      <c r="CO362" s="403"/>
      <c r="CP362" s="403"/>
      <c r="CQ362" s="403"/>
      <c r="CR362" s="403"/>
      <c r="CS362" s="564"/>
    </row>
    <row r="363" spans="1:97" s="15" customFormat="1" ht="12.75" x14ac:dyDescent="0.2">
      <c r="C363" s="622"/>
      <c r="L363" s="567"/>
      <c r="M363" s="403"/>
      <c r="N363" s="403"/>
      <c r="O363" s="403"/>
      <c r="P363" s="403"/>
      <c r="Q363" s="403"/>
      <c r="R363" s="403"/>
      <c r="S363" s="403"/>
      <c r="T363" s="403"/>
      <c r="U363" s="403"/>
      <c r="V363" s="403"/>
      <c r="W363" s="403"/>
      <c r="X363" s="403"/>
      <c r="Y363" s="403"/>
      <c r="Z363" s="403"/>
      <c r="AA363" s="403"/>
      <c r="AB363" s="403"/>
      <c r="AC363" s="403"/>
      <c r="AD363" s="403"/>
      <c r="AE363" s="403"/>
      <c r="AF363" s="403"/>
      <c r="AG363" s="403"/>
      <c r="AH363" s="403"/>
      <c r="AI363" s="403"/>
      <c r="AJ363" s="403"/>
      <c r="AK363" s="403"/>
      <c r="AL363" s="403"/>
      <c r="AM363" s="403"/>
      <c r="AN363" s="403"/>
      <c r="AO363" s="403"/>
      <c r="AP363" s="403"/>
      <c r="AQ363" s="403"/>
      <c r="AR363" s="403"/>
      <c r="AS363" s="403"/>
      <c r="AT363" s="403"/>
      <c r="AU363" s="403"/>
      <c r="AV363" s="403"/>
      <c r="AW363" s="403"/>
      <c r="AX363" s="403"/>
      <c r="AY363" s="403"/>
      <c r="AZ363" s="403"/>
      <c r="BA363" s="403"/>
      <c r="BB363" s="403"/>
      <c r="BC363" s="403"/>
      <c r="BD363" s="403"/>
      <c r="BE363" s="403"/>
      <c r="BF363" s="403"/>
      <c r="BG363" s="403"/>
      <c r="BH363" s="403"/>
      <c r="BI363" s="403"/>
      <c r="BJ363" s="403"/>
      <c r="BK363" s="403"/>
      <c r="BL363" s="403"/>
      <c r="BM363" s="403"/>
      <c r="BN363" s="403"/>
      <c r="BO363" s="403"/>
      <c r="BP363" s="403"/>
      <c r="BQ363" s="403"/>
      <c r="BR363" s="403"/>
      <c r="BS363" s="403"/>
      <c r="BT363" s="403"/>
      <c r="BU363" s="403"/>
      <c r="BV363" s="403"/>
      <c r="BW363" s="403"/>
      <c r="BX363" s="403"/>
      <c r="BY363" s="403"/>
      <c r="BZ363" s="403"/>
      <c r="CA363" s="403"/>
      <c r="CB363" s="403"/>
      <c r="CC363" s="403"/>
      <c r="CD363" s="403"/>
      <c r="CE363" s="403"/>
      <c r="CF363" s="403"/>
      <c r="CG363" s="403"/>
      <c r="CH363" s="403"/>
      <c r="CI363" s="403"/>
      <c r="CJ363" s="403"/>
      <c r="CK363" s="403"/>
      <c r="CL363" s="403"/>
      <c r="CM363" s="403"/>
      <c r="CN363" s="403"/>
      <c r="CO363" s="403"/>
      <c r="CP363" s="403"/>
      <c r="CQ363" s="403"/>
      <c r="CR363" s="403"/>
      <c r="CS363" s="564"/>
    </row>
    <row r="364" spans="1:97" s="15" customFormat="1" ht="12.75" x14ac:dyDescent="0.2">
      <c r="C364" s="622"/>
      <c r="L364" s="567"/>
      <c r="M364" s="403"/>
      <c r="N364" s="403"/>
      <c r="O364" s="403"/>
      <c r="P364" s="403"/>
      <c r="Q364" s="403"/>
      <c r="R364" s="403"/>
      <c r="S364" s="403"/>
      <c r="T364" s="403"/>
      <c r="U364" s="403"/>
      <c r="V364" s="403"/>
      <c r="W364" s="403"/>
      <c r="X364" s="403"/>
      <c r="Y364" s="403"/>
      <c r="Z364" s="403"/>
      <c r="AA364" s="403"/>
      <c r="AB364" s="403"/>
      <c r="AC364" s="403"/>
      <c r="AD364" s="403"/>
      <c r="AE364" s="403"/>
      <c r="AF364" s="403"/>
      <c r="AG364" s="403"/>
      <c r="AH364" s="403"/>
      <c r="AI364" s="403"/>
      <c r="AJ364" s="403"/>
      <c r="AK364" s="403"/>
      <c r="AL364" s="403"/>
      <c r="AM364" s="403"/>
      <c r="AN364" s="403"/>
      <c r="AO364" s="403"/>
      <c r="AP364" s="403"/>
      <c r="AQ364" s="403"/>
      <c r="AR364" s="403"/>
      <c r="AS364" s="403"/>
      <c r="AT364" s="403"/>
      <c r="AU364" s="403"/>
      <c r="AV364" s="403"/>
      <c r="AW364" s="403"/>
      <c r="AX364" s="403"/>
      <c r="AY364" s="403"/>
      <c r="AZ364" s="403"/>
      <c r="BA364" s="403"/>
      <c r="BB364" s="403"/>
      <c r="BC364" s="403"/>
      <c r="BD364" s="403"/>
      <c r="BE364" s="403"/>
      <c r="BF364" s="403"/>
      <c r="BG364" s="403"/>
      <c r="BH364" s="403"/>
      <c r="BI364" s="403"/>
      <c r="BJ364" s="403"/>
      <c r="BK364" s="403"/>
      <c r="BL364" s="403"/>
      <c r="BM364" s="403"/>
      <c r="BN364" s="403"/>
      <c r="BO364" s="403"/>
      <c r="BP364" s="403"/>
      <c r="BQ364" s="403"/>
      <c r="BR364" s="403"/>
      <c r="BS364" s="403"/>
      <c r="BT364" s="403"/>
      <c r="BU364" s="403"/>
      <c r="BV364" s="403"/>
      <c r="BW364" s="403"/>
      <c r="BX364" s="403"/>
      <c r="BY364" s="403"/>
      <c r="BZ364" s="403"/>
      <c r="CA364" s="403"/>
      <c r="CB364" s="403"/>
      <c r="CC364" s="403"/>
      <c r="CD364" s="403"/>
      <c r="CE364" s="403"/>
      <c r="CF364" s="403"/>
      <c r="CG364" s="403"/>
      <c r="CH364" s="403"/>
      <c r="CI364" s="403"/>
      <c r="CJ364" s="403"/>
      <c r="CK364" s="403"/>
      <c r="CL364" s="403"/>
      <c r="CM364" s="403"/>
      <c r="CN364" s="403"/>
      <c r="CO364" s="403"/>
      <c r="CP364" s="403"/>
      <c r="CQ364" s="403"/>
      <c r="CR364" s="403"/>
      <c r="CS364" s="564"/>
    </row>
    <row r="365" spans="1:97" s="15" customFormat="1" ht="12.75" x14ac:dyDescent="0.2">
      <c r="C365" s="622"/>
      <c r="L365" s="567"/>
      <c r="M365" s="403"/>
      <c r="N365" s="403"/>
      <c r="O365" s="403"/>
      <c r="P365" s="403"/>
      <c r="Q365" s="403"/>
      <c r="R365" s="403"/>
      <c r="S365" s="403"/>
      <c r="T365" s="403"/>
      <c r="U365" s="403"/>
      <c r="V365" s="403"/>
      <c r="W365" s="403"/>
      <c r="X365" s="403"/>
      <c r="Y365" s="403"/>
      <c r="Z365" s="403"/>
      <c r="AA365" s="403"/>
      <c r="AB365" s="403"/>
      <c r="AC365" s="403"/>
      <c r="AD365" s="403"/>
      <c r="AE365" s="403"/>
      <c r="AF365" s="403"/>
      <c r="AG365" s="403"/>
      <c r="AH365" s="403"/>
      <c r="AI365" s="403"/>
      <c r="AJ365" s="403"/>
      <c r="AK365" s="403"/>
      <c r="AL365" s="403"/>
      <c r="AM365" s="403"/>
      <c r="AN365" s="403"/>
      <c r="AO365" s="403"/>
      <c r="AP365" s="403"/>
      <c r="AQ365" s="403"/>
      <c r="AR365" s="403"/>
      <c r="AS365" s="403"/>
      <c r="AT365" s="403"/>
      <c r="AU365" s="403"/>
      <c r="AV365" s="403"/>
      <c r="AW365" s="403"/>
      <c r="AX365" s="403"/>
      <c r="AY365" s="403"/>
      <c r="AZ365" s="403"/>
      <c r="BA365" s="403"/>
      <c r="BB365" s="403"/>
      <c r="BC365" s="403"/>
      <c r="BD365" s="403"/>
      <c r="BE365" s="403"/>
      <c r="BF365" s="403"/>
      <c r="BG365" s="403"/>
      <c r="BH365" s="403"/>
      <c r="BI365" s="403"/>
      <c r="BJ365" s="403"/>
      <c r="BK365" s="403"/>
      <c r="BL365" s="403"/>
      <c r="BM365" s="403"/>
      <c r="BN365" s="403"/>
      <c r="BO365" s="403"/>
      <c r="BP365" s="403"/>
      <c r="BQ365" s="403"/>
      <c r="BR365" s="403"/>
      <c r="BS365" s="403"/>
      <c r="BT365" s="403"/>
      <c r="BU365" s="403"/>
      <c r="BV365" s="403"/>
      <c r="BW365" s="403"/>
      <c r="BX365" s="403"/>
      <c r="BY365" s="403"/>
      <c r="BZ365" s="403"/>
      <c r="CA365" s="403"/>
      <c r="CB365" s="403"/>
      <c r="CC365" s="403"/>
      <c r="CD365" s="403"/>
      <c r="CE365" s="403"/>
      <c r="CF365" s="403"/>
      <c r="CG365" s="403"/>
      <c r="CH365" s="403"/>
      <c r="CI365" s="403"/>
      <c r="CJ365" s="403"/>
      <c r="CK365" s="403"/>
      <c r="CL365" s="403"/>
      <c r="CM365" s="403"/>
      <c r="CN365" s="403"/>
      <c r="CO365" s="403"/>
      <c r="CP365" s="403"/>
      <c r="CQ365" s="403"/>
      <c r="CR365" s="403"/>
      <c r="CS365" s="564"/>
    </row>
    <row r="366" spans="1:97" s="15" customFormat="1" ht="12.75" x14ac:dyDescent="0.2">
      <c r="C366" s="622"/>
      <c r="L366" s="567"/>
      <c r="M366" s="403"/>
      <c r="N366" s="403"/>
      <c r="O366" s="403"/>
      <c r="P366" s="403"/>
      <c r="Q366" s="403"/>
      <c r="R366" s="403"/>
      <c r="S366" s="403"/>
      <c r="T366" s="403"/>
      <c r="U366" s="403"/>
      <c r="V366" s="403"/>
      <c r="W366" s="403"/>
      <c r="X366" s="403"/>
      <c r="Y366" s="403"/>
      <c r="Z366" s="403"/>
      <c r="AA366" s="403"/>
      <c r="AB366" s="403"/>
      <c r="AC366" s="403"/>
      <c r="AD366" s="403"/>
      <c r="AE366" s="403"/>
      <c r="AF366" s="403"/>
      <c r="AG366" s="403"/>
      <c r="AH366" s="403"/>
      <c r="AI366" s="403"/>
      <c r="AJ366" s="403"/>
      <c r="AK366" s="403"/>
      <c r="AL366" s="403"/>
      <c r="AM366" s="403"/>
      <c r="AN366" s="403"/>
      <c r="AO366" s="403"/>
      <c r="AP366" s="403"/>
      <c r="AQ366" s="403"/>
      <c r="AR366" s="403"/>
      <c r="AS366" s="403"/>
      <c r="AT366" s="403"/>
      <c r="AU366" s="403"/>
      <c r="AV366" s="403"/>
      <c r="AW366" s="403"/>
      <c r="AX366" s="403"/>
      <c r="AY366" s="403"/>
      <c r="AZ366" s="403"/>
      <c r="BA366" s="403"/>
      <c r="BB366" s="403"/>
      <c r="BC366" s="403"/>
      <c r="BD366" s="403"/>
      <c r="BE366" s="403"/>
      <c r="BF366" s="403"/>
      <c r="BG366" s="403"/>
      <c r="BH366" s="403"/>
      <c r="BI366" s="403"/>
      <c r="BJ366" s="403"/>
      <c r="BK366" s="403"/>
      <c r="BL366" s="403"/>
      <c r="BM366" s="403"/>
      <c r="BN366" s="403"/>
      <c r="BO366" s="403"/>
      <c r="BP366" s="403"/>
      <c r="BQ366" s="403"/>
      <c r="BR366" s="403"/>
      <c r="BS366" s="403"/>
      <c r="BT366" s="403"/>
      <c r="BU366" s="403"/>
      <c r="BV366" s="403"/>
      <c r="BW366" s="403"/>
      <c r="BX366" s="403"/>
      <c r="BY366" s="403"/>
      <c r="BZ366" s="403"/>
      <c r="CA366" s="403"/>
      <c r="CB366" s="403"/>
      <c r="CC366" s="403"/>
      <c r="CD366" s="403"/>
      <c r="CE366" s="403"/>
      <c r="CF366" s="403"/>
      <c r="CG366" s="403"/>
      <c r="CH366" s="403"/>
      <c r="CI366" s="403"/>
      <c r="CJ366" s="403"/>
      <c r="CK366" s="403"/>
      <c r="CL366" s="403"/>
      <c r="CM366" s="403"/>
      <c r="CN366" s="403"/>
      <c r="CO366" s="403"/>
      <c r="CP366" s="403"/>
      <c r="CQ366" s="403"/>
      <c r="CR366" s="403"/>
      <c r="CS366" s="564"/>
    </row>
    <row r="367" spans="1:97" s="15" customFormat="1" ht="12.75" x14ac:dyDescent="0.2">
      <c r="C367" s="622"/>
      <c r="L367" s="567"/>
      <c r="M367" s="403"/>
      <c r="N367" s="403"/>
      <c r="O367" s="403"/>
      <c r="P367" s="403"/>
      <c r="Q367" s="403"/>
      <c r="R367" s="403"/>
      <c r="S367" s="403"/>
      <c r="T367" s="403"/>
      <c r="U367" s="403"/>
      <c r="V367" s="403"/>
      <c r="W367" s="403"/>
      <c r="X367" s="403"/>
      <c r="Y367" s="403"/>
      <c r="Z367" s="403"/>
      <c r="AA367" s="403"/>
      <c r="AB367" s="403"/>
      <c r="AC367" s="403"/>
      <c r="AD367" s="403"/>
      <c r="AE367" s="403"/>
      <c r="AF367" s="403"/>
      <c r="AG367" s="403"/>
      <c r="AH367" s="403"/>
      <c r="AI367" s="403"/>
      <c r="AJ367" s="403"/>
      <c r="AK367" s="403"/>
      <c r="AL367" s="403"/>
      <c r="AM367" s="403"/>
      <c r="AN367" s="403"/>
      <c r="AO367" s="403"/>
      <c r="AP367" s="403"/>
      <c r="AQ367" s="403"/>
      <c r="AR367" s="403"/>
      <c r="AS367" s="403"/>
      <c r="AT367" s="403"/>
      <c r="AU367" s="403"/>
      <c r="AV367" s="403"/>
      <c r="AW367" s="403"/>
      <c r="AX367" s="403"/>
      <c r="AY367" s="403"/>
      <c r="AZ367" s="403"/>
      <c r="BA367" s="403"/>
      <c r="BB367" s="403"/>
      <c r="BC367" s="403"/>
      <c r="BD367" s="403"/>
      <c r="BE367" s="403"/>
      <c r="BF367" s="403"/>
      <c r="BG367" s="403"/>
      <c r="BH367" s="403"/>
      <c r="BI367" s="403"/>
      <c r="BJ367" s="403"/>
      <c r="BK367" s="403"/>
      <c r="BL367" s="403"/>
      <c r="BM367" s="403"/>
      <c r="BN367" s="403"/>
      <c r="BO367" s="403"/>
      <c r="BP367" s="403"/>
      <c r="BQ367" s="403"/>
      <c r="BR367" s="403"/>
      <c r="BS367" s="403"/>
      <c r="BT367" s="403"/>
      <c r="BU367" s="403"/>
      <c r="BV367" s="403"/>
      <c r="BW367" s="403"/>
      <c r="BX367" s="403"/>
      <c r="BY367" s="403"/>
      <c r="BZ367" s="403"/>
      <c r="CA367" s="403"/>
      <c r="CB367" s="403"/>
      <c r="CC367" s="403"/>
      <c r="CD367" s="403"/>
      <c r="CE367" s="403"/>
      <c r="CF367" s="403"/>
      <c r="CG367" s="403"/>
      <c r="CH367" s="403"/>
      <c r="CI367" s="403"/>
      <c r="CJ367" s="403"/>
      <c r="CK367" s="403"/>
      <c r="CL367" s="403"/>
      <c r="CM367" s="403"/>
      <c r="CN367" s="403"/>
      <c r="CO367" s="403"/>
      <c r="CP367" s="403"/>
      <c r="CQ367" s="403"/>
      <c r="CR367" s="403"/>
      <c r="CS367" s="564"/>
    </row>
    <row r="368" spans="1:97" s="15" customFormat="1" ht="12.75" x14ac:dyDescent="0.2">
      <c r="C368" s="622"/>
      <c r="L368" s="567"/>
      <c r="M368" s="403"/>
      <c r="N368" s="403"/>
      <c r="O368" s="403"/>
      <c r="P368" s="403"/>
      <c r="Q368" s="403"/>
      <c r="R368" s="403"/>
      <c r="S368" s="403"/>
      <c r="T368" s="403"/>
      <c r="U368" s="403"/>
      <c r="V368" s="403"/>
      <c r="W368" s="403"/>
      <c r="X368" s="403"/>
      <c r="Y368" s="403"/>
      <c r="Z368" s="403"/>
      <c r="AA368" s="403"/>
      <c r="AB368" s="403"/>
      <c r="AC368" s="403"/>
      <c r="AD368" s="403"/>
      <c r="AE368" s="403"/>
      <c r="AF368" s="403"/>
      <c r="AG368" s="403"/>
      <c r="AH368" s="403"/>
      <c r="AI368" s="403"/>
      <c r="AJ368" s="403"/>
      <c r="AK368" s="403"/>
      <c r="AL368" s="403"/>
      <c r="AM368" s="403"/>
      <c r="AN368" s="403"/>
      <c r="AO368" s="403"/>
      <c r="AP368" s="403"/>
      <c r="AQ368" s="403"/>
      <c r="AR368" s="403"/>
      <c r="AS368" s="403"/>
      <c r="AT368" s="403"/>
      <c r="AU368" s="403"/>
      <c r="AV368" s="403"/>
      <c r="AW368" s="403"/>
      <c r="AX368" s="403"/>
      <c r="AY368" s="403"/>
      <c r="AZ368" s="403"/>
      <c r="BA368" s="403"/>
      <c r="BB368" s="403"/>
      <c r="BC368" s="403"/>
      <c r="BD368" s="403"/>
      <c r="BE368" s="403"/>
      <c r="BF368" s="403"/>
      <c r="BG368" s="403"/>
      <c r="BH368" s="403"/>
      <c r="BI368" s="403"/>
      <c r="BJ368" s="403"/>
      <c r="BK368" s="403"/>
      <c r="BL368" s="403"/>
      <c r="BM368" s="403"/>
      <c r="BN368" s="403"/>
      <c r="BO368" s="403"/>
      <c r="BP368" s="403"/>
      <c r="BQ368" s="403"/>
      <c r="BR368" s="403"/>
      <c r="BS368" s="403"/>
      <c r="BT368" s="403"/>
      <c r="BU368" s="403"/>
      <c r="BV368" s="403"/>
      <c r="BW368" s="403"/>
      <c r="BX368" s="403"/>
      <c r="BY368" s="403"/>
      <c r="BZ368" s="403"/>
      <c r="CA368" s="403"/>
      <c r="CB368" s="403"/>
      <c r="CC368" s="403"/>
      <c r="CD368" s="403"/>
      <c r="CE368" s="403"/>
      <c r="CF368" s="403"/>
      <c r="CG368" s="403"/>
      <c r="CH368" s="403"/>
      <c r="CI368" s="403"/>
      <c r="CJ368" s="403"/>
      <c r="CK368" s="403"/>
      <c r="CL368" s="403"/>
      <c r="CM368" s="403"/>
      <c r="CN368" s="403"/>
      <c r="CO368" s="403"/>
      <c r="CP368" s="403"/>
      <c r="CQ368" s="403"/>
      <c r="CR368" s="403"/>
      <c r="CS368" s="564"/>
    </row>
    <row r="369" spans="3:97" s="15" customFormat="1" ht="12.75" x14ac:dyDescent="0.2">
      <c r="C369" s="622"/>
      <c r="L369" s="567"/>
      <c r="M369" s="403"/>
      <c r="N369" s="403"/>
      <c r="O369" s="403"/>
      <c r="P369" s="403"/>
      <c r="Q369" s="403"/>
      <c r="R369" s="403"/>
      <c r="S369" s="403"/>
      <c r="T369" s="403"/>
      <c r="U369" s="403"/>
      <c r="V369" s="403"/>
      <c r="W369" s="403"/>
      <c r="X369" s="403"/>
      <c r="Y369" s="403"/>
      <c r="Z369" s="403"/>
      <c r="AA369" s="403"/>
      <c r="AB369" s="403"/>
      <c r="AC369" s="403"/>
      <c r="AD369" s="403"/>
      <c r="AE369" s="403"/>
      <c r="AF369" s="403"/>
      <c r="AG369" s="403"/>
      <c r="AH369" s="403"/>
      <c r="AI369" s="403"/>
      <c r="AJ369" s="403"/>
      <c r="AK369" s="403"/>
      <c r="AL369" s="403"/>
      <c r="AM369" s="403"/>
      <c r="AN369" s="403"/>
      <c r="AO369" s="403"/>
      <c r="AP369" s="403"/>
      <c r="AQ369" s="403"/>
      <c r="AR369" s="403"/>
      <c r="AS369" s="403"/>
      <c r="AT369" s="403"/>
      <c r="AU369" s="403"/>
      <c r="AV369" s="403"/>
      <c r="AW369" s="403"/>
      <c r="AX369" s="403"/>
      <c r="AY369" s="403"/>
      <c r="AZ369" s="403"/>
      <c r="BA369" s="403"/>
      <c r="BB369" s="403"/>
      <c r="BC369" s="403"/>
      <c r="BD369" s="403"/>
      <c r="BE369" s="403"/>
      <c r="BF369" s="403"/>
      <c r="BG369" s="403"/>
      <c r="BH369" s="403"/>
      <c r="BI369" s="403"/>
      <c r="BJ369" s="403"/>
      <c r="BK369" s="403"/>
      <c r="BL369" s="403"/>
      <c r="BM369" s="403"/>
      <c r="BN369" s="403"/>
      <c r="BO369" s="403"/>
      <c r="BP369" s="403"/>
      <c r="BQ369" s="403"/>
      <c r="BR369" s="403"/>
      <c r="BS369" s="403"/>
      <c r="BT369" s="403"/>
      <c r="BU369" s="403"/>
      <c r="BV369" s="403"/>
      <c r="BW369" s="403"/>
      <c r="BX369" s="403"/>
      <c r="BY369" s="403"/>
      <c r="BZ369" s="403"/>
      <c r="CA369" s="403"/>
      <c r="CB369" s="403"/>
      <c r="CC369" s="403"/>
      <c r="CD369" s="403"/>
      <c r="CE369" s="403"/>
      <c r="CF369" s="403"/>
      <c r="CG369" s="403"/>
      <c r="CH369" s="403"/>
      <c r="CI369" s="403"/>
      <c r="CJ369" s="403"/>
      <c r="CK369" s="403"/>
      <c r="CL369" s="403"/>
      <c r="CM369" s="403"/>
      <c r="CN369" s="403"/>
      <c r="CO369" s="403"/>
      <c r="CP369" s="403"/>
      <c r="CQ369" s="403"/>
      <c r="CR369" s="403"/>
      <c r="CS369" s="564"/>
    </row>
    <row r="370" spans="3:97" s="15" customFormat="1" ht="12.75" x14ac:dyDescent="0.2">
      <c r="C370" s="622"/>
      <c r="L370" s="567"/>
      <c r="M370" s="403"/>
      <c r="N370" s="403"/>
      <c r="O370" s="403"/>
      <c r="P370" s="403"/>
      <c r="Q370" s="403"/>
      <c r="R370" s="403"/>
      <c r="S370" s="403"/>
      <c r="T370" s="403"/>
      <c r="U370" s="403"/>
      <c r="V370" s="403"/>
      <c r="W370" s="403"/>
      <c r="X370" s="403"/>
      <c r="Y370" s="403"/>
      <c r="Z370" s="403"/>
      <c r="AA370" s="403"/>
      <c r="AB370" s="403"/>
      <c r="AC370" s="403"/>
      <c r="AD370" s="403"/>
      <c r="AE370" s="403"/>
      <c r="AF370" s="403"/>
      <c r="AG370" s="403"/>
      <c r="AH370" s="403"/>
      <c r="AI370" s="403"/>
      <c r="AJ370" s="403"/>
      <c r="AK370" s="403"/>
      <c r="AL370" s="403"/>
      <c r="AM370" s="403"/>
      <c r="AN370" s="403"/>
      <c r="AO370" s="403"/>
      <c r="AP370" s="403"/>
      <c r="AQ370" s="403"/>
      <c r="AR370" s="403"/>
      <c r="AS370" s="403"/>
      <c r="AT370" s="403"/>
      <c r="AU370" s="403"/>
      <c r="AV370" s="403"/>
      <c r="AW370" s="403"/>
      <c r="AX370" s="403"/>
      <c r="AY370" s="403"/>
      <c r="AZ370" s="403"/>
      <c r="BA370" s="403"/>
      <c r="BB370" s="403"/>
      <c r="BC370" s="403"/>
      <c r="BD370" s="403"/>
      <c r="BE370" s="403"/>
      <c r="BF370" s="403"/>
      <c r="BG370" s="403"/>
      <c r="BH370" s="403"/>
      <c r="BI370" s="403"/>
      <c r="BJ370" s="403"/>
      <c r="BK370" s="403"/>
      <c r="BL370" s="403"/>
      <c r="BM370" s="403"/>
      <c r="BN370" s="403"/>
      <c r="BO370" s="403"/>
      <c r="BP370" s="403"/>
      <c r="BQ370" s="403"/>
      <c r="BR370" s="403"/>
      <c r="BS370" s="403"/>
      <c r="BT370" s="403"/>
      <c r="BU370" s="403"/>
      <c r="BV370" s="403"/>
      <c r="BW370" s="403"/>
      <c r="BX370" s="403"/>
      <c r="BY370" s="403"/>
      <c r="BZ370" s="403"/>
      <c r="CA370" s="403"/>
      <c r="CB370" s="403"/>
      <c r="CC370" s="403"/>
      <c r="CD370" s="403"/>
      <c r="CE370" s="403"/>
      <c r="CF370" s="403"/>
      <c r="CG370" s="403"/>
      <c r="CH370" s="403"/>
      <c r="CI370" s="403"/>
      <c r="CJ370" s="403"/>
      <c r="CK370" s="403"/>
      <c r="CL370" s="403"/>
      <c r="CM370" s="403"/>
      <c r="CN370" s="403"/>
      <c r="CO370" s="403"/>
      <c r="CP370" s="403"/>
      <c r="CQ370" s="403"/>
      <c r="CR370" s="403"/>
      <c r="CS370" s="564"/>
    </row>
    <row r="371" spans="3:97" s="15" customFormat="1" ht="12.75" x14ac:dyDescent="0.2">
      <c r="C371" s="622"/>
      <c r="L371" s="567"/>
      <c r="M371" s="403"/>
      <c r="N371" s="403"/>
      <c r="O371" s="403"/>
      <c r="P371" s="403"/>
      <c r="Q371" s="403"/>
      <c r="R371" s="403"/>
      <c r="S371" s="403"/>
      <c r="T371" s="403"/>
      <c r="U371" s="403"/>
      <c r="V371" s="403"/>
      <c r="W371" s="403"/>
      <c r="X371" s="403"/>
      <c r="Y371" s="403"/>
      <c r="Z371" s="403"/>
      <c r="AA371" s="403"/>
      <c r="AB371" s="403"/>
      <c r="AC371" s="403"/>
      <c r="AD371" s="403"/>
      <c r="AE371" s="403"/>
      <c r="AF371" s="403"/>
      <c r="AG371" s="403"/>
      <c r="AH371" s="403"/>
      <c r="AI371" s="403"/>
      <c r="AJ371" s="403"/>
      <c r="AK371" s="403"/>
      <c r="AL371" s="403"/>
      <c r="AM371" s="403"/>
      <c r="AN371" s="403"/>
      <c r="AO371" s="403"/>
      <c r="AP371" s="403"/>
      <c r="AQ371" s="403"/>
      <c r="AR371" s="403"/>
      <c r="AS371" s="403"/>
      <c r="AT371" s="403"/>
      <c r="AU371" s="403"/>
      <c r="AV371" s="403"/>
      <c r="AW371" s="403"/>
      <c r="AX371" s="403"/>
      <c r="AY371" s="403"/>
      <c r="AZ371" s="403"/>
      <c r="BA371" s="403"/>
      <c r="BB371" s="403"/>
      <c r="BC371" s="403"/>
      <c r="BD371" s="403"/>
      <c r="BE371" s="403"/>
      <c r="BF371" s="403"/>
      <c r="BG371" s="403"/>
      <c r="BH371" s="403"/>
      <c r="BI371" s="403"/>
      <c r="BJ371" s="403"/>
      <c r="BK371" s="403"/>
      <c r="BL371" s="403"/>
      <c r="BM371" s="403"/>
      <c r="BN371" s="403"/>
      <c r="BO371" s="403"/>
      <c r="BP371" s="403"/>
      <c r="BQ371" s="403"/>
      <c r="BR371" s="403"/>
      <c r="BS371" s="403"/>
      <c r="BT371" s="403"/>
      <c r="BU371" s="403"/>
      <c r="BV371" s="403"/>
      <c r="BW371" s="403"/>
      <c r="BX371" s="403"/>
      <c r="BY371" s="403"/>
      <c r="BZ371" s="403"/>
      <c r="CA371" s="403"/>
      <c r="CB371" s="403"/>
      <c r="CC371" s="403"/>
      <c r="CD371" s="403"/>
      <c r="CE371" s="403"/>
      <c r="CF371" s="403"/>
      <c r="CG371" s="403"/>
      <c r="CH371" s="403"/>
      <c r="CI371" s="403"/>
      <c r="CJ371" s="403"/>
      <c r="CK371" s="403"/>
      <c r="CL371" s="403"/>
      <c r="CM371" s="403"/>
      <c r="CN371" s="403"/>
      <c r="CO371" s="403"/>
      <c r="CP371" s="403"/>
      <c r="CQ371" s="403"/>
      <c r="CR371" s="403"/>
      <c r="CS371" s="564"/>
    </row>
    <row r="372" spans="3:97" s="15" customFormat="1" ht="12.75" x14ac:dyDescent="0.2">
      <c r="C372" s="622"/>
      <c r="L372" s="567"/>
      <c r="M372" s="403"/>
      <c r="N372" s="403"/>
      <c r="O372" s="403"/>
      <c r="P372" s="403"/>
      <c r="Q372" s="403"/>
      <c r="R372" s="403"/>
      <c r="S372" s="403"/>
      <c r="T372" s="403"/>
      <c r="U372" s="403"/>
      <c r="V372" s="403"/>
      <c r="W372" s="403"/>
      <c r="X372" s="403"/>
      <c r="Y372" s="403"/>
      <c r="Z372" s="403"/>
      <c r="AA372" s="403"/>
      <c r="AB372" s="403"/>
      <c r="AC372" s="403"/>
      <c r="AD372" s="403"/>
      <c r="AE372" s="403"/>
      <c r="AF372" s="403"/>
      <c r="AG372" s="403"/>
      <c r="AH372" s="403"/>
      <c r="AI372" s="403"/>
      <c r="AJ372" s="403"/>
      <c r="AK372" s="403"/>
      <c r="AL372" s="403"/>
      <c r="AM372" s="403"/>
      <c r="AN372" s="403"/>
      <c r="AO372" s="403"/>
      <c r="AP372" s="403"/>
      <c r="AQ372" s="403"/>
      <c r="AR372" s="403"/>
      <c r="AS372" s="403"/>
      <c r="AT372" s="403"/>
      <c r="AU372" s="403"/>
      <c r="AV372" s="403"/>
      <c r="AW372" s="403"/>
      <c r="AX372" s="403"/>
      <c r="AY372" s="403"/>
      <c r="AZ372" s="403"/>
      <c r="BA372" s="403"/>
      <c r="BB372" s="403"/>
      <c r="BC372" s="403"/>
      <c r="BD372" s="403"/>
      <c r="BE372" s="403"/>
      <c r="BF372" s="403"/>
      <c r="BG372" s="403"/>
      <c r="BH372" s="403"/>
      <c r="BI372" s="403"/>
      <c r="BJ372" s="403"/>
      <c r="BK372" s="403"/>
      <c r="BL372" s="403"/>
      <c r="BM372" s="403"/>
      <c r="BN372" s="403"/>
      <c r="BO372" s="403"/>
      <c r="BP372" s="403"/>
      <c r="BQ372" s="403"/>
      <c r="BR372" s="403"/>
      <c r="BS372" s="403"/>
      <c r="BT372" s="403"/>
      <c r="BU372" s="403"/>
      <c r="BV372" s="403"/>
      <c r="BW372" s="403"/>
      <c r="BX372" s="403"/>
      <c r="BY372" s="403"/>
      <c r="BZ372" s="403"/>
      <c r="CA372" s="403"/>
      <c r="CB372" s="403"/>
      <c r="CC372" s="403"/>
      <c r="CD372" s="403"/>
      <c r="CE372" s="403"/>
      <c r="CF372" s="403"/>
      <c r="CG372" s="403"/>
      <c r="CH372" s="403"/>
      <c r="CI372" s="403"/>
      <c r="CJ372" s="403"/>
      <c r="CK372" s="403"/>
      <c r="CL372" s="403"/>
      <c r="CM372" s="403"/>
      <c r="CN372" s="403"/>
      <c r="CO372" s="403"/>
      <c r="CP372" s="403"/>
      <c r="CQ372" s="403"/>
      <c r="CR372" s="403"/>
      <c r="CS372" s="564"/>
    </row>
    <row r="373" spans="3:97" s="15" customFormat="1" ht="12.75" x14ac:dyDescent="0.2">
      <c r="C373" s="622"/>
      <c r="L373" s="567"/>
      <c r="M373" s="403"/>
      <c r="N373" s="403"/>
      <c r="O373" s="403"/>
      <c r="P373" s="403"/>
      <c r="Q373" s="403"/>
      <c r="R373" s="403"/>
      <c r="S373" s="403"/>
      <c r="T373" s="403"/>
      <c r="U373" s="403"/>
      <c r="V373" s="403"/>
      <c r="W373" s="403"/>
      <c r="X373" s="403"/>
      <c r="Y373" s="403"/>
      <c r="Z373" s="403"/>
      <c r="AA373" s="403"/>
      <c r="AB373" s="403"/>
      <c r="AC373" s="403"/>
      <c r="AD373" s="403"/>
      <c r="AE373" s="403"/>
      <c r="AF373" s="403"/>
      <c r="AG373" s="403"/>
      <c r="AH373" s="403"/>
      <c r="AI373" s="403"/>
      <c r="AJ373" s="403"/>
      <c r="AK373" s="403"/>
      <c r="AL373" s="403"/>
      <c r="AM373" s="403"/>
      <c r="AN373" s="403"/>
      <c r="AO373" s="403"/>
      <c r="AP373" s="403"/>
      <c r="AQ373" s="403"/>
      <c r="AR373" s="403"/>
      <c r="AS373" s="403"/>
      <c r="AT373" s="403"/>
      <c r="AU373" s="403"/>
      <c r="AV373" s="403"/>
      <c r="AW373" s="403"/>
      <c r="AX373" s="403"/>
      <c r="AY373" s="403"/>
      <c r="AZ373" s="403"/>
      <c r="BA373" s="403"/>
      <c r="BB373" s="403"/>
      <c r="BC373" s="403"/>
      <c r="BD373" s="403"/>
      <c r="BE373" s="403"/>
      <c r="BF373" s="403"/>
      <c r="BG373" s="403"/>
      <c r="BH373" s="403"/>
      <c r="BI373" s="403"/>
      <c r="BJ373" s="403"/>
      <c r="BK373" s="403"/>
      <c r="BL373" s="403"/>
      <c r="BM373" s="403"/>
      <c r="BN373" s="403"/>
      <c r="BO373" s="403"/>
      <c r="BP373" s="403"/>
      <c r="BQ373" s="403"/>
      <c r="BR373" s="403"/>
      <c r="BS373" s="403"/>
      <c r="BT373" s="403"/>
      <c r="BU373" s="403"/>
      <c r="BV373" s="403"/>
      <c r="BW373" s="403"/>
      <c r="BX373" s="403"/>
      <c r="BY373" s="403"/>
      <c r="BZ373" s="403"/>
      <c r="CA373" s="403"/>
      <c r="CB373" s="403"/>
      <c r="CC373" s="403"/>
      <c r="CD373" s="403"/>
      <c r="CE373" s="403"/>
      <c r="CF373" s="403"/>
      <c r="CG373" s="403"/>
      <c r="CH373" s="403"/>
      <c r="CI373" s="403"/>
      <c r="CJ373" s="403"/>
      <c r="CK373" s="403"/>
      <c r="CL373" s="403"/>
      <c r="CM373" s="403"/>
      <c r="CN373" s="403"/>
      <c r="CO373" s="403"/>
      <c r="CP373" s="403"/>
      <c r="CQ373" s="403"/>
      <c r="CR373" s="403"/>
      <c r="CS373" s="564"/>
    </row>
    <row r="374" spans="3:97" s="15" customFormat="1" ht="12.75" x14ac:dyDescent="0.2">
      <c r="C374" s="622"/>
      <c r="L374" s="567"/>
      <c r="M374" s="403"/>
      <c r="N374" s="403"/>
      <c r="O374" s="403"/>
      <c r="P374" s="403"/>
      <c r="Q374" s="403"/>
      <c r="R374" s="403"/>
      <c r="S374" s="403"/>
      <c r="T374" s="403"/>
      <c r="U374" s="403"/>
      <c r="V374" s="403"/>
      <c r="W374" s="403"/>
      <c r="X374" s="403"/>
      <c r="Y374" s="403"/>
      <c r="Z374" s="403"/>
      <c r="AA374" s="403"/>
      <c r="AB374" s="403"/>
      <c r="AC374" s="403"/>
      <c r="AD374" s="403"/>
      <c r="AE374" s="403"/>
      <c r="AF374" s="403"/>
      <c r="AG374" s="403"/>
      <c r="AH374" s="403"/>
      <c r="AI374" s="403"/>
      <c r="AJ374" s="403"/>
      <c r="AK374" s="403"/>
      <c r="AL374" s="403"/>
      <c r="AM374" s="403"/>
      <c r="AN374" s="403"/>
      <c r="AO374" s="403"/>
      <c r="AP374" s="403"/>
      <c r="AQ374" s="403"/>
      <c r="AR374" s="403"/>
      <c r="AS374" s="403"/>
      <c r="AT374" s="403"/>
      <c r="AU374" s="403"/>
      <c r="AV374" s="403"/>
      <c r="AW374" s="403"/>
      <c r="AX374" s="403"/>
      <c r="AY374" s="403"/>
      <c r="AZ374" s="403"/>
      <c r="BA374" s="403"/>
      <c r="BB374" s="403"/>
      <c r="BC374" s="403"/>
      <c r="BD374" s="403"/>
      <c r="BE374" s="403"/>
      <c r="BF374" s="403"/>
      <c r="BG374" s="403"/>
      <c r="BH374" s="403"/>
      <c r="BI374" s="403"/>
      <c r="BJ374" s="403"/>
      <c r="BK374" s="403"/>
      <c r="BL374" s="403"/>
      <c r="BM374" s="403"/>
      <c r="BN374" s="403"/>
      <c r="BO374" s="403"/>
      <c r="BP374" s="403"/>
      <c r="BQ374" s="403"/>
      <c r="BR374" s="403"/>
      <c r="BS374" s="403"/>
      <c r="BT374" s="403"/>
      <c r="BU374" s="403"/>
      <c r="BV374" s="403"/>
      <c r="BW374" s="403"/>
      <c r="BX374" s="403"/>
      <c r="BY374" s="403"/>
      <c r="BZ374" s="403"/>
      <c r="CA374" s="403"/>
      <c r="CB374" s="403"/>
      <c r="CC374" s="403"/>
      <c r="CD374" s="403"/>
      <c r="CE374" s="403"/>
      <c r="CF374" s="403"/>
      <c r="CG374" s="403"/>
      <c r="CH374" s="403"/>
      <c r="CI374" s="403"/>
      <c r="CJ374" s="403"/>
      <c r="CK374" s="403"/>
      <c r="CL374" s="403"/>
      <c r="CM374" s="403"/>
      <c r="CN374" s="403"/>
      <c r="CO374" s="403"/>
      <c r="CP374" s="403"/>
      <c r="CQ374" s="403"/>
      <c r="CR374" s="403"/>
      <c r="CS374" s="564"/>
    </row>
    <row r="375" spans="3:97" s="15" customFormat="1" ht="12.75" x14ac:dyDescent="0.2">
      <c r="C375" s="622"/>
      <c r="L375" s="567"/>
      <c r="M375" s="403"/>
      <c r="N375" s="403"/>
      <c r="O375" s="403"/>
      <c r="P375" s="403"/>
      <c r="Q375" s="403"/>
      <c r="R375" s="403"/>
      <c r="S375" s="403"/>
      <c r="T375" s="403"/>
      <c r="U375" s="403"/>
      <c r="V375" s="403"/>
      <c r="W375" s="403"/>
      <c r="X375" s="403"/>
      <c r="Y375" s="403"/>
      <c r="Z375" s="403"/>
      <c r="AA375" s="403"/>
      <c r="AB375" s="403"/>
      <c r="AC375" s="403"/>
      <c r="AD375" s="403"/>
      <c r="AE375" s="403"/>
      <c r="AF375" s="403"/>
      <c r="AG375" s="403"/>
      <c r="AH375" s="403"/>
      <c r="AI375" s="403"/>
      <c r="AJ375" s="403"/>
      <c r="AK375" s="403"/>
      <c r="AL375" s="403"/>
      <c r="AM375" s="403"/>
      <c r="AN375" s="403"/>
      <c r="AO375" s="403"/>
      <c r="AP375" s="403"/>
      <c r="AQ375" s="403"/>
      <c r="AR375" s="403"/>
      <c r="AS375" s="403"/>
      <c r="AT375" s="403"/>
      <c r="AU375" s="403"/>
      <c r="AV375" s="403"/>
      <c r="AW375" s="403"/>
      <c r="AX375" s="403"/>
      <c r="AY375" s="403"/>
      <c r="AZ375" s="403"/>
      <c r="BA375" s="403"/>
      <c r="BB375" s="403"/>
      <c r="BC375" s="403"/>
      <c r="BD375" s="403"/>
      <c r="BE375" s="403"/>
      <c r="BF375" s="403"/>
      <c r="BG375" s="403"/>
      <c r="BH375" s="403"/>
      <c r="BI375" s="403"/>
      <c r="BJ375" s="403"/>
      <c r="BK375" s="403"/>
      <c r="BL375" s="403"/>
      <c r="BM375" s="403"/>
      <c r="BN375" s="403"/>
      <c r="BO375" s="403"/>
      <c r="BP375" s="403"/>
      <c r="BQ375" s="403"/>
      <c r="BR375" s="403"/>
      <c r="BS375" s="403"/>
      <c r="BT375" s="403"/>
      <c r="BU375" s="403"/>
      <c r="BV375" s="403"/>
      <c r="BW375" s="403"/>
      <c r="BX375" s="403"/>
      <c r="BY375" s="403"/>
      <c r="BZ375" s="403"/>
      <c r="CA375" s="403"/>
      <c r="CB375" s="403"/>
      <c r="CC375" s="403"/>
      <c r="CD375" s="403"/>
      <c r="CE375" s="403"/>
      <c r="CF375" s="403"/>
      <c r="CG375" s="403"/>
      <c r="CH375" s="403"/>
      <c r="CI375" s="403"/>
      <c r="CJ375" s="403"/>
      <c r="CK375" s="403"/>
      <c r="CL375" s="403"/>
      <c r="CM375" s="403"/>
      <c r="CN375" s="403"/>
      <c r="CO375" s="403"/>
      <c r="CP375" s="403"/>
      <c r="CQ375" s="403"/>
      <c r="CR375" s="403"/>
      <c r="CS375" s="564"/>
    </row>
    <row r="376" spans="3:97" s="15" customFormat="1" ht="12.75" x14ac:dyDescent="0.2">
      <c r="C376" s="622"/>
      <c r="L376" s="567"/>
      <c r="M376" s="403"/>
      <c r="N376" s="403"/>
      <c r="O376" s="403"/>
      <c r="P376" s="403"/>
      <c r="Q376" s="403"/>
      <c r="R376" s="403"/>
      <c r="S376" s="403"/>
      <c r="T376" s="403"/>
      <c r="U376" s="403"/>
      <c r="V376" s="403"/>
      <c r="W376" s="403"/>
      <c r="X376" s="403"/>
      <c r="Y376" s="403"/>
      <c r="Z376" s="403"/>
      <c r="AA376" s="403"/>
      <c r="AB376" s="403"/>
      <c r="AC376" s="403"/>
      <c r="AD376" s="403"/>
      <c r="AE376" s="403"/>
      <c r="AF376" s="403"/>
      <c r="AG376" s="403"/>
      <c r="AH376" s="403"/>
      <c r="AI376" s="403"/>
      <c r="AJ376" s="403"/>
      <c r="AK376" s="403"/>
      <c r="AL376" s="403"/>
      <c r="AM376" s="403"/>
      <c r="AN376" s="403"/>
      <c r="AO376" s="403"/>
      <c r="AP376" s="403"/>
      <c r="AQ376" s="403"/>
      <c r="AR376" s="403"/>
      <c r="AS376" s="403"/>
      <c r="AT376" s="403"/>
      <c r="AU376" s="403"/>
      <c r="AV376" s="403"/>
      <c r="AW376" s="403"/>
      <c r="AX376" s="403"/>
      <c r="AY376" s="403"/>
      <c r="AZ376" s="403"/>
      <c r="BA376" s="403"/>
      <c r="BB376" s="403"/>
      <c r="BC376" s="403"/>
      <c r="BD376" s="403"/>
      <c r="BE376" s="403"/>
      <c r="BF376" s="403"/>
      <c r="BG376" s="403"/>
      <c r="BH376" s="403"/>
      <c r="BI376" s="403"/>
      <c r="BJ376" s="403"/>
      <c r="BK376" s="403"/>
      <c r="BL376" s="403"/>
      <c r="BM376" s="403"/>
      <c r="BN376" s="403"/>
      <c r="BO376" s="403"/>
      <c r="BP376" s="403"/>
      <c r="BQ376" s="403"/>
      <c r="BR376" s="403"/>
      <c r="BS376" s="403"/>
      <c r="BT376" s="403"/>
      <c r="BU376" s="403"/>
      <c r="BV376" s="403"/>
      <c r="BW376" s="403"/>
      <c r="BX376" s="403"/>
      <c r="BY376" s="403"/>
      <c r="BZ376" s="403"/>
      <c r="CA376" s="403"/>
      <c r="CB376" s="403"/>
      <c r="CC376" s="403"/>
      <c r="CD376" s="403"/>
      <c r="CE376" s="403"/>
      <c r="CF376" s="403"/>
      <c r="CG376" s="403"/>
      <c r="CH376" s="403"/>
      <c r="CI376" s="403"/>
      <c r="CJ376" s="403"/>
      <c r="CK376" s="403"/>
      <c r="CL376" s="403"/>
      <c r="CM376" s="403"/>
      <c r="CN376" s="403"/>
      <c r="CO376" s="403"/>
      <c r="CP376" s="403"/>
      <c r="CQ376" s="403"/>
      <c r="CR376" s="403"/>
      <c r="CS376" s="564"/>
    </row>
    <row r="377" spans="3:97" s="15" customFormat="1" ht="12.75" x14ac:dyDescent="0.2">
      <c r="C377" s="622"/>
      <c r="L377" s="567"/>
      <c r="M377" s="403"/>
      <c r="N377" s="403"/>
      <c r="O377" s="403"/>
      <c r="P377" s="403"/>
      <c r="Q377" s="403"/>
      <c r="R377" s="403"/>
      <c r="S377" s="403"/>
      <c r="T377" s="403"/>
      <c r="U377" s="403"/>
      <c r="V377" s="403"/>
      <c r="W377" s="403"/>
      <c r="X377" s="403"/>
      <c r="Y377" s="403"/>
      <c r="Z377" s="403"/>
      <c r="AA377" s="403"/>
      <c r="AB377" s="403"/>
      <c r="AC377" s="403"/>
      <c r="AD377" s="403"/>
      <c r="AE377" s="403"/>
      <c r="AF377" s="403"/>
      <c r="AG377" s="403"/>
      <c r="AH377" s="403"/>
      <c r="AI377" s="403"/>
      <c r="AJ377" s="403"/>
      <c r="AK377" s="403"/>
      <c r="AL377" s="403"/>
      <c r="AM377" s="403"/>
      <c r="AN377" s="403"/>
      <c r="AO377" s="403"/>
      <c r="AP377" s="403"/>
      <c r="AQ377" s="403"/>
      <c r="AR377" s="403"/>
      <c r="AS377" s="403"/>
      <c r="AT377" s="403"/>
      <c r="AU377" s="403"/>
      <c r="AV377" s="403"/>
      <c r="AW377" s="403"/>
      <c r="AX377" s="403"/>
      <c r="AY377" s="403"/>
      <c r="AZ377" s="403"/>
      <c r="BA377" s="403"/>
      <c r="BB377" s="403"/>
      <c r="BC377" s="403"/>
      <c r="BD377" s="403"/>
      <c r="BE377" s="403"/>
      <c r="BF377" s="403"/>
      <c r="BG377" s="403"/>
      <c r="BH377" s="403"/>
      <c r="BI377" s="403"/>
      <c r="BJ377" s="403"/>
      <c r="BK377" s="403"/>
      <c r="BL377" s="403"/>
      <c r="BM377" s="403"/>
      <c r="BN377" s="403"/>
      <c r="BO377" s="403"/>
      <c r="BP377" s="403"/>
      <c r="BQ377" s="403"/>
      <c r="BR377" s="403"/>
      <c r="BS377" s="403"/>
      <c r="BT377" s="403"/>
      <c r="BU377" s="403"/>
      <c r="BV377" s="403"/>
      <c r="BW377" s="403"/>
      <c r="BX377" s="403"/>
      <c r="BY377" s="403"/>
      <c r="BZ377" s="403"/>
      <c r="CA377" s="403"/>
      <c r="CB377" s="403"/>
      <c r="CC377" s="403"/>
      <c r="CD377" s="403"/>
      <c r="CE377" s="403"/>
      <c r="CF377" s="403"/>
      <c r="CG377" s="403"/>
      <c r="CH377" s="403"/>
      <c r="CI377" s="403"/>
      <c r="CJ377" s="403"/>
      <c r="CK377" s="403"/>
      <c r="CL377" s="403"/>
      <c r="CM377" s="403"/>
      <c r="CN377" s="403"/>
      <c r="CO377" s="403"/>
      <c r="CP377" s="403"/>
      <c r="CQ377" s="403"/>
      <c r="CR377" s="403"/>
      <c r="CS377" s="564"/>
    </row>
    <row r="378" spans="3:97" s="15" customFormat="1" ht="12.75" x14ac:dyDescent="0.2">
      <c r="C378" s="622"/>
      <c r="L378" s="567"/>
      <c r="M378" s="403"/>
      <c r="N378" s="403"/>
      <c r="O378" s="403"/>
      <c r="P378" s="403"/>
      <c r="Q378" s="403"/>
      <c r="R378" s="403"/>
      <c r="S378" s="403"/>
      <c r="T378" s="403"/>
      <c r="U378" s="403"/>
      <c r="V378" s="403"/>
      <c r="W378" s="403"/>
      <c r="X378" s="403"/>
      <c r="Y378" s="403"/>
      <c r="Z378" s="403"/>
      <c r="AA378" s="403"/>
      <c r="AB378" s="403"/>
      <c r="AC378" s="403"/>
      <c r="AD378" s="403"/>
      <c r="AE378" s="403"/>
      <c r="AF378" s="403"/>
      <c r="AG378" s="403"/>
      <c r="AH378" s="403"/>
      <c r="AI378" s="403"/>
      <c r="AJ378" s="403"/>
      <c r="AK378" s="403"/>
      <c r="AL378" s="403"/>
      <c r="AM378" s="403"/>
      <c r="AN378" s="403"/>
      <c r="AO378" s="403"/>
      <c r="AP378" s="403"/>
      <c r="AQ378" s="403"/>
      <c r="AR378" s="403"/>
      <c r="AS378" s="403"/>
      <c r="AT378" s="403"/>
      <c r="AU378" s="403"/>
      <c r="AV378" s="403"/>
      <c r="AW378" s="403"/>
      <c r="AX378" s="403"/>
      <c r="AY378" s="403"/>
      <c r="AZ378" s="403"/>
      <c r="BA378" s="403"/>
      <c r="BB378" s="403"/>
      <c r="BC378" s="403"/>
      <c r="BD378" s="403"/>
      <c r="BE378" s="403"/>
      <c r="BF378" s="403"/>
      <c r="BG378" s="403"/>
      <c r="BH378" s="403"/>
      <c r="BI378" s="403"/>
      <c r="BJ378" s="403"/>
      <c r="BK378" s="403"/>
      <c r="BL378" s="403"/>
      <c r="BM378" s="403"/>
      <c r="BN378" s="403"/>
      <c r="BO378" s="403"/>
      <c r="BP378" s="403"/>
      <c r="BQ378" s="403"/>
      <c r="BR378" s="403"/>
      <c r="BS378" s="403"/>
      <c r="BT378" s="403"/>
      <c r="BU378" s="403"/>
      <c r="BV378" s="403"/>
      <c r="BW378" s="403"/>
      <c r="BX378" s="403"/>
      <c r="BY378" s="403"/>
      <c r="BZ378" s="403"/>
      <c r="CA378" s="403"/>
      <c r="CB378" s="403"/>
      <c r="CC378" s="403"/>
      <c r="CD378" s="403"/>
      <c r="CE378" s="403"/>
      <c r="CF378" s="403"/>
      <c r="CG378" s="403"/>
      <c r="CH378" s="403"/>
      <c r="CI378" s="403"/>
      <c r="CJ378" s="403"/>
      <c r="CK378" s="403"/>
      <c r="CL378" s="403"/>
      <c r="CM378" s="403"/>
      <c r="CN378" s="403"/>
      <c r="CO378" s="403"/>
      <c r="CP378" s="403"/>
      <c r="CQ378" s="403"/>
      <c r="CR378" s="403"/>
      <c r="CS378" s="564"/>
    </row>
    <row r="379" spans="3:97" s="15" customFormat="1" ht="12.75" x14ac:dyDescent="0.2">
      <c r="C379" s="622"/>
      <c r="L379" s="567"/>
      <c r="M379" s="403"/>
      <c r="N379" s="403"/>
      <c r="O379" s="403"/>
      <c r="P379" s="403"/>
      <c r="Q379" s="403"/>
      <c r="R379" s="403"/>
      <c r="S379" s="403"/>
      <c r="T379" s="403"/>
      <c r="U379" s="403"/>
      <c r="V379" s="403"/>
      <c r="W379" s="403"/>
      <c r="X379" s="403"/>
      <c r="Y379" s="403"/>
      <c r="Z379" s="403"/>
      <c r="AA379" s="403"/>
      <c r="AB379" s="403"/>
      <c r="AC379" s="403"/>
      <c r="AD379" s="403"/>
      <c r="AE379" s="403"/>
      <c r="AF379" s="403"/>
      <c r="AG379" s="403"/>
      <c r="AH379" s="403"/>
      <c r="AI379" s="403"/>
      <c r="AJ379" s="403"/>
      <c r="AK379" s="403"/>
      <c r="AL379" s="403"/>
      <c r="AM379" s="403"/>
      <c r="AN379" s="403"/>
      <c r="AO379" s="403"/>
      <c r="AP379" s="403"/>
      <c r="AQ379" s="403"/>
      <c r="AR379" s="403"/>
      <c r="AS379" s="403"/>
      <c r="AT379" s="403"/>
      <c r="AU379" s="403"/>
      <c r="AV379" s="403"/>
      <c r="AW379" s="403"/>
      <c r="AX379" s="403"/>
      <c r="AY379" s="403"/>
      <c r="AZ379" s="403"/>
      <c r="BA379" s="403"/>
      <c r="BB379" s="403"/>
      <c r="BC379" s="403"/>
      <c r="BD379" s="403"/>
      <c r="BE379" s="403"/>
      <c r="BF379" s="403"/>
      <c r="BG379" s="403"/>
      <c r="BH379" s="403"/>
      <c r="BI379" s="403"/>
      <c r="BJ379" s="403"/>
      <c r="BK379" s="403"/>
      <c r="BL379" s="403"/>
      <c r="BM379" s="403"/>
      <c r="BN379" s="403"/>
      <c r="BO379" s="403"/>
      <c r="BP379" s="403"/>
      <c r="BQ379" s="403"/>
      <c r="BR379" s="403"/>
      <c r="BS379" s="403"/>
      <c r="BT379" s="403"/>
      <c r="BU379" s="403"/>
      <c r="BV379" s="403"/>
      <c r="BW379" s="403"/>
      <c r="BX379" s="403"/>
      <c r="BY379" s="403"/>
      <c r="BZ379" s="403"/>
      <c r="CA379" s="403"/>
      <c r="CB379" s="403"/>
      <c r="CC379" s="403"/>
      <c r="CD379" s="403"/>
      <c r="CE379" s="403"/>
      <c r="CF379" s="403"/>
      <c r="CG379" s="403"/>
      <c r="CH379" s="403"/>
      <c r="CI379" s="403"/>
      <c r="CJ379" s="403"/>
      <c r="CK379" s="403"/>
      <c r="CL379" s="403"/>
      <c r="CM379" s="403"/>
      <c r="CN379" s="403"/>
      <c r="CO379" s="403"/>
      <c r="CP379" s="403"/>
      <c r="CQ379" s="403"/>
      <c r="CR379" s="403"/>
      <c r="CS379" s="564"/>
    </row>
    <row r="380" spans="3:97" s="15" customFormat="1" ht="12.75" x14ac:dyDescent="0.2">
      <c r="C380" s="622"/>
      <c r="L380" s="567"/>
      <c r="M380" s="403"/>
      <c r="N380" s="403"/>
      <c r="O380" s="403"/>
      <c r="P380" s="403"/>
      <c r="Q380" s="403"/>
      <c r="R380" s="403"/>
      <c r="S380" s="403"/>
      <c r="T380" s="403"/>
      <c r="U380" s="403"/>
      <c r="V380" s="403"/>
      <c r="W380" s="403"/>
      <c r="X380" s="403"/>
      <c r="Y380" s="403"/>
      <c r="Z380" s="403"/>
      <c r="AA380" s="403"/>
      <c r="AB380" s="403"/>
      <c r="AC380" s="403"/>
      <c r="AD380" s="403"/>
      <c r="AE380" s="403"/>
      <c r="AF380" s="403"/>
      <c r="AG380" s="403"/>
      <c r="AH380" s="403"/>
      <c r="AI380" s="403"/>
      <c r="AJ380" s="403"/>
      <c r="AK380" s="403"/>
      <c r="AL380" s="403"/>
      <c r="AM380" s="403"/>
      <c r="AN380" s="403"/>
      <c r="AO380" s="403"/>
      <c r="AP380" s="403"/>
      <c r="AQ380" s="403"/>
      <c r="AR380" s="403"/>
      <c r="AS380" s="403"/>
      <c r="AT380" s="403"/>
      <c r="AU380" s="403"/>
      <c r="AV380" s="403"/>
      <c r="AW380" s="403"/>
      <c r="AX380" s="403"/>
      <c r="AY380" s="403"/>
      <c r="AZ380" s="403"/>
      <c r="BA380" s="403"/>
      <c r="BB380" s="403"/>
      <c r="BC380" s="403"/>
      <c r="BD380" s="403"/>
      <c r="BE380" s="403"/>
      <c r="BF380" s="403"/>
      <c r="BG380" s="403"/>
      <c r="BH380" s="403"/>
      <c r="BI380" s="403"/>
      <c r="BJ380" s="403"/>
      <c r="BK380" s="403"/>
      <c r="BL380" s="403"/>
      <c r="BM380" s="403"/>
      <c r="BN380" s="403"/>
      <c r="BO380" s="403"/>
      <c r="BP380" s="403"/>
      <c r="BQ380" s="403"/>
      <c r="BR380" s="403"/>
      <c r="BS380" s="403"/>
      <c r="BT380" s="403"/>
      <c r="BU380" s="403"/>
      <c r="BV380" s="403"/>
      <c r="BW380" s="403"/>
      <c r="BX380" s="403"/>
      <c r="BY380" s="403"/>
      <c r="BZ380" s="403"/>
      <c r="CA380" s="403"/>
      <c r="CB380" s="403"/>
      <c r="CC380" s="403"/>
      <c r="CD380" s="403"/>
      <c r="CE380" s="403"/>
      <c r="CF380" s="403"/>
      <c r="CG380" s="403"/>
      <c r="CH380" s="403"/>
      <c r="CI380" s="403"/>
      <c r="CJ380" s="403"/>
      <c r="CK380" s="403"/>
      <c r="CL380" s="403"/>
      <c r="CM380" s="403"/>
      <c r="CN380" s="403"/>
      <c r="CO380" s="403"/>
      <c r="CP380" s="403"/>
      <c r="CQ380" s="403"/>
      <c r="CR380" s="403"/>
      <c r="CS380" s="564"/>
    </row>
    <row r="381" spans="3:97" s="15" customFormat="1" ht="12.75" x14ac:dyDescent="0.2">
      <c r="C381" s="622"/>
      <c r="L381" s="567"/>
      <c r="M381" s="403"/>
      <c r="N381" s="403"/>
      <c r="O381" s="403"/>
      <c r="P381" s="403"/>
      <c r="Q381" s="403"/>
      <c r="R381" s="403"/>
      <c r="S381" s="403"/>
      <c r="T381" s="403"/>
      <c r="U381" s="403"/>
      <c r="V381" s="403"/>
      <c r="W381" s="403"/>
      <c r="X381" s="403"/>
      <c r="Y381" s="403"/>
      <c r="Z381" s="403"/>
      <c r="AA381" s="403"/>
      <c r="AB381" s="403"/>
      <c r="AC381" s="403"/>
      <c r="AD381" s="403"/>
      <c r="AE381" s="403"/>
      <c r="AF381" s="403"/>
      <c r="AG381" s="403"/>
      <c r="AH381" s="403"/>
      <c r="AI381" s="403"/>
      <c r="AJ381" s="403"/>
      <c r="AK381" s="403"/>
      <c r="AL381" s="403"/>
      <c r="AM381" s="403"/>
      <c r="AN381" s="403"/>
      <c r="AO381" s="403"/>
      <c r="AP381" s="403"/>
      <c r="AQ381" s="403"/>
      <c r="AR381" s="403"/>
      <c r="AS381" s="403"/>
      <c r="AT381" s="403"/>
      <c r="AU381" s="403"/>
      <c r="AV381" s="403"/>
      <c r="AW381" s="403"/>
      <c r="AX381" s="403"/>
      <c r="AY381" s="403"/>
      <c r="AZ381" s="403"/>
      <c r="BA381" s="403"/>
      <c r="BB381" s="403"/>
      <c r="BC381" s="403"/>
      <c r="BD381" s="403"/>
      <c r="BE381" s="403"/>
      <c r="BF381" s="403"/>
      <c r="BG381" s="403"/>
      <c r="BH381" s="403"/>
      <c r="BI381" s="403"/>
      <c r="BJ381" s="403"/>
      <c r="BK381" s="403"/>
      <c r="BL381" s="403"/>
      <c r="BM381" s="403"/>
      <c r="BN381" s="403"/>
      <c r="BO381" s="403"/>
      <c r="BP381" s="403"/>
      <c r="BQ381" s="403"/>
      <c r="BR381" s="403"/>
      <c r="BS381" s="403"/>
      <c r="BT381" s="403"/>
      <c r="BU381" s="403"/>
      <c r="BV381" s="403"/>
      <c r="BW381" s="403"/>
      <c r="BX381" s="403"/>
      <c r="BY381" s="403"/>
      <c r="BZ381" s="403"/>
      <c r="CA381" s="403"/>
      <c r="CB381" s="403"/>
      <c r="CC381" s="403"/>
      <c r="CD381" s="403"/>
      <c r="CE381" s="403"/>
      <c r="CF381" s="403"/>
      <c r="CG381" s="403"/>
      <c r="CH381" s="403"/>
      <c r="CI381" s="403"/>
      <c r="CJ381" s="403"/>
      <c r="CK381" s="403"/>
      <c r="CL381" s="403"/>
      <c r="CM381" s="403"/>
      <c r="CN381" s="403"/>
      <c r="CO381" s="403"/>
      <c r="CP381" s="403"/>
      <c r="CQ381" s="403"/>
      <c r="CR381" s="403"/>
      <c r="CS381" s="564"/>
    </row>
    <row r="382" spans="3:97" s="15" customFormat="1" ht="12.75" x14ac:dyDescent="0.2">
      <c r="C382" s="622"/>
      <c r="L382" s="567"/>
      <c r="M382" s="403"/>
      <c r="N382" s="403"/>
      <c r="O382" s="403"/>
      <c r="P382" s="403"/>
      <c r="Q382" s="403"/>
      <c r="R382" s="403"/>
      <c r="S382" s="403"/>
      <c r="T382" s="403"/>
      <c r="U382" s="403"/>
      <c r="V382" s="403"/>
      <c r="W382" s="403"/>
      <c r="X382" s="403"/>
      <c r="Y382" s="403"/>
      <c r="Z382" s="403"/>
      <c r="AA382" s="403"/>
      <c r="AB382" s="403"/>
      <c r="AC382" s="403"/>
      <c r="AD382" s="403"/>
      <c r="AE382" s="403"/>
      <c r="AF382" s="403"/>
      <c r="AG382" s="403"/>
      <c r="AH382" s="403"/>
      <c r="AI382" s="403"/>
      <c r="AJ382" s="403"/>
      <c r="AK382" s="403"/>
      <c r="AL382" s="403"/>
      <c r="AM382" s="403"/>
      <c r="AN382" s="403"/>
      <c r="AO382" s="403"/>
      <c r="AP382" s="403"/>
      <c r="AQ382" s="403"/>
      <c r="AR382" s="403"/>
      <c r="AS382" s="403"/>
      <c r="AT382" s="403"/>
      <c r="AU382" s="403"/>
      <c r="AV382" s="403"/>
      <c r="AW382" s="403"/>
      <c r="AX382" s="403"/>
      <c r="AY382" s="403"/>
      <c r="AZ382" s="403"/>
      <c r="BA382" s="403"/>
      <c r="BB382" s="403"/>
      <c r="BC382" s="403"/>
      <c r="BD382" s="403"/>
      <c r="BE382" s="403"/>
      <c r="BF382" s="403"/>
      <c r="BG382" s="403"/>
      <c r="BH382" s="403"/>
      <c r="BI382" s="403"/>
      <c r="BJ382" s="403"/>
      <c r="BK382" s="403"/>
      <c r="BL382" s="403"/>
      <c r="BM382" s="403"/>
      <c r="BN382" s="403"/>
      <c r="BO382" s="403"/>
      <c r="BP382" s="403"/>
      <c r="BQ382" s="403"/>
      <c r="BR382" s="403"/>
      <c r="BS382" s="403"/>
      <c r="BT382" s="403"/>
      <c r="BU382" s="403"/>
      <c r="BV382" s="403"/>
      <c r="BW382" s="403"/>
      <c r="BX382" s="403"/>
      <c r="BY382" s="403"/>
      <c r="BZ382" s="403"/>
      <c r="CA382" s="403"/>
      <c r="CB382" s="403"/>
      <c r="CC382" s="403"/>
      <c r="CD382" s="403"/>
      <c r="CE382" s="403"/>
      <c r="CF382" s="403"/>
      <c r="CG382" s="403"/>
      <c r="CH382" s="403"/>
      <c r="CI382" s="403"/>
      <c r="CJ382" s="403"/>
      <c r="CK382" s="403"/>
      <c r="CL382" s="403"/>
      <c r="CM382" s="403"/>
      <c r="CN382" s="403"/>
      <c r="CO382" s="403"/>
      <c r="CP382" s="403"/>
      <c r="CQ382" s="403"/>
      <c r="CR382" s="403"/>
      <c r="CS382" s="564"/>
    </row>
    <row r="383" spans="3:97" s="15" customFormat="1" ht="12.75" x14ac:dyDescent="0.2">
      <c r="C383" s="622"/>
      <c r="L383" s="567"/>
      <c r="M383" s="403"/>
      <c r="N383" s="403"/>
      <c r="O383" s="403"/>
      <c r="P383" s="403"/>
      <c r="Q383" s="403"/>
      <c r="R383" s="403"/>
      <c r="S383" s="403"/>
      <c r="T383" s="403"/>
      <c r="U383" s="403"/>
      <c r="V383" s="403"/>
      <c r="W383" s="403"/>
      <c r="X383" s="403"/>
      <c r="Y383" s="403"/>
      <c r="Z383" s="403"/>
      <c r="AA383" s="403"/>
      <c r="AB383" s="403"/>
      <c r="AC383" s="403"/>
      <c r="AD383" s="403"/>
      <c r="AE383" s="403"/>
      <c r="AF383" s="403"/>
      <c r="AG383" s="403"/>
      <c r="AH383" s="403"/>
      <c r="AI383" s="403"/>
      <c r="AJ383" s="403"/>
      <c r="AK383" s="403"/>
      <c r="AL383" s="403"/>
      <c r="AM383" s="403"/>
      <c r="AN383" s="403"/>
      <c r="AO383" s="403"/>
      <c r="AP383" s="403"/>
      <c r="AQ383" s="403"/>
      <c r="AR383" s="403"/>
      <c r="AS383" s="403"/>
      <c r="AT383" s="403"/>
      <c r="AU383" s="403"/>
      <c r="AV383" s="403"/>
      <c r="AW383" s="403"/>
      <c r="AX383" s="403"/>
      <c r="AY383" s="403"/>
      <c r="AZ383" s="403"/>
      <c r="BA383" s="403"/>
      <c r="BB383" s="403"/>
      <c r="BC383" s="403"/>
      <c r="BD383" s="403"/>
      <c r="BE383" s="403"/>
      <c r="BF383" s="403"/>
      <c r="BG383" s="403"/>
      <c r="BH383" s="403"/>
      <c r="BI383" s="403"/>
      <c r="BJ383" s="403"/>
      <c r="BK383" s="403"/>
      <c r="BL383" s="403"/>
      <c r="BM383" s="403"/>
      <c r="BN383" s="403"/>
      <c r="BO383" s="403"/>
      <c r="BP383" s="403"/>
      <c r="BQ383" s="403"/>
      <c r="BR383" s="403"/>
      <c r="BS383" s="403"/>
      <c r="BT383" s="403"/>
      <c r="BU383" s="403"/>
      <c r="BV383" s="403"/>
      <c r="BW383" s="403"/>
      <c r="BX383" s="403"/>
      <c r="BY383" s="403"/>
      <c r="BZ383" s="403"/>
      <c r="CA383" s="403"/>
      <c r="CB383" s="403"/>
      <c r="CC383" s="403"/>
      <c r="CD383" s="403"/>
      <c r="CE383" s="403"/>
      <c r="CF383" s="403"/>
      <c r="CG383" s="403"/>
      <c r="CH383" s="403"/>
      <c r="CI383" s="403"/>
      <c r="CJ383" s="403"/>
      <c r="CK383" s="403"/>
      <c r="CL383" s="403"/>
      <c r="CM383" s="403"/>
      <c r="CN383" s="403"/>
      <c r="CO383" s="403"/>
      <c r="CP383" s="403"/>
      <c r="CQ383" s="403"/>
      <c r="CR383" s="403"/>
      <c r="CS383" s="564"/>
    </row>
    <row r="384" spans="3:97" s="15" customFormat="1" ht="12.75" x14ac:dyDescent="0.2">
      <c r="C384" s="622"/>
      <c r="L384" s="567"/>
      <c r="M384" s="403"/>
      <c r="N384" s="403"/>
      <c r="O384" s="403"/>
      <c r="P384" s="403"/>
      <c r="Q384" s="403"/>
      <c r="R384" s="403"/>
      <c r="S384" s="403"/>
      <c r="T384" s="403"/>
      <c r="U384" s="403"/>
      <c r="V384" s="403"/>
      <c r="W384" s="403"/>
      <c r="X384" s="403"/>
      <c r="Y384" s="403"/>
      <c r="Z384" s="403"/>
      <c r="AA384" s="403"/>
      <c r="AB384" s="403"/>
      <c r="AC384" s="403"/>
      <c r="AD384" s="403"/>
      <c r="AE384" s="403"/>
      <c r="AF384" s="403"/>
      <c r="AG384" s="403"/>
      <c r="AH384" s="403"/>
      <c r="AI384" s="403"/>
      <c r="AJ384" s="403"/>
      <c r="AK384" s="403"/>
      <c r="AL384" s="403"/>
      <c r="AM384" s="403"/>
      <c r="AN384" s="403"/>
      <c r="AO384" s="403"/>
      <c r="AP384" s="403"/>
      <c r="AQ384" s="403"/>
      <c r="AR384" s="403"/>
      <c r="AS384" s="403"/>
      <c r="AT384" s="403"/>
      <c r="AU384" s="403"/>
      <c r="AV384" s="403"/>
      <c r="AW384" s="403"/>
      <c r="AX384" s="403"/>
      <c r="AY384" s="403"/>
      <c r="AZ384" s="403"/>
      <c r="BA384" s="403"/>
      <c r="BB384" s="403"/>
      <c r="BC384" s="403"/>
      <c r="BD384" s="403"/>
      <c r="BE384" s="403"/>
      <c r="BF384" s="403"/>
      <c r="BG384" s="403"/>
      <c r="BH384" s="403"/>
      <c r="BI384" s="403"/>
      <c r="BJ384" s="403"/>
      <c r="BK384" s="403"/>
      <c r="BL384" s="403"/>
      <c r="BM384" s="403"/>
      <c r="BN384" s="403"/>
      <c r="BO384" s="403"/>
      <c r="BP384" s="403"/>
      <c r="BQ384" s="403"/>
      <c r="BR384" s="403"/>
      <c r="BS384" s="403"/>
      <c r="BT384" s="403"/>
      <c r="BU384" s="403"/>
      <c r="BV384" s="403"/>
      <c r="BW384" s="403"/>
      <c r="BX384" s="403"/>
      <c r="BY384" s="403"/>
      <c r="BZ384" s="403"/>
      <c r="CA384" s="403"/>
      <c r="CB384" s="403"/>
      <c r="CC384" s="403"/>
      <c r="CD384" s="403"/>
      <c r="CE384" s="403"/>
      <c r="CF384" s="403"/>
      <c r="CG384" s="403"/>
      <c r="CH384" s="403"/>
      <c r="CI384" s="403"/>
      <c r="CJ384" s="403"/>
      <c r="CK384" s="403"/>
      <c r="CL384" s="403"/>
      <c r="CM384" s="403"/>
      <c r="CN384" s="403"/>
      <c r="CO384" s="403"/>
      <c r="CP384" s="403"/>
      <c r="CQ384" s="403"/>
      <c r="CR384" s="403"/>
      <c r="CS384" s="564"/>
    </row>
    <row r="385" spans="3:97" s="15" customFormat="1" ht="12.75" x14ac:dyDescent="0.2">
      <c r="C385" s="622"/>
      <c r="L385" s="567"/>
      <c r="M385" s="403"/>
      <c r="N385" s="403"/>
      <c r="O385" s="403"/>
      <c r="P385" s="403"/>
      <c r="Q385" s="403"/>
      <c r="R385" s="403"/>
      <c r="S385" s="403"/>
      <c r="T385" s="403"/>
      <c r="U385" s="403"/>
      <c r="V385" s="403"/>
      <c r="W385" s="403"/>
      <c r="X385" s="403"/>
      <c r="Y385" s="403"/>
      <c r="Z385" s="403"/>
      <c r="AA385" s="403"/>
      <c r="AB385" s="403"/>
      <c r="AC385" s="403"/>
      <c r="AD385" s="403"/>
      <c r="AE385" s="403"/>
      <c r="AF385" s="403"/>
      <c r="AG385" s="403"/>
      <c r="AH385" s="403"/>
      <c r="AI385" s="403"/>
      <c r="AJ385" s="403"/>
      <c r="AK385" s="403"/>
      <c r="AL385" s="403"/>
      <c r="AM385" s="403"/>
      <c r="AN385" s="403"/>
      <c r="AO385" s="403"/>
      <c r="AP385" s="403"/>
      <c r="AQ385" s="403"/>
      <c r="AR385" s="403"/>
      <c r="AS385" s="403"/>
      <c r="AT385" s="403"/>
      <c r="AU385" s="403"/>
      <c r="AV385" s="403"/>
      <c r="AW385" s="403"/>
      <c r="AX385" s="403"/>
      <c r="AY385" s="403"/>
      <c r="AZ385" s="403"/>
      <c r="BA385" s="403"/>
      <c r="BB385" s="403"/>
      <c r="BC385" s="403"/>
      <c r="BD385" s="403"/>
      <c r="BE385" s="403"/>
      <c r="BF385" s="403"/>
      <c r="BG385" s="403"/>
      <c r="BH385" s="403"/>
      <c r="BI385" s="403"/>
      <c r="BJ385" s="403"/>
      <c r="BK385" s="403"/>
      <c r="BL385" s="403"/>
      <c r="BM385" s="403"/>
      <c r="BN385" s="403"/>
      <c r="BO385" s="403"/>
      <c r="BP385" s="403"/>
      <c r="BQ385" s="403"/>
      <c r="BR385" s="403"/>
      <c r="BS385" s="403"/>
      <c r="BT385" s="403"/>
      <c r="BU385" s="403"/>
      <c r="BV385" s="403"/>
      <c r="BW385" s="403"/>
      <c r="BX385" s="403"/>
      <c r="BY385" s="403"/>
      <c r="BZ385" s="403"/>
      <c r="CA385" s="403"/>
      <c r="CB385" s="403"/>
      <c r="CC385" s="403"/>
      <c r="CD385" s="403"/>
      <c r="CE385" s="403"/>
      <c r="CF385" s="403"/>
      <c r="CG385" s="403"/>
      <c r="CH385" s="403"/>
      <c r="CI385" s="403"/>
      <c r="CJ385" s="403"/>
      <c r="CK385" s="403"/>
      <c r="CL385" s="403"/>
      <c r="CM385" s="403"/>
      <c r="CN385" s="403"/>
      <c r="CO385" s="403"/>
      <c r="CP385" s="403"/>
      <c r="CQ385" s="403"/>
      <c r="CR385" s="403"/>
      <c r="CS385" s="564"/>
    </row>
    <row r="386" spans="3:97" s="15" customFormat="1" ht="12.75" x14ac:dyDescent="0.2">
      <c r="C386" s="622"/>
      <c r="L386" s="567"/>
      <c r="M386" s="403"/>
      <c r="N386" s="403"/>
      <c r="O386" s="403"/>
      <c r="P386" s="403"/>
      <c r="Q386" s="403"/>
      <c r="R386" s="403"/>
      <c r="S386" s="403"/>
      <c r="T386" s="403"/>
      <c r="U386" s="403"/>
      <c r="V386" s="403"/>
      <c r="W386" s="403"/>
      <c r="X386" s="403"/>
      <c r="Y386" s="403"/>
      <c r="Z386" s="403"/>
      <c r="AA386" s="403"/>
      <c r="AB386" s="403"/>
      <c r="AC386" s="403"/>
      <c r="AD386" s="403"/>
      <c r="AE386" s="403"/>
      <c r="AF386" s="403"/>
      <c r="AG386" s="403"/>
      <c r="AH386" s="403"/>
      <c r="AI386" s="403"/>
      <c r="AJ386" s="403"/>
      <c r="AK386" s="403"/>
      <c r="AL386" s="403"/>
      <c r="AM386" s="403"/>
      <c r="AN386" s="403"/>
      <c r="AO386" s="403"/>
      <c r="AP386" s="403"/>
      <c r="AQ386" s="403"/>
      <c r="AR386" s="403"/>
      <c r="AS386" s="403"/>
      <c r="AT386" s="403"/>
      <c r="AU386" s="403"/>
      <c r="AV386" s="403"/>
      <c r="AW386" s="403"/>
      <c r="AX386" s="403"/>
      <c r="AY386" s="403"/>
      <c r="AZ386" s="403"/>
      <c r="BA386" s="403"/>
      <c r="BB386" s="403"/>
      <c r="BC386" s="403"/>
      <c r="BD386" s="403"/>
      <c r="BE386" s="403"/>
      <c r="BF386" s="403"/>
      <c r="BG386" s="403"/>
      <c r="BH386" s="403"/>
      <c r="BI386" s="403"/>
      <c r="BJ386" s="403"/>
      <c r="BK386" s="403"/>
      <c r="BL386" s="403"/>
      <c r="BM386" s="403"/>
      <c r="BN386" s="403"/>
      <c r="BO386" s="403"/>
      <c r="BP386" s="403"/>
      <c r="BQ386" s="403"/>
      <c r="BR386" s="403"/>
      <c r="BS386" s="403"/>
      <c r="BT386" s="403"/>
      <c r="BU386" s="403"/>
      <c r="BV386" s="403"/>
      <c r="BW386" s="403"/>
      <c r="BX386" s="403"/>
      <c r="BY386" s="403"/>
      <c r="BZ386" s="403"/>
      <c r="CA386" s="403"/>
      <c r="CB386" s="403"/>
      <c r="CC386" s="403"/>
      <c r="CD386" s="403"/>
      <c r="CE386" s="403"/>
      <c r="CF386" s="403"/>
      <c r="CG386" s="403"/>
      <c r="CH386" s="403"/>
      <c r="CI386" s="403"/>
      <c r="CJ386" s="403"/>
      <c r="CK386" s="403"/>
      <c r="CL386" s="403"/>
      <c r="CM386" s="403"/>
      <c r="CN386" s="403"/>
      <c r="CO386" s="403"/>
      <c r="CP386" s="403"/>
      <c r="CQ386" s="403"/>
      <c r="CR386" s="403"/>
      <c r="CS386" s="564"/>
    </row>
    <row r="387" spans="3:97" s="15" customFormat="1" ht="12.75" x14ac:dyDescent="0.2">
      <c r="C387" s="622"/>
      <c r="L387" s="567"/>
      <c r="M387" s="403"/>
      <c r="N387" s="403"/>
      <c r="O387" s="403"/>
      <c r="P387" s="403"/>
      <c r="Q387" s="403"/>
      <c r="R387" s="403"/>
      <c r="S387" s="403"/>
      <c r="T387" s="403"/>
      <c r="U387" s="403"/>
      <c r="V387" s="403"/>
      <c r="W387" s="403"/>
      <c r="X387" s="403"/>
      <c r="Y387" s="403"/>
      <c r="Z387" s="403"/>
      <c r="AA387" s="403"/>
      <c r="AB387" s="403"/>
      <c r="AC387" s="403"/>
      <c r="AD387" s="403"/>
      <c r="AE387" s="403"/>
      <c r="AF387" s="403"/>
      <c r="AG387" s="403"/>
      <c r="AH387" s="403"/>
      <c r="AI387" s="403"/>
      <c r="AJ387" s="403"/>
      <c r="AK387" s="403"/>
      <c r="AL387" s="403"/>
      <c r="AM387" s="403"/>
      <c r="AN387" s="403"/>
      <c r="AO387" s="403"/>
      <c r="AP387" s="403"/>
      <c r="AQ387" s="403"/>
      <c r="AR387" s="403"/>
      <c r="AS387" s="403"/>
      <c r="AT387" s="403"/>
      <c r="AU387" s="403"/>
      <c r="AV387" s="403"/>
      <c r="AW387" s="403"/>
      <c r="AX387" s="403"/>
      <c r="AY387" s="403"/>
      <c r="AZ387" s="403"/>
      <c r="BA387" s="403"/>
      <c r="BB387" s="403"/>
      <c r="BC387" s="403"/>
      <c r="BD387" s="403"/>
      <c r="BE387" s="403"/>
      <c r="BF387" s="403"/>
      <c r="BG387" s="403"/>
      <c r="BH387" s="403"/>
      <c r="BI387" s="403"/>
      <c r="BJ387" s="403"/>
      <c r="BK387" s="403"/>
      <c r="BL387" s="403"/>
      <c r="BM387" s="403"/>
      <c r="BN387" s="403"/>
      <c r="BO387" s="403"/>
      <c r="BP387" s="403"/>
      <c r="BQ387" s="403"/>
      <c r="BR387" s="403"/>
      <c r="BS387" s="403"/>
      <c r="BT387" s="403"/>
      <c r="BU387" s="403"/>
      <c r="BV387" s="403"/>
      <c r="BW387" s="403"/>
      <c r="BX387" s="403"/>
      <c r="BY387" s="403"/>
      <c r="BZ387" s="403"/>
      <c r="CA387" s="403"/>
      <c r="CB387" s="403"/>
      <c r="CC387" s="403"/>
      <c r="CD387" s="403"/>
      <c r="CE387" s="403"/>
      <c r="CF387" s="403"/>
      <c r="CG387" s="403"/>
      <c r="CH387" s="403"/>
      <c r="CI387" s="403"/>
      <c r="CJ387" s="403"/>
      <c r="CK387" s="403"/>
      <c r="CL387" s="403"/>
      <c r="CM387" s="403"/>
      <c r="CN387" s="403"/>
      <c r="CO387" s="403"/>
      <c r="CP387" s="403"/>
      <c r="CQ387" s="403"/>
      <c r="CR387" s="403"/>
      <c r="CS387" s="564"/>
    </row>
    <row r="388" spans="3:97" s="15" customFormat="1" ht="12.75" x14ac:dyDescent="0.2">
      <c r="C388" s="622"/>
      <c r="L388" s="567"/>
      <c r="M388" s="403"/>
      <c r="N388" s="403"/>
      <c r="O388" s="403"/>
      <c r="P388" s="403"/>
      <c r="Q388" s="403"/>
      <c r="R388" s="403"/>
      <c r="S388" s="403"/>
      <c r="T388" s="403"/>
      <c r="U388" s="403"/>
      <c r="V388" s="403"/>
      <c r="W388" s="403"/>
      <c r="X388" s="403"/>
      <c r="Y388" s="403"/>
      <c r="Z388" s="403"/>
      <c r="AA388" s="403"/>
      <c r="AB388" s="403"/>
      <c r="AC388" s="403"/>
      <c r="AD388" s="403"/>
      <c r="AE388" s="403"/>
      <c r="AF388" s="403"/>
      <c r="AG388" s="403"/>
      <c r="AH388" s="403"/>
      <c r="AI388" s="403"/>
      <c r="AJ388" s="403"/>
      <c r="AK388" s="403"/>
      <c r="AL388" s="403"/>
      <c r="AM388" s="403"/>
      <c r="AN388" s="403"/>
      <c r="AO388" s="403"/>
      <c r="AP388" s="403"/>
      <c r="AQ388" s="403"/>
      <c r="AR388" s="403"/>
      <c r="AS388" s="403"/>
      <c r="AT388" s="403"/>
      <c r="AU388" s="403"/>
      <c r="AV388" s="403"/>
      <c r="AW388" s="403"/>
      <c r="AX388" s="403"/>
      <c r="AY388" s="403"/>
      <c r="AZ388" s="403"/>
      <c r="BA388" s="403"/>
      <c r="BB388" s="403"/>
      <c r="BC388" s="403"/>
      <c r="BD388" s="403"/>
      <c r="BE388" s="403"/>
      <c r="BF388" s="403"/>
      <c r="BG388" s="403"/>
      <c r="BH388" s="403"/>
      <c r="BI388" s="403"/>
      <c r="BJ388" s="403"/>
      <c r="BK388" s="403"/>
      <c r="BL388" s="403"/>
      <c r="BM388" s="403"/>
      <c r="BN388" s="403"/>
      <c r="BO388" s="403"/>
      <c r="BP388" s="403"/>
      <c r="BQ388" s="403"/>
      <c r="BR388" s="403"/>
      <c r="BS388" s="403"/>
      <c r="BT388" s="403"/>
      <c r="BU388" s="403"/>
      <c r="BV388" s="403"/>
      <c r="BW388" s="403"/>
      <c r="BX388" s="403"/>
      <c r="BY388" s="403"/>
      <c r="BZ388" s="403"/>
      <c r="CA388" s="403"/>
      <c r="CB388" s="403"/>
      <c r="CC388" s="403"/>
      <c r="CD388" s="403"/>
      <c r="CE388" s="403"/>
      <c r="CF388" s="403"/>
      <c r="CG388" s="403"/>
      <c r="CH388" s="403"/>
      <c r="CI388" s="403"/>
      <c r="CJ388" s="403"/>
      <c r="CK388" s="403"/>
      <c r="CL388" s="403"/>
      <c r="CM388" s="403"/>
      <c r="CN388" s="403"/>
      <c r="CO388" s="403"/>
      <c r="CP388" s="403"/>
      <c r="CQ388" s="403"/>
      <c r="CR388" s="403"/>
      <c r="CS388" s="564"/>
    </row>
    <row r="389" spans="3:97" s="15" customFormat="1" ht="12.75" x14ac:dyDescent="0.2">
      <c r="C389" s="622"/>
      <c r="L389" s="567"/>
      <c r="M389" s="403"/>
      <c r="N389" s="403"/>
      <c r="O389" s="403"/>
      <c r="P389" s="403"/>
      <c r="Q389" s="403"/>
      <c r="R389" s="403"/>
      <c r="S389" s="403"/>
      <c r="T389" s="403"/>
      <c r="U389" s="403"/>
      <c r="V389" s="403"/>
      <c r="W389" s="403"/>
      <c r="X389" s="403"/>
      <c r="Y389" s="403"/>
      <c r="Z389" s="403"/>
      <c r="AA389" s="403"/>
      <c r="AB389" s="403"/>
      <c r="AC389" s="403"/>
      <c r="AD389" s="403"/>
      <c r="AE389" s="403"/>
      <c r="AF389" s="403"/>
      <c r="AG389" s="403"/>
      <c r="AH389" s="403"/>
      <c r="AI389" s="403"/>
      <c r="AJ389" s="403"/>
      <c r="AK389" s="403"/>
      <c r="AL389" s="403"/>
      <c r="AM389" s="403"/>
      <c r="AN389" s="403"/>
      <c r="AO389" s="403"/>
      <c r="AP389" s="403"/>
      <c r="AQ389" s="403"/>
      <c r="AR389" s="403"/>
      <c r="AS389" s="403"/>
      <c r="AT389" s="403"/>
      <c r="AU389" s="403"/>
      <c r="AV389" s="403"/>
      <c r="AW389" s="403"/>
      <c r="AX389" s="403"/>
      <c r="AY389" s="403"/>
      <c r="AZ389" s="403"/>
      <c r="BA389" s="403"/>
      <c r="BB389" s="403"/>
      <c r="BC389" s="403"/>
      <c r="BD389" s="403"/>
      <c r="BE389" s="403"/>
      <c r="BF389" s="403"/>
      <c r="BG389" s="403"/>
      <c r="BH389" s="403"/>
      <c r="BI389" s="403"/>
      <c r="BJ389" s="403"/>
      <c r="BK389" s="403"/>
      <c r="BL389" s="403"/>
      <c r="BM389" s="403"/>
      <c r="BN389" s="403"/>
      <c r="BO389" s="403"/>
      <c r="BP389" s="403"/>
      <c r="BQ389" s="403"/>
      <c r="BR389" s="403"/>
      <c r="BS389" s="403"/>
      <c r="BT389" s="403"/>
      <c r="BU389" s="403"/>
      <c r="BV389" s="403"/>
      <c r="BW389" s="403"/>
      <c r="BX389" s="403"/>
      <c r="BY389" s="403"/>
      <c r="BZ389" s="403"/>
      <c r="CA389" s="403"/>
      <c r="CB389" s="403"/>
      <c r="CC389" s="403"/>
      <c r="CD389" s="403"/>
      <c r="CE389" s="403"/>
      <c r="CF389" s="403"/>
      <c r="CG389" s="403"/>
      <c r="CH389" s="403"/>
      <c r="CI389" s="403"/>
      <c r="CJ389" s="403"/>
      <c r="CK389" s="403"/>
      <c r="CL389" s="403"/>
      <c r="CM389" s="403"/>
      <c r="CN389" s="403"/>
      <c r="CO389" s="403"/>
      <c r="CP389" s="403"/>
      <c r="CQ389" s="403"/>
      <c r="CR389" s="403"/>
      <c r="CS389" s="564"/>
    </row>
    <row r="390" spans="3:97" s="15" customFormat="1" ht="12.75" x14ac:dyDescent="0.2">
      <c r="C390" s="622"/>
      <c r="L390" s="567"/>
      <c r="M390" s="403"/>
      <c r="N390" s="403"/>
      <c r="O390" s="403"/>
      <c r="P390" s="403"/>
      <c r="Q390" s="403"/>
      <c r="R390" s="403"/>
      <c r="S390" s="403"/>
      <c r="T390" s="403"/>
      <c r="U390" s="403"/>
      <c r="V390" s="403"/>
      <c r="W390" s="403"/>
      <c r="X390" s="403"/>
      <c r="Y390" s="403"/>
      <c r="Z390" s="403"/>
      <c r="AA390" s="403"/>
      <c r="AB390" s="403"/>
      <c r="AC390" s="403"/>
      <c r="AD390" s="403"/>
      <c r="AE390" s="403"/>
      <c r="AF390" s="403"/>
      <c r="AG390" s="403"/>
      <c r="AH390" s="403"/>
      <c r="AI390" s="403"/>
      <c r="AJ390" s="403"/>
      <c r="AK390" s="403"/>
      <c r="AL390" s="403"/>
      <c r="AM390" s="403"/>
      <c r="AN390" s="403"/>
      <c r="AO390" s="403"/>
      <c r="AP390" s="403"/>
      <c r="AQ390" s="403"/>
      <c r="AR390" s="403"/>
      <c r="AS390" s="403"/>
      <c r="AT390" s="403"/>
      <c r="AU390" s="403"/>
      <c r="AV390" s="403"/>
      <c r="AW390" s="403"/>
      <c r="AX390" s="403"/>
      <c r="AY390" s="403"/>
      <c r="AZ390" s="403"/>
      <c r="BA390" s="403"/>
      <c r="BB390" s="403"/>
      <c r="BC390" s="403"/>
      <c r="BD390" s="403"/>
      <c r="BE390" s="403"/>
      <c r="BF390" s="403"/>
      <c r="BG390" s="403"/>
      <c r="BH390" s="403"/>
      <c r="BI390" s="403"/>
      <c r="BJ390" s="403"/>
      <c r="BK390" s="403"/>
      <c r="BL390" s="403"/>
      <c r="BM390" s="403"/>
      <c r="BN390" s="403"/>
      <c r="BO390" s="403"/>
      <c r="BP390" s="403"/>
      <c r="BQ390" s="403"/>
      <c r="BR390" s="403"/>
      <c r="BS390" s="403"/>
      <c r="BT390" s="403"/>
      <c r="BU390" s="403"/>
      <c r="BV390" s="403"/>
      <c r="BW390" s="403"/>
      <c r="BX390" s="403"/>
      <c r="BY390" s="403"/>
      <c r="BZ390" s="403"/>
      <c r="CA390" s="403"/>
      <c r="CB390" s="403"/>
      <c r="CC390" s="403"/>
      <c r="CD390" s="403"/>
      <c r="CE390" s="403"/>
      <c r="CF390" s="403"/>
      <c r="CG390" s="403"/>
      <c r="CH390" s="403"/>
      <c r="CI390" s="403"/>
      <c r="CJ390" s="403"/>
      <c r="CK390" s="403"/>
      <c r="CL390" s="403"/>
      <c r="CM390" s="403"/>
      <c r="CN390" s="403"/>
      <c r="CO390" s="403"/>
      <c r="CP390" s="403"/>
      <c r="CQ390" s="403"/>
      <c r="CR390" s="403"/>
      <c r="CS390" s="564"/>
    </row>
    <row r="391" spans="3:97" s="15" customFormat="1" ht="12.75" x14ac:dyDescent="0.2">
      <c r="C391" s="622"/>
      <c r="L391" s="567"/>
      <c r="M391" s="403"/>
      <c r="N391" s="403"/>
      <c r="O391" s="403"/>
      <c r="P391" s="403"/>
      <c r="Q391" s="403"/>
      <c r="R391" s="403"/>
      <c r="S391" s="403"/>
      <c r="T391" s="403"/>
      <c r="U391" s="403"/>
      <c r="V391" s="403"/>
      <c r="W391" s="403"/>
      <c r="X391" s="403"/>
      <c r="Y391" s="403"/>
      <c r="Z391" s="403"/>
      <c r="AA391" s="403"/>
      <c r="AB391" s="403"/>
      <c r="AC391" s="403"/>
      <c r="AD391" s="403"/>
      <c r="AE391" s="403"/>
      <c r="AF391" s="403"/>
      <c r="AG391" s="403"/>
      <c r="AH391" s="403"/>
      <c r="AI391" s="403"/>
      <c r="AJ391" s="403"/>
      <c r="AK391" s="403"/>
      <c r="AL391" s="403"/>
      <c r="AM391" s="403"/>
      <c r="AN391" s="403"/>
      <c r="AO391" s="403"/>
      <c r="AP391" s="403"/>
      <c r="AQ391" s="403"/>
      <c r="AR391" s="403"/>
      <c r="AS391" s="403"/>
      <c r="AT391" s="403"/>
      <c r="AU391" s="403"/>
      <c r="AV391" s="403"/>
      <c r="AW391" s="403"/>
      <c r="AX391" s="403"/>
      <c r="AY391" s="403"/>
      <c r="AZ391" s="403"/>
      <c r="BA391" s="403"/>
      <c r="BB391" s="403"/>
      <c r="BC391" s="403"/>
      <c r="BD391" s="403"/>
      <c r="BE391" s="403"/>
      <c r="BF391" s="403"/>
      <c r="BG391" s="403"/>
      <c r="BH391" s="403"/>
      <c r="BI391" s="403"/>
      <c r="BJ391" s="403"/>
      <c r="BK391" s="403"/>
      <c r="BL391" s="403"/>
      <c r="BM391" s="403"/>
      <c r="BN391" s="403"/>
      <c r="BO391" s="403"/>
      <c r="BP391" s="403"/>
      <c r="BQ391" s="403"/>
      <c r="BR391" s="403"/>
      <c r="BS391" s="403"/>
      <c r="BT391" s="403"/>
      <c r="BU391" s="403"/>
      <c r="BV391" s="403"/>
      <c r="BW391" s="403"/>
      <c r="BX391" s="403"/>
      <c r="BY391" s="403"/>
      <c r="BZ391" s="403"/>
      <c r="CA391" s="403"/>
      <c r="CB391" s="403"/>
      <c r="CC391" s="403"/>
      <c r="CD391" s="403"/>
      <c r="CE391" s="403"/>
      <c r="CF391" s="403"/>
      <c r="CG391" s="403"/>
      <c r="CH391" s="403"/>
      <c r="CI391" s="403"/>
      <c r="CJ391" s="403"/>
      <c r="CK391" s="403"/>
      <c r="CL391" s="403"/>
      <c r="CM391" s="403"/>
      <c r="CN391" s="403"/>
      <c r="CO391" s="403"/>
      <c r="CP391" s="403"/>
      <c r="CQ391" s="403"/>
      <c r="CR391" s="403"/>
      <c r="CS391" s="564"/>
    </row>
    <row r="392" spans="3:97" s="15" customFormat="1" ht="12.75" x14ac:dyDescent="0.2">
      <c r="C392" s="622"/>
      <c r="L392" s="567"/>
      <c r="M392" s="403"/>
      <c r="N392" s="403"/>
      <c r="O392" s="403"/>
      <c r="P392" s="403"/>
      <c r="Q392" s="403"/>
      <c r="R392" s="403"/>
      <c r="S392" s="403"/>
      <c r="T392" s="403"/>
      <c r="U392" s="403"/>
      <c r="V392" s="403"/>
      <c r="W392" s="403"/>
      <c r="X392" s="403"/>
      <c r="Y392" s="403"/>
      <c r="Z392" s="403"/>
      <c r="AA392" s="403"/>
      <c r="AB392" s="403"/>
      <c r="AC392" s="403"/>
      <c r="AD392" s="403"/>
      <c r="AE392" s="403"/>
      <c r="AF392" s="403"/>
      <c r="AG392" s="403"/>
      <c r="AH392" s="403"/>
      <c r="AI392" s="403"/>
      <c r="AJ392" s="403"/>
      <c r="AK392" s="403"/>
      <c r="AL392" s="403"/>
      <c r="AM392" s="403"/>
      <c r="AN392" s="403"/>
      <c r="AO392" s="403"/>
      <c r="AP392" s="403"/>
      <c r="AQ392" s="403"/>
      <c r="AR392" s="403"/>
      <c r="AS392" s="403"/>
      <c r="AT392" s="403"/>
      <c r="AU392" s="403"/>
      <c r="AV392" s="403"/>
      <c r="AW392" s="403"/>
      <c r="AX392" s="403"/>
      <c r="AY392" s="403"/>
      <c r="AZ392" s="403"/>
      <c r="BA392" s="403"/>
      <c r="BB392" s="403"/>
      <c r="BC392" s="403"/>
      <c r="BD392" s="403"/>
      <c r="BE392" s="403"/>
      <c r="BF392" s="403"/>
      <c r="BG392" s="403"/>
      <c r="BH392" s="403"/>
      <c r="BI392" s="403"/>
      <c r="BJ392" s="403"/>
      <c r="BK392" s="403"/>
      <c r="BL392" s="403"/>
      <c r="BM392" s="403"/>
      <c r="BN392" s="403"/>
      <c r="BO392" s="403"/>
      <c r="BP392" s="403"/>
      <c r="BQ392" s="403"/>
      <c r="BR392" s="403"/>
      <c r="BS392" s="403"/>
      <c r="BT392" s="403"/>
      <c r="BU392" s="403"/>
      <c r="BV392" s="403"/>
      <c r="BW392" s="403"/>
      <c r="BX392" s="403"/>
      <c r="BY392" s="403"/>
      <c r="BZ392" s="403"/>
      <c r="CA392" s="403"/>
      <c r="CB392" s="403"/>
      <c r="CC392" s="403"/>
      <c r="CD392" s="403"/>
      <c r="CE392" s="403"/>
      <c r="CF392" s="403"/>
      <c r="CG392" s="403"/>
      <c r="CH392" s="403"/>
      <c r="CI392" s="403"/>
      <c r="CJ392" s="403"/>
      <c r="CK392" s="403"/>
      <c r="CL392" s="403"/>
      <c r="CM392" s="403"/>
      <c r="CN392" s="403"/>
      <c r="CO392" s="403"/>
      <c r="CP392" s="403"/>
      <c r="CQ392" s="403"/>
      <c r="CR392" s="403"/>
      <c r="CS392" s="564"/>
    </row>
    <row r="393" spans="3:97" s="15" customFormat="1" ht="12.75" x14ac:dyDescent="0.2">
      <c r="C393" s="622"/>
      <c r="L393" s="567"/>
      <c r="M393" s="403"/>
      <c r="N393" s="403"/>
      <c r="O393" s="403"/>
      <c r="P393" s="403"/>
      <c r="Q393" s="403"/>
      <c r="R393" s="403"/>
      <c r="S393" s="403"/>
      <c r="T393" s="403"/>
      <c r="U393" s="403"/>
      <c r="V393" s="403"/>
      <c r="W393" s="403"/>
      <c r="X393" s="403"/>
      <c r="Y393" s="403"/>
      <c r="Z393" s="403"/>
      <c r="AA393" s="403"/>
      <c r="AB393" s="403"/>
      <c r="AC393" s="403"/>
      <c r="AD393" s="403"/>
      <c r="AE393" s="403"/>
      <c r="AF393" s="403"/>
      <c r="AG393" s="403"/>
      <c r="AH393" s="403"/>
      <c r="AI393" s="403"/>
      <c r="AJ393" s="403"/>
      <c r="AK393" s="403"/>
      <c r="AL393" s="403"/>
      <c r="AM393" s="403"/>
      <c r="AN393" s="403"/>
      <c r="AO393" s="403"/>
      <c r="AP393" s="403"/>
      <c r="AQ393" s="403"/>
      <c r="AR393" s="403"/>
      <c r="AS393" s="403"/>
      <c r="AT393" s="403"/>
      <c r="AU393" s="403"/>
      <c r="AV393" s="403"/>
      <c r="AW393" s="403"/>
      <c r="AX393" s="403"/>
      <c r="AY393" s="403"/>
      <c r="AZ393" s="403"/>
      <c r="BA393" s="403"/>
      <c r="BB393" s="403"/>
      <c r="BC393" s="403"/>
      <c r="BD393" s="403"/>
      <c r="BE393" s="403"/>
      <c r="BF393" s="403"/>
      <c r="BG393" s="403"/>
      <c r="BH393" s="403"/>
      <c r="BI393" s="403"/>
      <c r="BJ393" s="403"/>
      <c r="BK393" s="403"/>
      <c r="BL393" s="403"/>
      <c r="BM393" s="403"/>
      <c r="BN393" s="403"/>
      <c r="BO393" s="403"/>
      <c r="BP393" s="403"/>
      <c r="BQ393" s="403"/>
      <c r="BR393" s="403"/>
      <c r="BS393" s="403"/>
      <c r="BT393" s="403"/>
      <c r="BU393" s="403"/>
      <c r="BV393" s="403"/>
      <c r="BW393" s="403"/>
      <c r="BX393" s="403"/>
      <c r="BY393" s="403"/>
      <c r="BZ393" s="403"/>
      <c r="CA393" s="403"/>
      <c r="CB393" s="403"/>
      <c r="CC393" s="403"/>
      <c r="CD393" s="403"/>
      <c r="CE393" s="403"/>
      <c r="CF393" s="403"/>
      <c r="CG393" s="403"/>
      <c r="CH393" s="403"/>
      <c r="CI393" s="403"/>
      <c r="CJ393" s="403"/>
      <c r="CK393" s="403"/>
      <c r="CL393" s="403"/>
      <c r="CM393" s="403"/>
      <c r="CN393" s="403"/>
      <c r="CO393" s="403"/>
      <c r="CP393" s="403"/>
      <c r="CQ393" s="403"/>
      <c r="CR393" s="403"/>
      <c r="CS393" s="564"/>
    </row>
    <row r="394" spans="3:97" s="15" customFormat="1" ht="12.75" x14ac:dyDescent="0.2">
      <c r="C394" s="622"/>
      <c r="L394" s="567"/>
      <c r="M394" s="403"/>
      <c r="N394" s="403"/>
      <c r="O394" s="403"/>
      <c r="P394" s="403"/>
      <c r="Q394" s="403"/>
      <c r="R394" s="403"/>
      <c r="S394" s="403"/>
      <c r="T394" s="403"/>
      <c r="U394" s="403"/>
      <c r="V394" s="403"/>
      <c r="W394" s="403"/>
      <c r="X394" s="403"/>
      <c r="Y394" s="403"/>
      <c r="Z394" s="403"/>
      <c r="AA394" s="403"/>
      <c r="AB394" s="403"/>
      <c r="AC394" s="403"/>
      <c r="AD394" s="403"/>
      <c r="AE394" s="403"/>
      <c r="AF394" s="403"/>
      <c r="AG394" s="403"/>
      <c r="AH394" s="403"/>
      <c r="AI394" s="403"/>
      <c r="AJ394" s="403"/>
      <c r="AK394" s="403"/>
      <c r="AL394" s="403"/>
      <c r="AM394" s="403"/>
      <c r="AN394" s="403"/>
      <c r="AO394" s="403"/>
      <c r="AP394" s="403"/>
      <c r="AQ394" s="403"/>
      <c r="AR394" s="403"/>
      <c r="AS394" s="403"/>
      <c r="AT394" s="403"/>
      <c r="AU394" s="403"/>
      <c r="AV394" s="403"/>
      <c r="AW394" s="403"/>
      <c r="AX394" s="403"/>
      <c r="AY394" s="403"/>
      <c r="AZ394" s="403"/>
      <c r="BA394" s="403"/>
      <c r="BB394" s="403"/>
      <c r="BC394" s="403"/>
      <c r="BD394" s="403"/>
      <c r="BE394" s="403"/>
      <c r="BF394" s="403"/>
      <c r="BG394" s="403"/>
      <c r="BH394" s="403"/>
      <c r="BI394" s="403"/>
      <c r="BJ394" s="403"/>
      <c r="BK394" s="403"/>
      <c r="BL394" s="403"/>
      <c r="BM394" s="403"/>
      <c r="BN394" s="403"/>
      <c r="BO394" s="403"/>
      <c r="BP394" s="403"/>
      <c r="BQ394" s="403"/>
      <c r="BR394" s="403"/>
      <c r="BS394" s="403"/>
      <c r="BT394" s="403"/>
      <c r="BU394" s="403"/>
      <c r="BV394" s="403"/>
      <c r="BW394" s="403"/>
      <c r="BX394" s="403"/>
      <c r="BY394" s="403"/>
      <c r="BZ394" s="403"/>
      <c r="CA394" s="403"/>
      <c r="CB394" s="403"/>
      <c r="CC394" s="403"/>
      <c r="CD394" s="403"/>
      <c r="CE394" s="403"/>
      <c r="CF394" s="403"/>
      <c r="CG394" s="403"/>
      <c r="CH394" s="403"/>
      <c r="CI394" s="403"/>
      <c r="CJ394" s="403"/>
      <c r="CK394" s="403"/>
      <c r="CL394" s="403"/>
      <c r="CM394" s="403"/>
      <c r="CN394" s="403"/>
      <c r="CO394" s="403"/>
      <c r="CP394" s="403"/>
      <c r="CQ394" s="403"/>
      <c r="CR394" s="403"/>
      <c r="CS394" s="564"/>
    </row>
    <row r="395" spans="3:97" s="15" customFormat="1" ht="12.75" x14ac:dyDescent="0.2">
      <c r="C395" s="622"/>
      <c r="L395" s="567"/>
      <c r="M395" s="403"/>
      <c r="N395" s="403"/>
      <c r="O395" s="403"/>
      <c r="P395" s="403"/>
      <c r="Q395" s="403"/>
      <c r="R395" s="403"/>
      <c r="S395" s="403"/>
      <c r="T395" s="403"/>
      <c r="U395" s="403"/>
      <c r="V395" s="403"/>
      <c r="W395" s="403"/>
      <c r="X395" s="403"/>
      <c r="Y395" s="403"/>
      <c r="Z395" s="403"/>
      <c r="AA395" s="403"/>
      <c r="AB395" s="403"/>
      <c r="AC395" s="403"/>
      <c r="AD395" s="403"/>
      <c r="AE395" s="403"/>
      <c r="AF395" s="403"/>
      <c r="AG395" s="403"/>
      <c r="AH395" s="403"/>
      <c r="AI395" s="403"/>
      <c r="AJ395" s="403"/>
      <c r="AK395" s="403"/>
      <c r="AL395" s="403"/>
      <c r="AM395" s="403"/>
      <c r="AN395" s="403"/>
      <c r="AO395" s="403"/>
      <c r="AP395" s="403"/>
      <c r="AQ395" s="403"/>
      <c r="AR395" s="403"/>
      <c r="AS395" s="403"/>
      <c r="AT395" s="403"/>
      <c r="AU395" s="403"/>
      <c r="AV395" s="403"/>
      <c r="AW395" s="403"/>
      <c r="AX395" s="403"/>
      <c r="AY395" s="403"/>
      <c r="AZ395" s="403"/>
      <c r="BA395" s="403"/>
      <c r="BB395" s="403"/>
      <c r="BC395" s="403"/>
      <c r="BD395" s="403"/>
      <c r="BE395" s="403"/>
      <c r="BF395" s="403"/>
      <c r="BG395" s="403"/>
      <c r="BH395" s="403"/>
      <c r="BI395" s="403"/>
      <c r="BJ395" s="403"/>
      <c r="BK395" s="403"/>
      <c r="BL395" s="403"/>
      <c r="BM395" s="403"/>
      <c r="BN395" s="403"/>
      <c r="BO395" s="403"/>
      <c r="BP395" s="403"/>
      <c r="BQ395" s="403"/>
      <c r="BR395" s="403"/>
      <c r="BS395" s="403"/>
      <c r="BT395" s="403"/>
      <c r="BU395" s="403"/>
      <c r="BV395" s="403"/>
      <c r="BW395" s="403"/>
      <c r="BX395" s="403"/>
      <c r="BY395" s="403"/>
      <c r="BZ395" s="403"/>
      <c r="CA395" s="403"/>
      <c r="CB395" s="403"/>
      <c r="CC395" s="403"/>
      <c r="CD395" s="403"/>
      <c r="CE395" s="403"/>
      <c r="CF395" s="403"/>
      <c r="CG395" s="403"/>
      <c r="CH395" s="403"/>
      <c r="CI395" s="403"/>
      <c r="CJ395" s="403"/>
      <c r="CK395" s="403"/>
      <c r="CL395" s="403"/>
      <c r="CM395" s="403"/>
      <c r="CN395" s="403"/>
      <c r="CO395" s="403"/>
      <c r="CP395" s="403"/>
      <c r="CQ395" s="403"/>
      <c r="CR395" s="403"/>
      <c r="CS395" s="564"/>
    </row>
    <row r="396" spans="3:97" s="15" customFormat="1" ht="12.75" x14ac:dyDescent="0.2">
      <c r="C396" s="622"/>
      <c r="L396" s="567"/>
      <c r="M396" s="403"/>
      <c r="N396" s="403"/>
      <c r="O396" s="403"/>
      <c r="P396" s="403"/>
      <c r="Q396" s="403"/>
      <c r="R396" s="403"/>
      <c r="S396" s="403"/>
      <c r="T396" s="403"/>
      <c r="U396" s="403"/>
      <c r="V396" s="403"/>
      <c r="W396" s="403"/>
      <c r="X396" s="403"/>
      <c r="Y396" s="403"/>
      <c r="Z396" s="403"/>
      <c r="AA396" s="403"/>
      <c r="AB396" s="403"/>
      <c r="AC396" s="403"/>
      <c r="AD396" s="403"/>
      <c r="AE396" s="403"/>
      <c r="AF396" s="403"/>
      <c r="AG396" s="403"/>
      <c r="AH396" s="403"/>
      <c r="AI396" s="403"/>
      <c r="AJ396" s="403"/>
      <c r="AK396" s="403"/>
      <c r="AL396" s="403"/>
      <c r="AM396" s="403"/>
      <c r="AN396" s="403"/>
      <c r="AO396" s="403"/>
      <c r="AP396" s="403"/>
      <c r="AQ396" s="403"/>
      <c r="AR396" s="403"/>
      <c r="AS396" s="403"/>
      <c r="AT396" s="403"/>
      <c r="AU396" s="403"/>
      <c r="AV396" s="403"/>
      <c r="AW396" s="403"/>
      <c r="AX396" s="403"/>
      <c r="AY396" s="403"/>
      <c r="AZ396" s="403"/>
      <c r="BA396" s="403"/>
      <c r="BB396" s="403"/>
      <c r="BC396" s="403"/>
      <c r="BD396" s="403"/>
      <c r="BE396" s="403"/>
      <c r="BF396" s="403"/>
      <c r="BG396" s="403"/>
      <c r="BH396" s="403"/>
      <c r="BI396" s="403"/>
      <c r="BJ396" s="403"/>
      <c r="BK396" s="403"/>
      <c r="BL396" s="403"/>
      <c r="BM396" s="403"/>
      <c r="BN396" s="403"/>
      <c r="BO396" s="403"/>
      <c r="BP396" s="403"/>
      <c r="BQ396" s="403"/>
      <c r="BR396" s="403"/>
      <c r="BS396" s="403"/>
      <c r="BT396" s="403"/>
      <c r="BU396" s="403"/>
      <c r="BV396" s="403"/>
      <c r="BW396" s="403"/>
      <c r="BX396" s="403"/>
      <c r="BY396" s="403"/>
      <c r="BZ396" s="403"/>
      <c r="CA396" s="403"/>
      <c r="CB396" s="403"/>
      <c r="CC396" s="403"/>
      <c r="CD396" s="403"/>
      <c r="CE396" s="403"/>
      <c r="CF396" s="403"/>
      <c r="CG396" s="403"/>
      <c r="CH396" s="403"/>
      <c r="CI396" s="403"/>
      <c r="CJ396" s="403"/>
      <c r="CK396" s="403"/>
      <c r="CL396" s="403"/>
      <c r="CM396" s="403"/>
      <c r="CN396" s="403"/>
      <c r="CO396" s="403"/>
      <c r="CP396" s="403"/>
      <c r="CQ396" s="403"/>
      <c r="CR396" s="403"/>
      <c r="CS396" s="564"/>
    </row>
    <row r="397" spans="3:97" s="15" customFormat="1" ht="12.75" x14ac:dyDescent="0.2">
      <c r="C397" s="622"/>
      <c r="L397" s="567"/>
      <c r="M397" s="403"/>
      <c r="N397" s="403"/>
      <c r="O397" s="403"/>
      <c r="P397" s="403"/>
      <c r="Q397" s="403"/>
      <c r="R397" s="403"/>
      <c r="S397" s="403"/>
      <c r="T397" s="403"/>
      <c r="U397" s="403"/>
      <c r="V397" s="403"/>
      <c r="W397" s="403"/>
      <c r="X397" s="403"/>
      <c r="Y397" s="403"/>
      <c r="Z397" s="403"/>
      <c r="AA397" s="403"/>
      <c r="AB397" s="403"/>
      <c r="AC397" s="403"/>
      <c r="AD397" s="403"/>
      <c r="AE397" s="403"/>
      <c r="AF397" s="403"/>
      <c r="AG397" s="403"/>
      <c r="AH397" s="403"/>
      <c r="AI397" s="403"/>
      <c r="AJ397" s="403"/>
      <c r="AK397" s="403"/>
      <c r="AL397" s="403"/>
      <c r="AM397" s="403"/>
      <c r="AN397" s="403"/>
      <c r="AO397" s="403"/>
      <c r="AP397" s="403"/>
      <c r="AQ397" s="403"/>
      <c r="AR397" s="403"/>
      <c r="AS397" s="403"/>
      <c r="AT397" s="403"/>
      <c r="AU397" s="403"/>
      <c r="AV397" s="403"/>
      <c r="AW397" s="403"/>
      <c r="AX397" s="403"/>
      <c r="AY397" s="403"/>
      <c r="AZ397" s="403"/>
      <c r="BA397" s="403"/>
      <c r="BB397" s="403"/>
      <c r="BC397" s="403"/>
      <c r="BD397" s="403"/>
      <c r="BE397" s="403"/>
      <c r="BF397" s="403"/>
      <c r="BG397" s="403"/>
      <c r="BH397" s="403"/>
      <c r="BI397" s="403"/>
      <c r="BJ397" s="403"/>
      <c r="BK397" s="403"/>
      <c r="BL397" s="403"/>
      <c r="BM397" s="403"/>
      <c r="BN397" s="403"/>
      <c r="BO397" s="403"/>
      <c r="BP397" s="403"/>
      <c r="BQ397" s="403"/>
      <c r="BR397" s="403"/>
      <c r="BS397" s="403"/>
      <c r="BT397" s="403"/>
      <c r="BU397" s="403"/>
      <c r="BV397" s="403"/>
      <c r="BW397" s="403"/>
      <c r="BX397" s="403"/>
      <c r="BY397" s="403"/>
      <c r="BZ397" s="403"/>
      <c r="CA397" s="403"/>
      <c r="CB397" s="403"/>
      <c r="CC397" s="403"/>
      <c r="CD397" s="403"/>
      <c r="CE397" s="403"/>
      <c r="CF397" s="403"/>
      <c r="CG397" s="403"/>
      <c r="CH397" s="403"/>
      <c r="CI397" s="403"/>
      <c r="CJ397" s="403"/>
      <c r="CK397" s="403"/>
      <c r="CL397" s="403"/>
      <c r="CM397" s="403"/>
      <c r="CN397" s="403"/>
      <c r="CO397" s="403"/>
      <c r="CP397" s="403"/>
      <c r="CQ397" s="403"/>
      <c r="CR397" s="403"/>
      <c r="CS397" s="564"/>
    </row>
    <row r="398" spans="3:97" s="15" customFormat="1" ht="12.75" x14ac:dyDescent="0.2">
      <c r="C398" s="622"/>
      <c r="L398" s="567"/>
      <c r="M398" s="403"/>
      <c r="N398" s="403"/>
      <c r="O398" s="403"/>
      <c r="P398" s="403"/>
      <c r="Q398" s="403"/>
      <c r="R398" s="403"/>
      <c r="S398" s="403"/>
      <c r="T398" s="403"/>
      <c r="U398" s="403"/>
      <c r="V398" s="403"/>
      <c r="W398" s="403"/>
      <c r="X398" s="403"/>
      <c r="Y398" s="403"/>
      <c r="Z398" s="403"/>
      <c r="AA398" s="403"/>
      <c r="AB398" s="403"/>
      <c r="AC398" s="403"/>
      <c r="AD398" s="403"/>
      <c r="AE398" s="403"/>
      <c r="AF398" s="403"/>
      <c r="AG398" s="403"/>
      <c r="AH398" s="403"/>
      <c r="AI398" s="403"/>
      <c r="AJ398" s="403"/>
      <c r="AK398" s="403"/>
      <c r="AL398" s="403"/>
      <c r="AM398" s="403"/>
      <c r="AN398" s="403"/>
      <c r="AO398" s="403"/>
      <c r="AP398" s="403"/>
      <c r="AQ398" s="403"/>
      <c r="AR398" s="403"/>
      <c r="AS398" s="403"/>
      <c r="AT398" s="403"/>
      <c r="AU398" s="403"/>
      <c r="AV398" s="403"/>
      <c r="AW398" s="403"/>
      <c r="AX398" s="403"/>
      <c r="AY398" s="403"/>
      <c r="AZ398" s="403"/>
      <c r="BA398" s="403"/>
      <c r="BB398" s="403"/>
      <c r="BC398" s="403"/>
      <c r="BD398" s="403"/>
      <c r="BE398" s="403"/>
      <c r="BF398" s="403"/>
      <c r="BG398" s="403"/>
      <c r="BH398" s="403"/>
      <c r="BI398" s="403"/>
      <c r="BJ398" s="403"/>
      <c r="BK398" s="403"/>
      <c r="BL398" s="403"/>
      <c r="BM398" s="403"/>
      <c r="BN398" s="403"/>
      <c r="BO398" s="403"/>
      <c r="BP398" s="403"/>
      <c r="BQ398" s="403"/>
      <c r="BR398" s="403"/>
      <c r="BS398" s="403"/>
      <c r="BT398" s="403"/>
      <c r="BU398" s="403"/>
      <c r="BV398" s="403"/>
      <c r="BW398" s="403"/>
      <c r="BX398" s="403"/>
      <c r="BY398" s="403"/>
      <c r="BZ398" s="403"/>
      <c r="CA398" s="403"/>
      <c r="CB398" s="403"/>
      <c r="CC398" s="403"/>
      <c r="CD398" s="403"/>
      <c r="CE398" s="403"/>
      <c r="CF398" s="403"/>
      <c r="CG398" s="403"/>
      <c r="CH398" s="403"/>
      <c r="CI398" s="403"/>
      <c r="CJ398" s="403"/>
      <c r="CK398" s="403"/>
      <c r="CL398" s="403"/>
      <c r="CM398" s="403"/>
      <c r="CN398" s="403"/>
      <c r="CO398" s="403"/>
      <c r="CP398" s="403"/>
      <c r="CQ398" s="403"/>
      <c r="CR398" s="403"/>
      <c r="CS398" s="564"/>
    </row>
    <row r="399" spans="3:97" s="15" customFormat="1" ht="12.75" x14ac:dyDescent="0.2">
      <c r="C399" s="622"/>
      <c r="L399" s="567"/>
      <c r="M399" s="403"/>
      <c r="N399" s="403"/>
      <c r="O399" s="403"/>
      <c r="P399" s="403"/>
      <c r="Q399" s="403"/>
      <c r="R399" s="403"/>
      <c r="S399" s="403"/>
      <c r="T399" s="403"/>
      <c r="U399" s="403"/>
      <c r="V399" s="403"/>
      <c r="W399" s="403"/>
      <c r="X399" s="403"/>
      <c r="Y399" s="403"/>
      <c r="Z399" s="403"/>
      <c r="AA399" s="403"/>
      <c r="AB399" s="403"/>
      <c r="AC399" s="403"/>
      <c r="AD399" s="403"/>
      <c r="AE399" s="403"/>
      <c r="AF399" s="403"/>
      <c r="AG399" s="403"/>
      <c r="AH399" s="403"/>
      <c r="AI399" s="403"/>
      <c r="AJ399" s="403"/>
      <c r="AK399" s="403"/>
      <c r="AL399" s="403"/>
      <c r="AM399" s="403"/>
      <c r="AN399" s="403"/>
      <c r="AO399" s="403"/>
      <c r="AP399" s="403"/>
      <c r="AQ399" s="403"/>
      <c r="AR399" s="403"/>
      <c r="AS399" s="403"/>
      <c r="AT399" s="403"/>
      <c r="AU399" s="403"/>
      <c r="AV399" s="403"/>
      <c r="AW399" s="403"/>
      <c r="AX399" s="403"/>
      <c r="AY399" s="403"/>
      <c r="AZ399" s="403"/>
      <c r="BA399" s="403"/>
      <c r="BB399" s="403"/>
      <c r="BC399" s="403"/>
      <c r="BD399" s="403"/>
      <c r="BE399" s="403"/>
      <c r="BF399" s="403"/>
      <c r="BG399" s="403"/>
      <c r="BH399" s="403"/>
      <c r="BI399" s="403"/>
      <c r="BJ399" s="403"/>
      <c r="BK399" s="403"/>
      <c r="BL399" s="403"/>
      <c r="BM399" s="403"/>
      <c r="BN399" s="403"/>
      <c r="BO399" s="403"/>
      <c r="BP399" s="403"/>
      <c r="BQ399" s="403"/>
      <c r="BR399" s="403"/>
      <c r="BS399" s="403"/>
      <c r="BT399" s="403"/>
      <c r="BU399" s="403"/>
      <c r="BV399" s="403"/>
      <c r="BW399" s="403"/>
      <c r="BX399" s="403"/>
      <c r="BY399" s="403"/>
      <c r="BZ399" s="403"/>
      <c r="CA399" s="403"/>
      <c r="CB399" s="403"/>
      <c r="CC399" s="403"/>
      <c r="CD399" s="403"/>
      <c r="CE399" s="403"/>
      <c r="CF399" s="403"/>
      <c r="CG399" s="403"/>
      <c r="CH399" s="403"/>
      <c r="CI399" s="403"/>
      <c r="CJ399" s="403"/>
      <c r="CK399" s="403"/>
      <c r="CL399" s="403"/>
      <c r="CM399" s="403"/>
      <c r="CN399" s="403"/>
      <c r="CO399" s="403"/>
      <c r="CP399" s="403"/>
      <c r="CQ399" s="403"/>
      <c r="CR399" s="403"/>
      <c r="CS399" s="564"/>
    </row>
    <row r="400" spans="3:97" s="15" customFormat="1" ht="12.75" x14ac:dyDescent="0.2">
      <c r="C400" s="622"/>
      <c r="L400" s="567"/>
      <c r="M400" s="403"/>
      <c r="N400" s="403"/>
      <c r="O400" s="403"/>
      <c r="P400" s="403"/>
      <c r="Q400" s="403"/>
      <c r="R400" s="403"/>
      <c r="S400" s="403"/>
      <c r="T400" s="403"/>
      <c r="U400" s="403"/>
      <c r="V400" s="403"/>
      <c r="W400" s="403"/>
      <c r="X400" s="403"/>
      <c r="Y400" s="403"/>
      <c r="Z400" s="403"/>
      <c r="AA400" s="403"/>
      <c r="AB400" s="403"/>
      <c r="AC400" s="403"/>
      <c r="AD400" s="403"/>
      <c r="AE400" s="403"/>
      <c r="AF400" s="403"/>
      <c r="AG400" s="403"/>
      <c r="AH400" s="403"/>
      <c r="AI400" s="403"/>
      <c r="AJ400" s="403"/>
      <c r="AK400" s="403"/>
      <c r="AL400" s="403"/>
      <c r="AM400" s="403"/>
      <c r="AN400" s="403"/>
      <c r="AO400" s="403"/>
      <c r="AP400" s="403"/>
      <c r="AQ400" s="403"/>
      <c r="AR400" s="403"/>
      <c r="AS400" s="403"/>
      <c r="AT400" s="403"/>
      <c r="AU400" s="403"/>
      <c r="AV400" s="403"/>
      <c r="AW400" s="403"/>
      <c r="AX400" s="403"/>
      <c r="AY400" s="403"/>
      <c r="AZ400" s="403"/>
      <c r="BA400" s="403"/>
      <c r="BB400" s="403"/>
      <c r="BC400" s="403"/>
      <c r="BD400" s="403"/>
      <c r="BE400" s="403"/>
      <c r="BF400" s="403"/>
      <c r="BG400" s="403"/>
      <c r="BH400" s="403"/>
      <c r="BI400" s="403"/>
      <c r="BJ400" s="403"/>
      <c r="BK400" s="403"/>
      <c r="BL400" s="403"/>
      <c r="BM400" s="403"/>
      <c r="BN400" s="403"/>
      <c r="BO400" s="403"/>
      <c r="BP400" s="403"/>
      <c r="BQ400" s="403"/>
      <c r="BR400" s="403"/>
      <c r="BS400" s="403"/>
      <c r="BT400" s="403"/>
      <c r="BU400" s="403"/>
      <c r="BV400" s="403"/>
      <c r="BW400" s="403"/>
      <c r="BX400" s="403"/>
      <c r="BY400" s="403"/>
      <c r="BZ400" s="403"/>
      <c r="CA400" s="403"/>
      <c r="CB400" s="403"/>
      <c r="CC400" s="403"/>
      <c r="CD400" s="403"/>
      <c r="CE400" s="403"/>
      <c r="CF400" s="403"/>
      <c r="CG400" s="403"/>
      <c r="CH400" s="403"/>
      <c r="CI400" s="403"/>
      <c r="CJ400" s="403"/>
      <c r="CK400" s="403"/>
      <c r="CL400" s="403"/>
      <c r="CM400" s="403"/>
      <c r="CN400" s="403"/>
      <c r="CO400" s="403"/>
      <c r="CP400" s="403"/>
      <c r="CQ400" s="403"/>
      <c r="CR400" s="403"/>
      <c r="CS400" s="564"/>
    </row>
    <row r="401" spans="3:97" s="15" customFormat="1" ht="12.75" x14ac:dyDescent="0.2">
      <c r="C401" s="622"/>
      <c r="L401" s="567"/>
      <c r="M401" s="403"/>
      <c r="N401" s="403"/>
      <c r="O401" s="403"/>
      <c r="P401" s="403"/>
      <c r="Q401" s="403"/>
      <c r="R401" s="403"/>
      <c r="S401" s="403"/>
      <c r="T401" s="403"/>
      <c r="U401" s="403"/>
      <c r="V401" s="403"/>
      <c r="W401" s="403"/>
      <c r="X401" s="403"/>
      <c r="Y401" s="403"/>
      <c r="Z401" s="403"/>
      <c r="AA401" s="403"/>
      <c r="AB401" s="403"/>
      <c r="AC401" s="403"/>
      <c r="AD401" s="403"/>
      <c r="AE401" s="403"/>
      <c r="AF401" s="403"/>
      <c r="AG401" s="403"/>
      <c r="AH401" s="403"/>
      <c r="AI401" s="403"/>
      <c r="AJ401" s="403"/>
      <c r="AK401" s="403"/>
      <c r="AL401" s="403"/>
      <c r="AM401" s="403"/>
      <c r="AN401" s="403"/>
      <c r="AO401" s="403"/>
      <c r="AP401" s="403"/>
      <c r="AQ401" s="403"/>
      <c r="AR401" s="403"/>
      <c r="AS401" s="403"/>
      <c r="AT401" s="403"/>
      <c r="AU401" s="403"/>
      <c r="AV401" s="403"/>
      <c r="AW401" s="403"/>
      <c r="AX401" s="403"/>
      <c r="AY401" s="403"/>
      <c r="AZ401" s="403"/>
      <c r="BA401" s="403"/>
      <c r="BB401" s="403"/>
      <c r="BC401" s="403"/>
      <c r="BD401" s="403"/>
      <c r="BE401" s="403"/>
      <c r="BF401" s="403"/>
      <c r="BG401" s="403"/>
      <c r="BH401" s="403"/>
      <c r="BI401" s="403"/>
      <c r="BJ401" s="403"/>
      <c r="BK401" s="403"/>
      <c r="BL401" s="403"/>
      <c r="BM401" s="403"/>
      <c r="BN401" s="403"/>
      <c r="BO401" s="403"/>
      <c r="BP401" s="403"/>
      <c r="BQ401" s="403"/>
      <c r="BR401" s="403"/>
      <c r="BS401" s="403"/>
      <c r="BT401" s="403"/>
      <c r="BU401" s="403"/>
      <c r="BV401" s="403"/>
      <c r="BW401" s="403"/>
      <c r="BX401" s="403"/>
      <c r="BY401" s="403"/>
      <c r="BZ401" s="403"/>
      <c r="CA401" s="403"/>
      <c r="CB401" s="403"/>
      <c r="CC401" s="403"/>
      <c r="CD401" s="403"/>
      <c r="CE401" s="403"/>
      <c r="CF401" s="403"/>
      <c r="CG401" s="403"/>
      <c r="CH401" s="403"/>
      <c r="CI401" s="403"/>
      <c r="CJ401" s="403"/>
      <c r="CK401" s="403"/>
      <c r="CL401" s="403"/>
      <c r="CM401" s="403"/>
      <c r="CN401" s="403"/>
      <c r="CO401" s="403"/>
      <c r="CP401" s="403"/>
      <c r="CQ401" s="403"/>
      <c r="CR401" s="403"/>
      <c r="CS401" s="564"/>
    </row>
    <row r="402" spans="3:97" s="15" customFormat="1" ht="12.75" x14ac:dyDescent="0.2">
      <c r="C402" s="622"/>
      <c r="L402" s="567"/>
      <c r="M402" s="403"/>
      <c r="N402" s="403"/>
      <c r="O402" s="403"/>
      <c r="P402" s="403"/>
      <c r="Q402" s="403"/>
      <c r="R402" s="403"/>
      <c r="S402" s="403"/>
      <c r="T402" s="403"/>
      <c r="U402" s="403"/>
      <c r="V402" s="403"/>
      <c r="W402" s="403"/>
      <c r="X402" s="403"/>
      <c r="Y402" s="403"/>
      <c r="Z402" s="403"/>
      <c r="AA402" s="403"/>
      <c r="AB402" s="403"/>
      <c r="AC402" s="403"/>
      <c r="AD402" s="403"/>
      <c r="AE402" s="403"/>
      <c r="AF402" s="403"/>
      <c r="AG402" s="403"/>
      <c r="AH402" s="403"/>
      <c r="AI402" s="403"/>
      <c r="AJ402" s="403"/>
      <c r="AK402" s="403"/>
      <c r="AL402" s="403"/>
      <c r="AM402" s="403"/>
      <c r="AN402" s="403"/>
      <c r="AO402" s="403"/>
      <c r="AP402" s="403"/>
      <c r="AQ402" s="403"/>
      <c r="AR402" s="403"/>
      <c r="AS402" s="403"/>
      <c r="AT402" s="403"/>
      <c r="AU402" s="403"/>
      <c r="AV402" s="403"/>
      <c r="AW402" s="403"/>
      <c r="AX402" s="403"/>
      <c r="AY402" s="403"/>
      <c r="AZ402" s="403"/>
      <c r="BA402" s="403"/>
      <c r="BB402" s="403"/>
      <c r="BC402" s="403"/>
      <c r="BD402" s="403"/>
      <c r="BE402" s="403"/>
      <c r="BF402" s="403"/>
      <c r="BG402" s="403"/>
      <c r="BH402" s="403"/>
      <c r="BI402" s="403"/>
      <c r="BJ402" s="403"/>
      <c r="BK402" s="403"/>
      <c r="BL402" s="403"/>
      <c r="BM402" s="403"/>
      <c r="BN402" s="403"/>
      <c r="BO402" s="403"/>
      <c r="BP402" s="403"/>
      <c r="BQ402" s="403"/>
      <c r="BR402" s="403"/>
      <c r="BS402" s="403"/>
      <c r="BT402" s="403"/>
      <c r="BU402" s="403"/>
      <c r="BV402" s="403"/>
      <c r="BW402" s="403"/>
      <c r="BX402" s="403"/>
      <c r="BY402" s="403"/>
      <c r="BZ402" s="403"/>
      <c r="CA402" s="403"/>
      <c r="CB402" s="403"/>
      <c r="CC402" s="403"/>
      <c r="CD402" s="403"/>
      <c r="CE402" s="403"/>
      <c r="CF402" s="403"/>
      <c r="CG402" s="403"/>
      <c r="CH402" s="403"/>
      <c r="CI402" s="403"/>
      <c r="CJ402" s="403"/>
      <c r="CK402" s="403"/>
      <c r="CL402" s="403"/>
      <c r="CM402" s="403"/>
      <c r="CN402" s="403"/>
      <c r="CO402" s="403"/>
      <c r="CP402" s="403"/>
      <c r="CQ402" s="403"/>
      <c r="CR402" s="403"/>
      <c r="CS402" s="564"/>
    </row>
    <row r="403" spans="3:97" s="15" customFormat="1" ht="12.75" x14ac:dyDescent="0.2">
      <c r="C403" s="622"/>
      <c r="L403" s="567"/>
      <c r="M403" s="403"/>
      <c r="N403" s="403"/>
      <c r="O403" s="403"/>
      <c r="P403" s="403"/>
      <c r="Q403" s="403"/>
      <c r="R403" s="403"/>
      <c r="S403" s="403"/>
      <c r="T403" s="403"/>
      <c r="U403" s="403"/>
      <c r="V403" s="403"/>
      <c r="W403" s="403"/>
      <c r="X403" s="403"/>
      <c r="Y403" s="403"/>
      <c r="Z403" s="403"/>
      <c r="AA403" s="403"/>
      <c r="AB403" s="403"/>
      <c r="AC403" s="403"/>
      <c r="AD403" s="403"/>
      <c r="AE403" s="403"/>
      <c r="AF403" s="403"/>
      <c r="AG403" s="403"/>
      <c r="AH403" s="403"/>
      <c r="AI403" s="403"/>
      <c r="AJ403" s="403"/>
      <c r="AK403" s="403"/>
      <c r="AL403" s="403"/>
      <c r="AM403" s="403"/>
      <c r="AN403" s="403"/>
      <c r="AO403" s="403"/>
      <c r="AP403" s="403"/>
      <c r="AQ403" s="403"/>
      <c r="AR403" s="403"/>
      <c r="AS403" s="403"/>
      <c r="AT403" s="403"/>
      <c r="AU403" s="403"/>
      <c r="AV403" s="403"/>
      <c r="AW403" s="403"/>
      <c r="AX403" s="403"/>
      <c r="AY403" s="403"/>
      <c r="AZ403" s="403"/>
      <c r="BA403" s="403"/>
      <c r="BB403" s="403"/>
      <c r="BC403" s="403"/>
      <c r="BD403" s="403"/>
      <c r="BE403" s="403"/>
      <c r="BF403" s="403"/>
      <c r="BG403" s="403"/>
      <c r="BH403" s="403"/>
      <c r="BI403" s="403"/>
      <c r="BJ403" s="403"/>
      <c r="BK403" s="403"/>
      <c r="BL403" s="403"/>
      <c r="BM403" s="403"/>
      <c r="BN403" s="403"/>
      <c r="BO403" s="403"/>
      <c r="BP403" s="403"/>
      <c r="BQ403" s="403"/>
      <c r="BR403" s="403"/>
      <c r="BS403" s="403"/>
      <c r="BT403" s="403"/>
      <c r="BU403" s="403"/>
      <c r="BV403" s="403"/>
      <c r="BW403" s="403"/>
      <c r="BX403" s="403"/>
      <c r="BY403" s="403"/>
      <c r="BZ403" s="403"/>
      <c r="CA403" s="403"/>
      <c r="CB403" s="403"/>
      <c r="CC403" s="403"/>
      <c r="CD403" s="403"/>
      <c r="CE403" s="403"/>
      <c r="CF403" s="403"/>
      <c r="CG403" s="403"/>
      <c r="CH403" s="403"/>
      <c r="CI403" s="403"/>
      <c r="CJ403" s="403"/>
      <c r="CK403" s="403"/>
      <c r="CL403" s="403"/>
      <c r="CM403" s="403"/>
      <c r="CN403" s="403"/>
      <c r="CO403" s="403"/>
      <c r="CP403" s="403"/>
      <c r="CQ403" s="403"/>
      <c r="CR403" s="403"/>
      <c r="CS403" s="564"/>
    </row>
    <row r="404" spans="3:97" s="15" customFormat="1" ht="12.75" x14ac:dyDescent="0.2">
      <c r="C404" s="622"/>
      <c r="L404" s="567"/>
      <c r="M404" s="403"/>
      <c r="N404" s="403"/>
      <c r="O404" s="403"/>
      <c r="P404" s="403"/>
      <c r="Q404" s="403"/>
      <c r="R404" s="403"/>
      <c r="S404" s="403"/>
      <c r="T404" s="403"/>
      <c r="U404" s="403"/>
      <c r="V404" s="403"/>
      <c r="W404" s="403"/>
      <c r="X404" s="403"/>
      <c r="Y404" s="403"/>
      <c r="Z404" s="403"/>
      <c r="AA404" s="403"/>
      <c r="AB404" s="403"/>
      <c r="AC404" s="403"/>
      <c r="AD404" s="403"/>
      <c r="AE404" s="403"/>
      <c r="AF404" s="403"/>
      <c r="AG404" s="403"/>
      <c r="AH404" s="403"/>
      <c r="AI404" s="403"/>
      <c r="AJ404" s="403"/>
      <c r="AK404" s="403"/>
      <c r="AL404" s="403"/>
      <c r="AM404" s="403"/>
      <c r="AN404" s="403"/>
      <c r="AO404" s="403"/>
      <c r="AP404" s="403"/>
      <c r="AQ404" s="403"/>
      <c r="AR404" s="403"/>
      <c r="AS404" s="403"/>
      <c r="AT404" s="403"/>
      <c r="AU404" s="403"/>
      <c r="AV404" s="403"/>
      <c r="AW404" s="403"/>
      <c r="AX404" s="403"/>
      <c r="AY404" s="403"/>
      <c r="AZ404" s="403"/>
      <c r="BA404" s="403"/>
      <c r="BB404" s="403"/>
      <c r="BC404" s="403"/>
      <c r="BD404" s="403"/>
      <c r="BE404" s="403"/>
      <c r="BF404" s="403"/>
      <c r="BG404" s="403"/>
      <c r="BH404" s="403"/>
      <c r="BI404" s="403"/>
      <c r="BJ404" s="403"/>
      <c r="BK404" s="403"/>
      <c r="BL404" s="403"/>
      <c r="BM404" s="403"/>
      <c r="BN404" s="403"/>
      <c r="BO404" s="403"/>
      <c r="BP404" s="403"/>
      <c r="BQ404" s="403"/>
      <c r="BR404" s="403"/>
      <c r="BS404" s="403"/>
      <c r="BT404" s="403"/>
      <c r="BU404" s="403"/>
      <c r="BV404" s="403"/>
      <c r="BW404" s="403"/>
      <c r="BX404" s="403"/>
      <c r="BY404" s="403"/>
      <c r="BZ404" s="403"/>
      <c r="CA404" s="403"/>
      <c r="CB404" s="403"/>
      <c r="CC404" s="403"/>
      <c r="CD404" s="403"/>
      <c r="CE404" s="403"/>
      <c r="CF404" s="403"/>
      <c r="CG404" s="403"/>
      <c r="CH404" s="403"/>
      <c r="CI404" s="403"/>
      <c r="CJ404" s="403"/>
      <c r="CK404" s="403"/>
      <c r="CL404" s="403"/>
      <c r="CM404" s="403"/>
      <c r="CN404" s="403"/>
      <c r="CO404" s="403"/>
      <c r="CP404" s="403"/>
      <c r="CQ404" s="403"/>
      <c r="CR404" s="403"/>
      <c r="CS404" s="564"/>
    </row>
    <row r="405" spans="3:97" s="15" customFormat="1" ht="12.75" x14ac:dyDescent="0.2">
      <c r="C405" s="622"/>
      <c r="L405" s="567"/>
      <c r="M405" s="403"/>
      <c r="N405" s="403"/>
      <c r="O405" s="403"/>
      <c r="P405" s="403"/>
      <c r="Q405" s="403"/>
      <c r="R405" s="403"/>
      <c r="S405" s="403"/>
      <c r="T405" s="403"/>
      <c r="U405" s="403"/>
      <c r="V405" s="403"/>
      <c r="W405" s="403"/>
      <c r="X405" s="403"/>
      <c r="Y405" s="403"/>
      <c r="Z405" s="403"/>
      <c r="AA405" s="403"/>
      <c r="AB405" s="403"/>
      <c r="AC405" s="403"/>
      <c r="AD405" s="403"/>
      <c r="AE405" s="403"/>
      <c r="AF405" s="403"/>
      <c r="AG405" s="403"/>
      <c r="AH405" s="403"/>
      <c r="AI405" s="403"/>
      <c r="AJ405" s="403"/>
      <c r="AK405" s="403"/>
      <c r="AL405" s="403"/>
      <c r="AM405" s="403"/>
      <c r="AN405" s="403"/>
      <c r="AO405" s="403"/>
      <c r="AP405" s="403"/>
      <c r="AQ405" s="403"/>
      <c r="AR405" s="403"/>
      <c r="AS405" s="403"/>
      <c r="AT405" s="403"/>
      <c r="AU405" s="403"/>
      <c r="AV405" s="403"/>
      <c r="AW405" s="403"/>
      <c r="AX405" s="403"/>
      <c r="AY405" s="403"/>
      <c r="AZ405" s="403"/>
      <c r="BA405" s="403"/>
      <c r="BB405" s="403"/>
      <c r="BC405" s="403"/>
      <c r="BD405" s="403"/>
      <c r="BE405" s="403"/>
      <c r="BF405" s="403"/>
      <c r="BG405" s="403"/>
      <c r="BH405" s="403"/>
      <c r="BI405" s="403"/>
      <c r="BJ405" s="403"/>
      <c r="BK405" s="403"/>
      <c r="BL405" s="403"/>
      <c r="BM405" s="403"/>
      <c r="BN405" s="403"/>
      <c r="BO405" s="403"/>
      <c r="BP405" s="403"/>
      <c r="BQ405" s="403"/>
      <c r="BR405" s="403"/>
      <c r="BS405" s="403"/>
      <c r="BT405" s="403"/>
      <c r="BU405" s="403"/>
      <c r="BV405" s="403"/>
      <c r="BW405" s="403"/>
      <c r="BX405" s="403"/>
      <c r="BY405" s="403"/>
      <c r="BZ405" s="403"/>
      <c r="CA405" s="403"/>
      <c r="CB405" s="403"/>
      <c r="CC405" s="403"/>
      <c r="CD405" s="403"/>
      <c r="CE405" s="403"/>
      <c r="CF405" s="403"/>
      <c r="CG405" s="403"/>
      <c r="CH405" s="403"/>
      <c r="CI405" s="403"/>
      <c r="CJ405" s="403"/>
      <c r="CK405" s="403"/>
      <c r="CL405" s="403"/>
      <c r="CM405" s="403"/>
      <c r="CN405" s="403"/>
      <c r="CO405" s="403"/>
      <c r="CP405" s="403"/>
      <c r="CQ405" s="403"/>
      <c r="CR405" s="403"/>
      <c r="CS405" s="564"/>
    </row>
    <row r="406" spans="3:97" s="15" customFormat="1" ht="12.75" x14ac:dyDescent="0.2">
      <c r="C406" s="622"/>
      <c r="L406" s="567"/>
      <c r="M406" s="403"/>
      <c r="N406" s="403"/>
      <c r="O406" s="403"/>
      <c r="P406" s="403"/>
      <c r="Q406" s="403"/>
      <c r="R406" s="403"/>
      <c r="S406" s="403"/>
      <c r="T406" s="403"/>
      <c r="U406" s="403"/>
      <c r="V406" s="403"/>
      <c r="W406" s="403"/>
      <c r="X406" s="403"/>
      <c r="Y406" s="403"/>
      <c r="Z406" s="403"/>
      <c r="AA406" s="403"/>
      <c r="AB406" s="403"/>
      <c r="AC406" s="403"/>
      <c r="AD406" s="403"/>
      <c r="AE406" s="403"/>
      <c r="AF406" s="403"/>
      <c r="AG406" s="403"/>
      <c r="AH406" s="403"/>
      <c r="AI406" s="403"/>
      <c r="AJ406" s="403"/>
      <c r="AK406" s="403"/>
      <c r="AL406" s="403"/>
      <c r="AM406" s="403"/>
      <c r="AN406" s="403"/>
      <c r="AO406" s="403"/>
      <c r="AP406" s="403"/>
      <c r="AQ406" s="403"/>
      <c r="AR406" s="403"/>
      <c r="AS406" s="403"/>
      <c r="AT406" s="403"/>
      <c r="AU406" s="403"/>
      <c r="AV406" s="403"/>
      <c r="AW406" s="403"/>
      <c r="AX406" s="403"/>
      <c r="AY406" s="403"/>
      <c r="AZ406" s="403"/>
      <c r="BA406" s="403"/>
      <c r="BB406" s="403"/>
      <c r="BC406" s="403"/>
      <c r="BD406" s="403"/>
      <c r="BE406" s="403"/>
      <c r="BF406" s="403"/>
      <c r="BG406" s="403"/>
      <c r="BH406" s="403"/>
      <c r="BI406" s="403"/>
      <c r="BJ406" s="403"/>
      <c r="BK406" s="403"/>
      <c r="BL406" s="403"/>
      <c r="BM406" s="403"/>
      <c r="BN406" s="403"/>
      <c r="BO406" s="403"/>
      <c r="BP406" s="403"/>
      <c r="BQ406" s="403"/>
      <c r="BR406" s="403"/>
      <c r="BS406" s="403"/>
      <c r="BT406" s="403"/>
      <c r="BU406" s="403"/>
      <c r="BV406" s="403"/>
      <c r="BW406" s="403"/>
      <c r="BX406" s="403"/>
      <c r="BY406" s="403"/>
      <c r="BZ406" s="403"/>
      <c r="CA406" s="403"/>
      <c r="CB406" s="403"/>
      <c r="CC406" s="403"/>
      <c r="CD406" s="403"/>
      <c r="CE406" s="403"/>
      <c r="CF406" s="403"/>
      <c r="CG406" s="403"/>
      <c r="CH406" s="403"/>
      <c r="CI406" s="403"/>
      <c r="CJ406" s="403"/>
      <c r="CK406" s="403"/>
      <c r="CL406" s="403"/>
      <c r="CM406" s="403"/>
      <c r="CN406" s="403"/>
      <c r="CO406" s="403"/>
      <c r="CP406" s="403"/>
      <c r="CQ406" s="403"/>
      <c r="CR406" s="403"/>
      <c r="CS406" s="564"/>
    </row>
    <row r="407" spans="3:97" s="15" customFormat="1" ht="12.75" x14ac:dyDescent="0.2">
      <c r="C407" s="622"/>
      <c r="L407" s="567"/>
      <c r="M407" s="403"/>
      <c r="N407" s="403"/>
      <c r="O407" s="403"/>
      <c r="P407" s="403"/>
      <c r="Q407" s="403"/>
      <c r="R407" s="403"/>
      <c r="S407" s="403"/>
      <c r="T407" s="403"/>
      <c r="U407" s="403"/>
      <c r="V407" s="403"/>
      <c r="W407" s="403"/>
      <c r="X407" s="403"/>
      <c r="Y407" s="403"/>
      <c r="Z407" s="403"/>
      <c r="AA407" s="403"/>
      <c r="AB407" s="403"/>
      <c r="AC407" s="403"/>
      <c r="AD407" s="403"/>
      <c r="AE407" s="403"/>
      <c r="AF407" s="403"/>
      <c r="AG407" s="403"/>
      <c r="AH407" s="403"/>
      <c r="AI407" s="403"/>
      <c r="AJ407" s="403"/>
      <c r="AK407" s="403"/>
      <c r="AL407" s="403"/>
      <c r="AM407" s="403"/>
      <c r="AN407" s="403"/>
      <c r="AO407" s="403"/>
      <c r="AP407" s="403"/>
      <c r="AQ407" s="403"/>
      <c r="AR407" s="403"/>
      <c r="AS407" s="403"/>
      <c r="AT407" s="403"/>
      <c r="AU407" s="403"/>
      <c r="AV407" s="403"/>
      <c r="AW407" s="403"/>
      <c r="AX407" s="403"/>
      <c r="AY407" s="403"/>
      <c r="AZ407" s="403"/>
      <c r="BA407" s="403"/>
      <c r="BB407" s="403"/>
      <c r="BC407" s="403"/>
      <c r="BD407" s="403"/>
      <c r="BE407" s="403"/>
      <c r="BF407" s="403"/>
      <c r="BG407" s="403"/>
      <c r="BH407" s="403"/>
      <c r="BI407" s="403"/>
      <c r="BJ407" s="403"/>
      <c r="BK407" s="403"/>
      <c r="BL407" s="403"/>
      <c r="BM407" s="403"/>
      <c r="BN407" s="403"/>
      <c r="BO407" s="403"/>
      <c r="BP407" s="403"/>
      <c r="BQ407" s="403"/>
      <c r="BR407" s="403"/>
      <c r="BS407" s="403"/>
      <c r="BT407" s="403"/>
      <c r="BU407" s="403"/>
      <c r="BV407" s="403"/>
      <c r="BW407" s="403"/>
      <c r="BX407" s="403"/>
      <c r="BY407" s="403"/>
      <c r="BZ407" s="403"/>
      <c r="CA407" s="403"/>
      <c r="CB407" s="403"/>
      <c r="CC407" s="403"/>
      <c r="CD407" s="403"/>
      <c r="CE407" s="403"/>
      <c r="CF407" s="403"/>
      <c r="CG407" s="403"/>
      <c r="CH407" s="403"/>
      <c r="CI407" s="403"/>
      <c r="CJ407" s="403"/>
      <c r="CK407" s="403"/>
      <c r="CL407" s="403"/>
      <c r="CM407" s="403"/>
      <c r="CN407" s="403"/>
      <c r="CO407" s="403"/>
      <c r="CP407" s="403"/>
      <c r="CQ407" s="403"/>
      <c r="CR407" s="403"/>
      <c r="CS407" s="564"/>
    </row>
    <row r="408" spans="3:97" s="15" customFormat="1" ht="12.75" x14ac:dyDescent="0.2">
      <c r="C408" s="622"/>
      <c r="L408" s="567"/>
      <c r="M408" s="403"/>
      <c r="N408" s="403"/>
      <c r="O408" s="403"/>
      <c r="P408" s="403"/>
      <c r="Q408" s="403"/>
      <c r="R408" s="403"/>
      <c r="S408" s="403"/>
      <c r="T408" s="403"/>
      <c r="U408" s="403"/>
      <c r="V408" s="403"/>
      <c r="W408" s="403"/>
      <c r="X408" s="403"/>
      <c r="Y408" s="403"/>
      <c r="Z408" s="403"/>
      <c r="AA408" s="403"/>
      <c r="AB408" s="403"/>
      <c r="AC408" s="403"/>
      <c r="AD408" s="403"/>
      <c r="AE408" s="403"/>
      <c r="AF408" s="403"/>
      <c r="AG408" s="403"/>
      <c r="AH408" s="403"/>
      <c r="AI408" s="403"/>
      <c r="AJ408" s="403"/>
      <c r="AK408" s="403"/>
      <c r="AL408" s="403"/>
      <c r="AM408" s="403"/>
      <c r="AN408" s="403"/>
      <c r="AO408" s="403"/>
      <c r="AP408" s="403"/>
      <c r="AQ408" s="403"/>
      <c r="AR408" s="403"/>
      <c r="AS408" s="403"/>
      <c r="AT408" s="403"/>
      <c r="AU408" s="403"/>
      <c r="AV408" s="403"/>
      <c r="AW408" s="403"/>
      <c r="AX408" s="403"/>
      <c r="AY408" s="403"/>
      <c r="AZ408" s="403"/>
      <c r="BA408" s="403"/>
      <c r="BB408" s="403"/>
      <c r="BC408" s="403"/>
      <c r="BD408" s="403"/>
      <c r="BE408" s="403"/>
      <c r="BF408" s="403"/>
      <c r="BG408" s="403"/>
      <c r="BH408" s="403"/>
      <c r="BI408" s="403"/>
      <c r="BJ408" s="403"/>
      <c r="BK408" s="403"/>
      <c r="BL408" s="403"/>
      <c r="BM408" s="403"/>
      <c r="BN408" s="403"/>
      <c r="BO408" s="403"/>
      <c r="BP408" s="403"/>
      <c r="BQ408" s="403"/>
      <c r="BR408" s="403"/>
      <c r="BS408" s="403"/>
      <c r="BT408" s="403"/>
      <c r="BU408" s="403"/>
      <c r="BV408" s="403"/>
      <c r="BW408" s="403"/>
      <c r="BX408" s="403"/>
      <c r="BY408" s="403"/>
      <c r="BZ408" s="403"/>
      <c r="CA408" s="403"/>
      <c r="CB408" s="403"/>
      <c r="CC408" s="403"/>
      <c r="CD408" s="403"/>
      <c r="CE408" s="403"/>
      <c r="CF408" s="403"/>
      <c r="CG408" s="403"/>
      <c r="CH408" s="403"/>
      <c r="CI408" s="403"/>
      <c r="CJ408" s="403"/>
      <c r="CK408" s="403"/>
      <c r="CL408" s="403"/>
      <c r="CM408" s="403"/>
      <c r="CN408" s="403"/>
      <c r="CO408" s="403"/>
      <c r="CP408" s="403"/>
      <c r="CQ408" s="403"/>
      <c r="CR408" s="403"/>
      <c r="CS408" s="564"/>
    </row>
    <row r="409" spans="3:97" s="15" customFormat="1" ht="12.75" x14ac:dyDescent="0.2">
      <c r="C409" s="622"/>
      <c r="L409" s="567"/>
      <c r="M409" s="403"/>
      <c r="N409" s="403"/>
      <c r="O409" s="403"/>
      <c r="P409" s="403"/>
      <c r="Q409" s="403"/>
      <c r="R409" s="403"/>
      <c r="S409" s="403"/>
      <c r="T409" s="403"/>
      <c r="U409" s="403"/>
      <c r="V409" s="403"/>
      <c r="W409" s="403"/>
      <c r="X409" s="403"/>
      <c r="Y409" s="403"/>
      <c r="Z409" s="403"/>
      <c r="AA409" s="403"/>
      <c r="AB409" s="403"/>
      <c r="AC409" s="403"/>
      <c r="AD409" s="403"/>
      <c r="AE409" s="403"/>
      <c r="AF409" s="403"/>
      <c r="AG409" s="403"/>
      <c r="AH409" s="403"/>
      <c r="AI409" s="403"/>
      <c r="AJ409" s="403"/>
      <c r="AK409" s="403"/>
      <c r="AL409" s="403"/>
      <c r="AM409" s="403"/>
      <c r="AN409" s="403"/>
      <c r="AO409" s="403"/>
      <c r="AP409" s="403"/>
      <c r="AQ409" s="403"/>
      <c r="AR409" s="403"/>
      <c r="AS409" s="403"/>
      <c r="AT409" s="403"/>
      <c r="AU409" s="403"/>
      <c r="AV409" s="403"/>
      <c r="AW409" s="403"/>
      <c r="AX409" s="403"/>
      <c r="AY409" s="403"/>
      <c r="AZ409" s="403"/>
      <c r="BA409" s="403"/>
      <c r="BB409" s="403"/>
      <c r="BC409" s="403"/>
      <c r="BD409" s="403"/>
      <c r="BE409" s="403"/>
      <c r="BF409" s="403"/>
      <c r="BG409" s="403"/>
      <c r="BH409" s="403"/>
      <c r="BI409" s="403"/>
      <c r="BJ409" s="403"/>
      <c r="BK409" s="403"/>
      <c r="BL409" s="403"/>
      <c r="BM409" s="403"/>
      <c r="BN409" s="403"/>
      <c r="BO409" s="403"/>
      <c r="BP409" s="403"/>
      <c r="BQ409" s="403"/>
      <c r="BR409" s="403"/>
      <c r="BS409" s="403"/>
      <c r="BT409" s="403"/>
      <c r="BU409" s="403"/>
      <c r="BV409" s="403"/>
      <c r="BW409" s="403"/>
      <c r="BX409" s="403"/>
      <c r="BY409" s="403"/>
      <c r="BZ409" s="403"/>
      <c r="CA409" s="403"/>
      <c r="CB409" s="403"/>
      <c r="CC409" s="403"/>
      <c r="CD409" s="403"/>
      <c r="CE409" s="403"/>
      <c r="CF409" s="403"/>
      <c r="CG409" s="403"/>
      <c r="CH409" s="403"/>
      <c r="CI409" s="403"/>
      <c r="CJ409" s="403"/>
      <c r="CK409" s="403"/>
      <c r="CL409" s="403"/>
      <c r="CM409" s="403"/>
      <c r="CN409" s="403"/>
      <c r="CO409" s="403"/>
      <c r="CP409" s="403"/>
      <c r="CQ409" s="403"/>
      <c r="CR409" s="403"/>
      <c r="CS409" s="564"/>
    </row>
    <row r="410" spans="3:97" s="15" customFormat="1" ht="12.75" x14ac:dyDescent="0.2">
      <c r="C410" s="622"/>
      <c r="L410" s="567"/>
      <c r="M410" s="403"/>
      <c r="N410" s="403"/>
      <c r="O410" s="403"/>
      <c r="P410" s="403"/>
      <c r="Q410" s="403"/>
      <c r="R410" s="403"/>
      <c r="S410" s="403"/>
      <c r="T410" s="403"/>
      <c r="U410" s="403"/>
      <c r="V410" s="403"/>
      <c r="W410" s="403"/>
      <c r="X410" s="403"/>
      <c r="Y410" s="403"/>
      <c r="Z410" s="403"/>
      <c r="AA410" s="403"/>
      <c r="AB410" s="403"/>
      <c r="AC410" s="403"/>
      <c r="AD410" s="403"/>
      <c r="AE410" s="403"/>
      <c r="AF410" s="403"/>
      <c r="AG410" s="403"/>
      <c r="AH410" s="403"/>
      <c r="AI410" s="403"/>
      <c r="AJ410" s="403"/>
      <c r="AK410" s="403"/>
      <c r="AL410" s="403"/>
      <c r="AM410" s="403"/>
      <c r="AN410" s="403"/>
      <c r="AO410" s="403"/>
      <c r="AP410" s="403"/>
      <c r="AQ410" s="403"/>
      <c r="AR410" s="403"/>
      <c r="AS410" s="403"/>
      <c r="AT410" s="403"/>
      <c r="AU410" s="403"/>
      <c r="AV410" s="403"/>
      <c r="AW410" s="403"/>
      <c r="AX410" s="403"/>
      <c r="AY410" s="403"/>
      <c r="AZ410" s="403"/>
      <c r="BA410" s="403"/>
      <c r="BB410" s="403"/>
      <c r="BC410" s="403"/>
      <c r="BD410" s="403"/>
      <c r="BE410" s="403"/>
      <c r="BF410" s="403"/>
      <c r="BG410" s="403"/>
      <c r="BH410" s="403"/>
      <c r="BI410" s="403"/>
      <c r="BJ410" s="403"/>
      <c r="BK410" s="403"/>
      <c r="BL410" s="403"/>
      <c r="BM410" s="403"/>
      <c r="BN410" s="403"/>
      <c r="BO410" s="403"/>
      <c r="BP410" s="403"/>
      <c r="BQ410" s="403"/>
      <c r="BR410" s="403"/>
      <c r="BS410" s="403"/>
      <c r="BT410" s="403"/>
      <c r="BU410" s="403"/>
      <c r="BV410" s="403"/>
      <c r="BW410" s="403"/>
      <c r="BX410" s="403"/>
      <c r="BY410" s="403"/>
      <c r="BZ410" s="403"/>
      <c r="CA410" s="403"/>
      <c r="CB410" s="403"/>
      <c r="CC410" s="403"/>
      <c r="CD410" s="403"/>
      <c r="CE410" s="403"/>
      <c r="CF410" s="403"/>
      <c r="CG410" s="403"/>
      <c r="CH410" s="403"/>
      <c r="CI410" s="403"/>
      <c r="CJ410" s="403"/>
      <c r="CK410" s="403"/>
      <c r="CL410" s="403"/>
      <c r="CM410" s="403"/>
      <c r="CN410" s="403"/>
      <c r="CO410" s="403"/>
      <c r="CP410" s="403"/>
      <c r="CQ410" s="403"/>
      <c r="CR410" s="403"/>
      <c r="CS410" s="564"/>
    </row>
    <row r="411" spans="3:97" s="15" customFormat="1" ht="12.75" x14ac:dyDescent="0.2">
      <c r="C411" s="622"/>
      <c r="L411" s="567"/>
      <c r="M411" s="403"/>
      <c r="N411" s="403"/>
      <c r="O411" s="403"/>
      <c r="P411" s="403"/>
      <c r="Q411" s="403"/>
      <c r="R411" s="403"/>
      <c r="S411" s="403"/>
      <c r="T411" s="403"/>
      <c r="U411" s="403"/>
      <c r="V411" s="403"/>
      <c r="W411" s="403"/>
      <c r="X411" s="403"/>
      <c r="Y411" s="403"/>
      <c r="Z411" s="403"/>
      <c r="AA411" s="403"/>
      <c r="AB411" s="403"/>
      <c r="AC411" s="403"/>
      <c r="AD411" s="403"/>
      <c r="AE411" s="403"/>
      <c r="AF411" s="403"/>
      <c r="AG411" s="403"/>
      <c r="AH411" s="403"/>
      <c r="AI411" s="403"/>
      <c r="AJ411" s="403"/>
      <c r="AK411" s="403"/>
      <c r="AL411" s="403"/>
      <c r="AM411" s="403"/>
      <c r="AN411" s="403"/>
      <c r="AO411" s="403"/>
      <c r="AP411" s="403"/>
      <c r="AQ411" s="403"/>
      <c r="AR411" s="403"/>
      <c r="AS411" s="403"/>
      <c r="AT411" s="403"/>
      <c r="AU411" s="403"/>
      <c r="AV411" s="403"/>
      <c r="AW411" s="403"/>
      <c r="AX411" s="403"/>
      <c r="AY411" s="403"/>
      <c r="AZ411" s="403"/>
      <c r="BA411" s="403"/>
      <c r="BB411" s="403"/>
      <c r="BC411" s="403"/>
      <c r="BD411" s="403"/>
      <c r="BE411" s="403"/>
      <c r="BF411" s="403"/>
      <c r="BG411" s="403"/>
      <c r="BH411" s="403"/>
      <c r="BI411" s="403"/>
      <c r="BJ411" s="403"/>
      <c r="BK411" s="403"/>
      <c r="BL411" s="403"/>
      <c r="BM411" s="403"/>
      <c r="BN411" s="403"/>
      <c r="BO411" s="403"/>
      <c r="BP411" s="403"/>
      <c r="BQ411" s="403"/>
      <c r="BR411" s="403"/>
      <c r="BS411" s="403"/>
      <c r="BT411" s="403"/>
      <c r="BU411" s="403"/>
      <c r="BV411" s="403"/>
      <c r="BW411" s="403"/>
      <c r="BX411" s="403"/>
      <c r="BY411" s="403"/>
      <c r="BZ411" s="403"/>
      <c r="CA411" s="403"/>
      <c r="CB411" s="403"/>
      <c r="CC411" s="403"/>
      <c r="CD411" s="403"/>
      <c r="CE411" s="403"/>
      <c r="CF411" s="403"/>
      <c r="CG411" s="403"/>
      <c r="CH411" s="403"/>
      <c r="CI411" s="403"/>
      <c r="CJ411" s="403"/>
      <c r="CK411" s="403"/>
      <c r="CL411" s="403"/>
      <c r="CM411" s="403"/>
      <c r="CN411" s="403"/>
      <c r="CO411" s="403"/>
      <c r="CP411" s="403"/>
      <c r="CQ411" s="403"/>
      <c r="CR411" s="403"/>
      <c r="CS411" s="564"/>
    </row>
    <row r="412" spans="3:97" s="15" customFormat="1" ht="12.75" x14ac:dyDescent="0.2">
      <c r="C412" s="622"/>
      <c r="L412" s="567"/>
      <c r="M412" s="403"/>
      <c r="N412" s="403"/>
      <c r="O412" s="403"/>
      <c r="P412" s="403"/>
      <c r="Q412" s="403"/>
      <c r="R412" s="403"/>
      <c r="S412" s="403"/>
      <c r="T412" s="403"/>
      <c r="U412" s="403"/>
      <c r="V412" s="403"/>
      <c r="W412" s="403"/>
      <c r="X412" s="403"/>
      <c r="Y412" s="403"/>
      <c r="Z412" s="403"/>
      <c r="AA412" s="403"/>
      <c r="AB412" s="403"/>
      <c r="AC412" s="403"/>
      <c r="AD412" s="403"/>
      <c r="AE412" s="403"/>
      <c r="AF412" s="403"/>
      <c r="AG412" s="403"/>
      <c r="AH412" s="403"/>
      <c r="AI412" s="403"/>
      <c r="AJ412" s="403"/>
      <c r="AK412" s="403"/>
      <c r="AL412" s="403"/>
      <c r="AM412" s="403"/>
      <c r="AN412" s="403"/>
      <c r="AO412" s="403"/>
      <c r="AP412" s="403"/>
      <c r="AQ412" s="403"/>
      <c r="AR412" s="403"/>
      <c r="AS412" s="403"/>
      <c r="AT412" s="403"/>
      <c r="AU412" s="403"/>
      <c r="AV412" s="403"/>
      <c r="AW412" s="403"/>
      <c r="AX412" s="403"/>
      <c r="AY412" s="403"/>
      <c r="AZ412" s="403"/>
      <c r="BA412" s="403"/>
      <c r="BB412" s="403"/>
      <c r="BC412" s="403"/>
      <c r="BD412" s="403"/>
      <c r="BE412" s="403"/>
      <c r="BF412" s="403"/>
      <c r="BG412" s="403"/>
      <c r="BH412" s="403"/>
      <c r="BI412" s="403"/>
      <c r="BJ412" s="403"/>
      <c r="BK412" s="403"/>
      <c r="BL412" s="403"/>
      <c r="BM412" s="403"/>
      <c r="BN412" s="403"/>
      <c r="BO412" s="403"/>
      <c r="BP412" s="403"/>
      <c r="BQ412" s="403"/>
      <c r="BR412" s="403"/>
      <c r="BS412" s="403"/>
      <c r="BT412" s="403"/>
      <c r="BU412" s="403"/>
      <c r="BV412" s="403"/>
      <c r="BW412" s="403"/>
      <c r="BX412" s="403"/>
      <c r="BY412" s="403"/>
      <c r="BZ412" s="403"/>
      <c r="CA412" s="403"/>
      <c r="CB412" s="403"/>
      <c r="CC412" s="403"/>
      <c r="CD412" s="403"/>
      <c r="CE412" s="403"/>
      <c r="CF412" s="403"/>
      <c r="CG412" s="403"/>
      <c r="CH412" s="403"/>
      <c r="CI412" s="403"/>
      <c r="CJ412" s="403"/>
      <c r="CK412" s="403"/>
      <c r="CL412" s="403"/>
      <c r="CM412" s="403"/>
      <c r="CN412" s="403"/>
      <c r="CO412" s="403"/>
      <c r="CP412" s="403"/>
      <c r="CQ412" s="403"/>
      <c r="CR412" s="403"/>
      <c r="CS412" s="564"/>
    </row>
    <row r="413" spans="3:97" s="15" customFormat="1" ht="12.75" x14ac:dyDescent="0.2">
      <c r="C413" s="622"/>
      <c r="L413" s="567"/>
      <c r="M413" s="403"/>
      <c r="N413" s="403"/>
      <c r="O413" s="403"/>
      <c r="P413" s="403"/>
      <c r="Q413" s="403"/>
      <c r="R413" s="403"/>
      <c r="S413" s="403"/>
      <c r="T413" s="403"/>
      <c r="U413" s="403"/>
      <c r="V413" s="403"/>
      <c r="W413" s="403"/>
      <c r="X413" s="403"/>
      <c r="Y413" s="403"/>
      <c r="Z413" s="403"/>
      <c r="AA413" s="403"/>
      <c r="AB413" s="403"/>
      <c r="AC413" s="403"/>
      <c r="AD413" s="403"/>
      <c r="AE413" s="403"/>
      <c r="AF413" s="403"/>
      <c r="AG413" s="403"/>
      <c r="AH413" s="403"/>
      <c r="AI413" s="403"/>
      <c r="AJ413" s="403"/>
      <c r="AK413" s="403"/>
      <c r="AL413" s="403"/>
      <c r="AM413" s="403"/>
      <c r="AN413" s="403"/>
      <c r="AO413" s="403"/>
      <c r="AP413" s="403"/>
      <c r="AQ413" s="403"/>
      <c r="AR413" s="403"/>
      <c r="AS413" s="403"/>
      <c r="AT413" s="403"/>
      <c r="AU413" s="403"/>
      <c r="AV413" s="403"/>
      <c r="AW413" s="403"/>
      <c r="AX413" s="403"/>
      <c r="AY413" s="403"/>
      <c r="AZ413" s="403"/>
      <c r="BA413" s="403"/>
      <c r="BB413" s="403"/>
      <c r="BC413" s="403"/>
      <c r="BD413" s="403"/>
      <c r="BE413" s="403"/>
      <c r="BF413" s="403"/>
      <c r="BG413" s="403"/>
      <c r="BH413" s="403"/>
      <c r="BI413" s="403"/>
      <c r="BJ413" s="403"/>
      <c r="BK413" s="403"/>
      <c r="BL413" s="403"/>
      <c r="BM413" s="403"/>
      <c r="BN413" s="403"/>
      <c r="BO413" s="403"/>
      <c r="BP413" s="403"/>
      <c r="BQ413" s="403"/>
      <c r="BR413" s="403"/>
      <c r="BS413" s="403"/>
      <c r="BT413" s="403"/>
      <c r="BU413" s="403"/>
      <c r="BV413" s="403"/>
      <c r="BW413" s="403"/>
      <c r="BX413" s="403"/>
      <c r="BY413" s="403"/>
      <c r="BZ413" s="403"/>
      <c r="CA413" s="403"/>
      <c r="CB413" s="403"/>
      <c r="CC413" s="403"/>
      <c r="CD413" s="403"/>
      <c r="CE413" s="403"/>
      <c r="CF413" s="403"/>
      <c r="CG413" s="403"/>
      <c r="CH413" s="403"/>
      <c r="CI413" s="403"/>
      <c r="CJ413" s="403"/>
      <c r="CK413" s="403"/>
      <c r="CL413" s="403"/>
      <c r="CM413" s="403"/>
      <c r="CN413" s="403"/>
      <c r="CO413" s="403"/>
      <c r="CP413" s="403"/>
      <c r="CQ413" s="403"/>
      <c r="CR413" s="403"/>
      <c r="CS413" s="564"/>
    </row>
    <row r="414" spans="3:97" s="15" customFormat="1" ht="12.75" x14ac:dyDescent="0.2">
      <c r="C414" s="622"/>
      <c r="L414" s="567"/>
      <c r="M414" s="403"/>
      <c r="N414" s="403"/>
      <c r="O414" s="403"/>
      <c r="P414" s="403"/>
      <c r="Q414" s="403"/>
      <c r="R414" s="403"/>
      <c r="S414" s="403"/>
      <c r="T414" s="403"/>
      <c r="U414" s="403"/>
      <c r="V414" s="403"/>
      <c r="W414" s="403"/>
      <c r="X414" s="403"/>
      <c r="Y414" s="403"/>
      <c r="Z414" s="403"/>
      <c r="AA414" s="403"/>
      <c r="AB414" s="403"/>
      <c r="AC414" s="403"/>
      <c r="AD414" s="403"/>
      <c r="AE414" s="403"/>
      <c r="AF414" s="403"/>
      <c r="AG414" s="403"/>
      <c r="AH414" s="403"/>
      <c r="AI414" s="403"/>
      <c r="AJ414" s="403"/>
      <c r="AK414" s="403"/>
      <c r="AL414" s="403"/>
      <c r="AM414" s="403"/>
      <c r="AN414" s="403"/>
      <c r="AO414" s="403"/>
      <c r="AP414" s="403"/>
      <c r="AQ414" s="403"/>
      <c r="AR414" s="403"/>
      <c r="AS414" s="403"/>
      <c r="AT414" s="403"/>
      <c r="AU414" s="403"/>
      <c r="AV414" s="403"/>
      <c r="AW414" s="403"/>
      <c r="AX414" s="403"/>
      <c r="AY414" s="403"/>
      <c r="AZ414" s="403"/>
      <c r="BA414" s="403"/>
      <c r="BB414" s="403"/>
      <c r="BC414" s="403"/>
      <c r="BD414" s="403"/>
      <c r="BE414" s="403"/>
      <c r="BF414" s="403"/>
      <c r="BG414" s="403"/>
      <c r="BH414" s="403"/>
      <c r="BI414" s="403"/>
      <c r="BJ414" s="403"/>
      <c r="BK414" s="403"/>
      <c r="BL414" s="403"/>
      <c r="BM414" s="403"/>
      <c r="BN414" s="403"/>
      <c r="BO414" s="403"/>
      <c r="BP414" s="403"/>
      <c r="BQ414" s="403"/>
      <c r="BR414" s="403"/>
      <c r="BS414" s="403"/>
      <c r="BT414" s="403"/>
      <c r="BU414" s="403"/>
      <c r="BV414" s="403"/>
      <c r="BW414" s="403"/>
      <c r="BX414" s="403"/>
      <c r="BY414" s="403"/>
      <c r="BZ414" s="403"/>
      <c r="CA414" s="403"/>
      <c r="CB414" s="403"/>
      <c r="CC414" s="403"/>
      <c r="CD414" s="403"/>
      <c r="CE414" s="403"/>
      <c r="CF414" s="403"/>
      <c r="CG414" s="403"/>
      <c r="CH414" s="403"/>
      <c r="CI414" s="403"/>
      <c r="CJ414" s="403"/>
      <c r="CK414" s="403"/>
      <c r="CL414" s="403"/>
      <c r="CM414" s="403"/>
      <c r="CN414" s="403"/>
      <c r="CO414" s="403"/>
      <c r="CP414" s="403"/>
      <c r="CQ414" s="403"/>
      <c r="CR414" s="403"/>
      <c r="CS414" s="564"/>
    </row>
    <row r="415" spans="3:97" s="15" customFormat="1" ht="12.75" x14ac:dyDescent="0.2">
      <c r="C415" s="622"/>
      <c r="L415" s="567"/>
      <c r="M415" s="403"/>
      <c r="N415" s="403"/>
      <c r="O415" s="403"/>
      <c r="P415" s="403"/>
      <c r="Q415" s="403"/>
      <c r="R415" s="403"/>
      <c r="S415" s="403"/>
      <c r="T415" s="403"/>
      <c r="U415" s="403"/>
      <c r="V415" s="403"/>
      <c r="W415" s="403"/>
      <c r="X415" s="403"/>
      <c r="Y415" s="403"/>
      <c r="Z415" s="403"/>
      <c r="AA415" s="403"/>
      <c r="AB415" s="403"/>
      <c r="AC415" s="403"/>
      <c r="AD415" s="403"/>
      <c r="AE415" s="403"/>
      <c r="AF415" s="403"/>
      <c r="AG415" s="403"/>
      <c r="AH415" s="403"/>
      <c r="AI415" s="403"/>
      <c r="AJ415" s="403"/>
      <c r="AK415" s="403"/>
      <c r="AL415" s="403"/>
      <c r="AM415" s="403"/>
      <c r="AN415" s="403"/>
      <c r="AO415" s="403"/>
      <c r="AP415" s="403"/>
      <c r="AQ415" s="403"/>
      <c r="AR415" s="403"/>
      <c r="AS415" s="403"/>
      <c r="AT415" s="403"/>
      <c r="AU415" s="403"/>
      <c r="AV415" s="403"/>
      <c r="AW415" s="403"/>
      <c r="AX415" s="403"/>
      <c r="AY415" s="403"/>
      <c r="AZ415" s="403"/>
      <c r="BA415" s="403"/>
      <c r="BB415" s="403"/>
      <c r="BC415" s="403"/>
      <c r="BD415" s="403"/>
      <c r="BE415" s="403"/>
      <c r="BF415" s="403"/>
      <c r="BG415" s="403"/>
      <c r="BH415" s="403"/>
      <c r="BI415" s="403"/>
      <c r="BJ415" s="403"/>
      <c r="BK415" s="403"/>
      <c r="BL415" s="403"/>
      <c r="BM415" s="403"/>
      <c r="BN415" s="403"/>
      <c r="BO415" s="403"/>
      <c r="BP415" s="403"/>
      <c r="BQ415" s="403"/>
      <c r="BR415" s="403"/>
      <c r="BS415" s="403"/>
      <c r="BT415" s="403"/>
      <c r="BU415" s="403"/>
      <c r="BV415" s="403"/>
      <c r="BW415" s="403"/>
      <c r="BX415" s="403"/>
      <c r="BY415" s="403"/>
      <c r="BZ415" s="403"/>
      <c r="CA415" s="403"/>
      <c r="CB415" s="403"/>
      <c r="CC415" s="403"/>
      <c r="CD415" s="403"/>
      <c r="CE415" s="403"/>
      <c r="CF415" s="403"/>
      <c r="CG415" s="403"/>
      <c r="CH415" s="403"/>
      <c r="CI415" s="403"/>
      <c r="CJ415" s="403"/>
      <c r="CK415" s="403"/>
      <c r="CL415" s="403"/>
      <c r="CM415" s="403"/>
      <c r="CN415" s="403"/>
      <c r="CO415" s="403"/>
      <c r="CP415" s="403"/>
      <c r="CQ415" s="403"/>
      <c r="CR415" s="403"/>
      <c r="CS415" s="564"/>
    </row>
    <row r="416" spans="3:97" s="15" customFormat="1" ht="12.75" x14ac:dyDescent="0.2">
      <c r="C416" s="622"/>
      <c r="L416" s="567"/>
      <c r="M416" s="403"/>
      <c r="N416" s="403"/>
      <c r="O416" s="403"/>
      <c r="P416" s="403"/>
      <c r="Q416" s="403"/>
      <c r="R416" s="403"/>
      <c r="S416" s="403"/>
      <c r="T416" s="403"/>
      <c r="U416" s="403"/>
      <c r="V416" s="403"/>
      <c r="W416" s="403"/>
      <c r="X416" s="403"/>
      <c r="Y416" s="403"/>
      <c r="Z416" s="403"/>
      <c r="AA416" s="403"/>
      <c r="AB416" s="403"/>
      <c r="AC416" s="403"/>
      <c r="AD416" s="403"/>
      <c r="AE416" s="403"/>
      <c r="AF416" s="403"/>
      <c r="AG416" s="403"/>
      <c r="AH416" s="403"/>
      <c r="AI416" s="403"/>
      <c r="AJ416" s="403"/>
      <c r="AK416" s="403"/>
      <c r="AL416" s="403"/>
      <c r="AM416" s="403"/>
      <c r="AN416" s="403"/>
      <c r="AO416" s="403"/>
      <c r="AP416" s="403"/>
      <c r="AQ416" s="403"/>
      <c r="AR416" s="403"/>
      <c r="AS416" s="403"/>
      <c r="AT416" s="403"/>
      <c r="AU416" s="403"/>
      <c r="AV416" s="403"/>
      <c r="AW416" s="403"/>
      <c r="AX416" s="403"/>
      <c r="AY416" s="403"/>
      <c r="AZ416" s="403"/>
      <c r="BA416" s="403"/>
      <c r="BB416" s="403"/>
      <c r="BC416" s="403"/>
      <c r="BD416" s="403"/>
      <c r="BE416" s="403"/>
      <c r="BF416" s="403"/>
      <c r="BG416" s="403"/>
      <c r="BH416" s="403"/>
      <c r="BI416" s="403"/>
      <c r="BJ416" s="403"/>
      <c r="BK416" s="403"/>
      <c r="BL416" s="403"/>
      <c r="BM416" s="403"/>
      <c r="BN416" s="403"/>
      <c r="BO416" s="403"/>
      <c r="BP416" s="403"/>
      <c r="BQ416" s="403"/>
      <c r="BR416" s="403"/>
      <c r="BS416" s="403"/>
      <c r="BT416" s="403"/>
      <c r="BU416" s="403"/>
      <c r="BV416" s="403"/>
      <c r="BW416" s="403"/>
      <c r="BX416" s="403"/>
      <c r="BY416" s="403"/>
      <c r="BZ416" s="403"/>
      <c r="CA416" s="403"/>
      <c r="CB416" s="403"/>
      <c r="CC416" s="403"/>
      <c r="CD416" s="403"/>
      <c r="CE416" s="403"/>
      <c r="CF416" s="403"/>
      <c r="CG416" s="403"/>
      <c r="CH416" s="403"/>
      <c r="CI416" s="403"/>
      <c r="CJ416" s="403"/>
      <c r="CK416" s="403"/>
      <c r="CL416" s="403"/>
      <c r="CM416" s="403"/>
      <c r="CN416" s="403"/>
      <c r="CO416" s="403"/>
      <c r="CP416" s="403"/>
      <c r="CQ416" s="403"/>
      <c r="CR416" s="403"/>
      <c r="CS416" s="564"/>
    </row>
    <row r="417" spans="3:97" s="15" customFormat="1" ht="12.75" x14ac:dyDescent="0.2">
      <c r="C417" s="622"/>
      <c r="L417" s="567"/>
      <c r="M417" s="403"/>
      <c r="N417" s="403"/>
      <c r="O417" s="403"/>
      <c r="P417" s="403"/>
      <c r="Q417" s="403"/>
      <c r="R417" s="403"/>
      <c r="S417" s="403"/>
      <c r="T417" s="403"/>
      <c r="U417" s="403"/>
      <c r="V417" s="403"/>
      <c r="W417" s="403"/>
      <c r="X417" s="403"/>
      <c r="Y417" s="403"/>
      <c r="Z417" s="403"/>
      <c r="AA417" s="403"/>
      <c r="AB417" s="403"/>
      <c r="AC417" s="403"/>
      <c r="AD417" s="403"/>
      <c r="AE417" s="403"/>
      <c r="AF417" s="403"/>
      <c r="AG417" s="403"/>
      <c r="AH417" s="403"/>
      <c r="AI417" s="403"/>
      <c r="AJ417" s="403"/>
      <c r="AK417" s="403"/>
      <c r="AL417" s="403"/>
      <c r="AM417" s="403"/>
      <c r="AN417" s="403"/>
      <c r="AO417" s="403"/>
      <c r="AP417" s="403"/>
      <c r="AQ417" s="403"/>
      <c r="AR417" s="403"/>
      <c r="AS417" s="403"/>
      <c r="AT417" s="403"/>
      <c r="AU417" s="403"/>
      <c r="AV417" s="403"/>
      <c r="AW417" s="403"/>
      <c r="AX417" s="403"/>
      <c r="AY417" s="403"/>
      <c r="AZ417" s="403"/>
      <c r="BA417" s="403"/>
      <c r="BB417" s="403"/>
      <c r="BC417" s="403"/>
      <c r="BD417" s="403"/>
      <c r="BE417" s="403"/>
      <c r="BF417" s="403"/>
      <c r="BG417" s="403"/>
      <c r="BH417" s="403"/>
      <c r="BI417" s="403"/>
      <c r="BJ417" s="403"/>
      <c r="BK417" s="403"/>
      <c r="BL417" s="403"/>
      <c r="BM417" s="403"/>
      <c r="BN417" s="403"/>
      <c r="BO417" s="403"/>
      <c r="BP417" s="403"/>
      <c r="BQ417" s="403"/>
      <c r="BR417" s="403"/>
      <c r="BS417" s="403"/>
      <c r="BT417" s="403"/>
      <c r="BU417" s="403"/>
      <c r="BV417" s="403"/>
      <c r="BW417" s="403"/>
      <c r="BX417" s="403"/>
      <c r="BY417" s="403"/>
      <c r="BZ417" s="403"/>
      <c r="CA417" s="403"/>
      <c r="CB417" s="403"/>
      <c r="CC417" s="403"/>
      <c r="CD417" s="403"/>
      <c r="CE417" s="403"/>
      <c r="CF417" s="403"/>
      <c r="CG417" s="403"/>
      <c r="CH417" s="403"/>
      <c r="CI417" s="403"/>
      <c r="CJ417" s="403"/>
      <c r="CK417" s="403"/>
      <c r="CL417" s="403"/>
      <c r="CM417" s="403"/>
      <c r="CN417" s="403"/>
      <c r="CO417" s="403"/>
      <c r="CP417" s="403"/>
      <c r="CQ417" s="403"/>
      <c r="CR417" s="403"/>
      <c r="CS417" s="564"/>
    </row>
    <row r="418" spans="3:97" s="15" customFormat="1" ht="12.75" x14ac:dyDescent="0.2">
      <c r="C418" s="622"/>
      <c r="L418" s="567"/>
      <c r="M418" s="403"/>
      <c r="N418" s="403"/>
      <c r="O418" s="403"/>
      <c r="P418" s="403"/>
      <c r="Q418" s="403"/>
      <c r="R418" s="403"/>
      <c r="S418" s="403"/>
      <c r="T418" s="403"/>
      <c r="U418" s="403"/>
      <c r="V418" s="403"/>
      <c r="W418" s="403"/>
      <c r="X418" s="403"/>
      <c r="Y418" s="403"/>
      <c r="Z418" s="403"/>
      <c r="AA418" s="403"/>
      <c r="AB418" s="403"/>
      <c r="AC418" s="403"/>
      <c r="AD418" s="403"/>
      <c r="AE418" s="403"/>
      <c r="AF418" s="403"/>
      <c r="AG418" s="403"/>
      <c r="AH418" s="403"/>
      <c r="AI418" s="403"/>
      <c r="AJ418" s="403"/>
      <c r="AK418" s="403"/>
      <c r="AL418" s="403"/>
      <c r="AM418" s="403"/>
      <c r="AN418" s="403"/>
      <c r="AO418" s="403"/>
      <c r="AP418" s="403"/>
      <c r="AQ418" s="403"/>
      <c r="AR418" s="403"/>
      <c r="AS418" s="403"/>
      <c r="AT418" s="403"/>
      <c r="AU418" s="403"/>
      <c r="AV418" s="403"/>
      <c r="AW418" s="403"/>
      <c r="AX418" s="403"/>
      <c r="AY418" s="403"/>
      <c r="AZ418" s="403"/>
      <c r="BA418" s="403"/>
      <c r="BB418" s="403"/>
      <c r="BC418" s="403"/>
      <c r="BD418" s="403"/>
      <c r="BE418" s="403"/>
      <c r="BF418" s="403"/>
      <c r="BG418" s="403"/>
      <c r="BH418" s="403"/>
      <c r="BI418" s="403"/>
      <c r="BJ418" s="403"/>
      <c r="BK418" s="403"/>
      <c r="BL418" s="403"/>
      <c r="BM418" s="403"/>
      <c r="BN418" s="403"/>
      <c r="BO418" s="403"/>
      <c r="BP418" s="403"/>
      <c r="BQ418" s="403"/>
      <c r="BR418" s="403"/>
      <c r="BS418" s="403"/>
      <c r="BT418" s="403"/>
      <c r="BU418" s="403"/>
      <c r="BV418" s="403"/>
      <c r="BW418" s="403"/>
      <c r="BX418" s="403"/>
      <c r="BY418" s="403"/>
      <c r="BZ418" s="403"/>
      <c r="CA418" s="403"/>
      <c r="CB418" s="403"/>
      <c r="CC418" s="403"/>
      <c r="CD418" s="403"/>
      <c r="CE418" s="403"/>
      <c r="CF418" s="403"/>
      <c r="CG418" s="403"/>
      <c r="CH418" s="403"/>
      <c r="CI418" s="403"/>
      <c r="CJ418" s="403"/>
      <c r="CK418" s="403"/>
      <c r="CL418" s="403"/>
      <c r="CM418" s="403"/>
      <c r="CN418" s="403"/>
      <c r="CO418" s="403"/>
      <c r="CP418" s="403"/>
      <c r="CQ418" s="403"/>
      <c r="CR418" s="403"/>
      <c r="CS418" s="564"/>
    </row>
    <row r="419" spans="3:97" s="15" customFormat="1" ht="12.75" x14ac:dyDescent="0.2">
      <c r="C419" s="622"/>
      <c r="L419" s="567"/>
      <c r="M419" s="403"/>
      <c r="N419" s="403"/>
      <c r="O419" s="403"/>
      <c r="P419" s="403"/>
      <c r="Q419" s="403"/>
      <c r="R419" s="403"/>
      <c r="S419" s="403"/>
      <c r="T419" s="403"/>
      <c r="U419" s="403"/>
      <c r="V419" s="403"/>
      <c r="W419" s="403"/>
      <c r="X419" s="403"/>
      <c r="Y419" s="403"/>
      <c r="Z419" s="403"/>
      <c r="AA419" s="403"/>
      <c r="AB419" s="403"/>
      <c r="AC419" s="403"/>
      <c r="AD419" s="403"/>
      <c r="AE419" s="403"/>
      <c r="AF419" s="403"/>
      <c r="AG419" s="403"/>
      <c r="AH419" s="403"/>
      <c r="AI419" s="403"/>
      <c r="AJ419" s="403"/>
      <c r="AK419" s="403"/>
      <c r="AL419" s="403"/>
      <c r="AM419" s="403"/>
      <c r="AN419" s="403"/>
      <c r="AO419" s="403"/>
      <c r="AP419" s="403"/>
      <c r="AQ419" s="403"/>
      <c r="AR419" s="403"/>
      <c r="AS419" s="403"/>
      <c r="AT419" s="403"/>
      <c r="AU419" s="403"/>
      <c r="AV419" s="403"/>
      <c r="AW419" s="403"/>
      <c r="AX419" s="403"/>
      <c r="AY419" s="403"/>
      <c r="AZ419" s="403"/>
      <c r="BA419" s="403"/>
      <c r="BB419" s="403"/>
      <c r="BC419" s="403"/>
      <c r="BD419" s="403"/>
      <c r="BE419" s="403"/>
      <c r="BF419" s="403"/>
      <c r="BG419" s="403"/>
      <c r="BH419" s="403"/>
      <c r="BI419" s="403"/>
      <c r="BJ419" s="403"/>
      <c r="BK419" s="403"/>
      <c r="BL419" s="403"/>
      <c r="BM419" s="403"/>
      <c r="BN419" s="403"/>
      <c r="BO419" s="403"/>
      <c r="BP419" s="403"/>
      <c r="BQ419" s="403"/>
      <c r="BR419" s="403"/>
      <c r="BS419" s="403"/>
      <c r="BT419" s="403"/>
      <c r="BU419" s="403"/>
      <c r="BV419" s="403"/>
      <c r="BW419" s="403"/>
      <c r="BX419" s="403"/>
      <c r="BY419" s="403"/>
      <c r="BZ419" s="403"/>
      <c r="CA419" s="403"/>
      <c r="CB419" s="403"/>
      <c r="CC419" s="403"/>
      <c r="CD419" s="403"/>
      <c r="CE419" s="403"/>
      <c r="CF419" s="403"/>
      <c r="CG419" s="403"/>
      <c r="CH419" s="403"/>
      <c r="CI419" s="403"/>
      <c r="CJ419" s="403"/>
      <c r="CK419" s="403"/>
      <c r="CL419" s="403"/>
      <c r="CM419" s="403"/>
      <c r="CN419" s="403"/>
      <c r="CO419" s="403"/>
      <c r="CP419" s="403"/>
      <c r="CQ419" s="403"/>
      <c r="CR419" s="403"/>
      <c r="CS419" s="564"/>
    </row>
    <row r="420" spans="3:97" s="15" customFormat="1" ht="12.75" x14ac:dyDescent="0.2">
      <c r="C420" s="622"/>
      <c r="L420" s="567"/>
      <c r="M420" s="403"/>
      <c r="N420" s="403"/>
      <c r="O420" s="403"/>
      <c r="P420" s="403"/>
      <c r="Q420" s="403"/>
      <c r="R420" s="403"/>
      <c r="S420" s="403"/>
      <c r="T420" s="403"/>
      <c r="U420" s="403"/>
      <c r="V420" s="403"/>
      <c r="W420" s="403"/>
      <c r="X420" s="403"/>
      <c r="Y420" s="403"/>
      <c r="Z420" s="403"/>
      <c r="AA420" s="403"/>
      <c r="AB420" s="403"/>
      <c r="AC420" s="403"/>
      <c r="AD420" s="403"/>
      <c r="AE420" s="403"/>
      <c r="AF420" s="403"/>
      <c r="AG420" s="403"/>
      <c r="AH420" s="403"/>
      <c r="AI420" s="403"/>
      <c r="AJ420" s="403"/>
      <c r="AK420" s="403"/>
      <c r="AL420" s="403"/>
      <c r="AM420" s="403"/>
      <c r="AN420" s="403"/>
      <c r="AO420" s="403"/>
      <c r="AP420" s="403"/>
      <c r="AQ420" s="403"/>
      <c r="AR420" s="403"/>
      <c r="AS420" s="403"/>
      <c r="AT420" s="403"/>
      <c r="AU420" s="403"/>
      <c r="AV420" s="403"/>
      <c r="AW420" s="403"/>
      <c r="AX420" s="403"/>
      <c r="AY420" s="403"/>
      <c r="AZ420" s="403"/>
      <c r="BA420" s="403"/>
      <c r="BB420" s="403"/>
      <c r="BC420" s="403"/>
      <c r="BD420" s="403"/>
      <c r="BE420" s="403"/>
      <c r="BF420" s="403"/>
      <c r="BG420" s="403"/>
      <c r="BH420" s="403"/>
      <c r="BI420" s="403"/>
      <c r="BJ420" s="403"/>
      <c r="BK420" s="403"/>
      <c r="BL420" s="403"/>
      <c r="BM420" s="403"/>
      <c r="BN420" s="403"/>
      <c r="BO420" s="403"/>
      <c r="BP420" s="403"/>
      <c r="BQ420" s="403"/>
      <c r="BR420" s="403"/>
      <c r="BS420" s="403"/>
      <c r="BT420" s="403"/>
      <c r="BU420" s="403"/>
      <c r="BV420" s="403"/>
      <c r="BW420" s="403"/>
      <c r="BX420" s="403"/>
      <c r="BY420" s="403"/>
      <c r="BZ420" s="403"/>
      <c r="CA420" s="403"/>
      <c r="CB420" s="403"/>
      <c r="CC420" s="403"/>
      <c r="CD420" s="403"/>
      <c r="CE420" s="403"/>
      <c r="CF420" s="403"/>
      <c r="CG420" s="403"/>
      <c r="CH420" s="403"/>
      <c r="CI420" s="403"/>
      <c r="CJ420" s="403"/>
      <c r="CK420" s="403"/>
      <c r="CL420" s="403"/>
      <c r="CM420" s="403"/>
      <c r="CN420" s="403"/>
      <c r="CO420" s="403"/>
      <c r="CP420" s="403"/>
      <c r="CQ420" s="403"/>
      <c r="CR420" s="403"/>
      <c r="CS420" s="564"/>
    </row>
    <row r="421" spans="3:97" s="15" customFormat="1" ht="12.75" x14ac:dyDescent="0.2">
      <c r="C421" s="622"/>
      <c r="L421" s="567"/>
      <c r="M421" s="403"/>
      <c r="N421" s="403"/>
      <c r="O421" s="403"/>
      <c r="P421" s="403"/>
      <c r="Q421" s="403"/>
      <c r="R421" s="403"/>
      <c r="S421" s="403"/>
      <c r="T421" s="403"/>
      <c r="U421" s="403"/>
      <c r="V421" s="403"/>
      <c r="W421" s="403"/>
      <c r="X421" s="403"/>
      <c r="Y421" s="403"/>
      <c r="Z421" s="403"/>
      <c r="AA421" s="403"/>
      <c r="AB421" s="403"/>
      <c r="AC421" s="403"/>
      <c r="AD421" s="403"/>
      <c r="AE421" s="403"/>
      <c r="AF421" s="403"/>
      <c r="AG421" s="403"/>
      <c r="AH421" s="403"/>
      <c r="AI421" s="403"/>
      <c r="AJ421" s="403"/>
      <c r="AK421" s="403"/>
      <c r="AL421" s="403"/>
      <c r="AM421" s="403"/>
      <c r="AN421" s="403"/>
      <c r="AO421" s="403"/>
      <c r="AP421" s="403"/>
      <c r="AQ421" s="403"/>
      <c r="AR421" s="403"/>
      <c r="AS421" s="403"/>
      <c r="AT421" s="403"/>
      <c r="AU421" s="403"/>
      <c r="AV421" s="403"/>
      <c r="AW421" s="403"/>
      <c r="AX421" s="403"/>
      <c r="AY421" s="403"/>
      <c r="AZ421" s="403"/>
      <c r="BA421" s="403"/>
      <c r="BB421" s="403"/>
      <c r="BC421" s="403"/>
      <c r="BD421" s="403"/>
      <c r="BE421" s="403"/>
      <c r="BF421" s="403"/>
      <c r="BG421" s="403"/>
      <c r="BH421" s="403"/>
      <c r="BI421" s="403"/>
      <c r="BJ421" s="403"/>
      <c r="BK421" s="403"/>
      <c r="BL421" s="403"/>
      <c r="BM421" s="403"/>
      <c r="BN421" s="403"/>
      <c r="BO421" s="403"/>
      <c r="BP421" s="403"/>
      <c r="BQ421" s="403"/>
      <c r="BR421" s="403"/>
      <c r="BS421" s="403"/>
      <c r="BT421" s="403"/>
      <c r="BU421" s="403"/>
      <c r="BV421" s="403"/>
      <c r="BW421" s="403"/>
      <c r="BX421" s="403"/>
      <c r="BY421" s="403"/>
      <c r="BZ421" s="403"/>
      <c r="CA421" s="403"/>
      <c r="CB421" s="403"/>
      <c r="CC421" s="403"/>
      <c r="CD421" s="403"/>
      <c r="CE421" s="403"/>
      <c r="CF421" s="403"/>
      <c r="CG421" s="403"/>
      <c r="CH421" s="403"/>
      <c r="CI421" s="403"/>
      <c r="CJ421" s="403"/>
      <c r="CK421" s="403"/>
      <c r="CL421" s="403"/>
      <c r="CM421" s="403"/>
      <c r="CN421" s="403"/>
      <c r="CO421" s="403"/>
      <c r="CP421" s="403"/>
      <c r="CQ421" s="403"/>
      <c r="CR421" s="403"/>
      <c r="CS421" s="564"/>
    </row>
    <row r="422" spans="3:97" s="15" customFormat="1" ht="12.75" x14ac:dyDescent="0.2">
      <c r="C422" s="622"/>
      <c r="L422" s="567"/>
      <c r="M422" s="403"/>
      <c r="N422" s="403"/>
      <c r="O422" s="403"/>
      <c r="P422" s="403"/>
      <c r="Q422" s="403"/>
      <c r="R422" s="403"/>
      <c r="S422" s="403"/>
      <c r="T422" s="403"/>
      <c r="U422" s="403"/>
      <c r="V422" s="403"/>
      <c r="W422" s="403"/>
      <c r="X422" s="403"/>
      <c r="Y422" s="403"/>
      <c r="Z422" s="403"/>
      <c r="AA422" s="403"/>
      <c r="AB422" s="403"/>
      <c r="AC422" s="403"/>
      <c r="AD422" s="403"/>
      <c r="AE422" s="403"/>
      <c r="AF422" s="403"/>
      <c r="AG422" s="403"/>
      <c r="AH422" s="403"/>
      <c r="AI422" s="403"/>
      <c r="AJ422" s="403"/>
      <c r="AK422" s="403"/>
      <c r="AL422" s="403"/>
      <c r="AM422" s="403"/>
      <c r="AN422" s="403"/>
      <c r="AO422" s="403"/>
      <c r="AP422" s="403"/>
      <c r="AQ422" s="403"/>
      <c r="AR422" s="403"/>
      <c r="AS422" s="403"/>
      <c r="AT422" s="403"/>
      <c r="AU422" s="403"/>
      <c r="AV422" s="403"/>
      <c r="AW422" s="403"/>
      <c r="AX422" s="403"/>
      <c r="AY422" s="403"/>
      <c r="AZ422" s="403"/>
      <c r="BA422" s="403"/>
      <c r="BB422" s="403"/>
      <c r="BC422" s="403"/>
      <c r="BD422" s="403"/>
      <c r="BE422" s="403"/>
      <c r="BF422" s="403"/>
      <c r="BG422" s="403"/>
      <c r="BH422" s="403"/>
      <c r="BI422" s="403"/>
      <c r="BJ422" s="403"/>
      <c r="BK422" s="403"/>
      <c r="BL422" s="403"/>
      <c r="BM422" s="403"/>
      <c r="BN422" s="403"/>
      <c r="BO422" s="403"/>
      <c r="BP422" s="403"/>
      <c r="BQ422" s="403"/>
      <c r="BR422" s="403"/>
      <c r="BS422" s="403"/>
      <c r="BT422" s="403"/>
      <c r="BU422" s="403"/>
      <c r="BV422" s="403"/>
      <c r="BW422" s="403"/>
      <c r="BX422" s="403"/>
      <c r="BY422" s="403"/>
      <c r="BZ422" s="403"/>
      <c r="CA422" s="403"/>
      <c r="CB422" s="403"/>
      <c r="CC422" s="403"/>
      <c r="CD422" s="403"/>
      <c r="CE422" s="403"/>
      <c r="CF422" s="403"/>
      <c r="CG422" s="403"/>
      <c r="CH422" s="403"/>
      <c r="CI422" s="403"/>
      <c r="CJ422" s="403"/>
      <c r="CK422" s="403"/>
      <c r="CL422" s="403"/>
      <c r="CM422" s="403"/>
      <c r="CN422" s="403"/>
      <c r="CO422" s="403"/>
      <c r="CP422" s="403"/>
      <c r="CQ422" s="403"/>
      <c r="CR422" s="403"/>
      <c r="CS422" s="564"/>
    </row>
    <row r="423" spans="3:97" x14ac:dyDescent="0.2">
      <c r="E423" s="35"/>
    </row>
    <row r="424" spans="3:97" x14ac:dyDescent="0.2">
      <c r="E424" s="35"/>
    </row>
    <row r="425" spans="3:97" x14ac:dyDescent="0.2">
      <c r="E425" s="35"/>
    </row>
    <row r="426" spans="3:97" x14ac:dyDescent="0.2">
      <c r="E426" s="35"/>
    </row>
    <row r="427" spans="3:97" x14ac:dyDescent="0.2">
      <c r="E427" s="35"/>
    </row>
    <row r="428" spans="3:97" x14ac:dyDescent="0.2">
      <c r="E428" s="35"/>
    </row>
    <row r="429" spans="3:97" x14ac:dyDescent="0.2">
      <c r="E429" s="35"/>
    </row>
    <row r="430" spans="3:97" x14ac:dyDescent="0.2">
      <c r="E430" s="35"/>
    </row>
    <row r="431" spans="3:97" x14ac:dyDescent="0.2">
      <c r="E431" s="35"/>
    </row>
    <row r="432" spans="3:97" x14ac:dyDescent="0.2">
      <c r="E432" s="35"/>
    </row>
    <row r="433" spans="5:5" x14ac:dyDescent="0.2">
      <c r="E433" s="35"/>
    </row>
    <row r="434" spans="5:5" x14ac:dyDescent="0.2">
      <c r="E434" s="35"/>
    </row>
    <row r="435" spans="5:5" x14ac:dyDescent="0.2">
      <c r="E435" s="35"/>
    </row>
    <row r="436" spans="5:5" x14ac:dyDescent="0.2">
      <c r="E436" s="35"/>
    </row>
    <row r="437" spans="5:5" x14ac:dyDescent="0.2">
      <c r="E437" s="35"/>
    </row>
    <row r="438" spans="5:5" x14ac:dyDescent="0.2">
      <c r="E438" s="35"/>
    </row>
    <row r="439" spans="5:5" x14ac:dyDescent="0.2">
      <c r="E439" s="35"/>
    </row>
    <row r="440" spans="5:5" x14ac:dyDescent="0.2">
      <c r="E440" s="35"/>
    </row>
    <row r="441" spans="5:5" x14ac:dyDescent="0.2">
      <c r="E441" s="35"/>
    </row>
    <row r="442" spans="5:5" x14ac:dyDescent="0.2">
      <c r="E442" s="35"/>
    </row>
    <row r="443" spans="5:5" x14ac:dyDescent="0.2">
      <c r="E443" s="35"/>
    </row>
    <row r="444" spans="5:5" x14ac:dyDescent="0.2">
      <c r="E444" s="35"/>
    </row>
    <row r="445" spans="5:5" x14ac:dyDescent="0.2">
      <c r="E445" s="35"/>
    </row>
    <row r="446" spans="5:5" x14ac:dyDescent="0.2">
      <c r="E446" s="35"/>
    </row>
    <row r="447" spans="5:5" x14ac:dyDescent="0.2">
      <c r="E447" s="35"/>
    </row>
    <row r="448" spans="5:5" x14ac:dyDescent="0.2">
      <c r="E448" s="35"/>
    </row>
    <row r="449" spans="5:5" x14ac:dyDescent="0.2">
      <c r="E449" s="35"/>
    </row>
    <row r="450" spans="5:5" x14ac:dyDescent="0.2">
      <c r="E450" s="35"/>
    </row>
    <row r="451" spans="5:5" x14ac:dyDescent="0.2">
      <c r="E451" s="35"/>
    </row>
    <row r="452" spans="5:5" x14ac:dyDescent="0.2">
      <c r="E452" s="35"/>
    </row>
    <row r="453" spans="5:5" x14ac:dyDescent="0.2">
      <c r="E453" s="35"/>
    </row>
    <row r="454" spans="5:5" x14ac:dyDescent="0.2">
      <c r="E454" s="35"/>
    </row>
    <row r="455" spans="5:5" x14ac:dyDescent="0.2">
      <c r="E455" s="35"/>
    </row>
    <row r="456" spans="5:5" x14ac:dyDescent="0.2">
      <c r="E456" s="35"/>
    </row>
    <row r="457" spans="5:5" x14ac:dyDescent="0.2">
      <c r="E457" s="35"/>
    </row>
    <row r="458" spans="5:5" x14ac:dyDescent="0.2">
      <c r="E458" s="35"/>
    </row>
    <row r="459" spans="5:5" x14ac:dyDescent="0.2">
      <c r="E459" s="35"/>
    </row>
    <row r="460" spans="5:5" x14ac:dyDescent="0.2">
      <c r="E460" s="35"/>
    </row>
    <row r="461" spans="5:5" x14ac:dyDescent="0.2">
      <c r="E461" s="35"/>
    </row>
    <row r="462" spans="5:5" x14ac:dyDescent="0.2">
      <c r="E462" s="35"/>
    </row>
    <row r="463" spans="5:5" x14ac:dyDescent="0.2">
      <c r="E463" s="35"/>
    </row>
    <row r="464" spans="5:5" x14ac:dyDescent="0.2">
      <c r="E464" s="35"/>
    </row>
    <row r="465" spans="5:5" x14ac:dyDescent="0.2">
      <c r="E465" s="35"/>
    </row>
    <row r="466" spans="5:5" x14ac:dyDescent="0.2">
      <c r="E466" s="35"/>
    </row>
    <row r="467" spans="5:5" x14ac:dyDescent="0.2">
      <c r="E467" s="35"/>
    </row>
    <row r="468" spans="5:5" x14ac:dyDescent="0.2">
      <c r="E468" s="35"/>
    </row>
    <row r="469" spans="5:5" x14ac:dyDescent="0.2">
      <c r="E469" s="35"/>
    </row>
    <row r="470" spans="5:5" x14ac:dyDescent="0.2">
      <c r="E470" s="35"/>
    </row>
    <row r="471" spans="5:5" x14ac:dyDescent="0.2">
      <c r="E471" s="35"/>
    </row>
    <row r="472" spans="5:5" x14ac:dyDescent="0.2">
      <c r="E472" s="35"/>
    </row>
    <row r="473" spans="5:5" x14ac:dyDescent="0.2">
      <c r="E473" s="35"/>
    </row>
    <row r="474" spans="5:5" x14ac:dyDescent="0.2">
      <c r="E474" s="35"/>
    </row>
    <row r="475" spans="5:5" x14ac:dyDescent="0.2">
      <c r="E475" s="35"/>
    </row>
    <row r="476" spans="5:5" x14ac:dyDescent="0.2">
      <c r="E476" s="35"/>
    </row>
    <row r="477" spans="5:5" x14ac:dyDescent="0.2">
      <c r="E477" s="35"/>
    </row>
    <row r="478" spans="5:5" x14ac:dyDescent="0.2">
      <c r="E478" s="35"/>
    </row>
    <row r="479" spans="5:5" x14ac:dyDescent="0.2">
      <c r="E479" s="35"/>
    </row>
    <row r="480" spans="5:5" x14ac:dyDescent="0.2">
      <c r="E480" s="35"/>
    </row>
    <row r="481" spans="5:5" x14ac:dyDescent="0.2">
      <c r="E481" s="35"/>
    </row>
    <row r="482" spans="5:5" x14ac:dyDescent="0.2">
      <c r="E482" s="35"/>
    </row>
    <row r="483" spans="5:5" x14ac:dyDescent="0.2">
      <c r="E483" s="35"/>
    </row>
    <row r="484" spans="5:5" x14ac:dyDescent="0.2">
      <c r="E484" s="35"/>
    </row>
    <row r="485" spans="5:5" x14ac:dyDescent="0.2">
      <c r="E485" s="35"/>
    </row>
    <row r="486" spans="5:5" x14ac:dyDescent="0.2">
      <c r="E486" s="35"/>
    </row>
    <row r="487" spans="5:5" x14ac:dyDescent="0.2">
      <c r="E487" s="35"/>
    </row>
    <row r="488" spans="5:5" x14ac:dyDescent="0.2">
      <c r="E488" s="35"/>
    </row>
    <row r="489" spans="5:5" x14ac:dyDescent="0.2">
      <c r="E489" s="35"/>
    </row>
    <row r="490" spans="5:5" x14ac:dyDescent="0.2">
      <c r="E490" s="35"/>
    </row>
    <row r="491" spans="5:5" x14ac:dyDescent="0.2">
      <c r="E491" s="35"/>
    </row>
    <row r="492" spans="5:5" x14ac:dyDescent="0.2">
      <c r="E492" s="35"/>
    </row>
    <row r="493" spans="5:5" x14ac:dyDescent="0.2">
      <c r="E493" s="35"/>
    </row>
    <row r="494" spans="5:5" x14ac:dyDescent="0.2">
      <c r="E494" s="35"/>
    </row>
    <row r="495" spans="5:5" x14ac:dyDescent="0.2">
      <c r="E495" s="35"/>
    </row>
    <row r="496" spans="5:5" x14ac:dyDescent="0.2">
      <c r="E496" s="35"/>
    </row>
    <row r="497" spans="5:5" x14ac:dyDescent="0.2">
      <c r="E497" s="35"/>
    </row>
    <row r="498" spans="5:5" x14ac:dyDescent="0.2">
      <c r="E498" s="35"/>
    </row>
    <row r="499" spans="5:5" x14ac:dyDescent="0.2">
      <c r="E499" s="35"/>
    </row>
    <row r="500" spans="5:5" x14ac:dyDescent="0.2">
      <c r="E500" s="35"/>
    </row>
    <row r="501" spans="5:5" x14ac:dyDescent="0.2">
      <c r="E501" s="35"/>
    </row>
    <row r="502" spans="5:5" x14ac:dyDescent="0.2">
      <c r="E502" s="35"/>
    </row>
    <row r="503" spans="5:5" x14ac:dyDescent="0.2">
      <c r="E503" s="35"/>
    </row>
    <row r="504" spans="5:5" x14ac:dyDescent="0.2">
      <c r="E504" s="35"/>
    </row>
    <row r="505" spans="5:5" x14ac:dyDescent="0.2">
      <c r="E505" s="35"/>
    </row>
    <row r="506" spans="5:5" x14ac:dyDescent="0.2">
      <c r="E506" s="35"/>
    </row>
    <row r="507" spans="5:5" x14ac:dyDescent="0.2">
      <c r="E507" s="35"/>
    </row>
    <row r="508" spans="5:5" x14ac:dyDescent="0.2">
      <c r="E508" s="35"/>
    </row>
    <row r="509" spans="5:5" x14ac:dyDescent="0.2">
      <c r="E509" s="35"/>
    </row>
    <row r="510" spans="5:5" x14ac:dyDescent="0.2">
      <c r="E510" s="35"/>
    </row>
    <row r="511" spans="5:5" x14ac:dyDescent="0.2">
      <c r="E511" s="35"/>
    </row>
    <row r="512" spans="5:5" x14ac:dyDescent="0.2">
      <c r="E512" s="35"/>
    </row>
    <row r="513" spans="5:5" x14ac:dyDescent="0.2">
      <c r="E513" s="35"/>
    </row>
    <row r="514" spans="5:5" x14ac:dyDescent="0.2">
      <c r="E514" s="35"/>
    </row>
    <row r="515" spans="5:5" x14ac:dyDescent="0.2">
      <c r="E515" s="35"/>
    </row>
    <row r="516" spans="5:5" x14ac:dyDescent="0.2">
      <c r="E516" s="35"/>
    </row>
    <row r="517" spans="5:5" x14ac:dyDescent="0.2">
      <c r="E517" s="35"/>
    </row>
    <row r="518" spans="5:5" x14ac:dyDescent="0.2">
      <c r="E518" s="35"/>
    </row>
    <row r="519" spans="5:5" x14ac:dyDescent="0.2">
      <c r="E519" s="35"/>
    </row>
    <row r="520" spans="5:5" x14ac:dyDescent="0.2">
      <c r="E520" s="35"/>
    </row>
    <row r="521" spans="5:5" x14ac:dyDescent="0.2">
      <c r="E521" s="35"/>
    </row>
    <row r="522" spans="5:5" x14ac:dyDescent="0.2">
      <c r="E522" s="35"/>
    </row>
    <row r="523" spans="5:5" x14ac:dyDescent="0.2">
      <c r="E523" s="35"/>
    </row>
    <row r="524" spans="5:5" x14ac:dyDescent="0.2">
      <c r="E524" s="35"/>
    </row>
    <row r="525" spans="5:5" x14ac:dyDescent="0.2">
      <c r="E525" s="35"/>
    </row>
    <row r="526" spans="5:5" x14ac:dyDescent="0.2">
      <c r="E526" s="35"/>
    </row>
    <row r="527" spans="5:5" x14ac:dyDescent="0.2">
      <c r="E527" s="35"/>
    </row>
    <row r="528" spans="5:5" x14ac:dyDescent="0.2">
      <c r="E528" s="35"/>
    </row>
    <row r="529" spans="5:5" x14ac:dyDescent="0.2">
      <c r="E529" s="35"/>
    </row>
    <row r="530" spans="5:5" x14ac:dyDescent="0.2">
      <c r="E530" s="35"/>
    </row>
    <row r="531" spans="5:5" x14ac:dyDescent="0.2">
      <c r="E531" s="35"/>
    </row>
    <row r="532" spans="5:5" x14ac:dyDescent="0.2">
      <c r="E532" s="35"/>
    </row>
    <row r="533" spans="5:5" x14ac:dyDescent="0.2">
      <c r="E533" s="35"/>
    </row>
    <row r="534" spans="5:5" x14ac:dyDescent="0.2">
      <c r="E534" s="35"/>
    </row>
    <row r="535" spans="5:5" x14ac:dyDescent="0.2">
      <c r="E535" s="35"/>
    </row>
    <row r="536" spans="5:5" x14ac:dyDescent="0.2">
      <c r="E536" s="35"/>
    </row>
    <row r="537" spans="5:5" x14ac:dyDescent="0.2">
      <c r="E537" s="35"/>
    </row>
    <row r="538" spans="5:5" x14ac:dyDescent="0.2">
      <c r="E538" s="35"/>
    </row>
    <row r="539" spans="5:5" x14ac:dyDescent="0.2">
      <c r="E539" s="35"/>
    </row>
    <row r="540" spans="5:5" x14ac:dyDescent="0.2">
      <c r="E540" s="35"/>
    </row>
    <row r="541" spans="5:5" x14ac:dyDescent="0.2">
      <c r="E541" s="35"/>
    </row>
    <row r="542" spans="5:5" x14ac:dyDescent="0.2">
      <c r="E542" s="35"/>
    </row>
    <row r="543" spans="5:5" x14ac:dyDescent="0.2">
      <c r="E543" s="35"/>
    </row>
    <row r="544" spans="5:5" x14ac:dyDescent="0.2">
      <c r="E544" s="35"/>
    </row>
    <row r="545" spans="5:5" x14ac:dyDescent="0.2">
      <c r="E545" s="35"/>
    </row>
    <row r="546" spans="5:5" x14ac:dyDescent="0.2">
      <c r="E546" s="35"/>
    </row>
    <row r="547" spans="5:5" x14ac:dyDescent="0.2">
      <c r="E547" s="35"/>
    </row>
    <row r="548" spans="5:5" x14ac:dyDescent="0.2">
      <c r="E548" s="35"/>
    </row>
    <row r="549" spans="5:5" x14ac:dyDescent="0.2">
      <c r="E549" s="35"/>
    </row>
    <row r="550" spans="5:5" x14ac:dyDescent="0.2">
      <c r="E550" s="35"/>
    </row>
    <row r="551" spans="5:5" x14ac:dyDescent="0.2">
      <c r="E551" s="35"/>
    </row>
    <row r="552" spans="5:5" x14ac:dyDescent="0.2">
      <c r="E552" s="35"/>
    </row>
    <row r="553" spans="5:5" x14ac:dyDescent="0.2">
      <c r="E553" s="35"/>
    </row>
    <row r="554" spans="5:5" x14ac:dyDescent="0.2">
      <c r="E554" s="35"/>
    </row>
  </sheetData>
  <sheetProtection algorithmName="SHA-512" hashValue="nXygpkAmoJlXTwdfV0NCD49kakyJDuGmOwnjwSQsik1hU+84u3nyYDxeZTOHtt/KrMSlnI+xDPPpKA1hLztlpw==" saltValue="CB0Wsrhd7FhKduFu/kS3gA==" spinCount="100000" sheet="1" objects="1" scenarios="1"/>
  <mergeCells count="34">
    <mergeCell ref="A360:H360"/>
    <mergeCell ref="A361:H361"/>
    <mergeCell ref="D285:I285"/>
    <mergeCell ref="D88:I88"/>
    <mergeCell ref="D131:I131"/>
    <mergeCell ref="D224:G224"/>
    <mergeCell ref="D255:I255"/>
    <mergeCell ref="D132:I132"/>
    <mergeCell ref="D143:I143"/>
    <mergeCell ref="D156:I156"/>
    <mergeCell ref="D169:I169"/>
    <mergeCell ref="D189:I189"/>
    <mergeCell ref="D328:J328"/>
    <mergeCell ref="F134:F135"/>
    <mergeCell ref="F146:F147"/>
    <mergeCell ref="F121:F122"/>
    <mergeCell ref="F69:F70"/>
    <mergeCell ref="D286:F286"/>
    <mergeCell ref="F127:F128"/>
    <mergeCell ref="F117:F118"/>
    <mergeCell ref="D29:I29"/>
    <mergeCell ref="D39:I39"/>
    <mergeCell ref="D53:I53"/>
    <mergeCell ref="D68:I68"/>
    <mergeCell ref="D82:I82"/>
    <mergeCell ref="D46:I46"/>
    <mergeCell ref="F47:F48"/>
    <mergeCell ref="D294:E294"/>
    <mergeCell ref="D87:I87"/>
    <mergeCell ref="D93:I93"/>
    <mergeCell ref="F78:F79"/>
    <mergeCell ref="D100:I100"/>
    <mergeCell ref="D109:I109"/>
    <mergeCell ref="F95:F96"/>
  </mergeCells>
  <conditionalFormatting sqref="G213:G216 G280 G71:G77 G111:G116 G119:G120 G129:G130 G191 G218:G220 G205:G206 G210 G193:G201 G83:G86 G148:G153 G136:G142 G94 G101:G108 G133 G144:G145 G80:G81 G97:G99 G182:G186 G295:G298 G300:G304 G282:G284 G286:G293 G123:G126 G89:G92 G163:G168">
    <cfRule type="containsText" dxfId="388" priority="114" operator="containsText" text="OK">
      <formula>NOT(ISERROR(SEARCH("OK",G71)))</formula>
    </cfRule>
  </conditionalFormatting>
  <conditionalFormatting sqref="G9">
    <cfRule type="containsText" dxfId="387" priority="113" operator="containsText" text="OK">
      <formula>NOT(ISERROR(SEARCH("OK",G9)))</formula>
    </cfRule>
  </conditionalFormatting>
  <conditionalFormatting sqref="G10">
    <cfRule type="containsText" dxfId="386" priority="112" operator="containsText" text="OK">
      <formula>NOT(ISERROR(SEARCH("OK",G10)))</formula>
    </cfRule>
  </conditionalFormatting>
  <conditionalFormatting sqref="G33:G36">
    <cfRule type="containsText" dxfId="385" priority="111" operator="containsText" text="OK">
      <formula>NOT(ISERROR(SEARCH("OK",G33)))</formula>
    </cfRule>
  </conditionalFormatting>
  <conditionalFormatting sqref="G73">
    <cfRule type="containsText" dxfId="384" priority="106" operator="containsText" text="OK">
      <formula>NOT(ISERROR(SEARCH("OK",G73)))</formula>
    </cfRule>
  </conditionalFormatting>
  <conditionalFormatting sqref="G192">
    <cfRule type="containsText" dxfId="383" priority="108" operator="containsText" text="OK">
      <formula>NOT(ISERROR(SEARCH("OK",G192)))</formula>
    </cfRule>
  </conditionalFormatting>
  <conditionalFormatting sqref="G97:G98">
    <cfRule type="containsText" dxfId="382" priority="105" operator="containsText" text="OK">
      <formula>NOT(ISERROR(SEARCH("OK",G97)))</formula>
    </cfRule>
  </conditionalFormatting>
  <conditionalFormatting sqref="G123:G124">
    <cfRule type="containsText" dxfId="381" priority="104" operator="containsText" text="OK">
      <formula>NOT(ISERROR(SEARCH("OK",G123)))</formula>
    </cfRule>
  </conditionalFormatting>
  <conditionalFormatting sqref="G86">
    <cfRule type="containsText" dxfId="380" priority="103" operator="containsText" text="OK">
      <formula>NOT(ISERROR(SEARCH("OK",G86)))</formula>
    </cfRule>
  </conditionalFormatting>
  <conditionalFormatting sqref="G106">
    <cfRule type="containsText" dxfId="379" priority="97" operator="containsText" text="OK">
      <formula>NOT(ISERROR(SEARCH("OK",G106)))</formula>
    </cfRule>
  </conditionalFormatting>
  <conditionalFormatting sqref="G247:G252">
    <cfRule type="containsText" dxfId="378" priority="90" operator="containsText" text="OK">
      <formula>NOT(ISERROR(SEARCH("OK",G247)))</formula>
    </cfRule>
  </conditionalFormatting>
  <conditionalFormatting sqref="G197:G198">
    <cfRule type="containsText" dxfId="377" priority="94" operator="containsText" text="OK">
      <formula>NOT(ISERROR(SEARCH("OK",G197)))</formula>
    </cfRule>
  </conditionalFormatting>
  <conditionalFormatting sqref="G220">
    <cfRule type="containsText" dxfId="376" priority="93" operator="containsText" text="OK">
      <formula>NOT(ISERROR(SEARCH("OK",G220)))</formula>
    </cfRule>
  </conditionalFormatting>
  <conditionalFormatting sqref="G225:G228">
    <cfRule type="containsText" dxfId="375" priority="92" operator="containsText" text="OK">
      <formula>NOT(ISERROR(SEARCH("OK",G225)))</formula>
    </cfRule>
  </conditionalFormatting>
  <conditionalFormatting sqref="G237">
    <cfRule type="containsText" dxfId="374" priority="91" operator="containsText" text="OK">
      <formula>NOT(ISERROR(SEARCH("OK",G237)))</formula>
    </cfRule>
  </conditionalFormatting>
  <conditionalFormatting sqref="G307:G308">
    <cfRule type="containsText" dxfId="373" priority="87" operator="containsText" text="OK">
      <formula>NOT(ISERROR(SEARCH("OK",G307)))</formula>
    </cfRule>
  </conditionalFormatting>
  <conditionalFormatting sqref="G318:G319">
    <cfRule type="containsText" dxfId="372" priority="86" operator="containsText" text="OK">
      <formula>NOT(ISERROR(SEARCH("OK",G318)))</formula>
    </cfRule>
  </conditionalFormatting>
  <conditionalFormatting sqref="G180">
    <cfRule type="containsText" dxfId="371" priority="85" operator="containsText" text="OK">
      <formula>NOT(ISERROR(SEARCH("OK",G180)))</formula>
    </cfRule>
  </conditionalFormatting>
  <conditionalFormatting sqref="G216 G218">
    <cfRule type="containsText" dxfId="370" priority="81" operator="containsText" text="OK">
      <formula>NOT(ISERROR(SEARCH("OK",G216)))</formula>
    </cfRule>
  </conditionalFormatting>
  <conditionalFormatting sqref="G256">
    <cfRule type="containsText" dxfId="369" priority="77" operator="containsText" text="OK">
      <formula>NOT(ISERROR(SEARCH("OK",G256)))</formula>
    </cfRule>
  </conditionalFormatting>
  <conditionalFormatting sqref="G260:G265">
    <cfRule type="containsText" dxfId="368" priority="76" operator="containsText" text="OK">
      <formula>NOT(ISERROR(SEARCH("OK",G260)))</formula>
    </cfRule>
  </conditionalFormatting>
  <conditionalFormatting sqref="G269:G272">
    <cfRule type="containsText" dxfId="367" priority="74" operator="containsText" text="OK">
      <formula>NOT(ISERROR(SEARCH("OK",G269)))</formula>
    </cfRule>
  </conditionalFormatting>
  <conditionalFormatting sqref="G177">
    <cfRule type="containsText" dxfId="366" priority="56" operator="containsText" text="OK">
      <formula>NOT(ISERROR(SEARCH("OK",G177)))</formula>
    </cfRule>
  </conditionalFormatting>
  <conditionalFormatting sqref="G320:G324">
    <cfRule type="containsText" dxfId="365" priority="70" operator="containsText" text="OK">
      <formula>NOT(ISERROR(SEARCH("OK",G320)))</formula>
    </cfRule>
  </conditionalFormatting>
  <conditionalFormatting sqref="C280:D280">
    <cfRule type="expression" dxfId="364" priority="68">
      <formula>$H$280="AMC"</formula>
    </cfRule>
  </conditionalFormatting>
  <conditionalFormatting sqref="C259:D272">
    <cfRule type="expression" dxfId="363" priority="67">
      <formula>$E$256=Lang_No</formula>
    </cfRule>
  </conditionalFormatting>
  <conditionalFormatting sqref="C299:D304 C286:D286">
    <cfRule type="expression" dxfId="362" priority="65">
      <formula>$H$280&lt;&gt;"AMC"</formula>
    </cfRule>
  </conditionalFormatting>
  <conditionalFormatting sqref="C306:D315">
    <cfRule type="expression" dxfId="361" priority="64">
      <formula>$H$280&lt;&gt;"Committed"</formula>
    </cfRule>
  </conditionalFormatting>
  <conditionalFormatting sqref="C317:D319 D320 C321:D325">
    <cfRule type="expression" dxfId="360" priority="62">
      <formula>$H$280&lt;&gt;"Optional"</formula>
    </cfRule>
  </conditionalFormatting>
  <conditionalFormatting sqref="G190">
    <cfRule type="containsText" dxfId="359" priority="59" operator="containsText" text="OK">
      <formula>NOT(ISERROR(SEARCH("OK",G190)))</formula>
    </cfRule>
  </conditionalFormatting>
  <conditionalFormatting sqref="G158:G160">
    <cfRule type="containsText" dxfId="358" priority="57" operator="containsText" text="OK">
      <formula>NOT(ISERROR(SEARCH("OK",G158)))</formula>
    </cfRule>
  </conditionalFormatting>
  <conditionalFormatting sqref="G153">
    <cfRule type="containsText" dxfId="357" priority="52" operator="containsText" text="OK">
      <formula>NOT(ISERROR(SEARCH("OK",G153)))</formula>
    </cfRule>
  </conditionalFormatting>
  <conditionalFormatting sqref="G32">
    <cfRule type="containsText" dxfId="356" priority="51" operator="containsText" text="OK">
      <formula>NOT(ISERROR(SEARCH("OK",G32)))</formula>
    </cfRule>
  </conditionalFormatting>
  <conditionalFormatting sqref="G217">
    <cfRule type="containsText" dxfId="355" priority="48" operator="containsText" text="OK">
      <formula>NOT(ISERROR(SEARCH("OK",G217)))</formula>
    </cfRule>
  </conditionalFormatting>
  <conditionalFormatting sqref="G217">
    <cfRule type="containsText" dxfId="354" priority="47" operator="containsText" text="OK">
      <formula>NOT(ISERROR(SEARCH("OK",G217)))</formula>
    </cfRule>
  </conditionalFormatting>
  <conditionalFormatting sqref="G47">
    <cfRule type="containsText" dxfId="353" priority="37" operator="containsText" text="OK">
      <formula>NOT(ISERROR(SEARCH("OK",G47)))</formula>
    </cfRule>
  </conditionalFormatting>
  <conditionalFormatting sqref="G202:G204">
    <cfRule type="containsText" dxfId="352" priority="43" operator="containsText" text="OK">
      <formula>NOT(ISERROR(SEARCH("OK",G202)))</formula>
    </cfRule>
  </conditionalFormatting>
  <conditionalFormatting sqref="G202:G203">
    <cfRule type="containsText" dxfId="351" priority="42" operator="containsText" text="OK">
      <formula>NOT(ISERROR(SEARCH("OK",G202)))</formula>
    </cfRule>
  </conditionalFormatting>
  <conditionalFormatting sqref="G207:G208">
    <cfRule type="containsText" dxfId="350" priority="41" operator="containsText" text="OK">
      <formula>NOT(ISERROR(SEARCH("OK",G207)))</formula>
    </cfRule>
  </conditionalFormatting>
  <conditionalFormatting sqref="G207:G208">
    <cfRule type="containsText" dxfId="349" priority="40" operator="containsText" text="OK">
      <formula>NOT(ISERROR(SEARCH("OK",G207)))</formula>
    </cfRule>
  </conditionalFormatting>
  <conditionalFormatting sqref="G209">
    <cfRule type="containsText" dxfId="348" priority="39" operator="containsText" text="OK">
      <formula>NOT(ISERROR(SEARCH("OK",G209)))</formula>
    </cfRule>
  </conditionalFormatting>
  <conditionalFormatting sqref="G69">
    <cfRule type="containsText" dxfId="347" priority="36" operator="containsText" text="OK">
      <formula>NOT(ISERROR(SEARCH("OK",G69)))</formula>
    </cfRule>
  </conditionalFormatting>
  <conditionalFormatting sqref="G128">
    <cfRule type="containsText" dxfId="346" priority="24" operator="containsText" text="OK">
      <formula>NOT(ISERROR(SEARCH("OK",G128)))</formula>
    </cfRule>
  </conditionalFormatting>
  <conditionalFormatting sqref="G95">
    <cfRule type="containsText" dxfId="345" priority="34" operator="containsText" text="OK">
      <formula>NOT(ISERROR(SEARCH("OK",G95)))</formula>
    </cfRule>
  </conditionalFormatting>
  <conditionalFormatting sqref="G146">
    <cfRule type="containsText" dxfId="344" priority="21" operator="containsText" text="OK">
      <formula>NOT(ISERROR(SEARCH("OK",G146)))</formula>
    </cfRule>
  </conditionalFormatting>
  <conditionalFormatting sqref="G117">
    <cfRule type="containsText" dxfId="343" priority="32" operator="containsText" text="OK">
      <formula>NOT(ISERROR(SEARCH("OK",G117)))</formula>
    </cfRule>
  </conditionalFormatting>
  <conditionalFormatting sqref="G118">
    <cfRule type="containsText" dxfId="342" priority="31" operator="containsText" text="OK">
      <formula>NOT(ISERROR(SEARCH("OK",G118)))</formula>
    </cfRule>
  </conditionalFormatting>
  <conditionalFormatting sqref="G96">
    <cfRule type="containsText" dxfId="341" priority="30" operator="containsText" text="OK">
      <formula>NOT(ISERROR(SEARCH("OK",G96)))</formula>
    </cfRule>
  </conditionalFormatting>
  <conditionalFormatting sqref="G70">
    <cfRule type="containsText" dxfId="340" priority="29" operator="containsText" text="OK">
      <formula>NOT(ISERROR(SEARCH("OK",G70)))</formula>
    </cfRule>
  </conditionalFormatting>
  <conditionalFormatting sqref="G48">
    <cfRule type="containsText" dxfId="339" priority="28" operator="containsText" text="OK">
      <formula>NOT(ISERROR(SEARCH("OK",G48)))</formula>
    </cfRule>
  </conditionalFormatting>
  <conditionalFormatting sqref="G121">
    <cfRule type="containsText" dxfId="338" priority="27" operator="containsText" text="OK">
      <formula>NOT(ISERROR(SEARCH("OK",G121)))</formula>
    </cfRule>
  </conditionalFormatting>
  <conditionalFormatting sqref="G122">
    <cfRule type="containsText" dxfId="337" priority="26" operator="containsText" text="OK">
      <formula>NOT(ISERROR(SEARCH("OK",G122)))</formula>
    </cfRule>
  </conditionalFormatting>
  <conditionalFormatting sqref="G127">
    <cfRule type="containsText" dxfId="336" priority="25" operator="containsText" text="OK">
      <formula>NOT(ISERROR(SEARCH("OK",G127)))</formula>
    </cfRule>
  </conditionalFormatting>
  <conditionalFormatting sqref="G134">
    <cfRule type="containsText" dxfId="335" priority="23" operator="containsText" text="OK">
      <formula>NOT(ISERROR(SEARCH("OK",G134)))</formula>
    </cfRule>
  </conditionalFormatting>
  <conditionalFormatting sqref="G135">
    <cfRule type="containsText" dxfId="334" priority="22" operator="containsText" text="OK">
      <formula>NOT(ISERROR(SEARCH("OK",G135)))</formula>
    </cfRule>
  </conditionalFormatting>
  <conditionalFormatting sqref="G147">
    <cfRule type="containsText" dxfId="333" priority="20" operator="containsText" text="OK">
      <formula>NOT(ISERROR(SEARCH("OK",G147)))</formula>
    </cfRule>
  </conditionalFormatting>
  <conditionalFormatting sqref="G179">
    <cfRule type="containsText" dxfId="332" priority="19" operator="containsText" text="OK">
      <formula>NOT(ISERROR(SEARCH("OK",G179)))</formula>
    </cfRule>
  </conditionalFormatting>
  <conditionalFormatting sqref="G291:G292">
    <cfRule type="containsText" dxfId="331" priority="18" operator="containsText" text="OK">
      <formula>NOT(ISERROR(SEARCH("OK",G291)))</formula>
    </cfRule>
  </conditionalFormatting>
  <conditionalFormatting sqref="F297">
    <cfRule type="containsText" dxfId="330" priority="16" operator="containsText" text="OK">
      <formula>NOT(ISERROR(SEARCH("OK",F297)))</formula>
    </cfRule>
  </conditionalFormatting>
  <conditionalFormatting sqref="G310:G314">
    <cfRule type="containsText" dxfId="329" priority="15" operator="containsText" text="OK">
      <formula>NOT(ISERROR(SEARCH("OK",G310)))</formula>
    </cfRule>
  </conditionalFormatting>
  <conditionalFormatting sqref="G315">
    <cfRule type="containsText" dxfId="328" priority="14" operator="containsText" text="OK">
      <formula>NOT(ISERROR(SEARCH("OK",G315)))</formula>
    </cfRule>
  </conditionalFormatting>
  <conditionalFormatting sqref="G321:G324">
    <cfRule type="containsText" dxfId="327" priority="13" operator="containsText" text="OK">
      <formula>NOT(ISERROR(SEARCH("OK",G321)))</formula>
    </cfRule>
  </conditionalFormatting>
  <conditionalFormatting sqref="G325">
    <cfRule type="containsText" dxfId="326" priority="12" operator="containsText" text="OK">
      <formula>NOT(ISERROR(SEARCH("OK",G325)))</formula>
    </cfRule>
  </conditionalFormatting>
  <conditionalFormatting sqref="C320">
    <cfRule type="expression" dxfId="325" priority="11">
      <formula>$H$280&lt;&gt;"Optional"</formula>
    </cfRule>
  </conditionalFormatting>
  <conditionalFormatting sqref="G78">
    <cfRule type="containsText" dxfId="324" priority="10" operator="containsText" text="OK">
      <formula>NOT(ISERROR(SEARCH("OK",G78)))</formula>
    </cfRule>
  </conditionalFormatting>
  <conditionalFormatting sqref="G79">
    <cfRule type="containsText" dxfId="323" priority="9" operator="containsText" text="OK">
      <formula>NOT(ISERROR(SEARCH("OK",G79)))</formula>
    </cfRule>
  </conditionalFormatting>
  <conditionalFormatting sqref="G124">
    <cfRule type="containsText" dxfId="322" priority="6" operator="containsText" text="OK">
      <formula>NOT(ISERROR(SEARCH("OK",G124)))</formula>
    </cfRule>
  </conditionalFormatting>
  <conditionalFormatting sqref="G98">
    <cfRule type="containsText" dxfId="321" priority="5" operator="containsText" text="OK">
      <formula>NOT(ISERROR(SEARCH("OK",G98)))</formula>
    </cfRule>
  </conditionalFormatting>
  <conditionalFormatting sqref="G98">
    <cfRule type="containsText" dxfId="320" priority="4" operator="containsText" text="OK">
      <formula>NOT(ISERROR(SEARCH("OK",G98)))</formula>
    </cfRule>
  </conditionalFormatting>
  <conditionalFormatting sqref="G164">
    <cfRule type="containsText" dxfId="319" priority="1" operator="containsText" text="OK">
      <formula>NOT(ISERROR(SEARCH("OK",G164)))</formula>
    </cfRule>
  </conditionalFormatting>
  <dataValidations count="44">
    <dataValidation type="decimal" allowBlank="1" showInputMessage="1" showErrorMessage="1" sqref="E123 E97" xr:uid="{61BBF912-D151-4567-BBF4-24A0C2E5A6FD}">
      <formula1>0</formula1>
      <formula2>100</formula2>
    </dataValidation>
    <dataValidation type="whole" allowBlank="1" showInputMessage="1" showErrorMessage="1" sqref="E136 E196 E209:E210 E199:E201 E204:E206 H98 E97 H124 E123" xr:uid="{59030A55-C912-488F-936A-02D3EC112891}">
      <formula1>0</formula1>
      <formula2>9999999</formula2>
    </dataValidation>
    <dataValidation type="decimal" allowBlank="1" showInputMessage="1" showErrorMessage="1" sqref="H98 E247:E252 E241:E244 E106 H124 E73 E237 E180 E186 E219 E197:E210 E288:E292" xr:uid="{1B0EAD38-3507-47EA-8601-A1300EEC09A6}">
      <formula1>0</formula1>
      <formula2>1</formula2>
    </dataValidation>
    <dataValidation type="decimal" allowBlank="1" showInputMessage="1" showErrorMessage="1" sqref="E123 E111:E115 E133 E151:E152 E102 E83:E85 E94 E129:E130 E119:E120 E104:E108 E148:E149 E136:E142 E92 E72:E77 E80:E81 H98 E97 E99 H124" xr:uid="{BDC80825-2B3B-4848-BFCB-9888BA012ACF}">
      <formula1>0</formula1>
      <formula2>0.1</formula2>
    </dataValidation>
    <dataValidation type="decimal" allowBlank="1" showInputMessage="1" showErrorMessage="1" sqref="E106 E151:E152 E148:E149 E102:E103 E141:E142 H98 E97 H124 E123" xr:uid="{48C35611-E24B-458F-B953-96EDB405A73A}">
      <formula1>0</formula1>
      <formula2>9</formula2>
    </dataValidation>
    <dataValidation type="decimal" allowBlank="1" showInputMessage="1" showErrorMessage="1" sqref="E10" xr:uid="{21F63901-4A36-4116-8CD2-4117ED2AB33F}">
      <formula1>0</formula1>
      <formula2>99999999</formula2>
    </dataValidation>
    <dataValidation type="whole" allowBlank="1" showInputMessage="1" showErrorMessage="1" sqref="E69 E146 E73 E111:E115 H124 E31:G31 E94 E102:E108 E129:E130 E136:E142 E119:E120 E89:E92 E78 E133:E134 E123 H98 E97 E99 E30 E32:E36" xr:uid="{9C400C4A-A5F3-4E1A-BE41-43D0A441FCB2}">
      <formula1>1</formula1>
      <formula2>2000000000</formula2>
    </dataValidation>
    <dataValidation type="whole" allowBlank="1" showInputMessage="1" showErrorMessage="1" sqref="E212 E221 E186 E257 E254" xr:uid="{78E96528-308F-4D71-B9F5-73989C63E49E}">
      <formula1>1</formula1>
      <formula2>24</formula2>
    </dataValidation>
    <dataValidation type="decimal" allowBlank="1" showInputMessage="1" showErrorMessage="1" sqref="E183" xr:uid="{D7FE58E6-823B-4867-A7A4-793202C6E726}">
      <formula1>4</formula1>
      <formula2>7</formula2>
    </dataValidation>
    <dataValidation type="decimal" allowBlank="1" showInputMessage="1" showErrorMessage="1" sqref="E214" xr:uid="{F896B5F8-E413-4FCE-A7B2-E7582A0A1900}">
      <formula1>1</formula1>
      <formula2>10</formula2>
    </dataValidation>
    <dataValidation type="whole" allowBlank="1" showInputMessage="1" showErrorMessage="1" sqref="E212 E186 E221 E257 E254" xr:uid="{08B6297E-25BE-4C74-81F5-9F9879BC6EF5}">
      <formula1>1</formula1>
      <formula2>365</formula2>
    </dataValidation>
    <dataValidation type="whole" allowBlank="1" showInputMessage="1" showErrorMessage="1" sqref="H98 H124" xr:uid="{9A0BC6BF-6841-4DDE-9915-DC81EE1F459D}">
      <formula1>0</formula1>
      <formula2>10000</formula2>
    </dataValidation>
    <dataValidation type="decimal" allowBlank="1" showInputMessage="1" showErrorMessage="1" sqref="E282" xr:uid="{C452E05A-23A2-4EE8-B962-DC501A299865}">
      <formula1>0.03</formula1>
      <formula2>0.5</formula2>
    </dataValidation>
    <dataValidation type="whole" allowBlank="1" showInputMessage="1" showErrorMessage="1" sqref="E186" xr:uid="{69C38F8F-B63C-4848-A5CD-EE0AE04AC700}">
      <formula1>1</formula1>
      <formula2>99</formula2>
    </dataValidation>
    <dataValidation type="decimal" allowBlank="1" showInputMessage="1" showErrorMessage="1" sqref="E214" xr:uid="{70C60D98-AFE3-4C6A-9B82-F405AD6CF8D1}">
      <formula1>1</formula1>
      <formula2>5</formula2>
    </dataValidation>
    <dataValidation type="decimal" allowBlank="1" showInputMessage="1" showErrorMessage="1" sqref="E184" xr:uid="{E9B3BEE8-080D-4CEA-9EF1-BC69786638F2}">
      <formula1>0</formula1>
      <formula2>E182</formula2>
    </dataValidation>
    <dataValidation type="whole" allowBlank="1" showInputMessage="1" showErrorMessage="1" sqref="E73 E209:E210 E204:E206 E196 E199:E201" xr:uid="{99F93687-06BF-490E-ADE3-64A1F7F87999}">
      <formula1>1</formula1>
      <formula2>9999999</formula2>
    </dataValidation>
    <dataValidation type="decimal" allowBlank="1" showInputMessage="1" showErrorMessage="1" sqref="E218 E330:E335" xr:uid="{5C161707-AC62-43ED-9AC1-8F6BAB890AE3}">
      <formula1>0</formula1>
      <formula2>2</formula2>
    </dataValidation>
    <dataValidation type="whole" allowBlank="1" showInputMessage="1" showErrorMessage="1" sqref="E190 E102 E141:E142" xr:uid="{4A2B0B7B-EDCA-4C88-9076-F1501D5D2B9E}">
      <formula1>1</formula1>
      <formula2>9999</formula2>
    </dataValidation>
    <dataValidation type="decimal" allowBlank="1" showInputMessage="1" showErrorMessage="1" sqref="E182" xr:uid="{49EDE3E3-97FE-4501-B606-586D5AEC2925}">
      <formula1>0.1</formula1>
      <formula2>24</formula2>
    </dataValidation>
    <dataValidation type="decimal" allowBlank="1" showInputMessage="1" showErrorMessage="1" sqref="E293 E298 E286 E300:E302" xr:uid="{4E6F773F-F8CD-4A86-A21F-BA2AE777C341}">
      <formula1>0.1</formula1>
      <formula2>0.5</formula2>
    </dataValidation>
    <dataValidation type="whole" allowBlank="1" showInputMessage="1" showErrorMessage="1" sqref="E179" xr:uid="{2C95A3A2-7BE2-4301-B864-EAC62FB66330}">
      <formula1>0</formula1>
      <formula2>H177</formula2>
    </dataValidation>
    <dataValidation type="whole" allowBlank="1" showInputMessage="1" showErrorMessage="1" sqref="E41:E43 E134 E56:E65 E164" xr:uid="{E3644961-CC11-483B-A574-96B8924A154D}">
      <formula1>0</formula1>
      <formula2>999999999</formula2>
    </dataValidation>
    <dataValidation type="decimal" allowBlank="1" showInputMessage="1" showErrorMessage="1" sqref="E103" xr:uid="{BC9CE644-52D7-492C-BB7D-7F9A9C7CA0E8}">
      <formula1>0</formula1>
      <formula2>6</formula2>
    </dataValidation>
    <dataValidation type="decimal" allowBlank="1" showInputMessage="1" showErrorMessage="1" sqref="E135 E118 E48 E70 E147 E79 E96 E128 E122" xr:uid="{6C6D7E14-FED1-4361-97C6-824953511424}">
      <formula1>0</formula1>
      <formula2>J48</formula2>
    </dataValidation>
    <dataValidation type="whole" allowBlank="1" showInputMessage="1" showErrorMessage="1" sqref="E117 E89:E91 E95 E121 E127 E47" xr:uid="{3AF155BF-88BE-44B6-98F8-606E0AF727B0}">
      <formula1>0</formula1>
      <formula2>2000000000</formula2>
    </dataValidation>
    <dataValidation type="whole" allowBlank="1" showInputMessage="1" showErrorMessage="1" sqref="E95 E121 E127 E146 E171:E177" xr:uid="{03C6F523-C3AC-49D9-B2A6-CC2273DDA929}">
      <formula1>0</formula1>
      <formula2>99999999</formula2>
    </dataValidation>
    <dataValidation type="decimal" allowBlank="1" showInputMessage="1" showErrorMessage="1" sqref="E147" xr:uid="{04950F69-8D89-4880-8DB5-4B4A044026A6}">
      <formula1>0</formula1>
      <formula2>0.3</formula2>
    </dataValidation>
    <dataValidation type="whole" allowBlank="1" showInputMessage="1" showErrorMessage="1" sqref="E195 E193" xr:uid="{B95CF0E9-5878-4564-B6DE-26D9FE6A026F}">
      <formula1>0</formula1>
      <formula2>999999</formula2>
    </dataValidation>
    <dataValidation type="whole" allowBlank="1" showInputMessage="1" showErrorMessage="1" sqref="E191" xr:uid="{88480672-7967-43A1-8901-782329E5C220}">
      <formula1>E190</formula1>
      <formula2>9999</formula2>
    </dataValidation>
    <dataValidation type="decimal" allowBlank="1" showInputMessage="1" showErrorMessage="1" sqref="E185:E186" xr:uid="{C3D5C783-25CA-456A-93ED-96DC8ABE29A8}">
      <formula1>0</formula1>
      <formula2>60</formula2>
    </dataValidation>
    <dataValidation type="decimal" showInputMessage="1" showErrorMessage="1" sqref="E186 E218:E219" xr:uid="{635CE72C-5389-4AA0-B543-A53792968ACE}">
      <formula1>0</formula1>
      <formula2>2</formula2>
    </dataValidation>
    <dataValidation type="list" showInputMessage="1" showErrorMessage="1" sqref="E213 E220" xr:uid="{CC5972D4-FA33-434A-A750-0E2B3EF85217}">
      <formula1>DataVal_YesNo</formula1>
    </dataValidation>
    <dataValidation type="whole" allowBlank="1" showInputMessage="1" showErrorMessage="1" sqref="E215:E217" xr:uid="{1BACA2CF-2FC7-4B15-A166-2E71193FA48F}">
      <formula1>1</formula1>
      <formula2>6</formula2>
    </dataValidation>
    <dataValidation type="list" allowBlank="1" showInputMessage="1" showErrorMessage="1" sqref="E256 E320:E321 E269:E272 H279" xr:uid="{F78C3737-854F-4D73-B597-040D1E67C661}">
      <formula1>DataVal_YesNo</formula1>
    </dataValidation>
    <dataValidation type="decimal" allowBlank="1" showInputMessage="1" showErrorMessage="1" sqref="E260:E265" xr:uid="{B7072AE0-2420-49B3-A16E-7A6E5875AB38}">
      <formula1>0</formula1>
      <formula2>999999999</formula2>
    </dataValidation>
    <dataValidation type="decimal" allowBlank="1" showInputMessage="1" showErrorMessage="1" sqref="H318:H319 H307:H308" xr:uid="{6EA7013C-C376-49A8-A04C-3D5433BD3810}">
      <formula1>0</formula1>
      <formula2>50</formula2>
    </dataValidation>
    <dataValidation type="whole" allowBlank="1" showInputMessage="1" showErrorMessage="1" sqref="E153" xr:uid="{2569D51B-0414-46CB-B772-E9D5220172E7}">
      <formula1>0</formula1>
      <formula2>J153</formula2>
    </dataValidation>
    <dataValidation type="whole" allowBlank="1" showInputMessage="1" showErrorMessage="1" sqref="E296 E338:E343" xr:uid="{37456A80-6D72-4429-B183-7C7CCD367EAC}">
      <formula1>0</formula1>
      <formula2>99999999999</formula2>
    </dataValidation>
    <dataValidation type="whole" allowBlank="1" showInputMessage="1" showErrorMessage="1" sqref="E295" xr:uid="{17349319-93AB-44A0-B2A0-271E13276C78}">
      <formula1>1</formula1>
      <formula2>2</formula2>
    </dataValidation>
    <dataValidation type="whole" allowBlank="1" showInputMessage="1" showErrorMessage="1" sqref="E192" xr:uid="{DFFC1D3D-C861-462F-8858-5489F1AC6320}">
      <formula1>1</formula1>
      <formula2>999999</formula2>
    </dataValidation>
    <dataValidation type="whole" allowBlank="1" showInputMessage="1" showErrorMessage="1" sqref="E193:E194" xr:uid="{9D0C26F7-9B3E-4719-84EF-36BB71EB1703}">
      <formula1>J193</formula1>
      <formula2>999999</formula2>
    </dataValidation>
    <dataValidation type="whole" allowBlank="1" showInputMessage="1" showErrorMessage="1" sqref="E124" xr:uid="{AA2EC18C-8441-4EC6-AEAC-DD9C9916C1F9}">
      <formula1>J124</formula1>
      <formula2>9999999</formula2>
    </dataValidation>
    <dataValidation type="decimal" allowBlank="1" showInputMessage="1" showErrorMessage="1" sqref="E287" xr:uid="{25696352-C153-4AEB-9CDB-63BC6B8FA1FF}">
      <formula1>0</formula1>
      <formula2>0.2</formula2>
    </dataValidation>
  </dataValidations>
  <hyperlinks>
    <hyperlink ref="D229" location="'T1. Vaccines'!A1" display="Click here to change vaccine specifications" xr:uid="{0E3715C1-B942-49E7-BC32-DC277D4E5915}"/>
    <hyperlink ref="E144" r:id="rId1" xr:uid="{DB3CF482-3F36-4F10-AB17-BE01E8ABE9D9}"/>
    <hyperlink ref="H144" r:id="rId2" xr:uid="{280C9DAB-E0C8-4D9B-8419-2DD2F0E8CD37}"/>
    <hyperlink ref="K249" r:id="rId3" display="Further reading: Lazarus, J.V., Ratzan, S.C., Palayew, A. et al. A global survey of potential acceptance of a COVID-19 vaccine. Nat Med 27, 225–228 (2021). https://doi.org/10.1038/s41591-020-1124-9" xr:uid="{0B63F888-BF71-4395-BF19-E0BE18362A86}"/>
  </hyperlinks>
  <pageMargins left="0.7" right="0.7" top="0.75" bottom="0.75" header="0.3" footer="0.3"/>
  <pageSetup paperSize="9" orientation="portrait" r:id="rId4"/>
  <drawing r:id="rId5"/>
  <extLst>
    <ext xmlns:x14="http://schemas.microsoft.com/office/spreadsheetml/2009/9/main" uri="{78C0D931-6437-407d-A8EE-F0AAD7539E65}">
      <x14:conditionalFormattings>
        <x14:conditionalFormatting xmlns:xm="http://schemas.microsoft.com/office/excel/2006/main">
          <x14:cfRule type="containsText" priority="38" operator="containsText" id="{70917B80-1400-4D78-84FE-5270EC807DEC}">
            <xm:f>NOT(ISERROR(SEARCH(Lang_LogicPassed,I1)))</xm:f>
            <xm:f>Lang_LogicPassed</xm:f>
            <x14:dxf>
              <fill>
                <patternFill>
                  <bgColor theme="9"/>
                </patternFill>
              </fill>
            </x14:dxf>
          </x14:cfRule>
          <xm:sqref>I1</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xr:uid="{E6B8D803-F79C-417E-81FB-5D4476BE9EF6}">
          <x14:formula1>
            <xm:f>'T6b. FOREX'!$A$2:$A$151</xm:f>
          </x14:formula1>
          <xm:sqref>E9</xm:sqref>
        </x14:dataValidation>
        <x14:dataValidation type="list" allowBlank="1" showInputMessage="1" showErrorMessage="1" xr:uid="{83144AB7-7202-421A-8A04-1A88E0CE4582}">
          <x14:formula1>
            <xm:f>'T2. Misc'!$D$2:$D$6</xm:f>
          </x14:formula1>
          <xm:sqref>E10 E86</xm:sqref>
        </x14:dataValidation>
        <x14:dataValidation type="list" allowBlank="1" showInputMessage="1" showErrorMessage="1" xr:uid="{99D1FF26-04EE-4E4F-9558-D90820EDF2BF}">
          <x14:formula1>
            <xm:f>'T2. Misc'!$G$9:$G$10</xm:f>
          </x14:formula1>
          <xm:sqref>E256</xm:sqref>
        </x14:dataValidation>
        <x14:dataValidation type="list" allowBlank="1" showInputMessage="1" showErrorMessage="1" xr:uid="{2CB187B7-5B71-438D-9F09-8F37F8034087}">
          <x14:formula1>
            <xm:f>'T1. Vaccines'!$C$8:$C$37</xm:f>
          </x14:formula1>
          <xm:sqref>E225:E228</xm:sqref>
        </x14:dataValidation>
        <x14:dataValidation type="list" allowBlank="1" showInputMessage="1" showErrorMessage="1" xr:uid="{388C25A8-752E-46DC-88DF-21B3F9278764}">
          <x14:formula1>
            <xm:f>'T2. Misc'!$G$18:$G$19</xm:f>
          </x14:formula1>
          <xm:sqref>E220</xm:sqref>
        </x14:dataValidation>
        <x14:dataValidation type="list" showInputMessage="1" showErrorMessage="1" xr:uid="{5F77CF01-A50F-4E82-AFCD-B3BF3B6B9968}">
          <x14:formula1>
            <xm:f>'T2. Misc'!$G$12:$G$13</xm:f>
          </x14:formula1>
          <xm:sqref>E214</xm:sqref>
        </x14:dataValidation>
        <x14:dataValidation type="list" allowBlank="1" showInputMessage="1" showErrorMessage="1" xr:uid="{52BC744E-3585-44BE-88E2-6DD588FADE30}">
          <x14:formula1>
            <xm:f>'T2. Misc'!$G$2:$G$4</xm:f>
          </x14:formula1>
          <xm:sqref>E293 E298 E286 E300:E302</xm:sqref>
        </x14:dataValidation>
        <x14:dataValidation type="list" allowBlank="1" showInputMessage="1" showErrorMessage="1" xr:uid="{57084472-AF41-4726-B377-4C4485515211}">
          <x14:formula1>
            <xm:f>'T2. Misc'!$D$2:$D$51</xm:f>
          </x14:formula1>
          <xm:sqref>E86</xm:sqref>
        </x14:dataValidation>
        <x14:dataValidation type="list" allowBlank="1" showInputMessage="1" showErrorMessage="1" xr:uid="{B567AADC-4F1C-4E79-97E7-B146C68BD135}">
          <x14:formula1>
            <xm:f>'T0. Language Parameters'!$AJ$2:$AL$2</xm:f>
          </x14:formula1>
          <xm:sqref>E280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6B2FC-8BEE-4897-807D-9183849044A6}">
  <sheetPr>
    <tabColor rgb="FF7030A0"/>
  </sheetPr>
  <dimension ref="A1:C260"/>
  <sheetViews>
    <sheetView workbookViewId="0"/>
  </sheetViews>
  <sheetFormatPr defaultRowHeight="12.75" x14ac:dyDescent="0.2"/>
  <cols>
    <col min="1" max="1" width="15.140625" customWidth="1"/>
    <col min="2" max="2" width="17.85546875" style="16" customWidth="1"/>
  </cols>
  <sheetData>
    <row r="1" spans="1:2" x14ac:dyDescent="0.2">
      <c r="A1" t="s">
        <v>2197</v>
      </c>
      <c r="B1" s="16" t="s">
        <v>4570</v>
      </c>
    </row>
    <row r="2" spans="1:2" x14ac:dyDescent="0.2">
      <c r="A2" t="s">
        <v>263</v>
      </c>
      <c r="B2" s="16">
        <v>38928000</v>
      </c>
    </row>
    <row r="3" spans="1:2" x14ac:dyDescent="0.2">
      <c r="A3" t="s">
        <v>309</v>
      </c>
      <c r="B3" s="16">
        <v>2850000</v>
      </c>
    </row>
    <row r="4" spans="1:2" x14ac:dyDescent="0.2">
      <c r="A4" t="s">
        <v>117</v>
      </c>
      <c r="B4" s="16">
        <v>43851000</v>
      </c>
    </row>
    <row r="5" spans="1:2" x14ac:dyDescent="0.2">
      <c r="A5" t="s">
        <v>2199</v>
      </c>
      <c r="B5" s="16">
        <v>55000</v>
      </c>
    </row>
    <row r="6" spans="1:2" x14ac:dyDescent="0.2">
      <c r="A6" t="s">
        <v>313</v>
      </c>
      <c r="B6" s="16">
        <v>77000</v>
      </c>
    </row>
    <row r="7" spans="1:2" x14ac:dyDescent="0.2">
      <c r="A7" t="s">
        <v>85</v>
      </c>
      <c r="B7" s="16">
        <v>32866000</v>
      </c>
    </row>
    <row r="8" spans="1:2" x14ac:dyDescent="0.2">
      <c r="A8" t="s">
        <v>193</v>
      </c>
      <c r="B8" s="16">
        <v>98000</v>
      </c>
    </row>
    <row r="9" spans="1:2" x14ac:dyDescent="0.2">
      <c r="A9" t="s">
        <v>2198</v>
      </c>
      <c r="B9" s="16">
        <v>436078000</v>
      </c>
    </row>
    <row r="10" spans="1:2" x14ac:dyDescent="0.2">
      <c r="A10" t="s">
        <v>189</v>
      </c>
      <c r="B10" s="16">
        <v>45350000</v>
      </c>
    </row>
    <row r="11" spans="1:2" x14ac:dyDescent="0.2">
      <c r="A11" t="s">
        <v>315</v>
      </c>
      <c r="B11" s="16">
        <v>2963000</v>
      </c>
    </row>
    <row r="12" spans="1:2" x14ac:dyDescent="0.2">
      <c r="A12" t="s">
        <v>503</v>
      </c>
      <c r="B12" s="16">
        <v>107000</v>
      </c>
    </row>
    <row r="13" spans="1:2" x14ac:dyDescent="0.2">
      <c r="A13" t="s">
        <v>441</v>
      </c>
      <c r="B13" s="16">
        <v>25651000</v>
      </c>
    </row>
    <row r="14" spans="1:2" x14ac:dyDescent="0.2">
      <c r="A14" t="s">
        <v>317</v>
      </c>
      <c r="B14" s="16">
        <v>8912000</v>
      </c>
    </row>
    <row r="15" spans="1:2" x14ac:dyDescent="0.2">
      <c r="A15" t="s">
        <v>319</v>
      </c>
      <c r="B15" s="16">
        <v>10112000</v>
      </c>
    </row>
    <row r="16" spans="1:2" x14ac:dyDescent="0.2">
      <c r="A16" t="s">
        <v>195</v>
      </c>
      <c r="B16" s="16">
        <v>393000</v>
      </c>
    </row>
    <row r="17" spans="1:2" x14ac:dyDescent="0.2">
      <c r="A17" t="s">
        <v>269</v>
      </c>
      <c r="B17" s="16">
        <v>1702000</v>
      </c>
    </row>
    <row r="18" spans="1:2" x14ac:dyDescent="0.2">
      <c r="A18" t="s">
        <v>417</v>
      </c>
      <c r="B18" s="16">
        <v>164689000</v>
      </c>
    </row>
    <row r="19" spans="1:2" x14ac:dyDescent="0.2">
      <c r="A19" t="s">
        <v>204</v>
      </c>
      <c r="B19" s="16">
        <v>287000</v>
      </c>
    </row>
    <row r="20" spans="1:2" x14ac:dyDescent="0.2">
      <c r="A20" t="s">
        <v>327</v>
      </c>
      <c r="B20" s="16">
        <v>9459000</v>
      </c>
    </row>
    <row r="21" spans="1:2" x14ac:dyDescent="0.2">
      <c r="A21" t="s">
        <v>321</v>
      </c>
      <c r="B21" s="16">
        <v>11525000</v>
      </c>
    </row>
    <row r="22" spans="1:2" x14ac:dyDescent="0.2">
      <c r="A22" t="s">
        <v>198</v>
      </c>
      <c r="B22" s="16">
        <v>398000</v>
      </c>
    </row>
    <row r="23" spans="1:2" x14ac:dyDescent="0.2">
      <c r="A23" t="s">
        <v>95</v>
      </c>
      <c r="B23" s="16">
        <v>12123000</v>
      </c>
    </row>
    <row r="24" spans="1:2" x14ac:dyDescent="0.2">
      <c r="A24" t="s">
        <v>2200</v>
      </c>
    </row>
    <row r="25" spans="1:2" x14ac:dyDescent="0.2">
      <c r="A25" t="s">
        <v>420</v>
      </c>
      <c r="B25" s="16">
        <v>772000</v>
      </c>
    </row>
    <row r="26" spans="1:2" x14ac:dyDescent="0.2">
      <c r="A26" t="s">
        <v>200</v>
      </c>
      <c r="B26" s="16">
        <v>11673000</v>
      </c>
    </row>
    <row r="27" spans="1:2" x14ac:dyDescent="0.2">
      <c r="A27" t="s">
        <v>325</v>
      </c>
      <c r="B27" s="16">
        <v>3281000</v>
      </c>
    </row>
    <row r="28" spans="1:2" x14ac:dyDescent="0.2">
      <c r="A28" t="s">
        <v>99</v>
      </c>
      <c r="B28" s="16">
        <v>2352000</v>
      </c>
    </row>
    <row r="29" spans="1:2" x14ac:dyDescent="0.2">
      <c r="A29" t="s">
        <v>202</v>
      </c>
      <c r="B29" s="16">
        <v>212559000</v>
      </c>
    </row>
    <row r="30" spans="1:2" x14ac:dyDescent="0.2">
      <c r="A30" t="s">
        <v>2255</v>
      </c>
      <c r="B30" s="16">
        <v>30000</v>
      </c>
    </row>
    <row r="31" spans="1:2" x14ac:dyDescent="0.2">
      <c r="A31" t="s">
        <v>444</v>
      </c>
      <c r="B31" s="16">
        <v>437000</v>
      </c>
    </row>
    <row r="32" spans="1:2" x14ac:dyDescent="0.2">
      <c r="A32" t="s">
        <v>323</v>
      </c>
      <c r="B32" s="16">
        <v>6923000</v>
      </c>
    </row>
    <row r="33" spans="1:2" x14ac:dyDescent="0.2">
      <c r="A33" t="s">
        <v>97</v>
      </c>
      <c r="B33" s="16">
        <v>20903000</v>
      </c>
    </row>
    <row r="34" spans="1:2" x14ac:dyDescent="0.2">
      <c r="A34" t="s">
        <v>91</v>
      </c>
      <c r="B34" s="16">
        <v>11891000</v>
      </c>
    </row>
    <row r="35" spans="1:2" x14ac:dyDescent="0.2">
      <c r="A35" t="s">
        <v>115</v>
      </c>
      <c r="B35" s="16">
        <v>556000</v>
      </c>
    </row>
    <row r="36" spans="1:2" x14ac:dyDescent="0.2">
      <c r="A36" t="s">
        <v>456</v>
      </c>
      <c r="B36" s="16">
        <v>16719000</v>
      </c>
    </row>
    <row r="37" spans="1:2" x14ac:dyDescent="0.2">
      <c r="A37" t="s">
        <v>106</v>
      </c>
      <c r="B37" s="16">
        <v>26546000</v>
      </c>
    </row>
    <row r="38" spans="1:2" x14ac:dyDescent="0.2">
      <c r="A38" t="s">
        <v>206</v>
      </c>
      <c r="B38" s="16">
        <v>37912000</v>
      </c>
    </row>
    <row r="39" spans="1:2" x14ac:dyDescent="0.2">
      <c r="A39" t="s">
        <v>2202</v>
      </c>
      <c r="B39" s="16">
        <v>7443000</v>
      </c>
    </row>
    <row r="40" spans="1:2" x14ac:dyDescent="0.2">
      <c r="A40" t="s">
        <v>2203</v>
      </c>
      <c r="B40" s="16">
        <v>66000</v>
      </c>
    </row>
    <row r="41" spans="1:2" x14ac:dyDescent="0.2">
      <c r="A41" t="s">
        <v>102</v>
      </c>
      <c r="B41" s="16">
        <v>4830000</v>
      </c>
    </row>
    <row r="42" spans="1:2" x14ac:dyDescent="0.2">
      <c r="A42" t="s">
        <v>2201</v>
      </c>
      <c r="B42" s="16">
        <v>102066000</v>
      </c>
    </row>
    <row r="43" spans="1:2" x14ac:dyDescent="0.2">
      <c r="A43" t="s">
        <v>175</v>
      </c>
      <c r="B43" s="16">
        <v>16426000</v>
      </c>
    </row>
    <row r="44" spans="1:2" x14ac:dyDescent="0.2">
      <c r="A44" t="s">
        <v>504</v>
      </c>
      <c r="B44" s="16">
        <v>174000</v>
      </c>
    </row>
    <row r="45" spans="1:2" x14ac:dyDescent="0.2">
      <c r="A45" t="s">
        <v>209</v>
      </c>
      <c r="B45" s="16">
        <v>19116000</v>
      </c>
    </row>
    <row r="46" spans="1:2" x14ac:dyDescent="0.2">
      <c r="A46" t="s">
        <v>446</v>
      </c>
      <c r="B46" s="16">
        <v>1402667000</v>
      </c>
    </row>
    <row r="47" spans="1:2" x14ac:dyDescent="0.2">
      <c r="A47" t="s">
        <v>211</v>
      </c>
      <c r="B47" s="16">
        <v>50883000</v>
      </c>
    </row>
    <row r="48" spans="1:2" x14ac:dyDescent="0.2">
      <c r="A48" t="s">
        <v>113</v>
      </c>
      <c r="B48" s="16">
        <v>870000</v>
      </c>
    </row>
    <row r="49" spans="1:2" x14ac:dyDescent="0.2">
      <c r="A49" t="s">
        <v>109</v>
      </c>
      <c r="B49" s="16">
        <v>89561000</v>
      </c>
    </row>
    <row r="50" spans="1:2" x14ac:dyDescent="0.2">
      <c r="A50" t="s">
        <v>111</v>
      </c>
      <c r="B50" s="16">
        <v>5518000</v>
      </c>
    </row>
    <row r="51" spans="1:2" x14ac:dyDescent="0.2">
      <c r="A51" t="s">
        <v>213</v>
      </c>
      <c r="B51" s="16">
        <v>5094000</v>
      </c>
    </row>
    <row r="52" spans="1:2" x14ac:dyDescent="0.2">
      <c r="A52" t="s">
        <v>104</v>
      </c>
      <c r="B52" s="16">
        <v>26378000</v>
      </c>
    </row>
    <row r="53" spans="1:2" x14ac:dyDescent="0.2">
      <c r="A53" t="s">
        <v>353</v>
      </c>
      <c r="B53" s="16">
        <v>4043000</v>
      </c>
    </row>
    <row r="54" spans="1:2" x14ac:dyDescent="0.2">
      <c r="A54" t="s">
        <v>215</v>
      </c>
      <c r="B54" s="16">
        <v>11327000</v>
      </c>
    </row>
    <row r="55" spans="1:2" x14ac:dyDescent="0.2">
      <c r="A55" t="s">
        <v>505</v>
      </c>
      <c r="B55" s="16">
        <v>158000</v>
      </c>
    </row>
    <row r="56" spans="1:2" x14ac:dyDescent="0.2">
      <c r="A56" t="s">
        <v>331</v>
      </c>
      <c r="B56" s="16">
        <v>1207000</v>
      </c>
    </row>
    <row r="57" spans="1:2" x14ac:dyDescent="0.2">
      <c r="A57" t="s">
        <v>333</v>
      </c>
      <c r="B57" s="16">
        <v>10688000</v>
      </c>
    </row>
    <row r="58" spans="1:2" x14ac:dyDescent="0.2">
      <c r="A58" t="s">
        <v>337</v>
      </c>
      <c r="B58" s="16">
        <v>5838000</v>
      </c>
    </row>
    <row r="59" spans="1:2" x14ac:dyDescent="0.2">
      <c r="A59" t="s">
        <v>271</v>
      </c>
      <c r="B59" s="16">
        <v>988000</v>
      </c>
    </row>
    <row r="60" spans="1:2" x14ac:dyDescent="0.2">
      <c r="A60" t="s">
        <v>217</v>
      </c>
      <c r="B60" s="16">
        <v>72000</v>
      </c>
    </row>
    <row r="61" spans="1:2" x14ac:dyDescent="0.2">
      <c r="A61" t="s">
        <v>219</v>
      </c>
      <c r="B61" s="16">
        <v>10848000</v>
      </c>
    </row>
    <row r="62" spans="1:2" x14ac:dyDescent="0.2">
      <c r="A62" t="s">
        <v>2205</v>
      </c>
      <c r="B62" s="16">
        <v>3331962000</v>
      </c>
    </row>
    <row r="63" spans="1:2" x14ac:dyDescent="0.2">
      <c r="A63" t="s">
        <v>2206</v>
      </c>
      <c r="B63" s="16">
        <v>2352512000</v>
      </c>
    </row>
    <row r="64" spans="1:2" x14ac:dyDescent="0.2">
      <c r="A64" t="s">
        <v>2204</v>
      </c>
      <c r="B64" s="16">
        <v>2105558000</v>
      </c>
    </row>
    <row r="65" spans="1:3" x14ac:dyDescent="0.2">
      <c r="A65" t="s">
        <v>2248</v>
      </c>
      <c r="B65" s="16">
        <v>2079755000</v>
      </c>
    </row>
    <row r="66" spans="1:3" x14ac:dyDescent="0.2">
      <c r="A66" t="s">
        <v>221</v>
      </c>
      <c r="B66" s="16">
        <v>17643000</v>
      </c>
    </row>
    <row r="67" spans="1:3" x14ac:dyDescent="0.2">
      <c r="A67" t="s">
        <v>273</v>
      </c>
      <c r="B67" s="16">
        <v>102334000</v>
      </c>
    </row>
    <row r="68" spans="1:3" x14ac:dyDescent="0.2">
      <c r="A68" t="s">
        <v>249</v>
      </c>
      <c r="B68" s="16">
        <v>6486000</v>
      </c>
    </row>
    <row r="69" spans="1:3" x14ac:dyDescent="0.2">
      <c r="A69" t="s">
        <v>134</v>
      </c>
      <c r="B69" s="16">
        <v>1403000</v>
      </c>
    </row>
    <row r="70" spans="1:3" x14ac:dyDescent="0.2">
      <c r="A70" t="s">
        <v>120</v>
      </c>
      <c r="B70" s="16">
        <v>3546427</v>
      </c>
      <c r="C70" s="2" t="s">
        <v>4571</v>
      </c>
    </row>
    <row r="71" spans="1:3" x14ac:dyDescent="0.2">
      <c r="A71" t="s">
        <v>341</v>
      </c>
      <c r="B71" s="16">
        <v>1325000</v>
      </c>
    </row>
    <row r="72" spans="1:3" x14ac:dyDescent="0.2">
      <c r="A72" t="s">
        <v>171</v>
      </c>
      <c r="B72" s="16">
        <v>1160000</v>
      </c>
    </row>
    <row r="73" spans="1:3" x14ac:dyDescent="0.2">
      <c r="A73" t="s">
        <v>122</v>
      </c>
      <c r="B73" s="16">
        <v>114964000</v>
      </c>
    </row>
    <row r="74" spans="1:3" x14ac:dyDescent="0.2">
      <c r="A74" t="s">
        <v>2209</v>
      </c>
      <c r="B74" s="16">
        <v>342718000</v>
      </c>
    </row>
    <row r="75" spans="1:3" x14ac:dyDescent="0.2">
      <c r="A75" t="s">
        <v>2208</v>
      </c>
      <c r="B75" s="16">
        <v>923217000</v>
      </c>
    </row>
    <row r="76" spans="1:3" x14ac:dyDescent="0.2">
      <c r="A76" t="s">
        <v>2207</v>
      </c>
      <c r="B76" s="16">
        <v>401116000</v>
      </c>
    </row>
    <row r="77" spans="1:3" x14ac:dyDescent="0.2">
      <c r="A77" t="s">
        <v>2249</v>
      </c>
      <c r="B77" s="16">
        <v>462316000</v>
      </c>
    </row>
    <row r="78" spans="1:3" x14ac:dyDescent="0.2">
      <c r="A78" t="s">
        <v>2210</v>
      </c>
      <c r="B78" s="16">
        <v>447454000</v>
      </c>
    </row>
    <row r="79" spans="1:3" x14ac:dyDescent="0.2">
      <c r="A79" t="s">
        <v>2212</v>
      </c>
      <c r="B79" s="16">
        <v>49000</v>
      </c>
    </row>
    <row r="80" spans="1:3" x14ac:dyDescent="0.2">
      <c r="A80" t="s">
        <v>450</v>
      </c>
      <c r="B80" s="16">
        <v>896000</v>
      </c>
    </row>
    <row r="81" spans="1:2" x14ac:dyDescent="0.2">
      <c r="A81" t="s">
        <v>343</v>
      </c>
      <c r="B81" s="16">
        <v>5528000</v>
      </c>
    </row>
    <row r="82" spans="1:2" x14ac:dyDescent="0.2">
      <c r="A82" t="s">
        <v>2211</v>
      </c>
      <c r="B82" s="16">
        <v>816747000</v>
      </c>
    </row>
    <row r="83" spans="1:2" x14ac:dyDescent="0.2">
      <c r="A83" t="s">
        <v>345</v>
      </c>
      <c r="B83" s="16">
        <v>67206000</v>
      </c>
    </row>
    <row r="84" spans="1:2" x14ac:dyDescent="0.2">
      <c r="A84" t="s">
        <v>516</v>
      </c>
      <c r="B84" s="16">
        <v>281000</v>
      </c>
    </row>
    <row r="85" spans="1:2" x14ac:dyDescent="0.2">
      <c r="A85" t="s">
        <v>124</v>
      </c>
      <c r="B85" s="16">
        <v>2226000</v>
      </c>
    </row>
    <row r="86" spans="1:2" x14ac:dyDescent="0.2">
      <c r="A86" t="s">
        <v>130</v>
      </c>
      <c r="B86" s="16">
        <v>2417000</v>
      </c>
    </row>
    <row r="87" spans="1:2" x14ac:dyDescent="0.2">
      <c r="A87" t="s">
        <v>349</v>
      </c>
      <c r="B87" s="16">
        <v>3711000</v>
      </c>
    </row>
    <row r="88" spans="1:2" x14ac:dyDescent="0.2">
      <c r="A88" t="s">
        <v>335</v>
      </c>
      <c r="B88" s="16">
        <v>83191000</v>
      </c>
    </row>
    <row r="89" spans="1:2" x14ac:dyDescent="0.2">
      <c r="A89" t="s">
        <v>126</v>
      </c>
      <c r="B89" s="16">
        <v>31073000</v>
      </c>
    </row>
    <row r="90" spans="1:2" x14ac:dyDescent="0.2">
      <c r="A90" t="s">
        <v>2213</v>
      </c>
      <c r="B90" s="16">
        <v>34000</v>
      </c>
    </row>
    <row r="91" spans="1:2" x14ac:dyDescent="0.2">
      <c r="A91" t="s">
        <v>351</v>
      </c>
      <c r="B91" s="16">
        <v>10657000</v>
      </c>
    </row>
    <row r="92" spans="1:2" x14ac:dyDescent="0.2">
      <c r="A92" t="s">
        <v>2214</v>
      </c>
    </row>
    <row r="93" spans="1:2" x14ac:dyDescent="0.2">
      <c r="A93" t="s">
        <v>223</v>
      </c>
      <c r="B93" s="16">
        <v>113000</v>
      </c>
    </row>
    <row r="94" spans="1:2" x14ac:dyDescent="0.2">
      <c r="A94" t="s">
        <v>509</v>
      </c>
      <c r="B94" s="16">
        <v>169000</v>
      </c>
    </row>
    <row r="95" spans="1:2" x14ac:dyDescent="0.2">
      <c r="A95" t="s">
        <v>225</v>
      </c>
      <c r="B95" s="16">
        <v>16918000</v>
      </c>
    </row>
    <row r="96" spans="1:2" x14ac:dyDescent="0.2">
      <c r="A96" t="s">
        <v>128</v>
      </c>
      <c r="B96" s="16">
        <v>13133000</v>
      </c>
    </row>
    <row r="97" spans="1:2" x14ac:dyDescent="0.2">
      <c r="A97" t="s">
        <v>132</v>
      </c>
      <c r="B97" s="16">
        <v>1968000</v>
      </c>
    </row>
    <row r="98" spans="1:2" x14ac:dyDescent="0.2">
      <c r="A98" t="s">
        <v>227</v>
      </c>
      <c r="B98" s="16">
        <v>787000</v>
      </c>
    </row>
    <row r="99" spans="1:2" x14ac:dyDescent="0.2">
      <c r="A99" t="s">
        <v>231</v>
      </c>
      <c r="B99" s="16">
        <v>11403000</v>
      </c>
    </row>
    <row r="100" spans="1:2" x14ac:dyDescent="0.2">
      <c r="A100" t="s">
        <v>2216</v>
      </c>
      <c r="B100" s="16">
        <v>823482000</v>
      </c>
    </row>
    <row r="101" spans="1:2" x14ac:dyDescent="0.2">
      <c r="A101" t="s">
        <v>2215</v>
      </c>
      <c r="B101" s="16">
        <v>1239638000</v>
      </c>
    </row>
    <row r="102" spans="1:2" x14ac:dyDescent="0.2">
      <c r="A102" t="s">
        <v>229</v>
      </c>
      <c r="B102" s="16">
        <v>9905000</v>
      </c>
    </row>
    <row r="103" spans="1:2" x14ac:dyDescent="0.2">
      <c r="A103" t="s">
        <v>510</v>
      </c>
      <c r="B103" s="16">
        <v>7560000</v>
      </c>
    </row>
    <row r="104" spans="1:2" x14ac:dyDescent="0.2">
      <c r="A104" t="s">
        <v>355</v>
      </c>
      <c r="B104" s="16">
        <v>9741000</v>
      </c>
    </row>
    <row r="105" spans="1:2" x14ac:dyDescent="0.2">
      <c r="A105" t="s">
        <v>359</v>
      </c>
      <c r="B105" s="16">
        <v>364000</v>
      </c>
    </row>
    <row r="106" spans="1:2" x14ac:dyDescent="0.2">
      <c r="A106" t="s">
        <v>425</v>
      </c>
      <c r="B106" s="16">
        <v>1380004000</v>
      </c>
    </row>
    <row r="107" spans="1:2" x14ac:dyDescent="0.2">
      <c r="A107" t="s">
        <v>422</v>
      </c>
      <c r="B107" s="16">
        <v>273524000</v>
      </c>
    </row>
    <row r="108" spans="1:2" x14ac:dyDescent="0.2">
      <c r="A108" t="s">
        <v>275</v>
      </c>
      <c r="B108" s="16">
        <v>83993000</v>
      </c>
    </row>
    <row r="109" spans="1:2" x14ac:dyDescent="0.2">
      <c r="A109" t="s">
        <v>277</v>
      </c>
      <c r="B109" s="16">
        <v>40222000</v>
      </c>
    </row>
    <row r="110" spans="1:2" x14ac:dyDescent="0.2">
      <c r="A110" t="s">
        <v>357</v>
      </c>
      <c r="B110" s="16">
        <v>4991000</v>
      </c>
    </row>
    <row r="111" spans="1:2" x14ac:dyDescent="0.2">
      <c r="A111" t="s">
        <v>2221</v>
      </c>
      <c r="B111" s="16">
        <v>85000</v>
      </c>
    </row>
    <row r="112" spans="1:2" x14ac:dyDescent="0.2">
      <c r="A112" t="s">
        <v>361</v>
      </c>
      <c r="B112" s="16">
        <v>9197000</v>
      </c>
    </row>
    <row r="113" spans="1:2" x14ac:dyDescent="0.2">
      <c r="A113" t="s">
        <v>363</v>
      </c>
      <c r="B113" s="16">
        <v>60172000</v>
      </c>
    </row>
    <row r="114" spans="1:2" x14ac:dyDescent="0.2">
      <c r="A114" t="s">
        <v>233</v>
      </c>
      <c r="B114" s="16">
        <v>2961000</v>
      </c>
    </row>
    <row r="115" spans="1:2" x14ac:dyDescent="0.2">
      <c r="A115" t="s">
        <v>454</v>
      </c>
      <c r="B115" s="16">
        <v>125769000</v>
      </c>
    </row>
    <row r="116" spans="1:2" x14ac:dyDescent="0.2">
      <c r="A116" t="s">
        <v>279</v>
      </c>
      <c r="B116" s="16">
        <v>10203000</v>
      </c>
    </row>
    <row r="117" spans="1:2" x14ac:dyDescent="0.2">
      <c r="A117" t="s">
        <v>365</v>
      </c>
      <c r="B117" s="16">
        <v>18733000</v>
      </c>
    </row>
    <row r="118" spans="1:2" x14ac:dyDescent="0.2">
      <c r="A118" t="s">
        <v>136</v>
      </c>
      <c r="B118" s="16">
        <v>53771000</v>
      </c>
    </row>
    <row r="119" spans="1:2" x14ac:dyDescent="0.2">
      <c r="A119" t="s">
        <v>458</v>
      </c>
      <c r="B119" s="16">
        <v>119000</v>
      </c>
    </row>
    <row r="120" spans="1:2" x14ac:dyDescent="0.2">
      <c r="A120" t="s">
        <v>435</v>
      </c>
      <c r="B120" s="16">
        <v>25779000</v>
      </c>
    </row>
    <row r="121" spans="1:2" x14ac:dyDescent="0.2">
      <c r="A121" t="s">
        <v>460</v>
      </c>
      <c r="B121" s="16">
        <v>51727000</v>
      </c>
    </row>
    <row r="122" spans="1:2" x14ac:dyDescent="0.2">
      <c r="A122" t="s">
        <v>2257</v>
      </c>
      <c r="B122" s="16">
        <v>1806000</v>
      </c>
    </row>
    <row r="123" spans="1:2" x14ac:dyDescent="0.2">
      <c r="A123" t="s">
        <v>281</v>
      </c>
      <c r="B123" s="16">
        <v>4271000</v>
      </c>
    </row>
    <row r="124" spans="1:2" x14ac:dyDescent="0.2">
      <c r="A124" t="s">
        <v>367</v>
      </c>
      <c r="B124" s="16">
        <v>6565000</v>
      </c>
    </row>
    <row r="125" spans="1:2" x14ac:dyDescent="0.2">
      <c r="A125" t="s">
        <v>462</v>
      </c>
      <c r="B125" s="16">
        <v>7276000</v>
      </c>
    </row>
    <row r="126" spans="1:2" x14ac:dyDescent="0.2">
      <c r="A126" t="s">
        <v>2230</v>
      </c>
      <c r="B126" s="16">
        <v>2308543000</v>
      </c>
    </row>
    <row r="127" spans="1:2" x14ac:dyDescent="0.2">
      <c r="A127" t="s">
        <v>2224</v>
      </c>
      <c r="B127" s="16">
        <v>652201000</v>
      </c>
    </row>
    <row r="128" spans="1:2" x14ac:dyDescent="0.2">
      <c r="A128" t="s">
        <v>2223</v>
      </c>
      <c r="B128" s="16">
        <v>619401000</v>
      </c>
    </row>
    <row r="129" spans="1:2" x14ac:dyDescent="0.2">
      <c r="A129" t="s">
        <v>2250</v>
      </c>
      <c r="B129" s="16">
        <v>636529000</v>
      </c>
    </row>
    <row r="130" spans="1:2" x14ac:dyDescent="0.2">
      <c r="A130" t="s">
        <v>373</v>
      </c>
      <c r="B130" s="16">
        <v>1893000</v>
      </c>
    </row>
    <row r="131" spans="1:2" x14ac:dyDescent="0.2">
      <c r="A131" t="s">
        <v>2225</v>
      </c>
      <c r="B131" s="16">
        <v>1057439000</v>
      </c>
    </row>
    <row r="132" spans="1:2" x14ac:dyDescent="0.2">
      <c r="A132" t="s">
        <v>283</v>
      </c>
      <c r="B132" s="16">
        <v>6825000</v>
      </c>
    </row>
    <row r="133" spans="1:2" x14ac:dyDescent="0.2">
      <c r="A133" t="s">
        <v>140</v>
      </c>
      <c r="B133" s="16">
        <v>2142000</v>
      </c>
    </row>
    <row r="134" spans="1:2" x14ac:dyDescent="0.2">
      <c r="A134" t="s">
        <v>138</v>
      </c>
      <c r="B134" s="16">
        <v>5058000</v>
      </c>
    </row>
    <row r="135" spans="1:2" x14ac:dyDescent="0.2">
      <c r="A135" t="s">
        <v>285</v>
      </c>
      <c r="B135" s="16">
        <v>6871000</v>
      </c>
    </row>
    <row r="136" spans="1:2" x14ac:dyDescent="0.2">
      <c r="A136" t="s">
        <v>2227</v>
      </c>
      <c r="B136" s="16">
        <v>38000</v>
      </c>
    </row>
    <row r="137" spans="1:2" x14ac:dyDescent="0.2">
      <c r="A137" t="s">
        <v>369</v>
      </c>
      <c r="B137" s="16">
        <v>2753000</v>
      </c>
    </row>
    <row r="138" spans="1:2" x14ac:dyDescent="0.2">
      <c r="A138" t="s">
        <v>2229</v>
      </c>
      <c r="B138" s="16">
        <v>6513764000</v>
      </c>
    </row>
    <row r="139" spans="1:2" x14ac:dyDescent="0.2">
      <c r="A139" t="s">
        <v>2226</v>
      </c>
      <c r="B139" s="16">
        <v>686091000</v>
      </c>
    </row>
    <row r="140" spans="1:2" x14ac:dyDescent="0.2">
      <c r="A140" t="s">
        <v>2228</v>
      </c>
      <c r="B140" s="16">
        <v>2954025000</v>
      </c>
    </row>
    <row r="141" spans="1:2" x14ac:dyDescent="0.2">
      <c r="A141" t="s">
        <v>371</v>
      </c>
      <c r="B141" s="16">
        <v>629000</v>
      </c>
    </row>
    <row r="142" spans="1:2" x14ac:dyDescent="0.2">
      <c r="A142" t="s">
        <v>511</v>
      </c>
      <c r="B142" s="16">
        <v>649000</v>
      </c>
    </row>
    <row r="143" spans="1:2" x14ac:dyDescent="0.2">
      <c r="A143" t="s">
        <v>142</v>
      </c>
      <c r="B143" s="16">
        <v>27691000</v>
      </c>
    </row>
    <row r="144" spans="1:2" x14ac:dyDescent="0.2">
      <c r="A144" t="s">
        <v>153</v>
      </c>
      <c r="B144" s="16">
        <v>19130000</v>
      </c>
    </row>
    <row r="145" spans="1:2" x14ac:dyDescent="0.2">
      <c r="A145" t="s">
        <v>468</v>
      </c>
      <c r="B145" s="16">
        <v>32366000</v>
      </c>
    </row>
    <row r="146" spans="1:2" x14ac:dyDescent="0.2">
      <c r="A146" t="s">
        <v>429</v>
      </c>
      <c r="B146" s="16">
        <v>541000</v>
      </c>
    </row>
    <row r="147" spans="1:2" x14ac:dyDescent="0.2">
      <c r="A147" t="s">
        <v>144</v>
      </c>
      <c r="B147" s="16">
        <v>20251000</v>
      </c>
    </row>
    <row r="148" spans="1:2" x14ac:dyDescent="0.2">
      <c r="A148" t="s">
        <v>381</v>
      </c>
      <c r="B148" s="16">
        <v>504000</v>
      </c>
    </row>
    <row r="149" spans="1:2" x14ac:dyDescent="0.2">
      <c r="A149" t="s">
        <v>464</v>
      </c>
      <c r="B149" s="16">
        <v>59000</v>
      </c>
    </row>
    <row r="150" spans="1:2" x14ac:dyDescent="0.2">
      <c r="A150" t="s">
        <v>148</v>
      </c>
      <c r="B150" s="16">
        <v>4650000</v>
      </c>
    </row>
    <row r="151" spans="1:2" x14ac:dyDescent="0.2">
      <c r="A151" t="s">
        <v>150</v>
      </c>
      <c r="B151" s="16">
        <v>1268000</v>
      </c>
    </row>
    <row r="152" spans="1:2" x14ac:dyDescent="0.2">
      <c r="A152" t="s">
        <v>239</v>
      </c>
      <c r="B152" s="16">
        <v>128933000</v>
      </c>
    </row>
    <row r="153" spans="1:2" x14ac:dyDescent="0.2">
      <c r="A153" t="s">
        <v>452</v>
      </c>
      <c r="B153" s="16">
        <v>115000</v>
      </c>
    </row>
    <row r="154" spans="1:2" x14ac:dyDescent="0.2">
      <c r="A154" t="s">
        <v>2232</v>
      </c>
      <c r="B154" s="16">
        <v>464510000</v>
      </c>
    </row>
    <row r="155" spans="1:2" x14ac:dyDescent="0.2">
      <c r="A155" t="s">
        <v>2234</v>
      </c>
      <c r="B155" s="16">
        <v>396144000</v>
      </c>
    </row>
    <row r="156" spans="1:2" x14ac:dyDescent="0.2">
      <c r="A156" t="s">
        <v>2251</v>
      </c>
      <c r="B156" s="16">
        <v>391344000</v>
      </c>
    </row>
    <row r="157" spans="1:2" x14ac:dyDescent="0.2">
      <c r="A157" t="s">
        <v>2233</v>
      </c>
      <c r="B157" s="16">
        <v>5827673000</v>
      </c>
    </row>
    <row r="158" spans="1:2" x14ac:dyDescent="0.2">
      <c r="A158" t="s">
        <v>377</v>
      </c>
      <c r="B158" s="16">
        <v>2651000</v>
      </c>
    </row>
    <row r="159" spans="1:2" x14ac:dyDescent="0.2">
      <c r="A159" t="s">
        <v>375</v>
      </c>
      <c r="B159" s="16">
        <v>39000</v>
      </c>
    </row>
    <row r="160" spans="1:2" x14ac:dyDescent="0.2">
      <c r="A160" t="s">
        <v>466</v>
      </c>
      <c r="B160" s="16">
        <v>3278000</v>
      </c>
    </row>
    <row r="161" spans="1:2" x14ac:dyDescent="0.2">
      <c r="A161" t="s">
        <v>383</v>
      </c>
      <c r="B161" s="16">
        <v>622000</v>
      </c>
    </row>
    <row r="162" spans="1:2" x14ac:dyDescent="0.2">
      <c r="A162" t="s">
        <v>287</v>
      </c>
      <c r="B162" s="16">
        <v>36911000</v>
      </c>
    </row>
    <row r="163" spans="1:2" x14ac:dyDescent="0.2">
      <c r="A163" t="s">
        <v>146</v>
      </c>
      <c r="B163" s="16">
        <v>31255000</v>
      </c>
    </row>
    <row r="164" spans="1:2" x14ac:dyDescent="0.2">
      <c r="A164" t="s">
        <v>431</v>
      </c>
      <c r="B164" s="16">
        <v>54410000</v>
      </c>
    </row>
    <row r="165" spans="1:2" x14ac:dyDescent="0.2">
      <c r="A165" t="s">
        <v>155</v>
      </c>
      <c r="B165" s="16">
        <v>2541000</v>
      </c>
    </row>
    <row r="166" spans="1:2" x14ac:dyDescent="0.2">
      <c r="A166" t="s">
        <v>472</v>
      </c>
      <c r="B166" s="16">
        <v>13000</v>
      </c>
    </row>
    <row r="167" spans="1:2" x14ac:dyDescent="0.2">
      <c r="A167" t="s">
        <v>433</v>
      </c>
      <c r="B167" s="16">
        <v>29137000</v>
      </c>
    </row>
    <row r="168" spans="1:2" x14ac:dyDescent="0.2">
      <c r="A168" t="s">
        <v>385</v>
      </c>
      <c r="B168" s="16">
        <v>17368000</v>
      </c>
    </row>
    <row r="169" spans="1:2" x14ac:dyDescent="0.2">
      <c r="A169" t="s">
        <v>514</v>
      </c>
      <c r="B169" s="16">
        <v>291000</v>
      </c>
    </row>
    <row r="170" spans="1:2" x14ac:dyDescent="0.2">
      <c r="A170" t="s">
        <v>474</v>
      </c>
      <c r="B170" s="16">
        <v>4955000</v>
      </c>
    </row>
    <row r="171" spans="1:2" x14ac:dyDescent="0.2">
      <c r="A171" t="s">
        <v>241</v>
      </c>
      <c r="B171" s="16">
        <v>6625000</v>
      </c>
    </row>
    <row r="172" spans="1:2" x14ac:dyDescent="0.2">
      <c r="A172" t="s">
        <v>157</v>
      </c>
      <c r="B172" s="16">
        <v>24207000</v>
      </c>
    </row>
    <row r="173" spans="1:2" x14ac:dyDescent="0.2">
      <c r="A173" t="s">
        <v>159</v>
      </c>
      <c r="B173" s="16">
        <v>206140000</v>
      </c>
    </row>
    <row r="174" spans="1:2" x14ac:dyDescent="0.2">
      <c r="A174" t="s">
        <v>2236</v>
      </c>
      <c r="B174" s="16">
        <v>368051000</v>
      </c>
    </row>
    <row r="175" spans="1:2" x14ac:dyDescent="0.2">
      <c r="A175" t="s">
        <v>379</v>
      </c>
      <c r="B175" s="16">
        <v>2083000</v>
      </c>
    </row>
    <row r="176" spans="1:2" x14ac:dyDescent="0.2">
      <c r="A176" t="s">
        <v>2235</v>
      </c>
      <c r="B176" s="16">
        <v>58000</v>
      </c>
    </row>
    <row r="177" spans="1:2" x14ac:dyDescent="0.2">
      <c r="A177" t="s">
        <v>387</v>
      </c>
      <c r="B177" s="16">
        <v>5391000</v>
      </c>
    </row>
    <row r="178" spans="1:2" x14ac:dyDescent="0.2">
      <c r="A178" t="s">
        <v>2222</v>
      </c>
    </row>
    <row r="179" spans="1:2" x14ac:dyDescent="0.2">
      <c r="A179" t="s">
        <v>2237</v>
      </c>
      <c r="B179" s="16">
        <v>1365704000</v>
      </c>
    </row>
    <row r="180" spans="1:2" x14ac:dyDescent="0.2">
      <c r="A180" t="s">
        <v>289</v>
      </c>
      <c r="B180" s="16">
        <v>5107000</v>
      </c>
    </row>
    <row r="181" spans="1:2" x14ac:dyDescent="0.2">
      <c r="A181" t="s">
        <v>2238</v>
      </c>
      <c r="B181" s="16">
        <v>31915000</v>
      </c>
    </row>
    <row r="182" spans="1:2" x14ac:dyDescent="0.2">
      <c r="A182" t="s">
        <v>2240</v>
      </c>
      <c r="B182" s="16">
        <v>2530000</v>
      </c>
    </row>
    <row r="183" spans="1:2" x14ac:dyDescent="0.2">
      <c r="A183" t="s">
        <v>291</v>
      </c>
      <c r="B183" s="16">
        <v>220892000</v>
      </c>
    </row>
    <row r="184" spans="1:2" x14ac:dyDescent="0.2">
      <c r="A184" t="s">
        <v>478</v>
      </c>
      <c r="B184" s="16">
        <v>18000</v>
      </c>
    </row>
    <row r="185" spans="1:2" x14ac:dyDescent="0.2">
      <c r="A185" t="s">
        <v>243</v>
      </c>
      <c r="B185" s="16">
        <v>4315000</v>
      </c>
    </row>
    <row r="186" spans="1:2" x14ac:dyDescent="0.2">
      <c r="A186" t="s">
        <v>480</v>
      </c>
      <c r="B186" s="16">
        <v>8947000</v>
      </c>
    </row>
    <row r="187" spans="1:2" x14ac:dyDescent="0.2">
      <c r="A187" t="s">
        <v>247</v>
      </c>
      <c r="B187" s="16">
        <v>7133000</v>
      </c>
    </row>
    <row r="188" spans="1:2" x14ac:dyDescent="0.2">
      <c r="A188" t="s">
        <v>245</v>
      </c>
      <c r="B188" s="16">
        <v>32972000</v>
      </c>
    </row>
    <row r="189" spans="1:2" x14ac:dyDescent="0.2">
      <c r="A189" t="s">
        <v>476</v>
      </c>
      <c r="B189" s="16">
        <v>109581000</v>
      </c>
    </row>
    <row r="190" spans="1:2" x14ac:dyDescent="0.2">
      <c r="A190" t="s">
        <v>389</v>
      </c>
      <c r="B190" s="16">
        <v>37919000</v>
      </c>
    </row>
    <row r="191" spans="1:2" x14ac:dyDescent="0.2">
      <c r="A191" t="s">
        <v>391</v>
      </c>
      <c r="B191" s="16">
        <v>10237000</v>
      </c>
    </row>
    <row r="192" spans="1:2" x14ac:dyDescent="0.2">
      <c r="A192" t="s">
        <v>2241</v>
      </c>
      <c r="B192" s="16">
        <v>1115289000</v>
      </c>
    </row>
    <row r="193" spans="1:2" x14ac:dyDescent="0.2">
      <c r="A193" t="s">
        <v>2239</v>
      </c>
      <c r="B193" s="16">
        <v>970795000</v>
      </c>
    </row>
    <row r="194" spans="1:2" x14ac:dyDescent="0.2">
      <c r="A194" t="s">
        <v>515</v>
      </c>
      <c r="B194" s="16">
        <v>3159000</v>
      </c>
    </row>
    <row r="195" spans="1:2" x14ac:dyDescent="0.2">
      <c r="A195" t="s">
        <v>295</v>
      </c>
      <c r="B195" s="16">
        <v>2881000</v>
      </c>
    </row>
    <row r="196" spans="1:2" x14ac:dyDescent="0.2">
      <c r="A196" t="s">
        <v>393</v>
      </c>
      <c r="B196" s="16">
        <v>19238000</v>
      </c>
    </row>
    <row r="197" spans="1:2" x14ac:dyDescent="0.2">
      <c r="A197" t="s">
        <v>395</v>
      </c>
      <c r="B197" s="16">
        <v>144346000</v>
      </c>
    </row>
    <row r="198" spans="1:2" x14ac:dyDescent="0.2">
      <c r="A198" t="s">
        <v>161</v>
      </c>
      <c r="B198" s="16">
        <v>12952000</v>
      </c>
    </row>
    <row r="199" spans="1:2" x14ac:dyDescent="0.2">
      <c r="A199" t="s">
        <v>494</v>
      </c>
      <c r="B199" s="16">
        <v>198000</v>
      </c>
    </row>
    <row r="200" spans="1:2" x14ac:dyDescent="0.2">
      <c r="A200" t="s">
        <v>397</v>
      </c>
      <c r="B200" s="16">
        <v>34000</v>
      </c>
    </row>
    <row r="201" spans="1:2" x14ac:dyDescent="0.2">
      <c r="A201" t="s">
        <v>169</v>
      </c>
      <c r="B201" s="16">
        <v>219000</v>
      </c>
    </row>
    <row r="202" spans="1:2" x14ac:dyDescent="0.2">
      <c r="A202" t="s">
        <v>297</v>
      </c>
      <c r="B202" s="16">
        <v>34814000</v>
      </c>
    </row>
    <row r="203" spans="1:2" x14ac:dyDescent="0.2">
      <c r="A203" t="s">
        <v>163</v>
      </c>
      <c r="B203" s="16">
        <v>16744000</v>
      </c>
    </row>
    <row r="204" spans="1:2" x14ac:dyDescent="0.2">
      <c r="A204" t="s">
        <v>399</v>
      </c>
      <c r="B204" s="16">
        <v>6911000</v>
      </c>
    </row>
    <row r="205" spans="1:2" x14ac:dyDescent="0.2">
      <c r="A205" t="s">
        <v>173</v>
      </c>
      <c r="B205" s="16">
        <v>98000</v>
      </c>
    </row>
    <row r="206" spans="1:2" x14ac:dyDescent="0.2">
      <c r="A206" t="s">
        <v>165</v>
      </c>
      <c r="B206" s="16">
        <v>7977000</v>
      </c>
    </row>
    <row r="207" spans="1:2" x14ac:dyDescent="0.2">
      <c r="A207" t="s">
        <v>482</v>
      </c>
      <c r="B207" s="16">
        <v>5751000</v>
      </c>
    </row>
    <row r="208" spans="1:2" x14ac:dyDescent="0.2">
      <c r="A208" t="s">
        <v>2246</v>
      </c>
    </row>
    <row r="209" spans="1:2" x14ac:dyDescent="0.2">
      <c r="A209" t="s">
        <v>401</v>
      </c>
      <c r="B209" s="16">
        <v>5455000</v>
      </c>
    </row>
    <row r="210" spans="1:2" x14ac:dyDescent="0.2">
      <c r="A210" t="s">
        <v>403</v>
      </c>
      <c r="B210" s="16">
        <v>2088000</v>
      </c>
    </row>
    <row r="211" spans="1:2" x14ac:dyDescent="0.2">
      <c r="A211" t="s">
        <v>2245</v>
      </c>
      <c r="B211" s="16">
        <v>41888000</v>
      </c>
    </row>
    <row r="212" spans="1:2" x14ac:dyDescent="0.2">
      <c r="A212" t="s">
        <v>484</v>
      </c>
      <c r="B212" s="16">
        <v>687000</v>
      </c>
    </row>
    <row r="213" spans="1:2" x14ac:dyDescent="0.2">
      <c r="A213" t="s">
        <v>301</v>
      </c>
      <c r="B213" s="16">
        <v>15893000</v>
      </c>
    </row>
    <row r="214" spans="1:2" x14ac:dyDescent="0.2">
      <c r="A214" t="s">
        <v>183</v>
      </c>
      <c r="B214" s="16">
        <v>59309000</v>
      </c>
    </row>
    <row r="215" spans="1:2" x14ac:dyDescent="0.2">
      <c r="A215" t="s">
        <v>2242</v>
      </c>
      <c r="B215" s="16">
        <v>1856861000</v>
      </c>
    </row>
    <row r="216" spans="1:2" x14ac:dyDescent="0.2">
      <c r="A216" t="s">
        <v>2252</v>
      </c>
      <c r="B216" s="16">
        <v>1856861000</v>
      </c>
    </row>
    <row r="217" spans="1:2" x14ac:dyDescent="0.2">
      <c r="A217" t="s">
        <v>167</v>
      </c>
      <c r="B217" s="16">
        <v>11194000</v>
      </c>
    </row>
    <row r="218" spans="1:2" x14ac:dyDescent="0.2">
      <c r="A218" t="s">
        <v>339</v>
      </c>
      <c r="B218" s="16">
        <v>47077000</v>
      </c>
    </row>
    <row r="219" spans="1:2" x14ac:dyDescent="0.2">
      <c r="A219" t="s">
        <v>427</v>
      </c>
      <c r="B219" s="16">
        <v>21898000</v>
      </c>
    </row>
    <row r="220" spans="1:2" x14ac:dyDescent="0.2">
      <c r="A220" t="s">
        <v>235</v>
      </c>
      <c r="B220" s="16">
        <v>53000</v>
      </c>
    </row>
    <row r="221" spans="1:2" x14ac:dyDescent="0.2">
      <c r="A221" t="s">
        <v>237</v>
      </c>
      <c r="B221" s="16">
        <v>184000</v>
      </c>
    </row>
    <row r="222" spans="1:2" x14ac:dyDescent="0.2">
      <c r="A222" t="s">
        <v>2231</v>
      </c>
    </row>
    <row r="223" spans="1:2" x14ac:dyDescent="0.2">
      <c r="A223" t="s">
        <v>259</v>
      </c>
      <c r="B223" s="16">
        <v>111000</v>
      </c>
    </row>
    <row r="224" spans="1:2" x14ac:dyDescent="0.2">
      <c r="A224" t="s">
        <v>2244</v>
      </c>
      <c r="B224" s="16">
        <v>1136050000</v>
      </c>
    </row>
    <row r="225" spans="1:2" x14ac:dyDescent="0.2">
      <c r="A225" t="s">
        <v>2243</v>
      </c>
      <c r="B225" s="16">
        <v>1134684000</v>
      </c>
    </row>
    <row r="226" spans="1:2" x14ac:dyDescent="0.2">
      <c r="A226" t="s">
        <v>2253</v>
      </c>
      <c r="B226" s="16">
        <v>1136050000</v>
      </c>
    </row>
    <row r="227" spans="1:2" x14ac:dyDescent="0.2">
      <c r="A227" t="s">
        <v>299</v>
      </c>
      <c r="B227" s="16">
        <v>43849000</v>
      </c>
    </row>
    <row r="228" spans="1:2" x14ac:dyDescent="0.2">
      <c r="A228" t="s">
        <v>251</v>
      </c>
      <c r="B228" s="16">
        <v>587000</v>
      </c>
    </row>
    <row r="229" spans="1:2" x14ac:dyDescent="0.2">
      <c r="A229" t="s">
        <v>405</v>
      </c>
      <c r="B229" s="16">
        <v>10346000</v>
      </c>
    </row>
    <row r="230" spans="1:2" x14ac:dyDescent="0.2">
      <c r="A230" t="s">
        <v>329</v>
      </c>
      <c r="B230" s="16">
        <v>8633000</v>
      </c>
    </row>
    <row r="231" spans="1:2" x14ac:dyDescent="0.2">
      <c r="A231" t="s">
        <v>303</v>
      </c>
      <c r="B231" s="16">
        <v>17501000</v>
      </c>
    </row>
    <row r="232" spans="1:2" x14ac:dyDescent="0.2">
      <c r="A232" t="s">
        <v>407</v>
      </c>
      <c r="B232" s="16">
        <v>9538000</v>
      </c>
    </row>
    <row r="233" spans="1:2" x14ac:dyDescent="0.2">
      <c r="A233" t="s">
        <v>179</v>
      </c>
      <c r="B233" s="16">
        <v>59734000</v>
      </c>
    </row>
    <row r="234" spans="1:2" x14ac:dyDescent="0.2">
      <c r="A234" t="s">
        <v>437</v>
      </c>
      <c r="B234" s="16">
        <v>69800000</v>
      </c>
    </row>
    <row r="235" spans="1:2" x14ac:dyDescent="0.2">
      <c r="A235" t="s">
        <v>439</v>
      </c>
      <c r="B235" s="16">
        <v>1318000</v>
      </c>
    </row>
    <row r="236" spans="1:2" x14ac:dyDescent="0.2">
      <c r="A236" t="s">
        <v>177</v>
      </c>
      <c r="B236" s="16">
        <v>8279000</v>
      </c>
    </row>
    <row r="237" spans="1:2" x14ac:dyDescent="0.2">
      <c r="A237" t="s">
        <v>486</v>
      </c>
      <c r="B237" s="16">
        <v>106000</v>
      </c>
    </row>
    <row r="238" spans="1:2" x14ac:dyDescent="0.2">
      <c r="A238" t="s">
        <v>253</v>
      </c>
      <c r="B238" s="16">
        <v>1399000</v>
      </c>
    </row>
    <row r="239" spans="1:2" x14ac:dyDescent="0.2">
      <c r="A239" t="s">
        <v>305</v>
      </c>
      <c r="B239" s="16">
        <v>11819000</v>
      </c>
    </row>
    <row r="240" spans="1:2" x14ac:dyDescent="0.2">
      <c r="A240" t="s">
        <v>411</v>
      </c>
      <c r="B240" s="16">
        <v>84339000</v>
      </c>
    </row>
    <row r="241" spans="1:2" x14ac:dyDescent="0.2">
      <c r="A241" t="s">
        <v>409</v>
      </c>
      <c r="B241" s="16">
        <v>6031000</v>
      </c>
    </row>
    <row r="242" spans="1:2" x14ac:dyDescent="0.2">
      <c r="A242" t="s">
        <v>2247</v>
      </c>
      <c r="B242" s="16">
        <v>39000</v>
      </c>
    </row>
    <row r="243" spans="1:2" x14ac:dyDescent="0.2">
      <c r="A243" t="s">
        <v>488</v>
      </c>
      <c r="B243" s="16">
        <v>12000</v>
      </c>
    </row>
    <row r="244" spans="1:2" x14ac:dyDescent="0.2">
      <c r="A244" t="s">
        <v>181</v>
      </c>
      <c r="B244" s="16">
        <v>45741000</v>
      </c>
    </row>
    <row r="245" spans="1:2" x14ac:dyDescent="0.2">
      <c r="A245" t="s">
        <v>413</v>
      </c>
      <c r="B245" s="16">
        <v>44118000</v>
      </c>
    </row>
    <row r="246" spans="1:2" x14ac:dyDescent="0.2">
      <c r="A246" t="s">
        <v>267</v>
      </c>
      <c r="B246" s="16">
        <v>9890000</v>
      </c>
    </row>
    <row r="247" spans="1:2" x14ac:dyDescent="0.2">
      <c r="A247" t="s">
        <v>347</v>
      </c>
      <c r="B247" s="16">
        <v>67156000</v>
      </c>
    </row>
    <row r="248" spans="1:2" x14ac:dyDescent="0.2">
      <c r="A248" t="s">
        <v>257</v>
      </c>
      <c r="B248" s="16">
        <v>330139000</v>
      </c>
    </row>
    <row r="249" spans="1:2" x14ac:dyDescent="0.2">
      <c r="A249" t="s">
        <v>2254</v>
      </c>
      <c r="B249" s="16">
        <v>2873648000</v>
      </c>
    </row>
    <row r="250" spans="1:2" x14ac:dyDescent="0.2">
      <c r="A250" t="s">
        <v>255</v>
      </c>
      <c r="B250" s="16">
        <v>3474000</v>
      </c>
    </row>
    <row r="251" spans="1:2" x14ac:dyDescent="0.2">
      <c r="A251" t="s">
        <v>415</v>
      </c>
      <c r="B251" s="16">
        <v>34074000</v>
      </c>
    </row>
    <row r="252" spans="1:2" x14ac:dyDescent="0.2">
      <c r="A252" t="s">
        <v>492</v>
      </c>
      <c r="B252" s="16">
        <v>307000</v>
      </c>
    </row>
    <row r="253" spans="1:2" x14ac:dyDescent="0.2">
      <c r="A253" t="s">
        <v>261</v>
      </c>
      <c r="B253" s="16">
        <v>28436000</v>
      </c>
    </row>
    <row r="254" spans="1:2" x14ac:dyDescent="0.2">
      <c r="A254" t="s">
        <v>490</v>
      </c>
      <c r="B254" s="16">
        <v>97339000</v>
      </c>
    </row>
    <row r="255" spans="1:2" x14ac:dyDescent="0.2">
      <c r="A255" t="s">
        <v>519</v>
      </c>
      <c r="B255" s="16">
        <v>106000</v>
      </c>
    </row>
    <row r="256" spans="1:2" x14ac:dyDescent="0.2">
      <c r="A256" t="s">
        <v>293</v>
      </c>
      <c r="B256" s="16">
        <v>4800000</v>
      </c>
    </row>
    <row r="257" spans="1:2" x14ac:dyDescent="0.2">
      <c r="A257" t="s">
        <v>2256</v>
      </c>
      <c r="B257" s="16">
        <v>7753402000</v>
      </c>
    </row>
    <row r="258" spans="1:2" x14ac:dyDescent="0.2">
      <c r="A258" t="s">
        <v>307</v>
      </c>
      <c r="B258" s="16">
        <v>29826000</v>
      </c>
    </row>
    <row r="259" spans="1:2" x14ac:dyDescent="0.2">
      <c r="A259" t="s">
        <v>185</v>
      </c>
      <c r="B259" s="16">
        <v>18384000</v>
      </c>
    </row>
    <row r="260" spans="1:2" x14ac:dyDescent="0.2">
      <c r="A260" t="s">
        <v>187</v>
      </c>
      <c r="B260" s="16">
        <v>14863000</v>
      </c>
    </row>
  </sheetData>
  <pageMargins left="0.7" right="0.7" top="0.75" bottom="0.75" header="0.3" footer="0.3"/>
  <pageSetup paperSize="9" orientation="portrait" horizontalDpi="0" verticalDpi="0" r:id="rId1"/>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42E40-A9E4-4617-B40A-96EBC89B4AC1}">
  <sheetPr codeName="Sheet20">
    <tabColor rgb="FF7030A0"/>
  </sheetPr>
  <dimension ref="A1:K150"/>
  <sheetViews>
    <sheetView workbookViewId="0"/>
  </sheetViews>
  <sheetFormatPr defaultRowHeight="12.75" x14ac:dyDescent="0.2"/>
  <cols>
    <col min="1" max="1" width="25.28515625" bestFit="1" customWidth="1"/>
    <col min="2" max="2" width="30.28515625" bestFit="1" customWidth="1"/>
    <col min="3" max="3" width="54" bestFit="1" customWidth="1"/>
    <col min="4" max="5" width="15.140625" bestFit="1" customWidth="1"/>
    <col min="6" max="6" width="12.140625" bestFit="1" customWidth="1"/>
    <col min="7" max="7" width="16.42578125" bestFit="1" customWidth="1"/>
    <col min="8" max="8" width="32.5703125" bestFit="1" customWidth="1"/>
    <col min="9" max="9" width="15.42578125" bestFit="1" customWidth="1"/>
    <col min="10" max="10" width="13.42578125" bestFit="1" customWidth="1"/>
    <col min="11" max="11" width="54" bestFit="1" customWidth="1"/>
  </cols>
  <sheetData>
    <row r="1" spans="1:11" x14ac:dyDescent="0.2">
      <c r="A1" t="s">
        <v>1718</v>
      </c>
      <c r="B1" t="s">
        <v>1719</v>
      </c>
      <c r="C1" t="s">
        <v>1720</v>
      </c>
      <c r="D1" t="s">
        <v>1722</v>
      </c>
      <c r="E1" t="s">
        <v>1721</v>
      </c>
      <c r="F1" t="s">
        <v>1723</v>
      </c>
      <c r="G1" t="s">
        <v>1724</v>
      </c>
      <c r="H1" t="s">
        <v>1725</v>
      </c>
      <c r="I1" t="s">
        <v>1726</v>
      </c>
      <c r="J1" t="s">
        <v>1727</v>
      </c>
      <c r="K1" t="s">
        <v>1728</v>
      </c>
    </row>
    <row r="2" spans="1:11" x14ac:dyDescent="0.2">
      <c r="A2" s="108" t="s">
        <v>14758</v>
      </c>
      <c r="B2" s="108" t="s">
        <v>1729</v>
      </c>
      <c r="C2" s="108" t="s">
        <v>14759</v>
      </c>
      <c r="D2" s="109">
        <v>44648.329872685186</v>
      </c>
      <c r="E2" s="108" t="s">
        <v>26</v>
      </c>
      <c r="F2" s="108" t="s">
        <v>1730</v>
      </c>
      <c r="G2" s="108" t="s">
        <v>311</v>
      </c>
      <c r="H2" s="108" t="s">
        <v>1731</v>
      </c>
      <c r="I2" s="15">
        <v>0.90843706999999996</v>
      </c>
      <c r="J2" s="15">
        <v>1.1007917199999999</v>
      </c>
      <c r="K2" s="108" t="s">
        <v>14760</v>
      </c>
    </row>
    <row r="3" spans="1:11" x14ac:dyDescent="0.2">
      <c r="A3" s="108" t="s">
        <v>14761</v>
      </c>
      <c r="B3" s="108" t="s">
        <v>1732</v>
      </c>
      <c r="C3" s="108" t="s">
        <v>14762</v>
      </c>
      <c r="D3" s="109">
        <v>44648.329872685186</v>
      </c>
      <c r="E3" s="108" t="s">
        <v>26</v>
      </c>
      <c r="F3" s="108" t="s">
        <v>1730</v>
      </c>
      <c r="G3" s="108" t="s">
        <v>1733</v>
      </c>
      <c r="H3" s="108" t="s">
        <v>1734</v>
      </c>
      <c r="I3" s="15">
        <v>0.75795935999999997</v>
      </c>
      <c r="J3" s="15">
        <v>1.31933195</v>
      </c>
      <c r="K3" s="108" t="s">
        <v>14763</v>
      </c>
    </row>
    <row r="4" spans="1:11" x14ac:dyDescent="0.2">
      <c r="A4" s="108" t="s">
        <v>14764</v>
      </c>
      <c r="B4" s="108" t="s">
        <v>1741</v>
      </c>
      <c r="C4" s="108" t="s">
        <v>14765</v>
      </c>
      <c r="D4" s="109">
        <v>44648.329872685186</v>
      </c>
      <c r="E4" s="108" t="s">
        <v>26</v>
      </c>
      <c r="F4" s="108" t="s">
        <v>1730</v>
      </c>
      <c r="G4" s="108" t="s">
        <v>1742</v>
      </c>
      <c r="H4" s="108" t="s">
        <v>1743</v>
      </c>
      <c r="I4" s="15">
        <v>121.74124263</v>
      </c>
      <c r="J4" s="15">
        <v>8.21414E-3</v>
      </c>
      <c r="K4" s="108" t="s">
        <v>14766</v>
      </c>
    </row>
    <row r="5" spans="1:11" x14ac:dyDescent="0.2">
      <c r="A5" s="108" t="s">
        <v>14767</v>
      </c>
      <c r="B5" s="108" t="s">
        <v>1735</v>
      </c>
      <c r="C5" s="108" t="s">
        <v>14768</v>
      </c>
      <c r="D5" s="109">
        <v>44648.329872685186</v>
      </c>
      <c r="E5" s="108" t="s">
        <v>26</v>
      </c>
      <c r="F5" s="108" t="s">
        <v>1730</v>
      </c>
      <c r="G5" s="108" t="s">
        <v>1736</v>
      </c>
      <c r="H5" s="108" t="s">
        <v>1737</v>
      </c>
      <c r="I5" s="15">
        <v>1.3298314</v>
      </c>
      <c r="J5" s="15">
        <v>0.75197502000000005</v>
      </c>
      <c r="K5" s="108" t="s">
        <v>14769</v>
      </c>
    </row>
    <row r="6" spans="1:11" x14ac:dyDescent="0.2">
      <c r="A6" s="108" t="s">
        <v>14770</v>
      </c>
      <c r="B6" s="108" t="s">
        <v>1744</v>
      </c>
      <c r="C6" s="108" t="s">
        <v>14771</v>
      </c>
      <c r="D6" s="109">
        <v>44648.329872685186</v>
      </c>
      <c r="E6" s="108" t="s">
        <v>26</v>
      </c>
      <c r="F6" s="108" t="s">
        <v>1730</v>
      </c>
      <c r="G6" s="108" t="s">
        <v>1745</v>
      </c>
      <c r="H6" s="108" t="s">
        <v>1746</v>
      </c>
      <c r="I6" s="15">
        <v>0.92767812999999999</v>
      </c>
      <c r="J6" s="15">
        <v>1.07796008</v>
      </c>
      <c r="K6" s="108" t="s">
        <v>14772</v>
      </c>
    </row>
    <row r="7" spans="1:11" x14ac:dyDescent="0.2">
      <c r="A7" s="108" t="s">
        <v>14773</v>
      </c>
      <c r="B7" s="108" t="s">
        <v>1738</v>
      </c>
      <c r="C7" s="108" t="s">
        <v>14774</v>
      </c>
      <c r="D7" s="109">
        <v>44648.329872685186</v>
      </c>
      <c r="E7" s="108" t="s">
        <v>26</v>
      </c>
      <c r="F7" s="108" t="s">
        <v>1730</v>
      </c>
      <c r="G7" s="108" t="s">
        <v>1739</v>
      </c>
      <c r="H7" s="108" t="s">
        <v>1740</v>
      </c>
      <c r="I7" s="15">
        <v>1.2520722200000001</v>
      </c>
      <c r="J7" s="15">
        <v>0.79867597999999995</v>
      </c>
      <c r="K7" s="108" t="s">
        <v>14775</v>
      </c>
    </row>
    <row r="8" spans="1:11" x14ac:dyDescent="0.2">
      <c r="A8" s="108" t="s">
        <v>14776</v>
      </c>
      <c r="B8" s="108" t="s">
        <v>2047</v>
      </c>
      <c r="C8" s="108" t="s">
        <v>14777</v>
      </c>
      <c r="D8" s="109">
        <v>44648.329872685186</v>
      </c>
      <c r="E8" s="108" t="s">
        <v>26</v>
      </c>
      <c r="F8" s="108" t="s">
        <v>1730</v>
      </c>
      <c r="G8" s="108" t="s">
        <v>2048</v>
      </c>
      <c r="H8" s="108" t="s">
        <v>2049</v>
      </c>
      <c r="I8" s="15">
        <v>6.8604836100000002</v>
      </c>
      <c r="J8" s="15">
        <v>0.14576232</v>
      </c>
      <c r="K8" s="108" t="s">
        <v>14778</v>
      </c>
    </row>
    <row r="9" spans="1:11" x14ac:dyDescent="0.2">
      <c r="A9" s="108" t="s">
        <v>14779</v>
      </c>
      <c r="B9" s="108" t="s">
        <v>1921</v>
      </c>
      <c r="C9" s="108" t="s">
        <v>14780</v>
      </c>
      <c r="D9" s="109">
        <v>44648.329872685186</v>
      </c>
      <c r="E9" s="108" t="s">
        <v>26</v>
      </c>
      <c r="F9" s="108" t="s">
        <v>1730</v>
      </c>
      <c r="G9" s="108" t="s">
        <v>1922</v>
      </c>
      <c r="H9" s="108" t="s">
        <v>1923</v>
      </c>
      <c r="I9" s="15">
        <v>11718.75</v>
      </c>
      <c r="J9" s="15">
        <v>8.5329999999999998E-5</v>
      </c>
      <c r="K9" s="108" t="s">
        <v>14781</v>
      </c>
    </row>
    <row r="10" spans="1:11" x14ac:dyDescent="0.2">
      <c r="A10" s="108" t="s">
        <v>14782</v>
      </c>
      <c r="B10" s="108" t="s">
        <v>1789</v>
      </c>
      <c r="C10" s="108" t="s">
        <v>14783</v>
      </c>
      <c r="D10" s="109">
        <v>44648.329872685186</v>
      </c>
      <c r="E10" s="108" t="s">
        <v>26</v>
      </c>
      <c r="F10" s="108" t="s">
        <v>1730</v>
      </c>
      <c r="G10" s="108" t="s">
        <v>1790</v>
      </c>
      <c r="H10" s="108" t="s">
        <v>1791</v>
      </c>
      <c r="I10" s="15">
        <v>11.658556369999999</v>
      </c>
      <c r="J10" s="15">
        <v>8.5773909999999995E-2</v>
      </c>
      <c r="K10" s="108" t="s">
        <v>14784</v>
      </c>
    </row>
    <row r="11" spans="1:11" x14ac:dyDescent="0.2">
      <c r="A11" s="108" t="s">
        <v>14785</v>
      </c>
      <c r="B11" s="108" t="s">
        <v>1876</v>
      </c>
      <c r="C11" s="108" t="s">
        <v>14786</v>
      </c>
      <c r="D11" s="109">
        <v>44648.329872685186</v>
      </c>
      <c r="E11" s="108" t="s">
        <v>26</v>
      </c>
      <c r="F11" s="108" t="s">
        <v>1730</v>
      </c>
      <c r="G11" s="108" t="s">
        <v>1877</v>
      </c>
      <c r="H11" s="108" t="s">
        <v>1878</v>
      </c>
      <c r="I11" s="15">
        <v>0.30509667000000001</v>
      </c>
      <c r="J11" s="15">
        <v>3.2776497</v>
      </c>
      <c r="K11" s="108" t="s">
        <v>14787</v>
      </c>
    </row>
    <row r="12" spans="1:11" x14ac:dyDescent="0.2">
      <c r="A12" s="108" t="s">
        <v>14788</v>
      </c>
      <c r="B12" s="108" t="s">
        <v>1978</v>
      </c>
      <c r="C12" s="108" t="s">
        <v>14789</v>
      </c>
      <c r="D12" s="109">
        <v>44648.329872685186</v>
      </c>
      <c r="E12" s="108" t="s">
        <v>26</v>
      </c>
      <c r="F12" s="108" t="s">
        <v>1730</v>
      </c>
      <c r="G12" s="108" t="s">
        <v>1979</v>
      </c>
      <c r="H12" s="108" t="s">
        <v>1980</v>
      </c>
      <c r="I12" s="15">
        <v>22.39866756</v>
      </c>
      <c r="J12" s="15">
        <v>4.4645509999999999E-2</v>
      </c>
      <c r="K12" s="108" t="s">
        <v>14790</v>
      </c>
    </row>
    <row r="13" spans="1:11" x14ac:dyDescent="0.2">
      <c r="A13" s="108" t="s">
        <v>14791</v>
      </c>
      <c r="B13" s="108" t="s">
        <v>1882</v>
      </c>
      <c r="C13" s="108" t="s">
        <v>14792</v>
      </c>
      <c r="D13" s="109">
        <v>44648.329872685186</v>
      </c>
      <c r="E13" s="108" t="s">
        <v>26</v>
      </c>
      <c r="F13" s="108" t="s">
        <v>1730</v>
      </c>
      <c r="G13" s="108" t="s">
        <v>1883</v>
      </c>
      <c r="H13" s="108" t="s">
        <v>1884</v>
      </c>
      <c r="I13" s="15">
        <v>417.86207830000001</v>
      </c>
      <c r="J13" s="15">
        <v>2.3931299999999998E-3</v>
      </c>
      <c r="K13" s="108" t="s">
        <v>14793</v>
      </c>
    </row>
    <row r="14" spans="1:11" x14ac:dyDescent="0.2">
      <c r="A14" s="108" t="s">
        <v>14794</v>
      </c>
      <c r="B14" s="108" t="s">
        <v>2041</v>
      </c>
      <c r="C14" s="108" t="s">
        <v>14795</v>
      </c>
      <c r="D14" s="109">
        <v>44648.329872685186</v>
      </c>
      <c r="E14" s="108" t="s">
        <v>26</v>
      </c>
      <c r="F14" s="108" t="s">
        <v>1730</v>
      </c>
      <c r="G14" s="108" t="s">
        <v>2042</v>
      </c>
      <c r="H14" s="108" t="s">
        <v>2043</v>
      </c>
      <c r="I14" s="15">
        <v>3.5921237800000001</v>
      </c>
      <c r="J14" s="15">
        <v>0.27838684000000002</v>
      </c>
      <c r="K14" s="108" t="s">
        <v>14796</v>
      </c>
    </row>
    <row r="15" spans="1:11" x14ac:dyDescent="0.2">
      <c r="A15" s="108" t="s">
        <v>14797</v>
      </c>
      <c r="B15" s="108" t="s">
        <v>2074</v>
      </c>
      <c r="C15" s="108" t="s">
        <v>14798</v>
      </c>
      <c r="D15" s="109">
        <v>44648.329872685186</v>
      </c>
      <c r="E15" s="108" t="s">
        <v>26</v>
      </c>
      <c r="F15" s="108" t="s">
        <v>1730</v>
      </c>
      <c r="G15" s="108" t="s">
        <v>2075</v>
      </c>
      <c r="H15" s="108" t="s">
        <v>2076</v>
      </c>
      <c r="I15" s="15">
        <v>51.83293269</v>
      </c>
      <c r="J15" s="15">
        <v>1.9292750000000001E-2</v>
      </c>
      <c r="K15" s="108" t="s">
        <v>14799</v>
      </c>
    </row>
    <row r="16" spans="1:11" x14ac:dyDescent="0.2">
      <c r="A16" s="108" t="s">
        <v>14800</v>
      </c>
      <c r="B16" s="108" t="s">
        <v>2077</v>
      </c>
      <c r="C16" s="108" t="s">
        <v>14801</v>
      </c>
      <c r="D16" s="109">
        <v>44648.329872685186</v>
      </c>
      <c r="E16" s="108" t="s">
        <v>26</v>
      </c>
      <c r="F16" s="108" t="s">
        <v>1730</v>
      </c>
      <c r="G16" s="108" t="s">
        <v>2078</v>
      </c>
      <c r="H16" s="108" t="s">
        <v>2079</v>
      </c>
      <c r="I16" s="15">
        <v>101.47058824</v>
      </c>
      <c r="J16" s="15">
        <v>9.8550700000000005E-3</v>
      </c>
      <c r="K16" s="108" t="s">
        <v>14802</v>
      </c>
    </row>
    <row r="17" spans="1:11" x14ac:dyDescent="0.2">
      <c r="A17" s="108" t="s">
        <v>14803</v>
      </c>
      <c r="B17" s="108" t="s">
        <v>1945</v>
      </c>
      <c r="C17" s="108" t="s">
        <v>14804</v>
      </c>
      <c r="D17" s="109">
        <v>44648.329872685186</v>
      </c>
      <c r="E17" s="108" t="s">
        <v>26</v>
      </c>
      <c r="F17" s="108" t="s">
        <v>1730</v>
      </c>
      <c r="G17" s="108" t="s">
        <v>1946</v>
      </c>
      <c r="H17" s="108" t="s">
        <v>1947</v>
      </c>
      <c r="I17" s="15">
        <v>458.77659574</v>
      </c>
      <c r="J17" s="15">
        <v>2.1797100000000001E-3</v>
      </c>
      <c r="K17" s="108" t="s">
        <v>14805</v>
      </c>
    </row>
    <row r="18" spans="1:11" x14ac:dyDescent="0.2">
      <c r="A18" s="108" t="s">
        <v>14806</v>
      </c>
      <c r="B18" s="108" t="s">
        <v>1948</v>
      </c>
      <c r="C18" s="108" t="s">
        <v>14807</v>
      </c>
      <c r="D18" s="109">
        <v>44648.329872685186</v>
      </c>
      <c r="E18" s="108" t="s">
        <v>26</v>
      </c>
      <c r="F18" s="108" t="s">
        <v>1730</v>
      </c>
      <c r="G18" s="108" t="s">
        <v>1949</v>
      </c>
      <c r="H18" s="108" t="s">
        <v>1950</v>
      </c>
      <c r="I18" s="15">
        <v>4087.6777251200001</v>
      </c>
      <c r="J18" s="15">
        <v>2.4464000000000002E-4</v>
      </c>
      <c r="K18" s="108" t="s">
        <v>14808</v>
      </c>
    </row>
    <row r="19" spans="1:11" x14ac:dyDescent="0.2">
      <c r="A19" s="108" t="s">
        <v>14809</v>
      </c>
      <c r="B19" s="108" t="s">
        <v>2121</v>
      </c>
      <c r="C19" s="108" t="s">
        <v>14810</v>
      </c>
      <c r="D19" s="109">
        <v>44648.329872685186</v>
      </c>
      <c r="E19" s="108" t="s">
        <v>26</v>
      </c>
      <c r="F19" s="108" t="s">
        <v>1730</v>
      </c>
      <c r="G19" s="108" t="s">
        <v>2122</v>
      </c>
      <c r="H19" s="108" t="s">
        <v>2123</v>
      </c>
      <c r="I19" s="15">
        <v>9.7186078299999998</v>
      </c>
      <c r="J19" s="15">
        <v>0.1028954</v>
      </c>
      <c r="K19" s="108" t="s">
        <v>14811</v>
      </c>
    </row>
    <row r="20" spans="1:11" x14ac:dyDescent="0.2">
      <c r="A20" s="108" t="s">
        <v>14812</v>
      </c>
      <c r="B20" s="108" t="s">
        <v>2169</v>
      </c>
      <c r="C20" s="108" t="s">
        <v>14813</v>
      </c>
      <c r="D20" s="109">
        <v>44648.329872685186</v>
      </c>
      <c r="E20" s="108" t="s">
        <v>26</v>
      </c>
      <c r="F20" s="108" t="s">
        <v>1730</v>
      </c>
      <c r="G20" s="108" t="s">
        <v>2170</v>
      </c>
      <c r="H20" s="108" t="s">
        <v>2171</v>
      </c>
      <c r="I20" s="15">
        <v>4.4973831200000003</v>
      </c>
      <c r="J20" s="15">
        <v>0.22235152999999999</v>
      </c>
      <c r="K20" s="108" t="s">
        <v>14814</v>
      </c>
    </row>
    <row r="21" spans="1:11" x14ac:dyDescent="0.2">
      <c r="A21" s="108" t="s">
        <v>14815</v>
      </c>
      <c r="B21" s="108" t="s">
        <v>1909</v>
      </c>
      <c r="C21" s="108" t="s">
        <v>14816</v>
      </c>
      <c r="D21" s="109">
        <v>44648.329872685186</v>
      </c>
      <c r="E21" s="108" t="s">
        <v>26</v>
      </c>
      <c r="F21" s="108" t="s">
        <v>1730</v>
      </c>
      <c r="G21" s="108" t="s">
        <v>1910</v>
      </c>
      <c r="H21" s="108" t="s">
        <v>1911</v>
      </c>
      <c r="I21" s="15">
        <v>2.8313572599999999</v>
      </c>
      <c r="J21" s="15">
        <v>0.35318749999999999</v>
      </c>
      <c r="K21" s="108" t="s">
        <v>14817</v>
      </c>
    </row>
    <row r="22" spans="1:11" x14ac:dyDescent="0.2">
      <c r="A22" s="108" t="s">
        <v>14818</v>
      </c>
      <c r="B22" s="108" t="s">
        <v>1747</v>
      </c>
      <c r="C22" s="108" t="s">
        <v>14819</v>
      </c>
      <c r="D22" s="109">
        <v>44648.329872685186</v>
      </c>
      <c r="E22" s="108" t="s">
        <v>26</v>
      </c>
      <c r="F22" s="108" t="s">
        <v>1730</v>
      </c>
      <c r="G22" s="108" t="s">
        <v>1748</v>
      </c>
      <c r="H22" s="108" t="s">
        <v>1749</v>
      </c>
      <c r="I22" s="15">
        <v>11.75579164</v>
      </c>
      <c r="J22" s="15">
        <v>8.506445E-2</v>
      </c>
      <c r="K22" s="108" t="s">
        <v>14820</v>
      </c>
    </row>
    <row r="23" spans="1:11" x14ac:dyDescent="0.2">
      <c r="A23" s="108" t="s">
        <v>14821</v>
      </c>
      <c r="B23" s="108" t="s">
        <v>1804</v>
      </c>
      <c r="C23" s="108" t="s">
        <v>14822</v>
      </c>
      <c r="D23" s="109">
        <v>44648.329872685186</v>
      </c>
      <c r="E23" s="108" t="s">
        <v>26</v>
      </c>
      <c r="F23" s="108" t="s">
        <v>1730</v>
      </c>
      <c r="G23" s="108" t="s">
        <v>1805</v>
      </c>
      <c r="H23" s="108" t="s">
        <v>1806</v>
      </c>
      <c r="I23" s="15">
        <v>55.43059126</v>
      </c>
      <c r="J23" s="15">
        <v>1.8040580000000001E-2</v>
      </c>
      <c r="K23" s="108" t="s">
        <v>14823</v>
      </c>
    </row>
    <row r="24" spans="1:11" x14ac:dyDescent="0.2">
      <c r="A24" s="108" t="s">
        <v>14824</v>
      </c>
      <c r="B24" s="108" t="s">
        <v>1834</v>
      </c>
      <c r="C24" s="108" t="s">
        <v>14825</v>
      </c>
      <c r="D24" s="109">
        <v>44648.329872685186</v>
      </c>
      <c r="E24" s="108" t="s">
        <v>26</v>
      </c>
      <c r="F24" s="108" t="s">
        <v>1730</v>
      </c>
      <c r="G24" s="108" t="s">
        <v>1835</v>
      </c>
      <c r="H24" s="108" t="s">
        <v>1836</v>
      </c>
      <c r="I24" s="15">
        <v>1.0082530599999999</v>
      </c>
      <c r="J24" s="15">
        <v>0.99181448999999999</v>
      </c>
      <c r="K24" s="108" t="s">
        <v>14826</v>
      </c>
    </row>
    <row r="25" spans="1:11" x14ac:dyDescent="0.2">
      <c r="A25" s="108" t="s">
        <v>14827</v>
      </c>
      <c r="B25" s="108" t="s">
        <v>2106</v>
      </c>
      <c r="C25" s="108" t="s">
        <v>14828</v>
      </c>
      <c r="D25" s="109">
        <v>44648.329872685186</v>
      </c>
      <c r="E25" s="108" t="s">
        <v>26</v>
      </c>
      <c r="F25" s="108" t="s">
        <v>1730</v>
      </c>
      <c r="G25" s="108" t="s">
        <v>2107</v>
      </c>
      <c r="H25" s="108" t="s">
        <v>2108</v>
      </c>
      <c r="I25" s="15">
        <v>109.42098853</v>
      </c>
      <c r="J25" s="15">
        <v>9.1390099999999995E-3</v>
      </c>
      <c r="K25" s="108" t="s">
        <v>14829</v>
      </c>
    </row>
    <row r="26" spans="1:11" x14ac:dyDescent="0.2">
      <c r="A26" s="108" t="s">
        <v>14830</v>
      </c>
      <c r="B26" s="108" t="s">
        <v>1972</v>
      </c>
      <c r="C26" s="108" t="s">
        <v>14831</v>
      </c>
      <c r="D26" s="109">
        <v>44648.329872685186</v>
      </c>
      <c r="E26" s="108" t="s">
        <v>26</v>
      </c>
      <c r="F26" s="108" t="s">
        <v>1730</v>
      </c>
      <c r="G26" s="108" t="s">
        <v>1973</v>
      </c>
      <c r="H26" s="108" t="s">
        <v>1974</v>
      </c>
      <c r="I26" s="15">
        <v>24.79873491</v>
      </c>
      <c r="J26" s="15">
        <v>4.0324640000000002E-2</v>
      </c>
      <c r="K26" s="108" t="s">
        <v>14832</v>
      </c>
    </row>
    <row r="27" spans="1:11" x14ac:dyDescent="0.2">
      <c r="A27" s="108" t="s">
        <v>14833</v>
      </c>
      <c r="B27" s="108" t="s">
        <v>1843</v>
      </c>
      <c r="C27" s="108" t="s">
        <v>14834</v>
      </c>
      <c r="D27" s="109">
        <v>44648.329872685186</v>
      </c>
      <c r="E27" s="108" t="s">
        <v>26</v>
      </c>
      <c r="F27" s="108" t="s">
        <v>1730</v>
      </c>
      <c r="G27" s="108" t="s">
        <v>1844</v>
      </c>
      <c r="H27" s="108" t="s">
        <v>1845</v>
      </c>
      <c r="I27" s="15">
        <v>14.559419309999999</v>
      </c>
      <c r="J27" s="15">
        <v>6.8684060000000005E-2</v>
      </c>
      <c r="K27" s="108" t="s">
        <v>14835</v>
      </c>
    </row>
    <row r="28" spans="1:11" x14ac:dyDescent="0.2">
      <c r="A28" s="108" t="s">
        <v>14836</v>
      </c>
      <c r="B28" s="108" t="s">
        <v>1798</v>
      </c>
      <c r="C28" s="108" t="s">
        <v>14837</v>
      </c>
      <c r="D28" s="109">
        <v>44648.329872685186</v>
      </c>
      <c r="E28" s="108" t="s">
        <v>26</v>
      </c>
      <c r="F28" s="108" t="s">
        <v>1730</v>
      </c>
      <c r="G28" s="108" t="s">
        <v>1799</v>
      </c>
      <c r="H28" s="108" t="s">
        <v>1800</v>
      </c>
      <c r="I28" s="15">
        <v>0.37797926999999998</v>
      </c>
      <c r="J28" s="15">
        <v>2.6456477399999998</v>
      </c>
      <c r="K28" s="108" t="s">
        <v>14838</v>
      </c>
    </row>
    <row r="29" spans="1:11" x14ac:dyDescent="0.2">
      <c r="A29" s="108" t="s">
        <v>14839</v>
      </c>
      <c r="B29" s="108" t="s">
        <v>2098</v>
      </c>
      <c r="C29" s="108" t="s">
        <v>14840</v>
      </c>
      <c r="D29" s="109">
        <v>44648.329872685186</v>
      </c>
      <c r="E29" s="108" t="s">
        <v>26</v>
      </c>
      <c r="F29" s="108" t="s">
        <v>1730</v>
      </c>
      <c r="G29" s="108" t="s">
        <v>2099</v>
      </c>
      <c r="H29" s="108" t="s">
        <v>2100</v>
      </c>
      <c r="I29" s="15">
        <v>0.38635624000000002</v>
      </c>
      <c r="J29" s="15">
        <v>2.58828485</v>
      </c>
      <c r="K29" s="108" t="s">
        <v>14841</v>
      </c>
    </row>
    <row r="30" spans="1:11" x14ac:dyDescent="0.2">
      <c r="A30" s="108" t="s">
        <v>14842</v>
      </c>
      <c r="B30" s="108" t="s">
        <v>2092</v>
      </c>
      <c r="C30" s="108" t="s">
        <v>14843</v>
      </c>
      <c r="D30" s="109">
        <v>44648.329872685186</v>
      </c>
      <c r="E30" s="108" t="s">
        <v>26</v>
      </c>
      <c r="F30" s="108" t="s">
        <v>1730</v>
      </c>
      <c r="G30" s="108" t="s">
        <v>2093</v>
      </c>
      <c r="H30" s="108" t="s">
        <v>2094</v>
      </c>
      <c r="I30" s="15">
        <v>3.2133453200000002</v>
      </c>
      <c r="J30" s="15">
        <v>0.31120216000000001</v>
      </c>
      <c r="K30" s="108" t="s">
        <v>14844</v>
      </c>
    </row>
    <row r="31" spans="1:11" x14ac:dyDescent="0.2">
      <c r="A31" s="108" t="s">
        <v>14845</v>
      </c>
      <c r="B31" s="108" t="s">
        <v>1957</v>
      </c>
      <c r="C31" s="108" t="s">
        <v>14846</v>
      </c>
      <c r="D31" s="109">
        <v>44648.329872685186</v>
      </c>
      <c r="E31" s="108" t="s">
        <v>26</v>
      </c>
      <c r="F31" s="108" t="s">
        <v>1730</v>
      </c>
      <c r="G31" s="108" t="s">
        <v>1958</v>
      </c>
      <c r="H31" s="108" t="s">
        <v>1959</v>
      </c>
      <c r="I31" s="15">
        <v>4.7368949699999998</v>
      </c>
      <c r="J31" s="15">
        <v>0.21110876000000001</v>
      </c>
      <c r="K31" s="108" t="s">
        <v>14847</v>
      </c>
    </row>
    <row r="32" spans="1:11" x14ac:dyDescent="0.2">
      <c r="A32" s="108" t="s">
        <v>14848</v>
      </c>
      <c r="B32" s="108" t="s">
        <v>1816</v>
      </c>
      <c r="C32" s="108" t="s">
        <v>14849</v>
      </c>
      <c r="D32" s="109">
        <v>44648.329872685186</v>
      </c>
      <c r="E32" s="108" t="s">
        <v>26</v>
      </c>
      <c r="F32" s="108" t="s">
        <v>1730</v>
      </c>
      <c r="G32" s="108" t="s">
        <v>1817</v>
      </c>
      <c r="H32" s="108" t="s">
        <v>1818</v>
      </c>
      <c r="I32" s="15">
        <v>783.44515604000003</v>
      </c>
      <c r="J32" s="15">
        <v>1.27641E-3</v>
      </c>
      <c r="K32" s="108" t="s">
        <v>14850</v>
      </c>
    </row>
    <row r="33" spans="1:11" x14ac:dyDescent="0.2">
      <c r="A33" s="108" t="s">
        <v>14851</v>
      </c>
      <c r="B33" s="108" t="s">
        <v>2086</v>
      </c>
      <c r="C33" s="108" t="s">
        <v>14852</v>
      </c>
      <c r="D33" s="109">
        <v>44648.329872685186</v>
      </c>
      <c r="E33" s="108" t="s">
        <v>26</v>
      </c>
      <c r="F33" s="108" t="s">
        <v>1730</v>
      </c>
      <c r="G33" s="108" t="s">
        <v>2087</v>
      </c>
      <c r="H33" s="108" t="s">
        <v>2088</v>
      </c>
      <c r="I33" s="15">
        <v>1.37152943</v>
      </c>
      <c r="J33" s="15">
        <v>0.72911303999999999</v>
      </c>
      <c r="K33" s="108" t="s">
        <v>14853</v>
      </c>
    </row>
    <row r="34" spans="1:11" x14ac:dyDescent="0.2">
      <c r="A34" s="108" t="s">
        <v>14854</v>
      </c>
      <c r="B34" s="108" t="s">
        <v>2130</v>
      </c>
      <c r="C34" s="108" t="s">
        <v>14855</v>
      </c>
      <c r="D34" s="109">
        <v>44648.329872685186</v>
      </c>
      <c r="E34" s="108" t="s">
        <v>26</v>
      </c>
      <c r="F34" s="108" t="s">
        <v>1730</v>
      </c>
      <c r="G34" s="108" t="s">
        <v>2131</v>
      </c>
      <c r="H34" s="108" t="s">
        <v>2132</v>
      </c>
      <c r="I34" s="15">
        <v>451.75989943000002</v>
      </c>
      <c r="J34" s="15">
        <v>2.2135700000000002E-3</v>
      </c>
      <c r="K34" s="108" t="s">
        <v>14856</v>
      </c>
    </row>
    <row r="35" spans="1:11" x14ac:dyDescent="0.2">
      <c r="A35" s="108" t="s">
        <v>14857</v>
      </c>
      <c r="B35" s="108" t="s">
        <v>1999</v>
      </c>
      <c r="C35" s="108" t="s">
        <v>14858</v>
      </c>
      <c r="D35" s="109">
        <v>44648.329872685186</v>
      </c>
      <c r="E35" s="108" t="s">
        <v>26</v>
      </c>
      <c r="F35" s="108" t="s">
        <v>1730</v>
      </c>
      <c r="G35" s="108" t="s">
        <v>2000</v>
      </c>
      <c r="H35" s="108" t="s">
        <v>2001</v>
      </c>
      <c r="I35" s="15">
        <v>14.968760850000001</v>
      </c>
      <c r="J35" s="15">
        <v>6.6805799999999999E-2</v>
      </c>
      <c r="K35" s="108" t="s">
        <v>14859</v>
      </c>
    </row>
    <row r="36" spans="1:11" x14ac:dyDescent="0.2">
      <c r="A36" s="108" t="s">
        <v>14860</v>
      </c>
      <c r="B36" s="108" t="s">
        <v>1870</v>
      </c>
      <c r="C36" s="108" t="s">
        <v>14861</v>
      </c>
      <c r="D36" s="109">
        <v>44648.329872685186</v>
      </c>
      <c r="E36" s="108" t="s">
        <v>26</v>
      </c>
      <c r="F36" s="108" t="s">
        <v>1730</v>
      </c>
      <c r="G36" s="108" t="s">
        <v>1871</v>
      </c>
      <c r="H36" s="108" t="s">
        <v>1872</v>
      </c>
      <c r="I36" s="15">
        <v>2341.20521173</v>
      </c>
      <c r="J36" s="15">
        <v>4.2713000000000001E-4</v>
      </c>
      <c r="K36" s="108" t="s">
        <v>14862</v>
      </c>
    </row>
    <row r="37" spans="1:11" x14ac:dyDescent="0.2">
      <c r="A37" s="108" t="s">
        <v>14863</v>
      </c>
      <c r="B37" s="108" t="s">
        <v>1771</v>
      </c>
      <c r="C37" s="108" t="s">
        <v>14864</v>
      </c>
      <c r="D37" s="109">
        <v>44648.329872685186</v>
      </c>
      <c r="E37" s="108" t="s">
        <v>26</v>
      </c>
      <c r="F37" s="108" t="s">
        <v>1730</v>
      </c>
      <c r="G37" s="108" t="s">
        <v>1772</v>
      </c>
      <c r="H37" s="108" t="s">
        <v>1773</v>
      </c>
      <c r="I37" s="15">
        <v>88.007876030000006</v>
      </c>
      <c r="J37" s="15">
        <v>1.136262E-2</v>
      </c>
      <c r="K37" s="108" t="s">
        <v>14865</v>
      </c>
    </row>
    <row r="38" spans="1:11" x14ac:dyDescent="0.2">
      <c r="A38" s="108" t="s">
        <v>14866</v>
      </c>
      <c r="B38" s="108" t="s">
        <v>1933</v>
      </c>
      <c r="C38" s="108" t="s">
        <v>14867</v>
      </c>
      <c r="D38" s="109">
        <v>44648.329872685186</v>
      </c>
      <c r="E38" s="108" t="s">
        <v>26</v>
      </c>
      <c r="F38" s="108" t="s">
        <v>1730</v>
      </c>
      <c r="G38" s="108" t="s">
        <v>1934</v>
      </c>
      <c r="H38" s="108" t="s">
        <v>1935</v>
      </c>
      <c r="I38" s="15">
        <v>3.6671452200000001</v>
      </c>
      <c r="J38" s="15">
        <v>0.27269167999999999</v>
      </c>
      <c r="K38" s="108" t="s">
        <v>14868</v>
      </c>
    </row>
    <row r="39" spans="1:11" x14ac:dyDescent="0.2">
      <c r="A39" s="108" t="s">
        <v>14869</v>
      </c>
      <c r="B39" s="108" t="s">
        <v>2166</v>
      </c>
      <c r="C39" s="108" t="s">
        <v>14870</v>
      </c>
      <c r="D39" s="109">
        <v>44648.329872685186</v>
      </c>
      <c r="E39" s="108" t="s">
        <v>26</v>
      </c>
      <c r="F39" s="108" t="s">
        <v>1730</v>
      </c>
      <c r="G39" s="108" t="s">
        <v>2167</v>
      </c>
      <c r="H39" s="108" t="s">
        <v>2168</v>
      </c>
      <c r="I39" s="15">
        <v>4.23991337</v>
      </c>
      <c r="J39" s="15">
        <v>0.23585387999999999</v>
      </c>
      <c r="K39" s="108" t="s">
        <v>14871</v>
      </c>
    </row>
    <row r="40" spans="1:11" x14ac:dyDescent="0.2">
      <c r="A40" s="108" t="s">
        <v>14872</v>
      </c>
      <c r="B40" s="108" t="s">
        <v>2148</v>
      </c>
      <c r="C40" s="108" t="s">
        <v>14873</v>
      </c>
      <c r="D40" s="109">
        <v>44648.329872685186</v>
      </c>
      <c r="E40" s="108" t="s">
        <v>26</v>
      </c>
      <c r="F40" s="108" t="s">
        <v>1730</v>
      </c>
      <c r="G40" s="108" t="s">
        <v>2149</v>
      </c>
      <c r="H40" s="108" t="s">
        <v>2150</v>
      </c>
      <c r="I40" s="15">
        <v>495.00844253999998</v>
      </c>
      <c r="J40" s="15">
        <v>2.02017E-3</v>
      </c>
      <c r="K40" s="108" t="s">
        <v>14874</v>
      </c>
    </row>
    <row r="41" spans="1:11" x14ac:dyDescent="0.2">
      <c r="A41" s="108" t="s">
        <v>14875</v>
      </c>
      <c r="B41" s="108" t="s">
        <v>1756</v>
      </c>
      <c r="C41" s="108" t="s">
        <v>14876</v>
      </c>
      <c r="D41" s="109">
        <v>44648.329872685186</v>
      </c>
      <c r="E41" s="108" t="s">
        <v>26</v>
      </c>
      <c r="F41" s="108" t="s">
        <v>1730</v>
      </c>
      <c r="G41" s="108" t="s">
        <v>1757</v>
      </c>
      <c r="H41" s="108" t="s">
        <v>1758</v>
      </c>
      <c r="I41" s="15">
        <v>106.29861984</v>
      </c>
      <c r="J41" s="15">
        <v>9.4074599999999994E-3</v>
      </c>
      <c r="K41" s="108" t="s">
        <v>14877</v>
      </c>
    </row>
    <row r="42" spans="1:11" x14ac:dyDescent="0.2">
      <c r="A42" s="108" t="s">
        <v>14878</v>
      </c>
      <c r="B42" s="108" t="s">
        <v>2154</v>
      </c>
      <c r="C42" s="108" t="s">
        <v>14879</v>
      </c>
      <c r="D42" s="109">
        <v>44648.329872685186</v>
      </c>
      <c r="E42" s="108" t="s">
        <v>26</v>
      </c>
      <c r="F42" s="108" t="s">
        <v>1730</v>
      </c>
      <c r="G42" s="108" t="s">
        <v>2155</v>
      </c>
      <c r="H42" s="108" t="s">
        <v>2156</v>
      </c>
      <c r="I42" s="15">
        <v>154.56989247000001</v>
      </c>
      <c r="J42" s="15">
        <v>6.46957E-3</v>
      </c>
      <c r="K42" s="108" t="s">
        <v>14880</v>
      </c>
    </row>
    <row r="43" spans="1:11" x14ac:dyDescent="0.2">
      <c r="A43" s="108" t="s">
        <v>14881</v>
      </c>
      <c r="B43" s="108" t="s">
        <v>2157</v>
      </c>
      <c r="C43" s="108" t="s">
        <v>14882</v>
      </c>
      <c r="D43" s="109">
        <v>44648.329872685186</v>
      </c>
      <c r="E43" s="108" t="s">
        <v>26</v>
      </c>
      <c r="F43" s="108" t="s">
        <v>1730</v>
      </c>
      <c r="G43" s="108" t="s">
        <v>2158</v>
      </c>
      <c r="H43" s="108" t="s">
        <v>2159</v>
      </c>
      <c r="I43" s="15">
        <v>434.33376977</v>
      </c>
      <c r="J43" s="15">
        <v>2.3023800000000001E-3</v>
      </c>
      <c r="K43" s="108" t="s">
        <v>14883</v>
      </c>
    </row>
    <row r="44" spans="1:11" x14ac:dyDescent="0.2">
      <c r="A44" s="108" t="s">
        <v>14884</v>
      </c>
      <c r="B44" s="108" t="s">
        <v>2026</v>
      </c>
      <c r="C44" s="108" t="s">
        <v>14885</v>
      </c>
      <c r="D44" s="109">
        <v>44648.329872685186</v>
      </c>
      <c r="E44" s="108" t="s">
        <v>26</v>
      </c>
      <c r="F44" s="108" t="s">
        <v>1730</v>
      </c>
      <c r="G44" s="108" t="s">
        <v>2027</v>
      </c>
      <c r="H44" s="108" t="s">
        <v>2028</v>
      </c>
      <c r="I44" s="15">
        <v>36.764705880000001</v>
      </c>
      <c r="J44" s="15">
        <v>2.7199999999999998E-2</v>
      </c>
      <c r="K44" s="108" t="s">
        <v>14886</v>
      </c>
    </row>
    <row r="45" spans="1:11" x14ac:dyDescent="0.2">
      <c r="A45" s="108" t="s">
        <v>14887</v>
      </c>
      <c r="B45" s="108" t="s">
        <v>1900</v>
      </c>
      <c r="C45" s="108" t="s">
        <v>14888</v>
      </c>
      <c r="D45" s="109">
        <v>44648.329872685186</v>
      </c>
      <c r="E45" s="108" t="s">
        <v>26</v>
      </c>
      <c r="F45" s="108" t="s">
        <v>1730</v>
      </c>
      <c r="G45" s="108" t="s">
        <v>1901</v>
      </c>
      <c r="H45" s="108" t="s">
        <v>1902</v>
      </c>
      <c r="I45" s="15">
        <v>2959.8490047999999</v>
      </c>
      <c r="J45" s="15">
        <v>3.3785999999999999E-4</v>
      </c>
      <c r="K45" s="108" t="s">
        <v>14889</v>
      </c>
    </row>
    <row r="46" spans="1:11" x14ac:dyDescent="0.2">
      <c r="A46" s="108" t="s">
        <v>14890</v>
      </c>
      <c r="B46" s="108" t="s">
        <v>1930</v>
      </c>
      <c r="C46" s="108" t="s">
        <v>14891</v>
      </c>
      <c r="D46" s="109">
        <v>44648.329872685186</v>
      </c>
      <c r="E46" s="108" t="s">
        <v>26</v>
      </c>
      <c r="F46" s="108" t="s">
        <v>1730</v>
      </c>
      <c r="G46" s="108" t="s">
        <v>1931</v>
      </c>
      <c r="H46" s="108" t="s">
        <v>1932</v>
      </c>
      <c r="I46" s="15">
        <v>7.8268313200000001</v>
      </c>
      <c r="J46" s="15">
        <v>0.12776562999999999</v>
      </c>
      <c r="K46" s="108" t="s">
        <v>14892</v>
      </c>
    </row>
    <row r="47" spans="1:11" x14ac:dyDescent="0.2">
      <c r="A47" s="108" t="s">
        <v>14893</v>
      </c>
      <c r="B47" s="108" t="s">
        <v>1981</v>
      </c>
      <c r="C47" s="108" t="s">
        <v>14894</v>
      </c>
      <c r="D47" s="109">
        <v>44648.329872685186</v>
      </c>
      <c r="E47" s="108" t="s">
        <v>26</v>
      </c>
      <c r="F47" s="108" t="s">
        <v>1730</v>
      </c>
      <c r="G47" s="108" t="s">
        <v>1982</v>
      </c>
      <c r="H47" s="108" t="s">
        <v>1983</v>
      </c>
      <c r="I47" s="15">
        <v>33.726065720000001</v>
      </c>
      <c r="J47" s="15">
        <v>2.9650659999999999E-2</v>
      </c>
      <c r="K47" s="108" t="s">
        <v>14895</v>
      </c>
    </row>
    <row r="48" spans="1:11" x14ac:dyDescent="0.2">
      <c r="A48" s="108" t="s">
        <v>14896</v>
      </c>
      <c r="B48" s="108" t="s">
        <v>1984</v>
      </c>
      <c r="C48" s="108" t="s">
        <v>14897</v>
      </c>
      <c r="D48" s="109">
        <v>44648.329872685186</v>
      </c>
      <c r="E48" s="108" t="s">
        <v>26</v>
      </c>
      <c r="F48" s="108" t="s">
        <v>1730</v>
      </c>
      <c r="G48" s="108" t="s">
        <v>1985</v>
      </c>
      <c r="H48" s="108" t="s">
        <v>1986</v>
      </c>
      <c r="I48" s="15">
        <v>597.30199536999999</v>
      </c>
      <c r="J48" s="15">
        <v>1.6741900000000001E-3</v>
      </c>
      <c r="K48" s="108" t="s">
        <v>14898</v>
      </c>
    </row>
    <row r="49" spans="1:11" x14ac:dyDescent="0.2">
      <c r="A49" s="108" t="s">
        <v>14899</v>
      </c>
      <c r="B49" s="108" t="s">
        <v>2071</v>
      </c>
      <c r="C49" s="108" t="s">
        <v>14900</v>
      </c>
      <c r="D49" s="109">
        <v>44648.329872685186</v>
      </c>
      <c r="E49" s="108" t="s">
        <v>26</v>
      </c>
      <c r="F49" s="108" t="s">
        <v>1730</v>
      </c>
      <c r="G49" s="108" t="s">
        <v>2072</v>
      </c>
      <c r="H49" s="108" t="s">
        <v>2073</v>
      </c>
      <c r="I49" s="15">
        <v>43098.152763220001</v>
      </c>
      <c r="J49" s="15">
        <v>2.3200000000000001E-5</v>
      </c>
      <c r="K49" s="108" t="s">
        <v>14901</v>
      </c>
    </row>
    <row r="50" spans="1:11" x14ac:dyDescent="0.2">
      <c r="A50" s="108" t="s">
        <v>14902</v>
      </c>
      <c r="B50" s="108" t="s">
        <v>1858</v>
      </c>
      <c r="C50" s="108" t="s">
        <v>14903</v>
      </c>
      <c r="D50" s="109">
        <v>44648.329872685186</v>
      </c>
      <c r="E50" s="108" t="s">
        <v>26</v>
      </c>
      <c r="F50" s="108" t="s">
        <v>1730</v>
      </c>
      <c r="G50" s="108" t="s">
        <v>1859</v>
      </c>
      <c r="H50" s="108" t="s">
        <v>1860</v>
      </c>
      <c r="I50" s="15">
        <v>42.21294572</v>
      </c>
      <c r="J50" s="15">
        <v>2.3689419999999999E-2</v>
      </c>
      <c r="K50" s="108" t="s">
        <v>14904</v>
      </c>
    </row>
    <row r="51" spans="1:11" x14ac:dyDescent="0.2">
      <c r="A51" s="108" t="s">
        <v>14905</v>
      </c>
      <c r="B51" s="108" t="s">
        <v>1753</v>
      </c>
      <c r="C51" s="108" t="s">
        <v>14906</v>
      </c>
      <c r="D51" s="109">
        <v>44648.329872685186</v>
      </c>
      <c r="E51" s="108" t="s">
        <v>26</v>
      </c>
      <c r="F51" s="108" t="s">
        <v>1730</v>
      </c>
      <c r="G51" s="108" t="s">
        <v>1754</v>
      </c>
      <c r="H51" s="108" t="s">
        <v>1755</v>
      </c>
      <c r="I51" s="15">
        <v>20.85348162</v>
      </c>
      <c r="J51" s="15">
        <v>4.7953620000000002E-2</v>
      </c>
      <c r="K51" s="108" t="s">
        <v>14907</v>
      </c>
    </row>
    <row r="52" spans="1:11" x14ac:dyDescent="0.2">
      <c r="A52" s="108" t="s">
        <v>14908</v>
      </c>
      <c r="B52" s="108" t="s">
        <v>2101</v>
      </c>
      <c r="C52" s="108" t="s">
        <v>14909</v>
      </c>
      <c r="D52" s="109">
        <v>44648.329872685186</v>
      </c>
      <c r="E52" s="108" t="s">
        <v>26</v>
      </c>
      <c r="F52" s="108" t="s">
        <v>1730</v>
      </c>
      <c r="G52" s="108" t="s">
        <v>2102</v>
      </c>
      <c r="H52" s="108" t="s">
        <v>2103</v>
      </c>
      <c r="I52" s="15">
        <v>7.3743160100000003</v>
      </c>
      <c r="J52" s="15">
        <v>0.1356058</v>
      </c>
      <c r="K52" s="108" t="s">
        <v>14910</v>
      </c>
    </row>
    <row r="53" spans="1:11" x14ac:dyDescent="0.2">
      <c r="A53" s="108" t="s">
        <v>14911</v>
      </c>
      <c r="B53" s="108" t="s">
        <v>1924</v>
      </c>
      <c r="C53" s="108" t="s">
        <v>14912</v>
      </c>
      <c r="D53" s="109">
        <v>44648.329872685186</v>
      </c>
      <c r="E53" s="108" t="s">
        <v>26</v>
      </c>
      <c r="F53" s="108" t="s">
        <v>1730</v>
      </c>
      <c r="G53" s="108" t="s">
        <v>1925</v>
      </c>
      <c r="H53" s="108" t="s">
        <v>1926</v>
      </c>
      <c r="I53" s="15">
        <v>1.0082530599999999</v>
      </c>
      <c r="J53" s="15">
        <v>0.99181448999999999</v>
      </c>
      <c r="K53" s="108" t="s">
        <v>14913</v>
      </c>
    </row>
    <row r="54" spans="1:11" x14ac:dyDescent="0.2">
      <c r="A54" s="108" t="s">
        <v>14914</v>
      </c>
      <c r="B54" s="108" t="s">
        <v>1828</v>
      </c>
      <c r="C54" s="108" t="s">
        <v>14915</v>
      </c>
      <c r="D54" s="109">
        <v>44648.329872685186</v>
      </c>
      <c r="E54" s="108" t="s">
        <v>26</v>
      </c>
      <c r="F54" s="108" t="s">
        <v>1730</v>
      </c>
      <c r="G54" s="108" t="s">
        <v>1829</v>
      </c>
      <c r="H54" s="108" t="s">
        <v>1830</v>
      </c>
      <c r="I54" s="15">
        <v>0.71080213999999997</v>
      </c>
      <c r="J54" s="15">
        <v>1.40686128</v>
      </c>
      <c r="K54" s="108" t="s">
        <v>14916</v>
      </c>
    </row>
    <row r="55" spans="1:11" x14ac:dyDescent="0.2">
      <c r="A55" s="108" t="s">
        <v>14917</v>
      </c>
      <c r="B55" s="108" t="s">
        <v>2008</v>
      </c>
      <c r="C55" s="108" t="s">
        <v>14918</v>
      </c>
      <c r="D55" s="109">
        <v>44648.329872685186</v>
      </c>
      <c r="E55" s="108" t="s">
        <v>26</v>
      </c>
      <c r="F55" s="108" t="s">
        <v>1730</v>
      </c>
      <c r="G55" s="108" t="s">
        <v>2009</v>
      </c>
      <c r="H55" s="108" t="s">
        <v>2010</v>
      </c>
      <c r="I55" s="15">
        <v>1.7774296300000001</v>
      </c>
      <c r="J55" s="15">
        <v>0.56261017999999996</v>
      </c>
      <c r="K55" s="108" t="s">
        <v>14919</v>
      </c>
    </row>
    <row r="56" spans="1:11" x14ac:dyDescent="0.2">
      <c r="A56" s="108" t="s">
        <v>14920</v>
      </c>
      <c r="B56" s="108" t="s">
        <v>2011</v>
      </c>
      <c r="C56" s="108" t="s">
        <v>14921</v>
      </c>
      <c r="D56" s="109">
        <v>44648.329872685186</v>
      </c>
      <c r="E56" s="108" t="s">
        <v>26</v>
      </c>
      <c r="F56" s="108" t="s">
        <v>1730</v>
      </c>
      <c r="G56" s="108" t="s">
        <v>2012</v>
      </c>
      <c r="H56" s="108" t="s">
        <v>2013</v>
      </c>
      <c r="I56" s="15">
        <v>3.5245742600000001</v>
      </c>
      <c r="J56" s="15">
        <v>0.28372220999999997</v>
      </c>
      <c r="K56" s="108" t="s">
        <v>14922</v>
      </c>
    </row>
    <row r="57" spans="1:11" x14ac:dyDescent="0.2">
      <c r="A57" s="108" t="s">
        <v>14923</v>
      </c>
      <c r="B57" s="108" t="s">
        <v>1912</v>
      </c>
      <c r="C57" s="108" t="s">
        <v>14924</v>
      </c>
      <c r="D57" s="109">
        <v>44648.329872685186</v>
      </c>
      <c r="E57" s="108" t="s">
        <v>26</v>
      </c>
      <c r="F57" s="108" t="s">
        <v>1730</v>
      </c>
      <c r="G57" s="108" t="s">
        <v>1913</v>
      </c>
      <c r="H57" s="108" t="s">
        <v>1914</v>
      </c>
      <c r="I57" s="15">
        <v>11155.2088398</v>
      </c>
      <c r="J57" s="15">
        <v>8.9640000000000002E-5</v>
      </c>
      <c r="K57" s="108" t="s">
        <v>14925</v>
      </c>
    </row>
    <row r="58" spans="1:11" x14ac:dyDescent="0.2">
      <c r="A58" s="108" t="s">
        <v>14926</v>
      </c>
      <c r="B58" s="108" t="s">
        <v>1915</v>
      </c>
      <c r="C58" s="108" t="s">
        <v>14927</v>
      </c>
      <c r="D58" s="109">
        <v>44648.329872685186</v>
      </c>
      <c r="E58" s="108" t="s">
        <v>26</v>
      </c>
      <c r="F58" s="108" t="s">
        <v>1730</v>
      </c>
      <c r="G58" s="108" t="s">
        <v>1916</v>
      </c>
      <c r="H58" s="108" t="s">
        <v>1917</v>
      </c>
      <c r="I58" s="15">
        <v>4083.8068181799999</v>
      </c>
      <c r="J58" s="15">
        <v>2.4487000000000001E-4</v>
      </c>
      <c r="K58" s="108" t="s">
        <v>14928</v>
      </c>
    </row>
    <row r="59" spans="1:11" x14ac:dyDescent="0.2">
      <c r="A59" s="108" t="s">
        <v>14929</v>
      </c>
      <c r="B59" s="108" t="s">
        <v>1780</v>
      </c>
      <c r="C59" s="108" t="s">
        <v>14930</v>
      </c>
      <c r="D59" s="109">
        <v>44648.329872685186</v>
      </c>
      <c r="E59" s="108" t="s">
        <v>26</v>
      </c>
      <c r="F59" s="108" t="s">
        <v>1730</v>
      </c>
      <c r="G59" s="108" t="s">
        <v>1781</v>
      </c>
      <c r="H59" s="108" t="s">
        <v>1782</v>
      </c>
      <c r="I59" s="15">
        <v>8.1784562899999997</v>
      </c>
      <c r="J59" s="15">
        <v>0.12227246</v>
      </c>
      <c r="K59" s="108" t="s">
        <v>14931</v>
      </c>
    </row>
    <row r="60" spans="1:11" x14ac:dyDescent="0.2">
      <c r="A60" s="108" t="s">
        <v>14932</v>
      </c>
      <c r="B60" s="108" t="s">
        <v>2080</v>
      </c>
      <c r="C60" s="108" t="s">
        <v>14933</v>
      </c>
      <c r="D60" s="109">
        <v>44648.329872685186</v>
      </c>
      <c r="E60" s="108" t="s">
        <v>26</v>
      </c>
      <c r="F60" s="108" t="s">
        <v>1730</v>
      </c>
      <c r="G60" s="108" t="s">
        <v>2081</v>
      </c>
      <c r="H60" s="108" t="s">
        <v>2082</v>
      </c>
      <c r="I60" s="15">
        <v>17.92394015</v>
      </c>
      <c r="J60" s="15">
        <v>5.5791300000000002E-2</v>
      </c>
      <c r="K60" s="108" t="s">
        <v>14934</v>
      </c>
    </row>
    <row r="61" spans="1:11" x14ac:dyDescent="0.2">
      <c r="A61" s="108" t="s">
        <v>14935</v>
      </c>
      <c r="B61" s="108" t="s">
        <v>2083</v>
      </c>
      <c r="C61" s="108" t="s">
        <v>14936</v>
      </c>
      <c r="D61" s="109">
        <v>44648.329872685186</v>
      </c>
      <c r="E61" s="108" t="s">
        <v>26</v>
      </c>
      <c r="F61" s="108" t="s">
        <v>1730</v>
      </c>
      <c r="G61" s="108" t="s">
        <v>2084</v>
      </c>
      <c r="H61" s="108" t="s">
        <v>2085</v>
      </c>
      <c r="I61" s="15">
        <v>252.76947423999999</v>
      </c>
      <c r="J61" s="15">
        <v>3.9561700000000002E-3</v>
      </c>
      <c r="K61" s="108" t="s">
        <v>14937</v>
      </c>
    </row>
    <row r="62" spans="1:11" x14ac:dyDescent="0.2">
      <c r="A62" s="108" t="s">
        <v>14938</v>
      </c>
      <c r="B62" s="108" t="s">
        <v>1819</v>
      </c>
      <c r="C62" s="108" t="s">
        <v>14939</v>
      </c>
      <c r="D62" s="109">
        <v>44648.329872685186</v>
      </c>
      <c r="E62" s="108" t="s">
        <v>26</v>
      </c>
      <c r="F62" s="108" t="s">
        <v>1730</v>
      </c>
      <c r="G62" s="108" t="s">
        <v>1820</v>
      </c>
      <c r="H62" s="108" t="s">
        <v>1821</v>
      </c>
      <c r="I62" s="15">
        <v>9.4067241999999993</v>
      </c>
      <c r="J62" s="15">
        <v>0.10630692999999999</v>
      </c>
      <c r="K62" s="108" t="s">
        <v>14940</v>
      </c>
    </row>
    <row r="63" spans="1:11" x14ac:dyDescent="0.2">
      <c r="A63" s="108" t="s">
        <v>14941</v>
      </c>
      <c r="B63" s="108" t="s">
        <v>1813</v>
      </c>
      <c r="C63" s="108" t="s">
        <v>14942</v>
      </c>
      <c r="D63" s="109">
        <v>44648.329872685186</v>
      </c>
      <c r="E63" s="108" t="s">
        <v>26</v>
      </c>
      <c r="F63" s="108" t="s">
        <v>1730</v>
      </c>
      <c r="G63" s="108" t="s">
        <v>1814</v>
      </c>
      <c r="H63" s="108" t="s">
        <v>1815</v>
      </c>
      <c r="I63" s="15">
        <v>286.39309871</v>
      </c>
      <c r="J63" s="15">
        <v>3.4916999999999999E-3</v>
      </c>
      <c r="K63" s="108" t="s">
        <v>14943</v>
      </c>
    </row>
    <row r="64" spans="1:11" x14ac:dyDescent="0.2">
      <c r="A64" s="108" t="s">
        <v>14944</v>
      </c>
      <c r="B64" s="108" t="s">
        <v>2062</v>
      </c>
      <c r="C64" s="108" t="s">
        <v>14945</v>
      </c>
      <c r="D64" s="109">
        <v>44648.329872685186</v>
      </c>
      <c r="E64" s="108" t="s">
        <v>26</v>
      </c>
      <c r="F64" s="108" t="s">
        <v>1730</v>
      </c>
      <c r="G64" s="108" t="s">
        <v>2063</v>
      </c>
      <c r="H64" s="108" t="s">
        <v>2064</v>
      </c>
      <c r="I64" s="15">
        <v>4.3003239100000004</v>
      </c>
      <c r="J64" s="15">
        <v>0.23254062</v>
      </c>
      <c r="K64" s="108" t="s">
        <v>14946</v>
      </c>
    </row>
    <row r="65" spans="1:11" x14ac:dyDescent="0.2">
      <c r="A65" s="108" t="s">
        <v>14947</v>
      </c>
      <c r="B65" s="108" t="s">
        <v>1792</v>
      </c>
      <c r="C65" s="108" t="s">
        <v>14948</v>
      </c>
      <c r="D65" s="109">
        <v>44648.329872685186</v>
      </c>
      <c r="E65" s="108" t="s">
        <v>26</v>
      </c>
      <c r="F65" s="108" t="s">
        <v>1730</v>
      </c>
      <c r="G65" s="108" t="s">
        <v>1793</v>
      </c>
      <c r="H65" s="108" t="s">
        <v>1794</v>
      </c>
      <c r="I65" s="15">
        <v>100.3006309</v>
      </c>
      <c r="J65" s="15">
        <v>9.9700299999999995E-3</v>
      </c>
      <c r="K65" s="108" t="s">
        <v>14949</v>
      </c>
    </row>
    <row r="66" spans="1:11" x14ac:dyDescent="0.2">
      <c r="A66" s="108" t="s">
        <v>14950</v>
      </c>
      <c r="B66" s="108" t="s">
        <v>1987</v>
      </c>
      <c r="C66" s="108" t="s">
        <v>14951</v>
      </c>
      <c r="D66" s="109">
        <v>44648.329872685186</v>
      </c>
      <c r="E66" s="108" t="s">
        <v>26</v>
      </c>
      <c r="F66" s="108" t="s">
        <v>1730</v>
      </c>
      <c r="G66" s="108" t="s">
        <v>1988</v>
      </c>
      <c r="H66" s="108" t="s">
        <v>1989</v>
      </c>
      <c r="I66" s="15">
        <v>1.7412407700000001</v>
      </c>
      <c r="J66" s="15">
        <v>0.57430311999999994</v>
      </c>
      <c r="K66" s="108" t="s">
        <v>14952</v>
      </c>
    </row>
    <row r="67" spans="1:11" x14ac:dyDescent="0.2">
      <c r="A67" s="108" t="s">
        <v>14953</v>
      </c>
      <c r="B67" s="108" t="s">
        <v>1750</v>
      </c>
      <c r="C67" s="108" t="s">
        <v>14954</v>
      </c>
      <c r="D67" s="109">
        <v>44648.329872685186</v>
      </c>
      <c r="E67" s="108" t="s">
        <v>26</v>
      </c>
      <c r="F67" s="108" t="s">
        <v>1730</v>
      </c>
      <c r="G67" s="108" t="s">
        <v>1751</v>
      </c>
      <c r="H67" s="108" t="s">
        <v>1752</v>
      </c>
      <c r="I67" s="15">
        <v>36.118090449999997</v>
      </c>
      <c r="J67" s="15">
        <v>2.768696E-2</v>
      </c>
      <c r="K67" s="108" t="s">
        <v>14955</v>
      </c>
    </row>
    <row r="68" spans="1:11" x14ac:dyDescent="0.2">
      <c r="A68" s="108" t="s">
        <v>14956</v>
      </c>
      <c r="B68" s="108" t="s">
        <v>1966</v>
      </c>
      <c r="C68" s="108" t="s">
        <v>14957</v>
      </c>
      <c r="D68" s="109">
        <v>44648.329872685186</v>
      </c>
      <c r="E68" s="108" t="s">
        <v>26</v>
      </c>
      <c r="F68" s="108" t="s">
        <v>1730</v>
      </c>
      <c r="G68" s="108" t="s">
        <v>1967</v>
      </c>
      <c r="H68" s="108" t="s">
        <v>1968</v>
      </c>
      <c r="I68" s="15">
        <v>22.69736842</v>
      </c>
      <c r="J68" s="15">
        <v>4.4057970000000002E-2</v>
      </c>
      <c r="K68" s="108" t="s">
        <v>14958</v>
      </c>
    </row>
    <row r="69" spans="1:11" x14ac:dyDescent="0.2">
      <c r="A69" s="108" t="s">
        <v>14959</v>
      </c>
      <c r="B69" s="108" t="s">
        <v>1807</v>
      </c>
      <c r="C69" s="108" t="s">
        <v>14960</v>
      </c>
      <c r="D69" s="109">
        <v>44648.329872685186</v>
      </c>
      <c r="E69" s="108" t="s">
        <v>26</v>
      </c>
      <c r="F69" s="108" t="s">
        <v>1730</v>
      </c>
      <c r="G69" s="108" t="s">
        <v>1808</v>
      </c>
      <c r="H69" s="108" t="s">
        <v>1809</v>
      </c>
      <c r="I69" s="15">
        <v>2071.3256484200001</v>
      </c>
      <c r="J69" s="15">
        <v>4.8277999999999998E-4</v>
      </c>
      <c r="K69" s="108" t="s">
        <v>14961</v>
      </c>
    </row>
    <row r="70" spans="1:11" x14ac:dyDescent="0.2">
      <c r="A70" s="108" t="s">
        <v>14962</v>
      </c>
      <c r="B70" s="108" t="s">
        <v>2109</v>
      </c>
      <c r="C70" s="108" t="s">
        <v>14963</v>
      </c>
      <c r="D70" s="109">
        <v>44648.329872685186</v>
      </c>
      <c r="E70" s="108" t="s">
        <v>26</v>
      </c>
      <c r="F70" s="108" t="s">
        <v>1730</v>
      </c>
      <c r="G70" s="108" t="s">
        <v>2110</v>
      </c>
      <c r="H70" s="108" t="s">
        <v>2111</v>
      </c>
      <c r="I70" s="15">
        <v>112.50097827</v>
      </c>
      <c r="J70" s="15">
        <v>8.8888100000000005E-3</v>
      </c>
      <c r="K70" s="108" t="s">
        <v>14964</v>
      </c>
    </row>
    <row r="71" spans="1:11" x14ac:dyDescent="0.2">
      <c r="A71" s="108" t="s">
        <v>14965</v>
      </c>
      <c r="B71" s="108" t="s">
        <v>2032</v>
      </c>
      <c r="C71" s="108" t="s">
        <v>14966</v>
      </c>
      <c r="D71" s="109">
        <v>44648.329872685186</v>
      </c>
      <c r="E71" s="108" t="s">
        <v>26</v>
      </c>
      <c r="F71" s="108" t="s">
        <v>1730</v>
      </c>
      <c r="G71" s="108" t="s">
        <v>2033</v>
      </c>
      <c r="H71" s="108" t="s">
        <v>2034</v>
      </c>
      <c r="I71" s="15">
        <v>45.10983264</v>
      </c>
      <c r="J71" s="15">
        <v>2.2168119999999999E-2</v>
      </c>
      <c r="K71" s="108" t="s">
        <v>14967</v>
      </c>
    </row>
    <row r="72" spans="1:11" x14ac:dyDescent="0.2">
      <c r="A72" s="108" t="s">
        <v>14968</v>
      </c>
      <c r="B72" s="108" t="s">
        <v>2053</v>
      </c>
      <c r="C72" s="108" t="s">
        <v>14969</v>
      </c>
      <c r="D72" s="109">
        <v>44648.329872685186</v>
      </c>
      <c r="E72" s="108" t="s">
        <v>26</v>
      </c>
      <c r="F72" s="108" t="s">
        <v>1730</v>
      </c>
      <c r="G72" s="108" t="s">
        <v>2054</v>
      </c>
      <c r="H72" s="108" t="s">
        <v>2055</v>
      </c>
      <c r="I72" s="15">
        <v>55.09151679</v>
      </c>
      <c r="J72" s="15">
        <v>1.8151609999999999E-2</v>
      </c>
      <c r="K72" s="108" t="s">
        <v>14970</v>
      </c>
    </row>
    <row r="73" spans="1:11" x14ac:dyDescent="0.2">
      <c r="A73" s="108" t="s">
        <v>14971</v>
      </c>
      <c r="B73" s="108" t="s">
        <v>1903</v>
      </c>
      <c r="C73" s="108" t="s">
        <v>14972</v>
      </c>
      <c r="D73" s="109">
        <v>44648.329872685186</v>
      </c>
      <c r="E73" s="108" t="s">
        <v>26</v>
      </c>
      <c r="F73" s="108" t="s">
        <v>1730</v>
      </c>
      <c r="G73" s="108" t="s">
        <v>1904</v>
      </c>
      <c r="H73" s="108" t="s">
        <v>1905</v>
      </c>
      <c r="I73" s="15">
        <v>1.4350020999999999</v>
      </c>
      <c r="J73" s="15">
        <v>0.69686309000000002</v>
      </c>
      <c r="K73" s="108" t="s">
        <v>14973</v>
      </c>
    </row>
    <row r="74" spans="1:11" x14ac:dyDescent="0.2">
      <c r="A74" s="108" t="s">
        <v>14974</v>
      </c>
      <c r="B74" s="108" t="s">
        <v>1906</v>
      </c>
      <c r="C74" s="108" t="s">
        <v>14975</v>
      </c>
      <c r="D74" s="109">
        <v>44648.329872685186</v>
      </c>
      <c r="E74" s="108" t="s">
        <v>26</v>
      </c>
      <c r="F74" s="108" t="s">
        <v>1730</v>
      </c>
      <c r="G74" s="108" t="s">
        <v>1907</v>
      </c>
      <c r="H74" s="108" t="s">
        <v>1908</v>
      </c>
      <c r="I74" s="15">
        <v>6.8844627599999999</v>
      </c>
      <c r="J74" s="15">
        <v>0.14525462</v>
      </c>
      <c r="K74" s="108" t="s">
        <v>14976</v>
      </c>
    </row>
    <row r="75" spans="1:11" x14ac:dyDescent="0.2">
      <c r="A75" s="108" t="s">
        <v>14977</v>
      </c>
      <c r="B75" s="108" t="s">
        <v>2059</v>
      </c>
      <c r="C75" s="108" t="s">
        <v>14978</v>
      </c>
      <c r="D75" s="109">
        <v>44648.329872685186</v>
      </c>
      <c r="E75" s="108" t="s">
        <v>26</v>
      </c>
      <c r="F75" s="108" t="s">
        <v>1730</v>
      </c>
      <c r="G75" s="108" t="s">
        <v>2060</v>
      </c>
      <c r="H75" s="108" t="s">
        <v>2061</v>
      </c>
      <c r="I75" s="15">
        <v>144.01218268</v>
      </c>
      <c r="J75" s="15">
        <v>6.9438599999999996E-3</v>
      </c>
      <c r="K75" s="108" t="s">
        <v>14979</v>
      </c>
    </row>
    <row r="76" spans="1:11" x14ac:dyDescent="0.2">
      <c r="A76" s="108" t="s">
        <v>14980</v>
      </c>
      <c r="B76" s="108" t="s">
        <v>2124</v>
      </c>
      <c r="C76" s="108" t="s">
        <v>14981</v>
      </c>
      <c r="D76" s="109">
        <v>44648.329872685186</v>
      </c>
      <c r="E76" s="108" t="s">
        <v>26</v>
      </c>
      <c r="F76" s="108" t="s">
        <v>1730</v>
      </c>
      <c r="G76" s="108" t="s">
        <v>2125</v>
      </c>
      <c r="H76" s="108" t="s">
        <v>2126</v>
      </c>
      <c r="I76" s="15">
        <v>110.76251234</v>
      </c>
      <c r="J76" s="15">
        <v>9.0283299999999993E-3</v>
      </c>
      <c r="K76" s="108" t="s">
        <v>14982</v>
      </c>
    </row>
    <row r="77" spans="1:11" x14ac:dyDescent="0.2">
      <c r="A77" s="108" t="s">
        <v>14983</v>
      </c>
      <c r="B77" s="108" t="s">
        <v>2127</v>
      </c>
      <c r="C77" s="108" t="s">
        <v>14984</v>
      </c>
      <c r="D77" s="109">
        <v>44648.329872685186</v>
      </c>
      <c r="E77" s="108" t="s">
        <v>26</v>
      </c>
      <c r="F77" s="108" t="s">
        <v>1730</v>
      </c>
      <c r="G77" s="108" t="s">
        <v>2128</v>
      </c>
      <c r="H77" s="108" t="s">
        <v>2129</v>
      </c>
      <c r="I77" s="15">
        <v>2.0360228500000002</v>
      </c>
      <c r="J77" s="15">
        <v>0.49115362000000001</v>
      </c>
      <c r="K77" s="108" t="s">
        <v>14985</v>
      </c>
    </row>
    <row r="78" spans="1:11" x14ac:dyDescent="0.2">
      <c r="A78" s="108" t="s">
        <v>14986</v>
      </c>
      <c r="B78" s="108" t="s">
        <v>1837</v>
      </c>
      <c r="C78" s="108" t="s">
        <v>14987</v>
      </c>
      <c r="D78" s="109">
        <v>44648.329872685186</v>
      </c>
      <c r="E78" s="108" t="s">
        <v>26</v>
      </c>
      <c r="F78" s="108" t="s">
        <v>1730</v>
      </c>
      <c r="G78" s="108" t="s">
        <v>1838</v>
      </c>
      <c r="H78" s="108" t="s">
        <v>1839</v>
      </c>
      <c r="I78" s="15">
        <v>9021.9665272000002</v>
      </c>
      <c r="J78" s="15">
        <v>1.1084E-4</v>
      </c>
      <c r="K78" s="108" t="s">
        <v>14988</v>
      </c>
    </row>
    <row r="79" spans="1:11" x14ac:dyDescent="0.2">
      <c r="A79" s="108" t="s">
        <v>14989</v>
      </c>
      <c r="B79" s="108" t="s">
        <v>2133</v>
      </c>
      <c r="C79" s="108" t="s">
        <v>14990</v>
      </c>
      <c r="D79" s="109">
        <v>44648.329872685186</v>
      </c>
      <c r="E79" s="108" t="s">
        <v>26</v>
      </c>
      <c r="F79" s="108" t="s">
        <v>1730</v>
      </c>
      <c r="G79" s="108" t="s">
        <v>2134</v>
      </c>
      <c r="H79" s="108" t="s">
        <v>2135</v>
      </c>
      <c r="I79" s="15">
        <v>14.968760850000001</v>
      </c>
      <c r="J79" s="15">
        <v>6.6805799999999999E-2</v>
      </c>
      <c r="K79" s="108" t="s">
        <v>14991</v>
      </c>
    </row>
    <row r="80" spans="1:11" x14ac:dyDescent="0.2">
      <c r="A80" s="108" t="s">
        <v>14992</v>
      </c>
      <c r="B80" s="108" t="s">
        <v>2002</v>
      </c>
      <c r="C80" s="108" t="s">
        <v>14993</v>
      </c>
      <c r="D80" s="109">
        <v>44648.329872685186</v>
      </c>
      <c r="E80" s="108" t="s">
        <v>26</v>
      </c>
      <c r="F80" s="108" t="s">
        <v>1730</v>
      </c>
      <c r="G80" s="108" t="s">
        <v>2003</v>
      </c>
      <c r="H80" s="108" t="s">
        <v>2004</v>
      </c>
      <c r="I80" s="15">
        <v>584.34959349999997</v>
      </c>
      <c r="J80" s="15">
        <v>1.7113E-3</v>
      </c>
      <c r="K80" s="108" t="s">
        <v>14994</v>
      </c>
    </row>
    <row r="81" spans="1:11" x14ac:dyDescent="0.2">
      <c r="A81" s="108" t="s">
        <v>14995</v>
      </c>
      <c r="B81" s="108" t="s">
        <v>2050</v>
      </c>
      <c r="C81" s="108" t="s">
        <v>14996</v>
      </c>
      <c r="D81" s="109">
        <v>44648.329872685186</v>
      </c>
      <c r="E81" s="108" t="s">
        <v>26</v>
      </c>
      <c r="F81" s="108" t="s">
        <v>1730</v>
      </c>
      <c r="G81" s="108" t="s">
        <v>2051</v>
      </c>
      <c r="H81" s="108" t="s">
        <v>2052</v>
      </c>
      <c r="I81" s="15">
        <v>1.80078249</v>
      </c>
      <c r="J81" s="15">
        <v>0.55531414999999995</v>
      </c>
      <c r="K81" s="108" t="s">
        <v>14997</v>
      </c>
    </row>
    <row r="82" spans="1:11" x14ac:dyDescent="0.2">
      <c r="A82" s="108" t="s">
        <v>14998</v>
      </c>
      <c r="B82" s="108" t="s">
        <v>2038</v>
      </c>
      <c r="C82" s="108" t="s">
        <v>14999</v>
      </c>
      <c r="D82" s="109">
        <v>44648.329872685186</v>
      </c>
      <c r="E82" s="108" t="s">
        <v>26</v>
      </c>
      <c r="F82" s="108" t="s">
        <v>1730</v>
      </c>
      <c r="G82" s="108" t="s">
        <v>2039</v>
      </c>
      <c r="H82" s="108" t="s">
        <v>2040</v>
      </c>
      <c r="I82" s="15">
        <v>181.89148718000001</v>
      </c>
      <c r="J82" s="15">
        <v>5.4977799999999999E-3</v>
      </c>
      <c r="K82" s="108" t="s">
        <v>15000</v>
      </c>
    </row>
    <row r="83" spans="1:11" x14ac:dyDescent="0.2">
      <c r="A83" s="108" t="s">
        <v>15001</v>
      </c>
      <c r="B83" s="108" t="s">
        <v>1954</v>
      </c>
      <c r="C83" s="108" t="s">
        <v>15002</v>
      </c>
      <c r="D83" s="109">
        <v>44648.329872685186</v>
      </c>
      <c r="E83" s="108" t="s">
        <v>26</v>
      </c>
      <c r="F83" s="108" t="s">
        <v>1730</v>
      </c>
      <c r="G83" s="108" t="s">
        <v>1955</v>
      </c>
      <c r="H83" s="108" t="s">
        <v>1956</v>
      </c>
      <c r="I83" s="15">
        <v>19.993732390000002</v>
      </c>
      <c r="J83" s="15">
        <v>5.0015669999999998E-2</v>
      </c>
      <c r="K83" s="108" t="s">
        <v>15003</v>
      </c>
    </row>
    <row r="84" spans="1:11" x14ac:dyDescent="0.2">
      <c r="A84" s="108" t="s">
        <v>15004</v>
      </c>
      <c r="B84" s="108" t="s">
        <v>1774</v>
      </c>
      <c r="C84" s="108" t="s">
        <v>15005</v>
      </c>
      <c r="D84" s="109">
        <v>44648.329872685186</v>
      </c>
      <c r="E84" s="108" t="s">
        <v>26</v>
      </c>
      <c r="F84" s="108" t="s">
        <v>1730</v>
      </c>
      <c r="G84" s="108" t="s">
        <v>1775</v>
      </c>
      <c r="H84" s="108" t="s">
        <v>1776</v>
      </c>
      <c r="I84" s="15">
        <v>29.288922289999999</v>
      </c>
      <c r="J84" s="15">
        <v>3.4142600000000002E-2</v>
      </c>
      <c r="K84" s="108" t="s">
        <v>15006</v>
      </c>
    </row>
    <row r="85" spans="1:11" x14ac:dyDescent="0.2">
      <c r="A85" s="108" t="s">
        <v>15007</v>
      </c>
      <c r="B85" s="108" t="s">
        <v>1888</v>
      </c>
      <c r="C85" s="108" t="s">
        <v>15008</v>
      </c>
      <c r="D85" s="109">
        <v>44648.329872685186</v>
      </c>
      <c r="E85" s="108" t="s">
        <v>26</v>
      </c>
      <c r="F85" s="108" t="s">
        <v>1730</v>
      </c>
      <c r="G85" s="108" t="s">
        <v>1889</v>
      </c>
      <c r="H85" s="108" t="s">
        <v>1890</v>
      </c>
      <c r="I85" s="15">
        <v>657.34247878999997</v>
      </c>
      <c r="J85" s="15">
        <v>1.5212800000000001E-3</v>
      </c>
      <c r="K85" s="108" t="s">
        <v>15009</v>
      </c>
    </row>
    <row r="86" spans="1:11" x14ac:dyDescent="0.2">
      <c r="A86" s="108" t="s">
        <v>15010</v>
      </c>
      <c r="B86" s="108" t="s">
        <v>1861</v>
      </c>
      <c r="C86" s="108" t="s">
        <v>15011</v>
      </c>
      <c r="D86" s="109">
        <v>44648.329872685186</v>
      </c>
      <c r="E86" s="108" t="s">
        <v>26</v>
      </c>
      <c r="F86" s="108" t="s">
        <v>1730</v>
      </c>
      <c r="G86" s="108" t="s">
        <v>1862</v>
      </c>
      <c r="H86" s="108" t="s">
        <v>1863</v>
      </c>
      <c r="I86" s="15">
        <v>211.3245455</v>
      </c>
      <c r="J86" s="15">
        <v>4.7320599999999997E-3</v>
      </c>
      <c r="K86" s="108" t="s">
        <v>15012</v>
      </c>
    </row>
    <row r="87" spans="1:11" x14ac:dyDescent="0.2">
      <c r="A87" s="108" t="s">
        <v>15013</v>
      </c>
      <c r="B87" s="108" t="s">
        <v>1864</v>
      </c>
      <c r="C87" s="108" t="s">
        <v>15014</v>
      </c>
      <c r="D87" s="109">
        <v>44648.329872685186</v>
      </c>
      <c r="E87" s="108" t="s">
        <v>26</v>
      </c>
      <c r="F87" s="108" t="s">
        <v>1730</v>
      </c>
      <c r="G87" s="108" t="s">
        <v>1865</v>
      </c>
      <c r="H87" s="108" t="s">
        <v>1866</v>
      </c>
      <c r="I87" s="15">
        <v>1026.54129969</v>
      </c>
      <c r="J87" s="15">
        <v>9.7413999999999997E-4</v>
      </c>
      <c r="K87" s="108" t="s">
        <v>15015</v>
      </c>
    </row>
    <row r="88" spans="1:11" x14ac:dyDescent="0.2">
      <c r="A88" s="108" t="s">
        <v>15016</v>
      </c>
      <c r="B88" s="108" t="s">
        <v>2160</v>
      </c>
      <c r="C88" s="108" t="s">
        <v>15017</v>
      </c>
      <c r="D88" s="109">
        <v>44648.329872685186</v>
      </c>
      <c r="E88" s="108" t="s">
        <v>26</v>
      </c>
      <c r="F88" s="108" t="s">
        <v>1730</v>
      </c>
      <c r="G88" s="108" t="s">
        <v>2161</v>
      </c>
      <c r="H88" s="108" t="s">
        <v>2162</v>
      </c>
      <c r="I88" s="15">
        <v>15.222379099999999</v>
      </c>
      <c r="J88" s="15">
        <v>6.5692749999999994E-2</v>
      </c>
      <c r="K88" s="108" t="s">
        <v>15018</v>
      </c>
    </row>
    <row r="89" spans="1:11" x14ac:dyDescent="0.2">
      <c r="A89" s="108" t="s">
        <v>15019</v>
      </c>
      <c r="B89" s="108" t="s">
        <v>2029</v>
      </c>
      <c r="C89" s="108" t="s">
        <v>15020</v>
      </c>
      <c r="D89" s="109">
        <v>44648.329872685186</v>
      </c>
      <c r="E89" s="108" t="s">
        <v>26</v>
      </c>
      <c r="F89" s="108" t="s">
        <v>1730</v>
      </c>
      <c r="G89" s="108" t="s">
        <v>2030</v>
      </c>
      <c r="H89" s="108" t="s">
        <v>2031</v>
      </c>
      <c r="I89" s="15">
        <v>2.60841952</v>
      </c>
      <c r="J89" s="15">
        <v>0.38337390999999998</v>
      </c>
      <c r="K89" s="108" t="s">
        <v>15021</v>
      </c>
    </row>
    <row r="90" spans="1:11" x14ac:dyDescent="0.2">
      <c r="A90" s="108" t="s">
        <v>15022</v>
      </c>
      <c r="B90" s="108" t="s">
        <v>1960</v>
      </c>
      <c r="C90" s="108" t="s">
        <v>15023</v>
      </c>
      <c r="D90" s="109">
        <v>44648.329872685186</v>
      </c>
      <c r="E90" s="108" t="s">
        <v>26</v>
      </c>
      <c r="F90" s="108" t="s">
        <v>1730</v>
      </c>
      <c r="G90" s="108" t="s">
        <v>1961</v>
      </c>
      <c r="H90" s="108" t="s">
        <v>1962</v>
      </c>
      <c r="I90" s="15">
        <v>18.39125933</v>
      </c>
      <c r="J90" s="15">
        <v>5.4373659999999997E-2</v>
      </c>
      <c r="K90" s="108" t="s">
        <v>15024</v>
      </c>
    </row>
    <row r="91" spans="1:11" x14ac:dyDescent="0.2">
      <c r="A91" s="108" t="s">
        <v>15025</v>
      </c>
      <c r="B91" s="108" t="s">
        <v>2089</v>
      </c>
      <c r="C91" s="108" t="s">
        <v>15026</v>
      </c>
      <c r="D91" s="109">
        <v>44648.329872685186</v>
      </c>
      <c r="E91" s="108" t="s">
        <v>26</v>
      </c>
      <c r="F91" s="108" t="s">
        <v>1730</v>
      </c>
      <c r="G91" s="108" t="s">
        <v>2090</v>
      </c>
      <c r="H91" s="108" t="s">
        <v>2091</v>
      </c>
      <c r="I91" s="15">
        <v>1.35645328</v>
      </c>
      <c r="J91" s="15">
        <v>0.73721669000000001</v>
      </c>
      <c r="K91" s="108" t="s">
        <v>15027</v>
      </c>
    </row>
    <row r="92" spans="1:11" x14ac:dyDescent="0.2">
      <c r="A92" s="108" t="s">
        <v>15028</v>
      </c>
      <c r="B92" s="108" t="s">
        <v>2118</v>
      </c>
      <c r="C92" s="108" t="s">
        <v>15029</v>
      </c>
      <c r="D92" s="109">
        <v>44648.329872685186</v>
      </c>
      <c r="E92" s="108" t="s">
        <v>26</v>
      </c>
      <c r="F92" s="108" t="s">
        <v>1730</v>
      </c>
      <c r="G92" s="108" t="s">
        <v>2119</v>
      </c>
      <c r="H92" s="108" t="s">
        <v>2120</v>
      </c>
      <c r="I92" s="15">
        <v>598.18700123999997</v>
      </c>
      <c r="J92" s="15">
        <v>1.67172E-3</v>
      </c>
      <c r="K92" s="108" t="s">
        <v>15030</v>
      </c>
    </row>
    <row r="93" spans="1:11" x14ac:dyDescent="0.2">
      <c r="A93" s="108" t="s">
        <v>15031</v>
      </c>
      <c r="B93" s="108" t="s">
        <v>1855</v>
      </c>
      <c r="C93" s="108" t="s">
        <v>15032</v>
      </c>
      <c r="D93" s="109">
        <v>44648.329872685186</v>
      </c>
      <c r="E93" s="108" t="s">
        <v>26</v>
      </c>
      <c r="F93" s="108" t="s">
        <v>1730</v>
      </c>
      <c r="G93" s="108" t="s">
        <v>1856</v>
      </c>
      <c r="H93" s="108" t="s">
        <v>1857</v>
      </c>
      <c r="I93" s="15">
        <v>496.08682160000001</v>
      </c>
      <c r="J93" s="15">
        <v>2.01578E-3</v>
      </c>
      <c r="K93" s="108" t="s">
        <v>15033</v>
      </c>
    </row>
    <row r="94" spans="1:11" x14ac:dyDescent="0.2">
      <c r="A94" s="108" t="s">
        <v>15034</v>
      </c>
      <c r="B94" s="108" t="s">
        <v>1990</v>
      </c>
      <c r="C94" s="108" t="s">
        <v>15035</v>
      </c>
      <c r="D94" s="109">
        <v>44648.329872685186</v>
      </c>
      <c r="E94" s="108" t="s">
        <v>26</v>
      </c>
      <c r="F94" s="108" t="s">
        <v>1730</v>
      </c>
      <c r="G94" s="108" t="s">
        <v>1991</v>
      </c>
      <c r="H94" s="108" t="s">
        <v>1992</v>
      </c>
      <c r="I94" s="15">
        <v>6976.4542822399999</v>
      </c>
      <c r="J94" s="15">
        <v>1.4333999999999999E-4</v>
      </c>
      <c r="K94" s="108" t="s">
        <v>15036</v>
      </c>
    </row>
    <row r="95" spans="1:11" x14ac:dyDescent="0.2">
      <c r="A95" s="108" t="s">
        <v>15037</v>
      </c>
      <c r="B95" s="108" t="s">
        <v>1891</v>
      </c>
      <c r="C95" s="108" t="s">
        <v>15038</v>
      </c>
      <c r="D95" s="109">
        <v>44648.329872685186</v>
      </c>
      <c r="E95" s="108" t="s">
        <v>26</v>
      </c>
      <c r="F95" s="108" t="s">
        <v>1730</v>
      </c>
      <c r="G95" s="108" t="s">
        <v>1892</v>
      </c>
      <c r="H95" s="108" t="s">
        <v>1893</v>
      </c>
      <c r="I95" s="15">
        <v>14.968760850000001</v>
      </c>
      <c r="J95" s="15">
        <v>6.6805799999999999E-2</v>
      </c>
      <c r="K95" s="108" t="s">
        <v>15039</v>
      </c>
    </row>
    <row r="96" spans="1:11" x14ac:dyDescent="0.2">
      <c r="A96" s="108" t="s">
        <v>15040</v>
      </c>
      <c r="B96" s="108" t="s">
        <v>1894</v>
      </c>
      <c r="C96" s="108" t="s">
        <v>15041</v>
      </c>
      <c r="D96" s="109">
        <v>44648.329872685186</v>
      </c>
      <c r="E96" s="108" t="s">
        <v>26</v>
      </c>
      <c r="F96" s="108" t="s">
        <v>1730</v>
      </c>
      <c r="G96" s="108" t="s">
        <v>1895</v>
      </c>
      <c r="H96" s="108" t="s">
        <v>1896</v>
      </c>
      <c r="I96" s="15">
        <v>2536.7647058799998</v>
      </c>
      <c r="J96" s="15">
        <v>3.9419999999999999E-4</v>
      </c>
      <c r="K96" s="108" t="s">
        <v>15042</v>
      </c>
    </row>
    <row r="97" spans="1:11" x14ac:dyDescent="0.2">
      <c r="A97" s="108" t="s">
        <v>15043</v>
      </c>
      <c r="B97" s="108" t="s">
        <v>1759</v>
      </c>
      <c r="C97" s="108" t="s">
        <v>15044</v>
      </c>
      <c r="D97" s="109">
        <v>44648.329872685186</v>
      </c>
      <c r="E97" s="108" t="s">
        <v>26</v>
      </c>
      <c r="F97" s="108" t="s">
        <v>1730</v>
      </c>
      <c r="G97" s="108" t="s">
        <v>1760</v>
      </c>
      <c r="H97" s="108" t="s">
        <v>1761</v>
      </c>
      <c r="I97" s="15">
        <v>8.1460143600000006</v>
      </c>
      <c r="J97" s="15">
        <v>0.12275941999999999</v>
      </c>
      <c r="K97" s="108" t="s">
        <v>15045</v>
      </c>
    </row>
    <row r="98" spans="1:11" x14ac:dyDescent="0.2">
      <c r="A98" s="108" t="s">
        <v>15046</v>
      </c>
      <c r="B98" s="108" t="s">
        <v>2056</v>
      </c>
      <c r="C98" s="108" t="s">
        <v>15047</v>
      </c>
      <c r="D98" s="109">
        <v>44648.329872685186</v>
      </c>
      <c r="E98" s="108" t="s">
        <v>26</v>
      </c>
      <c r="F98" s="108" t="s">
        <v>1730</v>
      </c>
      <c r="G98" s="108" t="s">
        <v>2057</v>
      </c>
      <c r="H98" s="108" t="s">
        <v>2058</v>
      </c>
      <c r="I98" s="15">
        <v>1.79777389</v>
      </c>
      <c r="J98" s="15">
        <v>0.55624348000000001</v>
      </c>
      <c r="K98" s="108" t="s">
        <v>15048</v>
      </c>
    </row>
    <row r="99" spans="1:11" x14ac:dyDescent="0.2">
      <c r="A99" s="108" t="s">
        <v>15049</v>
      </c>
      <c r="B99" s="108" t="s">
        <v>2139</v>
      </c>
      <c r="C99" s="108" t="s">
        <v>15050</v>
      </c>
      <c r="D99" s="109">
        <v>44648.329872685186</v>
      </c>
      <c r="E99" s="108" t="s">
        <v>26</v>
      </c>
      <c r="F99" s="108" t="s">
        <v>1730</v>
      </c>
      <c r="G99" s="108" t="s">
        <v>2140</v>
      </c>
      <c r="H99" s="108" t="s">
        <v>2141</v>
      </c>
      <c r="I99" s="15">
        <v>76.193872209999995</v>
      </c>
      <c r="J99" s="15">
        <v>1.3124419999999999E-2</v>
      </c>
      <c r="K99" s="108" t="s">
        <v>15051</v>
      </c>
    </row>
    <row r="100" spans="1:11" x14ac:dyDescent="0.2">
      <c r="A100" s="108" t="s">
        <v>15052</v>
      </c>
      <c r="B100" s="108" t="s">
        <v>1768</v>
      </c>
      <c r="C100" s="108" t="s">
        <v>15053</v>
      </c>
      <c r="D100" s="109">
        <v>44648.329872685186</v>
      </c>
      <c r="E100" s="108" t="s">
        <v>26</v>
      </c>
      <c r="F100" s="108" t="s">
        <v>1730</v>
      </c>
      <c r="G100" s="108" t="s">
        <v>1769</v>
      </c>
      <c r="H100" s="108" t="s">
        <v>1770</v>
      </c>
      <c r="I100" s="15">
        <v>14.843281510000001</v>
      </c>
      <c r="J100" s="15">
        <v>6.7370550000000001E-2</v>
      </c>
      <c r="K100" s="108" t="s">
        <v>15054</v>
      </c>
    </row>
    <row r="101" spans="1:11" x14ac:dyDescent="0.2">
      <c r="A101" s="108" t="s">
        <v>15055</v>
      </c>
      <c r="B101" s="108" t="s">
        <v>2145</v>
      </c>
      <c r="C101" s="108" t="s">
        <v>15056</v>
      </c>
      <c r="D101" s="109">
        <v>44648.329872685186</v>
      </c>
      <c r="E101" s="108" t="s">
        <v>26</v>
      </c>
      <c r="F101" s="108" t="s">
        <v>1730</v>
      </c>
      <c r="G101" s="108" t="s">
        <v>2146</v>
      </c>
      <c r="H101" s="108" t="s">
        <v>2147</v>
      </c>
      <c r="I101" s="15">
        <v>23060.053972739999</v>
      </c>
      <c r="J101" s="15">
        <v>4.337E-5</v>
      </c>
      <c r="K101" s="108" t="s">
        <v>15057</v>
      </c>
    </row>
    <row r="102" spans="1:11" x14ac:dyDescent="0.2">
      <c r="A102" s="108" t="s">
        <v>15058</v>
      </c>
      <c r="B102" s="108" t="s">
        <v>2014</v>
      </c>
      <c r="C102" s="108" t="s">
        <v>15059</v>
      </c>
      <c r="D102" s="109">
        <v>44648.329872685186</v>
      </c>
      <c r="E102" s="108" t="s">
        <v>26</v>
      </c>
      <c r="F102" s="108" t="s">
        <v>1730</v>
      </c>
      <c r="G102" s="108" t="s">
        <v>2015</v>
      </c>
      <c r="H102" s="108" t="s">
        <v>2016</v>
      </c>
      <c r="I102" s="15">
        <v>88.701173019999999</v>
      </c>
      <c r="J102" s="15">
        <v>1.127381E-2</v>
      </c>
      <c r="K102" s="108" t="s">
        <v>15060</v>
      </c>
    </row>
    <row r="103" spans="1:11" x14ac:dyDescent="0.2">
      <c r="A103" s="108" t="s">
        <v>15061</v>
      </c>
      <c r="B103" s="108" t="s">
        <v>2044</v>
      </c>
      <c r="C103" s="108" t="s">
        <v>15062</v>
      </c>
      <c r="D103" s="109">
        <v>44648.329872685186</v>
      </c>
      <c r="E103" s="108" t="s">
        <v>26</v>
      </c>
      <c r="F103" s="108" t="s">
        <v>1730</v>
      </c>
      <c r="G103" s="108" t="s">
        <v>2045</v>
      </c>
      <c r="H103" s="108" t="s">
        <v>2046</v>
      </c>
      <c r="I103" s="15">
        <v>88.403509490000005</v>
      </c>
      <c r="J103" s="15">
        <v>1.1311770000000001E-2</v>
      </c>
      <c r="K103" s="108" t="s">
        <v>15063</v>
      </c>
    </row>
    <row r="104" spans="1:11" x14ac:dyDescent="0.2">
      <c r="A104" s="108" t="s">
        <v>15064</v>
      </c>
      <c r="B104" s="108" t="s">
        <v>1918</v>
      </c>
      <c r="C104" s="108" t="s">
        <v>15065</v>
      </c>
      <c r="D104" s="109">
        <v>44648.329872685186</v>
      </c>
      <c r="E104" s="108" t="s">
        <v>26</v>
      </c>
      <c r="F104" s="108" t="s">
        <v>1730</v>
      </c>
      <c r="G104" s="108" t="s">
        <v>1919</v>
      </c>
      <c r="H104" s="108" t="s">
        <v>1920</v>
      </c>
      <c r="I104" s="15">
        <v>2.7368788500000001</v>
      </c>
      <c r="J104" s="15">
        <v>0.36537971000000002</v>
      </c>
      <c r="K104" s="108" t="s">
        <v>15066</v>
      </c>
    </row>
    <row r="105" spans="1:11" x14ac:dyDescent="0.2">
      <c r="A105" s="108" t="s">
        <v>15067</v>
      </c>
      <c r="B105" s="108" t="s">
        <v>1783</v>
      </c>
      <c r="C105" s="108" t="s">
        <v>15068</v>
      </c>
      <c r="D105" s="109">
        <v>44648.329872685186</v>
      </c>
      <c r="E105" s="108" t="s">
        <v>26</v>
      </c>
      <c r="F105" s="108" t="s">
        <v>1730</v>
      </c>
      <c r="G105" s="108" t="s">
        <v>1784</v>
      </c>
      <c r="H105" s="108" t="s">
        <v>1785</v>
      </c>
      <c r="I105" s="15">
        <v>825.20091848000004</v>
      </c>
      <c r="J105" s="15">
        <v>1.2118299999999999E-3</v>
      </c>
      <c r="K105" s="108" t="s">
        <v>15069</v>
      </c>
    </row>
    <row r="106" spans="1:11" x14ac:dyDescent="0.2">
      <c r="A106" s="108" t="s">
        <v>15070</v>
      </c>
      <c r="B106" s="108" t="s">
        <v>1786</v>
      </c>
      <c r="C106" s="108" t="s">
        <v>15071</v>
      </c>
      <c r="D106" s="109">
        <v>44648.329872685186</v>
      </c>
      <c r="E106" s="108" t="s">
        <v>26</v>
      </c>
      <c r="F106" s="108" t="s">
        <v>1730</v>
      </c>
      <c r="G106" s="108" t="s">
        <v>1787</v>
      </c>
      <c r="H106" s="108" t="s">
        <v>1788</v>
      </c>
      <c r="I106" s="15">
        <v>7.7772768299999999</v>
      </c>
      <c r="J106" s="15">
        <v>0.12857971000000001</v>
      </c>
      <c r="K106" s="108" t="s">
        <v>15072</v>
      </c>
    </row>
    <row r="107" spans="1:11" x14ac:dyDescent="0.2">
      <c r="A107" s="108" t="s">
        <v>15073</v>
      </c>
      <c r="B107" s="108" t="s">
        <v>1765</v>
      </c>
      <c r="C107" s="108" t="s">
        <v>15074</v>
      </c>
      <c r="D107" s="109">
        <v>44648.329872685186</v>
      </c>
      <c r="E107" s="108" t="s">
        <v>26</v>
      </c>
      <c r="F107" s="108" t="s">
        <v>1730</v>
      </c>
      <c r="G107" s="108" t="s">
        <v>1766</v>
      </c>
      <c r="H107" s="108" t="s">
        <v>1767</v>
      </c>
      <c r="I107" s="15">
        <v>8.64641825</v>
      </c>
      <c r="J107" s="15">
        <v>0.11565483</v>
      </c>
      <c r="K107" s="108" t="s">
        <v>15075</v>
      </c>
    </row>
    <row r="108" spans="1:11" x14ac:dyDescent="0.2">
      <c r="A108" s="108" t="s">
        <v>15076</v>
      </c>
      <c r="B108" s="108" t="s">
        <v>1801</v>
      </c>
      <c r="C108" s="108" t="s">
        <v>15077</v>
      </c>
      <c r="D108" s="109">
        <v>44648.329872685186</v>
      </c>
      <c r="E108" s="108" t="s">
        <v>26</v>
      </c>
      <c r="F108" s="108" t="s">
        <v>1730</v>
      </c>
      <c r="G108" s="108" t="s">
        <v>1802</v>
      </c>
      <c r="H108" s="108" t="s">
        <v>1803</v>
      </c>
      <c r="I108" s="15">
        <v>1542.23568419</v>
      </c>
      <c r="J108" s="15">
        <v>6.4840999999999998E-4</v>
      </c>
      <c r="K108" s="108" t="s">
        <v>15078</v>
      </c>
    </row>
    <row r="109" spans="1:11" x14ac:dyDescent="0.2">
      <c r="A109" s="108" t="s">
        <v>15079</v>
      </c>
      <c r="B109" s="108" t="s">
        <v>1879</v>
      </c>
      <c r="C109" s="108" t="s">
        <v>15080</v>
      </c>
      <c r="D109" s="109">
        <v>44648.329872685186</v>
      </c>
      <c r="E109" s="108" t="s">
        <v>26</v>
      </c>
      <c r="F109" s="108" t="s">
        <v>1730</v>
      </c>
      <c r="G109" s="108" t="s">
        <v>1880</v>
      </c>
      <c r="H109" s="108" t="s">
        <v>1881</v>
      </c>
      <c r="I109" s="15">
        <v>339.81896590000002</v>
      </c>
      <c r="J109" s="15">
        <v>2.9427400000000001E-3</v>
      </c>
      <c r="K109" s="108" t="s">
        <v>15081</v>
      </c>
    </row>
    <row r="110" spans="1:11" x14ac:dyDescent="0.2">
      <c r="A110" s="108" t="s">
        <v>15082</v>
      </c>
      <c r="B110" s="108" t="s">
        <v>2172</v>
      </c>
      <c r="C110" s="108" t="s">
        <v>15083</v>
      </c>
      <c r="D110" s="109">
        <v>44648.329872685186</v>
      </c>
      <c r="E110" s="108" t="s">
        <v>26</v>
      </c>
      <c r="F110" s="108" t="s">
        <v>1730</v>
      </c>
      <c r="G110" s="108" t="s">
        <v>2173</v>
      </c>
      <c r="H110" s="108" t="s">
        <v>2174</v>
      </c>
      <c r="I110" s="15">
        <v>3.74071994</v>
      </c>
      <c r="J110" s="15">
        <v>0.26732822000000001</v>
      </c>
      <c r="K110" s="108" t="s">
        <v>15084</v>
      </c>
    </row>
    <row r="111" spans="1:11" x14ac:dyDescent="0.2">
      <c r="A111" s="108" t="s">
        <v>15085</v>
      </c>
      <c r="B111" s="108" t="s">
        <v>1963</v>
      </c>
      <c r="C111" s="108" t="s">
        <v>15086</v>
      </c>
      <c r="D111" s="109">
        <v>44648.329872685186</v>
      </c>
      <c r="E111" s="108" t="s">
        <v>26</v>
      </c>
      <c r="F111" s="108" t="s">
        <v>1730</v>
      </c>
      <c r="G111" s="108" t="s">
        <v>1964</v>
      </c>
      <c r="H111" s="108" t="s">
        <v>1965</v>
      </c>
      <c r="I111" s="15">
        <v>108.22731566</v>
      </c>
      <c r="J111" s="15">
        <v>9.2398099999999993E-3</v>
      </c>
      <c r="K111" s="108" t="s">
        <v>15087</v>
      </c>
    </row>
    <row r="112" spans="1:11" x14ac:dyDescent="0.2">
      <c r="A112" s="108" t="s">
        <v>15088</v>
      </c>
      <c r="B112" s="108" t="s">
        <v>1939</v>
      </c>
      <c r="C112" s="108" t="s">
        <v>15089</v>
      </c>
      <c r="D112" s="109">
        <v>44648.329872685186</v>
      </c>
      <c r="E112" s="108" t="s">
        <v>26</v>
      </c>
      <c r="F112" s="108" t="s">
        <v>1730</v>
      </c>
      <c r="G112" s="108" t="s">
        <v>1940</v>
      </c>
      <c r="H112" s="108" t="s">
        <v>1941</v>
      </c>
      <c r="I112" s="15">
        <v>8.8425261400000004</v>
      </c>
      <c r="J112" s="15">
        <v>0.11308986</v>
      </c>
      <c r="K112" s="108" t="s">
        <v>15090</v>
      </c>
    </row>
    <row r="113" spans="1:11" x14ac:dyDescent="0.2">
      <c r="A113" s="108" t="s">
        <v>15091</v>
      </c>
      <c r="B113" s="108" t="s">
        <v>1942</v>
      </c>
      <c r="C113" s="108" t="s">
        <v>15092</v>
      </c>
      <c r="D113" s="109">
        <v>44648.329872685186</v>
      </c>
      <c r="E113" s="108" t="s">
        <v>26</v>
      </c>
      <c r="F113" s="108" t="s">
        <v>1730</v>
      </c>
      <c r="G113" s="108" t="s">
        <v>1943</v>
      </c>
      <c r="H113" s="108" t="s">
        <v>1944</v>
      </c>
      <c r="I113" s="15">
        <v>1.8281826299999999</v>
      </c>
      <c r="J113" s="15">
        <v>0.54699129999999996</v>
      </c>
      <c r="K113" s="108" t="s">
        <v>15093</v>
      </c>
    </row>
    <row r="114" spans="1:11" x14ac:dyDescent="0.2">
      <c r="A114" s="108" t="s">
        <v>15094</v>
      </c>
      <c r="B114" s="108" t="s">
        <v>1810</v>
      </c>
      <c r="C114" s="108" t="s">
        <v>15095</v>
      </c>
      <c r="D114" s="109">
        <v>44648.329872685186</v>
      </c>
      <c r="E114" s="108" t="s">
        <v>26</v>
      </c>
      <c r="F114" s="108" t="s">
        <v>1730</v>
      </c>
      <c r="G114" s="108" t="s">
        <v>1811</v>
      </c>
      <c r="H114" s="108" t="s">
        <v>1812</v>
      </c>
      <c r="I114" s="15">
        <v>1796.1266139100001</v>
      </c>
      <c r="J114" s="15">
        <v>5.5674999999999995E-4</v>
      </c>
      <c r="K114" s="108" t="s">
        <v>15096</v>
      </c>
    </row>
    <row r="115" spans="1:11" x14ac:dyDescent="0.2">
      <c r="A115" s="108" t="s">
        <v>15097</v>
      </c>
      <c r="B115" s="108" t="s">
        <v>2112</v>
      </c>
      <c r="C115" s="108" t="s">
        <v>15098</v>
      </c>
      <c r="D115" s="109">
        <v>44648.329872685186</v>
      </c>
      <c r="E115" s="108" t="s">
        <v>26</v>
      </c>
      <c r="F115" s="108" t="s">
        <v>1730</v>
      </c>
      <c r="G115" s="108" t="s">
        <v>2113</v>
      </c>
      <c r="H115" s="108" t="s">
        <v>2114</v>
      </c>
      <c r="I115" s="15">
        <v>15.61368573</v>
      </c>
      <c r="J115" s="15">
        <v>6.404638E-2</v>
      </c>
      <c r="K115" s="108" t="s">
        <v>15099</v>
      </c>
    </row>
    <row r="116" spans="1:11" x14ac:dyDescent="0.2">
      <c r="A116" s="108" t="s">
        <v>15100</v>
      </c>
      <c r="B116" s="108" t="s">
        <v>2151</v>
      </c>
      <c r="C116" s="108" t="s">
        <v>15101</v>
      </c>
      <c r="D116" s="109">
        <v>44648.329872685186</v>
      </c>
      <c r="E116" s="108" t="s">
        <v>26</v>
      </c>
      <c r="F116" s="108" t="s">
        <v>1730</v>
      </c>
      <c r="G116" s="108" t="s">
        <v>2152</v>
      </c>
      <c r="H116" s="108" t="s">
        <v>2153</v>
      </c>
      <c r="I116" s="15">
        <v>4.3284169199999996</v>
      </c>
      <c r="J116" s="15">
        <v>0.23103135</v>
      </c>
      <c r="K116" s="108" t="s">
        <v>15102</v>
      </c>
    </row>
    <row r="117" spans="1:11" x14ac:dyDescent="0.2">
      <c r="A117" s="108" t="s">
        <v>15103</v>
      </c>
      <c r="B117" s="108" t="s">
        <v>1975</v>
      </c>
      <c r="C117" s="108" t="s">
        <v>15104</v>
      </c>
      <c r="D117" s="109">
        <v>44648.329872685186</v>
      </c>
      <c r="E117" s="108" t="s">
        <v>26</v>
      </c>
      <c r="F117" s="108" t="s">
        <v>1730</v>
      </c>
      <c r="G117" s="108" t="s">
        <v>1976</v>
      </c>
      <c r="H117" s="108" t="s">
        <v>1977</v>
      </c>
      <c r="I117" s="15">
        <v>122.54136747</v>
      </c>
      <c r="J117" s="15">
        <v>8.1605099999999993E-3</v>
      </c>
      <c r="K117" s="108" t="s">
        <v>15105</v>
      </c>
    </row>
    <row r="118" spans="1:11" x14ac:dyDescent="0.2">
      <c r="A118" s="108" t="s">
        <v>15106</v>
      </c>
      <c r="B118" s="108" t="s">
        <v>2035</v>
      </c>
      <c r="C118" s="108" t="s">
        <v>15107</v>
      </c>
      <c r="D118" s="109">
        <v>44648.329872685186</v>
      </c>
      <c r="E118" s="108" t="s">
        <v>26</v>
      </c>
      <c r="F118" s="108" t="s">
        <v>1730</v>
      </c>
      <c r="G118" s="108" t="s">
        <v>2036</v>
      </c>
      <c r="H118" s="108" t="s">
        <v>2037</v>
      </c>
      <c r="I118" s="15">
        <v>129.21203738</v>
      </c>
      <c r="J118" s="15">
        <v>7.7392199999999998E-3</v>
      </c>
      <c r="K118" s="108" t="s">
        <v>15108</v>
      </c>
    </row>
    <row r="119" spans="1:11" x14ac:dyDescent="0.2">
      <c r="A119" s="108" t="s">
        <v>15109</v>
      </c>
      <c r="B119" s="108" t="s">
        <v>2068</v>
      </c>
      <c r="C119" s="108" t="s">
        <v>15110</v>
      </c>
      <c r="D119" s="109">
        <v>44648.329872685186</v>
      </c>
      <c r="E119" s="108" t="s">
        <v>26</v>
      </c>
      <c r="F119" s="108" t="s">
        <v>1730</v>
      </c>
      <c r="G119" s="108" t="s">
        <v>2069</v>
      </c>
      <c r="H119" s="108" t="s">
        <v>2070</v>
      </c>
      <c r="I119" s="15">
        <v>0.75957938000000003</v>
      </c>
      <c r="J119" s="15">
        <v>1.31651809</v>
      </c>
      <c r="K119" s="108" t="s">
        <v>15111</v>
      </c>
    </row>
    <row r="120" spans="1:11" x14ac:dyDescent="0.2">
      <c r="A120" s="108" t="s">
        <v>15112</v>
      </c>
      <c r="B120" s="108" t="s">
        <v>1831</v>
      </c>
      <c r="C120" s="108" t="s">
        <v>15113</v>
      </c>
      <c r="D120" s="109">
        <v>44648.329872685186</v>
      </c>
      <c r="E120" s="108" t="s">
        <v>26</v>
      </c>
      <c r="F120" s="108" t="s">
        <v>1730</v>
      </c>
      <c r="G120" s="108" t="s">
        <v>1832</v>
      </c>
      <c r="H120" s="108" t="s">
        <v>1833</v>
      </c>
      <c r="I120" s="15">
        <v>3.1439470799999998</v>
      </c>
      <c r="J120" s="15">
        <v>0.31807151</v>
      </c>
      <c r="K120" s="108" t="s">
        <v>15114</v>
      </c>
    </row>
    <row r="121" spans="1:11" x14ac:dyDescent="0.2">
      <c r="A121" s="108" t="s">
        <v>15115</v>
      </c>
      <c r="B121" s="108" t="s">
        <v>2104</v>
      </c>
      <c r="C121" s="108" t="s">
        <v>15116</v>
      </c>
      <c r="D121" s="109">
        <v>44648.329872685186</v>
      </c>
      <c r="E121" s="108" t="s">
        <v>26</v>
      </c>
      <c r="F121" s="108" t="s">
        <v>1730</v>
      </c>
      <c r="G121" s="108" t="s">
        <v>379</v>
      </c>
      <c r="H121" s="108" t="s">
        <v>2105</v>
      </c>
      <c r="I121" s="15">
        <v>56.496620030000003</v>
      </c>
      <c r="J121" s="15">
        <v>1.7700170000000001E-2</v>
      </c>
      <c r="K121" s="108" t="s">
        <v>15117</v>
      </c>
    </row>
    <row r="122" spans="1:11" x14ac:dyDescent="0.2">
      <c r="A122" s="108" t="s">
        <v>15118</v>
      </c>
      <c r="B122" s="108" t="s">
        <v>2142</v>
      </c>
      <c r="C122" s="108" t="s">
        <v>15119</v>
      </c>
      <c r="D122" s="109">
        <v>44648.329872685186</v>
      </c>
      <c r="E122" s="108" t="s">
        <v>26</v>
      </c>
      <c r="F122" s="108" t="s">
        <v>1730</v>
      </c>
      <c r="G122" s="108" t="s">
        <v>2143</v>
      </c>
      <c r="H122" s="108" t="s">
        <v>2144</v>
      </c>
      <c r="I122" s="15">
        <v>2.03948924</v>
      </c>
      <c r="J122" s="15">
        <v>0.49031883999999998</v>
      </c>
      <c r="K122" s="108" t="s">
        <v>15120</v>
      </c>
    </row>
    <row r="123" spans="1:11" x14ac:dyDescent="0.2">
      <c r="A123" s="108" t="s">
        <v>15121</v>
      </c>
      <c r="B123" s="108" t="s">
        <v>1969</v>
      </c>
      <c r="C123" s="108" t="s">
        <v>15122</v>
      </c>
      <c r="D123" s="109">
        <v>44648.329872685186</v>
      </c>
      <c r="E123" s="108" t="s">
        <v>26</v>
      </c>
      <c r="F123" s="108" t="s">
        <v>1730</v>
      </c>
      <c r="G123" s="108" t="s">
        <v>1970</v>
      </c>
      <c r="H123" s="108" t="s">
        <v>1971</v>
      </c>
      <c r="I123" s="15">
        <v>179.82236678000001</v>
      </c>
      <c r="J123" s="15">
        <v>5.5610399999999997E-3</v>
      </c>
      <c r="K123" s="108" t="s">
        <v>15123</v>
      </c>
    </row>
    <row r="124" spans="1:11" x14ac:dyDescent="0.2">
      <c r="A124" s="108" t="s">
        <v>15124</v>
      </c>
      <c r="B124" s="108" t="s">
        <v>1840</v>
      </c>
      <c r="C124" s="108" t="s">
        <v>15125</v>
      </c>
      <c r="D124" s="109">
        <v>44648.329872685186</v>
      </c>
      <c r="E124" s="108" t="s">
        <v>26</v>
      </c>
      <c r="F124" s="108" t="s">
        <v>1730</v>
      </c>
      <c r="G124" s="108" t="s">
        <v>1841</v>
      </c>
      <c r="H124" s="108" t="s">
        <v>1842</v>
      </c>
      <c r="I124" s="15">
        <v>11782.78688525</v>
      </c>
      <c r="J124" s="15">
        <v>8.4870000000000006E-5</v>
      </c>
      <c r="K124" s="108" t="s">
        <v>15126</v>
      </c>
    </row>
    <row r="125" spans="1:11" x14ac:dyDescent="0.2">
      <c r="A125" s="108" t="s">
        <v>15127</v>
      </c>
      <c r="B125" s="108" t="s">
        <v>2136</v>
      </c>
      <c r="C125" s="108" t="s">
        <v>15128</v>
      </c>
      <c r="D125" s="109">
        <v>44648.329872685186</v>
      </c>
      <c r="E125" s="108" t="s">
        <v>26</v>
      </c>
      <c r="F125" s="108" t="s">
        <v>1730</v>
      </c>
      <c r="G125" s="108" t="s">
        <v>2137</v>
      </c>
      <c r="H125" s="108" t="s">
        <v>2138</v>
      </c>
      <c r="I125" s="15">
        <v>115.65693137</v>
      </c>
      <c r="J125" s="15">
        <v>8.6462599999999994E-3</v>
      </c>
      <c r="K125" s="108" t="s">
        <v>15129</v>
      </c>
    </row>
    <row r="126" spans="1:11" x14ac:dyDescent="0.2">
      <c r="A126" s="108" t="s">
        <v>15130</v>
      </c>
      <c r="B126" s="108" t="s">
        <v>1849</v>
      </c>
      <c r="C126" s="108" t="s">
        <v>15131</v>
      </c>
      <c r="D126" s="109">
        <v>44648.329872685186</v>
      </c>
      <c r="E126" s="108" t="s">
        <v>26</v>
      </c>
      <c r="F126" s="108" t="s">
        <v>1730</v>
      </c>
      <c r="G126" s="108" t="s">
        <v>1850</v>
      </c>
      <c r="H126" s="108" t="s">
        <v>1851</v>
      </c>
      <c r="I126" s="15">
        <v>3.74426339</v>
      </c>
      <c r="J126" s="15">
        <v>0.26707523</v>
      </c>
      <c r="K126" s="108" t="s">
        <v>15132</v>
      </c>
    </row>
    <row r="127" spans="1:11" x14ac:dyDescent="0.2">
      <c r="A127" s="108" t="s">
        <v>15133</v>
      </c>
      <c r="B127" s="108" t="s">
        <v>1822</v>
      </c>
      <c r="C127" s="108" t="s">
        <v>15134</v>
      </c>
      <c r="D127" s="109">
        <v>44648.329872685186</v>
      </c>
      <c r="E127" s="108" t="s">
        <v>26</v>
      </c>
      <c r="F127" s="108" t="s">
        <v>1730</v>
      </c>
      <c r="G127" s="108" t="s">
        <v>1823</v>
      </c>
      <c r="H127" s="108" t="s">
        <v>1824</v>
      </c>
      <c r="I127" s="15">
        <v>52.110471330000003</v>
      </c>
      <c r="J127" s="15">
        <v>1.9189999999999999E-2</v>
      </c>
      <c r="K127" s="108" t="s">
        <v>15135</v>
      </c>
    </row>
    <row r="128" spans="1:11" x14ac:dyDescent="0.2">
      <c r="A128" s="108" t="s">
        <v>15136</v>
      </c>
      <c r="B128" s="108" t="s">
        <v>2005</v>
      </c>
      <c r="C128" s="108" t="s">
        <v>15137</v>
      </c>
      <c r="D128" s="109">
        <v>44648.329872685186</v>
      </c>
      <c r="E128" s="108" t="s">
        <v>26</v>
      </c>
      <c r="F128" s="108" t="s">
        <v>1730</v>
      </c>
      <c r="G128" s="108" t="s">
        <v>2006</v>
      </c>
      <c r="H128" s="108" t="s">
        <v>2007</v>
      </c>
      <c r="I128" s="15">
        <v>1220.3023061599999</v>
      </c>
      <c r="J128" s="15">
        <v>8.1946999999999999E-4</v>
      </c>
      <c r="K128" s="108" t="s">
        <v>15138</v>
      </c>
    </row>
    <row r="129" spans="1:11" x14ac:dyDescent="0.2">
      <c r="A129" s="108" t="s">
        <v>15139</v>
      </c>
      <c r="B129" s="108" t="s">
        <v>1825</v>
      </c>
      <c r="C129" s="108" t="s">
        <v>15140</v>
      </c>
      <c r="D129" s="109">
        <v>44648.329872685186</v>
      </c>
      <c r="E129" s="108" t="s">
        <v>26</v>
      </c>
      <c r="F129" s="108" t="s">
        <v>1730</v>
      </c>
      <c r="G129" s="108" t="s">
        <v>1826</v>
      </c>
      <c r="H129" s="108" t="s">
        <v>1827</v>
      </c>
      <c r="I129" s="15">
        <v>36.389963569999999</v>
      </c>
      <c r="J129" s="15">
        <v>2.74801E-2</v>
      </c>
      <c r="K129" s="108" t="s">
        <v>15141</v>
      </c>
    </row>
    <row r="130" spans="1:11" x14ac:dyDescent="0.2">
      <c r="A130" s="108" t="s">
        <v>15142</v>
      </c>
      <c r="B130" s="108" t="s">
        <v>2115</v>
      </c>
      <c r="C130" s="108" t="s">
        <v>15143</v>
      </c>
      <c r="D130" s="109">
        <v>44648.329872685186</v>
      </c>
      <c r="E130" s="108" t="s">
        <v>26</v>
      </c>
      <c r="F130" s="108" t="s">
        <v>1730</v>
      </c>
      <c r="G130" s="108" t="s">
        <v>2116</v>
      </c>
      <c r="H130" s="108" t="s">
        <v>2117</v>
      </c>
      <c r="I130" s="15">
        <v>3794.8073599899999</v>
      </c>
      <c r="J130" s="15">
        <v>2.6352E-4</v>
      </c>
      <c r="K130" s="108" t="s">
        <v>15144</v>
      </c>
    </row>
    <row r="131" spans="1:11" x14ac:dyDescent="0.2">
      <c r="A131" s="108" t="s">
        <v>15145</v>
      </c>
      <c r="B131" s="108" t="s">
        <v>1993</v>
      </c>
      <c r="C131" s="108" t="s">
        <v>15146</v>
      </c>
      <c r="D131" s="109">
        <v>44648.329872685186</v>
      </c>
      <c r="E131" s="108" t="s">
        <v>26</v>
      </c>
      <c r="F131" s="108" t="s">
        <v>1730</v>
      </c>
      <c r="G131" s="108" t="s">
        <v>1994</v>
      </c>
      <c r="H131" s="108" t="s">
        <v>1995</v>
      </c>
      <c r="I131" s="15">
        <v>2.11158987</v>
      </c>
      <c r="J131" s="15">
        <v>0.47357681000000001</v>
      </c>
      <c r="K131" s="108" t="s">
        <v>15147</v>
      </c>
    </row>
    <row r="132" spans="1:11" x14ac:dyDescent="0.2">
      <c r="A132" s="108" t="s">
        <v>15148</v>
      </c>
      <c r="B132" s="108" t="s">
        <v>1996</v>
      </c>
      <c r="C132" s="108" t="s">
        <v>15149</v>
      </c>
      <c r="D132" s="109">
        <v>44648.329872685186</v>
      </c>
      <c r="E132" s="108" t="s">
        <v>26</v>
      </c>
      <c r="F132" s="108" t="s">
        <v>1730</v>
      </c>
      <c r="G132" s="108" t="s">
        <v>1997</v>
      </c>
      <c r="H132" s="108" t="s">
        <v>1998</v>
      </c>
      <c r="I132" s="15">
        <v>2018.9606741600001</v>
      </c>
      <c r="J132" s="15">
        <v>4.9529999999999995E-4</v>
      </c>
      <c r="K132" s="108" t="s">
        <v>15150</v>
      </c>
    </row>
    <row r="133" spans="1:11" x14ac:dyDescent="0.2">
      <c r="A133" s="108" t="s">
        <v>15151</v>
      </c>
      <c r="B133" s="108" t="s">
        <v>1867</v>
      </c>
      <c r="C133" s="108" t="s">
        <v>15152</v>
      </c>
      <c r="D133" s="109">
        <v>44648.329872685186</v>
      </c>
      <c r="E133" s="108" t="s">
        <v>26</v>
      </c>
      <c r="F133" s="108" t="s">
        <v>1730</v>
      </c>
      <c r="G133" s="108" t="s">
        <v>1868</v>
      </c>
      <c r="H133" s="108" t="s">
        <v>1869</v>
      </c>
      <c r="I133" s="15">
        <v>64.752252249999998</v>
      </c>
      <c r="J133" s="15">
        <v>1.5443480000000001E-2</v>
      </c>
      <c r="K133" s="108" t="s">
        <v>15153</v>
      </c>
    </row>
    <row r="134" spans="1:11" x14ac:dyDescent="0.2">
      <c r="A134" s="108" t="s">
        <v>15154</v>
      </c>
      <c r="B134" s="108" t="s">
        <v>2163</v>
      </c>
      <c r="C134" s="108" t="s">
        <v>15155</v>
      </c>
      <c r="D134" s="109">
        <v>44648.329872685186</v>
      </c>
      <c r="E134" s="108" t="s">
        <v>26</v>
      </c>
      <c r="F134" s="108" t="s">
        <v>1730</v>
      </c>
      <c r="G134" s="108" t="s">
        <v>2164</v>
      </c>
      <c r="H134" s="108" t="s">
        <v>2165</v>
      </c>
      <c r="I134" s="15">
        <v>3657.7608142499998</v>
      </c>
      <c r="J134" s="15">
        <v>2.7338999999999998E-4</v>
      </c>
      <c r="K134" s="108" t="s">
        <v>15156</v>
      </c>
    </row>
    <row r="135" spans="1:11" x14ac:dyDescent="0.2">
      <c r="A135" s="108" t="s">
        <v>15157</v>
      </c>
      <c r="B135" s="108" t="s">
        <v>2065</v>
      </c>
      <c r="C135" s="108" t="s">
        <v>15158</v>
      </c>
      <c r="D135" s="109">
        <v>44648.329872685186</v>
      </c>
      <c r="E135" s="108" t="s">
        <v>26</v>
      </c>
      <c r="F135" s="108" t="s">
        <v>1730</v>
      </c>
      <c r="G135" s="108" t="s">
        <v>2066</v>
      </c>
      <c r="H135" s="108" t="s">
        <v>2067</v>
      </c>
      <c r="I135" s="15">
        <v>4.9846305700000002</v>
      </c>
      <c r="J135" s="15">
        <v>0.20061667</v>
      </c>
      <c r="K135" s="108" t="s">
        <v>15159</v>
      </c>
    </row>
    <row r="136" spans="1:11" x14ac:dyDescent="0.2">
      <c r="A136" s="108" t="s">
        <v>15160</v>
      </c>
      <c r="B136" s="108" t="s">
        <v>1873</v>
      </c>
      <c r="C136" s="108" t="s">
        <v>15161</v>
      </c>
      <c r="D136" s="109">
        <v>44648.329872685186</v>
      </c>
      <c r="E136" s="108" t="s">
        <v>26</v>
      </c>
      <c r="F136" s="108" t="s">
        <v>1730</v>
      </c>
      <c r="G136" s="108" t="s">
        <v>1874</v>
      </c>
      <c r="H136" s="108" t="s">
        <v>1875</v>
      </c>
      <c r="I136" s="15">
        <v>6.3631174899999996</v>
      </c>
      <c r="J136" s="15">
        <v>0.15715567</v>
      </c>
      <c r="K136" s="108" t="s">
        <v>15162</v>
      </c>
    </row>
    <row r="137" spans="1:11" x14ac:dyDescent="0.2">
      <c r="A137" s="108" t="s">
        <v>15163</v>
      </c>
      <c r="B137" s="108" t="s">
        <v>1927</v>
      </c>
      <c r="C137" s="108" t="s">
        <v>15164</v>
      </c>
      <c r="D137" s="109">
        <v>44648.329872685186</v>
      </c>
      <c r="E137" s="108" t="s">
        <v>26</v>
      </c>
      <c r="F137" s="108" t="s">
        <v>1730</v>
      </c>
      <c r="G137" s="108" t="s">
        <v>1928</v>
      </c>
      <c r="H137" s="108" t="s">
        <v>1929</v>
      </c>
      <c r="I137" s="15">
        <v>3.7526513600000002</v>
      </c>
      <c r="J137" s="15">
        <v>0.26647826000000002</v>
      </c>
      <c r="K137" s="108" t="s">
        <v>15165</v>
      </c>
    </row>
    <row r="138" spans="1:11" x14ac:dyDescent="0.2">
      <c r="A138" s="108" t="s">
        <v>15166</v>
      </c>
      <c r="B138" s="108" t="s">
        <v>1951</v>
      </c>
      <c r="C138" s="108" t="s">
        <v>15167</v>
      </c>
      <c r="D138" s="109">
        <v>44648.329872685186</v>
      </c>
      <c r="E138" s="108" t="s">
        <v>26</v>
      </c>
      <c r="F138" s="108" t="s">
        <v>1730</v>
      </c>
      <c r="G138" s="108" t="s">
        <v>1952</v>
      </c>
      <c r="H138" s="108" t="s">
        <v>1953</v>
      </c>
      <c r="I138" s="15">
        <v>14.57019193</v>
      </c>
      <c r="J138" s="15">
        <v>6.8633280000000005E-2</v>
      </c>
      <c r="K138" s="108" t="s">
        <v>15168</v>
      </c>
    </row>
    <row r="139" spans="1:11" x14ac:dyDescent="0.2">
      <c r="A139" s="108" t="s">
        <v>15169</v>
      </c>
      <c r="B139" s="108" t="s">
        <v>1885</v>
      </c>
      <c r="C139" s="108" t="s">
        <v>15170</v>
      </c>
      <c r="D139" s="109">
        <v>44648.329872685186</v>
      </c>
      <c r="E139" s="108" t="s">
        <v>26</v>
      </c>
      <c r="F139" s="108" t="s">
        <v>1730</v>
      </c>
      <c r="G139" s="108" t="s">
        <v>1886</v>
      </c>
      <c r="H139" s="108" t="s">
        <v>1887</v>
      </c>
      <c r="I139" s="15">
        <v>18.40265222</v>
      </c>
      <c r="J139" s="15">
        <v>5.4339989999999998E-2</v>
      </c>
      <c r="K139" s="108" t="s">
        <v>15171</v>
      </c>
    </row>
    <row r="140" spans="1:11" x14ac:dyDescent="0.2">
      <c r="A140" s="108" t="s">
        <v>15172</v>
      </c>
      <c r="B140" s="108" t="s">
        <v>1777</v>
      </c>
      <c r="C140" s="108" t="s">
        <v>15173</v>
      </c>
      <c r="D140" s="109">
        <v>44648.329872685186</v>
      </c>
      <c r="E140" s="108" t="s">
        <v>26</v>
      </c>
      <c r="F140" s="108" t="s">
        <v>1730</v>
      </c>
      <c r="G140" s="108" t="s">
        <v>1778</v>
      </c>
      <c r="H140" s="108" t="s">
        <v>1779</v>
      </c>
      <c r="I140" s="15">
        <v>1.00412653</v>
      </c>
      <c r="J140" s="15">
        <v>0.99589042999999999</v>
      </c>
      <c r="K140" s="108" t="s">
        <v>15174</v>
      </c>
    </row>
    <row r="141" spans="1:11" x14ac:dyDescent="0.2">
      <c r="A141" s="108" t="s">
        <v>15175</v>
      </c>
      <c r="B141" s="108" t="s">
        <v>2020</v>
      </c>
      <c r="C141" s="108" t="s">
        <v>15176</v>
      </c>
      <c r="D141" s="109">
        <v>44648.329872685186</v>
      </c>
      <c r="E141" s="108" t="s">
        <v>26</v>
      </c>
      <c r="F141" s="108" t="s">
        <v>1730</v>
      </c>
      <c r="G141" s="108" t="s">
        <v>2021</v>
      </c>
      <c r="H141" s="108" t="s">
        <v>2022</v>
      </c>
      <c r="I141" s="15">
        <v>154.56989247000001</v>
      </c>
      <c r="J141" s="15">
        <v>6.46957E-3</v>
      </c>
      <c r="K141" s="108" t="s">
        <v>15177</v>
      </c>
    </row>
    <row r="142" spans="1:11" x14ac:dyDescent="0.2">
      <c r="A142" s="108" t="s">
        <v>15178</v>
      </c>
      <c r="B142" s="108" t="s">
        <v>2023</v>
      </c>
      <c r="C142" s="108" t="s">
        <v>15179</v>
      </c>
      <c r="D142" s="109">
        <v>44648.329872685186</v>
      </c>
      <c r="E142" s="108" t="s">
        <v>26</v>
      </c>
      <c r="F142" s="108" t="s">
        <v>1730</v>
      </c>
      <c r="G142" s="108" t="s">
        <v>2024</v>
      </c>
      <c r="H142" s="108" t="s">
        <v>2025</v>
      </c>
      <c r="I142" s="15">
        <v>453.94736841999998</v>
      </c>
      <c r="J142" s="15">
        <v>2.2028999999999998E-3</v>
      </c>
      <c r="K142" s="108" t="s">
        <v>15180</v>
      </c>
    </row>
    <row r="143" spans="1:11" x14ac:dyDescent="0.2">
      <c r="A143" s="108" t="s">
        <v>15181</v>
      </c>
      <c r="B143" s="108" t="s">
        <v>1897</v>
      </c>
      <c r="C143" s="108" t="s">
        <v>15182</v>
      </c>
      <c r="D143" s="109">
        <v>44648.329872685186</v>
      </c>
      <c r="E143" s="108" t="s">
        <v>26</v>
      </c>
      <c r="F143" s="108" t="s">
        <v>1730</v>
      </c>
      <c r="G143" s="108" t="s">
        <v>1898</v>
      </c>
      <c r="H143" s="108" t="s">
        <v>1899</v>
      </c>
      <c r="I143" s="15">
        <v>2.25998323</v>
      </c>
      <c r="J143" s="15">
        <v>0.44248115999999998</v>
      </c>
      <c r="K143" s="108" t="s">
        <v>15183</v>
      </c>
    </row>
    <row r="144" spans="1:11" x14ac:dyDescent="0.2">
      <c r="A144" s="108" t="s">
        <v>15184</v>
      </c>
      <c r="B144" s="108" t="s">
        <v>1762</v>
      </c>
      <c r="C144" s="108" t="s">
        <v>15185</v>
      </c>
      <c r="D144" s="109">
        <v>44648.329872685186</v>
      </c>
      <c r="E144" s="108" t="s">
        <v>26</v>
      </c>
      <c r="F144" s="108" t="s">
        <v>1730</v>
      </c>
      <c r="G144" s="108" t="s">
        <v>1763</v>
      </c>
      <c r="H144" s="108" t="s">
        <v>1764</v>
      </c>
      <c r="I144" s="15">
        <v>113.32282223</v>
      </c>
      <c r="J144" s="15">
        <v>8.8243499999999999E-3</v>
      </c>
      <c r="K144" s="108" t="s">
        <v>15186</v>
      </c>
    </row>
    <row r="145" spans="1:11" x14ac:dyDescent="0.2">
      <c r="A145" s="108" t="s">
        <v>15187</v>
      </c>
      <c r="B145" s="108" t="s">
        <v>1846</v>
      </c>
      <c r="C145" s="108" t="s">
        <v>15188</v>
      </c>
      <c r="D145" s="109">
        <v>44648.329872685186</v>
      </c>
      <c r="E145" s="108" t="s">
        <v>26</v>
      </c>
      <c r="F145" s="108" t="s">
        <v>1730</v>
      </c>
      <c r="G145" s="108" t="s">
        <v>1847</v>
      </c>
      <c r="H145" s="108" t="s">
        <v>1848</v>
      </c>
      <c r="I145" s="15">
        <v>6.76155317</v>
      </c>
      <c r="J145" s="15">
        <v>0.14789500999999999</v>
      </c>
      <c r="K145" s="108" t="s">
        <v>15189</v>
      </c>
    </row>
    <row r="146" spans="1:11" x14ac:dyDescent="0.2">
      <c r="A146" s="108" t="s">
        <v>15190</v>
      </c>
      <c r="B146" s="108" t="s">
        <v>1795</v>
      </c>
      <c r="C146" s="108" t="s">
        <v>15191</v>
      </c>
      <c r="D146" s="109">
        <v>44648.329872685186</v>
      </c>
      <c r="E146" s="108" t="s">
        <v>26</v>
      </c>
      <c r="F146" s="108" t="s">
        <v>1730</v>
      </c>
      <c r="G146" s="108" t="s">
        <v>1796</v>
      </c>
      <c r="H146" s="108" t="s">
        <v>1797</v>
      </c>
      <c r="I146" s="15">
        <v>14349.16255694</v>
      </c>
      <c r="J146" s="15">
        <v>6.9690000000000005E-5</v>
      </c>
      <c r="K146" s="108" t="s">
        <v>15192</v>
      </c>
    </row>
    <row r="147" spans="1:11" x14ac:dyDescent="0.2">
      <c r="A147" s="108" t="s">
        <v>15193</v>
      </c>
      <c r="B147" s="108" t="s">
        <v>2095</v>
      </c>
      <c r="C147" s="108" t="s">
        <v>15194</v>
      </c>
      <c r="D147" s="109">
        <v>44648.329872685186</v>
      </c>
      <c r="E147" s="108" t="s">
        <v>26</v>
      </c>
      <c r="F147" s="108" t="s">
        <v>1730</v>
      </c>
      <c r="G147" s="108" t="s">
        <v>2096</v>
      </c>
      <c r="H147" s="108" t="s">
        <v>2097</v>
      </c>
      <c r="I147" s="15">
        <v>2.9813520499999999</v>
      </c>
      <c r="J147" s="15">
        <v>0.33541829000000001</v>
      </c>
      <c r="K147" s="108" t="s">
        <v>15195</v>
      </c>
    </row>
    <row r="148" spans="1:11" x14ac:dyDescent="0.2">
      <c r="A148" s="108" t="s">
        <v>15196</v>
      </c>
      <c r="B148" s="108" t="s">
        <v>1852</v>
      </c>
      <c r="C148" s="108" t="s">
        <v>15197</v>
      </c>
      <c r="D148" s="109">
        <v>44648.329872685186</v>
      </c>
      <c r="E148" s="108" t="s">
        <v>26</v>
      </c>
      <c r="F148" s="108" t="s">
        <v>1730</v>
      </c>
      <c r="G148" s="108" t="s">
        <v>1853</v>
      </c>
      <c r="H148" s="108" t="s">
        <v>1854</v>
      </c>
      <c r="I148" s="15">
        <v>28.658938809999999</v>
      </c>
      <c r="J148" s="15">
        <v>3.4893130000000001E-2</v>
      </c>
      <c r="K148" s="108" t="s">
        <v>15198</v>
      </c>
    </row>
    <row r="149" spans="1:11" x14ac:dyDescent="0.2">
      <c r="A149" s="108" t="s">
        <v>15199</v>
      </c>
      <c r="B149" s="108" t="s">
        <v>1936</v>
      </c>
      <c r="C149" s="108" t="s">
        <v>15200</v>
      </c>
      <c r="D149" s="109">
        <v>44648.329872685186</v>
      </c>
      <c r="E149" s="108" t="s">
        <v>26</v>
      </c>
      <c r="F149" s="108" t="s">
        <v>1730</v>
      </c>
      <c r="G149" s="108" t="s">
        <v>1937</v>
      </c>
      <c r="H149" s="108" t="s">
        <v>1938</v>
      </c>
      <c r="I149" s="15">
        <v>1498.5972125999999</v>
      </c>
      <c r="J149" s="15">
        <v>6.6728999999999996E-4</v>
      </c>
      <c r="K149" s="108" t="s">
        <v>15201</v>
      </c>
    </row>
    <row r="150" spans="1:11" x14ac:dyDescent="0.2">
      <c r="A150" s="108" t="s">
        <v>15202</v>
      </c>
      <c r="B150" s="108" t="s">
        <v>2017</v>
      </c>
      <c r="C150" s="108" t="s">
        <v>15203</v>
      </c>
      <c r="D150" s="109">
        <v>44648.329872685186</v>
      </c>
      <c r="E150" s="108" t="s">
        <v>26</v>
      </c>
      <c r="F150" s="108" t="s">
        <v>1730</v>
      </c>
      <c r="G150" s="108" t="s">
        <v>2018</v>
      </c>
      <c r="H150" s="108" t="s">
        <v>2019</v>
      </c>
      <c r="I150" s="15">
        <v>6.9072617300000001</v>
      </c>
      <c r="J150" s="15">
        <v>0.14477517000000001</v>
      </c>
      <c r="K150" s="108" t="s">
        <v>15204</v>
      </c>
    </row>
  </sheetData>
  <pageMargins left="0.7" right="0.7" top="0.75" bottom="0.75" header="0.3" footer="0.3"/>
  <pageSetup paperSize="9" orientation="portrait" horizontalDpi="0" verticalDpi="0" r:id="rId1"/>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FDD7E-4018-4EAB-B169-E6BDF316FB24}">
  <sheetPr codeName="Sheet21">
    <tabColor rgb="FF7030A0"/>
  </sheetPr>
  <dimension ref="A1:C174"/>
  <sheetViews>
    <sheetView workbookViewId="0"/>
  </sheetViews>
  <sheetFormatPr defaultRowHeight="12.75" x14ac:dyDescent="0.2"/>
  <cols>
    <col min="1" max="1" width="11.28515625" customWidth="1"/>
    <col min="2" max="2" width="22.7109375" customWidth="1"/>
    <col min="3" max="3" width="16.85546875" style="239" customWidth="1"/>
  </cols>
  <sheetData>
    <row r="1" spans="1:3" x14ac:dyDescent="0.2">
      <c r="A1" t="s">
        <v>2175</v>
      </c>
      <c r="B1" t="s">
        <v>18</v>
      </c>
      <c r="C1" s="239" t="s">
        <v>2176</v>
      </c>
    </row>
    <row r="2" spans="1:3" x14ac:dyDescent="0.2">
      <c r="A2" t="s">
        <v>26</v>
      </c>
      <c r="B2" t="s">
        <v>1730</v>
      </c>
      <c r="C2" s="239">
        <v>1</v>
      </c>
    </row>
    <row r="3" spans="1:3" x14ac:dyDescent="0.2">
      <c r="A3" t="str">
        <f>'T6a. FOREX (XML)'!G2</f>
        <v>EUR</v>
      </c>
      <c r="B3" t="str">
        <f>'T6a. FOREX (XML)'!H2</f>
        <v>Euro</v>
      </c>
      <c r="C3" s="239">
        <f>'T6a. FOREX (XML)'!I2</f>
        <v>0.90843706999999996</v>
      </c>
    </row>
    <row r="4" spans="1:3" x14ac:dyDescent="0.2">
      <c r="A4" s="15" t="str">
        <f>'T6a. FOREX (XML)'!G3</f>
        <v>GBP</v>
      </c>
      <c r="B4" s="15" t="str">
        <f>'T6a. FOREX (XML)'!H3</f>
        <v>U.K. Pound Sterling</v>
      </c>
      <c r="C4" s="239">
        <f>'T6a. FOREX (XML)'!I3</f>
        <v>0.75795935999999997</v>
      </c>
    </row>
    <row r="5" spans="1:3" x14ac:dyDescent="0.2">
      <c r="A5" s="15" t="str">
        <f>'T6a. FOREX (XML)'!G4</f>
        <v>JPY</v>
      </c>
      <c r="B5" s="15" t="str">
        <f>'T6a. FOREX (XML)'!H4</f>
        <v>Japanese Yen</v>
      </c>
      <c r="C5" s="239">
        <f>'T6a. FOREX (XML)'!I4</f>
        <v>121.74124263</v>
      </c>
    </row>
    <row r="6" spans="1:3" x14ac:dyDescent="0.2">
      <c r="A6" s="15" t="str">
        <f>'T6a. FOREX (XML)'!G5</f>
        <v>AUD</v>
      </c>
      <c r="B6" s="15" t="str">
        <f>'T6a. FOREX (XML)'!H5</f>
        <v>Australian Dollar</v>
      </c>
      <c r="C6" s="239">
        <f>'T6a. FOREX (XML)'!I5</f>
        <v>1.3298314</v>
      </c>
    </row>
    <row r="7" spans="1:3" x14ac:dyDescent="0.2">
      <c r="A7" s="15" t="str">
        <f>'T6a. FOREX (XML)'!G6</f>
        <v>CHF</v>
      </c>
      <c r="B7" s="15" t="str">
        <f>'T6a. FOREX (XML)'!H6</f>
        <v>Swiss Franc</v>
      </c>
      <c r="C7" s="239">
        <f>'T6a. FOREX (XML)'!I6</f>
        <v>0.92767812999999999</v>
      </c>
    </row>
    <row r="8" spans="1:3" x14ac:dyDescent="0.2">
      <c r="A8" s="15" t="str">
        <f>'T6a. FOREX (XML)'!G7</f>
        <v>CAD</v>
      </c>
      <c r="B8" s="15" t="str">
        <f>'T6a. FOREX (XML)'!H7</f>
        <v>Canadian Dollar</v>
      </c>
      <c r="C8" s="239">
        <f>'T6a. FOREX (XML)'!I7</f>
        <v>1.2520722200000001</v>
      </c>
    </row>
    <row r="9" spans="1:3" x14ac:dyDescent="0.2">
      <c r="A9" s="15" t="str">
        <f>'T6a. FOREX (XML)'!G8</f>
        <v>TTD</v>
      </c>
      <c r="B9" s="15" t="str">
        <f>'T6a. FOREX (XML)'!H8</f>
        <v>Trinidad Tobago Dollar</v>
      </c>
      <c r="C9" s="239">
        <f>'T6a. FOREX (XML)'!I8</f>
        <v>6.8604836100000002</v>
      </c>
    </row>
    <row r="10" spans="1:3" x14ac:dyDescent="0.2">
      <c r="A10" s="15" t="str">
        <f>'T6a. FOREX (XML)'!G9</f>
        <v>LAK</v>
      </c>
      <c r="B10" s="15" t="str">
        <f>'T6a. FOREX (XML)'!H9</f>
        <v>Lao kip</v>
      </c>
      <c r="C10" s="239">
        <f>'T6a. FOREX (XML)'!I9</f>
        <v>11718.75</v>
      </c>
    </row>
    <row r="11" spans="1:3" x14ac:dyDescent="0.2">
      <c r="A11" s="15" t="str">
        <f>'T6a. FOREX (XML)'!G10</f>
        <v>BWP</v>
      </c>
      <c r="B11" s="15" t="str">
        <f>'T6a. FOREX (XML)'!H10</f>
        <v>Botswana Pula</v>
      </c>
      <c r="C11" s="239">
        <f>'T6a. FOREX (XML)'!I10</f>
        <v>11.658556369999999</v>
      </c>
    </row>
    <row r="12" spans="1:3" x14ac:dyDescent="0.2">
      <c r="A12" s="15" t="str">
        <f>'T6a. FOREX (XML)'!G11</f>
        <v>KWD</v>
      </c>
      <c r="B12" s="15" t="str">
        <f>'T6a. FOREX (XML)'!H11</f>
        <v>Kuwaiti Dinar</v>
      </c>
      <c r="C12" s="239">
        <f>'T6a. FOREX (XML)'!I11</f>
        <v>0.30509667000000001</v>
      </c>
    </row>
    <row r="13" spans="1:3" x14ac:dyDescent="0.2">
      <c r="A13" s="15" t="str">
        <f>'T6a. FOREX (XML)'!G12</f>
        <v>CZK</v>
      </c>
      <c r="B13" s="15" t="str">
        <f>'T6a. FOREX (XML)'!H12</f>
        <v>Czech Koruna</v>
      </c>
      <c r="C13" s="239">
        <f>'T6a. FOREX (XML)'!I12</f>
        <v>22.39866756</v>
      </c>
    </row>
    <row r="14" spans="1:3" x14ac:dyDescent="0.2">
      <c r="A14" s="15" t="str">
        <f>'T6a. FOREX (XML)'!G13</f>
        <v>NGN</v>
      </c>
      <c r="B14" s="15" t="str">
        <f>'T6a. FOREX (XML)'!H13</f>
        <v>Nigerian Naira</v>
      </c>
      <c r="C14" s="239">
        <f>'T6a. FOREX (XML)'!I13</f>
        <v>417.86207830000001</v>
      </c>
    </row>
    <row r="15" spans="1:3" x14ac:dyDescent="0.2">
      <c r="A15" s="15" t="str">
        <f>'T6a. FOREX (XML)'!G14</f>
        <v>TMT</v>
      </c>
      <c r="B15" s="15" t="str">
        <f>'T6a. FOREX (XML)'!H14</f>
        <v>New Turkmenistan Manat</v>
      </c>
      <c r="C15" s="239">
        <f>'T6a. FOREX (XML)'!I14</f>
        <v>3.5921237800000001</v>
      </c>
    </row>
    <row r="16" spans="1:3" x14ac:dyDescent="0.2">
      <c r="A16" s="15" t="str">
        <f>'T6a. FOREX (XML)'!G15</f>
        <v>ETB</v>
      </c>
      <c r="B16" s="15" t="str">
        <f>'T6a. FOREX (XML)'!H15</f>
        <v>Ethiopian birr</v>
      </c>
      <c r="C16" s="239">
        <f>'T6a. FOREX (XML)'!I15</f>
        <v>51.83293269</v>
      </c>
    </row>
    <row r="17" spans="1:3" x14ac:dyDescent="0.2">
      <c r="A17" s="15" t="str">
        <f>'T6a. FOREX (XML)'!G16</f>
        <v>CVE</v>
      </c>
      <c r="B17" s="15" t="str">
        <f>'T6a. FOREX (XML)'!H16</f>
        <v>Cape Verde escudo</v>
      </c>
      <c r="C17" s="239">
        <f>'T6a. FOREX (XML)'!I16</f>
        <v>101.47058824</v>
      </c>
    </row>
    <row r="18" spans="1:3" x14ac:dyDescent="0.2">
      <c r="A18" s="15" t="str">
        <f>'T6a. FOREX (XML)'!G17</f>
        <v>AOA</v>
      </c>
      <c r="B18" s="15" t="str">
        <f>'T6a. FOREX (XML)'!H17</f>
        <v>Angolan kwanza</v>
      </c>
      <c r="C18" s="239">
        <f>'T6a. FOREX (XML)'!I17</f>
        <v>458.77659574</v>
      </c>
    </row>
    <row r="19" spans="1:3" x14ac:dyDescent="0.2">
      <c r="A19" s="15" t="str">
        <f>'T6a. FOREX (XML)'!G18</f>
        <v>KHR</v>
      </c>
      <c r="B19" s="15" t="str">
        <f>'T6a. FOREX (XML)'!H18</f>
        <v>Cambodian riel</v>
      </c>
      <c r="C19" s="239">
        <f>'T6a. FOREX (XML)'!I18</f>
        <v>4087.6777251200001</v>
      </c>
    </row>
    <row r="20" spans="1:3" x14ac:dyDescent="0.2">
      <c r="A20" s="15" t="str">
        <f>'T6a. FOREX (XML)'!G19</f>
        <v>MAD</v>
      </c>
      <c r="B20" s="15" t="str">
        <f>'T6a. FOREX (XML)'!H19</f>
        <v>Moroccan Dirham</v>
      </c>
      <c r="C20" s="239">
        <f>'T6a. FOREX (XML)'!I19</f>
        <v>9.7186078299999998</v>
      </c>
    </row>
    <row r="21" spans="1:3" x14ac:dyDescent="0.2">
      <c r="A21" s="15" t="str">
        <f>'T6a. FOREX (XML)'!G20</f>
        <v>RON</v>
      </c>
      <c r="B21" s="15" t="str">
        <f>'T6a. FOREX (XML)'!H20</f>
        <v>Romanian New Leu</v>
      </c>
      <c r="C21" s="239">
        <f>'T6a. FOREX (XML)'!I20</f>
        <v>4.4973831200000003</v>
      </c>
    </row>
    <row r="22" spans="1:3" x14ac:dyDescent="0.2">
      <c r="A22" s="15" t="str">
        <f>'T6a. FOREX (XML)'!G21</f>
        <v>BYN</v>
      </c>
      <c r="B22" s="15" t="str">
        <f>'T6a. FOREX (XML)'!H21</f>
        <v>Belarussian Ruble</v>
      </c>
      <c r="C22" s="239">
        <f>'T6a. FOREX (XML)'!I21</f>
        <v>2.8313572599999999</v>
      </c>
    </row>
    <row r="23" spans="1:3" x14ac:dyDescent="0.2">
      <c r="A23" s="15" t="str">
        <f>'T6a. FOREX (XML)'!G22</f>
        <v>TJS</v>
      </c>
      <c r="B23" s="15" t="str">
        <f>'T6a. FOREX (XML)'!H22</f>
        <v>Tajikistan Ruble</v>
      </c>
      <c r="C23" s="239">
        <f>'T6a. FOREX (XML)'!I22</f>
        <v>11.75579164</v>
      </c>
    </row>
    <row r="24" spans="1:3" x14ac:dyDescent="0.2">
      <c r="A24" s="15" t="str">
        <f>'T6a. FOREX (XML)'!G23</f>
        <v>GMD</v>
      </c>
      <c r="B24" s="15" t="str">
        <f>'T6a. FOREX (XML)'!H23</f>
        <v>Gambian dalasi</v>
      </c>
      <c r="C24" s="239">
        <f>'T6a. FOREX (XML)'!I23</f>
        <v>55.43059126</v>
      </c>
    </row>
    <row r="25" spans="1:3" x14ac:dyDescent="0.2">
      <c r="A25" s="15" t="str">
        <f>'T6a. FOREX (XML)'!G24</f>
        <v>BSD</v>
      </c>
      <c r="B25" s="15" t="str">
        <f>'T6a. FOREX (XML)'!H24</f>
        <v>Bahamian Dollar</v>
      </c>
      <c r="C25" s="239">
        <f>'T6a. FOREX (XML)'!I24</f>
        <v>1.0082530599999999</v>
      </c>
    </row>
    <row r="26" spans="1:3" x14ac:dyDescent="0.2">
      <c r="A26" s="15" t="str">
        <f>'T6a. FOREX (XML)'!G25</f>
        <v>XPF</v>
      </c>
      <c r="B26" s="15" t="str">
        <f>'T6a. FOREX (XML)'!H25</f>
        <v>CFP Franc</v>
      </c>
      <c r="C26" s="239">
        <f>'T6a. FOREX (XML)'!I25</f>
        <v>109.42098853</v>
      </c>
    </row>
    <row r="27" spans="1:3" x14ac:dyDescent="0.2">
      <c r="A27" s="15" t="str">
        <f>'T6a. FOREX (XML)'!G26</f>
        <v>HNL</v>
      </c>
      <c r="B27" s="15" t="str">
        <f>'T6a. FOREX (XML)'!H26</f>
        <v>Honduran Lempira</v>
      </c>
      <c r="C27" s="239">
        <f>'T6a. FOREX (XML)'!I26</f>
        <v>24.79873491</v>
      </c>
    </row>
    <row r="28" spans="1:3" x14ac:dyDescent="0.2">
      <c r="A28" s="15" t="str">
        <f>'T6a. FOREX (XML)'!G27</f>
        <v>SCR</v>
      </c>
      <c r="B28" s="15" t="str">
        <f>'T6a. FOREX (XML)'!H27</f>
        <v>Seychelles rupee</v>
      </c>
      <c r="C28" s="239">
        <f>'T6a. FOREX (XML)'!I27</f>
        <v>14.559419309999999</v>
      </c>
    </row>
    <row r="29" spans="1:3" x14ac:dyDescent="0.2">
      <c r="A29" s="15" t="str">
        <f>'T6a. FOREX (XML)'!G28</f>
        <v>BHD</v>
      </c>
      <c r="B29" s="15" t="str">
        <f>'T6a. FOREX (XML)'!H28</f>
        <v>Bahrain Dinar</v>
      </c>
      <c r="C29" s="239">
        <f>'T6a. FOREX (XML)'!I28</f>
        <v>0.37797926999999998</v>
      </c>
    </row>
    <row r="30" spans="1:3" x14ac:dyDescent="0.2">
      <c r="A30" s="15" t="str">
        <f>'T6a. FOREX (XML)'!G29</f>
        <v>OMR</v>
      </c>
      <c r="B30" s="15" t="str">
        <f>'T6a. FOREX (XML)'!H29</f>
        <v>Omani Rial</v>
      </c>
      <c r="C30" s="239">
        <f>'T6a. FOREX (XML)'!I29</f>
        <v>0.38635624000000002</v>
      </c>
    </row>
    <row r="31" spans="1:3" x14ac:dyDescent="0.2">
      <c r="A31" s="15" t="str">
        <f>'T6a. FOREX (XML)'!G30</f>
        <v>ILS</v>
      </c>
      <c r="B31" s="15" t="str">
        <f>'T6a. FOREX (XML)'!H30</f>
        <v>Israeli New Sheqel</v>
      </c>
      <c r="C31" s="239">
        <f>'T6a. FOREX (XML)'!I30</f>
        <v>3.2133453200000002</v>
      </c>
    </row>
    <row r="32" spans="1:3" x14ac:dyDescent="0.2">
      <c r="A32" s="15" t="str">
        <f>'T6a. FOREX (XML)'!G31</f>
        <v>LYD</v>
      </c>
      <c r="B32" s="15" t="str">
        <f>'T6a. FOREX (XML)'!H31</f>
        <v>Libyan Dinar</v>
      </c>
      <c r="C32" s="239">
        <f>'T6a. FOREX (XML)'!I31</f>
        <v>4.7368949699999998</v>
      </c>
    </row>
    <row r="33" spans="1:3" x14ac:dyDescent="0.2">
      <c r="A33" s="15" t="str">
        <f>'T6a. FOREX (XML)'!G32</f>
        <v>CLP</v>
      </c>
      <c r="B33" s="15" t="str">
        <f>'T6a. FOREX (XML)'!H32</f>
        <v>Chilean Peso</v>
      </c>
      <c r="C33" s="239">
        <f>'T6a. FOREX (XML)'!I32</f>
        <v>783.44515604000003</v>
      </c>
    </row>
    <row r="34" spans="1:3" x14ac:dyDescent="0.2">
      <c r="A34" s="15" t="str">
        <f>'T6a. FOREX (XML)'!G33</f>
        <v>BND</v>
      </c>
      <c r="B34" s="15" t="str">
        <f>'T6a. FOREX (XML)'!H33</f>
        <v>Brunei Dollar</v>
      </c>
      <c r="C34" s="239">
        <f>'T6a. FOREX (XML)'!I33</f>
        <v>1.37152943</v>
      </c>
    </row>
    <row r="35" spans="1:3" x14ac:dyDescent="0.2">
      <c r="A35" s="15" t="str">
        <f>'T6a. FOREX (XML)'!G34</f>
        <v>KMF</v>
      </c>
      <c r="B35" s="15" t="str">
        <f>'T6a. FOREX (XML)'!H34</f>
        <v xml:space="preserve">	Comoro franc</v>
      </c>
      <c r="C35" s="239">
        <f>'T6a. FOREX (XML)'!I34</f>
        <v>451.75989943000002</v>
      </c>
    </row>
    <row r="36" spans="1:3" x14ac:dyDescent="0.2">
      <c r="A36" s="15" t="str">
        <f>'T6a. FOREX (XML)'!G35</f>
        <v>LSL</v>
      </c>
      <c r="B36" s="15" t="str">
        <f>'T6a. FOREX (XML)'!H35</f>
        <v>Lesotho loti</v>
      </c>
      <c r="C36" s="239">
        <f>'T6a. FOREX (XML)'!I35</f>
        <v>14.968760850000001</v>
      </c>
    </row>
    <row r="37" spans="1:3" x14ac:dyDescent="0.2">
      <c r="A37" s="15" t="str">
        <f>'T6a. FOREX (XML)'!G36</f>
        <v>TZS</v>
      </c>
      <c r="B37" s="15" t="str">
        <f>'T6a. FOREX (XML)'!H36</f>
        <v>Tanzanian shilling</v>
      </c>
      <c r="C37" s="239">
        <f>'T6a. FOREX (XML)'!I36</f>
        <v>2341.20521173</v>
      </c>
    </row>
    <row r="38" spans="1:3" x14ac:dyDescent="0.2">
      <c r="A38" s="15" t="str">
        <f>'T6a. FOREX (XML)'!G37</f>
        <v>BDT</v>
      </c>
      <c r="B38" s="15" t="str">
        <f>'T6a. FOREX (XML)'!H37</f>
        <v>Bangladeshi taka</v>
      </c>
      <c r="C38" s="239">
        <f>'T6a. FOREX (XML)'!I37</f>
        <v>88.007876030000006</v>
      </c>
    </row>
    <row r="39" spans="1:3" x14ac:dyDescent="0.2">
      <c r="A39" s="15" t="str">
        <f>'T6a. FOREX (XML)'!G38</f>
        <v>QAR</v>
      </c>
      <c r="B39" s="15" t="str">
        <f>'T6a. FOREX (XML)'!H38</f>
        <v>Qatari Rial</v>
      </c>
      <c r="C39" s="239">
        <f>'T6a. FOREX (XML)'!I38</f>
        <v>3.6671452200000001</v>
      </c>
    </row>
    <row r="40" spans="1:3" x14ac:dyDescent="0.2">
      <c r="A40" s="15" t="str">
        <f>'T6a. FOREX (XML)'!G39</f>
        <v>MYR</v>
      </c>
      <c r="B40" s="15" t="str">
        <f>'T6a. FOREX (XML)'!H39</f>
        <v>Malaysian Ringgit</v>
      </c>
      <c r="C40" s="239">
        <f>'T6a. FOREX (XML)'!I39</f>
        <v>4.23991337</v>
      </c>
    </row>
    <row r="41" spans="1:3" x14ac:dyDescent="0.2">
      <c r="A41" s="15" t="str">
        <f>'T6a. FOREX (XML)'!G40</f>
        <v>KZT</v>
      </c>
      <c r="B41" s="15" t="str">
        <f>'T6a. FOREX (XML)'!H40</f>
        <v>Kazakhstani Tenge</v>
      </c>
      <c r="C41" s="239">
        <f>'T6a. FOREX (XML)'!I40</f>
        <v>495.00844253999998</v>
      </c>
    </row>
    <row r="42" spans="1:3" x14ac:dyDescent="0.2">
      <c r="A42" s="15" t="str">
        <f>'T6a. FOREX (XML)'!G41</f>
        <v>HTG</v>
      </c>
      <c r="B42" s="15" t="str">
        <f>'T6a. FOREX (XML)'!H41</f>
        <v>Haitian gourde</v>
      </c>
      <c r="C42" s="239">
        <f>'T6a. FOREX (XML)'!I41</f>
        <v>106.29861984</v>
      </c>
    </row>
    <row r="43" spans="1:3" x14ac:dyDescent="0.2">
      <c r="A43" s="15" t="str">
        <f>'T6a. FOREX (XML)'!G42</f>
        <v>JMD</v>
      </c>
      <c r="B43" s="15" t="str">
        <f>'T6a. FOREX (XML)'!H42</f>
        <v>Jamaican Dollar</v>
      </c>
      <c r="C43" s="239">
        <f>'T6a. FOREX (XML)'!I42</f>
        <v>154.56989247000001</v>
      </c>
    </row>
    <row r="44" spans="1:3" x14ac:dyDescent="0.2">
      <c r="A44" s="15" t="str">
        <f>'T6a. FOREX (XML)'!G43</f>
        <v>SSP</v>
      </c>
      <c r="B44" s="15" t="str">
        <f>'T6a. FOREX (XML)'!H43</f>
        <v>South Sudanese pound</v>
      </c>
      <c r="C44" s="239">
        <f>'T6a. FOREX (XML)'!I43</f>
        <v>434.33376977</v>
      </c>
    </row>
    <row r="45" spans="1:3" x14ac:dyDescent="0.2">
      <c r="A45" s="15" t="str">
        <f>'T6a. FOREX (XML)'!G44</f>
        <v>MRU</v>
      </c>
      <c r="B45" s="15" t="str">
        <f>'T6a. FOREX (XML)'!H44</f>
        <v>Mauritanian ouguiya</v>
      </c>
      <c r="C45" s="239">
        <f>'T6a. FOREX (XML)'!I44</f>
        <v>36.764705880000001</v>
      </c>
    </row>
    <row r="46" spans="1:3" x14ac:dyDescent="0.2">
      <c r="A46" s="15" t="str">
        <f>'T6a. FOREX (XML)'!G45</f>
        <v>MNT</v>
      </c>
      <c r="B46" s="15" t="str">
        <f>'T6a. FOREX (XML)'!H45</f>
        <v>Mongolian togrog</v>
      </c>
      <c r="C46" s="239">
        <f>'T6a. FOREX (XML)'!I45</f>
        <v>2959.8490047999999</v>
      </c>
    </row>
    <row r="47" spans="1:3" x14ac:dyDescent="0.2">
      <c r="A47" s="15" t="str">
        <f>'T6a. FOREX (XML)'!G46</f>
        <v>HKD</v>
      </c>
      <c r="B47" s="15" t="str">
        <f>'T6a. FOREX (XML)'!H46</f>
        <v>Hong Kong Dollar</v>
      </c>
      <c r="C47" s="239">
        <f>'T6a. FOREX (XML)'!I46</f>
        <v>7.8268313200000001</v>
      </c>
    </row>
    <row r="48" spans="1:3" x14ac:dyDescent="0.2">
      <c r="A48" s="15" t="str">
        <f>'T6a. FOREX (XML)'!G47</f>
        <v>THB</v>
      </c>
      <c r="B48" s="15" t="str">
        <f>'T6a. FOREX (XML)'!H47</f>
        <v>Thai Baht</v>
      </c>
      <c r="C48" s="239">
        <f>'T6a. FOREX (XML)'!I47</f>
        <v>33.726065720000001</v>
      </c>
    </row>
    <row r="49" spans="1:3" x14ac:dyDescent="0.2">
      <c r="A49" s="15" t="str">
        <f>'T6a. FOREX (XML)'!G48</f>
        <v>XOF</v>
      </c>
      <c r="B49" s="15" t="str">
        <f>'T6a. FOREX (XML)'!H48</f>
        <v>West African CFA Franc</v>
      </c>
      <c r="C49" s="239">
        <f>'T6a. FOREX (XML)'!I48</f>
        <v>597.30199536999999</v>
      </c>
    </row>
    <row r="50" spans="1:3" x14ac:dyDescent="0.2">
      <c r="A50" s="15" t="str">
        <f>'T6a. FOREX (XML)'!G49</f>
        <v>IRR</v>
      </c>
      <c r="B50" s="15" t="str">
        <f>'T6a. FOREX (XML)'!H49</f>
        <v>Iranian rial</v>
      </c>
      <c r="C50" s="239">
        <f>'T6a. FOREX (XML)'!I49</f>
        <v>43098.152763220001</v>
      </c>
    </row>
    <row r="51" spans="1:3" x14ac:dyDescent="0.2">
      <c r="A51" s="15" t="str">
        <f>'T6a. FOREX (XML)'!G50</f>
        <v>UYU</v>
      </c>
      <c r="B51" s="15" t="str">
        <f>'T6a. FOREX (XML)'!H50</f>
        <v>Uruguayan Peso</v>
      </c>
      <c r="C51" s="239">
        <f>'T6a. FOREX (XML)'!I50</f>
        <v>42.21294572</v>
      </c>
    </row>
    <row r="52" spans="1:3" x14ac:dyDescent="0.2">
      <c r="A52" s="15" t="str">
        <f>'T6a. FOREX (XML)'!G51</f>
        <v>SRD</v>
      </c>
      <c r="B52" s="15" t="str">
        <f>'T6a. FOREX (XML)'!H51</f>
        <v>Surinamese dollar</v>
      </c>
      <c r="C52" s="239">
        <f>'T6a. FOREX (XML)'!I51</f>
        <v>20.85348162</v>
      </c>
    </row>
    <row r="53" spans="1:3" x14ac:dyDescent="0.2">
      <c r="A53" s="15" t="str">
        <f>'T6a. FOREX (XML)'!G52</f>
        <v>GHS</v>
      </c>
      <c r="B53" s="15" t="str">
        <f>'T6a. FOREX (XML)'!H52</f>
        <v>Ghanaian Cedi</v>
      </c>
      <c r="C53" s="239">
        <f>'T6a. FOREX (XML)'!I52</f>
        <v>7.3743160100000003</v>
      </c>
    </row>
    <row r="54" spans="1:3" x14ac:dyDescent="0.2">
      <c r="A54" s="15" t="str">
        <f>'T6a. FOREX (XML)'!G53</f>
        <v>CUP</v>
      </c>
      <c r="B54" s="15" t="str">
        <f>'T6a. FOREX (XML)'!H53</f>
        <v>Cuban peso</v>
      </c>
      <c r="C54" s="239">
        <f>'T6a. FOREX (XML)'!I53</f>
        <v>1.0082530599999999</v>
      </c>
    </row>
    <row r="55" spans="1:3" x14ac:dyDescent="0.2">
      <c r="A55" s="15" t="str">
        <f>'T6a. FOREX (XML)'!G54</f>
        <v>JOD</v>
      </c>
      <c r="B55" s="15" t="str">
        <f>'T6a. FOREX (XML)'!H54</f>
        <v>Jordanian Dinar</v>
      </c>
      <c r="C55" s="239">
        <f>'T6a. FOREX (XML)'!I54</f>
        <v>0.71080213999999997</v>
      </c>
    </row>
    <row r="56" spans="1:3" x14ac:dyDescent="0.2">
      <c r="A56" s="15" t="str">
        <f>'T6a. FOREX (XML)'!G55</f>
        <v>BGN</v>
      </c>
      <c r="B56" s="15" t="str">
        <f>'T6a. FOREX (XML)'!H55</f>
        <v>Bulgarian Lev</v>
      </c>
      <c r="C56" s="239">
        <f>'T6a. FOREX (XML)'!I55</f>
        <v>1.7774296300000001</v>
      </c>
    </row>
    <row r="57" spans="1:3" x14ac:dyDescent="0.2">
      <c r="A57" s="15" t="str">
        <f>'T6a. FOREX (XML)'!G56</f>
        <v>PGK</v>
      </c>
      <c r="B57" s="15" t="str">
        <f>'T6a. FOREX (XML)'!H56</f>
        <v>Papua New Guinean kina</v>
      </c>
      <c r="C57" s="239">
        <f>'T6a. FOREX (XML)'!I56</f>
        <v>3.5245742600000001</v>
      </c>
    </row>
    <row r="58" spans="1:3" x14ac:dyDescent="0.2">
      <c r="A58" s="15" t="str">
        <f>'T6a. FOREX (XML)'!G57</f>
        <v>UZS</v>
      </c>
      <c r="B58" s="15" t="str">
        <f>'T6a. FOREX (XML)'!H57</f>
        <v>Uzbekistan Sum</v>
      </c>
      <c r="C58" s="239">
        <f>'T6a. FOREX (XML)'!I57</f>
        <v>11155.2088398</v>
      </c>
    </row>
    <row r="59" spans="1:3" x14ac:dyDescent="0.2">
      <c r="A59" s="15" t="str">
        <f>'T6a. FOREX (XML)'!G58</f>
        <v>MGA</v>
      </c>
      <c r="B59" s="15" t="str">
        <f>'T6a. FOREX (XML)'!H58</f>
        <v>Malagasy ariary</v>
      </c>
      <c r="C59" s="239">
        <f>'T6a. FOREX (XML)'!I58</f>
        <v>4083.8068181799999</v>
      </c>
    </row>
    <row r="60" spans="1:3" x14ac:dyDescent="0.2">
      <c r="A60" s="15" t="str">
        <f>'T6a. FOREX (XML)'!G59</f>
        <v>SBD</v>
      </c>
      <c r="B60" s="15" t="str">
        <f>'T6a. FOREX (XML)'!H59</f>
        <v>Solomon Islands dollar</v>
      </c>
      <c r="C60" s="239">
        <f>'T6a. FOREX (XML)'!I59</f>
        <v>8.1784562899999997</v>
      </c>
    </row>
    <row r="61" spans="1:3" x14ac:dyDescent="0.2">
      <c r="A61" s="15" t="str">
        <f>'T6a. FOREX (XML)'!G60</f>
        <v>ZMW</v>
      </c>
      <c r="B61" s="15" t="str">
        <f>'T6a. FOREX (XML)'!H60</f>
        <v>Zambian kwacha</v>
      </c>
      <c r="C61" s="239">
        <f>'T6a. FOREX (XML)'!I60</f>
        <v>17.92394015</v>
      </c>
    </row>
    <row r="62" spans="1:3" x14ac:dyDescent="0.2">
      <c r="A62" s="15" t="str">
        <f>'T6a. FOREX (XML)'!G61</f>
        <v>YER</v>
      </c>
      <c r="B62" s="15" t="str">
        <f>'T6a. FOREX (XML)'!H61</f>
        <v>Yemeni rial</v>
      </c>
      <c r="C62" s="239">
        <f>'T6a. FOREX (XML)'!I61</f>
        <v>252.76947423999999</v>
      </c>
    </row>
    <row r="63" spans="1:3" x14ac:dyDescent="0.2">
      <c r="A63" s="15" t="str">
        <f>'T6a. FOREX (XML)'!G62</f>
        <v>SEK</v>
      </c>
      <c r="B63" s="15" t="str">
        <f>'T6a. FOREX (XML)'!H62</f>
        <v>Swedish Krona</v>
      </c>
      <c r="C63" s="239">
        <f>'T6a. FOREX (XML)'!I62</f>
        <v>9.4067241999999993</v>
      </c>
    </row>
    <row r="64" spans="1:3" x14ac:dyDescent="0.2">
      <c r="A64" s="15" t="str">
        <f>'T6a. FOREX (XML)'!G63</f>
        <v>LKR</v>
      </c>
      <c r="B64" s="15" t="str">
        <f>'T6a. FOREX (XML)'!H63</f>
        <v>Sri Lanka Rupee</v>
      </c>
      <c r="C64" s="239">
        <f>'T6a. FOREX (XML)'!I63</f>
        <v>286.39309871</v>
      </c>
    </row>
    <row r="65" spans="1:3" x14ac:dyDescent="0.2">
      <c r="A65" s="15" t="str">
        <f>'T6a. FOREX (XML)'!G64</f>
        <v>PLN</v>
      </c>
      <c r="B65" s="15" t="str">
        <f>'T6a. FOREX (XML)'!H64</f>
        <v>Polish Zloty</v>
      </c>
      <c r="C65" s="239">
        <f>'T6a. FOREX (XML)'!I64</f>
        <v>4.3003239100000004</v>
      </c>
    </row>
    <row r="66" spans="1:3" x14ac:dyDescent="0.2">
      <c r="A66" s="15" t="str">
        <f>'T6a. FOREX (XML)'!G65</f>
        <v>RUB</v>
      </c>
      <c r="B66" s="15" t="str">
        <f>'T6a. FOREX (XML)'!H65</f>
        <v>Russian Rouble</v>
      </c>
      <c r="C66" s="239">
        <f>'T6a. FOREX (XML)'!I65</f>
        <v>100.3006309</v>
      </c>
    </row>
    <row r="67" spans="1:3" x14ac:dyDescent="0.2">
      <c r="A67" s="15" t="str">
        <f>'T6a. FOREX (XML)'!G66</f>
        <v>AZN</v>
      </c>
      <c r="B67" s="15" t="str">
        <f>'T6a. FOREX (XML)'!H66</f>
        <v>Azerbaijan Manat</v>
      </c>
      <c r="C67" s="239">
        <f>'T6a. FOREX (XML)'!I66</f>
        <v>1.7412407700000001</v>
      </c>
    </row>
    <row r="68" spans="1:3" x14ac:dyDescent="0.2">
      <c r="A68" s="15" t="str">
        <f>'T6a. FOREX (XML)'!G67</f>
        <v>NIO</v>
      </c>
      <c r="B68" s="15" t="str">
        <f>'T6a. FOREX (XML)'!H67</f>
        <v>Nicaraguan Córdoba</v>
      </c>
      <c r="C68" s="239">
        <f>'T6a. FOREX (XML)'!I67</f>
        <v>36.118090449999997</v>
      </c>
    </row>
    <row r="69" spans="1:3" x14ac:dyDescent="0.2">
      <c r="A69" s="15" t="str">
        <f>'T6a. FOREX (XML)'!G68</f>
        <v>STN</v>
      </c>
      <c r="B69" s="15" t="str">
        <f>'T6a. FOREX (XML)'!H68</f>
        <v>São Tomé and Príncipe Dobra</v>
      </c>
      <c r="C69" s="239">
        <f>'T6a. FOREX (XML)'!I68</f>
        <v>22.69736842</v>
      </c>
    </row>
    <row r="70" spans="1:3" x14ac:dyDescent="0.2">
      <c r="A70" s="15" t="str">
        <f>'T6a. FOREX (XML)'!G69</f>
        <v>BIF</v>
      </c>
      <c r="B70" s="15" t="str">
        <f>'T6a. FOREX (XML)'!H69</f>
        <v>Burundian franc</v>
      </c>
      <c r="C70" s="239">
        <f>'T6a. FOREX (XML)'!I69</f>
        <v>2071.3256484200001</v>
      </c>
    </row>
    <row r="71" spans="1:3" x14ac:dyDescent="0.2">
      <c r="A71" s="15" t="str">
        <f>'T6a. FOREX (XML)'!G70</f>
        <v>ALL</v>
      </c>
      <c r="B71" s="15" t="str">
        <f>'T6a. FOREX (XML)'!H70</f>
        <v>Albanian lek</v>
      </c>
      <c r="C71" s="239">
        <f>'T6a. FOREX (XML)'!I70</f>
        <v>112.50097827</v>
      </c>
    </row>
    <row r="72" spans="1:3" x14ac:dyDescent="0.2">
      <c r="A72" s="15" t="str">
        <f>'T6a. FOREX (XML)'!G71</f>
        <v>MUR</v>
      </c>
      <c r="B72" s="15" t="str">
        <f>'T6a. FOREX (XML)'!H71</f>
        <v>Mauritian Rupee</v>
      </c>
      <c r="C72" s="239">
        <f>'T6a. FOREX (XML)'!I71</f>
        <v>45.10983264</v>
      </c>
    </row>
    <row r="73" spans="1:3" x14ac:dyDescent="0.2">
      <c r="A73" s="15" t="str">
        <f>'T6a. FOREX (XML)'!G72</f>
        <v>DOP</v>
      </c>
      <c r="B73" s="15" t="str">
        <f>'T6a. FOREX (XML)'!H72</f>
        <v>Dominican Peso</v>
      </c>
      <c r="C73" s="239">
        <f>'T6a. FOREX (XML)'!I72</f>
        <v>55.09151679</v>
      </c>
    </row>
    <row r="74" spans="1:3" x14ac:dyDescent="0.2">
      <c r="A74" s="15" t="str">
        <f>'T6a. FOREX (XML)'!G73</f>
        <v>NZD</v>
      </c>
      <c r="B74" s="15" t="str">
        <f>'T6a. FOREX (XML)'!H73</f>
        <v>New Zealand Dollar</v>
      </c>
      <c r="C74" s="239">
        <f>'T6a. FOREX (XML)'!I73</f>
        <v>1.4350020999999999</v>
      </c>
    </row>
    <row r="75" spans="1:3" x14ac:dyDescent="0.2">
      <c r="A75" s="15" t="str">
        <f>'T6a. FOREX (XML)'!G74</f>
        <v>HRK</v>
      </c>
      <c r="B75" s="15" t="str">
        <f>'T6a. FOREX (XML)'!H74</f>
        <v>Croatian Kuna</v>
      </c>
      <c r="C75" s="239">
        <f>'T6a. FOREX (XML)'!I74</f>
        <v>6.8844627599999999</v>
      </c>
    </row>
    <row r="76" spans="1:3" x14ac:dyDescent="0.2">
      <c r="A76" s="15" t="str">
        <f>'T6a. FOREX (XML)'!G75</f>
        <v>DZD</v>
      </c>
      <c r="B76" s="15" t="str">
        <f>'T6a. FOREX (XML)'!H75</f>
        <v>Algerian Dinar</v>
      </c>
      <c r="C76" s="239">
        <f>'T6a. FOREX (XML)'!I75</f>
        <v>144.01218268</v>
      </c>
    </row>
    <row r="77" spans="1:3" x14ac:dyDescent="0.2">
      <c r="A77" s="15" t="str">
        <f>'T6a. FOREX (XML)'!G76</f>
        <v>ARS</v>
      </c>
      <c r="B77" s="15" t="str">
        <f>'T6a. FOREX (XML)'!H76</f>
        <v>Argentine Peso</v>
      </c>
      <c r="C77" s="239">
        <f>'T6a. FOREX (XML)'!I76</f>
        <v>110.76251234</v>
      </c>
    </row>
    <row r="78" spans="1:3" x14ac:dyDescent="0.2">
      <c r="A78" s="15" t="str">
        <f>'T6a. FOREX (XML)'!G77</f>
        <v>BZD</v>
      </c>
      <c r="B78" s="15" t="str">
        <f>'T6a. FOREX (XML)'!H77</f>
        <v>Belize dollar</v>
      </c>
      <c r="C78" s="239">
        <f>'T6a. FOREX (XML)'!I77</f>
        <v>2.0360228500000002</v>
      </c>
    </row>
    <row r="79" spans="1:3" x14ac:dyDescent="0.2">
      <c r="A79" s="15" t="str">
        <f>'T6a. FOREX (XML)'!G78</f>
        <v>GNF</v>
      </c>
      <c r="B79" s="15" t="str">
        <f>'T6a. FOREX (XML)'!H78</f>
        <v>Guinean franc</v>
      </c>
      <c r="C79" s="239">
        <f>'T6a. FOREX (XML)'!I78</f>
        <v>9021.9665272000002</v>
      </c>
    </row>
    <row r="80" spans="1:3" x14ac:dyDescent="0.2">
      <c r="A80" s="15" t="str">
        <f>'T6a. FOREX (XML)'!G79</f>
        <v>SZL</v>
      </c>
      <c r="B80" s="15" t="str">
        <f>'T6a. FOREX (XML)'!H79</f>
        <v>Swazi lilangeni</v>
      </c>
      <c r="C80" s="239">
        <f>'T6a. FOREX (XML)'!I79</f>
        <v>14.968760850000001</v>
      </c>
    </row>
    <row r="81" spans="1:3" x14ac:dyDescent="0.2">
      <c r="A81" s="15" t="str">
        <f>'T6a. FOREX (XML)'!G80</f>
        <v>SOS</v>
      </c>
      <c r="B81" s="15" t="str">
        <f>'T6a. FOREX (XML)'!H80</f>
        <v>Somali shilling</v>
      </c>
      <c r="C81" s="239">
        <f>'T6a. FOREX (XML)'!I80</f>
        <v>584.34959349999997</v>
      </c>
    </row>
    <row r="82" spans="1:3" x14ac:dyDescent="0.2">
      <c r="A82" s="15" t="str">
        <f>'T6a. FOREX (XML)'!G81</f>
        <v>ANG</v>
      </c>
      <c r="B82" s="15" t="str">
        <f>'T6a. FOREX (XML)'!H81</f>
        <v>Neth. Antillean Guilder</v>
      </c>
      <c r="C82" s="239">
        <f>'T6a. FOREX (XML)'!I81</f>
        <v>1.80078249</v>
      </c>
    </row>
    <row r="83" spans="1:3" x14ac:dyDescent="0.2">
      <c r="A83" s="15" t="str">
        <f>'T6a. FOREX (XML)'!G82</f>
        <v>PKR</v>
      </c>
      <c r="B83" s="15" t="str">
        <f>'T6a. FOREX (XML)'!H82</f>
        <v>Pakistani Rupee</v>
      </c>
      <c r="C83" s="239">
        <f>'T6a. FOREX (XML)'!I82</f>
        <v>181.89148718000001</v>
      </c>
    </row>
    <row r="84" spans="1:3" x14ac:dyDescent="0.2">
      <c r="A84" s="15" t="str">
        <f>'T6a. FOREX (XML)'!G83</f>
        <v>MXN</v>
      </c>
      <c r="B84" s="15" t="str">
        <f>'T6a. FOREX (XML)'!H83</f>
        <v>Mexican Peso</v>
      </c>
      <c r="C84" s="239">
        <f>'T6a. FOREX (XML)'!I83</f>
        <v>19.993732390000002</v>
      </c>
    </row>
    <row r="85" spans="1:3" x14ac:dyDescent="0.2">
      <c r="A85" s="15" t="str">
        <f>'T6a. FOREX (XML)'!G84</f>
        <v>UAH</v>
      </c>
      <c r="B85" s="15" t="str">
        <f>'T6a. FOREX (XML)'!H84</f>
        <v>Ukrainian Hryvnia</v>
      </c>
      <c r="C85" s="239">
        <f>'T6a. FOREX (XML)'!I84</f>
        <v>29.288922289999999</v>
      </c>
    </row>
    <row r="86" spans="1:3" x14ac:dyDescent="0.2">
      <c r="A86" s="15" t="str">
        <f>'T6a. FOREX (XML)'!G85</f>
        <v>CRC</v>
      </c>
      <c r="B86" s="15" t="str">
        <f>'T6a. FOREX (XML)'!H85</f>
        <v>Costa Rican Colón</v>
      </c>
      <c r="C86" s="239">
        <f>'T6a. FOREX (XML)'!I85</f>
        <v>657.34247878999997</v>
      </c>
    </row>
    <row r="87" spans="1:3" x14ac:dyDescent="0.2">
      <c r="A87" s="15" t="str">
        <f>'T6a. FOREX (XML)'!G86</f>
        <v>GYD</v>
      </c>
      <c r="B87" s="15" t="str">
        <f>'T6a. FOREX (XML)'!H86</f>
        <v>Guyanese dollar</v>
      </c>
      <c r="C87" s="239">
        <f>'T6a. FOREX (XML)'!I86</f>
        <v>211.3245455</v>
      </c>
    </row>
    <row r="88" spans="1:3" x14ac:dyDescent="0.2">
      <c r="A88" s="15" t="str">
        <f>'T6a. FOREX (XML)'!G87</f>
        <v>RWF</v>
      </c>
      <c r="B88" s="15" t="str">
        <f>'T6a. FOREX (XML)'!H87</f>
        <v>Rwandan franc</v>
      </c>
      <c r="C88" s="239">
        <f>'T6a. FOREX (XML)'!I87</f>
        <v>1026.54129969</v>
      </c>
    </row>
    <row r="89" spans="1:3" x14ac:dyDescent="0.2">
      <c r="A89" s="15" t="str">
        <f>'T6a. FOREX (XML)'!G88</f>
        <v>ERN</v>
      </c>
      <c r="B89" s="15" t="str">
        <f>'T6a. FOREX (XML)'!H88</f>
        <v>Eritrean nakfa</v>
      </c>
      <c r="C89" s="239">
        <f>'T6a. FOREX (XML)'!I88</f>
        <v>15.222379099999999</v>
      </c>
    </row>
    <row r="90" spans="1:3" x14ac:dyDescent="0.2">
      <c r="A90" s="15" t="str">
        <f>'T6a. FOREX (XML)'!G89</f>
        <v>WST</v>
      </c>
      <c r="B90" s="15" t="str">
        <f>'T6a. FOREX (XML)'!H89</f>
        <v>Samoan tala</v>
      </c>
      <c r="C90" s="239">
        <f>'T6a. FOREX (XML)'!I89</f>
        <v>2.60841952</v>
      </c>
    </row>
    <row r="91" spans="1:3" x14ac:dyDescent="0.2">
      <c r="A91" s="15" t="str">
        <f>'T6a. FOREX (XML)'!G90</f>
        <v>EGP</v>
      </c>
      <c r="B91" s="15" t="str">
        <f>'T6a. FOREX (XML)'!H90</f>
        <v>Egyptian Pound</v>
      </c>
      <c r="C91" s="239">
        <f>'T6a. FOREX (XML)'!I90</f>
        <v>18.39125933</v>
      </c>
    </row>
    <row r="92" spans="1:3" x14ac:dyDescent="0.2">
      <c r="A92" s="15" t="str">
        <f>'T6a. FOREX (XML)'!G91</f>
        <v>SGD</v>
      </c>
      <c r="B92" s="15" t="str">
        <f>'T6a. FOREX (XML)'!H91</f>
        <v>Singapore Dollar</v>
      </c>
      <c r="C92" s="239">
        <f>'T6a. FOREX (XML)'!I91</f>
        <v>1.35645328</v>
      </c>
    </row>
    <row r="93" spans="1:3" x14ac:dyDescent="0.2">
      <c r="A93" s="15" t="str">
        <f>'T6a. FOREX (XML)'!G92</f>
        <v>XAF</v>
      </c>
      <c r="B93" s="15" t="str">
        <f>'T6a. FOREX (XML)'!H92</f>
        <v>Central African CFA Franc</v>
      </c>
      <c r="C93" s="239">
        <f>'T6a. FOREX (XML)'!I92</f>
        <v>598.18700123999997</v>
      </c>
    </row>
    <row r="94" spans="1:3" x14ac:dyDescent="0.2">
      <c r="A94" s="15" t="str">
        <f>'T6a. FOREX (XML)'!G93</f>
        <v>AMD</v>
      </c>
      <c r="B94" s="15" t="str">
        <f>'T6a. FOREX (XML)'!H93</f>
        <v>Armenia Dram</v>
      </c>
      <c r="C94" s="239">
        <f>'T6a. FOREX (XML)'!I93</f>
        <v>496.08682160000001</v>
      </c>
    </row>
    <row r="95" spans="1:3" x14ac:dyDescent="0.2">
      <c r="A95" s="15" t="str">
        <f>'T6a. FOREX (XML)'!G94</f>
        <v>PYG</v>
      </c>
      <c r="B95" s="15" t="str">
        <f>'T6a. FOREX (XML)'!H94</f>
        <v>Paraguayan Guaraní</v>
      </c>
      <c r="C95" s="239">
        <f>'T6a. FOREX (XML)'!I94</f>
        <v>6976.4542822399999</v>
      </c>
    </row>
    <row r="96" spans="1:3" x14ac:dyDescent="0.2">
      <c r="A96" s="15" t="str">
        <f>'T6a. FOREX (XML)'!G95</f>
        <v>NAD</v>
      </c>
      <c r="B96" s="15" t="str">
        <f>'T6a. FOREX (XML)'!H95</f>
        <v>Namibian dollar</v>
      </c>
      <c r="C96" s="239">
        <f>'T6a. FOREX (XML)'!I95</f>
        <v>14.968760850000001</v>
      </c>
    </row>
    <row r="97" spans="1:3" x14ac:dyDescent="0.2">
      <c r="A97" s="15" t="str">
        <f>'T6a. FOREX (XML)'!G96</f>
        <v>SYP</v>
      </c>
      <c r="B97" s="15" t="str">
        <f>'T6a. FOREX (XML)'!H96</f>
        <v>Syrian pound</v>
      </c>
      <c r="C97" s="239">
        <f>'T6a. FOREX (XML)'!I96</f>
        <v>2536.7647058799998</v>
      </c>
    </row>
    <row r="98" spans="1:3" x14ac:dyDescent="0.2">
      <c r="A98" s="15" t="str">
        <f>'T6a. FOREX (XML)'!G97</f>
        <v>MOP</v>
      </c>
      <c r="B98" s="15" t="str">
        <f>'T6a. FOREX (XML)'!H97</f>
        <v>Macanese pataca</v>
      </c>
      <c r="C98" s="239">
        <f>'T6a. FOREX (XML)'!I97</f>
        <v>8.1460143600000006</v>
      </c>
    </row>
    <row r="99" spans="1:3" x14ac:dyDescent="0.2">
      <c r="A99" s="15" t="str">
        <f>'T6a. FOREX (XML)'!G98</f>
        <v>BAM</v>
      </c>
      <c r="B99" s="15" t="str">
        <f>'T6a. FOREX (XML)'!H98</f>
        <v>Bosnia and Herzegovina convertible mark</v>
      </c>
      <c r="C99" s="239">
        <f>'T6a. FOREX (XML)'!I98</f>
        <v>1.79777389</v>
      </c>
    </row>
    <row r="100" spans="1:3" x14ac:dyDescent="0.2">
      <c r="A100" s="15" t="str">
        <f>'T6a. FOREX (XML)'!G99</f>
        <v>INR</v>
      </c>
      <c r="B100" s="15" t="str">
        <f>'T6a. FOREX (XML)'!H99</f>
        <v>Indian Rupee</v>
      </c>
      <c r="C100" s="239">
        <f>'T6a. FOREX (XML)'!I99</f>
        <v>76.193872209999995</v>
      </c>
    </row>
    <row r="101" spans="1:3" x14ac:dyDescent="0.2">
      <c r="A101" s="15" t="str">
        <f>'T6a. FOREX (XML)'!G100</f>
        <v>TRY</v>
      </c>
      <c r="B101" s="15" t="str">
        <f>'T6a. FOREX (XML)'!H100</f>
        <v>Turkish Lira</v>
      </c>
      <c r="C101" s="239">
        <f>'T6a. FOREX (XML)'!I100</f>
        <v>14.843281510000001</v>
      </c>
    </row>
    <row r="102" spans="1:3" x14ac:dyDescent="0.2">
      <c r="A102" s="15" t="str">
        <f>'T6a. FOREX (XML)'!G101</f>
        <v>VND</v>
      </c>
      <c r="B102" s="15" t="str">
        <f>'T6a. FOREX (XML)'!H101</f>
        <v>Vietnamese Dong</v>
      </c>
      <c r="C102" s="239">
        <f>'T6a. FOREX (XML)'!I101</f>
        <v>23060.053972739999</v>
      </c>
    </row>
    <row r="103" spans="1:3" x14ac:dyDescent="0.2">
      <c r="A103" s="15" t="str">
        <f>'T6a. FOREX (XML)'!G102</f>
        <v>KGS</v>
      </c>
      <c r="B103" s="15" t="str">
        <f>'T6a. FOREX (XML)'!H102</f>
        <v>Kyrgyzstan Som</v>
      </c>
      <c r="C103" s="239">
        <f>'T6a. FOREX (XML)'!I102</f>
        <v>88.701173019999999</v>
      </c>
    </row>
    <row r="104" spans="1:3" x14ac:dyDescent="0.2">
      <c r="A104" s="15" t="str">
        <f>'T6a. FOREX (XML)'!G103</f>
        <v>AFN</v>
      </c>
      <c r="B104" s="15" t="str">
        <f>'T6a. FOREX (XML)'!H103</f>
        <v>Afghan afghani</v>
      </c>
      <c r="C104" s="239">
        <f>'T6a. FOREX (XML)'!I103</f>
        <v>88.403509490000005</v>
      </c>
    </row>
    <row r="105" spans="1:3" x14ac:dyDescent="0.2">
      <c r="A105" s="15" t="str">
        <f>'T6a. FOREX (XML)'!G104</f>
        <v>XCD</v>
      </c>
      <c r="B105" s="15" t="str">
        <f>'T6a. FOREX (XML)'!H104</f>
        <v>East Caribbean Dollar</v>
      </c>
      <c r="C105" s="239">
        <f>'T6a. FOREX (XML)'!I104</f>
        <v>2.7368788500000001</v>
      </c>
    </row>
    <row r="106" spans="1:3" x14ac:dyDescent="0.2">
      <c r="A106" s="15" t="str">
        <f>'T6a. FOREX (XML)'!G105</f>
        <v>MWK</v>
      </c>
      <c r="B106" s="15" t="str">
        <f>'T6a. FOREX (XML)'!H105</f>
        <v>Malawian kwacha</v>
      </c>
      <c r="C106" s="239">
        <f>'T6a. FOREX (XML)'!I105</f>
        <v>825.20091848000004</v>
      </c>
    </row>
    <row r="107" spans="1:3" x14ac:dyDescent="0.2">
      <c r="A107" s="15" t="str">
        <f>'T6a. FOREX (XML)'!G106</f>
        <v>GTQ</v>
      </c>
      <c r="B107" s="15" t="str">
        <f>'T6a. FOREX (XML)'!H106</f>
        <v>Guatemalan Quetzal</v>
      </c>
      <c r="C107" s="239">
        <f>'T6a. FOREX (XML)'!I106</f>
        <v>7.7772768299999999</v>
      </c>
    </row>
    <row r="108" spans="1:3" x14ac:dyDescent="0.2">
      <c r="A108" s="15" t="str">
        <f>'T6a. FOREX (XML)'!G107</f>
        <v>NOK</v>
      </c>
      <c r="B108" s="15" t="str">
        <f>'T6a. FOREX (XML)'!H107</f>
        <v>Norwegian Krone</v>
      </c>
      <c r="C108" s="239">
        <f>'T6a. FOREX (XML)'!I107</f>
        <v>8.64641825</v>
      </c>
    </row>
    <row r="109" spans="1:3" x14ac:dyDescent="0.2">
      <c r="A109" s="15" t="str">
        <f>'T6a. FOREX (XML)'!G108</f>
        <v>LBP</v>
      </c>
      <c r="B109" s="15" t="str">
        <f>'T6a. FOREX (XML)'!H108</f>
        <v>Lebanese Pound</v>
      </c>
      <c r="C109" s="239">
        <f>'T6a. FOREX (XML)'!I108</f>
        <v>1542.23568419</v>
      </c>
    </row>
    <row r="110" spans="1:3" x14ac:dyDescent="0.2">
      <c r="A110" s="15" t="str">
        <f>'T6a. FOREX (XML)'!G109</f>
        <v>HUF</v>
      </c>
      <c r="B110" s="15" t="str">
        <f>'T6a. FOREX (XML)'!H109</f>
        <v>Hungarian Forint</v>
      </c>
      <c r="C110" s="239">
        <f>'T6a. FOREX (XML)'!I109</f>
        <v>339.81896590000002</v>
      </c>
    </row>
    <row r="111" spans="1:3" x14ac:dyDescent="0.2">
      <c r="A111" s="15" t="str">
        <f>'T6a. FOREX (XML)'!G110</f>
        <v>PEN</v>
      </c>
      <c r="B111" s="15" t="str">
        <f>'T6a. FOREX (XML)'!H110</f>
        <v>Peruvian Nuevo Sol</v>
      </c>
      <c r="C111" s="239">
        <f>'T6a. FOREX (XML)'!I110</f>
        <v>3.74071994</v>
      </c>
    </row>
    <row r="112" spans="1:3" x14ac:dyDescent="0.2">
      <c r="A112" s="15" t="str">
        <f>'T6a. FOREX (XML)'!G111</f>
        <v>RSD</v>
      </c>
      <c r="B112" s="15" t="str">
        <f>'T6a. FOREX (XML)'!H111</f>
        <v>Serbian Dinar</v>
      </c>
      <c r="C112" s="239">
        <f>'T6a. FOREX (XML)'!I111</f>
        <v>108.22731566</v>
      </c>
    </row>
    <row r="113" spans="1:3" x14ac:dyDescent="0.2">
      <c r="A113" s="15" t="str">
        <f>'T6a. FOREX (XML)'!G112</f>
        <v>SVC</v>
      </c>
      <c r="B113" s="15" t="str">
        <f>'T6a. FOREX (XML)'!H112</f>
        <v>Salvadoran colon</v>
      </c>
      <c r="C113" s="239">
        <f>'T6a. FOREX (XML)'!I112</f>
        <v>8.8425261400000004</v>
      </c>
    </row>
    <row r="114" spans="1:3" x14ac:dyDescent="0.2">
      <c r="A114" s="15" t="str">
        <f>'T6a. FOREX (XML)'!G113</f>
        <v>AWG</v>
      </c>
      <c r="B114" s="15" t="str">
        <f>'T6a. FOREX (XML)'!H113</f>
        <v>Aruban florin</v>
      </c>
      <c r="C114" s="239">
        <f>'T6a. FOREX (XML)'!I113</f>
        <v>1.8281826299999999</v>
      </c>
    </row>
    <row r="115" spans="1:3" x14ac:dyDescent="0.2">
      <c r="A115" s="15" t="str">
        <f>'T6a. FOREX (XML)'!G114</f>
        <v>MMK</v>
      </c>
      <c r="B115" s="15" t="str">
        <f>'T6a. FOREX (XML)'!H114</f>
        <v>Myanma Kyat</v>
      </c>
      <c r="C115" s="239">
        <f>'T6a. FOREX (XML)'!I114</f>
        <v>1796.1266139100001</v>
      </c>
    </row>
    <row r="116" spans="1:3" x14ac:dyDescent="0.2">
      <c r="A116" s="15" t="str">
        <f>'T6a. FOREX (XML)'!G115</f>
        <v>MVR</v>
      </c>
      <c r="B116" s="15" t="str">
        <f>'T6a. FOREX (XML)'!H115</f>
        <v>Maldivian rufiyaa</v>
      </c>
      <c r="C116" s="239">
        <f>'T6a. FOREX (XML)'!I115</f>
        <v>15.61368573</v>
      </c>
    </row>
    <row r="117" spans="1:3" x14ac:dyDescent="0.2">
      <c r="A117" s="15" t="str">
        <f>'T6a. FOREX (XML)'!G116</f>
        <v>VES</v>
      </c>
      <c r="B117" s="15" t="str">
        <f>'T6a. FOREX (XML)'!H116</f>
        <v>Venezuelan Bolivar</v>
      </c>
      <c r="C117" s="239">
        <f>'T6a. FOREX (XML)'!I116</f>
        <v>4.3284169199999996</v>
      </c>
    </row>
    <row r="118" spans="1:3" x14ac:dyDescent="0.2">
      <c r="A118" s="15" t="str">
        <f>'T6a. FOREX (XML)'!G117</f>
        <v>NPR</v>
      </c>
      <c r="B118" s="15" t="str">
        <f>'T6a. FOREX (XML)'!H117</f>
        <v>Nepalese Rupee</v>
      </c>
      <c r="C118" s="239">
        <f>'T6a. FOREX (XML)'!I117</f>
        <v>122.54136747</v>
      </c>
    </row>
    <row r="119" spans="1:3" x14ac:dyDescent="0.2">
      <c r="A119" s="15" t="str">
        <f>'T6a. FOREX (XML)'!G118</f>
        <v>ISK</v>
      </c>
      <c r="B119" s="15" t="str">
        <f>'T6a. FOREX (XML)'!H118</f>
        <v>Icelandic Krona</v>
      </c>
      <c r="C119" s="239">
        <f>'T6a. FOREX (XML)'!I118</f>
        <v>129.21203738</v>
      </c>
    </row>
    <row r="120" spans="1:3" x14ac:dyDescent="0.2">
      <c r="A120" s="15" t="str">
        <f>'T6a. FOREX (XML)'!G119</f>
        <v>GIP</v>
      </c>
      <c r="B120" s="15" t="str">
        <f>'T6a. FOREX (XML)'!H119</f>
        <v>Gibraltar pound</v>
      </c>
      <c r="C120" s="239">
        <f>'T6a. FOREX (XML)'!I119</f>
        <v>0.75957938000000003</v>
      </c>
    </row>
    <row r="121" spans="1:3" x14ac:dyDescent="0.2">
      <c r="A121" s="15" t="str">
        <f>'T6a. FOREX (XML)'!G120</f>
        <v>GEL</v>
      </c>
      <c r="B121" s="15" t="str">
        <f>'T6a. FOREX (XML)'!H120</f>
        <v>Georgian lari</v>
      </c>
      <c r="C121" s="239">
        <f>'T6a. FOREX (XML)'!I120</f>
        <v>3.1439470799999998</v>
      </c>
    </row>
    <row r="122" spans="1:3" x14ac:dyDescent="0.2">
      <c r="A122" s="15" t="str">
        <f>'T6a. FOREX (XML)'!G121</f>
        <v>MKD</v>
      </c>
      <c r="B122" s="15" t="str">
        <f>'T6a. FOREX (XML)'!H121</f>
        <v>Macedonian denar</v>
      </c>
      <c r="C122" s="239">
        <f>'T6a. FOREX (XML)'!I121</f>
        <v>56.496620030000003</v>
      </c>
    </row>
    <row r="123" spans="1:3" x14ac:dyDescent="0.2">
      <c r="A123" s="15" t="str">
        <f>'T6a. FOREX (XML)'!G122</f>
        <v>BBD</v>
      </c>
      <c r="B123" s="15" t="str">
        <f>'T6a. FOREX (XML)'!H122</f>
        <v>Barbadian Dollar</v>
      </c>
      <c r="C123" s="239">
        <f>'T6a. FOREX (XML)'!I122</f>
        <v>2.03948924</v>
      </c>
    </row>
    <row r="124" spans="1:3" x14ac:dyDescent="0.2">
      <c r="A124" s="15" t="str">
        <f>'T6a. FOREX (XML)'!G123</f>
        <v>DJF</v>
      </c>
      <c r="B124" s="15" t="str">
        <f>'T6a. FOREX (XML)'!H123</f>
        <v>Djiboutian franc</v>
      </c>
      <c r="C124" s="239">
        <f>'T6a. FOREX (XML)'!I123</f>
        <v>179.82236678000001</v>
      </c>
    </row>
    <row r="125" spans="1:3" x14ac:dyDescent="0.2">
      <c r="A125" s="15" t="str">
        <f>'T6a. FOREX (XML)'!G124</f>
        <v>SLL</v>
      </c>
      <c r="B125" s="15" t="str">
        <f>'T6a. FOREX (XML)'!H124</f>
        <v>Sierra Leonean leone</v>
      </c>
      <c r="C125" s="239">
        <f>'T6a. FOREX (XML)'!I124</f>
        <v>11782.78688525</v>
      </c>
    </row>
    <row r="126" spans="1:3" x14ac:dyDescent="0.2">
      <c r="A126" s="15" t="str">
        <f>'T6a. FOREX (XML)'!G125</f>
        <v>KES</v>
      </c>
      <c r="B126" s="15" t="str">
        <f>'T6a. FOREX (XML)'!H125</f>
        <v>Kenyan shilling</v>
      </c>
      <c r="C126" s="239">
        <f>'T6a. FOREX (XML)'!I125</f>
        <v>115.65693137</v>
      </c>
    </row>
    <row r="127" spans="1:3" x14ac:dyDescent="0.2">
      <c r="A127" s="15" t="str">
        <f>'T6a. FOREX (XML)'!G126</f>
        <v>AED</v>
      </c>
      <c r="B127" s="15" t="str">
        <f>'T6a. FOREX (XML)'!H126</f>
        <v>U.A.E Dirham</v>
      </c>
      <c r="C127" s="239">
        <f>'T6a. FOREX (XML)'!I126</f>
        <v>3.74426339</v>
      </c>
    </row>
    <row r="128" spans="1:3" x14ac:dyDescent="0.2">
      <c r="A128" s="15" t="str">
        <f>'T6a. FOREX (XML)'!G127</f>
        <v>PHP</v>
      </c>
      <c r="B128" s="15" t="str">
        <f>'T6a. FOREX (XML)'!H127</f>
        <v>Philippine Peso</v>
      </c>
      <c r="C128" s="239">
        <f>'T6a. FOREX (XML)'!I127</f>
        <v>52.110471330000003</v>
      </c>
    </row>
    <row r="129" spans="1:3" x14ac:dyDescent="0.2">
      <c r="A129" s="15" t="str">
        <f>'T6a. FOREX (XML)'!G128</f>
        <v>KRW</v>
      </c>
      <c r="B129" s="15" t="str">
        <f>'T6a. FOREX (XML)'!H128</f>
        <v>South Korean Won</v>
      </c>
      <c r="C129" s="239">
        <f>'T6a. FOREX (XML)'!I128</f>
        <v>1220.3023061599999</v>
      </c>
    </row>
    <row r="130" spans="1:3" x14ac:dyDescent="0.2">
      <c r="A130" s="15" t="str">
        <f>'T6a. FOREX (XML)'!G129</f>
        <v>MRO</v>
      </c>
      <c r="B130" s="15" t="str">
        <f>'T6a. FOREX (XML)'!H129</f>
        <v>Mauritanian Ouguiya</v>
      </c>
      <c r="C130" s="239">
        <f>'T6a. FOREX (XML)'!I129</f>
        <v>36.389963569999999</v>
      </c>
    </row>
    <row r="131" spans="1:3" x14ac:dyDescent="0.2">
      <c r="A131" s="15" t="str">
        <f>'T6a. FOREX (XML)'!G130</f>
        <v>COP</v>
      </c>
      <c r="B131" s="15" t="str">
        <f>'T6a. FOREX (XML)'!H130</f>
        <v>Colombian Peso</v>
      </c>
      <c r="C131" s="239">
        <f>'T6a. FOREX (XML)'!I130</f>
        <v>3794.8073599899999</v>
      </c>
    </row>
    <row r="132" spans="1:3" x14ac:dyDescent="0.2">
      <c r="A132" s="15" t="str">
        <f>'T6a. FOREX (XML)'!G131</f>
        <v>FJD</v>
      </c>
      <c r="B132" s="15" t="str">
        <f>'T6a. FOREX (XML)'!H131</f>
        <v>Fiji Dollar</v>
      </c>
      <c r="C132" s="239">
        <f>'T6a. FOREX (XML)'!I131</f>
        <v>2.11158987</v>
      </c>
    </row>
    <row r="133" spans="1:3" x14ac:dyDescent="0.2">
      <c r="A133" s="15" t="str">
        <f>'T6a. FOREX (XML)'!G132</f>
        <v>CDF</v>
      </c>
      <c r="B133" s="15" t="str">
        <f>'T6a. FOREX (XML)'!H132</f>
        <v>Congolese franc</v>
      </c>
      <c r="C133" s="239">
        <f>'T6a. FOREX (XML)'!I132</f>
        <v>2018.9606741600001</v>
      </c>
    </row>
    <row r="134" spans="1:3" x14ac:dyDescent="0.2">
      <c r="A134" s="15" t="str">
        <f>'T6a. FOREX (XML)'!G133</f>
        <v>MZN</v>
      </c>
      <c r="B134" s="15" t="str">
        <f>'T6a. FOREX (XML)'!H133</f>
        <v>Mozambican metical</v>
      </c>
      <c r="C134" s="239">
        <f>'T6a. FOREX (XML)'!I133</f>
        <v>64.752252249999998</v>
      </c>
    </row>
    <row r="135" spans="1:3" x14ac:dyDescent="0.2">
      <c r="A135" s="15" t="str">
        <f>'T6a. FOREX (XML)'!G134</f>
        <v>UGX</v>
      </c>
      <c r="B135" s="15" t="str">
        <f>'T6a. FOREX (XML)'!H134</f>
        <v>Ugandan shilling</v>
      </c>
      <c r="C135" s="239">
        <f>'T6a. FOREX (XML)'!I134</f>
        <v>3657.7608142499998</v>
      </c>
    </row>
    <row r="136" spans="1:3" x14ac:dyDescent="0.2">
      <c r="A136" s="15" t="str">
        <f>'T6a. FOREX (XML)'!G135</f>
        <v>BRL</v>
      </c>
      <c r="B136" s="15" t="str">
        <f>'T6a. FOREX (XML)'!H135</f>
        <v>Brazilian Real</v>
      </c>
      <c r="C136" s="239">
        <f>'T6a. FOREX (XML)'!I135</f>
        <v>4.9846305700000002</v>
      </c>
    </row>
    <row r="137" spans="1:3" x14ac:dyDescent="0.2">
      <c r="A137" s="15" t="str">
        <f>'T6a. FOREX (XML)'!G136</f>
        <v>CNY</v>
      </c>
      <c r="B137" s="15" t="str">
        <f>'T6a. FOREX (XML)'!H136</f>
        <v>Chinese Yuan</v>
      </c>
      <c r="C137" s="239">
        <f>'T6a. FOREX (XML)'!I136</f>
        <v>6.3631174899999996</v>
      </c>
    </row>
    <row r="138" spans="1:3" x14ac:dyDescent="0.2">
      <c r="A138" s="15" t="str">
        <f>'T6a. FOREX (XML)'!G137</f>
        <v>SAR</v>
      </c>
      <c r="B138" s="15" t="str">
        <f>'T6a. FOREX (XML)'!H137</f>
        <v>Saudi Riyal</v>
      </c>
      <c r="C138" s="239">
        <f>'T6a. FOREX (XML)'!I137</f>
        <v>3.7526513600000002</v>
      </c>
    </row>
    <row r="139" spans="1:3" x14ac:dyDescent="0.2">
      <c r="A139" s="15" t="str">
        <f>'T6a. FOREX (XML)'!G138</f>
        <v>ZAR</v>
      </c>
      <c r="B139" s="15" t="str">
        <f>'T6a. FOREX (XML)'!H138</f>
        <v>South African Rand</v>
      </c>
      <c r="C139" s="239">
        <f>'T6a. FOREX (XML)'!I138</f>
        <v>14.57019193</v>
      </c>
    </row>
    <row r="140" spans="1:3" x14ac:dyDescent="0.2">
      <c r="A140" s="15" t="str">
        <f>'T6a. FOREX (XML)'!G139</f>
        <v>MDL</v>
      </c>
      <c r="B140" s="15" t="str">
        <f>'T6a. FOREX (XML)'!H139</f>
        <v>Moldova Lei</v>
      </c>
      <c r="C140" s="239">
        <f>'T6a. FOREX (XML)'!I139</f>
        <v>18.40265222</v>
      </c>
    </row>
    <row r="141" spans="1:3" x14ac:dyDescent="0.2">
      <c r="A141" s="15" t="str">
        <f>'T6a. FOREX (XML)'!G140</f>
        <v>PAB</v>
      </c>
      <c r="B141" s="15" t="str">
        <f>'T6a. FOREX (XML)'!H140</f>
        <v>Panamanian Balboa</v>
      </c>
      <c r="C141" s="239">
        <f>'T6a. FOREX (XML)'!I140</f>
        <v>1.00412653</v>
      </c>
    </row>
    <row r="142" spans="1:3" x14ac:dyDescent="0.2">
      <c r="A142" s="15" t="str">
        <f>'T6a. FOREX (XML)'!G141</f>
        <v>LRD</v>
      </c>
      <c r="B142" s="15" t="str">
        <f>'T6a. FOREX (XML)'!H141</f>
        <v>Liberian dollar</v>
      </c>
      <c r="C142" s="239">
        <f>'T6a. FOREX (XML)'!I141</f>
        <v>154.56989247000001</v>
      </c>
    </row>
    <row r="143" spans="1:3" x14ac:dyDescent="0.2">
      <c r="A143" s="15" t="str">
        <f>'T6a. FOREX (XML)'!G142</f>
        <v>SDG</v>
      </c>
      <c r="B143" s="15" t="str">
        <f>'T6a. FOREX (XML)'!H142</f>
        <v>Sudanese pound</v>
      </c>
      <c r="C143" s="239">
        <f>'T6a. FOREX (XML)'!I142</f>
        <v>453.94736841999998</v>
      </c>
    </row>
    <row r="144" spans="1:3" x14ac:dyDescent="0.2">
      <c r="A144" s="15" t="str">
        <f>'T6a. FOREX (XML)'!G143</f>
        <v>TOP</v>
      </c>
      <c r="B144" s="15" t="str">
        <f>'T6a. FOREX (XML)'!H143</f>
        <v>Tongan paʻanga</v>
      </c>
      <c r="C144" s="239">
        <f>'T6a. FOREX (XML)'!I143</f>
        <v>2.25998323</v>
      </c>
    </row>
    <row r="145" spans="1:3" x14ac:dyDescent="0.2">
      <c r="A145" s="15" t="str">
        <f>'T6a. FOREX (XML)'!G144</f>
        <v>VUV</v>
      </c>
      <c r="B145" s="15" t="str">
        <f>'T6a. FOREX (XML)'!H144</f>
        <v>Vanuatu vatu</v>
      </c>
      <c r="C145" s="239">
        <f>'T6a. FOREX (XML)'!I144</f>
        <v>113.32282223</v>
      </c>
    </row>
    <row r="146" spans="1:3" x14ac:dyDescent="0.2">
      <c r="A146" s="15" t="str">
        <f>'T6a. FOREX (XML)'!G145</f>
        <v>DKK</v>
      </c>
      <c r="B146" s="15" t="str">
        <f>'T6a. FOREX (XML)'!H145</f>
        <v>Danish Krone</v>
      </c>
      <c r="C146" s="239">
        <f>'T6a. FOREX (XML)'!I145</f>
        <v>6.76155317</v>
      </c>
    </row>
    <row r="147" spans="1:3" x14ac:dyDescent="0.2">
      <c r="A147" s="15" t="str">
        <f>'T6a. FOREX (XML)'!G146</f>
        <v>IDR</v>
      </c>
      <c r="B147" s="15" t="str">
        <f>'T6a. FOREX (XML)'!H146</f>
        <v>Indonesian Rupiah</v>
      </c>
      <c r="C147" s="239">
        <f>'T6a. FOREX (XML)'!I146</f>
        <v>14349.16255694</v>
      </c>
    </row>
    <row r="148" spans="1:3" x14ac:dyDescent="0.2">
      <c r="A148" s="15" t="str">
        <f>'T6a. FOREX (XML)'!G147</f>
        <v>TND</v>
      </c>
      <c r="B148" s="15" t="str">
        <f>'T6a. FOREX (XML)'!H147</f>
        <v>Tunisian Dinar</v>
      </c>
      <c r="C148" s="239">
        <f>'T6a. FOREX (XML)'!I147</f>
        <v>2.9813520499999999</v>
      </c>
    </row>
    <row r="149" spans="1:3" x14ac:dyDescent="0.2">
      <c r="A149" s="15" t="str">
        <f>'T6a. FOREX (XML)'!G148</f>
        <v>TWD</v>
      </c>
      <c r="B149" s="15" t="str">
        <f>'T6a. FOREX (XML)'!H148</f>
        <v xml:space="preserve">New Taiwan Dollar </v>
      </c>
      <c r="C149" s="239">
        <f>'T6a. FOREX (XML)'!I148</f>
        <v>28.658938809999999</v>
      </c>
    </row>
    <row r="150" spans="1:3" x14ac:dyDescent="0.2">
      <c r="A150" s="15" t="str">
        <f>'T6a. FOREX (XML)'!G149</f>
        <v>IQD</v>
      </c>
      <c r="B150" s="15" t="str">
        <f>'T6a. FOREX (XML)'!H149</f>
        <v>Iraqi dinar</v>
      </c>
      <c r="C150" s="239">
        <f>'T6a. FOREX (XML)'!I149</f>
        <v>1498.5972125999999</v>
      </c>
    </row>
    <row r="151" spans="1:3" x14ac:dyDescent="0.2">
      <c r="A151" s="15" t="str">
        <f>'T6a. FOREX (XML)'!G150</f>
        <v>BOB</v>
      </c>
      <c r="B151" s="15" t="str">
        <f>'T6a. FOREX (XML)'!H150</f>
        <v>Bolivian Boliviano</v>
      </c>
      <c r="C151" s="239">
        <f>'T6a. FOREX (XML)'!I150</f>
        <v>6.9072617300000001</v>
      </c>
    </row>
    <row r="152" spans="1:3" x14ac:dyDescent="0.2">
      <c r="A152" s="15"/>
      <c r="B152" s="15"/>
    </row>
    <row r="153" spans="1:3" x14ac:dyDescent="0.2">
      <c r="A153" s="15"/>
      <c r="B153" s="15"/>
    </row>
    <row r="154" spans="1:3" x14ac:dyDescent="0.2">
      <c r="A154" s="15"/>
      <c r="B154" s="15"/>
    </row>
    <row r="155" spans="1:3" x14ac:dyDescent="0.2">
      <c r="A155" s="15"/>
      <c r="B155" s="15"/>
    </row>
    <row r="156" spans="1:3" x14ac:dyDescent="0.2">
      <c r="A156" s="15"/>
      <c r="B156" s="15"/>
    </row>
    <row r="157" spans="1:3" x14ac:dyDescent="0.2">
      <c r="A157" s="15"/>
      <c r="B157" s="15"/>
    </row>
    <row r="158" spans="1:3" x14ac:dyDescent="0.2">
      <c r="A158" s="15"/>
      <c r="B158" s="15"/>
    </row>
    <row r="159" spans="1:3" x14ac:dyDescent="0.2">
      <c r="A159" s="15"/>
      <c r="B159" s="15"/>
    </row>
    <row r="160" spans="1:3" x14ac:dyDescent="0.2">
      <c r="A160" s="15"/>
      <c r="B160" s="15"/>
    </row>
    <row r="161" spans="1:2" x14ac:dyDescent="0.2">
      <c r="A161" s="15"/>
      <c r="B161" s="15"/>
    </row>
    <row r="162" spans="1:2" x14ac:dyDescent="0.2">
      <c r="A162" s="15"/>
      <c r="B162" s="15"/>
    </row>
    <row r="163" spans="1:2" x14ac:dyDescent="0.2">
      <c r="A163" s="15"/>
      <c r="B163" s="15"/>
    </row>
    <row r="164" spans="1:2" x14ac:dyDescent="0.2">
      <c r="A164" s="15"/>
      <c r="B164" s="15"/>
    </row>
    <row r="165" spans="1:2" x14ac:dyDescent="0.2">
      <c r="A165" s="15"/>
      <c r="B165" s="15"/>
    </row>
    <row r="166" spans="1:2" x14ac:dyDescent="0.2">
      <c r="A166" s="15"/>
      <c r="B166" s="15"/>
    </row>
    <row r="167" spans="1:2" x14ac:dyDescent="0.2">
      <c r="A167" s="15"/>
      <c r="B167" s="15"/>
    </row>
    <row r="168" spans="1:2" x14ac:dyDescent="0.2">
      <c r="A168" s="15"/>
      <c r="B168" s="15"/>
    </row>
    <row r="169" spans="1:2" x14ac:dyDescent="0.2">
      <c r="A169" s="15"/>
      <c r="B169" s="15"/>
    </row>
    <row r="170" spans="1:2" x14ac:dyDescent="0.2">
      <c r="A170" s="15"/>
      <c r="B170" s="15"/>
    </row>
    <row r="171" spans="1:2" x14ac:dyDescent="0.2">
      <c r="A171" s="15"/>
      <c r="B171" s="15"/>
    </row>
    <row r="172" spans="1:2" x14ac:dyDescent="0.2">
      <c r="A172" s="15"/>
      <c r="B172" s="15"/>
    </row>
    <row r="173" spans="1:2" x14ac:dyDescent="0.2">
      <c r="A173" s="15"/>
      <c r="B173" s="15"/>
    </row>
    <row r="174" spans="1:2" x14ac:dyDescent="0.2">
      <c r="A174" s="15"/>
      <c r="B174" s="15"/>
    </row>
  </sheetData>
  <pageMargins left="0.7" right="0.7" top="0.75" bottom="0.75" header="0.3" footer="0.3"/>
  <pageSetup paperSize="9" orientation="portrait" horizontalDpi="0" verticalDpi="0" r:id="rId1"/>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0A775-E2CB-4F21-AD40-450288BF86C9}">
  <sheetPr codeName="Sheet22">
    <tabColor rgb="FF7030A0"/>
  </sheetPr>
  <dimension ref="A1:G815"/>
  <sheetViews>
    <sheetView workbookViewId="0"/>
  </sheetViews>
  <sheetFormatPr defaultRowHeight="12.75" x14ac:dyDescent="0.2"/>
  <cols>
    <col min="1" max="1" width="11.85546875" customWidth="1"/>
    <col min="2" max="2" width="11.85546875" style="15" customWidth="1"/>
    <col min="3" max="3" width="23" customWidth="1"/>
    <col min="4" max="4" width="30.85546875" style="126" customWidth="1"/>
    <col min="5" max="5" width="46" style="127" customWidth="1"/>
  </cols>
  <sheetData>
    <row r="1" spans="1:5" x14ac:dyDescent="0.2">
      <c r="A1" s="128" t="s">
        <v>2615</v>
      </c>
      <c r="B1" s="137" t="s">
        <v>2624</v>
      </c>
      <c r="C1" s="137" t="s">
        <v>2616</v>
      </c>
      <c r="D1" s="138" t="s">
        <v>2617</v>
      </c>
      <c r="E1" s="139" t="s">
        <v>2618</v>
      </c>
    </row>
    <row r="2" spans="1:5" hidden="1" x14ac:dyDescent="0.2">
      <c r="A2" s="129">
        <v>466</v>
      </c>
      <c r="B2" s="130" t="str">
        <f>VLOOKUP('T7. UN Households'!$A2,ISO2TLC[],3,FALSE)</f>
        <v>MLI</v>
      </c>
      <c r="C2" s="130" t="s">
        <v>2619</v>
      </c>
      <c r="D2" s="131">
        <v>43370</v>
      </c>
      <c r="E2" s="135">
        <v>5.8111453918566403</v>
      </c>
    </row>
    <row r="3" spans="1:5" hidden="1" x14ac:dyDescent="0.2">
      <c r="A3" s="132">
        <v>204</v>
      </c>
      <c r="B3" s="133" t="str">
        <f>VLOOKUP('T7. UN Households'!$A3,ISO2TLC[],3,FALSE)</f>
        <v>BEN</v>
      </c>
      <c r="C3" s="133" t="s">
        <v>2619</v>
      </c>
      <c r="D3" s="134">
        <v>43102</v>
      </c>
      <c r="E3" s="136">
        <v>5.18649416042462</v>
      </c>
    </row>
    <row r="4" spans="1:5" hidden="1" x14ac:dyDescent="0.2">
      <c r="A4" s="129">
        <v>8</v>
      </c>
      <c r="B4" s="130" t="str">
        <f>VLOOKUP('T7. UN Households'!$A4,ISO2TLC[],3,FALSE)</f>
        <v>ALB</v>
      </c>
      <c r="C4" s="130" t="s">
        <v>2619</v>
      </c>
      <c r="D4" s="131">
        <v>43070</v>
      </c>
      <c r="E4" s="135">
        <v>3.2996107859541302</v>
      </c>
    </row>
    <row r="5" spans="1:5" hidden="1" x14ac:dyDescent="0.2">
      <c r="A5" s="132">
        <v>400</v>
      </c>
      <c r="B5" s="133" t="str">
        <f>VLOOKUP('T7. UN Households'!$A5,ISO2TLC[],3,FALSE)</f>
        <v>JOR</v>
      </c>
      <c r="C5" s="133" t="s">
        <v>2619</v>
      </c>
      <c r="D5" s="134">
        <v>43070</v>
      </c>
      <c r="E5" s="136">
        <v>4.7187628094619196</v>
      </c>
    </row>
    <row r="6" spans="1:5" hidden="1" x14ac:dyDescent="0.2">
      <c r="A6" s="129">
        <v>762</v>
      </c>
      <c r="B6" s="130" t="str">
        <f>VLOOKUP('T7. UN Households'!$A6,ISO2TLC[],3,FALSE)</f>
        <v>TJK</v>
      </c>
      <c r="C6" s="130" t="s">
        <v>2619</v>
      </c>
      <c r="D6" s="131">
        <v>43002</v>
      </c>
      <c r="E6" s="135">
        <v>5.9931391776258804</v>
      </c>
    </row>
    <row r="7" spans="1:5" hidden="1" x14ac:dyDescent="0.2">
      <c r="A7" s="132">
        <v>608</v>
      </c>
      <c r="B7" s="133" t="str">
        <f>VLOOKUP('T7. UN Households'!$A7,ISO2TLC[],3,FALSE)</f>
        <v>PHL</v>
      </c>
      <c r="C7" s="133" t="s">
        <v>2619</v>
      </c>
      <c r="D7" s="134">
        <v>42995</v>
      </c>
      <c r="E7" s="136">
        <v>4.2266613473705696</v>
      </c>
    </row>
    <row r="8" spans="1:5" hidden="1" x14ac:dyDescent="0.2">
      <c r="A8" s="129">
        <v>686</v>
      </c>
      <c r="B8" s="130" t="str">
        <f>VLOOKUP('T7. UN Households'!$A8,ISO2TLC[],3,FALSE)</f>
        <v>SEN</v>
      </c>
      <c r="C8" s="130" t="s">
        <v>2619</v>
      </c>
      <c r="D8" s="131">
        <v>42963</v>
      </c>
      <c r="E8" s="135">
        <v>8.6616402414962899</v>
      </c>
    </row>
    <row r="9" spans="1:5" hidden="1" x14ac:dyDescent="0.2">
      <c r="A9" s="132">
        <v>360</v>
      </c>
      <c r="B9" s="133" t="str">
        <f>VLOOKUP('T7. UN Households'!$A9,ISO2TLC[],3,FALSE)</f>
        <v>IDN</v>
      </c>
      <c r="C9" s="133" t="s">
        <v>2619</v>
      </c>
      <c r="D9" s="134">
        <v>42962</v>
      </c>
      <c r="E9" s="136">
        <v>3.8594527357804198</v>
      </c>
    </row>
    <row r="10" spans="1:5" hidden="1" x14ac:dyDescent="0.2">
      <c r="A10" s="129">
        <v>332</v>
      </c>
      <c r="B10" s="130" t="str">
        <f>VLOOKUP('T7. UN Households'!$A10,ISO2TLC[],3,FALSE)</f>
        <v>HTI</v>
      </c>
      <c r="C10" s="130" t="s">
        <v>2619</v>
      </c>
      <c r="D10" s="131">
        <v>42761</v>
      </c>
      <c r="E10" s="135">
        <v>4.29334977105548</v>
      </c>
    </row>
    <row r="11" spans="1:5" hidden="1" x14ac:dyDescent="0.2">
      <c r="A11" s="132">
        <v>462</v>
      </c>
      <c r="B11" s="133" t="str">
        <f>VLOOKUP('T7. UN Households'!$A11,ISO2TLC[],3,FALSE)</f>
        <v>MDV</v>
      </c>
      <c r="C11" s="133" t="s">
        <v>2619</v>
      </c>
      <c r="D11" s="134">
        <v>42756</v>
      </c>
      <c r="E11" s="136">
        <v>5.3999224187828903</v>
      </c>
    </row>
    <row r="12" spans="1:5" hidden="1" x14ac:dyDescent="0.2">
      <c r="A12" s="129">
        <v>108</v>
      </c>
      <c r="B12" s="130" t="str">
        <f>VLOOKUP('T7. UN Households'!$A12,ISO2TLC[],3,FALSE)</f>
        <v>BDI</v>
      </c>
      <c r="C12" s="130" t="s">
        <v>2619</v>
      </c>
      <c r="D12" s="131">
        <v>42726</v>
      </c>
      <c r="E12" s="135">
        <v>4.8301933751014499</v>
      </c>
    </row>
    <row r="13" spans="1:5" hidden="1" x14ac:dyDescent="0.2">
      <c r="A13" s="132">
        <v>626</v>
      </c>
      <c r="B13" s="133" t="str">
        <f>VLOOKUP('T7. UN Households'!$A13,ISO2TLC[],3,FALSE)</f>
        <v>TLS</v>
      </c>
      <c r="C13" s="133" t="s">
        <v>2619</v>
      </c>
      <c r="D13" s="134">
        <v>42677</v>
      </c>
      <c r="E13" s="136">
        <v>5.26791911327593</v>
      </c>
    </row>
    <row r="14" spans="1:5" hidden="1" x14ac:dyDescent="0.2">
      <c r="A14" s="129">
        <v>524</v>
      </c>
      <c r="B14" s="130" t="str">
        <f>VLOOKUP('T7. UN Households'!$A14,ISO2TLC[],3,FALSE)</f>
        <v>NPL</v>
      </c>
      <c r="C14" s="130" t="s">
        <v>2619</v>
      </c>
      <c r="D14" s="131">
        <v>42653</v>
      </c>
      <c r="E14" s="135">
        <v>4.2393644425714196</v>
      </c>
    </row>
    <row r="15" spans="1:5" hidden="1" x14ac:dyDescent="0.2">
      <c r="A15" s="132">
        <v>800</v>
      </c>
      <c r="B15" s="133" t="str">
        <f>VLOOKUP('T7. UN Households'!$A15,ISO2TLC[],3,FALSE)</f>
        <v>UGA</v>
      </c>
      <c r="C15" s="133" t="s">
        <v>2619</v>
      </c>
      <c r="D15" s="134">
        <v>42630</v>
      </c>
      <c r="E15" s="136">
        <v>4.5343375628240601</v>
      </c>
    </row>
    <row r="16" spans="1:5" hidden="1" x14ac:dyDescent="0.2">
      <c r="A16" s="129">
        <v>710</v>
      </c>
      <c r="B16" s="130" t="str">
        <f>VLOOKUP('T7. UN Households'!$A16,ISO2TLC[],3,FALSE)</f>
        <v>ZAF</v>
      </c>
      <c r="C16" s="130" t="s">
        <v>2619</v>
      </c>
      <c r="D16" s="131">
        <v>42611</v>
      </c>
      <c r="E16" s="135">
        <v>3.3622031591958499</v>
      </c>
    </row>
    <row r="17" spans="1:5" hidden="1" x14ac:dyDescent="0.2">
      <c r="A17" s="132">
        <v>686</v>
      </c>
      <c r="B17" s="133" t="str">
        <f>VLOOKUP('T7. UN Households'!$A17,ISO2TLC[],3,FALSE)</f>
        <v>SEN</v>
      </c>
      <c r="C17" s="133" t="s">
        <v>2619</v>
      </c>
      <c r="D17" s="134">
        <v>42564</v>
      </c>
      <c r="E17" s="136">
        <v>8.3062047774780297</v>
      </c>
    </row>
    <row r="18" spans="1:5" hidden="1" x14ac:dyDescent="0.2">
      <c r="A18" s="129">
        <v>36</v>
      </c>
      <c r="B18" s="130" t="str">
        <f>VLOOKUP('T7. UN Households'!$A18,ISO2TLC[],3,FALSE)</f>
        <v>AUS</v>
      </c>
      <c r="C18" s="130" t="s">
        <v>2620</v>
      </c>
      <c r="D18" s="131">
        <v>42552</v>
      </c>
      <c r="E18" s="135">
        <v>2.5467767021910102</v>
      </c>
    </row>
    <row r="19" spans="1:5" hidden="1" x14ac:dyDescent="0.2">
      <c r="A19" s="132">
        <v>60</v>
      </c>
      <c r="B19" s="133" t="str">
        <f>VLOOKUP('T7. UN Households'!$A19,ISO2TLC[],3,FALSE)</f>
        <v>BMU</v>
      </c>
      <c r="C19" s="133" t="s">
        <v>2620</v>
      </c>
      <c r="D19" s="134">
        <v>42552</v>
      </c>
      <c r="E19" s="136">
        <v>2.2623084562996598</v>
      </c>
    </row>
    <row r="20" spans="1:5" hidden="1" x14ac:dyDescent="0.2">
      <c r="A20" s="129">
        <v>124</v>
      </c>
      <c r="B20" s="130" t="str">
        <f>VLOOKUP('T7. UN Households'!$A20,ISO2TLC[],3,FALSE)</f>
        <v>CAN</v>
      </c>
      <c r="C20" s="130" t="s">
        <v>2620</v>
      </c>
      <c r="D20" s="131">
        <v>42552</v>
      </c>
      <c r="E20" s="135">
        <v>2.4488252625056099</v>
      </c>
    </row>
    <row r="21" spans="1:5" hidden="1" x14ac:dyDescent="0.2">
      <c r="A21" s="132">
        <v>344</v>
      </c>
      <c r="B21" s="133" t="str">
        <f>VLOOKUP('T7. UN Households'!$A21,ISO2TLC[],3,FALSE)</f>
        <v>HKG</v>
      </c>
      <c r="C21" s="133" t="s">
        <v>2620</v>
      </c>
      <c r="D21" s="134">
        <v>42552</v>
      </c>
      <c r="E21" s="136">
        <v>2.8346175331728398</v>
      </c>
    </row>
    <row r="22" spans="1:5" hidden="1" x14ac:dyDescent="0.2">
      <c r="A22" s="129">
        <v>446</v>
      </c>
      <c r="B22" s="130" t="str">
        <f>VLOOKUP('T7. UN Households'!$A22,ISO2TLC[],3,FALSE)</f>
        <v>MAC</v>
      </c>
      <c r="C22" s="130" t="s">
        <v>2620</v>
      </c>
      <c r="D22" s="131">
        <v>42552</v>
      </c>
      <c r="E22" s="135">
        <v>3.0660968721353501</v>
      </c>
    </row>
    <row r="23" spans="1:5" x14ac:dyDescent="0.2">
      <c r="A23" s="132">
        <v>364</v>
      </c>
      <c r="B23" s="133"/>
      <c r="C23" s="133" t="s">
        <v>2620</v>
      </c>
      <c r="D23" s="134">
        <v>42552</v>
      </c>
      <c r="E23" s="136"/>
    </row>
    <row r="24" spans="1:5" hidden="1" x14ac:dyDescent="0.2">
      <c r="A24" s="129">
        <v>833</v>
      </c>
      <c r="B24" s="130" t="str">
        <f>VLOOKUP('T7. UN Households'!$A24,ISO2TLC[],3,FALSE)</f>
        <v>IMN</v>
      </c>
      <c r="C24" s="130" t="s">
        <v>2620</v>
      </c>
      <c r="D24" s="131">
        <v>42552</v>
      </c>
      <c r="E24" s="135">
        <v>2.28392472667282</v>
      </c>
    </row>
    <row r="25" spans="1:5" hidden="1" x14ac:dyDescent="0.2">
      <c r="A25" s="132">
        <v>882</v>
      </c>
      <c r="B25" s="133" t="str">
        <f>VLOOKUP('T7. UN Households'!$A25,ISO2TLC[],3,FALSE)</f>
        <v>WSM</v>
      </c>
      <c r="C25" s="133" t="s">
        <v>2620</v>
      </c>
      <c r="D25" s="134">
        <v>42552</v>
      </c>
      <c r="E25" s="136">
        <v>6.7514196675900298</v>
      </c>
    </row>
    <row r="26" spans="1:5" hidden="1" x14ac:dyDescent="0.2">
      <c r="A26" s="129">
        <v>231</v>
      </c>
      <c r="B26" s="130" t="str">
        <f>VLOOKUP('T7. UN Households'!$A26,ISO2TLC[],3,FALSE)</f>
        <v>ETH</v>
      </c>
      <c r="C26" s="130" t="s">
        <v>2619</v>
      </c>
      <c r="D26" s="131">
        <v>42467</v>
      </c>
      <c r="E26" s="135">
        <v>4.6145778397678496</v>
      </c>
    </row>
    <row r="27" spans="1:5" hidden="1" x14ac:dyDescent="0.2">
      <c r="A27" s="132">
        <v>104</v>
      </c>
      <c r="B27" s="133" t="str">
        <f>VLOOKUP('T7. UN Households'!$A27,ISO2TLC[],3,FALSE)</f>
        <v>MMR</v>
      </c>
      <c r="C27" s="133" t="s">
        <v>2619</v>
      </c>
      <c r="D27" s="134">
        <v>42451</v>
      </c>
      <c r="E27" s="136">
        <v>4.2237942680967704</v>
      </c>
    </row>
    <row r="28" spans="1:5" hidden="1" x14ac:dyDescent="0.2">
      <c r="A28" s="129">
        <v>51</v>
      </c>
      <c r="B28" s="130" t="str">
        <f>VLOOKUP('T7. UN Households'!$A28,ISO2TLC[],3,FALSE)</f>
        <v>ARM</v>
      </c>
      <c r="C28" s="130" t="s">
        <v>2619</v>
      </c>
      <c r="D28" s="131">
        <v>42405</v>
      </c>
      <c r="E28" s="135">
        <v>3.54208464567852</v>
      </c>
    </row>
    <row r="29" spans="1:5" hidden="1" x14ac:dyDescent="0.2">
      <c r="A29" s="132">
        <v>24</v>
      </c>
      <c r="B29" s="133" t="str">
        <f>VLOOKUP('T7. UN Households'!$A29,ISO2TLC[],3,FALSE)</f>
        <v>AGO</v>
      </c>
      <c r="C29" s="133" t="s">
        <v>2619</v>
      </c>
      <c r="D29" s="134">
        <v>42370</v>
      </c>
      <c r="E29" s="136">
        <v>4.8156573635067499</v>
      </c>
    </row>
    <row r="30" spans="1:5" hidden="1" x14ac:dyDescent="0.2">
      <c r="A30" s="129">
        <v>356</v>
      </c>
      <c r="B30" s="130" t="str">
        <f>VLOOKUP('T7. UN Households'!$A30,ISO2TLC[],3,FALSE)</f>
        <v>IND</v>
      </c>
      <c r="C30" s="130" t="s">
        <v>2619</v>
      </c>
      <c r="D30" s="131">
        <v>42366</v>
      </c>
      <c r="E30" s="135">
        <v>4.5721889921643397</v>
      </c>
    </row>
    <row r="31" spans="1:5" hidden="1" x14ac:dyDescent="0.2">
      <c r="A31" s="132">
        <v>454</v>
      </c>
      <c r="B31" s="133" t="str">
        <f>VLOOKUP('T7. UN Households'!$A31,ISO2TLC[],3,FALSE)</f>
        <v>MWI</v>
      </c>
      <c r="C31" s="133" t="s">
        <v>2619</v>
      </c>
      <c r="D31" s="134">
        <v>42355</v>
      </c>
      <c r="E31" s="136">
        <v>4.5089180901256203</v>
      </c>
    </row>
    <row r="32" spans="1:5" hidden="1" x14ac:dyDescent="0.2">
      <c r="A32" s="129">
        <v>834</v>
      </c>
      <c r="B32" s="130" t="str">
        <f>VLOOKUP('T7. UN Households'!$A32,ISO2TLC[],3,FALSE)</f>
        <v>TZA</v>
      </c>
      <c r="C32" s="130" t="s">
        <v>2619</v>
      </c>
      <c r="D32" s="131">
        <v>42325</v>
      </c>
      <c r="E32" s="135">
        <v>4.8515478517615502</v>
      </c>
    </row>
    <row r="33" spans="1:5" hidden="1" x14ac:dyDescent="0.2">
      <c r="A33" s="132">
        <v>566</v>
      </c>
      <c r="B33" s="133" t="str">
        <f>VLOOKUP('T7. UN Households'!$A33,ISO2TLC[],3,FALSE)</f>
        <v>NGA</v>
      </c>
      <c r="C33" s="133" t="s">
        <v>2619</v>
      </c>
      <c r="D33" s="134">
        <v>42308</v>
      </c>
      <c r="E33" s="136">
        <v>4.9014286643141203</v>
      </c>
    </row>
    <row r="34" spans="1:5" hidden="1" x14ac:dyDescent="0.2">
      <c r="A34" s="129">
        <v>4</v>
      </c>
      <c r="B34" s="130" t="str">
        <f>VLOOKUP('T7. UN Households'!$A34,ISO2TLC[],3,FALSE)</f>
        <v>AFG</v>
      </c>
      <c r="C34" s="130" t="s">
        <v>2619</v>
      </c>
      <c r="D34" s="131">
        <v>42296</v>
      </c>
      <c r="E34" s="135">
        <v>8.0367388563218505</v>
      </c>
    </row>
    <row r="35" spans="1:5" hidden="1" x14ac:dyDescent="0.2">
      <c r="A35" s="132">
        <v>716</v>
      </c>
      <c r="B35" s="133" t="str">
        <f>VLOOKUP('T7. UN Households'!$A35,ISO2TLC[],3,FALSE)</f>
        <v>ZWE</v>
      </c>
      <c r="C35" s="133" t="s">
        <v>2619</v>
      </c>
      <c r="D35" s="134">
        <v>42274</v>
      </c>
      <c r="E35" s="136">
        <v>4.0771793327345298</v>
      </c>
    </row>
    <row r="36" spans="1:5" hidden="1" x14ac:dyDescent="0.2">
      <c r="A36" s="129">
        <v>170</v>
      </c>
      <c r="B36" s="130" t="str">
        <f>VLOOKUP('T7. UN Households'!$A36,ISO2TLC[],3,FALSE)</f>
        <v>COL</v>
      </c>
      <c r="C36" s="130" t="s">
        <v>2619</v>
      </c>
      <c r="D36" s="131">
        <v>42244</v>
      </c>
      <c r="E36" s="135">
        <v>3.52685205109591</v>
      </c>
    </row>
    <row r="37" spans="1:5" hidden="1" x14ac:dyDescent="0.2">
      <c r="A37" s="132">
        <v>404</v>
      </c>
      <c r="B37" s="133" t="str">
        <f>VLOOKUP('T7. UN Households'!$A37,ISO2TLC[],3,FALSE)</f>
        <v>KEN</v>
      </c>
      <c r="C37" s="133" t="s">
        <v>2619</v>
      </c>
      <c r="D37" s="134">
        <v>42211</v>
      </c>
      <c r="E37" s="136">
        <v>3.6388238064867799</v>
      </c>
    </row>
    <row r="38" spans="1:5" hidden="1" x14ac:dyDescent="0.2">
      <c r="A38" s="129">
        <v>250</v>
      </c>
      <c r="B38" s="130" t="str">
        <f>VLOOKUP('T7. UN Households'!$A38,ISO2TLC[],3,FALSE)</f>
        <v>FRA</v>
      </c>
      <c r="C38" s="130" t="s">
        <v>2620</v>
      </c>
      <c r="D38" s="131">
        <v>42186</v>
      </c>
      <c r="E38" s="135">
        <v>2.2220567217727498</v>
      </c>
    </row>
    <row r="39" spans="1:5" hidden="1" x14ac:dyDescent="0.2">
      <c r="A39" s="132">
        <v>254</v>
      </c>
      <c r="B39" s="133" t="str">
        <f>VLOOKUP('T7. UN Households'!$A39,ISO2TLC[],3,FALSE)</f>
        <v>GUF</v>
      </c>
      <c r="C39" s="133" t="s">
        <v>2620</v>
      </c>
      <c r="D39" s="134">
        <v>42186</v>
      </c>
      <c r="E39" s="136">
        <v>3.4547574505029801</v>
      </c>
    </row>
    <row r="40" spans="1:5" hidden="1" x14ac:dyDescent="0.2">
      <c r="A40" s="129">
        <v>312</v>
      </c>
      <c r="B40" s="130" t="str">
        <f>VLOOKUP('T7. UN Households'!$A40,ISO2TLC[],3,FALSE)</f>
        <v>GLP</v>
      </c>
      <c r="C40" s="130" t="s">
        <v>2620</v>
      </c>
      <c r="D40" s="131">
        <v>42186</v>
      </c>
      <c r="E40" s="135">
        <v>2.2965290141221999</v>
      </c>
    </row>
    <row r="41" spans="1:5" hidden="1" x14ac:dyDescent="0.2">
      <c r="A41" s="132">
        <v>392</v>
      </c>
      <c r="B41" s="133" t="str">
        <f>VLOOKUP('T7. UN Households'!$A41,ISO2TLC[],3,FALSE)</f>
        <v>JPN</v>
      </c>
      <c r="C41" s="133" t="s">
        <v>2620</v>
      </c>
      <c r="D41" s="134">
        <v>42186</v>
      </c>
      <c r="E41" s="136">
        <v>2.33062334276867</v>
      </c>
    </row>
    <row r="42" spans="1:5" hidden="1" x14ac:dyDescent="0.2">
      <c r="A42" s="129">
        <v>474</v>
      </c>
      <c r="B42" s="130" t="str">
        <f>VLOOKUP('T7. UN Households'!$A42,ISO2TLC[],3,FALSE)</f>
        <v>MTQ</v>
      </c>
      <c r="C42" s="130" t="s">
        <v>2620</v>
      </c>
      <c r="D42" s="131">
        <v>42186</v>
      </c>
      <c r="E42" s="135">
        <v>2.24845954611123</v>
      </c>
    </row>
    <row r="43" spans="1:5" hidden="1" x14ac:dyDescent="0.2">
      <c r="A43" s="132">
        <v>484</v>
      </c>
      <c r="B43" s="133" t="str">
        <f>VLOOKUP('T7. UN Households'!$A43,ISO2TLC[],3,FALSE)</f>
        <v>MEX</v>
      </c>
      <c r="C43" s="133" t="s">
        <v>2621</v>
      </c>
      <c r="D43" s="134">
        <v>42186</v>
      </c>
      <c r="E43" s="136">
        <v>3.7401749708323599</v>
      </c>
    </row>
    <row r="44" spans="1:5" hidden="1" x14ac:dyDescent="0.2">
      <c r="A44" s="129">
        <v>410</v>
      </c>
      <c r="B44" s="130" t="str">
        <f>VLOOKUP('T7. UN Households'!$A44,ISO2TLC[],3,FALSE)</f>
        <v>KOR</v>
      </c>
      <c r="C44" s="130" t="s">
        <v>2620</v>
      </c>
      <c r="D44" s="131">
        <v>42186</v>
      </c>
      <c r="E44" s="135">
        <v>2.5294062643405399</v>
      </c>
    </row>
    <row r="45" spans="1:5" hidden="1" x14ac:dyDescent="0.2">
      <c r="A45" s="132">
        <v>638</v>
      </c>
      <c r="B45" s="133" t="str">
        <f>VLOOKUP('T7. UN Households'!$A45,ISO2TLC[],3,FALSE)</f>
        <v>REU</v>
      </c>
      <c r="C45" s="133" t="s">
        <v>2620</v>
      </c>
      <c r="D45" s="134">
        <v>42186</v>
      </c>
      <c r="E45" s="136">
        <v>2.64317813908999</v>
      </c>
    </row>
    <row r="46" spans="1:5" hidden="1" x14ac:dyDescent="0.2">
      <c r="A46" s="129">
        <v>652</v>
      </c>
      <c r="B46" s="130" t="str">
        <f>VLOOKUP('T7. UN Households'!$A46,ISO2TLC[],3,FALSE)</f>
        <v>BLM</v>
      </c>
      <c r="C46" s="130" t="s">
        <v>2620</v>
      </c>
      <c r="D46" s="131">
        <v>42186</v>
      </c>
      <c r="E46" s="135">
        <v>2.4247940801830299</v>
      </c>
    </row>
    <row r="47" spans="1:5" hidden="1" x14ac:dyDescent="0.2">
      <c r="A47" s="132">
        <v>663</v>
      </c>
      <c r="B47" s="133" t="str">
        <f>VLOOKUP('T7. UN Households'!$A47,ISO2TLC[],3,FALSE)</f>
        <v>MAF</v>
      </c>
      <c r="C47" s="133" t="s">
        <v>2620</v>
      </c>
      <c r="D47" s="134">
        <v>42186</v>
      </c>
      <c r="E47" s="136">
        <v>2.5640550696339499</v>
      </c>
    </row>
    <row r="48" spans="1:5" hidden="1" x14ac:dyDescent="0.2">
      <c r="A48" s="129">
        <v>705</v>
      </c>
      <c r="B48" s="130" t="str">
        <f>VLOOKUP('T7. UN Households'!$A48,ISO2TLC[],3,FALSE)</f>
        <v>SVN</v>
      </c>
      <c r="C48" s="130" t="s">
        <v>2620</v>
      </c>
      <c r="D48" s="131">
        <v>42186</v>
      </c>
      <c r="E48" s="135">
        <v>2.4674013851836798</v>
      </c>
    </row>
    <row r="49" spans="1:5" hidden="1" x14ac:dyDescent="0.2">
      <c r="A49" s="132">
        <v>840</v>
      </c>
      <c r="B49" s="133" t="str">
        <f>VLOOKUP('T7. UN Households'!$A49,ISO2TLC[],3,FALSE)</f>
        <v>USA</v>
      </c>
      <c r="C49" s="133" t="s">
        <v>2621</v>
      </c>
      <c r="D49" s="134">
        <v>42186</v>
      </c>
      <c r="E49" s="136">
        <v>2.49113173309193</v>
      </c>
    </row>
    <row r="50" spans="1:5" hidden="1" x14ac:dyDescent="0.2">
      <c r="A50" s="129">
        <v>686</v>
      </c>
      <c r="B50" s="130" t="str">
        <f>VLOOKUP('T7. UN Households'!$A50,ISO2TLC[],3,FALSE)</f>
        <v>SEN</v>
      </c>
      <c r="C50" s="130" t="s">
        <v>2619</v>
      </c>
      <c r="D50" s="131">
        <v>42175</v>
      </c>
      <c r="E50" s="135">
        <v>8.3247276208811201</v>
      </c>
    </row>
    <row r="51" spans="1:5" hidden="1" x14ac:dyDescent="0.2">
      <c r="A51" s="132">
        <v>320</v>
      </c>
      <c r="B51" s="133" t="str">
        <f>VLOOKUP('T7. UN Households'!$A51,ISO2TLC[],3,FALSE)</f>
        <v>GTM</v>
      </c>
      <c r="C51" s="133" t="s">
        <v>2619</v>
      </c>
      <c r="D51" s="134">
        <v>42061</v>
      </c>
      <c r="E51" s="136">
        <v>4.8057137645585399</v>
      </c>
    </row>
    <row r="52" spans="1:5" hidden="1" x14ac:dyDescent="0.2">
      <c r="A52" s="129">
        <v>646</v>
      </c>
      <c r="B52" s="130" t="str">
        <f>VLOOKUP('T7. UN Households'!$A52,ISO2TLC[],3,FALSE)</f>
        <v>RWA</v>
      </c>
      <c r="C52" s="130" t="s">
        <v>2619</v>
      </c>
      <c r="D52" s="131">
        <v>42023</v>
      </c>
      <c r="E52" s="135">
        <v>4.2592924568413499</v>
      </c>
    </row>
    <row r="53" spans="1:5" hidden="1" x14ac:dyDescent="0.2">
      <c r="A53" s="132">
        <v>148</v>
      </c>
      <c r="B53" s="133" t="str">
        <f>VLOOKUP('T7. UN Households'!$A53,ISO2TLC[],3,FALSE)</f>
        <v>TCD</v>
      </c>
      <c r="C53" s="133" t="s">
        <v>2619</v>
      </c>
      <c r="D53" s="134">
        <v>42020</v>
      </c>
      <c r="E53" s="136">
        <v>5.7771795342327703</v>
      </c>
    </row>
    <row r="54" spans="1:5" hidden="1" x14ac:dyDescent="0.2">
      <c r="A54" s="129">
        <v>800</v>
      </c>
      <c r="B54" s="130" t="str">
        <f>VLOOKUP('T7. UN Households'!$A54,ISO2TLC[],3,FALSE)</f>
        <v>UGA</v>
      </c>
      <c r="C54" s="130" t="s">
        <v>2619</v>
      </c>
      <c r="D54" s="131">
        <v>42004</v>
      </c>
      <c r="E54" s="135">
        <v>4.9345800958901203</v>
      </c>
    </row>
    <row r="55" spans="1:5" hidden="1" x14ac:dyDescent="0.2">
      <c r="A55" s="132">
        <v>426</v>
      </c>
      <c r="B55" s="133" t="str">
        <f>VLOOKUP('T7. UN Households'!$A55,ISO2TLC[],3,FALSE)</f>
        <v>LSO</v>
      </c>
      <c r="C55" s="133" t="s">
        <v>2619</v>
      </c>
      <c r="D55" s="134">
        <v>41946</v>
      </c>
      <c r="E55" s="136">
        <v>3.34493465723311</v>
      </c>
    </row>
    <row r="56" spans="1:5" hidden="1" x14ac:dyDescent="0.2">
      <c r="A56" s="129">
        <v>288</v>
      </c>
      <c r="B56" s="130" t="str">
        <f>VLOOKUP('T7. UN Households'!$A56,ISO2TLC[],3,FALSE)</f>
        <v>GHA</v>
      </c>
      <c r="C56" s="130" t="s">
        <v>2619</v>
      </c>
      <c r="D56" s="131">
        <v>41934</v>
      </c>
      <c r="E56" s="135">
        <v>3.4928861200744699</v>
      </c>
    </row>
    <row r="57" spans="1:5" hidden="1" x14ac:dyDescent="0.2">
      <c r="A57" s="132">
        <v>854</v>
      </c>
      <c r="B57" s="133" t="str">
        <f>VLOOKUP('T7. UN Households'!$A57,ISO2TLC[],3,FALSE)</f>
        <v>BFA</v>
      </c>
      <c r="C57" s="133" t="s">
        <v>2619</v>
      </c>
      <c r="D57" s="134">
        <v>41913</v>
      </c>
      <c r="E57" s="136">
        <v>5.9244534660988002</v>
      </c>
    </row>
    <row r="58" spans="1:5" hidden="1" x14ac:dyDescent="0.2">
      <c r="A58" s="129">
        <v>116</v>
      </c>
      <c r="B58" s="130" t="str">
        <f>VLOOKUP('T7. UN Households'!$A58,ISO2TLC[],3,FALSE)</f>
        <v>KHM</v>
      </c>
      <c r="C58" s="130" t="s">
        <v>2619</v>
      </c>
      <c r="D58" s="131">
        <v>41883</v>
      </c>
      <c r="E58" s="135">
        <v>4.6118431303246599</v>
      </c>
    </row>
    <row r="59" spans="1:5" hidden="1" x14ac:dyDescent="0.2">
      <c r="A59" s="132">
        <v>50</v>
      </c>
      <c r="B59" s="133" t="str">
        <f>VLOOKUP('T7. UN Households'!$A59,ISO2TLC[],3,FALSE)</f>
        <v>BGD</v>
      </c>
      <c r="C59" s="133" t="s">
        <v>2619</v>
      </c>
      <c r="D59" s="134">
        <v>41873</v>
      </c>
      <c r="E59" s="136">
        <v>4.4697141726574401</v>
      </c>
    </row>
    <row r="60" spans="1:5" hidden="1" x14ac:dyDescent="0.2">
      <c r="A60" s="129">
        <v>404</v>
      </c>
      <c r="B60" s="130" t="str">
        <f>VLOOKUP('T7. UN Households'!$A60,ISO2TLC[],3,FALSE)</f>
        <v>KEN</v>
      </c>
      <c r="C60" s="130" t="s">
        <v>2619</v>
      </c>
      <c r="D60" s="131">
        <v>41850</v>
      </c>
      <c r="E60" s="135">
        <v>3.9192480909335501</v>
      </c>
    </row>
    <row r="61" spans="1:5" hidden="1" x14ac:dyDescent="0.2">
      <c r="A61" s="132">
        <v>242</v>
      </c>
      <c r="B61" s="133" t="str">
        <f>VLOOKUP('T7. UN Households'!$A61,ISO2TLC[],3,FALSE)</f>
        <v>FJI</v>
      </c>
      <c r="C61" s="133" t="s">
        <v>2621</v>
      </c>
      <c r="D61" s="134">
        <v>41821</v>
      </c>
      <c r="E61" s="136">
        <v>4.5724374063770599</v>
      </c>
    </row>
    <row r="62" spans="1:5" hidden="1" x14ac:dyDescent="0.2">
      <c r="A62" s="129">
        <v>268</v>
      </c>
      <c r="B62" s="130" t="str">
        <f>VLOOKUP('T7. UN Households'!$A62,ISO2TLC[],3,FALSE)</f>
        <v>GEO</v>
      </c>
      <c r="C62" s="130" t="s">
        <v>2620</v>
      </c>
      <c r="D62" s="131">
        <v>41821</v>
      </c>
      <c r="E62" s="135">
        <v>3.3378684193917798</v>
      </c>
    </row>
    <row r="63" spans="1:5" hidden="1" x14ac:dyDescent="0.2">
      <c r="A63" s="132">
        <v>462</v>
      </c>
      <c r="B63" s="133" t="str">
        <f>VLOOKUP('T7. UN Households'!$A63,ISO2TLC[],3,FALSE)</f>
        <v>MDV</v>
      </c>
      <c r="C63" s="133" t="s">
        <v>2620</v>
      </c>
      <c r="D63" s="134">
        <v>41821</v>
      </c>
      <c r="E63" s="136">
        <v>5.3347189477602699</v>
      </c>
    </row>
    <row r="64" spans="1:5" hidden="1" x14ac:dyDescent="0.2">
      <c r="A64" s="129">
        <v>498</v>
      </c>
      <c r="B64" s="130" t="str">
        <f>VLOOKUP('T7. UN Households'!$A64,ISO2TLC[],3,FALSE)</f>
        <v>MDA</v>
      </c>
      <c r="C64" s="130" t="s">
        <v>2620</v>
      </c>
      <c r="D64" s="131">
        <v>41821</v>
      </c>
      <c r="E64" s="135">
        <v>2.88879842375214</v>
      </c>
    </row>
    <row r="65" spans="1:5" hidden="1" x14ac:dyDescent="0.2">
      <c r="A65" s="132">
        <v>686</v>
      </c>
      <c r="B65" s="133" t="str">
        <f>VLOOKUP('T7. UN Households'!$A65,ISO2TLC[],3,FALSE)</f>
        <v>SEN</v>
      </c>
      <c r="C65" s="133" t="s">
        <v>2619</v>
      </c>
      <c r="D65" s="134">
        <v>41796</v>
      </c>
      <c r="E65" s="136">
        <v>8.6155026072559195</v>
      </c>
    </row>
    <row r="66" spans="1:5" hidden="1" x14ac:dyDescent="0.2">
      <c r="A66" s="129">
        <v>454</v>
      </c>
      <c r="B66" s="130" t="str">
        <f>VLOOKUP('T7. UN Households'!$A66,ISO2TLC[],3,FALSE)</f>
        <v>MWI</v>
      </c>
      <c r="C66" s="130" t="s">
        <v>2619</v>
      </c>
      <c r="D66" s="131">
        <v>41791</v>
      </c>
      <c r="E66" s="135">
        <v>4.1182709892317497</v>
      </c>
    </row>
    <row r="67" spans="1:5" hidden="1" x14ac:dyDescent="0.2">
      <c r="A67" s="132">
        <v>818</v>
      </c>
      <c r="B67" s="133" t="str">
        <f>VLOOKUP('T7. UN Households'!$A67,ISO2TLC[],3,FALSE)</f>
        <v>EGY</v>
      </c>
      <c r="C67" s="133" t="s">
        <v>2619</v>
      </c>
      <c r="D67" s="134">
        <v>41779</v>
      </c>
      <c r="E67" s="136">
        <v>4.1308575832092096</v>
      </c>
    </row>
    <row r="68" spans="1:5" hidden="1" x14ac:dyDescent="0.2">
      <c r="A68" s="129">
        <v>768</v>
      </c>
      <c r="B68" s="130" t="str">
        <f>VLOOKUP('T7. UN Households'!$A68,ISO2TLC[],3,FALSE)</f>
        <v>TGO</v>
      </c>
      <c r="C68" s="130" t="s">
        <v>2619</v>
      </c>
      <c r="D68" s="131">
        <v>41667</v>
      </c>
      <c r="E68" s="135">
        <v>4.5513104055187199</v>
      </c>
    </row>
    <row r="69" spans="1:5" hidden="1" x14ac:dyDescent="0.2">
      <c r="A69" s="132">
        <v>894</v>
      </c>
      <c r="B69" s="133" t="str">
        <f>VLOOKUP('T7. UN Households'!$A69,ISO2TLC[],3,FALSE)</f>
        <v>ZMB</v>
      </c>
      <c r="C69" s="133" t="s">
        <v>2619</v>
      </c>
      <c r="D69" s="134">
        <v>41618</v>
      </c>
      <c r="E69" s="136">
        <v>5.1307888553671104</v>
      </c>
    </row>
    <row r="70" spans="1:5" hidden="1" x14ac:dyDescent="0.2">
      <c r="A70" s="129">
        <v>180</v>
      </c>
      <c r="B70" s="130" t="str">
        <f>VLOOKUP('T7. UN Households'!$A70,ISO2TLC[],3,FALSE)</f>
        <v>COD</v>
      </c>
      <c r="C70" s="130" t="s">
        <v>2619</v>
      </c>
      <c r="D70" s="131">
        <v>41588</v>
      </c>
      <c r="E70" s="135">
        <v>5.3020675050332002</v>
      </c>
    </row>
    <row r="71" spans="1:5" hidden="1" x14ac:dyDescent="0.2">
      <c r="A71" s="132">
        <v>887</v>
      </c>
      <c r="B71" s="133" t="str">
        <f>VLOOKUP('T7. UN Households'!$A71,ISO2TLC[],3,FALSE)</f>
        <v>YEM</v>
      </c>
      <c r="C71" s="133" t="s">
        <v>2619</v>
      </c>
      <c r="D71" s="134">
        <v>41572</v>
      </c>
      <c r="E71" s="136">
        <v>6.67268064092928</v>
      </c>
    </row>
    <row r="72" spans="1:5" hidden="1" x14ac:dyDescent="0.2">
      <c r="A72" s="129">
        <v>686</v>
      </c>
      <c r="B72" s="130" t="str">
        <f>VLOOKUP('T7. UN Households'!$A72,ISO2TLC[],3,FALSE)</f>
        <v>SEN</v>
      </c>
      <c r="C72" s="130" t="s">
        <v>2619</v>
      </c>
      <c r="D72" s="131">
        <v>41554</v>
      </c>
      <c r="E72" s="135">
        <v>8.8005635302576604</v>
      </c>
    </row>
    <row r="73" spans="1:5" hidden="1" x14ac:dyDescent="0.2">
      <c r="A73" s="132">
        <v>608</v>
      </c>
      <c r="B73" s="133" t="str">
        <f>VLOOKUP('T7. UN Households'!$A73,ISO2TLC[],3,FALSE)</f>
        <v>PHL</v>
      </c>
      <c r="C73" s="133" t="s">
        <v>2619</v>
      </c>
      <c r="D73" s="134">
        <v>41530</v>
      </c>
      <c r="E73" s="136">
        <v>4.7420389623737602</v>
      </c>
    </row>
    <row r="74" spans="1:5" hidden="1" x14ac:dyDescent="0.2">
      <c r="A74" s="129">
        <v>214</v>
      </c>
      <c r="B74" s="130" t="str">
        <f>VLOOKUP('T7. UN Households'!$A74,ISO2TLC[],3,FALSE)</f>
        <v>DOM</v>
      </c>
      <c r="C74" s="130" t="s">
        <v>2619</v>
      </c>
      <c r="D74" s="131">
        <v>41519</v>
      </c>
      <c r="E74" s="135">
        <v>3.4779335422446098</v>
      </c>
    </row>
    <row r="75" spans="1:5" hidden="1" x14ac:dyDescent="0.2">
      <c r="A75" s="132">
        <v>694</v>
      </c>
      <c r="B75" s="133" t="str">
        <f>VLOOKUP('T7. UN Households'!$A75,ISO2TLC[],3,FALSE)</f>
        <v>SLE</v>
      </c>
      <c r="C75" s="133" t="s">
        <v>2619</v>
      </c>
      <c r="D75" s="134">
        <v>41504</v>
      </c>
      <c r="E75" s="136">
        <v>5.8990749876049096</v>
      </c>
    </row>
    <row r="76" spans="1:5" hidden="1" x14ac:dyDescent="0.2">
      <c r="A76" s="129">
        <v>516</v>
      </c>
      <c r="B76" s="130" t="str">
        <f>VLOOKUP('T7. UN Households'!$A76,ISO2TLC[],3,FALSE)</f>
        <v>NAM</v>
      </c>
      <c r="C76" s="130" t="s">
        <v>2619</v>
      </c>
      <c r="D76" s="131">
        <v>41480</v>
      </c>
      <c r="E76" s="135">
        <v>4.2382239682248004</v>
      </c>
    </row>
    <row r="77" spans="1:5" hidden="1" x14ac:dyDescent="0.2">
      <c r="A77" s="132">
        <v>204</v>
      </c>
      <c r="B77" s="133" t="str">
        <f>VLOOKUP('T7. UN Households'!$A77,ISO2TLC[],3,FALSE)</f>
        <v>BEN</v>
      </c>
      <c r="C77" s="133" t="s">
        <v>2620</v>
      </c>
      <c r="D77" s="134">
        <v>41456</v>
      </c>
      <c r="E77" s="136">
        <v>5.5228683789181297</v>
      </c>
    </row>
    <row r="78" spans="1:5" hidden="1" x14ac:dyDescent="0.2">
      <c r="A78" s="129">
        <v>204</v>
      </c>
      <c r="B78" s="130" t="str">
        <f>VLOOKUP('T7. UN Households'!$A78,ISO2TLC[],3,FALSE)</f>
        <v>BEN</v>
      </c>
      <c r="C78" s="130" t="s">
        <v>2621</v>
      </c>
      <c r="D78" s="131">
        <v>41456</v>
      </c>
      <c r="E78" s="135">
        <v>5.5448203697244498</v>
      </c>
    </row>
    <row r="79" spans="1:5" hidden="1" x14ac:dyDescent="0.2">
      <c r="A79" s="132">
        <v>116</v>
      </c>
      <c r="B79" s="133" t="str">
        <f>VLOOKUP('T7. UN Households'!$A79,ISO2TLC[],3,FALSE)</f>
        <v>KHM</v>
      </c>
      <c r="C79" s="133" t="s">
        <v>2621</v>
      </c>
      <c r="D79" s="134">
        <v>41456</v>
      </c>
      <c r="E79" s="136">
        <v>4.6397585142995004</v>
      </c>
    </row>
    <row r="80" spans="1:5" hidden="1" x14ac:dyDescent="0.2">
      <c r="A80" s="129">
        <v>554</v>
      </c>
      <c r="B80" s="130" t="str">
        <f>VLOOKUP('T7. UN Households'!$A80,ISO2TLC[],3,FALSE)</f>
        <v>NZL</v>
      </c>
      <c r="C80" s="130" t="s">
        <v>2620</v>
      </c>
      <c r="D80" s="131">
        <v>41456</v>
      </c>
      <c r="E80" s="135">
        <v>2.6728231011022898</v>
      </c>
    </row>
    <row r="81" spans="1:5" hidden="1" x14ac:dyDescent="0.2">
      <c r="A81" s="132">
        <v>430</v>
      </c>
      <c r="B81" s="133" t="str">
        <f>VLOOKUP('T7. UN Households'!$A81,ISO2TLC[],3,FALSE)</f>
        <v>LBR</v>
      </c>
      <c r="C81" s="133" t="s">
        <v>2619</v>
      </c>
      <c r="D81" s="134">
        <v>41407</v>
      </c>
      <c r="E81" s="136">
        <v>4.94573145418242</v>
      </c>
    </row>
    <row r="82" spans="1:5" hidden="1" x14ac:dyDescent="0.2">
      <c r="A82" s="129">
        <v>566</v>
      </c>
      <c r="B82" s="130" t="str">
        <f>VLOOKUP('T7. UN Households'!$A82,ISO2TLC[],3,FALSE)</f>
        <v>NGA</v>
      </c>
      <c r="C82" s="130" t="s">
        <v>2619</v>
      </c>
      <c r="D82" s="131">
        <v>41388</v>
      </c>
      <c r="E82" s="135">
        <v>4.6018896843356396</v>
      </c>
    </row>
    <row r="83" spans="1:5" hidden="1" x14ac:dyDescent="0.2">
      <c r="A83" s="132">
        <v>270</v>
      </c>
      <c r="B83" s="133" t="str">
        <f>VLOOKUP('T7. UN Households'!$A83,ISO2TLC[],3,FALSE)</f>
        <v>GMB</v>
      </c>
      <c r="C83" s="133" t="s">
        <v>2619</v>
      </c>
      <c r="D83" s="134">
        <v>41346</v>
      </c>
      <c r="E83" s="136">
        <v>8.2296813888947593</v>
      </c>
    </row>
    <row r="84" spans="1:5" hidden="1" x14ac:dyDescent="0.2">
      <c r="A84" s="129">
        <v>686</v>
      </c>
      <c r="B84" s="130" t="str">
        <f>VLOOKUP('T7. UN Households'!$A84,ISO2TLC[],3,FALSE)</f>
        <v>SEN</v>
      </c>
      <c r="C84" s="130" t="s">
        <v>2619</v>
      </c>
      <c r="D84" s="131">
        <v>41306</v>
      </c>
      <c r="E84" s="135">
        <v>8.9880564322621002</v>
      </c>
    </row>
    <row r="85" spans="1:5" hidden="1" x14ac:dyDescent="0.2">
      <c r="A85" s="132">
        <v>586</v>
      </c>
      <c r="B85" s="133" t="str">
        <f>VLOOKUP('T7. UN Households'!$A85,ISO2TLC[],3,FALSE)</f>
        <v>PAK</v>
      </c>
      <c r="C85" s="133" t="s">
        <v>2619</v>
      </c>
      <c r="D85" s="134">
        <v>41282</v>
      </c>
      <c r="E85" s="136">
        <v>6.8044786624803502</v>
      </c>
    </row>
    <row r="86" spans="1:5" hidden="1" x14ac:dyDescent="0.2">
      <c r="A86" s="129">
        <v>466</v>
      </c>
      <c r="B86" s="130" t="str">
        <f>VLOOKUP('T7. UN Households'!$A86,ISO2TLC[],3,FALSE)</f>
        <v>MLI</v>
      </c>
      <c r="C86" s="130" t="s">
        <v>2619</v>
      </c>
      <c r="D86" s="131">
        <v>41274</v>
      </c>
      <c r="E86" s="135">
        <v>5.6685934691248399</v>
      </c>
    </row>
    <row r="87" spans="1:5" hidden="1" x14ac:dyDescent="0.2">
      <c r="A87" s="132">
        <v>108</v>
      </c>
      <c r="B87" s="133" t="str">
        <f>VLOOKUP('T7. UN Households'!$A87,ISO2TLC[],3,FALSE)</f>
        <v>BDI</v>
      </c>
      <c r="C87" s="133" t="s">
        <v>2619</v>
      </c>
      <c r="D87" s="134">
        <v>41258</v>
      </c>
      <c r="E87" s="136">
        <v>4.7310735884703199</v>
      </c>
    </row>
    <row r="88" spans="1:5" hidden="1" x14ac:dyDescent="0.2">
      <c r="A88" s="129">
        <v>400</v>
      </c>
      <c r="B88" s="130" t="str">
        <f>VLOOKUP('T7. UN Households'!$A88,ISO2TLC[],3,FALSE)</f>
        <v>JOR</v>
      </c>
      <c r="C88" s="130" t="s">
        <v>2619</v>
      </c>
      <c r="D88" s="131">
        <v>41211</v>
      </c>
      <c r="E88" s="135">
        <v>5.0689345119236604</v>
      </c>
    </row>
    <row r="89" spans="1:5" hidden="1" x14ac:dyDescent="0.2">
      <c r="A89" s="132">
        <v>174</v>
      </c>
      <c r="B89" s="133" t="str">
        <f>VLOOKUP('T7. UN Households'!$A89,ISO2TLC[],3,FALSE)</f>
        <v>COM</v>
      </c>
      <c r="C89" s="133" t="s">
        <v>2619</v>
      </c>
      <c r="D89" s="134">
        <v>41197</v>
      </c>
      <c r="E89" s="136">
        <v>5.3716011092460096</v>
      </c>
    </row>
    <row r="90" spans="1:5" hidden="1" x14ac:dyDescent="0.2">
      <c r="A90" s="129">
        <v>417</v>
      </c>
      <c r="B90" s="130" t="str">
        <f>VLOOKUP('T7. UN Households'!$A90,ISO2TLC[],3,FALSE)</f>
        <v>KGZ</v>
      </c>
      <c r="C90" s="130" t="s">
        <v>2619</v>
      </c>
      <c r="D90" s="131">
        <v>41197</v>
      </c>
      <c r="E90" s="135">
        <v>4.2144782030305201</v>
      </c>
    </row>
    <row r="91" spans="1:5" hidden="1" x14ac:dyDescent="0.2">
      <c r="A91" s="132">
        <v>646</v>
      </c>
      <c r="B91" s="133" t="str">
        <f>VLOOKUP('T7. UN Households'!$A91,ISO2TLC[],3,FALSE)</f>
        <v>RWA</v>
      </c>
      <c r="C91" s="133" t="s">
        <v>2619</v>
      </c>
      <c r="D91" s="134">
        <v>41138</v>
      </c>
      <c r="E91" s="136">
        <v>4.2992184824702298</v>
      </c>
    </row>
    <row r="92" spans="1:5" hidden="1" x14ac:dyDescent="0.2">
      <c r="A92" s="129">
        <v>762</v>
      </c>
      <c r="B92" s="130" t="str">
        <f>VLOOKUP('T7. UN Households'!$A92,ISO2TLC[],3,FALSE)</f>
        <v>TJK</v>
      </c>
      <c r="C92" s="130" t="s">
        <v>2619</v>
      </c>
      <c r="D92" s="131">
        <v>41137</v>
      </c>
      <c r="E92" s="135">
        <v>6.2705799674902396</v>
      </c>
    </row>
    <row r="93" spans="1:5" hidden="1" x14ac:dyDescent="0.2">
      <c r="A93" s="132">
        <v>324</v>
      </c>
      <c r="B93" s="133" t="str">
        <f>VLOOKUP('T7. UN Households'!$A93,ISO2TLC[],3,FALSE)</f>
        <v>GIN</v>
      </c>
      <c r="C93" s="133" t="s">
        <v>2619</v>
      </c>
      <c r="D93" s="134">
        <v>41127</v>
      </c>
      <c r="E93" s="136">
        <v>6.2508190391038401</v>
      </c>
    </row>
    <row r="94" spans="1:5" hidden="1" x14ac:dyDescent="0.2">
      <c r="A94" s="129">
        <v>604</v>
      </c>
      <c r="B94" s="130" t="str">
        <f>VLOOKUP('T7. UN Households'!$A94,ISO2TLC[],3,FALSE)</f>
        <v>PER</v>
      </c>
      <c r="C94" s="130" t="s">
        <v>2619</v>
      </c>
      <c r="D94" s="131">
        <v>41121</v>
      </c>
      <c r="E94" s="135">
        <v>3.7521822789402401</v>
      </c>
    </row>
    <row r="95" spans="1:5" hidden="1" x14ac:dyDescent="0.2">
      <c r="A95" s="132">
        <v>68</v>
      </c>
      <c r="B95" s="133" t="str">
        <f>VLOOKUP('T7. UN Households'!$A95,ISO2TLC[],3,FALSE)</f>
        <v>BOL</v>
      </c>
      <c r="C95" s="133" t="s">
        <v>2620</v>
      </c>
      <c r="D95" s="134">
        <v>41091</v>
      </c>
      <c r="E95" s="136">
        <v>3.5304590604877002</v>
      </c>
    </row>
    <row r="96" spans="1:5" hidden="1" x14ac:dyDescent="0.2">
      <c r="A96" s="129">
        <v>175</v>
      </c>
      <c r="B96" s="130" t="str">
        <f>VLOOKUP('T7. UN Households'!$A96,ISO2TLC[],3,FALSE)</f>
        <v>MYT</v>
      </c>
      <c r="C96" s="130" t="s">
        <v>2620</v>
      </c>
      <c r="D96" s="131">
        <v>41091</v>
      </c>
      <c r="E96" s="135">
        <v>4.1021658621736803</v>
      </c>
    </row>
    <row r="97" spans="1:5" hidden="1" x14ac:dyDescent="0.2">
      <c r="A97" s="132">
        <v>646</v>
      </c>
      <c r="B97" s="133" t="str">
        <f>VLOOKUP('T7. UN Households'!$A97,ISO2TLC[],3,FALSE)</f>
        <v>RWA</v>
      </c>
      <c r="C97" s="133" t="s">
        <v>2620</v>
      </c>
      <c r="D97" s="134">
        <v>41091</v>
      </c>
      <c r="E97" s="136">
        <v>4.2797763039929899</v>
      </c>
    </row>
    <row r="98" spans="1:5" hidden="1" x14ac:dyDescent="0.2">
      <c r="A98" s="129">
        <v>646</v>
      </c>
      <c r="B98" s="130" t="str">
        <f>VLOOKUP('T7. UN Households'!$A98,ISO2TLC[],3,FALSE)</f>
        <v>RWA</v>
      </c>
      <c r="C98" s="130" t="s">
        <v>2621</v>
      </c>
      <c r="D98" s="131">
        <v>41091</v>
      </c>
      <c r="E98" s="135">
        <v>4.2826227723221502</v>
      </c>
    </row>
    <row r="99" spans="1:5" x14ac:dyDescent="0.2">
      <c r="A99" s="132">
        <v>678</v>
      </c>
      <c r="B99" s="133"/>
      <c r="C99" s="133" t="s">
        <v>2620</v>
      </c>
      <c r="D99" s="134">
        <v>41091</v>
      </c>
      <c r="E99" s="136"/>
    </row>
    <row r="100" spans="1:5" hidden="1" x14ac:dyDescent="0.2">
      <c r="A100" s="129">
        <v>834</v>
      </c>
      <c r="B100" s="130" t="str">
        <f>VLOOKUP('T7. UN Households'!$A100,ISO2TLC[],3,FALSE)</f>
        <v>TZA</v>
      </c>
      <c r="C100" s="130" t="s">
        <v>2621</v>
      </c>
      <c r="D100" s="131">
        <v>41091</v>
      </c>
      <c r="E100" s="135">
        <v>4.7449604203710702</v>
      </c>
    </row>
    <row r="101" spans="1:5" hidden="1" x14ac:dyDescent="0.2">
      <c r="A101" s="132">
        <v>716</v>
      </c>
      <c r="B101" s="133" t="str">
        <f>VLOOKUP('T7. UN Households'!$A101,ISO2TLC[],3,FALSE)</f>
        <v>ZWE</v>
      </c>
      <c r="C101" s="133" t="s">
        <v>2621</v>
      </c>
      <c r="D101" s="134">
        <v>41091</v>
      </c>
      <c r="E101" s="136">
        <v>4.0374887758156204</v>
      </c>
    </row>
    <row r="102" spans="1:5" hidden="1" x14ac:dyDescent="0.2">
      <c r="A102" s="129">
        <v>360</v>
      </c>
      <c r="B102" s="130" t="str">
        <f>VLOOKUP('T7. UN Households'!$A102,ISO2TLC[],3,FALSE)</f>
        <v>IDN</v>
      </c>
      <c r="C102" s="130" t="s">
        <v>2619</v>
      </c>
      <c r="D102" s="131">
        <v>41090</v>
      </c>
      <c r="E102" s="135">
        <v>3.9922815471164199</v>
      </c>
    </row>
    <row r="103" spans="1:5" hidden="1" x14ac:dyDescent="0.2">
      <c r="A103" s="132">
        <v>562</v>
      </c>
      <c r="B103" s="133" t="str">
        <f>VLOOKUP('T7. UN Households'!$A103,ISO2TLC[],3,FALSE)</f>
        <v>NER</v>
      </c>
      <c r="C103" s="133" t="s">
        <v>2619</v>
      </c>
      <c r="D103" s="134">
        <v>41023</v>
      </c>
      <c r="E103" s="136">
        <v>5.91684917249255</v>
      </c>
    </row>
    <row r="104" spans="1:5" hidden="1" x14ac:dyDescent="0.2">
      <c r="A104" s="129">
        <v>332</v>
      </c>
      <c r="B104" s="130" t="str">
        <f>VLOOKUP('T7. UN Households'!$A104,ISO2TLC[],3,FALSE)</f>
        <v>HTI</v>
      </c>
      <c r="C104" s="130" t="s">
        <v>2619</v>
      </c>
      <c r="D104" s="131">
        <v>41005</v>
      </c>
      <c r="E104" s="135">
        <v>4.4284968415282302</v>
      </c>
    </row>
    <row r="105" spans="1:5" hidden="1" x14ac:dyDescent="0.2">
      <c r="A105" s="132">
        <v>266</v>
      </c>
      <c r="B105" s="133" t="str">
        <f>VLOOKUP('T7. UN Households'!$A105,ISO2TLC[],3,FALSE)</f>
        <v>GAB</v>
      </c>
      <c r="C105" s="133" t="s">
        <v>2619</v>
      </c>
      <c r="D105" s="134">
        <v>40976</v>
      </c>
      <c r="E105" s="136">
        <v>4.0975978134522197</v>
      </c>
    </row>
    <row r="106" spans="1:5" hidden="1" x14ac:dyDescent="0.2">
      <c r="A106" s="129">
        <v>384</v>
      </c>
      <c r="B106" s="130" t="str">
        <f>VLOOKUP('T7. UN Households'!$A106,ISO2TLC[],3,FALSE)</f>
        <v>CIV</v>
      </c>
      <c r="C106" s="130" t="s">
        <v>2619</v>
      </c>
      <c r="D106" s="131">
        <v>40970</v>
      </c>
      <c r="E106" s="135">
        <v>5.0900631110499699</v>
      </c>
    </row>
    <row r="107" spans="1:5" hidden="1" x14ac:dyDescent="0.2">
      <c r="A107" s="132">
        <v>834</v>
      </c>
      <c r="B107" s="133" t="str">
        <f>VLOOKUP('T7. UN Households'!$A107,ISO2TLC[],3,FALSE)</f>
        <v>TZA</v>
      </c>
      <c r="C107" s="133" t="s">
        <v>2619</v>
      </c>
      <c r="D107" s="134">
        <v>40968</v>
      </c>
      <c r="E107" s="136">
        <v>5.1245374488952704</v>
      </c>
    </row>
    <row r="108" spans="1:5" hidden="1" x14ac:dyDescent="0.2">
      <c r="A108" s="129">
        <v>340</v>
      </c>
      <c r="B108" s="130" t="str">
        <f>VLOOKUP('T7. UN Households'!$A108,ISO2TLC[],3,FALSE)</f>
        <v>HND</v>
      </c>
      <c r="C108" s="130" t="s">
        <v>2619</v>
      </c>
      <c r="D108" s="131">
        <v>40960</v>
      </c>
      <c r="E108" s="135">
        <v>4.4674915344187101</v>
      </c>
    </row>
    <row r="109" spans="1:5" hidden="1" x14ac:dyDescent="0.2">
      <c r="A109" s="132">
        <v>204</v>
      </c>
      <c r="B109" s="133" t="str">
        <f>VLOOKUP('T7. UN Households'!$A109,ISO2TLC[],3,FALSE)</f>
        <v>BEN</v>
      </c>
      <c r="C109" s="133" t="s">
        <v>2619</v>
      </c>
      <c r="D109" s="134">
        <v>40956</v>
      </c>
      <c r="E109" s="136">
        <v>4.9611351413992599</v>
      </c>
    </row>
    <row r="110" spans="1:5" hidden="1" x14ac:dyDescent="0.2">
      <c r="A110" s="129">
        <v>178</v>
      </c>
      <c r="B110" s="130" t="str">
        <f>VLOOKUP('T7. UN Households'!$A110,ISO2TLC[],3,FALSE)</f>
        <v>COG</v>
      </c>
      <c r="C110" s="130" t="s">
        <v>2619</v>
      </c>
      <c r="D110" s="131">
        <v>40873</v>
      </c>
      <c r="E110" s="135">
        <v>4.3074023816909</v>
      </c>
    </row>
    <row r="111" spans="1:5" hidden="1" x14ac:dyDescent="0.2">
      <c r="A111" s="132">
        <v>430</v>
      </c>
      <c r="B111" s="133" t="str">
        <f>VLOOKUP('T7. UN Households'!$A111,ISO2TLC[],3,FALSE)</f>
        <v>LBR</v>
      </c>
      <c r="C111" s="133" t="s">
        <v>2619</v>
      </c>
      <c r="D111" s="134">
        <v>40846</v>
      </c>
      <c r="E111" s="136">
        <v>4.5049406877017697</v>
      </c>
    </row>
    <row r="112" spans="1:5" hidden="1" x14ac:dyDescent="0.2">
      <c r="A112" s="129">
        <v>50</v>
      </c>
      <c r="B112" s="130" t="str">
        <f>VLOOKUP('T7. UN Households'!$A112,ISO2TLC[],3,FALSE)</f>
        <v>BGD</v>
      </c>
      <c r="C112" s="130" t="s">
        <v>2619</v>
      </c>
      <c r="D112" s="131">
        <v>40820</v>
      </c>
      <c r="E112" s="135">
        <v>4.6039834191062896</v>
      </c>
    </row>
    <row r="113" spans="1:5" hidden="1" x14ac:dyDescent="0.2">
      <c r="A113" s="132">
        <v>800</v>
      </c>
      <c r="B113" s="133" t="str">
        <f>VLOOKUP('T7. UN Households'!$A113,ISO2TLC[],3,FALSE)</f>
        <v>UGA</v>
      </c>
      <c r="C113" s="133" t="s">
        <v>2619</v>
      </c>
      <c r="D113" s="134">
        <v>40799</v>
      </c>
      <c r="E113" s="136">
        <v>4.9020237717230302</v>
      </c>
    </row>
    <row r="114" spans="1:5" hidden="1" x14ac:dyDescent="0.2">
      <c r="A114" s="129">
        <v>508</v>
      </c>
      <c r="B114" s="130" t="str">
        <f>VLOOKUP('T7. UN Households'!$A114,ISO2TLC[],3,FALSE)</f>
        <v>MOZ</v>
      </c>
      <c r="C114" s="130" t="s">
        <v>2619</v>
      </c>
      <c r="D114" s="131">
        <v>40784</v>
      </c>
      <c r="E114" s="135">
        <v>4.3663628454440397</v>
      </c>
    </row>
    <row r="115" spans="1:5" hidden="1" x14ac:dyDescent="0.2">
      <c r="A115" s="132">
        <v>604</v>
      </c>
      <c r="B115" s="133" t="str">
        <f>VLOOKUP('T7. UN Households'!$A115,ISO2TLC[],3,FALSE)</f>
        <v>PER</v>
      </c>
      <c r="C115" s="133" t="s">
        <v>2619</v>
      </c>
      <c r="D115" s="134">
        <v>40739</v>
      </c>
      <c r="E115" s="136">
        <v>3.7085520321277401</v>
      </c>
    </row>
    <row r="116" spans="1:5" hidden="1" x14ac:dyDescent="0.2">
      <c r="A116" s="129">
        <v>8</v>
      </c>
      <c r="B116" s="130" t="str">
        <f>VLOOKUP('T7. UN Households'!$A116,ISO2TLC[],3,FALSE)</f>
        <v>ALB</v>
      </c>
      <c r="C116" s="130" t="s">
        <v>2620</v>
      </c>
      <c r="D116" s="131">
        <v>40725</v>
      </c>
      <c r="E116" s="135">
        <v>3.85530320022374</v>
      </c>
    </row>
    <row r="117" spans="1:5" hidden="1" x14ac:dyDescent="0.2">
      <c r="A117" s="132">
        <v>51</v>
      </c>
      <c r="B117" s="133" t="str">
        <f>VLOOKUP('T7. UN Households'!$A117,ISO2TLC[],3,FALSE)</f>
        <v>ARM</v>
      </c>
      <c r="C117" s="133" t="s">
        <v>2620</v>
      </c>
      <c r="D117" s="134">
        <v>40725</v>
      </c>
      <c r="E117" s="136">
        <v>3.95625758461349</v>
      </c>
    </row>
    <row r="118" spans="1:5" hidden="1" x14ac:dyDescent="0.2">
      <c r="A118" s="129">
        <v>51</v>
      </c>
      <c r="B118" s="130" t="str">
        <f>VLOOKUP('T7. UN Households'!$A118,ISO2TLC[],3,FALSE)</f>
        <v>ARM</v>
      </c>
      <c r="C118" s="130" t="s">
        <v>2621</v>
      </c>
      <c r="D118" s="131">
        <v>40725</v>
      </c>
      <c r="E118" s="135">
        <v>4.0094705661479404</v>
      </c>
    </row>
    <row r="119" spans="1:5" hidden="1" x14ac:dyDescent="0.2">
      <c r="A119" s="132">
        <v>36</v>
      </c>
      <c r="B119" s="133" t="str">
        <f>VLOOKUP('T7. UN Households'!$A119,ISO2TLC[],3,FALSE)</f>
        <v>AUS</v>
      </c>
      <c r="C119" s="133" t="s">
        <v>2620</v>
      </c>
      <c r="D119" s="134">
        <v>40725</v>
      </c>
      <c r="E119" s="136">
        <v>2.5047361436806401</v>
      </c>
    </row>
    <row r="120" spans="1:5" hidden="1" x14ac:dyDescent="0.2">
      <c r="A120" s="129">
        <v>40</v>
      </c>
      <c r="B120" s="130" t="str">
        <f>VLOOKUP('T7. UN Households'!$A120,ISO2TLC[],3,FALSE)</f>
        <v>AUT</v>
      </c>
      <c r="C120" s="130" t="s">
        <v>2620</v>
      </c>
      <c r="D120" s="131">
        <v>40725</v>
      </c>
      <c r="E120" s="135">
        <v>2.2679986813942001</v>
      </c>
    </row>
    <row r="121" spans="1:5" hidden="1" x14ac:dyDescent="0.2">
      <c r="A121" s="132">
        <v>40</v>
      </c>
      <c r="B121" s="133" t="str">
        <f>VLOOKUP('T7. UN Households'!$A121,ISO2TLC[],3,FALSE)</f>
        <v>AUT</v>
      </c>
      <c r="C121" s="133" t="s">
        <v>2621</v>
      </c>
      <c r="D121" s="134">
        <v>40725</v>
      </c>
      <c r="E121" s="136">
        <v>2.2651250476104399</v>
      </c>
    </row>
    <row r="122" spans="1:5" hidden="1" x14ac:dyDescent="0.2">
      <c r="A122" s="129">
        <v>40</v>
      </c>
      <c r="B122" s="130" t="str">
        <f>VLOOKUP('T7. UN Households'!$A122,ISO2TLC[],3,FALSE)</f>
        <v>AUT</v>
      </c>
      <c r="C122" s="130" t="s">
        <v>2622</v>
      </c>
      <c r="D122" s="131">
        <v>40725</v>
      </c>
      <c r="E122" s="135">
        <v>2.2715332969428701</v>
      </c>
    </row>
    <row r="123" spans="1:5" x14ac:dyDescent="0.2">
      <c r="A123" s="132">
        <v>50</v>
      </c>
      <c r="B123" s="133"/>
      <c r="C123" s="133" t="s">
        <v>2620</v>
      </c>
      <c r="D123" s="134">
        <v>40725</v>
      </c>
      <c r="E123" s="136"/>
    </row>
    <row r="124" spans="1:5" hidden="1" x14ac:dyDescent="0.2">
      <c r="A124" s="129">
        <v>50</v>
      </c>
      <c r="B124" s="130" t="str">
        <f>VLOOKUP('T7. UN Households'!$A124,ISO2TLC[],3,FALSE)</f>
        <v>BGD</v>
      </c>
      <c r="C124" s="130" t="s">
        <v>2621</v>
      </c>
      <c r="D124" s="131">
        <v>40725</v>
      </c>
      <c r="E124" s="135">
        <v>4.4435163517247496</v>
      </c>
    </row>
    <row r="125" spans="1:5" hidden="1" x14ac:dyDescent="0.2">
      <c r="A125" s="132">
        <v>56</v>
      </c>
      <c r="B125" s="133" t="str">
        <f>VLOOKUP('T7. UN Households'!$A125,ISO2TLC[],3,FALSE)</f>
        <v>BEL</v>
      </c>
      <c r="C125" s="133" t="s">
        <v>2620</v>
      </c>
      <c r="D125" s="134">
        <v>40725</v>
      </c>
      <c r="E125" s="136">
        <v>2.3234556991274</v>
      </c>
    </row>
    <row r="126" spans="1:5" hidden="1" x14ac:dyDescent="0.2">
      <c r="A126" s="129">
        <v>56</v>
      </c>
      <c r="B126" s="130" t="str">
        <f>VLOOKUP('T7. UN Households'!$A126,ISO2TLC[],3,FALSE)</f>
        <v>BEL</v>
      </c>
      <c r="C126" s="130" t="s">
        <v>2622</v>
      </c>
      <c r="D126" s="131">
        <v>40725</v>
      </c>
      <c r="E126" s="135">
        <v>2.3629168933303801</v>
      </c>
    </row>
    <row r="127" spans="1:5" x14ac:dyDescent="0.2">
      <c r="A127" s="132">
        <v>72</v>
      </c>
      <c r="B127" s="133"/>
      <c r="C127" s="133" t="s">
        <v>2620</v>
      </c>
      <c r="D127" s="134">
        <v>40725</v>
      </c>
      <c r="E127" s="136"/>
    </row>
    <row r="128" spans="1:5" hidden="1" x14ac:dyDescent="0.2">
      <c r="A128" s="129">
        <v>72</v>
      </c>
      <c r="B128" s="130" t="str">
        <f>VLOOKUP('T7. UN Households'!$A128,ISO2TLC[],3,FALSE)</f>
        <v>BWA</v>
      </c>
      <c r="C128" s="130" t="s">
        <v>2621</v>
      </c>
      <c r="D128" s="131">
        <v>40725</v>
      </c>
      <c r="E128" s="135">
        <v>3.5240230156281198</v>
      </c>
    </row>
    <row r="129" spans="1:5" x14ac:dyDescent="0.2">
      <c r="A129" s="132">
        <v>96</v>
      </c>
      <c r="B129" s="133"/>
      <c r="C129" s="133" t="s">
        <v>2620</v>
      </c>
      <c r="D129" s="134">
        <v>40725</v>
      </c>
      <c r="E129" s="136"/>
    </row>
    <row r="130" spans="1:5" x14ac:dyDescent="0.2">
      <c r="A130" s="129">
        <v>100</v>
      </c>
      <c r="B130" s="130"/>
      <c r="C130" s="130" t="s">
        <v>2620</v>
      </c>
      <c r="D130" s="131">
        <v>40725</v>
      </c>
      <c r="E130" s="135"/>
    </row>
    <row r="131" spans="1:5" hidden="1" x14ac:dyDescent="0.2">
      <c r="A131" s="132">
        <v>100</v>
      </c>
      <c r="B131" s="133" t="str">
        <f>VLOOKUP('T7. UN Households'!$A131,ISO2TLC[],3,FALSE)</f>
        <v>BGR</v>
      </c>
      <c r="C131" s="133" t="s">
        <v>2622</v>
      </c>
      <c r="D131" s="134">
        <v>40725</v>
      </c>
      <c r="E131" s="136">
        <v>2.3376248794905599</v>
      </c>
    </row>
    <row r="132" spans="1:5" hidden="1" x14ac:dyDescent="0.2">
      <c r="A132" s="129">
        <v>124</v>
      </c>
      <c r="B132" s="130" t="str">
        <f>VLOOKUP('T7. UN Households'!$A132,ISO2TLC[],3,FALSE)</f>
        <v>CAN</v>
      </c>
      <c r="C132" s="130" t="s">
        <v>2620</v>
      </c>
      <c r="D132" s="131">
        <v>40725</v>
      </c>
      <c r="E132" s="135">
        <v>2.4666280297974299</v>
      </c>
    </row>
    <row r="133" spans="1:5" hidden="1" x14ac:dyDescent="0.2">
      <c r="A133" s="132">
        <v>124</v>
      </c>
      <c r="B133" s="133" t="str">
        <f>VLOOKUP('T7. UN Households'!$A133,ISO2TLC[],3,FALSE)</f>
        <v>CAN</v>
      </c>
      <c r="C133" s="133" t="s">
        <v>2621</v>
      </c>
      <c r="D133" s="134">
        <v>40725</v>
      </c>
      <c r="E133" s="136">
        <v>2.4662916037353102</v>
      </c>
    </row>
    <row r="134" spans="1:5" hidden="1" x14ac:dyDescent="0.2">
      <c r="A134" s="129">
        <v>344</v>
      </c>
      <c r="B134" s="130" t="str">
        <f>VLOOKUP('T7. UN Households'!$A134,ISO2TLC[],3,FALSE)</f>
        <v>HKG</v>
      </c>
      <c r="C134" s="130" t="s">
        <v>2620</v>
      </c>
      <c r="D134" s="131">
        <v>40725</v>
      </c>
      <c r="E134" s="135">
        <v>2.9093509951891199</v>
      </c>
    </row>
    <row r="135" spans="1:5" hidden="1" x14ac:dyDescent="0.2">
      <c r="A135" s="132">
        <v>446</v>
      </c>
      <c r="B135" s="133" t="str">
        <f>VLOOKUP('T7. UN Households'!$A135,ISO2TLC[],3,FALSE)</f>
        <v>MAC</v>
      </c>
      <c r="C135" s="133" t="s">
        <v>2620</v>
      </c>
      <c r="D135" s="134">
        <v>40725</v>
      </c>
      <c r="E135" s="136">
        <v>3.0792649719796898</v>
      </c>
    </row>
    <row r="136" spans="1:5" x14ac:dyDescent="0.2">
      <c r="A136" s="129">
        <v>184</v>
      </c>
      <c r="B136" s="130"/>
      <c r="C136" s="130" t="s">
        <v>2620</v>
      </c>
      <c r="D136" s="131">
        <v>40725</v>
      </c>
      <c r="E136" s="135"/>
    </row>
    <row r="137" spans="1:5" hidden="1" x14ac:dyDescent="0.2">
      <c r="A137" s="132">
        <v>188</v>
      </c>
      <c r="B137" s="133" t="str">
        <f>VLOOKUP('T7. UN Households'!$A137,ISO2TLC[],3,FALSE)</f>
        <v>CRI</v>
      </c>
      <c r="C137" s="133" t="s">
        <v>2620</v>
      </c>
      <c r="D137" s="134">
        <v>40725</v>
      </c>
      <c r="E137" s="136">
        <v>3.4565365191542998</v>
      </c>
    </row>
    <row r="138" spans="1:5" hidden="1" x14ac:dyDescent="0.2">
      <c r="A138" s="129">
        <v>188</v>
      </c>
      <c r="B138" s="130" t="str">
        <f>VLOOKUP('T7. UN Households'!$A138,ISO2TLC[],3,FALSE)</f>
        <v>CRI</v>
      </c>
      <c r="C138" s="130" t="s">
        <v>2621</v>
      </c>
      <c r="D138" s="131">
        <v>40725</v>
      </c>
      <c r="E138" s="135">
        <v>3.46142664480857</v>
      </c>
    </row>
    <row r="139" spans="1:5" hidden="1" x14ac:dyDescent="0.2">
      <c r="A139" s="132">
        <v>191</v>
      </c>
      <c r="B139" s="133" t="str">
        <f>VLOOKUP('T7. UN Households'!$A139,ISO2TLC[],3,FALSE)</f>
        <v>HRV</v>
      </c>
      <c r="C139" s="133" t="s">
        <v>2620</v>
      </c>
      <c r="D139" s="134">
        <v>40725</v>
      </c>
      <c r="E139" s="136">
        <v>2.79539616520456</v>
      </c>
    </row>
    <row r="140" spans="1:5" hidden="1" x14ac:dyDescent="0.2">
      <c r="A140" s="129">
        <v>196</v>
      </c>
      <c r="B140" s="130" t="str">
        <f>VLOOKUP('T7. UN Households'!$A140,ISO2TLC[],3,FALSE)</f>
        <v>CYP</v>
      </c>
      <c r="C140" s="130" t="s">
        <v>2620</v>
      </c>
      <c r="D140" s="131">
        <v>40725</v>
      </c>
      <c r="E140" s="135">
        <v>2.7587405438560602</v>
      </c>
    </row>
    <row r="141" spans="1:5" hidden="1" x14ac:dyDescent="0.2">
      <c r="A141" s="132">
        <v>196</v>
      </c>
      <c r="B141" s="133" t="str">
        <f>VLOOKUP('T7. UN Households'!$A141,ISO2TLC[],3,FALSE)</f>
        <v>CYP</v>
      </c>
      <c r="C141" s="133" t="s">
        <v>2622</v>
      </c>
      <c r="D141" s="134">
        <v>40725</v>
      </c>
      <c r="E141" s="136">
        <v>2.74729241249358</v>
      </c>
    </row>
    <row r="142" spans="1:5" hidden="1" x14ac:dyDescent="0.2">
      <c r="A142" s="129">
        <v>203</v>
      </c>
      <c r="B142" s="130" t="str">
        <f>VLOOKUP('T7. UN Households'!$A142,ISO2TLC[],3,FALSE)</f>
        <v>CZE</v>
      </c>
      <c r="C142" s="130" t="s">
        <v>2620</v>
      </c>
      <c r="D142" s="131">
        <v>40725</v>
      </c>
      <c r="E142" s="135">
        <v>2.34028102530627</v>
      </c>
    </row>
    <row r="143" spans="1:5" hidden="1" x14ac:dyDescent="0.2">
      <c r="A143" s="132">
        <v>203</v>
      </c>
      <c r="B143" s="133" t="str">
        <f>VLOOKUP('T7. UN Households'!$A143,ISO2TLC[],3,FALSE)</f>
        <v>CZE</v>
      </c>
      <c r="C143" s="133" t="s">
        <v>2622</v>
      </c>
      <c r="D143" s="134">
        <v>40725</v>
      </c>
      <c r="E143" s="136">
        <v>2.3958593689795098</v>
      </c>
    </row>
    <row r="144" spans="1:5" hidden="1" x14ac:dyDescent="0.2">
      <c r="A144" s="129">
        <v>233</v>
      </c>
      <c r="B144" s="130" t="str">
        <f>VLOOKUP('T7. UN Households'!$A144,ISO2TLC[],3,FALSE)</f>
        <v>EST</v>
      </c>
      <c r="C144" s="130" t="s">
        <v>2622</v>
      </c>
      <c r="D144" s="131">
        <v>40725</v>
      </c>
      <c r="E144" s="135">
        <v>2.2975175724185601</v>
      </c>
    </row>
    <row r="145" spans="1:5" hidden="1" x14ac:dyDescent="0.2">
      <c r="A145" s="132">
        <v>250</v>
      </c>
      <c r="B145" s="133" t="str">
        <f>VLOOKUP('T7. UN Households'!$A145,ISO2TLC[],3,FALSE)</f>
        <v>FRA</v>
      </c>
      <c r="C145" s="133" t="s">
        <v>2621</v>
      </c>
      <c r="D145" s="134">
        <v>40725</v>
      </c>
      <c r="E145" s="136">
        <v>2.2628282394029502</v>
      </c>
    </row>
    <row r="146" spans="1:5" hidden="1" x14ac:dyDescent="0.2">
      <c r="A146" s="129">
        <v>250</v>
      </c>
      <c r="B146" s="130" t="str">
        <f>VLOOKUP('T7. UN Households'!$A146,ISO2TLC[],3,FALSE)</f>
        <v>FRA</v>
      </c>
      <c r="C146" s="130" t="s">
        <v>2622</v>
      </c>
      <c r="D146" s="131">
        <v>40725</v>
      </c>
      <c r="E146" s="135">
        <v>2.2505642781582602</v>
      </c>
    </row>
    <row r="147" spans="1:5" hidden="1" x14ac:dyDescent="0.2">
      <c r="A147" s="132">
        <v>276</v>
      </c>
      <c r="B147" s="133" t="str">
        <f>VLOOKUP('T7. UN Households'!$A147,ISO2TLC[],3,FALSE)</f>
        <v>DEU</v>
      </c>
      <c r="C147" s="133" t="s">
        <v>2620</v>
      </c>
      <c r="D147" s="134">
        <v>40725</v>
      </c>
      <c r="E147" s="136">
        <v>2.13881151612819</v>
      </c>
    </row>
    <row r="148" spans="1:5" hidden="1" x14ac:dyDescent="0.2">
      <c r="A148" s="129">
        <v>276</v>
      </c>
      <c r="B148" s="130" t="str">
        <f>VLOOKUP('T7. UN Households'!$A148,ISO2TLC[],3,FALSE)</f>
        <v>DEU</v>
      </c>
      <c r="C148" s="130" t="s">
        <v>2622</v>
      </c>
      <c r="D148" s="131">
        <v>40725</v>
      </c>
      <c r="E148" s="135">
        <v>2.0461033563410398</v>
      </c>
    </row>
    <row r="149" spans="1:5" hidden="1" x14ac:dyDescent="0.2">
      <c r="A149" s="132">
        <v>300</v>
      </c>
      <c r="B149" s="133" t="str">
        <f>VLOOKUP('T7. UN Households'!$A149,ISO2TLC[],3,FALSE)</f>
        <v>GRC</v>
      </c>
      <c r="C149" s="133" t="s">
        <v>2621</v>
      </c>
      <c r="D149" s="134">
        <v>40725</v>
      </c>
      <c r="E149" s="136">
        <v>2.5554993905152599</v>
      </c>
    </row>
    <row r="150" spans="1:5" hidden="1" x14ac:dyDescent="0.2">
      <c r="A150" s="129">
        <v>300</v>
      </c>
      <c r="B150" s="130" t="str">
        <f>VLOOKUP('T7. UN Households'!$A150,ISO2TLC[],3,FALSE)</f>
        <v>GRC</v>
      </c>
      <c r="C150" s="130" t="s">
        <v>2622</v>
      </c>
      <c r="D150" s="131">
        <v>40725</v>
      </c>
      <c r="E150" s="135">
        <v>2.4404562058162802</v>
      </c>
    </row>
    <row r="151" spans="1:5" hidden="1" x14ac:dyDescent="0.2">
      <c r="A151" s="132">
        <v>348</v>
      </c>
      <c r="B151" s="133" t="str">
        <f>VLOOKUP('T7. UN Households'!$A151,ISO2TLC[],3,FALSE)</f>
        <v>HUN</v>
      </c>
      <c r="C151" s="133" t="s">
        <v>2620</v>
      </c>
      <c r="D151" s="134">
        <v>40725</v>
      </c>
      <c r="E151" s="136">
        <v>2.3618822868065599</v>
      </c>
    </row>
    <row r="152" spans="1:5" hidden="1" x14ac:dyDescent="0.2">
      <c r="A152" s="129">
        <v>348</v>
      </c>
      <c r="B152" s="130" t="str">
        <f>VLOOKUP('T7. UN Households'!$A152,ISO2TLC[],3,FALSE)</f>
        <v>HUN</v>
      </c>
      <c r="C152" s="130" t="s">
        <v>2621</v>
      </c>
      <c r="D152" s="131">
        <v>40725</v>
      </c>
      <c r="E152" s="135">
        <v>2.3600954282097502</v>
      </c>
    </row>
    <row r="153" spans="1:5" hidden="1" x14ac:dyDescent="0.2">
      <c r="A153" s="132">
        <v>348</v>
      </c>
      <c r="B153" s="133" t="str">
        <f>VLOOKUP('T7. UN Households'!$A153,ISO2TLC[],3,FALSE)</f>
        <v>HUN</v>
      </c>
      <c r="C153" s="133" t="s">
        <v>2622</v>
      </c>
      <c r="D153" s="134">
        <v>40725</v>
      </c>
      <c r="E153" s="136">
        <v>2.6031241545551098</v>
      </c>
    </row>
    <row r="154" spans="1:5" hidden="1" x14ac:dyDescent="0.2">
      <c r="A154" s="129">
        <v>364</v>
      </c>
      <c r="B154" s="130" t="str">
        <f>VLOOKUP('T7. UN Households'!$A154,ISO2TLC[],3,FALSE)</f>
        <v>IRN</v>
      </c>
      <c r="C154" s="130" t="s">
        <v>2620</v>
      </c>
      <c r="D154" s="131">
        <v>40725</v>
      </c>
      <c r="E154" s="135">
        <v>3.5061556389927802</v>
      </c>
    </row>
    <row r="155" spans="1:5" hidden="1" x14ac:dyDescent="0.2">
      <c r="A155" s="132">
        <v>364</v>
      </c>
      <c r="B155" s="133" t="str">
        <f>VLOOKUP('T7. UN Households'!$A155,ISO2TLC[],3,FALSE)</f>
        <v>IRN</v>
      </c>
      <c r="C155" s="133" t="s">
        <v>2621</v>
      </c>
      <c r="D155" s="134">
        <v>40725</v>
      </c>
      <c r="E155" s="136">
        <v>3.4929601052144399</v>
      </c>
    </row>
    <row r="156" spans="1:5" hidden="1" x14ac:dyDescent="0.2">
      <c r="A156" s="129">
        <v>372</v>
      </c>
      <c r="B156" s="130" t="str">
        <f>VLOOKUP('T7. UN Households'!$A156,ISO2TLC[],3,FALSE)</f>
        <v>IRL</v>
      </c>
      <c r="C156" s="130" t="s">
        <v>2620</v>
      </c>
      <c r="D156" s="131">
        <v>40725</v>
      </c>
      <c r="E156" s="135">
        <v>2.7266274857817199</v>
      </c>
    </row>
    <row r="157" spans="1:5" hidden="1" x14ac:dyDescent="0.2">
      <c r="A157" s="132">
        <v>372</v>
      </c>
      <c r="B157" s="133" t="str">
        <f>VLOOKUP('T7. UN Households'!$A157,ISO2TLC[],3,FALSE)</f>
        <v>IRL</v>
      </c>
      <c r="C157" s="133" t="s">
        <v>2621</v>
      </c>
      <c r="D157" s="134">
        <v>40725</v>
      </c>
      <c r="E157" s="136">
        <v>2.81323141323141</v>
      </c>
    </row>
    <row r="158" spans="1:5" hidden="1" x14ac:dyDescent="0.2">
      <c r="A158" s="129">
        <v>372</v>
      </c>
      <c r="B158" s="130" t="str">
        <f>VLOOKUP('T7. UN Households'!$A158,ISO2TLC[],3,FALSE)</f>
        <v>IRL</v>
      </c>
      <c r="C158" s="130" t="s">
        <v>2622</v>
      </c>
      <c r="D158" s="131">
        <v>40725</v>
      </c>
      <c r="E158" s="135">
        <v>2.7664192088682</v>
      </c>
    </row>
    <row r="159" spans="1:5" hidden="1" x14ac:dyDescent="0.2">
      <c r="A159" s="132">
        <v>380</v>
      </c>
      <c r="B159" s="133" t="str">
        <f>VLOOKUP('T7. UN Households'!$A159,ISO2TLC[],3,FALSE)</f>
        <v>ITA</v>
      </c>
      <c r="C159" s="133" t="s">
        <v>2620</v>
      </c>
      <c r="D159" s="134">
        <v>40725</v>
      </c>
      <c r="E159" s="136">
        <v>2.4025925242422699</v>
      </c>
    </row>
    <row r="160" spans="1:5" hidden="1" x14ac:dyDescent="0.2">
      <c r="A160" s="129">
        <v>380</v>
      </c>
      <c r="B160" s="130" t="str">
        <f>VLOOKUP('T7. UN Households'!$A160,ISO2TLC[],3,FALSE)</f>
        <v>ITA</v>
      </c>
      <c r="C160" s="130" t="s">
        <v>2621</v>
      </c>
      <c r="D160" s="131">
        <v>40725</v>
      </c>
      <c r="E160" s="135">
        <v>2.40475883814505</v>
      </c>
    </row>
    <row r="161" spans="1:5" hidden="1" x14ac:dyDescent="0.2">
      <c r="A161" s="132">
        <v>380</v>
      </c>
      <c r="B161" s="133" t="str">
        <f>VLOOKUP('T7. UN Households'!$A161,ISO2TLC[],3,FALSE)</f>
        <v>ITA</v>
      </c>
      <c r="C161" s="133" t="s">
        <v>2622</v>
      </c>
      <c r="D161" s="134">
        <v>40725</v>
      </c>
      <c r="E161" s="136">
        <v>2.3991310216877202</v>
      </c>
    </row>
    <row r="162" spans="1:5" hidden="1" x14ac:dyDescent="0.2">
      <c r="A162" s="129">
        <v>388</v>
      </c>
      <c r="B162" s="130" t="str">
        <f>VLOOKUP('T7. UN Households'!$A162,ISO2TLC[],3,FALSE)</f>
        <v>JAM</v>
      </c>
      <c r="C162" s="130" t="s">
        <v>2620</v>
      </c>
      <c r="D162" s="131">
        <v>40725</v>
      </c>
      <c r="E162" s="135">
        <v>3.0609228516814899</v>
      </c>
    </row>
    <row r="163" spans="1:5" hidden="1" x14ac:dyDescent="0.2">
      <c r="A163" s="132">
        <v>428</v>
      </c>
      <c r="B163" s="133" t="str">
        <f>VLOOKUP('T7. UN Households'!$A163,ISO2TLC[],3,FALSE)</f>
        <v>LVA</v>
      </c>
      <c r="C163" s="133" t="s">
        <v>2620</v>
      </c>
      <c r="D163" s="134">
        <v>40725</v>
      </c>
      <c r="E163" s="136">
        <v>2.37726020355352</v>
      </c>
    </row>
    <row r="164" spans="1:5" hidden="1" x14ac:dyDescent="0.2">
      <c r="A164" s="129">
        <v>428</v>
      </c>
      <c r="B164" s="130" t="str">
        <f>VLOOKUP('T7. UN Households'!$A164,ISO2TLC[],3,FALSE)</f>
        <v>LVA</v>
      </c>
      <c r="C164" s="130" t="s">
        <v>2622</v>
      </c>
      <c r="D164" s="131">
        <v>40725</v>
      </c>
      <c r="E164" s="135">
        <v>2.5780527269567299</v>
      </c>
    </row>
    <row r="165" spans="1:5" hidden="1" x14ac:dyDescent="0.2">
      <c r="A165" s="132">
        <v>440</v>
      </c>
      <c r="B165" s="133" t="str">
        <f>VLOOKUP('T7. UN Households'!$A165,ISO2TLC[],3,FALSE)</f>
        <v>LTU</v>
      </c>
      <c r="C165" s="133" t="s">
        <v>2620</v>
      </c>
      <c r="D165" s="134">
        <v>40725</v>
      </c>
      <c r="E165" s="136">
        <v>2.3825265363966102</v>
      </c>
    </row>
    <row r="166" spans="1:5" hidden="1" x14ac:dyDescent="0.2">
      <c r="A166" s="129">
        <v>440</v>
      </c>
      <c r="B166" s="130" t="str">
        <f>VLOOKUP('T7. UN Households'!$A166,ISO2TLC[],3,FALSE)</f>
        <v>LTU</v>
      </c>
      <c r="C166" s="130" t="s">
        <v>2622</v>
      </c>
      <c r="D166" s="131">
        <v>40725</v>
      </c>
      <c r="E166" s="135">
        <v>2.3205831989664398</v>
      </c>
    </row>
    <row r="167" spans="1:5" hidden="1" x14ac:dyDescent="0.2">
      <c r="A167" s="132">
        <v>442</v>
      </c>
      <c r="B167" s="133" t="str">
        <f>VLOOKUP('T7. UN Households'!$A167,ISO2TLC[],3,FALSE)</f>
        <v>LUX</v>
      </c>
      <c r="C167" s="133" t="s">
        <v>2620</v>
      </c>
      <c r="D167" s="134">
        <v>40725</v>
      </c>
      <c r="E167" s="136">
        <v>2.4130606765276998</v>
      </c>
    </row>
    <row r="168" spans="1:5" hidden="1" x14ac:dyDescent="0.2">
      <c r="A168" s="129">
        <v>442</v>
      </c>
      <c r="B168" s="130" t="str">
        <f>VLOOKUP('T7. UN Households'!$A168,ISO2TLC[],3,FALSE)</f>
        <v>LUX</v>
      </c>
      <c r="C168" s="130" t="s">
        <v>2622</v>
      </c>
      <c r="D168" s="131">
        <v>40725</v>
      </c>
      <c r="E168" s="135">
        <v>2.4125702829385101</v>
      </c>
    </row>
    <row r="169" spans="1:5" hidden="1" x14ac:dyDescent="0.2">
      <c r="A169" s="132">
        <v>470</v>
      </c>
      <c r="B169" s="133" t="str">
        <f>VLOOKUP('T7. UN Households'!$A169,ISO2TLC[],3,FALSE)</f>
        <v>MLT</v>
      </c>
      <c r="C169" s="133" t="s">
        <v>2620</v>
      </c>
      <c r="D169" s="134">
        <v>40725</v>
      </c>
      <c r="E169" s="136">
        <v>2.6721554733360402</v>
      </c>
    </row>
    <row r="170" spans="1:5" hidden="1" x14ac:dyDescent="0.2">
      <c r="A170" s="129">
        <v>470</v>
      </c>
      <c r="B170" s="130" t="str">
        <f>VLOOKUP('T7. UN Households'!$A170,ISO2TLC[],3,FALSE)</f>
        <v>MLT</v>
      </c>
      <c r="C170" s="130" t="s">
        <v>2622</v>
      </c>
      <c r="D170" s="131">
        <v>40725</v>
      </c>
      <c r="E170" s="135">
        <v>2.8527452466611898</v>
      </c>
    </row>
    <row r="171" spans="1:5" hidden="1" x14ac:dyDescent="0.2">
      <c r="A171" s="132">
        <v>480</v>
      </c>
      <c r="B171" s="133" t="str">
        <f>VLOOKUP('T7. UN Households'!$A171,ISO2TLC[],3,FALSE)</f>
        <v>MUS</v>
      </c>
      <c r="C171" s="133" t="s">
        <v>2620</v>
      </c>
      <c r="D171" s="134">
        <v>40725</v>
      </c>
      <c r="E171" s="136">
        <v>3.47529761733847</v>
      </c>
    </row>
    <row r="172" spans="1:5" hidden="1" x14ac:dyDescent="0.2">
      <c r="A172" s="129">
        <v>499</v>
      </c>
      <c r="B172" s="130" t="str">
        <f>VLOOKUP('T7. UN Households'!$A172,ISO2TLC[],3,FALSE)</f>
        <v>MNE</v>
      </c>
      <c r="C172" s="130" t="s">
        <v>2620</v>
      </c>
      <c r="D172" s="131">
        <v>40725</v>
      </c>
      <c r="E172" s="135">
        <v>3.2140115063305599</v>
      </c>
    </row>
    <row r="173" spans="1:5" x14ac:dyDescent="0.2">
      <c r="A173" s="132">
        <v>524</v>
      </c>
      <c r="B173" s="133"/>
      <c r="C173" s="133" t="s">
        <v>2620</v>
      </c>
      <c r="D173" s="134">
        <v>40725</v>
      </c>
      <c r="E173" s="136"/>
    </row>
    <row r="174" spans="1:5" hidden="1" x14ac:dyDescent="0.2">
      <c r="A174" s="129">
        <v>524</v>
      </c>
      <c r="B174" s="130" t="str">
        <f>VLOOKUP('T7. UN Households'!$A174,ISO2TLC[],3,FALSE)</f>
        <v>NPL</v>
      </c>
      <c r="C174" s="130" t="s">
        <v>2621</v>
      </c>
      <c r="D174" s="131">
        <v>40725</v>
      </c>
      <c r="E174" s="135">
        <v>4.8377605707014002</v>
      </c>
    </row>
    <row r="175" spans="1:5" hidden="1" x14ac:dyDescent="0.2">
      <c r="A175" s="132">
        <v>528</v>
      </c>
      <c r="B175" s="133" t="str">
        <f>VLOOKUP('T7. UN Households'!$A175,ISO2TLC[],3,FALSE)</f>
        <v>NLD</v>
      </c>
      <c r="C175" s="133" t="s">
        <v>2622</v>
      </c>
      <c r="D175" s="134">
        <v>40725</v>
      </c>
      <c r="E175" s="136">
        <v>2.2263915622436099</v>
      </c>
    </row>
    <row r="176" spans="1:5" hidden="1" x14ac:dyDescent="0.2">
      <c r="A176" s="129">
        <v>578</v>
      </c>
      <c r="B176" s="130" t="str">
        <f>VLOOKUP('T7. UN Households'!$A176,ISO2TLC[],3,FALSE)</f>
        <v>NOR</v>
      </c>
      <c r="C176" s="130" t="s">
        <v>2620</v>
      </c>
      <c r="D176" s="131">
        <v>40725</v>
      </c>
      <c r="E176" s="135">
        <v>2.2154372612291202</v>
      </c>
    </row>
    <row r="177" spans="1:5" hidden="1" x14ac:dyDescent="0.2">
      <c r="A177" s="132">
        <v>616</v>
      </c>
      <c r="B177" s="133" t="str">
        <f>VLOOKUP('T7. UN Households'!$A177,ISO2TLC[],3,FALSE)</f>
        <v>POL</v>
      </c>
      <c r="C177" s="133" t="s">
        <v>2620</v>
      </c>
      <c r="D177" s="134">
        <v>40725</v>
      </c>
      <c r="E177" s="136">
        <v>2.81580919217578</v>
      </c>
    </row>
    <row r="178" spans="1:5" hidden="1" x14ac:dyDescent="0.2">
      <c r="A178" s="129">
        <v>616</v>
      </c>
      <c r="B178" s="130" t="str">
        <f>VLOOKUP('T7. UN Households'!$A178,ISO2TLC[],3,FALSE)</f>
        <v>POL</v>
      </c>
      <c r="C178" s="130" t="s">
        <v>2622</v>
      </c>
      <c r="D178" s="131">
        <v>40725</v>
      </c>
      <c r="E178" s="135">
        <v>2.80621007003925</v>
      </c>
    </row>
    <row r="179" spans="1:5" hidden="1" x14ac:dyDescent="0.2">
      <c r="A179" s="132">
        <v>620</v>
      </c>
      <c r="B179" s="133" t="str">
        <f>VLOOKUP('T7. UN Households'!$A179,ISO2TLC[],3,FALSE)</f>
        <v>PRT</v>
      </c>
      <c r="C179" s="133" t="s">
        <v>2620</v>
      </c>
      <c r="D179" s="134">
        <v>40725</v>
      </c>
      <c r="E179" s="136">
        <v>2.5809157198089099</v>
      </c>
    </row>
    <row r="180" spans="1:5" hidden="1" x14ac:dyDescent="0.2">
      <c r="A180" s="129">
        <v>620</v>
      </c>
      <c r="B180" s="130" t="str">
        <f>VLOOKUP('T7. UN Households'!$A180,ISO2TLC[],3,FALSE)</f>
        <v>PRT</v>
      </c>
      <c r="C180" s="130" t="s">
        <v>2621</v>
      </c>
      <c r="D180" s="131">
        <v>40725</v>
      </c>
      <c r="E180" s="135">
        <v>2.6107194075643498</v>
      </c>
    </row>
    <row r="181" spans="1:5" hidden="1" x14ac:dyDescent="0.2">
      <c r="A181" s="132">
        <v>620</v>
      </c>
      <c r="B181" s="133" t="str">
        <f>VLOOKUP('T7. UN Households'!$A181,ISO2TLC[],3,FALSE)</f>
        <v>PRT</v>
      </c>
      <c r="C181" s="133" t="s">
        <v>2622</v>
      </c>
      <c r="D181" s="134">
        <v>40725</v>
      </c>
      <c r="E181" s="136">
        <v>2.6557599190948298</v>
      </c>
    </row>
    <row r="182" spans="1:5" hidden="1" x14ac:dyDescent="0.2">
      <c r="A182" s="129">
        <v>642</v>
      </c>
      <c r="B182" s="130" t="str">
        <f>VLOOKUP('T7. UN Households'!$A182,ISO2TLC[],3,FALSE)</f>
        <v>ROU</v>
      </c>
      <c r="C182" s="130" t="s">
        <v>2620</v>
      </c>
      <c r="D182" s="131">
        <v>40725</v>
      </c>
      <c r="E182" s="135">
        <v>2.6671875202883299</v>
      </c>
    </row>
    <row r="183" spans="1:5" hidden="1" x14ac:dyDescent="0.2">
      <c r="A183" s="132">
        <v>642</v>
      </c>
      <c r="B183" s="133" t="str">
        <f>VLOOKUP('T7. UN Households'!$A183,ISO2TLC[],3,FALSE)</f>
        <v>ROU</v>
      </c>
      <c r="C183" s="133" t="s">
        <v>2621</v>
      </c>
      <c r="D183" s="134">
        <v>40725</v>
      </c>
      <c r="E183" s="136">
        <v>2.6668933791042502</v>
      </c>
    </row>
    <row r="184" spans="1:5" hidden="1" x14ac:dyDescent="0.2">
      <c r="A184" s="129">
        <v>642</v>
      </c>
      <c r="B184" s="130" t="str">
        <f>VLOOKUP('T7. UN Households'!$A184,ISO2TLC[],3,FALSE)</f>
        <v>ROU</v>
      </c>
      <c r="C184" s="130" t="s">
        <v>2622</v>
      </c>
      <c r="D184" s="131">
        <v>40725</v>
      </c>
      <c r="E184" s="135">
        <v>2.8793173556584399</v>
      </c>
    </row>
    <row r="185" spans="1:5" x14ac:dyDescent="0.2">
      <c r="A185" s="132">
        <v>659</v>
      </c>
      <c r="B185" s="133"/>
      <c r="C185" s="133" t="s">
        <v>2620</v>
      </c>
      <c r="D185" s="134">
        <v>40725</v>
      </c>
      <c r="E185" s="136"/>
    </row>
    <row r="186" spans="1:5" hidden="1" x14ac:dyDescent="0.2">
      <c r="A186" s="129">
        <v>688</v>
      </c>
      <c r="B186" s="130" t="str">
        <f>VLOOKUP('T7. UN Households'!$A186,ISO2TLC[],3,FALSE)</f>
        <v>SRB</v>
      </c>
      <c r="C186" s="130" t="s">
        <v>2620</v>
      </c>
      <c r="D186" s="131">
        <v>40725</v>
      </c>
      <c r="E186" s="135">
        <v>2.87916488134907</v>
      </c>
    </row>
    <row r="187" spans="1:5" hidden="1" x14ac:dyDescent="0.2">
      <c r="A187" s="132">
        <v>534</v>
      </c>
      <c r="B187" s="133" t="str">
        <f>VLOOKUP('T7. UN Households'!$A187,ISO2TLC[],3,FALSE)</f>
        <v>SXM</v>
      </c>
      <c r="C187" s="133" t="s">
        <v>2620</v>
      </c>
      <c r="D187" s="134">
        <v>40725</v>
      </c>
      <c r="E187" s="136">
        <v>2.5798973082308998</v>
      </c>
    </row>
    <row r="188" spans="1:5" hidden="1" x14ac:dyDescent="0.2">
      <c r="A188" s="129">
        <v>703</v>
      </c>
      <c r="B188" s="130" t="str">
        <f>VLOOKUP('T7. UN Households'!$A188,ISO2TLC[],3,FALSE)</f>
        <v>SVK</v>
      </c>
      <c r="C188" s="130" t="s">
        <v>2620</v>
      </c>
      <c r="D188" s="131">
        <v>40725</v>
      </c>
      <c r="E188" s="135">
        <v>2.8958627353152901</v>
      </c>
    </row>
    <row r="189" spans="1:5" hidden="1" x14ac:dyDescent="0.2">
      <c r="A189" s="132">
        <v>703</v>
      </c>
      <c r="B189" s="133" t="str">
        <f>VLOOKUP('T7. UN Households'!$A189,ISO2TLC[],3,FALSE)</f>
        <v>SVK</v>
      </c>
      <c r="C189" s="133" t="s">
        <v>2622</v>
      </c>
      <c r="D189" s="134">
        <v>40725</v>
      </c>
      <c r="E189" s="136">
        <v>2.8015215642917202</v>
      </c>
    </row>
    <row r="190" spans="1:5" hidden="1" x14ac:dyDescent="0.2">
      <c r="A190" s="129">
        <v>705</v>
      </c>
      <c r="B190" s="130" t="str">
        <f>VLOOKUP('T7. UN Households'!$A190,ISO2TLC[],3,FALSE)</f>
        <v>SVN</v>
      </c>
      <c r="C190" s="130" t="s">
        <v>2622</v>
      </c>
      <c r="D190" s="131">
        <v>40725</v>
      </c>
      <c r="E190" s="135">
        <v>2.4722119000417901</v>
      </c>
    </row>
    <row r="191" spans="1:5" hidden="1" x14ac:dyDescent="0.2">
      <c r="A191" s="132">
        <v>710</v>
      </c>
      <c r="B191" s="133" t="str">
        <f>VLOOKUP('T7. UN Households'!$A191,ISO2TLC[],3,FALSE)</f>
        <v>ZAF</v>
      </c>
      <c r="C191" s="133" t="s">
        <v>2620</v>
      </c>
      <c r="D191" s="134">
        <v>40725</v>
      </c>
      <c r="E191" s="136">
        <v>3.3847396929259301</v>
      </c>
    </row>
    <row r="192" spans="1:5" hidden="1" x14ac:dyDescent="0.2">
      <c r="A192" s="129">
        <v>710</v>
      </c>
      <c r="B192" s="130" t="str">
        <f>VLOOKUP('T7. UN Households'!$A192,ISO2TLC[],3,FALSE)</f>
        <v>ZAF</v>
      </c>
      <c r="C192" s="130" t="s">
        <v>2621</v>
      </c>
      <c r="D192" s="131">
        <v>40725</v>
      </c>
      <c r="E192" s="135">
        <v>3.24346805490097</v>
      </c>
    </row>
    <row r="193" spans="1:5" hidden="1" x14ac:dyDescent="0.2">
      <c r="A193" s="132">
        <v>724</v>
      </c>
      <c r="B193" s="133" t="str">
        <f>VLOOKUP('T7. UN Households'!$A193,ISO2TLC[],3,FALSE)</f>
        <v>ESP</v>
      </c>
      <c r="C193" s="133" t="s">
        <v>2620</v>
      </c>
      <c r="D193" s="134">
        <v>40725</v>
      </c>
      <c r="E193" s="136">
        <v>2.5755100314150501</v>
      </c>
    </row>
    <row r="194" spans="1:5" hidden="1" x14ac:dyDescent="0.2">
      <c r="A194" s="129">
        <v>724</v>
      </c>
      <c r="B194" s="130" t="str">
        <f>VLOOKUP('T7. UN Households'!$A194,ISO2TLC[],3,FALSE)</f>
        <v>ESP</v>
      </c>
      <c r="C194" s="130" t="s">
        <v>2621</v>
      </c>
      <c r="D194" s="131">
        <v>40725</v>
      </c>
      <c r="E194" s="135">
        <v>2.5755078933645299</v>
      </c>
    </row>
    <row r="195" spans="1:5" hidden="1" x14ac:dyDescent="0.2">
      <c r="A195" s="132">
        <v>724</v>
      </c>
      <c r="B195" s="133" t="str">
        <f>VLOOKUP('T7. UN Households'!$A195,ISO2TLC[],3,FALSE)</f>
        <v>ESP</v>
      </c>
      <c r="C195" s="133" t="s">
        <v>2622</v>
      </c>
      <c r="D195" s="134">
        <v>40725</v>
      </c>
      <c r="E195" s="136">
        <v>2.6945177557428601</v>
      </c>
    </row>
    <row r="196" spans="1:5" hidden="1" x14ac:dyDescent="0.2">
      <c r="A196" s="129">
        <v>772</v>
      </c>
      <c r="B196" s="130" t="str">
        <f>VLOOKUP('T7. UN Households'!$A196,ISO2TLC[],3,FALSE)</f>
        <v>TKL</v>
      </c>
      <c r="C196" s="130" t="s">
        <v>2620</v>
      </c>
      <c r="D196" s="131">
        <v>40725</v>
      </c>
      <c r="E196" s="135">
        <v>5.2439024390243896</v>
      </c>
    </row>
    <row r="197" spans="1:5" x14ac:dyDescent="0.2">
      <c r="A197" s="132">
        <v>780</v>
      </c>
      <c r="B197" s="133"/>
      <c r="C197" s="133" t="s">
        <v>2620</v>
      </c>
      <c r="D197" s="134">
        <v>40725</v>
      </c>
      <c r="E197" s="136"/>
    </row>
    <row r="198" spans="1:5" hidden="1" x14ac:dyDescent="0.2">
      <c r="A198" s="129">
        <v>780</v>
      </c>
      <c r="B198" s="130" t="str">
        <f>VLOOKUP('T7. UN Households'!$A198,ISO2TLC[],3,FALSE)</f>
        <v>TTO</v>
      </c>
      <c r="C198" s="130" t="s">
        <v>2621</v>
      </c>
      <c r="D198" s="131">
        <v>40725</v>
      </c>
      <c r="E198" s="135">
        <v>3.29086780304119</v>
      </c>
    </row>
    <row r="199" spans="1:5" hidden="1" x14ac:dyDescent="0.2">
      <c r="A199" s="132">
        <v>826</v>
      </c>
      <c r="B199" s="133" t="str">
        <f>VLOOKUP('T7. UN Households'!$A199,ISO2TLC[],3,FALSE)</f>
        <v>GBR</v>
      </c>
      <c r="C199" s="133" t="s">
        <v>2620</v>
      </c>
      <c r="D199" s="134">
        <v>40725</v>
      </c>
      <c r="E199" s="136">
        <v>2.3468577528801</v>
      </c>
    </row>
    <row r="200" spans="1:5" hidden="1" x14ac:dyDescent="0.2">
      <c r="A200" s="129">
        <v>826</v>
      </c>
      <c r="B200" s="130" t="str">
        <f>VLOOKUP('T7. UN Households'!$A200,ISO2TLC[],3,FALSE)</f>
        <v>GBR</v>
      </c>
      <c r="C200" s="130" t="s">
        <v>2622</v>
      </c>
      <c r="D200" s="131">
        <v>40725</v>
      </c>
      <c r="E200" s="135">
        <v>2.2653598482396502</v>
      </c>
    </row>
    <row r="201" spans="1:5" hidden="1" x14ac:dyDescent="0.2">
      <c r="A201" s="132">
        <v>858</v>
      </c>
      <c r="B201" s="133" t="str">
        <f>VLOOKUP('T7. UN Households'!$A201,ISO2TLC[],3,FALSE)</f>
        <v>URY</v>
      </c>
      <c r="C201" s="133" t="s">
        <v>2620</v>
      </c>
      <c r="D201" s="134">
        <v>40725</v>
      </c>
      <c r="E201" s="136">
        <v>2.7955466661792601</v>
      </c>
    </row>
    <row r="202" spans="1:5" hidden="1" x14ac:dyDescent="0.2">
      <c r="A202" s="129">
        <v>858</v>
      </c>
      <c r="B202" s="130" t="str">
        <f>VLOOKUP('T7. UN Households'!$A202,ISO2TLC[],3,FALSE)</f>
        <v>URY</v>
      </c>
      <c r="C202" s="130" t="s">
        <v>2621</v>
      </c>
      <c r="D202" s="131">
        <v>40725</v>
      </c>
      <c r="E202" s="135">
        <v>2.7812603590557798</v>
      </c>
    </row>
    <row r="203" spans="1:5" hidden="1" x14ac:dyDescent="0.2">
      <c r="A203" s="132">
        <v>120</v>
      </c>
      <c r="B203" s="133" t="str">
        <f>VLOOKUP('T7. UN Households'!$A203,ISO2TLC[],3,FALSE)</f>
        <v>CMR</v>
      </c>
      <c r="C203" s="133" t="s">
        <v>2619</v>
      </c>
      <c r="D203" s="134">
        <v>40665</v>
      </c>
      <c r="E203" s="136">
        <v>4.9923419787069401</v>
      </c>
    </row>
    <row r="204" spans="1:5" hidden="1" x14ac:dyDescent="0.2">
      <c r="A204" s="129">
        <v>450</v>
      </c>
      <c r="B204" s="130" t="str">
        <f>VLOOKUP('T7. UN Households'!$A204,ISO2TLC[],3,FALSE)</f>
        <v>MDG</v>
      </c>
      <c r="C204" s="130" t="s">
        <v>2619</v>
      </c>
      <c r="D204" s="131">
        <v>40663</v>
      </c>
      <c r="E204" s="135">
        <v>4.9492635062293804</v>
      </c>
    </row>
    <row r="205" spans="1:5" hidden="1" x14ac:dyDescent="0.2">
      <c r="A205" s="132">
        <v>524</v>
      </c>
      <c r="B205" s="133" t="str">
        <f>VLOOKUP('T7. UN Households'!$A205,ISO2TLC[],3,FALSE)</f>
        <v>NPL</v>
      </c>
      <c r="C205" s="133" t="s">
        <v>2619</v>
      </c>
      <c r="D205" s="134">
        <v>40642</v>
      </c>
      <c r="E205" s="136">
        <v>4.4473294258104898</v>
      </c>
    </row>
    <row r="206" spans="1:5" hidden="1" x14ac:dyDescent="0.2">
      <c r="A206" s="129">
        <v>231</v>
      </c>
      <c r="B206" s="130" t="str">
        <f>VLOOKUP('T7. UN Households'!$A206,ISO2TLC[],3,FALSE)</f>
        <v>ETH</v>
      </c>
      <c r="C206" s="130" t="s">
        <v>2619</v>
      </c>
      <c r="D206" s="131">
        <v>40618</v>
      </c>
      <c r="E206" s="135">
        <v>4.6384819472154701</v>
      </c>
    </row>
    <row r="207" spans="1:5" hidden="1" x14ac:dyDescent="0.2">
      <c r="A207" s="132">
        <v>24</v>
      </c>
      <c r="B207" s="133" t="str">
        <f>VLOOKUP('T7. UN Households'!$A207,ISO2TLC[],3,FALSE)</f>
        <v>AGO</v>
      </c>
      <c r="C207" s="133" t="s">
        <v>2619</v>
      </c>
      <c r="D207" s="134">
        <v>40603</v>
      </c>
      <c r="E207" s="136">
        <v>4.9777208046829404</v>
      </c>
    </row>
    <row r="208" spans="1:5" hidden="1" x14ac:dyDescent="0.2">
      <c r="A208" s="129">
        <v>686</v>
      </c>
      <c r="B208" s="130" t="str">
        <f>VLOOKUP('T7. UN Households'!$A208,ISO2TLC[],3,FALSE)</f>
        <v>SEN</v>
      </c>
      <c r="C208" s="130" t="s">
        <v>2619</v>
      </c>
      <c r="D208" s="131">
        <v>40562</v>
      </c>
      <c r="E208" s="135">
        <v>9.3205021411280899</v>
      </c>
    </row>
    <row r="209" spans="1:5" hidden="1" x14ac:dyDescent="0.2">
      <c r="A209" s="132">
        <v>646</v>
      </c>
      <c r="B209" s="133" t="str">
        <f>VLOOKUP('T7. UN Households'!$A209,ISO2TLC[],3,FALSE)</f>
        <v>RWA</v>
      </c>
      <c r="C209" s="133" t="s">
        <v>2619</v>
      </c>
      <c r="D209" s="134">
        <v>40542</v>
      </c>
      <c r="E209" s="136">
        <v>4.4410363392364296</v>
      </c>
    </row>
    <row r="210" spans="1:5" hidden="1" x14ac:dyDescent="0.2">
      <c r="A210" s="129">
        <v>716</v>
      </c>
      <c r="B210" s="130" t="str">
        <f>VLOOKUP('T7. UN Households'!$A210,ISO2TLC[],3,FALSE)</f>
        <v>ZWE</v>
      </c>
      <c r="C210" s="130" t="s">
        <v>2619</v>
      </c>
      <c r="D210" s="131">
        <v>40533</v>
      </c>
      <c r="E210" s="135">
        <v>4.1524398132792202</v>
      </c>
    </row>
    <row r="211" spans="1:5" hidden="1" x14ac:dyDescent="0.2">
      <c r="A211" s="132">
        <v>51</v>
      </c>
      <c r="B211" s="133" t="str">
        <f>VLOOKUP('T7. UN Households'!$A211,ISO2TLC[],3,FALSE)</f>
        <v>ARM</v>
      </c>
      <c r="C211" s="133" t="s">
        <v>2619</v>
      </c>
      <c r="D211" s="134">
        <v>40497</v>
      </c>
      <c r="E211" s="136">
        <v>3.5585152787510301</v>
      </c>
    </row>
    <row r="212" spans="1:5" hidden="1" x14ac:dyDescent="0.2">
      <c r="A212" s="129">
        <v>108</v>
      </c>
      <c r="B212" s="130" t="str">
        <f>VLOOKUP('T7. UN Households'!$A212,ISO2TLC[],3,FALSE)</f>
        <v>BDI</v>
      </c>
      <c r="C212" s="130" t="s">
        <v>2619</v>
      </c>
      <c r="D212" s="131">
        <v>40497</v>
      </c>
      <c r="E212" s="135">
        <v>4.7823106765568699</v>
      </c>
    </row>
    <row r="213" spans="1:5" hidden="1" x14ac:dyDescent="0.2">
      <c r="A213" s="132">
        <v>566</v>
      </c>
      <c r="B213" s="133" t="str">
        <f>VLOOKUP('T7. UN Households'!$A213,ISO2TLC[],3,FALSE)</f>
        <v>NGA</v>
      </c>
      <c r="C213" s="133" t="s">
        <v>2619</v>
      </c>
      <c r="D213" s="134">
        <v>40496</v>
      </c>
      <c r="E213" s="136">
        <v>5.2025881065378101</v>
      </c>
    </row>
    <row r="214" spans="1:5" hidden="1" x14ac:dyDescent="0.2">
      <c r="A214" s="129">
        <v>116</v>
      </c>
      <c r="B214" s="130" t="str">
        <f>VLOOKUP('T7. UN Households'!$A214,ISO2TLC[],3,FALSE)</f>
        <v>KHM</v>
      </c>
      <c r="C214" s="130" t="s">
        <v>2619</v>
      </c>
      <c r="D214" s="131">
        <v>40472</v>
      </c>
      <c r="E214" s="135">
        <v>4.7507072636474996</v>
      </c>
    </row>
    <row r="215" spans="1:5" hidden="1" x14ac:dyDescent="0.2">
      <c r="A215" s="132">
        <v>854</v>
      </c>
      <c r="B215" s="133" t="str">
        <f>VLOOKUP('T7. UN Households'!$A215,ISO2TLC[],3,FALSE)</f>
        <v>BFA</v>
      </c>
      <c r="C215" s="133" t="s">
        <v>2619</v>
      </c>
      <c r="D215" s="134">
        <v>40430</v>
      </c>
      <c r="E215" s="136">
        <v>5.67490262791517</v>
      </c>
    </row>
    <row r="216" spans="1:5" hidden="1" x14ac:dyDescent="0.2">
      <c r="A216" s="129">
        <v>454</v>
      </c>
      <c r="B216" s="130" t="str">
        <f>VLOOKUP('T7. UN Households'!$A216,ISO2TLC[],3,FALSE)</f>
        <v>MWI</v>
      </c>
      <c r="C216" s="130" t="s">
        <v>2619</v>
      </c>
      <c r="D216" s="131">
        <v>40396</v>
      </c>
      <c r="E216" s="135">
        <v>4.6398203587296702</v>
      </c>
    </row>
    <row r="217" spans="1:5" hidden="1" x14ac:dyDescent="0.2">
      <c r="A217" s="132">
        <v>604</v>
      </c>
      <c r="B217" s="133" t="str">
        <f>VLOOKUP('T7. UN Households'!$A217,ISO2TLC[],3,FALSE)</f>
        <v>PER</v>
      </c>
      <c r="C217" s="133" t="s">
        <v>2619</v>
      </c>
      <c r="D217" s="134">
        <v>40390</v>
      </c>
      <c r="E217" s="136">
        <v>3.76791051240708</v>
      </c>
    </row>
    <row r="218" spans="1:5" hidden="1" x14ac:dyDescent="0.2">
      <c r="A218" s="129">
        <v>32</v>
      </c>
      <c r="B218" s="130" t="str">
        <f>VLOOKUP('T7. UN Households'!$A218,ISO2TLC[],3,FALSE)</f>
        <v>ARG</v>
      </c>
      <c r="C218" s="130" t="s">
        <v>2620</v>
      </c>
      <c r="D218" s="131">
        <v>40360</v>
      </c>
      <c r="E218" s="135">
        <v>3.25865830068813</v>
      </c>
    </row>
    <row r="219" spans="1:5" hidden="1" x14ac:dyDescent="0.2">
      <c r="A219" s="132">
        <v>32</v>
      </c>
      <c r="B219" s="133" t="str">
        <f>VLOOKUP('T7. UN Households'!$A219,ISO2TLC[],3,FALSE)</f>
        <v>ARG</v>
      </c>
      <c r="C219" s="133" t="s">
        <v>2621</v>
      </c>
      <c r="D219" s="134">
        <v>40360</v>
      </c>
      <c r="E219" s="136">
        <v>3.2585900361988398</v>
      </c>
    </row>
    <row r="220" spans="1:5" hidden="1" x14ac:dyDescent="0.2">
      <c r="A220" s="129">
        <v>533</v>
      </c>
      <c r="B220" s="130" t="str">
        <f>VLOOKUP('T7. UN Households'!$A220,ISO2TLC[],3,FALSE)</f>
        <v>ABW</v>
      </c>
      <c r="C220" s="130" t="s">
        <v>2620</v>
      </c>
      <c r="D220" s="131">
        <v>40360</v>
      </c>
      <c r="E220" s="135">
        <v>2.8894468036267602</v>
      </c>
    </row>
    <row r="221" spans="1:5" hidden="1" x14ac:dyDescent="0.2">
      <c r="A221" s="132">
        <v>44</v>
      </c>
      <c r="B221" s="133" t="str">
        <f>VLOOKUP('T7. UN Households'!$A221,ISO2TLC[],3,FALSE)</f>
        <v>BHS</v>
      </c>
      <c r="C221" s="133" t="s">
        <v>2620</v>
      </c>
      <c r="D221" s="134">
        <v>40360</v>
      </c>
      <c r="E221" s="136">
        <v>3.3956382958017901</v>
      </c>
    </row>
    <row r="222" spans="1:5" hidden="1" x14ac:dyDescent="0.2">
      <c r="A222" s="129">
        <v>60</v>
      </c>
      <c r="B222" s="130" t="str">
        <f>VLOOKUP('T7. UN Households'!$A222,ISO2TLC[],3,FALSE)</f>
        <v>BMU</v>
      </c>
      <c r="C222" s="130" t="s">
        <v>2620</v>
      </c>
      <c r="D222" s="131">
        <v>40360</v>
      </c>
      <c r="E222" s="135">
        <v>2.3859525312929502</v>
      </c>
    </row>
    <row r="223" spans="1:5" hidden="1" x14ac:dyDescent="0.2">
      <c r="A223" s="132">
        <v>76</v>
      </c>
      <c r="B223" s="133" t="str">
        <f>VLOOKUP('T7. UN Households'!$A223,ISO2TLC[],3,FALSE)</f>
        <v>BRA</v>
      </c>
      <c r="C223" s="133" t="s">
        <v>2621</v>
      </c>
      <c r="D223" s="134">
        <v>40360</v>
      </c>
      <c r="E223" s="136">
        <v>3.31148982178934</v>
      </c>
    </row>
    <row r="224" spans="1:5" x14ac:dyDescent="0.2">
      <c r="A224" s="129">
        <v>136</v>
      </c>
      <c r="B224" s="130"/>
      <c r="C224" s="130" t="s">
        <v>2620</v>
      </c>
      <c r="D224" s="131">
        <v>40360</v>
      </c>
      <c r="E224" s="135"/>
    </row>
    <row r="225" spans="1:5" x14ac:dyDescent="0.2">
      <c r="A225" s="132">
        <v>156</v>
      </c>
      <c r="B225" s="133"/>
      <c r="C225" s="133" t="s">
        <v>2620</v>
      </c>
      <c r="D225" s="134">
        <v>40360</v>
      </c>
      <c r="E225" s="136"/>
    </row>
    <row r="226" spans="1:5" hidden="1" x14ac:dyDescent="0.2">
      <c r="A226" s="129">
        <v>214</v>
      </c>
      <c r="B226" s="130" t="str">
        <f>VLOOKUP('T7. UN Households'!$A226,ISO2TLC[],3,FALSE)</f>
        <v>DOM</v>
      </c>
      <c r="C226" s="130" t="s">
        <v>2620</v>
      </c>
      <c r="D226" s="131">
        <v>40360</v>
      </c>
      <c r="E226" s="135">
        <v>3.5261306320146999</v>
      </c>
    </row>
    <row r="227" spans="1:5" hidden="1" x14ac:dyDescent="0.2">
      <c r="A227" s="132">
        <v>214</v>
      </c>
      <c r="B227" s="133" t="str">
        <f>VLOOKUP('T7. UN Households'!$A227,ISO2TLC[],3,FALSE)</f>
        <v>DOM</v>
      </c>
      <c r="C227" s="133" t="s">
        <v>2621</v>
      </c>
      <c r="D227" s="134">
        <v>40360</v>
      </c>
      <c r="E227" s="136">
        <v>3.5828859237168298</v>
      </c>
    </row>
    <row r="228" spans="1:5" hidden="1" x14ac:dyDescent="0.2">
      <c r="A228" s="129">
        <v>218</v>
      </c>
      <c r="B228" s="130" t="str">
        <f>VLOOKUP('T7. UN Households'!$A228,ISO2TLC[],3,FALSE)</f>
        <v>ECU</v>
      </c>
      <c r="C228" s="130" t="s">
        <v>2620</v>
      </c>
      <c r="D228" s="131">
        <v>40360</v>
      </c>
      <c r="E228" s="135">
        <v>3.7791871405372701</v>
      </c>
    </row>
    <row r="229" spans="1:5" hidden="1" x14ac:dyDescent="0.2">
      <c r="A229" s="132">
        <v>218</v>
      </c>
      <c r="B229" s="133" t="str">
        <f>VLOOKUP('T7. UN Households'!$A229,ISO2TLC[],3,FALSE)</f>
        <v>ECU</v>
      </c>
      <c r="C229" s="133" t="s">
        <v>2621</v>
      </c>
      <c r="D229" s="134">
        <v>40360</v>
      </c>
      <c r="E229" s="136">
        <v>3.77979891294363</v>
      </c>
    </row>
    <row r="230" spans="1:5" hidden="1" x14ac:dyDescent="0.2">
      <c r="A230" s="129">
        <v>246</v>
      </c>
      <c r="B230" s="130" t="str">
        <f>VLOOKUP('T7. UN Households'!$A230,ISO2TLC[],3,FALSE)</f>
        <v>FIN</v>
      </c>
      <c r="C230" s="130" t="s">
        <v>2620</v>
      </c>
      <c r="D230" s="131">
        <v>40360</v>
      </c>
      <c r="E230" s="135">
        <v>2.0749590985642801</v>
      </c>
    </row>
    <row r="231" spans="1:5" hidden="1" x14ac:dyDescent="0.2">
      <c r="A231" s="132">
        <v>288</v>
      </c>
      <c r="B231" s="133" t="str">
        <f>VLOOKUP('T7. UN Households'!$A231,ISO2TLC[],3,FALSE)</f>
        <v>GHA</v>
      </c>
      <c r="C231" s="133" t="s">
        <v>2620</v>
      </c>
      <c r="D231" s="134">
        <v>40360</v>
      </c>
      <c r="E231" s="136">
        <v>4.4038280737848803</v>
      </c>
    </row>
    <row r="232" spans="1:5" hidden="1" x14ac:dyDescent="0.2">
      <c r="A232" s="129">
        <v>288</v>
      </c>
      <c r="B232" s="130" t="str">
        <f>VLOOKUP('T7. UN Households'!$A232,ISO2TLC[],3,FALSE)</f>
        <v>GHA</v>
      </c>
      <c r="C232" s="130" t="s">
        <v>2621</v>
      </c>
      <c r="D232" s="131">
        <v>40360</v>
      </c>
      <c r="E232" s="135">
        <v>4.40517638794371</v>
      </c>
    </row>
    <row r="233" spans="1:5" hidden="1" x14ac:dyDescent="0.2">
      <c r="A233" s="132">
        <v>360</v>
      </c>
      <c r="B233" s="133" t="str">
        <f>VLOOKUP('T7. UN Households'!$A233,ISO2TLC[],3,FALSE)</f>
        <v>IDN</v>
      </c>
      <c r="C233" s="133" t="s">
        <v>2621</v>
      </c>
      <c r="D233" s="134">
        <v>40360</v>
      </c>
      <c r="E233" s="136">
        <v>3.8460836362983999</v>
      </c>
    </row>
    <row r="234" spans="1:5" hidden="1" x14ac:dyDescent="0.2">
      <c r="A234" s="129">
        <v>392</v>
      </c>
      <c r="B234" s="130" t="str">
        <f>VLOOKUP('T7. UN Households'!$A234,ISO2TLC[],3,FALSE)</f>
        <v>JPN</v>
      </c>
      <c r="C234" s="130" t="s">
        <v>2620</v>
      </c>
      <c r="D234" s="131">
        <v>40360</v>
      </c>
      <c r="E234" s="135">
        <v>2.4216824108541299</v>
      </c>
    </row>
    <row r="235" spans="1:5" hidden="1" x14ac:dyDescent="0.2">
      <c r="A235" s="132">
        <v>438</v>
      </c>
      <c r="B235" s="133" t="str">
        <f>VLOOKUP('T7. UN Households'!$A235,ISO2TLC[],3,FALSE)</f>
        <v>LIE</v>
      </c>
      <c r="C235" s="133" t="s">
        <v>2620</v>
      </c>
      <c r="D235" s="134">
        <v>40360</v>
      </c>
      <c r="E235" s="136">
        <v>2.3202483347345302</v>
      </c>
    </row>
    <row r="236" spans="1:5" hidden="1" x14ac:dyDescent="0.2">
      <c r="A236" s="129">
        <v>484</v>
      </c>
      <c r="B236" s="130" t="str">
        <f>VLOOKUP('T7. UN Households'!$A236,ISO2TLC[],3,FALSE)</f>
        <v>MEX</v>
      </c>
      <c r="C236" s="130" t="s">
        <v>2620</v>
      </c>
      <c r="D236" s="131">
        <v>40360</v>
      </c>
      <c r="E236" s="135">
        <v>3.9280020545912002</v>
      </c>
    </row>
    <row r="237" spans="1:5" hidden="1" x14ac:dyDescent="0.2">
      <c r="A237" s="132">
        <v>484</v>
      </c>
      <c r="B237" s="133" t="str">
        <f>VLOOKUP('T7. UN Households'!$A237,ISO2TLC[],3,FALSE)</f>
        <v>MEX</v>
      </c>
      <c r="C237" s="133" t="s">
        <v>2621</v>
      </c>
      <c r="D237" s="134">
        <v>40360</v>
      </c>
      <c r="E237" s="136">
        <v>3.9015694423438898</v>
      </c>
    </row>
    <row r="238" spans="1:5" hidden="1" x14ac:dyDescent="0.2">
      <c r="A238" s="129">
        <v>566</v>
      </c>
      <c r="B238" s="130" t="str">
        <f>VLOOKUP('T7. UN Households'!$A238,ISO2TLC[],3,FALSE)</f>
        <v>NGA</v>
      </c>
      <c r="C238" s="130" t="s">
        <v>2621</v>
      </c>
      <c r="D238" s="131">
        <v>40360</v>
      </c>
      <c r="E238" s="135">
        <v>4.3934956791118003</v>
      </c>
    </row>
    <row r="239" spans="1:5" hidden="1" x14ac:dyDescent="0.2">
      <c r="A239" s="132">
        <v>591</v>
      </c>
      <c r="B239" s="133" t="str">
        <f>VLOOKUP('T7. UN Households'!$A239,ISO2TLC[],3,FALSE)</f>
        <v>PAN</v>
      </c>
      <c r="C239" s="133" t="s">
        <v>2621</v>
      </c>
      <c r="D239" s="134">
        <v>40360</v>
      </c>
      <c r="E239" s="136">
        <v>3.6700825940654598</v>
      </c>
    </row>
    <row r="240" spans="1:5" hidden="1" x14ac:dyDescent="0.2">
      <c r="A240" s="129">
        <v>608</v>
      </c>
      <c r="B240" s="130" t="str">
        <f>VLOOKUP('T7. UN Households'!$A240,ISO2TLC[],3,FALSE)</f>
        <v>PHL</v>
      </c>
      <c r="C240" s="130" t="s">
        <v>2621</v>
      </c>
      <c r="D240" s="131">
        <v>40360</v>
      </c>
      <c r="E240" s="135">
        <v>4.5398210737274596</v>
      </c>
    </row>
    <row r="241" spans="1:7" hidden="1" x14ac:dyDescent="0.2">
      <c r="A241" s="132">
        <v>630</v>
      </c>
      <c r="B241" s="133" t="str">
        <f>VLOOKUP('T7. UN Households'!$A241,ISO2TLC[],3,FALSE)</f>
        <v>PRI</v>
      </c>
      <c r="C241" s="133" t="s">
        <v>2621</v>
      </c>
      <c r="D241" s="134">
        <v>40360</v>
      </c>
      <c r="E241" s="136">
        <v>2.6705023703147899</v>
      </c>
    </row>
    <row r="242" spans="1:7" x14ac:dyDescent="0.2">
      <c r="A242" s="129">
        <v>410</v>
      </c>
      <c r="B242" s="130"/>
      <c r="C242" s="130" t="s">
        <v>2620</v>
      </c>
      <c r="D242" s="131">
        <v>40360</v>
      </c>
      <c r="E242" s="135"/>
    </row>
    <row r="243" spans="1:7" hidden="1" x14ac:dyDescent="0.2">
      <c r="A243" s="132">
        <v>643</v>
      </c>
      <c r="B243" s="133" t="str">
        <f>VLOOKUP('T7. UN Households'!$A243,ISO2TLC[],3,FALSE)</f>
        <v>RUS</v>
      </c>
      <c r="C243" s="133" t="s">
        <v>2620</v>
      </c>
      <c r="D243" s="134">
        <v>40360</v>
      </c>
      <c r="E243" s="136">
        <v>2.5835493606039401</v>
      </c>
    </row>
    <row r="244" spans="1:7" hidden="1" x14ac:dyDescent="0.2">
      <c r="A244" s="129">
        <v>643</v>
      </c>
      <c r="B244" s="130" t="str">
        <f>VLOOKUP('T7. UN Households'!$A244,ISO2TLC[],3,FALSE)</f>
        <v>RUS</v>
      </c>
      <c r="C244" s="130" t="s">
        <v>2621</v>
      </c>
      <c r="D244" s="131">
        <v>40360</v>
      </c>
      <c r="E244" s="135">
        <v>2.5848999505906201</v>
      </c>
    </row>
    <row r="245" spans="1:7" x14ac:dyDescent="0.2">
      <c r="A245" s="132">
        <v>690</v>
      </c>
      <c r="B245" s="133"/>
      <c r="C245" s="133" t="s">
        <v>2620</v>
      </c>
      <c r="D245" s="134">
        <v>40360</v>
      </c>
      <c r="E245" s="136"/>
    </row>
    <row r="246" spans="1:7" hidden="1" x14ac:dyDescent="0.2">
      <c r="A246" s="129">
        <v>702</v>
      </c>
      <c r="B246" s="130" t="str">
        <f>VLOOKUP('T7. UN Households'!$A246,ISO2TLC[],3,FALSE)</f>
        <v>SGP</v>
      </c>
      <c r="C246" s="130" t="s">
        <v>2620</v>
      </c>
      <c r="D246" s="131">
        <v>40360</v>
      </c>
      <c r="E246" s="135">
        <v>3.2914348296565201</v>
      </c>
    </row>
    <row r="247" spans="1:7" x14ac:dyDescent="0.2">
      <c r="A247" s="132">
        <v>764</v>
      </c>
      <c r="B247" s="133"/>
      <c r="C247" s="133" t="s">
        <v>2620</v>
      </c>
      <c r="D247" s="134">
        <v>40360</v>
      </c>
      <c r="E247" s="136"/>
    </row>
    <row r="248" spans="1:7" hidden="1" x14ac:dyDescent="0.2">
      <c r="A248" s="129">
        <v>768</v>
      </c>
      <c r="B248" s="130" t="str">
        <f>VLOOKUP('T7. UN Households'!$A248,ISO2TLC[],3,FALSE)</f>
        <v>TGO</v>
      </c>
      <c r="C248" s="130" t="s">
        <v>2621</v>
      </c>
      <c r="D248" s="131">
        <v>40360</v>
      </c>
      <c r="E248" s="135">
        <v>4.7548384016410399</v>
      </c>
    </row>
    <row r="249" spans="1:7" hidden="1" x14ac:dyDescent="0.2">
      <c r="A249" s="132">
        <v>840</v>
      </c>
      <c r="B249" s="133" t="str">
        <f>VLOOKUP('T7. UN Households'!$A249,ISO2TLC[],3,FALSE)</f>
        <v>USA</v>
      </c>
      <c r="C249" s="133" t="s">
        <v>2620</v>
      </c>
      <c r="D249" s="134">
        <v>40360</v>
      </c>
      <c r="E249" s="136">
        <v>2.5768314761061801</v>
      </c>
    </row>
    <row r="250" spans="1:7" hidden="1" x14ac:dyDescent="0.2">
      <c r="A250" s="129">
        <v>840</v>
      </c>
      <c r="B250" s="130" t="str">
        <f>VLOOKUP('T7. UN Households'!$A250,ISO2TLC[],3,FALSE)</f>
        <v>USA</v>
      </c>
      <c r="C250" s="130" t="s">
        <v>2621</v>
      </c>
      <c r="D250" s="131">
        <v>40360</v>
      </c>
      <c r="E250" s="135">
        <v>2.5197485693251198</v>
      </c>
    </row>
    <row r="251" spans="1:7" x14ac:dyDescent="0.2">
      <c r="A251" s="132">
        <v>894</v>
      </c>
      <c r="B251" s="133"/>
      <c r="C251" s="133" t="s">
        <v>2620</v>
      </c>
      <c r="D251" s="134">
        <v>40360</v>
      </c>
      <c r="E251" s="136"/>
    </row>
    <row r="252" spans="1:7" hidden="1" x14ac:dyDescent="0.2">
      <c r="A252" s="129">
        <v>894</v>
      </c>
      <c r="B252" s="130" t="str">
        <f>VLOOKUP('T7. UN Households'!$A252,ISO2TLC[],3,FALSE)</f>
        <v>ZMB</v>
      </c>
      <c r="C252" s="130" t="s">
        <v>2621</v>
      </c>
      <c r="D252" s="131">
        <v>40360</v>
      </c>
      <c r="E252" s="135">
        <v>5.2074833332666799</v>
      </c>
    </row>
    <row r="253" spans="1:7" hidden="1" x14ac:dyDescent="0.2">
      <c r="A253" s="132">
        <v>170</v>
      </c>
      <c r="B253" s="133" t="str">
        <f>VLOOKUP('T7. UN Households'!$A253,ISO2TLC[],3,FALSE)</f>
        <v>COL</v>
      </c>
      <c r="C253" s="133" t="s">
        <v>2619</v>
      </c>
      <c r="D253" s="134">
        <v>40333</v>
      </c>
      <c r="E253" s="136">
        <v>3.7711515393145101</v>
      </c>
    </row>
    <row r="254" spans="1:7" hidden="1" x14ac:dyDescent="0.2">
      <c r="A254" s="124">
        <v>834</v>
      </c>
      <c r="B254" s="130" t="str">
        <f>VLOOKUP('T7. UN Households'!$A254,ISO2TLC[],3,FALSE)</f>
        <v>TZA</v>
      </c>
      <c r="C254" s="130" t="s">
        <v>2619</v>
      </c>
      <c r="D254" s="131">
        <v>40243</v>
      </c>
      <c r="E254" s="135">
        <v>4.9682326424319196</v>
      </c>
    </row>
    <row r="255" spans="1:7" x14ac:dyDescent="0.2">
      <c r="A255" s="15">
        <v>800</v>
      </c>
      <c r="C255" s="15" t="s">
        <v>2619</v>
      </c>
      <c r="D255" s="126">
        <v>40162</v>
      </c>
      <c r="E255" s="127">
        <v>4.74826731082441</v>
      </c>
      <c r="G255" t="s">
        <v>2623</v>
      </c>
    </row>
    <row r="256" spans="1:7" x14ac:dyDescent="0.2">
      <c r="A256" s="15">
        <v>426</v>
      </c>
      <c r="C256" s="15" t="s">
        <v>2619</v>
      </c>
      <c r="D256" s="126">
        <v>40145</v>
      </c>
      <c r="E256" s="127">
        <v>3.5924407744940301</v>
      </c>
    </row>
    <row r="257" spans="1:5" x14ac:dyDescent="0.2">
      <c r="A257" s="15">
        <v>400</v>
      </c>
      <c r="C257" s="15" t="s">
        <v>2619</v>
      </c>
      <c r="D257" s="126">
        <v>40133</v>
      </c>
      <c r="E257" s="127">
        <v>5.0917196132021196</v>
      </c>
    </row>
    <row r="258" spans="1:5" x14ac:dyDescent="0.2">
      <c r="A258" s="15">
        <v>626</v>
      </c>
      <c r="C258" s="15" t="s">
        <v>2619</v>
      </c>
      <c r="D258" s="126">
        <v>40123</v>
      </c>
      <c r="E258" s="127">
        <v>5.84475998532508</v>
      </c>
    </row>
    <row r="259" spans="1:5" x14ac:dyDescent="0.2">
      <c r="A259" s="15">
        <v>508</v>
      </c>
      <c r="C259" s="15" t="s">
        <v>2619</v>
      </c>
      <c r="D259" s="126">
        <v>40025</v>
      </c>
      <c r="E259" s="127">
        <v>4.27460908436188</v>
      </c>
    </row>
    <row r="260" spans="1:5" x14ac:dyDescent="0.2">
      <c r="A260" s="15">
        <v>604</v>
      </c>
      <c r="C260" s="15" t="s">
        <v>2619</v>
      </c>
      <c r="D260" s="126">
        <v>40002</v>
      </c>
      <c r="E260" s="127">
        <v>3.9317928570935901</v>
      </c>
    </row>
    <row r="261" spans="1:5" x14ac:dyDescent="0.2">
      <c r="A261" s="15">
        <v>31</v>
      </c>
      <c r="C261" s="15" t="s">
        <v>2620</v>
      </c>
      <c r="D261" s="126">
        <v>39995</v>
      </c>
      <c r="E261" s="127">
        <v>4.54852867256945</v>
      </c>
    </row>
    <row r="262" spans="1:5" x14ac:dyDescent="0.2">
      <c r="A262" s="15">
        <v>112</v>
      </c>
      <c r="C262" s="15" t="s">
        <v>2620</v>
      </c>
      <c r="D262" s="126">
        <v>39995</v>
      </c>
      <c r="E262" s="127">
        <v>2.4267228725847398</v>
      </c>
    </row>
    <row r="263" spans="1:5" x14ac:dyDescent="0.2">
      <c r="A263" s="15">
        <v>112</v>
      </c>
      <c r="C263" s="15" t="s">
        <v>2621</v>
      </c>
      <c r="D263" s="126">
        <v>39995</v>
      </c>
      <c r="E263" s="127">
        <v>2.4824662985152099</v>
      </c>
    </row>
    <row r="264" spans="1:5" x14ac:dyDescent="0.2">
      <c r="A264" s="15">
        <v>356</v>
      </c>
      <c r="C264" s="15" t="s">
        <v>2621</v>
      </c>
      <c r="D264" s="126">
        <v>39995</v>
      </c>
      <c r="E264" s="127">
        <v>4.4157010626463196</v>
      </c>
    </row>
    <row r="265" spans="1:5" x14ac:dyDescent="0.2">
      <c r="A265" s="15">
        <v>398</v>
      </c>
      <c r="C265" s="15" t="s">
        <v>2620</v>
      </c>
      <c r="D265" s="126">
        <v>39995</v>
      </c>
      <c r="E265" s="127">
        <v>3.4966278887343298</v>
      </c>
    </row>
    <row r="266" spans="1:5" x14ac:dyDescent="0.2">
      <c r="A266" s="15">
        <v>404</v>
      </c>
      <c r="C266" s="15" t="s">
        <v>2621</v>
      </c>
      <c r="D266" s="126">
        <v>39995</v>
      </c>
      <c r="E266" s="127">
        <v>4.2915619449750304</v>
      </c>
    </row>
    <row r="267" spans="1:5" x14ac:dyDescent="0.2">
      <c r="A267" s="15">
        <v>417</v>
      </c>
      <c r="C267" s="15" t="s">
        <v>2620</v>
      </c>
      <c r="D267" s="126">
        <v>39995</v>
      </c>
      <c r="E267" s="127">
        <v>4.6560883367213401</v>
      </c>
    </row>
    <row r="268" spans="1:5" x14ac:dyDescent="0.2">
      <c r="A268" s="15">
        <v>417</v>
      </c>
      <c r="C268" s="15" t="s">
        <v>2621</v>
      </c>
      <c r="D268" s="126">
        <v>39995</v>
      </c>
      <c r="E268" s="127">
        <v>4.5988647426695</v>
      </c>
    </row>
    <row r="269" spans="1:5" x14ac:dyDescent="0.2">
      <c r="A269" s="15">
        <v>466</v>
      </c>
      <c r="C269" s="15" t="s">
        <v>2620</v>
      </c>
      <c r="D269" s="126">
        <v>39995</v>
      </c>
    </row>
    <row r="270" spans="1:5" x14ac:dyDescent="0.2">
      <c r="A270" s="15">
        <v>466</v>
      </c>
      <c r="C270" s="15" t="s">
        <v>2621</v>
      </c>
      <c r="D270" s="126">
        <v>39995</v>
      </c>
      <c r="E270" s="127">
        <v>6.1629615162528504</v>
      </c>
    </row>
    <row r="271" spans="1:5" x14ac:dyDescent="0.2">
      <c r="A271" s="15">
        <v>566</v>
      </c>
      <c r="C271" s="15" t="s">
        <v>2621</v>
      </c>
      <c r="D271" s="126">
        <v>39995</v>
      </c>
      <c r="E271" s="127">
        <v>4.4421729990502499</v>
      </c>
    </row>
    <row r="272" spans="1:5" x14ac:dyDescent="0.2">
      <c r="A272" s="15">
        <v>840</v>
      </c>
      <c r="C272" s="15" t="s">
        <v>2620</v>
      </c>
      <c r="D272" s="126">
        <v>39995</v>
      </c>
    </row>
    <row r="273" spans="1:5" x14ac:dyDescent="0.2">
      <c r="A273" s="15">
        <v>704</v>
      </c>
      <c r="C273" s="15" t="s">
        <v>2620</v>
      </c>
      <c r="D273" s="126">
        <v>39995</v>
      </c>
    </row>
    <row r="274" spans="1:5" x14ac:dyDescent="0.2">
      <c r="A274" s="15">
        <v>704</v>
      </c>
      <c r="C274" s="15" t="s">
        <v>2621</v>
      </c>
      <c r="D274" s="126">
        <v>39995</v>
      </c>
      <c r="E274" s="127">
        <v>3.78309935825152</v>
      </c>
    </row>
    <row r="275" spans="1:5" x14ac:dyDescent="0.2">
      <c r="A275" s="15">
        <v>462</v>
      </c>
      <c r="C275" s="15" t="s">
        <v>2619</v>
      </c>
      <c r="D275" s="126">
        <v>39957</v>
      </c>
      <c r="E275" s="127">
        <v>6.3648710660766303</v>
      </c>
    </row>
    <row r="276" spans="1:5" x14ac:dyDescent="0.2">
      <c r="A276" s="15">
        <v>328</v>
      </c>
      <c r="C276" s="15" t="s">
        <v>2619</v>
      </c>
      <c r="D276" s="126">
        <v>39953</v>
      </c>
      <c r="E276" s="127">
        <v>3.79520268281347</v>
      </c>
    </row>
    <row r="277" spans="1:5" x14ac:dyDescent="0.2">
      <c r="A277" s="15">
        <v>178</v>
      </c>
      <c r="C277" s="15" t="s">
        <v>2619</v>
      </c>
      <c r="D277" s="126">
        <v>39933</v>
      </c>
      <c r="E277" s="127">
        <v>4.200827126988</v>
      </c>
    </row>
    <row r="278" spans="1:5" x14ac:dyDescent="0.2">
      <c r="A278" s="15">
        <v>450</v>
      </c>
      <c r="C278" s="15" t="s">
        <v>2619</v>
      </c>
      <c r="D278" s="126">
        <v>39889</v>
      </c>
      <c r="E278" s="127">
        <v>4.72506176673346</v>
      </c>
    </row>
    <row r="279" spans="1:5" x14ac:dyDescent="0.2">
      <c r="A279" s="15">
        <v>430</v>
      </c>
      <c r="C279" s="15" t="s">
        <v>2619</v>
      </c>
      <c r="D279" s="126">
        <v>39842</v>
      </c>
      <c r="E279" s="127">
        <v>5.5763072200477897</v>
      </c>
    </row>
    <row r="280" spans="1:5" x14ac:dyDescent="0.2">
      <c r="A280" s="15">
        <v>8</v>
      </c>
      <c r="C280" s="15" t="s">
        <v>2619</v>
      </c>
      <c r="D280" s="126">
        <v>39834</v>
      </c>
      <c r="E280" s="127">
        <v>3.8238029493024999</v>
      </c>
    </row>
    <row r="281" spans="1:5" x14ac:dyDescent="0.2">
      <c r="A281" s="15">
        <v>404</v>
      </c>
      <c r="C281" s="15" t="s">
        <v>2619</v>
      </c>
      <c r="D281" s="126">
        <v>39817</v>
      </c>
      <c r="E281" s="127">
        <v>4.2053371158938599</v>
      </c>
    </row>
    <row r="282" spans="1:5" x14ac:dyDescent="0.2">
      <c r="A282" s="15">
        <v>686</v>
      </c>
      <c r="C282" s="15" t="s">
        <v>2619</v>
      </c>
      <c r="D282" s="126">
        <v>39812</v>
      </c>
      <c r="E282" s="127">
        <v>9.2528711403241104</v>
      </c>
    </row>
    <row r="283" spans="1:5" x14ac:dyDescent="0.2">
      <c r="A283" s="15">
        <v>678</v>
      </c>
      <c r="C283" s="15" t="s">
        <v>2619</v>
      </c>
      <c r="D283" s="126">
        <v>39765</v>
      </c>
      <c r="E283" s="127">
        <v>3.8364511228465501</v>
      </c>
    </row>
    <row r="284" spans="1:5" x14ac:dyDescent="0.2">
      <c r="A284" s="15">
        <v>288</v>
      </c>
      <c r="C284" s="15" t="s">
        <v>2619</v>
      </c>
      <c r="D284" s="126">
        <v>39737</v>
      </c>
      <c r="E284" s="127">
        <v>3.75317863290313</v>
      </c>
    </row>
    <row r="285" spans="1:5" x14ac:dyDescent="0.2">
      <c r="A285" s="15">
        <v>608</v>
      </c>
      <c r="C285" s="15" t="s">
        <v>2619</v>
      </c>
      <c r="D285" s="126">
        <v>39691</v>
      </c>
      <c r="E285" s="127">
        <v>4.7812440851311901</v>
      </c>
    </row>
    <row r="286" spans="1:5" x14ac:dyDescent="0.2">
      <c r="A286" s="15">
        <v>566</v>
      </c>
      <c r="C286" s="15" t="s">
        <v>2619</v>
      </c>
      <c r="D286" s="126">
        <v>39688</v>
      </c>
      <c r="E286" s="127">
        <v>4.4313162957439003</v>
      </c>
    </row>
    <row r="287" spans="1:5" x14ac:dyDescent="0.2">
      <c r="A287" s="15">
        <v>108</v>
      </c>
      <c r="C287" s="15" t="s">
        <v>2620</v>
      </c>
      <c r="D287" s="126">
        <v>39630</v>
      </c>
      <c r="E287" s="127">
        <v>4.2556372853287803</v>
      </c>
    </row>
    <row r="288" spans="1:5" x14ac:dyDescent="0.2">
      <c r="A288" s="15">
        <v>116</v>
      </c>
      <c r="C288" s="15" t="s">
        <v>2620</v>
      </c>
      <c r="D288" s="126">
        <v>39630</v>
      </c>
    </row>
    <row r="289" spans="1:5" x14ac:dyDescent="0.2">
      <c r="A289" s="15">
        <v>116</v>
      </c>
      <c r="C289" s="15" t="s">
        <v>2621</v>
      </c>
      <c r="D289" s="126">
        <v>39630</v>
      </c>
      <c r="E289" s="127">
        <v>4.6797904547600204</v>
      </c>
    </row>
    <row r="290" spans="1:5" x14ac:dyDescent="0.2">
      <c r="A290" s="15">
        <v>408</v>
      </c>
      <c r="C290" s="15" t="s">
        <v>2620</v>
      </c>
      <c r="D290" s="126">
        <v>39630</v>
      </c>
      <c r="E290" s="127">
        <v>3.9293088662347602</v>
      </c>
    </row>
    <row r="291" spans="1:5" x14ac:dyDescent="0.2">
      <c r="A291" s="15">
        <v>376</v>
      </c>
      <c r="C291" s="15" t="s">
        <v>2620</v>
      </c>
      <c r="D291" s="126">
        <v>39630</v>
      </c>
      <c r="E291" s="127">
        <v>3.1419453923882301</v>
      </c>
    </row>
    <row r="292" spans="1:5" x14ac:dyDescent="0.2">
      <c r="A292" s="15">
        <v>430</v>
      </c>
      <c r="C292" s="15" t="s">
        <v>2621</v>
      </c>
      <c r="D292" s="126">
        <v>39630</v>
      </c>
      <c r="E292" s="127">
        <v>5.11335500999314</v>
      </c>
    </row>
    <row r="293" spans="1:5" x14ac:dyDescent="0.2">
      <c r="A293" s="15">
        <v>454</v>
      </c>
      <c r="C293" s="15" t="s">
        <v>2621</v>
      </c>
      <c r="D293" s="126">
        <v>39630</v>
      </c>
      <c r="E293" s="127">
        <v>4.5222903456828902</v>
      </c>
    </row>
    <row r="294" spans="1:5" x14ac:dyDescent="0.2">
      <c r="A294" s="15">
        <v>566</v>
      </c>
      <c r="C294" s="15" t="s">
        <v>2621</v>
      </c>
      <c r="D294" s="126">
        <v>39630</v>
      </c>
      <c r="E294" s="127">
        <v>4.7948664812051502</v>
      </c>
    </row>
    <row r="295" spans="1:5" x14ac:dyDescent="0.2">
      <c r="A295" s="15">
        <v>654</v>
      </c>
      <c r="C295" s="15" t="s">
        <v>2620</v>
      </c>
      <c r="D295" s="126">
        <v>39630</v>
      </c>
    </row>
    <row r="296" spans="1:5" x14ac:dyDescent="0.2">
      <c r="A296" s="15">
        <v>728</v>
      </c>
      <c r="C296" s="15" t="s">
        <v>2621</v>
      </c>
      <c r="D296" s="126">
        <v>39630</v>
      </c>
      <c r="E296" s="127">
        <v>5.9479727880002997</v>
      </c>
    </row>
    <row r="297" spans="1:5" x14ac:dyDescent="0.2">
      <c r="A297" s="15">
        <v>729</v>
      </c>
      <c r="C297" s="15" t="s">
        <v>2621</v>
      </c>
      <c r="D297" s="126">
        <v>39630</v>
      </c>
      <c r="E297" s="127">
        <v>5.5903759281281404</v>
      </c>
    </row>
    <row r="298" spans="1:5" x14ac:dyDescent="0.2">
      <c r="A298" s="15">
        <v>694</v>
      </c>
      <c r="C298" s="15" t="s">
        <v>2619</v>
      </c>
      <c r="D298" s="126">
        <v>39588</v>
      </c>
      <c r="E298" s="127">
        <v>5.87740614854195</v>
      </c>
    </row>
    <row r="299" spans="1:5" x14ac:dyDescent="0.2">
      <c r="A299" s="15">
        <v>818</v>
      </c>
      <c r="C299" s="15" t="s">
        <v>2619</v>
      </c>
      <c r="D299" s="126">
        <v>39561</v>
      </c>
      <c r="E299" s="127">
        <v>4.6139703682708602</v>
      </c>
    </row>
    <row r="300" spans="1:5" x14ac:dyDescent="0.2">
      <c r="A300" s="15">
        <v>68</v>
      </c>
      <c r="C300" s="15" t="s">
        <v>2619</v>
      </c>
      <c r="D300" s="126">
        <v>39555</v>
      </c>
      <c r="E300" s="127">
        <v>3.94455117330223</v>
      </c>
    </row>
    <row r="301" spans="1:5" x14ac:dyDescent="0.2">
      <c r="A301" s="15">
        <v>646</v>
      </c>
      <c r="C301" s="15" t="s">
        <v>2619</v>
      </c>
      <c r="D301" s="126">
        <v>39495</v>
      </c>
      <c r="E301" s="127">
        <v>4.3440022830728902</v>
      </c>
    </row>
    <row r="302" spans="1:5" x14ac:dyDescent="0.2">
      <c r="A302" s="15">
        <v>604</v>
      </c>
      <c r="C302" s="15" t="s">
        <v>2619</v>
      </c>
      <c r="D302" s="126">
        <v>39433</v>
      </c>
      <c r="E302" s="127">
        <v>4.0142548654834203</v>
      </c>
    </row>
    <row r="303" spans="1:5" x14ac:dyDescent="0.2">
      <c r="A303" s="15">
        <v>834</v>
      </c>
      <c r="C303" s="15" t="s">
        <v>2619</v>
      </c>
      <c r="D303" s="126">
        <v>39431</v>
      </c>
      <c r="E303" s="127">
        <v>4.9929680490201003</v>
      </c>
    </row>
    <row r="304" spans="1:5" x14ac:dyDescent="0.2">
      <c r="A304" s="15">
        <v>360</v>
      </c>
      <c r="C304" s="15" t="s">
        <v>2619</v>
      </c>
      <c r="D304" s="126">
        <v>39343</v>
      </c>
      <c r="E304" s="127">
        <v>4.1041969000402299</v>
      </c>
    </row>
    <row r="305" spans="1:5" x14ac:dyDescent="0.2">
      <c r="A305" s="15">
        <v>804</v>
      </c>
      <c r="C305" s="15" t="s">
        <v>2619</v>
      </c>
      <c r="D305" s="126">
        <v>39339</v>
      </c>
      <c r="E305" s="127">
        <v>2.4582984193627602</v>
      </c>
    </row>
    <row r="306" spans="1:5" x14ac:dyDescent="0.2">
      <c r="A306" s="15">
        <v>400</v>
      </c>
      <c r="C306" s="15" t="s">
        <v>2619</v>
      </c>
      <c r="D306" s="126">
        <v>39311</v>
      </c>
      <c r="E306" s="127">
        <v>5.2712953472922397</v>
      </c>
    </row>
    <row r="307" spans="1:5" x14ac:dyDescent="0.2">
      <c r="A307" s="15">
        <v>894</v>
      </c>
      <c r="C307" s="15" t="s">
        <v>2619</v>
      </c>
      <c r="D307" s="126">
        <v>39269</v>
      </c>
      <c r="E307" s="127">
        <v>4.8832996819333196</v>
      </c>
    </row>
    <row r="308" spans="1:5" x14ac:dyDescent="0.2">
      <c r="A308" s="15">
        <v>222</v>
      </c>
      <c r="C308" s="15" t="s">
        <v>2621</v>
      </c>
      <c r="D308" s="126">
        <v>39264</v>
      </c>
      <c r="E308" s="127">
        <v>4.0699771697616702</v>
      </c>
    </row>
    <row r="309" spans="1:5" x14ac:dyDescent="0.2">
      <c r="A309" s="15">
        <v>231</v>
      </c>
      <c r="C309" s="15" t="s">
        <v>2620</v>
      </c>
      <c r="D309" s="126">
        <v>39264</v>
      </c>
      <c r="E309" s="127">
        <v>4.6885556913822297</v>
      </c>
    </row>
    <row r="310" spans="1:5" x14ac:dyDescent="0.2">
      <c r="A310" s="15">
        <v>231</v>
      </c>
      <c r="C310" s="15" t="s">
        <v>2621</v>
      </c>
      <c r="D310" s="126">
        <v>39264</v>
      </c>
      <c r="E310" s="127">
        <v>4.4457035916269003</v>
      </c>
    </row>
    <row r="311" spans="1:5" x14ac:dyDescent="0.2">
      <c r="A311" s="15">
        <v>242</v>
      </c>
      <c r="C311" s="15" t="s">
        <v>2621</v>
      </c>
      <c r="D311" s="126">
        <v>39264</v>
      </c>
      <c r="E311" s="127">
        <v>4.7802146794313902</v>
      </c>
    </row>
    <row r="312" spans="1:5" x14ac:dyDescent="0.2">
      <c r="A312" s="15">
        <v>258</v>
      </c>
      <c r="C312" s="15" t="s">
        <v>2620</v>
      </c>
      <c r="D312" s="126">
        <v>39264</v>
      </c>
    </row>
    <row r="313" spans="1:5" x14ac:dyDescent="0.2">
      <c r="A313" s="15">
        <v>508</v>
      </c>
      <c r="C313" s="15" t="s">
        <v>2621</v>
      </c>
      <c r="D313" s="126">
        <v>39264</v>
      </c>
      <c r="E313" s="127">
        <v>4.3594144218347699</v>
      </c>
    </row>
    <row r="314" spans="1:5" x14ac:dyDescent="0.2">
      <c r="A314" s="15">
        <v>566</v>
      </c>
      <c r="C314" s="15" t="s">
        <v>2621</v>
      </c>
      <c r="D314" s="126">
        <v>39264</v>
      </c>
      <c r="E314" s="127">
        <v>4.5474701107897602</v>
      </c>
    </row>
    <row r="315" spans="1:5" x14ac:dyDescent="0.2">
      <c r="A315" s="15">
        <v>604</v>
      </c>
      <c r="C315" s="15" t="s">
        <v>2620</v>
      </c>
      <c r="D315" s="126">
        <v>39264</v>
      </c>
      <c r="E315" s="127">
        <v>4.0060560485419598</v>
      </c>
    </row>
    <row r="316" spans="1:5" x14ac:dyDescent="0.2">
      <c r="A316" s="15">
        <v>604</v>
      </c>
      <c r="C316" s="15" t="s">
        <v>2621</v>
      </c>
      <c r="D316" s="126">
        <v>39264</v>
      </c>
      <c r="E316" s="127">
        <v>4.0092302315628601</v>
      </c>
    </row>
    <row r="317" spans="1:5" x14ac:dyDescent="0.2">
      <c r="A317" s="15">
        <v>608</v>
      </c>
      <c r="C317" s="15" t="s">
        <v>2620</v>
      </c>
      <c r="D317" s="126">
        <v>39264</v>
      </c>
      <c r="E317" s="127">
        <v>4.7629835625244299</v>
      </c>
    </row>
    <row r="318" spans="1:5" x14ac:dyDescent="0.2">
      <c r="A318" s="15">
        <v>710</v>
      </c>
      <c r="C318" s="15" t="s">
        <v>2621</v>
      </c>
      <c r="D318" s="126">
        <v>39264</v>
      </c>
      <c r="E318" s="127">
        <v>3.7795310127092598</v>
      </c>
    </row>
    <row r="319" spans="1:5" x14ac:dyDescent="0.2">
      <c r="A319" s="15">
        <v>275</v>
      </c>
      <c r="C319" s="15" t="s">
        <v>2620</v>
      </c>
      <c r="D319" s="126">
        <v>39264</v>
      </c>
      <c r="E319" s="127">
        <v>5.8870669745958404</v>
      </c>
    </row>
    <row r="320" spans="1:5" x14ac:dyDescent="0.2">
      <c r="A320" s="15">
        <v>275</v>
      </c>
      <c r="C320" s="15" t="s">
        <v>2621</v>
      </c>
      <c r="D320" s="126">
        <v>39264</v>
      </c>
      <c r="E320" s="127">
        <v>5.4765066381737801</v>
      </c>
    </row>
    <row r="321" spans="1:5" x14ac:dyDescent="0.2">
      <c r="A321" s="15">
        <v>748</v>
      </c>
      <c r="C321" s="15" t="s">
        <v>2620</v>
      </c>
      <c r="D321" s="126">
        <v>39264</v>
      </c>
      <c r="E321" s="127">
        <v>4.7371804236669099</v>
      </c>
    </row>
    <row r="322" spans="1:5" x14ac:dyDescent="0.2">
      <c r="A322" s="15">
        <v>50</v>
      </c>
      <c r="C322" s="15" t="s">
        <v>2619</v>
      </c>
      <c r="D322" s="126">
        <v>39235</v>
      </c>
      <c r="E322" s="127">
        <v>4.7122365181425403</v>
      </c>
    </row>
    <row r="323" spans="1:5" x14ac:dyDescent="0.2">
      <c r="A323" s="15">
        <v>214</v>
      </c>
      <c r="C323" s="15" t="s">
        <v>2619</v>
      </c>
      <c r="D323" s="126">
        <v>39229</v>
      </c>
      <c r="E323" s="127">
        <v>3.70621194068584</v>
      </c>
    </row>
    <row r="324" spans="1:5" x14ac:dyDescent="0.2">
      <c r="A324" s="15">
        <v>180</v>
      </c>
      <c r="C324" s="15" t="s">
        <v>2619</v>
      </c>
      <c r="D324" s="126">
        <v>39211</v>
      </c>
      <c r="E324" s="127">
        <v>5.4475164787613304</v>
      </c>
    </row>
    <row r="325" spans="1:5" x14ac:dyDescent="0.2">
      <c r="A325" s="15">
        <v>430</v>
      </c>
      <c r="C325" s="15" t="s">
        <v>2619</v>
      </c>
      <c r="D325" s="126">
        <v>39139</v>
      </c>
      <c r="E325" s="127">
        <v>5.0364699618169402</v>
      </c>
    </row>
    <row r="326" spans="1:5" x14ac:dyDescent="0.2">
      <c r="A326" s="15">
        <v>24</v>
      </c>
      <c r="C326" s="15" t="s">
        <v>2619</v>
      </c>
      <c r="D326" s="126">
        <v>39111</v>
      </c>
      <c r="E326" s="127">
        <v>5.6909308539993004</v>
      </c>
    </row>
    <row r="327" spans="1:5" x14ac:dyDescent="0.2">
      <c r="A327" s="15">
        <v>516</v>
      </c>
      <c r="C327" s="15" t="s">
        <v>2619</v>
      </c>
      <c r="D327" s="126">
        <v>39098</v>
      </c>
      <c r="E327" s="127">
        <v>4.5005680248608702</v>
      </c>
    </row>
    <row r="328" spans="1:5" x14ac:dyDescent="0.2">
      <c r="A328" s="15">
        <v>586</v>
      </c>
      <c r="C328" s="15" t="s">
        <v>2619</v>
      </c>
      <c r="D328" s="126">
        <v>39054</v>
      </c>
      <c r="E328" s="127">
        <v>7.1516255371542901</v>
      </c>
    </row>
    <row r="329" spans="1:5" x14ac:dyDescent="0.2">
      <c r="A329" s="15">
        <v>686</v>
      </c>
      <c r="C329" s="15" t="s">
        <v>2619</v>
      </c>
      <c r="D329" s="126">
        <v>39051</v>
      </c>
      <c r="E329" s="127">
        <v>9.3888967758626798</v>
      </c>
    </row>
    <row r="330" spans="1:5" x14ac:dyDescent="0.2">
      <c r="A330" s="15">
        <v>748</v>
      </c>
      <c r="C330" s="15" t="s">
        <v>2619</v>
      </c>
      <c r="D330" s="126">
        <v>39032</v>
      </c>
      <c r="E330" s="127">
        <v>4.6431824707646401</v>
      </c>
    </row>
    <row r="331" spans="1:5" x14ac:dyDescent="0.2">
      <c r="A331" s="15">
        <v>204</v>
      </c>
      <c r="C331" s="15" t="s">
        <v>2619</v>
      </c>
      <c r="D331" s="126">
        <v>38989</v>
      </c>
      <c r="E331" s="127">
        <v>5.0478096320728199</v>
      </c>
    </row>
    <row r="332" spans="1:5" x14ac:dyDescent="0.2">
      <c r="A332" s="15">
        <v>31</v>
      </c>
      <c r="C332" s="15" t="s">
        <v>2619</v>
      </c>
      <c r="D332" s="126">
        <v>38974</v>
      </c>
      <c r="E332" s="127">
        <v>4.1488665589666196</v>
      </c>
    </row>
    <row r="333" spans="1:5" x14ac:dyDescent="0.2">
      <c r="A333" s="15">
        <v>466</v>
      </c>
      <c r="C333" s="15" t="s">
        <v>2619</v>
      </c>
      <c r="D333" s="126">
        <v>38938</v>
      </c>
      <c r="E333" s="127">
        <v>5.6862454942390697</v>
      </c>
    </row>
    <row r="334" spans="1:5" x14ac:dyDescent="0.2">
      <c r="A334" s="15">
        <v>800</v>
      </c>
      <c r="C334" s="15" t="s">
        <v>2619</v>
      </c>
      <c r="D334" s="126">
        <v>38919</v>
      </c>
      <c r="E334" s="127">
        <v>4.9664106394750096</v>
      </c>
    </row>
    <row r="335" spans="1:5" x14ac:dyDescent="0.2">
      <c r="A335" s="15">
        <v>36</v>
      </c>
      <c r="C335" s="15" t="s">
        <v>2620</v>
      </c>
      <c r="D335" s="126">
        <v>38899</v>
      </c>
      <c r="E335" s="127">
        <v>2.5021435876159601</v>
      </c>
    </row>
    <row r="336" spans="1:5" x14ac:dyDescent="0.2">
      <c r="A336" s="15">
        <v>854</v>
      </c>
      <c r="C336" s="15" t="s">
        <v>2620</v>
      </c>
      <c r="D336" s="126">
        <v>38899</v>
      </c>
      <c r="E336" s="127">
        <v>5.93920070369124</v>
      </c>
    </row>
    <row r="337" spans="1:5" x14ac:dyDescent="0.2">
      <c r="A337" s="15">
        <v>854</v>
      </c>
      <c r="C337" s="15" t="s">
        <v>2621</v>
      </c>
      <c r="D337" s="126">
        <v>38899</v>
      </c>
      <c r="E337" s="127">
        <v>5.9324398759385097</v>
      </c>
    </row>
    <row r="338" spans="1:5" x14ac:dyDescent="0.2">
      <c r="A338" s="15">
        <v>124</v>
      </c>
      <c r="C338" s="15" t="s">
        <v>2620</v>
      </c>
      <c r="D338" s="126">
        <v>38899</v>
      </c>
      <c r="E338" s="127">
        <v>2.49845024751819</v>
      </c>
    </row>
    <row r="339" spans="1:5" x14ac:dyDescent="0.2">
      <c r="A339" s="15">
        <v>344</v>
      </c>
      <c r="C339" s="15" t="s">
        <v>2620</v>
      </c>
      <c r="D339" s="126">
        <v>38899</v>
      </c>
      <c r="E339" s="127">
        <v>2.9808092893656801</v>
      </c>
    </row>
    <row r="340" spans="1:5" x14ac:dyDescent="0.2">
      <c r="A340" s="15">
        <v>184</v>
      </c>
      <c r="C340" s="15" t="s">
        <v>2620</v>
      </c>
      <c r="D340" s="126">
        <v>38899</v>
      </c>
    </row>
    <row r="341" spans="1:5" x14ac:dyDescent="0.2">
      <c r="A341" s="15">
        <v>818</v>
      </c>
      <c r="C341" s="15" t="s">
        <v>2621</v>
      </c>
      <c r="D341" s="126">
        <v>38899</v>
      </c>
      <c r="E341" s="127">
        <v>4.1860952310443702</v>
      </c>
    </row>
    <row r="342" spans="1:5" x14ac:dyDescent="0.2">
      <c r="A342" s="15">
        <v>250</v>
      </c>
      <c r="C342" s="15" t="s">
        <v>2621</v>
      </c>
      <c r="D342" s="126">
        <v>38899</v>
      </c>
      <c r="E342" s="127">
        <v>2.3110686235247702</v>
      </c>
    </row>
    <row r="343" spans="1:5" x14ac:dyDescent="0.2">
      <c r="A343" s="15">
        <v>364</v>
      </c>
      <c r="C343" s="15" t="s">
        <v>2620</v>
      </c>
      <c r="D343" s="126">
        <v>38899</v>
      </c>
    </row>
    <row r="344" spans="1:5" x14ac:dyDescent="0.2">
      <c r="A344" s="15">
        <v>364</v>
      </c>
      <c r="C344" s="15" t="s">
        <v>2621</v>
      </c>
      <c r="D344" s="126">
        <v>38899</v>
      </c>
      <c r="E344" s="127">
        <v>4.0510534994737402</v>
      </c>
    </row>
    <row r="345" spans="1:5" x14ac:dyDescent="0.2">
      <c r="A345" s="15">
        <v>372</v>
      </c>
      <c r="C345" s="15" t="s">
        <v>2620</v>
      </c>
      <c r="D345" s="126">
        <v>38899</v>
      </c>
      <c r="E345" s="127">
        <v>2.80589253232856</v>
      </c>
    </row>
    <row r="346" spans="1:5" x14ac:dyDescent="0.2">
      <c r="A346" s="15">
        <v>372</v>
      </c>
      <c r="C346" s="15" t="s">
        <v>2621</v>
      </c>
      <c r="D346" s="126">
        <v>38899</v>
      </c>
      <c r="E346" s="127">
        <v>2.9229130653745101</v>
      </c>
    </row>
    <row r="347" spans="1:5" x14ac:dyDescent="0.2">
      <c r="A347" s="15">
        <v>372</v>
      </c>
      <c r="C347" s="15" t="s">
        <v>2622</v>
      </c>
      <c r="D347" s="126">
        <v>38899</v>
      </c>
      <c r="E347" s="127">
        <v>2.8363884959787402</v>
      </c>
    </row>
    <row r="348" spans="1:5" x14ac:dyDescent="0.2">
      <c r="A348" s="15">
        <v>426</v>
      </c>
      <c r="C348" s="15" t="s">
        <v>2620</v>
      </c>
      <c r="D348" s="126">
        <v>38899</v>
      </c>
      <c r="E348" s="127">
        <v>4.4104827272705798</v>
      </c>
    </row>
    <row r="349" spans="1:5" x14ac:dyDescent="0.2">
      <c r="A349" s="15">
        <v>426</v>
      </c>
      <c r="C349" s="15" t="s">
        <v>2621</v>
      </c>
      <c r="D349" s="126">
        <v>38899</v>
      </c>
      <c r="E349" s="127">
        <v>4.2709881574531297</v>
      </c>
    </row>
    <row r="350" spans="1:5" x14ac:dyDescent="0.2">
      <c r="A350" s="15">
        <v>554</v>
      </c>
      <c r="C350" s="15" t="s">
        <v>2620</v>
      </c>
      <c r="D350" s="126">
        <v>38899</v>
      </c>
      <c r="E350" s="127">
        <v>2.6979730347539101</v>
      </c>
    </row>
    <row r="351" spans="1:5" x14ac:dyDescent="0.2">
      <c r="A351" s="15">
        <v>566</v>
      </c>
      <c r="C351" s="15" t="s">
        <v>2621</v>
      </c>
      <c r="D351" s="126">
        <v>38899</v>
      </c>
      <c r="E351" s="127">
        <v>4.4121077060275899</v>
      </c>
    </row>
    <row r="352" spans="1:5" x14ac:dyDescent="0.2">
      <c r="A352" s="15">
        <v>858</v>
      </c>
      <c r="C352" s="15" t="s">
        <v>2621</v>
      </c>
      <c r="D352" s="126">
        <v>38899</v>
      </c>
      <c r="E352" s="127">
        <v>2.9680932330157299</v>
      </c>
    </row>
    <row r="353" spans="1:5" x14ac:dyDescent="0.2">
      <c r="A353" s="15">
        <v>524</v>
      </c>
      <c r="C353" s="15" t="s">
        <v>2619</v>
      </c>
      <c r="D353" s="126">
        <v>38850</v>
      </c>
      <c r="E353" s="127">
        <v>4.8548110839048801</v>
      </c>
    </row>
    <row r="354" spans="1:5" x14ac:dyDescent="0.2">
      <c r="A354" s="15">
        <v>356</v>
      </c>
      <c r="C354" s="15" t="s">
        <v>2619</v>
      </c>
      <c r="D354" s="126">
        <v>38827</v>
      </c>
      <c r="E354" s="127">
        <v>4.8440695048041498</v>
      </c>
    </row>
    <row r="355" spans="1:5" x14ac:dyDescent="0.2">
      <c r="A355" s="15">
        <v>562</v>
      </c>
      <c r="C355" s="15" t="s">
        <v>2619</v>
      </c>
      <c r="D355" s="126">
        <v>38785</v>
      </c>
      <c r="E355" s="127">
        <v>6.0923931417458901</v>
      </c>
    </row>
    <row r="356" spans="1:5" x14ac:dyDescent="0.2">
      <c r="A356" s="15">
        <v>340</v>
      </c>
      <c r="C356" s="15" t="s">
        <v>2619</v>
      </c>
      <c r="D356" s="126">
        <v>38755</v>
      </c>
      <c r="E356" s="127">
        <v>4.8044346497678196</v>
      </c>
    </row>
    <row r="357" spans="1:5" x14ac:dyDescent="0.2">
      <c r="A357" s="15">
        <v>332</v>
      </c>
      <c r="C357" s="15" t="s">
        <v>2619</v>
      </c>
      <c r="D357" s="126">
        <v>38751</v>
      </c>
      <c r="E357" s="127">
        <v>4.6106850186297104</v>
      </c>
    </row>
    <row r="358" spans="1:5" x14ac:dyDescent="0.2">
      <c r="A358" s="15">
        <v>116</v>
      </c>
      <c r="C358" s="15" t="s">
        <v>2619</v>
      </c>
      <c r="D358" s="126">
        <v>38693</v>
      </c>
      <c r="E358" s="127">
        <v>4.95942668154008</v>
      </c>
    </row>
    <row r="359" spans="1:5" x14ac:dyDescent="0.2">
      <c r="A359" s="15">
        <v>716</v>
      </c>
      <c r="C359" s="15" t="s">
        <v>2619</v>
      </c>
      <c r="D359" s="126">
        <v>38692</v>
      </c>
      <c r="E359" s="127">
        <v>4.4559096855198597</v>
      </c>
    </row>
    <row r="360" spans="1:5" x14ac:dyDescent="0.2">
      <c r="A360" s="15">
        <v>704</v>
      </c>
      <c r="C360" s="15" t="s">
        <v>2619</v>
      </c>
      <c r="D360" s="126">
        <v>38655</v>
      </c>
      <c r="E360" s="127">
        <v>4.2156547777919302</v>
      </c>
    </row>
    <row r="361" spans="1:5" x14ac:dyDescent="0.2">
      <c r="A361" s="15">
        <v>51</v>
      </c>
      <c r="C361" s="15" t="s">
        <v>2619</v>
      </c>
      <c r="D361" s="126">
        <v>38642</v>
      </c>
      <c r="E361" s="127">
        <v>3.7638500089367</v>
      </c>
    </row>
    <row r="362" spans="1:5" x14ac:dyDescent="0.2">
      <c r="A362" s="15">
        <v>178</v>
      </c>
      <c r="C362" s="15" t="s">
        <v>2619</v>
      </c>
      <c r="D362" s="126">
        <v>38610</v>
      </c>
      <c r="E362" s="127">
        <v>5.1673183699354199</v>
      </c>
    </row>
    <row r="363" spans="1:5" x14ac:dyDescent="0.2">
      <c r="A363" s="15">
        <v>384</v>
      </c>
      <c r="C363" s="15" t="s">
        <v>2619</v>
      </c>
      <c r="D363" s="126">
        <v>38609</v>
      </c>
      <c r="E363" s="127">
        <v>5.4811977265879497</v>
      </c>
    </row>
    <row r="364" spans="1:5" x14ac:dyDescent="0.2">
      <c r="A364" s="15">
        <v>328</v>
      </c>
      <c r="C364" s="15" t="s">
        <v>2619</v>
      </c>
      <c r="D364" s="126">
        <v>38564</v>
      </c>
      <c r="E364" s="127">
        <v>4.15973028291923</v>
      </c>
    </row>
    <row r="365" spans="1:5" x14ac:dyDescent="0.2">
      <c r="A365" s="15">
        <v>498</v>
      </c>
      <c r="C365" s="15" t="s">
        <v>2619</v>
      </c>
      <c r="D365" s="126">
        <v>38547</v>
      </c>
      <c r="E365" s="127">
        <v>2.8199115948819702</v>
      </c>
    </row>
    <row r="366" spans="1:5" x14ac:dyDescent="0.2">
      <c r="A366" s="15">
        <v>64</v>
      </c>
      <c r="C366" s="15" t="s">
        <v>2620</v>
      </c>
      <c r="D366" s="126">
        <v>38534</v>
      </c>
    </row>
    <row r="367" spans="1:5" x14ac:dyDescent="0.2">
      <c r="A367" s="15">
        <v>120</v>
      </c>
      <c r="C367" s="15" t="s">
        <v>2621</v>
      </c>
      <c r="D367" s="126">
        <v>38534</v>
      </c>
      <c r="E367" s="127">
        <v>5.1188089918111599</v>
      </c>
    </row>
    <row r="368" spans="1:5" x14ac:dyDescent="0.2">
      <c r="A368" s="15">
        <v>170</v>
      </c>
      <c r="C368" s="15" t="s">
        <v>2620</v>
      </c>
      <c r="D368" s="126">
        <v>38534</v>
      </c>
      <c r="E368" s="127">
        <v>3.8951136511662798</v>
      </c>
    </row>
    <row r="369" spans="1:5" x14ac:dyDescent="0.2">
      <c r="A369" s="15">
        <v>170</v>
      </c>
      <c r="C369" s="15" t="s">
        <v>2621</v>
      </c>
      <c r="D369" s="126">
        <v>38534</v>
      </c>
      <c r="E369" s="127">
        <v>3.8307933474165798</v>
      </c>
    </row>
    <row r="370" spans="1:5" x14ac:dyDescent="0.2">
      <c r="A370" s="15">
        <v>276</v>
      </c>
      <c r="C370" s="15" t="s">
        <v>2622</v>
      </c>
      <c r="D370" s="126">
        <v>38534</v>
      </c>
      <c r="E370" s="127">
        <v>2.1167521829414002</v>
      </c>
    </row>
    <row r="371" spans="1:5" x14ac:dyDescent="0.2">
      <c r="A371" s="15">
        <v>360</v>
      </c>
      <c r="C371" s="15" t="s">
        <v>2621</v>
      </c>
      <c r="D371" s="126">
        <v>38534</v>
      </c>
      <c r="E371" s="127">
        <v>3.9458031467855701</v>
      </c>
    </row>
    <row r="372" spans="1:5" x14ac:dyDescent="0.2">
      <c r="A372" s="15">
        <v>392</v>
      </c>
      <c r="C372" s="15" t="s">
        <v>2620</v>
      </c>
      <c r="D372" s="126">
        <v>38534</v>
      </c>
      <c r="E372" s="127">
        <v>2.54722304373623</v>
      </c>
    </row>
    <row r="373" spans="1:5" x14ac:dyDescent="0.2">
      <c r="A373" s="15">
        <v>418</v>
      </c>
      <c r="C373" s="15" t="s">
        <v>2621</v>
      </c>
      <c r="D373" s="126">
        <v>38534</v>
      </c>
      <c r="E373" s="127">
        <v>5.76530408354279</v>
      </c>
    </row>
    <row r="374" spans="1:5" x14ac:dyDescent="0.2">
      <c r="A374" s="15">
        <v>470</v>
      </c>
      <c r="C374" s="15" t="s">
        <v>2620</v>
      </c>
      <c r="D374" s="126">
        <v>38534</v>
      </c>
      <c r="E374" s="127">
        <v>2.8557560734473402</v>
      </c>
    </row>
    <row r="375" spans="1:5" x14ac:dyDescent="0.2">
      <c r="A375" s="15">
        <v>558</v>
      </c>
      <c r="C375" s="15" t="s">
        <v>2621</v>
      </c>
      <c r="D375" s="126">
        <v>38534</v>
      </c>
      <c r="E375" s="127">
        <v>4.9198766448943596</v>
      </c>
    </row>
    <row r="376" spans="1:5" x14ac:dyDescent="0.2">
      <c r="A376" s="15">
        <v>585</v>
      </c>
      <c r="C376" s="15" t="s">
        <v>2620</v>
      </c>
      <c r="D376" s="126">
        <v>38534</v>
      </c>
    </row>
    <row r="377" spans="1:5" x14ac:dyDescent="0.2">
      <c r="A377" s="15">
        <v>630</v>
      </c>
      <c r="C377" s="15" t="s">
        <v>2621</v>
      </c>
      <c r="D377" s="126">
        <v>38534</v>
      </c>
      <c r="E377" s="127">
        <v>2.7646347040892798</v>
      </c>
    </row>
    <row r="378" spans="1:5" x14ac:dyDescent="0.2">
      <c r="A378" s="15">
        <v>410</v>
      </c>
      <c r="C378" s="15" t="s">
        <v>2620</v>
      </c>
      <c r="D378" s="126">
        <v>38534</v>
      </c>
      <c r="E378" s="127">
        <v>2.8788721913740498</v>
      </c>
    </row>
    <row r="379" spans="1:5" x14ac:dyDescent="0.2">
      <c r="A379" s="15">
        <v>840</v>
      </c>
      <c r="C379" s="15" t="s">
        <v>2621</v>
      </c>
      <c r="D379" s="126">
        <v>38534</v>
      </c>
      <c r="E379" s="127">
        <v>2.52080183662865</v>
      </c>
    </row>
    <row r="380" spans="1:5" x14ac:dyDescent="0.2">
      <c r="A380" s="15">
        <v>231</v>
      </c>
      <c r="C380" s="15" t="s">
        <v>2619</v>
      </c>
      <c r="D380" s="126">
        <v>38531</v>
      </c>
      <c r="E380" s="127">
        <v>5.0296881979310699</v>
      </c>
    </row>
    <row r="381" spans="1:5" x14ac:dyDescent="0.2">
      <c r="A381" s="15">
        <v>818</v>
      </c>
      <c r="C381" s="15" t="s">
        <v>2619</v>
      </c>
      <c r="D381" s="126">
        <v>38505</v>
      </c>
      <c r="E381" s="127">
        <v>4.8834978561101501</v>
      </c>
    </row>
    <row r="382" spans="1:5" x14ac:dyDescent="0.2">
      <c r="A382" s="15">
        <v>646</v>
      </c>
      <c r="C382" s="15" t="s">
        <v>2619</v>
      </c>
      <c r="D382" s="126">
        <v>38492</v>
      </c>
      <c r="E382" s="127">
        <v>4.5720929923310303</v>
      </c>
    </row>
    <row r="383" spans="1:5" x14ac:dyDescent="0.2">
      <c r="A383" s="15">
        <v>604</v>
      </c>
      <c r="C383" s="15" t="s">
        <v>2619</v>
      </c>
      <c r="D383" s="126">
        <v>38489</v>
      </c>
      <c r="E383" s="127">
        <v>4.0142548654834203</v>
      </c>
    </row>
    <row r="384" spans="1:5" x14ac:dyDescent="0.2">
      <c r="A384" s="15">
        <v>324</v>
      </c>
      <c r="C384" s="15" t="s">
        <v>2619</v>
      </c>
      <c r="D384" s="126">
        <v>38457</v>
      </c>
      <c r="E384" s="127">
        <v>6.0905118347952696</v>
      </c>
    </row>
    <row r="385" spans="1:5" x14ac:dyDescent="0.2">
      <c r="A385" s="15">
        <v>686</v>
      </c>
      <c r="C385" s="15" t="s">
        <v>2619</v>
      </c>
      <c r="D385" s="126">
        <v>38442</v>
      </c>
      <c r="E385" s="127">
        <v>8.6950899268853004</v>
      </c>
    </row>
    <row r="386" spans="1:5" x14ac:dyDescent="0.2">
      <c r="A386" s="15">
        <v>170</v>
      </c>
      <c r="C386" s="15" t="s">
        <v>2619</v>
      </c>
      <c r="D386" s="126">
        <v>38400</v>
      </c>
      <c r="E386" s="127">
        <v>4.1071738511350899</v>
      </c>
    </row>
    <row r="387" spans="1:5" x14ac:dyDescent="0.2">
      <c r="A387" s="15">
        <v>834</v>
      </c>
      <c r="C387" s="15" t="s">
        <v>2619</v>
      </c>
      <c r="D387" s="126">
        <v>38332</v>
      </c>
      <c r="E387" s="127">
        <v>4.8674274542106399</v>
      </c>
    </row>
    <row r="388" spans="1:5" x14ac:dyDescent="0.2">
      <c r="A388" s="15">
        <v>426</v>
      </c>
      <c r="C388" s="15" t="s">
        <v>2619</v>
      </c>
      <c r="D388" s="126">
        <v>38329</v>
      </c>
      <c r="E388" s="127">
        <v>3.89731908129676</v>
      </c>
    </row>
    <row r="389" spans="1:5" x14ac:dyDescent="0.2">
      <c r="A389" s="15">
        <v>454</v>
      </c>
      <c r="C389" s="15" t="s">
        <v>2619</v>
      </c>
      <c r="D389" s="126">
        <v>38321</v>
      </c>
      <c r="E389" s="127">
        <v>4.3873263078079097</v>
      </c>
    </row>
    <row r="390" spans="1:5" x14ac:dyDescent="0.2">
      <c r="A390" s="15">
        <v>148</v>
      </c>
      <c r="C390" s="15" t="s">
        <v>2619</v>
      </c>
      <c r="D390" s="126">
        <v>38261</v>
      </c>
      <c r="E390" s="127">
        <v>5.3638758162305296</v>
      </c>
    </row>
    <row r="391" spans="1:5" x14ac:dyDescent="0.2">
      <c r="A391" s="15">
        <v>116</v>
      </c>
      <c r="C391" s="15" t="s">
        <v>2621</v>
      </c>
      <c r="D391" s="126">
        <v>38169</v>
      </c>
      <c r="E391" s="127">
        <v>4.8795071886306998</v>
      </c>
    </row>
    <row r="392" spans="1:5" x14ac:dyDescent="0.2">
      <c r="A392" s="15">
        <v>356</v>
      </c>
      <c r="C392" s="15" t="s">
        <v>2621</v>
      </c>
      <c r="D392" s="126">
        <v>38169</v>
      </c>
      <c r="E392" s="127">
        <v>4.69176428603443</v>
      </c>
    </row>
    <row r="393" spans="1:5" x14ac:dyDescent="0.2">
      <c r="A393" s="15">
        <v>400</v>
      </c>
      <c r="C393" s="15" t="s">
        <v>2621</v>
      </c>
      <c r="D393" s="126">
        <v>38169</v>
      </c>
      <c r="E393" s="127">
        <v>5.3657515222732597</v>
      </c>
    </row>
    <row r="394" spans="1:5" x14ac:dyDescent="0.2">
      <c r="A394" s="15">
        <v>504</v>
      </c>
      <c r="C394" s="15" t="s">
        <v>2621</v>
      </c>
      <c r="D394" s="126">
        <v>38169</v>
      </c>
      <c r="E394" s="127">
        <v>5.2361663882698997</v>
      </c>
    </row>
    <row r="395" spans="1:5" x14ac:dyDescent="0.2">
      <c r="A395" s="15">
        <v>540</v>
      </c>
      <c r="C395" s="15" t="s">
        <v>2620</v>
      </c>
      <c r="D395" s="126">
        <v>38169</v>
      </c>
    </row>
    <row r="396" spans="1:5" x14ac:dyDescent="0.2">
      <c r="A396" s="15">
        <v>498</v>
      </c>
      <c r="C396" s="15" t="s">
        <v>2620</v>
      </c>
      <c r="D396" s="126">
        <v>38169</v>
      </c>
      <c r="E396" s="127">
        <v>2.9892660274052498</v>
      </c>
    </row>
    <row r="397" spans="1:5" x14ac:dyDescent="0.2">
      <c r="A397" s="15">
        <v>694</v>
      </c>
      <c r="C397" s="15" t="s">
        <v>2621</v>
      </c>
      <c r="D397" s="126">
        <v>38169</v>
      </c>
      <c r="E397" s="127">
        <v>5.9949878048780496</v>
      </c>
    </row>
    <row r="398" spans="1:5" x14ac:dyDescent="0.2">
      <c r="A398" s="15">
        <v>740</v>
      </c>
      <c r="C398" s="15" t="s">
        <v>2620</v>
      </c>
      <c r="D398" s="126">
        <v>38169</v>
      </c>
      <c r="E398" s="127">
        <v>3.9408081773486798</v>
      </c>
    </row>
    <row r="399" spans="1:5" x14ac:dyDescent="0.2">
      <c r="A399" s="15">
        <v>626</v>
      </c>
      <c r="C399" s="15" t="s">
        <v>2620</v>
      </c>
      <c r="D399" s="126">
        <v>38169</v>
      </c>
      <c r="E399" s="127">
        <v>4.7109590586883598</v>
      </c>
    </row>
    <row r="400" spans="1:5" x14ac:dyDescent="0.2">
      <c r="A400" s="15">
        <v>120</v>
      </c>
      <c r="C400" s="15" t="s">
        <v>2619</v>
      </c>
      <c r="D400" s="126">
        <v>38144</v>
      </c>
      <c r="E400" s="127">
        <v>4.79004059609065</v>
      </c>
    </row>
    <row r="401" spans="1:5" x14ac:dyDescent="0.2">
      <c r="A401" s="15">
        <v>50</v>
      </c>
      <c r="C401" s="15" t="s">
        <v>2619</v>
      </c>
      <c r="D401" s="126">
        <v>38060</v>
      </c>
      <c r="E401" s="127">
        <v>4.9646987410744599</v>
      </c>
    </row>
    <row r="402" spans="1:5" x14ac:dyDescent="0.2">
      <c r="A402" s="15">
        <v>792</v>
      </c>
      <c r="C402" s="15" t="s">
        <v>2619</v>
      </c>
      <c r="D402" s="126">
        <v>38038</v>
      </c>
      <c r="E402" s="127">
        <v>4.07131378673696</v>
      </c>
    </row>
    <row r="403" spans="1:5" x14ac:dyDescent="0.2">
      <c r="A403" s="15">
        <v>834</v>
      </c>
      <c r="C403" s="15" t="s">
        <v>2619</v>
      </c>
      <c r="D403" s="126">
        <v>38015</v>
      </c>
      <c r="E403" s="127">
        <v>4.9893993286132599</v>
      </c>
    </row>
    <row r="404" spans="1:5" x14ac:dyDescent="0.2">
      <c r="A404" s="15">
        <v>450</v>
      </c>
      <c r="C404" s="15" t="s">
        <v>2619</v>
      </c>
      <c r="D404" s="126">
        <v>38011</v>
      </c>
      <c r="E404" s="127">
        <v>4.6612432438028604</v>
      </c>
    </row>
    <row r="405" spans="1:5" x14ac:dyDescent="0.2">
      <c r="A405" s="15">
        <v>504</v>
      </c>
      <c r="C405" s="15" t="s">
        <v>2619</v>
      </c>
      <c r="D405" s="126">
        <v>37979</v>
      </c>
      <c r="E405" s="127">
        <v>5.3582384586212104</v>
      </c>
    </row>
    <row r="406" spans="1:5" x14ac:dyDescent="0.2">
      <c r="A406" s="15">
        <v>508</v>
      </c>
      <c r="C406" s="15" t="s">
        <v>2619</v>
      </c>
      <c r="D406" s="126">
        <v>37932</v>
      </c>
      <c r="E406" s="127">
        <v>4.8581446546659004</v>
      </c>
    </row>
    <row r="407" spans="1:5" x14ac:dyDescent="0.2">
      <c r="A407" s="15">
        <v>68</v>
      </c>
      <c r="C407" s="15" t="s">
        <v>2619</v>
      </c>
      <c r="D407" s="126">
        <v>37921</v>
      </c>
      <c r="E407" s="127">
        <v>4.22908655112444</v>
      </c>
    </row>
    <row r="408" spans="1:5" x14ac:dyDescent="0.2">
      <c r="A408" s="15">
        <v>288</v>
      </c>
      <c r="C408" s="15" t="s">
        <v>2619</v>
      </c>
      <c r="D408" s="126">
        <v>37887</v>
      </c>
      <c r="E408" s="127">
        <v>4.02950783044919</v>
      </c>
    </row>
    <row r="409" spans="1:5" x14ac:dyDescent="0.2">
      <c r="A409" s="15">
        <v>854</v>
      </c>
      <c r="C409" s="15" t="s">
        <v>2619</v>
      </c>
      <c r="D409" s="126">
        <v>37873</v>
      </c>
      <c r="E409" s="127">
        <v>6.4850406970735204</v>
      </c>
    </row>
    <row r="410" spans="1:5" x14ac:dyDescent="0.2">
      <c r="A410" s="15">
        <v>608</v>
      </c>
      <c r="C410" s="15" t="s">
        <v>2619</v>
      </c>
      <c r="D410" s="126">
        <v>37834</v>
      </c>
      <c r="E410" s="127">
        <v>4.8183069940137004</v>
      </c>
    </row>
    <row r="411" spans="1:5" x14ac:dyDescent="0.2">
      <c r="A411" s="15">
        <v>332</v>
      </c>
      <c r="C411" s="15" t="s">
        <v>2621</v>
      </c>
      <c r="D411" s="126">
        <v>37803</v>
      </c>
      <c r="E411" s="127">
        <v>4.6768846160299304</v>
      </c>
    </row>
    <row r="412" spans="1:5" x14ac:dyDescent="0.2">
      <c r="A412" s="15">
        <v>512</v>
      </c>
      <c r="C412" s="15" t="s">
        <v>2620</v>
      </c>
      <c r="D412" s="126">
        <v>37803</v>
      </c>
      <c r="E412" s="127">
        <v>8.0177108943287703</v>
      </c>
    </row>
    <row r="413" spans="1:5" x14ac:dyDescent="0.2">
      <c r="A413" s="15">
        <v>404</v>
      </c>
      <c r="C413" s="15" t="s">
        <v>2619</v>
      </c>
      <c r="D413" s="126">
        <v>37792</v>
      </c>
      <c r="E413" s="127">
        <v>4.3595589232778398</v>
      </c>
    </row>
    <row r="414" spans="1:5" x14ac:dyDescent="0.2">
      <c r="A414" s="15">
        <v>818</v>
      </c>
      <c r="C414" s="15" t="s">
        <v>2619</v>
      </c>
      <c r="D414" s="126">
        <v>37778</v>
      </c>
      <c r="E414" s="127">
        <v>5.05073193798418</v>
      </c>
    </row>
    <row r="415" spans="1:5" x14ac:dyDescent="0.2">
      <c r="A415" s="15">
        <v>566</v>
      </c>
      <c r="C415" s="15" t="s">
        <v>2619</v>
      </c>
      <c r="D415" s="126">
        <v>37767</v>
      </c>
      <c r="E415" s="127">
        <v>4.9811083288083298</v>
      </c>
    </row>
    <row r="416" spans="1:5" x14ac:dyDescent="0.2">
      <c r="A416" s="15">
        <v>360</v>
      </c>
      <c r="C416" s="15" t="s">
        <v>2619</v>
      </c>
      <c r="D416" s="126">
        <v>37636</v>
      </c>
      <c r="E416" s="127">
        <v>4.3179964908045498</v>
      </c>
    </row>
    <row r="417" spans="1:5" x14ac:dyDescent="0.2">
      <c r="A417" s="15">
        <v>214</v>
      </c>
      <c r="C417" s="15" t="s">
        <v>2619</v>
      </c>
      <c r="D417" s="126">
        <v>37525</v>
      </c>
      <c r="E417" s="127">
        <v>3.9276734530779298</v>
      </c>
    </row>
    <row r="418" spans="1:5" x14ac:dyDescent="0.2">
      <c r="A418" s="15">
        <v>400</v>
      </c>
      <c r="C418" s="15" t="s">
        <v>2619</v>
      </c>
      <c r="D418" s="126">
        <v>37484</v>
      </c>
      <c r="E418" s="127">
        <v>5.6762683770267897</v>
      </c>
    </row>
    <row r="419" spans="1:5" x14ac:dyDescent="0.2">
      <c r="A419" s="15">
        <v>204</v>
      </c>
      <c r="C419" s="15" t="s">
        <v>2620</v>
      </c>
      <c r="D419" s="126">
        <v>37438</v>
      </c>
    </row>
    <row r="420" spans="1:5" x14ac:dyDescent="0.2">
      <c r="A420" s="15">
        <v>204</v>
      </c>
      <c r="C420" s="15" t="s">
        <v>2621</v>
      </c>
      <c r="D420" s="126">
        <v>37438</v>
      </c>
      <c r="E420" s="127">
        <v>5.5772882392312102</v>
      </c>
    </row>
    <row r="421" spans="1:5" x14ac:dyDescent="0.2">
      <c r="A421" s="15">
        <v>152</v>
      </c>
      <c r="C421" s="15" t="s">
        <v>2620</v>
      </c>
      <c r="D421" s="126">
        <v>37438</v>
      </c>
      <c r="E421" s="127">
        <v>3.5736778651416499</v>
      </c>
    </row>
    <row r="422" spans="1:5" x14ac:dyDescent="0.2">
      <c r="A422" s="15">
        <v>152</v>
      </c>
      <c r="C422" s="15" t="s">
        <v>2621</v>
      </c>
      <c r="D422" s="126">
        <v>37438</v>
      </c>
      <c r="E422" s="127">
        <v>3.57642542986666</v>
      </c>
    </row>
    <row r="423" spans="1:5" x14ac:dyDescent="0.2">
      <c r="A423" s="15">
        <v>192</v>
      </c>
      <c r="C423" s="15" t="s">
        <v>2621</v>
      </c>
      <c r="D423" s="126">
        <v>37438</v>
      </c>
      <c r="E423" s="127">
        <v>3.13669985331294</v>
      </c>
    </row>
    <row r="424" spans="1:5" x14ac:dyDescent="0.2">
      <c r="A424" s="15">
        <v>214</v>
      </c>
      <c r="C424" s="15" t="s">
        <v>2620</v>
      </c>
      <c r="D424" s="126">
        <v>37438</v>
      </c>
      <c r="E424" s="127">
        <v>3.89674580919006</v>
      </c>
    </row>
    <row r="425" spans="1:5" x14ac:dyDescent="0.2">
      <c r="A425" s="15">
        <v>214</v>
      </c>
      <c r="C425" s="15" t="s">
        <v>2621</v>
      </c>
      <c r="D425" s="126">
        <v>37438</v>
      </c>
      <c r="E425" s="127">
        <v>3.95632723568233</v>
      </c>
    </row>
    <row r="426" spans="1:5" x14ac:dyDescent="0.2">
      <c r="A426" s="15">
        <v>268</v>
      </c>
      <c r="C426" s="15" t="s">
        <v>2620</v>
      </c>
      <c r="D426" s="126">
        <v>37438</v>
      </c>
      <c r="E426" s="127">
        <v>3.5164757818394801</v>
      </c>
    </row>
    <row r="427" spans="1:5" x14ac:dyDescent="0.2">
      <c r="A427" s="15">
        <v>320</v>
      </c>
      <c r="C427" s="15" t="s">
        <v>2621</v>
      </c>
      <c r="D427" s="126">
        <v>37438</v>
      </c>
      <c r="E427" s="127">
        <v>5.0832276971307797</v>
      </c>
    </row>
    <row r="428" spans="1:5" x14ac:dyDescent="0.2">
      <c r="A428" s="15">
        <v>372</v>
      </c>
      <c r="C428" s="15" t="s">
        <v>2620</v>
      </c>
      <c r="D428" s="126">
        <v>37438</v>
      </c>
      <c r="E428" s="127">
        <v>2.9436643120350201</v>
      </c>
    </row>
    <row r="429" spans="1:5" x14ac:dyDescent="0.2">
      <c r="A429" s="15">
        <v>372</v>
      </c>
      <c r="C429" s="15" t="s">
        <v>2621</v>
      </c>
      <c r="D429" s="126">
        <v>37438</v>
      </c>
      <c r="E429" s="127">
        <v>3.0918527449934698</v>
      </c>
    </row>
    <row r="430" spans="1:5" x14ac:dyDescent="0.2">
      <c r="A430" s="15">
        <v>440</v>
      </c>
      <c r="C430" s="15" t="s">
        <v>2622</v>
      </c>
      <c r="D430" s="126">
        <v>37438</v>
      </c>
      <c r="E430" s="127">
        <v>2.9355872320093401</v>
      </c>
    </row>
    <row r="431" spans="1:5" x14ac:dyDescent="0.2">
      <c r="A431" s="15">
        <v>600</v>
      </c>
      <c r="C431" s="15" t="s">
        <v>2621</v>
      </c>
      <c r="D431" s="126">
        <v>37438</v>
      </c>
      <c r="E431" s="127">
        <v>4.6324420742250796</v>
      </c>
    </row>
    <row r="432" spans="1:5" x14ac:dyDescent="0.2">
      <c r="A432" s="15">
        <v>616</v>
      </c>
      <c r="C432" s="15" t="s">
        <v>2620</v>
      </c>
      <c r="D432" s="126">
        <v>37438</v>
      </c>
      <c r="E432" s="127">
        <v>2.8351673984632302</v>
      </c>
    </row>
    <row r="433" spans="1:5" x14ac:dyDescent="0.2">
      <c r="A433" s="15">
        <v>616</v>
      </c>
      <c r="C433" s="15" t="s">
        <v>2621</v>
      </c>
      <c r="D433" s="126">
        <v>37438</v>
      </c>
      <c r="E433" s="127">
        <v>2.8359531050368001</v>
      </c>
    </row>
    <row r="434" spans="1:5" x14ac:dyDescent="0.2">
      <c r="A434" s="15">
        <v>642</v>
      </c>
      <c r="C434" s="15" t="s">
        <v>2620</v>
      </c>
      <c r="D434" s="126">
        <v>37438</v>
      </c>
      <c r="E434" s="127">
        <v>2.91778778782334</v>
      </c>
    </row>
    <row r="435" spans="1:5" x14ac:dyDescent="0.2">
      <c r="A435" s="15">
        <v>642</v>
      </c>
      <c r="C435" s="15" t="s">
        <v>2621</v>
      </c>
      <c r="D435" s="126">
        <v>37438</v>
      </c>
      <c r="E435" s="127">
        <v>2.92065610587747</v>
      </c>
    </row>
    <row r="436" spans="1:5" x14ac:dyDescent="0.2">
      <c r="A436" s="15">
        <v>643</v>
      </c>
      <c r="C436" s="15" t="s">
        <v>2620</v>
      </c>
      <c r="D436" s="126">
        <v>37438</v>
      </c>
      <c r="E436" s="127">
        <v>2.7082218591338201</v>
      </c>
    </row>
    <row r="437" spans="1:5" x14ac:dyDescent="0.2">
      <c r="A437" s="15">
        <v>643</v>
      </c>
      <c r="C437" s="15" t="s">
        <v>2621</v>
      </c>
      <c r="D437" s="126">
        <v>37438</v>
      </c>
      <c r="E437" s="127">
        <v>2.7060487767199999</v>
      </c>
    </row>
    <row r="438" spans="1:5" x14ac:dyDescent="0.2">
      <c r="A438" s="15">
        <v>646</v>
      </c>
      <c r="C438" s="15" t="s">
        <v>2620</v>
      </c>
      <c r="D438" s="126">
        <v>37438</v>
      </c>
      <c r="E438" s="127">
        <v>4.5315188235521697</v>
      </c>
    </row>
    <row r="439" spans="1:5" x14ac:dyDescent="0.2">
      <c r="A439" s="15">
        <v>646</v>
      </c>
      <c r="C439" s="15" t="s">
        <v>2621</v>
      </c>
      <c r="D439" s="126">
        <v>37438</v>
      </c>
      <c r="E439" s="127">
        <v>4.5289474882206999</v>
      </c>
    </row>
    <row r="440" spans="1:5" x14ac:dyDescent="0.2">
      <c r="A440" s="15">
        <v>686</v>
      </c>
      <c r="C440" s="15" t="s">
        <v>2620</v>
      </c>
      <c r="D440" s="126">
        <v>37438</v>
      </c>
    </row>
    <row r="441" spans="1:5" x14ac:dyDescent="0.2">
      <c r="A441" s="15">
        <v>686</v>
      </c>
      <c r="C441" s="15" t="s">
        <v>2621</v>
      </c>
      <c r="D441" s="126">
        <v>37438</v>
      </c>
      <c r="E441" s="127">
        <v>9.1430642957399506</v>
      </c>
    </row>
    <row r="442" spans="1:5" x14ac:dyDescent="0.2">
      <c r="A442" s="15">
        <v>688</v>
      </c>
      <c r="C442" s="15" t="s">
        <v>2620</v>
      </c>
      <c r="D442" s="126">
        <v>37438</v>
      </c>
      <c r="E442" s="127">
        <v>2.96579432728196</v>
      </c>
    </row>
    <row r="443" spans="1:5" x14ac:dyDescent="0.2">
      <c r="A443" s="15">
        <v>690</v>
      </c>
      <c r="C443" s="15" t="s">
        <v>2620</v>
      </c>
      <c r="D443" s="126">
        <v>37438</v>
      </c>
      <c r="E443" s="127">
        <v>3.7786215514755401</v>
      </c>
    </row>
    <row r="444" spans="1:5" x14ac:dyDescent="0.2">
      <c r="A444" s="15">
        <v>705</v>
      </c>
      <c r="C444" s="15" t="s">
        <v>2620</v>
      </c>
      <c r="D444" s="126">
        <v>37438</v>
      </c>
      <c r="E444" s="127">
        <v>2.84678767666355</v>
      </c>
    </row>
    <row r="445" spans="1:5" x14ac:dyDescent="0.2">
      <c r="A445" s="15">
        <v>705</v>
      </c>
      <c r="C445" s="15" t="s">
        <v>2621</v>
      </c>
      <c r="D445" s="126">
        <v>37438</v>
      </c>
      <c r="E445" s="127">
        <v>2.8227603438251299</v>
      </c>
    </row>
    <row r="446" spans="1:5" x14ac:dyDescent="0.2">
      <c r="A446" s="15">
        <v>800</v>
      </c>
      <c r="C446" s="15" t="s">
        <v>2620</v>
      </c>
      <c r="D446" s="126">
        <v>37438</v>
      </c>
    </row>
    <row r="447" spans="1:5" x14ac:dyDescent="0.2">
      <c r="A447" s="15">
        <v>800</v>
      </c>
      <c r="C447" s="15" t="s">
        <v>2621</v>
      </c>
      <c r="D447" s="126">
        <v>37438</v>
      </c>
      <c r="E447" s="127">
        <v>4.8166732994670296</v>
      </c>
    </row>
    <row r="448" spans="1:5" x14ac:dyDescent="0.2">
      <c r="A448" s="15">
        <v>834</v>
      </c>
      <c r="C448" s="15" t="s">
        <v>2621</v>
      </c>
      <c r="D448" s="126">
        <v>37438</v>
      </c>
      <c r="E448" s="127">
        <v>4.6401079005753001</v>
      </c>
    </row>
    <row r="449" spans="1:5" x14ac:dyDescent="0.2">
      <c r="A449" s="15">
        <v>894</v>
      </c>
      <c r="C449" s="15" t="s">
        <v>2619</v>
      </c>
      <c r="D449" s="126">
        <v>37307</v>
      </c>
      <c r="E449" s="127">
        <v>5.2448142148322496</v>
      </c>
    </row>
    <row r="450" spans="1:5" x14ac:dyDescent="0.2">
      <c r="A450" s="15">
        <v>558</v>
      </c>
      <c r="C450" s="15" t="s">
        <v>2619</v>
      </c>
      <c r="D450" s="126">
        <v>37193</v>
      </c>
      <c r="E450" s="127">
        <v>5.2897049038925203</v>
      </c>
    </row>
    <row r="451" spans="1:5" x14ac:dyDescent="0.2">
      <c r="A451" s="15">
        <v>204</v>
      </c>
      <c r="C451" s="15" t="s">
        <v>2619</v>
      </c>
      <c r="D451" s="126">
        <v>37159</v>
      </c>
      <c r="E451" s="127">
        <v>5.1842366853768098</v>
      </c>
    </row>
    <row r="452" spans="1:5" x14ac:dyDescent="0.2">
      <c r="A452" s="15">
        <v>32</v>
      </c>
      <c r="C452" s="15" t="s">
        <v>2621</v>
      </c>
      <c r="D452" s="126">
        <v>37073</v>
      </c>
      <c r="E452" s="127">
        <v>3.5657996726814001</v>
      </c>
    </row>
    <row r="453" spans="1:5" x14ac:dyDescent="0.2">
      <c r="A453" s="15">
        <v>51</v>
      </c>
      <c r="C453" s="15" t="s">
        <v>2620</v>
      </c>
      <c r="D453" s="126">
        <v>37073</v>
      </c>
      <c r="E453" s="127">
        <v>4.1352258773513801</v>
      </c>
    </row>
    <row r="454" spans="1:5" x14ac:dyDescent="0.2">
      <c r="A454" s="15">
        <v>51</v>
      </c>
      <c r="C454" s="15" t="s">
        <v>2621</v>
      </c>
      <c r="D454" s="126">
        <v>37073</v>
      </c>
      <c r="E454" s="127">
        <v>3.98589022202151</v>
      </c>
    </row>
    <row r="455" spans="1:5" x14ac:dyDescent="0.2">
      <c r="A455" s="15">
        <v>40</v>
      </c>
      <c r="C455" s="15" t="s">
        <v>2620</v>
      </c>
      <c r="D455" s="126">
        <v>37073</v>
      </c>
      <c r="E455" s="127">
        <v>2.3785947863601802</v>
      </c>
    </row>
    <row r="456" spans="1:5" x14ac:dyDescent="0.2">
      <c r="A456" s="15">
        <v>40</v>
      </c>
      <c r="C456" s="15" t="s">
        <v>2621</v>
      </c>
      <c r="D456" s="126">
        <v>37073</v>
      </c>
      <c r="E456" s="127">
        <v>2.3791478276491902</v>
      </c>
    </row>
    <row r="457" spans="1:5" x14ac:dyDescent="0.2">
      <c r="A457" s="15">
        <v>40</v>
      </c>
      <c r="C457" s="15" t="s">
        <v>2622</v>
      </c>
      <c r="D457" s="126">
        <v>37073</v>
      </c>
      <c r="E457" s="127">
        <v>2.4218817608230698</v>
      </c>
    </row>
    <row r="458" spans="1:5" x14ac:dyDescent="0.2">
      <c r="A458" s="15">
        <v>50</v>
      </c>
      <c r="C458" s="15" t="s">
        <v>2621</v>
      </c>
      <c r="D458" s="126">
        <v>37073</v>
      </c>
      <c r="E458" s="127">
        <v>4.85150437991022</v>
      </c>
    </row>
    <row r="459" spans="1:5" x14ac:dyDescent="0.2">
      <c r="A459" s="15">
        <v>56</v>
      </c>
      <c r="C459" s="15" t="s">
        <v>2620</v>
      </c>
      <c r="D459" s="126">
        <v>37073</v>
      </c>
      <c r="E459" s="127">
        <v>2.36286490867188</v>
      </c>
    </row>
    <row r="460" spans="1:5" x14ac:dyDescent="0.2">
      <c r="A460" s="15">
        <v>56</v>
      </c>
      <c r="C460" s="15" t="s">
        <v>2622</v>
      </c>
      <c r="D460" s="126">
        <v>37073</v>
      </c>
      <c r="E460" s="127">
        <v>2.40059306472781</v>
      </c>
    </row>
    <row r="461" spans="1:5" x14ac:dyDescent="0.2">
      <c r="A461" s="15">
        <v>68</v>
      </c>
      <c r="C461" s="15" t="s">
        <v>2620</v>
      </c>
      <c r="D461" s="126">
        <v>37073</v>
      </c>
      <c r="E461" s="127">
        <v>4.0910528325070201</v>
      </c>
    </row>
    <row r="462" spans="1:5" x14ac:dyDescent="0.2">
      <c r="A462" s="15">
        <v>68</v>
      </c>
      <c r="C462" s="15" t="s">
        <v>2621</v>
      </c>
      <c r="D462" s="126">
        <v>37073</v>
      </c>
      <c r="E462" s="127">
        <v>4.0904315291857296</v>
      </c>
    </row>
    <row r="463" spans="1:5" x14ac:dyDescent="0.2">
      <c r="A463" s="15">
        <v>72</v>
      </c>
      <c r="C463" s="15" t="s">
        <v>2620</v>
      </c>
      <c r="D463" s="126">
        <v>37073</v>
      </c>
      <c r="E463" s="127">
        <v>4.1532939961354698</v>
      </c>
    </row>
    <row r="464" spans="1:5" x14ac:dyDescent="0.2">
      <c r="A464" s="15">
        <v>72</v>
      </c>
      <c r="C464" s="15" t="s">
        <v>2621</v>
      </c>
      <c r="D464" s="126">
        <v>37073</v>
      </c>
      <c r="E464" s="127">
        <v>4.1074128984432896</v>
      </c>
    </row>
    <row r="465" spans="1:5" x14ac:dyDescent="0.2">
      <c r="A465" s="15">
        <v>100</v>
      </c>
      <c r="C465" s="15" t="s">
        <v>2620</v>
      </c>
      <c r="D465" s="126">
        <v>37073</v>
      </c>
      <c r="E465" s="127">
        <v>2.68607067966694</v>
      </c>
    </row>
    <row r="466" spans="1:5" x14ac:dyDescent="0.2">
      <c r="A466" s="15">
        <v>100</v>
      </c>
      <c r="C466" s="15" t="s">
        <v>2622</v>
      </c>
      <c r="D466" s="126">
        <v>37073</v>
      </c>
      <c r="E466" s="127">
        <v>2.81048487774886</v>
      </c>
    </row>
    <row r="467" spans="1:5" x14ac:dyDescent="0.2">
      <c r="A467" s="15">
        <v>124</v>
      </c>
      <c r="C467" s="15" t="s">
        <v>2620</v>
      </c>
      <c r="D467" s="126">
        <v>37073</v>
      </c>
      <c r="E467" s="127">
        <v>2.55317554522084</v>
      </c>
    </row>
    <row r="468" spans="1:5" x14ac:dyDescent="0.2">
      <c r="A468" s="15">
        <v>191</v>
      </c>
      <c r="C468" s="15" t="s">
        <v>2620</v>
      </c>
      <c r="D468" s="126">
        <v>37073</v>
      </c>
      <c r="E468" s="127">
        <v>2.98558052548537</v>
      </c>
    </row>
    <row r="469" spans="1:5" x14ac:dyDescent="0.2">
      <c r="A469" s="15">
        <v>196</v>
      </c>
      <c r="C469" s="15" t="s">
        <v>2620</v>
      </c>
      <c r="D469" s="126">
        <v>37073</v>
      </c>
      <c r="E469" s="127">
        <v>3.0621564859913302</v>
      </c>
    </row>
    <row r="470" spans="1:5" x14ac:dyDescent="0.2">
      <c r="A470" s="15">
        <v>196</v>
      </c>
      <c r="C470" s="15" t="s">
        <v>2622</v>
      </c>
      <c r="D470" s="126">
        <v>37073</v>
      </c>
      <c r="E470" s="127">
        <v>2.95518666553293</v>
      </c>
    </row>
    <row r="471" spans="1:5" x14ac:dyDescent="0.2">
      <c r="A471" s="15">
        <v>203</v>
      </c>
      <c r="C471" s="15" t="s">
        <v>2620</v>
      </c>
      <c r="D471" s="126">
        <v>37073</v>
      </c>
      <c r="E471" s="127">
        <v>2.40955270114336</v>
      </c>
    </row>
    <row r="472" spans="1:5" x14ac:dyDescent="0.2">
      <c r="A472" s="15">
        <v>203</v>
      </c>
      <c r="C472" s="15" t="s">
        <v>2622</v>
      </c>
      <c r="D472" s="126">
        <v>37073</v>
      </c>
      <c r="E472" s="127">
        <v>2.60207527107517</v>
      </c>
    </row>
    <row r="473" spans="1:5" x14ac:dyDescent="0.2">
      <c r="A473" s="15">
        <v>218</v>
      </c>
      <c r="C473" s="15" t="s">
        <v>2620</v>
      </c>
      <c r="D473" s="126">
        <v>37073</v>
      </c>
      <c r="E473" s="127">
        <v>4.1905983989221998</v>
      </c>
    </row>
    <row r="474" spans="1:5" x14ac:dyDescent="0.2">
      <c r="A474" s="15">
        <v>218</v>
      </c>
      <c r="C474" s="15" t="s">
        <v>2621</v>
      </c>
      <c r="D474" s="126">
        <v>37073</v>
      </c>
      <c r="E474" s="127">
        <v>4.19169405749465</v>
      </c>
    </row>
    <row r="475" spans="1:5" x14ac:dyDescent="0.2">
      <c r="A475" s="15">
        <v>233</v>
      </c>
      <c r="C475" s="15" t="s">
        <v>2622</v>
      </c>
      <c r="D475" s="126">
        <v>37073</v>
      </c>
      <c r="E475" s="127">
        <v>2.63210567838874</v>
      </c>
    </row>
    <row r="476" spans="1:5" x14ac:dyDescent="0.2">
      <c r="A476" s="15">
        <v>250</v>
      </c>
      <c r="C476" s="15" t="s">
        <v>2622</v>
      </c>
      <c r="D476" s="126">
        <v>37073</v>
      </c>
      <c r="E476" s="127">
        <v>2.35110634857126</v>
      </c>
    </row>
    <row r="477" spans="1:5" x14ac:dyDescent="0.2">
      <c r="A477" s="15">
        <v>300</v>
      </c>
      <c r="C477" s="15" t="s">
        <v>2620</v>
      </c>
      <c r="D477" s="126">
        <v>37073</v>
      </c>
      <c r="E477" s="127">
        <v>2.8015572569746898</v>
      </c>
    </row>
    <row r="478" spans="1:5" x14ac:dyDescent="0.2">
      <c r="A478" s="15">
        <v>300</v>
      </c>
      <c r="C478" s="15" t="s">
        <v>2621</v>
      </c>
      <c r="D478" s="126">
        <v>37073</v>
      </c>
      <c r="E478" s="127">
        <v>2.8001567611406499</v>
      </c>
    </row>
    <row r="479" spans="1:5" x14ac:dyDescent="0.2">
      <c r="A479" s="15">
        <v>300</v>
      </c>
      <c r="C479" s="15" t="s">
        <v>2622</v>
      </c>
      <c r="D479" s="126">
        <v>37073</v>
      </c>
      <c r="E479" s="127">
        <v>2.6446485231576902</v>
      </c>
    </row>
    <row r="480" spans="1:5" x14ac:dyDescent="0.2">
      <c r="A480" s="15">
        <v>340</v>
      </c>
      <c r="C480" s="15" t="s">
        <v>2621</v>
      </c>
      <c r="D480" s="126">
        <v>37073</v>
      </c>
      <c r="E480" s="127">
        <v>4.9951966723338197</v>
      </c>
    </row>
    <row r="481" spans="1:5" x14ac:dyDescent="0.2">
      <c r="A481" s="15">
        <v>348</v>
      </c>
      <c r="C481" s="15" t="s">
        <v>2620</v>
      </c>
      <c r="D481" s="126">
        <v>37073</v>
      </c>
      <c r="E481" s="127">
        <v>2.57457914175103</v>
      </c>
    </row>
    <row r="482" spans="1:5" x14ac:dyDescent="0.2">
      <c r="A482" s="15">
        <v>348</v>
      </c>
      <c r="C482" s="15" t="s">
        <v>2621</v>
      </c>
      <c r="D482" s="126">
        <v>37073</v>
      </c>
      <c r="E482" s="127">
        <v>2.5747582560287201</v>
      </c>
    </row>
    <row r="483" spans="1:5" x14ac:dyDescent="0.2">
      <c r="A483" s="15">
        <v>348</v>
      </c>
      <c r="C483" s="15" t="s">
        <v>2622</v>
      </c>
      <c r="D483" s="126">
        <v>37073</v>
      </c>
      <c r="E483" s="127">
        <v>2.6173723233810602</v>
      </c>
    </row>
    <row r="484" spans="1:5" x14ac:dyDescent="0.2">
      <c r="A484" s="15">
        <v>356</v>
      </c>
      <c r="C484" s="15" t="s">
        <v>2620</v>
      </c>
      <c r="D484" s="126">
        <v>37073</v>
      </c>
      <c r="E484" s="127">
        <v>5.2880900354659</v>
      </c>
    </row>
    <row r="485" spans="1:5" x14ac:dyDescent="0.2">
      <c r="A485" s="15">
        <v>380</v>
      </c>
      <c r="C485" s="15" t="s">
        <v>2620</v>
      </c>
      <c r="D485" s="126">
        <v>37073</v>
      </c>
      <c r="E485" s="127">
        <v>2.5947852785489101</v>
      </c>
    </row>
    <row r="486" spans="1:5" x14ac:dyDescent="0.2">
      <c r="A486" s="15">
        <v>380</v>
      </c>
      <c r="C486" s="15" t="s">
        <v>2621</v>
      </c>
      <c r="D486" s="126">
        <v>37073</v>
      </c>
      <c r="E486" s="127">
        <v>2.5892810587452599</v>
      </c>
    </row>
    <row r="487" spans="1:5" x14ac:dyDescent="0.2">
      <c r="A487" s="15">
        <v>380</v>
      </c>
      <c r="C487" s="15" t="s">
        <v>2622</v>
      </c>
      <c r="D487" s="126">
        <v>37073</v>
      </c>
      <c r="E487" s="127">
        <v>2.6039409864819199</v>
      </c>
    </row>
    <row r="488" spans="1:5" x14ac:dyDescent="0.2">
      <c r="A488" s="15">
        <v>388</v>
      </c>
      <c r="C488" s="15" t="s">
        <v>2621</v>
      </c>
      <c r="D488" s="126">
        <v>37073</v>
      </c>
      <c r="E488" s="127">
        <v>3.44598668248031</v>
      </c>
    </row>
    <row r="489" spans="1:5" x14ac:dyDescent="0.2">
      <c r="A489" s="15">
        <v>428</v>
      </c>
      <c r="C489" s="15" t="s">
        <v>2622</v>
      </c>
      <c r="D489" s="126">
        <v>37073</v>
      </c>
      <c r="E489" s="127">
        <v>2.4379820991902799</v>
      </c>
    </row>
    <row r="490" spans="1:5" x14ac:dyDescent="0.2">
      <c r="A490" s="15">
        <v>440</v>
      </c>
      <c r="C490" s="15" t="s">
        <v>2620</v>
      </c>
      <c r="D490" s="126">
        <v>37073</v>
      </c>
      <c r="E490" s="127">
        <v>2.5498147883368998</v>
      </c>
    </row>
    <row r="491" spans="1:5" x14ac:dyDescent="0.2">
      <c r="A491" s="15">
        <v>442</v>
      </c>
      <c r="C491" s="15" t="s">
        <v>2620</v>
      </c>
      <c r="D491" s="126">
        <v>37073</v>
      </c>
      <c r="E491" s="127">
        <v>2.5125295865730801</v>
      </c>
    </row>
    <row r="492" spans="1:5" x14ac:dyDescent="0.2">
      <c r="A492" s="15">
        <v>442</v>
      </c>
      <c r="C492" s="15" t="s">
        <v>2622</v>
      </c>
      <c r="D492" s="126">
        <v>37073</v>
      </c>
      <c r="E492" s="127">
        <v>2.52234189996582</v>
      </c>
    </row>
    <row r="493" spans="1:5" x14ac:dyDescent="0.2">
      <c r="A493" s="15">
        <v>524</v>
      </c>
      <c r="C493" s="15" t="s">
        <v>2620</v>
      </c>
      <c r="D493" s="126">
        <v>37073</v>
      </c>
    </row>
    <row r="494" spans="1:5" x14ac:dyDescent="0.2">
      <c r="A494" s="15">
        <v>524</v>
      </c>
      <c r="C494" s="15" t="s">
        <v>2621</v>
      </c>
      <c r="D494" s="126">
        <v>37073</v>
      </c>
      <c r="E494" s="127">
        <v>5.3841262039443496</v>
      </c>
    </row>
    <row r="495" spans="1:5" x14ac:dyDescent="0.2">
      <c r="A495" s="15">
        <v>528</v>
      </c>
      <c r="C495" s="15" t="s">
        <v>2622</v>
      </c>
      <c r="D495" s="126">
        <v>37073</v>
      </c>
      <c r="E495" s="127">
        <v>2.3094857986370299</v>
      </c>
    </row>
    <row r="496" spans="1:5" x14ac:dyDescent="0.2">
      <c r="A496" s="15">
        <v>554</v>
      </c>
      <c r="C496" s="15" t="s">
        <v>2620</v>
      </c>
      <c r="D496" s="126">
        <v>37073</v>
      </c>
      <c r="E496" s="127">
        <v>2.69928855286516</v>
      </c>
    </row>
    <row r="497" spans="1:5" x14ac:dyDescent="0.2">
      <c r="A497" s="15">
        <v>578</v>
      </c>
      <c r="C497" s="15" t="s">
        <v>2620</v>
      </c>
      <c r="D497" s="126">
        <v>37073</v>
      </c>
      <c r="E497" s="127">
        <v>2.28694123212891</v>
      </c>
    </row>
    <row r="498" spans="1:5" x14ac:dyDescent="0.2">
      <c r="A498" s="15">
        <v>616</v>
      </c>
      <c r="C498" s="15" t="s">
        <v>2622</v>
      </c>
      <c r="D498" s="126">
        <v>37073</v>
      </c>
      <c r="E498" s="127">
        <v>3.0631876432144298</v>
      </c>
    </row>
    <row r="499" spans="1:5" x14ac:dyDescent="0.2">
      <c r="A499" s="15">
        <v>620</v>
      </c>
      <c r="C499" s="15" t="s">
        <v>2620</v>
      </c>
      <c r="D499" s="126">
        <v>37073</v>
      </c>
      <c r="E499" s="127">
        <v>2.8367040041284599</v>
      </c>
    </row>
    <row r="500" spans="1:5" x14ac:dyDescent="0.2">
      <c r="A500" s="15">
        <v>620</v>
      </c>
      <c r="C500" s="15" t="s">
        <v>2621</v>
      </c>
      <c r="D500" s="126">
        <v>37073</v>
      </c>
      <c r="E500" s="127">
        <v>2.80460966868691</v>
      </c>
    </row>
    <row r="501" spans="1:5" x14ac:dyDescent="0.2">
      <c r="A501" s="15">
        <v>620</v>
      </c>
      <c r="C501" s="15" t="s">
        <v>2622</v>
      </c>
      <c r="D501" s="126">
        <v>37073</v>
      </c>
      <c r="E501" s="127">
        <v>2.89528788977008</v>
      </c>
    </row>
    <row r="502" spans="1:5" x14ac:dyDescent="0.2">
      <c r="A502" s="15">
        <v>642</v>
      </c>
      <c r="C502" s="15" t="s">
        <v>2622</v>
      </c>
      <c r="D502" s="126">
        <v>37073</v>
      </c>
      <c r="E502" s="127">
        <v>3.0224912107041799</v>
      </c>
    </row>
    <row r="503" spans="1:5" x14ac:dyDescent="0.2">
      <c r="A503" s="15">
        <v>678</v>
      </c>
      <c r="C503" s="15" t="s">
        <v>2620</v>
      </c>
      <c r="D503" s="126">
        <v>37073</v>
      </c>
    </row>
    <row r="504" spans="1:5" x14ac:dyDescent="0.2">
      <c r="A504" s="15">
        <v>703</v>
      </c>
      <c r="C504" s="15" t="s">
        <v>2620</v>
      </c>
      <c r="D504" s="126">
        <v>37073</v>
      </c>
      <c r="E504" s="127">
        <v>3.2290537433806699</v>
      </c>
    </row>
    <row r="505" spans="1:5" x14ac:dyDescent="0.2">
      <c r="A505" s="15">
        <v>703</v>
      </c>
      <c r="C505" s="15" t="s">
        <v>2622</v>
      </c>
      <c r="D505" s="126">
        <v>37073</v>
      </c>
      <c r="E505" s="127">
        <v>3.1387083734085799</v>
      </c>
    </row>
    <row r="506" spans="1:5" x14ac:dyDescent="0.2">
      <c r="A506" s="15">
        <v>705</v>
      </c>
      <c r="C506" s="15" t="s">
        <v>2622</v>
      </c>
      <c r="D506" s="126">
        <v>37073</v>
      </c>
      <c r="E506" s="127">
        <v>2.6264534779181101</v>
      </c>
    </row>
    <row r="507" spans="1:5" x14ac:dyDescent="0.2">
      <c r="A507" s="15">
        <v>710</v>
      </c>
      <c r="C507" s="15" t="s">
        <v>2620</v>
      </c>
      <c r="D507" s="126">
        <v>37073</v>
      </c>
    </row>
    <row r="508" spans="1:5" x14ac:dyDescent="0.2">
      <c r="A508" s="15">
        <v>710</v>
      </c>
      <c r="C508" s="15" t="s">
        <v>2621</v>
      </c>
      <c r="D508" s="126">
        <v>37073</v>
      </c>
      <c r="E508" s="127">
        <v>3.8374360047171301</v>
      </c>
    </row>
    <row r="509" spans="1:5" x14ac:dyDescent="0.2">
      <c r="A509" s="15">
        <v>724</v>
      </c>
      <c r="C509" s="15" t="s">
        <v>2620</v>
      </c>
      <c r="D509" s="126">
        <v>37073</v>
      </c>
      <c r="E509" s="127">
        <v>2.86144903186816</v>
      </c>
    </row>
    <row r="510" spans="1:5" x14ac:dyDescent="0.2">
      <c r="A510" s="15">
        <v>724</v>
      </c>
      <c r="C510" s="15" t="s">
        <v>2621</v>
      </c>
      <c r="D510" s="126">
        <v>37073</v>
      </c>
      <c r="E510" s="127">
        <v>2.8615200483817098</v>
      </c>
    </row>
    <row r="511" spans="1:5" x14ac:dyDescent="0.2">
      <c r="A511" s="15">
        <v>724</v>
      </c>
      <c r="C511" s="15" t="s">
        <v>2622</v>
      </c>
      <c r="D511" s="126">
        <v>37073</v>
      </c>
      <c r="E511" s="127">
        <v>2.9872478439049099</v>
      </c>
    </row>
    <row r="512" spans="1:5" x14ac:dyDescent="0.2">
      <c r="A512" s="15">
        <v>804</v>
      </c>
      <c r="C512" s="15" t="s">
        <v>2621</v>
      </c>
      <c r="D512" s="126">
        <v>37073</v>
      </c>
      <c r="E512" s="127">
        <v>2.6737113241197399</v>
      </c>
    </row>
    <row r="513" spans="1:5" x14ac:dyDescent="0.2">
      <c r="A513" s="15">
        <v>826</v>
      </c>
      <c r="C513" s="15" t="s">
        <v>2622</v>
      </c>
      <c r="D513" s="126">
        <v>37073</v>
      </c>
      <c r="E513" s="127">
        <v>2.34037727315734</v>
      </c>
    </row>
    <row r="514" spans="1:5" x14ac:dyDescent="0.2">
      <c r="A514" s="15">
        <v>862</v>
      </c>
      <c r="C514" s="15" t="s">
        <v>2621</v>
      </c>
      <c r="D514" s="126">
        <v>37073</v>
      </c>
      <c r="E514" s="127">
        <v>4.3313616222191396</v>
      </c>
    </row>
    <row r="515" spans="1:5" x14ac:dyDescent="0.2">
      <c r="A515" s="15">
        <v>524</v>
      </c>
      <c r="C515" s="15" t="s">
        <v>2619</v>
      </c>
      <c r="D515" s="126">
        <v>36992</v>
      </c>
      <c r="E515" s="127">
        <v>5.29350218871393</v>
      </c>
    </row>
    <row r="516" spans="1:5" x14ac:dyDescent="0.2">
      <c r="A516" s="15">
        <v>466</v>
      </c>
      <c r="C516" s="15" t="s">
        <v>2619</v>
      </c>
      <c r="D516" s="126">
        <v>36980</v>
      </c>
      <c r="E516" s="127">
        <v>5.3317941268031896</v>
      </c>
    </row>
    <row r="517" spans="1:5" x14ac:dyDescent="0.2">
      <c r="A517" s="15">
        <v>800</v>
      </c>
      <c r="C517" s="15" t="s">
        <v>2619</v>
      </c>
      <c r="D517" s="126">
        <v>36880</v>
      </c>
      <c r="E517" s="127">
        <v>4.8026104024564198</v>
      </c>
    </row>
    <row r="518" spans="1:5" x14ac:dyDescent="0.2">
      <c r="A518" s="15">
        <v>516</v>
      </c>
      <c r="C518" s="15" t="s">
        <v>2619</v>
      </c>
      <c r="D518" s="126">
        <v>36834</v>
      </c>
      <c r="E518" s="127">
        <v>5.0607534125193503</v>
      </c>
    </row>
    <row r="519" spans="1:5" x14ac:dyDescent="0.2">
      <c r="A519" s="15">
        <v>51</v>
      </c>
      <c r="C519" s="15" t="s">
        <v>2619</v>
      </c>
      <c r="D519" s="126">
        <v>36832</v>
      </c>
      <c r="E519" s="127">
        <v>4.3426306186973296</v>
      </c>
    </row>
    <row r="520" spans="1:5" x14ac:dyDescent="0.2">
      <c r="A520" s="15">
        <v>266</v>
      </c>
      <c r="C520" s="15" t="s">
        <v>2619</v>
      </c>
      <c r="D520" s="126">
        <v>36818</v>
      </c>
      <c r="E520" s="127">
        <v>4.9681376074580896</v>
      </c>
    </row>
    <row r="521" spans="1:5" x14ac:dyDescent="0.2">
      <c r="A521" s="15">
        <v>604</v>
      </c>
      <c r="C521" s="15" t="s">
        <v>2619</v>
      </c>
      <c r="D521" s="126">
        <v>36790</v>
      </c>
      <c r="E521" s="127">
        <v>4.5269152823858301</v>
      </c>
    </row>
    <row r="522" spans="1:5" x14ac:dyDescent="0.2">
      <c r="A522" s="15">
        <v>454</v>
      </c>
      <c r="C522" s="15" t="s">
        <v>2619</v>
      </c>
      <c r="D522" s="126">
        <v>36783</v>
      </c>
      <c r="E522" s="127">
        <v>4.3984536799512304</v>
      </c>
    </row>
    <row r="523" spans="1:5" x14ac:dyDescent="0.2">
      <c r="A523" s="15">
        <v>646</v>
      </c>
      <c r="C523" s="15" t="s">
        <v>2619</v>
      </c>
      <c r="D523" s="126">
        <v>36781</v>
      </c>
      <c r="E523" s="127">
        <v>4.5604357867251002</v>
      </c>
    </row>
    <row r="524" spans="1:5" x14ac:dyDescent="0.2">
      <c r="A524" s="15">
        <v>60</v>
      </c>
      <c r="C524" s="15" t="s">
        <v>2620</v>
      </c>
      <c r="D524" s="126">
        <v>36708</v>
      </c>
      <c r="E524" s="127">
        <v>2.46775091458565</v>
      </c>
    </row>
    <row r="525" spans="1:5" x14ac:dyDescent="0.2">
      <c r="A525" s="15">
        <v>76</v>
      </c>
      <c r="C525" s="15" t="s">
        <v>2620</v>
      </c>
      <c r="D525" s="126">
        <v>36708</v>
      </c>
      <c r="E525" s="127">
        <v>3.7620088306637398</v>
      </c>
    </row>
    <row r="526" spans="1:5" x14ac:dyDescent="0.2">
      <c r="A526" s="15">
        <v>76</v>
      </c>
      <c r="C526" s="15" t="s">
        <v>2621</v>
      </c>
      <c r="D526" s="126">
        <v>36708</v>
      </c>
      <c r="E526" s="127">
        <v>3.75904550898822</v>
      </c>
    </row>
    <row r="527" spans="1:5" x14ac:dyDescent="0.2">
      <c r="A527" s="15">
        <v>156</v>
      </c>
      <c r="C527" s="15" t="s">
        <v>2621</v>
      </c>
      <c r="D527" s="126">
        <v>36708</v>
      </c>
      <c r="E527" s="127">
        <v>3.3844078411709302</v>
      </c>
    </row>
    <row r="528" spans="1:5" x14ac:dyDescent="0.2">
      <c r="A528" s="15">
        <v>188</v>
      </c>
      <c r="C528" s="15" t="s">
        <v>2621</v>
      </c>
      <c r="D528" s="126">
        <v>36708</v>
      </c>
      <c r="E528" s="127">
        <v>3.9519793423710499</v>
      </c>
    </row>
    <row r="529" spans="1:5" x14ac:dyDescent="0.2">
      <c r="A529" s="15">
        <v>233</v>
      </c>
      <c r="C529" s="15" t="s">
        <v>2620</v>
      </c>
      <c r="D529" s="126">
        <v>36708</v>
      </c>
      <c r="E529" s="127">
        <v>2.3536813099027798</v>
      </c>
    </row>
    <row r="530" spans="1:5" x14ac:dyDescent="0.2">
      <c r="A530" s="15">
        <v>288</v>
      </c>
      <c r="C530" s="15" t="s">
        <v>2621</v>
      </c>
      <c r="D530" s="126">
        <v>36708</v>
      </c>
      <c r="E530" s="127">
        <v>5.0843223981961598</v>
      </c>
    </row>
    <row r="531" spans="1:5" x14ac:dyDescent="0.2">
      <c r="A531" s="15">
        <v>360</v>
      </c>
      <c r="C531" s="15" t="s">
        <v>2621</v>
      </c>
      <c r="D531" s="126">
        <v>36708</v>
      </c>
      <c r="E531" s="127">
        <v>3.9407964244251898</v>
      </c>
    </row>
    <row r="532" spans="1:5" x14ac:dyDescent="0.2">
      <c r="A532" s="15">
        <v>392</v>
      </c>
      <c r="C532" s="15" t="s">
        <v>2620</v>
      </c>
      <c r="D532" s="126">
        <v>36708</v>
      </c>
      <c r="E532" s="127">
        <v>2.6660604270629</v>
      </c>
    </row>
    <row r="533" spans="1:5" x14ac:dyDescent="0.2">
      <c r="A533" s="15">
        <v>428</v>
      </c>
      <c r="C533" s="15" t="s">
        <v>2620</v>
      </c>
      <c r="D533" s="126">
        <v>36708</v>
      </c>
      <c r="E533" s="127">
        <v>2.6600826059229101</v>
      </c>
    </row>
    <row r="534" spans="1:5" x14ac:dyDescent="0.2">
      <c r="A534" s="15">
        <v>458</v>
      </c>
      <c r="C534" s="15" t="s">
        <v>2620</v>
      </c>
      <c r="D534" s="126">
        <v>36708</v>
      </c>
      <c r="E534" s="127">
        <v>4.5743814436442198</v>
      </c>
    </row>
    <row r="535" spans="1:5" x14ac:dyDescent="0.2">
      <c r="A535" s="15">
        <v>458</v>
      </c>
      <c r="C535" s="15" t="s">
        <v>2621</v>
      </c>
      <c r="D535" s="126">
        <v>36708</v>
      </c>
      <c r="E535" s="127">
        <v>4.5575567818884402</v>
      </c>
    </row>
    <row r="536" spans="1:5" x14ac:dyDescent="0.2">
      <c r="A536" s="15">
        <v>480</v>
      </c>
      <c r="C536" s="15" t="s">
        <v>2620</v>
      </c>
      <c r="D536" s="126">
        <v>36708</v>
      </c>
    </row>
    <row r="537" spans="1:5" x14ac:dyDescent="0.2">
      <c r="A537" s="15">
        <v>484</v>
      </c>
      <c r="C537" s="15" t="s">
        <v>2620</v>
      </c>
      <c r="D537" s="126">
        <v>36708</v>
      </c>
      <c r="E537" s="127">
        <v>4.28318863369085</v>
      </c>
    </row>
    <row r="538" spans="1:5" x14ac:dyDescent="0.2">
      <c r="A538" s="15">
        <v>484</v>
      </c>
      <c r="C538" s="15" t="s">
        <v>2621</v>
      </c>
      <c r="D538" s="126">
        <v>36708</v>
      </c>
      <c r="E538" s="127">
        <v>4.2851453068859904</v>
      </c>
    </row>
    <row r="539" spans="1:5" x14ac:dyDescent="0.2">
      <c r="A539" s="15">
        <v>496</v>
      </c>
      <c r="C539" s="15" t="s">
        <v>2621</v>
      </c>
      <c r="D539" s="126">
        <v>36708</v>
      </c>
      <c r="E539" s="127">
        <v>4.32143522139053</v>
      </c>
    </row>
    <row r="540" spans="1:5" x14ac:dyDescent="0.2">
      <c r="A540" s="15">
        <v>591</v>
      </c>
      <c r="C540" s="15" t="s">
        <v>2621</v>
      </c>
      <c r="D540" s="126">
        <v>36708</v>
      </c>
      <c r="E540" s="127">
        <v>3.98340160132445</v>
      </c>
    </row>
    <row r="541" spans="1:5" x14ac:dyDescent="0.2">
      <c r="A541" s="15">
        <v>598</v>
      </c>
      <c r="C541" s="15" t="s">
        <v>2621</v>
      </c>
      <c r="D541" s="126">
        <v>36708</v>
      </c>
      <c r="E541" s="127">
        <v>5.4301012994124198</v>
      </c>
    </row>
    <row r="542" spans="1:5" x14ac:dyDescent="0.2">
      <c r="A542" s="15">
        <v>608</v>
      </c>
      <c r="C542" s="15" t="s">
        <v>2621</v>
      </c>
      <c r="D542" s="126">
        <v>36708</v>
      </c>
      <c r="E542" s="127">
        <v>4.9080985522095801</v>
      </c>
    </row>
    <row r="543" spans="1:5" x14ac:dyDescent="0.2">
      <c r="A543" s="15">
        <v>630</v>
      </c>
      <c r="C543" s="15" t="s">
        <v>2620</v>
      </c>
      <c r="D543" s="126">
        <v>36708</v>
      </c>
      <c r="E543" s="127">
        <v>2.9824478227261002</v>
      </c>
    </row>
    <row r="544" spans="1:5" x14ac:dyDescent="0.2">
      <c r="A544" s="15">
        <v>630</v>
      </c>
      <c r="C544" s="15" t="s">
        <v>2621</v>
      </c>
      <c r="D544" s="126">
        <v>36708</v>
      </c>
      <c r="E544" s="127">
        <v>2.97259469208967</v>
      </c>
    </row>
    <row r="545" spans="1:5" x14ac:dyDescent="0.2">
      <c r="A545" s="15">
        <v>702</v>
      </c>
      <c r="C545" s="15" t="s">
        <v>2620</v>
      </c>
      <c r="D545" s="126">
        <v>36708</v>
      </c>
      <c r="E545" s="127">
        <v>3.5770940563223301</v>
      </c>
    </row>
    <row r="546" spans="1:5" x14ac:dyDescent="0.2">
      <c r="A546" s="15">
        <v>756</v>
      </c>
      <c r="C546" s="15" t="s">
        <v>2620</v>
      </c>
      <c r="D546" s="126">
        <v>36708</v>
      </c>
      <c r="E546" s="127">
        <v>2.2445956360645898</v>
      </c>
    </row>
    <row r="547" spans="1:5" x14ac:dyDescent="0.2">
      <c r="A547" s="15">
        <v>756</v>
      </c>
      <c r="C547" s="15" t="s">
        <v>2621</v>
      </c>
      <c r="D547" s="126">
        <v>36708</v>
      </c>
      <c r="E547" s="127">
        <v>2.2128824637337701</v>
      </c>
    </row>
    <row r="548" spans="1:5" x14ac:dyDescent="0.2">
      <c r="A548" s="15">
        <v>764</v>
      </c>
      <c r="C548" s="15" t="s">
        <v>2621</v>
      </c>
      <c r="D548" s="126">
        <v>36708</v>
      </c>
      <c r="E548" s="127">
        <v>3.6937840960351802</v>
      </c>
    </row>
    <row r="549" spans="1:5" x14ac:dyDescent="0.2">
      <c r="A549" s="15">
        <v>780</v>
      </c>
      <c r="C549" s="15" t="s">
        <v>2621</v>
      </c>
      <c r="D549" s="126">
        <v>36708</v>
      </c>
      <c r="E549" s="127">
        <v>3.6669343505320202</v>
      </c>
    </row>
    <row r="550" spans="1:5" x14ac:dyDescent="0.2">
      <c r="A550" s="15">
        <v>792</v>
      </c>
      <c r="C550" s="15" t="s">
        <v>2620</v>
      </c>
      <c r="D550" s="126">
        <v>36708</v>
      </c>
    </row>
    <row r="551" spans="1:5" x14ac:dyDescent="0.2">
      <c r="A551" s="15">
        <v>792</v>
      </c>
      <c r="C551" s="15" t="s">
        <v>2621</v>
      </c>
      <c r="D551" s="126">
        <v>36708</v>
      </c>
      <c r="E551" s="127">
        <v>4.3325409525833196</v>
      </c>
    </row>
    <row r="552" spans="1:5" x14ac:dyDescent="0.2">
      <c r="A552" s="15">
        <v>840</v>
      </c>
      <c r="C552" s="15" t="s">
        <v>2621</v>
      </c>
      <c r="D552" s="126">
        <v>36708</v>
      </c>
      <c r="E552" s="127">
        <v>2.5895290809401099</v>
      </c>
    </row>
    <row r="553" spans="1:5" x14ac:dyDescent="0.2">
      <c r="A553" s="15">
        <v>894</v>
      </c>
      <c r="C553" s="15" t="s">
        <v>2621</v>
      </c>
      <c r="D553" s="126">
        <v>36708</v>
      </c>
      <c r="E553" s="127">
        <v>5.24047600859915</v>
      </c>
    </row>
    <row r="554" spans="1:5" x14ac:dyDescent="0.2">
      <c r="A554" s="15">
        <v>332</v>
      </c>
      <c r="C554" s="15" t="s">
        <v>2619</v>
      </c>
      <c r="D554" s="126">
        <v>36646</v>
      </c>
      <c r="E554" s="127">
        <v>4.6949107693329797</v>
      </c>
    </row>
    <row r="555" spans="1:5" x14ac:dyDescent="0.2">
      <c r="A555" s="15">
        <v>170</v>
      </c>
      <c r="C555" s="15" t="s">
        <v>2619</v>
      </c>
      <c r="D555" s="126">
        <v>36634</v>
      </c>
      <c r="E555" s="127">
        <v>4.2031593010119899</v>
      </c>
    </row>
    <row r="556" spans="1:5" x14ac:dyDescent="0.2">
      <c r="A556" s="15">
        <v>116</v>
      </c>
      <c r="C556" s="15" t="s">
        <v>2619</v>
      </c>
      <c r="D556" s="126">
        <v>36632</v>
      </c>
      <c r="E556" s="127">
        <v>5.3704289446572897</v>
      </c>
    </row>
    <row r="557" spans="1:5" x14ac:dyDescent="0.2">
      <c r="A557" s="15">
        <v>231</v>
      </c>
      <c r="C557" s="15" t="s">
        <v>2619</v>
      </c>
      <c r="D557" s="126">
        <v>36617</v>
      </c>
      <c r="E557" s="127">
        <v>4.8226848596802698</v>
      </c>
    </row>
    <row r="558" spans="1:5" x14ac:dyDescent="0.2">
      <c r="A558" s="15">
        <v>818</v>
      </c>
      <c r="C558" s="15" t="s">
        <v>2619</v>
      </c>
      <c r="D558" s="126">
        <v>36605</v>
      </c>
      <c r="E558" s="127">
        <v>5.2481799980533301</v>
      </c>
    </row>
    <row r="559" spans="1:5" x14ac:dyDescent="0.2">
      <c r="A559" s="15">
        <v>50</v>
      </c>
      <c r="C559" s="15" t="s">
        <v>2619</v>
      </c>
      <c r="D559" s="126">
        <v>36555</v>
      </c>
      <c r="E559" s="127">
        <v>5.1726193999780303</v>
      </c>
    </row>
    <row r="560" spans="1:5" x14ac:dyDescent="0.2">
      <c r="A560" s="15">
        <v>214</v>
      </c>
      <c r="C560" s="15" t="s">
        <v>2619</v>
      </c>
      <c r="D560" s="126">
        <v>36451</v>
      </c>
      <c r="E560" s="127">
        <v>4.2101472744796604</v>
      </c>
    </row>
    <row r="561" spans="1:5" x14ac:dyDescent="0.2">
      <c r="A561" s="15">
        <v>716</v>
      </c>
      <c r="C561" s="15" t="s">
        <v>2619</v>
      </c>
      <c r="D561" s="126">
        <v>36448</v>
      </c>
      <c r="E561" s="127">
        <v>4.1881125043633904</v>
      </c>
    </row>
    <row r="562" spans="1:5" x14ac:dyDescent="0.2">
      <c r="A562" s="15">
        <v>834</v>
      </c>
      <c r="C562" s="15" t="s">
        <v>2619</v>
      </c>
      <c r="D562" s="126">
        <v>36446</v>
      </c>
      <c r="E562" s="127">
        <v>5.0176666828871204</v>
      </c>
    </row>
    <row r="563" spans="1:5" x14ac:dyDescent="0.2">
      <c r="A563" s="15">
        <v>356</v>
      </c>
      <c r="C563" s="15" t="s">
        <v>2619</v>
      </c>
      <c r="D563" s="126">
        <v>36424</v>
      </c>
      <c r="E563" s="127">
        <v>5.43157970777124</v>
      </c>
    </row>
    <row r="564" spans="1:5" x14ac:dyDescent="0.2">
      <c r="A564" s="15">
        <v>398</v>
      </c>
      <c r="C564" s="15" t="s">
        <v>2619</v>
      </c>
      <c r="D564" s="126">
        <v>36397</v>
      </c>
      <c r="E564" s="127">
        <v>3.6095138487967802</v>
      </c>
    </row>
    <row r="565" spans="1:5" x14ac:dyDescent="0.2">
      <c r="A565" s="15">
        <v>31</v>
      </c>
      <c r="C565" s="15" t="s">
        <v>2620</v>
      </c>
      <c r="D565" s="126">
        <v>36342</v>
      </c>
    </row>
    <row r="566" spans="1:5" x14ac:dyDescent="0.2">
      <c r="A566" s="15">
        <v>112</v>
      </c>
      <c r="C566" s="15" t="s">
        <v>2620</v>
      </c>
      <c r="D566" s="126">
        <v>36342</v>
      </c>
      <c r="E566" s="127">
        <v>2.5675408166256899</v>
      </c>
    </row>
    <row r="567" spans="1:5" x14ac:dyDescent="0.2">
      <c r="A567" s="15">
        <v>112</v>
      </c>
      <c r="C567" s="15" t="s">
        <v>2621</v>
      </c>
      <c r="D567" s="126">
        <v>36342</v>
      </c>
      <c r="E567" s="127">
        <v>2.62938249777581</v>
      </c>
    </row>
    <row r="568" spans="1:5" x14ac:dyDescent="0.2">
      <c r="A568" s="15">
        <v>250</v>
      </c>
      <c r="C568" s="15" t="s">
        <v>2621</v>
      </c>
      <c r="D568" s="126">
        <v>36342</v>
      </c>
      <c r="E568" s="127">
        <v>2.4036355297046899</v>
      </c>
    </row>
    <row r="569" spans="1:5" x14ac:dyDescent="0.2">
      <c r="A569" s="15">
        <v>356</v>
      </c>
      <c r="C569" s="15" t="s">
        <v>2621</v>
      </c>
      <c r="D569" s="126">
        <v>36342</v>
      </c>
      <c r="E569" s="127">
        <v>4.8654793818877096</v>
      </c>
    </row>
    <row r="570" spans="1:5" x14ac:dyDescent="0.2">
      <c r="A570" s="15">
        <v>404</v>
      </c>
      <c r="C570" s="15" t="s">
        <v>2621</v>
      </c>
      <c r="D570" s="126">
        <v>36342</v>
      </c>
      <c r="E570" s="127">
        <v>4.4279683209802103</v>
      </c>
    </row>
    <row r="571" spans="1:5" x14ac:dyDescent="0.2">
      <c r="A571" s="15">
        <v>417</v>
      </c>
      <c r="C571" s="15" t="s">
        <v>2621</v>
      </c>
      <c r="D571" s="126">
        <v>36342</v>
      </c>
      <c r="E571" s="127">
        <v>4.4057595812582999</v>
      </c>
    </row>
    <row r="572" spans="1:5" x14ac:dyDescent="0.2">
      <c r="A572" s="15">
        <v>704</v>
      </c>
      <c r="C572" s="15" t="s">
        <v>2621</v>
      </c>
      <c r="D572" s="126">
        <v>36342</v>
      </c>
      <c r="E572" s="127">
        <v>4.5118240851056397</v>
      </c>
    </row>
    <row r="573" spans="1:5" x14ac:dyDescent="0.2">
      <c r="A573" s="15">
        <v>324</v>
      </c>
      <c r="C573" s="15" t="s">
        <v>2619</v>
      </c>
      <c r="D573" s="126">
        <v>36317</v>
      </c>
      <c r="E573" s="127">
        <v>6.6192368041023197</v>
      </c>
    </row>
    <row r="574" spans="1:5" x14ac:dyDescent="0.2">
      <c r="A574" s="15">
        <v>566</v>
      </c>
      <c r="C574" s="15" t="s">
        <v>2619</v>
      </c>
      <c r="D574" s="126">
        <v>36280</v>
      </c>
      <c r="E574" s="127">
        <v>5.0039253879682901</v>
      </c>
    </row>
    <row r="575" spans="1:5" x14ac:dyDescent="0.2">
      <c r="A575" s="15">
        <v>320</v>
      </c>
      <c r="C575" s="15" t="s">
        <v>2619</v>
      </c>
      <c r="D575" s="126">
        <v>36198</v>
      </c>
      <c r="E575" s="127">
        <v>5.2815328115640101</v>
      </c>
    </row>
    <row r="576" spans="1:5" x14ac:dyDescent="0.2">
      <c r="A576" s="15">
        <v>854</v>
      </c>
      <c r="C576" s="15" t="s">
        <v>2619</v>
      </c>
      <c r="D576" s="126">
        <v>36174</v>
      </c>
      <c r="E576" s="127">
        <v>6.7273855505857396</v>
      </c>
    </row>
    <row r="577" spans="1:5" x14ac:dyDescent="0.2">
      <c r="A577" s="15">
        <v>288</v>
      </c>
      <c r="C577" s="15" t="s">
        <v>2619</v>
      </c>
      <c r="D577" s="126">
        <v>36163</v>
      </c>
      <c r="E577" s="127">
        <v>3.6138506455353401</v>
      </c>
    </row>
    <row r="578" spans="1:5" x14ac:dyDescent="0.2">
      <c r="A578" s="15">
        <v>384</v>
      </c>
      <c r="C578" s="15" t="s">
        <v>2619</v>
      </c>
      <c r="D578" s="126">
        <v>36146</v>
      </c>
      <c r="E578" s="127">
        <v>6.1918495987104896</v>
      </c>
    </row>
    <row r="579" spans="1:5" x14ac:dyDescent="0.2">
      <c r="A579" s="15">
        <v>792</v>
      </c>
      <c r="C579" s="15" t="s">
        <v>2619</v>
      </c>
      <c r="D579" s="126">
        <v>36060</v>
      </c>
      <c r="E579" s="127">
        <v>4.3545765067729398</v>
      </c>
    </row>
    <row r="580" spans="1:5" x14ac:dyDescent="0.2">
      <c r="A580" s="15">
        <v>116</v>
      </c>
      <c r="C580" s="15" t="s">
        <v>2621</v>
      </c>
      <c r="D580" s="126">
        <v>35977</v>
      </c>
      <c r="E580" s="127">
        <v>5.1704663715708996</v>
      </c>
    </row>
    <row r="581" spans="1:5" x14ac:dyDescent="0.2">
      <c r="A581" s="15">
        <v>454</v>
      </c>
      <c r="C581" s="15" t="s">
        <v>2621</v>
      </c>
      <c r="D581" s="126">
        <v>35977</v>
      </c>
      <c r="E581" s="127">
        <v>4.3430760299757196</v>
      </c>
    </row>
    <row r="582" spans="1:5" x14ac:dyDescent="0.2">
      <c r="A582" s="15">
        <v>466</v>
      </c>
      <c r="C582" s="15" t="s">
        <v>2621</v>
      </c>
      <c r="D582" s="126">
        <v>35977</v>
      </c>
      <c r="E582" s="127">
        <v>6.0550327686410297</v>
      </c>
    </row>
    <row r="583" spans="1:5" x14ac:dyDescent="0.2">
      <c r="A583" s="15">
        <v>586</v>
      </c>
      <c r="C583" s="15" t="s">
        <v>2621</v>
      </c>
      <c r="D583" s="126">
        <v>35977</v>
      </c>
      <c r="E583" s="127">
        <v>6.8160630309515797</v>
      </c>
    </row>
    <row r="584" spans="1:5" x14ac:dyDescent="0.2">
      <c r="A584" s="15">
        <v>68</v>
      </c>
      <c r="C584" s="15" t="s">
        <v>2619</v>
      </c>
      <c r="D584" s="126">
        <v>35960</v>
      </c>
      <c r="E584" s="127">
        <v>4.3573159592498696</v>
      </c>
    </row>
    <row r="585" spans="1:5" x14ac:dyDescent="0.2">
      <c r="A585" s="15">
        <v>710</v>
      </c>
      <c r="C585" s="15" t="s">
        <v>2619</v>
      </c>
      <c r="D585" s="126">
        <v>35929</v>
      </c>
      <c r="E585" s="127">
        <v>4.2475122659983597</v>
      </c>
    </row>
    <row r="586" spans="1:5" x14ac:dyDescent="0.2">
      <c r="A586" s="15">
        <v>404</v>
      </c>
      <c r="C586" s="15" t="s">
        <v>2619</v>
      </c>
      <c r="D586" s="126">
        <v>35916</v>
      </c>
      <c r="E586" s="127">
        <v>4.2915238402105</v>
      </c>
    </row>
    <row r="587" spans="1:5" x14ac:dyDescent="0.2">
      <c r="A587" s="15">
        <v>120</v>
      </c>
      <c r="C587" s="15" t="s">
        <v>2619</v>
      </c>
      <c r="D587" s="126">
        <v>35905</v>
      </c>
      <c r="E587" s="127">
        <v>5.4986189328427502</v>
      </c>
    </row>
    <row r="588" spans="1:5" x14ac:dyDescent="0.2">
      <c r="A588" s="15">
        <v>562</v>
      </c>
      <c r="C588" s="15" t="s">
        <v>2619</v>
      </c>
      <c r="D588" s="126">
        <v>35901</v>
      </c>
      <c r="E588" s="127">
        <v>5.9368083380473804</v>
      </c>
    </row>
    <row r="589" spans="1:5" x14ac:dyDescent="0.2">
      <c r="A589" s="15">
        <v>608</v>
      </c>
      <c r="C589" s="15" t="s">
        <v>2619</v>
      </c>
      <c r="D589" s="126">
        <v>35898</v>
      </c>
      <c r="E589" s="127">
        <v>5.07457609748342</v>
      </c>
    </row>
    <row r="590" spans="1:5" x14ac:dyDescent="0.2">
      <c r="A590" s="15">
        <v>768</v>
      </c>
      <c r="C590" s="15" t="s">
        <v>2619</v>
      </c>
      <c r="D590" s="126">
        <v>35883</v>
      </c>
      <c r="E590" s="127">
        <v>5.3889652382333999</v>
      </c>
    </row>
    <row r="591" spans="1:5" x14ac:dyDescent="0.2">
      <c r="A591" s="15">
        <v>558</v>
      </c>
      <c r="C591" s="15" t="s">
        <v>2619</v>
      </c>
      <c r="D591" s="126">
        <v>35855</v>
      </c>
      <c r="E591" s="127">
        <v>5.5292475339671503</v>
      </c>
    </row>
    <row r="592" spans="1:5" x14ac:dyDescent="0.2">
      <c r="A592" s="15">
        <v>360</v>
      </c>
      <c r="C592" s="15" t="s">
        <v>2619</v>
      </c>
      <c r="D592" s="126">
        <v>35734</v>
      </c>
      <c r="E592" s="127">
        <v>4.3109779771174601</v>
      </c>
    </row>
    <row r="593" spans="1:5" x14ac:dyDescent="0.2">
      <c r="A593" s="15">
        <v>450</v>
      </c>
      <c r="C593" s="15" t="s">
        <v>2619</v>
      </c>
      <c r="D593" s="126">
        <v>35722</v>
      </c>
      <c r="E593" s="127">
        <v>4.9122827721426603</v>
      </c>
    </row>
    <row r="594" spans="1:5" x14ac:dyDescent="0.2">
      <c r="A594" s="15">
        <v>417</v>
      </c>
      <c r="C594" s="15" t="s">
        <v>2619</v>
      </c>
      <c r="D594" s="126">
        <v>35701</v>
      </c>
      <c r="E594" s="127">
        <v>4.6532101667308696</v>
      </c>
    </row>
    <row r="595" spans="1:5" x14ac:dyDescent="0.2">
      <c r="A595" s="15">
        <v>704</v>
      </c>
      <c r="C595" s="15" t="s">
        <v>2619</v>
      </c>
      <c r="D595" s="126">
        <v>35660</v>
      </c>
      <c r="E595" s="127">
        <v>4.4033481527453997</v>
      </c>
    </row>
    <row r="596" spans="1:5" x14ac:dyDescent="0.2">
      <c r="A596" s="15">
        <v>400</v>
      </c>
      <c r="C596" s="15" t="s">
        <v>2619</v>
      </c>
      <c r="D596" s="126">
        <v>35640</v>
      </c>
      <c r="E596" s="127">
        <v>5.9942671408164596</v>
      </c>
    </row>
    <row r="597" spans="1:5" x14ac:dyDescent="0.2">
      <c r="A597" s="15">
        <v>368</v>
      </c>
      <c r="C597" s="15" t="s">
        <v>2621</v>
      </c>
      <c r="D597" s="126">
        <v>35612</v>
      </c>
      <c r="E597" s="127">
        <v>7.70302801425421</v>
      </c>
    </row>
    <row r="598" spans="1:5" x14ac:dyDescent="0.2">
      <c r="A598" s="15">
        <v>508</v>
      </c>
      <c r="C598" s="15" t="s">
        <v>2621</v>
      </c>
      <c r="D598" s="126">
        <v>35612</v>
      </c>
      <c r="E598" s="127">
        <v>4.1865668969961698</v>
      </c>
    </row>
    <row r="599" spans="1:5" x14ac:dyDescent="0.2">
      <c r="A599" s="15">
        <v>275</v>
      </c>
      <c r="C599" s="15" t="s">
        <v>2620</v>
      </c>
      <c r="D599" s="126">
        <v>35612</v>
      </c>
      <c r="E599" s="127">
        <v>6.3751931509709703</v>
      </c>
    </row>
    <row r="600" spans="1:5" x14ac:dyDescent="0.2">
      <c r="A600" s="15">
        <v>275</v>
      </c>
      <c r="C600" s="15" t="s">
        <v>2621</v>
      </c>
      <c r="D600" s="126">
        <v>35612</v>
      </c>
      <c r="E600" s="127">
        <v>6.3568546814733402</v>
      </c>
    </row>
    <row r="601" spans="1:5" x14ac:dyDescent="0.2">
      <c r="A601" s="15">
        <v>748</v>
      </c>
      <c r="C601" s="15" t="s">
        <v>2620</v>
      </c>
      <c r="D601" s="126">
        <v>35612</v>
      </c>
    </row>
    <row r="602" spans="1:5" x14ac:dyDescent="0.2">
      <c r="A602" s="15">
        <v>508</v>
      </c>
      <c r="C602" s="15" t="s">
        <v>2619</v>
      </c>
      <c r="D602" s="126">
        <v>35559</v>
      </c>
      <c r="E602" s="127">
        <v>4.62292175244822</v>
      </c>
    </row>
    <row r="603" spans="1:5" x14ac:dyDescent="0.2">
      <c r="A603" s="15">
        <v>148</v>
      </c>
      <c r="C603" s="15" t="s">
        <v>2619</v>
      </c>
      <c r="D603" s="126">
        <v>35518</v>
      </c>
      <c r="E603" s="127">
        <v>5.3323429640887001</v>
      </c>
    </row>
    <row r="604" spans="1:5" x14ac:dyDescent="0.2">
      <c r="A604" s="15">
        <v>686</v>
      </c>
      <c r="C604" s="15" t="s">
        <v>2619</v>
      </c>
      <c r="D604" s="126">
        <v>35497</v>
      </c>
      <c r="E604" s="127">
        <v>8.9811230048785902</v>
      </c>
    </row>
    <row r="605" spans="1:5" x14ac:dyDescent="0.2">
      <c r="A605" s="15">
        <v>50</v>
      </c>
      <c r="C605" s="15" t="s">
        <v>2619</v>
      </c>
      <c r="D605" s="126">
        <v>35435</v>
      </c>
      <c r="E605" s="127">
        <v>5.2961284693419604</v>
      </c>
    </row>
    <row r="606" spans="1:5" x14ac:dyDescent="0.2">
      <c r="A606" s="15">
        <v>214</v>
      </c>
      <c r="C606" s="15" t="s">
        <v>2619</v>
      </c>
      <c r="D606" s="126">
        <v>35364</v>
      </c>
      <c r="E606" s="127">
        <v>4.30101672216741</v>
      </c>
    </row>
    <row r="607" spans="1:5" x14ac:dyDescent="0.2">
      <c r="A607" s="15">
        <v>894</v>
      </c>
      <c r="C607" s="15" t="s">
        <v>2619</v>
      </c>
      <c r="D607" s="126">
        <v>35350</v>
      </c>
      <c r="E607" s="127">
        <v>5.3790003279982797</v>
      </c>
    </row>
    <row r="608" spans="1:5" x14ac:dyDescent="0.2">
      <c r="A608" s="15">
        <v>604</v>
      </c>
      <c r="C608" s="15" t="s">
        <v>2619</v>
      </c>
      <c r="D608" s="126">
        <v>35344</v>
      </c>
      <c r="E608" s="127">
        <v>4.86303582640753</v>
      </c>
    </row>
    <row r="609" spans="1:5" x14ac:dyDescent="0.2">
      <c r="A609" s="15">
        <v>834</v>
      </c>
      <c r="C609" s="15" t="s">
        <v>2619</v>
      </c>
      <c r="D609" s="126">
        <v>35315</v>
      </c>
      <c r="E609" s="127">
        <v>4.8985924922231501</v>
      </c>
    </row>
    <row r="610" spans="1:5" x14ac:dyDescent="0.2">
      <c r="A610" s="15">
        <v>860</v>
      </c>
      <c r="C610" s="15" t="s">
        <v>2619</v>
      </c>
      <c r="D610" s="126">
        <v>35296</v>
      </c>
      <c r="E610" s="127">
        <v>5.2420771378022604</v>
      </c>
    </row>
    <row r="611" spans="1:5" x14ac:dyDescent="0.2">
      <c r="A611" s="15">
        <v>204</v>
      </c>
      <c r="C611" s="15" t="s">
        <v>2619</v>
      </c>
      <c r="D611" s="126">
        <v>35264</v>
      </c>
      <c r="E611" s="127">
        <v>6.0005854742253897</v>
      </c>
    </row>
    <row r="612" spans="1:5" x14ac:dyDescent="0.2">
      <c r="A612" s="15">
        <v>854</v>
      </c>
      <c r="C612" s="15" t="s">
        <v>2621</v>
      </c>
      <c r="D612" s="126">
        <v>35247</v>
      </c>
      <c r="E612" s="127">
        <v>6.5511905711428398</v>
      </c>
    </row>
    <row r="613" spans="1:5" x14ac:dyDescent="0.2">
      <c r="A613" s="15">
        <v>184</v>
      </c>
      <c r="C613" s="15" t="s">
        <v>2620</v>
      </c>
      <c r="D613" s="126">
        <v>35247</v>
      </c>
    </row>
    <row r="614" spans="1:5" x14ac:dyDescent="0.2">
      <c r="A614" s="15">
        <v>818</v>
      </c>
      <c r="C614" s="15" t="s">
        <v>2621</v>
      </c>
      <c r="D614" s="126">
        <v>35247</v>
      </c>
      <c r="E614" s="127">
        <v>4.6393960742535203</v>
      </c>
    </row>
    <row r="615" spans="1:5" x14ac:dyDescent="0.2">
      <c r="A615" s="15">
        <v>242</v>
      </c>
      <c r="C615" s="15" t="s">
        <v>2621</v>
      </c>
      <c r="D615" s="126">
        <v>35247</v>
      </c>
      <c r="E615" s="127">
        <v>5.3085670433933299</v>
      </c>
    </row>
    <row r="616" spans="1:5" x14ac:dyDescent="0.2">
      <c r="A616" s="15">
        <v>324</v>
      </c>
      <c r="C616" s="15" t="s">
        <v>2621</v>
      </c>
      <c r="D616" s="126">
        <v>35247</v>
      </c>
      <c r="E616" s="127">
        <v>6.7812125249833404</v>
      </c>
    </row>
    <row r="617" spans="1:5" x14ac:dyDescent="0.2">
      <c r="A617" s="15">
        <v>364</v>
      </c>
      <c r="C617" s="15" t="s">
        <v>2620</v>
      </c>
      <c r="D617" s="126">
        <v>35247</v>
      </c>
      <c r="E617" s="127">
        <v>4.7551102713339901</v>
      </c>
    </row>
    <row r="618" spans="1:5" x14ac:dyDescent="0.2">
      <c r="A618" s="15">
        <v>372</v>
      </c>
      <c r="C618" s="15" t="s">
        <v>2620</v>
      </c>
      <c r="D618" s="126">
        <v>35247</v>
      </c>
      <c r="E618" s="127">
        <v>3.1414108140928301</v>
      </c>
    </row>
    <row r="619" spans="1:5" x14ac:dyDescent="0.2">
      <c r="A619" s="15">
        <v>372</v>
      </c>
      <c r="C619" s="15" t="s">
        <v>2621</v>
      </c>
      <c r="D619" s="126">
        <v>35247</v>
      </c>
      <c r="E619" s="127">
        <v>3.1453523868512998</v>
      </c>
    </row>
    <row r="620" spans="1:5" x14ac:dyDescent="0.2">
      <c r="A620" s="15">
        <v>426</v>
      </c>
      <c r="C620" s="15" t="s">
        <v>2621</v>
      </c>
      <c r="D620" s="126">
        <v>35247</v>
      </c>
      <c r="E620" s="127">
        <v>4.9643204145525202</v>
      </c>
    </row>
    <row r="621" spans="1:5" x14ac:dyDescent="0.2">
      <c r="A621" s="15">
        <v>710</v>
      </c>
      <c r="C621" s="15" t="s">
        <v>2620</v>
      </c>
      <c r="D621" s="126">
        <v>35247</v>
      </c>
    </row>
    <row r="622" spans="1:5" x14ac:dyDescent="0.2">
      <c r="A622" s="15">
        <v>710</v>
      </c>
      <c r="C622" s="15" t="s">
        <v>2621</v>
      </c>
      <c r="D622" s="126">
        <v>35247</v>
      </c>
      <c r="E622" s="127">
        <v>4.0581395410512098</v>
      </c>
    </row>
    <row r="623" spans="1:5" x14ac:dyDescent="0.2">
      <c r="A623" s="15">
        <v>858</v>
      </c>
      <c r="C623" s="15" t="s">
        <v>2621</v>
      </c>
      <c r="D623" s="126">
        <v>35247</v>
      </c>
      <c r="E623" s="127">
        <v>3.1954209946571401</v>
      </c>
    </row>
    <row r="624" spans="1:5" x14ac:dyDescent="0.2">
      <c r="A624" s="15">
        <v>76</v>
      </c>
      <c r="C624" s="15" t="s">
        <v>2619</v>
      </c>
      <c r="D624" s="126">
        <v>35187</v>
      </c>
      <c r="E624" s="127">
        <v>4.0869428556502001</v>
      </c>
    </row>
    <row r="625" spans="1:5" x14ac:dyDescent="0.2">
      <c r="A625" s="15">
        <v>174</v>
      </c>
      <c r="C625" s="15" t="s">
        <v>2619</v>
      </c>
      <c r="D625" s="126">
        <v>35186</v>
      </c>
      <c r="E625" s="127">
        <v>6.3113879003558697</v>
      </c>
    </row>
    <row r="626" spans="1:5" x14ac:dyDescent="0.2">
      <c r="A626" s="15">
        <v>524</v>
      </c>
      <c r="C626" s="15" t="s">
        <v>2619</v>
      </c>
      <c r="D626" s="126">
        <v>35155</v>
      </c>
      <c r="E626" s="127">
        <v>5.5146513965180803</v>
      </c>
    </row>
    <row r="627" spans="1:5" x14ac:dyDescent="0.2">
      <c r="A627" s="15">
        <v>466</v>
      </c>
      <c r="C627" s="15" t="s">
        <v>2619</v>
      </c>
      <c r="D627" s="126">
        <v>35099</v>
      </c>
      <c r="E627" s="127">
        <v>5.5956756749950998</v>
      </c>
    </row>
    <row r="628" spans="1:5" x14ac:dyDescent="0.2">
      <c r="A628" s="15">
        <v>818</v>
      </c>
      <c r="C628" s="15" t="s">
        <v>2619</v>
      </c>
      <c r="D628" s="126">
        <v>35052</v>
      </c>
      <c r="E628" s="127">
        <v>5.3250433406384996</v>
      </c>
    </row>
    <row r="629" spans="1:5" x14ac:dyDescent="0.2">
      <c r="A629" s="15">
        <v>320</v>
      </c>
      <c r="C629" s="15" t="s">
        <v>2619</v>
      </c>
      <c r="D629" s="126">
        <v>34954</v>
      </c>
      <c r="E629" s="127">
        <v>5.2565333378713204</v>
      </c>
    </row>
    <row r="630" spans="1:5" x14ac:dyDescent="0.2">
      <c r="A630" s="15">
        <v>398</v>
      </c>
      <c r="C630" s="15" t="s">
        <v>2619</v>
      </c>
      <c r="D630" s="126">
        <v>34888</v>
      </c>
      <c r="E630" s="127">
        <v>3.8133279474994799</v>
      </c>
    </row>
    <row r="631" spans="1:5" x14ac:dyDescent="0.2">
      <c r="A631" s="15">
        <v>360</v>
      </c>
      <c r="C631" s="15" t="s">
        <v>2621</v>
      </c>
      <c r="D631" s="126">
        <v>34881</v>
      </c>
      <c r="E631" s="127">
        <v>4.22561608500523</v>
      </c>
    </row>
    <row r="632" spans="1:5" x14ac:dyDescent="0.2">
      <c r="A632" s="15">
        <v>376</v>
      </c>
      <c r="C632" s="15" t="s">
        <v>2620</v>
      </c>
      <c r="D632" s="126">
        <v>34881</v>
      </c>
      <c r="E632" s="127">
        <v>3.3021348773069201</v>
      </c>
    </row>
    <row r="633" spans="1:5" x14ac:dyDescent="0.2">
      <c r="A633" s="15">
        <v>376</v>
      </c>
      <c r="C633" s="15" t="s">
        <v>2621</v>
      </c>
      <c r="D633" s="126">
        <v>34881</v>
      </c>
      <c r="E633" s="127">
        <v>3.3469254032258098</v>
      </c>
    </row>
    <row r="634" spans="1:5" x14ac:dyDescent="0.2">
      <c r="A634" s="15">
        <v>470</v>
      </c>
      <c r="C634" s="15" t="s">
        <v>2620</v>
      </c>
      <c r="D634" s="126">
        <v>34881</v>
      </c>
      <c r="E634" s="127">
        <v>3.1190167309736401</v>
      </c>
    </row>
    <row r="635" spans="1:5" x14ac:dyDescent="0.2">
      <c r="A635" s="15">
        <v>484</v>
      </c>
      <c r="C635" s="15" t="s">
        <v>2621</v>
      </c>
      <c r="D635" s="126">
        <v>34881</v>
      </c>
      <c r="E635" s="127">
        <v>4.5655710692678797</v>
      </c>
    </row>
    <row r="636" spans="1:5" x14ac:dyDescent="0.2">
      <c r="A636" s="15">
        <v>558</v>
      </c>
      <c r="C636" s="15" t="s">
        <v>2621</v>
      </c>
      <c r="D636" s="126">
        <v>34881</v>
      </c>
      <c r="E636" s="127">
        <v>5.7794545018263301</v>
      </c>
    </row>
    <row r="637" spans="1:5" x14ac:dyDescent="0.2">
      <c r="A637" s="15">
        <v>608</v>
      </c>
      <c r="C637" s="15" t="s">
        <v>2621</v>
      </c>
      <c r="D637" s="126">
        <v>34881</v>
      </c>
      <c r="E637" s="127">
        <v>5.0682969345651596</v>
      </c>
    </row>
    <row r="638" spans="1:5" x14ac:dyDescent="0.2">
      <c r="A638" s="15">
        <v>800</v>
      </c>
      <c r="C638" s="15" t="s">
        <v>2619</v>
      </c>
      <c r="D638" s="126">
        <v>34848</v>
      </c>
      <c r="E638" s="127">
        <v>4.7606461010432204</v>
      </c>
    </row>
    <row r="639" spans="1:5" x14ac:dyDescent="0.2">
      <c r="A639" s="15">
        <v>170</v>
      </c>
      <c r="C639" s="15" t="s">
        <v>2619</v>
      </c>
      <c r="D639" s="126">
        <v>34841</v>
      </c>
      <c r="E639" s="127">
        <v>4.4388758467540104</v>
      </c>
    </row>
    <row r="640" spans="1:5" x14ac:dyDescent="0.2">
      <c r="A640" s="15">
        <v>140</v>
      </c>
      <c r="C640" s="15" t="s">
        <v>2619</v>
      </c>
      <c r="D640" s="126">
        <v>34676</v>
      </c>
      <c r="E640" s="127">
        <v>4.9067837026553596</v>
      </c>
    </row>
    <row r="641" spans="1:5" x14ac:dyDescent="0.2">
      <c r="A641" s="15">
        <v>332</v>
      </c>
      <c r="C641" s="15" t="s">
        <v>2619</v>
      </c>
      <c r="D641" s="126">
        <v>34608</v>
      </c>
      <c r="E641" s="127">
        <v>5.0204189726627098</v>
      </c>
    </row>
    <row r="642" spans="1:5" x14ac:dyDescent="0.2">
      <c r="A642" s="15">
        <v>716</v>
      </c>
      <c r="C642" s="15" t="s">
        <v>2619</v>
      </c>
      <c r="D642" s="126">
        <v>34599</v>
      </c>
      <c r="E642" s="127">
        <v>4.6900395337510403</v>
      </c>
    </row>
    <row r="643" spans="1:5" x14ac:dyDescent="0.2">
      <c r="A643" s="15">
        <v>360</v>
      </c>
      <c r="C643" s="15" t="s">
        <v>2619</v>
      </c>
      <c r="D643" s="126">
        <v>34592</v>
      </c>
      <c r="E643" s="127">
        <v>4.4712157587634103</v>
      </c>
    </row>
    <row r="644" spans="1:5" x14ac:dyDescent="0.2">
      <c r="A644" s="15">
        <v>384</v>
      </c>
      <c r="C644" s="15" t="s">
        <v>2619</v>
      </c>
      <c r="D644" s="126">
        <v>34580</v>
      </c>
      <c r="E644" s="127">
        <v>6.2197316480651903</v>
      </c>
    </row>
    <row r="645" spans="1:5" x14ac:dyDescent="0.2">
      <c r="A645" s="15">
        <v>231</v>
      </c>
      <c r="C645" s="15" t="s">
        <v>2621</v>
      </c>
      <c r="D645" s="126">
        <v>34516</v>
      </c>
      <c r="E645" s="127">
        <v>4.7798307232837702</v>
      </c>
    </row>
    <row r="646" spans="1:5" x14ac:dyDescent="0.2">
      <c r="A646" s="15">
        <v>320</v>
      </c>
      <c r="C646" s="15" t="s">
        <v>2621</v>
      </c>
      <c r="D646" s="126">
        <v>34516</v>
      </c>
      <c r="E646" s="127">
        <v>5.2104059606227002</v>
      </c>
    </row>
    <row r="647" spans="1:5" x14ac:dyDescent="0.2">
      <c r="A647" s="15">
        <v>504</v>
      </c>
      <c r="C647" s="15" t="s">
        <v>2621</v>
      </c>
      <c r="D647" s="126">
        <v>34516</v>
      </c>
      <c r="E647" s="127">
        <v>5.8267674698198402</v>
      </c>
    </row>
    <row r="648" spans="1:5" x14ac:dyDescent="0.2">
      <c r="A648" s="15">
        <v>68</v>
      </c>
      <c r="C648" s="15" t="s">
        <v>2619</v>
      </c>
      <c r="D648" s="126">
        <v>34394</v>
      </c>
      <c r="E648" s="127">
        <v>4.5241859942325604</v>
      </c>
    </row>
    <row r="649" spans="1:5" x14ac:dyDescent="0.2">
      <c r="A649" s="15">
        <v>50</v>
      </c>
      <c r="C649" s="15" t="s">
        <v>2619</v>
      </c>
      <c r="D649" s="126">
        <v>34347</v>
      </c>
      <c r="E649" s="127">
        <v>5.4560113374756298</v>
      </c>
    </row>
    <row r="650" spans="1:5" x14ac:dyDescent="0.2">
      <c r="A650" s="15">
        <v>288</v>
      </c>
      <c r="C650" s="15" t="s">
        <v>2619</v>
      </c>
      <c r="D650" s="126">
        <v>34306</v>
      </c>
      <c r="E650" s="127">
        <v>3.7661220980223602</v>
      </c>
    </row>
    <row r="651" spans="1:5" x14ac:dyDescent="0.2">
      <c r="A651" s="15">
        <v>792</v>
      </c>
      <c r="C651" s="15" t="s">
        <v>2619</v>
      </c>
      <c r="D651" s="126">
        <v>34232</v>
      </c>
      <c r="E651" s="127">
        <v>4.5678640080790798</v>
      </c>
    </row>
    <row r="652" spans="1:5" x14ac:dyDescent="0.2">
      <c r="A652" s="15">
        <v>170</v>
      </c>
      <c r="C652" s="15" t="s">
        <v>2621</v>
      </c>
      <c r="D652" s="126">
        <v>34151</v>
      </c>
      <c r="E652" s="127">
        <v>4.4906056117600999</v>
      </c>
    </row>
    <row r="653" spans="1:5" x14ac:dyDescent="0.2">
      <c r="A653" s="15">
        <v>356</v>
      </c>
      <c r="C653" s="15" t="s">
        <v>2621</v>
      </c>
      <c r="D653" s="126">
        <v>34151</v>
      </c>
      <c r="E653" s="127">
        <v>4.7753236985033602</v>
      </c>
    </row>
    <row r="654" spans="1:5" x14ac:dyDescent="0.2">
      <c r="A654" s="15">
        <v>604</v>
      </c>
      <c r="C654" s="15" t="s">
        <v>2621</v>
      </c>
      <c r="D654" s="126">
        <v>34151</v>
      </c>
      <c r="E654" s="127">
        <v>4.5774615667138896</v>
      </c>
    </row>
    <row r="655" spans="1:5" x14ac:dyDescent="0.2">
      <c r="A655" s="15">
        <v>608</v>
      </c>
      <c r="C655" s="15" t="s">
        <v>2619</v>
      </c>
      <c r="D655" s="126">
        <v>34118</v>
      </c>
      <c r="E655" s="127">
        <v>5.3282320972593604</v>
      </c>
    </row>
    <row r="656" spans="1:5" x14ac:dyDescent="0.2">
      <c r="A656" s="15">
        <v>404</v>
      </c>
      <c r="C656" s="15" t="s">
        <v>2619</v>
      </c>
      <c r="D656" s="126">
        <v>34100</v>
      </c>
      <c r="E656" s="127">
        <v>4.79983603684237</v>
      </c>
    </row>
    <row r="657" spans="1:5" x14ac:dyDescent="0.2">
      <c r="A657" s="15">
        <v>686</v>
      </c>
      <c r="C657" s="15" t="s">
        <v>2619</v>
      </c>
      <c r="D657" s="126">
        <v>34052</v>
      </c>
      <c r="E657" s="127">
        <v>8.8344671201814098</v>
      </c>
    </row>
    <row r="658" spans="1:5" x14ac:dyDescent="0.2">
      <c r="A658" s="15">
        <v>854</v>
      </c>
      <c r="C658" s="15" t="s">
        <v>2619</v>
      </c>
      <c r="D658" s="126">
        <v>34004</v>
      </c>
      <c r="E658" s="127">
        <v>6.6574821711644798</v>
      </c>
    </row>
    <row r="659" spans="1:5" x14ac:dyDescent="0.2">
      <c r="A659" s="15">
        <v>818</v>
      </c>
      <c r="C659" s="15" t="s">
        <v>2619</v>
      </c>
      <c r="D659" s="126">
        <v>33961</v>
      </c>
      <c r="E659" s="127">
        <v>5.6522729103454203</v>
      </c>
    </row>
    <row r="660" spans="1:5" x14ac:dyDescent="0.2">
      <c r="A660" s="15">
        <v>356</v>
      </c>
      <c r="C660" s="15" t="s">
        <v>2619</v>
      </c>
      <c r="D660" s="126">
        <v>33941</v>
      </c>
      <c r="E660" s="127">
        <v>5.6999470721615397</v>
      </c>
    </row>
    <row r="661" spans="1:5" x14ac:dyDescent="0.2">
      <c r="A661" s="15">
        <v>454</v>
      </c>
      <c r="C661" s="15" t="s">
        <v>2619</v>
      </c>
      <c r="D661" s="126">
        <v>33885</v>
      </c>
      <c r="E661" s="127">
        <v>4.4712139973398104</v>
      </c>
    </row>
    <row r="662" spans="1:5" x14ac:dyDescent="0.2">
      <c r="A662" s="15">
        <v>516</v>
      </c>
      <c r="C662" s="15" t="s">
        <v>2619</v>
      </c>
      <c r="D662" s="126">
        <v>33861</v>
      </c>
      <c r="E662" s="127">
        <v>6.0023825544117102</v>
      </c>
    </row>
    <row r="663" spans="1:5" x14ac:dyDescent="0.2">
      <c r="A663" s="15">
        <v>450</v>
      </c>
      <c r="C663" s="15" t="s">
        <v>2619</v>
      </c>
      <c r="D663" s="126">
        <v>33824</v>
      </c>
      <c r="E663" s="127">
        <v>5.1834752989877</v>
      </c>
    </row>
    <row r="664" spans="1:5" x14ac:dyDescent="0.2">
      <c r="A664" s="15">
        <v>646</v>
      </c>
      <c r="C664" s="15" t="s">
        <v>2619</v>
      </c>
      <c r="D664" s="126">
        <v>33822</v>
      </c>
      <c r="E664" s="127">
        <v>4.97675632124235</v>
      </c>
    </row>
    <row r="665" spans="1:5" x14ac:dyDescent="0.2">
      <c r="A665" s="15">
        <v>204</v>
      </c>
      <c r="C665" s="15" t="s">
        <v>2621</v>
      </c>
      <c r="D665" s="126">
        <v>33786</v>
      </c>
      <c r="E665" s="127">
        <v>5.9011264080100103</v>
      </c>
    </row>
    <row r="666" spans="1:5" x14ac:dyDescent="0.2">
      <c r="A666" s="15">
        <v>68</v>
      </c>
      <c r="C666" s="15" t="s">
        <v>2621</v>
      </c>
      <c r="D666" s="126">
        <v>33786</v>
      </c>
      <c r="E666" s="127">
        <v>4.3545040153281098</v>
      </c>
    </row>
    <row r="667" spans="1:5" x14ac:dyDescent="0.2">
      <c r="A667" s="15">
        <v>152</v>
      </c>
      <c r="C667" s="15" t="s">
        <v>2621</v>
      </c>
      <c r="D667" s="126">
        <v>33786</v>
      </c>
      <c r="E667" s="127">
        <v>3.9759249026977499</v>
      </c>
    </row>
    <row r="668" spans="1:5" x14ac:dyDescent="0.2">
      <c r="A668" s="15">
        <v>222</v>
      </c>
      <c r="C668" s="15" t="s">
        <v>2621</v>
      </c>
      <c r="D668" s="126">
        <v>33786</v>
      </c>
      <c r="E668" s="127">
        <v>4.6245065400498504</v>
      </c>
    </row>
    <row r="669" spans="1:5" x14ac:dyDescent="0.2">
      <c r="A669" s="15">
        <v>600</v>
      </c>
      <c r="C669" s="15" t="s">
        <v>2621</v>
      </c>
      <c r="D669" s="126">
        <v>33786</v>
      </c>
      <c r="E669" s="127">
        <v>4.7627232504806702</v>
      </c>
    </row>
    <row r="670" spans="1:5" x14ac:dyDescent="0.2">
      <c r="A670" s="15">
        <v>642</v>
      </c>
      <c r="C670" s="15" t="s">
        <v>2621</v>
      </c>
      <c r="D670" s="126">
        <v>33786</v>
      </c>
      <c r="E670" s="127">
        <v>3.07140054277584</v>
      </c>
    </row>
    <row r="671" spans="1:5" x14ac:dyDescent="0.2">
      <c r="A671" s="15">
        <v>562</v>
      </c>
      <c r="C671" s="15" t="s">
        <v>2619</v>
      </c>
      <c r="D671" s="126">
        <v>33724</v>
      </c>
      <c r="E671" s="127">
        <v>6.2699436039891596</v>
      </c>
    </row>
    <row r="672" spans="1:5" x14ac:dyDescent="0.2">
      <c r="A672" s="15">
        <v>894</v>
      </c>
      <c r="C672" s="15" t="s">
        <v>2619</v>
      </c>
      <c r="D672" s="126">
        <v>33683</v>
      </c>
      <c r="E672" s="127">
        <v>5.6097332625895104</v>
      </c>
    </row>
    <row r="673" spans="1:5" x14ac:dyDescent="0.2">
      <c r="A673" s="15">
        <v>504</v>
      </c>
      <c r="C673" s="15" t="s">
        <v>2619</v>
      </c>
      <c r="D673" s="126">
        <v>33678</v>
      </c>
      <c r="E673" s="127">
        <v>6.0237370663420604</v>
      </c>
    </row>
    <row r="674" spans="1:5" x14ac:dyDescent="0.2">
      <c r="A674" s="15">
        <v>834</v>
      </c>
      <c r="C674" s="15" t="s">
        <v>2619</v>
      </c>
      <c r="D674" s="126">
        <v>33607</v>
      </c>
      <c r="E674" s="127">
        <v>5.3129408477440796</v>
      </c>
    </row>
    <row r="675" spans="1:5" x14ac:dyDescent="0.2">
      <c r="A675" s="15">
        <v>604</v>
      </c>
      <c r="C675" s="15" t="s">
        <v>2619</v>
      </c>
      <c r="D675" s="126">
        <v>33594</v>
      </c>
      <c r="E675" s="127">
        <v>5.2699454592572499</v>
      </c>
    </row>
    <row r="676" spans="1:5" x14ac:dyDescent="0.2">
      <c r="A676" s="15">
        <v>887</v>
      </c>
      <c r="C676" s="15" t="s">
        <v>2619</v>
      </c>
      <c r="D676" s="126">
        <v>33588</v>
      </c>
      <c r="E676" s="127">
        <v>6.6871614262503201</v>
      </c>
    </row>
    <row r="677" spans="1:5" x14ac:dyDescent="0.2">
      <c r="A677" s="15">
        <v>76</v>
      </c>
      <c r="C677" s="15" t="s">
        <v>2619</v>
      </c>
      <c r="D677" s="126">
        <v>33550</v>
      </c>
      <c r="E677" s="127">
        <v>4.7524120549245099</v>
      </c>
    </row>
    <row r="678" spans="1:5" x14ac:dyDescent="0.2">
      <c r="A678" s="15">
        <v>214</v>
      </c>
      <c r="C678" s="15" t="s">
        <v>2619</v>
      </c>
      <c r="D678" s="126">
        <v>33499</v>
      </c>
    </row>
    <row r="679" spans="1:5" x14ac:dyDescent="0.2">
      <c r="A679" s="15">
        <v>120</v>
      </c>
      <c r="C679" s="15" t="s">
        <v>2619</v>
      </c>
      <c r="D679" s="126">
        <v>33429</v>
      </c>
      <c r="E679" s="127">
        <v>5.6095441269078696</v>
      </c>
    </row>
    <row r="680" spans="1:5" x14ac:dyDescent="0.2">
      <c r="A680" s="15">
        <v>40</v>
      </c>
      <c r="C680" s="15" t="s">
        <v>2621</v>
      </c>
      <c r="D680" s="126">
        <v>33420</v>
      </c>
      <c r="E680" s="127">
        <v>2.5464435896329598</v>
      </c>
    </row>
    <row r="681" spans="1:5" x14ac:dyDescent="0.2">
      <c r="A681" s="15">
        <v>50</v>
      </c>
      <c r="C681" s="15" t="s">
        <v>2621</v>
      </c>
      <c r="D681" s="126">
        <v>33420</v>
      </c>
      <c r="E681" s="127">
        <v>5.4509688455466101</v>
      </c>
    </row>
    <row r="682" spans="1:5" x14ac:dyDescent="0.2">
      <c r="A682" s="15">
        <v>72</v>
      </c>
      <c r="C682" s="15" t="s">
        <v>2621</v>
      </c>
      <c r="D682" s="126">
        <v>33420</v>
      </c>
      <c r="E682" s="127">
        <v>4.7310282404055002</v>
      </c>
    </row>
    <row r="683" spans="1:5" x14ac:dyDescent="0.2">
      <c r="A683" s="15">
        <v>76</v>
      </c>
      <c r="C683" s="15" t="s">
        <v>2621</v>
      </c>
      <c r="D683" s="126">
        <v>33420</v>
      </c>
      <c r="E683" s="127">
        <v>4.19071441876227</v>
      </c>
    </row>
    <row r="684" spans="1:5" x14ac:dyDescent="0.2">
      <c r="A684" s="15">
        <v>300</v>
      </c>
      <c r="C684" s="15" t="s">
        <v>2621</v>
      </c>
      <c r="D684" s="126">
        <v>33420</v>
      </c>
      <c r="E684" s="127">
        <v>2.9710163021595801</v>
      </c>
    </row>
    <row r="685" spans="1:5" x14ac:dyDescent="0.2">
      <c r="A685" s="15">
        <v>372</v>
      </c>
      <c r="C685" s="15" t="s">
        <v>2621</v>
      </c>
      <c r="D685" s="126">
        <v>33420</v>
      </c>
      <c r="E685" s="127">
        <v>3.3462100118771798</v>
      </c>
    </row>
    <row r="686" spans="1:5" x14ac:dyDescent="0.2">
      <c r="A686" s="15">
        <v>388</v>
      </c>
      <c r="C686" s="15" t="s">
        <v>2621</v>
      </c>
      <c r="D686" s="126">
        <v>33420</v>
      </c>
      <c r="E686" s="127">
        <v>3.87460926882305</v>
      </c>
    </row>
    <row r="687" spans="1:5" x14ac:dyDescent="0.2">
      <c r="A687" s="15">
        <v>458</v>
      </c>
      <c r="C687" s="15" t="s">
        <v>2621</v>
      </c>
      <c r="D687" s="126">
        <v>33420</v>
      </c>
      <c r="E687" s="127">
        <v>4.7889731959928197</v>
      </c>
    </row>
    <row r="688" spans="1:5" x14ac:dyDescent="0.2">
      <c r="A688" s="15">
        <v>620</v>
      </c>
      <c r="C688" s="15" t="s">
        <v>2621</v>
      </c>
      <c r="D688" s="126">
        <v>33420</v>
      </c>
      <c r="E688" s="127">
        <v>3.1123260437375699</v>
      </c>
    </row>
    <row r="689" spans="1:5" x14ac:dyDescent="0.2">
      <c r="A689" s="15">
        <v>646</v>
      </c>
      <c r="C689" s="15" t="s">
        <v>2621</v>
      </c>
      <c r="D689" s="126">
        <v>33420</v>
      </c>
      <c r="E689" s="127">
        <v>4.73580539188956</v>
      </c>
    </row>
    <row r="690" spans="1:5" x14ac:dyDescent="0.2">
      <c r="A690" s="15">
        <v>724</v>
      </c>
      <c r="C690" s="15" t="s">
        <v>2621</v>
      </c>
      <c r="D690" s="126">
        <v>33420</v>
      </c>
      <c r="E690" s="127">
        <v>3.2605488496849899</v>
      </c>
    </row>
    <row r="691" spans="1:5" x14ac:dyDescent="0.2">
      <c r="A691" s="15">
        <v>800</v>
      </c>
      <c r="C691" s="15" t="s">
        <v>2621</v>
      </c>
      <c r="D691" s="126">
        <v>33420</v>
      </c>
      <c r="E691" s="127">
        <v>4.8708029363238898</v>
      </c>
    </row>
    <row r="692" spans="1:5" x14ac:dyDescent="0.2">
      <c r="A692" s="15">
        <v>826</v>
      </c>
      <c r="C692" s="15" t="s">
        <v>2621</v>
      </c>
      <c r="D692" s="126">
        <v>33420</v>
      </c>
      <c r="E692" s="127">
        <v>2.47783028329656</v>
      </c>
    </row>
    <row r="693" spans="1:5" x14ac:dyDescent="0.2">
      <c r="A693" s="15">
        <v>360</v>
      </c>
      <c r="C693" s="15" t="s">
        <v>2619</v>
      </c>
      <c r="D693" s="126">
        <v>33417</v>
      </c>
      <c r="E693" s="127">
        <v>4.6349787846353099</v>
      </c>
    </row>
    <row r="694" spans="1:5" x14ac:dyDescent="0.2">
      <c r="A694" s="15">
        <v>586</v>
      </c>
      <c r="C694" s="15" t="s">
        <v>2619</v>
      </c>
      <c r="D694" s="126">
        <v>33325</v>
      </c>
      <c r="E694" s="127">
        <v>6.7329595054843097</v>
      </c>
    </row>
    <row r="695" spans="1:5" x14ac:dyDescent="0.2">
      <c r="A695" s="15">
        <v>566</v>
      </c>
      <c r="C695" s="15" t="s">
        <v>2619</v>
      </c>
      <c r="D695" s="126">
        <v>33100</v>
      </c>
      <c r="E695" s="127">
        <v>5.3893295188983599</v>
      </c>
    </row>
    <row r="696" spans="1:5" x14ac:dyDescent="0.2">
      <c r="A696" s="15">
        <v>156</v>
      </c>
      <c r="C696" s="15" t="s">
        <v>2621</v>
      </c>
      <c r="D696" s="126">
        <v>33055</v>
      </c>
      <c r="E696" s="127">
        <v>3.95479229735288</v>
      </c>
    </row>
    <row r="697" spans="1:5" x14ac:dyDescent="0.2">
      <c r="A697" s="15">
        <v>218</v>
      </c>
      <c r="C697" s="15" t="s">
        <v>2621</v>
      </c>
      <c r="D697" s="126">
        <v>33055</v>
      </c>
      <c r="E697" s="127">
        <v>4.6780601725637299</v>
      </c>
    </row>
    <row r="698" spans="1:5" x14ac:dyDescent="0.2">
      <c r="A698" s="15">
        <v>250</v>
      </c>
      <c r="C698" s="15" t="s">
        <v>2621</v>
      </c>
      <c r="D698" s="126">
        <v>33055</v>
      </c>
      <c r="E698" s="127">
        <v>2.5719490144130899</v>
      </c>
    </row>
    <row r="699" spans="1:5" x14ac:dyDescent="0.2">
      <c r="A699" s="15">
        <v>348</v>
      </c>
      <c r="C699" s="15" t="s">
        <v>2621</v>
      </c>
      <c r="D699" s="126">
        <v>33055</v>
      </c>
      <c r="E699" s="127">
        <v>2.5993847610033098</v>
      </c>
    </row>
    <row r="700" spans="1:5" x14ac:dyDescent="0.2">
      <c r="A700" s="15">
        <v>360</v>
      </c>
      <c r="C700" s="15" t="s">
        <v>2621</v>
      </c>
      <c r="D700" s="126">
        <v>33055</v>
      </c>
      <c r="E700" s="127">
        <v>4.4822167522116798</v>
      </c>
    </row>
    <row r="701" spans="1:5" x14ac:dyDescent="0.2">
      <c r="A701" s="15">
        <v>484</v>
      </c>
      <c r="C701" s="15" t="s">
        <v>2621</v>
      </c>
      <c r="D701" s="126">
        <v>33055</v>
      </c>
      <c r="E701" s="127">
        <v>4.9252808988763999</v>
      </c>
    </row>
    <row r="702" spans="1:5" x14ac:dyDescent="0.2">
      <c r="A702" s="15">
        <v>591</v>
      </c>
      <c r="C702" s="15" t="s">
        <v>2621</v>
      </c>
      <c r="D702" s="126">
        <v>33055</v>
      </c>
      <c r="E702" s="127">
        <v>4.3857898945284202</v>
      </c>
    </row>
    <row r="703" spans="1:5" x14ac:dyDescent="0.2">
      <c r="A703" s="15">
        <v>598</v>
      </c>
      <c r="C703" s="15" t="s">
        <v>2621</v>
      </c>
      <c r="D703" s="126">
        <v>33055</v>
      </c>
      <c r="E703" s="127">
        <v>5.4754889938071001</v>
      </c>
    </row>
    <row r="704" spans="1:5" x14ac:dyDescent="0.2">
      <c r="A704" s="15">
        <v>608</v>
      </c>
      <c r="C704" s="15" t="s">
        <v>2621</v>
      </c>
      <c r="D704" s="126">
        <v>33055</v>
      </c>
      <c r="E704" s="127">
        <v>5.2089225513437496</v>
      </c>
    </row>
    <row r="705" spans="1:5" x14ac:dyDescent="0.2">
      <c r="A705" s="15">
        <v>630</v>
      </c>
      <c r="C705" s="15" t="s">
        <v>2621</v>
      </c>
      <c r="D705" s="126">
        <v>33055</v>
      </c>
      <c r="E705" s="127">
        <v>3.16566884227348</v>
      </c>
    </row>
    <row r="706" spans="1:5" x14ac:dyDescent="0.2">
      <c r="A706" s="15">
        <v>756</v>
      </c>
      <c r="C706" s="15" t="s">
        <v>2621</v>
      </c>
      <c r="D706" s="126">
        <v>33055</v>
      </c>
      <c r="E706" s="127">
        <v>2.3237013260071202</v>
      </c>
    </row>
    <row r="707" spans="1:5" x14ac:dyDescent="0.2">
      <c r="A707" s="15">
        <v>764</v>
      </c>
      <c r="C707" s="15" t="s">
        <v>2621</v>
      </c>
      <c r="D707" s="126">
        <v>33055</v>
      </c>
      <c r="E707" s="127">
        <v>4.2933866428042897</v>
      </c>
    </row>
    <row r="708" spans="1:5" x14ac:dyDescent="0.2">
      <c r="A708" s="15">
        <v>780</v>
      </c>
      <c r="C708" s="15" t="s">
        <v>2621</v>
      </c>
      <c r="D708" s="126">
        <v>33055</v>
      </c>
      <c r="E708" s="127">
        <v>4.1104462363629697</v>
      </c>
    </row>
    <row r="709" spans="1:5" x14ac:dyDescent="0.2">
      <c r="A709" s="15">
        <v>792</v>
      </c>
      <c r="C709" s="15" t="s">
        <v>2621</v>
      </c>
      <c r="D709" s="126">
        <v>33055</v>
      </c>
      <c r="E709" s="127">
        <v>4.56132858077439</v>
      </c>
    </row>
    <row r="710" spans="1:5" x14ac:dyDescent="0.2">
      <c r="A710" s="15">
        <v>840</v>
      </c>
      <c r="C710" s="15" t="s">
        <v>2621</v>
      </c>
      <c r="D710" s="126">
        <v>33055</v>
      </c>
      <c r="E710" s="127">
        <v>2.6299676979221598</v>
      </c>
    </row>
    <row r="711" spans="1:5" x14ac:dyDescent="0.2">
      <c r="A711" s="15">
        <v>862</v>
      </c>
      <c r="C711" s="15" t="s">
        <v>2621</v>
      </c>
      <c r="D711" s="126">
        <v>33055</v>
      </c>
      <c r="E711" s="127">
        <v>4.8033641808689698</v>
      </c>
    </row>
    <row r="712" spans="1:5" x14ac:dyDescent="0.2">
      <c r="A712" s="15">
        <v>894</v>
      </c>
      <c r="C712" s="15" t="s">
        <v>2621</v>
      </c>
      <c r="D712" s="126">
        <v>33055</v>
      </c>
      <c r="E712" s="127">
        <v>5.8453633948535</v>
      </c>
    </row>
    <row r="713" spans="1:5" x14ac:dyDescent="0.2">
      <c r="A713" s="15">
        <v>600</v>
      </c>
      <c r="C713" s="15" t="s">
        <v>2619</v>
      </c>
      <c r="D713" s="126">
        <v>33054</v>
      </c>
      <c r="E713" s="127">
        <v>5.0572939064131797</v>
      </c>
    </row>
    <row r="714" spans="1:5" x14ac:dyDescent="0.2">
      <c r="A714" s="15">
        <v>170</v>
      </c>
      <c r="C714" s="15" t="s">
        <v>2619</v>
      </c>
      <c r="D714" s="126">
        <v>33050</v>
      </c>
      <c r="E714" s="127">
        <v>4.6360016616240198</v>
      </c>
    </row>
    <row r="715" spans="1:5" x14ac:dyDescent="0.2">
      <c r="A715" s="15">
        <v>404</v>
      </c>
      <c r="C715" s="15" t="s">
        <v>2621</v>
      </c>
      <c r="D715" s="126">
        <v>32690</v>
      </c>
      <c r="E715" s="127">
        <v>4.9021697176885803</v>
      </c>
    </row>
    <row r="716" spans="1:5" x14ac:dyDescent="0.2">
      <c r="A716" s="15">
        <v>496</v>
      </c>
      <c r="C716" s="15" t="s">
        <v>2621</v>
      </c>
      <c r="D716" s="126">
        <v>32690</v>
      </c>
      <c r="E716" s="127">
        <v>4.4581586460334499</v>
      </c>
    </row>
    <row r="717" spans="1:5" x14ac:dyDescent="0.2">
      <c r="A717" s="15">
        <v>704</v>
      </c>
      <c r="C717" s="15" t="s">
        <v>2621</v>
      </c>
      <c r="D717" s="126">
        <v>32690</v>
      </c>
      <c r="E717" s="127">
        <v>4.8223042367723803</v>
      </c>
    </row>
    <row r="718" spans="1:5" x14ac:dyDescent="0.2">
      <c r="A718" s="15">
        <v>340</v>
      </c>
      <c r="C718" s="15" t="s">
        <v>2621</v>
      </c>
      <c r="D718" s="126">
        <v>32325</v>
      </c>
      <c r="E718" s="127">
        <v>5.5234489817341998</v>
      </c>
    </row>
    <row r="719" spans="1:5" x14ac:dyDescent="0.2">
      <c r="A719" s="15">
        <v>616</v>
      </c>
      <c r="C719" s="15" t="s">
        <v>2621</v>
      </c>
      <c r="D719" s="126">
        <v>32325</v>
      </c>
      <c r="E719" s="127">
        <v>3.0465090859406998</v>
      </c>
    </row>
    <row r="720" spans="1:5" x14ac:dyDescent="0.2">
      <c r="A720" s="15">
        <v>686</v>
      </c>
      <c r="C720" s="15" t="s">
        <v>2621</v>
      </c>
      <c r="D720" s="126">
        <v>32325</v>
      </c>
      <c r="E720" s="127">
        <v>8.8291477390047497</v>
      </c>
    </row>
    <row r="721" spans="1:5" x14ac:dyDescent="0.2">
      <c r="A721" s="15">
        <v>834</v>
      </c>
      <c r="C721" s="15" t="s">
        <v>2621</v>
      </c>
      <c r="D721" s="126">
        <v>32325</v>
      </c>
      <c r="E721" s="127">
        <v>5.0540287763554597</v>
      </c>
    </row>
    <row r="722" spans="1:5" x14ac:dyDescent="0.2">
      <c r="A722" s="15">
        <v>120</v>
      </c>
      <c r="C722" s="15" t="s">
        <v>2621</v>
      </c>
      <c r="D722" s="126">
        <v>31959</v>
      </c>
      <c r="E722" s="127">
        <v>5.1401277659914903</v>
      </c>
    </row>
    <row r="723" spans="1:5" x14ac:dyDescent="0.2">
      <c r="A723" s="15">
        <v>356</v>
      </c>
      <c r="C723" s="15" t="s">
        <v>2621</v>
      </c>
      <c r="D723" s="126">
        <v>31959</v>
      </c>
      <c r="E723" s="127">
        <v>4.9962586358074299</v>
      </c>
    </row>
    <row r="724" spans="1:5" x14ac:dyDescent="0.2">
      <c r="A724" s="15">
        <v>454</v>
      </c>
      <c r="C724" s="15" t="s">
        <v>2621</v>
      </c>
      <c r="D724" s="126">
        <v>31959</v>
      </c>
      <c r="E724" s="127">
        <v>4.2630947771467902</v>
      </c>
    </row>
    <row r="725" spans="1:5" x14ac:dyDescent="0.2">
      <c r="A725" s="15">
        <v>466</v>
      </c>
      <c r="C725" s="15" t="s">
        <v>2621</v>
      </c>
      <c r="D725" s="126">
        <v>31959</v>
      </c>
      <c r="E725" s="127">
        <v>5.6509675279200904</v>
      </c>
    </row>
    <row r="726" spans="1:5" x14ac:dyDescent="0.2">
      <c r="A726" s="15">
        <v>818</v>
      </c>
      <c r="C726" s="15" t="s">
        <v>2621</v>
      </c>
      <c r="D726" s="126">
        <v>31594</v>
      </c>
      <c r="E726" s="127">
        <v>4.8458923617076097</v>
      </c>
    </row>
    <row r="727" spans="1:5" x14ac:dyDescent="0.2">
      <c r="A727" s="15">
        <v>242</v>
      </c>
      <c r="C727" s="15" t="s">
        <v>2621</v>
      </c>
      <c r="D727" s="126">
        <v>31594</v>
      </c>
      <c r="E727" s="127">
        <v>5.8520547945205497</v>
      </c>
    </row>
    <row r="728" spans="1:5" x14ac:dyDescent="0.2">
      <c r="A728" s="15">
        <v>372</v>
      </c>
      <c r="C728" s="15" t="s">
        <v>2621</v>
      </c>
      <c r="D728" s="126">
        <v>31594</v>
      </c>
      <c r="E728" s="127">
        <v>3.5455647688624499</v>
      </c>
    </row>
    <row r="729" spans="1:5" x14ac:dyDescent="0.2">
      <c r="A729" s="15">
        <v>854</v>
      </c>
      <c r="C729" s="15" t="s">
        <v>2621</v>
      </c>
      <c r="D729" s="126">
        <v>31229</v>
      </c>
      <c r="E729" s="127">
        <v>6.2347002881220099</v>
      </c>
    </row>
    <row r="730" spans="1:5" x14ac:dyDescent="0.2">
      <c r="A730" s="15">
        <v>170</v>
      </c>
      <c r="C730" s="15" t="s">
        <v>2621</v>
      </c>
      <c r="D730" s="126">
        <v>31229</v>
      </c>
      <c r="E730" s="127">
        <v>5.0610396593860996</v>
      </c>
    </row>
    <row r="731" spans="1:5" x14ac:dyDescent="0.2">
      <c r="A731" s="15">
        <v>360</v>
      </c>
      <c r="C731" s="15" t="s">
        <v>2621</v>
      </c>
      <c r="D731" s="126">
        <v>31229</v>
      </c>
      <c r="E731" s="127">
        <v>4.6795956891017196</v>
      </c>
    </row>
    <row r="732" spans="1:5" x14ac:dyDescent="0.2">
      <c r="A732" s="15">
        <v>792</v>
      </c>
      <c r="C732" s="15" t="s">
        <v>2621</v>
      </c>
      <c r="D732" s="126">
        <v>31229</v>
      </c>
      <c r="E732" s="127">
        <v>4.5762928947997903</v>
      </c>
    </row>
    <row r="733" spans="1:5" x14ac:dyDescent="0.2">
      <c r="A733" s="15">
        <v>858</v>
      </c>
      <c r="C733" s="15" t="s">
        <v>2621</v>
      </c>
      <c r="D733" s="126">
        <v>31229</v>
      </c>
      <c r="E733" s="127">
        <v>3.3356313581906201</v>
      </c>
    </row>
    <row r="734" spans="1:5" x14ac:dyDescent="0.2">
      <c r="A734" s="15">
        <v>704</v>
      </c>
      <c r="C734" s="15" t="s">
        <v>2619</v>
      </c>
      <c r="D734" s="126">
        <v>31213</v>
      </c>
      <c r="E734" s="127">
        <v>4.4033481527453997</v>
      </c>
    </row>
    <row r="735" spans="1:5" x14ac:dyDescent="0.2">
      <c r="A735" s="15">
        <v>188</v>
      </c>
      <c r="C735" s="15" t="s">
        <v>2621</v>
      </c>
      <c r="D735" s="126">
        <v>30864</v>
      </c>
      <c r="E735" s="127">
        <v>4.6844047805030504</v>
      </c>
    </row>
    <row r="736" spans="1:5" x14ac:dyDescent="0.2">
      <c r="A736" s="15">
        <v>288</v>
      </c>
      <c r="C736" s="15" t="s">
        <v>2621</v>
      </c>
      <c r="D736" s="126">
        <v>30864</v>
      </c>
      <c r="E736" s="127">
        <v>5.0096355176424998</v>
      </c>
    </row>
    <row r="737" spans="1:5" x14ac:dyDescent="0.2">
      <c r="A737" s="15">
        <v>324</v>
      </c>
      <c r="C737" s="15" t="s">
        <v>2621</v>
      </c>
      <c r="D737" s="126">
        <v>30498</v>
      </c>
      <c r="E737" s="127">
        <v>6.2259715137049296</v>
      </c>
    </row>
    <row r="738" spans="1:5" x14ac:dyDescent="0.2">
      <c r="A738" s="15">
        <v>356</v>
      </c>
      <c r="C738" s="15" t="s">
        <v>2621</v>
      </c>
      <c r="D738" s="126">
        <v>30498</v>
      </c>
      <c r="E738" s="127">
        <v>5.0851806703657498</v>
      </c>
    </row>
    <row r="739" spans="1:5" x14ac:dyDescent="0.2">
      <c r="A739" s="15">
        <v>376</v>
      </c>
      <c r="C739" s="15" t="s">
        <v>2621</v>
      </c>
      <c r="D739" s="126">
        <v>30498</v>
      </c>
      <c r="E739" s="127">
        <v>3.46359528789649</v>
      </c>
    </row>
    <row r="740" spans="1:5" x14ac:dyDescent="0.2">
      <c r="A740" s="15">
        <v>152</v>
      </c>
      <c r="C740" s="15" t="s">
        <v>2621</v>
      </c>
      <c r="D740" s="126">
        <v>30133</v>
      </c>
      <c r="E740" s="127">
        <v>4.49694042651549</v>
      </c>
    </row>
    <row r="741" spans="1:5" x14ac:dyDescent="0.2">
      <c r="A741" s="15">
        <v>156</v>
      </c>
      <c r="C741" s="15" t="s">
        <v>2621</v>
      </c>
      <c r="D741" s="126">
        <v>30133</v>
      </c>
      <c r="E741" s="127">
        <v>4.4109220209212703</v>
      </c>
    </row>
    <row r="742" spans="1:5" x14ac:dyDescent="0.2">
      <c r="A742" s="15">
        <v>218</v>
      </c>
      <c r="C742" s="15" t="s">
        <v>2621</v>
      </c>
      <c r="D742" s="126">
        <v>30133</v>
      </c>
      <c r="E742" s="127">
        <v>5.0641641953121503</v>
      </c>
    </row>
    <row r="743" spans="1:5" x14ac:dyDescent="0.2">
      <c r="A743" s="15">
        <v>250</v>
      </c>
      <c r="C743" s="15" t="s">
        <v>2621</v>
      </c>
      <c r="D743" s="126">
        <v>30133</v>
      </c>
      <c r="E743" s="127">
        <v>2.70500407460207</v>
      </c>
    </row>
    <row r="744" spans="1:5" x14ac:dyDescent="0.2">
      <c r="A744" s="15">
        <v>388</v>
      </c>
      <c r="C744" s="15" t="s">
        <v>2621</v>
      </c>
      <c r="D744" s="126">
        <v>30133</v>
      </c>
      <c r="E744" s="127">
        <v>4.2330005031154503</v>
      </c>
    </row>
    <row r="745" spans="1:5" x14ac:dyDescent="0.2">
      <c r="A745" s="15">
        <v>504</v>
      </c>
      <c r="C745" s="15" t="s">
        <v>2621</v>
      </c>
      <c r="D745" s="126">
        <v>30133</v>
      </c>
      <c r="E745" s="127">
        <v>5.8996353766221699</v>
      </c>
    </row>
    <row r="746" spans="1:5" x14ac:dyDescent="0.2">
      <c r="A746" s="15">
        <v>600</v>
      </c>
      <c r="C746" s="15" t="s">
        <v>2621</v>
      </c>
      <c r="D746" s="126">
        <v>30133</v>
      </c>
      <c r="E746" s="127">
        <v>5.1366528163307503</v>
      </c>
    </row>
    <row r="747" spans="1:5" x14ac:dyDescent="0.2">
      <c r="A747" s="15">
        <v>40</v>
      </c>
      <c r="C747" s="15" t="s">
        <v>2621</v>
      </c>
      <c r="D747" s="126">
        <v>29768</v>
      </c>
      <c r="E747" s="127">
        <v>2.7053732628524498</v>
      </c>
    </row>
    <row r="748" spans="1:5" x14ac:dyDescent="0.2">
      <c r="A748" s="15">
        <v>72</v>
      </c>
      <c r="C748" s="15" t="s">
        <v>2621</v>
      </c>
      <c r="D748" s="126">
        <v>29768</v>
      </c>
      <c r="E748" s="127">
        <v>5.6130529283910002</v>
      </c>
    </row>
    <row r="749" spans="1:5" x14ac:dyDescent="0.2">
      <c r="A749" s="15">
        <v>214</v>
      </c>
      <c r="C749" s="15" t="s">
        <v>2621</v>
      </c>
      <c r="D749" s="126">
        <v>29768</v>
      </c>
      <c r="E749" s="127">
        <v>4.9975163046861599</v>
      </c>
    </row>
    <row r="750" spans="1:5" x14ac:dyDescent="0.2">
      <c r="A750" s="15">
        <v>300</v>
      </c>
      <c r="C750" s="15" t="s">
        <v>2621</v>
      </c>
      <c r="D750" s="126">
        <v>29768</v>
      </c>
      <c r="E750" s="127">
        <v>3.1363773813123701</v>
      </c>
    </row>
    <row r="751" spans="1:5" x14ac:dyDescent="0.2">
      <c r="A751" s="15">
        <v>320</v>
      </c>
      <c r="C751" s="15" t="s">
        <v>2621</v>
      </c>
      <c r="D751" s="126">
        <v>29768</v>
      </c>
      <c r="E751" s="127">
        <v>5.1958918356734296</v>
      </c>
    </row>
    <row r="752" spans="1:5" x14ac:dyDescent="0.2">
      <c r="A752" s="15">
        <v>372</v>
      </c>
      <c r="C752" s="15" t="s">
        <v>2621</v>
      </c>
      <c r="D752" s="126">
        <v>29768</v>
      </c>
      <c r="E752" s="127">
        <v>3.6621090318045999</v>
      </c>
    </row>
    <row r="753" spans="1:5" x14ac:dyDescent="0.2">
      <c r="A753" s="15">
        <v>620</v>
      </c>
      <c r="C753" s="15" t="s">
        <v>2621</v>
      </c>
      <c r="D753" s="126">
        <v>29768</v>
      </c>
      <c r="E753" s="127">
        <v>3.3517060007944401</v>
      </c>
    </row>
    <row r="754" spans="1:5" x14ac:dyDescent="0.2">
      <c r="A754" s="15">
        <v>862</v>
      </c>
      <c r="C754" s="15" t="s">
        <v>2621</v>
      </c>
      <c r="D754" s="126">
        <v>29768</v>
      </c>
      <c r="E754" s="127">
        <v>5.2623099069836101</v>
      </c>
    </row>
    <row r="755" spans="1:5" x14ac:dyDescent="0.2">
      <c r="A755" s="15">
        <v>32</v>
      </c>
      <c r="C755" s="15" t="s">
        <v>2621</v>
      </c>
      <c r="D755" s="126">
        <v>29403</v>
      </c>
      <c r="E755" s="127">
        <v>3.8566699287547599</v>
      </c>
    </row>
    <row r="756" spans="1:5" x14ac:dyDescent="0.2">
      <c r="A756" s="15">
        <v>76</v>
      </c>
      <c r="C756" s="15" t="s">
        <v>2621</v>
      </c>
      <c r="D756" s="126">
        <v>29403</v>
      </c>
      <c r="E756" s="127">
        <v>4.6504532631615696</v>
      </c>
    </row>
    <row r="757" spans="1:5" x14ac:dyDescent="0.2">
      <c r="A757" s="15">
        <v>348</v>
      </c>
      <c r="C757" s="15" t="s">
        <v>2621</v>
      </c>
      <c r="D757" s="126">
        <v>29403</v>
      </c>
      <c r="E757" s="127">
        <v>2.7898417609333199</v>
      </c>
    </row>
    <row r="758" spans="1:5" x14ac:dyDescent="0.2">
      <c r="A758" s="15">
        <v>360</v>
      </c>
      <c r="C758" s="15" t="s">
        <v>2621</v>
      </c>
      <c r="D758" s="126">
        <v>29403</v>
      </c>
      <c r="E758" s="127">
        <v>4.8193898902949304</v>
      </c>
    </row>
    <row r="759" spans="1:5" x14ac:dyDescent="0.2">
      <c r="A759" s="15">
        <v>458</v>
      </c>
      <c r="C759" s="15" t="s">
        <v>2621</v>
      </c>
      <c r="D759" s="126">
        <v>29403</v>
      </c>
      <c r="E759" s="127">
        <v>5.1152990184889298</v>
      </c>
    </row>
    <row r="760" spans="1:5" x14ac:dyDescent="0.2">
      <c r="A760" s="15">
        <v>591</v>
      </c>
      <c r="C760" s="15" t="s">
        <v>2621</v>
      </c>
      <c r="D760" s="126">
        <v>29403</v>
      </c>
      <c r="E760" s="127">
        <v>4.6888123757334803</v>
      </c>
    </row>
    <row r="761" spans="1:5" x14ac:dyDescent="0.2">
      <c r="A761" s="15">
        <v>598</v>
      </c>
      <c r="C761" s="15" t="s">
        <v>2621</v>
      </c>
      <c r="D761" s="126">
        <v>29403</v>
      </c>
      <c r="E761" s="127">
        <v>4.4689434429447097</v>
      </c>
    </row>
    <row r="762" spans="1:5" x14ac:dyDescent="0.2">
      <c r="A762" s="15">
        <v>630</v>
      </c>
      <c r="C762" s="15" t="s">
        <v>2621</v>
      </c>
      <c r="D762" s="126">
        <v>29403</v>
      </c>
      <c r="E762" s="127">
        <v>3.65503706934147</v>
      </c>
    </row>
    <row r="763" spans="1:5" x14ac:dyDescent="0.2">
      <c r="A763" s="15">
        <v>756</v>
      </c>
      <c r="C763" s="15" t="s">
        <v>2621</v>
      </c>
      <c r="D763" s="126">
        <v>29403</v>
      </c>
      <c r="E763" s="127">
        <v>2.51171941970299</v>
      </c>
    </row>
    <row r="764" spans="1:5" x14ac:dyDescent="0.2">
      <c r="A764" s="15">
        <v>764</v>
      </c>
      <c r="C764" s="15" t="s">
        <v>2621</v>
      </c>
      <c r="D764" s="126">
        <v>29403</v>
      </c>
      <c r="E764" s="127">
        <v>5.1253549903455804</v>
      </c>
    </row>
    <row r="765" spans="1:5" x14ac:dyDescent="0.2">
      <c r="A765" s="15">
        <v>780</v>
      </c>
      <c r="C765" s="15" t="s">
        <v>2621</v>
      </c>
      <c r="D765" s="126">
        <v>29403</v>
      </c>
      <c r="E765" s="127">
        <v>4.4324495215613497</v>
      </c>
    </row>
    <row r="766" spans="1:5" x14ac:dyDescent="0.2">
      <c r="A766" s="15">
        <v>840</v>
      </c>
      <c r="C766" s="15" t="s">
        <v>2621</v>
      </c>
      <c r="D766" s="126">
        <v>29403</v>
      </c>
      <c r="E766" s="127">
        <v>2.7480131448854599</v>
      </c>
    </row>
    <row r="767" spans="1:5" x14ac:dyDescent="0.2">
      <c r="A767" s="15">
        <v>204</v>
      </c>
      <c r="C767" s="15" t="s">
        <v>2621</v>
      </c>
      <c r="D767" s="126">
        <v>29037</v>
      </c>
      <c r="E767" s="127">
        <v>5.4033302194470396</v>
      </c>
    </row>
    <row r="768" spans="1:5" x14ac:dyDescent="0.2">
      <c r="A768" s="15">
        <v>372</v>
      </c>
      <c r="C768" s="15" t="s">
        <v>2621</v>
      </c>
      <c r="D768" s="126">
        <v>29037</v>
      </c>
      <c r="E768" s="127">
        <v>3.74800418116866</v>
      </c>
    </row>
    <row r="769" spans="1:5" x14ac:dyDescent="0.2">
      <c r="A769" s="15">
        <v>616</v>
      </c>
      <c r="C769" s="15" t="s">
        <v>2621</v>
      </c>
      <c r="D769" s="126">
        <v>28672</v>
      </c>
      <c r="E769" s="127">
        <v>3.1773508754972002</v>
      </c>
    </row>
    <row r="770" spans="1:5" x14ac:dyDescent="0.2">
      <c r="A770" s="15">
        <v>642</v>
      </c>
      <c r="C770" s="15" t="s">
        <v>2621</v>
      </c>
      <c r="D770" s="126">
        <v>28307</v>
      </c>
      <c r="E770" s="127">
        <v>3.1247112456122199</v>
      </c>
    </row>
    <row r="771" spans="1:5" x14ac:dyDescent="0.2">
      <c r="A771" s="15">
        <v>68</v>
      </c>
      <c r="C771" s="15" t="s">
        <v>2621</v>
      </c>
      <c r="D771" s="126">
        <v>27942</v>
      </c>
      <c r="E771" s="127">
        <v>4.3541868937871904</v>
      </c>
    </row>
    <row r="772" spans="1:5" x14ac:dyDescent="0.2">
      <c r="A772" s="15">
        <v>120</v>
      </c>
      <c r="C772" s="15" t="s">
        <v>2621</v>
      </c>
      <c r="D772" s="126">
        <v>27942</v>
      </c>
      <c r="E772" s="127">
        <v>5.0680965106629197</v>
      </c>
    </row>
    <row r="773" spans="1:5" x14ac:dyDescent="0.2">
      <c r="A773" s="15">
        <v>242</v>
      </c>
      <c r="C773" s="15" t="s">
        <v>2621</v>
      </c>
      <c r="D773" s="126">
        <v>27942</v>
      </c>
      <c r="E773" s="127">
        <v>5.9567044976880998</v>
      </c>
    </row>
    <row r="774" spans="1:5" x14ac:dyDescent="0.2">
      <c r="A774" s="15">
        <v>360</v>
      </c>
      <c r="C774" s="15" t="s">
        <v>2621</v>
      </c>
      <c r="D774" s="126">
        <v>27942</v>
      </c>
      <c r="E774" s="127">
        <v>4.8977717625813701</v>
      </c>
    </row>
    <row r="775" spans="1:5" x14ac:dyDescent="0.2">
      <c r="A775" s="15">
        <v>250</v>
      </c>
      <c r="C775" s="15" t="s">
        <v>2621</v>
      </c>
      <c r="D775" s="126">
        <v>27576</v>
      </c>
      <c r="E775" s="127">
        <v>2.8822335288574701</v>
      </c>
    </row>
    <row r="776" spans="1:5" x14ac:dyDescent="0.2">
      <c r="A776" s="15">
        <v>858</v>
      </c>
      <c r="C776" s="15" t="s">
        <v>2621</v>
      </c>
      <c r="D776" s="126">
        <v>27576</v>
      </c>
      <c r="E776" s="127">
        <v>3.4175829699536302</v>
      </c>
    </row>
    <row r="777" spans="1:5" x14ac:dyDescent="0.2">
      <c r="A777" s="15">
        <v>218</v>
      </c>
      <c r="C777" s="15" t="s">
        <v>2621</v>
      </c>
      <c r="D777" s="126">
        <v>27211</v>
      </c>
      <c r="E777" s="127">
        <v>5.37136896525959</v>
      </c>
    </row>
    <row r="778" spans="1:5" x14ac:dyDescent="0.2">
      <c r="A778" s="15">
        <v>340</v>
      </c>
      <c r="C778" s="15" t="s">
        <v>2621</v>
      </c>
      <c r="D778" s="126">
        <v>27211</v>
      </c>
      <c r="E778" s="127">
        <v>5.6731615848687396</v>
      </c>
    </row>
    <row r="779" spans="1:5" x14ac:dyDescent="0.2">
      <c r="A779" s="15">
        <v>170</v>
      </c>
      <c r="C779" s="15" t="s">
        <v>2621</v>
      </c>
      <c r="D779" s="126">
        <v>26846</v>
      </c>
      <c r="E779" s="127">
        <v>5.6847618857062798</v>
      </c>
    </row>
    <row r="780" spans="1:5" x14ac:dyDescent="0.2">
      <c r="A780" s="15">
        <v>188</v>
      </c>
      <c r="C780" s="15" t="s">
        <v>2621</v>
      </c>
      <c r="D780" s="126">
        <v>26846</v>
      </c>
      <c r="E780" s="127">
        <v>5.5933474448140297</v>
      </c>
    </row>
    <row r="781" spans="1:5" x14ac:dyDescent="0.2">
      <c r="A781" s="15">
        <v>320</v>
      </c>
      <c r="C781" s="15" t="s">
        <v>2621</v>
      </c>
      <c r="D781" s="126">
        <v>26846</v>
      </c>
      <c r="E781" s="127">
        <v>4.9939523486783797</v>
      </c>
    </row>
    <row r="782" spans="1:5" x14ac:dyDescent="0.2">
      <c r="A782" s="15">
        <v>586</v>
      </c>
      <c r="C782" s="15" t="s">
        <v>2621</v>
      </c>
      <c r="D782" s="126">
        <v>26846</v>
      </c>
      <c r="E782" s="127">
        <v>4.8082987022143904</v>
      </c>
    </row>
    <row r="783" spans="1:5" x14ac:dyDescent="0.2">
      <c r="A783" s="15">
        <v>376</v>
      </c>
      <c r="C783" s="15" t="s">
        <v>2621</v>
      </c>
      <c r="D783" s="126">
        <v>26481</v>
      </c>
      <c r="E783" s="127">
        <v>3.79667562757942</v>
      </c>
    </row>
    <row r="784" spans="1:5" x14ac:dyDescent="0.2">
      <c r="A784" s="15">
        <v>600</v>
      </c>
      <c r="C784" s="15" t="s">
        <v>2621</v>
      </c>
      <c r="D784" s="126">
        <v>26481</v>
      </c>
      <c r="E784" s="127">
        <v>5.4334975369458096</v>
      </c>
    </row>
    <row r="785" spans="1:5" x14ac:dyDescent="0.2">
      <c r="A785" s="15">
        <v>40</v>
      </c>
      <c r="C785" s="15" t="s">
        <v>2621</v>
      </c>
      <c r="D785" s="126">
        <v>26115</v>
      </c>
      <c r="E785" s="127">
        <v>2.8795965538978798</v>
      </c>
    </row>
    <row r="786" spans="1:5" x14ac:dyDescent="0.2">
      <c r="A786" s="15">
        <v>300</v>
      </c>
      <c r="C786" s="15" t="s">
        <v>2621</v>
      </c>
      <c r="D786" s="126">
        <v>26115</v>
      </c>
      <c r="E786" s="127">
        <v>3.39074794465611</v>
      </c>
    </row>
    <row r="787" spans="1:5" x14ac:dyDescent="0.2">
      <c r="A787" s="15">
        <v>332</v>
      </c>
      <c r="C787" s="15" t="s">
        <v>2621</v>
      </c>
      <c r="D787" s="126">
        <v>26115</v>
      </c>
      <c r="E787" s="127">
        <v>4.6031866383314997</v>
      </c>
    </row>
    <row r="788" spans="1:5" x14ac:dyDescent="0.2">
      <c r="A788" s="15">
        <v>360</v>
      </c>
      <c r="C788" s="15" t="s">
        <v>2621</v>
      </c>
      <c r="D788" s="126">
        <v>26115</v>
      </c>
      <c r="E788" s="127">
        <v>4.84110036454216</v>
      </c>
    </row>
    <row r="789" spans="1:5" x14ac:dyDescent="0.2">
      <c r="A789" s="15">
        <v>372</v>
      </c>
      <c r="C789" s="15" t="s">
        <v>2621</v>
      </c>
      <c r="D789" s="126">
        <v>26115</v>
      </c>
      <c r="E789" s="127">
        <v>3.9310709188714501</v>
      </c>
    </row>
    <row r="790" spans="1:5" x14ac:dyDescent="0.2">
      <c r="A790" s="15">
        <v>558</v>
      </c>
      <c r="C790" s="15" t="s">
        <v>2621</v>
      </c>
      <c r="D790" s="126">
        <v>26115</v>
      </c>
      <c r="E790" s="127">
        <v>5.86149888634439</v>
      </c>
    </row>
    <row r="791" spans="1:5" x14ac:dyDescent="0.2">
      <c r="A791" s="15">
        <v>862</v>
      </c>
      <c r="C791" s="15" t="s">
        <v>2621</v>
      </c>
      <c r="D791" s="126">
        <v>26115</v>
      </c>
      <c r="E791" s="127">
        <v>5.2698294826929999</v>
      </c>
    </row>
    <row r="792" spans="1:5" x14ac:dyDescent="0.2">
      <c r="A792" s="15">
        <v>32</v>
      </c>
      <c r="C792" s="15" t="s">
        <v>2621</v>
      </c>
      <c r="D792" s="126">
        <v>25750</v>
      </c>
      <c r="E792" s="127">
        <v>3.7835807341115899</v>
      </c>
    </row>
    <row r="793" spans="1:5" x14ac:dyDescent="0.2">
      <c r="A793" s="15">
        <v>76</v>
      </c>
      <c r="C793" s="15" t="s">
        <v>2621</v>
      </c>
      <c r="D793" s="126">
        <v>25750</v>
      </c>
      <c r="E793" s="127">
        <v>5.0977578706600299</v>
      </c>
    </row>
    <row r="794" spans="1:5" x14ac:dyDescent="0.2">
      <c r="A794" s="15">
        <v>152</v>
      </c>
      <c r="C794" s="15" t="s">
        <v>2621</v>
      </c>
      <c r="D794" s="126">
        <v>25750</v>
      </c>
      <c r="E794" s="127">
        <v>5.0423450305663602</v>
      </c>
    </row>
    <row r="795" spans="1:5" x14ac:dyDescent="0.2">
      <c r="A795" s="15">
        <v>348</v>
      </c>
      <c r="C795" s="15" t="s">
        <v>2621</v>
      </c>
      <c r="D795" s="126">
        <v>25750</v>
      </c>
      <c r="E795" s="127">
        <v>3.2887330904107102</v>
      </c>
    </row>
    <row r="796" spans="1:5" x14ac:dyDescent="0.2">
      <c r="A796" s="15">
        <v>458</v>
      </c>
      <c r="C796" s="15" t="s">
        <v>2621</v>
      </c>
      <c r="D796" s="126">
        <v>25750</v>
      </c>
      <c r="E796" s="127">
        <v>4.7639892685063501</v>
      </c>
    </row>
    <row r="797" spans="1:5" x14ac:dyDescent="0.2">
      <c r="A797" s="15">
        <v>484</v>
      </c>
      <c r="C797" s="15" t="s">
        <v>2621</v>
      </c>
      <c r="D797" s="126">
        <v>25750</v>
      </c>
      <c r="E797" s="127">
        <v>5.8268582815047401</v>
      </c>
    </row>
    <row r="798" spans="1:5" x14ac:dyDescent="0.2">
      <c r="A798" s="15">
        <v>591</v>
      </c>
      <c r="C798" s="15" t="s">
        <v>2621</v>
      </c>
      <c r="D798" s="126">
        <v>25750</v>
      </c>
      <c r="E798" s="127">
        <v>4.8457402008422399</v>
      </c>
    </row>
    <row r="799" spans="1:5" x14ac:dyDescent="0.2">
      <c r="A799" s="15">
        <v>630</v>
      </c>
      <c r="C799" s="15" t="s">
        <v>2621</v>
      </c>
      <c r="D799" s="126">
        <v>25750</v>
      </c>
      <c r="E799" s="127">
        <v>4.2520955242764504</v>
      </c>
    </row>
    <row r="800" spans="1:5" x14ac:dyDescent="0.2">
      <c r="A800" s="15">
        <v>756</v>
      </c>
      <c r="C800" s="15" t="s">
        <v>2621</v>
      </c>
      <c r="D800" s="126">
        <v>25750</v>
      </c>
      <c r="E800" s="127">
        <v>2.92127634683253</v>
      </c>
    </row>
    <row r="801" spans="1:5" x14ac:dyDescent="0.2">
      <c r="A801" s="15">
        <v>764</v>
      </c>
      <c r="C801" s="15" t="s">
        <v>2621</v>
      </c>
      <c r="D801" s="126">
        <v>25750</v>
      </c>
      <c r="E801" s="127">
        <v>5.7137976481783497</v>
      </c>
    </row>
    <row r="802" spans="1:5" x14ac:dyDescent="0.2">
      <c r="A802" s="15">
        <v>768</v>
      </c>
      <c r="C802" s="15" t="s">
        <v>2621</v>
      </c>
      <c r="D802" s="126">
        <v>25750</v>
      </c>
      <c r="E802" s="127">
        <v>5.8024993874050503</v>
      </c>
    </row>
    <row r="803" spans="1:5" x14ac:dyDescent="0.2">
      <c r="A803" s="15">
        <v>780</v>
      </c>
      <c r="C803" s="15" t="s">
        <v>2621</v>
      </c>
      <c r="D803" s="126">
        <v>25750</v>
      </c>
      <c r="E803" s="127">
        <v>4.7509947189466804</v>
      </c>
    </row>
    <row r="804" spans="1:5" x14ac:dyDescent="0.2">
      <c r="A804" s="15">
        <v>840</v>
      </c>
      <c r="C804" s="15" t="s">
        <v>2621</v>
      </c>
      <c r="D804" s="126">
        <v>25750</v>
      </c>
      <c r="E804" s="127">
        <v>3.1080598383259601</v>
      </c>
    </row>
    <row r="805" spans="1:5" x14ac:dyDescent="0.2">
      <c r="A805" s="15">
        <v>404</v>
      </c>
      <c r="C805" s="15" t="s">
        <v>2621</v>
      </c>
      <c r="D805" s="126">
        <v>25385</v>
      </c>
      <c r="E805" s="127">
        <v>5.3443182496022796</v>
      </c>
    </row>
    <row r="806" spans="1:5" x14ac:dyDescent="0.2">
      <c r="A806" s="15">
        <v>250</v>
      </c>
      <c r="C806" s="15" t="s">
        <v>2621</v>
      </c>
      <c r="D806" s="126">
        <v>25020</v>
      </c>
      <c r="E806" s="127">
        <v>3.0629169191532601</v>
      </c>
    </row>
    <row r="807" spans="1:5" x14ac:dyDescent="0.2">
      <c r="A807" s="15">
        <v>242</v>
      </c>
      <c r="C807" s="15" t="s">
        <v>2621</v>
      </c>
      <c r="D807" s="126">
        <v>24289</v>
      </c>
      <c r="E807" s="127">
        <v>6.2959934587080904</v>
      </c>
    </row>
    <row r="808" spans="1:5" x14ac:dyDescent="0.2">
      <c r="A808" s="15">
        <v>320</v>
      </c>
      <c r="C808" s="15" t="s">
        <v>2621</v>
      </c>
      <c r="D808" s="126">
        <v>23559</v>
      </c>
      <c r="E808" s="127">
        <v>5.2251460528286797</v>
      </c>
    </row>
    <row r="809" spans="1:5" x14ac:dyDescent="0.2">
      <c r="A809" s="15">
        <v>858</v>
      </c>
      <c r="C809" s="15" t="s">
        <v>2621</v>
      </c>
      <c r="D809" s="126">
        <v>23193</v>
      </c>
      <c r="E809" s="127">
        <v>3.7121758032337802</v>
      </c>
    </row>
    <row r="810" spans="1:5" x14ac:dyDescent="0.2">
      <c r="A810" s="15">
        <v>250</v>
      </c>
      <c r="C810" s="15" t="s">
        <v>2621</v>
      </c>
      <c r="D810" s="126">
        <v>22828</v>
      </c>
      <c r="E810" s="127">
        <v>3.11002849981115</v>
      </c>
    </row>
    <row r="811" spans="1:5" x14ac:dyDescent="0.2">
      <c r="A811" s="15">
        <v>600</v>
      </c>
      <c r="C811" s="15" t="s">
        <v>2621</v>
      </c>
      <c r="D811" s="126">
        <v>22828</v>
      </c>
      <c r="E811" s="127">
        <v>5.3308261481073798</v>
      </c>
    </row>
    <row r="812" spans="1:5" x14ac:dyDescent="0.2">
      <c r="A812" s="15">
        <v>76</v>
      </c>
      <c r="C812" s="15" t="s">
        <v>2621</v>
      </c>
      <c r="D812" s="126">
        <v>22098</v>
      </c>
      <c r="E812" s="127">
        <v>5.1338249516441001</v>
      </c>
    </row>
    <row r="813" spans="1:5" x14ac:dyDescent="0.2">
      <c r="A813" s="15">
        <v>591</v>
      </c>
      <c r="C813" s="15" t="s">
        <v>2621</v>
      </c>
      <c r="D813" s="126">
        <v>22098</v>
      </c>
      <c r="E813" s="127">
        <v>4.7334527541424096</v>
      </c>
    </row>
    <row r="814" spans="1:5" x14ac:dyDescent="0.2">
      <c r="A814" s="15">
        <v>768</v>
      </c>
      <c r="C814" s="15" t="s">
        <v>2621</v>
      </c>
      <c r="D814" s="126">
        <v>22098</v>
      </c>
      <c r="E814" s="127">
        <v>6.3047846889952197</v>
      </c>
    </row>
    <row r="815" spans="1:5" x14ac:dyDescent="0.2">
      <c r="A815" s="15">
        <v>840</v>
      </c>
      <c r="C815" s="15" t="s">
        <v>2621</v>
      </c>
      <c r="D815" s="126">
        <v>22098</v>
      </c>
      <c r="E815" s="127">
        <v>3.3032221090954499</v>
      </c>
    </row>
  </sheetData>
  <sortState xmlns:xlrd2="http://schemas.microsoft.com/office/spreadsheetml/2017/richdata2" ref="A2:E815">
    <sortCondition descending="1" ref="D2:D815"/>
  </sortState>
  <pageMargins left="0.7" right="0.7" top="0.75" bottom="0.75" header="0.3" footer="0.3"/>
  <pageSetup paperSize="9" orientation="portrait" horizontalDpi="0" verticalDpi="0" r:id="rId1"/>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17501-51F7-4C2D-AE7A-3F4C3F1D7899}">
  <sheetPr codeName="Sheet23">
    <tabColor rgb="FF7030A0"/>
  </sheetPr>
  <dimension ref="A1:D250"/>
  <sheetViews>
    <sheetView workbookViewId="0"/>
  </sheetViews>
  <sheetFormatPr defaultRowHeight="12.75" x14ac:dyDescent="0.2"/>
  <cols>
    <col min="1" max="1" width="11" style="15" customWidth="1"/>
    <col min="2" max="4" width="11.28515625" style="15" customWidth="1"/>
  </cols>
  <sheetData>
    <row r="1" spans="1:4" x14ac:dyDescent="0.2">
      <c r="A1" s="15" t="s">
        <v>1543</v>
      </c>
      <c r="B1" s="15" t="s">
        <v>2612</v>
      </c>
      <c r="C1" s="15" t="s">
        <v>2613</v>
      </c>
      <c r="D1" s="15" t="s">
        <v>2614</v>
      </c>
    </row>
    <row r="2" spans="1:4" x14ac:dyDescent="0.2">
      <c r="A2" s="15">
        <v>4</v>
      </c>
      <c r="B2" s="15" t="s">
        <v>2261</v>
      </c>
      <c r="C2" s="15" t="s">
        <v>263</v>
      </c>
      <c r="D2" s="15" t="s">
        <v>264</v>
      </c>
    </row>
    <row r="3" spans="1:4" x14ac:dyDescent="0.2">
      <c r="A3" s="15">
        <v>8</v>
      </c>
      <c r="B3" s="15" t="s">
        <v>2262</v>
      </c>
      <c r="C3" s="15" t="s">
        <v>309</v>
      </c>
      <c r="D3" s="15" t="s">
        <v>310</v>
      </c>
    </row>
    <row r="4" spans="1:4" x14ac:dyDescent="0.2">
      <c r="A4" s="15">
        <v>12</v>
      </c>
      <c r="B4" s="15" t="s">
        <v>2263</v>
      </c>
      <c r="C4" s="15" t="s">
        <v>117</v>
      </c>
      <c r="D4" s="15" t="s">
        <v>118</v>
      </c>
    </row>
    <row r="5" spans="1:4" x14ac:dyDescent="0.2">
      <c r="A5" s="15">
        <v>16</v>
      </c>
      <c r="B5" s="15" t="s">
        <v>2265</v>
      </c>
      <c r="C5" s="15" t="s">
        <v>2199</v>
      </c>
      <c r="D5" s="15" t="s">
        <v>2264</v>
      </c>
    </row>
    <row r="6" spans="1:4" x14ac:dyDescent="0.2">
      <c r="A6" s="15">
        <v>20</v>
      </c>
      <c r="B6" s="15" t="s">
        <v>2266</v>
      </c>
      <c r="C6" s="15" t="s">
        <v>313</v>
      </c>
      <c r="D6" s="15" t="s">
        <v>314</v>
      </c>
    </row>
    <row r="7" spans="1:4" x14ac:dyDescent="0.2">
      <c r="A7" s="15">
        <v>24</v>
      </c>
      <c r="B7" s="15" t="s">
        <v>2267</v>
      </c>
      <c r="C7" s="15" t="s">
        <v>85</v>
      </c>
      <c r="D7" s="15" t="s">
        <v>86</v>
      </c>
    </row>
    <row r="8" spans="1:4" x14ac:dyDescent="0.2">
      <c r="A8" s="15">
        <v>660</v>
      </c>
      <c r="B8" s="15" t="s">
        <v>2269</v>
      </c>
      <c r="C8" s="15" t="s">
        <v>2270</v>
      </c>
      <c r="D8" s="15" t="s">
        <v>2268</v>
      </c>
    </row>
    <row r="9" spans="1:4" x14ac:dyDescent="0.2">
      <c r="A9" s="15">
        <v>10</v>
      </c>
      <c r="B9" s="15" t="s">
        <v>2272</v>
      </c>
      <c r="C9" s="15" t="s">
        <v>2273</v>
      </c>
      <c r="D9" s="15" t="s">
        <v>2271</v>
      </c>
    </row>
    <row r="10" spans="1:4" x14ac:dyDescent="0.2">
      <c r="A10" s="15">
        <v>28</v>
      </c>
      <c r="B10" s="15" t="s">
        <v>2274</v>
      </c>
      <c r="C10" s="15" t="s">
        <v>193</v>
      </c>
      <c r="D10" s="15" t="s">
        <v>194</v>
      </c>
    </row>
    <row r="11" spans="1:4" x14ac:dyDescent="0.2">
      <c r="A11" s="15">
        <v>32</v>
      </c>
      <c r="B11" s="15" t="s">
        <v>2275</v>
      </c>
      <c r="C11" s="15" t="s">
        <v>189</v>
      </c>
      <c r="D11" s="15" t="s">
        <v>190</v>
      </c>
    </row>
    <row r="12" spans="1:4" x14ac:dyDescent="0.2">
      <c r="A12" s="15">
        <v>51</v>
      </c>
      <c r="B12" s="15" t="s">
        <v>2276</v>
      </c>
      <c r="C12" s="15" t="s">
        <v>315</v>
      </c>
      <c r="D12" s="15" t="s">
        <v>316</v>
      </c>
    </row>
    <row r="13" spans="1:4" x14ac:dyDescent="0.2">
      <c r="A13" s="15">
        <v>533</v>
      </c>
      <c r="B13" s="15" t="s">
        <v>2278</v>
      </c>
      <c r="C13" s="15" t="s">
        <v>503</v>
      </c>
      <c r="D13" s="15" t="s">
        <v>2277</v>
      </c>
    </row>
    <row r="14" spans="1:4" x14ac:dyDescent="0.2">
      <c r="A14" s="15">
        <v>36</v>
      </c>
      <c r="B14" s="15" t="s">
        <v>2279</v>
      </c>
      <c r="C14" s="15" t="s">
        <v>441</v>
      </c>
      <c r="D14" s="15" t="s">
        <v>442</v>
      </c>
    </row>
    <row r="15" spans="1:4" x14ac:dyDescent="0.2">
      <c r="A15" s="15">
        <v>40</v>
      </c>
      <c r="B15" s="15" t="s">
        <v>2280</v>
      </c>
      <c r="C15" s="15" t="s">
        <v>317</v>
      </c>
      <c r="D15" s="15" t="s">
        <v>318</v>
      </c>
    </row>
    <row r="16" spans="1:4" x14ac:dyDescent="0.2">
      <c r="A16" s="15">
        <v>31</v>
      </c>
      <c r="B16" s="15" t="s">
        <v>2281</v>
      </c>
      <c r="C16" s="15" t="s">
        <v>319</v>
      </c>
      <c r="D16" s="15" t="s">
        <v>320</v>
      </c>
    </row>
    <row r="17" spans="1:4" x14ac:dyDescent="0.2">
      <c r="A17" s="15">
        <v>44</v>
      </c>
      <c r="B17" s="15" t="s">
        <v>2283</v>
      </c>
      <c r="C17" s="15" t="s">
        <v>195</v>
      </c>
      <c r="D17" s="15" t="s">
        <v>2282</v>
      </c>
    </row>
    <row r="18" spans="1:4" x14ac:dyDescent="0.2">
      <c r="A18" s="15">
        <v>48</v>
      </c>
      <c r="B18" s="15" t="s">
        <v>2284</v>
      </c>
      <c r="C18" s="15" t="s">
        <v>269</v>
      </c>
      <c r="D18" s="15" t="s">
        <v>270</v>
      </c>
    </row>
    <row r="19" spans="1:4" x14ac:dyDescent="0.2">
      <c r="A19" s="15">
        <v>50</v>
      </c>
      <c r="B19" s="15" t="s">
        <v>2285</v>
      </c>
      <c r="C19" s="15" t="s">
        <v>417</v>
      </c>
      <c r="D19" s="15" t="s">
        <v>418</v>
      </c>
    </row>
    <row r="20" spans="1:4" x14ac:dyDescent="0.2">
      <c r="A20" s="15">
        <v>52</v>
      </c>
      <c r="B20" s="15" t="s">
        <v>2286</v>
      </c>
      <c r="C20" s="15" t="s">
        <v>204</v>
      </c>
      <c r="D20" s="15" t="s">
        <v>205</v>
      </c>
    </row>
    <row r="21" spans="1:4" x14ac:dyDescent="0.2">
      <c r="A21" s="15">
        <v>112</v>
      </c>
      <c r="B21" s="15" t="s">
        <v>2287</v>
      </c>
      <c r="C21" s="15" t="s">
        <v>327</v>
      </c>
      <c r="D21" s="15" t="s">
        <v>328</v>
      </c>
    </row>
    <row r="22" spans="1:4" x14ac:dyDescent="0.2">
      <c r="A22" s="15">
        <v>56</v>
      </c>
      <c r="B22" s="15" t="s">
        <v>2288</v>
      </c>
      <c r="C22" s="15" t="s">
        <v>321</v>
      </c>
      <c r="D22" s="15" t="s">
        <v>322</v>
      </c>
    </row>
    <row r="23" spans="1:4" x14ac:dyDescent="0.2">
      <c r="A23" s="15">
        <v>84</v>
      </c>
      <c r="B23" s="15" t="s">
        <v>2289</v>
      </c>
      <c r="C23" s="15" t="s">
        <v>198</v>
      </c>
      <c r="D23" s="15" t="s">
        <v>199</v>
      </c>
    </row>
    <row r="24" spans="1:4" x14ac:dyDescent="0.2">
      <c r="A24" s="15">
        <v>204</v>
      </c>
      <c r="B24" s="15" t="s">
        <v>2290</v>
      </c>
      <c r="C24" s="15" t="s">
        <v>95</v>
      </c>
      <c r="D24" s="15" t="s">
        <v>96</v>
      </c>
    </row>
    <row r="25" spans="1:4" x14ac:dyDescent="0.2">
      <c r="A25" s="15">
        <v>60</v>
      </c>
      <c r="B25" s="15" t="s">
        <v>2292</v>
      </c>
      <c r="C25" s="15" t="s">
        <v>2200</v>
      </c>
      <c r="D25" s="15" t="s">
        <v>2291</v>
      </c>
    </row>
    <row r="26" spans="1:4" x14ac:dyDescent="0.2">
      <c r="A26" s="15">
        <v>64</v>
      </c>
      <c r="B26" s="15" t="s">
        <v>2293</v>
      </c>
      <c r="C26" s="15" t="s">
        <v>420</v>
      </c>
      <c r="D26" s="15" t="s">
        <v>421</v>
      </c>
    </row>
    <row r="27" spans="1:4" x14ac:dyDescent="0.2">
      <c r="A27" s="15">
        <v>68</v>
      </c>
      <c r="B27" s="15" t="s">
        <v>2294</v>
      </c>
      <c r="C27" s="15" t="s">
        <v>200</v>
      </c>
      <c r="D27" s="15" t="s">
        <v>201</v>
      </c>
    </row>
    <row r="28" spans="1:4" x14ac:dyDescent="0.2">
      <c r="A28" s="15">
        <v>535</v>
      </c>
      <c r="B28" s="15" t="s">
        <v>2296</v>
      </c>
      <c r="C28" s="15" t="s">
        <v>2297</v>
      </c>
      <c r="D28" s="15" t="s">
        <v>2295</v>
      </c>
    </row>
    <row r="29" spans="1:4" x14ac:dyDescent="0.2">
      <c r="A29" s="15">
        <v>70</v>
      </c>
      <c r="B29" s="15" t="s">
        <v>2298</v>
      </c>
      <c r="C29" s="15" t="s">
        <v>325</v>
      </c>
      <c r="D29" s="15" t="s">
        <v>326</v>
      </c>
    </row>
    <row r="30" spans="1:4" x14ac:dyDescent="0.2">
      <c r="A30" s="15">
        <v>72</v>
      </c>
      <c r="B30" s="15" t="s">
        <v>2299</v>
      </c>
      <c r="C30" s="15" t="s">
        <v>99</v>
      </c>
      <c r="D30" s="15" t="s">
        <v>100</v>
      </c>
    </row>
    <row r="31" spans="1:4" x14ac:dyDescent="0.2">
      <c r="A31" s="15">
        <v>74</v>
      </c>
      <c r="B31" s="15" t="s">
        <v>2301</v>
      </c>
      <c r="C31" s="15" t="s">
        <v>2302</v>
      </c>
      <c r="D31" s="15" t="s">
        <v>2300</v>
      </c>
    </row>
    <row r="32" spans="1:4" x14ac:dyDescent="0.2">
      <c r="A32" s="15">
        <v>76</v>
      </c>
      <c r="B32" s="15" t="s">
        <v>2303</v>
      </c>
      <c r="C32" s="15" t="s">
        <v>202</v>
      </c>
      <c r="D32" s="15" t="s">
        <v>203</v>
      </c>
    </row>
    <row r="33" spans="1:4" x14ac:dyDescent="0.2">
      <c r="A33" s="15">
        <v>86</v>
      </c>
      <c r="B33" s="15" t="s">
        <v>2305</v>
      </c>
      <c r="C33" s="15" t="s">
        <v>2306</v>
      </c>
      <c r="D33" s="15" t="s">
        <v>2304</v>
      </c>
    </row>
    <row r="34" spans="1:4" x14ac:dyDescent="0.2">
      <c r="A34" s="15">
        <v>96</v>
      </c>
      <c r="B34" s="15" t="s">
        <v>2307</v>
      </c>
      <c r="C34" s="15" t="s">
        <v>444</v>
      </c>
      <c r="D34" s="15" t="s">
        <v>445</v>
      </c>
    </row>
    <row r="35" spans="1:4" x14ac:dyDescent="0.2">
      <c r="A35" s="15">
        <v>100</v>
      </c>
      <c r="B35" s="15" t="s">
        <v>2308</v>
      </c>
      <c r="C35" s="15" t="s">
        <v>323</v>
      </c>
      <c r="D35" s="15" t="s">
        <v>324</v>
      </c>
    </row>
    <row r="36" spans="1:4" x14ac:dyDescent="0.2">
      <c r="A36" s="15">
        <v>854</v>
      </c>
      <c r="B36" s="15" t="s">
        <v>2309</v>
      </c>
      <c r="C36" s="15" t="s">
        <v>97</v>
      </c>
      <c r="D36" s="15" t="s">
        <v>98</v>
      </c>
    </row>
    <row r="37" spans="1:4" x14ac:dyDescent="0.2">
      <c r="A37" s="15">
        <v>108</v>
      </c>
      <c r="B37" s="15" t="s">
        <v>2310</v>
      </c>
      <c r="C37" s="15" t="s">
        <v>91</v>
      </c>
      <c r="D37" s="15" t="s">
        <v>92</v>
      </c>
    </row>
    <row r="38" spans="1:4" x14ac:dyDescent="0.2">
      <c r="A38" s="15">
        <v>132</v>
      </c>
      <c r="B38" s="15" t="s">
        <v>2311</v>
      </c>
      <c r="C38" s="15" t="s">
        <v>115</v>
      </c>
      <c r="D38" s="15" t="s">
        <v>116</v>
      </c>
    </row>
    <row r="39" spans="1:4" x14ac:dyDescent="0.2">
      <c r="A39" s="15">
        <v>116</v>
      </c>
      <c r="B39" s="15" t="s">
        <v>2312</v>
      </c>
      <c r="C39" s="15" t="s">
        <v>456</v>
      </c>
      <c r="D39" s="15" t="s">
        <v>457</v>
      </c>
    </row>
    <row r="40" spans="1:4" x14ac:dyDescent="0.2">
      <c r="A40" s="15">
        <v>120</v>
      </c>
      <c r="B40" s="15" t="s">
        <v>2313</v>
      </c>
      <c r="C40" s="15" t="s">
        <v>106</v>
      </c>
      <c r="D40" s="15" t="s">
        <v>107</v>
      </c>
    </row>
    <row r="41" spans="1:4" x14ac:dyDescent="0.2">
      <c r="A41" s="15">
        <v>124</v>
      </c>
      <c r="B41" s="15" t="s">
        <v>2314</v>
      </c>
      <c r="C41" s="15" t="s">
        <v>206</v>
      </c>
      <c r="D41" s="15" t="s">
        <v>207</v>
      </c>
    </row>
    <row r="42" spans="1:4" x14ac:dyDescent="0.2">
      <c r="A42" s="15">
        <v>136</v>
      </c>
      <c r="B42" s="15" t="s">
        <v>2316</v>
      </c>
      <c r="C42" s="15" t="s">
        <v>2203</v>
      </c>
      <c r="D42" s="15" t="s">
        <v>2315</v>
      </c>
    </row>
    <row r="43" spans="1:4" x14ac:dyDescent="0.2">
      <c r="A43" s="15">
        <v>140</v>
      </c>
      <c r="B43" s="15" t="s">
        <v>2318</v>
      </c>
      <c r="C43" s="15" t="s">
        <v>102</v>
      </c>
      <c r="D43" s="15" t="s">
        <v>2317</v>
      </c>
    </row>
    <row r="44" spans="1:4" x14ac:dyDescent="0.2">
      <c r="A44" s="15">
        <v>148</v>
      </c>
      <c r="B44" s="15" t="s">
        <v>2319</v>
      </c>
      <c r="C44" s="15" t="s">
        <v>175</v>
      </c>
      <c r="D44" s="15" t="s">
        <v>176</v>
      </c>
    </row>
    <row r="45" spans="1:4" x14ac:dyDescent="0.2">
      <c r="A45" s="15">
        <v>152</v>
      </c>
      <c r="B45" s="15" t="s">
        <v>2320</v>
      </c>
      <c r="C45" s="15" t="s">
        <v>209</v>
      </c>
      <c r="D45" s="15" t="s">
        <v>210</v>
      </c>
    </row>
    <row r="46" spans="1:4" x14ac:dyDescent="0.2">
      <c r="A46" s="15">
        <v>156</v>
      </c>
      <c r="B46" s="15" t="s">
        <v>2321</v>
      </c>
      <c r="C46" s="15" t="s">
        <v>446</v>
      </c>
      <c r="D46" s="15" t="s">
        <v>447</v>
      </c>
    </row>
    <row r="47" spans="1:4" x14ac:dyDescent="0.2">
      <c r="A47" s="15">
        <v>162</v>
      </c>
      <c r="B47" s="15" t="s">
        <v>2323</v>
      </c>
      <c r="C47" s="15" t="s">
        <v>2324</v>
      </c>
      <c r="D47" s="15" t="s">
        <v>2322</v>
      </c>
    </row>
    <row r="48" spans="1:4" x14ac:dyDescent="0.2">
      <c r="A48" s="15">
        <v>166</v>
      </c>
      <c r="B48" s="15" t="s">
        <v>2326</v>
      </c>
      <c r="C48" s="15" t="s">
        <v>2327</v>
      </c>
      <c r="D48" s="15" t="s">
        <v>2325</v>
      </c>
    </row>
    <row r="49" spans="1:4" x14ac:dyDescent="0.2">
      <c r="A49" s="15">
        <v>170</v>
      </c>
      <c r="B49" s="15" t="s">
        <v>2328</v>
      </c>
      <c r="C49" s="15" t="s">
        <v>211</v>
      </c>
      <c r="D49" s="15" t="s">
        <v>212</v>
      </c>
    </row>
    <row r="50" spans="1:4" x14ac:dyDescent="0.2">
      <c r="A50" s="15">
        <v>174</v>
      </c>
      <c r="B50" s="15" t="s">
        <v>2330</v>
      </c>
      <c r="C50" s="15" t="s">
        <v>113</v>
      </c>
      <c r="D50" s="15" t="s">
        <v>2329</v>
      </c>
    </row>
    <row r="51" spans="1:4" x14ac:dyDescent="0.2">
      <c r="A51" s="15">
        <v>180</v>
      </c>
      <c r="B51" s="15" t="s">
        <v>2332</v>
      </c>
      <c r="C51" s="15" t="s">
        <v>109</v>
      </c>
      <c r="D51" s="15" t="s">
        <v>2331</v>
      </c>
    </row>
    <row r="52" spans="1:4" x14ac:dyDescent="0.2">
      <c r="A52" s="15">
        <v>178</v>
      </c>
      <c r="B52" s="15" t="s">
        <v>2334</v>
      </c>
      <c r="C52" s="15" t="s">
        <v>111</v>
      </c>
      <c r="D52" s="15" t="s">
        <v>2333</v>
      </c>
    </row>
    <row r="53" spans="1:4" x14ac:dyDescent="0.2">
      <c r="A53" s="15">
        <v>184</v>
      </c>
      <c r="B53" s="15" t="s">
        <v>2336</v>
      </c>
      <c r="C53" s="15" t="s">
        <v>448</v>
      </c>
      <c r="D53" s="15" t="s">
        <v>2335</v>
      </c>
    </row>
    <row r="54" spans="1:4" x14ac:dyDescent="0.2">
      <c r="A54" s="15">
        <v>188</v>
      </c>
      <c r="B54" s="15" t="s">
        <v>2337</v>
      </c>
      <c r="C54" s="15" t="s">
        <v>213</v>
      </c>
      <c r="D54" s="15" t="s">
        <v>214</v>
      </c>
    </row>
    <row r="55" spans="1:4" x14ac:dyDescent="0.2">
      <c r="A55" s="15">
        <v>191</v>
      </c>
      <c r="B55" s="15" t="s">
        <v>2338</v>
      </c>
      <c r="C55" s="15" t="s">
        <v>353</v>
      </c>
      <c r="D55" s="15" t="s">
        <v>354</v>
      </c>
    </row>
    <row r="56" spans="1:4" x14ac:dyDescent="0.2">
      <c r="A56" s="15">
        <v>192</v>
      </c>
      <c r="B56" s="15" t="s">
        <v>2339</v>
      </c>
      <c r="C56" s="15" t="s">
        <v>215</v>
      </c>
      <c r="D56" s="15" t="s">
        <v>216</v>
      </c>
    </row>
    <row r="57" spans="1:4" x14ac:dyDescent="0.2">
      <c r="A57" s="15">
        <v>531</v>
      </c>
      <c r="B57" s="15" t="s">
        <v>2341</v>
      </c>
      <c r="C57" s="15" t="s">
        <v>505</v>
      </c>
      <c r="D57" s="15" t="s">
        <v>2340</v>
      </c>
    </row>
    <row r="58" spans="1:4" x14ac:dyDescent="0.2">
      <c r="A58" s="15">
        <v>196</v>
      </c>
      <c r="B58" s="15" t="s">
        <v>2342</v>
      </c>
      <c r="C58" s="15" t="s">
        <v>331</v>
      </c>
      <c r="D58" s="15" t="s">
        <v>332</v>
      </c>
    </row>
    <row r="59" spans="1:4" x14ac:dyDescent="0.2">
      <c r="A59" s="15">
        <v>203</v>
      </c>
      <c r="B59" s="15" t="s">
        <v>2343</v>
      </c>
      <c r="C59" s="15" t="s">
        <v>333</v>
      </c>
      <c r="D59" s="15" t="s">
        <v>334</v>
      </c>
    </row>
    <row r="60" spans="1:4" x14ac:dyDescent="0.2">
      <c r="A60" s="15">
        <v>384</v>
      </c>
      <c r="B60" s="15" t="s">
        <v>2344</v>
      </c>
      <c r="C60" s="15" t="s">
        <v>104</v>
      </c>
      <c r="D60" s="15" t="s">
        <v>520</v>
      </c>
    </row>
    <row r="61" spans="1:4" x14ac:dyDescent="0.2">
      <c r="A61" s="15">
        <v>208</v>
      </c>
      <c r="B61" s="15" t="s">
        <v>2345</v>
      </c>
      <c r="C61" s="15" t="s">
        <v>337</v>
      </c>
      <c r="D61" s="15" t="s">
        <v>338</v>
      </c>
    </row>
    <row r="62" spans="1:4" x14ac:dyDescent="0.2">
      <c r="A62" s="15">
        <v>262</v>
      </c>
      <c r="B62" s="15" t="s">
        <v>2346</v>
      </c>
      <c r="C62" s="15" t="s">
        <v>271</v>
      </c>
      <c r="D62" s="15" t="s">
        <v>272</v>
      </c>
    </row>
    <row r="63" spans="1:4" x14ac:dyDescent="0.2">
      <c r="A63" s="15">
        <v>212</v>
      </c>
      <c r="B63" s="15" t="s">
        <v>1618</v>
      </c>
      <c r="C63" s="15" t="s">
        <v>217</v>
      </c>
      <c r="D63" s="15" t="s">
        <v>218</v>
      </c>
    </row>
    <row r="64" spans="1:4" x14ac:dyDescent="0.2">
      <c r="A64" s="15">
        <v>214</v>
      </c>
      <c r="B64" s="15" t="s">
        <v>2348</v>
      </c>
      <c r="C64" s="15" t="s">
        <v>219</v>
      </c>
      <c r="D64" s="15" t="s">
        <v>2347</v>
      </c>
    </row>
    <row r="65" spans="1:4" x14ac:dyDescent="0.2">
      <c r="A65" s="15">
        <v>218</v>
      </c>
      <c r="B65" s="15" t="s">
        <v>2349</v>
      </c>
      <c r="C65" s="15" t="s">
        <v>221</v>
      </c>
      <c r="D65" s="15" t="s">
        <v>222</v>
      </c>
    </row>
    <row r="66" spans="1:4" x14ac:dyDescent="0.2">
      <c r="A66" s="15">
        <v>818</v>
      </c>
      <c r="B66" s="15" t="s">
        <v>2350</v>
      </c>
      <c r="C66" s="15" t="s">
        <v>273</v>
      </c>
      <c r="D66" s="15" t="s">
        <v>274</v>
      </c>
    </row>
    <row r="67" spans="1:4" x14ac:dyDescent="0.2">
      <c r="A67" s="15">
        <v>222</v>
      </c>
      <c r="B67" s="15" t="s">
        <v>2351</v>
      </c>
      <c r="C67" s="15" t="s">
        <v>249</v>
      </c>
      <c r="D67" s="15" t="s">
        <v>250</v>
      </c>
    </row>
    <row r="68" spans="1:4" x14ac:dyDescent="0.2">
      <c r="A68" s="15">
        <v>226</v>
      </c>
      <c r="B68" s="15" t="s">
        <v>2352</v>
      </c>
      <c r="C68" s="15" t="s">
        <v>134</v>
      </c>
      <c r="D68" s="15" t="s">
        <v>135</v>
      </c>
    </row>
    <row r="69" spans="1:4" x14ac:dyDescent="0.2">
      <c r="A69" s="15">
        <v>232</v>
      </c>
      <c r="B69" s="15" t="s">
        <v>2353</v>
      </c>
      <c r="C69" s="15" t="s">
        <v>120</v>
      </c>
      <c r="D69" s="15" t="s">
        <v>121</v>
      </c>
    </row>
    <row r="70" spans="1:4" x14ac:dyDescent="0.2">
      <c r="A70" s="15">
        <v>233</v>
      </c>
      <c r="B70" s="15" t="s">
        <v>2354</v>
      </c>
      <c r="C70" s="15" t="s">
        <v>341</v>
      </c>
      <c r="D70" s="15" t="s">
        <v>342</v>
      </c>
    </row>
    <row r="71" spans="1:4" x14ac:dyDescent="0.2">
      <c r="A71" s="15">
        <v>748</v>
      </c>
      <c r="B71" s="15" t="s">
        <v>2355</v>
      </c>
      <c r="C71" s="15" t="s">
        <v>171</v>
      </c>
      <c r="D71" s="15" t="s">
        <v>172</v>
      </c>
    </row>
    <row r="72" spans="1:4" x14ac:dyDescent="0.2">
      <c r="A72" s="15">
        <v>231</v>
      </c>
      <c r="B72" s="15" t="s">
        <v>2356</v>
      </c>
      <c r="C72" s="15" t="s">
        <v>122</v>
      </c>
      <c r="D72" s="15" t="s">
        <v>123</v>
      </c>
    </row>
    <row r="73" spans="1:4" x14ac:dyDescent="0.2">
      <c r="A73" s="15">
        <v>238</v>
      </c>
      <c r="B73" s="15" t="s">
        <v>2358</v>
      </c>
      <c r="C73" s="15" t="s">
        <v>2359</v>
      </c>
      <c r="D73" s="15" t="s">
        <v>2357</v>
      </c>
    </row>
    <row r="74" spans="1:4" x14ac:dyDescent="0.2">
      <c r="A74" s="15">
        <v>234</v>
      </c>
      <c r="B74" s="15" t="s">
        <v>2361</v>
      </c>
      <c r="C74" s="15" t="s">
        <v>2212</v>
      </c>
      <c r="D74" s="15" t="s">
        <v>2360</v>
      </c>
    </row>
    <row r="75" spans="1:4" x14ac:dyDescent="0.2">
      <c r="A75" s="15">
        <v>242</v>
      </c>
      <c r="B75" s="15" t="s">
        <v>2362</v>
      </c>
      <c r="C75" s="15" t="s">
        <v>450</v>
      </c>
      <c r="D75" s="15" t="s">
        <v>451</v>
      </c>
    </row>
    <row r="76" spans="1:4" x14ac:dyDescent="0.2">
      <c r="A76" s="15">
        <v>246</v>
      </c>
      <c r="B76" s="15" t="s">
        <v>2363</v>
      </c>
      <c r="C76" s="15" t="s">
        <v>343</v>
      </c>
      <c r="D76" s="15" t="s">
        <v>344</v>
      </c>
    </row>
    <row r="77" spans="1:4" x14ac:dyDescent="0.2">
      <c r="A77" s="15">
        <v>250</v>
      </c>
      <c r="B77" s="15" t="s">
        <v>2364</v>
      </c>
      <c r="C77" s="15" t="s">
        <v>345</v>
      </c>
      <c r="D77" s="15" t="s">
        <v>346</v>
      </c>
    </row>
    <row r="78" spans="1:4" x14ac:dyDescent="0.2">
      <c r="A78" s="15">
        <v>254</v>
      </c>
      <c r="B78" s="15" t="s">
        <v>2366</v>
      </c>
      <c r="C78" s="15" t="s">
        <v>508</v>
      </c>
      <c r="D78" s="15" t="s">
        <v>2365</v>
      </c>
    </row>
    <row r="79" spans="1:4" x14ac:dyDescent="0.2">
      <c r="A79" s="15">
        <v>258</v>
      </c>
      <c r="B79" s="15" t="s">
        <v>2368</v>
      </c>
      <c r="C79" s="15" t="s">
        <v>516</v>
      </c>
      <c r="D79" s="15" t="s">
        <v>2367</v>
      </c>
    </row>
    <row r="80" spans="1:4" x14ac:dyDescent="0.2">
      <c r="A80" s="15">
        <v>260</v>
      </c>
      <c r="B80" s="15" t="s">
        <v>2370</v>
      </c>
      <c r="C80" s="15" t="s">
        <v>2371</v>
      </c>
      <c r="D80" s="15" t="s">
        <v>2369</v>
      </c>
    </row>
    <row r="81" spans="1:4" x14ac:dyDescent="0.2">
      <c r="A81" s="15">
        <v>266</v>
      </c>
      <c r="B81" s="15" t="s">
        <v>2372</v>
      </c>
      <c r="C81" s="15" t="s">
        <v>124</v>
      </c>
      <c r="D81" s="15" t="s">
        <v>125</v>
      </c>
    </row>
    <row r="82" spans="1:4" x14ac:dyDescent="0.2">
      <c r="A82" s="15">
        <v>270</v>
      </c>
      <c r="B82" s="15" t="s">
        <v>2374</v>
      </c>
      <c r="C82" s="15" t="s">
        <v>130</v>
      </c>
      <c r="D82" s="15" t="s">
        <v>2373</v>
      </c>
    </row>
    <row r="83" spans="1:4" x14ac:dyDescent="0.2">
      <c r="A83" s="15">
        <v>268</v>
      </c>
      <c r="B83" s="15" t="s">
        <v>2375</v>
      </c>
      <c r="C83" s="15" t="s">
        <v>349</v>
      </c>
      <c r="D83" s="15" t="s">
        <v>350</v>
      </c>
    </row>
    <row r="84" spans="1:4" x14ac:dyDescent="0.2">
      <c r="A84" s="15">
        <v>276</v>
      </c>
      <c r="B84" s="15" t="s">
        <v>2376</v>
      </c>
      <c r="C84" s="15" t="s">
        <v>335</v>
      </c>
      <c r="D84" s="15" t="s">
        <v>336</v>
      </c>
    </row>
    <row r="85" spans="1:4" x14ac:dyDescent="0.2">
      <c r="A85" s="15">
        <v>288</v>
      </c>
      <c r="B85" s="15" t="s">
        <v>2377</v>
      </c>
      <c r="C85" s="15" t="s">
        <v>126</v>
      </c>
      <c r="D85" s="15" t="s">
        <v>127</v>
      </c>
    </row>
    <row r="86" spans="1:4" x14ac:dyDescent="0.2">
      <c r="A86" s="15">
        <v>292</v>
      </c>
      <c r="B86" s="15" t="s">
        <v>2379</v>
      </c>
      <c r="C86" s="15" t="s">
        <v>2213</v>
      </c>
      <c r="D86" s="15" t="s">
        <v>2378</v>
      </c>
    </row>
    <row r="87" spans="1:4" x14ac:dyDescent="0.2">
      <c r="A87" s="15">
        <v>300</v>
      </c>
      <c r="B87" s="15" t="s">
        <v>2380</v>
      </c>
      <c r="C87" s="15" t="s">
        <v>351</v>
      </c>
      <c r="D87" s="15" t="s">
        <v>352</v>
      </c>
    </row>
    <row r="88" spans="1:4" x14ac:dyDescent="0.2">
      <c r="A88" s="15">
        <v>304</v>
      </c>
      <c r="B88" s="15" t="s">
        <v>2382</v>
      </c>
      <c r="C88" s="15" t="s">
        <v>2214</v>
      </c>
      <c r="D88" s="15" t="s">
        <v>2381</v>
      </c>
    </row>
    <row r="89" spans="1:4" x14ac:dyDescent="0.2">
      <c r="A89" s="15">
        <v>308</v>
      </c>
      <c r="B89" s="15" t="s">
        <v>2383</v>
      </c>
      <c r="C89" s="15" t="s">
        <v>223</v>
      </c>
      <c r="D89" s="15" t="s">
        <v>224</v>
      </c>
    </row>
    <row r="90" spans="1:4" x14ac:dyDescent="0.2">
      <c r="A90" s="15">
        <v>312</v>
      </c>
      <c r="B90" s="15" t="s">
        <v>2385</v>
      </c>
      <c r="C90" s="15" t="s">
        <v>507</v>
      </c>
      <c r="D90" s="15" t="s">
        <v>2384</v>
      </c>
    </row>
    <row r="91" spans="1:4" x14ac:dyDescent="0.2">
      <c r="A91" s="15">
        <v>316</v>
      </c>
      <c r="B91" s="15" t="s">
        <v>2387</v>
      </c>
      <c r="C91" s="15" t="s">
        <v>509</v>
      </c>
      <c r="D91" s="15" t="s">
        <v>2386</v>
      </c>
    </row>
    <row r="92" spans="1:4" x14ac:dyDescent="0.2">
      <c r="A92" s="15">
        <v>320</v>
      </c>
      <c r="B92" s="15" t="s">
        <v>2388</v>
      </c>
      <c r="C92" s="15" t="s">
        <v>225</v>
      </c>
      <c r="D92" s="15" t="s">
        <v>226</v>
      </c>
    </row>
    <row r="93" spans="1:4" x14ac:dyDescent="0.2">
      <c r="A93" s="15">
        <v>831</v>
      </c>
      <c r="B93" s="15" t="s">
        <v>2390</v>
      </c>
      <c r="C93" s="15" t="s">
        <v>2391</v>
      </c>
      <c r="D93" s="15" t="s">
        <v>2389</v>
      </c>
    </row>
    <row r="94" spans="1:4" x14ac:dyDescent="0.2">
      <c r="A94" s="15">
        <v>324</v>
      </c>
      <c r="B94" s="15" t="s">
        <v>2392</v>
      </c>
      <c r="C94" s="15" t="s">
        <v>128</v>
      </c>
      <c r="D94" s="15" t="s">
        <v>129</v>
      </c>
    </row>
    <row r="95" spans="1:4" x14ac:dyDescent="0.2">
      <c r="A95" s="15">
        <v>624</v>
      </c>
      <c r="B95" s="15" t="s">
        <v>2393</v>
      </c>
      <c r="C95" s="15" t="s">
        <v>132</v>
      </c>
      <c r="D95" s="15" t="s">
        <v>133</v>
      </c>
    </row>
    <row r="96" spans="1:4" x14ac:dyDescent="0.2">
      <c r="A96" s="15">
        <v>328</v>
      </c>
      <c r="B96" s="15" t="s">
        <v>2394</v>
      </c>
      <c r="C96" s="15" t="s">
        <v>227</v>
      </c>
      <c r="D96" s="15" t="s">
        <v>228</v>
      </c>
    </row>
    <row r="97" spans="1:4" x14ac:dyDescent="0.2">
      <c r="A97" s="15">
        <v>332</v>
      </c>
      <c r="B97" s="15" t="s">
        <v>2395</v>
      </c>
      <c r="C97" s="15" t="s">
        <v>231</v>
      </c>
      <c r="D97" s="15" t="s">
        <v>232</v>
      </c>
    </row>
    <row r="98" spans="1:4" x14ac:dyDescent="0.2">
      <c r="A98" s="15">
        <v>334</v>
      </c>
      <c r="B98" s="15" t="s">
        <v>2397</v>
      </c>
      <c r="C98" s="15" t="s">
        <v>2398</v>
      </c>
      <c r="D98" s="15" t="s">
        <v>2396</v>
      </c>
    </row>
    <row r="99" spans="1:4" x14ac:dyDescent="0.2">
      <c r="A99" s="15">
        <v>336</v>
      </c>
      <c r="B99" s="15" t="s">
        <v>2400</v>
      </c>
      <c r="C99" s="15" t="s">
        <v>2401</v>
      </c>
      <c r="D99" s="15" t="s">
        <v>2399</v>
      </c>
    </row>
    <row r="100" spans="1:4" x14ac:dyDescent="0.2">
      <c r="A100" s="15">
        <v>340</v>
      </c>
      <c r="B100" s="15" t="s">
        <v>2402</v>
      </c>
      <c r="C100" s="15" t="s">
        <v>229</v>
      </c>
      <c r="D100" s="15" t="s">
        <v>230</v>
      </c>
    </row>
    <row r="101" spans="1:4" x14ac:dyDescent="0.2">
      <c r="A101" s="15">
        <v>344</v>
      </c>
      <c r="B101" s="15" t="s">
        <v>2404</v>
      </c>
      <c r="C101" s="15" t="s">
        <v>510</v>
      </c>
      <c r="D101" s="15" t="s">
        <v>2403</v>
      </c>
    </row>
    <row r="102" spans="1:4" x14ac:dyDescent="0.2">
      <c r="A102" s="15">
        <v>348</v>
      </c>
      <c r="B102" s="15" t="s">
        <v>2405</v>
      </c>
      <c r="C102" s="15" t="s">
        <v>355</v>
      </c>
      <c r="D102" s="15" t="s">
        <v>356</v>
      </c>
    </row>
    <row r="103" spans="1:4" x14ac:dyDescent="0.2">
      <c r="A103" s="15">
        <v>352</v>
      </c>
      <c r="B103" s="15" t="s">
        <v>2406</v>
      </c>
      <c r="C103" s="15" t="s">
        <v>359</v>
      </c>
      <c r="D103" s="15" t="s">
        <v>360</v>
      </c>
    </row>
    <row r="104" spans="1:4" x14ac:dyDescent="0.2">
      <c r="A104" s="15">
        <v>356</v>
      </c>
      <c r="B104" s="15" t="s">
        <v>2407</v>
      </c>
      <c r="C104" s="15" t="s">
        <v>425</v>
      </c>
      <c r="D104" s="15" t="s">
        <v>426</v>
      </c>
    </row>
    <row r="105" spans="1:4" x14ac:dyDescent="0.2">
      <c r="A105" s="15">
        <v>360</v>
      </c>
      <c r="B105" s="15" t="s">
        <v>2408</v>
      </c>
      <c r="C105" s="15" t="s">
        <v>422</v>
      </c>
      <c r="D105" s="15" t="s">
        <v>423</v>
      </c>
    </row>
    <row r="106" spans="1:4" x14ac:dyDescent="0.2">
      <c r="A106" s="15">
        <v>364</v>
      </c>
      <c r="B106" s="15" t="s">
        <v>2409</v>
      </c>
      <c r="C106" s="15" t="s">
        <v>275</v>
      </c>
      <c r="D106" s="15" t="s">
        <v>276</v>
      </c>
    </row>
    <row r="107" spans="1:4" x14ac:dyDescent="0.2">
      <c r="A107" s="15">
        <v>368</v>
      </c>
      <c r="B107" s="15" t="s">
        <v>2410</v>
      </c>
      <c r="C107" s="15" t="s">
        <v>277</v>
      </c>
      <c r="D107" s="15" t="s">
        <v>278</v>
      </c>
    </row>
    <row r="108" spans="1:4" x14ac:dyDescent="0.2">
      <c r="A108" s="15">
        <v>372</v>
      </c>
      <c r="B108" s="15" t="s">
        <v>2411</v>
      </c>
      <c r="C108" s="15" t="s">
        <v>357</v>
      </c>
      <c r="D108" s="15" t="s">
        <v>358</v>
      </c>
    </row>
    <row r="109" spans="1:4" x14ac:dyDescent="0.2">
      <c r="A109" s="15">
        <v>833</v>
      </c>
      <c r="B109" s="15" t="s">
        <v>2413</v>
      </c>
      <c r="C109" s="15" t="s">
        <v>2221</v>
      </c>
      <c r="D109" s="15" t="s">
        <v>2412</v>
      </c>
    </row>
    <row r="110" spans="1:4" x14ac:dyDescent="0.2">
      <c r="A110" s="15">
        <v>376</v>
      </c>
      <c r="B110" s="15" t="s">
        <v>2414</v>
      </c>
      <c r="C110" s="15" t="s">
        <v>361</v>
      </c>
      <c r="D110" s="15" t="s">
        <v>362</v>
      </c>
    </row>
    <row r="111" spans="1:4" x14ac:dyDescent="0.2">
      <c r="A111" s="15">
        <v>380</v>
      </c>
      <c r="B111" s="15" t="s">
        <v>2415</v>
      </c>
      <c r="C111" s="15" t="s">
        <v>363</v>
      </c>
      <c r="D111" s="15" t="s">
        <v>364</v>
      </c>
    </row>
    <row r="112" spans="1:4" x14ac:dyDescent="0.2">
      <c r="A112" s="15">
        <v>388</v>
      </c>
      <c r="B112" s="15" t="s">
        <v>2416</v>
      </c>
      <c r="C112" s="15" t="s">
        <v>233</v>
      </c>
      <c r="D112" s="15" t="s">
        <v>234</v>
      </c>
    </row>
    <row r="113" spans="1:4" x14ac:dyDescent="0.2">
      <c r="A113" s="15">
        <v>392</v>
      </c>
      <c r="B113" s="15" t="s">
        <v>2417</v>
      </c>
      <c r="C113" s="15" t="s">
        <v>454</v>
      </c>
      <c r="D113" s="15" t="s">
        <v>455</v>
      </c>
    </row>
    <row r="114" spans="1:4" x14ac:dyDescent="0.2">
      <c r="A114" s="15">
        <v>832</v>
      </c>
      <c r="B114" s="15" t="s">
        <v>2419</v>
      </c>
      <c r="C114" s="15" t="s">
        <v>2420</v>
      </c>
      <c r="D114" s="15" t="s">
        <v>2418</v>
      </c>
    </row>
    <row r="115" spans="1:4" x14ac:dyDescent="0.2">
      <c r="A115" s="15">
        <v>400</v>
      </c>
      <c r="B115" s="15" t="s">
        <v>2421</v>
      </c>
      <c r="C115" s="15" t="s">
        <v>279</v>
      </c>
      <c r="D115" s="15" t="s">
        <v>280</v>
      </c>
    </row>
    <row r="116" spans="1:4" x14ac:dyDescent="0.2">
      <c r="A116" s="15">
        <v>398</v>
      </c>
      <c r="B116" s="15" t="s">
        <v>2422</v>
      </c>
      <c r="C116" s="15" t="s">
        <v>365</v>
      </c>
      <c r="D116" s="15" t="s">
        <v>366</v>
      </c>
    </row>
    <row r="117" spans="1:4" x14ac:dyDescent="0.2">
      <c r="A117" s="15">
        <v>404</v>
      </c>
      <c r="B117" s="15" t="s">
        <v>2423</v>
      </c>
      <c r="C117" s="15" t="s">
        <v>136</v>
      </c>
      <c r="D117" s="15" t="s">
        <v>137</v>
      </c>
    </row>
    <row r="118" spans="1:4" x14ac:dyDescent="0.2">
      <c r="A118" s="15">
        <v>296</v>
      </c>
      <c r="B118" s="15" t="s">
        <v>2424</v>
      </c>
      <c r="C118" s="15" t="s">
        <v>458</v>
      </c>
      <c r="D118" s="15" t="s">
        <v>459</v>
      </c>
    </row>
    <row r="119" spans="1:4" x14ac:dyDescent="0.2">
      <c r="A119" s="15">
        <v>408</v>
      </c>
      <c r="B119" s="15" t="s">
        <v>2426</v>
      </c>
      <c r="C119" s="15" t="s">
        <v>435</v>
      </c>
      <c r="D119" s="15" t="s">
        <v>2425</v>
      </c>
    </row>
    <row r="120" spans="1:4" x14ac:dyDescent="0.2">
      <c r="A120" s="15">
        <v>410</v>
      </c>
      <c r="B120" s="15" t="s">
        <v>2428</v>
      </c>
      <c r="C120" s="15" t="s">
        <v>460</v>
      </c>
      <c r="D120" s="15" t="s">
        <v>2427</v>
      </c>
    </row>
    <row r="121" spans="1:4" x14ac:dyDescent="0.2">
      <c r="A121" s="15">
        <v>414</v>
      </c>
      <c r="B121" s="15" t="s">
        <v>2429</v>
      </c>
      <c r="C121" s="15" t="s">
        <v>281</v>
      </c>
      <c r="D121" s="15" t="s">
        <v>282</v>
      </c>
    </row>
    <row r="122" spans="1:4" x14ac:dyDescent="0.2">
      <c r="A122" s="15">
        <v>417</v>
      </c>
      <c r="B122" s="15" t="s">
        <v>2430</v>
      </c>
      <c r="C122" s="15" t="s">
        <v>367</v>
      </c>
      <c r="D122" s="15" t="s">
        <v>368</v>
      </c>
    </row>
    <row r="123" spans="1:4" x14ac:dyDescent="0.2">
      <c r="A123" s="15">
        <v>418</v>
      </c>
      <c r="B123" s="15" t="s">
        <v>2432</v>
      </c>
      <c r="C123" s="15" t="s">
        <v>462</v>
      </c>
      <c r="D123" s="15" t="s">
        <v>2431</v>
      </c>
    </row>
    <row r="124" spans="1:4" x14ac:dyDescent="0.2">
      <c r="A124" s="15">
        <v>428</v>
      </c>
      <c r="B124" s="15" t="s">
        <v>2433</v>
      </c>
      <c r="C124" s="15" t="s">
        <v>373</v>
      </c>
      <c r="D124" s="15" t="s">
        <v>374</v>
      </c>
    </row>
    <row r="125" spans="1:4" x14ac:dyDescent="0.2">
      <c r="A125" s="15">
        <v>422</v>
      </c>
      <c r="B125" s="15" t="s">
        <v>2434</v>
      </c>
      <c r="C125" s="15" t="s">
        <v>283</v>
      </c>
      <c r="D125" s="15" t="s">
        <v>284</v>
      </c>
    </row>
    <row r="126" spans="1:4" x14ac:dyDescent="0.2">
      <c r="A126" s="15">
        <v>426</v>
      </c>
      <c r="B126" s="15" t="s">
        <v>2435</v>
      </c>
      <c r="C126" s="15" t="s">
        <v>140</v>
      </c>
      <c r="D126" s="15" t="s">
        <v>141</v>
      </c>
    </row>
    <row r="127" spans="1:4" x14ac:dyDescent="0.2">
      <c r="A127" s="15">
        <v>430</v>
      </c>
      <c r="B127" s="15" t="s">
        <v>2436</v>
      </c>
      <c r="C127" s="15" t="s">
        <v>138</v>
      </c>
      <c r="D127" s="15" t="s">
        <v>139</v>
      </c>
    </row>
    <row r="128" spans="1:4" x14ac:dyDescent="0.2">
      <c r="A128" s="15">
        <v>434</v>
      </c>
      <c r="B128" s="15" t="s">
        <v>2437</v>
      </c>
      <c r="C128" s="15" t="s">
        <v>285</v>
      </c>
      <c r="D128" s="15" t="s">
        <v>286</v>
      </c>
    </row>
    <row r="129" spans="1:4" x14ac:dyDescent="0.2">
      <c r="A129" s="15">
        <v>438</v>
      </c>
      <c r="B129" s="15" t="s">
        <v>2439</v>
      </c>
      <c r="C129" s="15" t="s">
        <v>2227</v>
      </c>
      <c r="D129" s="15" t="s">
        <v>2438</v>
      </c>
    </row>
    <row r="130" spans="1:4" x14ac:dyDescent="0.2">
      <c r="A130" s="15">
        <v>440</v>
      </c>
      <c r="B130" s="15" t="s">
        <v>2440</v>
      </c>
      <c r="C130" s="15" t="s">
        <v>369</v>
      </c>
      <c r="D130" s="15" t="s">
        <v>370</v>
      </c>
    </row>
    <row r="131" spans="1:4" x14ac:dyDescent="0.2">
      <c r="A131" s="15">
        <v>442</v>
      </c>
      <c r="B131" s="15" t="s">
        <v>2441</v>
      </c>
      <c r="C131" s="15" t="s">
        <v>371</v>
      </c>
      <c r="D131" s="15" t="s">
        <v>372</v>
      </c>
    </row>
    <row r="132" spans="1:4" x14ac:dyDescent="0.2">
      <c r="A132" s="15">
        <v>446</v>
      </c>
      <c r="B132" s="15" t="s">
        <v>2443</v>
      </c>
      <c r="C132" s="15" t="s">
        <v>511</v>
      </c>
      <c r="D132" s="15" t="s">
        <v>2442</v>
      </c>
    </row>
    <row r="133" spans="1:4" x14ac:dyDescent="0.2">
      <c r="A133" s="15">
        <v>450</v>
      </c>
      <c r="B133" s="15" t="s">
        <v>2444</v>
      </c>
      <c r="C133" s="15" t="s">
        <v>142</v>
      </c>
      <c r="D133" s="15" t="s">
        <v>143</v>
      </c>
    </row>
    <row r="134" spans="1:4" x14ac:dyDescent="0.2">
      <c r="A134" s="15">
        <v>454</v>
      </c>
      <c r="B134" s="15" t="s">
        <v>2445</v>
      </c>
      <c r="C134" s="15" t="s">
        <v>153</v>
      </c>
      <c r="D134" s="15" t="s">
        <v>154</v>
      </c>
    </row>
    <row r="135" spans="1:4" x14ac:dyDescent="0.2">
      <c r="A135" s="15">
        <v>458</v>
      </c>
      <c r="B135" s="15" t="s">
        <v>2446</v>
      </c>
      <c r="C135" s="15" t="s">
        <v>468</v>
      </c>
      <c r="D135" s="15" t="s">
        <v>469</v>
      </c>
    </row>
    <row r="136" spans="1:4" x14ac:dyDescent="0.2">
      <c r="A136" s="15">
        <v>462</v>
      </c>
      <c r="B136" s="15" t="s">
        <v>2447</v>
      </c>
      <c r="C136" s="15" t="s">
        <v>429</v>
      </c>
      <c r="D136" s="15" t="s">
        <v>430</v>
      </c>
    </row>
    <row r="137" spans="1:4" x14ac:dyDescent="0.2">
      <c r="A137" s="15">
        <v>466</v>
      </c>
      <c r="B137" s="15" t="s">
        <v>2448</v>
      </c>
      <c r="C137" s="15" t="s">
        <v>144</v>
      </c>
      <c r="D137" s="15" t="s">
        <v>145</v>
      </c>
    </row>
    <row r="138" spans="1:4" x14ac:dyDescent="0.2">
      <c r="A138" s="15">
        <v>470</v>
      </c>
      <c r="B138" s="15" t="s">
        <v>2449</v>
      </c>
      <c r="C138" s="15" t="s">
        <v>381</v>
      </c>
      <c r="D138" s="15" t="s">
        <v>382</v>
      </c>
    </row>
    <row r="139" spans="1:4" x14ac:dyDescent="0.2">
      <c r="A139" s="15">
        <v>584</v>
      </c>
      <c r="B139" s="15" t="s">
        <v>2451</v>
      </c>
      <c r="C139" s="15" t="s">
        <v>464</v>
      </c>
      <c r="D139" s="15" t="s">
        <v>2450</v>
      </c>
    </row>
    <row r="140" spans="1:4" x14ac:dyDescent="0.2">
      <c r="A140" s="15">
        <v>474</v>
      </c>
      <c r="B140" s="15" t="s">
        <v>2453</v>
      </c>
      <c r="C140" s="15" t="s">
        <v>512</v>
      </c>
      <c r="D140" s="15" t="s">
        <v>2452</v>
      </c>
    </row>
    <row r="141" spans="1:4" x14ac:dyDescent="0.2">
      <c r="A141" s="15">
        <v>478</v>
      </c>
      <c r="B141" s="15" t="s">
        <v>2454</v>
      </c>
      <c r="C141" s="15" t="s">
        <v>148</v>
      </c>
      <c r="D141" s="15" t="s">
        <v>149</v>
      </c>
    </row>
    <row r="142" spans="1:4" x14ac:dyDescent="0.2">
      <c r="A142" s="15">
        <v>480</v>
      </c>
      <c r="B142" s="15" t="s">
        <v>2455</v>
      </c>
      <c r="C142" s="15" t="s">
        <v>150</v>
      </c>
      <c r="D142" s="15" t="s">
        <v>151</v>
      </c>
    </row>
    <row r="143" spans="1:4" x14ac:dyDescent="0.2">
      <c r="A143" s="15">
        <v>175</v>
      </c>
      <c r="B143" s="15" t="s">
        <v>2457</v>
      </c>
      <c r="C143" s="15" t="s">
        <v>513</v>
      </c>
      <c r="D143" s="15" t="s">
        <v>2456</v>
      </c>
    </row>
    <row r="144" spans="1:4" x14ac:dyDescent="0.2">
      <c r="A144" s="15">
        <v>484</v>
      </c>
      <c r="B144" s="15" t="s">
        <v>2458</v>
      </c>
      <c r="C144" s="15" t="s">
        <v>239</v>
      </c>
      <c r="D144" s="15" t="s">
        <v>240</v>
      </c>
    </row>
    <row r="145" spans="1:4" x14ac:dyDescent="0.2">
      <c r="A145" s="15">
        <v>583</v>
      </c>
      <c r="B145" s="15" t="s">
        <v>2459</v>
      </c>
      <c r="C145" s="15" t="s">
        <v>452</v>
      </c>
      <c r="D145" s="15" t="s">
        <v>453</v>
      </c>
    </row>
    <row r="146" spans="1:4" x14ac:dyDescent="0.2">
      <c r="A146" s="15">
        <v>498</v>
      </c>
      <c r="B146" s="15" t="s">
        <v>2461</v>
      </c>
      <c r="C146" s="15" t="s">
        <v>377</v>
      </c>
      <c r="D146" s="15" t="s">
        <v>2460</v>
      </c>
    </row>
    <row r="147" spans="1:4" x14ac:dyDescent="0.2">
      <c r="A147" s="15">
        <v>492</v>
      </c>
      <c r="B147" s="15" t="s">
        <v>2462</v>
      </c>
      <c r="C147" s="15" t="s">
        <v>375</v>
      </c>
      <c r="D147" s="15" t="s">
        <v>376</v>
      </c>
    </row>
    <row r="148" spans="1:4" x14ac:dyDescent="0.2">
      <c r="A148" s="15">
        <v>496</v>
      </c>
      <c r="B148" s="15" t="s">
        <v>2463</v>
      </c>
      <c r="C148" s="15" t="s">
        <v>466</v>
      </c>
      <c r="D148" s="15" t="s">
        <v>467</v>
      </c>
    </row>
    <row r="149" spans="1:4" x14ac:dyDescent="0.2">
      <c r="A149" s="15">
        <v>499</v>
      </c>
      <c r="B149" s="15" t="s">
        <v>2464</v>
      </c>
      <c r="C149" s="15" t="s">
        <v>383</v>
      </c>
      <c r="D149" s="15" t="s">
        <v>384</v>
      </c>
    </row>
    <row r="150" spans="1:4" x14ac:dyDescent="0.2">
      <c r="A150" s="15">
        <v>500</v>
      </c>
      <c r="B150" s="15" t="s">
        <v>2466</v>
      </c>
      <c r="C150" s="15" t="s">
        <v>2467</v>
      </c>
      <c r="D150" s="15" t="s">
        <v>2465</v>
      </c>
    </row>
    <row r="151" spans="1:4" x14ac:dyDescent="0.2">
      <c r="A151" s="15">
        <v>504</v>
      </c>
      <c r="B151" s="15" t="s">
        <v>2468</v>
      </c>
      <c r="C151" s="15" t="s">
        <v>287</v>
      </c>
      <c r="D151" s="15" t="s">
        <v>288</v>
      </c>
    </row>
    <row r="152" spans="1:4" x14ac:dyDescent="0.2">
      <c r="A152" s="15">
        <v>508</v>
      </c>
      <c r="B152" s="15" t="s">
        <v>2469</v>
      </c>
      <c r="C152" s="15" t="s">
        <v>146</v>
      </c>
      <c r="D152" s="15" t="s">
        <v>147</v>
      </c>
    </row>
    <row r="153" spans="1:4" x14ac:dyDescent="0.2">
      <c r="A153" s="15">
        <v>104</v>
      </c>
      <c r="B153" s="15" t="s">
        <v>2470</v>
      </c>
      <c r="C153" s="15" t="s">
        <v>431</v>
      </c>
      <c r="D153" s="15" t="s">
        <v>432</v>
      </c>
    </row>
    <row r="154" spans="1:4" x14ac:dyDescent="0.2">
      <c r="A154" s="15">
        <v>516</v>
      </c>
      <c r="B154" s="15" t="s">
        <v>2471</v>
      </c>
      <c r="C154" s="15" t="s">
        <v>155</v>
      </c>
      <c r="D154" s="15" t="s">
        <v>156</v>
      </c>
    </row>
    <row r="155" spans="1:4" x14ac:dyDescent="0.2">
      <c r="A155" s="15">
        <v>520</v>
      </c>
      <c r="B155" s="15" t="s">
        <v>2472</v>
      </c>
      <c r="C155" s="15" t="s">
        <v>472</v>
      </c>
      <c r="D155" s="15" t="s">
        <v>473</v>
      </c>
    </row>
    <row r="156" spans="1:4" x14ac:dyDescent="0.2">
      <c r="A156" s="15">
        <v>524</v>
      </c>
      <c r="B156" s="15" t="s">
        <v>2473</v>
      </c>
      <c r="C156" s="15" t="s">
        <v>433</v>
      </c>
      <c r="D156" s="15" t="s">
        <v>434</v>
      </c>
    </row>
    <row r="157" spans="1:4" x14ac:dyDescent="0.2">
      <c r="A157" s="15">
        <v>528</v>
      </c>
      <c r="B157" s="15" t="s">
        <v>2475</v>
      </c>
      <c r="C157" s="15" t="s">
        <v>385</v>
      </c>
      <c r="D157" s="15" t="s">
        <v>2474</v>
      </c>
    </row>
    <row r="158" spans="1:4" x14ac:dyDescent="0.2">
      <c r="A158" s="15">
        <v>540</v>
      </c>
      <c r="B158" s="15" t="s">
        <v>2477</v>
      </c>
      <c r="C158" s="15" t="s">
        <v>514</v>
      </c>
      <c r="D158" s="15" t="s">
        <v>2476</v>
      </c>
    </row>
    <row r="159" spans="1:4" x14ac:dyDescent="0.2">
      <c r="A159" s="15">
        <v>554</v>
      </c>
      <c r="B159" s="15" t="s">
        <v>2478</v>
      </c>
      <c r="C159" s="15" t="s">
        <v>474</v>
      </c>
      <c r="D159" s="15" t="s">
        <v>475</v>
      </c>
    </row>
    <row r="160" spans="1:4" x14ac:dyDescent="0.2">
      <c r="A160" s="15">
        <v>558</v>
      </c>
      <c r="B160" s="15" t="s">
        <v>2479</v>
      </c>
      <c r="C160" s="15" t="s">
        <v>241</v>
      </c>
      <c r="D160" s="15" t="s">
        <v>242</v>
      </c>
    </row>
    <row r="161" spans="1:4" x14ac:dyDescent="0.2">
      <c r="A161" s="15">
        <v>562</v>
      </c>
      <c r="B161" s="15" t="s">
        <v>2481</v>
      </c>
      <c r="C161" s="15" t="s">
        <v>157</v>
      </c>
      <c r="D161" s="15" t="s">
        <v>2480</v>
      </c>
    </row>
    <row r="162" spans="1:4" x14ac:dyDescent="0.2">
      <c r="A162" s="15">
        <v>566</v>
      </c>
      <c r="B162" s="15" t="s">
        <v>2482</v>
      </c>
      <c r="C162" s="15" t="s">
        <v>159</v>
      </c>
      <c r="D162" s="15" t="s">
        <v>160</v>
      </c>
    </row>
    <row r="163" spans="1:4" x14ac:dyDescent="0.2">
      <c r="A163" s="15">
        <v>570</v>
      </c>
      <c r="B163" s="15" t="s">
        <v>2483</v>
      </c>
      <c r="C163" s="15" t="s">
        <v>470</v>
      </c>
      <c r="D163" s="15" t="s">
        <v>471</v>
      </c>
    </row>
    <row r="164" spans="1:4" x14ac:dyDescent="0.2">
      <c r="A164" s="15">
        <v>574</v>
      </c>
      <c r="B164" s="15" t="s">
        <v>2485</v>
      </c>
      <c r="C164" s="15" t="s">
        <v>2486</v>
      </c>
      <c r="D164" s="15" t="s">
        <v>2484</v>
      </c>
    </row>
    <row r="165" spans="1:4" x14ac:dyDescent="0.2">
      <c r="A165" s="15">
        <v>580</v>
      </c>
      <c r="B165" s="15" t="s">
        <v>2488</v>
      </c>
      <c r="C165" s="15" t="s">
        <v>2235</v>
      </c>
      <c r="D165" s="15" t="s">
        <v>2487</v>
      </c>
    </row>
    <row r="166" spans="1:4" x14ac:dyDescent="0.2">
      <c r="A166" s="15">
        <v>578</v>
      </c>
      <c r="B166" s="15" t="s">
        <v>2489</v>
      </c>
      <c r="C166" s="15" t="s">
        <v>387</v>
      </c>
      <c r="D166" s="15" t="s">
        <v>388</v>
      </c>
    </row>
    <row r="167" spans="1:4" x14ac:dyDescent="0.2">
      <c r="A167" s="15">
        <v>512</v>
      </c>
      <c r="B167" s="15" t="s">
        <v>2490</v>
      </c>
      <c r="C167" s="15" t="s">
        <v>289</v>
      </c>
      <c r="D167" s="15" t="s">
        <v>290</v>
      </c>
    </row>
    <row r="168" spans="1:4" x14ac:dyDescent="0.2">
      <c r="A168" s="15">
        <v>586</v>
      </c>
      <c r="B168" s="15" t="s">
        <v>2491</v>
      </c>
      <c r="C168" s="15" t="s">
        <v>291</v>
      </c>
      <c r="D168" s="15" t="s">
        <v>292</v>
      </c>
    </row>
    <row r="169" spans="1:4" x14ac:dyDescent="0.2">
      <c r="A169" s="15">
        <v>585</v>
      </c>
      <c r="B169" s="15" t="s">
        <v>2492</v>
      </c>
      <c r="C169" s="15" t="s">
        <v>478</v>
      </c>
      <c r="D169" s="15" t="s">
        <v>479</v>
      </c>
    </row>
    <row r="170" spans="1:4" x14ac:dyDescent="0.2">
      <c r="A170" s="15">
        <v>275</v>
      </c>
      <c r="B170" s="15" t="s">
        <v>2494</v>
      </c>
      <c r="C170" s="15" t="s">
        <v>293</v>
      </c>
      <c r="D170" s="15" t="s">
        <v>2493</v>
      </c>
    </row>
    <row r="171" spans="1:4" x14ac:dyDescent="0.2">
      <c r="A171" s="15">
        <v>591</v>
      </c>
      <c r="B171" s="15" t="s">
        <v>2495</v>
      </c>
      <c r="C171" s="15" t="s">
        <v>243</v>
      </c>
      <c r="D171" s="15" t="s">
        <v>244</v>
      </c>
    </row>
    <row r="172" spans="1:4" x14ac:dyDescent="0.2">
      <c r="A172" s="15">
        <v>598</v>
      </c>
      <c r="B172" s="15" t="s">
        <v>2496</v>
      </c>
      <c r="C172" s="15" t="s">
        <v>480</v>
      </c>
      <c r="D172" s="15" t="s">
        <v>481</v>
      </c>
    </row>
    <row r="173" spans="1:4" x14ac:dyDescent="0.2">
      <c r="A173" s="15">
        <v>600</v>
      </c>
      <c r="B173" s="15" t="s">
        <v>2497</v>
      </c>
      <c r="C173" s="15" t="s">
        <v>247</v>
      </c>
      <c r="D173" s="15" t="s">
        <v>248</v>
      </c>
    </row>
    <row r="174" spans="1:4" x14ac:dyDescent="0.2">
      <c r="A174" s="15">
        <v>604</v>
      </c>
      <c r="B174" s="15" t="s">
        <v>2498</v>
      </c>
      <c r="C174" s="15" t="s">
        <v>245</v>
      </c>
      <c r="D174" s="15" t="s">
        <v>246</v>
      </c>
    </row>
    <row r="175" spans="1:4" x14ac:dyDescent="0.2">
      <c r="A175" s="15">
        <v>608</v>
      </c>
      <c r="B175" s="15" t="s">
        <v>2500</v>
      </c>
      <c r="C175" s="15" t="s">
        <v>476</v>
      </c>
      <c r="D175" s="15" t="s">
        <v>2499</v>
      </c>
    </row>
    <row r="176" spans="1:4" x14ac:dyDescent="0.2">
      <c r="A176" s="15">
        <v>612</v>
      </c>
      <c r="B176" s="15" t="s">
        <v>2502</v>
      </c>
      <c r="C176" s="15" t="s">
        <v>2503</v>
      </c>
      <c r="D176" s="15" t="s">
        <v>2501</v>
      </c>
    </row>
    <row r="177" spans="1:4" x14ac:dyDescent="0.2">
      <c r="A177" s="15">
        <v>616</v>
      </c>
      <c r="B177" s="15" t="s">
        <v>2504</v>
      </c>
      <c r="C177" s="15" t="s">
        <v>389</v>
      </c>
      <c r="D177" s="15" t="s">
        <v>390</v>
      </c>
    </row>
    <row r="178" spans="1:4" x14ac:dyDescent="0.2">
      <c r="A178" s="15">
        <v>620</v>
      </c>
      <c r="B178" s="15" t="s">
        <v>2505</v>
      </c>
      <c r="C178" s="15" t="s">
        <v>391</v>
      </c>
      <c r="D178" s="15" t="s">
        <v>392</v>
      </c>
    </row>
    <row r="179" spans="1:4" x14ac:dyDescent="0.2">
      <c r="A179" s="15">
        <v>630</v>
      </c>
      <c r="B179" s="15" t="s">
        <v>2507</v>
      </c>
      <c r="C179" s="15" t="s">
        <v>515</v>
      </c>
      <c r="D179" s="15" t="s">
        <v>2506</v>
      </c>
    </row>
    <row r="180" spans="1:4" x14ac:dyDescent="0.2">
      <c r="A180" s="15">
        <v>634</v>
      </c>
      <c r="B180" s="15" t="s">
        <v>2508</v>
      </c>
      <c r="C180" s="15" t="s">
        <v>295</v>
      </c>
      <c r="D180" s="15" t="s">
        <v>296</v>
      </c>
    </row>
    <row r="181" spans="1:4" x14ac:dyDescent="0.2">
      <c r="A181" s="15">
        <v>807</v>
      </c>
      <c r="B181" s="15" t="s">
        <v>2510</v>
      </c>
      <c r="C181" s="15" t="s">
        <v>379</v>
      </c>
      <c r="D181" s="15" t="s">
        <v>2509</v>
      </c>
    </row>
    <row r="182" spans="1:4" x14ac:dyDescent="0.2">
      <c r="A182" s="15">
        <v>642</v>
      </c>
      <c r="B182" s="15" t="s">
        <v>2511</v>
      </c>
      <c r="C182" s="15" t="s">
        <v>393</v>
      </c>
      <c r="D182" s="15" t="s">
        <v>394</v>
      </c>
    </row>
    <row r="183" spans="1:4" x14ac:dyDescent="0.2">
      <c r="A183" s="15">
        <v>643</v>
      </c>
      <c r="B183" s="15" t="s">
        <v>2513</v>
      </c>
      <c r="C183" s="15" t="s">
        <v>395</v>
      </c>
      <c r="D183" s="15" t="s">
        <v>2512</v>
      </c>
    </row>
    <row r="184" spans="1:4" x14ac:dyDescent="0.2">
      <c r="A184" s="15">
        <v>646</v>
      </c>
      <c r="B184" s="15" t="s">
        <v>2514</v>
      </c>
      <c r="C184" s="15" t="s">
        <v>161</v>
      </c>
      <c r="D184" s="15" t="s">
        <v>162</v>
      </c>
    </row>
    <row r="185" spans="1:4" x14ac:dyDescent="0.2">
      <c r="A185" s="15">
        <v>638</v>
      </c>
      <c r="B185" s="15" t="s">
        <v>2516</v>
      </c>
      <c r="C185" s="15" t="s">
        <v>517</v>
      </c>
      <c r="D185" s="15" t="s">
        <v>2515</v>
      </c>
    </row>
    <row r="186" spans="1:4" x14ac:dyDescent="0.2">
      <c r="A186" s="15">
        <v>652</v>
      </c>
      <c r="B186" s="15" t="s">
        <v>2518</v>
      </c>
      <c r="C186" s="15" t="s">
        <v>2519</v>
      </c>
      <c r="D186" s="15" t="s">
        <v>2517</v>
      </c>
    </row>
    <row r="187" spans="1:4" x14ac:dyDescent="0.2">
      <c r="A187" s="15">
        <v>654</v>
      </c>
      <c r="B187" s="15" t="s">
        <v>2521</v>
      </c>
      <c r="C187" s="15" t="s">
        <v>2522</v>
      </c>
      <c r="D187" s="15" t="s">
        <v>2520</v>
      </c>
    </row>
    <row r="188" spans="1:4" x14ac:dyDescent="0.2">
      <c r="A188" s="15">
        <v>659</v>
      </c>
      <c r="B188" s="15" t="s">
        <v>2523</v>
      </c>
      <c r="C188" s="15" t="s">
        <v>235</v>
      </c>
      <c r="D188" s="15" t="s">
        <v>236</v>
      </c>
    </row>
    <row r="189" spans="1:4" x14ac:dyDescent="0.2">
      <c r="A189" s="15">
        <v>662</v>
      </c>
      <c r="B189" s="15" t="s">
        <v>2524</v>
      </c>
      <c r="C189" s="15" t="s">
        <v>237</v>
      </c>
      <c r="D189" s="15" t="s">
        <v>238</v>
      </c>
    </row>
    <row r="190" spans="1:4" x14ac:dyDescent="0.2">
      <c r="A190" s="15">
        <v>663</v>
      </c>
      <c r="B190" s="15" t="s">
        <v>2526</v>
      </c>
      <c r="C190" s="15" t="s">
        <v>2231</v>
      </c>
      <c r="D190" s="15" t="s">
        <v>2525</v>
      </c>
    </row>
    <row r="191" spans="1:4" x14ac:dyDescent="0.2">
      <c r="A191" s="15">
        <v>666</v>
      </c>
      <c r="B191" s="15" t="s">
        <v>2528</v>
      </c>
      <c r="C191" s="15" t="s">
        <v>2529</v>
      </c>
      <c r="D191" s="15" t="s">
        <v>2527</v>
      </c>
    </row>
    <row r="192" spans="1:4" x14ac:dyDescent="0.2">
      <c r="A192" s="15">
        <v>670</v>
      </c>
      <c r="B192" s="15" t="s">
        <v>2530</v>
      </c>
      <c r="C192" s="15" t="s">
        <v>259</v>
      </c>
      <c r="D192" s="15" t="s">
        <v>260</v>
      </c>
    </row>
    <row r="193" spans="1:4" x14ac:dyDescent="0.2">
      <c r="A193" s="15">
        <v>882</v>
      </c>
      <c r="B193" s="15" t="s">
        <v>2531</v>
      </c>
      <c r="C193" s="15" t="s">
        <v>494</v>
      </c>
      <c r="D193" s="15" t="s">
        <v>495</v>
      </c>
    </row>
    <row r="194" spans="1:4" x14ac:dyDescent="0.2">
      <c r="A194" s="15">
        <v>674</v>
      </c>
      <c r="B194" s="15" t="s">
        <v>2532</v>
      </c>
      <c r="C194" s="15" t="s">
        <v>397</v>
      </c>
      <c r="D194" s="15" t="s">
        <v>398</v>
      </c>
    </row>
    <row r="195" spans="1:4" x14ac:dyDescent="0.2">
      <c r="A195" s="15">
        <v>678</v>
      </c>
      <c r="B195" s="15" t="s">
        <v>2533</v>
      </c>
      <c r="C195" s="15" t="s">
        <v>169</v>
      </c>
      <c r="D195" s="15" t="s">
        <v>170</v>
      </c>
    </row>
    <row r="196" spans="1:4" x14ac:dyDescent="0.2">
      <c r="A196" s="15">
        <v>682</v>
      </c>
      <c r="B196" s="15" t="s">
        <v>2534</v>
      </c>
      <c r="C196" s="15" t="s">
        <v>297</v>
      </c>
      <c r="D196" s="15" t="s">
        <v>298</v>
      </c>
    </row>
    <row r="197" spans="1:4" x14ac:dyDescent="0.2">
      <c r="A197" s="15">
        <v>686</v>
      </c>
      <c r="B197" s="15" t="s">
        <v>2535</v>
      </c>
      <c r="C197" s="15" t="s">
        <v>163</v>
      </c>
      <c r="D197" s="15" t="s">
        <v>164</v>
      </c>
    </row>
    <row r="198" spans="1:4" x14ac:dyDescent="0.2">
      <c r="A198" s="15">
        <v>688</v>
      </c>
      <c r="B198" s="15" t="s">
        <v>2536</v>
      </c>
      <c r="C198" s="15" t="s">
        <v>399</v>
      </c>
      <c r="D198" s="15" t="s">
        <v>400</v>
      </c>
    </row>
    <row r="199" spans="1:4" x14ac:dyDescent="0.2">
      <c r="A199" s="15">
        <v>690</v>
      </c>
      <c r="B199" s="15" t="s">
        <v>2537</v>
      </c>
      <c r="C199" s="15" t="s">
        <v>173</v>
      </c>
      <c r="D199" s="15" t="s">
        <v>174</v>
      </c>
    </row>
    <row r="200" spans="1:4" x14ac:dyDescent="0.2">
      <c r="A200" s="15">
        <v>694</v>
      </c>
      <c r="B200" s="15" t="s">
        <v>2538</v>
      </c>
      <c r="C200" s="15" t="s">
        <v>165</v>
      </c>
      <c r="D200" s="15" t="s">
        <v>166</v>
      </c>
    </row>
    <row r="201" spans="1:4" x14ac:dyDescent="0.2">
      <c r="A201" s="15">
        <v>702</v>
      </c>
      <c r="B201" s="15" t="s">
        <v>2539</v>
      </c>
      <c r="C201" s="15" t="s">
        <v>482</v>
      </c>
      <c r="D201" s="15" t="s">
        <v>483</v>
      </c>
    </row>
    <row r="202" spans="1:4" x14ac:dyDescent="0.2">
      <c r="A202" s="15">
        <v>534</v>
      </c>
      <c r="B202" s="15" t="s">
        <v>2541</v>
      </c>
      <c r="C202" s="15" t="s">
        <v>2246</v>
      </c>
      <c r="D202" s="15" t="s">
        <v>2540</v>
      </c>
    </row>
    <row r="203" spans="1:4" x14ac:dyDescent="0.2">
      <c r="A203" s="15">
        <v>703</v>
      </c>
      <c r="B203" s="15" t="s">
        <v>2542</v>
      </c>
      <c r="C203" s="15" t="s">
        <v>401</v>
      </c>
      <c r="D203" s="15" t="s">
        <v>402</v>
      </c>
    </row>
    <row r="204" spans="1:4" x14ac:dyDescent="0.2">
      <c r="A204" s="15">
        <v>705</v>
      </c>
      <c r="B204" s="15" t="s">
        <v>2543</v>
      </c>
      <c r="C204" s="15" t="s">
        <v>403</v>
      </c>
      <c r="D204" s="15" t="s">
        <v>404</v>
      </c>
    </row>
    <row r="205" spans="1:4" x14ac:dyDescent="0.2">
      <c r="A205" s="15">
        <v>90</v>
      </c>
      <c r="B205" s="15" t="s">
        <v>2544</v>
      </c>
      <c r="C205" s="15" t="s">
        <v>484</v>
      </c>
      <c r="D205" s="15" t="s">
        <v>485</v>
      </c>
    </row>
    <row r="206" spans="1:4" x14ac:dyDescent="0.2">
      <c r="A206" s="15">
        <v>706</v>
      </c>
      <c r="B206" s="15" t="s">
        <v>2545</v>
      </c>
      <c r="C206" s="15" t="s">
        <v>301</v>
      </c>
      <c r="D206" s="15" t="s">
        <v>302</v>
      </c>
    </row>
    <row r="207" spans="1:4" x14ac:dyDescent="0.2">
      <c r="A207" s="15">
        <v>710</v>
      </c>
      <c r="B207" s="15" t="s">
        <v>2546</v>
      </c>
      <c r="C207" s="15" t="s">
        <v>183</v>
      </c>
      <c r="D207" s="15" t="s">
        <v>184</v>
      </c>
    </row>
    <row r="208" spans="1:4" x14ac:dyDescent="0.2">
      <c r="A208" s="15">
        <v>239</v>
      </c>
      <c r="B208" s="15" t="s">
        <v>2548</v>
      </c>
      <c r="C208" s="15" t="s">
        <v>2549</v>
      </c>
      <c r="D208" s="15" t="s">
        <v>2547</v>
      </c>
    </row>
    <row r="209" spans="1:4" x14ac:dyDescent="0.2">
      <c r="A209" s="15">
        <v>728</v>
      </c>
      <c r="B209" s="15" t="s">
        <v>2550</v>
      </c>
      <c r="C209" s="15" t="s">
        <v>167</v>
      </c>
      <c r="D209" s="15" t="s">
        <v>168</v>
      </c>
    </row>
    <row r="210" spans="1:4" x14ac:dyDescent="0.2">
      <c r="A210" s="15">
        <v>724</v>
      </c>
      <c r="B210" s="15" t="s">
        <v>2551</v>
      </c>
      <c r="C210" s="15" t="s">
        <v>339</v>
      </c>
      <c r="D210" s="15" t="s">
        <v>340</v>
      </c>
    </row>
    <row r="211" spans="1:4" x14ac:dyDescent="0.2">
      <c r="A211" s="15">
        <v>144</v>
      </c>
      <c r="B211" s="15" t="s">
        <v>2552</v>
      </c>
      <c r="C211" s="15" t="s">
        <v>427</v>
      </c>
      <c r="D211" s="15" t="s">
        <v>428</v>
      </c>
    </row>
    <row r="212" spans="1:4" x14ac:dyDescent="0.2">
      <c r="A212" s="15">
        <v>729</v>
      </c>
      <c r="B212" s="15" t="s">
        <v>2554</v>
      </c>
      <c r="C212" s="15" t="s">
        <v>299</v>
      </c>
      <c r="D212" s="15" t="s">
        <v>2553</v>
      </c>
    </row>
    <row r="213" spans="1:4" x14ac:dyDescent="0.2">
      <c r="A213" s="15">
        <v>740</v>
      </c>
      <c r="B213" s="15" t="s">
        <v>2555</v>
      </c>
      <c r="C213" s="15" t="s">
        <v>251</v>
      </c>
      <c r="D213" s="15" t="s">
        <v>252</v>
      </c>
    </row>
    <row r="214" spans="1:4" x14ac:dyDescent="0.2">
      <c r="A214" s="15">
        <v>744</v>
      </c>
      <c r="B214" s="15" t="s">
        <v>2557</v>
      </c>
      <c r="C214" s="15" t="s">
        <v>2558</v>
      </c>
      <c r="D214" s="15" t="s">
        <v>2556</v>
      </c>
    </row>
    <row r="215" spans="1:4" x14ac:dyDescent="0.2">
      <c r="A215" s="15">
        <v>752</v>
      </c>
      <c r="B215" s="15" t="s">
        <v>2559</v>
      </c>
      <c r="C215" s="15" t="s">
        <v>405</v>
      </c>
      <c r="D215" s="15" t="s">
        <v>406</v>
      </c>
    </row>
    <row r="216" spans="1:4" x14ac:dyDescent="0.2">
      <c r="A216" s="15">
        <v>756</v>
      </c>
      <c r="B216" s="15" t="s">
        <v>2560</v>
      </c>
      <c r="C216" s="15" t="s">
        <v>329</v>
      </c>
      <c r="D216" s="15" t="s">
        <v>330</v>
      </c>
    </row>
    <row r="217" spans="1:4" x14ac:dyDescent="0.2">
      <c r="A217" s="15">
        <v>760</v>
      </c>
      <c r="B217" s="15" t="s">
        <v>2561</v>
      </c>
      <c r="C217" s="15" t="s">
        <v>303</v>
      </c>
      <c r="D217" s="15" t="s">
        <v>304</v>
      </c>
    </row>
    <row r="218" spans="1:4" x14ac:dyDescent="0.2">
      <c r="A218" s="15">
        <v>158</v>
      </c>
      <c r="B218" s="15" t="s">
        <v>2563</v>
      </c>
      <c r="C218" s="15" t="s">
        <v>518</v>
      </c>
      <c r="D218" s="15" t="s">
        <v>2562</v>
      </c>
    </row>
    <row r="219" spans="1:4" x14ac:dyDescent="0.2">
      <c r="A219" s="15">
        <v>762</v>
      </c>
      <c r="B219" s="15" t="s">
        <v>2564</v>
      </c>
      <c r="C219" s="15" t="s">
        <v>407</v>
      </c>
      <c r="D219" s="15" t="s">
        <v>408</v>
      </c>
    </row>
    <row r="220" spans="1:4" x14ac:dyDescent="0.2">
      <c r="A220" s="15">
        <v>834</v>
      </c>
      <c r="B220" s="15" t="s">
        <v>2566</v>
      </c>
      <c r="C220" s="15" t="s">
        <v>179</v>
      </c>
      <c r="D220" s="15" t="s">
        <v>2565</v>
      </c>
    </row>
    <row r="221" spans="1:4" x14ac:dyDescent="0.2">
      <c r="A221" s="15">
        <v>764</v>
      </c>
      <c r="B221" s="15" t="s">
        <v>2567</v>
      </c>
      <c r="C221" s="15" t="s">
        <v>437</v>
      </c>
      <c r="D221" s="15" t="s">
        <v>438</v>
      </c>
    </row>
    <row r="222" spans="1:4" x14ac:dyDescent="0.2">
      <c r="A222" s="15">
        <v>626</v>
      </c>
      <c r="B222" s="15" t="s">
        <v>2568</v>
      </c>
      <c r="C222" s="15" t="s">
        <v>439</v>
      </c>
      <c r="D222" s="15" t="s">
        <v>440</v>
      </c>
    </row>
    <row r="223" spans="1:4" x14ac:dyDescent="0.2">
      <c r="A223" s="15">
        <v>768</v>
      </c>
      <c r="B223" s="15" t="s">
        <v>2569</v>
      </c>
      <c r="C223" s="15" t="s">
        <v>177</v>
      </c>
      <c r="D223" s="15" t="s">
        <v>178</v>
      </c>
    </row>
    <row r="224" spans="1:4" x14ac:dyDescent="0.2">
      <c r="A224" s="15">
        <v>772</v>
      </c>
      <c r="B224" s="15" t="s">
        <v>2571</v>
      </c>
      <c r="C224" s="15" t="s">
        <v>2572</v>
      </c>
      <c r="D224" s="15" t="s">
        <v>2570</v>
      </c>
    </row>
    <row r="225" spans="1:4" x14ac:dyDescent="0.2">
      <c r="A225" s="15">
        <v>776</v>
      </c>
      <c r="B225" s="15" t="s">
        <v>2573</v>
      </c>
      <c r="C225" s="15" t="s">
        <v>486</v>
      </c>
      <c r="D225" s="15" t="s">
        <v>487</v>
      </c>
    </row>
    <row r="226" spans="1:4" x14ac:dyDescent="0.2">
      <c r="A226" s="15">
        <v>780</v>
      </c>
      <c r="B226" s="15" t="s">
        <v>2574</v>
      </c>
      <c r="C226" s="15" t="s">
        <v>253</v>
      </c>
      <c r="D226" s="15" t="s">
        <v>254</v>
      </c>
    </row>
    <row r="227" spans="1:4" x14ac:dyDescent="0.2">
      <c r="A227" s="15">
        <v>788</v>
      </c>
      <c r="B227" s="15" t="s">
        <v>2575</v>
      </c>
      <c r="C227" s="15" t="s">
        <v>305</v>
      </c>
      <c r="D227" s="15" t="s">
        <v>306</v>
      </c>
    </row>
    <row r="228" spans="1:4" x14ac:dyDescent="0.2">
      <c r="A228" s="15">
        <v>792</v>
      </c>
      <c r="B228" s="15" t="s">
        <v>2576</v>
      </c>
      <c r="C228" s="15" t="s">
        <v>411</v>
      </c>
      <c r="D228" s="15" t="s">
        <v>412</v>
      </c>
    </row>
    <row r="229" spans="1:4" x14ac:dyDescent="0.2">
      <c r="A229" s="15">
        <v>795</v>
      </c>
      <c r="B229" s="15" t="s">
        <v>2577</v>
      </c>
      <c r="C229" s="15" t="s">
        <v>409</v>
      </c>
      <c r="D229" s="15" t="s">
        <v>410</v>
      </c>
    </row>
    <row r="230" spans="1:4" x14ac:dyDescent="0.2">
      <c r="A230" s="15">
        <v>796</v>
      </c>
      <c r="B230" s="15" t="s">
        <v>2579</v>
      </c>
      <c r="C230" s="15" t="s">
        <v>2247</v>
      </c>
      <c r="D230" s="15" t="s">
        <v>2578</v>
      </c>
    </row>
    <row r="231" spans="1:4" x14ac:dyDescent="0.2">
      <c r="A231" s="15">
        <v>798</v>
      </c>
      <c r="B231" s="15" t="s">
        <v>2580</v>
      </c>
      <c r="C231" s="15" t="s">
        <v>488</v>
      </c>
      <c r="D231" s="15" t="s">
        <v>489</v>
      </c>
    </row>
    <row r="232" spans="1:4" x14ac:dyDescent="0.2">
      <c r="A232" s="15">
        <v>800</v>
      </c>
      <c r="B232" s="15" t="s">
        <v>2581</v>
      </c>
      <c r="C232" s="15" t="s">
        <v>181</v>
      </c>
      <c r="D232" s="15" t="s">
        <v>182</v>
      </c>
    </row>
    <row r="233" spans="1:4" x14ac:dyDescent="0.2">
      <c r="A233" s="15">
        <v>804</v>
      </c>
      <c r="B233" s="15" t="s">
        <v>2582</v>
      </c>
      <c r="C233" s="15" t="s">
        <v>413</v>
      </c>
      <c r="D233" s="15" t="s">
        <v>414</v>
      </c>
    </row>
    <row r="234" spans="1:4" x14ac:dyDescent="0.2">
      <c r="A234" s="15">
        <v>784</v>
      </c>
      <c r="B234" s="15" t="s">
        <v>2584</v>
      </c>
      <c r="C234" s="15" t="s">
        <v>267</v>
      </c>
      <c r="D234" s="15" t="s">
        <v>2583</v>
      </c>
    </row>
    <row r="235" spans="1:4" x14ac:dyDescent="0.2">
      <c r="A235" s="15">
        <v>826</v>
      </c>
      <c r="B235" s="15" t="s">
        <v>2586</v>
      </c>
      <c r="C235" s="15" t="s">
        <v>347</v>
      </c>
      <c r="D235" s="15" t="s">
        <v>2585</v>
      </c>
    </row>
    <row r="236" spans="1:4" x14ac:dyDescent="0.2">
      <c r="A236" s="15">
        <v>581</v>
      </c>
      <c r="B236" s="15" t="s">
        <v>2588</v>
      </c>
      <c r="C236" s="15" t="s">
        <v>2589</v>
      </c>
      <c r="D236" s="15" t="s">
        <v>2587</v>
      </c>
    </row>
    <row r="237" spans="1:4" x14ac:dyDescent="0.2">
      <c r="A237" s="15">
        <v>840</v>
      </c>
      <c r="B237" s="15" t="s">
        <v>2591</v>
      </c>
      <c r="C237" s="15" t="s">
        <v>257</v>
      </c>
      <c r="D237" s="15" t="s">
        <v>2590</v>
      </c>
    </row>
    <row r="238" spans="1:4" x14ac:dyDescent="0.2">
      <c r="A238" s="15">
        <v>858</v>
      </c>
      <c r="B238" s="15" t="s">
        <v>2592</v>
      </c>
      <c r="C238" s="15" t="s">
        <v>255</v>
      </c>
      <c r="D238" s="15" t="s">
        <v>256</v>
      </c>
    </row>
    <row r="239" spans="1:4" x14ac:dyDescent="0.2">
      <c r="A239" s="15">
        <v>860</v>
      </c>
      <c r="B239" s="15" t="s">
        <v>2593</v>
      </c>
      <c r="C239" s="15" t="s">
        <v>415</v>
      </c>
      <c r="D239" s="15" t="s">
        <v>416</v>
      </c>
    </row>
    <row r="240" spans="1:4" x14ac:dyDescent="0.2">
      <c r="A240" s="15">
        <v>548</v>
      </c>
      <c r="B240" s="15" t="s">
        <v>2594</v>
      </c>
      <c r="C240" s="15" t="s">
        <v>492</v>
      </c>
      <c r="D240" s="15" t="s">
        <v>493</v>
      </c>
    </row>
    <row r="241" spans="1:4" x14ac:dyDescent="0.2">
      <c r="A241" s="15">
        <v>862</v>
      </c>
      <c r="B241" s="15" t="s">
        <v>2595</v>
      </c>
      <c r="C241" s="15" t="s">
        <v>261</v>
      </c>
      <c r="D241" s="15" t="s">
        <v>262</v>
      </c>
    </row>
    <row r="242" spans="1:4" x14ac:dyDescent="0.2">
      <c r="A242" s="15">
        <v>704</v>
      </c>
      <c r="B242" s="15" t="s">
        <v>2596</v>
      </c>
      <c r="C242" s="15" t="s">
        <v>490</v>
      </c>
      <c r="D242" s="15" t="s">
        <v>491</v>
      </c>
    </row>
    <row r="243" spans="1:4" x14ac:dyDescent="0.2">
      <c r="A243" s="15">
        <v>92</v>
      </c>
      <c r="B243" s="15" t="s">
        <v>2598</v>
      </c>
      <c r="C243" s="15" t="s">
        <v>2255</v>
      </c>
      <c r="D243" s="15" t="s">
        <v>2597</v>
      </c>
    </row>
    <row r="244" spans="1:4" x14ac:dyDescent="0.2">
      <c r="A244" s="15">
        <v>850</v>
      </c>
      <c r="B244" s="15" t="s">
        <v>2600</v>
      </c>
      <c r="C244" s="15" t="s">
        <v>519</v>
      </c>
      <c r="D244" s="15" t="s">
        <v>2599</v>
      </c>
    </row>
    <row r="245" spans="1:4" x14ac:dyDescent="0.2">
      <c r="A245" s="15">
        <v>876</v>
      </c>
      <c r="B245" s="15" t="s">
        <v>2602</v>
      </c>
      <c r="C245" s="15" t="s">
        <v>2603</v>
      </c>
      <c r="D245" s="15" t="s">
        <v>2601</v>
      </c>
    </row>
    <row r="246" spans="1:4" x14ac:dyDescent="0.2">
      <c r="A246" s="15">
        <v>732</v>
      </c>
      <c r="B246" s="15" t="s">
        <v>2605</v>
      </c>
      <c r="C246" s="15" t="s">
        <v>506</v>
      </c>
      <c r="D246" s="15" t="s">
        <v>2604</v>
      </c>
    </row>
    <row r="247" spans="1:4" x14ac:dyDescent="0.2">
      <c r="A247" s="15">
        <v>887</v>
      </c>
      <c r="B247" s="15" t="s">
        <v>2606</v>
      </c>
      <c r="C247" s="15" t="s">
        <v>307</v>
      </c>
      <c r="D247" s="15" t="s">
        <v>308</v>
      </c>
    </row>
    <row r="248" spans="1:4" x14ac:dyDescent="0.2">
      <c r="A248" s="15">
        <v>894</v>
      </c>
      <c r="B248" s="15" t="s">
        <v>2607</v>
      </c>
      <c r="C248" s="15" t="s">
        <v>185</v>
      </c>
      <c r="D248" s="15" t="s">
        <v>186</v>
      </c>
    </row>
    <row r="249" spans="1:4" x14ac:dyDescent="0.2">
      <c r="A249" s="15">
        <v>716</v>
      </c>
      <c r="B249" s="15" t="s">
        <v>2608</v>
      </c>
      <c r="C249" s="15" t="s">
        <v>187</v>
      </c>
      <c r="D249" s="15" t="s">
        <v>188</v>
      </c>
    </row>
    <row r="250" spans="1:4" x14ac:dyDescent="0.2">
      <c r="A250" s="15">
        <v>248</v>
      </c>
      <c r="B250" s="15" t="s">
        <v>2610</v>
      </c>
      <c r="C250" s="15" t="s">
        <v>2611</v>
      </c>
      <c r="D250" s="15" t="s">
        <v>2609</v>
      </c>
    </row>
  </sheetData>
  <pageMargins left="0.7" right="0.7" top="0.75" bottom="0.75" header="0.3" footer="0.3"/>
  <pageSetup paperSize="9" orientation="portrait" horizontalDpi="0" verticalDpi="0" r:id="rId1"/>
  <tableParts count="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A5FC9-AB16-475F-BF8C-141E11EA9721}">
  <sheetPr codeName="Sheet16">
    <tabColor rgb="FF7030A0"/>
  </sheetPr>
  <dimension ref="A1:AO1235"/>
  <sheetViews>
    <sheetView topLeftCell="A3" workbookViewId="0"/>
  </sheetViews>
  <sheetFormatPr defaultRowHeight="12.75" x14ac:dyDescent="0.2"/>
  <cols>
    <col min="1" max="1" width="4.42578125" style="150" customWidth="1"/>
    <col min="2" max="2" width="25.7109375" customWidth="1"/>
    <col min="3" max="3" width="6.7109375" customWidth="1"/>
    <col min="4" max="4" width="12.28515625" style="150" customWidth="1"/>
    <col min="5" max="5" width="9.42578125" style="150" customWidth="1"/>
    <col min="6" max="6" width="12.28515625" style="150" customWidth="1"/>
    <col min="7" max="11" width="11.7109375" customWidth="1"/>
    <col min="12" max="12" width="11.7109375" style="150" customWidth="1"/>
    <col min="13" max="13" width="11.7109375" style="181" customWidth="1"/>
    <col min="14" max="14" width="11.7109375" customWidth="1"/>
    <col min="15" max="15" width="23.28515625" customWidth="1"/>
    <col min="16" max="17" width="19.28515625" style="150" customWidth="1"/>
    <col min="18" max="18" width="13.7109375" customWidth="1"/>
    <col min="19" max="19" width="13.7109375" style="150" customWidth="1"/>
    <col min="20" max="20" width="10.28515625" customWidth="1"/>
    <col min="21" max="21" width="16.42578125" customWidth="1"/>
    <col min="22" max="22" width="19" customWidth="1"/>
    <col min="23" max="23" width="5.28515625" customWidth="1"/>
    <col min="24" max="24" width="8.28515625" customWidth="1"/>
    <col min="25" max="25" width="14.28515625" customWidth="1"/>
    <col min="26" max="26" width="13.85546875" customWidth="1"/>
    <col min="27" max="27" width="18.28515625" style="181" customWidth="1"/>
    <col min="28" max="28" width="13.7109375" style="181" customWidth="1"/>
    <col min="29" max="29" width="14.42578125" customWidth="1"/>
    <col min="30" max="30" width="16.28515625" customWidth="1"/>
    <col min="31" max="31" width="11.28515625" customWidth="1"/>
    <col min="32" max="32" width="16.28515625" style="37" customWidth="1"/>
    <col min="33" max="33" width="13.85546875" customWidth="1"/>
    <col min="34" max="34" width="18.28515625" style="181" customWidth="1"/>
    <col min="35" max="35" width="7.28515625" style="181" customWidth="1"/>
    <col min="36" max="36" width="7.7109375" customWidth="1"/>
    <col min="37" max="38" width="18.42578125" style="37" customWidth="1"/>
    <col min="40" max="40" width="43.28515625" style="181" customWidth="1"/>
    <col min="41" max="41" width="5.42578125" customWidth="1"/>
  </cols>
  <sheetData>
    <row r="1" spans="1:40" hidden="1" x14ac:dyDescent="0.2">
      <c r="C1" t="s">
        <v>2715</v>
      </c>
    </row>
    <row r="2" spans="1:40" hidden="1" x14ac:dyDescent="0.2">
      <c r="C2" t="s">
        <v>2716</v>
      </c>
    </row>
    <row r="3" spans="1:40" s="27" customFormat="1" ht="19.5" x14ac:dyDescent="0.3">
      <c r="A3" s="27" t="s">
        <v>2886</v>
      </c>
      <c r="AF3" s="75"/>
      <c r="AK3" s="75"/>
      <c r="AL3" s="75"/>
    </row>
    <row r="4" spans="1:40" s="181" customFormat="1" x14ac:dyDescent="0.2">
      <c r="B4" s="2" t="s">
        <v>2762</v>
      </c>
      <c r="AF4" s="37"/>
      <c r="AK4" s="37"/>
      <c r="AL4" s="37"/>
    </row>
    <row r="5" spans="1:40" x14ac:dyDescent="0.2">
      <c r="B5" s="2" t="s">
        <v>2727</v>
      </c>
    </row>
    <row r="6" spans="1:40" x14ac:dyDescent="0.2">
      <c r="A6" s="2"/>
      <c r="B6" s="2" t="s">
        <v>2732</v>
      </c>
    </row>
    <row r="7" spans="1:40" s="150" customFormat="1" x14ac:dyDescent="0.2">
      <c r="A7" s="2"/>
      <c r="B7" s="2" t="s">
        <v>2747</v>
      </c>
      <c r="M7" s="181"/>
      <c r="AA7" s="181"/>
      <c r="AB7" s="181"/>
      <c r="AF7" s="37"/>
      <c r="AH7" s="181"/>
      <c r="AI7" s="181"/>
      <c r="AK7" s="37"/>
      <c r="AL7" s="37"/>
      <c r="AN7" s="181"/>
    </row>
    <row r="8" spans="1:40" s="150" customFormat="1" x14ac:dyDescent="0.2">
      <c r="A8" s="2"/>
      <c r="B8" s="2" t="s">
        <v>2748</v>
      </c>
      <c r="M8" s="181"/>
      <c r="AA8" s="181"/>
      <c r="AB8" s="181"/>
      <c r="AF8" s="37"/>
      <c r="AH8" s="181"/>
      <c r="AI8" s="181"/>
      <c r="AK8" s="37"/>
      <c r="AL8" s="37"/>
      <c r="AN8" s="181"/>
    </row>
    <row r="9" spans="1:40" s="150" customFormat="1" x14ac:dyDescent="0.2">
      <c r="A9" s="2"/>
      <c r="B9" s="2" t="s">
        <v>2757</v>
      </c>
      <c r="M9" s="181"/>
      <c r="AA9" s="181"/>
      <c r="AB9" s="181"/>
      <c r="AF9" s="37"/>
      <c r="AH9" s="181"/>
      <c r="AI9" s="181"/>
      <c r="AK9" s="37"/>
      <c r="AL9" s="37"/>
      <c r="AN9" s="181"/>
    </row>
    <row r="10" spans="1:40" s="150" customFormat="1" x14ac:dyDescent="0.2">
      <c r="M10" s="181"/>
      <c r="AA10" s="181"/>
      <c r="AB10" s="181"/>
      <c r="AF10" s="37"/>
      <c r="AH10" s="181"/>
      <c r="AI10" s="181"/>
      <c r="AK10" s="37"/>
      <c r="AL10" s="37"/>
      <c r="AN10" s="181"/>
    </row>
    <row r="11" spans="1:40" s="8" customFormat="1" ht="15" x14ac:dyDescent="0.25">
      <c r="A11" s="8" t="s">
        <v>2827</v>
      </c>
      <c r="AF11" s="188"/>
      <c r="AK11" s="188"/>
      <c r="AL11" s="188"/>
    </row>
    <row r="12" spans="1:40" s="185" customFormat="1" ht="45" x14ac:dyDescent="0.25">
      <c r="B12" s="120" t="s">
        <v>18</v>
      </c>
      <c r="C12" s="120" t="s">
        <v>2714</v>
      </c>
      <c r="D12" s="120" t="s">
        <v>2734</v>
      </c>
      <c r="E12" s="120" t="s">
        <v>2719</v>
      </c>
      <c r="F12" s="120" t="s">
        <v>2722</v>
      </c>
      <c r="G12" s="120" t="s">
        <v>13</v>
      </c>
      <c r="H12" s="120" t="s">
        <v>12</v>
      </c>
      <c r="I12" s="120" t="s">
        <v>11</v>
      </c>
      <c r="J12" s="120" t="s">
        <v>10</v>
      </c>
      <c r="K12" s="120" t="s">
        <v>2724</v>
      </c>
      <c r="L12" s="120" t="s">
        <v>2736</v>
      </c>
      <c r="M12" s="120" t="s">
        <v>2783</v>
      </c>
      <c r="N12" s="120" t="s">
        <v>2752</v>
      </c>
      <c r="O12" s="186" t="s">
        <v>2746</v>
      </c>
      <c r="P12" s="186" t="s">
        <v>2756</v>
      </c>
      <c r="Q12" s="186" t="s">
        <v>2758</v>
      </c>
      <c r="R12" s="120" t="s">
        <v>2759</v>
      </c>
      <c r="S12" s="120"/>
      <c r="T12" s="120" t="s">
        <v>1571</v>
      </c>
      <c r="AF12" s="189"/>
      <c r="AK12" s="189"/>
      <c r="AL12" s="189"/>
    </row>
    <row r="13" spans="1:40" x14ac:dyDescent="0.2">
      <c r="B13" t="s">
        <v>2723</v>
      </c>
      <c r="C13" t="s">
        <v>2715</v>
      </c>
      <c r="D13" s="150" t="s">
        <v>2671</v>
      </c>
      <c r="E13" s="150" t="s">
        <v>2721</v>
      </c>
      <c r="F13" s="150" t="s">
        <v>2735</v>
      </c>
      <c r="I13">
        <v>1</v>
      </c>
      <c r="J13">
        <v>1</v>
      </c>
      <c r="K13">
        <v>1100</v>
      </c>
      <c r="N13">
        <v>6380</v>
      </c>
      <c r="O13" s="127">
        <f t="shared" ref="O13:O31" si="0">(K13+L13)/(N13)</f>
        <v>0.17241379310344829</v>
      </c>
      <c r="P13" s="37"/>
      <c r="Q13" s="37"/>
      <c r="T13" s="12" t="s">
        <v>2755</v>
      </c>
    </row>
    <row r="14" spans="1:40" x14ac:dyDescent="0.2">
      <c r="B14" t="s">
        <v>2725</v>
      </c>
      <c r="C14" s="150" t="s">
        <v>2715</v>
      </c>
      <c r="D14" s="150" t="s">
        <v>2671</v>
      </c>
      <c r="E14" s="150" t="s">
        <v>2721</v>
      </c>
      <c r="F14" s="150" t="s">
        <v>2735</v>
      </c>
      <c r="G14" s="150"/>
      <c r="H14" s="150"/>
      <c r="I14" s="150">
        <v>1</v>
      </c>
      <c r="J14" s="150">
        <v>1</v>
      </c>
      <c r="K14">
        <v>635</v>
      </c>
      <c r="N14">
        <v>2300</v>
      </c>
      <c r="O14" s="127">
        <f t="shared" si="0"/>
        <v>0.27608695652173915</v>
      </c>
      <c r="P14" s="37"/>
      <c r="Q14" s="37"/>
      <c r="T14" s="12" t="s">
        <v>2755</v>
      </c>
    </row>
    <row r="15" spans="1:40" x14ac:dyDescent="0.2">
      <c r="B15" t="s">
        <v>2717</v>
      </c>
      <c r="C15" s="150" t="s">
        <v>2715</v>
      </c>
      <c r="D15" s="150" t="s">
        <v>2671</v>
      </c>
      <c r="E15" s="150" t="s">
        <v>2720</v>
      </c>
      <c r="F15" s="150" t="s">
        <v>2735</v>
      </c>
      <c r="G15" s="150"/>
      <c r="H15" s="150">
        <v>1</v>
      </c>
      <c r="I15" s="150">
        <v>1</v>
      </c>
      <c r="J15" s="150">
        <v>1</v>
      </c>
      <c r="K15">
        <v>450</v>
      </c>
      <c r="L15" s="150">
        <v>300</v>
      </c>
      <c r="N15">
        <v>8220</v>
      </c>
      <c r="O15" s="127">
        <f t="shared" si="0"/>
        <v>9.1240875912408759E-2</v>
      </c>
      <c r="P15" s="37"/>
      <c r="Q15" s="37"/>
      <c r="T15" s="12" t="s">
        <v>2754</v>
      </c>
    </row>
    <row r="16" spans="1:40" x14ac:dyDescent="0.2">
      <c r="B16" s="150" t="s">
        <v>2718</v>
      </c>
      <c r="C16" s="150" t="s">
        <v>2715</v>
      </c>
      <c r="D16" s="150" t="s">
        <v>2671</v>
      </c>
      <c r="E16" s="150" t="s">
        <v>2720</v>
      </c>
      <c r="F16" s="150" t="s">
        <v>2735</v>
      </c>
      <c r="G16" s="150"/>
      <c r="H16" s="150">
        <v>1</v>
      </c>
      <c r="I16" s="150">
        <v>1</v>
      </c>
      <c r="J16" s="150">
        <v>1</v>
      </c>
      <c r="K16">
        <v>265</v>
      </c>
      <c r="L16" s="150">
        <v>180</v>
      </c>
      <c r="N16">
        <v>2930</v>
      </c>
      <c r="O16" s="127">
        <f t="shared" si="0"/>
        <v>0.15187713310580206</v>
      </c>
      <c r="P16" s="37"/>
      <c r="Q16" s="37"/>
      <c r="T16" s="12" t="s">
        <v>2754</v>
      </c>
    </row>
    <row r="17" spans="2:40" s="150" customFormat="1" x14ac:dyDescent="0.2">
      <c r="B17" s="150" t="s">
        <v>2743</v>
      </c>
      <c r="C17" s="150" t="s">
        <v>2716</v>
      </c>
      <c r="D17" s="150" t="s">
        <v>2672</v>
      </c>
      <c r="J17" s="150">
        <v>1</v>
      </c>
      <c r="K17" s="150">
        <v>9</v>
      </c>
      <c r="M17" s="181"/>
      <c r="N17" s="150">
        <v>5.7</v>
      </c>
      <c r="O17" s="127">
        <f t="shared" si="0"/>
        <v>1.5789473684210527</v>
      </c>
      <c r="P17" s="37"/>
      <c r="Q17" s="37"/>
      <c r="T17" s="12"/>
      <c r="AA17" s="181"/>
      <c r="AB17" s="181"/>
      <c r="AF17" s="37"/>
      <c r="AH17" s="181"/>
      <c r="AI17" s="181"/>
      <c r="AK17" s="37"/>
      <c r="AL17" s="37"/>
      <c r="AN17" s="181"/>
    </row>
    <row r="18" spans="2:40" s="150" customFormat="1" x14ac:dyDescent="0.2">
      <c r="B18" s="150" t="s">
        <v>2737</v>
      </c>
      <c r="C18" s="150" t="s">
        <v>2716</v>
      </c>
      <c r="D18" s="150" t="s">
        <v>2672</v>
      </c>
      <c r="J18" s="150">
        <v>1</v>
      </c>
      <c r="K18" s="150">
        <v>16</v>
      </c>
      <c r="M18" s="181"/>
      <c r="N18" s="150">
        <v>13.9</v>
      </c>
      <c r="O18" s="127">
        <f t="shared" si="0"/>
        <v>1.1510791366906474</v>
      </c>
      <c r="P18" s="37"/>
      <c r="Q18" s="37"/>
      <c r="T18" s="12"/>
      <c r="AA18" s="181"/>
      <c r="AB18" s="181"/>
      <c r="AF18" s="37"/>
      <c r="AH18" s="181"/>
      <c r="AI18" s="181"/>
      <c r="AK18" s="37"/>
      <c r="AL18" s="37"/>
      <c r="AN18" s="181"/>
    </row>
    <row r="19" spans="2:40" s="150" customFormat="1" x14ac:dyDescent="0.2">
      <c r="B19" s="150" t="s">
        <v>2740</v>
      </c>
      <c r="C19" s="150" t="s">
        <v>2716</v>
      </c>
      <c r="D19" s="150" t="s">
        <v>2672</v>
      </c>
      <c r="J19" s="150">
        <v>1</v>
      </c>
      <c r="K19" s="150">
        <v>28.9</v>
      </c>
      <c r="M19" s="111">
        <f>$X$19</f>
        <v>27.644975999999996</v>
      </c>
      <c r="N19" s="150">
        <v>25.8</v>
      </c>
      <c r="O19" s="127">
        <f t="shared" si="0"/>
        <v>1.1201550387596899</v>
      </c>
      <c r="P19" s="37">
        <v>702</v>
      </c>
      <c r="Q19" s="14">
        <f>P19/N19</f>
        <v>27.209302325581394</v>
      </c>
      <c r="R19" s="182"/>
      <c r="T19" s="12"/>
      <c r="U19" s="150">
        <v>54</v>
      </c>
      <c r="V19" s="150">
        <v>51.4</v>
      </c>
      <c r="W19" s="150">
        <v>49.8</v>
      </c>
      <c r="X19" s="127">
        <f>U19*V19*W19/5000</f>
        <v>27.644975999999996</v>
      </c>
      <c r="AA19" s="181"/>
      <c r="AB19" s="181"/>
      <c r="AF19" s="37"/>
      <c r="AH19" s="181"/>
      <c r="AI19" s="181"/>
      <c r="AK19" s="37"/>
      <c r="AL19" s="37"/>
      <c r="AN19" s="181"/>
    </row>
    <row r="20" spans="2:40" s="150" customFormat="1" x14ac:dyDescent="0.2">
      <c r="B20" s="150" t="s">
        <v>2745</v>
      </c>
      <c r="C20" s="150" t="s">
        <v>2716</v>
      </c>
      <c r="D20" s="150" t="s">
        <v>2672</v>
      </c>
      <c r="I20" s="150">
        <v>1</v>
      </c>
      <c r="K20" s="150">
        <v>10.8</v>
      </c>
      <c r="M20" s="181"/>
      <c r="N20" s="150">
        <v>5.7</v>
      </c>
      <c r="O20" s="127">
        <f t="shared" si="0"/>
        <v>1.8947368421052633</v>
      </c>
      <c r="P20" s="37"/>
      <c r="Q20" s="37"/>
      <c r="T20" s="12"/>
      <c r="AA20" s="181"/>
      <c r="AB20" s="181"/>
      <c r="AF20" s="37"/>
      <c r="AH20" s="181"/>
      <c r="AI20" s="181"/>
      <c r="AK20" s="37"/>
      <c r="AL20" s="37"/>
      <c r="AN20" s="181"/>
    </row>
    <row r="21" spans="2:40" s="150" customFormat="1" x14ac:dyDescent="0.2">
      <c r="B21" s="150" t="s">
        <v>2739</v>
      </c>
      <c r="C21" s="150" t="s">
        <v>2716</v>
      </c>
      <c r="D21" s="150" t="s">
        <v>2672</v>
      </c>
      <c r="I21" s="150">
        <v>1</v>
      </c>
      <c r="K21" s="150">
        <v>16</v>
      </c>
      <c r="M21" s="181"/>
      <c r="N21" s="150">
        <v>13.9</v>
      </c>
      <c r="O21" s="127">
        <f t="shared" si="0"/>
        <v>1.1510791366906474</v>
      </c>
      <c r="P21" s="37"/>
      <c r="Q21" s="37"/>
      <c r="T21" s="12"/>
      <c r="AA21" s="181"/>
      <c r="AB21" s="181"/>
      <c r="AF21" s="37"/>
      <c r="AH21" s="181"/>
      <c r="AI21" s="181"/>
      <c r="AK21" s="37"/>
      <c r="AL21" s="37"/>
      <c r="AN21" s="181"/>
    </row>
    <row r="22" spans="2:40" s="150" customFormat="1" x14ac:dyDescent="0.2">
      <c r="B22" s="150" t="s">
        <v>2742</v>
      </c>
      <c r="C22" s="150" t="s">
        <v>2716</v>
      </c>
      <c r="D22" s="150" t="s">
        <v>2672</v>
      </c>
      <c r="I22" s="150">
        <v>1</v>
      </c>
      <c r="K22" s="150">
        <v>29.4</v>
      </c>
      <c r="M22" s="111">
        <f>$X$19</f>
        <v>27.644975999999996</v>
      </c>
      <c r="N22" s="150">
        <v>25.8</v>
      </c>
      <c r="O22" s="127">
        <f t="shared" si="0"/>
        <v>1.13953488372093</v>
      </c>
      <c r="P22" s="37">
        <v>717</v>
      </c>
      <c r="Q22" s="14">
        <f>P22/N22</f>
        <v>27.790697674418603</v>
      </c>
      <c r="R22" s="182"/>
      <c r="T22" s="12"/>
      <c r="AA22" s="181"/>
      <c r="AB22" s="181"/>
      <c r="AF22" s="37"/>
      <c r="AH22" s="181"/>
      <c r="AI22" s="181"/>
      <c r="AK22" s="37"/>
      <c r="AL22" s="37"/>
      <c r="AN22" s="181"/>
    </row>
    <row r="23" spans="2:40" s="150" customFormat="1" x14ac:dyDescent="0.2">
      <c r="B23" s="9" t="s">
        <v>2744</v>
      </c>
      <c r="C23" s="150" t="s">
        <v>2716</v>
      </c>
      <c r="D23" s="150" t="s">
        <v>2672</v>
      </c>
      <c r="H23" s="150">
        <v>1</v>
      </c>
      <c r="K23" s="150">
        <v>4.3</v>
      </c>
      <c r="M23" s="181"/>
      <c r="N23" s="150">
        <v>5.7</v>
      </c>
      <c r="O23" s="127">
        <f t="shared" si="0"/>
        <v>0.7543859649122806</v>
      </c>
      <c r="P23" s="37"/>
      <c r="Q23" s="37"/>
      <c r="T23" s="12"/>
      <c r="AA23" s="181"/>
      <c r="AB23" s="181"/>
      <c r="AF23" s="37"/>
      <c r="AH23" s="181"/>
      <c r="AI23" s="181"/>
      <c r="AK23" s="37"/>
      <c r="AL23" s="37"/>
      <c r="AN23" s="181"/>
    </row>
    <row r="24" spans="2:40" s="150" customFormat="1" x14ac:dyDescent="0.2">
      <c r="B24" s="9" t="s">
        <v>2738</v>
      </c>
      <c r="C24" s="150" t="s">
        <v>2716</v>
      </c>
      <c r="D24" s="150" t="s">
        <v>2672</v>
      </c>
      <c r="H24" s="150">
        <v>1</v>
      </c>
      <c r="K24" s="150">
        <v>4.5</v>
      </c>
      <c r="M24" s="181"/>
      <c r="N24" s="150">
        <v>13.9</v>
      </c>
      <c r="O24" s="127">
        <f t="shared" si="0"/>
        <v>0.32374100719424459</v>
      </c>
      <c r="P24" s="37"/>
      <c r="Q24" s="37"/>
      <c r="T24" s="12"/>
      <c r="AA24" s="181"/>
      <c r="AB24" s="181"/>
      <c r="AF24" s="37"/>
      <c r="AH24" s="181"/>
      <c r="AI24" s="181"/>
      <c r="AK24" s="37"/>
      <c r="AL24" s="37"/>
      <c r="AN24" s="181"/>
    </row>
    <row r="25" spans="2:40" s="150" customFormat="1" x14ac:dyDescent="0.2">
      <c r="B25" s="9" t="s">
        <v>2741</v>
      </c>
      <c r="C25" s="150" t="s">
        <v>2716</v>
      </c>
      <c r="D25" s="150" t="s">
        <v>2672</v>
      </c>
      <c r="H25" s="150">
        <v>1</v>
      </c>
      <c r="K25" s="150">
        <v>9</v>
      </c>
      <c r="M25" s="111">
        <f>$X$19</f>
        <v>27.644975999999996</v>
      </c>
      <c r="N25" s="150">
        <v>25.8</v>
      </c>
      <c r="O25" s="127">
        <f t="shared" si="0"/>
        <v>0.34883720930232559</v>
      </c>
      <c r="P25" s="37">
        <v>553</v>
      </c>
      <c r="Q25" s="14">
        <f>P25/N25</f>
        <v>21.434108527131784</v>
      </c>
      <c r="R25" s="182"/>
      <c r="T25" s="12"/>
      <c r="AA25" s="181"/>
      <c r="AB25" s="181"/>
      <c r="AF25" s="37"/>
      <c r="AH25" s="181"/>
      <c r="AI25" s="181"/>
      <c r="AK25" s="37"/>
      <c r="AL25" s="37"/>
      <c r="AN25" s="181"/>
    </row>
    <row r="26" spans="2:40" s="150" customFormat="1" x14ac:dyDescent="0.2">
      <c r="B26" s="150" t="s">
        <v>2751</v>
      </c>
      <c r="C26" s="150" t="s">
        <v>2716</v>
      </c>
      <c r="D26" s="150" t="s">
        <v>2671</v>
      </c>
      <c r="I26" s="150">
        <v>1</v>
      </c>
      <c r="K26" s="150">
        <v>95</v>
      </c>
      <c r="M26" s="181"/>
      <c r="N26" s="150">
        <v>155</v>
      </c>
      <c r="O26" s="127">
        <f t="shared" si="0"/>
        <v>0.61290322580645162</v>
      </c>
      <c r="P26" s="37"/>
      <c r="Q26" s="37"/>
      <c r="T26" s="12"/>
      <c r="AA26" s="181"/>
      <c r="AB26" s="181"/>
      <c r="AF26" s="37"/>
      <c r="AH26" s="181"/>
      <c r="AI26" s="181"/>
      <c r="AK26" s="37"/>
      <c r="AL26" s="37"/>
      <c r="AN26" s="181"/>
    </row>
    <row r="27" spans="2:40" s="150" customFormat="1" x14ac:dyDescent="0.2">
      <c r="B27" s="150" t="s">
        <v>2750</v>
      </c>
      <c r="C27" s="150" t="s">
        <v>2716</v>
      </c>
      <c r="D27" s="150" t="s">
        <v>2671</v>
      </c>
      <c r="I27" s="150">
        <v>1</v>
      </c>
      <c r="K27" s="150">
        <v>187</v>
      </c>
      <c r="M27" s="181"/>
      <c r="N27" s="150">
        <v>379</v>
      </c>
      <c r="O27" s="127">
        <f t="shared" si="0"/>
        <v>0.49340369393139843</v>
      </c>
      <c r="P27" s="37"/>
      <c r="Q27" s="37"/>
      <c r="T27" s="12"/>
      <c r="AA27" s="181"/>
      <c r="AB27" s="181"/>
      <c r="AF27" s="37"/>
      <c r="AH27" s="181"/>
      <c r="AI27" s="181"/>
      <c r="AK27" s="37"/>
      <c r="AL27" s="37"/>
      <c r="AN27" s="181"/>
    </row>
    <row r="28" spans="2:40" s="150" customFormat="1" x14ac:dyDescent="0.2">
      <c r="B28" s="150" t="s">
        <v>2753</v>
      </c>
      <c r="C28" s="150" t="s">
        <v>2716</v>
      </c>
      <c r="D28" s="150" t="s">
        <v>2671</v>
      </c>
      <c r="H28" s="150">
        <v>1</v>
      </c>
      <c r="I28" s="150">
        <v>1</v>
      </c>
      <c r="J28" s="150">
        <v>1</v>
      </c>
      <c r="K28" s="150">
        <v>304</v>
      </c>
      <c r="M28" s="181"/>
      <c r="N28" s="150">
        <v>484</v>
      </c>
      <c r="O28" s="127">
        <f t="shared" si="0"/>
        <v>0.62809917355371903</v>
      </c>
      <c r="P28" s="37"/>
      <c r="Q28" s="37"/>
      <c r="T28" s="12"/>
      <c r="AA28" s="181"/>
      <c r="AB28" s="181"/>
      <c r="AF28" s="37"/>
      <c r="AH28" s="181"/>
      <c r="AI28" s="181"/>
      <c r="AK28" s="37"/>
      <c r="AL28" s="37"/>
      <c r="AN28" s="181"/>
    </row>
    <row r="29" spans="2:40" s="150" customFormat="1" x14ac:dyDescent="0.2">
      <c r="B29" s="150" t="s">
        <v>2749</v>
      </c>
      <c r="C29" s="150" t="s">
        <v>2716</v>
      </c>
      <c r="D29" s="150" t="s">
        <v>2672</v>
      </c>
      <c r="J29" s="150">
        <v>1</v>
      </c>
      <c r="K29" s="150">
        <v>198</v>
      </c>
      <c r="M29" s="111">
        <f>$T$29</f>
        <v>595.21331999999995</v>
      </c>
      <c r="N29" s="150">
        <v>1121</v>
      </c>
      <c r="O29" s="127">
        <f t="shared" si="0"/>
        <v>0.17662801070472792</v>
      </c>
      <c r="P29" s="37">
        <f>1781+136.1</f>
        <v>1917.1</v>
      </c>
      <c r="Q29" s="14">
        <f t="shared" ref="Q29:Q31" si="1">P29/N29</f>
        <v>1.7101694915254237</v>
      </c>
      <c r="R29" s="182"/>
      <c r="T29" s="187">
        <f>156.5*119.6*159/5000</f>
        <v>595.21331999999995</v>
      </c>
      <c r="AA29" s="181"/>
      <c r="AB29" s="181"/>
      <c r="AF29" s="37"/>
      <c r="AH29" s="181"/>
      <c r="AI29" s="181"/>
      <c r="AK29" s="37"/>
      <c r="AL29" s="37"/>
      <c r="AN29" s="181"/>
    </row>
    <row r="30" spans="2:40" s="150" customFormat="1" x14ac:dyDescent="0.2">
      <c r="B30" s="150" t="s">
        <v>2749</v>
      </c>
      <c r="C30" s="150" t="s">
        <v>2716</v>
      </c>
      <c r="D30" s="150" t="s">
        <v>2672</v>
      </c>
      <c r="I30" s="150">
        <v>1</v>
      </c>
      <c r="K30" s="150">
        <v>233</v>
      </c>
      <c r="M30" s="111">
        <f>$T$29</f>
        <v>595.21331999999995</v>
      </c>
      <c r="N30" s="150">
        <v>1121</v>
      </c>
      <c r="O30" s="127">
        <f t="shared" si="0"/>
        <v>0.20785013380909903</v>
      </c>
      <c r="P30" s="37">
        <f>1781+325</f>
        <v>2106</v>
      </c>
      <c r="Q30" s="14">
        <f>P30/N30</f>
        <v>1.8786797502230153</v>
      </c>
      <c r="R30" s="182"/>
      <c r="T30" s="12"/>
      <c r="AA30" s="181"/>
      <c r="AB30" s="181"/>
      <c r="AF30" s="37"/>
      <c r="AH30" s="181"/>
      <c r="AI30" s="181"/>
      <c r="AK30" s="37"/>
      <c r="AL30" s="37"/>
      <c r="AN30" s="181"/>
    </row>
    <row r="31" spans="2:40" s="150" customFormat="1" x14ac:dyDescent="0.2">
      <c r="B31" s="150" t="s">
        <v>2749</v>
      </c>
      <c r="C31" s="150" t="s">
        <v>2716</v>
      </c>
      <c r="D31" s="150" t="s">
        <v>2672</v>
      </c>
      <c r="H31" s="150">
        <v>1</v>
      </c>
      <c r="K31" s="150">
        <v>245</v>
      </c>
      <c r="M31" s="111">
        <f>$T$29</f>
        <v>595.21331999999995</v>
      </c>
      <c r="N31" s="150">
        <v>1243</v>
      </c>
      <c r="O31" s="127">
        <f t="shared" si="0"/>
        <v>0.19710378117457764</v>
      </c>
      <c r="P31" s="37">
        <f>1781+609.5</f>
        <v>2390.5</v>
      </c>
      <c r="Q31" s="14">
        <f t="shared" si="1"/>
        <v>1.9231697506033789</v>
      </c>
      <c r="R31" s="182"/>
      <c r="T31" s="12"/>
      <c r="AA31" s="181"/>
      <c r="AB31" s="181"/>
      <c r="AF31" s="37"/>
      <c r="AH31" s="181"/>
      <c r="AI31" s="181"/>
      <c r="AK31" s="37"/>
      <c r="AL31" s="37"/>
      <c r="AN31" s="181"/>
    </row>
    <row r="32" spans="2:40" s="150" customFormat="1" x14ac:dyDescent="0.2">
      <c r="M32" s="181"/>
      <c r="O32" s="127"/>
      <c r="P32" s="127"/>
      <c r="Q32" s="127"/>
      <c r="AA32" s="181"/>
      <c r="AB32" s="181"/>
      <c r="AF32" s="37"/>
      <c r="AH32" s="181"/>
      <c r="AI32" s="181"/>
      <c r="AK32" s="37"/>
      <c r="AL32" s="37"/>
      <c r="AN32" s="181"/>
    </row>
    <row r="33" spans="1:41" s="150" customFormat="1" x14ac:dyDescent="0.2">
      <c r="M33" s="181"/>
      <c r="O33" s="127"/>
      <c r="P33" s="127"/>
      <c r="Q33" s="127"/>
      <c r="AA33" s="181"/>
      <c r="AB33" s="181"/>
      <c r="AF33" s="37"/>
      <c r="AH33" s="181"/>
      <c r="AI33" s="181"/>
      <c r="AK33" s="37"/>
      <c r="AL33" s="37"/>
      <c r="AN33" s="181"/>
    </row>
    <row r="34" spans="1:41" x14ac:dyDescent="0.2">
      <c r="H34" s="150"/>
      <c r="I34" s="150"/>
      <c r="O34" s="127"/>
      <c r="P34" s="127"/>
      <c r="Q34" s="127"/>
      <c r="R34" s="127"/>
      <c r="S34" s="127"/>
    </row>
    <row r="35" spans="1:41" x14ac:dyDescent="0.2">
      <c r="B35" s="150"/>
      <c r="C35" s="150"/>
      <c r="G35" s="150"/>
      <c r="H35" s="150"/>
      <c r="I35" s="150"/>
      <c r="J35" s="150"/>
      <c r="O35" s="127"/>
      <c r="P35" s="127"/>
      <c r="Q35" s="127"/>
      <c r="R35" s="127"/>
      <c r="S35" s="127"/>
    </row>
    <row r="36" spans="1:41" s="8" customFormat="1" ht="15" x14ac:dyDescent="0.25">
      <c r="A36" s="8" t="s">
        <v>2823</v>
      </c>
      <c r="O36" s="203"/>
      <c r="P36" s="203"/>
      <c r="Q36" s="203"/>
      <c r="R36" s="203"/>
      <c r="S36" s="203"/>
      <c r="AF36" s="188"/>
      <c r="AK36" s="188"/>
      <c r="AL36" s="188"/>
      <c r="AN36" s="19" t="s">
        <v>2826</v>
      </c>
      <c r="AO36" s="8">
        <f>VLOOKUP("Pallet",AN38:AO1235,2,FALSE)</f>
        <v>5</v>
      </c>
    </row>
    <row r="37" spans="1:41" x14ac:dyDescent="0.2">
      <c r="U37" s="5" t="s">
        <v>2821</v>
      </c>
      <c r="V37" s="3">
        <v>0.5</v>
      </c>
      <c r="W37" t="s">
        <v>2822</v>
      </c>
      <c r="X37" s="47" t="s">
        <v>3985</v>
      </c>
    </row>
    <row r="38" spans="1:41" x14ac:dyDescent="0.2">
      <c r="V38" s="34" t="s">
        <v>2773</v>
      </c>
      <c r="W38" s="34" t="s">
        <v>2768</v>
      </c>
      <c r="X38" s="34" t="s">
        <v>2769</v>
      </c>
      <c r="Y38" s="34" t="s">
        <v>2770</v>
      </c>
      <c r="Z38" s="34" t="s">
        <v>2776</v>
      </c>
      <c r="AA38" s="34" t="s">
        <v>2774</v>
      </c>
      <c r="AB38" s="34" t="s">
        <v>2777</v>
      </c>
      <c r="AC38" s="34" t="s">
        <v>2771</v>
      </c>
      <c r="AD38" s="34" t="s">
        <v>2780</v>
      </c>
      <c r="AE38" s="34" t="s">
        <v>2772</v>
      </c>
      <c r="AF38" s="152" t="s">
        <v>2775</v>
      </c>
      <c r="AG38" s="34" t="s">
        <v>2776</v>
      </c>
      <c r="AH38" s="34" t="s">
        <v>2774</v>
      </c>
      <c r="AI38" s="34" t="s">
        <v>2777</v>
      </c>
      <c r="AJ38" s="34" t="s">
        <v>2771</v>
      </c>
      <c r="AK38" s="152" t="s">
        <v>2779</v>
      </c>
      <c r="AL38" s="152" t="s">
        <v>2842</v>
      </c>
      <c r="AM38" s="34"/>
      <c r="AN38" s="34" t="s">
        <v>2778</v>
      </c>
    </row>
    <row r="39" spans="1:41" x14ac:dyDescent="0.2">
      <c r="V39">
        <f>W39*$V$37</f>
        <v>0.5</v>
      </c>
      <c r="W39">
        <v>1</v>
      </c>
      <c r="X39">
        <f>ROUNDUP(W39/$N$29,0)</f>
        <v>1</v>
      </c>
      <c r="Y39" s="37">
        <f>X39*$P$29</f>
        <v>1917.1</v>
      </c>
      <c r="Z39">
        <f>V39+(X39*$K$29)</f>
        <v>198.5</v>
      </c>
      <c r="AA39" s="127">
        <f>X39*$T$29</f>
        <v>595.21331999999995</v>
      </c>
      <c r="AB39" s="127">
        <f>MAX(Z39,AA39)</f>
        <v>595.21331999999995</v>
      </c>
      <c r="AC39" s="37">
        <f t="shared" ref="AC39:AC102" si="2">(Shipping_perkg_first100*100)+((AB39-100)*Shipping_perkg_above100)</f>
        <v>3971.2799199999999</v>
      </c>
      <c r="AD39" s="37">
        <f>Y39+AC39</f>
        <v>5888.3799199999994</v>
      </c>
      <c r="AE39" s="181">
        <f t="shared" ref="AE39:AE102" si="3">ROUNDUP(W39/$N$19,0)</f>
        <v>1</v>
      </c>
      <c r="AF39" s="37">
        <f>AE39*$P$19</f>
        <v>702</v>
      </c>
      <c r="AG39" s="181">
        <f t="shared" ref="AG39:AG102" si="4">(AE39*$K$19)+V39</f>
        <v>29.4</v>
      </c>
      <c r="AH39" s="111">
        <f>AE39*$X$19</f>
        <v>27.644975999999996</v>
      </c>
      <c r="AI39" s="127">
        <f>MAX(AG39,AH39)</f>
        <v>29.4</v>
      </c>
      <c r="AJ39" s="37">
        <f t="shared" ref="AJ39:AJ102" si="5">IF(AI39&lt;=100,AI39*Shipping_perkg_first100,(Shipping_perkg_first100*100)+((AI39-100)*Shipping_perkg_above100))</f>
        <v>294</v>
      </c>
      <c r="AK39" s="37">
        <f>AF39+AJ39</f>
        <v>996</v>
      </c>
      <c r="AL39" s="37">
        <f>MIN(AD39,AK39)/W39</f>
        <v>996</v>
      </c>
      <c r="AN39" s="37" t="str">
        <f t="shared" ref="AN39:AN102" si="6">IF(AD39&lt;AK39,"Pallet","Parcel")</f>
        <v>Parcel</v>
      </c>
      <c r="AO39" s="2" t="s">
        <v>2825</v>
      </c>
    </row>
    <row r="40" spans="1:41" x14ac:dyDescent="0.2">
      <c r="V40" s="181">
        <f>W40*$V$37</f>
        <v>1</v>
      </c>
      <c r="W40" s="181">
        <f>W39+1</f>
        <v>2</v>
      </c>
      <c r="X40" s="181">
        <f>ROUNDUP(W40/$N$29,0)</f>
        <v>1</v>
      </c>
      <c r="Y40" s="37">
        <f>X40*$P$29</f>
        <v>1917.1</v>
      </c>
      <c r="Z40" s="181">
        <f>V40+(X40*$K$29)</f>
        <v>199</v>
      </c>
      <c r="AA40" s="127">
        <f>X40*$T$29</f>
        <v>595.21331999999995</v>
      </c>
      <c r="AB40" s="127">
        <f>MAX(Z40,AA40)</f>
        <v>595.21331999999995</v>
      </c>
      <c r="AC40" s="37">
        <f t="shared" si="2"/>
        <v>3971.2799199999999</v>
      </c>
      <c r="AD40" s="37">
        <f>Y40+AC40</f>
        <v>5888.3799199999994</v>
      </c>
      <c r="AE40" s="181">
        <f t="shared" si="3"/>
        <v>1</v>
      </c>
      <c r="AF40" s="37">
        <f>AE40*$P$19</f>
        <v>702</v>
      </c>
      <c r="AG40" s="181">
        <f t="shared" si="4"/>
        <v>29.9</v>
      </c>
      <c r="AH40" s="111">
        <f>AE40*$X$19</f>
        <v>27.644975999999996</v>
      </c>
      <c r="AI40" s="127">
        <f>MAX(AG40,AH40)</f>
        <v>29.9</v>
      </c>
      <c r="AJ40" s="37">
        <f t="shared" si="5"/>
        <v>299</v>
      </c>
      <c r="AK40" s="37">
        <f>AF40+AJ40</f>
        <v>1001</v>
      </c>
      <c r="AL40" s="37">
        <f t="shared" ref="AL40:AL103" si="7">MIN(AD40,AK40)/W40</f>
        <v>500.5</v>
      </c>
      <c r="AN40" s="37" t="str">
        <f t="shared" si="6"/>
        <v>Parcel</v>
      </c>
      <c r="AO40">
        <f>AE39</f>
        <v>1</v>
      </c>
    </row>
    <row r="41" spans="1:41" x14ac:dyDescent="0.2">
      <c r="V41" s="181">
        <f t="shared" ref="V41:V104" si="8">W41*$V$37</f>
        <v>1.5</v>
      </c>
      <c r="W41" s="181">
        <f t="shared" ref="W41:W104" si="9">W40+1</f>
        <v>3</v>
      </c>
      <c r="X41" s="181">
        <f t="shared" ref="X41:X104" si="10">ROUNDUP(W41/$N$29,0)</f>
        <v>1</v>
      </c>
      <c r="Y41" s="37">
        <f t="shared" ref="Y41:Y104" si="11">X41*$P$29</f>
        <v>1917.1</v>
      </c>
      <c r="Z41" s="181">
        <f t="shared" ref="Z41:Z104" si="12">V41+(X41*$K$29)</f>
        <v>199.5</v>
      </c>
      <c r="AA41" s="127">
        <f t="shared" ref="AA41:AA104" si="13">X41*$T$29</f>
        <v>595.21331999999995</v>
      </c>
      <c r="AB41" s="127">
        <f t="shared" ref="AB41:AB104" si="14">MAX(Z41,AA41)</f>
        <v>595.21331999999995</v>
      </c>
      <c r="AC41" s="37">
        <f t="shared" si="2"/>
        <v>3971.2799199999999</v>
      </c>
      <c r="AD41" s="37">
        <f t="shared" ref="AD41:AD104" si="15">Y41+AC41</f>
        <v>5888.3799199999994</v>
      </c>
      <c r="AE41" s="181">
        <f t="shared" si="3"/>
        <v>1</v>
      </c>
      <c r="AF41" s="37">
        <f t="shared" ref="AF41:AF104" si="16">AE41*$P$19</f>
        <v>702</v>
      </c>
      <c r="AG41" s="181">
        <f t="shared" si="4"/>
        <v>30.4</v>
      </c>
      <c r="AH41" s="111">
        <f t="shared" ref="AH41:AH104" si="17">AE41*$X$19</f>
        <v>27.644975999999996</v>
      </c>
      <c r="AI41" s="127">
        <f t="shared" ref="AI41:AI104" si="18">MAX(AG41,AH41)</f>
        <v>30.4</v>
      </c>
      <c r="AJ41" s="37">
        <f t="shared" si="5"/>
        <v>304</v>
      </c>
      <c r="AK41" s="37">
        <f t="shared" ref="AK41:AK104" si="19">AF41+AJ41</f>
        <v>1006</v>
      </c>
      <c r="AL41" s="37">
        <f t="shared" si="7"/>
        <v>335.33333333333331</v>
      </c>
      <c r="AN41" s="37" t="str">
        <f t="shared" si="6"/>
        <v>Parcel</v>
      </c>
      <c r="AO41" s="194">
        <f t="shared" ref="AO41:AO104" si="20">AE40</f>
        <v>1</v>
      </c>
    </row>
    <row r="42" spans="1:41" x14ac:dyDescent="0.2">
      <c r="V42" s="181">
        <f t="shared" si="8"/>
        <v>2</v>
      </c>
      <c r="W42" s="181">
        <f t="shared" si="9"/>
        <v>4</v>
      </c>
      <c r="X42" s="181">
        <f t="shared" si="10"/>
        <v>1</v>
      </c>
      <c r="Y42" s="37">
        <f t="shared" si="11"/>
        <v>1917.1</v>
      </c>
      <c r="Z42" s="181">
        <f t="shared" si="12"/>
        <v>200</v>
      </c>
      <c r="AA42" s="127">
        <f t="shared" si="13"/>
        <v>595.21331999999995</v>
      </c>
      <c r="AB42" s="127">
        <f t="shared" si="14"/>
        <v>595.21331999999995</v>
      </c>
      <c r="AC42" s="37">
        <f t="shared" si="2"/>
        <v>3971.2799199999999</v>
      </c>
      <c r="AD42" s="37">
        <f t="shared" si="15"/>
        <v>5888.3799199999994</v>
      </c>
      <c r="AE42" s="181">
        <f t="shared" si="3"/>
        <v>1</v>
      </c>
      <c r="AF42" s="37">
        <f t="shared" si="16"/>
        <v>702</v>
      </c>
      <c r="AG42" s="181">
        <f t="shared" si="4"/>
        <v>30.9</v>
      </c>
      <c r="AH42" s="111">
        <f t="shared" si="17"/>
        <v>27.644975999999996</v>
      </c>
      <c r="AI42" s="127">
        <f t="shared" si="18"/>
        <v>30.9</v>
      </c>
      <c r="AJ42" s="37">
        <f t="shared" si="5"/>
        <v>309</v>
      </c>
      <c r="AK42" s="37">
        <f t="shared" si="19"/>
        <v>1011</v>
      </c>
      <c r="AL42" s="37">
        <f t="shared" si="7"/>
        <v>252.75</v>
      </c>
      <c r="AN42" s="37" t="str">
        <f t="shared" si="6"/>
        <v>Parcel</v>
      </c>
      <c r="AO42" s="194">
        <f t="shared" si="20"/>
        <v>1</v>
      </c>
    </row>
    <row r="43" spans="1:41" x14ac:dyDescent="0.2">
      <c r="V43" s="181">
        <f t="shared" si="8"/>
        <v>2.5</v>
      </c>
      <c r="W43" s="181">
        <f t="shared" si="9"/>
        <v>5</v>
      </c>
      <c r="X43" s="181">
        <f t="shared" si="10"/>
        <v>1</v>
      </c>
      <c r="Y43" s="37">
        <f t="shared" si="11"/>
        <v>1917.1</v>
      </c>
      <c r="Z43" s="181">
        <f t="shared" si="12"/>
        <v>200.5</v>
      </c>
      <c r="AA43" s="127">
        <f t="shared" si="13"/>
        <v>595.21331999999995</v>
      </c>
      <c r="AB43" s="127">
        <f t="shared" si="14"/>
        <v>595.21331999999995</v>
      </c>
      <c r="AC43" s="37">
        <f t="shared" si="2"/>
        <v>3971.2799199999999</v>
      </c>
      <c r="AD43" s="37">
        <f t="shared" si="15"/>
        <v>5888.3799199999994</v>
      </c>
      <c r="AE43" s="181">
        <f t="shared" si="3"/>
        <v>1</v>
      </c>
      <c r="AF43" s="37">
        <f t="shared" si="16"/>
        <v>702</v>
      </c>
      <c r="AG43" s="181">
        <f t="shared" si="4"/>
        <v>31.4</v>
      </c>
      <c r="AH43" s="111">
        <f t="shared" si="17"/>
        <v>27.644975999999996</v>
      </c>
      <c r="AI43" s="127">
        <f t="shared" si="18"/>
        <v>31.4</v>
      </c>
      <c r="AJ43" s="37">
        <f t="shared" si="5"/>
        <v>314</v>
      </c>
      <c r="AK43" s="37">
        <f t="shared" si="19"/>
        <v>1016</v>
      </c>
      <c r="AL43" s="37">
        <f t="shared" si="7"/>
        <v>203.2</v>
      </c>
      <c r="AN43" s="37" t="str">
        <f t="shared" si="6"/>
        <v>Parcel</v>
      </c>
      <c r="AO43" s="194">
        <f t="shared" si="20"/>
        <v>1</v>
      </c>
    </row>
    <row r="44" spans="1:41" x14ac:dyDescent="0.2">
      <c r="V44" s="181">
        <f t="shared" si="8"/>
        <v>3</v>
      </c>
      <c r="W44" s="181">
        <f t="shared" si="9"/>
        <v>6</v>
      </c>
      <c r="X44" s="181">
        <f t="shared" si="10"/>
        <v>1</v>
      </c>
      <c r="Y44" s="37">
        <f t="shared" si="11"/>
        <v>1917.1</v>
      </c>
      <c r="Z44" s="181">
        <f t="shared" si="12"/>
        <v>201</v>
      </c>
      <c r="AA44" s="127">
        <f t="shared" si="13"/>
        <v>595.21331999999995</v>
      </c>
      <c r="AB44" s="127">
        <f t="shared" si="14"/>
        <v>595.21331999999995</v>
      </c>
      <c r="AC44" s="37">
        <f t="shared" si="2"/>
        <v>3971.2799199999999</v>
      </c>
      <c r="AD44" s="37">
        <f t="shared" si="15"/>
        <v>5888.3799199999994</v>
      </c>
      <c r="AE44" s="181">
        <f t="shared" si="3"/>
        <v>1</v>
      </c>
      <c r="AF44" s="37">
        <f t="shared" si="16"/>
        <v>702</v>
      </c>
      <c r="AG44" s="181">
        <f t="shared" si="4"/>
        <v>31.9</v>
      </c>
      <c r="AH44" s="111">
        <f t="shared" si="17"/>
        <v>27.644975999999996</v>
      </c>
      <c r="AI44" s="127">
        <f t="shared" si="18"/>
        <v>31.9</v>
      </c>
      <c r="AJ44" s="37">
        <f t="shared" si="5"/>
        <v>319</v>
      </c>
      <c r="AK44" s="37">
        <f t="shared" si="19"/>
        <v>1021</v>
      </c>
      <c r="AL44" s="37">
        <f t="shared" si="7"/>
        <v>170.16666666666666</v>
      </c>
      <c r="AN44" s="37" t="str">
        <f t="shared" si="6"/>
        <v>Parcel</v>
      </c>
      <c r="AO44" s="194">
        <f t="shared" si="20"/>
        <v>1</v>
      </c>
    </row>
    <row r="45" spans="1:41" x14ac:dyDescent="0.2">
      <c r="V45" s="181">
        <f t="shared" si="8"/>
        <v>3.5</v>
      </c>
      <c r="W45" s="181">
        <f t="shared" si="9"/>
        <v>7</v>
      </c>
      <c r="X45" s="181">
        <f t="shared" si="10"/>
        <v>1</v>
      </c>
      <c r="Y45" s="37">
        <f t="shared" si="11"/>
        <v>1917.1</v>
      </c>
      <c r="Z45" s="181">
        <f t="shared" si="12"/>
        <v>201.5</v>
      </c>
      <c r="AA45" s="127">
        <f t="shared" si="13"/>
        <v>595.21331999999995</v>
      </c>
      <c r="AB45" s="127">
        <f t="shared" si="14"/>
        <v>595.21331999999995</v>
      </c>
      <c r="AC45" s="37">
        <f t="shared" si="2"/>
        <v>3971.2799199999999</v>
      </c>
      <c r="AD45" s="37">
        <f t="shared" si="15"/>
        <v>5888.3799199999994</v>
      </c>
      <c r="AE45" s="181">
        <f t="shared" si="3"/>
        <v>1</v>
      </c>
      <c r="AF45" s="37">
        <f t="shared" si="16"/>
        <v>702</v>
      </c>
      <c r="AG45" s="181">
        <f t="shared" si="4"/>
        <v>32.4</v>
      </c>
      <c r="AH45" s="111">
        <f t="shared" si="17"/>
        <v>27.644975999999996</v>
      </c>
      <c r="AI45" s="127">
        <f t="shared" si="18"/>
        <v>32.4</v>
      </c>
      <c r="AJ45" s="37">
        <f t="shared" si="5"/>
        <v>324</v>
      </c>
      <c r="AK45" s="37">
        <f t="shared" si="19"/>
        <v>1026</v>
      </c>
      <c r="AL45" s="37">
        <f t="shared" si="7"/>
        <v>146.57142857142858</v>
      </c>
      <c r="AN45" s="37" t="str">
        <f t="shared" si="6"/>
        <v>Parcel</v>
      </c>
      <c r="AO45" s="194">
        <f t="shared" si="20"/>
        <v>1</v>
      </c>
    </row>
    <row r="46" spans="1:41" x14ac:dyDescent="0.2">
      <c r="V46" s="181">
        <f t="shared" si="8"/>
        <v>4</v>
      </c>
      <c r="W46" s="181">
        <f t="shared" si="9"/>
        <v>8</v>
      </c>
      <c r="X46" s="181">
        <f t="shared" si="10"/>
        <v>1</v>
      </c>
      <c r="Y46" s="37">
        <f t="shared" si="11"/>
        <v>1917.1</v>
      </c>
      <c r="Z46" s="181">
        <f t="shared" si="12"/>
        <v>202</v>
      </c>
      <c r="AA46" s="127">
        <f t="shared" si="13"/>
        <v>595.21331999999995</v>
      </c>
      <c r="AB46" s="127">
        <f t="shared" si="14"/>
        <v>595.21331999999995</v>
      </c>
      <c r="AC46" s="37">
        <f t="shared" si="2"/>
        <v>3971.2799199999999</v>
      </c>
      <c r="AD46" s="37">
        <f t="shared" si="15"/>
        <v>5888.3799199999994</v>
      </c>
      <c r="AE46" s="181">
        <f t="shared" si="3"/>
        <v>1</v>
      </c>
      <c r="AF46" s="37">
        <f t="shared" si="16"/>
        <v>702</v>
      </c>
      <c r="AG46" s="181">
        <f t="shared" si="4"/>
        <v>32.9</v>
      </c>
      <c r="AH46" s="111">
        <f t="shared" si="17"/>
        <v>27.644975999999996</v>
      </c>
      <c r="AI46" s="127">
        <f t="shared" si="18"/>
        <v>32.9</v>
      </c>
      <c r="AJ46" s="37">
        <f t="shared" si="5"/>
        <v>329</v>
      </c>
      <c r="AK46" s="37">
        <f t="shared" si="19"/>
        <v>1031</v>
      </c>
      <c r="AL46" s="37">
        <f t="shared" si="7"/>
        <v>128.875</v>
      </c>
      <c r="AN46" s="37" t="str">
        <f t="shared" si="6"/>
        <v>Parcel</v>
      </c>
      <c r="AO46" s="194">
        <f t="shared" si="20"/>
        <v>1</v>
      </c>
    </row>
    <row r="47" spans="1:41" x14ac:dyDescent="0.2">
      <c r="V47" s="181">
        <f t="shared" si="8"/>
        <v>4.5</v>
      </c>
      <c r="W47" s="181">
        <f t="shared" si="9"/>
        <v>9</v>
      </c>
      <c r="X47" s="181">
        <f t="shared" si="10"/>
        <v>1</v>
      </c>
      <c r="Y47" s="37">
        <f t="shared" si="11"/>
        <v>1917.1</v>
      </c>
      <c r="Z47" s="181">
        <f t="shared" si="12"/>
        <v>202.5</v>
      </c>
      <c r="AA47" s="127">
        <f t="shared" si="13"/>
        <v>595.21331999999995</v>
      </c>
      <c r="AB47" s="127">
        <f t="shared" si="14"/>
        <v>595.21331999999995</v>
      </c>
      <c r="AC47" s="37">
        <f t="shared" si="2"/>
        <v>3971.2799199999999</v>
      </c>
      <c r="AD47" s="37">
        <f t="shared" si="15"/>
        <v>5888.3799199999994</v>
      </c>
      <c r="AE47" s="181">
        <f t="shared" si="3"/>
        <v>1</v>
      </c>
      <c r="AF47" s="37">
        <f t="shared" si="16"/>
        <v>702</v>
      </c>
      <c r="AG47" s="181">
        <f t="shared" si="4"/>
        <v>33.4</v>
      </c>
      <c r="AH47" s="111">
        <f t="shared" si="17"/>
        <v>27.644975999999996</v>
      </c>
      <c r="AI47" s="127">
        <f t="shared" si="18"/>
        <v>33.4</v>
      </c>
      <c r="AJ47" s="37">
        <f t="shared" si="5"/>
        <v>334</v>
      </c>
      <c r="AK47" s="37">
        <f t="shared" si="19"/>
        <v>1036</v>
      </c>
      <c r="AL47" s="37">
        <f t="shared" si="7"/>
        <v>115.11111111111111</v>
      </c>
      <c r="AN47" s="37" t="str">
        <f t="shared" si="6"/>
        <v>Parcel</v>
      </c>
      <c r="AO47" s="194">
        <f t="shared" si="20"/>
        <v>1</v>
      </c>
    </row>
    <row r="48" spans="1:41" x14ac:dyDescent="0.2">
      <c r="V48" s="181">
        <f t="shared" si="8"/>
        <v>5</v>
      </c>
      <c r="W48" s="181">
        <f t="shared" si="9"/>
        <v>10</v>
      </c>
      <c r="X48" s="181">
        <f t="shared" si="10"/>
        <v>1</v>
      </c>
      <c r="Y48" s="37">
        <f t="shared" si="11"/>
        <v>1917.1</v>
      </c>
      <c r="Z48" s="181">
        <f t="shared" si="12"/>
        <v>203</v>
      </c>
      <c r="AA48" s="127">
        <f t="shared" si="13"/>
        <v>595.21331999999995</v>
      </c>
      <c r="AB48" s="127">
        <f t="shared" si="14"/>
        <v>595.21331999999995</v>
      </c>
      <c r="AC48" s="37">
        <f t="shared" si="2"/>
        <v>3971.2799199999999</v>
      </c>
      <c r="AD48" s="37">
        <f t="shared" si="15"/>
        <v>5888.3799199999994</v>
      </c>
      <c r="AE48" s="181">
        <f t="shared" si="3"/>
        <v>1</v>
      </c>
      <c r="AF48" s="37">
        <f t="shared" si="16"/>
        <v>702</v>
      </c>
      <c r="AG48" s="181">
        <f t="shared" si="4"/>
        <v>33.9</v>
      </c>
      <c r="AH48" s="111">
        <f t="shared" si="17"/>
        <v>27.644975999999996</v>
      </c>
      <c r="AI48" s="127">
        <f t="shared" si="18"/>
        <v>33.9</v>
      </c>
      <c r="AJ48" s="37">
        <f t="shared" si="5"/>
        <v>339</v>
      </c>
      <c r="AK48" s="37">
        <f t="shared" si="19"/>
        <v>1041</v>
      </c>
      <c r="AL48" s="37">
        <f t="shared" si="7"/>
        <v>104.1</v>
      </c>
      <c r="AN48" s="37" t="str">
        <f t="shared" si="6"/>
        <v>Parcel</v>
      </c>
      <c r="AO48" s="194">
        <f t="shared" si="20"/>
        <v>1</v>
      </c>
    </row>
    <row r="49" spans="22:41" x14ac:dyDescent="0.2">
      <c r="V49" s="181">
        <f t="shared" si="8"/>
        <v>5.5</v>
      </c>
      <c r="W49" s="181">
        <f t="shared" si="9"/>
        <v>11</v>
      </c>
      <c r="X49" s="181">
        <f t="shared" si="10"/>
        <v>1</v>
      </c>
      <c r="Y49" s="37">
        <f t="shared" si="11"/>
        <v>1917.1</v>
      </c>
      <c r="Z49" s="181">
        <f t="shared" si="12"/>
        <v>203.5</v>
      </c>
      <c r="AA49" s="127">
        <f t="shared" si="13"/>
        <v>595.21331999999995</v>
      </c>
      <c r="AB49" s="127">
        <f t="shared" si="14"/>
        <v>595.21331999999995</v>
      </c>
      <c r="AC49" s="37">
        <f t="shared" si="2"/>
        <v>3971.2799199999999</v>
      </c>
      <c r="AD49" s="37">
        <f t="shared" si="15"/>
        <v>5888.3799199999994</v>
      </c>
      <c r="AE49" s="181">
        <f t="shared" si="3"/>
        <v>1</v>
      </c>
      <c r="AF49" s="37">
        <f t="shared" si="16"/>
        <v>702</v>
      </c>
      <c r="AG49" s="181">
        <f t="shared" si="4"/>
        <v>34.4</v>
      </c>
      <c r="AH49" s="111">
        <f t="shared" si="17"/>
        <v>27.644975999999996</v>
      </c>
      <c r="AI49" s="127">
        <f t="shared" si="18"/>
        <v>34.4</v>
      </c>
      <c r="AJ49" s="37">
        <f t="shared" si="5"/>
        <v>344</v>
      </c>
      <c r="AK49" s="37">
        <f t="shared" si="19"/>
        <v>1046</v>
      </c>
      <c r="AL49" s="37">
        <f t="shared" si="7"/>
        <v>95.090909090909093</v>
      </c>
      <c r="AN49" s="37" t="str">
        <f t="shared" si="6"/>
        <v>Parcel</v>
      </c>
      <c r="AO49" s="194">
        <f t="shared" si="20"/>
        <v>1</v>
      </c>
    </row>
    <row r="50" spans="22:41" x14ac:dyDescent="0.2">
      <c r="V50" s="181">
        <f t="shared" si="8"/>
        <v>6</v>
      </c>
      <c r="W50" s="181">
        <f t="shared" si="9"/>
        <v>12</v>
      </c>
      <c r="X50" s="181">
        <f t="shared" si="10"/>
        <v>1</v>
      </c>
      <c r="Y50" s="37">
        <f t="shared" si="11"/>
        <v>1917.1</v>
      </c>
      <c r="Z50" s="181">
        <f t="shared" si="12"/>
        <v>204</v>
      </c>
      <c r="AA50" s="127">
        <f t="shared" si="13"/>
        <v>595.21331999999995</v>
      </c>
      <c r="AB50" s="127">
        <f t="shared" si="14"/>
        <v>595.21331999999995</v>
      </c>
      <c r="AC50" s="37">
        <f t="shared" si="2"/>
        <v>3971.2799199999999</v>
      </c>
      <c r="AD50" s="37">
        <f t="shared" si="15"/>
        <v>5888.3799199999994</v>
      </c>
      <c r="AE50" s="181">
        <f t="shared" si="3"/>
        <v>1</v>
      </c>
      <c r="AF50" s="37">
        <f t="shared" si="16"/>
        <v>702</v>
      </c>
      <c r="AG50" s="181">
        <f t="shared" si="4"/>
        <v>34.9</v>
      </c>
      <c r="AH50" s="111">
        <f t="shared" si="17"/>
        <v>27.644975999999996</v>
      </c>
      <c r="AI50" s="127">
        <f t="shared" si="18"/>
        <v>34.9</v>
      </c>
      <c r="AJ50" s="37">
        <f t="shared" si="5"/>
        <v>349</v>
      </c>
      <c r="AK50" s="37">
        <f t="shared" si="19"/>
        <v>1051</v>
      </c>
      <c r="AL50" s="37">
        <f t="shared" si="7"/>
        <v>87.583333333333329</v>
      </c>
      <c r="AN50" s="37" t="str">
        <f t="shared" si="6"/>
        <v>Parcel</v>
      </c>
      <c r="AO50" s="194">
        <f t="shared" si="20"/>
        <v>1</v>
      </c>
    </row>
    <row r="51" spans="22:41" x14ac:dyDescent="0.2">
      <c r="V51" s="181">
        <f t="shared" si="8"/>
        <v>6.5</v>
      </c>
      <c r="W51" s="181">
        <f t="shared" si="9"/>
        <v>13</v>
      </c>
      <c r="X51" s="181">
        <f t="shared" si="10"/>
        <v>1</v>
      </c>
      <c r="Y51" s="37">
        <f t="shared" si="11"/>
        <v>1917.1</v>
      </c>
      <c r="Z51" s="181">
        <f t="shared" si="12"/>
        <v>204.5</v>
      </c>
      <c r="AA51" s="127">
        <f t="shared" si="13"/>
        <v>595.21331999999995</v>
      </c>
      <c r="AB51" s="127">
        <f t="shared" si="14"/>
        <v>595.21331999999995</v>
      </c>
      <c r="AC51" s="37">
        <f t="shared" si="2"/>
        <v>3971.2799199999999</v>
      </c>
      <c r="AD51" s="37">
        <f t="shared" si="15"/>
        <v>5888.3799199999994</v>
      </c>
      <c r="AE51" s="181">
        <f t="shared" si="3"/>
        <v>1</v>
      </c>
      <c r="AF51" s="37">
        <f t="shared" si="16"/>
        <v>702</v>
      </c>
      <c r="AG51" s="181">
        <f t="shared" si="4"/>
        <v>35.4</v>
      </c>
      <c r="AH51" s="111">
        <f t="shared" si="17"/>
        <v>27.644975999999996</v>
      </c>
      <c r="AI51" s="127">
        <f t="shared" si="18"/>
        <v>35.4</v>
      </c>
      <c r="AJ51" s="37">
        <f t="shared" si="5"/>
        <v>354</v>
      </c>
      <c r="AK51" s="37">
        <f t="shared" si="19"/>
        <v>1056</v>
      </c>
      <c r="AL51" s="37">
        <f t="shared" si="7"/>
        <v>81.230769230769226</v>
      </c>
      <c r="AN51" s="37" t="str">
        <f t="shared" si="6"/>
        <v>Parcel</v>
      </c>
      <c r="AO51" s="194">
        <f t="shared" si="20"/>
        <v>1</v>
      </c>
    </row>
    <row r="52" spans="22:41" x14ac:dyDescent="0.2">
      <c r="V52" s="181">
        <f t="shared" si="8"/>
        <v>7</v>
      </c>
      <c r="W52" s="181">
        <f t="shared" si="9"/>
        <v>14</v>
      </c>
      <c r="X52" s="181">
        <f t="shared" si="10"/>
        <v>1</v>
      </c>
      <c r="Y52" s="37">
        <f t="shared" si="11"/>
        <v>1917.1</v>
      </c>
      <c r="Z52" s="181">
        <f t="shared" si="12"/>
        <v>205</v>
      </c>
      <c r="AA52" s="127">
        <f t="shared" si="13"/>
        <v>595.21331999999995</v>
      </c>
      <c r="AB52" s="127">
        <f t="shared" si="14"/>
        <v>595.21331999999995</v>
      </c>
      <c r="AC52" s="37">
        <f t="shared" si="2"/>
        <v>3971.2799199999999</v>
      </c>
      <c r="AD52" s="37">
        <f t="shared" si="15"/>
        <v>5888.3799199999994</v>
      </c>
      <c r="AE52" s="181">
        <f t="shared" si="3"/>
        <v>1</v>
      </c>
      <c r="AF52" s="37">
        <f t="shared" si="16"/>
        <v>702</v>
      </c>
      <c r="AG52" s="181">
        <f t="shared" si="4"/>
        <v>35.9</v>
      </c>
      <c r="AH52" s="111">
        <f t="shared" si="17"/>
        <v>27.644975999999996</v>
      </c>
      <c r="AI52" s="127">
        <f t="shared" si="18"/>
        <v>35.9</v>
      </c>
      <c r="AJ52" s="37">
        <f t="shared" si="5"/>
        <v>359</v>
      </c>
      <c r="AK52" s="37">
        <f t="shared" si="19"/>
        <v>1061</v>
      </c>
      <c r="AL52" s="37">
        <f t="shared" si="7"/>
        <v>75.785714285714292</v>
      </c>
      <c r="AN52" s="37" t="str">
        <f t="shared" si="6"/>
        <v>Parcel</v>
      </c>
      <c r="AO52" s="194">
        <f t="shared" si="20"/>
        <v>1</v>
      </c>
    </row>
    <row r="53" spans="22:41" x14ac:dyDescent="0.2">
      <c r="V53" s="181">
        <f t="shared" si="8"/>
        <v>7.5</v>
      </c>
      <c r="W53" s="181">
        <f t="shared" si="9"/>
        <v>15</v>
      </c>
      <c r="X53" s="181">
        <f t="shared" si="10"/>
        <v>1</v>
      </c>
      <c r="Y53" s="37">
        <f t="shared" si="11"/>
        <v>1917.1</v>
      </c>
      <c r="Z53" s="181">
        <f t="shared" si="12"/>
        <v>205.5</v>
      </c>
      <c r="AA53" s="127">
        <f t="shared" si="13"/>
        <v>595.21331999999995</v>
      </c>
      <c r="AB53" s="127">
        <f t="shared" si="14"/>
        <v>595.21331999999995</v>
      </c>
      <c r="AC53" s="37">
        <f t="shared" si="2"/>
        <v>3971.2799199999999</v>
      </c>
      <c r="AD53" s="37">
        <f t="shared" si="15"/>
        <v>5888.3799199999994</v>
      </c>
      <c r="AE53" s="181">
        <f t="shared" si="3"/>
        <v>1</v>
      </c>
      <c r="AF53" s="37">
        <f t="shared" si="16"/>
        <v>702</v>
      </c>
      <c r="AG53" s="181">
        <f t="shared" si="4"/>
        <v>36.4</v>
      </c>
      <c r="AH53" s="111">
        <f t="shared" si="17"/>
        <v>27.644975999999996</v>
      </c>
      <c r="AI53" s="127">
        <f t="shared" si="18"/>
        <v>36.4</v>
      </c>
      <c r="AJ53" s="37">
        <f t="shared" si="5"/>
        <v>364</v>
      </c>
      <c r="AK53" s="37">
        <f t="shared" si="19"/>
        <v>1066</v>
      </c>
      <c r="AL53" s="37">
        <f t="shared" si="7"/>
        <v>71.066666666666663</v>
      </c>
      <c r="AN53" s="37" t="str">
        <f t="shared" si="6"/>
        <v>Parcel</v>
      </c>
      <c r="AO53" s="194">
        <f t="shared" si="20"/>
        <v>1</v>
      </c>
    </row>
    <row r="54" spans="22:41" x14ac:dyDescent="0.2">
      <c r="V54" s="181">
        <f t="shared" si="8"/>
        <v>8</v>
      </c>
      <c r="W54" s="181">
        <f t="shared" si="9"/>
        <v>16</v>
      </c>
      <c r="X54" s="181">
        <f t="shared" si="10"/>
        <v>1</v>
      </c>
      <c r="Y54" s="37">
        <f t="shared" si="11"/>
        <v>1917.1</v>
      </c>
      <c r="Z54" s="181">
        <f t="shared" si="12"/>
        <v>206</v>
      </c>
      <c r="AA54" s="127">
        <f t="shared" si="13"/>
        <v>595.21331999999995</v>
      </c>
      <c r="AB54" s="127">
        <f t="shared" si="14"/>
        <v>595.21331999999995</v>
      </c>
      <c r="AC54" s="37">
        <f t="shared" si="2"/>
        <v>3971.2799199999999</v>
      </c>
      <c r="AD54" s="37">
        <f t="shared" si="15"/>
        <v>5888.3799199999994</v>
      </c>
      <c r="AE54" s="181">
        <f t="shared" si="3"/>
        <v>1</v>
      </c>
      <c r="AF54" s="37">
        <f t="shared" si="16"/>
        <v>702</v>
      </c>
      <c r="AG54" s="181">
        <f t="shared" si="4"/>
        <v>36.9</v>
      </c>
      <c r="AH54" s="111">
        <f t="shared" si="17"/>
        <v>27.644975999999996</v>
      </c>
      <c r="AI54" s="127">
        <f t="shared" si="18"/>
        <v>36.9</v>
      </c>
      <c r="AJ54" s="37">
        <f t="shared" si="5"/>
        <v>369</v>
      </c>
      <c r="AK54" s="37">
        <f t="shared" si="19"/>
        <v>1071</v>
      </c>
      <c r="AL54" s="37">
        <f t="shared" si="7"/>
        <v>66.9375</v>
      </c>
      <c r="AN54" s="37" t="str">
        <f t="shared" si="6"/>
        <v>Parcel</v>
      </c>
      <c r="AO54" s="194">
        <f t="shared" si="20"/>
        <v>1</v>
      </c>
    </row>
    <row r="55" spans="22:41" x14ac:dyDescent="0.2">
      <c r="V55" s="181">
        <f t="shared" si="8"/>
        <v>8.5</v>
      </c>
      <c r="W55" s="181">
        <f t="shared" si="9"/>
        <v>17</v>
      </c>
      <c r="X55" s="181">
        <f t="shared" si="10"/>
        <v>1</v>
      </c>
      <c r="Y55" s="37">
        <f t="shared" si="11"/>
        <v>1917.1</v>
      </c>
      <c r="Z55" s="181">
        <f t="shared" si="12"/>
        <v>206.5</v>
      </c>
      <c r="AA55" s="127">
        <f t="shared" si="13"/>
        <v>595.21331999999995</v>
      </c>
      <c r="AB55" s="127">
        <f t="shared" si="14"/>
        <v>595.21331999999995</v>
      </c>
      <c r="AC55" s="37">
        <f t="shared" si="2"/>
        <v>3971.2799199999999</v>
      </c>
      <c r="AD55" s="37">
        <f t="shared" si="15"/>
        <v>5888.3799199999994</v>
      </c>
      <c r="AE55" s="181">
        <f t="shared" si="3"/>
        <v>1</v>
      </c>
      <c r="AF55" s="37">
        <f t="shared" si="16"/>
        <v>702</v>
      </c>
      <c r="AG55" s="181">
        <f t="shared" si="4"/>
        <v>37.4</v>
      </c>
      <c r="AH55" s="111">
        <f t="shared" si="17"/>
        <v>27.644975999999996</v>
      </c>
      <c r="AI55" s="127">
        <f t="shared" si="18"/>
        <v>37.4</v>
      </c>
      <c r="AJ55" s="37">
        <f t="shared" si="5"/>
        <v>374</v>
      </c>
      <c r="AK55" s="37">
        <f t="shared" si="19"/>
        <v>1076</v>
      </c>
      <c r="AL55" s="37">
        <f t="shared" si="7"/>
        <v>63.294117647058826</v>
      </c>
      <c r="AN55" s="37" t="str">
        <f t="shared" si="6"/>
        <v>Parcel</v>
      </c>
      <c r="AO55" s="194">
        <f t="shared" si="20"/>
        <v>1</v>
      </c>
    </row>
    <row r="56" spans="22:41" x14ac:dyDescent="0.2">
      <c r="V56" s="181">
        <f t="shared" si="8"/>
        <v>9</v>
      </c>
      <c r="W56" s="181">
        <f t="shared" si="9"/>
        <v>18</v>
      </c>
      <c r="X56" s="181">
        <f t="shared" si="10"/>
        <v>1</v>
      </c>
      <c r="Y56" s="37">
        <f t="shared" si="11"/>
        <v>1917.1</v>
      </c>
      <c r="Z56" s="181">
        <f t="shared" si="12"/>
        <v>207</v>
      </c>
      <c r="AA56" s="127">
        <f t="shared" si="13"/>
        <v>595.21331999999995</v>
      </c>
      <c r="AB56" s="127">
        <f t="shared" si="14"/>
        <v>595.21331999999995</v>
      </c>
      <c r="AC56" s="37">
        <f t="shared" si="2"/>
        <v>3971.2799199999999</v>
      </c>
      <c r="AD56" s="37">
        <f t="shared" si="15"/>
        <v>5888.3799199999994</v>
      </c>
      <c r="AE56" s="181">
        <f t="shared" si="3"/>
        <v>1</v>
      </c>
      <c r="AF56" s="37">
        <f t="shared" si="16"/>
        <v>702</v>
      </c>
      <c r="AG56" s="181">
        <f t="shared" si="4"/>
        <v>37.9</v>
      </c>
      <c r="AH56" s="111">
        <f t="shared" si="17"/>
        <v>27.644975999999996</v>
      </c>
      <c r="AI56" s="127">
        <f t="shared" si="18"/>
        <v>37.9</v>
      </c>
      <c r="AJ56" s="37">
        <f t="shared" si="5"/>
        <v>379</v>
      </c>
      <c r="AK56" s="37">
        <f t="shared" si="19"/>
        <v>1081</v>
      </c>
      <c r="AL56" s="37">
        <f t="shared" si="7"/>
        <v>60.055555555555557</v>
      </c>
      <c r="AN56" s="37" t="str">
        <f t="shared" si="6"/>
        <v>Parcel</v>
      </c>
      <c r="AO56" s="194">
        <f t="shared" si="20"/>
        <v>1</v>
      </c>
    </row>
    <row r="57" spans="22:41" x14ac:dyDescent="0.2">
      <c r="V57" s="181">
        <f t="shared" si="8"/>
        <v>9.5</v>
      </c>
      <c r="W57" s="181">
        <f t="shared" si="9"/>
        <v>19</v>
      </c>
      <c r="X57" s="181">
        <f t="shared" si="10"/>
        <v>1</v>
      </c>
      <c r="Y57" s="37">
        <f t="shared" si="11"/>
        <v>1917.1</v>
      </c>
      <c r="Z57" s="181">
        <f t="shared" si="12"/>
        <v>207.5</v>
      </c>
      <c r="AA57" s="127">
        <f t="shared" si="13"/>
        <v>595.21331999999995</v>
      </c>
      <c r="AB57" s="127">
        <f t="shared" si="14"/>
        <v>595.21331999999995</v>
      </c>
      <c r="AC57" s="37">
        <f t="shared" si="2"/>
        <v>3971.2799199999999</v>
      </c>
      <c r="AD57" s="37">
        <f t="shared" si="15"/>
        <v>5888.3799199999994</v>
      </c>
      <c r="AE57" s="181">
        <f t="shared" si="3"/>
        <v>1</v>
      </c>
      <c r="AF57" s="37">
        <f t="shared" si="16"/>
        <v>702</v>
      </c>
      <c r="AG57" s="181">
        <f t="shared" si="4"/>
        <v>38.4</v>
      </c>
      <c r="AH57" s="111">
        <f t="shared" si="17"/>
        <v>27.644975999999996</v>
      </c>
      <c r="AI57" s="127">
        <f t="shared" si="18"/>
        <v>38.4</v>
      </c>
      <c r="AJ57" s="37">
        <f t="shared" si="5"/>
        <v>384</v>
      </c>
      <c r="AK57" s="37">
        <f t="shared" si="19"/>
        <v>1086</v>
      </c>
      <c r="AL57" s="37">
        <f t="shared" si="7"/>
        <v>57.157894736842103</v>
      </c>
      <c r="AN57" s="37" t="str">
        <f t="shared" si="6"/>
        <v>Parcel</v>
      </c>
      <c r="AO57" s="194">
        <f t="shared" si="20"/>
        <v>1</v>
      </c>
    </row>
    <row r="58" spans="22:41" x14ac:dyDescent="0.2">
      <c r="V58" s="181">
        <f t="shared" si="8"/>
        <v>10</v>
      </c>
      <c r="W58" s="181">
        <f t="shared" si="9"/>
        <v>20</v>
      </c>
      <c r="X58" s="181">
        <f t="shared" si="10"/>
        <v>1</v>
      </c>
      <c r="Y58" s="37">
        <f t="shared" si="11"/>
        <v>1917.1</v>
      </c>
      <c r="Z58" s="181">
        <f t="shared" si="12"/>
        <v>208</v>
      </c>
      <c r="AA58" s="127">
        <f t="shared" si="13"/>
        <v>595.21331999999995</v>
      </c>
      <c r="AB58" s="127">
        <f t="shared" si="14"/>
        <v>595.21331999999995</v>
      </c>
      <c r="AC58" s="37">
        <f t="shared" si="2"/>
        <v>3971.2799199999999</v>
      </c>
      <c r="AD58" s="37">
        <f t="shared" si="15"/>
        <v>5888.3799199999994</v>
      </c>
      <c r="AE58" s="181">
        <f t="shared" si="3"/>
        <v>1</v>
      </c>
      <c r="AF58" s="37">
        <f t="shared" si="16"/>
        <v>702</v>
      </c>
      <c r="AG58" s="181">
        <f t="shared" si="4"/>
        <v>38.9</v>
      </c>
      <c r="AH58" s="111">
        <f t="shared" si="17"/>
        <v>27.644975999999996</v>
      </c>
      <c r="AI58" s="127">
        <f t="shared" si="18"/>
        <v>38.9</v>
      </c>
      <c r="AJ58" s="37">
        <f t="shared" si="5"/>
        <v>389</v>
      </c>
      <c r="AK58" s="37">
        <f t="shared" si="19"/>
        <v>1091</v>
      </c>
      <c r="AL58" s="37">
        <f t="shared" si="7"/>
        <v>54.55</v>
      </c>
      <c r="AN58" s="37" t="str">
        <f t="shared" si="6"/>
        <v>Parcel</v>
      </c>
      <c r="AO58" s="194">
        <f t="shared" si="20"/>
        <v>1</v>
      </c>
    </row>
    <row r="59" spans="22:41" x14ac:dyDescent="0.2">
      <c r="V59" s="181">
        <f t="shared" si="8"/>
        <v>10.5</v>
      </c>
      <c r="W59" s="181">
        <f t="shared" si="9"/>
        <v>21</v>
      </c>
      <c r="X59" s="181">
        <f t="shared" si="10"/>
        <v>1</v>
      </c>
      <c r="Y59" s="37">
        <f t="shared" si="11"/>
        <v>1917.1</v>
      </c>
      <c r="Z59" s="181">
        <f t="shared" si="12"/>
        <v>208.5</v>
      </c>
      <c r="AA59" s="127">
        <f t="shared" si="13"/>
        <v>595.21331999999995</v>
      </c>
      <c r="AB59" s="127">
        <f t="shared" si="14"/>
        <v>595.21331999999995</v>
      </c>
      <c r="AC59" s="37">
        <f t="shared" si="2"/>
        <v>3971.2799199999999</v>
      </c>
      <c r="AD59" s="37">
        <f t="shared" si="15"/>
        <v>5888.3799199999994</v>
      </c>
      <c r="AE59" s="181">
        <f t="shared" si="3"/>
        <v>1</v>
      </c>
      <c r="AF59" s="37">
        <f t="shared" si="16"/>
        <v>702</v>
      </c>
      <c r="AG59" s="181">
        <f t="shared" si="4"/>
        <v>39.4</v>
      </c>
      <c r="AH59" s="111">
        <f t="shared" si="17"/>
        <v>27.644975999999996</v>
      </c>
      <c r="AI59" s="127">
        <f t="shared" si="18"/>
        <v>39.4</v>
      </c>
      <c r="AJ59" s="37">
        <f t="shared" si="5"/>
        <v>394</v>
      </c>
      <c r="AK59" s="37">
        <f t="shared" si="19"/>
        <v>1096</v>
      </c>
      <c r="AL59" s="37">
        <f t="shared" si="7"/>
        <v>52.19047619047619</v>
      </c>
      <c r="AN59" s="37" t="str">
        <f t="shared" si="6"/>
        <v>Parcel</v>
      </c>
      <c r="AO59" s="194">
        <f t="shared" si="20"/>
        <v>1</v>
      </c>
    </row>
    <row r="60" spans="22:41" x14ac:dyDescent="0.2">
      <c r="V60" s="181">
        <f t="shared" si="8"/>
        <v>11</v>
      </c>
      <c r="W60" s="181">
        <f t="shared" si="9"/>
        <v>22</v>
      </c>
      <c r="X60" s="181">
        <f t="shared" si="10"/>
        <v>1</v>
      </c>
      <c r="Y60" s="37">
        <f t="shared" si="11"/>
        <v>1917.1</v>
      </c>
      <c r="Z60" s="181">
        <f t="shared" si="12"/>
        <v>209</v>
      </c>
      <c r="AA60" s="127">
        <f t="shared" si="13"/>
        <v>595.21331999999995</v>
      </c>
      <c r="AB60" s="127">
        <f t="shared" si="14"/>
        <v>595.21331999999995</v>
      </c>
      <c r="AC60" s="37">
        <f t="shared" si="2"/>
        <v>3971.2799199999999</v>
      </c>
      <c r="AD60" s="37">
        <f t="shared" si="15"/>
        <v>5888.3799199999994</v>
      </c>
      <c r="AE60" s="181">
        <f t="shared" si="3"/>
        <v>1</v>
      </c>
      <c r="AF60" s="37">
        <f t="shared" si="16"/>
        <v>702</v>
      </c>
      <c r="AG60" s="181">
        <f t="shared" si="4"/>
        <v>39.9</v>
      </c>
      <c r="AH60" s="111">
        <f t="shared" si="17"/>
        <v>27.644975999999996</v>
      </c>
      <c r="AI60" s="127">
        <f t="shared" si="18"/>
        <v>39.9</v>
      </c>
      <c r="AJ60" s="37">
        <f t="shared" si="5"/>
        <v>399</v>
      </c>
      <c r="AK60" s="37">
        <f t="shared" si="19"/>
        <v>1101</v>
      </c>
      <c r="AL60" s="37">
        <f t="shared" si="7"/>
        <v>50.045454545454547</v>
      </c>
      <c r="AN60" s="37" t="str">
        <f t="shared" si="6"/>
        <v>Parcel</v>
      </c>
      <c r="AO60" s="194">
        <f t="shared" si="20"/>
        <v>1</v>
      </c>
    </row>
    <row r="61" spans="22:41" x14ac:dyDescent="0.2">
      <c r="V61" s="181">
        <f t="shared" si="8"/>
        <v>11.5</v>
      </c>
      <c r="W61" s="181">
        <f t="shared" si="9"/>
        <v>23</v>
      </c>
      <c r="X61" s="181">
        <f t="shared" si="10"/>
        <v>1</v>
      </c>
      <c r="Y61" s="37">
        <f t="shared" si="11"/>
        <v>1917.1</v>
      </c>
      <c r="Z61" s="181">
        <f t="shared" si="12"/>
        <v>209.5</v>
      </c>
      <c r="AA61" s="127">
        <f t="shared" si="13"/>
        <v>595.21331999999995</v>
      </c>
      <c r="AB61" s="127">
        <f t="shared" si="14"/>
        <v>595.21331999999995</v>
      </c>
      <c r="AC61" s="37">
        <f t="shared" si="2"/>
        <v>3971.2799199999999</v>
      </c>
      <c r="AD61" s="37">
        <f t="shared" si="15"/>
        <v>5888.3799199999994</v>
      </c>
      <c r="AE61" s="181">
        <f t="shared" si="3"/>
        <v>1</v>
      </c>
      <c r="AF61" s="37">
        <f t="shared" si="16"/>
        <v>702</v>
      </c>
      <c r="AG61" s="181">
        <f t="shared" si="4"/>
        <v>40.4</v>
      </c>
      <c r="AH61" s="111">
        <f t="shared" si="17"/>
        <v>27.644975999999996</v>
      </c>
      <c r="AI61" s="127">
        <f t="shared" si="18"/>
        <v>40.4</v>
      </c>
      <c r="AJ61" s="37">
        <f t="shared" si="5"/>
        <v>404</v>
      </c>
      <c r="AK61" s="37">
        <f t="shared" si="19"/>
        <v>1106</v>
      </c>
      <c r="AL61" s="37">
        <f t="shared" si="7"/>
        <v>48.086956521739133</v>
      </c>
      <c r="AN61" s="37" t="str">
        <f t="shared" si="6"/>
        <v>Parcel</v>
      </c>
      <c r="AO61" s="194">
        <f t="shared" si="20"/>
        <v>1</v>
      </c>
    </row>
    <row r="62" spans="22:41" x14ac:dyDescent="0.2">
      <c r="V62" s="181">
        <f t="shared" si="8"/>
        <v>12</v>
      </c>
      <c r="W62" s="181">
        <f t="shared" si="9"/>
        <v>24</v>
      </c>
      <c r="X62" s="181">
        <f t="shared" si="10"/>
        <v>1</v>
      </c>
      <c r="Y62" s="37">
        <f t="shared" si="11"/>
        <v>1917.1</v>
      </c>
      <c r="Z62" s="181">
        <f t="shared" si="12"/>
        <v>210</v>
      </c>
      <c r="AA62" s="127">
        <f t="shared" si="13"/>
        <v>595.21331999999995</v>
      </c>
      <c r="AB62" s="127">
        <f t="shared" si="14"/>
        <v>595.21331999999995</v>
      </c>
      <c r="AC62" s="37">
        <f t="shared" si="2"/>
        <v>3971.2799199999999</v>
      </c>
      <c r="AD62" s="37">
        <f t="shared" si="15"/>
        <v>5888.3799199999994</v>
      </c>
      <c r="AE62" s="181">
        <f t="shared" si="3"/>
        <v>1</v>
      </c>
      <c r="AF62" s="37">
        <f t="shared" si="16"/>
        <v>702</v>
      </c>
      <c r="AG62" s="181">
        <f t="shared" si="4"/>
        <v>40.9</v>
      </c>
      <c r="AH62" s="111">
        <f t="shared" si="17"/>
        <v>27.644975999999996</v>
      </c>
      <c r="AI62" s="127">
        <f t="shared" si="18"/>
        <v>40.9</v>
      </c>
      <c r="AJ62" s="37">
        <f t="shared" si="5"/>
        <v>409</v>
      </c>
      <c r="AK62" s="37">
        <f t="shared" si="19"/>
        <v>1111</v>
      </c>
      <c r="AL62" s="37">
        <f t="shared" si="7"/>
        <v>46.291666666666664</v>
      </c>
      <c r="AN62" s="37" t="str">
        <f t="shared" si="6"/>
        <v>Parcel</v>
      </c>
      <c r="AO62" s="194">
        <f t="shared" si="20"/>
        <v>1</v>
      </c>
    </row>
    <row r="63" spans="22:41" x14ac:dyDescent="0.2">
      <c r="V63" s="181">
        <f t="shared" si="8"/>
        <v>12.5</v>
      </c>
      <c r="W63" s="181">
        <f t="shared" si="9"/>
        <v>25</v>
      </c>
      <c r="X63" s="181">
        <f t="shared" si="10"/>
        <v>1</v>
      </c>
      <c r="Y63" s="37">
        <f t="shared" si="11"/>
        <v>1917.1</v>
      </c>
      <c r="Z63" s="181">
        <f t="shared" si="12"/>
        <v>210.5</v>
      </c>
      <c r="AA63" s="127">
        <f t="shared" si="13"/>
        <v>595.21331999999995</v>
      </c>
      <c r="AB63" s="127">
        <f t="shared" si="14"/>
        <v>595.21331999999995</v>
      </c>
      <c r="AC63" s="37">
        <f t="shared" si="2"/>
        <v>3971.2799199999999</v>
      </c>
      <c r="AD63" s="37">
        <f t="shared" si="15"/>
        <v>5888.3799199999994</v>
      </c>
      <c r="AE63" s="181">
        <f t="shared" si="3"/>
        <v>1</v>
      </c>
      <c r="AF63" s="37">
        <f t="shared" si="16"/>
        <v>702</v>
      </c>
      <c r="AG63" s="181">
        <f t="shared" si="4"/>
        <v>41.4</v>
      </c>
      <c r="AH63" s="111">
        <f t="shared" si="17"/>
        <v>27.644975999999996</v>
      </c>
      <c r="AI63" s="127">
        <f t="shared" si="18"/>
        <v>41.4</v>
      </c>
      <c r="AJ63" s="37">
        <f t="shared" si="5"/>
        <v>414</v>
      </c>
      <c r="AK63" s="37">
        <f t="shared" si="19"/>
        <v>1116</v>
      </c>
      <c r="AL63" s="37">
        <f t="shared" si="7"/>
        <v>44.64</v>
      </c>
      <c r="AN63" s="37" t="str">
        <f t="shared" si="6"/>
        <v>Parcel</v>
      </c>
      <c r="AO63" s="194">
        <f t="shared" si="20"/>
        <v>1</v>
      </c>
    </row>
    <row r="64" spans="22:41" x14ac:dyDescent="0.2">
      <c r="V64" s="181">
        <f t="shared" si="8"/>
        <v>13</v>
      </c>
      <c r="W64" s="181">
        <f t="shared" si="9"/>
        <v>26</v>
      </c>
      <c r="X64" s="181">
        <f t="shared" si="10"/>
        <v>1</v>
      </c>
      <c r="Y64" s="37">
        <f t="shared" si="11"/>
        <v>1917.1</v>
      </c>
      <c r="Z64" s="181">
        <f t="shared" si="12"/>
        <v>211</v>
      </c>
      <c r="AA64" s="127">
        <f t="shared" si="13"/>
        <v>595.21331999999995</v>
      </c>
      <c r="AB64" s="127">
        <f t="shared" si="14"/>
        <v>595.21331999999995</v>
      </c>
      <c r="AC64" s="37">
        <f t="shared" si="2"/>
        <v>3971.2799199999999</v>
      </c>
      <c r="AD64" s="37">
        <f t="shared" si="15"/>
        <v>5888.3799199999994</v>
      </c>
      <c r="AE64" s="181">
        <f t="shared" si="3"/>
        <v>2</v>
      </c>
      <c r="AF64" s="37">
        <f t="shared" si="16"/>
        <v>1404</v>
      </c>
      <c r="AG64" s="181">
        <f t="shared" si="4"/>
        <v>70.8</v>
      </c>
      <c r="AH64" s="111">
        <f t="shared" si="17"/>
        <v>55.289951999999992</v>
      </c>
      <c r="AI64" s="127">
        <f t="shared" si="18"/>
        <v>70.8</v>
      </c>
      <c r="AJ64" s="37">
        <f t="shared" si="5"/>
        <v>708</v>
      </c>
      <c r="AK64" s="37">
        <f t="shared" si="19"/>
        <v>2112</v>
      </c>
      <c r="AL64" s="37">
        <f t="shared" si="7"/>
        <v>81.230769230769226</v>
      </c>
      <c r="AN64" s="37" t="str">
        <f t="shared" si="6"/>
        <v>Parcel</v>
      </c>
      <c r="AO64" s="194">
        <f t="shared" si="20"/>
        <v>1</v>
      </c>
    </row>
    <row r="65" spans="22:41" x14ac:dyDescent="0.2">
      <c r="V65" s="181">
        <f t="shared" si="8"/>
        <v>13.5</v>
      </c>
      <c r="W65" s="181">
        <f t="shared" si="9"/>
        <v>27</v>
      </c>
      <c r="X65" s="181">
        <f t="shared" si="10"/>
        <v>1</v>
      </c>
      <c r="Y65" s="37">
        <f t="shared" si="11"/>
        <v>1917.1</v>
      </c>
      <c r="Z65" s="181">
        <f t="shared" si="12"/>
        <v>211.5</v>
      </c>
      <c r="AA65" s="127">
        <f t="shared" si="13"/>
        <v>595.21331999999995</v>
      </c>
      <c r="AB65" s="127">
        <f t="shared" si="14"/>
        <v>595.21331999999995</v>
      </c>
      <c r="AC65" s="37">
        <f t="shared" si="2"/>
        <v>3971.2799199999999</v>
      </c>
      <c r="AD65" s="37">
        <f t="shared" si="15"/>
        <v>5888.3799199999994</v>
      </c>
      <c r="AE65" s="181">
        <f t="shared" si="3"/>
        <v>2</v>
      </c>
      <c r="AF65" s="37">
        <f t="shared" si="16"/>
        <v>1404</v>
      </c>
      <c r="AG65" s="181">
        <f t="shared" si="4"/>
        <v>71.3</v>
      </c>
      <c r="AH65" s="111">
        <f t="shared" si="17"/>
        <v>55.289951999999992</v>
      </c>
      <c r="AI65" s="127">
        <f t="shared" si="18"/>
        <v>71.3</v>
      </c>
      <c r="AJ65" s="37">
        <f t="shared" si="5"/>
        <v>713</v>
      </c>
      <c r="AK65" s="37">
        <f t="shared" si="19"/>
        <v>2117</v>
      </c>
      <c r="AL65" s="37">
        <f t="shared" si="7"/>
        <v>78.407407407407405</v>
      </c>
      <c r="AN65" s="37" t="str">
        <f t="shared" si="6"/>
        <v>Parcel</v>
      </c>
      <c r="AO65" s="194">
        <f t="shared" si="20"/>
        <v>2</v>
      </c>
    </row>
    <row r="66" spans="22:41" x14ac:dyDescent="0.2">
      <c r="V66" s="181">
        <f t="shared" si="8"/>
        <v>14</v>
      </c>
      <c r="W66" s="181">
        <f t="shared" si="9"/>
        <v>28</v>
      </c>
      <c r="X66" s="181">
        <f t="shared" si="10"/>
        <v>1</v>
      </c>
      <c r="Y66" s="37">
        <f t="shared" si="11"/>
        <v>1917.1</v>
      </c>
      <c r="Z66" s="181">
        <f t="shared" si="12"/>
        <v>212</v>
      </c>
      <c r="AA66" s="127">
        <f t="shared" si="13"/>
        <v>595.21331999999995</v>
      </c>
      <c r="AB66" s="127">
        <f t="shared" si="14"/>
        <v>595.21331999999995</v>
      </c>
      <c r="AC66" s="37">
        <f t="shared" si="2"/>
        <v>3971.2799199999999</v>
      </c>
      <c r="AD66" s="37">
        <f t="shared" si="15"/>
        <v>5888.3799199999994</v>
      </c>
      <c r="AE66" s="181">
        <f t="shared" si="3"/>
        <v>2</v>
      </c>
      <c r="AF66" s="37">
        <f t="shared" si="16"/>
        <v>1404</v>
      </c>
      <c r="AG66" s="181">
        <f t="shared" si="4"/>
        <v>71.8</v>
      </c>
      <c r="AH66" s="111">
        <f t="shared" si="17"/>
        <v>55.289951999999992</v>
      </c>
      <c r="AI66" s="127">
        <f t="shared" si="18"/>
        <v>71.8</v>
      </c>
      <c r="AJ66" s="37">
        <f t="shared" si="5"/>
        <v>718</v>
      </c>
      <c r="AK66" s="37">
        <f t="shared" si="19"/>
        <v>2122</v>
      </c>
      <c r="AL66" s="37">
        <f t="shared" si="7"/>
        <v>75.785714285714292</v>
      </c>
      <c r="AN66" s="37" t="str">
        <f t="shared" si="6"/>
        <v>Parcel</v>
      </c>
      <c r="AO66" s="194">
        <f t="shared" si="20"/>
        <v>2</v>
      </c>
    </row>
    <row r="67" spans="22:41" x14ac:dyDescent="0.2">
      <c r="V67" s="181">
        <f t="shared" si="8"/>
        <v>14.5</v>
      </c>
      <c r="W67" s="181">
        <f t="shared" si="9"/>
        <v>29</v>
      </c>
      <c r="X67" s="181">
        <f t="shared" si="10"/>
        <v>1</v>
      </c>
      <c r="Y67" s="37">
        <f t="shared" si="11"/>
        <v>1917.1</v>
      </c>
      <c r="Z67" s="181">
        <f t="shared" si="12"/>
        <v>212.5</v>
      </c>
      <c r="AA67" s="127">
        <f t="shared" si="13"/>
        <v>595.21331999999995</v>
      </c>
      <c r="AB67" s="127">
        <f t="shared" si="14"/>
        <v>595.21331999999995</v>
      </c>
      <c r="AC67" s="37">
        <f t="shared" si="2"/>
        <v>3971.2799199999999</v>
      </c>
      <c r="AD67" s="37">
        <f t="shared" si="15"/>
        <v>5888.3799199999994</v>
      </c>
      <c r="AE67" s="181">
        <f t="shared" si="3"/>
        <v>2</v>
      </c>
      <c r="AF67" s="37">
        <f t="shared" si="16"/>
        <v>1404</v>
      </c>
      <c r="AG67" s="181">
        <f t="shared" si="4"/>
        <v>72.3</v>
      </c>
      <c r="AH67" s="111">
        <f t="shared" si="17"/>
        <v>55.289951999999992</v>
      </c>
      <c r="AI67" s="127">
        <f t="shared" si="18"/>
        <v>72.3</v>
      </c>
      <c r="AJ67" s="37">
        <f t="shared" si="5"/>
        <v>723</v>
      </c>
      <c r="AK67" s="37">
        <f t="shared" si="19"/>
        <v>2127</v>
      </c>
      <c r="AL67" s="37">
        <f t="shared" si="7"/>
        <v>73.34482758620689</v>
      </c>
      <c r="AN67" s="37" t="str">
        <f t="shared" si="6"/>
        <v>Parcel</v>
      </c>
      <c r="AO67" s="194">
        <f t="shared" si="20"/>
        <v>2</v>
      </c>
    </row>
    <row r="68" spans="22:41" x14ac:dyDescent="0.2">
      <c r="V68" s="181">
        <f t="shared" si="8"/>
        <v>15</v>
      </c>
      <c r="W68" s="181">
        <f t="shared" si="9"/>
        <v>30</v>
      </c>
      <c r="X68" s="181">
        <f t="shared" si="10"/>
        <v>1</v>
      </c>
      <c r="Y68" s="37">
        <f t="shared" si="11"/>
        <v>1917.1</v>
      </c>
      <c r="Z68" s="181">
        <f t="shared" si="12"/>
        <v>213</v>
      </c>
      <c r="AA68" s="127">
        <f t="shared" si="13"/>
        <v>595.21331999999995</v>
      </c>
      <c r="AB68" s="127">
        <f t="shared" si="14"/>
        <v>595.21331999999995</v>
      </c>
      <c r="AC68" s="37">
        <f t="shared" si="2"/>
        <v>3971.2799199999999</v>
      </c>
      <c r="AD68" s="37">
        <f t="shared" si="15"/>
        <v>5888.3799199999994</v>
      </c>
      <c r="AE68" s="181">
        <f t="shared" si="3"/>
        <v>2</v>
      </c>
      <c r="AF68" s="37">
        <f t="shared" si="16"/>
        <v>1404</v>
      </c>
      <c r="AG68" s="181">
        <f t="shared" si="4"/>
        <v>72.8</v>
      </c>
      <c r="AH68" s="111">
        <f t="shared" si="17"/>
        <v>55.289951999999992</v>
      </c>
      <c r="AI68" s="127">
        <f t="shared" si="18"/>
        <v>72.8</v>
      </c>
      <c r="AJ68" s="37">
        <f t="shared" si="5"/>
        <v>728</v>
      </c>
      <c r="AK68" s="37">
        <f t="shared" si="19"/>
        <v>2132</v>
      </c>
      <c r="AL68" s="37">
        <f t="shared" si="7"/>
        <v>71.066666666666663</v>
      </c>
      <c r="AN68" s="37" t="str">
        <f t="shared" si="6"/>
        <v>Parcel</v>
      </c>
      <c r="AO68" s="194">
        <f t="shared" si="20"/>
        <v>2</v>
      </c>
    </row>
    <row r="69" spans="22:41" x14ac:dyDescent="0.2">
      <c r="V69" s="181">
        <f t="shared" si="8"/>
        <v>15.5</v>
      </c>
      <c r="W69" s="181">
        <f t="shared" si="9"/>
        <v>31</v>
      </c>
      <c r="X69" s="181">
        <f t="shared" si="10"/>
        <v>1</v>
      </c>
      <c r="Y69" s="37">
        <f t="shared" si="11"/>
        <v>1917.1</v>
      </c>
      <c r="Z69" s="181">
        <f t="shared" si="12"/>
        <v>213.5</v>
      </c>
      <c r="AA69" s="127">
        <f t="shared" si="13"/>
        <v>595.21331999999995</v>
      </c>
      <c r="AB69" s="127">
        <f t="shared" si="14"/>
        <v>595.21331999999995</v>
      </c>
      <c r="AC69" s="37">
        <f t="shared" si="2"/>
        <v>3971.2799199999999</v>
      </c>
      <c r="AD69" s="37">
        <f t="shared" si="15"/>
        <v>5888.3799199999994</v>
      </c>
      <c r="AE69" s="181">
        <f t="shared" si="3"/>
        <v>2</v>
      </c>
      <c r="AF69" s="37">
        <f t="shared" si="16"/>
        <v>1404</v>
      </c>
      <c r="AG69" s="181">
        <f t="shared" si="4"/>
        <v>73.3</v>
      </c>
      <c r="AH69" s="111">
        <f t="shared" si="17"/>
        <v>55.289951999999992</v>
      </c>
      <c r="AI69" s="127">
        <f t="shared" si="18"/>
        <v>73.3</v>
      </c>
      <c r="AJ69" s="37">
        <f t="shared" si="5"/>
        <v>733</v>
      </c>
      <c r="AK69" s="37">
        <f t="shared" si="19"/>
        <v>2137</v>
      </c>
      <c r="AL69" s="37">
        <f t="shared" si="7"/>
        <v>68.935483870967744</v>
      </c>
      <c r="AN69" s="37" t="str">
        <f t="shared" si="6"/>
        <v>Parcel</v>
      </c>
      <c r="AO69" s="194">
        <f t="shared" si="20"/>
        <v>2</v>
      </c>
    </row>
    <row r="70" spans="22:41" x14ac:dyDescent="0.2">
      <c r="V70" s="181">
        <f t="shared" si="8"/>
        <v>16</v>
      </c>
      <c r="W70" s="181">
        <f t="shared" si="9"/>
        <v>32</v>
      </c>
      <c r="X70" s="181">
        <f t="shared" si="10"/>
        <v>1</v>
      </c>
      <c r="Y70" s="37">
        <f t="shared" si="11"/>
        <v>1917.1</v>
      </c>
      <c r="Z70" s="181">
        <f t="shared" si="12"/>
        <v>214</v>
      </c>
      <c r="AA70" s="127">
        <f t="shared" si="13"/>
        <v>595.21331999999995</v>
      </c>
      <c r="AB70" s="127">
        <f t="shared" si="14"/>
        <v>595.21331999999995</v>
      </c>
      <c r="AC70" s="37">
        <f t="shared" si="2"/>
        <v>3971.2799199999999</v>
      </c>
      <c r="AD70" s="37">
        <f t="shared" si="15"/>
        <v>5888.3799199999994</v>
      </c>
      <c r="AE70" s="181">
        <f t="shared" si="3"/>
        <v>2</v>
      </c>
      <c r="AF70" s="37">
        <f t="shared" si="16"/>
        <v>1404</v>
      </c>
      <c r="AG70" s="181">
        <f t="shared" si="4"/>
        <v>73.8</v>
      </c>
      <c r="AH70" s="111">
        <f t="shared" si="17"/>
        <v>55.289951999999992</v>
      </c>
      <c r="AI70" s="127">
        <f t="shared" si="18"/>
        <v>73.8</v>
      </c>
      <c r="AJ70" s="37">
        <f t="shared" si="5"/>
        <v>738</v>
      </c>
      <c r="AK70" s="37">
        <f t="shared" si="19"/>
        <v>2142</v>
      </c>
      <c r="AL70" s="37">
        <f t="shared" si="7"/>
        <v>66.9375</v>
      </c>
      <c r="AN70" s="37" t="str">
        <f t="shared" si="6"/>
        <v>Parcel</v>
      </c>
      <c r="AO70" s="194">
        <f t="shared" si="20"/>
        <v>2</v>
      </c>
    </row>
    <row r="71" spans="22:41" x14ac:dyDescent="0.2">
      <c r="V71" s="181">
        <f t="shared" si="8"/>
        <v>16.5</v>
      </c>
      <c r="W71" s="181">
        <f t="shared" si="9"/>
        <v>33</v>
      </c>
      <c r="X71" s="181">
        <f t="shared" si="10"/>
        <v>1</v>
      </c>
      <c r="Y71" s="37">
        <f t="shared" si="11"/>
        <v>1917.1</v>
      </c>
      <c r="Z71" s="181">
        <f t="shared" si="12"/>
        <v>214.5</v>
      </c>
      <c r="AA71" s="127">
        <f t="shared" si="13"/>
        <v>595.21331999999995</v>
      </c>
      <c r="AB71" s="127">
        <f t="shared" si="14"/>
        <v>595.21331999999995</v>
      </c>
      <c r="AC71" s="37">
        <f t="shared" si="2"/>
        <v>3971.2799199999999</v>
      </c>
      <c r="AD71" s="37">
        <f t="shared" si="15"/>
        <v>5888.3799199999994</v>
      </c>
      <c r="AE71" s="181">
        <f t="shared" si="3"/>
        <v>2</v>
      </c>
      <c r="AF71" s="37">
        <f t="shared" si="16"/>
        <v>1404</v>
      </c>
      <c r="AG71" s="181">
        <f t="shared" si="4"/>
        <v>74.3</v>
      </c>
      <c r="AH71" s="111">
        <f t="shared" si="17"/>
        <v>55.289951999999992</v>
      </c>
      <c r="AI71" s="127">
        <f t="shared" si="18"/>
        <v>74.3</v>
      </c>
      <c r="AJ71" s="37">
        <f t="shared" si="5"/>
        <v>743</v>
      </c>
      <c r="AK71" s="37">
        <f t="shared" si="19"/>
        <v>2147</v>
      </c>
      <c r="AL71" s="37">
        <f t="shared" si="7"/>
        <v>65.060606060606062</v>
      </c>
      <c r="AN71" s="37" t="str">
        <f t="shared" si="6"/>
        <v>Parcel</v>
      </c>
      <c r="AO71" s="194">
        <f t="shared" si="20"/>
        <v>2</v>
      </c>
    </row>
    <row r="72" spans="22:41" x14ac:dyDescent="0.2">
      <c r="V72" s="181">
        <f t="shared" si="8"/>
        <v>17</v>
      </c>
      <c r="W72" s="181">
        <f t="shared" si="9"/>
        <v>34</v>
      </c>
      <c r="X72" s="181">
        <f t="shared" si="10"/>
        <v>1</v>
      </c>
      <c r="Y72" s="37">
        <f t="shared" si="11"/>
        <v>1917.1</v>
      </c>
      <c r="Z72" s="181">
        <f t="shared" si="12"/>
        <v>215</v>
      </c>
      <c r="AA72" s="127">
        <f t="shared" si="13"/>
        <v>595.21331999999995</v>
      </c>
      <c r="AB72" s="127">
        <f t="shared" si="14"/>
        <v>595.21331999999995</v>
      </c>
      <c r="AC72" s="37">
        <f t="shared" si="2"/>
        <v>3971.2799199999999</v>
      </c>
      <c r="AD72" s="37">
        <f t="shared" si="15"/>
        <v>5888.3799199999994</v>
      </c>
      <c r="AE72" s="181">
        <f t="shared" si="3"/>
        <v>2</v>
      </c>
      <c r="AF72" s="37">
        <f t="shared" si="16"/>
        <v>1404</v>
      </c>
      <c r="AG72" s="181">
        <f t="shared" si="4"/>
        <v>74.8</v>
      </c>
      <c r="AH72" s="111">
        <f t="shared" si="17"/>
        <v>55.289951999999992</v>
      </c>
      <c r="AI72" s="127">
        <f t="shared" si="18"/>
        <v>74.8</v>
      </c>
      <c r="AJ72" s="37">
        <f t="shared" si="5"/>
        <v>748</v>
      </c>
      <c r="AK72" s="37">
        <f t="shared" si="19"/>
        <v>2152</v>
      </c>
      <c r="AL72" s="37">
        <f t="shared" si="7"/>
        <v>63.294117647058826</v>
      </c>
      <c r="AN72" s="37" t="str">
        <f t="shared" si="6"/>
        <v>Parcel</v>
      </c>
      <c r="AO72" s="194">
        <f t="shared" si="20"/>
        <v>2</v>
      </c>
    </row>
    <row r="73" spans="22:41" x14ac:dyDescent="0.2">
      <c r="V73" s="181">
        <f t="shared" si="8"/>
        <v>17.5</v>
      </c>
      <c r="W73" s="181">
        <f t="shared" si="9"/>
        <v>35</v>
      </c>
      <c r="X73" s="181">
        <f t="shared" si="10"/>
        <v>1</v>
      </c>
      <c r="Y73" s="37">
        <f t="shared" si="11"/>
        <v>1917.1</v>
      </c>
      <c r="Z73" s="181">
        <f t="shared" si="12"/>
        <v>215.5</v>
      </c>
      <c r="AA73" s="127">
        <f t="shared" si="13"/>
        <v>595.21331999999995</v>
      </c>
      <c r="AB73" s="127">
        <f t="shared" si="14"/>
        <v>595.21331999999995</v>
      </c>
      <c r="AC73" s="37">
        <f t="shared" si="2"/>
        <v>3971.2799199999999</v>
      </c>
      <c r="AD73" s="37">
        <f t="shared" si="15"/>
        <v>5888.3799199999994</v>
      </c>
      <c r="AE73" s="181">
        <f t="shared" si="3"/>
        <v>2</v>
      </c>
      <c r="AF73" s="37">
        <f t="shared" si="16"/>
        <v>1404</v>
      </c>
      <c r="AG73" s="181">
        <f t="shared" si="4"/>
        <v>75.3</v>
      </c>
      <c r="AH73" s="111">
        <f t="shared" si="17"/>
        <v>55.289951999999992</v>
      </c>
      <c r="AI73" s="127">
        <f t="shared" si="18"/>
        <v>75.3</v>
      </c>
      <c r="AJ73" s="37">
        <f t="shared" si="5"/>
        <v>753</v>
      </c>
      <c r="AK73" s="37">
        <f t="shared" si="19"/>
        <v>2157</v>
      </c>
      <c r="AL73" s="37">
        <f t="shared" si="7"/>
        <v>61.628571428571426</v>
      </c>
      <c r="AN73" s="37" t="str">
        <f t="shared" si="6"/>
        <v>Parcel</v>
      </c>
      <c r="AO73" s="194">
        <f t="shared" si="20"/>
        <v>2</v>
      </c>
    </row>
    <row r="74" spans="22:41" x14ac:dyDescent="0.2">
      <c r="V74" s="181">
        <f t="shared" si="8"/>
        <v>18</v>
      </c>
      <c r="W74" s="181">
        <f t="shared" si="9"/>
        <v>36</v>
      </c>
      <c r="X74" s="181">
        <f t="shared" si="10"/>
        <v>1</v>
      </c>
      <c r="Y74" s="37">
        <f t="shared" si="11"/>
        <v>1917.1</v>
      </c>
      <c r="Z74" s="181">
        <f t="shared" si="12"/>
        <v>216</v>
      </c>
      <c r="AA74" s="127">
        <f t="shared" si="13"/>
        <v>595.21331999999995</v>
      </c>
      <c r="AB74" s="127">
        <f t="shared" si="14"/>
        <v>595.21331999999995</v>
      </c>
      <c r="AC74" s="37">
        <f t="shared" si="2"/>
        <v>3971.2799199999999</v>
      </c>
      <c r="AD74" s="37">
        <f t="shared" si="15"/>
        <v>5888.3799199999994</v>
      </c>
      <c r="AE74" s="181">
        <f t="shared" si="3"/>
        <v>2</v>
      </c>
      <c r="AF74" s="37">
        <f t="shared" si="16"/>
        <v>1404</v>
      </c>
      <c r="AG74" s="181">
        <f t="shared" si="4"/>
        <v>75.8</v>
      </c>
      <c r="AH74" s="111">
        <f t="shared" si="17"/>
        <v>55.289951999999992</v>
      </c>
      <c r="AI74" s="127">
        <f t="shared" si="18"/>
        <v>75.8</v>
      </c>
      <c r="AJ74" s="37">
        <f t="shared" si="5"/>
        <v>758</v>
      </c>
      <c r="AK74" s="37">
        <f t="shared" si="19"/>
        <v>2162</v>
      </c>
      <c r="AL74" s="37">
        <f t="shared" si="7"/>
        <v>60.055555555555557</v>
      </c>
      <c r="AN74" s="37" t="str">
        <f t="shared" si="6"/>
        <v>Parcel</v>
      </c>
      <c r="AO74" s="194">
        <f t="shared" si="20"/>
        <v>2</v>
      </c>
    </row>
    <row r="75" spans="22:41" x14ac:dyDescent="0.2">
      <c r="V75" s="181">
        <f t="shared" si="8"/>
        <v>18.5</v>
      </c>
      <c r="W75" s="181">
        <f t="shared" si="9"/>
        <v>37</v>
      </c>
      <c r="X75" s="181">
        <f t="shared" si="10"/>
        <v>1</v>
      </c>
      <c r="Y75" s="37">
        <f t="shared" si="11"/>
        <v>1917.1</v>
      </c>
      <c r="Z75" s="181">
        <f t="shared" si="12"/>
        <v>216.5</v>
      </c>
      <c r="AA75" s="127">
        <f t="shared" si="13"/>
        <v>595.21331999999995</v>
      </c>
      <c r="AB75" s="127">
        <f t="shared" si="14"/>
        <v>595.21331999999995</v>
      </c>
      <c r="AC75" s="37">
        <f t="shared" si="2"/>
        <v>3971.2799199999999</v>
      </c>
      <c r="AD75" s="37">
        <f t="shared" si="15"/>
        <v>5888.3799199999994</v>
      </c>
      <c r="AE75" s="181">
        <f t="shared" si="3"/>
        <v>2</v>
      </c>
      <c r="AF75" s="37">
        <f t="shared" si="16"/>
        <v>1404</v>
      </c>
      <c r="AG75" s="181">
        <f t="shared" si="4"/>
        <v>76.3</v>
      </c>
      <c r="AH75" s="111">
        <f t="shared" si="17"/>
        <v>55.289951999999992</v>
      </c>
      <c r="AI75" s="127">
        <f t="shared" si="18"/>
        <v>76.3</v>
      </c>
      <c r="AJ75" s="37">
        <f t="shared" si="5"/>
        <v>763</v>
      </c>
      <c r="AK75" s="37">
        <f t="shared" si="19"/>
        <v>2167</v>
      </c>
      <c r="AL75" s="37">
        <f t="shared" si="7"/>
        <v>58.567567567567565</v>
      </c>
      <c r="AN75" s="37" t="str">
        <f t="shared" si="6"/>
        <v>Parcel</v>
      </c>
      <c r="AO75" s="194">
        <f t="shared" si="20"/>
        <v>2</v>
      </c>
    </row>
    <row r="76" spans="22:41" x14ac:dyDescent="0.2">
      <c r="V76" s="181">
        <f t="shared" si="8"/>
        <v>19</v>
      </c>
      <c r="W76" s="181">
        <f t="shared" si="9"/>
        <v>38</v>
      </c>
      <c r="X76" s="181">
        <f t="shared" si="10"/>
        <v>1</v>
      </c>
      <c r="Y76" s="37">
        <f t="shared" si="11"/>
        <v>1917.1</v>
      </c>
      <c r="Z76" s="181">
        <f t="shared" si="12"/>
        <v>217</v>
      </c>
      <c r="AA76" s="127">
        <f t="shared" si="13"/>
        <v>595.21331999999995</v>
      </c>
      <c r="AB76" s="127">
        <f t="shared" si="14"/>
        <v>595.21331999999995</v>
      </c>
      <c r="AC76" s="37">
        <f t="shared" si="2"/>
        <v>3971.2799199999999</v>
      </c>
      <c r="AD76" s="37">
        <f t="shared" si="15"/>
        <v>5888.3799199999994</v>
      </c>
      <c r="AE76" s="181">
        <f t="shared" si="3"/>
        <v>2</v>
      </c>
      <c r="AF76" s="37">
        <f t="shared" si="16"/>
        <v>1404</v>
      </c>
      <c r="AG76" s="181">
        <f t="shared" si="4"/>
        <v>76.8</v>
      </c>
      <c r="AH76" s="111">
        <f t="shared" si="17"/>
        <v>55.289951999999992</v>
      </c>
      <c r="AI76" s="127">
        <f t="shared" si="18"/>
        <v>76.8</v>
      </c>
      <c r="AJ76" s="37">
        <f t="shared" si="5"/>
        <v>768</v>
      </c>
      <c r="AK76" s="37">
        <f t="shared" si="19"/>
        <v>2172</v>
      </c>
      <c r="AL76" s="37">
        <f t="shared" si="7"/>
        <v>57.157894736842103</v>
      </c>
      <c r="AN76" s="37" t="str">
        <f t="shared" si="6"/>
        <v>Parcel</v>
      </c>
      <c r="AO76" s="194">
        <f t="shared" si="20"/>
        <v>2</v>
      </c>
    </row>
    <row r="77" spans="22:41" x14ac:dyDescent="0.2">
      <c r="V77" s="181">
        <f t="shared" si="8"/>
        <v>19.5</v>
      </c>
      <c r="W77" s="181">
        <f t="shared" si="9"/>
        <v>39</v>
      </c>
      <c r="X77" s="181">
        <f t="shared" si="10"/>
        <v>1</v>
      </c>
      <c r="Y77" s="37">
        <f t="shared" si="11"/>
        <v>1917.1</v>
      </c>
      <c r="Z77" s="181">
        <f t="shared" si="12"/>
        <v>217.5</v>
      </c>
      <c r="AA77" s="127">
        <f t="shared" si="13"/>
        <v>595.21331999999995</v>
      </c>
      <c r="AB77" s="127">
        <f t="shared" si="14"/>
        <v>595.21331999999995</v>
      </c>
      <c r="AC77" s="37">
        <f t="shared" si="2"/>
        <v>3971.2799199999999</v>
      </c>
      <c r="AD77" s="37">
        <f t="shared" si="15"/>
        <v>5888.3799199999994</v>
      </c>
      <c r="AE77" s="181">
        <f t="shared" si="3"/>
        <v>2</v>
      </c>
      <c r="AF77" s="37">
        <f t="shared" si="16"/>
        <v>1404</v>
      </c>
      <c r="AG77" s="181">
        <f t="shared" si="4"/>
        <v>77.3</v>
      </c>
      <c r="AH77" s="111">
        <f t="shared" si="17"/>
        <v>55.289951999999992</v>
      </c>
      <c r="AI77" s="127">
        <f t="shared" si="18"/>
        <v>77.3</v>
      </c>
      <c r="AJ77" s="37">
        <f t="shared" si="5"/>
        <v>773</v>
      </c>
      <c r="AK77" s="37">
        <f t="shared" si="19"/>
        <v>2177</v>
      </c>
      <c r="AL77" s="37">
        <f t="shared" si="7"/>
        <v>55.820512820512818</v>
      </c>
      <c r="AN77" s="37" t="str">
        <f t="shared" si="6"/>
        <v>Parcel</v>
      </c>
      <c r="AO77" s="194">
        <f t="shared" si="20"/>
        <v>2</v>
      </c>
    </row>
    <row r="78" spans="22:41" x14ac:dyDescent="0.2">
      <c r="V78" s="181">
        <f t="shared" si="8"/>
        <v>20</v>
      </c>
      <c r="W78" s="181">
        <f t="shared" si="9"/>
        <v>40</v>
      </c>
      <c r="X78" s="181">
        <f t="shared" si="10"/>
        <v>1</v>
      </c>
      <c r="Y78" s="37">
        <f t="shared" si="11"/>
        <v>1917.1</v>
      </c>
      <c r="Z78" s="181">
        <f t="shared" si="12"/>
        <v>218</v>
      </c>
      <c r="AA78" s="127">
        <f t="shared" si="13"/>
        <v>595.21331999999995</v>
      </c>
      <c r="AB78" s="127">
        <f t="shared" si="14"/>
        <v>595.21331999999995</v>
      </c>
      <c r="AC78" s="37">
        <f t="shared" si="2"/>
        <v>3971.2799199999999</v>
      </c>
      <c r="AD78" s="37">
        <f t="shared" si="15"/>
        <v>5888.3799199999994</v>
      </c>
      <c r="AE78" s="181">
        <f t="shared" si="3"/>
        <v>2</v>
      </c>
      <c r="AF78" s="37">
        <f t="shared" si="16"/>
        <v>1404</v>
      </c>
      <c r="AG78" s="181">
        <f t="shared" si="4"/>
        <v>77.8</v>
      </c>
      <c r="AH78" s="111">
        <f t="shared" si="17"/>
        <v>55.289951999999992</v>
      </c>
      <c r="AI78" s="127">
        <f t="shared" si="18"/>
        <v>77.8</v>
      </c>
      <c r="AJ78" s="37">
        <f t="shared" si="5"/>
        <v>778</v>
      </c>
      <c r="AK78" s="37">
        <f t="shared" si="19"/>
        <v>2182</v>
      </c>
      <c r="AL78" s="37">
        <f t="shared" si="7"/>
        <v>54.55</v>
      </c>
      <c r="AN78" s="37" t="str">
        <f t="shared" si="6"/>
        <v>Parcel</v>
      </c>
      <c r="AO78" s="194">
        <f t="shared" si="20"/>
        <v>2</v>
      </c>
    </row>
    <row r="79" spans="22:41" x14ac:dyDescent="0.2">
      <c r="V79" s="181">
        <f t="shared" si="8"/>
        <v>20.5</v>
      </c>
      <c r="W79" s="181">
        <f t="shared" si="9"/>
        <v>41</v>
      </c>
      <c r="X79" s="181">
        <f t="shared" si="10"/>
        <v>1</v>
      </c>
      <c r="Y79" s="37">
        <f t="shared" si="11"/>
        <v>1917.1</v>
      </c>
      <c r="Z79" s="181">
        <f t="shared" si="12"/>
        <v>218.5</v>
      </c>
      <c r="AA79" s="127">
        <f t="shared" si="13"/>
        <v>595.21331999999995</v>
      </c>
      <c r="AB79" s="127">
        <f t="shared" si="14"/>
        <v>595.21331999999995</v>
      </c>
      <c r="AC79" s="37">
        <f t="shared" si="2"/>
        <v>3971.2799199999999</v>
      </c>
      <c r="AD79" s="37">
        <f t="shared" si="15"/>
        <v>5888.3799199999994</v>
      </c>
      <c r="AE79" s="181">
        <f t="shared" si="3"/>
        <v>2</v>
      </c>
      <c r="AF79" s="37">
        <f t="shared" si="16"/>
        <v>1404</v>
      </c>
      <c r="AG79" s="181">
        <f t="shared" si="4"/>
        <v>78.3</v>
      </c>
      <c r="AH79" s="111">
        <f t="shared" si="17"/>
        <v>55.289951999999992</v>
      </c>
      <c r="AI79" s="127">
        <f t="shared" si="18"/>
        <v>78.3</v>
      </c>
      <c r="AJ79" s="37">
        <f t="shared" si="5"/>
        <v>783</v>
      </c>
      <c r="AK79" s="37">
        <f t="shared" si="19"/>
        <v>2187</v>
      </c>
      <c r="AL79" s="37">
        <f t="shared" si="7"/>
        <v>53.341463414634148</v>
      </c>
      <c r="AN79" s="37" t="str">
        <f t="shared" si="6"/>
        <v>Parcel</v>
      </c>
      <c r="AO79" s="194">
        <f t="shared" si="20"/>
        <v>2</v>
      </c>
    </row>
    <row r="80" spans="22:41" x14ac:dyDescent="0.2">
      <c r="V80" s="181">
        <f t="shared" si="8"/>
        <v>21</v>
      </c>
      <c r="W80" s="181">
        <f t="shared" si="9"/>
        <v>42</v>
      </c>
      <c r="X80" s="181">
        <f t="shared" si="10"/>
        <v>1</v>
      </c>
      <c r="Y80" s="37">
        <f t="shared" si="11"/>
        <v>1917.1</v>
      </c>
      <c r="Z80" s="181">
        <f t="shared" si="12"/>
        <v>219</v>
      </c>
      <c r="AA80" s="127">
        <f t="shared" si="13"/>
        <v>595.21331999999995</v>
      </c>
      <c r="AB80" s="127">
        <f t="shared" si="14"/>
        <v>595.21331999999995</v>
      </c>
      <c r="AC80" s="37">
        <f t="shared" si="2"/>
        <v>3971.2799199999999</v>
      </c>
      <c r="AD80" s="37">
        <f t="shared" si="15"/>
        <v>5888.3799199999994</v>
      </c>
      <c r="AE80" s="181">
        <f t="shared" si="3"/>
        <v>2</v>
      </c>
      <c r="AF80" s="37">
        <f t="shared" si="16"/>
        <v>1404</v>
      </c>
      <c r="AG80" s="181">
        <f t="shared" si="4"/>
        <v>78.8</v>
      </c>
      <c r="AH80" s="111">
        <f t="shared" si="17"/>
        <v>55.289951999999992</v>
      </c>
      <c r="AI80" s="127">
        <f t="shared" si="18"/>
        <v>78.8</v>
      </c>
      <c r="AJ80" s="37">
        <f t="shared" si="5"/>
        <v>788</v>
      </c>
      <c r="AK80" s="37">
        <f t="shared" si="19"/>
        <v>2192</v>
      </c>
      <c r="AL80" s="37">
        <f t="shared" si="7"/>
        <v>52.19047619047619</v>
      </c>
      <c r="AN80" s="37" t="str">
        <f t="shared" si="6"/>
        <v>Parcel</v>
      </c>
      <c r="AO80" s="194">
        <f t="shared" si="20"/>
        <v>2</v>
      </c>
    </row>
    <row r="81" spans="22:41" x14ac:dyDescent="0.2">
      <c r="V81" s="181">
        <f t="shared" si="8"/>
        <v>21.5</v>
      </c>
      <c r="W81" s="181">
        <f t="shared" si="9"/>
        <v>43</v>
      </c>
      <c r="X81" s="181">
        <f t="shared" si="10"/>
        <v>1</v>
      </c>
      <c r="Y81" s="37">
        <f t="shared" si="11"/>
        <v>1917.1</v>
      </c>
      <c r="Z81" s="181">
        <f t="shared" si="12"/>
        <v>219.5</v>
      </c>
      <c r="AA81" s="127">
        <f t="shared" si="13"/>
        <v>595.21331999999995</v>
      </c>
      <c r="AB81" s="127">
        <f t="shared" si="14"/>
        <v>595.21331999999995</v>
      </c>
      <c r="AC81" s="37">
        <f t="shared" si="2"/>
        <v>3971.2799199999999</v>
      </c>
      <c r="AD81" s="37">
        <f t="shared" si="15"/>
        <v>5888.3799199999994</v>
      </c>
      <c r="AE81" s="181">
        <f t="shared" si="3"/>
        <v>2</v>
      </c>
      <c r="AF81" s="37">
        <f t="shared" si="16"/>
        <v>1404</v>
      </c>
      <c r="AG81" s="181">
        <f t="shared" si="4"/>
        <v>79.3</v>
      </c>
      <c r="AH81" s="111">
        <f t="shared" si="17"/>
        <v>55.289951999999992</v>
      </c>
      <c r="AI81" s="127">
        <f t="shared" si="18"/>
        <v>79.3</v>
      </c>
      <c r="AJ81" s="37">
        <f t="shared" si="5"/>
        <v>793</v>
      </c>
      <c r="AK81" s="37">
        <f t="shared" si="19"/>
        <v>2197</v>
      </c>
      <c r="AL81" s="37">
        <f t="shared" si="7"/>
        <v>51.093023255813954</v>
      </c>
      <c r="AN81" s="37" t="str">
        <f t="shared" si="6"/>
        <v>Parcel</v>
      </c>
      <c r="AO81" s="194">
        <f t="shared" si="20"/>
        <v>2</v>
      </c>
    </row>
    <row r="82" spans="22:41" x14ac:dyDescent="0.2">
      <c r="V82" s="181">
        <f t="shared" si="8"/>
        <v>22</v>
      </c>
      <c r="W82" s="181">
        <f t="shared" si="9"/>
        <v>44</v>
      </c>
      <c r="X82" s="181">
        <f t="shared" si="10"/>
        <v>1</v>
      </c>
      <c r="Y82" s="37">
        <f t="shared" si="11"/>
        <v>1917.1</v>
      </c>
      <c r="Z82" s="181">
        <f t="shared" si="12"/>
        <v>220</v>
      </c>
      <c r="AA82" s="127">
        <f t="shared" si="13"/>
        <v>595.21331999999995</v>
      </c>
      <c r="AB82" s="127">
        <f t="shared" si="14"/>
        <v>595.21331999999995</v>
      </c>
      <c r="AC82" s="37">
        <f t="shared" si="2"/>
        <v>3971.2799199999999</v>
      </c>
      <c r="AD82" s="37">
        <f t="shared" si="15"/>
        <v>5888.3799199999994</v>
      </c>
      <c r="AE82" s="181">
        <f t="shared" si="3"/>
        <v>2</v>
      </c>
      <c r="AF82" s="37">
        <f t="shared" si="16"/>
        <v>1404</v>
      </c>
      <c r="AG82" s="181">
        <f t="shared" si="4"/>
        <v>79.8</v>
      </c>
      <c r="AH82" s="111">
        <f t="shared" si="17"/>
        <v>55.289951999999992</v>
      </c>
      <c r="AI82" s="127">
        <f t="shared" si="18"/>
        <v>79.8</v>
      </c>
      <c r="AJ82" s="37">
        <f t="shared" si="5"/>
        <v>798</v>
      </c>
      <c r="AK82" s="37">
        <f t="shared" si="19"/>
        <v>2202</v>
      </c>
      <c r="AL82" s="37">
        <f t="shared" si="7"/>
        <v>50.045454545454547</v>
      </c>
      <c r="AN82" s="37" t="str">
        <f t="shared" si="6"/>
        <v>Parcel</v>
      </c>
      <c r="AO82" s="194">
        <f t="shared" si="20"/>
        <v>2</v>
      </c>
    </row>
    <row r="83" spans="22:41" x14ac:dyDescent="0.2">
      <c r="V83" s="181">
        <f t="shared" si="8"/>
        <v>22.5</v>
      </c>
      <c r="W83" s="181">
        <f t="shared" si="9"/>
        <v>45</v>
      </c>
      <c r="X83" s="181">
        <f t="shared" si="10"/>
        <v>1</v>
      </c>
      <c r="Y83" s="37">
        <f t="shared" si="11"/>
        <v>1917.1</v>
      </c>
      <c r="Z83" s="181">
        <f t="shared" si="12"/>
        <v>220.5</v>
      </c>
      <c r="AA83" s="127">
        <f t="shared" si="13"/>
        <v>595.21331999999995</v>
      </c>
      <c r="AB83" s="127">
        <f t="shared" si="14"/>
        <v>595.21331999999995</v>
      </c>
      <c r="AC83" s="37">
        <f t="shared" si="2"/>
        <v>3971.2799199999999</v>
      </c>
      <c r="AD83" s="37">
        <f t="shared" si="15"/>
        <v>5888.3799199999994</v>
      </c>
      <c r="AE83" s="181">
        <f t="shared" si="3"/>
        <v>2</v>
      </c>
      <c r="AF83" s="37">
        <f t="shared" si="16"/>
        <v>1404</v>
      </c>
      <c r="AG83" s="181">
        <f t="shared" si="4"/>
        <v>80.3</v>
      </c>
      <c r="AH83" s="111">
        <f t="shared" si="17"/>
        <v>55.289951999999992</v>
      </c>
      <c r="AI83" s="127">
        <f t="shared" si="18"/>
        <v>80.3</v>
      </c>
      <c r="AJ83" s="37">
        <f t="shared" si="5"/>
        <v>803</v>
      </c>
      <c r="AK83" s="37">
        <f t="shared" si="19"/>
        <v>2207</v>
      </c>
      <c r="AL83" s="37">
        <f t="shared" si="7"/>
        <v>49.044444444444444</v>
      </c>
      <c r="AN83" s="37" t="str">
        <f t="shared" si="6"/>
        <v>Parcel</v>
      </c>
      <c r="AO83" s="194">
        <f t="shared" si="20"/>
        <v>2</v>
      </c>
    </row>
    <row r="84" spans="22:41" x14ac:dyDescent="0.2">
      <c r="V84" s="181">
        <f t="shared" si="8"/>
        <v>23</v>
      </c>
      <c r="W84" s="181">
        <f t="shared" si="9"/>
        <v>46</v>
      </c>
      <c r="X84" s="181">
        <f t="shared" si="10"/>
        <v>1</v>
      </c>
      <c r="Y84" s="37">
        <f t="shared" si="11"/>
        <v>1917.1</v>
      </c>
      <c r="Z84" s="181">
        <f t="shared" si="12"/>
        <v>221</v>
      </c>
      <c r="AA84" s="127">
        <f t="shared" si="13"/>
        <v>595.21331999999995</v>
      </c>
      <c r="AB84" s="127">
        <f t="shared" si="14"/>
        <v>595.21331999999995</v>
      </c>
      <c r="AC84" s="37">
        <f t="shared" si="2"/>
        <v>3971.2799199999999</v>
      </c>
      <c r="AD84" s="37">
        <f t="shared" si="15"/>
        <v>5888.3799199999994</v>
      </c>
      <c r="AE84" s="181">
        <f t="shared" si="3"/>
        <v>2</v>
      </c>
      <c r="AF84" s="37">
        <f t="shared" si="16"/>
        <v>1404</v>
      </c>
      <c r="AG84" s="181">
        <f t="shared" si="4"/>
        <v>80.8</v>
      </c>
      <c r="AH84" s="111">
        <f t="shared" si="17"/>
        <v>55.289951999999992</v>
      </c>
      <c r="AI84" s="127">
        <f t="shared" si="18"/>
        <v>80.8</v>
      </c>
      <c r="AJ84" s="37">
        <f t="shared" si="5"/>
        <v>808</v>
      </c>
      <c r="AK84" s="37">
        <f t="shared" si="19"/>
        <v>2212</v>
      </c>
      <c r="AL84" s="37">
        <f t="shared" si="7"/>
        <v>48.086956521739133</v>
      </c>
      <c r="AN84" s="37" t="str">
        <f t="shared" si="6"/>
        <v>Parcel</v>
      </c>
      <c r="AO84" s="194">
        <f t="shared" si="20"/>
        <v>2</v>
      </c>
    </row>
    <row r="85" spans="22:41" x14ac:dyDescent="0.2">
      <c r="V85" s="181">
        <f t="shared" si="8"/>
        <v>23.5</v>
      </c>
      <c r="W85" s="181">
        <f t="shared" si="9"/>
        <v>47</v>
      </c>
      <c r="X85" s="181">
        <f t="shared" si="10"/>
        <v>1</v>
      </c>
      <c r="Y85" s="37">
        <f t="shared" si="11"/>
        <v>1917.1</v>
      </c>
      <c r="Z85" s="181">
        <f t="shared" si="12"/>
        <v>221.5</v>
      </c>
      <c r="AA85" s="127">
        <f t="shared" si="13"/>
        <v>595.21331999999995</v>
      </c>
      <c r="AB85" s="127">
        <f t="shared" si="14"/>
        <v>595.21331999999995</v>
      </c>
      <c r="AC85" s="37">
        <f t="shared" si="2"/>
        <v>3971.2799199999999</v>
      </c>
      <c r="AD85" s="37">
        <f t="shared" si="15"/>
        <v>5888.3799199999994</v>
      </c>
      <c r="AE85" s="181">
        <f t="shared" si="3"/>
        <v>2</v>
      </c>
      <c r="AF85" s="37">
        <f t="shared" si="16"/>
        <v>1404</v>
      </c>
      <c r="AG85" s="181">
        <f t="shared" si="4"/>
        <v>81.3</v>
      </c>
      <c r="AH85" s="111">
        <f t="shared" si="17"/>
        <v>55.289951999999992</v>
      </c>
      <c r="AI85" s="127">
        <f t="shared" si="18"/>
        <v>81.3</v>
      </c>
      <c r="AJ85" s="37">
        <f t="shared" si="5"/>
        <v>813</v>
      </c>
      <c r="AK85" s="37">
        <f t="shared" si="19"/>
        <v>2217</v>
      </c>
      <c r="AL85" s="37">
        <f t="shared" si="7"/>
        <v>47.170212765957444</v>
      </c>
      <c r="AN85" s="37" t="str">
        <f t="shared" si="6"/>
        <v>Parcel</v>
      </c>
      <c r="AO85" s="194">
        <f t="shared" si="20"/>
        <v>2</v>
      </c>
    </row>
    <row r="86" spans="22:41" x14ac:dyDescent="0.2">
      <c r="V86" s="181">
        <f t="shared" si="8"/>
        <v>24</v>
      </c>
      <c r="W86" s="181">
        <f t="shared" si="9"/>
        <v>48</v>
      </c>
      <c r="X86" s="181">
        <f t="shared" si="10"/>
        <v>1</v>
      </c>
      <c r="Y86" s="37">
        <f t="shared" si="11"/>
        <v>1917.1</v>
      </c>
      <c r="Z86" s="181">
        <f t="shared" si="12"/>
        <v>222</v>
      </c>
      <c r="AA86" s="127">
        <f t="shared" si="13"/>
        <v>595.21331999999995</v>
      </c>
      <c r="AB86" s="127">
        <f t="shared" si="14"/>
        <v>595.21331999999995</v>
      </c>
      <c r="AC86" s="37">
        <f t="shared" si="2"/>
        <v>3971.2799199999999</v>
      </c>
      <c r="AD86" s="37">
        <f t="shared" si="15"/>
        <v>5888.3799199999994</v>
      </c>
      <c r="AE86" s="181">
        <f t="shared" si="3"/>
        <v>2</v>
      </c>
      <c r="AF86" s="37">
        <f t="shared" si="16"/>
        <v>1404</v>
      </c>
      <c r="AG86" s="181">
        <f t="shared" si="4"/>
        <v>81.8</v>
      </c>
      <c r="AH86" s="111">
        <f t="shared" si="17"/>
        <v>55.289951999999992</v>
      </c>
      <c r="AI86" s="127">
        <f t="shared" si="18"/>
        <v>81.8</v>
      </c>
      <c r="AJ86" s="37">
        <f t="shared" si="5"/>
        <v>818</v>
      </c>
      <c r="AK86" s="37">
        <f t="shared" si="19"/>
        <v>2222</v>
      </c>
      <c r="AL86" s="37">
        <f t="shared" si="7"/>
        <v>46.291666666666664</v>
      </c>
      <c r="AN86" s="37" t="str">
        <f t="shared" si="6"/>
        <v>Parcel</v>
      </c>
      <c r="AO86" s="194">
        <f t="shared" si="20"/>
        <v>2</v>
      </c>
    </row>
    <row r="87" spans="22:41" x14ac:dyDescent="0.2">
      <c r="V87" s="181">
        <f t="shared" si="8"/>
        <v>24.5</v>
      </c>
      <c r="W87" s="181">
        <f t="shared" si="9"/>
        <v>49</v>
      </c>
      <c r="X87" s="181">
        <f t="shared" si="10"/>
        <v>1</v>
      </c>
      <c r="Y87" s="37">
        <f t="shared" si="11"/>
        <v>1917.1</v>
      </c>
      <c r="Z87" s="181">
        <f t="shared" si="12"/>
        <v>222.5</v>
      </c>
      <c r="AA87" s="127">
        <f t="shared" si="13"/>
        <v>595.21331999999995</v>
      </c>
      <c r="AB87" s="127">
        <f t="shared" si="14"/>
        <v>595.21331999999995</v>
      </c>
      <c r="AC87" s="37">
        <f t="shared" si="2"/>
        <v>3971.2799199999999</v>
      </c>
      <c r="AD87" s="37">
        <f t="shared" si="15"/>
        <v>5888.3799199999994</v>
      </c>
      <c r="AE87" s="181">
        <f t="shared" si="3"/>
        <v>2</v>
      </c>
      <c r="AF87" s="37">
        <f t="shared" si="16"/>
        <v>1404</v>
      </c>
      <c r="AG87" s="181">
        <f t="shared" si="4"/>
        <v>82.3</v>
      </c>
      <c r="AH87" s="111">
        <f t="shared" si="17"/>
        <v>55.289951999999992</v>
      </c>
      <c r="AI87" s="127">
        <f t="shared" si="18"/>
        <v>82.3</v>
      </c>
      <c r="AJ87" s="37">
        <f t="shared" si="5"/>
        <v>823</v>
      </c>
      <c r="AK87" s="37">
        <f t="shared" si="19"/>
        <v>2227</v>
      </c>
      <c r="AL87" s="37">
        <f t="shared" si="7"/>
        <v>45.448979591836732</v>
      </c>
      <c r="AN87" s="37" t="str">
        <f t="shared" si="6"/>
        <v>Parcel</v>
      </c>
      <c r="AO87" s="194">
        <f t="shared" si="20"/>
        <v>2</v>
      </c>
    </row>
    <row r="88" spans="22:41" x14ac:dyDescent="0.2">
      <c r="V88" s="181">
        <f t="shared" si="8"/>
        <v>25</v>
      </c>
      <c r="W88" s="181">
        <f t="shared" si="9"/>
        <v>50</v>
      </c>
      <c r="X88" s="181">
        <f t="shared" si="10"/>
        <v>1</v>
      </c>
      <c r="Y88" s="37">
        <f t="shared" si="11"/>
        <v>1917.1</v>
      </c>
      <c r="Z88" s="181">
        <f t="shared" si="12"/>
        <v>223</v>
      </c>
      <c r="AA88" s="127">
        <f t="shared" si="13"/>
        <v>595.21331999999995</v>
      </c>
      <c r="AB88" s="127">
        <f t="shared" si="14"/>
        <v>595.21331999999995</v>
      </c>
      <c r="AC88" s="37">
        <f t="shared" si="2"/>
        <v>3971.2799199999999</v>
      </c>
      <c r="AD88" s="37">
        <f t="shared" si="15"/>
        <v>5888.3799199999994</v>
      </c>
      <c r="AE88" s="181">
        <f t="shared" si="3"/>
        <v>2</v>
      </c>
      <c r="AF88" s="37">
        <f t="shared" si="16"/>
        <v>1404</v>
      </c>
      <c r="AG88" s="181">
        <f t="shared" si="4"/>
        <v>82.8</v>
      </c>
      <c r="AH88" s="111">
        <f t="shared" si="17"/>
        <v>55.289951999999992</v>
      </c>
      <c r="AI88" s="127">
        <f t="shared" si="18"/>
        <v>82.8</v>
      </c>
      <c r="AJ88" s="37">
        <f t="shared" si="5"/>
        <v>828</v>
      </c>
      <c r="AK88" s="37">
        <f t="shared" si="19"/>
        <v>2232</v>
      </c>
      <c r="AL88" s="37">
        <f t="shared" si="7"/>
        <v>44.64</v>
      </c>
      <c r="AN88" s="37" t="str">
        <f t="shared" si="6"/>
        <v>Parcel</v>
      </c>
      <c r="AO88" s="194">
        <f t="shared" si="20"/>
        <v>2</v>
      </c>
    </row>
    <row r="89" spans="22:41" x14ac:dyDescent="0.2">
      <c r="V89" s="181">
        <f t="shared" si="8"/>
        <v>25.5</v>
      </c>
      <c r="W89" s="181">
        <f t="shared" si="9"/>
        <v>51</v>
      </c>
      <c r="X89" s="181">
        <f t="shared" si="10"/>
        <v>1</v>
      </c>
      <c r="Y89" s="37">
        <f t="shared" si="11"/>
        <v>1917.1</v>
      </c>
      <c r="Z89" s="181">
        <f t="shared" si="12"/>
        <v>223.5</v>
      </c>
      <c r="AA89" s="127">
        <f t="shared" si="13"/>
        <v>595.21331999999995</v>
      </c>
      <c r="AB89" s="127">
        <f t="shared" si="14"/>
        <v>595.21331999999995</v>
      </c>
      <c r="AC89" s="37">
        <f t="shared" si="2"/>
        <v>3971.2799199999999</v>
      </c>
      <c r="AD89" s="37">
        <f t="shared" si="15"/>
        <v>5888.3799199999994</v>
      </c>
      <c r="AE89" s="181">
        <f t="shared" si="3"/>
        <v>2</v>
      </c>
      <c r="AF89" s="37">
        <f t="shared" si="16"/>
        <v>1404</v>
      </c>
      <c r="AG89" s="181">
        <f t="shared" si="4"/>
        <v>83.3</v>
      </c>
      <c r="AH89" s="111">
        <f t="shared" si="17"/>
        <v>55.289951999999992</v>
      </c>
      <c r="AI89" s="127">
        <f t="shared" si="18"/>
        <v>83.3</v>
      </c>
      <c r="AJ89" s="37">
        <f t="shared" si="5"/>
        <v>833</v>
      </c>
      <c r="AK89" s="37">
        <f t="shared" si="19"/>
        <v>2237</v>
      </c>
      <c r="AL89" s="37">
        <f t="shared" si="7"/>
        <v>43.862745098039213</v>
      </c>
      <c r="AN89" s="37" t="str">
        <f t="shared" si="6"/>
        <v>Parcel</v>
      </c>
      <c r="AO89" s="194">
        <f t="shared" si="20"/>
        <v>2</v>
      </c>
    </row>
    <row r="90" spans="22:41" x14ac:dyDescent="0.2">
      <c r="V90" s="181">
        <f t="shared" si="8"/>
        <v>26</v>
      </c>
      <c r="W90" s="181">
        <f t="shared" si="9"/>
        <v>52</v>
      </c>
      <c r="X90" s="181">
        <f t="shared" si="10"/>
        <v>1</v>
      </c>
      <c r="Y90" s="37">
        <f t="shared" si="11"/>
        <v>1917.1</v>
      </c>
      <c r="Z90" s="181">
        <f t="shared" si="12"/>
        <v>224</v>
      </c>
      <c r="AA90" s="127">
        <f t="shared" si="13"/>
        <v>595.21331999999995</v>
      </c>
      <c r="AB90" s="127">
        <f t="shared" si="14"/>
        <v>595.21331999999995</v>
      </c>
      <c r="AC90" s="37">
        <f t="shared" si="2"/>
        <v>3971.2799199999999</v>
      </c>
      <c r="AD90" s="37">
        <f t="shared" si="15"/>
        <v>5888.3799199999994</v>
      </c>
      <c r="AE90" s="181">
        <f t="shared" si="3"/>
        <v>3</v>
      </c>
      <c r="AF90" s="37">
        <f t="shared" si="16"/>
        <v>2106</v>
      </c>
      <c r="AG90" s="181">
        <f t="shared" si="4"/>
        <v>112.69999999999999</v>
      </c>
      <c r="AH90" s="111">
        <f t="shared" si="17"/>
        <v>82.934927999999985</v>
      </c>
      <c r="AI90" s="127">
        <f t="shared" si="18"/>
        <v>112.69999999999999</v>
      </c>
      <c r="AJ90" s="37">
        <f t="shared" si="5"/>
        <v>1076.1999999999998</v>
      </c>
      <c r="AK90" s="37">
        <f t="shared" si="19"/>
        <v>3182.2</v>
      </c>
      <c r="AL90" s="37">
        <f t="shared" si="7"/>
        <v>61.196153846153841</v>
      </c>
      <c r="AN90" s="37" t="str">
        <f t="shared" si="6"/>
        <v>Parcel</v>
      </c>
      <c r="AO90" s="194">
        <f t="shared" si="20"/>
        <v>2</v>
      </c>
    </row>
    <row r="91" spans="22:41" x14ac:dyDescent="0.2">
      <c r="V91" s="181">
        <f t="shared" si="8"/>
        <v>26.5</v>
      </c>
      <c r="W91" s="181">
        <f t="shared" si="9"/>
        <v>53</v>
      </c>
      <c r="X91" s="181">
        <f t="shared" si="10"/>
        <v>1</v>
      </c>
      <c r="Y91" s="37">
        <f t="shared" si="11"/>
        <v>1917.1</v>
      </c>
      <c r="Z91" s="181">
        <f t="shared" si="12"/>
        <v>224.5</v>
      </c>
      <c r="AA91" s="127">
        <f t="shared" si="13"/>
        <v>595.21331999999995</v>
      </c>
      <c r="AB91" s="127">
        <f t="shared" si="14"/>
        <v>595.21331999999995</v>
      </c>
      <c r="AC91" s="37">
        <f t="shared" si="2"/>
        <v>3971.2799199999999</v>
      </c>
      <c r="AD91" s="37">
        <f t="shared" si="15"/>
        <v>5888.3799199999994</v>
      </c>
      <c r="AE91" s="181">
        <f t="shared" si="3"/>
        <v>3</v>
      </c>
      <c r="AF91" s="37">
        <f t="shared" si="16"/>
        <v>2106</v>
      </c>
      <c r="AG91" s="181">
        <f t="shared" si="4"/>
        <v>113.19999999999999</v>
      </c>
      <c r="AH91" s="111">
        <f t="shared" si="17"/>
        <v>82.934927999999985</v>
      </c>
      <c r="AI91" s="127">
        <f t="shared" si="18"/>
        <v>113.19999999999999</v>
      </c>
      <c r="AJ91" s="37">
        <f t="shared" si="5"/>
        <v>1079.1999999999998</v>
      </c>
      <c r="AK91" s="37">
        <f t="shared" si="19"/>
        <v>3185.2</v>
      </c>
      <c r="AL91" s="37">
        <f t="shared" si="7"/>
        <v>60.098113207547165</v>
      </c>
      <c r="AN91" s="37" t="str">
        <f t="shared" si="6"/>
        <v>Parcel</v>
      </c>
      <c r="AO91" s="194">
        <f t="shared" si="20"/>
        <v>3</v>
      </c>
    </row>
    <row r="92" spans="22:41" x14ac:dyDescent="0.2">
      <c r="V92" s="181">
        <f t="shared" si="8"/>
        <v>27</v>
      </c>
      <c r="W92" s="181">
        <f t="shared" si="9"/>
        <v>54</v>
      </c>
      <c r="X92" s="181">
        <f t="shared" si="10"/>
        <v>1</v>
      </c>
      <c r="Y92" s="37">
        <f t="shared" si="11"/>
        <v>1917.1</v>
      </c>
      <c r="Z92" s="181">
        <f t="shared" si="12"/>
        <v>225</v>
      </c>
      <c r="AA92" s="127">
        <f t="shared" si="13"/>
        <v>595.21331999999995</v>
      </c>
      <c r="AB92" s="127">
        <f t="shared" si="14"/>
        <v>595.21331999999995</v>
      </c>
      <c r="AC92" s="37">
        <f t="shared" si="2"/>
        <v>3971.2799199999999</v>
      </c>
      <c r="AD92" s="37">
        <f t="shared" si="15"/>
        <v>5888.3799199999994</v>
      </c>
      <c r="AE92" s="181">
        <f t="shared" si="3"/>
        <v>3</v>
      </c>
      <c r="AF92" s="37">
        <f t="shared" si="16"/>
        <v>2106</v>
      </c>
      <c r="AG92" s="181">
        <f t="shared" si="4"/>
        <v>113.69999999999999</v>
      </c>
      <c r="AH92" s="111">
        <f t="shared" si="17"/>
        <v>82.934927999999985</v>
      </c>
      <c r="AI92" s="127">
        <f t="shared" si="18"/>
        <v>113.69999999999999</v>
      </c>
      <c r="AJ92" s="37">
        <f t="shared" si="5"/>
        <v>1082.1999999999998</v>
      </c>
      <c r="AK92" s="37">
        <f t="shared" si="19"/>
        <v>3188.2</v>
      </c>
      <c r="AL92" s="37">
        <f t="shared" si="7"/>
        <v>59.040740740740738</v>
      </c>
      <c r="AN92" s="37" t="str">
        <f t="shared" si="6"/>
        <v>Parcel</v>
      </c>
      <c r="AO92" s="194">
        <f t="shared" si="20"/>
        <v>3</v>
      </c>
    </row>
    <row r="93" spans="22:41" x14ac:dyDescent="0.2">
      <c r="V93" s="181">
        <f t="shared" si="8"/>
        <v>27.5</v>
      </c>
      <c r="W93" s="181">
        <f t="shared" si="9"/>
        <v>55</v>
      </c>
      <c r="X93" s="181">
        <f t="shared" si="10"/>
        <v>1</v>
      </c>
      <c r="Y93" s="37">
        <f t="shared" si="11"/>
        <v>1917.1</v>
      </c>
      <c r="Z93" s="181">
        <f t="shared" si="12"/>
        <v>225.5</v>
      </c>
      <c r="AA93" s="127">
        <f t="shared" si="13"/>
        <v>595.21331999999995</v>
      </c>
      <c r="AB93" s="127">
        <f t="shared" si="14"/>
        <v>595.21331999999995</v>
      </c>
      <c r="AC93" s="37">
        <f t="shared" si="2"/>
        <v>3971.2799199999999</v>
      </c>
      <c r="AD93" s="37">
        <f t="shared" si="15"/>
        <v>5888.3799199999994</v>
      </c>
      <c r="AE93" s="181">
        <f t="shared" si="3"/>
        <v>3</v>
      </c>
      <c r="AF93" s="37">
        <f t="shared" si="16"/>
        <v>2106</v>
      </c>
      <c r="AG93" s="181">
        <f t="shared" si="4"/>
        <v>114.19999999999999</v>
      </c>
      <c r="AH93" s="111">
        <f t="shared" si="17"/>
        <v>82.934927999999985</v>
      </c>
      <c r="AI93" s="127">
        <f t="shared" si="18"/>
        <v>114.19999999999999</v>
      </c>
      <c r="AJ93" s="37">
        <f t="shared" si="5"/>
        <v>1085.1999999999998</v>
      </c>
      <c r="AK93" s="37">
        <f t="shared" si="19"/>
        <v>3191.2</v>
      </c>
      <c r="AL93" s="37">
        <f t="shared" si="7"/>
        <v>58.021818181818176</v>
      </c>
      <c r="AN93" s="37" t="str">
        <f t="shared" si="6"/>
        <v>Parcel</v>
      </c>
      <c r="AO93" s="194">
        <f t="shared" si="20"/>
        <v>3</v>
      </c>
    </row>
    <row r="94" spans="22:41" x14ac:dyDescent="0.2">
      <c r="V94" s="181">
        <f t="shared" si="8"/>
        <v>28</v>
      </c>
      <c r="W94" s="181">
        <f t="shared" si="9"/>
        <v>56</v>
      </c>
      <c r="X94" s="181">
        <f t="shared" si="10"/>
        <v>1</v>
      </c>
      <c r="Y94" s="37">
        <f t="shared" si="11"/>
        <v>1917.1</v>
      </c>
      <c r="Z94" s="181">
        <f t="shared" si="12"/>
        <v>226</v>
      </c>
      <c r="AA94" s="127">
        <f t="shared" si="13"/>
        <v>595.21331999999995</v>
      </c>
      <c r="AB94" s="127">
        <f t="shared" si="14"/>
        <v>595.21331999999995</v>
      </c>
      <c r="AC94" s="37">
        <f t="shared" si="2"/>
        <v>3971.2799199999999</v>
      </c>
      <c r="AD94" s="37">
        <f t="shared" si="15"/>
        <v>5888.3799199999994</v>
      </c>
      <c r="AE94" s="181">
        <f t="shared" si="3"/>
        <v>3</v>
      </c>
      <c r="AF94" s="37">
        <f t="shared" si="16"/>
        <v>2106</v>
      </c>
      <c r="AG94" s="181">
        <f t="shared" si="4"/>
        <v>114.69999999999999</v>
      </c>
      <c r="AH94" s="111">
        <f t="shared" si="17"/>
        <v>82.934927999999985</v>
      </c>
      <c r="AI94" s="127">
        <f t="shared" si="18"/>
        <v>114.69999999999999</v>
      </c>
      <c r="AJ94" s="37">
        <f t="shared" si="5"/>
        <v>1088.1999999999998</v>
      </c>
      <c r="AK94" s="37">
        <f t="shared" si="19"/>
        <v>3194.2</v>
      </c>
      <c r="AL94" s="37">
        <f t="shared" si="7"/>
        <v>57.039285714285711</v>
      </c>
      <c r="AN94" s="37" t="str">
        <f t="shared" si="6"/>
        <v>Parcel</v>
      </c>
      <c r="AO94" s="194">
        <f t="shared" si="20"/>
        <v>3</v>
      </c>
    </row>
    <row r="95" spans="22:41" x14ac:dyDescent="0.2">
      <c r="V95" s="181">
        <f t="shared" si="8"/>
        <v>28.5</v>
      </c>
      <c r="W95" s="181">
        <f t="shared" si="9"/>
        <v>57</v>
      </c>
      <c r="X95" s="181">
        <f t="shared" si="10"/>
        <v>1</v>
      </c>
      <c r="Y95" s="37">
        <f t="shared" si="11"/>
        <v>1917.1</v>
      </c>
      <c r="Z95" s="181">
        <f t="shared" si="12"/>
        <v>226.5</v>
      </c>
      <c r="AA95" s="127">
        <f t="shared" si="13"/>
        <v>595.21331999999995</v>
      </c>
      <c r="AB95" s="127">
        <f t="shared" si="14"/>
        <v>595.21331999999995</v>
      </c>
      <c r="AC95" s="37">
        <f t="shared" si="2"/>
        <v>3971.2799199999999</v>
      </c>
      <c r="AD95" s="37">
        <f t="shared" si="15"/>
        <v>5888.3799199999994</v>
      </c>
      <c r="AE95" s="181">
        <f t="shared" si="3"/>
        <v>3</v>
      </c>
      <c r="AF95" s="37">
        <f t="shared" si="16"/>
        <v>2106</v>
      </c>
      <c r="AG95" s="181">
        <f t="shared" si="4"/>
        <v>115.19999999999999</v>
      </c>
      <c r="AH95" s="111">
        <f t="shared" si="17"/>
        <v>82.934927999999985</v>
      </c>
      <c r="AI95" s="127">
        <f t="shared" si="18"/>
        <v>115.19999999999999</v>
      </c>
      <c r="AJ95" s="37">
        <f t="shared" si="5"/>
        <v>1091.1999999999998</v>
      </c>
      <c r="AK95" s="37">
        <f t="shared" si="19"/>
        <v>3197.2</v>
      </c>
      <c r="AL95" s="37">
        <f t="shared" si="7"/>
        <v>56.091228070175433</v>
      </c>
      <c r="AN95" s="37" t="str">
        <f t="shared" si="6"/>
        <v>Parcel</v>
      </c>
      <c r="AO95" s="194">
        <f t="shared" si="20"/>
        <v>3</v>
      </c>
    </row>
    <row r="96" spans="22:41" x14ac:dyDescent="0.2">
      <c r="V96" s="181">
        <f t="shared" si="8"/>
        <v>29</v>
      </c>
      <c r="W96" s="181">
        <f t="shared" si="9"/>
        <v>58</v>
      </c>
      <c r="X96" s="181">
        <f t="shared" si="10"/>
        <v>1</v>
      </c>
      <c r="Y96" s="37">
        <f t="shared" si="11"/>
        <v>1917.1</v>
      </c>
      <c r="Z96" s="181">
        <f t="shared" si="12"/>
        <v>227</v>
      </c>
      <c r="AA96" s="127">
        <f t="shared" si="13"/>
        <v>595.21331999999995</v>
      </c>
      <c r="AB96" s="127">
        <f t="shared" si="14"/>
        <v>595.21331999999995</v>
      </c>
      <c r="AC96" s="37">
        <f t="shared" si="2"/>
        <v>3971.2799199999999</v>
      </c>
      <c r="AD96" s="37">
        <f t="shared" si="15"/>
        <v>5888.3799199999994</v>
      </c>
      <c r="AE96" s="181">
        <f t="shared" si="3"/>
        <v>3</v>
      </c>
      <c r="AF96" s="37">
        <f t="shared" si="16"/>
        <v>2106</v>
      </c>
      <c r="AG96" s="181">
        <f t="shared" si="4"/>
        <v>115.69999999999999</v>
      </c>
      <c r="AH96" s="111">
        <f t="shared" si="17"/>
        <v>82.934927999999985</v>
      </c>
      <c r="AI96" s="127">
        <f t="shared" si="18"/>
        <v>115.69999999999999</v>
      </c>
      <c r="AJ96" s="37">
        <f t="shared" si="5"/>
        <v>1094.1999999999998</v>
      </c>
      <c r="AK96" s="37">
        <f t="shared" si="19"/>
        <v>3200.2</v>
      </c>
      <c r="AL96" s="37">
        <f t="shared" si="7"/>
        <v>55.175862068965515</v>
      </c>
      <c r="AN96" s="37" t="str">
        <f t="shared" si="6"/>
        <v>Parcel</v>
      </c>
      <c r="AO96" s="194">
        <f t="shared" si="20"/>
        <v>3</v>
      </c>
    </row>
    <row r="97" spans="22:41" x14ac:dyDescent="0.2">
      <c r="V97" s="181">
        <f t="shared" si="8"/>
        <v>29.5</v>
      </c>
      <c r="W97" s="181">
        <f t="shared" si="9"/>
        <v>59</v>
      </c>
      <c r="X97" s="181">
        <f t="shared" si="10"/>
        <v>1</v>
      </c>
      <c r="Y97" s="37">
        <f t="shared" si="11"/>
        <v>1917.1</v>
      </c>
      <c r="Z97" s="181">
        <f t="shared" si="12"/>
        <v>227.5</v>
      </c>
      <c r="AA97" s="127">
        <f t="shared" si="13"/>
        <v>595.21331999999995</v>
      </c>
      <c r="AB97" s="127">
        <f t="shared" si="14"/>
        <v>595.21331999999995</v>
      </c>
      <c r="AC97" s="37">
        <f t="shared" si="2"/>
        <v>3971.2799199999999</v>
      </c>
      <c r="AD97" s="37">
        <f t="shared" si="15"/>
        <v>5888.3799199999994</v>
      </c>
      <c r="AE97" s="181">
        <f t="shared" si="3"/>
        <v>3</v>
      </c>
      <c r="AF97" s="37">
        <f t="shared" si="16"/>
        <v>2106</v>
      </c>
      <c r="AG97" s="181">
        <f t="shared" si="4"/>
        <v>116.19999999999999</v>
      </c>
      <c r="AH97" s="111">
        <f t="shared" si="17"/>
        <v>82.934927999999985</v>
      </c>
      <c r="AI97" s="127">
        <f t="shared" si="18"/>
        <v>116.19999999999999</v>
      </c>
      <c r="AJ97" s="37">
        <f t="shared" si="5"/>
        <v>1097.1999999999998</v>
      </c>
      <c r="AK97" s="37">
        <f t="shared" si="19"/>
        <v>3203.2</v>
      </c>
      <c r="AL97" s="37">
        <f t="shared" si="7"/>
        <v>54.291525423728814</v>
      </c>
      <c r="AN97" s="37" t="str">
        <f t="shared" si="6"/>
        <v>Parcel</v>
      </c>
      <c r="AO97" s="194">
        <f t="shared" si="20"/>
        <v>3</v>
      </c>
    </row>
    <row r="98" spans="22:41" x14ac:dyDescent="0.2">
      <c r="V98" s="181">
        <f t="shared" si="8"/>
        <v>30</v>
      </c>
      <c r="W98" s="181">
        <f t="shared" si="9"/>
        <v>60</v>
      </c>
      <c r="X98" s="181">
        <f t="shared" si="10"/>
        <v>1</v>
      </c>
      <c r="Y98" s="37">
        <f t="shared" si="11"/>
        <v>1917.1</v>
      </c>
      <c r="Z98" s="181">
        <f t="shared" si="12"/>
        <v>228</v>
      </c>
      <c r="AA98" s="127">
        <f t="shared" si="13"/>
        <v>595.21331999999995</v>
      </c>
      <c r="AB98" s="127">
        <f t="shared" si="14"/>
        <v>595.21331999999995</v>
      </c>
      <c r="AC98" s="37">
        <f t="shared" si="2"/>
        <v>3971.2799199999999</v>
      </c>
      <c r="AD98" s="37">
        <f t="shared" si="15"/>
        <v>5888.3799199999994</v>
      </c>
      <c r="AE98" s="181">
        <f t="shared" si="3"/>
        <v>3</v>
      </c>
      <c r="AF98" s="37">
        <f t="shared" si="16"/>
        <v>2106</v>
      </c>
      <c r="AG98" s="181">
        <f t="shared" si="4"/>
        <v>116.69999999999999</v>
      </c>
      <c r="AH98" s="111">
        <f t="shared" si="17"/>
        <v>82.934927999999985</v>
      </c>
      <c r="AI98" s="127">
        <f t="shared" si="18"/>
        <v>116.69999999999999</v>
      </c>
      <c r="AJ98" s="37">
        <f t="shared" si="5"/>
        <v>1100.1999999999998</v>
      </c>
      <c r="AK98" s="37">
        <f t="shared" si="19"/>
        <v>3206.2</v>
      </c>
      <c r="AL98" s="37">
        <f t="shared" si="7"/>
        <v>53.43666666666666</v>
      </c>
      <c r="AN98" s="37" t="str">
        <f t="shared" si="6"/>
        <v>Parcel</v>
      </c>
      <c r="AO98" s="194">
        <f t="shared" si="20"/>
        <v>3</v>
      </c>
    </row>
    <row r="99" spans="22:41" x14ac:dyDescent="0.2">
      <c r="V99" s="181">
        <f t="shared" si="8"/>
        <v>30.5</v>
      </c>
      <c r="W99" s="181">
        <f t="shared" si="9"/>
        <v>61</v>
      </c>
      <c r="X99" s="181">
        <f t="shared" si="10"/>
        <v>1</v>
      </c>
      <c r="Y99" s="37">
        <f t="shared" si="11"/>
        <v>1917.1</v>
      </c>
      <c r="Z99" s="181">
        <f t="shared" si="12"/>
        <v>228.5</v>
      </c>
      <c r="AA99" s="127">
        <f t="shared" si="13"/>
        <v>595.21331999999995</v>
      </c>
      <c r="AB99" s="127">
        <f t="shared" si="14"/>
        <v>595.21331999999995</v>
      </c>
      <c r="AC99" s="37">
        <f t="shared" si="2"/>
        <v>3971.2799199999999</v>
      </c>
      <c r="AD99" s="37">
        <f t="shared" si="15"/>
        <v>5888.3799199999994</v>
      </c>
      <c r="AE99" s="181">
        <f t="shared" si="3"/>
        <v>3</v>
      </c>
      <c r="AF99" s="37">
        <f t="shared" si="16"/>
        <v>2106</v>
      </c>
      <c r="AG99" s="181">
        <f t="shared" si="4"/>
        <v>117.19999999999999</v>
      </c>
      <c r="AH99" s="111">
        <f t="shared" si="17"/>
        <v>82.934927999999985</v>
      </c>
      <c r="AI99" s="127">
        <f t="shared" si="18"/>
        <v>117.19999999999999</v>
      </c>
      <c r="AJ99" s="37">
        <f t="shared" si="5"/>
        <v>1103.1999999999998</v>
      </c>
      <c r="AK99" s="37">
        <f t="shared" si="19"/>
        <v>3209.2</v>
      </c>
      <c r="AL99" s="37">
        <f t="shared" si="7"/>
        <v>52.609836065573766</v>
      </c>
      <c r="AN99" s="37" t="str">
        <f t="shared" si="6"/>
        <v>Parcel</v>
      </c>
      <c r="AO99" s="194">
        <f t="shared" si="20"/>
        <v>3</v>
      </c>
    </row>
    <row r="100" spans="22:41" x14ac:dyDescent="0.2">
      <c r="V100" s="181">
        <f t="shared" si="8"/>
        <v>31</v>
      </c>
      <c r="W100" s="181">
        <f t="shared" si="9"/>
        <v>62</v>
      </c>
      <c r="X100" s="181">
        <f t="shared" si="10"/>
        <v>1</v>
      </c>
      <c r="Y100" s="37">
        <f t="shared" si="11"/>
        <v>1917.1</v>
      </c>
      <c r="Z100" s="181">
        <f t="shared" si="12"/>
        <v>229</v>
      </c>
      <c r="AA100" s="127">
        <f t="shared" si="13"/>
        <v>595.21331999999995</v>
      </c>
      <c r="AB100" s="127">
        <f t="shared" si="14"/>
        <v>595.21331999999995</v>
      </c>
      <c r="AC100" s="37">
        <f t="shared" si="2"/>
        <v>3971.2799199999999</v>
      </c>
      <c r="AD100" s="37">
        <f t="shared" si="15"/>
        <v>5888.3799199999994</v>
      </c>
      <c r="AE100" s="181">
        <f t="shared" si="3"/>
        <v>3</v>
      </c>
      <c r="AF100" s="37">
        <f t="shared" si="16"/>
        <v>2106</v>
      </c>
      <c r="AG100" s="181">
        <f t="shared" si="4"/>
        <v>117.69999999999999</v>
      </c>
      <c r="AH100" s="111">
        <f t="shared" si="17"/>
        <v>82.934927999999985</v>
      </c>
      <c r="AI100" s="127">
        <f t="shared" si="18"/>
        <v>117.69999999999999</v>
      </c>
      <c r="AJ100" s="37">
        <f t="shared" si="5"/>
        <v>1106.1999999999998</v>
      </c>
      <c r="AK100" s="37">
        <f t="shared" si="19"/>
        <v>3212.2</v>
      </c>
      <c r="AL100" s="37">
        <f t="shared" si="7"/>
        <v>51.809677419354834</v>
      </c>
      <c r="AN100" s="37" t="str">
        <f t="shared" si="6"/>
        <v>Parcel</v>
      </c>
      <c r="AO100" s="194">
        <f t="shared" si="20"/>
        <v>3</v>
      </c>
    </row>
    <row r="101" spans="22:41" x14ac:dyDescent="0.2">
      <c r="V101" s="181">
        <f t="shared" si="8"/>
        <v>31.5</v>
      </c>
      <c r="W101" s="181">
        <f t="shared" si="9"/>
        <v>63</v>
      </c>
      <c r="X101" s="181">
        <f t="shared" si="10"/>
        <v>1</v>
      </c>
      <c r="Y101" s="37">
        <f t="shared" si="11"/>
        <v>1917.1</v>
      </c>
      <c r="Z101" s="181">
        <f t="shared" si="12"/>
        <v>229.5</v>
      </c>
      <c r="AA101" s="127">
        <f t="shared" si="13"/>
        <v>595.21331999999995</v>
      </c>
      <c r="AB101" s="127">
        <f t="shared" si="14"/>
        <v>595.21331999999995</v>
      </c>
      <c r="AC101" s="37">
        <f t="shared" si="2"/>
        <v>3971.2799199999999</v>
      </c>
      <c r="AD101" s="37">
        <f t="shared" si="15"/>
        <v>5888.3799199999994</v>
      </c>
      <c r="AE101" s="181">
        <f t="shared" si="3"/>
        <v>3</v>
      </c>
      <c r="AF101" s="37">
        <f t="shared" si="16"/>
        <v>2106</v>
      </c>
      <c r="AG101" s="181">
        <f t="shared" si="4"/>
        <v>118.19999999999999</v>
      </c>
      <c r="AH101" s="111">
        <f t="shared" si="17"/>
        <v>82.934927999999985</v>
      </c>
      <c r="AI101" s="127">
        <f t="shared" si="18"/>
        <v>118.19999999999999</v>
      </c>
      <c r="AJ101" s="37">
        <f t="shared" si="5"/>
        <v>1109.1999999999998</v>
      </c>
      <c r="AK101" s="37">
        <f t="shared" si="19"/>
        <v>3215.2</v>
      </c>
      <c r="AL101" s="37">
        <f t="shared" si="7"/>
        <v>51.034920634920631</v>
      </c>
      <c r="AN101" s="37" t="str">
        <f t="shared" si="6"/>
        <v>Parcel</v>
      </c>
      <c r="AO101" s="194">
        <f t="shared" si="20"/>
        <v>3</v>
      </c>
    </row>
    <row r="102" spans="22:41" x14ac:dyDescent="0.2">
      <c r="V102" s="181">
        <f t="shared" si="8"/>
        <v>32</v>
      </c>
      <c r="W102" s="181">
        <f t="shared" si="9"/>
        <v>64</v>
      </c>
      <c r="X102" s="181">
        <f t="shared" si="10"/>
        <v>1</v>
      </c>
      <c r="Y102" s="37">
        <f t="shared" si="11"/>
        <v>1917.1</v>
      </c>
      <c r="Z102" s="181">
        <f t="shared" si="12"/>
        <v>230</v>
      </c>
      <c r="AA102" s="127">
        <f t="shared" si="13"/>
        <v>595.21331999999995</v>
      </c>
      <c r="AB102" s="127">
        <f t="shared" si="14"/>
        <v>595.21331999999995</v>
      </c>
      <c r="AC102" s="37">
        <f t="shared" si="2"/>
        <v>3971.2799199999999</v>
      </c>
      <c r="AD102" s="37">
        <f t="shared" si="15"/>
        <v>5888.3799199999994</v>
      </c>
      <c r="AE102" s="181">
        <f t="shared" si="3"/>
        <v>3</v>
      </c>
      <c r="AF102" s="37">
        <f t="shared" si="16"/>
        <v>2106</v>
      </c>
      <c r="AG102" s="181">
        <f t="shared" si="4"/>
        <v>118.69999999999999</v>
      </c>
      <c r="AH102" s="111">
        <f t="shared" si="17"/>
        <v>82.934927999999985</v>
      </c>
      <c r="AI102" s="127">
        <f t="shared" si="18"/>
        <v>118.69999999999999</v>
      </c>
      <c r="AJ102" s="37">
        <f t="shared" si="5"/>
        <v>1112.1999999999998</v>
      </c>
      <c r="AK102" s="37">
        <f t="shared" si="19"/>
        <v>3218.2</v>
      </c>
      <c r="AL102" s="37">
        <f t="shared" si="7"/>
        <v>50.284374999999997</v>
      </c>
      <c r="AN102" s="37" t="str">
        <f t="shared" si="6"/>
        <v>Parcel</v>
      </c>
      <c r="AO102" s="194">
        <f t="shared" si="20"/>
        <v>3</v>
      </c>
    </row>
    <row r="103" spans="22:41" x14ac:dyDescent="0.2">
      <c r="V103" s="181">
        <f t="shared" si="8"/>
        <v>32.5</v>
      </c>
      <c r="W103" s="181">
        <f t="shared" si="9"/>
        <v>65</v>
      </c>
      <c r="X103" s="181">
        <f t="shared" si="10"/>
        <v>1</v>
      </c>
      <c r="Y103" s="37">
        <f t="shared" si="11"/>
        <v>1917.1</v>
      </c>
      <c r="Z103" s="181">
        <f t="shared" si="12"/>
        <v>230.5</v>
      </c>
      <c r="AA103" s="127">
        <f t="shared" si="13"/>
        <v>595.21331999999995</v>
      </c>
      <c r="AB103" s="127">
        <f t="shared" si="14"/>
        <v>595.21331999999995</v>
      </c>
      <c r="AC103" s="37">
        <f t="shared" ref="AC103:AC166" si="21">(Shipping_perkg_first100*100)+((AB103-100)*Shipping_perkg_above100)</f>
        <v>3971.2799199999999</v>
      </c>
      <c r="AD103" s="37">
        <f t="shared" si="15"/>
        <v>5888.3799199999994</v>
      </c>
      <c r="AE103" s="181">
        <f t="shared" ref="AE103:AE166" si="22">ROUNDUP(W103/$N$19,0)</f>
        <v>3</v>
      </c>
      <c r="AF103" s="37">
        <f t="shared" si="16"/>
        <v>2106</v>
      </c>
      <c r="AG103" s="181">
        <f t="shared" ref="AG103:AG166" si="23">(AE103*$K$19)+V103</f>
        <v>119.19999999999999</v>
      </c>
      <c r="AH103" s="111">
        <f t="shared" si="17"/>
        <v>82.934927999999985</v>
      </c>
      <c r="AI103" s="127">
        <f t="shared" si="18"/>
        <v>119.19999999999999</v>
      </c>
      <c r="AJ103" s="37">
        <f t="shared" ref="AJ103:AJ166" si="24">IF(AI103&lt;=100,AI103*Shipping_perkg_first100,(Shipping_perkg_first100*100)+((AI103-100)*Shipping_perkg_above100))</f>
        <v>1115.1999999999998</v>
      </c>
      <c r="AK103" s="37">
        <f t="shared" si="19"/>
        <v>3221.2</v>
      </c>
      <c r="AL103" s="37">
        <f t="shared" si="7"/>
        <v>49.556923076923077</v>
      </c>
      <c r="AN103" s="37" t="str">
        <f t="shared" ref="AN103:AN166" si="25">IF(AD103&lt;AK103,"Pallet","Parcel")</f>
        <v>Parcel</v>
      </c>
      <c r="AO103" s="194">
        <f t="shared" si="20"/>
        <v>3</v>
      </c>
    </row>
    <row r="104" spans="22:41" x14ac:dyDescent="0.2">
      <c r="V104" s="181">
        <f t="shared" si="8"/>
        <v>33</v>
      </c>
      <c r="W104" s="181">
        <f t="shared" si="9"/>
        <v>66</v>
      </c>
      <c r="X104" s="181">
        <f t="shared" si="10"/>
        <v>1</v>
      </c>
      <c r="Y104" s="37">
        <f t="shared" si="11"/>
        <v>1917.1</v>
      </c>
      <c r="Z104" s="181">
        <f t="shared" si="12"/>
        <v>231</v>
      </c>
      <c r="AA104" s="127">
        <f t="shared" si="13"/>
        <v>595.21331999999995</v>
      </c>
      <c r="AB104" s="127">
        <f t="shared" si="14"/>
        <v>595.21331999999995</v>
      </c>
      <c r="AC104" s="37">
        <f t="shared" si="21"/>
        <v>3971.2799199999999</v>
      </c>
      <c r="AD104" s="37">
        <f t="shared" si="15"/>
        <v>5888.3799199999994</v>
      </c>
      <c r="AE104" s="181">
        <f t="shared" si="22"/>
        <v>3</v>
      </c>
      <c r="AF104" s="37">
        <f t="shared" si="16"/>
        <v>2106</v>
      </c>
      <c r="AG104" s="181">
        <f t="shared" si="23"/>
        <v>119.69999999999999</v>
      </c>
      <c r="AH104" s="111">
        <f t="shared" si="17"/>
        <v>82.934927999999985</v>
      </c>
      <c r="AI104" s="127">
        <f t="shared" si="18"/>
        <v>119.69999999999999</v>
      </c>
      <c r="AJ104" s="37">
        <f t="shared" si="24"/>
        <v>1118.1999999999998</v>
      </c>
      <c r="AK104" s="37">
        <f t="shared" si="19"/>
        <v>3224.2</v>
      </c>
      <c r="AL104" s="37">
        <f t="shared" ref="AL104:AL167" si="26">MIN(AD104,AK104)/W104</f>
        <v>48.851515151515152</v>
      </c>
      <c r="AN104" s="37" t="str">
        <f t="shared" si="25"/>
        <v>Parcel</v>
      </c>
      <c r="AO104" s="194">
        <f t="shared" si="20"/>
        <v>3</v>
      </c>
    </row>
    <row r="105" spans="22:41" x14ac:dyDescent="0.2">
      <c r="V105" s="181">
        <f t="shared" ref="V105:V168" si="27">W105*$V$37</f>
        <v>33.5</v>
      </c>
      <c r="W105" s="181">
        <f t="shared" ref="W105:W168" si="28">W104+1</f>
        <v>67</v>
      </c>
      <c r="X105" s="181">
        <f t="shared" ref="X105:X168" si="29">ROUNDUP(W105/$N$29,0)</f>
        <v>1</v>
      </c>
      <c r="Y105" s="37">
        <f t="shared" ref="Y105:Y168" si="30">X105*$P$29</f>
        <v>1917.1</v>
      </c>
      <c r="Z105" s="181">
        <f t="shared" ref="Z105:Z168" si="31">V105+(X105*$K$29)</f>
        <v>231.5</v>
      </c>
      <c r="AA105" s="127">
        <f t="shared" ref="AA105:AA168" si="32">X105*$T$29</f>
        <v>595.21331999999995</v>
      </c>
      <c r="AB105" s="127">
        <f t="shared" ref="AB105:AB168" si="33">MAX(Z105,AA105)</f>
        <v>595.21331999999995</v>
      </c>
      <c r="AC105" s="37">
        <f t="shared" si="21"/>
        <v>3971.2799199999999</v>
      </c>
      <c r="AD105" s="37">
        <f t="shared" ref="AD105:AD168" si="34">Y105+AC105</f>
        <v>5888.3799199999994</v>
      </c>
      <c r="AE105" s="181">
        <f t="shared" si="22"/>
        <v>3</v>
      </c>
      <c r="AF105" s="37">
        <f t="shared" ref="AF105:AF168" si="35">AE105*$P$19</f>
        <v>2106</v>
      </c>
      <c r="AG105" s="181">
        <f t="shared" si="23"/>
        <v>120.19999999999999</v>
      </c>
      <c r="AH105" s="111">
        <f t="shared" ref="AH105:AH168" si="36">AE105*$X$19</f>
        <v>82.934927999999985</v>
      </c>
      <c r="AI105" s="127">
        <f t="shared" ref="AI105:AI168" si="37">MAX(AG105,AH105)</f>
        <v>120.19999999999999</v>
      </c>
      <c r="AJ105" s="37">
        <f t="shared" si="24"/>
        <v>1121.1999999999998</v>
      </c>
      <c r="AK105" s="37">
        <f t="shared" ref="AK105:AK168" si="38">AF105+AJ105</f>
        <v>3227.2</v>
      </c>
      <c r="AL105" s="37">
        <f t="shared" si="26"/>
        <v>48.167164179104475</v>
      </c>
      <c r="AN105" s="37" t="str">
        <f t="shared" si="25"/>
        <v>Parcel</v>
      </c>
      <c r="AO105" s="194">
        <f t="shared" ref="AO105:AO168" si="39">AE104</f>
        <v>3</v>
      </c>
    </row>
    <row r="106" spans="22:41" x14ac:dyDescent="0.2">
      <c r="V106" s="181">
        <f t="shared" si="27"/>
        <v>34</v>
      </c>
      <c r="W106" s="181">
        <f t="shared" si="28"/>
        <v>68</v>
      </c>
      <c r="X106" s="181">
        <f t="shared" si="29"/>
        <v>1</v>
      </c>
      <c r="Y106" s="37">
        <f t="shared" si="30"/>
        <v>1917.1</v>
      </c>
      <c r="Z106" s="181">
        <f t="shared" si="31"/>
        <v>232</v>
      </c>
      <c r="AA106" s="127">
        <f t="shared" si="32"/>
        <v>595.21331999999995</v>
      </c>
      <c r="AB106" s="127">
        <f t="shared" si="33"/>
        <v>595.21331999999995</v>
      </c>
      <c r="AC106" s="37">
        <f t="shared" si="21"/>
        <v>3971.2799199999999</v>
      </c>
      <c r="AD106" s="37">
        <f t="shared" si="34"/>
        <v>5888.3799199999994</v>
      </c>
      <c r="AE106" s="181">
        <f t="shared" si="22"/>
        <v>3</v>
      </c>
      <c r="AF106" s="37">
        <f t="shared" si="35"/>
        <v>2106</v>
      </c>
      <c r="AG106" s="181">
        <f t="shared" si="23"/>
        <v>120.69999999999999</v>
      </c>
      <c r="AH106" s="111">
        <f t="shared" si="36"/>
        <v>82.934927999999985</v>
      </c>
      <c r="AI106" s="127">
        <f t="shared" si="37"/>
        <v>120.69999999999999</v>
      </c>
      <c r="AJ106" s="37">
        <f t="shared" si="24"/>
        <v>1124.1999999999998</v>
      </c>
      <c r="AK106" s="37">
        <f t="shared" si="38"/>
        <v>3230.2</v>
      </c>
      <c r="AL106" s="37">
        <f t="shared" si="26"/>
        <v>47.502941176470586</v>
      </c>
      <c r="AN106" s="37" t="str">
        <f t="shared" si="25"/>
        <v>Parcel</v>
      </c>
      <c r="AO106" s="194">
        <f t="shared" si="39"/>
        <v>3</v>
      </c>
    </row>
    <row r="107" spans="22:41" x14ac:dyDescent="0.2">
      <c r="V107" s="181">
        <f t="shared" si="27"/>
        <v>34.5</v>
      </c>
      <c r="W107" s="181">
        <f t="shared" si="28"/>
        <v>69</v>
      </c>
      <c r="X107" s="181">
        <f t="shared" si="29"/>
        <v>1</v>
      </c>
      <c r="Y107" s="37">
        <f t="shared" si="30"/>
        <v>1917.1</v>
      </c>
      <c r="Z107" s="181">
        <f t="shared" si="31"/>
        <v>232.5</v>
      </c>
      <c r="AA107" s="127">
        <f t="shared" si="32"/>
        <v>595.21331999999995</v>
      </c>
      <c r="AB107" s="127">
        <f t="shared" si="33"/>
        <v>595.21331999999995</v>
      </c>
      <c r="AC107" s="37">
        <f t="shared" si="21"/>
        <v>3971.2799199999999</v>
      </c>
      <c r="AD107" s="37">
        <f t="shared" si="34"/>
        <v>5888.3799199999994</v>
      </c>
      <c r="AE107" s="181">
        <f t="shared" si="22"/>
        <v>3</v>
      </c>
      <c r="AF107" s="37">
        <f t="shared" si="35"/>
        <v>2106</v>
      </c>
      <c r="AG107" s="181">
        <f t="shared" si="23"/>
        <v>121.19999999999999</v>
      </c>
      <c r="AH107" s="111">
        <f t="shared" si="36"/>
        <v>82.934927999999985</v>
      </c>
      <c r="AI107" s="127">
        <f t="shared" si="37"/>
        <v>121.19999999999999</v>
      </c>
      <c r="AJ107" s="37">
        <f t="shared" si="24"/>
        <v>1127.1999999999998</v>
      </c>
      <c r="AK107" s="37">
        <f t="shared" si="38"/>
        <v>3233.2</v>
      </c>
      <c r="AL107" s="37">
        <f t="shared" si="26"/>
        <v>46.857971014492747</v>
      </c>
      <c r="AN107" s="37" t="str">
        <f t="shared" si="25"/>
        <v>Parcel</v>
      </c>
      <c r="AO107" s="194">
        <f t="shared" si="39"/>
        <v>3</v>
      </c>
    </row>
    <row r="108" spans="22:41" x14ac:dyDescent="0.2">
      <c r="V108" s="181">
        <f t="shared" si="27"/>
        <v>35</v>
      </c>
      <c r="W108" s="181">
        <f t="shared" si="28"/>
        <v>70</v>
      </c>
      <c r="X108" s="181">
        <f t="shared" si="29"/>
        <v>1</v>
      </c>
      <c r="Y108" s="37">
        <f t="shared" si="30"/>
        <v>1917.1</v>
      </c>
      <c r="Z108" s="181">
        <f t="shared" si="31"/>
        <v>233</v>
      </c>
      <c r="AA108" s="127">
        <f t="shared" si="32"/>
        <v>595.21331999999995</v>
      </c>
      <c r="AB108" s="127">
        <f t="shared" si="33"/>
        <v>595.21331999999995</v>
      </c>
      <c r="AC108" s="37">
        <f t="shared" si="21"/>
        <v>3971.2799199999999</v>
      </c>
      <c r="AD108" s="37">
        <f t="shared" si="34"/>
        <v>5888.3799199999994</v>
      </c>
      <c r="AE108" s="181">
        <f t="shared" si="22"/>
        <v>3</v>
      </c>
      <c r="AF108" s="37">
        <f t="shared" si="35"/>
        <v>2106</v>
      </c>
      <c r="AG108" s="181">
        <f t="shared" si="23"/>
        <v>121.69999999999999</v>
      </c>
      <c r="AH108" s="111">
        <f t="shared" si="36"/>
        <v>82.934927999999985</v>
      </c>
      <c r="AI108" s="127">
        <f t="shared" si="37"/>
        <v>121.69999999999999</v>
      </c>
      <c r="AJ108" s="37">
        <f t="shared" si="24"/>
        <v>1130.1999999999998</v>
      </c>
      <c r="AK108" s="37">
        <f t="shared" si="38"/>
        <v>3236.2</v>
      </c>
      <c r="AL108" s="37">
        <f t="shared" si="26"/>
        <v>46.231428571428566</v>
      </c>
      <c r="AN108" s="37" t="str">
        <f t="shared" si="25"/>
        <v>Parcel</v>
      </c>
      <c r="AO108" s="194">
        <f t="shared" si="39"/>
        <v>3</v>
      </c>
    </row>
    <row r="109" spans="22:41" x14ac:dyDescent="0.2">
      <c r="V109" s="181">
        <f t="shared" si="27"/>
        <v>35.5</v>
      </c>
      <c r="W109" s="181">
        <f t="shared" si="28"/>
        <v>71</v>
      </c>
      <c r="X109" s="181">
        <f t="shared" si="29"/>
        <v>1</v>
      </c>
      <c r="Y109" s="37">
        <f t="shared" si="30"/>
        <v>1917.1</v>
      </c>
      <c r="Z109" s="181">
        <f t="shared" si="31"/>
        <v>233.5</v>
      </c>
      <c r="AA109" s="127">
        <f t="shared" si="32"/>
        <v>595.21331999999995</v>
      </c>
      <c r="AB109" s="127">
        <f t="shared" si="33"/>
        <v>595.21331999999995</v>
      </c>
      <c r="AC109" s="37">
        <f t="shared" si="21"/>
        <v>3971.2799199999999</v>
      </c>
      <c r="AD109" s="37">
        <f t="shared" si="34"/>
        <v>5888.3799199999994</v>
      </c>
      <c r="AE109" s="181">
        <f t="shared" si="22"/>
        <v>3</v>
      </c>
      <c r="AF109" s="37">
        <f t="shared" si="35"/>
        <v>2106</v>
      </c>
      <c r="AG109" s="181">
        <f t="shared" si="23"/>
        <v>122.19999999999999</v>
      </c>
      <c r="AH109" s="111">
        <f t="shared" si="36"/>
        <v>82.934927999999985</v>
      </c>
      <c r="AI109" s="127">
        <f t="shared" si="37"/>
        <v>122.19999999999999</v>
      </c>
      <c r="AJ109" s="37">
        <f t="shared" si="24"/>
        <v>1133.1999999999998</v>
      </c>
      <c r="AK109" s="37">
        <f t="shared" si="38"/>
        <v>3239.2</v>
      </c>
      <c r="AL109" s="37">
        <f t="shared" si="26"/>
        <v>45.622535211267603</v>
      </c>
      <c r="AN109" s="37" t="str">
        <f t="shared" si="25"/>
        <v>Parcel</v>
      </c>
      <c r="AO109" s="194">
        <f t="shared" si="39"/>
        <v>3</v>
      </c>
    </row>
    <row r="110" spans="22:41" x14ac:dyDescent="0.2">
      <c r="V110" s="181">
        <f t="shared" si="27"/>
        <v>36</v>
      </c>
      <c r="W110" s="181">
        <f t="shared" si="28"/>
        <v>72</v>
      </c>
      <c r="X110" s="181">
        <f t="shared" si="29"/>
        <v>1</v>
      </c>
      <c r="Y110" s="37">
        <f t="shared" si="30"/>
        <v>1917.1</v>
      </c>
      <c r="Z110" s="181">
        <f t="shared" si="31"/>
        <v>234</v>
      </c>
      <c r="AA110" s="127">
        <f t="shared" si="32"/>
        <v>595.21331999999995</v>
      </c>
      <c r="AB110" s="127">
        <f t="shared" si="33"/>
        <v>595.21331999999995</v>
      </c>
      <c r="AC110" s="37">
        <f t="shared" si="21"/>
        <v>3971.2799199999999</v>
      </c>
      <c r="AD110" s="37">
        <f t="shared" si="34"/>
        <v>5888.3799199999994</v>
      </c>
      <c r="AE110" s="181">
        <f t="shared" si="22"/>
        <v>3</v>
      </c>
      <c r="AF110" s="37">
        <f t="shared" si="35"/>
        <v>2106</v>
      </c>
      <c r="AG110" s="181">
        <f t="shared" si="23"/>
        <v>122.69999999999999</v>
      </c>
      <c r="AH110" s="111">
        <f t="shared" si="36"/>
        <v>82.934927999999985</v>
      </c>
      <c r="AI110" s="127">
        <f t="shared" si="37"/>
        <v>122.69999999999999</v>
      </c>
      <c r="AJ110" s="37">
        <f t="shared" si="24"/>
        <v>1136.1999999999998</v>
      </c>
      <c r="AK110" s="37">
        <f t="shared" si="38"/>
        <v>3242.2</v>
      </c>
      <c r="AL110" s="37">
        <f t="shared" si="26"/>
        <v>45.030555555555551</v>
      </c>
      <c r="AN110" s="37" t="str">
        <f t="shared" si="25"/>
        <v>Parcel</v>
      </c>
      <c r="AO110" s="194">
        <f t="shared" si="39"/>
        <v>3</v>
      </c>
    </row>
    <row r="111" spans="22:41" x14ac:dyDescent="0.2">
      <c r="V111" s="181">
        <f t="shared" si="27"/>
        <v>36.5</v>
      </c>
      <c r="W111" s="181">
        <f t="shared" si="28"/>
        <v>73</v>
      </c>
      <c r="X111" s="181">
        <f t="shared" si="29"/>
        <v>1</v>
      </c>
      <c r="Y111" s="37">
        <f t="shared" si="30"/>
        <v>1917.1</v>
      </c>
      <c r="Z111" s="181">
        <f t="shared" si="31"/>
        <v>234.5</v>
      </c>
      <c r="AA111" s="127">
        <f t="shared" si="32"/>
        <v>595.21331999999995</v>
      </c>
      <c r="AB111" s="127">
        <f t="shared" si="33"/>
        <v>595.21331999999995</v>
      </c>
      <c r="AC111" s="37">
        <f t="shared" si="21"/>
        <v>3971.2799199999999</v>
      </c>
      <c r="AD111" s="37">
        <f t="shared" si="34"/>
        <v>5888.3799199999994</v>
      </c>
      <c r="AE111" s="181">
        <f t="shared" si="22"/>
        <v>3</v>
      </c>
      <c r="AF111" s="37">
        <f t="shared" si="35"/>
        <v>2106</v>
      </c>
      <c r="AG111" s="181">
        <f t="shared" si="23"/>
        <v>123.19999999999999</v>
      </c>
      <c r="AH111" s="111">
        <f t="shared" si="36"/>
        <v>82.934927999999985</v>
      </c>
      <c r="AI111" s="127">
        <f t="shared" si="37"/>
        <v>123.19999999999999</v>
      </c>
      <c r="AJ111" s="37">
        <f t="shared" si="24"/>
        <v>1139.1999999999998</v>
      </c>
      <c r="AK111" s="37">
        <f t="shared" si="38"/>
        <v>3245.2</v>
      </c>
      <c r="AL111" s="37">
        <f t="shared" si="26"/>
        <v>44.454794520547942</v>
      </c>
      <c r="AN111" s="37" t="str">
        <f t="shared" si="25"/>
        <v>Parcel</v>
      </c>
      <c r="AO111" s="194">
        <f t="shared" si="39"/>
        <v>3</v>
      </c>
    </row>
    <row r="112" spans="22:41" x14ac:dyDescent="0.2">
      <c r="V112" s="181">
        <f t="shared" si="27"/>
        <v>37</v>
      </c>
      <c r="W112" s="181">
        <f t="shared" si="28"/>
        <v>74</v>
      </c>
      <c r="X112" s="181">
        <f t="shared" si="29"/>
        <v>1</v>
      </c>
      <c r="Y112" s="37">
        <f t="shared" si="30"/>
        <v>1917.1</v>
      </c>
      <c r="Z112" s="181">
        <f t="shared" si="31"/>
        <v>235</v>
      </c>
      <c r="AA112" s="127">
        <f t="shared" si="32"/>
        <v>595.21331999999995</v>
      </c>
      <c r="AB112" s="127">
        <f t="shared" si="33"/>
        <v>595.21331999999995</v>
      </c>
      <c r="AC112" s="37">
        <f t="shared" si="21"/>
        <v>3971.2799199999999</v>
      </c>
      <c r="AD112" s="37">
        <f t="shared" si="34"/>
        <v>5888.3799199999994</v>
      </c>
      <c r="AE112" s="181">
        <f t="shared" si="22"/>
        <v>3</v>
      </c>
      <c r="AF112" s="37">
        <f t="shared" si="35"/>
        <v>2106</v>
      </c>
      <c r="AG112" s="181">
        <f t="shared" si="23"/>
        <v>123.69999999999999</v>
      </c>
      <c r="AH112" s="111">
        <f t="shared" si="36"/>
        <v>82.934927999999985</v>
      </c>
      <c r="AI112" s="127">
        <f t="shared" si="37"/>
        <v>123.69999999999999</v>
      </c>
      <c r="AJ112" s="37">
        <f t="shared" si="24"/>
        <v>1142.1999999999998</v>
      </c>
      <c r="AK112" s="37">
        <f t="shared" si="38"/>
        <v>3248.2</v>
      </c>
      <c r="AL112" s="37">
        <f t="shared" si="26"/>
        <v>43.894594594594594</v>
      </c>
      <c r="AN112" s="37" t="str">
        <f t="shared" si="25"/>
        <v>Parcel</v>
      </c>
      <c r="AO112" s="194">
        <f t="shared" si="39"/>
        <v>3</v>
      </c>
    </row>
    <row r="113" spans="22:41" x14ac:dyDescent="0.2">
      <c r="V113" s="181">
        <f t="shared" si="27"/>
        <v>37.5</v>
      </c>
      <c r="W113" s="181">
        <f t="shared" si="28"/>
        <v>75</v>
      </c>
      <c r="X113" s="181">
        <f t="shared" si="29"/>
        <v>1</v>
      </c>
      <c r="Y113" s="37">
        <f t="shared" si="30"/>
        <v>1917.1</v>
      </c>
      <c r="Z113" s="181">
        <f t="shared" si="31"/>
        <v>235.5</v>
      </c>
      <c r="AA113" s="127">
        <f t="shared" si="32"/>
        <v>595.21331999999995</v>
      </c>
      <c r="AB113" s="127">
        <f t="shared" si="33"/>
        <v>595.21331999999995</v>
      </c>
      <c r="AC113" s="37">
        <f t="shared" si="21"/>
        <v>3971.2799199999999</v>
      </c>
      <c r="AD113" s="37">
        <f t="shared" si="34"/>
        <v>5888.3799199999994</v>
      </c>
      <c r="AE113" s="181">
        <f t="shared" si="22"/>
        <v>3</v>
      </c>
      <c r="AF113" s="37">
        <f t="shared" si="35"/>
        <v>2106</v>
      </c>
      <c r="AG113" s="181">
        <f t="shared" si="23"/>
        <v>124.19999999999999</v>
      </c>
      <c r="AH113" s="111">
        <f t="shared" si="36"/>
        <v>82.934927999999985</v>
      </c>
      <c r="AI113" s="127">
        <f t="shared" si="37"/>
        <v>124.19999999999999</v>
      </c>
      <c r="AJ113" s="37">
        <f t="shared" si="24"/>
        <v>1145.1999999999998</v>
      </c>
      <c r="AK113" s="37">
        <f t="shared" si="38"/>
        <v>3251.2</v>
      </c>
      <c r="AL113" s="37">
        <f t="shared" si="26"/>
        <v>43.349333333333334</v>
      </c>
      <c r="AN113" s="37" t="str">
        <f t="shared" si="25"/>
        <v>Parcel</v>
      </c>
      <c r="AO113" s="194">
        <f t="shared" si="39"/>
        <v>3</v>
      </c>
    </row>
    <row r="114" spans="22:41" x14ac:dyDescent="0.2">
      <c r="V114" s="181">
        <f t="shared" si="27"/>
        <v>38</v>
      </c>
      <c r="W114" s="181">
        <f t="shared" si="28"/>
        <v>76</v>
      </c>
      <c r="X114" s="181">
        <f t="shared" si="29"/>
        <v>1</v>
      </c>
      <c r="Y114" s="37">
        <f t="shared" si="30"/>
        <v>1917.1</v>
      </c>
      <c r="Z114" s="181">
        <f t="shared" si="31"/>
        <v>236</v>
      </c>
      <c r="AA114" s="127">
        <f t="shared" si="32"/>
        <v>595.21331999999995</v>
      </c>
      <c r="AB114" s="127">
        <f t="shared" si="33"/>
        <v>595.21331999999995</v>
      </c>
      <c r="AC114" s="37">
        <f t="shared" si="21"/>
        <v>3971.2799199999999</v>
      </c>
      <c r="AD114" s="37">
        <f t="shared" si="34"/>
        <v>5888.3799199999994</v>
      </c>
      <c r="AE114" s="181">
        <f t="shared" si="22"/>
        <v>3</v>
      </c>
      <c r="AF114" s="37">
        <f t="shared" si="35"/>
        <v>2106</v>
      </c>
      <c r="AG114" s="181">
        <f t="shared" si="23"/>
        <v>124.69999999999999</v>
      </c>
      <c r="AH114" s="111">
        <f t="shared" si="36"/>
        <v>82.934927999999985</v>
      </c>
      <c r="AI114" s="127">
        <f t="shared" si="37"/>
        <v>124.69999999999999</v>
      </c>
      <c r="AJ114" s="37">
        <f t="shared" si="24"/>
        <v>1148.1999999999998</v>
      </c>
      <c r="AK114" s="37">
        <f t="shared" si="38"/>
        <v>3254.2</v>
      </c>
      <c r="AL114" s="37">
        <f t="shared" si="26"/>
        <v>42.818421052631578</v>
      </c>
      <c r="AN114" s="37" t="str">
        <f t="shared" si="25"/>
        <v>Parcel</v>
      </c>
      <c r="AO114" s="194">
        <f t="shared" si="39"/>
        <v>3</v>
      </c>
    </row>
    <row r="115" spans="22:41" x14ac:dyDescent="0.2">
      <c r="V115" s="181">
        <f t="shared" si="27"/>
        <v>38.5</v>
      </c>
      <c r="W115" s="181">
        <f t="shared" si="28"/>
        <v>77</v>
      </c>
      <c r="X115" s="181">
        <f t="shared" si="29"/>
        <v>1</v>
      </c>
      <c r="Y115" s="37">
        <f t="shared" si="30"/>
        <v>1917.1</v>
      </c>
      <c r="Z115" s="181">
        <f t="shared" si="31"/>
        <v>236.5</v>
      </c>
      <c r="AA115" s="127">
        <f t="shared" si="32"/>
        <v>595.21331999999995</v>
      </c>
      <c r="AB115" s="127">
        <f t="shared" si="33"/>
        <v>595.21331999999995</v>
      </c>
      <c r="AC115" s="37">
        <f t="shared" si="21"/>
        <v>3971.2799199999999</v>
      </c>
      <c r="AD115" s="37">
        <f t="shared" si="34"/>
        <v>5888.3799199999994</v>
      </c>
      <c r="AE115" s="181">
        <f t="shared" si="22"/>
        <v>3</v>
      </c>
      <c r="AF115" s="37">
        <f t="shared" si="35"/>
        <v>2106</v>
      </c>
      <c r="AG115" s="181">
        <f t="shared" si="23"/>
        <v>125.19999999999999</v>
      </c>
      <c r="AH115" s="111">
        <f t="shared" si="36"/>
        <v>82.934927999999985</v>
      </c>
      <c r="AI115" s="127">
        <f t="shared" si="37"/>
        <v>125.19999999999999</v>
      </c>
      <c r="AJ115" s="37">
        <f t="shared" si="24"/>
        <v>1151.1999999999998</v>
      </c>
      <c r="AK115" s="37">
        <f t="shared" si="38"/>
        <v>3257.2</v>
      </c>
      <c r="AL115" s="37">
        <f t="shared" si="26"/>
        <v>42.301298701298698</v>
      </c>
      <c r="AN115" s="37" t="str">
        <f t="shared" si="25"/>
        <v>Parcel</v>
      </c>
      <c r="AO115" s="194">
        <f t="shared" si="39"/>
        <v>3</v>
      </c>
    </row>
    <row r="116" spans="22:41" x14ac:dyDescent="0.2">
      <c r="V116" s="181">
        <f t="shared" si="27"/>
        <v>39</v>
      </c>
      <c r="W116" s="181">
        <f t="shared" si="28"/>
        <v>78</v>
      </c>
      <c r="X116" s="181">
        <f t="shared" si="29"/>
        <v>1</v>
      </c>
      <c r="Y116" s="37">
        <f t="shared" si="30"/>
        <v>1917.1</v>
      </c>
      <c r="Z116" s="181">
        <f t="shared" si="31"/>
        <v>237</v>
      </c>
      <c r="AA116" s="127">
        <f t="shared" si="32"/>
        <v>595.21331999999995</v>
      </c>
      <c r="AB116" s="127">
        <f t="shared" si="33"/>
        <v>595.21331999999995</v>
      </c>
      <c r="AC116" s="37">
        <f t="shared" si="21"/>
        <v>3971.2799199999999</v>
      </c>
      <c r="AD116" s="37">
        <f t="shared" si="34"/>
        <v>5888.3799199999994</v>
      </c>
      <c r="AE116" s="181">
        <f t="shared" si="22"/>
        <v>4</v>
      </c>
      <c r="AF116" s="37">
        <f t="shared" si="35"/>
        <v>2808</v>
      </c>
      <c r="AG116" s="181">
        <f t="shared" si="23"/>
        <v>154.6</v>
      </c>
      <c r="AH116" s="111">
        <f t="shared" si="36"/>
        <v>110.57990399999998</v>
      </c>
      <c r="AI116" s="127">
        <f t="shared" si="37"/>
        <v>154.6</v>
      </c>
      <c r="AJ116" s="37">
        <f t="shared" si="24"/>
        <v>1327.6</v>
      </c>
      <c r="AK116" s="37">
        <f t="shared" si="38"/>
        <v>4135.6000000000004</v>
      </c>
      <c r="AL116" s="37">
        <f t="shared" si="26"/>
        <v>53.020512820512828</v>
      </c>
      <c r="AN116" s="37" t="str">
        <f t="shared" si="25"/>
        <v>Parcel</v>
      </c>
      <c r="AO116" s="194">
        <f t="shared" si="39"/>
        <v>3</v>
      </c>
    </row>
    <row r="117" spans="22:41" x14ac:dyDescent="0.2">
      <c r="V117" s="181">
        <f t="shared" si="27"/>
        <v>39.5</v>
      </c>
      <c r="W117" s="181">
        <f t="shared" si="28"/>
        <v>79</v>
      </c>
      <c r="X117" s="181">
        <f t="shared" si="29"/>
        <v>1</v>
      </c>
      <c r="Y117" s="37">
        <f t="shared" si="30"/>
        <v>1917.1</v>
      </c>
      <c r="Z117" s="181">
        <f t="shared" si="31"/>
        <v>237.5</v>
      </c>
      <c r="AA117" s="127">
        <f t="shared" si="32"/>
        <v>595.21331999999995</v>
      </c>
      <c r="AB117" s="127">
        <f t="shared" si="33"/>
        <v>595.21331999999995</v>
      </c>
      <c r="AC117" s="37">
        <f t="shared" si="21"/>
        <v>3971.2799199999999</v>
      </c>
      <c r="AD117" s="37">
        <f t="shared" si="34"/>
        <v>5888.3799199999994</v>
      </c>
      <c r="AE117" s="181">
        <f t="shared" si="22"/>
        <v>4</v>
      </c>
      <c r="AF117" s="37">
        <f t="shared" si="35"/>
        <v>2808</v>
      </c>
      <c r="AG117" s="181">
        <f t="shared" si="23"/>
        <v>155.1</v>
      </c>
      <c r="AH117" s="111">
        <f t="shared" si="36"/>
        <v>110.57990399999998</v>
      </c>
      <c r="AI117" s="127">
        <f t="shared" si="37"/>
        <v>155.1</v>
      </c>
      <c r="AJ117" s="37">
        <f t="shared" si="24"/>
        <v>1330.6</v>
      </c>
      <c r="AK117" s="37">
        <f t="shared" si="38"/>
        <v>4138.6000000000004</v>
      </c>
      <c r="AL117" s="37">
        <f t="shared" si="26"/>
        <v>52.387341772151906</v>
      </c>
      <c r="AN117" s="37" t="str">
        <f t="shared" si="25"/>
        <v>Parcel</v>
      </c>
      <c r="AO117" s="194">
        <f t="shared" si="39"/>
        <v>4</v>
      </c>
    </row>
    <row r="118" spans="22:41" x14ac:dyDescent="0.2">
      <c r="V118" s="181">
        <f t="shared" si="27"/>
        <v>40</v>
      </c>
      <c r="W118" s="181">
        <f t="shared" si="28"/>
        <v>80</v>
      </c>
      <c r="X118" s="181">
        <f t="shared" si="29"/>
        <v>1</v>
      </c>
      <c r="Y118" s="37">
        <f t="shared" si="30"/>
        <v>1917.1</v>
      </c>
      <c r="Z118" s="181">
        <f t="shared" si="31"/>
        <v>238</v>
      </c>
      <c r="AA118" s="127">
        <f t="shared" si="32"/>
        <v>595.21331999999995</v>
      </c>
      <c r="AB118" s="127">
        <f t="shared" si="33"/>
        <v>595.21331999999995</v>
      </c>
      <c r="AC118" s="37">
        <f t="shared" si="21"/>
        <v>3971.2799199999999</v>
      </c>
      <c r="AD118" s="37">
        <f t="shared" si="34"/>
        <v>5888.3799199999994</v>
      </c>
      <c r="AE118" s="181">
        <f t="shared" si="22"/>
        <v>4</v>
      </c>
      <c r="AF118" s="37">
        <f t="shared" si="35"/>
        <v>2808</v>
      </c>
      <c r="AG118" s="181">
        <f t="shared" si="23"/>
        <v>155.6</v>
      </c>
      <c r="AH118" s="111">
        <f t="shared" si="36"/>
        <v>110.57990399999998</v>
      </c>
      <c r="AI118" s="127">
        <f t="shared" si="37"/>
        <v>155.6</v>
      </c>
      <c r="AJ118" s="37">
        <f t="shared" si="24"/>
        <v>1333.6</v>
      </c>
      <c r="AK118" s="37">
        <f t="shared" si="38"/>
        <v>4141.6000000000004</v>
      </c>
      <c r="AL118" s="37">
        <f t="shared" si="26"/>
        <v>51.77</v>
      </c>
      <c r="AN118" s="37" t="str">
        <f t="shared" si="25"/>
        <v>Parcel</v>
      </c>
      <c r="AO118" s="194">
        <f t="shared" si="39"/>
        <v>4</v>
      </c>
    </row>
    <row r="119" spans="22:41" x14ac:dyDescent="0.2">
      <c r="V119" s="181">
        <f t="shared" si="27"/>
        <v>40.5</v>
      </c>
      <c r="W119" s="181">
        <f t="shared" si="28"/>
        <v>81</v>
      </c>
      <c r="X119" s="181">
        <f t="shared" si="29"/>
        <v>1</v>
      </c>
      <c r="Y119" s="37">
        <f t="shared" si="30"/>
        <v>1917.1</v>
      </c>
      <c r="Z119" s="181">
        <f t="shared" si="31"/>
        <v>238.5</v>
      </c>
      <c r="AA119" s="127">
        <f t="shared" si="32"/>
        <v>595.21331999999995</v>
      </c>
      <c r="AB119" s="127">
        <f t="shared" si="33"/>
        <v>595.21331999999995</v>
      </c>
      <c r="AC119" s="37">
        <f t="shared" si="21"/>
        <v>3971.2799199999999</v>
      </c>
      <c r="AD119" s="37">
        <f t="shared" si="34"/>
        <v>5888.3799199999994</v>
      </c>
      <c r="AE119" s="181">
        <f t="shared" si="22"/>
        <v>4</v>
      </c>
      <c r="AF119" s="37">
        <f t="shared" si="35"/>
        <v>2808</v>
      </c>
      <c r="AG119" s="181">
        <f t="shared" si="23"/>
        <v>156.1</v>
      </c>
      <c r="AH119" s="111">
        <f t="shared" si="36"/>
        <v>110.57990399999998</v>
      </c>
      <c r="AI119" s="127">
        <f t="shared" si="37"/>
        <v>156.1</v>
      </c>
      <c r="AJ119" s="37">
        <f t="shared" si="24"/>
        <v>1336.6</v>
      </c>
      <c r="AK119" s="37">
        <f t="shared" si="38"/>
        <v>4144.6000000000004</v>
      </c>
      <c r="AL119" s="37">
        <f t="shared" si="26"/>
        <v>51.167901234567907</v>
      </c>
      <c r="AN119" s="37" t="str">
        <f t="shared" si="25"/>
        <v>Parcel</v>
      </c>
      <c r="AO119" s="194">
        <f t="shared" si="39"/>
        <v>4</v>
      </c>
    </row>
    <row r="120" spans="22:41" x14ac:dyDescent="0.2">
      <c r="V120" s="181">
        <f t="shared" si="27"/>
        <v>41</v>
      </c>
      <c r="W120" s="181">
        <f t="shared" si="28"/>
        <v>82</v>
      </c>
      <c r="X120" s="181">
        <f t="shared" si="29"/>
        <v>1</v>
      </c>
      <c r="Y120" s="37">
        <f t="shared" si="30"/>
        <v>1917.1</v>
      </c>
      <c r="Z120" s="181">
        <f t="shared" si="31"/>
        <v>239</v>
      </c>
      <c r="AA120" s="127">
        <f t="shared" si="32"/>
        <v>595.21331999999995</v>
      </c>
      <c r="AB120" s="127">
        <f t="shared" si="33"/>
        <v>595.21331999999995</v>
      </c>
      <c r="AC120" s="37">
        <f t="shared" si="21"/>
        <v>3971.2799199999999</v>
      </c>
      <c r="AD120" s="37">
        <f t="shared" si="34"/>
        <v>5888.3799199999994</v>
      </c>
      <c r="AE120" s="181">
        <f t="shared" si="22"/>
        <v>4</v>
      </c>
      <c r="AF120" s="37">
        <f t="shared" si="35"/>
        <v>2808</v>
      </c>
      <c r="AG120" s="181">
        <f t="shared" si="23"/>
        <v>156.6</v>
      </c>
      <c r="AH120" s="111">
        <f t="shared" si="36"/>
        <v>110.57990399999998</v>
      </c>
      <c r="AI120" s="127">
        <f t="shared" si="37"/>
        <v>156.6</v>
      </c>
      <c r="AJ120" s="37">
        <f t="shared" si="24"/>
        <v>1339.6</v>
      </c>
      <c r="AK120" s="37">
        <f t="shared" si="38"/>
        <v>4147.6000000000004</v>
      </c>
      <c r="AL120" s="37">
        <f t="shared" si="26"/>
        <v>50.580487804878054</v>
      </c>
      <c r="AN120" s="37" t="str">
        <f t="shared" si="25"/>
        <v>Parcel</v>
      </c>
      <c r="AO120" s="194">
        <f t="shared" si="39"/>
        <v>4</v>
      </c>
    </row>
    <row r="121" spans="22:41" x14ac:dyDescent="0.2">
      <c r="V121" s="181">
        <f t="shared" si="27"/>
        <v>41.5</v>
      </c>
      <c r="W121" s="181">
        <f t="shared" si="28"/>
        <v>83</v>
      </c>
      <c r="X121" s="181">
        <f t="shared" si="29"/>
        <v>1</v>
      </c>
      <c r="Y121" s="37">
        <f t="shared" si="30"/>
        <v>1917.1</v>
      </c>
      <c r="Z121" s="181">
        <f t="shared" si="31"/>
        <v>239.5</v>
      </c>
      <c r="AA121" s="127">
        <f t="shared" si="32"/>
        <v>595.21331999999995</v>
      </c>
      <c r="AB121" s="127">
        <f t="shared" si="33"/>
        <v>595.21331999999995</v>
      </c>
      <c r="AC121" s="37">
        <f t="shared" si="21"/>
        <v>3971.2799199999999</v>
      </c>
      <c r="AD121" s="37">
        <f t="shared" si="34"/>
        <v>5888.3799199999994</v>
      </c>
      <c r="AE121" s="181">
        <f t="shared" si="22"/>
        <v>4</v>
      </c>
      <c r="AF121" s="37">
        <f t="shared" si="35"/>
        <v>2808</v>
      </c>
      <c r="AG121" s="181">
        <f t="shared" si="23"/>
        <v>157.1</v>
      </c>
      <c r="AH121" s="111">
        <f t="shared" si="36"/>
        <v>110.57990399999998</v>
      </c>
      <c r="AI121" s="127">
        <f t="shared" si="37"/>
        <v>157.1</v>
      </c>
      <c r="AJ121" s="37">
        <f t="shared" si="24"/>
        <v>1342.6</v>
      </c>
      <c r="AK121" s="37">
        <f t="shared" si="38"/>
        <v>4150.6000000000004</v>
      </c>
      <c r="AL121" s="37">
        <f t="shared" si="26"/>
        <v>50.007228915662658</v>
      </c>
      <c r="AN121" s="37" t="str">
        <f t="shared" si="25"/>
        <v>Parcel</v>
      </c>
      <c r="AO121" s="194">
        <f t="shared" si="39"/>
        <v>4</v>
      </c>
    </row>
    <row r="122" spans="22:41" x14ac:dyDescent="0.2">
      <c r="V122" s="181">
        <f t="shared" si="27"/>
        <v>42</v>
      </c>
      <c r="W122" s="181">
        <f t="shared" si="28"/>
        <v>84</v>
      </c>
      <c r="X122" s="181">
        <f t="shared" si="29"/>
        <v>1</v>
      </c>
      <c r="Y122" s="37">
        <f t="shared" si="30"/>
        <v>1917.1</v>
      </c>
      <c r="Z122" s="181">
        <f t="shared" si="31"/>
        <v>240</v>
      </c>
      <c r="AA122" s="127">
        <f t="shared" si="32"/>
        <v>595.21331999999995</v>
      </c>
      <c r="AB122" s="127">
        <f t="shared" si="33"/>
        <v>595.21331999999995</v>
      </c>
      <c r="AC122" s="37">
        <f t="shared" si="21"/>
        <v>3971.2799199999999</v>
      </c>
      <c r="AD122" s="37">
        <f t="shared" si="34"/>
        <v>5888.3799199999994</v>
      </c>
      <c r="AE122" s="181">
        <f t="shared" si="22"/>
        <v>4</v>
      </c>
      <c r="AF122" s="37">
        <f t="shared" si="35"/>
        <v>2808</v>
      </c>
      <c r="AG122" s="181">
        <f t="shared" si="23"/>
        <v>157.6</v>
      </c>
      <c r="AH122" s="111">
        <f t="shared" si="36"/>
        <v>110.57990399999998</v>
      </c>
      <c r="AI122" s="127">
        <f t="shared" si="37"/>
        <v>157.6</v>
      </c>
      <c r="AJ122" s="37">
        <f t="shared" si="24"/>
        <v>1345.6</v>
      </c>
      <c r="AK122" s="37">
        <f t="shared" si="38"/>
        <v>4153.6000000000004</v>
      </c>
      <c r="AL122" s="37">
        <f t="shared" si="26"/>
        <v>49.44761904761905</v>
      </c>
      <c r="AN122" s="37" t="str">
        <f t="shared" si="25"/>
        <v>Parcel</v>
      </c>
      <c r="AO122" s="194">
        <f t="shared" si="39"/>
        <v>4</v>
      </c>
    </row>
    <row r="123" spans="22:41" x14ac:dyDescent="0.2">
      <c r="V123" s="181">
        <f t="shared" si="27"/>
        <v>42.5</v>
      </c>
      <c r="W123" s="181">
        <f t="shared" si="28"/>
        <v>85</v>
      </c>
      <c r="X123" s="181">
        <f t="shared" si="29"/>
        <v>1</v>
      </c>
      <c r="Y123" s="37">
        <f t="shared" si="30"/>
        <v>1917.1</v>
      </c>
      <c r="Z123" s="181">
        <f t="shared" si="31"/>
        <v>240.5</v>
      </c>
      <c r="AA123" s="127">
        <f t="shared" si="32"/>
        <v>595.21331999999995</v>
      </c>
      <c r="AB123" s="127">
        <f t="shared" si="33"/>
        <v>595.21331999999995</v>
      </c>
      <c r="AC123" s="37">
        <f t="shared" si="21"/>
        <v>3971.2799199999999</v>
      </c>
      <c r="AD123" s="37">
        <f t="shared" si="34"/>
        <v>5888.3799199999994</v>
      </c>
      <c r="AE123" s="181">
        <f t="shared" si="22"/>
        <v>4</v>
      </c>
      <c r="AF123" s="37">
        <f t="shared" si="35"/>
        <v>2808</v>
      </c>
      <c r="AG123" s="181">
        <f t="shared" si="23"/>
        <v>158.1</v>
      </c>
      <c r="AH123" s="111">
        <f t="shared" si="36"/>
        <v>110.57990399999998</v>
      </c>
      <c r="AI123" s="127">
        <f t="shared" si="37"/>
        <v>158.1</v>
      </c>
      <c r="AJ123" s="37">
        <f t="shared" si="24"/>
        <v>1348.6</v>
      </c>
      <c r="AK123" s="37">
        <f t="shared" si="38"/>
        <v>4156.6000000000004</v>
      </c>
      <c r="AL123" s="37">
        <f t="shared" si="26"/>
        <v>48.90117647058824</v>
      </c>
      <c r="AN123" s="37" t="str">
        <f t="shared" si="25"/>
        <v>Parcel</v>
      </c>
      <c r="AO123" s="194">
        <f t="shared" si="39"/>
        <v>4</v>
      </c>
    </row>
    <row r="124" spans="22:41" x14ac:dyDescent="0.2">
      <c r="V124" s="181">
        <f t="shared" si="27"/>
        <v>43</v>
      </c>
      <c r="W124" s="181">
        <f t="shared" si="28"/>
        <v>86</v>
      </c>
      <c r="X124" s="181">
        <f t="shared" si="29"/>
        <v>1</v>
      </c>
      <c r="Y124" s="37">
        <f t="shared" si="30"/>
        <v>1917.1</v>
      </c>
      <c r="Z124" s="181">
        <f t="shared" si="31"/>
        <v>241</v>
      </c>
      <c r="AA124" s="127">
        <f t="shared" si="32"/>
        <v>595.21331999999995</v>
      </c>
      <c r="AB124" s="127">
        <f t="shared" si="33"/>
        <v>595.21331999999995</v>
      </c>
      <c r="AC124" s="37">
        <f t="shared" si="21"/>
        <v>3971.2799199999999</v>
      </c>
      <c r="AD124" s="37">
        <f t="shared" si="34"/>
        <v>5888.3799199999994</v>
      </c>
      <c r="AE124" s="181">
        <f t="shared" si="22"/>
        <v>4</v>
      </c>
      <c r="AF124" s="37">
        <f t="shared" si="35"/>
        <v>2808</v>
      </c>
      <c r="AG124" s="181">
        <f t="shared" si="23"/>
        <v>158.6</v>
      </c>
      <c r="AH124" s="111">
        <f t="shared" si="36"/>
        <v>110.57990399999998</v>
      </c>
      <c r="AI124" s="127">
        <f t="shared" si="37"/>
        <v>158.6</v>
      </c>
      <c r="AJ124" s="37">
        <f t="shared" si="24"/>
        <v>1351.6</v>
      </c>
      <c r="AK124" s="37">
        <f t="shared" si="38"/>
        <v>4159.6000000000004</v>
      </c>
      <c r="AL124" s="37">
        <f t="shared" si="26"/>
        <v>48.367441860465121</v>
      </c>
      <c r="AN124" s="37" t="str">
        <f t="shared" si="25"/>
        <v>Parcel</v>
      </c>
      <c r="AO124" s="194">
        <f t="shared" si="39"/>
        <v>4</v>
      </c>
    </row>
    <row r="125" spans="22:41" x14ac:dyDescent="0.2">
      <c r="V125" s="181">
        <f t="shared" si="27"/>
        <v>43.5</v>
      </c>
      <c r="W125" s="181">
        <f t="shared" si="28"/>
        <v>87</v>
      </c>
      <c r="X125" s="181">
        <f t="shared" si="29"/>
        <v>1</v>
      </c>
      <c r="Y125" s="37">
        <f t="shared" si="30"/>
        <v>1917.1</v>
      </c>
      <c r="Z125" s="181">
        <f t="shared" si="31"/>
        <v>241.5</v>
      </c>
      <c r="AA125" s="127">
        <f t="shared" si="32"/>
        <v>595.21331999999995</v>
      </c>
      <c r="AB125" s="127">
        <f t="shared" si="33"/>
        <v>595.21331999999995</v>
      </c>
      <c r="AC125" s="37">
        <f t="shared" si="21"/>
        <v>3971.2799199999999</v>
      </c>
      <c r="AD125" s="37">
        <f t="shared" si="34"/>
        <v>5888.3799199999994</v>
      </c>
      <c r="AE125" s="181">
        <f t="shared" si="22"/>
        <v>4</v>
      </c>
      <c r="AF125" s="37">
        <f t="shared" si="35"/>
        <v>2808</v>
      </c>
      <c r="AG125" s="181">
        <f t="shared" si="23"/>
        <v>159.1</v>
      </c>
      <c r="AH125" s="111">
        <f t="shared" si="36"/>
        <v>110.57990399999998</v>
      </c>
      <c r="AI125" s="127">
        <f t="shared" si="37"/>
        <v>159.1</v>
      </c>
      <c r="AJ125" s="37">
        <f t="shared" si="24"/>
        <v>1354.6</v>
      </c>
      <c r="AK125" s="37">
        <f t="shared" si="38"/>
        <v>4162.6000000000004</v>
      </c>
      <c r="AL125" s="37">
        <f t="shared" si="26"/>
        <v>47.845977011494256</v>
      </c>
      <c r="AN125" s="37" t="str">
        <f t="shared" si="25"/>
        <v>Parcel</v>
      </c>
      <c r="AO125" s="194">
        <f t="shared" si="39"/>
        <v>4</v>
      </c>
    </row>
    <row r="126" spans="22:41" x14ac:dyDescent="0.2">
      <c r="V126" s="181">
        <f t="shared" si="27"/>
        <v>44</v>
      </c>
      <c r="W126" s="181">
        <f t="shared" si="28"/>
        <v>88</v>
      </c>
      <c r="X126" s="181">
        <f t="shared" si="29"/>
        <v>1</v>
      </c>
      <c r="Y126" s="37">
        <f t="shared" si="30"/>
        <v>1917.1</v>
      </c>
      <c r="Z126" s="181">
        <f t="shared" si="31"/>
        <v>242</v>
      </c>
      <c r="AA126" s="127">
        <f t="shared" si="32"/>
        <v>595.21331999999995</v>
      </c>
      <c r="AB126" s="127">
        <f t="shared" si="33"/>
        <v>595.21331999999995</v>
      </c>
      <c r="AC126" s="37">
        <f t="shared" si="21"/>
        <v>3971.2799199999999</v>
      </c>
      <c r="AD126" s="37">
        <f t="shared" si="34"/>
        <v>5888.3799199999994</v>
      </c>
      <c r="AE126" s="181">
        <f t="shared" si="22"/>
        <v>4</v>
      </c>
      <c r="AF126" s="37">
        <f t="shared" si="35"/>
        <v>2808</v>
      </c>
      <c r="AG126" s="181">
        <f t="shared" si="23"/>
        <v>159.6</v>
      </c>
      <c r="AH126" s="111">
        <f t="shared" si="36"/>
        <v>110.57990399999998</v>
      </c>
      <c r="AI126" s="127">
        <f t="shared" si="37"/>
        <v>159.6</v>
      </c>
      <c r="AJ126" s="37">
        <f t="shared" si="24"/>
        <v>1357.6</v>
      </c>
      <c r="AK126" s="37">
        <f t="shared" si="38"/>
        <v>4165.6000000000004</v>
      </c>
      <c r="AL126" s="37">
        <f t="shared" si="26"/>
        <v>47.336363636363643</v>
      </c>
      <c r="AN126" s="37" t="str">
        <f t="shared" si="25"/>
        <v>Parcel</v>
      </c>
      <c r="AO126" s="194">
        <f t="shared" si="39"/>
        <v>4</v>
      </c>
    </row>
    <row r="127" spans="22:41" x14ac:dyDescent="0.2">
      <c r="V127" s="181">
        <f t="shared" si="27"/>
        <v>44.5</v>
      </c>
      <c r="W127" s="181">
        <f t="shared" si="28"/>
        <v>89</v>
      </c>
      <c r="X127" s="181">
        <f t="shared" si="29"/>
        <v>1</v>
      </c>
      <c r="Y127" s="37">
        <f t="shared" si="30"/>
        <v>1917.1</v>
      </c>
      <c r="Z127" s="181">
        <f t="shared" si="31"/>
        <v>242.5</v>
      </c>
      <c r="AA127" s="127">
        <f t="shared" si="32"/>
        <v>595.21331999999995</v>
      </c>
      <c r="AB127" s="127">
        <f t="shared" si="33"/>
        <v>595.21331999999995</v>
      </c>
      <c r="AC127" s="37">
        <f t="shared" si="21"/>
        <v>3971.2799199999999</v>
      </c>
      <c r="AD127" s="37">
        <f t="shared" si="34"/>
        <v>5888.3799199999994</v>
      </c>
      <c r="AE127" s="181">
        <f t="shared" si="22"/>
        <v>4</v>
      </c>
      <c r="AF127" s="37">
        <f t="shared" si="35"/>
        <v>2808</v>
      </c>
      <c r="AG127" s="181">
        <f t="shared" si="23"/>
        <v>160.1</v>
      </c>
      <c r="AH127" s="111">
        <f t="shared" si="36"/>
        <v>110.57990399999998</v>
      </c>
      <c r="AI127" s="127">
        <f t="shared" si="37"/>
        <v>160.1</v>
      </c>
      <c r="AJ127" s="37">
        <f t="shared" si="24"/>
        <v>1360.6</v>
      </c>
      <c r="AK127" s="37">
        <f t="shared" si="38"/>
        <v>4168.6000000000004</v>
      </c>
      <c r="AL127" s="37">
        <f t="shared" si="26"/>
        <v>46.838202247191013</v>
      </c>
      <c r="AN127" s="37" t="str">
        <f t="shared" si="25"/>
        <v>Parcel</v>
      </c>
      <c r="AO127" s="194">
        <f t="shared" si="39"/>
        <v>4</v>
      </c>
    </row>
    <row r="128" spans="22:41" x14ac:dyDescent="0.2">
      <c r="V128" s="181">
        <f t="shared" si="27"/>
        <v>45</v>
      </c>
      <c r="W128" s="181">
        <f t="shared" si="28"/>
        <v>90</v>
      </c>
      <c r="X128" s="181">
        <f t="shared" si="29"/>
        <v>1</v>
      </c>
      <c r="Y128" s="37">
        <f t="shared" si="30"/>
        <v>1917.1</v>
      </c>
      <c r="Z128" s="181">
        <f t="shared" si="31"/>
        <v>243</v>
      </c>
      <c r="AA128" s="127">
        <f t="shared" si="32"/>
        <v>595.21331999999995</v>
      </c>
      <c r="AB128" s="127">
        <f t="shared" si="33"/>
        <v>595.21331999999995</v>
      </c>
      <c r="AC128" s="37">
        <f t="shared" si="21"/>
        <v>3971.2799199999999</v>
      </c>
      <c r="AD128" s="37">
        <f t="shared" si="34"/>
        <v>5888.3799199999994</v>
      </c>
      <c r="AE128" s="181">
        <f t="shared" si="22"/>
        <v>4</v>
      </c>
      <c r="AF128" s="37">
        <f t="shared" si="35"/>
        <v>2808</v>
      </c>
      <c r="AG128" s="181">
        <f t="shared" si="23"/>
        <v>160.6</v>
      </c>
      <c r="AH128" s="111">
        <f t="shared" si="36"/>
        <v>110.57990399999998</v>
      </c>
      <c r="AI128" s="127">
        <f t="shared" si="37"/>
        <v>160.6</v>
      </c>
      <c r="AJ128" s="37">
        <f t="shared" si="24"/>
        <v>1363.6</v>
      </c>
      <c r="AK128" s="37">
        <f t="shared" si="38"/>
        <v>4171.6000000000004</v>
      </c>
      <c r="AL128" s="37">
        <f t="shared" si="26"/>
        <v>46.351111111111116</v>
      </c>
      <c r="AN128" s="37" t="str">
        <f t="shared" si="25"/>
        <v>Parcel</v>
      </c>
      <c r="AO128" s="194">
        <f t="shared" si="39"/>
        <v>4</v>
      </c>
    </row>
    <row r="129" spans="22:41" x14ac:dyDescent="0.2">
      <c r="V129" s="181">
        <f t="shared" si="27"/>
        <v>45.5</v>
      </c>
      <c r="W129" s="181">
        <f t="shared" si="28"/>
        <v>91</v>
      </c>
      <c r="X129" s="181">
        <f t="shared" si="29"/>
        <v>1</v>
      </c>
      <c r="Y129" s="37">
        <f t="shared" si="30"/>
        <v>1917.1</v>
      </c>
      <c r="Z129" s="181">
        <f t="shared" si="31"/>
        <v>243.5</v>
      </c>
      <c r="AA129" s="127">
        <f t="shared" si="32"/>
        <v>595.21331999999995</v>
      </c>
      <c r="AB129" s="127">
        <f t="shared" si="33"/>
        <v>595.21331999999995</v>
      </c>
      <c r="AC129" s="37">
        <f t="shared" si="21"/>
        <v>3971.2799199999999</v>
      </c>
      <c r="AD129" s="37">
        <f t="shared" si="34"/>
        <v>5888.3799199999994</v>
      </c>
      <c r="AE129" s="181">
        <f t="shared" si="22"/>
        <v>4</v>
      </c>
      <c r="AF129" s="37">
        <f t="shared" si="35"/>
        <v>2808</v>
      </c>
      <c r="AG129" s="181">
        <f t="shared" si="23"/>
        <v>161.1</v>
      </c>
      <c r="AH129" s="111">
        <f t="shared" si="36"/>
        <v>110.57990399999998</v>
      </c>
      <c r="AI129" s="127">
        <f t="shared" si="37"/>
        <v>161.1</v>
      </c>
      <c r="AJ129" s="37">
        <f t="shared" si="24"/>
        <v>1366.6</v>
      </c>
      <c r="AK129" s="37">
        <f t="shared" si="38"/>
        <v>4174.6000000000004</v>
      </c>
      <c r="AL129" s="37">
        <f t="shared" si="26"/>
        <v>45.874725274725279</v>
      </c>
      <c r="AN129" s="37" t="str">
        <f t="shared" si="25"/>
        <v>Parcel</v>
      </c>
      <c r="AO129" s="194">
        <f t="shared" si="39"/>
        <v>4</v>
      </c>
    </row>
    <row r="130" spans="22:41" x14ac:dyDescent="0.2">
      <c r="V130" s="181">
        <f t="shared" si="27"/>
        <v>46</v>
      </c>
      <c r="W130" s="181">
        <f t="shared" si="28"/>
        <v>92</v>
      </c>
      <c r="X130" s="181">
        <f t="shared" si="29"/>
        <v>1</v>
      </c>
      <c r="Y130" s="37">
        <f t="shared" si="30"/>
        <v>1917.1</v>
      </c>
      <c r="Z130" s="181">
        <f t="shared" si="31"/>
        <v>244</v>
      </c>
      <c r="AA130" s="127">
        <f t="shared" si="32"/>
        <v>595.21331999999995</v>
      </c>
      <c r="AB130" s="127">
        <f t="shared" si="33"/>
        <v>595.21331999999995</v>
      </c>
      <c r="AC130" s="37">
        <f t="shared" si="21"/>
        <v>3971.2799199999999</v>
      </c>
      <c r="AD130" s="37">
        <f t="shared" si="34"/>
        <v>5888.3799199999994</v>
      </c>
      <c r="AE130" s="181">
        <f t="shared" si="22"/>
        <v>4</v>
      </c>
      <c r="AF130" s="37">
        <f t="shared" si="35"/>
        <v>2808</v>
      </c>
      <c r="AG130" s="181">
        <f t="shared" si="23"/>
        <v>161.6</v>
      </c>
      <c r="AH130" s="111">
        <f t="shared" si="36"/>
        <v>110.57990399999998</v>
      </c>
      <c r="AI130" s="127">
        <f t="shared" si="37"/>
        <v>161.6</v>
      </c>
      <c r="AJ130" s="37">
        <f t="shared" si="24"/>
        <v>1369.6</v>
      </c>
      <c r="AK130" s="37">
        <f t="shared" si="38"/>
        <v>4177.6000000000004</v>
      </c>
      <c r="AL130" s="37">
        <f t="shared" si="26"/>
        <v>45.408695652173918</v>
      </c>
      <c r="AN130" s="37" t="str">
        <f t="shared" si="25"/>
        <v>Parcel</v>
      </c>
      <c r="AO130" s="194">
        <f t="shared" si="39"/>
        <v>4</v>
      </c>
    </row>
    <row r="131" spans="22:41" x14ac:dyDescent="0.2">
      <c r="V131" s="181">
        <f t="shared" si="27"/>
        <v>46.5</v>
      </c>
      <c r="W131" s="181">
        <f t="shared" si="28"/>
        <v>93</v>
      </c>
      <c r="X131" s="181">
        <f t="shared" si="29"/>
        <v>1</v>
      </c>
      <c r="Y131" s="37">
        <f t="shared" si="30"/>
        <v>1917.1</v>
      </c>
      <c r="Z131" s="181">
        <f t="shared" si="31"/>
        <v>244.5</v>
      </c>
      <c r="AA131" s="127">
        <f t="shared" si="32"/>
        <v>595.21331999999995</v>
      </c>
      <c r="AB131" s="127">
        <f t="shared" si="33"/>
        <v>595.21331999999995</v>
      </c>
      <c r="AC131" s="37">
        <f t="shared" si="21"/>
        <v>3971.2799199999999</v>
      </c>
      <c r="AD131" s="37">
        <f t="shared" si="34"/>
        <v>5888.3799199999994</v>
      </c>
      <c r="AE131" s="181">
        <f t="shared" si="22"/>
        <v>4</v>
      </c>
      <c r="AF131" s="37">
        <f t="shared" si="35"/>
        <v>2808</v>
      </c>
      <c r="AG131" s="181">
        <f t="shared" si="23"/>
        <v>162.1</v>
      </c>
      <c r="AH131" s="111">
        <f t="shared" si="36"/>
        <v>110.57990399999998</v>
      </c>
      <c r="AI131" s="127">
        <f t="shared" si="37"/>
        <v>162.1</v>
      </c>
      <c r="AJ131" s="37">
        <f t="shared" si="24"/>
        <v>1372.6</v>
      </c>
      <c r="AK131" s="37">
        <f t="shared" si="38"/>
        <v>4180.6000000000004</v>
      </c>
      <c r="AL131" s="37">
        <f t="shared" si="26"/>
        <v>44.952688172043011</v>
      </c>
      <c r="AN131" s="37" t="str">
        <f t="shared" si="25"/>
        <v>Parcel</v>
      </c>
      <c r="AO131" s="194">
        <f t="shared" si="39"/>
        <v>4</v>
      </c>
    </row>
    <row r="132" spans="22:41" x14ac:dyDescent="0.2">
      <c r="V132" s="181">
        <f t="shared" si="27"/>
        <v>47</v>
      </c>
      <c r="W132" s="181">
        <f t="shared" si="28"/>
        <v>94</v>
      </c>
      <c r="X132" s="181">
        <f t="shared" si="29"/>
        <v>1</v>
      </c>
      <c r="Y132" s="37">
        <f t="shared" si="30"/>
        <v>1917.1</v>
      </c>
      <c r="Z132" s="181">
        <f t="shared" si="31"/>
        <v>245</v>
      </c>
      <c r="AA132" s="127">
        <f t="shared" si="32"/>
        <v>595.21331999999995</v>
      </c>
      <c r="AB132" s="127">
        <f t="shared" si="33"/>
        <v>595.21331999999995</v>
      </c>
      <c r="AC132" s="37">
        <f t="shared" si="21"/>
        <v>3971.2799199999999</v>
      </c>
      <c r="AD132" s="37">
        <f t="shared" si="34"/>
        <v>5888.3799199999994</v>
      </c>
      <c r="AE132" s="181">
        <f t="shared" si="22"/>
        <v>4</v>
      </c>
      <c r="AF132" s="37">
        <f t="shared" si="35"/>
        <v>2808</v>
      </c>
      <c r="AG132" s="181">
        <f t="shared" si="23"/>
        <v>162.6</v>
      </c>
      <c r="AH132" s="111">
        <f t="shared" si="36"/>
        <v>110.57990399999998</v>
      </c>
      <c r="AI132" s="127">
        <f t="shared" si="37"/>
        <v>162.6</v>
      </c>
      <c r="AJ132" s="37">
        <f t="shared" si="24"/>
        <v>1375.6</v>
      </c>
      <c r="AK132" s="37">
        <f t="shared" si="38"/>
        <v>4183.6000000000004</v>
      </c>
      <c r="AL132" s="37">
        <f t="shared" si="26"/>
        <v>44.506382978723408</v>
      </c>
      <c r="AN132" s="37" t="str">
        <f t="shared" si="25"/>
        <v>Parcel</v>
      </c>
      <c r="AO132" s="194">
        <f t="shared" si="39"/>
        <v>4</v>
      </c>
    </row>
    <row r="133" spans="22:41" x14ac:dyDescent="0.2">
      <c r="V133" s="181">
        <f t="shared" si="27"/>
        <v>47.5</v>
      </c>
      <c r="W133" s="181">
        <f t="shared" si="28"/>
        <v>95</v>
      </c>
      <c r="X133" s="181">
        <f t="shared" si="29"/>
        <v>1</v>
      </c>
      <c r="Y133" s="37">
        <f t="shared" si="30"/>
        <v>1917.1</v>
      </c>
      <c r="Z133" s="181">
        <f t="shared" si="31"/>
        <v>245.5</v>
      </c>
      <c r="AA133" s="127">
        <f t="shared" si="32"/>
        <v>595.21331999999995</v>
      </c>
      <c r="AB133" s="127">
        <f t="shared" si="33"/>
        <v>595.21331999999995</v>
      </c>
      <c r="AC133" s="37">
        <f t="shared" si="21"/>
        <v>3971.2799199999999</v>
      </c>
      <c r="AD133" s="37">
        <f t="shared" si="34"/>
        <v>5888.3799199999994</v>
      </c>
      <c r="AE133" s="181">
        <f t="shared" si="22"/>
        <v>4</v>
      </c>
      <c r="AF133" s="37">
        <f t="shared" si="35"/>
        <v>2808</v>
      </c>
      <c r="AG133" s="181">
        <f t="shared" si="23"/>
        <v>163.1</v>
      </c>
      <c r="AH133" s="111">
        <f t="shared" si="36"/>
        <v>110.57990399999998</v>
      </c>
      <c r="AI133" s="127">
        <f t="shared" si="37"/>
        <v>163.1</v>
      </c>
      <c r="AJ133" s="37">
        <f t="shared" si="24"/>
        <v>1378.6</v>
      </c>
      <c r="AK133" s="37">
        <f t="shared" si="38"/>
        <v>4186.6000000000004</v>
      </c>
      <c r="AL133" s="37">
        <f t="shared" si="26"/>
        <v>44.069473684210529</v>
      </c>
      <c r="AN133" s="37" t="str">
        <f t="shared" si="25"/>
        <v>Parcel</v>
      </c>
      <c r="AO133" s="194">
        <f t="shared" si="39"/>
        <v>4</v>
      </c>
    </row>
    <row r="134" spans="22:41" x14ac:dyDescent="0.2">
      <c r="V134" s="181">
        <f t="shared" si="27"/>
        <v>48</v>
      </c>
      <c r="W134" s="181">
        <f t="shared" si="28"/>
        <v>96</v>
      </c>
      <c r="X134" s="181">
        <f t="shared" si="29"/>
        <v>1</v>
      </c>
      <c r="Y134" s="37">
        <f t="shared" si="30"/>
        <v>1917.1</v>
      </c>
      <c r="Z134" s="181">
        <f t="shared" si="31"/>
        <v>246</v>
      </c>
      <c r="AA134" s="127">
        <f t="shared" si="32"/>
        <v>595.21331999999995</v>
      </c>
      <c r="AB134" s="127">
        <f t="shared" si="33"/>
        <v>595.21331999999995</v>
      </c>
      <c r="AC134" s="37">
        <f t="shared" si="21"/>
        <v>3971.2799199999999</v>
      </c>
      <c r="AD134" s="37">
        <f t="shared" si="34"/>
        <v>5888.3799199999994</v>
      </c>
      <c r="AE134" s="181">
        <f t="shared" si="22"/>
        <v>4</v>
      </c>
      <c r="AF134" s="37">
        <f t="shared" si="35"/>
        <v>2808</v>
      </c>
      <c r="AG134" s="181">
        <f t="shared" si="23"/>
        <v>163.6</v>
      </c>
      <c r="AH134" s="111">
        <f t="shared" si="36"/>
        <v>110.57990399999998</v>
      </c>
      <c r="AI134" s="127">
        <f t="shared" si="37"/>
        <v>163.6</v>
      </c>
      <c r="AJ134" s="37">
        <f t="shared" si="24"/>
        <v>1381.6</v>
      </c>
      <c r="AK134" s="37">
        <f t="shared" si="38"/>
        <v>4189.6000000000004</v>
      </c>
      <c r="AL134" s="37">
        <f t="shared" si="26"/>
        <v>43.641666666666673</v>
      </c>
      <c r="AN134" s="37" t="str">
        <f t="shared" si="25"/>
        <v>Parcel</v>
      </c>
      <c r="AO134" s="194">
        <f t="shared" si="39"/>
        <v>4</v>
      </c>
    </row>
    <row r="135" spans="22:41" x14ac:dyDescent="0.2">
      <c r="V135" s="181">
        <f t="shared" si="27"/>
        <v>48.5</v>
      </c>
      <c r="W135" s="181">
        <f t="shared" si="28"/>
        <v>97</v>
      </c>
      <c r="X135" s="181">
        <f t="shared" si="29"/>
        <v>1</v>
      </c>
      <c r="Y135" s="37">
        <f t="shared" si="30"/>
        <v>1917.1</v>
      </c>
      <c r="Z135" s="181">
        <f t="shared" si="31"/>
        <v>246.5</v>
      </c>
      <c r="AA135" s="127">
        <f t="shared" si="32"/>
        <v>595.21331999999995</v>
      </c>
      <c r="AB135" s="127">
        <f t="shared" si="33"/>
        <v>595.21331999999995</v>
      </c>
      <c r="AC135" s="37">
        <f t="shared" si="21"/>
        <v>3971.2799199999999</v>
      </c>
      <c r="AD135" s="37">
        <f t="shared" si="34"/>
        <v>5888.3799199999994</v>
      </c>
      <c r="AE135" s="181">
        <f t="shared" si="22"/>
        <v>4</v>
      </c>
      <c r="AF135" s="37">
        <f t="shared" si="35"/>
        <v>2808</v>
      </c>
      <c r="AG135" s="181">
        <f t="shared" si="23"/>
        <v>164.1</v>
      </c>
      <c r="AH135" s="111">
        <f t="shared" si="36"/>
        <v>110.57990399999998</v>
      </c>
      <c r="AI135" s="127">
        <f t="shared" si="37"/>
        <v>164.1</v>
      </c>
      <c r="AJ135" s="37">
        <f t="shared" si="24"/>
        <v>1384.6</v>
      </c>
      <c r="AK135" s="37">
        <f t="shared" si="38"/>
        <v>4192.6000000000004</v>
      </c>
      <c r="AL135" s="37">
        <f t="shared" si="26"/>
        <v>43.22268041237114</v>
      </c>
      <c r="AN135" s="37" t="str">
        <f t="shared" si="25"/>
        <v>Parcel</v>
      </c>
      <c r="AO135" s="194">
        <f t="shared" si="39"/>
        <v>4</v>
      </c>
    </row>
    <row r="136" spans="22:41" x14ac:dyDescent="0.2">
      <c r="V136" s="181">
        <f t="shared" si="27"/>
        <v>49</v>
      </c>
      <c r="W136" s="181">
        <f t="shared" si="28"/>
        <v>98</v>
      </c>
      <c r="X136" s="181">
        <f t="shared" si="29"/>
        <v>1</v>
      </c>
      <c r="Y136" s="37">
        <f t="shared" si="30"/>
        <v>1917.1</v>
      </c>
      <c r="Z136" s="181">
        <f t="shared" si="31"/>
        <v>247</v>
      </c>
      <c r="AA136" s="127">
        <f t="shared" si="32"/>
        <v>595.21331999999995</v>
      </c>
      <c r="AB136" s="127">
        <f t="shared" si="33"/>
        <v>595.21331999999995</v>
      </c>
      <c r="AC136" s="37">
        <f t="shared" si="21"/>
        <v>3971.2799199999999</v>
      </c>
      <c r="AD136" s="37">
        <f t="shared" si="34"/>
        <v>5888.3799199999994</v>
      </c>
      <c r="AE136" s="181">
        <f t="shared" si="22"/>
        <v>4</v>
      </c>
      <c r="AF136" s="37">
        <f t="shared" si="35"/>
        <v>2808</v>
      </c>
      <c r="AG136" s="181">
        <f t="shared" si="23"/>
        <v>164.6</v>
      </c>
      <c r="AH136" s="111">
        <f t="shared" si="36"/>
        <v>110.57990399999998</v>
      </c>
      <c r="AI136" s="127">
        <f t="shared" si="37"/>
        <v>164.6</v>
      </c>
      <c r="AJ136" s="37">
        <f t="shared" si="24"/>
        <v>1387.6</v>
      </c>
      <c r="AK136" s="37">
        <f t="shared" si="38"/>
        <v>4195.6000000000004</v>
      </c>
      <c r="AL136" s="37">
        <f t="shared" si="26"/>
        <v>42.812244897959189</v>
      </c>
      <c r="AN136" s="37" t="str">
        <f t="shared" si="25"/>
        <v>Parcel</v>
      </c>
      <c r="AO136" s="194">
        <f t="shared" si="39"/>
        <v>4</v>
      </c>
    </row>
    <row r="137" spans="22:41" x14ac:dyDescent="0.2">
      <c r="V137" s="181">
        <f t="shared" si="27"/>
        <v>49.5</v>
      </c>
      <c r="W137" s="181">
        <f t="shared" si="28"/>
        <v>99</v>
      </c>
      <c r="X137" s="181">
        <f t="shared" si="29"/>
        <v>1</v>
      </c>
      <c r="Y137" s="37">
        <f t="shared" si="30"/>
        <v>1917.1</v>
      </c>
      <c r="Z137" s="181">
        <f t="shared" si="31"/>
        <v>247.5</v>
      </c>
      <c r="AA137" s="127">
        <f t="shared" si="32"/>
        <v>595.21331999999995</v>
      </c>
      <c r="AB137" s="127">
        <f t="shared" si="33"/>
        <v>595.21331999999995</v>
      </c>
      <c r="AC137" s="37">
        <f t="shared" si="21"/>
        <v>3971.2799199999999</v>
      </c>
      <c r="AD137" s="37">
        <f t="shared" si="34"/>
        <v>5888.3799199999994</v>
      </c>
      <c r="AE137" s="181">
        <f t="shared" si="22"/>
        <v>4</v>
      </c>
      <c r="AF137" s="37">
        <f t="shared" si="35"/>
        <v>2808</v>
      </c>
      <c r="AG137" s="181">
        <f t="shared" si="23"/>
        <v>165.1</v>
      </c>
      <c r="AH137" s="111">
        <f t="shared" si="36"/>
        <v>110.57990399999998</v>
      </c>
      <c r="AI137" s="127">
        <f t="shared" si="37"/>
        <v>165.1</v>
      </c>
      <c r="AJ137" s="37">
        <f t="shared" si="24"/>
        <v>1390.6</v>
      </c>
      <c r="AK137" s="37">
        <f t="shared" si="38"/>
        <v>4198.6000000000004</v>
      </c>
      <c r="AL137" s="37">
        <f t="shared" si="26"/>
        <v>42.410101010101016</v>
      </c>
      <c r="AN137" s="37" t="str">
        <f t="shared" si="25"/>
        <v>Parcel</v>
      </c>
      <c r="AO137" s="194">
        <f t="shared" si="39"/>
        <v>4</v>
      </c>
    </row>
    <row r="138" spans="22:41" x14ac:dyDescent="0.2">
      <c r="V138" s="181">
        <f t="shared" si="27"/>
        <v>50</v>
      </c>
      <c r="W138" s="181">
        <f t="shared" si="28"/>
        <v>100</v>
      </c>
      <c r="X138" s="181">
        <f t="shared" si="29"/>
        <v>1</v>
      </c>
      <c r="Y138" s="37">
        <f t="shared" si="30"/>
        <v>1917.1</v>
      </c>
      <c r="Z138" s="181">
        <f t="shared" si="31"/>
        <v>248</v>
      </c>
      <c r="AA138" s="127">
        <f t="shared" si="32"/>
        <v>595.21331999999995</v>
      </c>
      <c r="AB138" s="127">
        <f t="shared" si="33"/>
        <v>595.21331999999995</v>
      </c>
      <c r="AC138" s="37">
        <f t="shared" si="21"/>
        <v>3971.2799199999999</v>
      </c>
      <c r="AD138" s="37">
        <f t="shared" si="34"/>
        <v>5888.3799199999994</v>
      </c>
      <c r="AE138" s="181">
        <f t="shared" si="22"/>
        <v>4</v>
      </c>
      <c r="AF138" s="37">
        <f t="shared" si="35"/>
        <v>2808</v>
      </c>
      <c r="AG138" s="181">
        <f t="shared" si="23"/>
        <v>165.6</v>
      </c>
      <c r="AH138" s="111">
        <f t="shared" si="36"/>
        <v>110.57990399999998</v>
      </c>
      <c r="AI138" s="127">
        <f t="shared" si="37"/>
        <v>165.6</v>
      </c>
      <c r="AJ138" s="37">
        <f t="shared" si="24"/>
        <v>1393.6</v>
      </c>
      <c r="AK138" s="37">
        <f t="shared" si="38"/>
        <v>4201.6000000000004</v>
      </c>
      <c r="AL138" s="37">
        <f t="shared" si="26"/>
        <v>42.016000000000005</v>
      </c>
      <c r="AN138" s="37" t="str">
        <f t="shared" si="25"/>
        <v>Parcel</v>
      </c>
      <c r="AO138" s="194">
        <f t="shared" si="39"/>
        <v>4</v>
      </c>
    </row>
    <row r="139" spans="22:41" x14ac:dyDescent="0.2">
      <c r="V139" s="181">
        <f t="shared" si="27"/>
        <v>50.5</v>
      </c>
      <c r="W139" s="181">
        <f t="shared" si="28"/>
        <v>101</v>
      </c>
      <c r="X139" s="181">
        <f t="shared" si="29"/>
        <v>1</v>
      </c>
      <c r="Y139" s="37">
        <f t="shared" si="30"/>
        <v>1917.1</v>
      </c>
      <c r="Z139" s="181">
        <f t="shared" si="31"/>
        <v>248.5</v>
      </c>
      <c r="AA139" s="127">
        <f t="shared" si="32"/>
        <v>595.21331999999995</v>
      </c>
      <c r="AB139" s="127">
        <f t="shared" si="33"/>
        <v>595.21331999999995</v>
      </c>
      <c r="AC139" s="37">
        <f t="shared" si="21"/>
        <v>3971.2799199999999</v>
      </c>
      <c r="AD139" s="37">
        <f t="shared" si="34"/>
        <v>5888.3799199999994</v>
      </c>
      <c r="AE139" s="181">
        <f t="shared" si="22"/>
        <v>4</v>
      </c>
      <c r="AF139" s="37">
        <f t="shared" si="35"/>
        <v>2808</v>
      </c>
      <c r="AG139" s="181">
        <f t="shared" si="23"/>
        <v>166.1</v>
      </c>
      <c r="AH139" s="111">
        <f t="shared" si="36"/>
        <v>110.57990399999998</v>
      </c>
      <c r="AI139" s="127">
        <f t="shared" si="37"/>
        <v>166.1</v>
      </c>
      <c r="AJ139" s="37">
        <f t="shared" si="24"/>
        <v>1396.6</v>
      </c>
      <c r="AK139" s="37">
        <f t="shared" si="38"/>
        <v>4204.6000000000004</v>
      </c>
      <c r="AL139" s="37">
        <f t="shared" si="26"/>
        <v>41.629702970297032</v>
      </c>
      <c r="AN139" s="37" t="str">
        <f t="shared" si="25"/>
        <v>Parcel</v>
      </c>
      <c r="AO139" s="194">
        <f t="shared" si="39"/>
        <v>4</v>
      </c>
    </row>
    <row r="140" spans="22:41" x14ac:dyDescent="0.2">
      <c r="V140" s="181">
        <f t="shared" si="27"/>
        <v>51</v>
      </c>
      <c r="W140" s="181">
        <f t="shared" si="28"/>
        <v>102</v>
      </c>
      <c r="X140" s="181">
        <f t="shared" si="29"/>
        <v>1</v>
      </c>
      <c r="Y140" s="37">
        <f t="shared" si="30"/>
        <v>1917.1</v>
      </c>
      <c r="Z140" s="181">
        <f t="shared" si="31"/>
        <v>249</v>
      </c>
      <c r="AA140" s="127">
        <f t="shared" si="32"/>
        <v>595.21331999999995</v>
      </c>
      <c r="AB140" s="127">
        <f t="shared" si="33"/>
        <v>595.21331999999995</v>
      </c>
      <c r="AC140" s="37">
        <f t="shared" si="21"/>
        <v>3971.2799199999999</v>
      </c>
      <c r="AD140" s="37">
        <f t="shared" si="34"/>
        <v>5888.3799199999994</v>
      </c>
      <c r="AE140" s="181">
        <f t="shared" si="22"/>
        <v>4</v>
      </c>
      <c r="AF140" s="37">
        <f t="shared" si="35"/>
        <v>2808</v>
      </c>
      <c r="AG140" s="181">
        <f t="shared" si="23"/>
        <v>166.6</v>
      </c>
      <c r="AH140" s="111">
        <f t="shared" si="36"/>
        <v>110.57990399999998</v>
      </c>
      <c r="AI140" s="127">
        <f t="shared" si="37"/>
        <v>166.6</v>
      </c>
      <c r="AJ140" s="37">
        <f t="shared" si="24"/>
        <v>1399.6</v>
      </c>
      <c r="AK140" s="37">
        <f t="shared" si="38"/>
        <v>4207.6000000000004</v>
      </c>
      <c r="AL140" s="37">
        <f t="shared" si="26"/>
        <v>41.250980392156869</v>
      </c>
      <c r="AN140" s="37" t="str">
        <f t="shared" si="25"/>
        <v>Parcel</v>
      </c>
      <c r="AO140" s="194">
        <f t="shared" si="39"/>
        <v>4</v>
      </c>
    </row>
    <row r="141" spans="22:41" x14ac:dyDescent="0.2">
      <c r="V141" s="181">
        <f t="shared" si="27"/>
        <v>51.5</v>
      </c>
      <c r="W141" s="181">
        <f t="shared" si="28"/>
        <v>103</v>
      </c>
      <c r="X141" s="181">
        <f t="shared" si="29"/>
        <v>1</v>
      </c>
      <c r="Y141" s="37">
        <f t="shared" si="30"/>
        <v>1917.1</v>
      </c>
      <c r="Z141" s="181">
        <f t="shared" si="31"/>
        <v>249.5</v>
      </c>
      <c r="AA141" s="127">
        <f t="shared" si="32"/>
        <v>595.21331999999995</v>
      </c>
      <c r="AB141" s="127">
        <f t="shared" si="33"/>
        <v>595.21331999999995</v>
      </c>
      <c r="AC141" s="37">
        <f t="shared" si="21"/>
        <v>3971.2799199999999</v>
      </c>
      <c r="AD141" s="37">
        <f t="shared" si="34"/>
        <v>5888.3799199999994</v>
      </c>
      <c r="AE141" s="181">
        <f t="shared" si="22"/>
        <v>4</v>
      </c>
      <c r="AF141" s="37">
        <f t="shared" si="35"/>
        <v>2808</v>
      </c>
      <c r="AG141" s="181">
        <f t="shared" si="23"/>
        <v>167.1</v>
      </c>
      <c r="AH141" s="111">
        <f t="shared" si="36"/>
        <v>110.57990399999998</v>
      </c>
      <c r="AI141" s="127">
        <f t="shared" si="37"/>
        <v>167.1</v>
      </c>
      <c r="AJ141" s="37">
        <f t="shared" si="24"/>
        <v>1402.6</v>
      </c>
      <c r="AK141" s="37">
        <f t="shared" si="38"/>
        <v>4210.6000000000004</v>
      </c>
      <c r="AL141" s="37">
        <f t="shared" si="26"/>
        <v>40.879611650485444</v>
      </c>
      <c r="AN141" s="37" t="str">
        <f t="shared" si="25"/>
        <v>Parcel</v>
      </c>
      <c r="AO141" s="194">
        <f t="shared" si="39"/>
        <v>4</v>
      </c>
    </row>
    <row r="142" spans="22:41" x14ac:dyDescent="0.2">
      <c r="V142" s="181">
        <f t="shared" si="27"/>
        <v>52</v>
      </c>
      <c r="W142" s="181">
        <f t="shared" si="28"/>
        <v>104</v>
      </c>
      <c r="X142" s="181">
        <f t="shared" si="29"/>
        <v>1</v>
      </c>
      <c r="Y142" s="37">
        <f t="shared" si="30"/>
        <v>1917.1</v>
      </c>
      <c r="Z142" s="181">
        <f t="shared" si="31"/>
        <v>250</v>
      </c>
      <c r="AA142" s="127">
        <f t="shared" si="32"/>
        <v>595.21331999999995</v>
      </c>
      <c r="AB142" s="127">
        <f t="shared" si="33"/>
        <v>595.21331999999995</v>
      </c>
      <c r="AC142" s="37">
        <f t="shared" si="21"/>
        <v>3971.2799199999999</v>
      </c>
      <c r="AD142" s="37">
        <f t="shared" si="34"/>
        <v>5888.3799199999994</v>
      </c>
      <c r="AE142" s="181">
        <f t="shared" si="22"/>
        <v>5</v>
      </c>
      <c r="AF142" s="37">
        <f t="shared" si="35"/>
        <v>3510</v>
      </c>
      <c r="AG142" s="181">
        <f t="shared" si="23"/>
        <v>196.5</v>
      </c>
      <c r="AH142" s="111">
        <f t="shared" si="36"/>
        <v>138.22487999999998</v>
      </c>
      <c r="AI142" s="127">
        <f t="shared" si="37"/>
        <v>196.5</v>
      </c>
      <c r="AJ142" s="37">
        <f t="shared" si="24"/>
        <v>1579</v>
      </c>
      <c r="AK142" s="37">
        <f t="shared" si="38"/>
        <v>5089</v>
      </c>
      <c r="AL142" s="37">
        <f t="shared" si="26"/>
        <v>48.932692307692307</v>
      </c>
      <c r="AN142" s="37" t="str">
        <f t="shared" si="25"/>
        <v>Parcel</v>
      </c>
      <c r="AO142" s="194">
        <f t="shared" si="39"/>
        <v>4</v>
      </c>
    </row>
    <row r="143" spans="22:41" x14ac:dyDescent="0.2">
      <c r="V143" s="181">
        <f t="shared" si="27"/>
        <v>52.5</v>
      </c>
      <c r="W143" s="181">
        <f t="shared" si="28"/>
        <v>105</v>
      </c>
      <c r="X143" s="181">
        <f t="shared" si="29"/>
        <v>1</v>
      </c>
      <c r="Y143" s="37">
        <f t="shared" si="30"/>
        <v>1917.1</v>
      </c>
      <c r="Z143" s="181">
        <f t="shared" si="31"/>
        <v>250.5</v>
      </c>
      <c r="AA143" s="127">
        <f t="shared" si="32"/>
        <v>595.21331999999995</v>
      </c>
      <c r="AB143" s="127">
        <f t="shared" si="33"/>
        <v>595.21331999999995</v>
      </c>
      <c r="AC143" s="37">
        <f t="shared" si="21"/>
        <v>3971.2799199999999</v>
      </c>
      <c r="AD143" s="37">
        <f t="shared" si="34"/>
        <v>5888.3799199999994</v>
      </c>
      <c r="AE143" s="181">
        <f t="shared" si="22"/>
        <v>5</v>
      </c>
      <c r="AF143" s="37">
        <f t="shared" si="35"/>
        <v>3510</v>
      </c>
      <c r="AG143" s="181">
        <f t="shared" si="23"/>
        <v>197</v>
      </c>
      <c r="AH143" s="111">
        <f t="shared" si="36"/>
        <v>138.22487999999998</v>
      </c>
      <c r="AI143" s="127">
        <f t="shared" si="37"/>
        <v>197</v>
      </c>
      <c r="AJ143" s="37">
        <f t="shared" si="24"/>
        <v>1582</v>
      </c>
      <c r="AK143" s="37">
        <f t="shared" si="38"/>
        <v>5092</v>
      </c>
      <c r="AL143" s="37">
        <f t="shared" si="26"/>
        <v>48.495238095238093</v>
      </c>
      <c r="AN143" s="37" t="str">
        <f t="shared" si="25"/>
        <v>Parcel</v>
      </c>
      <c r="AO143" s="194">
        <f t="shared" si="39"/>
        <v>5</v>
      </c>
    </row>
    <row r="144" spans="22:41" x14ac:dyDescent="0.2">
      <c r="V144" s="181">
        <f t="shared" si="27"/>
        <v>53</v>
      </c>
      <c r="W144" s="181">
        <f t="shared" si="28"/>
        <v>106</v>
      </c>
      <c r="X144" s="181">
        <f t="shared" si="29"/>
        <v>1</v>
      </c>
      <c r="Y144" s="37">
        <f t="shared" si="30"/>
        <v>1917.1</v>
      </c>
      <c r="Z144" s="181">
        <f t="shared" si="31"/>
        <v>251</v>
      </c>
      <c r="AA144" s="127">
        <f t="shared" si="32"/>
        <v>595.21331999999995</v>
      </c>
      <c r="AB144" s="127">
        <f t="shared" si="33"/>
        <v>595.21331999999995</v>
      </c>
      <c r="AC144" s="37">
        <f t="shared" si="21"/>
        <v>3971.2799199999999</v>
      </c>
      <c r="AD144" s="37">
        <f t="shared" si="34"/>
        <v>5888.3799199999994</v>
      </c>
      <c r="AE144" s="181">
        <f t="shared" si="22"/>
        <v>5</v>
      </c>
      <c r="AF144" s="37">
        <f t="shared" si="35"/>
        <v>3510</v>
      </c>
      <c r="AG144" s="181">
        <f t="shared" si="23"/>
        <v>197.5</v>
      </c>
      <c r="AH144" s="111">
        <f t="shared" si="36"/>
        <v>138.22487999999998</v>
      </c>
      <c r="AI144" s="127">
        <f t="shared" si="37"/>
        <v>197.5</v>
      </c>
      <c r="AJ144" s="37">
        <f t="shared" si="24"/>
        <v>1585</v>
      </c>
      <c r="AK144" s="37">
        <f t="shared" si="38"/>
        <v>5095</v>
      </c>
      <c r="AL144" s="37">
        <f t="shared" si="26"/>
        <v>48.066037735849058</v>
      </c>
      <c r="AN144" s="37" t="str">
        <f t="shared" si="25"/>
        <v>Parcel</v>
      </c>
      <c r="AO144" s="194">
        <f t="shared" si="39"/>
        <v>5</v>
      </c>
    </row>
    <row r="145" spans="22:41" x14ac:dyDescent="0.2">
      <c r="V145" s="181">
        <f t="shared" si="27"/>
        <v>53.5</v>
      </c>
      <c r="W145" s="181">
        <f t="shared" si="28"/>
        <v>107</v>
      </c>
      <c r="X145" s="181">
        <f t="shared" si="29"/>
        <v>1</v>
      </c>
      <c r="Y145" s="37">
        <f t="shared" si="30"/>
        <v>1917.1</v>
      </c>
      <c r="Z145" s="181">
        <f t="shared" si="31"/>
        <v>251.5</v>
      </c>
      <c r="AA145" s="127">
        <f t="shared" si="32"/>
        <v>595.21331999999995</v>
      </c>
      <c r="AB145" s="127">
        <f t="shared" si="33"/>
        <v>595.21331999999995</v>
      </c>
      <c r="AC145" s="37">
        <f t="shared" si="21"/>
        <v>3971.2799199999999</v>
      </c>
      <c r="AD145" s="37">
        <f t="shared" si="34"/>
        <v>5888.3799199999994</v>
      </c>
      <c r="AE145" s="181">
        <f t="shared" si="22"/>
        <v>5</v>
      </c>
      <c r="AF145" s="37">
        <f t="shared" si="35"/>
        <v>3510</v>
      </c>
      <c r="AG145" s="181">
        <f t="shared" si="23"/>
        <v>198</v>
      </c>
      <c r="AH145" s="111">
        <f t="shared" si="36"/>
        <v>138.22487999999998</v>
      </c>
      <c r="AI145" s="127">
        <f t="shared" si="37"/>
        <v>198</v>
      </c>
      <c r="AJ145" s="37">
        <f t="shared" si="24"/>
        <v>1588</v>
      </c>
      <c r="AK145" s="37">
        <f t="shared" si="38"/>
        <v>5098</v>
      </c>
      <c r="AL145" s="37">
        <f t="shared" si="26"/>
        <v>47.644859813084111</v>
      </c>
      <c r="AN145" s="37" t="str">
        <f t="shared" si="25"/>
        <v>Parcel</v>
      </c>
      <c r="AO145" s="194">
        <f t="shared" si="39"/>
        <v>5</v>
      </c>
    </row>
    <row r="146" spans="22:41" x14ac:dyDescent="0.2">
      <c r="V146" s="181">
        <f t="shared" si="27"/>
        <v>54</v>
      </c>
      <c r="W146" s="181">
        <f t="shared" si="28"/>
        <v>108</v>
      </c>
      <c r="X146" s="181">
        <f t="shared" si="29"/>
        <v>1</v>
      </c>
      <c r="Y146" s="37">
        <f t="shared" si="30"/>
        <v>1917.1</v>
      </c>
      <c r="Z146" s="181">
        <f t="shared" si="31"/>
        <v>252</v>
      </c>
      <c r="AA146" s="127">
        <f t="shared" si="32"/>
        <v>595.21331999999995</v>
      </c>
      <c r="AB146" s="127">
        <f t="shared" si="33"/>
        <v>595.21331999999995</v>
      </c>
      <c r="AC146" s="37">
        <f t="shared" si="21"/>
        <v>3971.2799199999999</v>
      </c>
      <c r="AD146" s="37">
        <f t="shared" si="34"/>
        <v>5888.3799199999994</v>
      </c>
      <c r="AE146" s="181">
        <f t="shared" si="22"/>
        <v>5</v>
      </c>
      <c r="AF146" s="37">
        <f t="shared" si="35"/>
        <v>3510</v>
      </c>
      <c r="AG146" s="181">
        <f t="shared" si="23"/>
        <v>198.5</v>
      </c>
      <c r="AH146" s="111">
        <f t="shared" si="36"/>
        <v>138.22487999999998</v>
      </c>
      <c r="AI146" s="127">
        <f t="shared" si="37"/>
        <v>198.5</v>
      </c>
      <c r="AJ146" s="37">
        <f t="shared" si="24"/>
        <v>1591</v>
      </c>
      <c r="AK146" s="37">
        <f t="shared" si="38"/>
        <v>5101</v>
      </c>
      <c r="AL146" s="37">
        <f t="shared" si="26"/>
        <v>47.231481481481481</v>
      </c>
      <c r="AN146" s="37" t="str">
        <f t="shared" si="25"/>
        <v>Parcel</v>
      </c>
      <c r="AO146" s="194">
        <f t="shared" si="39"/>
        <v>5</v>
      </c>
    </row>
    <row r="147" spans="22:41" x14ac:dyDescent="0.2">
      <c r="V147" s="181">
        <f t="shared" si="27"/>
        <v>54.5</v>
      </c>
      <c r="W147" s="181">
        <f t="shared" si="28"/>
        <v>109</v>
      </c>
      <c r="X147" s="181">
        <f t="shared" si="29"/>
        <v>1</v>
      </c>
      <c r="Y147" s="37">
        <f t="shared" si="30"/>
        <v>1917.1</v>
      </c>
      <c r="Z147" s="181">
        <f t="shared" si="31"/>
        <v>252.5</v>
      </c>
      <c r="AA147" s="127">
        <f t="shared" si="32"/>
        <v>595.21331999999995</v>
      </c>
      <c r="AB147" s="127">
        <f t="shared" si="33"/>
        <v>595.21331999999995</v>
      </c>
      <c r="AC147" s="37">
        <f t="shared" si="21"/>
        <v>3971.2799199999999</v>
      </c>
      <c r="AD147" s="37">
        <f t="shared" si="34"/>
        <v>5888.3799199999994</v>
      </c>
      <c r="AE147" s="181">
        <f t="shared" si="22"/>
        <v>5</v>
      </c>
      <c r="AF147" s="37">
        <f t="shared" si="35"/>
        <v>3510</v>
      </c>
      <c r="AG147" s="181">
        <f t="shared" si="23"/>
        <v>199</v>
      </c>
      <c r="AH147" s="111">
        <f t="shared" si="36"/>
        <v>138.22487999999998</v>
      </c>
      <c r="AI147" s="127">
        <f t="shared" si="37"/>
        <v>199</v>
      </c>
      <c r="AJ147" s="37">
        <f t="shared" si="24"/>
        <v>1594</v>
      </c>
      <c r="AK147" s="37">
        <f t="shared" si="38"/>
        <v>5104</v>
      </c>
      <c r="AL147" s="37">
        <f t="shared" si="26"/>
        <v>46.825688073394495</v>
      </c>
      <c r="AN147" s="37" t="str">
        <f t="shared" si="25"/>
        <v>Parcel</v>
      </c>
      <c r="AO147" s="194">
        <f t="shared" si="39"/>
        <v>5</v>
      </c>
    </row>
    <row r="148" spans="22:41" x14ac:dyDescent="0.2">
      <c r="V148" s="181">
        <f t="shared" si="27"/>
        <v>55</v>
      </c>
      <c r="W148" s="181">
        <f t="shared" si="28"/>
        <v>110</v>
      </c>
      <c r="X148" s="181">
        <f t="shared" si="29"/>
        <v>1</v>
      </c>
      <c r="Y148" s="37">
        <f t="shared" si="30"/>
        <v>1917.1</v>
      </c>
      <c r="Z148" s="181">
        <f t="shared" si="31"/>
        <v>253</v>
      </c>
      <c r="AA148" s="127">
        <f t="shared" si="32"/>
        <v>595.21331999999995</v>
      </c>
      <c r="AB148" s="127">
        <f t="shared" si="33"/>
        <v>595.21331999999995</v>
      </c>
      <c r="AC148" s="37">
        <f t="shared" si="21"/>
        <v>3971.2799199999999</v>
      </c>
      <c r="AD148" s="37">
        <f t="shared" si="34"/>
        <v>5888.3799199999994</v>
      </c>
      <c r="AE148" s="181">
        <f t="shared" si="22"/>
        <v>5</v>
      </c>
      <c r="AF148" s="37">
        <f t="shared" si="35"/>
        <v>3510</v>
      </c>
      <c r="AG148" s="181">
        <f t="shared" si="23"/>
        <v>199.5</v>
      </c>
      <c r="AH148" s="111">
        <f t="shared" si="36"/>
        <v>138.22487999999998</v>
      </c>
      <c r="AI148" s="127">
        <f t="shared" si="37"/>
        <v>199.5</v>
      </c>
      <c r="AJ148" s="37">
        <f t="shared" si="24"/>
        <v>1597</v>
      </c>
      <c r="AK148" s="37">
        <f t="shared" si="38"/>
        <v>5107</v>
      </c>
      <c r="AL148" s="37">
        <f t="shared" si="26"/>
        <v>46.427272727272729</v>
      </c>
      <c r="AN148" s="37" t="str">
        <f t="shared" si="25"/>
        <v>Parcel</v>
      </c>
      <c r="AO148" s="194">
        <f t="shared" si="39"/>
        <v>5</v>
      </c>
    </row>
    <row r="149" spans="22:41" x14ac:dyDescent="0.2">
      <c r="V149" s="181">
        <f t="shared" si="27"/>
        <v>55.5</v>
      </c>
      <c r="W149" s="181">
        <f t="shared" si="28"/>
        <v>111</v>
      </c>
      <c r="X149" s="181">
        <f t="shared" si="29"/>
        <v>1</v>
      </c>
      <c r="Y149" s="37">
        <f t="shared" si="30"/>
        <v>1917.1</v>
      </c>
      <c r="Z149" s="181">
        <f t="shared" si="31"/>
        <v>253.5</v>
      </c>
      <c r="AA149" s="127">
        <f t="shared" si="32"/>
        <v>595.21331999999995</v>
      </c>
      <c r="AB149" s="127">
        <f t="shared" si="33"/>
        <v>595.21331999999995</v>
      </c>
      <c r="AC149" s="37">
        <f t="shared" si="21"/>
        <v>3971.2799199999999</v>
      </c>
      <c r="AD149" s="37">
        <f t="shared" si="34"/>
        <v>5888.3799199999994</v>
      </c>
      <c r="AE149" s="181">
        <f t="shared" si="22"/>
        <v>5</v>
      </c>
      <c r="AF149" s="37">
        <f t="shared" si="35"/>
        <v>3510</v>
      </c>
      <c r="AG149" s="181">
        <f t="shared" si="23"/>
        <v>200</v>
      </c>
      <c r="AH149" s="111">
        <f t="shared" si="36"/>
        <v>138.22487999999998</v>
      </c>
      <c r="AI149" s="127">
        <f t="shared" si="37"/>
        <v>200</v>
      </c>
      <c r="AJ149" s="37">
        <f t="shared" si="24"/>
        <v>1600</v>
      </c>
      <c r="AK149" s="37">
        <f t="shared" si="38"/>
        <v>5110</v>
      </c>
      <c r="AL149" s="37">
        <f t="shared" si="26"/>
        <v>46.036036036036037</v>
      </c>
      <c r="AN149" s="37" t="str">
        <f t="shared" si="25"/>
        <v>Parcel</v>
      </c>
      <c r="AO149" s="194">
        <f t="shared" si="39"/>
        <v>5</v>
      </c>
    </row>
    <row r="150" spans="22:41" x14ac:dyDescent="0.2">
      <c r="V150" s="181">
        <f t="shared" si="27"/>
        <v>56</v>
      </c>
      <c r="W150" s="181">
        <f t="shared" si="28"/>
        <v>112</v>
      </c>
      <c r="X150" s="181">
        <f t="shared" si="29"/>
        <v>1</v>
      </c>
      <c r="Y150" s="37">
        <f t="shared" si="30"/>
        <v>1917.1</v>
      </c>
      <c r="Z150" s="181">
        <f t="shared" si="31"/>
        <v>254</v>
      </c>
      <c r="AA150" s="127">
        <f t="shared" si="32"/>
        <v>595.21331999999995</v>
      </c>
      <c r="AB150" s="127">
        <f t="shared" si="33"/>
        <v>595.21331999999995</v>
      </c>
      <c r="AC150" s="37">
        <f t="shared" si="21"/>
        <v>3971.2799199999999</v>
      </c>
      <c r="AD150" s="37">
        <f t="shared" si="34"/>
        <v>5888.3799199999994</v>
      </c>
      <c r="AE150" s="181">
        <f t="shared" si="22"/>
        <v>5</v>
      </c>
      <c r="AF150" s="37">
        <f t="shared" si="35"/>
        <v>3510</v>
      </c>
      <c r="AG150" s="181">
        <f t="shared" si="23"/>
        <v>200.5</v>
      </c>
      <c r="AH150" s="111">
        <f t="shared" si="36"/>
        <v>138.22487999999998</v>
      </c>
      <c r="AI150" s="127">
        <f t="shared" si="37"/>
        <v>200.5</v>
      </c>
      <c r="AJ150" s="37">
        <f t="shared" si="24"/>
        <v>1603</v>
      </c>
      <c r="AK150" s="37">
        <f t="shared" si="38"/>
        <v>5113</v>
      </c>
      <c r="AL150" s="37">
        <f t="shared" si="26"/>
        <v>45.651785714285715</v>
      </c>
      <c r="AN150" s="37" t="str">
        <f t="shared" si="25"/>
        <v>Parcel</v>
      </c>
      <c r="AO150" s="194">
        <f t="shared" si="39"/>
        <v>5</v>
      </c>
    </row>
    <row r="151" spans="22:41" x14ac:dyDescent="0.2">
      <c r="V151" s="181">
        <f t="shared" si="27"/>
        <v>56.5</v>
      </c>
      <c r="W151" s="181">
        <f t="shared" si="28"/>
        <v>113</v>
      </c>
      <c r="X151" s="181">
        <f t="shared" si="29"/>
        <v>1</v>
      </c>
      <c r="Y151" s="37">
        <f t="shared" si="30"/>
        <v>1917.1</v>
      </c>
      <c r="Z151" s="181">
        <f t="shared" si="31"/>
        <v>254.5</v>
      </c>
      <c r="AA151" s="127">
        <f t="shared" si="32"/>
        <v>595.21331999999995</v>
      </c>
      <c r="AB151" s="127">
        <f t="shared" si="33"/>
        <v>595.21331999999995</v>
      </c>
      <c r="AC151" s="37">
        <f t="shared" si="21"/>
        <v>3971.2799199999999</v>
      </c>
      <c r="AD151" s="37">
        <f t="shared" si="34"/>
        <v>5888.3799199999994</v>
      </c>
      <c r="AE151" s="181">
        <f t="shared" si="22"/>
        <v>5</v>
      </c>
      <c r="AF151" s="37">
        <f t="shared" si="35"/>
        <v>3510</v>
      </c>
      <c r="AG151" s="181">
        <f t="shared" si="23"/>
        <v>201</v>
      </c>
      <c r="AH151" s="111">
        <f t="shared" si="36"/>
        <v>138.22487999999998</v>
      </c>
      <c r="AI151" s="127">
        <f t="shared" si="37"/>
        <v>201</v>
      </c>
      <c r="AJ151" s="37">
        <f t="shared" si="24"/>
        <v>1606</v>
      </c>
      <c r="AK151" s="37">
        <f t="shared" si="38"/>
        <v>5116</v>
      </c>
      <c r="AL151" s="37">
        <f t="shared" si="26"/>
        <v>45.274336283185839</v>
      </c>
      <c r="AN151" s="37" t="str">
        <f t="shared" si="25"/>
        <v>Parcel</v>
      </c>
      <c r="AO151" s="194">
        <f t="shared" si="39"/>
        <v>5</v>
      </c>
    </row>
    <row r="152" spans="22:41" x14ac:dyDescent="0.2">
      <c r="V152" s="181">
        <f t="shared" si="27"/>
        <v>57</v>
      </c>
      <c r="W152" s="181">
        <f t="shared" si="28"/>
        <v>114</v>
      </c>
      <c r="X152" s="181">
        <f t="shared" si="29"/>
        <v>1</v>
      </c>
      <c r="Y152" s="37">
        <f t="shared" si="30"/>
        <v>1917.1</v>
      </c>
      <c r="Z152" s="181">
        <f t="shared" si="31"/>
        <v>255</v>
      </c>
      <c r="AA152" s="127">
        <f t="shared" si="32"/>
        <v>595.21331999999995</v>
      </c>
      <c r="AB152" s="127">
        <f t="shared" si="33"/>
        <v>595.21331999999995</v>
      </c>
      <c r="AC152" s="37">
        <f t="shared" si="21"/>
        <v>3971.2799199999999</v>
      </c>
      <c r="AD152" s="37">
        <f t="shared" si="34"/>
        <v>5888.3799199999994</v>
      </c>
      <c r="AE152" s="181">
        <f t="shared" si="22"/>
        <v>5</v>
      </c>
      <c r="AF152" s="37">
        <f t="shared" si="35"/>
        <v>3510</v>
      </c>
      <c r="AG152" s="181">
        <f t="shared" si="23"/>
        <v>201.5</v>
      </c>
      <c r="AH152" s="111">
        <f t="shared" si="36"/>
        <v>138.22487999999998</v>
      </c>
      <c r="AI152" s="127">
        <f t="shared" si="37"/>
        <v>201.5</v>
      </c>
      <c r="AJ152" s="37">
        <f t="shared" si="24"/>
        <v>1609</v>
      </c>
      <c r="AK152" s="37">
        <f t="shared" si="38"/>
        <v>5119</v>
      </c>
      <c r="AL152" s="37">
        <f t="shared" si="26"/>
        <v>44.903508771929822</v>
      </c>
      <c r="AN152" s="37" t="str">
        <f t="shared" si="25"/>
        <v>Parcel</v>
      </c>
      <c r="AO152" s="194">
        <f t="shared" si="39"/>
        <v>5</v>
      </c>
    </row>
    <row r="153" spans="22:41" x14ac:dyDescent="0.2">
      <c r="V153" s="181">
        <f t="shared" si="27"/>
        <v>57.5</v>
      </c>
      <c r="W153" s="181">
        <f t="shared" si="28"/>
        <v>115</v>
      </c>
      <c r="X153" s="181">
        <f t="shared" si="29"/>
        <v>1</v>
      </c>
      <c r="Y153" s="37">
        <f t="shared" si="30"/>
        <v>1917.1</v>
      </c>
      <c r="Z153" s="181">
        <f t="shared" si="31"/>
        <v>255.5</v>
      </c>
      <c r="AA153" s="127">
        <f t="shared" si="32"/>
        <v>595.21331999999995</v>
      </c>
      <c r="AB153" s="127">
        <f t="shared" si="33"/>
        <v>595.21331999999995</v>
      </c>
      <c r="AC153" s="37">
        <f t="shared" si="21"/>
        <v>3971.2799199999999</v>
      </c>
      <c r="AD153" s="37">
        <f t="shared" si="34"/>
        <v>5888.3799199999994</v>
      </c>
      <c r="AE153" s="181">
        <f t="shared" si="22"/>
        <v>5</v>
      </c>
      <c r="AF153" s="37">
        <f t="shared" si="35"/>
        <v>3510</v>
      </c>
      <c r="AG153" s="181">
        <f t="shared" si="23"/>
        <v>202</v>
      </c>
      <c r="AH153" s="111">
        <f t="shared" si="36"/>
        <v>138.22487999999998</v>
      </c>
      <c r="AI153" s="127">
        <f t="shared" si="37"/>
        <v>202</v>
      </c>
      <c r="AJ153" s="37">
        <f t="shared" si="24"/>
        <v>1612</v>
      </c>
      <c r="AK153" s="37">
        <f t="shared" si="38"/>
        <v>5122</v>
      </c>
      <c r="AL153" s="37">
        <f t="shared" si="26"/>
        <v>44.539130434782606</v>
      </c>
      <c r="AN153" s="37" t="str">
        <f t="shared" si="25"/>
        <v>Parcel</v>
      </c>
      <c r="AO153" s="194">
        <f t="shared" si="39"/>
        <v>5</v>
      </c>
    </row>
    <row r="154" spans="22:41" x14ac:dyDescent="0.2">
      <c r="V154" s="181">
        <f t="shared" si="27"/>
        <v>58</v>
      </c>
      <c r="W154" s="181">
        <f t="shared" si="28"/>
        <v>116</v>
      </c>
      <c r="X154" s="181">
        <f t="shared" si="29"/>
        <v>1</v>
      </c>
      <c r="Y154" s="37">
        <f t="shared" si="30"/>
        <v>1917.1</v>
      </c>
      <c r="Z154" s="181">
        <f t="shared" si="31"/>
        <v>256</v>
      </c>
      <c r="AA154" s="127">
        <f t="shared" si="32"/>
        <v>595.21331999999995</v>
      </c>
      <c r="AB154" s="127">
        <f t="shared" si="33"/>
        <v>595.21331999999995</v>
      </c>
      <c r="AC154" s="37">
        <f t="shared" si="21"/>
        <v>3971.2799199999999</v>
      </c>
      <c r="AD154" s="37">
        <f t="shared" si="34"/>
        <v>5888.3799199999994</v>
      </c>
      <c r="AE154" s="181">
        <f t="shared" si="22"/>
        <v>5</v>
      </c>
      <c r="AF154" s="37">
        <f t="shared" si="35"/>
        <v>3510</v>
      </c>
      <c r="AG154" s="181">
        <f t="shared" si="23"/>
        <v>202.5</v>
      </c>
      <c r="AH154" s="111">
        <f t="shared" si="36"/>
        <v>138.22487999999998</v>
      </c>
      <c r="AI154" s="127">
        <f t="shared" si="37"/>
        <v>202.5</v>
      </c>
      <c r="AJ154" s="37">
        <f t="shared" si="24"/>
        <v>1615</v>
      </c>
      <c r="AK154" s="37">
        <f t="shared" si="38"/>
        <v>5125</v>
      </c>
      <c r="AL154" s="37">
        <f t="shared" si="26"/>
        <v>44.181034482758619</v>
      </c>
      <c r="AN154" s="37" t="str">
        <f t="shared" si="25"/>
        <v>Parcel</v>
      </c>
      <c r="AO154" s="194">
        <f t="shared" si="39"/>
        <v>5</v>
      </c>
    </row>
    <row r="155" spans="22:41" x14ac:dyDescent="0.2">
      <c r="V155" s="181">
        <f t="shared" si="27"/>
        <v>58.5</v>
      </c>
      <c r="W155" s="181">
        <f t="shared" si="28"/>
        <v>117</v>
      </c>
      <c r="X155" s="181">
        <f t="shared" si="29"/>
        <v>1</v>
      </c>
      <c r="Y155" s="37">
        <f t="shared" si="30"/>
        <v>1917.1</v>
      </c>
      <c r="Z155" s="181">
        <f t="shared" si="31"/>
        <v>256.5</v>
      </c>
      <c r="AA155" s="127">
        <f t="shared" si="32"/>
        <v>595.21331999999995</v>
      </c>
      <c r="AB155" s="127">
        <f t="shared" si="33"/>
        <v>595.21331999999995</v>
      </c>
      <c r="AC155" s="37">
        <f t="shared" si="21"/>
        <v>3971.2799199999999</v>
      </c>
      <c r="AD155" s="37">
        <f t="shared" si="34"/>
        <v>5888.3799199999994</v>
      </c>
      <c r="AE155" s="181">
        <f t="shared" si="22"/>
        <v>5</v>
      </c>
      <c r="AF155" s="37">
        <f t="shared" si="35"/>
        <v>3510</v>
      </c>
      <c r="AG155" s="181">
        <f t="shared" si="23"/>
        <v>203</v>
      </c>
      <c r="AH155" s="111">
        <f t="shared" si="36"/>
        <v>138.22487999999998</v>
      </c>
      <c r="AI155" s="127">
        <f t="shared" si="37"/>
        <v>203</v>
      </c>
      <c r="AJ155" s="37">
        <f t="shared" si="24"/>
        <v>1618</v>
      </c>
      <c r="AK155" s="37">
        <f t="shared" si="38"/>
        <v>5128</v>
      </c>
      <c r="AL155" s="37">
        <f t="shared" si="26"/>
        <v>43.82905982905983</v>
      </c>
      <c r="AN155" s="37" t="str">
        <f t="shared" si="25"/>
        <v>Parcel</v>
      </c>
      <c r="AO155" s="194">
        <f t="shared" si="39"/>
        <v>5</v>
      </c>
    </row>
    <row r="156" spans="22:41" x14ac:dyDescent="0.2">
      <c r="V156" s="181">
        <f t="shared" si="27"/>
        <v>59</v>
      </c>
      <c r="W156" s="181">
        <f t="shared" si="28"/>
        <v>118</v>
      </c>
      <c r="X156" s="181">
        <f t="shared" si="29"/>
        <v>1</v>
      </c>
      <c r="Y156" s="37">
        <f t="shared" si="30"/>
        <v>1917.1</v>
      </c>
      <c r="Z156" s="181">
        <f t="shared" si="31"/>
        <v>257</v>
      </c>
      <c r="AA156" s="127">
        <f t="shared" si="32"/>
        <v>595.21331999999995</v>
      </c>
      <c r="AB156" s="127">
        <f t="shared" si="33"/>
        <v>595.21331999999995</v>
      </c>
      <c r="AC156" s="37">
        <f t="shared" si="21"/>
        <v>3971.2799199999999</v>
      </c>
      <c r="AD156" s="37">
        <f t="shared" si="34"/>
        <v>5888.3799199999994</v>
      </c>
      <c r="AE156" s="181">
        <f t="shared" si="22"/>
        <v>5</v>
      </c>
      <c r="AF156" s="37">
        <f t="shared" si="35"/>
        <v>3510</v>
      </c>
      <c r="AG156" s="181">
        <f t="shared" si="23"/>
        <v>203.5</v>
      </c>
      <c r="AH156" s="111">
        <f t="shared" si="36"/>
        <v>138.22487999999998</v>
      </c>
      <c r="AI156" s="127">
        <f t="shared" si="37"/>
        <v>203.5</v>
      </c>
      <c r="AJ156" s="37">
        <f t="shared" si="24"/>
        <v>1621</v>
      </c>
      <c r="AK156" s="37">
        <f t="shared" si="38"/>
        <v>5131</v>
      </c>
      <c r="AL156" s="37">
        <f t="shared" si="26"/>
        <v>43.483050847457626</v>
      </c>
      <c r="AN156" s="37" t="str">
        <f t="shared" si="25"/>
        <v>Parcel</v>
      </c>
      <c r="AO156" s="194">
        <f t="shared" si="39"/>
        <v>5</v>
      </c>
    </row>
    <row r="157" spans="22:41" x14ac:dyDescent="0.2">
      <c r="V157" s="181">
        <f t="shared" si="27"/>
        <v>59.5</v>
      </c>
      <c r="W157" s="181">
        <f t="shared" si="28"/>
        <v>119</v>
      </c>
      <c r="X157" s="181">
        <f t="shared" si="29"/>
        <v>1</v>
      </c>
      <c r="Y157" s="37">
        <f t="shared" si="30"/>
        <v>1917.1</v>
      </c>
      <c r="Z157" s="181">
        <f t="shared" si="31"/>
        <v>257.5</v>
      </c>
      <c r="AA157" s="127">
        <f t="shared" si="32"/>
        <v>595.21331999999995</v>
      </c>
      <c r="AB157" s="127">
        <f t="shared" si="33"/>
        <v>595.21331999999995</v>
      </c>
      <c r="AC157" s="37">
        <f t="shared" si="21"/>
        <v>3971.2799199999999</v>
      </c>
      <c r="AD157" s="37">
        <f t="shared" si="34"/>
        <v>5888.3799199999994</v>
      </c>
      <c r="AE157" s="181">
        <f t="shared" si="22"/>
        <v>5</v>
      </c>
      <c r="AF157" s="37">
        <f t="shared" si="35"/>
        <v>3510</v>
      </c>
      <c r="AG157" s="181">
        <f t="shared" si="23"/>
        <v>204</v>
      </c>
      <c r="AH157" s="111">
        <f t="shared" si="36"/>
        <v>138.22487999999998</v>
      </c>
      <c r="AI157" s="127">
        <f t="shared" si="37"/>
        <v>204</v>
      </c>
      <c r="AJ157" s="37">
        <f t="shared" si="24"/>
        <v>1624</v>
      </c>
      <c r="AK157" s="37">
        <f t="shared" si="38"/>
        <v>5134</v>
      </c>
      <c r="AL157" s="37">
        <f t="shared" si="26"/>
        <v>43.142857142857146</v>
      </c>
      <c r="AN157" s="37" t="str">
        <f t="shared" si="25"/>
        <v>Parcel</v>
      </c>
      <c r="AO157" s="194">
        <f t="shared" si="39"/>
        <v>5</v>
      </c>
    </row>
    <row r="158" spans="22:41" x14ac:dyDescent="0.2">
      <c r="V158" s="181">
        <f t="shared" si="27"/>
        <v>60</v>
      </c>
      <c r="W158" s="181">
        <f t="shared" si="28"/>
        <v>120</v>
      </c>
      <c r="X158" s="181">
        <f t="shared" si="29"/>
        <v>1</v>
      </c>
      <c r="Y158" s="37">
        <f t="shared" si="30"/>
        <v>1917.1</v>
      </c>
      <c r="Z158" s="181">
        <f t="shared" si="31"/>
        <v>258</v>
      </c>
      <c r="AA158" s="127">
        <f t="shared" si="32"/>
        <v>595.21331999999995</v>
      </c>
      <c r="AB158" s="127">
        <f t="shared" si="33"/>
        <v>595.21331999999995</v>
      </c>
      <c r="AC158" s="37">
        <f t="shared" si="21"/>
        <v>3971.2799199999999</v>
      </c>
      <c r="AD158" s="37">
        <f t="shared" si="34"/>
        <v>5888.3799199999994</v>
      </c>
      <c r="AE158" s="181">
        <f t="shared" si="22"/>
        <v>5</v>
      </c>
      <c r="AF158" s="37">
        <f t="shared" si="35"/>
        <v>3510</v>
      </c>
      <c r="AG158" s="181">
        <f t="shared" si="23"/>
        <v>204.5</v>
      </c>
      <c r="AH158" s="111">
        <f t="shared" si="36"/>
        <v>138.22487999999998</v>
      </c>
      <c r="AI158" s="127">
        <f t="shared" si="37"/>
        <v>204.5</v>
      </c>
      <c r="AJ158" s="37">
        <f t="shared" si="24"/>
        <v>1627</v>
      </c>
      <c r="AK158" s="37">
        <f t="shared" si="38"/>
        <v>5137</v>
      </c>
      <c r="AL158" s="37">
        <f t="shared" si="26"/>
        <v>42.80833333333333</v>
      </c>
      <c r="AN158" s="37" t="str">
        <f t="shared" si="25"/>
        <v>Parcel</v>
      </c>
      <c r="AO158" s="194">
        <f t="shared" si="39"/>
        <v>5</v>
      </c>
    </row>
    <row r="159" spans="22:41" x14ac:dyDescent="0.2">
      <c r="V159" s="181">
        <f t="shared" si="27"/>
        <v>60.5</v>
      </c>
      <c r="W159" s="181">
        <f t="shared" si="28"/>
        <v>121</v>
      </c>
      <c r="X159" s="181">
        <f t="shared" si="29"/>
        <v>1</v>
      </c>
      <c r="Y159" s="37">
        <f t="shared" si="30"/>
        <v>1917.1</v>
      </c>
      <c r="Z159" s="181">
        <f t="shared" si="31"/>
        <v>258.5</v>
      </c>
      <c r="AA159" s="127">
        <f t="shared" si="32"/>
        <v>595.21331999999995</v>
      </c>
      <c r="AB159" s="127">
        <f t="shared" si="33"/>
        <v>595.21331999999995</v>
      </c>
      <c r="AC159" s="37">
        <f t="shared" si="21"/>
        <v>3971.2799199999999</v>
      </c>
      <c r="AD159" s="37">
        <f t="shared" si="34"/>
        <v>5888.3799199999994</v>
      </c>
      <c r="AE159" s="181">
        <f t="shared" si="22"/>
        <v>5</v>
      </c>
      <c r="AF159" s="37">
        <f t="shared" si="35"/>
        <v>3510</v>
      </c>
      <c r="AG159" s="181">
        <f t="shared" si="23"/>
        <v>205</v>
      </c>
      <c r="AH159" s="111">
        <f t="shared" si="36"/>
        <v>138.22487999999998</v>
      </c>
      <c r="AI159" s="127">
        <f t="shared" si="37"/>
        <v>205</v>
      </c>
      <c r="AJ159" s="37">
        <f t="shared" si="24"/>
        <v>1630</v>
      </c>
      <c r="AK159" s="37">
        <f t="shared" si="38"/>
        <v>5140</v>
      </c>
      <c r="AL159" s="37">
        <f t="shared" si="26"/>
        <v>42.47933884297521</v>
      </c>
      <c r="AN159" s="37" t="str">
        <f t="shared" si="25"/>
        <v>Parcel</v>
      </c>
      <c r="AO159" s="194">
        <f t="shared" si="39"/>
        <v>5</v>
      </c>
    </row>
    <row r="160" spans="22:41" x14ac:dyDescent="0.2">
      <c r="V160" s="181">
        <f t="shared" si="27"/>
        <v>61</v>
      </c>
      <c r="W160" s="181">
        <f t="shared" si="28"/>
        <v>122</v>
      </c>
      <c r="X160" s="181">
        <f t="shared" si="29"/>
        <v>1</v>
      </c>
      <c r="Y160" s="37">
        <f t="shared" si="30"/>
        <v>1917.1</v>
      </c>
      <c r="Z160" s="181">
        <f t="shared" si="31"/>
        <v>259</v>
      </c>
      <c r="AA160" s="127">
        <f t="shared" si="32"/>
        <v>595.21331999999995</v>
      </c>
      <c r="AB160" s="127">
        <f t="shared" si="33"/>
        <v>595.21331999999995</v>
      </c>
      <c r="AC160" s="37">
        <f t="shared" si="21"/>
        <v>3971.2799199999999</v>
      </c>
      <c r="AD160" s="37">
        <f t="shared" si="34"/>
        <v>5888.3799199999994</v>
      </c>
      <c r="AE160" s="181">
        <f t="shared" si="22"/>
        <v>5</v>
      </c>
      <c r="AF160" s="37">
        <f t="shared" si="35"/>
        <v>3510</v>
      </c>
      <c r="AG160" s="181">
        <f t="shared" si="23"/>
        <v>205.5</v>
      </c>
      <c r="AH160" s="111">
        <f t="shared" si="36"/>
        <v>138.22487999999998</v>
      </c>
      <c r="AI160" s="127">
        <f t="shared" si="37"/>
        <v>205.5</v>
      </c>
      <c r="AJ160" s="37">
        <f t="shared" si="24"/>
        <v>1633</v>
      </c>
      <c r="AK160" s="37">
        <f t="shared" si="38"/>
        <v>5143</v>
      </c>
      <c r="AL160" s="37">
        <f t="shared" si="26"/>
        <v>42.155737704918032</v>
      </c>
      <c r="AN160" s="37" t="str">
        <f t="shared" si="25"/>
        <v>Parcel</v>
      </c>
      <c r="AO160" s="194">
        <f t="shared" si="39"/>
        <v>5</v>
      </c>
    </row>
    <row r="161" spans="22:41" x14ac:dyDescent="0.2">
      <c r="V161" s="181">
        <f t="shared" si="27"/>
        <v>61.5</v>
      </c>
      <c r="W161" s="181">
        <f t="shared" si="28"/>
        <v>123</v>
      </c>
      <c r="X161" s="181">
        <f t="shared" si="29"/>
        <v>1</v>
      </c>
      <c r="Y161" s="37">
        <f t="shared" si="30"/>
        <v>1917.1</v>
      </c>
      <c r="Z161" s="181">
        <f t="shared" si="31"/>
        <v>259.5</v>
      </c>
      <c r="AA161" s="127">
        <f t="shared" si="32"/>
        <v>595.21331999999995</v>
      </c>
      <c r="AB161" s="127">
        <f t="shared" si="33"/>
        <v>595.21331999999995</v>
      </c>
      <c r="AC161" s="37">
        <f t="shared" si="21"/>
        <v>3971.2799199999999</v>
      </c>
      <c r="AD161" s="37">
        <f t="shared" si="34"/>
        <v>5888.3799199999994</v>
      </c>
      <c r="AE161" s="181">
        <f t="shared" si="22"/>
        <v>5</v>
      </c>
      <c r="AF161" s="37">
        <f t="shared" si="35"/>
        <v>3510</v>
      </c>
      <c r="AG161" s="181">
        <f t="shared" si="23"/>
        <v>206</v>
      </c>
      <c r="AH161" s="111">
        <f t="shared" si="36"/>
        <v>138.22487999999998</v>
      </c>
      <c r="AI161" s="127">
        <f t="shared" si="37"/>
        <v>206</v>
      </c>
      <c r="AJ161" s="37">
        <f t="shared" si="24"/>
        <v>1636</v>
      </c>
      <c r="AK161" s="37">
        <f t="shared" si="38"/>
        <v>5146</v>
      </c>
      <c r="AL161" s="37">
        <f t="shared" si="26"/>
        <v>41.837398373983739</v>
      </c>
      <c r="AN161" s="37" t="str">
        <f t="shared" si="25"/>
        <v>Parcel</v>
      </c>
      <c r="AO161" s="194">
        <f t="shared" si="39"/>
        <v>5</v>
      </c>
    </row>
    <row r="162" spans="22:41" x14ac:dyDescent="0.2">
      <c r="V162" s="181">
        <f t="shared" si="27"/>
        <v>62</v>
      </c>
      <c r="W162" s="181">
        <f t="shared" si="28"/>
        <v>124</v>
      </c>
      <c r="X162" s="181">
        <f t="shared" si="29"/>
        <v>1</v>
      </c>
      <c r="Y162" s="37">
        <f t="shared" si="30"/>
        <v>1917.1</v>
      </c>
      <c r="Z162" s="181">
        <f t="shared" si="31"/>
        <v>260</v>
      </c>
      <c r="AA162" s="127">
        <f t="shared" si="32"/>
        <v>595.21331999999995</v>
      </c>
      <c r="AB162" s="127">
        <f t="shared" si="33"/>
        <v>595.21331999999995</v>
      </c>
      <c r="AC162" s="37">
        <f t="shared" si="21"/>
        <v>3971.2799199999999</v>
      </c>
      <c r="AD162" s="37">
        <f t="shared" si="34"/>
        <v>5888.3799199999994</v>
      </c>
      <c r="AE162" s="181">
        <f t="shared" si="22"/>
        <v>5</v>
      </c>
      <c r="AF162" s="37">
        <f t="shared" si="35"/>
        <v>3510</v>
      </c>
      <c r="AG162" s="181">
        <f t="shared" si="23"/>
        <v>206.5</v>
      </c>
      <c r="AH162" s="111">
        <f t="shared" si="36"/>
        <v>138.22487999999998</v>
      </c>
      <c r="AI162" s="127">
        <f t="shared" si="37"/>
        <v>206.5</v>
      </c>
      <c r="AJ162" s="37">
        <f t="shared" si="24"/>
        <v>1639</v>
      </c>
      <c r="AK162" s="37">
        <f t="shared" si="38"/>
        <v>5149</v>
      </c>
      <c r="AL162" s="37">
        <f t="shared" si="26"/>
        <v>41.524193548387096</v>
      </c>
      <c r="AN162" s="37" t="str">
        <f t="shared" si="25"/>
        <v>Parcel</v>
      </c>
      <c r="AO162" s="194">
        <f t="shared" si="39"/>
        <v>5</v>
      </c>
    </row>
    <row r="163" spans="22:41" x14ac:dyDescent="0.2">
      <c r="V163" s="181">
        <f t="shared" si="27"/>
        <v>62.5</v>
      </c>
      <c r="W163" s="181">
        <f t="shared" si="28"/>
        <v>125</v>
      </c>
      <c r="X163" s="181">
        <f t="shared" si="29"/>
        <v>1</v>
      </c>
      <c r="Y163" s="37">
        <f t="shared" si="30"/>
        <v>1917.1</v>
      </c>
      <c r="Z163" s="181">
        <f t="shared" si="31"/>
        <v>260.5</v>
      </c>
      <c r="AA163" s="127">
        <f t="shared" si="32"/>
        <v>595.21331999999995</v>
      </c>
      <c r="AB163" s="127">
        <f t="shared" si="33"/>
        <v>595.21331999999995</v>
      </c>
      <c r="AC163" s="37">
        <f t="shared" si="21"/>
        <v>3971.2799199999999</v>
      </c>
      <c r="AD163" s="37">
        <f t="shared" si="34"/>
        <v>5888.3799199999994</v>
      </c>
      <c r="AE163" s="181">
        <f t="shared" si="22"/>
        <v>5</v>
      </c>
      <c r="AF163" s="37">
        <f t="shared" si="35"/>
        <v>3510</v>
      </c>
      <c r="AG163" s="181">
        <f t="shared" si="23"/>
        <v>207</v>
      </c>
      <c r="AH163" s="111">
        <f t="shared" si="36"/>
        <v>138.22487999999998</v>
      </c>
      <c r="AI163" s="127">
        <f t="shared" si="37"/>
        <v>207</v>
      </c>
      <c r="AJ163" s="37">
        <f t="shared" si="24"/>
        <v>1642</v>
      </c>
      <c r="AK163" s="37">
        <f t="shared" si="38"/>
        <v>5152</v>
      </c>
      <c r="AL163" s="37">
        <f t="shared" si="26"/>
        <v>41.216000000000001</v>
      </c>
      <c r="AN163" s="37" t="str">
        <f t="shared" si="25"/>
        <v>Parcel</v>
      </c>
      <c r="AO163" s="194">
        <f t="shared" si="39"/>
        <v>5</v>
      </c>
    </row>
    <row r="164" spans="22:41" x14ac:dyDescent="0.2">
      <c r="V164" s="181">
        <f t="shared" si="27"/>
        <v>63</v>
      </c>
      <c r="W164" s="181">
        <f t="shared" si="28"/>
        <v>126</v>
      </c>
      <c r="X164" s="181">
        <f t="shared" si="29"/>
        <v>1</v>
      </c>
      <c r="Y164" s="37">
        <f t="shared" si="30"/>
        <v>1917.1</v>
      </c>
      <c r="Z164" s="181">
        <f t="shared" si="31"/>
        <v>261</v>
      </c>
      <c r="AA164" s="127">
        <f t="shared" si="32"/>
        <v>595.21331999999995</v>
      </c>
      <c r="AB164" s="127">
        <f t="shared" si="33"/>
        <v>595.21331999999995</v>
      </c>
      <c r="AC164" s="37">
        <f t="shared" si="21"/>
        <v>3971.2799199999999</v>
      </c>
      <c r="AD164" s="37">
        <f t="shared" si="34"/>
        <v>5888.3799199999994</v>
      </c>
      <c r="AE164" s="181">
        <f t="shared" si="22"/>
        <v>5</v>
      </c>
      <c r="AF164" s="37">
        <f t="shared" si="35"/>
        <v>3510</v>
      </c>
      <c r="AG164" s="181">
        <f t="shared" si="23"/>
        <v>207.5</v>
      </c>
      <c r="AH164" s="111">
        <f t="shared" si="36"/>
        <v>138.22487999999998</v>
      </c>
      <c r="AI164" s="127">
        <f t="shared" si="37"/>
        <v>207.5</v>
      </c>
      <c r="AJ164" s="37">
        <f t="shared" si="24"/>
        <v>1645</v>
      </c>
      <c r="AK164" s="37">
        <f t="shared" si="38"/>
        <v>5155</v>
      </c>
      <c r="AL164" s="37">
        <f t="shared" si="26"/>
        <v>40.912698412698411</v>
      </c>
      <c r="AN164" s="37" t="str">
        <f t="shared" si="25"/>
        <v>Parcel</v>
      </c>
      <c r="AO164" s="194">
        <f t="shared" si="39"/>
        <v>5</v>
      </c>
    </row>
    <row r="165" spans="22:41" x14ac:dyDescent="0.2">
      <c r="V165" s="181">
        <f t="shared" si="27"/>
        <v>63.5</v>
      </c>
      <c r="W165" s="181">
        <f t="shared" si="28"/>
        <v>127</v>
      </c>
      <c r="X165" s="181">
        <f t="shared" si="29"/>
        <v>1</v>
      </c>
      <c r="Y165" s="37">
        <f t="shared" si="30"/>
        <v>1917.1</v>
      </c>
      <c r="Z165" s="181">
        <f t="shared" si="31"/>
        <v>261.5</v>
      </c>
      <c r="AA165" s="127">
        <f t="shared" si="32"/>
        <v>595.21331999999995</v>
      </c>
      <c r="AB165" s="127">
        <f t="shared" si="33"/>
        <v>595.21331999999995</v>
      </c>
      <c r="AC165" s="37">
        <f t="shared" si="21"/>
        <v>3971.2799199999999</v>
      </c>
      <c r="AD165" s="37">
        <f t="shared" si="34"/>
        <v>5888.3799199999994</v>
      </c>
      <c r="AE165" s="181">
        <f t="shared" si="22"/>
        <v>5</v>
      </c>
      <c r="AF165" s="37">
        <f t="shared" si="35"/>
        <v>3510</v>
      </c>
      <c r="AG165" s="181">
        <f t="shared" si="23"/>
        <v>208</v>
      </c>
      <c r="AH165" s="111">
        <f t="shared" si="36"/>
        <v>138.22487999999998</v>
      </c>
      <c r="AI165" s="127">
        <f t="shared" si="37"/>
        <v>208</v>
      </c>
      <c r="AJ165" s="37">
        <f t="shared" si="24"/>
        <v>1648</v>
      </c>
      <c r="AK165" s="37">
        <f t="shared" si="38"/>
        <v>5158</v>
      </c>
      <c r="AL165" s="37">
        <f t="shared" si="26"/>
        <v>40.614173228346459</v>
      </c>
      <c r="AN165" s="37" t="str">
        <f t="shared" si="25"/>
        <v>Parcel</v>
      </c>
      <c r="AO165" s="194">
        <f t="shared" si="39"/>
        <v>5</v>
      </c>
    </row>
    <row r="166" spans="22:41" x14ac:dyDescent="0.2">
      <c r="V166" s="181">
        <f t="shared" si="27"/>
        <v>64</v>
      </c>
      <c r="W166" s="181">
        <f t="shared" si="28"/>
        <v>128</v>
      </c>
      <c r="X166" s="181">
        <f t="shared" si="29"/>
        <v>1</v>
      </c>
      <c r="Y166" s="37">
        <f t="shared" si="30"/>
        <v>1917.1</v>
      </c>
      <c r="Z166" s="181">
        <f t="shared" si="31"/>
        <v>262</v>
      </c>
      <c r="AA166" s="127">
        <f t="shared" si="32"/>
        <v>595.21331999999995</v>
      </c>
      <c r="AB166" s="127">
        <f t="shared" si="33"/>
        <v>595.21331999999995</v>
      </c>
      <c r="AC166" s="37">
        <f t="shared" si="21"/>
        <v>3971.2799199999999</v>
      </c>
      <c r="AD166" s="37">
        <f t="shared" si="34"/>
        <v>5888.3799199999994</v>
      </c>
      <c r="AE166" s="181">
        <f t="shared" si="22"/>
        <v>5</v>
      </c>
      <c r="AF166" s="37">
        <f t="shared" si="35"/>
        <v>3510</v>
      </c>
      <c r="AG166" s="181">
        <f t="shared" si="23"/>
        <v>208.5</v>
      </c>
      <c r="AH166" s="111">
        <f t="shared" si="36"/>
        <v>138.22487999999998</v>
      </c>
      <c r="AI166" s="127">
        <f t="shared" si="37"/>
        <v>208.5</v>
      </c>
      <c r="AJ166" s="37">
        <f t="shared" si="24"/>
        <v>1651</v>
      </c>
      <c r="AK166" s="37">
        <f t="shared" si="38"/>
        <v>5161</v>
      </c>
      <c r="AL166" s="37">
        <f t="shared" si="26"/>
        <v>40.3203125</v>
      </c>
      <c r="AN166" s="37" t="str">
        <f t="shared" si="25"/>
        <v>Parcel</v>
      </c>
      <c r="AO166" s="194">
        <f t="shared" si="39"/>
        <v>5</v>
      </c>
    </row>
    <row r="167" spans="22:41" x14ac:dyDescent="0.2">
      <c r="V167" s="181">
        <f t="shared" si="27"/>
        <v>64.5</v>
      </c>
      <c r="W167" s="181">
        <f t="shared" si="28"/>
        <v>129</v>
      </c>
      <c r="X167" s="181">
        <f t="shared" si="29"/>
        <v>1</v>
      </c>
      <c r="Y167" s="37">
        <f t="shared" si="30"/>
        <v>1917.1</v>
      </c>
      <c r="Z167" s="181">
        <f t="shared" si="31"/>
        <v>262.5</v>
      </c>
      <c r="AA167" s="127">
        <f t="shared" si="32"/>
        <v>595.21331999999995</v>
      </c>
      <c r="AB167" s="127">
        <f t="shared" si="33"/>
        <v>595.21331999999995</v>
      </c>
      <c r="AC167" s="37">
        <f t="shared" ref="AC167:AC230" si="40">(Shipping_perkg_first100*100)+((AB167-100)*Shipping_perkg_above100)</f>
        <v>3971.2799199999999</v>
      </c>
      <c r="AD167" s="37">
        <f t="shared" si="34"/>
        <v>5888.3799199999994</v>
      </c>
      <c r="AE167" s="181">
        <f t="shared" ref="AE167:AE230" si="41">ROUNDUP(W167/$N$19,0)</f>
        <v>5</v>
      </c>
      <c r="AF167" s="37">
        <f t="shared" si="35"/>
        <v>3510</v>
      </c>
      <c r="AG167" s="181">
        <f t="shared" ref="AG167:AG230" si="42">(AE167*$K$19)+V167</f>
        <v>209</v>
      </c>
      <c r="AH167" s="111">
        <f t="shared" si="36"/>
        <v>138.22487999999998</v>
      </c>
      <c r="AI167" s="127">
        <f t="shared" si="37"/>
        <v>209</v>
      </c>
      <c r="AJ167" s="37">
        <f t="shared" ref="AJ167:AJ230" si="43">IF(AI167&lt;=100,AI167*Shipping_perkg_first100,(Shipping_perkg_first100*100)+((AI167-100)*Shipping_perkg_above100))</f>
        <v>1654</v>
      </c>
      <c r="AK167" s="37">
        <f t="shared" si="38"/>
        <v>5164</v>
      </c>
      <c r="AL167" s="37">
        <f t="shared" si="26"/>
        <v>40.031007751937985</v>
      </c>
      <c r="AN167" s="37" t="str">
        <f t="shared" ref="AN167:AN230" si="44">IF(AD167&lt;AK167,"Pallet","Parcel")</f>
        <v>Parcel</v>
      </c>
      <c r="AO167" s="194">
        <f t="shared" si="39"/>
        <v>5</v>
      </c>
    </row>
    <row r="168" spans="22:41" x14ac:dyDescent="0.2">
      <c r="V168" s="181">
        <f t="shared" si="27"/>
        <v>65</v>
      </c>
      <c r="W168" s="181">
        <f t="shared" si="28"/>
        <v>130</v>
      </c>
      <c r="X168" s="181">
        <f t="shared" si="29"/>
        <v>1</v>
      </c>
      <c r="Y168" s="37">
        <f t="shared" si="30"/>
        <v>1917.1</v>
      </c>
      <c r="Z168" s="181">
        <f t="shared" si="31"/>
        <v>263</v>
      </c>
      <c r="AA168" s="127">
        <f t="shared" si="32"/>
        <v>595.21331999999995</v>
      </c>
      <c r="AB168" s="127">
        <f t="shared" si="33"/>
        <v>595.21331999999995</v>
      </c>
      <c r="AC168" s="37">
        <f t="shared" si="40"/>
        <v>3971.2799199999999</v>
      </c>
      <c r="AD168" s="37">
        <f t="shared" si="34"/>
        <v>5888.3799199999994</v>
      </c>
      <c r="AE168" s="181">
        <f t="shared" si="41"/>
        <v>6</v>
      </c>
      <c r="AF168" s="37">
        <f t="shared" si="35"/>
        <v>4212</v>
      </c>
      <c r="AG168" s="181">
        <f t="shared" si="42"/>
        <v>238.39999999999998</v>
      </c>
      <c r="AH168" s="111">
        <f t="shared" si="36"/>
        <v>165.86985599999997</v>
      </c>
      <c r="AI168" s="127">
        <f t="shared" si="37"/>
        <v>238.39999999999998</v>
      </c>
      <c r="AJ168" s="37">
        <f t="shared" si="43"/>
        <v>1830.3999999999999</v>
      </c>
      <c r="AK168" s="37">
        <f t="shared" si="38"/>
        <v>6042.4</v>
      </c>
      <c r="AL168" s="37">
        <f t="shared" ref="AL168:AL231" si="45">MIN(AD168,AK168)/W168</f>
        <v>45.295230153846148</v>
      </c>
      <c r="AN168" s="37" t="str">
        <f t="shared" si="44"/>
        <v>Pallet</v>
      </c>
      <c r="AO168" s="194">
        <f t="shared" si="39"/>
        <v>5</v>
      </c>
    </row>
    <row r="169" spans="22:41" x14ac:dyDescent="0.2">
      <c r="V169" s="181">
        <f t="shared" ref="V169:V232" si="46">W169*$V$37</f>
        <v>65.5</v>
      </c>
      <c r="W169" s="181">
        <f t="shared" ref="W169:W232" si="47">W168+1</f>
        <v>131</v>
      </c>
      <c r="X169" s="181">
        <f t="shared" ref="X169:X232" si="48">ROUNDUP(W169/$N$29,0)</f>
        <v>1</v>
      </c>
      <c r="Y169" s="37">
        <f t="shared" ref="Y169:Y232" si="49">X169*$P$29</f>
        <v>1917.1</v>
      </c>
      <c r="Z169" s="181">
        <f t="shared" ref="Z169:Z232" si="50">V169+(X169*$K$29)</f>
        <v>263.5</v>
      </c>
      <c r="AA169" s="127">
        <f t="shared" ref="AA169:AA232" si="51">X169*$T$29</f>
        <v>595.21331999999995</v>
      </c>
      <c r="AB169" s="127">
        <f t="shared" ref="AB169:AB232" si="52">MAX(Z169,AA169)</f>
        <v>595.21331999999995</v>
      </c>
      <c r="AC169" s="37">
        <f t="shared" si="40"/>
        <v>3971.2799199999999</v>
      </c>
      <c r="AD169" s="37">
        <f t="shared" ref="AD169:AD232" si="53">Y169+AC169</f>
        <v>5888.3799199999994</v>
      </c>
      <c r="AE169" s="181">
        <f t="shared" si="41"/>
        <v>6</v>
      </c>
      <c r="AF169" s="37">
        <f t="shared" ref="AF169:AF232" si="54">AE169*$P$19</f>
        <v>4212</v>
      </c>
      <c r="AG169" s="181">
        <f t="shared" si="42"/>
        <v>238.89999999999998</v>
      </c>
      <c r="AH169" s="111">
        <f t="shared" ref="AH169:AH232" si="55">AE169*$X$19</f>
        <v>165.86985599999997</v>
      </c>
      <c r="AI169" s="127">
        <f t="shared" ref="AI169:AI232" si="56">MAX(AG169,AH169)</f>
        <v>238.89999999999998</v>
      </c>
      <c r="AJ169" s="37">
        <f t="shared" si="43"/>
        <v>1833.3999999999999</v>
      </c>
      <c r="AK169" s="37">
        <f t="shared" ref="AK169:AK232" si="57">AF169+AJ169</f>
        <v>6045.4</v>
      </c>
      <c r="AL169" s="37">
        <f t="shared" si="45"/>
        <v>44.949465038167936</v>
      </c>
      <c r="AN169" s="37" t="str">
        <f t="shared" si="44"/>
        <v>Pallet</v>
      </c>
      <c r="AO169" s="194">
        <f t="shared" ref="AO169:AO232" si="58">AE168</f>
        <v>6</v>
      </c>
    </row>
    <row r="170" spans="22:41" x14ac:dyDescent="0.2">
      <c r="V170" s="181">
        <f t="shared" si="46"/>
        <v>66</v>
      </c>
      <c r="W170" s="181">
        <f t="shared" si="47"/>
        <v>132</v>
      </c>
      <c r="X170" s="181">
        <f t="shared" si="48"/>
        <v>1</v>
      </c>
      <c r="Y170" s="37">
        <f t="shared" si="49"/>
        <v>1917.1</v>
      </c>
      <c r="Z170" s="181">
        <f t="shared" si="50"/>
        <v>264</v>
      </c>
      <c r="AA170" s="127">
        <f t="shared" si="51"/>
        <v>595.21331999999995</v>
      </c>
      <c r="AB170" s="127">
        <f t="shared" si="52"/>
        <v>595.21331999999995</v>
      </c>
      <c r="AC170" s="37">
        <f t="shared" si="40"/>
        <v>3971.2799199999999</v>
      </c>
      <c r="AD170" s="37">
        <f t="shared" si="53"/>
        <v>5888.3799199999994</v>
      </c>
      <c r="AE170" s="181">
        <f t="shared" si="41"/>
        <v>6</v>
      </c>
      <c r="AF170" s="37">
        <f t="shared" si="54"/>
        <v>4212</v>
      </c>
      <c r="AG170" s="181">
        <f t="shared" si="42"/>
        <v>239.39999999999998</v>
      </c>
      <c r="AH170" s="111">
        <f t="shared" si="55"/>
        <v>165.86985599999997</v>
      </c>
      <c r="AI170" s="127">
        <f t="shared" si="56"/>
        <v>239.39999999999998</v>
      </c>
      <c r="AJ170" s="37">
        <f t="shared" si="43"/>
        <v>1836.3999999999999</v>
      </c>
      <c r="AK170" s="37">
        <f t="shared" si="57"/>
        <v>6048.4</v>
      </c>
      <c r="AL170" s="37">
        <f t="shared" si="45"/>
        <v>44.608938787878785</v>
      </c>
      <c r="AN170" s="37" t="str">
        <f t="shared" si="44"/>
        <v>Pallet</v>
      </c>
      <c r="AO170" s="194">
        <f t="shared" si="58"/>
        <v>6</v>
      </c>
    </row>
    <row r="171" spans="22:41" x14ac:dyDescent="0.2">
      <c r="V171" s="181">
        <f t="shared" si="46"/>
        <v>66.5</v>
      </c>
      <c r="W171" s="181">
        <f t="shared" si="47"/>
        <v>133</v>
      </c>
      <c r="X171" s="181">
        <f t="shared" si="48"/>
        <v>1</v>
      </c>
      <c r="Y171" s="37">
        <f t="shared" si="49"/>
        <v>1917.1</v>
      </c>
      <c r="Z171" s="181">
        <f t="shared" si="50"/>
        <v>264.5</v>
      </c>
      <c r="AA171" s="127">
        <f t="shared" si="51"/>
        <v>595.21331999999995</v>
      </c>
      <c r="AB171" s="127">
        <f t="shared" si="52"/>
        <v>595.21331999999995</v>
      </c>
      <c r="AC171" s="37">
        <f t="shared" si="40"/>
        <v>3971.2799199999999</v>
      </c>
      <c r="AD171" s="37">
        <f t="shared" si="53"/>
        <v>5888.3799199999994</v>
      </c>
      <c r="AE171" s="181">
        <f t="shared" si="41"/>
        <v>6</v>
      </c>
      <c r="AF171" s="37">
        <f t="shared" si="54"/>
        <v>4212</v>
      </c>
      <c r="AG171" s="181">
        <f t="shared" si="42"/>
        <v>239.89999999999998</v>
      </c>
      <c r="AH171" s="111">
        <f t="shared" si="55"/>
        <v>165.86985599999997</v>
      </c>
      <c r="AI171" s="127">
        <f t="shared" si="56"/>
        <v>239.89999999999998</v>
      </c>
      <c r="AJ171" s="37">
        <f t="shared" si="43"/>
        <v>1839.3999999999999</v>
      </c>
      <c r="AK171" s="37">
        <f t="shared" si="57"/>
        <v>6051.4</v>
      </c>
      <c r="AL171" s="37">
        <f t="shared" si="45"/>
        <v>44.273533233082702</v>
      </c>
      <c r="AN171" s="37" t="str">
        <f t="shared" si="44"/>
        <v>Pallet</v>
      </c>
      <c r="AO171" s="194">
        <f t="shared" si="58"/>
        <v>6</v>
      </c>
    </row>
    <row r="172" spans="22:41" x14ac:dyDescent="0.2">
      <c r="V172" s="181">
        <f t="shared" si="46"/>
        <v>67</v>
      </c>
      <c r="W172" s="181">
        <f t="shared" si="47"/>
        <v>134</v>
      </c>
      <c r="X172" s="181">
        <f t="shared" si="48"/>
        <v>1</v>
      </c>
      <c r="Y172" s="37">
        <f t="shared" si="49"/>
        <v>1917.1</v>
      </c>
      <c r="Z172" s="181">
        <f t="shared" si="50"/>
        <v>265</v>
      </c>
      <c r="AA172" s="127">
        <f t="shared" si="51"/>
        <v>595.21331999999995</v>
      </c>
      <c r="AB172" s="127">
        <f t="shared" si="52"/>
        <v>595.21331999999995</v>
      </c>
      <c r="AC172" s="37">
        <f t="shared" si="40"/>
        <v>3971.2799199999999</v>
      </c>
      <c r="AD172" s="37">
        <f t="shared" si="53"/>
        <v>5888.3799199999994</v>
      </c>
      <c r="AE172" s="181">
        <f t="shared" si="41"/>
        <v>6</v>
      </c>
      <c r="AF172" s="37">
        <f t="shared" si="54"/>
        <v>4212</v>
      </c>
      <c r="AG172" s="181">
        <f t="shared" si="42"/>
        <v>240.39999999999998</v>
      </c>
      <c r="AH172" s="111">
        <f t="shared" si="55"/>
        <v>165.86985599999997</v>
      </c>
      <c r="AI172" s="127">
        <f t="shared" si="56"/>
        <v>240.39999999999998</v>
      </c>
      <c r="AJ172" s="37">
        <f t="shared" si="43"/>
        <v>1842.3999999999999</v>
      </c>
      <c r="AK172" s="37">
        <f t="shared" si="57"/>
        <v>6054.4</v>
      </c>
      <c r="AL172" s="37">
        <f t="shared" si="45"/>
        <v>43.943133731343281</v>
      </c>
      <c r="AN172" s="37" t="str">
        <f t="shared" si="44"/>
        <v>Pallet</v>
      </c>
      <c r="AO172" s="194">
        <f t="shared" si="58"/>
        <v>6</v>
      </c>
    </row>
    <row r="173" spans="22:41" x14ac:dyDescent="0.2">
      <c r="V173" s="181">
        <f t="shared" si="46"/>
        <v>67.5</v>
      </c>
      <c r="W173" s="181">
        <f t="shared" si="47"/>
        <v>135</v>
      </c>
      <c r="X173" s="181">
        <f t="shared" si="48"/>
        <v>1</v>
      </c>
      <c r="Y173" s="37">
        <f t="shared" si="49"/>
        <v>1917.1</v>
      </c>
      <c r="Z173" s="181">
        <f t="shared" si="50"/>
        <v>265.5</v>
      </c>
      <c r="AA173" s="127">
        <f t="shared" si="51"/>
        <v>595.21331999999995</v>
      </c>
      <c r="AB173" s="127">
        <f t="shared" si="52"/>
        <v>595.21331999999995</v>
      </c>
      <c r="AC173" s="37">
        <f t="shared" si="40"/>
        <v>3971.2799199999999</v>
      </c>
      <c r="AD173" s="37">
        <f t="shared" si="53"/>
        <v>5888.3799199999994</v>
      </c>
      <c r="AE173" s="181">
        <f t="shared" si="41"/>
        <v>6</v>
      </c>
      <c r="AF173" s="37">
        <f t="shared" si="54"/>
        <v>4212</v>
      </c>
      <c r="AG173" s="181">
        <f t="shared" si="42"/>
        <v>240.89999999999998</v>
      </c>
      <c r="AH173" s="111">
        <f t="shared" si="55"/>
        <v>165.86985599999997</v>
      </c>
      <c r="AI173" s="127">
        <f t="shared" si="56"/>
        <v>240.89999999999998</v>
      </c>
      <c r="AJ173" s="37">
        <f t="shared" si="43"/>
        <v>1845.3999999999999</v>
      </c>
      <c r="AK173" s="37">
        <f t="shared" si="57"/>
        <v>6057.4</v>
      </c>
      <c r="AL173" s="37">
        <f t="shared" si="45"/>
        <v>43.617629037037034</v>
      </c>
      <c r="AN173" s="37" t="str">
        <f t="shared" si="44"/>
        <v>Pallet</v>
      </c>
      <c r="AO173" s="194">
        <f t="shared" si="58"/>
        <v>6</v>
      </c>
    </row>
    <row r="174" spans="22:41" x14ac:dyDescent="0.2">
      <c r="V174" s="181">
        <f t="shared" si="46"/>
        <v>68</v>
      </c>
      <c r="W174" s="181">
        <f t="shared" si="47"/>
        <v>136</v>
      </c>
      <c r="X174" s="181">
        <f t="shared" si="48"/>
        <v>1</v>
      </c>
      <c r="Y174" s="37">
        <f t="shared" si="49"/>
        <v>1917.1</v>
      </c>
      <c r="Z174" s="181">
        <f t="shared" si="50"/>
        <v>266</v>
      </c>
      <c r="AA174" s="127">
        <f t="shared" si="51"/>
        <v>595.21331999999995</v>
      </c>
      <c r="AB174" s="127">
        <f t="shared" si="52"/>
        <v>595.21331999999995</v>
      </c>
      <c r="AC174" s="37">
        <f t="shared" si="40"/>
        <v>3971.2799199999999</v>
      </c>
      <c r="AD174" s="37">
        <f t="shared" si="53"/>
        <v>5888.3799199999994</v>
      </c>
      <c r="AE174" s="181">
        <f t="shared" si="41"/>
        <v>6</v>
      </c>
      <c r="AF174" s="37">
        <f t="shared" si="54"/>
        <v>4212</v>
      </c>
      <c r="AG174" s="181">
        <f t="shared" si="42"/>
        <v>241.39999999999998</v>
      </c>
      <c r="AH174" s="111">
        <f t="shared" si="55"/>
        <v>165.86985599999997</v>
      </c>
      <c r="AI174" s="127">
        <f t="shared" si="56"/>
        <v>241.39999999999998</v>
      </c>
      <c r="AJ174" s="37">
        <f t="shared" si="43"/>
        <v>1848.3999999999999</v>
      </c>
      <c r="AK174" s="37">
        <f t="shared" si="57"/>
        <v>6060.4</v>
      </c>
      <c r="AL174" s="37">
        <f t="shared" si="45"/>
        <v>43.296911176470587</v>
      </c>
      <c r="AN174" s="37" t="str">
        <f t="shared" si="44"/>
        <v>Pallet</v>
      </c>
      <c r="AO174" s="194">
        <f t="shared" si="58"/>
        <v>6</v>
      </c>
    </row>
    <row r="175" spans="22:41" x14ac:dyDescent="0.2">
      <c r="V175" s="181">
        <f t="shared" si="46"/>
        <v>68.5</v>
      </c>
      <c r="W175" s="181">
        <f t="shared" si="47"/>
        <v>137</v>
      </c>
      <c r="X175" s="181">
        <f t="shared" si="48"/>
        <v>1</v>
      </c>
      <c r="Y175" s="37">
        <f t="shared" si="49"/>
        <v>1917.1</v>
      </c>
      <c r="Z175" s="181">
        <f t="shared" si="50"/>
        <v>266.5</v>
      </c>
      <c r="AA175" s="127">
        <f t="shared" si="51"/>
        <v>595.21331999999995</v>
      </c>
      <c r="AB175" s="127">
        <f t="shared" si="52"/>
        <v>595.21331999999995</v>
      </c>
      <c r="AC175" s="37">
        <f t="shared" si="40"/>
        <v>3971.2799199999999</v>
      </c>
      <c r="AD175" s="37">
        <f t="shared" si="53"/>
        <v>5888.3799199999994</v>
      </c>
      <c r="AE175" s="181">
        <f t="shared" si="41"/>
        <v>6</v>
      </c>
      <c r="AF175" s="37">
        <f t="shared" si="54"/>
        <v>4212</v>
      </c>
      <c r="AG175" s="181">
        <f t="shared" si="42"/>
        <v>241.89999999999998</v>
      </c>
      <c r="AH175" s="111">
        <f t="shared" si="55"/>
        <v>165.86985599999997</v>
      </c>
      <c r="AI175" s="127">
        <f t="shared" si="56"/>
        <v>241.89999999999998</v>
      </c>
      <c r="AJ175" s="37">
        <f t="shared" si="43"/>
        <v>1851.3999999999999</v>
      </c>
      <c r="AK175" s="37">
        <f t="shared" si="57"/>
        <v>6063.4</v>
      </c>
      <c r="AL175" s="37">
        <f t="shared" si="45"/>
        <v>42.98087532846715</v>
      </c>
      <c r="AN175" s="37" t="str">
        <f t="shared" si="44"/>
        <v>Pallet</v>
      </c>
      <c r="AO175" s="194">
        <f t="shared" si="58"/>
        <v>6</v>
      </c>
    </row>
    <row r="176" spans="22:41" x14ac:dyDescent="0.2">
      <c r="V176" s="181">
        <f t="shared" si="46"/>
        <v>69</v>
      </c>
      <c r="W176" s="181">
        <f t="shared" si="47"/>
        <v>138</v>
      </c>
      <c r="X176" s="181">
        <f t="shared" si="48"/>
        <v>1</v>
      </c>
      <c r="Y176" s="37">
        <f t="shared" si="49"/>
        <v>1917.1</v>
      </c>
      <c r="Z176" s="181">
        <f t="shared" si="50"/>
        <v>267</v>
      </c>
      <c r="AA176" s="127">
        <f t="shared" si="51"/>
        <v>595.21331999999995</v>
      </c>
      <c r="AB176" s="127">
        <f t="shared" si="52"/>
        <v>595.21331999999995</v>
      </c>
      <c r="AC176" s="37">
        <f t="shared" si="40"/>
        <v>3971.2799199999999</v>
      </c>
      <c r="AD176" s="37">
        <f t="shared" si="53"/>
        <v>5888.3799199999994</v>
      </c>
      <c r="AE176" s="181">
        <f t="shared" si="41"/>
        <v>6</v>
      </c>
      <c r="AF176" s="37">
        <f t="shared" si="54"/>
        <v>4212</v>
      </c>
      <c r="AG176" s="181">
        <f t="shared" si="42"/>
        <v>242.39999999999998</v>
      </c>
      <c r="AH176" s="111">
        <f t="shared" si="55"/>
        <v>165.86985599999997</v>
      </c>
      <c r="AI176" s="127">
        <f t="shared" si="56"/>
        <v>242.39999999999998</v>
      </c>
      <c r="AJ176" s="37">
        <f t="shared" si="43"/>
        <v>1854.3999999999999</v>
      </c>
      <c r="AK176" s="37">
        <f t="shared" si="57"/>
        <v>6066.4</v>
      </c>
      <c r="AL176" s="37">
        <f t="shared" si="45"/>
        <v>42.669419710144922</v>
      </c>
      <c r="AN176" s="37" t="str">
        <f t="shared" si="44"/>
        <v>Pallet</v>
      </c>
      <c r="AO176" s="194">
        <f t="shared" si="58"/>
        <v>6</v>
      </c>
    </row>
    <row r="177" spans="22:41" x14ac:dyDescent="0.2">
      <c r="V177" s="181">
        <f t="shared" si="46"/>
        <v>69.5</v>
      </c>
      <c r="W177" s="181">
        <f t="shared" si="47"/>
        <v>139</v>
      </c>
      <c r="X177" s="181">
        <f t="shared" si="48"/>
        <v>1</v>
      </c>
      <c r="Y177" s="37">
        <f t="shared" si="49"/>
        <v>1917.1</v>
      </c>
      <c r="Z177" s="181">
        <f t="shared" si="50"/>
        <v>267.5</v>
      </c>
      <c r="AA177" s="127">
        <f t="shared" si="51"/>
        <v>595.21331999999995</v>
      </c>
      <c r="AB177" s="127">
        <f t="shared" si="52"/>
        <v>595.21331999999995</v>
      </c>
      <c r="AC177" s="37">
        <f t="shared" si="40"/>
        <v>3971.2799199999999</v>
      </c>
      <c r="AD177" s="37">
        <f t="shared" si="53"/>
        <v>5888.3799199999994</v>
      </c>
      <c r="AE177" s="181">
        <f t="shared" si="41"/>
        <v>6</v>
      </c>
      <c r="AF177" s="37">
        <f t="shared" si="54"/>
        <v>4212</v>
      </c>
      <c r="AG177" s="181">
        <f t="shared" si="42"/>
        <v>242.89999999999998</v>
      </c>
      <c r="AH177" s="111">
        <f t="shared" si="55"/>
        <v>165.86985599999997</v>
      </c>
      <c r="AI177" s="127">
        <f t="shared" si="56"/>
        <v>242.89999999999998</v>
      </c>
      <c r="AJ177" s="37">
        <f t="shared" si="43"/>
        <v>1857.3999999999999</v>
      </c>
      <c r="AK177" s="37">
        <f t="shared" si="57"/>
        <v>6069.4</v>
      </c>
      <c r="AL177" s="37">
        <f t="shared" si="45"/>
        <v>42.362445467625896</v>
      </c>
      <c r="AN177" s="37" t="str">
        <f t="shared" si="44"/>
        <v>Pallet</v>
      </c>
      <c r="AO177" s="194">
        <f t="shared" si="58"/>
        <v>6</v>
      </c>
    </row>
    <row r="178" spans="22:41" x14ac:dyDescent="0.2">
      <c r="V178" s="181">
        <f t="shared" si="46"/>
        <v>70</v>
      </c>
      <c r="W178" s="181">
        <f t="shared" si="47"/>
        <v>140</v>
      </c>
      <c r="X178" s="181">
        <f t="shared" si="48"/>
        <v>1</v>
      </c>
      <c r="Y178" s="37">
        <f t="shared" si="49"/>
        <v>1917.1</v>
      </c>
      <c r="Z178" s="181">
        <f t="shared" si="50"/>
        <v>268</v>
      </c>
      <c r="AA178" s="127">
        <f t="shared" si="51"/>
        <v>595.21331999999995</v>
      </c>
      <c r="AB178" s="127">
        <f t="shared" si="52"/>
        <v>595.21331999999995</v>
      </c>
      <c r="AC178" s="37">
        <f t="shared" si="40"/>
        <v>3971.2799199999999</v>
      </c>
      <c r="AD178" s="37">
        <f t="shared" si="53"/>
        <v>5888.3799199999994</v>
      </c>
      <c r="AE178" s="181">
        <f t="shared" si="41"/>
        <v>6</v>
      </c>
      <c r="AF178" s="37">
        <f t="shared" si="54"/>
        <v>4212</v>
      </c>
      <c r="AG178" s="181">
        <f t="shared" si="42"/>
        <v>243.39999999999998</v>
      </c>
      <c r="AH178" s="111">
        <f t="shared" si="55"/>
        <v>165.86985599999997</v>
      </c>
      <c r="AI178" s="127">
        <f t="shared" si="56"/>
        <v>243.39999999999998</v>
      </c>
      <c r="AJ178" s="37">
        <f t="shared" si="43"/>
        <v>1860.3999999999999</v>
      </c>
      <c r="AK178" s="37">
        <f t="shared" si="57"/>
        <v>6072.4</v>
      </c>
      <c r="AL178" s="37">
        <f t="shared" si="45"/>
        <v>42.059856571428568</v>
      </c>
      <c r="AN178" s="37" t="str">
        <f t="shared" si="44"/>
        <v>Pallet</v>
      </c>
      <c r="AO178" s="194">
        <f t="shared" si="58"/>
        <v>6</v>
      </c>
    </row>
    <row r="179" spans="22:41" x14ac:dyDescent="0.2">
      <c r="V179" s="181">
        <f t="shared" si="46"/>
        <v>70.5</v>
      </c>
      <c r="W179" s="181">
        <f t="shared" si="47"/>
        <v>141</v>
      </c>
      <c r="X179" s="181">
        <f t="shared" si="48"/>
        <v>1</v>
      </c>
      <c r="Y179" s="37">
        <f t="shared" si="49"/>
        <v>1917.1</v>
      </c>
      <c r="Z179" s="181">
        <f t="shared" si="50"/>
        <v>268.5</v>
      </c>
      <c r="AA179" s="127">
        <f t="shared" si="51"/>
        <v>595.21331999999995</v>
      </c>
      <c r="AB179" s="127">
        <f t="shared" si="52"/>
        <v>595.21331999999995</v>
      </c>
      <c r="AC179" s="37">
        <f t="shared" si="40"/>
        <v>3971.2799199999999</v>
      </c>
      <c r="AD179" s="37">
        <f t="shared" si="53"/>
        <v>5888.3799199999994</v>
      </c>
      <c r="AE179" s="181">
        <f t="shared" si="41"/>
        <v>6</v>
      </c>
      <c r="AF179" s="37">
        <f t="shared" si="54"/>
        <v>4212</v>
      </c>
      <c r="AG179" s="181">
        <f t="shared" si="42"/>
        <v>243.89999999999998</v>
      </c>
      <c r="AH179" s="111">
        <f t="shared" si="55"/>
        <v>165.86985599999997</v>
      </c>
      <c r="AI179" s="127">
        <f t="shared" si="56"/>
        <v>243.89999999999998</v>
      </c>
      <c r="AJ179" s="37">
        <f t="shared" si="43"/>
        <v>1863.3999999999999</v>
      </c>
      <c r="AK179" s="37">
        <f t="shared" si="57"/>
        <v>6075.4</v>
      </c>
      <c r="AL179" s="37">
        <f t="shared" si="45"/>
        <v>41.76155971631205</v>
      </c>
      <c r="AN179" s="37" t="str">
        <f t="shared" si="44"/>
        <v>Pallet</v>
      </c>
      <c r="AO179" s="194">
        <f t="shared" si="58"/>
        <v>6</v>
      </c>
    </row>
    <row r="180" spans="22:41" x14ac:dyDescent="0.2">
      <c r="V180" s="181">
        <f t="shared" si="46"/>
        <v>71</v>
      </c>
      <c r="W180" s="181">
        <f t="shared" si="47"/>
        <v>142</v>
      </c>
      <c r="X180" s="181">
        <f t="shared" si="48"/>
        <v>1</v>
      </c>
      <c r="Y180" s="37">
        <f t="shared" si="49"/>
        <v>1917.1</v>
      </c>
      <c r="Z180" s="181">
        <f t="shared" si="50"/>
        <v>269</v>
      </c>
      <c r="AA180" s="127">
        <f t="shared" si="51"/>
        <v>595.21331999999995</v>
      </c>
      <c r="AB180" s="127">
        <f t="shared" si="52"/>
        <v>595.21331999999995</v>
      </c>
      <c r="AC180" s="37">
        <f t="shared" si="40"/>
        <v>3971.2799199999999</v>
      </c>
      <c r="AD180" s="37">
        <f t="shared" si="53"/>
        <v>5888.3799199999994</v>
      </c>
      <c r="AE180" s="181">
        <f t="shared" si="41"/>
        <v>6</v>
      </c>
      <c r="AF180" s="37">
        <f t="shared" si="54"/>
        <v>4212</v>
      </c>
      <c r="AG180" s="181">
        <f t="shared" si="42"/>
        <v>244.39999999999998</v>
      </c>
      <c r="AH180" s="111">
        <f t="shared" si="55"/>
        <v>165.86985599999997</v>
      </c>
      <c r="AI180" s="127">
        <f t="shared" si="56"/>
        <v>244.39999999999998</v>
      </c>
      <c r="AJ180" s="37">
        <f t="shared" si="43"/>
        <v>1866.3999999999999</v>
      </c>
      <c r="AK180" s="37">
        <f t="shared" si="57"/>
        <v>6078.4</v>
      </c>
      <c r="AL180" s="37">
        <f t="shared" si="45"/>
        <v>41.46746422535211</v>
      </c>
      <c r="AN180" s="37" t="str">
        <f t="shared" si="44"/>
        <v>Pallet</v>
      </c>
      <c r="AO180" s="194">
        <f t="shared" si="58"/>
        <v>6</v>
      </c>
    </row>
    <row r="181" spans="22:41" x14ac:dyDescent="0.2">
      <c r="V181" s="181">
        <f t="shared" si="46"/>
        <v>71.5</v>
      </c>
      <c r="W181" s="181">
        <f t="shared" si="47"/>
        <v>143</v>
      </c>
      <c r="X181" s="181">
        <f t="shared" si="48"/>
        <v>1</v>
      </c>
      <c r="Y181" s="37">
        <f t="shared" si="49"/>
        <v>1917.1</v>
      </c>
      <c r="Z181" s="181">
        <f t="shared" si="50"/>
        <v>269.5</v>
      </c>
      <c r="AA181" s="127">
        <f t="shared" si="51"/>
        <v>595.21331999999995</v>
      </c>
      <c r="AB181" s="127">
        <f t="shared" si="52"/>
        <v>595.21331999999995</v>
      </c>
      <c r="AC181" s="37">
        <f t="shared" si="40"/>
        <v>3971.2799199999999</v>
      </c>
      <c r="AD181" s="37">
        <f t="shared" si="53"/>
        <v>5888.3799199999994</v>
      </c>
      <c r="AE181" s="181">
        <f t="shared" si="41"/>
        <v>6</v>
      </c>
      <c r="AF181" s="37">
        <f t="shared" si="54"/>
        <v>4212</v>
      </c>
      <c r="AG181" s="181">
        <f t="shared" si="42"/>
        <v>244.89999999999998</v>
      </c>
      <c r="AH181" s="111">
        <f t="shared" si="55"/>
        <v>165.86985599999997</v>
      </c>
      <c r="AI181" s="127">
        <f t="shared" si="56"/>
        <v>244.89999999999998</v>
      </c>
      <c r="AJ181" s="37">
        <f t="shared" si="43"/>
        <v>1869.3999999999999</v>
      </c>
      <c r="AK181" s="37">
        <f t="shared" si="57"/>
        <v>6081.4</v>
      </c>
      <c r="AL181" s="37">
        <f t="shared" si="45"/>
        <v>41.177481958041952</v>
      </c>
      <c r="AN181" s="37" t="str">
        <f t="shared" si="44"/>
        <v>Pallet</v>
      </c>
      <c r="AO181" s="194">
        <f t="shared" si="58"/>
        <v>6</v>
      </c>
    </row>
    <row r="182" spans="22:41" x14ac:dyDescent="0.2">
      <c r="V182" s="181">
        <f t="shared" si="46"/>
        <v>72</v>
      </c>
      <c r="W182" s="181">
        <f t="shared" si="47"/>
        <v>144</v>
      </c>
      <c r="X182" s="181">
        <f t="shared" si="48"/>
        <v>1</v>
      </c>
      <c r="Y182" s="37">
        <f t="shared" si="49"/>
        <v>1917.1</v>
      </c>
      <c r="Z182" s="181">
        <f t="shared" si="50"/>
        <v>270</v>
      </c>
      <c r="AA182" s="127">
        <f t="shared" si="51"/>
        <v>595.21331999999995</v>
      </c>
      <c r="AB182" s="127">
        <f t="shared" si="52"/>
        <v>595.21331999999995</v>
      </c>
      <c r="AC182" s="37">
        <f t="shared" si="40"/>
        <v>3971.2799199999999</v>
      </c>
      <c r="AD182" s="37">
        <f t="shared" si="53"/>
        <v>5888.3799199999994</v>
      </c>
      <c r="AE182" s="181">
        <f t="shared" si="41"/>
        <v>6</v>
      </c>
      <c r="AF182" s="37">
        <f t="shared" si="54"/>
        <v>4212</v>
      </c>
      <c r="AG182" s="181">
        <f t="shared" si="42"/>
        <v>245.39999999999998</v>
      </c>
      <c r="AH182" s="111">
        <f t="shared" si="55"/>
        <v>165.86985599999997</v>
      </c>
      <c r="AI182" s="127">
        <f t="shared" si="56"/>
        <v>245.39999999999998</v>
      </c>
      <c r="AJ182" s="37">
        <f t="shared" si="43"/>
        <v>1872.3999999999999</v>
      </c>
      <c r="AK182" s="37">
        <f t="shared" si="57"/>
        <v>6084.4</v>
      </c>
      <c r="AL182" s="37">
        <f t="shared" si="45"/>
        <v>40.891527222222216</v>
      </c>
      <c r="AN182" s="37" t="str">
        <f t="shared" si="44"/>
        <v>Pallet</v>
      </c>
      <c r="AO182" s="194">
        <f t="shared" si="58"/>
        <v>6</v>
      </c>
    </row>
    <row r="183" spans="22:41" x14ac:dyDescent="0.2">
      <c r="V183" s="181">
        <f t="shared" si="46"/>
        <v>72.5</v>
      </c>
      <c r="W183" s="181">
        <f t="shared" si="47"/>
        <v>145</v>
      </c>
      <c r="X183" s="181">
        <f t="shared" si="48"/>
        <v>1</v>
      </c>
      <c r="Y183" s="37">
        <f t="shared" si="49"/>
        <v>1917.1</v>
      </c>
      <c r="Z183" s="181">
        <f t="shared" si="50"/>
        <v>270.5</v>
      </c>
      <c r="AA183" s="127">
        <f t="shared" si="51"/>
        <v>595.21331999999995</v>
      </c>
      <c r="AB183" s="127">
        <f t="shared" si="52"/>
        <v>595.21331999999995</v>
      </c>
      <c r="AC183" s="37">
        <f t="shared" si="40"/>
        <v>3971.2799199999999</v>
      </c>
      <c r="AD183" s="37">
        <f t="shared" si="53"/>
        <v>5888.3799199999994</v>
      </c>
      <c r="AE183" s="181">
        <f t="shared" si="41"/>
        <v>6</v>
      </c>
      <c r="AF183" s="37">
        <f t="shared" si="54"/>
        <v>4212</v>
      </c>
      <c r="AG183" s="181">
        <f t="shared" si="42"/>
        <v>245.89999999999998</v>
      </c>
      <c r="AH183" s="111">
        <f t="shared" si="55"/>
        <v>165.86985599999997</v>
      </c>
      <c r="AI183" s="127">
        <f t="shared" si="56"/>
        <v>245.89999999999998</v>
      </c>
      <c r="AJ183" s="37">
        <f t="shared" si="43"/>
        <v>1875.3999999999999</v>
      </c>
      <c r="AK183" s="37">
        <f t="shared" si="57"/>
        <v>6087.4</v>
      </c>
      <c r="AL183" s="37">
        <f t="shared" si="45"/>
        <v>40.609516689655166</v>
      </c>
      <c r="AN183" s="37" t="str">
        <f t="shared" si="44"/>
        <v>Pallet</v>
      </c>
      <c r="AO183" s="194">
        <f t="shared" si="58"/>
        <v>6</v>
      </c>
    </row>
    <row r="184" spans="22:41" x14ac:dyDescent="0.2">
      <c r="V184" s="181">
        <f t="shared" si="46"/>
        <v>73</v>
      </c>
      <c r="W184" s="181">
        <f t="shared" si="47"/>
        <v>146</v>
      </c>
      <c r="X184" s="181">
        <f t="shared" si="48"/>
        <v>1</v>
      </c>
      <c r="Y184" s="37">
        <f t="shared" si="49"/>
        <v>1917.1</v>
      </c>
      <c r="Z184" s="181">
        <f t="shared" si="50"/>
        <v>271</v>
      </c>
      <c r="AA184" s="127">
        <f t="shared" si="51"/>
        <v>595.21331999999995</v>
      </c>
      <c r="AB184" s="127">
        <f t="shared" si="52"/>
        <v>595.21331999999995</v>
      </c>
      <c r="AC184" s="37">
        <f t="shared" si="40"/>
        <v>3971.2799199999999</v>
      </c>
      <c r="AD184" s="37">
        <f t="shared" si="53"/>
        <v>5888.3799199999994</v>
      </c>
      <c r="AE184" s="181">
        <f t="shared" si="41"/>
        <v>6</v>
      </c>
      <c r="AF184" s="37">
        <f t="shared" si="54"/>
        <v>4212</v>
      </c>
      <c r="AG184" s="181">
        <f t="shared" si="42"/>
        <v>246.39999999999998</v>
      </c>
      <c r="AH184" s="111">
        <f t="shared" si="55"/>
        <v>165.86985599999997</v>
      </c>
      <c r="AI184" s="127">
        <f t="shared" si="56"/>
        <v>246.39999999999998</v>
      </c>
      <c r="AJ184" s="37">
        <f t="shared" si="43"/>
        <v>1878.3999999999999</v>
      </c>
      <c r="AK184" s="37">
        <f t="shared" si="57"/>
        <v>6090.4</v>
      </c>
      <c r="AL184" s="37">
        <f t="shared" si="45"/>
        <v>40.331369315068486</v>
      </c>
      <c r="AN184" s="37" t="str">
        <f t="shared" si="44"/>
        <v>Pallet</v>
      </c>
      <c r="AO184" s="194">
        <f t="shared" si="58"/>
        <v>6</v>
      </c>
    </row>
    <row r="185" spans="22:41" x14ac:dyDescent="0.2">
      <c r="V185" s="181">
        <f t="shared" si="46"/>
        <v>73.5</v>
      </c>
      <c r="W185" s="181">
        <f t="shared" si="47"/>
        <v>147</v>
      </c>
      <c r="X185" s="181">
        <f t="shared" si="48"/>
        <v>1</v>
      </c>
      <c r="Y185" s="37">
        <f t="shared" si="49"/>
        <v>1917.1</v>
      </c>
      <c r="Z185" s="181">
        <f t="shared" si="50"/>
        <v>271.5</v>
      </c>
      <c r="AA185" s="127">
        <f t="shared" si="51"/>
        <v>595.21331999999995</v>
      </c>
      <c r="AB185" s="127">
        <f t="shared" si="52"/>
        <v>595.21331999999995</v>
      </c>
      <c r="AC185" s="37">
        <f t="shared" si="40"/>
        <v>3971.2799199999999</v>
      </c>
      <c r="AD185" s="37">
        <f t="shared" si="53"/>
        <v>5888.3799199999994</v>
      </c>
      <c r="AE185" s="181">
        <f t="shared" si="41"/>
        <v>6</v>
      </c>
      <c r="AF185" s="37">
        <f t="shared" si="54"/>
        <v>4212</v>
      </c>
      <c r="AG185" s="181">
        <f t="shared" si="42"/>
        <v>246.89999999999998</v>
      </c>
      <c r="AH185" s="111">
        <f t="shared" si="55"/>
        <v>165.86985599999997</v>
      </c>
      <c r="AI185" s="127">
        <f t="shared" si="56"/>
        <v>246.89999999999998</v>
      </c>
      <c r="AJ185" s="37">
        <f t="shared" si="43"/>
        <v>1881.3999999999999</v>
      </c>
      <c r="AK185" s="37">
        <f t="shared" si="57"/>
        <v>6093.4</v>
      </c>
      <c r="AL185" s="37">
        <f t="shared" si="45"/>
        <v>40.057006258503399</v>
      </c>
      <c r="AN185" s="37" t="str">
        <f t="shared" si="44"/>
        <v>Pallet</v>
      </c>
      <c r="AO185" s="194">
        <f t="shared" si="58"/>
        <v>6</v>
      </c>
    </row>
    <row r="186" spans="22:41" x14ac:dyDescent="0.2">
      <c r="V186" s="181">
        <f t="shared" si="46"/>
        <v>74</v>
      </c>
      <c r="W186" s="181">
        <f t="shared" si="47"/>
        <v>148</v>
      </c>
      <c r="X186" s="181">
        <f t="shared" si="48"/>
        <v>1</v>
      </c>
      <c r="Y186" s="37">
        <f t="shared" si="49"/>
        <v>1917.1</v>
      </c>
      <c r="Z186" s="181">
        <f t="shared" si="50"/>
        <v>272</v>
      </c>
      <c r="AA186" s="127">
        <f t="shared" si="51"/>
        <v>595.21331999999995</v>
      </c>
      <c r="AB186" s="127">
        <f t="shared" si="52"/>
        <v>595.21331999999995</v>
      </c>
      <c r="AC186" s="37">
        <f t="shared" si="40"/>
        <v>3971.2799199999999</v>
      </c>
      <c r="AD186" s="37">
        <f t="shared" si="53"/>
        <v>5888.3799199999994</v>
      </c>
      <c r="AE186" s="181">
        <f t="shared" si="41"/>
        <v>6</v>
      </c>
      <c r="AF186" s="37">
        <f t="shared" si="54"/>
        <v>4212</v>
      </c>
      <c r="AG186" s="181">
        <f t="shared" si="42"/>
        <v>247.39999999999998</v>
      </c>
      <c r="AH186" s="111">
        <f t="shared" si="55"/>
        <v>165.86985599999997</v>
      </c>
      <c r="AI186" s="127">
        <f t="shared" si="56"/>
        <v>247.39999999999998</v>
      </c>
      <c r="AJ186" s="37">
        <f t="shared" si="43"/>
        <v>1884.3999999999999</v>
      </c>
      <c r="AK186" s="37">
        <f t="shared" si="57"/>
        <v>6096.4</v>
      </c>
      <c r="AL186" s="37">
        <f t="shared" si="45"/>
        <v>39.786350810810809</v>
      </c>
      <c r="AN186" s="37" t="str">
        <f t="shared" si="44"/>
        <v>Pallet</v>
      </c>
      <c r="AO186" s="194">
        <f t="shared" si="58"/>
        <v>6</v>
      </c>
    </row>
    <row r="187" spans="22:41" x14ac:dyDescent="0.2">
      <c r="V187" s="181">
        <f t="shared" si="46"/>
        <v>74.5</v>
      </c>
      <c r="W187" s="181">
        <f t="shared" si="47"/>
        <v>149</v>
      </c>
      <c r="X187" s="181">
        <f t="shared" si="48"/>
        <v>1</v>
      </c>
      <c r="Y187" s="37">
        <f t="shared" si="49"/>
        <v>1917.1</v>
      </c>
      <c r="Z187" s="181">
        <f t="shared" si="50"/>
        <v>272.5</v>
      </c>
      <c r="AA187" s="127">
        <f t="shared" si="51"/>
        <v>595.21331999999995</v>
      </c>
      <c r="AB187" s="127">
        <f t="shared" si="52"/>
        <v>595.21331999999995</v>
      </c>
      <c r="AC187" s="37">
        <f t="shared" si="40"/>
        <v>3971.2799199999999</v>
      </c>
      <c r="AD187" s="37">
        <f t="shared" si="53"/>
        <v>5888.3799199999994</v>
      </c>
      <c r="AE187" s="181">
        <f t="shared" si="41"/>
        <v>6</v>
      </c>
      <c r="AF187" s="37">
        <f t="shared" si="54"/>
        <v>4212</v>
      </c>
      <c r="AG187" s="181">
        <f t="shared" si="42"/>
        <v>247.89999999999998</v>
      </c>
      <c r="AH187" s="111">
        <f t="shared" si="55"/>
        <v>165.86985599999997</v>
      </c>
      <c r="AI187" s="127">
        <f t="shared" si="56"/>
        <v>247.89999999999998</v>
      </c>
      <c r="AJ187" s="37">
        <f t="shared" si="43"/>
        <v>1887.3999999999999</v>
      </c>
      <c r="AK187" s="37">
        <f t="shared" si="57"/>
        <v>6099.4</v>
      </c>
      <c r="AL187" s="37">
        <f t="shared" si="45"/>
        <v>39.519328322147643</v>
      </c>
      <c r="AN187" s="37" t="str">
        <f t="shared" si="44"/>
        <v>Pallet</v>
      </c>
      <c r="AO187" s="194">
        <f t="shared" si="58"/>
        <v>6</v>
      </c>
    </row>
    <row r="188" spans="22:41" x14ac:dyDescent="0.2">
      <c r="V188" s="181">
        <f t="shared" si="46"/>
        <v>75</v>
      </c>
      <c r="W188" s="181">
        <f t="shared" si="47"/>
        <v>150</v>
      </c>
      <c r="X188" s="181">
        <f t="shared" si="48"/>
        <v>1</v>
      </c>
      <c r="Y188" s="37">
        <f t="shared" si="49"/>
        <v>1917.1</v>
      </c>
      <c r="Z188" s="181">
        <f t="shared" si="50"/>
        <v>273</v>
      </c>
      <c r="AA188" s="127">
        <f t="shared" si="51"/>
        <v>595.21331999999995</v>
      </c>
      <c r="AB188" s="127">
        <f t="shared" si="52"/>
        <v>595.21331999999995</v>
      </c>
      <c r="AC188" s="37">
        <f t="shared" si="40"/>
        <v>3971.2799199999999</v>
      </c>
      <c r="AD188" s="37">
        <f t="shared" si="53"/>
        <v>5888.3799199999994</v>
      </c>
      <c r="AE188" s="181">
        <f t="shared" si="41"/>
        <v>6</v>
      </c>
      <c r="AF188" s="37">
        <f t="shared" si="54"/>
        <v>4212</v>
      </c>
      <c r="AG188" s="181">
        <f t="shared" si="42"/>
        <v>248.39999999999998</v>
      </c>
      <c r="AH188" s="111">
        <f t="shared" si="55"/>
        <v>165.86985599999997</v>
      </c>
      <c r="AI188" s="127">
        <f t="shared" si="56"/>
        <v>248.39999999999998</v>
      </c>
      <c r="AJ188" s="37">
        <f t="shared" si="43"/>
        <v>1890.3999999999999</v>
      </c>
      <c r="AK188" s="37">
        <f t="shared" si="57"/>
        <v>6102.4</v>
      </c>
      <c r="AL188" s="37">
        <f t="shared" si="45"/>
        <v>39.255866133333328</v>
      </c>
      <c r="AN188" s="37" t="str">
        <f t="shared" si="44"/>
        <v>Pallet</v>
      </c>
      <c r="AO188" s="194">
        <f t="shared" si="58"/>
        <v>6</v>
      </c>
    </row>
    <row r="189" spans="22:41" x14ac:dyDescent="0.2">
      <c r="V189" s="181">
        <f t="shared" si="46"/>
        <v>75.5</v>
      </c>
      <c r="W189" s="181">
        <f t="shared" si="47"/>
        <v>151</v>
      </c>
      <c r="X189" s="181">
        <f t="shared" si="48"/>
        <v>1</v>
      </c>
      <c r="Y189" s="37">
        <f t="shared" si="49"/>
        <v>1917.1</v>
      </c>
      <c r="Z189" s="181">
        <f t="shared" si="50"/>
        <v>273.5</v>
      </c>
      <c r="AA189" s="127">
        <f t="shared" si="51"/>
        <v>595.21331999999995</v>
      </c>
      <c r="AB189" s="127">
        <f t="shared" si="52"/>
        <v>595.21331999999995</v>
      </c>
      <c r="AC189" s="37">
        <f t="shared" si="40"/>
        <v>3971.2799199999999</v>
      </c>
      <c r="AD189" s="37">
        <f t="shared" si="53"/>
        <v>5888.3799199999994</v>
      </c>
      <c r="AE189" s="181">
        <f t="shared" si="41"/>
        <v>6</v>
      </c>
      <c r="AF189" s="37">
        <f t="shared" si="54"/>
        <v>4212</v>
      </c>
      <c r="AG189" s="181">
        <f t="shared" si="42"/>
        <v>248.89999999999998</v>
      </c>
      <c r="AH189" s="111">
        <f t="shared" si="55"/>
        <v>165.86985599999997</v>
      </c>
      <c r="AI189" s="127">
        <f t="shared" si="56"/>
        <v>248.89999999999998</v>
      </c>
      <c r="AJ189" s="37">
        <f t="shared" si="43"/>
        <v>1893.3999999999999</v>
      </c>
      <c r="AK189" s="37">
        <f t="shared" si="57"/>
        <v>6105.4</v>
      </c>
      <c r="AL189" s="37">
        <f t="shared" si="45"/>
        <v>38.995893509933772</v>
      </c>
      <c r="AN189" s="37" t="str">
        <f t="shared" si="44"/>
        <v>Pallet</v>
      </c>
      <c r="AO189" s="194">
        <f t="shared" si="58"/>
        <v>6</v>
      </c>
    </row>
    <row r="190" spans="22:41" x14ac:dyDescent="0.2">
      <c r="V190" s="181">
        <f t="shared" si="46"/>
        <v>76</v>
      </c>
      <c r="W190" s="181">
        <f t="shared" si="47"/>
        <v>152</v>
      </c>
      <c r="X190" s="181">
        <f t="shared" si="48"/>
        <v>1</v>
      </c>
      <c r="Y190" s="37">
        <f t="shared" si="49"/>
        <v>1917.1</v>
      </c>
      <c r="Z190" s="181">
        <f t="shared" si="50"/>
        <v>274</v>
      </c>
      <c r="AA190" s="127">
        <f t="shared" si="51"/>
        <v>595.21331999999995</v>
      </c>
      <c r="AB190" s="127">
        <f t="shared" si="52"/>
        <v>595.21331999999995</v>
      </c>
      <c r="AC190" s="37">
        <f t="shared" si="40"/>
        <v>3971.2799199999999</v>
      </c>
      <c r="AD190" s="37">
        <f t="shared" si="53"/>
        <v>5888.3799199999994</v>
      </c>
      <c r="AE190" s="181">
        <f t="shared" si="41"/>
        <v>6</v>
      </c>
      <c r="AF190" s="37">
        <f t="shared" si="54"/>
        <v>4212</v>
      </c>
      <c r="AG190" s="181">
        <f t="shared" si="42"/>
        <v>249.39999999999998</v>
      </c>
      <c r="AH190" s="111">
        <f t="shared" si="55"/>
        <v>165.86985599999997</v>
      </c>
      <c r="AI190" s="127">
        <f t="shared" si="56"/>
        <v>249.39999999999998</v>
      </c>
      <c r="AJ190" s="37">
        <f t="shared" si="43"/>
        <v>1896.3999999999999</v>
      </c>
      <c r="AK190" s="37">
        <f t="shared" si="57"/>
        <v>6108.4</v>
      </c>
      <c r="AL190" s="37">
        <f t="shared" si="45"/>
        <v>38.739341578947368</v>
      </c>
      <c r="AN190" s="37" t="str">
        <f t="shared" si="44"/>
        <v>Pallet</v>
      </c>
      <c r="AO190" s="194">
        <f t="shared" si="58"/>
        <v>6</v>
      </c>
    </row>
    <row r="191" spans="22:41" x14ac:dyDescent="0.2">
      <c r="V191" s="181">
        <f t="shared" si="46"/>
        <v>76.5</v>
      </c>
      <c r="W191" s="181">
        <f t="shared" si="47"/>
        <v>153</v>
      </c>
      <c r="X191" s="181">
        <f t="shared" si="48"/>
        <v>1</v>
      </c>
      <c r="Y191" s="37">
        <f t="shared" si="49"/>
        <v>1917.1</v>
      </c>
      <c r="Z191" s="181">
        <f t="shared" si="50"/>
        <v>274.5</v>
      </c>
      <c r="AA191" s="127">
        <f t="shared" si="51"/>
        <v>595.21331999999995</v>
      </c>
      <c r="AB191" s="127">
        <f t="shared" si="52"/>
        <v>595.21331999999995</v>
      </c>
      <c r="AC191" s="37">
        <f t="shared" si="40"/>
        <v>3971.2799199999999</v>
      </c>
      <c r="AD191" s="37">
        <f t="shared" si="53"/>
        <v>5888.3799199999994</v>
      </c>
      <c r="AE191" s="181">
        <f t="shared" si="41"/>
        <v>6</v>
      </c>
      <c r="AF191" s="37">
        <f t="shared" si="54"/>
        <v>4212</v>
      </c>
      <c r="AG191" s="181">
        <f t="shared" si="42"/>
        <v>249.89999999999998</v>
      </c>
      <c r="AH191" s="111">
        <f t="shared" si="55"/>
        <v>165.86985599999997</v>
      </c>
      <c r="AI191" s="127">
        <f t="shared" si="56"/>
        <v>249.89999999999998</v>
      </c>
      <c r="AJ191" s="37">
        <f t="shared" si="43"/>
        <v>1899.3999999999999</v>
      </c>
      <c r="AK191" s="37">
        <f t="shared" si="57"/>
        <v>6111.4</v>
      </c>
      <c r="AL191" s="37">
        <f t="shared" si="45"/>
        <v>38.486143267973851</v>
      </c>
      <c r="AN191" s="37" t="str">
        <f t="shared" si="44"/>
        <v>Pallet</v>
      </c>
      <c r="AO191" s="194">
        <f t="shared" si="58"/>
        <v>6</v>
      </c>
    </row>
    <row r="192" spans="22:41" x14ac:dyDescent="0.2">
      <c r="V192" s="181">
        <f t="shared" si="46"/>
        <v>77</v>
      </c>
      <c r="W192" s="181">
        <f t="shared" si="47"/>
        <v>154</v>
      </c>
      <c r="X192" s="181">
        <f t="shared" si="48"/>
        <v>1</v>
      </c>
      <c r="Y192" s="37">
        <f t="shared" si="49"/>
        <v>1917.1</v>
      </c>
      <c r="Z192" s="181">
        <f t="shared" si="50"/>
        <v>275</v>
      </c>
      <c r="AA192" s="127">
        <f t="shared" si="51"/>
        <v>595.21331999999995</v>
      </c>
      <c r="AB192" s="127">
        <f t="shared" si="52"/>
        <v>595.21331999999995</v>
      </c>
      <c r="AC192" s="37">
        <f t="shared" si="40"/>
        <v>3971.2799199999999</v>
      </c>
      <c r="AD192" s="37">
        <f t="shared" si="53"/>
        <v>5888.3799199999994</v>
      </c>
      <c r="AE192" s="181">
        <f t="shared" si="41"/>
        <v>6</v>
      </c>
      <c r="AF192" s="37">
        <f t="shared" si="54"/>
        <v>4212</v>
      </c>
      <c r="AG192" s="181">
        <f t="shared" si="42"/>
        <v>250.39999999999998</v>
      </c>
      <c r="AH192" s="111">
        <f t="shared" si="55"/>
        <v>165.86985599999997</v>
      </c>
      <c r="AI192" s="127">
        <f t="shared" si="56"/>
        <v>250.39999999999998</v>
      </c>
      <c r="AJ192" s="37">
        <f t="shared" si="43"/>
        <v>1902.3999999999999</v>
      </c>
      <c r="AK192" s="37">
        <f t="shared" si="57"/>
        <v>6114.4</v>
      </c>
      <c r="AL192" s="37">
        <f t="shared" si="45"/>
        <v>38.236233246753244</v>
      </c>
      <c r="AN192" s="37" t="str">
        <f t="shared" si="44"/>
        <v>Pallet</v>
      </c>
      <c r="AO192" s="194">
        <f t="shared" si="58"/>
        <v>6</v>
      </c>
    </row>
    <row r="193" spans="22:41" x14ac:dyDescent="0.2">
      <c r="V193" s="181">
        <f t="shared" si="46"/>
        <v>77.5</v>
      </c>
      <c r="W193" s="181">
        <f t="shared" si="47"/>
        <v>155</v>
      </c>
      <c r="X193" s="181">
        <f t="shared" si="48"/>
        <v>1</v>
      </c>
      <c r="Y193" s="37">
        <f t="shared" si="49"/>
        <v>1917.1</v>
      </c>
      <c r="Z193" s="181">
        <f t="shared" si="50"/>
        <v>275.5</v>
      </c>
      <c r="AA193" s="127">
        <f t="shared" si="51"/>
        <v>595.21331999999995</v>
      </c>
      <c r="AB193" s="127">
        <f t="shared" si="52"/>
        <v>595.21331999999995</v>
      </c>
      <c r="AC193" s="37">
        <f t="shared" si="40"/>
        <v>3971.2799199999999</v>
      </c>
      <c r="AD193" s="37">
        <f t="shared" si="53"/>
        <v>5888.3799199999994</v>
      </c>
      <c r="AE193" s="181">
        <f t="shared" si="41"/>
        <v>7</v>
      </c>
      <c r="AF193" s="37">
        <f t="shared" si="54"/>
        <v>4914</v>
      </c>
      <c r="AG193" s="181">
        <f t="shared" si="42"/>
        <v>279.79999999999995</v>
      </c>
      <c r="AH193" s="111">
        <f t="shared" si="55"/>
        <v>193.51483199999998</v>
      </c>
      <c r="AI193" s="127">
        <f t="shared" si="56"/>
        <v>279.79999999999995</v>
      </c>
      <c r="AJ193" s="37">
        <f t="shared" si="43"/>
        <v>2078.7999999999997</v>
      </c>
      <c r="AK193" s="37">
        <f t="shared" si="57"/>
        <v>6992.7999999999993</v>
      </c>
      <c r="AL193" s="37">
        <f t="shared" si="45"/>
        <v>37.989547870967741</v>
      </c>
      <c r="AN193" s="37" t="str">
        <f t="shared" si="44"/>
        <v>Pallet</v>
      </c>
      <c r="AO193" s="194">
        <f t="shared" si="58"/>
        <v>6</v>
      </c>
    </row>
    <row r="194" spans="22:41" x14ac:dyDescent="0.2">
      <c r="V194" s="181">
        <f t="shared" si="46"/>
        <v>78</v>
      </c>
      <c r="W194" s="181">
        <f t="shared" si="47"/>
        <v>156</v>
      </c>
      <c r="X194" s="181">
        <f t="shared" si="48"/>
        <v>1</v>
      </c>
      <c r="Y194" s="37">
        <f t="shared" si="49"/>
        <v>1917.1</v>
      </c>
      <c r="Z194" s="181">
        <f t="shared" si="50"/>
        <v>276</v>
      </c>
      <c r="AA194" s="127">
        <f t="shared" si="51"/>
        <v>595.21331999999995</v>
      </c>
      <c r="AB194" s="127">
        <f t="shared" si="52"/>
        <v>595.21331999999995</v>
      </c>
      <c r="AC194" s="37">
        <f t="shared" si="40"/>
        <v>3971.2799199999999</v>
      </c>
      <c r="AD194" s="37">
        <f t="shared" si="53"/>
        <v>5888.3799199999994</v>
      </c>
      <c r="AE194" s="181">
        <f t="shared" si="41"/>
        <v>7</v>
      </c>
      <c r="AF194" s="37">
        <f t="shared" si="54"/>
        <v>4914</v>
      </c>
      <c r="AG194" s="181">
        <f t="shared" si="42"/>
        <v>280.29999999999995</v>
      </c>
      <c r="AH194" s="111">
        <f t="shared" si="55"/>
        <v>193.51483199999998</v>
      </c>
      <c r="AI194" s="127">
        <f t="shared" si="56"/>
        <v>280.29999999999995</v>
      </c>
      <c r="AJ194" s="37">
        <f t="shared" si="43"/>
        <v>2081.7999999999997</v>
      </c>
      <c r="AK194" s="37">
        <f t="shared" si="57"/>
        <v>6995.7999999999993</v>
      </c>
      <c r="AL194" s="37">
        <f t="shared" si="45"/>
        <v>37.746025128205126</v>
      </c>
      <c r="AN194" s="37" t="str">
        <f t="shared" si="44"/>
        <v>Pallet</v>
      </c>
      <c r="AO194" s="194">
        <f t="shared" si="58"/>
        <v>7</v>
      </c>
    </row>
    <row r="195" spans="22:41" x14ac:dyDescent="0.2">
      <c r="V195" s="181">
        <f t="shared" si="46"/>
        <v>78.5</v>
      </c>
      <c r="W195" s="181">
        <f t="shared" si="47"/>
        <v>157</v>
      </c>
      <c r="X195" s="181">
        <f t="shared" si="48"/>
        <v>1</v>
      </c>
      <c r="Y195" s="37">
        <f t="shared" si="49"/>
        <v>1917.1</v>
      </c>
      <c r="Z195" s="181">
        <f t="shared" si="50"/>
        <v>276.5</v>
      </c>
      <c r="AA195" s="127">
        <f t="shared" si="51"/>
        <v>595.21331999999995</v>
      </c>
      <c r="AB195" s="127">
        <f t="shared" si="52"/>
        <v>595.21331999999995</v>
      </c>
      <c r="AC195" s="37">
        <f t="shared" si="40"/>
        <v>3971.2799199999999</v>
      </c>
      <c r="AD195" s="37">
        <f t="shared" si="53"/>
        <v>5888.3799199999994</v>
      </c>
      <c r="AE195" s="181">
        <f t="shared" si="41"/>
        <v>7</v>
      </c>
      <c r="AF195" s="37">
        <f t="shared" si="54"/>
        <v>4914</v>
      </c>
      <c r="AG195" s="181">
        <f t="shared" si="42"/>
        <v>280.79999999999995</v>
      </c>
      <c r="AH195" s="111">
        <f t="shared" si="55"/>
        <v>193.51483199999998</v>
      </c>
      <c r="AI195" s="127">
        <f t="shared" si="56"/>
        <v>280.79999999999995</v>
      </c>
      <c r="AJ195" s="37">
        <f t="shared" si="43"/>
        <v>2084.7999999999997</v>
      </c>
      <c r="AK195" s="37">
        <f t="shared" si="57"/>
        <v>6998.7999999999993</v>
      </c>
      <c r="AL195" s="37">
        <f t="shared" si="45"/>
        <v>37.505604585987257</v>
      </c>
      <c r="AN195" s="37" t="str">
        <f t="shared" si="44"/>
        <v>Pallet</v>
      </c>
      <c r="AO195" s="194">
        <f t="shared" si="58"/>
        <v>7</v>
      </c>
    </row>
    <row r="196" spans="22:41" x14ac:dyDescent="0.2">
      <c r="V196" s="181">
        <f t="shared" si="46"/>
        <v>79</v>
      </c>
      <c r="W196" s="181">
        <f t="shared" si="47"/>
        <v>158</v>
      </c>
      <c r="X196" s="181">
        <f t="shared" si="48"/>
        <v>1</v>
      </c>
      <c r="Y196" s="37">
        <f t="shared" si="49"/>
        <v>1917.1</v>
      </c>
      <c r="Z196" s="181">
        <f t="shared" si="50"/>
        <v>277</v>
      </c>
      <c r="AA196" s="127">
        <f t="shared" si="51"/>
        <v>595.21331999999995</v>
      </c>
      <c r="AB196" s="127">
        <f t="shared" si="52"/>
        <v>595.21331999999995</v>
      </c>
      <c r="AC196" s="37">
        <f t="shared" si="40"/>
        <v>3971.2799199999999</v>
      </c>
      <c r="AD196" s="37">
        <f t="shared" si="53"/>
        <v>5888.3799199999994</v>
      </c>
      <c r="AE196" s="181">
        <f t="shared" si="41"/>
        <v>7</v>
      </c>
      <c r="AF196" s="37">
        <f t="shared" si="54"/>
        <v>4914</v>
      </c>
      <c r="AG196" s="181">
        <f t="shared" si="42"/>
        <v>281.29999999999995</v>
      </c>
      <c r="AH196" s="111">
        <f t="shared" si="55"/>
        <v>193.51483199999998</v>
      </c>
      <c r="AI196" s="127">
        <f t="shared" si="56"/>
        <v>281.29999999999995</v>
      </c>
      <c r="AJ196" s="37">
        <f t="shared" si="43"/>
        <v>2087.7999999999997</v>
      </c>
      <c r="AK196" s="37">
        <f t="shared" si="57"/>
        <v>7001.7999999999993</v>
      </c>
      <c r="AL196" s="37">
        <f t="shared" si="45"/>
        <v>37.268227341772146</v>
      </c>
      <c r="AN196" s="37" t="str">
        <f t="shared" si="44"/>
        <v>Pallet</v>
      </c>
      <c r="AO196" s="194">
        <f t="shared" si="58"/>
        <v>7</v>
      </c>
    </row>
    <row r="197" spans="22:41" x14ac:dyDescent="0.2">
      <c r="V197" s="181">
        <f t="shared" si="46"/>
        <v>79.5</v>
      </c>
      <c r="W197" s="181">
        <f t="shared" si="47"/>
        <v>159</v>
      </c>
      <c r="X197" s="181">
        <f t="shared" si="48"/>
        <v>1</v>
      </c>
      <c r="Y197" s="37">
        <f t="shared" si="49"/>
        <v>1917.1</v>
      </c>
      <c r="Z197" s="181">
        <f t="shared" si="50"/>
        <v>277.5</v>
      </c>
      <c r="AA197" s="127">
        <f t="shared" si="51"/>
        <v>595.21331999999995</v>
      </c>
      <c r="AB197" s="127">
        <f t="shared" si="52"/>
        <v>595.21331999999995</v>
      </c>
      <c r="AC197" s="37">
        <f t="shared" si="40"/>
        <v>3971.2799199999999</v>
      </c>
      <c r="AD197" s="37">
        <f t="shared" si="53"/>
        <v>5888.3799199999994</v>
      </c>
      <c r="AE197" s="181">
        <f t="shared" si="41"/>
        <v>7</v>
      </c>
      <c r="AF197" s="37">
        <f t="shared" si="54"/>
        <v>4914</v>
      </c>
      <c r="AG197" s="181">
        <f t="shared" si="42"/>
        <v>281.79999999999995</v>
      </c>
      <c r="AH197" s="111">
        <f t="shared" si="55"/>
        <v>193.51483199999998</v>
      </c>
      <c r="AI197" s="127">
        <f t="shared" si="56"/>
        <v>281.79999999999995</v>
      </c>
      <c r="AJ197" s="37">
        <f t="shared" si="43"/>
        <v>2090.7999999999997</v>
      </c>
      <c r="AK197" s="37">
        <f t="shared" si="57"/>
        <v>7004.7999999999993</v>
      </c>
      <c r="AL197" s="37">
        <f t="shared" si="45"/>
        <v>37.033835974842766</v>
      </c>
      <c r="AN197" s="37" t="str">
        <f t="shared" si="44"/>
        <v>Pallet</v>
      </c>
      <c r="AO197" s="194">
        <f t="shared" si="58"/>
        <v>7</v>
      </c>
    </row>
    <row r="198" spans="22:41" x14ac:dyDescent="0.2">
      <c r="V198" s="181">
        <f t="shared" si="46"/>
        <v>80</v>
      </c>
      <c r="W198" s="181">
        <f t="shared" si="47"/>
        <v>160</v>
      </c>
      <c r="X198" s="181">
        <f t="shared" si="48"/>
        <v>1</v>
      </c>
      <c r="Y198" s="37">
        <f t="shared" si="49"/>
        <v>1917.1</v>
      </c>
      <c r="Z198" s="181">
        <f t="shared" si="50"/>
        <v>278</v>
      </c>
      <c r="AA198" s="127">
        <f t="shared" si="51"/>
        <v>595.21331999999995</v>
      </c>
      <c r="AB198" s="127">
        <f t="shared" si="52"/>
        <v>595.21331999999995</v>
      </c>
      <c r="AC198" s="37">
        <f t="shared" si="40"/>
        <v>3971.2799199999999</v>
      </c>
      <c r="AD198" s="37">
        <f t="shared" si="53"/>
        <v>5888.3799199999994</v>
      </c>
      <c r="AE198" s="181">
        <f t="shared" si="41"/>
        <v>7</v>
      </c>
      <c r="AF198" s="37">
        <f t="shared" si="54"/>
        <v>4914</v>
      </c>
      <c r="AG198" s="181">
        <f t="shared" si="42"/>
        <v>282.29999999999995</v>
      </c>
      <c r="AH198" s="111">
        <f t="shared" si="55"/>
        <v>193.51483199999998</v>
      </c>
      <c r="AI198" s="127">
        <f t="shared" si="56"/>
        <v>282.29999999999995</v>
      </c>
      <c r="AJ198" s="37">
        <f t="shared" si="43"/>
        <v>2093.7999999999997</v>
      </c>
      <c r="AK198" s="37">
        <f t="shared" si="57"/>
        <v>7007.7999999999993</v>
      </c>
      <c r="AL198" s="37">
        <f t="shared" si="45"/>
        <v>36.802374499999999</v>
      </c>
      <c r="AN198" s="37" t="str">
        <f t="shared" si="44"/>
        <v>Pallet</v>
      </c>
      <c r="AO198" s="194">
        <f t="shared" si="58"/>
        <v>7</v>
      </c>
    </row>
    <row r="199" spans="22:41" x14ac:dyDescent="0.2">
      <c r="V199" s="181">
        <f t="shared" si="46"/>
        <v>80.5</v>
      </c>
      <c r="W199" s="181">
        <f t="shared" si="47"/>
        <v>161</v>
      </c>
      <c r="X199" s="181">
        <f t="shared" si="48"/>
        <v>1</v>
      </c>
      <c r="Y199" s="37">
        <f t="shared" si="49"/>
        <v>1917.1</v>
      </c>
      <c r="Z199" s="181">
        <f t="shared" si="50"/>
        <v>278.5</v>
      </c>
      <c r="AA199" s="127">
        <f t="shared" si="51"/>
        <v>595.21331999999995</v>
      </c>
      <c r="AB199" s="127">
        <f t="shared" si="52"/>
        <v>595.21331999999995</v>
      </c>
      <c r="AC199" s="37">
        <f t="shared" si="40"/>
        <v>3971.2799199999999</v>
      </c>
      <c r="AD199" s="37">
        <f t="shared" si="53"/>
        <v>5888.3799199999994</v>
      </c>
      <c r="AE199" s="181">
        <f t="shared" si="41"/>
        <v>7</v>
      </c>
      <c r="AF199" s="37">
        <f t="shared" si="54"/>
        <v>4914</v>
      </c>
      <c r="AG199" s="181">
        <f t="shared" si="42"/>
        <v>282.79999999999995</v>
      </c>
      <c r="AH199" s="111">
        <f t="shared" si="55"/>
        <v>193.51483199999998</v>
      </c>
      <c r="AI199" s="127">
        <f t="shared" si="56"/>
        <v>282.79999999999995</v>
      </c>
      <c r="AJ199" s="37">
        <f t="shared" si="43"/>
        <v>2096.7999999999997</v>
      </c>
      <c r="AK199" s="37">
        <f t="shared" si="57"/>
        <v>7010.7999999999993</v>
      </c>
      <c r="AL199" s="37">
        <f t="shared" si="45"/>
        <v>36.573788322981365</v>
      </c>
      <c r="AN199" s="37" t="str">
        <f t="shared" si="44"/>
        <v>Pallet</v>
      </c>
      <c r="AO199" s="194">
        <f t="shared" si="58"/>
        <v>7</v>
      </c>
    </row>
    <row r="200" spans="22:41" x14ac:dyDescent="0.2">
      <c r="V200" s="181">
        <f t="shared" si="46"/>
        <v>81</v>
      </c>
      <c r="W200" s="181">
        <f t="shared" si="47"/>
        <v>162</v>
      </c>
      <c r="X200" s="181">
        <f t="shared" si="48"/>
        <v>1</v>
      </c>
      <c r="Y200" s="37">
        <f t="shared" si="49"/>
        <v>1917.1</v>
      </c>
      <c r="Z200" s="181">
        <f t="shared" si="50"/>
        <v>279</v>
      </c>
      <c r="AA200" s="127">
        <f t="shared" si="51"/>
        <v>595.21331999999995</v>
      </c>
      <c r="AB200" s="127">
        <f t="shared" si="52"/>
        <v>595.21331999999995</v>
      </c>
      <c r="AC200" s="37">
        <f t="shared" si="40"/>
        <v>3971.2799199999999</v>
      </c>
      <c r="AD200" s="37">
        <f t="shared" si="53"/>
        <v>5888.3799199999994</v>
      </c>
      <c r="AE200" s="181">
        <f t="shared" si="41"/>
        <v>7</v>
      </c>
      <c r="AF200" s="37">
        <f t="shared" si="54"/>
        <v>4914</v>
      </c>
      <c r="AG200" s="181">
        <f t="shared" si="42"/>
        <v>283.29999999999995</v>
      </c>
      <c r="AH200" s="111">
        <f t="shared" si="55"/>
        <v>193.51483199999998</v>
      </c>
      <c r="AI200" s="127">
        <f t="shared" si="56"/>
        <v>283.29999999999995</v>
      </c>
      <c r="AJ200" s="37">
        <f t="shared" si="43"/>
        <v>2099.7999999999997</v>
      </c>
      <c r="AK200" s="37">
        <f t="shared" si="57"/>
        <v>7013.7999999999993</v>
      </c>
      <c r="AL200" s="37">
        <f t="shared" si="45"/>
        <v>36.348024197530862</v>
      </c>
      <c r="AN200" s="37" t="str">
        <f t="shared" si="44"/>
        <v>Pallet</v>
      </c>
      <c r="AO200" s="194">
        <f t="shared" si="58"/>
        <v>7</v>
      </c>
    </row>
    <row r="201" spans="22:41" x14ac:dyDescent="0.2">
      <c r="V201" s="181">
        <f t="shared" si="46"/>
        <v>81.5</v>
      </c>
      <c r="W201" s="181">
        <f t="shared" si="47"/>
        <v>163</v>
      </c>
      <c r="X201" s="181">
        <f t="shared" si="48"/>
        <v>1</v>
      </c>
      <c r="Y201" s="37">
        <f t="shared" si="49"/>
        <v>1917.1</v>
      </c>
      <c r="Z201" s="181">
        <f t="shared" si="50"/>
        <v>279.5</v>
      </c>
      <c r="AA201" s="127">
        <f t="shared" si="51"/>
        <v>595.21331999999995</v>
      </c>
      <c r="AB201" s="127">
        <f t="shared" si="52"/>
        <v>595.21331999999995</v>
      </c>
      <c r="AC201" s="37">
        <f t="shared" si="40"/>
        <v>3971.2799199999999</v>
      </c>
      <c r="AD201" s="37">
        <f t="shared" si="53"/>
        <v>5888.3799199999994</v>
      </c>
      <c r="AE201" s="181">
        <f t="shared" si="41"/>
        <v>7</v>
      </c>
      <c r="AF201" s="37">
        <f t="shared" si="54"/>
        <v>4914</v>
      </c>
      <c r="AG201" s="181">
        <f t="shared" si="42"/>
        <v>283.79999999999995</v>
      </c>
      <c r="AH201" s="111">
        <f t="shared" si="55"/>
        <v>193.51483199999998</v>
      </c>
      <c r="AI201" s="127">
        <f t="shared" si="56"/>
        <v>283.79999999999995</v>
      </c>
      <c r="AJ201" s="37">
        <f t="shared" si="43"/>
        <v>2102.7999999999997</v>
      </c>
      <c r="AK201" s="37">
        <f t="shared" si="57"/>
        <v>7016.7999999999993</v>
      </c>
      <c r="AL201" s="37">
        <f t="shared" si="45"/>
        <v>36.125030184049074</v>
      </c>
      <c r="AN201" s="37" t="str">
        <f t="shared" si="44"/>
        <v>Pallet</v>
      </c>
      <c r="AO201" s="194">
        <f t="shared" si="58"/>
        <v>7</v>
      </c>
    </row>
    <row r="202" spans="22:41" x14ac:dyDescent="0.2">
      <c r="V202" s="181">
        <f t="shared" si="46"/>
        <v>82</v>
      </c>
      <c r="W202" s="181">
        <f t="shared" si="47"/>
        <v>164</v>
      </c>
      <c r="X202" s="181">
        <f t="shared" si="48"/>
        <v>1</v>
      </c>
      <c r="Y202" s="37">
        <f t="shared" si="49"/>
        <v>1917.1</v>
      </c>
      <c r="Z202" s="181">
        <f t="shared" si="50"/>
        <v>280</v>
      </c>
      <c r="AA202" s="127">
        <f t="shared" si="51"/>
        <v>595.21331999999995</v>
      </c>
      <c r="AB202" s="127">
        <f t="shared" si="52"/>
        <v>595.21331999999995</v>
      </c>
      <c r="AC202" s="37">
        <f t="shared" si="40"/>
        <v>3971.2799199999999</v>
      </c>
      <c r="AD202" s="37">
        <f t="shared" si="53"/>
        <v>5888.3799199999994</v>
      </c>
      <c r="AE202" s="181">
        <f t="shared" si="41"/>
        <v>7</v>
      </c>
      <c r="AF202" s="37">
        <f t="shared" si="54"/>
        <v>4914</v>
      </c>
      <c r="AG202" s="181">
        <f t="shared" si="42"/>
        <v>284.29999999999995</v>
      </c>
      <c r="AH202" s="111">
        <f t="shared" si="55"/>
        <v>193.51483199999998</v>
      </c>
      <c r="AI202" s="127">
        <f t="shared" si="56"/>
        <v>284.29999999999995</v>
      </c>
      <c r="AJ202" s="37">
        <f t="shared" si="43"/>
        <v>2105.7999999999997</v>
      </c>
      <c r="AK202" s="37">
        <f t="shared" si="57"/>
        <v>7019.7999999999993</v>
      </c>
      <c r="AL202" s="37">
        <f t="shared" si="45"/>
        <v>35.904755609756094</v>
      </c>
      <c r="AN202" s="37" t="str">
        <f t="shared" si="44"/>
        <v>Pallet</v>
      </c>
      <c r="AO202" s="194">
        <f t="shared" si="58"/>
        <v>7</v>
      </c>
    </row>
    <row r="203" spans="22:41" x14ac:dyDescent="0.2">
      <c r="V203" s="181">
        <f t="shared" si="46"/>
        <v>82.5</v>
      </c>
      <c r="W203" s="181">
        <f t="shared" si="47"/>
        <v>165</v>
      </c>
      <c r="X203" s="181">
        <f t="shared" si="48"/>
        <v>1</v>
      </c>
      <c r="Y203" s="37">
        <f t="shared" si="49"/>
        <v>1917.1</v>
      </c>
      <c r="Z203" s="181">
        <f t="shared" si="50"/>
        <v>280.5</v>
      </c>
      <c r="AA203" s="127">
        <f t="shared" si="51"/>
        <v>595.21331999999995</v>
      </c>
      <c r="AB203" s="127">
        <f t="shared" si="52"/>
        <v>595.21331999999995</v>
      </c>
      <c r="AC203" s="37">
        <f t="shared" si="40"/>
        <v>3971.2799199999999</v>
      </c>
      <c r="AD203" s="37">
        <f t="shared" si="53"/>
        <v>5888.3799199999994</v>
      </c>
      <c r="AE203" s="181">
        <f t="shared" si="41"/>
        <v>7</v>
      </c>
      <c r="AF203" s="37">
        <f t="shared" si="54"/>
        <v>4914</v>
      </c>
      <c r="AG203" s="181">
        <f t="shared" si="42"/>
        <v>284.79999999999995</v>
      </c>
      <c r="AH203" s="111">
        <f t="shared" si="55"/>
        <v>193.51483199999998</v>
      </c>
      <c r="AI203" s="127">
        <f t="shared" si="56"/>
        <v>284.79999999999995</v>
      </c>
      <c r="AJ203" s="37">
        <f t="shared" si="43"/>
        <v>2108.7999999999997</v>
      </c>
      <c r="AK203" s="37">
        <f t="shared" si="57"/>
        <v>7022.7999999999993</v>
      </c>
      <c r="AL203" s="37">
        <f t="shared" si="45"/>
        <v>35.687151030303028</v>
      </c>
      <c r="AN203" s="37" t="str">
        <f t="shared" si="44"/>
        <v>Pallet</v>
      </c>
      <c r="AO203" s="194">
        <f t="shared" si="58"/>
        <v>7</v>
      </c>
    </row>
    <row r="204" spans="22:41" x14ac:dyDescent="0.2">
      <c r="V204" s="181">
        <f t="shared" si="46"/>
        <v>83</v>
      </c>
      <c r="W204" s="181">
        <f t="shared" si="47"/>
        <v>166</v>
      </c>
      <c r="X204" s="181">
        <f t="shared" si="48"/>
        <v>1</v>
      </c>
      <c r="Y204" s="37">
        <f t="shared" si="49"/>
        <v>1917.1</v>
      </c>
      <c r="Z204" s="181">
        <f t="shared" si="50"/>
        <v>281</v>
      </c>
      <c r="AA204" s="127">
        <f t="shared" si="51"/>
        <v>595.21331999999995</v>
      </c>
      <c r="AB204" s="127">
        <f t="shared" si="52"/>
        <v>595.21331999999995</v>
      </c>
      <c r="AC204" s="37">
        <f t="shared" si="40"/>
        <v>3971.2799199999999</v>
      </c>
      <c r="AD204" s="37">
        <f t="shared" si="53"/>
        <v>5888.3799199999994</v>
      </c>
      <c r="AE204" s="181">
        <f t="shared" si="41"/>
        <v>7</v>
      </c>
      <c r="AF204" s="37">
        <f t="shared" si="54"/>
        <v>4914</v>
      </c>
      <c r="AG204" s="181">
        <f t="shared" si="42"/>
        <v>285.29999999999995</v>
      </c>
      <c r="AH204" s="111">
        <f t="shared" si="55"/>
        <v>193.51483199999998</v>
      </c>
      <c r="AI204" s="127">
        <f t="shared" si="56"/>
        <v>285.29999999999995</v>
      </c>
      <c r="AJ204" s="37">
        <f t="shared" si="43"/>
        <v>2111.7999999999997</v>
      </c>
      <c r="AK204" s="37">
        <f t="shared" si="57"/>
        <v>7025.7999999999993</v>
      </c>
      <c r="AL204" s="37">
        <f t="shared" si="45"/>
        <v>35.472168192771079</v>
      </c>
      <c r="AN204" s="37" t="str">
        <f t="shared" si="44"/>
        <v>Pallet</v>
      </c>
      <c r="AO204" s="194">
        <f t="shared" si="58"/>
        <v>7</v>
      </c>
    </row>
    <row r="205" spans="22:41" x14ac:dyDescent="0.2">
      <c r="V205" s="181">
        <f t="shared" si="46"/>
        <v>83.5</v>
      </c>
      <c r="W205" s="181">
        <f t="shared" si="47"/>
        <v>167</v>
      </c>
      <c r="X205" s="181">
        <f t="shared" si="48"/>
        <v>1</v>
      </c>
      <c r="Y205" s="37">
        <f t="shared" si="49"/>
        <v>1917.1</v>
      </c>
      <c r="Z205" s="181">
        <f t="shared" si="50"/>
        <v>281.5</v>
      </c>
      <c r="AA205" s="127">
        <f t="shared" si="51"/>
        <v>595.21331999999995</v>
      </c>
      <c r="AB205" s="127">
        <f t="shared" si="52"/>
        <v>595.21331999999995</v>
      </c>
      <c r="AC205" s="37">
        <f t="shared" si="40"/>
        <v>3971.2799199999999</v>
      </c>
      <c r="AD205" s="37">
        <f t="shared" si="53"/>
        <v>5888.3799199999994</v>
      </c>
      <c r="AE205" s="181">
        <f t="shared" si="41"/>
        <v>7</v>
      </c>
      <c r="AF205" s="37">
        <f t="shared" si="54"/>
        <v>4914</v>
      </c>
      <c r="AG205" s="181">
        <f t="shared" si="42"/>
        <v>285.79999999999995</v>
      </c>
      <c r="AH205" s="111">
        <f t="shared" si="55"/>
        <v>193.51483199999998</v>
      </c>
      <c r="AI205" s="127">
        <f t="shared" si="56"/>
        <v>285.79999999999995</v>
      </c>
      <c r="AJ205" s="37">
        <f t="shared" si="43"/>
        <v>2114.7999999999997</v>
      </c>
      <c r="AK205" s="37">
        <f t="shared" si="57"/>
        <v>7028.7999999999993</v>
      </c>
      <c r="AL205" s="37">
        <f t="shared" si="45"/>
        <v>35.259759999999993</v>
      </c>
      <c r="AN205" s="37" t="str">
        <f t="shared" si="44"/>
        <v>Pallet</v>
      </c>
      <c r="AO205" s="194">
        <f t="shared" si="58"/>
        <v>7</v>
      </c>
    </row>
    <row r="206" spans="22:41" x14ac:dyDescent="0.2">
      <c r="V206" s="181">
        <f t="shared" si="46"/>
        <v>84</v>
      </c>
      <c r="W206" s="181">
        <f t="shared" si="47"/>
        <v>168</v>
      </c>
      <c r="X206" s="181">
        <f t="shared" si="48"/>
        <v>1</v>
      </c>
      <c r="Y206" s="37">
        <f t="shared" si="49"/>
        <v>1917.1</v>
      </c>
      <c r="Z206" s="181">
        <f t="shared" si="50"/>
        <v>282</v>
      </c>
      <c r="AA206" s="127">
        <f t="shared" si="51"/>
        <v>595.21331999999995</v>
      </c>
      <c r="AB206" s="127">
        <f t="shared" si="52"/>
        <v>595.21331999999995</v>
      </c>
      <c r="AC206" s="37">
        <f t="shared" si="40"/>
        <v>3971.2799199999999</v>
      </c>
      <c r="AD206" s="37">
        <f t="shared" si="53"/>
        <v>5888.3799199999994</v>
      </c>
      <c r="AE206" s="181">
        <f t="shared" si="41"/>
        <v>7</v>
      </c>
      <c r="AF206" s="37">
        <f t="shared" si="54"/>
        <v>4914</v>
      </c>
      <c r="AG206" s="181">
        <f t="shared" si="42"/>
        <v>286.29999999999995</v>
      </c>
      <c r="AH206" s="111">
        <f t="shared" si="55"/>
        <v>193.51483199999998</v>
      </c>
      <c r="AI206" s="127">
        <f t="shared" si="56"/>
        <v>286.29999999999995</v>
      </c>
      <c r="AJ206" s="37">
        <f t="shared" si="43"/>
        <v>2117.7999999999997</v>
      </c>
      <c r="AK206" s="37">
        <f t="shared" si="57"/>
        <v>7031.7999999999993</v>
      </c>
      <c r="AL206" s="37">
        <f t="shared" si="45"/>
        <v>35.049880476190474</v>
      </c>
      <c r="AN206" s="37" t="str">
        <f t="shared" si="44"/>
        <v>Pallet</v>
      </c>
      <c r="AO206" s="194">
        <f t="shared" si="58"/>
        <v>7</v>
      </c>
    </row>
    <row r="207" spans="22:41" x14ac:dyDescent="0.2">
      <c r="V207" s="181">
        <f t="shared" si="46"/>
        <v>84.5</v>
      </c>
      <c r="W207" s="181">
        <f t="shared" si="47"/>
        <v>169</v>
      </c>
      <c r="X207" s="181">
        <f t="shared" si="48"/>
        <v>1</v>
      </c>
      <c r="Y207" s="37">
        <f t="shared" si="49"/>
        <v>1917.1</v>
      </c>
      <c r="Z207" s="181">
        <f t="shared" si="50"/>
        <v>282.5</v>
      </c>
      <c r="AA207" s="127">
        <f t="shared" si="51"/>
        <v>595.21331999999995</v>
      </c>
      <c r="AB207" s="127">
        <f t="shared" si="52"/>
        <v>595.21331999999995</v>
      </c>
      <c r="AC207" s="37">
        <f t="shared" si="40"/>
        <v>3971.2799199999999</v>
      </c>
      <c r="AD207" s="37">
        <f t="shared" si="53"/>
        <v>5888.3799199999994</v>
      </c>
      <c r="AE207" s="181">
        <f t="shared" si="41"/>
        <v>7</v>
      </c>
      <c r="AF207" s="37">
        <f t="shared" si="54"/>
        <v>4914</v>
      </c>
      <c r="AG207" s="181">
        <f t="shared" si="42"/>
        <v>286.79999999999995</v>
      </c>
      <c r="AH207" s="111">
        <f t="shared" si="55"/>
        <v>193.51483199999998</v>
      </c>
      <c r="AI207" s="127">
        <f t="shared" si="56"/>
        <v>286.79999999999995</v>
      </c>
      <c r="AJ207" s="37">
        <f t="shared" si="43"/>
        <v>2120.7999999999997</v>
      </c>
      <c r="AK207" s="37">
        <f t="shared" si="57"/>
        <v>7034.7999999999993</v>
      </c>
      <c r="AL207" s="37">
        <f t="shared" si="45"/>
        <v>34.842484733727808</v>
      </c>
      <c r="AN207" s="37" t="str">
        <f t="shared" si="44"/>
        <v>Pallet</v>
      </c>
      <c r="AO207" s="194">
        <f t="shared" si="58"/>
        <v>7</v>
      </c>
    </row>
    <row r="208" spans="22:41" x14ac:dyDescent="0.2">
      <c r="V208" s="181">
        <f t="shared" si="46"/>
        <v>85</v>
      </c>
      <c r="W208" s="181">
        <f t="shared" si="47"/>
        <v>170</v>
      </c>
      <c r="X208" s="181">
        <f t="shared" si="48"/>
        <v>1</v>
      </c>
      <c r="Y208" s="37">
        <f t="shared" si="49"/>
        <v>1917.1</v>
      </c>
      <c r="Z208" s="181">
        <f t="shared" si="50"/>
        <v>283</v>
      </c>
      <c r="AA208" s="127">
        <f t="shared" si="51"/>
        <v>595.21331999999995</v>
      </c>
      <c r="AB208" s="127">
        <f t="shared" si="52"/>
        <v>595.21331999999995</v>
      </c>
      <c r="AC208" s="37">
        <f t="shared" si="40"/>
        <v>3971.2799199999999</v>
      </c>
      <c r="AD208" s="37">
        <f t="shared" si="53"/>
        <v>5888.3799199999994</v>
      </c>
      <c r="AE208" s="181">
        <f t="shared" si="41"/>
        <v>7</v>
      </c>
      <c r="AF208" s="37">
        <f t="shared" si="54"/>
        <v>4914</v>
      </c>
      <c r="AG208" s="181">
        <f t="shared" si="42"/>
        <v>287.29999999999995</v>
      </c>
      <c r="AH208" s="111">
        <f t="shared" si="55"/>
        <v>193.51483199999998</v>
      </c>
      <c r="AI208" s="127">
        <f t="shared" si="56"/>
        <v>287.29999999999995</v>
      </c>
      <c r="AJ208" s="37">
        <f t="shared" si="43"/>
        <v>2123.7999999999997</v>
      </c>
      <c r="AK208" s="37">
        <f t="shared" si="57"/>
        <v>7037.7999999999993</v>
      </c>
      <c r="AL208" s="37">
        <f t="shared" si="45"/>
        <v>34.63752894117647</v>
      </c>
      <c r="AN208" s="37" t="str">
        <f t="shared" si="44"/>
        <v>Pallet</v>
      </c>
      <c r="AO208" s="194">
        <f t="shared" si="58"/>
        <v>7</v>
      </c>
    </row>
    <row r="209" spans="22:41" x14ac:dyDescent="0.2">
      <c r="V209" s="181">
        <f t="shared" si="46"/>
        <v>85.5</v>
      </c>
      <c r="W209" s="181">
        <f t="shared" si="47"/>
        <v>171</v>
      </c>
      <c r="X209" s="181">
        <f t="shared" si="48"/>
        <v>1</v>
      </c>
      <c r="Y209" s="37">
        <f t="shared" si="49"/>
        <v>1917.1</v>
      </c>
      <c r="Z209" s="181">
        <f t="shared" si="50"/>
        <v>283.5</v>
      </c>
      <c r="AA209" s="127">
        <f t="shared" si="51"/>
        <v>595.21331999999995</v>
      </c>
      <c r="AB209" s="127">
        <f t="shared" si="52"/>
        <v>595.21331999999995</v>
      </c>
      <c r="AC209" s="37">
        <f t="shared" si="40"/>
        <v>3971.2799199999999</v>
      </c>
      <c r="AD209" s="37">
        <f t="shared" si="53"/>
        <v>5888.3799199999994</v>
      </c>
      <c r="AE209" s="181">
        <f t="shared" si="41"/>
        <v>7</v>
      </c>
      <c r="AF209" s="37">
        <f t="shared" si="54"/>
        <v>4914</v>
      </c>
      <c r="AG209" s="181">
        <f t="shared" si="42"/>
        <v>287.79999999999995</v>
      </c>
      <c r="AH209" s="111">
        <f t="shared" si="55"/>
        <v>193.51483199999998</v>
      </c>
      <c r="AI209" s="127">
        <f t="shared" si="56"/>
        <v>287.79999999999995</v>
      </c>
      <c r="AJ209" s="37">
        <f t="shared" si="43"/>
        <v>2126.7999999999997</v>
      </c>
      <c r="AK209" s="37">
        <f t="shared" si="57"/>
        <v>7040.7999999999993</v>
      </c>
      <c r="AL209" s="37">
        <f t="shared" si="45"/>
        <v>34.434970292397658</v>
      </c>
      <c r="AN209" s="37" t="str">
        <f t="shared" si="44"/>
        <v>Pallet</v>
      </c>
      <c r="AO209" s="194">
        <f t="shared" si="58"/>
        <v>7</v>
      </c>
    </row>
    <row r="210" spans="22:41" x14ac:dyDescent="0.2">
      <c r="V210" s="181">
        <f t="shared" si="46"/>
        <v>86</v>
      </c>
      <c r="W210" s="181">
        <f t="shared" si="47"/>
        <v>172</v>
      </c>
      <c r="X210" s="181">
        <f t="shared" si="48"/>
        <v>1</v>
      </c>
      <c r="Y210" s="37">
        <f t="shared" si="49"/>
        <v>1917.1</v>
      </c>
      <c r="Z210" s="181">
        <f t="shared" si="50"/>
        <v>284</v>
      </c>
      <c r="AA210" s="127">
        <f t="shared" si="51"/>
        <v>595.21331999999995</v>
      </c>
      <c r="AB210" s="127">
        <f t="shared" si="52"/>
        <v>595.21331999999995</v>
      </c>
      <c r="AC210" s="37">
        <f t="shared" si="40"/>
        <v>3971.2799199999999</v>
      </c>
      <c r="AD210" s="37">
        <f t="shared" si="53"/>
        <v>5888.3799199999994</v>
      </c>
      <c r="AE210" s="181">
        <f t="shared" si="41"/>
        <v>7</v>
      </c>
      <c r="AF210" s="37">
        <f t="shared" si="54"/>
        <v>4914</v>
      </c>
      <c r="AG210" s="181">
        <f t="shared" si="42"/>
        <v>288.29999999999995</v>
      </c>
      <c r="AH210" s="111">
        <f t="shared" si="55"/>
        <v>193.51483199999998</v>
      </c>
      <c r="AI210" s="127">
        <f t="shared" si="56"/>
        <v>288.29999999999995</v>
      </c>
      <c r="AJ210" s="37">
        <f t="shared" si="43"/>
        <v>2129.7999999999997</v>
      </c>
      <c r="AK210" s="37">
        <f t="shared" si="57"/>
        <v>7043.7999999999993</v>
      </c>
      <c r="AL210" s="37">
        <f t="shared" si="45"/>
        <v>34.234766976744183</v>
      </c>
      <c r="AN210" s="37" t="str">
        <f t="shared" si="44"/>
        <v>Pallet</v>
      </c>
      <c r="AO210" s="194">
        <f t="shared" si="58"/>
        <v>7</v>
      </c>
    </row>
    <row r="211" spans="22:41" x14ac:dyDescent="0.2">
      <c r="V211" s="181">
        <f t="shared" si="46"/>
        <v>86.5</v>
      </c>
      <c r="W211" s="181">
        <f t="shared" si="47"/>
        <v>173</v>
      </c>
      <c r="X211" s="181">
        <f t="shared" si="48"/>
        <v>1</v>
      </c>
      <c r="Y211" s="37">
        <f t="shared" si="49"/>
        <v>1917.1</v>
      </c>
      <c r="Z211" s="181">
        <f t="shared" si="50"/>
        <v>284.5</v>
      </c>
      <c r="AA211" s="127">
        <f t="shared" si="51"/>
        <v>595.21331999999995</v>
      </c>
      <c r="AB211" s="127">
        <f t="shared" si="52"/>
        <v>595.21331999999995</v>
      </c>
      <c r="AC211" s="37">
        <f t="shared" si="40"/>
        <v>3971.2799199999999</v>
      </c>
      <c r="AD211" s="37">
        <f t="shared" si="53"/>
        <v>5888.3799199999994</v>
      </c>
      <c r="AE211" s="181">
        <f t="shared" si="41"/>
        <v>7</v>
      </c>
      <c r="AF211" s="37">
        <f t="shared" si="54"/>
        <v>4914</v>
      </c>
      <c r="AG211" s="181">
        <f t="shared" si="42"/>
        <v>288.79999999999995</v>
      </c>
      <c r="AH211" s="111">
        <f t="shared" si="55"/>
        <v>193.51483199999998</v>
      </c>
      <c r="AI211" s="127">
        <f t="shared" si="56"/>
        <v>288.79999999999995</v>
      </c>
      <c r="AJ211" s="37">
        <f t="shared" si="43"/>
        <v>2132.7999999999997</v>
      </c>
      <c r="AK211" s="37">
        <f t="shared" si="57"/>
        <v>7046.7999999999993</v>
      </c>
      <c r="AL211" s="37">
        <f t="shared" si="45"/>
        <v>34.036878150289013</v>
      </c>
      <c r="AN211" s="37" t="str">
        <f t="shared" si="44"/>
        <v>Pallet</v>
      </c>
      <c r="AO211" s="194">
        <f t="shared" si="58"/>
        <v>7</v>
      </c>
    </row>
    <row r="212" spans="22:41" x14ac:dyDescent="0.2">
      <c r="V212" s="181">
        <f t="shared" si="46"/>
        <v>87</v>
      </c>
      <c r="W212" s="181">
        <f t="shared" si="47"/>
        <v>174</v>
      </c>
      <c r="X212" s="181">
        <f t="shared" si="48"/>
        <v>1</v>
      </c>
      <c r="Y212" s="37">
        <f t="shared" si="49"/>
        <v>1917.1</v>
      </c>
      <c r="Z212" s="181">
        <f t="shared" si="50"/>
        <v>285</v>
      </c>
      <c r="AA212" s="127">
        <f t="shared" si="51"/>
        <v>595.21331999999995</v>
      </c>
      <c r="AB212" s="127">
        <f t="shared" si="52"/>
        <v>595.21331999999995</v>
      </c>
      <c r="AC212" s="37">
        <f t="shared" si="40"/>
        <v>3971.2799199999999</v>
      </c>
      <c r="AD212" s="37">
        <f t="shared" si="53"/>
        <v>5888.3799199999994</v>
      </c>
      <c r="AE212" s="181">
        <f t="shared" si="41"/>
        <v>7</v>
      </c>
      <c r="AF212" s="37">
        <f t="shared" si="54"/>
        <v>4914</v>
      </c>
      <c r="AG212" s="181">
        <f t="shared" si="42"/>
        <v>289.29999999999995</v>
      </c>
      <c r="AH212" s="111">
        <f t="shared" si="55"/>
        <v>193.51483199999998</v>
      </c>
      <c r="AI212" s="127">
        <f t="shared" si="56"/>
        <v>289.29999999999995</v>
      </c>
      <c r="AJ212" s="37">
        <f t="shared" si="43"/>
        <v>2135.7999999999997</v>
      </c>
      <c r="AK212" s="37">
        <f t="shared" si="57"/>
        <v>7049.7999999999993</v>
      </c>
      <c r="AL212" s="37">
        <f t="shared" si="45"/>
        <v>33.841263908045974</v>
      </c>
      <c r="AN212" s="37" t="str">
        <f t="shared" si="44"/>
        <v>Pallet</v>
      </c>
      <c r="AO212" s="194">
        <f t="shared" si="58"/>
        <v>7</v>
      </c>
    </row>
    <row r="213" spans="22:41" x14ac:dyDescent="0.2">
      <c r="V213" s="181">
        <f t="shared" si="46"/>
        <v>87.5</v>
      </c>
      <c r="W213" s="181">
        <f t="shared" si="47"/>
        <v>175</v>
      </c>
      <c r="X213" s="181">
        <f t="shared" si="48"/>
        <v>1</v>
      </c>
      <c r="Y213" s="37">
        <f t="shared" si="49"/>
        <v>1917.1</v>
      </c>
      <c r="Z213" s="181">
        <f t="shared" si="50"/>
        <v>285.5</v>
      </c>
      <c r="AA213" s="127">
        <f t="shared" si="51"/>
        <v>595.21331999999995</v>
      </c>
      <c r="AB213" s="127">
        <f t="shared" si="52"/>
        <v>595.21331999999995</v>
      </c>
      <c r="AC213" s="37">
        <f t="shared" si="40"/>
        <v>3971.2799199999999</v>
      </c>
      <c r="AD213" s="37">
        <f t="shared" si="53"/>
        <v>5888.3799199999994</v>
      </c>
      <c r="AE213" s="181">
        <f t="shared" si="41"/>
        <v>7</v>
      </c>
      <c r="AF213" s="37">
        <f t="shared" si="54"/>
        <v>4914</v>
      </c>
      <c r="AG213" s="181">
        <f t="shared" si="42"/>
        <v>289.79999999999995</v>
      </c>
      <c r="AH213" s="111">
        <f t="shared" si="55"/>
        <v>193.51483199999998</v>
      </c>
      <c r="AI213" s="127">
        <f t="shared" si="56"/>
        <v>289.79999999999995</v>
      </c>
      <c r="AJ213" s="37">
        <f t="shared" si="43"/>
        <v>2138.7999999999997</v>
      </c>
      <c r="AK213" s="37">
        <f t="shared" si="57"/>
        <v>7052.7999999999993</v>
      </c>
      <c r="AL213" s="37">
        <f t="shared" si="45"/>
        <v>33.647885257142853</v>
      </c>
      <c r="AN213" s="37" t="str">
        <f t="shared" si="44"/>
        <v>Pallet</v>
      </c>
      <c r="AO213" s="194">
        <f t="shared" si="58"/>
        <v>7</v>
      </c>
    </row>
    <row r="214" spans="22:41" x14ac:dyDescent="0.2">
      <c r="V214" s="181">
        <f t="shared" si="46"/>
        <v>88</v>
      </c>
      <c r="W214" s="181">
        <f t="shared" si="47"/>
        <v>176</v>
      </c>
      <c r="X214" s="181">
        <f t="shared" si="48"/>
        <v>1</v>
      </c>
      <c r="Y214" s="37">
        <f t="shared" si="49"/>
        <v>1917.1</v>
      </c>
      <c r="Z214" s="181">
        <f t="shared" si="50"/>
        <v>286</v>
      </c>
      <c r="AA214" s="127">
        <f t="shared" si="51"/>
        <v>595.21331999999995</v>
      </c>
      <c r="AB214" s="127">
        <f t="shared" si="52"/>
        <v>595.21331999999995</v>
      </c>
      <c r="AC214" s="37">
        <f t="shared" si="40"/>
        <v>3971.2799199999999</v>
      </c>
      <c r="AD214" s="37">
        <f t="shared" si="53"/>
        <v>5888.3799199999994</v>
      </c>
      <c r="AE214" s="181">
        <f t="shared" si="41"/>
        <v>7</v>
      </c>
      <c r="AF214" s="37">
        <f t="shared" si="54"/>
        <v>4914</v>
      </c>
      <c r="AG214" s="181">
        <f t="shared" si="42"/>
        <v>290.29999999999995</v>
      </c>
      <c r="AH214" s="111">
        <f t="shared" si="55"/>
        <v>193.51483199999998</v>
      </c>
      <c r="AI214" s="127">
        <f t="shared" si="56"/>
        <v>290.29999999999995</v>
      </c>
      <c r="AJ214" s="37">
        <f t="shared" si="43"/>
        <v>2141.7999999999997</v>
      </c>
      <c r="AK214" s="37">
        <f t="shared" si="57"/>
        <v>7055.7999999999993</v>
      </c>
      <c r="AL214" s="37">
        <f t="shared" si="45"/>
        <v>33.456704090909085</v>
      </c>
      <c r="AN214" s="37" t="str">
        <f t="shared" si="44"/>
        <v>Pallet</v>
      </c>
      <c r="AO214" s="194">
        <f t="shared" si="58"/>
        <v>7</v>
      </c>
    </row>
    <row r="215" spans="22:41" x14ac:dyDescent="0.2">
      <c r="V215" s="181">
        <f t="shared" si="46"/>
        <v>88.5</v>
      </c>
      <c r="W215" s="181">
        <f t="shared" si="47"/>
        <v>177</v>
      </c>
      <c r="X215" s="181">
        <f t="shared" si="48"/>
        <v>1</v>
      </c>
      <c r="Y215" s="37">
        <f t="shared" si="49"/>
        <v>1917.1</v>
      </c>
      <c r="Z215" s="181">
        <f t="shared" si="50"/>
        <v>286.5</v>
      </c>
      <c r="AA215" s="127">
        <f t="shared" si="51"/>
        <v>595.21331999999995</v>
      </c>
      <c r="AB215" s="127">
        <f t="shared" si="52"/>
        <v>595.21331999999995</v>
      </c>
      <c r="AC215" s="37">
        <f t="shared" si="40"/>
        <v>3971.2799199999999</v>
      </c>
      <c r="AD215" s="37">
        <f t="shared" si="53"/>
        <v>5888.3799199999994</v>
      </c>
      <c r="AE215" s="181">
        <f t="shared" si="41"/>
        <v>7</v>
      </c>
      <c r="AF215" s="37">
        <f t="shared" si="54"/>
        <v>4914</v>
      </c>
      <c r="AG215" s="181">
        <f t="shared" si="42"/>
        <v>290.79999999999995</v>
      </c>
      <c r="AH215" s="111">
        <f t="shared" si="55"/>
        <v>193.51483199999998</v>
      </c>
      <c r="AI215" s="127">
        <f t="shared" si="56"/>
        <v>290.79999999999995</v>
      </c>
      <c r="AJ215" s="37">
        <f t="shared" si="43"/>
        <v>2144.7999999999997</v>
      </c>
      <c r="AK215" s="37">
        <f t="shared" si="57"/>
        <v>7058.7999999999993</v>
      </c>
      <c r="AL215" s="37">
        <f t="shared" si="45"/>
        <v>33.267683163841802</v>
      </c>
      <c r="AN215" s="37" t="str">
        <f t="shared" si="44"/>
        <v>Pallet</v>
      </c>
      <c r="AO215" s="194">
        <f t="shared" si="58"/>
        <v>7</v>
      </c>
    </row>
    <row r="216" spans="22:41" x14ac:dyDescent="0.2">
      <c r="V216" s="181">
        <f t="shared" si="46"/>
        <v>89</v>
      </c>
      <c r="W216" s="181">
        <f t="shared" si="47"/>
        <v>178</v>
      </c>
      <c r="X216" s="181">
        <f t="shared" si="48"/>
        <v>1</v>
      </c>
      <c r="Y216" s="37">
        <f t="shared" si="49"/>
        <v>1917.1</v>
      </c>
      <c r="Z216" s="181">
        <f t="shared" si="50"/>
        <v>287</v>
      </c>
      <c r="AA216" s="127">
        <f t="shared" si="51"/>
        <v>595.21331999999995</v>
      </c>
      <c r="AB216" s="127">
        <f t="shared" si="52"/>
        <v>595.21331999999995</v>
      </c>
      <c r="AC216" s="37">
        <f t="shared" si="40"/>
        <v>3971.2799199999999</v>
      </c>
      <c r="AD216" s="37">
        <f t="shared" si="53"/>
        <v>5888.3799199999994</v>
      </c>
      <c r="AE216" s="181">
        <f t="shared" si="41"/>
        <v>7</v>
      </c>
      <c r="AF216" s="37">
        <f t="shared" si="54"/>
        <v>4914</v>
      </c>
      <c r="AG216" s="181">
        <f t="shared" si="42"/>
        <v>291.29999999999995</v>
      </c>
      <c r="AH216" s="111">
        <f t="shared" si="55"/>
        <v>193.51483199999998</v>
      </c>
      <c r="AI216" s="127">
        <f t="shared" si="56"/>
        <v>291.29999999999995</v>
      </c>
      <c r="AJ216" s="37">
        <f t="shared" si="43"/>
        <v>2147.7999999999997</v>
      </c>
      <c r="AK216" s="37">
        <f t="shared" si="57"/>
        <v>7061.7999999999993</v>
      </c>
      <c r="AL216" s="37">
        <f t="shared" si="45"/>
        <v>33.08078606741573</v>
      </c>
      <c r="AN216" s="37" t="str">
        <f t="shared" si="44"/>
        <v>Pallet</v>
      </c>
      <c r="AO216" s="194">
        <f t="shared" si="58"/>
        <v>7</v>
      </c>
    </row>
    <row r="217" spans="22:41" x14ac:dyDescent="0.2">
      <c r="V217" s="181">
        <f t="shared" si="46"/>
        <v>89.5</v>
      </c>
      <c r="W217" s="181">
        <f t="shared" si="47"/>
        <v>179</v>
      </c>
      <c r="X217" s="181">
        <f t="shared" si="48"/>
        <v>1</v>
      </c>
      <c r="Y217" s="37">
        <f t="shared" si="49"/>
        <v>1917.1</v>
      </c>
      <c r="Z217" s="181">
        <f t="shared" si="50"/>
        <v>287.5</v>
      </c>
      <c r="AA217" s="127">
        <f t="shared" si="51"/>
        <v>595.21331999999995</v>
      </c>
      <c r="AB217" s="127">
        <f t="shared" si="52"/>
        <v>595.21331999999995</v>
      </c>
      <c r="AC217" s="37">
        <f t="shared" si="40"/>
        <v>3971.2799199999999</v>
      </c>
      <c r="AD217" s="37">
        <f t="shared" si="53"/>
        <v>5888.3799199999994</v>
      </c>
      <c r="AE217" s="181">
        <f t="shared" si="41"/>
        <v>7</v>
      </c>
      <c r="AF217" s="37">
        <f t="shared" si="54"/>
        <v>4914</v>
      </c>
      <c r="AG217" s="181">
        <f t="shared" si="42"/>
        <v>291.79999999999995</v>
      </c>
      <c r="AH217" s="111">
        <f t="shared" si="55"/>
        <v>193.51483199999998</v>
      </c>
      <c r="AI217" s="127">
        <f t="shared" si="56"/>
        <v>291.79999999999995</v>
      </c>
      <c r="AJ217" s="37">
        <f t="shared" si="43"/>
        <v>2150.7999999999997</v>
      </c>
      <c r="AK217" s="37">
        <f t="shared" si="57"/>
        <v>7064.7999999999993</v>
      </c>
      <c r="AL217" s="37">
        <f t="shared" si="45"/>
        <v>32.895977206703904</v>
      </c>
      <c r="AN217" s="37" t="str">
        <f t="shared" si="44"/>
        <v>Pallet</v>
      </c>
      <c r="AO217" s="194">
        <f t="shared" si="58"/>
        <v>7</v>
      </c>
    </row>
    <row r="218" spans="22:41" x14ac:dyDescent="0.2">
      <c r="V218" s="181">
        <f t="shared" si="46"/>
        <v>90</v>
      </c>
      <c r="W218" s="181">
        <f t="shared" si="47"/>
        <v>180</v>
      </c>
      <c r="X218" s="181">
        <f t="shared" si="48"/>
        <v>1</v>
      </c>
      <c r="Y218" s="37">
        <f t="shared" si="49"/>
        <v>1917.1</v>
      </c>
      <c r="Z218" s="181">
        <f t="shared" si="50"/>
        <v>288</v>
      </c>
      <c r="AA218" s="127">
        <f t="shared" si="51"/>
        <v>595.21331999999995</v>
      </c>
      <c r="AB218" s="127">
        <f t="shared" si="52"/>
        <v>595.21331999999995</v>
      </c>
      <c r="AC218" s="37">
        <f t="shared" si="40"/>
        <v>3971.2799199999999</v>
      </c>
      <c r="AD218" s="37">
        <f t="shared" si="53"/>
        <v>5888.3799199999994</v>
      </c>
      <c r="AE218" s="181">
        <f t="shared" si="41"/>
        <v>7</v>
      </c>
      <c r="AF218" s="37">
        <f t="shared" si="54"/>
        <v>4914</v>
      </c>
      <c r="AG218" s="181">
        <f t="shared" si="42"/>
        <v>292.29999999999995</v>
      </c>
      <c r="AH218" s="111">
        <f t="shared" si="55"/>
        <v>193.51483199999998</v>
      </c>
      <c r="AI218" s="127">
        <f t="shared" si="56"/>
        <v>292.29999999999995</v>
      </c>
      <c r="AJ218" s="37">
        <f t="shared" si="43"/>
        <v>2153.7999999999997</v>
      </c>
      <c r="AK218" s="37">
        <f t="shared" si="57"/>
        <v>7067.7999999999993</v>
      </c>
      <c r="AL218" s="37">
        <f t="shared" si="45"/>
        <v>32.713221777777775</v>
      </c>
      <c r="AN218" s="37" t="str">
        <f t="shared" si="44"/>
        <v>Pallet</v>
      </c>
      <c r="AO218" s="194">
        <f t="shared" si="58"/>
        <v>7</v>
      </c>
    </row>
    <row r="219" spans="22:41" x14ac:dyDescent="0.2">
      <c r="V219" s="181">
        <f t="shared" si="46"/>
        <v>90.5</v>
      </c>
      <c r="W219" s="181">
        <f t="shared" si="47"/>
        <v>181</v>
      </c>
      <c r="X219" s="181">
        <f t="shared" si="48"/>
        <v>1</v>
      </c>
      <c r="Y219" s="37">
        <f t="shared" si="49"/>
        <v>1917.1</v>
      </c>
      <c r="Z219" s="181">
        <f t="shared" si="50"/>
        <v>288.5</v>
      </c>
      <c r="AA219" s="127">
        <f t="shared" si="51"/>
        <v>595.21331999999995</v>
      </c>
      <c r="AB219" s="127">
        <f t="shared" si="52"/>
        <v>595.21331999999995</v>
      </c>
      <c r="AC219" s="37">
        <f t="shared" si="40"/>
        <v>3971.2799199999999</v>
      </c>
      <c r="AD219" s="37">
        <f t="shared" si="53"/>
        <v>5888.3799199999994</v>
      </c>
      <c r="AE219" s="181">
        <f t="shared" si="41"/>
        <v>8</v>
      </c>
      <c r="AF219" s="37">
        <f t="shared" si="54"/>
        <v>5616</v>
      </c>
      <c r="AG219" s="181">
        <f t="shared" si="42"/>
        <v>321.7</v>
      </c>
      <c r="AH219" s="111">
        <f t="shared" si="55"/>
        <v>221.15980799999997</v>
      </c>
      <c r="AI219" s="127">
        <f t="shared" si="56"/>
        <v>321.7</v>
      </c>
      <c r="AJ219" s="37">
        <f t="shared" si="43"/>
        <v>2330.1999999999998</v>
      </c>
      <c r="AK219" s="37">
        <f t="shared" si="57"/>
        <v>7946.2</v>
      </c>
      <c r="AL219" s="37">
        <f t="shared" si="45"/>
        <v>32.532485745856349</v>
      </c>
      <c r="AN219" s="37" t="str">
        <f t="shared" si="44"/>
        <v>Pallet</v>
      </c>
      <c r="AO219" s="194">
        <f t="shared" si="58"/>
        <v>7</v>
      </c>
    </row>
    <row r="220" spans="22:41" x14ac:dyDescent="0.2">
      <c r="V220" s="181">
        <f t="shared" si="46"/>
        <v>91</v>
      </c>
      <c r="W220" s="181">
        <f t="shared" si="47"/>
        <v>182</v>
      </c>
      <c r="X220" s="181">
        <f t="shared" si="48"/>
        <v>1</v>
      </c>
      <c r="Y220" s="37">
        <f t="shared" si="49"/>
        <v>1917.1</v>
      </c>
      <c r="Z220" s="181">
        <f t="shared" si="50"/>
        <v>289</v>
      </c>
      <c r="AA220" s="127">
        <f t="shared" si="51"/>
        <v>595.21331999999995</v>
      </c>
      <c r="AB220" s="127">
        <f t="shared" si="52"/>
        <v>595.21331999999995</v>
      </c>
      <c r="AC220" s="37">
        <f t="shared" si="40"/>
        <v>3971.2799199999999</v>
      </c>
      <c r="AD220" s="37">
        <f t="shared" si="53"/>
        <v>5888.3799199999994</v>
      </c>
      <c r="AE220" s="181">
        <f t="shared" si="41"/>
        <v>8</v>
      </c>
      <c r="AF220" s="37">
        <f t="shared" si="54"/>
        <v>5616</v>
      </c>
      <c r="AG220" s="181">
        <f t="shared" si="42"/>
        <v>322.2</v>
      </c>
      <c r="AH220" s="111">
        <f t="shared" si="55"/>
        <v>221.15980799999997</v>
      </c>
      <c r="AI220" s="127">
        <f t="shared" si="56"/>
        <v>322.2</v>
      </c>
      <c r="AJ220" s="37">
        <f t="shared" si="43"/>
        <v>2333.1999999999998</v>
      </c>
      <c r="AK220" s="37">
        <f t="shared" si="57"/>
        <v>7949.2</v>
      </c>
      <c r="AL220" s="37">
        <f t="shared" si="45"/>
        <v>32.353735824175821</v>
      </c>
      <c r="AN220" s="37" t="str">
        <f t="shared" si="44"/>
        <v>Pallet</v>
      </c>
      <c r="AO220" s="194">
        <f t="shared" si="58"/>
        <v>8</v>
      </c>
    </row>
    <row r="221" spans="22:41" x14ac:dyDescent="0.2">
      <c r="V221" s="181">
        <f t="shared" si="46"/>
        <v>91.5</v>
      </c>
      <c r="W221" s="181">
        <f t="shared" si="47"/>
        <v>183</v>
      </c>
      <c r="X221" s="181">
        <f t="shared" si="48"/>
        <v>1</v>
      </c>
      <c r="Y221" s="37">
        <f t="shared" si="49"/>
        <v>1917.1</v>
      </c>
      <c r="Z221" s="181">
        <f t="shared" si="50"/>
        <v>289.5</v>
      </c>
      <c r="AA221" s="127">
        <f t="shared" si="51"/>
        <v>595.21331999999995</v>
      </c>
      <c r="AB221" s="127">
        <f t="shared" si="52"/>
        <v>595.21331999999995</v>
      </c>
      <c r="AC221" s="37">
        <f t="shared" si="40"/>
        <v>3971.2799199999999</v>
      </c>
      <c r="AD221" s="37">
        <f t="shared" si="53"/>
        <v>5888.3799199999994</v>
      </c>
      <c r="AE221" s="181">
        <f t="shared" si="41"/>
        <v>8</v>
      </c>
      <c r="AF221" s="37">
        <f t="shared" si="54"/>
        <v>5616</v>
      </c>
      <c r="AG221" s="181">
        <f t="shared" si="42"/>
        <v>322.7</v>
      </c>
      <c r="AH221" s="111">
        <f t="shared" si="55"/>
        <v>221.15980799999997</v>
      </c>
      <c r="AI221" s="127">
        <f t="shared" si="56"/>
        <v>322.7</v>
      </c>
      <c r="AJ221" s="37">
        <f t="shared" si="43"/>
        <v>2336.1999999999998</v>
      </c>
      <c r="AK221" s="37">
        <f t="shared" si="57"/>
        <v>7952.2</v>
      </c>
      <c r="AL221" s="37">
        <f t="shared" si="45"/>
        <v>32.17693945355191</v>
      </c>
      <c r="AN221" s="37" t="str">
        <f t="shared" si="44"/>
        <v>Pallet</v>
      </c>
      <c r="AO221" s="194">
        <f t="shared" si="58"/>
        <v>8</v>
      </c>
    </row>
    <row r="222" spans="22:41" x14ac:dyDescent="0.2">
      <c r="V222" s="181">
        <f t="shared" si="46"/>
        <v>92</v>
      </c>
      <c r="W222" s="181">
        <f t="shared" si="47"/>
        <v>184</v>
      </c>
      <c r="X222" s="181">
        <f t="shared" si="48"/>
        <v>1</v>
      </c>
      <c r="Y222" s="37">
        <f t="shared" si="49"/>
        <v>1917.1</v>
      </c>
      <c r="Z222" s="181">
        <f t="shared" si="50"/>
        <v>290</v>
      </c>
      <c r="AA222" s="127">
        <f t="shared" si="51"/>
        <v>595.21331999999995</v>
      </c>
      <c r="AB222" s="127">
        <f t="shared" si="52"/>
        <v>595.21331999999995</v>
      </c>
      <c r="AC222" s="37">
        <f t="shared" si="40"/>
        <v>3971.2799199999999</v>
      </c>
      <c r="AD222" s="37">
        <f t="shared" si="53"/>
        <v>5888.3799199999994</v>
      </c>
      <c r="AE222" s="181">
        <f t="shared" si="41"/>
        <v>8</v>
      </c>
      <c r="AF222" s="37">
        <f t="shared" si="54"/>
        <v>5616</v>
      </c>
      <c r="AG222" s="181">
        <f t="shared" si="42"/>
        <v>323.2</v>
      </c>
      <c r="AH222" s="111">
        <f t="shared" si="55"/>
        <v>221.15980799999997</v>
      </c>
      <c r="AI222" s="127">
        <f t="shared" si="56"/>
        <v>323.2</v>
      </c>
      <c r="AJ222" s="37">
        <f t="shared" si="43"/>
        <v>2339.1999999999998</v>
      </c>
      <c r="AK222" s="37">
        <f t="shared" si="57"/>
        <v>7955.2</v>
      </c>
      <c r="AL222" s="37">
        <f t="shared" si="45"/>
        <v>32.002064782608691</v>
      </c>
      <c r="AN222" s="37" t="str">
        <f t="shared" si="44"/>
        <v>Pallet</v>
      </c>
      <c r="AO222" s="194">
        <f t="shared" si="58"/>
        <v>8</v>
      </c>
    </row>
    <row r="223" spans="22:41" x14ac:dyDescent="0.2">
      <c r="V223" s="181">
        <f t="shared" si="46"/>
        <v>92.5</v>
      </c>
      <c r="W223" s="181">
        <f t="shared" si="47"/>
        <v>185</v>
      </c>
      <c r="X223" s="181">
        <f t="shared" si="48"/>
        <v>1</v>
      </c>
      <c r="Y223" s="37">
        <f t="shared" si="49"/>
        <v>1917.1</v>
      </c>
      <c r="Z223" s="181">
        <f t="shared" si="50"/>
        <v>290.5</v>
      </c>
      <c r="AA223" s="127">
        <f t="shared" si="51"/>
        <v>595.21331999999995</v>
      </c>
      <c r="AB223" s="127">
        <f t="shared" si="52"/>
        <v>595.21331999999995</v>
      </c>
      <c r="AC223" s="37">
        <f t="shared" si="40"/>
        <v>3971.2799199999999</v>
      </c>
      <c r="AD223" s="37">
        <f t="shared" si="53"/>
        <v>5888.3799199999994</v>
      </c>
      <c r="AE223" s="181">
        <f t="shared" si="41"/>
        <v>8</v>
      </c>
      <c r="AF223" s="37">
        <f t="shared" si="54"/>
        <v>5616</v>
      </c>
      <c r="AG223" s="181">
        <f t="shared" si="42"/>
        <v>323.7</v>
      </c>
      <c r="AH223" s="111">
        <f t="shared" si="55"/>
        <v>221.15980799999997</v>
      </c>
      <c r="AI223" s="127">
        <f t="shared" si="56"/>
        <v>323.7</v>
      </c>
      <c r="AJ223" s="37">
        <f t="shared" si="43"/>
        <v>2342.1999999999998</v>
      </c>
      <c r="AK223" s="37">
        <f t="shared" si="57"/>
        <v>7958.2</v>
      </c>
      <c r="AL223" s="37">
        <f t="shared" si="45"/>
        <v>31.829080648648645</v>
      </c>
      <c r="AN223" s="37" t="str">
        <f t="shared" si="44"/>
        <v>Pallet</v>
      </c>
      <c r="AO223" s="194">
        <f t="shared" si="58"/>
        <v>8</v>
      </c>
    </row>
    <row r="224" spans="22:41" x14ac:dyDescent="0.2">
      <c r="V224" s="181">
        <f t="shared" si="46"/>
        <v>93</v>
      </c>
      <c r="W224" s="181">
        <f t="shared" si="47"/>
        <v>186</v>
      </c>
      <c r="X224" s="181">
        <f t="shared" si="48"/>
        <v>1</v>
      </c>
      <c r="Y224" s="37">
        <f t="shared" si="49"/>
        <v>1917.1</v>
      </c>
      <c r="Z224" s="181">
        <f t="shared" si="50"/>
        <v>291</v>
      </c>
      <c r="AA224" s="127">
        <f t="shared" si="51"/>
        <v>595.21331999999995</v>
      </c>
      <c r="AB224" s="127">
        <f t="shared" si="52"/>
        <v>595.21331999999995</v>
      </c>
      <c r="AC224" s="37">
        <f t="shared" si="40"/>
        <v>3971.2799199999999</v>
      </c>
      <c r="AD224" s="37">
        <f t="shared" si="53"/>
        <v>5888.3799199999994</v>
      </c>
      <c r="AE224" s="181">
        <f t="shared" si="41"/>
        <v>8</v>
      </c>
      <c r="AF224" s="37">
        <f t="shared" si="54"/>
        <v>5616</v>
      </c>
      <c r="AG224" s="181">
        <f t="shared" si="42"/>
        <v>324.2</v>
      </c>
      <c r="AH224" s="111">
        <f t="shared" si="55"/>
        <v>221.15980799999997</v>
      </c>
      <c r="AI224" s="127">
        <f t="shared" si="56"/>
        <v>324.2</v>
      </c>
      <c r="AJ224" s="37">
        <f t="shared" si="43"/>
        <v>2345.1999999999998</v>
      </c>
      <c r="AK224" s="37">
        <f t="shared" si="57"/>
        <v>7961.2</v>
      </c>
      <c r="AL224" s="37">
        <f t="shared" si="45"/>
        <v>31.65795655913978</v>
      </c>
      <c r="AN224" s="37" t="str">
        <f t="shared" si="44"/>
        <v>Pallet</v>
      </c>
      <c r="AO224" s="194">
        <f t="shared" si="58"/>
        <v>8</v>
      </c>
    </row>
    <row r="225" spans="22:41" x14ac:dyDescent="0.2">
      <c r="V225" s="181">
        <f t="shared" si="46"/>
        <v>93.5</v>
      </c>
      <c r="W225" s="181">
        <f t="shared" si="47"/>
        <v>187</v>
      </c>
      <c r="X225" s="181">
        <f t="shared" si="48"/>
        <v>1</v>
      </c>
      <c r="Y225" s="37">
        <f t="shared" si="49"/>
        <v>1917.1</v>
      </c>
      <c r="Z225" s="181">
        <f t="shared" si="50"/>
        <v>291.5</v>
      </c>
      <c r="AA225" s="127">
        <f t="shared" si="51"/>
        <v>595.21331999999995</v>
      </c>
      <c r="AB225" s="127">
        <f t="shared" si="52"/>
        <v>595.21331999999995</v>
      </c>
      <c r="AC225" s="37">
        <f t="shared" si="40"/>
        <v>3971.2799199999999</v>
      </c>
      <c r="AD225" s="37">
        <f t="shared" si="53"/>
        <v>5888.3799199999994</v>
      </c>
      <c r="AE225" s="181">
        <f t="shared" si="41"/>
        <v>8</v>
      </c>
      <c r="AF225" s="37">
        <f t="shared" si="54"/>
        <v>5616</v>
      </c>
      <c r="AG225" s="181">
        <f t="shared" si="42"/>
        <v>324.7</v>
      </c>
      <c r="AH225" s="111">
        <f t="shared" si="55"/>
        <v>221.15980799999997</v>
      </c>
      <c r="AI225" s="127">
        <f t="shared" si="56"/>
        <v>324.7</v>
      </c>
      <c r="AJ225" s="37">
        <f t="shared" si="43"/>
        <v>2348.1999999999998</v>
      </c>
      <c r="AK225" s="37">
        <f t="shared" si="57"/>
        <v>7964.2</v>
      </c>
      <c r="AL225" s="37">
        <f t="shared" si="45"/>
        <v>31.488662673796789</v>
      </c>
      <c r="AN225" s="37" t="str">
        <f t="shared" si="44"/>
        <v>Pallet</v>
      </c>
      <c r="AO225" s="194">
        <f t="shared" si="58"/>
        <v>8</v>
      </c>
    </row>
    <row r="226" spans="22:41" x14ac:dyDescent="0.2">
      <c r="V226" s="181">
        <f t="shared" si="46"/>
        <v>94</v>
      </c>
      <c r="W226" s="181">
        <f t="shared" si="47"/>
        <v>188</v>
      </c>
      <c r="X226" s="181">
        <f t="shared" si="48"/>
        <v>1</v>
      </c>
      <c r="Y226" s="37">
        <f t="shared" si="49"/>
        <v>1917.1</v>
      </c>
      <c r="Z226" s="181">
        <f t="shared" si="50"/>
        <v>292</v>
      </c>
      <c r="AA226" s="127">
        <f t="shared" si="51"/>
        <v>595.21331999999995</v>
      </c>
      <c r="AB226" s="127">
        <f t="shared" si="52"/>
        <v>595.21331999999995</v>
      </c>
      <c r="AC226" s="37">
        <f t="shared" si="40"/>
        <v>3971.2799199999999</v>
      </c>
      <c r="AD226" s="37">
        <f t="shared" si="53"/>
        <v>5888.3799199999994</v>
      </c>
      <c r="AE226" s="181">
        <f t="shared" si="41"/>
        <v>8</v>
      </c>
      <c r="AF226" s="37">
        <f t="shared" si="54"/>
        <v>5616</v>
      </c>
      <c r="AG226" s="181">
        <f t="shared" si="42"/>
        <v>325.2</v>
      </c>
      <c r="AH226" s="111">
        <f t="shared" si="55"/>
        <v>221.15980799999997</v>
      </c>
      <c r="AI226" s="127">
        <f t="shared" si="56"/>
        <v>325.2</v>
      </c>
      <c r="AJ226" s="37">
        <f t="shared" si="43"/>
        <v>2351.1999999999998</v>
      </c>
      <c r="AK226" s="37">
        <f t="shared" si="57"/>
        <v>7967.2</v>
      </c>
      <c r="AL226" s="37">
        <f t="shared" si="45"/>
        <v>31.321169787234041</v>
      </c>
      <c r="AN226" s="37" t="str">
        <f t="shared" si="44"/>
        <v>Pallet</v>
      </c>
      <c r="AO226" s="194">
        <f t="shared" si="58"/>
        <v>8</v>
      </c>
    </row>
    <row r="227" spans="22:41" x14ac:dyDescent="0.2">
      <c r="V227" s="181">
        <f t="shared" si="46"/>
        <v>94.5</v>
      </c>
      <c r="W227" s="181">
        <f t="shared" si="47"/>
        <v>189</v>
      </c>
      <c r="X227" s="181">
        <f t="shared" si="48"/>
        <v>1</v>
      </c>
      <c r="Y227" s="37">
        <f t="shared" si="49"/>
        <v>1917.1</v>
      </c>
      <c r="Z227" s="181">
        <f t="shared" si="50"/>
        <v>292.5</v>
      </c>
      <c r="AA227" s="127">
        <f t="shared" si="51"/>
        <v>595.21331999999995</v>
      </c>
      <c r="AB227" s="127">
        <f t="shared" si="52"/>
        <v>595.21331999999995</v>
      </c>
      <c r="AC227" s="37">
        <f t="shared" si="40"/>
        <v>3971.2799199999999</v>
      </c>
      <c r="AD227" s="37">
        <f t="shared" si="53"/>
        <v>5888.3799199999994</v>
      </c>
      <c r="AE227" s="181">
        <f t="shared" si="41"/>
        <v>8</v>
      </c>
      <c r="AF227" s="37">
        <f t="shared" si="54"/>
        <v>5616</v>
      </c>
      <c r="AG227" s="181">
        <f t="shared" si="42"/>
        <v>325.7</v>
      </c>
      <c r="AH227" s="111">
        <f t="shared" si="55"/>
        <v>221.15980799999997</v>
      </c>
      <c r="AI227" s="127">
        <f t="shared" si="56"/>
        <v>325.7</v>
      </c>
      <c r="AJ227" s="37">
        <f t="shared" si="43"/>
        <v>2354.1999999999998</v>
      </c>
      <c r="AK227" s="37">
        <f t="shared" si="57"/>
        <v>7970.2</v>
      </c>
      <c r="AL227" s="37">
        <f t="shared" si="45"/>
        <v>31.15544931216931</v>
      </c>
      <c r="AN227" s="37" t="str">
        <f t="shared" si="44"/>
        <v>Pallet</v>
      </c>
      <c r="AO227" s="194">
        <f t="shared" si="58"/>
        <v>8</v>
      </c>
    </row>
    <row r="228" spans="22:41" x14ac:dyDescent="0.2">
      <c r="V228" s="181">
        <f t="shared" si="46"/>
        <v>95</v>
      </c>
      <c r="W228" s="181">
        <f t="shared" si="47"/>
        <v>190</v>
      </c>
      <c r="X228" s="181">
        <f t="shared" si="48"/>
        <v>1</v>
      </c>
      <c r="Y228" s="37">
        <f t="shared" si="49"/>
        <v>1917.1</v>
      </c>
      <c r="Z228" s="181">
        <f t="shared" si="50"/>
        <v>293</v>
      </c>
      <c r="AA228" s="127">
        <f t="shared" si="51"/>
        <v>595.21331999999995</v>
      </c>
      <c r="AB228" s="127">
        <f t="shared" si="52"/>
        <v>595.21331999999995</v>
      </c>
      <c r="AC228" s="37">
        <f t="shared" si="40"/>
        <v>3971.2799199999999</v>
      </c>
      <c r="AD228" s="37">
        <f t="shared" si="53"/>
        <v>5888.3799199999994</v>
      </c>
      <c r="AE228" s="181">
        <f t="shared" si="41"/>
        <v>8</v>
      </c>
      <c r="AF228" s="37">
        <f t="shared" si="54"/>
        <v>5616</v>
      </c>
      <c r="AG228" s="181">
        <f t="shared" si="42"/>
        <v>326.2</v>
      </c>
      <c r="AH228" s="111">
        <f t="shared" si="55"/>
        <v>221.15980799999997</v>
      </c>
      <c r="AI228" s="127">
        <f t="shared" si="56"/>
        <v>326.2</v>
      </c>
      <c r="AJ228" s="37">
        <f t="shared" si="43"/>
        <v>2357.1999999999998</v>
      </c>
      <c r="AK228" s="37">
        <f t="shared" si="57"/>
        <v>7973.2</v>
      </c>
      <c r="AL228" s="37">
        <f t="shared" si="45"/>
        <v>30.991473263157893</v>
      </c>
      <c r="AN228" s="37" t="str">
        <f t="shared" si="44"/>
        <v>Pallet</v>
      </c>
      <c r="AO228" s="194">
        <f t="shared" si="58"/>
        <v>8</v>
      </c>
    </row>
    <row r="229" spans="22:41" x14ac:dyDescent="0.2">
      <c r="V229" s="181">
        <f t="shared" si="46"/>
        <v>95.5</v>
      </c>
      <c r="W229" s="181">
        <f t="shared" si="47"/>
        <v>191</v>
      </c>
      <c r="X229" s="181">
        <f t="shared" si="48"/>
        <v>1</v>
      </c>
      <c r="Y229" s="37">
        <f t="shared" si="49"/>
        <v>1917.1</v>
      </c>
      <c r="Z229" s="181">
        <f t="shared" si="50"/>
        <v>293.5</v>
      </c>
      <c r="AA229" s="127">
        <f t="shared" si="51"/>
        <v>595.21331999999995</v>
      </c>
      <c r="AB229" s="127">
        <f t="shared" si="52"/>
        <v>595.21331999999995</v>
      </c>
      <c r="AC229" s="37">
        <f t="shared" si="40"/>
        <v>3971.2799199999999</v>
      </c>
      <c r="AD229" s="37">
        <f t="shared" si="53"/>
        <v>5888.3799199999994</v>
      </c>
      <c r="AE229" s="181">
        <f t="shared" si="41"/>
        <v>8</v>
      </c>
      <c r="AF229" s="37">
        <f t="shared" si="54"/>
        <v>5616</v>
      </c>
      <c r="AG229" s="181">
        <f t="shared" si="42"/>
        <v>326.7</v>
      </c>
      <c r="AH229" s="111">
        <f t="shared" si="55"/>
        <v>221.15980799999997</v>
      </c>
      <c r="AI229" s="127">
        <f t="shared" si="56"/>
        <v>326.7</v>
      </c>
      <c r="AJ229" s="37">
        <f t="shared" si="43"/>
        <v>2360.1999999999998</v>
      </c>
      <c r="AK229" s="37">
        <f t="shared" si="57"/>
        <v>7976.2</v>
      </c>
      <c r="AL229" s="37">
        <f t="shared" si="45"/>
        <v>30.829214240837693</v>
      </c>
      <c r="AN229" s="37" t="str">
        <f t="shared" si="44"/>
        <v>Pallet</v>
      </c>
      <c r="AO229" s="194">
        <f t="shared" si="58"/>
        <v>8</v>
      </c>
    </row>
    <row r="230" spans="22:41" x14ac:dyDescent="0.2">
      <c r="V230" s="181">
        <f t="shared" si="46"/>
        <v>96</v>
      </c>
      <c r="W230" s="181">
        <f t="shared" si="47"/>
        <v>192</v>
      </c>
      <c r="X230" s="181">
        <f t="shared" si="48"/>
        <v>1</v>
      </c>
      <c r="Y230" s="37">
        <f t="shared" si="49"/>
        <v>1917.1</v>
      </c>
      <c r="Z230" s="181">
        <f t="shared" si="50"/>
        <v>294</v>
      </c>
      <c r="AA230" s="127">
        <f t="shared" si="51"/>
        <v>595.21331999999995</v>
      </c>
      <c r="AB230" s="127">
        <f t="shared" si="52"/>
        <v>595.21331999999995</v>
      </c>
      <c r="AC230" s="37">
        <f t="shared" si="40"/>
        <v>3971.2799199999999</v>
      </c>
      <c r="AD230" s="37">
        <f t="shared" si="53"/>
        <v>5888.3799199999994</v>
      </c>
      <c r="AE230" s="181">
        <f t="shared" si="41"/>
        <v>8</v>
      </c>
      <c r="AF230" s="37">
        <f t="shared" si="54"/>
        <v>5616</v>
      </c>
      <c r="AG230" s="181">
        <f t="shared" si="42"/>
        <v>327.2</v>
      </c>
      <c r="AH230" s="111">
        <f t="shared" si="55"/>
        <v>221.15980799999997</v>
      </c>
      <c r="AI230" s="127">
        <f t="shared" si="56"/>
        <v>327.2</v>
      </c>
      <c r="AJ230" s="37">
        <f t="shared" si="43"/>
        <v>2363.1999999999998</v>
      </c>
      <c r="AK230" s="37">
        <f t="shared" si="57"/>
        <v>7979.2</v>
      </c>
      <c r="AL230" s="37">
        <f t="shared" si="45"/>
        <v>30.668645416666664</v>
      </c>
      <c r="AN230" s="37" t="str">
        <f t="shared" si="44"/>
        <v>Pallet</v>
      </c>
      <c r="AO230" s="194">
        <f t="shared" si="58"/>
        <v>8</v>
      </c>
    </row>
    <row r="231" spans="22:41" x14ac:dyDescent="0.2">
      <c r="V231" s="181">
        <f t="shared" si="46"/>
        <v>96.5</v>
      </c>
      <c r="W231" s="181">
        <f t="shared" si="47"/>
        <v>193</v>
      </c>
      <c r="X231" s="181">
        <f t="shared" si="48"/>
        <v>1</v>
      </c>
      <c r="Y231" s="37">
        <f t="shared" si="49"/>
        <v>1917.1</v>
      </c>
      <c r="Z231" s="181">
        <f t="shared" si="50"/>
        <v>294.5</v>
      </c>
      <c r="AA231" s="127">
        <f t="shared" si="51"/>
        <v>595.21331999999995</v>
      </c>
      <c r="AB231" s="127">
        <f t="shared" si="52"/>
        <v>595.21331999999995</v>
      </c>
      <c r="AC231" s="37">
        <f t="shared" ref="AC231:AC294" si="59">(Shipping_perkg_first100*100)+((AB231-100)*Shipping_perkg_above100)</f>
        <v>3971.2799199999999</v>
      </c>
      <c r="AD231" s="37">
        <f t="shared" si="53"/>
        <v>5888.3799199999994</v>
      </c>
      <c r="AE231" s="181">
        <f t="shared" ref="AE231:AE294" si="60">ROUNDUP(W231/$N$19,0)</f>
        <v>8</v>
      </c>
      <c r="AF231" s="37">
        <f t="shared" si="54"/>
        <v>5616</v>
      </c>
      <c r="AG231" s="181">
        <f t="shared" ref="AG231:AG294" si="61">(AE231*$K$19)+V231</f>
        <v>327.7</v>
      </c>
      <c r="AH231" s="111">
        <f t="shared" si="55"/>
        <v>221.15980799999997</v>
      </c>
      <c r="AI231" s="127">
        <f t="shared" si="56"/>
        <v>327.7</v>
      </c>
      <c r="AJ231" s="37">
        <f t="shared" ref="AJ231:AJ294" si="62">IF(AI231&lt;=100,AI231*Shipping_perkg_first100,(Shipping_perkg_first100*100)+((AI231-100)*Shipping_perkg_above100))</f>
        <v>2366.1999999999998</v>
      </c>
      <c r="AK231" s="37">
        <f t="shared" si="57"/>
        <v>7982.2</v>
      </c>
      <c r="AL231" s="37">
        <f t="shared" si="45"/>
        <v>30.509740518134713</v>
      </c>
      <c r="AN231" s="37" t="str">
        <f t="shared" ref="AN231:AN294" si="63">IF(AD231&lt;AK231,"Pallet","Parcel")</f>
        <v>Pallet</v>
      </c>
      <c r="AO231" s="194">
        <f t="shared" si="58"/>
        <v>8</v>
      </c>
    </row>
    <row r="232" spans="22:41" x14ac:dyDescent="0.2">
      <c r="V232" s="181">
        <f t="shared" si="46"/>
        <v>97</v>
      </c>
      <c r="W232" s="181">
        <f t="shared" si="47"/>
        <v>194</v>
      </c>
      <c r="X232" s="181">
        <f t="shared" si="48"/>
        <v>1</v>
      </c>
      <c r="Y232" s="37">
        <f t="shared" si="49"/>
        <v>1917.1</v>
      </c>
      <c r="Z232" s="181">
        <f t="shared" si="50"/>
        <v>295</v>
      </c>
      <c r="AA232" s="127">
        <f t="shared" si="51"/>
        <v>595.21331999999995</v>
      </c>
      <c r="AB232" s="127">
        <f t="shared" si="52"/>
        <v>595.21331999999995</v>
      </c>
      <c r="AC232" s="37">
        <f t="shared" si="59"/>
        <v>3971.2799199999999</v>
      </c>
      <c r="AD232" s="37">
        <f t="shared" si="53"/>
        <v>5888.3799199999994</v>
      </c>
      <c r="AE232" s="181">
        <f t="shared" si="60"/>
        <v>8</v>
      </c>
      <c r="AF232" s="37">
        <f t="shared" si="54"/>
        <v>5616</v>
      </c>
      <c r="AG232" s="181">
        <f t="shared" si="61"/>
        <v>328.2</v>
      </c>
      <c r="AH232" s="111">
        <f t="shared" si="55"/>
        <v>221.15980799999997</v>
      </c>
      <c r="AI232" s="127">
        <f t="shared" si="56"/>
        <v>328.2</v>
      </c>
      <c r="AJ232" s="37">
        <f t="shared" si="62"/>
        <v>2369.1999999999998</v>
      </c>
      <c r="AK232" s="37">
        <f t="shared" si="57"/>
        <v>7985.2</v>
      </c>
      <c r="AL232" s="37">
        <f t="shared" ref="AL232:AL295" si="64">MIN(AD232,AK232)/W232</f>
        <v>30.352473814432987</v>
      </c>
      <c r="AN232" s="37" t="str">
        <f t="shared" si="63"/>
        <v>Pallet</v>
      </c>
      <c r="AO232" s="194">
        <f t="shared" si="58"/>
        <v>8</v>
      </c>
    </row>
    <row r="233" spans="22:41" x14ac:dyDescent="0.2">
      <c r="V233" s="181">
        <f t="shared" ref="V233:V296" si="65">W233*$V$37</f>
        <v>97.5</v>
      </c>
      <c r="W233" s="181">
        <f t="shared" ref="W233:W296" si="66">W232+1</f>
        <v>195</v>
      </c>
      <c r="X233" s="181">
        <f t="shared" ref="X233:X296" si="67">ROUNDUP(W233/$N$29,0)</f>
        <v>1</v>
      </c>
      <c r="Y233" s="37">
        <f t="shared" ref="Y233:Y296" si="68">X233*$P$29</f>
        <v>1917.1</v>
      </c>
      <c r="Z233" s="181">
        <f t="shared" ref="Z233:Z296" si="69">V233+(X233*$K$29)</f>
        <v>295.5</v>
      </c>
      <c r="AA233" s="127">
        <f t="shared" ref="AA233:AA296" si="70">X233*$T$29</f>
        <v>595.21331999999995</v>
      </c>
      <c r="AB233" s="127">
        <f t="shared" ref="AB233:AB296" si="71">MAX(Z233,AA233)</f>
        <v>595.21331999999995</v>
      </c>
      <c r="AC233" s="37">
        <f t="shared" si="59"/>
        <v>3971.2799199999999</v>
      </c>
      <c r="AD233" s="37">
        <f t="shared" ref="AD233:AD296" si="72">Y233+AC233</f>
        <v>5888.3799199999994</v>
      </c>
      <c r="AE233" s="181">
        <f t="shared" si="60"/>
        <v>8</v>
      </c>
      <c r="AF233" s="37">
        <f t="shared" ref="AF233:AF296" si="73">AE233*$P$19</f>
        <v>5616</v>
      </c>
      <c r="AG233" s="181">
        <f t="shared" si="61"/>
        <v>328.7</v>
      </c>
      <c r="AH233" s="111">
        <f t="shared" ref="AH233:AH296" si="74">AE233*$X$19</f>
        <v>221.15980799999997</v>
      </c>
      <c r="AI233" s="127">
        <f t="shared" ref="AI233:AI296" si="75">MAX(AG233,AH233)</f>
        <v>328.7</v>
      </c>
      <c r="AJ233" s="37">
        <f t="shared" si="62"/>
        <v>2372.1999999999998</v>
      </c>
      <c r="AK233" s="37">
        <f t="shared" ref="AK233:AK296" si="76">AF233+AJ233</f>
        <v>7988.2</v>
      </c>
      <c r="AL233" s="37">
        <f t="shared" si="64"/>
        <v>30.1968201025641</v>
      </c>
      <c r="AN233" s="37" t="str">
        <f t="shared" si="63"/>
        <v>Pallet</v>
      </c>
      <c r="AO233" s="194">
        <f t="shared" ref="AO233:AO296" si="77">AE232</f>
        <v>8</v>
      </c>
    </row>
    <row r="234" spans="22:41" x14ac:dyDescent="0.2">
      <c r="V234" s="181">
        <f t="shared" si="65"/>
        <v>98</v>
      </c>
      <c r="W234" s="181">
        <f t="shared" si="66"/>
        <v>196</v>
      </c>
      <c r="X234" s="181">
        <f t="shared" si="67"/>
        <v>1</v>
      </c>
      <c r="Y234" s="37">
        <f t="shared" si="68"/>
        <v>1917.1</v>
      </c>
      <c r="Z234" s="181">
        <f t="shared" si="69"/>
        <v>296</v>
      </c>
      <c r="AA234" s="127">
        <f t="shared" si="70"/>
        <v>595.21331999999995</v>
      </c>
      <c r="AB234" s="127">
        <f t="shared" si="71"/>
        <v>595.21331999999995</v>
      </c>
      <c r="AC234" s="37">
        <f t="shared" si="59"/>
        <v>3971.2799199999999</v>
      </c>
      <c r="AD234" s="37">
        <f t="shared" si="72"/>
        <v>5888.3799199999994</v>
      </c>
      <c r="AE234" s="181">
        <f t="shared" si="60"/>
        <v>8</v>
      </c>
      <c r="AF234" s="37">
        <f t="shared" si="73"/>
        <v>5616</v>
      </c>
      <c r="AG234" s="181">
        <f t="shared" si="61"/>
        <v>329.2</v>
      </c>
      <c r="AH234" s="111">
        <f t="shared" si="74"/>
        <v>221.15980799999997</v>
      </c>
      <c r="AI234" s="127">
        <f t="shared" si="75"/>
        <v>329.2</v>
      </c>
      <c r="AJ234" s="37">
        <f t="shared" si="62"/>
        <v>2375.1999999999998</v>
      </c>
      <c r="AK234" s="37">
        <f t="shared" si="76"/>
        <v>7991.2</v>
      </c>
      <c r="AL234" s="37">
        <f t="shared" si="64"/>
        <v>30.042754693877548</v>
      </c>
      <c r="AN234" s="37" t="str">
        <f t="shared" si="63"/>
        <v>Pallet</v>
      </c>
      <c r="AO234" s="194">
        <f t="shared" si="77"/>
        <v>8</v>
      </c>
    </row>
    <row r="235" spans="22:41" x14ac:dyDescent="0.2">
      <c r="V235" s="181">
        <f t="shared" si="65"/>
        <v>98.5</v>
      </c>
      <c r="W235" s="181">
        <f t="shared" si="66"/>
        <v>197</v>
      </c>
      <c r="X235" s="181">
        <f t="shared" si="67"/>
        <v>1</v>
      </c>
      <c r="Y235" s="37">
        <f t="shared" si="68"/>
        <v>1917.1</v>
      </c>
      <c r="Z235" s="181">
        <f t="shared" si="69"/>
        <v>296.5</v>
      </c>
      <c r="AA235" s="127">
        <f t="shared" si="70"/>
        <v>595.21331999999995</v>
      </c>
      <c r="AB235" s="127">
        <f t="shared" si="71"/>
        <v>595.21331999999995</v>
      </c>
      <c r="AC235" s="37">
        <f t="shared" si="59"/>
        <v>3971.2799199999999</v>
      </c>
      <c r="AD235" s="37">
        <f t="shared" si="72"/>
        <v>5888.3799199999994</v>
      </c>
      <c r="AE235" s="181">
        <f t="shared" si="60"/>
        <v>8</v>
      </c>
      <c r="AF235" s="37">
        <f t="shared" si="73"/>
        <v>5616</v>
      </c>
      <c r="AG235" s="181">
        <f t="shared" si="61"/>
        <v>329.7</v>
      </c>
      <c r="AH235" s="111">
        <f t="shared" si="74"/>
        <v>221.15980799999997</v>
      </c>
      <c r="AI235" s="127">
        <f t="shared" si="75"/>
        <v>329.7</v>
      </c>
      <c r="AJ235" s="37">
        <f t="shared" si="62"/>
        <v>2378.1999999999998</v>
      </c>
      <c r="AK235" s="37">
        <f t="shared" si="76"/>
        <v>7994.2</v>
      </c>
      <c r="AL235" s="37">
        <f t="shared" si="64"/>
        <v>29.890253401015226</v>
      </c>
      <c r="AN235" s="37" t="str">
        <f t="shared" si="63"/>
        <v>Pallet</v>
      </c>
      <c r="AO235" s="194">
        <f t="shared" si="77"/>
        <v>8</v>
      </c>
    </row>
    <row r="236" spans="22:41" x14ac:dyDescent="0.2">
      <c r="V236" s="181">
        <f t="shared" si="65"/>
        <v>99</v>
      </c>
      <c r="W236" s="181">
        <f t="shared" si="66"/>
        <v>198</v>
      </c>
      <c r="X236" s="181">
        <f t="shared" si="67"/>
        <v>1</v>
      </c>
      <c r="Y236" s="37">
        <f t="shared" si="68"/>
        <v>1917.1</v>
      </c>
      <c r="Z236" s="181">
        <f t="shared" si="69"/>
        <v>297</v>
      </c>
      <c r="AA236" s="127">
        <f t="shared" si="70"/>
        <v>595.21331999999995</v>
      </c>
      <c r="AB236" s="127">
        <f t="shared" si="71"/>
        <v>595.21331999999995</v>
      </c>
      <c r="AC236" s="37">
        <f t="shared" si="59"/>
        <v>3971.2799199999999</v>
      </c>
      <c r="AD236" s="37">
        <f t="shared" si="72"/>
        <v>5888.3799199999994</v>
      </c>
      <c r="AE236" s="181">
        <f t="shared" si="60"/>
        <v>8</v>
      </c>
      <c r="AF236" s="37">
        <f t="shared" si="73"/>
        <v>5616</v>
      </c>
      <c r="AG236" s="181">
        <f t="shared" si="61"/>
        <v>330.2</v>
      </c>
      <c r="AH236" s="111">
        <f t="shared" si="74"/>
        <v>221.15980799999997</v>
      </c>
      <c r="AI236" s="127">
        <f t="shared" si="75"/>
        <v>330.2</v>
      </c>
      <c r="AJ236" s="37">
        <f t="shared" si="62"/>
        <v>2381.1999999999998</v>
      </c>
      <c r="AK236" s="37">
        <f t="shared" si="76"/>
        <v>7997.2</v>
      </c>
      <c r="AL236" s="37">
        <f t="shared" si="64"/>
        <v>29.739292525252523</v>
      </c>
      <c r="AN236" s="37" t="str">
        <f t="shared" si="63"/>
        <v>Pallet</v>
      </c>
      <c r="AO236" s="194">
        <f t="shared" si="77"/>
        <v>8</v>
      </c>
    </row>
    <row r="237" spans="22:41" x14ac:dyDescent="0.2">
      <c r="V237" s="181">
        <f t="shared" si="65"/>
        <v>99.5</v>
      </c>
      <c r="W237" s="181">
        <f t="shared" si="66"/>
        <v>199</v>
      </c>
      <c r="X237" s="181">
        <f t="shared" si="67"/>
        <v>1</v>
      </c>
      <c r="Y237" s="37">
        <f t="shared" si="68"/>
        <v>1917.1</v>
      </c>
      <c r="Z237" s="181">
        <f t="shared" si="69"/>
        <v>297.5</v>
      </c>
      <c r="AA237" s="127">
        <f t="shared" si="70"/>
        <v>595.21331999999995</v>
      </c>
      <c r="AB237" s="127">
        <f t="shared" si="71"/>
        <v>595.21331999999995</v>
      </c>
      <c r="AC237" s="37">
        <f t="shared" si="59"/>
        <v>3971.2799199999999</v>
      </c>
      <c r="AD237" s="37">
        <f t="shared" si="72"/>
        <v>5888.3799199999994</v>
      </c>
      <c r="AE237" s="181">
        <f t="shared" si="60"/>
        <v>8</v>
      </c>
      <c r="AF237" s="37">
        <f t="shared" si="73"/>
        <v>5616</v>
      </c>
      <c r="AG237" s="181">
        <f t="shared" si="61"/>
        <v>330.7</v>
      </c>
      <c r="AH237" s="111">
        <f t="shared" si="74"/>
        <v>221.15980799999997</v>
      </c>
      <c r="AI237" s="127">
        <f t="shared" si="75"/>
        <v>330.7</v>
      </c>
      <c r="AJ237" s="37">
        <f t="shared" si="62"/>
        <v>2384.1999999999998</v>
      </c>
      <c r="AK237" s="37">
        <f t="shared" si="76"/>
        <v>8000.2</v>
      </c>
      <c r="AL237" s="37">
        <f t="shared" si="64"/>
        <v>29.589848844221102</v>
      </c>
      <c r="AN237" s="37" t="str">
        <f t="shared" si="63"/>
        <v>Pallet</v>
      </c>
      <c r="AO237" s="194">
        <f t="shared" si="77"/>
        <v>8</v>
      </c>
    </row>
    <row r="238" spans="22:41" x14ac:dyDescent="0.2">
      <c r="V238" s="181">
        <f t="shared" si="65"/>
        <v>100</v>
      </c>
      <c r="W238" s="181">
        <f t="shared" si="66"/>
        <v>200</v>
      </c>
      <c r="X238" s="181">
        <f t="shared" si="67"/>
        <v>1</v>
      </c>
      <c r="Y238" s="37">
        <f t="shared" si="68"/>
        <v>1917.1</v>
      </c>
      <c r="Z238" s="181">
        <f t="shared" si="69"/>
        <v>298</v>
      </c>
      <c r="AA238" s="127">
        <f t="shared" si="70"/>
        <v>595.21331999999995</v>
      </c>
      <c r="AB238" s="127">
        <f t="shared" si="71"/>
        <v>595.21331999999995</v>
      </c>
      <c r="AC238" s="37">
        <f t="shared" si="59"/>
        <v>3971.2799199999999</v>
      </c>
      <c r="AD238" s="37">
        <f t="shared" si="72"/>
        <v>5888.3799199999994</v>
      </c>
      <c r="AE238" s="181">
        <f t="shared" si="60"/>
        <v>8</v>
      </c>
      <c r="AF238" s="37">
        <f t="shared" si="73"/>
        <v>5616</v>
      </c>
      <c r="AG238" s="181">
        <f t="shared" si="61"/>
        <v>331.2</v>
      </c>
      <c r="AH238" s="111">
        <f t="shared" si="74"/>
        <v>221.15980799999997</v>
      </c>
      <c r="AI238" s="127">
        <f t="shared" si="75"/>
        <v>331.2</v>
      </c>
      <c r="AJ238" s="37">
        <f t="shared" si="62"/>
        <v>2387.1999999999998</v>
      </c>
      <c r="AK238" s="37">
        <f t="shared" si="76"/>
        <v>8003.2</v>
      </c>
      <c r="AL238" s="37">
        <f t="shared" si="64"/>
        <v>29.441899599999996</v>
      </c>
      <c r="AN238" s="37" t="str">
        <f t="shared" si="63"/>
        <v>Pallet</v>
      </c>
      <c r="AO238" s="194">
        <f t="shared" si="77"/>
        <v>8</v>
      </c>
    </row>
    <row r="239" spans="22:41" x14ac:dyDescent="0.2">
      <c r="V239" s="181">
        <f t="shared" si="65"/>
        <v>100.5</v>
      </c>
      <c r="W239" s="181">
        <f t="shared" si="66"/>
        <v>201</v>
      </c>
      <c r="X239" s="181">
        <f t="shared" si="67"/>
        <v>1</v>
      </c>
      <c r="Y239" s="37">
        <f t="shared" si="68"/>
        <v>1917.1</v>
      </c>
      <c r="Z239" s="181">
        <f t="shared" si="69"/>
        <v>298.5</v>
      </c>
      <c r="AA239" s="127">
        <f t="shared" si="70"/>
        <v>595.21331999999995</v>
      </c>
      <c r="AB239" s="127">
        <f t="shared" si="71"/>
        <v>595.21331999999995</v>
      </c>
      <c r="AC239" s="37">
        <f t="shared" si="59"/>
        <v>3971.2799199999999</v>
      </c>
      <c r="AD239" s="37">
        <f t="shared" si="72"/>
        <v>5888.3799199999994</v>
      </c>
      <c r="AE239" s="181">
        <f t="shared" si="60"/>
        <v>8</v>
      </c>
      <c r="AF239" s="37">
        <f t="shared" si="73"/>
        <v>5616</v>
      </c>
      <c r="AG239" s="181">
        <f t="shared" si="61"/>
        <v>331.7</v>
      </c>
      <c r="AH239" s="111">
        <f t="shared" si="74"/>
        <v>221.15980799999997</v>
      </c>
      <c r="AI239" s="127">
        <f t="shared" si="75"/>
        <v>331.7</v>
      </c>
      <c r="AJ239" s="37">
        <f t="shared" si="62"/>
        <v>2390.1999999999998</v>
      </c>
      <c r="AK239" s="37">
        <f t="shared" si="76"/>
        <v>8006.2</v>
      </c>
      <c r="AL239" s="37">
        <f t="shared" si="64"/>
        <v>29.295422487562185</v>
      </c>
      <c r="AN239" s="37" t="str">
        <f t="shared" si="63"/>
        <v>Pallet</v>
      </c>
      <c r="AO239" s="194">
        <f t="shared" si="77"/>
        <v>8</v>
      </c>
    </row>
    <row r="240" spans="22:41" x14ac:dyDescent="0.2">
      <c r="V240" s="181">
        <f t="shared" si="65"/>
        <v>101</v>
      </c>
      <c r="W240" s="181">
        <f t="shared" si="66"/>
        <v>202</v>
      </c>
      <c r="X240" s="181">
        <f t="shared" si="67"/>
        <v>1</v>
      </c>
      <c r="Y240" s="37">
        <f t="shared" si="68"/>
        <v>1917.1</v>
      </c>
      <c r="Z240" s="181">
        <f t="shared" si="69"/>
        <v>299</v>
      </c>
      <c r="AA240" s="127">
        <f t="shared" si="70"/>
        <v>595.21331999999995</v>
      </c>
      <c r="AB240" s="127">
        <f t="shared" si="71"/>
        <v>595.21331999999995</v>
      </c>
      <c r="AC240" s="37">
        <f t="shared" si="59"/>
        <v>3971.2799199999999</v>
      </c>
      <c r="AD240" s="37">
        <f t="shared" si="72"/>
        <v>5888.3799199999994</v>
      </c>
      <c r="AE240" s="181">
        <f t="shared" si="60"/>
        <v>8</v>
      </c>
      <c r="AF240" s="37">
        <f t="shared" si="73"/>
        <v>5616</v>
      </c>
      <c r="AG240" s="181">
        <f t="shared" si="61"/>
        <v>332.2</v>
      </c>
      <c r="AH240" s="111">
        <f t="shared" si="74"/>
        <v>221.15980799999997</v>
      </c>
      <c r="AI240" s="127">
        <f t="shared" si="75"/>
        <v>332.2</v>
      </c>
      <c r="AJ240" s="37">
        <f t="shared" si="62"/>
        <v>2393.1999999999998</v>
      </c>
      <c r="AK240" s="37">
        <f t="shared" si="76"/>
        <v>8009.2</v>
      </c>
      <c r="AL240" s="37">
        <f t="shared" si="64"/>
        <v>29.150395643564355</v>
      </c>
      <c r="AN240" s="37" t="str">
        <f t="shared" si="63"/>
        <v>Pallet</v>
      </c>
      <c r="AO240" s="194">
        <f t="shared" si="77"/>
        <v>8</v>
      </c>
    </row>
    <row r="241" spans="22:41" x14ac:dyDescent="0.2">
      <c r="V241" s="181">
        <f t="shared" si="65"/>
        <v>101.5</v>
      </c>
      <c r="W241" s="181">
        <f t="shared" si="66"/>
        <v>203</v>
      </c>
      <c r="X241" s="181">
        <f t="shared" si="67"/>
        <v>1</v>
      </c>
      <c r="Y241" s="37">
        <f t="shared" si="68"/>
        <v>1917.1</v>
      </c>
      <c r="Z241" s="181">
        <f t="shared" si="69"/>
        <v>299.5</v>
      </c>
      <c r="AA241" s="127">
        <f t="shared" si="70"/>
        <v>595.21331999999995</v>
      </c>
      <c r="AB241" s="127">
        <f t="shared" si="71"/>
        <v>595.21331999999995</v>
      </c>
      <c r="AC241" s="37">
        <f t="shared" si="59"/>
        <v>3971.2799199999999</v>
      </c>
      <c r="AD241" s="37">
        <f t="shared" si="72"/>
        <v>5888.3799199999994</v>
      </c>
      <c r="AE241" s="181">
        <f t="shared" si="60"/>
        <v>8</v>
      </c>
      <c r="AF241" s="37">
        <f t="shared" si="73"/>
        <v>5616</v>
      </c>
      <c r="AG241" s="181">
        <f t="shared" si="61"/>
        <v>332.7</v>
      </c>
      <c r="AH241" s="111">
        <f t="shared" si="74"/>
        <v>221.15980799999997</v>
      </c>
      <c r="AI241" s="127">
        <f t="shared" si="75"/>
        <v>332.7</v>
      </c>
      <c r="AJ241" s="37">
        <f t="shared" si="62"/>
        <v>2396.1999999999998</v>
      </c>
      <c r="AK241" s="37">
        <f t="shared" si="76"/>
        <v>8012.2</v>
      </c>
      <c r="AL241" s="37">
        <f t="shared" si="64"/>
        <v>29.006797635467976</v>
      </c>
      <c r="AN241" s="37" t="str">
        <f t="shared" si="63"/>
        <v>Pallet</v>
      </c>
      <c r="AO241" s="194">
        <f t="shared" si="77"/>
        <v>8</v>
      </c>
    </row>
    <row r="242" spans="22:41" x14ac:dyDescent="0.2">
      <c r="V242" s="181">
        <f t="shared" si="65"/>
        <v>102</v>
      </c>
      <c r="W242" s="181">
        <f t="shared" si="66"/>
        <v>204</v>
      </c>
      <c r="X242" s="181">
        <f t="shared" si="67"/>
        <v>1</v>
      </c>
      <c r="Y242" s="37">
        <f t="shared" si="68"/>
        <v>1917.1</v>
      </c>
      <c r="Z242" s="181">
        <f t="shared" si="69"/>
        <v>300</v>
      </c>
      <c r="AA242" s="127">
        <f t="shared" si="70"/>
        <v>595.21331999999995</v>
      </c>
      <c r="AB242" s="127">
        <f t="shared" si="71"/>
        <v>595.21331999999995</v>
      </c>
      <c r="AC242" s="37">
        <f t="shared" si="59"/>
        <v>3971.2799199999999</v>
      </c>
      <c r="AD242" s="37">
        <f t="shared" si="72"/>
        <v>5888.3799199999994</v>
      </c>
      <c r="AE242" s="181">
        <f t="shared" si="60"/>
        <v>8</v>
      </c>
      <c r="AF242" s="37">
        <f t="shared" si="73"/>
        <v>5616</v>
      </c>
      <c r="AG242" s="181">
        <f t="shared" si="61"/>
        <v>333.2</v>
      </c>
      <c r="AH242" s="111">
        <f t="shared" si="74"/>
        <v>221.15980799999997</v>
      </c>
      <c r="AI242" s="127">
        <f t="shared" si="75"/>
        <v>333.2</v>
      </c>
      <c r="AJ242" s="37">
        <f t="shared" si="62"/>
        <v>2399.1999999999998</v>
      </c>
      <c r="AK242" s="37">
        <f t="shared" si="76"/>
        <v>8015.2</v>
      </c>
      <c r="AL242" s="37">
        <f t="shared" si="64"/>
        <v>28.86460745098039</v>
      </c>
      <c r="AN242" s="37" t="str">
        <f t="shared" si="63"/>
        <v>Pallet</v>
      </c>
      <c r="AO242" s="194">
        <f t="shared" si="77"/>
        <v>8</v>
      </c>
    </row>
    <row r="243" spans="22:41" x14ac:dyDescent="0.2">
      <c r="V243" s="181">
        <f t="shared" si="65"/>
        <v>102.5</v>
      </c>
      <c r="W243" s="181">
        <f t="shared" si="66"/>
        <v>205</v>
      </c>
      <c r="X243" s="181">
        <f t="shared" si="67"/>
        <v>1</v>
      </c>
      <c r="Y243" s="37">
        <f t="shared" si="68"/>
        <v>1917.1</v>
      </c>
      <c r="Z243" s="181">
        <f t="shared" si="69"/>
        <v>300.5</v>
      </c>
      <c r="AA243" s="127">
        <f t="shared" si="70"/>
        <v>595.21331999999995</v>
      </c>
      <c r="AB243" s="127">
        <f t="shared" si="71"/>
        <v>595.21331999999995</v>
      </c>
      <c r="AC243" s="37">
        <f t="shared" si="59"/>
        <v>3971.2799199999999</v>
      </c>
      <c r="AD243" s="37">
        <f t="shared" si="72"/>
        <v>5888.3799199999994</v>
      </c>
      <c r="AE243" s="181">
        <f t="shared" si="60"/>
        <v>8</v>
      </c>
      <c r="AF243" s="37">
        <f t="shared" si="73"/>
        <v>5616</v>
      </c>
      <c r="AG243" s="181">
        <f t="shared" si="61"/>
        <v>333.7</v>
      </c>
      <c r="AH243" s="111">
        <f t="shared" si="74"/>
        <v>221.15980799999997</v>
      </c>
      <c r="AI243" s="127">
        <f t="shared" si="75"/>
        <v>333.7</v>
      </c>
      <c r="AJ243" s="37">
        <f t="shared" si="62"/>
        <v>2402.1999999999998</v>
      </c>
      <c r="AK243" s="37">
        <f t="shared" si="76"/>
        <v>8018.2</v>
      </c>
      <c r="AL243" s="37">
        <f t="shared" si="64"/>
        <v>28.723804487804877</v>
      </c>
      <c r="AN243" s="37" t="str">
        <f t="shared" si="63"/>
        <v>Pallet</v>
      </c>
      <c r="AO243" s="194">
        <f t="shared" si="77"/>
        <v>8</v>
      </c>
    </row>
    <row r="244" spans="22:41" x14ac:dyDescent="0.2">
      <c r="V244" s="181">
        <f t="shared" si="65"/>
        <v>103</v>
      </c>
      <c r="W244" s="181">
        <f t="shared" si="66"/>
        <v>206</v>
      </c>
      <c r="X244" s="181">
        <f t="shared" si="67"/>
        <v>1</v>
      </c>
      <c r="Y244" s="37">
        <f t="shared" si="68"/>
        <v>1917.1</v>
      </c>
      <c r="Z244" s="181">
        <f t="shared" si="69"/>
        <v>301</v>
      </c>
      <c r="AA244" s="127">
        <f t="shared" si="70"/>
        <v>595.21331999999995</v>
      </c>
      <c r="AB244" s="127">
        <f t="shared" si="71"/>
        <v>595.21331999999995</v>
      </c>
      <c r="AC244" s="37">
        <f t="shared" si="59"/>
        <v>3971.2799199999999</v>
      </c>
      <c r="AD244" s="37">
        <f t="shared" si="72"/>
        <v>5888.3799199999994</v>
      </c>
      <c r="AE244" s="181">
        <f t="shared" si="60"/>
        <v>8</v>
      </c>
      <c r="AF244" s="37">
        <f t="shared" si="73"/>
        <v>5616</v>
      </c>
      <c r="AG244" s="181">
        <f t="shared" si="61"/>
        <v>334.2</v>
      </c>
      <c r="AH244" s="111">
        <f t="shared" si="74"/>
        <v>221.15980799999997</v>
      </c>
      <c r="AI244" s="127">
        <f t="shared" si="75"/>
        <v>334.2</v>
      </c>
      <c r="AJ244" s="37">
        <f t="shared" si="62"/>
        <v>2405.1999999999998</v>
      </c>
      <c r="AK244" s="37">
        <f t="shared" si="76"/>
        <v>8021.2</v>
      </c>
      <c r="AL244" s="37">
        <f t="shared" si="64"/>
        <v>28.584368543689319</v>
      </c>
      <c r="AN244" s="37" t="str">
        <f t="shared" si="63"/>
        <v>Pallet</v>
      </c>
      <c r="AO244" s="194">
        <f t="shared" si="77"/>
        <v>8</v>
      </c>
    </row>
    <row r="245" spans="22:41" x14ac:dyDescent="0.2">
      <c r="V245" s="181">
        <f t="shared" si="65"/>
        <v>103.5</v>
      </c>
      <c r="W245" s="181">
        <f t="shared" si="66"/>
        <v>207</v>
      </c>
      <c r="X245" s="181">
        <f t="shared" si="67"/>
        <v>1</v>
      </c>
      <c r="Y245" s="37">
        <f t="shared" si="68"/>
        <v>1917.1</v>
      </c>
      <c r="Z245" s="181">
        <f t="shared" si="69"/>
        <v>301.5</v>
      </c>
      <c r="AA245" s="127">
        <f t="shared" si="70"/>
        <v>595.21331999999995</v>
      </c>
      <c r="AB245" s="127">
        <f t="shared" si="71"/>
        <v>595.21331999999995</v>
      </c>
      <c r="AC245" s="37">
        <f t="shared" si="59"/>
        <v>3971.2799199999999</v>
      </c>
      <c r="AD245" s="37">
        <f t="shared" si="72"/>
        <v>5888.3799199999994</v>
      </c>
      <c r="AE245" s="181">
        <f t="shared" si="60"/>
        <v>9</v>
      </c>
      <c r="AF245" s="37">
        <f t="shared" si="73"/>
        <v>6318</v>
      </c>
      <c r="AG245" s="181">
        <f t="shared" si="61"/>
        <v>363.59999999999997</v>
      </c>
      <c r="AH245" s="111">
        <f t="shared" si="74"/>
        <v>248.80478399999996</v>
      </c>
      <c r="AI245" s="127">
        <f t="shared" si="75"/>
        <v>363.59999999999997</v>
      </c>
      <c r="AJ245" s="37">
        <f t="shared" si="62"/>
        <v>2581.6</v>
      </c>
      <c r="AK245" s="37">
        <f t="shared" si="76"/>
        <v>8899.6</v>
      </c>
      <c r="AL245" s="37">
        <f t="shared" si="64"/>
        <v>28.446279806763282</v>
      </c>
      <c r="AN245" s="37" t="str">
        <f t="shared" si="63"/>
        <v>Pallet</v>
      </c>
      <c r="AO245" s="194">
        <f t="shared" si="77"/>
        <v>8</v>
      </c>
    </row>
    <row r="246" spans="22:41" x14ac:dyDescent="0.2">
      <c r="V246" s="181">
        <f t="shared" si="65"/>
        <v>104</v>
      </c>
      <c r="W246" s="181">
        <f t="shared" si="66"/>
        <v>208</v>
      </c>
      <c r="X246" s="181">
        <f t="shared" si="67"/>
        <v>1</v>
      </c>
      <c r="Y246" s="37">
        <f t="shared" si="68"/>
        <v>1917.1</v>
      </c>
      <c r="Z246" s="181">
        <f t="shared" si="69"/>
        <v>302</v>
      </c>
      <c r="AA246" s="127">
        <f t="shared" si="70"/>
        <v>595.21331999999995</v>
      </c>
      <c r="AB246" s="127">
        <f t="shared" si="71"/>
        <v>595.21331999999995</v>
      </c>
      <c r="AC246" s="37">
        <f t="shared" si="59"/>
        <v>3971.2799199999999</v>
      </c>
      <c r="AD246" s="37">
        <f t="shared" si="72"/>
        <v>5888.3799199999994</v>
      </c>
      <c r="AE246" s="181">
        <f t="shared" si="60"/>
        <v>9</v>
      </c>
      <c r="AF246" s="37">
        <f t="shared" si="73"/>
        <v>6318</v>
      </c>
      <c r="AG246" s="181">
        <f t="shared" si="61"/>
        <v>364.09999999999997</v>
      </c>
      <c r="AH246" s="111">
        <f t="shared" si="74"/>
        <v>248.80478399999996</v>
      </c>
      <c r="AI246" s="127">
        <f t="shared" si="75"/>
        <v>364.09999999999997</v>
      </c>
      <c r="AJ246" s="37">
        <f t="shared" si="62"/>
        <v>2584.6</v>
      </c>
      <c r="AK246" s="37">
        <f t="shared" si="76"/>
        <v>8902.6</v>
      </c>
      <c r="AL246" s="37">
        <f t="shared" si="64"/>
        <v>28.309518846153843</v>
      </c>
      <c r="AN246" s="37" t="str">
        <f t="shared" si="63"/>
        <v>Pallet</v>
      </c>
      <c r="AO246" s="194">
        <f t="shared" si="77"/>
        <v>9</v>
      </c>
    </row>
    <row r="247" spans="22:41" x14ac:dyDescent="0.2">
      <c r="V247" s="181">
        <f t="shared" si="65"/>
        <v>104.5</v>
      </c>
      <c r="W247" s="181">
        <f t="shared" si="66"/>
        <v>209</v>
      </c>
      <c r="X247" s="181">
        <f t="shared" si="67"/>
        <v>1</v>
      </c>
      <c r="Y247" s="37">
        <f t="shared" si="68"/>
        <v>1917.1</v>
      </c>
      <c r="Z247" s="181">
        <f t="shared" si="69"/>
        <v>302.5</v>
      </c>
      <c r="AA247" s="127">
        <f t="shared" si="70"/>
        <v>595.21331999999995</v>
      </c>
      <c r="AB247" s="127">
        <f t="shared" si="71"/>
        <v>595.21331999999995</v>
      </c>
      <c r="AC247" s="37">
        <f t="shared" si="59"/>
        <v>3971.2799199999999</v>
      </c>
      <c r="AD247" s="37">
        <f t="shared" si="72"/>
        <v>5888.3799199999994</v>
      </c>
      <c r="AE247" s="181">
        <f t="shared" si="60"/>
        <v>9</v>
      </c>
      <c r="AF247" s="37">
        <f t="shared" si="73"/>
        <v>6318</v>
      </c>
      <c r="AG247" s="181">
        <f t="shared" si="61"/>
        <v>364.59999999999997</v>
      </c>
      <c r="AH247" s="111">
        <f t="shared" si="74"/>
        <v>248.80478399999996</v>
      </c>
      <c r="AI247" s="127">
        <f t="shared" si="75"/>
        <v>364.59999999999997</v>
      </c>
      <c r="AJ247" s="37">
        <f t="shared" si="62"/>
        <v>2587.6</v>
      </c>
      <c r="AK247" s="37">
        <f t="shared" si="76"/>
        <v>8905.6</v>
      </c>
      <c r="AL247" s="37">
        <f t="shared" si="64"/>
        <v>28.174066602870809</v>
      </c>
      <c r="AN247" s="37" t="str">
        <f t="shared" si="63"/>
        <v>Pallet</v>
      </c>
      <c r="AO247" s="194">
        <f t="shared" si="77"/>
        <v>9</v>
      </c>
    </row>
    <row r="248" spans="22:41" x14ac:dyDescent="0.2">
      <c r="V248" s="181">
        <f t="shared" si="65"/>
        <v>105</v>
      </c>
      <c r="W248" s="181">
        <f t="shared" si="66"/>
        <v>210</v>
      </c>
      <c r="X248" s="181">
        <f t="shared" si="67"/>
        <v>1</v>
      </c>
      <c r="Y248" s="37">
        <f t="shared" si="68"/>
        <v>1917.1</v>
      </c>
      <c r="Z248" s="181">
        <f t="shared" si="69"/>
        <v>303</v>
      </c>
      <c r="AA248" s="127">
        <f t="shared" si="70"/>
        <v>595.21331999999995</v>
      </c>
      <c r="AB248" s="127">
        <f t="shared" si="71"/>
        <v>595.21331999999995</v>
      </c>
      <c r="AC248" s="37">
        <f t="shared" si="59"/>
        <v>3971.2799199999999</v>
      </c>
      <c r="AD248" s="37">
        <f t="shared" si="72"/>
        <v>5888.3799199999994</v>
      </c>
      <c r="AE248" s="181">
        <f t="shared" si="60"/>
        <v>9</v>
      </c>
      <c r="AF248" s="37">
        <f t="shared" si="73"/>
        <v>6318</v>
      </c>
      <c r="AG248" s="181">
        <f t="shared" si="61"/>
        <v>365.09999999999997</v>
      </c>
      <c r="AH248" s="111">
        <f t="shared" si="74"/>
        <v>248.80478399999996</v>
      </c>
      <c r="AI248" s="127">
        <f t="shared" si="75"/>
        <v>365.09999999999997</v>
      </c>
      <c r="AJ248" s="37">
        <f t="shared" si="62"/>
        <v>2590.6</v>
      </c>
      <c r="AK248" s="37">
        <f t="shared" si="76"/>
        <v>8908.6</v>
      </c>
      <c r="AL248" s="37">
        <f t="shared" si="64"/>
        <v>28.039904380952379</v>
      </c>
      <c r="AN248" s="37" t="str">
        <f t="shared" si="63"/>
        <v>Pallet</v>
      </c>
      <c r="AO248" s="194">
        <f t="shared" si="77"/>
        <v>9</v>
      </c>
    </row>
    <row r="249" spans="22:41" x14ac:dyDescent="0.2">
      <c r="V249" s="181">
        <f t="shared" si="65"/>
        <v>105.5</v>
      </c>
      <c r="W249" s="181">
        <f t="shared" si="66"/>
        <v>211</v>
      </c>
      <c r="X249" s="181">
        <f t="shared" si="67"/>
        <v>1</v>
      </c>
      <c r="Y249" s="37">
        <f t="shared" si="68"/>
        <v>1917.1</v>
      </c>
      <c r="Z249" s="181">
        <f t="shared" si="69"/>
        <v>303.5</v>
      </c>
      <c r="AA249" s="127">
        <f t="shared" si="70"/>
        <v>595.21331999999995</v>
      </c>
      <c r="AB249" s="127">
        <f t="shared" si="71"/>
        <v>595.21331999999995</v>
      </c>
      <c r="AC249" s="37">
        <f t="shared" si="59"/>
        <v>3971.2799199999999</v>
      </c>
      <c r="AD249" s="37">
        <f t="shared" si="72"/>
        <v>5888.3799199999994</v>
      </c>
      <c r="AE249" s="181">
        <f t="shared" si="60"/>
        <v>9</v>
      </c>
      <c r="AF249" s="37">
        <f t="shared" si="73"/>
        <v>6318</v>
      </c>
      <c r="AG249" s="181">
        <f t="shared" si="61"/>
        <v>365.59999999999997</v>
      </c>
      <c r="AH249" s="111">
        <f t="shared" si="74"/>
        <v>248.80478399999996</v>
      </c>
      <c r="AI249" s="127">
        <f t="shared" si="75"/>
        <v>365.59999999999997</v>
      </c>
      <c r="AJ249" s="37">
        <f t="shared" si="62"/>
        <v>2593.6</v>
      </c>
      <c r="AK249" s="37">
        <f t="shared" si="76"/>
        <v>8911.6</v>
      </c>
      <c r="AL249" s="37">
        <f t="shared" si="64"/>
        <v>27.907013838862557</v>
      </c>
      <c r="AN249" s="37" t="str">
        <f t="shared" si="63"/>
        <v>Pallet</v>
      </c>
      <c r="AO249" s="194">
        <f t="shared" si="77"/>
        <v>9</v>
      </c>
    </row>
    <row r="250" spans="22:41" x14ac:dyDescent="0.2">
      <c r="V250" s="181">
        <f t="shared" si="65"/>
        <v>106</v>
      </c>
      <c r="W250" s="181">
        <f t="shared" si="66"/>
        <v>212</v>
      </c>
      <c r="X250" s="181">
        <f t="shared" si="67"/>
        <v>1</v>
      </c>
      <c r="Y250" s="37">
        <f t="shared" si="68"/>
        <v>1917.1</v>
      </c>
      <c r="Z250" s="181">
        <f t="shared" si="69"/>
        <v>304</v>
      </c>
      <c r="AA250" s="127">
        <f t="shared" si="70"/>
        <v>595.21331999999995</v>
      </c>
      <c r="AB250" s="127">
        <f t="shared" si="71"/>
        <v>595.21331999999995</v>
      </c>
      <c r="AC250" s="37">
        <f t="shared" si="59"/>
        <v>3971.2799199999999</v>
      </c>
      <c r="AD250" s="37">
        <f t="shared" si="72"/>
        <v>5888.3799199999994</v>
      </c>
      <c r="AE250" s="181">
        <f t="shared" si="60"/>
        <v>9</v>
      </c>
      <c r="AF250" s="37">
        <f t="shared" si="73"/>
        <v>6318</v>
      </c>
      <c r="AG250" s="181">
        <f t="shared" si="61"/>
        <v>366.09999999999997</v>
      </c>
      <c r="AH250" s="111">
        <f t="shared" si="74"/>
        <v>248.80478399999996</v>
      </c>
      <c r="AI250" s="127">
        <f t="shared" si="75"/>
        <v>366.09999999999997</v>
      </c>
      <c r="AJ250" s="37">
        <f t="shared" si="62"/>
        <v>2596.6</v>
      </c>
      <c r="AK250" s="37">
        <f t="shared" si="76"/>
        <v>8914.6</v>
      </c>
      <c r="AL250" s="37">
        <f t="shared" si="64"/>
        <v>27.775376981132073</v>
      </c>
      <c r="AN250" s="37" t="str">
        <f t="shared" si="63"/>
        <v>Pallet</v>
      </c>
      <c r="AO250" s="194">
        <f t="shared" si="77"/>
        <v>9</v>
      </c>
    </row>
    <row r="251" spans="22:41" x14ac:dyDescent="0.2">
      <c r="V251" s="181">
        <f t="shared" si="65"/>
        <v>106.5</v>
      </c>
      <c r="W251" s="181">
        <f t="shared" si="66"/>
        <v>213</v>
      </c>
      <c r="X251" s="181">
        <f t="shared" si="67"/>
        <v>1</v>
      </c>
      <c r="Y251" s="37">
        <f t="shared" si="68"/>
        <v>1917.1</v>
      </c>
      <c r="Z251" s="181">
        <f t="shared" si="69"/>
        <v>304.5</v>
      </c>
      <c r="AA251" s="127">
        <f t="shared" si="70"/>
        <v>595.21331999999995</v>
      </c>
      <c r="AB251" s="127">
        <f t="shared" si="71"/>
        <v>595.21331999999995</v>
      </c>
      <c r="AC251" s="37">
        <f t="shared" si="59"/>
        <v>3971.2799199999999</v>
      </c>
      <c r="AD251" s="37">
        <f t="shared" si="72"/>
        <v>5888.3799199999994</v>
      </c>
      <c r="AE251" s="181">
        <f t="shared" si="60"/>
        <v>9</v>
      </c>
      <c r="AF251" s="37">
        <f t="shared" si="73"/>
        <v>6318</v>
      </c>
      <c r="AG251" s="181">
        <f t="shared" si="61"/>
        <v>366.59999999999997</v>
      </c>
      <c r="AH251" s="111">
        <f t="shared" si="74"/>
        <v>248.80478399999996</v>
      </c>
      <c r="AI251" s="127">
        <f t="shared" si="75"/>
        <v>366.59999999999997</v>
      </c>
      <c r="AJ251" s="37">
        <f t="shared" si="62"/>
        <v>2599.6</v>
      </c>
      <c r="AK251" s="37">
        <f t="shared" si="76"/>
        <v>8917.6</v>
      </c>
      <c r="AL251" s="37">
        <f t="shared" si="64"/>
        <v>27.64497615023474</v>
      </c>
      <c r="AN251" s="37" t="str">
        <f t="shared" si="63"/>
        <v>Pallet</v>
      </c>
      <c r="AO251" s="194">
        <f t="shared" si="77"/>
        <v>9</v>
      </c>
    </row>
    <row r="252" spans="22:41" x14ac:dyDescent="0.2">
      <c r="V252" s="181">
        <f t="shared" si="65"/>
        <v>107</v>
      </c>
      <c r="W252" s="181">
        <f t="shared" si="66"/>
        <v>214</v>
      </c>
      <c r="X252" s="181">
        <f t="shared" si="67"/>
        <v>1</v>
      </c>
      <c r="Y252" s="37">
        <f t="shared" si="68"/>
        <v>1917.1</v>
      </c>
      <c r="Z252" s="181">
        <f t="shared" si="69"/>
        <v>305</v>
      </c>
      <c r="AA252" s="127">
        <f t="shared" si="70"/>
        <v>595.21331999999995</v>
      </c>
      <c r="AB252" s="127">
        <f t="shared" si="71"/>
        <v>595.21331999999995</v>
      </c>
      <c r="AC252" s="37">
        <f t="shared" si="59"/>
        <v>3971.2799199999999</v>
      </c>
      <c r="AD252" s="37">
        <f t="shared" si="72"/>
        <v>5888.3799199999994</v>
      </c>
      <c r="AE252" s="181">
        <f t="shared" si="60"/>
        <v>9</v>
      </c>
      <c r="AF252" s="37">
        <f t="shared" si="73"/>
        <v>6318</v>
      </c>
      <c r="AG252" s="181">
        <f t="shared" si="61"/>
        <v>367.09999999999997</v>
      </c>
      <c r="AH252" s="111">
        <f t="shared" si="74"/>
        <v>248.80478399999996</v>
      </c>
      <c r="AI252" s="127">
        <f t="shared" si="75"/>
        <v>367.09999999999997</v>
      </c>
      <c r="AJ252" s="37">
        <f t="shared" si="62"/>
        <v>2602.6</v>
      </c>
      <c r="AK252" s="37">
        <f t="shared" si="76"/>
        <v>8920.6</v>
      </c>
      <c r="AL252" s="37">
        <f t="shared" si="64"/>
        <v>27.515794018691587</v>
      </c>
      <c r="AN252" s="37" t="str">
        <f t="shared" si="63"/>
        <v>Pallet</v>
      </c>
      <c r="AO252" s="194">
        <f t="shared" si="77"/>
        <v>9</v>
      </c>
    </row>
    <row r="253" spans="22:41" x14ac:dyDescent="0.2">
      <c r="V253" s="181">
        <f t="shared" si="65"/>
        <v>107.5</v>
      </c>
      <c r="W253" s="181">
        <f t="shared" si="66"/>
        <v>215</v>
      </c>
      <c r="X253" s="181">
        <f t="shared" si="67"/>
        <v>1</v>
      </c>
      <c r="Y253" s="37">
        <f t="shared" si="68"/>
        <v>1917.1</v>
      </c>
      <c r="Z253" s="181">
        <f t="shared" si="69"/>
        <v>305.5</v>
      </c>
      <c r="AA253" s="127">
        <f t="shared" si="70"/>
        <v>595.21331999999995</v>
      </c>
      <c r="AB253" s="127">
        <f t="shared" si="71"/>
        <v>595.21331999999995</v>
      </c>
      <c r="AC253" s="37">
        <f t="shared" si="59"/>
        <v>3971.2799199999999</v>
      </c>
      <c r="AD253" s="37">
        <f t="shared" si="72"/>
        <v>5888.3799199999994</v>
      </c>
      <c r="AE253" s="181">
        <f t="shared" si="60"/>
        <v>9</v>
      </c>
      <c r="AF253" s="37">
        <f t="shared" si="73"/>
        <v>6318</v>
      </c>
      <c r="AG253" s="181">
        <f t="shared" si="61"/>
        <v>367.59999999999997</v>
      </c>
      <c r="AH253" s="111">
        <f t="shared" si="74"/>
        <v>248.80478399999996</v>
      </c>
      <c r="AI253" s="127">
        <f t="shared" si="75"/>
        <v>367.59999999999997</v>
      </c>
      <c r="AJ253" s="37">
        <f t="shared" si="62"/>
        <v>2605.6</v>
      </c>
      <c r="AK253" s="37">
        <f t="shared" si="76"/>
        <v>8923.6</v>
      </c>
      <c r="AL253" s="37">
        <f t="shared" si="64"/>
        <v>27.387813581395346</v>
      </c>
      <c r="AN253" s="37" t="str">
        <f t="shared" si="63"/>
        <v>Pallet</v>
      </c>
      <c r="AO253" s="194">
        <f t="shared" si="77"/>
        <v>9</v>
      </c>
    </row>
    <row r="254" spans="22:41" x14ac:dyDescent="0.2">
      <c r="V254" s="181">
        <f t="shared" si="65"/>
        <v>108</v>
      </c>
      <c r="W254" s="181">
        <f t="shared" si="66"/>
        <v>216</v>
      </c>
      <c r="X254" s="181">
        <f t="shared" si="67"/>
        <v>1</v>
      </c>
      <c r="Y254" s="37">
        <f t="shared" si="68"/>
        <v>1917.1</v>
      </c>
      <c r="Z254" s="181">
        <f t="shared" si="69"/>
        <v>306</v>
      </c>
      <c r="AA254" s="127">
        <f t="shared" si="70"/>
        <v>595.21331999999995</v>
      </c>
      <c r="AB254" s="127">
        <f t="shared" si="71"/>
        <v>595.21331999999995</v>
      </c>
      <c r="AC254" s="37">
        <f t="shared" si="59"/>
        <v>3971.2799199999999</v>
      </c>
      <c r="AD254" s="37">
        <f t="shared" si="72"/>
        <v>5888.3799199999994</v>
      </c>
      <c r="AE254" s="181">
        <f t="shared" si="60"/>
        <v>9</v>
      </c>
      <c r="AF254" s="37">
        <f t="shared" si="73"/>
        <v>6318</v>
      </c>
      <c r="AG254" s="181">
        <f t="shared" si="61"/>
        <v>368.09999999999997</v>
      </c>
      <c r="AH254" s="111">
        <f t="shared" si="74"/>
        <v>248.80478399999996</v>
      </c>
      <c r="AI254" s="127">
        <f t="shared" si="75"/>
        <v>368.09999999999997</v>
      </c>
      <c r="AJ254" s="37">
        <f t="shared" si="62"/>
        <v>2608.6</v>
      </c>
      <c r="AK254" s="37">
        <f t="shared" si="76"/>
        <v>8926.6</v>
      </c>
      <c r="AL254" s="37">
        <f t="shared" si="64"/>
        <v>27.261018148148146</v>
      </c>
      <c r="AN254" s="37" t="str">
        <f t="shared" si="63"/>
        <v>Pallet</v>
      </c>
      <c r="AO254" s="194">
        <f t="shared" si="77"/>
        <v>9</v>
      </c>
    </row>
    <row r="255" spans="22:41" x14ac:dyDescent="0.2">
      <c r="V255" s="181">
        <f t="shared" si="65"/>
        <v>108.5</v>
      </c>
      <c r="W255" s="181">
        <f t="shared" si="66"/>
        <v>217</v>
      </c>
      <c r="X255" s="181">
        <f t="shared" si="67"/>
        <v>1</v>
      </c>
      <c r="Y255" s="37">
        <f t="shared" si="68"/>
        <v>1917.1</v>
      </c>
      <c r="Z255" s="181">
        <f t="shared" si="69"/>
        <v>306.5</v>
      </c>
      <c r="AA255" s="127">
        <f t="shared" si="70"/>
        <v>595.21331999999995</v>
      </c>
      <c r="AB255" s="127">
        <f t="shared" si="71"/>
        <v>595.21331999999995</v>
      </c>
      <c r="AC255" s="37">
        <f t="shared" si="59"/>
        <v>3971.2799199999999</v>
      </c>
      <c r="AD255" s="37">
        <f t="shared" si="72"/>
        <v>5888.3799199999994</v>
      </c>
      <c r="AE255" s="181">
        <f t="shared" si="60"/>
        <v>9</v>
      </c>
      <c r="AF255" s="37">
        <f t="shared" si="73"/>
        <v>6318</v>
      </c>
      <c r="AG255" s="181">
        <f t="shared" si="61"/>
        <v>368.59999999999997</v>
      </c>
      <c r="AH255" s="111">
        <f t="shared" si="74"/>
        <v>248.80478399999996</v>
      </c>
      <c r="AI255" s="127">
        <f t="shared" si="75"/>
        <v>368.59999999999997</v>
      </c>
      <c r="AJ255" s="37">
        <f t="shared" si="62"/>
        <v>2611.6</v>
      </c>
      <c r="AK255" s="37">
        <f t="shared" si="76"/>
        <v>8929.6</v>
      </c>
      <c r="AL255" s="37">
        <f t="shared" si="64"/>
        <v>27.135391336405526</v>
      </c>
      <c r="AN255" s="37" t="str">
        <f t="shared" si="63"/>
        <v>Pallet</v>
      </c>
      <c r="AO255" s="194">
        <f t="shared" si="77"/>
        <v>9</v>
      </c>
    </row>
    <row r="256" spans="22:41" x14ac:dyDescent="0.2">
      <c r="V256" s="181">
        <f t="shared" si="65"/>
        <v>109</v>
      </c>
      <c r="W256" s="181">
        <f t="shared" si="66"/>
        <v>218</v>
      </c>
      <c r="X256" s="181">
        <f t="shared" si="67"/>
        <v>1</v>
      </c>
      <c r="Y256" s="37">
        <f t="shared" si="68"/>
        <v>1917.1</v>
      </c>
      <c r="Z256" s="181">
        <f t="shared" si="69"/>
        <v>307</v>
      </c>
      <c r="AA256" s="127">
        <f t="shared" si="70"/>
        <v>595.21331999999995</v>
      </c>
      <c r="AB256" s="127">
        <f t="shared" si="71"/>
        <v>595.21331999999995</v>
      </c>
      <c r="AC256" s="37">
        <f t="shared" si="59"/>
        <v>3971.2799199999999</v>
      </c>
      <c r="AD256" s="37">
        <f t="shared" si="72"/>
        <v>5888.3799199999994</v>
      </c>
      <c r="AE256" s="181">
        <f t="shared" si="60"/>
        <v>9</v>
      </c>
      <c r="AF256" s="37">
        <f t="shared" si="73"/>
        <v>6318</v>
      </c>
      <c r="AG256" s="181">
        <f t="shared" si="61"/>
        <v>369.09999999999997</v>
      </c>
      <c r="AH256" s="111">
        <f t="shared" si="74"/>
        <v>248.80478399999996</v>
      </c>
      <c r="AI256" s="127">
        <f t="shared" si="75"/>
        <v>369.09999999999997</v>
      </c>
      <c r="AJ256" s="37">
        <f t="shared" si="62"/>
        <v>2614.6</v>
      </c>
      <c r="AK256" s="37">
        <f t="shared" si="76"/>
        <v>8932.6</v>
      </c>
      <c r="AL256" s="37">
        <f t="shared" si="64"/>
        <v>27.01091706422018</v>
      </c>
      <c r="AN256" s="37" t="str">
        <f t="shared" si="63"/>
        <v>Pallet</v>
      </c>
      <c r="AO256" s="194">
        <f t="shared" si="77"/>
        <v>9</v>
      </c>
    </row>
    <row r="257" spans="22:41" x14ac:dyDescent="0.2">
      <c r="V257" s="181">
        <f t="shared" si="65"/>
        <v>109.5</v>
      </c>
      <c r="W257" s="181">
        <f t="shared" si="66"/>
        <v>219</v>
      </c>
      <c r="X257" s="181">
        <f t="shared" si="67"/>
        <v>1</v>
      </c>
      <c r="Y257" s="37">
        <f t="shared" si="68"/>
        <v>1917.1</v>
      </c>
      <c r="Z257" s="181">
        <f t="shared" si="69"/>
        <v>307.5</v>
      </c>
      <c r="AA257" s="127">
        <f t="shared" si="70"/>
        <v>595.21331999999995</v>
      </c>
      <c r="AB257" s="127">
        <f t="shared" si="71"/>
        <v>595.21331999999995</v>
      </c>
      <c r="AC257" s="37">
        <f t="shared" si="59"/>
        <v>3971.2799199999999</v>
      </c>
      <c r="AD257" s="37">
        <f t="shared" si="72"/>
        <v>5888.3799199999994</v>
      </c>
      <c r="AE257" s="181">
        <f t="shared" si="60"/>
        <v>9</v>
      </c>
      <c r="AF257" s="37">
        <f t="shared" si="73"/>
        <v>6318</v>
      </c>
      <c r="AG257" s="181">
        <f t="shared" si="61"/>
        <v>369.59999999999997</v>
      </c>
      <c r="AH257" s="111">
        <f t="shared" si="74"/>
        <v>248.80478399999996</v>
      </c>
      <c r="AI257" s="127">
        <f t="shared" si="75"/>
        <v>369.59999999999997</v>
      </c>
      <c r="AJ257" s="37">
        <f t="shared" si="62"/>
        <v>2617.6</v>
      </c>
      <c r="AK257" s="37">
        <f t="shared" si="76"/>
        <v>8935.6</v>
      </c>
      <c r="AL257" s="37">
        <f t="shared" si="64"/>
        <v>26.887579543378994</v>
      </c>
      <c r="AN257" s="37" t="str">
        <f t="shared" si="63"/>
        <v>Pallet</v>
      </c>
      <c r="AO257" s="194">
        <f t="shared" si="77"/>
        <v>9</v>
      </c>
    </row>
    <row r="258" spans="22:41" x14ac:dyDescent="0.2">
      <c r="V258" s="181">
        <f t="shared" si="65"/>
        <v>110</v>
      </c>
      <c r="W258" s="181">
        <f t="shared" si="66"/>
        <v>220</v>
      </c>
      <c r="X258" s="181">
        <f t="shared" si="67"/>
        <v>1</v>
      </c>
      <c r="Y258" s="37">
        <f t="shared" si="68"/>
        <v>1917.1</v>
      </c>
      <c r="Z258" s="181">
        <f t="shared" si="69"/>
        <v>308</v>
      </c>
      <c r="AA258" s="127">
        <f t="shared" si="70"/>
        <v>595.21331999999995</v>
      </c>
      <c r="AB258" s="127">
        <f t="shared" si="71"/>
        <v>595.21331999999995</v>
      </c>
      <c r="AC258" s="37">
        <f t="shared" si="59"/>
        <v>3971.2799199999999</v>
      </c>
      <c r="AD258" s="37">
        <f t="shared" si="72"/>
        <v>5888.3799199999994</v>
      </c>
      <c r="AE258" s="181">
        <f t="shared" si="60"/>
        <v>9</v>
      </c>
      <c r="AF258" s="37">
        <f t="shared" si="73"/>
        <v>6318</v>
      </c>
      <c r="AG258" s="181">
        <f t="shared" si="61"/>
        <v>370.09999999999997</v>
      </c>
      <c r="AH258" s="111">
        <f t="shared" si="74"/>
        <v>248.80478399999996</v>
      </c>
      <c r="AI258" s="127">
        <f t="shared" si="75"/>
        <v>370.09999999999997</v>
      </c>
      <c r="AJ258" s="37">
        <f t="shared" si="62"/>
        <v>2620.6</v>
      </c>
      <c r="AK258" s="37">
        <f t="shared" si="76"/>
        <v>8938.6</v>
      </c>
      <c r="AL258" s="37">
        <f t="shared" si="64"/>
        <v>26.765363272727271</v>
      </c>
      <c r="AN258" s="37" t="str">
        <f t="shared" si="63"/>
        <v>Pallet</v>
      </c>
      <c r="AO258" s="194">
        <f t="shared" si="77"/>
        <v>9</v>
      </c>
    </row>
    <row r="259" spans="22:41" x14ac:dyDescent="0.2">
      <c r="V259" s="181">
        <f t="shared" si="65"/>
        <v>110.5</v>
      </c>
      <c r="W259" s="181">
        <f t="shared" si="66"/>
        <v>221</v>
      </c>
      <c r="X259" s="181">
        <f t="shared" si="67"/>
        <v>1</v>
      </c>
      <c r="Y259" s="37">
        <f t="shared" si="68"/>
        <v>1917.1</v>
      </c>
      <c r="Z259" s="181">
        <f t="shared" si="69"/>
        <v>308.5</v>
      </c>
      <c r="AA259" s="127">
        <f t="shared" si="70"/>
        <v>595.21331999999995</v>
      </c>
      <c r="AB259" s="127">
        <f t="shared" si="71"/>
        <v>595.21331999999995</v>
      </c>
      <c r="AC259" s="37">
        <f t="shared" si="59"/>
        <v>3971.2799199999999</v>
      </c>
      <c r="AD259" s="37">
        <f t="shared" si="72"/>
        <v>5888.3799199999994</v>
      </c>
      <c r="AE259" s="181">
        <f t="shared" si="60"/>
        <v>9</v>
      </c>
      <c r="AF259" s="37">
        <f t="shared" si="73"/>
        <v>6318</v>
      </c>
      <c r="AG259" s="181">
        <f t="shared" si="61"/>
        <v>370.59999999999997</v>
      </c>
      <c r="AH259" s="111">
        <f t="shared" si="74"/>
        <v>248.80478399999996</v>
      </c>
      <c r="AI259" s="127">
        <f t="shared" si="75"/>
        <v>370.59999999999997</v>
      </c>
      <c r="AJ259" s="37">
        <f t="shared" si="62"/>
        <v>2623.6</v>
      </c>
      <c r="AK259" s="37">
        <f t="shared" si="76"/>
        <v>8941.6</v>
      </c>
      <c r="AL259" s="37">
        <f t="shared" si="64"/>
        <v>26.644253031674204</v>
      </c>
      <c r="AN259" s="37" t="str">
        <f t="shared" si="63"/>
        <v>Pallet</v>
      </c>
      <c r="AO259" s="194">
        <f t="shared" si="77"/>
        <v>9</v>
      </c>
    </row>
    <row r="260" spans="22:41" x14ac:dyDescent="0.2">
      <c r="V260" s="181">
        <f t="shared" si="65"/>
        <v>111</v>
      </c>
      <c r="W260" s="181">
        <f t="shared" si="66"/>
        <v>222</v>
      </c>
      <c r="X260" s="181">
        <f t="shared" si="67"/>
        <v>1</v>
      </c>
      <c r="Y260" s="37">
        <f t="shared" si="68"/>
        <v>1917.1</v>
      </c>
      <c r="Z260" s="181">
        <f t="shared" si="69"/>
        <v>309</v>
      </c>
      <c r="AA260" s="127">
        <f t="shared" si="70"/>
        <v>595.21331999999995</v>
      </c>
      <c r="AB260" s="127">
        <f t="shared" si="71"/>
        <v>595.21331999999995</v>
      </c>
      <c r="AC260" s="37">
        <f t="shared" si="59"/>
        <v>3971.2799199999999</v>
      </c>
      <c r="AD260" s="37">
        <f t="shared" si="72"/>
        <v>5888.3799199999994</v>
      </c>
      <c r="AE260" s="181">
        <f t="shared" si="60"/>
        <v>9</v>
      </c>
      <c r="AF260" s="37">
        <f t="shared" si="73"/>
        <v>6318</v>
      </c>
      <c r="AG260" s="181">
        <f t="shared" si="61"/>
        <v>371.09999999999997</v>
      </c>
      <c r="AH260" s="111">
        <f t="shared" si="74"/>
        <v>248.80478399999996</v>
      </c>
      <c r="AI260" s="127">
        <f t="shared" si="75"/>
        <v>371.09999999999997</v>
      </c>
      <c r="AJ260" s="37">
        <f t="shared" si="62"/>
        <v>2626.6</v>
      </c>
      <c r="AK260" s="37">
        <f t="shared" si="76"/>
        <v>8944.6</v>
      </c>
      <c r="AL260" s="37">
        <f t="shared" si="64"/>
        <v>26.524233873873872</v>
      </c>
      <c r="AN260" s="37" t="str">
        <f t="shared" si="63"/>
        <v>Pallet</v>
      </c>
      <c r="AO260" s="194">
        <f t="shared" si="77"/>
        <v>9</v>
      </c>
    </row>
    <row r="261" spans="22:41" x14ac:dyDescent="0.2">
      <c r="V261" s="181">
        <f t="shared" si="65"/>
        <v>111.5</v>
      </c>
      <c r="W261" s="181">
        <f t="shared" si="66"/>
        <v>223</v>
      </c>
      <c r="X261" s="181">
        <f t="shared" si="67"/>
        <v>1</v>
      </c>
      <c r="Y261" s="37">
        <f t="shared" si="68"/>
        <v>1917.1</v>
      </c>
      <c r="Z261" s="181">
        <f t="shared" si="69"/>
        <v>309.5</v>
      </c>
      <c r="AA261" s="127">
        <f t="shared" si="70"/>
        <v>595.21331999999995</v>
      </c>
      <c r="AB261" s="127">
        <f t="shared" si="71"/>
        <v>595.21331999999995</v>
      </c>
      <c r="AC261" s="37">
        <f t="shared" si="59"/>
        <v>3971.2799199999999</v>
      </c>
      <c r="AD261" s="37">
        <f t="shared" si="72"/>
        <v>5888.3799199999994</v>
      </c>
      <c r="AE261" s="181">
        <f t="shared" si="60"/>
        <v>9</v>
      </c>
      <c r="AF261" s="37">
        <f t="shared" si="73"/>
        <v>6318</v>
      </c>
      <c r="AG261" s="181">
        <f t="shared" si="61"/>
        <v>371.59999999999997</v>
      </c>
      <c r="AH261" s="111">
        <f t="shared" si="74"/>
        <v>248.80478399999996</v>
      </c>
      <c r="AI261" s="127">
        <f t="shared" si="75"/>
        <v>371.59999999999997</v>
      </c>
      <c r="AJ261" s="37">
        <f t="shared" si="62"/>
        <v>2629.6</v>
      </c>
      <c r="AK261" s="37">
        <f t="shared" si="76"/>
        <v>8947.6</v>
      </c>
      <c r="AL261" s="37">
        <f t="shared" si="64"/>
        <v>26.405291121076232</v>
      </c>
      <c r="AN261" s="37" t="str">
        <f t="shared" si="63"/>
        <v>Pallet</v>
      </c>
      <c r="AO261" s="194">
        <f t="shared" si="77"/>
        <v>9</v>
      </c>
    </row>
    <row r="262" spans="22:41" x14ac:dyDescent="0.2">
      <c r="V262" s="181">
        <f t="shared" si="65"/>
        <v>112</v>
      </c>
      <c r="W262" s="181">
        <f t="shared" si="66"/>
        <v>224</v>
      </c>
      <c r="X262" s="181">
        <f t="shared" si="67"/>
        <v>1</v>
      </c>
      <c r="Y262" s="37">
        <f t="shared" si="68"/>
        <v>1917.1</v>
      </c>
      <c r="Z262" s="181">
        <f t="shared" si="69"/>
        <v>310</v>
      </c>
      <c r="AA262" s="127">
        <f t="shared" si="70"/>
        <v>595.21331999999995</v>
      </c>
      <c r="AB262" s="127">
        <f t="shared" si="71"/>
        <v>595.21331999999995</v>
      </c>
      <c r="AC262" s="37">
        <f t="shared" si="59"/>
        <v>3971.2799199999999</v>
      </c>
      <c r="AD262" s="37">
        <f t="shared" si="72"/>
        <v>5888.3799199999994</v>
      </c>
      <c r="AE262" s="181">
        <f t="shared" si="60"/>
        <v>9</v>
      </c>
      <c r="AF262" s="37">
        <f t="shared" si="73"/>
        <v>6318</v>
      </c>
      <c r="AG262" s="181">
        <f t="shared" si="61"/>
        <v>372.09999999999997</v>
      </c>
      <c r="AH262" s="111">
        <f t="shared" si="74"/>
        <v>248.80478399999996</v>
      </c>
      <c r="AI262" s="127">
        <f t="shared" si="75"/>
        <v>372.09999999999997</v>
      </c>
      <c r="AJ262" s="37">
        <f t="shared" si="62"/>
        <v>2632.6</v>
      </c>
      <c r="AK262" s="37">
        <f t="shared" si="76"/>
        <v>8950.6</v>
      </c>
      <c r="AL262" s="37">
        <f t="shared" si="64"/>
        <v>26.287410357142853</v>
      </c>
      <c r="AN262" s="37" t="str">
        <f t="shared" si="63"/>
        <v>Pallet</v>
      </c>
      <c r="AO262" s="194">
        <f t="shared" si="77"/>
        <v>9</v>
      </c>
    </row>
    <row r="263" spans="22:41" x14ac:dyDescent="0.2">
      <c r="V263" s="181">
        <f t="shared" si="65"/>
        <v>112.5</v>
      </c>
      <c r="W263" s="181">
        <f t="shared" si="66"/>
        <v>225</v>
      </c>
      <c r="X263" s="181">
        <f t="shared" si="67"/>
        <v>1</v>
      </c>
      <c r="Y263" s="37">
        <f t="shared" si="68"/>
        <v>1917.1</v>
      </c>
      <c r="Z263" s="181">
        <f t="shared" si="69"/>
        <v>310.5</v>
      </c>
      <c r="AA263" s="127">
        <f t="shared" si="70"/>
        <v>595.21331999999995</v>
      </c>
      <c r="AB263" s="127">
        <f t="shared" si="71"/>
        <v>595.21331999999995</v>
      </c>
      <c r="AC263" s="37">
        <f t="shared" si="59"/>
        <v>3971.2799199999999</v>
      </c>
      <c r="AD263" s="37">
        <f t="shared" si="72"/>
        <v>5888.3799199999994</v>
      </c>
      <c r="AE263" s="181">
        <f t="shared" si="60"/>
        <v>9</v>
      </c>
      <c r="AF263" s="37">
        <f t="shared" si="73"/>
        <v>6318</v>
      </c>
      <c r="AG263" s="181">
        <f t="shared" si="61"/>
        <v>372.59999999999997</v>
      </c>
      <c r="AH263" s="111">
        <f t="shared" si="74"/>
        <v>248.80478399999996</v>
      </c>
      <c r="AI263" s="127">
        <f t="shared" si="75"/>
        <v>372.59999999999997</v>
      </c>
      <c r="AJ263" s="37">
        <f t="shared" si="62"/>
        <v>2635.6</v>
      </c>
      <c r="AK263" s="37">
        <f t="shared" si="76"/>
        <v>8953.6</v>
      </c>
      <c r="AL263" s="37">
        <f t="shared" si="64"/>
        <v>26.17057742222222</v>
      </c>
      <c r="AN263" s="37" t="str">
        <f t="shared" si="63"/>
        <v>Pallet</v>
      </c>
      <c r="AO263" s="194">
        <f t="shared" si="77"/>
        <v>9</v>
      </c>
    </row>
    <row r="264" spans="22:41" x14ac:dyDescent="0.2">
      <c r="V264" s="181">
        <f t="shared" si="65"/>
        <v>113</v>
      </c>
      <c r="W264" s="181">
        <f t="shared" si="66"/>
        <v>226</v>
      </c>
      <c r="X264" s="181">
        <f t="shared" si="67"/>
        <v>1</v>
      </c>
      <c r="Y264" s="37">
        <f t="shared" si="68"/>
        <v>1917.1</v>
      </c>
      <c r="Z264" s="181">
        <f t="shared" si="69"/>
        <v>311</v>
      </c>
      <c r="AA264" s="127">
        <f t="shared" si="70"/>
        <v>595.21331999999995</v>
      </c>
      <c r="AB264" s="127">
        <f t="shared" si="71"/>
        <v>595.21331999999995</v>
      </c>
      <c r="AC264" s="37">
        <f t="shared" si="59"/>
        <v>3971.2799199999999</v>
      </c>
      <c r="AD264" s="37">
        <f t="shared" si="72"/>
        <v>5888.3799199999994</v>
      </c>
      <c r="AE264" s="181">
        <f t="shared" si="60"/>
        <v>9</v>
      </c>
      <c r="AF264" s="37">
        <f t="shared" si="73"/>
        <v>6318</v>
      </c>
      <c r="AG264" s="181">
        <f t="shared" si="61"/>
        <v>373.09999999999997</v>
      </c>
      <c r="AH264" s="111">
        <f t="shared" si="74"/>
        <v>248.80478399999996</v>
      </c>
      <c r="AI264" s="127">
        <f t="shared" si="75"/>
        <v>373.09999999999997</v>
      </c>
      <c r="AJ264" s="37">
        <f t="shared" si="62"/>
        <v>2638.6</v>
      </c>
      <c r="AK264" s="37">
        <f t="shared" si="76"/>
        <v>8956.6</v>
      </c>
      <c r="AL264" s="37">
        <f t="shared" si="64"/>
        <v>26.054778407079642</v>
      </c>
      <c r="AN264" s="37" t="str">
        <f t="shared" si="63"/>
        <v>Pallet</v>
      </c>
      <c r="AO264" s="194">
        <f t="shared" si="77"/>
        <v>9</v>
      </c>
    </row>
    <row r="265" spans="22:41" x14ac:dyDescent="0.2">
      <c r="V265" s="181">
        <f t="shared" si="65"/>
        <v>113.5</v>
      </c>
      <c r="W265" s="181">
        <f t="shared" si="66"/>
        <v>227</v>
      </c>
      <c r="X265" s="181">
        <f t="shared" si="67"/>
        <v>1</v>
      </c>
      <c r="Y265" s="37">
        <f t="shared" si="68"/>
        <v>1917.1</v>
      </c>
      <c r="Z265" s="181">
        <f t="shared" si="69"/>
        <v>311.5</v>
      </c>
      <c r="AA265" s="127">
        <f t="shared" si="70"/>
        <v>595.21331999999995</v>
      </c>
      <c r="AB265" s="127">
        <f t="shared" si="71"/>
        <v>595.21331999999995</v>
      </c>
      <c r="AC265" s="37">
        <f t="shared" si="59"/>
        <v>3971.2799199999999</v>
      </c>
      <c r="AD265" s="37">
        <f t="shared" si="72"/>
        <v>5888.3799199999994</v>
      </c>
      <c r="AE265" s="181">
        <f t="shared" si="60"/>
        <v>9</v>
      </c>
      <c r="AF265" s="37">
        <f t="shared" si="73"/>
        <v>6318</v>
      </c>
      <c r="AG265" s="181">
        <f t="shared" si="61"/>
        <v>373.59999999999997</v>
      </c>
      <c r="AH265" s="111">
        <f t="shared" si="74"/>
        <v>248.80478399999996</v>
      </c>
      <c r="AI265" s="127">
        <f t="shared" si="75"/>
        <v>373.59999999999997</v>
      </c>
      <c r="AJ265" s="37">
        <f t="shared" si="62"/>
        <v>2641.6</v>
      </c>
      <c r="AK265" s="37">
        <f t="shared" si="76"/>
        <v>8959.6</v>
      </c>
      <c r="AL265" s="37">
        <f t="shared" si="64"/>
        <v>25.939999647577089</v>
      </c>
      <c r="AN265" s="37" t="str">
        <f t="shared" si="63"/>
        <v>Pallet</v>
      </c>
      <c r="AO265" s="194">
        <f t="shared" si="77"/>
        <v>9</v>
      </c>
    </row>
    <row r="266" spans="22:41" x14ac:dyDescent="0.2">
      <c r="V266" s="181">
        <f t="shared" si="65"/>
        <v>114</v>
      </c>
      <c r="W266" s="181">
        <f t="shared" si="66"/>
        <v>228</v>
      </c>
      <c r="X266" s="181">
        <f t="shared" si="67"/>
        <v>1</v>
      </c>
      <c r="Y266" s="37">
        <f t="shared" si="68"/>
        <v>1917.1</v>
      </c>
      <c r="Z266" s="181">
        <f t="shared" si="69"/>
        <v>312</v>
      </c>
      <c r="AA266" s="127">
        <f t="shared" si="70"/>
        <v>595.21331999999995</v>
      </c>
      <c r="AB266" s="127">
        <f t="shared" si="71"/>
        <v>595.21331999999995</v>
      </c>
      <c r="AC266" s="37">
        <f t="shared" si="59"/>
        <v>3971.2799199999999</v>
      </c>
      <c r="AD266" s="37">
        <f t="shared" si="72"/>
        <v>5888.3799199999994</v>
      </c>
      <c r="AE266" s="181">
        <f t="shared" si="60"/>
        <v>9</v>
      </c>
      <c r="AF266" s="37">
        <f t="shared" si="73"/>
        <v>6318</v>
      </c>
      <c r="AG266" s="181">
        <f t="shared" si="61"/>
        <v>374.09999999999997</v>
      </c>
      <c r="AH266" s="111">
        <f t="shared" si="74"/>
        <v>248.80478399999996</v>
      </c>
      <c r="AI266" s="127">
        <f t="shared" si="75"/>
        <v>374.09999999999997</v>
      </c>
      <c r="AJ266" s="37">
        <f t="shared" si="62"/>
        <v>2644.6</v>
      </c>
      <c r="AK266" s="37">
        <f t="shared" si="76"/>
        <v>8962.6</v>
      </c>
      <c r="AL266" s="37">
        <f t="shared" si="64"/>
        <v>25.826227719298242</v>
      </c>
      <c r="AN266" s="37" t="str">
        <f t="shared" si="63"/>
        <v>Pallet</v>
      </c>
      <c r="AO266" s="194">
        <f t="shared" si="77"/>
        <v>9</v>
      </c>
    </row>
    <row r="267" spans="22:41" x14ac:dyDescent="0.2">
      <c r="V267" s="181">
        <f t="shared" si="65"/>
        <v>114.5</v>
      </c>
      <c r="W267" s="181">
        <f t="shared" si="66"/>
        <v>229</v>
      </c>
      <c r="X267" s="181">
        <f t="shared" si="67"/>
        <v>1</v>
      </c>
      <c r="Y267" s="37">
        <f t="shared" si="68"/>
        <v>1917.1</v>
      </c>
      <c r="Z267" s="181">
        <f t="shared" si="69"/>
        <v>312.5</v>
      </c>
      <c r="AA267" s="127">
        <f t="shared" si="70"/>
        <v>595.21331999999995</v>
      </c>
      <c r="AB267" s="127">
        <f t="shared" si="71"/>
        <v>595.21331999999995</v>
      </c>
      <c r="AC267" s="37">
        <f t="shared" si="59"/>
        <v>3971.2799199999999</v>
      </c>
      <c r="AD267" s="37">
        <f t="shared" si="72"/>
        <v>5888.3799199999994</v>
      </c>
      <c r="AE267" s="181">
        <f t="shared" si="60"/>
        <v>9</v>
      </c>
      <c r="AF267" s="37">
        <f t="shared" si="73"/>
        <v>6318</v>
      </c>
      <c r="AG267" s="181">
        <f t="shared" si="61"/>
        <v>374.59999999999997</v>
      </c>
      <c r="AH267" s="111">
        <f t="shared" si="74"/>
        <v>248.80478399999996</v>
      </c>
      <c r="AI267" s="127">
        <f t="shared" si="75"/>
        <v>374.59999999999997</v>
      </c>
      <c r="AJ267" s="37">
        <f t="shared" si="62"/>
        <v>2647.6</v>
      </c>
      <c r="AK267" s="37">
        <f t="shared" si="76"/>
        <v>8965.6</v>
      </c>
      <c r="AL267" s="37">
        <f t="shared" si="64"/>
        <v>25.713449432314409</v>
      </c>
      <c r="AN267" s="37" t="str">
        <f t="shared" si="63"/>
        <v>Pallet</v>
      </c>
      <c r="AO267" s="194">
        <f t="shared" si="77"/>
        <v>9</v>
      </c>
    </row>
    <row r="268" spans="22:41" x14ac:dyDescent="0.2">
      <c r="V268" s="181">
        <f t="shared" si="65"/>
        <v>115</v>
      </c>
      <c r="W268" s="181">
        <f t="shared" si="66"/>
        <v>230</v>
      </c>
      <c r="X268" s="181">
        <f t="shared" si="67"/>
        <v>1</v>
      </c>
      <c r="Y268" s="37">
        <f t="shared" si="68"/>
        <v>1917.1</v>
      </c>
      <c r="Z268" s="181">
        <f t="shared" si="69"/>
        <v>313</v>
      </c>
      <c r="AA268" s="127">
        <f t="shared" si="70"/>
        <v>595.21331999999995</v>
      </c>
      <c r="AB268" s="127">
        <f t="shared" si="71"/>
        <v>595.21331999999995</v>
      </c>
      <c r="AC268" s="37">
        <f t="shared" si="59"/>
        <v>3971.2799199999999</v>
      </c>
      <c r="AD268" s="37">
        <f t="shared" si="72"/>
        <v>5888.3799199999994</v>
      </c>
      <c r="AE268" s="181">
        <f t="shared" si="60"/>
        <v>9</v>
      </c>
      <c r="AF268" s="37">
        <f t="shared" si="73"/>
        <v>6318</v>
      </c>
      <c r="AG268" s="181">
        <f t="shared" si="61"/>
        <v>375.09999999999997</v>
      </c>
      <c r="AH268" s="111">
        <f t="shared" si="74"/>
        <v>248.80478399999996</v>
      </c>
      <c r="AI268" s="127">
        <f t="shared" si="75"/>
        <v>375.09999999999997</v>
      </c>
      <c r="AJ268" s="37">
        <f t="shared" si="62"/>
        <v>2650.6</v>
      </c>
      <c r="AK268" s="37">
        <f t="shared" si="76"/>
        <v>8968.6</v>
      </c>
      <c r="AL268" s="37">
        <f t="shared" si="64"/>
        <v>25.601651826086954</v>
      </c>
      <c r="AN268" s="37" t="str">
        <f t="shared" si="63"/>
        <v>Pallet</v>
      </c>
      <c r="AO268" s="194">
        <f t="shared" si="77"/>
        <v>9</v>
      </c>
    </row>
    <row r="269" spans="22:41" x14ac:dyDescent="0.2">
      <c r="V269" s="181">
        <f t="shared" si="65"/>
        <v>115.5</v>
      </c>
      <c r="W269" s="181">
        <f t="shared" si="66"/>
        <v>231</v>
      </c>
      <c r="X269" s="181">
        <f t="shared" si="67"/>
        <v>1</v>
      </c>
      <c r="Y269" s="37">
        <f t="shared" si="68"/>
        <v>1917.1</v>
      </c>
      <c r="Z269" s="181">
        <f t="shared" si="69"/>
        <v>313.5</v>
      </c>
      <c r="AA269" s="127">
        <f t="shared" si="70"/>
        <v>595.21331999999995</v>
      </c>
      <c r="AB269" s="127">
        <f t="shared" si="71"/>
        <v>595.21331999999995</v>
      </c>
      <c r="AC269" s="37">
        <f t="shared" si="59"/>
        <v>3971.2799199999999</v>
      </c>
      <c r="AD269" s="37">
        <f t="shared" si="72"/>
        <v>5888.3799199999994</v>
      </c>
      <c r="AE269" s="181">
        <f t="shared" si="60"/>
        <v>9</v>
      </c>
      <c r="AF269" s="37">
        <f t="shared" si="73"/>
        <v>6318</v>
      </c>
      <c r="AG269" s="181">
        <f t="shared" si="61"/>
        <v>375.59999999999997</v>
      </c>
      <c r="AH269" s="111">
        <f t="shared" si="74"/>
        <v>248.80478399999996</v>
      </c>
      <c r="AI269" s="127">
        <f t="shared" si="75"/>
        <v>375.59999999999997</v>
      </c>
      <c r="AJ269" s="37">
        <f t="shared" si="62"/>
        <v>2653.6</v>
      </c>
      <c r="AK269" s="37">
        <f t="shared" si="76"/>
        <v>8971.6</v>
      </c>
      <c r="AL269" s="37">
        <f t="shared" si="64"/>
        <v>25.490822164502163</v>
      </c>
      <c r="AN269" s="37" t="str">
        <f t="shared" si="63"/>
        <v>Pallet</v>
      </c>
      <c r="AO269" s="194">
        <f t="shared" si="77"/>
        <v>9</v>
      </c>
    </row>
    <row r="270" spans="22:41" x14ac:dyDescent="0.2">
      <c r="V270" s="181">
        <f t="shared" si="65"/>
        <v>116</v>
      </c>
      <c r="W270" s="181">
        <f t="shared" si="66"/>
        <v>232</v>
      </c>
      <c r="X270" s="181">
        <f t="shared" si="67"/>
        <v>1</v>
      </c>
      <c r="Y270" s="37">
        <f t="shared" si="68"/>
        <v>1917.1</v>
      </c>
      <c r="Z270" s="181">
        <f t="shared" si="69"/>
        <v>314</v>
      </c>
      <c r="AA270" s="127">
        <f t="shared" si="70"/>
        <v>595.21331999999995</v>
      </c>
      <c r="AB270" s="127">
        <f t="shared" si="71"/>
        <v>595.21331999999995</v>
      </c>
      <c r="AC270" s="37">
        <f t="shared" si="59"/>
        <v>3971.2799199999999</v>
      </c>
      <c r="AD270" s="37">
        <f t="shared" si="72"/>
        <v>5888.3799199999994</v>
      </c>
      <c r="AE270" s="181">
        <f t="shared" si="60"/>
        <v>9</v>
      </c>
      <c r="AF270" s="37">
        <f t="shared" si="73"/>
        <v>6318</v>
      </c>
      <c r="AG270" s="181">
        <f t="shared" si="61"/>
        <v>376.09999999999997</v>
      </c>
      <c r="AH270" s="111">
        <f t="shared" si="74"/>
        <v>248.80478399999996</v>
      </c>
      <c r="AI270" s="127">
        <f t="shared" si="75"/>
        <v>376.09999999999997</v>
      </c>
      <c r="AJ270" s="37">
        <f t="shared" si="62"/>
        <v>2656.6</v>
      </c>
      <c r="AK270" s="37">
        <f t="shared" si="76"/>
        <v>8974.6</v>
      </c>
      <c r="AL270" s="37">
        <f t="shared" si="64"/>
        <v>25.380947931034481</v>
      </c>
      <c r="AN270" s="37" t="str">
        <f t="shared" si="63"/>
        <v>Pallet</v>
      </c>
      <c r="AO270" s="194">
        <f t="shared" si="77"/>
        <v>9</v>
      </c>
    </row>
    <row r="271" spans="22:41" x14ac:dyDescent="0.2">
      <c r="V271" s="181">
        <f t="shared" si="65"/>
        <v>116.5</v>
      </c>
      <c r="W271" s="181">
        <f t="shared" si="66"/>
        <v>233</v>
      </c>
      <c r="X271" s="181">
        <f t="shared" si="67"/>
        <v>1</v>
      </c>
      <c r="Y271" s="37">
        <f t="shared" si="68"/>
        <v>1917.1</v>
      </c>
      <c r="Z271" s="181">
        <f t="shared" si="69"/>
        <v>314.5</v>
      </c>
      <c r="AA271" s="127">
        <f t="shared" si="70"/>
        <v>595.21331999999995</v>
      </c>
      <c r="AB271" s="127">
        <f t="shared" si="71"/>
        <v>595.21331999999995</v>
      </c>
      <c r="AC271" s="37">
        <f t="shared" si="59"/>
        <v>3971.2799199999999</v>
      </c>
      <c r="AD271" s="37">
        <f t="shared" si="72"/>
        <v>5888.3799199999994</v>
      </c>
      <c r="AE271" s="181">
        <f t="shared" si="60"/>
        <v>10</v>
      </c>
      <c r="AF271" s="37">
        <f t="shared" si="73"/>
        <v>7020</v>
      </c>
      <c r="AG271" s="181">
        <f t="shared" si="61"/>
        <v>405.5</v>
      </c>
      <c r="AH271" s="111">
        <f t="shared" si="74"/>
        <v>276.44975999999997</v>
      </c>
      <c r="AI271" s="127">
        <f t="shared" si="75"/>
        <v>405.5</v>
      </c>
      <c r="AJ271" s="37">
        <f t="shared" si="62"/>
        <v>2833</v>
      </c>
      <c r="AK271" s="37">
        <f t="shared" si="76"/>
        <v>9853</v>
      </c>
      <c r="AL271" s="37">
        <f t="shared" si="64"/>
        <v>25.272016824034331</v>
      </c>
      <c r="AN271" s="37" t="str">
        <f t="shared" si="63"/>
        <v>Pallet</v>
      </c>
      <c r="AO271" s="194">
        <f t="shared" si="77"/>
        <v>9</v>
      </c>
    </row>
    <row r="272" spans="22:41" x14ac:dyDescent="0.2">
      <c r="V272" s="181">
        <f t="shared" si="65"/>
        <v>117</v>
      </c>
      <c r="W272" s="181">
        <f t="shared" si="66"/>
        <v>234</v>
      </c>
      <c r="X272" s="181">
        <f t="shared" si="67"/>
        <v>1</v>
      </c>
      <c r="Y272" s="37">
        <f t="shared" si="68"/>
        <v>1917.1</v>
      </c>
      <c r="Z272" s="181">
        <f t="shared" si="69"/>
        <v>315</v>
      </c>
      <c r="AA272" s="127">
        <f t="shared" si="70"/>
        <v>595.21331999999995</v>
      </c>
      <c r="AB272" s="127">
        <f t="shared" si="71"/>
        <v>595.21331999999995</v>
      </c>
      <c r="AC272" s="37">
        <f t="shared" si="59"/>
        <v>3971.2799199999999</v>
      </c>
      <c r="AD272" s="37">
        <f t="shared" si="72"/>
        <v>5888.3799199999994</v>
      </c>
      <c r="AE272" s="181">
        <f t="shared" si="60"/>
        <v>10</v>
      </c>
      <c r="AF272" s="37">
        <f t="shared" si="73"/>
        <v>7020</v>
      </c>
      <c r="AG272" s="181">
        <f t="shared" si="61"/>
        <v>406</v>
      </c>
      <c r="AH272" s="111">
        <f t="shared" si="74"/>
        <v>276.44975999999997</v>
      </c>
      <c r="AI272" s="127">
        <f t="shared" si="75"/>
        <v>406</v>
      </c>
      <c r="AJ272" s="37">
        <f t="shared" si="62"/>
        <v>2836</v>
      </c>
      <c r="AK272" s="37">
        <f t="shared" si="76"/>
        <v>9856</v>
      </c>
      <c r="AL272" s="37">
        <f t="shared" si="64"/>
        <v>25.164016752136749</v>
      </c>
      <c r="AN272" s="37" t="str">
        <f t="shared" si="63"/>
        <v>Pallet</v>
      </c>
      <c r="AO272" s="194">
        <f t="shared" si="77"/>
        <v>10</v>
      </c>
    </row>
    <row r="273" spans="22:41" x14ac:dyDescent="0.2">
      <c r="V273" s="181">
        <f t="shared" si="65"/>
        <v>117.5</v>
      </c>
      <c r="W273" s="181">
        <f t="shared" si="66"/>
        <v>235</v>
      </c>
      <c r="X273" s="181">
        <f t="shared" si="67"/>
        <v>1</v>
      </c>
      <c r="Y273" s="37">
        <f t="shared" si="68"/>
        <v>1917.1</v>
      </c>
      <c r="Z273" s="181">
        <f t="shared" si="69"/>
        <v>315.5</v>
      </c>
      <c r="AA273" s="127">
        <f t="shared" si="70"/>
        <v>595.21331999999995</v>
      </c>
      <c r="AB273" s="127">
        <f t="shared" si="71"/>
        <v>595.21331999999995</v>
      </c>
      <c r="AC273" s="37">
        <f t="shared" si="59"/>
        <v>3971.2799199999999</v>
      </c>
      <c r="AD273" s="37">
        <f t="shared" si="72"/>
        <v>5888.3799199999994</v>
      </c>
      <c r="AE273" s="181">
        <f t="shared" si="60"/>
        <v>10</v>
      </c>
      <c r="AF273" s="37">
        <f t="shared" si="73"/>
        <v>7020</v>
      </c>
      <c r="AG273" s="181">
        <f t="shared" si="61"/>
        <v>406.5</v>
      </c>
      <c r="AH273" s="111">
        <f t="shared" si="74"/>
        <v>276.44975999999997</v>
      </c>
      <c r="AI273" s="127">
        <f t="shared" si="75"/>
        <v>406.5</v>
      </c>
      <c r="AJ273" s="37">
        <f t="shared" si="62"/>
        <v>2839</v>
      </c>
      <c r="AK273" s="37">
        <f t="shared" si="76"/>
        <v>9859</v>
      </c>
      <c r="AL273" s="37">
        <f t="shared" si="64"/>
        <v>25.056935829787232</v>
      </c>
      <c r="AN273" s="37" t="str">
        <f t="shared" si="63"/>
        <v>Pallet</v>
      </c>
      <c r="AO273" s="194">
        <f t="shared" si="77"/>
        <v>10</v>
      </c>
    </row>
    <row r="274" spans="22:41" x14ac:dyDescent="0.2">
      <c r="V274" s="181">
        <f t="shared" si="65"/>
        <v>118</v>
      </c>
      <c r="W274" s="181">
        <f t="shared" si="66"/>
        <v>236</v>
      </c>
      <c r="X274" s="181">
        <f t="shared" si="67"/>
        <v>1</v>
      </c>
      <c r="Y274" s="37">
        <f t="shared" si="68"/>
        <v>1917.1</v>
      </c>
      <c r="Z274" s="181">
        <f t="shared" si="69"/>
        <v>316</v>
      </c>
      <c r="AA274" s="127">
        <f t="shared" si="70"/>
        <v>595.21331999999995</v>
      </c>
      <c r="AB274" s="127">
        <f t="shared" si="71"/>
        <v>595.21331999999995</v>
      </c>
      <c r="AC274" s="37">
        <f t="shared" si="59"/>
        <v>3971.2799199999999</v>
      </c>
      <c r="AD274" s="37">
        <f t="shared" si="72"/>
        <v>5888.3799199999994</v>
      </c>
      <c r="AE274" s="181">
        <f t="shared" si="60"/>
        <v>10</v>
      </c>
      <c r="AF274" s="37">
        <f t="shared" si="73"/>
        <v>7020</v>
      </c>
      <c r="AG274" s="181">
        <f t="shared" si="61"/>
        <v>407</v>
      </c>
      <c r="AH274" s="111">
        <f t="shared" si="74"/>
        <v>276.44975999999997</v>
      </c>
      <c r="AI274" s="127">
        <f t="shared" si="75"/>
        <v>407</v>
      </c>
      <c r="AJ274" s="37">
        <f t="shared" si="62"/>
        <v>2842</v>
      </c>
      <c r="AK274" s="37">
        <f t="shared" si="76"/>
        <v>9862</v>
      </c>
      <c r="AL274" s="37">
        <f t="shared" si="64"/>
        <v>24.950762372881353</v>
      </c>
      <c r="AN274" s="37" t="str">
        <f t="shared" si="63"/>
        <v>Pallet</v>
      </c>
      <c r="AO274" s="194">
        <f t="shared" si="77"/>
        <v>10</v>
      </c>
    </row>
    <row r="275" spans="22:41" x14ac:dyDescent="0.2">
      <c r="V275" s="181">
        <f t="shared" si="65"/>
        <v>118.5</v>
      </c>
      <c r="W275" s="181">
        <f t="shared" si="66"/>
        <v>237</v>
      </c>
      <c r="X275" s="181">
        <f t="shared" si="67"/>
        <v>1</v>
      </c>
      <c r="Y275" s="37">
        <f t="shared" si="68"/>
        <v>1917.1</v>
      </c>
      <c r="Z275" s="181">
        <f t="shared" si="69"/>
        <v>316.5</v>
      </c>
      <c r="AA275" s="127">
        <f t="shared" si="70"/>
        <v>595.21331999999995</v>
      </c>
      <c r="AB275" s="127">
        <f t="shared" si="71"/>
        <v>595.21331999999995</v>
      </c>
      <c r="AC275" s="37">
        <f t="shared" si="59"/>
        <v>3971.2799199999999</v>
      </c>
      <c r="AD275" s="37">
        <f t="shared" si="72"/>
        <v>5888.3799199999994</v>
      </c>
      <c r="AE275" s="181">
        <f t="shared" si="60"/>
        <v>10</v>
      </c>
      <c r="AF275" s="37">
        <f t="shared" si="73"/>
        <v>7020</v>
      </c>
      <c r="AG275" s="181">
        <f t="shared" si="61"/>
        <v>407.5</v>
      </c>
      <c r="AH275" s="111">
        <f t="shared" si="74"/>
        <v>276.44975999999997</v>
      </c>
      <c r="AI275" s="127">
        <f t="shared" si="75"/>
        <v>407.5</v>
      </c>
      <c r="AJ275" s="37">
        <f t="shared" si="62"/>
        <v>2845</v>
      </c>
      <c r="AK275" s="37">
        <f t="shared" si="76"/>
        <v>9865</v>
      </c>
      <c r="AL275" s="37">
        <f t="shared" si="64"/>
        <v>24.845484894514765</v>
      </c>
      <c r="AN275" s="37" t="str">
        <f t="shared" si="63"/>
        <v>Pallet</v>
      </c>
      <c r="AO275" s="194">
        <f t="shared" si="77"/>
        <v>10</v>
      </c>
    </row>
    <row r="276" spans="22:41" x14ac:dyDescent="0.2">
      <c r="V276" s="181">
        <f t="shared" si="65"/>
        <v>119</v>
      </c>
      <c r="W276" s="181">
        <f t="shared" si="66"/>
        <v>238</v>
      </c>
      <c r="X276" s="181">
        <f t="shared" si="67"/>
        <v>1</v>
      </c>
      <c r="Y276" s="37">
        <f t="shared" si="68"/>
        <v>1917.1</v>
      </c>
      <c r="Z276" s="181">
        <f t="shared" si="69"/>
        <v>317</v>
      </c>
      <c r="AA276" s="127">
        <f t="shared" si="70"/>
        <v>595.21331999999995</v>
      </c>
      <c r="AB276" s="127">
        <f t="shared" si="71"/>
        <v>595.21331999999995</v>
      </c>
      <c r="AC276" s="37">
        <f t="shared" si="59"/>
        <v>3971.2799199999999</v>
      </c>
      <c r="AD276" s="37">
        <f t="shared" si="72"/>
        <v>5888.3799199999994</v>
      </c>
      <c r="AE276" s="181">
        <f t="shared" si="60"/>
        <v>10</v>
      </c>
      <c r="AF276" s="37">
        <f t="shared" si="73"/>
        <v>7020</v>
      </c>
      <c r="AG276" s="181">
        <f t="shared" si="61"/>
        <v>408</v>
      </c>
      <c r="AH276" s="111">
        <f t="shared" si="74"/>
        <v>276.44975999999997</v>
      </c>
      <c r="AI276" s="127">
        <f t="shared" si="75"/>
        <v>408</v>
      </c>
      <c r="AJ276" s="37">
        <f t="shared" si="62"/>
        <v>2848</v>
      </c>
      <c r="AK276" s="37">
        <f t="shared" si="76"/>
        <v>9868</v>
      </c>
      <c r="AL276" s="37">
        <f t="shared" si="64"/>
        <v>24.741092100840334</v>
      </c>
      <c r="AN276" s="37" t="str">
        <f t="shared" si="63"/>
        <v>Pallet</v>
      </c>
      <c r="AO276" s="194">
        <f t="shared" si="77"/>
        <v>10</v>
      </c>
    </row>
    <row r="277" spans="22:41" x14ac:dyDescent="0.2">
      <c r="V277" s="181">
        <f t="shared" si="65"/>
        <v>119.5</v>
      </c>
      <c r="W277" s="181">
        <f t="shared" si="66"/>
        <v>239</v>
      </c>
      <c r="X277" s="181">
        <f t="shared" si="67"/>
        <v>1</v>
      </c>
      <c r="Y277" s="37">
        <f t="shared" si="68"/>
        <v>1917.1</v>
      </c>
      <c r="Z277" s="181">
        <f t="shared" si="69"/>
        <v>317.5</v>
      </c>
      <c r="AA277" s="127">
        <f t="shared" si="70"/>
        <v>595.21331999999995</v>
      </c>
      <c r="AB277" s="127">
        <f t="shared" si="71"/>
        <v>595.21331999999995</v>
      </c>
      <c r="AC277" s="37">
        <f t="shared" si="59"/>
        <v>3971.2799199999999</v>
      </c>
      <c r="AD277" s="37">
        <f t="shared" si="72"/>
        <v>5888.3799199999994</v>
      </c>
      <c r="AE277" s="181">
        <f t="shared" si="60"/>
        <v>10</v>
      </c>
      <c r="AF277" s="37">
        <f t="shared" si="73"/>
        <v>7020</v>
      </c>
      <c r="AG277" s="181">
        <f t="shared" si="61"/>
        <v>408.5</v>
      </c>
      <c r="AH277" s="111">
        <f t="shared" si="74"/>
        <v>276.44975999999997</v>
      </c>
      <c r="AI277" s="127">
        <f t="shared" si="75"/>
        <v>408.5</v>
      </c>
      <c r="AJ277" s="37">
        <f t="shared" si="62"/>
        <v>2851</v>
      </c>
      <c r="AK277" s="37">
        <f t="shared" si="76"/>
        <v>9871</v>
      </c>
      <c r="AL277" s="37">
        <f t="shared" si="64"/>
        <v>24.637572887029286</v>
      </c>
      <c r="AN277" s="37" t="str">
        <f t="shared" si="63"/>
        <v>Pallet</v>
      </c>
      <c r="AO277" s="194">
        <f t="shared" si="77"/>
        <v>10</v>
      </c>
    </row>
    <row r="278" spans="22:41" x14ac:dyDescent="0.2">
      <c r="V278" s="181">
        <f t="shared" si="65"/>
        <v>120</v>
      </c>
      <c r="W278" s="181">
        <f t="shared" si="66"/>
        <v>240</v>
      </c>
      <c r="X278" s="181">
        <f t="shared" si="67"/>
        <v>1</v>
      </c>
      <c r="Y278" s="37">
        <f t="shared" si="68"/>
        <v>1917.1</v>
      </c>
      <c r="Z278" s="181">
        <f t="shared" si="69"/>
        <v>318</v>
      </c>
      <c r="AA278" s="127">
        <f t="shared" si="70"/>
        <v>595.21331999999995</v>
      </c>
      <c r="AB278" s="127">
        <f t="shared" si="71"/>
        <v>595.21331999999995</v>
      </c>
      <c r="AC278" s="37">
        <f t="shared" si="59"/>
        <v>3971.2799199999999</v>
      </c>
      <c r="AD278" s="37">
        <f t="shared" si="72"/>
        <v>5888.3799199999994</v>
      </c>
      <c r="AE278" s="181">
        <f t="shared" si="60"/>
        <v>10</v>
      </c>
      <c r="AF278" s="37">
        <f t="shared" si="73"/>
        <v>7020</v>
      </c>
      <c r="AG278" s="181">
        <f t="shared" si="61"/>
        <v>409</v>
      </c>
      <c r="AH278" s="111">
        <f t="shared" si="74"/>
        <v>276.44975999999997</v>
      </c>
      <c r="AI278" s="127">
        <f t="shared" si="75"/>
        <v>409</v>
      </c>
      <c r="AJ278" s="37">
        <f t="shared" si="62"/>
        <v>2854</v>
      </c>
      <c r="AK278" s="37">
        <f t="shared" si="76"/>
        <v>9874</v>
      </c>
      <c r="AL278" s="37">
        <f t="shared" si="64"/>
        <v>24.534916333333332</v>
      </c>
      <c r="AN278" s="37" t="str">
        <f t="shared" si="63"/>
        <v>Pallet</v>
      </c>
      <c r="AO278" s="194">
        <f t="shared" si="77"/>
        <v>10</v>
      </c>
    </row>
    <row r="279" spans="22:41" x14ac:dyDescent="0.2">
      <c r="V279" s="181">
        <f t="shared" si="65"/>
        <v>120.5</v>
      </c>
      <c r="W279" s="181">
        <f t="shared" si="66"/>
        <v>241</v>
      </c>
      <c r="X279" s="181">
        <f t="shared" si="67"/>
        <v>1</v>
      </c>
      <c r="Y279" s="37">
        <f t="shared" si="68"/>
        <v>1917.1</v>
      </c>
      <c r="Z279" s="181">
        <f t="shared" si="69"/>
        <v>318.5</v>
      </c>
      <c r="AA279" s="127">
        <f t="shared" si="70"/>
        <v>595.21331999999995</v>
      </c>
      <c r="AB279" s="127">
        <f t="shared" si="71"/>
        <v>595.21331999999995</v>
      </c>
      <c r="AC279" s="37">
        <f t="shared" si="59"/>
        <v>3971.2799199999999</v>
      </c>
      <c r="AD279" s="37">
        <f t="shared" si="72"/>
        <v>5888.3799199999994</v>
      </c>
      <c r="AE279" s="181">
        <f t="shared" si="60"/>
        <v>10</v>
      </c>
      <c r="AF279" s="37">
        <f t="shared" si="73"/>
        <v>7020</v>
      </c>
      <c r="AG279" s="181">
        <f t="shared" si="61"/>
        <v>409.5</v>
      </c>
      <c r="AH279" s="111">
        <f t="shared" si="74"/>
        <v>276.44975999999997</v>
      </c>
      <c r="AI279" s="127">
        <f t="shared" si="75"/>
        <v>409.5</v>
      </c>
      <c r="AJ279" s="37">
        <f t="shared" si="62"/>
        <v>2857</v>
      </c>
      <c r="AK279" s="37">
        <f t="shared" si="76"/>
        <v>9877</v>
      </c>
      <c r="AL279" s="37">
        <f t="shared" si="64"/>
        <v>24.433111701244812</v>
      </c>
      <c r="AN279" s="37" t="str">
        <f t="shared" si="63"/>
        <v>Pallet</v>
      </c>
      <c r="AO279" s="194">
        <f t="shared" si="77"/>
        <v>10</v>
      </c>
    </row>
    <row r="280" spans="22:41" x14ac:dyDescent="0.2">
      <c r="V280" s="181">
        <f t="shared" si="65"/>
        <v>121</v>
      </c>
      <c r="W280" s="181">
        <f t="shared" si="66"/>
        <v>242</v>
      </c>
      <c r="X280" s="181">
        <f t="shared" si="67"/>
        <v>1</v>
      </c>
      <c r="Y280" s="37">
        <f t="shared" si="68"/>
        <v>1917.1</v>
      </c>
      <c r="Z280" s="181">
        <f t="shared" si="69"/>
        <v>319</v>
      </c>
      <c r="AA280" s="127">
        <f t="shared" si="70"/>
        <v>595.21331999999995</v>
      </c>
      <c r="AB280" s="127">
        <f t="shared" si="71"/>
        <v>595.21331999999995</v>
      </c>
      <c r="AC280" s="37">
        <f t="shared" si="59"/>
        <v>3971.2799199999999</v>
      </c>
      <c r="AD280" s="37">
        <f t="shared" si="72"/>
        <v>5888.3799199999994</v>
      </c>
      <c r="AE280" s="181">
        <f t="shared" si="60"/>
        <v>10</v>
      </c>
      <c r="AF280" s="37">
        <f t="shared" si="73"/>
        <v>7020</v>
      </c>
      <c r="AG280" s="181">
        <f t="shared" si="61"/>
        <v>410</v>
      </c>
      <c r="AH280" s="111">
        <f t="shared" si="74"/>
        <v>276.44975999999997</v>
      </c>
      <c r="AI280" s="127">
        <f t="shared" si="75"/>
        <v>410</v>
      </c>
      <c r="AJ280" s="37">
        <f t="shared" si="62"/>
        <v>2860</v>
      </c>
      <c r="AK280" s="37">
        <f t="shared" si="76"/>
        <v>9880</v>
      </c>
      <c r="AL280" s="37">
        <f t="shared" si="64"/>
        <v>24.332148429752063</v>
      </c>
      <c r="AN280" s="37" t="str">
        <f t="shared" si="63"/>
        <v>Pallet</v>
      </c>
      <c r="AO280" s="194">
        <f t="shared" si="77"/>
        <v>10</v>
      </c>
    </row>
    <row r="281" spans="22:41" x14ac:dyDescent="0.2">
      <c r="V281" s="181">
        <f t="shared" si="65"/>
        <v>121.5</v>
      </c>
      <c r="W281" s="181">
        <f t="shared" si="66"/>
        <v>243</v>
      </c>
      <c r="X281" s="181">
        <f t="shared" si="67"/>
        <v>1</v>
      </c>
      <c r="Y281" s="37">
        <f t="shared" si="68"/>
        <v>1917.1</v>
      </c>
      <c r="Z281" s="181">
        <f t="shared" si="69"/>
        <v>319.5</v>
      </c>
      <c r="AA281" s="127">
        <f t="shared" si="70"/>
        <v>595.21331999999995</v>
      </c>
      <c r="AB281" s="127">
        <f t="shared" si="71"/>
        <v>595.21331999999995</v>
      </c>
      <c r="AC281" s="37">
        <f t="shared" si="59"/>
        <v>3971.2799199999999</v>
      </c>
      <c r="AD281" s="37">
        <f t="shared" si="72"/>
        <v>5888.3799199999994</v>
      </c>
      <c r="AE281" s="181">
        <f t="shared" si="60"/>
        <v>10</v>
      </c>
      <c r="AF281" s="37">
        <f t="shared" si="73"/>
        <v>7020</v>
      </c>
      <c r="AG281" s="181">
        <f t="shared" si="61"/>
        <v>410.5</v>
      </c>
      <c r="AH281" s="111">
        <f t="shared" si="74"/>
        <v>276.44975999999997</v>
      </c>
      <c r="AI281" s="127">
        <f t="shared" si="75"/>
        <v>410.5</v>
      </c>
      <c r="AJ281" s="37">
        <f t="shared" si="62"/>
        <v>2863</v>
      </c>
      <c r="AK281" s="37">
        <f t="shared" si="76"/>
        <v>9883</v>
      </c>
      <c r="AL281" s="37">
        <f t="shared" si="64"/>
        <v>24.232016131687239</v>
      </c>
      <c r="AN281" s="37" t="str">
        <f t="shared" si="63"/>
        <v>Pallet</v>
      </c>
      <c r="AO281" s="194">
        <f t="shared" si="77"/>
        <v>10</v>
      </c>
    </row>
    <row r="282" spans="22:41" x14ac:dyDescent="0.2">
      <c r="V282" s="181">
        <f t="shared" si="65"/>
        <v>122</v>
      </c>
      <c r="W282" s="181">
        <f t="shared" si="66"/>
        <v>244</v>
      </c>
      <c r="X282" s="181">
        <f t="shared" si="67"/>
        <v>1</v>
      </c>
      <c r="Y282" s="37">
        <f t="shared" si="68"/>
        <v>1917.1</v>
      </c>
      <c r="Z282" s="181">
        <f t="shared" si="69"/>
        <v>320</v>
      </c>
      <c r="AA282" s="127">
        <f t="shared" si="70"/>
        <v>595.21331999999995</v>
      </c>
      <c r="AB282" s="127">
        <f t="shared" si="71"/>
        <v>595.21331999999995</v>
      </c>
      <c r="AC282" s="37">
        <f t="shared" si="59"/>
        <v>3971.2799199999999</v>
      </c>
      <c r="AD282" s="37">
        <f t="shared" si="72"/>
        <v>5888.3799199999994</v>
      </c>
      <c r="AE282" s="181">
        <f t="shared" si="60"/>
        <v>10</v>
      </c>
      <c r="AF282" s="37">
        <f t="shared" si="73"/>
        <v>7020</v>
      </c>
      <c r="AG282" s="181">
        <f t="shared" si="61"/>
        <v>411</v>
      </c>
      <c r="AH282" s="111">
        <f t="shared" si="74"/>
        <v>276.44975999999997</v>
      </c>
      <c r="AI282" s="127">
        <f t="shared" si="75"/>
        <v>411</v>
      </c>
      <c r="AJ282" s="37">
        <f t="shared" si="62"/>
        <v>2866</v>
      </c>
      <c r="AK282" s="37">
        <f t="shared" si="76"/>
        <v>9886</v>
      </c>
      <c r="AL282" s="37">
        <f t="shared" si="64"/>
        <v>24.132704590163932</v>
      </c>
      <c r="AN282" s="37" t="str">
        <f t="shared" si="63"/>
        <v>Pallet</v>
      </c>
      <c r="AO282" s="194">
        <f t="shared" si="77"/>
        <v>10</v>
      </c>
    </row>
    <row r="283" spans="22:41" x14ac:dyDescent="0.2">
      <c r="V283" s="181">
        <f t="shared" si="65"/>
        <v>122.5</v>
      </c>
      <c r="W283" s="181">
        <f t="shared" si="66"/>
        <v>245</v>
      </c>
      <c r="X283" s="181">
        <f t="shared" si="67"/>
        <v>1</v>
      </c>
      <c r="Y283" s="37">
        <f t="shared" si="68"/>
        <v>1917.1</v>
      </c>
      <c r="Z283" s="181">
        <f t="shared" si="69"/>
        <v>320.5</v>
      </c>
      <c r="AA283" s="127">
        <f t="shared" si="70"/>
        <v>595.21331999999995</v>
      </c>
      <c r="AB283" s="127">
        <f t="shared" si="71"/>
        <v>595.21331999999995</v>
      </c>
      <c r="AC283" s="37">
        <f t="shared" si="59"/>
        <v>3971.2799199999999</v>
      </c>
      <c r="AD283" s="37">
        <f t="shared" si="72"/>
        <v>5888.3799199999994</v>
      </c>
      <c r="AE283" s="181">
        <f t="shared" si="60"/>
        <v>10</v>
      </c>
      <c r="AF283" s="37">
        <f t="shared" si="73"/>
        <v>7020</v>
      </c>
      <c r="AG283" s="181">
        <f t="shared" si="61"/>
        <v>411.5</v>
      </c>
      <c r="AH283" s="111">
        <f t="shared" si="74"/>
        <v>276.44975999999997</v>
      </c>
      <c r="AI283" s="127">
        <f t="shared" si="75"/>
        <v>411.5</v>
      </c>
      <c r="AJ283" s="37">
        <f t="shared" si="62"/>
        <v>2869</v>
      </c>
      <c r="AK283" s="37">
        <f t="shared" si="76"/>
        <v>9889</v>
      </c>
      <c r="AL283" s="37">
        <f t="shared" si="64"/>
        <v>24.034203755102038</v>
      </c>
      <c r="AN283" s="37" t="str">
        <f t="shared" si="63"/>
        <v>Pallet</v>
      </c>
      <c r="AO283" s="194">
        <f t="shared" si="77"/>
        <v>10</v>
      </c>
    </row>
    <row r="284" spans="22:41" x14ac:dyDescent="0.2">
      <c r="V284" s="181">
        <f t="shared" si="65"/>
        <v>123</v>
      </c>
      <c r="W284" s="181">
        <f t="shared" si="66"/>
        <v>246</v>
      </c>
      <c r="X284" s="181">
        <f t="shared" si="67"/>
        <v>1</v>
      </c>
      <c r="Y284" s="37">
        <f t="shared" si="68"/>
        <v>1917.1</v>
      </c>
      <c r="Z284" s="181">
        <f t="shared" si="69"/>
        <v>321</v>
      </c>
      <c r="AA284" s="127">
        <f t="shared" si="70"/>
        <v>595.21331999999995</v>
      </c>
      <c r="AB284" s="127">
        <f t="shared" si="71"/>
        <v>595.21331999999995</v>
      </c>
      <c r="AC284" s="37">
        <f t="shared" si="59"/>
        <v>3971.2799199999999</v>
      </c>
      <c r="AD284" s="37">
        <f t="shared" si="72"/>
        <v>5888.3799199999994</v>
      </c>
      <c r="AE284" s="181">
        <f t="shared" si="60"/>
        <v>10</v>
      </c>
      <c r="AF284" s="37">
        <f t="shared" si="73"/>
        <v>7020</v>
      </c>
      <c r="AG284" s="181">
        <f t="shared" si="61"/>
        <v>412</v>
      </c>
      <c r="AH284" s="111">
        <f t="shared" si="74"/>
        <v>276.44975999999997</v>
      </c>
      <c r="AI284" s="127">
        <f t="shared" si="75"/>
        <v>412</v>
      </c>
      <c r="AJ284" s="37">
        <f t="shared" si="62"/>
        <v>2872</v>
      </c>
      <c r="AK284" s="37">
        <f t="shared" si="76"/>
        <v>9892</v>
      </c>
      <c r="AL284" s="37">
        <f t="shared" si="64"/>
        <v>23.936503739837395</v>
      </c>
      <c r="AN284" s="37" t="str">
        <f t="shared" si="63"/>
        <v>Pallet</v>
      </c>
      <c r="AO284" s="194">
        <f t="shared" si="77"/>
        <v>10</v>
      </c>
    </row>
    <row r="285" spans="22:41" x14ac:dyDescent="0.2">
      <c r="V285" s="181">
        <f t="shared" si="65"/>
        <v>123.5</v>
      </c>
      <c r="W285" s="181">
        <f t="shared" si="66"/>
        <v>247</v>
      </c>
      <c r="X285" s="181">
        <f t="shared" si="67"/>
        <v>1</v>
      </c>
      <c r="Y285" s="37">
        <f t="shared" si="68"/>
        <v>1917.1</v>
      </c>
      <c r="Z285" s="181">
        <f t="shared" si="69"/>
        <v>321.5</v>
      </c>
      <c r="AA285" s="127">
        <f t="shared" si="70"/>
        <v>595.21331999999995</v>
      </c>
      <c r="AB285" s="127">
        <f t="shared" si="71"/>
        <v>595.21331999999995</v>
      </c>
      <c r="AC285" s="37">
        <f t="shared" si="59"/>
        <v>3971.2799199999999</v>
      </c>
      <c r="AD285" s="37">
        <f t="shared" si="72"/>
        <v>5888.3799199999994</v>
      </c>
      <c r="AE285" s="181">
        <f t="shared" si="60"/>
        <v>10</v>
      </c>
      <c r="AF285" s="37">
        <f t="shared" si="73"/>
        <v>7020</v>
      </c>
      <c r="AG285" s="181">
        <f t="shared" si="61"/>
        <v>412.5</v>
      </c>
      <c r="AH285" s="111">
        <f t="shared" si="74"/>
        <v>276.44975999999997</v>
      </c>
      <c r="AI285" s="127">
        <f t="shared" si="75"/>
        <v>412.5</v>
      </c>
      <c r="AJ285" s="37">
        <f t="shared" si="62"/>
        <v>2875</v>
      </c>
      <c r="AK285" s="37">
        <f t="shared" si="76"/>
        <v>9895</v>
      </c>
      <c r="AL285" s="37">
        <f t="shared" si="64"/>
        <v>23.839594817813762</v>
      </c>
      <c r="AN285" s="37" t="str">
        <f t="shared" si="63"/>
        <v>Pallet</v>
      </c>
      <c r="AO285" s="194">
        <f t="shared" si="77"/>
        <v>10</v>
      </c>
    </row>
    <row r="286" spans="22:41" x14ac:dyDescent="0.2">
      <c r="V286" s="181">
        <f t="shared" si="65"/>
        <v>124</v>
      </c>
      <c r="W286" s="181">
        <f t="shared" si="66"/>
        <v>248</v>
      </c>
      <c r="X286" s="181">
        <f t="shared" si="67"/>
        <v>1</v>
      </c>
      <c r="Y286" s="37">
        <f t="shared" si="68"/>
        <v>1917.1</v>
      </c>
      <c r="Z286" s="181">
        <f t="shared" si="69"/>
        <v>322</v>
      </c>
      <c r="AA286" s="127">
        <f t="shared" si="70"/>
        <v>595.21331999999995</v>
      </c>
      <c r="AB286" s="127">
        <f t="shared" si="71"/>
        <v>595.21331999999995</v>
      </c>
      <c r="AC286" s="37">
        <f t="shared" si="59"/>
        <v>3971.2799199999999</v>
      </c>
      <c r="AD286" s="37">
        <f t="shared" si="72"/>
        <v>5888.3799199999994</v>
      </c>
      <c r="AE286" s="181">
        <f t="shared" si="60"/>
        <v>10</v>
      </c>
      <c r="AF286" s="37">
        <f t="shared" si="73"/>
        <v>7020</v>
      </c>
      <c r="AG286" s="181">
        <f t="shared" si="61"/>
        <v>413</v>
      </c>
      <c r="AH286" s="111">
        <f t="shared" si="74"/>
        <v>276.44975999999997</v>
      </c>
      <c r="AI286" s="127">
        <f t="shared" si="75"/>
        <v>413</v>
      </c>
      <c r="AJ286" s="37">
        <f t="shared" si="62"/>
        <v>2878</v>
      </c>
      <c r="AK286" s="37">
        <f t="shared" si="76"/>
        <v>9898</v>
      </c>
      <c r="AL286" s="37">
        <f t="shared" si="64"/>
        <v>23.743467419354836</v>
      </c>
      <c r="AN286" s="37" t="str">
        <f t="shared" si="63"/>
        <v>Pallet</v>
      </c>
      <c r="AO286" s="194">
        <f t="shared" si="77"/>
        <v>10</v>
      </c>
    </row>
    <row r="287" spans="22:41" x14ac:dyDescent="0.2">
      <c r="V287" s="181">
        <f t="shared" si="65"/>
        <v>124.5</v>
      </c>
      <c r="W287" s="181">
        <f t="shared" si="66"/>
        <v>249</v>
      </c>
      <c r="X287" s="181">
        <f t="shared" si="67"/>
        <v>1</v>
      </c>
      <c r="Y287" s="37">
        <f t="shared" si="68"/>
        <v>1917.1</v>
      </c>
      <c r="Z287" s="181">
        <f t="shared" si="69"/>
        <v>322.5</v>
      </c>
      <c r="AA287" s="127">
        <f t="shared" si="70"/>
        <v>595.21331999999995</v>
      </c>
      <c r="AB287" s="127">
        <f t="shared" si="71"/>
        <v>595.21331999999995</v>
      </c>
      <c r="AC287" s="37">
        <f t="shared" si="59"/>
        <v>3971.2799199999999</v>
      </c>
      <c r="AD287" s="37">
        <f t="shared" si="72"/>
        <v>5888.3799199999994</v>
      </c>
      <c r="AE287" s="181">
        <f t="shared" si="60"/>
        <v>10</v>
      </c>
      <c r="AF287" s="37">
        <f t="shared" si="73"/>
        <v>7020</v>
      </c>
      <c r="AG287" s="181">
        <f t="shared" si="61"/>
        <v>413.5</v>
      </c>
      <c r="AH287" s="111">
        <f t="shared" si="74"/>
        <v>276.44975999999997</v>
      </c>
      <c r="AI287" s="127">
        <f t="shared" si="75"/>
        <v>413.5</v>
      </c>
      <c r="AJ287" s="37">
        <f t="shared" si="62"/>
        <v>2881</v>
      </c>
      <c r="AK287" s="37">
        <f t="shared" si="76"/>
        <v>9901</v>
      </c>
      <c r="AL287" s="37">
        <f t="shared" si="64"/>
        <v>23.648112128514054</v>
      </c>
      <c r="AN287" s="37" t="str">
        <f t="shared" si="63"/>
        <v>Pallet</v>
      </c>
      <c r="AO287" s="194">
        <f t="shared" si="77"/>
        <v>10</v>
      </c>
    </row>
    <row r="288" spans="22:41" x14ac:dyDescent="0.2">
      <c r="V288" s="181">
        <f t="shared" si="65"/>
        <v>125</v>
      </c>
      <c r="W288" s="181">
        <f t="shared" si="66"/>
        <v>250</v>
      </c>
      <c r="X288" s="181">
        <f t="shared" si="67"/>
        <v>1</v>
      </c>
      <c r="Y288" s="37">
        <f t="shared" si="68"/>
        <v>1917.1</v>
      </c>
      <c r="Z288" s="181">
        <f t="shared" si="69"/>
        <v>323</v>
      </c>
      <c r="AA288" s="127">
        <f t="shared" si="70"/>
        <v>595.21331999999995</v>
      </c>
      <c r="AB288" s="127">
        <f t="shared" si="71"/>
        <v>595.21331999999995</v>
      </c>
      <c r="AC288" s="37">
        <f t="shared" si="59"/>
        <v>3971.2799199999999</v>
      </c>
      <c r="AD288" s="37">
        <f t="shared" si="72"/>
        <v>5888.3799199999994</v>
      </c>
      <c r="AE288" s="181">
        <f t="shared" si="60"/>
        <v>10</v>
      </c>
      <c r="AF288" s="37">
        <f t="shared" si="73"/>
        <v>7020</v>
      </c>
      <c r="AG288" s="181">
        <f t="shared" si="61"/>
        <v>414</v>
      </c>
      <c r="AH288" s="111">
        <f t="shared" si="74"/>
        <v>276.44975999999997</v>
      </c>
      <c r="AI288" s="127">
        <f t="shared" si="75"/>
        <v>414</v>
      </c>
      <c r="AJ288" s="37">
        <f t="shared" si="62"/>
        <v>2884</v>
      </c>
      <c r="AK288" s="37">
        <f t="shared" si="76"/>
        <v>9904</v>
      </c>
      <c r="AL288" s="37">
        <f t="shared" si="64"/>
        <v>23.553519679999997</v>
      </c>
      <c r="AN288" s="37" t="str">
        <f t="shared" si="63"/>
        <v>Pallet</v>
      </c>
      <c r="AO288" s="194">
        <f t="shared" si="77"/>
        <v>10</v>
      </c>
    </row>
    <row r="289" spans="22:41" x14ac:dyDescent="0.2">
      <c r="V289" s="181">
        <f t="shared" si="65"/>
        <v>125.5</v>
      </c>
      <c r="W289" s="181">
        <f t="shared" si="66"/>
        <v>251</v>
      </c>
      <c r="X289" s="181">
        <f t="shared" si="67"/>
        <v>1</v>
      </c>
      <c r="Y289" s="37">
        <f t="shared" si="68"/>
        <v>1917.1</v>
      </c>
      <c r="Z289" s="181">
        <f t="shared" si="69"/>
        <v>323.5</v>
      </c>
      <c r="AA289" s="127">
        <f t="shared" si="70"/>
        <v>595.21331999999995</v>
      </c>
      <c r="AB289" s="127">
        <f t="shared" si="71"/>
        <v>595.21331999999995</v>
      </c>
      <c r="AC289" s="37">
        <f t="shared" si="59"/>
        <v>3971.2799199999999</v>
      </c>
      <c r="AD289" s="37">
        <f t="shared" si="72"/>
        <v>5888.3799199999994</v>
      </c>
      <c r="AE289" s="181">
        <f t="shared" si="60"/>
        <v>10</v>
      </c>
      <c r="AF289" s="37">
        <f t="shared" si="73"/>
        <v>7020</v>
      </c>
      <c r="AG289" s="181">
        <f t="shared" si="61"/>
        <v>414.5</v>
      </c>
      <c r="AH289" s="111">
        <f t="shared" si="74"/>
        <v>276.44975999999997</v>
      </c>
      <c r="AI289" s="127">
        <f t="shared" si="75"/>
        <v>414.5</v>
      </c>
      <c r="AJ289" s="37">
        <f t="shared" si="62"/>
        <v>2887</v>
      </c>
      <c r="AK289" s="37">
        <f t="shared" si="76"/>
        <v>9907</v>
      </c>
      <c r="AL289" s="37">
        <f t="shared" si="64"/>
        <v>23.459680956175298</v>
      </c>
      <c r="AN289" s="37" t="str">
        <f t="shared" si="63"/>
        <v>Pallet</v>
      </c>
      <c r="AO289" s="194">
        <f t="shared" si="77"/>
        <v>10</v>
      </c>
    </row>
    <row r="290" spans="22:41" x14ac:dyDescent="0.2">
      <c r="V290" s="181">
        <f t="shared" si="65"/>
        <v>126</v>
      </c>
      <c r="W290" s="181">
        <f t="shared" si="66"/>
        <v>252</v>
      </c>
      <c r="X290" s="181">
        <f t="shared" si="67"/>
        <v>1</v>
      </c>
      <c r="Y290" s="37">
        <f t="shared" si="68"/>
        <v>1917.1</v>
      </c>
      <c r="Z290" s="181">
        <f t="shared" si="69"/>
        <v>324</v>
      </c>
      <c r="AA290" s="127">
        <f t="shared" si="70"/>
        <v>595.21331999999995</v>
      </c>
      <c r="AB290" s="127">
        <f t="shared" si="71"/>
        <v>595.21331999999995</v>
      </c>
      <c r="AC290" s="37">
        <f t="shared" si="59"/>
        <v>3971.2799199999999</v>
      </c>
      <c r="AD290" s="37">
        <f t="shared" si="72"/>
        <v>5888.3799199999994</v>
      </c>
      <c r="AE290" s="181">
        <f t="shared" si="60"/>
        <v>10</v>
      </c>
      <c r="AF290" s="37">
        <f t="shared" si="73"/>
        <v>7020</v>
      </c>
      <c r="AG290" s="181">
        <f t="shared" si="61"/>
        <v>415</v>
      </c>
      <c r="AH290" s="111">
        <f t="shared" si="74"/>
        <v>276.44975999999997</v>
      </c>
      <c r="AI290" s="127">
        <f t="shared" si="75"/>
        <v>415</v>
      </c>
      <c r="AJ290" s="37">
        <f t="shared" si="62"/>
        <v>2890</v>
      </c>
      <c r="AK290" s="37">
        <f t="shared" si="76"/>
        <v>9910</v>
      </c>
      <c r="AL290" s="37">
        <f t="shared" si="64"/>
        <v>23.366586984126982</v>
      </c>
      <c r="AN290" s="37" t="str">
        <f t="shared" si="63"/>
        <v>Pallet</v>
      </c>
      <c r="AO290" s="194">
        <f t="shared" si="77"/>
        <v>10</v>
      </c>
    </row>
    <row r="291" spans="22:41" x14ac:dyDescent="0.2">
      <c r="V291" s="181">
        <f t="shared" si="65"/>
        <v>126.5</v>
      </c>
      <c r="W291" s="181">
        <f t="shared" si="66"/>
        <v>253</v>
      </c>
      <c r="X291" s="181">
        <f t="shared" si="67"/>
        <v>1</v>
      </c>
      <c r="Y291" s="37">
        <f t="shared" si="68"/>
        <v>1917.1</v>
      </c>
      <c r="Z291" s="181">
        <f t="shared" si="69"/>
        <v>324.5</v>
      </c>
      <c r="AA291" s="127">
        <f t="shared" si="70"/>
        <v>595.21331999999995</v>
      </c>
      <c r="AB291" s="127">
        <f t="shared" si="71"/>
        <v>595.21331999999995</v>
      </c>
      <c r="AC291" s="37">
        <f t="shared" si="59"/>
        <v>3971.2799199999999</v>
      </c>
      <c r="AD291" s="37">
        <f t="shared" si="72"/>
        <v>5888.3799199999994</v>
      </c>
      <c r="AE291" s="181">
        <f t="shared" si="60"/>
        <v>10</v>
      </c>
      <c r="AF291" s="37">
        <f t="shared" si="73"/>
        <v>7020</v>
      </c>
      <c r="AG291" s="181">
        <f t="shared" si="61"/>
        <v>415.5</v>
      </c>
      <c r="AH291" s="111">
        <f t="shared" si="74"/>
        <v>276.44975999999997</v>
      </c>
      <c r="AI291" s="127">
        <f t="shared" si="75"/>
        <v>415.5</v>
      </c>
      <c r="AJ291" s="37">
        <f t="shared" si="62"/>
        <v>2893</v>
      </c>
      <c r="AK291" s="37">
        <f t="shared" si="76"/>
        <v>9913</v>
      </c>
      <c r="AL291" s="37">
        <f t="shared" si="64"/>
        <v>23.27422893280632</v>
      </c>
      <c r="AN291" s="37" t="str">
        <f t="shared" si="63"/>
        <v>Pallet</v>
      </c>
      <c r="AO291" s="194">
        <f t="shared" si="77"/>
        <v>10</v>
      </c>
    </row>
    <row r="292" spans="22:41" x14ac:dyDescent="0.2">
      <c r="V292" s="181">
        <f t="shared" si="65"/>
        <v>127</v>
      </c>
      <c r="W292" s="181">
        <f t="shared" si="66"/>
        <v>254</v>
      </c>
      <c r="X292" s="181">
        <f t="shared" si="67"/>
        <v>1</v>
      </c>
      <c r="Y292" s="37">
        <f t="shared" si="68"/>
        <v>1917.1</v>
      </c>
      <c r="Z292" s="181">
        <f t="shared" si="69"/>
        <v>325</v>
      </c>
      <c r="AA292" s="127">
        <f t="shared" si="70"/>
        <v>595.21331999999995</v>
      </c>
      <c r="AB292" s="127">
        <f t="shared" si="71"/>
        <v>595.21331999999995</v>
      </c>
      <c r="AC292" s="37">
        <f t="shared" si="59"/>
        <v>3971.2799199999999</v>
      </c>
      <c r="AD292" s="37">
        <f t="shared" si="72"/>
        <v>5888.3799199999994</v>
      </c>
      <c r="AE292" s="181">
        <f t="shared" si="60"/>
        <v>10</v>
      </c>
      <c r="AF292" s="37">
        <f t="shared" si="73"/>
        <v>7020</v>
      </c>
      <c r="AG292" s="181">
        <f t="shared" si="61"/>
        <v>416</v>
      </c>
      <c r="AH292" s="111">
        <f t="shared" si="74"/>
        <v>276.44975999999997</v>
      </c>
      <c r="AI292" s="127">
        <f t="shared" si="75"/>
        <v>416</v>
      </c>
      <c r="AJ292" s="37">
        <f t="shared" si="62"/>
        <v>2896</v>
      </c>
      <c r="AK292" s="37">
        <f t="shared" si="76"/>
        <v>9916</v>
      </c>
      <c r="AL292" s="37">
        <f t="shared" si="64"/>
        <v>23.182598110236217</v>
      </c>
      <c r="AN292" s="37" t="str">
        <f t="shared" si="63"/>
        <v>Pallet</v>
      </c>
      <c r="AO292" s="194">
        <f t="shared" si="77"/>
        <v>10</v>
      </c>
    </row>
    <row r="293" spans="22:41" x14ac:dyDescent="0.2">
      <c r="V293" s="181">
        <f t="shared" si="65"/>
        <v>127.5</v>
      </c>
      <c r="W293" s="181">
        <f t="shared" si="66"/>
        <v>255</v>
      </c>
      <c r="X293" s="181">
        <f t="shared" si="67"/>
        <v>1</v>
      </c>
      <c r="Y293" s="37">
        <f t="shared" si="68"/>
        <v>1917.1</v>
      </c>
      <c r="Z293" s="181">
        <f t="shared" si="69"/>
        <v>325.5</v>
      </c>
      <c r="AA293" s="127">
        <f t="shared" si="70"/>
        <v>595.21331999999995</v>
      </c>
      <c r="AB293" s="127">
        <f t="shared" si="71"/>
        <v>595.21331999999995</v>
      </c>
      <c r="AC293" s="37">
        <f t="shared" si="59"/>
        <v>3971.2799199999999</v>
      </c>
      <c r="AD293" s="37">
        <f t="shared" si="72"/>
        <v>5888.3799199999994</v>
      </c>
      <c r="AE293" s="181">
        <f t="shared" si="60"/>
        <v>10</v>
      </c>
      <c r="AF293" s="37">
        <f t="shared" si="73"/>
        <v>7020</v>
      </c>
      <c r="AG293" s="181">
        <f t="shared" si="61"/>
        <v>416.5</v>
      </c>
      <c r="AH293" s="111">
        <f t="shared" si="74"/>
        <v>276.44975999999997</v>
      </c>
      <c r="AI293" s="127">
        <f t="shared" si="75"/>
        <v>416.5</v>
      </c>
      <c r="AJ293" s="37">
        <f t="shared" si="62"/>
        <v>2899</v>
      </c>
      <c r="AK293" s="37">
        <f t="shared" si="76"/>
        <v>9919</v>
      </c>
      <c r="AL293" s="37">
        <f t="shared" si="64"/>
        <v>23.091685960784311</v>
      </c>
      <c r="AN293" s="37" t="str">
        <f t="shared" si="63"/>
        <v>Pallet</v>
      </c>
      <c r="AO293" s="194">
        <f t="shared" si="77"/>
        <v>10</v>
      </c>
    </row>
    <row r="294" spans="22:41" x14ac:dyDescent="0.2">
      <c r="V294" s="181">
        <f t="shared" si="65"/>
        <v>128</v>
      </c>
      <c r="W294" s="181">
        <f t="shared" si="66"/>
        <v>256</v>
      </c>
      <c r="X294" s="181">
        <f t="shared" si="67"/>
        <v>1</v>
      </c>
      <c r="Y294" s="37">
        <f t="shared" si="68"/>
        <v>1917.1</v>
      </c>
      <c r="Z294" s="181">
        <f t="shared" si="69"/>
        <v>326</v>
      </c>
      <c r="AA294" s="127">
        <f t="shared" si="70"/>
        <v>595.21331999999995</v>
      </c>
      <c r="AB294" s="127">
        <f t="shared" si="71"/>
        <v>595.21331999999995</v>
      </c>
      <c r="AC294" s="37">
        <f t="shared" si="59"/>
        <v>3971.2799199999999</v>
      </c>
      <c r="AD294" s="37">
        <f t="shared" si="72"/>
        <v>5888.3799199999994</v>
      </c>
      <c r="AE294" s="181">
        <f t="shared" si="60"/>
        <v>10</v>
      </c>
      <c r="AF294" s="37">
        <f t="shared" si="73"/>
        <v>7020</v>
      </c>
      <c r="AG294" s="181">
        <f t="shared" si="61"/>
        <v>417</v>
      </c>
      <c r="AH294" s="111">
        <f t="shared" si="74"/>
        <v>276.44975999999997</v>
      </c>
      <c r="AI294" s="127">
        <f t="shared" si="75"/>
        <v>417</v>
      </c>
      <c r="AJ294" s="37">
        <f t="shared" si="62"/>
        <v>2902</v>
      </c>
      <c r="AK294" s="37">
        <f t="shared" si="76"/>
        <v>9922</v>
      </c>
      <c r="AL294" s="37">
        <f t="shared" si="64"/>
        <v>23.001484062499998</v>
      </c>
      <c r="AN294" s="37" t="str">
        <f t="shared" si="63"/>
        <v>Pallet</v>
      </c>
      <c r="AO294" s="194">
        <f t="shared" si="77"/>
        <v>10</v>
      </c>
    </row>
    <row r="295" spans="22:41" x14ac:dyDescent="0.2">
      <c r="V295" s="181">
        <f t="shared" si="65"/>
        <v>128.5</v>
      </c>
      <c r="W295" s="181">
        <f t="shared" si="66"/>
        <v>257</v>
      </c>
      <c r="X295" s="181">
        <f t="shared" si="67"/>
        <v>1</v>
      </c>
      <c r="Y295" s="37">
        <f t="shared" si="68"/>
        <v>1917.1</v>
      </c>
      <c r="Z295" s="181">
        <f t="shared" si="69"/>
        <v>326.5</v>
      </c>
      <c r="AA295" s="127">
        <f t="shared" si="70"/>
        <v>595.21331999999995</v>
      </c>
      <c r="AB295" s="127">
        <f t="shared" si="71"/>
        <v>595.21331999999995</v>
      </c>
      <c r="AC295" s="37">
        <f t="shared" ref="AC295:AC358" si="78">(Shipping_perkg_first100*100)+((AB295-100)*Shipping_perkg_above100)</f>
        <v>3971.2799199999999</v>
      </c>
      <c r="AD295" s="37">
        <f t="shared" si="72"/>
        <v>5888.3799199999994</v>
      </c>
      <c r="AE295" s="181">
        <f t="shared" ref="AE295:AE358" si="79">ROUNDUP(W295/$N$19,0)</f>
        <v>10</v>
      </c>
      <c r="AF295" s="37">
        <f t="shared" si="73"/>
        <v>7020</v>
      </c>
      <c r="AG295" s="181">
        <f t="shared" ref="AG295:AG358" si="80">(AE295*$K$19)+V295</f>
        <v>417.5</v>
      </c>
      <c r="AH295" s="111">
        <f t="shared" si="74"/>
        <v>276.44975999999997</v>
      </c>
      <c r="AI295" s="127">
        <f t="shared" si="75"/>
        <v>417.5</v>
      </c>
      <c r="AJ295" s="37">
        <f t="shared" ref="AJ295:AJ358" si="81">IF(AI295&lt;=100,AI295*Shipping_perkg_first100,(Shipping_perkg_first100*100)+((AI295-100)*Shipping_perkg_above100))</f>
        <v>2905</v>
      </c>
      <c r="AK295" s="37">
        <f t="shared" si="76"/>
        <v>9925</v>
      </c>
      <c r="AL295" s="37">
        <f t="shared" si="64"/>
        <v>22.911984124513616</v>
      </c>
      <c r="AN295" s="37" t="str">
        <f t="shared" ref="AN295:AN358" si="82">IF(AD295&lt;AK295,"Pallet","Parcel")</f>
        <v>Pallet</v>
      </c>
      <c r="AO295" s="194">
        <f t="shared" si="77"/>
        <v>10</v>
      </c>
    </row>
    <row r="296" spans="22:41" x14ac:dyDescent="0.2">
      <c r="V296" s="181">
        <f t="shared" si="65"/>
        <v>129</v>
      </c>
      <c r="W296" s="181">
        <f t="shared" si="66"/>
        <v>258</v>
      </c>
      <c r="X296" s="181">
        <f t="shared" si="67"/>
        <v>1</v>
      </c>
      <c r="Y296" s="37">
        <f t="shared" si="68"/>
        <v>1917.1</v>
      </c>
      <c r="Z296" s="181">
        <f t="shared" si="69"/>
        <v>327</v>
      </c>
      <c r="AA296" s="127">
        <f t="shared" si="70"/>
        <v>595.21331999999995</v>
      </c>
      <c r="AB296" s="127">
        <f t="shared" si="71"/>
        <v>595.21331999999995</v>
      </c>
      <c r="AC296" s="37">
        <f t="shared" si="78"/>
        <v>3971.2799199999999</v>
      </c>
      <c r="AD296" s="37">
        <f t="shared" si="72"/>
        <v>5888.3799199999994</v>
      </c>
      <c r="AE296" s="181">
        <f t="shared" si="79"/>
        <v>10</v>
      </c>
      <c r="AF296" s="37">
        <f t="shared" si="73"/>
        <v>7020</v>
      </c>
      <c r="AG296" s="181">
        <f t="shared" si="80"/>
        <v>418</v>
      </c>
      <c r="AH296" s="111">
        <f t="shared" si="74"/>
        <v>276.44975999999997</v>
      </c>
      <c r="AI296" s="127">
        <f t="shared" si="75"/>
        <v>418</v>
      </c>
      <c r="AJ296" s="37">
        <f t="shared" si="81"/>
        <v>2908</v>
      </c>
      <c r="AK296" s="37">
        <f t="shared" si="76"/>
        <v>9928</v>
      </c>
      <c r="AL296" s="37">
        <f t="shared" ref="AL296:AL359" si="83">MIN(AD296,AK296)/W296</f>
        <v>22.823177984496123</v>
      </c>
      <c r="AN296" s="37" t="str">
        <f t="shared" si="82"/>
        <v>Pallet</v>
      </c>
      <c r="AO296" s="194">
        <f t="shared" si="77"/>
        <v>10</v>
      </c>
    </row>
    <row r="297" spans="22:41" x14ac:dyDescent="0.2">
      <c r="V297" s="181">
        <f t="shared" ref="V297:V360" si="84">W297*$V$37</f>
        <v>129.5</v>
      </c>
      <c r="W297" s="181">
        <f t="shared" ref="W297:W360" si="85">W296+1</f>
        <v>259</v>
      </c>
      <c r="X297" s="181">
        <f t="shared" ref="X297:X360" si="86">ROUNDUP(W297/$N$29,0)</f>
        <v>1</v>
      </c>
      <c r="Y297" s="37">
        <f t="shared" ref="Y297:Y360" si="87">X297*$P$29</f>
        <v>1917.1</v>
      </c>
      <c r="Z297" s="181">
        <f t="shared" ref="Z297:Z360" si="88">V297+(X297*$K$29)</f>
        <v>327.5</v>
      </c>
      <c r="AA297" s="127">
        <f t="shared" ref="AA297:AA360" si="89">X297*$T$29</f>
        <v>595.21331999999995</v>
      </c>
      <c r="AB297" s="127">
        <f t="shared" ref="AB297:AB360" si="90">MAX(Z297,AA297)</f>
        <v>595.21331999999995</v>
      </c>
      <c r="AC297" s="37">
        <f t="shared" si="78"/>
        <v>3971.2799199999999</v>
      </c>
      <c r="AD297" s="37">
        <f t="shared" ref="AD297:AD360" si="91">Y297+AC297</f>
        <v>5888.3799199999994</v>
      </c>
      <c r="AE297" s="181">
        <f t="shared" si="79"/>
        <v>11</v>
      </c>
      <c r="AF297" s="37">
        <f t="shared" ref="AF297:AF360" si="92">AE297*$P$19</f>
        <v>7722</v>
      </c>
      <c r="AG297" s="181">
        <f t="shared" si="80"/>
        <v>447.4</v>
      </c>
      <c r="AH297" s="111">
        <f t="shared" ref="AH297:AH360" si="93">AE297*$X$19</f>
        <v>304.09473599999995</v>
      </c>
      <c r="AI297" s="127">
        <f t="shared" ref="AI297:AI360" si="94">MAX(AG297,AH297)</f>
        <v>447.4</v>
      </c>
      <c r="AJ297" s="37">
        <f t="shared" si="81"/>
        <v>3084.3999999999996</v>
      </c>
      <c r="AK297" s="37">
        <f t="shared" ref="AK297:AK360" si="95">AF297+AJ297</f>
        <v>10806.4</v>
      </c>
      <c r="AL297" s="37">
        <f t="shared" si="83"/>
        <v>22.735057606177605</v>
      </c>
      <c r="AN297" s="37" t="str">
        <f t="shared" si="82"/>
        <v>Pallet</v>
      </c>
      <c r="AO297" s="194">
        <f t="shared" ref="AO297:AO360" si="96">AE296</f>
        <v>10</v>
      </c>
    </row>
    <row r="298" spans="22:41" x14ac:dyDescent="0.2">
      <c r="V298" s="181">
        <f t="shared" si="84"/>
        <v>130</v>
      </c>
      <c r="W298" s="181">
        <f t="shared" si="85"/>
        <v>260</v>
      </c>
      <c r="X298" s="181">
        <f t="shared" si="86"/>
        <v>1</v>
      </c>
      <c r="Y298" s="37">
        <f t="shared" si="87"/>
        <v>1917.1</v>
      </c>
      <c r="Z298" s="181">
        <f t="shared" si="88"/>
        <v>328</v>
      </c>
      <c r="AA298" s="127">
        <f t="shared" si="89"/>
        <v>595.21331999999995</v>
      </c>
      <c r="AB298" s="127">
        <f t="shared" si="90"/>
        <v>595.21331999999995</v>
      </c>
      <c r="AC298" s="37">
        <f t="shared" si="78"/>
        <v>3971.2799199999999</v>
      </c>
      <c r="AD298" s="37">
        <f t="shared" si="91"/>
        <v>5888.3799199999994</v>
      </c>
      <c r="AE298" s="181">
        <f t="shared" si="79"/>
        <v>11</v>
      </c>
      <c r="AF298" s="37">
        <f t="shared" si="92"/>
        <v>7722</v>
      </c>
      <c r="AG298" s="181">
        <f t="shared" si="80"/>
        <v>447.9</v>
      </c>
      <c r="AH298" s="111">
        <f t="shared" si="93"/>
        <v>304.09473599999995</v>
      </c>
      <c r="AI298" s="127">
        <f t="shared" si="94"/>
        <v>447.9</v>
      </c>
      <c r="AJ298" s="37">
        <f t="shared" si="81"/>
        <v>3087.3999999999996</v>
      </c>
      <c r="AK298" s="37">
        <f t="shared" si="95"/>
        <v>10809.4</v>
      </c>
      <c r="AL298" s="37">
        <f t="shared" si="83"/>
        <v>22.647615076923074</v>
      </c>
      <c r="AN298" s="37" t="str">
        <f t="shared" si="82"/>
        <v>Pallet</v>
      </c>
      <c r="AO298" s="194">
        <f t="shared" si="96"/>
        <v>11</v>
      </c>
    </row>
    <row r="299" spans="22:41" x14ac:dyDescent="0.2">
      <c r="V299" s="181">
        <f t="shared" si="84"/>
        <v>130.5</v>
      </c>
      <c r="W299" s="181">
        <f t="shared" si="85"/>
        <v>261</v>
      </c>
      <c r="X299" s="181">
        <f t="shared" si="86"/>
        <v>1</v>
      </c>
      <c r="Y299" s="37">
        <f t="shared" si="87"/>
        <v>1917.1</v>
      </c>
      <c r="Z299" s="181">
        <f t="shared" si="88"/>
        <v>328.5</v>
      </c>
      <c r="AA299" s="127">
        <f t="shared" si="89"/>
        <v>595.21331999999995</v>
      </c>
      <c r="AB299" s="127">
        <f t="shared" si="90"/>
        <v>595.21331999999995</v>
      </c>
      <c r="AC299" s="37">
        <f t="shared" si="78"/>
        <v>3971.2799199999999</v>
      </c>
      <c r="AD299" s="37">
        <f t="shared" si="91"/>
        <v>5888.3799199999994</v>
      </c>
      <c r="AE299" s="181">
        <f t="shared" si="79"/>
        <v>11</v>
      </c>
      <c r="AF299" s="37">
        <f t="shared" si="92"/>
        <v>7722</v>
      </c>
      <c r="AG299" s="181">
        <f t="shared" si="80"/>
        <v>448.4</v>
      </c>
      <c r="AH299" s="111">
        <f t="shared" si="93"/>
        <v>304.09473599999995</v>
      </c>
      <c r="AI299" s="127">
        <f t="shared" si="94"/>
        <v>448.4</v>
      </c>
      <c r="AJ299" s="37">
        <f t="shared" si="81"/>
        <v>3090.3999999999996</v>
      </c>
      <c r="AK299" s="37">
        <f t="shared" si="95"/>
        <v>10812.4</v>
      </c>
      <c r="AL299" s="37">
        <f t="shared" si="83"/>
        <v>22.560842605363984</v>
      </c>
      <c r="AN299" s="37" t="str">
        <f t="shared" si="82"/>
        <v>Pallet</v>
      </c>
      <c r="AO299" s="194">
        <f t="shared" si="96"/>
        <v>11</v>
      </c>
    </row>
    <row r="300" spans="22:41" x14ac:dyDescent="0.2">
      <c r="V300" s="181">
        <f t="shared" si="84"/>
        <v>131</v>
      </c>
      <c r="W300" s="181">
        <f t="shared" si="85"/>
        <v>262</v>
      </c>
      <c r="X300" s="181">
        <f t="shared" si="86"/>
        <v>1</v>
      </c>
      <c r="Y300" s="37">
        <f t="shared" si="87"/>
        <v>1917.1</v>
      </c>
      <c r="Z300" s="181">
        <f t="shared" si="88"/>
        <v>329</v>
      </c>
      <c r="AA300" s="127">
        <f t="shared" si="89"/>
        <v>595.21331999999995</v>
      </c>
      <c r="AB300" s="127">
        <f t="shared" si="90"/>
        <v>595.21331999999995</v>
      </c>
      <c r="AC300" s="37">
        <f t="shared" si="78"/>
        <v>3971.2799199999999</v>
      </c>
      <c r="AD300" s="37">
        <f t="shared" si="91"/>
        <v>5888.3799199999994</v>
      </c>
      <c r="AE300" s="181">
        <f t="shared" si="79"/>
        <v>11</v>
      </c>
      <c r="AF300" s="37">
        <f t="shared" si="92"/>
        <v>7722</v>
      </c>
      <c r="AG300" s="181">
        <f t="shared" si="80"/>
        <v>448.9</v>
      </c>
      <c r="AH300" s="111">
        <f t="shared" si="93"/>
        <v>304.09473599999995</v>
      </c>
      <c r="AI300" s="127">
        <f t="shared" si="94"/>
        <v>448.9</v>
      </c>
      <c r="AJ300" s="37">
        <f t="shared" si="81"/>
        <v>3093.3999999999996</v>
      </c>
      <c r="AK300" s="37">
        <f t="shared" si="95"/>
        <v>10815.4</v>
      </c>
      <c r="AL300" s="37">
        <f t="shared" si="83"/>
        <v>22.474732519083968</v>
      </c>
      <c r="AN300" s="37" t="str">
        <f t="shared" si="82"/>
        <v>Pallet</v>
      </c>
      <c r="AO300" s="194">
        <f t="shared" si="96"/>
        <v>11</v>
      </c>
    </row>
    <row r="301" spans="22:41" x14ac:dyDescent="0.2">
      <c r="V301" s="181">
        <f t="shared" si="84"/>
        <v>131.5</v>
      </c>
      <c r="W301" s="181">
        <f t="shared" si="85"/>
        <v>263</v>
      </c>
      <c r="X301" s="181">
        <f t="shared" si="86"/>
        <v>1</v>
      </c>
      <c r="Y301" s="37">
        <f t="shared" si="87"/>
        <v>1917.1</v>
      </c>
      <c r="Z301" s="181">
        <f t="shared" si="88"/>
        <v>329.5</v>
      </c>
      <c r="AA301" s="127">
        <f t="shared" si="89"/>
        <v>595.21331999999995</v>
      </c>
      <c r="AB301" s="127">
        <f t="shared" si="90"/>
        <v>595.21331999999995</v>
      </c>
      <c r="AC301" s="37">
        <f t="shared" si="78"/>
        <v>3971.2799199999999</v>
      </c>
      <c r="AD301" s="37">
        <f t="shared" si="91"/>
        <v>5888.3799199999994</v>
      </c>
      <c r="AE301" s="181">
        <f t="shared" si="79"/>
        <v>11</v>
      </c>
      <c r="AF301" s="37">
        <f t="shared" si="92"/>
        <v>7722</v>
      </c>
      <c r="AG301" s="181">
        <f t="shared" si="80"/>
        <v>449.4</v>
      </c>
      <c r="AH301" s="111">
        <f t="shared" si="93"/>
        <v>304.09473599999995</v>
      </c>
      <c r="AI301" s="127">
        <f t="shared" si="94"/>
        <v>449.4</v>
      </c>
      <c r="AJ301" s="37">
        <f t="shared" si="81"/>
        <v>3096.3999999999996</v>
      </c>
      <c r="AK301" s="37">
        <f t="shared" si="95"/>
        <v>10818.4</v>
      </c>
      <c r="AL301" s="37">
        <f t="shared" si="83"/>
        <v>22.389277262357414</v>
      </c>
      <c r="AN301" s="37" t="str">
        <f t="shared" si="82"/>
        <v>Pallet</v>
      </c>
      <c r="AO301" s="194">
        <f t="shared" si="96"/>
        <v>11</v>
      </c>
    </row>
    <row r="302" spans="22:41" x14ac:dyDescent="0.2">
      <c r="V302" s="181">
        <f t="shared" si="84"/>
        <v>132</v>
      </c>
      <c r="W302" s="181">
        <f t="shared" si="85"/>
        <v>264</v>
      </c>
      <c r="X302" s="181">
        <f t="shared" si="86"/>
        <v>1</v>
      </c>
      <c r="Y302" s="37">
        <f t="shared" si="87"/>
        <v>1917.1</v>
      </c>
      <c r="Z302" s="181">
        <f t="shared" si="88"/>
        <v>330</v>
      </c>
      <c r="AA302" s="127">
        <f t="shared" si="89"/>
        <v>595.21331999999995</v>
      </c>
      <c r="AB302" s="127">
        <f t="shared" si="90"/>
        <v>595.21331999999995</v>
      </c>
      <c r="AC302" s="37">
        <f t="shared" si="78"/>
        <v>3971.2799199999999</v>
      </c>
      <c r="AD302" s="37">
        <f t="shared" si="91"/>
        <v>5888.3799199999994</v>
      </c>
      <c r="AE302" s="181">
        <f t="shared" si="79"/>
        <v>11</v>
      </c>
      <c r="AF302" s="37">
        <f t="shared" si="92"/>
        <v>7722</v>
      </c>
      <c r="AG302" s="181">
        <f t="shared" si="80"/>
        <v>449.9</v>
      </c>
      <c r="AH302" s="111">
        <f t="shared" si="93"/>
        <v>304.09473599999995</v>
      </c>
      <c r="AI302" s="127">
        <f t="shared" si="94"/>
        <v>449.9</v>
      </c>
      <c r="AJ302" s="37">
        <f t="shared" si="81"/>
        <v>3099.3999999999996</v>
      </c>
      <c r="AK302" s="37">
        <f t="shared" si="95"/>
        <v>10821.4</v>
      </c>
      <c r="AL302" s="37">
        <f t="shared" si="83"/>
        <v>22.304469393939392</v>
      </c>
      <c r="AN302" s="37" t="str">
        <f t="shared" si="82"/>
        <v>Pallet</v>
      </c>
      <c r="AO302" s="194">
        <f t="shared" si="96"/>
        <v>11</v>
      </c>
    </row>
    <row r="303" spans="22:41" x14ac:dyDescent="0.2">
      <c r="V303" s="181">
        <f t="shared" si="84"/>
        <v>132.5</v>
      </c>
      <c r="W303" s="181">
        <f t="shared" si="85"/>
        <v>265</v>
      </c>
      <c r="X303" s="181">
        <f t="shared" si="86"/>
        <v>1</v>
      </c>
      <c r="Y303" s="37">
        <f t="shared" si="87"/>
        <v>1917.1</v>
      </c>
      <c r="Z303" s="181">
        <f t="shared" si="88"/>
        <v>330.5</v>
      </c>
      <c r="AA303" s="127">
        <f t="shared" si="89"/>
        <v>595.21331999999995</v>
      </c>
      <c r="AB303" s="127">
        <f t="shared" si="90"/>
        <v>595.21331999999995</v>
      </c>
      <c r="AC303" s="37">
        <f t="shared" si="78"/>
        <v>3971.2799199999999</v>
      </c>
      <c r="AD303" s="37">
        <f t="shared" si="91"/>
        <v>5888.3799199999994</v>
      </c>
      <c r="AE303" s="181">
        <f t="shared" si="79"/>
        <v>11</v>
      </c>
      <c r="AF303" s="37">
        <f t="shared" si="92"/>
        <v>7722</v>
      </c>
      <c r="AG303" s="181">
        <f t="shared" si="80"/>
        <v>450.4</v>
      </c>
      <c r="AH303" s="111">
        <f t="shared" si="93"/>
        <v>304.09473599999995</v>
      </c>
      <c r="AI303" s="127">
        <f t="shared" si="94"/>
        <v>450.4</v>
      </c>
      <c r="AJ303" s="37">
        <f t="shared" si="81"/>
        <v>3102.3999999999996</v>
      </c>
      <c r="AK303" s="37">
        <f t="shared" si="95"/>
        <v>10824.4</v>
      </c>
      <c r="AL303" s="37">
        <f t="shared" si="83"/>
        <v>22.220301584905659</v>
      </c>
      <c r="AN303" s="37" t="str">
        <f t="shared" si="82"/>
        <v>Pallet</v>
      </c>
      <c r="AO303" s="194">
        <f t="shared" si="96"/>
        <v>11</v>
      </c>
    </row>
    <row r="304" spans="22:41" x14ac:dyDescent="0.2">
      <c r="V304" s="181">
        <f t="shared" si="84"/>
        <v>133</v>
      </c>
      <c r="W304" s="181">
        <f t="shared" si="85"/>
        <v>266</v>
      </c>
      <c r="X304" s="181">
        <f t="shared" si="86"/>
        <v>1</v>
      </c>
      <c r="Y304" s="37">
        <f t="shared" si="87"/>
        <v>1917.1</v>
      </c>
      <c r="Z304" s="181">
        <f t="shared" si="88"/>
        <v>331</v>
      </c>
      <c r="AA304" s="127">
        <f t="shared" si="89"/>
        <v>595.21331999999995</v>
      </c>
      <c r="AB304" s="127">
        <f t="shared" si="90"/>
        <v>595.21331999999995</v>
      </c>
      <c r="AC304" s="37">
        <f t="shared" si="78"/>
        <v>3971.2799199999999</v>
      </c>
      <c r="AD304" s="37">
        <f t="shared" si="91"/>
        <v>5888.3799199999994</v>
      </c>
      <c r="AE304" s="181">
        <f t="shared" si="79"/>
        <v>11</v>
      </c>
      <c r="AF304" s="37">
        <f t="shared" si="92"/>
        <v>7722</v>
      </c>
      <c r="AG304" s="181">
        <f t="shared" si="80"/>
        <v>450.9</v>
      </c>
      <c r="AH304" s="111">
        <f t="shared" si="93"/>
        <v>304.09473599999995</v>
      </c>
      <c r="AI304" s="127">
        <f t="shared" si="94"/>
        <v>450.9</v>
      </c>
      <c r="AJ304" s="37">
        <f t="shared" si="81"/>
        <v>3105.3999999999996</v>
      </c>
      <c r="AK304" s="37">
        <f t="shared" si="95"/>
        <v>10827.4</v>
      </c>
      <c r="AL304" s="37">
        <f t="shared" si="83"/>
        <v>22.136766616541351</v>
      </c>
      <c r="AN304" s="37" t="str">
        <f t="shared" si="82"/>
        <v>Pallet</v>
      </c>
      <c r="AO304" s="194">
        <f t="shared" si="96"/>
        <v>11</v>
      </c>
    </row>
    <row r="305" spans="22:41" x14ac:dyDescent="0.2">
      <c r="V305" s="181">
        <f t="shared" si="84"/>
        <v>133.5</v>
      </c>
      <c r="W305" s="181">
        <f t="shared" si="85"/>
        <v>267</v>
      </c>
      <c r="X305" s="181">
        <f t="shared" si="86"/>
        <v>1</v>
      </c>
      <c r="Y305" s="37">
        <f t="shared" si="87"/>
        <v>1917.1</v>
      </c>
      <c r="Z305" s="181">
        <f t="shared" si="88"/>
        <v>331.5</v>
      </c>
      <c r="AA305" s="127">
        <f t="shared" si="89"/>
        <v>595.21331999999995</v>
      </c>
      <c r="AB305" s="127">
        <f t="shared" si="90"/>
        <v>595.21331999999995</v>
      </c>
      <c r="AC305" s="37">
        <f t="shared" si="78"/>
        <v>3971.2799199999999</v>
      </c>
      <c r="AD305" s="37">
        <f t="shared" si="91"/>
        <v>5888.3799199999994</v>
      </c>
      <c r="AE305" s="181">
        <f t="shared" si="79"/>
        <v>11</v>
      </c>
      <c r="AF305" s="37">
        <f t="shared" si="92"/>
        <v>7722</v>
      </c>
      <c r="AG305" s="181">
        <f t="shared" si="80"/>
        <v>451.4</v>
      </c>
      <c r="AH305" s="111">
        <f t="shared" si="93"/>
        <v>304.09473599999995</v>
      </c>
      <c r="AI305" s="127">
        <f t="shared" si="94"/>
        <v>451.4</v>
      </c>
      <c r="AJ305" s="37">
        <f t="shared" si="81"/>
        <v>3108.3999999999996</v>
      </c>
      <c r="AK305" s="37">
        <f t="shared" si="95"/>
        <v>10830.4</v>
      </c>
      <c r="AL305" s="37">
        <f t="shared" si="83"/>
        <v>22.053857378277151</v>
      </c>
      <c r="AN305" s="37" t="str">
        <f t="shared" si="82"/>
        <v>Pallet</v>
      </c>
      <c r="AO305" s="194">
        <f t="shared" si="96"/>
        <v>11</v>
      </c>
    </row>
    <row r="306" spans="22:41" x14ac:dyDescent="0.2">
      <c r="V306" s="181">
        <f t="shared" si="84"/>
        <v>134</v>
      </c>
      <c r="W306" s="181">
        <f t="shared" si="85"/>
        <v>268</v>
      </c>
      <c r="X306" s="181">
        <f t="shared" si="86"/>
        <v>1</v>
      </c>
      <c r="Y306" s="37">
        <f t="shared" si="87"/>
        <v>1917.1</v>
      </c>
      <c r="Z306" s="181">
        <f t="shared" si="88"/>
        <v>332</v>
      </c>
      <c r="AA306" s="127">
        <f t="shared" si="89"/>
        <v>595.21331999999995</v>
      </c>
      <c r="AB306" s="127">
        <f t="shared" si="90"/>
        <v>595.21331999999995</v>
      </c>
      <c r="AC306" s="37">
        <f t="shared" si="78"/>
        <v>3971.2799199999999</v>
      </c>
      <c r="AD306" s="37">
        <f t="shared" si="91"/>
        <v>5888.3799199999994</v>
      </c>
      <c r="AE306" s="181">
        <f t="shared" si="79"/>
        <v>11</v>
      </c>
      <c r="AF306" s="37">
        <f t="shared" si="92"/>
        <v>7722</v>
      </c>
      <c r="AG306" s="181">
        <f t="shared" si="80"/>
        <v>451.9</v>
      </c>
      <c r="AH306" s="111">
        <f t="shared" si="93"/>
        <v>304.09473599999995</v>
      </c>
      <c r="AI306" s="127">
        <f t="shared" si="94"/>
        <v>451.9</v>
      </c>
      <c r="AJ306" s="37">
        <f t="shared" si="81"/>
        <v>3111.3999999999996</v>
      </c>
      <c r="AK306" s="37">
        <f t="shared" si="95"/>
        <v>10833.4</v>
      </c>
      <c r="AL306" s="37">
        <f t="shared" si="83"/>
        <v>21.97156686567164</v>
      </c>
      <c r="AN306" s="37" t="str">
        <f t="shared" si="82"/>
        <v>Pallet</v>
      </c>
      <c r="AO306" s="194">
        <f t="shared" si="96"/>
        <v>11</v>
      </c>
    </row>
    <row r="307" spans="22:41" x14ac:dyDescent="0.2">
      <c r="V307" s="181">
        <f t="shared" si="84"/>
        <v>134.5</v>
      </c>
      <c r="W307" s="181">
        <f t="shared" si="85"/>
        <v>269</v>
      </c>
      <c r="X307" s="181">
        <f t="shared" si="86"/>
        <v>1</v>
      </c>
      <c r="Y307" s="37">
        <f t="shared" si="87"/>
        <v>1917.1</v>
      </c>
      <c r="Z307" s="181">
        <f t="shared" si="88"/>
        <v>332.5</v>
      </c>
      <c r="AA307" s="127">
        <f t="shared" si="89"/>
        <v>595.21331999999995</v>
      </c>
      <c r="AB307" s="127">
        <f t="shared" si="90"/>
        <v>595.21331999999995</v>
      </c>
      <c r="AC307" s="37">
        <f t="shared" si="78"/>
        <v>3971.2799199999999</v>
      </c>
      <c r="AD307" s="37">
        <f t="shared" si="91"/>
        <v>5888.3799199999994</v>
      </c>
      <c r="AE307" s="181">
        <f t="shared" si="79"/>
        <v>11</v>
      </c>
      <c r="AF307" s="37">
        <f t="shared" si="92"/>
        <v>7722</v>
      </c>
      <c r="AG307" s="181">
        <f t="shared" si="80"/>
        <v>452.4</v>
      </c>
      <c r="AH307" s="111">
        <f t="shared" si="93"/>
        <v>304.09473599999995</v>
      </c>
      <c r="AI307" s="127">
        <f t="shared" si="94"/>
        <v>452.4</v>
      </c>
      <c r="AJ307" s="37">
        <f t="shared" si="81"/>
        <v>3114.3999999999996</v>
      </c>
      <c r="AK307" s="37">
        <f t="shared" si="95"/>
        <v>10836.4</v>
      </c>
      <c r="AL307" s="37">
        <f t="shared" si="83"/>
        <v>21.88988817843866</v>
      </c>
      <c r="AN307" s="37" t="str">
        <f t="shared" si="82"/>
        <v>Pallet</v>
      </c>
      <c r="AO307" s="194">
        <f t="shared" si="96"/>
        <v>11</v>
      </c>
    </row>
    <row r="308" spans="22:41" x14ac:dyDescent="0.2">
      <c r="V308" s="181">
        <f t="shared" si="84"/>
        <v>135</v>
      </c>
      <c r="W308" s="181">
        <f t="shared" si="85"/>
        <v>270</v>
      </c>
      <c r="X308" s="181">
        <f t="shared" si="86"/>
        <v>1</v>
      </c>
      <c r="Y308" s="37">
        <f t="shared" si="87"/>
        <v>1917.1</v>
      </c>
      <c r="Z308" s="181">
        <f t="shared" si="88"/>
        <v>333</v>
      </c>
      <c r="AA308" s="127">
        <f t="shared" si="89"/>
        <v>595.21331999999995</v>
      </c>
      <c r="AB308" s="127">
        <f t="shared" si="90"/>
        <v>595.21331999999995</v>
      </c>
      <c r="AC308" s="37">
        <f t="shared" si="78"/>
        <v>3971.2799199999999</v>
      </c>
      <c r="AD308" s="37">
        <f t="shared" si="91"/>
        <v>5888.3799199999994</v>
      </c>
      <c r="AE308" s="181">
        <f t="shared" si="79"/>
        <v>11</v>
      </c>
      <c r="AF308" s="37">
        <f t="shared" si="92"/>
        <v>7722</v>
      </c>
      <c r="AG308" s="181">
        <f t="shared" si="80"/>
        <v>452.9</v>
      </c>
      <c r="AH308" s="111">
        <f t="shared" si="93"/>
        <v>304.09473599999995</v>
      </c>
      <c r="AI308" s="127">
        <f t="shared" si="94"/>
        <v>452.9</v>
      </c>
      <c r="AJ308" s="37">
        <f t="shared" si="81"/>
        <v>3117.3999999999996</v>
      </c>
      <c r="AK308" s="37">
        <f t="shared" si="95"/>
        <v>10839.4</v>
      </c>
      <c r="AL308" s="37">
        <f t="shared" si="83"/>
        <v>21.808814518518517</v>
      </c>
      <c r="AN308" s="37" t="str">
        <f t="shared" si="82"/>
        <v>Pallet</v>
      </c>
      <c r="AO308" s="194">
        <f t="shared" si="96"/>
        <v>11</v>
      </c>
    </row>
    <row r="309" spans="22:41" x14ac:dyDescent="0.2">
      <c r="V309" s="181">
        <f t="shared" si="84"/>
        <v>135.5</v>
      </c>
      <c r="W309" s="181">
        <f t="shared" si="85"/>
        <v>271</v>
      </c>
      <c r="X309" s="181">
        <f t="shared" si="86"/>
        <v>1</v>
      </c>
      <c r="Y309" s="37">
        <f t="shared" si="87"/>
        <v>1917.1</v>
      </c>
      <c r="Z309" s="181">
        <f t="shared" si="88"/>
        <v>333.5</v>
      </c>
      <c r="AA309" s="127">
        <f t="shared" si="89"/>
        <v>595.21331999999995</v>
      </c>
      <c r="AB309" s="127">
        <f t="shared" si="90"/>
        <v>595.21331999999995</v>
      </c>
      <c r="AC309" s="37">
        <f t="shared" si="78"/>
        <v>3971.2799199999999</v>
      </c>
      <c r="AD309" s="37">
        <f t="shared" si="91"/>
        <v>5888.3799199999994</v>
      </c>
      <c r="AE309" s="181">
        <f t="shared" si="79"/>
        <v>11</v>
      </c>
      <c r="AF309" s="37">
        <f t="shared" si="92"/>
        <v>7722</v>
      </c>
      <c r="AG309" s="181">
        <f t="shared" si="80"/>
        <v>453.4</v>
      </c>
      <c r="AH309" s="111">
        <f t="shared" si="93"/>
        <v>304.09473599999995</v>
      </c>
      <c r="AI309" s="127">
        <f t="shared" si="94"/>
        <v>453.4</v>
      </c>
      <c r="AJ309" s="37">
        <f t="shared" si="81"/>
        <v>3120.3999999999996</v>
      </c>
      <c r="AK309" s="37">
        <f t="shared" si="95"/>
        <v>10842.4</v>
      </c>
      <c r="AL309" s="37">
        <f t="shared" si="83"/>
        <v>21.728339188191878</v>
      </c>
      <c r="AN309" s="37" t="str">
        <f t="shared" si="82"/>
        <v>Pallet</v>
      </c>
      <c r="AO309" s="194">
        <f t="shared" si="96"/>
        <v>11</v>
      </c>
    </row>
    <row r="310" spans="22:41" x14ac:dyDescent="0.2">
      <c r="V310" s="181">
        <f t="shared" si="84"/>
        <v>136</v>
      </c>
      <c r="W310" s="181">
        <f t="shared" si="85"/>
        <v>272</v>
      </c>
      <c r="X310" s="181">
        <f t="shared" si="86"/>
        <v>1</v>
      </c>
      <c r="Y310" s="37">
        <f t="shared" si="87"/>
        <v>1917.1</v>
      </c>
      <c r="Z310" s="181">
        <f t="shared" si="88"/>
        <v>334</v>
      </c>
      <c r="AA310" s="127">
        <f t="shared" si="89"/>
        <v>595.21331999999995</v>
      </c>
      <c r="AB310" s="127">
        <f t="shared" si="90"/>
        <v>595.21331999999995</v>
      </c>
      <c r="AC310" s="37">
        <f t="shared" si="78"/>
        <v>3971.2799199999999</v>
      </c>
      <c r="AD310" s="37">
        <f t="shared" si="91"/>
        <v>5888.3799199999994</v>
      </c>
      <c r="AE310" s="181">
        <f t="shared" si="79"/>
        <v>11</v>
      </c>
      <c r="AF310" s="37">
        <f t="shared" si="92"/>
        <v>7722</v>
      </c>
      <c r="AG310" s="181">
        <f t="shared" si="80"/>
        <v>453.9</v>
      </c>
      <c r="AH310" s="111">
        <f t="shared" si="93"/>
        <v>304.09473599999995</v>
      </c>
      <c r="AI310" s="127">
        <f t="shared" si="94"/>
        <v>453.9</v>
      </c>
      <c r="AJ310" s="37">
        <f t="shared" si="81"/>
        <v>3123.3999999999996</v>
      </c>
      <c r="AK310" s="37">
        <f t="shared" si="95"/>
        <v>10845.4</v>
      </c>
      <c r="AL310" s="37">
        <f t="shared" si="83"/>
        <v>21.648455588235294</v>
      </c>
      <c r="AN310" s="37" t="str">
        <f t="shared" si="82"/>
        <v>Pallet</v>
      </c>
      <c r="AO310" s="194">
        <f t="shared" si="96"/>
        <v>11</v>
      </c>
    </row>
    <row r="311" spans="22:41" x14ac:dyDescent="0.2">
      <c r="V311" s="181">
        <f t="shared" si="84"/>
        <v>136.5</v>
      </c>
      <c r="W311" s="181">
        <f t="shared" si="85"/>
        <v>273</v>
      </c>
      <c r="X311" s="181">
        <f t="shared" si="86"/>
        <v>1</v>
      </c>
      <c r="Y311" s="37">
        <f t="shared" si="87"/>
        <v>1917.1</v>
      </c>
      <c r="Z311" s="181">
        <f t="shared" si="88"/>
        <v>334.5</v>
      </c>
      <c r="AA311" s="127">
        <f t="shared" si="89"/>
        <v>595.21331999999995</v>
      </c>
      <c r="AB311" s="127">
        <f t="shared" si="90"/>
        <v>595.21331999999995</v>
      </c>
      <c r="AC311" s="37">
        <f t="shared" si="78"/>
        <v>3971.2799199999999</v>
      </c>
      <c r="AD311" s="37">
        <f t="shared" si="91"/>
        <v>5888.3799199999994</v>
      </c>
      <c r="AE311" s="181">
        <f t="shared" si="79"/>
        <v>11</v>
      </c>
      <c r="AF311" s="37">
        <f t="shared" si="92"/>
        <v>7722</v>
      </c>
      <c r="AG311" s="181">
        <f t="shared" si="80"/>
        <v>454.4</v>
      </c>
      <c r="AH311" s="111">
        <f t="shared" si="93"/>
        <v>304.09473599999995</v>
      </c>
      <c r="AI311" s="127">
        <f t="shared" si="94"/>
        <v>454.4</v>
      </c>
      <c r="AJ311" s="37">
        <f t="shared" si="81"/>
        <v>3126.3999999999996</v>
      </c>
      <c r="AK311" s="37">
        <f t="shared" si="95"/>
        <v>10848.4</v>
      </c>
      <c r="AL311" s="37">
        <f t="shared" si="83"/>
        <v>21.569157216117215</v>
      </c>
      <c r="AN311" s="37" t="str">
        <f t="shared" si="82"/>
        <v>Pallet</v>
      </c>
      <c r="AO311" s="194">
        <f t="shared" si="96"/>
        <v>11</v>
      </c>
    </row>
    <row r="312" spans="22:41" x14ac:dyDescent="0.2">
      <c r="V312" s="181">
        <f t="shared" si="84"/>
        <v>137</v>
      </c>
      <c r="W312" s="181">
        <f t="shared" si="85"/>
        <v>274</v>
      </c>
      <c r="X312" s="181">
        <f t="shared" si="86"/>
        <v>1</v>
      </c>
      <c r="Y312" s="37">
        <f t="shared" si="87"/>
        <v>1917.1</v>
      </c>
      <c r="Z312" s="181">
        <f t="shared" si="88"/>
        <v>335</v>
      </c>
      <c r="AA312" s="127">
        <f t="shared" si="89"/>
        <v>595.21331999999995</v>
      </c>
      <c r="AB312" s="127">
        <f t="shared" si="90"/>
        <v>595.21331999999995</v>
      </c>
      <c r="AC312" s="37">
        <f t="shared" si="78"/>
        <v>3971.2799199999999</v>
      </c>
      <c r="AD312" s="37">
        <f t="shared" si="91"/>
        <v>5888.3799199999994</v>
      </c>
      <c r="AE312" s="181">
        <f t="shared" si="79"/>
        <v>11</v>
      </c>
      <c r="AF312" s="37">
        <f t="shared" si="92"/>
        <v>7722</v>
      </c>
      <c r="AG312" s="181">
        <f t="shared" si="80"/>
        <v>454.9</v>
      </c>
      <c r="AH312" s="111">
        <f t="shared" si="93"/>
        <v>304.09473599999995</v>
      </c>
      <c r="AI312" s="127">
        <f t="shared" si="94"/>
        <v>454.9</v>
      </c>
      <c r="AJ312" s="37">
        <f t="shared" si="81"/>
        <v>3129.3999999999996</v>
      </c>
      <c r="AK312" s="37">
        <f t="shared" si="95"/>
        <v>10851.4</v>
      </c>
      <c r="AL312" s="37">
        <f t="shared" si="83"/>
        <v>21.490437664233575</v>
      </c>
      <c r="AN312" s="37" t="str">
        <f t="shared" si="82"/>
        <v>Pallet</v>
      </c>
      <c r="AO312" s="194">
        <f t="shared" si="96"/>
        <v>11</v>
      </c>
    </row>
    <row r="313" spans="22:41" x14ac:dyDescent="0.2">
      <c r="V313" s="181">
        <f t="shared" si="84"/>
        <v>137.5</v>
      </c>
      <c r="W313" s="181">
        <f t="shared" si="85"/>
        <v>275</v>
      </c>
      <c r="X313" s="181">
        <f t="shared" si="86"/>
        <v>1</v>
      </c>
      <c r="Y313" s="37">
        <f t="shared" si="87"/>
        <v>1917.1</v>
      </c>
      <c r="Z313" s="181">
        <f t="shared" si="88"/>
        <v>335.5</v>
      </c>
      <c r="AA313" s="127">
        <f t="shared" si="89"/>
        <v>595.21331999999995</v>
      </c>
      <c r="AB313" s="127">
        <f t="shared" si="90"/>
        <v>595.21331999999995</v>
      </c>
      <c r="AC313" s="37">
        <f t="shared" si="78"/>
        <v>3971.2799199999999</v>
      </c>
      <c r="AD313" s="37">
        <f t="shared" si="91"/>
        <v>5888.3799199999994</v>
      </c>
      <c r="AE313" s="181">
        <f t="shared" si="79"/>
        <v>11</v>
      </c>
      <c r="AF313" s="37">
        <f t="shared" si="92"/>
        <v>7722</v>
      </c>
      <c r="AG313" s="181">
        <f t="shared" si="80"/>
        <v>455.4</v>
      </c>
      <c r="AH313" s="111">
        <f t="shared" si="93"/>
        <v>304.09473599999995</v>
      </c>
      <c r="AI313" s="127">
        <f t="shared" si="94"/>
        <v>455.4</v>
      </c>
      <c r="AJ313" s="37">
        <f t="shared" si="81"/>
        <v>3132.3999999999996</v>
      </c>
      <c r="AK313" s="37">
        <f t="shared" si="95"/>
        <v>10854.4</v>
      </c>
      <c r="AL313" s="37">
        <f t="shared" si="83"/>
        <v>21.412290618181817</v>
      </c>
      <c r="AN313" s="37" t="str">
        <f t="shared" si="82"/>
        <v>Pallet</v>
      </c>
      <c r="AO313" s="194">
        <f t="shared" si="96"/>
        <v>11</v>
      </c>
    </row>
    <row r="314" spans="22:41" x14ac:dyDescent="0.2">
      <c r="V314" s="181">
        <f t="shared" si="84"/>
        <v>138</v>
      </c>
      <c r="W314" s="181">
        <f t="shared" si="85"/>
        <v>276</v>
      </c>
      <c r="X314" s="181">
        <f t="shared" si="86"/>
        <v>1</v>
      </c>
      <c r="Y314" s="37">
        <f t="shared" si="87"/>
        <v>1917.1</v>
      </c>
      <c r="Z314" s="181">
        <f t="shared" si="88"/>
        <v>336</v>
      </c>
      <c r="AA314" s="127">
        <f t="shared" si="89"/>
        <v>595.21331999999995</v>
      </c>
      <c r="AB314" s="127">
        <f t="shared" si="90"/>
        <v>595.21331999999995</v>
      </c>
      <c r="AC314" s="37">
        <f t="shared" si="78"/>
        <v>3971.2799199999999</v>
      </c>
      <c r="AD314" s="37">
        <f t="shared" si="91"/>
        <v>5888.3799199999994</v>
      </c>
      <c r="AE314" s="181">
        <f t="shared" si="79"/>
        <v>11</v>
      </c>
      <c r="AF314" s="37">
        <f t="shared" si="92"/>
        <v>7722</v>
      </c>
      <c r="AG314" s="181">
        <f t="shared" si="80"/>
        <v>455.9</v>
      </c>
      <c r="AH314" s="111">
        <f t="shared" si="93"/>
        <v>304.09473599999995</v>
      </c>
      <c r="AI314" s="127">
        <f t="shared" si="94"/>
        <v>455.9</v>
      </c>
      <c r="AJ314" s="37">
        <f t="shared" si="81"/>
        <v>3135.3999999999996</v>
      </c>
      <c r="AK314" s="37">
        <f t="shared" si="95"/>
        <v>10857.4</v>
      </c>
      <c r="AL314" s="37">
        <f t="shared" si="83"/>
        <v>21.334709855072461</v>
      </c>
      <c r="AN314" s="37" t="str">
        <f t="shared" si="82"/>
        <v>Pallet</v>
      </c>
      <c r="AO314" s="194">
        <f t="shared" si="96"/>
        <v>11</v>
      </c>
    </row>
    <row r="315" spans="22:41" x14ac:dyDescent="0.2">
      <c r="V315" s="181">
        <f t="shared" si="84"/>
        <v>138.5</v>
      </c>
      <c r="W315" s="181">
        <f t="shared" si="85"/>
        <v>277</v>
      </c>
      <c r="X315" s="181">
        <f t="shared" si="86"/>
        <v>1</v>
      </c>
      <c r="Y315" s="37">
        <f t="shared" si="87"/>
        <v>1917.1</v>
      </c>
      <c r="Z315" s="181">
        <f t="shared" si="88"/>
        <v>336.5</v>
      </c>
      <c r="AA315" s="127">
        <f t="shared" si="89"/>
        <v>595.21331999999995</v>
      </c>
      <c r="AB315" s="127">
        <f t="shared" si="90"/>
        <v>595.21331999999995</v>
      </c>
      <c r="AC315" s="37">
        <f t="shared" si="78"/>
        <v>3971.2799199999999</v>
      </c>
      <c r="AD315" s="37">
        <f t="shared" si="91"/>
        <v>5888.3799199999994</v>
      </c>
      <c r="AE315" s="181">
        <f t="shared" si="79"/>
        <v>11</v>
      </c>
      <c r="AF315" s="37">
        <f t="shared" si="92"/>
        <v>7722</v>
      </c>
      <c r="AG315" s="181">
        <f t="shared" si="80"/>
        <v>456.4</v>
      </c>
      <c r="AH315" s="111">
        <f t="shared" si="93"/>
        <v>304.09473599999995</v>
      </c>
      <c r="AI315" s="127">
        <f t="shared" si="94"/>
        <v>456.4</v>
      </c>
      <c r="AJ315" s="37">
        <f t="shared" si="81"/>
        <v>3138.3999999999996</v>
      </c>
      <c r="AK315" s="37">
        <f t="shared" si="95"/>
        <v>10860.4</v>
      </c>
      <c r="AL315" s="37">
        <f t="shared" si="83"/>
        <v>21.257689241877255</v>
      </c>
      <c r="AN315" s="37" t="str">
        <f t="shared" si="82"/>
        <v>Pallet</v>
      </c>
      <c r="AO315" s="194">
        <f t="shared" si="96"/>
        <v>11</v>
      </c>
    </row>
    <row r="316" spans="22:41" x14ac:dyDescent="0.2">
      <c r="V316" s="181">
        <f t="shared" si="84"/>
        <v>139</v>
      </c>
      <c r="W316" s="181">
        <f t="shared" si="85"/>
        <v>278</v>
      </c>
      <c r="X316" s="181">
        <f t="shared" si="86"/>
        <v>1</v>
      </c>
      <c r="Y316" s="37">
        <f t="shared" si="87"/>
        <v>1917.1</v>
      </c>
      <c r="Z316" s="181">
        <f t="shared" si="88"/>
        <v>337</v>
      </c>
      <c r="AA316" s="127">
        <f t="shared" si="89"/>
        <v>595.21331999999995</v>
      </c>
      <c r="AB316" s="127">
        <f t="shared" si="90"/>
        <v>595.21331999999995</v>
      </c>
      <c r="AC316" s="37">
        <f t="shared" si="78"/>
        <v>3971.2799199999999</v>
      </c>
      <c r="AD316" s="37">
        <f t="shared" si="91"/>
        <v>5888.3799199999994</v>
      </c>
      <c r="AE316" s="181">
        <f t="shared" si="79"/>
        <v>11</v>
      </c>
      <c r="AF316" s="37">
        <f t="shared" si="92"/>
        <v>7722</v>
      </c>
      <c r="AG316" s="181">
        <f t="shared" si="80"/>
        <v>456.9</v>
      </c>
      <c r="AH316" s="111">
        <f t="shared" si="93"/>
        <v>304.09473599999995</v>
      </c>
      <c r="AI316" s="127">
        <f t="shared" si="94"/>
        <v>456.9</v>
      </c>
      <c r="AJ316" s="37">
        <f t="shared" si="81"/>
        <v>3141.3999999999996</v>
      </c>
      <c r="AK316" s="37">
        <f t="shared" si="95"/>
        <v>10863.4</v>
      </c>
      <c r="AL316" s="37">
        <f t="shared" si="83"/>
        <v>21.181222733812948</v>
      </c>
      <c r="AN316" s="37" t="str">
        <f t="shared" si="82"/>
        <v>Pallet</v>
      </c>
      <c r="AO316" s="194">
        <f t="shared" si="96"/>
        <v>11</v>
      </c>
    </row>
    <row r="317" spans="22:41" x14ac:dyDescent="0.2">
      <c r="V317" s="181">
        <f t="shared" si="84"/>
        <v>139.5</v>
      </c>
      <c r="W317" s="181">
        <f t="shared" si="85"/>
        <v>279</v>
      </c>
      <c r="X317" s="181">
        <f t="shared" si="86"/>
        <v>1</v>
      </c>
      <c r="Y317" s="37">
        <f t="shared" si="87"/>
        <v>1917.1</v>
      </c>
      <c r="Z317" s="181">
        <f t="shared" si="88"/>
        <v>337.5</v>
      </c>
      <c r="AA317" s="127">
        <f t="shared" si="89"/>
        <v>595.21331999999995</v>
      </c>
      <c r="AB317" s="127">
        <f t="shared" si="90"/>
        <v>595.21331999999995</v>
      </c>
      <c r="AC317" s="37">
        <f t="shared" si="78"/>
        <v>3971.2799199999999</v>
      </c>
      <c r="AD317" s="37">
        <f t="shared" si="91"/>
        <v>5888.3799199999994</v>
      </c>
      <c r="AE317" s="181">
        <f t="shared" si="79"/>
        <v>11</v>
      </c>
      <c r="AF317" s="37">
        <f t="shared" si="92"/>
        <v>7722</v>
      </c>
      <c r="AG317" s="181">
        <f t="shared" si="80"/>
        <v>457.4</v>
      </c>
      <c r="AH317" s="111">
        <f t="shared" si="93"/>
        <v>304.09473599999995</v>
      </c>
      <c r="AI317" s="127">
        <f t="shared" si="94"/>
        <v>457.4</v>
      </c>
      <c r="AJ317" s="37">
        <f t="shared" si="81"/>
        <v>3144.3999999999996</v>
      </c>
      <c r="AK317" s="37">
        <f t="shared" si="95"/>
        <v>10866.4</v>
      </c>
      <c r="AL317" s="37">
        <f t="shared" si="83"/>
        <v>21.105304372759853</v>
      </c>
      <c r="AN317" s="37" t="str">
        <f t="shared" si="82"/>
        <v>Pallet</v>
      </c>
      <c r="AO317" s="194">
        <f t="shared" si="96"/>
        <v>11</v>
      </c>
    </row>
    <row r="318" spans="22:41" x14ac:dyDescent="0.2">
      <c r="V318" s="181">
        <f t="shared" si="84"/>
        <v>140</v>
      </c>
      <c r="W318" s="181">
        <f t="shared" si="85"/>
        <v>280</v>
      </c>
      <c r="X318" s="181">
        <f t="shared" si="86"/>
        <v>1</v>
      </c>
      <c r="Y318" s="37">
        <f t="shared" si="87"/>
        <v>1917.1</v>
      </c>
      <c r="Z318" s="181">
        <f t="shared" si="88"/>
        <v>338</v>
      </c>
      <c r="AA318" s="127">
        <f t="shared" si="89"/>
        <v>595.21331999999995</v>
      </c>
      <c r="AB318" s="127">
        <f t="shared" si="90"/>
        <v>595.21331999999995</v>
      </c>
      <c r="AC318" s="37">
        <f t="shared" si="78"/>
        <v>3971.2799199999999</v>
      </c>
      <c r="AD318" s="37">
        <f t="shared" si="91"/>
        <v>5888.3799199999994</v>
      </c>
      <c r="AE318" s="181">
        <f t="shared" si="79"/>
        <v>11</v>
      </c>
      <c r="AF318" s="37">
        <f t="shared" si="92"/>
        <v>7722</v>
      </c>
      <c r="AG318" s="181">
        <f t="shared" si="80"/>
        <v>457.9</v>
      </c>
      <c r="AH318" s="111">
        <f t="shared" si="93"/>
        <v>304.09473599999995</v>
      </c>
      <c r="AI318" s="127">
        <f t="shared" si="94"/>
        <v>457.9</v>
      </c>
      <c r="AJ318" s="37">
        <f t="shared" si="81"/>
        <v>3147.3999999999996</v>
      </c>
      <c r="AK318" s="37">
        <f t="shared" si="95"/>
        <v>10869.4</v>
      </c>
      <c r="AL318" s="37">
        <f t="shared" si="83"/>
        <v>21.029928285714284</v>
      </c>
      <c r="AN318" s="37" t="str">
        <f t="shared" si="82"/>
        <v>Pallet</v>
      </c>
      <c r="AO318" s="194">
        <f t="shared" si="96"/>
        <v>11</v>
      </c>
    </row>
    <row r="319" spans="22:41" x14ac:dyDescent="0.2">
      <c r="V319" s="181">
        <f t="shared" si="84"/>
        <v>140.5</v>
      </c>
      <c r="W319" s="181">
        <f t="shared" si="85"/>
        <v>281</v>
      </c>
      <c r="X319" s="181">
        <f t="shared" si="86"/>
        <v>1</v>
      </c>
      <c r="Y319" s="37">
        <f t="shared" si="87"/>
        <v>1917.1</v>
      </c>
      <c r="Z319" s="181">
        <f t="shared" si="88"/>
        <v>338.5</v>
      </c>
      <c r="AA319" s="127">
        <f t="shared" si="89"/>
        <v>595.21331999999995</v>
      </c>
      <c r="AB319" s="127">
        <f t="shared" si="90"/>
        <v>595.21331999999995</v>
      </c>
      <c r="AC319" s="37">
        <f t="shared" si="78"/>
        <v>3971.2799199999999</v>
      </c>
      <c r="AD319" s="37">
        <f t="shared" si="91"/>
        <v>5888.3799199999994</v>
      </c>
      <c r="AE319" s="181">
        <f t="shared" si="79"/>
        <v>11</v>
      </c>
      <c r="AF319" s="37">
        <f t="shared" si="92"/>
        <v>7722</v>
      </c>
      <c r="AG319" s="181">
        <f t="shared" si="80"/>
        <v>458.4</v>
      </c>
      <c r="AH319" s="111">
        <f t="shared" si="93"/>
        <v>304.09473599999995</v>
      </c>
      <c r="AI319" s="127">
        <f t="shared" si="94"/>
        <v>458.4</v>
      </c>
      <c r="AJ319" s="37">
        <f t="shared" si="81"/>
        <v>3150.3999999999996</v>
      </c>
      <c r="AK319" s="37">
        <f t="shared" si="95"/>
        <v>10872.4</v>
      </c>
      <c r="AL319" s="37">
        <f t="shared" si="83"/>
        <v>20.95508868327402</v>
      </c>
      <c r="AN319" s="37" t="str">
        <f t="shared" si="82"/>
        <v>Pallet</v>
      </c>
      <c r="AO319" s="194">
        <f t="shared" si="96"/>
        <v>11</v>
      </c>
    </row>
    <row r="320" spans="22:41" x14ac:dyDescent="0.2">
      <c r="V320" s="181">
        <f t="shared" si="84"/>
        <v>141</v>
      </c>
      <c r="W320" s="181">
        <f t="shared" si="85"/>
        <v>282</v>
      </c>
      <c r="X320" s="181">
        <f t="shared" si="86"/>
        <v>1</v>
      </c>
      <c r="Y320" s="37">
        <f t="shared" si="87"/>
        <v>1917.1</v>
      </c>
      <c r="Z320" s="181">
        <f t="shared" si="88"/>
        <v>339</v>
      </c>
      <c r="AA320" s="127">
        <f t="shared" si="89"/>
        <v>595.21331999999995</v>
      </c>
      <c r="AB320" s="127">
        <f t="shared" si="90"/>
        <v>595.21331999999995</v>
      </c>
      <c r="AC320" s="37">
        <f t="shared" si="78"/>
        <v>3971.2799199999999</v>
      </c>
      <c r="AD320" s="37">
        <f t="shared" si="91"/>
        <v>5888.3799199999994</v>
      </c>
      <c r="AE320" s="181">
        <f t="shared" si="79"/>
        <v>11</v>
      </c>
      <c r="AF320" s="37">
        <f t="shared" si="92"/>
        <v>7722</v>
      </c>
      <c r="AG320" s="181">
        <f t="shared" si="80"/>
        <v>458.9</v>
      </c>
      <c r="AH320" s="111">
        <f t="shared" si="93"/>
        <v>304.09473599999995</v>
      </c>
      <c r="AI320" s="127">
        <f t="shared" si="94"/>
        <v>458.9</v>
      </c>
      <c r="AJ320" s="37">
        <f t="shared" si="81"/>
        <v>3153.3999999999996</v>
      </c>
      <c r="AK320" s="37">
        <f t="shared" si="95"/>
        <v>10875.4</v>
      </c>
      <c r="AL320" s="37">
        <f t="shared" si="83"/>
        <v>20.880779858156025</v>
      </c>
      <c r="AN320" s="37" t="str">
        <f t="shared" si="82"/>
        <v>Pallet</v>
      </c>
      <c r="AO320" s="194">
        <f t="shared" si="96"/>
        <v>11</v>
      </c>
    </row>
    <row r="321" spans="22:41" x14ac:dyDescent="0.2">
      <c r="V321" s="181">
        <f t="shared" si="84"/>
        <v>141.5</v>
      </c>
      <c r="W321" s="181">
        <f t="shared" si="85"/>
        <v>283</v>
      </c>
      <c r="X321" s="181">
        <f t="shared" si="86"/>
        <v>1</v>
      </c>
      <c r="Y321" s="37">
        <f t="shared" si="87"/>
        <v>1917.1</v>
      </c>
      <c r="Z321" s="181">
        <f t="shared" si="88"/>
        <v>339.5</v>
      </c>
      <c r="AA321" s="127">
        <f t="shared" si="89"/>
        <v>595.21331999999995</v>
      </c>
      <c r="AB321" s="127">
        <f t="shared" si="90"/>
        <v>595.21331999999995</v>
      </c>
      <c r="AC321" s="37">
        <f t="shared" si="78"/>
        <v>3971.2799199999999</v>
      </c>
      <c r="AD321" s="37">
        <f t="shared" si="91"/>
        <v>5888.3799199999994</v>
      </c>
      <c r="AE321" s="181">
        <f t="shared" si="79"/>
        <v>11</v>
      </c>
      <c r="AF321" s="37">
        <f t="shared" si="92"/>
        <v>7722</v>
      </c>
      <c r="AG321" s="181">
        <f t="shared" si="80"/>
        <v>459.4</v>
      </c>
      <c r="AH321" s="111">
        <f t="shared" si="93"/>
        <v>304.09473599999995</v>
      </c>
      <c r="AI321" s="127">
        <f t="shared" si="94"/>
        <v>459.4</v>
      </c>
      <c r="AJ321" s="37">
        <f t="shared" si="81"/>
        <v>3156.3999999999996</v>
      </c>
      <c r="AK321" s="37">
        <f t="shared" si="95"/>
        <v>10878.4</v>
      </c>
      <c r="AL321" s="37">
        <f t="shared" si="83"/>
        <v>20.806996183745582</v>
      </c>
      <c r="AN321" s="37" t="str">
        <f t="shared" si="82"/>
        <v>Pallet</v>
      </c>
      <c r="AO321" s="194">
        <f t="shared" si="96"/>
        <v>11</v>
      </c>
    </row>
    <row r="322" spans="22:41" x14ac:dyDescent="0.2">
      <c r="V322" s="181">
        <f t="shared" si="84"/>
        <v>142</v>
      </c>
      <c r="W322" s="181">
        <f t="shared" si="85"/>
        <v>284</v>
      </c>
      <c r="X322" s="181">
        <f t="shared" si="86"/>
        <v>1</v>
      </c>
      <c r="Y322" s="37">
        <f t="shared" si="87"/>
        <v>1917.1</v>
      </c>
      <c r="Z322" s="181">
        <f t="shared" si="88"/>
        <v>340</v>
      </c>
      <c r="AA322" s="127">
        <f t="shared" si="89"/>
        <v>595.21331999999995</v>
      </c>
      <c r="AB322" s="127">
        <f t="shared" si="90"/>
        <v>595.21331999999995</v>
      </c>
      <c r="AC322" s="37">
        <f t="shared" si="78"/>
        <v>3971.2799199999999</v>
      </c>
      <c r="AD322" s="37">
        <f t="shared" si="91"/>
        <v>5888.3799199999994</v>
      </c>
      <c r="AE322" s="181">
        <f t="shared" si="79"/>
        <v>12</v>
      </c>
      <c r="AF322" s="37">
        <f t="shared" si="92"/>
        <v>8424</v>
      </c>
      <c r="AG322" s="181">
        <f t="shared" si="80"/>
        <v>488.79999999999995</v>
      </c>
      <c r="AH322" s="111">
        <f t="shared" si="93"/>
        <v>331.73971199999994</v>
      </c>
      <c r="AI322" s="127">
        <f t="shared" si="94"/>
        <v>488.79999999999995</v>
      </c>
      <c r="AJ322" s="37">
        <f t="shared" si="81"/>
        <v>3332.7999999999997</v>
      </c>
      <c r="AK322" s="37">
        <f t="shared" si="95"/>
        <v>11756.8</v>
      </c>
      <c r="AL322" s="37">
        <f t="shared" si="83"/>
        <v>20.733732112676055</v>
      </c>
      <c r="AN322" s="37" t="str">
        <f t="shared" si="82"/>
        <v>Pallet</v>
      </c>
      <c r="AO322" s="194">
        <f t="shared" si="96"/>
        <v>11</v>
      </c>
    </row>
    <row r="323" spans="22:41" x14ac:dyDescent="0.2">
      <c r="V323" s="181">
        <f t="shared" si="84"/>
        <v>142.5</v>
      </c>
      <c r="W323" s="181">
        <f t="shared" si="85"/>
        <v>285</v>
      </c>
      <c r="X323" s="181">
        <f t="shared" si="86"/>
        <v>1</v>
      </c>
      <c r="Y323" s="37">
        <f t="shared" si="87"/>
        <v>1917.1</v>
      </c>
      <c r="Z323" s="181">
        <f t="shared" si="88"/>
        <v>340.5</v>
      </c>
      <c r="AA323" s="127">
        <f t="shared" si="89"/>
        <v>595.21331999999995</v>
      </c>
      <c r="AB323" s="127">
        <f t="shared" si="90"/>
        <v>595.21331999999995</v>
      </c>
      <c r="AC323" s="37">
        <f t="shared" si="78"/>
        <v>3971.2799199999999</v>
      </c>
      <c r="AD323" s="37">
        <f t="shared" si="91"/>
        <v>5888.3799199999994</v>
      </c>
      <c r="AE323" s="181">
        <f t="shared" si="79"/>
        <v>12</v>
      </c>
      <c r="AF323" s="37">
        <f t="shared" si="92"/>
        <v>8424</v>
      </c>
      <c r="AG323" s="181">
        <f t="shared" si="80"/>
        <v>489.29999999999995</v>
      </c>
      <c r="AH323" s="111">
        <f t="shared" si="93"/>
        <v>331.73971199999994</v>
      </c>
      <c r="AI323" s="127">
        <f t="shared" si="94"/>
        <v>489.29999999999995</v>
      </c>
      <c r="AJ323" s="37">
        <f t="shared" si="81"/>
        <v>3335.7999999999997</v>
      </c>
      <c r="AK323" s="37">
        <f t="shared" si="95"/>
        <v>11759.8</v>
      </c>
      <c r="AL323" s="37">
        <f t="shared" si="83"/>
        <v>20.660982175438594</v>
      </c>
      <c r="AN323" s="37" t="str">
        <f t="shared" si="82"/>
        <v>Pallet</v>
      </c>
      <c r="AO323" s="194">
        <f t="shared" si="96"/>
        <v>12</v>
      </c>
    </row>
    <row r="324" spans="22:41" x14ac:dyDescent="0.2">
      <c r="V324" s="181">
        <f t="shared" si="84"/>
        <v>143</v>
      </c>
      <c r="W324" s="181">
        <f t="shared" si="85"/>
        <v>286</v>
      </c>
      <c r="X324" s="181">
        <f t="shared" si="86"/>
        <v>1</v>
      </c>
      <c r="Y324" s="37">
        <f t="shared" si="87"/>
        <v>1917.1</v>
      </c>
      <c r="Z324" s="181">
        <f t="shared" si="88"/>
        <v>341</v>
      </c>
      <c r="AA324" s="127">
        <f t="shared" si="89"/>
        <v>595.21331999999995</v>
      </c>
      <c r="AB324" s="127">
        <f t="shared" si="90"/>
        <v>595.21331999999995</v>
      </c>
      <c r="AC324" s="37">
        <f t="shared" si="78"/>
        <v>3971.2799199999999</v>
      </c>
      <c r="AD324" s="37">
        <f t="shared" si="91"/>
        <v>5888.3799199999994</v>
      </c>
      <c r="AE324" s="181">
        <f t="shared" si="79"/>
        <v>12</v>
      </c>
      <c r="AF324" s="37">
        <f t="shared" si="92"/>
        <v>8424</v>
      </c>
      <c r="AG324" s="181">
        <f t="shared" si="80"/>
        <v>489.79999999999995</v>
      </c>
      <c r="AH324" s="111">
        <f t="shared" si="93"/>
        <v>331.73971199999994</v>
      </c>
      <c r="AI324" s="127">
        <f t="shared" si="94"/>
        <v>489.79999999999995</v>
      </c>
      <c r="AJ324" s="37">
        <f t="shared" si="81"/>
        <v>3338.7999999999997</v>
      </c>
      <c r="AK324" s="37">
        <f t="shared" si="95"/>
        <v>11762.8</v>
      </c>
      <c r="AL324" s="37">
        <f t="shared" si="83"/>
        <v>20.588740979020976</v>
      </c>
      <c r="AN324" s="37" t="str">
        <f t="shared" si="82"/>
        <v>Pallet</v>
      </c>
      <c r="AO324" s="194">
        <f t="shared" si="96"/>
        <v>12</v>
      </c>
    </row>
    <row r="325" spans="22:41" x14ac:dyDescent="0.2">
      <c r="V325" s="181">
        <f t="shared" si="84"/>
        <v>143.5</v>
      </c>
      <c r="W325" s="181">
        <f t="shared" si="85"/>
        <v>287</v>
      </c>
      <c r="X325" s="181">
        <f t="shared" si="86"/>
        <v>1</v>
      </c>
      <c r="Y325" s="37">
        <f t="shared" si="87"/>
        <v>1917.1</v>
      </c>
      <c r="Z325" s="181">
        <f t="shared" si="88"/>
        <v>341.5</v>
      </c>
      <c r="AA325" s="127">
        <f t="shared" si="89"/>
        <v>595.21331999999995</v>
      </c>
      <c r="AB325" s="127">
        <f t="shared" si="90"/>
        <v>595.21331999999995</v>
      </c>
      <c r="AC325" s="37">
        <f t="shared" si="78"/>
        <v>3971.2799199999999</v>
      </c>
      <c r="AD325" s="37">
        <f t="shared" si="91"/>
        <v>5888.3799199999994</v>
      </c>
      <c r="AE325" s="181">
        <f t="shared" si="79"/>
        <v>12</v>
      </c>
      <c r="AF325" s="37">
        <f t="shared" si="92"/>
        <v>8424</v>
      </c>
      <c r="AG325" s="181">
        <f t="shared" si="80"/>
        <v>490.29999999999995</v>
      </c>
      <c r="AH325" s="111">
        <f t="shared" si="93"/>
        <v>331.73971199999994</v>
      </c>
      <c r="AI325" s="127">
        <f t="shared" si="94"/>
        <v>490.29999999999995</v>
      </c>
      <c r="AJ325" s="37">
        <f t="shared" si="81"/>
        <v>3341.7999999999997</v>
      </c>
      <c r="AK325" s="37">
        <f t="shared" si="95"/>
        <v>11765.8</v>
      </c>
      <c r="AL325" s="37">
        <f t="shared" si="83"/>
        <v>20.517003205574913</v>
      </c>
      <c r="AN325" s="37" t="str">
        <f t="shared" si="82"/>
        <v>Pallet</v>
      </c>
      <c r="AO325" s="194">
        <f t="shared" si="96"/>
        <v>12</v>
      </c>
    </row>
    <row r="326" spans="22:41" x14ac:dyDescent="0.2">
      <c r="V326" s="181">
        <f t="shared" si="84"/>
        <v>144</v>
      </c>
      <c r="W326" s="181">
        <f t="shared" si="85"/>
        <v>288</v>
      </c>
      <c r="X326" s="181">
        <f t="shared" si="86"/>
        <v>1</v>
      </c>
      <c r="Y326" s="37">
        <f t="shared" si="87"/>
        <v>1917.1</v>
      </c>
      <c r="Z326" s="181">
        <f t="shared" si="88"/>
        <v>342</v>
      </c>
      <c r="AA326" s="127">
        <f t="shared" si="89"/>
        <v>595.21331999999995</v>
      </c>
      <c r="AB326" s="127">
        <f t="shared" si="90"/>
        <v>595.21331999999995</v>
      </c>
      <c r="AC326" s="37">
        <f t="shared" si="78"/>
        <v>3971.2799199999999</v>
      </c>
      <c r="AD326" s="37">
        <f t="shared" si="91"/>
        <v>5888.3799199999994</v>
      </c>
      <c r="AE326" s="181">
        <f t="shared" si="79"/>
        <v>12</v>
      </c>
      <c r="AF326" s="37">
        <f t="shared" si="92"/>
        <v>8424</v>
      </c>
      <c r="AG326" s="181">
        <f t="shared" si="80"/>
        <v>490.79999999999995</v>
      </c>
      <c r="AH326" s="111">
        <f t="shared" si="93"/>
        <v>331.73971199999994</v>
      </c>
      <c r="AI326" s="127">
        <f t="shared" si="94"/>
        <v>490.79999999999995</v>
      </c>
      <c r="AJ326" s="37">
        <f t="shared" si="81"/>
        <v>3344.7999999999997</v>
      </c>
      <c r="AK326" s="37">
        <f t="shared" si="95"/>
        <v>11768.8</v>
      </c>
      <c r="AL326" s="37">
        <f t="shared" si="83"/>
        <v>20.445763611111108</v>
      </c>
      <c r="AN326" s="37" t="str">
        <f t="shared" si="82"/>
        <v>Pallet</v>
      </c>
      <c r="AO326" s="194">
        <f t="shared" si="96"/>
        <v>12</v>
      </c>
    </row>
    <row r="327" spans="22:41" x14ac:dyDescent="0.2">
      <c r="V327" s="181">
        <f t="shared" si="84"/>
        <v>144.5</v>
      </c>
      <c r="W327" s="181">
        <f t="shared" si="85"/>
        <v>289</v>
      </c>
      <c r="X327" s="181">
        <f t="shared" si="86"/>
        <v>1</v>
      </c>
      <c r="Y327" s="37">
        <f t="shared" si="87"/>
        <v>1917.1</v>
      </c>
      <c r="Z327" s="181">
        <f t="shared" si="88"/>
        <v>342.5</v>
      </c>
      <c r="AA327" s="127">
        <f t="shared" si="89"/>
        <v>595.21331999999995</v>
      </c>
      <c r="AB327" s="127">
        <f t="shared" si="90"/>
        <v>595.21331999999995</v>
      </c>
      <c r="AC327" s="37">
        <f t="shared" si="78"/>
        <v>3971.2799199999999</v>
      </c>
      <c r="AD327" s="37">
        <f t="shared" si="91"/>
        <v>5888.3799199999994</v>
      </c>
      <c r="AE327" s="181">
        <f t="shared" si="79"/>
        <v>12</v>
      </c>
      <c r="AF327" s="37">
        <f t="shared" si="92"/>
        <v>8424</v>
      </c>
      <c r="AG327" s="181">
        <f t="shared" si="80"/>
        <v>491.29999999999995</v>
      </c>
      <c r="AH327" s="111">
        <f t="shared" si="93"/>
        <v>331.73971199999994</v>
      </c>
      <c r="AI327" s="127">
        <f t="shared" si="94"/>
        <v>491.29999999999995</v>
      </c>
      <c r="AJ327" s="37">
        <f t="shared" si="81"/>
        <v>3347.7999999999997</v>
      </c>
      <c r="AK327" s="37">
        <f t="shared" si="95"/>
        <v>11771.8</v>
      </c>
      <c r="AL327" s="37">
        <f t="shared" si="83"/>
        <v>20.375017024221449</v>
      </c>
      <c r="AN327" s="37" t="str">
        <f t="shared" si="82"/>
        <v>Pallet</v>
      </c>
      <c r="AO327" s="194">
        <f t="shared" si="96"/>
        <v>12</v>
      </c>
    </row>
    <row r="328" spans="22:41" x14ac:dyDescent="0.2">
      <c r="V328" s="181">
        <f t="shared" si="84"/>
        <v>145</v>
      </c>
      <c r="W328" s="181">
        <f t="shared" si="85"/>
        <v>290</v>
      </c>
      <c r="X328" s="181">
        <f t="shared" si="86"/>
        <v>1</v>
      </c>
      <c r="Y328" s="37">
        <f t="shared" si="87"/>
        <v>1917.1</v>
      </c>
      <c r="Z328" s="181">
        <f t="shared" si="88"/>
        <v>343</v>
      </c>
      <c r="AA328" s="127">
        <f t="shared" si="89"/>
        <v>595.21331999999995</v>
      </c>
      <c r="AB328" s="127">
        <f t="shared" si="90"/>
        <v>595.21331999999995</v>
      </c>
      <c r="AC328" s="37">
        <f t="shared" si="78"/>
        <v>3971.2799199999999</v>
      </c>
      <c r="AD328" s="37">
        <f t="shared" si="91"/>
        <v>5888.3799199999994</v>
      </c>
      <c r="AE328" s="181">
        <f t="shared" si="79"/>
        <v>12</v>
      </c>
      <c r="AF328" s="37">
        <f t="shared" si="92"/>
        <v>8424</v>
      </c>
      <c r="AG328" s="181">
        <f t="shared" si="80"/>
        <v>491.79999999999995</v>
      </c>
      <c r="AH328" s="111">
        <f t="shared" si="93"/>
        <v>331.73971199999994</v>
      </c>
      <c r="AI328" s="127">
        <f t="shared" si="94"/>
        <v>491.79999999999995</v>
      </c>
      <c r="AJ328" s="37">
        <f t="shared" si="81"/>
        <v>3350.7999999999997</v>
      </c>
      <c r="AK328" s="37">
        <f t="shared" si="95"/>
        <v>11774.8</v>
      </c>
      <c r="AL328" s="37">
        <f t="shared" si="83"/>
        <v>20.304758344827583</v>
      </c>
      <c r="AN328" s="37" t="str">
        <f t="shared" si="82"/>
        <v>Pallet</v>
      </c>
      <c r="AO328" s="194">
        <f t="shared" si="96"/>
        <v>12</v>
      </c>
    </row>
    <row r="329" spans="22:41" x14ac:dyDescent="0.2">
      <c r="V329" s="181">
        <f t="shared" si="84"/>
        <v>145.5</v>
      </c>
      <c r="W329" s="181">
        <f t="shared" si="85"/>
        <v>291</v>
      </c>
      <c r="X329" s="181">
        <f t="shared" si="86"/>
        <v>1</v>
      </c>
      <c r="Y329" s="37">
        <f t="shared" si="87"/>
        <v>1917.1</v>
      </c>
      <c r="Z329" s="181">
        <f t="shared" si="88"/>
        <v>343.5</v>
      </c>
      <c r="AA329" s="127">
        <f t="shared" si="89"/>
        <v>595.21331999999995</v>
      </c>
      <c r="AB329" s="127">
        <f t="shared" si="90"/>
        <v>595.21331999999995</v>
      </c>
      <c r="AC329" s="37">
        <f t="shared" si="78"/>
        <v>3971.2799199999999</v>
      </c>
      <c r="AD329" s="37">
        <f t="shared" si="91"/>
        <v>5888.3799199999994</v>
      </c>
      <c r="AE329" s="181">
        <f t="shared" si="79"/>
        <v>12</v>
      </c>
      <c r="AF329" s="37">
        <f t="shared" si="92"/>
        <v>8424</v>
      </c>
      <c r="AG329" s="181">
        <f t="shared" si="80"/>
        <v>492.29999999999995</v>
      </c>
      <c r="AH329" s="111">
        <f t="shared" si="93"/>
        <v>331.73971199999994</v>
      </c>
      <c r="AI329" s="127">
        <f t="shared" si="94"/>
        <v>492.29999999999995</v>
      </c>
      <c r="AJ329" s="37">
        <f t="shared" si="81"/>
        <v>3353.7999999999997</v>
      </c>
      <c r="AK329" s="37">
        <f t="shared" si="95"/>
        <v>11777.8</v>
      </c>
      <c r="AL329" s="37">
        <f t="shared" si="83"/>
        <v>20.234982542955326</v>
      </c>
      <c r="AN329" s="37" t="str">
        <f t="shared" si="82"/>
        <v>Pallet</v>
      </c>
      <c r="AO329" s="194">
        <f t="shared" si="96"/>
        <v>12</v>
      </c>
    </row>
    <row r="330" spans="22:41" x14ac:dyDescent="0.2">
      <c r="V330" s="181">
        <f t="shared" si="84"/>
        <v>146</v>
      </c>
      <c r="W330" s="181">
        <f t="shared" si="85"/>
        <v>292</v>
      </c>
      <c r="X330" s="181">
        <f t="shared" si="86"/>
        <v>1</v>
      </c>
      <c r="Y330" s="37">
        <f t="shared" si="87"/>
        <v>1917.1</v>
      </c>
      <c r="Z330" s="181">
        <f t="shared" si="88"/>
        <v>344</v>
      </c>
      <c r="AA330" s="127">
        <f t="shared" si="89"/>
        <v>595.21331999999995</v>
      </c>
      <c r="AB330" s="127">
        <f t="shared" si="90"/>
        <v>595.21331999999995</v>
      </c>
      <c r="AC330" s="37">
        <f t="shared" si="78"/>
        <v>3971.2799199999999</v>
      </c>
      <c r="AD330" s="37">
        <f t="shared" si="91"/>
        <v>5888.3799199999994</v>
      </c>
      <c r="AE330" s="181">
        <f t="shared" si="79"/>
        <v>12</v>
      </c>
      <c r="AF330" s="37">
        <f t="shared" si="92"/>
        <v>8424</v>
      </c>
      <c r="AG330" s="181">
        <f t="shared" si="80"/>
        <v>492.79999999999995</v>
      </c>
      <c r="AH330" s="111">
        <f t="shared" si="93"/>
        <v>331.73971199999994</v>
      </c>
      <c r="AI330" s="127">
        <f t="shared" si="94"/>
        <v>492.79999999999995</v>
      </c>
      <c r="AJ330" s="37">
        <f t="shared" si="81"/>
        <v>3356.7999999999997</v>
      </c>
      <c r="AK330" s="37">
        <f t="shared" si="95"/>
        <v>11780.8</v>
      </c>
      <c r="AL330" s="37">
        <f t="shared" si="83"/>
        <v>20.165684657534243</v>
      </c>
      <c r="AN330" s="37" t="str">
        <f t="shared" si="82"/>
        <v>Pallet</v>
      </c>
      <c r="AO330" s="194">
        <f t="shared" si="96"/>
        <v>12</v>
      </c>
    </row>
    <row r="331" spans="22:41" x14ac:dyDescent="0.2">
      <c r="V331" s="181">
        <f t="shared" si="84"/>
        <v>146.5</v>
      </c>
      <c r="W331" s="181">
        <f t="shared" si="85"/>
        <v>293</v>
      </c>
      <c r="X331" s="181">
        <f t="shared" si="86"/>
        <v>1</v>
      </c>
      <c r="Y331" s="37">
        <f t="shared" si="87"/>
        <v>1917.1</v>
      </c>
      <c r="Z331" s="181">
        <f t="shared" si="88"/>
        <v>344.5</v>
      </c>
      <c r="AA331" s="127">
        <f t="shared" si="89"/>
        <v>595.21331999999995</v>
      </c>
      <c r="AB331" s="127">
        <f t="shared" si="90"/>
        <v>595.21331999999995</v>
      </c>
      <c r="AC331" s="37">
        <f t="shared" si="78"/>
        <v>3971.2799199999999</v>
      </c>
      <c r="AD331" s="37">
        <f t="shared" si="91"/>
        <v>5888.3799199999994</v>
      </c>
      <c r="AE331" s="181">
        <f t="shared" si="79"/>
        <v>12</v>
      </c>
      <c r="AF331" s="37">
        <f t="shared" si="92"/>
        <v>8424</v>
      </c>
      <c r="AG331" s="181">
        <f t="shared" si="80"/>
        <v>493.29999999999995</v>
      </c>
      <c r="AH331" s="111">
        <f t="shared" si="93"/>
        <v>331.73971199999994</v>
      </c>
      <c r="AI331" s="127">
        <f t="shared" si="94"/>
        <v>493.29999999999995</v>
      </c>
      <c r="AJ331" s="37">
        <f t="shared" si="81"/>
        <v>3359.7999999999997</v>
      </c>
      <c r="AK331" s="37">
        <f t="shared" si="95"/>
        <v>11783.8</v>
      </c>
      <c r="AL331" s="37">
        <f t="shared" si="83"/>
        <v>20.096859795221842</v>
      </c>
      <c r="AN331" s="37" t="str">
        <f t="shared" si="82"/>
        <v>Pallet</v>
      </c>
      <c r="AO331" s="194">
        <f t="shared" si="96"/>
        <v>12</v>
      </c>
    </row>
    <row r="332" spans="22:41" x14ac:dyDescent="0.2">
      <c r="V332" s="181">
        <f t="shared" si="84"/>
        <v>147</v>
      </c>
      <c r="W332" s="181">
        <f t="shared" si="85"/>
        <v>294</v>
      </c>
      <c r="X332" s="181">
        <f t="shared" si="86"/>
        <v>1</v>
      </c>
      <c r="Y332" s="37">
        <f t="shared" si="87"/>
        <v>1917.1</v>
      </c>
      <c r="Z332" s="181">
        <f t="shared" si="88"/>
        <v>345</v>
      </c>
      <c r="AA332" s="127">
        <f t="shared" si="89"/>
        <v>595.21331999999995</v>
      </c>
      <c r="AB332" s="127">
        <f t="shared" si="90"/>
        <v>595.21331999999995</v>
      </c>
      <c r="AC332" s="37">
        <f t="shared" si="78"/>
        <v>3971.2799199999999</v>
      </c>
      <c r="AD332" s="37">
        <f t="shared" si="91"/>
        <v>5888.3799199999994</v>
      </c>
      <c r="AE332" s="181">
        <f t="shared" si="79"/>
        <v>12</v>
      </c>
      <c r="AF332" s="37">
        <f t="shared" si="92"/>
        <v>8424</v>
      </c>
      <c r="AG332" s="181">
        <f t="shared" si="80"/>
        <v>493.79999999999995</v>
      </c>
      <c r="AH332" s="111">
        <f t="shared" si="93"/>
        <v>331.73971199999994</v>
      </c>
      <c r="AI332" s="127">
        <f t="shared" si="94"/>
        <v>493.79999999999995</v>
      </c>
      <c r="AJ332" s="37">
        <f t="shared" si="81"/>
        <v>3362.7999999999997</v>
      </c>
      <c r="AK332" s="37">
        <f t="shared" si="95"/>
        <v>11786.8</v>
      </c>
      <c r="AL332" s="37">
        <f t="shared" si="83"/>
        <v>20.0285031292517</v>
      </c>
      <c r="AN332" s="37" t="str">
        <f t="shared" si="82"/>
        <v>Pallet</v>
      </c>
      <c r="AO332" s="194">
        <f t="shared" si="96"/>
        <v>12</v>
      </c>
    </row>
    <row r="333" spans="22:41" x14ac:dyDescent="0.2">
      <c r="V333" s="181">
        <f t="shared" si="84"/>
        <v>147.5</v>
      </c>
      <c r="W333" s="181">
        <f t="shared" si="85"/>
        <v>295</v>
      </c>
      <c r="X333" s="181">
        <f t="shared" si="86"/>
        <v>1</v>
      </c>
      <c r="Y333" s="37">
        <f t="shared" si="87"/>
        <v>1917.1</v>
      </c>
      <c r="Z333" s="181">
        <f t="shared" si="88"/>
        <v>345.5</v>
      </c>
      <c r="AA333" s="127">
        <f t="shared" si="89"/>
        <v>595.21331999999995</v>
      </c>
      <c r="AB333" s="127">
        <f t="shared" si="90"/>
        <v>595.21331999999995</v>
      </c>
      <c r="AC333" s="37">
        <f t="shared" si="78"/>
        <v>3971.2799199999999</v>
      </c>
      <c r="AD333" s="37">
        <f t="shared" si="91"/>
        <v>5888.3799199999994</v>
      </c>
      <c r="AE333" s="181">
        <f t="shared" si="79"/>
        <v>12</v>
      </c>
      <c r="AF333" s="37">
        <f t="shared" si="92"/>
        <v>8424</v>
      </c>
      <c r="AG333" s="181">
        <f t="shared" si="80"/>
        <v>494.29999999999995</v>
      </c>
      <c r="AH333" s="111">
        <f t="shared" si="93"/>
        <v>331.73971199999994</v>
      </c>
      <c r="AI333" s="127">
        <f t="shared" si="94"/>
        <v>494.29999999999995</v>
      </c>
      <c r="AJ333" s="37">
        <f t="shared" si="81"/>
        <v>3365.7999999999997</v>
      </c>
      <c r="AK333" s="37">
        <f t="shared" si="95"/>
        <v>11789.8</v>
      </c>
      <c r="AL333" s="37">
        <f t="shared" si="83"/>
        <v>19.960609898305083</v>
      </c>
      <c r="AN333" s="37" t="str">
        <f t="shared" si="82"/>
        <v>Pallet</v>
      </c>
      <c r="AO333" s="194">
        <f t="shared" si="96"/>
        <v>12</v>
      </c>
    </row>
    <row r="334" spans="22:41" x14ac:dyDescent="0.2">
      <c r="V334" s="181">
        <f t="shared" si="84"/>
        <v>148</v>
      </c>
      <c r="W334" s="181">
        <f t="shared" si="85"/>
        <v>296</v>
      </c>
      <c r="X334" s="181">
        <f t="shared" si="86"/>
        <v>1</v>
      </c>
      <c r="Y334" s="37">
        <f t="shared" si="87"/>
        <v>1917.1</v>
      </c>
      <c r="Z334" s="181">
        <f t="shared" si="88"/>
        <v>346</v>
      </c>
      <c r="AA334" s="127">
        <f t="shared" si="89"/>
        <v>595.21331999999995</v>
      </c>
      <c r="AB334" s="127">
        <f t="shared" si="90"/>
        <v>595.21331999999995</v>
      </c>
      <c r="AC334" s="37">
        <f t="shared" si="78"/>
        <v>3971.2799199999999</v>
      </c>
      <c r="AD334" s="37">
        <f t="shared" si="91"/>
        <v>5888.3799199999994</v>
      </c>
      <c r="AE334" s="181">
        <f t="shared" si="79"/>
        <v>12</v>
      </c>
      <c r="AF334" s="37">
        <f t="shared" si="92"/>
        <v>8424</v>
      </c>
      <c r="AG334" s="181">
        <f t="shared" si="80"/>
        <v>494.79999999999995</v>
      </c>
      <c r="AH334" s="111">
        <f t="shared" si="93"/>
        <v>331.73971199999994</v>
      </c>
      <c r="AI334" s="127">
        <f t="shared" si="94"/>
        <v>494.79999999999995</v>
      </c>
      <c r="AJ334" s="37">
        <f t="shared" si="81"/>
        <v>3368.7999999999997</v>
      </c>
      <c r="AK334" s="37">
        <f t="shared" si="95"/>
        <v>11792.8</v>
      </c>
      <c r="AL334" s="37">
        <f t="shared" si="83"/>
        <v>19.893175405405405</v>
      </c>
      <c r="AN334" s="37" t="str">
        <f t="shared" si="82"/>
        <v>Pallet</v>
      </c>
      <c r="AO334" s="194">
        <f t="shared" si="96"/>
        <v>12</v>
      </c>
    </row>
    <row r="335" spans="22:41" x14ac:dyDescent="0.2">
      <c r="V335" s="181">
        <f t="shared" si="84"/>
        <v>148.5</v>
      </c>
      <c r="W335" s="181">
        <f t="shared" si="85"/>
        <v>297</v>
      </c>
      <c r="X335" s="181">
        <f t="shared" si="86"/>
        <v>1</v>
      </c>
      <c r="Y335" s="37">
        <f t="shared" si="87"/>
        <v>1917.1</v>
      </c>
      <c r="Z335" s="181">
        <f t="shared" si="88"/>
        <v>346.5</v>
      </c>
      <c r="AA335" s="127">
        <f t="shared" si="89"/>
        <v>595.21331999999995</v>
      </c>
      <c r="AB335" s="127">
        <f t="shared" si="90"/>
        <v>595.21331999999995</v>
      </c>
      <c r="AC335" s="37">
        <f t="shared" si="78"/>
        <v>3971.2799199999999</v>
      </c>
      <c r="AD335" s="37">
        <f t="shared" si="91"/>
        <v>5888.3799199999994</v>
      </c>
      <c r="AE335" s="181">
        <f t="shared" si="79"/>
        <v>12</v>
      </c>
      <c r="AF335" s="37">
        <f t="shared" si="92"/>
        <v>8424</v>
      </c>
      <c r="AG335" s="181">
        <f t="shared" si="80"/>
        <v>495.29999999999995</v>
      </c>
      <c r="AH335" s="111">
        <f t="shared" si="93"/>
        <v>331.73971199999994</v>
      </c>
      <c r="AI335" s="127">
        <f t="shared" si="94"/>
        <v>495.29999999999995</v>
      </c>
      <c r="AJ335" s="37">
        <f t="shared" si="81"/>
        <v>3371.7999999999997</v>
      </c>
      <c r="AK335" s="37">
        <f t="shared" si="95"/>
        <v>11795.8</v>
      </c>
      <c r="AL335" s="37">
        <f t="shared" si="83"/>
        <v>19.826195016835015</v>
      </c>
      <c r="AN335" s="37" t="str">
        <f t="shared" si="82"/>
        <v>Pallet</v>
      </c>
      <c r="AO335" s="194">
        <f t="shared" si="96"/>
        <v>12</v>
      </c>
    </row>
    <row r="336" spans="22:41" x14ac:dyDescent="0.2">
      <c r="V336" s="181">
        <f t="shared" si="84"/>
        <v>149</v>
      </c>
      <c r="W336" s="181">
        <f t="shared" si="85"/>
        <v>298</v>
      </c>
      <c r="X336" s="181">
        <f t="shared" si="86"/>
        <v>1</v>
      </c>
      <c r="Y336" s="37">
        <f t="shared" si="87"/>
        <v>1917.1</v>
      </c>
      <c r="Z336" s="181">
        <f t="shared" si="88"/>
        <v>347</v>
      </c>
      <c r="AA336" s="127">
        <f t="shared" si="89"/>
        <v>595.21331999999995</v>
      </c>
      <c r="AB336" s="127">
        <f t="shared" si="90"/>
        <v>595.21331999999995</v>
      </c>
      <c r="AC336" s="37">
        <f t="shared" si="78"/>
        <v>3971.2799199999999</v>
      </c>
      <c r="AD336" s="37">
        <f t="shared" si="91"/>
        <v>5888.3799199999994</v>
      </c>
      <c r="AE336" s="181">
        <f t="shared" si="79"/>
        <v>12</v>
      </c>
      <c r="AF336" s="37">
        <f t="shared" si="92"/>
        <v>8424</v>
      </c>
      <c r="AG336" s="181">
        <f t="shared" si="80"/>
        <v>495.79999999999995</v>
      </c>
      <c r="AH336" s="111">
        <f t="shared" si="93"/>
        <v>331.73971199999994</v>
      </c>
      <c r="AI336" s="127">
        <f t="shared" si="94"/>
        <v>495.79999999999995</v>
      </c>
      <c r="AJ336" s="37">
        <f t="shared" si="81"/>
        <v>3374.7999999999997</v>
      </c>
      <c r="AK336" s="37">
        <f t="shared" si="95"/>
        <v>11798.8</v>
      </c>
      <c r="AL336" s="37">
        <f t="shared" si="83"/>
        <v>19.759664161073822</v>
      </c>
      <c r="AN336" s="37" t="str">
        <f t="shared" si="82"/>
        <v>Pallet</v>
      </c>
      <c r="AO336" s="194">
        <f t="shared" si="96"/>
        <v>12</v>
      </c>
    </row>
    <row r="337" spans="22:41" x14ac:dyDescent="0.2">
      <c r="V337" s="181">
        <f t="shared" si="84"/>
        <v>149.5</v>
      </c>
      <c r="W337" s="181">
        <f t="shared" si="85"/>
        <v>299</v>
      </c>
      <c r="X337" s="181">
        <f t="shared" si="86"/>
        <v>1</v>
      </c>
      <c r="Y337" s="37">
        <f t="shared" si="87"/>
        <v>1917.1</v>
      </c>
      <c r="Z337" s="181">
        <f t="shared" si="88"/>
        <v>347.5</v>
      </c>
      <c r="AA337" s="127">
        <f t="shared" si="89"/>
        <v>595.21331999999995</v>
      </c>
      <c r="AB337" s="127">
        <f t="shared" si="90"/>
        <v>595.21331999999995</v>
      </c>
      <c r="AC337" s="37">
        <f t="shared" si="78"/>
        <v>3971.2799199999999</v>
      </c>
      <c r="AD337" s="37">
        <f t="shared" si="91"/>
        <v>5888.3799199999994</v>
      </c>
      <c r="AE337" s="181">
        <f t="shared" si="79"/>
        <v>12</v>
      </c>
      <c r="AF337" s="37">
        <f t="shared" si="92"/>
        <v>8424</v>
      </c>
      <c r="AG337" s="181">
        <f t="shared" si="80"/>
        <v>496.29999999999995</v>
      </c>
      <c r="AH337" s="111">
        <f t="shared" si="93"/>
        <v>331.73971199999994</v>
      </c>
      <c r="AI337" s="127">
        <f t="shared" si="94"/>
        <v>496.29999999999995</v>
      </c>
      <c r="AJ337" s="37">
        <f t="shared" si="81"/>
        <v>3377.7999999999997</v>
      </c>
      <c r="AK337" s="37">
        <f t="shared" si="95"/>
        <v>11801.8</v>
      </c>
      <c r="AL337" s="37">
        <f t="shared" si="83"/>
        <v>19.693578327759194</v>
      </c>
      <c r="AN337" s="37" t="str">
        <f t="shared" si="82"/>
        <v>Pallet</v>
      </c>
      <c r="AO337" s="194">
        <f t="shared" si="96"/>
        <v>12</v>
      </c>
    </row>
    <row r="338" spans="22:41" x14ac:dyDescent="0.2">
      <c r="V338" s="181">
        <f t="shared" si="84"/>
        <v>150</v>
      </c>
      <c r="W338" s="181">
        <f t="shared" si="85"/>
        <v>300</v>
      </c>
      <c r="X338" s="181">
        <f t="shared" si="86"/>
        <v>1</v>
      </c>
      <c r="Y338" s="37">
        <f t="shared" si="87"/>
        <v>1917.1</v>
      </c>
      <c r="Z338" s="181">
        <f t="shared" si="88"/>
        <v>348</v>
      </c>
      <c r="AA338" s="127">
        <f t="shared" si="89"/>
        <v>595.21331999999995</v>
      </c>
      <c r="AB338" s="127">
        <f t="shared" si="90"/>
        <v>595.21331999999995</v>
      </c>
      <c r="AC338" s="37">
        <f t="shared" si="78"/>
        <v>3971.2799199999999</v>
      </c>
      <c r="AD338" s="37">
        <f t="shared" si="91"/>
        <v>5888.3799199999994</v>
      </c>
      <c r="AE338" s="181">
        <f t="shared" si="79"/>
        <v>12</v>
      </c>
      <c r="AF338" s="37">
        <f t="shared" si="92"/>
        <v>8424</v>
      </c>
      <c r="AG338" s="181">
        <f t="shared" si="80"/>
        <v>496.79999999999995</v>
      </c>
      <c r="AH338" s="111">
        <f t="shared" si="93"/>
        <v>331.73971199999994</v>
      </c>
      <c r="AI338" s="127">
        <f t="shared" si="94"/>
        <v>496.79999999999995</v>
      </c>
      <c r="AJ338" s="37">
        <f t="shared" si="81"/>
        <v>3380.7999999999997</v>
      </c>
      <c r="AK338" s="37">
        <f t="shared" si="95"/>
        <v>11804.8</v>
      </c>
      <c r="AL338" s="37">
        <f t="shared" si="83"/>
        <v>19.627933066666664</v>
      </c>
      <c r="AN338" s="37" t="str">
        <f t="shared" si="82"/>
        <v>Pallet</v>
      </c>
      <c r="AO338" s="194">
        <f t="shared" si="96"/>
        <v>12</v>
      </c>
    </row>
    <row r="339" spans="22:41" x14ac:dyDescent="0.2">
      <c r="V339" s="181">
        <f t="shared" si="84"/>
        <v>150.5</v>
      </c>
      <c r="W339" s="181">
        <f t="shared" si="85"/>
        <v>301</v>
      </c>
      <c r="X339" s="181">
        <f t="shared" si="86"/>
        <v>1</v>
      </c>
      <c r="Y339" s="37">
        <f t="shared" si="87"/>
        <v>1917.1</v>
      </c>
      <c r="Z339" s="181">
        <f t="shared" si="88"/>
        <v>348.5</v>
      </c>
      <c r="AA339" s="127">
        <f t="shared" si="89"/>
        <v>595.21331999999995</v>
      </c>
      <c r="AB339" s="127">
        <f t="shared" si="90"/>
        <v>595.21331999999995</v>
      </c>
      <c r="AC339" s="37">
        <f t="shared" si="78"/>
        <v>3971.2799199999999</v>
      </c>
      <c r="AD339" s="37">
        <f t="shared" si="91"/>
        <v>5888.3799199999994</v>
      </c>
      <c r="AE339" s="181">
        <f t="shared" si="79"/>
        <v>12</v>
      </c>
      <c r="AF339" s="37">
        <f t="shared" si="92"/>
        <v>8424</v>
      </c>
      <c r="AG339" s="181">
        <f t="shared" si="80"/>
        <v>497.29999999999995</v>
      </c>
      <c r="AH339" s="111">
        <f t="shared" si="93"/>
        <v>331.73971199999994</v>
      </c>
      <c r="AI339" s="127">
        <f t="shared" si="94"/>
        <v>497.29999999999995</v>
      </c>
      <c r="AJ339" s="37">
        <f t="shared" si="81"/>
        <v>3383.7999999999997</v>
      </c>
      <c r="AK339" s="37">
        <f t="shared" si="95"/>
        <v>11807.8</v>
      </c>
      <c r="AL339" s="37">
        <f t="shared" si="83"/>
        <v>19.56272398671096</v>
      </c>
      <c r="AN339" s="37" t="str">
        <f t="shared" si="82"/>
        <v>Pallet</v>
      </c>
      <c r="AO339" s="194">
        <f t="shared" si="96"/>
        <v>12</v>
      </c>
    </row>
    <row r="340" spans="22:41" x14ac:dyDescent="0.2">
      <c r="V340" s="181">
        <f t="shared" si="84"/>
        <v>151</v>
      </c>
      <c r="W340" s="181">
        <f t="shared" si="85"/>
        <v>302</v>
      </c>
      <c r="X340" s="181">
        <f t="shared" si="86"/>
        <v>1</v>
      </c>
      <c r="Y340" s="37">
        <f t="shared" si="87"/>
        <v>1917.1</v>
      </c>
      <c r="Z340" s="181">
        <f t="shared" si="88"/>
        <v>349</v>
      </c>
      <c r="AA340" s="127">
        <f t="shared" si="89"/>
        <v>595.21331999999995</v>
      </c>
      <c r="AB340" s="127">
        <f t="shared" si="90"/>
        <v>595.21331999999995</v>
      </c>
      <c r="AC340" s="37">
        <f t="shared" si="78"/>
        <v>3971.2799199999999</v>
      </c>
      <c r="AD340" s="37">
        <f t="shared" si="91"/>
        <v>5888.3799199999994</v>
      </c>
      <c r="AE340" s="181">
        <f t="shared" si="79"/>
        <v>12</v>
      </c>
      <c r="AF340" s="37">
        <f t="shared" si="92"/>
        <v>8424</v>
      </c>
      <c r="AG340" s="181">
        <f t="shared" si="80"/>
        <v>497.79999999999995</v>
      </c>
      <c r="AH340" s="111">
        <f t="shared" si="93"/>
        <v>331.73971199999994</v>
      </c>
      <c r="AI340" s="127">
        <f t="shared" si="94"/>
        <v>497.79999999999995</v>
      </c>
      <c r="AJ340" s="37">
        <f t="shared" si="81"/>
        <v>3386.7999999999997</v>
      </c>
      <c r="AK340" s="37">
        <f t="shared" si="95"/>
        <v>11810.8</v>
      </c>
      <c r="AL340" s="37">
        <f t="shared" si="83"/>
        <v>19.497946754966886</v>
      </c>
      <c r="AN340" s="37" t="str">
        <f t="shared" si="82"/>
        <v>Pallet</v>
      </c>
      <c r="AO340" s="194">
        <f t="shared" si="96"/>
        <v>12</v>
      </c>
    </row>
    <row r="341" spans="22:41" x14ac:dyDescent="0.2">
      <c r="V341" s="181">
        <f t="shared" si="84"/>
        <v>151.5</v>
      </c>
      <c r="W341" s="181">
        <f t="shared" si="85"/>
        <v>303</v>
      </c>
      <c r="X341" s="181">
        <f t="shared" si="86"/>
        <v>1</v>
      </c>
      <c r="Y341" s="37">
        <f t="shared" si="87"/>
        <v>1917.1</v>
      </c>
      <c r="Z341" s="181">
        <f t="shared" si="88"/>
        <v>349.5</v>
      </c>
      <c r="AA341" s="127">
        <f t="shared" si="89"/>
        <v>595.21331999999995</v>
      </c>
      <c r="AB341" s="127">
        <f t="shared" si="90"/>
        <v>595.21331999999995</v>
      </c>
      <c r="AC341" s="37">
        <f t="shared" si="78"/>
        <v>3971.2799199999999</v>
      </c>
      <c r="AD341" s="37">
        <f t="shared" si="91"/>
        <v>5888.3799199999994</v>
      </c>
      <c r="AE341" s="181">
        <f t="shared" si="79"/>
        <v>12</v>
      </c>
      <c r="AF341" s="37">
        <f t="shared" si="92"/>
        <v>8424</v>
      </c>
      <c r="AG341" s="181">
        <f t="shared" si="80"/>
        <v>498.29999999999995</v>
      </c>
      <c r="AH341" s="111">
        <f t="shared" si="93"/>
        <v>331.73971199999994</v>
      </c>
      <c r="AI341" s="127">
        <f t="shared" si="94"/>
        <v>498.29999999999995</v>
      </c>
      <c r="AJ341" s="37">
        <f t="shared" si="81"/>
        <v>3389.7999999999997</v>
      </c>
      <c r="AK341" s="37">
        <f t="shared" si="95"/>
        <v>11813.8</v>
      </c>
      <c r="AL341" s="37">
        <f t="shared" si="83"/>
        <v>19.433597095709569</v>
      </c>
      <c r="AN341" s="37" t="str">
        <f t="shared" si="82"/>
        <v>Pallet</v>
      </c>
      <c r="AO341" s="194">
        <f t="shared" si="96"/>
        <v>12</v>
      </c>
    </row>
    <row r="342" spans="22:41" x14ac:dyDescent="0.2">
      <c r="V342" s="181">
        <f t="shared" si="84"/>
        <v>152</v>
      </c>
      <c r="W342" s="181">
        <f t="shared" si="85"/>
        <v>304</v>
      </c>
      <c r="X342" s="181">
        <f t="shared" si="86"/>
        <v>1</v>
      </c>
      <c r="Y342" s="37">
        <f t="shared" si="87"/>
        <v>1917.1</v>
      </c>
      <c r="Z342" s="181">
        <f t="shared" si="88"/>
        <v>350</v>
      </c>
      <c r="AA342" s="127">
        <f t="shared" si="89"/>
        <v>595.21331999999995</v>
      </c>
      <c r="AB342" s="127">
        <f t="shared" si="90"/>
        <v>595.21331999999995</v>
      </c>
      <c r="AC342" s="37">
        <f t="shared" si="78"/>
        <v>3971.2799199999999</v>
      </c>
      <c r="AD342" s="37">
        <f t="shared" si="91"/>
        <v>5888.3799199999994</v>
      </c>
      <c r="AE342" s="181">
        <f t="shared" si="79"/>
        <v>12</v>
      </c>
      <c r="AF342" s="37">
        <f t="shared" si="92"/>
        <v>8424</v>
      </c>
      <c r="AG342" s="181">
        <f t="shared" si="80"/>
        <v>498.79999999999995</v>
      </c>
      <c r="AH342" s="111">
        <f t="shared" si="93"/>
        <v>331.73971199999994</v>
      </c>
      <c r="AI342" s="127">
        <f t="shared" si="94"/>
        <v>498.79999999999995</v>
      </c>
      <c r="AJ342" s="37">
        <f t="shared" si="81"/>
        <v>3392.7999999999997</v>
      </c>
      <c r="AK342" s="37">
        <f t="shared" si="95"/>
        <v>11816.8</v>
      </c>
      <c r="AL342" s="37">
        <f t="shared" si="83"/>
        <v>19.369670789473684</v>
      </c>
      <c r="AN342" s="37" t="str">
        <f t="shared" si="82"/>
        <v>Pallet</v>
      </c>
      <c r="AO342" s="194">
        <f t="shared" si="96"/>
        <v>12</v>
      </c>
    </row>
    <row r="343" spans="22:41" x14ac:dyDescent="0.2">
      <c r="V343" s="181">
        <f t="shared" si="84"/>
        <v>152.5</v>
      </c>
      <c r="W343" s="181">
        <f t="shared" si="85"/>
        <v>305</v>
      </c>
      <c r="X343" s="181">
        <f t="shared" si="86"/>
        <v>1</v>
      </c>
      <c r="Y343" s="37">
        <f t="shared" si="87"/>
        <v>1917.1</v>
      </c>
      <c r="Z343" s="181">
        <f t="shared" si="88"/>
        <v>350.5</v>
      </c>
      <c r="AA343" s="127">
        <f t="shared" si="89"/>
        <v>595.21331999999995</v>
      </c>
      <c r="AB343" s="127">
        <f t="shared" si="90"/>
        <v>595.21331999999995</v>
      </c>
      <c r="AC343" s="37">
        <f t="shared" si="78"/>
        <v>3971.2799199999999</v>
      </c>
      <c r="AD343" s="37">
        <f t="shared" si="91"/>
        <v>5888.3799199999994</v>
      </c>
      <c r="AE343" s="181">
        <f t="shared" si="79"/>
        <v>12</v>
      </c>
      <c r="AF343" s="37">
        <f t="shared" si="92"/>
        <v>8424</v>
      </c>
      <c r="AG343" s="181">
        <f t="shared" si="80"/>
        <v>499.29999999999995</v>
      </c>
      <c r="AH343" s="111">
        <f t="shared" si="93"/>
        <v>331.73971199999994</v>
      </c>
      <c r="AI343" s="127">
        <f t="shared" si="94"/>
        <v>499.29999999999995</v>
      </c>
      <c r="AJ343" s="37">
        <f t="shared" si="81"/>
        <v>3395.7999999999997</v>
      </c>
      <c r="AK343" s="37">
        <f t="shared" si="95"/>
        <v>11819.8</v>
      </c>
      <c r="AL343" s="37">
        <f t="shared" si="83"/>
        <v>19.306163672131145</v>
      </c>
      <c r="AN343" s="37" t="str">
        <f t="shared" si="82"/>
        <v>Pallet</v>
      </c>
      <c r="AO343" s="194">
        <f t="shared" si="96"/>
        <v>12</v>
      </c>
    </row>
    <row r="344" spans="22:41" x14ac:dyDescent="0.2">
      <c r="V344" s="181">
        <f t="shared" si="84"/>
        <v>153</v>
      </c>
      <c r="W344" s="181">
        <f t="shared" si="85"/>
        <v>306</v>
      </c>
      <c r="X344" s="181">
        <f t="shared" si="86"/>
        <v>1</v>
      </c>
      <c r="Y344" s="37">
        <f t="shared" si="87"/>
        <v>1917.1</v>
      </c>
      <c r="Z344" s="181">
        <f t="shared" si="88"/>
        <v>351</v>
      </c>
      <c r="AA344" s="127">
        <f t="shared" si="89"/>
        <v>595.21331999999995</v>
      </c>
      <c r="AB344" s="127">
        <f t="shared" si="90"/>
        <v>595.21331999999995</v>
      </c>
      <c r="AC344" s="37">
        <f t="shared" si="78"/>
        <v>3971.2799199999999</v>
      </c>
      <c r="AD344" s="37">
        <f t="shared" si="91"/>
        <v>5888.3799199999994</v>
      </c>
      <c r="AE344" s="181">
        <f t="shared" si="79"/>
        <v>12</v>
      </c>
      <c r="AF344" s="37">
        <f t="shared" si="92"/>
        <v>8424</v>
      </c>
      <c r="AG344" s="181">
        <f t="shared" si="80"/>
        <v>499.79999999999995</v>
      </c>
      <c r="AH344" s="111">
        <f t="shared" si="93"/>
        <v>331.73971199999994</v>
      </c>
      <c r="AI344" s="127">
        <f t="shared" si="94"/>
        <v>499.79999999999995</v>
      </c>
      <c r="AJ344" s="37">
        <f t="shared" si="81"/>
        <v>3398.7999999999997</v>
      </c>
      <c r="AK344" s="37">
        <f t="shared" si="95"/>
        <v>11822.8</v>
      </c>
      <c r="AL344" s="37">
        <f t="shared" si="83"/>
        <v>19.243071633986926</v>
      </c>
      <c r="AN344" s="37" t="str">
        <f t="shared" si="82"/>
        <v>Pallet</v>
      </c>
      <c r="AO344" s="194">
        <f t="shared" si="96"/>
        <v>12</v>
      </c>
    </row>
    <row r="345" spans="22:41" x14ac:dyDescent="0.2">
      <c r="V345" s="181">
        <f t="shared" si="84"/>
        <v>153.5</v>
      </c>
      <c r="W345" s="181">
        <f t="shared" si="85"/>
        <v>307</v>
      </c>
      <c r="X345" s="181">
        <f t="shared" si="86"/>
        <v>1</v>
      </c>
      <c r="Y345" s="37">
        <f t="shared" si="87"/>
        <v>1917.1</v>
      </c>
      <c r="Z345" s="181">
        <f t="shared" si="88"/>
        <v>351.5</v>
      </c>
      <c r="AA345" s="127">
        <f t="shared" si="89"/>
        <v>595.21331999999995</v>
      </c>
      <c r="AB345" s="127">
        <f t="shared" si="90"/>
        <v>595.21331999999995</v>
      </c>
      <c r="AC345" s="37">
        <f t="shared" si="78"/>
        <v>3971.2799199999999</v>
      </c>
      <c r="AD345" s="37">
        <f t="shared" si="91"/>
        <v>5888.3799199999994</v>
      </c>
      <c r="AE345" s="181">
        <f t="shared" si="79"/>
        <v>12</v>
      </c>
      <c r="AF345" s="37">
        <f t="shared" si="92"/>
        <v>8424</v>
      </c>
      <c r="AG345" s="181">
        <f t="shared" si="80"/>
        <v>500.29999999999995</v>
      </c>
      <c r="AH345" s="111">
        <f t="shared" si="93"/>
        <v>331.73971199999994</v>
      </c>
      <c r="AI345" s="127">
        <f t="shared" si="94"/>
        <v>500.29999999999995</v>
      </c>
      <c r="AJ345" s="37">
        <f t="shared" si="81"/>
        <v>3401.7999999999997</v>
      </c>
      <c r="AK345" s="37">
        <f t="shared" si="95"/>
        <v>11825.8</v>
      </c>
      <c r="AL345" s="37">
        <f t="shared" si="83"/>
        <v>19.180390618892506</v>
      </c>
      <c r="AN345" s="37" t="str">
        <f t="shared" si="82"/>
        <v>Pallet</v>
      </c>
      <c r="AO345" s="194">
        <f t="shared" si="96"/>
        <v>12</v>
      </c>
    </row>
    <row r="346" spans="22:41" x14ac:dyDescent="0.2">
      <c r="V346" s="181">
        <f t="shared" si="84"/>
        <v>154</v>
      </c>
      <c r="W346" s="181">
        <f t="shared" si="85"/>
        <v>308</v>
      </c>
      <c r="X346" s="181">
        <f t="shared" si="86"/>
        <v>1</v>
      </c>
      <c r="Y346" s="37">
        <f t="shared" si="87"/>
        <v>1917.1</v>
      </c>
      <c r="Z346" s="181">
        <f t="shared" si="88"/>
        <v>352</v>
      </c>
      <c r="AA346" s="127">
        <f t="shared" si="89"/>
        <v>595.21331999999995</v>
      </c>
      <c r="AB346" s="127">
        <f t="shared" si="90"/>
        <v>595.21331999999995</v>
      </c>
      <c r="AC346" s="37">
        <f t="shared" si="78"/>
        <v>3971.2799199999999</v>
      </c>
      <c r="AD346" s="37">
        <f t="shared" si="91"/>
        <v>5888.3799199999994</v>
      </c>
      <c r="AE346" s="181">
        <f t="shared" si="79"/>
        <v>12</v>
      </c>
      <c r="AF346" s="37">
        <f t="shared" si="92"/>
        <v>8424</v>
      </c>
      <c r="AG346" s="181">
        <f t="shared" si="80"/>
        <v>500.79999999999995</v>
      </c>
      <c r="AH346" s="111">
        <f t="shared" si="93"/>
        <v>331.73971199999994</v>
      </c>
      <c r="AI346" s="127">
        <f t="shared" si="94"/>
        <v>500.79999999999995</v>
      </c>
      <c r="AJ346" s="37">
        <f t="shared" si="81"/>
        <v>3404.7999999999997</v>
      </c>
      <c r="AK346" s="37">
        <f t="shared" si="95"/>
        <v>11828.8</v>
      </c>
      <c r="AL346" s="37">
        <f t="shared" si="83"/>
        <v>19.118116623376622</v>
      </c>
      <c r="AN346" s="37" t="str">
        <f t="shared" si="82"/>
        <v>Pallet</v>
      </c>
      <c r="AO346" s="194">
        <f t="shared" si="96"/>
        <v>12</v>
      </c>
    </row>
    <row r="347" spans="22:41" x14ac:dyDescent="0.2">
      <c r="V347" s="181">
        <f t="shared" si="84"/>
        <v>154.5</v>
      </c>
      <c r="W347" s="181">
        <f t="shared" si="85"/>
        <v>309</v>
      </c>
      <c r="X347" s="181">
        <f t="shared" si="86"/>
        <v>1</v>
      </c>
      <c r="Y347" s="37">
        <f t="shared" si="87"/>
        <v>1917.1</v>
      </c>
      <c r="Z347" s="181">
        <f t="shared" si="88"/>
        <v>352.5</v>
      </c>
      <c r="AA347" s="127">
        <f t="shared" si="89"/>
        <v>595.21331999999995</v>
      </c>
      <c r="AB347" s="127">
        <f t="shared" si="90"/>
        <v>595.21331999999995</v>
      </c>
      <c r="AC347" s="37">
        <f t="shared" si="78"/>
        <v>3971.2799199999999</v>
      </c>
      <c r="AD347" s="37">
        <f t="shared" si="91"/>
        <v>5888.3799199999994</v>
      </c>
      <c r="AE347" s="181">
        <f t="shared" si="79"/>
        <v>12</v>
      </c>
      <c r="AF347" s="37">
        <f t="shared" si="92"/>
        <v>8424</v>
      </c>
      <c r="AG347" s="181">
        <f t="shared" si="80"/>
        <v>501.29999999999995</v>
      </c>
      <c r="AH347" s="111">
        <f t="shared" si="93"/>
        <v>331.73971199999994</v>
      </c>
      <c r="AI347" s="127">
        <f t="shared" si="94"/>
        <v>501.29999999999995</v>
      </c>
      <c r="AJ347" s="37">
        <f t="shared" si="81"/>
        <v>3407.7999999999997</v>
      </c>
      <c r="AK347" s="37">
        <f t="shared" si="95"/>
        <v>11831.8</v>
      </c>
      <c r="AL347" s="37">
        <f t="shared" si="83"/>
        <v>19.056245695792878</v>
      </c>
      <c r="AN347" s="37" t="str">
        <f t="shared" si="82"/>
        <v>Pallet</v>
      </c>
      <c r="AO347" s="194">
        <f t="shared" si="96"/>
        <v>12</v>
      </c>
    </row>
    <row r="348" spans="22:41" x14ac:dyDescent="0.2">
      <c r="V348" s="181">
        <f t="shared" si="84"/>
        <v>155</v>
      </c>
      <c r="W348" s="181">
        <f t="shared" si="85"/>
        <v>310</v>
      </c>
      <c r="X348" s="181">
        <f t="shared" si="86"/>
        <v>1</v>
      </c>
      <c r="Y348" s="37">
        <f t="shared" si="87"/>
        <v>1917.1</v>
      </c>
      <c r="Z348" s="181">
        <f t="shared" si="88"/>
        <v>353</v>
      </c>
      <c r="AA348" s="127">
        <f t="shared" si="89"/>
        <v>595.21331999999995</v>
      </c>
      <c r="AB348" s="127">
        <f t="shared" si="90"/>
        <v>595.21331999999995</v>
      </c>
      <c r="AC348" s="37">
        <f t="shared" si="78"/>
        <v>3971.2799199999999</v>
      </c>
      <c r="AD348" s="37">
        <f t="shared" si="91"/>
        <v>5888.3799199999994</v>
      </c>
      <c r="AE348" s="181">
        <f t="shared" si="79"/>
        <v>13</v>
      </c>
      <c r="AF348" s="37">
        <f t="shared" si="92"/>
        <v>9126</v>
      </c>
      <c r="AG348" s="181">
        <f t="shared" si="80"/>
        <v>530.70000000000005</v>
      </c>
      <c r="AH348" s="111">
        <f t="shared" si="93"/>
        <v>359.38468799999993</v>
      </c>
      <c r="AI348" s="127">
        <f t="shared" si="94"/>
        <v>530.70000000000005</v>
      </c>
      <c r="AJ348" s="37">
        <f t="shared" si="81"/>
        <v>3584.2000000000003</v>
      </c>
      <c r="AK348" s="37">
        <f t="shared" si="95"/>
        <v>12710.2</v>
      </c>
      <c r="AL348" s="37">
        <f t="shared" si="83"/>
        <v>18.99477393548387</v>
      </c>
      <c r="AN348" s="37" t="str">
        <f t="shared" si="82"/>
        <v>Pallet</v>
      </c>
      <c r="AO348" s="194">
        <f t="shared" si="96"/>
        <v>12</v>
      </c>
    </row>
    <row r="349" spans="22:41" x14ac:dyDescent="0.2">
      <c r="V349" s="181">
        <f t="shared" si="84"/>
        <v>155.5</v>
      </c>
      <c r="W349" s="181">
        <f t="shared" si="85"/>
        <v>311</v>
      </c>
      <c r="X349" s="181">
        <f t="shared" si="86"/>
        <v>1</v>
      </c>
      <c r="Y349" s="37">
        <f t="shared" si="87"/>
        <v>1917.1</v>
      </c>
      <c r="Z349" s="181">
        <f t="shared" si="88"/>
        <v>353.5</v>
      </c>
      <c r="AA349" s="127">
        <f t="shared" si="89"/>
        <v>595.21331999999995</v>
      </c>
      <c r="AB349" s="127">
        <f t="shared" si="90"/>
        <v>595.21331999999995</v>
      </c>
      <c r="AC349" s="37">
        <f t="shared" si="78"/>
        <v>3971.2799199999999</v>
      </c>
      <c r="AD349" s="37">
        <f t="shared" si="91"/>
        <v>5888.3799199999994</v>
      </c>
      <c r="AE349" s="181">
        <f t="shared" si="79"/>
        <v>13</v>
      </c>
      <c r="AF349" s="37">
        <f t="shared" si="92"/>
        <v>9126</v>
      </c>
      <c r="AG349" s="181">
        <f t="shared" si="80"/>
        <v>531.20000000000005</v>
      </c>
      <c r="AH349" s="111">
        <f t="shared" si="93"/>
        <v>359.38468799999993</v>
      </c>
      <c r="AI349" s="127">
        <f t="shared" si="94"/>
        <v>531.20000000000005</v>
      </c>
      <c r="AJ349" s="37">
        <f t="shared" si="81"/>
        <v>3587.2000000000003</v>
      </c>
      <c r="AK349" s="37">
        <f t="shared" si="95"/>
        <v>12713.2</v>
      </c>
      <c r="AL349" s="37">
        <f t="shared" si="83"/>
        <v>18.933697491961414</v>
      </c>
      <c r="AN349" s="37" t="str">
        <f t="shared" si="82"/>
        <v>Pallet</v>
      </c>
      <c r="AO349" s="194">
        <f t="shared" si="96"/>
        <v>13</v>
      </c>
    </row>
    <row r="350" spans="22:41" x14ac:dyDescent="0.2">
      <c r="V350" s="181">
        <f t="shared" si="84"/>
        <v>156</v>
      </c>
      <c r="W350" s="181">
        <f t="shared" si="85"/>
        <v>312</v>
      </c>
      <c r="X350" s="181">
        <f t="shared" si="86"/>
        <v>1</v>
      </c>
      <c r="Y350" s="37">
        <f t="shared" si="87"/>
        <v>1917.1</v>
      </c>
      <c r="Z350" s="181">
        <f t="shared" si="88"/>
        <v>354</v>
      </c>
      <c r="AA350" s="127">
        <f t="shared" si="89"/>
        <v>595.21331999999995</v>
      </c>
      <c r="AB350" s="127">
        <f t="shared" si="90"/>
        <v>595.21331999999995</v>
      </c>
      <c r="AC350" s="37">
        <f t="shared" si="78"/>
        <v>3971.2799199999999</v>
      </c>
      <c r="AD350" s="37">
        <f t="shared" si="91"/>
        <v>5888.3799199999994</v>
      </c>
      <c r="AE350" s="181">
        <f t="shared" si="79"/>
        <v>13</v>
      </c>
      <c r="AF350" s="37">
        <f t="shared" si="92"/>
        <v>9126</v>
      </c>
      <c r="AG350" s="181">
        <f t="shared" si="80"/>
        <v>531.70000000000005</v>
      </c>
      <c r="AH350" s="111">
        <f t="shared" si="93"/>
        <v>359.38468799999993</v>
      </c>
      <c r="AI350" s="127">
        <f t="shared" si="94"/>
        <v>531.70000000000005</v>
      </c>
      <c r="AJ350" s="37">
        <f t="shared" si="81"/>
        <v>3590.2000000000003</v>
      </c>
      <c r="AK350" s="37">
        <f t="shared" si="95"/>
        <v>12716.2</v>
      </c>
      <c r="AL350" s="37">
        <f t="shared" si="83"/>
        <v>18.873012564102563</v>
      </c>
      <c r="AN350" s="37" t="str">
        <f t="shared" si="82"/>
        <v>Pallet</v>
      </c>
      <c r="AO350" s="194">
        <f t="shared" si="96"/>
        <v>13</v>
      </c>
    </row>
    <row r="351" spans="22:41" x14ac:dyDescent="0.2">
      <c r="V351" s="181">
        <f t="shared" si="84"/>
        <v>156.5</v>
      </c>
      <c r="W351" s="181">
        <f t="shared" si="85"/>
        <v>313</v>
      </c>
      <c r="X351" s="181">
        <f t="shared" si="86"/>
        <v>1</v>
      </c>
      <c r="Y351" s="37">
        <f t="shared" si="87"/>
        <v>1917.1</v>
      </c>
      <c r="Z351" s="181">
        <f t="shared" si="88"/>
        <v>354.5</v>
      </c>
      <c r="AA351" s="127">
        <f t="shared" si="89"/>
        <v>595.21331999999995</v>
      </c>
      <c r="AB351" s="127">
        <f t="shared" si="90"/>
        <v>595.21331999999995</v>
      </c>
      <c r="AC351" s="37">
        <f t="shared" si="78"/>
        <v>3971.2799199999999</v>
      </c>
      <c r="AD351" s="37">
        <f t="shared" si="91"/>
        <v>5888.3799199999994</v>
      </c>
      <c r="AE351" s="181">
        <f t="shared" si="79"/>
        <v>13</v>
      </c>
      <c r="AF351" s="37">
        <f t="shared" si="92"/>
        <v>9126</v>
      </c>
      <c r="AG351" s="181">
        <f t="shared" si="80"/>
        <v>532.20000000000005</v>
      </c>
      <c r="AH351" s="111">
        <f t="shared" si="93"/>
        <v>359.38468799999993</v>
      </c>
      <c r="AI351" s="127">
        <f t="shared" si="94"/>
        <v>532.20000000000005</v>
      </c>
      <c r="AJ351" s="37">
        <f t="shared" si="81"/>
        <v>3593.2000000000003</v>
      </c>
      <c r="AK351" s="37">
        <f t="shared" si="95"/>
        <v>12719.2</v>
      </c>
      <c r="AL351" s="37">
        <f t="shared" si="83"/>
        <v>18.812715399361021</v>
      </c>
      <c r="AN351" s="37" t="str">
        <f t="shared" si="82"/>
        <v>Pallet</v>
      </c>
      <c r="AO351" s="194">
        <f t="shared" si="96"/>
        <v>13</v>
      </c>
    </row>
    <row r="352" spans="22:41" x14ac:dyDescent="0.2">
      <c r="V352" s="181">
        <f t="shared" si="84"/>
        <v>157</v>
      </c>
      <c r="W352" s="181">
        <f t="shared" si="85"/>
        <v>314</v>
      </c>
      <c r="X352" s="181">
        <f t="shared" si="86"/>
        <v>1</v>
      </c>
      <c r="Y352" s="37">
        <f t="shared" si="87"/>
        <v>1917.1</v>
      </c>
      <c r="Z352" s="181">
        <f t="shared" si="88"/>
        <v>355</v>
      </c>
      <c r="AA352" s="127">
        <f t="shared" si="89"/>
        <v>595.21331999999995</v>
      </c>
      <c r="AB352" s="127">
        <f t="shared" si="90"/>
        <v>595.21331999999995</v>
      </c>
      <c r="AC352" s="37">
        <f t="shared" si="78"/>
        <v>3971.2799199999999</v>
      </c>
      <c r="AD352" s="37">
        <f t="shared" si="91"/>
        <v>5888.3799199999994</v>
      </c>
      <c r="AE352" s="181">
        <f t="shared" si="79"/>
        <v>13</v>
      </c>
      <c r="AF352" s="37">
        <f t="shared" si="92"/>
        <v>9126</v>
      </c>
      <c r="AG352" s="181">
        <f t="shared" si="80"/>
        <v>532.70000000000005</v>
      </c>
      <c r="AH352" s="111">
        <f t="shared" si="93"/>
        <v>359.38468799999993</v>
      </c>
      <c r="AI352" s="127">
        <f t="shared" si="94"/>
        <v>532.70000000000005</v>
      </c>
      <c r="AJ352" s="37">
        <f t="shared" si="81"/>
        <v>3596.2000000000003</v>
      </c>
      <c r="AK352" s="37">
        <f t="shared" si="95"/>
        <v>12722.2</v>
      </c>
      <c r="AL352" s="37">
        <f t="shared" si="83"/>
        <v>18.752802292993628</v>
      </c>
      <c r="AN352" s="37" t="str">
        <f t="shared" si="82"/>
        <v>Pallet</v>
      </c>
      <c r="AO352" s="194">
        <f t="shared" si="96"/>
        <v>13</v>
      </c>
    </row>
    <row r="353" spans="22:41" x14ac:dyDescent="0.2">
      <c r="V353" s="181">
        <f t="shared" si="84"/>
        <v>157.5</v>
      </c>
      <c r="W353" s="181">
        <f t="shared" si="85"/>
        <v>315</v>
      </c>
      <c r="X353" s="181">
        <f t="shared" si="86"/>
        <v>1</v>
      </c>
      <c r="Y353" s="37">
        <f t="shared" si="87"/>
        <v>1917.1</v>
      </c>
      <c r="Z353" s="181">
        <f t="shared" si="88"/>
        <v>355.5</v>
      </c>
      <c r="AA353" s="127">
        <f t="shared" si="89"/>
        <v>595.21331999999995</v>
      </c>
      <c r="AB353" s="127">
        <f t="shared" si="90"/>
        <v>595.21331999999995</v>
      </c>
      <c r="AC353" s="37">
        <f t="shared" si="78"/>
        <v>3971.2799199999999</v>
      </c>
      <c r="AD353" s="37">
        <f t="shared" si="91"/>
        <v>5888.3799199999994</v>
      </c>
      <c r="AE353" s="181">
        <f t="shared" si="79"/>
        <v>13</v>
      </c>
      <c r="AF353" s="37">
        <f t="shared" si="92"/>
        <v>9126</v>
      </c>
      <c r="AG353" s="181">
        <f t="shared" si="80"/>
        <v>533.20000000000005</v>
      </c>
      <c r="AH353" s="111">
        <f t="shared" si="93"/>
        <v>359.38468799999993</v>
      </c>
      <c r="AI353" s="127">
        <f t="shared" si="94"/>
        <v>533.20000000000005</v>
      </c>
      <c r="AJ353" s="37">
        <f t="shared" si="81"/>
        <v>3599.2000000000003</v>
      </c>
      <c r="AK353" s="37">
        <f t="shared" si="95"/>
        <v>12725.2</v>
      </c>
      <c r="AL353" s="37">
        <f t="shared" si="83"/>
        <v>18.693269587301586</v>
      </c>
      <c r="AN353" s="37" t="str">
        <f t="shared" si="82"/>
        <v>Pallet</v>
      </c>
      <c r="AO353" s="194">
        <f t="shared" si="96"/>
        <v>13</v>
      </c>
    </row>
    <row r="354" spans="22:41" x14ac:dyDescent="0.2">
      <c r="V354" s="181">
        <f t="shared" si="84"/>
        <v>158</v>
      </c>
      <c r="W354" s="181">
        <f t="shared" si="85"/>
        <v>316</v>
      </c>
      <c r="X354" s="181">
        <f t="shared" si="86"/>
        <v>1</v>
      </c>
      <c r="Y354" s="37">
        <f t="shared" si="87"/>
        <v>1917.1</v>
      </c>
      <c r="Z354" s="181">
        <f t="shared" si="88"/>
        <v>356</v>
      </c>
      <c r="AA354" s="127">
        <f t="shared" si="89"/>
        <v>595.21331999999995</v>
      </c>
      <c r="AB354" s="127">
        <f t="shared" si="90"/>
        <v>595.21331999999995</v>
      </c>
      <c r="AC354" s="37">
        <f t="shared" si="78"/>
        <v>3971.2799199999999</v>
      </c>
      <c r="AD354" s="37">
        <f t="shared" si="91"/>
        <v>5888.3799199999994</v>
      </c>
      <c r="AE354" s="181">
        <f t="shared" si="79"/>
        <v>13</v>
      </c>
      <c r="AF354" s="37">
        <f t="shared" si="92"/>
        <v>9126</v>
      </c>
      <c r="AG354" s="181">
        <f t="shared" si="80"/>
        <v>533.70000000000005</v>
      </c>
      <c r="AH354" s="111">
        <f t="shared" si="93"/>
        <v>359.38468799999993</v>
      </c>
      <c r="AI354" s="127">
        <f t="shared" si="94"/>
        <v>533.70000000000005</v>
      </c>
      <c r="AJ354" s="37">
        <f t="shared" si="81"/>
        <v>3602.2000000000003</v>
      </c>
      <c r="AK354" s="37">
        <f t="shared" si="95"/>
        <v>12728.2</v>
      </c>
      <c r="AL354" s="37">
        <f t="shared" si="83"/>
        <v>18.634113670886073</v>
      </c>
      <c r="AN354" s="37" t="str">
        <f t="shared" si="82"/>
        <v>Pallet</v>
      </c>
      <c r="AO354" s="194">
        <f t="shared" si="96"/>
        <v>13</v>
      </c>
    </row>
    <row r="355" spans="22:41" x14ac:dyDescent="0.2">
      <c r="V355" s="181">
        <f t="shared" si="84"/>
        <v>158.5</v>
      </c>
      <c r="W355" s="181">
        <f t="shared" si="85"/>
        <v>317</v>
      </c>
      <c r="X355" s="181">
        <f t="shared" si="86"/>
        <v>1</v>
      </c>
      <c r="Y355" s="37">
        <f t="shared" si="87"/>
        <v>1917.1</v>
      </c>
      <c r="Z355" s="181">
        <f t="shared" si="88"/>
        <v>356.5</v>
      </c>
      <c r="AA355" s="127">
        <f t="shared" si="89"/>
        <v>595.21331999999995</v>
      </c>
      <c r="AB355" s="127">
        <f t="shared" si="90"/>
        <v>595.21331999999995</v>
      </c>
      <c r="AC355" s="37">
        <f t="shared" si="78"/>
        <v>3971.2799199999999</v>
      </c>
      <c r="AD355" s="37">
        <f t="shared" si="91"/>
        <v>5888.3799199999994</v>
      </c>
      <c r="AE355" s="181">
        <f t="shared" si="79"/>
        <v>13</v>
      </c>
      <c r="AF355" s="37">
        <f t="shared" si="92"/>
        <v>9126</v>
      </c>
      <c r="AG355" s="181">
        <f t="shared" si="80"/>
        <v>534.20000000000005</v>
      </c>
      <c r="AH355" s="111">
        <f t="shared" si="93"/>
        <v>359.38468799999993</v>
      </c>
      <c r="AI355" s="127">
        <f t="shared" si="94"/>
        <v>534.20000000000005</v>
      </c>
      <c r="AJ355" s="37">
        <f t="shared" si="81"/>
        <v>3605.2000000000003</v>
      </c>
      <c r="AK355" s="37">
        <f t="shared" si="95"/>
        <v>12731.2</v>
      </c>
      <c r="AL355" s="37">
        <f t="shared" si="83"/>
        <v>18.575330977917979</v>
      </c>
      <c r="AN355" s="37" t="str">
        <f t="shared" si="82"/>
        <v>Pallet</v>
      </c>
      <c r="AO355" s="194">
        <f t="shared" si="96"/>
        <v>13</v>
      </c>
    </row>
    <row r="356" spans="22:41" x14ac:dyDescent="0.2">
      <c r="V356" s="181">
        <f t="shared" si="84"/>
        <v>159</v>
      </c>
      <c r="W356" s="181">
        <f t="shared" si="85"/>
        <v>318</v>
      </c>
      <c r="X356" s="181">
        <f t="shared" si="86"/>
        <v>1</v>
      </c>
      <c r="Y356" s="37">
        <f t="shared" si="87"/>
        <v>1917.1</v>
      </c>
      <c r="Z356" s="181">
        <f t="shared" si="88"/>
        <v>357</v>
      </c>
      <c r="AA356" s="127">
        <f t="shared" si="89"/>
        <v>595.21331999999995</v>
      </c>
      <c r="AB356" s="127">
        <f t="shared" si="90"/>
        <v>595.21331999999995</v>
      </c>
      <c r="AC356" s="37">
        <f t="shared" si="78"/>
        <v>3971.2799199999999</v>
      </c>
      <c r="AD356" s="37">
        <f t="shared" si="91"/>
        <v>5888.3799199999994</v>
      </c>
      <c r="AE356" s="181">
        <f t="shared" si="79"/>
        <v>13</v>
      </c>
      <c r="AF356" s="37">
        <f t="shared" si="92"/>
        <v>9126</v>
      </c>
      <c r="AG356" s="181">
        <f t="shared" si="80"/>
        <v>534.70000000000005</v>
      </c>
      <c r="AH356" s="111">
        <f t="shared" si="93"/>
        <v>359.38468799999993</v>
      </c>
      <c r="AI356" s="127">
        <f t="shared" si="94"/>
        <v>534.70000000000005</v>
      </c>
      <c r="AJ356" s="37">
        <f t="shared" si="81"/>
        <v>3608.2000000000003</v>
      </c>
      <c r="AK356" s="37">
        <f t="shared" si="95"/>
        <v>12734.2</v>
      </c>
      <c r="AL356" s="37">
        <f t="shared" si="83"/>
        <v>18.516917987421383</v>
      </c>
      <c r="AN356" s="37" t="str">
        <f t="shared" si="82"/>
        <v>Pallet</v>
      </c>
      <c r="AO356" s="194">
        <f t="shared" si="96"/>
        <v>13</v>
      </c>
    </row>
    <row r="357" spans="22:41" x14ac:dyDescent="0.2">
      <c r="V357" s="181">
        <f t="shared" si="84"/>
        <v>159.5</v>
      </c>
      <c r="W357" s="181">
        <f t="shared" si="85"/>
        <v>319</v>
      </c>
      <c r="X357" s="181">
        <f t="shared" si="86"/>
        <v>1</v>
      </c>
      <c r="Y357" s="37">
        <f t="shared" si="87"/>
        <v>1917.1</v>
      </c>
      <c r="Z357" s="181">
        <f t="shared" si="88"/>
        <v>357.5</v>
      </c>
      <c r="AA357" s="127">
        <f t="shared" si="89"/>
        <v>595.21331999999995</v>
      </c>
      <c r="AB357" s="127">
        <f t="shared" si="90"/>
        <v>595.21331999999995</v>
      </c>
      <c r="AC357" s="37">
        <f t="shared" si="78"/>
        <v>3971.2799199999999</v>
      </c>
      <c r="AD357" s="37">
        <f t="shared" si="91"/>
        <v>5888.3799199999994</v>
      </c>
      <c r="AE357" s="181">
        <f t="shared" si="79"/>
        <v>13</v>
      </c>
      <c r="AF357" s="37">
        <f t="shared" si="92"/>
        <v>9126</v>
      </c>
      <c r="AG357" s="181">
        <f t="shared" si="80"/>
        <v>535.20000000000005</v>
      </c>
      <c r="AH357" s="111">
        <f t="shared" si="93"/>
        <v>359.38468799999993</v>
      </c>
      <c r="AI357" s="127">
        <f t="shared" si="94"/>
        <v>535.20000000000005</v>
      </c>
      <c r="AJ357" s="37">
        <f t="shared" si="81"/>
        <v>3611.2000000000003</v>
      </c>
      <c r="AK357" s="37">
        <f t="shared" si="95"/>
        <v>12737.2</v>
      </c>
      <c r="AL357" s="37">
        <f t="shared" si="83"/>
        <v>18.458871222570529</v>
      </c>
      <c r="AN357" s="37" t="str">
        <f t="shared" si="82"/>
        <v>Pallet</v>
      </c>
      <c r="AO357" s="194">
        <f t="shared" si="96"/>
        <v>13</v>
      </c>
    </row>
    <row r="358" spans="22:41" x14ac:dyDescent="0.2">
      <c r="V358" s="181">
        <f t="shared" si="84"/>
        <v>160</v>
      </c>
      <c r="W358" s="181">
        <f t="shared" si="85"/>
        <v>320</v>
      </c>
      <c r="X358" s="181">
        <f t="shared" si="86"/>
        <v>1</v>
      </c>
      <c r="Y358" s="37">
        <f t="shared" si="87"/>
        <v>1917.1</v>
      </c>
      <c r="Z358" s="181">
        <f t="shared" si="88"/>
        <v>358</v>
      </c>
      <c r="AA358" s="127">
        <f t="shared" si="89"/>
        <v>595.21331999999995</v>
      </c>
      <c r="AB358" s="127">
        <f t="shared" si="90"/>
        <v>595.21331999999995</v>
      </c>
      <c r="AC358" s="37">
        <f t="shared" si="78"/>
        <v>3971.2799199999999</v>
      </c>
      <c r="AD358" s="37">
        <f t="shared" si="91"/>
        <v>5888.3799199999994</v>
      </c>
      <c r="AE358" s="181">
        <f t="shared" si="79"/>
        <v>13</v>
      </c>
      <c r="AF358" s="37">
        <f t="shared" si="92"/>
        <v>9126</v>
      </c>
      <c r="AG358" s="181">
        <f t="shared" si="80"/>
        <v>535.70000000000005</v>
      </c>
      <c r="AH358" s="111">
        <f t="shared" si="93"/>
        <v>359.38468799999993</v>
      </c>
      <c r="AI358" s="127">
        <f t="shared" si="94"/>
        <v>535.70000000000005</v>
      </c>
      <c r="AJ358" s="37">
        <f t="shared" si="81"/>
        <v>3614.2000000000003</v>
      </c>
      <c r="AK358" s="37">
        <f t="shared" si="95"/>
        <v>12740.2</v>
      </c>
      <c r="AL358" s="37">
        <f t="shared" si="83"/>
        <v>18.40118725</v>
      </c>
      <c r="AN358" s="37" t="str">
        <f t="shared" si="82"/>
        <v>Pallet</v>
      </c>
      <c r="AO358" s="194">
        <f t="shared" si="96"/>
        <v>13</v>
      </c>
    </row>
    <row r="359" spans="22:41" x14ac:dyDescent="0.2">
      <c r="V359" s="181">
        <f t="shared" si="84"/>
        <v>160.5</v>
      </c>
      <c r="W359" s="181">
        <f t="shared" si="85"/>
        <v>321</v>
      </c>
      <c r="X359" s="181">
        <f t="shared" si="86"/>
        <v>1</v>
      </c>
      <c r="Y359" s="37">
        <f t="shared" si="87"/>
        <v>1917.1</v>
      </c>
      <c r="Z359" s="181">
        <f t="shared" si="88"/>
        <v>358.5</v>
      </c>
      <c r="AA359" s="127">
        <f t="shared" si="89"/>
        <v>595.21331999999995</v>
      </c>
      <c r="AB359" s="127">
        <f t="shared" si="90"/>
        <v>595.21331999999995</v>
      </c>
      <c r="AC359" s="37">
        <f t="shared" ref="AC359:AC422" si="97">(Shipping_perkg_first100*100)+((AB359-100)*Shipping_perkg_above100)</f>
        <v>3971.2799199999999</v>
      </c>
      <c r="AD359" s="37">
        <f t="shared" si="91"/>
        <v>5888.3799199999994</v>
      </c>
      <c r="AE359" s="181">
        <f t="shared" ref="AE359:AE422" si="98">ROUNDUP(W359/$N$19,0)</f>
        <v>13</v>
      </c>
      <c r="AF359" s="37">
        <f t="shared" si="92"/>
        <v>9126</v>
      </c>
      <c r="AG359" s="181">
        <f t="shared" ref="AG359:AG422" si="99">(AE359*$K$19)+V359</f>
        <v>536.20000000000005</v>
      </c>
      <c r="AH359" s="111">
        <f t="shared" si="93"/>
        <v>359.38468799999993</v>
      </c>
      <c r="AI359" s="127">
        <f t="shared" si="94"/>
        <v>536.20000000000005</v>
      </c>
      <c r="AJ359" s="37">
        <f t="shared" ref="AJ359:AJ422" si="100">IF(AI359&lt;=100,AI359*Shipping_perkg_first100,(Shipping_perkg_first100*100)+((AI359-100)*Shipping_perkg_above100))</f>
        <v>3617.2000000000003</v>
      </c>
      <c r="AK359" s="37">
        <f t="shared" si="95"/>
        <v>12743.2</v>
      </c>
      <c r="AL359" s="37">
        <f t="shared" si="83"/>
        <v>18.343862679127724</v>
      </c>
      <c r="AN359" s="37" t="str">
        <f t="shared" ref="AN359:AN422" si="101">IF(AD359&lt;AK359,"Pallet","Parcel")</f>
        <v>Pallet</v>
      </c>
      <c r="AO359" s="194">
        <f t="shared" si="96"/>
        <v>13</v>
      </c>
    </row>
    <row r="360" spans="22:41" x14ac:dyDescent="0.2">
      <c r="V360" s="181">
        <f t="shared" si="84"/>
        <v>161</v>
      </c>
      <c r="W360" s="181">
        <f t="shared" si="85"/>
        <v>322</v>
      </c>
      <c r="X360" s="181">
        <f t="shared" si="86"/>
        <v>1</v>
      </c>
      <c r="Y360" s="37">
        <f t="shared" si="87"/>
        <v>1917.1</v>
      </c>
      <c r="Z360" s="181">
        <f t="shared" si="88"/>
        <v>359</v>
      </c>
      <c r="AA360" s="127">
        <f t="shared" si="89"/>
        <v>595.21331999999995</v>
      </c>
      <c r="AB360" s="127">
        <f t="shared" si="90"/>
        <v>595.21331999999995</v>
      </c>
      <c r="AC360" s="37">
        <f t="shared" si="97"/>
        <v>3971.2799199999999</v>
      </c>
      <c r="AD360" s="37">
        <f t="shared" si="91"/>
        <v>5888.3799199999994</v>
      </c>
      <c r="AE360" s="181">
        <f t="shared" si="98"/>
        <v>13</v>
      </c>
      <c r="AF360" s="37">
        <f t="shared" si="92"/>
        <v>9126</v>
      </c>
      <c r="AG360" s="181">
        <f t="shared" si="99"/>
        <v>536.70000000000005</v>
      </c>
      <c r="AH360" s="111">
        <f t="shared" si="93"/>
        <v>359.38468799999993</v>
      </c>
      <c r="AI360" s="127">
        <f t="shared" si="94"/>
        <v>536.70000000000005</v>
      </c>
      <c r="AJ360" s="37">
        <f t="shared" si="100"/>
        <v>3620.2000000000003</v>
      </c>
      <c r="AK360" s="37">
        <f t="shared" si="95"/>
        <v>12746.2</v>
      </c>
      <c r="AL360" s="37">
        <f t="shared" ref="AL360:AL423" si="102">MIN(AD360,AK360)/W360</f>
        <v>18.286894161490682</v>
      </c>
      <c r="AN360" s="37" t="str">
        <f t="shared" si="101"/>
        <v>Pallet</v>
      </c>
      <c r="AO360" s="194">
        <f t="shared" si="96"/>
        <v>13</v>
      </c>
    </row>
    <row r="361" spans="22:41" x14ac:dyDescent="0.2">
      <c r="V361" s="181">
        <f t="shared" ref="V361:V424" si="103">W361*$V$37</f>
        <v>161.5</v>
      </c>
      <c r="W361" s="181">
        <f t="shared" ref="W361:W424" si="104">W360+1</f>
        <v>323</v>
      </c>
      <c r="X361" s="181">
        <f t="shared" ref="X361:X424" si="105">ROUNDUP(W361/$N$29,0)</f>
        <v>1</v>
      </c>
      <c r="Y361" s="37">
        <f t="shared" ref="Y361:Y424" si="106">X361*$P$29</f>
        <v>1917.1</v>
      </c>
      <c r="Z361" s="181">
        <f t="shared" ref="Z361:Z424" si="107">V361+(X361*$K$29)</f>
        <v>359.5</v>
      </c>
      <c r="AA361" s="127">
        <f t="shared" ref="AA361:AA424" si="108">X361*$T$29</f>
        <v>595.21331999999995</v>
      </c>
      <c r="AB361" s="127">
        <f t="shared" ref="AB361:AB424" si="109">MAX(Z361,AA361)</f>
        <v>595.21331999999995</v>
      </c>
      <c r="AC361" s="37">
        <f t="shared" si="97"/>
        <v>3971.2799199999999</v>
      </c>
      <c r="AD361" s="37">
        <f t="shared" ref="AD361:AD424" si="110">Y361+AC361</f>
        <v>5888.3799199999994</v>
      </c>
      <c r="AE361" s="181">
        <f t="shared" si="98"/>
        <v>13</v>
      </c>
      <c r="AF361" s="37">
        <f t="shared" ref="AF361:AF424" si="111">AE361*$P$19</f>
        <v>9126</v>
      </c>
      <c r="AG361" s="181">
        <f t="shared" si="99"/>
        <v>537.20000000000005</v>
      </c>
      <c r="AH361" s="111">
        <f t="shared" ref="AH361:AH424" si="112">AE361*$X$19</f>
        <v>359.38468799999993</v>
      </c>
      <c r="AI361" s="127">
        <f t="shared" ref="AI361:AI424" si="113">MAX(AG361,AH361)</f>
        <v>537.20000000000005</v>
      </c>
      <c r="AJ361" s="37">
        <f t="shared" si="100"/>
        <v>3623.2000000000003</v>
      </c>
      <c r="AK361" s="37">
        <f t="shared" ref="AK361:AK424" si="114">AF361+AJ361</f>
        <v>12749.2</v>
      </c>
      <c r="AL361" s="37">
        <f t="shared" si="102"/>
        <v>18.230278390092877</v>
      </c>
      <c r="AN361" s="37" t="str">
        <f t="shared" si="101"/>
        <v>Pallet</v>
      </c>
      <c r="AO361" s="194">
        <f t="shared" ref="AO361:AO424" si="115">AE360</f>
        <v>13</v>
      </c>
    </row>
    <row r="362" spans="22:41" x14ac:dyDescent="0.2">
      <c r="V362" s="181">
        <f t="shared" si="103"/>
        <v>162</v>
      </c>
      <c r="W362" s="181">
        <f t="shared" si="104"/>
        <v>324</v>
      </c>
      <c r="X362" s="181">
        <f t="shared" si="105"/>
        <v>1</v>
      </c>
      <c r="Y362" s="37">
        <f t="shared" si="106"/>
        <v>1917.1</v>
      </c>
      <c r="Z362" s="181">
        <f t="shared" si="107"/>
        <v>360</v>
      </c>
      <c r="AA362" s="127">
        <f t="shared" si="108"/>
        <v>595.21331999999995</v>
      </c>
      <c r="AB362" s="127">
        <f t="shared" si="109"/>
        <v>595.21331999999995</v>
      </c>
      <c r="AC362" s="37">
        <f t="shared" si="97"/>
        <v>3971.2799199999999</v>
      </c>
      <c r="AD362" s="37">
        <f t="shared" si="110"/>
        <v>5888.3799199999994</v>
      </c>
      <c r="AE362" s="181">
        <f t="shared" si="98"/>
        <v>13</v>
      </c>
      <c r="AF362" s="37">
        <f t="shared" si="111"/>
        <v>9126</v>
      </c>
      <c r="AG362" s="181">
        <f t="shared" si="99"/>
        <v>537.70000000000005</v>
      </c>
      <c r="AH362" s="111">
        <f t="shared" si="112"/>
        <v>359.38468799999993</v>
      </c>
      <c r="AI362" s="127">
        <f t="shared" si="113"/>
        <v>537.70000000000005</v>
      </c>
      <c r="AJ362" s="37">
        <f t="shared" si="100"/>
        <v>3626.2000000000003</v>
      </c>
      <c r="AK362" s="37">
        <f t="shared" si="114"/>
        <v>12752.2</v>
      </c>
      <c r="AL362" s="37">
        <f t="shared" si="102"/>
        <v>18.174012098765431</v>
      </c>
      <c r="AN362" s="37" t="str">
        <f t="shared" si="101"/>
        <v>Pallet</v>
      </c>
      <c r="AO362" s="194">
        <f t="shared" si="115"/>
        <v>13</v>
      </c>
    </row>
    <row r="363" spans="22:41" x14ac:dyDescent="0.2">
      <c r="V363" s="181">
        <f t="shared" si="103"/>
        <v>162.5</v>
      </c>
      <c r="W363" s="181">
        <f t="shared" si="104"/>
        <v>325</v>
      </c>
      <c r="X363" s="181">
        <f t="shared" si="105"/>
        <v>1</v>
      </c>
      <c r="Y363" s="37">
        <f t="shared" si="106"/>
        <v>1917.1</v>
      </c>
      <c r="Z363" s="181">
        <f t="shared" si="107"/>
        <v>360.5</v>
      </c>
      <c r="AA363" s="127">
        <f t="shared" si="108"/>
        <v>595.21331999999995</v>
      </c>
      <c r="AB363" s="127">
        <f t="shared" si="109"/>
        <v>595.21331999999995</v>
      </c>
      <c r="AC363" s="37">
        <f t="shared" si="97"/>
        <v>3971.2799199999999</v>
      </c>
      <c r="AD363" s="37">
        <f t="shared" si="110"/>
        <v>5888.3799199999994</v>
      </c>
      <c r="AE363" s="181">
        <f t="shared" si="98"/>
        <v>13</v>
      </c>
      <c r="AF363" s="37">
        <f t="shared" si="111"/>
        <v>9126</v>
      </c>
      <c r="AG363" s="181">
        <f t="shared" si="99"/>
        <v>538.20000000000005</v>
      </c>
      <c r="AH363" s="111">
        <f t="shared" si="112"/>
        <v>359.38468799999993</v>
      </c>
      <c r="AI363" s="127">
        <f t="shared" si="113"/>
        <v>538.20000000000005</v>
      </c>
      <c r="AJ363" s="37">
        <f t="shared" si="100"/>
        <v>3629.2000000000003</v>
      </c>
      <c r="AK363" s="37">
        <f t="shared" si="114"/>
        <v>12755.2</v>
      </c>
      <c r="AL363" s="37">
        <f t="shared" si="102"/>
        <v>18.118092061538459</v>
      </c>
      <c r="AN363" s="37" t="str">
        <f t="shared" si="101"/>
        <v>Pallet</v>
      </c>
      <c r="AO363" s="194">
        <f t="shared" si="115"/>
        <v>13</v>
      </c>
    </row>
    <row r="364" spans="22:41" x14ac:dyDescent="0.2">
      <c r="V364" s="181">
        <f t="shared" si="103"/>
        <v>163</v>
      </c>
      <c r="W364" s="181">
        <f t="shared" si="104"/>
        <v>326</v>
      </c>
      <c r="X364" s="181">
        <f t="shared" si="105"/>
        <v>1</v>
      </c>
      <c r="Y364" s="37">
        <f t="shared" si="106"/>
        <v>1917.1</v>
      </c>
      <c r="Z364" s="181">
        <f t="shared" si="107"/>
        <v>361</v>
      </c>
      <c r="AA364" s="127">
        <f t="shared" si="108"/>
        <v>595.21331999999995</v>
      </c>
      <c r="AB364" s="127">
        <f t="shared" si="109"/>
        <v>595.21331999999995</v>
      </c>
      <c r="AC364" s="37">
        <f t="shared" si="97"/>
        <v>3971.2799199999999</v>
      </c>
      <c r="AD364" s="37">
        <f t="shared" si="110"/>
        <v>5888.3799199999994</v>
      </c>
      <c r="AE364" s="181">
        <f t="shared" si="98"/>
        <v>13</v>
      </c>
      <c r="AF364" s="37">
        <f t="shared" si="111"/>
        <v>9126</v>
      </c>
      <c r="AG364" s="181">
        <f t="shared" si="99"/>
        <v>538.70000000000005</v>
      </c>
      <c r="AH364" s="111">
        <f t="shared" si="112"/>
        <v>359.38468799999993</v>
      </c>
      <c r="AI364" s="127">
        <f t="shared" si="113"/>
        <v>538.70000000000005</v>
      </c>
      <c r="AJ364" s="37">
        <f t="shared" si="100"/>
        <v>3632.2000000000003</v>
      </c>
      <c r="AK364" s="37">
        <f t="shared" si="114"/>
        <v>12758.2</v>
      </c>
      <c r="AL364" s="37">
        <f t="shared" si="102"/>
        <v>18.062515092024537</v>
      </c>
      <c r="AN364" s="37" t="str">
        <f t="shared" si="101"/>
        <v>Pallet</v>
      </c>
      <c r="AO364" s="194">
        <f t="shared" si="115"/>
        <v>13</v>
      </c>
    </row>
    <row r="365" spans="22:41" x14ac:dyDescent="0.2">
      <c r="V365" s="181">
        <f t="shared" si="103"/>
        <v>163.5</v>
      </c>
      <c r="W365" s="181">
        <f t="shared" si="104"/>
        <v>327</v>
      </c>
      <c r="X365" s="181">
        <f t="shared" si="105"/>
        <v>1</v>
      </c>
      <c r="Y365" s="37">
        <f t="shared" si="106"/>
        <v>1917.1</v>
      </c>
      <c r="Z365" s="181">
        <f t="shared" si="107"/>
        <v>361.5</v>
      </c>
      <c r="AA365" s="127">
        <f t="shared" si="108"/>
        <v>595.21331999999995</v>
      </c>
      <c r="AB365" s="127">
        <f t="shared" si="109"/>
        <v>595.21331999999995</v>
      </c>
      <c r="AC365" s="37">
        <f t="shared" si="97"/>
        <v>3971.2799199999999</v>
      </c>
      <c r="AD365" s="37">
        <f t="shared" si="110"/>
        <v>5888.3799199999994</v>
      </c>
      <c r="AE365" s="181">
        <f t="shared" si="98"/>
        <v>13</v>
      </c>
      <c r="AF365" s="37">
        <f t="shared" si="111"/>
        <v>9126</v>
      </c>
      <c r="AG365" s="181">
        <f t="shared" si="99"/>
        <v>539.20000000000005</v>
      </c>
      <c r="AH365" s="111">
        <f t="shared" si="112"/>
        <v>359.38468799999993</v>
      </c>
      <c r="AI365" s="127">
        <f t="shared" si="113"/>
        <v>539.20000000000005</v>
      </c>
      <c r="AJ365" s="37">
        <f t="shared" si="100"/>
        <v>3635.2000000000003</v>
      </c>
      <c r="AK365" s="37">
        <f t="shared" si="114"/>
        <v>12761.2</v>
      </c>
      <c r="AL365" s="37">
        <f t="shared" si="102"/>
        <v>18.007278042813454</v>
      </c>
      <c r="AN365" s="37" t="str">
        <f t="shared" si="101"/>
        <v>Pallet</v>
      </c>
      <c r="AO365" s="194">
        <f t="shared" si="115"/>
        <v>13</v>
      </c>
    </row>
    <row r="366" spans="22:41" x14ac:dyDescent="0.2">
      <c r="V366" s="181">
        <f t="shared" si="103"/>
        <v>164</v>
      </c>
      <c r="W366" s="181">
        <f t="shared" si="104"/>
        <v>328</v>
      </c>
      <c r="X366" s="181">
        <f t="shared" si="105"/>
        <v>1</v>
      </c>
      <c r="Y366" s="37">
        <f t="shared" si="106"/>
        <v>1917.1</v>
      </c>
      <c r="Z366" s="181">
        <f t="shared" si="107"/>
        <v>362</v>
      </c>
      <c r="AA366" s="127">
        <f t="shared" si="108"/>
        <v>595.21331999999995</v>
      </c>
      <c r="AB366" s="127">
        <f t="shared" si="109"/>
        <v>595.21331999999995</v>
      </c>
      <c r="AC366" s="37">
        <f t="shared" si="97"/>
        <v>3971.2799199999999</v>
      </c>
      <c r="AD366" s="37">
        <f t="shared" si="110"/>
        <v>5888.3799199999994</v>
      </c>
      <c r="AE366" s="181">
        <f t="shared" si="98"/>
        <v>13</v>
      </c>
      <c r="AF366" s="37">
        <f t="shared" si="111"/>
        <v>9126</v>
      </c>
      <c r="AG366" s="181">
        <f t="shared" si="99"/>
        <v>539.70000000000005</v>
      </c>
      <c r="AH366" s="111">
        <f t="shared" si="112"/>
        <v>359.38468799999993</v>
      </c>
      <c r="AI366" s="127">
        <f t="shared" si="113"/>
        <v>539.70000000000005</v>
      </c>
      <c r="AJ366" s="37">
        <f t="shared" si="100"/>
        <v>3638.2000000000003</v>
      </c>
      <c r="AK366" s="37">
        <f t="shared" si="114"/>
        <v>12764.2</v>
      </c>
      <c r="AL366" s="37">
        <f t="shared" si="102"/>
        <v>17.952377804878047</v>
      </c>
      <c r="AN366" s="37" t="str">
        <f t="shared" si="101"/>
        <v>Pallet</v>
      </c>
      <c r="AO366" s="194">
        <f t="shared" si="115"/>
        <v>13</v>
      </c>
    </row>
    <row r="367" spans="22:41" x14ac:dyDescent="0.2">
      <c r="V367" s="181">
        <f t="shared" si="103"/>
        <v>164.5</v>
      </c>
      <c r="W367" s="181">
        <f t="shared" si="104"/>
        <v>329</v>
      </c>
      <c r="X367" s="181">
        <f t="shared" si="105"/>
        <v>1</v>
      </c>
      <c r="Y367" s="37">
        <f t="shared" si="106"/>
        <v>1917.1</v>
      </c>
      <c r="Z367" s="181">
        <f t="shared" si="107"/>
        <v>362.5</v>
      </c>
      <c r="AA367" s="127">
        <f t="shared" si="108"/>
        <v>595.21331999999995</v>
      </c>
      <c r="AB367" s="127">
        <f t="shared" si="109"/>
        <v>595.21331999999995</v>
      </c>
      <c r="AC367" s="37">
        <f t="shared" si="97"/>
        <v>3971.2799199999999</v>
      </c>
      <c r="AD367" s="37">
        <f t="shared" si="110"/>
        <v>5888.3799199999994</v>
      </c>
      <c r="AE367" s="181">
        <f t="shared" si="98"/>
        <v>13</v>
      </c>
      <c r="AF367" s="37">
        <f t="shared" si="111"/>
        <v>9126</v>
      </c>
      <c r="AG367" s="181">
        <f t="shared" si="99"/>
        <v>540.20000000000005</v>
      </c>
      <c r="AH367" s="111">
        <f t="shared" si="112"/>
        <v>359.38468799999993</v>
      </c>
      <c r="AI367" s="127">
        <f t="shared" si="113"/>
        <v>540.20000000000005</v>
      </c>
      <c r="AJ367" s="37">
        <f t="shared" si="100"/>
        <v>3641.2000000000003</v>
      </c>
      <c r="AK367" s="37">
        <f t="shared" si="114"/>
        <v>12767.2</v>
      </c>
      <c r="AL367" s="37">
        <f t="shared" si="102"/>
        <v>17.897811306990878</v>
      </c>
      <c r="AN367" s="37" t="str">
        <f t="shared" si="101"/>
        <v>Pallet</v>
      </c>
      <c r="AO367" s="194">
        <f t="shared" si="115"/>
        <v>13</v>
      </c>
    </row>
    <row r="368" spans="22:41" x14ac:dyDescent="0.2">
      <c r="V368" s="181">
        <f t="shared" si="103"/>
        <v>165</v>
      </c>
      <c r="W368" s="181">
        <f t="shared" si="104"/>
        <v>330</v>
      </c>
      <c r="X368" s="181">
        <f t="shared" si="105"/>
        <v>1</v>
      </c>
      <c r="Y368" s="37">
        <f t="shared" si="106"/>
        <v>1917.1</v>
      </c>
      <c r="Z368" s="181">
        <f t="shared" si="107"/>
        <v>363</v>
      </c>
      <c r="AA368" s="127">
        <f t="shared" si="108"/>
        <v>595.21331999999995</v>
      </c>
      <c r="AB368" s="127">
        <f t="shared" si="109"/>
        <v>595.21331999999995</v>
      </c>
      <c r="AC368" s="37">
        <f t="shared" si="97"/>
        <v>3971.2799199999999</v>
      </c>
      <c r="AD368" s="37">
        <f t="shared" si="110"/>
        <v>5888.3799199999994</v>
      </c>
      <c r="AE368" s="181">
        <f t="shared" si="98"/>
        <v>13</v>
      </c>
      <c r="AF368" s="37">
        <f t="shared" si="111"/>
        <v>9126</v>
      </c>
      <c r="AG368" s="181">
        <f t="shared" si="99"/>
        <v>540.70000000000005</v>
      </c>
      <c r="AH368" s="111">
        <f t="shared" si="112"/>
        <v>359.38468799999993</v>
      </c>
      <c r="AI368" s="127">
        <f t="shared" si="113"/>
        <v>540.70000000000005</v>
      </c>
      <c r="AJ368" s="37">
        <f t="shared" si="100"/>
        <v>3644.2000000000003</v>
      </c>
      <c r="AK368" s="37">
        <f t="shared" si="114"/>
        <v>12770.2</v>
      </c>
      <c r="AL368" s="37">
        <f t="shared" si="102"/>
        <v>17.843575515151514</v>
      </c>
      <c r="AN368" s="37" t="str">
        <f t="shared" si="101"/>
        <v>Pallet</v>
      </c>
      <c r="AO368" s="194">
        <f t="shared" si="115"/>
        <v>13</v>
      </c>
    </row>
    <row r="369" spans="22:41" x14ac:dyDescent="0.2">
      <c r="V369" s="181">
        <f t="shared" si="103"/>
        <v>165.5</v>
      </c>
      <c r="W369" s="181">
        <f t="shared" si="104"/>
        <v>331</v>
      </c>
      <c r="X369" s="181">
        <f t="shared" si="105"/>
        <v>1</v>
      </c>
      <c r="Y369" s="37">
        <f t="shared" si="106"/>
        <v>1917.1</v>
      </c>
      <c r="Z369" s="181">
        <f t="shared" si="107"/>
        <v>363.5</v>
      </c>
      <c r="AA369" s="127">
        <f t="shared" si="108"/>
        <v>595.21331999999995</v>
      </c>
      <c r="AB369" s="127">
        <f t="shared" si="109"/>
        <v>595.21331999999995</v>
      </c>
      <c r="AC369" s="37">
        <f t="shared" si="97"/>
        <v>3971.2799199999999</v>
      </c>
      <c r="AD369" s="37">
        <f t="shared" si="110"/>
        <v>5888.3799199999994</v>
      </c>
      <c r="AE369" s="181">
        <f t="shared" si="98"/>
        <v>13</v>
      </c>
      <c r="AF369" s="37">
        <f t="shared" si="111"/>
        <v>9126</v>
      </c>
      <c r="AG369" s="181">
        <f t="shared" si="99"/>
        <v>541.20000000000005</v>
      </c>
      <c r="AH369" s="111">
        <f t="shared" si="112"/>
        <v>359.38468799999993</v>
      </c>
      <c r="AI369" s="127">
        <f t="shared" si="113"/>
        <v>541.20000000000005</v>
      </c>
      <c r="AJ369" s="37">
        <f t="shared" si="100"/>
        <v>3647.2000000000003</v>
      </c>
      <c r="AK369" s="37">
        <f t="shared" si="114"/>
        <v>12773.2</v>
      </c>
      <c r="AL369" s="37">
        <f t="shared" si="102"/>
        <v>17.789667432024167</v>
      </c>
      <c r="AN369" s="37" t="str">
        <f t="shared" si="101"/>
        <v>Pallet</v>
      </c>
      <c r="AO369" s="194">
        <f t="shared" si="115"/>
        <v>13</v>
      </c>
    </row>
    <row r="370" spans="22:41" x14ac:dyDescent="0.2">
      <c r="V370" s="181">
        <f t="shared" si="103"/>
        <v>166</v>
      </c>
      <c r="W370" s="181">
        <f t="shared" si="104"/>
        <v>332</v>
      </c>
      <c r="X370" s="181">
        <f t="shared" si="105"/>
        <v>1</v>
      </c>
      <c r="Y370" s="37">
        <f t="shared" si="106"/>
        <v>1917.1</v>
      </c>
      <c r="Z370" s="181">
        <f t="shared" si="107"/>
        <v>364</v>
      </c>
      <c r="AA370" s="127">
        <f t="shared" si="108"/>
        <v>595.21331999999995</v>
      </c>
      <c r="AB370" s="127">
        <f t="shared" si="109"/>
        <v>595.21331999999995</v>
      </c>
      <c r="AC370" s="37">
        <f t="shared" si="97"/>
        <v>3971.2799199999999</v>
      </c>
      <c r="AD370" s="37">
        <f t="shared" si="110"/>
        <v>5888.3799199999994</v>
      </c>
      <c r="AE370" s="181">
        <f t="shared" si="98"/>
        <v>13</v>
      </c>
      <c r="AF370" s="37">
        <f t="shared" si="111"/>
        <v>9126</v>
      </c>
      <c r="AG370" s="181">
        <f t="shared" si="99"/>
        <v>541.70000000000005</v>
      </c>
      <c r="AH370" s="111">
        <f t="shared" si="112"/>
        <v>359.38468799999993</v>
      </c>
      <c r="AI370" s="127">
        <f t="shared" si="113"/>
        <v>541.70000000000005</v>
      </c>
      <c r="AJ370" s="37">
        <f t="shared" si="100"/>
        <v>3650.2000000000003</v>
      </c>
      <c r="AK370" s="37">
        <f t="shared" si="114"/>
        <v>12776.2</v>
      </c>
      <c r="AL370" s="37">
        <f t="shared" si="102"/>
        <v>17.73608409638554</v>
      </c>
      <c r="AN370" s="37" t="str">
        <f t="shared" si="101"/>
        <v>Pallet</v>
      </c>
      <c r="AO370" s="194">
        <f t="shared" si="115"/>
        <v>13</v>
      </c>
    </row>
    <row r="371" spans="22:41" x14ac:dyDescent="0.2">
      <c r="V371" s="181">
        <f t="shared" si="103"/>
        <v>166.5</v>
      </c>
      <c r="W371" s="181">
        <f t="shared" si="104"/>
        <v>333</v>
      </c>
      <c r="X371" s="181">
        <f t="shared" si="105"/>
        <v>1</v>
      </c>
      <c r="Y371" s="37">
        <f t="shared" si="106"/>
        <v>1917.1</v>
      </c>
      <c r="Z371" s="181">
        <f t="shared" si="107"/>
        <v>364.5</v>
      </c>
      <c r="AA371" s="127">
        <f t="shared" si="108"/>
        <v>595.21331999999995</v>
      </c>
      <c r="AB371" s="127">
        <f t="shared" si="109"/>
        <v>595.21331999999995</v>
      </c>
      <c r="AC371" s="37">
        <f t="shared" si="97"/>
        <v>3971.2799199999999</v>
      </c>
      <c r="AD371" s="37">
        <f t="shared" si="110"/>
        <v>5888.3799199999994</v>
      </c>
      <c r="AE371" s="181">
        <f t="shared" si="98"/>
        <v>13</v>
      </c>
      <c r="AF371" s="37">
        <f t="shared" si="111"/>
        <v>9126</v>
      </c>
      <c r="AG371" s="181">
        <f t="shared" si="99"/>
        <v>542.20000000000005</v>
      </c>
      <c r="AH371" s="111">
        <f t="shared" si="112"/>
        <v>359.38468799999993</v>
      </c>
      <c r="AI371" s="127">
        <f t="shared" si="113"/>
        <v>542.20000000000005</v>
      </c>
      <c r="AJ371" s="37">
        <f t="shared" si="100"/>
        <v>3653.2000000000003</v>
      </c>
      <c r="AK371" s="37">
        <f t="shared" si="114"/>
        <v>12779.2</v>
      </c>
      <c r="AL371" s="37">
        <f t="shared" si="102"/>
        <v>17.682822582582581</v>
      </c>
      <c r="AN371" s="37" t="str">
        <f t="shared" si="101"/>
        <v>Pallet</v>
      </c>
      <c r="AO371" s="194">
        <f t="shared" si="115"/>
        <v>13</v>
      </c>
    </row>
    <row r="372" spans="22:41" x14ac:dyDescent="0.2">
      <c r="V372" s="181">
        <f t="shared" si="103"/>
        <v>167</v>
      </c>
      <c r="W372" s="181">
        <f t="shared" si="104"/>
        <v>334</v>
      </c>
      <c r="X372" s="181">
        <f t="shared" si="105"/>
        <v>1</v>
      </c>
      <c r="Y372" s="37">
        <f t="shared" si="106"/>
        <v>1917.1</v>
      </c>
      <c r="Z372" s="181">
        <f t="shared" si="107"/>
        <v>365</v>
      </c>
      <c r="AA372" s="127">
        <f t="shared" si="108"/>
        <v>595.21331999999995</v>
      </c>
      <c r="AB372" s="127">
        <f t="shared" si="109"/>
        <v>595.21331999999995</v>
      </c>
      <c r="AC372" s="37">
        <f t="shared" si="97"/>
        <v>3971.2799199999999</v>
      </c>
      <c r="AD372" s="37">
        <f t="shared" si="110"/>
        <v>5888.3799199999994</v>
      </c>
      <c r="AE372" s="181">
        <f t="shared" si="98"/>
        <v>13</v>
      </c>
      <c r="AF372" s="37">
        <f t="shared" si="111"/>
        <v>9126</v>
      </c>
      <c r="AG372" s="181">
        <f t="shared" si="99"/>
        <v>542.70000000000005</v>
      </c>
      <c r="AH372" s="111">
        <f t="shared" si="112"/>
        <v>359.38468799999993</v>
      </c>
      <c r="AI372" s="127">
        <f t="shared" si="113"/>
        <v>542.70000000000005</v>
      </c>
      <c r="AJ372" s="37">
        <f t="shared" si="100"/>
        <v>3656.2000000000003</v>
      </c>
      <c r="AK372" s="37">
        <f t="shared" si="114"/>
        <v>12782.2</v>
      </c>
      <c r="AL372" s="37">
        <f t="shared" si="102"/>
        <v>17.629879999999996</v>
      </c>
      <c r="AN372" s="37" t="str">
        <f t="shared" si="101"/>
        <v>Pallet</v>
      </c>
      <c r="AO372" s="194">
        <f t="shared" si="115"/>
        <v>13</v>
      </c>
    </row>
    <row r="373" spans="22:41" x14ac:dyDescent="0.2">
      <c r="V373" s="181">
        <f t="shared" si="103"/>
        <v>167.5</v>
      </c>
      <c r="W373" s="181">
        <f t="shared" si="104"/>
        <v>335</v>
      </c>
      <c r="X373" s="181">
        <f t="shared" si="105"/>
        <v>1</v>
      </c>
      <c r="Y373" s="37">
        <f t="shared" si="106"/>
        <v>1917.1</v>
      </c>
      <c r="Z373" s="181">
        <f t="shared" si="107"/>
        <v>365.5</v>
      </c>
      <c r="AA373" s="127">
        <f t="shared" si="108"/>
        <v>595.21331999999995</v>
      </c>
      <c r="AB373" s="127">
        <f t="shared" si="109"/>
        <v>595.21331999999995</v>
      </c>
      <c r="AC373" s="37">
        <f t="shared" si="97"/>
        <v>3971.2799199999999</v>
      </c>
      <c r="AD373" s="37">
        <f t="shared" si="110"/>
        <v>5888.3799199999994</v>
      </c>
      <c r="AE373" s="181">
        <f t="shared" si="98"/>
        <v>13</v>
      </c>
      <c r="AF373" s="37">
        <f t="shared" si="111"/>
        <v>9126</v>
      </c>
      <c r="AG373" s="181">
        <f t="shared" si="99"/>
        <v>543.20000000000005</v>
      </c>
      <c r="AH373" s="111">
        <f t="shared" si="112"/>
        <v>359.38468799999993</v>
      </c>
      <c r="AI373" s="127">
        <f t="shared" si="113"/>
        <v>543.20000000000005</v>
      </c>
      <c r="AJ373" s="37">
        <f t="shared" si="100"/>
        <v>3659.2000000000003</v>
      </c>
      <c r="AK373" s="37">
        <f t="shared" si="114"/>
        <v>12785.2</v>
      </c>
      <c r="AL373" s="37">
        <f t="shared" si="102"/>
        <v>17.577253492537313</v>
      </c>
      <c r="AN373" s="37" t="str">
        <f t="shared" si="101"/>
        <v>Pallet</v>
      </c>
      <c r="AO373" s="194">
        <f t="shared" si="115"/>
        <v>13</v>
      </c>
    </row>
    <row r="374" spans="22:41" x14ac:dyDescent="0.2">
      <c r="V374" s="181">
        <f t="shared" si="103"/>
        <v>168</v>
      </c>
      <c r="W374" s="181">
        <f t="shared" si="104"/>
        <v>336</v>
      </c>
      <c r="X374" s="181">
        <f t="shared" si="105"/>
        <v>1</v>
      </c>
      <c r="Y374" s="37">
        <f t="shared" si="106"/>
        <v>1917.1</v>
      </c>
      <c r="Z374" s="181">
        <f t="shared" si="107"/>
        <v>366</v>
      </c>
      <c r="AA374" s="127">
        <f t="shared" si="108"/>
        <v>595.21331999999995</v>
      </c>
      <c r="AB374" s="127">
        <f t="shared" si="109"/>
        <v>595.21331999999995</v>
      </c>
      <c r="AC374" s="37">
        <f t="shared" si="97"/>
        <v>3971.2799199999999</v>
      </c>
      <c r="AD374" s="37">
        <f t="shared" si="110"/>
        <v>5888.3799199999994</v>
      </c>
      <c r="AE374" s="181">
        <f t="shared" si="98"/>
        <v>14</v>
      </c>
      <c r="AF374" s="37">
        <f t="shared" si="111"/>
        <v>9828</v>
      </c>
      <c r="AG374" s="181">
        <f t="shared" si="99"/>
        <v>572.59999999999991</v>
      </c>
      <c r="AH374" s="111">
        <f t="shared" si="112"/>
        <v>387.02966399999997</v>
      </c>
      <c r="AI374" s="127">
        <f t="shared" si="113"/>
        <v>572.59999999999991</v>
      </c>
      <c r="AJ374" s="37">
        <f t="shared" si="100"/>
        <v>3835.5999999999995</v>
      </c>
      <c r="AK374" s="37">
        <f t="shared" si="114"/>
        <v>13663.599999999999</v>
      </c>
      <c r="AL374" s="37">
        <f t="shared" si="102"/>
        <v>17.524940238095237</v>
      </c>
      <c r="AN374" s="37" t="str">
        <f t="shared" si="101"/>
        <v>Pallet</v>
      </c>
      <c r="AO374" s="194">
        <f t="shared" si="115"/>
        <v>13</v>
      </c>
    </row>
    <row r="375" spans="22:41" x14ac:dyDescent="0.2">
      <c r="V375" s="181">
        <f t="shared" si="103"/>
        <v>168.5</v>
      </c>
      <c r="W375" s="181">
        <f t="shared" si="104"/>
        <v>337</v>
      </c>
      <c r="X375" s="181">
        <f t="shared" si="105"/>
        <v>1</v>
      </c>
      <c r="Y375" s="37">
        <f t="shared" si="106"/>
        <v>1917.1</v>
      </c>
      <c r="Z375" s="181">
        <f t="shared" si="107"/>
        <v>366.5</v>
      </c>
      <c r="AA375" s="127">
        <f t="shared" si="108"/>
        <v>595.21331999999995</v>
      </c>
      <c r="AB375" s="127">
        <f t="shared" si="109"/>
        <v>595.21331999999995</v>
      </c>
      <c r="AC375" s="37">
        <f t="shared" si="97"/>
        <v>3971.2799199999999</v>
      </c>
      <c r="AD375" s="37">
        <f t="shared" si="110"/>
        <v>5888.3799199999994</v>
      </c>
      <c r="AE375" s="181">
        <f t="shared" si="98"/>
        <v>14</v>
      </c>
      <c r="AF375" s="37">
        <f t="shared" si="111"/>
        <v>9828</v>
      </c>
      <c r="AG375" s="181">
        <f t="shared" si="99"/>
        <v>573.09999999999991</v>
      </c>
      <c r="AH375" s="111">
        <f t="shared" si="112"/>
        <v>387.02966399999997</v>
      </c>
      <c r="AI375" s="127">
        <f t="shared" si="113"/>
        <v>573.09999999999991</v>
      </c>
      <c r="AJ375" s="37">
        <f t="shared" si="100"/>
        <v>3838.5999999999995</v>
      </c>
      <c r="AK375" s="37">
        <f t="shared" si="114"/>
        <v>13666.599999999999</v>
      </c>
      <c r="AL375" s="37">
        <f t="shared" si="102"/>
        <v>17.472937448071214</v>
      </c>
      <c r="AN375" s="37" t="str">
        <f t="shared" si="101"/>
        <v>Pallet</v>
      </c>
      <c r="AO375" s="194">
        <f t="shared" si="115"/>
        <v>14</v>
      </c>
    </row>
    <row r="376" spans="22:41" x14ac:dyDescent="0.2">
      <c r="V376" s="181">
        <f t="shared" si="103"/>
        <v>169</v>
      </c>
      <c r="W376" s="181">
        <f t="shared" si="104"/>
        <v>338</v>
      </c>
      <c r="X376" s="181">
        <f t="shared" si="105"/>
        <v>1</v>
      </c>
      <c r="Y376" s="37">
        <f t="shared" si="106"/>
        <v>1917.1</v>
      </c>
      <c r="Z376" s="181">
        <f t="shared" si="107"/>
        <v>367</v>
      </c>
      <c r="AA376" s="127">
        <f t="shared" si="108"/>
        <v>595.21331999999995</v>
      </c>
      <c r="AB376" s="127">
        <f t="shared" si="109"/>
        <v>595.21331999999995</v>
      </c>
      <c r="AC376" s="37">
        <f t="shared" si="97"/>
        <v>3971.2799199999999</v>
      </c>
      <c r="AD376" s="37">
        <f t="shared" si="110"/>
        <v>5888.3799199999994</v>
      </c>
      <c r="AE376" s="181">
        <f t="shared" si="98"/>
        <v>14</v>
      </c>
      <c r="AF376" s="37">
        <f t="shared" si="111"/>
        <v>9828</v>
      </c>
      <c r="AG376" s="181">
        <f t="shared" si="99"/>
        <v>573.59999999999991</v>
      </c>
      <c r="AH376" s="111">
        <f t="shared" si="112"/>
        <v>387.02966399999997</v>
      </c>
      <c r="AI376" s="127">
        <f t="shared" si="113"/>
        <v>573.59999999999991</v>
      </c>
      <c r="AJ376" s="37">
        <f t="shared" si="100"/>
        <v>3841.5999999999995</v>
      </c>
      <c r="AK376" s="37">
        <f t="shared" si="114"/>
        <v>13669.599999999999</v>
      </c>
      <c r="AL376" s="37">
        <f t="shared" si="102"/>
        <v>17.421242366863904</v>
      </c>
      <c r="AN376" s="37" t="str">
        <f t="shared" si="101"/>
        <v>Pallet</v>
      </c>
      <c r="AO376" s="194">
        <f t="shared" si="115"/>
        <v>14</v>
      </c>
    </row>
    <row r="377" spans="22:41" x14ac:dyDescent="0.2">
      <c r="V377" s="181">
        <f t="shared" si="103"/>
        <v>169.5</v>
      </c>
      <c r="W377" s="181">
        <f t="shared" si="104"/>
        <v>339</v>
      </c>
      <c r="X377" s="181">
        <f t="shared" si="105"/>
        <v>1</v>
      </c>
      <c r="Y377" s="37">
        <f t="shared" si="106"/>
        <v>1917.1</v>
      </c>
      <c r="Z377" s="181">
        <f t="shared" si="107"/>
        <v>367.5</v>
      </c>
      <c r="AA377" s="127">
        <f t="shared" si="108"/>
        <v>595.21331999999995</v>
      </c>
      <c r="AB377" s="127">
        <f t="shared" si="109"/>
        <v>595.21331999999995</v>
      </c>
      <c r="AC377" s="37">
        <f t="shared" si="97"/>
        <v>3971.2799199999999</v>
      </c>
      <c r="AD377" s="37">
        <f t="shared" si="110"/>
        <v>5888.3799199999994</v>
      </c>
      <c r="AE377" s="181">
        <f t="shared" si="98"/>
        <v>14</v>
      </c>
      <c r="AF377" s="37">
        <f t="shared" si="111"/>
        <v>9828</v>
      </c>
      <c r="AG377" s="181">
        <f t="shared" si="99"/>
        <v>574.09999999999991</v>
      </c>
      <c r="AH377" s="111">
        <f t="shared" si="112"/>
        <v>387.02966399999997</v>
      </c>
      <c r="AI377" s="127">
        <f t="shared" si="113"/>
        <v>574.09999999999991</v>
      </c>
      <c r="AJ377" s="37">
        <f t="shared" si="100"/>
        <v>3844.5999999999995</v>
      </c>
      <c r="AK377" s="37">
        <f t="shared" si="114"/>
        <v>13672.599999999999</v>
      </c>
      <c r="AL377" s="37">
        <f t="shared" si="102"/>
        <v>17.369852271386428</v>
      </c>
      <c r="AN377" s="37" t="str">
        <f t="shared" si="101"/>
        <v>Pallet</v>
      </c>
      <c r="AO377" s="194">
        <f t="shared" si="115"/>
        <v>14</v>
      </c>
    </row>
    <row r="378" spans="22:41" x14ac:dyDescent="0.2">
      <c r="V378" s="181">
        <f t="shared" si="103"/>
        <v>170</v>
      </c>
      <c r="W378" s="181">
        <f t="shared" si="104"/>
        <v>340</v>
      </c>
      <c r="X378" s="181">
        <f t="shared" si="105"/>
        <v>1</v>
      </c>
      <c r="Y378" s="37">
        <f t="shared" si="106"/>
        <v>1917.1</v>
      </c>
      <c r="Z378" s="181">
        <f t="shared" si="107"/>
        <v>368</v>
      </c>
      <c r="AA378" s="127">
        <f t="shared" si="108"/>
        <v>595.21331999999995</v>
      </c>
      <c r="AB378" s="127">
        <f t="shared" si="109"/>
        <v>595.21331999999995</v>
      </c>
      <c r="AC378" s="37">
        <f t="shared" si="97"/>
        <v>3971.2799199999999</v>
      </c>
      <c r="AD378" s="37">
        <f t="shared" si="110"/>
        <v>5888.3799199999994</v>
      </c>
      <c r="AE378" s="181">
        <f t="shared" si="98"/>
        <v>14</v>
      </c>
      <c r="AF378" s="37">
        <f t="shared" si="111"/>
        <v>9828</v>
      </c>
      <c r="AG378" s="181">
        <f t="shared" si="99"/>
        <v>574.59999999999991</v>
      </c>
      <c r="AH378" s="111">
        <f t="shared" si="112"/>
        <v>387.02966399999997</v>
      </c>
      <c r="AI378" s="127">
        <f t="shared" si="113"/>
        <v>574.59999999999991</v>
      </c>
      <c r="AJ378" s="37">
        <f t="shared" si="100"/>
        <v>3847.5999999999995</v>
      </c>
      <c r="AK378" s="37">
        <f t="shared" si="114"/>
        <v>13675.599999999999</v>
      </c>
      <c r="AL378" s="37">
        <f t="shared" si="102"/>
        <v>17.318764470588235</v>
      </c>
      <c r="AN378" s="37" t="str">
        <f t="shared" si="101"/>
        <v>Pallet</v>
      </c>
      <c r="AO378" s="194">
        <f t="shared" si="115"/>
        <v>14</v>
      </c>
    </row>
    <row r="379" spans="22:41" x14ac:dyDescent="0.2">
      <c r="V379" s="181">
        <f t="shared" si="103"/>
        <v>170.5</v>
      </c>
      <c r="W379" s="181">
        <f t="shared" si="104"/>
        <v>341</v>
      </c>
      <c r="X379" s="181">
        <f t="shared" si="105"/>
        <v>1</v>
      </c>
      <c r="Y379" s="37">
        <f t="shared" si="106"/>
        <v>1917.1</v>
      </c>
      <c r="Z379" s="181">
        <f t="shared" si="107"/>
        <v>368.5</v>
      </c>
      <c r="AA379" s="127">
        <f t="shared" si="108"/>
        <v>595.21331999999995</v>
      </c>
      <c r="AB379" s="127">
        <f t="shared" si="109"/>
        <v>595.21331999999995</v>
      </c>
      <c r="AC379" s="37">
        <f t="shared" si="97"/>
        <v>3971.2799199999999</v>
      </c>
      <c r="AD379" s="37">
        <f t="shared" si="110"/>
        <v>5888.3799199999994</v>
      </c>
      <c r="AE379" s="181">
        <f t="shared" si="98"/>
        <v>14</v>
      </c>
      <c r="AF379" s="37">
        <f t="shared" si="111"/>
        <v>9828</v>
      </c>
      <c r="AG379" s="181">
        <f t="shared" si="99"/>
        <v>575.09999999999991</v>
      </c>
      <c r="AH379" s="111">
        <f t="shared" si="112"/>
        <v>387.02966399999997</v>
      </c>
      <c r="AI379" s="127">
        <f t="shared" si="113"/>
        <v>575.09999999999991</v>
      </c>
      <c r="AJ379" s="37">
        <f t="shared" si="100"/>
        <v>3850.5999999999995</v>
      </c>
      <c r="AK379" s="37">
        <f t="shared" si="114"/>
        <v>13678.599999999999</v>
      </c>
      <c r="AL379" s="37">
        <f t="shared" si="102"/>
        <v>17.267976304985336</v>
      </c>
      <c r="AN379" s="37" t="str">
        <f t="shared" si="101"/>
        <v>Pallet</v>
      </c>
      <c r="AO379" s="194">
        <f t="shared" si="115"/>
        <v>14</v>
      </c>
    </row>
    <row r="380" spans="22:41" x14ac:dyDescent="0.2">
      <c r="V380" s="181">
        <f t="shared" si="103"/>
        <v>171</v>
      </c>
      <c r="W380" s="181">
        <f t="shared" si="104"/>
        <v>342</v>
      </c>
      <c r="X380" s="181">
        <f t="shared" si="105"/>
        <v>1</v>
      </c>
      <c r="Y380" s="37">
        <f t="shared" si="106"/>
        <v>1917.1</v>
      </c>
      <c r="Z380" s="181">
        <f t="shared" si="107"/>
        <v>369</v>
      </c>
      <c r="AA380" s="127">
        <f t="shared" si="108"/>
        <v>595.21331999999995</v>
      </c>
      <c r="AB380" s="127">
        <f t="shared" si="109"/>
        <v>595.21331999999995</v>
      </c>
      <c r="AC380" s="37">
        <f t="shared" si="97"/>
        <v>3971.2799199999999</v>
      </c>
      <c r="AD380" s="37">
        <f t="shared" si="110"/>
        <v>5888.3799199999994</v>
      </c>
      <c r="AE380" s="181">
        <f t="shared" si="98"/>
        <v>14</v>
      </c>
      <c r="AF380" s="37">
        <f t="shared" si="111"/>
        <v>9828</v>
      </c>
      <c r="AG380" s="181">
        <f t="shared" si="99"/>
        <v>575.59999999999991</v>
      </c>
      <c r="AH380" s="111">
        <f t="shared" si="112"/>
        <v>387.02966399999997</v>
      </c>
      <c r="AI380" s="127">
        <f t="shared" si="113"/>
        <v>575.59999999999991</v>
      </c>
      <c r="AJ380" s="37">
        <f t="shared" si="100"/>
        <v>3853.5999999999995</v>
      </c>
      <c r="AK380" s="37">
        <f t="shared" si="114"/>
        <v>13681.599999999999</v>
      </c>
      <c r="AL380" s="37">
        <f t="shared" si="102"/>
        <v>17.217485146198829</v>
      </c>
      <c r="AN380" s="37" t="str">
        <f t="shared" si="101"/>
        <v>Pallet</v>
      </c>
      <c r="AO380" s="194">
        <f t="shared" si="115"/>
        <v>14</v>
      </c>
    </row>
    <row r="381" spans="22:41" x14ac:dyDescent="0.2">
      <c r="V381" s="181">
        <f t="shared" si="103"/>
        <v>171.5</v>
      </c>
      <c r="W381" s="181">
        <f t="shared" si="104"/>
        <v>343</v>
      </c>
      <c r="X381" s="181">
        <f t="shared" si="105"/>
        <v>1</v>
      </c>
      <c r="Y381" s="37">
        <f t="shared" si="106"/>
        <v>1917.1</v>
      </c>
      <c r="Z381" s="181">
        <f t="shared" si="107"/>
        <v>369.5</v>
      </c>
      <c r="AA381" s="127">
        <f t="shared" si="108"/>
        <v>595.21331999999995</v>
      </c>
      <c r="AB381" s="127">
        <f t="shared" si="109"/>
        <v>595.21331999999995</v>
      </c>
      <c r="AC381" s="37">
        <f t="shared" si="97"/>
        <v>3971.2799199999999</v>
      </c>
      <c r="AD381" s="37">
        <f t="shared" si="110"/>
        <v>5888.3799199999994</v>
      </c>
      <c r="AE381" s="181">
        <f t="shared" si="98"/>
        <v>14</v>
      </c>
      <c r="AF381" s="37">
        <f t="shared" si="111"/>
        <v>9828</v>
      </c>
      <c r="AG381" s="181">
        <f t="shared" si="99"/>
        <v>576.09999999999991</v>
      </c>
      <c r="AH381" s="111">
        <f t="shared" si="112"/>
        <v>387.02966399999997</v>
      </c>
      <c r="AI381" s="127">
        <f t="shared" si="113"/>
        <v>576.09999999999991</v>
      </c>
      <c r="AJ381" s="37">
        <f t="shared" si="100"/>
        <v>3856.5999999999995</v>
      </c>
      <c r="AK381" s="37">
        <f t="shared" si="114"/>
        <v>13684.599999999999</v>
      </c>
      <c r="AL381" s="37">
        <f t="shared" si="102"/>
        <v>17.167288396501455</v>
      </c>
      <c r="AN381" s="37" t="str">
        <f t="shared" si="101"/>
        <v>Pallet</v>
      </c>
      <c r="AO381" s="194">
        <f t="shared" si="115"/>
        <v>14</v>
      </c>
    </row>
    <row r="382" spans="22:41" x14ac:dyDescent="0.2">
      <c r="V382" s="181">
        <f t="shared" si="103"/>
        <v>172</v>
      </c>
      <c r="W382" s="181">
        <f t="shared" si="104"/>
        <v>344</v>
      </c>
      <c r="X382" s="181">
        <f t="shared" si="105"/>
        <v>1</v>
      </c>
      <c r="Y382" s="37">
        <f t="shared" si="106"/>
        <v>1917.1</v>
      </c>
      <c r="Z382" s="181">
        <f t="shared" si="107"/>
        <v>370</v>
      </c>
      <c r="AA382" s="127">
        <f t="shared" si="108"/>
        <v>595.21331999999995</v>
      </c>
      <c r="AB382" s="127">
        <f t="shared" si="109"/>
        <v>595.21331999999995</v>
      </c>
      <c r="AC382" s="37">
        <f t="shared" si="97"/>
        <v>3971.2799199999999</v>
      </c>
      <c r="AD382" s="37">
        <f t="shared" si="110"/>
        <v>5888.3799199999994</v>
      </c>
      <c r="AE382" s="181">
        <f t="shared" si="98"/>
        <v>14</v>
      </c>
      <c r="AF382" s="37">
        <f t="shared" si="111"/>
        <v>9828</v>
      </c>
      <c r="AG382" s="181">
        <f t="shared" si="99"/>
        <v>576.59999999999991</v>
      </c>
      <c r="AH382" s="111">
        <f t="shared" si="112"/>
        <v>387.02966399999997</v>
      </c>
      <c r="AI382" s="127">
        <f t="shared" si="113"/>
        <v>576.59999999999991</v>
      </c>
      <c r="AJ382" s="37">
        <f t="shared" si="100"/>
        <v>3859.5999999999995</v>
      </c>
      <c r="AK382" s="37">
        <f t="shared" si="114"/>
        <v>13687.599999999999</v>
      </c>
      <c r="AL382" s="37">
        <f t="shared" si="102"/>
        <v>17.117383488372091</v>
      </c>
      <c r="AN382" s="37" t="str">
        <f t="shared" si="101"/>
        <v>Pallet</v>
      </c>
      <c r="AO382" s="194">
        <f t="shared" si="115"/>
        <v>14</v>
      </c>
    </row>
    <row r="383" spans="22:41" x14ac:dyDescent="0.2">
      <c r="V383" s="181">
        <f t="shared" si="103"/>
        <v>172.5</v>
      </c>
      <c r="W383" s="181">
        <f t="shared" si="104"/>
        <v>345</v>
      </c>
      <c r="X383" s="181">
        <f t="shared" si="105"/>
        <v>1</v>
      </c>
      <c r="Y383" s="37">
        <f t="shared" si="106"/>
        <v>1917.1</v>
      </c>
      <c r="Z383" s="181">
        <f t="shared" si="107"/>
        <v>370.5</v>
      </c>
      <c r="AA383" s="127">
        <f t="shared" si="108"/>
        <v>595.21331999999995</v>
      </c>
      <c r="AB383" s="127">
        <f t="shared" si="109"/>
        <v>595.21331999999995</v>
      </c>
      <c r="AC383" s="37">
        <f t="shared" si="97"/>
        <v>3971.2799199999999</v>
      </c>
      <c r="AD383" s="37">
        <f t="shared" si="110"/>
        <v>5888.3799199999994</v>
      </c>
      <c r="AE383" s="181">
        <f t="shared" si="98"/>
        <v>14</v>
      </c>
      <c r="AF383" s="37">
        <f t="shared" si="111"/>
        <v>9828</v>
      </c>
      <c r="AG383" s="181">
        <f t="shared" si="99"/>
        <v>577.09999999999991</v>
      </c>
      <c r="AH383" s="111">
        <f t="shared" si="112"/>
        <v>387.02966399999997</v>
      </c>
      <c r="AI383" s="127">
        <f t="shared" si="113"/>
        <v>577.09999999999991</v>
      </c>
      <c r="AJ383" s="37">
        <f t="shared" si="100"/>
        <v>3862.5999999999995</v>
      </c>
      <c r="AK383" s="37">
        <f t="shared" si="114"/>
        <v>13690.599999999999</v>
      </c>
      <c r="AL383" s="37">
        <f t="shared" si="102"/>
        <v>17.067767884057968</v>
      </c>
      <c r="AN383" s="37" t="str">
        <f t="shared" si="101"/>
        <v>Pallet</v>
      </c>
      <c r="AO383" s="194">
        <f t="shared" si="115"/>
        <v>14</v>
      </c>
    </row>
    <row r="384" spans="22:41" x14ac:dyDescent="0.2">
      <c r="V384" s="181">
        <f t="shared" si="103"/>
        <v>173</v>
      </c>
      <c r="W384" s="181">
        <f t="shared" si="104"/>
        <v>346</v>
      </c>
      <c r="X384" s="181">
        <f t="shared" si="105"/>
        <v>1</v>
      </c>
      <c r="Y384" s="37">
        <f t="shared" si="106"/>
        <v>1917.1</v>
      </c>
      <c r="Z384" s="181">
        <f t="shared" si="107"/>
        <v>371</v>
      </c>
      <c r="AA384" s="127">
        <f t="shared" si="108"/>
        <v>595.21331999999995</v>
      </c>
      <c r="AB384" s="127">
        <f t="shared" si="109"/>
        <v>595.21331999999995</v>
      </c>
      <c r="AC384" s="37">
        <f t="shared" si="97"/>
        <v>3971.2799199999999</v>
      </c>
      <c r="AD384" s="37">
        <f t="shared" si="110"/>
        <v>5888.3799199999994</v>
      </c>
      <c r="AE384" s="181">
        <f t="shared" si="98"/>
        <v>14</v>
      </c>
      <c r="AF384" s="37">
        <f t="shared" si="111"/>
        <v>9828</v>
      </c>
      <c r="AG384" s="181">
        <f t="shared" si="99"/>
        <v>577.59999999999991</v>
      </c>
      <c r="AH384" s="111">
        <f t="shared" si="112"/>
        <v>387.02966399999997</v>
      </c>
      <c r="AI384" s="127">
        <f t="shared" si="113"/>
        <v>577.59999999999991</v>
      </c>
      <c r="AJ384" s="37">
        <f t="shared" si="100"/>
        <v>3865.5999999999995</v>
      </c>
      <c r="AK384" s="37">
        <f t="shared" si="114"/>
        <v>13693.599999999999</v>
      </c>
      <c r="AL384" s="37">
        <f t="shared" si="102"/>
        <v>17.018439075144506</v>
      </c>
      <c r="AN384" s="37" t="str">
        <f t="shared" si="101"/>
        <v>Pallet</v>
      </c>
      <c r="AO384" s="194">
        <f t="shared" si="115"/>
        <v>14</v>
      </c>
    </row>
    <row r="385" spans="22:41" x14ac:dyDescent="0.2">
      <c r="V385" s="181">
        <f t="shared" si="103"/>
        <v>173.5</v>
      </c>
      <c r="W385" s="181">
        <f t="shared" si="104"/>
        <v>347</v>
      </c>
      <c r="X385" s="181">
        <f t="shared" si="105"/>
        <v>1</v>
      </c>
      <c r="Y385" s="37">
        <f t="shared" si="106"/>
        <v>1917.1</v>
      </c>
      <c r="Z385" s="181">
        <f t="shared" si="107"/>
        <v>371.5</v>
      </c>
      <c r="AA385" s="127">
        <f t="shared" si="108"/>
        <v>595.21331999999995</v>
      </c>
      <c r="AB385" s="127">
        <f t="shared" si="109"/>
        <v>595.21331999999995</v>
      </c>
      <c r="AC385" s="37">
        <f t="shared" si="97"/>
        <v>3971.2799199999999</v>
      </c>
      <c r="AD385" s="37">
        <f t="shared" si="110"/>
        <v>5888.3799199999994</v>
      </c>
      <c r="AE385" s="181">
        <f t="shared" si="98"/>
        <v>14</v>
      </c>
      <c r="AF385" s="37">
        <f t="shared" si="111"/>
        <v>9828</v>
      </c>
      <c r="AG385" s="181">
        <f t="shared" si="99"/>
        <v>578.09999999999991</v>
      </c>
      <c r="AH385" s="111">
        <f t="shared" si="112"/>
        <v>387.02966399999997</v>
      </c>
      <c r="AI385" s="127">
        <f t="shared" si="113"/>
        <v>578.09999999999991</v>
      </c>
      <c r="AJ385" s="37">
        <f t="shared" si="100"/>
        <v>3868.5999999999995</v>
      </c>
      <c r="AK385" s="37">
        <f t="shared" si="114"/>
        <v>13696.599999999999</v>
      </c>
      <c r="AL385" s="37">
        <f t="shared" si="102"/>
        <v>16.969394582132562</v>
      </c>
      <c r="AN385" s="37" t="str">
        <f t="shared" si="101"/>
        <v>Pallet</v>
      </c>
      <c r="AO385" s="194">
        <f t="shared" si="115"/>
        <v>14</v>
      </c>
    </row>
    <row r="386" spans="22:41" x14ac:dyDescent="0.2">
      <c r="V386" s="181">
        <f t="shared" si="103"/>
        <v>174</v>
      </c>
      <c r="W386" s="181">
        <f t="shared" si="104"/>
        <v>348</v>
      </c>
      <c r="X386" s="181">
        <f t="shared" si="105"/>
        <v>1</v>
      </c>
      <c r="Y386" s="37">
        <f t="shared" si="106"/>
        <v>1917.1</v>
      </c>
      <c r="Z386" s="181">
        <f t="shared" si="107"/>
        <v>372</v>
      </c>
      <c r="AA386" s="127">
        <f t="shared" si="108"/>
        <v>595.21331999999995</v>
      </c>
      <c r="AB386" s="127">
        <f t="shared" si="109"/>
        <v>595.21331999999995</v>
      </c>
      <c r="AC386" s="37">
        <f t="shared" si="97"/>
        <v>3971.2799199999999</v>
      </c>
      <c r="AD386" s="37">
        <f t="shared" si="110"/>
        <v>5888.3799199999994</v>
      </c>
      <c r="AE386" s="181">
        <f t="shared" si="98"/>
        <v>14</v>
      </c>
      <c r="AF386" s="37">
        <f t="shared" si="111"/>
        <v>9828</v>
      </c>
      <c r="AG386" s="181">
        <f t="shared" si="99"/>
        <v>578.59999999999991</v>
      </c>
      <c r="AH386" s="111">
        <f t="shared" si="112"/>
        <v>387.02966399999997</v>
      </c>
      <c r="AI386" s="127">
        <f t="shared" si="113"/>
        <v>578.59999999999991</v>
      </c>
      <c r="AJ386" s="37">
        <f t="shared" si="100"/>
        <v>3871.5999999999995</v>
      </c>
      <c r="AK386" s="37">
        <f t="shared" si="114"/>
        <v>13699.599999999999</v>
      </c>
      <c r="AL386" s="37">
        <f t="shared" si="102"/>
        <v>16.920631954022987</v>
      </c>
      <c r="AN386" s="37" t="str">
        <f t="shared" si="101"/>
        <v>Pallet</v>
      </c>
      <c r="AO386" s="194">
        <f t="shared" si="115"/>
        <v>14</v>
      </c>
    </row>
    <row r="387" spans="22:41" x14ac:dyDescent="0.2">
      <c r="V387" s="181">
        <f t="shared" si="103"/>
        <v>174.5</v>
      </c>
      <c r="W387" s="181">
        <f t="shared" si="104"/>
        <v>349</v>
      </c>
      <c r="X387" s="181">
        <f t="shared" si="105"/>
        <v>1</v>
      </c>
      <c r="Y387" s="37">
        <f t="shared" si="106"/>
        <v>1917.1</v>
      </c>
      <c r="Z387" s="181">
        <f t="shared" si="107"/>
        <v>372.5</v>
      </c>
      <c r="AA387" s="127">
        <f t="shared" si="108"/>
        <v>595.21331999999995</v>
      </c>
      <c r="AB387" s="127">
        <f t="shared" si="109"/>
        <v>595.21331999999995</v>
      </c>
      <c r="AC387" s="37">
        <f t="shared" si="97"/>
        <v>3971.2799199999999</v>
      </c>
      <c r="AD387" s="37">
        <f t="shared" si="110"/>
        <v>5888.3799199999994</v>
      </c>
      <c r="AE387" s="181">
        <f t="shared" si="98"/>
        <v>14</v>
      </c>
      <c r="AF387" s="37">
        <f t="shared" si="111"/>
        <v>9828</v>
      </c>
      <c r="AG387" s="181">
        <f t="shared" si="99"/>
        <v>579.09999999999991</v>
      </c>
      <c r="AH387" s="111">
        <f t="shared" si="112"/>
        <v>387.02966399999997</v>
      </c>
      <c r="AI387" s="127">
        <f t="shared" si="113"/>
        <v>579.09999999999991</v>
      </c>
      <c r="AJ387" s="37">
        <f t="shared" si="100"/>
        <v>3874.5999999999995</v>
      </c>
      <c r="AK387" s="37">
        <f t="shared" si="114"/>
        <v>13702.599999999999</v>
      </c>
      <c r="AL387" s="37">
        <f t="shared" si="102"/>
        <v>16.872148767908307</v>
      </c>
      <c r="AN387" s="37" t="str">
        <f t="shared" si="101"/>
        <v>Pallet</v>
      </c>
      <c r="AO387" s="194">
        <f t="shared" si="115"/>
        <v>14</v>
      </c>
    </row>
    <row r="388" spans="22:41" x14ac:dyDescent="0.2">
      <c r="V388" s="181">
        <f t="shared" si="103"/>
        <v>175</v>
      </c>
      <c r="W388" s="181">
        <f t="shared" si="104"/>
        <v>350</v>
      </c>
      <c r="X388" s="181">
        <f t="shared" si="105"/>
        <v>1</v>
      </c>
      <c r="Y388" s="37">
        <f t="shared" si="106"/>
        <v>1917.1</v>
      </c>
      <c r="Z388" s="181">
        <f t="shared" si="107"/>
        <v>373</v>
      </c>
      <c r="AA388" s="127">
        <f t="shared" si="108"/>
        <v>595.21331999999995</v>
      </c>
      <c r="AB388" s="127">
        <f t="shared" si="109"/>
        <v>595.21331999999995</v>
      </c>
      <c r="AC388" s="37">
        <f t="shared" si="97"/>
        <v>3971.2799199999999</v>
      </c>
      <c r="AD388" s="37">
        <f t="shared" si="110"/>
        <v>5888.3799199999994</v>
      </c>
      <c r="AE388" s="181">
        <f t="shared" si="98"/>
        <v>14</v>
      </c>
      <c r="AF388" s="37">
        <f t="shared" si="111"/>
        <v>9828</v>
      </c>
      <c r="AG388" s="181">
        <f t="shared" si="99"/>
        <v>579.59999999999991</v>
      </c>
      <c r="AH388" s="111">
        <f t="shared" si="112"/>
        <v>387.02966399999997</v>
      </c>
      <c r="AI388" s="127">
        <f t="shared" si="113"/>
        <v>579.59999999999991</v>
      </c>
      <c r="AJ388" s="37">
        <f t="shared" si="100"/>
        <v>3877.5999999999995</v>
      </c>
      <c r="AK388" s="37">
        <f t="shared" si="114"/>
        <v>13705.599999999999</v>
      </c>
      <c r="AL388" s="37">
        <f t="shared" si="102"/>
        <v>16.823942628571427</v>
      </c>
      <c r="AN388" s="37" t="str">
        <f t="shared" si="101"/>
        <v>Pallet</v>
      </c>
      <c r="AO388" s="194">
        <f t="shared" si="115"/>
        <v>14</v>
      </c>
    </row>
    <row r="389" spans="22:41" x14ac:dyDescent="0.2">
      <c r="V389" s="181">
        <f t="shared" si="103"/>
        <v>175.5</v>
      </c>
      <c r="W389" s="181">
        <f t="shared" si="104"/>
        <v>351</v>
      </c>
      <c r="X389" s="181">
        <f t="shared" si="105"/>
        <v>1</v>
      </c>
      <c r="Y389" s="37">
        <f t="shared" si="106"/>
        <v>1917.1</v>
      </c>
      <c r="Z389" s="181">
        <f t="shared" si="107"/>
        <v>373.5</v>
      </c>
      <c r="AA389" s="127">
        <f t="shared" si="108"/>
        <v>595.21331999999995</v>
      </c>
      <c r="AB389" s="127">
        <f t="shared" si="109"/>
        <v>595.21331999999995</v>
      </c>
      <c r="AC389" s="37">
        <f t="shared" si="97"/>
        <v>3971.2799199999999</v>
      </c>
      <c r="AD389" s="37">
        <f t="shared" si="110"/>
        <v>5888.3799199999994</v>
      </c>
      <c r="AE389" s="181">
        <f t="shared" si="98"/>
        <v>14</v>
      </c>
      <c r="AF389" s="37">
        <f t="shared" si="111"/>
        <v>9828</v>
      </c>
      <c r="AG389" s="181">
        <f t="shared" si="99"/>
        <v>580.09999999999991</v>
      </c>
      <c r="AH389" s="111">
        <f t="shared" si="112"/>
        <v>387.02966399999997</v>
      </c>
      <c r="AI389" s="127">
        <f t="shared" si="113"/>
        <v>580.09999999999991</v>
      </c>
      <c r="AJ389" s="37">
        <f t="shared" si="100"/>
        <v>3880.5999999999995</v>
      </c>
      <c r="AK389" s="37">
        <f t="shared" si="114"/>
        <v>13708.599999999999</v>
      </c>
      <c r="AL389" s="37">
        <f t="shared" si="102"/>
        <v>16.776011168091166</v>
      </c>
      <c r="AN389" s="37" t="str">
        <f t="shared" si="101"/>
        <v>Pallet</v>
      </c>
      <c r="AO389" s="194">
        <f t="shared" si="115"/>
        <v>14</v>
      </c>
    </row>
    <row r="390" spans="22:41" x14ac:dyDescent="0.2">
      <c r="V390" s="181">
        <f t="shared" si="103"/>
        <v>176</v>
      </c>
      <c r="W390" s="181">
        <f t="shared" si="104"/>
        <v>352</v>
      </c>
      <c r="X390" s="181">
        <f t="shared" si="105"/>
        <v>1</v>
      </c>
      <c r="Y390" s="37">
        <f t="shared" si="106"/>
        <v>1917.1</v>
      </c>
      <c r="Z390" s="181">
        <f t="shared" si="107"/>
        <v>374</v>
      </c>
      <c r="AA390" s="127">
        <f t="shared" si="108"/>
        <v>595.21331999999995</v>
      </c>
      <c r="AB390" s="127">
        <f t="shared" si="109"/>
        <v>595.21331999999995</v>
      </c>
      <c r="AC390" s="37">
        <f t="shared" si="97"/>
        <v>3971.2799199999999</v>
      </c>
      <c r="AD390" s="37">
        <f t="shared" si="110"/>
        <v>5888.3799199999994</v>
      </c>
      <c r="AE390" s="181">
        <f t="shared" si="98"/>
        <v>14</v>
      </c>
      <c r="AF390" s="37">
        <f t="shared" si="111"/>
        <v>9828</v>
      </c>
      <c r="AG390" s="181">
        <f t="shared" si="99"/>
        <v>580.59999999999991</v>
      </c>
      <c r="AH390" s="111">
        <f t="shared" si="112"/>
        <v>387.02966399999997</v>
      </c>
      <c r="AI390" s="127">
        <f t="shared" si="113"/>
        <v>580.59999999999991</v>
      </c>
      <c r="AJ390" s="37">
        <f t="shared" si="100"/>
        <v>3883.5999999999995</v>
      </c>
      <c r="AK390" s="37">
        <f t="shared" si="114"/>
        <v>13711.599999999999</v>
      </c>
      <c r="AL390" s="37">
        <f t="shared" si="102"/>
        <v>16.728352045454542</v>
      </c>
      <c r="AN390" s="37" t="str">
        <f t="shared" si="101"/>
        <v>Pallet</v>
      </c>
      <c r="AO390" s="194">
        <f t="shared" si="115"/>
        <v>14</v>
      </c>
    </row>
    <row r="391" spans="22:41" x14ac:dyDescent="0.2">
      <c r="V391" s="181">
        <f t="shared" si="103"/>
        <v>176.5</v>
      </c>
      <c r="W391" s="181">
        <f t="shared" si="104"/>
        <v>353</v>
      </c>
      <c r="X391" s="181">
        <f t="shared" si="105"/>
        <v>1</v>
      </c>
      <c r="Y391" s="37">
        <f t="shared" si="106"/>
        <v>1917.1</v>
      </c>
      <c r="Z391" s="181">
        <f t="shared" si="107"/>
        <v>374.5</v>
      </c>
      <c r="AA391" s="127">
        <f t="shared" si="108"/>
        <v>595.21331999999995</v>
      </c>
      <c r="AB391" s="127">
        <f t="shared" si="109"/>
        <v>595.21331999999995</v>
      </c>
      <c r="AC391" s="37">
        <f t="shared" si="97"/>
        <v>3971.2799199999999</v>
      </c>
      <c r="AD391" s="37">
        <f t="shared" si="110"/>
        <v>5888.3799199999994</v>
      </c>
      <c r="AE391" s="181">
        <f t="shared" si="98"/>
        <v>14</v>
      </c>
      <c r="AF391" s="37">
        <f t="shared" si="111"/>
        <v>9828</v>
      </c>
      <c r="AG391" s="181">
        <f t="shared" si="99"/>
        <v>581.09999999999991</v>
      </c>
      <c r="AH391" s="111">
        <f t="shared" si="112"/>
        <v>387.02966399999997</v>
      </c>
      <c r="AI391" s="127">
        <f t="shared" si="113"/>
        <v>581.09999999999991</v>
      </c>
      <c r="AJ391" s="37">
        <f t="shared" si="100"/>
        <v>3886.5999999999995</v>
      </c>
      <c r="AK391" s="37">
        <f t="shared" si="114"/>
        <v>13714.599999999999</v>
      </c>
      <c r="AL391" s="37">
        <f t="shared" si="102"/>
        <v>16.680962946175637</v>
      </c>
      <c r="AN391" s="37" t="str">
        <f t="shared" si="101"/>
        <v>Pallet</v>
      </c>
      <c r="AO391" s="194">
        <f t="shared" si="115"/>
        <v>14</v>
      </c>
    </row>
    <row r="392" spans="22:41" x14ac:dyDescent="0.2">
      <c r="V392" s="181">
        <f t="shared" si="103"/>
        <v>177</v>
      </c>
      <c r="W392" s="181">
        <f t="shared" si="104"/>
        <v>354</v>
      </c>
      <c r="X392" s="181">
        <f t="shared" si="105"/>
        <v>1</v>
      </c>
      <c r="Y392" s="37">
        <f t="shared" si="106"/>
        <v>1917.1</v>
      </c>
      <c r="Z392" s="181">
        <f t="shared" si="107"/>
        <v>375</v>
      </c>
      <c r="AA392" s="127">
        <f t="shared" si="108"/>
        <v>595.21331999999995</v>
      </c>
      <c r="AB392" s="127">
        <f t="shared" si="109"/>
        <v>595.21331999999995</v>
      </c>
      <c r="AC392" s="37">
        <f t="shared" si="97"/>
        <v>3971.2799199999999</v>
      </c>
      <c r="AD392" s="37">
        <f t="shared" si="110"/>
        <v>5888.3799199999994</v>
      </c>
      <c r="AE392" s="181">
        <f t="shared" si="98"/>
        <v>14</v>
      </c>
      <c r="AF392" s="37">
        <f t="shared" si="111"/>
        <v>9828</v>
      </c>
      <c r="AG392" s="181">
        <f t="shared" si="99"/>
        <v>581.59999999999991</v>
      </c>
      <c r="AH392" s="111">
        <f t="shared" si="112"/>
        <v>387.02966399999997</v>
      </c>
      <c r="AI392" s="127">
        <f t="shared" si="113"/>
        <v>581.59999999999991</v>
      </c>
      <c r="AJ392" s="37">
        <f t="shared" si="100"/>
        <v>3889.5999999999995</v>
      </c>
      <c r="AK392" s="37">
        <f t="shared" si="114"/>
        <v>13717.599999999999</v>
      </c>
      <c r="AL392" s="37">
        <f t="shared" si="102"/>
        <v>16.633841581920901</v>
      </c>
      <c r="AN392" s="37" t="str">
        <f t="shared" si="101"/>
        <v>Pallet</v>
      </c>
      <c r="AO392" s="194">
        <f t="shared" si="115"/>
        <v>14</v>
      </c>
    </row>
    <row r="393" spans="22:41" x14ac:dyDescent="0.2">
      <c r="V393" s="181">
        <f t="shared" si="103"/>
        <v>177.5</v>
      </c>
      <c r="W393" s="181">
        <f t="shared" si="104"/>
        <v>355</v>
      </c>
      <c r="X393" s="181">
        <f t="shared" si="105"/>
        <v>1</v>
      </c>
      <c r="Y393" s="37">
        <f t="shared" si="106"/>
        <v>1917.1</v>
      </c>
      <c r="Z393" s="181">
        <f t="shared" si="107"/>
        <v>375.5</v>
      </c>
      <c r="AA393" s="127">
        <f t="shared" si="108"/>
        <v>595.21331999999995</v>
      </c>
      <c r="AB393" s="127">
        <f t="shared" si="109"/>
        <v>595.21331999999995</v>
      </c>
      <c r="AC393" s="37">
        <f t="shared" si="97"/>
        <v>3971.2799199999999</v>
      </c>
      <c r="AD393" s="37">
        <f t="shared" si="110"/>
        <v>5888.3799199999994</v>
      </c>
      <c r="AE393" s="181">
        <f t="shared" si="98"/>
        <v>14</v>
      </c>
      <c r="AF393" s="37">
        <f t="shared" si="111"/>
        <v>9828</v>
      </c>
      <c r="AG393" s="181">
        <f t="shared" si="99"/>
        <v>582.09999999999991</v>
      </c>
      <c r="AH393" s="111">
        <f t="shared" si="112"/>
        <v>387.02966399999997</v>
      </c>
      <c r="AI393" s="127">
        <f t="shared" si="113"/>
        <v>582.09999999999991</v>
      </c>
      <c r="AJ393" s="37">
        <f t="shared" si="100"/>
        <v>3892.5999999999995</v>
      </c>
      <c r="AK393" s="37">
        <f t="shared" si="114"/>
        <v>13720.599999999999</v>
      </c>
      <c r="AL393" s="37">
        <f t="shared" si="102"/>
        <v>16.586985690140843</v>
      </c>
      <c r="AN393" s="37" t="str">
        <f t="shared" si="101"/>
        <v>Pallet</v>
      </c>
      <c r="AO393" s="194">
        <f t="shared" si="115"/>
        <v>14</v>
      </c>
    </row>
    <row r="394" spans="22:41" x14ac:dyDescent="0.2">
      <c r="V394" s="181">
        <f t="shared" si="103"/>
        <v>178</v>
      </c>
      <c r="W394" s="181">
        <f t="shared" si="104"/>
        <v>356</v>
      </c>
      <c r="X394" s="181">
        <f t="shared" si="105"/>
        <v>1</v>
      </c>
      <c r="Y394" s="37">
        <f t="shared" si="106"/>
        <v>1917.1</v>
      </c>
      <c r="Z394" s="181">
        <f t="shared" si="107"/>
        <v>376</v>
      </c>
      <c r="AA394" s="127">
        <f t="shared" si="108"/>
        <v>595.21331999999995</v>
      </c>
      <c r="AB394" s="127">
        <f t="shared" si="109"/>
        <v>595.21331999999995</v>
      </c>
      <c r="AC394" s="37">
        <f t="shared" si="97"/>
        <v>3971.2799199999999</v>
      </c>
      <c r="AD394" s="37">
        <f t="shared" si="110"/>
        <v>5888.3799199999994</v>
      </c>
      <c r="AE394" s="181">
        <f t="shared" si="98"/>
        <v>14</v>
      </c>
      <c r="AF394" s="37">
        <f t="shared" si="111"/>
        <v>9828</v>
      </c>
      <c r="AG394" s="181">
        <f t="shared" si="99"/>
        <v>582.59999999999991</v>
      </c>
      <c r="AH394" s="111">
        <f t="shared" si="112"/>
        <v>387.02966399999997</v>
      </c>
      <c r="AI394" s="127">
        <f t="shared" si="113"/>
        <v>582.59999999999991</v>
      </c>
      <c r="AJ394" s="37">
        <f t="shared" si="100"/>
        <v>3895.5999999999995</v>
      </c>
      <c r="AK394" s="37">
        <f t="shared" si="114"/>
        <v>13723.599999999999</v>
      </c>
      <c r="AL394" s="37">
        <f t="shared" si="102"/>
        <v>16.540393033707865</v>
      </c>
      <c r="AN394" s="37" t="str">
        <f t="shared" si="101"/>
        <v>Pallet</v>
      </c>
      <c r="AO394" s="194">
        <f t="shared" si="115"/>
        <v>14</v>
      </c>
    </row>
    <row r="395" spans="22:41" x14ac:dyDescent="0.2">
      <c r="V395" s="181">
        <f t="shared" si="103"/>
        <v>178.5</v>
      </c>
      <c r="W395" s="181">
        <f t="shared" si="104"/>
        <v>357</v>
      </c>
      <c r="X395" s="181">
        <f t="shared" si="105"/>
        <v>1</v>
      </c>
      <c r="Y395" s="37">
        <f t="shared" si="106"/>
        <v>1917.1</v>
      </c>
      <c r="Z395" s="181">
        <f t="shared" si="107"/>
        <v>376.5</v>
      </c>
      <c r="AA395" s="127">
        <f t="shared" si="108"/>
        <v>595.21331999999995</v>
      </c>
      <c r="AB395" s="127">
        <f t="shared" si="109"/>
        <v>595.21331999999995</v>
      </c>
      <c r="AC395" s="37">
        <f t="shared" si="97"/>
        <v>3971.2799199999999</v>
      </c>
      <c r="AD395" s="37">
        <f t="shared" si="110"/>
        <v>5888.3799199999994</v>
      </c>
      <c r="AE395" s="181">
        <f t="shared" si="98"/>
        <v>14</v>
      </c>
      <c r="AF395" s="37">
        <f t="shared" si="111"/>
        <v>9828</v>
      </c>
      <c r="AG395" s="181">
        <f t="shared" si="99"/>
        <v>583.09999999999991</v>
      </c>
      <c r="AH395" s="111">
        <f t="shared" si="112"/>
        <v>387.02966399999997</v>
      </c>
      <c r="AI395" s="127">
        <f t="shared" si="113"/>
        <v>583.09999999999991</v>
      </c>
      <c r="AJ395" s="37">
        <f t="shared" si="100"/>
        <v>3898.5999999999995</v>
      </c>
      <c r="AK395" s="37">
        <f t="shared" si="114"/>
        <v>13726.599999999999</v>
      </c>
      <c r="AL395" s="37">
        <f t="shared" si="102"/>
        <v>16.494061400560224</v>
      </c>
      <c r="AN395" s="37" t="str">
        <f t="shared" si="101"/>
        <v>Pallet</v>
      </c>
      <c r="AO395" s="194">
        <f t="shared" si="115"/>
        <v>14</v>
      </c>
    </row>
    <row r="396" spans="22:41" x14ac:dyDescent="0.2">
      <c r="V396" s="181">
        <f t="shared" si="103"/>
        <v>179</v>
      </c>
      <c r="W396" s="181">
        <f t="shared" si="104"/>
        <v>358</v>
      </c>
      <c r="X396" s="181">
        <f t="shared" si="105"/>
        <v>1</v>
      </c>
      <c r="Y396" s="37">
        <f t="shared" si="106"/>
        <v>1917.1</v>
      </c>
      <c r="Z396" s="181">
        <f t="shared" si="107"/>
        <v>377</v>
      </c>
      <c r="AA396" s="127">
        <f t="shared" si="108"/>
        <v>595.21331999999995</v>
      </c>
      <c r="AB396" s="127">
        <f t="shared" si="109"/>
        <v>595.21331999999995</v>
      </c>
      <c r="AC396" s="37">
        <f t="shared" si="97"/>
        <v>3971.2799199999999</v>
      </c>
      <c r="AD396" s="37">
        <f t="shared" si="110"/>
        <v>5888.3799199999994</v>
      </c>
      <c r="AE396" s="181">
        <f t="shared" si="98"/>
        <v>14</v>
      </c>
      <c r="AF396" s="37">
        <f t="shared" si="111"/>
        <v>9828</v>
      </c>
      <c r="AG396" s="181">
        <f t="shared" si="99"/>
        <v>583.59999999999991</v>
      </c>
      <c r="AH396" s="111">
        <f t="shared" si="112"/>
        <v>387.02966399999997</v>
      </c>
      <c r="AI396" s="127">
        <f t="shared" si="113"/>
        <v>583.59999999999991</v>
      </c>
      <c r="AJ396" s="37">
        <f t="shared" si="100"/>
        <v>3901.5999999999995</v>
      </c>
      <c r="AK396" s="37">
        <f t="shared" si="114"/>
        <v>13729.599999999999</v>
      </c>
      <c r="AL396" s="37">
        <f t="shared" si="102"/>
        <v>16.447988603351952</v>
      </c>
      <c r="AN396" s="37" t="str">
        <f t="shared" si="101"/>
        <v>Pallet</v>
      </c>
      <c r="AO396" s="194">
        <f t="shared" si="115"/>
        <v>14</v>
      </c>
    </row>
    <row r="397" spans="22:41" x14ac:dyDescent="0.2">
      <c r="V397" s="181">
        <f t="shared" si="103"/>
        <v>179.5</v>
      </c>
      <c r="W397" s="181">
        <f t="shared" si="104"/>
        <v>359</v>
      </c>
      <c r="X397" s="181">
        <f t="shared" si="105"/>
        <v>1</v>
      </c>
      <c r="Y397" s="37">
        <f t="shared" si="106"/>
        <v>1917.1</v>
      </c>
      <c r="Z397" s="181">
        <f t="shared" si="107"/>
        <v>377.5</v>
      </c>
      <c r="AA397" s="127">
        <f t="shared" si="108"/>
        <v>595.21331999999995</v>
      </c>
      <c r="AB397" s="127">
        <f t="shared" si="109"/>
        <v>595.21331999999995</v>
      </c>
      <c r="AC397" s="37">
        <f t="shared" si="97"/>
        <v>3971.2799199999999</v>
      </c>
      <c r="AD397" s="37">
        <f t="shared" si="110"/>
        <v>5888.3799199999994</v>
      </c>
      <c r="AE397" s="181">
        <f t="shared" si="98"/>
        <v>14</v>
      </c>
      <c r="AF397" s="37">
        <f t="shared" si="111"/>
        <v>9828</v>
      </c>
      <c r="AG397" s="181">
        <f t="shared" si="99"/>
        <v>584.09999999999991</v>
      </c>
      <c r="AH397" s="111">
        <f t="shared" si="112"/>
        <v>387.02966399999997</v>
      </c>
      <c r="AI397" s="127">
        <f t="shared" si="113"/>
        <v>584.09999999999991</v>
      </c>
      <c r="AJ397" s="37">
        <f t="shared" si="100"/>
        <v>3904.5999999999995</v>
      </c>
      <c r="AK397" s="37">
        <f t="shared" si="114"/>
        <v>13732.599999999999</v>
      </c>
      <c r="AL397" s="37">
        <f t="shared" si="102"/>
        <v>16.402172479108632</v>
      </c>
      <c r="AN397" s="37" t="str">
        <f t="shared" si="101"/>
        <v>Pallet</v>
      </c>
      <c r="AO397" s="194">
        <f t="shared" si="115"/>
        <v>14</v>
      </c>
    </row>
    <row r="398" spans="22:41" x14ac:dyDescent="0.2">
      <c r="V398" s="181">
        <f t="shared" si="103"/>
        <v>180</v>
      </c>
      <c r="W398" s="181">
        <f t="shared" si="104"/>
        <v>360</v>
      </c>
      <c r="X398" s="181">
        <f t="shared" si="105"/>
        <v>1</v>
      </c>
      <c r="Y398" s="37">
        <f t="shared" si="106"/>
        <v>1917.1</v>
      </c>
      <c r="Z398" s="181">
        <f t="shared" si="107"/>
        <v>378</v>
      </c>
      <c r="AA398" s="127">
        <f t="shared" si="108"/>
        <v>595.21331999999995</v>
      </c>
      <c r="AB398" s="127">
        <f t="shared" si="109"/>
        <v>595.21331999999995</v>
      </c>
      <c r="AC398" s="37">
        <f t="shared" si="97"/>
        <v>3971.2799199999999</v>
      </c>
      <c r="AD398" s="37">
        <f t="shared" si="110"/>
        <v>5888.3799199999994</v>
      </c>
      <c r="AE398" s="181">
        <f t="shared" si="98"/>
        <v>14</v>
      </c>
      <c r="AF398" s="37">
        <f t="shared" si="111"/>
        <v>9828</v>
      </c>
      <c r="AG398" s="181">
        <f t="shared" si="99"/>
        <v>584.59999999999991</v>
      </c>
      <c r="AH398" s="111">
        <f t="shared" si="112"/>
        <v>387.02966399999997</v>
      </c>
      <c r="AI398" s="127">
        <f t="shared" si="113"/>
        <v>584.59999999999991</v>
      </c>
      <c r="AJ398" s="37">
        <f t="shared" si="100"/>
        <v>3907.5999999999995</v>
      </c>
      <c r="AK398" s="37">
        <f t="shared" si="114"/>
        <v>13735.599999999999</v>
      </c>
      <c r="AL398" s="37">
        <f t="shared" si="102"/>
        <v>16.356610888888888</v>
      </c>
      <c r="AN398" s="37" t="str">
        <f t="shared" si="101"/>
        <v>Pallet</v>
      </c>
      <c r="AO398" s="194">
        <f t="shared" si="115"/>
        <v>14</v>
      </c>
    </row>
    <row r="399" spans="22:41" x14ac:dyDescent="0.2">
      <c r="V399" s="181">
        <f t="shared" si="103"/>
        <v>180.5</v>
      </c>
      <c r="W399" s="181">
        <f t="shared" si="104"/>
        <v>361</v>
      </c>
      <c r="X399" s="181">
        <f t="shared" si="105"/>
        <v>1</v>
      </c>
      <c r="Y399" s="37">
        <f t="shared" si="106"/>
        <v>1917.1</v>
      </c>
      <c r="Z399" s="181">
        <f t="shared" si="107"/>
        <v>378.5</v>
      </c>
      <c r="AA399" s="127">
        <f t="shared" si="108"/>
        <v>595.21331999999995</v>
      </c>
      <c r="AB399" s="127">
        <f t="shared" si="109"/>
        <v>595.21331999999995</v>
      </c>
      <c r="AC399" s="37">
        <f t="shared" si="97"/>
        <v>3971.2799199999999</v>
      </c>
      <c r="AD399" s="37">
        <f t="shared" si="110"/>
        <v>5888.3799199999994</v>
      </c>
      <c r="AE399" s="181">
        <f t="shared" si="98"/>
        <v>14</v>
      </c>
      <c r="AF399" s="37">
        <f t="shared" si="111"/>
        <v>9828</v>
      </c>
      <c r="AG399" s="181">
        <f t="shared" si="99"/>
        <v>585.09999999999991</v>
      </c>
      <c r="AH399" s="111">
        <f t="shared" si="112"/>
        <v>387.02966399999997</v>
      </c>
      <c r="AI399" s="127">
        <f t="shared" si="113"/>
        <v>585.09999999999991</v>
      </c>
      <c r="AJ399" s="37">
        <f t="shared" si="100"/>
        <v>3910.5999999999995</v>
      </c>
      <c r="AK399" s="37">
        <f t="shared" si="114"/>
        <v>13738.599999999999</v>
      </c>
      <c r="AL399" s="37">
        <f t="shared" si="102"/>
        <v>16.311301717451521</v>
      </c>
      <c r="AN399" s="37" t="str">
        <f t="shared" si="101"/>
        <v>Pallet</v>
      </c>
      <c r="AO399" s="194">
        <f t="shared" si="115"/>
        <v>14</v>
      </c>
    </row>
    <row r="400" spans="22:41" x14ac:dyDescent="0.2">
      <c r="V400" s="181">
        <f t="shared" si="103"/>
        <v>181</v>
      </c>
      <c r="W400" s="181">
        <f t="shared" si="104"/>
        <v>362</v>
      </c>
      <c r="X400" s="181">
        <f t="shared" si="105"/>
        <v>1</v>
      </c>
      <c r="Y400" s="37">
        <f t="shared" si="106"/>
        <v>1917.1</v>
      </c>
      <c r="Z400" s="181">
        <f t="shared" si="107"/>
        <v>379</v>
      </c>
      <c r="AA400" s="127">
        <f t="shared" si="108"/>
        <v>595.21331999999995</v>
      </c>
      <c r="AB400" s="127">
        <f t="shared" si="109"/>
        <v>595.21331999999995</v>
      </c>
      <c r="AC400" s="37">
        <f t="shared" si="97"/>
        <v>3971.2799199999999</v>
      </c>
      <c r="AD400" s="37">
        <f t="shared" si="110"/>
        <v>5888.3799199999994</v>
      </c>
      <c r="AE400" s="181">
        <f t="shared" si="98"/>
        <v>15</v>
      </c>
      <c r="AF400" s="37">
        <f t="shared" si="111"/>
        <v>10530</v>
      </c>
      <c r="AG400" s="181">
        <f t="shared" si="99"/>
        <v>614.5</v>
      </c>
      <c r="AH400" s="111">
        <f t="shared" si="112"/>
        <v>414.67463999999995</v>
      </c>
      <c r="AI400" s="127">
        <f t="shared" si="113"/>
        <v>614.5</v>
      </c>
      <c r="AJ400" s="37">
        <f t="shared" si="100"/>
        <v>4087</v>
      </c>
      <c r="AK400" s="37">
        <f t="shared" si="114"/>
        <v>14617</v>
      </c>
      <c r="AL400" s="37">
        <f t="shared" si="102"/>
        <v>16.266242872928174</v>
      </c>
      <c r="AN400" s="37" t="str">
        <f t="shared" si="101"/>
        <v>Pallet</v>
      </c>
      <c r="AO400" s="194">
        <f t="shared" si="115"/>
        <v>14</v>
      </c>
    </row>
    <row r="401" spans="22:41" x14ac:dyDescent="0.2">
      <c r="V401" s="181">
        <f t="shared" si="103"/>
        <v>181.5</v>
      </c>
      <c r="W401" s="181">
        <f t="shared" si="104"/>
        <v>363</v>
      </c>
      <c r="X401" s="181">
        <f t="shared" si="105"/>
        <v>1</v>
      </c>
      <c r="Y401" s="37">
        <f t="shared" si="106"/>
        <v>1917.1</v>
      </c>
      <c r="Z401" s="181">
        <f t="shared" si="107"/>
        <v>379.5</v>
      </c>
      <c r="AA401" s="127">
        <f t="shared" si="108"/>
        <v>595.21331999999995</v>
      </c>
      <c r="AB401" s="127">
        <f t="shared" si="109"/>
        <v>595.21331999999995</v>
      </c>
      <c r="AC401" s="37">
        <f t="shared" si="97"/>
        <v>3971.2799199999999</v>
      </c>
      <c r="AD401" s="37">
        <f t="shared" si="110"/>
        <v>5888.3799199999994</v>
      </c>
      <c r="AE401" s="181">
        <f t="shared" si="98"/>
        <v>15</v>
      </c>
      <c r="AF401" s="37">
        <f t="shared" si="111"/>
        <v>10530</v>
      </c>
      <c r="AG401" s="181">
        <f t="shared" si="99"/>
        <v>615</v>
      </c>
      <c r="AH401" s="111">
        <f t="shared" si="112"/>
        <v>414.67463999999995</v>
      </c>
      <c r="AI401" s="127">
        <f t="shared" si="113"/>
        <v>615</v>
      </c>
      <c r="AJ401" s="37">
        <f t="shared" si="100"/>
        <v>4090</v>
      </c>
      <c r="AK401" s="37">
        <f t="shared" si="114"/>
        <v>14620</v>
      </c>
      <c r="AL401" s="37">
        <f t="shared" si="102"/>
        <v>16.221432286501376</v>
      </c>
      <c r="AN401" s="37" t="str">
        <f t="shared" si="101"/>
        <v>Pallet</v>
      </c>
      <c r="AO401" s="194">
        <f t="shared" si="115"/>
        <v>15</v>
      </c>
    </row>
    <row r="402" spans="22:41" x14ac:dyDescent="0.2">
      <c r="V402" s="181">
        <f t="shared" si="103"/>
        <v>182</v>
      </c>
      <c r="W402" s="181">
        <f t="shared" si="104"/>
        <v>364</v>
      </c>
      <c r="X402" s="181">
        <f t="shared" si="105"/>
        <v>1</v>
      </c>
      <c r="Y402" s="37">
        <f t="shared" si="106"/>
        <v>1917.1</v>
      </c>
      <c r="Z402" s="181">
        <f t="shared" si="107"/>
        <v>380</v>
      </c>
      <c r="AA402" s="127">
        <f t="shared" si="108"/>
        <v>595.21331999999995</v>
      </c>
      <c r="AB402" s="127">
        <f t="shared" si="109"/>
        <v>595.21331999999995</v>
      </c>
      <c r="AC402" s="37">
        <f t="shared" si="97"/>
        <v>3971.2799199999999</v>
      </c>
      <c r="AD402" s="37">
        <f t="shared" si="110"/>
        <v>5888.3799199999994</v>
      </c>
      <c r="AE402" s="181">
        <f t="shared" si="98"/>
        <v>15</v>
      </c>
      <c r="AF402" s="37">
        <f t="shared" si="111"/>
        <v>10530</v>
      </c>
      <c r="AG402" s="181">
        <f t="shared" si="99"/>
        <v>615.5</v>
      </c>
      <c r="AH402" s="111">
        <f t="shared" si="112"/>
        <v>414.67463999999995</v>
      </c>
      <c r="AI402" s="127">
        <f t="shared" si="113"/>
        <v>615.5</v>
      </c>
      <c r="AJ402" s="37">
        <f t="shared" si="100"/>
        <v>4093</v>
      </c>
      <c r="AK402" s="37">
        <f t="shared" si="114"/>
        <v>14623</v>
      </c>
      <c r="AL402" s="37">
        <f t="shared" si="102"/>
        <v>16.176867912087911</v>
      </c>
      <c r="AN402" s="37" t="str">
        <f t="shared" si="101"/>
        <v>Pallet</v>
      </c>
      <c r="AO402" s="194">
        <f t="shared" si="115"/>
        <v>15</v>
      </c>
    </row>
    <row r="403" spans="22:41" x14ac:dyDescent="0.2">
      <c r="V403" s="181">
        <f t="shared" si="103"/>
        <v>182.5</v>
      </c>
      <c r="W403" s="181">
        <f t="shared" si="104"/>
        <v>365</v>
      </c>
      <c r="X403" s="181">
        <f t="shared" si="105"/>
        <v>1</v>
      </c>
      <c r="Y403" s="37">
        <f t="shared" si="106"/>
        <v>1917.1</v>
      </c>
      <c r="Z403" s="181">
        <f t="shared" si="107"/>
        <v>380.5</v>
      </c>
      <c r="AA403" s="127">
        <f t="shared" si="108"/>
        <v>595.21331999999995</v>
      </c>
      <c r="AB403" s="127">
        <f t="shared" si="109"/>
        <v>595.21331999999995</v>
      </c>
      <c r="AC403" s="37">
        <f t="shared" si="97"/>
        <v>3971.2799199999999</v>
      </c>
      <c r="AD403" s="37">
        <f t="shared" si="110"/>
        <v>5888.3799199999994</v>
      </c>
      <c r="AE403" s="181">
        <f t="shared" si="98"/>
        <v>15</v>
      </c>
      <c r="AF403" s="37">
        <f t="shared" si="111"/>
        <v>10530</v>
      </c>
      <c r="AG403" s="181">
        <f t="shared" si="99"/>
        <v>616</v>
      </c>
      <c r="AH403" s="111">
        <f t="shared" si="112"/>
        <v>414.67463999999995</v>
      </c>
      <c r="AI403" s="127">
        <f t="shared" si="113"/>
        <v>616</v>
      </c>
      <c r="AJ403" s="37">
        <f t="shared" si="100"/>
        <v>4096</v>
      </c>
      <c r="AK403" s="37">
        <f t="shared" si="114"/>
        <v>14626</v>
      </c>
      <c r="AL403" s="37">
        <f t="shared" si="102"/>
        <v>16.132547726027397</v>
      </c>
      <c r="AN403" s="37" t="str">
        <f t="shared" si="101"/>
        <v>Pallet</v>
      </c>
      <c r="AO403" s="194">
        <f t="shared" si="115"/>
        <v>15</v>
      </c>
    </row>
    <row r="404" spans="22:41" x14ac:dyDescent="0.2">
      <c r="V404" s="181">
        <f t="shared" si="103"/>
        <v>183</v>
      </c>
      <c r="W404" s="181">
        <f t="shared" si="104"/>
        <v>366</v>
      </c>
      <c r="X404" s="181">
        <f t="shared" si="105"/>
        <v>1</v>
      </c>
      <c r="Y404" s="37">
        <f t="shared" si="106"/>
        <v>1917.1</v>
      </c>
      <c r="Z404" s="181">
        <f t="shared" si="107"/>
        <v>381</v>
      </c>
      <c r="AA404" s="127">
        <f t="shared" si="108"/>
        <v>595.21331999999995</v>
      </c>
      <c r="AB404" s="127">
        <f t="shared" si="109"/>
        <v>595.21331999999995</v>
      </c>
      <c r="AC404" s="37">
        <f t="shared" si="97"/>
        <v>3971.2799199999999</v>
      </c>
      <c r="AD404" s="37">
        <f t="shared" si="110"/>
        <v>5888.3799199999994</v>
      </c>
      <c r="AE404" s="181">
        <f t="shared" si="98"/>
        <v>15</v>
      </c>
      <c r="AF404" s="37">
        <f t="shared" si="111"/>
        <v>10530</v>
      </c>
      <c r="AG404" s="181">
        <f t="shared" si="99"/>
        <v>616.5</v>
      </c>
      <c r="AH404" s="111">
        <f t="shared" si="112"/>
        <v>414.67463999999995</v>
      </c>
      <c r="AI404" s="127">
        <f t="shared" si="113"/>
        <v>616.5</v>
      </c>
      <c r="AJ404" s="37">
        <f t="shared" si="100"/>
        <v>4099</v>
      </c>
      <c r="AK404" s="37">
        <f t="shared" si="114"/>
        <v>14629</v>
      </c>
      <c r="AL404" s="37">
        <f t="shared" si="102"/>
        <v>16.088469726775955</v>
      </c>
      <c r="AN404" s="37" t="str">
        <f t="shared" si="101"/>
        <v>Pallet</v>
      </c>
      <c r="AO404" s="194">
        <f t="shared" si="115"/>
        <v>15</v>
      </c>
    </row>
    <row r="405" spans="22:41" x14ac:dyDescent="0.2">
      <c r="V405" s="181">
        <f t="shared" si="103"/>
        <v>183.5</v>
      </c>
      <c r="W405" s="181">
        <f t="shared" si="104"/>
        <v>367</v>
      </c>
      <c r="X405" s="181">
        <f t="shared" si="105"/>
        <v>1</v>
      </c>
      <c r="Y405" s="37">
        <f t="shared" si="106"/>
        <v>1917.1</v>
      </c>
      <c r="Z405" s="181">
        <f t="shared" si="107"/>
        <v>381.5</v>
      </c>
      <c r="AA405" s="127">
        <f t="shared" si="108"/>
        <v>595.21331999999995</v>
      </c>
      <c r="AB405" s="127">
        <f t="shared" si="109"/>
        <v>595.21331999999995</v>
      </c>
      <c r="AC405" s="37">
        <f t="shared" si="97"/>
        <v>3971.2799199999999</v>
      </c>
      <c r="AD405" s="37">
        <f t="shared" si="110"/>
        <v>5888.3799199999994</v>
      </c>
      <c r="AE405" s="181">
        <f t="shared" si="98"/>
        <v>15</v>
      </c>
      <c r="AF405" s="37">
        <f t="shared" si="111"/>
        <v>10530</v>
      </c>
      <c r="AG405" s="181">
        <f t="shared" si="99"/>
        <v>617</v>
      </c>
      <c r="AH405" s="111">
        <f t="shared" si="112"/>
        <v>414.67463999999995</v>
      </c>
      <c r="AI405" s="127">
        <f t="shared" si="113"/>
        <v>617</v>
      </c>
      <c r="AJ405" s="37">
        <f t="shared" si="100"/>
        <v>4102</v>
      </c>
      <c r="AK405" s="37">
        <f t="shared" si="114"/>
        <v>14632</v>
      </c>
      <c r="AL405" s="37">
        <f t="shared" si="102"/>
        <v>16.044631934604904</v>
      </c>
      <c r="AN405" s="37" t="str">
        <f t="shared" si="101"/>
        <v>Pallet</v>
      </c>
      <c r="AO405" s="194">
        <f t="shared" si="115"/>
        <v>15</v>
      </c>
    </row>
    <row r="406" spans="22:41" x14ac:dyDescent="0.2">
      <c r="V406" s="181">
        <f t="shared" si="103"/>
        <v>184</v>
      </c>
      <c r="W406" s="181">
        <f t="shared" si="104"/>
        <v>368</v>
      </c>
      <c r="X406" s="181">
        <f t="shared" si="105"/>
        <v>1</v>
      </c>
      <c r="Y406" s="37">
        <f t="shared" si="106"/>
        <v>1917.1</v>
      </c>
      <c r="Z406" s="181">
        <f t="shared" si="107"/>
        <v>382</v>
      </c>
      <c r="AA406" s="127">
        <f t="shared" si="108"/>
        <v>595.21331999999995</v>
      </c>
      <c r="AB406" s="127">
        <f t="shared" si="109"/>
        <v>595.21331999999995</v>
      </c>
      <c r="AC406" s="37">
        <f t="shared" si="97"/>
        <v>3971.2799199999999</v>
      </c>
      <c r="AD406" s="37">
        <f t="shared" si="110"/>
        <v>5888.3799199999994</v>
      </c>
      <c r="AE406" s="181">
        <f t="shared" si="98"/>
        <v>15</v>
      </c>
      <c r="AF406" s="37">
        <f t="shared" si="111"/>
        <v>10530</v>
      </c>
      <c r="AG406" s="181">
        <f t="shared" si="99"/>
        <v>617.5</v>
      </c>
      <c r="AH406" s="111">
        <f t="shared" si="112"/>
        <v>414.67463999999995</v>
      </c>
      <c r="AI406" s="127">
        <f t="shared" si="113"/>
        <v>617.5</v>
      </c>
      <c r="AJ406" s="37">
        <f t="shared" si="100"/>
        <v>4105</v>
      </c>
      <c r="AK406" s="37">
        <f t="shared" si="114"/>
        <v>14635</v>
      </c>
      <c r="AL406" s="37">
        <f t="shared" si="102"/>
        <v>16.001032391304346</v>
      </c>
      <c r="AN406" s="37" t="str">
        <f t="shared" si="101"/>
        <v>Pallet</v>
      </c>
      <c r="AO406" s="194">
        <f t="shared" si="115"/>
        <v>15</v>
      </c>
    </row>
    <row r="407" spans="22:41" x14ac:dyDescent="0.2">
      <c r="V407" s="181">
        <f t="shared" si="103"/>
        <v>184.5</v>
      </c>
      <c r="W407" s="181">
        <f t="shared" si="104"/>
        <v>369</v>
      </c>
      <c r="X407" s="181">
        <f t="shared" si="105"/>
        <v>1</v>
      </c>
      <c r="Y407" s="37">
        <f t="shared" si="106"/>
        <v>1917.1</v>
      </c>
      <c r="Z407" s="181">
        <f t="shared" si="107"/>
        <v>382.5</v>
      </c>
      <c r="AA407" s="127">
        <f t="shared" si="108"/>
        <v>595.21331999999995</v>
      </c>
      <c r="AB407" s="127">
        <f t="shared" si="109"/>
        <v>595.21331999999995</v>
      </c>
      <c r="AC407" s="37">
        <f t="shared" si="97"/>
        <v>3971.2799199999999</v>
      </c>
      <c r="AD407" s="37">
        <f t="shared" si="110"/>
        <v>5888.3799199999994</v>
      </c>
      <c r="AE407" s="181">
        <f t="shared" si="98"/>
        <v>15</v>
      </c>
      <c r="AF407" s="37">
        <f t="shared" si="111"/>
        <v>10530</v>
      </c>
      <c r="AG407" s="181">
        <f t="shared" si="99"/>
        <v>618</v>
      </c>
      <c r="AH407" s="111">
        <f t="shared" si="112"/>
        <v>414.67463999999995</v>
      </c>
      <c r="AI407" s="127">
        <f t="shared" si="113"/>
        <v>618</v>
      </c>
      <c r="AJ407" s="37">
        <f t="shared" si="100"/>
        <v>4108</v>
      </c>
      <c r="AK407" s="37">
        <f t="shared" si="114"/>
        <v>14638</v>
      </c>
      <c r="AL407" s="37">
        <f t="shared" si="102"/>
        <v>15.957669159891598</v>
      </c>
      <c r="AN407" s="37" t="str">
        <f t="shared" si="101"/>
        <v>Pallet</v>
      </c>
      <c r="AO407" s="194">
        <f t="shared" si="115"/>
        <v>15</v>
      </c>
    </row>
    <row r="408" spans="22:41" x14ac:dyDescent="0.2">
      <c r="V408" s="181">
        <f t="shared" si="103"/>
        <v>185</v>
      </c>
      <c r="W408" s="181">
        <f t="shared" si="104"/>
        <v>370</v>
      </c>
      <c r="X408" s="181">
        <f t="shared" si="105"/>
        <v>1</v>
      </c>
      <c r="Y408" s="37">
        <f t="shared" si="106"/>
        <v>1917.1</v>
      </c>
      <c r="Z408" s="181">
        <f t="shared" si="107"/>
        <v>383</v>
      </c>
      <c r="AA408" s="127">
        <f t="shared" si="108"/>
        <v>595.21331999999995</v>
      </c>
      <c r="AB408" s="127">
        <f t="shared" si="109"/>
        <v>595.21331999999995</v>
      </c>
      <c r="AC408" s="37">
        <f t="shared" si="97"/>
        <v>3971.2799199999999</v>
      </c>
      <c r="AD408" s="37">
        <f t="shared" si="110"/>
        <v>5888.3799199999994</v>
      </c>
      <c r="AE408" s="181">
        <f t="shared" si="98"/>
        <v>15</v>
      </c>
      <c r="AF408" s="37">
        <f t="shared" si="111"/>
        <v>10530</v>
      </c>
      <c r="AG408" s="181">
        <f t="shared" si="99"/>
        <v>618.5</v>
      </c>
      <c r="AH408" s="111">
        <f t="shared" si="112"/>
        <v>414.67463999999995</v>
      </c>
      <c r="AI408" s="127">
        <f t="shared" si="113"/>
        <v>618.5</v>
      </c>
      <c r="AJ408" s="37">
        <f t="shared" si="100"/>
        <v>4111</v>
      </c>
      <c r="AK408" s="37">
        <f t="shared" si="114"/>
        <v>14641</v>
      </c>
      <c r="AL408" s="37">
        <f t="shared" si="102"/>
        <v>15.914540324324323</v>
      </c>
      <c r="AN408" s="37" t="str">
        <f t="shared" si="101"/>
        <v>Pallet</v>
      </c>
      <c r="AO408" s="194">
        <f t="shared" si="115"/>
        <v>15</v>
      </c>
    </row>
    <row r="409" spans="22:41" x14ac:dyDescent="0.2">
      <c r="V409" s="181">
        <f t="shared" si="103"/>
        <v>185.5</v>
      </c>
      <c r="W409" s="181">
        <f t="shared" si="104"/>
        <v>371</v>
      </c>
      <c r="X409" s="181">
        <f t="shared" si="105"/>
        <v>1</v>
      </c>
      <c r="Y409" s="37">
        <f t="shared" si="106"/>
        <v>1917.1</v>
      </c>
      <c r="Z409" s="181">
        <f t="shared" si="107"/>
        <v>383.5</v>
      </c>
      <c r="AA409" s="127">
        <f t="shared" si="108"/>
        <v>595.21331999999995</v>
      </c>
      <c r="AB409" s="127">
        <f t="shared" si="109"/>
        <v>595.21331999999995</v>
      </c>
      <c r="AC409" s="37">
        <f t="shared" si="97"/>
        <v>3971.2799199999999</v>
      </c>
      <c r="AD409" s="37">
        <f t="shared" si="110"/>
        <v>5888.3799199999994</v>
      </c>
      <c r="AE409" s="181">
        <f t="shared" si="98"/>
        <v>15</v>
      </c>
      <c r="AF409" s="37">
        <f t="shared" si="111"/>
        <v>10530</v>
      </c>
      <c r="AG409" s="181">
        <f t="shared" si="99"/>
        <v>619</v>
      </c>
      <c r="AH409" s="111">
        <f t="shared" si="112"/>
        <v>414.67463999999995</v>
      </c>
      <c r="AI409" s="127">
        <f t="shared" si="113"/>
        <v>619</v>
      </c>
      <c r="AJ409" s="37">
        <f t="shared" si="100"/>
        <v>4114</v>
      </c>
      <c r="AK409" s="37">
        <f t="shared" si="114"/>
        <v>14644</v>
      </c>
      <c r="AL409" s="37">
        <f t="shared" si="102"/>
        <v>15.871643989218327</v>
      </c>
      <c r="AN409" s="37" t="str">
        <f t="shared" si="101"/>
        <v>Pallet</v>
      </c>
      <c r="AO409" s="194">
        <f t="shared" si="115"/>
        <v>15</v>
      </c>
    </row>
    <row r="410" spans="22:41" x14ac:dyDescent="0.2">
      <c r="V410" s="181">
        <f t="shared" si="103"/>
        <v>186</v>
      </c>
      <c r="W410" s="181">
        <f t="shared" si="104"/>
        <v>372</v>
      </c>
      <c r="X410" s="181">
        <f t="shared" si="105"/>
        <v>1</v>
      </c>
      <c r="Y410" s="37">
        <f t="shared" si="106"/>
        <v>1917.1</v>
      </c>
      <c r="Z410" s="181">
        <f t="shared" si="107"/>
        <v>384</v>
      </c>
      <c r="AA410" s="127">
        <f t="shared" si="108"/>
        <v>595.21331999999995</v>
      </c>
      <c r="AB410" s="127">
        <f t="shared" si="109"/>
        <v>595.21331999999995</v>
      </c>
      <c r="AC410" s="37">
        <f t="shared" si="97"/>
        <v>3971.2799199999999</v>
      </c>
      <c r="AD410" s="37">
        <f t="shared" si="110"/>
        <v>5888.3799199999994</v>
      </c>
      <c r="AE410" s="181">
        <f t="shared" si="98"/>
        <v>15</v>
      </c>
      <c r="AF410" s="37">
        <f t="shared" si="111"/>
        <v>10530</v>
      </c>
      <c r="AG410" s="181">
        <f t="shared" si="99"/>
        <v>619.5</v>
      </c>
      <c r="AH410" s="111">
        <f t="shared" si="112"/>
        <v>414.67463999999995</v>
      </c>
      <c r="AI410" s="127">
        <f t="shared" si="113"/>
        <v>619.5</v>
      </c>
      <c r="AJ410" s="37">
        <f t="shared" si="100"/>
        <v>4117</v>
      </c>
      <c r="AK410" s="37">
        <f t="shared" si="114"/>
        <v>14647</v>
      </c>
      <c r="AL410" s="37">
        <f t="shared" si="102"/>
        <v>15.82897827956989</v>
      </c>
      <c r="AN410" s="37" t="str">
        <f t="shared" si="101"/>
        <v>Pallet</v>
      </c>
      <c r="AO410" s="194">
        <f t="shared" si="115"/>
        <v>15</v>
      </c>
    </row>
    <row r="411" spans="22:41" x14ac:dyDescent="0.2">
      <c r="V411" s="181">
        <f t="shared" si="103"/>
        <v>186.5</v>
      </c>
      <c r="W411" s="181">
        <f t="shared" si="104"/>
        <v>373</v>
      </c>
      <c r="X411" s="181">
        <f t="shared" si="105"/>
        <v>1</v>
      </c>
      <c r="Y411" s="37">
        <f t="shared" si="106"/>
        <v>1917.1</v>
      </c>
      <c r="Z411" s="181">
        <f t="shared" si="107"/>
        <v>384.5</v>
      </c>
      <c r="AA411" s="127">
        <f t="shared" si="108"/>
        <v>595.21331999999995</v>
      </c>
      <c r="AB411" s="127">
        <f t="shared" si="109"/>
        <v>595.21331999999995</v>
      </c>
      <c r="AC411" s="37">
        <f t="shared" si="97"/>
        <v>3971.2799199999999</v>
      </c>
      <c r="AD411" s="37">
        <f t="shared" si="110"/>
        <v>5888.3799199999994</v>
      </c>
      <c r="AE411" s="181">
        <f t="shared" si="98"/>
        <v>15</v>
      </c>
      <c r="AF411" s="37">
        <f t="shared" si="111"/>
        <v>10530</v>
      </c>
      <c r="AG411" s="181">
        <f t="shared" si="99"/>
        <v>620</v>
      </c>
      <c r="AH411" s="111">
        <f t="shared" si="112"/>
        <v>414.67463999999995</v>
      </c>
      <c r="AI411" s="127">
        <f t="shared" si="113"/>
        <v>620</v>
      </c>
      <c r="AJ411" s="37">
        <f t="shared" si="100"/>
        <v>4120</v>
      </c>
      <c r="AK411" s="37">
        <f t="shared" si="114"/>
        <v>14650</v>
      </c>
      <c r="AL411" s="37">
        <f t="shared" si="102"/>
        <v>15.786541340482572</v>
      </c>
      <c r="AN411" s="37" t="str">
        <f t="shared" si="101"/>
        <v>Pallet</v>
      </c>
      <c r="AO411" s="194">
        <f t="shared" si="115"/>
        <v>15</v>
      </c>
    </row>
    <row r="412" spans="22:41" x14ac:dyDescent="0.2">
      <c r="V412" s="181">
        <f t="shared" si="103"/>
        <v>187</v>
      </c>
      <c r="W412" s="181">
        <f t="shared" si="104"/>
        <v>374</v>
      </c>
      <c r="X412" s="181">
        <f t="shared" si="105"/>
        <v>1</v>
      </c>
      <c r="Y412" s="37">
        <f t="shared" si="106"/>
        <v>1917.1</v>
      </c>
      <c r="Z412" s="181">
        <f t="shared" si="107"/>
        <v>385</v>
      </c>
      <c r="AA412" s="127">
        <f t="shared" si="108"/>
        <v>595.21331999999995</v>
      </c>
      <c r="AB412" s="127">
        <f t="shared" si="109"/>
        <v>595.21331999999995</v>
      </c>
      <c r="AC412" s="37">
        <f t="shared" si="97"/>
        <v>3971.2799199999999</v>
      </c>
      <c r="AD412" s="37">
        <f t="shared" si="110"/>
        <v>5888.3799199999994</v>
      </c>
      <c r="AE412" s="181">
        <f t="shared" si="98"/>
        <v>15</v>
      </c>
      <c r="AF412" s="37">
        <f t="shared" si="111"/>
        <v>10530</v>
      </c>
      <c r="AG412" s="181">
        <f t="shared" si="99"/>
        <v>620.5</v>
      </c>
      <c r="AH412" s="111">
        <f t="shared" si="112"/>
        <v>414.67463999999995</v>
      </c>
      <c r="AI412" s="127">
        <f t="shared" si="113"/>
        <v>620.5</v>
      </c>
      <c r="AJ412" s="37">
        <f t="shared" si="100"/>
        <v>4123</v>
      </c>
      <c r="AK412" s="37">
        <f t="shared" si="114"/>
        <v>14653</v>
      </c>
      <c r="AL412" s="37">
        <f t="shared" si="102"/>
        <v>15.744331336898394</v>
      </c>
      <c r="AN412" s="37" t="str">
        <f t="shared" si="101"/>
        <v>Pallet</v>
      </c>
      <c r="AO412" s="194">
        <f t="shared" si="115"/>
        <v>15</v>
      </c>
    </row>
    <row r="413" spans="22:41" x14ac:dyDescent="0.2">
      <c r="V413" s="181">
        <f t="shared" si="103"/>
        <v>187.5</v>
      </c>
      <c r="W413" s="181">
        <f t="shared" si="104"/>
        <v>375</v>
      </c>
      <c r="X413" s="181">
        <f t="shared" si="105"/>
        <v>1</v>
      </c>
      <c r="Y413" s="37">
        <f t="shared" si="106"/>
        <v>1917.1</v>
      </c>
      <c r="Z413" s="181">
        <f t="shared" si="107"/>
        <v>385.5</v>
      </c>
      <c r="AA413" s="127">
        <f t="shared" si="108"/>
        <v>595.21331999999995</v>
      </c>
      <c r="AB413" s="127">
        <f t="shared" si="109"/>
        <v>595.21331999999995</v>
      </c>
      <c r="AC413" s="37">
        <f t="shared" si="97"/>
        <v>3971.2799199999999</v>
      </c>
      <c r="AD413" s="37">
        <f t="shared" si="110"/>
        <v>5888.3799199999994</v>
      </c>
      <c r="AE413" s="181">
        <f t="shared" si="98"/>
        <v>15</v>
      </c>
      <c r="AF413" s="37">
        <f t="shared" si="111"/>
        <v>10530</v>
      </c>
      <c r="AG413" s="181">
        <f t="shared" si="99"/>
        <v>621</v>
      </c>
      <c r="AH413" s="111">
        <f t="shared" si="112"/>
        <v>414.67463999999995</v>
      </c>
      <c r="AI413" s="127">
        <f t="shared" si="113"/>
        <v>621</v>
      </c>
      <c r="AJ413" s="37">
        <f t="shared" si="100"/>
        <v>4126</v>
      </c>
      <c r="AK413" s="37">
        <f t="shared" si="114"/>
        <v>14656</v>
      </c>
      <c r="AL413" s="37">
        <f t="shared" si="102"/>
        <v>15.702346453333332</v>
      </c>
      <c r="AN413" s="37" t="str">
        <f t="shared" si="101"/>
        <v>Pallet</v>
      </c>
      <c r="AO413" s="194">
        <f t="shared" si="115"/>
        <v>15</v>
      </c>
    </row>
    <row r="414" spans="22:41" x14ac:dyDescent="0.2">
      <c r="V414" s="181">
        <f t="shared" si="103"/>
        <v>188</v>
      </c>
      <c r="W414" s="181">
        <f t="shared" si="104"/>
        <v>376</v>
      </c>
      <c r="X414" s="181">
        <f t="shared" si="105"/>
        <v>1</v>
      </c>
      <c r="Y414" s="37">
        <f t="shared" si="106"/>
        <v>1917.1</v>
      </c>
      <c r="Z414" s="181">
        <f t="shared" si="107"/>
        <v>386</v>
      </c>
      <c r="AA414" s="127">
        <f t="shared" si="108"/>
        <v>595.21331999999995</v>
      </c>
      <c r="AB414" s="127">
        <f t="shared" si="109"/>
        <v>595.21331999999995</v>
      </c>
      <c r="AC414" s="37">
        <f t="shared" si="97"/>
        <v>3971.2799199999999</v>
      </c>
      <c r="AD414" s="37">
        <f t="shared" si="110"/>
        <v>5888.3799199999994</v>
      </c>
      <c r="AE414" s="181">
        <f t="shared" si="98"/>
        <v>15</v>
      </c>
      <c r="AF414" s="37">
        <f t="shared" si="111"/>
        <v>10530</v>
      </c>
      <c r="AG414" s="181">
        <f t="shared" si="99"/>
        <v>621.5</v>
      </c>
      <c r="AH414" s="111">
        <f t="shared" si="112"/>
        <v>414.67463999999995</v>
      </c>
      <c r="AI414" s="127">
        <f t="shared" si="113"/>
        <v>621.5</v>
      </c>
      <c r="AJ414" s="37">
        <f t="shared" si="100"/>
        <v>4129</v>
      </c>
      <c r="AK414" s="37">
        <f t="shared" si="114"/>
        <v>14659</v>
      </c>
      <c r="AL414" s="37">
        <f t="shared" si="102"/>
        <v>15.66058489361702</v>
      </c>
      <c r="AN414" s="37" t="str">
        <f t="shared" si="101"/>
        <v>Pallet</v>
      </c>
      <c r="AO414" s="194">
        <f t="shared" si="115"/>
        <v>15</v>
      </c>
    </row>
    <row r="415" spans="22:41" x14ac:dyDescent="0.2">
      <c r="V415" s="181">
        <f t="shared" si="103"/>
        <v>188.5</v>
      </c>
      <c r="W415" s="181">
        <f t="shared" si="104"/>
        <v>377</v>
      </c>
      <c r="X415" s="181">
        <f t="shared" si="105"/>
        <v>1</v>
      </c>
      <c r="Y415" s="37">
        <f t="shared" si="106"/>
        <v>1917.1</v>
      </c>
      <c r="Z415" s="181">
        <f t="shared" si="107"/>
        <v>386.5</v>
      </c>
      <c r="AA415" s="127">
        <f t="shared" si="108"/>
        <v>595.21331999999995</v>
      </c>
      <c r="AB415" s="127">
        <f t="shared" si="109"/>
        <v>595.21331999999995</v>
      </c>
      <c r="AC415" s="37">
        <f t="shared" si="97"/>
        <v>3971.2799199999999</v>
      </c>
      <c r="AD415" s="37">
        <f t="shared" si="110"/>
        <v>5888.3799199999994</v>
      </c>
      <c r="AE415" s="181">
        <f t="shared" si="98"/>
        <v>15</v>
      </c>
      <c r="AF415" s="37">
        <f t="shared" si="111"/>
        <v>10530</v>
      </c>
      <c r="AG415" s="181">
        <f t="shared" si="99"/>
        <v>622</v>
      </c>
      <c r="AH415" s="111">
        <f t="shared" si="112"/>
        <v>414.67463999999995</v>
      </c>
      <c r="AI415" s="127">
        <f t="shared" si="113"/>
        <v>622</v>
      </c>
      <c r="AJ415" s="37">
        <f t="shared" si="100"/>
        <v>4132</v>
      </c>
      <c r="AK415" s="37">
        <f t="shared" si="114"/>
        <v>14662</v>
      </c>
      <c r="AL415" s="37">
        <f t="shared" si="102"/>
        <v>15.619044880636602</v>
      </c>
      <c r="AN415" s="37" t="str">
        <f t="shared" si="101"/>
        <v>Pallet</v>
      </c>
      <c r="AO415" s="194">
        <f t="shared" si="115"/>
        <v>15</v>
      </c>
    </row>
    <row r="416" spans="22:41" x14ac:dyDescent="0.2">
      <c r="V416" s="181">
        <f t="shared" si="103"/>
        <v>189</v>
      </c>
      <c r="W416" s="181">
        <f t="shared" si="104"/>
        <v>378</v>
      </c>
      <c r="X416" s="181">
        <f t="shared" si="105"/>
        <v>1</v>
      </c>
      <c r="Y416" s="37">
        <f t="shared" si="106"/>
        <v>1917.1</v>
      </c>
      <c r="Z416" s="181">
        <f t="shared" si="107"/>
        <v>387</v>
      </c>
      <c r="AA416" s="127">
        <f t="shared" si="108"/>
        <v>595.21331999999995</v>
      </c>
      <c r="AB416" s="127">
        <f t="shared" si="109"/>
        <v>595.21331999999995</v>
      </c>
      <c r="AC416" s="37">
        <f t="shared" si="97"/>
        <v>3971.2799199999999</v>
      </c>
      <c r="AD416" s="37">
        <f t="shared" si="110"/>
        <v>5888.3799199999994</v>
      </c>
      <c r="AE416" s="181">
        <f t="shared" si="98"/>
        <v>15</v>
      </c>
      <c r="AF416" s="37">
        <f t="shared" si="111"/>
        <v>10530</v>
      </c>
      <c r="AG416" s="181">
        <f t="shared" si="99"/>
        <v>622.5</v>
      </c>
      <c r="AH416" s="111">
        <f t="shared" si="112"/>
        <v>414.67463999999995</v>
      </c>
      <c r="AI416" s="127">
        <f t="shared" si="113"/>
        <v>622.5</v>
      </c>
      <c r="AJ416" s="37">
        <f t="shared" si="100"/>
        <v>4135</v>
      </c>
      <c r="AK416" s="37">
        <f t="shared" si="114"/>
        <v>14665</v>
      </c>
      <c r="AL416" s="37">
        <f t="shared" si="102"/>
        <v>15.577724656084655</v>
      </c>
      <c r="AN416" s="37" t="str">
        <f t="shared" si="101"/>
        <v>Pallet</v>
      </c>
      <c r="AO416" s="194">
        <f t="shared" si="115"/>
        <v>15</v>
      </c>
    </row>
    <row r="417" spans="22:41" x14ac:dyDescent="0.2">
      <c r="V417" s="181">
        <f t="shared" si="103"/>
        <v>189.5</v>
      </c>
      <c r="W417" s="181">
        <f t="shared" si="104"/>
        <v>379</v>
      </c>
      <c r="X417" s="181">
        <f t="shared" si="105"/>
        <v>1</v>
      </c>
      <c r="Y417" s="37">
        <f t="shared" si="106"/>
        <v>1917.1</v>
      </c>
      <c r="Z417" s="181">
        <f t="shared" si="107"/>
        <v>387.5</v>
      </c>
      <c r="AA417" s="127">
        <f t="shared" si="108"/>
        <v>595.21331999999995</v>
      </c>
      <c r="AB417" s="127">
        <f t="shared" si="109"/>
        <v>595.21331999999995</v>
      </c>
      <c r="AC417" s="37">
        <f t="shared" si="97"/>
        <v>3971.2799199999999</v>
      </c>
      <c r="AD417" s="37">
        <f t="shared" si="110"/>
        <v>5888.3799199999994</v>
      </c>
      <c r="AE417" s="181">
        <f t="shared" si="98"/>
        <v>15</v>
      </c>
      <c r="AF417" s="37">
        <f t="shared" si="111"/>
        <v>10530</v>
      </c>
      <c r="AG417" s="181">
        <f t="shared" si="99"/>
        <v>623</v>
      </c>
      <c r="AH417" s="111">
        <f t="shared" si="112"/>
        <v>414.67463999999995</v>
      </c>
      <c r="AI417" s="127">
        <f t="shared" si="113"/>
        <v>623</v>
      </c>
      <c r="AJ417" s="37">
        <f t="shared" si="100"/>
        <v>4138</v>
      </c>
      <c r="AK417" s="37">
        <f t="shared" si="114"/>
        <v>14668</v>
      </c>
      <c r="AL417" s="37">
        <f t="shared" si="102"/>
        <v>15.536622480211081</v>
      </c>
      <c r="AN417" s="37" t="str">
        <f t="shared" si="101"/>
        <v>Pallet</v>
      </c>
      <c r="AO417" s="194">
        <f t="shared" si="115"/>
        <v>15</v>
      </c>
    </row>
    <row r="418" spans="22:41" x14ac:dyDescent="0.2">
      <c r="V418" s="181">
        <f t="shared" si="103"/>
        <v>190</v>
      </c>
      <c r="W418" s="181">
        <f t="shared" si="104"/>
        <v>380</v>
      </c>
      <c r="X418" s="181">
        <f t="shared" si="105"/>
        <v>1</v>
      </c>
      <c r="Y418" s="37">
        <f t="shared" si="106"/>
        <v>1917.1</v>
      </c>
      <c r="Z418" s="181">
        <f t="shared" si="107"/>
        <v>388</v>
      </c>
      <c r="AA418" s="127">
        <f t="shared" si="108"/>
        <v>595.21331999999995</v>
      </c>
      <c r="AB418" s="127">
        <f t="shared" si="109"/>
        <v>595.21331999999995</v>
      </c>
      <c r="AC418" s="37">
        <f t="shared" si="97"/>
        <v>3971.2799199999999</v>
      </c>
      <c r="AD418" s="37">
        <f t="shared" si="110"/>
        <v>5888.3799199999994</v>
      </c>
      <c r="AE418" s="181">
        <f t="shared" si="98"/>
        <v>15</v>
      </c>
      <c r="AF418" s="37">
        <f t="shared" si="111"/>
        <v>10530</v>
      </c>
      <c r="AG418" s="181">
        <f t="shared" si="99"/>
        <v>623.5</v>
      </c>
      <c r="AH418" s="111">
        <f t="shared" si="112"/>
        <v>414.67463999999995</v>
      </c>
      <c r="AI418" s="127">
        <f t="shared" si="113"/>
        <v>623.5</v>
      </c>
      <c r="AJ418" s="37">
        <f t="shared" si="100"/>
        <v>4141</v>
      </c>
      <c r="AK418" s="37">
        <f t="shared" si="114"/>
        <v>14671</v>
      </c>
      <c r="AL418" s="37">
        <f t="shared" si="102"/>
        <v>15.495736631578946</v>
      </c>
      <c r="AN418" s="37" t="str">
        <f t="shared" si="101"/>
        <v>Pallet</v>
      </c>
      <c r="AO418" s="194">
        <f t="shared" si="115"/>
        <v>15</v>
      </c>
    </row>
    <row r="419" spans="22:41" x14ac:dyDescent="0.2">
      <c r="V419" s="181">
        <f t="shared" si="103"/>
        <v>190.5</v>
      </c>
      <c r="W419" s="181">
        <f t="shared" si="104"/>
        <v>381</v>
      </c>
      <c r="X419" s="181">
        <f t="shared" si="105"/>
        <v>1</v>
      </c>
      <c r="Y419" s="37">
        <f t="shared" si="106"/>
        <v>1917.1</v>
      </c>
      <c r="Z419" s="181">
        <f t="shared" si="107"/>
        <v>388.5</v>
      </c>
      <c r="AA419" s="127">
        <f t="shared" si="108"/>
        <v>595.21331999999995</v>
      </c>
      <c r="AB419" s="127">
        <f t="shared" si="109"/>
        <v>595.21331999999995</v>
      </c>
      <c r="AC419" s="37">
        <f t="shared" si="97"/>
        <v>3971.2799199999999</v>
      </c>
      <c r="AD419" s="37">
        <f t="shared" si="110"/>
        <v>5888.3799199999994</v>
      </c>
      <c r="AE419" s="181">
        <f t="shared" si="98"/>
        <v>15</v>
      </c>
      <c r="AF419" s="37">
        <f t="shared" si="111"/>
        <v>10530</v>
      </c>
      <c r="AG419" s="181">
        <f t="shared" si="99"/>
        <v>624</v>
      </c>
      <c r="AH419" s="111">
        <f t="shared" si="112"/>
        <v>414.67463999999995</v>
      </c>
      <c r="AI419" s="127">
        <f t="shared" si="113"/>
        <v>624</v>
      </c>
      <c r="AJ419" s="37">
        <f t="shared" si="100"/>
        <v>4144</v>
      </c>
      <c r="AK419" s="37">
        <f t="shared" si="114"/>
        <v>14674</v>
      </c>
      <c r="AL419" s="37">
        <f t="shared" si="102"/>
        <v>15.455065406824145</v>
      </c>
      <c r="AN419" s="37" t="str">
        <f t="shared" si="101"/>
        <v>Pallet</v>
      </c>
      <c r="AO419" s="194">
        <f t="shared" si="115"/>
        <v>15</v>
      </c>
    </row>
    <row r="420" spans="22:41" x14ac:dyDescent="0.2">
      <c r="V420" s="181">
        <f t="shared" si="103"/>
        <v>191</v>
      </c>
      <c r="W420" s="181">
        <f t="shared" si="104"/>
        <v>382</v>
      </c>
      <c r="X420" s="181">
        <f t="shared" si="105"/>
        <v>1</v>
      </c>
      <c r="Y420" s="37">
        <f t="shared" si="106"/>
        <v>1917.1</v>
      </c>
      <c r="Z420" s="181">
        <f t="shared" si="107"/>
        <v>389</v>
      </c>
      <c r="AA420" s="127">
        <f t="shared" si="108"/>
        <v>595.21331999999995</v>
      </c>
      <c r="AB420" s="127">
        <f t="shared" si="109"/>
        <v>595.21331999999995</v>
      </c>
      <c r="AC420" s="37">
        <f t="shared" si="97"/>
        <v>3971.2799199999999</v>
      </c>
      <c r="AD420" s="37">
        <f t="shared" si="110"/>
        <v>5888.3799199999994</v>
      </c>
      <c r="AE420" s="181">
        <f t="shared" si="98"/>
        <v>15</v>
      </c>
      <c r="AF420" s="37">
        <f t="shared" si="111"/>
        <v>10530</v>
      </c>
      <c r="AG420" s="181">
        <f t="shared" si="99"/>
        <v>624.5</v>
      </c>
      <c r="AH420" s="111">
        <f t="shared" si="112"/>
        <v>414.67463999999995</v>
      </c>
      <c r="AI420" s="127">
        <f t="shared" si="113"/>
        <v>624.5</v>
      </c>
      <c r="AJ420" s="37">
        <f t="shared" si="100"/>
        <v>4147</v>
      </c>
      <c r="AK420" s="37">
        <f t="shared" si="114"/>
        <v>14677</v>
      </c>
      <c r="AL420" s="37">
        <f t="shared" si="102"/>
        <v>15.414607120418847</v>
      </c>
      <c r="AN420" s="37" t="str">
        <f t="shared" si="101"/>
        <v>Pallet</v>
      </c>
      <c r="AO420" s="194">
        <f t="shared" si="115"/>
        <v>15</v>
      </c>
    </row>
    <row r="421" spans="22:41" x14ac:dyDescent="0.2">
      <c r="V421" s="181">
        <f t="shared" si="103"/>
        <v>191.5</v>
      </c>
      <c r="W421" s="181">
        <f t="shared" si="104"/>
        <v>383</v>
      </c>
      <c r="X421" s="181">
        <f t="shared" si="105"/>
        <v>1</v>
      </c>
      <c r="Y421" s="37">
        <f t="shared" si="106"/>
        <v>1917.1</v>
      </c>
      <c r="Z421" s="181">
        <f t="shared" si="107"/>
        <v>389.5</v>
      </c>
      <c r="AA421" s="127">
        <f t="shared" si="108"/>
        <v>595.21331999999995</v>
      </c>
      <c r="AB421" s="127">
        <f t="shared" si="109"/>
        <v>595.21331999999995</v>
      </c>
      <c r="AC421" s="37">
        <f t="shared" si="97"/>
        <v>3971.2799199999999</v>
      </c>
      <c r="AD421" s="37">
        <f t="shared" si="110"/>
        <v>5888.3799199999994</v>
      </c>
      <c r="AE421" s="181">
        <f t="shared" si="98"/>
        <v>15</v>
      </c>
      <c r="AF421" s="37">
        <f t="shared" si="111"/>
        <v>10530</v>
      </c>
      <c r="AG421" s="181">
        <f t="shared" si="99"/>
        <v>625</v>
      </c>
      <c r="AH421" s="111">
        <f t="shared" si="112"/>
        <v>414.67463999999995</v>
      </c>
      <c r="AI421" s="127">
        <f t="shared" si="113"/>
        <v>625</v>
      </c>
      <c r="AJ421" s="37">
        <f t="shared" si="100"/>
        <v>4150</v>
      </c>
      <c r="AK421" s="37">
        <f t="shared" si="114"/>
        <v>14680</v>
      </c>
      <c r="AL421" s="37">
        <f t="shared" si="102"/>
        <v>15.37436010443864</v>
      </c>
      <c r="AN421" s="37" t="str">
        <f t="shared" si="101"/>
        <v>Pallet</v>
      </c>
      <c r="AO421" s="194">
        <f t="shared" si="115"/>
        <v>15</v>
      </c>
    </row>
    <row r="422" spans="22:41" x14ac:dyDescent="0.2">
      <c r="V422" s="181">
        <f t="shared" si="103"/>
        <v>192</v>
      </c>
      <c r="W422" s="181">
        <f t="shared" si="104"/>
        <v>384</v>
      </c>
      <c r="X422" s="181">
        <f t="shared" si="105"/>
        <v>1</v>
      </c>
      <c r="Y422" s="37">
        <f t="shared" si="106"/>
        <v>1917.1</v>
      </c>
      <c r="Z422" s="181">
        <f t="shared" si="107"/>
        <v>390</v>
      </c>
      <c r="AA422" s="127">
        <f t="shared" si="108"/>
        <v>595.21331999999995</v>
      </c>
      <c r="AB422" s="127">
        <f t="shared" si="109"/>
        <v>595.21331999999995</v>
      </c>
      <c r="AC422" s="37">
        <f t="shared" si="97"/>
        <v>3971.2799199999999</v>
      </c>
      <c r="AD422" s="37">
        <f t="shared" si="110"/>
        <v>5888.3799199999994</v>
      </c>
      <c r="AE422" s="181">
        <f t="shared" si="98"/>
        <v>15</v>
      </c>
      <c r="AF422" s="37">
        <f t="shared" si="111"/>
        <v>10530</v>
      </c>
      <c r="AG422" s="181">
        <f t="shared" si="99"/>
        <v>625.5</v>
      </c>
      <c r="AH422" s="111">
        <f t="shared" si="112"/>
        <v>414.67463999999995</v>
      </c>
      <c r="AI422" s="127">
        <f t="shared" si="113"/>
        <v>625.5</v>
      </c>
      <c r="AJ422" s="37">
        <f t="shared" si="100"/>
        <v>4153</v>
      </c>
      <c r="AK422" s="37">
        <f t="shared" si="114"/>
        <v>14683</v>
      </c>
      <c r="AL422" s="37">
        <f t="shared" si="102"/>
        <v>15.334322708333332</v>
      </c>
      <c r="AN422" s="37" t="str">
        <f t="shared" si="101"/>
        <v>Pallet</v>
      </c>
      <c r="AO422" s="194">
        <f t="shared" si="115"/>
        <v>15</v>
      </c>
    </row>
    <row r="423" spans="22:41" x14ac:dyDescent="0.2">
      <c r="V423" s="181">
        <f t="shared" si="103"/>
        <v>192.5</v>
      </c>
      <c r="W423" s="181">
        <f t="shared" si="104"/>
        <v>385</v>
      </c>
      <c r="X423" s="181">
        <f t="shared" si="105"/>
        <v>1</v>
      </c>
      <c r="Y423" s="37">
        <f t="shared" si="106"/>
        <v>1917.1</v>
      </c>
      <c r="Z423" s="181">
        <f t="shared" si="107"/>
        <v>390.5</v>
      </c>
      <c r="AA423" s="127">
        <f t="shared" si="108"/>
        <v>595.21331999999995</v>
      </c>
      <c r="AB423" s="127">
        <f t="shared" si="109"/>
        <v>595.21331999999995</v>
      </c>
      <c r="AC423" s="37">
        <f t="shared" ref="AC423:AC486" si="116">(Shipping_perkg_first100*100)+((AB423-100)*Shipping_perkg_above100)</f>
        <v>3971.2799199999999</v>
      </c>
      <c r="AD423" s="37">
        <f t="shared" si="110"/>
        <v>5888.3799199999994</v>
      </c>
      <c r="AE423" s="181">
        <f t="shared" ref="AE423:AE486" si="117">ROUNDUP(W423/$N$19,0)</f>
        <v>15</v>
      </c>
      <c r="AF423" s="37">
        <f t="shared" si="111"/>
        <v>10530</v>
      </c>
      <c r="AG423" s="181">
        <f t="shared" ref="AG423:AG486" si="118">(AE423*$K$19)+V423</f>
        <v>626</v>
      </c>
      <c r="AH423" s="111">
        <f t="shared" si="112"/>
        <v>414.67463999999995</v>
      </c>
      <c r="AI423" s="127">
        <f t="shared" si="113"/>
        <v>626</v>
      </c>
      <c r="AJ423" s="37">
        <f t="shared" ref="AJ423:AJ486" si="119">IF(AI423&lt;=100,AI423*Shipping_perkg_first100,(Shipping_perkg_first100*100)+((AI423-100)*Shipping_perkg_above100))</f>
        <v>4156</v>
      </c>
      <c r="AK423" s="37">
        <f t="shared" si="114"/>
        <v>14686</v>
      </c>
      <c r="AL423" s="37">
        <f t="shared" si="102"/>
        <v>15.294493298701298</v>
      </c>
      <c r="AN423" s="37" t="str">
        <f t="shared" ref="AN423:AN486" si="120">IF(AD423&lt;AK423,"Pallet","Parcel")</f>
        <v>Pallet</v>
      </c>
      <c r="AO423" s="194">
        <f t="shared" si="115"/>
        <v>15</v>
      </c>
    </row>
    <row r="424" spans="22:41" x14ac:dyDescent="0.2">
      <c r="V424" s="181">
        <f t="shared" si="103"/>
        <v>193</v>
      </c>
      <c r="W424" s="181">
        <f t="shared" si="104"/>
        <v>386</v>
      </c>
      <c r="X424" s="181">
        <f t="shared" si="105"/>
        <v>1</v>
      </c>
      <c r="Y424" s="37">
        <f t="shared" si="106"/>
        <v>1917.1</v>
      </c>
      <c r="Z424" s="181">
        <f t="shared" si="107"/>
        <v>391</v>
      </c>
      <c r="AA424" s="127">
        <f t="shared" si="108"/>
        <v>595.21331999999995</v>
      </c>
      <c r="AB424" s="127">
        <f t="shared" si="109"/>
        <v>595.21331999999995</v>
      </c>
      <c r="AC424" s="37">
        <f t="shared" si="116"/>
        <v>3971.2799199999999</v>
      </c>
      <c r="AD424" s="37">
        <f t="shared" si="110"/>
        <v>5888.3799199999994</v>
      </c>
      <c r="AE424" s="181">
        <f t="shared" si="117"/>
        <v>15</v>
      </c>
      <c r="AF424" s="37">
        <f t="shared" si="111"/>
        <v>10530</v>
      </c>
      <c r="AG424" s="181">
        <f t="shared" si="118"/>
        <v>626.5</v>
      </c>
      <c r="AH424" s="111">
        <f t="shared" si="112"/>
        <v>414.67463999999995</v>
      </c>
      <c r="AI424" s="127">
        <f t="shared" si="113"/>
        <v>626.5</v>
      </c>
      <c r="AJ424" s="37">
        <f t="shared" si="119"/>
        <v>4159</v>
      </c>
      <c r="AK424" s="37">
        <f t="shared" si="114"/>
        <v>14689</v>
      </c>
      <c r="AL424" s="37">
        <f t="shared" ref="AL424:AL487" si="121">MIN(AD424,AK424)/W424</f>
        <v>15.254870259067356</v>
      </c>
      <c r="AN424" s="37" t="str">
        <f t="shared" si="120"/>
        <v>Pallet</v>
      </c>
      <c r="AO424" s="194">
        <f t="shared" si="115"/>
        <v>15</v>
      </c>
    </row>
    <row r="425" spans="22:41" x14ac:dyDescent="0.2">
      <c r="V425" s="181">
        <f t="shared" ref="V425:V488" si="122">W425*$V$37</f>
        <v>193.5</v>
      </c>
      <c r="W425" s="181">
        <f t="shared" ref="W425:W488" si="123">W424+1</f>
        <v>387</v>
      </c>
      <c r="X425" s="181">
        <f t="shared" ref="X425:X488" si="124">ROUNDUP(W425/$N$29,0)</f>
        <v>1</v>
      </c>
      <c r="Y425" s="37">
        <f t="shared" ref="Y425:Y488" si="125">X425*$P$29</f>
        <v>1917.1</v>
      </c>
      <c r="Z425" s="181">
        <f t="shared" ref="Z425:Z488" si="126">V425+(X425*$K$29)</f>
        <v>391.5</v>
      </c>
      <c r="AA425" s="127">
        <f t="shared" ref="AA425:AA488" si="127">X425*$T$29</f>
        <v>595.21331999999995</v>
      </c>
      <c r="AB425" s="127">
        <f t="shared" ref="AB425:AB488" si="128">MAX(Z425,AA425)</f>
        <v>595.21331999999995</v>
      </c>
      <c r="AC425" s="37">
        <f t="shared" si="116"/>
        <v>3971.2799199999999</v>
      </c>
      <c r="AD425" s="37">
        <f t="shared" ref="AD425:AD488" si="129">Y425+AC425</f>
        <v>5888.3799199999994</v>
      </c>
      <c r="AE425" s="181">
        <f t="shared" si="117"/>
        <v>15</v>
      </c>
      <c r="AF425" s="37">
        <f t="shared" ref="AF425:AF488" si="130">AE425*$P$19</f>
        <v>10530</v>
      </c>
      <c r="AG425" s="181">
        <f t="shared" si="118"/>
        <v>627</v>
      </c>
      <c r="AH425" s="111">
        <f t="shared" ref="AH425:AH488" si="131">AE425*$X$19</f>
        <v>414.67463999999995</v>
      </c>
      <c r="AI425" s="127">
        <f t="shared" ref="AI425:AI488" si="132">MAX(AG425,AH425)</f>
        <v>627</v>
      </c>
      <c r="AJ425" s="37">
        <f t="shared" si="119"/>
        <v>4162</v>
      </c>
      <c r="AK425" s="37">
        <f t="shared" ref="AK425:AK488" si="133">AF425+AJ425</f>
        <v>14692</v>
      </c>
      <c r="AL425" s="37">
        <f t="shared" si="121"/>
        <v>15.21545198966408</v>
      </c>
      <c r="AN425" s="37" t="str">
        <f t="shared" si="120"/>
        <v>Pallet</v>
      </c>
      <c r="AO425" s="194">
        <f t="shared" ref="AO425:AO488" si="134">AE424</f>
        <v>15</v>
      </c>
    </row>
    <row r="426" spans="22:41" x14ac:dyDescent="0.2">
      <c r="V426" s="181">
        <f t="shared" si="122"/>
        <v>194</v>
      </c>
      <c r="W426" s="181">
        <f t="shared" si="123"/>
        <v>388</v>
      </c>
      <c r="X426" s="181">
        <f t="shared" si="124"/>
        <v>1</v>
      </c>
      <c r="Y426" s="37">
        <f t="shared" si="125"/>
        <v>1917.1</v>
      </c>
      <c r="Z426" s="181">
        <f t="shared" si="126"/>
        <v>392</v>
      </c>
      <c r="AA426" s="127">
        <f t="shared" si="127"/>
        <v>595.21331999999995</v>
      </c>
      <c r="AB426" s="127">
        <f t="shared" si="128"/>
        <v>595.21331999999995</v>
      </c>
      <c r="AC426" s="37">
        <f t="shared" si="116"/>
        <v>3971.2799199999999</v>
      </c>
      <c r="AD426" s="37">
        <f t="shared" si="129"/>
        <v>5888.3799199999994</v>
      </c>
      <c r="AE426" s="181">
        <f t="shared" si="117"/>
        <v>16</v>
      </c>
      <c r="AF426" s="37">
        <f t="shared" si="130"/>
        <v>11232</v>
      </c>
      <c r="AG426" s="181">
        <f t="shared" si="118"/>
        <v>656.4</v>
      </c>
      <c r="AH426" s="111">
        <f t="shared" si="131"/>
        <v>442.31961599999994</v>
      </c>
      <c r="AI426" s="127">
        <f t="shared" si="132"/>
        <v>656.4</v>
      </c>
      <c r="AJ426" s="37">
        <f t="shared" si="119"/>
        <v>4338.3999999999996</v>
      </c>
      <c r="AK426" s="37">
        <f t="shared" si="133"/>
        <v>15570.4</v>
      </c>
      <c r="AL426" s="37">
        <f t="shared" si="121"/>
        <v>15.176236907216493</v>
      </c>
      <c r="AN426" s="37" t="str">
        <f t="shared" si="120"/>
        <v>Pallet</v>
      </c>
      <c r="AO426" s="194">
        <f t="shared" si="134"/>
        <v>15</v>
      </c>
    </row>
    <row r="427" spans="22:41" x14ac:dyDescent="0.2">
      <c r="V427" s="181">
        <f t="shared" si="122"/>
        <v>194.5</v>
      </c>
      <c r="W427" s="181">
        <f t="shared" si="123"/>
        <v>389</v>
      </c>
      <c r="X427" s="181">
        <f t="shared" si="124"/>
        <v>1</v>
      </c>
      <c r="Y427" s="37">
        <f t="shared" si="125"/>
        <v>1917.1</v>
      </c>
      <c r="Z427" s="181">
        <f t="shared" si="126"/>
        <v>392.5</v>
      </c>
      <c r="AA427" s="127">
        <f t="shared" si="127"/>
        <v>595.21331999999995</v>
      </c>
      <c r="AB427" s="127">
        <f t="shared" si="128"/>
        <v>595.21331999999995</v>
      </c>
      <c r="AC427" s="37">
        <f t="shared" si="116"/>
        <v>3971.2799199999999</v>
      </c>
      <c r="AD427" s="37">
        <f t="shared" si="129"/>
        <v>5888.3799199999994</v>
      </c>
      <c r="AE427" s="181">
        <f t="shared" si="117"/>
        <v>16</v>
      </c>
      <c r="AF427" s="37">
        <f t="shared" si="130"/>
        <v>11232</v>
      </c>
      <c r="AG427" s="181">
        <f t="shared" si="118"/>
        <v>656.9</v>
      </c>
      <c r="AH427" s="111">
        <f t="shared" si="131"/>
        <v>442.31961599999994</v>
      </c>
      <c r="AI427" s="127">
        <f t="shared" si="132"/>
        <v>656.9</v>
      </c>
      <c r="AJ427" s="37">
        <f t="shared" si="119"/>
        <v>4341.3999999999996</v>
      </c>
      <c r="AK427" s="37">
        <f t="shared" si="133"/>
        <v>15573.4</v>
      </c>
      <c r="AL427" s="37">
        <f t="shared" si="121"/>
        <v>15.137223444730076</v>
      </c>
      <c r="AN427" s="37" t="str">
        <f t="shared" si="120"/>
        <v>Pallet</v>
      </c>
      <c r="AO427" s="194">
        <f t="shared" si="134"/>
        <v>16</v>
      </c>
    </row>
    <row r="428" spans="22:41" x14ac:dyDescent="0.2">
      <c r="V428" s="181">
        <f t="shared" si="122"/>
        <v>195</v>
      </c>
      <c r="W428" s="181">
        <f t="shared" si="123"/>
        <v>390</v>
      </c>
      <c r="X428" s="181">
        <f t="shared" si="124"/>
        <v>1</v>
      </c>
      <c r="Y428" s="37">
        <f t="shared" si="125"/>
        <v>1917.1</v>
      </c>
      <c r="Z428" s="181">
        <f t="shared" si="126"/>
        <v>393</v>
      </c>
      <c r="AA428" s="127">
        <f t="shared" si="127"/>
        <v>595.21331999999995</v>
      </c>
      <c r="AB428" s="127">
        <f t="shared" si="128"/>
        <v>595.21331999999995</v>
      </c>
      <c r="AC428" s="37">
        <f t="shared" si="116"/>
        <v>3971.2799199999999</v>
      </c>
      <c r="AD428" s="37">
        <f t="shared" si="129"/>
        <v>5888.3799199999994</v>
      </c>
      <c r="AE428" s="181">
        <f t="shared" si="117"/>
        <v>16</v>
      </c>
      <c r="AF428" s="37">
        <f t="shared" si="130"/>
        <v>11232</v>
      </c>
      <c r="AG428" s="181">
        <f t="shared" si="118"/>
        <v>657.4</v>
      </c>
      <c r="AH428" s="111">
        <f t="shared" si="131"/>
        <v>442.31961599999994</v>
      </c>
      <c r="AI428" s="127">
        <f t="shared" si="132"/>
        <v>657.4</v>
      </c>
      <c r="AJ428" s="37">
        <f t="shared" si="119"/>
        <v>4344.3999999999996</v>
      </c>
      <c r="AK428" s="37">
        <f t="shared" si="133"/>
        <v>15576.4</v>
      </c>
      <c r="AL428" s="37">
        <f t="shared" si="121"/>
        <v>15.09841005128205</v>
      </c>
      <c r="AN428" s="37" t="str">
        <f t="shared" si="120"/>
        <v>Pallet</v>
      </c>
      <c r="AO428" s="194">
        <f t="shared" si="134"/>
        <v>16</v>
      </c>
    </row>
    <row r="429" spans="22:41" x14ac:dyDescent="0.2">
      <c r="V429" s="181">
        <f t="shared" si="122"/>
        <v>195.5</v>
      </c>
      <c r="W429" s="181">
        <f t="shared" si="123"/>
        <v>391</v>
      </c>
      <c r="X429" s="181">
        <f t="shared" si="124"/>
        <v>1</v>
      </c>
      <c r="Y429" s="37">
        <f t="shared" si="125"/>
        <v>1917.1</v>
      </c>
      <c r="Z429" s="181">
        <f t="shared" si="126"/>
        <v>393.5</v>
      </c>
      <c r="AA429" s="127">
        <f t="shared" si="127"/>
        <v>595.21331999999995</v>
      </c>
      <c r="AB429" s="127">
        <f t="shared" si="128"/>
        <v>595.21331999999995</v>
      </c>
      <c r="AC429" s="37">
        <f t="shared" si="116"/>
        <v>3971.2799199999999</v>
      </c>
      <c r="AD429" s="37">
        <f t="shared" si="129"/>
        <v>5888.3799199999994</v>
      </c>
      <c r="AE429" s="181">
        <f t="shared" si="117"/>
        <v>16</v>
      </c>
      <c r="AF429" s="37">
        <f t="shared" si="130"/>
        <v>11232</v>
      </c>
      <c r="AG429" s="181">
        <f t="shared" si="118"/>
        <v>657.9</v>
      </c>
      <c r="AH429" s="111">
        <f t="shared" si="131"/>
        <v>442.31961599999994</v>
      </c>
      <c r="AI429" s="127">
        <f t="shared" si="132"/>
        <v>657.9</v>
      </c>
      <c r="AJ429" s="37">
        <f t="shared" si="119"/>
        <v>4347.3999999999996</v>
      </c>
      <c r="AK429" s="37">
        <f t="shared" si="133"/>
        <v>15579.4</v>
      </c>
      <c r="AL429" s="37">
        <f t="shared" si="121"/>
        <v>15.059795191815855</v>
      </c>
      <c r="AN429" s="37" t="str">
        <f t="shared" si="120"/>
        <v>Pallet</v>
      </c>
      <c r="AO429" s="194">
        <f t="shared" si="134"/>
        <v>16</v>
      </c>
    </row>
    <row r="430" spans="22:41" x14ac:dyDescent="0.2">
      <c r="V430" s="181">
        <f t="shared" si="122"/>
        <v>196</v>
      </c>
      <c r="W430" s="181">
        <f t="shared" si="123"/>
        <v>392</v>
      </c>
      <c r="X430" s="181">
        <f t="shared" si="124"/>
        <v>1</v>
      </c>
      <c r="Y430" s="37">
        <f t="shared" si="125"/>
        <v>1917.1</v>
      </c>
      <c r="Z430" s="181">
        <f t="shared" si="126"/>
        <v>394</v>
      </c>
      <c r="AA430" s="127">
        <f t="shared" si="127"/>
        <v>595.21331999999995</v>
      </c>
      <c r="AB430" s="127">
        <f t="shared" si="128"/>
        <v>595.21331999999995</v>
      </c>
      <c r="AC430" s="37">
        <f t="shared" si="116"/>
        <v>3971.2799199999999</v>
      </c>
      <c r="AD430" s="37">
        <f t="shared" si="129"/>
        <v>5888.3799199999994</v>
      </c>
      <c r="AE430" s="181">
        <f t="shared" si="117"/>
        <v>16</v>
      </c>
      <c r="AF430" s="37">
        <f t="shared" si="130"/>
        <v>11232</v>
      </c>
      <c r="AG430" s="181">
        <f t="shared" si="118"/>
        <v>658.4</v>
      </c>
      <c r="AH430" s="111">
        <f t="shared" si="131"/>
        <v>442.31961599999994</v>
      </c>
      <c r="AI430" s="127">
        <f t="shared" si="132"/>
        <v>658.4</v>
      </c>
      <c r="AJ430" s="37">
        <f t="shared" si="119"/>
        <v>4350.3999999999996</v>
      </c>
      <c r="AK430" s="37">
        <f t="shared" si="133"/>
        <v>15582.4</v>
      </c>
      <c r="AL430" s="37">
        <f t="shared" si="121"/>
        <v>15.021377346938774</v>
      </c>
      <c r="AN430" s="37" t="str">
        <f t="shared" si="120"/>
        <v>Pallet</v>
      </c>
      <c r="AO430" s="194">
        <f t="shared" si="134"/>
        <v>16</v>
      </c>
    </row>
    <row r="431" spans="22:41" x14ac:dyDescent="0.2">
      <c r="V431" s="181">
        <f t="shared" si="122"/>
        <v>196.5</v>
      </c>
      <c r="W431" s="181">
        <f t="shared" si="123"/>
        <v>393</v>
      </c>
      <c r="X431" s="181">
        <f t="shared" si="124"/>
        <v>1</v>
      </c>
      <c r="Y431" s="37">
        <f t="shared" si="125"/>
        <v>1917.1</v>
      </c>
      <c r="Z431" s="181">
        <f t="shared" si="126"/>
        <v>394.5</v>
      </c>
      <c r="AA431" s="127">
        <f t="shared" si="127"/>
        <v>595.21331999999995</v>
      </c>
      <c r="AB431" s="127">
        <f t="shared" si="128"/>
        <v>595.21331999999995</v>
      </c>
      <c r="AC431" s="37">
        <f t="shared" si="116"/>
        <v>3971.2799199999999</v>
      </c>
      <c r="AD431" s="37">
        <f t="shared" si="129"/>
        <v>5888.3799199999994</v>
      </c>
      <c r="AE431" s="181">
        <f t="shared" si="117"/>
        <v>16</v>
      </c>
      <c r="AF431" s="37">
        <f t="shared" si="130"/>
        <v>11232</v>
      </c>
      <c r="AG431" s="181">
        <f t="shared" si="118"/>
        <v>658.9</v>
      </c>
      <c r="AH431" s="111">
        <f t="shared" si="131"/>
        <v>442.31961599999994</v>
      </c>
      <c r="AI431" s="127">
        <f t="shared" si="132"/>
        <v>658.9</v>
      </c>
      <c r="AJ431" s="37">
        <f t="shared" si="119"/>
        <v>4353.3999999999996</v>
      </c>
      <c r="AK431" s="37">
        <f t="shared" si="133"/>
        <v>15585.4</v>
      </c>
      <c r="AL431" s="37">
        <f t="shared" si="121"/>
        <v>14.983155012722644</v>
      </c>
      <c r="AN431" s="37" t="str">
        <f t="shared" si="120"/>
        <v>Pallet</v>
      </c>
      <c r="AO431" s="194">
        <f t="shared" si="134"/>
        <v>16</v>
      </c>
    </row>
    <row r="432" spans="22:41" x14ac:dyDescent="0.2">
      <c r="V432" s="181">
        <f t="shared" si="122"/>
        <v>197</v>
      </c>
      <c r="W432" s="181">
        <f t="shared" si="123"/>
        <v>394</v>
      </c>
      <c r="X432" s="181">
        <f t="shared" si="124"/>
        <v>1</v>
      </c>
      <c r="Y432" s="37">
        <f t="shared" si="125"/>
        <v>1917.1</v>
      </c>
      <c r="Z432" s="181">
        <f t="shared" si="126"/>
        <v>395</v>
      </c>
      <c r="AA432" s="127">
        <f t="shared" si="127"/>
        <v>595.21331999999995</v>
      </c>
      <c r="AB432" s="127">
        <f t="shared" si="128"/>
        <v>595.21331999999995</v>
      </c>
      <c r="AC432" s="37">
        <f t="shared" si="116"/>
        <v>3971.2799199999999</v>
      </c>
      <c r="AD432" s="37">
        <f t="shared" si="129"/>
        <v>5888.3799199999994</v>
      </c>
      <c r="AE432" s="181">
        <f t="shared" si="117"/>
        <v>16</v>
      </c>
      <c r="AF432" s="37">
        <f t="shared" si="130"/>
        <v>11232</v>
      </c>
      <c r="AG432" s="181">
        <f t="shared" si="118"/>
        <v>659.4</v>
      </c>
      <c r="AH432" s="111">
        <f t="shared" si="131"/>
        <v>442.31961599999994</v>
      </c>
      <c r="AI432" s="127">
        <f t="shared" si="132"/>
        <v>659.4</v>
      </c>
      <c r="AJ432" s="37">
        <f t="shared" si="119"/>
        <v>4356.3999999999996</v>
      </c>
      <c r="AK432" s="37">
        <f t="shared" si="133"/>
        <v>15588.4</v>
      </c>
      <c r="AL432" s="37">
        <f t="shared" si="121"/>
        <v>14.945126700507613</v>
      </c>
      <c r="AN432" s="37" t="str">
        <f t="shared" si="120"/>
        <v>Pallet</v>
      </c>
      <c r="AO432" s="194">
        <f t="shared" si="134"/>
        <v>16</v>
      </c>
    </row>
    <row r="433" spans="22:41" x14ac:dyDescent="0.2">
      <c r="V433" s="181">
        <f t="shared" si="122"/>
        <v>197.5</v>
      </c>
      <c r="W433" s="181">
        <f t="shared" si="123"/>
        <v>395</v>
      </c>
      <c r="X433" s="181">
        <f t="shared" si="124"/>
        <v>1</v>
      </c>
      <c r="Y433" s="37">
        <f t="shared" si="125"/>
        <v>1917.1</v>
      </c>
      <c r="Z433" s="181">
        <f t="shared" si="126"/>
        <v>395.5</v>
      </c>
      <c r="AA433" s="127">
        <f t="shared" si="127"/>
        <v>595.21331999999995</v>
      </c>
      <c r="AB433" s="127">
        <f t="shared" si="128"/>
        <v>595.21331999999995</v>
      </c>
      <c r="AC433" s="37">
        <f t="shared" si="116"/>
        <v>3971.2799199999999</v>
      </c>
      <c r="AD433" s="37">
        <f t="shared" si="129"/>
        <v>5888.3799199999994</v>
      </c>
      <c r="AE433" s="181">
        <f t="shared" si="117"/>
        <v>16</v>
      </c>
      <c r="AF433" s="37">
        <f t="shared" si="130"/>
        <v>11232</v>
      </c>
      <c r="AG433" s="181">
        <f t="shared" si="118"/>
        <v>659.9</v>
      </c>
      <c r="AH433" s="111">
        <f t="shared" si="131"/>
        <v>442.31961599999994</v>
      </c>
      <c r="AI433" s="127">
        <f t="shared" si="132"/>
        <v>659.9</v>
      </c>
      <c r="AJ433" s="37">
        <f t="shared" si="119"/>
        <v>4359.3999999999996</v>
      </c>
      <c r="AK433" s="37">
        <f t="shared" si="133"/>
        <v>15591.4</v>
      </c>
      <c r="AL433" s="37">
        <f t="shared" si="121"/>
        <v>14.90729093670886</v>
      </c>
      <c r="AN433" s="37" t="str">
        <f t="shared" si="120"/>
        <v>Pallet</v>
      </c>
      <c r="AO433" s="194">
        <f t="shared" si="134"/>
        <v>16</v>
      </c>
    </row>
    <row r="434" spans="22:41" x14ac:dyDescent="0.2">
      <c r="V434" s="181">
        <f t="shared" si="122"/>
        <v>198</v>
      </c>
      <c r="W434" s="181">
        <f t="shared" si="123"/>
        <v>396</v>
      </c>
      <c r="X434" s="181">
        <f t="shared" si="124"/>
        <v>1</v>
      </c>
      <c r="Y434" s="37">
        <f t="shared" si="125"/>
        <v>1917.1</v>
      </c>
      <c r="Z434" s="181">
        <f t="shared" si="126"/>
        <v>396</v>
      </c>
      <c r="AA434" s="127">
        <f t="shared" si="127"/>
        <v>595.21331999999995</v>
      </c>
      <c r="AB434" s="127">
        <f t="shared" si="128"/>
        <v>595.21331999999995</v>
      </c>
      <c r="AC434" s="37">
        <f t="shared" si="116"/>
        <v>3971.2799199999999</v>
      </c>
      <c r="AD434" s="37">
        <f t="shared" si="129"/>
        <v>5888.3799199999994</v>
      </c>
      <c r="AE434" s="181">
        <f t="shared" si="117"/>
        <v>16</v>
      </c>
      <c r="AF434" s="37">
        <f t="shared" si="130"/>
        <v>11232</v>
      </c>
      <c r="AG434" s="181">
        <f t="shared" si="118"/>
        <v>660.4</v>
      </c>
      <c r="AH434" s="111">
        <f t="shared" si="131"/>
        <v>442.31961599999994</v>
      </c>
      <c r="AI434" s="127">
        <f t="shared" si="132"/>
        <v>660.4</v>
      </c>
      <c r="AJ434" s="37">
        <f t="shared" si="119"/>
        <v>4362.3999999999996</v>
      </c>
      <c r="AK434" s="37">
        <f t="shared" si="133"/>
        <v>15594.4</v>
      </c>
      <c r="AL434" s="37">
        <f t="shared" si="121"/>
        <v>14.869646262626262</v>
      </c>
      <c r="AN434" s="37" t="str">
        <f t="shared" si="120"/>
        <v>Pallet</v>
      </c>
      <c r="AO434" s="194">
        <f t="shared" si="134"/>
        <v>16</v>
      </c>
    </row>
    <row r="435" spans="22:41" x14ac:dyDescent="0.2">
      <c r="V435" s="181">
        <f t="shared" si="122"/>
        <v>198.5</v>
      </c>
      <c r="W435" s="181">
        <f t="shared" si="123"/>
        <v>397</v>
      </c>
      <c r="X435" s="181">
        <f t="shared" si="124"/>
        <v>1</v>
      </c>
      <c r="Y435" s="37">
        <f t="shared" si="125"/>
        <v>1917.1</v>
      </c>
      <c r="Z435" s="181">
        <f t="shared" si="126"/>
        <v>396.5</v>
      </c>
      <c r="AA435" s="127">
        <f t="shared" si="127"/>
        <v>595.21331999999995</v>
      </c>
      <c r="AB435" s="127">
        <f t="shared" si="128"/>
        <v>595.21331999999995</v>
      </c>
      <c r="AC435" s="37">
        <f t="shared" si="116"/>
        <v>3971.2799199999999</v>
      </c>
      <c r="AD435" s="37">
        <f t="shared" si="129"/>
        <v>5888.3799199999994</v>
      </c>
      <c r="AE435" s="181">
        <f t="shared" si="117"/>
        <v>16</v>
      </c>
      <c r="AF435" s="37">
        <f t="shared" si="130"/>
        <v>11232</v>
      </c>
      <c r="AG435" s="181">
        <f t="shared" si="118"/>
        <v>660.9</v>
      </c>
      <c r="AH435" s="111">
        <f t="shared" si="131"/>
        <v>442.31961599999994</v>
      </c>
      <c r="AI435" s="127">
        <f t="shared" si="132"/>
        <v>660.9</v>
      </c>
      <c r="AJ435" s="37">
        <f t="shared" si="119"/>
        <v>4365.3999999999996</v>
      </c>
      <c r="AK435" s="37">
        <f t="shared" si="133"/>
        <v>15597.4</v>
      </c>
      <c r="AL435" s="37">
        <f t="shared" si="121"/>
        <v>14.832191234256925</v>
      </c>
      <c r="AN435" s="37" t="str">
        <f t="shared" si="120"/>
        <v>Pallet</v>
      </c>
      <c r="AO435" s="194">
        <f t="shared" si="134"/>
        <v>16</v>
      </c>
    </row>
    <row r="436" spans="22:41" x14ac:dyDescent="0.2">
      <c r="V436" s="181">
        <f t="shared" si="122"/>
        <v>199</v>
      </c>
      <c r="W436" s="181">
        <f t="shared" si="123"/>
        <v>398</v>
      </c>
      <c r="X436" s="181">
        <f t="shared" si="124"/>
        <v>1</v>
      </c>
      <c r="Y436" s="37">
        <f t="shared" si="125"/>
        <v>1917.1</v>
      </c>
      <c r="Z436" s="181">
        <f t="shared" si="126"/>
        <v>397</v>
      </c>
      <c r="AA436" s="127">
        <f t="shared" si="127"/>
        <v>595.21331999999995</v>
      </c>
      <c r="AB436" s="127">
        <f t="shared" si="128"/>
        <v>595.21331999999995</v>
      </c>
      <c r="AC436" s="37">
        <f t="shared" si="116"/>
        <v>3971.2799199999999</v>
      </c>
      <c r="AD436" s="37">
        <f t="shared" si="129"/>
        <v>5888.3799199999994</v>
      </c>
      <c r="AE436" s="181">
        <f t="shared" si="117"/>
        <v>16</v>
      </c>
      <c r="AF436" s="37">
        <f t="shared" si="130"/>
        <v>11232</v>
      </c>
      <c r="AG436" s="181">
        <f t="shared" si="118"/>
        <v>661.4</v>
      </c>
      <c r="AH436" s="111">
        <f t="shared" si="131"/>
        <v>442.31961599999994</v>
      </c>
      <c r="AI436" s="127">
        <f t="shared" si="132"/>
        <v>661.4</v>
      </c>
      <c r="AJ436" s="37">
        <f t="shared" si="119"/>
        <v>4368.3999999999996</v>
      </c>
      <c r="AK436" s="37">
        <f t="shared" si="133"/>
        <v>15600.4</v>
      </c>
      <c r="AL436" s="37">
        <f t="shared" si="121"/>
        <v>14.794924422110551</v>
      </c>
      <c r="AN436" s="37" t="str">
        <f t="shared" si="120"/>
        <v>Pallet</v>
      </c>
      <c r="AO436" s="194">
        <f t="shared" si="134"/>
        <v>16</v>
      </c>
    </row>
    <row r="437" spans="22:41" x14ac:dyDescent="0.2">
      <c r="V437" s="181">
        <f t="shared" si="122"/>
        <v>199.5</v>
      </c>
      <c r="W437" s="181">
        <f t="shared" si="123"/>
        <v>399</v>
      </c>
      <c r="X437" s="181">
        <f t="shared" si="124"/>
        <v>1</v>
      </c>
      <c r="Y437" s="37">
        <f t="shared" si="125"/>
        <v>1917.1</v>
      </c>
      <c r="Z437" s="181">
        <f t="shared" si="126"/>
        <v>397.5</v>
      </c>
      <c r="AA437" s="127">
        <f t="shared" si="127"/>
        <v>595.21331999999995</v>
      </c>
      <c r="AB437" s="127">
        <f t="shared" si="128"/>
        <v>595.21331999999995</v>
      </c>
      <c r="AC437" s="37">
        <f t="shared" si="116"/>
        <v>3971.2799199999999</v>
      </c>
      <c r="AD437" s="37">
        <f t="shared" si="129"/>
        <v>5888.3799199999994</v>
      </c>
      <c r="AE437" s="181">
        <f t="shared" si="117"/>
        <v>16</v>
      </c>
      <c r="AF437" s="37">
        <f t="shared" si="130"/>
        <v>11232</v>
      </c>
      <c r="AG437" s="181">
        <f t="shared" si="118"/>
        <v>661.9</v>
      </c>
      <c r="AH437" s="111">
        <f t="shared" si="131"/>
        <v>442.31961599999994</v>
      </c>
      <c r="AI437" s="127">
        <f t="shared" si="132"/>
        <v>661.9</v>
      </c>
      <c r="AJ437" s="37">
        <f t="shared" si="119"/>
        <v>4371.3999999999996</v>
      </c>
      <c r="AK437" s="37">
        <f t="shared" si="133"/>
        <v>15603.4</v>
      </c>
      <c r="AL437" s="37">
        <f t="shared" si="121"/>
        <v>14.757844411027568</v>
      </c>
      <c r="AN437" s="37" t="str">
        <f t="shared" si="120"/>
        <v>Pallet</v>
      </c>
      <c r="AO437" s="194">
        <f t="shared" si="134"/>
        <v>16</v>
      </c>
    </row>
    <row r="438" spans="22:41" x14ac:dyDescent="0.2">
      <c r="V438" s="181">
        <f t="shared" si="122"/>
        <v>200</v>
      </c>
      <c r="W438" s="181">
        <f t="shared" si="123"/>
        <v>400</v>
      </c>
      <c r="X438" s="181">
        <f t="shared" si="124"/>
        <v>1</v>
      </c>
      <c r="Y438" s="37">
        <f t="shared" si="125"/>
        <v>1917.1</v>
      </c>
      <c r="Z438" s="181">
        <f t="shared" si="126"/>
        <v>398</v>
      </c>
      <c r="AA438" s="127">
        <f t="shared" si="127"/>
        <v>595.21331999999995</v>
      </c>
      <c r="AB438" s="127">
        <f t="shared" si="128"/>
        <v>595.21331999999995</v>
      </c>
      <c r="AC438" s="37">
        <f t="shared" si="116"/>
        <v>3971.2799199999999</v>
      </c>
      <c r="AD438" s="37">
        <f t="shared" si="129"/>
        <v>5888.3799199999994</v>
      </c>
      <c r="AE438" s="181">
        <f t="shared" si="117"/>
        <v>16</v>
      </c>
      <c r="AF438" s="37">
        <f t="shared" si="130"/>
        <v>11232</v>
      </c>
      <c r="AG438" s="181">
        <f t="shared" si="118"/>
        <v>662.4</v>
      </c>
      <c r="AH438" s="111">
        <f t="shared" si="131"/>
        <v>442.31961599999994</v>
      </c>
      <c r="AI438" s="127">
        <f t="shared" si="132"/>
        <v>662.4</v>
      </c>
      <c r="AJ438" s="37">
        <f t="shared" si="119"/>
        <v>4374.3999999999996</v>
      </c>
      <c r="AK438" s="37">
        <f t="shared" si="133"/>
        <v>15606.4</v>
      </c>
      <c r="AL438" s="37">
        <f t="shared" si="121"/>
        <v>14.720949799999998</v>
      </c>
      <c r="AN438" s="37" t="str">
        <f t="shared" si="120"/>
        <v>Pallet</v>
      </c>
      <c r="AO438" s="194">
        <f t="shared" si="134"/>
        <v>16</v>
      </c>
    </row>
    <row r="439" spans="22:41" x14ac:dyDescent="0.2">
      <c r="V439" s="181">
        <f t="shared" si="122"/>
        <v>200.5</v>
      </c>
      <c r="W439" s="181">
        <f t="shared" si="123"/>
        <v>401</v>
      </c>
      <c r="X439" s="181">
        <f t="shared" si="124"/>
        <v>1</v>
      </c>
      <c r="Y439" s="37">
        <f t="shared" si="125"/>
        <v>1917.1</v>
      </c>
      <c r="Z439" s="181">
        <f t="shared" si="126"/>
        <v>398.5</v>
      </c>
      <c r="AA439" s="127">
        <f t="shared" si="127"/>
        <v>595.21331999999995</v>
      </c>
      <c r="AB439" s="127">
        <f t="shared" si="128"/>
        <v>595.21331999999995</v>
      </c>
      <c r="AC439" s="37">
        <f t="shared" si="116"/>
        <v>3971.2799199999999</v>
      </c>
      <c r="AD439" s="37">
        <f t="shared" si="129"/>
        <v>5888.3799199999994</v>
      </c>
      <c r="AE439" s="181">
        <f t="shared" si="117"/>
        <v>16</v>
      </c>
      <c r="AF439" s="37">
        <f t="shared" si="130"/>
        <v>11232</v>
      </c>
      <c r="AG439" s="181">
        <f t="shared" si="118"/>
        <v>662.9</v>
      </c>
      <c r="AH439" s="111">
        <f t="shared" si="131"/>
        <v>442.31961599999994</v>
      </c>
      <c r="AI439" s="127">
        <f t="shared" si="132"/>
        <v>662.9</v>
      </c>
      <c r="AJ439" s="37">
        <f t="shared" si="119"/>
        <v>4377.3999999999996</v>
      </c>
      <c r="AK439" s="37">
        <f t="shared" si="133"/>
        <v>15609.4</v>
      </c>
      <c r="AL439" s="37">
        <f t="shared" si="121"/>
        <v>14.684239201995011</v>
      </c>
      <c r="AN439" s="37" t="str">
        <f t="shared" si="120"/>
        <v>Pallet</v>
      </c>
      <c r="AO439" s="194">
        <f t="shared" si="134"/>
        <v>16</v>
      </c>
    </row>
    <row r="440" spans="22:41" x14ac:dyDescent="0.2">
      <c r="V440" s="181">
        <f t="shared" si="122"/>
        <v>201</v>
      </c>
      <c r="W440" s="181">
        <f t="shared" si="123"/>
        <v>402</v>
      </c>
      <c r="X440" s="181">
        <f t="shared" si="124"/>
        <v>1</v>
      </c>
      <c r="Y440" s="37">
        <f t="shared" si="125"/>
        <v>1917.1</v>
      </c>
      <c r="Z440" s="181">
        <f t="shared" si="126"/>
        <v>399</v>
      </c>
      <c r="AA440" s="127">
        <f t="shared" si="127"/>
        <v>595.21331999999995</v>
      </c>
      <c r="AB440" s="127">
        <f t="shared" si="128"/>
        <v>595.21331999999995</v>
      </c>
      <c r="AC440" s="37">
        <f t="shared" si="116"/>
        <v>3971.2799199999999</v>
      </c>
      <c r="AD440" s="37">
        <f t="shared" si="129"/>
        <v>5888.3799199999994</v>
      </c>
      <c r="AE440" s="181">
        <f t="shared" si="117"/>
        <v>16</v>
      </c>
      <c r="AF440" s="37">
        <f t="shared" si="130"/>
        <v>11232</v>
      </c>
      <c r="AG440" s="181">
        <f t="shared" si="118"/>
        <v>663.4</v>
      </c>
      <c r="AH440" s="111">
        <f t="shared" si="131"/>
        <v>442.31961599999994</v>
      </c>
      <c r="AI440" s="127">
        <f t="shared" si="132"/>
        <v>663.4</v>
      </c>
      <c r="AJ440" s="37">
        <f t="shared" si="119"/>
        <v>4380.3999999999996</v>
      </c>
      <c r="AK440" s="37">
        <f t="shared" si="133"/>
        <v>15612.4</v>
      </c>
      <c r="AL440" s="37">
        <f t="shared" si="121"/>
        <v>14.647711243781092</v>
      </c>
      <c r="AN440" s="37" t="str">
        <f t="shared" si="120"/>
        <v>Pallet</v>
      </c>
      <c r="AO440" s="194">
        <f t="shared" si="134"/>
        <v>16</v>
      </c>
    </row>
    <row r="441" spans="22:41" x14ac:dyDescent="0.2">
      <c r="V441" s="181">
        <f t="shared" si="122"/>
        <v>201.5</v>
      </c>
      <c r="W441" s="181">
        <f t="shared" si="123"/>
        <v>403</v>
      </c>
      <c r="X441" s="181">
        <f t="shared" si="124"/>
        <v>1</v>
      </c>
      <c r="Y441" s="37">
        <f t="shared" si="125"/>
        <v>1917.1</v>
      </c>
      <c r="Z441" s="181">
        <f t="shared" si="126"/>
        <v>399.5</v>
      </c>
      <c r="AA441" s="127">
        <f t="shared" si="127"/>
        <v>595.21331999999995</v>
      </c>
      <c r="AB441" s="127">
        <f t="shared" si="128"/>
        <v>595.21331999999995</v>
      </c>
      <c r="AC441" s="37">
        <f t="shared" si="116"/>
        <v>3971.2799199999999</v>
      </c>
      <c r="AD441" s="37">
        <f t="shared" si="129"/>
        <v>5888.3799199999994</v>
      </c>
      <c r="AE441" s="181">
        <f t="shared" si="117"/>
        <v>16</v>
      </c>
      <c r="AF441" s="37">
        <f t="shared" si="130"/>
        <v>11232</v>
      </c>
      <c r="AG441" s="181">
        <f t="shared" si="118"/>
        <v>663.9</v>
      </c>
      <c r="AH441" s="111">
        <f t="shared" si="131"/>
        <v>442.31961599999994</v>
      </c>
      <c r="AI441" s="127">
        <f t="shared" si="132"/>
        <v>663.9</v>
      </c>
      <c r="AJ441" s="37">
        <f t="shared" si="119"/>
        <v>4383.3999999999996</v>
      </c>
      <c r="AK441" s="37">
        <f t="shared" si="133"/>
        <v>15615.4</v>
      </c>
      <c r="AL441" s="37">
        <f t="shared" si="121"/>
        <v>14.611364565756823</v>
      </c>
      <c r="AN441" s="37" t="str">
        <f t="shared" si="120"/>
        <v>Pallet</v>
      </c>
      <c r="AO441" s="194">
        <f t="shared" si="134"/>
        <v>16</v>
      </c>
    </row>
    <row r="442" spans="22:41" x14ac:dyDescent="0.2">
      <c r="V442" s="181">
        <f t="shared" si="122"/>
        <v>202</v>
      </c>
      <c r="W442" s="181">
        <f t="shared" si="123"/>
        <v>404</v>
      </c>
      <c r="X442" s="181">
        <f t="shared" si="124"/>
        <v>1</v>
      </c>
      <c r="Y442" s="37">
        <f t="shared" si="125"/>
        <v>1917.1</v>
      </c>
      <c r="Z442" s="181">
        <f t="shared" si="126"/>
        <v>400</v>
      </c>
      <c r="AA442" s="127">
        <f t="shared" si="127"/>
        <v>595.21331999999995</v>
      </c>
      <c r="AB442" s="127">
        <f t="shared" si="128"/>
        <v>595.21331999999995</v>
      </c>
      <c r="AC442" s="37">
        <f t="shared" si="116"/>
        <v>3971.2799199999999</v>
      </c>
      <c r="AD442" s="37">
        <f t="shared" si="129"/>
        <v>5888.3799199999994</v>
      </c>
      <c r="AE442" s="181">
        <f t="shared" si="117"/>
        <v>16</v>
      </c>
      <c r="AF442" s="37">
        <f t="shared" si="130"/>
        <v>11232</v>
      </c>
      <c r="AG442" s="181">
        <f t="shared" si="118"/>
        <v>664.4</v>
      </c>
      <c r="AH442" s="111">
        <f t="shared" si="131"/>
        <v>442.31961599999994</v>
      </c>
      <c r="AI442" s="127">
        <f t="shared" si="132"/>
        <v>664.4</v>
      </c>
      <c r="AJ442" s="37">
        <f t="shared" si="119"/>
        <v>4386.3999999999996</v>
      </c>
      <c r="AK442" s="37">
        <f t="shared" si="133"/>
        <v>15618.4</v>
      </c>
      <c r="AL442" s="37">
        <f t="shared" si="121"/>
        <v>14.575197821782178</v>
      </c>
      <c r="AN442" s="37" t="str">
        <f t="shared" si="120"/>
        <v>Pallet</v>
      </c>
      <c r="AO442" s="194">
        <f t="shared" si="134"/>
        <v>16</v>
      </c>
    </row>
    <row r="443" spans="22:41" x14ac:dyDescent="0.2">
      <c r="V443" s="181">
        <f t="shared" si="122"/>
        <v>202.5</v>
      </c>
      <c r="W443" s="181">
        <f t="shared" si="123"/>
        <v>405</v>
      </c>
      <c r="X443" s="181">
        <f t="shared" si="124"/>
        <v>1</v>
      </c>
      <c r="Y443" s="37">
        <f t="shared" si="125"/>
        <v>1917.1</v>
      </c>
      <c r="Z443" s="181">
        <f t="shared" si="126"/>
        <v>400.5</v>
      </c>
      <c r="AA443" s="127">
        <f t="shared" si="127"/>
        <v>595.21331999999995</v>
      </c>
      <c r="AB443" s="127">
        <f t="shared" si="128"/>
        <v>595.21331999999995</v>
      </c>
      <c r="AC443" s="37">
        <f t="shared" si="116"/>
        <v>3971.2799199999999</v>
      </c>
      <c r="AD443" s="37">
        <f t="shared" si="129"/>
        <v>5888.3799199999994</v>
      </c>
      <c r="AE443" s="181">
        <f t="shared" si="117"/>
        <v>16</v>
      </c>
      <c r="AF443" s="37">
        <f t="shared" si="130"/>
        <v>11232</v>
      </c>
      <c r="AG443" s="181">
        <f t="shared" si="118"/>
        <v>664.9</v>
      </c>
      <c r="AH443" s="111">
        <f t="shared" si="131"/>
        <v>442.31961599999994</v>
      </c>
      <c r="AI443" s="127">
        <f t="shared" si="132"/>
        <v>664.9</v>
      </c>
      <c r="AJ443" s="37">
        <f t="shared" si="119"/>
        <v>4389.3999999999996</v>
      </c>
      <c r="AK443" s="37">
        <f t="shared" si="133"/>
        <v>15621.4</v>
      </c>
      <c r="AL443" s="37">
        <f t="shared" si="121"/>
        <v>14.539209679012345</v>
      </c>
      <c r="AN443" s="37" t="str">
        <f t="shared" si="120"/>
        <v>Pallet</v>
      </c>
      <c r="AO443" s="194">
        <f t="shared" si="134"/>
        <v>16</v>
      </c>
    </row>
    <row r="444" spans="22:41" x14ac:dyDescent="0.2">
      <c r="V444" s="181">
        <f t="shared" si="122"/>
        <v>203</v>
      </c>
      <c r="W444" s="181">
        <f t="shared" si="123"/>
        <v>406</v>
      </c>
      <c r="X444" s="181">
        <f t="shared" si="124"/>
        <v>1</v>
      </c>
      <c r="Y444" s="37">
        <f t="shared" si="125"/>
        <v>1917.1</v>
      </c>
      <c r="Z444" s="181">
        <f t="shared" si="126"/>
        <v>401</v>
      </c>
      <c r="AA444" s="127">
        <f t="shared" si="127"/>
        <v>595.21331999999995</v>
      </c>
      <c r="AB444" s="127">
        <f t="shared" si="128"/>
        <v>595.21331999999995</v>
      </c>
      <c r="AC444" s="37">
        <f t="shared" si="116"/>
        <v>3971.2799199999999</v>
      </c>
      <c r="AD444" s="37">
        <f t="shared" si="129"/>
        <v>5888.3799199999994</v>
      </c>
      <c r="AE444" s="181">
        <f t="shared" si="117"/>
        <v>16</v>
      </c>
      <c r="AF444" s="37">
        <f t="shared" si="130"/>
        <v>11232</v>
      </c>
      <c r="AG444" s="181">
        <f t="shared" si="118"/>
        <v>665.4</v>
      </c>
      <c r="AH444" s="111">
        <f t="shared" si="131"/>
        <v>442.31961599999994</v>
      </c>
      <c r="AI444" s="127">
        <f t="shared" si="132"/>
        <v>665.4</v>
      </c>
      <c r="AJ444" s="37">
        <f t="shared" si="119"/>
        <v>4392.3999999999996</v>
      </c>
      <c r="AK444" s="37">
        <f t="shared" si="133"/>
        <v>15624.4</v>
      </c>
      <c r="AL444" s="37">
        <f t="shared" si="121"/>
        <v>14.503398817733988</v>
      </c>
      <c r="AN444" s="37" t="str">
        <f t="shared" si="120"/>
        <v>Pallet</v>
      </c>
      <c r="AO444" s="194">
        <f t="shared" si="134"/>
        <v>16</v>
      </c>
    </row>
    <row r="445" spans="22:41" x14ac:dyDescent="0.2">
      <c r="V445" s="181">
        <f t="shared" si="122"/>
        <v>203.5</v>
      </c>
      <c r="W445" s="181">
        <f t="shared" si="123"/>
        <v>407</v>
      </c>
      <c r="X445" s="181">
        <f t="shared" si="124"/>
        <v>1</v>
      </c>
      <c r="Y445" s="37">
        <f t="shared" si="125"/>
        <v>1917.1</v>
      </c>
      <c r="Z445" s="181">
        <f t="shared" si="126"/>
        <v>401.5</v>
      </c>
      <c r="AA445" s="127">
        <f t="shared" si="127"/>
        <v>595.21331999999995</v>
      </c>
      <c r="AB445" s="127">
        <f t="shared" si="128"/>
        <v>595.21331999999995</v>
      </c>
      <c r="AC445" s="37">
        <f t="shared" si="116"/>
        <v>3971.2799199999999</v>
      </c>
      <c r="AD445" s="37">
        <f t="shared" si="129"/>
        <v>5888.3799199999994</v>
      </c>
      <c r="AE445" s="181">
        <f t="shared" si="117"/>
        <v>16</v>
      </c>
      <c r="AF445" s="37">
        <f t="shared" si="130"/>
        <v>11232</v>
      </c>
      <c r="AG445" s="181">
        <f t="shared" si="118"/>
        <v>665.9</v>
      </c>
      <c r="AH445" s="111">
        <f t="shared" si="131"/>
        <v>442.31961599999994</v>
      </c>
      <c r="AI445" s="127">
        <f t="shared" si="132"/>
        <v>665.9</v>
      </c>
      <c r="AJ445" s="37">
        <f t="shared" si="119"/>
        <v>4395.3999999999996</v>
      </c>
      <c r="AK445" s="37">
        <f t="shared" si="133"/>
        <v>15627.4</v>
      </c>
      <c r="AL445" s="37">
        <f t="shared" si="121"/>
        <v>14.46776393120393</v>
      </c>
      <c r="AN445" s="37" t="str">
        <f t="shared" si="120"/>
        <v>Pallet</v>
      </c>
      <c r="AO445" s="194">
        <f t="shared" si="134"/>
        <v>16</v>
      </c>
    </row>
    <row r="446" spans="22:41" x14ac:dyDescent="0.2">
      <c r="V446" s="181">
        <f t="shared" si="122"/>
        <v>204</v>
      </c>
      <c r="W446" s="181">
        <f t="shared" si="123"/>
        <v>408</v>
      </c>
      <c r="X446" s="181">
        <f t="shared" si="124"/>
        <v>1</v>
      </c>
      <c r="Y446" s="37">
        <f t="shared" si="125"/>
        <v>1917.1</v>
      </c>
      <c r="Z446" s="181">
        <f t="shared" si="126"/>
        <v>402</v>
      </c>
      <c r="AA446" s="127">
        <f t="shared" si="127"/>
        <v>595.21331999999995</v>
      </c>
      <c r="AB446" s="127">
        <f t="shared" si="128"/>
        <v>595.21331999999995</v>
      </c>
      <c r="AC446" s="37">
        <f t="shared" si="116"/>
        <v>3971.2799199999999</v>
      </c>
      <c r="AD446" s="37">
        <f t="shared" si="129"/>
        <v>5888.3799199999994</v>
      </c>
      <c r="AE446" s="181">
        <f t="shared" si="117"/>
        <v>16</v>
      </c>
      <c r="AF446" s="37">
        <f t="shared" si="130"/>
        <v>11232</v>
      </c>
      <c r="AG446" s="181">
        <f t="shared" si="118"/>
        <v>666.4</v>
      </c>
      <c r="AH446" s="111">
        <f t="shared" si="131"/>
        <v>442.31961599999994</v>
      </c>
      <c r="AI446" s="127">
        <f t="shared" si="132"/>
        <v>666.4</v>
      </c>
      <c r="AJ446" s="37">
        <f t="shared" si="119"/>
        <v>4398.3999999999996</v>
      </c>
      <c r="AK446" s="37">
        <f t="shared" si="133"/>
        <v>15630.4</v>
      </c>
      <c r="AL446" s="37">
        <f t="shared" si="121"/>
        <v>14.432303725490195</v>
      </c>
      <c r="AN446" s="37" t="str">
        <f t="shared" si="120"/>
        <v>Pallet</v>
      </c>
      <c r="AO446" s="194">
        <f t="shared" si="134"/>
        <v>16</v>
      </c>
    </row>
    <row r="447" spans="22:41" x14ac:dyDescent="0.2">
      <c r="V447" s="181">
        <f t="shared" si="122"/>
        <v>204.5</v>
      </c>
      <c r="W447" s="181">
        <f t="shared" si="123"/>
        <v>409</v>
      </c>
      <c r="X447" s="181">
        <f t="shared" si="124"/>
        <v>1</v>
      </c>
      <c r="Y447" s="37">
        <f t="shared" si="125"/>
        <v>1917.1</v>
      </c>
      <c r="Z447" s="181">
        <f t="shared" si="126"/>
        <v>402.5</v>
      </c>
      <c r="AA447" s="127">
        <f t="shared" si="127"/>
        <v>595.21331999999995</v>
      </c>
      <c r="AB447" s="127">
        <f t="shared" si="128"/>
        <v>595.21331999999995</v>
      </c>
      <c r="AC447" s="37">
        <f t="shared" si="116"/>
        <v>3971.2799199999999</v>
      </c>
      <c r="AD447" s="37">
        <f t="shared" si="129"/>
        <v>5888.3799199999994</v>
      </c>
      <c r="AE447" s="181">
        <f t="shared" si="117"/>
        <v>16</v>
      </c>
      <c r="AF447" s="37">
        <f t="shared" si="130"/>
        <v>11232</v>
      </c>
      <c r="AG447" s="181">
        <f t="shared" si="118"/>
        <v>666.9</v>
      </c>
      <c r="AH447" s="111">
        <f t="shared" si="131"/>
        <v>442.31961599999994</v>
      </c>
      <c r="AI447" s="127">
        <f t="shared" si="132"/>
        <v>666.9</v>
      </c>
      <c r="AJ447" s="37">
        <f t="shared" si="119"/>
        <v>4401.3999999999996</v>
      </c>
      <c r="AK447" s="37">
        <f t="shared" si="133"/>
        <v>15633.4</v>
      </c>
      <c r="AL447" s="37">
        <f t="shared" si="121"/>
        <v>14.397016919315401</v>
      </c>
      <c r="AN447" s="37" t="str">
        <f t="shared" si="120"/>
        <v>Pallet</v>
      </c>
      <c r="AO447" s="194">
        <f t="shared" si="134"/>
        <v>16</v>
      </c>
    </row>
    <row r="448" spans="22:41" x14ac:dyDescent="0.2">
      <c r="V448" s="181">
        <f t="shared" si="122"/>
        <v>205</v>
      </c>
      <c r="W448" s="181">
        <f t="shared" si="123"/>
        <v>410</v>
      </c>
      <c r="X448" s="181">
        <f t="shared" si="124"/>
        <v>1</v>
      </c>
      <c r="Y448" s="37">
        <f t="shared" si="125"/>
        <v>1917.1</v>
      </c>
      <c r="Z448" s="181">
        <f t="shared" si="126"/>
        <v>403</v>
      </c>
      <c r="AA448" s="127">
        <f t="shared" si="127"/>
        <v>595.21331999999995</v>
      </c>
      <c r="AB448" s="127">
        <f t="shared" si="128"/>
        <v>595.21331999999995</v>
      </c>
      <c r="AC448" s="37">
        <f t="shared" si="116"/>
        <v>3971.2799199999999</v>
      </c>
      <c r="AD448" s="37">
        <f t="shared" si="129"/>
        <v>5888.3799199999994</v>
      </c>
      <c r="AE448" s="181">
        <f t="shared" si="117"/>
        <v>16</v>
      </c>
      <c r="AF448" s="37">
        <f t="shared" si="130"/>
        <v>11232</v>
      </c>
      <c r="AG448" s="181">
        <f t="shared" si="118"/>
        <v>667.4</v>
      </c>
      <c r="AH448" s="111">
        <f t="shared" si="131"/>
        <v>442.31961599999994</v>
      </c>
      <c r="AI448" s="127">
        <f t="shared" si="132"/>
        <v>667.4</v>
      </c>
      <c r="AJ448" s="37">
        <f t="shared" si="119"/>
        <v>4404.3999999999996</v>
      </c>
      <c r="AK448" s="37">
        <f t="shared" si="133"/>
        <v>15636.4</v>
      </c>
      <c r="AL448" s="37">
        <f t="shared" si="121"/>
        <v>14.361902243902438</v>
      </c>
      <c r="AN448" s="37" t="str">
        <f t="shared" si="120"/>
        <v>Pallet</v>
      </c>
      <c r="AO448" s="194">
        <f t="shared" si="134"/>
        <v>16</v>
      </c>
    </row>
    <row r="449" spans="22:41" x14ac:dyDescent="0.2">
      <c r="V449" s="181">
        <f t="shared" si="122"/>
        <v>205.5</v>
      </c>
      <c r="W449" s="181">
        <f t="shared" si="123"/>
        <v>411</v>
      </c>
      <c r="X449" s="181">
        <f t="shared" si="124"/>
        <v>1</v>
      </c>
      <c r="Y449" s="37">
        <f t="shared" si="125"/>
        <v>1917.1</v>
      </c>
      <c r="Z449" s="181">
        <f t="shared" si="126"/>
        <v>403.5</v>
      </c>
      <c r="AA449" s="127">
        <f t="shared" si="127"/>
        <v>595.21331999999995</v>
      </c>
      <c r="AB449" s="127">
        <f t="shared" si="128"/>
        <v>595.21331999999995</v>
      </c>
      <c r="AC449" s="37">
        <f t="shared" si="116"/>
        <v>3971.2799199999999</v>
      </c>
      <c r="AD449" s="37">
        <f t="shared" si="129"/>
        <v>5888.3799199999994</v>
      </c>
      <c r="AE449" s="181">
        <f t="shared" si="117"/>
        <v>16</v>
      </c>
      <c r="AF449" s="37">
        <f t="shared" si="130"/>
        <v>11232</v>
      </c>
      <c r="AG449" s="181">
        <f t="shared" si="118"/>
        <v>667.9</v>
      </c>
      <c r="AH449" s="111">
        <f t="shared" si="131"/>
        <v>442.31961599999994</v>
      </c>
      <c r="AI449" s="127">
        <f t="shared" si="132"/>
        <v>667.9</v>
      </c>
      <c r="AJ449" s="37">
        <f t="shared" si="119"/>
        <v>4407.3999999999996</v>
      </c>
      <c r="AK449" s="37">
        <f t="shared" si="133"/>
        <v>15639.4</v>
      </c>
      <c r="AL449" s="37">
        <f t="shared" si="121"/>
        <v>14.326958442822383</v>
      </c>
      <c r="AN449" s="37" t="str">
        <f t="shared" si="120"/>
        <v>Pallet</v>
      </c>
      <c r="AO449" s="194">
        <f t="shared" si="134"/>
        <v>16</v>
      </c>
    </row>
    <row r="450" spans="22:41" x14ac:dyDescent="0.2">
      <c r="V450" s="181">
        <f t="shared" si="122"/>
        <v>206</v>
      </c>
      <c r="W450" s="181">
        <f t="shared" si="123"/>
        <v>412</v>
      </c>
      <c r="X450" s="181">
        <f t="shared" si="124"/>
        <v>1</v>
      </c>
      <c r="Y450" s="37">
        <f t="shared" si="125"/>
        <v>1917.1</v>
      </c>
      <c r="Z450" s="181">
        <f t="shared" si="126"/>
        <v>404</v>
      </c>
      <c r="AA450" s="127">
        <f t="shared" si="127"/>
        <v>595.21331999999995</v>
      </c>
      <c r="AB450" s="127">
        <f t="shared" si="128"/>
        <v>595.21331999999995</v>
      </c>
      <c r="AC450" s="37">
        <f t="shared" si="116"/>
        <v>3971.2799199999999</v>
      </c>
      <c r="AD450" s="37">
        <f t="shared" si="129"/>
        <v>5888.3799199999994</v>
      </c>
      <c r="AE450" s="181">
        <f t="shared" si="117"/>
        <v>16</v>
      </c>
      <c r="AF450" s="37">
        <f t="shared" si="130"/>
        <v>11232</v>
      </c>
      <c r="AG450" s="181">
        <f t="shared" si="118"/>
        <v>668.4</v>
      </c>
      <c r="AH450" s="111">
        <f t="shared" si="131"/>
        <v>442.31961599999994</v>
      </c>
      <c r="AI450" s="127">
        <f t="shared" si="132"/>
        <v>668.4</v>
      </c>
      <c r="AJ450" s="37">
        <f t="shared" si="119"/>
        <v>4410.3999999999996</v>
      </c>
      <c r="AK450" s="37">
        <f t="shared" si="133"/>
        <v>15642.4</v>
      </c>
      <c r="AL450" s="37">
        <f t="shared" si="121"/>
        <v>14.292184271844659</v>
      </c>
      <c r="AN450" s="37" t="str">
        <f t="shared" si="120"/>
        <v>Pallet</v>
      </c>
      <c r="AO450" s="194">
        <f t="shared" si="134"/>
        <v>16</v>
      </c>
    </row>
    <row r="451" spans="22:41" x14ac:dyDescent="0.2">
      <c r="V451" s="181">
        <f t="shared" si="122"/>
        <v>206.5</v>
      </c>
      <c r="W451" s="181">
        <f t="shared" si="123"/>
        <v>413</v>
      </c>
      <c r="X451" s="181">
        <f t="shared" si="124"/>
        <v>1</v>
      </c>
      <c r="Y451" s="37">
        <f t="shared" si="125"/>
        <v>1917.1</v>
      </c>
      <c r="Z451" s="181">
        <f t="shared" si="126"/>
        <v>404.5</v>
      </c>
      <c r="AA451" s="127">
        <f t="shared" si="127"/>
        <v>595.21331999999995</v>
      </c>
      <c r="AB451" s="127">
        <f t="shared" si="128"/>
        <v>595.21331999999995</v>
      </c>
      <c r="AC451" s="37">
        <f t="shared" si="116"/>
        <v>3971.2799199999999</v>
      </c>
      <c r="AD451" s="37">
        <f t="shared" si="129"/>
        <v>5888.3799199999994</v>
      </c>
      <c r="AE451" s="181">
        <f t="shared" si="117"/>
        <v>17</v>
      </c>
      <c r="AF451" s="37">
        <f t="shared" si="130"/>
        <v>11934</v>
      </c>
      <c r="AG451" s="181">
        <f t="shared" si="118"/>
        <v>697.8</v>
      </c>
      <c r="AH451" s="111">
        <f t="shared" si="131"/>
        <v>469.96459199999993</v>
      </c>
      <c r="AI451" s="127">
        <f t="shared" si="132"/>
        <v>697.8</v>
      </c>
      <c r="AJ451" s="37">
        <f t="shared" si="119"/>
        <v>4586.7999999999993</v>
      </c>
      <c r="AK451" s="37">
        <f t="shared" si="133"/>
        <v>16520.8</v>
      </c>
      <c r="AL451" s="37">
        <f t="shared" si="121"/>
        <v>14.257578498789345</v>
      </c>
      <c r="AN451" s="37" t="str">
        <f t="shared" si="120"/>
        <v>Pallet</v>
      </c>
      <c r="AO451" s="194">
        <f t="shared" si="134"/>
        <v>16</v>
      </c>
    </row>
    <row r="452" spans="22:41" x14ac:dyDescent="0.2">
      <c r="V452" s="181">
        <f t="shared" si="122"/>
        <v>207</v>
      </c>
      <c r="W452" s="181">
        <f t="shared" si="123"/>
        <v>414</v>
      </c>
      <c r="X452" s="181">
        <f t="shared" si="124"/>
        <v>1</v>
      </c>
      <c r="Y452" s="37">
        <f t="shared" si="125"/>
        <v>1917.1</v>
      </c>
      <c r="Z452" s="181">
        <f t="shared" si="126"/>
        <v>405</v>
      </c>
      <c r="AA452" s="127">
        <f t="shared" si="127"/>
        <v>595.21331999999995</v>
      </c>
      <c r="AB452" s="127">
        <f t="shared" si="128"/>
        <v>595.21331999999995</v>
      </c>
      <c r="AC452" s="37">
        <f t="shared" si="116"/>
        <v>3971.2799199999999</v>
      </c>
      <c r="AD452" s="37">
        <f t="shared" si="129"/>
        <v>5888.3799199999994</v>
      </c>
      <c r="AE452" s="181">
        <f t="shared" si="117"/>
        <v>17</v>
      </c>
      <c r="AF452" s="37">
        <f t="shared" si="130"/>
        <v>11934</v>
      </c>
      <c r="AG452" s="181">
        <f t="shared" si="118"/>
        <v>698.3</v>
      </c>
      <c r="AH452" s="111">
        <f t="shared" si="131"/>
        <v>469.96459199999993</v>
      </c>
      <c r="AI452" s="127">
        <f t="shared" si="132"/>
        <v>698.3</v>
      </c>
      <c r="AJ452" s="37">
        <f t="shared" si="119"/>
        <v>4589.7999999999993</v>
      </c>
      <c r="AK452" s="37">
        <f t="shared" si="133"/>
        <v>16523.8</v>
      </c>
      <c r="AL452" s="37">
        <f t="shared" si="121"/>
        <v>14.223139903381641</v>
      </c>
      <c r="AN452" s="37" t="str">
        <f t="shared" si="120"/>
        <v>Pallet</v>
      </c>
      <c r="AO452" s="194">
        <f t="shared" si="134"/>
        <v>17</v>
      </c>
    </row>
    <row r="453" spans="22:41" x14ac:dyDescent="0.2">
      <c r="V453" s="181">
        <f t="shared" si="122"/>
        <v>207.5</v>
      </c>
      <c r="W453" s="181">
        <f t="shared" si="123"/>
        <v>415</v>
      </c>
      <c r="X453" s="181">
        <f t="shared" si="124"/>
        <v>1</v>
      </c>
      <c r="Y453" s="37">
        <f t="shared" si="125"/>
        <v>1917.1</v>
      </c>
      <c r="Z453" s="181">
        <f t="shared" si="126"/>
        <v>405.5</v>
      </c>
      <c r="AA453" s="127">
        <f t="shared" si="127"/>
        <v>595.21331999999995</v>
      </c>
      <c r="AB453" s="127">
        <f t="shared" si="128"/>
        <v>595.21331999999995</v>
      </c>
      <c r="AC453" s="37">
        <f t="shared" si="116"/>
        <v>3971.2799199999999</v>
      </c>
      <c r="AD453" s="37">
        <f t="shared" si="129"/>
        <v>5888.3799199999994</v>
      </c>
      <c r="AE453" s="181">
        <f t="shared" si="117"/>
        <v>17</v>
      </c>
      <c r="AF453" s="37">
        <f t="shared" si="130"/>
        <v>11934</v>
      </c>
      <c r="AG453" s="181">
        <f t="shared" si="118"/>
        <v>698.8</v>
      </c>
      <c r="AH453" s="111">
        <f t="shared" si="131"/>
        <v>469.96459199999993</v>
      </c>
      <c r="AI453" s="127">
        <f t="shared" si="132"/>
        <v>698.8</v>
      </c>
      <c r="AJ453" s="37">
        <f t="shared" si="119"/>
        <v>4592.7999999999993</v>
      </c>
      <c r="AK453" s="37">
        <f t="shared" si="133"/>
        <v>16526.8</v>
      </c>
      <c r="AL453" s="37">
        <f t="shared" si="121"/>
        <v>14.188867277108432</v>
      </c>
      <c r="AN453" s="37" t="str">
        <f t="shared" si="120"/>
        <v>Pallet</v>
      </c>
      <c r="AO453" s="194">
        <f t="shared" si="134"/>
        <v>17</v>
      </c>
    </row>
    <row r="454" spans="22:41" x14ac:dyDescent="0.2">
      <c r="V454" s="181">
        <f t="shared" si="122"/>
        <v>208</v>
      </c>
      <c r="W454" s="181">
        <f t="shared" si="123"/>
        <v>416</v>
      </c>
      <c r="X454" s="181">
        <f t="shared" si="124"/>
        <v>1</v>
      </c>
      <c r="Y454" s="37">
        <f t="shared" si="125"/>
        <v>1917.1</v>
      </c>
      <c r="Z454" s="181">
        <f t="shared" si="126"/>
        <v>406</v>
      </c>
      <c r="AA454" s="127">
        <f t="shared" si="127"/>
        <v>595.21331999999995</v>
      </c>
      <c r="AB454" s="127">
        <f t="shared" si="128"/>
        <v>595.21331999999995</v>
      </c>
      <c r="AC454" s="37">
        <f t="shared" si="116"/>
        <v>3971.2799199999999</v>
      </c>
      <c r="AD454" s="37">
        <f t="shared" si="129"/>
        <v>5888.3799199999994</v>
      </c>
      <c r="AE454" s="181">
        <f t="shared" si="117"/>
        <v>17</v>
      </c>
      <c r="AF454" s="37">
        <f t="shared" si="130"/>
        <v>11934</v>
      </c>
      <c r="AG454" s="181">
        <f t="shared" si="118"/>
        <v>699.3</v>
      </c>
      <c r="AH454" s="111">
        <f t="shared" si="131"/>
        <v>469.96459199999993</v>
      </c>
      <c r="AI454" s="127">
        <f t="shared" si="132"/>
        <v>699.3</v>
      </c>
      <c r="AJ454" s="37">
        <f t="shared" si="119"/>
        <v>4595.7999999999993</v>
      </c>
      <c r="AK454" s="37">
        <f t="shared" si="133"/>
        <v>16529.8</v>
      </c>
      <c r="AL454" s="37">
        <f t="shared" si="121"/>
        <v>14.154759423076921</v>
      </c>
      <c r="AN454" s="37" t="str">
        <f t="shared" si="120"/>
        <v>Pallet</v>
      </c>
      <c r="AO454" s="194">
        <f t="shared" si="134"/>
        <v>17</v>
      </c>
    </row>
    <row r="455" spans="22:41" x14ac:dyDescent="0.2">
      <c r="V455" s="181">
        <f t="shared" si="122"/>
        <v>208.5</v>
      </c>
      <c r="W455" s="181">
        <f t="shared" si="123"/>
        <v>417</v>
      </c>
      <c r="X455" s="181">
        <f t="shared" si="124"/>
        <v>1</v>
      </c>
      <c r="Y455" s="37">
        <f t="shared" si="125"/>
        <v>1917.1</v>
      </c>
      <c r="Z455" s="181">
        <f t="shared" si="126"/>
        <v>406.5</v>
      </c>
      <c r="AA455" s="127">
        <f t="shared" si="127"/>
        <v>595.21331999999995</v>
      </c>
      <c r="AB455" s="127">
        <f t="shared" si="128"/>
        <v>595.21331999999995</v>
      </c>
      <c r="AC455" s="37">
        <f t="shared" si="116"/>
        <v>3971.2799199999999</v>
      </c>
      <c r="AD455" s="37">
        <f t="shared" si="129"/>
        <v>5888.3799199999994</v>
      </c>
      <c r="AE455" s="181">
        <f t="shared" si="117"/>
        <v>17</v>
      </c>
      <c r="AF455" s="37">
        <f t="shared" si="130"/>
        <v>11934</v>
      </c>
      <c r="AG455" s="181">
        <f t="shared" si="118"/>
        <v>699.8</v>
      </c>
      <c r="AH455" s="111">
        <f t="shared" si="131"/>
        <v>469.96459199999993</v>
      </c>
      <c r="AI455" s="127">
        <f t="shared" si="132"/>
        <v>699.8</v>
      </c>
      <c r="AJ455" s="37">
        <f t="shared" si="119"/>
        <v>4598.7999999999993</v>
      </c>
      <c r="AK455" s="37">
        <f t="shared" si="133"/>
        <v>16532.8</v>
      </c>
      <c r="AL455" s="37">
        <f t="shared" si="121"/>
        <v>14.120815155875299</v>
      </c>
      <c r="AN455" s="37" t="str">
        <f t="shared" si="120"/>
        <v>Pallet</v>
      </c>
      <c r="AO455" s="194">
        <f t="shared" si="134"/>
        <v>17</v>
      </c>
    </row>
    <row r="456" spans="22:41" x14ac:dyDescent="0.2">
      <c r="V456" s="181">
        <f t="shared" si="122"/>
        <v>209</v>
      </c>
      <c r="W456" s="181">
        <f t="shared" si="123"/>
        <v>418</v>
      </c>
      <c r="X456" s="181">
        <f t="shared" si="124"/>
        <v>1</v>
      </c>
      <c r="Y456" s="37">
        <f t="shared" si="125"/>
        <v>1917.1</v>
      </c>
      <c r="Z456" s="181">
        <f t="shared" si="126"/>
        <v>407</v>
      </c>
      <c r="AA456" s="127">
        <f t="shared" si="127"/>
        <v>595.21331999999995</v>
      </c>
      <c r="AB456" s="127">
        <f t="shared" si="128"/>
        <v>595.21331999999995</v>
      </c>
      <c r="AC456" s="37">
        <f t="shared" si="116"/>
        <v>3971.2799199999999</v>
      </c>
      <c r="AD456" s="37">
        <f t="shared" si="129"/>
        <v>5888.3799199999994</v>
      </c>
      <c r="AE456" s="181">
        <f t="shared" si="117"/>
        <v>17</v>
      </c>
      <c r="AF456" s="37">
        <f t="shared" si="130"/>
        <v>11934</v>
      </c>
      <c r="AG456" s="181">
        <f t="shared" si="118"/>
        <v>700.3</v>
      </c>
      <c r="AH456" s="111">
        <f t="shared" si="131"/>
        <v>469.96459199999993</v>
      </c>
      <c r="AI456" s="127">
        <f t="shared" si="132"/>
        <v>700.3</v>
      </c>
      <c r="AJ456" s="37">
        <f t="shared" si="119"/>
        <v>4601.7999999999993</v>
      </c>
      <c r="AK456" s="37">
        <f t="shared" si="133"/>
        <v>16535.8</v>
      </c>
      <c r="AL456" s="37">
        <f t="shared" si="121"/>
        <v>14.087033301435405</v>
      </c>
      <c r="AN456" s="37" t="str">
        <f t="shared" si="120"/>
        <v>Pallet</v>
      </c>
      <c r="AO456" s="194">
        <f t="shared" si="134"/>
        <v>17</v>
      </c>
    </row>
    <row r="457" spans="22:41" x14ac:dyDescent="0.2">
      <c r="V457" s="181">
        <f t="shared" si="122"/>
        <v>209.5</v>
      </c>
      <c r="W457" s="181">
        <f t="shared" si="123"/>
        <v>419</v>
      </c>
      <c r="X457" s="181">
        <f t="shared" si="124"/>
        <v>1</v>
      </c>
      <c r="Y457" s="37">
        <f t="shared" si="125"/>
        <v>1917.1</v>
      </c>
      <c r="Z457" s="181">
        <f t="shared" si="126"/>
        <v>407.5</v>
      </c>
      <c r="AA457" s="127">
        <f t="shared" si="127"/>
        <v>595.21331999999995</v>
      </c>
      <c r="AB457" s="127">
        <f t="shared" si="128"/>
        <v>595.21331999999995</v>
      </c>
      <c r="AC457" s="37">
        <f t="shared" si="116"/>
        <v>3971.2799199999999</v>
      </c>
      <c r="AD457" s="37">
        <f t="shared" si="129"/>
        <v>5888.3799199999994</v>
      </c>
      <c r="AE457" s="181">
        <f t="shared" si="117"/>
        <v>17</v>
      </c>
      <c r="AF457" s="37">
        <f t="shared" si="130"/>
        <v>11934</v>
      </c>
      <c r="AG457" s="181">
        <f t="shared" si="118"/>
        <v>700.8</v>
      </c>
      <c r="AH457" s="111">
        <f t="shared" si="131"/>
        <v>469.96459199999993</v>
      </c>
      <c r="AI457" s="127">
        <f t="shared" si="132"/>
        <v>700.8</v>
      </c>
      <c r="AJ457" s="37">
        <f t="shared" si="119"/>
        <v>4604.7999999999993</v>
      </c>
      <c r="AK457" s="37">
        <f t="shared" si="133"/>
        <v>16538.8</v>
      </c>
      <c r="AL457" s="37">
        <f t="shared" si="121"/>
        <v>14.053412696897373</v>
      </c>
      <c r="AN457" s="37" t="str">
        <f t="shared" si="120"/>
        <v>Pallet</v>
      </c>
      <c r="AO457" s="194">
        <f t="shared" si="134"/>
        <v>17</v>
      </c>
    </row>
    <row r="458" spans="22:41" x14ac:dyDescent="0.2">
      <c r="V458" s="181">
        <f t="shared" si="122"/>
        <v>210</v>
      </c>
      <c r="W458" s="181">
        <f t="shared" si="123"/>
        <v>420</v>
      </c>
      <c r="X458" s="181">
        <f t="shared" si="124"/>
        <v>1</v>
      </c>
      <c r="Y458" s="37">
        <f t="shared" si="125"/>
        <v>1917.1</v>
      </c>
      <c r="Z458" s="181">
        <f t="shared" si="126"/>
        <v>408</v>
      </c>
      <c r="AA458" s="127">
        <f t="shared" si="127"/>
        <v>595.21331999999995</v>
      </c>
      <c r="AB458" s="127">
        <f t="shared" si="128"/>
        <v>595.21331999999995</v>
      </c>
      <c r="AC458" s="37">
        <f t="shared" si="116"/>
        <v>3971.2799199999999</v>
      </c>
      <c r="AD458" s="37">
        <f t="shared" si="129"/>
        <v>5888.3799199999994</v>
      </c>
      <c r="AE458" s="181">
        <f t="shared" si="117"/>
        <v>17</v>
      </c>
      <c r="AF458" s="37">
        <f t="shared" si="130"/>
        <v>11934</v>
      </c>
      <c r="AG458" s="181">
        <f t="shared" si="118"/>
        <v>701.3</v>
      </c>
      <c r="AH458" s="111">
        <f t="shared" si="131"/>
        <v>469.96459199999993</v>
      </c>
      <c r="AI458" s="127">
        <f t="shared" si="132"/>
        <v>701.3</v>
      </c>
      <c r="AJ458" s="37">
        <f t="shared" si="119"/>
        <v>4607.7999999999993</v>
      </c>
      <c r="AK458" s="37">
        <f t="shared" si="133"/>
        <v>16541.8</v>
      </c>
      <c r="AL458" s="37">
        <f t="shared" si="121"/>
        <v>14.019952190476189</v>
      </c>
      <c r="AN458" s="37" t="str">
        <f t="shared" si="120"/>
        <v>Pallet</v>
      </c>
      <c r="AO458" s="194">
        <f t="shared" si="134"/>
        <v>17</v>
      </c>
    </row>
    <row r="459" spans="22:41" x14ac:dyDescent="0.2">
      <c r="V459" s="181">
        <f t="shared" si="122"/>
        <v>210.5</v>
      </c>
      <c r="W459" s="181">
        <f t="shared" si="123"/>
        <v>421</v>
      </c>
      <c r="X459" s="181">
        <f t="shared" si="124"/>
        <v>1</v>
      </c>
      <c r="Y459" s="37">
        <f t="shared" si="125"/>
        <v>1917.1</v>
      </c>
      <c r="Z459" s="181">
        <f t="shared" si="126"/>
        <v>408.5</v>
      </c>
      <c r="AA459" s="127">
        <f t="shared" si="127"/>
        <v>595.21331999999995</v>
      </c>
      <c r="AB459" s="127">
        <f t="shared" si="128"/>
        <v>595.21331999999995</v>
      </c>
      <c r="AC459" s="37">
        <f t="shared" si="116"/>
        <v>3971.2799199999999</v>
      </c>
      <c r="AD459" s="37">
        <f t="shared" si="129"/>
        <v>5888.3799199999994</v>
      </c>
      <c r="AE459" s="181">
        <f t="shared" si="117"/>
        <v>17</v>
      </c>
      <c r="AF459" s="37">
        <f t="shared" si="130"/>
        <v>11934</v>
      </c>
      <c r="AG459" s="181">
        <f t="shared" si="118"/>
        <v>701.8</v>
      </c>
      <c r="AH459" s="111">
        <f t="shared" si="131"/>
        <v>469.96459199999993</v>
      </c>
      <c r="AI459" s="127">
        <f t="shared" si="132"/>
        <v>701.8</v>
      </c>
      <c r="AJ459" s="37">
        <f t="shared" si="119"/>
        <v>4610.7999999999993</v>
      </c>
      <c r="AK459" s="37">
        <f t="shared" si="133"/>
        <v>16544.8</v>
      </c>
      <c r="AL459" s="37">
        <f t="shared" si="121"/>
        <v>13.986650641330165</v>
      </c>
      <c r="AN459" s="37" t="str">
        <f t="shared" si="120"/>
        <v>Pallet</v>
      </c>
      <c r="AO459" s="194">
        <f t="shared" si="134"/>
        <v>17</v>
      </c>
    </row>
    <row r="460" spans="22:41" x14ac:dyDescent="0.2">
      <c r="V460" s="181">
        <f t="shared" si="122"/>
        <v>211</v>
      </c>
      <c r="W460" s="181">
        <f t="shared" si="123"/>
        <v>422</v>
      </c>
      <c r="X460" s="181">
        <f t="shared" si="124"/>
        <v>1</v>
      </c>
      <c r="Y460" s="37">
        <f t="shared" si="125"/>
        <v>1917.1</v>
      </c>
      <c r="Z460" s="181">
        <f t="shared" si="126"/>
        <v>409</v>
      </c>
      <c r="AA460" s="127">
        <f t="shared" si="127"/>
        <v>595.21331999999995</v>
      </c>
      <c r="AB460" s="127">
        <f t="shared" si="128"/>
        <v>595.21331999999995</v>
      </c>
      <c r="AC460" s="37">
        <f t="shared" si="116"/>
        <v>3971.2799199999999</v>
      </c>
      <c r="AD460" s="37">
        <f t="shared" si="129"/>
        <v>5888.3799199999994</v>
      </c>
      <c r="AE460" s="181">
        <f t="shared" si="117"/>
        <v>17</v>
      </c>
      <c r="AF460" s="37">
        <f t="shared" si="130"/>
        <v>11934</v>
      </c>
      <c r="AG460" s="181">
        <f t="shared" si="118"/>
        <v>702.3</v>
      </c>
      <c r="AH460" s="111">
        <f t="shared" si="131"/>
        <v>469.96459199999993</v>
      </c>
      <c r="AI460" s="127">
        <f t="shared" si="132"/>
        <v>702.3</v>
      </c>
      <c r="AJ460" s="37">
        <f t="shared" si="119"/>
        <v>4613.7999999999993</v>
      </c>
      <c r="AK460" s="37">
        <f t="shared" si="133"/>
        <v>16547.8</v>
      </c>
      <c r="AL460" s="37">
        <f t="shared" si="121"/>
        <v>13.953506919431279</v>
      </c>
      <c r="AN460" s="37" t="str">
        <f t="shared" si="120"/>
        <v>Pallet</v>
      </c>
      <c r="AO460" s="194">
        <f t="shared" si="134"/>
        <v>17</v>
      </c>
    </row>
    <row r="461" spans="22:41" x14ac:dyDescent="0.2">
      <c r="V461" s="181">
        <f t="shared" si="122"/>
        <v>211.5</v>
      </c>
      <c r="W461" s="181">
        <f t="shared" si="123"/>
        <v>423</v>
      </c>
      <c r="X461" s="181">
        <f t="shared" si="124"/>
        <v>1</v>
      </c>
      <c r="Y461" s="37">
        <f t="shared" si="125"/>
        <v>1917.1</v>
      </c>
      <c r="Z461" s="181">
        <f t="shared" si="126"/>
        <v>409.5</v>
      </c>
      <c r="AA461" s="127">
        <f t="shared" si="127"/>
        <v>595.21331999999995</v>
      </c>
      <c r="AB461" s="127">
        <f t="shared" si="128"/>
        <v>595.21331999999995</v>
      </c>
      <c r="AC461" s="37">
        <f t="shared" si="116"/>
        <v>3971.2799199999999</v>
      </c>
      <c r="AD461" s="37">
        <f t="shared" si="129"/>
        <v>5888.3799199999994</v>
      </c>
      <c r="AE461" s="181">
        <f t="shared" si="117"/>
        <v>17</v>
      </c>
      <c r="AF461" s="37">
        <f t="shared" si="130"/>
        <v>11934</v>
      </c>
      <c r="AG461" s="181">
        <f t="shared" si="118"/>
        <v>702.8</v>
      </c>
      <c r="AH461" s="111">
        <f t="shared" si="131"/>
        <v>469.96459199999993</v>
      </c>
      <c r="AI461" s="127">
        <f t="shared" si="132"/>
        <v>702.8</v>
      </c>
      <c r="AJ461" s="37">
        <f t="shared" si="119"/>
        <v>4616.7999999999993</v>
      </c>
      <c r="AK461" s="37">
        <f t="shared" si="133"/>
        <v>16550.8</v>
      </c>
      <c r="AL461" s="37">
        <f t="shared" si="121"/>
        <v>13.920519905437351</v>
      </c>
      <c r="AN461" s="37" t="str">
        <f t="shared" si="120"/>
        <v>Pallet</v>
      </c>
      <c r="AO461" s="194">
        <f t="shared" si="134"/>
        <v>17</v>
      </c>
    </row>
    <row r="462" spans="22:41" x14ac:dyDescent="0.2">
      <c r="V462" s="181">
        <f t="shared" si="122"/>
        <v>212</v>
      </c>
      <c r="W462" s="181">
        <f t="shared" si="123"/>
        <v>424</v>
      </c>
      <c r="X462" s="181">
        <f t="shared" si="124"/>
        <v>1</v>
      </c>
      <c r="Y462" s="37">
        <f t="shared" si="125"/>
        <v>1917.1</v>
      </c>
      <c r="Z462" s="181">
        <f t="shared" si="126"/>
        <v>410</v>
      </c>
      <c r="AA462" s="127">
        <f t="shared" si="127"/>
        <v>595.21331999999995</v>
      </c>
      <c r="AB462" s="127">
        <f t="shared" si="128"/>
        <v>595.21331999999995</v>
      </c>
      <c r="AC462" s="37">
        <f t="shared" si="116"/>
        <v>3971.2799199999999</v>
      </c>
      <c r="AD462" s="37">
        <f t="shared" si="129"/>
        <v>5888.3799199999994</v>
      </c>
      <c r="AE462" s="181">
        <f t="shared" si="117"/>
        <v>17</v>
      </c>
      <c r="AF462" s="37">
        <f t="shared" si="130"/>
        <v>11934</v>
      </c>
      <c r="AG462" s="181">
        <f t="shared" si="118"/>
        <v>703.3</v>
      </c>
      <c r="AH462" s="111">
        <f t="shared" si="131"/>
        <v>469.96459199999993</v>
      </c>
      <c r="AI462" s="127">
        <f t="shared" si="132"/>
        <v>703.3</v>
      </c>
      <c r="AJ462" s="37">
        <f t="shared" si="119"/>
        <v>4619.7999999999993</v>
      </c>
      <c r="AK462" s="37">
        <f t="shared" si="133"/>
        <v>16553.8</v>
      </c>
      <c r="AL462" s="37">
        <f t="shared" si="121"/>
        <v>13.887688490566036</v>
      </c>
      <c r="AN462" s="37" t="str">
        <f t="shared" si="120"/>
        <v>Pallet</v>
      </c>
      <c r="AO462" s="194">
        <f t="shared" si="134"/>
        <v>17</v>
      </c>
    </row>
    <row r="463" spans="22:41" x14ac:dyDescent="0.2">
      <c r="V463" s="181">
        <f t="shared" si="122"/>
        <v>212.5</v>
      </c>
      <c r="W463" s="181">
        <f t="shared" si="123"/>
        <v>425</v>
      </c>
      <c r="X463" s="181">
        <f t="shared" si="124"/>
        <v>1</v>
      </c>
      <c r="Y463" s="37">
        <f t="shared" si="125"/>
        <v>1917.1</v>
      </c>
      <c r="Z463" s="181">
        <f t="shared" si="126"/>
        <v>410.5</v>
      </c>
      <c r="AA463" s="127">
        <f t="shared" si="127"/>
        <v>595.21331999999995</v>
      </c>
      <c r="AB463" s="127">
        <f t="shared" si="128"/>
        <v>595.21331999999995</v>
      </c>
      <c r="AC463" s="37">
        <f t="shared" si="116"/>
        <v>3971.2799199999999</v>
      </c>
      <c r="AD463" s="37">
        <f t="shared" si="129"/>
        <v>5888.3799199999994</v>
      </c>
      <c r="AE463" s="181">
        <f t="shared" si="117"/>
        <v>17</v>
      </c>
      <c r="AF463" s="37">
        <f t="shared" si="130"/>
        <v>11934</v>
      </c>
      <c r="AG463" s="181">
        <f t="shared" si="118"/>
        <v>703.8</v>
      </c>
      <c r="AH463" s="111">
        <f t="shared" si="131"/>
        <v>469.96459199999993</v>
      </c>
      <c r="AI463" s="127">
        <f t="shared" si="132"/>
        <v>703.8</v>
      </c>
      <c r="AJ463" s="37">
        <f t="shared" si="119"/>
        <v>4622.7999999999993</v>
      </c>
      <c r="AK463" s="37">
        <f t="shared" si="133"/>
        <v>16556.8</v>
      </c>
      <c r="AL463" s="37">
        <f t="shared" si="121"/>
        <v>13.855011576470586</v>
      </c>
      <c r="AN463" s="37" t="str">
        <f t="shared" si="120"/>
        <v>Pallet</v>
      </c>
      <c r="AO463" s="194">
        <f t="shared" si="134"/>
        <v>17</v>
      </c>
    </row>
    <row r="464" spans="22:41" x14ac:dyDescent="0.2">
      <c r="V464" s="181">
        <f t="shared" si="122"/>
        <v>213</v>
      </c>
      <c r="W464" s="181">
        <f t="shared" si="123"/>
        <v>426</v>
      </c>
      <c r="X464" s="181">
        <f t="shared" si="124"/>
        <v>1</v>
      </c>
      <c r="Y464" s="37">
        <f t="shared" si="125"/>
        <v>1917.1</v>
      </c>
      <c r="Z464" s="181">
        <f t="shared" si="126"/>
        <v>411</v>
      </c>
      <c r="AA464" s="127">
        <f t="shared" si="127"/>
        <v>595.21331999999995</v>
      </c>
      <c r="AB464" s="127">
        <f t="shared" si="128"/>
        <v>595.21331999999995</v>
      </c>
      <c r="AC464" s="37">
        <f t="shared" si="116"/>
        <v>3971.2799199999999</v>
      </c>
      <c r="AD464" s="37">
        <f t="shared" si="129"/>
        <v>5888.3799199999994</v>
      </c>
      <c r="AE464" s="181">
        <f t="shared" si="117"/>
        <v>17</v>
      </c>
      <c r="AF464" s="37">
        <f t="shared" si="130"/>
        <v>11934</v>
      </c>
      <c r="AG464" s="181">
        <f t="shared" si="118"/>
        <v>704.3</v>
      </c>
      <c r="AH464" s="111">
        <f t="shared" si="131"/>
        <v>469.96459199999993</v>
      </c>
      <c r="AI464" s="127">
        <f t="shared" si="132"/>
        <v>704.3</v>
      </c>
      <c r="AJ464" s="37">
        <f t="shared" si="119"/>
        <v>4625.7999999999993</v>
      </c>
      <c r="AK464" s="37">
        <f t="shared" si="133"/>
        <v>16559.8</v>
      </c>
      <c r="AL464" s="37">
        <f t="shared" si="121"/>
        <v>13.82248807511737</v>
      </c>
      <c r="AN464" s="37" t="str">
        <f t="shared" si="120"/>
        <v>Pallet</v>
      </c>
      <c r="AO464" s="194">
        <f t="shared" si="134"/>
        <v>17</v>
      </c>
    </row>
    <row r="465" spans="22:41" x14ac:dyDescent="0.2">
      <c r="V465" s="181">
        <f t="shared" si="122"/>
        <v>213.5</v>
      </c>
      <c r="W465" s="181">
        <f t="shared" si="123"/>
        <v>427</v>
      </c>
      <c r="X465" s="181">
        <f t="shared" si="124"/>
        <v>1</v>
      </c>
      <c r="Y465" s="37">
        <f t="shared" si="125"/>
        <v>1917.1</v>
      </c>
      <c r="Z465" s="181">
        <f t="shared" si="126"/>
        <v>411.5</v>
      </c>
      <c r="AA465" s="127">
        <f t="shared" si="127"/>
        <v>595.21331999999995</v>
      </c>
      <c r="AB465" s="127">
        <f t="shared" si="128"/>
        <v>595.21331999999995</v>
      </c>
      <c r="AC465" s="37">
        <f t="shared" si="116"/>
        <v>3971.2799199999999</v>
      </c>
      <c r="AD465" s="37">
        <f t="shared" si="129"/>
        <v>5888.3799199999994</v>
      </c>
      <c r="AE465" s="181">
        <f t="shared" si="117"/>
        <v>17</v>
      </c>
      <c r="AF465" s="37">
        <f t="shared" si="130"/>
        <v>11934</v>
      </c>
      <c r="AG465" s="181">
        <f t="shared" si="118"/>
        <v>704.8</v>
      </c>
      <c r="AH465" s="111">
        <f t="shared" si="131"/>
        <v>469.96459199999993</v>
      </c>
      <c r="AI465" s="127">
        <f t="shared" si="132"/>
        <v>704.8</v>
      </c>
      <c r="AJ465" s="37">
        <f t="shared" si="119"/>
        <v>4628.7999999999993</v>
      </c>
      <c r="AK465" s="37">
        <f t="shared" si="133"/>
        <v>16562.8</v>
      </c>
      <c r="AL465" s="37">
        <f t="shared" si="121"/>
        <v>13.790116908665103</v>
      </c>
      <c r="AN465" s="37" t="str">
        <f t="shared" si="120"/>
        <v>Pallet</v>
      </c>
      <c r="AO465" s="194">
        <f t="shared" si="134"/>
        <v>17</v>
      </c>
    </row>
    <row r="466" spans="22:41" x14ac:dyDescent="0.2">
      <c r="V466" s="181">
        <f t="shared" si="122"/>
        <v>214</v>
      </c>
      <c r="W466" s="181">
        <f t="shared" si="123"/>
        <v>428</v>
      </c>
      <c r="X466" s="181">
        <f t="shared" si="124"/>
        <v>1</v>
      </c>
      <c r="Y466" s="37">
        <f t="shared" si="125"/>
        <v>1917.1</v>
      </c>
      <c r="Z466" s="181">
        <f t="shared" si="126"/>
        <v>412</v>
      </c>
      <c r="AA466" s="127">
        <f t="shared" si="127"/>
        <v>595.21331999999995</v>
      </c>
      <c r="AB466" s="127">
        <f t="shared" si="128"/>
        <v>595.21331999999995</v>
      </c>
      <c r="AC466" s="37">
        <f t="shared" si="116"/>
        <v>3971.2799199999999</v>
      </c>
      <c r="AD466" s="37">
        <f t="shared" si="129"/>
        <v>5888.3799199999994</v>
      </c>
      <c r="AE466" s="181">
        <f t="shared" si="117"/>
        <v>17</v>
      </c>
      <c r="AF466" s="37">
        <f t="shared" si="130"/>
        <v>11934</v>
      </c>
      <c r="AG466" s="181">
        <f t="shared" si="118"/>
        <v>705.3</v>
      </c>
      <c r="AH466" s="111">
        <f t="shared" si="131"/>
        <v>469.96459199999993</v>
      </c>
      <c r="AI466" s="127">
        <f t="shared" si="132"/>
        <v>705.3</v>
      </c>
      <c r="AJ466" s="37">
        <f t="shared" si="119"/>
        <v>4631.7999999999993</v>
      </c>
      <c r="AK466" s="37">
        <f t="shared" si="133"/>
        <v>16565.8</v>
      </c>
      <c r="AL466" s="37">
        <f t="shared" si="121"/>
        <v>13.757897009345793</v>
      </c>
      <c r="AN466" s="37" t="str">
        <f t="shared" si="120"/>
        <v>Pallet</v>
      </c>
      <c r="AO466" s="194">
        <f t="shared" si="134"/>
        <v>17</v>
      </c>
    </row>
    <row r="467" spans="22:41" x14ac:dyDescent="0.2">
      <c r="V467" s="181">
        <f t="shared" si="122"/>
        <v>214.5</v>
      </c>
      <c r="W467" s="181">
        <f t="shared" si="123"/>
        <v>429</v>
      </c>
      <c r="X467" s="181">
        <f t="shared" si="124"/>
        <v>1</v>
      </c>
      <c r="Y467" s="37">
        <f t="shared" si="125"/>
        <v>1917.1</v>
      </c>
      <c r="Z467" s="181">
        <f t="shared" si="126"/>
        <v>412.5</v>
      </c>
      <c r="AA467" s="127">
        <f t="shared" si="127"/>
        <v>595.21331999999995</v>
      </c>
      <c r="AB467" s="127">
        <f t="shared" si="128"/>
        <v>595.21331999999995</v>
      </c>
      <c r="AC467" s="37">
        <f t="shared" si="116"/>
        <v>3971.2799199999999</v>
      </c>
      <c r="AD467" s="37">
        <f t="shared" si="129"/>
        <v>5888.3799199999994</v>
      </c>
      <c r="AE467" s="181">
        <f t="shared" si="117"/>
        <v>17</v>
      </c>
      <c r="AF467" s="37">
        <f t="shared" si="130"/>
        <v>11934</v>
      </c>
      <c r="AG467" s="181">
        <f t="shared" si="118"/>
        <v>705.8</v>
      </c>
      <c r="AH467" s="111">
        <f t="shared" si="131"/>
        <v>469.96459199999993</v>
      </c>
      <c r="AI467" s="127">
        <f t="shared" si="132"/>
        <v>705.8</v>
      </c>
      <c r="AJ467" s="37">
        <f t="shared" si="119"/>
        <v>4634.7999999999993</v>
      </c>
      <c r="AK467" s="37">
        <f t="shared" si="133"/>
        <v>16568.8</v>
      </c>
      <c r="AL467" s="37">
        <f t="shared" si="121"/>
        <v>13.725827319347317</v>
      </c>
      <c r="AN467" s="37" t="str">
        <f t="shared" si="120"/>
        <v>Pallet</v>
      </c>
      <c r="AO467" s="194">
        <f t="shared" si="134"/>
        <v>17</v>
      </c>
    </row>
    <row r="468" spans="22:41" x14ac:dyDescent="0.2">
      <c r="V468" s="181">
        <f t="shared" si="122"/>
        <v>215</v>
      </c>
      <c r="W468" s="181">
        <f t="shared" si="123"/>
        <v>430</v>
      </c>
      <c r="X468" s="181">
        <f t="shared" si="124"/>
        <v>1</v>
      </c>
      <c r="Y468" s="37">
        <f t="shared" si="125"/>
        <v>1917.1</v>
      </c>
      <c r="Z468" s="181">
        <f t="shared" si="126"/>
        <v>413</v>
      </c>
      <c r="AA468" s="127">
        <f t="shared" si="127"/>
        <v>595.21331999999995</v>
      </c>
      <c r="AB468" s="127">
        <f t="shared" si="128"/>
        <v>595.21331999999995</v>
      </c>
      <c r="AC468" s="37">
        <f t="shared" si="116"/>
        <v>3971.2799199999999</v>
      </c>
      <c r="AD468" s="37">
        <f t="shared" si="129"/>
        <v>5888.3799199999994</v>
      </c>
      <c r="AE468" s="181">
        <f t="shared" si="117"/>
        <v>17</v>
      </c>
      <c r="AF468" s="37">
        <f t="shared" si="130"/>
        <v>11934</v>
      </c>
      <c r="AG468" s="181">
        <f t="shared" si="118"/>
        <v>706.3</v>
      </c>
      <c r="AH468" s="111">
        <f t="shared" si="131"/>
        <v>469.96459199999993</v>
      </c>
      <c r="AI468" s="127">
        <f t="shared" si="132"/>
        <v>706.3</v>
      </c>
      <c r="AJ468" s="37">
        <f t="shared" si="119"/>
        <v>4637.7999999999993</v>
      </c>
      <c r="AK468" s="37">
        <f t="shared" si="133"/>
        <v>16571.8</v>
      </c>
      <c r="AL468" s="37">
        <f t="shared" si="121"/>
        <v>13.693906790697673</v>
      </c>
      <c r="AN468" s="37" t="str">
        <f t="shared" si="120"/>
        <v>Pallet</v>
      </c>
      <c r="AO468" s="194">
        <f t="shared" si="134"/>
        <v>17</v>
      </c>
    </row>
    <row r="469" spans="22:41" x14ac:dyDescent="0.2">
      <c r="V469" s="181">
        <f t="shared" si="122"/>
        <v>215.5</v>
      </c>
      <c r="W469" s="181">
        <f t="shared" si="123"/>
        <v>431</v>
      </c>
      <c r="X469" s="181">
        <f t="shared" si="124"/>
        <v>1</v>
      </c>
      <c r="Y469" s="37">
        <f t="shared" si="125"/>
        <v>1917.1</v>
      </c>
      <c r="Z469" s="181">
        <f t="shared" si="126"/>
        <v>413.5</v>
      </c>
      <c r="AA469" s="127">
        <f t="shared" si="127"/>
        <v>595.21331999999995</v>
      </c>
      <c r="AB469" s="127">
        <f t="shared" si="128"/>
        <v>595.21331999999995</v>
      </c>
      <c r="AC469" s="37">
        <f t="shared" si="116"/>
        <v>3971.2799199999999</v>
      </c>
      <c r="AD469" s="37">
        <f t="shared" si="129"/>
        <v>5888.3799199999994</v>
      </c>
      <c r="AE469" s="181">
        <f t="shared" si="117"/>
        <v>17</v>
      </c>
      <c r="AF469" s="37">
        <f t="shared" si="130"/>
        <v>11934</v>
      </c>
      <c r="AG469" s="181">
        <f t="shared" si="118"/>
        <v>706.8</v>
      </c>
      <c r="AH469" s="111">
        <f t="shared" si="131"/>
        <v>469.96459199999993</v>
      </c>
      <c r="AI469" s="127">
        <f t="shared" si="132"/>
        <v>706.8</v>
      </c>
      <c r="AJ469" s="37">
        <f t="shared" si="119"/>
        <v>4640.7999999999993</v>
      </c>
      <c r="AK469" s="37">
        <f t="shared" si="133"/>
        <v>16574.8</v>
      </c>
      <c r="AL469" s="37">
        <f t="shared" si="121"/>
        <v>13.662134385150811</v>
      </c>
      <c r="AN469" s="37" t="str">
        <f t="shared" si="120"/>
        <v>Pallet</v>
      </c>
      <c r="AO469" s="194">
        <f t="shared" si="134"/>
        <v>17</v>
      </c>
    </row>
    <row r="470" spans="22:41" x14ac:dyDescent="0.2">
      <c r="V470" s="181">
        <f t="shared" si="122"/>
        <v>216</v>
      </c>
      <c r="W470" s="181">
        <f t="shared" si="123"/>
        <v>432</v>
      </c>
      <c r="X470" s="181">
        <f t="shared" si="124"/>
        <v>1</v>
      </c>
      <c r="Y470" s="37">
        <f t="shared" si="125"/>
        <v>1917.1</v>
      </c>
      <c r="Z470" s="181">
        <f t="shared" si="126"/>
        <v>414</v>
      </c>
      <c r="AA470" s="127">
        <f t="shared" si="127"/>
        <v>595.21331999999995</v>
      </c>
      <c r="AB470" s="127">
        <f t="shared" si="128"/>
        <v>595.21331999999995</v>
      </c>
      <c r="AC470" s="37">
        <f t="shared" si="116"/>
        <v>3971.2799199999999</v>
      </c>
      <c r="AD470" s="37">
        <f t="shared" si="129"/>
        <v>5888.3799199999994</v>
      </c>
      <c r="AE470" s="181">
        <f t="shared" si="117"/>
        <v>17</v>
      </c>
      <c r="AF470" s="37">
        <f t="shared" si="130"/>
        <v>11934</v>
      </c>
      <c r="AG470" s="181">
        <f t="shared" si="118"/>
        <v>707.3</v>
      </c>
      <c r="AH470" s="111">
        <f t="shared" si="131"/>
        <v>469.96459199999993</v>
      </c>
      <c r="AI470" s="127">
        <f t="shared" si="132"/>
        <v>707.3</v>
      </c>
      <c r="AJ470" s="37">
        <f t="shared" si="119"/>
        <v>4643.7999999999993</v>
      </c>
      <c r="AK470" s="37">
        <f t="shared" si="133"/>
        <v>16577.8</v>
      </c>
      <c r="AL470" s="37">
        <f t="shared" si="121"/>
        <v>13.630509074074073</v>
      </c>
      <c r="AN470" s="37" t="str">
        <f t="shared" si="120"/>
        <v>Pallet</v>
      </c>
      <c r="AO470" s="194">
        <f t="shared" si="134"/>
        <v>17</v>
      </c>
    </row>
    <row r="471" spans="22:41" x14ac:dyDescent="0.2">
      <c r="V471" s="181">
        <f t="shared" si="122"/>
        <v>216.5</v>
      </c>
      <c r="W471" s="181">
        <f t="shared" si="123"/>
        <v>433</v>
      </c>
      <c r="X471" s="181">
        <f t="shared" si="124"/>
        <v>1</v>
      </c>
      <c r="Y471" s="37">
        <f t="shared" si="125"/>
        <v>1917.1</v>
      </c>
      <c r="Z471" s="181">
        <f t="shared" si="126"/>
        <v>414.5</v>
      </c>
      <c r="AA471" s="127">
        <f t="shared" si="127"/>
        <v>595.21331999999995</v>
      </c>
      <c r="AB471" s="127">
        <f t="shared" si="128"/>
        <v>595.21331999999995</v>
      </c>
      <c r="AC471" s="37">
        <f t="shared" si="116"/>
        <v>3971.2799199999999</v>
      </c>
      <c r="AD471" s="37">
        <f t="shared" si="129"/>
        <v>5888.3799199999994</v>
      </c>
      <c r="AE471" s="181">
        <f t="shared" si="117"/>
        <v>17</v>
      </c>
      <c r="AF471" s="37">
        <f t="shared" si="130"/>
        <v>11934</v>
      </c>
      <c r="AG471" s="181">
        <f t="shared" si="118"/>
        <v>707.8</v>
      </c>
      <c r="AH471" s="111">
        <f t="shared" si="131"/>
        <v>469.96459199999993</v>
      </c>
      <c r="AI471" s="127">
        <f t="shared" si="132"/>
        <v>707.8</v>
      </c>
      <c r="AJ471" s="37">
        <f t="shared" si="119"/>
        <v>4646.7999999999993</v>
      </c>
      <c r="AK471" s="37">
        <f t="shared" si="133"/>
        <v>16580.8</v>
      </c>
      <c r="AL471" s="37">
        <f t="shared" si="121"/>
        <v>13.599029838337181</v>
      </c>
      <c r="AN471" s="37" t="str">
        <f t="shared" si="120"/>
        <v>Pallet</v>
      </c>
      <c r="AO471" s="194">
        <f t="shared" si="134"/>
        <v>17</v>
      </c>
    </row>
    <row r="472" spans="22:41" x14ac:dyDescent="0.2">
      <c r="V472" s="181">
        <f t="shared" si="122"/>
        <v>217</v>
      </c>
      <c r="W472" s="181">
        <f t="shared" si="123"/>
        <v>434</v>
      </c>
      <c r="X472" s="181">
        <f t="shared" si="124"/>
        <v>1</v>
      </c>
      <c r="Y472" s="37">
        <f t="shared" si="125"/>
        <v>1917.1</v>
      </c>
      <c r="Z472" s="181">
        <f t="shared" si="126"/>
        <v>415</v>
      </c>
      <c r="AA472" s="127">
        <f t="shared" si="127"/>
        <v>595.21331999999995</v>
      </c>
      <c r="AB472" s="127">
        <f t="shared" si="128"/>
        <v>595.21331999999995</v>
      </c>
      <c r="AC472" s="37">
        <f t="shared" si="116"/>
        <v>3971.2799199999999</v>
      </c>
      <c r="AD472" s="37">
        <f t="shared" si="129"/>
        <v>5888.3799199999994</v>
      </c>
      <c r="AE472" s="181">
        <f t="shared" si="117"/>
        <v>17</v>
      </c>
      <c r="AF472" s="37">
        <f t="shared" si="130"/>
        <v>11934</v>
      </c>
      <c r="AG472" s="181">
        <f t="shared" si="118"/>
        <v>708.3</v>
      </c>
      <c r="AH472" s="111">
        <f t="shared" si="131"/>
        <v>469.96459199999993</v>
      </c>
      <c r="AI472" s="127">
        <f t="shared" si="132"/>
        <v>708.3</v>
      </c>
      <c r="AJ472" s="37">
        <f t="shared" si="119"/>
        <v>4649.7999999999993</v>
      </c>
      <c r="AK472" s="37">
        <f t="shared" si="133"/>
        <v>16583.8</v>
      </c>
      <c r="AL472" s="37">
        <f t="shared" si="121"/>
        <v>13.567695668202763</v>
      </c>
      <c r="AN472" s="37" t="str">
        <f t="shared" si="120"/>
        <v>Pallet</v>
      </c>
      <c r="AO472" s="194">
        <f t="shared" si="134"/>
        <v>17</v>
      </c>
    </row>
    <row r="473" spans="22:41" x14ac:dyDescent="0.2">
      <c r="V473" s="181">
        <f t="shared" si="122"/>
        <v>217.5</v>
      </c>
      <c r="W473" s="181">
        <f t="shared" si="123"/>
        <v>435</v>
      </c>
      <c r="X473" s="181">
        <f t="shared" si="124"/>
        <v>1</v>
      </c>
      <c r="Y473" s="37">
        <f t="shared" si="125"/>
        <v>1917.1</v>
      </c>
      <c r="Z473" s="181">
        <f t="shared" si="126"/>
        <v>415.5</v>
      </c>
      <c r="AA473" s="127">
        <f t="shared" si="127"/>
        <v>595.21331999999995</v>
      </c>
      <c r="AB473" s="127">
        <f t="shared" si="128"/>
        <v>595.21331999999995</v>
      </c>
      <c r="AC473" s="37">
        <f t="shared" si="116"/>
        <v>3971.2799199999999</v>
      </c>
      <c r="AD473" s="37">
        <f t="shared" si="129"/>
        <v>5888.3799199999994</v>
      </c>
      <c r="AE473" s="181">
        <f t="shared" si="117"/>
        <v>17</v>
      </c>
      <c r="AF473" s="37">
        <f t="shared" si="130"/>
        <v>11934</v>
      </c>
      <c r="AG473" s="181">
        <f t="shared" si="118"/>
        <v>708.8</v>
      </c>
      <c r="AH473" s="111">
        <f t="shared" si="131"/>
        <v>469.96459199999993</v>
      </c>
      <c r="AI473" s="127">
        <f t="shared" si="132"/>
        <v>708.8</v>
      </c>
      <c r="AJ473" s="37">
        <f t="shared" si="119"/>
        <v>4652.7999999999993</v>
      </c>
      <c r="AK473" s="37">
        <f t="shared" si="133"/>
        <v>16586.8</v>
      </c>
      <c r="AL473" s="37">
        <f t="shared" si="121"/>
        <v>13.536505563218389</v>
      </c>
      <c r="AN473" s="37" t="str">
        <f t="shared" si="120"/>
        <v>Pallet</v>
      </c>
      <c r="AO473" s="194">
        <f t="shared" si="134"/>
        <v>17</v>
      </c>
    </row>
    <row r="474" spans="22:41" x14ac:dyDescent="0.2">
      <c r="V474" s="181">
        <f t="shared" si="122"/>
        <v>218</v>
      </c>
      <c r="W474" s="181">
        <f t="shared" si="123"/>
        <v>436</v>
      </c>
      <c r="X474" s="181">
        <f t="shared" si="124"/>
        <v>1</v>
      </c>
      <c r="Y474" s="37">
        <f t="shared" si="125"/>
        <v>1917.1</v>
      </c>
      <c r="Z474" s="181">
        <f t="shared" si="126"/>
        <v>416</v>
      </c>
      <c r="AA474" s="127">
        <f t="shared" si="127"/>
        <v>595.21331999999995</v>
      </c>
      <c r="AB474" s="127">
        <f t="shared" si="128"/>
        <v>595.21331999999995</v>
      </c>
      <c r="AC474" s="37">
        <f t="shared" si="116"/>
        <v>3971.2799199999999</v>
      </c>
      <c r="AD474" s="37">
        <f t="shared" si="129"/>
        <v>5888.3799199999994</v>
      </c>
      <c r="AE474" s="181">
        <f t="shared" si="117"/>
        <v>17</v>
      </c>
      <c r="AF474" s="37">
        <f t="shared" si="130"/>
        <v>11934</v>
      </c>
      <c r="AG474" s="181">
        <f t="shared" si="118"/>
        <v>709.3</v>
      </c>
      <c r="AH474" s="111">
        <f t="shared" si="131"/>
        <v>469.96459199999993</v>
      </c>
      <c r="AI474" s="127">
        <f t="shared" si="132"/>
        <v>709.3</v>
      </c>
      <c r="AJ474" s="37">
        <f t="shared" si="119"/>
        <v>4655.7999999999993</v>
      </c>
      <c r="AK474" s="37">
        <f t="shared" si="133"/>
        <v>16589.8</v>
      </c>
      <c r="AL474" s="37">
        <f t="shared" si="121"/>
        <v>13.50545853211009</v>
      </c>
      <c r="AN474" s="37" t="str">
        <f t="shared" si="120"/>
        <v>Pallet</v>
      </c>
      <c r="AO474" s="194">
        <f t="shared" si="134"/>
        <v>17</v>
      </c>
    </row>
    <row r="475" spans="22:41" x14ac:dyDescent="0.2">
      <c r="V475" s="181">
        <f t="shared" si="122"/>
        <v>218.5</v>
      </c>
      <c r="W475" s="181">
        <f t="shared" si="123"/>
        <v>437</v>
      </c>
      <c r="X475" s="181">
        <f t="shared" si="124"/>
        <v>1</v>
      </c>
      <c r="Y475" s="37">
        <f t="shared" si="125"/>
        <v>1917.1</v>
      </c>
      <c r="Z475" s="181">
        <f t="shared" si="126"/>
        <v>416.5</v>
      </c>
      <c r="AA475" s="127">
        <f t="shared" si="127"/>
        <v>595.21331999999995</v>
      </c>
      <c r="AB475" s="127">
        <f t="shared" si="128"/>
        <v>595.21331999999995</v>
      </c>
      <c r="AC475" s="37">
        <f t="shared" si="116"/>
        <v>3971.2799199999999</v>
      </c>
      <c r="AD475" s="37">
        <f t="shared" si="129"/>
        <v>5888.3799199999994</v>
      </c>
      <c r="AE475" s="181">
        <f t="shared" si="117"/>
        <v>17</v>
      </c>
      <c r="AF475" s="37">
        <f t="shared" si="130"/>
        <v>11934</v>
      </c>
      <c r="AG475" s="181">
        <f t="shared" si="118"/>
        <v>709.8</v>
      </c>
      <c r="AH475" s="111">
        <f t="shared" si="131"/>
        <v>469.96459199999993</v>
      </c>
      <c r="AI475" s="127">
        <f t="shared" si="132"/>
        <v>709.8</v>
      </c>
      <c r="AJ475" s="37">
        <f t="shared" si="119"/>
        <v>4658.7999999999993</v>
      </c>
      <c r="AK475" s="37">
        <f t="shared" si="133"/>
        <v>16592.8</v>
      </c>
      <c r="AL475" s="37">
        <f t="shared" si="121"/>
        <v>13.474553592677344</v>
      </c>
      <c r="AN475" s="37" t="str">
        <f t="shared" si="120"/>
        <v>Pallet</v>
      </c>
      <c r="AO475" s="194">
        <f t="shared" si="134"/>
        <v>17</v>
      </c>
    </row>
    <row r="476" spans="22:41" x14ac:dyDescent="0.2">
      <c r="V476" s="181">
        <f t="shared" si="122"/>
        <v>219</v>
      </c>
      <c r="W476" s="181">
        <f t="shared" si="123"/>
        <v>438</v>
      </c>
      <c r="X476" s="181">
        <f t="shared" si="124"/>
        <v>1</v>
      </c>
      <c r="Y476" s="37">
        <f t="shared" si="125"/>
        <v>1917.1</v>
      </c>
      <c r="Z476" s="181">
        <f t="shared" si="126"/>
        <v>417</v>
      </c>
      <c r="AA476" s="127">
        <f t="shared" si="127"/>
        <v>595.21331999999995</v>
      </c>
      <c r="AB476" s="127">
        <f t="shared" si="128"/>
        <v>595.21331999999995</v>
      </c>
      <c r="AC476" s="37">
        <f t="shared" si="116"/>
        <v>3971.2799199999999</v>
      </c>
      <c r="AD476" s="37">
        <f t="shared" si="129"/>
        <v>5888.3799199999994</v>
      </c>
      <c r="AE476" s="181">
        <f t="shared" si="117"/>
        <v>17</v>
      </c>
      <c r="AF476" s="37">
        <f t="shared" si="130"/>
        <v>11934</v>
      </c>
      <c r="AG476" s="181">
        <f t="shared" si="118"/>
        <v>710.3</v>
      </c>
      <c r="AH476" s="111">
        <f t="shared" si="131"/>
        <v>469.96459199999993</v>
      </c>
      <c r="AI476" s="127">
        <f t="shared" si="132"/>
        <v>710.3</v>
      </c>
      <c r="AJ476" s="37">
        <f t="shared" si="119"/>
        <v>4661.7999999999993</v>
      </c>
      <c r="AK476" s="37">
        <f t="shared" si="133"/>
        <v>16595.8</v>
      </c>
      <c r="AL476" s="37">
        <f t="shared" si="121"/>
        <v>13.443789771689497</v>
      </c>
      <c r="AN476" s="37" t="str">
        <f t="shared" si="120"/>
        <v>Pallet</v>
      </c>
      <c r="AO476" s="194">
        <f t="shared" si="134"/>
        <v>17</v>
      </c>
    </row>
    <row r="477" spans="22:41" x14ac:dyDescent="0.2">
      <c r="V477" s="181">
        <f t="shared" si="122"/>
        <v>219.5</v>
      </c>
      <c r="W477" s="181">
        <f t="shared" si="123"/>
        <v>439</v>
      </c>
      <c r="X477" s="181">
        <f t="shared" si="124"/>
        <v>1</v>
      </c>
      <c r="Y477" s="37">
        <f t="shared" si="125"/>
        <v>1917.1</v>
      </c>
      <c r="Z477" s="181">
        <f t="shared" si="126"/>
        <v>417.5</v>
      </c>
      <c r="AA477" s="127">
        <f t="shared" si="127"/>
        <v>595.21331999999995</v>
      </c>
      <c r="AB477" s="127">
        <f t="shared" si="128"/>
        <v>595.21331999999995</v>
      </c>
      <c r="AC477" s="37">
        <f t="shared" si="116"/>
        <v>3971.2799199999999</v>
      </c>
      <c r="AD477" s="37">
        <f t="shared" si="129"/>
        <v>5888.3799199999994</v>
      </c>
      <c r="AE477" s="181">
        <f t="shared" si="117"/>
        <v>18</v>
      </c>
      <c r="AF477" s="37">
        <f t="shared" si="130"/>
        <v>12636</v>
      </c>
      <c r="AG477" s="181">
        <f t="shared" si="118"/>
        <v>739.69999999999993</v>
      </c>
      <c r="AH477" s="111">
        <f t="shared" si="131"/>
        <v>497.60956799999991</v>
      </c>
      <c r="AI477" s="127">
        <f t="shared" si="132"/>
        <v>739.69999999999993</v>
      </c>
      <c r="AJ477" s="37">
        <f t="shared" si="119"/>
        <v>4838.2</v>
      </c>
      <c r="AK477" s="37">
        <f t="shared" si="133"/>
        <v>17474.2</v>
      </c>
      <c r="AL477" s="37">
        <f t="shared" si="121"/>
        <v>13.413166104783597</v>
      </c>
      <c r="AN477" s="37" t="str">
        <f t="shared" si="120"/>
        <v>Pallet</v>
      </c>
      <c r="AO477" s="194">
        <f t="shared" si="134"/>
        <v>17</v>
      </c>
    </row>
    <row r="478" spans="22:41" x14ac:dyDescent="0.2">
      <c r="V478" s="181">
        <f t="shared" si="122"/>
        <v>220</v>
      </c>
      <c r="W478" s="181">
        <f t="shared" si="123"/>
        <v>440</v>
      </c>
      <c r="X478" s="181">
        <f t="shared" si="124"/>
        <v>1</v>
      </c>
      <c r="Y478" s="37">
        <f t="shared" si="125"/>
        <v>1917.1</v>
      </c>
      <c r="Z478" s="181">
        <f t="shared" si="126"/>
        <v>418</v>
      </c>
      <c r="AA478" s="127">
        <f t="shared" si="127"/>
        <v>595.21331999999995</v>
      </c>
      <c r="AB478" s="127">
        <f t="shared" si="128"/>
        <v>595.21331999999995</v>
      </c>
      <c r="AC478" s="37">
        <f t="shared" si="116"/>
        <v>3971.2799199999999</v>
      </c>
      <c r="AD478" s="37">
        <f t="shared" si="129"/>
        <v>5888.3799199999994</v>
      </c>
      <c r="AE478" s="181">
        <f t="shared" si="117"/>
        <v>18</v>
      </c>
      <c r="AF478" s="37">
        <f t="shared" si="130"/>
        <v>12636</v>
      </c>
      <c r="AG478" s="181">
        <f t="shared" si="118"/>
        <v>740.19999999999993</v>
      </c>
      <c r="AH478" s="111">
        <f t="shared" si="131"/>
        <v>497.60956799999991</v>
      </c>
      <c r="AI478" s="127">
        <f t="shared" si="132"/>
        <v>740.19999999999993</v>
      </c>
      <c r="AJ478" s="37">
        <f t="shared" si="119"/>
        <v>4841.2</v>
      </c>
      <c r="AK478" s="37">
        <f t="shared" si="133"/>
        <v>17477.2</v>
      </c>
      <c r="AL478" s="37">
        <f t="shared" si="121"/>
        <v>13.382681636363635</v>
      </c>
      <c r="AN478" s="37" t="str">
        <f t="shared" si="120"/>
        <v>Pallet</v>
      </c>
      <c r="AO478" s="194">
        <f t="shared" si="134"/>
        <v>18</v>
      </c>
    </row>
    <row r="479" spans="22:41" x14ac:dyDescent="0.2">
      <c r="V479" s="181">
        <f t="shared" si="122"/>
        <v>220.5</v>
      </c>
      <c r="W479" s="181">
        <f t="shared" si="123"/>
        <v>441</v>
      </c>
      <c r="X479" s="181">
        <f t="shared" si="124"/>
        <v>1</v>
      </c>
      <c r="Y479" s="37">
        <f t="shared" si="125"/>
        <v>1917.1</v>
      </c>
      <c r="Z479" s="181">
        <f t="shared" si="126"/>
        <v>418.5</v>
      </c>
      <c r="AA479" s="127">
        <f t="shared" si="127"/>
        <v>595.21331999999995</v>
      </c>
      <c r="AB479" s="127">
        <f t="shared" si="128"/>
        <v>595.21331999999995</v>
      </c>
      <c r="AC479" s="37">
        <f t="shared" si="116"/>
        <v>3971.2799199999999</v>
      </c>
      <c r="AD479" s="37">
        <f t="shared" si="129"/>
        <v>5888.3799199999994</v>
      </c>
      <c r="AE479" s="181">
        <f t="shared" si="117"/>
        <v>18</v>
      </c>
      <c r="AF479" s="37">
        <f t="shared" si="130"/>
        <v>12636</v>
      </c>
      <c r="AG479" s="181">
        <f t="shared" si="118"/>
        <v>740.69999999999993</v>
      </c>
      <c r="AH479" s="111">
        <f t="shared" si="131"/>
        <v>497.60956799999991</v>
      </c>
      <c r="AI479" s="127">
        <f t="shared" si="132"/>
        <v>740.69999999999993</v>
      </c>
      <c r="AJ479" s="37">
        <f t="shared" si="119"/>
        <v>4844.2</v>
      </c>
      <c r="AK479" s="37">
        <f t="shared" si="133"/>
        <v>17480.2</v>
      </c>
      <c r="AL479" s="37">
        <f t="shared" si="121"/>
        <v>13.352335419501133</v>
      </c>
      <c r="AN479" s="37" t="str">
        <f t="shared" si="120"/>
        <v>Pallet</v>
      </c>
      <c r="AO479" s="194">
        <f t="shared" si="134"/>
        <v>18</v>
      </c>
    </row>
    <row r="480" spans="22:41" x14ac:dyDescent="0.2">
      <c r="V480" s="181">
        <f t="shared" si="122"/>
        <v>221</v>
      </c>
      <c r="W480" s="181">
        <f t="shared" si="123"/>
        <v>442</v>
      </c>
      <c r="X480" s="181">
        <f t="shared" si="124"/>
        <v>1</v>
      </c>
      <c r="Y480" s="37">
        <f t="shared" si="125"/>
        <v>1917.1</v>
      </c>
      <c r="Z480" s="181">
        <f t="shared" si="126"/>
        <v>419</v>
      </c>
      <c r="AA480" s="127">
        <f t="shared" si="127"/>
        <v>595.21331999999995</v>
      </c>
      <c r="AB480" s="127">
        <f t="shared" si="128"/>
        <v>595.21331999999995</v>
      </c>
      <c r="AC480" s="37">
        <f t="shared" si="116"/>
        <v>3971.2799199999999</v>
      </c>
      <c r="AD480" s="37">
        <f t="shared" si="129"/>
        <v>5888.3799199999994</v>
      </c>
      <c r="AE480" s="181">
        <f t="shared" si="117"/>
        <v>18</v>
      </c>
      <c r="AF480" s="37">
        <f t="shared" si="130"/>
        <v>12636</v>
      </c>
      <c r="AG480" s="181">
        <f t="shared" si="118"/>
        <v>741.19999999999993</v>
      </c>
      <c r="AH480" s="111">
        <f t="shared" si="131"/>
        <v>497.60956799999991</v>
      </c>
      <c r="AI480" s="127">
        <f t="shared" si="132"/>
        <v>741.19999999999993</v>
      </c>
      <c r="AJ480" s="37">
        <f t="shared" si="119"/>
        <v>4847.2</v>
      </c>
      <c r="AK480" s="37">
        <f t="shared" si="133"/>
        <v>17483.2</v>
      </c>
      <c r="AL480" s="37">
        <f t="shared" si="121"/>
        <v>13.322126515837102</v>
      </c>
      <c r="AN480" s="37" t="str">
        <f t="shared" si="120"/>
        <v>Pallet</v>
      </c>
      <c r="AO480" s="194">
        <f t="shared" si="134"/>
        <v>18</v>
      </c>
    </row>
    <row r="481" spans="22:41" x14ac:dyDescent="0.2">
      <c r="V481" s="181">
        <f t="shared" si="122"/>
        <v>221.5</v>
      </c>
      <c r="W481" s="181">
        <f t="shared" si="123"/>
        <v>443</v>
      </c>
      <c r="X481" s="181">
        <f t="shared" si="124"/>
        <v>1</v>
      </c>
      <c r="Y481" s="37">
        <f t="shared" si="125"/>
        <v>1917.1</v>
      </c>
      <c r="Z481" s="181">
        <f t="shared" si="126"/>
        <v>419.5</v>
      </c>
      <c r="AA481" s="127">
        <f t="shared" si="127"/>
        <v>595.21331999999995</v>
      </c>
      <c r="AB481" s="127">
        <f t="shared" si="128"/>
        <v>595.21331999999995</v>
      </c>
      <c r="AC481" s="37">
        <f t="shared" si="116"/>
        <v>3971.2799199999999</v>
      </c>
      <c r="AD481" s="37">
        <f t="shared" si="129"/>
        <v>5888.3799199999994</v>
      </c>
      <c r="AE481" s="181">
        <f t="shared" si="117"/>
        <v>18</v>
      </c>
      <c r="AF481" s="37">
        <f t="shared" si="130"/>
        <v>12636</v>
      </c>
      <c r="AG481" s="181">
        <f t="shared" si="118"/>
        <v>741.69999999999993</v>
      </c>
      <c r="AH481" s="111">
        <f t="shared" si="131"/>
        <v>497.60956799999991</v>
      </c>
      <c r="AI481" s="127">
        <f t="shared" si="132"/>
        <v>741.69999999999993</v>
      </c>
      <c r="AJ481" s="37">
        <f t="shared" si="119"/>
        <v>4850.2</v>
      </c>
      <c r="AK481" s="37">
        <f t="shared" si="133"/>
        <v>17486.2</v>
      </c>
      <c r="AL481" s="37">
        <f t="shared" si="121"/>
        <v>13.292053995485325</v>
      </c>
      <c r="AN481" s="37" t="str">
        <f t="shared" si="120"/>
        <v>Pallet</v>
      </c>
      <c r="AO481" s="194">
        <f t="shared" si="134"/>
        <v>18</v>
      </c>
    </row>
    <row r="482" spans="22:41" x14ac:dyDescent="0.2">
      <c r="V482" s="181">
        <f t="shared" si="122"/>
        <v>222</v>
      </c>
      <c r="W482" s="181">
        <f t="shared" si="123"/>
        <v>444</v>
      </c>
      <c r="X482" s="181">
        <f t="shared" si="124"/>
        <v>1</v>
      </c>
      <c r="Y482" s="37">
        <f t="shared" si="125"/>
        <v>1917.1</v>
      </c>
      <c r="Z482" s="181">
        <f t="shared" si="126"/>
        <v>420</v>
      </c>
      <c r="AA482" s="127">
        <f t="shared" si="127"/>
        <v>595.21331999999995</v>
      </c>
      <c r="AB482" s="127">
        <f t="shared" si="128"/>
        <v>595.21331999999995</v>
      </c>
      <c r="AC482" s="37">
        <f t="shared" si="116"/>
        <v>3971.2799199999999</v>
      </c>
      <c r="AD482" s="37">
        <f t="shared" si="129"/>
        <v>5888.3799199999994</v>
      </c>
      <c r="AE482" s="181">
        <f t="shared" si="117"/>
        <v>18</v>
      </c>
      <c r="AF482" s="37">
        <f t="shared" si="130"/>
        <v>12636</v>
      </c>
      <c r="AG482" s="181">
        <f t="shared" si="118"/>
        <v>742.19999999999993</v>
      </c>
      <c r="AH482" s="111">
        <f t="shared" si="131"/>
        <v>497.60956799999991</v>
      </c>
      <c r="AI482" s="127">
        <f t="shared" si="132"/>
        <v>742.19999999999993</v>
      </c>
      <c r="AJ482" s="37">
        <f t="shared" si="119"/>
        <v>4853.2</v>
      </c>
      <c r="AK482" s="37">
        <f t="shared" si="133"/>
        <v>17489.2</v>
      </c>
      <c r="AL482" s="37">
        <f t="shared" si="121"/>
        <v>13.262116936936936</v>
      </c>
      <c r="AN482" s="37" t="str">
        <f t="shared" si="120"/>
        <v>Pallet</v>
      </c>
      <c r="AO482" s="194">
        <f t="shared" si="134"/>
        <v>18</v>
      </c>
    </row>
    <row r="483" spans="22:41" x14ac:dyDescent="0.2">
      <c r="V483" s="181">
        <f t="shared" si="122"/>
        <v>222.5</v>
      </c>
      <c r="W483" s="181">
        <f t="shared" si="123"/>
        <v>445</v>
      </c>
      <c r="X483" s="181">
        <f t="shared" si="124"/>
        <v>1</v>
      </c>
      <c r="Y483" s="37">
        <f t="shared" si="125"/>
        <v>1917.1</v>
      </c>
      <c r="Z483" s="181">
        <f t="shared" si="126"/>
        <v>420.5</v>
      </c>
      <c r="AA483" s="127">
        <f t="shared" si="127"/>
        <v>595.21331999999995</v>
      </c>
      <c r="AB483" s="127">
        <f t="shared" si="128"/>
        <v>595.21331999999995</v>
      </c>
      <c r="AC483" s="37">
        <f t="shared" si="116"/>
        <v>3971.2799199999999</v>
      </c>
      <c r="AD483" s="37">
        <f t="shared" si="129"/>
        <v>5888.3799199999994</v>
      </c>
      <c r="AE483" s="181">
        <f t="shared" si="117"/>
        <v>18</v>
      </c>
      <c r="AF483" s="37">
        <f t="shared" si="130"/>
        <v>12636</v>
      </c>
      <c r="AG483" s="181">
        <f t="shared" si="118"/>
        <v>742.69999999999993</v>
      </c>
      <c r="AH483" s="111">
        <f t="shared" si="131"/>
        <v>497.60956799999991</v>
      </c>
      <c r="AI483" s="127">
        <f t="shared" si="132"/>
        <v>742.69999999999993</v>
      </c>
      <c r="AJ483" s="37">
        <f t="shared" si="119"/>
        <v>4856.2</v>
      </c>
      <c r="AK483" s="37">
        <f t="shared" si="133"/>
        <v>17492.2</v>
      </c>
      <c r="AL483" s="37">
        <f t="shared" si="121"/>
        <v>13.23231442696629</v>
      </c>
      <c r="AN483" s="37" t="str">
        <f t="shared" si="120"/>
        <v>Pallet</v>
      </c>
      <c r="AO483" s="194">
        <f t="shared" si="134"/>
        <v>18</v>
      </c>
    </row>
    <row r="484" spans="22:41" x14ac:dyDescent="0.2">
      <c r="V484" s="181">
        <f t="shared" si="122"/>
        <v>223</v>
      </c>
      <c r="W484" s="181">
        <f t="shared" si="123"/>
        <v>446</v>
      </c>
      <c r="X484" s="181">
        <f t="shared" si="124"/>
        <v>1</v>
      </c>
      <c r="Y484" s="37">
        <f t="shared" si="125"/>
        <v>1917.1</v>
      </c>
      <c r="Z484" s="181">
        <f t="shared" si="126"/>
        <v>421</v>
      </c>
      <c r="AA484" s="127">
        <f t="shared" si="127"/>
        <v>595.21331999999995</v>
      </c>
      <c r="AB484" s="127">
        <f t="shared" si="128"/>
        <v>595.21331999999995</v>
      </c>
      <c r="AC484" s="37">
        <f t="shared" si="116"/>
        <v>3971.2799199999999</v>
      </c>
      <c r="AD484" s="37">
        <f t="shared" si="129"/>
        <v>5888.3799199999994</v>
      </c>
      <c r="AE484" s="181">
        <f t="shared" si="117"/>
        <v>18</v>
      </c>
      <c r="AF484" s="37">
        <f t="shared" si="130"/>
        <v>12636</v>
      </c>
      <c r="AG484" s="181">
        <f t="shared" si="118"/>
        <v>743.19999999999993</v>
      </c>
      <c r="AH484" s="111">
        <f t="shared" si="131"/>
        <v>497.60956799999991</v>
      </c>
      <c r="AI484" s="127">
        <f t="shared" si="132"/>
        <v>743.19999999999993</v>
      </c>
      <c r="AJ484" s="37">
        <f t="shared" si="119"/>
        <v>4859.2</v>
      </c>
      <c r="AK484" s="37">
        <f t="shared" si="133"/>
        <v>17495.2</v>
      </c>
      <c r="AL484" s="37">
        <f t="shared" si="121"/>
        <v>13.202645560538116</v>
      </c>
      <c r="AN484" s="37" t="str">
        <f t="shared" si="120"/>
        <v>Pallet</v>
      </c>
      <c r="AO484" s="194">
        <f t="shared" si="134"/>
        <v>18</v>
      </c>
    </row>
    <row r="485" spans="22:41" x14ac:dyDescent="0.2">
      <c r="V485" s="181">
        <f t="shared" si="122"/>
        <v>223.5</v>
      </c>
      <c r="W485" s="181">
        <f t="shared" si="123"/>
        <v>447</v>
      </c>
      <c r="X485" s="181">
        <f t="shared" si="124"/>
        <v>1</v>
      </c>
      <c r="Y485" s="37">
        <f t="shared" si="125"/>
        <v>1917.1</v>
      </c>
      <c r="Z485" s="181">
        <f t="shared" si="126"/>
        <v>421.5</v>
      </c>
      <c r="AA485" s="127">
        <f t="shared" si="127"/>
        <v>595.21331999999995</v>
      </c>
      <c r="AB485" s="127">
        <f t="shared" si="128"/>
        <v>595.21331999999995</v>
      </c>
      <c r="AC485" s="37">
        <f t="shared" si="116"/>
        <v>3971.2799199999999</v>
      </c>
      <c r="AD485" s="37">
        <f t="shared" si="129"/>
        <v>5888.3799199999994</v>
      </c>
      <c r="AE485" s="181">
        <f t="shared" si="117"/>
        <v>18</v>
      </c>
      <c r="AF485" s="37">
        <f t="shared" si="130"/>
        <v>12636</v>
      </c>
      <c r="AG485" s="181">
        <f t="shared" si="118"/>
        <v>743.69999999999993</v>
      </c>
      <c r="AH485" s="111">
        <f t="shared" si="131"/>
        <v>497.60956799999991</v>
      </c>
      <c r="AI485" s="127">
        <f t="shared" si="132"/>
        <v>743.69999999999993</v>
      </c>
      <c r="AJ485" s="37">
        <f t="shared" si="119"/>
        <v>4862.2</v>
      </c>
      <c r="AK485" s="37">
        <f t="shared" si="133"/>
        <v>17498.2</v>
      </c>
      <c r="AL485" s="37">
        <f t="shared" si="121"/>
        <v>13.173109440715882</v>
      </c>
      <c r="AN485" s="37" t="str">
        <f t="shared" si="120"/>
        <v>Pallet</v>
      </c>
      <c r="AO485" s="194">
        <f t="shared" si="134"/>
        <v>18</v>
      </c>
    </row>
    <row r="486" spans="22:41" x14ac:dyDescent="0.2">
      <c r="V486" s="181">
        <f t="shared" si="122"/>
        <v>224</v>
      </c>
      <c r="W486" s="181">
        <f t="shared" si="123"/>
        <v>448</v>
      </c>
      <c r="X486" s="181">
        <f t="shared" si="124"/>
        <v>1</v>
      </c>
      <c r="Y486" s="37">
        <f t="shared" si="125"/>
        <v>1917.1</v>
      </c>
      <c r="Z486" s="181">
        <f t="shared" si="126"/>
        <v>422</v>
      </c>
      <c r="AA486" s="127">
        <f t="shared" si="127"/>
        <v>595.21331999999995</v>
      </c>
      <c r="AB486" s="127">
        <f t="shared" si="128"/>
        <v>595.21331999999995</v>
      </c>
      <c r="AC486" s="37">
        <f t="shared" si="116"/>
        <v>3971.2799199999999</v>
      </c>
      <c r="AD486" s="37">
        <f t="shared" si="129"/>
        <v>5888.3799199999994</v>
      </c>
      <c r="AE486" s="181">
        <f t="shared" si="117"/>
        <v>18</v>
      </c>
      <c r="AF486" s="37">
        <f t="shared" si="130"/>
        <v>12636</v>
      </c>
      <c r="AG486" s="181">
        <f t="shared" si="118"/>
        <v>744.19999999999993</v>
      </c>
      <c r="AH486" s="111">
        <f t="shared" si="131"/>
        <v>497.60956799999991</v>
      </c>
      <c r="AI486" s="127">
        <f t="shared" si="132"/>
        <v>744.19999999999993</v>
      </c>
      <c r="AJ486" s="37">
        <f t="shared" si="119"/>
        <v>4865.2</v>
      </c>
      <c r="AK486" s="37">
        <f t="shared" si="133"/>
        <v>17501.2</v>
      </c>
      <c r="AL486" s="37">
        <f t="shared" si="121"/>
        <v>13.143705178571427</v>
      </c>
      <c r="AN486" s="37" t="str">
        <f t="shared" si="120"/>
        <v>Pallet</v>
      </c>
      <c r="AO486" s="194">
        <f t="shared" si="134"/>
        <v>18</v>
      </c>
    </row>
    <row r="487" spans="22:41" x14ac:dyDescent="0.2">
      <c r="V487" s="181">
        <f t="shared" si="122"/>
        <v>224.5</v>
      </c>
      <c r="W487" s="181">
        <f t="shared" si="123"/>
        <v>449</v>
      </c>
      <c r="X487" s="181">
        <f t="shared" si="124"/>
        <v>1</v>
      </c>
      <c r="Y487" s="37">
        <f t="shared" si="125"/>
        <v>1917.1</v>
      </c>
      <c r="Z487" s="181">
        <f t="shared" si="126"/>
        <v>422.5</v>
      </c>
      <c r="AA487" s="127">
        <f t="shared" si="127"/>
        <v>595.21331999999995</v>
      </c>
      <c r="AB487" s="127">
        <f t="shared" si="128"/>
        <v>595.21331999999995</v>
      </c>
      <c r="AC487" s="37">
        <f t="shared" ref="AC487:AC550" si="135">(Shipping_perkg_first100*100)+((AB487-100)*Shipping_perkg_above100)</f>
        <v>3971.2799199999999</v>
      </c>
      <c r="AD487" s="37">
        <f t="shared" si="129"/>
        <v>5888.3799199999994</v>
      </c>
      <c r="AE487" s="181">
        <f t="shared" ref="AE487:AE550" si="136">ROUNDUP(W487/$N$19,0)</f>
        <v>18</v>
      </c>
      <c r="AF487" s="37">
        <f t="shared" si="130"/>
        <v>12636</v>
      </c>
      <c r="AG487" s="181">
        <f t="shared" ref="AG487:AG550" si="137">(AE487*$K$19)+V487</f>
        <v>744.69999999999993</v>
      </c>
      <c r="AH487" s="111">
        <f t="shared" si="131"/>
        <v>497.60956799999991</v>
      </c>
      <c r="AI487" s="127">
        <f t="shared" si="132"/>
        <v>744.69999999999993</v>
      </c>
      <c r="AJ487" s="37">
        <f t="shared" ref="AJ487:AJ550" si="138">IF(AI487&lt;=100,AI487*Shipping_perkg_first100,(Shipping_perkg_first100*100)+((AI487-100)*Shipping_perkg_above100))</f>
        <v>4868.2</v>
      </c>
      <c r="AK487" s="37">
        <f t="shared" si="133"/>
        <v>17504.2</v>
      </c>
      <c r="AL487" s="37">
        <f t="shared" si="121"/>
        <v>13.114431893095768</v>
      </c>
      <c r="AN487" s="37" t="str">
        <f t="shared" ref="AN487:AN552" si="139">IF(AD487&lt;AK487,"Pallet","Parcel")</f>
        <v>Pallet</v>
      </c>
      <c r="AO487" s="194">
        <f t="shared" si="134"/>
        <v>18</v>
      </c>
    </row>
    <row r="488" spans="22:41" x14ac:dyDescent="0.2">
      <c r="V488" s="181">
        <f t="shared" si="122"/>
        <v>225</v>
      </c>
      <c r="W488" s="181">
        <f t="shared" si="123"/>
        <v>450</v>
      </c>
      <c r="X488" s="181">
        <f t="shared" si="124"/>
        <v>1</v>
      </c>
      <c r="Y488" s="37">
        <f t="shared" si="125"/>
        <v>1917.1</v>
      </c>
      <c r="Z488" s="181">
        <f t="shared" si="126"/>
        <v>423</v>
      </c>
      <c r="AA488" s="127">
        <f t="shared" si="127"/>
        <v>595.21331999999995</v>
      </c>
      <c r="AB488" s="127">
        <f t="shared" si="128"/>
        <v>595.21331999999995</v>
      </c>
      <c r="AC488" s="37">
        <f t="shared" si="135"/>
        <v>3971.2799199999999</v>
      </c>
      <c r="AD488" s="37">
        <f t="shared" si="129"/>
        <v>5888.3799199999994</v>
      </c>
      <c r="AE488" s="181">
        <f t="shared" si="136"/>
        <v>18</v>
      </c>
      <c r="AF488" s="37">
        <f t="shared" si="130"/>
        <v>12636</v>
      </c>
      <c r="AG488" s="181">
        <f t="shared" si="137"/>
        <v>745.19999999999993</v>
      </c>
      <c r="AH488" s="111">
        <f t="shared" si="131"/>
        <v>497.60956799999991</v>
      </c>
      <c r="AI488" s="127">
        <f t="shared" si="132"/>
        <v>745.19999999999993</v>
      </c>
      <c r="AJ488" s="37">
        <f t="shared" si="138"/>
        <v>4871.2</v>
      </c>
      <c r="AK488" s="37">
        <f t="shared" si="133"/>
        <v>17507.2</v>
      </c>
      <c r="AL488" s="37">
        <f t="shared" ref="AL488:AL551" si="140">MIN(AD488,AK488)/W488</f>
        <v>13.08528871111111</v>
      </c>
      <c r="AN488" s="37" t="str">
        <f t="shared" si="139"/>
        <v>Pallet</v>
      </c>
      <c r="AO488" s="194">
        <f t="shared" si="134"/>
        <v>18</v>
      </c>
    </row>
    <row r="489" spans="22:41" x14ac:dyDescent="0.2">
      <c r="V489" s="181">
        <f t="shared" ref="V489:V552" si="141">W489*$V$37</f>
        <v>225.5</v>
      </c>
      <c r="W489" s="181">
        <f t="shared" ref="W489:W552" si="142">W488+1</f>
        <v>451</v>
      </c>
      <c r="X489" s="181">
        <f t="shared" ref="X489:X552" si="143">ROUNDUP(W489/$N$29,0)</f>
        <v>1</v>
      </c>
      <c r="Y489" s="37">
        <f t="shared" ref="Y489:Y552" si="144">X489*$P$29</f>
        <v>1917.1</v>
      </c>
      <c r="Z489" s="181">
        <f t="shared" ref="Z489:Z552" si="145">V489+(X489*$K$29)</f>
        <v>423.5</v>
      </c>
      <c r="AA489" s="127">
        <f t="shared" ref="AA489:AA552" si="146">X489*$T$29</f>
        <v>595.21331999999995</v>
      </c>
      <c r="AB489" s="127">
        <f t="shared" ref="AB489:AB552" si="147">MAX(Z489,AA489)</f>
        <v>595.21331999999995</v>
      </c>
      <c r="AC489" s="37">
        <f t="shared" si="135"/>
        <v>3971.2799199999999</v>
      </c>
      <c r="AD489" s="37">
        <f t="shared" ref="AD489:AD552" si="148">Y489+AC489</f>
        <v>5888.3799199999994</v>
      </c>
      <c r="AE489" s="181">
        <f t="shared" si="136"/>
        <v>18</v>
      </c>
      <c r="AF489" s="37">
        <f t="shared" ref="AF489:AF552" si="149">AE489*$P$19</f>
        <v>12636</v>
      </c>
      <c r="AG489" s="181">
        <f t="shared" si="137"/>
        <v>745.69999999999993</v>
      </c>
      <c r="AH489" s="111">
        <f t="shared" ref="AH489:AH552" si="150">AE489*$X$19</f>
        <v>497.60956799999991</v>
      </c>
      <c r="AI489" s="127">
        <f t="shared" ref="AI489:AI552" si="151">MAX(AG489,AH489)</f>
        <v>745.69999999999993</v>
      </c>
      <c r="AJ489" s="37">
        <f t="shared" si="138"/>
        <v>4874.2</v>
      </c>
      <c r="AK489" s="37">
        <f t="shared" ref="AK489:AK552" si="152">AF489+AJ489</f>
        <v>17510.2</v>
      </c>
      <c r="AL489" s="37">
        <f t="shared" si="140"/>
        <v>13.056274767184034</v>
      </c>
      <c r="AN489" s="37" t="str">
        <f t="shared" si="139"/>
        <v>Pallet</v>
      </c>
      <c r="AO489" s="194">
        <f t="shared" ref="AO489:AO552" si="153">AE488</f>
        <v>18</v>
      </c>
    </row>
    <row r="490" spans="22:41" x14ac:dyDescent="0.2">
      <c r="V490" s="181">
        <f t="shared" si="141"/>
        <v>226</v>
      </c>
      <c r="W490" s="181">
        <f t="shared" si="142"/>
        <v>452</v>
      </c>
      <c r="X490" s="181">
        <f t="shared" si="143"/>
        <v>1</v>
      </c>
      <c r="Y490" s="37">
        <f t="shared" si="144"/>
        <v>1917.1</v>
      </c>
      <c r="Z490" s="181">
        <f t="shared" si="145"/>
        <v>424</v>
      </c>
      <c r="AA490" s="127">
        <f t="shared" si="146"/>
        <v>595.21331999999995</v>
      </c>
      <c r="AB490" s="127">
        <f t="shared" si="147"/>
        <v>595.21331999999995</v>
      </c>
      <c r="AC490" s="37">
        <f t="shared" si="135"/>
        <v>3971.2799199999999</v>
      </c>
      <c r="AD490" s="37">
        <f t="shared" si="148"/>
        <v>5888.3799199999994</v>
      </c>
      <c r="AE490" s="181">
        <f t="shared" si="136"/>
        <v>18</v>
      </c>
      <c r="AF490" s="37">
        <f t="shared" si="149"/>
        <v>12636</v>
      </c>
      <c r="AG490" s="181">
        <f t="shared" si="137"/>
        <v>746.19999999999993</v>
      </c>
      <c r="AH490" s="111">
        <f t="shared" si="150"/>
        <v>497.60956799999991</v>
      </c>
      <c r="AI490" s="127">
        <f t="shared" si="151"/>
        <v>746.19999999999993</v>
      </c>
      <c r="AJ490" s="37">
        <f t="shared" si="138"/>
        <v>4877.2</v>
      </c>
      <c r="AK490" s="37">
        <f t="shared" si="152"/>
        <v>17513.2</v>
      </c>
      <c r="AL490" s="37">
        <f t="shared" si="140"/>
        <v>13.027389203539821</v>
      </c>
      <c r="AN490" s="37" t="str">
        <f t="shared" si="139"/>
        <v>Pallet</v>
      </c>
      <c r="AO490" s="194">
        <f t="shared" si="153"/>
        <v>18</v>
      </c>
    </row>
    <row r="491" spans="22:41" x14ac:dyDescent="0.2">
      <c r="V491" s="181">
        <f t="shared" si="141"/>
        <v>226.5</v>
      </c>
      <c r="W491" s="181">
        <f t="shared" si="142"/>
        <v>453</v>
      </c>
      <c r="X491" s="181">
        <f t="shared" si="143"/>
        <v>1</v>
      </c>
      <c r="Y491" s="37">
        <f t="shared" si="144"/>
        <v>1917.1</v>
      </c>
      <c r="Z491" s="181">
        <f t="shared" si="145"/>
        <v>424.5</v>
      </c>
      <c r="AA491" s="127">
        <f t="shared" si="146"/>
        <v>595.21331999999995</v>
      </c>
      <c r="AB491" s="127">
        <f t="shared" si="147"/>
        <v>595.21331999999995</v>
      </c>
      <c r="AC491" s="37">
        <f t="shared" si="135"/>
        <v>3971.2799199999999</v>
      </c>
      <c r="AD491" s="37">
        <f t="shared" si="148"/>
        <v>5888.3799199999994</v>
      </c>
      <c r="AE491" s="181">
        <f t="shared" si="136"/>
        <v>18</v>
      </c>
      <c r="AF491" s="37">
        <f t="shared" si="149"/>
        <v>12636</v>
      </c>
      <c r="AG491" s="181">
        <f t="shared" si="137"/>
        <v>746.69999999999993</v>
      </c>
      <c r="AH491" s="111">
        <f t="shared" si="150"/>
        <v>497.60956799999991</v>
      </c>
      <c r="AI491" s="127">
        <f t="shared" si="151"/>
        <v>746.69999999999993</v>
      </c>
      <c r="AJ491" s="37">
        <f t="shared" si="138"/>
        <v>4880.2</v>
      </c>
      <c r="AK491" s="37">
        <f t="shared" si="152"/>
        <v>17516.2</v>
      </c>
      <c r="AL491" s="37">
        <f t="shared" si="140"/>
        <v>12.998631169977923</v>
      </c>
      <c r="AN491" s="37" t="str">
        <f t="shared" si="139"/>
        <v>Pallet</v>
      </c>
      <c r="AO491" s="194">
        <f t="shared" si="153"/>
        <v>18</v>
      </c>
    </row>
    <row r="492" spans="22:41" x14ac:dyDescent="0.2">
      <c r="V492" s="181">
        <f t="shared" si="141"/>
        <v>227</v>
      </c>
      <c r="W492" s="181">
        <f t="shared" si="142"/>
        <v>454</v>
      </c>
      <c r="X492" s="181">
        <f t="shared" si="143"/>
        <v>1</v>
      </c>
      <c r="Y492" s="37">
        <f t="shared" si="144"/>
        <v>1917.1</v>
      </c>
      <c r="Z492" s="181">
        <f t="shared" si="145"/>
        <v>425</v>
      </c>
      <c r="AA492" s="127">
        <f t="shared" si="146"/>
        <v>595.21331999999995</v>
      </c>
      <c r="AB492" s="127">
        <f t="shared" si="147"/>
        <v>595.21331999999995</v>
      </c>
      <c r="AC492" s="37">
        <f t="shared" si="135"/>
        <v>3971.2799199999999</v>
      </c>
      <c r="AD492" s="37">
        <f t="shared" si="148"/>
        <v>5888.3799199999994</v>
      </c>
      <c r="AE492" s="181">
        <f t="shared" si="136"/>
        <v>18</v>
      </c>
      <c r="AF492" s="37">
        <f t="shared" si="149"/>
        <v>12636</v>
      </c>
      <c r="AG492" s="181">
        <f t="shared" si="137"/>
        <v>747.19999999999993</v>
      </c>
      <c r="AH492" s="111">
        <f t="shared" si="150"/>
        <v>497.60956799999991</v>
      </c>
      <c r="AI492" s="127">
        <f t="shared" si="151"/>
        <v>747.19999999999993</v>
      </c>
      <c r="AJ492" s="37">
        <f t="shared" si="138"/>
        <v>4883.2</v>
      </c>
      <c r="AK492" s="37">
        <f t="shared" si="152"/>
        <v>17519.2</v>
      </c>
      <c r="AL492" s="37">
        <f t="shared" si="140"/>
        <v>12.969999823788545</v>
      </c>
      <c r="AN492" s="37" t="str">
        <f t="shared" si="139"/>
        <v>Pallet</v>
      </c>
      <c r="AO492" s="194">
        <f t="shared" si="153"/>
        <v>18</v>
      </c>
    </row>
    <row r="493" spans="22:41" x14ac:dyDescent="0.2">
      <c r="V493" s="181">
        <f t="shared" si="141"/>
        <v>227.5</v>
      </c>
      <c r="W493" s="181">
        <f t="shared" si="142"/>
        <v>455</v>
      </c>
      <c r="X493" s="181">
        <f t="shared" si="143"/>
        <v>1</v>
      </c>
      <c r="Y493" s="37">
        <f t="shared" si="144"/>
        <v>1917.1</v>
      </c>
      <c r="Z493" s="181">
        <f t="shared" si="145"/>
        <v>425.5</v>
      </c>
      <c r="AA493" s="127">
        <f t="shared" si="146"/>
        <v>595.21331999999995</v>
      </c>
      <c r="AB493" s="127">
        <f t="shared" si="147"/>
        <v>595.21331999999995</v>
      </c>
      <c r="AC493" s="37">
        <f t="shared" si="135"/>
        <v>3971.2799199999999</v>
      </c>
      <c r="AD493" s="37">
        <f t="shared" si="148"/>
        <v>5888.3799199999994</v>
      </c>
      <c r="AE493" s="181">
        <f t="shared" si="136"/>
        <v>18</v>
      </c>
      <c r="AF493" s="37">
        <f t="shared" si="149"/>
        <v>12636</v>
      </c>
      <c r="AG493" s="181">
        <f t="shared" si="137"/>
        <v>747.69999999999993</v>
      </c>
      <c r="AH493" s="111">
        <f t="shared" si="150"/>
        <v>497.60956799999991</v>
      </c>
      <c r="AI493" s="127">
        <f t="shared" si="151"/>
        <v>747.69999999999993</v>
      </c>
      <c r="AJ493" s="37">
        <f t="shared" si="138"/>
        <v>4886.2</v>
      </c>
      <c r="AK493" s="37">
        <f t="shared" si="152"/>
        <v>17522.2</v>
      </c>
      <c r="AL493" s="37">
        <f t="shared" si="140"/>
        <v>12.941494329670329</v>
      </c>
      <c r="AN493" s="37" t="str">
        <f t="shared" si="139"/>
        <v>Pallet</v>
      </c>
      <c r="AO493" s="194">
        <f t="shared" si="153"/>
        <v>18</v>
      </c>
    </row>
    <row r="494" spans="22:41" x14ac:dyDescent="0.2">
      <c r="V494" s="181">
        <f t="shared" si="141"/>
        <v>228</v>
      </c>
      <c r="W494" s="181">
        <f t="shared" si="142"/>
        <v>456</v>
      </c>
      <c r="X494" s="181">
        <f t="shared" si="143"/>
        <v>1</v>
      </c>
      <c r="Y494" s="37">
        <f t="shared" si="144"/>
        <v>1917.1</v>
      </c>
      <c r="Z494" s="181">
        <f t="shared" si="145"/>
        <v>426</v>
      </c>
      <c r="AA494" s="127">
        <f t="shared" si="146"/>
        <v>595.21331999999995</v>
      </c>
      <c r="AB494" s="127">
        <f t="shared" si="147"/>
        <v>595.21331999999995</v>
      </c>
      <c r="AC494" s="37">
        <f t="shared" si="135"/>
        <v>3971.2799199999999</v>
      </c>
      <c r="AD494" s="37">
        <f t="shared" si="148"/>
        <v>5888.3799199999994</v>
      </c>
      <c r="AE494" s="181">
        <f t="shared" si="136"/>
        <v>18</v>
      </c>
      <c r="AF494" s="37">
        <f t="shared" si="149"/>
        <v>12636</v>
      </c>
      <c r="AG494" s="181">
        <f t="shared" si="137"/>
        <v>748.19999999999993</v>
      </c>
      <c r="AH494" s="111">
        <f t="shared" si="150"/>
        <v>497.60956799999991</v>
      </c>
      <c r="AI494" s="127">
        <f t="shared" si="151"/>
        <v>748.19999999999993</v>
      </c>
      <c r="AJ494" s="37">
        <f t="shared" si="138"/>
        <v>4889.2</v>
      </c>
      <c r="AK494" s="37">
        <f t="shared" si="152"/>
        <v>17525.2</v>
      </c>
      <c r="AL494" s="37">
        <f t="shared" si="140"/>
        <v>12.913113859649121</v>
      </c>
      <c r="AN494" s="37" t="str">
        <f t="shared" si="139"/>
        <v>Pallet</v>
      </c>
      <c r="AO494" s="194">
        <f t="shared" si="153"/>
        <v>18</v>
      </c>
    </row>
    <row r="495" spans="22:41" x14ac:dyDescent="0.2">
      <c r="V495" s="181">
        <f t="shared" si="141"/>
        <v>228.5</v>
      </c>
      <c r="W495" s="181">
        <f t="shared" si="142"/>
        <v>457</v>
      </c>
      <c r="X495" s="181">
        <f t="shared" si="143"/>
        <v>1</v>
      </c>
      <c r="Y495" s="37">
        <f t="shared" si="144"/>
        <v>1917.1</v>
      </c>
      <c r="Z495" s="181">
        <f t="shared" si="145"/>
        <v>426.5</v>
      </c>
      <c r="AA495" s="127">
        <f t="shared" si="146"/>
        <v>595.21331999999995</v>
      </c>
      <c r="AB495" s="127">
        <f t="shared" si="147"/>
        <v>595.21331999999995</v>
      </c>
      <c r="AC495" s="37">
        <f t="shared" si="135"/>
        <v>3971.2799199999999</v>
      </c>
      <c r="AD495" s="37">
        <f t="shared" si="148"/>
        <v>5888.3799199999994</v>
      </c>
      <c r="AE495" s="181">
        <f t="shared" si="136"/>
        <v>18</v>
      </c>
      <c r="AF495" s="37">
        <f t="shared" si="149"/>
        <v>12636</v>
      </c>
      <c r="AG495" s="181">
        <f t="shared" si="137"/>
        <v>748.69999999999993</v>
      </c>
      <c r="AH495" s="111">
        <f t="shared" si="150"/>
        <v>497.60956799999991</v>
      </c>
      <c r="AI495" s="127">
        <f t="shared" si="151"/>
        <v>748.69999999999993</v>
      </c>
      <c r="AJ495" s="37">
        <f t="shared" si="138"/>
        <v>4892.2</v>
      </c>
      <c r="AK495" s="37">
        <f t="shared" si="152"/>
        <v>17528.2</v>
      </c>
      <c r="AL495" s="37">
        <f t="shared" si="140"/>
        <v>12.884857592997811</v>
      </c>
      <c r="AN495" s="37" t="str">
        <f t="shared" si="139"/>
        <v>Pallet</v>
      </c>
      <c r="AO495" s="194">
        <f t="shared" si="153"/>
        <v>18</v>
      </c>
    </row>
    <row r="496" spans="22:41" x14ac:dyDescent="0.2">
      <c r="V496" s="181">
        <f t="shared" si="141"/>
        <v>229</v>
      </c>
      <c r="W496" s="181">
        <f t="shared" si="142"/>
        <v>458</v>
      </c>
      <c r="X496" s="181">
        <f t="shared" si="143"/>
        <v>1</v>
      </c>
      <c r="Y496" s="37">
        <f t="shared" si="144"/>
        <v>1917.1</v>
      </c>
      <c r="Z496" s="181">
        <f t="shared" si="145"/>
        <v>427</v>
      </c>
      <c r="AA496" s="127">
        <f t="shared" si="146"/>
        <v>595.21331999999995</v>
      </c>
      <c r="AB496" s="127">
        <f t="shared" si="147"/>
        <v>595.21331999999995</v>
      </c>
      <c r="AC496" s="37">
        <f t="shared" si="135"/>
        <v>3971.2799199999999</v>
      </c>
      <c r="AD496" s="37">
        <f t="shared" si="148"/>
        <v>5888.3799199999994</v>
      </c>
      <c r="AE496" s="181">
        <f t="shared" si="136"/>
        <v>18</v>
      </c>
      <c r="AF496" s="37">
        <f t="shared" si="149"/>
        <v>12636</v>
      </c>
      <c r="AG496" s="181">
        <f t="shared" si="137"/>
        <v>749.19999999999993</v>
      </c>
      <c r="AH496" s="111">
        <f t="shared" si="150"/>
        <v>497.60956799999991</v>
      </c>
      <c r="AI496" s="127">
        <f t="shared" si="151"/>
        <v>749.19999999999993</v>
      </c>
      <c r="AJ496" s="37">
        <f t="shared" si="138"/>
        <v>4895.2</v>
      </c>
      <c r="AK496" s="37">
        <f t="shared" si="152"/>
        <v>17531.2</v>
      </c>
      <c r="AL496" s="37">
        <f t="shared" si="140"/>
        <v>12.856724716157204</v>
      </c>
      <c r="AN496" s="37" t="str">
        <f t="shared" si="139"/>
        <v>Pallet</v>
      </c>
      <c r="AO496" s="194">
        <f t="shared" si="153"/>
        <v>18</v>
      </c>
    </row>
    <row r="497" spans="22:41" x14ac:dyDescent="0.2">
      <c r="V497" s="181">
        <f t="shared" si="141"/>
        <v>229.5</v>
      </c>
      <c r="W497" s="181">
        <f t="shared" si="142"/>
        <v>459</v>
      </c>
      <c r="X497" s="181">
        <f t="shared" si="143"/>
        <v>1</v>
      </c>
      <c r="Y497" s="37">
        <f t="shared" si="144"/>
        <v>1917.1</v>
      </c>
      <c r="Z497" s="181">
        <f t="shared" si="145"/>
        <v>427.5</v>
      </c>
      <c r="AA497" s="127">
        <f t="shared" si="146"/>
        <v>595.21331999999995</v>
      </c>
      <c r="AB497" s="127">
        <f t="shared" si="147"/>
        <v>595.21331999999995</v>
      </c>
      <c r="AC497" s="37">
        <f t="shared" si="135"/>
        <v>3971.2799199999999</v>
      </c>
      <c r="AD497" s="37">
        <f t="shared" si="148"/>
        <v>5888.3799199999994</v>
      </c>
      <c r="AE497" s="181">
        <f t="shared" si="136"/>
        <v>18</v>
      </c>
      <c r="AF497" s="37">
        <f t="shared" si="149"/>
        <v>12636</v>
      </c>
      <c r="AG497" s="181">
        <f t="shared" si="137"/>
        <v>749.69999999999993</v>
      </c>
      <c r="AH497" s="111">
        <f t="shared" si="150"/>
        <v>497.60956799999991</v>
      </c>
      <c r="AI497" s="127">
        <f t="shared" si="151"/>
        <v>749.69999999999993</v>
      </c>
      <c r="AJ497" s="37">
        <f t="shared" si="138"/>
        <v>4898.2</v>
      </c>
      <c r="AK497" s="37">
        <f t="shared" si="152"/>
        <v>17534.2</v>
      </c>
      <c r="AL497" s="37">
        <f t="shared" si="140"/>
        <v>12.828714422657951</v>
      </c>
      <c r="AN497" s="37" t="str">
        <f t="shared" si="139"/>
        <v>Pallet</v>
      </c>
      <c r="AO497" s="194">
        <f t="shared" si="153"/>
        <v>18</v>
      </c>
    </row>
    <row r="498" spans="22:41" x14ac:dyDescent="0.2">
      <c r="V498" s="181">
        <f t="shared" si="141"/>
        <v>230</v>
      </c>
      <c r="W498" s="181">
        <f t="shared" si="142"/>
        <v>460</v>
      </c>
      <c r="X498" s="181">
        <f t="shared" si="143"/>
        <v>1</v>
      </c>
      <c r="Y498" s="37">
        <f t="shared" si="144"/>
        <v>1917.1</v>
      </c>
      <c r="Z498" s="181">
        <f t="shared" si="145"/>
        <v>428</v>
      </c>
      <c r="AA498" s="127">
        <f t="shared" si="146"/>
        <v>595.21331999999995</v>
      </c>
      <c r="AB498" s="127">
        <f t="shared" si="147"/>
        <v>595.21331999999995</v>
      </c>
      <c r="AC498" s="37">
        <f t="shared" si="135"/>
        <v>3971.2799199999999</v>
      </c>
      <c r="AD498" s="37">
        <f t="shared" si="148"/>
        <v>5888.3799199999994</v>
      </c>
      <c r="AE498" s="181">
        <f t="shared" si="136"/>
        <v>18</v>
      </c>
      <c r="AF498" s="37">
        <f t="shared" si="149"/>
        <v>12636</v>
      </c>
      <c r="AG498" s="181">
        <f t="shared" si="137"/>
        <v>750.19999999999993</v>
      </c>
      <c r="AH498" s="111">
        <f t="shared" si="150"/>
        <v>497.60956799999991</v>
      </c>
      <c r="AI498" s="127">
        <f t="shared" si="151"/>
        <v>750.19999999999993</v>
      </c>
      <c r="AJ498" s="37">
        <f t="shared" si="138"/>
        <v>4901.2</v>
      </c>
      <c r="AK498" s="37">
        <f t="shared" si="152"/>
        <v>17537.2</v>
      </c>
      <c r="AL498" s="37">
        <f t="shared" si="140"/>
        <v>12.800825913043477</v>
      </c>
      <c r="AN498" s="37" t="str">
        <f t="shared" si="139"/>
        <v>Pallet</v>
      </c>
      <c r="AO498" s="194">
        <f t="shared" si="153"/>
        <v>18</v>
      </c>
    </row>
    <row r="499" spans="22:41" x14ac:dyDescent="0.2">
      <c r="V499" s="181">
        <f t="shared" si="141"/>
        <v>230.5</v>
      </c>
      <c r="W499" s="181">
        <f t="shared" si="142"/>
        <v>461</v>
      </c>
      <c r="X499" s="181">
        <f t="shared" si="143"/>
        <v>1</v>
      </c>
      <c r="Y499" s="37">
        <f t="shared" si="144"/>
        <v>1917.1</v>
      </c>
      <c r="Z499" s="181">
        <f t="shared" si="145"/>
        <v>428.5</v>
      </c>
      <c r="AA499" s="127">
        <f t="shared" si="146"/>
        <v>595.21331999999995</v>
      </c>
      <c r="AB499" s="127">
        <f t="shared" si="147"/>
        <v>595.21331999999995</v>
      </c>
      <c r="AC499" s="37">
        <f t="shared" si="135"/>
        <v>3971.2799199999999</v>
      </c>
      <c r="AD499" s="37">
        <f t="shared" si="148"/>
        <v>5888.3799199999994</v>
      </c>
      <c r="AE499" s="181">
        <f t="shared" si="136"/>
        <v>18</v>
      </c>
      <c r="AF499" s="37">
        <f t="shared" si="149"/>
        <v>12636</v>
      </c>
      <c r="AG499" s="181">
        <f t="shared" si="137"/>
        <v>750.69999999999993</v>
      </c>
      <c r="AH499" s="111">
        <f t="shared" si="150"/>
        <v>497.60956799999991</v>
      </c>
      <c r="AI499" s="127">
        <f t="shared" si="151"/>
        <v>750.69999999999993</v>
      </c>
      <c r="AJ499" s="37">
        <f t="shared" si="138"/>
        <v>4904.2</v>
      </c>
      <c r="AK499" s="37">
        <f t="shared" si="152"/>
        <v>17540.2</v>
      </c>
      <c r="AL499" s="37">
        <f t="shared" si="140"/>
        <v>12.773058394793924</v>
      </c>
      <c r="AN499" s="37" t="str">
        <f t="shared" si="139"/>
        <v>Pallet</v>
      </c>
      <c r="AO499" s="194">
        <f t="shared" si="153"/>
        <v>18</v>
      </c>
    </row>
    <row r="500" spans="22:41" x14ac:dyDescent="0.2">
      <c r="V500" s="181">
        <f t="shared" si="141"/>
        <v>231</v>
      </c>
      <c r="W500" s="181">
        <f t="shared" si="142"/>
        <v>462</v>
      </c>
      <c r="X500" s="181">
        <f t="shared" si="143"/>
        <v>1</v>
      </c>
      <c r="Y500" s="37">
        <f t="shared" si="144"/>
        <v>1917.1</v>
      </c>
      <c r="Z500" s="181">
        <f t="shared" si="145"/>
        <v>429</v>
      </c>
      <c r="AA500" s="127">
        <f t="shared" si="146"/>
        <v>595.21331999999995</v>
      </c>
      <c r="AB500" s="127">
        <f t="shared" si="147"/>
        <v>595.21331999999995</v>
      </c>
      <c r="AC500" s="37">
        <f t="shared" si="135"/>
        <v>3971.2799199999999</v>
      </c>
      <c r="AD500" s="37">
        <f t="shared" si="148"/>
        <v>5888.3799199999994</v>
      </c>
      <c r="AE500" s="181">
        <f t="shared" si="136"/>
        <v>18</v>
      </c>
      <c r="AF500" s="37">
        <f t="shared" si="149"/>
        <v>12636</v>
      </c>
      <c r="AG500" s="181">
        <f t="shared" si="137"/>
        <v>751.19999999999993</v>
      </c>
      <c r="AH500" s="111">
        <f t="shared" si="150"/>
        <v>497.60956799999991</v>
      </c>
      <c r="AI500" s="127">
        <f t="shared" si="151"/>
        <v>751.19999999999993</v>
      </c>
      <c r="AJ500" s="37">
        <f t="shared" si="138"/>
        <v>4907.2</v>
      </c>
      <c r="AK500" s="37">
        <f t="shared" si="152"/>
        <v>17543.2</v>
      </c>
      <c r="AL500" s="37">
        <f t="shared" si="140"/>
        <v>12.745411082251081</v>
      </c>
      <c r="AN500" s="37" t="str">
        <f t="shared" si="139"/>
        <v>Pallet</v>
      </c>
      <c r="AO500" s="194">
        <f t="shared" si="153"/>
        <v>18</v>
      </c>
    </row>
    <row r="501" spans="22:41" x14ac:dyDescent="0.2">
      <c r="V501" s="181">
        <f t="shared" si="141"/>
        <v>231.5</v>
      </c>
      <c r="W501" s="181">
        <f t="shared" si="142"/>
        <v>463</v>
      </c>
      <c r="X501" s="181">
        <f t="shared" si="143"/>
        <v>1</v>
      </c>
      <c r="Y501" s="37">
        <f t="shared" si="144"/>
        <v>1917.1</v>
      </c>
      <c r="Z501" s="181">
        <f t="shared" si="145"/>
        <v>429.5</v>
      </c>
      <c r="AA501" s="127">
        <f t="shared" si="146"/>
        <v>595.21331999999995</v>
      </c>
      <c r="AB501" s="127">
        <f t="shared" si="147"/>
        <v>595.21331999999995</v>
      </c>
      <c r="AC501" s="37">
        <f t="shared" si="135"/>
        <v>3971.2799199999999</v>
      </c>
      <c r="AD501" s="37">
        <f t="shared" si="148"/>
        <v>5888.3799199999994</v>
      </c>
      <c r="AE501" s="181">
        <f t="shared" si="136"/>
        <v>18</v>
      </c>
      <c r="AF501" s="37">
        <f t="shared" si="149"/>
        <v>12636</v>
      </c>
      <c r="AG501" s="181">
        <f t="shared" si="137"/>
        <v>751.69999999999993</v>
      </c>
      <c r="AH501" s="111">
        <f t="shared" si="150"/>
        <v>497.60956799999991</v>
      </c>
      <c r="AI501" s="127">
        <f t="shared" si="151"/>
        <v>751.69999999999993</v>
      </c>
      <c r="AJ501" s="37">
        <f t="shared" si="138"/>
        <v>4910.2</v>
      </c>
      <c r="AK501" s="37">
        <f t="shared" si="152"/>
        <v>17546.2</v>
      </c>
      <c r="AL501" s="37">
        <f t="shared" si="140"/>
        <v>12.717883196544275</v>
      </c>
      <c r="AN501" s="37" t="str">
        <f t="shared" si="139"/>
        <v>Pallet</v>
      </c>
      <c r="AO501" s="194">
        <f t="shared" si="153"/>
        <v>18</v>
      </c>
    </row>
    <row r="502" spans="22:41" x14ac:dyDescent="0.2">
      <c r="V502" s="181">
        <f t="shared" si="141"/>
        <v>232</v>
      </c>
      <c r="W502" s="181">
        <f t="shared" si="142"/>
        <v>464</v>
      </c>
      <c r="X502" s="181">
        <f t="shared" si="143"/>
        <v>1</v>
      </c>
      <c r="Y502" s="37">
        <f t="shared" si="144"/>
        <v>1917.1</v>
      </c>
      <c r="Z502" s="181">
        <f t="shared" si="145"/>
        <v>430</v>
      </c>
      <c r="AA502" s="127">
        <f t="shared" si="146"/>
        <v>595.21331999999995</v>
      </c>
      <c r="AB502" s="127">
        <f t="shared" si="147"/>
        <v>595.21331999999995</v>
      </c>
      <c r="AC502" s="37">
        <f t="shared" si="135"/>
        <v>3971.2799199999999</v>
      </c>
      <c r="AD502" s="37">
        <f t="shared" si="148"/>
        <v>5888.3799199999994</v>
      </c>
      <c r="AE502" s="181">
        <f t="shared" si="136"/>
        <v>18</v>
      </c>
      <c r="AF502" s="37">
        <f t="shared" si="149"/>
        <v>12636</v>
      </c>
      <c r="AG502" s="181">
        <f t="shared" si="137"/>
        <v>752.19999999999993</v>
      </c>
      <c r="AH502" s="111">
        <f t="shared" si="150"/>
        <v>497.60956799999991</v>
      </c>
      <c r="AI502" s="127">
        <f t="shared" si="151"/>
        <v>752.19999999999993</v>
      </c>
      <c r="AJ502" s="37">
        <f t="shared" si="138"/>
        <v>4913.2</v>
      </c>
      <c r="AK502" s="37">
        <f t="shared" si="152"/>
        <v>17549.2</v>
      </c>
      <c r="AL502" s="37">
        <f t="shared" si="140"/>
        <v>12.69047396551724</v>
      </c>
      <c r="AN502" s="37" t="str">
        <f t="shared" si="139"/>
        <v>Pallet</v>
      </c>
      <c r="AO502" s="194">
        <f t="shared" si="153"/>
        <v>18</v>
      </c>
    </row>
    <row r="503" spans="22:41" x14ac:dyDescent="0.2">
      <c r="V503" s="181">
        <f t="shared" si="141"/>
        <v>232.5</v>
      </c>
      <c r="W503" s="181">
        <f t="shared" si="142"/>
        <v>465</v>
      </c>
      <c r="X503" s="181">
        <f t="shared" si="143"/>
        <v>1</v>
      </c>
      <c r="Y503" s="37">
        <f t="shared" si="144"/>
        <v>1917.1</v>
      </c>
      <c r="Z503" s="181">
        <f t="shared" si="145"/>
        <v>430.5</v>
      </c>
      <c r="AA503" s="127">
        <f t="shared" si="146"/>
        <v>595.21331999999995</v>
      </c>
      <c r="AB503" s="127">
        <f t="shared" si="147"/>
        <v>595.21331999999995</v>
      </c>
      <c r="AC503" s="37">
        <f t="shared" si="135"/>
        <v>3971.2799199999999</v>
      </c>
      <c r="AD503" s="37">
        <f t="shared" si="148"/>
        <v>5888.3799199999994</v>
      </c>
      <c r="AE503" s="181">
        <f t="shared" si="136"/>
        <v>19</v>
      </c>
      <c r="AF503" s="37">
        <f t="shared" si="149"/>
        <v>13338</v>
      </c>
      <c r="AG503" s="181">
        <f t="shared" si="137"/>
        <v>781.6</v>
      </c>
      <c r="AH503" s="111">
        <f t="shared" si="150"/>
        <v>525.2545439999999</v>
      </c>
      <c r="AI503" s="127">
        <f t="shared" si="151"/>
        <v>781.6</v>
      </c>
      <c r="AJ503" s="37">
        <f t="shared" si="138"/>
        <v>5089.6000000000004</v>
      </c>
      <c r="AK503" s="37">
        <f t="shared" si="152"/>
        <v>18427.599999999999</v>
      </c>
      <c r="AL503" s="37">
        <f t="shared" si="140"/>
        <v>12.663182623655914</v>
      </c>
      <c r="AN503" s="37" t="str">
        <f t="shared" si="139"/>
        <v>Pallet</v>
      </c>
      <c r="AO503" s="194">
        <f t="shared" si="153"/>
        <v>18</v>
      </c>
    </row>
    <row r="504" spans="22:41" x14ac:dyDescent="0.2">
      <c r="V504" s="181">
        <f t="shared" si="141"/>
        <v>233</v>
      </c>
      <c r="W504" s="181">
        <f t="shared" si="142"/>
        <v>466</v>
      </c>
      <c r="X504" s="181">
        <f t="shared" si="143"/>
        <v>1</v>
      </c>
      <c r="Y504" s="37">
        <f t="shared" si="144"/>
        <v>1917.1</v>
      </c>
      <c r="Z504" s="181">
        <f t="shared" si="145"/>
        <v>431</v>
      </c>
      <c r="AA504" s="127">
        <f t="shared" si="146"/>
        <v>595.21331999999995</v>
      </c>
      <c r="AB504" s="127">
        <f t="shared" si="147"/>
        <v>595.21331999999995</v>
      </c>
      <c r="AC504" s="37">
        <f t="shared" si="135"/>
        <v>3971.2799199999999</v>
      </c>
      <c r="AD504" s="37">
        <f t="shared" si="148"/>
        <v>5888.3799199999994</v>
      </c>
      <c r="AE504" s="181">
        <f t="shared" si="136"/>
        <v>19</v>
      </c>
      <c r="AF504" s="37">
        <f t="shared" si="149"/>
        <v>13338</v>
      </c>
      <c r="AG504" s="181">
        <f t="shared" si="137"/>
        <v>782.1</v>
      </c>
      <c r="AH504" s="111">
        <f t="shared" si="150"/>
        <v>525.2545439999999</v>
      </c>
      <c r="AI504" s="127">
        <f t="shared" si="151"/>
        <v>782.1</v>
      </c>
      <c r="AJ504" s="37">
        <f t="shared" si="138"/>
        <v>5092.6000000000004</v>
      </c>
      <c r="AK504" s="37">
        <f t="shared" si="152"/>
        <v>18430.599999999999</v>
      </c>
      <c r="AL504" s="37">
        <f t="shared" si="140"/>
        <v>12.636008412017166</v>
      </c>
      <c r="AN504" s="37" t="str">
        <f t="shared" si="139"/>
        <v>Pallet</v>
      </c>
      <c r="AO504" s="194">
        <f t="shared" si="153"/>
        <v>19</v>
      </c>
    </row>
    <row r="505" spans="22:41" x14ac:dyDescent="0.2">
      <c r="V505" s="181">
        <f t="shared" si="141"/>
        <v>233.5</v>
      </c>
      <c r="W505" s="181">
        <f t="shared" si="142"/>
        <v>467</v>
      </c>
      <c r="X505" s="181">
        <f t="shared" si="143"/>
        <v>1</v>
      </c>
      <c r="Y505" s="37">
        <f t="shared" si="144"/>
        <v>1917.1</v>
      </c>
      <c r="Z505" s="181">
        <f t="shared" si="145"/>
        <v>431.5</v>
      </c>
      <c r="AA505" s="127">
        <f t="shared" si="146"/>
        <v>595.21331999999995</v>
      </c>
      <c r="AB505" s="127">
        <f t="shared" si="147"/>
        <v>595.21331999999995</v>
      </c>
      <c r="AC505" s="37">
        <f t="shared" si="135"/>
        <v>3971.2799199999999</v>
      </c>
      <c r="AD505" s="37">
        <f t="shared" si="148"/>
        <v>5888.3799199999994</v>
      </c>
      <c r="AE505" s="181">
        <f t="shared" si="136"/>
        <v>19</v>
      </c>
      <c r="AF505" s="37">
        <f t="shared" si="149"/>
        <v>13338</v>
      </c>
      <c r="AG505" s="181">
        <f t="shared" si="137"/>
        <v>782.6</v>
      </c>
      <c r="AH505" s="111">
        <f t="shared" si="150"/>
        <v>525.2545439999999</v>
      </c>
      <c r="AI505" s="127">
        <f t="shared" si="151"/>
        <v>782.6</v>
      </c>
      <c r="AJ505" s="37">
        <f t="shared" si="138"/>
        <v>5095.6000000000004</v>
      </c>
      <c r="AK505" s="37">
        <f t="shared" si="152"/>
        <v>18433.599999999999</v>
      </c>
      <c r="AL505" s="37">
        <f t="shared" si="140"/>
        <v>12.608950578158456</v>
      </c>
      <c r="AN505" s="37" t="str">
        <f t="shared" si="139"/>
        <v>Pallet</v>
      </c>
      <c r="AO505" s="194">
        <f t="shared" si="153"/>
        <v>19</v>
      </c>
    </row>
    <row r="506" spans="22:41" x14ac:dyDescent="0.2">
      <c r="V506" s="181">
        <f t="shared" si="141"/>
        <v>234</v>
      </c>
      <c r="W506" s="181">
        <f t="shared" si="142"/>
        <v>468</v>
      </c>
      <c r="X506" s="181">
        <f t="shared" si="143"/>
        <v>1</v>
      </c>
      <c r="Y506" s="37">
        <f t="shared" si="144"/>
        <v>1917.1</v>
      </c>
      <c r="Z506" s="181">
        <f t="shared" si="145"/>
        <v>432</v>
      </c>
      <c r="AA506" s="127">
        <f t="shared" si="146"/>
        <v>595.21331999999995</v>
      </c>
      <c r="AB506" s="127">
        <f t="shared" si="147"/>
        <v>595.21331999999995</v>
      </c>
      <c r="AC506" s="37">
        <f t="shared" si="135"/>
        <v>3971.2799199999999</v>
      </c>
      <c r="AD506" s="37">
        <f t="shared" si="148"/>
        <v>5888.3799199999994</v>
      </c>
      <c r="AE506" s="181">
        <f t="shared" si="136"/>
        <v>19</v>
      </c>
      <c r="AF506" s="37">
        <f t="shared" si="149"/>
        <v>13338</v>
      </c>
      <c r="AG506" s="181">
        <f t="shared" si="137"/>
        <v>783.1</v>
      </c>
      <c r="AH506" s="111">
        <f t="shared" si="150"/>
        <v>525.2545439999999</v>
      </c>
      <c r="AI506" s="127">
        <f t="shared" si="151"/>
        <v>783.1</v>
      </c>
      <c r="AJ506" s="37">
        <f t="shared" si="138"/>
        <v>5098.6000000000004</v>
      </c>
      <c r="AK506" s="37">
        <f t="shared" si="152"/>
        <v>18436.599999999999</v>
      </c>
      <c r="AL506" s="37">
        <f t="shared" si="140"/>
        <v>12.582008376068375</v>
      </c>
      <c r="AN506" s="37" t="str">
        <f t="shared" si="139"/>
        <v>Pallet</v>
      </c>
      <c r="AO506" s="194">
        <f t="shared" si="153"/>
        <v>19</v>
      </c>
    </row>
    <row r="507" spans="22:41" x14ac:dyDescent="0.2">
      <c r="V507" s="181">
        <f t="shared" si="141"/>
        <v>234.5</v>
      </c>
      <c r="W507" s="181">
        <f t="shared" si="142"/>
        <v>469</v>
      </c>
      <c r="X507" s="181">
        <f t="shared" si="143"/>
        <v>1</v>
      </c>
      <c r="Y507" s="37">
        <f t="shared" si="144"/>
        <v>1917.1</v>
      </c>
      <c r="Z507" s="181">
        <f t="shared" si="145"/>
        <v>432.5</v>
      </c>
      <c r="AA507" s="127">
        <f t="shared" si="146"/>
        <v>595.21331999999995</v>
      </c>
      <c r="AB507" s="127">
        <f t="shared" si="147"/>
        <v>595.21331999999995</v>
      </c>
      <c r="AC507" s="37">
        <f t="shared" si="135"/>
        <v>3971.2799199999999</v>
      </c>
      <c r="AD507" s="37">
        <f t="shared" si="148"/>
        <v>5888.3799199999994</v>
      </c>
      <c r="AE507" s="181">
        <f t="shared" si="136"/>
        <v>19</v>
      </c>
      <c r="AF507" s="37">
        <f t="shared" si="149"/>
        <v>13338</v>
      </c>
      <c r="AG507" s="181">
        <f t="shared" si="137"/>
        <v>783.6</v>
      </c>
      <c r="AH507" s="111">
        <f t="shared" si="150"/>
        <v>525.2545439999999</v>
      </c>
      <c r="AI507" s="127">
        <f t="shared" si="151"/>
        <v>783.6</v>
      </c>
      <c r="AJ507" s="37">
        <f t="shared" si="138"/>
        <v>5101.6000000000004</v>
      </c>
      <c r="AK507" s="37">
        <f t="shared" si="152"/>
        <v>18439.599999999999</v>
      </c>
      <c r="AL507" s="37">
        <f t="shared" si="140"/>
        <v>12.555181066098079</v>
      </c>
      <c r="AN507" s="37" t="str">
        <f t="shared" si="139"/>
        <v>Pallet</v>
      </c>
      <c r="AO507" s="194">
        <f t="shared" si="153"/>
        <v>19</v>
      </c>
    </row>
    <row r="508" spans="22:41" x14ac:dyDescent="0.2">
      <c r="V508" s="181">
        <f t="shared" si="141"/>
        <v>235</v>
      </c>
      <c r="W508" s="181">
        <f t="shared" si="142"/>
        <v>470</v>
      </c>
      <c r="X508" s="181">
        <f t="shared" si="143"/>
        <v>1</v>
      </c>
      <c r="Y508" s="37">
        <f t="shared" si="144"/>
        <v>1917.1</v>
      </c>
      <c r="Z508" s="181">
        <f t="shared" si="145"/>
        <v>433</v>
      </c>
      <c r="AA508" s="127">
        <f t="shared" si="146"/>
        <v>595.21331999999995</v>
      </c>
      <c r="AB508" s="127">
        <f t="shared" si="147"/>
        <v>595.21331999999995</v>
      </c>
      <c r="AC508" s="37">
        <f t="shared" si="135"/>
        <v>3971.2799199999999</v>
      </c>
      <c r="AD508" s="37">
        <f t="shared" si="148"/>
        <v>5888.3799199999994</v>
      </c>
      <c r="AE508" s="181">
        <f t="shared" si="136"/>
        <v>19</v>
      </c>
      <c r="AF508" s="37">
        <f t="shared" si="149"/>
        <v>13338</v>
      </c>
      <c r="AG508" s="181">
        <f t="shared" si="137"/>
        <v>784.1</v>
      </c>
      <c r="AH508" s="111">
        <f t="shared" si="150"/>
        <v>525.2545439999999</v>
      </c>
      <c r="AI508" s="127">
        <f t="shared" si="151"/>
        <v>784.1</v>
      </c>
      <c r="AJ508" s="37">
        <f t="shared" si="138"/>
        <v>5104.6000000000004</v>
      </c>
      <c r="AK508" s="37">
        <f t="shared" si="152"/>
        <v>18442.599999999999</v>
      </c>
      <c r="AL508" s="37">
        <f t="shared" si="140"/>
        <v>12.528467914893616</v>
      </c>
      <c r="AN508" s="37" t="str">
        <f t="shared" si="139"/>
        <v>Pallet</v>
      </c>
      <c r="AO508" s="194">
        <f t="shared" si="153"/>
        <v>19</v>
      </c>
    </row>
    <row r="509" spans="22:41" x14ac:dyDescent="0.2">
      <c r="V509" s="181">
        <f t="shared" si="141"/>
        <v>235.5</v>
      </c>
      <c r="W509" s="181">
        <f t="shared" si="142"/>
        <v>471</v>
      </c>
      <c r="X509" s="181">
        <f t="shared" si="143"/>
        <v>1</v>
      </c>
      <c r="Y509" s="37">
        <f t="shared" si="144"/>
        <v>1917.1</v>
      </c>
      <c r="Z509" s="181">
        <f t="shared" si="145"/>
        <v>433.5</v>
      </c>
      <c r="AA509" s="127">
        <f t="shared" si="146"/>
        <v>595.21331999999995</v>
      </c>
      <c r="AB509" s="127">
        <f t="shared" si="147"/>
        <v>595.21331999999995</v>
      </c>
      <c r="AC509" s="37">
        <f t="shared" si="135"/>
        <v>3971.2799199999999</v>
      </c>
      <c r="AD509" s="37">
        <f t="shared" si="148"/>
        <v>5888.3799199999994</v>
      </c>
      <c r="AE509" s="181">
        <f t="shared" si="136"/>
        <v>19</v>
      </c>
      <c r="AF509" s="37">
        <f t="shared" si="149"/>
        <v>13338</v>
      </c>
      <c r="AG509" s="181">
        <f t="shared" si="137"/>
        <v>784.6</v>
      </c>
      <c r="AH509" s="111">
        <f t="shared" si="150"/>
        <v>525.2545439999999</v>
      </c>
      <c r="AI509" s="127">
        <f t="shared" si="151"/>
        <v>784.6</v>
      </c>
      <c r="AJ509" s="37">
        <f t="shared" si="138"/>
        <v>5107.6000000000004</v>
      </c>
      <c r="AK509" s="37">
        <f t="shared" si="152"/>
        <v>18445.599999999999</v>
      </c>
      <c r="AL509" s="37">
        <f t="shared" si="140"/>
        <v>12.501868195329086</v>
      </c>
      <c r="AN509" s="37" t="str">
        <f t="shared" si="139"/>
        <v>Pallet</v>
      </c>
      <c r="AO509" s="194">
        <f t="shared" si="153"/>
        <v>19</v>
      </c>
    </row>
    <row r="510" spans="22:41" x14ac:dyDescent="0.2">
      <c r="V510" s="181">
        <f t="shared" si="141"/>
        <v>236</v>
      </c>
      <c r="W510" s="181">
        <f t="shared" si="142"/>
        <v>472</v>
      </c>
      <c r="X510" s="181">
        <f t="shared" si="143"/>
        <v>1</v>
      </c>
      <c r="Y510" s="37">
        <f t="shared" si="144"/>
        <v>1917.1</v>
      </c>
      <c r="Z510" s="181">
        <f t="shared" si="145"/>
        <v>434</v>
      </c>
      <c r="AA510" s="127">
        <f t="shared" si="146"/>
        <v>595.21331999999995</v>
      </c>
      <c r="AB510" s="127">
        <f t="shared" si="147"/>
        <v>595.21331999999995</v>
      </c>
      <c r="AC510" s="37">
        <f t="shared" si="135"/>
        <v>3971.2799199999999</v>
      </c>
      <c r="AD510" s="37">
        <f t="shared" si="148"/>
        <v>5888.3799199999994</v>
      </c>
      <c r="AE510" s="181">
        <f t="shared" si="136"/>
        <v>19</v>
      </c>
      <c r="AF510" s="37">
        <f t="shared" si="149"/>
        <v>13338</v>
      </c>
      <c r="AG510" s="181">
        <f t="shared" si="137"/>
        <v>785.1</v>
      </c>
      <c r="AH510" s="111">
        <f t="shared" si="150"/>
        <v>525.2545439999999</v>
      </c>
      <c r="AI510" s="127">
        <f t="shared" si="151"/>
        <v>785.1</v>
      </c>
      <c r="AJ510" s="37">
        <f t="shared" si="138"/>
        <v>5110.6000000000004</v>
      </c>
      <c r="AK510" s="37">
        <f t="shared" si="152"/>
        <v>18448.599999999999</v>
      </c>
      <c r="AL510" s="37">
        <f t="shared" si="140"/>
        <v>12.475381186440677</v>
      </c>
      <c r="AN510" s="37" t="str">
        <f t="shared" si="139"/>
        <v>Pallet</v>
      </c>
      <c r="AO510" s="194">
        <f t="shared" si="153"/>
        <v>19</v>
      </c>
    </row>
    <row r="511" spans="22:41" x14ac:dyDescent="0.2">
      <c r="V511" s="181">
        <f t="shared" si="141"/>
        <v>236.5</v>
      </c>
      <c r="W511" s="181">
        <f t="shared" si="142"/>
        <v>473</v>
      </c>
      <c r="X511" s="181">
        <f t="shared" si="143"/>
        <v>1</v>
      </c>
      <c r="Y511" s="37">
        <f t="shared" si="144"/>
        <v>1917.1</v>
      </c>
      <c r="Z511" s="181">
        <f t="shared" si="145"/>
        <v>434.5</v>
      </c>
      <c r="AA511" s="127">
        <f t="shared" si="146"/>
        <v>595.21331999999995</v>
      </c>
      <c r="AB511" s="127">
        <f t="shared" si="147"/>
        <v>595.21331999999995</v>
      </c>
      <c r="AC511" s="37">
        <f t="shared" si="135"/>
        <v>3971.2799199999999</v>
      </c>
      <c r="AD511" s="37">
        <f t="shared" si="148"/>
        <v>5888.3799199999994</v>
      </c>
      <c r="AE511" s="181">
        <f t="shared" si="136"/>
        <v>19</v>
      </c>
      <c r="AF511" s="37">
        <f t="shared" si="149"/>
        <v>13338</v>
      </c>
      <c r="AG511" s="181">
        <f t="shared" si="137"/>
        <v>785.6</v>
      </c>
      <c r="AH511" s="111">
        <f t="shared" si="150"/>
        <v>525.2545439999999</v>
      </c>
      <c r="AI511" s="127">
        <f t="shared" si="151"/>
        <v>785.6</v>
      </c>
      <c r="AJ511" s="37">
        <f t="shared" si="138"/>
        <v>5113.6000000000004</v>
      </c>
      <c r="AK511" s="37">
        <f t="shared" si="152"/>
        <v>18451.599999999999</v>
      </c>
      <c r="AL511" s="37">
        <f t="shared" si="140"/>
        <v>12.449006173361521</v>
      </c>
      <c r="AN511" s="37" t="str">
        <f t="shared" si="139"/>
        <v>Pallet</v>
      </c>
      <c r="AO511" s="194">
        <f t="shared" si="153"/>
        <v>19</v>
      </c>
    </row>
    <row r="512" spans="22:41" x14ac:dyDescent="0.2">
      <c r="V512" s="181">
        <f t="shared" si="141"/>
        <v>237</v>
      </c>
      <c r="W512" s="181">
        <f t="shared" si="142"/>
        <v>474</v>
      </c>
      <c r="X512" s="181">
        <f t="shared" si="143"/>
        <v>1</v>
      </c>
      <c r="Y512" s="37">
        <f t="shared" si="144"/>
        <v>1917.1</v>
      </c>
      <c r="Z512" s="181">
        <f t="shared" si="145"/>
        <v>435</v>
      </c>
      <c r="AA512" s="127">
        <f t="shared" si="146"/>
        <v>595.21331999999995</v>
      </c>
      <c r="AB512" s="127">
        <f t="shared" si="147"/>
        <v>595.21331999999995</v>
      </c>
      <c r="AC512" s="37">
        <f t="shared" si="135"/>
        <v>3971.2799199999999</v>
      </c>
      <c r="AD512" s="37">
        <f t="shared" si="148"/>
        <v>5888.3799199999994</v>
      </c>
      <c r="AE512" s="181">
        <f t="shared" si="136"/>
        <v>19</v>
      </c>
      <c r="AF512" s="37">
        <f t="shared" si="149"/>
        <v>13338</v>
      </c>
      <c r="AG512" s="181">
        <f t="shared" si="137"/>
        <v>786.1</v>
      </c>
      <c r="AH512" s="111">
        <f t="shared" si="150"/>
        <v>525.2545439999999</v>
      </c>
      <c r="AI512" s="127">
        <f t="shared" si="151"/>
        <v>786.1</v>
      </c>
      <c r="AJ512" s="37">
        <f t="shared" si="138"/>
        <v>5116.6000000000004</v>
      </c>
      <c r="AK512" s="37">
        <f t="shared" si="152"/>
        <v>18454.599999999999</v>
      </c>
      <c r="AL512" s="37">
        <f t="shared" si="140"/>
        <v>12.422742447257383</v>
      </c>
      <c r="AN512" s="37" t="str">
        <f t="shared" si="139"/>
        <v>Pallet</v>
      </c>
      <c r="AO512" s="194">
        <f t="shared" si="153"/>
        <v>19</v>
      </c>
    </row>
    <row r="513" spans="22:41" x14ac:dyDescent="0.2">
      <c r="V513" s="181">
        <f t="shared" si="141"/>
        <v>237.5</v>
      </c>
      <c r="W513" s="181">
        <f t="shared" si="142"/>
        <v>475</v>
      </c>
      <c r="X513" s="181">
        <f t="shared" si="143"/>
        <v>1</v>
      </c>
      <c r="Y513" s="37">
        <f t="shared" si="144"/>
        <v>1917.1</v>
      </c>
      <c r="Z513" s="181">
        <f t="shared" si="145"/>
        <v>435.5</v>
      </c>
      <c r="AA513" s="127">
        <f t="shared" si="146"/>
        <v>595.21331999999995</v>
      </c>
      <c r="AB513" s="127">
        <f t="shared" si="147"/>
        <v>595.21331999999995</v>
      </c>
      <c r="AC513" s="37">
        <f t="shared" si="135"/>
        <v>3971.2799199999999</v>
      </c>
      <c r="AD513" s="37">
        <f t="shared" si="148"/>
        <v>5888.3799199999994</v>
      </c>
      <c r="AE513" s="181">
        <f t="shared" si="136"/>
        <v>19</v>
      </c>
      <c r="AF513" s="37">
        <f t="shared" si="149"/>
        <v>13338</v>
      </c>
      <c r="AG513" s="181">
        <f t="shared" si="137"/>
        <v>786.6</v>
      </c>
      <c r="AH513" s="111">
        <f t="shared" si="150"/>
        <v>525.2545439999999</v>
      </c>
      <c r="AI513" s="127">
        <f t="shared" si="151"/>
        <v>786.6</v>
      </c>
      <c r="AJ513" s="37">
        <f t="shared" si="138"/>
        <v>5119.6000000000004</v>
      </c>
      <c r="AK513" s="37">
        <f t="shared" si="152"/>
        <v>18457.599999999999</v>
      </c>
      <c r="AL513" s="37">
        <f t="shared" si="140"/>
        <v>12.396589305263157</v>
      </c>
      <c r="AN513" s="37" t="str">
        <f t="shared" si="139"/>
        <v>Pallet</v>
      </c>
      <c r="AO513" s="194">
        <f t="shared" si="153"/>
        <v>19</v>
      </c>
    </row>
    <row r="514" spans="22:41" x14ac:dyDescent="0.2">
      <c r="V514" s="181">
        <f t="shared" si="141"/>
        <v>238</v>
      </c>
      <c r="W514" s="181">
        <f t="shared" si="142"/>
        <v>476</v>
      </c>
      <c r="X514" s="181">
        <f t="shared" si="143"/>
        <v>1</v>
      </c>
      <c r="Y514" s="37">
        <f t="shared" si="144"/>
        <v>1917.1</v>
      </c>
      <c r="Z514" s="181">
        <f t="shared" si="145"/>
        <v>436</v>
      </c>
      <c r="AA514" s="127">
        <f t="shared" si="146"/>
        <v>595.21331999999995</v>
      </c>
      <c r="AB514" s="127">
        <f t="shared" si="147"/>
        <v>595.21331999999995</v>
      </c>
      <c r="AC514" s="37">
        <f t="shared" si="135"/>
        <v>3971.2799199999999</v>
      </c>
      <c r="AD514" s="37">
        <f t="shared" si="148"/>
        <v>5888.3799199999994</v>
      </c>
      <c r="AE514" s="181">
        <f t="shared" si="136"/>
        <v>19</v>
      </c>
      <c r="AF514" s="37">
        <f t="shared" si="149"/>
        <v>13338</v>
      </c>
      <c r="AG514" s="181">
        <f t="shared" si="137"/>
        <v>787.1</v>
      </c>
      <c r="AH514" s="111">
        <f t="shared" si="150"/>
        <v>525.2545439999999</v>
      </c>
      <c r="AI514" s="127">
        <f t="shared" si="151"/>
        <v>787.1</v>
      </c>
      <c r="AJ514" s="37">
        <f t="shared" si="138"/>
        <v>5122.6000000000004</v>
      </c>
      <c r="AK514" s="37">
        <f t="shared" si="152"/>
        <v>18460.599999999999</v>
      </c>
      <c r="AL514" s="37">
        <f t="shared" si="140"/>
        <v>12.370546050420167</v>
      </c>
      <c r="AN514" s="37" t="str">
        <f t="shared" si="139"/>
        <v>Pallet</v>
      </c>
      <c r="AO514" s="194">
        <f t="shared" si="153"/>
        <v>19</v>
      </c>
    </row>
    <row r="515" spans="22:41" x14ac:dyDescent="0.2">
      <c r="V515" s="181">
        <f t="shared" si="141"/>
        <v>238.5</v>
      </c>
      <c r="W515" s="181">
        <f t="shared" si="142"/>
        <v>477</v>
      </c>
      <c r="X515" s="181">
        <f t="shared" si="143"/>
        <v>1</v>
      </c>
      <c r="Y515" s="37">
        <f t="shared" si="144"/>
        <v>1917.1</v>
      </c>
      <c r="Z515" s="181">
        <f t="shared" si="145"/>
        <v>436.5</v>
      </c>
      <c r="AA515" s="127">
        <f t="shared" si="146"/>
        <v>595.21331999999995</v>
      </c>
      <c r="AB515" s="127">
        <f t="shared" si="147"/>
        <v>595.21331999999995</v>
      </c>
      <c r="AC515" s="37">
        <f t="shared" si="135"/>
        <v>3971.2799199999999</v>
      </c>
      <c r="AD515" s="37">
        <f t="shared" si="148"/>
        <v>5888.3799199999994</v>
      </c>
      <c r="AE515" s="181">
        <f t="shared" si="136"/>
        <v>19</v>
      </c>
      <c r="AF515" s="37">
        <f t="shared" si="149"/>
        <v>13338</v>
      </c>
      <c r="AG515" s="181">
        <f t="shared" si="137"/>
        <v>787.6</v>
      </c>
      <c r="AH515" s="111">
        <f t="shared" si="150"/>
        <v>525.2545439999999</v>
      </c>
      <c r="AI515" s="127">
        <f t="shared" si="151"/>
        <v>787.6</v>
      </c>
      <c r="AJ515" s="37">
        <f t="shared" si="138"/>
        <v>5125.6000000000004</v>
      </c>
      <c r="AK515" s="37">
        <f t="shared" si="152"/>
        <v>18463.599999999999</v>
      </c>
      <c r="AL515" s="37">
        <f t="shared" si="140"/>
        <v>12.344611991614254</v>
      </c>
      <c r="AN515" s="37" t="str">
        <f t="shared" si="139"/>
        <v>Pallet</v>
      </c>
      <c r="AO515" s="194">
        <f t="shared" si="153"/>
        <v>19</v>
      </c>
    </row>
    <row r="516" spans="22:41" x14ac:dyDescent="0.2">
      <c r="V516" s="181">
        <f t="shared" si="141"/>
        <v>239</v>
      </c>
      <c r="W516" s="181">
        <f t="shared" si="142"/>
        <v>478</v>
      </c>
      <c r="X516" s="181">
        <f t="shared" si="143"/>
        <v>1</v>
      </c>
      <c r="Y516" s="37">
        <f t="shared" si="144"/>
        <v>1917.1</v>
      </c>
      <c r="Z516" s="181">
        <f t="shared" si="145"/>
        <v>437</v>
      </c>
      <c r="AA516" s="127">
        <f t="shared" si="146"/>
        <v>595.21331999999995</v>
      </c>
      <c r="AB516" s="127">
        <f t="shared" si="147"/>
        <v>595.21331999999995</v>
      </c>
      <c r="AC516" s="37">
        <f t="shared" si="135"/>
        <v>3971.2799199999999</v>
      </c>
      <c r="AD516" s="37">
        <f t="shared" si="148"/>
        <v>5888.3799199999994</v>
      </c>
      <c r="AE516" s="181">
        <f t="shared" si="136"/>
        <v>19</v>
      </c>
      <c r="AF516" s="37">
        <f t="shared" si="149"/>
        <v>13338</v>
      </c>
      <c r="AG516" s="181">
        <f t="shared" si="137"/>
        <v>788.1</v>
      </c>
      <c r="AH516" s="111">
        <f t="shared" si="150"/>
        <v>525.2545439999999</v>
      </c>
      <c r="AI516" s="127">
        <f t="shared" si="151"/>
        <v>788.1</v>
      </c>
      <c r="AJ516" s="37">
        <f t="shared" si="138"/>
        <v>5128.6000000000004</v>
      </c>
      <c r="AK516" s="37">
        <f t="shared" si="152"/>
        <v>18466.599999999999</v>
      </c>
      <c r="AL516" s="37">
        <f t="shared" si="140"/>
        <v>12.318786443514643</v>
      </c>
      <c r="AN516" s="37" t="str">
        <f t="shared" si="139"/>
        <v>Pallet</v>
      </c>
      <c r="AO516" s="194">
        <f t="shared" si="153"/>
        <v>19</v>
      </c>
    </row>
    <row r="517" spans="22:41" x14ac:dyDescent="0.2">
      <c r="V517" s="181">
        <f t="shared" si="141"/>
        <v>239.5</v>
      </c>
      <c r="W517" s="181">
        <f t="shared" si="142"/>
        <v>479</v>
      </c>
      <c r="X517" s="181">
        <f t="shared" si="143"/>
        <v>1</v>
      </c>
      <c r="Y517" s="37">
        <f t="shared" si="144"/>
        <v>1917.1</v>
      </c>
      <c r="Z517" s="181">
        <f t="shared" si="145"/>
        <v>437.5</v>
      </c>
      <c r="AA517" s="127">
        <f t="shared" si="146"/>
        <v>595.21331999999995</v>
      </c>
      <c r="AB517" s="127">
        <f t="shared" si="147"/>
        <v>595.21331999999995</v>
      </c>
      <c r="AC517" s="37">
        <f t="shared" si="135"/>
        <v>3971.2799199999999</v>
      </c>
      <c r="AD517" s="37">
        <f t="shared" si="148"/>
        <v>5888.3799199999994</v>
      </c>
      <c r="AE517" s="181">
        <f t="shared" si="136"/>
        <v>19</v>
      </c>
      <c r="AF517" s="37">
        <f t="shared" si="149"/>
        <v>13338</v>
      </c>
      <c r="AG517" s="181">
        <f t="shared" si="137"/>
        <v>788.6</v>
      </c>
      <c r="AH517" s="111">
        <f t="shared" si="150"/>
        <v>525.2545439999999</v>
      </c>
      <c r="AI517" s="127">
        <f t="shared" si="151"/>
        <v>788.6</v>
      </c>
      <c r="AJ517" s="37">
        <f t="shared" si="138"/>
        <v>5131.6000000000004</v>
      </c>
      <c r="AK517" s="37">
        <f t="shared" si="152"/>
        <v>18469.599999999999</v>
      </c>
      <c r="AL517" s="37">
        <f t="shared" si="140"/>
        <v>12.293068726513569</v>
      </c>
      <c r="AN517" s="37" t="str">
        <f t="shared" si="139"/>
        <v>Pallet</v>
      </c>
      <c r="AO517" s="194">
        <f t="shared" si="153"/>
        <v>19</v>
      </c>
    </row>
    <row r="518" spans="22:41" x14ac:dyDescent="0.2">
      <c r="V518" s="181">
        <f t="shared" si="141"/>
        <v>240</v>
      </c>
      <c r="W518" s="181">
        <f t="shared" si="142"/>
        <v>480</v>
      </c>
      <c r="X518" s="181">
        <f t="shared" si="143"/>
        <v>1</v>
      </c>
      <c r="Y518" s="37">
        <f t="shared" si="144"/>
        <v>1917.1</v>
      </c>
      <c r="Z518" s="181">
        <f t="shared" si="145"/>
        <v>438</v>
      </c>
      <c r="AA518" s="127">
        <f t="shared" si="146"/>
        <v>595.21331999999995</v>
      </c>
      <c r="AB518" s="127">
        <f t="shared" si="147"/>
        <v>595.21331999999995</v>
      </c>
      <c r="AC518" s="37">
        <f t="shared" si="135"/>
        <v>3971.2799199999999</v>
      </c>
      <c r="AD518" s="37">
        <f t="shared" si="148"/>
        <v>5888.3799199999994</v>
      </c>
      <c r="AE518" s="181">
        <f t="shared" si="136"/>
        <v>19</v>
      </c>
      <c r="AF518" s="37">
        <f t="shared" si="149"/>
        <v>13338</v>
      </c>
      <c r="AG518" s="181">
        <f t="shared" si="137"/>
        <v>789.1</v>
      </c>
      <c r="AH518" s="111">
        <f t="shared" si="150"/>
        <v>525.2545439999999</v>
      </c>
      <c r="AI518" s="127">
        <f t="shared" si="151"/>
        <v>789.1</v>
      </c>
      <c r="AJ518" s="37">
        <f t="shared" si="138"/>
        <v>5134.6000000000004</v>
      </c>
      <c r="AK518" s="37">
        <f t="shared" si="152"/>
        <v>18472.599999999999</v>
      </c>
      <c r="AL518" s="37">
        <f t="shared" si="140"/>
        <v>12.267458166666666</v>
      </c>
      <c r="AN518" s="37" t="str">
        <f t="shared" si="139"/>
        <v>Pallet</v>
      </c>
      <c r="AO518" s="194">
        <f t="shared" si="153"/>
        <v>19</v>
      </c>
    </row>
    <row r="519" spans="22:41" x14ac:dyDescent="0.2">
      <c r="V519" s="181">
        <f t="shared" si="141"/>
        <v>240.5</v>
      </c>
      <c r="W519" s="181">
        <f t="shared" si="142"/>
        <v>481</v>
      </c>
      <c r="X519" s="181">
        <f t="shared" si="143"/>
        <v>1</v>
      </c>
      <c r="Y519" s="37">
        <f t="shared" si="144"/>
        <v>1917.1</v>
      </c>
      <c r="Z519" s="181">
        <f t="shared" si="145"/>
        <v>438.5</v>
      </c>
      <c r="AA519" s="127">
        <f t="shared" si="146"/>
        <v>595.21331999999995</v>
      </c>
      <c r="AB519" s="127">
        <f t="shared" si="147"/>
        <v>595.21331999999995</v>
      </c>
      <c r="AC519" s="37">
        <f t="shared" si="135"/>
        <v>3971.2799199999999</v>
      </c>
      <c r="AD519" s="37">
        <f t="shared" si="148"/>
        <v>5888.3799199999994</v>
      </c>
      <c r="AE519" s="181">
        <f t="shared" si="136"/>
        <v>19</v>
      </c>
      <c r="AF519" s="37">
        <f t="shared" si="149"/>
        <v>13338</v>
      </c>
      <c r="AG519" s="181">
        <f t="shared" si="137"/>
        <v>789.6</v>
      </c>
      <c r="AH519" s="111">
        <f t="shared" si="150"/>
        <v>525.2545439999999</v>
      </c>
      <c r="AI519" s="127">
        <f t="shared" si="151"/>
        <v>789.6</v>
      </c>
      <c r="AJ519" s="37">
        <f t="shared" si="138"/>
        <v>5137.6000000000004</v>
      </c>
      <c r="AK519" s="37">
        <f t="shared" si="152"/>
        <v>18475.599999999999</v>
      </c>
      <c r="AL519" s="37">
        <f t="shared" si="140"/>
        <v>12.241954095634094</v>
      </c>
      <c r="AN519" s="37" t="str">
        <f t="shared" si="139"/>
        <v>Pallet</v>
      </c>
      <c r="AO519" s="194">
        <f t="shared" si="153"/>
        <v>19</v>
      </c>
    </row>
    <row r="520" spans="22:41" x14ac:dyDescent="0.2">
      <c r="V520" s="181">
        <f t="shared" si="141"/>
        <v>241</v>
      </c>
      <c r="W520" s="181">
        <f t="shared" si="142"/>
        <v>482</v>
      </c>
      <c r="X520" s="181">
        <f t="shared" si="143"/>
        <v>1</v>
      </c>
      <c r="Y520" s="37">
        <f t="shared" si="144"/>
        <v>1917.1</v>
      </c>
      <c r="Z520" s="181">
        <f t="shared" si="145"/>
        <v>439</v>
      </c>
      <c r="AA520" s="127">
        <f t="shared" si="146"/>
        <v>595.21331999999995</v>
      </c>
      <c r="AB520" s="127">
        <f t="shared" si="147"/>
        <v>595.21331999999995</v>
      </c>
      <c r="AC520" s="37">
        <f t="shared" si="135"/>
        <v>3971.2799199999999</v>
      </c>
      <c r="AD520" s="37">
        <f t="shared" si="148"/>
        <v>5888.3799199999994</v>
      </c>
      <c r="AE520" s="181">
        <f t="shared" si="136"/>
        <v>19</v>
      </c>
      <c r="AF520" s="37">
        <f t="shared" si="149"/>
        <v>13338</v>
      </c>
      <c r="AG520" s="181">
        <f t="shared" si="137"/>
        <v>790.1</v>
      </c>
      <c r="AH520" s="111">
        <f t="shared" si="150"/>
        <v>525.2545439999999</v>
      </c>
      <c r="AI520" s="127">
        <f t="shared" si="151"/>
        <v>790.1</v>
      </c>
      <c r="AJ520" s="37">
        <f t="shared" si="138"/>
        <v>5140.6000000000004</v>
      </c>
      <c r="AK520" s="37">
        <f t="shared" si="152"/>
        <v>18478.599999999999</v>
      </c>
      <c r="AL520" s="37">
        <f t="shared" si="140"/>
        <v>12.216555850622406</v>
      </c>
      <c r="AN520" s="37" t="str">
        <f t="shared" si="139"/>
        <v>Pallet</v>
      </c>
      <c r="AO520" s="194">
        <f t="shared" si="153"/>
        <v>19</v>
      </c>
    </row>
    <row r="521" spans="22:41" x14ac:dyDescent="0.2">
      <c r="V521" s="181">
        <f t="shared" si="141"/>
        <v>241.5</v>
      </c>
      <c r="W521" s="181">
        <f t="shared" si="142"/>
        <v>483</v>
      </c>
      <c r="X521" s="181">
        <f t="shared" si="143"/>
        <v>1</v>
      </c>
      <c r="Y521" s="37">
        <f t="shared" si="144"/>
        <v>1917.1</v>
      </c>
      <c r="Z521" s="181">
        <f t="shared" si="145"/>
        <v>439.5</v>
      </c>
      <c r="AA521" s="127">
        <f t="shared" si="146"/>
        <v>595.21331999999995</v>
      </c>
      <c r="AB521" s="127">
        <f t="shared" si="147"/>
        <v>595.21331999999995</v>
      </c>
      <c r="AC521" s="37">
        <f t="shared" si="135"/>
        <v>3971.2799199999999</v>
      </c>
      <c r="AD521" s="37">
        <f t="shared" si="148"/>
        <v>5888.3799199999994</v>
      </c>
      <c r="AE521" s="181">
        <f t="shared" si="136"/>
        <v>19</v>
      </c>
      <c r="AF521" s="37">
        <f t="shared" si="149"/>
        <v>13338</v>
      </c>
      <c r="AG521" s="181">
        <f t="shared" si="137"/>
        <v>790.6</v>
      </c>
      <c r="AH521" s="111">
        <f t="shared" si="150"/>
        <v>525.2545439999999</v>
      </c>
      <c r="AI521" s="127">
        <f t="shared" si="151"/>
        <v>790.6</v>
      </c>
      <c r="AJ521" s="37">
        <f t="shared" si="138"/>
        <v>5143.6000000000004</v>
      </c>
      <c r="AK521" s="37">
        <f t="shared" si="152"/>
        <v>18481.599999999999</v>
      </c>
      <c r="AL521" s="37">
        <f t="shared" si="140"/>
        <v>12.191262774327122</v>
      </c>
      <c r="AN521" s="37" t="str">
        <f t="shared" si="139"/>
        <v>Pallet</v>
      </c>
      <c r="AO521" s="194">
        <f t="shared" si="153"/>
        <v>19</v>
      </c>
    </row>
    <row r="522" spans="22:41" x14ac:dyDescent="0.2">
      <c r="V522" s="181">
        <f t="shared" si="141"/>
        <v>242</v>
      </c>
      <c r="W522" s="181">
        <f t="shared" si="142"/>
        <v>484</v>
      </c>
      <c r="X522" s="181">
        <f t="shared" si="143"/>
        <v>1</v>
      </c>
      <c r="Y522" s="37">
        <f t="shared" si="144"/>
        <v>1917.1</v>
      </c>
      <c r="Z522" s="181">
        <f t="shared" si="145"/>
        <v>440</v>
      </c>
      <c r="AA522" s="127">
        <f t="shared" si="146"/>
        <v>595.21331999999995</v>
      </c>
      <c r="AB522" s="127">
        <f t="shared" si="147"/>
        <v>595.21331999999995</v>
      </c>
      <c r="AC522" s="37">
        <f t="shared" si="135"/>
        <v>3971.2799199999999</v>
      </c>
      <c r="AD522" s="37">
        <f t="shared" si="148"/>
        <v>5888.3799199999994</v>
      </c>
      <c r="AE522" s="181">
        <f t="shared" si="136"/>
        <v>19</v>
      </c>
      <c r="AF522" s="37">
        <f t="shared" si="149"/>
        <v>13338</v>
      </c>
      <c r="AG522" s="181">
        <f t="shared" si="137"/>
        <v>791.1</v>
      </c>
      <c r="AH522" s="111">
        <f t="shared" si="150"/>
        <v>525.2545439999999</v>
      </c>
      <c r="AI522" s="127">
        <f t="shared" si="151"/>
        <v>791.1</v>
      </c>
      <c r="AJ522" s="37">
        <f t="shared" si="138"/>
        <v>5146.6000000000004</v>
      </c>
      <c r="AK522" s="37">
        <f t="shared" si="152"/>
        <v>18484.599999999999</v>
      </c>
      <c r="AL522" s="37">
        <f t="shared" si="140"/>
        <v>12.166074214876032</v>
      </c>
      <c r="AN522" s="37" t="str">
        <f t="shared" si="139"/>
        <v>Pallet</v>
      </c>
      <c r="AO522" s="194">
        <f t="shared" si="153"/>
        <v>19</v>
      </c>
    </row>
    <row r="523" spans="22:41" x14ac:dyDescent="0.2">
      <c r="V523" s="181">
        <f t="shared" si="141"/>
        <v>242.5</v>
      </c>
      <c r="W523" s="181">
        <f t="shared" si="142"/>
        <v>485</v>
      </c>
      <c r="X523" s="181">
        <f t="shared" si="143"/>
        <v>1</v>
      </c>
      <c r="Y523" s="37">
        <f t="shared" si="144"/>
        <v>1917.1</v>
      </c>
      <c r="Z523" s="181">
        <f t="shared" si="145"/>
        <v>440.5</v>
      </c>
      <c r="AA523" s="127">
        <f t="shared" si="146"/>
        <v>595.21331999999995</v>
      </c>
      <c r="AB523" s="127">
        <f t="shared" si="147"/>
        <v>595.21331999999995</v>
      </c>
      <c r="AC523" s="37">
        <f t="shared" si="135"/>
        <v>3971.2799199999999</v>
      </c>
      <c r="AD523" s="37">
        <f t="shared" si="148"/>
        <v>5888.3799199999994</v>
      </c>
      <c r="AE523" s="181">
        <f t="shared" si="136"/>
        <v>19</v>
      </c>
      <c r="AF523" s="37">
        <f t="shared" si="149"/>
        <v>13338</v>
      </c>
      <c r="AG523" s="181">
        <f t="shared" si="137"/>
        <v>791.6</v>
      </c>
      <c r="AH523" s="111">
        <f t="shared" si="150"/>
        <v>525.2545439999999</v>
      </c>
      <c r="AI523" s="127">
        <f t="shared" si="151"/>
        <v>791.6</v>
      </c>
      <c r="AJ523" s="37">
        <f t="shared" si="138"/>
        <v>5149.6000000000004</v>
      </c>
      <c r="AK523" s="37">
        <f t="shared" si="152"/>
        <v>18487.599999999999</v>
      </c>
      <c r="AL523" s="37">
        <f t="shared" si="140"/>
        <v>12.140989525773195</v>
      </c>
      <c r="AN523" s="37" t="str">
        <f t="shared" si="139"/>
        <v>Pallet</v>
      </c>
      <c r="AO523" s="194">
        <f t="shared" si="153"/>
        <v>19</v>
      </c>
    </row>
    <row r="524" spans="22:41" x14ac:dyDescent="0.2">
      <c r="V524" s="181">
        <f t="shared" si="141"/>
        <v>243</v>
      </c>
      <c r="W524" s="181">
        <f t="shared" si="142"/>
        <v>486</v>
      </c>
      <c r="X524" s="181">
        <f t="shared" si="143"/>
        <v>1</v>
      </c>
      <c r="Y524" s="37">
        <f t="shared" si="144"/>
        <v>1917.1</v>
      </c>
      <c r="Z524" s="181">
        <f t="shared" si="145"/>
        <v>441</v>
      </c>
      <c r="AA524" s="127">
        <f t="shared" si="146"/>
        <v>595.21331999999995</v>
      </c>
      <c r="AB524" s="127">
        <f t="shared" si="147"/>
        <v>595.21331999999995</v>
      </c>
      <c r="AC524" s="37">
        <f t="shared" si="135"/>
        <v>3971.2799199999999</v>
      </c>
      <c r="AD524" s="37">
        <f t="shared" si="148"/>
        <v>5888.3799199999994</v>
      </c>
      <c r="AE524" s="181">
        <f t="shared" si="136"/>
        <v>19</v>
      </c>
      <c r="AF524" s="37">
        <f t="shared" si="149"/>
        <v>13338</v>
      </c>
      <c r="AG524" s="181">
        <f t="shared" si="137"/>
        <v>792.1</v>
      </c>
      <c r="AH524" s="111">
        <f t="shared" si="150"/>
        <v>525.2545439999999</v>
      </c>
      <c r="AI524" s="127">
        <f t="shared" si="151"/>
        <v>792.1</v>
      </c>
      <c r="AJ524" s="37">
        <f t="shared" si="138"/>
        <v>5152.6000000000004</v>
      </c>
      <c r="AK524" s="37">
        <f t="shared" si="152"/>
        <v>18490.599999999999</v>
      </c>
      <c r="AL524" s="37">
        <f t="shared" si="140"/>
        <v>12.116008065843619</v>
      </c>
      <c r="AN524" s="37" t="str">
        <f t="shared" si="139"/>
        <v>Pallet</v>
      </c>
      <c r="AO524" s="194">
        <f t="shared" si="153"/>
        <v>19</v>
      </c>
    </row>
    <row r="525" spans="22:41" x14ac:dyDescent="0.2">
      <c r="V525" s="181">
        <f t="shared" si="141"/>
        <v>243.5</v>
      </c>
      <c r="W525" s="181">
        <f t="shared" si="142"/>
        <v>487</v>
      </c>
      <c r="X525" s="181">
        <f t="shared" si="143"/>
        <v>1</v>
      </c>
      <c r="Y525" s="37">
        <f t="shared" si="144"/>
        <v>1917.1</v>
      </c>
      <c r="Z525" s="181">
        <f t="shared" si="145"/>
        <v>441.5</v>
      </c>
      <c r="AA525" s="127">
        <f t="shared" si="146"/>
        <v>595.21331999999995</v>
      </c>
      <c r="AB525" s="127">
        <f t="shared" si="147"/>
        <v>595.21331999999995</v>
      </c>
      <c r="AC525" s="37">
        <f t="shared" si="135"/>
        <v>3971.2799199999999</v>
      </c>
      <c r="AD525" s="37">
        <f t="shared" si="148"/>
        <v>5888.3799199999994</v>
      </c>
      <c r="AE525" s="181">
        <f t="shared" si="136"/>
        <v>19</v>
      </c>
      <c r="AF525" s="37">
        <f t="shared" si="149"/>
        <v>13338</v>
      </c>
      <c r="AG525" s="181">
        <f t="shared" si="137"/>
        <v>792.6</v>
      </c>
      <c r="AH525" s="111">
        <f t="shared" si="150"/>
        <v>525.2545439999999</v>
      </c>
      <c r="AI525" s="127">
        <f t="shared" si="151"/>
        <v>792.6</v>
      </c>
      <c r="AJ525" s="37">
        <f t="shared" si="138"/>
        <v>5155.6000000000004</v>
      </c>
      <c r="AK525" s="37">
        <f t="shared" si="152"/>
        <v>18493.599999999999</v>
      </c>
      <c r="AL525" s="37">
        <f t="shared" si="140"/>
        <v>12.091129199178644</v>
      </c>
      <c r="AN525" s="37" t="str">
        <f t="shared" si="139"/>
        <v>Pallet</v>
      </c>
      <c r="AO525" s="194">
        <f t="shared" si="153"/>
        <v>19</v>
      </c>
    </row>
    <row r="526" spans="22:41" x14ac:dyDescent="0.2">
      <c r="V526" s="181">
        <f t="shared" si="141"/>
        <v>244</v>
      </c>
      <c r="W526" s="181">
        <f t="shared" si="142"/>
        <v>488</v>
      </c>
      <c r="X526" s="181">
        <f t="shared" si="143"/>
        <v>1</v>
      </c>
      <c r="Y526" s="37">
        <f t="shared" si="144"/>
        <v>1917.1</v>
      </c>
      <c r="Z526" s="181">
        <f t="shared" si="145"/>
        <v>442</v>
      </c>
      <c r="AA526" s="127">
        <f t="shared" si="146"/>
        <v>595.21331999999995</v>
      </c>
      <c r="AB526" s="127">
        <f t="shared" si="147"/>
        <v>595.21331999999995</v>
      </c>
      <c r="AC526" s="37">
        <f t="shared" si="135"/>
        <v>3971.2799199999999</v>
      </c>
      <c r="AD526" s="37">
        <f t="shared" si="148"/>
        <v>5888.3799199999994</v>
      </c>
      <c r="AE526" s="181">
        <f t="shared" si="136"/>
        <v>19</v>
      </c>
      <c r="AF526" s="37">
        <f t="shared" si="149"/>
        <v>13338</v>
      </c>
      <c r="AG526" s="181">
        <f t="shared" si="137"/>
        <v>793.1</v>
      </c>
      <c r="AH526" s="111">
        <f t="shared" si="150"/>
        <v>525.2545439999999</v>
      </c>
      <c r="AI526" s="127">
        <f t="shared" si="151"/>
        <v>793.1</v>
      </c>
      <c r="AJ526" s="37">
        <f t="shared" si="138"/>
        <v>5158.6000000000004</v>
      </c>
      <c r="AK526" s="37">
        <f t="shared" si="152"/>
        <v>18496.599999999999</v>
      </c>
      <c r="AL526" s="37">
        <f t="shared" si="140"/>
        <v>12.066352295081966</v>
      </c>
      <c r="AN526" s="37" t="str">
        <f t="shared" si="139"/>
        <v>Pallet</v>
      </c>
      <c r="AO526" s="194">
        <f t="shared" si="153"/>
        <v>19</v>
      </c>
    </row>
    <row r="527" spans="22:41" x14ac:dyDescent="0.2">
      <c r="V527" s="181">
        <f t="shared" si="141"/>
        <v>244.5</v>
      </c>
      <c r="W527" s="181">
        <f t="shared" si="142"/>
        <v>489</v>
      </c>
      <c r="X527" s="181">
        <f t="shared" si="143"/>
        <v>1</v>
      </c>
      <c r="Y527" s="37">
        <f t="shared" si="144"/>
        <v>1917.1</v>
      </c>
      <c r="Z527" s="181">
        <f t="shared" si="145"/>
        <v>442.5</v>
      </c>
      <c r="AA527" s="127">
        <f t="shared" si="146"/>
        <v>595.21331999999995</v>
      </c>
      <c r="AB527" s="127">
        <f t="shared" si="147"/>
        <v>595.21331999999995</v>
      </c>
      <c r="AC527" s="37">
        <f t="shared" si="135"/>
        <v>3971.2799199999999</v>
      </c>
      <c r="AD527" s="37">
        <f t="shared" si="148"/>
        <v>5888.3799199999994</v>
      </c>
      <c r="AE527" s="181">
        <f t="shared" si="136"/>
        <v>19</v>
      </c>
      <c r="AF527" s="37">
        <f t="shared" si="149"/>
        <v>13338</v>
      </c>
      <c r="AG527" s="181">
        <f t="shared" si="137"/>
        <v>793.6</v>
      </c>
      <c r="AH527" s="111">
        <f t="shared" si="150"/>
        <v>525.2545439999999</v>
      </c>
      <c r="AI527" s="127">
        <f t="shared" si="151"/>
        <v>793.6</v>
      </c>
      <c r="AJ527" s="37">
        <f t="shared" si="138"/>
        <v>5161.6000000000004</v>
      </c>
      <c r="AK527" s="37">
        <f t="shared" si="152"/>
        <v>18499.599999999999</v>
      </c>
      <c r="AL527" s="37">
        <f t="shared" si="140"/>
        <v>12.041676728016359</v>
      </c>
      <c r="AN527" s="37" t="str">
        <f t="shared" si="139"/>
        <v>Pallet</v>
      </c>
      <c r="AO527" s="194">
        <f t="shared" si="153"/>
        <v>19</v>
      </c>
    </row>
    <row r="528" spans="22:41" x14ac:dyDescent="0.2">
      <c r="V528" s="181">
        <f t="shared" si="141"/>
        <v>245</v>
      </c>
      <c r="W528" s="181">
        <f t="shared" si="142"/>
        <v>490</v>
      </c>
      <c r="X528" s="181">
        <f t="shared" si="143"/>
        <v>1</v>
      </c>
      <c r="Y528" s="37">
        <f t="shared" si="144"/>
        <v>1917.1</v>
      </c>
      <c r="Z528" s="181">
        <f t="shared" si="145"/>
        <v>443</v>
      </c>
      <c r="AA528" s="127">
        <f t="shared" si="146"/>
        <v>595.21331999999995</v>
      </c>
      <c r="AB528" s="127">
        <f t="shared" si="147"/>
        <v>595.21331999999995</v>
      </c>
      <c r="AC528" s="37">
        <f t="shared" si="135"/>
        <v>3971.2799199999999</v>
      </c>
      <c r="AD528" s="37">
        <f t="shared" si="148"/>
        <v>5888.3799199999994</v>
      </c>
      <c r="AE528" s="181">
        <f t="shared" si="136"/>
        <v>19</v>
      </c>
      <c r="AF528" s="37">
        <f t="shared" si="149"/>
        <v>13338</v>
      </c>
      <c r="AG528" s="181">
        <f t="shared" si="137"/>
        <v>794.1</v>
      </c>
      <c r="AH528" s="111">
        <f t="shared" si="150"/>
        <v>525.2545439999999</v>
      </c>
      <c r="AI528" s="127">
        <f t="shared" si="151"/>
        <v>794.1</v>
      </c>
      <c r="AJ528" s="37">
        <f t="shared" si="138"/>
        <v>5164.6000000000004</v>
      </c>
      <c r="AK528" s="37">
        <f t="shared" si="152"/>
        <v>18502.599999999999</v>
      </c>
      <c r="AL528" s="37">
        <f t="shared" si="140"/>
        <v>12.017101877551019</v>
      </c>
      <c r="AN528" s="37" t="str">
        <f t="shared" si="139"/>
        <v>Pallet</v>
      </c>
      <c r="AO528" s="194">
        <f t="shared" si="153"/>
        <v>19</v>
      </c>
    </row>
    <row r="529" spans="22:41" x14ac:dyDescent="0.2">
      <c r="V529" s="181">
        <f t="shared" si="141"/>
        <v>245.5</v>
      </c>
      <c r="W529" s="181">
        <f t="shared" si="142"/>
        <v>491</v>
      </c>
      <c r="X529" s="181">
        <f t="shared" si="143"/>
        <v>1</v>
      </c>
      <c r="Y529" s="37">
        <f t="shared" si="144"/>
        <v>1917.1</v>
      </c>
      <c r="Z529" s="181">
        <f t="shared" si="145"/>
        <v>443.5</v>
      </c>
      <c r="AA529" s="127">
        <f t="shared" si="146"/>
        <v>595.21331999999995</v>
      </c>
      <c r="AB529" s="127">
        <f t="shared" si="147"/>
        <v>595.21331999999995</v>
      </c>
      <c r="AC529" s="37">
        <f t="shared" si="135"/>
        <v>3971.2799199999999</v>
      </c>
      <c r="AD529" s="37">
        <f t="shared" si="148"/>
        <v>5888.3799199999994</v>
      </c>
      <c r="AE529" s="181">
        <f t="shared" si="136"/>
        <v>20</v>
      </c>
      <c r="AF529" s="37">
        <f t="shared" si="149"/>
        <v>14040</v>
      </c>
      <c r="AG529" s="181">
        <f t="shared" si="137"/>
        <v>823.5</v>
      </c>
      <c r="AH529" s="111">
        <f t="shared" si="150"/>
        <v>552.89951999999994</v>
      </c>
      <c r="AI529" s="127">
        <f t="shared" si="151"/>
        <v>823.5</v>
      </c>
      <c r="AJ529" s="37">
        <f t="shared" si="138"/>
        <v>5341</v>
      </c>
      <c r="AK529" s="37">
        <f t="shared" si="152"/>
        <v>19381</v>
      </c>
      <c r="AL529" s="37">
        <f t="shared" si="140"/>
        <v>11.992627128309572</v>
      </c>
      <c r="AN529" s="37" t="str">
        <f t="shared" si="139"/>
        <v>Pallet</v>
      </c>
      <c r="AO529" s="194">
        <f t="shared" si="153"/>
        <v>19</v>
      </c>
    </row>
    <row r="530" spans="22:41" x14ac:dyDescent="0.2">
      <c r="V530" s="181">
        <f t="shared" si="141"/>
        <v>246</v>
      </c>
      <c r="W530" s="181">
        <f t="shared" si="142"/>
        <v>492</v>
      </c>
      <c r="X530" s="181">
        <f t="shared" si="143"/>
        <v>1</v>
      </c>
      <c r="Y530" s="37">
        <f t="shared" si="144"/>
        <v>1917.1</v>
      </c>
      <c r="Z530" s="181">
        <f t="shared" si="145"/>
        <v>444</v>
      </c>
      <c r="AA530" s="127">
        <f t="shared" si="146"/>
        <v>595.21331999999995</v>
      </c>
      <c r="AB530" s="127">
        <f t="shared" si="147"/>
        <v>595.21331999999995</v>
      </c>
      <c r="AC530" s="37">
        <f t="shared" si="135"/>
        <v>3971.2799199999999</v>
      </c>
      <c r="AD530" s="37">
        <f t="shared" si="148"/>
        <v>5888.3799199999994</v>
      </c>
      <c r="AE530" s="181">
        <f t="shared" si="136"/>
        <v>20</v>
      </c>
      <c r="AF530" s="37">
        <f t="shared" si="149"/>
        <v>14040</v>
      </c>
      <c r="AG530" s="181">
        <f t="shared" si="137"/>
        <v>824</v>
      </c>
      <c r="AH530" s="111">
        <f t="shared" si="150"/>
        <v>552.89951999999994</v>
      </c>
      <c r="AI530" s="127">
        <f t="shared" si="151"/>
        <v>824</v>
      </c>
      <c r="AJ530" s="37">
        <f t="shared" si="138"/>
        <v>5344</v>
      </c>
      <c r="AK530" s="37">
        <f t="shared" si="152"/>
        <v>19384</v>
      </c>
      <c r="AL530" s="37">
        <f t="shared" si="140"/>
        <v>11.968251869918697</v>
      </c>
      <c r="AN530" s="37" t="str">
        <f t="shared" si="139"/>
        <v>Pallet</v>
      </c>
      <c r="AO530" s="194">
        <f t="shared" si="153"/>
        <v>20</v>
      </c>
    </row>
    <row r="531" spans="22:41" x14ac:dyDescent="0.2">
      <c r="V531" s="181">
        <f t="shared" si="141"/>
        <v>246.5</v>
      </c>
      <c r="W531" s="181">
        <f t="shared" si="142"/>
        <v>493</v>
      </c>
      <c r="X531" s="181">
        <f t="shared" si="143"/>
        <v>1</v>
      </c>
      <c r="Y531" s="37">
        <f t="shared" si="144"/>
        <v>1917.1</v>
      </c>
      <c r="Z531" s="181">
        <f t="shared" si="145"/>
        <v>444.5</v>
      </c>
      <c r="AA531" s="127">
        <f t="shared" si="146"/>
        <v>595.21331999999995</v>
      </c>
      <c r="AB531" s="127">
        <f t="shared" si="147"/>
        <v>595.21331999999995</v>
      </c>
      <c r="AC531" s="37">
        <f t="shared" si="135"/>
        <v>3971.2799199999999</v>
      </c>
      <c r="AD531" s="37">
        <f t="shared" si="148"/>
        <v>5888.3799199999994</v>
      </c>
      <c r="AE531" s="181">
        <f t="shared" si="136"/>
        <v>20</v>
      </c>
      <c r="AF531" s="37">
        <f t="shared" si="149"/>
        <v>14040</v>
      </c>
      <c r="AG531" s="181">
        <f t="shared" si="137"/>
        <v>824.5</v>
      </c>
      <c r="AH531" s="111">
        <f t="shared" si="150"/>
        <v>552.89951999999994</v>
      </c>
      <c r="AI531" s="127">
        <f t="shared" si="151"/>
        <v>824.5</v>
      </c>
      <c r="AJ531" s="37">
        <f t="shared" si="138"/>
        <v>5347</v>
      </c>
      <c r="AK531" s="37">
        <f t="shared" si="152"/>
        <v>19387</v>
      </c>
      <c r="AL531" s="37">
        <f t="shared" si="140"/>
        <v>11.943975496957403</v>
      </c>
      <c r="AN531" s="37" t="str">
        <f t="shared" si="139"/>
        <v>Pallet</v>
      </c>
      <c r="AO531" s="194">
        <f t="shared" si="153"/>
        <v>20</v>
      </c>
    </row>
    <row r="532" spans="22:41" x14ac:dyDescent="0.2">
      <c r="V532" s="181">
        <f t="shared" si="141"/>
        <v>247</v>
      </c>
      <c r="W532" s="181">
        <f t="shared" si="142"/>
        <v>494</v>
      </c>
      <c r="X532" s="181">
        <f t="shared" si="143"/>
        <v>1</v>
      </c>
      <c r="Y532" s="37">
        <f t="shared" si="144"/>
        <v>1917.1</v>
      </c>
      <c r="Z532" s="181">
        <f t="shared" si="145"/>
        <v>445</v>
      </c>
      <c r="AA532" s="127">
        <f t="shared" si="146"/>
        <v>595.21331999999995</v>
      </c>
      <c r="AB532" s="127">
        <f t="shared" si="147"/>
        <v>595.21331999999995</v>
      </c>
      <c r="AC532" s="37">
        <f t="shared" si="135"/>
        <v>3971.2799199999999</v>
      </c>
      <c r="AD532" s="37">
        <f t="shared" si="148"/>
        <v>5888.3799199999994</v>
      </c>
      <c r="AE532" s="181">
        <f t="shared" si="136"/>
        <v>20</v>
      </c>
      <c r="AF532" s="37">
        <f t="shared" si="149"/>
        <v>14040</v>
      </c>
      <c r="AG532" s="181">
        <f t="shared" si="137"/>
        <v>825</v>
      </c>
      <c r="AH532" s="111">
        <f t="shared" si="150"/>
        <v>552.89951999999994</v>
      </c>
      <c r="AI532" s="127">
        <f t="shared" si="151"/>
        <v>825</v>
      </c>
      <c r="AJ532" s="37">
        <f t="shared" si="138"/>
        <v>5350</v>
      </c>
      <c r="AK532" s="37">
        <f t="shared" si="152"/>
        <v>19390</v>
      </c>
      <c r="AL532" s="37">
        <f t="shared" si="140"/>
        <v>11.919797408906881</v>
      </c>
      <c r="AN532" s="37" t="str">
        <f t="shared" si="139"/>
        <v>Pallet</v>
      </c>
      <c r="AO532" s="194">
        <f t="shared" si="153"/>
        <v>20</v>
      </c>
    </row>
    <row r="533" spans="22:41" x14ac:dyDescent="0.2">
      <c r="V533" s="181">
        <f t="shared" si="141"/>
        <v>247.5</v>
      </c>
      <c r="W533" s="181">
        <f t="shared" si="142"/>
        <v>495</v>
      </c>
      <c r="X533" s="181">
        <f t="shared" si="143"/>
        <v>1</v>
      </c>
      <c r="Y533" s="37">
        <f t="shared" si="144"/>
        <v>1917.1</v>
      </c>
      <c r="Z533" s="181">
        <f t="shared" si="145"/>
        <v>445.5</v>
      </c>
      <c r="AA533" s="127">
        <f t="shared" si="146"/>
        <v>595.21331999999995</v>
      </c>
      <c r="AB533" s="127">
        <f t="shared" si="147"/>
        <v>595.21331999999995</v>
      </c>
      <c r="AC533" s="37">
        <f t="shared" si="135"/>
        <v>3971.2799199999999</v>
      </c>
      <c r="AD533" s="37">
        <f t="shared" si="148"/>
        <v>5888.3799199999994</v>
      </c>
      <c r="AE533" s="181">
        <f t="shared" si="136"/>
        <v>20</v>
      </c>
      <c r="AF533" s="37">
        <f t="shared" si="149"/>
        <v>14040</v>
      </c>
      <c r="AG533" s="181">
        <f t="shared" si="137"/>
        <v>825.5</v>
      </c>
      <c r="AH533" s="111">
        <f t="shared" si="150"/>
        <v>552.89951999999994</v>
      </c>
      <c r="AI533" s="127">
        <f t="shared" si="151"/>
        <v>825.5</v>
      </c>
      <c r="AJ533" s="37">
        <f t="shared" si="138"/>
        <v>5353</v>
      </c>
      <c r="AK533" s="37">
        <f t="shared" si="152"/>
        <v>19393</v>
      </c>
      <c r="AL533" s="37">
        <f t="shared" si="140"/>
        <v>11.895717010101009</v>
      </c>
      <c r="AN533" s="37" t="str">
        <f t="shared" si="139"/>
        <v>Pallet</v>
      </c>
      <c r="AO533" s="194">
        <f t="shared" si="153"/>
        <v>20</v>
      </c>
    </row>
    <row r="534" spans="22:41" x14ac:dyDescent="0.2">
      <c r="V534" s="181">
        <f t="shared" si="141"/>
        <v>248</v>
      </c>
      <c r="W534" s="181">
        <f t="shared" si="142"/>
        <v>496</v>
      </c>
      <c r="X534" s="181">
        <f t="shared" si="143"/>
        <v>1</v>
      </c>
      <c r="Y534" s="37">
        <f t="shared" si="144"/>
        <v>1917.1</v>
      </c>
      <c r="Z534" s="181">
        <f t="shared" si="145"/>
        <v>446</v>
      </c>
      <c r="AA534" s="127">
        <f t="shared" si="146"/>
        <v>595.21331999999995</v>
      </c>
      <c r="AB534" s="127">
        <f t="shared" si="147"/>
        <v>595.21331999999995</v>
      </c>
      <c r="AC534" s="37">
        <f t="shared" si="135"/>
        <v>3971.2799199999999</v>
      </c>
      <c r="AD534" s="37">
        <f t="shared" si="148"/>
        <v>5888.3799199999994</v>
      </c>
      <c r="AE534" s="181">
        <f t="shared" si="136"/>
        <v>20</v>
      </c>
      <c r="AF534" s="37">
        <f t="shared" si="149"/>
        <v>14040</v>
      </c>
      <c r="AG534" s="181">
        <f t="shared" si="137"/>
        <v>826</v>
      </c>
      <c r="AH534" s="111">
        <f t="shared" si="150"/>
        <v>552.89951999999994</v>
      </c>
      <c r="AI534" s="127">
        <f t="shared" si="151"/>
        <v>826</v>
      </c>
      <c r="AJ534" s="37">
        <f t="shared" si="138"/>
        <v>5356</v>
      </c>
      <c r="AK534" s="37">
        <f t="shared" si="152"/>
        <v>19396</v>
      </c>
      <c r="AL534" s="37">
        <f t="shared" si="140"/>
        <v>11.871733709677418</v>
      </c>
      <c r="AN534" s="37" t="str">
        <f t="shared" si="139"/>
        <v>Pallet</v>
      </c>
      <c r="AO534" s="194">
        <f t="shared" si="153"/>
        <v>20</v>
      </c>
    </row>
    <row r="535" spans="22:41" x14ac:dyDescent="0.2">
      <c r="V535" s="181">
        <f t="shared" si="141"/>
        <v>248.5</v>
      </c>
      <c r="W535" s="181">
        <f t="shared" si="142"/>
        <v>497</v>
      </c>
      <c r="X535" s="181">
        <f t="shared" si="143"/>
        <v>1</v>
      </c>
      <c r="Y535" s="37">
        <f t="shared" si="144"/>
        <v>1917.1</v>
      </c>
      <c r="Z535" s="181">
        <f t="shared" si="145"/>
        <v>446.5</v>
      </c>
      <c r="AA535" s="127">
        <f t="shared" si="146"/>
        <v>595.21331999999995</v>
      </c>
      <c r="AB535" s="127">
        <f t="shared" si="147"/>
        <v>595.21331999999995</v>
      </c>
      <c r="AC535" s="37">
        <f t="shared" si="135"/>
        <v>3971.2799199999999</v>
      </c>
      <c r="AD535" s="37">
        <f t="shared" si="148"/>
        <v>5888.3799199999994</v>
      </c>
      <c r="AE535" s="181">
        <f t="shared" si="136"/>
        <v>20</v>
      </c>
      <c r="AF535" s="37">
        <f t="shared" si="149"/>
        <v>14040</v>
      </c>
      <c r="AG535" s="181">
        <f t="shared" si="137"/>
        <v>826.5</v>
      </c>
      <c r="AH535" s="111">
        <f t="shared" si="150"/>
        <v>552.89951999999994</v>
      </c>
      <c r="AI535" s="127">
        <f t="shared" si="151"/>
        <v>826.5</v>
      </c>
      <c r="AJ535" s="37">
        <f t="shared" si="138"/>
        <v>5359</v>
      </c>
      <c r="AK535" s="37">
        <f t="shared" si="152"/>
        <v>19399</v>
      </c>
      <c r="AL535" s="37">
        <f t="shared" si="140"/>
        <v>11.847846921529174</v>
      </c>
      <c r="AN535" s="37" t="str">
        <f t="shared" si="139"/>
        <v>Pallet</v>
      </c>
      <c r="AO535" s="194">
        <f t="shared" si="153"/>
        <v>20</v>
      </c>
    </row>
    <row r="536" spans="22:41" x14ac:dyDescent="0.2">
      <c r="V536" s="181">
        <f t="shared" si="141"/>
        <v>249</v>
      </c>
      <c r="W536" s="181">
        <f t="shared" si="142"/>
        <v>498</v>
      </c>
      <c r="X536" s="181">
        <f t="shared" si="143"/>
        <v>1</v>
      </c>
      <c r="Y536" s="37">
        <f t="shared" si="144"/>
        <v>1917.1</v>
      </c>
      <c r="Z536" s="181">
        <f t="shared" si="145"/>
        <v>447</v>
      </c>
      <c r="AA536" s="127">
        <f t="shared" si="146"/>
        <v>595.21331999999995</v>
      </c>
      <c r="AB536" s="127">
        <f t="shared" si="147"/>
        <v>595.21331999999995</v>
      </c>
      <c r="AC536" s="37">
        <f t="shared" si="135"/>
        <v>3971.2799199999999</v>
      </c>
      <c r="AD536" s="37">
        <f t="shared" si="148"/>
        <v>5888.3799199999994</v>
      </c>
      <c r="AE536" s="181">
        <f t="shared" si="136"/>
        <v>20</v>
      </c>
      <c r="AF536" s="37">
        <f t="shared" si="149"/>
        <v>14040</v>
      </c>
      <c r="AG536" s="181">
        <f t="shared" si="137"/>
        <v>827</v>
      </c>
      <c r="AH536" s="111">
        <f t="shared" si="150"/>
        <v>552.89951999999994</v>
      </c>
      <c r="AI536" s="127">
        <f t="shared" si="151"/>
        <v>827</v>
      </c>
      <c r="AJ536" s="37">
        <f t="shared" si="138"/>
        <v>5362</v>
      </c>
      <c r="AK536" s="37">
        <f t="shared" si="152"/>
        <v>19402</v>
      </c>
      <c r="AL536" s="37">
        <f t="shared" si="140"/>
        <v>11.824056064257027</v>
      </c>
      <c r="AN536" s="37" t="str">
        <f t="shared" si="139"/>
        <v>Pallet</v>
      </c>
      <c r="AO536" s="194">
        <f t="shared" si="153"/>
        <v>20</v>
      </c>
    </row>
    <row r="537" spans="22:41" x14ac:dyDescent="0.2">
      <c r="V537" s="181">
        <f t="shared" si="141"/>
        <v>249.5</v>
      </c>
      <c r="W537" s="181">
        <f t="shared" si="142"/>
        <v>499</v>
      </c>
      <c r="X537" s="181">
        <f t="shared" si="143"/>
        <v>1</v>
      </c>
      <c r="Y537" s="37">
        <f t="shared" si="144"/>
        <v>1917.1</v>
      </c>
      <c r="Z537" s="181">
        <f t="shared" si="145"/>
        <v>447.5</v>
      </c>
      <c r="AA537" s="127">
        <f t="shared" si="146"/>
        <v>595.21331999999995</v>
      </c>
      <c r="AB537" s="127">
        <f t="shared" si="147"/>
        <v>595.21331999999995</v>
      </c>
      <c r="AC537" s="37">
        <f t="shared" si="135"/>
        <v>3971.2799199999999</v>
      </c>
      <c r="AD537" s="37">
        <f t="shared" si="148"/>
        <v>5888.3799199999994</v>
      </c>
      <c r="AE537" s="181">
        <f t="shared" si="136"/>
        <v>20</v>
      </c>
      <c r="AF537" s="37">
        <f t="shared" si="149"/>
        <v>14040</v>
      </c>
      <c r="AG537" s="181">
        <f t="shared" si="137"/>
        <v>827.5</v>
      </c>
      <c r="AH537" s="111">
        <f t="shared" si="150"/>
        <v>552.89951999999994</v>
      </c>
      <c r="AI537" s="127">
        <f t="shared" si="151"/>
        <v>827.5</v>
      </c>
      <c r="AJ537" s="37">
        <f t="shared" si="138"/>
        <v>5365</v>
      </c>
      <c r="AK537" s="37">
        <f t="shared" si="152"/>
        <v>19405</v>
      </c>
      <c r="AL537" s="37">
        <f t="shared" si="140"/>
        <v>11.800360561122243</v>
      </c>
      <c r="AN537" s="37" t="str">
        <f t="shared" si="139"/>
        <v>Pallet</v>
      </c>
      <c r="AO537" s="194">
        <f t="shared" si="153"/>
        <v>20</v>
      </c>
    </row>
    <row r="538" spans="22:41" x14ac:dyDescent="0.2">
      <c r="V538" s="181">
        <f t="shared" si="141"/>
        <v>250</v>
      </c>
      <c r="W538" s="181">
        <f t="shared" si="142"/>
        <v>500</v>
      </c>
      <c r="X538" s="181">
        <f t="shared" si="143"/>
        <v>1</v>
      </c>
      <c r="Y538" s="37">
        <f t="shared" si="144"/>
        <v>1917.1</v>
      </c>
      <c r="Z538" s="181">
        <f t="shared" si="145"/>
        <v>448</v>
      </c>
      <c r="AA538" s="127">
        <f t="shared" si="146"/>
        <v>595.21331999999995</v>
      </c>
      <c r="AB538" s="127">
        <f t="shared" si="147"/>
        <v>595.21331999999995</v>
      </c>
      <c r="AC538" s="37">
        <f t="shared" si="135"/>
        <v>3971.2799199999999</v>
      </c>
      <c r="AD538" s="37">
        <f t="shared" si="148"/>
        <v>5888.3799199999994</v>
      </c>
      <c r="AE538" s="181">
        <f t="shared" si="136"/>
        <v>20</v>
      </c>
      <c r="AF538" s="37">
        <f t="shared" si="149"/>
        <v>14040</v>
      </c>
      <c r="AG538" s="181">
        <f t="shared" si="137"/>
        <v>828</v>
      </c>
      <c r="AH538" s="111">
        <f t="shared" si="150"/>
        <v>552.89951999999994</v>
      </c>
      <c r="AI538" s="127">
        <f t="shared" si="151"/>
        <v>828</v>
      </c>
      <c r="AJ538" s="37">
        <f t="shared" si="138"/>
        <v>5368</v>
      </c>
      <c r="AK538" s="37">
        <f t="shared" si="152"/>
        <v>19408</v>
      </c>
      <c r="AL538" s="37">
        <f t="shared" si="140"/>
        <v>11.776759839999999</v>
      </c>
      <c r="AN538" s="37" t="str">
        <f t="shared" si="139"/>
        <v>Pallet</v>
      </c>
      <c r="AO538" s="194">
        <f t="shared" si="153"/>
        <v>20</v>
      </c>
    </row>
    <row r="539" spans="22:41" x14ac:dyDescent="0.2">
      <c r="V539" s="181">
        <f t="shared" si="141"/>
        <v>250.5</v>
      </c>
      <c r="W539" s="181">
        <f t="shared" si="142"/>
        <v>501</v>
      </c>
      <c r="X539" s="181">
        <f t="shared" si="143"/>
        <v>1</v>
      </c>
      <c r="Y539" s="37">
        <f t="shared" si="144"/>
        <v>1917.1</v>
      </c>
      <c r="Z539" s="181">
        <f t="shared" si="145"/>
        <v>448.5</v>
      </c>
      <c r="AA539" s="127">
        <f t="shared" si="146"/>
        <v>595.21331999999995</v>
      </c>
      <c r="AB539" s="127">
        <f t="shared" si="147"/>
        <v>595.21331999999995</v>
      </c>
      <c r="AC539" s="37">
        <f t="shared" si="135"/>
        <v>3971.2799199999999</v>
      </c>
      <c r="AD539" s="37">
        <f t="shared" si="148"/>
        <v>5888.3799199999994</v>
      </c>
      <c r="AE539" s="181">
        <f t="shared" si="136"/>
        <v>20</v>
      </c>
      <c r="AF539" s="37">
        <f t="shared" si="149"/>
        <v>14040</v>
      </c>
      <c r="AG539" s="181">
        <f t="shared" si="137"/>
        <v>828.5</v>
      </c>
      <c r="AH539" s="111">
        <f t="shared" si="150"/>
        <v>552.89951999999994</v>
      </c>
      <c r="AI539" s="127">
        <f t="shared" si="151"/>
        <v>828.5</v>
      </c>
      <c r="AJ539" s="37">
        <f t="shared" si="138"/>
        <v>5371</v>
      </c>
      <c r="AK539" s="37">
        <f t="shared" si="152"/>
        <v>19411</v>
      </c>
      <c r="AL539" s="37">
        <f t="shared" si="140"/>
        <v>11.753253333333332</v>
      </c>
      <c r="AN539" s="37" t="str">
        <f t="shared" si="139"/>
        <v>Pallet</v>
      </c>
      <c r="AO539" s="194">
        <f t="shared" si="153"/>
        <v>20</v>
      </c>
    </row>
    <row r="540" spans="22:41" x14ac:dyDescent="0.2">
      <c r="V540" s="181">
        <f t="shared" si="141"/>
        <v>251</v>
      </c>
      <c r="W540" s="181">
        <f t="shared" si="142"/>
        <v>502</v>
      </c>
      <c r="X540" s="181">
        <f t="shared" si="143"/>
        <v>1</v>
      </c>
      <c r="Y540" s="37">
        <f t="shared" si="144"/>
        <v>1917.1</v>
      </c>
      <c r="Z540" s="181">
        <f t="shared" si="145"/>
        <v>449</v>
      </c>
      <c r="AA540" s="127">
        <f t="shared" si="146"/>
        <v>595.21331999999995</v>
      </c>
      <c r="AB540" s="127">
        <f t="shared" si="147"/>
        <v>595.21331999999995</v>
      </c>
      <c r="AC540" s="37">
        <f t="shared" si="135"/>
        <v>3971.2799199999999</v>
      </c>
      <c r="AD540" s="37">
        <f t="shared" si="148"/>
        <v>5888.3799199999994</v>
      </c>
      <c r="AE540" s="181">
        <f t="shared" si="136"/>
        <v>20</v>
      </c>
      <c r="AF540" s="37">
        <f t="shared" si="149"/>
        <v>14040</v>
      </c>
      <c r="AG540" s="181">
        <f t="shared" si="137"/>
        <v>829</v>
      </c>
      <c r="AH540" s="111">
        <f t="shared" si="150"/>
        <v>552.89951999999994</v>
      </c>
      <c r="AI540" s="127">
        <f t="shared" si="151"/>
        <v>829</v>
      </c>
      <c r="AJ540" s="37">
        <f t="shared" si="138"/>
        <v>5374</v>
      </c>
      <c r="AK540" s="37">
        <f t="shared" si="152"/>
        <v>19414</v>
      </c>
      <c r="AL540" s="37">
        <f t="shared" si="140"/>
        <v>11.729840478087649</v>
      </c>
      <c r="AN540" s="37" t="str">
        <f t="shared" si="139"/>
        <v>Pallet</v>
      </c>
      <c r="AO540" s="194">
        <f t="shared" si="153"/>
        <v>20</v>
      </c>
    </row>
    <row r="541" spans="22:41" x14ac:dyDescent="0.2">
      <c r="V541" s="181">
        <f t="shared" si="141"/>
        <v>251.5</v>
      </c>
      <c r="W541" s="181">
        <f t="shared" si="142"/>
        <v>503</v>
      </c>
      <c r="X541" s="181">
        <f t="shared" si="143"/>
        <v>1</v>
      </c>
      <c r="Y541" s="37">
        <f t="shared" si="144"/>
        <v>1917.1</v>
      </c>
      <c r="Z541" s="181">
        <f t="shared" si="145"/>
        <v>449.5</v>
      </c>
      <c r="AA541" s="127">
        <f t="shared" si="146"/>
        <v>595.21331999999995</v>
      </c>
      <c r="AB541" s="127">
        <f t="shared" si="147"/>
        <v>595.21331999999995</v>
      </c>
      <c r="AC541" s="37">
        <f t="shared" si="135"/>
        <v>3971.2799199999999</v>
      </c>
      <c r="AD541" s="37">
        <f t="shared" si="148"/>
        <v>5888.3799199999994</v>
      </c>
      <c r="AE541" s="181">
        <f t="shared" si="136"/>
        <v>20</v>
      </c>
      <c r="AF541" s="37">
        <f t="shared" si="149"/>
        <v>14040</v>
      </c>
      <c r="AG541" s="181">
        <f t="shared" si="137"/>
        <v>829.5</v>
      </c>
      <c r="AH541" s="111">
        <f t="shared" si="150"/>
        <v>552.89951999999994</v>
      </c>
      <c r="AI541" s="127">
        <f t="shared" si="151"/>
        <v>829.5</v>
      </c>
      <c r="AJ541" s="37">
        <f t="shared" si="138"/>
        <v>5377</v>
      </c>
      <c r="AK541" s="37">
        <f t="shared" si="152"/>
        <v>19417</v>
      </c>
      <c r="AL541" s="37">
        <f t="shared" si="140"/>
        <v>11.706520715705764</v>
      </c>
      <c r="AN541" s="37" t="str">
        <f t="shared" si="139"/>
        <v>Pallet</v>
      </c>
      <c r="AO541" s="194">
        <f t="shared" si="153"/>
        <v>20</v>
      </c>
    </row>
    <row r="542" spans="22:41" x14ac:dyDescent="0.2">
      <c r="V542" s="181">
        <f t="shared" si="141"/>
        <v>252</v>
      </c>
      <c r="W542" s="181">
        <f t="shared" si="142"/>
        <v>504</v>
      </c>
      <c r="X542" s="181">
        <f t="shared" si="143"/>
        <v>1</v>
      </c>
      <c r="Y542" s="37">
        <f t="shared" si="144"/>
        <v>1917.1</v>
      </c>
      <c r="Z542" s="181">
        <f t="shared" si="145"/>
        <v>450</v>
      </c>
      <c r="AA542" s="127">
        <f t="shared" si="146"/>
        <v>595.21331999999995</v>
      </c>
      <c r="AB542" s="127">
        <f t="shared" si="147"/>
        <v>595.21331999999995</v>
      </c>
      <c r="AC542" s="37">
        <f t="shared" si="135"/>
        <v>3971.2799199999999</v>
      </c>
      <c r="AD542" s="37">
        <f t="shared" si="148"/>
        <v>5888.3799199999994</v>
      </c>
      <c r="AE542" s="181">
        <f t="shared" si="136"/>
        <v>20</v>
      </c>
      <c r="AF542" s="37">
        <f t="shared" si="149"/>
        <v>14040</v>
      </c>
      <c r="AG542" s="181">
        <f t="shared" si="137"/>
        <v>830</v>
      </c>
      <c r="AH542" s="111">
        <f t="shared" si="150"/>
        <v>552.89951999999994</v>
      </c>
      <c r="AI542" s="127">
        <f t="shared" si="151"/>
        <v>830</v>
      </c>
      <c r="AJ542" s="37">
        <f t="shared" si="138"/>
        <v>5380</v>
      </c>
      <c r="AK542" s="37">
        <f t="shared" si="152"/>
        <v>19420</v>
      </c>
      <c r="AL542" s="37">
        <f t="shared" si="140"/>
        <v>11.683293492063491</v>
      </c>
      <c r="AN542" s="37" t="str">
        <f t="shared" si="139"/>
        <v>Pallet</v>
      </c>
      <c r="AO542" s="194">
        <f t="shared" si="153"/>
        <v>20</v>
      </c>
    </row>
    <row r="543" spans="22:41" x14ac:dyDescent="0.2">
      <c r="V543" s="181">
        <f t="shared" si="141"/>
        <v>252.5</v>
      </c>
      <c r="W543" s="181">
        <f t="shared" si="142"/>
        <v>505</v>
      </c>
      <c r="X543" s="181">
        <f t="shared" si="143"/>
        <v>1</v>
      </c>
      <c r="Y543" s="37">
        <f t="shared" si="144"/>
        <v>1917.1</v>
      </c>
      <c r="Z543" s="181">
        <f t="shared" si="145"/>
        <v>450.5</v>
      </c>
      <c r="AA543" s="127">
        <f t="shared" si="146"/>
        <v>595.21331999999995</v>
      </c>
      <c r="AB543" s="127">
        <f t="shared" si="147"/>
        <v>595.21331999999995</v>
      </c>
      <c r="AC543" s="37">
        <f t="shared" si="135"/>
        <v>3971.2799199999999</v>
      </c>
      <c r="AD543" s="37">
        <f t="shared" si="148"/>
        <v>5888.3799199999994</v>
      </c>
      <c r="AE543" s="181">
        <f t="shared" si="136"/>
        <v>20</v>
      </c>
      <c r="AF543" s="37">
        <f t="shared" si="149"/>
        <v>14040</v>
      </c>
      <c r="AG543" s="181">
        <f t="shared" si="137"/>
        <v>830.5</v>
      </c>
      <c r="AH543" s="111">
        <f t="shared" si="150"/>
        <v>552.89951999999994</v>
      </c>
      <c r="AI543" s="127">
        <f t="shared" si="151"/>
        <v>830.5</v>
      </c>
      <c r="AJ543" s="37">
        <f t="shared" si="138"/>
        <v>5383</v>
      </c>
      <c r="AK543" s="37">
        <f t="shared" si="152"/>
        <v>19423</v>
      </c>
      <c r="AL543" s="37">
        <f t="shared" si="140"/>
        <v>11.660158257425742</v>
      </c>
      <c r="AN543" s="37" t="str">
        <f t="shared" si="139"/>
        <v>Pallet</v>
      </c>
      <c r="AO543" s="194">
        <f t="shared" si="153"/>
        <v>20</v>
      </c>
    </row>
    <row r="544" spans="22:41" x14ac:dyDescent="0.2">
      <c r="V544" s="181">
        <f t="shared" si="141"/>
        <v>253</v>
      </c>
      <c r="W544" s="181">
        <f t="shared" si="142"/>
        <v>506</v>
      </c>
      <c r="X544" s="181">
        <f t="shared" si="143"/>
        <v>1</v>
      </c>
      <c r="Y544" s="37">
        <f t="shared" si="144"/>
        <v>1917.1</v>
      </c>
      <c r="Z544" s="181">
        <f t="shared" si="145"/>
        <v>451</v>
      </c>
      <c r="AA544" s="127">
        <f t="shared" si="146"/>
        <v>595.21331999999995</v>
      </c>
      <c r="AB544" s="127">
        <f t="shared" si="147"/>
        <v>595.21331999999995</v>
      </c>
      <c r="AC544" s="37">
        <f t="shared" si="135"/>
        <v>3971.2799199999999</v>
      </c>
      <c r="AD544" s="37">
        <f t="shared" si="148"/>
        <v>5888.3799199999994</v>
      </c>
      <c r="AE544" s="181">
        <f t="shared" si="136"/>
        <v>20</v>
      </c>
      <c r="AF544" s="37">
        <f t="shared" si="149"/>
        <v>14040</v>
      </c>
      <c r="AG544" s="181">
        <f t="shared" si="137"/>
        <v>831</v>
      </c>
      <c r="AH544" s="111">
        <f t="shared" si="150"/>
        <v>552.89951999999994</v>
      </c>
      <c r="AI544" s="127">
        <f t="shared" si="151"/>
        <v>831</v>
      </c>
      <c r="AJ544" s="37">
        <f t="shared" si="138"/>
        <v>5386</v>
      </c>
      <c r="AK544" s="37">
        <f t="shared" si="152"/>
        <v>19426</v>
      </c>
      <c r="AL544" s="37">
        <f t="shared" si="140"/>
        <v>11.63711446640316</v>
      </c>
      <c r="AN544" s="37" t="str">
        <f t="shared" si="139"/>
        <v>Pallet</v>
      </c>
      <c r="AO544" s="194">
        <f t="shared" si="153"/>
        <v>20</v>
      </c>
    </row>
    <row r="545" spans="22:41" x14ac:dyDescent="0.2">
      <c r="V545" s="181">
        <f t="shared" si="141"/>
        <v>253.5</v>
      </c>
      <c r="W545" s="181">
        <f t="shared" si="142"/>
        <v>507</v>
      </c>
      <c r="X545" s="181">
        <f t="shared" si="143"/>
        <v>1</v>
      </c>
      <c r="Y545" s="37">
        <f t="shared" si="144"/>
        <v>1917.1</v>
      </c>
      <c r="Z545" s="181">
        <f t="shared" si="145"/>
        <v>451.5</v>
      </c>
      <c r="AA545" s="127">
        <f t="shared" si="146"/>
        <v>595.21331999999995</v>
      </c>
      <c r="AB545" s="127">
        <f t="shared" si="147"/>
        <v>595.21331999999995</v>
      </c>
      <c r="AC545" s="37">
        <f t="shared" si="135"/>
        <v>3971.2799199999999</v>
      </c>
      <c r="AD545" s="37">
        <f t="shared" si="148"/>
        <v>5888.3799199999994</v>
      </c>
      <c r="AE545" s="181">
        <f t="shared" si="136"/>
        <v>20</v>
      </c>
      <c r="AF545" s="37">
        <f t="shared" si="149"/>
        <v>14040</v>
      </c>
      <c r="AG545" s="181">
        <f t="shared" si="137"/>
        <v>831.5</v>
      </c>
      <c r="AH545" s="111">
        <f t="shared" si="150"/>
        <v>552.89951999999994</v>
      </c>
      <c r="AI545" s="127">
        <f t="shared" si="151"/>
        <v>831.5</v>
      </c>
      <c r="AJ545" s="37">
        <f t="shared" si="138"/>
        <v>5389</v>
      </c>
      <c r="AK545" s="37">
        <f t="shared" si="152"/>
        <v>19429</v>
      </c>
      <c r="AL545" s="37">
        <f t="shared" si="140"/>
        <v>11.614161577909268</v>
      </c>
      <c r="AN545" s="37" t="str">
        <f t="shared" si="139"/>
        <v>Pallet</v>
      </c>
      <c r="AO545" s="194">
        <f t="shared" si="153"/>
        <v>20</v>
      </c>
    </row>
    <row r="546" spans="22:41" x14ac:dyDescent="0.2">
      <c r="V546" s="181">
        <f t="shared" si="141"/>
        <v>254</v>
      </c>
      <c r="W546" s="181">
        <f t="shared" si="142"/>
        <v>508</v>
      </c>
      <c r="X546" s="181">
        <f t="shared" si="143"/>
        <v>1</v>
      </c>
      <c r="Y546" s="37">
        <f t="shared" si="144"/>
        <v>1917.1</v>
      </c>
      <c r="Z546" s="181">
        <f t="shared" si="145"/>
        <v>452</v>
      </c>
      <c r="AA546" s="127">
        <f t="shared" si="146"/>
        <v>595.21331999999995</v>
      </c>
      <c r="AB546" s="127">
        <f t="shared" si="147"/>
        <v>595.21331999999995</v>
      </c>
      <c r="AC546" s="37">
        <f t="shared" si="135"/>
        <v>3971.2799199999999</v>
      </c>
      <c r="AD546" s="37">
        <f t="shared" si="148"/>
        <v>5888.3799199999994</v>
      </c>
      <c r="AE546" s="181">
        <f t="shared" si="136"/>
        <v>20</v>
      </c>
      <c r="AF546" s="37">
        <f t="shared" si="149"/>
        <v>14040</v>
      </c>
      <c r="AG546" s="181">
        <f t="shared" si="137"/>
        <v>832</v>
      </c>
      <c r="AH546" s="111">
        <f t="shared" si="150"/>
        <v>552.89951999999994</v>
      </c>
      <c r="AI546" s="127">
        <f t="shared" si="151"/>
        <v>832</v>
      </c>
      <c r="AJ546" s="37">
        <f t="shared" si="138"/>
        <v>5392</v>
      </c>
      <c r="AK546" s="37">
        <f t="shared" si="152"/>
        <v>19432</v>
      </c>
      <c r="AL546" s="37">
        <f t="shared" si="140"/>
        <v>11.591299055118109</v>
      </c>
      <c r="AN546" s="37" t="str">
        <f t="shared" si="139"/>
        <v>Pallet</v>
      </c>
      <c r="AO546" s="194">
        <f t="shared" si="153"/>
        <v>20</v>
      </c>
    </row>
    <row r="547" spans="22:41" x14ac:dyDescent="0.2">
      <c r="V547" s="181">
        <f t="shared" si="141"/>
        <v>254.5</v>
      </c>
      <c r="W547" s="181">
        <f t="shared" si="142"/>
        <v>509</v>
      </c>
      <c r="X547" s="181">
        <f t="shared" si="143"/>
        <v>1</v>
      </c>
      <c r="Y547" s="37">
        <f t="shared" si="144"/>
        <v>1917.1</v>
      </c>
      <c r="Z547" s="181">
        <f t="shared" si="145"/>
        <v>452.5</v>
      </c>
      <c r="AA547" s="127">
        <f t="shared" si="146"/>
        <v>595.21331999999995</v>
      </c>
      <c r="AB547" s="127">
        <f t="shared" si="147"/>
        <v>595.21331999999995</v>
      </c>
      <c r="AC547" s="37">
        <f t="shared" si="135"/>
        <v>3971.2799199999999</v>
      </c>
      <c r="AD547" s="37">
        <f t="shared" si="148"/>
        <v>5888.3799199999994</v>
      </c>
      <c r="AE547" s="181">
        <f t="shared" si="136"/>
        <v>20</v>
      </c>
      <c r="AF547" s="37">
        <f t="shared" si="149"/>
        <v>14040</v>
      </c>
      <c r="AG547" s="181">
        <f t="shared" si="137"/>
        <v>832.5</v>
      </c>
      <c r="AH547" s="111">
        <f t="shared" si="150"/>
        <v>552.89951999999994</v>
      </c>
      <c r="AI547" s="127">
        <f t="shared" si="151"/>
        <v>832.5</v>
      </c>
      <c r="AJ547" s="37">
        <f t="shared" si="138"/>
        <v>5395</v>
      </c>
      <c r="AK547" s="37">
        <f t="shared" si="152"/>
        <v>19435</v>
      </c>
      <c r="AL547" s="37">
        <f t="shared" si="140"/>
        <v>11.568526365422395</v>
      </c>
      <c r="AN547" s="37" t="str">
        <f t="shared" si="139"/>
        <v>Pallet</v>
      </c>
      <c r="AO547" s="194">
        <f t="shared" si="153"/>
        <v>20</v>
      </c>
    </row>
    <row r="548" spans="22:41" x14ac:dyDescent="0.2">
      <c r="V548" s="181">
        <f t="shared" si="141"/>
        <v>255</v>
      </c>
      <c r="W548" s="181">
        <f t="shared" si="142"/>
        <v>510</v>
      </c>
      <c r="X548" s="181">
        <f t="shared" si="143"/>
        <v>1</v>
      </c>
      <c r="Y548" s="37">
        <f t="shared" si="144"/>
        <v>1917.1</v>
      </c>
      <c r="Z548" s="181">
        <f t="shared" si="145"/>
        <v>453</v>
      </c>
      <c r="AA548" s="127">
        <f t="shared" si="146"/>
        <v>595.21331999999995</v>
      </c>
      <c r="AB548" s="127">
        <f t="shared" si="147"/>
        <v>595.21331999999995</v>
      </c>
      <c r="AC548" s="37">
        <f t="shared" si="135"/>
        <v>3971.2799199999999</v>
      </c>
      <c r="AD548" s="37">
        <f t="shared" si="148"/>
        <v>5888.3799199999994</v>
      </c>
      <c r="AE548" s="181">
        <f t="shared" si="136"/>
        <v>20</v>
      </c>
      <c r="AF548" s="37">
        <f t="shared" si="149"/>
        <v>14040</v>
      </c>
      <c r="AG548" s="181">
        <f t="shared" si="137"/>
        <v>833</v>
      </c>
      <c r="AH548" s="111">
        <f t="shared" si="150"/>
        <v>552.89951999999994</v>
      </c>
      <c r="AI548" s="127">
        <f t="shared" si="151"/>
        <v>833</v>
      </c>
      <c r="AJ548" s="37">
        <f t="shared" si="138"/>
        <v>5398</v>
      </c>
      <c r="AK548" s="37">
        <f t="shared" si="152"/>
        <v>19438</v>
      </c>
      <c r="AL548" s="37">
        <f t="shared" si="140"/>
        <v>11.545842980392155</v>
      </c>
      <c r="AN548" s="37" t="str">
        <f t="shared" si="139"/>
        <v>Pallet</v>
      </c>
      <c r="AO548" s="194">
        <f t="shared" si="153"/>
        <v>20</v>
      </c>
    </row>
    <row r="549" spans="22:41" x14ac:dyDescent="0.2">
      <c r="V549" s="181">
        <f t="shared" si="141"/>
        <v>255.5</v>
      </c>
      <c r="W549" s="181">
        <f t="shared" si="142"/>
        <v>511</v>
      </c>
      <c r="X549" s="181">
        <f t="shared" si="143"/>
        <v>1</v>
      </c>
      <c r="Y549" s="37">
        <f t="shared" si="144"/>
        <v>1917.1</v>
      </c>
      <c r="Z549" s="181">
        <f t="shared" si="145"/>
        <v>453.5</v>
      </c>
      <c r="AA549" s="127">
        <f t="shared" si="146"/>
        <v>595.21331999999995</v>
      </c>
      <c r="AB549" s="127">
        <f t="shared" si="147"/>
        <v>595.21331999999995</v>
      </c>
      <c r="AC549" s="37">
        <f t="shared" si="135"/>
        <v>3971.2799199999999</v>
      </c>
      <c r="AD549" s="37">
        <f t="shared" si="148"/>
        <v>5888.3799199999994</v>
      </c>
      <c r="AE549" s="181">
        <f t="shared" si="136"/>
        <v>20</v>
      </c>
      <c r="AF549" s="37">
        <f t="shared" si="149"/>
        <v>14040</v>
      </c>
      <c r="AG549" s="181">
        <f t="shared" si="137"/>
        <v>833.5</v>
      </c>
      <c r="AH549" s="111">
        <f t="shared" si="150"/>
        <v>552.89951999999994</v>
      </c>
      <c r="AI549" s="127">
        <f t="shared" si="151"/>
        <v>833.5</v>
      </c>
      <c r="AJ549" s="37">
        <f t="shared" si="138"/>
        <v>5401</v>
      </c>
      <c r="AK549" s="37">
        <f t="shared" si="152"/>
        <v>19441</v>
      </c>
      <c r="AL549" s="37">
        <f t="shared" si="140"/>
        <v>11.523248375733854</v>
      </c>
      <c r="AN549" s="37" t="str">
        <f t="shared" si="139"/>
        <v>Pallet</v>
      </c>
      <c r="AO549" s="194">
        <f t="shared" si="153"/>
        <v>20</v>
      </c>
    </row>
    <row r="550" spans="22:41" x14ac:dyDescent="0.2">
      <c r="V550" s="181">
        <f t="shared" si="141"/>
        <v>256</v>
      </c>
      <c r="W550" s="181">
        <f t="shared" si="142"/>
        <v>512</v>
      </c>
      <c r="X550" s="181">
        <f t="shared" si="143"/>
        <v>1</v>
      </c>
      <c r="Y550" s="37">
        <f t="shared" si="144"/>
        <v>1917.1</v>
      </c>
      <c r="Z550" s="181">
        <f t="shared" si="145"/>
        <v>454</v>
      </c>
      <c r="AA550" s="127">
        <f t="shared" si="146"/>
        <v>595.21331999999995</v>
      </c>
      <c r="AB550" s="127">
        <f t="shared" si="147"/>
        <v>595.21331999999995</v>
      </c>
      <c r="AC550" s="37">
        <f t="shared" si="135"/>
        <v>3971.2799199999999</v>
      </c>
      <c r="AD550" s="37">
        <f t="shared" si="148"/>
        <v>5888.3799199999994</v>
      </c>
      <c r="AE550" s="181">
        <f t="shared" si="136"/>
        <v>20</v>
      </c>
      <c r="AF550" s="37">
        <f t="shared" si="149"/>
        <v>14040</v>
      </c>
      <c r="AG550" s="181">
        <f t="shared" si="137"/>
        <v>834</v>
      </c>
      <c r="AH550" s="111">
        <f t="shared" si="150"/>
        <v>552.89951999999994</v>
      </c>
      <c r="AI550" s="127">
        <f t="shared" si="151"/>
        <v>834</v>
      </c>
      <c r="AJ550" s="37">
        <f t="shared" si="138"/>
        <v>5404</v>
      </c>
      <c r="AK550" s="37">
        <f t="shared" si="152"/>
        <v>19444</v>
      </c>
      <c r="AL550" s="37">
        <f t="shared" si="140"/>
        <v>11.500742031249999</v>
      </c>
      <c r="AN550" s="37" t="str">
        <f t="shared" si="139"/>
        <v>Pallet</v>
      </c>
      <c r="AO550" s="194">
        <f t="shared" si="153"/>
        <v>20</v>
      </c>
    </row>
    <row r="551" spans="22:41" x14ac:dyDescent="0.2">
      <c r="V551" s="181">
        <f t="shared" si="141"/>
        <v>256.5</v>
      </c>
      <c r="W551" s="181">
        <f t="shared" si="142"/>
        <v>513</v>
      </c>
      <c r="X551" s="181">
        <f t="shared" si="143"/>
        <v>1</v>
      </c>
      <c r="Y551" s="37">
        <f t="shared" si="144"/>
        <v>1917.1</v>
      </c>
      <c r="Z551" s="181">
        <f t="shared" si="145"/>
        <v>454.5</v>
      </c>
      <c r="AA551" s="127">
        <f t="shared" si="146"/>
        <v>595.21331999999995</v>
      </c>
      <c r="AB551" s="127">
        <f t="shared" si="147"/>
        <v>595.21331999999995</v>
      </c>
      <c r="AC551" s="37">
        <f t="shared" ref="AC551:AC614" si="154">(Shipping_perkg_first100*100)+((AB551-100)*Shipping_perkg_above100)</f>
        <v>3971.2799199999999</v>
      </c>
      <c r="AD551" s="37">
        <f t="shared" si="148"/>
        <v>5888.3799199999994</v>
      </c>
      <c r="AE551" s="181">
        <f t="shared" ref="AE551:AE614" si="155">ROUNDUP(W551/$N$19,0)</f>
        <v>20</v>
      </c>
      <c r="AF551" s="37">
        <f t="shared" si="149"/>
        <v>14040</v>
      </c>
      <c r="AG551" s="181">
        <f t="shared" ref="AG551:AG614" si="156">(AE551*$K$19)+V551</f>
        <v>834.5</v>
      </c>
      <c r="AH551" s="111">
        <f t="shared" si="150"/>
        <v>552.89951999999994</v>
      </c>
      <c r="AI551" s="127">
        <f t="shared" si="151"/>
        <v>834.5</v>
      </c>
      <c r="AJ551" s="37">
        <f t="shared" ref="AJ551:AJ614" si="157">IF(AI551&lt;=100,AI551*Shipping_perkg_first100,(Shipping_perkg_first100*100)+((AI551-100)*Shipping_perkg_above100))</f>
        <v>5407</v>
      </c>
      <c r="AK551" s="37">
        <f t="shared" si="152"/>
        <v>19447</v>
      </c>
      <c r="AL551" s="37">
        <f t="shared" si="140"/>
        <v>11.47832343079922</v>
      </c>
      <c r="AN551" s="37" t="str">
        <f t="shared" si="139"/>
        <v>Pallet</v>
      </c>
      <c r="AO551" s="194">
        <f t="shared" si="153"/>
        <v>20</v>
      </c>
    </row>
    <row r="552" spans="22:41" x14ac:dyDescent="0.2">
      <c r="V552" s="181">
        <f t="shared" si="141"/>
        <v>257</v>
      </c>
      <c r="W552" s="181">
        <f t="shared" si="142"/>
        <v>514</v>
      </c>
      <c r="X552" s="181">
        <f t="shared" si="143"/>
        <v>1</v>
      </c>
      <c r="Y552" s="37">
        <f t="shared" si="144"/>
        <v>1917.1</v>
      </c>
      <c r="Z552" s="181">
        <f t="shared" si="145"/>
        <v>455</v>
      </c>
      <c r="AA552" s="127">
        <f t="shared" si="146"/>
        <v>595.21331999999995</v>
      </c>
      <c r="AB552" s="127">
        <f t="shared" si="147"/>
        <v>595.21331999999995</v>
      </c>
      <c r="AC552" s="37">
        <f t="shared" si="154"/>
        <v>3971.2799199999999</v>
      </c>
      <c r="AD552" s="37">
        <f t="shared" si="148"/>
        <v>5888.3799199999994</v>
      </c>
      <c r="AE552" s="181">
        <f t="shared" si="155"/>
        <v>20</v>
      </c>
      <c r="AF552" s="37">
        <f t="shared" si="149"/>
        <v>14040</v>
      </c>
      <c r="AG552" s="181">
        <f t="shared" si="156"/>
        <v>835</v>
      </c>
      <c r="AH552" s="111">
        <f t="shared" si="150"/>
        <v>552.89951999999994</v>
      </c>
      <c r="AI552" s="127">
        <f t="shared" si="151"/>
        <v>835</v>
      </c>
      <c r="AJ552" s="37">
        <f t="shared" si="157"/>
        <v>5410</v>
      </c>
      <c r="AK552" s="37">
        <f t="shared" si="152"/>
        <v>19450</v>
      </c>
      <c r="AL552" s="37">
        <f t="shared" ref="AL552:AL615" si="158">MIN(AD552,AK552)/W552</f>
        <v>11.455992062256808</v>
      </c>
      <c r="AN552" s="37" t="str">
        <f t="shared" si="139"/>
        <v>Pallet</v>
      </c>
      <c r="AO552" s="194">
        <f t="shared" si="153"/>
        <v>20</v>
      </c>
    </row>
    <row r="553" spans="22:41" x14ac:dyDescent="0.2">
      <c r="V553" s="181">
        <f t="shared" ref="V553:V616" si="159">W553*$V$37</f>
        <v>257.5</v>
      </c>
      <c r="W553" s="181">
        <f t="shared" ref="W553:W616" si="160">W552+1</f>
        <v>515</v>
      </c>
      <c r="X553" s="181">
        <f t="shared" ref="X553:X616" si="161">ROUNDUP(W553/$N$29,0)</f>
        <v>1</v>
      </c>
      <c r="Y553" s="37">
        <f t="shared" ref="Y553:Y616" si="162">X553*$P$29</f>
        <v>1917.1</v>
      </c>
      <c r="Z553" s="181">
        <f t="shared" ref="Z553:Z616" si="163">V553+(X553*$K$29)</f>
        <v>455.5</v>
      </c>
      <c r="AA553" s="127">
        <f t="shared" ref="AA553:AA616" si="164">X553*$T$29</f>
        <v>595.21331999999995</v>
      </c>
      <c r="AB553" s="127">
        <f t="shared" ref="AB553:AB616" si="165">MAX(Z553,AA553)</f>
        <v>595.21331999999995</v>
      </c>
      <c r="AC553" s="37">
        <f t="shared" si="154"/>
        <v>3971.2799199999999</v>
      </c>
      <c r="AD553" s="37">
        <f t="shared" ref="AD553:AD616" si="166">Y553+AC553</f>
        <v>5888.3799199999994</v>
      </c>
      <c r="AE553" s="181">
        <f t="shared" si="155"/>
        <v>20</v>
      </c>
      <c r="AF553" s="37">
        <f t="shared" ref="AF553:AF616" si="167">AE553*$P$19</f>
        <v>14040</v>
      </c>
      <c r="AG553" s="181">
        <f t="shared" si="156"/>
        <v>835.5</v>
      </c>
      <c r="AH553" s="111">
        <f t="shared" ref="AH553:AH616" si="168">AE553*$X$19</f>
        <v>552.89951999999994</v>
      </c>
      <c r="AI553" s="127">
        <f t="shared" ref="AI553:AI616" si="169">MAX(AG553,AH553)</f>
        <v>835.5</v>
      </c>
      <c r="AJ553" s="37">
        <f t="shared" si="157"/>
        <v>5413</v>
      </c>
      <c r="AK553" s="37">
        <f t="shared" ref="AK553:AK616" si="170">AF553+AJ553</f>
        <v>19453</v>
      </c>
      <c r="AL553" s="37">
        <f t="shared" si="158"/>
        <v>11.433747417475727</v>
      </c>
      <c r="AN553" s="37" t="str">
        <f t="shared" ref="AN553:AN616" si="171">IF(AD553&lt;AK553,"Pallet","Parcel")</f>
        <v>Pallet</v>
      </c>
      <c r="AO553" s="194">
        <f t="shared" ref="AO553:AO616" si="172">AE552</f>
        <v>20</v>
      </c>
    </row>
    <row r="554" spans="22:41" x14ac:dyDescent="0.2">
      <c r="V554" s="181">
        <f t="shared" si="159"/>
        <v>258</v>
      </c>
      <c r="W554" s="181">
        <f t="shared" si="160"/>
        <v>516</v>
      </c>
      <c r="X554" s="181">
        <f t="shared" si="161"/>
        <v>1</v>
      </c>
      <c r="Y554" s="37">
        <f t="shared" si="162"/>
        <v>1917.1</v>
      </c>
      <c r="Z554" s="181">
        <f t="shared" si="163"/>
        <v>456</v>
      </c>
      <c r="AA554" s="127">
        <f t="shared" si="164"/>
        <v>595.21331999999995</v>
      </c>
      <c r="AB554" s="127">
        <f t="shared" si="165"/>
        <v>595.21331999999995</v>
      </c>
      <c r="AC554" s="37">
        <f t="shared" si="154"/>
        <v>3971.2799199999999</v>
      </c>
      <c r="AD554" s="37">
        <f t="shared" si="166"/>
        <v>5888.3799199999994</v>
      </c>
      <c r="AE554" s="181">
        <f t="shared" si="155"/>
        <v>20</v>
      </c>
      <c r="AF554" s="37">
        <f t="shared" si="167"/>
        <v>14040</v>
      </c>
      <c r="AG554" s="181">
        <f t="shared" si="156"/>
        <v>836</v>
      </c>
      <c r="AH554" s="111">
        <f t="shared" si="168"/>
        <v>552.89951999999994</v>
      </c>
      <c r="AI554" s="127">
        <f t="shared" si="169"/>
        <v>836</v>
      </c>
      <c r="AJ554" s="37">
        <f t="shared" si="157"/>
        <v>5416</v>
      </c>
      <c r="AK554" s="37">
        <f t="shared" si="170"/>
        <v>19456</v>
      </c>
      <c r="AL554" s="37">
        <f t="shared" si="158"/>
        <v>11.411588992248062</v>
      </c>
      <c r="AN554" s="37" t="str">
        <f t="shared" si="171"/>
        <v>Pallet</v>
      </c>
      <c r="AO554" s="194">
        <f t="shared" si="172"/>
        <v>20</v>
      </c>
    </row>
    <row r="555" spans="22:41" x14ac:dyDescent="0.2">
      <c r="V555" s="181">
        <f t="shared" si="159"/>
        <v>258.5</v>
      </c>
      <c r="W555" s="181">
        <f t="shared" si="160"/>
        <v>517</v>
      </c>
      <c r="X555" s="181">
        <f t="shared" si="161"/>
        <v>1</v>
      </c>
      <c r="Y555" s="37">
        <f t="shared" si="162"/>
        <v>1917.1</v>
      </c>
      <c r="Z555" s="181">
        <f t="shared" si="163"/>
        <v>456.5</v>
      </c>
      <c r="AA555" s="127">
        <f t="shared" si="164"/>
        <v>595.21331999999995</v>
      </c>
      <c r="AB555" s="127">
        <f t="shared" si="165"/>
        <v>595.21331999999995</v>
      </c>
      <c r="AC555" s="37">
        <f t="shared" si="154"/>
        <v>3971.2799199999999</v>
      </c>
      <c r="AD555" s="37">
        <f t="shared" si="166"/>
        <v>5888.3799199999994</v>
      </c>
      <c r="AE555" s="181">
        <f t="shared" si="155"/>
        <v>21</v>
      </c>
      <c r="AF555" s="37">
        <f t="shared" si="167"/>
        <v>14742</v>
      </c>
      <c r="AG555" s="181">
        <f t="shared" si="156"/>
        <v>865.4</v>
      </c>
      <c r="AH555" s="111">
        <f t="shared" si="168"/>
        <v>580.54449599999987</v>
      </c>
      <c r="AI555" s="127">
        <f t="shared" si="169"/>
        <v>865.4</v>
      </c>
      <c r="AJ555" s="37">
        <f t="shared" si="157"/>
        <v>5592.4</v>
      </c>
      <c r="AK555" s="37">
        <f t="shared" si="170"/>
        <v>20334.400000000001</v>
      </c>
      <c r="AL555" s="37">
        <f t="shared" si="158"/>
        <v>11.389516286266923</v>
      </c>
      <c r="AN555" s="37" t="str">
        <f t="shared" si="171"/>
        <v>Pallet</v>
      </c>
      <c r="AO555" s="194">
        <f t="shared" si="172"/>
        <v>20</v>
      </c>
    </row>
    <row r="556" spans="22:41" x14ac:dyDescent="0.2">
      <c r="V556" s="181">
        <f t="shared" si="159"/>
        <v>259</v>
      </c>
      <c r="W556" s="181">
        <f t="shared" si="160"/>
        <v>518</v>
      </c>
      <c r="X556" s="181">
        <f t="shared" si="161"/>
        <v>1</v>
      </c>
      <c r="Y556" s="37">
        <f t="shared" si="162"/>
        <v>1917.1</v>
      </c>
      <c r="Z556" s="181">
        <f t="shared" si="163"/>
        <v>457</v>
      </c>
      <c r="AA556" s="127">
        <f t="shared" si="164"/>
        <v>595.21331999999995</v>
      </c>
      <c r="AB556" s="127">
        <f t="shared" si="165"/>
        <v>595.21331999999995</v>
      </c>
      <c r="AC556" s="37">
        <f t="shared" si="154"/>
        <v>3971.2799199999999</v>
      </c>
      <c r="AD556" s="37">
        <f t="shared" si="166"/>
        <v>5888.3799199999994</v>
      </c>
      <c r="AE556" s="181">
        <f t="shared" si="155"/>
        <v>21</v>
      </c>
      <c r="AF556" s="37">
        <f t="shared" si="167"/>
        <v>14742</v>
      </c>
      <c r="AG556" s="181">
        <f t="shared" si="156"/>
        <v>865.9</v>
      </c>
      <c r="AH556" s="111">
        <f t="shared" si="168"/>
        <v>580.54449599999987</v>
      </c>
      <c r="AI556" s="127">
        <f t="shared" si="169"/>
        <v>865.9</v>
      </c>
      <c r="AJ556" s="37">
        <f t="shared" si="157"/>
        <v>5595.4</v>
      </c>
      <c r="AK556" s="37">
        <f t="shared" si="170"/>
        <v>20337.400000000001</v>
      </c>
      <c r="AL556" s="37">
        <f t="shared" si="158"/>
        <v>11.367528803088803</v>
      </c>
      <c r="AN556" s="37" t="str">
        <f t="shared" si="171"/>
        <v>Pallet</v>
      </c>
      <c r="AO556" s="194">
        <f t="shared" si="172"/>
        <v>21</v>
      </c>
    </row>
    <row r="557" spans="22:41" x14ac:dyDescent="0.2">
      <c r="V557" s="181">
        <f t="shared" si="159"/>
        <v>259.5</v>
      </c>
      <c r="W557" s="181">
        <f t="shared" si="160"/>
        <v>519</v>
      </c>
      <c r="X557" s="181">
        <f t="shared" si="161"/>
        <v>1</v>
      </c>
      <c r="Y557" s="37">
        <f t="shared" si="162"/>
        <v>1917.1</v>
      </c>
      <c r="Z557" s="181">
        <f t="shared" si="163"/>
        <v>457.5</v>
      </c>
      <c r="AA557" s="127">
        <f t="shared" si="164"/>
        <v>595.21331999999995</v>
      </c>
      <c r="AB557" s="127">
        <f t="shared" si="165"/>
        <v>595.21331999999995</v>
      </c>
      <c r="AC557" s="37">
        <f t="shared" si="154"/>
        <v>3971.2799199999999</v>
      </c>
      <c r="AD557" s="37">
        <f t="shared" si="166"/>
        <v>5888.3799199999994</v>
      </c>
      <c r="AE557" s="181">
        <f t="shared" si="155"/>
        <v>21</v>
      </c>
      <c r="AF557" s="37">
        <f t="shared" si="167"/>
        <v>14742</v>
      </c>
      <c r="AG557" s="181">
        <f t="shared" si="156"/>
        <v>866.4</v>
      </c>
      <c r="AH557" s="111">
        <f t="shared" si="168"/>
        <v>580.54449599999987</v>
      </c>
      <c r="AI557" s="127">
        <f t="shared" si="169"/>
        <v>866.4</v>
      </c>
      <c r="AJ557" s="37">
        <f t="shared" si="157"/>
        <v>5598.4</v>
      </c>
      <c r="AK557" s="37">
        <f t="shared" si="170"/>
        <v>20340.400000000001</v>
      </c>
      <c r="AL557" s="37">
        <f t="shared" si="158"/>
        <v>11.345626050096339</v>
      </c>
      <c r="AN557" s="37" t="str">
        <f t="shared" si="171"/>
        <v>Pallet</v>
      </c>
      <c r="AO557" s="194">
        <f t="shared" si="172"/>
        <v>21</v>
      </c>
    </row>
    <row r="558" spans="22:41" x14ac:dyDescent="0.2">
      <c r="V558" s="181">
        <f t="shared" si="159"/>
        <v>260</v>
      </c>
      <c r="W558" s="181">
        <f t="shared" si="160"/>
        <v>520</v>
      </c>
      <c r="X558" s="181">
        <f t="shared" si="161"/>
        <v>1</v>
      </c>
      <c r="Y558" s="37">
        <f t="shared" si="162"/>
        <v>1917.1</v>
      </c>
      <c r="Z558" s="181">
        <f t="shared" si="163"/>
        <v>458</v>
      </c>
      <c r="AA558" s="127">
        <f t="shared" si="164"/>
        <v>595.21331999999995</v>
      </c>
      <c r="AB558" s="127">
        <f t="shared" si="165"/>
        <v>595.21331999999995</v>
      </c>
      <c r="AC558" s="37">
        <f t="shared" si="154"/>
        <v>3971.2799199999999</v>
      </c>
      <c r="AD558" s="37">
        <f t="shared" si="166"/>
        <v>5888.3799199999994</v>
      </c>
      <c r="AE558" s="181">
        <f t="shared" si="155"/>
        <v>21</v>
      </c>
      <c r="AF558" s="37">
        <f t="shared" si="167"/>
        <v>14742</v>
      </c>
      <c r="AG558" s="181">
        <f t="shared" si="156"/>
        <v>866.9</v>
      </c>
      <c r="AH558" s="111">
        <f t="shared" si="168"/>
        <v>580.54449599999987</v>
      </c>
      <c r="AI558" s="127">
        <f t="shared" si="169"/>
        <v>866.9</v>
      </c>
      <c r="AJ558" s="37">
        <f t="shared" si="157"/>
        <v>5601.4</v>
      </c>
      <c r="AK558" s="37">
        <f t="shared" si="170"/>
        <v>20343.400000000001</v>
      </c>
      <c r="AL558" s="37">
        <f t="shared" si="158"/>
        <v>11.323807538461537</v>
      </c>
      <c r="AN558" s="37" t="str">
        <f t="shared" si="171"/>
        <v>Pallet</v>
      </c>
      <c r="AO558" s="194">
        <f t="shared" si="172"/>
        <v>21</v>
      </c>
    </row>
    <row r="559" spans="22:41" x14ac:dyDescent="0.2">
      <c r="V559" s="181">
        <f t="shared" si="159"/>
        <v>260.5</v>
      </c>
      <c r="W559" s="181">
        <f t="shared" si="160"/>
        <v>521</v>
      </c>
      <c r="X559" s="181">
        <f t="shared" si="161"/>
        <v>1</v>
      </c>
      <c r="Y559" s="37">
        <f t="shared" si="162"/>
        <v>1917.1</v>
      </c>
      <c r="Z559" s="181">
        <f t="shared" si="163"/>
        <v>458.5</v>
      </c>
      <c r="AA559" s="127">
        <f t="shared" si="164"/>
        <v>595.21331999999995</v>
      </c>
      <c r="AB559" s="127">
        <f t="shared" si="165"/>
        <v>595.21331999999995</v>
      </c>
      <c r="AC559" s="37">
        <f t="shared" si="154"/>
        <v>3971.2799199999999</v>
      </c>
      <c r="AD559" s="37">
        <f t="shared" si="166"/>
        <v>5888.3799199999994</v>
      </c>
      <c r="AE559" s="181">
        <f t="shared" si="155"/>
        <v>21</v>
      </c>
      <c r="AF559" s="37">
        <f t="shared" si="167"/>
        <v>14742</v>
      </c>
      <c r="AG559" s="181">
        <f t="shared" si="156"/>
        <v>867.4</v>
      </c>
      <c r="AH559" s="111">
        <f t="shared" si="168"/>
        <v>580.54449599999987</v>
      </c>
      <c r="AI559" s="127">
        <f t="shared" si="169"/>
        <v>867.4</v>
      </c>
      <c r="AJ559" s="37">
        <f t="shared" si="157"/>
        <v>5604.4</v>
      </c>
      <c r="AK559" s="37">
        <f t="shared" si="170"/>
        <v>20346.400000000001</v>
      </c>
      <c r="AL559" s="37">
        <f t="shared" si="158"/>
        <v>11.302072783109404</v>
      </c>
      <c r="AN559" s="37" t="str">
        <f t="shared" si="171"/>
        <v>Pallet</v>
      </c>
      <c r="AO559" s="194">
        <f t="shared" si="172"/>
        <v>21</v>
      </c>
    </row>
    <row r="560" spans="22:41" x14ac:dyDescent="0.2">
      <c r="V560" s="181">
        <f t="shared" si="159"/>
        <v>261</v>
      </c>
      <c r="W560" s="181">
        <f t="shared" si="160"/>
        <v>522</v>
      </c>
      <c r="X560" s="181">
        <f t="shared" si="161"/>
        <v>1</v>
      </c>
      <c r="Y560" s="37">
        <f t="shared" si="162"/>
        <v>1917.1</v>
      </c>
      <c r="Z560" s="181">
        <f t="shared" si="163"/>
        <v>459</v>
      </c>
      <c r="AA560" s="127">
        <f t="shared" si="164"/>
        <v>595.21331999999995</v>
      </c>
      <c r="AB560" s="127">
        <f t="shared" si="165"/>
        <v>595.21331999999995</v>
      </c>
      <c r="AC560" s="37">
        <f t="shared" si="154"/>
        <v>3971.2799199999999</v>
      </c>
      <c r="AD560" s="37">
        <f t="shared" si="166"/>
        <v>5888.3799199999994</v>
      </c>
      <c r="AE560" s="181">
        <f t="shared" si="155"/>
        <v>21</v>
      </c>
      <c r="AF560" s="37">
        <f t="shared" si="167"/>
        <v>14742</v>
      </c>
      <c r="AG560" s="181">
        <f t="shared" si="156"/>
        <v>867.9</v>
      </c>
      <c r="AH560" s="111">
        <f t="shared" si="168"/>
        <v>580.54449599999987</v>
      </c>
      <c r="AI560" s="127">
        <f t="shared" si="169"/>
        <v>867.9</v>
      </c>
      <c r="AJ560" s="37">
        <f t="shared" si="157"/>
        <v>5607.4</v>
      </c>
      <c r="AK560" s="37">
        <f t="shared" si="170"/>
        <v>20349.400000000001</v>
      </c>
      <c r="AL560" s="37">
        <f t="shared" si="158"/>
        <v>11.280421302681992</v>
      </c>
      <c r="AN560" s="37" t="str">
        <f t="shared" si="171"/>
        <v>Pallet</v>
      </c>
      <c r="AO560" s="194">
        <f t="shared" si="172"/>
        <v>21</v>
      </c>
    </row>
    <row r="561" spans="22:41" x14ac:dyDescent="0.2">
      <c r="V561" s="181">
        <f t="shared" si="159"/>
        <v>261.5</v>
      </c>
      <c r="W561" s="181">
        <f t="shared" si="160"/>
        <v>523</v>
      </c>
      <c r="X561" s="181">
        <f t="shared" si="161"/>
        <v>1</v>
      </c>
      <c r="Y561" s="37">
        <f t="shared" si="162"/>
        <v>1917.1</v>
      </c>
      <c r="Z561" s="181">
        <f t="shared" si="163"/>
        <v>459.5</v>
      </c>
      <c r="AA561" s="127">
        <f t="shared" si="164"/>
        <v>595.21331999999995</v>
      </c>
      <c r="AB561" s="127">
        <f t="shared" si="165"/>
        <v>595.21331999999995</v>
      </c>
      <c r="AC561" s="37">
        <f t="shared" si="154"/>
        <v>3971.2799199999999</v>
      </c>
      <c r="AD561" s="37">
        <f t="shared" si="166"/>
        <v>5888.3799199999994</v>
      </c>
      <c r="AE561" s="181">
        <f t="shared" si="155"/>
        <v>21</v>
      </c>
      <c r="AF561" s="37">
        <f t="shared" si="167"/>
        <v>14742</v>
      </c>
      <c r="AG561" s="181">
        <f t="shared" si="156"/>
        <v>868.4</v>
      </c>
      <c r="AH561" s="111">
        <f t="shared" si="168"/>
        <v>580.54449599999987</v>
      </c>
      <c r="AI561" s="127">
        <f t="shared" si="169"/>
        <v>868.4</v>
      </c>
      <c r="AJ561" s="37">
        <f t="shared" si="157"/>
        <v>5610.4</v>
      </c>
      <c r="AK561" s="37">
        <f t="shared" si="170"/>
        <v>20352.400000000001</v>
      </c>
      <c r="AL561" s="37">
        <f t="shared" si="158"/>
        <v>11.258852619502868</v>
      </c>
      <c r="AN561" s="37" t="str">
        <f t="shared" si="171"/>
        <v>Pallet</v>
      </c>
      <c r="AO561" s="194">
        <f t="shared" si="172"/>
        <v>21</v>
      </c>
    </row>
    <row r="562" spans="22:41" x14ac:dyDescent="0.2">
      <c r="V562" s="181">
        <f t="shared" si="159"/>
        <v>262</v>
      </c>
      <c r="W562" s="181">
        <f t="shared" si="160"/>
        <v>524</v>
      </c>
      <c r="X562" s="181">
        <f t="shared" si="161"/>
        <v>1</v>
      </c>
      <c r="Y562" s="37">
        <f t="shared" si="162"/>
        <v>1917.1</v>
      </c>
      <c r="Z562" s="181">
        <f t="shared" si="163"/>
        <v>460</v>
      </c>
      <c r="AA562" s="127">
        <f t="shared" si="164"/>
        <v>595.21331999999995</v>
      </c>
      <c r="AB562" s="127">
        <f t="shared" si="165"/>
        <v>595.21331999999995</v>
      </c>
      <c r="AC562" s="37">
        <f t="shared" si="154"/>
        <v>3971.2799199999999</v>
      </c>
      <c r="AD562" s="37">
        <f t="shared" si="166"/>
        <v>5888.3799199999994</v>
      </c>
      <c r="AE562" s="181">
        <f t="shared" si="155"/>
        <v>21</v>
      </c>
      <c r="AF562" s="37">
        <f t="shared" si="167"/>
        <v>14742</v>
      </c>
      <c r="AG562" s="181">
        <f t="shared" si="156"/>
        <v>868.9</v>
      </c>
      <c r="AH562" s="111">
        <f t="shared" si="168"/>
        <v>580.54449599999987</v>
      </c>
      <c r="AI562" s="127">
        <f t="shared" si="169"/>
        <v>868.9</v>
      </c>
      <c r="AJ562" s="37">
        <f t="shared" si="157"/>
        <v>5613.4</v>
      </c>
      <c r="AK562" s="37">
        <f t="shared" si="170"/>
        <v>20355.400000000001</v>
      </c>
      <c r="AL562" s="37">
        <f t="shared" si="158"/>
        <v>11.237366259541984</v>
      </c>
      <c r="AN562" s="37" t="str">
        <f t="shared" si="171"/>
        <v>Pallet</v>
      </c>
      <c r="AO562" s="194">
        <f t="shared" si="172"/>
        <v>21</v>
      </c>
    </row>
    <row r="563" spans="22:41" x14ac:dyDescent="0.2">
      <c r="V563" s="181">
        <f t="shared" si="159"/>
        <v>262.5</v>
      </c>
      <c r="W563" s="181">
        <f t="shared" si="160"/>
        <v>525</v>
      </c>
      <c r="X563" s="181">
        <f t="shared" si="161"/>
        <v>1</v>
      </c>
      <c r="Y563" s="37">
        <f t="shared" si="162"/>
        <v>1917.1</v>
      </c>
      <c r="Z563" s="181">
        <f t="shared" si="163"/>
        <v>460.5</v>
      </c>
      <c r="AA563" s="127">
        <f t="shared" si="164"/>
        <v>595.21331999999995</v>
      </c>
      <c r="AB563" s="127">
        <f t="shared" si="165"/>
        <v>595.21331999999995</v>
      </c>
      <c r="AC563" s="37">
        <f t="shared" si="154"/>
        <v>3971.2799199999999</v>
      </c>
      <c r="AD563" s="37">
        <f t="shared" si="166"/>
        <v>5888.3799199999994</v>
      </c>
      <c r="AE563" s="181">
        <f t="shared" si="155"/>
        <v>21</v>
      </c>
      <c r="AF563" s="37">
        <f t="shared" si="167"/>
        <v>14742</v>
      </c>
      <c r="AG563" s="181">
        <f t="shared" si="156"/>
        <v>869.4</v>
      </c>
      <c r="AH563" s="111">
        <f t="shared" si="168"/>
        <v>580.54449599999987</v>
      </c>
      <c r="AI563" s="127">
        <f t="shared" si="169"/>
        <v>869.4</v>
      </c>
      <c r="AJ563" s="37">
        <f t="shared" si="157"/>
        <v>5616.4</v>
      </c>
      <c r="AK563" s="37">
        <f t="shared" si="170"/>
        <v>20358.400000000001</v>
      </c>
      <c r="AL563" s="37">
        <f t="shared" si="158"/>
        <v>11.215961752380951</v>
      </c>
      <c r="AN563" s="37" t="str">
        <f t="shared" si="171"/>
        <v>Pallet</v>
      </c>
      <c r="AO563" s="194">
        <f t="shared" si="172"/>
        <v>21</v>
      </c>
    </row>
    <row r="564" spans="22:41" x14ac:dyDescent="0.2">
      <c r="V564" s="181">
        <f t="shared" si="159"/>
        <v>263</v>
      </c>
      <c r="W564" s="181">
        <f t="shared" si="160"/>
        <v>526</v>
      </c>
      <c r="X564" s="181">
        <f t="shared" si="161"/>
        <v>1</v>
      </c>
      <c r="Y564" s="37">
        <f t="shared" si="162"/>
        <v>1917.1</v>
      </c>
      <c r="Z564" s="181">
        <f t="shared" si="163"/>
        <v>461</v>
      </c>
      <c r="AA564" s="127">
        <f t="shared" si="164"/>
        <v>595.21331999999995</v>
      </c>
      <c r="AB564" s="127">
        <f t="shared" si="165"/>
        <v>595.21331999999995</v>
      </c>
      <c r="AC564" s="37">
        <f t="shared" si="154"/>
        <v>3971.2799199999999</v>
      </c>
      <c r="AD564" s="37">
        <f t="shared" si="166"/>
        <v>5888.3799199999994</v>
      </c>
      <c r="AE564" s="181">
        <f t="shared" si="155"/>
        <v>21</v>
      </c>
      <c r="AF564" s="37">
        <f t="shared" si="167"/>
        <v>14742</v>
      </c>
      <c r="AG564" s="181">
        <f t="shared" si="156"/>
        <v>869.9</v>
      </c>
      <c r="AH564" s="111">
        <f t="shared" si="168"/>
        <v>580.54449599999987</v>
      </c>
      <c r="AI564" s="127">
        <f t="shared" si="169"/>
        <v>869.9</v>
      </c>
      <c r="AJ564" s="37">
        <f t="shared" si="157"/>
        <v>5619.4</v>
      </c>
      <c r="AK564" s="37">
        <f t="shared" si="170"/>
        <v>20361.400000000001</v>
      </c>
      <c r="AL564" s="37">
        <f t="shared" si="158"/>
        <v>11.194638631178707</v>
      </c>
      <c r="AN564" s="37" t="str">
        <f t="shared" si="171"/>
        <v>Pallet</v>
      </c>
      <c r="AO564" s="194">
        <f t="shared" si="172"/>
        <v>21</v>
      </c>
    </row>
    <row r="565" spans="22:41" x14ac:dyDescent="0.2">
      <c r="V565" s="181">
        <f t="shared" si="159"/>
        <v>263.5</v>
      </c>
      <c r="W565" s="181">
        <f t="shared" si="160"/>
        <v>527</v>
      </c>
      <c r="X565" s="181">
        <f t="shared" si="161"/>
        <v>1</v>
      </c>
      <c r="Y565" s="37">
        <f t="shared" si="162"/>
        <v>1917.1</v>
      </c>
      <c r="Z565" s="181">
        <f t="shared" si="163"/>
        <v>461.5</v>
      </c>
      <c r="AA565" s="127">
        <f t="shared" si="164"/>
        <v>595.21331999999995</v>
      </c>
      <c r="AB565" s="127">
        <f t="shared" si="165"/>
        <v>595.21331999999995</v>
      </c>
      <c r="AC565" s="37">
        <f t="shared" si="154"/>
        <v>3971.2799199999999</v>
      </c>
      <c r="AD565" s="37">
        <f t="shared" si="166"/>
        <v>5888.3799199999994</v>
      </c>
      <c r="AE565" s="181">
        <f t="shared" si="155"/>
        <v>21</v>
      </c>
      <c r="AF565" s="37">
        <f t="shared" si="167"/>
        <v>14742</v>
      </c>
      <c r="AG565" s="181">
        <f t="shared" si="156"/>
        <v>870.4</v>
      </c>
      <c r="AH565" s="111">
        <f t="shared" si="168"/>
        <v>580.54449599999987</v>
      </c>
      <c r="AI565" s="127">
        <f t="shared" si="169"/>
        <v>870.4</v>
      </c>
      <c r="AJ565" s="37">
        <f t="shared" si="157"/>
        <v>5622.4</v>
      </c>
      <c r="AK565" s="37">
        <f t="shared" si="170"/>
        <v>20364.400000000001</v>
      </c>
      <c r="AL565" s="37">
        <f t="shared" si="158"/>
        <v>11.173396432637571</v>
      </c>
      <c r="AN565" s="37" t="str">
        <f t="shared" si="171"/>
        <v>Pallet</v>
      </c>
      <c r="AO565" s="194">
        <f t="shared" si="172"/>
        <v>21</v>
      </c>
    </row>
    <row r="566" spans="22:41" x14ac:dyDescent="0.2">
      <c r="V566" s="181">
        <f t="shared" si="159"/>
        <v>264</v>
      </c>
      <c r="W566" s="181">
        <f t="shared" si="160"/>
        <v>528</v>
      </c>
      <c r="X566" s="181">
        <f t="shared" si="161"/>
        <v>1</v>
      </c>
      <c r="Y566" s="37">
        <f t="shared" si="162"/>
        <v>1917.1</v>
      </c>
      <c r="Z566" s="181">
        <f t="shared" si="163"/>
        <v>462</v>
      </c>
      <c r="AA566" s="127">
        <f t="shared" si="164"/>
        <v>595.21331999999995</v>
      </c>
      <c r="AB566" s="127">
        <f t="shared" si="165"/>
        <v>595.21331999999995</v>
      </c>
      <c r="AC566" s="37">
        <f t="shared" si="154"/>
        <v>3971.2799199999999</v>
      </c>
      <c r="AD566" s="37">
        <f t="shared" si="166"/>
        <v>5888.3799199999994</v>
      </c>
      <c r="AE566" s="181">
        <f t="shared" si="155"/>
        <v>21</v>
      </c>
      <c r="AF566" s="37">
        <f t="shared" si="167"/>
        <v>14742</v>
      </c>
      <c r="AG566" s="181">
        <f t="shared" si="156"/>
        <v>870.9</v>
      </c>
      <c r="AH566" s="111">
        <f t="shared" si="168"/>
        <v>580.54449599999987</v>
      </c>
      <c r="AI566" s="127">
        <f t="shared" si="169"/>
        <v>870.9</v>
      </c>
      <c r="AJ566" s="37">
        <f t="shared" si="157"/>
        <v>5625.4</v>
      </c>
      <c r="AK566" s="37">
        <f t="shared" si="170"/>
        <v>20367.400000000001</v>
      </c>
      <c r="AL566" s="37">
        <f t="shared" si="158"/>
        <v>11.152234696969696</v>
      </c>
      <c r="AN566" s="37" t="str">
        <f t="shared" si="171"/>
        <v>Pallet</v>
      </c>
      <c r="AO566" s="194">
        <f t="shared" si="172"/>
        <v>21</v>
      </c>
    </row>
    <row r="567" spans="22:41" x14ac:dyDescent="0.2">
      <c r="V567" s="181">
        <f t="shared" si="159"/>
        <v>264.5</v>
      </c>
      <c r="W567" s="181">
        <f t="shared" si="160"/>
        <v>529</v>
      </c>
      <c r="X567" s="181">
        <f t="shared" si="161"/>
        <v>1</v>
      </c>
      <c r="Y567" s="37">
        <f t="shared" si="162"/>
        <v>1917.1</v>
      </c>
      <c r="Z567" s="181">
        <f t="shared" si="163"/>
        <v>462.5</v>
      </c>
      <c r="AA567" s="127">
        <f t="shared" si="164"/>
        <v>595.21331999999995</v>
      </c>
      <c r="AB567" s="127">
        <f t="shared" si="165"/>
        <v>595.21331999999995</v>
      </c>
      <c r="AC567" s="37">
        <f t="shared" si="154"/>
        <v>3971.2799199999999</v>
      </c>
      <c r="AD567" s="37">
        <f t="shared" si="166"/>
        <v>5888.3799199999994</v>
      </c>
      <c r="AE567" s="181">
        <f t="shared" si="155"/>
        <v>21</v>
      </c>
      <c r="AF567" s="37">
        <f t="shared" si="167"/>
        <v>14742</v>
      </c>
      <c r="AG567" s="181">
        <f t="shared" si="156"/>
        <v>871.4</v>
      </c>
      <c r="AH567" s="111">
        <f t="shared" si="168"/>
        <v>580.54449599999987</v>
      </c>
      <c r="AI567" s="127">
        <f t="shared" si="169"/>
        <v>871.4</v>
      </c>
      <c r="AJ567" s="37">
        <f t="shared" si="157"/>
        <v>5628.4</v>
      </c>
      <c r="AK567" s="37">
        <f t="shared" si="170"/>
        <v>20370.400000000001</v>
      </c>
      <c r="AL567" s="37">
        <f t="shared" si="158"/>
        <v>11.131152967863892</v>
      </c>
      <c r="AN567" s="37" t="str">
        <f t="shared" si="171"/>
        <v>Pallet</v>
      </c>
      <c r="AO567" s="194">
        <f t="shared" si="172"/>
        <v>21</v>
      </c>
    </row>
    <row r="568" spans="22:41" x14ac:dyDescent="0.2">
      <c r="V568" s="181">
        <f t="shared" si="159"/>
        <v>265</v>
      </c>
      <c r="W568" s="181">
        <f t="shared" si="160"/>
        <v>530</v>
      </c>
      <c r="X568" s="181">
        <f t="shared" si="161"/>
        <v>1</v>
      </c>
      <c r="Y568" s="37">
        <f t="shared" si="162"/>
        <v>1917.1</v>
      </c>
      <c r="Z568" s="181">
        <f t="shared" si="163"/>
        <v>463</v>
      </c>
      <c r="AA568" s="127">
        <f t="shared" si="164"/>
        <v>595.21331999999995</v>
      </c>
      <c r="AB568" s="127">
        <f t="shared" si="165"/>
        <v>595.21331999999995</v>
      </c>
      <c r="AC568" s="37">
        <f t="shared" si="154"/>
        <v>3971.2799199999999</v>
      </c>
      <c r="AD568" s="37">
        <f t="shared" si="166"/>
        <v>5888.3799199999994</v>
      </c>
      <c r="AE568" s="181">
        <f t="shared" si="155"/>
        <v>21</v>
      </c>
      <c r="AF568" s="37">
        <f t="shared" si="167"/>
        <v>14742</v>
      </c>
      <c r="AG568" s="181">
        <f t="shared" si="156"/>
        <v>871.9</v>
      </c>
      <c r="AH568" s="111">
        <f t="shared" si="168"/>
        <v>580.54449599999987</v>
      </c>
      <c r="AI568" s="127">
        <f t="shared" si="169"/>
        <v>871.9</v>
      </c>
      <c r="AJ568" s="37">
        <f t="shared" si="157"/>
        <v>5631.4</v>
      </c>
      <c r="AK568" s="37">
        <f t="shared" si="170"/>
        <v>20373.400000000001</v>
      </c>
      <c r="AL568" s="37">
        <f t="shared" si="158"/>
        <v>11.11015079245283</v>
      </c>
      <c r="AN568" s="37" t="str">
        <f t="shared" si="171"/>
        <v>Pallet</v>
      </c>
      <c r="AO568" s="194">
        <f t="shared" si="172"/>
        <v>21</v>
      </c>
    </row>
    <row r="569" spans="22:41" x14ac:dyDescent="0.2">
      <c r="V569" s="181">
        <f t="shared" si="159"/>
        <v>265.5</v>
      </c>
      <c r="W569" s="181">
        <f t="shared" si="160"/>
        <v>531</v>
      </c>
      <c r="X569" s="181">
        <f t="shared" si="161"/>
        <v>1</v>
      </c>
      <c r="Y569" s="37">
        <f t="shared" si="162"/>
        <v>1917.1</v>
      </c>
      <c r="Z569" s="181">
        <f t="shared" si="163"/>
        <v>463.5</v>
      </c>
      <c r="AA569" s="127">
        <f t="shared" si="164"/>
        <v>595.21331999999995</v>
      </c>
      <c r="AB569" s="127">
        <f t="shared" si="165"/>
        <v>595.21331999999995</v>
      </c>
      <c r="AC569" s="37">
        <f t="shared" si="154"/>
        <v>3971.2799199999999</v>
      </c>
      <c r="AD569" s="37">
        <f t="shared" si="166"/>
        <v>5888.3799199999994</v>
      </c>
      <c r="AE569" s="181">
        <f t="shared" si="155"/>
        <v>21</v>
      </c>
      <c r="AF569" s="37">
        <f t="shared" si="167"/>
        <v>14742</v>
      </c>
      <c r="AG569" s="181">
        <f t="shared" si="156"/>
        <v>872.4</v>
      </c>
      <c r="AH569" s="111">
        <f t="shared" si="168"/>
        <v>580.54449599999987</v>
      </c>
      <c r="AI569" s="127">
        <f t="shared" si="169"/>
        <v>872.4</v>
      </c>
      <c r="AJ569" s="37">
        <f t="shared" si="157"/>
        <v>5634.4</v>
      </c>
      <c r="AK569" s="37">
        <f t="shared" si="170"/>
        <v>20376.400000000001</v>
      </c>
      <c r="AL569" s="37">
        <f t="shared" si="158"/>
        <v>11.089227721280601</v>
      </c>
      <c r="AN569" s="37" t="str">
        <f t="shared" si="171"/>
        <v>Pallet</v>
      </c>
      <c r="AO569" s="194">
        <f t="shared" si="172"/>
        <v>21</v>
      </c>
    </row>
    <row r="570" spans="22:41" x14ac:dyDescent="0.2">
      <c r="V570" s="181">
        <f t="shared" si="159"/>
        <v>266</v>
      </c>
      <c r="W570" s="181">
        <f t="shared" si="160"/>
        <v>532</v>
      </c>
      <c r="X570" s="181">
        <f t="shared" si="161"/>
        <v>1</v>
      </c>
      <c r="Y570" s="37">
        <f t="shared" si="162"/>
        <v>1917.1</v>
      </c>
      <c r="Z570" s="181">
        <f t="shared" si="163"/>
        <v>464</v>
      </c>
      <c r="AA570" s="127">
        <f t="shared" si="164"/>
        <v>595.21331999999995</v>
      </c>
      <c r="AB570" s="127">
        <f t="shared" si="165"/>
        <v>595.21331999999995</v>
      </c>
      <c r="AC570" s="37">
        <f t="shared" si="154"/>
        <v>3971.2799199999999</v>
      </c>
      <c r="AD570" s="37">
        <f t="shared" si="166"/>
        <v>5888.3799199999994</v>
      </c>
      <c r="AE570" s="181">
        <f t="shared" si="155"/>
        <v>21</v>
      </c>
      <c r="AF570" s="37">
        <f t="shared" si="167"/>
        <v>14742</v>
      </c>
      <c r="AG570" s="181">
        <f t="shared" si="156"/>
        <v>872.9</v>
      </c>
      <c r="AH570" s="111">
        <f t="shared" si="168"/>
        <v>580.54449599999987</v>
      </c>
      <c r="AI570" s="127">
        <f t="shared" si="169"/>
        <v>872.9</v>
      </c>
      <c r="AJ570" s="37">
        <f t="shared" si="157"/>
        <v>5637.4</v>
      </c>
      <c r="AK570" s="37">
        <f t="shared" si="170"/>
        <v>20379.400000000001</v>
      </c>
      <c r="AL570" s="37">
        <f t="shared" si="158"/>
        <v>11.068383308270676</v>
      </c>
      <c r="AN570" s="37" t="str">
        <f t="shared" si="171"/>
        <v>Pallet</v>
      </c>
      <c r="AO570" s="194">
        <f t="shared" si="172"/>
        <v>21</v>
      </c>
    </row>
    <row r="571" spans="22:41" x14ac:dyDescent="0.2">
      <c r="V571" s="181">
        <f t="shared" si="159"/>
        <v>266.5</v>
      </c>
      <c r="W571" s="181">
        <f t="shared" si="160"/>
        <v>533</v>
      </c>
      <c r="X571" s="181">
        <f t="shared" si="161"/>
        <v>1</v>
      </c>
      <c r="Y571" s="37">
        <f t="shared" si="162"/>
        <v>1917.1</v>
      </c>
      <c r="Z571" s="181">
        <f t="shared" si="163"/>
        <v>464.5</v>
      </c>
      <c r="AA571" s="127">
        <f t="shared" si="164"/>
        <v>595.21331999999995</v>
      </c>
      <c r="AB571" s="127">
        <f t="shared" si="165"/>
        <v>595.21331999999995</v>
      </c>
      <c r="AC571" s="37">
        <f t="shared" si="154"/>
        <v>3971.2799199999999</v>
      </c>
      <c r="AD571" s="37">
        <f t="shared" si="166"/>
        <v>5888.3799199999994</v>
      </c>
      <c r="AE571" s="181">
        <f t="shared" si="155"/>
        <v>21</v>
      </c>
      <c r="AF571" s="37">
        <f t="shared" si="167"/>
        <v>14742</v>
      </c>
      <c r="AG571" s="181">
        <f t="shared" si="156"/>
        <v>873.4</v>
      </c>
      <c r="AH571" s="111">
        <f t="shared" si="168"/>
        <v>580.54449599999987</v>
      </c>
      <c r="AI571" s="127">
        <f t="shared" si="169"/>
        <v>873.4</v>
      </c>
      <c r="AJ571" s="37">
        <f t="shared" si="157"/>
        <v>5640.4</v>
      </c>
      <c r="AK571" s="37">
        <f t="shared" si="170"/>
        <v>20382.400000000001</v>
      </c>
      <c r="AL571" s="37">
        <f t="shared" si="158"/>
        <v>11.047617110694183</v>
      </c>
      <c r="AN571" s="37" t="str">
        <f t="shared" si="171"/>
        <v>Pallet</v>
      </c>
      <c r="AO571" s="194">
        <f t="shared" si="172"/>
        <v>21</v>
      </c>
    </row>
    <row r="572" spans="22:41" x14ac:dyDescent="0.2">
      <c r="V572" s="181">
        <f t="shared" si="159"/>
        <v>267</v>
      </c>
      <c r="W572" s="181">
        <f t="shared" si="160"/>
        <v>534</v>
      </c>
      <c r="X572" s="181">
        <f t="shared" si="161"/>
        <v>1</v>
      </c>
      <c r="Y572" s="37">
        <f t="shared" si="162"/>
        <v>1917.1</v>
      </c>
      <c r="Z572" s="181">
        <f t="shared" si="163"/>
        <v>465</v>
      </c>
      <c r="AA572" s="127">
        <f t="shared" si="164"/>
        <v>595.21331999999995</v>
      </c>
      <c r="AB572" s="127">
        <f t="shared" si="165"/>
        <v>595.21331999999995</v>
      </c>
      <c r="AC572" s="37">
        <f t="shared" si="154"/>
        <v>3971.2799199999999</v>
      </c>
      <c r="AD572" s="37">
        <f t="shared" si="166"/>
        <v>5888.3799199999994</v>
      </c>
      <c r="AE572" s="181">
        <f t="shared" si="155"/>
        <v>21</v>
      </c>
      <c r="AF572" s="37">
        <f t="shared" si="167"/>
        <v>14742</v>
      </c>
      <c r="AG572" s="181">
        <f t="shared" si="156"/>
        <v>873.9</v>
      </c>
      <c r="AH572" s="111">
        <f t="shared" si="168"/>
        <v>580.54449599999987</v>
      </c>
      <c r="AI572" s="127">
        <f t="shared" si="169"/>
        <v>873.9</v>
      </c>
      <c r="AJ572" s="37">
        <f t="shared" si="157"/>
        <v>5643.4</v>
      </c>
      <c r="AK572" s="37">
        <f t="shared" si="170"/>
        <v>20385.400000000001</v>
      </c>
      <c r="AL572" s="37">
        <f t="shared" si="158"/>
        <v>11.026928689138575</v>
      </c>
      <c r="AN572" s="37" t="str">
        <f t="shared" si="171"/>
        <v>Pallet</v>
      </c>
      <c r="AO572" s="194">
        <f t="shared" si="172"/>
        <v>21</v>
      </c>
    </row>
    <row r="573" spans="22:41" x14ac:dyDescent="0.2">
      <c r="V573" s="181">
        <f t="shared" si="159"/>
        <v>267.5</v>
      </c>
      <c r="W573" s="181">
        <f t="shared" si="160"/>
        <v>535</v>
      </c>
      <c r="X573" s="181">
        <f t="shared" si="161"/>
        <v>1</v>
      </c>
      <c r="Y573" s="37">
        <f t="shared" si="162"/>
        <v>1917.1</v>
      </c>
      <c r="Z573" s="181">
        <f t="shared" si="163"/>
        <v>465.5</v>
      </c>
      <c r="AA573" s="127">
        <f t="shared" si="164"/>
        <v>595.21331999999995</v>
      </c>
      <c r="AB573" s="127">
        <f t="shared" si="165"/>
        <v>595.21331999999995</v>
      </c>
      <c r="AC573" s="37">
        <f t="shared" si="154"/>
        <v>3971.2799199999999</v>
      </c>
      <c r="AD573" s="37">
        <f t="shared" si="166"/>
        <v>5888.3799199999994</v>
      </c>
      <c r="AE573" s="181">
        <f t="shared" si="155"/>
        <v>21</v>
      </c>
      <c r="AF573" s="37">
        <f t="shared" si="167"/>
        <v>14742</v>
      </c>
      <c r="AG573" s="181">
        <f t="shared" si="156"/>
        <v>874.4</v>
      </c>
      <c r="AH573" s="111">
        <f t="shared" si="168"/>
        <v>580.54449599999987</v>
      </c>
      <c r="AI573" s="127">
        <f t="shared" si="169"/>
        <v>874.4</v>
      </c>
      <c r="AJ573" s="37">
        <f t="shared" si="157"/>
        <v>5646.4</v>
      </c>
      <c r="AK573" s="37">
        <f t="shared" si="170"/>
        <v>20388.400000000001</v>
      </c>
      <c r="AL573" s="37">
        <f t="shared" si="158"/>
        <v>11.006317607476634</v>
      </c>
      <c r="AN573" s="37" t="str">
        <f t="shared" si="171"/>
        <v>Pallet</v>
      </c>
      <c r="AO573" s="194">
        <f t="shared" si="172"/>
        <v>21</v>
      </c>
    </row>
    <row r="574" spans="22:41" x14ac:dyDescent="0.2">
      <c r="V574" s="181">
        <f t="shared" si="159"/>
        <v>268</v>
      </c>
      <c r="W574" s="181">
        <f t="shared" si="160"/>
        <v>536</v>
      </c>
      <c r="X574" s="181">
        <f t="shared" si="161"/>
        <v>1</v>
      </c>
      <c r="Y574" s="37">
        <f t="shared" si="162"/>
        <v>1917.1</v>
      </c>
      <c r="Z574" s="181">
        <f t="shared" si="163"/>
        <v>466</v>
      </c>
      <c r="AA574" s="127">
        <f t="shared" si="164"/>
        <v>595.21331999999995</v>
      </c>
      <c r="AB574" s="127">
        <f t="shared" si="165"/>
        <v>595.21331999999995</v>
      </c>
      <c r="AC574" s="37">
        <f t="shared" si="154"/>
        <v>3971.2799199999999</v>
      </c>
      <c r="AD574" s="37">
        <f t="shared" si="166"/>
        <v>5888.3799199999994</v>
      </c>
      <c r="AE574" s="181">
        <f t="shared" si="155"/>
        <v>21</v>
      </c>
      <c r="AF574" s="37">
        <f t="shared" si="167"/>
        <v>14742</v>
      </c>
      <c r="AG574" s="181">
        <f t="shared" si="156"/>
        <v>874.9</v>
      </c>
      <c r="AH574" s="111">
        <f t="shared" si="168"/>
        <v>580.54449599999987</v>
      </c>
      <c r="AI574" s="127">
        <f t="shared" si="169"/>
        <v>874.9</v>
      </c>
      <c r="AJ574" s="37">
        <f t="shared" si="157"/>
        <v>5649.4</v>
      </c>
      <c r="AK574" s="37">
        <f t="shared" si="170"/>
        <v>20391.400000000001</v>
      </c>
      <c r="AL574" s="37">
        <f t="shared" si="158"/>
        <v>10.98578343283582</v>
      </c>
      <c r="AN574" s="37" t="str">
        <f t="shared" si="171"/>
        <v>Pallet</v>
      </c>
      <c r="AO574" s="194">
        <f t="shared" si="172"/>
        <v>21</v>
      </c>
    </row>
    <row r="575" spans="22:41" x14ac:dyDescent="0.2">
      <c r="V575" s="181">
        <f t="shared" si="159"/>
        <v>268.5</v>
      </c>
      <c r="W575" s="181">
        <f t="shared" si="160"/>
        <v>537</v>
      </c>
      <c r="X575" s="181">
        <f t="shared" si="161"/>
        <v>1</v>
      </c>
      <c r="Y575" s="37">
        <f t="shared" si="162"/>
        <v>1917.1</v>
      </c>
      <c r="Z575" s="181">
        <f t="shared" si="163"/>
        <v>466.5</v>
      </c>
      <c r="AA575" s="127">
        <f t="shared" si="164"/>
        <v>595.21331999999995</v>
      </c>
      <c r="AB575" s="127">
        <f t="shared" si="165"/>
        <v>595.21331999999995</v>
      </c>
      <c r="AC575" s="37">
        <f t="shared" si="154"/>
        <v>3971.2799199999999</v>
      </c>
      <c r="AD575" s="37">
        <f t="shared" si="166"/>
        <v>5888.3799199999994</v>
      </c>
      <c r="AE575" s="181">
        <f t="shared" si="155"/>
        <v>21</v>
      </c>
      <c r="AF575" s="37">
        <f t="shared" si="167"/>
        <v>14742</v>
      </c>
      <c r="AG575" s="181">
        <f t="shared" si="156"/>
        <v>875.4</v>
      </c>
      <c r="AH575" s="111">
        <f t="shared" si="168"/>
        <v>580.54449599999987</v>
      </c>
      <c r="AI575" s="127">
        <f t="shared" si="169"/>
        <v>875.4</v>
      </c>
      <c r="AJ575" s="37">
        <f t="shared" si="157"/>
        <v>5652.4</v>
      </c>
      <c r="AK575" s="37">
        <f t="shared" si="170"/>
        <v>20394.400000000001</v>
      </c>
      <c r="AL575" s="37">
        <f t="shared" si="158"/>
        <v>10.965325735567969</v>
      </c>
      <c r="AN575" s="37" t="str">
        <f t="shared" si="171"/>
        <v>Pallet</v>
      </c>
      <c r="AO575" s="194">
        <f t="shared" si="172"/>
        <v>21</v>
      </c>
    </row>
    <row r="576" spans="22:41" x14ac:dyDescent="0.2">
      <c r="V576" s="181">
        <f t="shared" si="159"/>
        <v>269</v>
      </c>
      <c r="W576" s="181">
        <f t="shared" si="160"/>
        <v>538</v>
      </c>
      <c r="X576" s="181">
        <f t="shared" si="161"/>
        <v>1</v>
      </c>
      <c r="Y576" s="37">
        <f t="shared" si="162"/>
        <v>1917.1</v>
      </c>
      <c r="Z576" s="181">
        <f t="shared" si="163"/>
        <v>467</v>
      </c>
      <c r="AA576" s="127">
        <f t="shared" si="164"/>
        <v>595.21331999999995</v>
      </c>
      <c r="AB576" s="127">
        <f t="shared" si="165"/>
        <v>595.21331999999995</v>
      </c>
      <c r="AC576" s="37">
        <f t="shared" si="154"/>
        <v>3971.2799199999999</v>
      </c>
      <c r="AD576" s="37">
        <f t="shared" si="166"/>
        <v>5888.3799199999994</v>
      </c>
      <c r="AE576" s="181">
        <f t="shared" si="155"/>
        <v>21</v>
      </c>
      <c r="AF576" s="37">
        <f t="shared" si="167"/>
        <v>14742</v>
      </c>
      <c r="AG576" s="181">
        <f t="shared" si="156"/>
        <v>875.9</v>
      </c>
      <c r="AH576" s="111">
        <f t="shared" si="168"/>
        <v>580.54449599999987</v>
      </c>
      <c r="AI576" s="127">
        <f t="shared" si="169"/>
        <v>875.9</v>
      </c>
      <c r="AJ576" s="37">
        <f t="shared" si="157"/>
        <v>5655.4</v>
      </c>
      <c r="AK576" s="37">
        <f t="shared" si="170"/>
        <v>20397.400000000001</v>
      </c>
      <c r="AL576" s="37">
        <f t="shared" si="158"/>
        <v>10.94494408921933</v>
      </c>
      <c r="AN576" s="37" t="str">
        <f t="shared" si="171"/>
        <v>Pallet</v>
      </c>
      <c r="AO576" s="194">
        <f t="shared" si="172"/>
        <v>21</v>
      </c>
    </row>
    <row r="577" spans="22:41" x14ac:dyDescent="0.2">
      <c r="V577" s="181">
        <f t="shared" si="159"/>
        <v>269.5</v>
      </c>
      <c r="W577" s="181">
        <f t="shared" si="160"/>
        <v>539</v>
      </c>
      <c r="X577" s="181">
        <f t="shared" si="161"/>
        <v>1</v>
      </c>
      <c r="Y577" s="37">
        <f t="shared" si="162"/>
        <v>1917.1</v>
      </c>
      <c r="Z577" s="181">
        <f t="shared" si="163"/>
        <v>467.5</v>
      </c>
      <c r="AA577" s="127">
        <f t="shared" si="164"/>
        <v>595.21331999999995</v>
      </c>
      <c r="AB577" s="127">
        <f t="shared" si="165"/>
        <v>595.21331999999995</v>
      </c>
      <c r="AC577" s="37">
        <f t="shared" si="154"/>
        <v>3971.2799199999999</v>
      </c>
      <c r="AD577" s="37">
        <f t="shared" si="166"/>
        <v>5888.3799199999994</v>
      </c>
      <c r="AE577" s="181">
        <f t="shared" si="155"/>
        <v>21</v>
      </c>
      <c r="AF577" s="37">
        <f t="shared" si="167"/>
        <v>14742</v>
      </c>
      <c r="AG577" s="181">
        <f t="shared" si="156"/>
        <v>876.4</v>
      </c>
      <c r="AH577" s="111">
        <f t="shared" si="168"/>
        <v>580.54449599999987</v>
      </c>
      <c r="AI577" s="127">
        <f t="shared" si="169"/>
        <v>876.4</v>
      </c>
      <c r="AJ577" s="37">
        <f t="shared" si="157"/>
        <v>5658.4</v>
      </c>
      <c r="AK577" s="37">
        <f t="shared" si="170"/>
        <v>20400.400000000001</v>
      </c>
      <c r="AL577" s="37">
        <f t="shared" si="158"/>
        <v>10.924638070500926</v>
      </c>
      <c r="AN577" s="37" t="str">
        <f t="shared" si="171"/>
        <v>Pallet</v>
      </c>
      <c r="AO577" s="194">
        <f t="shared" si="172"/>
        <v>21</v>
      </c>
    </row>
    <row r="578" spans="22:41" x14ac:dyDescent="0.2">
      <c r="V578" s="181">
        <f t="shared" si="159"/>
        <v>270</v>
      </c>
      <c r="W578" s="181">
        <f t="shared" si="160"/>
        <v>540</v>
      </c>
      <c r="X578" s="181">
        <f t="shared" si="161"/>
        <v>1</v>
      </c>
      <c r="Y578" s="37">
        <f t="shared" si="162"/>
        <v>1917.1</v>
      </c>
      <c r="Z578" s="181">
        <f t="shared" si="163"/>
        <v>468</v>
      </c>
      <c r="AA578" s="127">
        <f t="shared" si="164"/>
        <v>595.21331999999995</v>
      </c>
      <c r="AB578" s="127">
        <f t="shared" si="165"/>
        <v>595.21331999999995</v>
      </c>
      <c r="AC578" s="37">
        <f t="shared" si="154"/>
        <v>3971.2799199999999</v>
      </c>
      <c r="AD578" s="37">
        <f t="shared" si="166"/>
        <v>5888.3799199999994</v>
      </c>
      <c r="AE578" s="181">
        <f t="shared" si="155"/>
        <v>21</v>
      </c>
      <c r="AF578" s="37">
        <f t="shared" si="167"/>
        <v>14742</v>
      </c>
      <c r="AG578" s="181">
        <f t="shared" si="156"/>
        <v>876.9</v>
      </c>
      <c r="AH578" s="111">
        <f t="shared" si="168"/>
        <v>580.54449599999987</v>
      </c>
      <c r="AI578" s="127">
        <f t="shared" si="169"/>
        <v>876.9</v>
      </c>
      <c r="AJ578" s="37">
        <f t="shared" si="157"/>
        <v>5661.4</v>
      </c>
      <c r="AK578" s="37">
        <f t="shared" si="170"/>
        <v>20403.400000000001</v>
      </c>
      <c r="AL578" s="37">
        <f t="shared" si="158"/>
        <v>10.904407259259258</v>
      </c>
      <c r="AN578" s="37" t="str">
        <f t="shared" si="171"/>
        <v>Pallet</v>
      </c>
      <c r="AO578" s="194">
        <f t="shared" si="172"/>
        <v>21</v>
      </c>
    </row>
    <row r="579" spans="22:41" x14ac:dyDescent="0.2">
      <c r="V579" s="181">
        <f t="shared" si="159"/>
        <v>270.5</v>
      </c>
      <c r="W579" s="181">
        <f t="shared" si="160"/>
        <v>541</v>
      </c>
      <c r="X579" s="181">
        <f t="shared" si="161"/>
        <v>1</v>
      </c>
      <c r="Y579" s="37">
        <f t="shared" si="162"/>
        <v>1917.1</v>
      </c>
      <c r="Z579" s="181">
        <f t="shared" si="163"/>
        <v>468.5</v>
      </c>
      <c r="AA579" s="127">
        <f t="shared" si="164"/>
        <v>595.21331999999995</v>
      </c>
      <c r="AB579" s="127">
        <f t="shared" si="165"/>
        <v>595.21331999999995</v>
      </c>
      <c r="AC579" s="37">
        <f t="shared" si="154"/>
        <v>3971.2799199999999</v>
      </c>
      <c r="AD579" s="37">
        <f t="shared" si="166"/>
        <v>5888.3799199999994</v>
      </c>
      <c r="AE579" s="181">
        <f t="shared" si="155"/>
        <v>21</v>
      </c>
      <c r="AF579" s="37">
        <f t="shared" si="167"/>
        <v>14742</v>
      </c>
      <c r="AG579" s="181">
        <f t="shared" si="156"/>
        <v>877.4</v>
      </c>
      <c r="AH579" s="111">
        <f t="shared" si="168"/>
        <v>580.54449599999987</v>
      </c>
      <c r="AI579" s="127">
        <f t="shared" si="169"/>
        <v>877.4</v>
      </c>
      <c r="AJ579" s="37">
        <f t="shared" si="157"/>
        <v>5664.4</v>
      </c>
      <c r="AK579" s="37">
        <f t="shared" si="170"/>
        <v>20406.400000000001</v>
      </c>
      <c r="AL579" s="37">
        <f t="shared" si="158"/>
        <v>10.884251238447318</v>
      </c>
      <c r="AN579" s="37" t="str">
        <f t="shared" si="171"/>
        <v>Pallet</v>
      </c>
      <c r="AO579" s="194">
        <f t="shared" si="172"/>
        <v>21</v>
      </c>
    </row>
    <row r="580" spans="22:41" x14ac:dyDescent="0.2">
      <c r="V580" s="181">
        <f t="shared" si="159"/>
        <v>271</v>
      </c>
      <c r="W580" s="181">
        <f t="shared" si="160"/>
        <v>542</v>
      </c>
      <c r="X580" s="181">
        <f t="shared" si="161"/>
        <v>1</v>
      </c>
      <c r="Y580" s="37">
        <f t="shared" si="162"/>
        <v>1917.1</v>
      </c>
      <c r="Z580" s="181">
        <f t="shared" si="163"/>
        <v>469</v>
      </c>
      <c r="AA580" s="127">
        <f t="shared" si="164"/>
        <v>595.21331999999995</v>
      </c>
      <c r="AB580" s="127">
        <f t="shared" si="165"/>
        <v>595.21331999999995</v>
      </c>
      <c r="AC580" s="37">
        <f t="shared" si="154"/>
        <v>3971.2799199999999</v>
      </c>
      <c r="AD580" s="37">
        <f t="shared" si="166"/>
        <v>5888.3799199999994</v>
      </c>
      <c r="AE580" s="181">
        <f t="shared" si="155"/>
        <v>22</v>
      </c>
      <c r="AF580" s="37">
        <f t="shared" si="167"/>
        <v>15444</v>
      </c>
      <c r="AG580" s="181">
        <f t="shared" si="156"/>
        <v>906.8</v>
      </c>
      <c r="AH580" s="111">
        <f t="shared" si="168"/>
        <v>608.18947199999991</v>
      </c>
      <c r="AI580" s="127">
        <f t="shared" si="169"/>
        <v>906.8</v>
      </c>
      <c r="AJ580" s="37">
        <f t="shared" si="157"/>
        <v>5840.7999999999993</v>
      </c>
      <c r="AK580" s="37">
        <f t="shared" si="170"/>
        <v>21284.799999999999</v>
      </c>
      <c r="AL580" s="37">
        <f t="shared" si="158"/>
        <v>10.864169594095939</v>
      </c>
      <c r="AN580" s="37" t="str">
        <f t="shared" si="171"/>
        <v>Pallet</v>
      </c>
      <c r="AO580" s="194">
        <f t="shared" si="172"/>
        <v>21</v>
      </c>
    </row>
    <row r="581" spans="22:41" x14ac:dyDescent="0.2">
      <c r="V581" s="181">
        <f t="shared" si="159"/>
        <v>271.5</v>
      </c>
      <c r="W581" s="181">
        <f t="shared" si="160"/>
        <v>543</v>
      </c>
      <c r="X581" s="181">
        <f t="shared" si="161"/>
        <v>1</v>
      </c>
      <c r="Y581" s="37">
        <f t="shared" si="162"/>
        <v>1917.1</v>
      </c>
      <c r="Z581" s="181">
        <f t="shared" si="163"/>
        <v>469.5</v>
      </c>
      <c r="AA581" s="127">
        <f t="shared" si="164"/>
        <v>595.21331999999995</v>
      </c>
      <c r="AB581" s="127">
        <f t="shared" si="165"/>
        <v>595.21331999999995</v>
      </c>
      <c r="AC581" s="37">
        <f t="shared" si="154"/>
        <v>3971.2799199999999</v>
      </c>
      <c r="AD581" s="37">
        <f t="shared" si="166"/>
        <v>5888.3799199999994</v>
      </c>
      <c r="AE581" s="181">
        <f t="shared" si="155"/>
        <v>22</v>
      </c>
      <c r="AF581" s="37">
        <f t="shared" si="167"/>
        <v>15444</v>
      </c>
      <c r="AG581" s="181">
        <f t="shared" si="156"/>
        <v>907.3</v>
      </c>
      <c r="AH581" s="111">
        <f t="shared" si="168"/>
        <v>608.18947199999991</v>
      </c>
      <c r="AI581" s="127">
        <f t="shared" si="169"/>
        <v>907.3</v>
      </c>
      <c r="AJ581" s="37">
        <f t="shared" si="157"/>
        <v>5843.7999999999993</v>
      </c>
      <c r="AK581" s="37">
        <f t="shared" si="170"/>
        <v>21287.8</v>
      </c>
      <c r="AL581" s="37">
        <f t="shared" si="158"/>
        <v>10.844161915285451</v>
      </c>
      <c r="AN581" s="37" t="str">
        <f t="shared" si="171"/>
        <v>Pallet</v>
      </c>
      <c r="AO581" s="194">
        <f t="shared" si="172"/>
        <v>22</v>
      </c>
    </row>
    <row r="582" spans="22:41" x14ac:dyDescent="0.2">
      <c r="V582" s="181">
        <f t="shared" si="159"/>
        <v>272</v>
      </c>
      <c r="W582" s="181">
        <f t="shared" si="160"/>
        <v>544</v>
      </c>
      <c r="X582" s="181">
        <f t="shared" si="161"/>
        <v>1</v>
      </c>
      <c r="Y582" s="37">
        <f t="shared" si="162"/>
        <v>1917.1</v>
      </c>
      <c r="Z582" s="181">
        <f t="shared" si="163"/>
        <v>470</v>
      </c>
      <c r="AA582" s="127">
        <f t="shared" si="164"/>
        <v>595.21331999999995</v>
      </c>
      <c r="AB582" s="127">
        <f t="shared" si="165"/>
        <v>595.21331999999995</v>
      </c>
      <c r="AC582" s="37">
        <f t="shared" si="154"/>
        <v>3971.2799199999999</v>
      </c>
      <c r="AD582" s="37">
        <f t="shared" si="166"/>
        <v>5888.3799199999994</v>
      </c>
      <c r="AE582" s="181">
        <f t="shared" si="155"/>
        <v>22</v>
      </c>
      <c r="AF582" s="37">
        <f t="shared" si="167"/>
        <v>15444</v>
      </c>
      <c r="AG582" s="181">
        <f t="shared" si="156"/>
        <v>907.8</v>
      </c>
      <c r="AH582" s="111">
        <f t="shared" si="168"/>
        <v>608.18947199999991</v>
      </c>
      <c r="AI582" s="127">
        <f t="shared" si="169"/>
        <v>907.8</v>
      </c>
      <c r="AJ582" s="37">
        <f t="shared" si="157"/>
        <v>5846.7999999999993</v>
      </c>
      <c r="AK582" s="37">
        <f t="shared" si="170"/>
        <v>21290.799999999999</v>
      </c>
      <c r="AL582" s="37">
        <f t="shared" si="158"/>
        <v>10.824227794117647</v>
      </c>
      <c r="AN582" s="37" t="str">
        <f t="shared" si="171"/>
        <v>Pallet</v>
      </c>
      <c r="AO582" s="194">
        <f t="shared" si="172"/>
        <v>22</v>
      </c>
    </row>
    <row r="583" spans="22:41" x14ac:dyDescent="0.2">
      <c r="V583" s="181">
        <f t="shared" si="159"/>
        <v>272.5</v>
      </c>
      <c r="W583" s="181">
        <f t="shared" si="160"/>
        <v>545</v>
      </c>
      <c r="X583" s="181">
        <f t="shared" si="161"/>
        <v>1</v>
      </c>
      <c r="Y583" s="37">
        <f t="shared" si="162"/>
        <v>1917.1</v>
      </c>
      <c r="Z583" s="181">
        <f t="shared" si="163"/>
        <v>470.5</v>
      </c>
      <c r="AA583" s="127">
        <f t="shared" si="164"/>
        <v>595.21331999999995</v>
      </c>
      <c r="AB583" s="127">
        <f t="shared" si="165"/>
        <v>595.21331999999995</v>
      </c>
      <c r="AC583" s="37">
        <f t="shared" si="154"/>
        <v>3971.2799199999999</v>
      </c>
      <c r="AD583" s="37">
        <f t="shared" si="166"/>
        <v>5888.3799199999994</v>
      </c>
      <c r="AE583" s="181">
        <f t="shared" si="155"/>
        <v>22</v>
      </c>
      <c r="AF583" s="37">
        <f t="shared" si="167"/>
        <v>15444</v>
      </c>
      <c r="AG583" s="181">
        <f t="shared" si="156"/>
        <v>908.3</v>
      </c>
      <c r="AH583" s="111">
        <f t="shared" si="168"/>
        <v>608.18947199999991</v>
      </c>
      <c r="AI583" s="127">
        <f t="shared" si="169"/>
        <v>908.3</v>
      </c>
      <c r="AJ583" s="37">
        <f t="shared" si="157"/>
        <v>5849.7999999999993</v>
      </c>
      <c r="AK583" s="37">
        <f t="shared" si="170"/>
        <v>21293.8</v>
      </c>
      <c r="AL583" s="37">
        <f t="shared" si="158"/>
        <v>10.804366825688072</v>
      </c>
      <c r="AN583" s="37" t="str">
        <f t="shared" si="171"/>
        <v>Pallet</v>
      </c>
      <c r="AO583" s="194">
        <f t="shared" si="172"/>
        <v>22</v>
      </c>
    </row>
    <row r="584" spans="22:41" x14ac:dyDescent="0.2">
      <c r="V584" s="181">
        <f t="shared" si="159"/>
        <v>273</v>
      </c>
      <c r="W584" s="181">
        <f t="shared" si="160"/>
        <v>546</v>
      </c>
      <c r="X584" s="181">
        <f t="shared" si="161"/>
        <v>1</v>
      </c>
      <c r="Y584" s="37">
        <f t="shared" si="162"/>
        <v>1917.1</v>
      </c>
      <c r="Z584" s="181">
        <f t="shared" si="163"/>
        <v>471</v>
      </c>
      <c r="AA584" s="127">
        <f t="shared" si="164"/>
        <v>595.21331999999995</v>
      </c>
      <c r="AB584" s="127">
        <f t="shared" si="165"/>
        <v>595.21331999999995</v>
      </c>
      <c r="AC584" s="37">
        <f t="shared" si="154"/>
        <v>3971.2799199999999</v>
      </c>
      <c r="AD584" s="37">
        <f t="shared" si="166"/>
        <v>5888.3799199999994</v>
      </c>
      <c r="AE584" s="181">
        <f t="shared" si="155"/>
        <v>22</v>
      </c>
      <c r="AF584" s="37">
        <f t="shared" si="167"/>
        <v>15444</v>
      </c>
      <c r="AG584" s="181">
        <f t="shared" si="156"/>
        <v>908.8</v>
      </c>
      <c r="AH584" s="111">
        <f t="shared" si="168"/>
        <v>608.18947199999991</v>
      </c>
      <c r="AI584" s="127">
        <f t="shared" si="169"/>
        <v>908.8</v>
      </c>
      <c r="AJ584" s="37">
        <f t="shared" si="157"/>
        <v>5852.7999999999993</v>
      </c>
      <c r="AK584" s="37">
        <f t="shared" si="170"/>
        <v>21296.799999999999</v>
      </c>
      <c r="AL584" s="37">
        <f t="shared" si="158"/>
        <v>10.784578608058608</v>
      </c>
      <c r="AN584" s="37" t="str">
        <f t="shared" si="171"/>
        <v>Pallet</v>
      </c>
      <c r="AO584" s="194">
        <f t="shared" si="172"/>
        <v>22</v>
      </c>
    </row>
    <row r="585" spans="22:41" x14ac:dyDescent="0.2">
      <c r="V585" s="181">
        <f t="shared" si="159"/>
        <v>273.5</v>
      </c>
      <c r="W585" s="181">
        <f t="shared" si="160"/>
        <v>547</v>
      </c>
      <c r="X585" s="181">
        <f t="shared" si="161"/>
        <v>1</v>
      </c>
      <c r="Y585" s="37">
        <f t="shared" si="162"/>
        <v>1917.1</v>
      </c>
      <c r="Z585" s="181">
        <f t="shared" si="163"/>
        <v>471.5</v>
      </c>
      <c r="AA585" s="127">
        <f t="shared" si="164"/>
        <v>595.21331999999995</v>
      </c>
      <c r="AB585" s="127">
        <f t="shared" si="165"/>
        <v>595.21331999999995</v>
      </c>
      <c r="AC585" s="37">
        <f t="shared" si="154"/>
        <v>3971.2799199999999</v>
      </c>
      <c r="AD585" s="37">
        <f t="shared" si="166"/>
        <v>5888.3799199999994</v>
      </c>
      <c r="AE585" s="181">
        <f t="shared" si="155"/>
        <v>22</v>
      </c>
      <c r="AF585" s="37">
        <f t="shared" si="167"/>
        <v>15444</v>
      </c>
      <c r="AG585" s="181">
        <f t="shared" si="156"/>
        <v>909.3</v>
      </c>
      <c r="AH585" s="111">
        <f t="shared" si="168"/>
        <v>608.18947199999991</v>
      </c>
      <c r="AI585" s="127">
        <f t="shared" si="169"/>
        <v>909.3</v>
      </c>
      <c r="AJ585" s="37">
        <f t="shared" si="157"/>
        <v>5855.7999999999993</v>
      </c>
      <c r="AK585" s="37">
        <f t="shared" si="170"/>
        <v>21299.8</v>
      </c>
      <c r="AL585" s="37">
        <f t="shared" si="158"/>
        <v>10.764862742230346</v>
      </c>
      <c r="AN585" s="37" t="str">
        <f t="shared" si="171"/>
        <v>Pallet</v>
      </c>
      <c r="AO585" s="194">
        <f t="shared" si="172"/>
        <v>22</v>
      </c>
    </row>
    <row r="586" spans="22:41" x14ac:dyDescent="0.2">
      <c r="V586" s="181">
        <f t="shared" si="159"/>
        <v>274</v>
      </c>
      <c r="W586" s="181">
        <f t="shared" si="160"/>
        <v>548</v>
      </c>
      <c r="X586" s="181">
        <f t="shared" si="161"/>
        <v>1</v>
      </c>
      <c r="Y586" s="37">
        <f t="shared" si="162"/>
        <v>1917.1</v>
      </c>
      <c r="Z586" s="181">
        <f t="shared" si="163"/>
        <v>472</v>
      </c>
      <c r="AA586" s="127">
        <f t="shared" si="164"/>
        <v>595.21331999999995</v>
      </c>
      <c r="AB586" s="127">
        <f t="shared" si="165"/>
        <v>595.21331999999995</v>
      </c>
      <c r="AC586" s="37">
        <f t="shared" si="154"/>
        <v>3971.2799199999999</v>
      </c>
      <c r="AD586" s="37">
        <f t="shared" si="166"/>
        <v>5888.3799199999994</v>
      </c>
      <c r="AE586" s="181">
        <f t="shared" si="155"/>
        <v>22</v>
      </c>
      <c r="AF586" s="37">
        <f t="shared" si="167"/>
        <v>15444</v>
      </c>
      <c r="AG586" s="181">
        <f t="shared" si="156"/>
        <v>909.8</v>
      </c>
      <c r="AH586" s="111">
        <f t="shared" si="168"/>
        <v>608.18947199999991</v>
      </c>
      <c r="AI586" s="127">
        <f t="shared" si="169"/>
        <v>909.8</v>
      </c>
      <c r="AJ586" s="37">
        <f t="shared" si="157"/>
        <v>5858.7999999999993</v>
      </c>
      <c r="AK586" s="37">
        <f t="shared" si="170"/>
        <v>21302.799999999999</v>
      </c>
      <c r="AL586" s="37">
        <f t="shared" si="158"/>
        <v>10.745218832116787</v>
      </c>
      <c r="AN586" s="37" t="str">
        <f t="shared" si="171"/>
        <v>Pallet</v>
      </c>
      <c r="AO586" s="194">
        <f t="shared" si="172"/>
        <v>22</v>
      </c>
    </row>
    <row r="587" spans="22:41" x14ac:dyDescent="0.2">
      <c r="V587" s="181">
        <f t="shared" si="159"/>
        <v>274.5</v>
      </c>
      <c r="W587" s="181">
        <f t="shared" si="160"/>
        <v>549</v>
      </c>
      <c r="X587" s="181">
        <f t="shared" si="161"/>
        <v>1</v>
      </c>
      <c r="Y587" s="37">
        <f t="shared" si="162"/>
        <v>1917.1</v>
      </c>
      <c r="Z587" s="181">
        <f t="shared" si="163"/>
        <v>472.5</v>
      </c>
      <c r="AA587" s="127">
        <f t="shared" si="164"/>
        <v>595.21331999999995</v>
      </c>
      <c r="AB587" s="127">
        <f t="shared" si="165"/>
        <v>595.21331999999995</v>
      </c>
      <c r="AC587" s="37">
        <f t="shared" si="154"/>
        <v>3971.2799199999999</v>
      </c>
      <c r="AD587" s="37">
        <f t="shared" si="166"/>
        <v>5888.3799199999994</v>
      </c>
      <c r="AE587" s="181">
        <f t="shared" si="155"/>
        <v>22</v>
      </c>
      <c r="AF587" s="37">
        <f t="shared" si="167"/>
        <v>15444</v>
      </c>
      <c r="AG587" s="181">
        <f t="shared" si="156"/>
        <v>910.3</v>
      </c>
      <c r="AH587" s="111">
        <f t="shared" si="168"/>
        <v>608.18947199999991</v>
      </c>
      <c r="AI587" s="127">
        <f t="shared" si="169"/>
        <v>910.3</v>
      </c>
      <c r="AJ587" s="37">
        <f t="shared" si="157"/>
        <v>5861.7999999999993</v>
      </c>
      <c r="AK587" s="37">
        <f t="shared" si="170"/>
        <v>21305.8</v>
      </c>
      <c r="AL587" s="37">
        <f t="shared" si="158"/>
        <v>10.725646484517304</v>
      </c>
      <c r="AN587" s="37" t="str">
        <f t="shared" si="171"/>
        <v>Pallet</v>
      </c>
      <c r="AO587" s="194">
        <f t="shared" si="172"/>
        <v>22</v>
      </c>
    </row>
    <row r="588" spans="22:41" x14ac:dyDescent="0.2">
      <c r="V588" s="181">
        <f t="shared" si="159"/>
        <v>275</v>
      </c>
      <c r="W588" s="181">
        <f t="shared" si="160"/>
        <v>550</v>
      </c>
      <c r="X588" s="181">
        <f t="shared" si="161"/>
        <v>1</v>
      </c>
      <c r="Y588" s="37">
        <f t="shared" si="162"/>
        <v>1917.1</v>
      </c>
      <c r="Z588" s="181">
        <f t="shared" si="163"/>
        <v>473</v>
      </c>
      <c r="AA588" s="127">
        <f t="shared" si="164"/>
        <v>595.21331999999995</v>
      </c>
      <c r="AB588" s="127">
        <f t="shared" si="165"/>
        <v>595.21331999999995</v>
      </c>
      <c r="AC588" s="37">
        <f t="shared" si="154"/>
        <v>3971.2799199999999</v>
      </c>
      <c r="AD588" s="37">
        <f t="shared" si="166"/>
        <v>5888.3799199999994</v>
      </c>
      <c r="AE588" s="181">
        <f t="shared" si="155"/>
        <v>22</v>
      </c>
      <c r="AF588" s="37">
        <f t="shared" si="167"/>
        <v>15444</v>
      </c>
      <c r="AG588" s="181">
        <f t="shared" si="156"/>
        <v>910.8</v>
      </c>
      <c r="AH588" s="111">
        <f t="shared" si="168"/>
        <v>608.18947199999991</v>
      </c>
      <c r="AI588" s="127">
        <f t="shared" si="169"/>
        <v>910.8</v>
      </c>
      <c r="AJ588" s="37">
        <f t="shared" si="157"/>
        <v>5864.7999999999993</v>
      </c>
      <c r="AK588" s="37">
        <f t="shared" si="170"/>
        <v>21308.799999999999</v>
      </c>
      <c r="AL588" s="37">
        <f t="shared" si="158"/>
        <v>10.706145309090909</v>
      </c>
      <c r="AN588" s="37" t="str">
        <f t="shared" si="171"/>
        <v>Pallet</v>
      </c>
      <c r="AO588" s="194">
        <f t="shared" si="172"/>
        <v>22</v>
      </c>
    </row>
    <row r="589" spans="22:41" x14ac:dyDescent="0.2">
      <c r="V589" s="181">
        <f t="shared" si="159"/>
        <v>275.5</v>
      </c>
      <c r="W589" s="181">
        <f t="shared" si="160"/>
        <v>551</v>
      </c>
      <c r="X589" s="181">
        <f t="shared" si="161"/>
        <v>1</v>
      </c>
      <c r="Y589" s="37">
        <f t="shared" si="162"/>
        <v>1917.1</v>
      </c>
      <c r="Z589" s="181">
        <f t="shared" si="163"/>
        <v>473.5</v>
      </c>
      <c r="AA589" s="127">
        <f t="shared" si="164"/>
        <v>595.21331999999995</v>
      </c>
      <c r="AB589" s="127">
        <f t="shared" si="165"/>
        <v>595.21331999999995</v>
      </c>
      <c r="AC589" s="37">
        <f t="shared" si="154"/>
        <v>3971.2799199999999</v>
      </c>
      <c r="AD589" s="37">
        <f t="shared" si="166"/>
        <v>5888.3799199999994</v>
      </c>
      <c r="AE589" s="181">
        <f t="shared" si="155"/>
        <v>22</v>
      </c>
      <c r="AF589" s="37">
        <f t="shared" si="167"/>
        <v>15444</v>
      </c>
      <c r="AG589" s="181">
        <f t="shared" si="156"/>
        <v>911.3</v>
      </c>
      <c r="AH589" s="111">
        <f t="shared" si="168"/>
        <v>608.18947199999991</v>
      </c>
      <c r="AI589" s="127">
        <f t="shared" si="169"/>
        <v>911.3</v>
      </c>
      <c r="AJ589" s="37">
        <f t="shared" si="157"/>
        <v>5867.7999999999993</v>
      </c>
      <c r="AK589" s="37">
        <f t="shared" si="170"/>
        <v>21311.8</v>
      </c>
      <c r="AL589" s="37">
        <f t="shared" si="158"/>
        <v>10.686714918330308</v>
      </c>
      <c r="AN589" s="37" t="str">
        <f t="shared" si="171"/>
        <v>Pallet</v>
      </c>
      <c r="AO589" s="194">
        <f t="shared" si="172"/>
        <v>22</v>
      </c>
    </row>
    <row r="590" spans="22:41" x14ac:dyDescent="0.2">
      <c r="V590" s="181">
        <f t="shared" si="159"/>
        <v>276</v>
      </c>
      <c r="W590" s="181">
        <f t="shared" si="160"/>
        <v>552</v>
      </c>
      <c r="X590" s="181">
        <f t="shared" si="161"/>
        <v>1</v>
      </c>
      <c r="Y590" s="37">
        <f t="shared" si="162"/>
        <v>1917.1</v>
      </c>
      <c r="Z590" s="181">
        <f t="shared" si="163"/>
        <v>474</v>
      </c>
      <c r="AA590" s="127">
        <f t="shared" si="164"/>
        <v>595.21331999999995</v>
      </c>
      <c r="AB590" s="127">
        <f t="shared" si="165"/>
        <v>595.21331999999995</v>
      </c>
      <c r="AC590" s="37">
        <f t="shared" si="154"/>
        <v>3971.2799199999999</v>
      </c>
      <c r="AD590" s="37">
        <f t="shared" si="166"/>
        <v>5888.3799199999994</v>
      </c>
      <c r="AE590" s="181">
        <f t="shared" si="155"/>
        <v>22</v>
      </c>
      <c r="AF590" s="37">
        <f t="shared" si="167"/>
        <v>15444</v>
      </c>
      <c r="AG590" s="181">
        <f t="shared" si="156"/>
        <v>911.8</v>
      </c>
      <c r="AH590" s="111">
        <f t="shared" si="168"/>
        <v>608.18947199999991</v>
      </c>
      <c r="AI590" s="127">
        <f t="shared" si="169"/>
        <v>911.8</v>
      </c>
      <c r="AJ590" s="37">
        <f t="shared" si="157"/>
        <v>5870.7999999999993</v>
      </c>
      <c r="AK590" s="37">
        <f t="shared" si="170"/>
        <v>21314.799999999999</v>
      </c>
      <c r="AL590" s="37">
        <f t="shared" si="158"/>
        <v>10.66735492753623</v>
      </c>
      <c r="AN590" s="37" t="str">
        <f t="shared" si="171"/>
        <v>Pallet</v>
      </c>
      <c r="AO590" s="194">
        <f t="shared" si="172"/>
        <v>22</v>
      </c>
    </row>
    <row r="591" spans="22:41" x14ac:dyDescent="0.2">
      <c r="V591" s="181">
        <f t="shared" si="159"/>
        <v>276.5</v>
      </c>
      <c r="W591" s="181">
        <f t="shared" si="160"/>
        <v>553</v>
      </c>
      <c r="X591" s="181">
        <f t="shared" si="161"/>
        <v>1</v>
      </c>
      <c r="Y591" s="37">
        <f t="shared" si="162"/>
        <v>1917.1</v>
      </c>
      <c r="Z591" s="181">
        <f t="shared" si="163"/>
        <v>474.5</v>
      </c>
      <c r="AA591" s="127">
        <f t="shared" si="164"/>
        <v>595.21331999999995</v>
      </c>
      <c r="AB591" s="127">
        <f t="shared" si="165"/>
        <v>595.21331999999995</v>
      </c>
      <c r="AC591" s="37">
        <f t="shared" si="154"/>
        <v>3971.2799199999999</v>
      </c>
      <c r="AD591" s="37">
        <f t="shared" si="166"/>
        <v>5888.3799199999994</v>
      </c>
      <c r="AE591" s="181">
        <f t="shared" si="155"/>
        <v>22</v>
      </c>
      <c r="AF591" s="37">
        <f t="shared" si="167"/>
        <v>15444</v>
      </c>
      <c r="AG591" s="181">
        <f t="shared" si="156"/>
        <v>912.3</v>
      </c>
      <c r="AH591" s="111">
        <f t="shared" si="168"/>
        <v>608.18947199999991</v>
      </c>
      <c r="AI591" s="127">
        <f t="shared" si="169"/>
        <v>912.3</v>
      </c>
      <c r="AJ591" s="37">
        <f t="shared" si="157"/>
        <v>5873.7999999999993</v>
      </c>
      <c r="AK591" s="37">
        <f t="shared" si="170"/>
        <v>21317.8</v>
      </c>
      <c r="AL591" s="37">
        <f t="shared" si="158"/>
        <v>10.648064954792043</v>
      </c>
      <c r="AN591" s="37" t="str">
        <f t="shared" si="171"/>
        <v>Pallet</v>
      </c>
      <c r="AO591" s="194">
        <f t="shared" si="172"/>
        <v>22</v>
      </c>
    </row>
    <row r="592" spans="22:41" x14ac:dyDescent="0.2">
      <c r="V592" s="181">
        <f t="shared" si="159"/>
        <v>277</v>
      </c>
      <c r="W592" s="181">
        <f t="shared" si="160"/>
        <v>554</v>
      </c>
      <c r="X592" s="181">
        <f t="shared" si="161"/>
        <v>1</v>
      </c>
      <c r="Y592" s="37">
        <f t="shared" si="162"/>
        <v>1917.1</v>
      </c>
      <c r="Z592" s="181">
        <f t="shared" si="163"/>
        <v>475</v>
      </c>
      <c r="AA592" s="127">
        <f t="shared" si="164"/>
        <v>595.21331999999995</v>
      </c>
      <c r="AB592" s="127">
        <f t="shared" si="165"/>
        <v>595.21331999999995</v>
      </c>
      <c r="AC592" s="37">
        <f t="shared" si="154"/>
        <v>3971.2799199999999</v>
      </c>
      <c r="AD592" s="37">
        <f t="shared" si="166"/>
        <v>5888.3799199999994</v>
      </c>
      <c r="AE592" s="181">
        <f t="shared" si="155"/>
        <v>22</v>
      </c>
      <c r="AF592" s="37">
        <f t="shared" si="167"/>
        <v>15444</v>
      </c>
      <c r="AG592" s="181">
        <f t="shared" si="156"/>
        <v>912.8</v>
      </c>
      <c r="AH592" s="111">
        <f t="shared" si="168"/>
        <v>608.18947199999991</v>
      </c>
      <c r="AI592" s="127">
        <f t="shared" si="169"/>
        <v>912.8</v>
      </c>
      <c r="AJ592" s="37">
        <f t="shared" si="157"/>
        <v>5876.7999999999993</v>
      </c>
      <c r="AK592" s="37">
        <f t="shared" si="170"/>
        <v>21320.799999999999</v>
      </c>
      <c r="AL592" s="37">
        <f t="shared" si="158"/>
        <v>10.628844620938628</v>
      </c>
      <c r="AN592" s="37" t="str">
        <f t="shared" si="171"/>
        <v>Pallet</v>
      </c>
      <c r="AO592" s="194">
        <f t="shared" si="172"/>
        <v>22</v>
      </c>
    </row>
    <row r="593" spans="22:41" x14ac:dyDescent="0.2">
      <c r="V593" s="181">
        <f t="shared" si="159"/>
        <v>277.5</v>
      </c>
      <c r="W593" s="181">
        <f t="shared" si="160"/>
        <v>555</v>
      </c>
      <c r="X593" s="181">
        <f t="shared" si="161"/>
        <v>1</v>
      </c>
      <c r="Y593" s="37">
        <f t="shared" si="162"/>
        <v>1917.1</v>
      </c>
      <c r="Z593" s="181">
        <f t="shared" si="163"/>
        <v>475.5</v>
      </c>
      <c r="AA593" s="127">
        <f t="shared" si="164"/>
        <v>595.21331999999995</v>
      </c>
      <c r="AB593" s="127">
        <f t="shared" si="165"/>
        <v>595.21331999999995</v>
      </c>
      <c r="AC593" s="37">
        <f t="shared" si="154"/>
        <v>3971.2799199999999</v>
      </c>
      <c r="AD593" s="37">
        <f t="shared" si="166"/>
        <v>5888.3799199999994</v>
      </c>
      <c r="AE593" s="181">
        <f t="shared" si="155"/>
        <v>22</v>
      </c>
      <c r="AF593" s="37">
        <f t="shared" si="167"/>
        <v>15444</v>
      </c>
      <c r="AG593" s="181">
        <f t="shared" si="156"/>
        <v>913.3</v>
      </c>
      <c r="AH593" s="111">
        <f t="shared" si="168"/>
        <v>608.18947199999991</v>
      </c>
      <c r="AI593" s="127">
        <f t="shared" si="169"/>
        <v>913.3</v>
      </c>
      <c r="AJ593" s="37">
        <f t="shared" si="157"/>
        <v>5879.7999999999993</v>
      </c>
      <c r="AK593" s="37">
        <f t="shared" si="170"/>
        <v>21323.8</v>
      </c>
      <c r="AL593" s="37">
        <f t="shared" si="158"/>
        <v>10.609693549549549</v>
      </c>
      <c r="AN593" s="37" t="str">
        <f t="shared" si="171"/>
        <v>Pallet</v>
      </c>
      <c r="AO593" s="194">
        <f t="shared" si="172"/>
        <v>22</v>
      </c>
    </row>
    <row r="594" spans="22:41" x14ac:dyDescent="0.2">
      <c r="V594" s="181">
        <f t="shared" si="159"/>
        <v>278</v>
      </c>
      <c r="W594" s="181">
        <f t="shared" si="160"/>
        <v>556</v>
      </c>
      <c r="X594" s="181">
        <f t="shared" si="161"/>
        <v>1</v>
      </c>
      <c r="Y594" s="37">
        <f t="shared" si="162"/>
        <v>1917.1</v>
      </c>
      <c r="Z594" s="181">
        <f t="shared" si="163"/>
        <v>476</v>
      </c>
      <c r="AA594" s="127">
        <f t="shared" si="164"/>
        <v>595.21331999999995</v>
      </c>
      <c r="AB594" s="127">
        <f t="shared" si="165"/>
        <v>595.21331999999995</v>
      </c>
      <c r="AC594" s="37">
        <f t="shared" si="154"/>
        <v>3971.2799199999999</v>
      </c>
      <c r="AD594" s="37">
        <f t="shared" si="166"/>
        <v>5888.3799199999994</v>
      </c>
      <c r="AE594" s="181">
        <f t="shared" si="155"/>
        <v>22</v>
      </c>
      <c r="AF594" s="37">
        <f t="shared" si="167"/>
        <v>15444</v>
      </c>
      <c r="AG594" s="181">
        <f t="shared" si="156"/>
        <v>913.8</v>
      </c>
      <c r="AH594" s="111">
        <f t="shared" si="168"/>
        <v>608.18947199999991</v>
      </c>
      <c r="AI594" s="127">
        <f t="shared" si="169"/>
        <v>913.8</v>
      </c>
      <c r="AJ594" s="37">
        <f t="shared" si="157"/>
        <v>5882.7999999999993</v>
      </c>
      <c r="AK594" s="37">
        <f t="shared" si="170"/>
        <v>21326.799999999999</v>
      </c>
      <c r="AL594" s="37">
        <f t="shared" si="158"/>
        <v>10.590611366906474</v>
      </c>
      <c r="AN594" s="37" t="str">
        <f t="shared" si="171"/>
        <v>Pallet</v>
      </c>
      <c r="AO594" s="194">
        <f t="shared" si="172"/>
        <v>22</v>
      </c>
    </row>
    <row r="595" spans="22:41" x14ac:dyDescent="0.2">
      <c r="V595" s="181">
        <f t="shared" si="159"/>
        <v>278.5</v>
      </c>
      <c r="W595" s="181">
        <f t="shared" si="160"/>
        <v>557</v>
      </c>
      <c r="X595" s="181">
        <f t="shared" si="161"/>
        <v>1</v>
      </c>
      <c r="Y595" s="37">
        <f t="shared" si="162"/>
        <v>1917.1</v>
      </c>
      <c r="Z595" s="181">
        <f t="shared" si="163"/>
        <v>476.5</v>
      </c>
      <c r="AA595" s="127">
        <f t="shared" si="164"/>
        <v>595.21331999999995</v>
      </c>
      <c r="AB595" s="127">
        <f t="shared" si="165"/>
        <v>595.21331999999995</v>
      </c>
      <c r="AC595" s="37">
        <f t="shared" si="154"/>
        <v>3971.2799199999999</v>
      </c>
      <c r="AD595" s="37">
        <f t="shared" si="166"/>
        <v>5888.3799199999994</v>
      </c>
      <c r="AE595" s="181">
        <f t="shared" si="155"/>
        <v>22</v>
      </c>
      <c r="AF595" s="37">
        <f t="shared" si="167"/>
        <v>15444</v>
      </c>
      <c r="AG595" s="181">
        <f t="shared" si="156"/>
        <v>914.3</v>
      </c>
      <c r="AH595" s="111">
        <f t="shared" si="168"/>
        <v>608.18947199999991</v>
      </c>
      <c r="AI595" s="127">
        <f t="shared" si="169"/>
        <v>914.3</v>
      </c>
      <c r="AJ595" s="37">
        <f t="shared" si="157"/>
        <v>5885.7999999999993</v>
      </c>
      <c r="AK595" s="37">
        <f t="shared" si="170"/>
        <v>21329.8</v>
      </c>
      <c r="AL595" s="37">
        <f t="shared" si="158"/>
        <v>10.571597701974865</v>
      </c>
      <c r="AN595" s="37" t="str">
        <f t="shared" si="171"/>
        <v>Pallet</v>
      </c>
      <c r="AO595" s="194">
        <f t="shared" si="172"/>
        <v>22</v>
      </c>
    </row>
    <row r="596" spans="22:41" x14ac:dyDescent="0.2">
      <c r="V596" s="181">
        <f t="shared" si="159"/>
        <v>279</v>
      </c>
      <c r="W596" s="181">
        <f t="shared" si="160"/>
        <v>558</v>
      </c>
      <c r="X596" s="181">
        <f t="shared" si="161"/>
        <v>1</v>
      </c>
      <c r="Y596" s="37">
        <f t="shared" si="162"/>
        <v>1917.1</v>
      </c>
      <c r="Z596" s="181">
        <f t="shared" si="163"/>
        <v>477</v>
      </c>
      <c r="AA596" s="127">
        <f t="shared" si="164"/>
        <v>595.21331999999995</v>
      </c>
      <c r="AB596" s="127">
        <f t="shared" si="165"/>
        <v>595.21331999999995</v>
      </c>
      <c r="AC596" s="37">
        <f t="shared" si="154"/>
        <v>3971.2799199999999</v>
      </c>
      <c r="AD596" s="37">
        <f t="shared" si="166"/>
        <v>5888.3799199999994</v>
      </c>
      <c r="AE596" s="181">
        <f t="shared" si="155"/>
        <v>22</v>
      </c>
      <c r="AF596" s="37">
        <f t="shared" si="167"/>
        <v>15444</v>
      </c>
      <c r="AG596" s="181">
        <f t="shared" si="156"/>
        <v>914.8</v>
      </c>
      <c r="AH596" s="111">
        <f t="shared" si="168"/>
        <v>608.18947199999991</v>
      </c>
      <c r="AI596" s="127">
        <f t="shared" si="169"/>
        <v>914.8</v>
      </c>
      <c r="AJ596" s="37">
        <f t="shared" si="157"/>
        <v>5888.7999999999993</v>
      </c>
      <c r="AK596" s="37">
        <f t="shared" si="170"/>
        <v>21332.799999999999</v>
      </c>
      <c r="AL596" s="37">
        <f t="shared" si="158"/>
        <v>10.552652186379927</v>
      </c>
      <c r="AN596" s="37" t="str">
        <f t="shared" si="171"/>
        <v>Pallet</v>
      </c>
      <c r="AO596" s="194">
        <f t="shared" si="172"/>
        <v>22</v>
      </c>
    </row>
    <row r="597" spans="22:41" x14ac:dyDescent="0.2">
      <c r="V597" s="181">
        <f t="shared" si="159"/>
        <v>279.5</v>
      </c>
      <c r="W597" s="181">
        <f t="shared" si="160"/>
        <v>559</v>
      </c>
      <c r="X597" s="181">
        <f t="shared" si="161"/>
        <v>1</v>
      </c>
      <c r="Y597" s="37">
        <f t="shared" si="162"/>
        <v>1917.1</v>
      </c>
      <c r="Z597" s="181">
        <f t="shared" si="163"/>
        <v>477.5</v>
      </c>
      <c r="AA597" s="127">
        <f t="shared" si="164"/>
        <v>595.21331999999995</v>
      </c>
      <c r="AB597" s="127">
        <f t="shared" si="165"/>
        <v>595.21331999999995</v>
      </c>
      <c r="AC597" s="37">
        <f t="shared" si="154"/>
        <v>3971.2799199999999</v>
      </c>
      <c r="AD597" s="37">
        <f t="shared" si="166"/>
        <v>5888.3799199999994</v>
      </c>
      <c r="AE597" s="181">
        <f t="shared" si="155"/>
        <v>22</v>
      </c>
      <c r="AF597" s="37">
        <f t="shared" si="167"/>
        <v>15444</v>
      </c>
      <c r="AG597" s="181">
        <f t="shared" si="156"/>
        <v>915.3</v>
      </c>
      <c r="AH597" s="111">
        <f t="shared" si="168"/>
        <v>608.18947199999991</v>
      </c>
      <c r="AI597" s="127">
        <f t="shared" si="169"/>
        <v>915.3</v>
      </c>
      <c r="AJ597" s="37">
        <f t="shared" si="157"/>
        <v>5891.7999999999993</v>
      </c>
      <c r="AK597" s="37">
        <f t="shared" si="170"/>
        <v>21335.8</v>
      </c>
      <c r="AL597" s="37">
        <f t="shared" si="158"/>
        <v>10.533774454382826</v>
      </c>
      <c r="AN597" s="37" t="str">
        <f t="shared" si="171"/>
        <v>Pallet</v>
      </c>
      <c r="AO597" s="194">
        <f t="shared" si="172"/>
        <v>22</v>
      </c>
    </row>
    <row r="598" spans="22:41" x14ac:dyDescent="0.2">
      <c r="V598" s="181">
        <f t="shared" si="159"/>
        <v>280</v>
      </c>
      <c r="W598" s="181">
        <f t="shared" si="160"/>
        <v>560</v>
      </c>
      <c r="X598" s="181">
        <f t="shared" si="161"/>
        <v>1</v>
      </c>
      <c r="Y598" s="37">
        <f t="shared" si="162"/>
        <v>1917.1</v>
      </c>
      <c r="Z598" s="181">
        <f t="shared" si="163"/>
        <v>478</v>
      </c>
      <c r="AA598" s="127">
        <f t="shared" si="164"/>
        <v>595.21331999999995</v>
      </c>
      <c r="AB598" s="127">
        <f t="shared" si="165"/>
        <v>595.21331999999995</v>
      </c>
      <c r="AC598" s="37">
        <f t="shared" si="154"/>
        <v>3971.2799199999999</v>
      </c>
      <c r="AD598" s="37">
        <f t="shared" si="166"/>
        <v>5888.3799199999994</v>
      </c>
      <c r="AE598" s="181">
        <f t="shared" si="155"/>
        <v>22</v>
      </c>
      <c r="AF598" s="37">
        <f t="shared" si="167"/>
        <v>15444</v>
      </c>
      <c r="AG598" s="181">
        <f t="shared" si="156"/>
        <v>915.8</v>
      </c>
      <c r="AH598" s="111">
        <f t="shared" si="168"/>
        <v>608.18947199999991</v>
      </c>
      <c r="AI598" s="127">
        <f t="shared" si="169"/>
        <v>915.8</v>
      </c>
      <c r="AJ598" s="37">
        <f t="shared" si="157"/>
        <v>5894.7999999999993</v>
      </c>
      <c r="AK598" s="37">
        <f t="shared" si="170"/>
        <v>21338.799999999999</v>
      </c>
      <c r="AL598" s="37">
        <f t="shared" si="158"/>
        <v>10.514964142857142</v>
      </c>
      <c r="AN598" s="37" t="str">
        <f t="shared" si="171"/>
        <v>Pallet</v>
      </c>
      <c r="AO598" s="194">
        <f t="shared" si="172"/>
        <v>22</v>
      </c>
    </row>
    <row r="599" spans="22:41" x14ac:dyDescent="0.2">
      <c r="V599" s="181">
        <f t="shared" si="159"/>
        <v>280.5</v>
      </c>
      <c r="W599" s="181">
        <f t="shared" si="160"/>
        <v>561</v>
      </c>
      <c r="X599" s="181">
        <f t="shared" si="161"/>
        <v>1</v>
      </c>
      <c r="Y599" s="37">
        <f t="shared" si="162"/>
        <v>1917.1</v>
      </c>
      <c r="Z599" s="181">
        <f t="shared" si="163"/>
        <v>478.5</v>
      </c>
      <c r="AA599" s="127">
        <f t="shared" si="164"/>
        <v>595.21331999999995</v>
      </c>
      <c r="AB599" s="127">
        <f t="shared" si="165"/>
        <v>595.21331999999995</v>
      </c>
      <c r="AC599" s="37">
        <f t="shared" si="154"/>
        <v>3971.2799199999999</v>
      </c>
      <c r="AD599" s="37">
        <f t="shared" si="166"/>
        <v>5888.3799199999994</v>
      </c>
      <c r="AE599" s="181">
        <f t="shared" si="155"/>
        <v>22</v>
      </c>
      <c r="AF599" s="37">
        <f t="shared" si="167"/>
        <v>15444</v>
      </c>
      <c r="AG599" s="181">
        <f t="shared" si="156"/>
        <v>916.3</v>
      </c>
      <c r="AH599" s="111">
        <f t="shared" si="168"/>
        <v>608.18947199999991</v>
      </c>
      <c r="AI599" s="127">
        <f t="shared" si="169"/>
        <v>916.3</v>
      </c>
      <c r="AJ599" s="37">
        <f t="shared" si="157"/>
        <v>5897.7999999999993</v>
      </c>
      <c r="AK599" s="37">
        <f t="shared" si="170"/>
        <v>21341.8</v>
      </c>
      <c r="AL599" s="37">
        <f t="shared" si="158"/>
        <v>10.496220891265596</v>
      </c>
      <c r="AN599" s="37" t="str">
        <f t="shared" si="171"/>
        <v>Pallet</v>
      </c>
      <c r="AO599" s="194">
        <f t="shared" si="172"/>
        <v>22</v>
      </c>
    </row>
    <row r="600" spans="22:41" x14ac:dyDescent="0.2">
      <c r="V600" s="181">
        <f t="shared" si="159"/>
        <v>281</v>
      </c>
      <c r="W600" s="181">
        <f t="shared" si="160"/>
        <v>562</v>
      </c>
      <c r="X600" s="181">
        <f t="shared" si="161"/>
        <v>1</v>
      </c>
      <c r="Y600" s="37">
        <f t="shared" si="162"/>
        <v>1917.1</v>
      </c>
      <c r="Z600" s="181">
        <f t="shared" si="163"/>
        <v>479</v>
      </c>
      <c r="AA600" s="127">
        <f t="shared" si="164"/>
        <v>595.21331999999995</v>
      </c>
      <c r="AB600" s="127">
        <f t="shared" si="165"/>
        <v>595.21331999999995</v>
      </c>
      <c r="AC600" s="37">
        <f t="shared" si="154"/>
        <v>3971.2799199999999</v>
      </c>
      <c r="AD600" s="37">
        <f t="shared" si="166"/>
        <v>5888.3799199999994</v>
      </c>
      <c r="AE600" s="181">
        <f t="shared" si="155"/>
        <v>22</v>
      </c>
      <c r="AF600" s="37">
        <f t="shared" si="167"/>
        <v>15444</v>
      </c>
      <c r="AG600" s="181">
        <f t="shared" si="156"/>
        <v>916.8</v>
      </c>
      <c r="AH600" s="111">
        <f t="shared" si="168"/>
        <v>608.18947199999991</v>
      </c>
      <c r="AI600" s="127">
        <f t="shared" si="169"/>
        <v>916.8</v>
      </c>
      <c r="AJ600" s="37">
        <f t="shared" si="157"/>
        <v>5900.7999999999993</v>
      </c>
      <c r="AK600" s="37">
        <f t="shared" si="170"/>
        <v>21344.799999999999</v>
      </c>
      <c r="AL600" s="37">
        <f t="shared" si="158"/>
        <v>10.47754434163701</v>
      </c>
      <c r="AN600" s="37" t="str">
        <f t="shared" si="171"/>
        <v>Pallet</v>
      </c>
      <c r="AO600" s="194">
        <f t="shared" si="172"/>
        <v>22</v>
      </c>
    </row>
    <row r="601" spans="22:41" x14ac:dyDescent="0.2">
      <c r="V601" s="181">
        <f t="shared" si="159"/>
        <v>281.5</v>
      </c>
      <c r="W601" s="181">
        <f t="shared" si="160"/>
        <v>563</v>
      </c>
      <c r="X601" s="181">
        <f t="shared" si="161"/>
        <v>1</v>
      </c>
      <c r="Y601" s="37">
        <f t="shared" si="162"/>
        <v>1917.1</v>
      </c>
      <c r="Z601" s="181">
        <f t="shared" si="163"/>
        <v>479.5</v>
      </c>
      <c r="AA601" s="127">
        <f t="shared" si="164"/>
        <v>595.21331999999995</v>
      </c>
      <c r="AB601" s="127">
        <f t="shared" si="165"/>
        <v>595.21331999999995</v>
      </c>
      <c r="AC601" s="37">
        <f t="shared" si="154"/>
        <v>3971.2799199999999</v>
      </c>
      <c r="AD601" s="37">
        <f t="shared" si="166"/>
        <v>5888.3799199999994</v>
      </c>
      <c r="AE601" s="181">
        <f t="shared" si="155"/>
        <v>22</v>
      </c>
      <c r="AF601" s="37">
        <f t="shared" si="167"/>
        <v>15444</v>
      </c>
      <c r="AG601" s="181">
        <f t="shared" si="156"/>
        <v>917.3</v>
      </c>
      <c r="AH601" s="111">
        <f t="shared" si="168"/>
        <v>608.18947199999991</v>
      </c>
      <c r="AI601" s="127">
        <f t="shared" si="169"/>
        <v>917.3</v>
      </c>
      <c r="AJ601" s="37">
        <f t="shared" si="157"/>
        <v>5903.7999999999993</v>
      </c>
      <c r="AK601" s="37">
        <f t="shared" si="170"/>
        <v>21347.8</v>
      </c>
      <c r="AL601" s="37">
        <f t="shared" si="158"/>
        <v>10.458934138543516</v>
      </c>
      <c r="AN601" s="37" t="str">
        <f t="shared" si="171"/>
        <v>Pallet</v>
      </c>
      <c r="AO601" s="194">
        <f t="shared" si="172"/>
        <v>22</v>
      </c>
    </row>
    <row r="602" spans="22:41" x14ac:dyDescent="0.2">
      <c r="V602" s="181">
        <f t="shared" si="159"/>
        <v>282</v>
      </c>
      <c r="W602" s="181">
        <f t="shared" si="160"/>
        <v>564</v>
      </c>
      <c r="X602" s="181">
        <f t="shared" si="161"/>
        <v>1</v>
      </c>
      <c r="Y602" s="37">
        <f t="shared" si="162"/>
        <v>1917.1</v>
      </c>
      <c r="Z602" s="181">
        <f t="shared" si="163"/>
        <v>480</v>
      </c>
      <c r="AA602" s="127">
        <f t="shared" si="164"/>
        <v>595.21331999999995</v>
      </c>
      <c r="AB602" s="127">
        <f t="shared" si="165"/>
        <v>595.21331999999995</v>
      </c>
      <c r="AC602" s="37">
        <f t="shared" si="154"/>
        <v>3971.2799199999999</v>
      </c>
      <c r="AD602" s="37">
        <f t="shared" si="166"/>
        <v>5888.3799199999994</v>
      </c>
      <c r="AE602" s="181">
        <f t="shared" si="155"/>
        <v>22</v>
      </c>
      <c r="AF602" s="37">
        <f t="shared" si="167"/>
        <v>15444</v>
      </c>
      <c r="AG602" s="181">
        <f t="shared" si="156"/>
        <v>917.8</v>
      </c>
      <c r="AH602" s="111">
        <f t="shared" si="168"/>
        <v>608.18947199999991</v>
      </c>
      <c r="AI602" s="127">
        <f t="shared" si="169"/>
        <v>917.8</v>
      </c>
      <c r="AJ602" s="37">
        <f t="shared" si="157"/>
        <v>5906.7999999999993</v>
      </c>
      <c r="AK602" s="37">
        <f t="shared" si="170"/>
        <v>21350.799999999999</v>
      </c>
      <c r="AL602" s="37">
        <f t="shared" si="158"/>
        <v>10.440389929078012</v>
      </c>
      <c r="AN602" s="37" t="str">
        <f t="shared" si="171"/>
        <v>Pallet</v>
      </c>
      <c r="AO602" s="194">
        <f t="shared" si="172"/>
        <v>22</v>
      </c>
    </row>
    <row r="603" spans="22:41" x14ac:dyDescent="0.2">
      <c r="V603" s="181">
        <f t="shared" si="159"/>
        <v>282.5</v>
      </c>
      <c r="W603" s="181">
        <f t="shared" si="160"/>
        <v>565</v>
      </c>
      <c r="X603" s="181">
        <f t="shared" si="161"/>
        <v>1</v>
      </c>
      <c r="Y603" s="37">
        <f t="shared" si="162"/>
        <v>1917.1</v>
      </c>
      <c r="Z603" s="181">
        <f t="shared" si="163"/>
        <v>480.5</v>
      </c>
      <c r="AA603" s="127">
        <f t="shared" si="164"/>
        <v>595.21331999999995</v>
      </c>
      <c r="AB603" s="127">
        <f t="shared" si="165"/>
        <v>595.21331999999995</v>
      </c>
      <c r="AC603" s="37">
        <f t="shared" si="154"/>
        <v>3971.2799199999999</v>
      </c>
      <c r="AD603" s="37">
        <f t="shared" si="166"/>
        <v>5888.3799199999994</v>
      </c>
      <c r="AE603" s="181">
        <f t="shared" si="155"/>
        <v>22</v>
      </c>
      <c r="AF603" s="37">
        <f t="shared" si="167"/>
        <v>15444</v>
      </c>
      <c r="AG603" s="181">
        <f t="shared" si="156"/>
        <v>918.3</v>
      </c>
      <c r="AH603" s="111">
        <f t="shared" si="168"/>
        <v>608.18947199999991</v>
      </c>
      <c r="AI603" s="127">
        <f t="shared" si="169"/>
        <v>918.3</v>
      </c>
      <c r="AJ603" s="37">
        <f t="shared" si="157"/>
        <v>5909.7999999999993</v>
      </c>
      <c r="AK603" s="37">
        <f t="shared" si="170"/>
        <v>21353.8</v>
      </c>
      <c r="AL603" s="37">
        <f t="shared" si="158"/>
        <v>10.421911362831857</v>
      </c>
      <c r="AN603" s="37" t="str">
        <f t="shared" si="171"/>
        <v>Pallet</v>
      </c>
      <c r="AO603" s="194">
        <f t="shared" si="172"/>
        <v>22</v>
      </c>
    </row>
    <row r="604" spans="22:41" x14ac:dyDescent="0.2">
      <c r="V604" s="181">
        <f t="shared" si="159"/>
        <v>283</v>
      </c>
      <c r="W604" s="181">
        <f t="shared" si="160"/>
        <v>566</v>
      </c>
      <c r="X604" s="181">
        <f t="shared" si="161"/>
        <v>1</v>
      </c>
      <c r="Y604" s="37">
        <f t="shared" si="162"/>
        <v>1917.1</v>
      </c>
      <c r="Z604" s="181">
        <f t="shared" si="163"/>
        <v>481</v>
      </c>
      <c r="AA604" s="127">
        <f t="shared" si="164"/>
        <v>595.21331999999995</v>
      </c>
      <c r="AB604" s="127">
        <f t="shared" si="165"/>
        <v>595.21331999999995</v>
      </c>
      <c r="AC604" s="37">
        <f t="shared" si="154"/>
        <v>3971.2799199999999</v>
      </c>
      <c r="AD604" s="37">
        <f t="shared" si="166"/>
        <v>5888.3799199999994</v>
      </c>
      <c r="AE604" s="181">
        <f t="shared" si="155"/>
        <v>22</v>
      </c>
      <c r="AF604" s="37">
        <f t="shared" si="167"/>
        <v>15444</v>
      </c>
      <c r="AG604" s="181">
        <f t="shared" si="156"/>
        <v>918.8</v>
      </c>
      <c r="AH604" s="111">
        <f t="shared" si="168"/>
        <v>608.18947199999991</v>
      </c>
      <c r="AI604" s="127">
        <f t="shared" si="169"/>
        <v>918.8</v>
      </c>
      <c r="AJ604" s="37">
        <f t="shared" si="157"/>
        <v>5912.7999999999993</v>
      </c>
      <c r="AK604" s="37">
        <f t="shared" si="170"/>
        <v>21356.799999999999</v>
      </c>
      <c r="AL604" s="37">
        <f t="shared" si="158"/>
        <v>10.403498091872791</v>
      </c>
      <c r="AN604" s="37" t="str">
        <f t="shared" si="171"/>
        <v>Pallet</v>
      </c>
      <c r="AO604" s="194">
        <f t="shared" si="172"/>
        <v>22</v>
      </c>
    </row>
    <row r="605" spans="22:41" x14ac:dyDescent="0.2">
      <c r="V605" s="181">
        <f t="shared" si="159"/>
        <v>283.5</v>
      </c>
      <c r="W605" s="181">
        <f t="shared" si="160"/>
        <v>567</v>
      </c>
      <c r="X605" s="181">
        <f t="shared" si="161"/>
        <v>1</v>
      </c>
      <c r="Y605" s="37">
        <f t="shared" si="162"/>
        <v>1917.1</v>
      </c>
      <c r="Z605" s="181">
        <f t="shared" si="163"/>
        <v>481.5</v>
      </c>
      <c r="AA605" s="127">
        <f t="shared" si="164"/>
        <v>595.21331999999995</v>
      </c>
      <c r="AB605" s="127">
        <f t="shared" si="165"/>
        <v>595.21331999999995</v>
      </c>
      <c r="AC605" s="37">
        <f t="shared" si="154"/>
        <v>3971.2799199999999</v>
      </c>
      <c r="AD605" s="37">
        <f t="shared" si="166"/>
        <v>5888.3799199999994</v>
      </c>
      <c r="AE605" s="181">
        <f t="shared" si="155"/>
        <v>22</v>
      </c>
      <c r="AF605" s="37">
        <f t="shared" si="167"/>
        <v>15444</v>
      </c>
      <c r="AG605" s="181">
        <f t="shared" si="156"/>
        <v>919.3</v>
      </c>
      <c r="AH605" s="111">
        <f t="shared" si="168"/>
        <v>608.18947199999991</v>
      </c>
      <c r="AI605" s="127">
        <f t="shared" si="169"/>
        <v>919.3</v>
      </c>
      <c r="AJ605" s="37">
        <f t="shared" si="157"/>
        <v>5915.7999999999993</v>
      </c>
      <c r="AK605" s="37">
        <f t="shared" si="170"/>
        <v>21359.8</v>
      </c>
      <c r="AL605" s="37">
        <f t="shared" si="158"/>
        <v>10.385149770723103</v>
      </c>
      <c r="AN605" s="37" t="str">
        <f t="shared" si="171"/>
        <v>Pallet</v>
      </c>
      <c r="AO605" s="194">
        <f t="shared" si="172"/>
        <v>22</v>
      </c>
    </row>
    <row r="606" spans="22:41" x14ac:dyDescent="0.2">
      <c r="V606" s="181">
        <f t="shared" si="159"/>
        <v>284</v>
      </c>
      <c r="W606" s="181">
        <f t="shared" si="160"/>
        <v>568</v>
      </c>
      <c r="X606" s="181">
        <f t="shared" si="161"/>
        <v>1</v>
      </c>
      <c r="Y606" s="37">
        <f t="shared" si="162"/>
        <v>1917.1</v>
      </c>
      <c r="Z606" s="181">
        <f t="shared" si="163"/>
        <v>482</v>
      </c>
      <c r="AA606" s="127">
        <f t="shared" si="164"/>
        <v>595.21331999999995</v>
      </c>
      <c r="AB606" s="127">
        <f t="shared" si="165"/>
        <v>595.21331999999995</v>
      </c>
      <c r="AC606" s="37">
        <f t="shared" si="154"/>
        <v>3971.2799199999999</v>
      </c>
      <c r="AD606" s="37">
        <f t="shared" si="166"/>
        <v>5888.3799199999994</v>
      </c>
      <c r="AE606" s="181">
        <f t="shared" si="155"/>
        <v>23</v>
      </c>
      <c r="AF606" s="37">
        <f t="shared" si="167"/>
        <v>16146</v>
      </c>
      <c r="AG606" s="181">
        <f t="shared" si="156"/>
        <v>948.69999999999993</v>
      </c>
      <c r="AH606" s="111">
        <f t="shared" si="168"/>
        <v>635.83444799999995</v>
      </c>
      <c r="AI606" s="127">
        <f t="shared" si="169"/>
        <v>948.69999999999993</v>
      </c>
      <c r="AJ606" s="37">
        <f t="shared" si="157"/>
        <v>6092.2</v>
      </c>
      <c r="AK606" s="37">
        <f t="shared" si="170"/>
        <v>22238.2</v>
      </c>
      <c r="AL606" s="37">
        <f t="shared" si="158"/>
        <v>10.366866056338027</v>
      </c>
      <c r="AN606" s="37" t="str">
        <f t="shared" si="171"/>
        <v>Pallet</v>
      </c>
      <c r="AO606" s="194">
        <f t="shared" si="172"/>
        <v>22</v>
      </c>
    </row>
    <row r="607" spans="22:41" x14ac:dyDescent="0.2">
      <c r="V607" s="181">
        <f t="shared" si="159"/>
        <v>284.5</v>
      </c>
      <c r="W607" s="181">
        <f t="shared" si="160"/>
        <v>569</v>
      </c>
      <c r="X607" s="181">
        <f t="shared" si="161"/>
        <v>1</v>
      </c>
      <c r="Y607" s="37">
        <f t="shared" si="162"/>
        <v>1917.1</v>
      </c>
      <c r="Z607" s="181">
        <f t="shared" si="163"/>
        <v>482.5</v>
      </c>
      <c r="AA607" s="127">
        <f t="shared" si="164"/>
        <v>595.21331999999995</v>
      </c>
      <c r="AB607" s="127">
        <f t="shared" si="165"/>
        <v>595.21331999999995</v>
      </c>
      <c r="AC607" s="37">
        <f t="shared" si="154"/>
        <v>3971.2799199999999</v>
      </c>
      <c r="AD607" s="37">
        <f t="shared" si="166"/>
        <v>5888.3799199999994</v>
      </c>
      <c r="AE607" s="181">
        <f t="shared" si="155"/>
        <v>23</v>
      </c>
      <c r="AF607" s="37">
        <f t="shared" si="167"/>
        <v>16146</v>
      </c>
      <c r="AG607" s="181">
        <f t="shared" si="156"/>
        <v>949.19999999999993</v>
      </c>
      <c r="AH607" s="111">
        <f t="shared" si="168"/>
        <v>635.83444799999995</v>
      </c>
      <c r="AI607" s="127">
        <f t="shared" si="169"/>
        <v>949.19999999999993</v>
      </c>
      <c r="AJ607" s="37">
        <f t="shared" si="157"/>
        <v>6095.2</v>
      </c>
      <c r="AK607" s="37">
        <f t="shared" si="170"/>
        <v>22241.200000000001</v>
      </c>
      <c r="AL607" s="37">
        <f t="shared" si="158"/>
        <v>10.348646608084357</v>
      </c>
      <c r="AN607" s="37" t="str">
        <f t="shared" si="171"/>
        <v>Pallet</v>
      </c>
      <c r="AO607" s="194">
        <f t="shared" si="172"/>
        <v>23</v>
      </c>
    </row>
    <row r="608" spans="22:41" x14ac:dyDescent="0.2">
      <c r="V608" s="181">
        <f t="shared" si="159"/>
        <v>285</v>
      </c>
      <c r="W608" s="181">
        <f t="shared" si="160"/>
        <v>570</v>
      </c>
      <c r="X608" s="181">
        <f t="shared" si="161"/>
        <v>1</v>
      </c>
      <c r="Y608" s="37">
        <f t="shared" si="162"/>
        <v>1917.1</v>
      </c>
      <c r="Z608" s="181">
        <f t="shared" si="163"/>
        <v>483</v>
      </c>
      <c r="AA608" s="127">
        <f t="shared" si="164"/>
        <v>595.21331999999995</v>
      </c>
      <c r="AB608" s="127">
        <f t="shared" si="165"/>
        <v>595.21331999999995</v>
      </c>
      <c r="AC608" s="37">
        <f t="shared" si="154"/>
        <v>3971.2799199999999</v>
      </c>
      <c r="AD608" s="37">
        <f t="shared" si="166"/>
        <v>5888.3799199999994</v>
      </c>
      <c r="AE608" s="181">
        <f t="shared" si="155"/>
        <v>23</v>
      </c>
      <c r="AF608" s="37">
        <f t="shared" si="167"/>
        <v>16146</v>
      </c>
      <c r="AG608" s="181">
        <f t="shared" si="156"/>
        <v>949.69999999999993</v>
      </c>
      <c r="AH608" s="111">
        <f t="shared" si="168"/>
        <v>635.83444799999995</v>
      </c>
      <c r="AI608" s="127">
        <f t="shared" si="169"/>
        <v>949.69999999999993</v>
      </c>
      <c r="AJ608" s="37">
        <f t="shared" si="157"/>
        <v>6098.2</v>
      </c>
      <c r="AK608" s="37">
        <f t="shared" si="170"/>
        <v>22244.2</v>
      </c>
      <c r="AL608" s="37">
        <f t="shared" si="158"/>
        <v>10.330491087719297</v>
      </c>
      <c r="AN608" s="37" t="str">
        <f t="shared" si="171"/>
        <v>Pallet</v>
      </c>
      <c r="AO608" s="194">
        <f t="shared" si="172"/>
        <v>23</v>
      </c>
    </row>
    <row r="609" spans="22:41" x14ac:dyDescent="0.2">
      <c r="V609" s="181">
        <f t="shared" si="159"/>
        <v>285.5</v>
      </c>
      <c r="W609" s="181">
        <f t="shared" si="160"/>
        <v>571</v>
      </c>
      <c r="X609" s="181">
        <f t="shared" si="161"/>
        <v>1</v>
      </c>
      <c r="Y609" s="37">
        <f t="shared" si="162"/>
        <v>1917.1</v>
      </c>
      <c r="Z609" s="181">
        <f t="shared" si="163"/>
        <v>483.5</v>
      </c>
      <c r="AA609" s="127">
        <f t="shared" si="164"/>
        <v>595.21331999999995</v>
      </c>
      <c r="AB609" s="127">
        <f t="shared" si="165"/>
        <v>595.21331999999995</v>
      </c>
      <c r="AC609" s="37">
        <f t="shared" si="154"/>
        <v>3971.2799199999999</v>
      </c>
      <c r="AD609" s="37">
        <f t="shared" si="166"/>
        <v>5888.3799199999994</v>
      </c>
      <c r="AE609" s="181">
        <f t="shared" si="155"/>
        <v>23</v>
      </c>
      <c r="AF609" s="37">
        <f t="shared" si="167"/>
        <v>16146</v>
      </c>
      <c r="AG609" s="181">
        <f t="shared" si="156"/>
        <v>950.19999999999993</v>
      </c>
      <c r="AH609" s="111">
        <f t="shared" si="168"/>
        <v>635.83444799999995</v>
      </c>
      <c r="AI609" s="127">
        <f t="shared" si="169"/>
        <v>950.19999999999993</v>
      </c>
      <c r="AJ609" s="37">
        <f t="shared" si="157"/>
        <v>6101.2</v>
      </c>
      <c r="AK609" s="37">
        <f t="shared" si="170"/>
        <v>22247.200000000001</v>
      </c>
      <c r="AL609" s="37">
        <f t="shared" si="158"/>
        <v>10.312399159369527</v>
      </c>
      <c r="AN609" s="37" t="str">
        <f t="shared" si="171"/>
        <v>Pallet</v>
      </c>
      <c r="AO609" s="194">
        <f t="shared" si="172"/>
        <v>23</v>
      </c>
    </row>
    <row r="610" spans="22:41" x14ac:dyDescent="0.2">
      <c r="V610" s="181">
        <f t="shared" si="159"/>
        <v>286</v>
      </c>
      <c r="W610" s="181">
        <f t="shared" si="160"/>
        <v>572</v>
      </c>
      <c r="X610" s="181">
        <f t="shared" si="161"/>
        <v>1</v>
      </c>
      <c r="Y610" s="37">
        <f t="shared" si="162"/>
        <v>1917.1</v>
      </c>
      <c r="Z610" s="181">
        <f t="shared" si="163"/>
        <v>484</v>
      </c>
      <c r="AA610" s="127">
        <f t="shared" si="164"/>
        <v>595.21331999999995</v>
      </c>
      <c r="AB610" s="127">
        <f t="shared" si="165"/>
        <v>595.21331999999995</v>
      </c>
      <c r="AC610" s="37">
        <f t="shared" si="154"/>
        <v>3971.2799199999999</v>
      </c>
      <c r="AD610" s="37">
        <f t="shared" si="166"/>
        <v>5888.3799199999994</v>
      </c>
      <c r="AE610" s="181">
        <f t="shared" si="155"/>
        <v>23</v>
      </c>
      <c r="AF610" s="37">
        <f t="shared" si="167"/>
        <v>16146</v>
      </c>
      <c r="AG610" s="181">
        <f t="shared" si="156"/>
        <v>950.69999999999993</v>
      </c>
      <c r="AH610" s="111">
        <f t="shared" si="168"/>
        <v>635.83444799999995</v>
      </c>
      <c r="AI610" s="127">
        <f t="shared" si="169"/>
        <v>950.69999999999993</v>
      </c>
      <c r="AJ610" s="37">
        <f t="shared" si="157"/>
        <v>6104.2</v>
      </c>
      <c r="AK610" s="37">
        <f t="shared" si="170"/>
        <v>22250.2</v>
      </c>
      <c r="AL610" s="37">
        <f t="shared" si="158"/>
        <v>10.294370489510488</v>
      </c>
      <c r="AN610" s="37" t="str">
        <f t="shared" si="171"/>
        <v>Pallet</v>
      </c>
      <c r="AO610" s="194">
        <f t="shared" si="172"/>
        <v>23</v>
      </c>
    </row>
    <row r="611" spans="22:41" x14ac:dyDescent="0.2">
      <c r="V611" s="181">
        <f t="shared" si="159"/>
        <v>286.5</v>
      </c>
      <c r="W611" s="181">
        <f t="shared" si="160"/>
        <v>573</v>
      </c>
      <c r="X611" s="181">
        <f t="shared" si="161"/>
        <v>1</v>
      </c>
      <c r="Y611" s="37">
        <f t="shared" si="162"/>
        <v>1917.1</v>
      </c>
      <c r="Z611" s="181">
        <f t="shared" si="163"/>
        <v>484.5</v>
      </c>
      <c r="AA611" s="127">
        <f t="shared" si="164"/>
        <v>595.21331999999995</v>
      </c>
      <c r="AB611" s="127">
        <f t="shared" si="165"/>
        <v>595.21331999999995</v>
      </c>
      <c r="AC611" s="37">
        <f t="shared" si="154"/>
        <v>3971.2799199999999</v>
      </c>
      <c r="AD611" s="37">
        <f t="shared" si="166"/>
        <v>5888.3799199999994</v>
      </c>
      <c r="AE611" s="181">
        <f t="shared" si="155"/>
        <v>23</v>
      </c>
      <c r="AF611" s="37">
        <f t="shared" si="167"/>
        <v>16146</v>
      </c>
      <c r="AG611" s="181">
        <f t="shared" si="156"/>
        <v>951.19999999999993</v>
      </c>
      <c r="AH611" s="111">
        <f t="shared" si="168"/>
        <v>635.83444799999995</v>
      </c>
      <c r="AI611" s="127">
        <f t="shared" si="169"/>
        <v>951.19999999999993</v>
      </c>
      <c r="AJ611" s="37">
        <f t="shared" si="157"/>
        <v>6107.2</v>
      </c>
      <c r="AK611" s="37">
        <f t="shared" si="170"/>
        <v>22253.200000000001</v>
      </c>
      <c r="AL611" s="37">
        <f t="shared" si="158"/>
        <v>10.276404746945898</v>
      </c>
      <c r="AN611" s="37" t="str">
        <f t="shared" si="171"/>
        <v>Pallet</v>
      </c>
      <c r="AO611" s="194">
        <f t="shared" si="172"/>
        <v>23</v>
      </c>
    </row>
    <row r="612" spans="22:41" x14ac:dyDescent="0.2">
      <c r="V612" s="181">
        <f t="shared" si="159"/>
        <v>287</v>
      </c>
      <c r="W612" s="181">
        <f t="shared" si="160"/>
        <v>574</v>
      </c>
      <c r="X612" s="181">
        <f t="shared" si="161"/>
        <v>1</v>
      </c>
      <c r="Y612" s="37">
        <f t="shared" si="162"/>
        <v>1917.1</v>
      </c>
      <c r="Z612" s="181">
        <f t="shared" si="163"/>
        <v>485</v>
      </c>
      <c r="AA612" s="127">
        <f t="shared" si="164"/>
        <v>595.21331999999995</v>
      </c>
      <c r="AB612" s="127">
        <f t="shared" si="165"/>
        <v>595.21331999999995</v>
      </c>
      <c r="AC612" s="37">
        <f t="shared" si="154"/>
        <v>3971.2799199999999</v>
      </c>
      <c r="AD612" s="37">
        <f t="shared" si="166"/>
        <v>5888.3799199999994</v>
      </c>
      <c r="AE612" s="181">
        <f t="shared" si="155"/>
        <v>23</v>
      </c>
      <c r="AF612" s="37">
        <f t="shared" si="167"/>
        <v>16146</v>
      </c>
      <c r="AG612" s="181">
        <f t="shared" si="156"/>
        <v>951.69999999999993</v>
      </c>
      <c r="AH612" s="111">
        <f t="shared" si="168"/>
        <v>635.83444799999995</v>
      </c>
      <c r="AI612" s="127">
        <f t="shared" si="169"/>
        <v>951.69999999999993</v>
      </c>
      <c r="AJ612" s="37">
        <f t="shared" si="157"/>
        <v>6110.2</v>
      </c>
      <c r="AK612" s="37">
        <f t="shared" si="170"/>
        <v>22256.2</v>
      </c>
      <c r="AL612" s="37">
        <f t="shared" si="158"/>
        <v>10.258501602787456</v>
      </c>
      <c r="AN612" s="37" t="str">
        <f t="shared" si="171"/>
        <v>Pallet</v>
      </c>
      <c r="AO612" s="194">
        <f t="shared" si="172"/>
        <v>23</v>
      </c>
    </row>
    <row r="613" spans="22:41" x14ac:dyDescent="0.2">
      <c r="V613" s="181">
        <f t="shared" si="159"/>
        <v>287.5</v>
      </c>
      <c r="W613" s="181">
        <f t="shared" si="160"/>
        <v>575</v>
      </c>
      <c r="X613" s="181">
        <f t="shared" si="161"/>
        <v>1</v>
      </c>
      <c r="Y613" s="37">
        <f t="shared" si="162"/>
        <v>1917.1</v>
      </c>
      <c r="Z613" s="181">
        <f t="shared" si="163"/>
        <v>485.5</v>
      </c>
      <c r="AA613" s="127">
        <f t="shared" si="164"/>
        <v>595.21331999999995</v>
      </c>
      <c r="AB613" s="127">
        <f t="shared" si="165"/>
        <v>595.21331999999995</v>
      </c>
      <c r="AC613" s="37">
        <f t="shared" si="154"/>
        <v>3971.2799199999999</v>
      </c>
      <c r="AD613" s="37">
        <f t="shared" si="166"/>
        <v>5888.3799199999994</v>
      </c>
      <c r="AE613" s="181">
        <f t="shared" si="155"/>
        <v>23</v>
      </c>
      <c r="AF613" s="37">
        <f t="shared" si="167"/>
        <v>16146</v>
      </c>
      <c r="AG613" s="181">
        <f t="shared" si="156"/>
        <v>952.19999999999993</v>
      </c>
      <c r="AH613" s="111">
        <f t="shared" si="168"/>
        <v>635.83444799999995</v>
      </c>
      <c r="AI613" s="127">
        <f t="shared" si="169"/>
        <v>952.19999999999993</v>
      </c>
      <c r="AJ613" s="37">
        <f t="shared" si="157"/>
        <v>6113.2</v>
      </c>
      <c r="AK613" s="37">
        <f t="shared" si="170"/>
        <v>22259.200000000001</v>
      </c>
      <c r="AL613" s="37">
        <f t="shared" si="158"/>
        <v>10.240660730434781</v>
      </c>
      <c r="AN613" s="37" t="str">
        <f t="shared" si="171"/>
        <v>Pallet</v>
      </c>
      <c r="AO613" s="194">
        <f t="shared" si="172"/>
        <v>23</v>
      </c>
    </row>
    <row r="614" spans="22:41" x14ac:dyDescent="0.2">
      <c r="V614" s="181">
        <f t="shared" si="159"/>
        <v>288</v>
      </c>
      <c r="W614" s="181">
        <f t="shared" si="160"/>
        <v>576</v>
      </c>
      <c r="X614" s="181">
        <f t="shared" si="161"/>
        <v>1</v>
      </c>
      <c r="Y614" s="37">
        <f t="shared" si="162"/>
        <v>1917.1</v>
      </c>
      <c r="Z614" s="181">
        <f t="shared" si="163"/>
        <v>486</v>
      </c>
      <c r="AA614" s="127">
        <f t="shared" si="164"/>
        <v>595.21331999999995</v>
      </c>
      <c r="AB614" s="127">
        <f t="shared" si="165"/>
        <v>595.21331999999995</v>
      </c>
      <c r="AC614" s="37">
        <f t="shared" si="154"/>
        <v>3971.2799199999999</v>
      </c>
      <c r="AD614" s="37">
        <f t="shared" si="166"/>
        <v>5888.3799199999994</v>
      </c>
      <c r="AE614" s="181">
        <f t="shared" si="155"/>
        <v>23</v>
      </c>
      <c r="AF614" s="37">
        <f t="shared" si="167"/>
        <v>16146</v>
      </c>
      <c r="AG614" s="181">
        <f t="shared" si="156"/>
        <v>952.69999999999993</v>
      </c>
      <c r="AH614" s="111">
        <f t="shared" si="168"/>
        <v>635.83444799999995</v>
      </c>
      <c r="AI614" s="127">
        <f t="shared" si="169"/>
        <v>952.69999999999993</v>
      </c>
      <c r="AJ614" s="37">
        <f t="shared" si="157"/>
        <v>6116.2</v>
      </c>
      <c r="AK614" s="37">
        <f t="shared" si="170"/>
        <v>22262.2</v>
      </c>
      <c r="AL614" s="37">
        <f t="shared" si="158"/>
        <v>10.222881805555554</v>
      </c>
      <c r="AN614" s="37" t="str">
        <f t="shared" si="171"/>
        <v>Pallet</v>
      </c>
      <c r="AO614" s="194">
        <f t="shared" si="172"/>
        <v>23</v>
      </c>
    </row>
    <row r="615" spans="22:41" x14ac:dyDescent="0.2">
      <c r="V615" s="181">
        <f t="shared" si="159"/>
        <v>288.5</v>
      </c>
      <c r="W615" s="181">
        <f t="shared" si="160"/>
        <v>577</v>
      </c>
      <c r="X615" s="181">
        <f t="shared" si="161"/>
        <v>1</v>
      </c>
      <c r="Y615" s="37">
        <f t="shared" si="162"/>
        <v>1917.1</v>
      </c>
      <c r="Z615" s="181">
        <f t="shared" si="163"/>
        <v>486.5</v>
      </c>
      <c r="AA615" s="127">
        <f t="shared" si="164"/>
        <v>595.21331999999995</v>
      </c>
      <c r="AB615" s="127">
        <f t="shared" si="165"/>
        <v>595.21331999999995</v>
      </c>
      <c r="AC615" s="37">
        <f t="shared" ref="AC615:AC678" si="173">(Shipping_perkg_first100*100)+((AB615-100)*Shipping_perkg_above100)</f>
        <v>3971.2799199999999</v>
      </c>
      <c r="AD615" s="37">
        <f t="shared" si="166"/>
        <v>5888.3799199999994</v>
      </c>
      <c r="AE615" s="181">
        <f t="shared" ref="AE615:AE678" si="174">ROUNDUP(W615/$N$19,0)</f>
        <v>23</v>
      </c>
      <c r="AF615" s="37">
        <f t="shared" si="167"/>
        <v>16146</v>
      </c>
      <c r="AG615" s="181">
        <f t="shared" ref="AG615:AG678" si="175">(AE615*$K$19)+V615</f>
        <v>953.19999999999993</v>
      </c>
      <c r="AH615" s="111">
        <f t="shared" si="168"/>
        <v>635.83444799999995</v>
      </c>
      <c r="AI615" s="127">
        <f t="shared" si="169"/>
        <v>953.19999999999993</v>
      </c>
      <c r="AJ615" s="37">
        <f t="shared" ref="AJ615:AJ678" si="176">IF(AI615&lt;=100,AI615*Shipping_perkg_first100,(Shipping_perkg_first100*100)+((AI615-100)*Shipping_perkg_above100))</f>
        <v>6119.2</v>
      </c>
      <c r="AK615" s="37">
        <f t="shared" si="170"/>
        <v>22265.200000000001</v>
      </c>
      <c r="AL615" s="37">
        <f t="shared" si="158"/>
        <v>10.205164506065858</v>
      </c>
      <c r="AN615" s="37" t="str">
        <f t="shared" si="171"/>
        <v>Pallet</v>
      </c>
      <c r="AO615" s="194">
        <f t="shared" si="172"/>
        <v>23</v>
      </c>
    </row>
    <row r="616" spans="22:41" x14ac:dyDescent="0.2">
      <c r="V616" s="181">
        <f t="shared" si="159"/>
        <v>289</v>
      </c>
      <c r="W616" s="181">
        <f t="shared" si="160"/>
        <v>578</v>
      </c>
      <c r="X616" s="181">
        <f t="shared" si="161"/>
        <v>1</v>
      </c>
      <c r="Y616" s="37">
        <f t="shared" si="162"/>
        <v>1917.1</v>
      </c>
      <c r="Z616" s="181">
        <f t="shared" si="163"/>
        <v>487</v>
      </c>
      <c r="AA616" s="127">
        <f t="shared" si="164"/>
        <v>595.21331999999995</v>
      </c>
      <c r="AB616" s="127">
        <f t="shared" si="165"/>
        <v>595.21331999999995</v>
      </c>
      <c r="AC616" s="37">
        <f t="shared" si="173"/>
        <v>3971.2799199999999</v>
      </c>
      <c r="AD616" s="37">
        <f t="shared" si="166"/>
        <v>5888.3799199999994</v>
      </c>
      <c r="AE616" s="181">
        <f t="shared" si="174"/>
        <v>23</v>
      </c>
      <c r="AF616" s="37">
        <f t="shared" si="167"/>
        <v>16146</v>
      </c>
      <c r="AG616" s="181">
        <f t="shared" si="175"/>
        <v>953.69999999999993</v>
      </c>
      <c r="AH616" s="111">
        <f t="shared" si="168"/>
        <v>635.83444799999995</v>
      </c>
      <c r="AI616" s="127">
        <f t="shared" si="169"/>
        <v>953.69999999999993</v>
      </c>
      <c r="AJ616" s="37">
        <f t="shared" si="176"/>
        <v>6122.2</v>
      </c>
      <c r="AK616" s="37">
        <f t="shared" si="170"/>
        <v>22268.2</v>
      </c>
      <c r="AL616" s="37">
        <f t="shared" ref="AL616:AL679" si="177">MIN(AD616,AK616)/W616</f>
        <v>10.187508512110725</v>
      </c>
      <c r="AN616" s="37" t="str">
        <f t="shared" si="171"/>
        <v>Pallet</v>
      </c>
      <c r="AO616" s="194">
        <f t="shared" si="172"/>
        <v>23</v>
      </c>
    </row>
    <row r="617" spans="22:41" x14ac:dyDescent="0.2">
      <c r="V617" s="181">
        <f t="shared" ref="V617:V680" si="178">W617*$V$37</f>
        <v>289.5</v>
      </c>
      <c r="W617" s="181">
        <f t="shared" ref="W617:W680" si="179">W616+1</f>
        <v>579</v>
      </c>
      <c r="X617" s="181">
        <f t="shared" ref="X617:X680" si="180">ROUNDUP(W617/$N$29,0)</f>
        <v>1</v>
      </c>
      <c r="Y617" s="37">
        <f t="shared" ref="Y617:Y680" si="181">X617*$P$29</f>
        <v>1917.1</v>
      </c>
      <c r="Z617" s="181">
        <f t="shared" ref="Z617:Z680" si="182">V617+(X617*$K$29)</f>
        <v>487.5</v>
      </c>
      <c r="AA617" s="127">
        <f t="shared" ref="AA617:AA680" si="183">X617*$T$29</f>
        <v>595.21331999999995</v>
      </c>
      <c r="AB617" s="127">
        <f t="shared" ref="AB617:AB680" si="184">MAX(Z617,AA617)</f>
        <v>595.21331999999995</v>
      </c>
      <c r="AC617" s="37">
        <f t="shared" si="173"/>
        <v>3971.2799199999999</v>
      </c>
      <c r="AD617" s="37">
        <f t="shared" ref="AD617:AD680" si="185">Y617+AC617</f>
        <v>5888.3799199999994</v>
      </c>
      <c r="AE617" s="181">
        <f t="shared" si="174"/>
        <v>23</v>
      </c>
      <c r="AF617" s="37">
        <f t="shared" ref="AF617:AF680" si="186">AE617*$P$19</f>
        <v>16146</v>
      </c>
      <c r="AG617" s="181">
        <f t="shared" si="175"/>
        <v>954.19999999999993</v>
      </c>
      <c r="AH617" s="111">
        <f t="shared" ref="AH617:AH680" si="187">AE617*$X$19</f>
        <v>635.83444799999995</v>
      </c>
      <c r="AI617" s="127">
        <f t="shared" ref="AI617:AI680" si="188">MAX(AG617,AH617)</f>
        <v>954.19999999999993</v>
      </c>
      <c r="AJ617" s="37">
        <f t="shared" si="176"/>
        <v>6125.2</v>
      </c>
      <c r="AK617" s="37">
        <f t="shared" ref="AK617:AK680" si="189">AF617+AJ617</f>
        <v>22271.200000000001</v>
      </c>
      <c r="AL617" s="37">
        <f t="shared" si="177"/>
        <v>10.169913506044905</v>
      </c>
      <c r="AN617" s="37" t="str">
        <f t="shared" ref="AN617:AN680" si="190">IF(AD617&lt;AK617,"Pallet","Parcel")</f>
        <v>Pallet</v>
      </c>
      <c r="AO617" s="194">
        <f t="shared" ref="AO617:AO680" si="191">AE616</f>
        <v>23</v>
      </c>
    </row>
    <row r="618" spans="22:41" x14ac:dyDescent="0.2">
      <c r="V618" s="181">
        <f t="shared" si="178"/>
        <v>290</v>
      </c>
      <c r="W618" s="181">
        <f t="shared" si="179"/>
        <v>580</v>
      </c>
      <c r="X618" s="181">
        <f t="shared" si="180"/>
        <v>1</v>
      </c>
      <c r="Y618" s="37">
        <f t="shared" si="181"/>
        <v>1917.1</v>
      </c>
      <c r="Z618" s="181">
        <f t="shared" si="182"/>
        <v>488</v>
      </c>
      <c r="AA618" s="127">
        <f t="shared" si="183"/>
        <v>595.21331999999995</v>
      </c>
      <c r="AB618" s="127">
        <f t="shared" si="184"/>
        <v>595.21331999999995</v>
      </c>
      <c r="AC618" s="37">
        <f t="shared" si="173"/>
        <v>3971.2799199999999</v>
      </c>
      <c r="AD618" s="37">
        <f t="shared" si="185"/>
        <v>5888.3799199999994</v>
      </c>
      <c r="AE618" s="181">
        <f t="shared" si="174"/>
        <v>23</v>
      </c>
      <c r="AF618" s="37">
        <f t="shared" si="186"/>
        <v>16146</v>
      </c>
      <c r="AG618" s="181">
        <f t="shared" si="175"/>
        <v>954.69999999999993</v>
      </c>
      <c r="AH618" s="111">
        <f t="shared" si="187"/>
        <v>635.83444799999995</v>
      </c>
      <c r="AI618" s="127">
        <f t="shared" si="188"/>
        <v>954.69999999999993</v>
      </c>
      <c r="AJ618" s="37">
        <f t="shared" si="176"/>
        <v>6128.2</v>
      </c>
      <c r="AK618" s="37">
        <f t="shared" si="189"/>
        <v>22274.2</v>
      </c>
      <c r="AL618" s="37">
        <f t="shared" si="177"/>
        <v>10.152379172413792</v>
      </c>
      <c r="AN618" s="37" t="str">
        <f t="shared" si="190"/>
        <v>Pallet</v>
      </c>
      <c r="AO618" s="194">
        <f t="shared" si="191"/>
        <v>23</v>
      </c>
    </row>
    <row r="619" spans="22:41" x14ac:dyDescent="0.2">
      <c r="V619" s="181">
        <f t="shared" si="178"/>
        <v>290.5</v>
      </c>
      <c r="W619" s="181">
        <f t="shared" si="179"/>
        <v>581</v>
      </c>
      <c r="X619" s="181">
        <f t="shared" si="180"/>
        <v>1</v>
      </c>
      <c r="Y619" s="37">
        <f t="shared" si="181"/>
        <v>1917.1</v>
      </c>
      <c r="Z619" s="181">
        <f t="shared" si="182"/>
        <v>488.5</v>
      </c>
      <c r="AA619" s="127">
        <f t="shared" si="183"/>
        <v>595.21331999999995</v>
      </c>
      <c r="AB619" s="127">
        <f t="shared" si="184"/>
        <v>595.21331999999995</v>
      </c>
      <c r="AC619" s="37">
        <f t="shared" si="173"/>
        <v>3971.2799199999999</v>
      </c>
      <c r="AD619" s="37">
        <f t="shared" si="185"/>
        <v>5888.3799199999994</v>
      </c>
      <c r="AE619" s="181">
        <f t="shared" si="174"/>
        <v>23</v>
      </c>
      <c r="AF619" s="37">
        <f t="shared" si="186"/>
        <v>16146</v>
      </c>
      <c r="AG619" s="181">
        <f t="shared" si="175"/>
        <v>955.19999999999993</v>
      </c>
      <c r="AH619" s="111">
        <f t="shared" si="187"/>
        <v>635.83444799999995</v>
      </c>
      <c r="AI619" s="127">
        <f t="shared" si="188"/>
        <v>955.19999999999993</v>
      </c>
      <c r="AJ619" s="37">
        <f t="shared" si="176"/>
        <v>6131.2</v>
      </c>
      <c r="AK619" s="37">
        <f t="shared" si="189"/>
        <v>22277.200000000001</v>
      </c>
      <c r="AL619" s="37">
        <f t="shared" si="177"/>
        <v>10.134905197934595</v>
      </c>
      <c r="AN619" s="37" t="str">
        <f t="shared" si="190"/>
        <v>Pallet</v>
      </c>
      <c r="AO619" s="194">
        <f t="shared" si="191"/>
        <v>23</v>
      </c>
    </row>
    <row r="620" spans="22:41" x14ac:dyDescent="0.2">
      <c r="V620" s="181">
        <f t="shared" si="178"/>
        <v>291</v>
      </c>
      <c r="W620" s="181">
        <f t="shared" si="179"/>
        <v>582</v>
      </c>
      <c r="X620" s="181">
        <f t="shared" si="180"/>
        <v>1</v>
      </c>
      <c r="Y620" s="37">
        <f t="shared" si="181"/>
        <v>1917.1</v>
      </c>
      <c r="Z620" s="181">
        <f t="shared" si="182"/>
        <v>489</v>
      </c>
      <c r="AA620" s="127">
        <f t="shared" si="183"/>
        <v>595.21331999999995</v>
      </c>
      <c r="AB620" s="127">
        <f t="shared" si="184"/>
        <v>595.21331999999995</v>
      </c>
      <c r="AC620" s="37">
        <f t="shared" si="173"/>
        <v>3971.2799199999999</v>
      </c>
      <c r="AD620" s="37">
        <f t="shared" si="185"/>
        <v>5888.3799199999994</v>
      </c>
      <c r="AE620" s="181">
        <f t="shared" si="174"/>
        <v>23</v>
      </c>
      <c r="AF620" s="37">
        <f t="shared" si="186"/>
        <v>16146</v>
      </c>
      <c r="AG620" s="181">
        <f t="shared" si="175"/>
        <v>955.69999999999993</v>
      </c>
      <c r="AH620" s="111">
        <f t="shared" si="187"/>
        <v>635.83444799999995</v>
      </c>
      <c r="AI620" s="127">
        <f t="shared" si="188"/>
        <v>955.69999999999993</v>
      </c>
      <c r="AJ620" s="37">
        <f t="shared" si="176"/>
        <v>6134.2</v>
      </c>
      <c r="AK620" s="37">
        <f t="shared" si="189"/>
        <v>22280.2</v>
      </c>
      <c r="AL620" s="37">
        <f t="shared" si="177"/>
        <v>10.117491271477663</v>
      </c>
      <c r="AN620" s="37" t="str">
        <f t="shared" si="190"/>
        <v>Pallet</v>
      </c>
      <c r="AO620" s="194">
        <f t="shared" si="191"/>
        <v>23</v>
      </c>
    </row>
    <row r="621" spans="22:41" x14ac:dyDescent="0.2">
      <c r="V621" s="181">
        <f t="shared" si="178"/>
        <v>291.5</v>
      </c>
      <c r="W621" s="181">
        <f t="shared" si="179"/>
        <v>583</v>
      </c>
      <c r="X621" s="181">
        <f t="shared" si="180"/>
        <v>1</v>
      </c>
      <c r="Y621" s="37">
        <f t="shared" si="181"/>
        <v>1917.1</v>
      </c>
      <c r="Z621" s="181">
        <f t="shared" si="182"/>
        <v>489.5</v>
      </c>
      <c r="AA621" s="127">
        <f t="shared" si="183"/>
        <v>595.21331999999995</v>
      </c>
      <c r="AB621" s="127">
        <f t="shared" si="184"/>
        <v>595.21331999999995</v>
      </c>
      <c r="AC621" s="37">
        <f t="shared" si="173"/>
        <v>3971.2799199999999</v>
      </c>
      <c r="AD621" s="37">
        <f t="shared" si="185"/>
        <v>5888.3799199999994</v>
      </c>
      <c r="AE621" s="181">
        <f t="shared" si="174"/>
        <v>23</v>
      </c>
      <c r="AF621" s="37">
        <f t="shared" si="186"/>
        <v>16146</v>
      </c>
      <c r="AG621" s="181">
        <f t="shared" si="175"/>
        <v>956.19999999999993</v>
      </c>
      <c r="AH621" s="111">
        <f t="shared" si="187"/>
        <v>635.83444799999995</v>
      </c>
      <c r="AI621" s="127">
        <f t="shared" si="188"/>
        <v>956.19999999999993</v>
      </c>
      <c r="AJ621" s="37">
        <f t="shared" si="176"/>
        <v>6137.2</v>
      </c>
      <c r="AK621" s="37">
        <f t="shared" si="189"/>
        <v>22283.200000000001</v>
      </c>
      <c r="AL621" s="37">
        <f t="shared" si="177"/>
        <v>10.100137084048026</v>
      </c>
      <c r="AN621" s="37" t="str">
        <f t="shared" si="190"/>
        <v>Pallet</v>
      </c>
      <c r="AO621" s="194">
        <f t="shared" si="191"/>
        <v>23</v>
      </c>
    </row>
    <row r="622" spans="22:41" x14ac:dyDescent="0.2">
      <c r="V622" s="181">
        <f t="shared" si="178"/>
        <v>292</v>
      </c>
      <c r="W622" s="181">
        <f t="shared" si="179"/>
        <v>584</v>
      </c>
      <c r="X622" s="181">
        <f t="shared" si="180"/>
        <v>1</v>
      </c>
      <c r="Y622" s="37">
        <f t="shared" si="181"/>
        <v>1917.1</v>
      </c>
      <c r="Z622" s="181">
        <f t="shared" si="182"/>
        <v>490</v>
      </c>
      <c r="AA622" s="127">
        <f t="shared" si="183"/>
        <v>595.21331999999995</v>
      </c>
      <c r="AB622" s="127">
        <f t="shared" si="184"/>
        <v>595.21331999999995</v>
      </c>
      <c r="AC622" s="37">
        <f t="shared" si="173"/>
        <v>3971.2799199999999</v>
      </c>
      <c r="AD622" s="37">
        <f t="shared" si="185"/>
        <v>5888.3799199999994</v>
      </c>
      <c r="AE622" s="181">
        <f t="shared" si="174"/>
        <v>23</v>
      </c>
      <c r="AF622" s="37">
        <f t="shared" si="186"/>
        <v>16146</v>
      </c>
      <c r="AG622" s="181">
        <f t="shared" si="175"/>
        <v>956.69999999999993</v>
      </c>
      <c r="AH622" s="111">
        <f t="shared" si="187"/>
        <v>635.83444799999995</v>
      </c>
      <c r="AI622" s="127">
        <f t="shared" si="188"/>
        <v>956.69999999999993</v>
      </c>
      <c r="AJ622" s="37">
        <f t="shared" si="176"/>
        <v>6140.2</v>
      </c>
      <c r="AK622" s="37">
        <f t="shared" si="189"/>
        <v>22286.2</v>
      </c>
      <c r="AL622" s="37">
        <f t="shared" si="177"/>
        <v>10.082842328767121</v>
      </c>
      <c r="AN622" s="37" t="str">
        <f t="shared" si="190"/>
        <v>Pallet</v>
      </c>
      <c r="AO622" s="194">
        <f t="shared" si="191"/>
        <v>23</v>
      </c>
    </row>
    <row r="623" spans="22:41" x14ac:dyDescent="0.2">
      <c r="V623" s="181">
        <f t="shared" si="178"/>
        <v>292.5</v>
      </c>
      <c r="W623" s="181">
        <f t="shared" si="179"/>
        <v>585</v>
      </c>
      <c r="X623" s="181">
        <f t="shared" si="180"/>
        <v>1</v>
      </c>
      <c r="Y623" s="37">
        <f t="shared" si="181"/>
        <v>1917.1</v>
      </c>
      <c r="Z623" s="181">
        <f t="shared" si="182"/>
        <v>490.5</v>
      </c>
      <c r="AA623" s="127">
        <f t="shared" si="183"/>
        <v>595.21331999999995</v>
      </c>
      <c r="AB623" s="127">
        <f t="shared" si="184"/>
        <v>595.21331999999995</v>
      </c>
      <c r="AC623" s="37">
        <f t="shared" si="173"/>
        <v>3971.2799199999999</v>
      </c>
      <c r="AD623" s="37">
        <f t="shared" si="185"/>
        <v>5888.3799199999994</v>
      </c>
      <c r="AE623" s="181">
        <f t="shared" si="174"/>
        <v>23</v>
      </c>
      <c r="AF623" s="37">
        <f t="shared" si="186"/>
        <v>16146</v>
      </c>
      <c r="AG623" s="181">
        <f t="shared" si="175"/>
        <v>957.19999999999993</v>
      </c>
      <c r="AH623" s="111">
        <f t="shared" si="187"/>
        <v>635.83444799999995</v>
      </c>
      <c r="AI623" s="127">
        <f t="shared" si="188"/>
        <v>957.19999999999993</v>
      </c>
      <c r="AJ623" s="37">
        <f t="shared" si="176"/>
        <v>6143.2</v>
      </c>
      <c r="AK623" s="37">
        <f t="shared" si="189"/>
        <v>22289.200000000001</v>
      </c>
      <c r="AL623" s="37">
        <f t="shared" si="177"/>
        <v>10.065606700854699</v>
      </c>
      <c r="AN623" s="37" t="str">
        <f t="shared" si="190"/>
        <v>Pallet</v>
      </c>
      <c r="AO623" s="194">
        <f t="shared" si="191"/>
        <v>23</v>
      </c>
    </row>
    <row r="624" spans="22:41" x14ac:dyDescent="0.2">
      <c r="V624" s="181">
        <f t="shared" si="178"/>
        <v>293</v>
      </c>
      <c r="W624" s="181">
        <f t="shared" si="179"/>
        <v>586</v>
      </c>
      <c r="X624" s="181">
        <f t="shared" si="180"/>
        <v>1</v>
      </c>
      <c r="Y624" s="37">
        <f t="shared" si="181"/>
        <v>1917.1</v>
      </c>
      <c r="Z624" s="181">
        <f t="shared" si="182"/>
        <v>491</v>
      </c>
      <c r="AA624" s="127">
        <f t="shared" si="183"/>
        <v>595.21331999999995</v>
      </c>
      <c r="AB624" s="127">
        <f t="shared" si="184"/>
        <v>595.21331999999995</v>
      </c>
      <c r="AC624" s="37">
        <f t="shared" si="173"/>
        <v>3971.2799199999999</v>
      </c>
      <c r="AD624" s="37">
        <f t="shared" si="185"/>
        <v>5888.3799199999994</v>
      </c>
      <c r="AE624" s="181">
        <f t="shared" si="174"/>
        <v>23</v>
      </c>
      <c r="AF624" s="37">
        <f t="shared" si="186"/>
        <v>16146</v>
      </c>
      <c r="AG624" s="181">
        <f t="shared" si="175"/>
        <v>957.69999999999993</v>
      </c>
      <c r="AH624" s="111">
        <f t="shared" si="187"/>
        <v>635.83444799999995</v>
      </c>
      <c r="AI624" s="127">
        <f t="shared" si="188"/>
        <v>957.69999999999993</v>
      </c>
      <c r="AJ624" s="37">
        <f t="shared" si="176"/>
        <v>6146.2</v>
      </c>
      <c r="AK624" s="37">
        <f t="shared" si="189"/>
        <v>22292.2</v>
      </c>
      <c r="AL624" s="37">
        <f t="shared" si="177"/>
        <v>10.048429897610921</v>
      </c>
      <c r="AN624" s="37" t="str">
        <f t="shared" si="190"/>
        <v>Pallet</v>
      </c>
      <c r="AO624" s="194">
        <f t="shared" si="191"/>
        <v>23</v>
      </c>
    </row>
    <row r="625" spans="22:41" x14ac:dyDescent="0.2">
      <c r="V625" s="181">
        <f t="shared" si="178"/>
        <v>293.5</v>
      </c>
      <c r="W625" s="181">
        <f t="shared" si="179"/>
        <v>587</v>
      </c>
      <c r="X625" s="181">
        <f t="shared" si="180"/>
        <v>1</v>
      </c>
      <c r="Y625" s="37">
        <f t="shared" si="181"/>
        <v>1917.1</v>
      </c>
      <c r="Z625" s="181">
        <f t="shared" si="182"/>
        <v>491.5</v>
      </c>
      <c r="AA625" s="127">
        <f t="shared" si="183"/>
        <v>595.21331999999995</v>
      </c>
      <c r="AB625" s="127">
        <f t="shared" si="184"/>
        <v>595.21331999999995</v>
      </c>
      <c r="AC625" s="37">
        <f t="shared" si="173"/>
        <v>3971.2799199999999</v>
      </c>
      <c r="AD625" s="37">
        <f t="shared" si="185"/>
        <v>5888.3799199999994</v>
      </c>
      <c r="AE625" s="181">
        <f t="shared" si="174"/>
        <v>23</v>
      </c>
      <c r="AF625" s="37">
        <f t="shared" si="186"/>
        <v>16146</v>
      </c>
      <c r="AG625" s="181">
        <f t="shared" si="175"/>
        <v>958.19999999999993</v>
      </c>
      <c r="AH625" s="111">
        <f t="shared" si="187"/>
        <v>635.83444799999995</v>
      </c>
      <c r="AI625" s="127">
        <f t="shared" si="188"/>
        <v>958.19999999999993</v>
      </c>
      <c r="AJ625" s="37">
        <f t="shared" si="176"/>
        <v>6149.2</v>
      </c>
      <c r="AK625" s="37">
        <f t="shared" si="189"/>
        <v>22295.200000000001</v>
      </c>
      <c r="AL625" s="37">
        <f t="shared" si="177"/>
        <v>10.031311618398636</v>
      </c>
      <c r="AN625" s="37" t="str">
        <f t="shared" si="190"/>
        <v>Pallet</v>
      </c>
      <c r="AO625" s="194">
        <f t="shared" si="191"/>
        <v>23</v>
      </c>
    </row>
    <row r="626" spans="22:41" x14ac:dyDescent="0.2">
      <c r="V626" s="181">
        <f t="shared" si="178"/>
        <v>294</v>
      </c>
      <c r="W626" s="181">
        <f t="shared" si="179"/>
        <v>588</v>
      </c>
      <c r="X626" s="181">
        <f t="shared" si="180"/>
        <v>1</v>
      </c>
      <c r="Y626" s="37">
        <f t="shared" si="181"/>
        <v>1917.1</v>
      </c>
      <c r="Z626" s="181">
        <f t="shared" si="182"/>
        <v>492</v>
      </c>
      <c r="AA626" s="127">
        <f t="shared" si="183"/>
        <v>595.21331999999995</v>
      </c>
      <c r="AB626" s="127">
        <f t="shared" si="184"/>
        <v>595.21331999999995</v>
      </c>
      <c r="AC626" s="37">
        <f t="shared" si="173"/>
        <v>3971.2799199999999</v>
      </c>
      <c r="AD626" s="37">
        <f t="shared" si="185"/>
        <v>5888.3799199999994</v>
      </c>
      <c r="AE626" s="181">
        <f t="shared" si="174"/>
        <v>23</v>
      </c>
      <c r="AF626" s="37">
        <f t="shared" si="186"/>
        <v>16146</v>
      </c>
      <c r="AG626" s="181">
        <f t="shared" si="175"/>
        <v>958.69999999999993</v>
      </c>
      <c r="AH626" s="111">
        <f t="shared" si="187"/>
        <v>635.83444799999995</v>
      </c>
      <c r="AI626" s="127">
        <f t="shared" si="188"/>
        <v>958.69999999999993</v>
      </c>
      <c r="AJ626" s="37">
        <f t="shared" si="176"/>
        <v>6152.2</v>
      </c>
      <c r="AK626" s="37">
        <f t="shared" si="189"/>
        <v>22298.2</v>
      </c>
      <c r="AL626" s="37">
        <f t="shared" si="177"/>
        <v>10.01425156462585</v>
      </c>
      <c r="AN626" s="37" t="str">
        <f t="shared" si="190"/>
        <v>Pallet</v>
      </c>
      <c r="AO626" s="194">
        <f t="shared" si="191"/>
        <v>23</v>
      </c>
    </row>
    <row r="627" spans="22:41" x14ac:dyDescent="0.2">
      <c r="V627" s="181">
        <f t="shared" si="178"/>
        <v>294.5</v>
      </c>
      <c r="W627" s="181">
        <f t="shared" si="179"/>
        <v>589</v>
      </c>
      <c r="X627" s="181">
        <f t="shared" si="180"/>
        <v>1</v>
      </c>
      <c r="Y627" s="37">
        <f t="shared" si="181"/>
        <v>1917.1</v>
      </c>
      <c r="Z627" s="181">
        <f t="shared" si="182"/>
        <v>492.5</v>
      </c>
      <c r="AA627" s="127">
        <f t="shared" si="183"/>
        <v>595.21331999999995</v>
      </c>
      <c r="AB627" s="127">
        <f t="shared" si="184"/>
        <v>595.21331999999995</v>
      </c>
      <c r="AC627" s="37">
        <f t="shared" si="173"/>
        <v>3971.2799199999999</v>
      </c>
      <c r="AD627" s="37">
        <f t="shared" si="185"/>
        <v>5888.3799199999994</v>
      </c>
      <c r="AE627" s="181">
        <f t="shared" si="174"/>
        <v>23</v>
      </c>
      <c r="AF627" s="37">
        <f t="shared" si="186"/>
        <v>16146</v>
      </c>
      <c r="AG627" s="181">
        <f t="shared" si="175"/>
        <v>959.19999999999993</v>
      </c>
      <c r="AH627" s="111">
        <f t="shared" si="187"/>
        <v>635.83444799999995</v>
      </c>
      <c r="AI627" s="127">
        <f t="shared" si="188"/>
        <v>959.19999999999993</v>
      </c>
      <c r="AJ627" s="37">
        <f t="shared" si="176"/>
        <v>6155.2</v>
      </c>
      <c r="AK627" s="37">
        <f t="shared" si="189"/>
        <v>22301.200000000001</v>
      </c>
      <c r="AL627" s="37">
        <f t="shared" si="177"/>
        <v>9.9972494397283516</v>
      </c>
      <c r="AN627" s="37" t="str">
        <f t="shared" si="190"/>
        <v>Pallet</v>
      </c>
      <c r="AO627" s="194">
        <f t="shared" si="191"/>
        <v>23</v>
      </c>
    </row>
    <row r="628" spans="22:41" x14ac:dyDescent="0.2">
      <c r="V628" s="181">
        <f t="shared" si="178"/>
        <v>295</v>
      </c>
      <c r="W628" s="181">
        <f t="shared" si="179"/>
        <v>590</v>
      </c>
      <c r="X628" s="181">
        <f t="shared" si="180"/>
        <v>1</v>
      </c>
      <c r="Y628" s="37">
        <f t="shared" si="181"/>
        <v>1917.1</v>
      </c>
      <c r="Z628" s="181">
        <f t="shared" si="182"/>
        <v>493</v>
      </c>
      <c r="AA628" s="127">
        <f t="shared" si="183"/>
        <v>595.21331999999995</v>
      </c>
      <c r="AB628" s="127">
        <f t="shared" si="184"/>
        <v>595.21331999999995</v>
      </c>
      <c r="AC628" s="37">
        <f t="shared" si="173"/>
        <v>3971.2799199999999</v>
      </c>
      <c r="AD628" s="37">
        <f t="shared" si="185"/>
        <v>5888.3799199999994</v>
      </c>
      <c r="AE628" s="181">
        <f t="shared" si="174"/>
        <v>23</v>
      </c>
      <c r="AF628" s="37">
        <f t="shared" si="186"/>
        <v>16146</v>
      </c>
      <c r="AG628" s="181">
        <f t="shared" si="175"/>
        <v>959.69999999999993</v>
      </c>
      <c r="AH628" s="111">
        <f t="shared" si="187"/>
        <v>635.83444799999995</v>
      </c>
      <c r="AI628" s="127">
        <f t="shared" si="188"/>
        <v>959.69999999999993</v>
      </c>
      <c r="AJ628" s="37">
        <f t="shared" si="176"/>
        <v>6158.2</v>
      </c>
      <c r="AK628" s="37">
        <f t="shared" si="189"/>
        <v>22304.2</v>
      </c>
      <c r="AL628" s="37">
        <f t="shared" si="177"/>
        <v>9.9803049491525417</v>
      </c>
      <c r="AN628" s="37" t="str">
        <f t="shared" si="190"/>
        <v>Pallet</v>
      </c>
      <c r="AO628" s="194">
        <f t="shared" si="191"/>
        <v>23</v>
      </c>
    </row>
    <row r="629" spans="22:41" x14ac:dyDescent="0.2">
      <c r="V629" s="181">
        <f t="shared" si="178"/>
        <v>295.5</v>
      </c>
      <c r="W629" s="181">
        <f t="shared" si="179"/>
        <v>591</v>
      </c>
      <c r="X629" s="181">
        <f t="shared" si="180"/>
        <v>1</v>
      </c>
      <c r="Y629" s="37">
        <f t="shared" si="181"/>
        <v>1917.1</v>
      </c>
      <c r="Z629" s="181">
        <f t="shared" si="182"/>
        <v>493.5</v>
      </c>
      <c r="AA629" s="127">
        <f t="shared" si="183"/>
        <v>595.21331999999995</v>
      </c>
      <c r="AB629" s="127">
        <f t="shared" si="184"/>
        <v>595.21331999999995</v>
      </c>
      <c r="AC629" s="37">
        <f t="shared" si="173"/>
        <v>3971.2799199999999</v>
      </c>
      <c r="AD629" s="37">
        <f t="shared" si="185"/>
        <v>5888.3799199999994</v>
      </c>
      <c r="AE629" s="181">
        <f t="shared" si="174"/>
        <v>23</v>
      </c>
      <c r="AF629" s="37">
        <f t="shared" si="186"/>
        <v>16146</v>
      </c>
      <c r="AG629" s="181">
        <f t="shared" si="175"/>
        <v>960.19999999999993</v>
      </c>
      <c r="AH629" s="111">
        <f t="shared" si="187"/>
        <v>635.83444799999995</v>
      </c>
      <c r="AI629" s="127">
        <f t="shared" si="188"/>
        <v>960.19999999999993</v>
      </c>
      <c r="AJ629" s="37">
        <f t="shared" si="176"/>
        <v>6161.2</v>
      </c>
      <c r="AK629" s="37">
        <f t="shared" si="189"/>
        <v>22307.200000000001</v>
      </c>
      <c r="AL629" s="37">
        <f t="shared" si="177"/>
        <v>9.9634178003384086</v>
      </c>
      <c r="AN629" s="37" t="str">
        <f t="shared" si="190"/>
        <v>Pallet</v>
      </c>
      <c r="AO629" s="194">
        <f t="shared" si="191"/>
        <v>23</v>
      </c>
    </row>
    <row r="630" spans="22:41" x14ac:dyDescent="0.2">
      <c r="V630" s="181">
        <f t="shared" si="178"/>
        <v>296</v>
      </c>
      <c r="W630" s="181">
        <f t="shared" si="179"/>
        <v>592</v>
      </c>
      <c r="X630" s="181">
        <f t="shared" si="180"/>
        <v>1</v>
      </c>
      <c r="Y630" s="37">
        <f t="shared" si="181"/>
        <v>1917.1</v>
      </c>
      <c r="Z630" s="181">
        <f t="shared" si="182"/>
        <v>494</v>
      </c>
      <c r="AA630" s="127">
        <f t="shared" si="183"/>
        <v>595.21331999999995</v>
      </c>
      <c r="AB630" s="127">
        <f t="shared" si="184"/>
        <v>595.21331999999995</v>
      </c>
      <c r="AC630" s="37">
        <f t="shared" si="173"/>
        <v>3971.2799199999999</v>
      </c>
      <c r="AD630" s="37">
        <f t="shared" si="185"/>
        <v>5888.3799199999994</v>
      </c>
      <c r="AE630" s="181">
        <f t="shared" si="174"/>
        <v>23</v>
      </c>
      <c r="AF630" s="37">
        <f t="shared" si="186"/>
        <v>16146</v>
      </c>
      <c r="AG630" s="181">
        <f t="shared" si="175"/>
        <v>960.69999999999993</v>
      </c>
      <c r="AH630" s="111">
        <f t="shared" si="187"/>
        <v>635.83444799999995</v>
      </c>
      <c r="AI630" s="127">
        <f t="shared" si="188"/>
        <v>960.69999999999993</v>
      </c>
      <c r="AJ630" s="37">
        <f t="shared" si="176"/>
        <v>6164.2</v>
      </c>
      <c r="AK630" s="37">
        <f t="shared" si="189"/>
        <v>22310.2</v>
      </c>
      <c r="AL630" s="37">
        <f t="shared" si="177"/>
        <v>9.9465877027027023</v>
      </c>
      <c r="AN630" s="37" t="str">
        <f t="shared" si="190"/>
        <v>Pallet</v>
      </c>
      <c r="AO630" s="194">
        <f t="shared" si="191"/>
        <v>23</v>
      </c>
    </row>
    <row r="631" spans="22:41" x14ac:dyDescent="0.2">
      <c r="V631" s="181">
        <f t="shared" si="178"/>
        <v>296.5</v>
      </c>
      <c r="W631" s="181">
        <f t="shared" si="179"/>
        <v>593</v>
      </c>
      <c r="X631" s="181">
        <f t="shared" si="180"/>
        <v>1</v>
      </c>
      <c r="Y631" s="37">
        <f t="shared" si="181"/>
        <v>1917.1</v>
      </c>
      <c r="Z631" s="181">
        <f t="shared" si="182"/>
        <v>494.5</v>
      </c>
      <c r="AA631" s="127">
        <f t="shared" si="183"/>
        <v>595.21331999999995</v>
      </c>
      <c r="AB631" s="127">
        <f t="shared" si="184"/>
        <v>595.21331999999995</v>
      </c>
      <c r="AC631" s="37">
        <f t="shared" si="173"/>
        <v>3971.2799199999999</v>
      </c>
      <c r="AD631" s="37">
        <f t="shared" si="185"/>
        <v>5888.3799199999994</v>
      </c>
      <c r="AE631" s="181">
        <f t="shared" si="174"/>
        <v>23</v>
      </c>
      <c r="AF631" s="37">
        <f t="shared" si="186"/>
        <v>16146</v>
      </c>
      <c r="AG631" s="181">
        <f t="shared" si="175"/>
        <v>961.19999999999993</v>
      </c>
      <c r="AH631" s="111">
        <f t="shared" si="187"/>
        <v>635.83444799999995</v>
      </c>
      <c r="AI631" s="127">
        <f t="shared" si="188"/>
        <v>961.19999999999993</v>
      </c>
      <c r="AJ631" s="37">
        <f t="shared" si="176"/>
        <v>6167.2</v>
      </c>
      <c r="AK631" s="37">
        <f t="shared" si="189"/>
        <v>22313.200000000001</v>
      </c>
      <c r="AL631" s="37">
        <f t="shared" si="177"/>
        <v>9.9298143676222583</v>
      </c>
      <c r="AN631" s="37" t="str">
        <f t="shared" si="190"/>
        <v>Pallet</v>
      </c>
      <c r="AO631" s="194">
        <f t="shared" si="191"/>
        <v>23</v>
      </c>
    </row>
    <row r="632" spans="22:41" x14ac:dyDescent="0.2">
      <c r="V632" s="181">
        <f t="shared" si="178"/>
        <v>297</v>
      </c>
      <c r="W632" s="181">
        <f t="shared" si="179"/>
        <v>594</v>
      </c>
      <c r="X632" s="181">
        <f t="shared" si="180"/>
        <v>1</v>
      </c>
      <c r="Y632" s="37">
        <f t="shared" si="181"/>
        <v>1917.1</v>
      </c>
      <c r="Z632" s="181">
        <f t="shared" si="182"/>
        <v>495</v>
      </c>
      <c r="AA632" s="127">
        <f t="shared" si="183"/>
        <v>595.21331999999995</v>
      </c>
      <c r="AB632" s="127">
        <f t="shared" si="184"/>
        <v>595.21331999999995</v>
      </c>
      <c r="AC632" s="37">
        <f t="shared" si="173"/>
        <v>3971.2799199999999</v>
      </c>
      <c r="AD632" s="37">
        <f t="shared" si="185"/>
        <v>5888.3799199999994</v>
      </c>
      <c r="AE632" s="181">
        <f t="shared" si="174"/>
        <v>24</v>
      </c>
      <c r="AF632" s="37">
        <f t="shared" si="186"/>
        <v>16848</v>
      </c>
      <c r="AG632" s="181">
        <f t="shared" si="175"/>
        <v>990.59999999999991</v>
      </c>
      <c r="AH632" s="111">
        <f t="shared" si="187"/>
        <v>663.47942399999988</v>
      </c>
      <c r="AI632" s="127">
        <f t="shared" si="188"/>
        <v>990.59999999999991</v>
      </c>
      <c r="AJ632" s="37">
        <f t="shared" si="176"/>
        <v>6343.5999999999995</v>
      </c>
      <c r="AK632" s="37">
        <f t="shared" si="189"/>
        <v>23191.599999999999</v>
      </c>
      <c r="AL632" s="37">
        <f t="shared" si="177"/>
        <v>9.9130975084175077</v>
      </c>
      <c r="AN632" s="37" t="str">
        <f t="shared" si="190"/>
        <v>Pallet</v>
      </c>
      <c r="AO632" s="194">
        <f t="shared" si="191"/>
        <v>23</v>
      </c>
    </row>
    <row r="633" spans="22:41" x14ac:dyDescent="0.2">
      <c r="V633" s="181">
        <f t="shared" si="178"/>
        <v>297.5</v>
      </c>
      <c r="W633" s="181">
        <f t="shared" si="179"/>
        <v>595</v>
      </c>
      <c r="X633" s="181">
        <f t="shared" si="180"/>
        <v>1</v>
      </c>
      <c r="Y633" s="37">
        <f t="shared" si="181"/>
        <v>1917.1</v>
      </c>
      <c r="Z633" s="181">
        <f t="shared" si="182"/>
        <v>495.5</v>
      </c>
      <c r="AA633" s="127">
        <f t="shared" si="183"/>
        <v>595.21331999999995</v>
      </c>
      <c r="AB633" s="127">
        <f t="shared" si="184"/>
        <v>595.21331999999995</v>
      </c>
      <c r="AC633" s="37">
        <f t="shared" si="173"/>
        <v>3971.2799199999999</v>
      </c>
      <c r="AD633" s="37">
        <f t="shared" si="185"/>
        <v>5888.3799199999994</v>
      </c>
      <c r="AE633" s="181">
        <f t="shared" si="174"/>
        <v>24</v>
      </c>
      <c r="AF633" s="37">
        <f t="shared" si="186"/>
        <v>16848</v>
      </c>
      <c r="AG633" s="181">
        <f t="shared" si="175"/>
        <v>991.09999999999991</v>
      </c>
      <c r="AH633" s="111">
        <f t="shared" si="187"/>
        <v>663.47942399999988</v>
      </c>
      <c r="AI633" s="127">
        <f t="shared" si="188"/>
        <v>991.09999999999991</v>
      </c>
      <c r="AJ633" s="37">
        <f t="shared" si="176"/>
        <v>6346.5999999999995</v>
      </c>
      <c r="AK633" s="37">
        <f t="shared" si="189"/>
        <v>23194.6</v>
      </c>
      <c r="AL633" s="37">
        <f t="shared" si="177"/>
        <v>9.8964368403361327</v>
      </c>
      <c r="AN633" s="37" t="str">
        <f t="shared" si="190"/>
        <v>Pallet</v>
      </c>
      <c r="AO633" s="194">
        <f t="shared" si="191"/>
        <v>24</v>
      </c>
    </row>
    <row r="634" spans="22:41" x14ac:dyDescent="0.2">
      <c r="V634" s="181">
        <f t="shared" si="178"/>
        <v>298</v>
      </c>
      <c r="W634" s="181">
        <f t="shared" si="179"/>
        <v>596</v>
      </c>
      <c r="X634" s="181">
        <f t="shared" si="180"/>
        <v>1</v>
      </c>
      <c r="Y634" s="37">
        <f t="shared" si="181"/>
        <v>1917.1</v>
      </c>
      <c r="Z634" s="181">
        <f t="shared" si="182"/>
        <v>496</v>
      </c>
      <c r="AA634" s="127">
        <f t="shared" si="183"/>
        <v>595.21331999999995</v>
      </c>
      <c r="AB634" s="127">
        <f t="shared" si="184"/>
        <v>595.21331999999995</v>
      </c>
      <c r="AC634" s="37">
        <f t="shared" si="173"/>
        <v>3971.2799199999999</v>
      </c>
      <c r="AD634" s="37">
        <f t="shared" si="185"/>
        <v>5888.3799199999994</v>
      </c>
      <c r="AE634" s="181">
        <f t="shared" si="174"/>
        <v>24</v>
      </c>
      <c r="AF634" s="37">
        <f t="shared" si="186"/>
        <v>16848</v>
      </c>
      <c r="AG634" s="181">
        <f t="shared" si="175"/>
        <v>991.59999999999991</v>
      </c>
      <c r="AH634" s="111">
        <f t="shared" si="187"/>
        <v>663.47942399999988</v>
      </c>
      <c r="AI634" s="127">
        <f t="shared" si="188"/>
        <v>991.59999999999991</v>
      </c>
      <c r="AJ634" s="37">
        <f t="shared" si="176"/>
        <v>6349.5999999999995</v>
      </c>
      <c r="AK634" s="37">
        <f t="shared" si="189"/>
        <v>23197.599999999999</v>
      </c>
      <c r="AL634" s="37">
        <f t="shared" si="177"/>
        <v>9.8798320805369109</v>
      </c>
      <c r="AN634" s="37" t="str">
        <f t="shared" si="190"/>
        <v>Pallet</v>
      </c>
      <c r="AO634" s="194">
        <f t="shared" si="191"/>
        <v>24</v>
      </c>
    </row>
    <row r="635" spans="22:41" x14ac:dyDescent="0.2">
      <c r="V635" s="181">
        <f t="shared" si="178"/>
        <v>298.5</v>
      </c>
      <c r="W635" s="181">
        <f t="shared" si="179"/>
        <v>597</v>
      </c>
      <c r="X635" s="181">
        <f t="shared" si="180"/>
        <v>1</v>
      </c>
      <c r="Y635" s="37">
        <f t="shared" si="181"/>
        <v>1917.1</v>
      </c>
      <c r="Z635" s="181">
        <f t="shared" si="182"/>
        <v>496.5</v>
      </c>
      <c r="AA635" s="127">
        <f t="shared" si="183"/>
        <v>595.21331999999995</v>
      </c>
      <c r="AB635" s="127">
        <f t="shared" si="184"/>
        <v>595.21331999999995</v>
      </c>
      <c r="AC635" s="37">
        <f t="shared" si="173"/>
        <v>3971.2799199999999</v>
      </c>
      <c r="AD635" s="37">
        <f t="shared" si="185"/>
        <v>5888.3799199999994</v>
      </c>
      <c r="AE635" s="181">
        <f t="shared" si="174"/>
        <v>24</v>
      </c>
      <c r="AF635" s="37">
        <f t="shared" si="186"/>
        <v>16848</v>
      </c>
      <c r="AG635" s="181">
        <f t="shared" si="175"/>
        <v>992.09999999999991</v>
      </c>
      <c r="AH635" s="111">
        <f t="shared" si="187"/>
        <v>663.47942399999988</v>
      </c>
      <c r="AI635" s="127">
        <f t="shared" si="188"/>
        <v>992.09999999999991</v>
      </c>
      <c r="AJ635" s="37">
        <f t="shared" si="176"/>
        <v>6352.5999999999995</v>
      </c>
      <c r="AK635" s="37">
        <f t="shared" si="189"/>
        <v>23200.6</v>
      </c>
      <c r="AL635" s="37">
        <f t="shared" si="177"/>
        <v>9.8632829480737012</v>
      </c>
      <c r="AN635" s="37" t="str">
        <f t="shared" si="190"/>
        <v>Pallet</v>
      </c>
      <c r="AO635" s="194">
        <f t="shared" si="191"/>
        <v>24</v>
      </c>
    </row>
    <row r="636" spans="22:41" x14ac:dyDescent="0.2">
      <c r="V636" s="181">
        <f t="shared" si="178"/>
        <v>299</v>
      </c>
      <c r="W636" s="181">
        <f t="shared" si="179"/>
        <v>598</v>
      </c>
      <c r="X636" s="181">
        <f t="shared" si="180"/>
        <v>1</v>
      </c>
      <c r="Y636" s="37">
        <f t="shared" si="181"/>
        <v>1917.1</v>
      </c>
      <c r="Z636" s="181">
        <f t="shared" si="182"/>
        <v>497</v>
      </c>
      <c r="AA636" s="127">
        <f t="shared" si="183"/>
        <v>595.21331999999995</v>
      </c>
      <c r="AB636" s="127">
        <f t="shared" si="184"/>
        <v>595.21331999999995</v>
      </c>
      <c r="AC636" s="37">
        <f t="shared" si="173"/>
        <v>3971.2799199999999</v>
      </c>
      <c r="AD636" s="37">
        <f t="shared" si="185"/>
        <v>5888.3799199999994</v>
      </c>
      <c r="AE636" s="181">
        <f t="shared" si="174"/>
        <v>24</v>
      </c>
      <c r="AF636" s="37">
        <f t="shared" si="186"/>
        <v>16848</v>
      </c>
      <c r="AG636" s="181">
        <f t="shared" si="175"/>
        <v>992.59999999999991</v>
      </c>
      <c r="AH636" s="111">
        <f t="shared" si="187"/>
        <v>663.47942399999988</v>
      </c>
      <c r="AI636" s="127">
        <f t="shared" si="188"/>
        <v>992.59999999999991</v>
      </c>
      <c r="AJ636" s="37">
        <f t="shared" si="176"/>
        <v>6355.5999999999995</v>
      </c>
      <c r="AK636" s="37">
        <f t="shared" si="189"/>
        <v>23203.599999999999</v>
      </c>
      <c r="AL636" s="37">
        <f t="shared" si="177"/>
        <v>9.8467891638795972</v>
      </c>
      <c r="AN636" s="37" t="str">
        <f t="shared" si="190"/>
        <v>Pallet</v>
      </c>
      <c r="AO636" s="194">
        <f t="shared" si="191"/>
        <v>24</v>
      </c>
    </row>
    <row r="637" spans="22:41" x14ac:dyDescent="0.2">
      <c r="V637" s="181">
        <f t="shared" si="178"/>
        <v>299.5</v>
      </c>
      <c r="W637" s="181">
        <f t="shared" si="179"/>
        <v>599</v>
      </c>
      <c r="X637" s="181">
        <f t="shared" si="180"/>
        <v>1</v>
      </c>
      <c r="Y637" s="37">
        <f t="shared" si="181"/>
        <v>1917.1</v>
      </c>
      <c r="Z637" s="181">
        <f t="shared" si="182"/>
        <v>497.5</v>
      </c>
      <c r="AA637" s="127">
        <f t="shared" si="183"/>
        <v>595.21331999999995</v>
      </c>
      <c r="AB637" s="127">
        <f t="shared" si="184"/>
        <v>595.21331999999995</v>
      </c>
      <c r="AC637" s="37">
        <f t="shared" si="173"/>
        <v>3971.2799199999999</v>
      </c>
      <c r="AD637" s="37">
        <f t="shared" si="185"/>
        <v>5888.3799199999994</v>
      </c>
      <c r="AE637" s="181">
        <f t="shared" si="174"/>
        <v>24</v>
      </c>
      <c r="AF637" s="37">
        <f t="shared" si="186"/>
        <v>16848</v>
      </c>
      <c r="AG637" s="181">
        <f t="shared" si="175"/>
        <v>993.09999999999991</v>
      </c>
      <c r="AH637" s="111">
        <f t="shared" si="187"/>
        <v>663.47942399999988</v>
      </c>
      <c r="AI637" s="127">
        <f t="shared" si="188"/>
        <v>993.09999999999991</v>
      </c>
      <c r="AJ637" s="37">
        <f t="shared" si="176"/>
        <v>6358.5999999999995</v>
      </c>
      <c r="AK637" s="37">
        <f t="shared" si="189"/>
        <v>23206.6</v>
      </c>
      <c r="AL637" s="37">
        <f t="shared" si="177"/>
        <v>9.8303504507512507</v>
      </c>
      <c r="AN637" s="37" t="str">
        <f t="shared" si="190"/>
        <v>Pallet</v>
      </c>
      <c r="AO637" s="194">
        <f t="shared" si="191"/>
        <v>24</v>
      </c>
    </row>
    <row r="638" spans="22:41" x14ac:dyDescent="0.2">
      <c r="V638" s="181">
        <f t="shared" si="178"/>
        <v>300</v>
      </c>
      <c r="W638" s="181">
        <f t="shared" si="179"/>
        <v>600</v>
      </c>
      <c r="X638" s="181">
        <f t="shared" si="180"/>
        <v>1</v>
      </c>
      <c r="Y638" s="37">
        <f t="shared" si="181"/>
        <v>1917.1</v>
      </c>
      <c r="Z638" s="181">
        <f t="shared" si="182"/>
        <v>498</v>
      </c>
      <c r="AA638" s="127">
        <f t="shared" si="183"/>
        <v>595.21331999999995</v>
      </c>
      <c r="AB638" s="127">
        <f t="shared" si="184"/>
        <v>595.21331999999995</v>
      </c>
      <c r="AC638" s="37">
        <f t="shared" si="173"/>
        <v>3971.2799199999999</v>
      </c>
      <c r="AD638" s="37">
        <f t="shared" si="185"/>
        <v>5888.3799199999994</v>
      </c>
      <c r="AE638" s="181">
        <f t="shared" si="174"/>
        <v>24</v>
      </c>
      <c r="AF638" s="37">
        <f t="shared" si="186"/>
        <v>16848</v>
      </c>
      <c r="AG638" s="181">
        <f t="shared" si="175"/>
        <v>993.59999999999991</v>
      </c>
      <c r="AH638" s="111">
        <f t="shared" si="187"/>
        <v>663.47942399999988</v>
      </c>
      <c r="AI638" s="127">
        <f t="shared" si="188"/>
        <v>993.59999999999991</v>
      </c>
      <c r="AJ638" s="37">
        <f t="shared" si="176"/>
        <v>6361.5999999999995</v>
      </c>
      <c r="AK638" s="37">
        <f t="shared" si="189"/>
        <v>23209.599999999999</v>
      </c>
      <c r="AL638" s="37">
        <f t="shared" si="177"/>
        <v>9.8139665333333319</v>
      </c>
      <c r="AN638" s="37" t="str">
        <f t="shared" si="190"/>
        <v>Pallet</v>
      </c>
      <c r="AO638" s="194">
        <f t="shared" si="191"/>
        <v>24</v>
      </c>
    </row>
    <row r="639" spans="22:41" x14ac:dyDescent="0.2">
      <c r="V639" s="181">
        <f t="shared" si="178"/>
        <v>300.5</v>
      </c>
      <c r="W639" s="181">
        <f t="shared" si="179"/>
        <v>601</v>
      </c>
      <c r="X639" s="181">
        <f t="shared" si="180"/>
        <v>1</v>
      </c>
      <c r="Y639" s="37">
        <f t="shared" si="181"/>
        <v>1917.1</v>
      </c>
      <c r="Z639" s="181">
        <f t="shared" si="182"/>
        <v>498.5</v>
      </c>
      <c r="AA639" s="127">
        <f t="shared" si="183"/>
        <v>595.21331999999995</v>
      </c>
      <c r="AB639" s="127">
        <f t="shared" si="184"/>
        <v>595.21331999999995</v>
      </c>
      <c r="AC639" s="37">
        <f t="shared" si="173"/>
        <v>3971.2799199999999</v>
      </c>
      <c r="AD639" s="37">
        <f t="shared" si="185"/>
        <v>5888.3799199999994</v>
      </c>
      <c r="AE639" s="181">
        <f t="shared" si="174"/>
        <v>24</v>
      </c>
      <c r="AF639" s="37">
        <f t="shared" si="186"/>
        <v>16848</v>
      </c>
      <c r="AG639" s="181">
        <f t="shared" si="175"/>
        <v>994.09999999999991</v>
      </c>
      <c r="AH639" s="111">
        <f t="shared" si="187"/>
        <v>663.47942399999988</v>
      </c>
      <c r="AI639" s="127">
        <f t="shared" si="188"/>
        <v>994.09999999999991</v>
      </c>
      <c r="AJ639" s="37">
        <f t="shared" si="176"/>
        <v>6364.5999999999995</v>
      </c>
      <c r="AK639" s="37">
        <f t="shared" si="189"/>
        <v>23212.6</v>
      </c>
      <c r="AL639" s="37">
        <f t="shared" si="177"/>
        <v>9.7976371381031608</v>
      </c>
      <c r="AN639" s="37" t="str">
        <f t="shared" si="190"/>
        <v>Pallet</v>
      </c>
      <c r="AO639" s="194">
        <f t="shared" si="191"/>
        <v>24</v>
      </c>
    </row>
    <row r="640" spans="22:41" x14ac:dyDescent="0.2">
      <c r="V640" s="181">
        <f t="shared" si="178"/>
        <v>301</v>
      </c>
      <c r="W640" s="181">
        <f t="shared" si="179"/>
        <v>602</v>
      </c>
      <c r="X640" s="181">
        <f t="shared" si="180"/>
        <v>1</v>
      </c>
      <c r="Y640" s="37">
        <f t="shared" si="181"/>
        <v>1917.1</v>
      </c>
      <c r="Z640" s="181">
        <f t="shared" si="182"/>
        <v>499</v>
      </c>
      <c r="AA640" s="127">
        <f t="shared" si="183"/>
        <v>595.21331999999995</v>
      </c>
      <c r="AB640" s="127">
        <f t="shared" si="184"/>
        <v>595.21331999999995</v>
      </c>
      <c r="AC640" s="37">
        <f t="shared" si="173"/>
        <v>3971.2799199999999</v>
      </c>
      <c r="AD640" s="37">
        <f t="shared" si="185"/>
        <v>5888.3799199999994</v>
      </c>
      <c r="AE640" s="181">
        <f t="shared" si="174"/>
        <v>24</v>
      </c>
      <c r="AF640" s="37">
        <f t="shared" si="186"/>
        <v>16848</v>
      </c>
      <c r="AG640" s="181">
        <f t="shared" si="175"/>
        <v>994.59999999999991</v>
      </c>
      <c r="AH640" s="111">
        <f t="shared" si="187"/>
        <v>663.47942399999988</v>
      </c>
      <c r="AI640" s="127">
        <f t="shared" si="188"/>
        <v>994.59999999999991</v>
      </c>
      <c r="AJ640" s="37">
        <f t="shared" si="176"/>
        <v>6367.5999999999995</v>
      </c>
      <c r="AK640" s="37">
        <f t="shared" si="189"/>
        <v>23215.599999999999</v>
      </c>
      <c r="AL640" s="37">
        <f t="shared" si="177"/>
        <v>9.7813619933554801</v>
      </c>
      <c r="AN640" s="37" t="str">
        <f t="shared" si="190"/>
        <v>Pallet</v>
      </c>
      <c r="AO640" s="194">
        <f t="shared" si="191"/>
        <v>24</v>
      </c>
    </row>
    <row r="641" spans="22:41" x14ac:dyDescent="0.2">
      <c r="V641" s="181">
        <f t="shared" si="178"/>
        <v>301.5</v>
      </c>
      <c r="W641" s="181">
        <f t="shared" si="179"/>
        <v>603</v>
      </c>
      <c r="X641" s="181">
        <f t="shared" si="180"/>
        <v>1</v>
      </c>
      <c r="Y641" s="37">
        <f t="shared" si="181"/>
        <v>1917.1</v>
      </c>
      <c r="Z641" s="181">
        <f t="shared" si="182"/>
        <v>499.5</v>
      </c>
      <c r="AA641" s="127">
        <f t="shared" si="183"/>
        <v>595.21331999999995</v>
      </c>
      <c r="AB641" s="127">
        <f t="shared" si="184"/>
        <v>595.21331999999995</v>
      </c>
      <c r="AC641" s="37">
        <f t="shared" si="173"/>
        <v>3971.2799199999999</v>
      </c>
      <c r="AD641" s="37">
        <f t="shared" si="185"/>
        <v>5888.3799199999994</v>
      </c>
      <c r="AE641" s="181">
        <f t="shared" si="174"/>
        <v>24</v>
      </c>
      <c r="AF641" s="37">
        <f t="shared" si="186"/>
        <v>16848</v>
      </c>
      <c r="AG641" s="181">
        <f t="shared" si="175"/>
        <v>995.09999999999991</v>
      </c>
      <c r="AH641" s="111">
        <f t="shared" si="187"/>
        <v>663.47942399999988</v>
      </c>
      <c r="AI641" s="127">
        <f t="shared" si="188"/>
        <v>995.09999999999991</v>
      </c>
      <c r="AJ641" s="37">
        <f t="shared" si="176"/>
        <v>6370.5999999999995</v>
      </c>
      <c r="AK641" s="37">
        <f t="shared" si="189"/>
        <v>23218.6</v>
      </c>
      <c r="AL641" s="37">
        <f t="shared" si="177"/>
        <v>9.7651408291873949</v>
      </c>
      <c r="AN641" s="37" t="str">
        <f t="shared" si="190"/>
        <v>Pallet</v>
      </c>
      <c r="AO641" s="194">
        <f t="shared" si="191"/>
        <v>24</v>
      </c>
    </row>
    <row r="642" spans="22:41" x14ac:dyDescent="0.2">
      <c r="V642" s="181">
        <f t="shared" si="178"/>
        <v>302</v>
      </c>
      <c r="W642" s="181">
        <f t="shared" si="179"/>
        <v>604</v>
      </c>
      <c r="X642" s="181">
        <f t="shared" si="180"/>
        <v>1</v>
      </c>
      <c r="Y642" s="37">
        <f t="shared" si="181"/>
        <v>1917.1</v>
      </c>
      <c r="Z642" s="181">
        <f t="shared" si="182"/>
        <v>500</v>
      </c>
      <c r="AA642" s="127">
        <f t="shared" si="183"/>
        <v>595.21331999999995</v>
      </c>
      <c r="AB642" s="127">
        <f t="shared" si="184"/>
        <v>595.21331999999995</v>
      </c>
      <c r="AC642" s="37">
        <f t="shared" si="173"/>
        <v>3971.2799199999999</v>
      </c>
      <c r="AD642" s="37">
        <f t="shared" si="185"/>
        <v>5888.3799199999994</v>
      </c>
      <c r="AE642" s="181">
        <f t="shared" si="174"/>
        <v>24</v>
      </c>
      <c r="AF642" s="37">
        <f t="shared" si="186"/>
        <v>16848</v>
      </c>
      <c r="AG642" s="181">
        <f t="shared" si="175"/>
        <v>995.59999999999991</v>
      </c>
      <c r="AH642" s="111">
        <f t="shared" si="187"/>
        <v>663.47942399999988</v>
      </c>
      <c r="AI642" s="127">
        <f t="shared" si="188"/>
        <v>995.59999999999991</v>
      </c>
      <c r="AJ642" s="37">
        <f t="shared" si="176"/>
        <v>6373.5999999999995</v>
      </c>
      <c r="AK642" s="37">
        <f t="shared" si="189"/>
        <v>23221.599999999999</v>
      </c>
      <c r="AL642" s="37">
        <f t="shared" si="177"/>
        <v>9.7489733774834431</v>
      </c>
      <c r="AN642" s="37" t="str">
        <f t="shared" si="190"/>
        <v>Pallet</v>
      </c>
      <c r="AO642" s="194">
        <f t="shared" si="191"/>
        <v>24</v>
      </c>
    </row>
    <row r="643" spans="22:41" x14ac:dyDescent="0.2">
      <c r="V643" s="181">
        <f t="shared" si="178"/>
        <v>302.5</v>
      </c>
      <c r="W643" s="181">
        <f t="shared" si="179"/>
        <v>605</v>
      </c>
      <c r="X643" s="181">
        <f t="shared" si="180"/>
        <v>1</v>
      </c>
      <c r="Y643" s="37">
        <f t="shared" si="181"/>
        <v>1917.1</v>
      </c>
      <c r="Z643" s="181">
        <f t="shared" si="182"/>
        <v>500.5</v>
      </c>
      <c r="AA643" s="127">
        <f t="shared" si="183"/>
        <v>595.21331999999995</v>
      </c>
      <c r="AB643" s="127">
        <f t="shared" si="184"/>
        <v>595.21331999999995</v>
      </c>
      <c r="AC643" s="37">
        <f t="shared" si="173"/>
        <v>3971.2799199999999</v>
      </c>
      <c r="AD643" s="37">
        <f t="shared" si="185"/>
        <v>5888.3799199999994</v>
      </c>
      <c r="AE643" s="181">
        <f t="shared" si="174"/>
        <v>24</v>
      </c>
      <c r="AF643" s="37">
        <f t="shared" si="186"/>
        <v>16848</v>
      </c>
      <c r="AG643" s="181">
        <f t="shared" si="175"/>
        <v>996.09999999999991</v>
      </c>
      <c r="AH643" s="111">
        <f t="shared" si="187"/>
        <v>663.47942399999988</v>
      </c>
      <c r="AI643" s="127">
        <f t="shared" si="188"/>
        <v>996.09999999999991</v>
      </c>
      <c r="AJ643" s="37">
        <f t="shared" si="176"/>
        <v>6376.5999999999995</v>
      </c>
      <c r="AK643" s="37">
        <f t="shared" si="189"/>
        <v>23224.6</v>
      </c>
      <c r="AL643" s="37">
        <f t="shared" si="177"/>
        <v>9.7328593719008261</v>
      </c>
      <c r="AN643" s="37" t="str">
        <f t="shared" si="190"/>
        <v>Pallet</v>
      </c>
      <c r="AO643" s="194">
        <f t="shared" si="191"/>
        <v>24</v>
      </c>
    </row>
    <row r="644" spans="22:41" x14ac:dyDescent="0.2">
      <c r="V644" s="181">
        <f t="shared" si="178"/>
        <v>303</v>
      </c>
      <c r="W644" s="181">
        <f t="shared" si="179"/>
        <v>606</v>
      </c>
      <c r="X644" s="181">
        <f t="shared" si="180"/>
        <v>1</v>
      </c>
      <c r="Y644" s="37">
        <f t="shared" si="181"/>
        <v>1917.1</v>
      </c>
      <c r="Z644" s="181">
        <f t="shared" si="182"/>
        <v>501</v>
      </c>
      <c r="AA644" s="127">
        <f t="shared" si="183"/>
        <v>595.21331999999995</v>
      </c>
      <c r="AB644" s="127">
        <f t="shared" si="184"/>
        <v>595.21331999999995</v>
      </c>
      <c r="AC644" s="37">
        <f t="shared" si="173"/>
        <v>3971.2799199999999</v>
      </c>
      <c r="AD644" s="37">
        <f t="shared" si="185"/>
        <v>5888.3799199999994</v>
      </c>
      <c r="AE644" s="181">
        <f t="shared" si="174"/>
        <v>24</v>
      </c>
      <c r="AF644" s="37">
        <f t="shared" si="186"/>
        <v>16848</v>
      </c>
      <c r="AG644" s="181">
        <f t="shared" si="175"/>
        <v>996.59999999999991</v>
      </c>
      <c r="AH644" s="111">
        <f t="shared" si="187"/>
        <v>663.47942399999988</v>
      </c>
      <c r="AI644" s="127">
        <f t="shared" si="188"/>
        <v>996.59999999999991</v>
      </c>
      <c r="AJ644" s="37">
        <f t="shared" si="176"/>
        <v>6379.5999999999995</v>
      </c>
      <c r="AK644" s="37">
        <f t="shared" si="189"/>
        <v>23227.599999999999</v>
      </c>
      <c r="AL644" s="37">
        <f t="shared" si="177"/>
        <v>9.7167985478547845</v>
      </c>
      <c r="AN644" s="37" t="str">
        <f t="shared" si="190"/>
        <v>Pallet</v>
      </c>
      <c r="AO644" s="194">
        <f t="shared" si="191"/>
        <v>24</v>
      </c>
    </row>
    <row r="645" spans="22:41" x14ac:dyDescent="0.2">
      <c r="V645" s="181">
        <f t="shared" si="178"/>
        <v>303.5</v>
      </c>
      <c r="W645" s="181">
        <f t="shared" si="179"/>
        <v>607</v>
      </c>
      <c r="X645" s="181">
        <f t="shared" si="180"/>
        <v>1</v>
      </c>
      <c r="Y645" s="37">
        <f t="shared" si="181"/>
        <v>1917.1</v>
      </c>
      <c r="Z645" s="181">
        <f t="shared" si="182"/>
        <v>501.5</v>
      </c>
      <c r="AA645" s="127">
        <f t="shared" si="183"/>
        <v>595.21331999999995</v>
      </c>
      <c r="AB645" s="127">
        <f t="shared" si="184"/>
        <v>595.21331999999995</v>
      </c>
      <c r="AC645" s="37">
        <f t="shared" si="173"/>
        <v>3971.2799199999999</v>
      </c>
      <c r="AD645" s="37">
        <f t="shared" si="185"/>
        <v>5888.3799199999994</v>
      </c>
      <c r="AE645" s="181">
        <f t="shared" si="174"/>
        <v>24</v>
      </c>
      <c r="AF645" s="37">
        <f t="shared" si="186"/>
        <v>16848</v>
      </c>
      <c r="AG645" s="181">
        <f t="shared" si="175"/>
        <v>997.09999999999991</v>
      </c>
      <c r="AH645" s="111">
        <f t="shared" si="187"/>
        <v>663.47942399999988</v>
      </c>
      <c r="AI645" s="127">
        <f t="shared" si="188"/>
        <v>997.09999999999991</v>
      </c>
      <c r="AJ645" s="37">
        <f t="shared" si="176"/>
        <v>6382.5999999999995</v>
      </c>
      <c r="AK645" s="37">
        <f t="shared" si="189"/>
        <v>23230.6</v>
      </c>
      <c r="AL645" s="37">
        <f t="shared" si="177"/>
        <v>9.700790642504117</v>
      </c>
      <c r="AN645" s="37" t="str">
        <f t="shared" si="190"/>
        <v>Pallet</v>
      </c>
      <c r="AO645" s="194">
        <f t="shared" si="191"/>
        <v>24</v>
      </c>
    </row>
    <row r="646" spans="22:41" x14ac:dyDescent="0.2">
      <c r="V646" s="181">
        <f t="shared" si="178"/>
        <v>304</v>
      </c>
      <c r="W646" s="181">
        <f t="shared" si="179"/>
        <v>608</v>
      </c>
      <c r="X646" s="181">
        <f t="shared" si="180"/>
        <v>1</v>
      </c>
      <c r="Y646" s="37">
        <f t="shared" si="181"/>
        <v>1917.1</v>
      </c>
      <c r="Z646" s="181">
        <f t="shared" si="182"/>
        <v>502</v>
      </c>
      <c r="AA646" s="127">
        <f t="shared" si="183"/>
        <v>595.21331999999995</v>
      </c>
      <c r="AB646" s="127">
        <f t="shared" si="184"/>
        <v>595.21331999999995</v>
      </c>
      <c r="AC646" s="37">
        <f t="shared" si="173"/>
        <v>3971.2799199999999</v>
      </c>
      <c r="AD646" s="37">
        <f t="shared" si="185"/>
        <v>5888.3799199999994</v>
      </c>
      <c r="AE646" s="181">
        <f t="shared" si="174"/>
        <v>24</v>
      </c>
      <c r="AF646" s="37">
        <f t="shared" si="186"/>
        <v>16848</v>
      </c>
      <c r="AG646" s="181">
        <f t="shared" si="175"/>
        <v>997.59999999999991</v>
      </c>
      <c r="AH646" s="111">
        <f t="shared" si="187"/>
        <v>663.47942399999988</v>
      </c>
      <c r="AI646" s="127">
        <f t="shared" si="188"/>
        <v>997.59999999999991</v>
      </c>
      <c r="AJ646" s="37">
        <f t="shared" si="176"/>
        <v>6385.5999999999995</v>
      </c>
      <c r="AK646" s="37">
        <f t="shared" si="189"/>
        <v>23233.599999999999</v>
      </c>
      <c r="AL646" s="37">
        <f t="shared" si="177"/>
        <v>9.684835394736842</v>
      </c>
      <c r="AN646" s="37" t="str">
        <f t="shared" si="190"/>
        <v>Pallet</v>
      </c>
      <c r="AO646" s="194">
        <f t="shared" si="191"/>
        <v>24</v>
      </c>
    </row>
    <row r="647" spans="22:41" x14ac:dyDescent="0.2">
      <c r="V647" s="181">
        <f t="shared" si="178"/>
        <v>304.5</v>
      </c>
      <c r="W647" s="181">
        <f t="shared" si="179"/>
        <v>609</v>
      </c>
      <c r="X647" s="181">
        <f t="shared" si="180"/>
        <v>1</v>
      </c>
      <c r="Y647" s="37">
        <f t="shared" si="181"/>
        <v>1917.1</v>
      </c>
      <c r="Z647" s="181">
        <f t="shared" si="182"/>
        <v>502.5</v>
      </c>
      <c r="AA647" s="127">
        <f t="shared" si="183"/>
        <v>595.21331999999995</v>
      </c>
      <c r="AB647" s="127">
        <f t="shared" si="184"/>
        <v>595.21331999999995</v>
      </c>
      <c r="AC647" s="37">
        <f t="shared" si="173"/>
        <v>3971.2799199999999</v>
      </c>
      <c r="AD647" s="37">
        <f t="shared" si="185"/>
        <v>5888.3799199999994</v>
      </c>
      <c r="AE647" s="181">
        <f t="shared" si="174"/>
        <v>24</v>
      </c>
      <c r="AF647" s="37">
        <f t="shared" si="186"/>
        <v>16848</v>
      </c>
      <c r="AG647" s="181">
        <f t="shared" si="175"/>
        <v>998.09999999999991</v>
      </c>
      <c r="AH647" s="111">
        <f t="shared" si="187"/>
        <v>663.47942399999988</v>
      </c>
      <c r="AI647" s="127">
        <f t="shared" si="188"/>
        <v>998.09999999999991</v>
      </c>
      <c r="AJ647" s="37">
        <f t="shared" si="176"/>
        <v>6388.5999999999995</v>
      </c>
      <c r="AK647" s="37">
        <f t="shared" si="189"/>
        <v>23236.6</v>
      </c>
      <c r="AL647" s="37">
        <f t="shared" si="177"/>
        <v>9.6689325451559931</v>
      </c>
      <c r="AN647" s="37" t="str">
        <f t="shared" si="190"/>
        <v>Pallet</v>
      </c>
      <c r="AO647" s="194">
        <f t="shared" si="191"/>
        <v>24</v>
      </c>
    </row>
    <row r="648" spans="22:41" x14ac:dyDescent="0.2">
      <c r="V648" s="181">
        <f t="shared" si="178"/>
        <v>305</v>
      </c>
      <c r="W648" s="181">
        <f t="shared" si="179"/>
        <v>610</v>
      </c>
      <c r="X648" s="181">
        <f t="shared" si="180"/>
        <v>1</v>
      </c>
      <c r="Y648" s="37">
        <f t="shared" si="181"/>
        <v>1917.1</v>
      </c>
      <c r="Z648" s="181">
        <f t="shared" si="182"/>
        <v>503</v>
      </c>
      <c r="AA648" s="127">
        <f t="shared" si="183"/>
        <v>595.21331999999995</v>
      </c>
      <c r="AB648" s="127">
        <f t="shared" si="184"/>
        <v>595.21331999999995</v>
      </c>
      <c r="AC648" s="37">
        <f t="shared" si="173"/>
        <v>3971.2799199999999</v>
      </c>
      <c r="AD648" s="37">
        <f t="shared" si="185"/>
        <v>5888.3799199999994</v>
      </c>
      <c r="AE648" s="181">
        <f t="shared" si="174"/>
        <v>24</v>
      </c>
      <c r="AF648" s="37">
        <f t="shared" si="186"/>
        <v>16848</v>
      </c>
      <c r="AG648" s="181">
        <f t="shared" si="175"/>
        <v>998.59999999999991</v>
      </c>
      <c r="AH648" s="111">
        <f t="shared" si="187"/>
        <v>663.47942399999988</v>
      </c>
      <c r="AI648" s="127">
        <f t="shared" si="188"/>
        <v>998.59999999999991</v>
      </c>
      <c r="AJ648" s="37">
        <f t="shared" si="176"/>
        <v>6391.5999999999995</v>
      </c>
      <c r="AK648" s="37">
        <f t="shared" si="189"/>
        <v>23239.599999999999</v>
      </c>
      <c r="AL648" s="37">
        <f t="shared" si="177"/>
        <v>9.6530818360655726</v>
      </c>
      <c r="AN648" s="37" t="str">
        <f t="shared" si="190"/>
        <v>Pallet</v>
      </c>
      <c r="AO648" s="194">
        <f t="shared" si="191"/>
        <v>24</v>
      </c>
    </row>
    <row r="649" spans="22:41" x14ac:dyDescent="0.2">
      <c r="V649" s="181">
        <f t="shared" si="178"/>
        <v>305.5</v>
      </c>
      <c r="W649" s="181">
        <f t="shared" si="179"/>
        <v>611</v>
      </c>
      <c r="X649" s="181">
        <f t="shared" si="180"/>
        <v>1</v>
      </c>
      <c r="Y649" s="37">
        <f t="shared" si="181"/>
        <v>1917.1</v>
      </c>
      <c r="Z649" s="181">
        <f t="shared" si="182"/>
        <v>503.5</v>
      </c>
      <c r="AA649" s="127">
        <f t="shared" si="183"/>
        <v>595.21331999999995</v>
      </c>
      <c r="AB649" s="127">
        <f t="shared" si="184"/>
        <v>595.21331999999995</v>
      </c>
      <c r="AC649" s="37">
        <f t="shared" si="173"/>
        <v>3971.2799199999999</v>
      </c>
      <c r="AD649" s="37">
        <f t="shared" si="185"/>
        <v>5888.3799199999994</v>
      </c>
      <c r="AE649" s="181">
        <f t="shared" si="174"/>
        <v>24</v>
      </c>
      <c r="AF649" s="37">
        <f t="shared" si="186"/>
        <v>16848</v>
      </c>
      <c r="AG649" s="181">
        <f t="shared" si="175"/>
        <v>999.09999999999991</v>
      </c>
      <c r="AH649" s="111">
        <f t="shared" si="187"/>
        <v>663.47942399999988</v>
      </c>
      <c r="AI649" s="127">
        <f t="shared" si="188"/>
        <v>999.09999999999991</v>
      </c>
      <c r="AJ649" s="37">
        <f t="shared" si="176"/>
        <v>6394.5999999999995</v>
      </c>
      <c r="AK649" s="37">
        <f t="shared" si="189"/>
        <v>23242.6</v>
      </c>
      <c r="AL649" s="37">
        <f t="shared" si="177"/>
        <v>9.6372830114566277</v>
      </c>
      <c r="AN649" s="37" t="str">
        <f t="shared" si="190"/>
        <v>Pallet</v>
      </c>
      <c r="AO649" s="194">
        <f t="shared" si="191"/>
        <v>24</v>
      </c>
    </row>
    <row r="650" spans="22:41" x14ac:dyDescent="0.2">
      <c r="V650" s="181">
        <f t="shared" si="178"/>
        <v>306</v>
      </c>
      <c r="W650" s="181">
        <f t="shared" si="179"/>
        <v>612</v>
      </c>
      <c r="X650" s="181">
        <f t="shared" si="180"/>
        <v>1</v>
      </c>
      <c r="Y650" s="37">
        <f t="shared" si="181"/>
        <v>1917.1</v>
      </c>
      <c r="Z650" s="181">
        <f t="shared" si="182"/>
        <v>504</v>
      </c>
      <c r="AA650" s="127">
        <f t="shared" si="183"/>
        <v>595.21331999999995</v>
      </c>
      <c r="AB650" s="127">
        <f t="shared" si="184"/>
        <v>595.21331999999995</v>
      </c>
      <c r="AC650" s="37">
        <f t="shared" si="173"/>
        <v>3971.2799199999999</v>
      </c>
      <c r="AD650" s="37">
        <f t="shared" si="185"/>
        <v>5888.3799199999994</v>
      </c>
      <c r="AE650" s="181">
        <f t="shared" si="174"/>
        <v>24</v>
      </c>
      <c r="AF650" s="37">
        <f t="shared" si="186"/>
        <v>16848</v>
      </c>
      <c r="AG650" s="181">
        <f t="shared" si="175"/>
        <v>999.59999999999991</v>
      </c>
      <c r="AH650" s="111">
        <f t="shared" si="187"/>
        <v>663.47942399999988</v>
      </c>
      <c r="AI650" s="127">
        <f t="shared" si="188"/>
        <v>999.59999999999991</v>
      </c>
      <c r="AJ650" s="37">
        <f t="shared" si="176"/>
        <v>6397.5999999999995</v>
      </c>
      <c r="AK650" s="37">
        <f t="shared" si="189"/>
        <v>23245.599999999999</v>
      </c>
      <c r="AL650" s="37">
        <f t="shared" si="177"/>
        <v>9.6215358169934628</v>
      </c>
      <c r="AN650" s="37" t="str">
        <f t="shared" si="190"/>
        <v>Pallet</v>
      </c>
      <c r="AO650" s="194">
        <f t="shared" si="191"/>
        <v>24</v>
      </c>
    </row>
    <row r="651" spans="22:41" x14ac:dyDescent="0.2">
      <c r="V651" s="181">
        <f t="shared" si="178"/>
        <v>306.5</v>
      </c>
      <c r="W651" s="181">
        <f t="shared" si="179"/>
        <v>613</v>
      </c>
      <c r="X651" s="181">
        <f t="shared" si="180"/>
        <v>1</v>
      </c>
      <c r="Y651" s="37">
        <f t="shared" si="181"/>
        <v>1917.1</v>
      </c>
      <c r="Z651" s="181">
        <f t="shared" si="182"/>
        <v>504.5</v>
      </c>
      <c r="AA651" s="127">
        <f t="shared" si="183"/>
        <v>595.21331999999995</v>
      </c>
      <c r="AB651" s="127">
        <f t="shared" si="184"/>
        <v>595.21331999999995</v>
      </c>
      <c r="AC651" s="37">
        <f t="shared" si="173"/>
        <v>3971.2799199999999</v>
      </c>
      <c r="AD651" s="37">
        <f t="shared" si="185"/>
        <v>5888.3799199999994</v>
      </c>
      <c r="AE651" s="181">
        <f t="shared" si="174"/>
        <v>24</v>
      </c>
      <c r="AF651" s="37">
        <f t="shared" si="186"/>
        <v>16848</v>
      </c>
      <c r="AG651" s="181">
        <f t="shared" si="175"/>
        <v>1000.0999999999999</v>
      </c>
      <c r="AH651" s="111">
        <f t="shared" si="187"/>
        <v>663.47942399999988</v>
      </c>
      <c r="AI651" s="127">
        <f t="shared" si="188"/>
        <v>1000.0999999999999</v>
      </c>
      <c r="AJ651" s="37">
        <f t="shared" si="176"/>
        <v>6400.5999999999995</v>
      </c>
      <c r="AK651" s="37">
        <f t="shared" si="189"/>
        <v>23248.6</v>
      </c>
      <c r="AL651" s="37">
        <f t="shared" si="177"/>
        <v>9.6058399999999988</v>
      </c>
      <c r="AN651" s="37" t="str">
        <f t="shared" si="190"/>
        <v>Pallet</v>
      </c>
      <c r="AO651" s="194">
        <f t="shared" si="191"/>
        <v>24</v>
      </c>
    </row>
    <row r="652" spans="22:41" x14ac:dyDescent="0.2">
      <c r="V652" s="181">
        <f t="shared" si="178"/>
        <v>307</v>
      </c>
      <c r="W652" s="181">
        <f t="shared" si="179"/>
        <v>614</v>
      </c>
      <c r="X652" s="181">
        <f t="shared" si="180"/>
        <v>1</v>
      </c>
      <c r="Y652" s="37">
        <f t="shared" si="181"/>
        <v>1917.1</v>
      </c>
      <c r="Z652" s="181">
        <f t="shared" si="182"/>
        <v>505</v>
      </c>
      <c r="AA652" s="127">
        <f t="shared" si="183"/>
        <v>595.21331999999995</v>
      </c>
      <c r="AB652" s="127">
        <f t="shared" si="184"/>
        <v>595.21331999999995</v>
      </c>
      <c r="AC652" s="37">
        <f t="shared" si="173"/>
        <v>3971.2799199999999</v>
      </c>
      <c r="AD652" s="37">
        <f t="shared" si="185"/>
        <v>5888.3799199999994</v>
      </c>
      <c r="AE652" s="181">
        <f t="shared" si="174"/>
        <v>24</v>
      </c>
      <c r="AF652" s="37">
        <f t="shared" si="186"/>
        <v>16848</v>
      </c>
      <c r="AG652" s="181">
        <f t="shared" si="175"/>
        <v>1000.5999999999999</v>
      </c>
      <c r="AH652" s="111">
        <f t="shared" si="187"/>
        <v>663.47942399999988</v>
      </c>
      <c r="AI652" s="127">
        <f t="shared" si="188"/>
        <v>1000.5999999999999</v>
      </c>
      <c r="AJ652" s="37">
        <f t="shared" si="176"/>
        <v>6403.5999999999995</v>
      </c>
      <c r="AK652" s="37">
        <f t="shared" si="189"/>
        <v>23251.599999999999</v>
      </c>
      <c r="AL652" s="37">
        <f t="shared" si="177"/>
        <v>9.5901953094462531</v>
      </c>
      <c r="AN652" s="37" t="str">
        <f t="shared" si="190"/>
        <v>Pallet</v>
      </c>
      <c r="AO652" s="194">
        <f t="shared" si="191"/>
        <v>24</v>
      </c>
    </row>
    <row r="653" spans="22:41" x14ac:dyDescent="0.2">
      <c r="V653" s="181">
        <f t="shared" si="178"/>
        <v>307.5</v>
      </c>
      <c r="W653" s="181">
        <f t="shared" si="179"/>
        <v>615</v>
      </c>
      <c r="X653" s="181">
        <f t="shared" si="180"/>
        <v>1</v>
      </c>
      <c r="Y653" s="37">
        <f t="shared" si="181"/>
        <v>1917.1</v>
      </c>
      <c r="Z653" s="181">
        <f t="shared" si="182"/>
        <v>505.5</v>
      </c>
      <c r="AA653" s="127">
        <f t="shared" si="183"/>
        <v>595.21331999999995</v>
      </c>
      <c r="AB653" s="127">
        <f t="shared" si="184"/>
        <v>595.21331999999995</v>
      </c>
      <c r="AC653" s="37">
        <f t="shared" si="173"/>
        <v>3971.2799199999999</v>
      </c>
      <c r="AD653" s="37">
        <f t="shared" si="185"/>
        <v>5888.3799199999994</v>
      </c>
      <c r="AE653" s="181">
        <f t="shared" si="174"/>
        <v>24</v>
      </c>
      <c r="AF653" s="37">
        <f t="shared" si="186"/>
        <v>16848</v>
      </c>
      <c r="AG653" s="181">
        <f t="shared" si="175"/>
        <v>1001.0999999999999</v>
      </c>
      <c r="AH653" s="111">
        <f t="shared" si="187"/>
        <v>663.47942399999988</v>
      </c>
      <c r="AI653" s="127">
        <f t="shared" si="188"/>
        <v>1001.0999999999999</v>
      </c>
      <c r="AJ653" s="37">
        <f t="shared" si="176"/>
        <v>6406.5999999999995</v>
      </c>
      <c r="AK653" s="37">
        <f t="shared" si="189"/>
        <v>23254.6</v>
      </c>
      <c r="AL653" s="37">
        <f t="shared" si="177"/>
        <v>9.5746014959349584</v>
      </c>
      <c r="AN653" s="37" t="str">
        <f t="shared" si="190"/>
        <v>Pallet</v>
      </c>
      <c r="AO653" s="194">
        <f t="shared" si="191"/>
        <v>24</v>
      </c>
    </row>
    <row r="654" spans="22:41" x14ac:dyDescent="0.2">
      <c r="V654" s="181">
        <f t="shared" si="178"/>
        <v>308</v>
      </c>
      <c r="W654" s="181">
        <f t="shared" si="179"/>
        <v>616</v>
      </c>
      <c r="X654" s="181">
        <f t="shared" si="180"/>
        <v>1</v>
      </c>
      <c r="Y654" s="37">
        <f t="shared" si="181"/>
        <v>1917.1</v>
      </c>
      <c r="Z654" s="181">
        <f t="shared" si="182"/>
        <v>506</v>
      </c>
      <c r="AA654" s="127">
        <f t="shared" si="183"/>
        <v>595.21331999999995</v>
      </c>
      <c r="AB654" s="127">
        <f t="shared" si="184"/>
        <v>595.21331999999995</v>
      </c>
      <c r="AC654" s="37">
        <f t="shared" si="173"/>
        <v>3971.2799199999999</v>
      </c>
      <c r="AD654" s="37">
        <f t="shared" si="185"/>
        <v>5888.3799199999994</v>
      </c>
      <c r="AE654" s="181">
        <f t="shared" si="174"/>
        <v>24</v>
      </c>
      <c r="AF654" s="37">
        <f t="shared" si="186"/>
        <v>16848</v>
      </c>
      <c r="AG654" s="181">
        <f t="shared" si="175"/>
        <v>1001.5999999999999</v>
      </c>
      <c r="AH654" s="111">
        <f t="shared" si="187"/>
        <v>663.47942399999988</v>
      </c>
      <c r="AI654" s="127">
        <f t="shared" si="188"/>
        <v>1001.5999999999999</v>
      </c>
      <c r="AJ654" s="37">
        <f t="shared" si="176"/>
        <v>6409.5999999999995</v>
      </c>
      <c r="AK654" s="37">
        <f t="shared" si="189"/>
        <v>23257.599999999999</v>
      </c>
      <c r="AL654" s="37">
        <f t="shared" si="177"/>
        <v>9.559058311688311</v>
      </c>
      <c r="AN654" s="37" t="str">
        <f t="shared" si="190"/>
        <v>Pallet</v>
      </c>
      <c r="AO654" s="194">
        <f t="shared" si="191"/>
        <v>24</v>
      </c>
    </row>
    <row r="655" spans="22:41" x14ac:dyDescent="0.2">
      <c r="V655" s="181">
        <f t="shared" si="178"/>
        <v>308.5</v>
      </c>
      <c r="W655" s="181">
        <f t="shared" si="179"/>
        <v>617</v>
      </c>
      <c r="X655" s="181">
        <f t="shared" si="180"/>
        <v>1</v>
      </c>
      <c r="Y655" s="37">
        <f t="shared" si="181"/>
        <v>1917.1</v>
      </c>
      <c r="Z655" s="181">
        <f t="shared" si="182"/>
        <v>506.5</v>
      </c>
      <c r="AA655" s="127">
        <f t="shared" si="183"/>
        <v>595.21331999999995</v>
      </c>
      <c r="AB655" s="127">
        <f t="shared" si="184"/>
        <v>595.21331999999995</v>
      </c>
      <c r="AC655" s="37">
        <f t="shared" si="173"/>
        <v>3971.2799199999999</v>
      </c>
      <c r="AD655" s="37">
        <f t="shared" si="185"/>
        <v>5888.3799199999994</v>
      </c>
      <c r="AE655" s="181">
        <f t="shared" si="174"/>
        <v>24</v>
      </c>
      <c r="AF655" s="37">
        <f t="shared" si="186"/>
        <v>16848</v>
      </c>
      <c r="AG655" s="181">
        <f t="shared" si="175"/>
        <v>1002.0999999999999</v>
      </c>
      <c r="AH655" s="111">
        <f t="shared" si="187"/>
        <v>663.47942399999988</v>
      </c>
      <c r="AI655" s="127">
        <f t="shared" si="188"/>
        <v>1002.0999999999999</v>
      </c>
      <c r="AJ655" s="37">
        <f t="shared" si="176"/>
        <v>6412.5999999999995</v>
      </c>
      <c r="AK655" s="37">
        <f t="shared" si="189"/>
        <v>23260.6</v>
      </c>
      <c r="AL655" s="37">
        <f t="shared" si="177"/>
        <v>9.5435655105348456</v>
      </c>
      <c r="AN655" s="37" t="str">
        <f t="shared" si="190"/>
        <v>Pallet</v>
      </c>
      <c r="AO655" s="194">
        <f t="shared" si="191"/>
        <v>24</v>
      </c>
    </row>
    <row r="656" spans="22:41" x14ac:dyDescent="0.2">
      <c r="V656" s="181">
        <f t="shared" si="178"/>
        <v>309</v>
      </c>
      <c r="W656" s="181">
        <f t="shared" si="179"/>
        <v>618</v>
      </c>
      <c r="X656" s="181">
        <f t="shared" si="180"/>
        <v>1</v>
      </c>
      <c r="Y656" s="37">
        <f t="shared" si="181"/>
        <v>1917.1</v>
      </c>
      <c r="Z656" s="181">
        <f t="shared" si="182"/>
        <v>507</v>
      </c>
      <c r="AA656" s="127">
        <f t="shared" si="183"/>
        <v>595.21331999999995</v>
      </c>
      <c r="AB656" s="127">
        <f t="shared" si="184"/>
        <v>595.21331999999995</v>
      </c>
      <c r="AC656" s="37">
        <f t="shared" si="173"/>
        <v>3971.2799199999999</v>
      </c>
      <c r="AD656" s="37">
        <f t="shared" si="185"/>
        <v>5888.3799199999994</v>
      </c>
      <c r="AE656" s="181">
        <f t="shared" si="174"/>
        <v>24</v>
      </c>
      <c r="AF656" s="37">
        <f t="shared" si="186"/>
        <v>16848</v>
      </c>
      <c r="AG656" s="181">
        <f t="shared" si="175"/>
        <v>1002.5999999999999</v>
      </c>
      <c r="AH656" s="111">
        <f t="shared" si="187"/>
        <v>663.47942399999988</v>
      </c>
      <c r="AI656" s="127">
        <f t="shared" si="188"/>
        <v>1002.5999999999999</v>
      </c>
      <c r="AJ656" s="37">
        <f t="shared" si="176"/>
        <v>6415.5999999999995</v>
      </c>
      <c r="AK656" s="37">
        <f t="shared" si="189"/>
        <v>23263.599999999999</v>
      </c>
      <c r="AL656" s="37">
        <f t="shared" si="177"/>
        <v>9.528122847896439</v>
      </c>
      <c r="AN656" s="37" t="str">
        <f t="shared" si="190"/>
        <v>Pallet</v>
      </c>
      <c r="AO656" s="194">
        <f t="shared" si="191"/>
        <v>24</v>
      </c>
    </row>
    <row r="657" spans="22:41" x14ac:dyDescent="0.2">
      <c r="V657" s="181">
        <f t="shared" si="178"/>
        <v>309.5</v>
      </c>
      <c r="W657" s="181">
        <f t="shared" si="179"/>
        <v>619</v>
      </c>
      <c r="X657" s="181">
        <f t="shared" si="180"/>
        <v>1</v>
      </c>
      <c r="Y657" s="37">
        <f t="shared" si="181"/>
        <v>1917.1</v>
      </c>
      <c r="Z657" s="181">
        <f t="shared" si="182"/>
        <v>507.5</v>
      </c>
      <c r="AA657" s="127">
        <f t="shared" si="183"/>
        <v>595.21331999999995</v>
      </c>
      <c r="AB657" s="127">
        <f t="shared" si="184"/>
        <v>595.21331999999995</v>
      </c>
      <c r="AC657" s="37">
        <f t="shared" si="173"/>
        <v>3971.2799199999999</v>
      </c>
      <c r="AD657" s="37">
        <f t="shared" si="185"/>
        <v>5888.3799199999994</v>
      </c>
      <c r="AE657" s="181">
        <f t="shared" si="174"/>
        <v>24</v>
      </c>
      <c r="AF657" s="37">
        <f t="shared" si="186"/>
        <v>16848</v>
      </c>
      <c r="AG657" s="181">
        <f t="shared" si="175"/>
        <v>1003.0999999999999</v>
      </c>
      <c r="AH657" s="111">
        <f t="shared" si="187"/>
        <v>663.47942399999988</v>
      </c>
      <c r="AI657" s="127">
        <f t="shared" si="188"/>
        <v>1003.0999999999999</v>
      </c>
      <c r="AJ657" s="37">
        <f t="shared" si="176"/>
        <v>6418.5999999999995</v>
      </c>
      <c r="AK657" s="37">
        <f t="shared" si="189"/>
        <v>23266.6</v>
      </c>
      <c r="AL657" s="37">
        <f t="shared" si="177"/>
        <v>9.5127300807754427</v>
      </c>
      <c r="AN657" s="37" t="str">
        <f t="shared" si="190"/>
        <v>Pallet</v>
      </c>
      <c r="AO657" s="194">
        <f t="shared" si="191"/>
        <v>24</v>
      </c>
    </row>
    <row r="658" spans="22:41" x14ac:dyDescent="0.2">
      <c r="V658" s="181">
        <f t="shared" si="178"/>
        <v>310</v>
      </c>
      <c r="W658" s="181">
        <f t="shared" si="179"/>
        <v>620</v>
      </c>
      <c r="X658" s="181">
        <f t="shared" si="180"/>
        <v>1</v>
      </c>
      <c r="Y658" s="37">
        <f t="shared" si="181"/>
        <v>1917.1</v>
      </c>
      <c r="Z658" s="181">
        <f t="shared" si="182"/>
        <v>508</v>
      </c>
      <c r="AA658" s="127">
        <f t="shared" si="183"/>
        <v>595.21331999999995</v>
      </c>
      <c r="AB658" s="127">
        <f t="shared" si="184"/>
        <v>595.21331999999995</v>
      </c>
      <c r="AC658" s="37">
        <f t="shared" si="173"/>
        <v>3971.2799199999999</v>
      </c>
      <c r="AD658" s="37">
        <f t="shared" si="185"/>
        <v>5888.3799199999994</v>
      </c>
      <c r="AE658" s="181">
        <f t="shared" si="174"/>
        <v>25</v>
      </c>
      <c r="AF658" s="37">
        <f t="shared" si="186"/>
        <v>17550</v>
      </c>
      <c r="AG658" s="181">
        <f t="shared" si="175"/>
        <v>1032.5</v>
      </c>
      <c r="AH658" s="111">
        <f t="shared" si="187"/>
        <v>691.12439999999992</v>
      </c>
      <c r="AI658" s="127">
        <f t="shared" si="188"/>
        <v>1032.5</v>
      </c>
      <c r="AJ658" s="37">
        <f t="shared" si="176"/>
        <v>6595</v>
      </c>
      <c r="AK658" s="37">
        <f t="shared" si="189"/>
        <v>24145</v>
      </c>
      <c r="AL658" s="37">
        <f t="shared" si="177"/>
        <v>9.4973869677419351</v>
      </c>
      <c r="AN658" s="37" t="str">
        <f t="shared" si="190"/>
        <v>Pallet</v>
      </c>
      <c r="AO658" s="194">
        <f t="shared" si="191"/>
        <v>24</v>
      </c>
    </row>
    <row r="659" spans="22:41" x14ac:dyDescent="0.2">
      <c r="V659" s="181">
        <f t="shared" si="178"/>
        <v>310.5</v>
      </c>
      <c r="W659" s="181">
        <f t="shared" si="179"/>
        <v>621</v>
      </c>
      <c r="X659" s="181">
        <f t="shared" si="180"/>
        <v>1</v>
      </c>
      <c r="Y659" s="37">
        <f t="shared" si="181"/>
        <v>1917.1</v>
      </c>
      <c r="Z659" s="181">
        <f t="shared" si="182"/>
        <v>508.5</v>
      </c>
      <c r="AA659" s="127">
        <f t="shared" si="183"/>
        <v>595.21331999999995</v>
      </c>
      <c r="AB659" s="127">
        <f t="shared" si="184"/>
        <v>595.21331999999995</v>
      </c>
      <c r="AC659" s="37">
        <f t="shared" si="173"/>
        <v>3971.2799199999999</v>
      </c>
      <c r="AD659" s="37">
        <f t="shared" si="185"/>
        <v>5888.3799199999994</v>
      </c>
      <c r="AE659" s="181">
        <f t="shared" si="174"/>
        <v>25</v>
      </c>
      <c r="AF659" s="37">
        <f t="shared" si="186"/>
        <v>17550</v>
      </c>
      <c r="AG659" s="181">
        <f t="shared" si="175"/>
        <v>1033</v>
      </c>
      <c r="AH659" s="111">
        <f t="shared" si="187"/>
        <v>691.12439999999992</v>
      </c>
      <c r="AI659" s="127">
        <f t="shared" si="188"/>
        <v>1033</v>
      </c>
      <c r="AJ659" s="37">
        <f t="shared" si="176"/>
        <v>6598</v>
      </c>
      <c r="AK659" s="37">
        <f t="shared" si="189"/>
        <v>24148</v>
      </c>
      <c r="AL659" s="37">
        <f t="shared" si="177"/>
        <v>9.4820932689210942</v>
      </c>
      <c r="AN659" s="37" t="str">
        <f t="shared" si="190"/>
        <v>Pallet</v>
      </c>
      <c r="AO659" s="194">
        <f t="shared" si="191"/>
        <v>25</v>
      </c>
    </row>
    <row r="660" spans="22:41" x14ac:dyDescent="0.2">
      <c r="V660" s="181">
        <f t="shared" si="178"/>
        <v>311</v>
      </c>
      <c r="W660" s="181">
        <f t="shared" si="179"/>
        <v>622</v>
      </c>
      <c r="X660" s="181">
        <f t="shared" si="180"/>
        <v>1</v>
      </c>
      <c r="Y660" s="37">
        <f t="shared" si="181"/>
        <v>1917.1</v>
      </c>
      <c r="Z660" s="181">
        <f t="shared" si="182"/>
        <v>509</v>
      </c>
      <c r="AA660" s="127">
        <f t="shared" si="183"/>
        <v>595.21331999999995</v>
      </c>
      <c r="AB660" s="127">
        <f t="shared" si="184"/>
        <v>595.21331999999995</v>
      </c>
      <c r="AC660" s="37">
        <f t="shared" si="173"/>
        <v>3971.2799199999999</v>
      </c>
      <c r="AD660" s="37">
        <f t="shared" si="185"/>
        <v>5888.3799199999994</v>
      </c>
      <c r="AE660" s="181">
        <f t="shared" si="174"/>
        <v>25</v>
      </c>
      <c r="AF660" s="37">
        <f t="shared" si="186"/>
        <v>17550</v>
      </c>
      <c r="AG660" s="181">
        <f t="shared" si="175"/>
        <v>1033.5</v>
      </c>
      <c r="AH660" s="111">
        <f t="shared" si="187"/>
        <v>691.12439999999992</v>
      </c>
      <c r="AI660" s="127">
        <f t="shared" si="188"/>
        <v>1033.5</v>
      </c>
      <c r="AJ660" s="37">
        <f t="shared" si="176"/>
        <v>6601</v>
      </c>
      <c r="AK660" s="37">
        <f t="shared" si="189"/>
        <v>24151</v>
      </c>
      <c r="AL660" s="37">
        <f t="shared" si="177"/>
        <v>9.4668487459807071</v>
      </c>
      <c r="AN660" s="37" t="str">
        <f t="shared" si="190"/>
        <v>Pallet</v>
      </c>
      <c r="AO660" s="194">
        <f t="shared" si="191"/>
        <v>25</v>
      </c>
    </row>
    <row r="661" spans="22:41" x14ac:dyDescent="0.2">
      <c r="V661" s="181">
        <f t="shared" si="178"/>
        <v>311.5</v>
      </c>
      <c r="W661" s="181">
        <f t="shared" si="179"/>
        <v>623</v>
      </c>
      <c r="X661" s="181">
        <f t="shared" si="180"/>
        <v>1</v>
      </c>
      <c r="Y661" s="37">
        <f t="shared" si="181"/>
        <v>1917.1</v>
      </c>
      <c r="Z661" s="181">
        <f t="shared" si="182"/>
        <v>509.5</v>
      </c>
      <c r="AA661" s="127">
        <f t="shared" si="183"/>
        <v>595.21331999999995</v>
      </c>
      <c r="AB661" s="127">
        <f t="shared" si="184"/>
        <v>595.21331999999995</v>
      </c>
      <c r="AC661" s="37">
        <f t="shared" si="173"/>
        <v>3971.2799199999999</v>
      </c>
      <c r="AD661" s="37">
        <f t="shared" si="185"/>
        <v>5888.3799199999994</v>
      </c>
      <c r="AE661" s="181">
        <f t="shared" si="174"/>
        <v>25</v>
      </c>
      <c r="AF661" s="37">
        <f t="shared" si="186"/>
        <v>17550</v>
      </c>
      <c r="AG661" s="181">
        <f t="shared" si="175"/>
        <v>1034</v>
      </c>
      <c r="AH661" s="111">
        <f t="shared" si="187"/>
        <v>691.12439999999992</v>
      </c>
      <c r="AI661" s="127">
        <f t="shared" si="188"/>
        <v>1034</v>
      </c>
      <c r="AJ661" s="37">
        <f t="shared" si="176"/>
        <v>6604</v>
      </c>
      <c r="AK661" s="37">
        <f t="shared" si="189"/>
        <v>24154</v>
      </c>
      <c r="AL661" s="37">
        <f t="shared" si="177"/>
        <v>9.4516531621187792</v>
      </c>
      <c r="AN661" s="37" t="str">
        <f t="shared" si="190"/>
        <v>Pallet</v>
      </c>
      <c r="AO661" s="194">
        <f t="shared" si="191"/>
        <v>25</v>
      </c>
    </row>
    <row r="662" spans="22:41" x14ac:dyDescent="0.2">
      <c r="V662" s="181">
        <f t="shared" si="178"/>
        <v>312</v>
      </c>
      <c r="W662" s="181">
        <f t="shared" si="179"/>
        <v>624</v>
      </c>
      <c r="X662" s="181">
        <f t="shared" si="180"/>
        <v>1</v>
      </c>
      <c r="Y662" s="37">
        <f t="shared" si="181"/>
        <v>1917.1</v>
      </c>
      <c r="Z662" s="181">
        <f t="shared" si="182"/>
        <v>510</v>
      </c>
      <c r="AA662" s="127">
        <f t="shared" si="183"/>
        <v>595.21331999999995</v>
      </c>
      <c r="AB662" s="127">
        <f t="shared" si="184"/>
        <v>595.21331999999995</v>
      </c>
      <c r="AC662" s="37">
        <f t="shared" si="173"/>
        <v>3971.2799199999999</v>
      </c>
      <c r="AD662" s="37">
        <f t="shared" si="185"/>
        <v>5888.3799199999994</v>
      </c>
      <c r="AE662" s="181">
        <f t="shared" si="174"/>
        <v>25</v>
      </c>
      <c r="AF662" s="37">
        <f t="shared" si="186"/>
        <v>17550</v>
      </c>
      <c r="AG662" s="181">
        <f t="shared" si="175"/>
        <v>1034.5</v>
      </c>
      <c r="AH662" s="111">
        <f t="shared" si="187"/>
        <v>691.12439999999992</v>
      </c>
      <c r="AI662" s="127">
        <f t="shared" si="188"/>
        <v>1034.5</v>
      </c>
      <c r="AJ662" s="37">
        <f t="shared" si="176"/>
        <v>6607</v>
      </c>
      <c r="AK662" s="37">
        <f t="shared" si="189"/>
        <v>24157</v>
      </c>
      <c r="AL662" s="37">
        <f t="shared" si="177"/>
        <v>9.4365062820512815</v>
      </c>
      <c r="AN662" s="37" t="str">
        <f t="shared" si="190"/>
        <v>Pallet</v>
      </c>
      <c r="AO662" s="194">
        <f t="shared" si="191"/>
        <v>25</v>
      </c>
    </row>
    <row r="663" spans="22:41" x14ac:dyDescent="0.2">
      <c r="V663" s="181">
        <f t="shared" si="178"/>
        <v>312.5</v>
      </c>
      <c r="W663" s="181">
        <f t="shared" si="179"/>
        <v>625</v>
      </c>
      <c r="X663" s="181">
        <f t="shared" si="180"/>
        <v>1</v>
      </c>
      <c r="Y663" s="37">
        <f t="shared" si="181"/>
        <v>1917.1</v>
      </c>
      <c r="Z663" s="181">
        <f t="shared" si="182"/>
        <v>510.5</v>
      </c>
      <c r="AA663" s="127">
        <f t="shared" si="183"/>
        <v>595.21331999999995</v>
      </c>
      <c r="AB663" s="127">
        <f t="shared" si="184"/>
        <v>595.21331999999995</v>
      </c>
      <c r="AC663" s="37">
        <f t="shared" si="173"/>
        <v>3971.2799199999999</v>
      </c>
      <c r="AD663" s="37">
        <f t="shared" si="185"/>
        <v>5888.3799199999994</v>
      </c>
      <c r="AE663" s="181">
        <f t="shared" si="174"/>
        <v>25</v>
      </c>
      <c r="AF663" s="37">
        <f t="shared" si="186"/>
        <v>17550</v>
      </c>
      <c r="AG663" s="181">
        <f t="shared" si="175"/>
        <v>1035</v>
      </c>
      <c r="AH663" s="111">
        <f t="shared" si="187"/>
        <v>691.12439999999992</v>
      </c>
      <c r="AI663" s="127">
        <f t="shared" si="188"/>
        <v>1035</v>
      </c>
      <c r="AJ663" s="37">
        <f t="shared" si="176"/>
        <v>6610</v>
      </c>
      <c r="AK663" s="37">
        <f t="shared" si="189"/>
        <v>24160</v>
      </c>
      <c r="AL663" s="37">
        <f t="shared" si="177"/>
        <v>9.4214078719999996</v>
      </c>
      <c r="AN663" s="37" t="str">
        <f t="shared" si="190"/>
        <v>Pallet</v>
      </c>
      <c r="AO663" s="194">
        <f t="shared" si="191"/>
        <v>25</v>
      </c>
    </row>
    <row r="664" spans="22:41" x14ac:dyDescent="0.2">
      <c r="V664" s="181">
        <f t="shared" si="178"/>
        <v>313</v>
      </c>
      <c r="W664" s="181">
        <f t="shared" si="179"/>
        <v>626</v>
      </c>
      <c r="X664" s="181">
        <f t="shared" si="180"/>
        <v>1</v>
      </c>
      <c r="Y664" s="37">
        <f t="shared" si="181"/>
        <v>1917.1</v>
      </c>
      <c r="Z664" s="181">
        <f t="shared" si="182"/>
        <v>511</v>
      </c>
      <c r="AA664" s="127">
        <f t="shared" si="183"/>
        <v>595.21331999999995</v>
      </c>
      <c r="AB664" s="127">
        <f t="shared" si="184"/>
        <v>595.21331999999995</v>
      </c>
      <c r="AC664" s="37">
        <f t="shared" si="173"/>
        <v>3971.2799199999999</v>
      </c>
      <c r="AD664" s="37">
        <f t="shared" si="185"/>
        <v>5888.3799199999994</v>
      </c>
      <c r="AE664" s="181">
        <f t="shared" si="174"/>
        <v>25</v>
      </c>
      <c r="AF664" s="37">
        <f t="shared" si="186"/>
        <v>17550</v>
      </c>
      <c r="AG664" s="181">
        <f t="shared" si="175"/>
        <v>1035.5</v>
      </c>
      <c r="AH664" s="111">
        <f t="shared" si="187"/>
        <v>691.12439999999992</v>
      </c>
      <c r="AI664" s="127">
        <f t="shared" si="188"/>
        <v>1035.5</v>
      </c>
      <c r="AJ664" s="37">
        <f t="shared" si="176"/>
        <v>6613</v>
      </c>
      <c r="AK664" s="37">
        <f t="shared" si="189"/>
        <v>24163</v>
      </c>
      <c r="AL664" s="37">
        <f t="shared" si="177"/>
        <v>9.4063576996805107</v>
      </c>
      <c r="AN664" s="37" t="str">
        <f t="shared" si="190"/>
        <v>Pallet</v>
      </c>
      <c r="AO664" s="194">
        <f t="shared" si="191"/>
        <v>25</v>
      </c>
    </row>
    <row r="665" spans="22:41" x14ac:dyDescent="0.2">
      <c r="V665" s="181">
        <f t="shared" si="178"/>
        <v>313.5</v>
      </c>
      <c r="W665" s="181">
        <f t="shared" si="179"/>
        <v>627</v>
      </c>
      <c r="X665" s="181">
        <f t="shared" si="180"/>
        <v>1</v>
      </c>
      <c r="Y665" s="37">
        <f t="shared" si="181"/>
        <v>1917.1</v>
      </c>
      <c r="Z665" s="181">
        <f t="shared" si="182"/>
        <v>511.5</v>
      </c>
      <c r="AA665" s="127">
        <f t="shared" si="183"/>
        <v>595.21331999999995</v>
      </c>
      <c r="AB665" s="127">
        <f t="shared" si="184"/>
        <v>595.21331999999995</v>
      </c>
      <c r="AC665" s="37">
        <f t="shared" si="173"/>
        <v>3971.2799199999999</v>
      </c>
      <c r="AD665" s="37">
        <f t="shared" si="185"/>
        <v>5888.3799199999994</v>
      </c>
      <c r="AE665" s="181">
        <f t="shared" si="174"/>
        <v>25</v>
      </c>
      <c r="AF665" s="37">
        <f t="shared" si="186"/>
        <v>17550</v>
      </c>
      <c r="AG665" s="181">
        <f t="shared" si="175"/>
        <v>1036</v>
      </c>
      <c r="AH665" s="111">
        <f t="shared" si="187"/>
        <v>691.12439999999992</v>
      </c>
      <c r="AI665" s="127">
        <f t="shared" si="188"/>
        <v>1036</v>
      </c>
      <c r="AJ665" s="37">
        <f t="shared" si="176"/>
        <v>6616</v>
      </c>
      <c r="AK665" s="37">
        <f t="shared" si="189"/>
        <v>24166</v>
      </c>
      <c r="AL665" s="37">
        <f t="shared" si="177"/>
        <v>9.3913555342902697</v>
      </c>
      <c r="AN665" s="37" t="str">
        <f t="shared" si="190"/>
        <v>Pallet</v>
      </c>
      <c r="AO665" s="194">
        <f t="shared" si="191"/>
        <v>25</v>
      </c>
    </row>
    <row r="666" spans="22:41" x14ac:dyDescent="0.2">
      <c r="V666" s="181">
        <f t="shared" si="178"/>
        <v>314</v>
      </c>
      <c r="W666" s="181">
        <f t="shared" si="179"/>
        <v>628</v>
      </c>
      <c r="X666" s="181">
        <f t="shared" si="180"/>
        <v>1</v>
      </c>
      <c r="Y666" s="37">
        <f t="shared" si="181"/>
        <v>1917.1</v>
      </c>
      <c r="Z666" s="181">
        <f t="shared" si="182"/>
        <v>512</v>
      </c>
      <c r="AA666" s="127">
        <f t="shared" si="183"/>
        <v>595.21331999999995</v>
      </c>
      <c r="AB666" s="127">
        <f t="shared" si="184"/>
        <v>595.21331999999995</v>
      </c>
      <c r="AC666" s="37">
        <f t="shared" si="173"/>
        <v>3971.2799199999999</v>
      </c>
      <c r="AD666" s="37">
        <f t="shared" si="185"/>
        <v>5888.3799199999994</v>
      </c>
      <c r="AE666" s="181">
        <f t="shared" si="174"/>
        <v>25</v>
      </c>
      <c r="AF666" s="37">
        <f t="shared" si="186"/>
        <v>17550</v>
      </c>
      <c r="AG666" s="181">
        <f t="shared" si="175"/>
        <v>1036.5</v>
      </c>
      <c r="AH666" s="111">
        <f t="shared" si="187"/>
        <v>691.12439999999992</v>
      </c>
      <c r="AI666" s="127">
        <f t="shared" si="188"/>
        <v>1036.5</v>
      </c>
      <c r="AJ666" s="37">
        <f t="shared" si="176"/>
        <v>6619</v>
      </c>
      <c r="AK666" s="37">
        <f t="shared" si="189"/>
        <v>24169</v>
      </c>
      <c r="AL666" s="37">
        <f t="shared" si="177"/>
        <v>9.3764011464968142</v>
      </c>
      <c r="AN666" s="37" t="str">
        <f t="shared" si="190"/>
        <v>Pallet</v>
      </c>
      <c r="AO666" s="194">
        <f t="shared" si="191"/>
        <v>25</v>
      </c>
    </row>
    <row r="667" spans="22:41" x14ac:dyDescent="0.2">
      <c r="V667" s="181">
        <f t="shared" si="178"/>
        <v>314.5</v>
      </c>
      <c r="W667" s="181">
        <f t="shared" si="179"/>
        <v>629</v>
      </c>
      <c r="X667" s="181">
        <f t="shared" si="180"/>
        <v>1</v>
      </c>
      <c r="Y667" s="37">
        <f t="shared" si="181"/>
        <v>1917.1</v>
      </c>
      <c r="Z667" s="181">
        <f t="shared" si="182"/>
        <v>512.5</v>
      </c>
      <c r="AA667" s="127">
        <f t="shared" si="183"/>
        <v>595.21331999999995</v>
      </c>
      <c r="AB667" s="127">
        <f t="shared" si="184"/>
        <v>595.21331999999995</v>
      </c>
      <c r="AC667" s="37">
        <f t="shared" si="173"/>
        <v>3971.2799199999999</v>
      </c>
      <c r="AD667" s="37">
        <f t="shared" si="185"/>
        <v>5888.3799199999994</v>
      </c>
      <c r="AE667" s="181">
        <f t="shared" si="174"/>
        <v>25</v>
      </c>
      <c r="AF667" s="37">
        <f t="shared" si="186"/>
        <v>17550</v>
      </c>
      <c r="AG667" s="181">
        <f t="shared" si="175"/>
        <v>1037</v>
      </c>
      <c r="AH667" s="111">
        <f t="shared" si="187"/>
        <v>691.12439999999992</v>
      </c>
      <c r="AI667" s="127">
        <f t="shared" si="188"/>
        <v>1037</v>
      </c>
      <c r="AJ667" s="37">
        <f t="shared" si="176"/>
        <v>6622</v>
      </c>
      <c r="AK667" s="37">
        <f t="shared" si="189"/>
        <v>24172</v>
      </c>
      <c r="AL667" s="37">
        <f t="shared" si="177"/>
        <v>9.3614943084260727</v>
      </c>
      <c r="AN667" s="37" t="str">
        <f t="shared" si="190"/>
        <v>Pallet</v>
      </c>
      <c r="AO667" s="194">
        <f t="shared" si="191"/>
        <v>25</v>
      </c>
    </row>
    <row r="668" spans="22:41" x14ac:dyDescent="0.2">
      <c r="V668" s="181">
        <f t="shared" si="178"/>
        <v>315</v>
      </c>
      <c r="W668" s="181">
        <f t="shared" si="179"/>
        <v>630</v>
      </c>
      <c r="X668" s="181">
        <f t="shared" si="180"/>
        <v>1</v>
      </c>
      <c r="Y668" s="37">
        <f t="shared" si="181"/>
        <v>1917.1</v>
      </c>
      <c r="Z668" s="181">
        <f t="shared" si="182"/>
        <v>513</v>
      </c>
      <c r="AA668" s="127">
        <f t="shared" si="183"/>
        <v>595.21331999999995</v>
      </c>
      <c r="AB668" s="127">
        <f t="shared" si="184"/>
        <v>595.21331999999995</v>
      </c>
      <c r="AC668" s="37">
        <f t="shared" si="173"/>
        <v>3971.2799199999999</v>
      </c>
      <c r="AD668" s="37">
        <f t="shared" si="185"/>
        <v>5888.3799199999994</v>
      </c>
      <c r="AE668" s="181">
        <f t="shared" si="174"/>
        <v>25</v>
      </c>
      <c r="AF668" s="37">
        <f t="shared" si="186"/>
        <v>17550</v>
      </c>
      <c r="AG668" s="181">
        <f t="shared" si="175"/>
        <v>1037.5</v>
      </c>
      <c r="AH668" s="111">
        <f t="shared" si="187"/>
        <v>691.12439999999992</v>
      </c>
      <c r="AI668" s="127">
        <f t="shared" si="188"/>
        <v>1037.5</v>
      </c>
      <c r="AJ668" s="37">
        <f t="shared" si="176"/>
        <v>6625</v>
      </c>
      <c r="AK668" s="37">
        <f t="shared" si="189"/>
        <v>24175</v>
      </c>
      <c r="AL668" s="37">
        <f t="shared" si="177"/>
        <v>9.346634793650793</v>
      </c>
      <c r="AN668" s="37" t="str">
        <f t="shared" si="190"/>
        <v>Pallet</v>
      </c>
      <c r="AO668" s="194">
        <f t="shared" si="191"/>
        <v>25</v>
      </c>
    </row>
    <row r="669" spans="22:41" x14ac:dyDescent="0.2">
      <c r="V669" s="181">
        <f t="shared" si="178"/>
        <v>315.5</v>
      </c>
      <c r="W669" s="181">
        <f t="shared" si="179"/>
        <v>631</v>
      </c>
      <c r="X669" s="181">
        <f t="shared" si="180"/>
        <v>1</v>
      </c>
      <c r="Y669" s="37">
        <f t="shared" si="181"/>
        <v>1917.1</v>
      </c>
      <c r="Z669" s="181">
        <f t="shared" si="182"/>
        <v>513.5</v>
      </c>
      <c r="AA669" s="127">
        <f t="shared" si="183"/>
        <v>595.21331999999995</v>
      </c>
      <c r="AB669" s="127">
        <f t="shared" si="184"/>
        <v>595.21331999999995</v>
      </c>
      <c r="AC669" s="37">
        <f t="shared" si="173"/>
        <v>3971.2799199999999</v>
      </c>
      <c r="AD669" s="37">
        <f t="shared" si="185"/>
        <v>5888.3799199999994</v>
      </c>
      <c r="AE669" s="181">
        <f t="shared" si="174"/>
        <v>25</v>
      </c>
      <c r="AF669" s="37">
        <f t="shared" si="186"/>
        <v>17550</v>
      </c>
      <c r="AG669" s="181">
        <f t="shared" si="175"/>
        <v>1038</v>
      </c>
      <c r="AH669" s="111">
        <f t="shared" si="187"/>
        <v>691.12439999999992</v>
      </c>
      <c r="AI669" s="127">
        <f t="shared" si="188"/>
        <v>1038</v>
      </c>
      <c r="AJ669" s="37">
        <f t="shared" si="176"/>
        <v>6628</v>
      </c>
      <c r="AK669" s="37">
        <f t="shared" si="189"/>
        <v>24178</v>
      </c>
      <c r="AL669" s="37">
        <f t="shared" si="177"/>
        <v>9.3318223771790798</v>
      </c>
      <c r="AN669" s="37" t="str">
        <f t="shared" si="190"/>
        <v>Pallet</v>
      </c>
      <c r="AO669" s="194">
        <f t="shared" si="191"/>
        <v>25</v>
      </c>
    </row>
    <row r="670" spans="22:41" x14ac:dyDescent="0.2">
      <c r="V670" s="181">
        <f t="shared" si="178"/>
        <v>316</v>
      </c>
      <c r="W670" s="181">
        <f t="shared" si="179"/>
        <v>632</v>
      </c>
      <c r="X670" s="181">
        <f t="shared" si="180"/>
        <v>1</v>
      </c>
      <c r="Y670" s="37">
        <f t="shared" si="181"/>
        <v>1917.1</v>
      </c>
      <c r="Z670" s="181">
        <f t="shared" si="182"/>
        <v>514</v>
      </c>
      <c r="AA670" s="127">
        <f t="shared" si="183"/>
        <v>595.21331999999995</v>
      </c>
      <c r="AB670" s="127">
        <f t="shared" si="184"/>
        <v>595.21331999999995</v>
      </c>
      <c r="AC670" s="37">
        <f t="shared" si="173"/>
        <v>3971.2799199999999</v>
      </c>
      <c r="AD670" s="37">
        <f t="shared" si="185"/>
        <v>5888.3799199999994</v>
      </c>
      <c r="AE670" s="181">
        <f t="shared" si="174"/>
        <v>25</v>
      </c>
      <c r="AF670" s="37">
        <f t="shared" si="186"/>
        <v>17550</v>
      </c>
      <c r="AG670" s="181">
        <f t="shared" si="175"/>
        <v>1038.5</v>
      </c>
      <c r="AH670" s="111">
        <f t="shared" si="187"/>
        <v>691.12439999999992</v>
      </c>
      <c r="AI670" s="127">
        <f t="shared" si="188"/>
        <v>1038.5</v>
      </c>
      <c r="AJ670" s="37">
        <f t="shared" si="176"/>
        <v>6631</v>
      </c>
      <c r="AK670" s="37">
        <f t="shared" si="189"/>
        <v>24181</v>
      </c>
      <c r="AL670" s="37">
        <f t="shared" si="177"/>
        <v>9.3170568354430365</v>
      </c>
      <c r="AN670" s="37" t="str">
        <f t="shared" si="190"/>
        <v>Pallet</v>
      </c>
      <c r="AO670" s="194">
        <f t="shared" si="191"/>
        <v>25</v>
      </c>
    </row>
    <row r="671" spans="22:41" x14ac:dyDescent="0.2">
      <c r="V671" s="181">
        <f t="shared" si="178"/>
        <v>316.5</v>
      </c>
      <c r="W671" s="181">
        <f t="shared" si="179"/>
        <v>633</v>
      </c>
      <c r="X671" s="181">
        <f t="shared" si="180"/>
        <v>1</v>
      </c>
      <c r="Y671" s="37">
        <f t="shared" si="181"/>
        <v>1917.1</v>
      </c>
      <c r="Z671" s="181">
        <f t="shared" si="182"/>
        <v>514.5</v>
      </c>
      <c r="AA671" s="127">
        <f t="shared" si="183"/>
        <v>595.21331999999995</v>
      </c>
      <c r="AB671" s="127">
        <f t="shared" si="184"/>
        <v>595.21331999999995</v>
      </c>
      <c r="AC671" s="37">
        <f t="shared" si="173"/>
        <v>3971.2799199999999</v>
      </c>
      <c r="AD671" s="37">
        <f t="shared" si="185"/>
        <v>5888.3799199999994</v>
      </c>
      <c r="AE671" s="181">
        <f t="shared" si="174"/>
        <v>25</v>
      </c>
      <c r="AF671" s="37">
        <f t="shared" si="186"/>
        <v>17550</v>
      </c>
      <c r="AG671" s="181">
        <f t="shared" si="175"/>
        <v>1039</v>
      </c>
      <c r="AH671" s="111">
        <f t="shared" si="187"/>
        <v>691.12439999999992</v>
      </c>
      <c r="AI671" s="127">
        <f t="shared" si="188"/>
        <v>1039</v>
      </c>
      <c r="AJ671" s="37">
        <f t="shared" si="176"/>
        <v>6634</v>
      </c>
      <c r="AK671" s="37">
        <f t="shared" si="189"/>
        <v>24184</v>
      </c>
      <c r="AL671" s="37">
        <f t="shared" si="177"/>
        <v>9.3023379462875191</v>
      </c>
      <c r="AN671" s="37" t="str">
        <f t="shared" si="190"/>
        <v>Pallet</v>
      </c>
      <c r="AO671" s="194">
        <f t="shared" si="191"/>
        <v>25</v>
      </c>
    </row>
    <row r="672" spans="22:41" x14ac:dyDescent="0.2">
      <c r="V672" s="181">
        <f t="shared" si="178"/>
        <v>317</v>
      </c>
      <c r="W672" s="181">
        <f t="shared" si="179"/>
        <v>634</v>
      </c>
      <c r="X672" s="181">
        <f t="shared" si="180"/>
        <v>1</v>
      </c>
      <c r="Y672" s="37">
        <f t="shared" si="181"/>
        <v>1917.1</v>
      </c>
      <c r="Z672" s="181">
        <f t="shared" si="182"/>
        <v>515</v>
      </c>
      <c r="AA672" s="127">
        <f t="shared" si="183"/>
        <v>595.21331999999995</v>
      </c>
      <c r="AB672" s="127">
        <f t="shared" si="184"/>
        <v>595.21331999999995</v>
      </c>
      <c r="AC672" s="37">
        <f t="shared" si="173"/>
        <v>3971.2799199999999</v>
      </c>
      <c r="AD672" s="37">
        <f t="shared" si="185"/>
        <v>5888.3799199999994</v>
      </c>
      <c r="AE672" s="181">
        <f t="shared" si="174"/>
        <v>25</v>
      </c>
      <c r="AF672" s="37">
        <f t="shared" si="186"/>
        <v>17550</v>
      </c>
      <c r="AG672" s="181">
        <f t="shared" si="175"/>
        <v>1039.5</v>
      </c>
      <c r="AH672" s="111">
        <f t="shared" si="187"/>
        <v>691.12439999999992</v>
      </c>
      <c r="AI672" s="127">
        <f t="shared" si="188"/>
        <v>1039.5</v>
      </c>
      <c r="AJ672" s="37">
        <f t="shared" si="176"/>
        <v>6637</v>
      </c>
      <c r="AK672" s="37">
        <f t="shared" si="189"/>
        <v>24187</v>
      </c>
      <c r="AL672" s="37">
        <f t="shared" si="177"/>
        <v>9.2876654889589894</v>
      </c>
      <c r="AN672" s="37" t="str">
        <f t="shared" si="190"/>
        <v>Pallet</v>
      </c>
      <c r="AO672" s="194">
        <f t="shared" si="191"/>
        <v>25</v>
      </c>
    </row>
    <row r="673" spans="22:41" x14ac:dyDescent="0.2">
      <c r="V673" s="181">
        <f t="shared" si="178"/>
        <v>317.5</v>
      </c>
      <c r="W673" s="181">
        <f t="shared" si="179"/>
        <v>635</v>
      </c>
      <c r="X673" s="181">
        <f t="shared" si="180"/>
        <v>1</v>
      </c>
      <c r="Y673" s="37">
        <f t="shared" si="181"/>
        <v>1917.1</v>
      </c>
      <c r="Z673" s="181">
        <f t="shared" si="182"/>
        <v>515.5</v>
      </c>
      <c r="AA673" s="127">
        <f t="shared" si="183"/>
        <v>595.21331999999995</v>
      </c>
      <c r="AB673" s="127">
        <f t="shared" si="184"/>
        <v>595.21331999999995</v>
      </c>
      <c r="AC673" s="37">
        <f t="shared" si="173"/>
        <v>3971.2799199999999</v>
      </c>
      <c r="AD673" s="37">
        <f t="shared" si="185"/>
        <v>5888.3799199999994</v>
      </c>
      <c r="AE673" s="181">
        <f t="shared" si="174"/>
        <v>25</v>
      </c>
      <c r="AF673" s="37">
        <f t="shared" si="186"/>
        <v>17550</v>
      </c>
      <c r="AG673" s="181">
        <f t="shared" si="175"/>
        <v>1040</v>
      </c>
      <c r="AH673" s="111">
        <f t="shared" si="187"/>
        <v>691.12439999999992</v>
      </c>
      <c r="AI673" s="127">
        <f t="shared" si="188"/>
        <v>1040</v>
      </c>
      <c r="AJ673" s="37">
        <f t="shared" si="176"/>
        <v>6640</v>
      </c>
      <c r="AK673" s="37">
        <f t="shared" si="189"/>
        <v>24190</v>
      </c>
      <c r="AL673" s="37">
        <f t="shared" si="177"/>
        <v>9.2730392440944875</v>
      </c>
      <c r="AN673" s="37" t="str">
        <f t="shared" si="190"/>
        <v>Pallet</v>
      </c>
      <c r="AO673" s="194">
        <f t="shared" si="191"/>
        <v>25</v>
      </c>
    </row>
    <row r="674" spans="22:41" x14ac:dyDescent="0.2">
      <c r="V674" s="181">
        <f t="shared" si="178"/>
        <v>318</v>
      </c>
      <c r="W674" s="181">
        <f t="shared" si="179"/>
        <v>636</v>
      </c>
      <c r="X674" s="181">
        <f t="shared" si="180"/>
        <v>1</v>
      </c>
      <c r="Y674" s="37">
        <f t="shared" si="181"/>
        <v>1917.1</v>
      </c>
      <c r="Z674" s="181">
        <f t="shared" si="182"/>
        <v>516</v>
      </c>
      <c r="AA674" s="127">
        <f t="shared" si="183"/>
        <v>595.21331999999995</v>
      </c>
      <c r="AB674" s="127">
        <f t="shared" si="184"/>
        <v>595.21331999999995</v>
      </c>
      <c r="AC674" s="37">
        <f t="shared" si="173"/>
        <v>3971.2799199999999</v>
      </c>
      <c r="AD674" s="37">
        <f t="shared" si="185"/>
        <v>5888.3799199999994</v>
      </c>
      <c r="AE674" s="181">
        <f t="shared" si="174"/>
        <v>25</v>
      </c>
      <c r="AF674" s="37">
        <f t="shared" si="186"/>
        <v>17550</v>
      </c>
      <c r="AG674" s="181">
        <f t="shared" si="175"/>
        <v>1040.5</v>
      </c>
      <c r="AH674" s="111">
        <f t="shared" si="187"/>
        <v>691.12439999999992</v>
      </c>
      <c r="AI674" s="127">
        <f t="shared" si="188"/>
        <v>1040.5</v>
      </c>
      <c r="AJ674" s="37">
        <f t="shared" si="176"/>
        <v>6643</v>
      </c>
      <c r="AK674" s="37">
        <f t="shared" si="189"/>
        <v>24193</v>
      </c>
      <c r="AL674" s="37">
        <f t="shared" si="177"/>
        <v>9.2584589937106916</v>
      </c>
      <c r="AN674" s="37" t="str">
        <f t="shared" si="190"/>
        <v>Pallet</v>
      </c>
      <c r="AO674" s="194">
        <f t="shared" si="191"/>
        <v>25</v>
      </c>
    </row>
    <row r="675" spans="22:41" x14ac:dyDescent="0.2">
      <c r="V675" s="181">
        <f t="shared" si="178"/>
        <v>318.5</v>
      </c>
      <c r="W675" s="181">
        <f t="shared" si="179"/>
        <v>637</v>
      </c>
      <c r="X675" s="181">
        <f t="shared" si="180"/>
        <v>1</v>
      </c>
      <c r="Y675" s="37">
        <f t="shared" si="181"/>
        <v>1917.1</v>
      </c>
      <c r="Z675" s="181">
        <f t="shared" si="182"/>
        <v>516.5</v>
      </c>
      <c r="AA675" s="127">
        <f t="shared" si="183"/>
        <v>595.21331999999995</v>
      </c>
      <c r="AB675" s="127">
        <f t="shared" si="184"/>
        <v>595.21331999999995</v>
      </c>
      <c r="AC675" s="37">
        <f t="shared" si="173"/>
        <v>3971.2799199999999</v>
      </c>
      <c r="AD675" s="37">
        <f t="shared" si="185"/>
        <v>5888.3799199999994</v>
      </c>
      <c r="AE675" s="181">
        <f t="shared" si="174"/>
        <v>25</v>
      </c>
      <c r="AF675" s="37">
        <f t="shared" si="186"/>
        <v>17550</v>
      </c>
      <c r="AG675" s="181">
        <f t="shared" si="175"/>
        <v>1041</v>
      </c>
      <c r="AH675" s="111">
        <f t="shared" si="187"/>
        <v>691.12439999999992</v>
      </c>
      <c r="AI675" s="127">
        <f t="shared" si="188"/>
        <v>1041</v>
      </c>
      <c r="AJ675" s="37">
        <f t="shared" si="176"/>
        <v>6646</v>
      </c>
      <c r="AK675" s="37">
        <f t="shared" si="189"/>
        <v>24196</v>
      </c>
      <c r="AL675" s="37">
        <f t="shared" si="177"/>
        <v>9.243924521193092</v>
      </c>
      <c r="AN675" s="37" t="str">
        <f t="shared" si="190"/>
        <v>Pallet</v>
      </c>
      <c r="AO675" s="194">
        <f t="shared" si="191"/>
        <v>25</v>
      </c>
    </row>
    <row r="676" spans="22:41" x14ac:dyDescent="0.2">
      <c r="V676" s="181">
        <f t="shared" si="178"/>
        <v>319</v>
      </c>
      <c r="W676" s="181">
        <f t="shared" si="179"/>
        <v>638</v>
      </c>
      <c r="X676" s="181">
        <f t="shared" si="180"/>
        <v>1</v>
      </c>
      <c r="Y676" s="37">
        <f t="shared" si="181"/>
        <v>1917.1</v>
      </c>
      <c r="Z676" s="181">
        <f t="shared" si="182"/>
        <v>517</v>
      </c>
      <c r="AA676" s="127">
        <f t="shared" si="183"/>
        <v>595.21331999999995</v>
      </c>
      <c r="AB676" s="127">
        <f t="shared" si="184"/>
        <v>595.21331999999995</v>
      </c>
      <c r="AC676" s="37">
        <f t="shared" si="173"/>
        <v>3971.2799199999999</v>
      </c>
      <c r="AD676" s="37">
        <f t="shared" si="185"/>
        <v>5888.3799199999994</v>
      </c>
      <c r="AE676" s="181">
        <f t="shared" si="174"/>
        <v>25</v>
      </c>
      <c r="AF676" s="37">
        <f t="shared" si="186"/>
        <v>17550</v>
      </c>
      <c r="AG676" s="181">
        <f t="shared" si="175"/>
        <v>1041.5</v>
      </c>
      <c r="AH676" s="111">
        <f t="shared" si="187"/>
        <v>691.12439999999992</v>
      </c>
      <c r="AI676" s="127">
        <f t="shared" si="188"/>
        <v>1041.5</v>
      </c>
      <c r="AJ676" s="37">
        <f t="shared" si="176"/>
        <v>6649</v>
      </c>
      <c r="AK676" s="37">
        <f t="shared" si="189"/>
        <v>24199</v>
      </c>
      <c r="AL676" s="37">
        <f t="shared" si="177"/>
        <v>9.2294356112852647</v>
      </c>
      <c r="AN676" s="37" t="str">
        <f t="shared" si="190"/>
        <v>Pallet</v>
      </c>
      <c r="AO676" s="194">
        <f t="shared" si="191"/>
        <v>25</v>
      </c>
    </row>
    <row r="677" spans="22:41" x14ac:dyDescent="0.2">
      <c r="V677" s="181">
        <f t="shared" si="178"/>
        <v>319.5</v>
      </c>
      <c r="W677" s="181">
        <f t="shared" si="179"/>
        <v>639</v>
      </c>
      <c r="X677" s="181">
        <f t="shared" si="180"/>
        <v>1</v>
      </c>
      <c r="Y677" s="37">
        <f t="shared" si="181"/>
        <v>1917.1</v>
      </c>
      <c r="Z677" s="181">
        <f t="shared" si="182"/>
        <v>517.5</v>
      </c>
      <c r="AA677" s="127">
        <f t="shared" si="183"/>
        <v>595.21331999999995</v>
      </c>
      <c r="AB677" s="127">
        <f t="shared" si="184"/>
        <v>595.21331999999995</v>
      </c>
      <c r="AC677" s="37">
        <f t="shared" si="173"/>
        <v>3971.2799199999999</v>
      </c>
      <c r="AD677" s="37">
        <f t="shared" si="185"/>
        <v>5888.3799199999994</v>
      </c>
      <c r="AE677" s="181">
        <f t="shared" si="174"/>
        <v>25</v>
      </c>
      <c r="AF677" s="37">
        <f t="shared" si="186"/>
        <v>17550</v>
      </c>
      <c r="AG677" s="181">
        <f t="shared" si="175"/>
        <v>1042</v>
      </c>
      <c r="AH677" s="111">
        <f t="shared" si="187"/>
        <v>691.12439999999992</v>
      </c>
      <c r="AI677" s="127">
        <f t="shared" si="188"/>
        <v>1042</v>
      </c>
      <c r="AJ677" s="37">
        <f t="shared" si="176"/>
        <v>6652</v>
      </c>
      <c r="AK677" s="37">
        <f t="shared" si="189"/>
        <v>24202</v>
      </c>
      <c r="AL677" s="37">
        <f t="shared" si="177"/>
        <v>9.2149920500782461</v>
      </c>
      <c r="AN677" s="37" t="str">
        <f t="shared" si="190"/>
        <v>Pallet</v>
      </c>
      <c r="AO677" s="194">
        <f t="shared" si="191"/>
        <v>25</v>
      </c>
    </row>
    <row r="678" spans="22:41" x14ac:dyDescent="0.2">
      <c r="V678" s="181">
        <f t="shared" si="178"/>
        <v>320</v>
      </c>
      <c r="W678" s="181">
        <f t="shared" si="179"/>
        <v>640</v>
      </c>
      <c r="X678" s="181">
        <f t="shared" si="180"/>
        <v>1</v>
      </c>
      <c r="Y678" s="37">
        <f t="shared" si="181"/>
        <v>1917.1</v>
      </c>
      <c r="Z678" s="181">
        <f t="shared" si="182"/>
        <v>518</v>
      </c>
      <c r="AA678" s="127">
        <f t="shared" si="183"/>
        <v>595.21331999999995</v>
      </c>
      <c r="AB678" s="127">
        <f t="shared" si="184"/>
        <v>595.21331999999995</v>
      </c>
      <c r="AC678" s="37">
        <f t="shared" si="173"/>
        <v>3971.2799199999999</v>
      </c>
      <c r="AD678" s="37">
        <f t="shared" si="185"/>
        <v>5888.3799199999994</v>
      </c>
      <c r="AE678" s="181">
        <f t="shared" si="174"/>
        <v>25</v>
      </c>
      <c r="AF678" s="37">
        <f t="shared" si="186"/>
        <v>17550</v>
      </c>
      <c r="AG678" s="181">
        <f t="shared" si="175"/>
        <v>1042.5</v>
      </c>
      <c r="AH678" s="111">
        <f t="shared" si="187"/>
        <v>691.12439999999992</v>
      </c>
      <c r="AI678" s="127">
        <f t="shared" si="188"/>
        <v>1042.5</v>
      </c>
      <c r="AJ678" s="37">
        <f t="shared" si="176"/>
        <v>6655</v>
      </c>
      <c r="AK678" s="37">
        <f t="shared" si="189"/>
        <v>24205</v>
      </c>
      <c r="AL678" s="37">
        <f t="shared" si="177"/>
        <v>9.2005936249999998</v>
      </c>
      <c r="AN678" s="37" t="str">
        <f t="shared" si="190"/>
        <v>Pallet</v>
      </c>
      <c r="AO678" s="194">
        <f t="shared" si="191"/>
        <v>25</v>
      </c>
    </row>
    <row r="679" spans="22:41" x14ac:dyDescent="0.2">
      <c r="V679" s="181">
        <f t="shared" si="178"/>
        <v>320.5</v>
      </c>
      <c r="W679" s="181">
        <f t="shared" si="179"/>
        <v>641</v>
      </c>
      <c r="X679" s="181">
        <f t="shared" si="180"/>
        <v>1</v>
      </c>
      <c r="Y679" s="37">
        <f t="shared" si="181"/>
        <v>1917.1</v>
      </c>
      <c r="Z679" s="181">
        <f t="shared" si="182"/>
        <v>518.5</v>
      </c>
      <c r="AA679" s="127">
        <f t="shared" si="183"/>
        <v>595.21331999999995</v>
      </c>
      <c r="AB679" s="127">
        <f t="shared" si="184"/>
        <v>595.21331999999995</v>
      </c>
      <c r="AC679" s="37">
        <f t="shared" ref="AC679:AC742" si="192">(Shipping_perkg_first100*100)+((AB679-100)*Shipping_perkg_above100)</f>
        <v>3971.2799199999999</v>
      </c>
      <c r="AD679" s="37">
        <f t="shared" si="185"/>
        <v>5888.3799199999994</v>
      </c>
      <c r="AE679" s="181">
        <f t="shared" ref="AE679:AE742" si="193">ROUNDUP(W679/$N$19,0)</f>
        <v>25</v>
      </c>
      <c r="AF679" s="37">
        <f t="shared" si="186"/>
        <v>17550</v>
      </c>
      <c r="AG679" s="181">
        <f t="shared" ref="AG679:AG742" si="194">(AE679*$K$19)+V679</f>
        <v>1043</v>
      </c>
      <c r="AH679" s="111">
        <f t="shared" si="187"/>
        <v>691.12439999999992</v>
      </c>
      <c r="AI679" s="127">
        <f t="shared" si="188"/>
        <v>1043</v>
      </c>
      <c r="AJ679" s="37">
        <f t="shared" ref="AJ679:AJ742" si="195">IF(AI679&lt;=100,AI679*Shipping_perkg_first100,(Shipping_perkg_first100*100)+((AI679-100)*Shipping_perkg_above100))</f>
        <v>6658</v>
      </c>
      <c r="AK679" s="37">
        <f t="shared" si="189"/>
        <v>24208</v>
      </c>
      <c r="AL679" s="37">
        <f t="shared" si="177"/>
        <v>9.186240124804991</v>
      </c>
      <c r="AN679" s="37" t="str">
        <f t="shared" si="190"/>
        <v>Pallet</v>
      </c>
      <c r="AO679" s="194">
        <f t="shared" si="191"/>
        <v>25</v>
      </c>
    </row>
    <row r="680" spans="22:41" x14ac:dyDescent="0.2">
      <c r="V680" s="181">
        <f t="shared" si="178"/>
        <v>321</v>
      </c>
      <c r="W680" s="181">
        <f t="shared" si="179"/>
        <v>642</v>
      </c>
      <c r="X680" s="181">
        <f t="shared" si="180"/>
        <v>1</v>
      </c>
      <c r="Y680" s="37">
        <f t="shared" si="181"/>
        <v>1917.1</v>
      </c>
      <c r="Z680" s="181">
        <f t="shared" si="182"/>
        <v>519</v>
      </c>
      <c r="AA680" s="127">
        <f t="shared" si="183"/>
        <v>595.21331999999995</v>
      </c>
      <c r="AB680" s="127">
        <f t="shared" si="184"/>
        <v>595.21331999999995</v>
      </c>
      <c r="AC680" s="37">
        <f t="shared" si="192"/>
        <v>3971.2799199999999</v>
      </c>
      <c r="AD680" s="37">
        <f t="shared" si="185"/>
        <v>5888.3799199999994</v>
      </c>
      <c r="AE680" s="181">
        <f t="shared" si="193"/>
        <v>25</v>
      </c>
      <c r="AF680" s="37">
        <f t="shared" si="186"/>
        <v>17550</v>
      </c>
      <c r="AG680" s="181">
        <f t="shared" si="194"/>
        <v>1043.5</v>
      </c>
      <c r="AH680" s="111">
        <f t="shared" si="187"/>
        <v>691.12439999999992</v>
      </c>
      <c r="AI680" s="127">
        <f t="shared" si="188"/>
        <v>1043.5</v>
      </c>
      <c r="AJ680" s="37">
        <f t="shared" si="195"/>
        <v>6661</v>
      </c>
      <c r="AK680" s="37">
        <f t="shared" si="189"/>
        <v>24211</v>
      </c>
      <c r="AL680" s="37">
        <f t="shared" ref="AL680:AL743" si="196">MIN(AD680,AK680)/W680</f>
        <v>9.1719313395638622</v>
      </c>
      <c r="AN680" s="37" t="str">
        <f t="shared" si="190"/>
        <v>Pallet</v>
      </c>
      <c r="AO680" s="194">
        <f t="shared" si="191"/>
        <v>25</v>
      </c>
    </row>
    <row r="681" spans="22:41" x14ac:dyDescent="0.2">
      <c r="V681" s="181">
        <f t="shared" ref="V681:V744" si="197">W681*$V$37</f>
        <v>321.5</v>
      </c>
      <c r="W681" s="181">
        <f t="shared" ref="W681:W744" si="198">W680+1</f>
        <v>643</v>
      </c>
      <c r="X681" s="181">
        <f t="shared" ref="X681:X744" si="199">ROUNDUP(W681/$N$29,0)</f>
        <v>1</v>
      </c>
      <c r="Y681" s="37">
        <f t="shared" ref="Y681:Y744" si="200">X681*$P$29</f>
        <v>1917.1</v>
      </c>
      <c r="Z681" s="181">
        <f t="shared" ref="Z681:Z744" si="201">V681+(X681*$K$29)</f>
        <v>519.5</v>
      </c>
      <c r="AA681" s="127">
        <f t="shared" ref="AA681:AA744" si="202">X681*$T$29</f>
        <v>595.21331999999995</v>
      </c>
      <c r="AB681" s="127">
        <f t="shared" ref="AB681:AB744" si="203">MAX(Z681,AA681)</f>
        <v>595.21331999999995</v>
      </c>
      <c r="AC681" s="37">
        <f t="shared" si="192"/>
        <v>3971.2799199999999</v>
      </c>
      <c r="AD681" s="37">
        <f t="shared" ref="AD681:AD744" si="204">Y681+AC681</f>
        <v>5888.3799199999994</v>
      </c>
      <c r="AE681" s="181">
        <f t="shared" si="193"/>
        <v>25</v>
      </c>
      <c r="AF681" s="37">
        <f t="shared" ref="AF681:AF744" si="205">AE681*$P$19</f>
        <v>17550</v>
      </c>
      <c r="AG681" s="181">
        <f t="shared" si="194"/>
        <v>1044</v>
      </c>
      <c r="AH681" s="111">
        <f t="shared" ref="AH681:AH744" si="206">AE681*$X$19</f>
        <v>691.12439999999992</v>
      </c>
      <c r="AI681" s="127">
        <f t="shared" ref="AI681:AI744" si="207">MAX(AG681,AH681)</f>
        <v>1044</v>
      </c>
      <c r="AJ681" s="37">
        <f t="shared" si="195"/>
        <v>6664</v>
      </c>
      <c r="AK681" s="37">
        <f t="shared" ref="AK681:AK744" si="208">AF681+AJ681</f>
        <v>24214</v>
      </c>
      <c r="AL681" s="37">
        <f t="shared" si="196"/>
        <v>9.1576670606531874</v>
      </c>
      <c r="AN681" s="37" t="str">
        <f t="shared" ref="AN681:AN744" si="209">IF(AD681&lt;AK681,"Pallet","Parcel")</f>
        <v>Pallet</v>
      </c>
      <c r="AO681" s="194">
        <f t="shared" ref="AO681:AO744" si="210">AE680</f>
        <v>25</v>
      </c>
    </row>
    <row r="682" spans="22:41" x14ac:dyDescent="0.2">
      <c r="V682" s="181">
        <f t="shared" si="197"/>
        <v>322</v>
      </c>
      <c r="W682" s="181">
        <f t="shared" si="198"/>
        <v>644</v>
      </c>
      <c r="X682" s="181">
        <f t="shared" si="199"/>
        <v>1</v>
      </c>
      <c r="Y682" s="37">
        <f t="shared" si="200"/>
        <v>1917.1</v>
      </c>
      <c r="Z682" s="181">
        <f t="shared" si="201"/>
        <v>520</v>
      </c>
      <c r="AA682" s="127">
        <f t="shared" si="202"/>
        <v>595.21331999999995</v>
      </c>
      <c r="AB682" s="127">
        <f t="shared" si="203"/>
        <v>595.21331999999995</v>
      </c>
      <c r="AC682" s="37">
        <f t="shared" si="192"/>
        <v>3971.2799199999999</v>
      </c>
      <c r="AD682" s="37">
        <f t="shared" si="204"/>
        <v>5888.3799199999994</v>
      </c>
      <c r="AE682" s="181">
        <f t="shared" si="193"/>
        <v>25</v>
      </c>
      <c r="AF682" s="37">
        <f t="shared" si="205"/>
        <v>17550</v>
      </c>
      <c r="AG682" s="181">
        <f t="shared" si="194"/>
        <v>1044.5</v>
      </c>
      <c r="AH682" s="111">
        <f t="shared" si="206"/>
        <v>691.12439999999992</v>
      </c>
      <c r="AI682" s="127">
        <f t="shared" si="207"/>
        <v>1044.5</v>
      </c>
      <c r="AJ682" s="37">
        <f t="shared" si="195"/>
        <v>6667</v>
      </c>
      <c r="AK682" s="37">
        <f t="shared" si="208"/>
        <v>24217</v>
      </c>
      <c r="AL682" s="37">
        <f t="shared" si="196"/>
        <v>9.1434470807453412</v>
      </c>
      <c r="AN682" s="37" t="str">
        <f t="shared" si="209"/>
        <v>Pallet</v>
      </c>
      <c r="AO682" s="194">
        <f t="shared" si="210"/>
        <v>25</v>
      </c>
    </row>
    <row r="683" spans="22:41" x14ac:dyDescent="0.2">
      <c r="V683" s="181">
        <f t="shared" si="197"/>
        <v>322.5</v>
      </c>
      <c r="W683" s="181">
        <f t="shared" si="198"/>
        <v>645</v>
      </c>
      <c r="X683" s="181">
        <f t="shared" si="199"/>
        <v>1</v>
      </c>
      <c r="Y683" s="37">
        <f t="shared" si="200"/>
        <v>1917.1</v>
      </c>
      <c r="Z683" s="181">
        <f t="shared" si="201"/>
        <v>520.5</v>
      </c>
      <c r="AA683" s="127">
        <f t="shared" si="202"/>
        <v>595.21331999999995</v>
      </c>
      <c r="AB683" s="127">
        <f t="shared" si="203"/>
        <v>595.21331999999995</v>
      </c>
      <c r="AC683" s="37">
        <f t="shared" si="192"/>
        <v>3971.2799199999999</v>
      </c>
      <c r="AD683" s="37">
        <f t="shared" si="204"/>
        <v>5888.3799199999994</v>
      </c>
      <c r="AE683" s="181">
        <f t="shared" si="193"/>
        <v>25</v>
      </c>
      <c r="AF683" s="37">
        <f t="shared" si="205"/>
        <v>17550</v>
      </c>
      <c r="AG683" s="181">
        <f t="shared" si="194"/>
        <v>1045</v>
      </c>
      <c r="AH683" s="111">
        <f t="shared" si="206"/>
        <v>691.12439999999992</v>
      </c>
      <c r="AI683" s="127">
        <f t="shared" si="207"/>
        <v>1045</v>
      </c>
      <c r="AJ683" s="37">
        <f t="shared" si="195"/>
        <v>6670</v>
      </c>
      <c r="AK683" s="37">
        <f t="shared" si="208"/>
        <v>24220</v>
      </c>
      <c r="AL683" s="37">
        <f t="shared" si="196"/>
        <v>9.1292711937984485</v>
      </c>
      <c r="AN683" s="37" t="str">
        <f t="shared" si="209"/>
        <v>Pallet</v>
      </c>
      <c r="AO683" s="194">
        <f t="shared" si="210"/>
        <v>25</v>
      </c>
    </row>
    <row r="684" spans="22:41" x14ac:dyDescent="0.2">
      <c r="V684" s="181">
        <f t="shared" si="197"/>
        <v>323</v>
      </c>
      <c r="W684" s="181">
        <f t="shared" si="198"/>
        <v>646</v>
      </c>
      <c r="X684" s="181">
        <f t="shared" si="199"/>
        <v>1</v>
      </c>
      <c r="Y684" s="37">
        <f t="shared" si="200"/>
        <v>1917.1</v>
      </c>
      <c r="Z684" s="181">
        <f t="shared" si="201"/>
        <v>521</v>
      </c>
      <c r="AA684" s="127">
        <f t="shared" si="202"/>
        <v>595.21331999999995</v>
      </c>
      <c r="AB684" s="127">
        <f t="shared" si="203"/>
        <v>595.21331999999995</v>
      </c>
      <c r="AC684" s="37">
        <f t="shared" si="192"/>
        <v>3971.2799199999999</v>
      </c>
      <c r="AD684" s="37">
        <f t="shared" si="204"/>
        <v>5888.3799199999994</v>
      </c>
      <c r="AE684" s="181">
        <f t="shared" si="193"/>
        <v>26</v>
      </c>
      <c r="AF684" s="37">
        <f t="shared" si="205"/>
        <v>18252</v>
      </c>
      <c r="AG684" s="181">
        <f t="shared" si="194"/>
        <v>1074.4000000000001</v>
      </c>
      <c r="AH684" s="111">
        <f t="shared" si="206"/>
        <v>718.76937599999985</v>
      </c>
      <c r="AI684" s="127">
        <f t="shared" si="207"/>
        <v>1074.4000000000001</v>
      </c>
      <c r="AJ684" s="37">
        <f t="shared" si="195"/>
        <v>6846.4000000000005</v>
      </c>
      <c r="AK684" s="37">
        <f t="shared" si="208"/>
        <v>25098.400000000001</v>
      </c>
      <c r="AL684" s="37">
        <f t="shared" si="196"/>
        <v>9.1151391950464387</v>
      </c>
      <c r="AN684" s="37" t="str">
        <f t="shared" si="209"/>
        <v>Pallet</v>
      </c>
      <c r="AO684" s="194">
        <f t="shared" si="210"/>
        <v>25</v>
      </c>
    </row>
    <row r="685" spans="22:41" x14ac:dyDescent="0.2">
      <c r="V685" s="181">
        <f t="shared" si="197"/>
        <v>323.5</v>
      </c>
      <c r="W685" s="181">
        <f t="shared" si="198"/>
        <v>647</v>
      </c>
      <c r="X685" s="181">
        <f t="shared" si="199"/>
        <v>1</v>
      </c>
      <c r="Y685" s="37">
        <f t="shared" si="200"/>
        <v>1917.1</v>
      </c>
      <c r="Z685" s="181">
        <f t="shared" si="201"/>
        <v>521.5</v>
      </c>
      <c r="AA685" s="127">
        <f t="shared" si="202"/>
        <v>595.21331999999995</v>
      </c>
      <c r="AB685" s="127">
        <f t="shared" si="203"/>
        <v>595.21331999999995</v>
      </c>
      <c r="AC685" s="37">
        <f t="shared" si="192"/>
        <v>3971.2799199999999</v>
      </c>
      <c r="AD685" s="37">
        <f t="shared" si="204"/>
        <v>5888.3799199999994</v>
      </c>
      <c r="AE685" s="181">
        <f t="shared" si="193"/>
        <v>26</v>
      </c>
      <c r="AF685" s="37">
        <f t="shared" si="205"/>
        <v>18252</v>
      </c>
      <c r="AG685" s="181">
        <f t="shared" si="194"/>
        <v>1074.9000000000001</v>
      </c>
      <c r="AH685" s="111">
        <f t="shared" si="206"/>
        <v>718.76937599999985</v>
      </c>
      <c r="AI685" s="127">
        <f t="shared" si="207"/>
        <v>1074.9000000000001</v>
      </c>
      <c r="AJ685" s="37">
        <f t="shared" si="195"/>
        <v>6849.4000000000005</v>
      </c>
      <c r="AK685" s="37">
        <f t="shared" si="208"/>
        <v>25101.4</v>
      </c>
      <c r="AL685" s="37">
        <f t="shared" si="196"/>
        <v>9.1010508809891792</v>
      </c>
      <c r="AN685" s="37" t="str">
        <f t="shared" si="209"/>
        <v>Pallet</v>
      </c>
      <c r="AO685" s="194">
        <f t="shared" si="210"/>
        <v>26</v>
      </c>
    </row>
    <row r="686" spans="22:41" x14ac:dyDescent="0.2">
      <c r="V686" s="181">
        <f t="shared" si="197"/>
        <v>324</v>
      </c>
      <c r="W686" s="181">
        <f t="shared" si="198"/>
        <v>648</v>
      </c>
      <c r="X686" s="181">
        <f t="shared" si="199"/>
        <v>1</v>
      </c>
      <c r="Y686" s="37">
        <f t="shared" si="200"/>
        <v>1917.1</v>
      </c>
      <c r="Z686" s="181">
        <f t="shared" si="201"/>
        <v>522</v>
      </c>
      <c r="AA686" s="127">
        <f t="shared" si="202"/>
        <v>595.21331999999995</v>
      </c>
      <c r="AB686" s="127">
        <f t="shared" si="203"/>
        <v>595.21331999999995</v>
      </c>
      <c r="AC686" s="37">
        <f t="shared" si="192"/>
        <v>3971.2799199999999</v>
      </c>
      <c r="AD686" s="37">
        <f t="shared" si="204"/>
        <v>5888.3799199999994</v>
      </c>
      <c r="AE686" s="181">
        <f t="shared" si="193"/>
        <v>26</v>
      </c>
      <c r="AF686" s="37">
        <f t="shared" si="205"/>
        <v>18252</v>
      </c>
      <c r="AG686" s="181">
        <f t="shared" si="194"/>
        <v>1075.4000000000001</v>
      </c>
      <c r="AH686" s="111">
        <f t="shared" si="206"/>
        <v>718.76937599999985</v>
      </c>
      <c r="AI686" s="127">
        <f t="shared" si="207"/>
        <v>1075.4000000000001</v>
      </c>
      <c r="AJ686" s="37">
        <f t="shared" si="195"/>
        <v>6852.4000000000005</v>
      </c>
      <c r="AK686" s="37">
        <f t="shared" si="208"/>
        <v>25104.400000000001</v>
      </c>
      <c r="AL686" s="37">
        <f t="shared" si="196"/>
        <v>9.0870060493827154</v>
      </c>
      <c r="AN686" s="37" t="str">
        <f t="shared" si="209"/>
        <v>Pallet</v>
      </c>
      <c r="AO686" s="194">
        <f t="shared" si="210"/>
        <v>26</v>
      </c>
    </row>
    <row r="687" spans="22:41" x14ac:dyDescent="0.2">
      <c r="V687" s="181">
        <f t="shared" si="197"/>
        <v>324.5</v>
      </c>
      <c r="W687" s="181">
        <f t="shared" si="198"/>
        <v>649</v>
      </c>
      <c r="X687" s="181">
        <f t="shared" si="199"/>
        <v>1</v>
      </c>
      <c r="Y687" s="37">
        <f t="shared" si="200"/>
        <v>1917.1</v>
      </c>
      <c r="Z687" s="181">
        <f t="shared" si="201"/>
        <v>522.5</v>
      </c>
      <c r="AA687" s="127">
        <f t="shared" si="202"/>
        <v>595.21331999999995</v>
      </c>
      <c r="AB687" s="127">
        <f t="shared" si="203"/>
        <v>595.21331999999995</v>
      </c>
      <c r="AC687" s="37">
        <f t="shared" si="192"/>
        <v>3971.2799199999999</v>
      </c>
      <c r="AD687" s="37">
        <f t="shared" si="204"/>
        <v>5888.3799199999994</v>
      </c>
      <c r="AE687" s="181">
        <f t="shared" si="193"/>
        <v>26</v>
      </c>
      <c r="AF687" s="37">
        <f t="shared" si="205"/>
        <v>18252</v>
      </c>
      <c r="AG687" s="181">
        <f t="shared" si="194"/>
        <v>1075.9000000000001</v>
      </c>
      <c r="AH687" s="111">
        <f t="shared" si="206"/>
        <v>718.76937599999985</v>
      </c>
      <c r="AI687" s="127">
        <f t="shared" si="207"/>
        <v>1075.9000000000001</v>
      </c>
      <c r="AJ687" s="37">
        <f t="shared" si="195"/>
        <v>6855.4000000000005</v>
      </c>
      <c r="AK687" s="37">
        <f t="shared" si="208"/>
        <v>25107.4</v>
      </c>
      <c r="AL687" s="37">
        <f t="shared" si="196"/>
        <v>9.0730044992295831</v>
      </c>
      <c r="AN687" s="37" t="str">
        <f t="shared" si="209"/>
        <v>Pallet</v>
      </c>
      <c r="AO687" s="194">
        <f t="shared" si="210"/>
        <v>26</v>
      </c>
    </row>
    <row r="688" spans="22:41" x14ac:dyDescent="0.2">
      <c r="V688" s="181">
        <f t="shared" si="197"/>
        <v>325</v>
      </c>
      <c r="W688" s="181">
        <f t="shared" si="198"/>
        <v>650</v>
      </c>
      <c r="X688" s="181">
        <f t="shared" si="199"/>
        <v>1</v>
      </c>
      <c r="Y688" s="37">
        <f t="shared" si="200"/>
        <v>1917.1</v>
      </c>
      <c r="Z688" s="181">
        <f t="shared" si="201"/>
        <v>523</v>
      </c>
      <c r="AA688" s="127">
        <f t="shared" si="202"/>
        <v>595.21331999999995</v>
      </c>
      <c r="AB688" s="127">
        <f t="shared" si="203"/>
        <v>595.21331999999995</v>
      </c>
      <c r="AC688" s="37">
        <f t="shared" si="192"/>
        <v>3971.2799199999999</v>
      </c>
      <c r="AD688" s="37">
        <f t="shared" si="204"/>
        <v>5888.3799199999994</v>
      </c>
      <c r="AE688" s="181">
        <f t="shared" si="193"/>
        <v>26</v>
      </c>
      <c r="AF688" s="37">
        <f t="shared" si="205"/>
        <v>18252</v>
      </c>
      <c r="AG688" s="181">
        <f t="shared" si="194"/>
        <v>1076.4000000000001</v>
      </c>
      <c r="AH688" s="111">
        <f t="shared" si="206"/>
        <v>718.76937599999985</v>
      </c>
      <c r="AI688" s="127">
        <f t="shared" si="207"/>
        <v>1076.4000000000001</v>
      </c>
      <c r="AJ688" s="37">
        <f t="shared" si="195"/>
        <v>6858.4000000000005</v>
      </c>
      <c r="AK688" s="37">
        <f t="shared" si="208"/>
        <v>25110.400000000001</v>
      </c>
      <c r="AL688" s="37">
        <f t="shared" si="196"/>
        <v>9.0590460307692293</v>
      </c>
      <c r="AN688" s="37" t="str">
        <f t="shared" si="209"/>
        <v>Pallet</v>
      </c>
      <c r="AO688" s="194">
        <f t="shared" si="210"/>
        <v>26</v>
      </c>
    </row>
    <row r="689" spans="22:41" x14ac:dyDescent="0.2">
      <c r="V689" s="181">
        <f t="shared" si="197"/>
        <v>325.5</v>
      </c>
      <c r="W689" s="181">
        <f t="shared" si="198"/>
        <v>651</v>
      </c>
      <c r="X689" s="181">
        <f t="shared" si="199"/>
        <v>1</v>
      </c>
      <c r="Y689" s="37">
        <f t="shared" si="200"/>
        <v>1917.1</v>
      </c>
      <c r="Z689" s="181">
        <f t="shared" si="201"/>
        <v>523.5</v>
      </c>
      <c r="AA689" s="127">
        <f t="shared" si="202"/>
        <v>595.21331999999995</v>
      </c>
      <c r="AB689" s="127">
        <f t="shared" si="203"/>
        <v>595.21331999999995</v>
      </c>
      <c r="AC689" s="37">
        <f t="shared" si="192"/>
        <v>3971.2799199999999</v>
      </c>
      <c r="AD689" s="37">
        <f t="shared" si="204"/>
        <v>5888.3799199999994</v>
      </c>
      <c r="AE689" s="181">
        <f t="shared" si="193"/>
        <v>26</v>
      </c>
      <c r="AF689" s="37">
        <f t="shared" si="205"/>
        <v>18252</v>
      </c>
      <c r="AG689" s="181">
        <f t="shared" si="194"/>
        <v>1076.9000000000001</v>
      </c>
      <c r="AH689" s="111">
        <f t="shared" si="206"/>
        <v>718.76937599999985</v>
      </c>
      <c r="AI689" s="127">
        <f t="shared" si="207"/>
        <v>1076.9000000000001</v>
      </c>
      <c r="AJ689" s="37">
        <f t="shared" si="195"/>
        <v>6861.4000000000005</v>
      </c>
      <c r="AK689" s="37">
        <f t="shared" si="208"/>
        <v>25113.4</v>
      </c>
      <c r="AL689" s="37">
        <f t="shared" si="196"/>
        <v>9.0451304454685086</v>
      </c>
      <c r="AN689" s="37" t="str">
        <f t="shared" si="209"/>
        <v>Pallet</v>
      </c>
      <c r="AO689" s="194">
        <f t="shared" si="210"/>
        <v>26</v>
      </c>
    </row>
    <row r="690" spans="22:41" x14ac:dyDescent="0.2">
      <c r="V690" s="181">
        <f t="shared" si="197"/>
        <v>326</v>
      </c>
      <c r="W690" s="181">
        <f t="shared" si="198"/>
        <v>652</v>
      </c>
      <c r="X690" s="181">
        <f t="shared" si="199"/>
        <v>1</v>
      </c>
      <c r="Y690" s="37">
        <f t="shared" si="200"/>
        <v>1917.1</v>
      </c>
      <c r="Z690" s="181">
        <f t="shared" si="201"/>
        <v>524</v>
      </c>
      <c r="AA690" s="127">
        <f t="shared" si="202"/>
        <v>595.21331999999995</v>
      </c>
      <c r="AB690" s="127">
        <f t="shared" si="203"/>
        <v>595.21331999999995</v>
      </c>
      <c r="AC690" s="37">
        <f t="shared" si="192"/>
        <v>3971.2799199999999</v>
      </c>
      <c r="AD690" s="37">
        <f t="shared" si="204"/>
        <v>5888.3799199999994</v>
      </c>
      <c r="AE690" s="181">
        <f t="shared" si="193"/>
        <v>26</v>
      </c>
      <c r="AF690" s="37">
        <f t="shared" si="205"/>
        <v>18252</v>
      </c>
      <c r="AG690" s="181">
        <f t="shared" si="194"/>
        <v>1077.4000000000001</v>
      </c>
      <c r="AH690" s="111">
        <f t="shared" si="206"/>
        <v>718.76937599999985</v>
      </c>
      <c r="AI690" s="127">
        <f t="shared" si="207"/>
        <v>1077.4000000000001</v>
      </c>
      <c r="AJ690" s="37">
        <f t="shared" si="195"/>
        <v>6864.4000000000005</v>
      </c>
      <c r="AK690" s="37">
        <f t="shared" si="208"/>
        <v>25116.400000000001</v>
      </c>
      <c r="AL690" s="37">
        <f t="shared" si="196"/>
        <v>9.0312575460122684</v>
      </c>
      <c r="AN690" s="37" t="str">
        <f t="shared" si="209"/>
        <v>Pallet</v>
      </c>
      <c r="AO690" s="194">
        <f t="shared" si="210"/>
        <v>26</v>
      </c>
    </row>
    <row r="691" spans="22:41" x14ac:dyDescent="0.2">
      <c r="V691" s="181">
        <f t="shared" si="197"/>
        <v>326.5</v>
      </c>
      <c r="W691" s="181">
        <f t="shared" si="198"/>
        <v>653</v>
      </c>
      <c r="X691" s="181">
        <f t="shared" si="199"/>
        <v>1</v>
      </c>
      <c r="Y691" s="37">
        <f t="shared" si="200"/>
        <v>1917.1</v>
      </c>
      <c r="Z691" s="181">
        <f t="shared" si="201"/>
        <v>524.5</v>
      </c>
      <c r="AA691" s="127">
        <f t="shared" si="202"/>
        <v>595.21331999999995</v>
      </c>
      <c r="AB691" s="127">
        <f t="shared" si="203"/>
        <v>595.21331999999995</v>
      </c>
      <c r="AC691" s="37">
        <f t="shared" si="192"/>
        <v>3971.2799199999999</v>
      </c>
      <c r="AD691" s="37">
        <f t="shared" si="204"/>
        <v>5888.3799199999994</v>
      </c>
      <c r="AE691" s="181">
        <f t="shared" si="193"/>
        <v>26</v>
      </c>
      <c r="AF691" s="37">
        <f t="shared" si="205"/>
        <v>18252</v>
      </c>
      <c r="AG691" s="181">
        <f t="shared" si="194"/>
        <v>1077.9000000000001</v>
      </c>
      <c r="AH691" s="111">
        <f t="shared" si="206"/>
        <v>718.76937599999985</v>
      </c>
      <c r="AI691" s="127">
        <f t="shared" si="207"/>
        <v>1077.9000000000001</v>
      </c>
      <c r="AJ691" s="37">
        <f t="shared" si="195"/>
        <v>6867.4000000000005</v>
      </c>
      <c r="AK691" s="37">
        <f t="shared" si="208"/>
        <v>25119.4</v>
      </c>
      <c r="AL691" s="37">
        <f t="shared" si="196"/>
        <v>9.0174271362940264</v>
      </c>
      <c r="AN691" s="37" t="str">
        <f t="shared" si="209"/>
        <v>Pallet</v>
      </c>
      <c r="AO691" s="194">
        <f t="shared" si="210"/>
        <v>26</v>
      </c>
    </row>
    <row r="692" spans="22:41" x14ac:dyDescent="0.2">
      <c r="V692" s="181">
        <f t="shared" si="197"/>
        <v>327</v>
      </c>
      <c r="W692" s="181">
        <f t="shared" si="198"/>
        <v>654</v>
      </c>
      <c r="X692" s="181">
        <f t="shared" si="199"/>
        <v>1</v>
      </c>
      <c r="Y692" s="37">
        <f t="shared" si="200"/>
        <v>1917.1</v>
      </c>
      <c r="Z692" s="181">
        <f t="shared" si="201"/>
        <v>525</v>
      </c>
      <c r="AA692" s="127">
        <f t="shared" si="202"/>
        <v>595.21331999999995</v>
      </c>
      <c r="AB692" s="127">
        <f t="shared" si="203"/>
        <v>595.21331999999995</v>
      </c>
      <c r="AC692" s="37">
        <f t="shared" si="192"/>
        <v>3971.2799199999999</v>
      </c>
      <c r="AD692" s="37">
        <f t="shared" si="204"/>
        <v>5888.3799199999994</v>
      </c>
      <c r="AE692" s="181">
        <f t="shared" si="193"/>
        <v>26</v>
      </c>
      <c r="AF692" s="37">
        <f t="shared" si="205"/>
        <v>18252</v>
      </c>
      <c r="AG692" s="181">
        <f t="shared" si="194"/>
        <v>1078.4000000000001</v>
      </c>
      <c r="AH692" s="111">
        <f t="shared" si="206"/>
        <v>718.76937599999985</v>
      </c>
      <c r="AI692" s="127">
        <f t="shared" si="207"/>
        <v>1078.4000000000001</v>
      </c>
      <c r="AJ692" s="37">
        <f t="shared" si="195"/>
        <v>6870.4000000000005</v>
      </c>
      <c r="AK692" s="37">
        <f t="shared" si="208"/>
        <v>25122.400000000001</v>
      </c>
      <c r="AL692" s="37">
        <f t="shared" si="196"/>
        <v>9.0036390214067268</v>
      </c>
      <c r="AN692" s="37" t="str">
        <f t="shared" si="209"/>
        <v>Pallet</v>
      </c>
      <c r="AO692" s="194">
        <f t="shared" si="210"/>
        <v>26</v>
      </c>
    </row>
    <row r="693" spans="22:41" x14ac:dyDescent="0.2">
      <c r="V693" s="181">
        <f t="shared" si="197"/>
        <v>327.5</v>
      </c>
      <c r="W693" s="181">
        <f t="shared" si="198"/>
        <v>655</v>
      </c>
      <c r="X693" s="181">
        <f t="shared" si="199"/>
        <v>1</v>
      </c>
      <c r="Y693" s="37">
        <f t="shared" si="200"/>
        <v>1917.1</v>
      </c>
      <c r="Z693" s="181">
        <f t="shared" si="201"/>
        <v>525.5</v>
      </c>
      <c r="AA693" s="127">
        <f t="shared" si="202"/>
        <v>595.21331999999995</v>
      </c>
      <c r="AB693" s="127">
        <f t="shared" si="203"/>
        <v>595.21331999999995</v>
      </c>
      <c r="AC693" s="37">
        <f t="shared" si="192"/>
        <v>3971.2799199999999</v>
      </c>
      <c r="AD693" s="37">
        <f t="shared" si="204"/>
        <v>5888.3799199999994</v>
      </c>
      <c r="AE693" s="181">
        <f t="shared" si="193"/>
        <v>26</v>
      </c>
      <c r="AF693" s="37">
        <f t="shared" si="205"/>
        <v>18252</v>
      </c>
      <c r="AG693" s="181">
        <f t="shared" si="194"/>
        <v>1078.9000000000001</v>
      </c>
      <c r="AH693" s="111">
        <f t="shared" si="206"/>
        <v>718.76937599999985</v>
      </c>
      <c r="AI693" s="127">
        <f t="shared" si="207"/>
        <v>1078.9000000000001</v>
      </c>
      <c r="AJ693" s="37">
        <f t="shared" si="195"/>
        <v>6873.4000000000005</v>
      </c>
      <c r="AK693" s="37">
        <f t="shared" si="208"/>
        <v>25125.4</v>
      </c>
      <c r="AL693" s="37">
        <f t="shared" si="196"/>
        <v>8.9898930076335866</v>
      </c>
      <c r="AN693" s="37" t="str">
        <f t="shared" si="209"/>
        <v>Pallet</v>
      </c>
      <c r="AO693" s="194">
        <f t="shared" si="210"/>
        <v>26</v>
      </c>
    </row>
    <row r="694" spans="22:41" x14ac:dyDescent="0.2">
      <c r="V694" s="181">
        <f t="shared" si="197"/>
        <v>328</v>
      </c>
      <c r="W694" s="181">
        <f t="shared" si="198"/>
        <v>656</v>
      </c>
      <c r="X694" s="181">
        <f t="shared" si="199"/>
        <v>1</v>
      </c>
      <c r="Y694" s="37">
        <f t="shared" si="200"/>
        <v>1917.1</v>
      </c>
      <c r="Z694" s="181">
        <f t="shared" si="201"/>
        <v>526</v>
      </c>
      <c r="AA694" s="127">
        <f t="shared" si="202"/>
        <v>595.21331999999995</v>
      </c>
      <c r="AB694" s="127">
        <f t="shared" si="203"/>
        <v>595.21331999999995</v>
      </c>
      <c r="AC694" s="37">
        <f t="shared" si="192"/>
        <v>3971.2799199999999</v>
      </c>
      <c r="AD694" s="37">
        <f t="shared" si="204"/>
        <v>5888.3799199999994</v>
      </c>
      <c r="AE694" s="181">
        <f t="shared" si="193"/>
        <v>26</v>
      </c>
      <c r="AF694" s="37">
        <f t="shared" si="205"/>
        <v>18252</v>
      </c>
      <c r="AG694" s="181">
        <f t="shared" si="194"/>
        <v>1079.4000000000001</v>
      </c>
      <c r="AH694" s="111">
        <f t="shared" si="206"/>
        <v>718.76937599999985</v>
      </c>
      <c r="AI694" s="127">
        <f t="shared" si="207"/>
        <v>1079.4000000000001</v>
      </c>
      <c r="AJ694" s="37">
        <f t="shared" si="195"/>
        <v>6876.4000000000005</v>
      </c>
      <c r="AK694" s="37">
        <f t="shared" si="208"/>
        <v>25128.400000000001</v>
      </c>
      <c r="AL694" s="37">
        <f t="shared" si="196"/>
        <v>8.9761889024390236</v>
      </c>
      <c r="AN694" s="37" t="str">
        <f t="shared" si="209"/>
        <v>Pallet</v>
      </c>
      <c r="AO694" s="194">
        <f t="shared" si="210"/>
        <v>26</v>
      </c>
    </row>
    <row r="695" spans="22:41" x14ac:dyDescent="0.2">
      <c r="V695" s="181">
        <f t="shared" si="197"/>
        <v>328.5</v>
      </c>
      <c r="W695" s="181">
        <f t="shared" si="198"/>
        <v>657</v>
      </c>
      <c r="X695" s="181">
        <f t="shared" si="199"/>
        <v>1</v>
      </c>
      <c r="Y695" s="37">
        <f t="shared" si="200"/>
        <v>1917.1</v>
      </c>
      <c r="Z695" s="181">
        <f t="shared" si="201"/>
        <v>526.5</v>
      </c>
      <c r="AA695" s="127">
        <f t="shared" si="202"/>
        <v>595.21331999999995</v>
      </c>
      <c r="AB695" s="127">
        <f t="shared" si="203"/>
        <v>595.21331999999995</v>
      </c>
      <c r="AC695" s="37">
        <f t="shared" si="192"/>
        <v>3971.2799199999999</v>
      </c>
      <c r="AD695" s="37">
        <f t="shared" si="204"/>
        <v>5888.3799199999994</v>
      </c>
      <c r="AE695" s="181">
        <f t="shared" si="193"/>
        <v>26</v>
      </c>
      <c r="AF695" s="37">
        <f t="shared" si="205"/>
        <v>18252</v>
      </c>
      <c r="AG695" s="181">
        <f t="shared" si="194"/>
        <v>1079.9000000000001</v>
      </c>
      <c r="AH695" s="111">
        <f t="shared" si="206"/>
        <v>718.76937599999985</v>
      </c>
      <c r="AI695" s="127">
        <f t="shared" si="207"/>
        <v>1079.9000000000001</v>
      </c>
      <c r="AJ695" s="37">
        <f t="shared" si="195"/>
        <v>6879.4000000000005</v>
      </c>
      <c r="AK695" s="37">
        <f t="shared" si="208"/>
        <v>25131.4</v>
      </c>
      <c r="AL695" s="37">
        <f t="shared" si="196"/>
        <v>8.9625265144596646</v>
      </c>
      <c r="AN695" s="37" t="str">
        <f t="shared" si="209"/>
        <v>Pallet</v>
      </c>
      <c r="AO695" s="194">
        <f t="shared" si="210"/>
        <v>26</v>
      </c>
    </row>
    <row r="696" spans="22:41" x14ac:dyDescent="0.2">
      <c r="V696" s="181">
        <f t="shared" si="197"/>
        <v>329</v>
      </c>
      <c r="W696" s="181">
        <f t="shared" si="198"/>
        <v>658</v>
      </c>
      <c r="X696" s="181">
        <f t="shared" si="199"/>
        <v>1</v>
      </c>
      <c r="Y696" s="37">
        <f t="shared" si="200"/>
        <v>1917.1</v>
      </c>
      <c r="Z696" s="181">
        <f t="shared" si="201"/>
        <v>527</v>
      </c>
      <c r="AA696" s="127">
        <f t="shared" si="202"/>
        <v>595.21331999999995</v>
      </c>
      <c r="AB696" s="127">
        <f t="shared" si="203"/>
        <v>595.21331999999995</v>
      </c>
      <c r="AC696" s="37">
        <f t="shared" si="192"/>
        <v>3971.2799199999999</v>
      </c>
      <c r="AD696" s="37">
        <f t="shared" si="204"/>
        <v>5888.3799199999994</v>
      </c>
      <c r="AE696" s="181">
        <f t="shared" si="193"/>
        <v>26</v>
      </c>
      <c r="AF696" s="37">
        <f t="shared" si="205"/>
        <v>18252</v>
      </c>
      <c r="AG696" s="181">
        <f t="shared" si="194"/>
        <v>1080.4000000000001</v>
      </c>
      <c r="AH696" s="111">
        <f t="shared" si="206"/>
        <v>718.76937599999985</v>
      </c>
      <c r="AI696" s="127">
        <f t="shared" si="207"/>
        <v>1080.4000000000001</v>
      </c>
      <c r="AJ696" s="37">
        <f t="shared" si="195"/>
        <v>6882.4000000000005</v>
      </c>
      <c r="AK696" s="37">
        <f t="shared" si="208"/>
        <v>25134.400000000001</v>
      </c>
      <c r="AL696" s="37">
        <f t="shared" si="196"/>
        <v>8.948905653495439</v>
      </c>
      <c r="AN696" s="37" t="str">
        <f t="shared" si="209"/>
        <v>Pallet</v>
      </c>
      <c r="AO696" s="194">
        <f t="shared" si="210"/>
        <v>26</v>
      </c>
    </row>
    <row r="697" spans="22:41" x14ac:dyDescent="0.2">
      <c r="V697" s="181">
        <f t="shared" si="197"/>
        <v>329.5</v>
      </c>
      <c r="W697" s="181">
        <f t="shared" si="198"/>
        <v>659</v>
      </c>
      <c r="X697" s="181">
        <f t="shared" si="199"/>
        <v>1</v>
      </c>
      <c r="Y697" s="37">
        <f t="shared" si="200"/>
        <v>1917.1</v>
      </c>
      <c r="Z697" s="181">
        <f t="shared" si="201"/>
        <v>527.5</v>
      </c>
      <c r="AA697" s="127">
        <f t="shared" si="202"/>
        <v>595.21331999999995</v>
      </c>
      <c r="AB697" s="127">
        <f t="shared" si="203"/>
        <v>595.21331999999995</v>
      </c>
      <c r="AC697" s="37">
        <f t="shared" si="192"/>
        <v>3971.2799199999999</v>
      </c>
      <c r="AD697" s="37">
        <f t="shared" si="204"/>
        <v>5888.3799199999994</v>
      </c>
      <c r="AE697" s="181">
        <f t="shared" si="193"/>
        <v>26</v>
      </c>
      <c r="AF697" s="37">
        <f t="shared" si="205"/>
        <v>18252</v>
      </c>
      <c r="AG697" s="181">
        <f t="shared" si="194"/>
        <v>1080.9000000000001</v>
      </c>
      <c r="AH697" s="111">
        <f t="shared" si="206"/>
        <v>718.76937599999985</v>
      </c>
      <c r="AI697" s="127">
        <f t="shared" si="207"/>
        <v>1080.9000000000001</v>
      </c>
      <c r="AJ697" s="37">
        <f t="shared" si="195"/>
        <v>6885.4000000000005</v>
      </c>
      <c r="AK697" s="37">
        <f t="shared" si="208"/>
        <v>25137.4</v>
      </c>
      <c r="AL697" s="37">
        <f t="shared" si="196"/>
        <v>8.9353261305007585</v>
      </c>
      <c r="AN697" s="37" t="str">
        <f t="shared" si="209"/>
        <v>Pallet</v>
      </c>
      <c r="AO697" s="194">
        <f t="shared" si="210"/>
        <v>26</v>
      </c>
    </row>
    <row r="698" spans="22:41" x14ac:dyDescent="0.2">
      <c r="V698" s="181">
        <f t="shared" si="197"/>
        <v>330</v>
      </c>
      <c r="W698" s="181">
        <f t="shared" si="198"/>
        <v>660</v>
      </c>
      <c r="X698" s="181">
        <f t="shared" si="199"/>
        <v>1</v>
      </c>
      <c r="Y698" s="37">
        <f t="shared" si="200"/>
        <v>1917.1</v>
      </c>
      <c r="Z698" s="181">
        <f t="shared" si="201"/>
        <v>528</v>
      </c>
      <c r="AA698" s="127">
        <f t="shared" si="202"/>
        <v>595.21331999999995</v>
      </c>
      <c r="AB698" s="127">
        <f t="shared" si="203"/>
        <v>595.21331999999995</v>
      </c>
      <c r="AC698" s="37">
        <f t="shared" si="192"/>
        <v>3971.2799199999999</v>
      </c>
      <c r="AD698" s="37">
        <f t="shared" si="204"/>
        <v>5888.3799199999994</v>
      </c>
      <c r="AE698" s="181">
        <f t="shared" si="193"/>
        <v>26</v>
      </c>
      <c r="AF698" s="37">
        <f t="shared" si="205"/>
        <v>18252</v>
      </c>
      <c r="AG698" s="181">
        <f t="shared" si="194"/>
        <v>1081.4000000000001</v>
      </c>
      <c r="AH698" s="111">
        <f t="shared" si="206"/>
        <v>718.76937599999985</v>
      </c>
      <c r="AI698" s="127">
        <f t="shared" si="207"/>
        <v>1081.4000000000001</v>
      </c>
      <c r="AJ698" s="37">
        <f t="shared" si="195"/>
        <v>6888.4000000000005</v>
      </c>
      <c r="AK698" s="37">
        <f t="shared" si="208"/>
        <v>25140.400000000001</v>
      </c>
      <c r="AL698" s="37">
        <f t="shared" si="196"/>
        <v>8.9217877575757569</v>
      </c>
      <c r="AN698" s="37" t="str">
        <f t="shared" si="209"/>
        <v>Pallet</v>
      </c>
      <c r="AO698" s="194">
        <f t="shared" si="210"/>
        <v>26</v>
      </c>
    </row>
    <row r="699" spans="22:41" x14ac:dyDescent="0.2">
      <c r="V699" s="181">
        <f t="shared" si="197"/>
        <v>330.5</v>
      </c>
      <c r="W699" s="181">
        <f t="shared" si="198"/>
        <v>661</v>
      </c>
      <c r="X699" s="181">
        <f t="shared" si="199"/>
        <v>1</v>
      </c>
      <c r="Y699" s="37">
        <f t="shared" si="200"/>
        <v>1917.1</v>
      </c>
      <c r="Z699" s="181">
        <f t="shared" si="201"/>
        <v>528.5</v>
      </c>
      <c r="AA699" s="127">
        <f t="shared" si="202"/>
        <v>595.21331999999995</v>
      </c>
      <c r="AB699" s="127">
        <f t="shared" si="203"/>
        <v>595.21331999999995</v>
      </c>
      <c r="AC699" s="37">
        <f t="shared" si="192"/>
        <v>3971.2799199999999</v>
      </c>
      <c r="AD699" s="37">
        <f t="shared" si="204"/>
        <v>5888.3799199999994</v>
      </c>
      <c r="AE699" s="181">
        <f t="shared" si="193"/>
        <v>26</v>
      </c>
      <c r="AF699" s="37">
        <f t="shared" si="205"/>
        <v>18252</v>
      </c>
      <c r="AG699" s="181">
        <f t="shared" si="194"/>
        <v>1081.9000000000001</v>
      </c>
      <c r="AH699" s="111">
        <f t="shared" si="206"/>
        <v>718.76937599999985</v>
      </c>
      <c r="AI699" s="127">
        <f t="shared" si="207"/>
        <v>1081.9000000000001</v>
      </c>
      <c r="AJ699" s="37">
        <f t="shared" si="195"/>
        <v>6891.4000000000005</v>
      </c>
      <c r="AK699" s="37">
        <f t="shared" si="208"/>
        <v>25143.4</v>
      </c>
      <c r="AL699" s="37">
        <f t="shared" si="196"/>
        <v>8.9082903479576387</v>
      </c>
      <c r="AN699" s="37" t="str">
        <f t="shared" si="209"/>
        <v>Pallet</v>
      </c>
      <c r="AO699" s="194">
        <f t="shared" si="210"/>
        <v>26</v>
      </c>
    </row>
    <row r="700" spans="22:41" x14ac:dyDescent="0.2">
      <c r="V700" s="181">
        <f t="shared" si="197"/>
        <v>331</v>
      </c>
      <c r="W700" s="181">
        <f t="shared" si="198"/>
        <v>662</v>
      </c>
      <c r="X700" s="181">
        <f t="shared" si="199"/>
        <v>1</v>
      </c>
      <c r="Y700" s="37">
        <f t="shared" si="200"/>
        <v>1917.1</v>
      </c>
      <c r="Z700" s="181">
        <f t="shared" si="201"/>
        <v>529</v>
      </c>
      <c r="AA700" s="127">
        <f t="shared" si="202"/>
        <v>595.21331999999995</v>
      </c>
      <c r="AB700" s="127">
        <f t="shared" si="203"/>
        <v>595.21331999999995</v>
      </c>
      <c r="AC700" s="37">
        <f t="shared" si="192"/>
        <v>3971.2799199999999</v>
      </c>
      <c r="AD700" s="37">
        <f t="shared" si="204"/>
        <v>5888.3799199999994</v>
      </c>
      <c r="AE700" s="181">
        <f t="shared" si="193"/>
        <v>26</v>
      </c>
      <c r="AF700" s="37">
        <f t="shared" si="205"/>
        <v>18252</v>
      </c>
      <c r="AG700" s="181">
        <f t="shared" si="194"/>
        <v>1082.4000000000001</v>
      </c>
      <c r="AH700" s="111">
        <f t="shared" si="206"/>
        <v>718.76937599999985</v>
      </c>
      <c r="AI700" s="127">
        <f t="shared" si="207"/>
        <v>1082.4000000000001</v>
      </c>
      <c r="AJ700" s="37">
        <f t="shared" si="195"/>
        <v>6894.4000000000005</v>
      </c>
      <c r="AK700" s="37">
        <f t="shared" si="208"/>
        <v>25146.400000000001</v>
      </c>
      <c r="AL700" s="37">
        <f t="shared" si="196"/>
        <v>8.8948337160120836</v>
      </c>
      <c r="AN700" s="37" t="str">
        <f t="shared" si="209"/>
        <v>Pallet</v>
      </c>
      <c r="AO700" s="194">
        <f t="shared" si="210"/>
        <v>26</v>
      </c>
    </row>
    <row r="701" spans="22:41" x14ac:dyDescent="0.2">
      <c r="V701" s="181">
        <f t="shared" si="197"/>
        <v>331.5</v>
      </c>
      <c r="W701" s="181">
        <f t="shared" si="198"/>
        <v>663</v>
      </c>
      <c r="X701" s="181">
        <f t="shared" si="199"/>
        <v>1</v>
      </c>
      <c r="Y701" s="37">
        <f t="shared" si="200"/>
        <v>1917.1</v>
      </c>
      <c r="Z701" s="181">
        <f t="shared" si="201"/>
        <v>529.5</v>
      </c>
      <c r="AA701" s="127">
        <f t="shared" si="202"/>
        <v>595.21331999999995</v>
      </c>
      <c r="AB701" s="127">
        <f t="shared" si="203"/>
        <v>595.21331999999995</v>
      </c>
      <c r="AC701" s="37">
        <f t="shared" si="192"/>
        <v>3971.2799199999999</v>
      </c>
      <c r="AD701" s="37">
        <f t="shared" si="204"/>
        <v>5888.3799199999994</v>
      </c>
      <c r="AE701" s="181">
        <f t="shared" si="193"/>
        <v>26</v>
      </c>
      <c r="AF701" s="37">
        <f t="shared" si="205"/>
        <v>18252</v>
      </c>
      <c r="AG701" s="181">
        <f t="shared" si="194"/>
        <v>1082.9000000000001</v>
      </c>
      <c r="AH701" s="111">
        <f t="shared" si="206"/>
        <v>718.76937599999985</v>
      </c>
      <c r="AI701" s="127">
        <f t="shared" si="207"/>
        <v>1082.9000000000001</v>
      </c>
      <c r="AJ701" s="37">
        <f t="shared" si="195"/>
        <v>6897.4000000000005</v>
      </c>
      <c r="AK701" s="37">
        <f t="shared" si="208"/>
        <v>25149.4</v>
      </c>
      <c r="AL701" s="37">
        <f t="shared" si="196"/>
        <v>8.8814176772247357</v>
      </c>
      <c r="AN701" s="37" t="str">
        <f t="shared" si="209"/>
        <v>Pallet</v>
      </c>
      <c r="AO701" s="194">
        <f t="shared" si="210"/>
        <v>26</v>
      </c>
    </row>
    <row r="702" spans="22:41" x14ac:dyDescent="0.2">
      <c r="V702" s="181">
        <f t="shared" si="197"/>
        <v>332</v>
      </c>
      <c r="W702" s="181">
        <f t="shared" si="198"/>
        <v>664</v>
      </c>
      <c r="X702" s="181">
        <f t="shared" si="199"/>
        <v>1</v>
      </c>
      <c r="Y702" s="37">
        <f t="shared" si="200"/>
        <v>1917.1</v>
      </c>
      <c r="Z702" s="181">
        <f t="shared" si="201"/>
        <v>530</v>
      </c>
      <c r="AA702" s="127">
        <f t="shared" si="202"/>
        <v>595.21331999999995</v>
      </c>
      <c r="AB702" s="127">
        <f t="shared" si="203"/>
        <v>595.21331999999995</v>
      </c>
      <c r="AC702" s="37">
        <f t="shared" si="192"/>
        <v>3971.2799199999999</v>
      </c>
      <c r="AD702" s="37">
        <f t="shared" si="204"/>
        <v>5888.3799199999994</v>
      </c>
      <c r="AE702" s="181">
        <f t="shared" si="193"/>
        <v>26</v>
      </c>
      <c r="AF702" s="37">
        <f t="shared" si="205"/>
        <v>18252</v>
      </c>
      <c r="AG702" s="181">
        <f t="shared" si="194"/>
        <v>1083.4000000000001</v>
      </c>
      <c r="AH702" s="111">
        <f t="shared" si="206"/>
        <v>718.76937599999985</v>
      </c>
      <c r="AI702" s="127">
        <f t="shared" si="207"/>
        <v>1083.4000000000001</v>
      </c>
      <c r="AJ702" s="37">
        <f t="shared" si="195"/>
        <v>6900.4000000000005</v>
      </c>
      <c r="AK702" s="37">
        <f t="shared" si="208"/>
        <v>25152.400000000001</v>
      </c>
      <c r="AL702" s="37">
        <f t="shared" si="196"/>
        <v>8.8680420481927698</v>
      </c>
      <c r="AN702" s="37" t="str">
        <f t="shared" si="209"/>
        <v>Pallet</v>
      </c>
      <c r="AO702" s="194">
        <f t="shared" si="210"/>
        <v>26</v>
      </c>
    </row>
    <row r="703" spans="22:41" x14ac:dyDescent="0.2">
      <c r="V703" s="181">
        <f t="shared" si="197"/>
        <v>332.5</v>
      </c>
      <c r="W703" s="181">
        <f t="shared" si="198"/>
        <v>665</v>
      </c>
      <c r="X703" s="181">
        <f t="shared" si="199"/>
        <v>1</v>
      </c>
      <c r="Y703" s="37">
        <f t="shared" si="200"/>
        <v>1917.1</v>
      </c>
      <c r="Z703" s="181">
        <f t="shared" si="201"/>
        <v>530.5</v>
      </c>
      <c r="AA703" s="127">
        <f t="shared" si="202"/>
        <v>595.21331999999995</v>
      </c>
      <c r="AB703" s="127">
        <f t="shared" si="203"/>
        <v>595.21331999999995</v>
      </c>
      <c r="AC703" s="37">
        <f t="shared" si="192"/>
        <v>3971.2799199999999</v>
      </c>
      <c r="AD703" s="37">
        <f t="shared" si="204"/>
        <v>5888.3799199999994</v>
      </c>
      <c r="AE703" s="181">
        <f t="shared" si="193"/>
        <v>26</v>
      </c>
      <c r="AF703" s="37">
        <f t="shared" si="205"/>
        <v>18252</v>
      </c>
      <c r="AG703" s="181">
        <f t="shared" si="194"/>
        <v>1083.9000000000001</v>
      </c>
      <c r="AH703" s="111">
        <f t="shared" si="206"/>
        <v>718.76937599999985</v>
      </c>
      <c r="AI703" s="127">
        <f t="shared" si="207"/>
        <v>1083.9000000000001</v>
      </c>
      <c r="AJ703" s="37">
        <f t="shared" si="195"/>
        <v>6903.4000000000005</v>
      </c>
      <c r="AK703" s="37">
        <f t="shared" si="208"/>
        <v>25155.4</v>
      </c>
      <c r="AL703" s="37">
        <f t="shared" si="196"/>
        <v>8.8547066466165401</v>
      </c>
      <c r="AN703" s="37" t="str">
        <f t="shared" si="209"/>
        <v>Pallet</v>
      </c>
      <c r="AO703" s="194">
        <f t="shared" si="210"/>
        <v>26</v>
      </c>
    </row>
    <row r="704" spans="22:41" x14ac:dyDescent="0.2">
      <c r="V704" s="181">
        <f t="shared" si="197"/>
        <v>333</v>
      </c>
      <c r="W704" s="181">
        <f t="shared" si="198"/>
        <v>666</v>
      </c>
      <c r="X704" s="181">
        <f t="shared" si="199"/>
        <v>1</v>
      </c>
      <c r="Y704" s="37">
        <f t="shared" si="200"/>
        <v>1917.1</v>
      </c>
      <c r="Z704" s="181">
        <f t="shared" si="201"/>
        <v>531</v>
      </c>
      <c r="AA704" s="127">
        <f t="shared" si="202"/>
        <v>595.21331999999995</v>
      </c>
      <c r="AB704" s="127">
        <f t="shared" si="203"/>
        <v>595.21331999999995</v>
      </c>
      <c r="AC704" s="37">
        <f t="shared" si="192"/>
        <v>3971.2799199999999</v>
      </c>
      <c r="AD704" s="37">
        <f t="shared" si="204"/>
        <v>5888.3799199999994</v>
      </c>
      <c r="AE704" s="181">
        <f t="shared" si="193"/>
        <v>26</v>
      </c>
      <c r="AF704" s="37">
        <f t="shared" si="205"/>
        <v>18252</v>
      </c>
      <c r="AG704" s="181">
        <f t="shared" si="194"/>
        <v>1084.4000000000001</v>
      </c>
      <c r="AH704" s="111">
        <f t="shared" si="206"/>
        <v>718.76937599999985</v>
      </c>
      <c r="AI704" s="127">
        <f t="shared" si="207"/>
        <v>1084.4000000000001</v>
      </c>
      <c r="AJ704" s="37">
        <f t="shared" si="195"/>
        <v>6906.4000000000005</v>
      </c>
      <c r="AK704" s="37">
        <f t="shared" si="208"/>
        <v>25158.400000000001</v>
      </c>
      <c r="AL704" s="37">
        <f t="shared" si="196"/>
        <v>8.8414112912912906</v>
      </c>
      <c r="AN704" s="37" t="str">
        <f t="shared" si="209"/>
        <v>Pallet</v>
      </c>
      <c r="AO704" s="194">
        <f t="shared" si="210"/>
        <v>26</v>
      </c>
    </row>
    <row r="705" spans="22:41" x14ac:dyDescent="0.2">
      <c r="V705" s="181">
        <f t="shared" si="197"/>
        <v>333.5</v>
      </c>
      <c r="W705" s="181">
        <f t="shared" si="198"/>
        <v>667</v>
      </c>
      <c r="X705" s="181">
        <f t="shared" si="199"/>
        <v>1</v>
      </c>
      <c r="Y705" s="37">
        <f t="shared" si="200"/>
        <v>1917.1</v>
      </c>
      <c r="Z705" s="181">
        <f t="shared" si="201"/>
        <v>531.5</v>
      </c>
      <c r="AA705" s="127">
        <f t="shared" si="202"/>
        <v>595.21331999999995</v>
      </c>
      <c r="AB705" s="127">
        <f t="shared" si="203"/>
        <v>595.21331999999995</v>
      </c>
      <c r="AC705" s="37">
        <f t="shared" si="192"/>
        <v>3971.2799199999999</v>
      </c>
      <c r="AD705" s="37">
        <f t="shared" si="204"/>
        <v>5888.3799199999994</v>
      </c>
      <c r="AE705" s="181">
        <f t="shared" si="193"/>
        <v>26</v>
      </c>
      <c r="AF705" s="37">
        <f t="shared" si="205"/>
        <v>18252</v>
      </c>
      <c r="AG705" s="181">
        <f t="shared" si="194"/>
        <v>1084.9000000000001</v>
      </c>
      <c r="AH705" s="111">
        <f t="shared" si="206"/>
        <v>718.76937599999985</v>
      </c>
      <c r="AI705" s="127">
        <f t="shared" si="207"/>
        <v>1084.9000000000001</v>
      </c>
      <c r="AJ705" s="37">
        <f t="shared" si="195"/>
        <v>6909.4000000000005</v>
      </c>
      <c r="AK705" s="37">
        <f t="shared" si="208"/>
        <v>25161.4</v>
      </c>
      <c r="AL705" s="37">
        <f t="shared" si="196"/>
        <v>8.8281558020989497</v>
      </c>
      <c r="AN705" s="37" t="str">
        <f t="shared" si="209"/>
        <v>Pallet</v>
      </c>
      <c r="AO705" s="194">
        <f t="shared" si="210"/>
        <v>26</v>
      </c>
    </row>
    <row r="706" spans="22:41" x14ac:dyDescent="0.2">
      <c r="V706" s="181">
        <f t="shared" si="197"/>
        <v>334</v>
      </c>
      <c r="W706" s="181">
        <f t="shared" si="198"/>
        <v>668</v>
      </c>
      <c r="X706" s="181">
        <f t="shared" si="199"/>
        <v>1</v>
      </c>
      <c r="Y706" s="37">
        <f t="shared" si="200"/>
        <v>1917.1</v>
      </c>
      <c r="Z706" s="181">
        <f t="shared" si="201"/>
        <v>532</v>
      </c>
      <c r="AA706" s="127">
        <f t="shared" si="202"/>
        <v>595.21331999999995</v>
      </c>
      <c r="AB706" s="127">
        <f t="shared" si="203"/>
        <v>595.21331999999995</v>
      </c>
      <c r="AC706" s="37">
        <f t="shared" si="192"/>
        <v>3971.2799199999999</v>
      </c>
      <c r="AD706" s="37">
        <f t="shared" si="204"/>
        <v>5888.3799199999994</v>
      </c>
      <c r="AE706" s="181">
        <f t="shared" si="193"/>
        <v>26</v>
      </c>
      <c r="AF706" s="37">
        <f t="shared" si="205"/>
        <v>18252</v>
      </c>
      <c r="AG706" s="181">
        <f t="shared" si="194"/>
        <v>1085.4000000000001</v>
      </c>
      <c r="AH706" s="111">
        <f t="shared" si="206"/>
        <v>718.76937599999985</v>
      </c>
      <c r="AI706" s="127">
        <f t="shared" si="207"/>
        <v>1085.4000000000001</v>
      </c>
      <c r="AJ706" s="37">
        <f t="shared" si="195"/>
        <v>6912.4000000000005</v>
      </c>
      <c r="AK706" s="37">
        <f t="shared" si="208"/>
        <v>25164.400000000001</v>
      </c>
      <c r="AL706" s="37">
        <f t="shared" si="196"/>
        <v>8.8149399999999982</v>
      </c>
      <c r="AN706" s="37" t="str">
        <f t="shared" si="209"/>
        <v>Pallet</v>
      </c>
      <c r="AO706" s="194">
        <f t="shared" si="210"/>
        <v>26</v>
      </c>
    </row>
    <row r="707" spans="22:41" x14ac:dyDescent="0.2">
      <c r="V707" s="181">
        <f t="shared" si="197"/>
        <v>334.5</v>
      </c>
      <c r="W707" s="181">
        <f t="shared" si="198"/>
        <v>669</v>
      </c>
      <c r="X707" s="181">
        <f t="shared" si="199"/>
        <v>1</v>
      </c>
      <c r="Y707" s="37">
        <f t="shared" si="200"/>
        <v>1917.1</v>
      </c>
      <c r="Z707" s="181">
        <f t="shared" si="201"/>
        <v>532.5</v>
      </c>
      <c r="AA707" s="127">
        <f t="shared" si="202"/>
        <v>595.21331999999995</v>
      </c>
      <c r="AB707" s="127">
        <f t="shared" si="203"/>
        <v>595.21331999999995</v>
      </c>
      <c r="AC707" s="37">
        <f t="shared" si="192"/>
        <v>3971.2799199999999</v>
      </c>
      <c r="AD707" s="37">
        <f t="shared" si="204"/>
        <v>5888.3799199999994</v>
      </c>
      <c r="AE707" s="181">
        <f t="shared" si="193"/>
        <v>26</v>
      </c>
      <c r="AF707" s="37">
        <f t="shared" si="205"/>
        <v>18252</v>
      </c>
      <c r="AG707" s="181">
        <f t="shared" si="194"/>
        <v>1085.9000000000001</v>
      </c>
      <c r="AH707" s="111">
        <f t="shared" si="206"/>
        <v>718.76937599999985</v>
      </c>
      <c r="AI707" s="127">
        <f t="shared" si="207"/>
        <v>1085.9000000000001</v>
      </c>
      <c r="AJ707" s="37">
        <f t="shared" si="195"/>
        <v>6915.4000000000005</v>
      </c>
      <c r="AK707" s="37">
        <f t="shared" si="208"/>
        <v>25167.4</v>
      </c>
      <c r="AL707" s="37">
        <f t="shared" si="196"/>
        <v>8.80176370702541</v>
      </c>
      <c r="AN707" s="37" t="str">
        <f t="shared" si="209"/>
        <v>Pallet</v>
      </c>
      <c r="AO707" s="194">
        <f t="shared" si="210"/>
        <v>26</v>
      </c>
    </row>
    <row r="708" spans="22:41" x14ac:dyDescent="0.2">
      <c r="V708" s="181">
        <f t="shared" si="197"/>
        <v>335</v>
      </c>
      <c r="W708" s="181">
        <f t="shared" si="198"/>
        <v>670</v>
      </c>
      <c r="X708" s="181">
        <f t="shared" si="199"/>
        <v>1</v>
      </c>
      <c r="Y708" s="37">
        <f t="shared" si="200"/>
        <v>1917.1</v>
      </c>
      <c r="Z708" s="181">
        <f t="shared" si="201"/>
        <v>533</v>
      </c>
      <c r="AA708" s="127">
        <f t="shared" si="202"/>
        <v>595.21331999999995</v>
      </c>
      <c r="AB708" s="127">
        <f t="shared" si="203"/>
        <v>595.21331999999995</v>
      </c>
      <c r="AC708" s="37">
        <f t="shared" si="192"/>
        <v>3971.2799199999999</v>
      </c>
      <c r="AD708" s="37">
        <f t="shared" si="204"/>
        <v>5888.3799199999994</v>
      </c>
      <c r="AE708" s="181">
        <f t="shared" si="193"/>
        <v>26</v>
      </c>
      <c r="AF708" s="37">
        <f t="shared" si="205"/>
        <v>18252</v>
      </c>
      <c r="AG708" s="181">
        <f t="shared" si="194"/>
        <v>1086.4000000000001</v>
      </c>
      <c r="AH708" s="111">
        <f t="shared" si="206"/>
        <v>718.76937599999985</v>
      </c>
      <c r="AI708" s="127">
        <f t="shared" si="207"/>
        <v>1086.4000000000001</v>
      </c>
      <c r="AJ708" s="37">
        <f t="shared" si="195"/>
        <v>6918.4000000000005</v>
      </c>
      <c r="AK708" s="37">
        <f t="shared" si="208"/>
        <v>25170.400000000001</v>
      </c>
      <c r="AL708" s="37">
        <f t="shared" si="196"/>
        <v>8.7886267462686565</v>
      </c>
      <c r="AN708" s="37" t="str">
        <f t="shared" si="209"/>
        <v>Pallet</v>
      </c>
      <c r="AO708" s="194">
        <f t="shared" si="210"/>
        <v>26</v>
      </c>
    </row>
    <row r="709" spans="22:41" x14ac:dyDescent="0.2">
      <c r="V709" s="181">
        <f t="shared" si="197"/>
        <v>335.5</v>
      </c>
      <c r="W709" s="181">
        <f t="shared" si="198"/>
        <v>671</v>
      </c>
      <c r="X709" s="181">
        <f t="shared" si="199"/>
        <v>1</v>
      </c>
      <c r="Y709" s="37">
        <f t="shared" si="200"/>
        <v>1917.1</v>
      </c>
      <c r="Z709" s="181">
        <f t="shared" si="201"/>
        <v>533.5</v>
      </c>
      <c r="AA709" s="127">
        <f t="shared" si="202"/>
        <v>595.21331999999995</v>
      </c>
      <c r="AB709" s="127">
        <f t="shared" si="203"/>
        <v>595.21331999999995</v>
      </c>
      <c r="AC709" s="37">
        <f t="shared" si="192"/>
        <v>3971.2799199999999</v>
      </c>
      <c r="AD709" s="37">
        <f t="shared" si="204"/>
        <v>5888.3799199999994</v>
      </c>
      <c r="AE709" s="181">
        <f t="shared" si="193"/>
        <v>27</v>
      </c>
      <c r="AF709" s="37">
        <f t="shared" si="205"/>
        <v>18954</v>
      </c>
      <c r="AG709" s="181">
        <f t="shared" si="194"/>
        <v>1115.8</v>
      </c>
      <c r="AH709" s="111">
        <f t="shared" si="206"/>
        <v>746.41435199999989</v>
      </c>
      <c r="AI709" s="127">
        <f t="shared" si="207"/>
        <v>1115.8</v>
      </c>
      <c r="AJ709" s="37">
        <f t="shared" si="195"/>
        <v>7094.7999999999993</v>
      </c>
      <c r="AK709" s="37">
        <f t="shared" si="208"/>
        <v>26048.799999999999</v>
      </c>
      <c r="AL709" s="37">
        <f t="shared" si="196"/>
        <v>8.7755289418777931</v>
      </c>
      <c r="AN709" s="37" t="str">
        <f t="shared" si="209"/>
        <v>Pallet</v>
      </c>
      <c r="AO709" s="194">
        <f t="shared" si="210"/>
        <v>26</v>
      </c>
    </row>
    <row r="710" spans="22:41" x14ac:dyDescent="0.2">
      <c r="V710" s="181">
        <f t="shared" si="197"/>
        <v>336</v>
      </c>
      <c r="W710" s="181">
        <f t="shared" si="198"/>
        <v>672</v>
      </c>
      <c r="X710" s="181">
        <f t="shared" si="199"/>
        <v>1</v>
      </c>
      <c r="Y710" s="37">
        <f t="shared" si="200"/>
        <v>1917.1</v>
      </c>
      <c r="Z710" s="181">
        <f t="shared" si="201"/>
        <v>534</v>
      </c>
      <c r="AA710" s="127">
        <f t="shared" si="202"/>
        <v>595.21331999999995</v>
      </c>
      <c r="AB710" s="127">
        <f t="shared" si="203"/>
        <v>595.21331999999995</v>
      </c>
      <c r="AC710" s="37">
        <f t="shared" si="192"/>
        <v>3971.2799199999999</v>
      </c>
      <c r="AD710" s="37">
        <f t="shared" si="204"/>
        <v>5888.3799199999994</v>
      </c>
      <c r="AE710" s="181">
        <f t="shared" si="193"/>
        <v>27</v>
      </c>
      <c r="AF710" s="37">
        <f t="shared" si="205"/>
        <v>18954</v>
      </c>
      <c r="AG710" s="181">
        <f t="shared" si="194"/>
        <v>1116.3</v>
      </c>
      <c r="AH710" s="111">
        <f t="shared" si="206"/>
        <v>746.41435199999989</v>
      </c>
      <c r="AI710" s="127">
        <f t="shared" si="207"/>
        <v>1116.3</v>
      </c>
      <c r="AJ710" s="37">
        <f t="shared" si="195"/>
        <v>7097.7999999999993</v>
      </c>
      <c r="AK710" s="37">
        <f t="shared" si="208"/>
        <v>26051.8</v>
      </c>
      <c r="AL710" s="37">
        <f t="shared" si="196"/>
        <v>8.7624701190476184</v>
      </c>
      <c r="AN710" s="37" t="str">
        <f t="shared" si="209"/>
        <v>Pallet</v>
      </c>
      <c r="AO710" s="194">
        <f t="shared" si="210"/>
        <v>27</v>
      </c>
    </row>
    <row r="711" spans="22:41" x14ac:dyDescent="0.2">
      <c r="V711" s="181">
        <f t="shared" si="197"/>
        <v>336.5</v>
      </c>
      <c r="W711" s="181">
        <f t="shared" si="198"/>
        <v>673</v>
      </c>
      <c r="X711" s="181">
        <f t="shared" si="199"/>
        <v>1</v>
      </c>
      <c r="Y711" s="37">
        <f t="shared" si="200"/>
        <v>1917.1</v>
      </c>
      <c r="Z711" s="181">
        <f t="shared" si="201"/>
        <v>534.5</v>
      </c>
      <c r="AA711" s="127">
        <f t="shared" si="202"/>
        <v>595.21331999999995</v>
      </c>
      <c r="AB711" s="127">
        <f t="shared" si="203"/>
        <v>595.21331999999995</v>
      </c>
      <c r="AC711" s="37">
        <f t="shared" si="192"/>
        <v>3971.2799199999999</v>
      </c>
      <c r="AD711" s="37">
        <f t="shared" si="204"/>
        <v>5888.3799199999994</v>
      </c>
      <c r="AE711" s="181">
        <f t="shared" si="193"/>
        <v>27</v>
      </c>
      <c r="AF711" s="37">
        <f t="shared" si="205"/>
        <v>18954</v>
      </c>
      <c r="AG711" s="181">
        <f t="shared" si="194"/>
        <v>1116.8</v>
      </c>
      <c r="AH711" s="111">
        <f t="shared" si="206"/>
        <v>746.41435199999989</v>
      </c>
      <c r="AI711" s="127">
        <f t="shared" si="207"/>
        <v>1116.8</v>
      </c>
      <c r="AJ711" s="37">
        <f t="shared" si="195"/>
        <v>7100.7999999999993</v>
      </c>
      <c r="AK711" s="37">
        <f t="shared" si="208"/>
        <v>26054.799999999999</v>
      </c>
      <c r="AL711" s="37">
        <f t="shared" si="196"/>
        <v>8.7494501040118866</v>
      </c>
      <c r="AN711" s="37" t="str">
        <f t="shared" si="209"/>
        <v>Pallet</v>
      </c>
      <c r="AO711" s="194">
        <f t="shared" si="210"/>
        <v>27</v>
      </c>
    </row>
    <row r="712" spans="22:41" x14ac:dyDescent="0.2">
      <c r="V712" s="181">
        <f t="shared" si="197"/>
        <v>337</v>
      </c>
      <c r="W712" s="181">
        <f t="shared" si="198"/>
        <v>674</v>
      </c>
      <c r="X712" s="181">
        <f t="shared" si="199"/>
        <v>1</v>
      </c>
      <c r="Y712" s="37">
        <f t="shared" si="200"/>
        <v>1917.1</v>
      </c>
      <c r="Z712" s="181">
        <f t="shared" si="201"/>
        <v>535</v>
      </c>
      <c r="AA712" s="127">
        <f t="shared" si="202"/>
        <v>595.21331999999995</v>
      </c>
      <c r="AB712" s="127">
        <f t="shared" si="203"/>
        <v>595.21331999999995</v>
      </c>
      <c r="AC712" s="37">
        <f t="shared" si="192"/>
        <v>3971.2799199999999</v>
      </c>
      <c r="AD712" s="37">
        <f t="shared" si="204"/>
        <v>5888.3799199999994</v>
      </c>
      <c r="AE712" s="181">
        <f t="shared" si="193"/>
        <v>27</v>
      </c>
      <c r="AF712" s="37">
        <f t="shared" si="205"/>
        <v>18954</v>
      </c>
      <c r="AG712" s="181">
        <f t="shared" si="194"/>
        <v>1117.3</v>
      </c>
      <c r="AH712" s="111">
        <f t="shared" si="206"/>
        <v>746.41435199999989</v>
      </c>
      <c r="AI712" s="127">
        <f t="shared" si="207"/>
        <v>1117.3</v>
      </c>
      <c r="AJ712" s="37">
        <f t="shared" si="195"/>
        <v>7103.7999999999993</v>
      </c>
      <c r="AK712" s="37">
        <f t="shared" si="208"/>
        <v>26057.8</v>
      </c>
      <c r="AL712" s="37">
        <f t="shared" si="196"/>
        <v>8.7364687240356069</v>
      </c>
      <c r="AN712" s="37" t="str">
        <f t="shared" si="209"/>
        <v>Pallet</v>
      </c>
      <c r="AO712" s="194">
        <f t="shared" si="210"/>
        <v>27</v>
      </c>
    </row>
    <row r="713" spans="22:41" x14ac:dyDescent="0.2">
      <c r="V713" s="181">
        <f t="shared" si="197"/>
        <v>337.5</v>
      </c>
      <c r="W713" s="181">
        <f t="shared" si="198"/>
        <v>675</v>
      </c>
      <c r="X713" s="181">
        <f t="shared" si="199"/>
        <v>1</v>
      </c>
      <c r="Y713" s="37">
        <f t="shared" si="200"/>
        <v>1917.1</v>
      </c>
      <c r="Z713" s="181">
        <f t="shared" si="201"/>
        <v>535.5</v>
      </c>
      <c r="AA713" s="127">
        <f t="shared" si="202"/>
        <v>595.21331999999995</v>
      </c>
      <c r="AB713" s="127">
        <f t="shared" si="203"/>
        <v>595.21331999999995</v>
      </c>
      <c r="AC713" s="37">
        <f t="shared" si="192"/>
        <v>3971.2799199999999</v>
      </c>
      <c r="AD713" s="37">
        <f t="shared" si="204"/>
        <v>5888.3799199999994</v>
      </c>
      <c r="AE713" s="181">
        <f t="shared" si="193"/>
        <v>27</v>
      </c>
      <c r="AF713" s="37">
        <f t="shared" si="205"/>
        <v>18954</v>
      </c>
      <c r="AG713" s="181">
        <f t="shared" si="194"/>
        <v>1117.8</v>
      </c>
      <c r="AH713" s="111">
        <f t="shared" si="206"/>
        <v>746.41435199999989</v>
      </c>
      <c r="AI713" s="127">
        <f t="shared" si="207"/>
        <v>1117.8</v>
      </c>
      <c r="AJ713" s="37">
        <f t="shared" si="195"/>
        <v>7106.7999999999993</v>
      </c>
      <c r="AK713" s="37">
        <f t="shared" si="208"/>
        <v>26060.799999999999</v>
      </c>
      <c r="AL713" s="37">
        <f t="shared" si="196"/>
        <v>8.7235258074074071</v>
      </c>
      <c r="AN713" s="37" t="str">
        <f t="shared" si="209"/>
        <v>Pallet</v>
      </c>
      <c r="AO713" s="194">
        <f t="shared" si="210"/>
        <v>27</v>
      </c>
    </row>
    <row r="714" spans="22:41" x14ac:dyDescent="0.2">
      <c r="V714" s="181">
        <f t="shared" si="197"/>
        <v>338</v>
      </c>
      <c r="W714" s="181">
        <f t="shared" si="198"/>
        <v>676</v>
      </c>
      <c r="X714" s="181">
        <f t="shared" si="199"/>
        <v>1</v>
      </c>
      <c r="Y714" s="37">
        <f t="shared" si="200"/>
        <v>1917.1</v>
      </c>
      <c r="Z714" s="181">
        <f t="shared" si="201"/>
        <v>536</v>
      </c>
      <c r="AA714" s="127">
        <f t="shared" si="202"/>
        <v>595.21331999999995</v>
      </c>
      <c r="AB714" s="127">
        <f t="shared" si="203"/>
        <v>595.21331999999995</v>
      </c>
      <c r="AC714" s="37">
        <f t="shared" si="192"/>
        <v>3971.2799199999999</v>
      </c>
      <c r="AD714" s="37">
        <f t="shared" si="204"/>
        <v>5888.3799199999994</v>
      </c>
      <c r="AE714" s="181">
        <f t="shared" si="193"/>
        <v>27</v>
      </c>
      <c r="AF714" s="37">
        <f t="shared" si="205"/>
        <v>18954</v>
      </c>
      <c r="AG714" s="181">
        <f t="shared" si="194"/>
        <v>1118.3</v>
      </c>
      <c r="AH714" s="111">
        <f t="shared" si="206"/>
        <v>746.41435199999989</v>
      </c>
      <c r="AI714" s="127">
        <f t="shared" si="207"/>
        <v>1118.3</v>
      </c>
      <c r="AJ714" s="37">
        <f t="shared" si="195"/>
        <v>7109.7999999999993</v>
      </c>
      <c r="AK714" s="37">
        <f t="shared" si="208"/>
        <v>26063.8</v>
      </c>
      <c r="AL714" s="37">
        <f t="shared" si="196"/>
        <v>8.710621183431952</v>
      </c>
      <c r="AN714" s="37" t="str">
        <f t="shared" si="209"/>
        <v>Pallet</v>
      </c>
      <c r="AO714" s="194">
        <f t="shared" si="210"/>
        <v>27</v>
      </c>
    </row>
    <row r="715" spans="22:41" x14ac:dyDescent="0.2">
      <c r="V715" s="181">
        <f t="shared" si="197"/>
        <v>338.5</v>
      </c>
      <c r="W715" s="181">
        <f t="shared" si="198"/>
        <v>677</v>
      </c>
      <c r="X715" s="181">
        <f t="shared" si="199"/>
        <v>1</v>
      </c>
      <c r="Y715" s="37">
        <f t="shared" si="200"/>
        <v>1917.1</v>
      </c>
      <c r="Z715" s="181">
        <f t="shared" si="201"/>
        <v>536.5</v>
      </c>
      <c r="AA715" s="127">
        <f t="shared" si="202"/>
        <v>595.21331999999995</v>
      </c>
      <c r="AB715" s="127">
        <f t="shared" si="203"/>
        <v>595.21331999999995</v>
      </c>
      <c r="AC715" s="37">
        <f t="shared" si="192"/>
        <v>3971.2799199999999</v>
      </c>
      <c r="AD715" s="37">
        <f t="shared" si="204"/>
        <v>5888.3799199999994</v>
      </c>
      <c r="AE715" s="181">
        <f t="shared" si="193"/>
        <v>27</v>
      </c>
      <c r="AF715" s="37">
        <f t="shared" si="205"/>
        <v>18954</v>
      </c>
      <c r="AG715" s="181">
        <f t="shared" si="194"/>
        <v>1118.8</v>
      </c>
      <c r="AH715" s="111">
        <f t="shared" si="206"/>
        <v>746.41435199999989</v>
      </c>
      <c r="AI715" s="127">
        <f t="shared" si="207"/>
        <v>1118.8</v>
      </c>
      <c r="AJ715" s="37">
        <f t="shared" si="195"/>
        <v>7112.7999999999993</v>
      </c>
      <c r="AK715" s="37">
        <f t="shared" si="208"/>
        <v>26066.799999999999</v>
      </c>
      <c r="AL715" s="37">
        <f t="shared" si="196"/>
        <v>8.6977546824224508</v>
      </c>
      <c r="AN715" s="37" t="str">
        <f t="shared" si="209"/>
        <v>Pallet</v>
      </c>
      <c r="AO715" s="194">
        <f t="shared" si="210"/>
        <v>27</v>
      </c>
    </row>
    <row r="716" spans="22:41" x14ac:dyDescent="0.2">
      <c r="V716" s="181">
        <f t="shared" si="197"/>
        <v>339</v>
      </c>
      <c r="W716" s="181">
        <f t="shared" si="198"/>
        <v>678</v>
      </c>
      <c r="X716" s="181">
        <f t="shared" si="199"/>
        <v>1</v>
      </c>
      <c r="Y716" s="37">
        <f t="shared" si="200"/>
        <v>1917.1</v>
      </c>
      <c r="Z716" s="181">
        <f t="shared" si="201"/>
        <v>537</v>
      </c>
      <c r="AA716" s="127">
        <f t="shared" si="202"/>
        <v>595.21331999999995</v>
      </c>
      <c r="AB716" s="127">
        <f t="shared" si="203"/>
        <v>595.21331999999995</v>
      </c>
      <c r="AC716" s="37">
        <f t="shared" si="192"/>
        <v>3971.2799199999999</v>
      </c>
      <c r="AD716" s="37">
        <f t="shared" si="204"/>
        <v>5888.3799199999994</v>
      </c>
      <c r="AE716" s="181">
        <f t="shared" si="193"/>
        <v>27</v>
      </c>
      <c r="AF716" s="37">
        <f t="shared" si="205"/>
        <v>18954</v>
      </c>
      <c r="AG716" s="181">
        <f t="shared" si="194"/>
        <v>1119.3</v>
      </c>
      <c r="AH716" s="111">
        <f t="shared" si="206"/>
        <v>746.41435199999989</v>
      </c>
      <c r="AI716" s="127">
        <f t="shared" si="207"/>
        <v>1119.3</v>
      </c>
      <c r="AJ716" s="37">
        <f t="shared" si="195"/>
        <v>7115.7999999999993</v>
      </c>
      <c r="AK716" s="37">
        <f t="shared" si="208"/>
        <v>26069.8</v>
      </c>
      <c r="AL716" s="37">
        <f t="shared" si="196"/>
        <v>8.6849261356932139</v>
      </c>
      <c r="AN716" s="37" t="str">
        <f t="shared" si="209"/>
        <v>Pallet</v>
      </c>
      <c r="AO716" s="194">
        <f t="shared" si="210"/>
        <v>27</v>
      </c>
    </row>
    <row r="717" spans="22:41" x14ac:dyDescent="0.2">
      <c r="V717" s="181">
        <f t="shared" si="197"/>
        <v>339.5</v>
      </c>
      <c r="W717" s="181">
        <f t="shared" si="198"/>
        <v>679</v>
      </c>
      <c r="X717" s="181">
        <f t="shared" si="199"/>
        <v>1</v>
      </c>
      <c r="Y717" s="37">
        <f t="shared" si="200"/>
        <v>1917.1</v>
      </c>
      <c r="Z717" s="181">
        <f t="shared" si="201"/>
        <v>537.5</v>
      </c>
      <c r="AA717" s="127">
        <f t="shared" si="202"/>
        <v>595.21331999999995</v>
      </c>
      <c r="AB717" s="127">
        <f t="shared" si="203"/>
        <v>595.21331999999995</v>
      </c>
      <c r="AC717" s="37">
        <f t="shared" si="192"/>
        <v>3971.2799199999999</v>
      </c>
      <c r="AD717" s="37">
        <f t="shared" si="204"/>
        <v>5888.3799199999994</v>
      </c>
      <c r="AE717" s="181">
        <f t="shared" si="193"/>
        <v>27</v>
      </c>
      <c r="AF717" s="37">
        <f t="shared" si="205"/>
        <v>18954</v>
      </c>
      <c r="AG717" s="181">
        <f t="shared" si="194"/>
        <v>1119.8</v>
      </c>
      <c r="AH717" s="111">
        <f t="shared" si="206"/>
        <v>746.41435199999989</v>
      </c>
      <c r="AI717" s="127">
        <f t="shared" si="207"/>
        <v>1119.8</v>
      </c>
      <c r="AJ717" s="37">
        <f t="shared" si="195"/>
        <v>7118.7999999999993</v>
      </c>
      <c r="AK717" s="37">
        <f t="shared" si="208"/>
        <v>26072.799999999999</v>
      </c>
      <c r="AL717" s="37">
        <f t="shared" si="196"/>
        <v>8.6721353755522816</v>
      </c>
      <c r="AN717" s="37" t="str">
        <f t="shared" si="209"/>
        <v>Pallet</v>
      </c>
      <c r="AO717" s="194">
        <f t="shared" si="210"/>
        <v>27</v>
      </c>
    </row>
    <row r="718" spans="22:41" x14ac:dyDescent="0.2">
      <c r="V718" s="181">
        <f t="shared" si="197"/>
        <v>340</v>
      </c>
      <c r="W718" s="181">
        <f t="shared" si="198"/>
        <v>680</v>
      </c>
      <c r="X718" s="181">
        <f t="shared" si="199"/>
        <v>1</v>
      </c>
      <c r="Y718" s="37">
        <f t="shared" si="200"/>
        <v>1917.1</v>
      </c>
      <c r="Z718" s="181">
        <f t="shared" si="201"/>
        <v>538</v>
      </c>
      <c r="AA718" s="127">
        <f t="shared" si="202"/>
        <v>595.21331999999995</v>
      </c>
      <c r="AB718" s="127">
        <f t="shared" si="203"/>
        <v>595.21331999999995</v>
      </c>
      <c r="AC718" s="37">
        <f t="shared" si="192"/>
        <v>3971.2799199999999</v>
      </c>
      <c r="AD718" s="37">
        <f t="shared" si="204"/>
        <v>5888.3799199999994</v>
      </c>
      <c r="AE718" s="181">
        <f t="shared" si="193"/>
        <v>27</v>
      </c>
      <c r="AF718" s="37">
        <f t="shared" si="205"/>
        <v>18954</v>
      </c>
      <c r="AG718" s="181">
        <f t="shared" si="194"/>
        <v>1120.3</v>
      </c>
      <c r="AH718" s="111">
        <f t="shared" si="206"/>
        <v>746.41435199999989</v>
      </c>
      <c r="AI718" s="127">
        <f t="shared" si="207"/>
        <v>1120.3</v>
      </c>
      <c r="AJ718" s="37">
        <f t="shared" si="195"/>
        <v>7121.7999999999993</v>
      </c>
      <c r="AK718" s="37">
        <f t="shared" si="208"/>
        <v>26075.8</v>
      </c>
      <c r="AL718" s="37">
        <f t="shared" si="196"/>
        <v>8.6593822352941174</v>
      </c>
      <c r="AN718" s="37" t="str">
        <f t="shared" si="209"/>
        <v>Pallet</v>
      </c>
      <c r="AO718" s="194">
        <f t="shared" si="210"/>
        <v>27</v>
      </c>
    </row>
    <row r="719" spans="22:41" x14ac:dyDescent="0.2">
      <c r="V719" s="181">
        <f t="shared" si="197"/>
        <v>340.5</v>
      </c>
      <c r="W719" s="181">
        <f t="shared" si="198"/>
        <v>681</v>
      </c>
      <c r="X719" s="181">
        <f t="shared" si="199"/>
        <v>1</v>
      </c>
      <c r="Y719" s="37">
        <f t="shared" si="200"/>
        <v>1917.1</v>
      </c>
      <c r="Z719" s="181">
        <f t="shared" si="201"/>
        <v>538.5</v>
      </c>
      <c r="AA719" s="127">
        <f t="shared" si="202"/>
        <v>595.21331999999995</v>
      </c>
      <c r="AB719" s="127">
        <f t="shared" si="203"/>
        <v>595.21331999999995</v>
      </c>
      <c r="AC719" s="37">
        <f t="shared" si="192"/>
        <v>3971.2799199999999</v>
      </c>
      <c r="AD719" s="37">
        <f t="shared" si="204"/>
        <v>5888.3799199999994</v>
      </c>
      <c r="AE719" s="181">
        <f t="shared" si="193"/>
        <v>27</v>
      </c>
      <c r="AF719" s="37">
        <f t="shared" si="205"/>
        <v>18954</v>
      </c>
      <c r="AG719" s="181">
        <f t="shared" si="194"/>
        <v>1120.8</v>
      </c>
      <c r="AH719" s="111">
        <f t="shared" si="206"/>
        <v>746.41435199999989</v>
      </c>
      <c r="AI719" s="127">
        <f t="shared" si="207"/>
        <v>1120.8</v>
      </c>
      <c r="AJ719" s="37">
        <f t="shared" si="195"/>
        <v>7124.7999999999993</v>
      </c>
      <c r="AK719" s="37">
        <f t="shared" si="208"/>
        <v>26078.799999999999</v>
      </c>
      <c r="AL719" s="37">
        <f t="shared" si="196"/>
        <v>8.6466665491923624</v>
      </c>
      <c r="AN719" s="37" t="str">
        <f t="shared" si="209"/>
        <v>Pallet</v>
      </c>
      <c r="AO719" s="194">
        <f t="shared" si="210"/>
        <v>27</v>
      </c>
    </row>
    <row r="720" spans="22:41" x14ac:dyDescent="0.2">
      <c r="V720" s="181">
        <f t="shared" si="197"/>
        <v>341</v>
      </c>
      <c r="W720" s="181">
        <f t="shared" si="198"/>
        <v>682</v>
      </c>
      <c r="X720" s="181">
        <f t="shared" si="199"/>
        <v>1</v>
      </c>
      <c r="Y720" s="37">
        <f t="shared" si="200"/>
        <v>1917.1</v>
      </c>
      <c r="Z720" s="181">
        <f t="shared" si="201"/>
        <v>539</v>
      </c>
      <c r="AA720" s="127">
        <f t="shared" si="202"/>
        <v>595.21331999999995</v>
      </c>
      <c r="AB720" s="127">
        <f t="shared" si="203"/>
        <v>595.21331999999995</v>
      </c>
      <c r="AC720" s="37">
        <f t="shared" si="192"/>
        <v>3971.2799199999999</v>
      </c>
      <c r="AD720" s="37">
        <f t="shared" si="204"/>
        <v>5888.3799199999994</v>
      </c>
      <c r="AE720" s="181">
        <f t="shared" si="193"/>
        <v>27</v>
      </c>
      <c r="AF720" s="37">
        <f t="shared" si="205"/>
        <v>18954</v>
      </c>
      <c r="AG720" s="181">
        <f t="shared" si="194"/>
        <v>1121.3</v>
      </c>
      <c r="AH720" s="111">
        <f t="shared" si="206"/>
        <v>746.41435199999989</v>
      </c>
      <c r="AI720" s="127">
        <f t="shared" si="207"/>
        <v>1121.3</v>
      </c>
      <c r="AJ720" s="37">
        <f t="shared" si="195"/>
        <v>7127.7999999999993</v>
      </c>
      <c r="AK720" s="37">
        <f t="shared" si="208"/>
        <v>26081.8</v>
      </c>
      <c r="AL720" s="37">
        <f t="shared" si="196"/>
        <v>8.6339881524926678</v>
      </c>
      <c r="AN720" s="37" t="str">
        <f t="shared" si="209"/>
        <v>Pallet</v>
      </c>
      <c r="AO720" s="194">
        <f t="shared" si="210"/>
        <v>27</v>
      </c>
    </row>
    <row r="721" spans="22:41" x14ac:dyDescent="0.2">
      <c r="V721" s="181">
        <f t="shared" si="197"/>
        <v>341.5</v>
      </c>
      <c r="W721" s="181">
        <f t="shared" si="198"/>
        <v>683</v>
      </c>
      <c r="X721" s="181">
        <f t="shared" si="199"/>
        <v>1</v>
      </c>
      <c r="Y721" s="37">
        <f t="shared" si="200"/>
        <v>1917.1</v>
      </c>
      <c r="Z721" s="181">
        <f t="shared" si="201"/>
        <v>539.5</v>
      </c>
      <c r="AA721" s="127">
        <f t="shared" si="202"/>
        <v>595.21331999999995</v>
      </c>
      <c r="AB721" s="127">
        <f t="shared" si="203"/>
        <v>595.21331999999995</v>
      </c>
      <c r="AC721" s="37">
        <f t="shared" si="192"/>
        <v>3971.2799199999999</v>
      </c>
      <c r="AD721" s="37">
        <f t="shared" si="204"/>
        <v>5888.3799199999994</v>
      </c>
      <c r="AE721" s="181">
        <f t="shared" si="193"/>
        <v>27</v>
      </c>
      <c r="AF721" s="37">
        <f t="shared" si="205"/>
        <v>18954</v>
      </c>
      <c r="AG721" s="181">
        <f t="shared" si="194"/>
        <v>1121.8</v>
      </c>
      <c r="AH721" s="111">
        <f t="shared" si="206"/>
        <v>746.41435199999989</v>
      </c>
      <c r="AI721" s="127">
        <f t="shared" si="207"/>
        <v>1121.8</v>
      </c>
      <c r="AJ721" s="37">
        <f t="shared" si="195"/>
        <v>7130.7999999999993</v>
      </c>
      <c r="AK721" s="37">
        <f t="shared" si="208"/>
        <v>26084.799999999999</v>
      </c>
      <c r="AL721" s="37">
        <f t="shared" si="196"/>
        <v>8.6213468814055627</v>
      </c>
      <c r="AN721" s="37" t="str">
        <f t="shared" si="209"/>
        <v>Pallet</v>
      </c>
      <c r="AO721" s="194">
        <f t="shared" si="210"/>
        <v>27</v>
      </c>
    </row>
    <row r="722" spans="22:41" x14ac:dyDescent="0.2">
      <c r="V722" s="181">
        <f t="shared" si="197"/>
        <v>342</v>
      </c>
      <c r="W722" s="181">
        <f t="shared" si="198"/>
        <v>684</v>
      </c>
      <c r="X722" s="181">
        <f t="shared" si="199"/>
        <v>1</v>
      </c>
      <c r="Y722" s="37">
        <f t="shared" si="200"/>
        <v>1917.1</v>
      </c>
      <c r="Z722" s="181">
        <f t="shared" si="201"/>
        <v>540</v>
      </c>
      <c r="AA722" s="127">
        <f t="shared" si="202"/>
        <v>595.21331999999995</v>
      </c>
      <c r="AB722" s="127">
        <f t="shared" si="203"/>
        <v>595.21331999999995</v>
      </c>
      <c r="AC722" s="37">
        <f t="shared" si="192"/>
        <v>3971.2799199999999</v>
      </c>
      <c r="AD722" s="37">
        <f t="shared" si="204"/>
        <v>5888.3799199999994</v>
      </c>
      <c r="AE722" s="181">
        <f t="shared" si="193"/>
        <v>27</v>
      </c>
      <c r="AF722" s="37">
        <f t="shared" si="205"/>
        <v>18954</v>
      </c>
      <c r="AG722" s="181">
        <f t="shared" si="194"/>
        <v>1122.3</v>
      </c>
      <c r="AH722" s="111">
        <f t="shared" si="206"/>
        <v>746.41435199999989</v>
      </c>
      <c r="AI722" s="127">
        <f t="shared" si="207"/>
        <v>1122.3</v>
      </c>
      <c r="AJ722" s="37">
        <f t="shared" si="195"/>
        <v>7133.7999999999993</v>
      </c>
      <c r="AK722" s="37">
        <f t="shared" si="208"/>
        <v>26087.8</v>
      </c>
      <c r="AL722" s="37">
        <f t="shared" si="196"/>
        <v>8.6087425730994145</v>
      </c>
      <c r="AN722" s="37" t="str">
        <f t="shared" si="209"/>
        <v>Pallet</v>
      </c>
      <c r="AO722" s="194">
        <f t="shared" si="210"/>
        <v>27</v>
      </c>
    </row>
    <row r="723" spans="22:41" x14ac:dyDescent="0.2">
      <c r="V723" s="181">
        <f t="shared" si="197"/>
        <v>342.5</v>
      </c>
      <c r="W723" s="181">
        <f t="shared" si="198"/>
        <v>685</v>
      </c>
      <c r="X723" s="181">
        <f t="shared" si="199"/>
        <v>1</v>
      </c>
      <c r="Y723" s="37">
        <f t="shared" si="200"/>
        <v>1917.1</v>
      </c>
      <c r="Z723" s="181">
        <f t="shared" si="201"/>
        <v>540.5</v>
      </c>
      <c r="AA723" s="127">
        <f t="shared" si="202"/>
        <v>595.21331999999995</v>
      </c>
      <c r="AB723" s="127">
        <f t="shared" si="203"/>
        <v>595.21331999999995</v>
      </c>
      <c r="AC723" s="37">
        <f t="shared" si="192"/>
        <v>3971.2799199999999</v>
      </c>
      <c r="AD723" s="37">
        <f t="shared" si="204"/>
        <v>5888.3799199999994</v>
      </c>
      <c r="AE723" s="181">
        <f t="shared" si="193"/>
        <v>27</v>
      </c>
      <c r="AF723" s="37">
        <f t="shared" si="205"/>
        <v>18954</v>
      </c>
      <c r="AG723" s="181">
        <f t="shared" si="194"/>
        <v>1122.8</v>
      </c>
      <c r="AH723" s="111">
        <f t="shared" si="206"/>
        <v>746.41435199999989</v>
      </c>
      <c r="AI723" s="127">
        <f t="shared" si="207"/>
        <v>1122.8</v>
      </c>
      <c r="AJ723" s="37">
        <f t="shared" si="195"/>
        <v>7136.7999999999993</v>
      </c>
      <c r="AK723" s="37">
        <f t="shared" si="208"/>
        <v>26090.799999999999</v>
      </c>
      <c r="AL723" s="37">
        <f t="shared" si="196"/>
        <v>8.5961750656934299</v>
      </c>
      <c r="AN723" s="37" t="str">
        <f t="shared" si="209"/>
        <v>Pallet</v>
      </c>
      <c r="AO723" s="194">
        <f t="shared" si="210"/>
        <v>27</v>
      </c>
    </row>
    <row r="724" spans="22:41" x14ac:dyDescent="0.2">
      <c r="V724" s="181">
        <f t="shared" si="197"/>
        <v>343</v>
      </c>
      <c r="W724" s="181">
        <f t="shared" si="198"/>
        <v>686</v>
      </c>
      <c r="X724" s="181">
        <f t="shared" si="199"/>
        <v>1</v>
      </c>
      <c r="Y724" s="37">
        <f t="shared" si="200"/>
        <v>1917.1</v>
      </c>
      <c r="Z724" s="181">
        <f t="shared" si="201"/>
        <v>541</v>
      </c>
      <c r="AA724" s="127">
        <f t="shared" si="202"/>
        <v>595.21331999999995</v>
      </c>
      <c r="AB724" s="127">
        <f t="shared" si="203"/>
        <v>595.21331999999995</v>
      </c>
      <c r="AC724" s="37">
        <f t="shared" si="192"/>
        <v>3971.2799199999999</v>
      </c>
      <c r="AD724" s="37">
        <f t="shared" si="204"/>
        <v>5888.3799199999994</v>
      </c>
      <c r="AE724" s="181">
        <f t="shared" si="193"/>
        <v>27</v>
      </c>
      <c r="AF724" s="37">
        <f t="shared" si="205"/>
        <v>18954</v>
      </c>
      <c r="AG724" s="181">
        <f t="shared" si="194"/>
        <v>1123.3</v>
      </c>
      <c r="AH724" s="111">
        <f t="shared" si="206"/>
        <v>746.41435199999989</v>
      </c>
      <c r="AI724" s="127">
        <f t="shared" si="207"/>
        <v>1123.3</v>
      </c>
      <c r="AJ724" s="37">
        <f t="shared" si="195"/>
        <v>7139.7999999999993</v>
      </c>
      <c r="AK724" s="37">
        <f t="shared" si="208"/>
        <v>26093.8</v>
      </c>
      <c r="AL724" s="37">
        <f t="shared" si="196"/>
        <v>8.5836441982507274</v>
      </c>
      <c r="AN724" s="37" t="str">
        <f t="shared" si="209"/>
        <v>Pallet</v>
      </c>
      <c r="AO724" s="194">
        <f t="shared" si="210"/>
        <v>27</v>
      </c>
    </row>
    <row r="725" spans="22:41" x14ac:dyDescent="0.2">
      <c r="V725" s="181">
        <f t="shared" si="197"/>
        <v>343.5</v>
      </c>
      <c r="W725" s="181">
        <f t="shared" si="198"/>
        <v>687</v>
      </c>
      <c r="X725" s="181">
        <f t="shared" si="199"/>
        <v>1</v>
      </c>
      <c r="Y725" s="37">
        <f t="shared" si="200"/>
        <v>1917.1</v>
      </c>
      <c r="Z725" s="181">
        <f t="shared" si="201"/>
        <v>541.5</v>
      </c>
      <c r="AA725" s="127">
        <f t="shared" si="202"/>
        <v>595.21331999999995</v>
      </c>
      <c r="AB725" s="127">
        <f t="shared" si="203"/>
        <v>595.21331999999995</v>
      </c>
      <c r="AC725" s="37">
        <f t="shared" si="192"/>
        <v>3971.2799199999999</v>
      </c>
      <c r="AD725" s="37">
        <f t="shared" si="204"/>
        <v>5888.3799199999994</v>
      </c>
      <c r="AE725" s="181">
        <f t="shared" si="193"/>
        <v>27</v>
      </c>
      <c r="AF725" s="37">
        <f t="shared" si="205"/>
        <v>18954</v>
      </c>
      <c r="AG725" s="181">
        <f t="shared" si="194"/>
        <v>1123.8</v>
      </c>
      <c r="AH725" s="111">
        <f t="shared" si="206"/>
        <v>746.41435199999989</v>
      </c>
      <c r="AI725" s="127">
        <f t="shared" si="207"/>
        <v>1123.8</v>
      </c>
      <c r="AJ725" s="37">
        <f t="shared" si="195"/>
        <v>7142.7999999999993</v>
      </c>
      <c r="AK725" s="37">
        <f t="shared" si="208"/>
        <v>26096.799999999999</v>
      </c>
      <c r="AL725" s="37">
        <f t="shared" si="196"/>
        <v>8.5711498107714696</v>
      </c>
      <c r="AN725" s="37" t="str">
        <f t="shared" si="209"/>
        <v>Pallet</v>
      </c>
      <c r="AO725" s="194">
        <f t="shared" si="210"/>
        <v>27</v>
      </c>
    </row>
    <row r="726" spans="22:41" x14ac:dyDescent="0.2">
      <c r="V726" s="181">
        <f t="shared" si="197"/>
        <v>344</v>
      </c>
      <c r="W726" s="181">
        <f t="shared" si="198"/>
        <v>688</v>
      </c>
      <c r="X726" s="181">
        <f t="shared" si="199"/>
        <v>1</v>
      </c>
      <c r="Y726" s="37">
        <f t="shared" si="200"/>
        <v>1917.1</v>
      </c>
      <c r="Z726" s="181">
        <f t="shared" si="201"/>
        <v>542</v>
      </c>
      <c r="AA726" s="127">
        <f t="shared" si="202"/>
        <v>595.21331999999995</v>
      </c>
      <c r="AB726" s="127">
        <f t="shared" si="203"/>
        <v>595.21331999999995</v>
      </c>
      <c r="AC726" s="37">
        <f t="shared" si="192"/>
        <v>3971.2799199999999</v>
      </c>
      <c r="AD726" s="37">
        <f t="shared" si="204"/>
        <v>5888.3799199999994</v>
      </c>
      <c r="AE726" s="181">
        <f t="shared" si="193"/>
        <v>27</v>
      </c>
      <c r="AF726" s="37">
        <f t="shared" si="205"/>
        <v>18954</v>
      </c>
      <c r="AG726" s="181">
        <f t="shared" si="194"/>
        <v>1124.3</v>
      </c>
      <c r="AH726" s="111">
        <f t="shared" si="206"/>
        <v>746.41435199999989</v>
      </c>
      <c r="AI726" s="127">
        <f t="shared" si="207"/>
        <v>1124.3</v>
      </c>
      <c r="AJ726" s="37">
        <f t="shared" si="195"/>
        <v>7145.7999999999993</v>
      </c>
      <c r="AK726" s="37">
        <f t="shared" si="208"/>
        <v>26099.8</v>
      </c>
      <c r="AL726" s="37">
        <f t="shared" si="196"/>
        <v>8.5586917441860457</v>
      </c>
      <c r="AN726" s="37" t="str">
        <f t="shared" si="209"/>
        <v>Pallet</v>
      </c>
      <c r="AO726" s="194">
        <f t="shared" si="210"/>
        <v>27</v>
      </c>
    </row>
    <row r="727" spans="22:41" x14ac:dyDescent="0.2">
      <c r="V727" s="181">
        <f t="shared" si="197"/>
        <v>344.5</v>
      </c>
      <c r="W727" s="181">
        <f t="shared" si="198"/>
        <v>689</v>
      </c>
      <c r="X727" s="181">
        <f t="shared" si="199"/>
        <v>1</v>
      </c>
      <c r="Y727" s="37">
        <f t="shared" si="200"/>
        <v>1917.1</v>
      </c>
      <c r="Z727" s="181">
        <f t="shared" si="201"/>
        <v>542.5</v>
      </c>
      <c r="AA727" s="127">
        <f t="shared" si="202"/>
        <v>595.21331999999995</v>
      </c>
      <c r="AB727" s="127">
        <f t="shared" si="203"/>
        <v>595.21331999999995</v>
      </c>
      <c r="AC727" s="37">
        <f t="shared" si="192"/>
        <v>3971.2799199999999</v>
      </c>
      <c r="AD727" s="37">
        <f t="shared" si="204"/>
        <v>5888.3799199999994</v>
      </c>
      <c r="AE727" s="181">
        <f t="shared" si="193"/>
        <v>27</v>
      </c>
      <c r="AF727" s="37">
        <f t="shared" si="205"/>
        <v>18954</v>
      </c>
      <c r="AG727" s="181">
        <f t="shared" si="194"/>
        <v>1124.8</v>
      </c>
      <c r="AH727" s="111">
        <f t="shared" si="206"/>
        <v>746.41435199999989</v>
      </c>
      <c r="AI727" s="127">
        <f t="shared" si="207"/>
        <v>1124.8</v>
      </c>
      <c r="AJ727" s="37">
        <f t="shared" si="195"/>
        <v>7148.7999999999993</v>
      </c>
      <c r="AK727" s="37">
        <f t="shared" si="208"/>
        <v>26102.799999999999</v>
      </c>
      <c r="AL727" s="37">
        <f t="shared" si="196"/>
        <v>8.5462698403483301</v>
      </c>
      <c r="AN727" s="37" t="str">
        <f t="shared" si="209"/>
        <v>Pallet</v>
      </c>
      <c r="AO727" s="194">
        <f t="shared" si="210"/>
        <v>27</v>
      </c>
    </row>
    <row r="728" spans="22:41" x14ac:dyDescent="0.2">
      <c r="V728" s="181">
        <f t="shared" si="197"/>
        <v>345</v>
      </c>
      <c r="W728" s="181">
        <f t="shared" si="198"/>
        <v>690</v>
      </c>
      <c r="X728" s="181">
        <f t="shared" si="199"/>
        <v>1</v>
      </c>
      <c r="Y728" s="37">
        <f t="shared" si="200"/>
        <v>1917.1</v>
      </c>
      <c r="Z728" s="181">
        <f t="shared" si="201"/>
        <v>543</v>
      </c>
      <c r="AA728" s="127">
        <f t="shared" si="202"/>
        <v>595.21331999999995</v>
      </c>
      <c r="AB728" s="127">
        <f t="shared" si="203"/>
        <v>595.21331999999995</v>
      </c>
      <c r="AC728" s="37">
        <f t="shared" si="192"/>
        <v>3971.2799199999999</v>
      </c>
      <c r="AD728" s="37">
        <f t="shared" si="204"/>
        <v>5888.3799199999994</v>
      </c>
      <c r="AE728" s="181">
        <f t="shared" si="193"/>
        <v>27</v>
      </c>
      <c r="AF728" s="37">
        <f t="shared" si="205"/>
        <v>18954</v>
      </c>
      <c r="AG728" s="181">
        <f t="shared" si="194"/>
        <v>1125.3</v>
      </c>
      <c r="AH728" s="111">
        <f t="shared" si="206"/>
        <v>746.41435199999989</v>
      </c>
      <c r="AI728" s="127">
        <f t="shared" si="207"/>
        <v>1125.3</v>
      </c>
      <c r="AJ728" s="37">
        <f t="shared" si="195"/>
        <v>7151.7999999999993</v>
      </c>
      <c r="AK728" s="37">
        <f t="shared" si="208"/>
        <v>26105.8</v>
      </c>
      <c r="AL728" s="37">
        <f t="shared" si="196"/>
        <v>8.533883942028984</v>
      </c>
      <c r="AN728" s="37" t="str">
        <f t="shared" si="209"/>
        <v>Pallet</v>
      </c>
      <c r="AO728" s="194">
        <f t="shared" si="210"/>
        <v>27</v>
      </c>
    </row>
    <row r="729" spans="22:41" x14ac:dyDescent="0.2">
      <c r="V729" s="181">
        <f t="shared" si="197"/>
        <v>345.5</v>
      </c>
      <c r="W729" s="181">
        <f t="shared" si="198"/>
        <v>691</v>
      </c>
      <c r="X729" s="181">
        <f t="shared" si="199"/>
        <v>1</v>
      </c>
      <c r="Y729" s="37">
        <f t="shared" si="200"/>
        <v>1917.1</v>
      </c>
      <c r="Z729" s="181">
        <f t="shared" si="201"/>
        <v>543.5</v>
      </c>
      <c r="AA729" s="127">
        <f t="shared" si="202"/>
        <v>595.21331999999995</v>
      </c>
      <c r="AB729" s="127">
        <f t="shared" si="203"/>
        <v>595.21331999999995</v>
      </c>
      <c r="AC729" s="37">
        <f t="shared" si="192"/>
        <v>3971.2799199999999</v>
      </c>
      <c r="AD729" s="37">
        <f t="shared" si="204"/>
        <v>5888.3799199999994</v>
      </c>
      <c r="AE729" s="181">
        <f t="shared" si="193"/>
        <v>27</v>
      </c>
      <c r="AF729" s="37">
        <f t="shared" si="205"/>
        <v>18954</v>
      </c>
      <c r="AG729" s="181">
        <f t="shared" si="194"/>
        <v>1125.8</v>
      </c>
      <c r="AH729" s="111">
        <f t="shared" si="206"/>
        <v>746.41435199999989</v>
      </c>
      <c r="AI729" s="127">
        <f t="shared" si="207"/>
        <v>1125.8</v>
      </c>
      <c r="AJ729" s="37">
        <f t="shared" si="195"/>
        <v>7154.7999999999993</v>
      </c>
      <c r="AK729" s="37">
        <f t="shared" si="208"/>
        <v>26108.799999999999</v>
      </c>
      <c r="AL729" s="37">
        <f t="shared" si="196"/>
        <v>8.5215338929088276</v>
      </c>
      <c r="AN729" s="37" t="str">
        <f t="shared" si="209"/>
        <v>Pallet</v>
      </c>
      <c r="AO729" s="194">
        <f t="shared" si="210"/>
        <v>27</v>
      </c>
    </row>
    <row r="730" spans="22:41" x14ac:dyDescent="0.2">
      <c r="V730" s="181">
        <f t="shared" si="197"/>
        <v>346</v>
      </c>
      <c r="W730" s="181">
        <f t="shared" si="198"/>
        <v>692</v>
      </c>
      <c r="X730" s="181">
        <f t="shared" si="199"/>
        <v>1</v>
      </c>
      <c r="Y730" s="37">
        <f t="shared" si="200"/>
        <v>1917.1</v>
      </c>
      <c r="Z730" s="181">
        <f t="shared" si="201"/>
        <v>544</v>
      </c>
      <c r="AA730" s="127">
        <f t="shared" si="202"/>
        <v>595.21331999999995</v>
      </c>
      <c r="AB730" s="127">
        <f t="shared" si="203"/>
        <v>595.21331999999995</v>
      </c>
      <c r="AC730" s="37">
        <f t="shared" si="192"/>
        <v>3971.2799199999999</v>
      </c>
      <c r="AD730" s="37">
        <f t="shared" si="204"/>
        <v>5888.3799199999994</v>
      </c>
      <c r="AE730" s="181">
        <f t="shared" si="193"/>
        <v>27</v>
      </c>
      <c r="AF730" s="37">
        <f t="shared" si="205"/>
        <v>18954</v>
      </c>
      <c r="AG730" s="181">
        <f t="shared" si="194"/>
        <v>1126.3</v>
      </c>
      <c r="AH730" s="111">
        <f t="shared" si="206"/>
        <v>746.41435199999989</v>
      </c>
      <c r="AI730" s="127">
        <f t="shared" si="207"/>
        <v>1126.3</v>
      </c>
      <c r="AJ730" s="37">
        <f t="shared" si="195"/>
        <v>7157.7999999999993</v>
      </c>
      <c r="AK730" s="37">
        <f t="shared" si="208"/>
        <v>26111.8</v>
      </c>
      <c r="AL730" s="37">
        <f t="shared" si="196"/>
        <v>8.5092195375722532</v>
      </c>
      <c r="AN730" s="37" t="str">
        <f t="shared" si="209"/>
        <v>Pallet</v>
      </c>
      <c r="AO730" s="194">
        <f t="shared" si="210"/>
        <v>27</v>
      </c>
    </row>
    <row r="731" spans="22:41" x14ac:dyDescent="0.2">
      <c r="V731" s="181">
        <f t="shared" si="197"/>
        <v>346.5</v>
      </c>
      <c r="W731" s="181">
        <f t="shared" si="198"/>
        <v>693</v>
      </c>
      <c r="X731" s="181">
        <f t="shared" si="199"/>
        <v>1</v>
      </c>
      <c r="Y731" s="37">
        <f t="shared" si="200"/>
        <v>1917.1</v>
      </c>
      <c r="Z731" s="181">
        <f t="shared" si="201"/>
        <v>544.5</v>
      </c>
      <c r="AA731" s="127">
        <f t="shared" si="202"/>
        <v>595.21331999999995</v>
      </c>
      <c r="AB731" s="127">
        <f t="shared" si="203"/>
        <v>595.21331999999995</v>
      </c>
      <c r="AC731" s="37">
        <f t="shared" si="192"/>
        <v>3971.2799199999999</v>
      </c>
      <c r="AD731" s="37">
        <f t="shared" si="204"/>
        <v>5888.3799199999994</v>
      </c>
      <c r="AE731" s="181">
        <f t="shared" si="193"/>
        <v>27</v>
      </c>
      <c r="AF731" s="37">
        <f t="shared" si="205"/>
        <v>18954</v>
      </c>
      <c r="AG731" s="181">
        <f t="shared" si="194"/>
        <v>1126.8</v>
      </c>
      <c r="AH731" s="111">
        <f t="shared" si="206"/>
        <v>746.41435199999989</v>
      </c>
      <c r="AI731" s="127">
        <f t="shared" si="207"/>
        <v>1126.8</v>
      </c>
      <c r="AJ731" s="37">
        <f t="shared" si="195"/>
        <v>7160.7999999999993</v>
      </c>
      <c r="AK731" s="37">
        <f t="shared" si="208"/>
        <v>26114.799999999999</v>
      </c>
      <c r="AL731" s="37">
        <f t="shared" si="196"/>
        <v>8.4969407215007209</v>
      </c>
      <c r="AN731" s="37" t="str">
        <f t="shared" si="209"/>
        <v>Pallet</v>
      </c>
      <c r="AO731" s="194">
        <f t="shared" si="210"/>
        <v>27</v>
      </c>
    </row>
    <row r="732" spans="22:41" x14ac:dyDescent="0.2">
      <c r="V732" s="181">
        <f t="shared" si="197"/>
        <v>347</v>
      </c>
      <c r="W732" s="181">
        <f t="shared" si="198"/>
        <v>694</v>
      </c>
      <c r="X732" s="181">
        <f t="shared" si="199"/>
        <v>1</v>
      </c>
      <c r="Y732" s="37">
        <f t="shared" si="200"/>
        <v>1917.1</v>
      </c>
      <c r="Z732" s="181">
        <f t="shared" si="201"/>
        <v>545</v>
      </c>
      <c r="AA732" s="127">
        <f t="shared" si="202"/>
        <v>595.21331999999995</v>
      </c>
      <c r="AB732" s="127">
        <f t="shared" si="203"/>
        <v>595.21331999999995</v>
      </c>
      <c r="AC732" s="37">
        <f t="shared" si="192"/>
        <v>3971.2799199999999</v>
      </c>
      <c r="AD732" s="37">
        <f t="shared" si="204"/>
        <v>5888.3799199999994</v>
      </c>
      <c r="AE732" s="181">
        <f t="shared" si="193"/>
        <v>27</v>
      </c>
      <c r="AF732" s="37">
        <f t="shared" si="205"/>
        <v>18954</v>
      </c>
      <c r="AG732" s="181">
        <f t="shared" si="194"/>
        <v>1127.3</v>
      </c>
      <c r="AH732" s="111">
        <f t="shared" si="206"/>
        <v>746.41435199999989</v>
      </c>
      <c r="AI732" s="127">
        <f t="shared" si="207"/>
        <v>1127.3</v>
      </c>
      <c r="AJ732" s="37">
        <f t="shared" si="195"/>
        <v>7163.7999999999993</v>
      </c>
      <c r="AK732" s="37">
        <f t="shared" si="208"/>
        <v>26117.8</v>
      </c>
      <c r="AL732" s="37">
        <f t="shared" si="196"/>
        <v>8.484697291066281</v>
      </c>
      <c r="AN732" s="37" t="str">
        <f t="shared" si="209"/>
        <v>Pallet</v>
      </c>
      <c r="AO732" s="194">
        <f t="shared" si="210"/>
        <v>27</v>
      </c>
    </row>
    <row r="733" spans="22:41" x14ac:dyDescent="0.2">
      <c r="V733" s="181">
        <f t="shared" si="197"/>
        <v>347.5</v>
      </c>
      <c r="W733" s="181">
        <f t="shared" si="198"/>
        <v>695</v>
      </c>
      <c r="X733" s="181">
        <f t="shared" si="199"/>
        <v>1</v>
      </c>
      <c r="Y733" s="37">
        <f t="shared" si="200"/>
        <v>1917.1</v>
      </c>
      <c r="Z733" s="181">
        <f t="shared" si="201"/>
        <v>545.5</v>
      </c>
      <c r="AA733" s="127">
        <f t="shared" si="202"/>
        <v>595.21331999999995</v>
      </c>
      <c r="AB733" s="127">
        <f t="shared" si="203"/>
        <v>595.21331999999995</v>
      </c>
      <c r="AC733" s="37">
        <f t="shared" si="192"/>
        <v>3971.2799199999999</v>
      </c>
      <c r="AD733" s="37">
        <f t="shared" si="204"/>
        <v>5888.3799199999994</v>
      </c>
      <c r="AE733" s="181">
        <f t="shared" si="193"/>
        <v>27</v>
      </c>
      <c r="AF733" s="37">
        <f t="shared" si="205"/>
        <v>18954</v>
      </c>
      <c r="AG733" s="181">
        <f t="shared" si="194"/>
        <v>1127.8</v>
      </c>
      <c r="AH733" s="111">
        <f t="shared" si="206"/>
        <v>746.41435199999989</v>
      </c>
      <c r="AI733" s="127">
        <f t="shared" si="207"/>
        <v>1127.8</v>
      </c>
      <c r="AJ733" s="37">
        <f t="shared" si="195"/>
        <v>7166.7999999999993</v>
      </c>
      <c r="AK733" s="37">
        <f t="shared" si="208"/>
        <v>26120.799999999999</v>
      </c>
      <c r="AL733" s="37">
        <f t="shared" si="196"/>
        <v>8.4724890935251782</v>
      </c>
      <c r="AN733" s="37" t="str">
        <f t="shared" si="209"/>
        <v>Pallet</v>
      </c>
      <c r="AO733" s="194">
        <f t="shared" si="210"/>
        <v>27</v>
      </c>
    </row>
    <row r="734" spans="22:41" x14ac:dyDescent="0.2">
      <c r="V734" s="181">
        <f t="shared" si="197"/>
        <v>348</v>
      </c>
      <c r="W734" s="181">
        <f t="shared" si="198"/>
        <v>696</v>
      </c>
      <c r="X734" s="181">
        <f t="shared" si="199"/>
        <v>1</v>
      </c>
      <c r="Y734" s="37">
        <f t="shared" si="200"/>
        <v>1917.1</v>
      </c>
      <c r="Z734" s="181">
        <f t="shared" si="201"/>
        <v>546</v>
      </c>
      <c r="AA734" s="127">
        <f t="shared" si="202"/>
        <v>595.21331999999995</v>
      </c>
      <c r="AB734" s="127">
        <f t="shared" si="203"/>
        <v>595.21331999999995</v>
      </c>
      <c r="AC734" s="37">
        <f t="shared" si="192"/>
        <v>3971.2799199999999</v>
      </c>
      <c r="AD734" s="37">
        <f t="shared" si="204"/>
        <v>5888.3799199999994</v>
      </c>
      <c r="AE734" s="181">
        <f t="shared" si="193"/>
        <v>27</v>
      </c>
      <c r="AF734" s="37">
        <f t="shared" si="205"/>
        <v>18954</v>
      </c>
      <c r="AG734" s="181">
        <f t="shared" si="194"/>
        <v>1128.3</v>
      </c>
      <c r="AH734" s="111">
        <f t="shared" si="206"/>
        <v>746.41435199999989</v>
      </c>
      <c r="AI734" s="127">
        <f t="shared" si="207"/>
        <v>1128.3</v>
      </c>
      <c r="AJ734" s="37">
        <f t="shared" si="195"/>
        <v>7169.7999999999993</v>
      </c>
      <c r="AK734" s="37">
        <f t="shared" si="208"/>
        <v>26123.8</v>
      </c>
      <c r="AL734" s="37">
        <f t="shared" si="196"/>
        <v>8.4603159770114935</v>
      </c>
      <c r="AN734" s="37" t="str">
        <f t="shared" si="209"/>
        <v>Pallet</v>
      </c>
      <c r="AO734" s="194">
        <f t="shared" si="210"/>
        <v>27</v>
      </c>
    </row>
    <row r="735" spans="22:41" x14ac:dyDescent="0.2">
      <c r="V735" s="181">
        <f t="shared" si="197"/>
        <v>348.5</v>
      </c>
      <c r="W735" s="181">
        <f t="shared" si="198"/>
        <v>697</v>
      </c>
      <c r="X735" s="181">
        <f t="shared" si="199"/>
        <v>1</v>
      </c>
      <c r="Y735" s="37">
        <f t="shared" si="200"/>
        <v>1917.1</v>
      </c>
      <c r="Z735" s="181">
        <f t="shared" si="201"/>
        <v>546.5</v>
      </c>
      <c r="AA735" s="127">
        <f t="shared" si="202"/>
        <v>595.21331999999995</v>
      </c>
      <c r="AB735" s="127">
        <f t="shared" si="203"/>
        <v>595.21331999999995</v>
      </c>
      <c r="AC735" s="37">
        <f t="shared" si="192"/>
        <v>3971.2799199999999</v>
      </c>
      <c r="AD735" s="37">
        <f t="shared" si="204"/>
        <v>5888.3799199999994</v>
      </c>
      <c r="AE735" s="181">
        <f t="shared" si="193"/>
        <v>28</v>
      </c>
      <c r="AF735" s="37">
        <f t="shared" si="205"/>
        <v>19656</v>
      </c>
      <c r="AG735" s="181">
        <f t="shared" si="194"/>
        <v>1157.6999999999998</v>
      </c>
      <c r="AH735" s="111">
        <f t="shared" si="206"/>
        <v>774.05932799999994</v>
      </c>
      <c r="AI735" s="127">
        <f t="shared" si="207"/>
        <v>1157.6999999999998</v>
      </c>
      <c r="AJ735" s="37">
        <f t="shared" si="195"/>
        <v>7346.1999999999989</v>
      </c>
      <c r="AK735" s="37">
        <f t="shared" si="208"/>
        <v>27002.199999999997</v>
      </c>
      <c r="AL735" s="37">
        <f t="shared" si="196"/>
        <v>8.4481777905308455</v>
      </c>
      <c r="AN735" s="37" t="str">
        <f t="shared" si="209"/>
        <v>Pallet</v>
      </c>
      <c r="AO735" s="194">
        <f t="shared" si="210"/>
        <v>27</v>
      </c>
    </row>
    <row r="736" spans="22:41" x14ac:dyDescent="0.2">
      <c r="V736" s="181">
        <f t="shared" si="197"/>
        <v>349</v>
      </c>
      <c r="W736" s="181">
        <f t="shared" si="198"/>
        <v>698</v>
      </c>
      <c r="X736" s="181">
        <f t="shared" si="199"/>
        <v>1</v>
      </c>
      <c r="Y736" s="37">
        <f t="shared" si="200"/>
        <v>1917.1</v>
      </c>
      <c r="Z736" s="181">
        <f t="shared" si="201"/>
        <v>547</v>
      </c>
      <c r="AA736" s="127">
        <f t="shared" si="202"/>
        <v>595.21331999999995</v>
      </c>
      <c r="AB736" s="127">
        <f t="shared" si="203"/>
        <v>595.21331999999995</v>
      </c>
      <c r="AC736" s="37">
        <f t="shared" si="192"/>
        <v>3971.2799199999999</v>
      </c>
      <c r="AD736" s="37">
        <f t="shared" si="204"/>
        <v>5888.3799199999994</v>
      </c>
      <c r="AE736" s="181">
        <f t="shared" si="193"/>
        <v>28</v>
      </c>
      <c r="AF736" s="37">
        <f t="shared" si="205"/>
        <v>19656</v>
      </c>
      <c r="AG736" s="181">
        <f t="shared" si="194"/>
        <v>1158.1999999999998</v>
      </c>
      <c r="AH736" s="111">
        <f t="shared" si="206"/>
        <v>774.05932799999994</v>
      </c>
      <c r="AI736" s="127">
        <f t="shared" si="207"/>
        <v>1158.1999999999998</v>
      </c>
      <c r="AJ736" s="37">
        <f t="shared" si="195"/>
        <v>7349.1999999999989</v>
      </c>
      <c r="AK736" s="37">
        <f t="shared" si="208"/>
        <v>27005.199999999997</v>
      </c>
      <c r="AL736" s="37">
        <f t="shared" si="196"/>
        <v>8.4360743839541534</v>
      </c>
      <c r="AN736" s="37" t="str">
        <f t="shared" si="209"/>
        <v>Pallet</v>
      </c>
      <c r="AO736" s="194">
        <f t="shared" si="210"/>
        <v>28</v>
      </c>
    </row>
    <row r="737" spans="22:41" x14ac:dyDescent="0.2">
      <c r="V737" s="181">
        <f t="shared" si="197"/>
        <v>349.5</v>
      </c>
      <c r="W737" s="181">
        <f t="shared" si="198"/>
        <v>699</v>
      </c>
      <c r="X737" s="181">
        <f t="shared" si="199"/>
        <v>1</v>
      </c>
      <c r="Y737" s="37">
        <f t="shared" si="200"/>
        <v>1917.1</v>
      </c>
      <c r="Z737" s="181">
        <f t="shared" si="201"/>
        <v>547.5</v>
      </c>
      <c r="AA737" s="127">
        <f t="shared" si="202"/>
        <v>595.21331999999995</v>
      </c>
      <c r="AB737" s="127">
        <f t="shared" si="203"/>
        <v>595.21331999999995</v>
      </c>
      <c r="AC737" s="37">
        <f t="shared" si="192"/>
        <v>3971.2799199999999</v>
      </c>
      <c r="AD737" s="37">
        <f t="shared" si="204"/>
        <v>5888.3799199999994</v>
      </c>
      <c r="AE737" s="181">
        <f t="shared" si="193"/>
        <v>28</v>
      </c>
      <c r="AF737" s="37">
        <f t="shared" si="205"/>
        <v>19656</v>
      </c>
      <c r="AG737" s="181">
        <f t="shared" si="194"/>
        <v>1158.6999999999998</v>
      </c>
      <c r="AH737" s="111">
        <f t="shared" si="206"/>
        <v>774.05932799999994</v>
      </c>
      <c r="AI737" s="127">
        <f t="shared" si="207"/>
        <v>1158.6999999999998</v>
      </c>
      <c r="AJ737" s="37">
        <f t="shared" si="195"/>
        <v>7352.1999999999989</v>
      </c>
      <c r="AK737" s="37">
        <f t="shared" si="208"/>
        <v>27008.199999999997</v>
      </c>
      <c r="AL737" s="37">
        <f t="shared" si="196"/>
        <v>8.4240056080114449</v>
      </c>
      <c r="AN737" s="37" t="str">
        <f t="shared" si="209"/>
        <v>Pallet</v>
      </c>
      <c r="AO737" s="194">
        <f t="shared" si="210"/>
        <v>28</v>
      </c>
    </row>
    <row r="738" spans="22:41" x14ac:dyDescent="0.2">
      <c r="V738" s="181">
        <f t="shared" si="197"/>
        <v>350</v>
      </c>
      <c r="W738" s="181">
        <f t="shared" si="198"/>
        <v>700</v>
      </c>
      <c r="X738" s="181">
        <f t="shared" si="199"/>
        <v>1</v>
      </c>
      <c r="Y738" s="37">
        <f t="shared" si="200"/>
        <v>1917.1</v>
      </c>
      <c r="Z738" s="181">
        <f t="shared" si="201"/>
        <v>548</v>
      </c>
      <c r="AA738" s="127">
        <f t="shared" si="202"/>
        <v>595.21331999999995</v>
      </c>
      <c r="AB738" s="127">
        <f t="shared" si="203"/>
        <v>595.21331999999995</v>
      </c>
      <c r="AC738" s="37">
        <f t="shared" si="192"/>
        <v>3971.2799199999999</v>
      </c>
      <c r="AD738" s="37">
        <f t="shared" si="204"/>
        <v>5888.3799199999994</v>
      </c>
      <c r="AE738" s="181">
        <f t="shared" si="193"/>
        <v>28</v>
      </c>
      <c r="AF738" s="37">
        <f t="shared" si="205"/>
        <v>19656</v>
      </c>
      <c r="AG738" s="181">
        <f t="shared" si="194"/>
        <v>1159.1999999999998</v>
      </c>
      <c r="AH738" s="111">
        <f t="shared" si="206"/>
        <v>774.05932799999994</v>
      </c>
      <c r="AI738" s="127">
        <f t="shared" si="207"/>
        <v>1159.1999999999998</v>
      </c>
      <c r="AJ738" s="37">
        <f t="shared" si="195"/>
        <v>7355.1999999999989</v>
      </c>
      <c r="AK738" s="37">
        <f t="shared" si="208"/>
        <v>27011.199999999997</v>
      </c>
      <c r="AL738" s="37">
        <f t="shared" si="196"/>
        <v>8.4119713142857133</v>
      </c>
      <c r="AN738" s="37" t="str">
        <f t="shared" si="209"/>
        <v>Pallet</v>
      </c>
      <c r="AO738" s="194">
        <f t="shared" si="210"/>
        <v>28</v>
      </c>
    </row>
    <row r="739" spans="22:41" x14ac:dyDescent="0.2">
      <c r="V739" s="181">
        <f t="shared" si="197"/>
        <v>350.5</v>
      </c>
      <c r="W739" s="181">
        <f t="shared" si="198"/>
        <v>701</v>
      </c>
      <c r="X739" s="181">
        <f t="shared" si="199"/>
        <v>1</v>
      </c>
      <c r="Y739" s="37">
        <f t="shared" si="200"/>
        <v>1917.1</v>
      </c>
      <c r="Z739" s="181">
        <f t="shared" si="201"/>
        <v>548.5</v>
      </c>
      <c r="AA739" s="127">
        <f t="shared" si="202"/>
        <v>595.21331999999995</v>
      </c>
      <c r="AB739" s="127">
        <f t="shared" si="203"/>
        <v>595.21331999999995</v>
      </c>
      <c r="AC739" s="37">
        <f t="shared" si="192"/>
        <v>3971.2799199999999</v>
      </c>
      <c r="AD739" s="37">
        <f t="shared" si="204"/>
        <v>5888.3799199999994</v>
      </c>
      <c r="AE739" s="181">
        <f t="shared" si="193"/>
        <v>28</v>
      </c>
      <c r="AF739" s="37">
        <f t="shared" si="205"/>
        <v>19656</v>
      </c>
      <c r="AG739" s="181">
        <f t="shared" si="194"/>
        <v>1159.6999999999998</v>
      </c>
      <c r="AH739" s="111">
        <f t="shared" si="206"/>
        <v>774.05932799999994</v>
      </c>
      <c r="AI739" s="127">
        <f t="shared" si="207"/>
        <v>1159.6999999999998</v>
      </c>
      <c r="AJ739" s="37">
        <f t="shared" si="195"/>
        <v>7358.1999999999989</v>
      </c>
      <c r="AK739" s="37">
        <f t="shared" si="208"/>
        <v>27014.199999999997</v>
      </c>
      <c r="AL739" s="37">
        <f t="shared" si="196"/>
        <v>8.399971355206846</v>
      </c>
      <c r="AN739" s="37" t="str">
        <f t="shared" si="209"/>
        <v>Pallet</v>
      </c>
      <c r="AO739" s="194">
        <f t="shared" si="210"/>
        <v>28</v>
      </c>
    </row>
    <row r="740" spans="22:41" x14ac:dyDescent="0.2">
      <c r="V740" s="181">
        <f t="shared" si="197"/>
        <v>351</v>
      </c>
      <c r="W740" s="181">
        <f t="shared" si="198"/>
        <v>702</v>
      </c>
      <c r="X740" s="181">
        <f t="shared" si="199"/>
        <v>1</v>
      </c>
      <c r="Y740" s="37">
        <f t="shared" si="200"/>
        <v>1917.1</v>
      </c>
      <c r="Z740" s="181">
        <f t="shared" si="201"/>
        <v>549</v>
      </c>
      <c r="AA740" s="127">
        <f t="shared" si="202"/>
        <v>595.21331999999995</v>
      </c>
      <c r="AB740" s="127">
        <f t="shared" si="203"/>
        <v>595.21331999999995</v>
      </c>
      <c r="AC740" s="37">
        <f t="shared" si="192"/>
        <v>3971.2799199999999</v>
      </c>
      <c r="AD740" s="37">
        <f t="shared" si="204"/>
        <v>5888.3799199999994</v>
      </c>
      <c r="AE740" s="181">
        <f t="shared" si="193"/>
        <v>28</v>
      </c>
      <c r="AF740" s="37">
        <f t="shared" si="205"/>
        <v>19656</v>
      </c>
      <c r="AG740" s="181">
        <f t="shared" si="194"/>
        <v>1160.1999999999998</v>
      </c>
      <c r="AH740" s="111">
        <f t="shared" si="206"/>
        <v>774.05932799999994</v>
      </c>
      <c r="AI740" s="127">
        <f t="shared" si="207"/>
        <v>1160.1999999999998</v>
      </c>
      <c r="AJ740" s="37">
        <f t="shared" si="195"/>
        <v>7361.1999999999989</v>
      </c>
      <c r="AK740" s="37">
        <f t="shared" si="208"/>
        <v>27017.199999999997</v>
      </c>
      <c r="AL740" s="37">
        <f t="shared" si="196"/>
        <v>8.3880055840455832</v>
      </c>
      <c r="AN740" s="37" t="str">
        <f t="shared" si="209"/>
        <v>Pallet</v>
      </c>
      <c r="AO740" s="194">
        <f t="shared" si="210"/>
        <v>28</v>
      </c>
    </row>
    <row r="741" spans="22:41" x14ac:dyDescent="0.2">
      <c r="V741" s="181">
        <f t="shared" si="197"/>
        <v>351.5</v>
      </c>
      <c r="W741" s="181">
        <f t="shared" si="198"/>
        <v>703</v>
      </c>
      <c r="X741" s="181">
        <f t="shared" si="199"/>
        <v>1</v>
      </c>
      <c r="Y741" s="37">
        <f t="shared" si="200"/>
        <v>1917.1</v>
      </c>
      <c r="Z741" s="181">
        <f t="shared" si="201"/>
        <v>549.5</v>
      </c>
      <c r="AA741" s="127">
        <f t="shared" si="202"/>
        <v>595.21331999999995</v>
      </c>
      <c r="AB741" s="127">
        <f t="shared" si="203"/>
        <v>595.21331999999995</v>
      </c>
      <c r="AC741" s="37">
        <f t="shared" si="192"/>
        <v>3971.2799199999999</v>
      </c>
      <c r="AD741" s="37">
        <f t="shared" si="204"/>
        <v>5888.3799199999994</v>
      </c>
      <c r="AE741" s="181">
        <f t="shared" si="193"/>
        <v>28</v>
      </c>
      <c r="AF741" s="37">
        <f t="shared" si="205"/>
        <v>19656</v>
      </c>
      <c r="AG741" s="181">
        <f t="shared" si="194"/>
        <v>1160.6999999999998</v>
      </c>
      <c r="AH741" s="111">
        <f t="shared" si="206"/>
        <v>774.05932799999994</v>
      </c>
      <c r="AI741" s="127">
        <f t="shared" si="207"/>
        <v>1160.6999999999998</v>
      </c>
      <c r="AJ741" s="37">
        <f t="shared" si="195"/>
        <v>7364.1999999999989</v>
      </c>
      <c r="AK741" s="37">
        <f t="shared" si="208"/>
        <v>27020.199999999997</v>
      </c>
      <c r="AL741" s="37">
        <f t="shared" si="196"/>
        <v>8.3760738549075384</v>
      </c>
      <c r="AN741" s="37" t="str">
        <f t="shared" si="209"/>
        <v>Pallet</v>
      </c>
      <c r="AO741" s="194">
        <f t="shared" si="210"/>
        <v>28</v>
      </c>
    </row>
    <row r="742" spans="22:41" x14ac:dyDescent="0.2">
      <c r="V742" s="181">
        <f t="shared" si="197"/>
        <v>352</v>
      </c>
      <c r="W742" s="181">
        <f t="shared" si="198"/>
        <v>704</v>
      </c>
      <c r="X742" s="181">
        <f t="shared" si="199"/>
        <v>1</v>
      </c>
      <c r="Y742" s="37">
        <f t="shared" si="200"/>
        <v>1917.1</v>
      </c>
      <c r="Z742" s="181">
        <f t="shared" si="201"/>
        <v>550</v>
      </c>
      <c r="AA742" s="127">
        <f t="shared" si="202"/>
        <v>595.21331999999995</v>
      </c>
      <c r="AB742" s="127">
        <f t="shared" si="203"/>
        <v>595.21331999999995</v>
      </c>
      <c r="AC742" s="37">
        <f t="shared" si="192"/>
        <v>3971.2799199999999</v>
      </c>
      <c r="AD742" s="37">
        <f t="shared" si="204"/>
        <v>5888.3799199999994</v>
      </c>
      <c r="AE742" s="181">
        <f t="shared" si="193"/>
        <v>28</v>
      </c>
      <c r="AF742" s="37">
        <f t="shared" si="205"/>
        <v>19656</v>
      </c>
      <c r="AG742" s="181">
        <f t="shared" si="194"/>
        <v>1161.1999999999998</v>
      </c>
      <c r="AH742" s="111">
        <f t="shared" si="206"/>
        <v>774.05932799999994</v>
      </c>
      <c r="AI742" s="127">
        <f t="shared" si="207"/>
        <v>1161.1999999999998</v>
      </c>
      <c r="AJ742" s="37">
        <f t="shared" si="195"/>
        <v>7367.1999999999989</v>
      </c>
      <c r="AK742" s="37">
        <f t="shared" si="208"/>
        <v>27023.199999999997</v>
      </c>
      <c r="AL742" s="37">
        <f t="shared" si="196"/>
        <v>8.3641760227272712</v>
      </c>
      <c r="AN742" s="37" t="str">
        <f t="shared" si="209"/>
        <v>Pallet</v>
      </c>
      <c r="AO742" s="194">
        <f t="shared" si="210"/>
        <v>28</v>
      </c>
    </row>
    <row r="743" spans="22:41" x14ac:dyDescent="0.2">
      <c r="V743" s="181">
        <f t="shared" si="197"/>
        <v>352.5</v>
      </c>
      <c r="W743" s="181">
        <f t="shared" si="198"/>
        <v>705</v>
      </c>
      <c r="X743" s="181">
        <f t="shared" si="199"/>
        <v>1</v>
      </c>
      <c r="Y743" s="37">
        <f t="shared" si="200"/>
        <v>1917.1</v>
      </c>
      <c r="Z743" s="181">
        <f t="shared" si="201"/>
        <v>550.5</v>
      </c>
      <c r="AA743" s="127">
        <f t="shared" si="202"/>
        <v>595.21331999999995</v>
      </c>
      <c r="AB743" s="127">
        <f t="shared" si="203"/>
        <v>595.21331999999995</v>
      </c>
      <c r="AC743" s="37">
        <f t="shared" ref="AC743:AC806" si="211">(Shipping_perkg_first100*100)+((AB743-100)*Shipping_perkg_above100)</f>
        <v>3971.2799199999999</v>
      </c>
      <c r="AD743" s="37">
        <f t="shared" si="204"/>
        <v>5888.3799199999994</v>
      </c>
      <c r="AE743" s="181">
        <f t="shared" ref="AE743:AE806" si="212">ROUNDUP(W743/$N$19,0)</f>
        <v>28</v>
      </c>
      <c r="AF743" s="37">
        <f t="shared" si="205"/>
        <v>19656</v>
      </c>
      <c r="AG743" s="181">
        <f t="shared" ref="AG743:AG806" si="213">(AE743*$K$19)+V743</f>
        <v>1161.6999999999998</v>
      </c>
      <c r="AH743" s="111">
        <f t="shared" si="206"/>
        <v>774.05932799999994</v>
      </c>
      <c r="AI743" s="127">
        <f t="shared" si="207"/>
        <v>1161.6999999999998</v>
      </c>
      <c r="AJ743" s="37">
        <f t="shared" ref="AJ743:AJ806" si="214">IF(AI743&lt;=100,AI743*Shipping_perkg_first100,(Shipping_perkg_first100*100)+((AI743-100)*Shipping_perkg_above100))</f>
        <v>7370.1999999999989</v>
      </c>
      <c r="AK743" s="37">
        <f t="shared" si="208"/>
        <v>27026.199999999997</v>
      </c>
      <c r="AL743" s="37">
        <f t="shared" si="196"/>
        <v>8.3523119432624107</v>
      </c>
      <c r="AN743" s="37" t="str">
        <f t="shared" si="209"/>
        <v>Pallet</v>
      </c>
      <c r="AO743" s="194">
        <f t="shared" si="210"/>
        <v>28</v>
      </c>
    </row>
    <row r="744" spans="22:41" x14ac:dyDescent="0.2">
      <c r="V744" s="181">
        <f t="shared" si="197"/>
        <v>353</v>
      </c>
      <c r="W744" s="181">
        <f t="shared" si="198"/>
        <v>706</v>
      </c>
      <c r="X744" s="181">
        <f t="shared" si="199"/>
        <v>1</v>
      </c>
      <c r="Y744" s="37">
        <f t="shared" si="200"/>
        <v>1917.1</v>
      </c>
      <c r="Z744" s="181">
        <f t="shared" si="201"/>
        <v>551</v>
      </c>
      <c r="AA744" s="127">
        <f t="shared" si="202"/>
        <v>595.21331999999995</v>
      </c>
      <c r="AB744" s="127">
        <f t="shared" si="203"/>
        <v>595.21331999999995</v>
      </c>
      <c r="AC744" s="37">
        <f t="shared" si="211"/>
        <v>3971.2799199999999</v>
      </c>
      <c r="AD744" s="37">
        <f t="shared" si="204"/>
        <v>5888.3799199999994</v>
      </c>
      <c r="AE744" s="181">
        <f t="shared" si="212"/>
        <v>28</v>
      </c>
      <c r="AF744" s="37">
        <f t="shared" si="205"/>
        <v>19656</v>
      </c>
      <c r="AG744" s="181">
        <f t="shared" si="213"/>
        <v>1162.1999999999998</v>
      </c>
      <c r="AH744" s="111">
        <f t="shared" si="206"/>
        <v>774.05932799999994</v>
      </c>
      <c r="AI744" s="127">
        <f t="shared" si="207"/>
        <v>1162.1999999999998</v>
      </c>
      <c r="AJ744" s="37">
        <f t="shared" si="214"/>
        <v>7373.1999999999989</v>
      </c>
      <c r="AK744" s="37">
        <f t="shared" si="208"/>
        <v>27029.199999999997</v>
      </c>
      <c r="AL744" s="37">
        <f t="shared" ref="AL744:AL807" si="215">MIN(AD744,AK744)/W744</f>
        <v>8.3404814730878183</v>
      </c>
      <c r="AN744" s="37" t="str">
        <f t="shared" si="209"/>
        <v>Pallet</v>
      </c>
      <c r="AO744" s="194">
        <f t="shared" si="210"/>
        <v>28</v>
      </c>
    </row>
    <row r="745" spans="22:41" x14ac:dyDescent="0.2">
      <c r="V745" s="181">
        <f t="shared" ref="V745:V808" si="216">W745*$V$37</f>
        <v>353.5</v>
      </c>
      <c r="W745" s="181">
        <f t="shared" ref="W745:W808" si="217">W744+1</f>
        <v>707</v>
      </c>
      <c r="X745" s="181">
        <f t="shared" ref="X745:X808" si="218">ROUNDUP(W745/$N$29,0)</f>
        <v>1</v>
      </c>
      <c r="Y745" s="37">
        <f t="shared" ref="Y745:Y808" si="219">X745*$P$29</f>
        <v>1917.1</v>
      </c>
      <c r="Z745" s="181">
        <f t="shared" ref="Z745:Z808" si="220">V745+(X745*$K$29)</f>
        <v>551.5</v>
      </c>
      <c r="AA745" s="127">
        <f t="shared" ref="AA745:AA808" si="221">X745*$T$29</f>
        <v>595.21331999999995</v>
      </c>
      <c r="AB745" s="127">
        <f t="shared" ref="AB745:AB808" si="222">MAX(Z745,AA745)</f>
        <v>595.21331999999995</v>
      </c>
      <c r="AC745" s="37">
        <f t="shared" si="211"/>
        <v>3971.2799199999999</v>
      </c>
      <c r="AD745" s="37">
        <f t="shared" ref="AD745:AD808" si="223">Y745+AC745</f>
        <v>5888.3799199999994</v>
      </c>
      <c r="AE745" s="181">
        <f t="shared" si="212"/>
        <v>28</v>
      </c>
      <c r="AF745" s="37">
        <f t="shared" ref="AF745:AF808" si="224">AE745*$P$19</f>
        <v>19656</v>
      </c>
      <c r="AG745" s="181">
        <f t="shared" si="213"/>
        <v>1162.6999999999998</v>
      </c>
      <c r="AH745" s="111">
        <f t="shared" ref="AH745:AH808" si="225">AE745*$X$19</f>
        <v>774.05932799999994</v>
      </c>
      <c r="AI745" s="127">
        <f t="shared" ref="AI745:AI808" si="226">MAX(AG745,AH745)</f>
        <v>1162.6999999999998</v>
      </c>
      <c r="AJ745" s="37">
        <f t="shared" si="214"/>
        <v>7376.1999999999989</v>
      </c>
      <c r="AK745" s="37">
        <f t="shared" ref="AK745:AK808" si="227">AF745+AJ745</f>
        <v>27032.199999999997</v>
      </c>
      <c r="AL745" s="37">
        <f t="shared" si="215"/>
        <v>8.328684469589815</v>
      </c>
      <c r="AN745" s="37" t="str">
        <f t="shared" ref="AN745:AN808" si="228">IF(AD745&lt;AK745,"Pallet","Parcel")</f>
        <v>Pallet</v>
      </c>
      <c r="AO745" s="194">
        <f t="shared" ref="AO745:AO808" si="229">AE744</f>
        <v>28</v>
      </c>
    </row>
    <row r="746" spans="22:41" x14ac:dyDescent="0.2">
      <c r="V746" s="181">
        <f t="shared" si="216"/>
        <v>354</v>
      </c>
      <c r="W746" s="181">
        <f t="shared" si="217"/>
        <v>708</v>
      </c>
      <c r="X746" s="181">
        <f t="shared" si="218"/>
        <v>1</v>
      </c>
      <c r="Y746" s="37">
        <f t="shared" si="219"/>
        <v>1917.1</v>
      </c>
      <c r="Z746" s="181">
        <f t="shared" si="220"/>
        <v>552</v>
      </c>
      <c r="AA746" s="127">
        <f t="shared" si="221"/>
        <v>595.21331999999995</v>
      </c>
      <c r="AB746" s="127">
        <f t="shared" si="222"/>
        <v>595.21331999999995</v>
      </c>
      <c r="AC746" s="37">
        <f t="shared" si="211"/>
        <v>3971.2799199999999</v>
      </c>
      <c r="AD746" s="37">
        <f t="shared" si="223"/>
        <v>5888.3799199999994</v>
      </c>
      <c r="AE746" s="181">
        <f t="shared" si="212"/>
        <v>28</v>
      </c>
      <c r="AF746" s="37">
        <f t="shared" si="224"/>
        <v>19656</v>
      </c>
      <c r="AG746" s="181">
        <f t="shared" si="213"/>
        <v>1163.1999999999998</v>
      </c>
      <c r="AH746" s="111">
        <f t="shared" si="225"/>
        <v>774.05932799999994</v>
      </c>
      <c r="AI746" s="127">
        <f t="shared" si="226"/>
        <v>1163.1999999999998</v>
      </c>
      <c r="AJ746" s="37">
        <f t="shared" si="214"/>
        <v>7379.1999999999989</v>
      </c>
      <c r="AK746" s="37">
        <f t="shared" si="227"/>
        <v>27035.199999999997</v>
      </c>
      <c r="AL746" s="37">
        <f t="shared" si="215"/>
        <v>8.3169207909604506</v>
      </c>
      <c r="AN746" s="37" t="str">
        <f t="shared" si="228"/>
        <v>Pallet</v>
      </c>
      <c r="AO746" s="194">
        <f t="shared" si="229"/>
        <v>28</v>
      </c>
    </row>
    <row r="747" spans="22:41" x14ac:dyDescent="0.2">
      <c r="V747" s="181">
        <f t="shared" si="216"/>
        <v>354.5</v>
      </c>
      <c r="W747" s="181">
        <f t="shared" si="217"/>
        <v>709</v>
      </c>
      <c r="X747" s="181">
        <f t="shared" si="218"/>
        <v>1</v>
      </c>
      <c r="Y747" s="37">
        <f t="shared" si="219"/>
        <v>1917.1</v>
      </c>
      <c r="Z747" s="181">
        <f t="shared" si="220"/>
        <v>552.5</v>
      </c>
      <c r="AA747" s="127">
        <f t="shared" si="221"/>
        <v>595.21331999999995</v>
      </c>
      <c r="AB747" s="127">
        <f t="shared" si="222"/>
        <v>595.21331999999995</v>
      </c>
      <c r="AC747" s="37">
        <f t="shared" si="211"/>
        <v>3971.2799199999999</v>
      </c>
      <c r="AD747" s="37">
        <f t="shared" si="223"/>
        <v>5888.3799199999994</v>
      </c>
      <c r="AE747" s="181">
        <f t="shared" si="212"/>
        <v>28</v>
      </c>
      <c r="AF747" s="37">
        <f t="shared" si="224"/>
        <v>19656</v>
      </c>
      <c r="AG747" s="181">
        <f t="shared" si="213"/>
        <v>1163.6999999999998</v>
      </c>
      <c r="AH747" s="111">
        <f t="shared" si="225"/>
        <v>774.05932799999994</v>
      </c>
      <c r="AI747" s="127">
        <f t="shared" si="226"/>
        <v>1163.6999999999998</v>
      </c>
      <c r="AJ747" s="37">
        <f t="shared" si="214"/>
        <v>7382.1999999999989</v>
      </c>
      <c r="AK747" s="37">
        <f t="shared" si="227"/>
        <v>27038.199999999997</v>
      </c>
      <c r="AL747" s="37">
        <f t="shared" si="215"/>
        <v>8.3051902961918191</v>
      </c>
      <c r="AN747" s="37" t="str">
        <f t="shared" si="228"/>
        <v>Pallet</v>
      </c>
      <c r="AO747" s="194">
        <f t="shared" si="229"/>
        <v>28</v>
      </c>
    </row>
    <row r="748" spans="22:41" x14ac:dyDescent="0.2">
      <c r="V748" s="181">
        <f t="shared" si="216"/>
        <v>355</v>
      </c>
      <c r="W748" s="181">
        <f t="shared" si="217"/>
        <v>710</v>
      </c>
      <c r="X748" s="181">
        <f t="shared" si="218"/>
        <v>1</v>
      </c>
      <c r="Y748" s="37">
        <f t="shared" si="219"/>
        <v>1917.1</v>
      </c>
      <c r="Z748" s="181">
        <f t="shared" si="220"/>
        <v>553</v>
      </c>
      <c r="AA748" s="127">
        <f t="shared" si="221"/>
        <v>595.21331999999995</v>
      </c>
      <c r="AB748" s="127">
        <f t="shared" si="222"/>
        <v>595.21331999999995</v>
      </c>
      <c r="AC748" s="37">
        <f t="shared" si="211"/>
        <v>3971.2799199999999</v>
      </c>
      <c r="AD748" s="37">
        <f t="shared" si="223"/>
        <v>5888.3799199999994</v>
      </c>
      <c r="AE748" s="181">
        <f t="shared" si="212"/>
        <v>28</v>
      </c>
      <c r="AF748" s="37">
        <f t="shared" si="224"/>
        <v>19656</v>
      </c>
      <c r="AG748" s="181">
        <f t="shared" si="213"/>
        <v>1164.1999999999998</v>
      </c>
      <c r="AH748" s="111">
        <f t="shared" si="225"/>
        <v>774.05932799999994</v>
      </c>
      <c r="AI748" s="127">
        <f t="shared" si="226"/>
        <v>1164.1999999999998</v>
      </c>
      <c r="AJ748" s="37">
        <f t="shared" si="214"/>
        <v>7385.1999999999989</v>
      </c>
      <c r="AK748" s="37">
        <f t="shared" si="227"/>
        <v>27041.199999999997</v>
      </c>
      <c r="AL748" s="37">
        <f t="shared" si="215"/>
        <v>8.2934928450704213</v>
      </c>
      <c r="AN748" s="37" t="str">
        <f t="shared" si="228"/>
        <v>Pallet</v>
      </c>
      <c r="AO748" s="194">
        <f t="shared" si="229"/>
        <v>28</v>
      </c>
    </row>
    <row r="749" spans="22:41" x14ac:dyDescent="0.2">
      <c r="V749" s="181">
        <f t="shared" si="216"/>
        <v>355.5</v>
      </c>
      <c r="W749" s="181">
        <f t="shared" si="217"/>
        <v>711</v>
      </c>
      <c r="X749" s="181">
        <f t="shared" si="218"/>
        <v>1</v>
      </c>
      <c r="Y749" s="37">
        <f t="shared" si="219"/>
        <v>1917.1</v>
      </c>
      <c r="Z749" s="181">
        <f t="shared" si="220"/>
        <v>553.5</v>
      </c>
      <c r="AA749" s="127">
        <f t="shared" si="221"/>
        <v>595.21331999999995</v>
      </c>
      <c r="AB749" s="127">
        <f t="shared" si="222"/>
        <v>595.21331999999995</v>
      </c>
      <c r="AC749" s="37">
        <f t="shared" si="211"/>
        <v>3971.2799199999999</v>
      </c>
      <c r="AD749" s="37">
        <f t="shared" si="223"/>
        <v>5888.3799199999994</v>
      </c>
      <c r="AE749" s="181">
        <f t="shared" si="212"/>
        <v>28</v>
      </c>
      <c r="AF749" s="37">
        <f t="shared" si="224"/>
        <v>19656</v>
      </c>
      <c r="AG749" s="181">
        <f t="shared" si="213"/>
        <v>1164.6999999999998</v>
      </c>
      <c r="AH749" s="111">
        <f t="shared" si="225"/>
        <v>774.05932799999994</v>
      </c>
      <c r="AI749" s="127">
        <f t="shared" si="226"/>
        <v>1164.6999999999998</v>
      </c>
      <c r="AJ749" s="37">
        <f t="shared" si="214"/>
        <v>7388.1999999999989</v>
      </c>
      <c r="AK749" s="37">
        <f t="shared" si="227"/>
        <v>27044.199999999997</v>
      </c>
      <c r="AL749" s="37">
        <f t="shared" si="215"/>
        <v>8.2818282981715878</v>
      </c>
      <c r="AN749" s="37" t="str">
        <f t="shared" si="228"/>
        <v>Pallet</v>
      </c>
      <c r="AO749" s="194">
        <f t="shared" si="229"/>
        <v>28</v>
      </c>
    </row>
    <row r="750" spans="22:41" x14ac:dyDescent="0.2">
      <c r="V750" s="181">
        <f t="shared" si="216"/>
        <v>356</v>
      </c>
      <c r="W750" s="181">
        <f t="shared" si="217"/>
        <v>712</v>
      </c>
      <c r="X750" s="181">
        <f t="shared" si="218"/>
        <v>1</v>
      </c>
      <c r="Y750" s="37">
        <f t="shared" si="219"/>
        <v>1917.1</v>
      </c>
      <c r="Z750" s="181">
        <f t="shared" si="220"/>
        <v>554</v>
      </c>
      <c r="AA750" s="127">
        <f t="shared" si="221"/>
        <v>595.21331999999995</v>
      </c>
      <c r="AB750" s="127">
        <f t="shared" si="222"/>
        <v>595.21331999999995</v>
      </c>
      <c r="AC750" s="37">
        <f t="shared" si="211"/>
        <v>3971.2799199999999</v>
      </c>
      <c r="AD750" s="37">
        <f t="shared" si="223"/>
        <v>5888.3799199999994</v>
      </c>
      <c r="AE750" s="181">
        <f t="shared" si="212"/>
        <v>28</v>
      </c>
      <c r="AF750" s="37">
        <f t="shared" si="224"/>
        <v>19656</v>
      </c>
      <c r="AG750" s="181">
        <f t="shared" si="213"/>
        <v>1165.1999999999998</v>
      </c>
      <c r="AH750" s="111">
        <f t="shared" si="225"/>
        <v>774.05932799999994</v>
      </c>
      <c r="AI750" s="127">
        <f t="shared" si="226"/>
        <v>1165.1999999999998</v>
      </c>
      <c r="AJ750" s="37">
        <f t="shared" si="214"/>
        <v>7391.1999999999989</v>
      </c>
      <c r="AK750" s="37">
        <f t="shared" si="227"/>
        <v>27047.199999999997</v>
      </c>
      <c r="AL750" s="37">
        <f t="shared" si="215"/>
        <v>8.2701965168539324</v>
      </c>
      <c r="AN750" s="37" t="str">
        <f t="shared" si="228"/>
        <v>Pallet</v>
      </c>
      <c r="AO750" s="194">
        <f t="shared" si="229"/>
        <v>28</v>
      </c>
    </row>
    <row r="751" spans="22:41" x14ac:dyDescent="0.2">
      <c r="V751" s="181">
        <f t="shared" si="216"/>
        <v>356.5</v>
      </c>
      <c r="W751" s="181">
        <f t="shared" si="217"/>
        <v>713</v>
      </c>
      <c r="X751" s="181">
        <f t="shared" si="218"/>
        <v>1</v>
      </c>
      <c r="Y751" s="37">
        <f t="shared" si="219"/>
        <v>1917.1</v>
      </c>
      <c r="Z751" s="181">
        <f t="shared" si="220"/>
        <v>554.5</v>
      </c>
      <c r="AA751" s="127">
        <f t="shared" si="221"/>
        <v>595.21331999999995</v>
      </c>
      <c r="AB751" s="127">
        <f t="shared" si="222"/>
        <v>595.21331999999995</v>
      </c>
      <c r="AC751" s="37">
        <f t="shared" si="211"/>
        <v>3971.2799199999999</v>
      </c>
      <c r="AD751" s="37">
        <f t="shared" si="223"/>
        <v>5888.3799199999994</v>
      </c>
      <c r="AE751" s="181">
        <f t="shared" si="212"/>
        <v>28</v>
      </c>
      <c r="AF751" s="37">
        <f t="shared" si="224"/>
        <v>19656</v>
      </c>
      <c r="AG751" s="181">
        <f t="shared" si="213"/>
        <v>1165.6999999999998</v>
      </c>
      <c r="AH751" s="111">
        <f t="shared" si="225"/>
        <v>774.05932799999994</v>
      </c>
      <c r="AI751" s="127">
        <f t="shared" si="226"/>
        <v>1165.6999999999998</v>
      </c>
      <c r="AJ751" s="37">
        <f t="shared" si="214"/>
        <v>7394.1999999999989</v>
      </c>
      <c r="AK751" s="37">
        <f t="shared" si="227"/>
        <v>27050.199999999997</v>
      </c>
      <c r="AL751" s="37">
        <f t="shared" si="215"/>
        <v>8.2585973632538554</v>
      </c>
      <c r="AN751" s="37" t="str">
        <f t="shared" si="228"/>
        <v>Pallet</v>
      </c>
      <c r="AO751" s="194">
        <f t="shared" si="229"/>
        <v>28</v>
      </c>
    </row>
    <row r="752" spans="22:41" x14ac:dyDescent="0.2">
      <c r="V752" s="181">
        <f t="shared" si="216"/>
        <v>357</v>
      </c>
      <c r="W752" s="181">
        <f t="shared" si="217"/>
        <v>714</v>
      </c>
      <c r="X752" s="181">
        <f t="shared" si="218"/>
        <v>1</v>
      </c>
      <c r="Y752" s="37">
        <f t="shared" si="219"/>
        <v>1917.1</v>
      </c>
      <c r="Z752" s="181">
        <f t="shared" si="220"/>
        <v>555</v>
      </c>
      <c r="AA752" s="127">
        <f t="shared" si="221"/>
        <v>595.21331999999995</v>
      </c>
      <c r="AB752" s="127">
        <f t="shared" si="222"/>
        <v>595.21331999999995</v>
      </c>
      <c r="AC752" s="37">
        <f t="shared" si="211"/>
        <v>3971.2799199999999</v>
      </c>
      <c r="AD752" s="37">
        <f t="shared" si="223"/>
        <v>5888.3799199999994</v>
      </c>
      <c r="AE752" s="181">
        <f t="shared" si="212"/>
        <v>28</v>
      </c>
      <c r="AF752" s="37">
        <f t="shared" si="224"/>
        <v>19656</v>
      </c>
      <c r="AG752" s="181">
        <f t="shared" si="213"/>
        <v>1166.1999999999998</v>
      </c>
      <c r="AH752" s="111">
        <f t="shared" si="225"/>
        <v>774.05932799999994</v>
      </c>
      <c r="AI752" s="127">
        <f t="shared" si="226"/>
        <v>1166.1999999999998</v>
      </c>
      <c r="AJ752" s="37">
        <f t="shared" si="214"/>
        <v>7397.1999999999989</v>
      </c>
      <c r="AK752" s="37">
        <f t="shared" si="227"/>
        <v>27053.199999999997</v>
      </c>
      <c r="AL752" s="37">
        <f t="shared" si="215"/>
        <v>8.2470307002801118</v>
      </c>
      <c r="AN752" s="37" t="str">
        <f t="shared" si="228"/>
        <v>Pallet</v>
      </c>
      <c r="AO752" s="194">
        <f t="shared" si="229"/>
        <v>28</v>
      </c>
    </row>
    <row r="753" spans="22:41" x14ac:dyDescent="0.2">
      <c r="V753" s="181">
        <f t="shared" si="216"/>
        <v>357.5</v>
      </c>
      <c r="W753" s="181">
        <f t="shared" si="217"/>
        <v>715</v>
      </c>
      <c r="X753" s="181">
        <f t="shared" si="218"/>
        <v>1</v>
      </c>
      <c r="Y753" s="37">
        <f t="shared" si="219"/>
        <v>1917.1</v>
      </c>
      <c r="Z753" s="181">
        <f t="shared" si="220"/>
        <v>555.5</v>
      </c>
      <c r="AA753" s="127">
        <f t="shared" si="221"/>
        <v>595.21331999999995</v>
      </c>
      <c r="AB753" s="127">
        <f t="shared" si="222"/>
        <v>595.21331999999995</v>
      </c>
      <c r="AC753" s="37">
        <f t="shared" si="211"/>
        <v>3971.2799199999999</v>
      </c>
      <c r="AD753" s="37">
        <f t="shared" si="223"/>
        <v>5888.3799199999994</v>
      </c>
      <c r="AE753" s="181">
        <f t="shared" si="212"/>
        <v>28</v>
      </c>
      <c r="AF753" s="37">
        <f t="shared" si="224"/>
        <v>19656</v>
      </c>
      <c r="AG753" s="181">
        <f t="shared" si="213"/>
        <v>1166.6999999999998</v>
      </c>
      <c r="AH753" s="111">
        <f t="shared" si="225"/>
        <v>774.05932799999994</v>
      </c>
      <c r="AI753" s="127">
        <f t="shared" si="226"/>
        <v>1166.6999999999998</v>
      </c>
      <c r="AJ753" s="37">
        <f t="shared" si="214"/>
        <v>7400.1999999999989</v>
      </c>
      <c r="AK753" s="37">
        <f t="shared" si="227"/>
        <v>27056.199999999997</v>
      </c>
      <c r="AL753" s="37">
        <f t="shared" si="215"/>
        <v>8.2354963916083914</v>
      </c>
      <c r="AN753" s="37" t="str">
        <f t="shared" si="228"/>
        <v>Pallet</v>
      </c>
      <c r="AO753" s="194">
        <f t="shared" si="229"/>
        <v>28</v>
      </c>
    </row>
    <row r="754" spans="22:41" x14ac:dyDescent="0.2">
      <c r="V754" s="181">
        <f t="shared" si="216"/>
        <v>358</v>
      </c>
      <c r="W754" s="181">
        <f t="shared" si="217"/>
        <v>716</v>
      </c>
      <c r="X754" s="181">
        <f t="shared" si="218"/>
        <v>1</v>
      </c>
      <c r="Y754" s="37">
        <f t="shared" si="219"/>
        <v>1917.1</v>
      </c>
      <c r="Z754" s="181">
        <f t="shared" si="220"/>
        <v>556</v>
      </c>
      <c r="AA754" s="127">
        <f t="shared" si="221"/>
        <v>595.21331999999995</v>
      </c>
      <c r="AB754" s="127">
        <f t="shared" si="222"/>
        <v>595.21331999999995</v>
      </c>
      <c r="AC754" s="37">
        <f t="shared" si="211"/>
        <v>3971.2799199999999</v>
      </c>
      <c r="AD754" s="37">
        <f t="shared" si="223"/>
        <v>5888.3799199999994</v>
      </c>
      <c r="AE754" s="181">
        <f t="shared" si="212"/>
        <v>28</v>
      </c>
      <c r="AF754" s="37">
        <f t="shared" si="224"/>
        <v>19656</v>
      </c>
      <c r="AG754" s="181">
        <f t="shared" si="213"/>
        <v>1167.1999999999998</v>
      </c>
      <c r="AH754" s="111">
        <f t="shared" si="225"/>
        <v>774.05932799999994</v>
      </c>
      <c r="AI754" s="127">
        <f t="shared" si="226"/>
        <v>1167.1999999999998</v>
      </c>
      <c r="AJ754" s="37">
        <f t="shared" si="214"/>
        <v>7403.1999999999989</v>
      </c>
      <c r="AK754" s="37">
        <f t="shared" si="227"/>
        <v>27059.199999999997</v>
      </c>
      <c r="AL754" s="37">
        <f t="shared" si="215"/>
        <v>8.223994301675976</v>
      </c>
      <c r="AN754" s="37" t="str">
        <f t="shared" si="228"/>
        <v>Pallet</v>
      </c>
      <c r="AO754" s="194">
        <f t="shared" si="229"/>
        <v>28</v>
      </c>
    </row>
    <row r="755" spans="22:41" x14ac:dyDescent="0.2">
      <c r="V755" s="181">
        <f t="shared" si="216"/>
        <v>358.5</v>
      </c>
      <c r="W755" s="181">
        <f t="shared" si="217"/>
        <v>717</v>
      </c>
      <c r="X755" s="181">
        <f t="shared" si="218"/>
        <v>1</v>
      </c>
      <c r="Y755" s="37">
        <f t="shared" si="219"/>
        <v>1917.1</v>
      </c>
      <c r="Z755" s="181">
        <f t="shared" si="220"/>
        <v>556.5</v>
      </c>
      <c r="AA755" s="127">
        <f t="shared" si="221"/>
        <v>595.21331999999995</v>
      </c>
      <c r="AB755" s="127">
        <f t="shared" si="222"/>
        <v>595.21331999999995</v>
      </c>
      <c r="AC755" s="37">
        <f t="shared" si="211"/>
        <v>3971.2799199999999</v>
      </c>
      <c r="AD755" s="37">
        <f t="shared" si="223"/>
        <v>5888.3799199999994</v>
      </c>
      <c r="AE755" s="181">
        <f t="shared" si="212"/>
        <v>28</v>
      </c>
      <c r="AF755" s="37">
        <f t="shared" si="224"/>
        <v>19656</v>
      </c>
      <c r="AG755" s="181">
        <f t="shared" si="213"/>
        <v>1167.6999999999998</v>
      </c>
      <c r="AH755" s="111">
        <f t="shared" si="225"/>
        <v>774.05932799999994</v>
      </c>
      <c r="AI755" s="127">
        <f t="shared" si="226"/>
        <v>1167.6999999999998</v>
      </c>
      <c r="AJ755" s="37">
        <f t="shared" si="214"/>
        <v>7406.1999999999989</v>
      </c>
      <c r="AK755" s="37">
        <f t="shared" si="227"/>
        <v>27062.199999999997</v>
      </c>
      <c r="AL755" s="37">
        <f t="shared" si="215"/>
        <v>8.2125242956764293</v>
      </c>
      <c r="AN755" s="37" t="str">
        <f t="shared" si="228"/>
        <v>Pallet</v>
      </c>
      <c r="AO755" s="194">
        <f t="shared" si="229"/>
        <v>28</v>
      </c>
    </row>
    <row r="756" spans="22:41" x14ac:dyDescent="0.2">
      <c r="V756" s="181">
        <f t="shared" si="216"/>
        <v>359</v>
      </c>
      <c r="W756" s="181">
        <f t="shared" si="217"/>
        <v>718</v>
      </c>
      <c r="X756" s="181">
        <f t="shared" si="218"/>
        <v>1</v>
      </c>
      <c r="Y756" s="37">
        <f t="shared" si="219"/>
        <v>1917.1</v>
      </c>
      <c r="Z756" s="181">
        <f t="shared" si="220"/>
        <v>557</v>
      </c>
      <c r="AA756" s="127">
        <f t="shared" si="221"/>
        <v>595.21331999999995</v>
      </c>
      <c r="AB756" s="127">
        <f t="shared" si="222"/>
        <v>595.21331999999995</v>
      </c>
      <c r="AC756" s="37">
        <f t="shared" si="211"/>
        <v>3971.2799199999999</v>
      </c>
      <c r="AD756" s="37">
        <f t="shared" si="223"/>
        <v>5888.3799199999994</v>
      </c>
      <c r="AE756" s="181">
        <f t="shared" si="212"/>
        <v>28</v>
      </c>
      <c r="AF756" s="37">
        <f t="shared" si="224"/>
        <v>19656</v>
      </c>
      <c r="AG756" s="181">
        <f t="shared" si="213"/>
        <v>1168.1999999999998</v>
      </c>
      <c r="AH756" s="111">
        <f t="shared" si="225"/>
        <v>774.05932799999994</v>
      </c>
      <c r="AI756" s="127">
        <f t="shared" si="226"/>
        <v>1168.1999999999998</v>
      </c>
      <c r="AJ756" s="37">
        <f t="shared" si="214"/>
        <v>7409.1999999999989</v>
      </c>
      <c r="AK756" s="37">
        <f t="shared" si="227"/>
        <v>27065.199999999997</v>
      </c>
      <c r="AL756" s="37">
        <f t="shared" si="215"/>
        <v>8.201086239554316</v>
      </c>
      <c r="AN756" s="37" t="str">
        <f t="shared" si="228"/>
        <v>Pallet</v>
      </c>
      <c r="AO756" s="194">
        <f t="shared" si="229"/>
        <v>28</v>
      </c>
    </row>
    <row r="757" spans="22:41" x14ac:dyDescent="0.2">
      <c r="V757" s="181">
        <f t="shared" si="216"/>
        <v>359.5</v>
      </c>
      <c r="W757" s="181">
        <f t="shared" si="217"/>
        <v>719</v>
      </c>
      <c r="X757" s="181">
        <f t="shared" si="218"/>
        <v>1</v>
      </c>
      <c r="Y757" s="37">
        <f t="shared" si="219"/>
        <v>1917.1</v>
      </c>
      <c r="Z757" s="181">
        <f t="shared" si="220"/>
        <v>557.5</v>
      </c>
      <c r="AA757" s="127">
        <f t="shared" si="221"/>
        <v>595.21331999999995</v>
      </c>
      <c r="AB757" s="127">
        <f t="shared" si="222"/>
        <v>595.21331999999995</v>
      </c>
      <c r="AC757" s="37">
        <f t="shared" si="211"/>
        <v>3971.2799199999999</v>
      </c>
      <c r="AD757" s="37">
        <f t="shared" si="223"/>
        <v>5888.3799199999994</v>
      </c>
      <c r="AE757" s="181">
        <f t="shared" si="212"/>
        <v>28</v>
      </c>
      <c r="AF757" s="37">
        <f t="shared" si="224"/>
        <v>19656</v>
      </c>
      <c r="AG757" s="181">
        <f t="shared" si="213"/>
        <v>1168.6999999999998</v>
      </c>
      <c r="AH757" s="111">
        <f t="shared" si="225"/>
        <v>774.05932799999994</v>
      </c>
      <c r="AI757" s="127">
        <f t="shared" si="226"/>
        <v>1168.6999999999998</v>
      </c>
      <c r="AJ757" s="37">
        <f t="shared" si="214"/>
        <v>7412.1999999999989</v>
      </c>
      <c r="AK757" s="37">
        <f t="shared" si="227"/>
        <v>27068.199999999997</v>
      </c>
      <c r="AL757" s="37">
        <f t="shared" si="215"/>
        <v>8.1896799999999992</v>
      </c>
      <c r="AN757" s="37" t="str">
        <f t="shared" si="228"/>
        <v>Pallet</v>
      </c>
      <c r="AO757" s="194">
        <f t="shared" si="229"/>
        <v>28</v>
      </c>
    </row>
    <row r="758" spans="22:41" x14ac:dyDescent="0.2">
      <c r="V758" s="181">
        <f t="shared" si="216"/>
        <v>360</v>
      </c>
      <c r="W758" s="181">
        <f t="shared" si="217"/>
        <v>720</v>
      </c>
      <c r="X758" s="181">
        <f t="shared" si="218"/>
        <v>1</v>
      </c>
      <c r="Y758" s="37">
        <f t="shared" si="219"/>
        <v>1917.1</v>
      </c>
      <c r="Z758" s="181">
        <f t="shared" si="220"/>
        <v>558</v>
      </c>
      <c r="AA758" s="127">
        <f t="shared" si="221"/>
        <v>595.21331999999995</v>
      </c>
      <c r="AB758" s="127">
        <f t="shared" si="222"/>
        <v>595.21331999999995</v>
      </c>
      <c r="AC758" s="37">
        <f t="shared" si="211"/>
        <v>3971.2799199999999</v>
      </c>
      <c r="AD758" s="37">
        <f t="shared" si="223"/>
        <v>5888.3799199999994</v>
      </c>
      <c r="AE758" s="181">
        <f t="shared" si="212"/>
        <v>28</v>
      </c>
      <c r="AF758" s="37">
        <f t="shared" si="224"/>
        <v>19656</v>
      </c>
      <c r="AG758" s="181">
        <f t="shared" si="213"/>
        <v>1169.1999999999998</v>
      </c>
      <c r="AH758" s="111">
        <f t="shared" si="225"/>
        <v>774.05932799999994</v>
      </c>
      <c r="AI758" s="127">
        <f t="shared" si="226"/>
        <v>1169.1999999999998</v>
      </c>
      <c r="AJ758" s="37">
        <f t="shared" si="214"/>
        <v>7415.1999999999989</v>
      </c>
      <c r="AK758" s="37">
        <f t="shared" si="227"/>
        <v>27071.199999999997</v>
      </c>
      <c r="AL758" s="37">
        <f t="shared" si="215"/>
        <v>8.1783054444444439</v>
      </c>
      <c r="AN758" s="37" t="str">
        <f t="shared" si="228"/>
        <v>Pallet</v>
      </c>
      <c r="AO758" s="194">
        <f t="shared" si="229"/>
        <v>28</v>
      </c>
    </row>
    <row r="759" spans="22:41" x14ac:dyDescent="0.2">
      <c r="V759" s="181">
        <f t="shared" si="216"/>
        <v>360.5</v>
      </c>
      <c r="W759" s="181">
        <f t="shared" si="217"/>
        <v>721</v>
      </c>
      <c r="X759" s="181">
        <f t="shared" si="218"/>
        <v>1</v>
      </c>
      <c r="Y759" s="37">
        <f t="shared" si="219"/>
        <v>1917.1</v>
      </c>
      <c r="Z759" s="181">
        <f t="shared" si="220"/>
        <v>558.5</v>
      </c>
      <c r="AA759" s="127">
        <f t="shared" si="221"/>
        <v>595.21331999999995</v>
      </c>
      <c r="AB759" s="127">
        <f t="shared" si="222"/>
        <v>595.21331999999995</v>
      </c>
      <c r="AC759" s="37">
        <f t="shared" si="211"/>
        <v>3971.2799199999999</v>
      </c>
      <c r="AD759" s="37">
        <f t="shared" si="223"/>
        <v>5888.3799199999994</v>
      </c>
      <c r="AE759" s="181">
        <f t="shared" si="212"/>
        <v>28</v>
      </c>
      <c r="AF759" s="37">
        <f t="shared" si="224"/>
        <v>19656</v>
      </c>
      <c r="AG759" s="181">
        <f t="shared" si="213"/>
        <v>1169.6999999999998</v>
      </c>
      <c r="AH759" s="111">
        <f t="shared" si="225"/>
        <v>774.05932799999994</v>
      </c>
      <c r="AI759" s="127">
        <f t="shared" si="226"/>
        <v>1169.6999999999998</v>
      </c>
      <c r="AJ759" s="37">
        <f t="shared" si="214"/>
        <v>7418.1999999999989</v>
      </c>
      <c r="AK759" s="37">
        <f t="shared" si="227"/>
        <v>27074.199999999997</v>
      </c>
      <c r="AL759" s="37">
        <f t="shared" si="215"/>
        <v>8.1669624410540909</v>
      </c>
      <c r="AN759" s="37" t="str">
        <f t="shared" si="228"/>
        <v>Pallet</v>
      </c>
      <c r="AO759" s="194">
        <f t="shared" si="229"/>
        <v>28</v>
      </c>
    </row>
    <row r="760" spans="22:41" x14ac:dyDescent="0.2">
      <c r="V760" s="181">
        <f t="shared" si="216"/>
        <v>361</v>
      </c>
      <c r="W760" s="181">
        <f t="shared" si="217"/>
        <v>722</v>
      </c>
      <c r="X760" s="181">
        <f t="shared" si="218"/>
        <v>1</v>
      </c>
      <c r="Y760" s="37">
        <f t="shared" si="219"/>
        <v>1917.1</v>
      </c>
      <c r="Z760" s="181">
        <f t="shared" si="220"/>
        <v>559</v>
      </c>
      <c r="AA760" s="127">
        <f t="shared" si="221"/>
        <v>595.21331999999995</v>
      </c>
      <c r="AB760" s="127">
        <f t="shared" si="222"/>
        <v>595.21331999999995</v>
      </c>
      <c r="AC760" s="37">
        <f t="shared" si="211"/>
        <v>3971.2799199999999</v>
      </c>
      <c r="AD760" s="37">
        <f t="shared" si="223"/>
        <v>5888.3799199999994</v>
      </c>
      <c r="AE760" s="181">
        <f t="shared" si="212"/>
        <v>28</v>
      </c>
      <c r="AF760" s="37">
        <f t="shared" si="224"/>
        <v>19656</v>
      </c>
      <c r="AG760" s="181">
        <f t="shared" si="213"/>
        <v>1170.1999999999998</v>
      </c>
      <c r="AH760" s="111">
        <f t="shared" si="225"/>
        <v>774.05932799999994</v>
      </c>
      <c r="AI760" s="127">
        <f t="shared" si="226"/>
        <v>1170.1999999999998</v>
      </c>
      <c r="AJ760" s="37">
        <f t="shared" si="214"/>
        <v>7421.1999999999989</v>
      </c>
      <c r="AK760" s="37">
        <f t="shared" si="227"/>
        <v>27077.199999999997</v>
      </c>
      <c r="AL760" s="37">
        <f t="shared" si="215"/>
        <v>8.1556508587257603</v>
      </c>
      <c r="AN760" s="37" t="str">
        <f t="shared" si="228"/>
        <v>Pallet</v>
      </c>
      <c r="AO760" s="194">
        <f t="shared" si="229"/>
        <v>28</v>
      </c>
    </row>
    <row r="761" spans="22:41" x14ac:dyDescent="0.2">
      <c r="V761" s="181">
        <f t="shared" si="216"/>
        <v>361.5</v>
      </c>
      <c r="W761" s="181">
        <f t="shared" si="217"/>
        <v>723</v>
      </c>
      <c r="X761" s="181">
        <f t="shared" si="218"/>
        <v>1</v>
      </c>
      <c r="Y761" s="37">
        <f t="shared" si="219"/>
        <v>1917.1</v>
      </c>
      <c r="Z761" s="181">
        <f t="shared" si="220"/>
        <v>559.5</v>
      </c>
      <c r="AA761" s="127">
        <f t="shared" si="221"/>
        <v>595.21331999999995</v>
      </c>
      <c r="AB761" s="127">
        <f t="shared" si="222"/>
        <v>595.21331999999995</v>
      </c>
      <c r="AC761" s="37">
        <f t="shared" si="211"/>
        <v>3971.2799199999999</v>
      </c>
      <c r="AD761" s="37">
        <f t="shared" si="223"/>
        <v>5888.3799199999994</v>
      </c>
      <c r="AE761" s="181">
        <f t="shared" si="212"/>
        <v>29</v>
      </c>
      <c r="AF761" s="37">
        <f t="shared" si="224"/>
        <v>20358</v>
      </c>
      <c r="AG761" s="181">
        <f t="shared" si="213"/>
        <v>1199.5999999999999</v>
      </c>
      <c r="AH761" s="111">
        <f t="shared" si="225"/>
        <v>801.70430399999987</v>
      </c>
      <c r="AI761" s="127">
        <f t="shared" si="226"/>
        <v>1199.5999999999999</v>
      </c>
      <c r="AJ761" s="37">
        <f t="shared" si="214"/>
        <v>7597.5999999999995</v>
      </c>
      <c r="AK761" s="37">
        <f t="shared" si="227"/>
        <v>27955.599999999999</v>
      </c>
      <c r="AL761" s="37">
        <f t="shared" si="215"/>
        <v>8.1443705670816033</v>
      </c>
      <c r="AN761" s="37" t="str">
        <f t="shared" si="228"/>
        <v>Pallet</v>
      </c>
      <c r="AO761" s="194">
        <f t="shared" si="229"/>
        <v>28</v>
      </c>
    </row>
    <row r="762" spans="22:41" x14ac:dyDescent="0.2">
      <c r="V762" s="181">
        <f t="shared" si="216"/>
        <v>362</v>
      </c>
      <c r="W762" s="181">
        <f t="shared" si="217"/>
        <v>724</v>
      </c>
      <c r="X762" s="181">
        <f t="shared" si="218"/>
        <v>1</v>
      </c>
      <c r="Y762" s="37">
        <f t="shared" si="219"/>
        <v>1917.1</v>
      </c>
      <c r="Z762" s="181">
        <f t="shared" si="220"/>
        <v>560</v>
      </c>
      <c r="AA762" s="127">
        <f t="shared" si="221"/>
        <v>595.21331999999995</v>
      </c>
      <c r="AB762" s="127">
        <f t="shared" si="222"/>
        <v>595.21331999999995</v>
      </c>
      <c r="AC762" s="37">
        <f t="shared" si="211"/>
        <v>3971.2799199999999</v>
      </c>
      <c r="AD762" s="37">
        <f t="shared" si="223"/>
        <v>5888.3799199999994</v>
      </c>
      <c r="AE762" s="181">
        <f t="shared" si="212"/>
        <v>29</v>
      </c>
      <c r="AF762" s="37">
        <f t="shared" si="224"/>
        <v>20358</v>
      </c>
      <c r="AG762" s="181">
        <f t="shared" si="213"/>
        <v>1200.0999999999999</v>
      </c>
      <c r="AH762" s="111">
        <f t="shared" si="225"/>
        <v>801.70430399999987</v>
      </c>
      <c r="AI762" s="127">
        <f t="shared" si="226"/>
        <v>1200.0999999999999</v>
      </c>
      <c r="AJ762" s="37">
        <f t="shared" si="214"/>
        <v>7600.5999999999995</v>
      </c>
      <c r="AK762" s="37">
        <f t="shared" si="227"/>
        <v>27958.6</v>
      </c>
      <c r="AL762" s="37">
        <f t="shared" si="215"/>
        <v>8.1331214364640871</v>
      </c>
      <c r="AN762" s="37" t="str">
        <f t="shared" si="228"/>
        <v>Pallet</v>
      </c>
      <c r="AO762" s="194">
        <f t="shared" si="229"/>
        <v>29</v>
      </c>
    </row>
    <row r="763" spans="22:41" x14ac:dyDescent="0.2">
      <c r="V763" s="181">
        <f t="shared" si="216"/>
        <v>362.5</v>
      </c>
      <c r="W763" s="181">
        <f t="shared" si="217"/>
        <v>725</v>
      </c>
      <c r="X763" s="181">
        <f t="shared" si="218"/>
        <v>1</v>
      </c>
      <c r="Y763" s="37">
        <f t="shared" si="219"/>
        <v>1917.1</v>
      </c>
      <c r="Z763" s="181">
        <f t="shared" si="220"/>
        <v>560.5</v>
      </c>
      <c r="AA763" s="127">
        <f t="shared" si="221"/>
        <v>595.21331999999995</v>
      </c>
      <c r="AB763" s="127">
        <f t="shared" si="222"/>
        <v>595.21331999999995</v>
      </c>
      <c r="AC763" s="37">
        <f t="shared" si="211"/>
        <v>3971.2799199999999</v>
      </c>
      <c r="AD763" s="37">
        <f t="shared" si="223"/>
        <v>5888.3799199999994</v>
      </c>
      <c r="AE763" s="181">
        <f t="shared" si="212"/>
        <v>29</v>
      </c>
      <c r="AF763" s="37">
        <f t="shared" si="224"/>
        <v>20358</v>
      </c>
      <c r="AG763" s="181">
        <f t="shared" si="213"/>
        <v>1200.5999999999999</v>
      </c>
      <c r="AH763" s="111">
        <f t="shared" si="225"/>
        <v>801.70430399999987</v>
      </c>
      <c r="AI763" s="127">
        <f t="shared" si="226"/>
        <v>1200.5999999999999</v>
      </c>
      <c r="AJ763" s="37">
        <f t="shared" si="214"/>
        <v>7603.5999999999995</v>
      </c>
      <c r="AK763" s="37">
        <f t="shared" si="227"/>
        <v>27961.599999999999</v>
      </c>
      <c r="AL763" s="37">
        <f t="shared" si="215"/>
        <v>8.1219033379310339</v>
      </c>
      <c r="AN763" s="37" t="str">
        <f t="shared" si="228"/>
        <v>Pallet</v>
      </c>
      <c r="AO763" s="194">
        <f t="shared" si="229"/>
        <v>29</v>
      </c>
    </row>
    <row r="764" spans="22:41" x14ac:dyDescent="0.2">
      <c r="V764" s="181">
        <f t="shared" si="216"/>
        <v>363</v>
      </c>
      <c r="W764" s="181">
        <f t="shared" si="217"/>
        <v>726</v>
      </c>
      <c r="X764" s="181">
        <f t="shared" si="218"/>
        <v>1</v>
      </c>
      <c r="Y764" s="37">
        <f t="shared" si="219"/>
        <v>1917.1</v>
      </c>
      <c r="Z764" s="181">
        <f t="shared" si="220"/>
        <v>561</v>
      </c>
      <c r="AA764" s="127">
        <f t="shared" si="221"/>
        <v>595.21331999999995</v>
      </c>
      <c r="AB764" s="127">
        <f t="shared" si="222"/>
        <v>595.21331999999995</v>
      </c>
      <c r="AC764" s="37">
        <f t="shared" si="211"/>
        <v>3971.2799199999999</v>
      </c>
      <c r="AD764" s="37">
        <f t="shared" si="223"/>
        <v>5888.3799199999994</v>
      </c>
      <c r="AE764" s="181">
        <f t="shared" si="212"/>
        <v>29</v>
      </c>
      <c r="AF764" s="37">
        <f t="shared" si="224"/>
        <v>20358</v>
      </c>
      <c r="AG764" s="181">
        <f t="shared" si="213"/>
        <v>1201.0999999999999</v>
      </c>
      <c r="AH764" s="111">
        <f t="shared" si="225"/>
        <v>801.70430399999987</v>
      </c>
      <c r="AI764" s="127">
        <f t="shared" si="226"/>
        <v>1201.0999999999999</v>
      </c>
      <c r="AJ764" s="37">
        <f t="shared" si="214"/>
        <v>7606.5999999999995</v>
      </c>
      <c r="AK764" s="37">
        <f t="shared" si="227"/>
        <v>27964.6</v>
      </c>
      <c r="AL764" s="37">
        <f t="shared" si="215"/>
        <v>8.1107161432506878</v>
      </c>
      <c r="AN764" s="37" t="str">
        <f t="shared" si="228"/>
        <v>Pallet</v>
      </c>
      <c r="AO764" s="194">
        <f t="shared" si="229"/>
        <v>29</v>
      </c>
    </row>
    <row r="765" spans="22:41" x14ac:dyDescent="0.2">
      <c r="V765" s="181">
        <f t="shared" si="216"/>
        <v>363.5</v>
      </c>
      <c r="W765" s="181">
        <f t="shared" si="217"/>
        <v>727</v>
      </c>
      <c r="X765" s="181">
        <f t="shared" si="218"/>
        <v>1</v>
      </c>
      <c r="Y765" s="37">
        <f t="shared" si="219"/>
        <v>1917.1</v>
      </c>
      <c r="Z765" s="181">
        <f t="shared" si="220"/>
        <v>561.5</v>
      </c>
      <c r="AA765" s="127">
        <f t="shared" si="221"/>
        <v>595.21331999999995</v>
      </c>
      <c r="AB765" s="127">
        <f t="shared" si="222"/>
        <v>595.21331999999995</v>
      </c>
      <c r="AC765" s="37">
        <f t="shared" si="211"/>
        <v>3971.2799199999999</v>
      </c>
      <c r="AD765" s="37">
        <f t="shared" si="223"/>
        <v>5888.3799199999994</v>
      </c>
      <c r="AE765" s="181">
        <f t="shared" si="212"/>
        <v>29</v>
      </c>
      <c r="AF765" s="37">
        <f t="shared" si="224"/>
        <v>20358</v>
      </c>
      <c r="AG765" s="181">
        <f t="shared" si="213"/>
        <v>1201.5999999999999</v>
      </c>
      <c r="AH765" s="111">
        <f t="shared" si="225"/>
        <v>801.70430399999987</v>
      </c>
      <c r="AI765" s="127">
        <f t="shared" si="226"/>
        <v>1201.5999999999999</v>
      </c>
      <c r="AJ765" s="37">
        <f t="shared" si="214"/>
        <v>7609.5999999999995</v>
      </c>
      <c r="AK765" s="37">
        <f t="shared" si="227"/>
        <v>27967.599999999999</v>
      </c>
      <c r="AL765" s="37">
        <f t="shared" si="215"/>
        <v>8.0995597248968352</v>
      </c>
      <c r="AN765" s="37" t="str">
        <f t="shared" si="228"/>
        <v>Pallet</v>
      </c>
      <c r="AO765" s="194">
        <f t="shared" si="229"/>
        <v>29</v>
      </c>
    </row>
    <row r="766" spans="22:41" x14ac:dyDescent="0.2">
      <c r="V766" s="181">
        <f t="shared" si="216"/>
        <v>364</v>
      </c>
      <c r="W766" s="181">
        <f t="shared" si="217"/>
        <v>728</v>
      </c>
      <c r="X766" s="181">
        <f t="shared" si="218"/>
        <v>1</v>
      </c>
      <c r="Y766" s="37">
        <f t="shared" si="219"/>
        <v>1917.1</v>
      </c>
      <c r="Z766" s="181">
        <f t="shared" si="220"/>
        <v>562</v>
      </c>
      <c r="AA766" s="127">
        <f t="shared" si="221"/>
        <v>595.21331999999995</v>
      </c>
      <c r="AB766" s="127">
        <f t="shared" si="222"/>
        <v>595.21331999999995</v>
      </c>
      <c r="AC766" s="37">
        <f t="shared" si="211"/>
        <v>3971.2799199999999</v>
      </c>
      <c r="AD766" s="37">
        <f t="shared" si="223"/>
        <v>5888.3799199999994</v>
      </c>
      <c r="AE766" s="181">
        <f t="shared" si="212"/>
        <v>29</v>
      </c>
      <c r="AF766" s="37">
        <f t="shared" si="224"/>
        <v>20358</v>
      </c>
      <c r="AG766" s="181">
        <f t="shared" si="213"/>
        <v>1202.0999999999999</v>
      </c>
      <c r="AH766" s="111">
        <f t="shared" si="225"/>
        <v>801.70430399999987</v>
      </c>
      <c r="AI766" s="127">
        <f t="shared" si="226"/>
        <v>1202.0999999999999</v>
      </c>
      <c r="AJ766" s="37">
        <f t="shared" si="214"/>
        <v>7612.5999999999995</v>
      </c>
      <c r="AK766" s="37">
        <f t="shared" si="227"/>
        <v>27970.6</v>
      </c>
      <c r="AL766" s="37">
        <f t="shared" si="215"/>
        <v>8.0884339560439553</v>
      </c>
      <c r="AN766" s="37" t="str">
        <f t="shared" si="228"/>
        <v>Pallet</v>
      </c>
      <c r="AO766" s="194">
        <f t="shared" si="229"/>
        <v>29</v>
      </c>
    </row>
    <row r="767" spans="22:41" x14ac:dyDescent="0.2">
      <c r="V767" s="181">
        <f t="shared" si="216"/>
        <v>364.5</v>
      </c>
      <c r="W767" s="181">
        <f t="shared" si="217"/>
        <v>729</v>
      </c>
      <c r="X767" s="181">
        <f t="shared" si="218"/>
        <v>1</v>
      </c>
      <c r="Y767" s="37">
        <f t="shared" si="219"/>
        <v>1917.1</v>
      </c>
      <c r="Z767" s="181">
        <f t="shared" si="220"/>
        <v>562.5</v>
      </c>
      <c r="AA767" s="127">
        <f t="shared" si="221"/>
        <v>595.21331999999995</v>
      </c>
      <c r="AB767" s="127">
        <f t="shared" si="222"/>
        <v>595.21331999999995</v>
      </c>
      <c r="AC767" s="37">
        <f t="shared" si="211"/>
        <v>3971.2799199999999</v>
      </c>
      <c r="AD767" s="37">
        <f t="shared" si="223"/>
        <v>5888.3799199999994</v>
      </c>
      <c r="AE767" s="181">
        <f t="shared" si="212"/>
        <v>29</v>
      </c>
      <c r="AF767" s="37">
        <f t="shared" si="224"/>
        <v>20358</v>
      </c>
      <c r="AG767" s="181">
        <f t="shared" si="213"/>
        <v>1202.5999999999999</v>
      </c>
      <c r="AH767" s="111">
        <f t="shared" si="225"/>
        <v>801.70430399999987</v>
      </c>
      <c r="AI767" s="127">
        <f t="shared" si="226"/>
        <v>1202.5999999999999</v>
      </c>
      <c r="AJ767" s="37">
        <f t="shared" si="214"/>
        <v>7615.5999999999995</v>
      </c>
      <c r="AK767" s="37">
        <f t="shared" si="227"/>
        <v>27973.599999999999</v>
      </c>
      <c r="AL767" s="37">
        <f t="shared" si="215"/>
        <v>8.0773387105624135</v>
      </c>
      <c r="AN767" s="37" t="str">
        <f t="shared" si="228"/>
        <v>Pallet</v>
      </c>
      <c r="AO767" s="194">
        <f t="shared" si="229"/>
        <v>29</v>
      </c>
    </row>
    <row r="768" spans="22:41" x14ac:dyDescent="0.2">
      <c r="V768" s="181">
        <f t="shared" si="216"/>
        <v>365</v>
      </c>
      <c r="W768" s="181">
        <f t="shared" si="217"/>
        <v>730</v>
      </c>
      <c r="X768" s="181">
        <f t="shared" si="218"/>
        <v>1</v>
      </c>
      <c r="Y768" s="37">
        <f t="shared" si="219"/>
        <v>1917.1</v>
      </c>
      <c r="Z768" s="181">
        <f t="shared" si="220"/>
        <v>563</v>
      </c>
      <c r="AA768" s="127">
        <f t="shared" si="221"/>
        <v>595.21331999999995</v>
      </c>
      <c r="AB768" s="127">
        <f t="shared" si="222"/>
        <v>595.21331999999995</v>
      </c>
      <c r="AC768" s="37">
        <f t="shared" si="211"/>
        <v>3971.2799199999999</v>
      </c>
      <c r="AD768" s="37">
        <f t="shared" si="223"/>
        <v>5888.3799199999994</v>
      </c>
      <c r="AE768" s="181">
        <f t="shared" si="212"/>
        <v>29</v>
      </c>
      <c r="AF768" s="37">
        <f t="shared" si="224"/>
        <v>20358</v>
      </c>
      <c r="AG768" s="181">
        <f t="shared" si="213"/>
        <v>1203.0999999999999</v>
      </c>
      <c r="AH768" s="111">
        <f t="shared" si="225"/>
        <v>801.70430399999987</v>
      </c>
      <c r="AI768" s="127">
        <f t="shared" si="226"/>
        <v>1203.0999999999999</v>
      </c>
      <c r="AJ768" s="37">
        <f t="shared" si="214"/>
        <v>7618.5999999999995</v>
      </c>
      <c r="AK768" s="37">
        <f t="shared" si="227"/>
        <v>27976.6</v>
      </c>
      <c r="AL768" s="37">
        <f t="shared" si="215"/>
        <v>8.0662738630136985</v>
      </c>
      <c r="AN768" s="37" t="str">
        <f t="shared" si="228"/>
        <v>Pallet</v>
      </c>
      <c r="AO768" s="194">
        <f t="shared" si="229"/>
        <v>29</v>
      </c>
    </row>
    <row r="769" spans="22:41" x14ac:dyDescent="0.2">
      <c r="V769" s="181">
        <f t="shared" si="216"/>
        <v>365.5</v>
      </c>
      <c r="W769" s="181">
        <f t="shared" si="217"/>
        <v>731</v>
      </c>
      <c r="X769" s="181">
        <f t="shared" si="218"/>
        <v>1</v>
      </c>
      <c r="Y769" s="37">
        <f t="shared" si="219"/>
        <v>1917.1</v>
      </c>
      <c r="Z769" s="181">
        <f t="shared" si="220"/>
        <v>563.5</v>
      </c>
      <c r="AA769" s="127">
        <f t="shared" si="221"/>
        <v>595.21331999999995</v>
      </c>
      <c r="AB769" s="127">
        <f t="shared" si="222"/>
        <v>595.21331999999995</v>
      </c>
      <c r="AC769" s="37">
        <f t="shared" si="211"/>
        <v>3971.2799199999999</v>
      </c>
      <c r="AD769" s="37">
        <f t="shared" si="223"/>
        <v>5888.3799199999994</v>
      </c>
      <c r="AE769" s="181">
        <f t="shared" si="212"/>
        <v>29</v>
      </c>
      <c r="AF769" s="37">
        <f t="shared" si="224"/>
        <v>20358</v>
      </c>
      <c r="AG769" s="181">
        <f t="shared" si="213"/>
        <v>1203.5999999999999</v>
      </c>
      <c r="AH769" s="111">
        <f t="shared" si="225"/>
        <v>801.70430399999987</v>
      </c>
      <c r="AI769" s="127">
        <f t="shared" si="226"/>
        <v>1203.5999999999999</v>
      </c>
      <c r="AJ769" s="37">
        <f t="shared" si="214"/>
        <v>7621.5999999999995</v>
      </c>
      <c r="AK769" s="37">
        <f t="shared" si="227"/>
        <v>27979.599999999999</v>
      </c>
      <c r="AL769" s="37">
        <f t="shared" si="215"/>
        <v>8.0552392886456907</v>
      </c>
      <c r="AN769" s="37" t="str">
        <f t="shared" si="228"/>
        <v>Pallet</v>
      </c>
      <c r="AO769" s="194">
        <f t="shared" si="229"/>
        <v>29</v>
      </c>
    </row>
    <row r="770" spans="22:41" x14ac:dyDescent="0.2">
      <c r="V770" s="181">
        <f t="shared" si="216"/>
        <v>366</v>
      </c>
      <c r="W770" s="181">
        <f t="shared" si="217"/>
        <v>732</v>
      </c>
      <c r="X770" s="181">
        <f t="shared" si="218"/>
        <v>1</v>
      </c>
      <c r="Y770" s="37">
        <f t="shared" si="219"/>
        <v>1917.1</v>
      </c>
      <c r="Z770" s="181">
        <f t="shared" si="220"/>
        <v>564</v>
      </c>
      <c r="AA770" s="127">
        <f t="shared" si="221"/>
        <v>595.21331999999995</v>
      </c>
      <c r="AB770" s="127">
        <f t="shared" si="222"/>
        <v>595.21331999999995</v>
      </c>
      <c r="AC770" s="37">
        <f t="shared" si="211"/>
        <v>3971.2799199999999</v>
      </c>
      <c r="AD770" s="37">
        <f t="shared" si="223"/>
        <v>5888.3799199999994</v>
      </c>
      <c r="AE770" s="181">
        <f t="shared" si="212"/>
        <v>29</v>
      </c>
      <c r="AF770" s="37">
        <f t="shared" si="224"/>
        <v>20358</v>
      </c>
      <c r="AG770" s="181">
        <f t="shared" si="213"/>
        <v>1204.0999999999999</v>
      </c>
      <c r="AH770" s="111">
        <f t="shared" si="225"/>
        <v>801.70430399999987</v>
      </c>
      <c r="AI770" s="127">
        <f t="shared" si="226"/>
        <v>1204.0999999999999</v>
      </c>
      <c r="AJ770" s="37">
        <f t="shared" si="214"/>
        <v>7624.5999999999995</v>
      </c>
      <c r="AK770" s="37">
        <f t="shared" si="227"/>
        <v>27982.6</v>
      </c>
      <c r="AL770" s="37">
        <f t="shared" si="215"/>
        <v>8.0442348633879774</v>
      </c>
      <c r="AN770" s="37" t="str">
        <f t="shared" si="228"/>
        <v>Pallet</v>
      </c>
      <c r="AO770" s="194">
        <f t="shared" si="229"/>
        <v>29</v>
      </c>
    </row>
    <row r="771" spans="22:41" x14ac:dyDescent="0.2">
      <c r="V771" s="181">
        <f t="shared" si="216"/>
        <v>366.5</v>
      </c>
      <c r="W771" s="181">
        <f t="shared" si="217"/>
        <v>733</v>
      </c>
      <c r="X771" s="181">
        <f t="shared" si="218"/>
        <v>1</v>
      </c>
      <c r="Y771" s="37">
        <f t="shared" si="219"/>
        <v>1917.1</v>
      </c>
      <c r="Z771" s="181">
        <f t="shared" si="220"/>
        <v>564.5</v>
      </c>
      <c r="AA771" s="127">
        <f t="shared" si="221"/>
        <v>595.21331999999995</v>
      </c>
      <c r="AB771" s="127">
        <f t="shared" si="222"/>
        <v>595.21331999999995</v>
      </c>
      <c r="AC771" s="37">
        <f t="shared" si="211"/>
        <v>3971.2799199999999</v>
      </c>
      <c r="AD771" s="37">
        <f t="shared" si="223"/>
        <v>5888.3799199999994</v>
      </c>
      <c r="AE771" s="181">
        <f t="shared" si="212"/>
        <v>29</v>
      </c>
      <c r="AF771" s="37">
        <f t="shared" si="224"/>
        <v>20358</v>
      </c>
      <c r="AG771" s="181">
        <f t="shared" si="213"/>
        <v>1204.5999999999999</v>
      </c>
      <c r="AH771" s="111">
        <f t="shared" si="225"/>
        <v>801.70430399999987</v>
      </c>
      <c r="AI771" s="127">
        <f t="shared" si="226"/>
        <v>1204.5999999999999</v>
      </c>
      <c r="AJ771" s="37">
        <f t="shared" si="214"/>
        <v>7627.5999999999995</v>
      </c>
      <c r="AK771" s="37">
        <f t="shared" si="227"/>
        <v>27985.599999999999</v>
      </c>
      <c r="AL771" s="37">
        <f t="shared" si="215"/>
        <v>8.0332604638472027</v>
      </c>
      <c r="AN771" s="37" t="str">
        <f t="shared" si="228"/>
        <v>Pallet</v>
      </c>
      <c r="AO771" s="194">
        <f t="shared" si="229"/>
        <v>29</v>
      </c>
    </row>
    <row r="772" spans="22:41" x14ac:dyDescent="0.2">
      <c r="V772" s="181">
        <f t="shared" si="216"/>
        <v>367</v>
      </c>
      <c r="W772" s="181">
        <f t="shared" si="217"/>
        <v>734</v>
      </c>
      <c r="X772" s="181">
        <f t="shared" si="218"/>
        <v>1</v>
      </c>
      <c r="Y772" s="37">
        <f t="shared" si="219"/>
        <v>1917.1</v>
      </c>
      <c r="Z772" s="181">
        <f t="shared" si="220"/>
        <v>565</v>
      </c>
      <c r="AA772" s="127">
        <f t="shared" si="221"/>
        <v>595.21331999999995</v>
      </c>
      <c r="AB772" s="127">
        <f t="shared" si="222"/>
        <v>595.21331999999995</v>
      </c>
      <c r="AC772" s="37">
        <f t="shared" si="211"/>
        <v>3971.2799199999999</v>
      </c>
      <c r="AD772" s="37">
        <f t="shared" si="223"/>
        <v>5888.3799199999994</v>
      </c>
      <c r="AE772" s="181">
        <f t="shared" si="212"/>
        <v>29</v>
      </c>
      <c r="AF772" s="37">
        <f t="shared" si="224"/>
        <v>20358</v>
      </c>
      <c r="AG772" s="181">
        <f t="shared" si="213"/>
        <v>1205.0999999999999</v>
      </c>
      <c r="AH772" s="111">
        <f t="shared" si="225"/>
        <v>801.70430399999987</v>
      </c>
      <c r="AI772" s="127">
        <f t="shared" si="226"/>
        <v>1205.0999999999999</v>
      </c>
      <c r="AJ772" s="37">
        <f t="shared" si="214"/>
        <v>7630.5999999999995</v>
      </c>
      <c r="AK772" s="37">
        <f t="shared" si="227"/>
        <v>27988.6</v>
      </c>
      <c r="AL772" s="37">
        <f t="shared" si="215"/>
        <v>8.0223159673024522</v>
      </c>
      <c r="AN772" s="37" t="str">
        <f t="shared" si="228"/>
        <v>Pallet</v>
      </c>
      <c r="AO772" s="194">
        <f t="shared" si="229"/>
        <v>29</v>
      </c>
    </row>
    <row r="773" spans="22:41" x14ac:dyDescent="0.2">
      <c r="V773" s="181">
        <f t="shared" si="216"/>
        <v>367.5</v>
      </c>
      <c r="W773" s="181">
        <f t="shared" si="217"/>
        <v>735</v>
      </c>
      <c r="X773" s="181">
        <f t="shared" si="218"/>
        <v>1</v>
      </c>
      <c r="Y773" s="37">
        <f t="shared" si="219"/>
        <v>1917.1</v>
      </c>
      <c r="Z773" s="181">
        <f t="shared" si="220"/>
        <v>565.5</v>
      </c>
      <c r="AA773" s="127">
        <f t="shared" si="221"/>
        <v>595.21331999999995</v>
      </c>
      <c r="AB773" s="127">
        <f t="shared" si="222"/>
        <v>595.21331999999995</v>
      </c>
      <c r="AC773" s="37">
        <f t="shared" si="211"/>
        <v>3971.2799199999999</v>
      </c>
      <c r="AD773" s="37">
        <f t="shared" si="223"/>
        <v>5888.3799199999994</v>
      </c>
      <c r="AE773" s="181">
        <f t="shared" si="212"/>
        <v>29</v>
      </c>
      <c r="AF773" s="37">
        <f t="shared" si="224"/>
        <v>20358</v>
      </c>
      <c r="AG773" s="181">
        <f t="shared" si="213"/>
        <v>1205.5999999999999</v>
      </c>
      <c r="AH773" s="111">
        <f t="shared" si="225"/>
        <v>801.70430399999987</v>
      </c>
      <c r="AI773" s="127">
        <f t="shared" si="226"/>
        <v>1205.5999999999999</v>
      </c>
      <c r="AJ773" s="37">
        <f t="shared" si="214"/>
        <v>7633.5999999999995</v>
      </c>
      <c r="AK773" s="37">
        <f t="shared" si="227"/>
        <v>27991.599999999999</v>
      </c>
      <c r="AL773" s="37">
        <f t="shared" si="215"/>
        <v>8.0114012517006792</v>
      </c>
      <c r="AN773" s="37" t="str">
        <f t="shared" si="228"/>
        <v>Pallet</v>
      </c>
      <c r="AO773" s="194">
        <f t="shared" si="229"/>
        <v>29</v>
      </c>
    </row>
    <row r="774" spans="22:41" x14ac:dyDescent="0.2">
      <c r="V774" s="181">
        <f t="shared" si="216"/>
        <v>368</v>
      </c>
      <c r="W774" s="181">
        <f t="shared" si="217"/>
        <v>736</v>
      </c>
      <c r="X774" s="181">
        <f t="shared" si="218"/>
        <v>1</v>
      </c>
      <c r="Y774" s="37">
        <f t="shared" si="219"/>
        <v>1917.1</v>
      </c>
      <c r="Z774" s="181">
        <f t="shared" si="220"/>
        <v>566</v>
      </c>
      <c r="AA774" s="127">
        <f t="shared" si="221"/>
        <v>595.21331999999995</v>
      </c>
      <c r="AB774" s="127">
        <f t="shared" si="222"/>
        <v>595.21331999999995</v>
      </c>
      <c r="AC774" s="37">
        <f t="shared" si="211"/>
        <v>3971.2799199999999</v>
      </c>
      <c r="AD774" s="37">
        <f t="shared" si="223"/>
        <v>5888.3799199999994</v>
      </c>
      <c r="AE774" s="181">
        <f t="shared" si="212"/>
        <v>29</v>
      </c>
      <c r="AF774" s="37">
        <f t="shared" si="224"/>
        <v>20358</v>
      </c>
      <c r="AG774" s="181">
        <f t="shared" si="213"/>
        <v>1206.0999999999999</v>
      </c>
      <c r="AH774" s="111">
        <f t="shared" si="225"/>
        <v>801.70430399999987</v>
      </c>
      <c r="AI774" s="127">
        <f t="shared" si="226"/>
        <v>1206.0999999999999</v>
      </c>
      <c r="AJ774" s="37">
        <f t="shared" si="214"/>
        <v>7636.5999999999995</v>
      </c>
      <c r="AK774" s="37">
        <f t="shared" si="227"/>
        <v>27994.6</v>
      </c>
      <c r="AL774" s="37">
        <f t="shared" si="215"/>
        <v>8.0005161956521729</v>
      </c>
      <c r="AN774" s="37" t="str">
        <f t="shared" si="228"/>
        <v>Pallet</v>
      </c>
      <c r="AO774" s="194">
        <f t="shared" si="229"/>
        <v>29</v>
      </c>
    </row>
    <row r="775" spans="22:41" x14ac:dyDescent="0.2">
      <c r="V775" s="181">
        <f t="shared" si="216"/>
        <v>368.5</v>
      </c>
      <c r="W775" s="181">
        <f t="shared" si="217"/>
        <v>737</v>
      </c>
      <c r="X775" s="181">
        <f t="shared" si="218"/>
        <v>1</v>
      </c>
      <c r="Y775" s="37">
        <f t="shared" si="219"/>
        <v>1917.1</v>
      </c>
      <c r="Z775" s="181">
        <f t="shared" si="220"/>
        <v>566.5</v>
      </c>
      <c r="AA775" s="127">
        <f t="shared" si="221"/>
        <v>595.21331999999995</v>
      </c>
      <c r="AB775" s="127">
        <f t="shared" si="222"/>
        <v>595.21331999999995</v>
      </c>
      <c r="AC775" s="37">
        <f t="shared" si="211"/>
        <v>3971.2799199999999</v>
      </c>
      <c r="AD775" s="37">
        <f t="shared" si="223"/>
        <v>5888.3799199999994</v>
      </c>
      <c r="AE775" s="181">
        <f t="shared" si="212"/>
        <v>29</v>
      </c>
      <c r="AF775" s="37">
        <f t="shared" si="224"/>
        <v>20358</v>
      </c>
      <c r="AG775" s="181">
        <f t="shared" si="213"/>
        <v>1206.5999999999999</v>
      </c>
      <c r="AH775" s="111">
        <f t="shared" si="225"/>
        <v>801.70430399999987</v>
      </c>
      <c r="AI775" s="127">
        <f t="shared" si="226"/>
        <v>1206.5999999999999</v>
      </c>
      <c r="AJ775" s="37">
        <f t="shared" si="214"/>
        <v>7639.5999999999995</v>
      </c>
      <c r="AK775" s="37">
        <f t="shared" si="227"/>
        <v>27997.599999999999</v>
      </c>
      <c r="AL775" s="37">
        <f t="shared" si="215"/>
        <v>7.9896606784260511</v>
      </c>
      <c r="AN775" s="37" t="str">
        <f t="shared" si="228"/>
        <v>Pallet</v>
      </c>
      <c r="AO775" s="194">
        <f t="shared" si="229"/>
        <v>29</v>
      </c>
    </row>
    <row r="776" spans="22:41" x14ac:dyDescent="0.2">
      <c r="V776" s="181">
        <f t="shared" si="216"/>
        <v>369</v>
      </c>
      <c r="W776" s="181">
        <f t="shared" si="217"/>
        <v>738</v>
      </c>
      <c r="X776" s="181">
        <f t="shared" si="218"/>
        <v>1</v>
      </c>
      <c r="Y776" s="37">
        <f t="shared" si="219"/>
        <v>1917.1</v>
      </c>
      <c r="Z776" s="181">
        <f t="shared" si="220"/>
        <v>567</v>
      </c>
      <c r="AA776" s="127">
        <f t="shared" si="221"/>
        <v>595.21331999999995</v>
      </c>
      <c r="AB776" s="127">
        <f t="shared" si="222"/>
        <v>595.21331999999995</v>
      </c>
      <c r="AC776" s="37">
        <f t="shared" si="211"/>
        <v>3971.2799199999999</v>
      </c>
      <c r="AD776" s="37">
        <f t="shared" si="223"/>
        <v>5888.3799199999994</v>
      </c>
      <c r="AE776" s="181">
        <f t="shared" si="212"/>
        <v>29</v>
      </c>
      <c r="AF776" s="37">
        <f t="shared" si="224"/>
        <v>20358</v>
      </c>
      <c r="AG776" s="181">
        <f t="shared" si="213"/>
        <v>1207.0999999999999</v>
      </c>
      <c r="AH776" s="111">
        <f t="shared" si="225"/>
        <v>801.70430399999987</v>
      </c>
      <c r="AI776" s="127">
        <f t="shared" si="226"/>
        <v>1207.0999999999999</v>
      </c>
      <c r="AJ776" s="37">
        <f t="shared" si="214"/>
        <v>7642.5999999999995</v>
      </c>
      <c r="AK776" s="37">
        <f t="shared" si="227"/>
        <v>28000.6</v>
      </c>
      <c r="AL776" s="37">
        <f t="shared" si="215"/>
        <v>7.9788345799457989</v>
      </c>
      <c r="AN776" s="37" t="str">
        <f t="shared" si="228"/>
        <v>Pallet</v>
      </c>
      <c r="AO776" s="194">
        <f t="shared" si="229"/>
        <v>29</v>
      </c>
    </row>
    <row r="777" spans="22:41" x14ac:dyDescent="0.2">
      <c r="V777" s="181">
        <f t="shared" si="216"/>
        <v>369.5</v>
      </c>
      <c r="W777" s="181">
        <f t="shared" si="217"/>
        <v>739</v>
      </c>
      <c r="X777" s="181">
        <f t="shared" si="218"/>
        <v>1</v>
      </c>
      <c r="Y777" s="37">
        <f t="shared" si="219"/>
        <v>1917.1</v>
      </c>
      <c r="Z777" s="181">
        <f t="shared" si="220"/>
        <v>567.5</v>
      </c>
      <c r="AA777" s="127">
        <f t="shared" si="221"/>
        <v>595.21331999999995</v>
      </c>
      <c r="AB777" s="127">
        <f t="shared" si="222"/>
        <v>595.21331999999995</v>
      </c>
      <c r="AC777" s="37">
        <f t="shared" si="211"/>
        <v>3971.2799199999999</v>
      </c>
      <c r="AD777" s="37">
        <f t="shared" si="223"/>
        <v>5888.3799199999994</v>
      </c>
      <c r="AE777" s="181">
        <f t="shared" si="212"/>
        <v>29</v>
      </c>
      <c r="AF777" s="37">
        <f t="shared" si="224"/>
        <v>20358</v>
      </c>
      <c r="AG777" s="181">
        <f t="shared" si="213"/>
        <v>1207.5999999999999</v>
      </c>
      <c r="AH777" s="111">
        <f t="shared" si="225"/>
        <v>801.70430399999987</v>
      </c>
      <c r="AI777" s="127">
        <f t="shared" si="226"/>
        <v>1207.5999999999999</v>
      </c>
      <c r="AJ777" s="37">
        <f t="shared" si="214"/>
        <v>7645.5999999999995</v>
      </c>
      <c r="AK777" s="37">
        <f t="shared" si="227"/>
        <v>28003.599999999999</v>
      </c>
      <c r="AL777" s="37">
        <f t="shared" si="215"/>
        <v>7.9680377807848437</v>
      </c>
      <c r="AN777" s="37" t="str">
        <f t="shared" si="228"/>
        <v>Pallet</v>
      </c>
      <c r="AO777" s="194">
        <f t="shared" si="229"/>
        <v>29</v>
      </c>
    </row>
    <row r="778" spans="22:41" x14ac:dyDescent="0.2">
      <c r="V778" s="181">
        <f t="shared" si="216"/>
        <v>370</v>
      </c>
      <c r="W778" s="181">
        <f t="shared" si="217"/>
        <v>740</v>
      </c>
      <c r="X778" s="181">
        <f t="shared" si="218"/>
        <v>1</v>
      </c>
      <c r="Y778" s="37">
        <f t="shared" si="219"/>
        <v>1917.1</v>
      </c>
      <c r="Z778" s="181">
        <f t="shared" si="220"/>
        <v>568</v>
      </c>
      <c r="AA778" s="127">
        <f t="shared" si="221"/>
        <v>595.21331999999995</v>
      </c>
      <c r="AB778" s="127">
        <f t="shared" si="222"/>
        <v>595.21331999999995</v>
      </c>
      <c r="AC778" s="37">
        <f t="shared" si="211"/>
        <v>3971.2799199999999</v>
      </c>
      <c r="AD778" s="37">
        <f t="shared" si="223"/>
        <v>5888.3799199999994</v>
      </c>
      <c r="AE778" s="181">
        <f t="shared" si="212"/>
        <v>29</v>
      </c>
      <c r="AF778" s="37">
        <f t="shared" si="224"/>
        <v>20358</v>
      </c>
      <c r="AG778" s="181">
        <f t="shared" si="213"/>
        <v>1208.0999999999999</v>
      </c>
      <c r="AH778" s="111">
        <f t="shared" si="225"/>
        <v>801.70430399999987</v>
      </c>
      <c r="AI778" s="127">
        <f t="shared" si="226"/>
        <v>1208.0999999999999</v>
      </c>
      <c r="AJ778" s="37">
        <f t="shared" si="214"/>
        <v>7648.5999999999995</v>
      </c>
      <c r="AK778" s="37">
        <f t="shared" si="227"/>
        <v>28006.6</v>
      </c>
      <c r="AL778" s="37">
        <f t="shared" si="215"/>
        <v>7.9572701621621613</v>
      </c>
      <c r="AN778" s="37" t="str">
        <f t="shared" si="228"/>
        <v>Pallet</v>
      </c>
      <c r="AO778" s="194">
        <f t="shared" si="229"/>
        <v>29</v>
      </c>
    </row>
    <row r="779" spans="22:41" x14ac:dyDescent="0.2">
      <c r="V779" s="181">
        <f t="shared" si="216"/>
        <v>370.5</v>
      </c>
      <c r="W779" s="181">
        <f t="shared" si="217"/>
        <v>741</v>
      </c>
      <c r="X779" s="181">
        <f t="shared" si="218"/>
        <v>1</v>
      </c>
      <c r="Y779" s="37">
        <f t="shared" si="219"/>
        <v>1917.1</v>
      </c>
      <c r="Z779" s="181">
        <f t="shared" si="220"/>
        <v>568.5</v>
      </c>
      <c r="AA779" s="127">
        <f t="shared" si="221"/>
        <v>595.21331999999995</v>
      </c>
      <c r="AB779" s="127">
        <f t="shared" si="222"/>
        <v>595.21331999999995</v>
      </c>
      <c r="AC779" s="37">
        <f t="shared" si="211"/>
        <v>3971.2799199999999</v>
      </c>
      <c r="AD779" s="37">
        <f t="shared" si="223"/>
        <v>5888.3799199999994</v>
      </c>
      <c r="AE779" s="181">
        <f t="shared" si="212"/>
        <v>29</v>
      </c>
      <c r="AF779" s="37">
        <f t="shared" si="224"/>
        <v>20358</v>
      </c>
      <c r="AG779" s="181">
        <f t="shared" si="213"/>
        <v>1208.5999999999999</v>
      </c>
      <c r="AH779" s="111">
        <f t="shared" si="225"/>
        <v>801.70430399999987</v>
      </c>
      <c r="AI779" s="127">
        <f t="shared" si="226"/>
        <v>1208.5999999999999</v>
      </c>
      <c r="AJ779" s="37">
        <f t="shared" si="214"/>
        <v>7651.5999999999995</v>
      </c>
      <c r="AK779" s="37">
        <f t="shared" si="227"/>
        <v>28009.599999999999</v>
      </c>
      <c r="AL779" s="37">
        <f t="shared" si="215"/>
        <v>7.9465316059379205</v>
      </c>
      <c r="AN779" s="37" t="str">
        <f t="shared" si="228"/>
        <v>Pallet</v>
      </c>
      <c r="AO779" s="194">
        <f t="shared" si="229"/>
        <v>29</v>
      </c>
    </row>
    <row r="780" spans="22:41" x14ac:dyDescent="0.2">
      <c r="V780" s="181">
        <f t="shared" si="216"/>
        <v>371</v>
      </c>
      <c r="W780" s="181">
        <f t="shared" si="217"/>
        <v>742</v>
      </c>
      <c r="X780" s="181">
        <f t="shared" si="218"/>
        <v>1</v>
      </c>
      <c r="Y780" s="37">
        <f t="shared" si="219"/>
        <v>1917.1</v>
      </c>
      <c r="Z780" s="181">
        <f t="shared" si="220"/>
        <v>569</v>
      </c>
      <c r="AA780" s="127">
        <f t="shared" si="221"/>
        <v>595.21331999999995</v>
      </c>
      <c r="AB780" s="127">
        <f t="shared" si="222"/>
        <v>595.21331999999995</v>
      </c>
      <c r="AC780" s="37">
        <f t="shared" si="211"/>
        <v>3971.2799199999999</v>
      </c>
      <c r="AD780" s="37">
        <f t="shared" si="223"/>
        <v>5888.3799199999994</v>
      </c>
      <c r="AE780" s="181">
        <f t="shared" si="212"/>
        <v>29</v>
      </c>
      <c r="AF780" s="37">
        <f t="shared" si="224"/>
        <v>20358</v>
      </c>
      <c r="AG780" s="181">
        <f t="shared" si="213"/>
        <v>1209.0999999999999</v>
      </c>
      <c r="AH780" s="111">
        <f t="shared" si="225"/>
        <v>801.70430399999987</v>
      </c>
      <c r="AI780" s="127">
        <f t="shared" si="226"/>
        <v>1209.0999999999999</v>
      </c>
      <c r="AJ780" s="37">
        <f t="shared" si="214"/>
        <v>7654.5999999999995</v>
      </c>
      <c r="AK780" s="37">
        <f t="shared" si="227"/>
        <v>28012.6</v>
      </c>
      <c r="AL780" s="37">
        <f t="shared" si="215"/>
        <v>7.9358219946091637</v>
      </c>
      <c r="AN780" s="37" t="str">
        <f t="shared" si="228"/>
        <v>Pallet</v>
      </c>
      <c r="AO780" s="194">
        <f t="shared" si="229"/>
        <v>29</v>
      </c>
    </row>
    <row r="781" spans="22:41" x14ac:dyDescent="0.2">
      <c r="V781" s="181">
        <f t="shared" si="216"/>
        <v>371.5</v>
      </c>
      <c r="W781" s="181">
        <f t="shared" si="217"/>
        <v>743</v>
      </c>
      <c r="X781" s="181">
        <f t="shared" si="218"/>
        <v>1</v>
      </c>
      <c r="Y781" s="37">
        <f t="shared" si="219"/>
        <v>1917.1</v>
      </c>
      <c r="Z781" s="181">
        <f t="shared" si="220"/>
        <v>569.5</v>
      </c>
      <c r="AA781" s="127">
        <f t="shared" si="221"/>
        <v>595.21331999999995</v>
      </c>
      <c r="AB781" s="127">
        <f t="shared" si="222"/>
        <v>595.21331999999995</v>
      </c>
      <c r="AC781" s="37">
        <f t="shared" si="211"/>
        <v>3971.2799199999999</v>
      </c>
      <c r="AD781" s="37">
        <f t="shared" si="223"/>
        <v>5888.3799199999994</v>
      </c>
      <c r="AE781" s="181">
        <f t="shared" si="212"/>
        <v>29</v>
      </c>
      <c r="AF781" s="37">
        <f t="shared" si="224"/>
        <v>20358</v>
      </c>
      <c r="AG781" s="181">
        <f t="shared" si="213"/>
        <v>1209.5999999999999</v>
      </c>
      <c r="AH781" s="111">
        <f t="shared" si="225"/>
        <v>801.70430399999987</v>
      </c>
      <c r="AI781" s="127">
        <f t="shared" si="226"/>
        <v>1209.5999999999999</v>
      </c>
      <c r="AJ781" s="37">
        <f t="shared" si="214"/>
        <v>7657.5999999999995</v>
      </c>
      <c r="AK781" s="37">
        <f t="shared" si="227"/>
        <v>28015.599999999999</v>
      </c>
      <c r="AL781" s="37">
        <f t="shared" si="215"/>
        <v>7.9251412113055171</v>
      </c>
      <c r="AN781" s="37" t="str">
        <f t="shared" si="228"/>
        <v>Pallet</v>
      </c>
      <c r="AO781" s="194">
        <f t="shared" si="229"/>
        <v>29</v>
      </c>
    </row>
    <row r="782" spans="22:41" x14ac:dyDescent="0.2">
      <c r="V782" s="181">
        <f t="shared" si="216"/>
        <v>372</v>
      </c>
      <c r="W782" s="181">
        <f t="shared" si="217"/>
        <v>744</v>
      </c>
      <c r="X782" s="181">
        <f t="shared" si="218"/>
        <v>1</v>
      </c>
      <c r="Y782" s="37">
        <f t="shared" si="219"/>
        <v>1917.1</v>
      </c>
      <c r="Z782" s="181">
        <f t="shared" si="220"/>
        <v>570</v>
      </c>
      <c r="AA782" s="127">
        <f t="shared" si="221"/>
        <v>595.21331999999995</v>
      </c>
      <c r="AB782" s="127">
        <f t="shared" si="222"/>
        <v>595.21331999999995</v>
      </c>
      <c r="AC782" s="37">
        <f t="shared" si="211"/>
        <v>3971.2799199999999</v>
      </c>
      <c r="AD782" s="37">
        <f t="shared" si="223"/>
        <v>5888.3799199999994</v>
      </c>
      <c r="AE782" s="181">
        <f t="shared" si="212"/>
        <v>29</v>
      </c>
      <c r="AF782" s="37">
        <f t="shared" si="224"/>
        <v>20358</v>
      </c>
      <c r="AG782" s="181">
        <f t="shared" si="213"/>
        <v>1210.0999999999999</v>
      </c>
      <c r="AH782" s="111">
        <f t="shared" si="225"/>
        <v>801.70430399999987</v>
      </c>
      <c r="AI782" s="127">
        <f t="shared" si="226"/>
        <v>1210.0999999999999</v>
      </c>
      <c r="AJ782" s="37">
        <f t="shared" si="214"/>
        <v>7660.5999999999995</v>
      </c>
      <c r="AK782" s="37">
        <f t="shared" si="227"/>
        <v>28018.6</v>
      </c>
      <c r="AL782" s="37">
        <f t="shared" si="215"/>
        <v>7.9144891397849451</v>
      </c>
      <c r="AN782" s="37" t="str">
        <f t="shared" si="228"/>
        <v>Pallet</v>
      </c>
      <c r="AO782" s="194">
        <f t="shared" si="229"/>
        <v>29</v>
      </c>
    </row>
    <row r="783" spans="22:41" x14ac:dyDescent="0.2">
      <c r="V783" s="181">
        <f t="shared" si="216"/>
        <v>372.5</v>
      </c>
      <c r="W783" s="181">
        <f t="shared" si="217"/>
        <v>745</v>
      </c>
      <c r="X783" s="181">
        <f t="shared" si="218"/>
        <v>1</v>
      </c>
      <c r="Y783" s="37">
        <f t="shared" si="219"/>
        <v>1917.1</v>
      </c>
      <c r="Z783" s="181">
        <f t="shared" si="220"/>
        <v>570.5</v>
      </c>
      <c r="AA783" s="127">
        <f t="shared" si="221"/>
        <v>595.21331999999995</v>
      </c>
      <c r="AB783" s="127">
        <f t="shared" si="222"/>
        <v>595.21331999999995</v>
      </c>
      <c r="AC783" s="37">
        <f t="shared" si="211"/>
        <v>3971.2799199999999</v>
      </c>
      <c r="AD783" s="37">
        <f t="shared" si="223"/>
        <v>5888.3799199999994</v>
      </c>
      <c r="AE783" s="181">
        <f t="shared" si="212"/>
        <v>29</v>
      </c>
      <c r="AF783" s="37">
        <f t="shared" si="224"/>
        <v>20358</v>
      </c>
      <c r="AG783" s="181">
        <f t="shared" si="213"/>
        <v>1210.5999999999999</v>
      </c>
      <c r="AH783" s="111">
        <f t="shared" si="225"/>
        <v>801.70430399999987</v>
      </c>
      <c r="AI783" s="127">
        <f t="shared" si="226"/>
        <v>1210.5999999999999</v>
      </c>
      <c r="AJ783" s="37">
        <f t="shared" si="214"/>
        <v>7663.5999999999995</v>
      </c>
      <c r="AK783" s="37">
        <f t="shared" si="227"/>
        <v>28021.599999999999</v>
      </c>
      <c r="AL783" s="37">
        <f t="shared" si="215"/>
        <v>7.9038656644295298</v>
      </c>
      <c r="AN783" s="37" t="str">
        <f t="shared" si="228"/>
        <v>Pallet</v>
      </c>
      <c r="AO783" s="194">
        <f t="shared" si="229"/>
        <v>29</v>
      </c>
    </row>
    <row r="784" spans="22:41" x14ac:dyDescent="0.2">
      <c r="V784" s="181">
        <f t="shared" si="216"/>
        <v>373</v>
      </c>
      <c r="W784" s="181">
        <f t="shared" si="217"/>
        <v>746</v>
      </c>
      <c r="X784" s="181">
        <f t="shared" si="218"/>
        <v>1</v>
      </c>
      <c r="Y784" s="37">
        <f t="shared" si="219"/>
        <v>1917.1</v>
      </c>
      <c r="Z784" s="181">
        <f t="shared" si="220"/>
        <v>571</v>
      </c>
      <c r="AA784" s="127">
        <f t="shared" si="221"/>
        <v>595.21331999999995</v>
      </c>
      <c r="AB784" s="127">
        <f t="shared" si="222"/>
        <v>595.21331999999995</v>
      </c>
      <c r="AC784" s="37">
        <f t="shared" si="211"/>
        <v>3971.2799199999999</v>
      </c>
      <c r="AD784" s="37">
        <f t="shared" si="223"/>
        <v>5888.3799199999994</v>
      </c>
      <c r="AE784" s="181">
        <f t="shared" si="212"/>
        <v>29</v>
      </c>
      <c r="AF784" s="37">
        <f t="shared" si="224"/>
        <v>20358</v>
      </c>
      <c r="AG784" s="181">
        <f t="shared" si="213"/>
        <v>1211.0999999999999</v>
      </c>
      <c r="AH784" s="111">
        <f t="shared" si="225"/>
        <v>801.70430399999987</v>
      </c>
      <c r="AI784" s="127">
        <f t="shared" si="226"/>
        <v>1211.0999999999999</v>
      </c>
      <c r="AJ784" s="37">
        <f t="shared" si="214"/>
        <v>7666.5999999999995</v>
      </c>
      <c r="AK784" s="37">
        <f t="shared" si="227"/>
        <v>28024.6</v>
      </c>
      <c r="AL784" s="37">
        <f t="shared" si="215"/>
        <v>7.8932706702412858</v>
      </c>
      <c r="AN784" s="37" t="str">
        <f t="shared" si="228"/>
        <v>Pallet</v>
      </c>
      <c r="AO784" s="194">
        <f t="shared" si="229"/>
        <v>29</v>
      </c>
    </row>
    <row r="785" spans="22:41" x14ac:dyDescent="0.2">
      <c r="V785" s="181">
        <f t="shared" si="216"/>
        <v>373.5</v>
      </c>
      <c r="W785" s="181">
        <f t="shared" si="217"/>
        <v>747</v>
      </c>
      <c r="X785" s="181">
        <f t="shared" si="218"/>
        <v>1</v>
      </c>
      <c r="Y785" s="37">
        <f t="shared" si="219"/>
        <v>1917.1</v>
      </c>
      <c r="Z785" s="181">
        <f t="shared" si="220"/>
        <v>571.5</v>
      </c>
      <c r="AA785" s="127">
        <f t="shared" si="221"/>
        <v>595.21331999999995</v>
      </c>
      <c r="AB785" s="127">
        <f t="shared" si="222"/>
        <v>595.21331999999995</v>
      </c>
      <c r="AC785" s="37">
        <f t="shared" si="211"/>
        <v>3971.2799199999999</v>
      </c>
      <c r="AD785" s="37">
        <f t="shared" si="223"/>
        <v>5888.3799199999994</v>
      </c>
      <c r="AE785" s="181">
        <f t="shared" si="212"/>
        <v>29</v>
      </c>
      <c r="AF785" s="37">
        <f t="shared" si="224"/>
        <v>20358</v>
      </c>
      <c r="AG785" s="181">
        <f t="shared" si="213"/>
        <v>1211.5999999999999</v>
      </c>
      <c r="AH785" s="111">
        <f t="shared" si="225"/>
        <v>801.70430399999987</v>
      </c>
      <c r="AI785" s="127">
        <f t="shared" si="226"/>
        <v>1211.5999999999999</v>
      </c>
      <c r="AJ785" s="37">
        <f t="shared" si="214"/>
        <v>7669.5999999999995</v>
      </c>
      <c r="AK785" s="37">
        <f t="shared" si="227"/>
        <v>28027.599999999999</v>
      </c>
      <c r="AL785" s="37">
        <f t="shared" si="215"/>
        <v>7.882704042838018</v>
      </c>
      <c r="AN785" s="37" t="str">
        <f t="shared" si="228"/>
        <v>Pallet</v>
      </c>
      <c r="AO785" s="194">
        <f t="shared" si="229"/>
        <v>29</v>
      </c>
    </row>
    <row r="786" spans="22:41" x14ac:dyDescent="0.2">
      <c r="V786" s="181">
        <f t="shared" si="216"/>
        <v>374</v>
      </c>
      <c r="W786" s="181">
        <f t="shared" si="217"/>
        <v>748</v>
      </c>
      <c r="X786" s="181">
        <f t="shared" si="218"/>
        <v>1</v>
      </c>
      <c r="Y786" s="37">
        <f t="shared" si="219"/>
        <v>1917.1</v>
      </c>
      <c r="Z786" s="181">
        <f t="shared" si="220"/>
        <v>572</v>
      </c>
      <c r="AA786" s="127">
        <f t="shared" si="221"/>
        <v>595.21331999999995</v>
      </c>
      <c r="AB786" s="127">
        <f t="shared" si="222"/>
        <v>595.21331999999995</v>
      </c>
      <c r="AC786" s="37">
        <f t="shared" si="211"/>
        <v>3971.2799199999999</v>
      </c>
      <c r="AD786" s="37">
        <f t="shared" si="223"/>
        <v>5888.3799199999994</v>
      </c>
      <c r="AE786" s="181">
        <f t="shared" si="212"/>
        <v>29</v>
      </c>
      <c r="AF786" s="37">
        <f t="shared" si="224"/>
        <v>20358</v>
      </c>
      <c r="AG786" s="181">
        <f t="shared" si="213"/>
        <v>1212.0999999999999</v>
      </c>
      <c r="AH786" s="111">
        <f t="shared" si="225"/>
        <v>801.70430399999987</v>
      </c>
      <c r="AI786" s="127">
        <f t="shared" si="226"/>
        <v>1212.0999999999999</v>
      </c>
      <c r="AJ786" s="37">
        <f t="shared" si="214"/>
        <v>7672.5999999999995</v>
      </c>
      <c r="AK786" s="37">
        <f t="shared" si="227"/>
        <v>28030.6</v>
      </c>
      <c r="AL786" s="37">
        <f t="shared" si="215"/>
        <v>7.8721656684491972</v>
      </c>
      <c r="AN786" s="37" t="str">
        <f t="shared" si="228"/>
        <v>Pallet</v>
      </c>
      <c r="AO786" s="194">
        <f t="shared" si="229"/>
        <v>29</v>
      </c>
    </row>
    <row r="787" spans="22:41" x14ac:dyDescent="0.2">
      <c r="V787" s="181">
        <f t="shared" si="216"/>
        <v>374.5</v>
      </c>
      <c r="W787" s="181">
        <f t="shared" si="217"/>
        <v>749</v>
      </c>
      <c r="X787" s="181">
        <f t="shared" si="218"/>
        <v>1</v>
      </c>
      <c r="Y787" s="37">
        <f t="shared" si="219"/>
        <v>1917.1</v>
      </c>
      <c r="Z787" s="181">
        <f t="shared" si="220"/>
        <v>572.5</v>
      </c>
      <c r="AA787" s="127">
        <f t="shared" si="221"/>
        <v>595.21331999999995</v>
      </c>
      <c r="AB787" s="127">
        <f t="shared" si="222"/>
        <v>595.21331999999995</v>
      </c>
      <c r="AC787" s="37">
        <f t="shared" si="211"/>
        <v>3971.2799199999999</v>
      </c>
      <c r="AD787" s="37">
        <f t="shared" si="223"/>
        <v>5888.3799199999994</v>
      </c>
      <c r="AE787" s="181">
        <f t="shared" si="212"/>
        <v>30</v>
      </c>
      <c r="AF787" s="37">
        <f t="shared" si="224"/>
        <v>21060</v>
      </c>
      <c r="AG787" s="181">
        <f t="shared" si="213"/>
        <v>1241.5</v>
      </c>
      <c r="AH787" s="111">
        <f t="shared" si="225"/>
        <v>829.34927999999991</v>
      </c>
      <c r="AI787" s="127">
        <f t="shared" si="226"/>
        <v>1241.5</v>
      </c>
      <c r="AJ787" s="37">
        <f t="shared" si="214"/>
        <v>7849</v>
      </c>
      <c r="AK787" s="37">
        <f t="shared" si="227"/>
        <v>28909</v>
      </c>
      <c r="AL787" s="37">
        <f t="shared" si="215"/>
        <v>7.8616554339118814</v>
      </c>
      <c r="AN787" s="37" t="str">
        <f t="shared" si="228"/>
        <v>Pallet</v>
      </c>
      <c r="AO787" s="194">
        <f t="shared" si="229"/>
        <v>29</v>
      </c>
    </row>
    <row r="788" spans="22:41" x14ac:dyDescent="0.2">
      <c r="V788" s="181">
        <f t="shared" si="216"/>
        <v>375</v>
      </c>
      <c r="W788" s="181">
        <f t="shared" si="217"/>
        <v>750</v>
      </c>
      <c r="X788" s="181">
        <f t="shared" si="218"/>
        <v>1</v>
      </c>
      <c r="Y788" s="37">
        <f t="shared" si="219"/>
        <v>1917.1</v>
      </c>
      <c r="Z788" s="181">
        <f t="shared" si="220"/>
        <v>573</v>
      </c>
      <c r="AA788" s="127">
        <f t="shared" si="221"/>
        <v>595.21331999999995</v>
      </c>
      <c r="AB788" s="127">
        <f t="shared" si="222"/>
        <v>595.21331999999995</v>
      </c>
      <c r="AC788" s="37">
        <f t="shared" si="211"/>
        <v>3971.2799199999999</v>
      </c>
      <c r="AD788" s="37">
        <f t="shared" si="223"/>
        <v>5888.3799199999994</v>
      </c>
      <c r="AE788" s="181">
        <f t="shared" si="212"/>
        <v>30</v>
      </c>
      <c r="AF788" s="37">
        <f t="shared" si="224"/>
        <v>21060</v>
      </c>
      <c r="AG788" s="181">
        <f t="shared" si="213"/>
        <v>1242</v>
      </c>
      <c r="AH788" s="111">
        <f t="shared" si="225"/>
        <v>829.34927999999991</v>
      </c>
      <c r="AI788" s="127">
        <f t="shared" si="226"/>
        <v>1242</v>
      </c>
      <c r="AJ788" s="37">
        <f t="shared" si="214"/>
        <v>7852</v>
      </c>
      <c r="AK788" s="37">
        <f t="shared" si="227"/>
        <v>28912</v>
      </c>
      <c r="AL788" s="37">
        <f t="shared" si="215"/>
        <v>7.8511732266666661</v>
      </c>
      <c r="AN788" s="37" t="str">
        <f t="shared" si="228"/>
        <v>Pallet</v>
      </c>
      <c r="AO788" s="194">
        <f t="shared" si="229"/>
        <v>30</v>
      </c>
    </row>
    <row r="789" spans="22:41" x14ac:dyDescent="0.2">
      <c r="V789" s="181">
        <f t="shared" si="216"/>
        <v>375.5</v>
      </c>
      <c r="W789" s="181">
        <f t="shared" si="217"/>
        <v>751</v>
      </c>
      <c r="X789" s="181">
        <f t="shared" si="218"/>
        <v>1</v>
      </c>
      <c r="Y789" s="37">
        <f t="shared" si="219"/>
        <v>1917.1</v>
      </c>
      <c r="Z789" s="181">
        <f t="shared" si="220"/>
        <v>573.5</v>
      </c>
      <c r="AA789" s="127">
        <f t="shared" si="221"/>
        <v>595.21331999999995</v>
      </c>
      <c r="AB789" s="127">
        <f t="shared" si="222"/>
        <v>595.21331999999995</v>
      </c>
      <c r="AC789" s="37">
        <f t="shared" si="211"/>
        <v>3971.2799199999999</v>
      </c>
      <c r="AD789" s="37">
        <f t="shared" si="223"/>
        <v>5888.3799199999994</v>
      </c>
      <c r="AE789" s="181">
        <f t="shared" si="212"/>
        <v>30</v>
      </c>
      <c r="AF789" s="37">
        <f t="shared" si="224"/>
        <v>21060</v>
      </c>
      <c r="AG789" s="181">
        <f t="shared" si="213"/>
        <v>1242.5</v>
      </c>
      <c r="AH789" s="111">
        <f t="shared" si="225"/>
        <v>829.34927999999991</v>
      </c>
      <c r="AI789" s="127">
        <f t="shared" si="226"/>
        <v>1242.5</v>
      </c>
      <c r="AJ789" s="37">
        <f t="shared" si="214"/>
        <v>7855</v>
      </c>
      <c r="AK789" s="37">
        <f t="shared" si="227"/>
        <v>28915</v>
      </c>
      <c r="AL789" s="37">
        <f t="shared" si="215"/>
        <v>7.840718934753661</v>
      </c>
      <c r="AN789" s="37" t="str">
        <f t="shared" si="228"/>
        <v>Pallet</v>
      </c>
      <c r="AO789" s="194">
        <f t="shared" si="229"/>
        <v>30</v>
      </c>
    </row>
    <row r="790" spans="22:41" x14ac:dyDescent="0.2">
      <c r="V790" s="181">
        <f t="shared" si="216"/>
        <v>376</v>
      </c>
      <c r="W790" s="181">
        <f t="shared" si="217"/>
        <v>752</v>
      </c>
      <c r="X790" s="181">
        <f t="shared" si="218"/>
        <v>1</v>
      </c>
      <c r="Y790" s="37">
        <f t="shared" si="219"/>
        <v>1917.1</v>
      </c>
      <c r="Z790" s="181">
        <f t="shared" si="220"/>
        <v>574</v>
      </c>
      <c r="AA790" s="127">
        <f t="shared" si="221"/>
        <v>595.21331999999995</v>
      </c>
      <c r="AB790" s="127">
        <f t="shared" si="222"/>
        <v>595.21331999999995</v>
      </c>
      <c r="AC790" s="37">
        <f t="shared" si="211"/>
        <v>3971.2799199999999</v>
      </c>
      <c r="AD790" s="37">
        <f t="shared" si="223"/>
        <v>5888.3799199999994</v>
      </c>
      <c r="AE790" s="181">
        <f t="shared" si="212"/>
        <v>30</v>
      </c>
      <c r="AF790" s="37">
        <f t="shared" si="224"/>
        <v>21060</v>
      </c>
      <c r="AG790" s="181">
        <f t="shared" si="213"/>
        <v>1243</v>
      </c>
      <c r="AH790" s="111">
        <f t="shared" si="225"/>
        <v>829.34927999999991</v>
      </c>
      <c r="AI790" s="127">
        <f t="shared" si="226"/>
        <v>1243</v>
      </c>
      <c r="AJ790" s="37">
        <f t="shared" si="214"/>
        <v>7858</v>
      </c>
      <c r="AK790" s="37">
        <f t="shared" si="227"/>
        <v>28918</v>
      </c>
      <c r="AL790" s="37">
        <f t="shared" si="215"/>
        <v>7.8302924468085102</v>
      </c>
      <c r="AN790" s="37" t="str">
        <f t="shared" si="228"/>
        <v>Pallet</v>
      </c>
      <c r="AO790" s="194">
        <f t="shared" si="229"/>
        <v>30</v>
      </c>
    </row>
    <row r="791" spans="22:41" x14ac:dyDescent="0.2">
      <c r="V791" s="181">
        <f t="shared" si="216"/>
        <v>376.5</v>
      </c>
      <c r="W791" s="181">
        <f t="shared" si="217"/>
        <v>753</v>
      </c>
      <c r="X791" s="181">
        <f t="shared" si="218"/>
        <v>1</v>
      </c>
      <c r="Y791" s="37">
        <f t="shared" si="219"/>
        <v>1917.1</v>
      </c>
      <c r="Z791" s="181">
        <f t="shared" si="220"/>
        <v>574.5</v>
      </c>
      <c r="AA791" s="127">
        <f t="shared" si="221"/>
        <v>595.21331999999995</v>
      </c>
      <c r="AB791" s="127">
        <f t="shared" si="222"/>
        <v>595.21331999999995</v>
      </c>
      <c r="AC791" s="37">
        <f t="shared" si="211"/>
        <v>3971.2799199999999</v>
      </c>
      <c r="AD791" s="37">
        <f t="shared" si="223"/>
        <v>5888.3799199999994</v>
      </c>
      <c r="AE791" s="181">
        <f t="shared" si="212"/>
        <v>30</v>
      </c>
      <c r="AF791" s="37">
        <f t="shared" si="224"/>
        <v>21060</v>
      </c>
      <c r="AG791" s="181">
        <f t="shared" si="213"/>
        <v>1243.5</v>
      </c>
      <c r="AH791" s="111">
        <f t="shared" si="225"/>
        <v>829.34927999999991</v>
      </c>
      <c r="AI791" s="127">
        <f t="shared" si="226"/>
        <v>1243.5</v>
      </c>
      <c r="AJ791" s="37">
        <f t="shared" si="214"/>
        <v>7861</v>
      </c>
      <c r="AK791" s="37">
        <f t="shared" si="227"/>
        <v>28921</v>
      </c>
      <c r="AL791" s="37">
        <f t="shared" si="215"/>
        <v>7.8198936520584326</v>
      </c>
      <c r="AN791" s="37" t="str">
        <f t="shared" si="228"/>
        <v>Pallet</v>
      </c>
      <c r="AO791" s="194">
        <f t="shared" si="229"/>
        <v>30</v>
      </c>
    </row>
    <row r="792" spans="22:41" x14ac:dyDescent="0.2">
      <c r="V792" s="181">
        <f t="shared" si="216"/>
        <v>377</v>
      </c>
      <c r="W792" s="181">
        <f t="shared" si="217"/>
        <v>754</v>
      </c>
      <c r="X792" s="181">
        <f t="shared" si="218"/>
        <v>1</v>
      </c>
      <c r="Y792" s="37">
        <f t="shared" si="219"/>
        <v>1917.1</v>
      </c>
      <c r="Z792" s="181">
        <f t="shared" si="220"/>
        <v>575</v>
      </c>
      <c r="AA792" s="127">
        <f t="shared" si="221"/>
        <v>595.21331999999995</v>
      </c>
      <c r="AB792" s="127">
        <f t="shared" si="222"/>
        <v>595.21331999999995</v>
      </c>
      <c r="AC792" s="37">
        <f t="shared" si="211"/>
        <v>3971.2799199999999</v>
      </c>
      <c r="AD792" s="37">
        <f t="shared" si="223"/>
        <v>5888.3799199999994</v>
      </c>
      <c r="AE792" s="181">
        <f t="shared" si="212"/>
        <v>30</v>
      </c>
      <c r="AF792" s="37">
        <f t="shared" si="224"/>
        <v>21060</v>
      </c>
      <c r="AG792" s="181">
        <f t="shared" si="213"/>
        <v>1244</v>
      </c>
      <c r="AH792" s="111">
        <f t="shared" si="225"/>
        <v>829.34927999999991</v>
      </c>
      <c r="AI792" s="127">
        <f t="shared" si="226"/>
        <v>1244</v>
      </c>
      <c r="AJ792" s="37">
        <f t="shared" si="214"/>
        <v>7864</v>
      </c>
      <c r="AK792" s="37">
        <f t="shared" si="227"/>
        <v>28924</v>
      </c>
      <c r="AL792" s="37">
        <f t="shared" si="215"/>
        <v>7.8095224403183012</v>
      </c>
      <c r="AN792" s="37" t="str">
        <f t="shared" si="228"/>
        <v>Pallet</v>
      </c>
      <c r="AO792" s="194">
        <f t="shared" si="229"/>
        <v>30</v>
      </c>
    </row>
    <row r="793" spans="22:41" x14ac:dyDescent="0.2">
      <c r="V793" s="181">
        <f t="shared" si="216"/>
        <v>377.5</v>
      </c>
      <c r="W793" s="181">
        <f t="shared" si="217"/>
        <v>755</v>
      </c>
      <c r="X793" s="181">
        <f t="shared" si="218"/>
        <v>1</v>
      </c>
      <c r="Y793" s="37">
        <f t="shared" si="219"/>
        <v>1917.1</v>
      </c>
      <c r="Z793" s="181">
        <f t="shared" si="220"/>
        <v>575.5</v>
      </c>
      <c r="AA793" s="127">
        <f t="shared" si="221"/>
        <v>595.21331999999995</v>
      </c>
      <c r="AB793" s="127">
        <f t="shared" si="222"/>
        <v>595.21331999999995</v>
      </c>
      <c r="AC793" s="37">
        <f t="shared" si="211"/>
        <v>3971.2799199999999</v>
      </c>
      <c r="AD793" s="37">
        <f t="shared" si="223"/>
        <v>5888.3799199999994</v>
      </c>
      <c r="AE793" s="181">
        <f t="shared" si="212"/>
        <v>30</v>
      </c>
      <c r="AF793" s="37">
        <f t="shared" si="224"/>
        <v>21060</v>
      </c>
      <c r="AG793" s="181">
        <f t="shared" si="213"/>
        <v>1244.5</v>
      </c>
      <c r="AH793" s="111">
        <f t="shared" si="225"/>
        <v>829.34927999999991</v>
      </c>
      <c r="AI793" s="127">
        <f t="shared" si="226"/>
        <v>1244.5</v>
      </c>
      <c r="AJ793" s="37">
        <f t="shared" si="214"/>
        <v>7867</v>
      </c>
      <c r="AK793" s="37">
        <f t="shared" si="227"/>
        <v>28927</v>
      </c>
      <c r="AL793" s="37">
        <f t="shared" si="215"/>
        <v>7.7991787019867544</v>
      </c>
      <c r="AN793" s="37" t="str">
        <f t="shared" si="228"/>
        <v>Pallet</v>
      </c>
      <c r="AO793" s="194">
        <f t="shared" si="229"/>
        <v>30</v>
      </c>
    </row>
    <row r="794" spans="22:41" x14ac:dyDescent="0.2">
      <c r="V794" s="181">
        <f t="shared" si="216"/>
        <v>378</v>
      </c>
      <c r="W794" s="181">
        <f t="shared" si="217"/>
        <v>756</v>
      </c>
      <c r="X794" s="181">
        <f t="shared" si="218"/>
        <v>1</v>
      </c>
      <c r="Y794" s="37">
        <f t="shared" si="219"/>
        <v>1917.1</v>
      </c>
      <c r="Z794" s="181">
        <f t="shared" si="220"/>
        <v>576</v>
      </c>
      <c r="AA794" s="127">
        <f t="shared" si="221"/>
        <v>595.21331999999995</v>
      </c>
      <c r="AB794" s="127">
        <f t="shared" si="222"/>
        <v>595.21331999999995</v>
      </c>
      <c r="AC794" s="37">
        <f t="shared" si="211"/>
        <v>3971.2799199999999</v>
      </c>
      <c r="AD794" s="37">
        <f t="shared" si="223"/>
        <v>5888.3799199999994</v>
      </c>
      <c r="AE794" s="181">
        <f t="shared" si="212"/>
        <v>30</v>
      </c>
      <c r="AF794" s="37">
        <f t="shared" si="224"/>
        <v>21060</v>
      </c>
      <c r="AG794" s="181">
        <f t="shared" si="213"/>
        <v>1245</v>
      </c>
      <c r="AH794" s="111">
        <f t="shared" si="225"/>
        <v>829.34927999999991</v>
      </c>
      <c r="AI794" s="127">
        <f t="shared" si="226"/>
        <v>1245</v>
      </c>
      <c r="AJ794" s="37">
        <f t="shared" si="214"/>
        <v>7870</v>
      </c>
      <c r="AK794" s="37">
        <f t="shared" si="227"/>
        <v>28930</v>
      </c>
      <c r="AL794" s="37">
        <f t="shared" si="215"/>
        <v>7.7888623280423275</v>
      </c>
      <c r="AN794" s="37" t="str">
        <f t="shared" si="228"/>
        <v>Pallet</v>
      </c>
      <c r="AO794" s="194">
        <f t="shared" si="229"/>
        <v>30</v>
      </c>
    </row>
    <row r="795" spans="22:41" x14ac:dyDescent="0.2">
      <c r="V795" s="181">
        <f t="shared" si="216"/>
        <v>378.5</v>
      </c>
      <c r="W795" s="181">
        <f t="shared" si="217"/>
        <v>757</v>
      </c>
      <c r="X795" s="181">
        <f t="shared" si="218"/>
        <v>1</v>
      </c>
      <c r="Y795" s="37">
        <f t="shared" si="219"/>
        <v>1917.1</v>
      </c>
      <c r="Z795" s="181">
        <f t="shared" si="220"/>
        <v>576.5</v>
      </c>
      <c r="AA795" s="127">
        <f t="shared" si="221"/>
        <v>595.21331999999995</v>
      </c>
      <c r="AB795" s="127">
        <f t="shared" si="222"/>
        <v>595.21331999999995</v>
      </c>
      <c r="AC795" s="37">
        <f t="shared" si="211"/>
        <v>3971.2799199999999</v>
      </c>
      <c r="AD795" s="37">
        <f t="shared" si="223"/>
        <v>5888.3799199999994</v>
      </c>
      <c r="AE795" s="181">
        <f t="shared" si="212"/>
        <v>30</v>
      </c>
      <c r="AF795" s="37">
        <f t="shared" si="224"/>
        <v>21060</v>
      </c>
      <c r="AG795" s="181">
        <f t="shared" si="213"/>
        <v>1245.5</v>
      </c>
      <c r="AH795" s="111">
        <f t="shared" si="225"/>
        <v>829.34927999999991</v>
      </c>
      <c r="AI795" s="127">
        <f t="shared" si="226"/>
        <v>1245.5</v>
      </c>
      <c r="AJ795" s="37">
        <f t="shared" si="214"/>
        <v>7873</v>
      </c>
      <c r="AK795" s="37">
        <f t="shared" si="227"/>
        <v>28933</v>
      </c>
      <c r="AL795" s="37">
        <f t="shared" si="215"/>
        <v>7.778573210039629</v>
      </c>
      <c r="AN795" s="37" t="str">
        <f t="shared" si="228"/>
        <v>Pallet</v>
      </c>
      <c r="AO795" s="194">
        <f t="shared" si="229"/>
        <v>30</v>
      </c>
    </row>
    <row r="796" spans="22:41" x14ac:dyDescent="0.2">
      <c r="V796" s="181">
        <f t="shared" si="216"/>
        <v>379</v>
      </c>
      <c r="W796" s="181">
        <f t="shared" si="217"/>
        <v>758</v>
      </c>
      <c r="X796" s="181">
        <f t="shared" si="218"/>
        <v>1</v>
      </c>
      <c r="Y796" s="37">
        <f t="shared" si="219"/>
        <v>1917.1</v>
      </c>
      <c r="Z796" s="181">
        <f t="shared" si="220"/>
        <v>577</v>
      </c>
      <c r="AA796" s="127">
        <f t="shared" si="221"/>
        <v>595.21331999999995</v>
      </c>
      <c r="AB796" s="127">
        <f t="shared" si="222"/>
        <v>595.21331999999995</v>
      </c>
      <c r="AC796" s="37">
        <f t="shared" si="211"/>
        <v>3971.2799199999999</v>
      </c>
      <c r="AD796" s="37">
        <f t="shared" si="223"/>
        <v>5888.3799199999994</v>
      </c>
      <c r="AE796" s="181">
        <f t="shared" si="212"/>
        <v>30</v>
      </c>
      <c r="AF796" s="37">
        <f t="shared" si="224"/>
        <v>21060</v>
      </c>
      <c r="AG796" s="181">
        <f t="shared" si="213"/>
        <v>1246</v>
      </c>
      <c r="AH796" s="111">
        <f t="shared" si="225"/>
        <v>829.34927999999991</v>
      </c>
      <c r="AI796" s="127">
        <f t="shared" si="226"/>
        <v>1246</v>
      </c>
      <c r="AJ796" s="37">
        <f t="shared" si="214"/>
        <v>7876</v>
      </c>
      <c r="AK796" s="37">
        <f t="shared" si="227"/>
        <v>28936</v>
      </c>
      <c r="AL796" s="37">
        <f t="shared" si="215"/>
        <v>7.7683112401055405</v>
      </c>
      <c r="AN796" s="37" t="str">
        <f t="shared" si="228"/>
        <v>Pallet</v>
      </c>
      <c r="AO796" s="194">
        <f t="shared" si="229"/>
        <v>30</v>
      </c>
    </row>
    <row r="797" spans="22:41" x14ac:dyDescent="0.2">
      <c r="V797" s="181">
        <f t="shared" si="216"/>
        <v>379.5</v>
      </c>
      <c r="W797" s="181">
        <f t="shared" si="217"/>
        <v>759</v>
      </c>
      <c r="X797" s="181">
        <f t="shared" si="218"/>
        <v>1</v>
      </c>
      <c r="Y797" s="37">
        <f t="shared" si="219"/>
        <v>1917.1</v>
      </c>
      <c r="Z797" s="181">
        <f t="shared" si="220"/>
        <v>577.5</v>
      </c>
      <c r="AA797" s="127">
        <f t="shared" si="221"/>
        <v>595.21331999999995</v>
      </c>
      <c r="AB797" s="127">
        <f t="shared" si="222"/>
        <v>595.21331999999995</v>
      </c>
      <c r="AC797" s="37">
        <f t="shared" si="211"/>
        <v>3971.2799199999999</v>
      </c>
      <c r="AD797" s="37">
        <f t="shared" si="223"/>
        <v>5888.3799199999994</v>
      </c>
      <c r="AE797" s="181">
        <f t="shared" si="212"/>
        <v>30</v>
      </c>
      <c r="AF797" s="37">
        <f t="shared" si="224"/>
        <v>21060</v>
      </c>
      <c r="AG797" s="181">
        <f t="shared" si="213"/>
        <v>1246.5</v>
      </c>
      <c r="AH797" s="111">
        <f t="shared" si="225"/>
        <v>829.34927999999991</v>
      </c>
      <c r="AI797" s="127">
        <f t="shared" si="226"/>
        <v>1246.5</v>
      </c>
      <c r="AJ797" s="37">
        <f t="shared" si="214"/>
        <v>7879</v>
      </c>
      <c r="AK797" s="37">
        <f t="shared" si="227"/>
        <v>28939</v>
      </c>
      <c r="AL797" s="37">
        <f t="shared" si="215"/>
        <v>7.7580763109354409</v>
      </c>
      <c r="AN797" s="37" t="str">
        <f t="shared" si="228"/>
        <v>Pallet</v>
      </c>
      <c r="AO797" s="194">
        <f t="shared" si="229"/>
        <v>30</v>
      </c>
    </row>
    <row r="798" spans="22:41" x14ac:dyDescent="0.2">
      <c r="V798" s="181">
        <f t="shared" si="216"/>
        <v>380</v>
      </c>
      <c r="W798" s="181">
        <f t="shared" si="217"/>
        <v>760</v>
      </c>
      <c r="X798" s="181">
        <f t="shared" si="218"/>
        <v>1</v>
      </c>
      <c r="Y798" s="37">
        <f t="shared" si="219"/>
        <v>1917.1</v>
      </c>
      <c r="Z798" s="181">
        <f t="shared" si="220"/>
        <v>578</v>
      </c>
      <c r="AA798" s="127">
        <f t="shared" si="221"/>
        <v>595.21331999999995</v>
      </c>
      <c r="AB798" s="127">
        <f t="shared" si="222"/>
        <v>595.21331999999995</v>
      </c>
      <c r="AC798" s="37">
        <f t="shared" si="211"/>
        <v>3971.2799199999999</v>
      </c>
      <c r="AD798" s="37">
        <f t="shared" si="223"/>
        <v>5888.3799199999994</v>
      </c>
      <c r="AE798" s="181">
        <f t="shared" si="212"/>
        <v>30</v>
      </c>
      <c r="AF798" s="37">
        <f t="shared" si="224"/>
        <v>21060</v>
      </c>
      <c r="AG798" s="181">
        <f t="shared" si="213"/>
        <v>1247</v>
      </c>
      <c r="AH798" s="111">
        <f t="shared" si="225"/>
        <v>829.34927999999991</v>
      </c>
      <c r="AI798" s="127">
        <f t="shared" si="226"/>
        <v>1247</v>
      </c>
      <c r="AJ798" s="37">
        <f t="shared" si="214"/>
        <v>7882</v>
      </c>
      <c r="AK798" s="37">
        <f t="shared" si="227"/>
        <v>28942</v>
      </c>
      <c r="AL798" s="37">
        <f t="shared" si="215"/>
        <v>7.7478683157894732</v>
      </c>
      <c r="AN798" s="37" t="str">
        <f t="shared" si="228"/>
        <v>Pallet</v>
      </c>
      <c r="AO798" s="194">
        <f t="shared" si="229"/>
        <v>30</v>
      </c>
    </row>
    <row r="799" spans="22:41" x14ac:dyDescent="0.2">
      <c r="V799" s="181">
        <f t="shared" si="216"/>
        <v>380.5</v>
      </c>
      <c r="W799" s="181">
        <f t="shared" si="217"/>
        <v>761</v>
      </c>
      <c r="X799" s="181">
        <f t="shared" si="218"/>
        <v>1</v>
      </c>
      <c r="Y799" s="37">
        <f t="shared" si="219"/>
        <v>1917.1</v>
      </c>
      <c r="Z799" s="181">
        <f t="shared" si="220"/>
        <v>578.5</v>
      </c>
      <c r="AA799" s="127">
        <f t="shared" si="221"/>
        <v>595.21331999999995</v>
      </c>
      <c r="AB799" s="127">
        <f t="shared" si="222"/>
        <v>595.21331999999995</v>
      </c>
      <c r="AC799" s="37">
        <f t="shared" si="211"/>
        <v>3971.2799199999999</v>
      </c>
      <c r="AD799" s="37">
        <f t="shared" si="223"/>
        <v>5888.3799199999994</v>
      </c>
      <c r="AE799" s="181">
        <f t="shared" si="212"/>
        <v>30</v>
      </c>
      <c r="AF799" s="37">
        <f t="shared" si="224"/>
        <v>21060</v>
      </c>
      <c r="AG799" s="181">
        <f t="shared" si="213"/>
        <v>1247.5</v>
      </c>
      <c r="AH799" s="111">
        <f t="shared" si="225"/>
        <v>829.34927999999991</v>
      </c>
      <c r="AI799" s="127">
        <f t="shared" si="226"/>
        <v>1247.5</v>
      </c>
      <c r="AJ799" s="37">
        <f t="shared" si="214"/>
        <v>7885</v>
      </c>
      <c r="AK799" s="37">
        <f t="shared" si="227"/>
        <v>28945</v>
      </c>
      <c r="AL799" s="37">
        <f t="shared" si="215"/>
        <v>7.7376871484888294</v>
      </c>
      <c r="AN799" s="37" t="str">
        <f t="shared" si="228"/>
        <v>Pallet</v>
      </c>
      <c r="AO799" s="194">
        <f t="shared" si="229"/>
        <v>30</v>
      </c>
    </row>
    <row r="800" spans="22:41" x14ac:dyDescent="0.2">
      <c r="V800" s="181">
        <f t="shared" si="216"/>
        <v>381</v>
      </c>
      <c r="W800" s="181">
        <f t="shared" si="217"/>
        <v>762</v>
      </c>
      <c r="X800" s="181">
        <f t="shared" si="218"/>
        <v>1</v>
      </c>
      <c r="Y800" s="37">
        <f t="shared" si="219"/>
        <v>1917.1</v>
      </c>
      <c r="Z800" s="181">
        <f t="shared" si="220"/>
        <v>579</v>
      </c>
      <c r="AA800" s="127">
        <f t="shared" si="221"/>
        <v>595.21331999999995</v>
      </c>
      <c r="AB800" s="127">
        <f t="shared" si="222"/>
        <v>595.21331999999995</v>
      </c>
      <c r="AC800" s="37">
        <f t="shared" si="211"/>
        <v>3971.2799199999999</v>
      </c>
      <c r="AD800" s="37">
        <f t="shared" si="223"/>
        <v>5888.3799199999994</v>
      </c>
      <c r="AE800" s="181">
        <f t="shared" si="212"/>
        <v>30</v>
      </c>
      <c r="AF800" s="37">
        <f t="shared" si="224"/>
        <v>21060</v>
      </c>
      <c r="AG800" s="181">
        <f t="shared" si="213"/>
        <v>1248</v>
      </c>
      <c r="AH800" s="111">
        <f t="shared" si="225"/>
        <v>829.34927999999991</v>
      </c>
      <c r="AI800" s="127">
        <f t="shared" si="226"/>
        <v>1248</v>
      </c>
      <c r="AJ800" s="37">
        <f t="shared" si="214"/>
        <v>7888</v>
      </c>
      <c r="AK800" s="37">
        <f t="shared" si="227"/>
        <v>28948</v>
      </c>
      <c r="AL800" s="37">
        <f t="shared" si="215"/>
        <v>7.7275327034120727</v>
      </c>
      <c r="AN800" s="37" t="str">
        <f t="shared" si="228"/>
        <v>Pallet</v>
      </c>
      <c r="AO800" s="194">
        <f t="shared" si="229"/>
        <v>30</v>
      </c>
    </row>
    <row r="801" spans="22:41" x14ac:dyDescent="0.2">
      <c r="V801" s="181">
        <f t="shared" si="216"/>
        <v>381.5</v>
      </c>
      <c r="W801" s="181">
        <f t="shared" si="217"/>
        <v>763</v>
      </c>
      <c r="X801" s="181">
        <f t="shared" si="218"/>
        <v>1</v>
      </c>
      <c r="Y801" s="37">
        <f t="shared" si="219"/>
        <v>1917.1</v>
      </c>
      <c r="Z801" s="181">
        <f t="shared" si="220"/>
        <v>579.5</v>
      </c>
      <c r="AA801" s="127">
        <f t="shared" si="221"/>
        <v>595.21331999999995</v>
      </c>
      <c r="AB801" s="127">
        <f t="shared" si="222"/>
        <v>595.21331999999995</v>
      </c>
      <c r="AC801" s="37">
        <f t="shared" si="211"/>
        <v>3971.2799199999999</v>
      </c>
      <c r="AD801" s="37">
        <f t="shared" si="223"/>
        <v>5888.3799199999994</v>
      </c>
      <c r="AE801" s="181">
        <f t="shared" si="212"/>
        <v>30</v>
      </c>
      <c r="AF801" s="37">
        <f t="shared" si="224"/>
        <v>21060</v>
      </c>
      <c r="AG801" s="181">
        <f t="shared" si="213"/>
        <v>1248.5</v>
      </c>
      <c r="AH801" s="111">
        <f t="shared" si="225"/>
        <v>829.34927999999991</v>
      </c>
      <c r="AI801" s="127">
        <f t="shared" si="226"/>
        <v>1248.5</v>
      </c>
      <c r="AJ801" s="37">
        <f t="shared" si="214"/>
        <v>7891</v>
      </c>
      <c r="AK801" s="37">
        <f t="shared" si="227"/>
        <v>28951</v>
      </c>
      <c r="AL801" s="37">
        <f t="shared" si="215"/>
        <v>7.7174048754914804</v>
      </c>
      <c r="AN801" s="37" t="str">
        <f t="shared" si="228"/>
        <v>Pallet</v>
      </c>
      <c r="AO801" s="194">
        <f t="shared" si="229"/>
        <v>30</v>
      </c>
    </row>
    <row r="802" spans="22:41" x14ac:dyDescent="0.2">
      <c r="V802" s="181">
        <f t="shared" si="216"/>
        <v>382</v>
      </c>
      <c r="W802" s="181">
        <f t="shared" si="217"/>
        <v>764</v>
      </c>
      <c r="X802" s="181">
        <f t="shared" si="218"/>
        <v>1</v>
      </c>
      <c r="Y802" s="37">
        <f t="shared" si="219"/>
        <v>1917.1</v>
      </c>
      <c r="Z802" s="181">
        <f t="shared" si="220"/>
        <v>580</v>
      </c>
      <c r="AA802" s="127">
        <f t="shared" si="221"/>
        <v>595.21331999999995</v>
      </c>
      <c r="AB802" s="127">
        <f t="shared" si="222"/>
        <v>595.21331999999995</v>
      </c>
      <c r="AC802" s="37">
        <f t="shared" si="211"/>
        <v>3971.2799199999999</v>
      </c>
      <c r="AD802" s="37">
        <f t="shared" si="223"/>
        <v>5888.3799199999994</v>
      </c>
      <c r="AE802" s="181">
        <f t="shared" si="212"/>
        <v>30</v>
      </c>
      <c r="AF802" s="37">
        <f t="shared" si="224"/>
        <v>21060</v>
      </c>
      <c r="AG802" s="181">
        <f t="shared" si="213"/>
        <v>1249</v>
      </c>
      <c r="AH802" s="111">
        <f t="shared" si="225"/>
        <v>829.34927999999991</v>
      </c>
      <c r="AI802" s="127">
        <f t="shared" si="226"/>
        <v>1249</v>
      </c>
      <c r="AJ802" s="37">
        <f t="shared" si="214"/>
        <v>7894</v>
      </c>
      <c r="AK802" s="37">
        <f t="shared" si="227"/>
        <v>28954</v>
      </c>
      <c r="AL802" s="37">
        <f t="shared" si="215"/>
        <v>7.7073035602094233</v>
      </c>
      <c r="AN802" s="37" t="str">
        <f t="shared" si="228"/>
        <v>Pallet</v>
      </c>
      <c r="AO802" s="194">
        <f t="shared" si="229"/>
        <v>30</v>
      </c>
    </row>
    <row r="803" spans="22:41" x14ac:dyDescent="0.2">
      <c r="V803" s="181">
        <f t="shared" si="216"/>
        <v>382.5</v>
      </c>
      <c r="W803" s="181">
        <f t="shared" si="217"/>
        <v>765</v>
      </c>
      <c r="X803" s="181">
        <f t="shared" si="218"/>
        <v>1</v>
      </c>
      <c r="Y803" s="37">
        <f t="shared" si="219"/>
        <v>1917.1</v>
      </c>
      <c r="Z803" s="181">
        <f t="shared" si="220"/>
        <v>580.5</v>
      </c>
      <c r="AA803" s="127">
        <f t="shared" si="221"/>
        <v>595.21331999999995</v>
      </c>
      <c r="AB803" s="127">
        <f t="shared" si="222"/>
        <v>595.21331999999995</v>
      </c>
      <c r="AC803" s="37">
        <f t="shared" si="211"/>
        <v>3971.2799199999999</v>
      </c>
      <c r="AD803" s="37">
        <f t="shared" si="223"/>
        <v>5888.3799199999994</v>
      </c>
      <c r="AE803" s="181">
        <f t="shared" si="212"/>
        <v>30</v>
      </c>
      <c r="AF803" s="37">
        <f t="shared" si="224"/>
        <v>21060</v>
      </c>
      <c r="AG803" s="181">
        <f t="shared" si="213"/>
        <v>1249.5</v>
      </c>
      <c r="AH803" s="111">
        <f t="shared" si="225"/>
        <v>829.34927999999991</v>
      </c>
      <c r="AI803" s="127">
        <f t="shared" si="226"/>
        <v>1249.5</v>
      </c>
      <c r="AJ803" s="37">
        <f t="shared" si="214"/>
        <v>7897</v>
      </c>
      <c r="AK803" s="37">
        <f t="shared" si="227"/>
        <v>28957</v>
      </c>
      <c r="AL803" s="37">
        <f t="shared" si="215"/>
        <v>7.6972286535947703</v>
      </c>
      <c r="AN803" s="37" t="str">
        <f t="shared" si="228"/>
        <v>Pallet</v>
      </c>
      <c r="AO803" s="194">
        <f t="shared" si="229"/>
        <v>30</v>
      </c>
    </row>
    <row r="804" spans="22:41" x14ac:dyDescent="0.2">
      <c r="V804" s="181">
        <f t="shared" si="216"/>
        <v>383</v>
      </c>
      <c r="W804" s="181">
        <f t="shared" si="217"/>
        <v>766</v>
      </c>
      <c r="X804" s="181">
        <f t="shared" si="218"/>
        <v>1</v>
      </c>
      <c r="Y804" s="37">
        <f t="shared" si="219"/>
        <v>1917.1</v>
      </c>
      <c r="Z804" s="181">
        <f t="shared" si="220"/>
        <v>581</v>
      </c>
      <c r="AA804" s="127">
        <f t="shared" si="221"/>
        <v>595.21331999999995</v>
      </c>
      <c r="AB804" s="127">
        <f t="shared" si="222"/>
        <v>595.21331999999995</v>
      </c>
      <c r="AC804" s="37">
        <f t="shared" si="211"/>
        <v>3971.2799199999999</v>
      </c>
      <c r="AD804" s="37">
        <f t="shared" si="223"/>
        <v>5888.3799199999994</v>
      </c>
      <c r="AE804" s="181">
        <f t="shared" si="212"/>
        <v>30</v>
      </c>
      <c r="AF804" s="37">
        <f t="shared" si="224"/>
        <v>21060</v>
      </c>
      <c r="AG804" s="181">
        <f t="shared" si="213"/>
        <v>1250</v>
      </c>
      <c r="AH804" s="111">
        <f t="shared" si="225"/>
        <v>829.34927999999991</v>
      </c>
      <c r="AI804" s="127">
        <f t="shared" si="226"/>
        <v>1250</v>
      </c>
      <c r="AJ804" s="37">
        <f t="shared" si="214"/>
        <v>7900</v>
      </c>
      <c r="AK804" s="37">
        <f t="shared" si="227"/>
        <v>28960</v>
      </c>
      <c r="AL804" s="37">
        <f t="shared" si="215"/>
        <v>7.6871800522193201</v>
      </c>
      <c r="AN804" s="37" t="str">
        <f t="shared" si="228"/>
        <v>Pallet</v>
      </c>
      <c r="AO804" s="194">
        <f t="shared" si="229"/>
        <v>30</v>
      </c>
    </row>
    <row r="805" spans="22:41" x14ac:dyDescent="0.2">
      <c r="V805" s="181">
        <f t="shared" si="216"/>
        <v>383.5</v>
      </c>
      <c r="W805" s="181">
        <f t="shared" si="217"/>
        <v>767</v>
      </c>
      <c r="X805" s="181">
        <f t="shared" si="218"/>
        <v>1</v>
      </c>
      <c r="Y805" s="37">
        <f t="shared" si="219"/>
        <v>1917.1</v>
      </c>
      <c r="Z805" s="181">
        <f t="shared" si="220"/>
        <v>581.5</v>
      </c>
      <c r="AA805" s="127">
        <f t="shared" si="221"/>
        <v>595.21331999999995</v>
      </c>
      <c r="AB805" s="127">
        <f t="shared" si="222"/>
        <v>595.21331999999995</v>
      </c>
      <c r="AC805" s="37">
        <f t="shared" si="211"/>
        <v>3971.2799199999999</v>
      </c>
      <c r="AD805" s="37">
        <f t="shared" si="223"/>
        <v>5888.3799199999994</v>
      </c>
      <c r="AE805" s="181">
        <f t="shared" si="212"/>
        <v>30</v>
      </c>
      <c r="AF805" s="37">
        <f t="shared" si="224"/>
        <v>21060</v>
      </c>
      <c r="AG805" s="181">
        <f t="shared" si="213"/>
        <v>1250.5</v>
      </c>
      <c r="AH805" s="111">
        <f t="shared" si="225"/>
        <v>829.34927999999991</v>
      </c>
      <c r="AI805" s="127">
        <f t="shared" si="226"/>
        <v>1250.5</v>
      </c>
      <c r="AJ805" s="37">
        <f t="shared" si="214"/>
        <v>7903</v>
      </c>
      <c r="AK805" s="37">
        <f t="shared" si="227"/>
        <v>28963</v>
      </c>
      <c r="AL805" s="37">
        <f t="shared" si="215"/>
        <v>7.6771576531942625</v>
      </c>
      <c r="AN805" s="37" t="str">
        <f t="shared" si="228"/>
        <v>Pallet</v>
      </c>
      <c r="AO805" s="194">
        <f t="shared" si="229"/>
        <v>30</v>
      </c>
    </row>
    <row r="806" spans="22:41" x14ac:dyDescent="0.2">
      <c r="V806" s="181">
        <f t="shared" si="216"/>
        <v>384</v>
      </c>
      <c r="W806" s="181">
        <f t="shared" si="217"/>
        <v>768</v>
      </c>
      <c r="X806" s="181">
        <f t="shared" si="218"/>
        <v>1</v>
      </c>
      <c r="Y806" s="37">
        <f t="shared" si="219"/>
        <v>1917.1</v>
      </c>
      <c r="Z806" s="181">
        <f t="shared" si="220"/>
        <v>582</v>
      </c>
      <c r="AA806" s="127">
        <f t="shared" si="221"/>
        <v>595.21331999999995</v>
      </c>
      <c r="AB806" s="127">
        <f t="shared" si="222"/>
        <v>595.21331999999995</v>
      </c>
      <c r="AC806" s="37">
        <f t="shared" si="211"/>
        <v>3971.2799199999999</v>
      </c>
      <c r="AD806" s="37">
        <f t="shared" si="223"/>
        <v>5888.3799199999994</v>
      </c>
      <c r="AE806" s="181">
        <f t="shared" si="212"/>
        <v>30</v>
      </c>
      <c r="AF806" s="37">
        <f t="shared" si="224"/>
        <v>21060</v>
      </c>
      <c r="AG806" s="181">
        <f t="shared" si="213"/>
        <v>1251</v>
      </c>
      <c r="AH806" s="111">
        <f t="shared" si="225"/>
        <v>829.34927999999991</v>
      </c>
      <c r="AI806" s="127">
        <f t="shared" si="226"/>
        <v>1251</v>
      </c>
      <c r="AJ806" s="37">
        <f t="shared" si="214"/>
        <v>7906</v>
      </c>
      <c r="AK806" s="37">
        <f t="shared" si="227"/>
        <v>28966</v>
      </c>
      <c r="AL806" s="37">
        <f t="shared" si="215"/>
        <v>7.6671613541666659</v>
      </c>
      <c r="AN806" s="37" t="str">
        <f t="shared" si="228"/>
        <v>Pallet</v>
      </c>
      <c r="AO806" s="194">
        <f t="shared" si="229"/>
        <v>30</v>
      </c>
    </row>
    <row r="807" spans="22:41" x14ac:dyDescent="0.2">
      <c r="V807" s="181">
        <f t="shared" si="216"/>
        <v>384.5</v>
      </c>
      <c r="W807" s="181">
        <f t="shared" si="217"/>
        <v>769</v>
      </c>
      <c r="X807" s="181">
        <f t="shared" si="218"/>
        <v>1</v>
      </c>
      <c r="Y807" s="37">
        <f t="shared" si="219"/>
        <v>1917.1</v>
      </c>
      <c r="Z807" s="181">
        <f t="shared" si="220"/>
        <v>582.5</v>
      </c>
      <c r="AA807" s="127">
        <f t="shared" si="221"/>
        <v>595.21331999999995</v>
      </c>
      <c r="AB807" s="127">
        <f t="shared" si="222"/>
        <v>595.21331999999995</v>
      </c>
      <c r="AC807" s="37">
        <f t="shared" ref="AC807:AC870" si="230">(Shipping_perkg_first100*100)+((AB807-100)*Shipping_perkg_above100)</f>
        <v>3971.2799199999999</v>
      </c>
      <c r="AD807" s="37">
        <f t="shared" si="223"/>
        <v>5888.3799199999994</v>
      </c>
      <c r="AE807" s="181">
        <f t="shared" ref="AE807:AE870" si="231">ROUNDUP(W807/$N$19,0)</f>
        <v>30</v>
      </c>
      <c r="AF807" s="37">
        <f t="shared" si="224"/>
        <v>21060</v>
      </c>
      <c r="AG807" s="181">
        <f t="shared" ref="AG807:AG870" si="232">(AE807*$K$19)+V807</f>
        <v>1251.5</v>
      </c>
      <c r="AH807" s="111">
        <f t="shared" si="225"/>
        <v>829.34927999999991</v>
      </c>
      <c r="AI807" s="127">
        <f t="shared" si="226"/>
        <v>1251.5</v>
      </c>
      <c r="AJ807" s="37">
        <f t="shared" ref="AJ807:AJ870" si="233">IF(AI807&lt;=100,AI807*Shipping_perkg_first100,(Shipping_perkg_first100*100)+((AI807-100)*Shipping_perkg_above100))</f>
        <v>7909</v>
      </c>
      <c r="AK807" s="37">
        <f t="shared" si="227"/>
        <v>28969</v>
      </c>
      <c r="AL807" s="37">
        <f t="shared" si="215"/>
        <v>7.6571910533159944</v>
      </c>
      <c r="AN807" s="37" t="str">
        <f t="shared" si="228"/>
        <v>Pallet</v>
      </c>
      <c r="AO807" s="194">
        <f t="shared" si="229"/>
        <v>30</v>
      </c>
    </row>
    <row r="808" spans="22:41" x14ac:dyDescent="0.2">
      <c r="V808" s="181">
        <f t="shared" si="216"/>
        <v>385</v>
      </c>
      <c r="W808" s="181">
        <f t="shared" si="217"/>
        <v>770</v>
      </c>
      <c r="X808" s="181">
        <f t="shared" si="218"/>
        <v>1</v>
      </c>
      <c r="Y808" s="37">
        <f t="shared" si="219"/>
        <v>1917.1</v>
      </c>
      <c r="Z808" s="181">
        <f t="shared" si="220"/>
        <v>583</v>
      </c>
      <c r="AA808" s="127">
        <f t="shared" si="221"/>
        <v>595.21331999999995</v>
      </c>
      <c r="AB808" s="127">
        <f t="shared" si="222"/>
        <v>595.21331999999995</v>
      </c>
      <c r="AC808" s="37">
        <f t="shared" si="230"/>
        <v>3971.2799199999999</v>
      </c>
      <c r="AD808" s="37">
        <f t="shared" si="223"/>
        <v>5888.3799199999994</v>
      </c>
      <c r="AE808" s="181">
        <f t="shared" si="231"/>
        <v>30</v>
      </c>
      <c r="AF808" s="37">
        <f t="shared" si="224"/>
        <v>21060</v>
      </c>
      <c r="AG808" s="181">
        <f t="shared" si="232"/>
        <v>1252</v>
      </c>
      <c r="AH808" s="111">
        <f t="shared" si="225"/>
        <v>829.34927999999991</v>
      </c>
      <c r="AI808" s="127">
        <f t="shared" si="226"/>
        <v>1252</v>
      </c>
      <c r="AJ808" s="37">
        <f t="shared" si="233"/>
        <v>7912</v>
      </c>
      <c r="AK808" s="37">
        <f t="shared" si="227"/>
        <v>28972</v>
      </c>
      <c r="AL808" s="37">
        <f t="shared" ref="AL808:AL871" si="234">MIN(AD808,AK808)/W808</f>
        <v>7.6472466493506488</v>
      </c>
      <c r="AN808" s="37" t="str">
        <f t="shared" si="228"/>
        <v>Pallet</v>
      </c>
      <c r="AO808" s="194">
        <f t="shared" si="229"/>
        <v>30</v>
      </c>
    </row>
    <row r="809" spans="22:41" x14ac:dyDescent="0.2">
      <c r="V809" s="181">
        <f t="shared" ref="V809:V872" si="235">W809*$V$37</f>
        <v>385.5</v>
      </c>
      <c r="W809" s="181">
        <f t="shared" ref="W809:W872" si="236">W808+1</f>
        <v>771</v>
      </c>
      <c r="X809" s="181">
        <f t="shared" ref="X809:X872" si="237">ROUNDUP(W809/$N$29,0)</f>
        <v>1</v>
      </c>
      <c r="Y809" s="37">
        <f t="shared" ref="Y809:Y872" si="238">X809*$P$29</f>
        <v>1917.1</v>
      </c>
      <c r="Z809" s="181">
        <f t="shared" ref="Z809:Z872" si="239">V809+(X809*$K$29)</f>
        <v>583.5</v>
      </c>
      <c r="AA809" s="127">
        <f t="shared" ref="AA809:AA872" si="240">X809*$T$29</f>
        <v>595.21331999999995</v>
      </c>
      <c r="AB809" s="127">
        <f t="shared" ref="AB809:AB872" si="241">MAX(Z809,AA809)</f>
        <v>595.21331999999995</v>
      </c>
      <c r="AC809" s="37">
        <f t="shared" si="230"/>
        <v>3971.2799199999999</v>
      </c>
      <c r="AD809" s="37">
        <f t="shared" ref="AD809:AD872" si="242">Y809+AC809</f>
        <v>5888.3799199999994</v>
      </c>
      <c r="AE809" s="181">
        <f t="shared" si="231"/>
        <v>30</v>
      </c>
      <c r="AF809" s="37">
        <f t="shared" ref="AF809:AF872" si="243">AE809*$P$19</f>
        <v>21060</v>
      </c>
      <c r="AG809" s="181">
        <f t="shared" si="232"/>
        <v>1252.5</v>
      </c>
      <c r="AH809" s="111">
        <f t="shared" ref="AH809:AH872" si="244">AE809*$X$19</f>
        <v>829.34927999999991</v>
      </c>
      <c r="AI809" s="127">
        <f t="shared" ref="AI809:AI872" si="245">MAX(AG809,AH809)</f>
        <v>1252.5</v>
      </c>
      <c r="AJ809" s="37">
        <f t="shared" si="233"/>
        <v>7915</v>
      </c>
      <c r="AK809" s="37">
        <f t="shared" ref="AK809:AK872" si="246">AF809+AJ809</f>
        <v>28975</v>
      </c>
      <c r="AL809" s="37">
        <f t="shared" si="234"/>
        <v>7.6373280415045386</v>
      </c>
      <c r="AN809" s="37" t="str">
        <f t="shared" ref="AN809:AN872" si="247">IF(AD809&lt;AK809,"Pallet","Parcel")</f>
        <v>Pallet</v>
      </c>
      <c r="AO809" s="194">
        <f t="shared" ref="AO809:AO872" si="248">AE808</f>
        <v>30</v>
      </c>
    </row>
    <row r="810" spans="22:41" x14ac:dyDescent="0.2">
      <c r="V810" s="181">
        <f t="shared" si="235"/>
        <v>386</v>
      </c>
      <c r="W810" s="181">
        <f t="shared" si="236"/>
        <v>772</v>
      </c>
      <c r="X810" s="181">
        <f t="shared" si="237"/>
        <v>1</v>
      </c>
      <c r="Y810" s="37">
        <f t="shared" si="238"/>
        <v>1917.1</v>
      </c>
      <c r="Z810" s="181">
        <f t="shared" si="239"/>
        <v>584</v>
      </c>
      <c r="AA810" s="127">
        <f t="shared" si="240"/>
        <v>595.21331999999995</v>
      </c>
      <c r="AB810" s="127">
        <f t="shared" si="241"/>
        <v>595.21331999999995</v>
      </c>
      <c r="AC810" s="37">
        <f t="shared" si="230"/>
        <v>3971.2799199999999</v>
      </c>
      <c r="AD810" s="37">
        <f t="shared" si="242"/>
        <v>5888.3799199999994</v>
      </c>
      <c r="AE810" s="181">
        <f t="shared" si="231"/>
        <v>30</v>
      </c>
      <c r="AF810" s="37">
        <f t="shared" si="243"/>
        <v>21060</v>
      </c>
      <c r="AG810" s="181">
        <f t="shared" si="232"/>
        <v>1253</v>
      </c>
      <c r="AH810" s="111">
        <f t="shared" si="244"/>
        <v>829.34927999999991</v>
      </c>
      <c r="AI810" s="127">
        <f t="shared" si="245"/>
        <v>1253</v>
      </c>
      <c r="AJ810" s="37">
        <f t="shared" si="233"/>
        <v>7918</v>
      </c>
      <c r="AK810" s="37">
        <f t="shared" si="246"/>
        <v>28978</v>
      </c>
      <c r="AL810" s="37">
        <f t="shared" si="234"/>
        <v>7.6274351295336782</v>
      </c>
      <c r="AN810" s="37" t="str">
        <f t="shared" si="247"/>
        <v>Pallet</v>
      </c>
      <c r="AO810" s="194">
        <f t="shared" si="248"/>
        <v>30</v>
      </c>
    </row>
    <row r="811" spans="22:41" x14ac:dyDescent="0.2">
      <c r="V811" s="181">
        <f t="shared" si="235"/>
        <v>386.5</v>
      </c>
      <c r="W811" s="181">
        <f t="shared" si="236"/>
        <v>773</v>
      </c>
      <c r="X811" s="181">
        <f t="shared" si="237"/>
        <v>1</v>
      </c>
      <c r="Y811" s="37">
        <f t="shared" si="238"/>
        <v>1917.1</v>
      </c>
      <c r="Z811" s="181">
        <f t="shared" si="239"/>
        <v>584.5</v>
      </c>
      <c r="AA811" s="127">
        <f t="shared" si="240"/>
        <v>595.21331999999995</v>
      </c>
      <c r="AB811" s="127">
        <f t="shared" si="241"/>
        <v>595.21331999999995</v>
      </c>
      <c r="AC811" s="37">
        <f t="shared" si="230"/>
        <v>3971.2799199999999</v>
      </c>
      <c r="AD811" s="37">
        <f t="shared" si="242"/>
        <v>5888.3799199999994</v>
      </c>
      <c r="AE811" s="181">
        <f t="shared" si="231"/>
        <v>30</v>
      </c>
      <c r="AF811" s="37">
        <f t="shared" si="243"/>
        <v>21060</v>
      </c>
      <c r="AG811" s="181">
        <f t="shared" si="232"/>
        <v>1253.5</v>
      </c>
      <c r="AH811" s="111">
        <f t="shared" si="244"/>
        <v>829.34927999999991</v>
      </c>
      <c r="AI811" s="127">
        <f t="shared" si="245"/>
        <v>1253.5</v>
      </c>
      <c r="AJ811" s="37">
        <f t="shared" si="233"/>
        <v>7921</v>
      </c>
      <c r="AK811" s="37">
        <f t="shared" si="246"/>
        <v>28981</v>
      </c>
      <c r="AL811" s="37">
        <f t="shared" si="234"/>
        <v>7.6175678137128067</v>
      </c>
      <c r="AN811" s="37" t="str">
        <f t="shared" si="247"/>
        <v>Pallet</v>
      </c>
      <c r="AO811" s="194">
        <f t="shared" si="248"/>
        <v>30</v>
      </c>
    </row>
    <row r="812" spans="22:41" x14ac:dyDescent="0.2">
      <c r="V812" s="181">
        <f t="shared" si="235"/>
        <v>387</v>
      </c>
      <c r="W812" s="181">
        <f t="shared" si="236"/>
        <v>774</v>
      </c>
      <c r="X812" s="181">
        <f t="shared" si="237"/>
        <v>1</v>
      </c>
      <c r="Y812" s="37">
        <f t="shared" si="238"/>
        <v>1917.1</v>
      </c>
      <c r="Z812" s="181">
        <f t="shared" si="239"/>
        <v>585</v>
      </c>
      <c r="AA812" s="127">
        <f t="shared" si="240"/>
        <v>595.21331999999995</v>
      </c>
      <c r="AB812" s="127">
        <f t="shared" si="241"/>
        <v>595.21331999999995</v>
      </c>
      <c r="AC812" s="37">
        <f t="shared" si="230"/>
        <v>3971.2799199999999</v>
      </c>
      <c r="AD812" s="37">
        <f t="shared" si="242"/>
        <v>5888.3799199999994</v>
      </c>
      <c r="AE812" s="181">
        <f t="shared" si="231"/>
        <v>30</v>
      </c>
      <c r="AF812" s="37">
        <f t="shared" si="243"/>
        <v>21060</v>
      </c>
      <c r="AG812" s="181">
        <f t="shared" si="232"/>
        <v>1254</v>
      </c>
      <c r="AH812" s="111">
        <f t="shared" si="244"/>
        <v>829.34927999999991</v>
      </c>
      <c r="AI812" s="127">
        <f t="shared" si="245"/>
        <v>1254</v>
      </c>
      <c r="AJ812" s="37">
        <f t="shared" si="233"/>
        <v>7924</v>
      </c>
      <c r="AK812" s="37">
        <f t="shared" si="246"/>
        <v>28984</v>
      </c>
      <c r="AL812" s="37">
        <f t="shared" si="234"/>
        <v>7.6077259948320402</v>
      </c>
      <c r="AN812" s="37" t="str">
        <f t="shared" si="247"/>
        <v>Pallet</v>
      </c>
      <c r="AO812" s="194">
        <f t="shared" si="248"/>
        <v>30</v>
      </c>
    </row>
    <row r="813" spans="22:41" x14ac:dyDescent="0.2">
      <c r="V813" s="181">
        <f t="shared" si="235"/>
        <v>387.5</v>
      </c>
      <c r="W813" s="181">
        <f t="shared" si="236"/>
        <v>775</v>
      </c>
      <c r="X813" s="181">
        <f t="shared" si="237"/>
        <v>1</v>
      </c>
      <c r="Y813" s="37">
        <f t="shared" si="238"/>
        <v>1917.1</v>
      </c>
      <c r="Z813" s="181">
        <f t="shared" si="239"/>
        <v>585.5</v>
      </c>
      <c r="AA813" s="127">
        <f t="shared" si="240"/>
        <v>595.21331999999995</v>
      </c>
      <c r="AB813" s="127">
        <f t="shared" si="241"/>
        <v>595.21331999999995</v>
      </c>
      <c r="AC813" s="37">
        <f t="shared" si="230"/>
        <v>3971.2799199999999</v>
      </c>
      <c r="AD813" s="37">
        <f t="shared" si="242"/>
        <v>5888.3799199999994</v>
      </c>
      <c r="AE813" s="181">
        <f t="shared" si="231"/>
        <v>31</v>
      </c>
      <c r="AF813" s="37">
        <f t="shared" si="243"/>
        <v>21762</v>
      </c>
      <c r="AG813" s="181">
        <f t="shared" si="232"/>
        <v>1283.4000000000001</v>
      </c>
      <c r="AH813" s="111">
        <f t="shared" si="244"/>
        <v>856.99425599999984</v>
      </c>
      <c r="AI813" s="127">
        <f t="shared" si="245"/>
        <v>1283.4000000000001</v>
      </c>
      <c r="AJ813" s="37">
        <f t="shared" si="233"/>
        <v>8100.4000000000005</v>
      </c>
      <c r="AK813" s="37">
        <f t="shared" si="246"/>
        <v>29862.400000000001</v>
      </c>
      <c r="AL813" s="37">
        <f t="shared" si="234"/>
        <v>7.5979095741935474</v>
      </c>
      <c r="AN813" s="37" t="str">
        <f t="shared" si="247"/>
        <v>Pallet</v>
      </c>
      <c r="AO813" s="194">
        <f t="shared" si="248"/>
        <v>30</v>
      </c>
    </row>
    <row r="814" spans="22:41" x14ac:dyDescent="0.2">
      <c r="V814" s="181">
        <f t="shared" si="235"/>
        <v>388</v>
      </c>
      <c r="W814" s="181">
        <f t="shared" si="236"/>
        <v>776</v>
      </c>
      <c r="X814" s="181">
        <f t="shared" si="237"/>
        <v>1</v>
      </c>
      <c r="Y814" s="37">
        <f t="shared" si="238"/>
        <v>1917.1</v>
      </c>
      <c r="Z814" s="181">
        <f t="shared" si="239"/>
        <v>586</v>
      </c>
      <c r="AA814" s="127">
        <f t="shared" si="240"/>
        <v>595.21331999999995</v>
      </c>
      <c r="AB814" s="127">
        <f t="shared" si="241"/>
        <v>595.21331999999995</v>
      </c>
      <c r="AC814" s="37">
        <f t="shared" si="230"/>
        <v>3971.2799199999999</v>
      </c>
      <c r="AD814" s="37">
        <f t="shared" si="242"/>
        <v>5888.3799199999994</v>
      </c>
      <c r="AE814" s="181">
        <f t="shared" si="231"/>
        <v>31</v>
      </c>
      <c r="AF814" s="37">
        <f t="shared" si="243"/>
        <v>21762</v>
      </c>
      <c r="AG814" s="181">
        <f t="shared" si="232"/>
        <v>1283.9000000000001</v>
      </c>
      <c r="AH814" s="111">
        <f t="shared" si="244"/>
        <v>856.99425599999984</v>
      </c>
      <c r="AI814" s="127">
        <f t="shared" si="245"/>
        <v>1283.9000000000001</v>
      </c>
      <c r="AJ814" s="37">
        <f t="shared" si="233"/>
        <v>8103.4000000000005</v>
      </c>
      <c r="AK814" s="37">
        <f t="shared" si="246"/>
        <v>29865.4</v>
      </c>
      <c r="AL814" s="37">
        <f t="shared" si="234"/>
        <v>7.5881184536082467</v>
      </c>
      <c r="AN814" s="37" t="str">
        <f t="shared" si="247"/>
        <v>Pallet</v>
      </c>
      <c r="AO814" s="194">
        <f t="shared" si="248"/>
        <v>31</v>
      </c>
    </row>
    <row r="815" spans="22:41" x14ac:dyDescent="0.2">
      <c r="V815" s="181">
        <f t="shared" si="235"/>
        <v>388.5</v>
      </c>
      <c r="W815" s="181">
        <f t="shared" si="236"/>
        <v>777</v>
      </c>
      <c r="X815" s="181">
        <f t="shared" si="237"/>
        <v>1</v>
      </c>
      <c r="Y815" s="37">
        <f t="shared" si="238"/>
        <v>1917.1</v>
      </c>
      <c r="Z815" s="181">
        <f t="shared" si="239"/>
        <v>586.5</v>
      </c>
      <c r="AA815" s="127">
        <f t="shared" si="240"/>
        <v>595.21331999999995</v>
      </c>
      <c r="AB815" s="127">
        <f t="shared" si="241"/>
        <v>595.21331999999995</v>
      </c>
      <c r="AC815" s="37">
        <f t="shared" si="230"/>
        <v>3971.2799199999999</v>
      </c>
      <c r="AD815" s="37">
        <f t="shared" si="242"/>
        <v>5888.3799199999994</v>
      </c>
      <c r="AE815" s="181">
        <f t="shared" si="231"/>
        <v>31</v>
      </c>
      <c r="AF815" s="37">
        <f t="shared" si="243"/>
        <v>21762</v>
      </c>
      <c r="AG815" s="181">
        <f t="shared" si="232"/>
        <v>1284.4000000000001</v>
      </c>
      <c r="AH815" s="111">
        <f t="shared" si="244"/>
        <v>856.99425599999984</v>
      </c>
      <c r="AI815" s="127">
        <f t="shared" si="245"/>
        <v>1284.4000000000001</v>
      </c>
      <c r="AJ815" s="37">
        <f t="shared" si="233"/>
        <v>8106.4000000000005</v>
      </c>
      <c r="AK815" s="37">
        <f t="shared" si="246"/>
        <v>29868.400000000001</v>
      </c>
      <c r="AL815" s="37">
        <f t="shared" si="234"/>
        <v>7.5783525353925345</v>
      </c>
      <c r="AN815" s="37" t="str">
        <f t="shared" si="247"/>
        <v>Pallet</v>
      </c>
      <c r="AO815" s="194">
        <f t="shared" si="248"/>
        <v>31</v>
      </c>
    </row>
    <row r="816" spans="22:41" x14ac:dyDescent="0.2">
      <c r="V816" s="181">
        <f t="shared" si="235"/>
        <v>389</v>
      </c>
      <c r="W816" s="181">
        <f t="shared" si="236"/>
        <v>778</v>
      </c>
      <c r="X816" s="181">
        <f t="shared" si="237"/>
        <v>1</v>
      </c>
      <c r="Y816" s="37">
        <f t="shared" si="238"/>
        <v>1917.1</v>
      </c>
      <c r="Z816" s="181">
        <f t="shared" si="239"/>
        <v>587</v>
      </c>
      <c r="AA816" s="127">
        <f t="shared" si="240"/>
        <v>595.21331999999995</v>
      </c>
      <c r="AB816" s="127">
        <f t="shared" si="241"/>
        <v>595.21331999999995</v>
      </c>
      <c r="AC816" s="37">
        <f t="shared" si="230"/>
        <v>3971.2799199999999</v>
      </c>
      <c r="AD816" s="37">
        <f t="shared" si="242"/>
        <v>5888.3799199999994</v>
      </c>
      <c r="AE816" s="181">
        <f t="shared" si="231"/>
        <v>31</v>
      </c>
      <c r="AF816" s="37">
        <f t="shared" si="243"/>
        <v>21762</v>
      </c>
      <c r="AG816" s="181">
        <f t="shared" si="232"/>
        <v>1284.9000000000001</v>
      </c>
      <c r="AH816" s="111">
        <f t="shared" si="244"/>
        <v>856.99425599999984</v>
      </c>
      <c r="AI816" s="127">
        <f t="shared" si="245"/>
        <v>1284.9000000000001</v>
      </c>
      <c r="AJ816" s="37">
        <f t="shared" si="233"/>
        <v>8109.4000000000005</v>
      </c>
      <c r="AK816" s="37">
        <f t="shared" si="246"/>
        <v>29871.4</v>
      </c>
      <c r="AL816" s="37">
        <f t="shared" si="234"/>
        <v>7.5686117223650378</v>
      </c>
      <c r="AN816" s="37" t="str">
        <f t="shared" si="247"/>
        <v>Pallet</v>
      </c>
      <c r="AO816" s="194">
        <f t="shared" si="248"/>
        <v>31</v>
      </c>
    </row>
    <row r="817" spans="22:41" x14ac:dyDescent="0.2">
      <c r="V817" s="181">
        <f t="shared" si="235"/>
        <v>389.5</v>
      </c>
      <c r="W817" s="181">
        <f t="shared" si="236"/>
        <v>779</v>
      </c>
      <c r="X817" s="181">
        <f t="shared" si="237"/>
        <v>1</v>
      </c>
      <c r="Y817" s="37">
        <f t="shared" si="238"/>
        <v>1917.1</v>
      </c>
      <c r="Z817" s="181">
        <f t="shared" si="239"/>
        <v>587.5</v>
      </c>
      <c r="AA817" s="127">
        <f t="shared" si="240"/>
        <v>595.21331999999995</v>
      </c>
      <c r="AB817" s="127">
        <f t="shared" si="241"/>
        <v>595.21331999999995</v>
      </c>
      <c r="AC817" s="37">
        <f t="shared" si="230"/>
        <v>3971.2799199999999</v>
      </c>
      <c r="AD817" s="37">
        <f t="shared" si="242"/>
        <v>5888.3799199999994</v>
      </c>
      <c r="AE817" s="181">
        <f t="shared" si="231"/>
        <v>31</v>
      </c>
      <c r="AF817" s="37">
        <f t="shared" si="243"/>
        <v>21762</v>
      </c>
      <c r="AG817" s="181">
        <f t="shared" si="232"/>
        <v>1285.4000000000001</v>
      </c>
      <c r="AH817" s="111">
        <f t="shared" si="244"/>
        <v>856.99425599999984</v>
      </c>
      <c r="AI817" s="127">
        <f t="shared" si="245"/>
        <v>1285.4000000000001</v>
      </c>
      <c r="AJ817" s="37">
        <f t="shared" si="233"/>
        <v>8112.4000000000005</v>
      </c>
      <c r="AK817" s="37">
        <f t="shared" si="246"/>
        <v>29874.400000000001</v>
      </c>
      <c r="AL817" s="37">
        <f t="shared" si="234"/>
        <v>7.5588959178433885</v>
      </c>
      <c r="AN817" s="37" t="str">
        <f t="shared" si="247"/>
        <v>Pallet</v>
      </c>
      <c r="AO817" s="194">
        <f t="shared" si="248"/>
        <v>31</v>
      </c>
    </row>
    <row r="818" spans="22:41" x14ac:dyDescent="0.2">
      <c r="V818" s="181">
        <f t="shared" si="235"/>
        <v>390</v>
      </c>
      <c r="W818" s="181">
        <f t="shared" si="236"/>
        <v>780</v>
      </c>
      <c r="X818" s="181">
        <f t="shared" si="237"/>
        <v>1</v>
      </c>
      <c r="Y818" s="37">
        <f t="shared" si="238"/>
        <v>1917.1</v>
      </c>
      <c r="Z818" s="181">
        <f t="shared" si="239"/>
        <v>588</v>
      </c>
      <c r="AA818" s="127">
        <f t="shared" si="240"/>
        <v>595.21331999999995</v>
      </c>
      <c r="AB818" s="127">
        <f t="shared" si="241"/>
        <v>595.21331999999995</v>
      </c>
      <c r="AC818" s="37">
        <f t="shared" si="230"/>
        <v>3971.2799199999999</v>
      </c>
      <c r="AD818" s="37">
        <f t="shared" si="242"/>
        <v>5888.3799199999994</v>
      </c>
      <c r="AE818" s="181">
        <f t="shared" si="231"/>
        <v>31</v>
      </c>
      <c r="AF818" s="37">
        <f t="shared" si="243"/>
        <v>21762</v>
      </c>
      <c r="AG818" s="181">
        <f t="shared" si="232"/>
        <v>1285.9000000000001</v>
      </c>
      <c r="AH818" s="111">
        <f t="shared" si="244"/>
        <v>856.99425599999984</v>
      </c>
      <c r="AI818" s="127">
        <f t="shared" si="245"/>
        <v>1285.9000000000001</v>
      </c>
      <c r="AJ818" s="37">
        <f t="shared" si="233"/>
        <v>8115.4000000000005</v>
      </c>
      <c r="AK818" s="37">
        <f t="shared" si="246"/>
        <v>29877.4</v>
      </c>
      <c r="AL818" s="37">
        <f t="shared" si="234"/>
        <v>7.549205025641025</v>
      </c>
      <c r="AN818" s="37" t="str">
        <f t="shared" si="247"/>
        <v>Pallet</v>
      </c>
      <c r="AO818" s="194">
        <f t="shared" si="248"/>
        <v>31</v>
      </c>
    </row>
    <row r="819" spans="22:41" x14ac:dyDescent="0.2">
      <c r="V819" s="181">
        <f t="shared" si="235"/>
        <v>390.5</v>
      </c>
      <c r="W819" s="181">
        <f t="shared" si="236"/>
        <v>781</v>
      </c>
      <c r="X819" s="181">
        <f t="shared" si="237"/>
        <v>1</v>
      </c>
      <c r="Y819" s="37">
        <f t="shared" si="238"/>
        <v>1917.1</v>
      </c>
      <c r="Z819" s="181">
        <f t="shared" si="239"/>
        <v>588.5</v>
      </c>
      <c r="AA819" s="127">
        <f t="shared" si="240"/>
        <v>595.21331999999995</v>
      </c>
      <c r="AB819" s="127">
        <f t="shared" si="241"/>
        <v>595.21331999999995</v>
      </c>
      <c r="AC819" s="37">
        <f t="shared" si="230"/>
        <v>3971.2799199999999</v>
      </c>
      <c r="AD819" s="37">
        <f t="shared" si="242"/>
        <v>5888.3799199999994</v>
      </c>
      <c r="AE819" s="181">
        <f t="shared" si="231"/>
        <v>31</v>
      </c>
      <c r="AF819" s="37">
        <f t="shared" si="243"/>
        <v>21762</v>
      </c>
      <c r="AG819" s="181">
        <f t="shared" si="232"/>
        <v>1286.4000000000001</v>
      </c>
      <c r="AH819" s="111">
        <f t="shared" si="244"/>
        <v>856.99425599999984</v>
      </c>
      <c r="AI819" s="127">
        <f t="shared" si="245"/>
        <v>1286.4000000000001</v>
      </c>
      <c r="AJ819" s="37">
        <f t="shared" si="233"/>
        <v>8118.4000000000005</v>
      </c>
      <c r="AK819" s="37">
        <f t="shared" si="246"/>
        <v>29880.400000000001</v>
      </c>
      <c r="AL819" s="37">
        <f t="shared" si="234"/>
        <v>7.5395389500640198</v>
      </c>
      <c r="AN819" s="37" t="str">
        <f t="shared" si="247"/>
        <v>Pallet</v>
      </c>
      <c r="AO819" s="194">
        <f t="shared" si="248"/>
        <v>31</v>
      </c>
    </row>
    <row r="820" spans="22:41" x14ac:dyDescent="0.2">
      <c r="V820" s="181">
        <f t="shared" si="235"/>
        <v>391</v>
      </c>
      <c r="W820" s="181">
        <f t="shared" si="236"/>
        <v>782</v>
      </c>
      <c r="X820" s="181">
        <f t="shared" si="237"/>
        <v>1</v>
      </c>
      <c r="Y820" s="37">
        <f t="shared" si="238"/>
        <v>1917.1</v>
      </c>
      <c r="Z820" s="181">
        <f t="shared" si="239"/>
        <v>589</v>
      </c>
      <c r="AA820" s="127">
        <f t="shared" si="240"/>
        <v>595.21331999999995</v>
      </c>
      <c r="AB820" s="127">
        <f t="shared" si="241"/>
        <v>595.21331999999995</v>
      </c>
      <c r="AC820" s="37">
        <f t="shared" si="230"/>
        <v>3971.2799199999999</v>
      </c>
      <c r="AD820" s="37">
        <f t="shared" si="242"/>
        <v>5888.3799199999994</v>
      </c>
      <c r="AE820" s="181">
        <f t="shared" si="231"/>
        <v>31</v>
      </c>
      <c r="AF820" s="37">
        <f t="shared" si="243"/>
        <v>21762</v>
      </c>
      <c r="AG820" s="181">
        <f t="shared" si="232"/>
        <v>1286.9000000000001</v>
      </c>
      <c r="AH820" s="111">
        <f t="shared" si="244"/>
        <v>856.99425599999984</v>
      </c>
      <c r="AI820" s="127">
        <f t="shared" si="245"/>
        <v>1286.9000000000001</v>
      </c>
      <c r="AJ820" s="37">
        <f t="shared" si="233"/>
        <v>8121.4000000000005</v>
      </c>
      <c r="AK820" s="37">
        <f t="shared" si="246"/>
        <v>29883.4</v>
      </c>
      <c r="AL820" s="37">
        <f t="shared" si="234"/>
        <v>7.5298975959079275</v>
      </c>
      <c r="AN820" s="37" t="str">
        <f t="shared" si="247"/>
        <v>Pallet</v>
      </c>
      <c r="AO820" s="194">
        <f t="shared" si="248"/>
        <v>31</v>
      </c>
    </row>
    <row r="821" spans="22:41" x14ac:dyDescent="0.2">
      <c r="V821" s="181">
        <f t="shared" si="235"/>
        <v>391.5</v>
      </c>
      <c r="W821" s="181">
        <f t="shared" si="236"/>
        <v>783</v>
      </c>
      <c r="X821" s="181">
        <f t="shared" si="237"/>
        <v>1</v>
      </c>
      <c r="Y821" s="37">
        <f t="shared" si="238"/>
        <v>1917.1</v>
      </c>
      <c r="Z821" s="181">
        <f t="shared" si="239"/>
        <v>589.5</v>
      </c>
      <c r="AA821" s="127">
        <f t="shared" si="240"/>
        <v>595.21331999999995</v>
      </c>
      <c r="AB821" s="127">
        <f t="shared" si="241"/>
        <v>595.21331999999995</v>
      </c>
      <c r="AC821" s="37">
        <f t="shared" si="230"/>
        <v>3971.2799199999999</v>
      </c>
      <c r="AD821" s="37">
        <f t="shared" si="242"/>
        <v>5888.3799199999994</v>
      </c>
      <c r="AE821" s="181">
        <f t="shared" si="231"/>
        <v>31</v>
      </c>
      <c r="AF821" s="37">
        <f t="shared" si="243"/>
        <v>21762</v>
      </c>
      <c r="AG821" s="181">
        <f t="shared" si="232"/>
        <v>1287.4000000000001</v>
      </c>
      <c r="AH821" s="111">
        <f t="shared" si="244"/>
        <v>856.99425599999984</v>
      </c>
      <c r="AI821" s="127">
        <f t="shared" si="245"/>
        <v>1287.4000000000001</v>
      </c>
      <c r="AJ821" s="37">
        <f t="shared" si="233"/>
        <v>8124.4000000000005</v>
      </c>
      <c r="AK821" s="37">
        <f t="shared" si="246"/>
        <v>29886.400000000001</v>
      </c>
      <c r="AL821" s="37">
        <f t="shared" si="234"/>
        <v>7.5202808684546607</v>
      </c>
      <c r="AN821" s="37" t="str">
        <f t="shared" si="247"/>
        <v>Pallet</v>
      </c>
      <c r="AO821" s="194">
        <f t="shared" si="248"/>
        <v>31</v>
      </c>
    </row>
    <row r="822" spans="22:41" x14ac:dyDescent="0.2">
      <c r="V822" s="181">
        <f t="shared" si="235"/>
        <v>392</v>
      </c>
      <c r="W822" s="181">
        <f t="shared" si="236"/>
        <v>784</v>
      </c>
      <c r="X822" s="181">
        <f t="shared" si="237"/>
        <v>1</v>
      </c>
      <c r="Y822" s="37">
        <f t="shared" si="238"/>
        <v>1917.1</v>
      </c>
      <c r="Z822" s="181">
        <f t="shared" si="239"/>
        <v>590</v>
      </c>
      <c r="AA822" s="127">
        <f t="shared" si="240"/>
        <v>595.21331999999995</v>
      </c>
      <c r="AB822" s="127">
        <f t="shared" si="241"/>
        <v>595.21331999999995</v>
      </c>
      <c r="AC822" s="37">
        <f t="shared" si="230"/>
        <v>3971.2799199999999</v>
      </c>
      <c r="AD822" s="37">
        <f t="shared" si="242"/>
        <v>5888.3799199999994</v>
      </c>
      <c r="AE822" s="181">
        <f t="shared" si="231"/>
        <v>31</v>
      </c>
      <c r="AF822" s="37">
        <f t="shared" si="243"/>
        <v>21762</v>
      </c>
      <c r="AG822" s="181">
        <f t="shared" si="232"/>
        <v>1287.9000000000001</v>
      </c>
      <c r="AH822" s="111">
        <f t="shared" si="244"/>
        <v>856.99425599999984</v>
      </c>
      <c r="AI822" s="127">
        <f t="shared" si="245"/>
        <v>1287.9000000000001</v>
      </c>
      <c r="AJ822" s="37">
        <f t="shared" si="233"/>
        <v>8127.4000000000005</v>
      </c>
      <c r="AK822" s="37">
        <f t="shared" si="246"/>
        <v>29889.4</v>
      </c>
      <c r="AL822" s="37">
        <f t="shared" si="234"/>
        <v>7.510688673469387</v>
      </c>
      <c r="AN822" s="37" t="str">
        <f t="shared" si="247"/>
        <v>Pallet</v>
      </c>
      <c r="AO822" s="194">
        <f t="shared" si="248"/>
        <v>31</v>
      </c>
    </row>
    <row r="823" spans="22:41" x14ac:dyDescent="0.2">
      <c r="V823" s="181">
        <f t="shared" si="235"/>
        <v>392.5</v>
      </c>
      <c r="W823" s="181">
        <f t="shared" si="236"/>
        <v>785</v>
      </c>
      <c r="X823" s="181">
        <f t="shared" si="237"/>
        <v>1</v>
      </c>
      <c r="Y823" s="37">
        <f t="shared" si="238"/>
        <v>1917.1</v>
      </c>
      <c r="Z823" s="181">
        <f t="shared" si="239"/>
        <v>590.5</v>
      </c>
      <c r="AA823" s="127">
        <f t="shared" si="240"/>
        <v>595.21331999999995</v>
      </c>
      <c r="AB823" s="127">
        <f t="shared" si="241"/>
        <v>595.21331999999995</v>
      </c>
      <c r="AC823" s="37">
        <f t="shared" si="230"/>
        <v>3971.2799199999999</v>
      </c>
      <c r="AD823" s="37">
        <f t="shared" si="242"/>
        <v>5888.3799199999994</v>
      </c>
      <c r="AE823" s="181">
        <f t="shared" si="231"/>
        <v>31</v>
      </c>
      <c r="AF823" s="37">
        <f t="shared" si="243"/>
        <v>21762</v>
      </c>
      <c r="AG823" s="181">
        <f t="shared" si="232"/>
        <v>1288.4000000000001</v>
      </c>
      <c r="AH823" s="111">
        <f t="shared" si="244"/>
        <v>856.99425599999984</v>
      </c>
      <c r="AI823" s="127">
        <f t="shared" si="245"/>
        <v>1288.4000000000001</v>
      </c>
      <c r="AJ823" s="37">
        <f t="shared" si="233"/>
        <v>8130.4000000000005</v>
      </c>
      <c r="AK823" s="37">
        <f t="shared" si="246"/>
        <v>29892.400000000001</v>
      </c>
      <c r="AL823" s="37">
        <f t="shared" si="234"/>
        <v>7.5011209171974516</v>
      </c>
      <c r="AN823" s="37" t="str">
        <f t="shared" si="247"/>
        <v>Pallet</v>
      </c>
      <c r="AO823" s="194">
        <f t="shared" si="248"/>
        <v>31</v>
      </c>
    </row>
    <row r="824" spans="22:41" x14ac:dyDescent="0.2">
      <c r="V824" s="181">
        <f t="shared" si="235"/>
        <v>393</v>
      </c>
      <c r="W824" s="181">
        <f t="shared" si="236"/>
        <v>786</v>
      </c>
      <c r="X824" s="181">
        <f t="shared" si="237"/>
        <v>1</v>
      </c>
      <c r="Y824" s="37">
        <f t="shared" si="238"/>
        <v>1917.1</v>
      </c>
      <c r="Z824" s="181">
        <f t="shared" si="239"/>
        <v>591</v>
      </c>
      <c r="AA824" s="127">
        <f t="shared" si="240"/>
        <v>595.21331999999995</v>
      </c>
      <c r="AB824" s="127">
        <f t="shared" si="241"/>
        <v>595.21331999999995</v>
      </c>
      <c r="AC824" s="37">
        <f t="shared" si="230"/>
        <v>3971.2799199999999</v>
      </c>
      <c r="AD824" s="37">
        <f t="shared" si="242"/>
        <v>5888.3799199999994</v>
      </c>
      <c r="AE824" s="181">
        <f t="shared" si="231"/>
        <v>31</v>
      </c>
      <c r="AF824" s="37">
        <f t="shared" si="243"/>
        <v>21762</v>
      </c>
      <c r="AG824" s="181">
        <f t="shared" si="232"/>
        <v>1288.9000000000001</v>
      </c>
      <c r="AH824" s="111">
        <f t="shared" si="244"/>
        <v>856.99425599999984</v>
      </c>
      <c r="AI824" s="127">
        <f t="shared" si="245"/>
        <v>1288.9000000000001</v>
      </c>
      <c r="AJ824" s="37">
        <f t="shared" si="233"/>
        <v>8133.4000000000005</v>
      </c>
      <c r="AK824" s="37">
        <f t="shared" si="246"/>
        <v>29895.4</v>
      </c>
      <c r="AL824" s="37">
        <f t="shared" si="234"/>
        <v>7.4915775063613221</v>
      </c>
      <c r="AN824" s="37" t="str">
        <f t="shared" si="247"/>
        <v>Pallet</v>
      </c>
      <c r="AO824" s="194">
        <f t="shared" si="248"/>
        <v>31</v>
      </c>
    </row>
    <row r="825" spans="22:41" x14ac:dyDescent="0.2">
      <c r="V825" s="181">
        <f t="shared" si="235"/>
        <v>393.5</v>
      </c>
      <c r="W825" s="181">
        <f t="shared" si="236"/>
        <v>787</v>
      </c>
      <c r="X825" s="181">
        <f t="shared" si="237"/>
        <v>1</v>
      </c>
      <c r="Y825" s="37">
        <f t="shared" si="238"/>
        <v>1917.1</v>
      </c>
      <c r="Z825" s="181">
        <f t="shared" si="239"/>
        <v>591.5</v>
      </c>
      <c r="AA825" s="127">
        <f t="shared" si="240"/>
        <v>595.21331999999995</v>
      </c>
      <c r="AB825" s="127">
        <f t="shared" si="241"/>
        <v>595.21331999999995</v>
      </c>
      <c r="AC825" s="37">
        <f t="shared" si="230"/>
        <v>3971.2799199999999</v>
      </c>
      <c r="AD825" s="37">
        <f t="shared" si="242"/>
        <v>5888.3799199999994</v>
      </c>
      <c r="AE825" s="181">
        <f t="shared" si="231"/>
        <v>31</v>
      </c>
      <c r="AF825" s="37">
        <f t="shared" si="243"/>
        <v>21762</v>
      </c>
      <c r="AG825" s="181">
        <f t="shared" si="232"/>
        <v>1289.4000000000001</v>
      </c>
      <c r="AH825" s="111">
        <f t="shared" si="244"/>
        <v>856.99425599999984</v>
      </c>
      <c r="AI825" s="127">
        <f t="shared" si="245"/>
        <v>1289.4000000000001</v>
      </c>
      <c r="AJ825" s="37">
        <f t="shared" si="233"/>
        <v>8136.4000000000005</v>
      </c>
      <c r="AK825" s="37">
        <f t="shared" si="246"/>
        <v>29898.400000000001</v>
      </c>
      <c r="AL825" s="37">
        <f t="shared" si="234"/>
        <v>7.48205834815756</v>
      </c>
      <c r="AN825" s="37" t="str">
        <f t="shared" si="247"/>
        <v>Pallet</v>
      </c>
      <c r="AO825" s="194">
        <f t="shared" si="248"/>
        <v>31</v>
      </c>
    </row>
    <row r="826" spans="22:41" x14ac:dyDescent="0.2">
      <c r="V826" s="181">
        <f t="shared" si="235"/>
        <v>394</v>
      </c>
      <c r="W826" s="181">
        <f t="shared" si="236"/>
        <v>788</v>
      </c>
      <c r="X826" s="181">
        <f t="shared" si="237"/>
        <v>1</v>
      </c>
      <c r="Y826" s="37">
        <f t="shared" si="238"/>
        <v>1917.1</v>
      </c>
      <c r="Z826" s="181">
        <f t="shared" si="239"/>
        <v>592</v>
      </c>
      <c r="AA826" s="127">
        <f t="shared" si="240"/>
        <v>595.21331999999995</v>
      </c>
      <c r="AB826" s="127">
        <f t="shared" si="241"/>
        <v>595.21331999999995</v>
      </c>
      <c r="AC826" s="37">
        <f t="shared" si="230"/>
        <v>3971.2799199999999</v>
      </c>
      <c r="AD826" s="37">
        <f t="shared" si="242"/>
        <v>5888.3799199999994</v>
      </c>
      <c r="AE826" s="181">
        <f t="shared" si="231"/>
        <v>31</v>
      </c>
      <c r="AF826" s="37">
        <f t="shared" si="243"/>
        <v>21762</v>
      </c>
      <c r="AG826" s="181">
        <f t="shared" si="232"/>
        <v>1289.9000000000001</v>
      </c>
      <c r="AH826" s="111">
        <f t="shared" si="244"/>
        <v>856.99425599999984</v>
      </c>
      <c r="AI826" s="127">
        <f t="shared" si="245"/>
        <v>1289.9000000000001</v>
      </c>
      <c r="AJ826" s="37">
        <f t="shared" si="233"/>
        <v>8139.4000000000005</v>
      </c>
      <c r="AK826" s="37">
        <f t="shared" si="246"/>
        <v>29901.4</v>
      </c>
      <c r="AL826" s="37">
        <f t="shared" si="234"/>
        <v>7.4725633502538065</v>
      </c>
      <c r="AN826" s="37" t="str">
        <f t="shared" si="247"/>
        <v>Pallet</v>
      </c>
      <c r="AO826" s="194">
        <f t="shared" si="248"/>
        <v>31</v>
      </c>
    </row>
    <row r="827" spans="22:41" x14ac:dyDescent="0.2">
      <c r="V827" s="181">
        <f t="shared" si="235"/>
        <v>394.5</v>
      </c>
      <c r="W827" s="181">
        <f t="shared" si="236"/>
        <v>789</v>
      </c>
      <c r="X827" s="181">
        <f t="shared" si="237"/>
        <v>1</v>
      </c>
      <c r="Y827" s="37">
        <f t="shared" si="238"/>
        <v>1917.1</v>
      </c>
      <c r="Z827" s="181">
        <f t="shared" si="239"/>
        <v>592.5</v>
      </c>
      <c r="AA827" s="127">
        <f t="shared" si="240"/>
        <v>595.21331999999995</v>
      </c>
      <c r="AB827" s="127">
        <f t="shared" si="241"/>
        <v>595.21331999999995</v>
      </c>
      <c r="AC827" s="37">
        <f t="shared" si="230"/>
        <v>3971.2799199999999</v>
      </c>
      <c r="AD827" s="37">
        <f t="shared" si="242"/>
        <v>5888.3799199999994</v>
      </c>
      <c r="AE827" s="181">
        <f t="shared" si="231"/>
        <v>31</v>
      </c>
      <c r="AF827" s="37">
        <f t="shared" si="243"/>
        <v>21762</v>
      </c>
      <c r="AG827" s="181">
        <f t="shared" si="232"/>
        <v>1290.4000000000001</v>
      </c>
      <c r="AH827" s="111">
        <f t="shared" si="244"/>
        <v>856.99425599999984</v>
      </c>
      <c r="AI827" s="127">
        <f t="shared" si="245"/>
        <v>1290.4000000000001</v>
      </c>
      <c r="AJ827" s="37">
        <f t="shared" si="233"/>
        <v>8142.4000000000005</v>
      </c>
      <c r="AK827" s="37">
        <f t="shared" si="246"/>
        <v>29904.400000000001</v>
      </c>
      <c r="AL827" s="37">
        <f t="shared" si="234"/>
        <v>7.463092420785804</v>
      </c>
      <c r="AN827" s="37" t="str">
        <f t="shared" si="247"/>
        <v>Pallet</v>
      </c>
      <c r="AO827" s="194">
        <f t="shared" si="248"/>
        <v>31</v>
      </c>
    </row>
    <row r="828" spans="22:41" x14ac:dyDescent="0.2">
      <c r="V828" s="181">
        <f t="shared" si="235"/>
        <v>395</v>
      </c>
      <c r="W828" s="181">
        <f t="shared" si="236"/>
        <v>790</v>
      </c>
      <c r="X828" s="181">
        <f t="shared" si="237"/>
        <v>1</v>
      </c>
      <c r="Y828" s="37">
        <f t="shared" si="238"/>
        <v>1917.1</v>
      </c>
      <c r="Z828" s="181">
        <f t="shared" si="239"/>
        <v>593</v>
      </c>
      <c r="AA828" s="127">
        <f t="shared" si="240"/>
        <v>595.21331999999995</v>
      </c>
      <c r="AB828" s="127">
        <f t="shared" si="241"/>
        <v>595.21331999999995</v>
      </c>
      <c r="AC828" s="37">
        <f t="shared" si="230"/>
        <v>3971.2799199999999</v>
      </c>
      <c r="AD828" s="37">
        <f t="shared" si="242"/>
        <v>5888.3799199999994</v>
      </c>
      <c r="AE828" s="181">
        <f t="shared" si="231"/>
        <v>31</v>
      </c>
      <c r="AF828" s="37">
        <f t="shared" si="243"/>
        <v>21762</v>
      </c>
      <c r="AG828" s="181">
        <f t="shared" si="232"/>
        <v>1290.9000000000001</v>
      </c>
      <c r="AH828" s="111">
        <f t="shared" si="244"/>
        <v>856.99425599999984</v>
      </c>
      <c r="AI828" s="127">
        <f t="shared" si="245"/>
        <v>1290.9000000000001</v>
      </c>
      <c r="AJ828" s="37">
        <f t="shared" si="233"/>
        <v>8145.4000000000005</v>
      </c>
      <c r="AK828" s="37">
        <f t="shared" si="246"/>
        <v>29907.4</v>
      </c>
      <c r="AL828" s="37">
        <f t="shared" si="234"/>
        <v>7.4536454683544298</v>
      </c>
      <c r="AN828" s="37" t="str">
        <f t="shared" si="247"/>
        <v>Pallet</v>
      </c>
      <c r="AO828" s="194">
        <f t="shared" si="248"/>
        <v>31</v>
      </c>
    </row>
    <row r="829" spans="22:41" x14ac:dyDescent="0.2">
      <c r="V829" s="181">
        <f t="shared" si="235"/>
        <v>395.5</v>
      </c>
      <c r="W829" s="181">
        <f t="shared" si="236"/>
        <v>791</v>
      </c>
      <c r="X829" s="181">
        <f t="shared" si="237"/>
        <v>1</v>
      </c>
      <c r="Y829" s="37">
        <f t="shared" si="238"/>
        <v>1917.1</v>
      </c>
      <c r="Z829" s="181">
        <f t="shared" si="239"/>
        <v>593.5</v>
      </c>
      <c r="AA829" s="127">
        <f t="shared" si="240"/>
        <v>595.21331999999995</v>
      </c>
      <c r="AB829" s="127">
        <f t="shared" si="241"/>
        <v>595.21331999999995</v>
      </c>
      <c r="AC829" s="37">
        <f t="shared" si="230"/>
        <v>3971.2799199999999</v>
      </c>
      <c r="AD829" s="37">
        <f t="shared" si="242"/>
        <v>5888.3799199999994</v>
      </c>
      <c r="AE829" s="181">
        <f t="shared" si="231"/>
        <v>31</v>
      </c>
      <c r="AF829" s="37">
        <f t="shared" si="243"/>
        <v>21762</v>
      </c>
      <c r="AG829" s="181">
        <f t="shared" si="232"/>
        <v>1291.4000000000001</v>
      </c>
      <c r="AH829" s="111">
        <f t="shared" si="244"/>
        <v>856.99425599999984</v>
      </c>
      <c r="AI829" s="127">
        <f t="shared" si="245"/>
        <v>1291.4000000000001</v>
      </c>
      <c r="AJ829" s="37">
        <f t="shared" si="233"/>
        <v>8148.4000000000005</v>
      </c>
      <c r="AK829" s="37">
        <f t="shared" si="246"/>
        <v>29910.400000000001</v>
      </c>
      <c r="AL829" s="37">
        <f t="shared" si="234"/>
        <v>7.4442224020227554</v>
      </c>
      <c r="AN829" s="37" t="str">
        <f t="shared" si="247"/>
        <v>Pallet</v>
      </c>
      <c r="AO829" s="194">
        <f t="shared" si="248"/>
        <v>31</v>
      </c>
    </row>
    <row r="830" spans="22:41" x14ac:dyDescent="0.2">
      <c r="V830" s="181">
        <f t="shared" si="235"/>
        <v>396</v>
      </c>
      <c r="W830" s="181">
        <f t="shared" si="236"/>
        <v>792</v>
      </c>
      <c r="X830" s="181">
        <f t="shared" si="237"/>
        <v>1</v>
      </c>
      <c r="Y830" s="37">
        <f t="shared" si="238"/>
        <v>1917.1</v>
      </c>
      <c r="Z830" s="181">
        <f t="shared" si="239"/>
        <v>594</v>
      </c>
      <c r="AA830" s="127">
        <f t="shared" si="240"/>
        <v>595.21331999999995</v>
      </c>
      <c r="AB830" s="127">
        <f t="shared" si="241"/>
        <v>595.21331999999995</v>
      </c>
      <c r="AC830" s="37">
        <f t="shared" si="230"/>
        <v>3971.2799199999999</v>
      </c>
      <c r="AD830" s="37">
        <f t="shared" si="242"/>
        <v>5888.3799199999994</v>
      </c>
      <c r="AE830" s="181">
        <f t="shared" si="231"/>
        <v>31</v>
      </c>
      <c r="AF830" s="37">
        <f t="shared" si="243"/>
        <v>21762</v>
      </c>
      <c r="AG830" s="181">
        <f t="shared" si="232"/>
        <v>1291.9000000000001</v>
      </c>
      <c r="AH830" s="111">
        <f t="shared" si="244"/>
        <v>856.99425599999984</v>
      </c>
      <c r="AI830" s="127">
        <f t="shared" si="245"/>
        <v>1291.9000000000001</v>
      </c>
      <c r="AJ830" s="37">
        <f t="shared" si="233"/>
        <v>8151.4000000000005</v>
      </c>
      <c r="AK830" s="37">
        <f t="shared" si="246"/>
        <v>29913.4</v>
      </c>
      <c r="AL830" s="37">
        <f t="shared" si="234"/>
        <v>7.4348231313131308</v>
      </c>
      <c r="AN830" s="37" t="str">
        <f t="shared" si="247"/>
        <v>Pallet</v>
      </c>
      <c r="AO830" s="194">
        <f t="shared" si="248"/>
        <v>31</v>
      </c>
    </row>
    <row r="831" spans="22:41" x14ac:dyDescent="0.2">
      <c r="V831" s="181">
        <f t="shared" si="235"/>
        <v>396.5</v>
      </c>
      <c r="W831" s="181">
        <f t="shared" si="236"/>
        <v>793</v>
      </c>
      <c r="X831" s="181">
        <f t="shared" si="237"/>
        <v>1</v>
      </c>
      <c r="Y831" s="37">
        <f t="shared" si="238"/>
        <v>1917.1</v>
      </c>
      <c r="Z831" s="181">
        <f t="shared" si="239"/>
        <v>594.5</v>
      </c>
      <c r="AA831" s="127">
        <f t="shared" si="240"/>
        <v>595.21331999999995</v>
      </c>
      <c r="AB831" s="127">
        <f t="shared" si="241"/>
        <v>595.21331999999995</v>
      </c>
      <c r="AC831" s="37">
        <f t="shared" si="230"/>
        <v>3971.2799199999999</v>
      </c>
      <c r="AD831" s="37">
        <f t="shared" si="242"/>
        <v>5888.3799199999994</v>
      </c>
      <c r="AE831" s="181">
        <f t="shared" si="231"/>
        <v>31</v>
      </c>
      <c r="AF831" s="37">
        <f t="shared" si="243"/>
        <v>21762</v>
      </c>
      <c r="AG831" s="181">
        <f t="shared" si="232"/>
        <v>1292.4000000000001</v>
      </c>
      <c r="AH831" s="111">
        <f t="shared" si="244"/>
        <v>856.99425599999984</v>
      </c>
      <c r="AI831" s="127">
        <f t="shared" si="245"/>
        <v>1292.4000000000001</v>
      </c>
      <c r="AJ831" s="37">
        <f t="shared" si="233"/>
        <v>8154.4000000000005</v>
      </c>
      <c r="AK831" s="37">
        <f t="shared" si="246"/>
        <v>29916.400000000001</v>
      </c>
      <c r="AL831" s="37">
        <f t="shared" si="234"/>
        <v>7.4254475662042871</v>
      </c>
      <c r="AN831" s="37" t="str">
        <f t="shared" si="247"/>
        <v>Pallet</v>
      </c>
      <c r="AO831" s="194">
        <f t="shared" si="248"/>
        <v>31</v>
      </c>
    </row>
    <row r="832" spans="22:41" x14ac:dyDescent="0.2">
      <c r="V832" s="181">
        <f t="shared" si="235"/>
        <v>397</v>
      </c>
      <c r="W832" s="181">
        <f t="shared" si="236"/>
        <v>794</v>
      </c>
      <c r="X832" s="181">
        <f t="shared" si="237"/>
        <v>1</v>
      </c>
      <c r="Y832" s="37">
        <f t="shared" si="238"/>
        <v>1917.1</v>
      </c>
      <c r="Z832" s="181">
        <f t="shared" si="239"/>
        <v>595</v>
      </c>
      <c r="AA832" s="127">
        <f t="shared" si="240"/>
        <v>595.21331999999995</v>
      </c>
      <c r="AB832" s="127">
        <f t="shared" si="241"/>
        <v>595.21331999999995</v>
      </c>
      <c r="AC832" s="37">
        <f t="shared" si="230"/>
        <v>3971.2799199999999</v>
      </c>
      <c r="AD832" s="37">
        <f t="shared" si="242"/>
        <v>5888.3799199999994</v>
      </c>
      <c r="AE832" s="181">
        <f t="shared" si="231"/>
        <v>31</v>
      </c>
      <c r="AF832" s="37">
        <f t="shared" si="243"/>
        <v>21762</v>
      </c>
      <c r="AG832" s="181">
        <f t="shared" si="232"/>
        <v>1292.9000000000001</v>
      </c>
      <c r="AH832" s="111">
        <f t="shared" si="244"/>
        <v>856.99425599999984</v>
      </c>
      <c r="AI832" s="127">
        <f t="shared" si="245"/>
        <v>1292.9000000000001</v>
      </c>
      <c r="AJ832" s="37">
        <f t="shared" si="233"/>
        <v>8157.4000000000005</v>
      </c>
      <c r="AK832" s="37">
        <f t="shared" si="246"/>
        <v>29919.4</v>
      </c>
      <c r="AL832" s="37">
        <f t="shared" si="234"/>
        <v>7.4160956171284624</v>
      </c>
      <c r="AN832" s="37" t="str">
        <f t="shared" si="247"/>
        <v>Pallet</v>
      </c>
      <c r="AO832" s="194">
        <f t="shared" si="248"/>
        <v>31</v>
      </c>
    </row>
    <row r="833" spans="22:41" x14ac:dyDescent="0.2">
      <c r="V833" s="181">
        <f t="shared" si="235"/>
        <v>397.5</v>
      </c>
      <c r="W833" s="181">
        <f t="shared" si="236"/>
        <v>795</v>
      </c>
      <c r="X833" s="181">
        <f t="shared" si="237"/>
        <v>1</v>
      </c>
      <c r="Y833" s="37">
        <f t="shared" si="238"/>
        <v>1917.1</v>
      </c>
      <c r="Z833" s="181">
        <f t="shared" si="239"/>
        <v>595.5</v>
      </c>
      <c r="AA833" s="127">
        <f t="shared" si="240"/>
        <v>595.21331999999995</v>
      </c>
      <c r="AB833" s="127">
        <f t="shared" si="241"/>
        <v>595.5</v>
      </c>
      <c r="AC833" s="37">
        <f t="shared" si="230"/>
        <v>3973</v>
      </c>
      <c r="AD833" s="37">
        <f t="shared" si="242"/>
        <v>5890.1</v>
      </c>
      <c r="AE833" s="181">
        <f t="shared" si="231"/>
        <v>31</v>
      </c>
      <c r="AF833" s="37">
        <f t="shared" si="243"/>
        <v>21762</v>
      </c>
      <c r="AG833" s="181">
        <f t="shared" si="232"/>
        <v>1293.4000000000001</v>
      </c>
      <c r="AH833" s="111">
        <f t="shared" si="244"/>
        <v>856.99425599999984</v>
      </c>
      <c r="AI833" s="127">
        <f t="shared" si="245"/>
        <v>1293.4000000000001</v>
      </c>
      <c r="AJ833" s="37">
        <f t="shared" si="233"/>
        <v>8160.4000000000005</v>
      </c>
      <c r="AK833" s="37">
        <f t="shared" si="246"/>
        <v>29922.400000000001</v>
      </c>
      <c r="AL833" s="37">
        <f t="shared" si="234"/>
        <v>7.408930817610063</v>
      </c>
      <c r="AN833" s="37" t="str">
        <f t="shared" si="247"/>
        <v>Pallet</v>
      </c>
      <c r="AO833" s="194">
        <f t="shared" si="248"/>
        <v>31</v>
      </c>
    </row>
    <row r="834" spans="22:41" x14ac:dyDescent="0.2">
      <c r="V834" s="181">
        <f t="shared" si="235"/>
        <v>398</v>
      </c>
      <c r="W834" s="181">
        <f t="shared" si="236"/>
        <v>796</v>
      </c>
      <c r="X834" s="181">
        <f t="shared" si="237"/>
        <v>1</v>
      </c>
      <c r="Y834" s="37">
        <f t="shared" si="238"/>
        <v>1917.1</v>
      </c>
      <c r="Z834" s="181">
        <f t="shared" si="239"/>
        <v>596</v>
      </c>
      <c r="AA834" s="127">
        <f t="shared" si="240"/>
        <v>595.21331999999995</v>
      </c>
      <c r="AB834" s="127">
        <f t="shared" si="241"/>
        <v>596</v>
      </c>
      <c r="AC834" s="37">
        <f t="shared" si="230"/>
        <v>3976</v>
      </c>
      <c r="AD834" s="37">
        <f t="shared" si="242"/>
        <v>5893.1</v>
      </c>
      <c r="AE834" s="181">
        <f t="shared" si="231"/>
        <v>31</v>
      </c>
      <c r="AF834" s="37">
        <f t="shared" si="243"/>
        <v>21762</v>
      </c>
      <c r="AG834" s="181">
        <f t="shared" si="232"/>
        <v>1293.9000000000001</v>
      </c>
      <c r="AH834" s="111">
        <f t="shared" si="244"/>
        <v>856.99425599999984</v>
      </c>
      <c r="AI834" s="127">
        <f t="shared" si="245"/>
        <v>1293.9000000000001</v>
      </c>
      <c r="AJ834" s="37">
        <f t="shared" si="233"/>
        <v>8163.4000000000005</v>
      </c>
      <c r="AK834" s="37">
        <f t="shared" si="246"/>
        <v>29925.4</v>
      </c>
      <c r="AL834" s="37">
        <f t="shared" si="234"/>
        <v>7.403391959798995</v>
      </c>
      <c r="AN834" s="37" t="str">
        <f t="shared" si="247"/>
        <v>Pallet</v>
      </c>
      <c r="AO834" s="194">
        <f t="shared" si="248"/>
        <v>31</v>
      </c>
    </row>
    <row r="835" spans="22:41" x14ac:dyDescent="0.2">
      <c r="V835" s="181">
        <f t="shared" si="235"/>
        <v>398.5</v>
      </c>
      <c r="W835" s="181">
        <f t="shared" si="236"/>
        <v>797</v>
      </c>
      <c r="X835" s="181">
        <f t="shared" si="237"/>
        <v>1</v>
      </c>
      <c r="Y835" s="37">
        <f t="shared" si="238"/>
        <v>1917.1</v>
      </c>
      <c r="Z835" s="181">
        <f t="shared" si="239"/>
        <v>596.5</v>
      </c>
      <c r="AA835" s="127">
        <f t="shared" si="240"/>
        <v>595.21331999999995</v>
      </c>
      <c r="AB835" s="127">
        <f t="shared" si="241"/>
        <v>596.5</v>
      </c>
      <c r="AC835" s="37">
        <f t="shared" si="230"/>
        <v>3979</v>
      </c>
      <c r="AD835" s="37">
        <f t="shared" si="242"/>
        <v>5896.1</v>
      </c>
      <c r="AE835" s="181">
        <f t="shared" si="231"/>
        <v>31</v>
      </c>
      <c r="AF835" s="37">
        <f t="shared" si="243"/>
        <v>21762</v>
      </c>
      <c r="AG835" s="181">
        <f t="shared" si="232"/>
        <v>1294.4000000000001</v>
      </c>
      <c r="AH835" s="111">
        <f t="shared" si="244"/>
        <v>856.99425599999984</v>
      </c>
      <c r="AI835" s="127">
        <f t="shared" si="245"/>
        <v>1294.4000000000001</v>
      </c>
      <c r="AJ835" s="37">
        <f t="shared" si="233"/>
        <v>8166.4000000000005</v>
      </c>
      <c r="AK835" s="37">
        <f t="shared" si="246"/>
        <v>29928.400000000001</v>
      </c>
      <c r="AL835" s="37">
        <f t="shared" si="234"/>
        <v>7.3978670012547054</v>
      </c>
      <c r="AN835" s="37" t="str">
        <f t="shared" si="247"/>
        <v>Pallet</v>
      </c>
      <c r="AO835" s="194">
        <f t="shared" si="248"/>
        <v>31</v>
      </c>
    </row>
    <row r="836" spans="22:41" x14ac:dyDescent="0.2">
      <c r="V836" s="181">
        <f t="shared" si="235"/>
        <v>399</v>
      </c>
      <c r="W836" s="181">
        <f t="shared" si="236"/>
        <v>798</v>
      </c>
      <c r="X836" s="181">
        <f t="shared" si="237"/>
        <v>1</v>
      </c>
      <c r="Y836" s="37">
        <f t="shared" si="238"/>
        <v>1917.1</v>
      </c>
      <c r="Z836" s="181">
        <f t="shared" si="239"/>
        <v>597</v>
      </c>
      <c r="AA836" s="127">
        <f t="shared" si="240"/>
        <v>595.21331999999995</v>
      </c>
      <c r="AB836" s="127">
        <f t="shared" si="241"/>
        <v>597</v>
      </c>
      <c r="AC836" s="37">
        <f t="shared" si="230"/>
        <v>3982</v>
      </c>
      <c r="AD836" s="37">
        <f t="shared" si="242"/>
        <v>5899.1</v>
      </c>
      <c r="AE836" s="181">
        <f t="shared" si="231"/>
        <v>31</v>
      </c>
      <c r="AF836" s="37">
        <f t="shared" si="243"/>
        <v>21762</v>
      </c>
      <c r="AG836" s="181">
        <f t="shared" si="232"/>
        <v>1294.9000000000001</v>
      </c>
      <c r="AH836" s="111">
        <f t="shared" si="244"/>
        <v>856.99425599999984</v>
      </c>
      <c r="AI836" s="127">
        <f t="shared" si="245"/>
        <v>1294.9000000000001</v>
      </c>
      <c r="AJ836" s="37">
        <f t="shared" si="233"/>
        <v>8169.4000000000005</v>
      </c>
      <c r="AK836" s="37">
        <f t="shared" si="246"/>
        <v>29931.4</v>
      </c>
      <c r="AL836" s="37">
        <f t="shared" si="234"/>
        <v>7.3923558897243113</v>
      </c>
      <c r="AN836" s="37" t="str">
        <f t="shared" si="247"/>
        <v>Pallet</v>
      </c>
      <c r="AO836" s="194">
        <f t="shared" si="248"/>
        <v>31</v>
      </c>
    </row>
    <row r="837" spans="22:41" x14ac:dyDescent="0.2">
      <c r="V837" s="181">
        <f t="shared" si="235"/>
        <v>399.5</v>
      </c>
      <c r="W837" s="181">
        <f t="shared" si="236"/>
        <v>799</v>
      </c>
      <c r="X837" s="181">
        <f t="shared" si="237"/>
        <v>1</v>
      </c>
      <c r="Y837" s="37">
        <f t="shared" si="238"/>
        <v>1917.1</v>
      </c>
      <c r="Z837" s="181">
        <f t="shared" si="239"/>
        <v>597.5</v>
      </c>
      <c r="AA837" s="127">
        <f t="shared" si="240"/>
        <v>595.21331999999995</v>
      </c>
      <c r="AB837" s="127">
        <f t="shared" si="241"/>
        <v>597.5</v>
      </c>
      <c r="AC837" s="37">
        <f t="shared" si="230"/>
        <v>3985</v>
      </c>
      <c r="AD837" s="37">
        <f t="shared" si="242"/>
        <v>5902.1</v>
      </c>
      <c r="AE837" s="181">
        <f t="shared" si="231"/>
        <v>31</v>
      </c>
      <c r="AF837" s="37">
        <f t="shared" si="243"/>
        <v>21762</v>
      </c>
      <c r="AG837" s="181">
        <f t="shared" si="232"/>
        <v>1295.4000000000001</v>
      </c>
      <c r="AH837" s="111">
        <f t="shared" si="244"/>
        <v>856.99425599999984</v>
      </c>
      <c r="AI837" s="127">
        <f t="shared" si="245"/>
        <v>1295.4000000000001</v>
      </c>
      <c r="AJ837" s="37">
        <f t="shared" si="233"/>
        <v>8172.4000000000005</v>
      </c>
      <c r="AK837" s="37">
        <f t="shared" si="246"/>
        <v>29934.400000000001</v>
      </c>
      <c r="AL837" s="37">
        <f t="shared" si="234"/>
        <v>7.3868585732165215</v>
      </c>
      <c r="AN837" s="37" t="str">
        <f t="shared" si="247"/>
        <v>Pallet</v>
      </c>
      <c r="AO837" s="194">
        <f t="shared" si="248"/>
        <v>31</v>
      </c>
    </row>
    <row r="838" spans="22:41" x14ac:dyDescent="0.2">
      <c r="V838" s="181">
        <f t="shared" si="235"/>
        <v>400</v>
      </c>
      <c r="W838" s="181">
        <f t="shared" si="236"/>
        <v>800</v>
      </c>
      <c r="X838" s="181">
        <f t="shared" si="237"/>
        <v>1</v>
      </c>
      <c r="Y838" s="37">
        <f t="shared" si="238"/>
        <v>1917.1</v>
      </c>
      <c r="Z838" s="181">
        <f t="shared" si="239"/>
        <v>598</v>
      </c>
      <c r="AA838" s="127">
        <f t="shared" si="240"/>
        <v>595.21331999999995</v>
      </c>
      <c r="AB838" s="127">
        <f t="shared" si="241"/>
        <v>598</v>
      </c>
      <c r="AC838" s="37">
        <f t="shared" si="230"/>
        <v>3988</v>
      </c>
      <c r="AD838" s="37">
        <f t="shared" si="242"/>
        <v>5905.1</v>
      </c>
      <c r="AE838" s="181">
        <f t="shared" si="231"/>
        <v>32</v>
      </c>
      <c r="AF838" s="37">
        <f t="shared" si="243"/>
        <v>22464</v>
      </c>
      <c r="AG838" s="181">
        <f t="shared" si="232"/>
        <v>1324.8</v>
      </c>
      <c r="AH838" s="111">
        <f t="shared" si="244"/>
        <v>884.63923199999988</v>
      </c>
      <c r="AI838" s="127">
        <f t="shared" si="245"/>
        <v>1324.8</v>
      </c>
      <c r="AJ838" s="37">
        <f t="shared" si="233"/>
        <v>8348.7999999999993</v>
      </c>
      <c r="AK838" s="37">
        <f t="shared" si="246"/>
        <v>30812.799999999999</v>
      </c>
      <c r="AL838" s="37">
        <f t="shared" si="234"/>
        <v>7.3813750000000002</v>
      </c>
      <c r="AN838" s="37" t="str">
        <f t="shared" si="247"/>
        <v>Pallet</v>
      </c>
      <c r="AO838" s="194">
        <f t="shared" si="248"/>
        <v>31</v>
      </c>
    </row>
    <row r="839" spans="22:41" x14ac:dyDescent="0.2">
      <c r="V839" s="181">
        <f t="shared" si="235"/>
        <v>400.5</v>
      </c>
      <c r="W839" s="181">
        <f t="shared" si="236"/>
        <v>801</v>
      </c>
      <c r="X839" s="181">
        <f t="shared" si="237"/>
        <v>1</v>
      </c>
      <c r="Y839" s="37">
        <f t="shared" si="238"/>
        <v>1917.1</v>
      </c>
      <c r="Z839" s="181">
        <f t="shared" si="239"/>
        <v>598.5</v>
      </c>
      <c r="AA839" s="127">
        <f t="shared" si="240"/>
        <v>595.21331999999995</v>
      </c>
      <c r="AB839" s="127">
        <f t="shared" si="241"/>
        <v>598.5</v>
      </c>
      <c r="AC839" s="37">
        <f t="shared" si="230"/>
        <v>3991</v>
      </c>
      <c r="AD839" s="37">
        <f t="shared" si="242"/>
        <v>5908.1</v>
      </c>
      <c r="AE839" s="181">
        <f t="shared" si="231"/>
        <v>32</v>
      </c>
      <c r="AF839" s="37">
        <f t="shared" si="243"/>
        <v>22464</v>
      </c>
      <c r="AG839" s="181">
        <f t="shared" si="232"/>
        <v>1325.3</v>
      </c>
      <c r="AH839" s="111">
        <f t="shared" si="244"/>
        <v>884.63923199999988</v>
      </c>
      <c r="AI839" s="127">
        <f t="shared" si="245"/>
        <v>1325.3</v>
      </c>
      <c r="AJ839" s="37">
        <f t="shared" si="233"/>
        <v>8351.7999999999993</v>
      </c>
      <c r="AK839" s="37">
        <f t="shared" si="246"/>
        <v>30815.8</v>
      </c>
      <c r="AL839" s="37">
        <f t="shared" si="234"/>
        <v>7.3759051186017484</v>
      </c>
      <c r="AN839" s="37" t="str">
        <f t="shared" si="247"/>
        <v>Pallet</v>
      </c>
      <c r="AO839" s="194">
        <f t="shared" si="248"/>
        <v>32</v>
      </c>
    </row>
    <row r="840" spans="22:41" x14ac:dyDescent="0.2">
      <c r="V840" s="181">
        <f t="shared" si="235"/>
        <v>401</v>
      </c>
      <c r="W840" s="181">
        <f t="shared" si="236"/>
        <v>802</v>
      </c>
      <c r="X840" s="181">
        <f t="shared" si="237"/>
        <v>1</v>
      </c>
      <c r="Y840" s="37">
        <f t="shared" si="238"/>
        <v>1917.1</v>
      </c>
      <c r="Z840" s="181">
        <f t="shared" si="239"/>
        <v>599</v>
      </c>
      <c r="AA840" s="127">
        <f t="shared" si="240"/>
        <v>595.21331999999995</v>
      </c>
      <c r="AB840" s="127">
        <f t="shared" si="241"/>
        <v>599</v>
      </c>
      <c r="AC840" s="37">
        <f t="shared" si="230"/>
        <v>3994</v>
      </c>
      <c r="AD840" s="37">
        <f t="shared" si="242"/>
        <v>5911.1</v>
      </c>
      <c r="AE840" s="181">
        <f t="shared" si="231"/>
        <v>32</v>
      </c>
      <c r="AF840" s="37">
        <f t="shared" si="243"/>
        <v>22464</v>
      </c>
      <c r="AG840" s="181">
        <f t="shared" si="232"/>
        <v>1325.8</v>
      </c>
      <c r="AH840" s="111">
        <f t="shared" si="244"/>
        <v>884.63923199999988</v>
      </c>
      <c r="AI840" s="127">
        <f t="shared" si="245"/>
        <v>1325.8</v>
      </c>
      <c r="AJ840" s="37">
        <f t="shared" si="233"/>
        <v>8354.7999999999993</v>
      </c>
      <c r="AK840" s="37">
        <f t="shared" si="246"/>
        <v>30818.799999999999</v>
      </c>
      <c r="AL840" s="37">
        <f t="shared" si="234"/>
        <v>7.3704488778054866</v>
      </c>
      <c r="AN840" s="37" t="str">
        <f t="shared" si="247"/>
        <v>Pallet</v>
      </c>
      <c r="AO840" s="194">
        <f t="shared" si="248"/>
        <v>32</v>
      </c>
    </row>
    <row r="841" spans="22:41" x14ac:dyDescent="0.2">
      <c r="V841" s="181">
        <f t="shared" si="235"/>
        <v>401.5</v>
      </c>
      <c r="W841" s="181">
        <f t="shared" si="236"/>
        <v>803</v>
      </c>
      <c r="X841" s="181">
        <f t="shared" si="237"/>
        <v>1</v>
      </c>
      <c r="Y841" s="37">
        <f t="shared" si="238"/>
        <v>1917.1</v>
      </c>
      <c r="Z841" s="181">
        <f t="shared" si="239"/>
        <v>599.5</v>
      </c>
      <c r="AA841" s="127">
        <f t="shared" si="240"/>
        <v>595.21331999999995</v>
      </c>
      <c r="AB841" s="127">
        <f t="shared" si="241"/>
        <v>599.5</v>
      </c>
      <c r="AC841" s="37">
        <f t="shared" si="230"/>
        <v>3997</v>
      </c>
      <c r="AD841" s="37">
        <f t="shared" si="242"/>
        <v>5914.1</v>
      </c>
      <c r="AE841" s="181">
        <f t="shared" si="231"/>
        <v>32</v>
      </c>
      <c r="AF841" s="37">
        <f t="shared" si="243"/>
        <v>22464</v>
      </c>
      <c r="AG841" s="181">
        <f t="shared" si="232"/>
        <v>1326.3</v>
      </c>
      <c r="AH841" s="111">
        <f t="shared" si="244"/>
        <v>884.63923199999988</v>
      </c>
      <c r="AI841" s="127">
        <f t="shared" si="245"/>
        <v>1326.3</v>
      </c>
      <c r="AJ841" s="37">
        <f t="shared" si="233"/>
        <v>8357.7999999999993</v>
      </c>
      <c r="AK841" s="37">
        <f t="shared" si="246"/>
        <v>30821.8</v>
      </c>
      <c r="AL841" s="37">
        <f t="shared" si="234"/>
        <v>7.3650062266500624</v>
      </c>
      <c r="AN841" s="37" t="str">
        <f t="shared" si="247"/>
        <v>Pallet</v>
      </c>
      <c r="AO841" s="194">
        <f t="shared" si="248"/>
        <v>32</v>
      </c>
    </row>
    <row r="842" spans="22:41" x14ac:dyDescent="0.2">
      <c r="V842" s="181">
        <f t="shared" si="235"/>
        <v>402</v>
      </c>
      <c r="W842" s="181">
        <f t="shared" si="236"/>
        <v>804</v>
      </c>
      <c r="X842" s="181">
        <f t="shared" si="237"/>
        <v>1</v>
      </c>
      <c r="Y842" s="37">
        <f t="shared" si="238"/>
        <v>1917.1</v>
      </c>
      <c r="Z842" s="181">
        <f t="shared" si="239"/>
        <v>600</v>
      </c>
      <c r="AA842" s="127">
        <f t="shared" si="240"/>
        <v>595.21331999999995</v>
      </c>
      <c r="AB842" s="127">
        <f t="shared" si="241"/>
        <v>600</v>
      </c>
      <c r="AC842" s="37">
        <f t="shared" si="230"/>
        <v>4000</v>
      </c>
      <c r="AD842" s="37">
        <f t="shared" si="242"/>
        <v>5917.1</v>
      </c>
      <c r="AE842" s="181">
        <f t="shared" si="231"/>
        <v>32</v>
      </c>
      <c r="AF842" s="37">
        <f t="shared" si="243"/>
        <v>22464</v>
      </c>
      <c r="AG842" s="181">
        <f t="shared" si="232"/>
        <v>1326.8</v>
      </c>
      <c r="AH842" s="111">
        <f t="shared" si="244"/>
        <v>884.63923199999988</v>
      </c>
      <c r="AI842" s="127">
        <f t="shared" si="245"/>
        <v>1326.8</v>
      </c>
      <c r="AJ842" s="37">
        <f t="shared" si="233"/>
        <v>8360.7999999999993</v>
      </c>
      <c r="AK842" s="37">
        <f t="shared" si="246"/>
        <v>30824.799999999999</v>
      </c>
      <c r="AL842" s="37">
        <f t="shared" si="234"/>
        <v>7.3595771144278608</v>
      </c>
      <c r="AN842" s="37" t="str">
        <f t="shared" si="247"/>
        <v>Pallet</v>
      </c>
      <c r="AO842" s="194">
        <f t="shared" si="248"/>
        <v>32</v>
      </c>
    </row>
    <row r="843" spans="22:41" x14ac:dyDescent="0.2">
      <c r="V843" s="181">
        <f t="shared" si="235"/>
        <v>402.5</v>
      </c>
      <c r="W843" s="181">
        <f t="shared" si="236"/>
        <v>805</v>
      </c>
      <c r="X843" s="181">
        <f t="shared" si="237"/>
        <v>1</v>
      </c>
      <c r="Y843" s="37">
        <f t="shared" si="238"/>
        <v>1917.1</v>
      </c>
      <c r="Z843" s="181">
        <f t="shared" si="239"/>
        <v>600.5</v>
      </c>
      <c r="AA843" s="127">
        <f t="shared" si="240"/>
        <v>595.21331999999995</v>
      </c>
      <c r="AB843" s="127">
        <f t="shared" si="241"/>
        <v>600.5</v>
      </c>
      <c r="AC843" s="37">
        <f t="shared" si="230"/>
        <v>4003</v>
      </c>
      <c r="AD843" s="37">
        <f t="shared" si="242"/>
        <v>5920.1</v>
      </c>
      <c r="AE843" s="181">
        <f t="shared" si="231"/>
        <v>32</v>
      </c>
      <c r="AF843" s="37">
        <f t="shared" si="243"/>
        <v>22464</v>
      </c>
      <c r="AG843" s="181">
        <f t="shared" si="232"/>
        <v>1327.3</v>
      </c>
      <c r="AH843" s="111">
        <f t="shared" si="244"/>
        <v>884.63923199999988</v>
      </c>
      <c r="AI843" s="127">
        <f t="shared" si="245"/>
        <v>1327.3</v>
      </c>
      <c r="AJ843" s="37">
        <f t="shared" si="233"/>
        <v>8363.7999999999993</v>
      </c>
      <c r="AK843" s="37">
        <f t="shared" si="246"/>
        <v>30827.8</v>
      </c>
      <c r="AL843" s="37">
        <f t="shared" si="234"/>
        <v>7.3541614906832304</v>
      </c>
      <c r="AN843" s="37" t="str">
        <f t="shared" si="247"/>
        <v>Pallet</v>
      </c>
      <c r="AO843" s="194">
        <f t="shared" si="248"/>
        <v>32</v>
      </c>
    </row>
    <row r="844" spans="22:41" x14ac:dyDescent="0.2">
      <c r="V844" s="181">
        <f t="shared" si="235"/>
        <v>403</v>
      </c>
      <c r="W844" s="181">
        <f t="shared" si="236"/>
        <v>806</v>
      </c>
      <c r="X844" s="181">
        <f t="shared" si="237"/>
        <v>1</v>
      </c>
      <c r="Y844" s="37">
        <f t="shared" si="238"/>
        <v>1917.1</v>
      </c>
      <c r="Z844" s="181">
        <f t="shared" si="239"/>
        <v>601</v>
      </c>
      <c r="AA844" s="127">
        <f t="shared" si="240"/>
        <v>595.21331999999995</v>
      </c>
      <c r="AB844" s="127">
        <f t="shared" si="241"/>
        <v>601</v>
      </c>
      <c r="AC844" s="37">
        <f t="shared" si="230"/>
        <v>4006</v>
      </c>
      <c r="AD844" s="37">
        <f t="shared" si="242"/>
        <v>5923.1</v>
      </c>
      <c r="AE844" s="181">
        <f t="shared" si="231"/>
        <v>32</v>
      </c>
      <c r="AF844" s="37">
        <f t="shared" si="243"/>
        <v>22464</v>
      </c>
      <c r="AG844" s="181">
        <f t="shared" si="232"/>
        <v>1327.8</v>
      </c>
      <c r="AH844" s="111">
        <f t="shared" si="244"/>
        <v>884.63923199999988</v>
      </c>
      <c r="AI844" s="127">
        <f t="shared" si="245"/>
        <v>1327.8</v>
      </c>
      <c r="AJ844" s="37">
        <f t="shared" si="233"/>
        <v>8366.7999999999993</v>
      </c>
      <c r="AK844" s="37">
        <f t="shared" si="246"/>
        <v>30830.799999999999</v>
      </c>
      <c r="AL844" s="37">
        <f t="shared" si="234"/>
        <v>7.3487593052109181</v>
      </c>
      <c r="AN844" s="37" t="str">
        <f t="shared" si="247"/>
        <v>Pallet</v>
      </c>
      <c r="AO844" s="194">
        <f t="shared" si="248"/>
        <v>32</v>
      </c>
    </row>
    <row r="845" spans="22:41" x14ac:dyDescent="0.2">
      <c r="V845" s="181">
        <f t="shared" si="235"/>
        <v>403.5</v>
      </c>
      <c r="W845" s="181">
        <f t="shared" si="236"/>
        <v>807</v>
      </c>
      <c r="X845" s="181">
        <f t="shared" si="237"/>
        <v>1</v>
      </c>
      <c r="Y845" s="37">
        <f t="shared" si="238"/>
        <v>1917.1</v>
      </c>
      <c r="Z845" s="181">
        <f t="shared" si="239"/>
        <v>601.5</v>
      </c>
      <c r="AA845" s="127">
        <f t="shared" si="240"/>
        <v>595.21331999999995</v>
      </c>
      <c r="AB845" s="127">
        <f t="shared" si="241"/>
        <v>601.5</v>
      </c>
      <c r="AC845" s="37">
        <f t="shared" si="230"/>
        <v>4009</v>
      </c>
      <c r="AD845" s="37">
        <f t="shared" si="242"/>
        <v>5926.1</v>
      </c>
      <c r="AE845" s="181">
        <f t="shared" si="231"/>
        <v>32</v>
      </c>
      <c r="AF845" s="37">
        <f t="shared" si="243"/>
        <v>22464</v>
      </c>
      <c r="AG845" s="181">
        <f t="shared" si="232"/>
        <v>1328.3</v>
      </c>
      <c r="AH845" s="111">
        <f t="shared" si="244"/>
        <v>884.63923199999988</v>
      </c>
      <c r="AI845" s="127">
        <f t="shared" si="245"/>
        <v>1328.3</v>
      </c>
      <c r="AJ845" s="37">
        <f t="shared" si="233"/>
        <v>8369.7999999999993</v>
      </c>
      <c r="AK845" s="37">
        <f t="shared" si="246"/>
        <v>30833.8</v>
      </c>
      <c r="AL845" s="37">
        <f t="shared" si="234"/>
        <v>7.3433705080545231</v>
      </c>
      <c r="AN845" s="37" t="str">
        <f t="shared" si="247"/>
        <v>Pallet</v>
      </c>
      <c r="AO845" s="194">
        <f t="shared" si="248"/>
        <v>32</v>
      </c>
    </row>
    <row r="846" spans="22:41" x14ac:dyDescent="0.2">
      <c r="V846" s="181">
        <f t="shared" si="235"/>
        <v>404</v>
      </c>
      <c r="W846" s="181">
        <f t="shared" si="236"/>
        <v>808</v>
      </c>
      <c r="X846" s="181">
        <f t="shared" si="237"/>
        <v>1</v>
      </c>
      <c r="Y846" s="37">
        <f t="shared" si="238"/>
        <v>1917.1</v>
      </c>
      <c r="Z846" s="181">
        <f t="shared" si="239"/>
        <v>602</v>
      </c>
      <c r="AA846" s="127">
        <f t="shared" si="240"/>
        <v>595.21331999999995</v>
      </c>
      <c r="AB846" s="127">
        <f t="shared" si="241"/>
        <v>602</v>
      </c>
      <c r="AC846" s="37">
        <f t="shared" si="230"/>
        <v>4012</v>
      </c>
      <c r="AD846" s="37">
        <f t="shared" si="242"/>
        <v>5929.1</v>
      </c>
      <c r="AE846" s="181">
        <f t="shared" si="231"/>
        <v>32</v>
      </c>
      <c r="AF846" s="37">
        <f t="shared" si="243"/>
        <v>22464</v>
      </c>
      <c r="AG846" s="181">
        <f t="shared" si="232"/>
        <v>1328.8</v>
      </c>
      <c r="AH846" s="111">
        <f t="shared" si="244"/>
        <v>884.63923199999988</v>
      </c>
      <c r="AI846" s="127">
        <f t="shared" si="245"/>
        <v>1328.8</v>
      </c>
      <c r="AJ846" s="37">
        <f t="shared" si="233"/>
        <v>8372.7999999999993</v>
      </c>
      <c r="AK846" s="37">
        <f t="shared" si="246"/>
        <v>30836.799999999999</v>
      </c>
      <c r="AL846" s="37">
        <f t="shared" si="234"/>
        <v>7.3379950495049506</v>
      </c>
      <c r="AN846" s="37" t="str">
        <f t="shared" si="247"/>
        <v>Pallet</v>
      </c>
      <c r="AO846" s="194">
        <f t="shared" si="248"/>
        <v>32</v>
      </c>
    </row>
    <row r="847" spans="22:41" x14ac:dyDescent="0.2">
      <c r="V847" s="181">
        <f t="shared" si="235"/>
        <v>404.5</v>
      </c>
      <c r="W847" s="181">
        <f t="shared" si="236"/>
        <v>809</v>
      </c>
      <c r="X847" s="181">
        <f t="shared" si="237"/>
        <v>1</v>
      </c>
      <c r="Y847" s="37">
        <f t="shared" si="238"/>
        <v>1917.1</v>
      </c>
      <c r="Z847" s="181">
        <f t="shared" si="239"/>
        <v>602.5</v>
      </c>
      <c r="AA847" s="127">
        <f t="shared" si="240"/>
        <v>595.21331999999995</v>
      </c>
      <c r="AB847" s="127">
        <f t="shared" si="241"/>
        <v>602.5</v>
      </c>
      <c r="AC847" s="37">
        <f t="shared" si="230"/>
        <v>4015</v>
      </c>
      <c r="AD847" s="37">
        <f t="shared" si="242"/>
        <v>5932.1</v>
      </c>
      <c r="AE847" s="181">
        <f t="shared" si="231"/>
        <v>32</v>
      </c>
      <c r="AF847" s="37">
        <f t="shared" si="243"/>
        <v>22464</v>
      </c>
      <c r="AG847" s="181">
        <f t="shared" si="232"/>
        <v>1329.3</v>
      </c>
      <c r="AH847" s="111">
        <f t="shared" si="244"/>
        <v>884.63923199999988</v>
      </c>
      <c r="AI847" s="127">
        <f t="shared" si="245"/>
        <v>1329.3</v>
      </c>
      <c r="AJ847" s="37">
        <f t="shared" si="233"/>
        <v>8375.7999999999993</v>
      </c>
      <c r="AK847" s="37">
        <f t="shared" si="246"/>
        <v>30839.8</v>
      </c>
      <c r="AL847" s="37">
        <f t="shared" si="234"/>
        <v>7.3326328800988883</v>
      </c>
      <c r="AN847" s="37" t="str">
        <f t="shared" si="247"/>
        <v>Pallet</v>
      </c>
      <c r="AO847" s="194">
        <f t="shared" si="248"/>
        <v>32</v>
      </c>
    </row>
    <row r="848" spans="22:41" x14ac:dyDescent="0.2">
      <c r="V848" s="181">
        <f t="shared" si="235"/>
        <v>405</v>
      </c>
      <c r="W848" s="181">
        <f t="shared" si="236"/>
        <v>810</v>
      </c>
      <c r="X848" s="181">
        <f t="shared" si="237"/>
        <v>1</v>
      </c>
      <c r="Y848" s="37">
        <f t="shared" si="238"/>
        <v>1917.1</v>
      </c>
      <c r="Z848" s="181">
        <f t="shared" si="239"/>
        <v>603</v>
      </c>
      <c r="AA848" s="127">
        <f t="shared" si="240"/>
        <v>595.21331999999995</v>
      </c>
      <c r="AB848" s="127">
        <f t="shared" si="241"/>
        <v>603</v>
      </c>
      <c r="AC848" s="37">
        <f t="shared" si="230"/>
        <v>4018</v>
      </c>
      <c r="AD848" s="37">
        <f t="shared" si="242"/>
        <v>5935.1</v>
      </c>
      <c r="AE848" s="181">
        <f t="shared" si="231"/>
        <v>32</v>
      </c>
      <c r="AF848" s="37">
        <f t="shared" si="243"/>
        <v>22464</v>
      </c>
      <c r="AG848" s="181">
        <f t="shared" si="232"/>
        <v>1329.8</v>
      </c>
      <c r="AH848" s="111">
        <f t="shared" si="244"/>
        <v>884.63923199999988</v>
      </c>
      <c r="AI848" s="127">
        <f t="shared" si="245"/>
        <v>1329.8</v>
      </c>
      <c r="AJ848" s="37">
        <f t="shared" si="233"/>
        <v>8378.7999999999993</v>
      </c>
      <c r="AK848" s="37">
        <f t="shared" si="246"/>
        <v>30842.799999999999</v>
      </c>
      <c r="AL848" s="37">
        <f t="shared" si="234"/>
        <v>7.327283950617284</v>
      </c>
      <c r="AN848" s="37" t="str">
        <f t="shared" si="247"/>
        <v>Pallet</v>
      </c>
      <c r="AO848" s="194">
        <f t="shared" si="248"/>
        <v>32</v>
      </c>
    </row>
    <row r="849" spans="22:41" x14ac:dyDescent="0.2">
      <c r="V849" s="181">
        <f t="shared" si="235"/>
        <v>405.5</v>
      </c>
      <c r="W849" s="181">
        <f t="shared" si="236"/>
        <v>811</v>
      </c>
      <c r="X849" s="181">
        <f t="shared" si="237"/>
        <v>1</v>
      </c>
      <c r="Y849" s="37">
        <f t="shared" si="238"/>
        <v>1917.1</v>
      </c>
      <c r="Z849" s="181">
        <f t="shared" si="239"/>
        <v>603.5</v>
      </c>
      <c r="AA849" s="127">
        <f t="shared" si="240"/>
        <v>595.21331999999995</v>
      </c>
      <c r="AB849" s="127">
        <f t="shared" si="241"/>
        <v>603.5</v>
      </c>
      <c r="AC849" s="37">
        <f t="shared" si="230"/>
        <v>4021</v>
      </c>
      <c r="AD849" s="37">
        <f t="shared" si="242"/>
        <v>5938.1</v>
      </c>
      <c r="AE849" s="181">
        <f t="shared" si="231"/>
        <v>32</v>
      </c>
      <c r="AF849" s="37">
        <f t="shared" si="243"/>
        <v>22464</v>
      </c>
      <c r="AG849" s="181">
        <f t="shared" si="232"/>
        <v>1330.3</v>
      </c>
      <c r="AH849" s="111">
        <f t="shared" si="244"/>
        <v>884.63923199999988</v>
      </c>
      <c r="AI849" s="127">
        <f t="shared" si="245"/>
        <v>1330.3</v>
      </c>
      <c r="AJ849" s="37">
        <f t="shared" si="233"/>
        <v>8381.7999999999993</v>
      </c>
      <c r="AK849" s="37">
        <f t="shared" si="246"/>
        <v>30845.8</v>
      </c>
      <c r="AL849" s="37">
        <f t="shared" si="234"/>
        <v>7.3219482120838473</v>
      </c>
      <c r="AN849" s="37" t="str">
        <f t="shared" si="247"/>
        <v>Pallet</v>
      </c>
      <c r="AO849" s="194">
        <f t="shared" si="248"/>
        <v>32</v>
      </c>
    </row>
    <row r="850" spans="22:41" x14ac:dyDescent="0.2">
      <c r="V850" s="181">
        <f t="shared" si="235"/>
        <v>406</v>
      </c>
      <c r="W850" s="181">
        <f t="shared" si="236"/>
        <v>812</v>
      </c>
      <c r="X850" s="181">
        <f t="shared" si="237"/>
        <v>1</v>
      </c>
      <c r="Y850" s="37">
        <f t="shared" si="238"/>
        <v>1917.1</v>
      </c>
      <c r="Z850" s="181">
        <f t="shared" si="239"/>
        <v>604</v>
      </c>
      <c r="AA850" s="127">
        <f t="shared" si="240"/>
        <v>595.21331999999995</v>
      </c>
      <c r="AB850" s="127">
        <f t="shared" si="241"/>
        <v>604</v>
      </c>
      <c r="AC850" s="37">
        <f t="shared" si="230"/>
        <v>4024</v>
      </c>
      <c r="AD850" s="37">
        <f t="shared" si="242"/>
        <v>5941.1</v>
      </c>
      <c r="AE850" s="181">
        <f t="shared" si="231"/>
        <v>32</v>
      </c>
      <c r="AF850" s="37">
        <f t="shared" si="243"/>
        <v>22464</v>
      </c>
      <c r="AG850" s="181">
        <f t="shared" si="232"/>
        <v>1330.8</v>
      </c>
      <c r="AH850" s="111">
        <f t="shared" si="244"/>
        <v>884.63923199999988</v>
      </c>
      <c r="AI850" s="127">
        <f t="shared" si="245"/>
        <v>1330.8</v>
      </c>
      <c r="AJ850" s="37">
        <f t="shared" si="233"/>
        <v>8384.7999999999993</v>
      </c>
      <c r="AK850" s="37">
        <f t="shared" si="246"/>
        <v>30848.799999999999</v>
      </c>
      <c r="AL850" s="37">
        <f t="shared" si="234"/>
        <v>7.316625615763547</v>
      </c>
      <c r="AN850" s="37" t="str">
        <f t="shared" si="247"/>
        <v>Pallet</v>
      </c>
      <c r="AO850" s="194">
        <f t="shared" si="248"/>
        <v>32</v>
      </c>
    </row>
    <row r="851" spans="22:41" x14ac:dyDescent="0.2">
      <c r="V851" s="181">
        <f t="shared" si="235"/>
        <v>406.5</v>
      </c>
      <c r="W851" s="181">
        <f t="shared" si="236"/>
        <v>813</v>
      </c>
      <c r="X851" s="181">
        <f t="shared" si="237"/>
        <v>1</v>
      </c>
      <c r="Y851" s="37">
        <f t="shared" si="238"/>
        <v>1917.1</v>
      </c>
      <c r="Z851" s="181">
        <f t="shared" si="239"/>
        <v>604.5</v>
      </c>
      <c r="AA851" s="127">
        <f t="shared" si="240"/>
        <v>595.21331999999995</v>
      </c>
      <c r="AB851" s="127">
        <f t="shared" si="241"/>
        <v>604.5</v>
      </c>
      <c r="AC851" s="37">
        <f t="shared" si="230"/>
        <v>4027</v>
      </c>
      <c r="AD851" s="37">
        <f t="shared" si="242"/>
        <v>5944.1</v>
      </c>
      <c r="AE851" s="181">
        <f t="shared" si="231"/>
        <v>32</v>
      </c>
      <c r="AF851" s="37">
        <f t="shared" si="243"/>
        <v>22464</v>
      </c>
      <c r="AG851" s="181">
        <f t="shared" si="232"/>
        <v>1331.3</v>
      </c>
      <c r="AH851" s="111">
        <f t="shared" si="244"/>
        <v>884.63923199999988</v>
      </c>
      <c r="AI851" s="127">
        <f t="shared" si="245"/>
        <v>1331.3</v>
      </c>
      <c r="AJ851" s="37">
        <f t="shared" si="233"/>
        <v>8387.7999999999993</v>
      </c>
      <c r="AK851" s="37">
        <f t="shared" si="246"/>
        <v>30851.8</v>
      </c>
      <c r="AL851" s="37">
        <f t="shared" si="234"/>
        <v>7.3113161131611317</v>
      </c>
      <c r="AN851" s="37" t="str">
        <f t="shared" si="247"/>
        <v>Pallet</v>
      </c>
      <c r="AO851" s="194">
        <f t="shared" si="248"/>
        <v>32</v>
      </c>
    </row>
    <row r="852" spans="22:41" x14ac:dyDescent="0.2">
      <c r="V852" s="181">
        <f t="shared" si="235"/>
        <v>407</v>
      </c>
      <c r="W852" s="181">
        <f t="shared" si="236"/>
        <v>814</v>
      </c>
      <c r="X852" s="181">
        <f t="shared" si="237"/>
        <v>1</v>
      </c>
      <c r="Y852" s="37">
        <f t="shared" si="238"/>
        <v>1917.1</v>
      </c>
      <c r="Z852" s="181">
        <f t="shared" si="239"/>
        <v>605</v>
      </c>
      <c r="AA852" s="127">
        <f t="shared" si="240"/>
        <v>595.21331999999995</v>
      </c>
      <c r="AB852" s="127">
        <f t="shared" si="241"/>
        <v>605</v>
      </c>
      <c r="AC852" s="37">
        <f t="shared" si="230"/>
        <v>4030</v>
      </c>
      <c r="AD852" s="37">
        <f t="shared" si="242"/>
        <v>5947.1</v>
      </c>
      <c r="AE852" s="181">
        <f t="shared" si="231"/>
        <v>32</v>
      </c>
      <c r="AF852" s="37">
        <f t="shared" si="243"/>
        <v>22464</v>
      </c>
      <c r="AG852" s="181">
        <f t="shared" si="232"/>
        <v>1331.8</v>
      </c>
      <c r="AH852" s="111">
        <f t="shared" si="244"/>
        <v>884.63923199999988</v>
      </c>
      <c r="AI852" s="127">
        <f t="shared" si="245"/>
        <v>1331.8</v>
      </c>
      <c r="AJ852" s="37">
        <f t="shared" si="233"/>
        <v>8390.7999999999993</v>
      </c>
      <c r="AK852" s="37">
        <f t="shared" si="246"/>
        <v>30854.799999999999</v>
      </c>
      <c r="AL852" s="37">
        <f t="shared" si="234"/>
        <v>7.3060196560196564</v>
      </c>
      <c r="AN852" s="37" t="str">
        <f t="shared" si="247"/>
        <v>Pallet</v>
      </c>
      <c r="AO852" s="194">
        <f t="shared" si="248"/>
        <v>32</v>
      </c>
    </row>
    <row r="853" spans="22:41" x14ac:dyDescent="0.2">
      <c r="V853" s="181">
        <f t="shared" si="235"/>
        <v>407.5</v>
      </c>
      <c r="W853" s="181">
        <f t="shared" si="236"/>
        <v>815</v>
      </c>
      <c r="X853" s="181">
        <f t="shared" si="237"/>
        <v>1</v>
      </c>
      <c r="Y853" s="37">
        <f t="shared" si="238"/>
        <v>1917.1</v>
      </c>
      <c r="Z853" s="181">
        <f t="shared" si="239"/>
        <v>605.5</v>
      </c>
      <c r="AA853" s="127">
        <f t="shared" si="240"/>
        <v>595.21331999999995</v>
      </c>
      <c r="AB853" s="127">
        <f t="shared" si="241"/>
        <v>605.5</v>
      </c>
      <c r="AC853" s="37">
        <f t="shared" si="230"/>
        <v>4033</v>
      </c>
      <c r="AD853" s="37">
        <f t="shared" si="242"/>
        <v>5950.1</v>
      </c>
      <c r="AE853" s="181">
        <f t="shared" si="231"/>
        <v>32</v>
      </c>
      <c r="AF853" s="37">
        <f t="shared" si="243"/>
        <v>22464</v>
      </c>
      <c r="AG853" s="181">
        <f t="shared" si="232"/>
        <v>1332.3</v>
      </c>
      <c r="AH853" s="111">
        <f t="shared" si="244"/>
        <v>884.63923199999988</v>
      </c>
      <c r="AI853" s="127">
        <f t="shared" si="245"/>
        <v>1332.3</v>
      </c>
      <c r="AJ853" s="37">
        <f t="shared" si="233"/>
        <v>8393.7999999999993</v>
      </c>
      <c r="AK853" s="37">
        <f t="shared" si="246"/>
        <v>30857.8</v>
      </c>
      <c r="AL853" s="37">
        <f t="shared" si="234"/>
        <v>7.3007361963190185</v>
      </c>
      <c r="AN853" s="37" t="str">
        <f t="shared" si="247"/>
        <v>Pallet</v>
      </c>
      <c r="AO853" s="194">
        <f t="shared" si="248"/>
        <v>32</v>
      </c>
    </row>
    <row r="854" spans="22:41" x14ac:dyDescent="0.2">
      <c r="V854" s="181">
        <f t="shared" si="235"/>
        <v>408</v>
      </c>
      <c r="W854" s="181">
        <f t="shared" si="236"/>
        <v>816</v>
      </c>
      <c r="X854" s="181">
        <f t="shared" si="237"/>
        <v>1</v>
      </c>
      <c r="Y854" s="37">
        <f t="shared" si="238"/>
        <v>1917.1</v>
      </c>
      <c r="Z854" s="181">
        <f t="shared" si="239"/>
        <v>606</v>
      </c>
      <c r="AA854" s="127">
        <f t="shared" si="240"/>
        <v>595.21331999999995</v>
      </c>
      <c r="AB854" s="127">
        <f t="shared" si="241"/>
        <v>606</v>
      </c>
      <c r="AC854" s="37">
        <f t="shared" si="230"/>
        <v>4036</v>
      </c>
      <c r="AD854" s="37">
        <f t="shared" si="242"/>
        <v>5953.1</v>
      </c>
      <c r="AE854" s="181">
        <f t="shared" si="231"/>
        <v>32</v>
      </c>
      <c r="AF854" s="37">
        <f t="shared" si="243"/>
        <v>22464</v>
      </c>
      <c r="AG854" s="181">
        <f t="shared" si="232"/>
        <v>1332.8</v>
      </c>
      <c r="AH854" s="111">
        <f t="shared" si="244"/>
        <v>884.63923199999988</v>
      </c>
      <c r="AI854" s="127">
        <f t="shared" si="245"/>
        <v>1332.8</v>
      </c>
      <c r="AJ854" s="37">
        <f t="shared" si="233"/>
        <v>8396.7999999999993</v>
      </c>
      <c r="AK854" s="37">
        <f t="shared" si="246"/>
        <v>30860.799999999999</v>
      </c>
      <c r="AL854" s="37">
        <f t="shared" si="234"/>
        <v>7.2954656862745102</v>
      </c>
      <c r="AN854" s="37" t="str">
        <f t="shared" si="247"/>
        <v>Pallet</v>
      </c>
      <c r="AO854" s="194">
        <f t="shared" si="248"/>
        <v>32</v>
      </c>
    </row>
    <row r="855" spans="22:41" x14ac:dyDescent="0.2">
      <c r="V855" s="181">
        <f t="shared" si="235"/>
        <v>408.5</v>
      </c>
      <c r="W855" s="181">
        <f t="shared" si="236"/>
        <v>817</v>
      </c>
      <c r="X855" s="181">
        <f t="shared" si="237"/>
        <v>1</v>
      </c>
      <c r="Y855" s="37">
        <f t="shared" si="238"/>
        <v>1917.1</v>
      </c>
      <c r="Z855" s="181">
        <f t="shared" si="239"/>
        <v>606.5</v>
      </c>
      <c r="AA855" s="127">
        <f t="shared" si="240"/>
        <v>595.21331999999995</v>
      </c>
      <c r="AB855" s="127">
        <f t="shared" si="241"/>
        <v>606.5</v>
      </c>
      <c r="AC855" s="37">
        <f t="shared" si="230"/>
        <v>4039</v>
      </c>
      <c r="AD855" s="37">
        <f t="shared" si="242"/>
        <v>5956.1</v>
      </c>
      <c r="AE855" s="181">
        <f t="shared" si="231"/>
        <v>32</v>
      </c>
      <c r="AF855" s="37">
        <f t="shared" si="243"/>
        <v>22464</v>
      </c>
      <c r="AG855" s="181">
        <f t="shared" si="232"/>
        <v>1333.3</v>
      </c>
      <c r="AH855" s="111">
        <f t="shared" si="244"/>
        <v>884.63923199999988</v>
      </c>
      <c r="AI855" s="127">
        <f t="shared" si="245"/>
        <v>1333.3</v>
      </c>
      <c r="AJ855" s="37">
        <f t="shared" si="233"/>
        <v>8399.7999999999993</v>
      </c>
      <c r="AK855" s="37">
        <f t="shared" si="246"/>
        <v>30863.8</v>
      </c>
      <c r="AL855" s="37">
        <f t="shared" si="234"/>
        <v>7.2902080783353735</v>
      </c>
      <c r="AN855" s="37" t="str">
        <f t="shared" si="247"/>
        <v>Pallet</v>
      </c>
      <c r="AO855" s="194">
        <f t="shared" si="248"/>
        <v>32</v>
      </c>
    </row>
    <row r="856" spans="22:41" x14ac:dyDescent="0.2">
      <c r="V856" s="181">
        <f t="shared" si="235"/>
        <v>409</v>
      </c>
      <c r="W856" s="181">
        <f t="shared" si="236"/>
        <v>818</v>
      </c>
      <c r="X856" s="181">
        <f t="shared" si="237"/>
        <v>1</v>
      </c>
      <c r="Y856" s="37">
        <f t="shared" si="238"/>
        <v>1917.1</v>
      </c>
      <c r="Z856" s="181">
        <f t="shared" si="239"/>
        <v>607</v>
      </c>
      <c r="AA856" s="127">
        <f t="shared" si="240"/>
        <v>595.21331999999995</v>
      </c>
      <c r="AB856" s="127">
        <f t="shared" si="241"/>
        <v>607</v>
      </c>
      <c r="AC856" s="37">
        <f t="shared" si="230"/>
        <v>4042</v>
      </c>
      <c r="AD856" s="37">
        <f t="shared" si="242"/>
        <v>5959.1</v>
      </c>
      <c r="AE856" s="181">
        <f t="shared" si="231"/>
        <v>32</v>
      </c>
      <c r="AF856" s="37">
        <f t="shared" si="243"/>
        <v>22464</v>
      </c>
      <c r="AG856" s="181">
        <f t="shared" si="232"/>
        <v>1333.8</v>
      </c>
      <c r="AH856" s="111">
        <f t="shared" si="244"/>
        <v>884.63923199999988</v>
      </c>
      <c r="AI856" s="127">
        <f t="shared" si="245"/>
        <v>1333.8</v>
      </c>
      <c r="AJ856" s="37">
        <f t="shared" si="233"/>
        <v>8402.7999999999993</v>
      </c>
      <c r="AK856" s="37">
        <f t="shared" si="246"/>
        <v>30866.799999999999</v>
      </c>
      <c r="AL856" s="37">
        <f t="shared" si="234"/>
        <v>7.2849633251833747</v>
      </c>
      <c r="AN856" s="37" t="str">
        <f t="shared" si="247"/>
        <v>Pallet</v>
      </c>
      <c r="AO856" s="194">
        <f t="shared" si="248"/>
        <v>32</v>
      </c>
    </row>
    <row r="857" spans="22:41" x14ac:dyDescent="0.2">
      <c r="V857" s="181">
        <f t="shared" si="235"/>
        <v>409.5</v>
      </c>
      <c r="W857" s="181">
        <f t="shared" si="236"/>
        <v>819</v>
      </c>
      <c r="X857" s="181">
        <f t="shared" si="237"/>
        <v>1</v>
      </c>
      <c r="Y857" s="37">
        <f t="shared" si="238"/>
        <v>1917.1</v>
      </c>
      <c r="Z857" s="181">
        <f t="shared" si="239"/>
        <v>607.5</v>
      </c>
      <c r="AA857" s="127">
        <f t="shared" si="240"/>
        <v>595.21331999999995</v>
      </c>
      <c r="AB857" s="127">
        <f t="shared" si="241"/>
        <v>607.5</v>
      </c>
      <c r="AC857" s="37">
        <f t="shared" si="230"/>
        <v>4045</v>
      </c>
      <c r="AD857" s="37">
        <f t="shared" si="242"/>
        <v>5962.1</v>
      </c>
      <c r="AE857" s="181">
        <f t="shared" si="231"/>
        <v>32</v>
      </c>
      <c r="AF857" s="37">
        <f t="shared" si="243"/>
        <v>22464</v>
      </c>
      <c r="AG857" s="181">
        <f t="shared" si="232"/>
        <v>1334.3</v>
      </c>
      <c r="AH857" s="111">
        <f t="shared" si="244"/>
        <v>884.63923199999988</v>
      </c>
      <c r="AI857" s="127">
        <f t="shared" si="245"/>
        <v>1334.3</v>
      </c>
      <c r="AJ857" s="37">
        <f t="shared" si="233"/>
        <v>8405.7999999999993</v>
      </c>
      <c r="AK857" s="37">
        <f t="shared" si="246"/>
        <v>30869.8</v>
      </c>
      <c r="AL857" s="37">
        <f t="shared" si="234"/>
        <v>7.2797313797313805</v>
      </c>
      <c r="AN857" s="37" t="str">
        <f t="shared" si="247"/>
        <v>Pallet</v>
      </c>
      <c r="AO857" s="194">
        <f t="shared" si="248"/>
        <v>32</v>
      </c>
    </row>
    <row r="858" spans="22:41" x14ac:dyDescent="0.2">
      <c r="V858" s="181">
        <f t="shared" si="235"/>
        <v>410</v>
      </c>
      <c r="W858" s="181">
        <f t="shared" si="236"/>
        <v>820</v>
      </c>
      <c r="X858" s="181">
        <f t="shared" si="237"/>
        <v>1</v>
      </c>
      <c r="Y858" s="37">
        <f t="shared" si="238"/>
        <v>1917.1</v>
      </c>
      <c r="Z858" s="181">
        <f t="shared" si="239"/>
        <v>608</v>
      </c>
      <c r="AA858" s="127">
        <f t="shared" si="240"/>
        <v>595.21331999999995</v>
      </c>
      <c r="AB858" s="127">
        <f t="shared" si="241"/>
        <v>608</v>
      </c>
      <c r="AC858" s="37">
        <f t="shared" si="230"/>
        <v>4048</v>
      </c>
      <c r="AD858" s="37">
        <f t="shared" si="242"/>
        <v>5965.1</v>
      </c>
      <c r="AE858" s="181">
        <f t="shared" si="231"/>
        <v>32</v>
      </c>
      <c r="AF858" s="37">
        <f t="shared" si="243"/>
        <v>22464</v>
      </c>
      <c r="AG858" s="181">
        <f t="shared" si="232"/>
        <v>1334.8</v>
      </c>
      <c r="AH858" s="111">
        <f t="shared" si="244"/>
        <v>884.63923199999988</v>
      </c>
      <c r="AI858" s="127">
        <f t="shared" si="245"/>
        <v>1334.8</v>
      </c>
      <c r="AJ858" s="37">
        <f t="shared" si="233"/>
        <v>8408.7999999999993</v>
      </c>
      <c r="AK858" s="37">
        <f t="shared" si="246"/>
        <v>30872.799999999999</v>
      </c>
      <c r="AL858" s="37">
        <f t="shared" si="234"/>
        <v>7.274512195121952</v>
      </c>
      <c r="AN858" s="37" t="str">
        <f t="shared" si="247"/>
        <v>Pallet</v>
      </c>
      <c r="AO858" s="194">
        <f t="shared" si="248"/>
        <v>32</v>
      </c>
    </row>
    <row r="859" spans="22:41" x14ac:dyDescent="0.2">
      <c r="V859" s="181">
        <f t="shared" si="235"/>
        <v>410.5</v>
      </c>
      <c r="W859" s="181">
        <f t="shared" si="236"/>
        <v>821</v>
      </c>
      <c r="X859" s="181">
        <f t="shared" si="237"/>
        <v>1</v>
      </c>
      <c r="Y859" s="37">
        <f t="shared" si="238"/>
        <v>1917.1</v>
      </c>
      <c r="Z859" s="181">
        <f t="shared" si="239"/>
        <v>608.5</v>
      </c>
      <c r="AA859" s="127">
        <f t="shared" si="240"/>
        <v>595.21331999999995</v>
      </c>
      <c r="AB859" s="127">
        <f t="shared" si="241"/>
        <v>608.5</v>
      </c>
      <c r="AC859" s="37">
        <f t="shared" si="230"/>
        <v>4051</v>
      </c>
      <c r="AD859" s="37">
        <f t="shared" si="242"/>
        <v>5968.1</v>
      </c>
      <c r="AE859" s="181">
        <f t="shared" si="231"/>
        <v>32</v>
      </c>
      <c r="AF859" s="37">
        <f t="shared" si="243"/>
        <v>22464</v>
      </c>
      <c r="AG859" s="181">
        <f t="shared" si="232"/>
        <v>1335.3</v>
      </c>
      <c r="AH859" s="111">
        <f t="shared" si="244"/>
        <v>884.63923199999988</v>
      </c>
      <c r="AI859" s="127">
        <f t="shared" si="245"/>
        <v>1335.3</v>
      </c>
      <c r="AJ859" s="37">
        <f t="shared" si="233"/>
        <v>8411.7999999999993</v>
      </c>
      <c r="AK859" s="37">
        <f t="shared" si="246"/>
        <v>30875.8</v>
      </c>
      <c r="AL859" s="37">
        <f t="shared" si="234"/>
        <v>7.2693057247259443</v>
      </c>
      <c r="AN859" s="37" t="str">
        <f t="shared" si="247"/>
        <v>Pallet</v>
      </c>
      <c r="AO859" s="194">
        <f t="shared" si="248"/>
        <v>32</v>
      </c>
    </row>
    <row r="860" spans="22:41" x14ac:dyDescent="0.2">
      <c r="V860" s="181">
        <f t="shared" si="235"/>
        <v>411</v>
      </c>
      <c r="W860" s="181">
        <f t="shared" si="236"/>
        <v>822</v>
      </c>
      <c r="X860" s="181">
        <f t="shared" si="237"/>
        <v>1</v>
      </c>
      <c r="Y860" s="37">
        <f t="shared" si="238"/>
        <v>1917.1</v>
      </c>
      <c r="Z860" s="181">
        <f t="shared" si="239"/>
        <v>609</v>
      </c>
      <c r="AA860" s="127">
        <f t="shared" si="240"/>
        <v>595.21331999999995</v>
      </c>
      <c r="AB860" s="127">
        <f t="shared" si="241"/>
        <v>609</v>
      </c>
      <c r="AC860" s="37">
        <f t="shared" si="230"/>
        <v>4054</v>
      </c>
      <c r="AD860" s="37">
        <f t="shared" si="242"/>
        <v>5971.1</v>
      </c>
      <c r="AE860" s="181">
        <f t="shared" si="231"/>
        <v>32</v>
      </c>
      <c r="AF860" s="37">
        <f t="shared" si="243"/>
        <v>22464</v>
      </c>
      <c r="AG860" s="181">
        <f t="shared" si="232"/>
        <v>1335.8</v>
      </c>
      <c r="AH860" s="111">
        <f t="shared" si="244"/>
        <v>884.63923199999988</v>
      </c>
      <c r="AI860" s="127">
        <f t="shared" si="245"/>
        <v>1335.8</v>
      </c>
      <c r="AJ860" s="37">
        <f t="shared" si="233"/>
        <v>8414.7999999999993</v>
      </c>
      <c r="AK860" s="37">
        <f t="shared" si="246"/>
        <v>30878.799999999999</v>
      </c>
      <c r="AL860" s="37">
        <f t="shared" si="234"/>
        <v>7.2641119221411197</v>
      </c>
      <c r="AN860" s="37" t="str">
        <f t="shared" si="247"/>
        <v>Pallet</v>
      </c>
      <c r="AO860" s="194">
        <f t="shared" si="248"/>
        <v>32</v>
      </c>
    </row>
    <row r="861" spans="22:41" x14ac:dyDescent="0.2">
      <c r="V861" s="181">
        <f t="shared" si="235"/>
        <v>411.5</v>
      </c>
      <c r="W861" s="181">
        <f t="shared" si="236"/>
        <v>823</v>
      </c>
      <c r="X861" s="181">
        <f t="shared" si="237"/>
        <v>1</v>
      </c>
      <c r="Y861" s="37">
        <f t="shared" si="238"/>
        <v>1917.1</v>
      </c>
      <c r="Z861" s="181">
        <f t="shared" si="239"/>
        <v>609.5</v>
      </c>
      <c r="AA861" s="127">
        <f t="shared" si="240"/>
        <v>595.21331999999995</v>
      </c>
      <c r="AB861" s="127">
        <f t="shared" si="241"/>
        <v>609.5</v>
      </c>
      <c r="AC861" s="37">
        <f t="shared" si="230"/>
        <v>4057</v>
      </c>
      <c r="AD861" s="37">
        <f t="shared" si="242"/>
        <v>5974.1</v>
      </c>
      <c r="AE861" s="181">
        <f t="shared" si="231"/>
        <v>32</v>
      </c>
      <c r="AF861" s="37">
        <f t="shared" si="243"/>
        <v>22464</v>
      </c>
      <c r="AG861" s="181">
        <f t="shared" si="232"/>
        <v>1336.3</v>
      </c>
      <c r="AH861" s="111">
        <f t="shared" si="244"/>
        <v>884.63923199999988</v>
      </c>
      <c r="AI861" s="127">
        <f t="shared" si="245"/>
        <v>1336.3</v>
      </c>
      <c r="AJ861" s="37">
        <f t="shared" si="233"/>
        <v>8417.7999999999993</v>
      </c>
      <c r="AK861" s="37">
        <f t="shared" si="246"/>
        <v>30881.8</v>
      </c>
      <c r="AL861" s="37">
        <f t="shared" si="234"/>
        <v>7.258930741190766</v>
      </c>
      <c r="AN861" s="37" t="str">
        <f t="shared" si="247"/>
        <v>Pallet</v>
      </c>
      <c r="AO861" s="194">
        <f t="shared" si="248"/>
        <v>32</v>
      </c>
    </row>
    <row r="862" spans="22:41" x14ac:dyDescent="0.2">
      <c r="V862" s="181">
        <f t="shared" si="235"/>
        <v>412</v>
      </c>
      <c r="W862" s="181">
        <f t="shared" si="236"/>
        <v>824</v>
      </c>
      <c r="X862" s="181">
        <f t="shared" si="237"/>
        <v>1</v>
      </c>
      <c r="Y862" s="37">
        <f t="shared" si="238"/>
        <v>1917.1</v>
      </c>
      <c r="Z862" s="181">
        <f t="shared" si="239"/>
        <v>610</v>
      </c>
      <c r="AA862" s="127">
        <f t="shared" si="240"/>
        <v>595.21331999999995</v>
      </c>
      <c r="AB862" s="127">
        <f t="shared" si="241"/>
        <v>610</v>
      </c>
      <c r="AC862" s="37">
        <f t="shared" si="230"/>
        <v>4060</v>
      </c>
      <c r="AD862" s="37">
        <f t="shared" si="242"/>
        <v>5977.1</v>
      </c>
      <c r="AE862" s="181">
        <f t="shared" si="231"/>
        <v>32</v>
      </c>
      <c r="AF862" s="37">
        <f t="shared" si="243"/>
        <v>22464</v>
      </c>
      <c r="AG862" s="181">
        <f t="shared" si="232"/>
        <v>1336.8</v>
      </c>
      <c r="AH862" s="111">
        <f t="shared" si="244"/>
        <v>884.63923199999988</v>
      </c>
      <c r="AI862" s="127">
        <f t="shared" si="245"/>
        <v>1336.8</v>
      </c>
      <c r="AJ862" s="37">
        <f t="shared" si="233"/>
        <v>8420.7999999999993</v>
      </c>
      <c r="AK862" s="37">
        <f t="shared" si="246"/>
        <v>30884.799999999999</v>
      </c>
      <c r="AL862" s="37">
        <f t="shared" si="234"/>
        <v>7.2537621359223303</v>
      </c>
      <c r="AN862" s="37" t="str">
        <f t="shared" si="247"/>
        <v>Pallet</v>
      </c>
      <c r="AO862" s="194">
        <f t="shared" si="248"/>
        <v>32</v>
      </c>
    </row>
    <row r="863" spans="22:41" x14ac:dyDescent="0.2">
      <c r="V863" s="181">
        <f t="shared" si="235"/>
        <v>412.5</v>
      </c>
      <c r="W863" s="181">
        <f t="shared" si="236"/>
        <v>825</v>
      </c>
      <c r="X863" s="181">
        <f t="shared" si="237"/>
        <v>1</v>
      </c>
      <c r="Y863" s="37">
        <f t="shared" si="238"/>
        <v>1917.1</v>
      </c>
      <c r="Z863" s="181">
        <f t="shared" si="239"/>
        <v>610.5</v>
      </c>
      <c r="AA863" s="127">
        <f t="shared" si="240"/>
        <v>595.21331999999995</v>
      </c>
      <c r="AB863" s="127">
        <f t="shared" si="241"/>
        <v>610.5</v>
      </c>
      <c r="AC863" s="37">
        <f t="shared" si="230"/>
        <v>4063</v>
      </c>
      <c r="AD863" s="37">
        <f t="shared" si="242"/>
        <v>5980.1</v>
      </c>
      <c r="AE863" s="181">
        <f t="shared" si="231"/>
        <v>32</v>
      </c>
      <c r="AF863" s="37">
        <f t="shared" si="243"/>
        <v>22464</v>
      </c>
      <c r="AG863" s="181">
        <f t="shared" si="232"/>
        <v>1337.3</v>
      </c>
      <c r="AH863" s="111">
        <f t="shared" si="244"/>
        <v>884.63923199999988</v>
      </c>
      <c r="AI863" s="127">
        <f t="shared" si="245"/>
        <v>1337.3</v>
      </c>
      <c r="AJ863" s="37">
        <f t="shared" si="233"/>
        <v>8423.7999999999993</v>
      </c>
      <c r="AK863" s="37">
        <f t="shared" si="246"/>
        <v>30887.8</v>
      </c>
      <c r="AL863" s="37">
        <f t="shared" si="234"/>
        <v>7.2486060606060612</v>
      </c>
      <c r="AN863" s="37" t="str">
        <f t="shared" si="247"/>
        <v>Pallet</v>
      </c>
      <c r="AO863" s="194">
        <f t="shared" si="248"/>
        <v>32</v>
      </c>
    </row>
    <row r="864" spans="22:41" x14ac:dyDescent="0.2">
      <c r="V864" s="181">
        <f t="shared" si="235"/>
        <v>413</v>
      </c>
      <c r="W864" s="181">
        <f t="shared" si="236"/>
        <v>826</v>
      </c>
      <c r="X864" s="181">
        <f t="shared" si="237"/>
        <v>1</v>
      </c>
      <c r="Y864" s="37">
        <f t="shared" si="238"/>
        <v>1917.1</v>
      </c>
      <c r="Z864" s="181">
        <f t="shared" si="239"/>
        <v>611</v>
      </c>
      <c r="AA864" s="127">
        <f t="shared" si="240"/>
        <v>595.21331999999995</v>
      </c>
      <c r="AB864" s="127">
        <f t="shared" si="241"/>
        <v>611</v>
      </c>
      <c r="AC864" s="37">
        <f t="shared" si="230"/>
        <v>4066</v>
      </c>
      <c r="AD864" s="37">
        <f t="shared" si="242"/>
        <v>5983.1</v>
      </c>
      <c r="AE864" s="181">
        <f t="shared" si="231"/>
        <v>33</v>
      </c>
      <c r="AF864" s="37">
        <f t="shared" si="243"/>
        <v>23166</v>
      </c>
      <c r="AG864" s="181">
        <f t="shared" si="232"/>
        <v>1366.6999999999998</v>
      </c>
      <c r="AH864" s="111">
        <f t="shared" si="244"/>
        <v>912.28420799999992</v>
      </c>
      <c r="AI864" s="127">
        <f t="shared" si="245"/>
        <v>1366.6999999999998</v>
      </c>
      <c r="AJ864" s="37">
        <f t="shared" si="233"/>
        <v>8600.1999999999989</v>
      </c>
      <c r="AK864" s="37">
        <f t="shared" si="246"/>
        <v>31766.199999999997</v>
      </c>
      <c r="AL864" s="37">
        <f t="shared" si="234"/>
        <v>7.2434624697336565</v>
      </c>
      <c r="AN864" s="37" t="str">
        <f t="shared" si="247"/>
        <v>Pallet</v>
      </c>
      <c r="AO864" s="194">
        <f t="shared" si="248"/>
        <v>32</v>
      </c>
    </row>
    <row r="865" spans="22:41" x14ac:dyDescent="0.2">
      <c r="V865" s="181">
        <f t="shared" si="235"/>
        <v>413.5</v>
      </c>
      <c r="W865" s="181">
        <f t="shared" si="236"/>
        <v>827</v>
      </c>
      <c r="X865" s="181">
        <f t="shared" si="237"/>
        <v>1</v>
      </c>
      <c r="Y865" s="37">
        <f t="shared" si="238"/>
        <v>1917.1</v>
      </c>
      <c r="Z865" s="181">
        <f t="shared" si="239"/>
        <v>611.5</v>
      </c>
      <c r="AA865" s="127">
        <f t="shared" si="240"/>
        <v>595.21331999999995</v>
      </c>
      <c r="AB865" s="127">
        <f t="shared" si="241"/>
        <v>611.5</v>
      </c>
      <c r="AC865" s="37">
        <f t="shared" si="230"/>
        <v>4069</v>
      </c>
      <c r="AD865" s="37">
        <f t="shared" si="242"/>
        <v>5986.1</v>
      </c>
      <c r="AE865" s="181">
        <f t="shared" si="231"/>
        <v>33</v>
      </c>
      <c r="AF865" s="37">
        <f t="shared" si="243"/>
        <v>23166</v>
      </c>
      <c r="AG865" s="181">
        <f t="shared" si="232"/>
        <v>1367.1999999999998</v>
      </c>
      <c r="AH865" s="111">
        <f t="shared" si="244"/>
        <v>912.28420799999992</v>
      </c>
      <c r="AI865" s="127">
        <f t="shared" si="245"/>
        <v>1367.1999999999998</v>
      </c>
      <c r="AJ865" s="37">
        <f t="shared" si="233"/>
        <v>8603.1999999999989</v>
      </c>
      <c r="AK865" s="37">
        <f t="shared" si="246"/>
        <v>31769.199999999997</v>
      </c>
      <c r="AL865" s="37">
        <f t="shared" si="234"/>
        <v>7.2383313180169289</v>
      </c>
      <c r="AN865" s="37" t="str">
        <f t="shared" si="247"/>
        <v>Pallet</v>
      </c>
      <c r="AO865" s="194">
        <f t="shared" si="248"/>
        <v>33</v>
      </c>
    </row>
    <row r="866" spans="22:41" x14ac:dyDescent="0.2">
      <c r="V866" s="181">
        <f t="shared" si="235"/>
        <v>414</v>
      </c>
      <c r="W866" s="181">
        <f t="shared" si="236"/>
        <v>828</v>
      </c>
      <c r="X866" s="181">
        <f t="shared" si="237"/>
        <v>1</v>
      </c>
      <c r="Y866" s="37">
        <f t="shared" si="238"/>
        <v>1917.1</v>
      </c>
      <c r="Z866" s="181">
        <f t="shared" si="239"/>
        <v>612</v>
      </c>
      <c r="AA866" s="127">
        <f t="shared" si="240"/>
        <v>595.21331999999995</v>
      </c>
      <c r="AB866" s="127">
        <f t="shared" si="241"/>
        <v>612</v>
      </c>
      <c r="AC866" s="37">
        <f t="shared" si="230"/>
        <v>4072</v>
      </c>
      <c r="AD866" s="37">
        <f t="shared" si="242"/>
        <v>5989.1</v>
      </c>
      <c r="AE866" s="181">
        <f t="shared" si="231"/>
        <v>33</v>
      </c>
      <c r="AF866" s="37">
        <f t="shared" si="243"/>
        <v>23166</v>
      </c>
      <c r="AG866" s="181">
        <f t="shared" si="232"/>
        <v>1367.6999999999998</v>
      </c>
      <c r="AH866" s="111">
        <f t="shared" si="244"/>
        <v>912.28420799999992</v>
      </c>
      <c r="AI866" s="127">
        <f t="shared" si="245"/>
        <v>1367.6999999999998</v>
      </c>
      <c r="AJ866" s="37">
        <f t="shared" si="233"/>
        <v>8606.1999999999989</v>
      </c>
      <c r="AK866" s="37">
        <f t="shared" si="246"/>
        <v>31772.199999999997</v>
      </c>
      <c r="AL866" s="37">
        <f t="shared" si="234"/>
        <v>7.2332125603864741</v>
      </c>
      <c r="AN866" s="37" t="str">
        <f t="shared" si="247"/>
        <v>Pallet</v>
      </c>
      <c r="AO866" s="194">
        <f t="shared" si="248"/>
        <v>33</v>
      </c>
    </row>
    <row r="867" spans="22:41" x14ac:dyDescent="0.2">
      <c r="V867" s="181">
        <f t="shared" si="235"/>
        <v>414.5</v>
      </c>
      <c r="W867" s="181">
        <f t="shared" si="236"/>
        <v>829</v>
      </c>
      <c r="X867" s="181">
        <f t="shared" si="237"/>
        <v>1</v>
      </c>
      <c r="Y867" s="37">
        <f t="shared" si="238"/>
        <v>1917.1</v>
      </c>
      <c r="Z867" s="181">
        <f t="shared" si="239"/>
        <v>612.5</v>
      </c>
      <c r="AA867" s="127">
        <f t="shared" si="240"/>
        <v>595.21331999999995</v>
      </c>
      <c r="AB867" s="127">
        <f t="shared" si="241"/>
        <v>612.5</v>
      </c>
      <c r="AC867" s="37">
        <f t="shared" si="230"/>
        <v>4075</v>
      </c>
      <c r="AD867" s="37">
        <f t="shared" si="242"/>
        <v>5992.1</v>
      </c>
      <c r="AE867" s="181">
        <f t="shared" si="231"/>
        <v>33</v>
      </c>
      <c r="AF867" s="37">
        <f t="shared" si="243"/>
        <v>23166</v>
      </c>
      <c r="AG867" s="181">
        <f t="shared" si="232"/>
        <v>1368.1999999999998</v>
      </c>
      <c r="AH867" s="111">
        <f t="shared" si="244"/>
        <v>912.28420799999992</v>
      </c>
      <c r="AI867" s="127">
        <f t="shared" si="245"/>
        <v>1368.1999999999998</v>
      </c>
      <c r="AJ867" s="37">
        <f t="shared" si="233"/>
        <v>8609.1999999999989</v>
      </c>
      <c r="AK867" s="37">
        <f t="shared" si="246"/>
        <v>31775.199999999997</v>
      </c>
      <c r="AL867" s="37">
        <f t="shared" si="234"/>
        <v>7.2281061519903504</v>
      </c>
      <c r="AN867" s="37" t="str">
        <f t="shared" si="247"/>
        <v>Pallet</v>
      </c>
      <c r="AO867" s="194">
        <f t="shared" si="248"/>
        <v>33</v>
      </c>
    </row>
    <row r="868" spans="22:41" x14ac:dyDescent="0.2">
      <c r="V868" s="181">
        <f t="shared" si="235"/>
        <v>415</v>
      </c>
      <c r="W868" s="181">
        <f t="shared" si="236"/>
        <v>830</v>
      </c>
      <c r="X868" s="181">
        <f t="shared" si="237"/>
        <v>1</v>
      </c>
      <c r="Y868" s="37">
        <f t="shared" si="238"/>
        <v>1917.1</v>
      </c>
      <c r="Z868" s="181">
        <f t="shared" si="239"/>
        <v>613</v>
      </c>
      <c r="AA868" s="127">
        <f t="shared" si="240"/>
        <v>595.21331999999995</v>
      </c>
      <c r="AB868" s="127">
        <f t="shared" si="241"/>
        <v>613</v>
      </c>
      <c r="AC868" s="37">
        <f t="shared" si="230"/>
        <v>4078</v>
      </c>
      <c r="AD868" s="37">
        <f t="shared" si="242"/>
        <v>5995.1</v>
      </c>
      <c r="AE868" s="181">
        <f t="shared" si="231"/>
        <v>33</v>
      </c>
      <c r="AF868" s="37">
        <f t="shared" si="243"/>
        <v>23166</v>
      </c>
      <c r="AG868" s="181">
        <f t="shared" si="232"/>
        <v>1368.6999999999998</v>
      </c>
      <c r="AH868" s="111">
        <f t="shared" si="244"/>
        <v>912.28420799999992</v>
      </c>
      <c r="AI868" s="127">
        <f t="shared" si="245"/>
        <v>1368.6999999999998</v>
      </c>
      <c r="AJ868" s="37">
        <f t="shared" si="233"/>
        <v>8612.1999999999989</v>
      </c>
      <c r="AK868" s="37">
        <f t="shared" si="246"/>
        <v>31778.199999999997</v>
      </c>
      <c r="AL868" s="37">
        <f t="shared" si="234"/>
        <v>7.2230120481927713</v>
      </c>
      <c r="AN868" s="37" t="str">
        <f t="shared" si="247"/>
        <v>Pallet</v>
      </c>
      <c r="AO868" s="194">
        <f t="shared" si="248"/>
        <v>33</v>
      </c>
    </row>
    <row r="869" spans="22:41" x14ac:dyDescent="0.2">
      <c r="V869" s="181">
        <f t="shared" si="235"/>
        <v>415.5</v>
      </c>
      <c r="W869" s="181">
        <f t="shared" si="236"/>
        <v>831</v>
      </c>
      <c r="X869" s="181">
        <f t="shared" si="237"/>
        <v>1</v>
      </c>
      <c r="Y869" s="37">
        <f t="shared" si="238"/>
        <v>1917.1</v>
      </c>
      <c r="Z869" s="181">
        <f t="shared" si="239"/>
        <v>613.5</v>
      </c>
      <c r="AA869" s="127">
        <f t="shared" si="240"/>
        <v>595.21331999999995</v>
      </c>
      <c r="AB869" s="127">
        <f t="shared" si="241"/>
        <v>613.5</v>
      </c>
      <c r="AC869" s="37">
        <f t="shared" si="230"/>
        <v>4081</v>
      </c>
      <c r="AD869" s="37">
        <f t="shared" si="242"/>
        <v>5998.1</v>
      </c>
      <c r="AE869" s="181">
        <f t="shared" si="231"/>
        <v>33</v>
      </c>
      <c r="AF869" s="37">
        <f t="shared" si="243"/>
        <v>23166</v>
      </c>
      <c r="AG869" s="181">
        <f t="shared" si="232"/>
        <v>1369.1999999999998</v>
      </c>
      <c r="AH869" s="111">
        <f t="shared" si="244"/>
        <v>912.28420799999992</v>
      </c>
      <c r="AI869" s="127">
        <f t="shared" si="245"/>
        <v>1369.1999999999998</v>
      </c>
      <c r="AJ869" s="37">
        <f t="shared" si="233"/>
        <v>8615.1999999999989</v>
      </c>
      <c r="AK869" s="37">
        <f t="shared" si="246"/>
        <v>31781.199999999997</v>
      </c>
      <c r="AL869" s="37">
        <f t="shared" si="234"/>
        <v>7.217930204572804</v>
      </c>
      <c r="AN869" s="37" t="str">
        <f t="shared" si="247"/>
        <v>Pallet</v>
      </c>
      <c r="AO869" s="194">
        <f t="shared" si="248"/>
        <v>33</v>
      </c>
    </row>
    <row r="870" spans="22:41" x14ac:dyDescent="0.2">
      <c r="V870" s="181">
        <f t="shared" si="235"/>
        <v>416</v>
      </c>
      <c r="W870" s="181">
        <f t="shared" si="236"/>
        <v>832</v>
      </c>
      <c r="X870" s="181">
        <f t="shared" si="237"/>
        <v>1</v>
      </c>
      <c r="Y870" s="37">
        <f t="shared" si="238"/>
        <v>1917.1</v>
      </c>
      <c r="Z870" s="181">
        <f t="shared" si="239"/>
        <v>614</v>
      </c>
      <c r="AA870" s="127">
        <f t="shared" si="240"/>
        <v>595.21331999999995</v>
      </c>
      <c r="AB870" s="127">
        <f t="shared" si="241"/>
        <v>614</v>
      </c>
      <c r="AC870" s="37">
        <f t="shared" si="230"/>
        <v>4084</v>
      </c>
      <c r="AD870" s="37">
        <f t="shared" si="242"/>
        <v>6001.1</v>
      </c>
      <c r="AE870" s="181">
        <f t="shared" si="231"/>
        <v>33</v>
      </c>
      <c r="AF870" s="37">
        <f t="shared" si="243"/>
        <v>23166</v>
      </c>
      <c r="AG870" s="181">
        <f t="shared" si="232"/>
        <v>1369.6999999999998</v>
      </c>
      <c r="AH870" s="111">
        <f t="shared" si="244"/>
        <v>912.28420799999992</v>
      </c>
      <c r="AI870" s="127">
        <f t="shared" si="245"/>
        <v>1369.6999999999998</v>
      </c>
      <c r="AJ870" s="37">
        <f t="shared" si="233"/>
        <v>8618.1999999999989</v>
      </c>
      <c r="AK870" s="37">
        <f t="shared" si="246"/>
        <v>31784.199999999997</v>
      </c>
      <c r="AL870" s="37">
        <f t="shared" si="234"/>
        <v>7.2128605769230774</v>
      </c>
      <c r="AN870" s="37" t="str">
        <f t="shared" si="247"/>
        <v>Pallet</v>
      </c>
      <c r="AO870" s="194">
        <f t="shared" si="248"/>
        <v>33</v>
      </c>
    </row>
    <row r="871" spans="22:41" x14ac:dyDescent="0.2">
      <c r="V871" s="181">
        <f t="shared" si="235"/>
        <v>416.5</v>
      </c>
      <c r="W871" s="181">
        <f t="shared" si="236"/>
        <v>833</v>
      </c>
      <c r="X871" s="181">
        <f t="shared" si="237"/>
        <v>1</v>
      </c>
      <c r="Y871" s="37">
        <f t="shared" si="238"/>
        <v>1917.1</v>
      </c>
      <c r="Z871" s="181">
        <f t="shared" si="239"/>
        <v>614.5</v>
      </c>
      <c r="AA871" s="127">
        <f t="shared" si="240"/>
        <v>595.21331999999995</v>
      </c>
      <c r="AB871" s="127">
        <f t="shared" si="241"/>
        <v>614.5</v>
      </c>
      <c r="AC871" s="37">
        <f t="shared" ref="AC871:AC934" si="249">(Shipping_perkg_first100*100)+((AB871-100)*Shipping_perkg_above100)</f>
        <v>4087</v>
      </c>
      <c r="AD871" s="37">
        <f t="shared" si="242"/>
        <v>6004.1</v>
      </c>
      <c r="AE871" s="181">
        <f t="shared" ref="AE871:AE934" si="250">ROUNDUP(W871/$N$19,0)</f>
        <v>33</v>
      </c>
      <c r="AF871" s="37">
        <f t="shared" si="243"/>
        <v>23166</v>
      </c>
      <c r="AG871" s="181">
        <f t="shared" ref="AG871:AG934" si="251">(AE871*$K$19)+V871</f>
        <v>1370.1999999999998</v>
      </c>
      <c r="AH871" s="111">
        <f t="shared" si="244"/>
        <v>912.28420799999992</v>
      </c>
      <c r="AI871" s="127">
        <f t="shared" si="245"/>
        <v>1370.1999999999998</v>
      </c>
      <c r="AJ871" s="37">
        <f t="shared" ref="AJ871:AJ934" si="252">IF(AI871&lt;=100,AI871*Shipping_perkg_first100,(Shipping_perkg_first100*100)+((AI871-100)*Shipping_perkg_above100))</f>
        <v>8621.1999999999989</v>
      </c>
      <c r="AK871" s="37">
        <f t="shared" si="246"/>
        <v>31787.199999999997</v>
      </c>
      <c r="AL871" s="37">
        <f t="shared" si="234"/>
        <v>7.2078031212484994</v>
      </c>
      <c r="AN871" s="37" t="str">
        <f t="shared" si="247"/>
        <v>Pallet</v>
      </c>
      <c r="AO871" s="194">
        <f t="shared" si="248"/>
        <v>33</v>
      </c>
    </row>
    <row r="872" spans="22:41" x14ac:dyDescent="0.2">
      <c r="V872" s="181">
        <f t="shared" si="235"/>
        <v>417</v>
      </c>
      <c r="W872" s="181">
        <f t="shared" si="236"/>
        <v>834</v>
      </c>
      <c r="X872" s="181">
        <f t="shared" si="237"/>
        <v>1</v>
      </c>
      <c r="Y872" s="37">
        <f t="shared" si="238"/>
        <v>1917.1</v>
      </c>
      <c r="Z872" s="181">
        <f t="shared" si="239"/>
        <v>615</v>
      </c>
      <c r="AA872" s="127">
        <f t="shared" si="240"/>
        <v>595.21331999999995</v>
      </c>
      <c r="AB872" s="127">
        <f t="shared" si="241"/>
        <v>615</v>
      </c>
      <c r="AC872" s="37">
        <f t="shared" si="249"/>
        <v>4090</v>
      </c>
      <c r="AD872" s="37">
        <f t="shared" si="242"/>
        <v>6007.1</v>
      </c>
      <c r="AE872" s="181">
        <f t="shared" si="250"/>
        <v>33</v>
      </c>
      <c r="AF872" s="37">
        <f t="shared" si="243"/>
        <v>23166</v>
      </c>
      <c r="AG872" s="181">
        <f t="shared" si="251"/>
        <v>1370.6999999999998</v>
      </c>
      <c r="AH872" s="111">
        <f t="shared" si="244"/>
        <v>912.28420799999992</v>
      </c>
      <c r="AI872" s="127">
        <f t="shared" si="245"/>
        <v>1370.6999999999998</v>
      </c>
      <c r="AJ872" s="37">
        <f t="shared" si="252"/>
        <v>8624.1999999999989</v>
      </c>
      <c r="AK872" s="37">
        <f t="shared" si="246"/>
        <v>31790.199999999997</v>
      </c>
      <c r="AL872" s="37">
        <f t="shared" ref="AL872:AL935" si="253">MIN(AD872,AK872)/W872</f>
        <v>7.202757793764988</v>
      </c>
      <c r="AN872" s="37" t="str">
        <f t="shared" si="247"/>
        <v>Pallet</v>
      </c>
      <c r="AO872" s="194">
        <f t="shared" si="248"/>
        <v>33</v>
      </c>
    </row>
    <row r="873" spans="22:41" x14ac:dyDescent="0.2">
      <c r="V873" s="181">
        <f t="shared" ref="V873:V936" si="254">W873*$V$37</f>
        <v>417.5</v>
      </c>
      <c r="W873" s="181">
        <f t="shared" ref="W873:W936" si="255">W872+1</f>
        <v>835</v>
      </c>
      <c r="X873" s="181">
        <f t="shared" ref="X873:X936" si="256">ROUNDUP(W873/$N$29,0)</f>
        <v>1</v>
      </c>
      <c r="Y873" s="37">
        <f t="shared" ref="Y873:Y936" si="257">X873*$P$29</f>
        <v>1917.1</v>
      </c>
      <c r="Z873" s="181">
        <f t="shared" ref="Z873:Z936" si="258">V873+(X873*$K$29)</f>
        <v>615.5</v>
      </c>
      <c r="AA873" s="127">
        <f t="shared" ref="AA873:AA936" si="259">X873*$T$29</f>
        <v>595.21331999999995</v>
      </c>
      <c r="AB873" s="127">
        <f t="shared" ref="AB873:AB936" si="260">MAX(Z873,AA873)</f>
        <v>615.5</v>
      </c>
      <c r="AC873" s="37">
        <f t="shared" si="249"/>
        <v>4093</v>
      </c>
      <c r="AD873" s="37">
        <f t="shared" ref="AD873:AD936" si="261">Y873+AC873</f>
        <v>6010.1</v>
      </c>
      <c r="AE873" s="181">
        <f t="shared" si="250"/>
        <v>33</v>
      </c>
      <c r="AF873" s="37">
        <f t="shared" ref="AF873:AF936" si="262">AE873*$P$19</f>
        <v>23166</v>
      </c>
      <c r="AG873" s="181">
        <f t="shared" si="251"/>
        <v>1371.1999999999998</v>
      </c>
      <c r="AH873" s="111">
        <f t="shared" ref="AH873:AH936" si="263">AE873*$X$19</f>
        <v>912.28420799999992</v>
      </c>
      <c r="AI873" s="127">
        <f t="shared" ref="AI873:AI936" si="264">MAX(AG873,AH873)</f>
        <v>1371.1999999999998</v>
      </c>
      <c r="AJ873" s="37">
        <f t="shared" si="252"/>
        <v>8627.1999999999989</v>
      </c>
      <c r="AK873" s="37">
        <f t="shared" ref="AK873:AK936" si="265">AF873+AJ873</f>
        <v>31793.199999999997</v>
      </c>
      <c r="AL873" s="37">
        <f t="shared" si="253"/>
        <v>7.1977245508982044</v>
      </c>
      <c r="AN873" s="37" t="str">
        <f t="shared" ref="AN873:AN936" si="266">IF(AD873&lt;AK873,"Pallet","Parcel")</f>
        <v>Pallet</v>
      </c>
      <c r="AO873" s="194">
        <f t="shared" ref="AO873:AO936" si="267">AE872</f>
        <v>33</v>
      </c>
    </row>
    <row r="874" spans="22:41" x14ac:dyDescent="0.2">
      <c r="V874" s="181">
        <f t="shared" si="254"/>
        <v>418</v>
      </c>
      <c r="W874" s="181">
        <f t="shared" si="255"/>
        <v>836</v>
      </c>
      <c r="X874" s="181">
        <f t="shared" si="256"/>
        <v>1</v>
      </c>
      <c r="Y874" s="37">
        <f t="shared" si="257"/>
        <v>1917.1</v>
      </c>
      <c r="Z874" s="181">
        <f t="shared" si="258"/>
        <v>616</v>
      </c>
      <c r="AA874" s="127">
        <f t="shared" si="259"/>
        <v>595.21331999999995</v>
      </c>
      <c r="AB874" s="127">
        <f t="shared" si="260"/>
        <v>616</v>
      </c>
      <c r="AC874" s="37">
        <f t="shared" si="249"/>
        <v>4096</v>
      </c>
      <c r="AD874" s="37">
        <f t="shared" si="261"/>
        <v>6013.1</v>
      </c>
      <c r="AE874" s="181">
        <f t="shared" si="250"/>
        <v>33</v>
      </c>
      <c r="AF874" s="37">
        <f t="shared" si="262"/>
        <v>23166</v>
      </c>
      <c r="AG874" s="181">
        <f t="shared" si="251"/>
        <v>1371.6999999999998</v>
      </c>
      <c r="AH874" s="111">
        <f t="shared" si="263"/>
        <v>912.28420799999992</v>
      </c>
      <c r="AI874" s="127">
        <f t="shared" si="264"/>
        <v>1371.6999999999998</v>
      </c>
      <c r="AJ874" s="37">
        <f t="shared" si="252"/>
        <v>8630.1999999999989</v>
      </c>
      <c r="AK874" s="37">
        <f t="shared" si="265"/>
        <v>31796.199999999997</v>
      </c>
      <c r="AL874" s="37">
        <f t="shared" si="253"/>
        <v>7.1927033492822972</v>
      </c>
      <c r="AN874" s="37" t="str">
        <f t="shared" si="266"/>
        <v>Pallet</v>
      </c>
      <c r="AO874" s="194">
        <f t="shared" si="267"/>
        <v>33</v>
      </c>
    </row>
    <row r="875" spans="22:41" x14ac:dyDescent="0.2">
      <c r="V875" s="181">
        <f t="shared" si="254"/>
        <v>418.5</v>
      </c>
      <c r="W875" s="181">
        <f t="shared" si="255"/>
        <v>837</v>
      </c>
      <c r="X875" s="181">
        <f t="shared" si="256"/>
        <v>1</v>
      </c>
      <c r="Y875" s="37">
        <f t="shared" si="257"/>
        <v>1917.1</v>
      </c>
      <c r="Z875" s="181">
        <f t="shared" si="258"/>
        <v>616.5</v>
      </c>
      <c r="AA875" s="127">
        <f t="shared" si="259"/>
        <v>595.21331999999995</v>
      </c>
      <c r="AB875" s="127">
        <f t="shared" si="260"/>
        <v>616.5</v>
      </c>
      <c r="AC875" s="37">
        <f t="shared" si="249"/>
        <v>4099</v>
      </c>
      <c r="AD875" s="37">
        <f t="shared" si="261"/>
        <v>6016.1</v>
      </c>
      <c r="AE875" s="181">
        <f t="shared" si="250"/>
        <v>33</v>
      </c>
      <c r="AF875" s="37">
        <f t="shared" si="262"/>
        <v>23166</v>
      </c>
      <c r="AG875" s="181">
        <f t="shared" si="251"/>
        <v>1372.1999999999998</v>
      </c>
      <c r="AH875" s="111">
        <f t="shared" si="263"/>
        <v>912.28420799999992</v>
      </c>
      <c r="AI875" s="127">
        <f t="shared" si="264"/>
        <v>1372.1999999999998</v>
      </c>
      <c r="AJ875" s="37">
        <f t="shared" si="252"/>
        <v>8633.1999999999989</v>
      </c>
      <c r="AK875" s="37">
        <f t="shared" si="265"/>
        <v>31799.199999999997</v>
      </c>
      <c r="AL875" s="37">
        <f t="shared" si="253"/>
        <v>7.1876941457586625</v>
      </c>
      <c r="AN875" s="37" t="str">
        <f t="shared" si="266"/>
        <v>Pallet</v>
      </c>
      <c r="AO875" s="194">
        <f t="shared" si="267"/>
        <v>33</v>
      </c>
    </row>
    <row r="876" spans="22:41" x14ac:dyDescent="0.2">
      <c r="V876" s="181">
        <f t="shared" si="254"/>
        <v>419</v>
      </c>
      <c r="W876" s="181">
        <f t="shared" si="255"/>
        <v>838</v>
      </c>
      <c r="X876" s="181">
        <f t="shared" si="256"/>
        <v>1</v>
      </c>
      <c r="Y876" s="37">
        <f t="shared" si="257"/>
        <v>1917.1</v>
      </c>
      <c r="Z876" s="181">
        <f t="shared" si="258"/>
        <v>617</v>
      </c>
      <c r="AA876" s="127">
        <f t="shared" si="259"/>
        <v>595.21331999999995</v>
      </c>
      <c r="AB876" s="127">
        <f t="shared" si="260"/>
        <v>617</v>
      </c>
      <c r="AC876" s="37">
        <f t="shared" si="249"/>
        <v>4102</v>
      </c>
      <c r="AD876" s="37">
        <f t="shared" si="261"/>
        <v>6019.1</v>
      </c>
      <c r="AE876" s="181">
        <f t="shared" si="250"/>
        <v>33</v>
      </c>
      <c r="AF876" s="37">
        <f t="shared" si="262"/>
        <v>23166</v>
      </c>
      <c r="AG876" s="181">
        <f t="shared" si="251"/>
        <v>1372.6999999999998</v>
      </c>
      <c r="AH876" s="111">
        <f t="shared" si="263"/>
        <v>912.28420799999992</v>
      </c>
      <c r="AI876" s="127">
        <f t="shared" si="264"/>
        <v>1372.6999999999998</v>
      </c>
      <c r="AJ876" s="37">
        <f t="shared" si="252"/>
        <v>8636.1999999999989</v>
      </c>
      <c r="AK876" s="37">
        <f t="shared" si="265"/>
        <v>31802.199999999997</v>
      </c>
      <c r="AL876" s="37">
        <f t="shared" si="253"/>
        <v>7.1826968973747025</v>
      </c>
      <c r="AN876" s="37" t="str">
        <f t="shared" si="266"/>
        <v>Pallet</v>
      </c>
      <c r="AO876" s="194">
        <f t="shared" si="267"/>
        <v>33</v>
      </c>
    </row>
    <row r="877" spans="22:41" x14ac:dyDescent="0.2">
      <c r="V877" s="181">
        <f t="shared" si="254"/>
        <v>419.5</v>
      </c>
      <c r="W877" s="181">
        <f t="shared" si="255"/>
        <v>839</v>
      </c>
      <c r="X877" s="181">
        <f t="shared" si="256"/>
        <v>1</v>
      </c>
      <c r="Y877" s="37">
        <f t="shared" si="257"/>
        <v>1917.1</v>
      </c>
      <c r="Z877" s="181">
        <f t="shared" si="258"/>
        <v>617.5</v>
      </c>
      <c r="AA877" s="127">
        <f t="shared" si="259"/>
        <v>595.21331999999995</v>
      </c>
      <c r="AB877" s="127">
        <f t="shared" si="260"/>
        <v>617.5</v>
      </c>
      <c r="AC877" s="37">
        <f t="shared" si="249"/>
        <v>4105</v>
      </c>
      <c r="AD877" s="37">
        <f t="shared" si="261"/>
        <v>6022.1</v>
      </c>
      <c r="AE877" s="181">
        <f t="shared" si="250"/>
        <v>33</v>
      </c>
      <c r="AF877" s="37">
        <f t="shared" si="262"/>
        <v>23166</v>
      </c>
      <c r="AG877" s="181">
        <f t="shared" si="251"/>
        <v>1373.1999999999998</v>
      </c>
      <c r="AH877" s="111">
        <f t="shared" si="263"/>
        <v>912.28420799999992</v>
      </c>
      <c r="AI877" s="127">
        <f t="shared" si="264"/>
        <v>1373.1999999999998</v>
      </c>
      <c r="AJ877" s="37">
        <f t="shared" si="252"/>
        <v>8639.1999999999989</v>
      </c>
      <c r="AK877" s="37">
        <f t="shared" si="265"/>
        <v>31805.199999999997</v>
      </c>
      <c r="AL877" s="37">
        <f t="shared" si="253"/>
        <v>7.1777115613825986</v>
      </c>
      <c r="AN877" s="37" t="str">
        <f t="shared" si="266"/>
        <v>Pallet</v>
      </c>
      <c r="AO877" s="194">
        <f t="shared" si="267"/>
        <v>33</v>
      </c>
    </row>
    <row r="878" spans="22:41" x14ac:dyDescent="0.2">
      <c r="V878" s="181">
        <f t="shared" si="254"/>
        <v>420</v>
      </c>
      <c r="W878" s="181">
        <f t="shared" si="255"/>
        <v>840</v>
      </c>
      <c r="X878" s="181">
        <f t="shared" si="256"/>
        <v>1</v>
      </c>
      <c r="Y878" s="37">
        <f t="shared" si="257"/>
        <v>1917.1</v>
      </c>
      <c r="Z878" s="181">
        <f t="shared" si="258"/>
        <v>618</v>
      </c>
      <c r="AA878" s="127">
        <f t="shared" si="259"/>
        <v>595.21331999999995</v>
      </c>
      <c r="AB878" s="127">
        <f t="shared" si="260"/>
        <v>618</v>
      </c>
      <c r="AC878" s="37">
        <f t="shared" si="249"/>
        <v>4108</v>
      </c>
      <c r="AD878" s="37">
        <f t="shared" si="261"/>
        <v>6025.1</v>
      </c>
      <c r="AE878" s="181">
        <f t="shared" si="250"/>
        <v>33</v>
      </c>
      <c r="AF878" s="37">
        <f t="shared" si="262"/>
        <v>23166</v>
      </c>
      <c r="AG878" s="181">
        <f t="shared" si="251"/>
        <v>1373.6999999999998</v>
      </c>
      <c r="AH878" s="111">
        <f t="shared" si="263"/>
        <v>912.28420799999992</v>
      </c>
      <c r="AI878" s="127">
        <f t="shared" si="264"/>
        <v>1373.6999999999998</v>
      </c>
      <c r="AJ878" s="37">
        <f t="shared" si="252"/>
        <v>8642.1999999999989</v>
      </c>
      <c r="AK878" s="37">
        <f t="shared" si="265"/>
        <v>31808.199999999997</v>
      </c>
      <c r="AL878" s="37">
        <f t="shared" si="253"/>
        <v>7.1727380952380955</v>
      </c>
      <c r="AN878" s="37" t="str">
        <f t="shared" si="266"/>
        <v>Pallet</v>
      </c>
      <c r="AO878" s="194">
        <f t="shared" si="267"/>
        <v>33</v>
      </c>
    </row>
    <row r="879" spans="22:41" x14ac:dyDescent="0.2">
      <c r="V879" s="181">
        <f t="shared" si="254"/>
        <v>420.5</v>
      </c>
      <c r="W879" s="181">
        <f t="shared" si="255"/>
        <v>841</v>
      </c>
      <c r="X879" s="181">
        <f t="shared" si="256"/>
        <v>1</v>
      </c>
      <c r="Y879" s="37">
        <f t="shared" si="257"/>
        <v>1917.1</v>
      </c>
      <c r="Z879" s="181">
        <f t="shared" si="258"/>
        <v>618.5</v>
      </c>
      <c r="AA879" s="127">
        <f t="shared" si="259"/>
        <v>595.21331999999995</v>
      </c>
      <c r="AB879" s="127">
        <f t="shared" si="260"/>
        <v>618.5</v>
      </c>
      <c r="AC879" s="37">
        <f t="shared" si="249"/>
        <v>4111</v>
      </c>
      <c r="AD879" s="37">
        <f t="shared" si="261"/>
        <v>6028.1</v>
      </c>
      <c r="AE879" s="181">
        <f t="shared" si="250"/>
        <v>33</v>
      </c>
      <c r="AF879" s="37">
        <f t="shared" si="262"/>
        <v>23166</v>
      </c>
      <c r="AG879" s="181">
        <f t="shared" si="251"/>
        <v>1374.1999999999998</v>
      </c>
      <c r="AH879" s="111">
        <f t="shared" si="263"/>
        <v>912.28420799999992</v>
      </c>
      <c r="AI879" s="127">
        <f t="shared" si="264"/>
        <v>1374.1999999999998</v>
      </c>
      <c r="AJ879" s="37">
        <f t="shared" si="252"/>
        <v>8645.1999999999989</v>
      </c>
      <c r="AK879" s="37">
        <f t="shared" si="265"/>
        <v>31811.199999999997</v>
      </c>
      <c r="AL879" s="37">
        <f t="shared" si="253"/>
        <v>7.1677764565992872</v>
      </c>
      <c r="AN879" s="37" t="str">
        <f t="shared" si="266"/>
        <v>Pallet</v>
      </c>
      <c r="AO879" s="194">
        <f t="shared" si="267"/>
        <v>33</v>
      </c>
    </row>
    <row r="880" spans="22:41" x14ac:dyDescent="0.2">
      <c r="V880" s="181">
        <f t="shared" si="254"/>
        <v>421</v>
      </c>
      <c r="W880" s="181">
        <f t="shared" si="255"/>
        <v>842</v>
      </c>
      <c r="X880" s="181">
        <f t="shared" si="256"/>
        <v>1</v>
      </c>
      <c r="Y880" s="37">
        <f t="shared" si="257"/>
        <v>1917.1</v>
      </c>
      <c r="Z880" s="181">
        <f t="shared" si="258"/>
        <v>619</v>
      </c>
      <c r="AA880" s="127">
        <f t="shared" si="259"/>
        <v>595.21331999999995</v>
      </c>
      <c r="AB880" s="127">
        <f t="shared" si="260"/>
        <v>619</v>
      </c>
      <c r="AC880" s="37">
        <f t="shared" si="249"/>
        <v>4114</v>
      </c>
      <c r="AD880" s="37">
        <f t="shared" si="261"/>
        <v>6031.1</v>
      </c>
      <c r="AE880" s="181">
        <f t="shared" si="250"/>
        <v>33</v>
      </c>
      <c r="AF880" s="37">
        <f t="shared" si="262"/>
        <v>23166</v>
      </c>
      <c r="AG880" s="181">
        <f t="shared" si="251"/>
        <v>1374.6999999999998</v>
      </c>
      <c r="AH880" s="111">
        <f t="shared" si="263"/>
        <v>912.28420799999992</v>
      </c>
      <c r="AI880" s="127">
        <f t="shared" si="264"/>
        <v>1374.6999999999998</v>
      </c>
      <c r="AJ880" s="37">
        <f t="shared" si="252"/>
        <v>8648.1999999999989</v>
      </c>
      <c r="AK880" s="37">
        <f t="shared" si="265"/>
        <v>31814.199999999997</v>
      </c>
      <c r="AL880" s="37">
        <f t="shared" si="253"/>
        <v>7.1628266033254162</v>
      </c>
      <c r="AN880" s="37" t="str">
        <f t="shared" si="266"/>
        <v>Pallet</v>
      </c>
      <c r="AO880" s="194">
        <f t="shared" si="267"/>
        <v>33</v>
      </c>
    </row>
    <row r="881" spans="22:41" x14ac:dyDescent="0.2">
      <c r="V881" s="181">
        <f t="shared" si="254"/>
        <v>421.5</v>
      </c>
      <c r="W881" s="181">
        <f t="shared" si="255"/>
        <v>843</v>
      </c>
      <c r="X881" s="181">
        <f t="shared" si="256"/>
        <v>1</v>
      </c>
      <c r="Y881" s="37">
        <f t="shared" si="257"/>
        <v>1917.1</v>
      </c>
      <c r="Z881" s="181">
        <f t="shared" si="258"/>
        <v>619.5</v>
      </c>
      <c r="AA881" s="127">
        <f t="shared" si="259"/>
        <v>595.21331999999995</v>
      </c>
      <c r="AB881" s="127">
        <f t="shared" si="260"/>
        <v>619.5</v>
      </c>
      <c r="AC881" s="37">
        <f t="shared" si="249"/>
        <v>4117</v>
      </c>
      <c r="AD881" s="37">
        <f t="shared" si="261"/>
        <v>6034.1</v>
      </c>
      <c r="AE881" s="181">
        <f t="shared" si="250"/>
        <v>33</v>
      </c>
      <c r="AF881" s="37">
        <f t="shared" si="262"/>
        <v>23166</v>
      </c>
      <c r="AG881" s="181">
        <f t="shared" si="251"/>
        <v>1375.1999999999998</v>
      </c>
      <c r="AH881" s="111">
        <f t="shared" si="263"/>
        <v>912.28420799999992</v>
      </c>
      <c r="AI881" s="127">
        <f t="shared" si="264"/>
        <v>1375.1999999999998</v>
      </c>
      <c r="AJ881" s="37">
        <f t="shared" si="252"/>
        <v>8651.1999999999989</v>
      </c>
      <c r="AK881" s="37">
        <f t="shared" si="265"/>
        <v>31817.199999999997</v>
      </c>
      <c r="AL881" s="37">
        <f t="shared" si="253"/>
        <v>7.1578884934756823</v>
      </c>
      <c r="AN881" s="37" t="str">
        <f t="shared" si="266"/>
        <v>Pallet</v>
      </c>
      <c r="AO881" s="194">
        <f t="shared" si="267"/>
        <v>33</v>
      </c>
    </row>
    <row r="882" spans="22:41" x14ac:dyDescent="0.2">
      <c r="V882" s="181">
        <f t="shared" si="254"/>
        <v>422</v>
      </c>
      <c r="W882" s="181">
        <f t="shared" si="255"/>
        <v>844</v>
      </c>
      <c r="X882" s="181">
        <f t="shared" si="256"/>
        <v>1</v>
      </c>
      <c r="Y882" s="37">
        <f t="shared" si="257"/>
        <v>1917.1</v>
      </c>
      <c r="Z882" s="181">
        <f t="shared" si="258"/>
        <v>620</v>
      </c>
      <c r="AA882" s="127">
        <f t="shared" si="259"/>
        <v>595.21331999999995</v>
      </c>
      <c r="AB882" s="127">
        <f t="shared" si="260"/>
        <v>620</v>
      </c>
      <c r="AC882" s="37">
        <f t="shared" si="249"/>
        <v>4120</v>
      </c>
      <c r="AD882" s="37">
        <f t="shared" si="261"/>
        <v>6037.1</v>
      </c>
      <c r="AE882" s="181">
        <f t="shared" si="250"/>
        <v>33</v>
      </c>
      <c r="AF882" s="37">
        <f t="shared" si="262"/>
        <v>23166</v>
      </c>
      <c r="AG882" s="181">
        <f t="shared" si="251"/>
        <v>1375.6999999999998</v>
      </c>
      <c r="AH882" s="111">
        <f t="shared" si="263"/>
        <v>912.28420799999992</v>
      </c>
      <c r="AI882" s="127">
        <f t="shared" si="264"/>
        <v>1375.6999999999998</v>
      </c>
      <c r="AJ882" s="37">
        <f t="shared" si="252"/>
        <v>8654.1999999999989</v>
      </c>
      <c r="AK882" s="37">
        <f t="shared" si="265"/>
        <v>31820.199999999997</v>
      </c>
      <c r="AL882" s="37">
        <f t="shared" si="253"/>
        <v>7.1529620853080571</v>
      </c>
      <c r="AN882" s="37" t="str">
        <f t="shared" si="266"/>
        <v>Pallet</v>
      </c>
      <c r="AO882" s="194">
        <f t="shared" si="267"/>
        <v>33</v>
      </c>
    </row>
    <row r="883" spans="22:41" x14ac:dyDescent="0.2">
      <c r="V883" s="181">
        <f t="shared" si="254"/>
        <v>422.5</v>
      </c>
      <c r="W883" s="181">
        <f t="shared" si="255"/>
        <v>845</v>
      </c>
      <c r="X883" s="181">
        <f t="shared" si="256"/>
        <v>1</v>
      </c>
      <c r="Y883" s="37">
        <f t="shared" si="257"/>
        <v>1917.1</v>
      </c>
      <c r="Z883" s="181">
        <f t="shared" si="258"/>
        <v>620.5</v>
      </c>
      <c r="AA883" s="127">
        <f t="shared" si="259"/>
        <v>595.21331999999995</v>
      </c>
      <c r="AB883" s="127">
        <f t="shared" si="260"/>
        <v>620.5</v>
      </c>
      <c r="AC883" s="37">
        <f t="shared" si="249"/>
        <v>4123</v>
      </c>
      <c r="AD883" s="37">
        <f t="shared" si="261"/>
        <v>6040.1</v>
      </c>
      <c r="AE883" s="181">
        <f t="shared" si="250"/>
        <v>33</v>
      </c>
      <c r="AF883" s="37">
        <f t="shared" si="262"/>
        <v>23166</v>
      </c>
      <c r="AG883" s="181">
        <f t="shared" si="251"/>
        <v>1376.1999999999998</v>
      </c>
      <c r="AH883" s="111">
        <f t="shared" si="263"/>
        <v>912.28420799999992</v>
      </c>
      <c r="AI883" s="127">
        <f t="shared" si="264"/>
        <v>1376.1999999999998</v>
      </c>
      <c r="AJ883" s="37">
        <f t="shared" si="252"/>
        <v>8657.1999999999989</v>
      </c>
      <c r="AK883" s="37">
        <f t="shared" si="265"/>
        <v>31823.199999999997</v>
      </c>
      <c r="AL883" s="37">
        <f t="shared" si="253"/>
        <v>7.1480473372781068</v>
      </c>
      <c r="AN883" s="37" t="str">
        <f t="shared" si="266"/>
        <v>Pallet</v>
      </c>
      <c r="AO883" s="194">
        <f t="shared" si="267"/>
        <v>33</v>
      </c>
    </row>
    <row r="884" spans="22:41" x14ac:dyDescent="0.2">
      <c r="V884" s="181">
        <f t="shared" si="254"/>
        <v>423</v>
      </c>
      <c r="W884" s="181">
        <f t="shared" si="255"/>
        <v>846</v>
      </c>
      <c r="X884" s="181">
        <f t="shared" si="256"/>
        <v>1</v>
      </c>
      <c r="Y884" s="37">
        <f t="shared" si="257"/>
        <v>1917.1</v>
      </c>
      <c r="Z884" s="181">
        <f t="shared" si="258"/>
        <v>621</v>
      </c>
      <c r="AA884" s="127">
        <f t="shared" si="259"/>
        <v>595.21331999999995</v>
      </c>
      <c r="AB884" s="127">
        <f t="shared" si="260"/>
        <v>621</v>
      </c>
      <c r="AC884" s="37">
        <f t="shared" si="249"/>
        <v>4126</v>
      </c>
      <c r="AD884" s="37">
        <f t="shared" si="261"/>
        <v>6043.1</v>
      </c>
      <c r="AE884" s="181">
        <f t="shared" si="250"/>
        <v>33</v>
      </c>
      <c r="AF884" s="37">
        <f t="shared" si="262"/>
        <v>23166</v>
      </c>
      <c r="AG884" s="181">
        <f t="shared" si="251"/>
        <v>1376.6999999999998</v>
      </c>
      <c r="AH884" s="111">
        <f t="shared" si="263"/>
        <v>912.28420799999992</v>
      </c>
      <c r="AI884" s="127">
        <f t="shared" si="264"/>
        <v>1376.6999999999998</v>
      </c>
      <c r="AJ884" s="37">
        <f t="shared" si="252"/>
        <v>8660.1999999999989</v>
      </c>
      <c r="AK884" s="37">
        <f t="shared" si="265"/>
        <v>31826.199999999997</v>
      </c>
      <c r="AL884" s="37">
        <f t="shared" si="253"/>
        <v>7.1431442080378256</v>
      </c>
      <c r="AN884" s="37" t="str">
        <f t="shared" si="266"/>
        <v>Pallet</v>
      </c>
      <c r="AO884" s="194">
        <f t="shared" si="267"/>
        <v>33</v>
      </c>
    </row>
    <row r="885" spans="22:41" x14ac:dyDescent="0.2">
      <c r="V885" s="181">
        <f t="shared" si="254"/>
        <v>423.5</v>
      </c>
      <c r="W885" s="181">
        <f t="shared" si="255"/>
        <v>847</v>
      </c>
      <c r="X885" s="181">
        <f t="shared" si="256"/>
        <v>1</v>
      </c>
      <c r="Y885" s="37">
        <f t="shared" si="257"/>
        <v>1917.1</v>
      </c>
      <c r="Z885" s="181">
        <f t="shared" si="258"/>
        <v>621.5</v>
      </c>
      <c r="AA885" s="127">
        <f t="shared" si="259"/>
        <v>595.21331999999995</v>
      </c>
      <c r="AB885" s="127">
        <f t="shared" si="260"/>
        <v>621.5</v>
      </c>
      <c r="AC885" s="37">
        <f t="shared" si="249"/>
        <v>4129</v>
      </c>
      <c r="AD885" s="37">
        <f t="shared" si="261"/>
        <v>6046.1</v>
      </c>
      <c r="AE885" s="181">
        <f t="shared" si="250"/>
        <v>33</v>
      </c>
      <c r="AF885" s="37">
        <f t="shared" si="262"/>
        <v>23166</v>
      </c>
      <c r="AG885" s="181">
        <f t="shared" si="251"/>
        <v>1377.1999999999998</v>
      </c>
      <c r="AH885" s="111">
        <f t="shared" si="263"/>
        <v>912.28420799999992</v>
      </c>
      <c r="AI885" s="127">
        <f t="shared" si="264"/>
        <v>1377.1999999999998</v>
      </c>
      <c r="AJ885" s="37">
        <f t="shared" si="252"/>
        <v>8663.1999999999989</v>
      </c>
      <c r="AK885" s="37">
        <f t="shared" si="265"/>
        <v>31829.199999999997</v>
      </c>
      <c r="AL885" s="37">
        <f t="shared" si="253"/>
        <v>7.1382526564344753</v>
      </c>
      <c r="AN885" s="37" t="str">
        <f t="shared" si="266"/>
        <v>Pallet</v>
      </c>
      <c r="AO885" s="194">
        <f t="shared" si="267"/>
        <v>33</v>
      </c>
    </row>
    <row r="886" spans="22:41" x14ac:dyDescent="0.2">
      <c r="V886" s="181">
        <f t="shared" si="254"/>
        <v>424</v>
      </c>
      <c r="W886" s="181">
        <f t="shared" si="255"/>
        <v>848</v>
      </c>
      <c r="X886" s="181">
        <f t="shared" si="256"/>
        <v>1</v>
      </c>
      <c r="Y886" s="37">
        <f t="shared" si="257"/>
        <v>1917.1</v>
      </c>
      <c r="Z886" s="181">
        <f t="shared" si="258"/>
        <v>622</v>
      </c>
      <c r="AA886" s="127">
        <f t="shared" si="259"/>
        <v>595.21331999999995</v>
      </c>
      <c r="AB886" s="127">
        <f t="shared" si="260"/>
        <v>622</v>
      </c>
      <c r="AC886" s="37">
        <f t="shared" si="249"/>
        <v>4132</v>
      </c>
      <c r="AD886" s="37">
        <f t="shared" si="261"/>
        <v>6049.1</v>
      </c>
      <c r="AE886" s="181">
        <f t="shared" si="250"/>
        <v>33</v>
      </c>
      <c r="AF886" s="37">
        <f t="shared" si="262"/>
        <v>23166</v>
      </c>
      <c r="AG886" s="181">
        <f t="shared" si="251"/>
        <v>1377.6999999999998</v>
      </c>
      <c r="AH886" s="111">
        <f t="shared" si="263"/>
        <v>912.28420799999992</v>
      </c>
      <c r="AI886" s="127">
        <f t="shared" si="264"/>
        <v>1377.6999999999998</v>
      </c>
      <c r="AJ886" s="37">
        <f t="shared" si="252"/>
        <v>8666.1999999999989</v>
      </c>
      <c r="AK886" s="37">
        <f t="shared" si="265"/>
        <v>31832.199999999997</v>
      </c>
      <c r="AL886" s="37">
        <f t="shared" si="253"/>
        <v>7.1333726415094345</v>
      </c>
      <c r="AN886" s="37" t="str">
        <f t="shared" si="266"/>
        <v>Pallet</v>
      </c>
      <c r="AO886" s="194">
        <f t="shared" si="267"/>
        <v>33</v>
      </c>
    </row>
    <row r="887" spans="22:41" x14ac:dyDescent="0.2">
      <c r="V887" s="181">
        <f t="shared" si="254"/>
        <v>424.5</v>
      </c>
      <c r="W887" s="181">
        <f t="shared" si="255"/>
        <v>849</v>
      </c>
      <c r="X887" s="181">
        <f t="shared" si="256"/>
        <v>1</v>
      </c>
      <c r="Y887" s="37">
        <f t="shared" si="257"/>
        <v>1917.1</v>
      </c>
      <c r="Z887" s="181">
        <f t="shared" si="258"/>
        <v>622.5</v>
      </c>
      <c r="AA887" s="127">
        <f t="shared" si="259"/>
        <v>595.21331999999995</v>
      </c>
      <c r="AB887" s="127">
        <f t="shared" si="260"/>
        <v>622.5</v>
      </c>
      <c r="AC887" s="37">
        <f t="shared" si="249"/>
        <v>4135</v>
      </c>
      <c r="AD887" s="37">
        <f t="shared" si="261"/>
        <v>6052.1</v>
      </c>
      <c r="AE887" s="181">
        <f t="shared" si="250"/>
        <v>33</v>
      </c>
      <c r="AF887" s="37">
        <f t="shared" si="262"/>
        <v>23166</v>
      </c>
      <c r="AG887" s="181">
        <f t="shared" si="251"/>
        <v>1378.1999999999998</v>
      </c>
      <c r="AH887" s="111">
        <f t="shared" si="263"/>
        <v>912.28420799999992</v>
      </c>
      <c r="AI887" s="127">
        <f t="shared" si="264"/>
        <v>1378.1999999999998</v>
      </c>
      <c r="AJ887" s="37">
        <f t="shared" si="252"/>
        <v>8669.1999999999989</v>
      </c>
      <c r="AK887" s="37">
        <f t="shared" si="265"/>
        <v>31835.199999999997</v>
      </c>
      <c r="AL887" s="37">
        <f t="shared" si="253"/>
        <v>7.1285041224970556</v>
      </c>
      <c r="AN887" s="37" t="str">
        <f t="shared" si="266"/>
        <v>Pallet</v>
      </c>
      <c r="AO887" s="194">
        <f t="shared" si="267"/>
        <v>33</v>
      </c>
    </row>
    <row r="888" spans="22:41" x14ac:dyDescent="0.2">
      <c r="V888" s="181">
        <f t="shared" si="254"/>
        <v>425</v>
      </c>
      <c r="W888" s="181">
        <f t="shared" si="255"/>
        <v>850</v>
      </c>
      <c r="X888" s="181">
        <f t="shared" si="256"/>
        <v>1</v>
      </c>
      <c r="Y888" s="37">
        <f t="shared" si="257"/>
        <v>1917.1</v>
      </c>
      <c r="Z888" s="181">
        <f t="shared" si="258"/>
        <v>623</v>
      </c>
      <c r="AA888" s="127">
        <f t="shared" si="259"/>
        <v>595.21331999999995</v>
      </c>
      <c r="AB888" s="127">
        <f t="shared" si="260"/>
        <v>623</v>
      </c>
      <c r="AC888" s="37">
        <f t="shared" si="249"/>
        <v>4138</v>
      </c>
      <c r="AD888" s="37">
        <f t="shared" si="261"/>
        <v>6055.1</v>
      </c>
      <c r="AE888" s="181">
        <f t="shared" si="250"/>
        <v>33</v>
      </c>
      <c r="AF888" s="37">
        <f t="shared" si="262"/>
        <v>23166</v>
      </c>
      <c r="AG888" s="181">
        <f t="shared" si="251"/>
        <v>1378.6999999999998</v>
      </c>
      <c r="AH888" s="111">
        <f t="shared" si="263"/>
        <v>912.28420799999992</v>
      </c>
      <c r="AI888" s="127">
        <f t="shared" si="264"/>
        <v>1378.6999999999998</v>
      </c>
      <c r="AJ888" s="37">
        <f t="shared" si="252"/>
        <v>8672.1999999999989</v>
      </c>
      <c r="AK888" s="37">
        <f t="shared" si="265"/>
        <v>31838.199999999997</v>
      </c>
      <c r="AL888" s="37">
        <f t="shared" si="253"/>
        <v>7.1236470588235301</v>
      </c>
      <c r="AN888" s="37" t="str">
        <f t="shared" si="266"/>
        <v>Pallet</v>
      </c>
      <c r="AO888" s="194">
        <f t="shared" si="267"/>
        <v>33</v>
      </c>
    </row>
    <row r="889" spans="22:41" x14ac:dyDescent="0.2">
      <c r="V889" s="181">
        <f t="shared" si="254"/>
        <v>425.5</v>
      </c>
      <c r="W889" s="181">
        <f t="shared" si="255"/>
        <v>851</v>
      </c>
      <c r="X889" s="181">
        <f t="shared" si="256"/>
        <v>1</v>
      </c>
      <c r="Y889" s="37">
        <f t="shared" si="257"/>
        <v>1917.1</v>
      </c>
      <c r="Z889" s="181">
        <f t="shared" si="258"/>
        <v>623.5</v>
      </c>
      <c r="AA889" s="127">
        <f t="shared" si="259"/>
        <v>595.21331999999995</v>
      </c>
      <c r="AB889" s="127">
        <f t="shared" si="260"/>
        <v>623.5</v>
      </c>
      <c r="AC889" s="37">
        <f t="shared" si="249"/>
        <v>4141</v>
      </c>
      <c r="AD889" s="37">
        <f t="shared" si="261"/>
        <v>6058.1</v>
      </c>
      <c r="AE889" s="181">
        <f t="shared" si="250"/>
        <v>33</v>
      </c>
      <c r="AF889" s="37">
        <f t="shared" si="262"/>
        <v>23166</v>
      </c>
      <c r="AG889" s="181">
        <f t="shared" si="251"/>
        <v>1379.1999999999998</v>
      </c>
      <c r="AH889" s="111">
        <f t="shared" si="263"/>
        <v>912.28420799999992</v>
      </c>
      <c r="AI889" s="127">
        <f t="shared" si="264"/>
        <v>1379.1999999999998</v>
      </c>
      <c r="AJ889" s="37">
        <f t="shared" si="252"/>
        <v>8675.1999999999989</v>
      </c>
      <c r="AK889" s="37">
        <f t="shared" si="265"/>
        <v>31841.199999999997</v>
      </c>
      <c r="AL889" s="37">
        <f t="shared" si="253"/>
        <v>7.1188014101057586</v>
      </c>
      <c r="AN889" s="37" t="str">
        <f t="shared" si="266"/>
        <v>Pallet</v>
      </c>
      <c r="AO889" s="194">
        <f t="shared" si="267"/>
        <v>33</v>
      </c>
    </row>
    <row r="890" spans="22:41" x14ac:dyDescent="0.2">
      <c r="V890" s="181">
        <f t="shared" si="254"/>
        <v>426</v>
      </c>
      <c r="W890" s="181">
        <f t="shared" si="255"/>
        <v>852</v>
      </c>
      <c r="X890" s="181">
        <f t="shared" si="256"/>
        <v>1</v>
      </c>
      <c r="Y890" s="37">
        <f t="shared" si="257"/>
        <v>1917.1</v>
      </c>
      <c r="Z890" s="181">
        <f t="shared" si="258"/>
        <v>624</v>
      </c>
      <c r="AA890" s="127">
        <f t="shared" si="259"/>
        <v>595.21331999999995</v>
      </c>
      <c r="AB890" s="127">
        <f t="shared" si="260"/>
        <v>624</v>
      </c>
      <c r="AC890" s="37">
        <f t="shared" si="249"/>
        <v>4144</v>
      </c>
      <c r="AD890" s="37">
        <f t="shared" si="261"/>
        <v>6061.1</v>
      </c>
      <c r="AE890" s="181">
        <f t="shared" si="250"/>
        <v>34</v>
      </c>
      <c r="AF890" s="37">
        <f t="shared" si="262"/>
        <v>23868</v>
      </c>
      <c r="AG890" s="181">
        <f t="shared" si="251"/>
        <v>1408.6</v>
      </c>
      <c r="AH890" s="111">
        <f t="shared" si="263"/>
        <v>939.92918399999985</v>
      </c>
      <c r="AI890" s="127">
        <f t="shared" si="264"/>
        <v>1408.6</v>
      </c>
      <c r="AJ890" s="37">
        <f t="shared" si="252"/>
        <v>8851.5999999999985</v>
      </c>
      <c r="AK890" s="37">
        <f t="shared" si="265"/>
        <v>32719.599999999999</v>
      </c>
      <c r="AL890" s="37">
        <f t="shared" si="253"/>
        <v>7.1139671361502348</v>
      </c>
      <c r="AN890" s="37" t="str">
        <f t="shared" si="266"/>
        <v>Pallet</v>
      </c>
      <c r="AO890" s="194">
        <f t="shared" si="267"/>
        <v>33</v>
      </c>
    </row>
    <row r="891" spans="22:41" x14ac:dyDescent="0.2">
      <c r="V891" s="181">
        <f t="shared" si="254"/>
        <v>426.5</v>
      </c>
      <c r="W891" s="181">
        <f t="shared" si="255"/>
        <v>853</v>
      </c>
      <c r="X891" s="181">
        <f t="shared" si="256"/>
        <v>1</v>
      </c>
      <c r="Y891" s="37">
        <f t="shared" si="257"/>
        <v>1917.1</v>
      </c>
      <c r="Z891" s="181">
        <f t="shared" si="258"/>
        <v>624.5</v>
      </c>
      <c r="AA891" s="127">
        <f t="shared" si="259"/>
        <v>595.21331999999995</v>
      </c>
      <c r="AB891" s="127">
        <f t="shared" si="260"/>
        <v>624.5</v>
      </c>
      <c r="AC891" s="37">
        <f t="shared" si="249"/>
        <v>4147</v>
      </c>
      <c r="AD891" s="37">
        <f t="shared" si="261"/>
        <v>6064.1</v>
      </c>
      <c r="AE891" s="181">
        <f t="shared" si="250"/>
        <v>34</v>
      </c>
      <c r="AF891" s="37">
        <f t="shared" si="262"/>
        <v>23868</v>
      </c>
      <c r="AG891" s="181">
        <f t="shared" si="251"/>
        <v>1409.1</v>
      </c>
      <c r="AH891" s="111">
        <f t="shared" si="263"/>
        <v>939.92918399999985</v>
      </c>
      <c r="AI891" s="127">
        <f t="shared" si="264"/>
        <v>1409.1</v>
      </c>
      <c r="AJ891" s="37">
        <f t="shared" si="252"/>
        <v>8854.5999999999985</v>
      </c>
      <c r="AK891" s="37">
        <f t="shared" si="265"/>
        <v>32722.6</v>
      </c>
      <c r="AL891" s="37">
        <f t="shared" si="253"/>
        <v>7.1091441969519344</v>
      </c>
      <c r="AN891" s="37" t="str">
        <f t="shared" si="266"/>
        <v>Pallet</v>
      </c>
      <c r="AO891" s="194">
        <f t="shared" si="267"/>
        <v>34</v>
      </c>
    </row>
    <row r="892" spans="22:41" x14ac:dyDescent="0.2">
      <c r="V892" s="181">
        <f t="shared" si="254"/>
        <v>427</v>
      </c>
      <c r="W892" s="181">
        <f t="shared" si="255"/>
        <v>854</v>
      </c>
      <c r="X892" s="181">
        <f t="shared" si="256"/>
        <v>1</v>
      </c>
      <c r="Y892" s="37">
        <f t="shared" si="257"/>
        <v>1917.1</v>
      </c>
      <c r="Z892" s="181">
        <f t="shared" si="258"/>
        <v>625</v>
      </c>
      <c r="AA892" s="127">
        <f t="shared" si="259"/>
        <v>595.21331999999995</v>
      </c>
      <c r="AB892" s="127">
        <f t="shared" si="260"/>
        <v>625</v>
      </c>
      <c r="AC892" s="37">
        <f t="shared" si="249"/>
        <v>4150</v>
      </c>
      <c r="AD892" s="37">
        <f t="shared" si="261"/>
        <v>6067.1</v>
      </c>
      <c r="AE892" s="181">
        <f t="shared" si="250"/>
        <v>34</v>
      </c>
      <c r="AF892" s="37">
        <f t="shared" si="262"/>
        <v>23868</v>
      </c>
      <c r="AG892" s="181">
        <f t="shared" si="251"/>
        <v>1409.6</v>
      </c>
      <c r="AH892" s="111">
        <f t="shared" si="263"/>
        <v>939.92918399999985</v>
      </c>
      <c r="AI892" s="127">
        <f t="shared" si="264"/>
        <v>1409.6</v>
      </c>
      <c r="AJ892" s="37">
        <f t="shared" si="252"/>
        <v>8857.5999999999985</v>
      </c>
      <c r="AK892" s="37">
        <f t="shared" si="265"/>
        <v>32725.599999999999</v>
      </c>
      <c r="AL892" s="37">
        <f t="shared" si="253"/>
        <v>7.1043325526932088</v>
      </c>
      <c r="AN892" s="37" t="str">
        <f t="shared" si="266"/>
        <v>Pallet</v>
      </c>
      <c r="AO892" s="194">
        <f t="shared" si="267"/>
        <v>34</v>
      </c>
    </row>
    <row r="893" spans="22:41" x14ac:dyDescent="0.2">
      <c r="V893" s="181">
        <f t="shared" si="254"/>
        <v>427.5</v>
      </c>
      <c r="W893" s="181">
        <f t="shared" si="255"/>
        <v>855</v>
      </c>
      <c r="X893" s="181">
        <f t="shared" si="256"/>
        <v>1</v>
      </c>
      <c r="Y893" s="37">
        <f t="shared" si="257"/>
        <v>1917.1</v>
      </c>
      <c r="Z893" s="181">
        <f t="shared" si="258"/>
        <v>625.5</v>
      </c>
      <c r="AA893" s="127">
        <f t="shared" si="259"/>
        <v>595.21331999999995</v>
      </c>
      <c r="AB893" s="127">
        <f t="shared" si="260"/>
        <v>625.5</v>
      </c>
      <c r="AC893" s="37">
        <f t="shared" si="249"/>
        <v>4153</v>
      </c>
      <c r="AD893" s="37">
        <f t="shared" si="261"/>
        <v>6070.1</v>
      </c>
      <c r="AE893" s="181">
        <f t="shared" si="250"/>
        <v>34</v>
      </c>
      <c r="AF893" s="37">
        <f t="shared" si="262"/>
        <v>23868</v>
      </c>
      <c r="AG893" s="181">
        <f t="shared" si="251"/>
        <v>1410.1</v>
      </c>
      <c r="AH893" s="111">
        <f t="shared" si="263"/>
        <v>939.92918399999985</v>
      </c>
      <c r="AI893" s="127">
        <f t="shared" si="264"/>
        <v>1410.1</v>
      </c>
      <c r="AJ893" s="37">
        <f t="shared" si="252"/>
        <v>8860.5999999999985</v>
      </c>
      <c r="AK893" s="37">
        <f t="shared" si="265"/>
        <v>32728.6</v>
      </c>
      <c r="AL893" s="37">
        <f t="shared" si="253"/>
        <v>7.0995321637426905</v>
      </c>
      <c r="AN893" s="37" t="str">
        <f t="shared" si="266"/>
        <v>Pallet</v>
      </c>
      <c r="AO893" s="194">
        <f t="shared" si="267"/>
        <v>34</v>
      </c>
    </row>
    <row r="894" spans="22:41" x14ac:dyDescent="0.2">
      <c r="V894" s="181">
        <f t="shared" si="254"/>
        <v>428</v>
      </c>
      <c r="W894" s="181">
        <f t="shared" si="255"/>
        <v>856</v>
      </c>
      <c r="X894" s="181">
        <f t="shared" si="256"/>
        <v>1</v>
      </c>
      <c r="Y894" s="37">
        <f t="shared" si="257"/>
        <v>1917.1</v>
      </c>
      <c r="Z894" s="181">
        <f t="shared" si="258"/>
        <v>626</v>
      </c>
      <c r="AA894" s="127">
        <f t="shared" si="259"/>
        <v>595.21331999999995</v>
      </c>
      <c r="AB894" s="127">
        <f t="shared" si="260"/>
        <v>626</v>
      </c>
      <c r="AC894" s="37">
        <f t="shared" si="249"/>
        <v>4156</v>
      </c>
      <c r="AD894" s="37">
        <f t="shared" si="261"/>
        <v>6073.1</v>
      </c>
      <c r="AE894" s="181">
        <f t="shared" si="250"/>
        <v>34</v>
      </c>
      <c r="AF894" s="37">
        <f t="shared" si="262"/>
        <v>23868</v>
      </c>
      <c r="AG894" s="181">
        <f t="shared" si="251"/>
        <v>1410.6</v>
      </c>
      <c r="AH894" s="111">
        <f t="shared" si="263"/>
        <v>939.92918399999985</v>
      </c>
      <c r="AI894" s="127">
        <f t="shared" si="264"/>
        <v>1410.6</v>
      </c>
      <c r="AJ894" s="37">
        <f t="shared" si="252"/>
        <v>8863.5999999999985</v>
      </c>
      <c r="AK894" s="37">
        <f t="shared" si="265"/>
        <v>32731.599999999999</v>
      </c>
      <c r="AL894" s="37">
        <f t="shared" si="253"/>
        <v>7.0947429906542059</v>
      </c>
      <c r="AN894" s="37" t="str">
        <f t="shared" si="266"/>
        <v>Pallet</v>
      </c>
      <c r="AO894" s="194">
        <f t="shared" si="267"/>
        <v>34</v>
      </c>
    </row>
    <row r="895" spans="22:41" x14ac:dyDescent="0.2">
      <c r="V895" s="181">
        <f t="shared" si="254"/>
        <v>428.5</v>
      </c>
      <c r="W895" s="181">
        <f t="shared" si="255"/>
        <v>857</v>
      </c>
      <c r="X895" s="181">
        <f t="shared" si="256"/>
        <v>1</v>
      </c>
      <c r="Y895" s="37">
        <f t="shared" si="257"/>
        <v>1917.1</v>
      </c>
      <c r="Z895" s="181">
        <f t="shared" si="258"/>
        <v>626.5</v>
      </c>
      <c r="AA895" s="127">
        <f t="shared" si="259"/>
        <v>595.21331999999995</v>
      </c>
      <c r="AB895" s="127">
        <f t="shared" si="260"/>
        <v>626.5</v>
      </c>
      <c r="AC895" s="37">
        <f t="shared" si="249"/>
        <v>4159</v>
      </c>
      <c r="AD895" s="37">
        <f t="shared" si="261"/>
        <v>6076.1</v>
      </c>
      <c r="AE895" s="181">
        <f t="shared" si="250"/>
        <v>34</v>
      </c>
      <c r="AF895" s="37">
        <f t="shared" si="262"/>
        <v>23868</v>
      </c>
      <c r="AG895" s="181">
        <f t="shared" si="251"/>
        <v>1411.1</v>
      </c>
      <c r="AH895" s="111">
        <f t="shared" si="263"/>
        <v>939.92918399999985</v>
      </c>
      <c r="AI895" s="127">
        <f t="shared" si="264"/>
        <v>1411.1</v>
      </c>
      <c r="AJ895" s="37">
        <f t="shared" si="252"/>
        <v>8866.5999999999985</v>
      </c>
      <c r="AK895" s="37">
        <f t="shared" si="265"/>
        <v>32734.6</v>
      </c>
      <c r="AL895" s="37">
        <f t="shared" si="253"/>
        <v>7.0899649941656948</v>
      </c>
      <c r="AN895" s="37" t="str">
        <f t="shared" si="266"/>
        <v>Pallet</v>
      </c>
      <c r="AO895" s="194">
        <f t="shared" si="267"/>
        <v>34</v>
      </c>
    </row>
    <row r="896" spans="22:41" x14ac:dyDescent="0.2">
      <c r="V896" s="181">
        <f t="shared" si="254"/>
        <v>429</v>
      </c>
      <c r="W896" s="181">
        <f t="shared" si="255"/>
        <v>858</v>
      </c>
      <c r="X896" s="181">
        <f t="shared" si="256"/>
        <v>1</v>
      </c>
      <c r="Y896" s="37">
        <f t="shared" si="257"/>
        <v>1917.1</v>
      </c>
      <c r="Z896" s="181">
        <f t="shared" si="258"/>
        <v>627</v>
      </c>
      <c r="AA896" s="127">
        <f t="shared" si="259"/>
        <v>595.21331999999995</v>
      </c>
      <c r="AB896" s="127">
        <f t="shared" si="260"/>
        <v>627</v>
      </c>
      <c r="AC896" s="37">
        <f t="shared" si="249"/>
        <v>4162</v>
      </c>
      <c r="AD896" s="37">
        <f t="shared" si="261"/>
        <v>6079.1</v>
      </c>
      <c r="AE896" s="181">
        <f t="shared" si="250"/>
        <v>34</v>
      </c>
      <c r="AF896" s="37">
        <f t="shared" si="262"/>
        <v>23868</v>
      </c>
      <c r="AG896" s="181">
        <f t="shared" si="251"/>
        <v>1411.6</v>
      </c>
      <c r="AH896" s="111">
        <f t="shared" si="263"/>
        <v>939.92918399999985</v>
      </c>
      <c r="AI896" s="127">
        <f t="shared" si="264"/>
        <v>1411.6</v>
      </c>
      <c r="AJ896" s="37">
        <f t="shared" si="252"/>
        <v>8869.5999999999985</v>
      </c>
      <c r="AK896" s="37">
        <f t="shared" si="265"/>
        <v>32737.599999999999</v>
      </c>
      <c r="AL896" s="37">
        <f t="shared" si="253"/>
        <v>7.0851981351981355</v>
      </c>
      <c r="AN896" s="37" t="str">
        <f t="shared" si="266"/>
        <v>Pallet</v>
      </c>
      <c r="AO896" s="194">
        <f t="shared" si="267"/>
        <v>34</v>
      </c>
    </row>
    <row r="897" spans="22:41" x14ac:dyDescent="0.2">
      <c r="V897" s="181">
        <f t="shared" si="254"/>
        <v>429.5</v>
      </c>
      <c r="W897" s="181">
        <f t="shared" si="255"/>
        <v>859</v>
      </c>
      <c r="X897" s="181">
        <f t="shared" si="256"/>
        <v>1</v>
      </c>
      <c r="Y897" s="37">
        <f t="shared" si="257"/>
        <v>1917.1</v>
      </c>
      <c r="Z897" s="181">
        <f t="shared" si="258"/>
        <v>627.5</v>
      </c>
      <c r="AA897" s="127">
        <f t="shared" si="259"/>
        <v>595.21331999999995</v>
      </c>
      <c r="AB897" s="127">
        <f t="shared" si="260"/>
        <v>627.5</v>
      </c>
      <c r="AC897" s="37">
        <f t="shared" si="249"/>
        <v>4165</v>
      </c>
      <c r="AD897" s="37">
        <f t="shared" si="261"/>
        <v>6082.1</v>
      </c>
      <c r="AE897" s="181">
        <f t="shared" si="250"/>
        <v>34</v>
      </c>
      <c r="AF897" s="37">
        <f t="shared" si="262"/>
        <v>23868</v>
      </c>
      <c r="AG897" s="181">
        <f t="shared" si="251"/>
        <v>1412.1</v>
      </c>
      <c r="AH897" s="111">
        <f t="shared" si="263"/>
        <v>939.92918399999985</v>
      </c>
      <c r="AI897" s="127">
        <f t="shared" si="264"/>
        <v>1412.1</v>
      </c>
      <c r="AJ897" s="37">
        <f t="shared" si="252"/>
        <v>8872.5999999999985</v>
      </c>
      <c r="AK897" s="37">
        <f t="shared" si="265"/>
        <v>32740.6</v>
      </c>
      <c r="AL897" s="37">
        <f t="shared" si="253"/>
        <v>7.0804423748544822</v>
      </c>
      <c r="AN897" s="37" t="str">
        <f t="shared" si="266"/>
        <v>Pallet</v>
      </c>
      <c r="AO897" s="194">
        <f t="shared" si="267"/>
        <v>34</v>
      </c>
    </row>
    <row r="898" spans="22:41" x14ac:dyDescent="0.2">
      <c r="V898" s="181">
        <f t="shared" si="254"/>
        <v>430</v>
      </c>
      <c r="W898" s="181">
        <f t="shared" si="255"/>
        <v>860</v>
      </c>
      <c r="X898" s="181">
        <f t="shared" si="256"/>
        <v>1</v>
      </c>
      <c r="Y898" s="37">
        <f t="shared" si="257"/>
        <v>1917.1</v>
      </c>
      <c r="Z898" s="181">
        <f t="shared" si="258"/>
        <v>628</v>
      </c>
      <c r="AA898" s="127">
        <f t="shared" si="259"/>
        <v>595.21331999999995</v>
      </c>
      <c r="AB898" s="127">
        <f t="shared" si="260"/>
        <v>628</v>
      </c>
      <c r="AC898" s="37">
        <f t="shared" si="249"/>
        <v>4168</v>
      </c>
      <c r="AD898" s="37">
        <f t="shared" si="261"/>
        <v>6085.1</v>
      </c>
      <c r="AE898" s="181">
        <f t="shared" si="250"/>
        <v>34</v>
      </c>
      <c r="AF898" s="37">
        <f t="shared" si="262"/>
        <v>23868</v>
      </c>
      <c r="AG898" s="181">
        <f t="shared" si="251"/>
        <v>1412.6</v>
      </c>
      <c r="AH898" s="111">
        <f t="shared" si="263"/>
        <v>939.92918399999985</v>
      </c>
      <c r="AI898" s="127">
        <f t="shared" si="264"/>
        <v>1412.6</v>
      </c>
      <c r="AJ898" s="37">
        <f t="shared" si="252"/>
        <v>8875.5999999999985</v>
      </c>
      <c r="AK898" s="37">
        <f t="shared" si="265"/>
        <v>32743.599999999999</v>
      </c>
      <c r="AL898" s="37">
        <f t="shared" si="253"/>
        <v>7.0756976744186053</v>
      </c>
      <c r="AN898" s="37" t="str">
        <f t="shared" si="266"/>
        <v>Pallet</v>
      </c>
      <c r="AO898" s="194">
        <f t="shared" si="267"/>
        <v>34</v>
      </c>
    </row>
    <row r="899" spans="22:41" x14ac:dyDescent="0.2">
      <c r="V899" s="181">
        <f t="shared" si="254"/>
        <v>430.5</v>
      </c>
      <c r="W899" s="181">
        <f t="shared" si="255"/>
        <v>861</v>
      </c>
      <c r="X899" s="181">
        <f t="shared" si="256"/>
        <v>1</v>
      </c>
      <c r="Y899" s="37">
        <f t="shared" si="257"/>
        <v>1917.1</v>
      </c>
      <c r="Z899" s="181">
        <f t="shared" si="258"/>
        <v>628.5</v>
      </c>
      <c r="AA899" s="127">
        <f t="shared" si="259"/>
        <v>595.21331999999995</v>
      </c>
      <c r="AB899" s="127">
        <f t="shared" si="260"/>
        <v>628.5</v>
      </c>
      <c r="AC899" s="37">
        <f t="shared" si="249"/>
        <v>4171</v>
      </c>
      <c r="AD899" s="37">
        <f t="shared" si="261"/>
        <v>6088.1</v>
      </c>
      <c r="AE899" s="181">
        <f t="shared" si="250"/>
        <v>34</v>
      </c>
      <c r="AF899" s="37">
        <f t="shared" si="262"/>
        <v>23868</v>
      </c>
      <c r="AG899" s="181">
        <f t="shared" si="251"/>
        <v>1413.1</v>
      </c>
      <c r="AH899" s="111">
        <f t="shared" si="263"/>
        <v>939.92918399999985</v>
      </c>
      <c r="AI899" s="127">
        <f t="shared" si="264"/>
        <v>1413.1</v>
      </c>
      <c r="AJ899" s="37">
        <f t="shared" si="252"/>
        <v>8878.5999999999985</v>
      </c>
      <c r="AK899" s="37">
        <f t="shared" si="265"/>
        <v>32746.6</v>
      </c>
      <c r="AL899" s="37">
        <f t="shared" si="253"/>
        <v>7.0709639953542398</v>
      </c>
      <c r="AN899" s="37" t="str">
        <f t="shared" si="266"/>
        <v>Pallet</v>
      </c>
      <c r="AO899" s="194">
        <f t="shared" si="267"/>
        <v>34</v>
      </c>
    </row>
    <row r="900" spans="22:41" x14ac:dyDescent="0.2">
      <c r="V900" s="181">
        <f t="shared" si="254"/>
        <v>431</v>
      </c>
      <c r="W900" s="181">
        <f t="shared" si="255"/>
        <v>862</v>
      </c>
      <c r="X900" s="181">
        <f t="shared" si="256"/>
        <v>1</v>
      </c>
      <c r="Y900" s="37">
        <f t="shared" si="257"/>
        <v>1917.1</v>
      </c>
      <c r="Z900" s="181">
        <f t="shared" si="258"/>
        <v>629</v>
      </c>
      <c r="AA900" s="127">
        <f t="shared" si="259"/>
        <v>595.21331999999995</v>
      </c>
      <c r="AB900" s="127">
        <f t="shared" si="260"/>
        <v>629</v>
      </c>
      <c r="AC900" s="37">
        <f t="shared" si="249"/>
        <v>4174</v>
      </c>
      <c r="AD900" s="37">
        <f t="shared" si="261"/>
        <v>6091.1</v>
      </c>
      <c r="AE900" s="181">
        <f t="shared" si="250"/>
        <v>34</v>
      </c>
      <c r="AF900" s="37">
        <f t="shared" si="262"/>
        <v>23868</v>
      </c>
      <c r="AG900" s="181">
        <f t="shared" si="251"/>
        <v>1413.6</v>
      </c>
      <c r="AH900" s="111">
        <f t="shared" si="263"/>
        <v>939.92918399999985</v>
      </c>
      <c r="AI900" s="127">
        <f t="shared" si="264"/>
        <v>1413.6</v>
      </c>
      <c r="AJ900" s="37">
        <f t="shared" si="252"/>
        <v>8881.5999999999985</v>
      </c>
      <c r="AK900" s="37">
        <f t="shared" si="265"/>
        <v>32749.599999999999</v>
      </c>
      <c r="AL900" s="37">
        <f t="shared" si="253"/>
        <v>7.066241299303945</v>
      </c>
      <c r="AN900" s="37" t="str">
        <f t="shared" si="266"/>
        <v>Pallet</v>
      </c>
      <c r="AO900" s="194">
        <f t="shared" si="267"/>
        <v>34</v>
      </c>
    </row>
    <row r="901" spans="22:41" x14ac:dyDescent="0.2">
      <c r="V901" s="181">
        <f t="shared" si="254"/>
        <v>431.5</v>
      </c>
      <c r="W901" s="181">
        <f t="shared" si="255"/>
        <v>863</v>
      </c>
      <c r="X901" s="181">
        <f t="shared" si="256"/>
        <v>1</v>
      </c>
      <c r="Y901" s="37">
        <f t="shared" si="257"/>
        <v>1917.1</v>
      </c>
      <c r="Z901" s="181">
        <f t="shared" si="258"/>
        <v>629.5</v>
      </c>
      <c r="AA901" s="127">
        <f t="shared" si="259"/>
        <v>595.21331999999995</v>
      </c>
      <c r="AB901" s="127">
        <f t="shared" si="260"/>
        <v>629.5</v>
      </c>
      <c r="AC901" s="37">
        <f t="shared" si="249"/>
        <v>4177</v>
      </c>
      <c r="AD901" s="37">
        <f t="shared" si="261"/>
        <v>6094.1</v>
      </c>
      <c r="AE901" s="181">
        <f t="shared" si="250"/>
        <v>34</v>
      </c>
      <c r="AF901" s="37">
        <f t="shared" si="262"/>
        <v>23868</v>
      </c>
      <c r="AG901" s="181">
        <f t="shared" si="251"/>
        <v>1414.1</v>
      </c>
      <c r="AH901" s="111">
        <f t="shared" si="263"/>
        <v>939.92918399999985</v>
      </c>
      <c r="AI901" s="127">
        <f t="shared" si="264"/>
        <v>1414.1</v>
      </c>
      <c r="AJ901" s="37">
        <f t="shared" si="252"/>
        <v>8884.5999999999985</v>
      </c>
      <c r="AK901" s="37">
        <f t="shared" si="265"/>
        <v>32752.6</v>
      </c>
      <c r="AL901" s="37">
        <f t="shared" si="253"/>
        <v>7.0615295480880649</v>
      </c>
      <c r="AN901" s="37" t="str">
        <f t="shared" si="266"/>
        <v>Pallet</v>
      </c>
      <c r="AO901" s="194">
        <f t="shared" si="267"/>
        <v>34</v>
      </c>
    </row>
    <row r="902" spans="22:41" x14ac:dyDescent="0.2">
      <c r="V902" s="181">
        <f t="shared" si="254"/>
        <v>432</v>
      </c>
      <c r="W902" s="181">
        <f t="shared" si="255"/>
        <v>864</v>
      </c>
      <c r="X902" s="181">
        <f t="shared" si="256"/>
        <v>1</v>
      </c>
      <c r="Y902" s="37">
        <f t="shared" si="257"/>
        <v>1917.1</v>
      </c>
      <c r="Z902" s="181">
        <f t="shared" si="258"/>
        <v>630</v>
      </c>
      <c r="AA902" s="127">
        <f t="shared" si="259"/>
        <v>595.21331999999995</v>
      </c>
      <c r="AB902" s="127">
        <f t="shared" si="260"/>
        <v>630</v>
      </c>
      <c r="AC902" s="37">
        <f t="shared" si="249"/>
        <v>4180</v>
      </c>
      <c r="AD902" s="37">
        <f t="shared" si="261"/>
        <v>6097.1</v>
      </c>
      <c r="AE902" s="181">
        <f t="shared" si="250"/>
        <v>34</v>
      </c>
      <c r="AF902" s="37">
        <f t="shared" si="262"/>
        <v>23868</v>
      </c>
      <c r="AG902" s="181">
        <f t="shared" si="251"/>
        <v>1414.6</v>
      </c>
      <c r="AH902" s="111">
        <f t="shared" si="263"/>
        <v>939.92918399999985</v>
      </c>
      <c r="AI902" s="127">
        <f t="shared" si="264"/>
        <v>1414.6</v>
      </c>
      <c r="AJ902" s="37">
        <f t="shared" si="252"/>
        <v>8887.5999999999985</v>
      </c>
      <c r="AK902" s="37">
        <f t="shared" si="265"/>
        <v>32755.599999999999</v>
      </c>
      <c r="AL902" s="37">
        <f t="shared" si="253"/>
        <v>7.0568287037037045</v>
      </c>
      <c r="AN902" s="37" t="str">
        <f t="shared" si="266"/>
        <v>Pallet</v>
      </c>
      <c r="AO902" s="194">
        <f t="shared" si="267"/>
        <v>34</v>
      </c>
    </row>
    <row r="903" spans="22:41" x14ac:dyDescent="0.2">
      <c r="V903" s="181">
        <f t="shared" si="254"/>
        <v>432.5</v>
      </c>
      <c r="W903" s="181">
        <f t="shared" si="255"/>
        <v>865</v>
      </c>
      <c r="X903" s="181">
        <f t="shared" si="256"/>
        <v>1</v>
      </c>
      <c r="Y903" s="37">
        <f t="shared" si="257"/>
        <v>1917.1</v>
      </c>
      <c r="Z903" s="181">
        <f t="shared" si="258"/>
        <v>630.5</v>
      </c>
      <c r="AA903" s="127">
        <f t="shared" si="259"/>
        <v>595.21331999999995</v>
      </c>
      <c r="AB903" s="127">
        <f t="shared" si="260"/>
        <v>630.5</v>
      </c>
      <c r="AC903" s="37">
        <f t="shared" si="249"/>
        <v>4183</v>
      </c>
      <c r="AD903" s="37">
        <f t="shared" si="261"/>
        <v>6100.1</v>
      </c>
      <c r="AE903" s="181">
        <f t="shared" si="250"/>
        <v>34</v>
      </c>
      <c r="AF903" s="37">
        <f t="shared" si="262"/>
        <v>23868</v>
      </c>
      <c r="AG903" s="181">
        <f t="shared" si="251"/>
        <v>1415.1</v>
      </c>
      <c r="AH903" s="111">
        <f t="shared" si="263"/>
        <v>939.92918399999985</v>
      </c>
      <c r="AI903" s="127">
        <f t="shared" si="264"/>
        <v>1415.1</v>
      </c>
      <c r="AJ903" s="37">
        <f t="shared" si="252"/>
        <v>8890.5999999999985</v>
      </c>
      <c r="AK903" s="37">
        <f t="shared" si="265"/>
        <v>32758.6</v>
      </c>
      <c r="AL903" s="37">
        <f t="shared" si="253"/>
        <v>7.0521387283237003</v>
      </c>
      <c r="AN903" s="37" t="str">
        <f t="shared" si="266"/>
        <v>Pallet</v>
      </c>
      <c r="AO903" s="194">
        <f t="shared" si="267"/>
        <v>34</v>
      </c>
    </row>
    <row r="904" spans="22:41" x14ac:dyDescent="0.2">
      <c r="V904" s="181">
        <f t="shared" si="254"/>
        <v>433</v>
      </c>
      <c r="W904" s="181">
        <f t="shared" si="255"/>
        <v>866</v>
      </c>
      <c r="X904" s="181">
        <f t="shared" si="256"/>
        <v>1</v>
      </c>
      <c r="Y904" s="37">
        <f t="shared" si="257"/>
        <v>1917.1</v>
      </c>
      <c r="Z904" s="181">
        <f t="shared" si="258"/>
        <v>631</v>
      </c>
      <c r="AA904" s="127">
        <f t="shared" si="259"/>
        <v>595.21331999999995</v>
      </c>
      <c r="AB904" s="127">
        <f t="shared" si="260"/>
        <v>631</v>
      </c>
      <c r="AC904" s="37">
        <f t="shared" si="249"/>
        <v>4186</v>
      </c>
      <c r="AD904" s="37">
        <f t="shared" si="261"/>
        <v>6103.1</v>
      </c>
      <c r="AE904" s="181">
        <f t="shared" si="250"/>
        <v>34</v>
      </c>
      <c r="AF904" s="37">
        <f t="shared" si="262"/>
        <v>23868</v>
      </c>
      <c r="AG904" s="181">
        <f t="shared" si="251"/>
        <v>1415.6</v>
      </c>
      <c r="AH904" s="111">
        <f t="shared" si="263"/>
        <v>939.92918399999985</v>
      </c>
      <c r="AI904" s="127">
        <f t="shared" si="264"/>
        <v>1415.6</v>
      </c>
      <c r="AJ904" s="37">
        <f t="shared" si="252"/>
        <v>8893.5999999999985</v>
      </c>
      <c r="AK904" s="37">
        <f t="shared" si="265"/>
        <v>32761.599999999999</v>
      </c>
      <c r="AL904" s="37">
        <f t="shared" si="253"/>
        <v>7.0474595842956127</v>
      </c>
      <c r="AN904" s="37" t="str">
        <f t="shared" si="266"/>
        <v>Pallet</v>
      </c>
      <c r="AO904" s="194">
        <f t="shared" si="267"/>
        <v>34</v>
      </c>
    </row>
    <row r="905" spans="22:41" x14ac:dyDescent="0.2">
      <c r="V905" s="181">
        <f t="shared" si="254"/>
        <v>433.5</v>
      </c>
      <c r="W905" s="181">
        <f t="shared" si="255"/>
        <v>867</v>
      </c>
      <c r="X905" s="181">
        <f t="shared" si="256"/>
        <v>1</v>
      </c>
      <c r="Y905" s="37">
        <f t="shared" si="257"/>
        <v>1917.1</v>
      </c>
      <c r="Z905" s="181">
        <f t="shared" si="258"/>
        <v>631.5</v>
      </c>
      <c r="AA905" s="127">
        <f t="shared" si="259"/>
        <v>595.21331999999995</v>
      </c>
      <c r="AB905" s="127">
        <f t="shared" si="260"/>
        <v>631.5</v>
      </c>
      <c r="AC905" s="37">
        <f t="shared" si="249"/>
        <v>4189</v>
      </c>
      <c r="AD905" s="37">
        <f t="shared" si="261"/>
        <v>6106.1</v>
      </c>
      <c r="AE905" s="181">
        <f t="shared" si="250"/>
        <v>34</v>
      </c>
      <c r="AF905" s="37">
        <f t="shared" si="262"/>
        <v>23868</v>
      </c>
      <c r="AG905" s="181">
        <f t="shared" si="251"/>
        <v>1416.1</v>
      </c>
      <c r="AH905" s="111">
        <f t="shared" si="263"/>
        <v>939.92918399999985</v>
      </c>
      <c r="AI905" s="127">
        <f t="shared" si="264"/>
        <v>1416.1</v>
      </c>
      <c r="AJ905" s="37">
        <f t="shared" si="252"/>
        <v>8896.5999999999985</v>
      </c>
      <c r="AK905" s="37">
        <f t="shared" si="265"/>
        <v>32764.6</v>
      </c>
      <c r="AL905" s="37">
        <f t="shared" si="253"/>
        <v>7.042791234140716</v>
      </c>
      <c r="AN905" s="37" t="str">
        <f t="shared" si="266"/>
        <v>Pallet</v>
      </c>
      <c r="AO905" s="194">
        <f t="shared" si="267"/>
        <v>34</v>
      </c>
    </row>
    <row r="906" spans="22:41" x14ac:dyDescent="0.2">
      <c r="V906" s="181">
        <f t="shared" si="254"/>
        <v>434</v>
      </c>
      <c r="W906" s="181">
        <f t="shared" si="255"/>
        <v>868</v>
      </c>
      <c r="X906" s="181">
        <f t="shared" si="256"/>
        <v>1</v>
      </c>
      <c r="Y906" s="37">
        <f t="shared" si="257"/>
        <v>1917.1</v>
      </c>
      <c r="Z906" s="181">
        <f t="shared" si="258"/>
        <v>632</v>
      </c>
      <c r="AA906" s="127">
        <f t="shared" si="259"/>
        <v>595.21331999999995</v>
      </c>
      <c r="AB906" s="127">
        <f t="shared" si="260"/>
        <v>632</v>
      </c>
      <c r="AC906" s="37">
        <f t="shared" si="249"/>
        <v>4192</v>
      </c>
      <c r="AD906" s="37">
        <f t="shared" si="261"/>
        <v>6109.1</v>
      </c>
      <c r="AE906" s="181">
        <f t="shared" si="250"/>
        <v>34</v>
      </c>
      <c r="AF906" s="37">
        <f t="shared" si="262"/>
        <v>23868</v>
      </c>
      <c r="AG906" s="181">
        <f t="shared" si="251"/>
        <v>1416.6</v>
      </c>
      <c r="AH906" s="111">
        <f t="shared" si="263"/>
        <v>939.92918399999985</v>
      </c>
      <c r="AI906" s="127">
        <f t="shared" si="264"/>
        <v>1416.6</v>
      </c>
      <c r="AJ906" s="37">
        <f t="shared" si="252"/>
        <v>8899.5999999999985</v>
      </c>
      <c r="AK906" s="37">
        <f t="shared" si="265"/>
        <v>32767.599999999999</v>
      </c>
      <c r="AL906" s="37">
        <f t="shared" si="253"/>
        <v>7.0381336405529957</v>
      </c>
      <c r="AN906" s="37" t="str">
        <f t="shared" si="266"/>
        <v>Pallet</v>
      </c>
      <c r="AO906" s="194">
        <f t="shared" si="267"/>
        <v>34</v>
      </c>
    </row>
    <row r="907" spans="22:41" x14ac:dyDescent="0.2">
      <c r="V907" s="181">
        <f t="shared" si="254"/>
        <v>434.5</v>
      </c>
      <c r="W907" s="181">
        <f t="shared" si="255"/>
        <v>869</v>
      </c>
      <c r="X907" s="181">
        <f t="shared" si="256"/>
        <v>1</v>
      </c>
      <c r="Y907" s="37">
        <f t="shared" si="257"/>
        <v>1917.1</v>
      </c>
      <c r="Z907" s="181">
        <f t="shared" si="258"/>
        <v>632.5</v>
      </c>
      <c r="AA907" s="127">
        <f t="shared" si="259"/>
        <v>595.21331999999995</v>
      </c>
      <c r="AB907" s="127">
        <f t="shared" si="260"/>
        <v>632.5</v>
      </c>
      <c r="AC907" s="37">
        <f t="shared" si="249"/>
        <v>4195</v>
      </c>
      <c r="AD907" s="37">
        <f t="shared" si="261"/>
        <v>6112.1</v>
      </c>
      <c r="AE907" s="181">
        <f t="shared" si="250"/>
        <v>34</v>
      </c>
      <c r="AF907" s="37">
        <f t="shared" si="262"/>
        <v>23868</v>
      </c>
      <c r="AG907" s="181">
        <f t="shared" si="251"/>
        <v>1417.1</v>
      </c>
      <c r="AH907" s="111">
        <f t="shared" si="263"/>
        <v>939.92918399999985</v>
      </c>
      <c r="AI907" s="127">
        <f t="shared" si="264"/>
        <v>1417.1</v>
      </c>
      <c r="AJ907" s="37">
        <f t="shared" si="252"/>
        <v>8902.5999999999985</v>
      </c>
      <c r="AK907" s="37">
        <f t="shared" si="265"/>
        <v>32770.6</v>
      </c>
      <c r="AL907" s="37">
        <f t="shared" si="253"/>
        <v>7.0334867663981591</v>
      </c>
      <c r="AN907" s="37" t="str">
        <f t="shared" si="266"/>
        <v>Pallet</v>
      </c>
      <c r="AO907" s="194">
        <f t="shared" si="267"/>
        <v>34</v>
      </c>
    </row>
    <row r="908" spans="22:41" x14ac:dyDescent="0.2">
      <c r="V908" s="181">
        <f t="shared" si="254"/>
        <v>435</v>
      </c>
      <c r="W908" s="181">
        <f t="shared" si="255"/>
        <v>870</v>
      </c>
      <c r="X908" s="181">
        <f t="shared" si="256"/>
        <v>1</v>
      </c>
      <c r="Y908" s="37">
        <f t="shared" si="257"/>
        <v>1917.1</v>
      </c>
      <c r="Z908" s="181">
        <f t="shared" si="258"/>
        <v>633</v>
      </c>
      <c r="AA908" s="127">
        <f t="shared" si="259"/>
        <v>595.21331999999995</v>
      </c>
      <c r="AB908" s="127">
        <f t="shared" si="260"/>
        <v>633</v>
      </c>
      <c r="AC908" s="37">
        <f t="shared" si="249"/>
        <v>4198</v>
      </c>
      <c r="AD908" s="37">
        <f t="shared" si="261"/>
        <v>6115.1</v>
      </c>
      <c r="AE908" s="181">
        <f t="shared" si="250"/>
        <v>34</v>
      </c>
      <c r="AF908" s="37">
        <f t="shared" si="262"/>
        <v>23868</v>
      </c>
      <c r="AG908" s="181">
        <f t="shared" si="251"/>
        <v>1417.6</v>
      </c>
      <c r="AH908" s="111">
        <f t="shared" si="263"/>
        <v>939.92918399999985</v>
      </c>
      <c r="AI908" s="127">
        <f t="shared" si="264"/>
        <v>1417.6</v>
      </c>
      <c r="AJ908" s="37">
        <f t="shared" si="252"/>
        <v>8905.5999999999985</v>
      </c>
      <c r="AK908" s="37">
        <f t="shared" si="265"/>
        <v>32773.599999999999</v>
      </c>
      <c r="AL908" s="37">
        <f t="shared" si="253"/>
        <v>7.028850574712644</v>
      </c>
      <c r="AN908" s="37" t="str">
        <f t="shared" si="266"/>
        <v>Pallet</v>
      </c>
      <c r="AO908" s="194">
        <f t="shared" si="267"/>
        <v>34</v>
      </c>
    </row>
    <row r="909" spans="22:41" x14ac:dyDescent="0.2">
      <c r="V909" s="181">
        <f t="shared" si="254"/>
        <v>435.5</v>
      </c>
      <c r="W909" s="181">
        <f t="shared" si="255"/>
        <v>871</v>
      </c>
      <c r="X909" s="181">
        <f t="shared" si="256"/>
        <v>1</v>
      </c>
      <c r="Y909" s="37">
        <f t="shared" si="257"/>
        <v>1917.1</v>
      </c>
      <c r="Z909" s="181">
        <f t="shared" si="258"/>
        <v>633.5</v>
      </c>
      <c r="AA909" s="127">
        <f t="shared" si="259"/>
        <v>595.21331999999995</v>
      </c>
      <c r="AB909" s="127">
        <f t="shared" si="260"/>
        <v>633.5</v>
      </c>
      <c r="AC909" s="37">
        <f t="shared" si="249"/>
        <v>4201</v>
      </c>
      <c r="AD909" s="37">
        <f t="shared" si="261"/>
        <v>6118.1</v>
      </c>
      <c r="AE909" s="181">
        <f t="shared" si="250"/>
        <v>34</v>
      </c>
      <c r="AF909" s="37">
        <f t="shared" si="262"/>
        <v>23868</v>
      </c>
      <c r="AG909" s="181">
        <f t="shared" si="251"/>
        <v>1418.1</v>
      </c>
      <c r="AH909" s="111">
        <f t="shared" si="263"/>
        <v>939.92918399999985</v>
      </c>
      <c r="AI909" s="127">
        <f t="shared" si="264"/>
        <v>1418.1</v>
      </c>
      <c r="AJ909" s="37">
        <f t="shared" si="252"/>
        <v>8908.5999999999985</v>
      </c>
      <c r="AK909" s="37">
        <f t="shared" si="265"/>
        <v>32776.6</v>
      </c>
      <c r="AL909" s="37">
        <f t="shared" si="253"/>
        <v>7.0242250287026406</v>
      </c>
      <c r="AN909" s="37" t="str">
        <f t="shared" si="266"/>
        <v>Pallet</v>
      </c>
      <c r="AO909" s="194">
        <f t="shared" si="267"/>
        <v>34</v>
      </c>
    </row>
    <row r="910" spans="22:41" x14ac:dyDescent="0.2">
      <c r="V910" s="181">
        <f t="shared" si="254"/>
        <v>436</v>
      </c>
      <c r="W910" s="181">
        <f t="shared" si="255"/>
        <v>872</v>
      </c>
      <c r="X910" s="181">
        <f t="shared" si="256"/>
        <v>1</v>
      </c>
      <c r="Y910" s="37">
        <f t="shared" si="257"/>
        <v>1917.1</v>
      </c>
      <c r="Z910" s="181">
        <f t="shared" si="258"/>
        <v>634</v>
      </c>
      <c r="AA910" s="127">
        <f t="shared" si="259"/>
        <v>595.21331999999995</v>
      </c>
      <c r="AB910" s="127">
        <f t="shared" si="260"/>
        <v>634</v>
      </c>
      <c r="AC910" s="37">
        <f t="shared" si="249"/>
        <v>4204</v>
      </c>
      <c r="AD910" s="37">
        <f t="shared" si="261"/>
        <v>6121.1</v>
      </c>
      <c r="AE910" s="181">
        <f t="shared" si="250"/>
        <v>34</v>
      </c>
      <c r="AF910" s="37">
        <f t="shared" si="262"/>
        <v>23868</v>
      </c>
      <c r="AG910" s="181">
        <f t="shared" si="251"/>
        <v>1418.6</v>
      </c>
      <c r="AH910" s="111">
        <f t="shared" si="263"/>
        <v>939.92918399999985</v>
      </c>
      <c r="AI910" s="127">
        <f t="shared" si="264"/>
        <v>1418.6</v>
      </c>
      <c r="AJ910" s="37">
        <f t="shared" si="252"/>
        <v>8911.5999999999985</v>
      </c>
      <c r="AK910" s="37">
        <f t="shared" si="265"/>
        <v>32779.599999999999</v>
      </c>
      <c r="AL910" s="37">
        <f t="shared" si="253"/>
        <v>7.0196100917431199</v>
      </c>
      <c r="AN910" s="37" t="str">
        <f t="shared" si="266"/>
        <v>Pallet</v>
      </c>
      <c r="AO910" s="194">
        <f t="shared" si="267"/>
        <v>34</v>
      </c>
    </row>
    <row r="911" spans="22:41" x14ac:dyDescent="0.2">
      <c r="V911" s="181">
        <f t="shared" si="254"/>
        <v>436.5</v>
      </c>
      <c r="W911" s="181">
        <f t="shared" si="255"/>
        <v>873</v>
      </c>
      <c r="X911" s="181">
        <f t="shared" si="256"/>
        <v>1</v>
      </c>
      <c r="Y911" s="37">
        <f t="shared" si="257"/>
        <v>1917.1</v>
      </c>
      <c r="Z911" s="181">
        <f t="shared" si="258"/>
        <v>634.5</v>
      </c>
      <c r="AA911" s="127">
        <f t="shared" si="259"/>
        <v>595.21331999999995</v>
      </c>
      <c r="AB911" s="127">
        <f t="shared" si="260"/>
        <v>634.5</v>
      </c>
      <c r="AC911" s="37">
        <f t="shared" si="249"/>
        <v>4207</v>
      </c>
      <c r="AD911" s="37">
        <f t="shared" si="261"/>
        <v>6124.1</v>
      </c>
      <c r="AE911" s="181">
        <f t="shared" si="250"/>
        <v>34</v>
      </c>
      <c r="AF911" s="37">
        <f t="shared" si="262"/>
        <v>23868</v>
      </c>
      <c r="AG911" s="181">
        <f t="shared" si="251"/>
        <v>1419.1</v>
      </c>
      <c r="AH911" s="111">
        <f t="shared" si="263"/>
        <v>939.92918399999985</v>
      </c>
      <c r="AI911" s="127">
        <f t="shared" si="264"/>
        <v>1419.1</v>
      </c>
      <c r="AJ911" s="37">
        <f t="shared" si="252"/>
        <v>8914.5999999999985</v>
      </c>
      <c r="AK911" s="37">
        <f t="shared" si="265"/>
        <v>32782.6</v>
      </c>
      <c r="AL911" s="37">
        <f t="shared" si="253"/>
        <v>7.0150057273768622</v>
      </c>
      <c r="AN911" s="37" t="str">
        <f t="shared" si="266"/>
        <v>Pallet</v>
      </c>
      <c r="AO911" s="194">
        <f t="shared" si="267"/>
        <v>34</v>
      </c>
    </row>
    <row r="912" spans="22:41" x14ac:dyDescent="0.2">
      <c r="V912" s="181">
        <f t="shared" si="254"/>
        <v>437</v>
      </c>
      <c r="W912" s="181">
        <f t="shared" si="255"/>
        <v>874</v>
      </c>
      <c r="X912" s="181">
        <f t="shared" si="256"/>
        <v>1</v>
      </c>
      <c r="Y912" s="37">
        <f t="shared" si="257"/>
        <v>1917.1</v>
      </c>
      <c r="Z912" s="181">
        <f t="shared" si="258"/>
        <v>635</v>
      </c>
      <c r="AA912" s="127">
        <f t="shared" si="259"/>
        <v>595.21331999999995</v>
      </c>
      <c r="AB912" s="127">
        <f t="shared" si="260"/>
        <v>635</v>
      </c>
      <c r="AC912" s="37">
        <f t="shared" si="249"/>
        <v>4210</v>
      </c>
      <c r="AD912" s="37">
        <f t="shared" si="261"/>
        <v>6127.1</v>
      </c>
      <c r="AE912" s="181">
        <f t="shared" si="250"/>
        <v>34</v>
      </c>
      <c r="AF912" s="37">
        <f t="shared" si="262"/>
        <v>23868</v>
      </c>
      <c r="AG912" s="181">
        <f t="shared" si="251"/>
        <v>1419.6</v>
      </c>
      <c r="AH912" s="111">
        <f t="shared" si="263"/>
        <v>939.92918399999985</v>
      </c>
      <c r="AI912" s="127">
        <f t="shared" si="264"/>
        <v>1419.6</v>
      </c>
      <c r="AJ912" s="37">
        <f t="shared" si="252"/>
        <v>8917.5999999999985</v>
      </c>
      <c r="AK912" s="37">
        <f t="shared" si="265"/>
        <v>32785.599999999999</v>
      </c>
      <c r="AL912" s="37">
        <f t="shared" si="253"/>
        <v>7.0104118993135014</v>
      </c>
      <c r="AN912" s="37" t="str">
        <f t="shared" si="266"/>
        <v>Pallet</v>
      </c>
      <c r="AO912" s="194">
        <f t="shared" si="267"/>
        <v>34</v>
      </c>
    </row>
    <row r="913" spans="22:41" x14ac:dyDescent="0.2">
      <c r="V913" s="181">
        <f t="shared" si="254"/>
        <v>437.5</v>
      </c>
      <c r="W913" s="181">
        <f t="shared" si="255"/>
        <v>875</v>
      </c>
      <c r="X913" s="181">
        <f t="shared" si="256"/>
        <v>1</v>
      </c>
      <c r="Y913" s="37">
        <f t="shared" si="257"/>
        <v>1917.1</v>
      </c>
      <c r="Z913" s="181">
        <f t="shared" si="258"/>
        <v>635.5</v>
      </c>
      <c r="AA913" s="127">
        <f t="shared" si="259"/>
        <v>595.21331999999995</v>
      </c>
      <c r="AB913" s="127">
        <f t="shared" si="260"/>
        <v>635.5</v>
      </c>
      <c r="AC913" s="37">
        <f t="shared" si="249"/>
        <v>4213</v>
      </c>
      <c r="AD913" s="37">
        <f t="shared" si="261"/>
        <v>6130.1</v>
      </c>
      <c r="AE913" s="181">
        <f t="shared" si="250"/>
        <v>34</v>
      </c>
      <c r="AF913" s="37">
        <f t="shared" si="262"/>
        <v>23868</v>
      </c>
      <c r="AG913" s="181">
        <f t="shared" si="251"/>
        <v>1420.1</v>
      </c>
      <c r="AH913" s="111">
        <f t="shared" si="263"/>
        <v>939.92918399999985</v>
      </c>
      <c r="AI913" s="127">
        <f t="shared" si="264"/>
        <v>1420.1</v>
      </c>
      <c r="AJ913" s="37">
        <f t="shared" si="252"/>
        <v>8920.5999999999985</v>
      </c>
      <c r="AK913" s="37">
        <f t="shared" si="265"/>
        <v>32788.6</v>
      </c>
      <c r="AL913" s="37">
        <f t="shared" si="253"/>
        <v>7.0058285714285722</v>
      </c>
      <c r="AN913" s="37" t="str">
        <f t="shared" si="266"/>
        <v>Pallet</v>
      </c>
      <c r="AO913" s="194">
        <f t="shared" si="267"/>
        <v>34</v>
      </c>
    </row>
    <row r="914" spans="22:41" x14ac:dyDescent="0.2">
      <c r="V914" s="181">
        <f t="shared" si="254"/>
        <v>438</v>
      </c>
      <c r="W914" s="181">
        <f t="shared" si="255"/>
        <v>876</v>
      </c>
      <c r="X914" s="181">
        <f t="shared" si="256"/>
        <v>1</v>
      </c>
      <c r="Y914" s="37">
        <f t="shared" si="257"/>
        <v>1917.1</v>
      </c>
      <c r="Z914" s="181">
        <f t="shared" si="258"/>
        <v>636</v>
      </c>
      <c r="AA914" s="127">
        <f t="shared" si="259"/>
        <v>595.21331999999995</v>
      </c>
      <c r="AB914" s="127">
        <f t="shared" si="260"/>
        <v>636</v>
      </c>
      <c r="AC914" s="37">
        <f t="shared" si="249"/>
        <v>4216</v>
      </c>
      <c r="AD914" s="37">
        <f t="shared" si="261"/>
        <v>6133.1</v>
      </c>
      <c r="AE914" s="181">
        <f t="shared" si="250"/>
        <v>34</v>
      </c>
      <c r="AF914" s="37">
        <f t="shared" si="262"/>
        <v>23868</v>
      </c>
      <c r="AG914" s="181">
        <f t="shared" si="251"/>
        <v>1420.6</v>
      </c>
      <c r="AH914" s="111">
        <f t="shared" si="263"/>
        <v>939.92918399999985</v>
      </c>
      <c r="AI914" s="127">
        <f t="shared" si="264"/>
        <v>1420.6</v>
      </c>
      <c r="AJ914" s="37">
        <f t="shared" si="252"/>
        <v>8923.5999999999985</v>
      </c>
      <c r="AK914" s="37">
        <f t="shared" si="265"/>
        <v>32791.599999999999</v>
      </c>
      <c r="AL914" s="37">
        <f t="shared" si="253"/>
        <v>7.0012557077625575</v>
      </c>
      <c r="AN914" s="37" t="str">
        <f t="shared" si="266"/>
        <v>Pallet</v>
      </c>
      <c r="AO914" s="194">
        <f t="shared" si="267"/>
        <v>34</v>
      </c>
    </row>
    <row r="915" spans="22:41" x14ac:dyDescent="0.2">
      <c r="V915" s="181">
        <f t="shared" si="254"/>
        <v>438.5</v>
      </c>
      <c r="W915" s="181">
        <f t="shared" si="255"/>
        <v>877</v>
      </c>
      <c r="X915" s="181">
        <f t="shared" si="256"/>
        <v>1</v>
      </c>
      <c r="Y915" s="37">
        <f t="shared" si="257"/>
        <v>1917.1</v>
      </c>
      <c r="Z915" s="181">
        <f t="shared" si="258"/>
        <v>636.5</v>
      </c>
      <c r="AA915" s="127">
        <f t="shared" si="259"/>
        <v>595.21331999999995</v>
      </c>
      <c r="AB915" s="127">
        <f t="shared" si="260"/>
        <v>636.5</v>
      </c>
      <c r="AC915" s="37">
        <f t="shared" si="249"/>
        <v>4219</v>
      </c>
      <c r="AD915" s="37">
        <f t="shared" si="261"/>
        <v>6136.1</v>
      </c>
      <c r="AE915" s="181">
        <f t="shared" si="250"/>
        <v>34</v>
      </c>
      <c r="AF915" s="37">
        <f t="shared" si="262"/>
        <v>23868</v>
      </c>
      <c r="AG915" s="181">
        <f t="shared" si="251"/>
        <v>1421.1</v>
      </c>
      <c r="AH915" s="111">
        <f t="shared" si="263"/>
        <v>939.92918399999985</v>
      </c>
      <c r="AI915" s="127">
        <f t="shared" si="264"/>
        <v>1421.1</v>
      </c>
      <c r="AJ915" s="37">
        <f t="shared" si="252"/>
        <v>8926.5999999999985</v>
      </c>
      <c r="AK915" s="37">
        <f t="shared" si="265"/>
        <v>32794.6</v>
      </c>
      <c r="AL915" s="37">
        <f t="shared" si="253"/>
        <v>6.9966932725199547</v>
      </c>
      <c r="AN915" s="37" t="str">
        <f t="shared" si="266"/>
        <v>Pallet</v>
      </c>
      <c r="AO915" s="194">
        <f t="shared" si="267"/>
        <v>34</v>
      </c>
    </row>
    <row r="916" spans="22:41" x14ac:dyDescent="0.2">
      <c r="V916" s="181">
        <f t="shared" si="254"/>
        <v>439</v>
      </c>
      <c r="W916" s="181">
        <f t="shared" si="255"/>
        <v>878</v>
      </c>
      <c r="X916" s="181">
        <f t="shared" si="256"/>
        <v>1</v>
      </c>
      <c r="Y916" s="37">
        <f t="shared" si="257"/>
        <v>1917.1</v>
      </c>
      <c r="Z916" s="181">
        <f t="shared" si="258"/>
        <v>637</v>
      </c>
      <c r="AA916" s="127">
        <f t="shared" si="259"/>
        <v>595.21331999999995</v>
      </c>
      <c r="AB916" s="127">
        <f t="shared" si="260"/>
        <v>637</v>
      </c>
      <c r="AC916" s="37">
        <f t="shared" si="249"/>
        <v>4222</v>
      </c>
      <c r="AD916" s="37">
        <f t="shared" si="261"/>
        <v>6139.1</v>
      </c>
      <c r="AE916" s="181">
        <f t="shared" si="250"/>
        <v>35</v>
      </c>
      <c r="AF916" s="37">
        <f t="shared" si="262"/>
        <v>24570</v>
      </c>
      <c r="AG916" s="181">
        <f t="shared" si="251"/>
        <v>1450.5</v>
      </c>
      <c r="AH916" s="111">
        <f t="shared" si="263"/>
        <v>967.57415999999989</v>
      </c>
      <c r="AI916" s="127">
        <f t="shared" si="264"/>
        <v>1450.5</v>
      </c>
      <c r="AJ916" s="37">
        <f t="shared" si="252"/>
        <v>9103</v>
      </c>
      <c r="AK916" s="37">
        <f t="shared" si="265"/>
        <v>33673</v>
      </c>
      <c r="AL916" s="37">
        <f t="shared" si="253"/>
        <v>6.9921412300683379</v>
      </c>
      <c r="AN916" s="37" t="str">
        <f t="shared" si="266"/>
        <v>Pallet</v>
      </c>
      <c r="AO916" s="194">
        <f t="shared" si="267"/>
        <v>34</v>
      </c>
    </row>
    <row r="917" spans="22:41" x14ac:dyDescent="0.2">
      <c r="V917" s="181">
        <f t="shared" si="254"/>
        <v>439.5</v>
      </c>
      <c r="W917" s="181">
        <f t="shared" si="255"/>
        <v>879</v>
      </c>
      <c r="X917" s="181">
        <f t="shared" si="256"/>
        <v>1</v>
      </c>
      <c r="Y917" s="37">
        <f t="shared" si="257"/>
        <v>1917.1</v>
      </c>
      <c r="Z917" s="181">
        <f t="shared" si="258"/>
        <v>637.5</v>
      </c>
      <c r="AA917" s="127">
        <f t="shared" si="259"/>
        <v>595.21331999999995</v>
      </c>
      <c r="AB917" s="127">
        <f t="shared" si="260"/>
        <v>637.5</v>
      </c>
      <c r="AC917" s="37">
        <f t="shared" si="249"/>
        <v>4225</v>
      </c>
      <c r="AD917" s="37">
        <f t="shared" si="261"/>
        <v>6142.1</v>
      </c>
      <c r="AE917" s="181">
        <f t="shared" si="250"/>
        <v>35</v>
      </c>
      <c r="AF917" s="37">
        <f t="shared" si="262"/>
        <v>24570</v>
      </c>
      <c r="AG917" s="181">
        <f t="shared" si="251"/>
        <v>1451</v>
      </c>
      <c r="AH917" s="111">
        <f t="shared" si="263"/>
        <v>967.57415999999989</v>
      </c>
      <c r="AI917" s="127">
        <f t="shared" si="264"/>
        <v>1451</v>
      </c>
      <c r="AJ917" s="37">
        <f t="shared" si="252"/>
        <v>9106</v>
      </c>
      <c r="AK917" s="37">
        <f t="shared" si="265"/>
        <v>33676</v>
      </c>
      <c r="AL917" s="37">
        <f t="shared" si="253"/>
        <v>6.9875995449374297</v>
      </c>
      <c r="AN917" s="37" t="str">
        <f t="shared" si="266"/>
        <v>Pallet</v>
      </c>
      <c r="AO917" s="194">
        <f t="shared" si="267"/>
        <v>35</v>
      </c>
    </row>
    <row r="918" spans="22:41" x14ac:dyDescent="0.2">
      <c r="V918" s="181">
        <f t="shared" si="254"/>
        <v>440</v>
      </c>
      <c r="W918" s="181">
        <f t="shared" si="255"/>
        <v>880</v>
      </c>
      <c r="X918" s="181">
        <f t="shared" si="256"/>
        <v>1</v>
      </c>
      <c r="Y918" s="37">
        <f t="shared" si="257"/>
        <v>1917.1</v>
      </c>
      <c r="Z918" s="181">
        <f t="shared" si="258"/>
        <v>638</v>
      </c>
      <c r="AA918" s="127">
        <f t="shared" si="259"/>
        <v>595.21331999999995</v>
      </c>
      <c r="AB918" s="127">
        <f t="shared" si="260"/>
        <v>638</v>
      </c>
      <c r="AC918" s="37">
        <f t="shared" si="249"/>
        <v>4228</v>
      </c>
      <c r="AD918" s="37">
        <f t="shared" si="261"/>
        <v>6145.1</v>
      </c>
      <c r="AE918" s="181">
        <f t="shared" si="250"/>
        <v>35</v>
      </c>
      <c r="AF918" s="37">
        <f t="shared" si="262"/>
        <v>24570</v>
      </c>
      <c r="AG918" s="181">
        <f t="shared" si="251"/>
        <v>1451.5</v>
      </c>
      <c r="AH918" s="111">
        <f t="shared" si="263"/>
        <v>967.57415999999989</v>
      </c>
      <c r="AI918" s="127">
        <f t="shared" si="264"/>
        <v>1451.5</v>
      </c>
      <c r="AJ918" s="37">
        <f t="shared" si="252"/>
        <v>9109</v>
      </c>
      <c r="AK918" s="37">
        <f t="shared" si="265"/>
        <v>33679</v>
      </c>
      <c r="AL918" s="37">
        <f t="shared" si="253"/>
        <v>6.9830681818181821</v>
      </c>
      <c r="AN918" s="37" t="str">
        <f t="shared" si="266"/>
        <v>Pallet</v>
      </c>
      <c r="AO918" s="194">
        <f t="shared" si="267"/>
        <v>35</v>
      </c>
    </row>
    <row r="919" spans="22:41" x14ac:dyDescent="0.2">
      <c r="V919" s="181">
        <f t="shared" si="254"/>
        <v>440.5</v>
      </c>
      <c r="W919" s="181">
        <f t="shared" si="255"/>
        <v>881</v>
      </c>
      <c r="X919" s="181">
        <f t="shared" si="256"/>
        <v>1</v>
      </c>
      <c r="Y919" s="37">
        <f t="shared" si="257"/>
        <v>1917.1</v>
      </c>
      <c r="Z919" s="181">
        <f t="shared" si="258"/>
        <v>638.5</v>
      </c>
      <c r="AA919" s="127">
        <f t="shared" si="259"/>
        <v>595.21331999999995</v>
      </c>
      <c r="AB919" s="127">
        <f t="shared" si="260"/>
        <v>638.5</v>
      </c>
      <c r="AC919" s="37">
        <f t="shared" si="249"/>
        <v>4231</v>
      </c>
      <c r="AD919" s="37">
        <f t="shared" si="261"/>
        <v>6148.1</v>
      </c>
      <c r="AE919" s="181">
        <f t="shared" si="250"/>
        <v>35</v>
      </c>
      <c r="AF919" s="37">
        <f t="shared" si="262"/>
        <v>24570</v>
      </c>
      <c r="AG919" s="181">
        <f t="shared" si="251"/>
        <v>1452</v>
      </c>
      <c r="AH919" s="111">
        <f t="shared" si="263"/>
        <v>967.57415999999989</v>
      </c>
      <c r="AI919" s="127">
        <f t="shared" si="264"/>
        <v>1452</v>
      </c>
      <c r="AJ919" s="37">
        <f t="shared" si="252"/>
        <v>9112</v>
      </c>
      <c r="AK919" s="37">
        <f t="shared" si="265"/>
        <v>33682</v>
      </c>
      <c r="AL919" s="37">
        <f t="shared" si="253"/>
        <v>6.9785471055618622</v>
      </c>
      <c r="AN919" s="37" t="str">
        <f t="shared" si="266"/>
        <v>Pallet</v>
      </c>
      <c r="AO919" s="194">
        <f t="shared" si="267"/>
        <v>35</v>
      </c>
    </row>
    <row r="920" spans="22:41" x14ac:dyDescent="0.2">
      <c r="V920" s="181">
        <f t="shared" si="254"/>
        <v>441</v>
      </c>
      <c r="W920" s="181">
        <f t="shared" si="255"/>
        <v>882</v>
      </c>
      <c r="X920" s="181">
        <f t="shared" si="256"/>
        <v>1</v>
      </c>
      <c r="Y920" s="37">
        <f t="shared" si="257"/>
        <v>1917.1</v>
      </c>
      <c r="Z920" s="181">
        <f t="shared" si="258"/>
        <v>639</v>
      </c>
      <c r="AA920" s="127">
        <f t="shared" si="259"/>
        <v>595.21331999999995</v>
      </c>
      <c r="AB920" s="127">
        <f t="shared" si="260"/>
        <v>639</v>
      </c>
      <c r="AC920" s="37">
        <f t="shared" si="249"/>
        <v>4234</v>
      </c>
      <c r="AD920" s="37">
        <f t="shared" si="261"/>
        <v>6151.1</v>
      </c>
      <c r="AE920" s="181">
        <f t="shared" si="250"/>
        <v>35</v>
      </c>
      <c r="AF920" s="37">
        <f t="shared" si="262"/>
        <v>24570</v>
      </c>
      <c r="AG920" s="181">
        <f t="shared" si="251"/>
        <v>1452.5</v>
      </c>
      <c r="AH920" s="111">
        <f t="shared" si="263"/>
        <v>967.57415999999989</v>
      </c>
      <c r="AI920" s="127">
        <f t="shared" si="264"/>
        <v>1452.5</v>
      </c>
      <c r="AJ920" s="37">
        <f t="shared" si="252"/>
        <v>9115</v>
      </c>
      <c r="AK920" s="37">
        <f t="shared" si="265"/>
        <v>33685</v>
      </c>
      <c r="AL920" s="37">
        <f t="shared" si="253"/>
        <v>6.9740362811791385</v>
      </c>
      <c r="AN920" s="37" t="str">
        <f t="shared" si="266"/>
        <v>Pallet</v>
      </c>
      <c r="AO920" s="194">
        <f t="shared" si="267"/>
        <v>35</v>
      </c>
    </row>
    <row r="921" spans="22:41" x14ac:dyDescent="0.2">
      <c r="V921" s="181">
        <f t="shared" si="254"/>
        <v>441.5</v>
      </c>
      <c r="W921" s="181">
        <f t="shared" si="255"/>
        <v>883</v>
      </c>
      <c r="X921" s="181">
        <f t="shared" si="256"/>
        <v>1</v>
      </c>
      <c r="Y921" s="37">
        <f t="shared" si="257"/>
        <v>1917.1</v>
      </c>
      <c r="Z921" s="181">
        <f t="shared" si="258"/>
        <v>639.5</v>
      </c>
      <c r="AA921" s="127">
        <f t="shared" si="259"/>
        <v>595.21331999999995</v>
      </c>
      <c r="AB921" s="127">
        <f t="shared" si="260"/>
        <v>639.5</v>
      </c>
      <c r="AC921" s="37">
        <f t="shared" si="249"/>
        <v>4237</v>
      </c>
      <c r="AD921" s="37">
        <f t="shared" si="261"/>
        <v>6154.1</v>
      </c>
      <c r="AE921" s="181">
        <f t="shared" si="250"/>
        <v>35</v>
      </c>
      <c r="AF921" s="37">
        <f t="shared" si="262"/>
        <v>24570</v>
      </c>
      <c r="AG921" s="181">
        <f t="shared" si="251"/>
        <v>1453</v>
      </c>
      <c r="AH921" s="111">
        <f t="shared" si="263"/>
        <v>967.57415999999989</v>
      </c>
      <c r="AI921" s="127">
        <f t="shared" si="264"/>
        <v>1453</v>
      </c>
      <c r="AJ921" s="37">
        <f t="shared" si="252"/>
        <v>9118</v>
      </c>
      <c r="AK921" s="37">
        <f t="shared" si="265"/>
        <v>33688</v>
      </c>
      <c r="AL921" s="37">
        <f t="shared" si="253"/>
        <v>6.9695356738391849</v>
      </c>
      <c r="AN921" s="37" t="str">
        <f t="shared" si="266"/>
        <v>Pallet</v>
      </c>
      <c r="AO921" s="194">
        <f t="shared" si="267"/>
        <v>35</v>
      </c>
    </row>
    <row r="922" spans="22:41" x14ac:dyDescent="0.2">
      <c r="V922" s="181">
        <f t="shared" si="254"/>
        <v>442</v>
      </c>
      <c r="W922" s="181">
        <f t="shared" si="255"/>
        <v>884</v>
      </c>
      <c r="X922" s="181">
        <f t="shared" si="256"/>
        <v>1</v>
      </c>
      <c r="Y922" s="37">
        <f t="shared" si="257"/>
        <v>1917.1</v>
      </c>
      <c r="Z922" s="181">
        <f t="shared" si="258"/>
        <v>640</v>
      </c>
      <c r="AA922" s="127">
        <f t="shared" si="259"/>
        <v>595.21331999999995</v>
      </c>
      <c r="AB922" s="127">
        <f t="shared" si="260"/>
        <v>640</v>
      </c>
      <c r="AC922" s="37">
        <f t="shared" si="249"/>
        <v>4240</v>
      </c>
      <c r="AD922" s="37">
        <f t="shared" si="261"/>
        <v>6157.1</v>
      </c>
      <c r="AE922" s="181">
        <f t="shared" si="250"/>
        <v>35</v>
      </c>
      <c r="AF922" s="37">
        <f t="shared" si="262"/>
        <v>24570</v>
      </c>
      <c r="AG922" s="181">
        <f t="shared" si="251"/>
        <v>1453.5</v>
      </c>
      <c r="AH922" s="111">
        <f t="shared" si="263"/>
        <v>967.57415999999989</v>
      </c>
      <c r="AI922" s="127">
        <f t="shared" si="264"/>
        <v>1453.5</v>
      </c>
      <c r="AJ922" s="37">
        <f t="shared" si="252"/>
        <v>9121</v>
      </c>
      <c r="AK922" s="37">
        <f t="shared" si="265"/>
        <v>33691</v>
      </c>
      <c r="AL922" s="37">
        <f t="shared" si="253"/>
        <v>6.9650452488687788</v>
      </c>
      <c r="AN922" s="37" t="str">
        <f t="shared" si="266"/>
        <v>Pallet</v>
      </c>
      <c r="AO922" s="194">
        <f t="shared" si="267"/>
        <v>35</v>
      </c>
    </row>
    <row r="923" spans="22:41" x14ac:dyDescent="0.2">
      <c r="V923" s="181">
        <f t="shared" si="254"/>
        <v>442.5</v>
      </c>
      <c r="W923" s="181">
        <f t="shared" si="255"/>
        <v>885</v>
      </c>
      <c r="X923" s="181">
        <f t="shared" si="256"/>
        <v>1</v>
      </c>
      <c r="Y923" s="37">
        <f t="shared" si="257"/>
        <v>1917.1</v>
      </c>
      <c r="Z923" s="181">
        <f t="shared" si="258"/>
        <v>640.5</v>
      </c>
      <c r="AA923" s="127">
        <f t="shared" si="259"/>
        <v>595.21331999999995</v>
      </c>
      <c r="AB923" s="127">
        <f t="shared" si="260"/>
        <v>640.5</v>
      </c>
      <c r="AC923" s="37">
        <f t="shared" si="249"/>
        <v>4243</v>
      </c>
      <c r="AD923" s="37">
        <f t="shared" si="261"/>
        <v>6160.1</v>
      </c>
      <c r="AE923" s="181">
        <f t="shared" si="250"/>
        <v>35</v>
      </c>
      <c r="AF923" s="37">
        <f t="shared" si="262"/>
        <v>24570</v>
      </c>
      <c r="AG923" s="181">
        <f t="shared" si="251"/>
        <v>1454</v>
      </c>
      <c r="AH923" s="111">
        <f t="shared" si="263"/>
        <v>967.57415999999989</v>
      </c>
      <c r="AI923" s="127">
        <f t="shared" si="264"/>
        <v>1454</v>
      </c>
      <c r="AJ923" s="37">
        <f t="shared" si="252"/>
        <v>9124</v>
      </c>
      <c r="AK923" s="37">
        <f t="shared" si="265"/>
        <v>33694</v>
      </c>
      <c r="AL923" s="37">
        <f t="shared" si="253"/>
        <v>6.9605649717514124</v>
      </c>
      <c r="AN923" s="37" t="str">
        <f t="shared" si="266"/>
        <v>Pallet</v>
      </c>
      <c r="AO923" s="194">
        <f t="shared" si="267"/>
        <v>35</v>
      </c>
    </row>
    <row r="924" spans="22:41" x14ac:dyDescent="0.2">
      <c r="V924" s="181">
        <f t="shared" si="254"/>
        <v>443</v>
      </c>
      <c r="W924" s="181">
        <f t="shared" si="255"/>
        <v>886</v>
      </c>
      <c r="X924" s="181">
        <f t="shared" si="256"/>
        <v>1</v>
      </c>
      <c r="Y924" s="37">
        <f t="shared" si="257"/>
        <v>1917.1</v>
      </c>
      <c r="Z924" s="181">
        <f t="shared" si="258"/>
        <v>641</v>
      </c>
      <c r="AA924" s="127">
        <f t="shared" si="259"/>
        <v>595.21331999999995</v>
      </c>
      <c r="AB924" s="127">
        <f t="shared" si="260"/>
        <v>641</v>
      </c>
      <c r="AC924" s="37">
        <f t="shared" si="249"/>
        <v>4246</v>
      </c>
      <c r="AD924" s="37">
        <f t="shared" si="261"/>
        <v>6163.1</v>
      </c>
      <c r="AE924" s="181">
        <f t="shared" si="250"/>
        <v>35</v>
      </c>
      <c r="AF924" s="37">
        <f t="shared" si="262"/>
        <v>24570</v>
      </c>
      <c r="AG924" s="181">
        <f t="shared" si="251"/>
        <v>1454.5</v>
      </c>
      <c r="AH924" s="111">
        <f t="shared" si="263"/>
        <v>967.57415999999989</v>
      </c>
      <c r="AI924" s="127">
        <f t="shared" si="264"/>
        <v>1454.5</v>
      </c>
      <c r="AJ924" s="37">
        <f t="shared" si="252"/>
        <v>9127</v>
      </c>
      <c r="AK924" s="37">
        <f t="shared" si="265"/>
        <v>33697</v>
      </c>
      <c r="AL924" s="37">
        <f t="shared" si="253"/>
        <v>6.9560948081264113</v>
      </c>
      <c r="AN924" s="37" t="str">
        <f t="shared" si="266"/>
        <v>Pallet</v>
      </c>
      <c r="AO924" s="194">
        <f t="shared" si="267"/>
        <v>35</v>
      </c>
    </row>
    <row r="925" spans="22:41" x14ac:dyDescent="0.2">
      <c r="V925" s="181">
        <f t="shared" si="254"/>
        <v>443.5</v>
      </c>
      <c r="W925" s="181">
        <f t="shared" si="255"/>
        <v>887</v>
      </c>
      <c r="X925" s="181">
        <f t="shared" si="256"/>
        <v>1</v>
      </c>
      <c r="Y925" s="37">
        <f t="shared" si="257"/>
        <v>1917.1</v>
      </c>
      <c r="Z925" s="181">
        <f t="shared" si="258"/>
        <v>641.5</v>
      </c>
      <c r="AA925" s="127">
        <f t="shared" si="259"/>
        <v>595.21331999999995</v>
      </c>
      <c r="AB925" s="127">
        <f t="shared" si="260"/>
        <v>641.5</v>
      </c>
      <c r="AC925" s="37">
        <f t="shared" si="249"/>
        <v>4249</v>
      </c>
      <c r="AD925" s="37">
        <f t="shared" si="261"/>
        <v>6166.1</v>
      </c>
      <c r="AE925" s="181">
        <f t="shared" si="250"/>
        <v>35</v>
      </c>
      <c r="AF925" s="37">
        <f t="shared" si="262"/>
        <v>24570</v>
      </c>
      <c r="AG925" s="181">
        <f t="shared" si="251"/>
        <v>1455</v>
      </c>
      <c r="AH925" s="111">
        <f t="shared" si="263"/>
        <v>967.57415999999989</v>
      </c>
      <c r="AI925" s="127">
        <f t="shared" si="264"/>
        <v>1455</v>
      </c>
      <c r="AJ925" s="37">
        <f t="shared" si="252"/>
        <v>9130</v>
      </c>
      <c r="AK925" s="37">
        <f t="shared" si="265"/>
        <v>33700</v>
      </c>
      <c r="AL925" s="37">
        <f t="shared" si="253"/>
        <v>6.9516347237880503</v>
      </c>
      <c r="AN925" s="37" t="str">
        <f t="shared" si="266"/>
        <v>Pallet</v>
      </c>
      <c r="AO925" s="194">
        <f t="shared" si="267"/>
        <v>35</v>
      </c>
    </row>
    <row r="926" spans="22:41" x14ac:dyDescent="0.2">
      <c r="V926" s="181">
        <f t="shared" si="254"/>
        <v>444</v>
      </c>
      <c r="W926" s="181">
        <f t="shared" si="255"/>
        <v>888</v>
      </c>
      <c r="X926" s="181">
        <f t="shared" si="256"/>
        <v>1</v>
      </c>
      <c r="Y926" s="37">
        <f t="shared" si="257"/>
        <v>1917.1</v>
      </c>
      <c r="Z926" s="181">
        <f t="shared" si="258"/>
        <v>642</v>
      </c>
      <c r="AA926" s="127">
        <f t="shared" si="259"/>
        <v>595.21331999999995</v>
      </c>
      <c r="AB926" s="127">
        <f t="shared" si="260"/>
        <v>642</v>
      </c>
      <c r="AC926" s="37">
        <f t="shared" si="249"/>
        <v>4252</v>
      </c>
      <c r="AD926" s="37">
        <f t="shared" si="261"/>
        <v>6169.1</v>
      </c>
      <c r="AE926" s="181">
        <f t="shared" si="250"/>
        <v>35</v>
      </c>
      <c r="AF926" s="37">
        <f t="shared" si="262"/>
        <v>24570</v>
      </c>
      <c r="AG926" s="181">
        <f t="shared" si="251"/>
        <v>1455.5</v>
      </c>
      <c r="AH926" s="111">
        <f t="shared" si="263"/>
        <v>967.57415999999989</v>
      </c>
      <c r="AI926" s="127">
        <f t="shared" si="264"/>
        <v>1455.5</v>
      </c>
      <c r="AJ926" s="37">
        <f t="shared" si="252"/>
        <v>9133</v>
      </c>
      <c r="AK926" s="37">
        <f t="shared" si="265"/>
        <v>33703</v>
      </c>
      <c r="AL926" s="37">
        <f t="shared" si="253"/>
        <v>6.947184684684685</v>
      </c>
      <c r="AN926" s="37" t="str">
        <f t="shared" si="266"/>
        <v>Pallet</v>
      </c>
      <c r="AO926" s="194">
        <f t="shared" si="267"/>
        <v>35</v>
      </c>
    </row>
    <row r="927" spans="22:41" x14ac:dyDescent="0.2">
      <c r="V927" s="181">
        <f t="shared" si="254"/>
        <v>444.5</v>
      </c>
      <c r="W927" s="181">
        <f t="shared" si="255"/>
        <v>889</v>
      </c>
      <c r="X927" s="181">
        <f t="shared" si="256"/>
        <v>1</v>
      </c>
      <c r="Y927" s="37">
        <f t="shared" si="257"/>
        <v>1917.1</v>
      </c>
      <c r="Z927" s="181">
        <f t="shared" si="258"/>
        <v>642.5</v>
      </c>
      <c r="AA927" s="127">
        <f t="shared" si="259"/>
        <v>595.21331999999995</v>
      </c>
      <c r="AB927" s="127">
        <f t="shared" si="260"/>
        <v>642.5</v>
      </c>
      <c r="AC927" s="37">
        <f t="shared" si="249"/>
        <v>4255</v>
      </c>
      <c r="AD927" s="37">
        <f t="shared" si="261"/>
        <v>6172.1</v>
      </c>
      <c r="AE927" s="181">
        <f t="shared" si="250"/>
        <v>35</v>
      </c>
      <c r="AF927" s="37">
        <f t="shared" si="262"/>
        <v>24570</v>
      </c>
      <c r="AG927" s="181">
        <f t="shared" si="251"/>
        <v>1456</v>
      </c>
      <c r="AH927" s="111">
        <f t="shared" si="263"/>
        <v>967.57415999999989</v>
      </c>
      <c r="AI927" s="127">
        <f t="shared" si="264"/>
        <v>1456</v>
      </c>
      <c r="AJ927" s="37">
        <f t="shared" si="252"/>
        <v>9136</v>
      </c>
      <c r="AK927" s="37">
        <f t="shared" si="265"/>
        <v>33706</v>
      </c>
      <c r="AL927" s="37">
        <f t="shared" si="253"/>
        <v>6.9427446569178857</v>
      </c>
      <c r="AN927" s="37" t="str">
        <f t="shared" si="266"/>
        <v>Pallet</v>
      </c>
      <c r="AO927" s="194">
        <f t="shared" si="267"/>
        <v>35</v>
      </c>
    </row>
    <row r="928" spans="22:41" x14ac:dyDescent="0.2">
      <c r="V928" s="181">
        <f t="shared" si="254"/>
        <v>445</v>
      </c>
      <c r="W928" s="181">
        <f t="shared" si="255"/>
        <v>890</v>
      </c>
      <c r="X928" s="181">
        <f t="shared" si="256"/>
        <v>1</v>
      </c>
      <c r="Y928" s="37">
        <f t="shared" si="257"/>
        <v>1917.1</v>
      </c>
      <c r="Z928" s="181">
        <f t="shared" si="258"/>
        <v>643</v>
      </c>
      <c r="AA928" s="127">
        <f t="shared" si="259"/>
        <v>595.21331999999995</v>
      </c>
      <c r="AB928" s="127">
        <f t="shared" si="260"/>
        <v>643</v>
      </c>
      <c r="AC928" s="37">
        <f t="shared" si="249"/>
        <v>4258</v>
      </c>
      <c r="AD928" s="37">
        <f t="shared" si="261"/>
        <v>6175.1</v>
      </c>
      <c r="AE928" s="181">
        <f t="shared" si="250"/>
        <v>35</v>
      </c>
      <c r="AF928" s="37">
        <f t="shared" si="262"/>
        <v>24570</v>
      </c>
      <c r="AG928" s="181">
        <f t="shared" si="251"/>
        <v>1456.5</v>
      </c>
      <c r="AH928" s="111">
        <f t="shared" si="263"/>
        <v>967.57415999999989</v>
      </c>
      <c r="AI928" s="127">
        <f t="shared" si="264"/>
        <v>1456.5</v>
      </c>
      <c r="AJ928" s="37">
        <f t="shared" si="252"/>
        <v>9139</v>
      </c>
      <c r="AK928" s="37">
        <f t="shared" si="265"/>
        <v>33709</v>
      </c>
      <c r="AL928" s="37">
        <f t="shared" si="253"/>
        <v>6.9383146067415735</v>
      </c>
      <c r="AN928" s="37" t="str">
        <f t="shared" si="266"/>
        <v>Pallet</v>
      </c>
      <c r="AO928" s="194">
        <f t="shared" si="267"/>
        <v>35</v>
      </c>
    </row>
    <row r="929" spans="22:41" x14ac:dyDescent="0.2">
      <c r="V929" s="181">
        <f t="shared" si="254"/>
        <v>445.5</v>
      </c>
      <c r="W929" s="181">
        <f t="shared" si="255"/>
        <v>891</v>
      </c>
      <c r="X929" s="181">
        <f t="shared" si="256"/>
        <v>1</v>
      </c>
      <c r="Y929" s="37">
        <f t="shared" si="257"/>
        <v>1917.1</v>
      </c>
      <c r="Z929" s="181">
        <f t="shared" si="258"/>
        <v>643.5</v>
      </c>
      <c r="AA929" s="127">
        <f t="shared" si="259"/>
        <v>595.21331999999995</v>
      </c>
      <c r="AB929" s="127">
        <f t="shared" si="260"/>
        <v>643.5</v>
      </c>
      <c r="AC929" s="37">
        <f t="shared" si="249"/>
        <v>4261</v>
      </c>
      <c r="AD929" s="37">
        <f t="shared" si="261"/>
        <v>6178.1</v>
      </c>
      <c r="AE929" s="181">
        <f t="shared" si="250"/>
        <v>35</v>
      </c>
      <c r="AF929" s="37">
        <f t="shared" si="262"/>
        <v>24570</v>
      </c>
      <c r="AG929" s="181">
        <f t="shared" si="251"/>
        <v>1457</v>
      </c>
      <c r="AH929" s="111">
        <f t="shared" si="263"/>
        <v>967.57415999999989</v>
      </c>
      <c r="AI929" s="127">
        <f t="shared" si="264"/>
        <v>1457</v>
      </c>
      <c r="AJ929" s="37">
        <f t="shared" si="252"/>
        <v>9142</v>
      </c>
      <c r="AK929" s="37">
        <f t="shared" si="265"/>
        <v>33712</v>
      </c>
      <c r="AL929" s="37">
        <f t="shared" si="253"/>
        <v>6.9338945005611681</v>
      </c>
      <c r="AN929" s="37" t="str">
        <f t="shared" si="266"/>
        <v>Pallet</v>
      </c>
      <c r="AO929" s="194">
        <f t="shared" si="267"/>
        <v>35</v>
      </c>
    </row>
    <row r="930" spans="22:41" x14ac:dyDescent="0.2">
      <c r="V930" s="181">
        <f t="shared" si="254"/>
        <v>446</v>
      </c>
      <c r="W930" s="181">
        <f t="shared" si="255"/>
        <v>892</v>
      </c>
      <c r="X930" s="181">
        <f t="shared" si="256"/>
        <v>1</v>
      </c>
      <c r="Y930" s="37">
        <f t="shared" si="257"/>
        <v>1917.1</v>
      </c>
      <c r="Z930" s="181">
        <f t="shared" si="258"/>
        <v>644</v>
      </c>
      <c r="AA930" s="127">
        <f t="shared" si="259"/>
        <v>595.21331999999995</v>
      </c>
      <c r="AB930" s="127">
        <f t="shared" si="260"/>
        <v>644</v>
      </c>
      <c r="AC930" s="37">
        <f t="shared" si="249"/>
        <v>4264</v>
      </c>
      <c r="AD930" s="37">
        <f t="shared" si="261"/>
        <v>6181.1</v>
      </c>
      <c r="AE930" s="181">
        <f t="shared" si="250"/>
        <v>35</v>
      </c>
      <c r="AF930" s="37">
        <f t="shared" si="262"/>
        <v>24570</v>
      </c>
      <c r="AG930" s="181">
        <f t="shared" si="251"/>
        <v>1457.5</v>
      </c>
      <c r="AH930" s="111">
        <f t="shared" si="263"/>
        <v>967.57415999999989</v>
      </c>
      <c r="AI930" s="127">
        <f t="shared" si="264"/>
        <v>1457.5</v>
      </c>
      <c r="AJ930" s="37">
        <f t="shared" si="252"/>
        <v>9145</v>
      </c>
      <c r="AK930" s="37">
        <f t="shared" si="265"/>
        <v>33715</v>
      </c>
      <c r="AL930" s="37">
        <f t="shared" si="253"/>
        <v>6.9294843049327355</v>
      </c>
      <c r="AN930" s="37" t="str">
        <f t="shared" si="266"/>
        <v>Pallet</v>
      </c>
      <c r="AO930" s="194">
        <f t="shared" si="267"/>
        <v>35</v>
      </c>
    </row>
    <row r="931" spans="22:41" x14ac:dyDescent="0.2">
      <c r="V931" s="181">
        <f t="shared" si="254"/>
        <v>446.5</v>
      </c>
      <c r="W931" s="181">
        <f t="shared" si="255"/>
        <v>893</v>
      </c>
      <c r="X931" s="181">
        <f t="shared" si="256"/>
        <v>1</v>
      </c>
      <c r="Y931" s="37">
        <f t="shared" si="257"/>
        <v>1917.1</v>
      </c>
      <c r="Z931" s="181">
        <f t="shared" si="258"/>
        <v>644.5</v>
      </c>
      <c r="AA931" s="127">
        <f t="shared" si="259"/>
        <v>595.21331999999995</v>
      </c>
      <c r="AB931" s="127">
        <f t="shared" si="260"/>
        <v>644.5</v>
      </c>
      <c r="AC931" s="37">
        <f t="shared" si="249"/>
        <v>4267</v>
      </c>
      <c r="AD931" s="37">
        <f t="shared" si="261"/>
        <v>6184.1</v>
      </c>
      <c r="AE931" s="181">
        <f t="shared" si="250"/>
        <v>35</v>
      </c>
      <c r="AF931" s="37">
        <f t="shared" si="262"/>
        <v>24570</v>
      </c>
      <c r="AG931" s="181">
        <f t="shared" si="251"/>
        <v>1458</v>
      </c>
      <c r="AH931" s="111">
        <f t="shared" si="263"/>
        <v>967.57415999999989</v>
      </c>
      <c r="AI931" s="127">
        <f t="shared" si="264"/>
        <v>1458</v>
      </c>
      <c r="AJ931" s="37">
        <f t="shared" si="252"/>
        <v>9148</v>
      </c>
      <c r="AK931" s="37">
        <f t="shared" si="265"/>
        <v>33718</v>
      </c>
      <c r="AL931" s="37">
        <f t="shared" si="253"/>
        <v>6.9250839865621501</v>
      </c>
      <c r="AN931" s="37" t="str">
        <f t="shared" si="266"/>
        <v>Pallet</v>
      </c>
      <c r="AO931" s="194">
        <f t="shared" si="267"/>
        <v>35</v>
      </c>
    </row>
    <row r="932" spans="22:41" x14ac:dyDescent="0.2">
      <c r="V932" s="181">
        <f t="shared" si="254"/>
        <v>447</v>
      </c>
      <c r="W932" s="181">
        <f t="shared" si="255"/>
        <v>894</v>
      </c>
      <c r="X932" s="181">
        <f t="shared" si="256"/>
        <v>1</v>
      </c>
      <c r="Y932" s="37">
        <f t="shared" si="257"/>
        <v>1917.1</v>
      </c>
      <c r="Z932" s="181">
        <f t="shared" si="258"/>
        <v>645</v>
      </c>
      <c r="AA932" s="127">
        <f t="shared" si="259"/>
        <v>595.21331999999995</v>
      </c>
      <c r="AB932" s="127">
        <f t="shared" si="260"/>
        <v>645</v>
      </c>
      <c r="AC932" s="37">
        <f t="shared" si="249"/>
        <v>4270</v>
      </c>
      <c r="AD932" s="37">
        <f t="shared" si="261"/>
        <v>6187.1</v>
      </c>
      <c r="AE932" s="181">
        <f t="shared" si="250"/>
        <v>35</v>
      </c>
      <c r="AF932" s="37">
        <f t="shared" si="262"/>
        <v>24570</v>
      </c>
      <c r="AG932" s="181">
        <f t="shared" si="251"/>
        <v>1458.5</v>
      </c>
      <c r="AH932" s="111">
        <f t="shared" si="263"/>
        <v>967.57415999999989</v>
      </c>
      <c r="AI932" s="127">
        <f t="shared" si="264"/>
        <v>1458.5</v>
      </c>
      <c r="AJ932" s="37">
        <f t="shared" si="252"/>
        <v>9151</v>
      </c>
      <c r="AK932" s="37">
        <f t="shared" si="265"/>
        <v>33721</v>
      </c>
      <c r="AL932" s="37">
        <f t="shared" si="253"/>
        <v>6.9206935123042506</v>
      </c>
      <c r="AN932" s="37" t="str">
        <f t="shared" si="266"/>
        <v>Pallet</v>
      </c>
      <c r="AO932" s="194">
        <f t="shared" si="267"/>
        <v>35</v>
      </c>
    </row>
    <row r="933" spans="22:41" x14ac:dyDescent="0.2">
      <c r="V933" s="181">
        <f t="shared" si="254"/>
        <v>447.5</v>
      </c>
      <c r="W933" s="181">
        <f t="shared" si="255"/>
        <v>895</v>
      </c>
      <c r="X933" s="181">
        <f t="shared" si="256"/>
        <v>1</v>
      </c>
      <c r="Y933" s="37">
        <f t="shared" si="257"/>
        <v>1917.1</v>
      </c>
      <c r="Z933" s="181">
        <f t="shared" si="258"/>
        <v>645.5</v>
      </c>
      <c r="AA933" s="127">
        <f t="shared" si="259"/>
        <v>595.21331999999995</v>
      </c>
      <c r="AB933" s="127">
        <f t="shared" si="260"/>
        <v>645.5</v>
      </c>
      <c r="AC933" s="37">
        <f t="shared" si="249"/>
        <v>4273</v>
      </c>
      <c r="AD933" s="37">
        <f t="shared" si="261"/>
        <v>6190.1</v>
      </c>
      <c r="AE933" s="181">
        <f t="shared" si="250"/>
        <v>35</v>
      </c>
      <c r="AF933" s="37">
        <f t="shared" si="262"/>
        <v>24570</v>
      </c>
      <c r="AG933" s="181">
        <f t="shared" si="251"/>
        <v>1459</v>
      </c>
      <c r="AH933" s="111">
        <f t="shared" si="263"/>
        <v>967.57415999999989</v>
      </c>
      <c r="AI933" s="127">
        <f t="shared" si="264"/>
        <v>1459</v>
      </c>
      <c r="AJ933" s="37">
        <f t="shared" si="252"/>
        <v>9154</v>
      </c>
      <c r="AK933" s="37">
        <f t="shared" si="265"/>
        <v>33724</v>
      </c>
      <c r="AL933" s="37">
        <f t="shared" si="253"/>
        <v>6.9163128491620114</v>
      </c>
      <c r="AN933" s="37" t="str">
        <f t="shared" si="266"/>
        <v>Pallet</v>
      </c>
      <c r="AO933" s="194">
        <f t="shared" si="267"/>
        <v>35</v>
      </c>
    </row>
    <row r="934" spans="22:41" x14ac:dyDescent="0.2">
      <c r="V934" s="181">
        <f t="shared" si="254"/>
        <v>448</v>
      </c>
      <c r="W934" s="181">
        <f t="shared" si="255"/>
        <v>896</v>
      </c>
      <c r="X934" s="181">
        <f t="shared" si="256"/>
        <v>1</v>
      </c>
      <c r="Y934" s="37">
        <f t="shared" si="257"/>
        <v>1917.1</v>
      </c>
      <c r="Z934" s="181">
        <f t="shared" si="258"/>
        <v>646</v>
      </c>
      <c r="AA934" s="127">
        <f t="shared" si="259"/>
        <v>595.21331999999995</v>
      </c>
      <c r="AB934" s="127">
        <f t="shared" si="260"/>
        <v>646</v>
      </c>
      <c r="AC934" s="37">
        <f t="shared" si="249"/>
        <v>4276</v>
      </c>
      <c r="AD934" s="37">
        <f t="shared" si="261"/>
        <v>6193.1</v>
      </c>
      <c r="AE934" s="181">
        <f t="shared" si="250"/>
        <v>35</v>
      </c>
      <c r="AF934" s="37">
        <f t="shared" si="262"/>
        <v>24570</v>
      </c>
      <c r="AG934" s="181">
        <f t="shared" si="251"/>
        <v>1459.5</v>
      </c>
      <c r="AH934" s="111">
        <f t="shared" si="263"/>
        <v>967.57415999999989</v>
      </c>
      <c r="AI934" s="127">
        <f t="shared" si="264"/>
        <v>1459.5</v>
      </c>
      <c r="AJ934" s="37">
        <f t="shared" si="252"/>
        <v>9157</v>
      </c>
      <c r="AK934" s="37">
        <f t="shared" si="265"/>
        <v>33727</v>
      </c>
      <c r="AL934" s="37">
        <f t="shared" si="253"/>
        <v>6.9119419642857149</v>
      </c>
      <c r="AN934" s="37" t="str">
        <f t="shared" si="266"/>
        <v>Pallet</v>
      </c>
      <c r="AO934" s="194">
        <f t="shared" si="267"/>
        <v>35</v>
      </c>
    </row>
    <row r="935" spans="22:41" x14ac:dyDescent="0.2">
      <c r="V935" s="181">
        <f t="shared" si="254"/>
        <v>448.5</v>
      </c>
      <c r="W935" s="181">
        <f t="shared" si="255"/>
        <v>897</v>
      </c>
      <c r="X935" s="181">
        <f t="shared" si="256"/>
        <v>1</v>
      </c>
      <c r="Y935" s="37">
        <f t="shared" si="257"/>
        <v>1917.1</v>
      </c>
      <c r="Z935" s="181">
        <f t="shared" si="258"/>
        <v>646.5</v>
      </c>
      <c r="AA935" s="127">
        <f t="shared" si="259"/>
        <v>595.21331999999995</v>
      </c>
      <c r="AB935" s="127">
        <f t="shared" si="260"/>
        <v>646.5</v>
      </c>
      <c r="AC935" s="37">
        <f t="shared" ref="AC935:AC998" si="268">(Shipping_perkg_first100*100)+((AB935-100)*Shipping_perkg_above100)</f>
        <v>4279</v>
      </c>
      <c r="AD935" s="37">
        <f t="shared" si="261"/>
        <v>6196.1</v>
      </c>
      <c r="AE935" s="181">
        <f t="shared" ref="AE935:AE998" si="269">ROUNDUP(W935/$N$19,0)</f>
        <v>35</v>
      </c>
      <c r="AF935" s="37">
        <f t="shared" si="262"/>
        <v>24570</v>
      </c>
      <c r="AG935" s="181">
        <f t="shared" ref="AG935:AG998" si="270">(AE935*$K$19)+V935</f>
        <v>1460</v>
      </c>
      <c r="AH935" s="111">
        <f t="shared" si="263"/>
        <v>967.57415999999989</v>
      </c>
      <c r="AI935" s="127">
        <f t="shared" si="264"/>
        <v>1460</v>
      </c>
      <c r="AJ935" s="37">
        <f t="shared" ref="AJ935:AJ998" si="271">IF(AI935&lt;=100,AI935*Shipping_perkg_first100,(Shipping_perkg_first100*100)+((AI935-100)*Shipping_perkg_above100))</f>
        <v>9160</v>
      </c>
      <c r="AK935" s="37">
        <f t="shared" si="265"/>
        <v>33730</v>
      </c>
      <c r="AL935" s="37">
        <f t="shared" si="253"/>
        <v>6.90758082497213</v>
      </c>
      <c r="AN935" s="37" t="str">
        <f t="shared" si="266"/>
        <v>Pallet</v>
      </c>
      <c r="AO935" s="194">
        <f t="shared" si="267"/>
        <v>35</v>
      </c>
    </row>
    <row r="936" spans="22:41" x14ac:dyDescent="0.2">
      <c r="V936" s="181">
        <f t="shared" si="254"/>
        <v>449</v>
      </c>
      <c r="W936" s="181">
        <f t="shared" si="255"/>
        <v>898</v>
      </c>
      <c r="X936" s="181">
        <f t="shared" si="256"/>
        <v>1</v>
      </c>
      <c r="Y936" s="37">
        <f t="shared" si="257"/>
        <v>1917.1</v>
      </c>
      <c r="Z936" s="181">
        <f t="shared" si="258"/>
        <v>647</v>
      </c>
      <c r="AA936" s="127">
        <f t="shared" si="259"/>
        <v>595.21331999999995</v>
      </c>
      <c r="AB936" s="127">
        <f t="shared" si="260"/>
        <v>647</v>
      </c>
      <c r="AC936" s="37">
        <f t="shared" si="268"/>
        <v>4282</v>
      </c>
      <c r="AD936" s="37">
        <f t="shared" si="261"/>
        <v>6199.1</v>
      </c>
      <c r="AE936" s="181">
        <f t="shared" si="269"/>
        <v>35</v>
      </c>
      <c r="AF936" s="37">
        <f t="shared" si="262"/>
        <v>24570</v>
      </c>
      <c r="AG936" s="181">
        <f t="shared" si="270"/>
        <v>1460.5</v>
      </c>
      <c r="AH936" s="111">
        <f t="shared" si="263"/>
        <v>967.57415999999989</v>
      </c>
      <c r="AI936" s="127">
        <f t="shared" si="264"/>
        <v>1460.5</v>
      </c>
      <c r="AJ936" s="37">
        <f t="shared" si="271"/>
        <v>9163</v>
      </c>
      <c r="AK936" s="37">
        <f t="shared" si="265"/>
        <v>33733</v>
      </c>
      <c r="AL936" s="37">
        <f t="shared" ref="AL936:AL999" si="272">MIN(AD936,AK936)/W936</f>
        <v>6.9032293986636972</v>
      </c>
      <c r="AN936" s="37" t="str">
        <f t="shared" si="266"/>
        <v>Pallet</v>
      </c>
      <c r="AO936" s="194">
        <f t="shared" si="267"/>
        <v>35</v>
      </c>
    </row>
    <row r="937" spans="22:41" x14ac:dyDescent="0.2">
      <c r="V937" s="181">
        <f t="shared" ref="V937:V1000" si="273">W937*$V$37</f>
        <v>449.5</v>
      </c>
      <c r="W937" s="181">
        <f t="shared" ref="W937:W1000" si="274">W936+1</f>
        <v>899</v>
      </c>
      <c r="X937" s="181">
        <f t="shared" ref="X937:X1000" si="275">ROUNDUP(W937/$N$29,0)</f>
        <v>1</v>
      </c>
      <c r="Y937" s="37">
        <f t="shared" ref="Y937:Y1000" si="276">X937*$P$29</f>
        <v>1917.1</v>
      </c>
      <c r="Z937" s="181">
        <f t="shared" ref="Z937:Z1000" si="277">V937+(X937*$K$29)</f>
        <v>647.5</v>
      </c>
      <c r="AA937" s="127">
        <f t="shared" ref="AA937:AA1000" si="278">X937*$T$29</f>
        <v>595.21331999999995</v>
      </c>
      <c r="AB937" s="127">
        <f t="shared" ref="AB937:AB1000" si="279">MAX(Z937,AA937)</f>
        <v>647.5</v>
      </c>
      <c r="AC937" s="37">
        <f t="shared" si="268"/>
        <v>4285</v>
      </c>
      <c r="AD937" s="37">
        <f t="shared" ref="AD937:AD1000" si="280">Y937+AC937</f>
        <v>6202.1</v>
      </c>
      <c r="AE937" s="181">
        <f t="shared" si="269"/>
        <v>35</v>
      </c>
      <c r="AF937" s="37">
        <f t="shared" ref="AF937:AF1000" si="281">AE937*$P$19</f>
        <v>24570</v>
      </c>
      <c r="AG937" s="181">
        <f t="shared" si="270"/>
        <v>1461</v>
      </c>
      <c r="AH937" s="111">
        <f t="shared" ref="AH937:AH1000" si="282">AE937*$X$19</f>
        <v>967.57415999999989</v>
      </c>
      <c r="AI937" s="127">
        <f t="shared" ref="AI937:AI1000" si="283">MAX(AG937,AH937)</f>
        <v>1461</v>
      </c>
      <c r="AJ937" s="37">
        <f t="shared" si="271"/>
        <v>9166</v>
      </c>
      <c r="AK937" s="37">
        <f t="shared" ref="AK937:AK1000" si="284">AF937+AJ937</f>
        <v>33736</v>
      </c>
      <c r="AL937" s="37">
        <f t="shared" si="272"/>
        <v>6.8988876529477201</v>
      </c>
      <c r="AN937" s="37" t="str">
        <f t="shared" ref="AN937:AN1000" si="285">IF(AD937&lt;AK937,"Pallet","Parcel")</f>
        <v>Pallet</v>
      </c>
      <c r="AO937" s="194">
        <f t="shared" ref="AO937:AO1000" si="286">AE936</f>
        <v>35</v>
      </c>
    </row>
    <row r="938" spans="22:41" x14ac:dyDescent="0.2">
      <c r="V938" s="181">
        <f t="shared" si="273"/>
        <v>450</v>
      </c>
      <c r="W938" s="181">
        <f t="shared" si="274"/>
        <v>900</v>
      </c>
      <c r="X938" s="181">
        <f t="shared" si="275"/>
        <v>1</v>
      </c>
      <c r="Y938" s="37">
        <f t="shared" si="276"/>
        <v>1917.1</v>
      </c>
      <c r="Z938" s="181">
        <f t="shared" si="277"/>
        <v>648</v>
      </c>
      <c r="AA938" s="127">
        <f t="shared" si="278"/>
        <v>595.21331999999995</v>
      </c>
      <c r="AB938" s="127">
        <f t="shared" si="279"/>
        <v>648</v>
      </c>
      <c r="AC938" s="37">
        <f t="shared" si="268"/>
        <v>4288</v>
      </c>
      <c r="AD938" s="37">
        <f t="shared" si="280"/>
        <v>6205.1</v>
      </c>
      <c r="AE938" s="181">
        <f t="shared" si="269"/>
        <v>35</v>
      </c>
      <c r="AF938" s="37">
        <f t="shared" si="281"/>
        <v>24570</v>
      </c>
      <c r="AG938" s="181">
        <f t="shared" si="270"/>
        <v>1461.5</v>
      </c>
      <c r="AH938" s="111">
        <f t="shared" si="282"/>
        <v>967.57415999999989</v>
      </c>
      <c r="AI938" s="127">
        <f t="shared" si="283"/>
        <v>1461.5</v>
      </c>
      <c r="AJ938" s="37">
        <f t="shared" si="271"/>
        <v>9169</v>
      </c>
      <c r="AK938" s="37">
        <f t="shared" si="284"/>
        <v>33739</v>
      </c>
      <c r="AL938" s="37">
        <f t="shared" si="272"/>
        <v>6.8945555555555558</v>
      </c>
      <c r="AN938" s="37" t="str">
        <f t="shared" si="285"/>
        <v>Pallet</v>
      </c>
      <c r="AO938" s="194">
        <f t="shared" si="286"/>
        <v>35</v>
      </c>
    </row>
    <row r="939" spans="22:41" x14ac:dyDescent="0.2">
      <c r="V939" s="181">
        <f t="shared" si="273"/>
        <v>450.5</v>
      </c>
      <c r="W939" s="181">
        <f t="shared" si="274"/>
        <v>901</v>
      </c>
      <c r="X939" s="181">
        <f t="shared" si="275"/>
        <v>1</v>
      </c>
      <c r="Y939" s="37">
        <f t="shared" si="276"/>
        <v>1917.1</v>
      </c>
      <c r="Z939" s="181">
        <f t="shared" si="277"/>
        <v>648.5</v>
      </c>
      <c r="AA939" s="127">
        <f t="shared" si="278"/>
        <v>595.21331999999995</v>
      </c>
      <c r="AB939" s="127">
        <f t="shared" si="279"/>
        <v>648.5</v>
      </c>
      <c r="AC939" s="37">
        <f t="shared" si="268"/>
        <v>4291</v>
      </c>
      <c r="AD939" s="37">
        <f t="shared" si="280"/>
        <v>6208.1</v>
      </c>
      <c r="AE939" s="181">
        <f t="shared" si="269"/>
        <v>35</v>
      </c>
      <c r="AF939" s="37">
        <f t="shared" si="281"/>
        <v>24570</v>
      </c>
      <c r="AG939" s="181">
        <f t="shared" si="270"/>
        <v>1462</v>
      </c>
      <c r="AH939" s="111">
        <f t="shared" si="282"/>
        <v>967.57415999999989</v>
      </c>
      <c r="AI939" s="127">
        <f t="shared" si="283"/>
        <v>1462</v>
      </c>
      <c r="AJ939" s="37">
        <f t="shared" si="271"/>
        <v>9172</v>
      </c>
      <c r="AK939" s="37">
        <f t="shared" si="284"/>
        <v>33742</v>
      </c>
      <c r="AL939" s="37">
        <f t="shared" si="272"/>
        <v>6.890233074361821</v>
      </c>
      <c r="AN939" s="37" t="str">
        <f t="shared" si="285"/>
        <v>Pallet</v>
      </c>
      <c r="AO939" s="194">
        <f t="shared" si="286"/>
        <v>35</v>
      </c>
    </row>
    <row r="940" spans="22:41" x14ac:dyDescent="0.2">
      <c r="V940" s="181">
        <f t="shared" si="273"/>
        <v>451</v>
      </c>
      <c r="W940" s="181">
        <f t="shared" si="274"/>
        <v>902</v>
      </c>
      <c r="X940" s="181">
        <f t="shared" si="275"/>
        <v>1</v>
      </c>
      <c r="Y940" s="37">
        <f t="shared" si="276"/>
        <v>1917.1</v>
      </c>
      <c r="Z940" s="181">
        <f t="shared" si="277"/>
        <v>649</v>
      </c>
      <c r="AA940" s="127">
        <f t="shared" si="278"/>
        <v>595.21331999999995</v>
      </c>
      <c r="AB940" s="127">
        <f t="shared" si="279"/>
        <v>649</v>
      </c>
      <c r="AC940" s="37">
        <f t="shared" si="268"/>
        <v>4294</v>
      </c>
      <c r="AD940" s="37">
        <f t="shared" si="280"/>
        <v>6211.1</v>
      </c>
      <c r="AE940" s="181">
        <f t="shared" si="269"/>
        <v>35</v>
      </c>
      <c r="AF940" s="37">
        <f t="shared" si="281"/>
        <v>24570</v>
      </c>
      <c r="AG940" s="181">
        <f t="shared" si="270"/>
        <v>1462.5</v>
      </c>
      <c r="AH940" s="111">
        <f t="shared" si="282"/>
        <v>967.57415999999989</v>
      </c>
      <c r="AI940" s="127">
        <f t="shared" si="283"/>
        <v>1462.5</v>
      </c>
      <c r="AJ940" s="37">
        <f t="shared" si="271"/>
        <v>9175</v>
      </c>
      <c r="AK940" s="37">
        <f t="shared" si="284"/>
        <v>33745</v>
      </c>
      <c r="AL940" s="37">
        <f t="shared" si="272"/>
        <v>6.8859201773835927</v>
      </c>
      <c r="AN940" s="37" t="str">
        <f t="shared" si="285"/>
        <v>Pallet</v>
      </c>
      <c r="AO940" s="194">
        <f t="shared" si="286"/>
        <v>35</v>
      </c>
    </row>
    <row r="941" spans="22:41" x14ac:dyDescent="0.2">
      <c r="V941" s="181">
        <f t="shared" si="273"/>
        <v>451.5</v>
      </c>
      <c r="W941" s="181">
        <f t="shared" si="274"/>
        <v>903</v>
      </c>
      <c r="X941" s="181">
        <f t="shared" si="275"/>
        <v>1</v>
      </c>
      <c r="Y941" s="37">
        <f t="shared" si="276"/>
        <v>1917.1</v>
      </c>
      <c r="Z941" s="181">
        <f t="shared" si="277"/>
        <v>649.5</v>
      </c>
      <c r="AA941" s="127">
        <f t="shared" si="278"/>
        <v>595.21331999999995</v>
      </c>
      <c r="AB941" s="127">
        <f t="shared" si="279"/>
        <v>649.5</v>
      </c>
      <c r="AC941" s="37">
        <f t="shared" si="268"/>
        <v>4297</v>
      </c>
      <c r="AD941" s="37">
        <f t="shared" si="280"/>
        <v>6214.1</v>
      </c>
      <c r="AE941" s="181">
        <f t="shared" si="269"/>
        <v>35</v>
      </c>
      <c r="AF941" s="37">
        <f t="shared" si="281"/>
        <v>24570</v>
      </c>
      <c r="AG941" s="181">
        <f t="shared" si="270"/>
        <v>1463</v>
      </c>
      <c r="AH941" s="111">
        <f t="shared" si="282"/>
        <v>967.57415999999989</v>
      </c>
      <c r="AI941" s="127">
        <f t="shared" si="283"/>
        <v>1463</v>
      </c>
      <c r="AJ941" s="37">
        <f t="shared" si="271"/>
        <v>9178</v>
      </c>
      <c r="AK941" s="37">
        <f t="shared" si="284"/>
        <v>33748</v>
      </c>
      <c r="AL941" s="37">
        <f t="shared" si="272"/>
        <v>6.8816168327796241</v>
      </c>
      <c r="AN941" s="37" t="str">
        <f t="shared" si="285"/>
        <v>Pallet</v>
      </c>
      <c r="AO941" s="194">
        <f t="shared" si="286"/>
        <v>35</v>
      </c>
    </row>
    <row r="942" spans="22:41" x14ac:dyDescent="0.2">
      <c r="V942" s="181">
        <f t="shared" si="273"/>
        <v>452</v>
      </c>
      <c r="W942" s="181">
        <f t="shared" si="274"/>
        <v>904</v>
      </c>
      <c r="X942" s="181">
        <f t="shared" si="275"/>
        <v>1</v>
      </c>
      <c r="Y942" s="37">
        <f t="shared" si="276"/>
        <v>1917.1</v>
      </c>
      <c r="Z942" s="181">
        <f t="shared" si="277"/>
        <v>650</v>
      </c>
      <c r="AA942" s="127">
        <f t="shared" si="278"/>
        <v>595.21331999999995</v>
      </c>
      <c r="AB942" s="127">
        <f t="shared" si="279"/>
        <v>650</v>
      </c>
      <c r="AC942" s="37">
        <f t="shared" si="268"/>
        <v>4300</v>
      </c>
      <c r="AD942" s="37">
        <f t="shared" si="280"/>
        <v>6217.1</v>
      </c>
      <c r="AE942" s="181">
        <f t="shared" si="269"/>
        <v>36</v>
      </c>
      <c r="AF942" s="37">
        <f t="shared" si="281"/>
        <v>25272</v>
      </c>
      <c r="AG942" s="181">
        <f t="shared" si="270"/>
        <v>1492.3999999999999</v>
      </c>
      <c r="AH942" s="111">
        <f t="shared" si="282"/>
        <v>995.21913599999982</v>
      </c>
      <c r="AI942" s="127">
        <f t="shared" si="283"/>
        <v>1492.3999999999999</v>
      </c>
      <c r="AJ942" s="37">
        <f t="shared" si="271"/>
        <v>9354.4</v>
      </c>
      <c r="AK942" s="37">
        <f t="shared" si="284"/>
        <v>34626.400000000001</v>
      </c>
      <c r="AL942" s="37">
        <f t="shared" si="272"/>
        <v>6.8773230088495581</v>
      </c>
      <c r="AN942" s="37" t="str">
        <f t="shared" si="285"/>
        <v>Pallet</v>
      </c>
      <c r="AO942" s="194">
        <f t="shared" si="286"/>
        <v>35</v>
      </c>
    </row>
    <row r="943" spans="22:41" x14ac:dyDescent="0.2">
      <c r="V943" s="181">
        <f t="shared" si="273"/>
        <v>452.5</v>
      </c>
      <c r="W943" s="181">
        <f t="shared" si="274"/>
        <v>905</v>
      </c>
      <c r="X943" s="181">
        <f t="shared" si="275"/>
        <v>1</v>
      </c>
      <c r="Y943" s="37">
        <f t="shared" si="276"/>
        <v>1917.1</v>
      </c>
      <c r="Z943" s="181">
        <f t="shared" si="277"/>
        <v>650.5</v>
      </c>
      <c r="AA943" s="127">
        <f t="shared" si="278"/>
        <v>595.21331999999995</v>
      </c>
      <c r="AB943" s="127">
        <f t="shared" si="279"/>
        <v>650.5</v>
      </c>
      <c r="AC943" s="37">
        <f t="shared" si="268"/>
        <v>4303</v>
      </c>
      <c r="AD943" s="37">
        <f t="shared" si="280"/>
        <v>6220.1</v>
      </c>
      <c r="AE943" s="181">
        <f t="shared" si="269"/>
        <v>36</v>
      </c>
      <c r="AF943" s="37">
        <f t="shared" si="281"/>
        <v>25272</v>
      </c>
      <c r="AG943" s="181">
        <f t="shared" si="270"/>
        <v>1492.8999999999999</v>
      </c>
      <c r="AH943" s="111">
        <f t="shared" si="282"/>
        <v>995.21913599999982</v>
      </c>
      <c r="AI943" s="127">
        <f t="shared" si="283"/>
        <v>1492.8999999999999</v>
      </c>
      <c r="AJ943" s="37">
        <f t="shared" si="271"/>
        <v>9357.4</v>
      </c>
      <c r="AK943" s="37">
        <f t="shared" si="284"/>
        <v>34629.4</v>
      </c>
      <c r="AL943" s="37">
        <f t="shared" si="272"/>
        <v>6.8730386740331495</v>
      </c>
      <c r="AN943" s="37" t="str">
        <f t="shared" si="285"/>
        <v>Pallet</v>
      </c>
      <c r="AO943" s="194">
        <f t="shared" si="286"/>
        <v>36</v>
      </c>
    </row>
    <row r="944" spans="22:41" x14ac:dyDescent="0.2">
      <c r="V944" s="181">
        <f t="shared" si="273"/>
        <v>453</v>
      </c>
      <c r="W944" s="181">
        <f t="shared" si="274"/>
        <v>906</v>
      </c>
      <c r="X944" s="181">
        <f t="shared" si="275"/>
        <v>1</v>
      </c>
      <c r="Y944" s="37">
        <f t="shared" si="276"/>
        <v>1917.1</v>
      </c>
      <c r="Z944" s="181">
        <f t="shared" si="277"/>
        <v>651</v>
      </c>
      <c r="AA944" s="127">
        <f t="shared" si="278"/>
        <v>595.21331999999995</v>
      </c>
      <c r="AB944" s="127">
        <f t="shared" si="279"/>
        <v>651</v>
      </c>
      <c r="AC944" s="37">
        <f t="shared" si="268"/>
        <v>4306</v>
      </c>
      <c r="AD944" s="37">
        <f t="shared" si="280"/>
        <v>6223.1</v>
      </c>
      <c r="AE944" s="181">
        <f t="shared" si="269"/>
        <v>36</v>
      </c>
      <c r="AF944" s="37">
        <f t="shared" si="281"/>
        <v>25272</v>
      </c>
      <c r="AG944" s="181">
        <f t="shared" si="270"/>
        <v>1493.3999999999999</v>
      </c>
      <c r="AH944" s="111">
        <f t="shared" si="282"/>
        <v>995.21913599999982</v>
      </c>
      <c r="AI944" s="127">
        <f t="shared" si="283"/>
        <v>1493.3999999999999</v>
      </c>
      <c r="AJ944" s="37">
        <f t="shared" si="271"/>
        <v>9360.4</v>
      </c>
      <c r="AK944" s="37">
        <f t="shared" si="284"/>
        <v>34632.400000000001</v>
      </c>
      <c r="AL944" s="37">
        <f t="shared" si="272"/>
        <v>6.8687637969094926</v>
      </c>
      <c r="AN944" s="37" t="str">
        <f t="shared" si="285"/>
        <v>Pallet</v>
      </c>
      <c r="AO944" s="194">
        <f t="shared" si="286"/>
        <v>36</v>
      </c>
    </row>
    <row r="945" spans="22:41" x14ac:dyDescent="0.2">
      <c r="V945" s="181">
        <f t="shared" si="273"/>
        <v>453.5</v>
      </c>
      <c r="W945" s="181">
        <f t="shared" si="274"/>
        <v>907</v>
      </c>
      <c r="X945" s="181">
        <f t="shared" si="275"/>
        <v>1</v>
      </c>
      <c r="Y945" s="37">
        <f t="shared" si="276"/>
        <v>1917.1</v>
      </c>
      <c r="Z945" s="181">
        <f t="shared" si="277"/>
        <v>651.5</v>
      </c>
      <c r="AA945" s="127">
        <f t="shared" si="278"/>
        <v>595.21331999999995</v>
      </c>
      <c r="AB945" s="127">
        <f t="shared" si="279"/>
        <v>651.5</v>
      </c>
      <c r="AC945" s="37">
        <f t="shared" si="268"/>
        <v>4309</v>
      </c>
      <c r="AD945" s="37">
        <f t="shared" si="280"/>
        <v>6226.1</v>
      </c>
      <c r="AE945" s="181">
        <f t="shared" si="269"/>
        <v>36</v>
      </c>
      <c r="AF945" s="37">
        <f t="shared" si="281"/>
        <v>25272</v>
      </c>
      <c r="AG945" s="181">
        <f t="shared" si="270"/>
        <v>1493.8999999999999</v>
      </c>
      <c r="AH945" s="111">
        <f t="shared" si="282"/>
        <v>995.21913599999982</v>
      </c>
      <c r="AI945" s="127">
        <f t="shared" si="283"/>
        <v>1493.8999999999999</v>
      </c>
      <c r="AJ945" s="37">
        <f t="shared" si="271"/>
        <v>9363.4</v>
      </c>
      <c r="AK945" s="37">
        <f t="shared" si="284"/>
        <v>34635.4</v>
      </c>
      <c r="AL945" s="37">
        <f t="shared" si="272"/>
        <v>6.8644983461962514</v>
      </c>
      <c r="AN945" s="37" t="str">
        <f t="shared" si="285"/>
        <v>Pallet</v>
      </c>
      <c r="AO945" s="194">
        <f t="shared" si="286"/>
        <v>36</v>
      </c>
    </row>
    <row r="946" spans="22:41" x14ac:dyDescent="0.2">
      <c r="V946" s="181">
        <f t="shared" si="273"/>
        <v>454</v>
      </c>
      <c r="W946" s="181">
        <f t="shared" si="274"/>
        <v>908</v>
      </c>
      <c r="X946" s="181">
        <f t="shared" si="275"/>
        <v>1</v>
      </c>
      <c r="Y946" s="37">
        <f t="shared" si="276"/>
        <v>1917.1</v>
      </c>
      <c r="Z946" s="181">
        <f t="shared" si="277"/>
        <v>652</v>
      </c>
      <c r="AA946" s="127">
        <f t="shared" si="278"/>
        <v>595.21331999999995</v>
      </c>
      <c r="AB946" s="127">
        <f t="shared" si="279"/>
        <v>652</v>
      </c>
      <c r="AC946" s="37">
        <f t="shared" si="268"/>
        <v>4312</v>
      </c>
      <c r="AD946" s="37">
        <f t="shared" si="280"/>
        <v>6229.1</v>
      </c>
      <c r="AE946" s="181">
        <f t="shared" si="269"/>
        <v>36</v>
      </c>
      <c r="AF946" s="37">
        <f t="shared" si="281"/>
        <v>25272</v>
      </c>
      <c r="AG946" s="181">
        <f t="shared" si="270"/>
        <v>1494.3999999999999</v>
      </c>
      <c r="AH946" s="111">
        <f t="shared" si="282"/>
        <v>995.21913599999982</v>
      </c>
      <c r="AI946" s="127">
        <f t="shared" si="283"/>
        <v>1494.3999999999999</v>
      </c>
      <c r="AJ946" s="37">
        <f t="shared" si="271"/>
        <v>9366.4</v>
      </c>
      <c r="AK946" s="37">
        <f t="shared" si="284"/>
        <v>34638.400000000001</v>
      </c>
      <c r="AL946" s="37">
        <f t="shared" si="272"/>
        <v>6.8602422907488991</v>
      </c>
      <c r="AN946" s="37" t="str">
        <f t="shared" si="285"/>
        <v>Pallet</v>
      </c>
      <c r="AO946" s="194">
        <f t="shared" si="286"/>
        <v>36</v>
      </c>
    </row>
    <row r="947" spans="22:41" x14ac:dyDescent="0.2">
      <c r="V947" s="181">
        <f t="shared" si="273"/>
        <v>454.5</v>
      </c>
      <c r="W947" s="181">
        <f t="shared" si="274"/>
        <v>909</v>
      </c>
      <c r="X947" s="181">
        <f t="shared" si="275"/>
        <v>1</v>
      </c>
      <c r="Y947" s="37">
        <f t="shared" si="276"/>
        <v>1917.1</v>
      </c>
      <c r="Z947" s="181">
        <f t="shared" si="277"/>
        <v>652.5</v>
      </c>
      <c r="AA947" s="127">
        <f t="shared" si="278"/>
        <v>595.21331999999995</v>
      </c>
      <c r="AB947" s="127">
        <f t="shared" si="279"/>
        <v>652.5</v>
      </c>
      <c r="AC947" s="37">
        <f t="shared" si="268"/>
        <v>4315</v>
      </c>
      <c r="AD947" s="37">
        <f t="shared" si="280"/>
        <v>6232.1</v>
      </c>
      <c r="AE947" s="181">
        <f t="shared" si="269"/>
        <v>36</v>
      </c>
      <c r="AF947" s="37">
        <f t="shared" si="281"/>
        <v>25272</v>
      </c>
      <c r="AG947" s="181">
        <f t="shared" si="270"/>
        <v>1494.8999999999999</v>
      </c>
      <c r="AH947" s="111">
        <f t="shared" si="282"/>
        <v>995.21913599999982</v>
      </c>
      <c r="AI947" s="127">
        <f t="shared" si="283"/>
        <v>1494.8999999999999</v>
      </c>
      <c r="AJ947" s="37">
        <f t="shared" si="271"/>
        <v>9369.4</v>
      </c>
      <c r="AK947" s="37">
        <f t="shared" si="284"/>
        <v>34641.4</v>
      </c>
      <c r="AL947" s="37">
        <f t="shared" si="272"/>
        <v>6.8559955995599564</v>
      </c>
      <c r="AN947" s="37" t="str">
        <f t="shared" si="285"/>
        <v>Pallet</v>
      </c>
      <c r="AO947" s="194">
        <f t="shared" si="286"/>
        <v>36</v>
      </c>
    </row>
    <row r="948" spans="22:41" x14ac:dyDescent="0.2">
      <c r="V948" s="181">
        <f t="shared" si="273"/>
        <v>455</v>
      </c>
      <c r="W948" s="181">
        <f t="shared" si="274"/>
        <v>910</v>
      </c>
      <c r="X948" s="181">
        <f t="shared" si="275"/>
        <v>1</v>
      </c>
      <c r="Y948" s="37">
        <f t="shared" si="276"/>
        <v>1917.1</v>
      </c>
      <c r="Z948" s="181">
        <f t="shared" si="277"/>
        <v>653</v>
      </c>
      <c r="AA948" s="127">
        <f t="shared" si="278"/>
        <v>595.21331999999995</v>
      </c>
      <c r="AB948" s="127">
        <f t="shared" si="279"/>
        <v>653</v>
      </c>
      <c r="AC948" s="37">
        <f t="shared" si="268"/>
        <v>4318</v>
      </c>
      <c r="AD948" s="37">
        <f t="shared" si="280"/>
        <v>6235.1</v>
      </c>
      <c r="AE948" s="181">
        <f t="shared" si="269"/>
        <v>36</v>
      </c>
      <c r="AF948" s="37">
        <f t="shared" si="281"/>
        <v>25272</v>
      </c>
      <c r="AG948" s="181">
        <f t="shared" si="270"/>
        <v>1495.3999999999999</v>
      </c>
      <c r="AH948" s="111">
        <f t="shared" si="282"/>
        <v>995.21913599999982</v>
      </c>
      <c r="AI948" s="127">
        <f t="shared" si="283"/>
        <v>1495.3999999999999</v>
      </c>
      <c r="AJ948" s="37">
        <f t="shared" si="271"/>
        <v>9372.4</v>
      </c>
      <c r="AK948" s="37">
        <f t="shared" si="284"/>
        <v>34644.400000000001</v>
      </c>
      <c r="AL948" s="37">
        <f t="shared" si="272"/>
        <v>6.8517582417582421</v>
      </c>
      <c r="AN948" s="37" t="str">
        <f t="shared" si="285"/>
        <v>Pallet</v>
      </c>
      <c r="AO948" s="194">
        <f t="shared" si="286"/>
        <v>36</v>
      </c>
    </row>
    <row r="949" spans="22:41" x14ac:dyDescent="0.2">
      <c r="V949" s="181">
        <f t="shared" si="273"/>
        <v>455.5</v>
      </c>
      <c r="W949" s="181">
        <f t="shared" si="274"/>
        <v>911</v>
      </c>
      <c r="X949" s="181">
        <f t="shared" si="275"/>
        <v>1</v>
      </c>
      <c r="Y949" s="37">
        <f t="shared" si="276"/>
        <v>1917.1</v>
      </c>
      <c r="Z949" s="181">
        <f t="shared" si="277"/>
        <v>653.5</v>
      </c>
      <c r="AA949" s="127">
        <f t="shared" si="278"/>
        <v>595.21331999999995</v>
      </c>
      <c r="AB949" s="127">
        <f t="shared" si="279"/>
        <v>653.5</v>
      </c>
      <c r="AC949" s="37">
        <f t="shared" si="268"/>
        <v>4321</v>
      </c>
      <c r="AD949" s="37">
        <f t="shared" si="280"/>
        <v>6238.1</v>
      </c>
      <c r="AE949" s="181">
        <f t="shared" si="269"/>
        <v>36</v>
      </c>
      <c r="AF949" s="37">
        <f t="shared" si="281"/>
        <v>25272</v>
      </c>
      <c r="AG949" s="181">
        <f t="shared" si="270"/>
        <v>1495.8999999999999</v>
      </c>
      <c r="AH949" s="111">
        <f t="shared" si="282"/>
        <v>995.21913599999982</v>
      </c>
      <c r="AI949" s="127">
        <f t="shared" si="283"/>
        <v>1495.8999999999999</v>
      </c>
      <c r="AJ949" s="37">
        <f t="shared" si="271"/>
        <v>9375.4</v>
      </c>
      <c r="AK949" s="37">
        <f t="shared" si="284"/>
        <v>34647.4</v>
      </c>
      <c r="AL949" s="37">
        <f t="shared" si="272"/>
        <v>6.8475301866081235</v>
      </c>
      <c r="AN949" s="37" t="str">
        <f t="shared" si="285"/>
        <v>Pallet</v>
      </c>
      <c r="AO949" s="194">
        <f t="shared" si="286"/>
        <v>36</v>
      </c>
    </row>
    <row r="950" spans="22:41" x14ac:dyDescent="0.2">
      <c r="V950" s="181">
        <f t="shared" si="273"/>
        <v>456</v>
      </c>
      <c r="W950" s="181">
        <f t="shared" si="274"/>
        <v>912</v>
      </c>
      <c r="X950" s="181">
        <f t="shared" si="275"/>
        <v>1</v>
      </c>
      <c r="Y950" s="37">
        <f t="shared" si="276"/>
        <v>1917.1</v>
      </c>
      <c r="Z950" s="181">
        <f t="shared" si="277"/>
        <v>654</v>
      </c>
      <c r="AA950" s="127">
        <f t="shared" si="278"/>
        <v>595.21331999999995</v>
      </c>
      <c r="AB950" s="127">
        <f t="shared" si="279"/>
        <v>654</v>
      </c>
      <c r="AC950" s="37">
        <f t="shared" si="268"/>
        <v>4324</v>
      </c>
      <c r="AD950" s="37">
        <f t="shared" si="280"/>
        <v>6241.1</v>
      </c>
      <c r="AE950" s="181">
        <f t="shared" si="269"/>
        <v>36</v>
      </c>
      <c r="AF950" s="37">
        <f t="shared" si="281"/>
        <v>25272</v>
      </c>
      <c r="AG950" s="181">
        <f t="shared" si="270"/>
        <v>1496.3999999999999</v>
      </c>
      <c r="AH950" s="111">
        <f t="shared" si="282"/>
        <v>995.21913599999982</v>
      </c>
      <c r="AI950" s="127">
        <f t="shared" si="283"/>
        <v>1496.3999999999999</v>
      </c>
      <c r="AJ950" s="37">
        <f t="shared" si="271"/>
        <v>9378.4</v>
      </c>
      <c r="AK950" s="37">
        <f t="shared" si="284"/>
        <v>34650.400000000001</v>
      </c>
      <c r="AL950" s="37">
        <f t="shared" si="272"/>
        <v>6.8433114035087721</v>
      </c>
      <c r="AN950" s="37" t="str">
        <f t="shared" si="285"/>
        <v>Pallet</v>
      </c>
      <c r="AO950" s="194">
        <f t="shared" si="286"/>
        <v>36</v>
      </c>
    </row>
    <row r="951" spans="22:41" x14ac:dyDescent="0.2">
      <c r="V951" s="181">
        <f t="shared" si="273"/>
        <v>456.5</v>
      </c>
      <c r="W951" s="181">
        <f t="shared" si="274"/>
        <v>913</v>
      </c>
      <c r="X951" s="181">
        <f t="shared" si="275"/>
        <v>1</v>
      </c>
      <c r="Y951" s="37">
        <f t="shared" si="276"/>
        <v>1917.1</v>
      </c>
      <c r="Z951" s="181">
        <f t="shared" si="277"/>
        <v>654.5</v>
      </c>
      <c r="AA951" s="127">
        <f t="shared" si="278"/>
        <v>595.21331999999995</v>
      </c>
      <c r="AB951" s="127">
        <f t="shared" si="279"/>
        <v>654.5</v>
      </c>
      <c r="AC951" s="37">
        <f t="shared" si="268"/>
        <v>4327</v>
      </c>
      <c r="AD951" s="37">
        <f t="shared" si="280"/>
        <v>6244.1</v>
      </c>
      <c r="AE951" s="181">
        <f t="shared" si="269"/>
        <v>36</v>
      </c>
      <c r="AF951" s="37">
        <f t="shared" si="281"/>
        <v>25272</v>
      </c>
      <c r="AG951" s="181">
        <f t="shared" si="270"/>
        <v>1496.8999999999999</v>
      </c>
      <c r="AH951" s="111">
        <f t="shared" si="282"/>
        <v>995.21913599999982</v>
      </c>
      <c r="AI951" s="127">
        <f t="shared" si="283"/>
        <v>1496.8999999999999</v>
      </c>
      <c r="AJ951" s="37">
        <f t="shared" si="271"/>
        <v>9381.4</v>
      </c>
      <c r="AK951" s="37">
        <f t="shared" si="284"/>
        <v>34653.4</v>
      </c>
      <c r="AL951" s="37">
        <f t="shared" si="272"/>
        <v>6.839101861993429</v>
      </c>
      <c r="AN951" s="37" t="str">
        <f t="shared" si="285"/>
        <v>Pallet</v>
      </c>
      <c r="AO951" s="194">
        <f t="shared" si="286"/>
        <v>36</v>
      </c>
    </row>
    <row r="952" spans="22:41" x14ac:dyDescent="0.2">
      <c r="V952" s="181">
        <f t="shared" si="273"/>
        <v>457</v>
      </c>
      <c r="W952" s="181">
        <f t="shared" si="274"/>
        <v>914</v>
      </c>
      <c r="X952" s="181">
        <f t="shared" si="275"/>
        <v>1</v>
      </c>
      <c r="Y952" s="37">
        <f t="shared" si="276"/>
        <v>1917.1</v>
      </c>
      <c r="Z952" s="181">
        <f t="shared" si="277"/>
        <v>655</v>
      </c>
      <c r="AA952" s="127">
        <f t="shared" si="278"/>
        <v>595.21331999999995</v>
      </c>
      <c r="AB952" s="127">
        <f t="shared" si="279"/>
        <v>655</v>
      </c>
      <c r="AC952" s="37">
        <f t="shared" si="268"/>
        <v>4330</v>
      </c>
      <c r="AD952" s="37">
        <f t="shared" si="280"/>
        <v>6247.1</v>
      </c>
      <c r="AE952" s="181">
        <f t="shared" si="269"/>
        <v>36</v>
      </c>
      <c r="AF952" s="37">
        <f t="shared" si="281"/>
        <v>25272</v>
      </c>
      <c r="AG952" s="181">
        <f t="shared" si="270"/>
        <v>1497.3999999999999</v>
      </c>
      <c r="AH952" s="111">
        <f t="shared" si="282"/>
        <v>995.21913599999982</v>
      </c>
      <c r="AI952" s="127">
        <f t="shared" si="283"/>
        <v>1497.3999999999999</v>
      </c>
      <c r="AJ952" s="37">
        <f t="shared" si="271"/>
        <v>9384.4</v>
      </c>
      <c r="AK952" s="37">
        <f t="shared" si="284"/>
        <v>34656.400000000001</v>
      </c>
      <c r="AL952" s="37">
        <f t="shared" si="272"/>
        <v>6.8349015317286659</v>
      </c>
      <c r="AN952" s="37" t="str">
        <f t="shared" si="285"/>
        <v>Pallet</v>
      </c>
      <c r="AO952" s="194">
        <f t="shared" si="286"/>
        <v>36</v>
      </c>
    </row>
    <row r="953" spans="22:41" x14ac:dyDescent="0.2">
      <c r="V953" s="181">
        <f t="shared" si="273"/>
        <v>457.5</v>
      </c>
      <c r="W953" s="181">
        <f t="shared" si="274"/>
        <v>915</v>
      </c>
      <c r="X953" s="181">
        <f t="shared" si="275"/>
        <v>1</v>
      </c>
      <c r="Y953" s="37">
        <f t="shared" si="276"/>
        <v>1917.1</v>
      </c>
      <c r="Z953" s="181">
        <f t="shared" si="277"/>
        <v>655.5</v>
      </c>
      <c r="AA953" s="127">
        <f t="shared" si="278"/>
        <v>595.21331999999995</v>
      </c>
      <c r="AB953" s="127">
        <f t="shared" si="279"/>
        <v>655.5</v>
      </c>
      <c r="AC953" s="37">
        <f t="shared" si="268"/>
        <v>4333</v>
      </c>
      <c r="AD953" s="37">
        <f t="shared" si="280"/>
        <v>6250.1</v>
      </c>
      <c r="AE953" s="181">
        <f t="shared" si="269"/>
        <v>36</v>
      </c>
      <c r="AF953" s="37">
        <f t="shared" si="281"/>
        <v>25272</v>
      </c>
      <c r="AG953" s="181">
        <f t="shared" si="270"/>
        <v>1497.8999999999999</v>
      </c>
      <c r="AH953" s="111">
        <f t="shared" si="282"/>
        <v>995.21913599999982</v>
      </c>
      <c r="AI953" s="127">
        <f t="shared" si="283"/>
        <v>1497.8999999999999</v>
      </c>
      <c r="AJ953" s="37">
        <f t="shared" si="271"/>
        <v>9387.4</v>
      </c>
      <c r="AK953" s="37">
        <f t="shared" si="284"/>
        <v>34659.4</v>
      </c>
      <c r="AL953" s="37">
        <f t="shared" si="272"/>
        <v>6.8307103825136615</v>
      </c>
      <c r="AN953" s="37" t="str">
        <f t="shared" si="285"/>
        <v>Pallet</v>
      </c>
      <c r="AO953" s="194">
        <f t="shared" si="286"/>
        <v>36</v>
      </c>
    </row>
    <row r="954" spans="22:41" x14ac:dyDescent="0.2">
      <c r="V954" s="181">
        <f t="shared" si="273"/>
        <v>458</v>
      </c>
      <c r="W954" s="181">
        <f t="shared" si="274"/>
        <v>916</v>
      </c>
      <c r="X954" s="181">
        <f t="shared" si="275"/>
        <v>1</v>
      </c>
      <c r="Y954" s="37">
        <f t="shared" si="276"/>
        <v>1917.1</v>
      </c>
      <c r="Z954" s="181">
        <f t="shared" si="277"/>
        <v>656</v>
      </c>
      <c r="AA954" s="127">
        <f t="shared" si="278"/>
        <v>595.21331999999995</v>
      </c>
      <c r="AB954" s="127">
        <f t="shared" si="279"/>
        <v>656</v>
      </c>
      <c r="AC954" s="37">
        <f t="shared" si="268"/>
        <v>4336</v>
      </c>
      <c r="AD954" s="37">
        <f t="shared" si="280"/>
        <v>6253.1</v>
      </c>
      <c r="AE954" s="181">
        <f t="shared" si="269"/>
        <v>36</v>
      </c>
      <c r="AF954" s="37">
        <f t="shared" si="281"/>
        <v>25272</v>
      </c>
      <c r="AG954" s="181">
        <f t="shared" si="270"/>
        <v>1498.3999999999999</v>
      </c>
      <c r="AH954" s="111">
        <f t="shared" si="282"/>
        <v>995.21913599999982</v>
      </c>
      <c r="AI954" s="127">
        <f t="shared" si="283"/>
        <v>1498.3999999999999</v>
      </c>
      <c r="AJ954" s="37">
        <f t="shared" si="271"/>
        <v>9390.4</v>
      </c>
      <c r="AK954" s="37">
        <f t="shared" si="284"/>
        <v>34662.400000000001</v>
      </c>
      <c r="AL954" s="37">
        <f t="shared" si="272"/>
        <v>6.8265283842794764</v>
      </c>
      <c r="AN954" s="37" t="str">
        <f t="shared" si="285"/>
        <v>Pallet</v>
      </c>
      <c r="AO954" s="194">
        <f t="shared" si="286"/>
        <v>36</v>
      </c>
    </row>
    <row r="955" spans="22:41" x14ac:dyDescent="0.2">
      <c r="V955" s="181">
        <f t="shared" si="273"/>
        <v>458.5</v>
      </c>
      <c r="W955" s="181">
        <f t="shared" si="274"/>
        <v>917</v>
      </c>
      <c r="X955" s="181">
        <f t="shared" si="275"/>
        <v>1</v>
      </c>
      <c r="Y955" s="37">
        <f t="shared" si="276"/>
        <v>1917.1</v>
      </c>
      <c r="Z955" s="181">
        <f t="shared" si="277"/>
        <v>656.5</v>
      </c>
      <c r="AA955" s="127">
        <f t="shared" si="278"/>
        <v>595.21331999999995</v>
      </c>
      <c r="AB955" s="127">
        <f t="shared" si="279"/>
        <v>656.5</v>
      </c>
      <c r="AC955" s="37">
        <f t="shared" si="268"/>
        <v>4339</v>
      </c>
      <c r="AD955" s="37">
        <f t="shared" si="280"/>
        <v>6256.1</v>
      </c>
      <c r="AE955" s="181">
        <f t="shared" si="269"/>
        <v>36</v>
      </c>
      <c r="AF955" s="37">
        <f t="shared" si="281"/>
        <v>25272</v>
      </c>
      <c r="AG955" s="181">
        <f t="shared" si="270"/>
        <v>1498.8999999999999</v>
      </c>
      <c r="AH955" s="111">
        <f t="shared" si="282"/>
        <v>995.21913599999982</v>
      </c>
      <c r="AI955" s="127">
        <f t="shared" si="283"/>
        <v>1498.8999999999999</v>
      </c>
      <c r="AJ955" s="37">
        <f t="shared" si="271"/>
        <v>9393.4</v>
      </c>
      <c r="AK955" s="37">
        <f t="shared" si="284"/>
        <v>34665.4</v>
      </c>
      <c r="AL955" s="37">
        <f t="shared" si="272"/>
        <v>6.8223555070883322</v>
      </c>
      <c r="AN955" s="37" t="str">
        <f t="shared" si="285"/>
        <v>Pallet</v>
      </c>
      <c r="AO955" s="194">
        <f t="shared" si="286"/>
        <v>36</v>
      </c>
    </row>
    <row r="956" spans="22:41" x14ac:dyDescent="0.2">
      <c r="V956" s="181">
        <f t="shared" si="273"/>
        <v>459</v>
      </c>
      <c r="W956" s="181">
        <f t="shared" si="274"/>
        <v>918</v>
      </c>
      <c r="X956" s="181">
        <f t="shared" si="275"/>
        <v>1</v>
      </c>
      <c r="Y956" s="37">
        <f t="shared" si="276"/>
        <v>1917.1</v>
      </c>
      <c r="Z956" s="181">
        <f t="shared" si="277"/>
        <v>657</v>
      </c>
      <c r="AA956" s="127">
        <f t="shared" si="278"/>
        <v>595.21331999999995</v>
      </c>
      <c r="AB956" s="127">
        <f t="shared" si="279"/>
        <v>657</v>
      </c>
      <c r="AC956" s="37">
        <f t="shared" si="268"/>
        <v>4342</v>
      </c>
      <c r="AD956" s="37">
        <f t="shared" si="280"/>
        <v>6259.1</v>
      </c>
      <c r="AE956" s="181">
        <f t="shared" si="269"/>
        <v>36</v>
      </c>
      <c r="AF956" s="37">
        <f t="shared" si="281"/>
        <v>25272</v>
      </c>
      <c r="AG956" s="181">
        <f t="shared" si="270"/>
        <v>1499.3999999999999</v>
      </c>
      <c r="AH956" s="111">
        <f t="shared" si="282"/>
        <v>995.21913599999982</v>
      </c>
      <c r="AI956" s="127">
        <f t="shared" si="283"/>
        <v>1499.3999999999999</v>
      </c>
      <c r="AJ956" s="37">
        <f t="shared" si="271"/>
        <v>9396.4</v>
      </c>
      <c r="AK956" s="37">
        <f t="shared" si="284"/>
        <v>34668.400000000001</v>
      </c>
      <c r="AL956" s="37">
        <f t="shared" si="272"/>
        <v>6.818191721132898</v>
      </c>
      <c r="AN956" s="37" t="str">
        <f t="shared" si="285"/>
        <v>Pallet</v>
      </c>
      <c r="AO956" s="194">
        <f t="shared" si="286"/>
        <v>36</v>
      </c>
    </row>
    <row r="957" spans="22:41" x14ac:dyDescent="0.2">
      <c r="V957" s="181">
        <f t="shared" si="273"/>
        <v>459.5</v>
      </c>
      <c r="W957" s="181">
        <f t="shared" si="274"/>
        <v>919</v>
      </c>
      <c r="X957" s="181">
        <f t="shared" si="275"/>
        <v>1</v>
      </c>
      <c r="Y957" s="37">
        <f t="shared" si="276"/>
        <v>1917.1</v>
      </c>
      <c r="Z957" s="181">
        <f t="shared" si="277"/>
        <v>657.5</v>
      </c>
      <c r="AA957" s="127">
        <f t="shared" si="278"/>
        <v>595.21331999999995</v>
      </c>
      <c r="AB957" s="127">
        <f t="shared" si="279"/>
        <v>657.5</v>
      </c>
      <c r="AC957" s="37">
        <f t="shared" si="268"/>
        <v>4345</v>
      </c>
      <c r="AD957" s="37">
        <f t="shared" si="280"/>
        <v>6262.1</v>
      </c>
      <c r="AE957" s="181">
        <f t="shared" si="269"/>
        <v>36</v>
      </c>
      <c r="AF957" s="37">
        <f t="shared" si="281"/>
        <v>25272</v>
      </c>
      <c r="AG957" s="181">
        <f t="shared" si="270"/>
        <v>1499.8999999999999</v>
      </c>
      <c r="AH957" s="111">
        <f t="shared" si="282"/>
        <v>995.21913599999982</v>
      </c>
      <c r="AI957" s="127">
        <f t="shared" si="283"/>
        <v>1499.8999999999999</v>
      </c>
      <c r="AJ957" s="37">
        <f t="shared" si="271"/>
        <v>9399.4</v>
      </c>
      <c r="AK957" s="37">
        <f t="shared" si="284"/>
        <v>34671.4</v>
      </c>
      <c r="AL957" s="37">
        <f t="shared" si="272"/>
        <v>6.8140369967355827</v>
      </c>
      <c r="AN957" s="37" t="str">
        <f t="shared" si="285"/>
        <v>Pallet</v>
      </c>
      <c r="AO957" s="194">
        <f t="shared" si="286"/>
        <v>36</v>
      </c>
    </row>
    <row r="958" spans="22:41" x14ac:dyDescent="0.2">
      <c r="V958" s="181">
        <f t="shared" si="273"/>
        <v>460</v>
      </c>
      <c r="W958" s="181">
        <f t="shared" si="274"/>
        <v>920</v>
      </c>
      <c r="X958" s="181">
        <f t="shared" si="275"/>
        <v>1</v>
      </c>
      <c r="Y958" s="37">
        <f t="shared" si="276"/>
        <v>1917.1</v>
      </c>
      <c r="Z958" s="181">
        <f t="shared" si="277"/>
        <v>658</v>
      </c>
      <c r="AA958" s="127">
        <f t="shared" si="278"/>
        <v>595.21331999999995</v>
      </c>
      <c r="AB958" s="127">
        <f t="shared" si="279"/>
        <v>658</v>
      </c>
      <c r="AC958" s="37">
        <f t="shared" si="268"/>
        <v>4348</v>
      </c>
      <c r="AD958" s="37">
        <f t="shared" si="280"/>
        <v>6265.1</v>
      </c>
      <c r="AE958" s="181">
        <f t="shared" si="269"/>
        <v>36</v>
      </c>
      <c r="AF958" s="37">
        <f t="shared" si="281"/>
        <v>25272</v>
      </c>
      <c r="AG958" s="181">
        <f t="shared" si="270"/>
        <v>1500.3999999999999</v>
      </c>
      <c r="AH958" s="111">
        <f t="shared" si="282"/>
        <v>995.21913599999982</v>
      </c>
      <c r="AI958" s="127">
        <f t="shared" si="283"/>
        <v>1500.3999999999999</v>
      </c>
      <c r="AJ958" s="37">
        <f t="shared" si="271"/>
        <v>9402.4</v>
      </c>
      <c r="AK958" s="37">
        <f t="shared" si="284"/>
        <v>34674.400000000001</v>
      </c>
      <c r="AL958" s="37">
        <f t="shared" si="272"/>
        <v>6.8098913043478264</v>
      </c>
      <c r="AN958" s="37" t="str">
        <f t="shared" si="285"/>
        <v>Pallet</v>
      </c>
      <c r="AO958" s="194">
        <f t="shared" si="286"/>
        <v>36</v>
      </c>
    </row>
    <row r="959" spans="22:41" x14ac:dyDescent="0.2">
      <c r="V959" s="181">
        <f t="shared" si="273"/>
        <v>460.5</v>
      </c>
      <c r="W959" s="181">
        <f t="shared" si="274"/>
        <v>921</v>
      </c>
      <c r="X959" s="181">
        <f t="shared" si="275"/>
        <v>1</v>
      </c>
      <c r="Y959" s="37">
        <f t="shared" si="276"/>
        <v>1917.1</v>
      </c>
      <c r="Z959" s="181">
        <f t="shared" si="277"/>
        <v>658.5</v>
      </c>
      <c r="AA959" s="127">
        <f t="shared" si="278"/>
        <v>595.21331999999995</v>
      </c>
      <c r="AB959" s="127">
        <f t="shared" si="279"/>
        <v>658.5</v>
      </c>
      <c r="AC959" s="37">
        <f t="shared" si="268"/>
        <v>4351</v>
      </c>
      <c r="AD959" s="37">
        <f t="shared" si="280"/>
        <v>6268.1</v>
      </c>
      <c r="AE959" s="181">
        <f t="shared" si="269"/>
        <v>36</v>
      </c>
      <c r="AF959" s="37">
        <f t="shared" si="281"/>
        <v>25272</v>
      </c>
      <c r="AG959" s="181">
        <f t="shared" si="270"/>
        <v>1500.8999999999999</v>
      </c>
      <c r="AH959" s="111">
        <f t="shared" si="282"/>
        <v>995.21913599999982</v>
      </c>
      <c r="AI959" s="127">
        <f t="shared" si="283"/>
        <v>1500.8999999999999</v>
      </c>
      <c r="AJ959" s="37">
        <f t="shared" si="271"/>
        <v>9405.4</v>
      </c>
      <c r="AK959" s="37">
        <f t="shared" si="284"/>
        <v>34677.4</v>
      </c>
      <c r="AL959" s="37">
        <f t="shared" si="272"/>
        <v>6.8057546145494028</v>
      </c>
      <c r="AN959" s="37" t="str">
        <f t="shared" si="285"/>
        <v>Pallet</v>
      </c>
      <c r="AO959" s="194">
        <f t="shared" si="286"/>
        <v>36</v>
      </c>
    </row>
    <row r="960" spans="22:41" x14ac:dyDescent="0.2">
      <c r="V960" s="181">
        <f t="shared" si="273"/>
        <v>461</v>
      </c>
      <c r="W960" s="181">
        <f t="shared" si="274"/>
        <v>922</v>
      </c>
      <c r="X960" s="181">
        <f t="shared" si="275"/>
        <v>1</v>
      </c>
      <c r="Y960" s="37">
        <f t="shared" si="276"/>
        <v>1917.1</v>
      </c>
      <c r="Z960" s="181">
        <f t="shared" si="277"/>
        <v>659</v>
      </c>
      <c r="AA960" s="127">
        <f t="shared" si="278"/>
        <v>595.21331999999995</v>
      </c>
      <c r="AB960" s="127">
        <f t="shared" si="279"/>
        <v>659</v>
      </c>
      <c r="AC960" s="37">
        <f t="shared" si="268"/>
        <v>4354</v>
      </c>
      <c r="AD960" s="37">
        <f t="shared" si="280"/>
        <v>6271.1</v>
      </c>
      <c r="AE960" s="181">
        <f t="shared" si="269"/>
        <v>36</v>
      </c>
      <c r="AF960" s="37">
        <f t="shared" si="281"/>
        <v>25272</v>
      </c>
      <c r="AG960" s="181">
        <f t="shared" si="270"/>
        <v>1501.3999999999999</v>
      </c>
      <c r="AH960" s="111">
        <f t="shared" si="282"/>
        <v>995.21913599999982</v>
      </c>
      <c r="AI960" s="127">
        <f t="shared" si="283"/>
        <v>1501.3999999999999</v>
      </c>
      <c r="AJ960" s="37">
        <f t="shared" si="271"/>
        <v>9408.4</v>
      </c>
      <c r="AK960" s="37">
        <f t="shared" si="284"/>
        <v>34680.400000000001</v>
      </c>
      <c r="AL960" s="37">
        <f t="shared" si="272"/>
        <v>6.801626898047723</v>
      </c>
      <c r="AN960" s="37" t="str">
        <f t="shared" si="285"/>
        <v>Pallet</v>
      </c>
      <c r="AO960" s="194">
        <f t="shared" si="286"/>
        <v>36</v>
      </c>
    </row>
    <row r="961" spans="22:41" x14ac:dyDescent="0.2">
      <c r="V961" s="181">
        <f t="shared" si="273"/>
        <v>461.5</v>
      </c>
      <c r="W961" s="181">
        <f t="shared" si="274"/>
        <v>923</v>
      </c>
      <c r="X961" s="181">
        <f t="shared" si="275"/>
        <v>1</v>
      </c>
      <c r="Y961" s="37">
        <f t="shared" si="276"/>
        <v>1917.1</v>
      </c>
      <c r="Z961" s="181">
        <f t="shared" si="277"/>
        <v>659.5</v>
      </c>
      <c r="AA961" s="127">
        <f t="shared" si="278"/>
        <v>595.21331999999995</v>
      </c>
      <c r="AB961" s="127">
        <f t="shared" si="279"/>
        <v>659.5</v>
      </c>
      <c r="AC961" s="37">
        <f t="shared" si="268"/>
        <v>4357</v>
      </c>
      <c r="AD961" s="37">
        <f t="shared" si="280"/>
        <v>6274.1</v>
      </c>
      <c r="AE961" s="181">
        <f t="shared" si="269"/>
        <v>36</v>
      </c>
      <c r="AF961" s="37">
        <f t="shared" si="281"/>
        <v>25272</v>
      </c>
      <c r="AG961" s="181">
        <f t="shared" si="270"/>
        <v>1501.8999999999999</v>
      </c>
      <c r="AH961" s="111">
        <f t="shared" si="282"/>
        <v>995.21913599999982</v>
      </c>
      <c r="AI961" s="127">
        <f t="shared" si="283"/>
        <v>1501.8999999999999</v>
      </c>
      <c r="AJ961" s="37">
        <f t="shared" si="271"/>
        <v>9411.4</v>
      </c>
      <c r="AK961" s="37">
        <f t="shared" si="284"/>
        <v>34683.4</v>
      </c>
      <c r="AL961" s="37">
        <f t="shared" si="272"/>
        <v>6.7975081256771404</v>
      </c>
      <c r="AN961" s="37" t="str">
        <f t="shared" si="285"/>
        <v>Pallet</v>
      </c>
      <c r="AO961" s="194">
        <f t="shared" si="286"/>
        <v>36</v>
      </c>
    </row>
    <row r="962" spans="22:41" x14ac:dyDescent="0.2">
      <c r="V962" s="181">
        <f t="shared" si="273"/>
        <v>462</v>
      </c>
      <c r="W962" s="181">
        <f t="shared" si="274"/>
        <v>924</v>
      </c>
      <c r="X962" s="181">
        <f t="shared" si="275"/>
        <v>1</v>
      </c>
      <c r="Y962" s="37">
        <f t="shared" si="276"/>
        <v>1917.1</v>
      </c>
      <c r="Z962" s="181">
        <f t="shared" si="277"/>
        <v>660</v>
      </c>
      <c r="AA962" s="127">
        <f t="shared" si="278"/>
        <v>595.21331999999995</v>
      </c>
      <c r="AB962" s="127">
        <f t="shared" si="279"/>
        <v>660</v>
      </c>
      <c r="AC962" s="37">
        <f t="shared" si="268"/>
        <v>4360</v>
      </c>
      <c r="AD962" s="37">
        <f t="shared" si="280"/>
        <v>6277.1</v>
      </c>
      <c r="AE962" s="181">
        <f t="shared" si="269"/>
        <v>36</v>
      </c>
      <c r="AF962" s="37">
        <f t="shared" si="281"/>
        <v>25272</v>
      </c>
      <c r="AG962" s="181">
        <f t="shared" si="270"/>
        <v>1502.3999999999999</v>
      </c>
      <c r="AH962" s="111">
        <f t="shared" si="282"/>
        <v>995.21913599999982</v>
      </c>
      <c r="AI962" s="127">
        <f t="shared" si="283"/>
        <v>1502.3999999999999</v>
      </c>
      <c r="AJ962" s="37">
        <f t="shared" si="271"/>
        <v>9414.4</v>
      </c>
      <c r="AK962" s="37">
        <f t="shared" si="284"/>
        <v>34686.400000000001</v>
      </c>
      <c r="AL962" s="37">
        <f t="shared" si="272"/>
        <v>6.7933982683982688</v>
      </c>
      <c r="AN962" s="37" t="str">
        <f t="shared" si="285"/>
        <v>Pallet</v>
      </c>
      <c r="AO962" s="194">
        <f t="shared" si="286"/>
        <v>36</v>
      </c>
    </row>
    <row r="963" spans="22:41" x14ac:dyDescent="0.2">
      <c r="V963" s="181">
        <f t="shared" si="273"/>
        <v>462.5</v>
      </c>
      <c r="W963" s="181">
        <f t="shared" si="274"/>
        <v>925</v>
      </c>
      <c r="X963" s="181">
        <f t="shared" si="275"/>
        <v>1</v>
      </c>
      <c r="Y963" s="37">
        <f t="shared" si="276"/>
        <v>1917.1</v>
      </c>
      <c r="Z963" s="181">
        <f t="shared" si="277"/>
        <v>660.5</v>
      </c>
      <c r="AA963" s="127">
        <f t="shared" si="278"/>
        <v>595.21331999999995</v>
      </c>
      <c r="AB963" s="127">
        <f t="shared" si="279"/>
        <v>660.5</v>
      </c>
      <c r="AC963" s="37">
        <f t="shared" si="268"/>
        <v>4363</v>
      </c>
      <c r="AD963" s="37">
        <f t="shared" si="280"/>
        <v>6280.1</v>
      </c>
      <c r="AE963" s="181">
        <f t="shared" si="269"/>
        <v>36</v>
      </c>
      <c r="AF963" s="37">
        <f t="shared" si="281"/>
        <v>25272</v>
      </c>
      <c r="AG963" s="181">
        <f t="shared" si="270"/>
        <v>1502.8999999999999</v>
      </c>
      <c r="AH963" s="111">
        <f t="shared" si="282"/>
        <v>995.21913599999982</v>
      </c>
      <c r="AI963" s="127">
        <f t="shared" si="283"/>
        <v>1502.8999999999999</v>
      </c>
      <c r="AJ963" s="37">
        <f t="shared" si="271"/>
        <v>9417.4</v>
      </c>
      <c r="AK963" s="37">
        <f t="shared" si="284"/>
        <v>34689.4</v>
      </c>
      <c r="AL963" s="37">
        <f t="shared" si="272"/>
        <v>6.7892972972972974</v>
      </c>
      <c r="AN963" s="37" t="str">
        <f t="shared" si="285"/>
        <v>Pallet</v>
      </c>
      <c r="AO963" s="194">
        <f t="shared" si="286"/>
        <v>36</v>
      </c>
    </row>
    <row r="964" spans="22:41" x14ac:dyDescent="0.2">
      <c r="V964" s="181">
        <f t="shared" si="273"/>
        <v>463</v>
      </c>
      <c r="W964" s="181">
        <f t="shared" si="274"/>
        <v>926</v>
      </c>
      <c r="X964" s="181">
        <f t="shared" si="275"/>
        <v>1</v>
      </c>
      <c r="Y964" s="37">
        <f t="shared" si="276"/>
        <v>1917.1</v>
      </c>
      <c r="Z964" s="181">
        <f t="shared" si="277"/>
        <v>661</v>
      </c>
      <c r="AA964" s="127">
        <f t="shared" si="278"/>
        <v>595.21331999999995</v>
      </c>
      <c r="AB964" s="127">
        <f t="shared" si="279"/>
        <v>661</v>
      </c>
      <c r="AC964" s="37">
        <f t="shared" si="268"/>
        <v>4366</v>
      </c>
      <c r="AD964" s="37">
        <f t="shared" si="280"/>
        <v>6283.1</v>
      </c>
      <c r="AE964" s="181">
        <f t="shared" si="269"/>
        <v>36</v>
      </c>
      <c r="AF964" s="37">
        <f t="shared" si="281"/>
        <v>25272</v>
      </c>
      <c r="AG964" s="181">
        <f t="shared" si="270"/>
        <v>1503.3999999999999</v>
      </c>
      <c r="AH964" s="111">
        <f t="shared" si="282"/>
        <v>995.21913599999982</v>
      </c>
      <c r="AI964" s="127">
        <f t="shared" si="283"/>
        <v>1503.3999999999999</v>
      </c>
      <c r="AJ964" s="37">
        <f t="shared" si="271"/>
        <v>9420.4</v>
      </c>
      <c r="AK964" s="37">
        <f t="shared" si="284"/>
        <v>34692.400000000001</v>
      </c>
      <c r="AL964" s="37">
        <f t="shared" si="272"/>
        <v>6.7852051835853135</v>
      </c>
      <c r="AN964" s="37" t="str">
        <f t="shared" si="285"/>
        <v>Pallet</v>
      </c>
      <c r="AO964" s="194">
        <f t="shared" si="286"/>
        <v>36</v>
      </c>
    </row>
    <row r="965" spans="22:41" x14ac:dyDescent="0.2">
      <c r="V965" s="181">
        <f t="shared" si="273"/>
        <v>463.5</v>
      </c>
      <c r="W965" s="181">
        <f t="shared" si="274"/>
        <v>927</v>
      </c>
      <c r="X965" s="181">
        <f t="shared" si="275"/>
        <v>1</v>
      </c>
      <c r="Y965" s="37">
        <f t="shared" si="276"/>
        <v>1917.1</v>
      </c>
      <c r="Z965" s="181">
        <f t="shared" si="277"/>
        <v>661.5</v>
      </c>
      <c r="AA965" s="127">
        <f t="shared" si="278"/>
        <v>595.21331999999995</v>
      </c>
      <c r="AB965" s="127">
        <f t="shared" si="279"/>
        <v>661.5</v>
      </c>
      <c r="AC965" s="37">
        <f t="shared" si="268"/>
        <v>4369</v>
      </c>
      <c r="AD965" s="37">
        <f t="shared" si="280"/>
        <v>6286.1</v>
      </c>
      <c r="AE965" s="181">
        <f t="shared" si="269"/>
        <v>36</v>
      </c>
      <c r="AF965" s="37">
        <f t="shared" si="281"/>
        <v>25272</v>
      </c>
      <c r="AG965" s="181">
        <f t="shared" si="270"/>
        <v>1503.8999999999999</v>
      </c>
      <c r="AH965" s="111">
        <f t="shared" si="282"/>
        <v>995.21913599999982</v>
      </c>
      <c r="AI965" s="127">
        <f t="shared" si="283"/>
        <v>1503.8999999999999</v>
      </c>
      <c r="AJ965" s="37">
        <f t="shared" si="271"/>
        <v>9423.4</v>
      </c>
      <c r="AK965" s="37">
        <f t="shared" si="284"/>
        <v>34695.4</v>
      </c>
      <c r="AL965" s="37">
        <f t="shared" si="272"/>
        <v>6.7811218985976272</v>
      </c>
      <c r="AN965" s="37" t="str">
        <f t="shared" si="285"/>
        <v>Pallet</v>
      </c>
      <c r="AO965" s="194">
        <f t="shared" si="286"/>
        <v>36</v>
      </c>
    </row>
    <row r="966" spans="22:41" x14ac:dyDescent="0.2">
      <c r="V966" s="181">
        <f t="shared" si="273"/>
        <v>464</v>
      </c>
      <c r="W966" s="181">
        <f t="shared" si="274"/>
        <v>928</v>
      </c>
      <c r="X966" s="181">
        <f t="shared" si="275"/>
        <v>1</v>
      </c>
      <c r="Y966" s="37">
        <f t="shared" si="276"/>
        <v>1917.1</v>
      </c>
      <c r="Z966" s="181">
        <f t="shared" si="277"/>
        <v>662</v>
      </c>
      <c r="AA966" s="127">
        <f t="shared" si="278"/>
        <v>595.21331999999995</v>
      </c>
      <c r="AB966" s="127">
        <f t="shared" si="279"/>
        <v>662</v>
      </c>
      <c r="AC966" s="37">
        <f t="shared" si="268"/>
        <v>4372</v>
      </c>
      <c r="AD966" s="37">
        <f t="shared" si="280"/>
        <v>6289.1</v>
      </c>
      <c r="AE966" s="181">
        <f t="shared" si="269"/>
        <v>36</v>
      </c>
      <c r="AF966" s="37">
        <f t="shared" si="281"/>
        <v>25272</v>
      </c>
      <c r="AG966" s="181">
        <f t="shared" si="270"/>
        <v>1504.3999999999999</v>
      </c>
      <c r="AH966" s="111">
        <f t="shared" si="282"/>
        <v>995.21913599999982</v>
      </c>
      <c r="AI966" s="127">
        <f t="shared" si="283"/>
        <v>1504.3999999999999</v>
      </c>
      <c r="AJ966" s="37">
        <f t="shared" si="271"/>
        <v>9426.4</v>
      </c>
      <c r="AK966" s="37">
        <f t="shared" si="284"/>
        <v>34698.400000000001</v>
      </c>
      <c r="AL966" s="37">
        <f t="shared" si="272"/>
        <v>6.7770474137931043</v>
      </c>
      <c r="AN966" s="37" t="str">
        <f t="shared" si="285"/>
        <v>Pallet</v>
      </c>
      <c r="AO966" s="194">
        <f t="shared" si="286"/>
        <v>36</v>
      </c>
    </row>
    <row r="967" spans="22:41" x14ac:dyDescent="0.2">
      <c r="V967" s="181">
        <f t="shared" si="273"/>
        <v>464.5</v>
      </c>
      <c r="W967" s="181">
        <f t="shared" si="274"/>
        <v>929</v>
      </c>
      <c r="X967" s="181">
        <f t="shared" si="275"/>
        <v>1</v>
      </c>
      <c r="Y967" s="37">
        <f t="shared" si="276"/>
        <v>1917.1</v>
      </c>
      <c r="Z967" s="181">
        <f t="shared" si="277"/>
        <v>662.5</v>
      </c>
      <c r="AA967" s="127">
        <f t="shared" si="278"/>
        <v>595.21331999999995</v>
      </c>
      <c r="AB967" s="127">
        <f t="shared" si="279"/>
        <v>662.5</v>
      </c>
      <c r="AC967" s="37">
        <f t="shared" si="268"/>
        <v>4375</v>
      </c>
      <c r="AD967" s="37">
        <f t="shared" si="280"/>
        <v>6292.1</v>
      </c>
      <c r="AE967" s="181">
        <f t="shared" si="269"/>
        <v>37</v>
      </c>
      <c r="AF967" s="37">
        <f t="shared" si="281"/>
        <v>25974</v>
      </c>
      <c r="AG967" s="181">
        <f t="shared" si="270"/>
        <v>1533.8</v>
      </c>
      <c r="AH967" s="111">
        <f t="shared" si="282"/>
        <v>1022.8641119999999</v>
      </c>
      <c r="AI967" s="127">
        <f t="shared" si="283"/>
        <v>1533.8</v>
      </c>
      <c r="AJ967" s="37">
        <f t="shared" si="271"/>
        <v>9602.7999999999993</v>
      </c>
      <c r="AK967" s="37">
        <f t="shared" si="284"/>
        <v>35576.800000000003</v>
      </c>
      <c r="AL967" s="37">
        <f t="shared" si="272"/>
        <v>6.7729817007534985</v>
      </c>
      <c r="AN967" s="37" t="str">
        <f t="shared" si="285"/>
        <v>Pallet</v>
      </c>
      <c r="AO967" s="194">
        <f t="shared" si="286"/>
        <v>36</v>
      </c>
    </row>
    <row r="968" spans="22:41" x14ac:dyDescent="0.2">
      <c r="V968" s="181">
        <f t="shared" si="273"/>
        <v>465</v>
      </c>
      <c r="W968" s="181">
        <f t="shared" si="274"/>
        <v>930</v>
      </c>
      <c r="X968" s="181">
        <f t="shared" si="275"/>
        <v>1</v>
      </c>
      <c r="Y968" s="37">
        <f t="shared" si="276"/>
        <v>1917.1</v>
      </c>
      <c r="Z968" s="181">
        <f t="shared" si="277"/>
        <v>663</v>
      </c>
      <c r="AA968" s="127">
        <f t="shared" si="278"/>
        <v>595.21331999999995</v>
      </c>
      <c r="AB968" s="127">
        <f t="shared" si="279"/>
        <v>663</v>
      </c>
      <c r="AC968" s="37">
        <f t="shared" si="268"/>
        <v>4378</v>
      </c>
      <c r="AD968" s="37">
        <f t="shared" si="280"/>
        <v>6295.1</v>
      </c>
      <c r="AE968" s="181">
        <f t="shared" si="269"/>
        <v>37</v>
      </c>
      <c r="AF968" s="37">
        <f t="shared" si="281"/>
        <v>25974</v>
      </c>
      <c r="AG968" s="181">
        <f t="shared" si="270"/>
        <v>1534.3</v>
      </c>
      <c r="AH968" s="111">
        <f t="shared" si="282"/>
        <v>1022.8641119999999</v>
      </c>
      <c r="AI968" s="127">
        <f t="shared" si="283"/>
        <v>1534.3</v>
      </c>
      <c r="AJ968" s="37">
        <f t="shared" si="271"/>
        <v>9605.7999999999993</v>
      </c>
      <c r="AK968" s="37">
        <f t="shared" si="284"/>
        <v>35579.800000000003</v>
      </c>
      <c r="AL968" s="37">
        <f t="shared" si="272"/>
        <v>6.7689247311827963</v>
      </c>
      <c r="AN968" s="37" t="str">
        <f t="shared" si="285"/>
        <v>Pallet</v>
      </c>
      <c r="AO968" s="194">
        <f t="shared" si="286"/>
        <v>37</v>
      </c>
    </row>
    <row r="969" spans="22:41" x14ac:dyDescent="0.2">
      <c r="V969" s="181">
        <f t="shared" si="273"/>
        <v>465.5</v>
      </c>
      <c r="W969" s="181">
        <f t="shared" si="274"/>
        <v>931</v>
      </c>
      <c r="X969" s="181">
        <f t="shared" si="275"/>
        <v>1</v>
      </c>
      <c r="Y969" s="37">
        <f t="shared" si="276"/>
        <v>1917.1</v>
      </c>
      <c r="Z969" s="181">
        <f t="shared" si="277"/>
        <v>663.5</v>
      </c>
      <c r="AA969" s="127">
        <f t="shared" si="278"/>
        <v>595.21331999999995</v>
      </c>
      <c r="AB969" s="127">
        <f t="shared" si="279"/>
        <v>663.5</v>
      </c>
      <c r="AC969" s="37">
        <f t="shared" si="268"/>
        <v>4381</v>
      </c>
      <c r="AD969" s="37">
        <f t="shared" si="280"/>
        <v>6298.1</v>
      </c>
      <c r="AE969" s="181">
        <f t="shared" si="269"/>
        <v>37</v>
      </c>
      <c r="AF969" s="37">
        <f t="shared" si="281"/>
        <v>25974</v>
      </c>
      <c r="AG969" s="181">
        <f t="shared" si="270"/>
        <v>1534.8</v>
      </c>
      <c r="AH969" s="111">
        <f t="shared" si="282"/>
        <v>1022.8641119999999</v>
      </c>
      <c r="AI969" s="127">
        <f t="shared" si="283"/>
        <v>1534.8</v>
      </c>
      <c r="AJ969" s="37">
        <f t="shared" si="271"/>
        <v>9608.7999999999993</v>
      </c>
      <c r="AK969" s="37">
        <f t="shared" si="284"/>
        <v>35582.800000000003</v>
      </c>
      <c r="AL969" s="37">
        <f t="shared" si="272"/>
        <v>6.7648764769065526</v>
      </c>
      <c r="AN969" s="37" t="str">
        <f t="shared" si="285"/>
        <v>Pallet</v>
      </c>
      <c r="AO969" s="194">
        <f t="shared" si="286"/>
        <v>37</v>
      </c>
    </row>
    <row r="970" spans="22:41" x14ac:dyDescent="0.2">
      <c r="V970" s="181">
        <f t="shared" si="273"/>
        <v>466</v>
      </c>
      <c r="W970" s="181">
        <f t="shared" si="274"/>
        <v>932</v>
      </c>
      <c r="X970" s="181">
        <f t="shared" si="275"/>
        <v>1</v>
      </c>
      <c r="Y970" s="37">
        <f t="shared" si="276"/>
        <v>1917.1</v>
      </c>
      <c r="Z970" s="181">
        <f t="shared" si="277"/>
        <v>664</v>
      </c>
      <c r="AA970" s="127">
        <f t="shared" si="278"/>
        <v>595.21331999999995</v>
      </c>
      <c r="AB970" s="127">
        <f t="shared" si="279"/>
        <v>664</v>
      </c>
      <c r="AC970" s="37">
        <f t="shared" si="268"/>
        <v>4384</v>
      </c>
      <c r="AD970" s="37">
        <f t="shared" si="280"/>
        <v>6301.1</v>
      </c>
      <c r="AE970" s="181">
        <f t="shared" si="269"/>
        <v>37</v>
      </c>
      <c r="AF970" s="37">
        <f t="shared" si="281"/>
        <v>25974</v>
      </c>
      <c r="AG970" s="181">
        <f t="shared" si="270"/>
        <v>1535.3</v>
      </c>
      <c r="AH970" s="111">
        <f t="shared" si="282"/>
        <v>1022.8641119999999</v>
      </c>
      <c r="AI970" s="127">
        <f t="shared" si="283"/>
        <v>1535.3</v>
      </c>
      <c r="AJ970" s="37">
        <f t="shared" si="271"/>
        <v>9611.7999999999993</v>
      </c>
      <c r="AK970" s="37">
        <f t="shared" si="284"/>
        <v>35585.800000000003</v>
      </c>
      <c r="AL970" s="37">
        <f t="shared" si="272"/>
        <v>6.7608369098712453</v>
      </c>
      <c r="AN970" s="37" t="str">
        <f t="shared" si="285"/>
        <v>Pallet</v>
      </c>
      <c r="AO970" s="194">
        <f t="shared" si="286"/>
        <v>37</v>
      </c>
    </row>
    <row r="971" spans="22:41" x14ac:dyDescent="0.2">
      <c r="V971" s="181">
        <f t="shared" si="273"/>
        <v>466.5</v>
      </c>
      <c r="W971" s="181">
        <f t="shared" si="274"/>
        <v>933</v>
      </c>
      <c r="X971" s="181">
        <f t="shared" si="275"/>
        <v>1</v>
      </c>
      <c r="Y971" s="37">
        <f t="shared" si="276"/>
        <v>1917.1</v>
      </c>
      <c r="Z971" s="181">
        <f t="shared" si="277"/>
        <v>664.5</v>
      </c>
      <c r="AA971" s="127">
        <f t="shared" si="278"/>
        <v>595.21331999999995</v>
      </c>
      <c r="AB971" s="127">
        <f t="shared" si="279"/>
        <v>664.5</v>
      </c>
      <c r="AC971" s="37">
        <f t="shared" si="268"/>
        <v>4387</v>
      </c>
      <c r="AD971" s="37">
        <f t="shared" si="280"/>
        <v>6304.1</v>
      </c>
      <c r="AE971" s="181">
        <f t="shared" si="269"/>
        <v>37</v>
      </c>
      <c r="AF971" s="37">
        <f t="shared" si="281"/>
        <v>25974</v>
      </c>
      <c r="AG971" s="181">
        <f t="shared" si="270"/>
        <v>1535.8</v>
      </c>
      <c r="AH971" s="111">
        <f t="shared" si="282"/>
        <v>1022.8641119999999</v>
      </c>
      <c r="AI971" s="127">
        <f t="shared" si="283"/>
        <v>1535.8</v>
      </c>
      <c r="AJ971" s="37">
        <f t="shared" si="271"/>
        <v>9614.7999999999993</v>
      </c>
      <c r="AK971" s="37">
        <f t="shared" si="284"/>
        <v>35588.800000000003</v>
      </c>
      <c r="AL971" s="37">
        <f t="shared" si="272"/>
        <v>6.7568060021436231</v>
      </c>
      <c r="AN971" s="37" t="str">
        <f t="shared" si="285"/>
        <v>Pallet</v>
      </c>
      <c r="AO971" s="194">
        <f t="shared" si="286"/>
        <v>37</v>
      </c>
    </row>
    <row r="972" spans="22:41" x14ac:dyDescent="0.2">
      <c r="V972" s="181">
        <f t="shared" si="273"/>
        <v>467</v>
      </c>
      <c r="W972" s="181">
        <f t="shared" si="274"/>
        <v>934</v>
      </c>
      <c r="X972" s="181">
        <f t="shared" si="275"/>
        <v>1</v>
      </c>
      <c r="Y972" s="37">
        <f t="shared" si="276"/>
        <v>1917.1</v>
      </c>
      <c r="Z972" s="181">
        <f t="shared" si="277"/>
        <v>665</v>
      </c>
      <c r="AA972" s="127">
        <f t="shared" si="278"/>
        <v>595.21331999999995</v>
      </c>
      <c r="AB972" s="127">
        <f t="shared" si="279"/>
        <v>665</v>
      </c>
      <c r="AC972" s="37">
        <f t="shared" si="268"/>
        <v>4390</v>
      </c>
      <c r="AD972" s="37">
        <f t="shared" si="280"/>
        <v>6307.1</v>
      </c>
      <c r="AE972" s="181">
        <f t="shared" si="269"/>
        <v>37</v>
      </c>
      <c r="AF972" s="37">
        <f t="shared" si="281"/>
        <v>25974</v>
      </c>
      <c r="AG972" s="181">
        <f t="shared" si="270"/>
        <v>1536.3</v>
      </c>
      <c r="AH972" s="111">
        <f t="shared" si="282"/>
        <v>1022.8641119999999</v>
      </c>
      <c r="AI972" s="127">
        <f t="shared" si="283"/>
        <v>1536.3</v>
      </c>
      <c r="AJ972" s="37">
        <f t="shared" si="271"/>
        <v>9617.7999999999993</v>
      </c>
      <c r="AK972" s="37">
        <f t="shared" si="284"/>
        <v>35591.800000000003</v>
      </c>
      <c r="AL972" s="37">
        <f t="shared" si="272"/>
        <v>6.7527837259100645</v>
      </c>
      <c r="AN972" s="37" t="str">
        <f t="shared" si="285"/>
        <v>Pallet</v>
      </c>
      <c r="AO972" s="194">
        <f t="shared" si="286"/>
        <v>37</v>
      </c>
    </row>
    <row r="973" spans="22:41" x14ac:dyDescent="0.2">
      <c r="V973" s="181">
        <f t="shared" si="273"/>
        <v>467.5</v>
      </c>
      <c r="W973" s="181">
        <f t="shared" si="274"/>
        <v>935</v>
      </c>
      <c r="X973" s="181">
        <f t="shared" si="275"/>
        <v>1</v>
      </c>
      <c r="Y973" s="37">
        <f t="shared" si="276"/>
        <v>1917.1</v>
      </c>
      <c r="Z973" s="181">
        <f t="shared" si="277"/>
        <v>665.5</v>
      </c>
      <c r="AA973" s="127">
        <f t="shared" si="278"/>
        <v>595.21331999999995</v>
      </c>
      <c r="AB973" s="127">
        <f t="shared" si="279"/>
        <v>665.5</v>
      </c>
      <c r="AC973" s="37">
        <f t="shared" si="268"/>
        <v>4393</v>
      </c>
      <c r="AD973" s="37">
        <f t="shared" si="280"/>
        <v>6310.1</v>
      </c>
      <c r="AE973" s="181">
        <f t="shared" si="269"/>
        <v>37</v>
      </c>
      <c r="AF973" s="37">
        <f t="shared" si="281"/>
        <v>25974</v>
      </c>
      <c r="AG973" s="181">
        <f t="shared" si="270"/>
        <v>1536.8</v>
      </c>
      <c r="AH973" s="111">
        <f t="shared" si="282"/>
        <v>1022.8641119999999</v>
      </c>
      <c r="AI973" s="127">
        <f t="shared" si="283"/>
        <v>1536.8</v>
      </c>
      <c r="AJ973" s="37">
        <f t="shared" si="271"/>
        <v>9620.7999999999993</v>
      </c>
      <c r="AK973" s="37">
        <f t="shared" si="284"/>
        <v>35594.800000000003</v>
      </c>
      <c r="AL973" s="37">
        <f t="shared" si="272"/>
        <v>6.7487700534759361</v>
      </c>
      <c r="AN973" s="37" t="str">
        <f t="shared" si="285"/>
        <v>Pallet</v>
      </c>
      <c r="AO973" s="194">
        <f t="shared" si="286"/>
        <v>37</v>
      </c>
    </row>
    <row r="974" spans="22:41" x14ac:dyDescent="0.2">
      <c r="V974" s="181">
        <f t="shared" si="273"/>
        <v>468</v>
      </c>
      <c r="W974" s="181">
        <f t="shared" si="274"/>
        <v>936</v>
      </c>
      <c r="X974" s="181">
        <f t="shared" si="275"/>
        <v>1</v>
      </c>
      <c r="Y974" s="37">
        <f t="shared" si="276"/>
        <v>1917.1</v>
      </c>
      <c r="Z974" s="181">
        <f t="shared" si="277"/>
        <v>666</v>
      </c>
      <c r="AA974" s="127">
        <f t="shared" si="278"/>
        <v>595.21331999999995</v>
      </c>
      <c r="AB974" s="127">
        <f t="shared" si="279"/>
        <v>666</v>
      </c>
      <c r="AC974" s="37">
        <f t="shared" si="268"/>
        <v>4396</v>
      </c>
      <c r="AD974" s="37">
        <f t="shared" si="280"/>
        <v>6313.1</v>
      </c>
      <c r="AE974" s="181">
        <f t="shared" si="269"/>
        <v>37</v>
      </c>
      <c r="AF974" s="37">
        <f t="shared" si="281"/>
        <v>25974</v>
      </c>
      <c r="AG974" s="181">
        <f t="shared" si="270"/>
        <v>1537.3</v>
      </c>
      <c r="AH974" s="111">
        <f t="shared" si="282"/>
        <v>1022.8641119999999</v>
      </c>
      <c r="AI974" s="127">
        <f t="shared" si="283"/>
        <v>1537.3</v>
      </c>
      <c r="AJ974" s="37">
        <f t="shared" si="271"/>
        <v>9623.7999999999993</v>
      </c>
      <c r="AK974" s="37">
        <f t="shared" si="284"/>
        <v>35597.800000000003</v>
      </c>
      <c r="AL974" s="37">
        <f t="shared" si="272"/>
        <v>6.7447649572649579</v>
      </c>
      <c r="AN974" s="37" t="str">
        <f t="shared" si="285"/>
        <v>Pallet</v>
      </c>
      <c r="AO974" s="194">
        <f t="shared" si="286"/>
        <v>37</v>
      </c>
    </row>
    <row r="975" spans="22:41" x14ac:dyDescent="0.2">
      <c r="V975" s="181">
        <f t="shared" si="273"/>
        <v>468.5</v>
      </c>
      <c r="W975" s="181">
        <f t="shared" si="274"/>
        <v>937</v>
      </c>
      <c r="X975" s="181">
        <f t="shared" si="275"/>
        <v>1</v>
      </c>
      <c r="Y975" s="37">
        <f t="shared" si="276"/>
        <v>1917.1</v>
      </c>
      <c r="Z975" s="181">
        <f t="shared" si="277"/>
        <v>666.5</v>
      </c>
      <c r="AA975" s="127">
        <f t="shared" si="278"/>
        <v>595.21331999999995</v>
      </c>
      <c r="AB975" s="127">
        <f t="shared" si="279"/>
        <v>666.5</v>
      </c>
      <c r="AC975" s="37">
        <f t="shared" si="268"/>
        <v>4399</v>
      </c>
      <c r="AD975" s="37">
        <f t="shared" si="280"/>
        <v>6316.1</v>
      </c>
      <c r="AE975" s="181">
        <f t="shared" si="269"/>
        <v>37</v>
      </c>
      <c r="AF975" s="37">
        <f t="shared" si="281"/>
        <v>25974</v>
      </c>
      <c r="AG975" s="181">
        <f t="shared" si="270"/>
        <v>1537.8</v>
      </c>
      <c r="AH975" s="111">
        <f t="shared" si="282"/>
        <v>1022.8641119999999</v>
      </c>
      <c r="AI975" s="127">
        <f t="shared" si="283"/>
        <v>1537.8</v>
      </c>
      <c r="AJ975" s="37">
        <f t="shared" si="271"/>
        <v>9626.7999999999993</v>
      </c>
      <c r="AK975" s="37">
        <f t="shared" si="284"/>
        <v>35600.800000000003</v>
      </c>
      <c r="AL975" s="37">
        <f t="shared" si="272"/>
        <v>6.7407684098185703</v>
      </c>
      <c r="AN975" s="37" t="str">
        <f t="shared" si="285"/>
        <v>Pallet</v>
      </c>
      <c r="AO975" s="194">
        <f t="shared" si="286"/>
        <v>37</v>
      </c>
    </row>
    <row r="976" spans="22:41" x14ac:dyDescent="0.2">
      <c r="V976" s="181">
        <f t="shared" si="273"/>
        <v>469</v>
      </c>
      <c r="W976" s="181">
        <f t="shared" si="274"/>
        <v>938</v>
      </c>
      <c r="X976" s="181">
        <f t="shared" si="275"/>
        <v>1</v>
      </c>
      <c r="Y976" s="37">
        <f t="shared" si="276"/>
        <v>1917.1</v>
      </c>
      <c r="Z976" s="181">
        <f t="shared" si="277"/>
        <v>667</v>
      </c>
      <c r="AA976" s="127">
        <f t="shared" si="278"/>
        <v>595.21331999999995</v>
      </c>
      <c r="AB976" s="127">
        <f t="shared" si="279"/>
        <v>667</v>
      </c>
      <c r="AC976" s="37">
        <f t="shared" si="268"/>
        <v>4402</v>
      </c>
      <c r="AD976" s="37">
        <f t="shared" si="280"/>
        <v>6319.1</v>
      </c>
      <c r="AE976" s="181">
        <f t="shared" si="269"/>
        <v>37</v>
      </c>
      <c r="AF976" s="37">
        <f t="shared" si="281"/>
        <v>25974</v>
      </c>
      <c r="AG976" s="181">
        <f t="shared" si="270"/>
        <v>1538.3</v>
      </c>
      <c r="AH976" s="111">
        <f t="shared" si="282"/>
        <v>1022.8641119999999</v>
      </c>
      <c r="AI976" s="127">
        <f t="shared" si="283"/>
        <v>1538.3</v>
      </c>
      <c r="AJ976" s="37">
        <f t="shared" si="271"/>
        <v>9629.7999999999993</v>
      </c>
      <c r="AK976" s="37">
        <f t="shared" si="284"/>
        <v>35603.800000000003</v>
      </c>
      <c r="AL976" s="37">
        <f t="shared" si="272"/>
        <v>6.7367803837953097</v>
      </c>
      <c r="AN976" s="37" t="str">
        <f t="shared" si="285"/>
        <v>Pallet</v>
      </c>
      <c r="AO976" s="194">
        <f t="shared" si="286"/>
        <v>37</v>
      </c>
    </row>
    <row r="977" spans="22:41" x14ac:dyDescent="0.2">
      <c r="V977" s="181">
        <f t="shared" si="273"/>
        <v>469.5</v>
      </c>
      <c r="W977" s="181">
        <f t="shared" si="274"/>
        <v>939</v>
      </c>
      <c r="X977" s="181">
        <f t="shared" si="275"/>
        <v>1</v>
      </c>
      <c r="Y977" s="37">
        <f t="shared" si="276"/>
        <v>1917.1</v>
      </c>
      <c r="Z977" s="181">
        <f t="shared" si="277"/>
        <v>667.5</v>
      </c>
      <c r="AA977" s="127">
        <f t="shared" si="278"/>
        <v>595.21331999999995</v>
      </c>
      <c r="AB977" s="127">
        <f t="shared" si="279"/>
        <v>667.5</v>
      </c>
      <c r="AC977" s="37">
        <f t="shared" si="268"/>
        <v>4405</v>
      </c>
      <c r="AD977" s="37">
        <f t="shared" si="280"/>
        <v>6322.1</v>
      </c>
      <c r="AE977" s="181">
        <f t="shared" si="269"/>
        <v>37</v>
      </c>
      <c r="AF977" s="37">
        <f t="shared" si="281"/>
        <v>25974</v>
      </c>
      <c r="AG977" s="181">
        <f t="shared" si="270"/>
        <v>1538.8</v>
      </c>
      <c r="AH977" s="111">
        <f t="shared" si="282"/>
        <v>1022.8641119999999</v>
      </c>
      <c r="AI977" s="127">
        <f t="shared" si="283"/>
        <v>1538.8</v>
      </c>
      <c r="AJ977" s="37">
        <f t="shared" si="271"/>
        <v>9632.7999999999993</v>
      </c>
      <c r="AK977" s="37">
        <f t="shared" si="284"/>
        <v>35606.800000000003</v>
      </c>
      <c r="AL977" s="37">
        <f t="shared" si="272"/>
        <v>6.7328008519701816</v>
      </c>
      <c r="AN977" s="37" t="str">
        <f t="shared" si="285"/>
        <v>Pallet</v>
      </c>
      <c r="AO977" s="194">
        <f t="shared" si="286"/>
        <v>37</v>
      </c>
    </row>
    <row r="978" spans="22:41" x14ac:dyDescent="0.2">
      <c r="V978" s="181">
        <f t="shared" si="273"/>
        <v>470</v>
      </c>
      <c r="W978" s="181">
        <f t="shared" si="274"/>
        <v>940</v>
      </c>
      <c r="X978" s="181">
        <f t="shared" si="275"/>
        <v>1</v>
      </c>
      <c r="Y978" s="37">
        <f t="shared" si="276"/>
        <v>1917.1</v>
      </c>
      <c r="Z978" s="181">
        <f t="shared" si="277"/>
        <v>668</v>
      </c>
      <c r="AA978" s="127">
        <f t="shared" si="278"/>
        <v>595.21331999999995</v>
      </c>
      <c r="AB978" s="127">
        <f t="shared" si="279"/>
        <v>668</v>
      </c>
      <c r="AC978" s="37">
        <f t="shared" si="268"/>
        <v>4408</v>
      </c>
      <c r="AD978" s="37">
        <f t="shared" si="280"/>
        <v>6325.1</v>
      </c>
      <c r="AE978" s="181">
        <f t="shared" si="269"/>
        <v>37</v>
      </c>
      <c r="AF978" s="37">
        <f t="shared" si="281"/>
        <v>25974</v>
      </c>
      <c r="AG978" s="181">
        <f t="shared" si="270"/>
        <v>1539.3</v>
      </c>
      <c r="AH978" s="111">
        <f t="shared" si="282"/>
        <v>1022.8641119999999</v>
      </c>
      <c r="AI978" s="127">
        <f t="shared" si="283"/>
        <v>1539.3</v>
      </c>
      <c r="AJ978" s="37">
        <f t="shared" si="271"/>
        <v>9635.7999999999993</v>
      </c>
      <c r="AK978" s="37">
        <f t="shared" si="284"/>
        <v>35609.800000000003</v>
      </c>
      <c r="AL978" s="37">
        <f t="shared" si="272"/>
        <v>6.7288297872340426</v>
      </c>
      <c r="AN978" s="37" t="str">
        <f t="shared" si="285"/>
        <v>Pallet</v>
      </c>
      <c r="AO978" s="194">
        <f t="shared" si="286"/>
        <v>37</v>
      </c>
    </row>
    <row r="979" spans="22:41" x14ac:dyDescent="0.2">
      <c r="V979" s="181">
        <f t="shared" si="273"/>
        <v>470.5</v>
      </c>
      <c r="W979" s="181">
        <f t="shared" si="274"/>
        <v>941</v>
      </c>
      <c r="X979" s="181">
        <f t="shared" si="275"/>
        <v>1</v>
      </c>
      <c r="Y979" s="37">
        <f t="shared" si="276"/>
        <v>1917.1</v>
      </c>
      <c r="Z979" s="181">
        <f t="shared" si="277"/>
        <v>668.5</v>
      </c>
      <c r="AA979" s="127">
        <f t="shared" si="278"/>
        <v>595.21331999999995</v>
      </c>
      <c r="AB979" s="127">
        <f t="shared" si="279"/>
        <v>668.5</v>
      </c>
      <c r="AC979" s="37">
        <f t="shared" si="268"/>
        <v>4411</v>
      </c>
      <c r="AD979" s="37">
        <f t="shared" si="280"/>
        <v>6328.1</v>
      </c>
      <c r="AE979" s="181">
        <f t="shared" si="269"/>
        <v>37</v>
      </c>
      <c r="AF979" s="37">
        <f t="shared" si="281"/>
        <v>25974</v>
      </c>
      <c r="AG979" s="181">
        <f t="shared" si="270"/>
        <v>1539.8</v>
      </c>
      <c r="AH979" s="111">
        <f t="shared" si="282"/>
        <v>1022.8641119999999</v>
      </c>
      <c r="AI979" s="127">
        <f t="shared" si="283"/>
        <v>1539.8</v>
      </c>
      <c r="AJ979" s="37">
        <f t="shared" si="271"/>
        <v>9638.7999999999993</v>
      </c>
      <c r="AK979" s="37">
        <f t="shared" si="284"/>
        <v>35612.800000000003</v>
      </c>
      <c r="AL979" s="37">
        <f t="shared" si="272"/>
        <v>6.7248671625929868</v>
      </c>
      <c r="AN979" s="37" t="str">
        <f t="shared" si="285"/>
        <v>Pallet</v>
      </c>
      <c r="AO979" s="194">
        <f t="shared" si="286"/>
        <v>37</v>
      </c>
    </row>
    <row r="980" spans="22:41" x14ac:dyDescent="0.2">
      <c r="V980" s="181">
        <f t="shared" si="273"/>
        <v>471</v>
      </c>
      <c r="W980" s="181">
        <f t="shared" si="274"/>
        <v>942</v>
      </c>
      <c r="X980" s="181">
        <f t="shared" si="275"/>
        <v>1</v>
      </c>
      <c r="Y980" s="37">
        <f t="shared" si="276"/>
        <v>1917.1</v>
      </c>
      <c r="Z980" s="181">
        <f t="shared" si="277"/>
        <v>669</v>
      </c>
      <c r="AA980" s="127">
        <f t="shared" si="278"/>
        <v>595.21331999999995</v>
      </c>
      <c r="AB980" s="127">
        <f t="shared" si="279"/>
        <v>669</v>
      </c>
      <c r="AC980" s="37">
        <f t="shared" si="268"/>
        <v>4414</v>
      </c>
      <c r="AD980" s="37">
        <f t="shared" si="280"/>
        <v>6331.1</v>
      </c>
      <c r="AE980" s="181">
        <f t="shared" si="269"/>
        <v>37</v>
      </c>
      <c r="AF980" s="37">
        <f t="shared" si="281"/>
        <v>25974</v>
      </c>
      <c r="AG980" s="181">
        <f t="shared" si="270"/>
        <v>1540.3</v>
      </c>
      <c r="AH980" s="111">
        <f t="shared" si="282"/>
        <v>1022.8641119999999</v>
      </c>
      <c r="AI980" s="127">
        <f t="shared" si="283"/>
        <v>1540.3</v>
      </c>
      <c r="AJ980" s="37">
        <f t="shared" si="271"/>
        <v>9641.7999999999993</v>
      </c>
      <c r="AK980" s="37">
        <f t="shared" si="284"/>
        <v>35615.800000000003</v>
      </c>
      <c r="AL980" s="37">
        <f t="shared" si="272"/>
        <v>6.7209129511677288</v>
      </c>
      <c r="AN980" s="37" t="str">
        <f t="shared" si="285"/>
        <v>Pallet</v>
      </c>
      <c r="AO980" s="194">
        <f t="shared" si="286"/>
        <v>37</v>
      </c>
    </row>
    <row r="981" spans="22:41" x14ac:dyDescent="0.2">
      <c r="V981" s="181">
        <f t="shared" si="273"/>
        <v>471.5</v>
      </c>
      <c r="W981" s="181">
        <f t="shared" si="274"/>
        <v>943</v>
      </c>
      <c r="X981" s="181">
        <f t="shared" si="275"/>
        <v>1</v>
      </c>
      <c r="Y981" s="37">
        <f t="shared" si="276"/>
        <v>1917.1</v>
      </c>
      <c r="Z981" s="181">
        <f t="shared" si="277"/>
        <v>669.5</v>
      </c>
      <c r="AA981" s="127">
        <f t="shared" si="278"/>
        <v>595.21331999999995</v>
      </c>
      <c r="AB981" s="127">
        <f t="shared" si="279"/>
        <v>669.5</v>
      </c>
      <c r="AC981" s="37">
        <f t="shared" si="268"/>
        <v>4417</v>
      </c>
      <c r="AD981" s="37">
        <f t="shared" si="280"/>
        <v>6334.1</v>
      </c>
      <c r="AE981" s="181">
        <f t="shared" si="269"/>
        <v>37</v>
      </c>
      <c r="AF981" s="37">
        <f t="shared" si="281"/>
        <v>25974</v>
      </c>
      <c r="AG981" s="181">
        <f t="shared" si="270"/>
        <v>1540.8</v>
      </c>
      <c r="AH981" s="111">
        <f t="shared" si="282"/>
        <v>1022.8641119999999</v>
      </c>
      <c r="AI981" s="127">
        <f t="shared" si="283"/>
        <v>1540.8</v>
      </c>
      <c r="AJ981" s="37">
        <f t="shared" si="271"/>
        <v>9644.7999999999993</v>
      </c>
      <c r="AK981" s="37">
        <f t="shared" si="284"/>
        <v>35618.800000000003</v>
      </c>
      <c r="AL981" s="37">
        <f t="shared" si="272"/>
        <v>6.7169671261930013</v>
      </c>
      <c r="AN981" s="37" t="str">
        <f t="shared" si="285"/>
        <v>Pallet</v>
      </c>
      <c r="AO981" s="194">
        <f t="shared" si="286"/>
        <v>37</v>
      </c>
    </row>
    <row r="982" spans="22:41" x14ac:dyDescent="0.2">
      <c r="V982" s="181">
        <f t="shared" si="273"/>
        <v>472</v>
      </c>
      <c r="W982" s="181">
        <f t="shared" si="274"/>
        <v>944</v>
      </c>
      <c r="X982" s="181">
        <f t="shared" si="275"/>
        <v>1</v>
      </c>
      <c r="Y982" s="37">
        <f t="shared" si="276"/>
        <v>1917.1</v>
      </c>
      <c r="Z982" s="181">
        <f t="shared" si="277"/>
        <v>670</v>
      </c>
      <c r="AA982" s="127">
        <f t="shared" si="278"/>
        <v>595.21331999999995</v>
      </c>
      <c r="AB982" s="127">
        <f t="shared" si="279"/>
        <v>670</v>
      </c>
      <c r="AC982" s="37">
        <f t="shared" si="268"/>
        <v>4420</v>
      </c>
      <c r="AD982" s="37">
        <f t="shared" si="280"/>
        <v>6337.1</v>
      </c>
      <c r="AE982" s="181">
        <f t="shared" si="269"/>
        <v>37</v>
      </c>
      <c r="AF982" s="37">
        <f t="shared" si="281"/>
        <v>25974</v>
      </c>
      <c r="AG982" s="181">
        <f t="shared" si="270"/>
        <v>1541.3</v>
      </c>
      <c r="AH982" s="111">
        <f t="shared" si="282"/>
        <v>1022.8641119999999</v>
      </c>
      <c r="AI982" s="127">
        <f t="shared" si="283"/>
        <v>1541.3</v>
      </c>
      <c r="AJ982" s="37">
        <f t="shared" si="271"/>
        <v>9647.7999999999993</v>
      </c>
      <c r="AK982" s="37">
        <f t="shared" si="284"/>
        <v>35621.800000000003</v>
      </c>
      <c r="AL982" s="37">
        <f t="shared" si="272"/>
        <v>6.7130296610169493</v>
      </c>
      <c r="AN982" s="37" t="str">
        <f t="shared" si="285"/>
        <v>Pallet</v>
      </c>
      <c r="AO982" s="194">
        <f t="shared" si="286"/>
        <v>37</v>
      </c>
    </row>
    <row r="983" spans="22:41" x14ac:dyDescent="0.2">
      <c r="V983" s="181">
        <f t="shared" si="273"/>
        <v>472.5</v>
      </c>
      <c r="W983" s="181">
        <f t="shared" si="274"/>
        <v>945</v>
      </c>
      <c r="X983" s="181">
        <f t="shared" si="275"/>
        <v>1</v>
      </c>
      <c r="Y983" s="37">
        <f t="shared" si="276"/>
        <v>1917.1</v>
      </c>
      <c r="Z983" s="181">
        <f t="shared" si="277"/>
        <v>670.5</v>
      </c>
      <c r="AA983" s="127">
        <f t="shared" si="278"/>
        <v>595.21331999999995</v>
      </c>
      <c r="AB983" s="127">
        <f t="shared" si="279"/>
        <v>670.5</v>
      </c>
      <c r="AC983" s="37">
        <f t="shared" si="268"/>
        <v>4423</v>
      </c>
      <c r="AD983" s="37">
        <f t="shared" si="280"/>
        <v>6340.1</v>
      </c>
      <c r="AE983" s="181">
        <f t="shared" si="269"/>
        <v>37</v>
      </c>
      <c r="AF983" s="37">
        <f t="shared" si="281"/>
        <v>25974</v>
      </c>
      <c r="AG983" s="181">
        <f t="shared" si="270"/>
        <v>1541.8</v>
      </c>
      <c r="AH983" s="111">
        <f t="shared" si="282"/>
        <v>1022.8641119999999</v>
      </c>
      <c r="AI983" s="127">
        <f t="shared" si="283"/>
        <v>1541.8</v>
      </c>
      <c r="AJ983" s="37">
        <f t="shared" si="271"/>
        <v>9650.7999999999993</v>
      </c>
      <c r="AK983" s="37">
        <f t="shared" si="284"/>
        <v>35624.800000000003</v>
      </c>
      <c r="AL983" s="37">
        <f t="shared" si="272"/>
        <v>6.7091005291005299</v>
      </c>
      <c r="AN983" s="37" t="str">
        <f t="shared" si="285"/>
        <v>Pallet</v>
      </c>
      <c r="AO983" s="194">
        <f t="shared" si="286"/>
        <v>37</v>
      </c>
    </row>
    <row r="984" spans="22:41" x14ac:dyDescent="0.2">
      <c r="V984" s="181">
        <f t="shared" si="273"/>
        <v>473</v>
      </c>
      <c r="W984" s="181">
        <f t="shared" si="274"/>
        <v>946</v>
      </c>
      <c r="X984" s="181">
        <f t="shared" si="275"/>
        <v>1</v>
      </c>
      <c r="Y984" s="37">
        <f t="shared" si="276"/>
        <v>1917.1</v>
      </c>
      <c r="Z984" s="181">
        <f t="shared" si="277"/>
        <v>671</v>
      </c>
      <c r="AA984" s="127">
        <f t="shared" si="278"/>
        <v>595.21331999999995</v>
      </c>
      <c r="AB984" s="127">
        <f t="shared" si="279"/>
        <v>671</v>
      </c>
      <c r="AC984" s="37">
        <f t="shared" si="268"/>
        <v>4426</v>
      </c>
      <c r="AD984" s="37">
        <f t="shared" si="280"/>
        <v>6343.1</v>
      </c>
      <c r="AE984" s="181">
        <f t="shared" si="269"/>
        <v>37</v>
      </c>
      <c r="AF984" s="37">
        <f t="shared" si="281"/>
        <v>25974</v>
      </c>
      <c r="AG984" s="181">
        <f t="shared" si="270"/>
        <v>1542.3</v>
      </c>
      <c r="AH984" s="111">
        <f t="shared" si="282"/>
        <v>1022.8641119999999</v>
      </c>
      <c r="AI984" s="127">
        <f t="shared" si="283"/>
        <v>1542.3</v>
      </c>
      <c r="AJ984" s="37">
        <f t="shared" si="271"/>
        <v>9653.7999999999993</v>
      </c>
      <c r="AK984" s="37">
        <f t="shared" si="284"/>
        <v>35627.800000000003</v>
      </c>
      <c r="AL984" s="37">
        <f t="shared" si="272"/>
        <v>6.7051797040169134</v>
      </c>
      <c r="AN984" s="37" t="str">
        <f t="shared" si="285"/>
        <v>Pallet</v>
      </c>
      <c r="AO984" s="194">
        <f t="shared" si="286"/>
        <v>37</v>
      </c>
    </row>
    <row r="985" spans="22:41" x14ac:dyDescent="0.2">
      <c r="V985" s="181">
        <f t="shared" si="273"/>
        <v>473.5</v>
      </c>
      <c r="W985" s="181">
        <f t="shared" si="274"/>
        <v>947</v>
      </c>
      <c r="X985" s="181">
        <f t="shared" si="275"/>
        <v>1</v>
      </c>
      <c r="Y985" s="37">
        <f t="shared" si="276"/>
        <v>1917.1</v>
      </c>
      <c r="Z985" s="181">
        <f t="shared" si="277"/>
        <v>671.5</v>
      </c>
      <c r="AA985" s="127">
        <f t="shared" si="278"/>
        <v>595.21331999999995</v>
      </c>
      <c r="AB985" s="127">
        <f t="shared" si="279"/>
        <v>671.5</v>
      </c>
      <c r="AC985" s="37">
        <f t="shared" si="268"/>
        <v>4429</v>
      </c>
      <c r="AD985" s="37">
        <f t="shared" si="280"/>
        <v>6346.1</v>
      </c>
      <c r="AE985" s="181">
        <f t="shared" si="269"/>
        <v>37</v>
      </c>
      <c r="AF985" s="37">
        <f t="shared" si="281"/>
        <v>25974</v>
      </c>
      <c r="AG985" s="181">
        <f t="shared" si="270"/>
        <v>1542.8</v>
      </c>
      <c r="AH985" s="111">
        <f t="shared" si="282"/>
        <v>1022.8641119999999</v>
      </c>
      <c r="AI985" s="127">
        <f t="shared" si="283"/>
        <v>1542.8</v>
      </c>
      <c r="AJ985" s="37">
        <f t="shared" si="271"/>
        <v>9656.7999999999993</v>
      </c>
      <c r="AK985" s="37">
        <f t="shared" si="284"/>
        <v>35630.800000000003</v>
      </c>
      <c r="AL985" s="37">
        <f t="shared" si="272"/>
        <v>6.7012671594508983</v>
      </c>
      <c r="AN985" s="37" t="str">
        <f t="shared" si="285"/>
        <v>Pallet</v>
      </c>
      <c r="AO985" s="194">
        <f t="shared" si="286"/>
        <v>37</v>
      </c>
    </row>
    <row r="986" spans="22:41" x14ac:dyDescent="0.2">
      <c r="V986" s="181">
        <f t="shared" si="273"/>
        <v>474</v>
      </c>
      <c r="W986" s="181">
        <f t="shared" si="274"/>
        <v>948</v>
      </c>
      <c r="X986" s="181">
        <f t="shared" si="275"/>
        <v>1</v>
      </c>
      <c r="Y986" s="37">
        <f t="shared" si="276"/>
        <v>1917.1</v>
      </c>
      <c r="Z986" s="181">
        <f t="shared" si="277"/>
        <v>672</v>
      </c>
      <c r="AA986" s="127">
        <f t="shared" si="278"/>
        <v>595.21331999999995</v>
      </c>
      <c r="AB986" s="127">
        <f t="shared" si="279"/>
        <v>672</v>
      </c>
      <c r="AC986" s="37">
        <f t="shared" si="268"/>
        <v>4432</v>
      </c>
      <c r="AD986" s="37">
        <f t="shared" si="280"/>
        <v>6349.1</v>
      </c>
      <c r="AE986" s="181">
        <f t="shared" si="269"/>
        <v>37</v>
      </c>
      <c r="AF986" s="37">
        <f t="shared" si="281"/>
        <v>25974</v>
      </c>
      <c r="AG986" s="181">
        <f t="shared" si="270"/>
        <v>1543.3</v>
      </c>
      <c r="AH986" s="111">
        <f t="shared" si="282"/>
        <v>1022.8641119999999</v>
      </c>
      <c r="AI986" s="127">
        <f t="shared" si="283"/>
        <v>1543.3</v>
      </c>
      <c r="AJ986" s="37">
        <f t="shared" si="271"/>
        <v>9659.7999999999993</v>
      </c>
      <c r="AK986" s="37">
        <f t="shared" si="284"/>
        <v>35633.800000000003</v>
      </c>
      <c r="AL986" s="37">
        <f t="shared" si="272"/>
        <v>6.6973628691983125</v>
      </c>
      <c r="AN986" s="37" t="str">
        <f t="shared" si="285"/>
        <v>Pallet</v>
      </c>
      <c r="AO986" s="194">
        <f t="shared" si="286"/>
        <v>37</v>
      </c>
    </row>
    <row r="987" spans="22:41" x14ac:dyDescent="0.2">
      <c r="V987" s="181">
        <f t="shared" si="273"/>
        <v>474.5</v>
      </c>
      <c r="W987" s="181">
        <f t="shared" si="274"/>
        <v>949</v>
      </c>
      <c r="X987" s="181">
        <f t="shared" si="275"/>
        <v>1</v>
      </c>
      <c r="Y987" s="37">
        <f t="shared" si="276"/>
        <v>1917.1</v>
      </c>
      <c r="Z987" s="181">
        <f t="shared" si="277"/>
        <v>672.5</v>
      </c>
      <c r="AA987" s="127">
        <f t="shared" si="278"/>
        <v>595.21331999999995</v>
      </c>
      <c r="AB987" s="127">
        <f t="shared" si="279"/>
        <v>672.5</v>
      </c>
      <c r="AC987" s="37">
        <f t="shared" si="268"/>
        <v>4435</v>
      </c>
      <c r="AD987" s="37">
        <f t="shared" si="280"/>
        <v>6352.1</v>
      </c>
      <c r="AE987" s="181">
        <f t="shared" si="269"/>
        <v>37</v>
      </c>
      <c r="AF987" s="37">
        <f t="shared" si="281"/>
        <v>25974</v>
      </c>
      <c r="AG987" s="181">
        <f t="shared" si="270"/>
        <v>1543.8</v>
      </c>
      <c r="AH987" s="111">
        <f t="shared" si="282"/>
        <v>1022.8641119999999</v>
      </c>
      <c r="AI987" s="127">
        <f t="shared" si="283"/>
        <v>1543.8</v>
      </c>
      <c r="AJ987" s="37">
        <f t="shared" si="271"/>
        <v>9662.7999999999993</v>
      </c>
      <c r="AK987" s="37">
        <f t="shared" si="284"/>
        <v>35636.800000000003</v>
      </c>
      <c r="AL987" s="37">
        <f t="shared" si="272"/>
        <v>6.6934668071654375</v>
      </c>
      <c r="AN987" s="37" t="str">
        <f t="shared" si="285"/>
        <v>Pallet</v>
      </c>
      <c r="AO987" s="194">
        <f t="shared" si="286"/>
        <v>37</v>
      </c>
    </row>
    <row r="988" spans="22:41" x14ac:dyDescent="0.2">
      <c r="V988" s="181">
        <f t="shared" si="273"/>
        <v>475</v>
      </c>
      <c r="W988" s="181">
        <f t="shared" si="274"/>
        <v>950</v>
      </c>
      <c r="X988" s="181">
        <f t="shared" si="275"/>
        <v>1</v>
      </c>
      <c r="Y988" s="37">
        <f t="shared" si="276"/>
        <v>1917.1</v>
      </c>
      <c r="Z988" s="181">
        <f t="shared" si="277"/>
        <v>673</v>
      </c>
      <c r="AA988" s="127">
        <f t="shared" si="278"/>
        <v>595.21331999999995</v>
      </c>
      <c r="AB988" s="127">
        <f t="shared" si="279"/>
        <v>673</v>
      </c>
      <c r="AC988" s="37">
        <f t="shared" si="268"/>
        <v>4438</v>
      </c>
      <c r="AD988" s="37">
        <f t="shared" si="280"/>
        <v>6355.1</v>
      </c>
      <c r="AE988" s="181">
        <f t="shared" si="269"/>
        <v>37</v>
      </c>
      <c r="AF988" s="37">
        <f t="shared" si="281"/>
        <v>25974</v>
      </c>
      <c r="AG988" s="181">
        <f t="shared" si="270"/>
        <v>1544.3</v>
      </c>
      <c r="AH988" s="111">
        <f t="shared" si="282"/>
        <v>1022.8641119999999</v>
      </c>
      <c r="AI988" s="127">
        <f t="shared" si="283"/>
        <v>1544.3</v>
      </c>
      <c r="AJ988" s="37">
        <f t="shared" si="271"/>
        <v>9665.7999999999993</v>
      </c>
      <c r="AK988" s="37">
        <f t="shared" si="284"/>
        <v>35639.800000000003</v>
      </c>
      <c r="AL988" s="37">
        <f t="shared" si="272"/>
        <v>6.6895789473684211</v>
      </c>
      <c r="AN988" s="37" t="str">
        <f t="shared" si="285"/>
        <v>Pallet</v>
      </c>
      <c r="AO988" s="194">
        <f t="shared" si="286"/>
        <v>37</v>
      </c>
    </row>
    <row r="989" spans="22:41" x14ac:dyDescent="0.2">
      <c r="V989" s="181">
        <f t="shared" si="273"/>
        <v>475.5</v>
      </c>
      <c r="W989" s="181">
        <f t="shared" si="274"/>
        <v>951</v>
      </c>
      <c r="X989" s="181">
        <f t="shared" si="275"/>
        <v>1</v>
      </c>
      <c r="Y989" s="37">
        <f t="shared" si="276"/>
        <v>1917.1</v>
      </c>
      <c r="Z989" s="181">
        <f t="shared" si="277"/>
        <v>673.5</v>
      </c>
      <c r="AA989" s="127">
        <f t="shared" si="278"/>
        <v>595.21331999999995</v>
      </c>
      <c r="AB989" s="127">
        <f t="shared" si="279"/>
        <v>673.5</v>
      </c>
      <c r="AC989" s="37">
        <f t="shared" si="268"/>
        <v>4441</v>
      </c>
      <c r="AD989" s="37">
        <f t="shared" si="280"/>
        <v>6358.1</v>
      </c>
      <c r="AE989" s="181">
        <f t="shared" si="269"/>
        <v>37</v>
      </c>
      <c r="AF989" s="37">
        <f t="shared" si="281"/>
        <v>25974</v>
      </c>
      <c r="AG989" s="181">
        <f t="shared" si="270"/>
        <v>1544.8</v>
      </c>
      <c r="AH989" s="111">
        <f t="shared" si="282"/>
        <v>1022.8641119999999</v>
      </c>
      <c r="AI989" s="127">
        <f t="shared" si="283"/>
        <v>1544.8</v>
      </c>
      <c r="AJ989" s="37">
        <f t="shared" si="271"/>
        <v>9668.7999999999993</v>
      </c>
      <c r="AK989" s="37">
        <f t="shared" si="284"/>
        <v>35642.800000000003</v>
      </c>
      <c r="AL989" s="37">
        <f t="shared" si="272"/>
        <v>6.6856992639327029</v>
      </c>
      <c r="AN989" s="37" t="str">
        <f t="shared" si="285"/>
        <v>Pallet</v>
      </c>
      <c r="AO989" s="194">
        <f t="shared" si="286"/>
        <v>37</v>
      </c>
    </row>
    <row r="990" spans="22:41" x14ac:dyDescent="0.2">
      <c r="V990" s="181">
        <f t="shared" si="273"/>
        <v>476</v>
      </c>
      <c r="W990" s="181">
        <f t="shared" si="274"/>
        <v>952</v>
      </c>
      <c r="X990" s="181">
        <f t="shared" si="275"/>
        <v>1</v>
      </c>
      <c r="Y990" s="37">
        <f t="shared" si="276"/>
        <v>1917.1</v>
      </c>
      <c r="Z990" s="181">
        <f t="shared" si="277"/>
        <v>674</v>
      </c>
      <c r="AA990" s="127">
        <f t="shared" si="278"/>
        <v>595.21331999999995</v>
      </c>
      <c r="AB990" s="127">
        <f t="shared" si="279"/>
        <v>674</v>
      </c>
      <c r="AC990" s="37">
        <f t="shared" si="268"/>
        <v>4444</v>
      </c>
      <c r="AD990" s="37">
        <f t="shared" si="280"/>
        <v>6361.1</v>
      </c>
      <c r="AE990" s="181">
        <f t="shared" si="269"/>
        <v>37</v>
      </c>
      <c r="AF990" s="37">
        <f t="shared" si="281"/>
        <v>25974</v>
      </c>
      <c r="AG990" s="181">
        <f t="shared" si="270"/>
        <v>1545.3</v>
      </c>
      <c r="AH990" s="111">
        <f t="shared" si="282"/>
        <v>1022.8641119999999</v>
      </c>
      <c r="AI990" s="127">
        <f t="shared" si="283"/>
        <v>1545.3</v>
      </c>
      <c r="AJ990" s="37">
        <f t="shared" si="271"/>
        <v>9671.7999999999993</v>
      </c>
      <c r="AK990" s="37">
        <f t="shared" si="284"/>
        <v>35645.800000000003</v>
      </c>
      <c r="AL990" s="37">
        <f t="shared" si="272"/>
        <v>6.6818277310924374</v>
      </c>
      <c r="AN990" s="37" t="str">
        <f t="shared" si="285"/>
        <v>Pallet</v>
      </c>
      <c r="AO990" s="194">
        <f t="shared" si="286"/>
        <v>37</v>
      </c>
    </row>
    <row r="991" spans="22:41" x14ac:dyDescent="0.2">
      <c r="V991" s="181">
        <f t="shared" si="273"/>
        <v>476.5</v>
      </c>
      <c r="W991" s="181">
        <f t="shared" si="274"/>
        <v>953</v>
      </c>
      <c r="X991" s="181">
        <f t="shared" si="275"/>
        <v>1</v>
      </c>
      <c r="Y991" s="37">
        <f t="shared" si="276"/>
        <v>1917.1</v>
      </c>
      <c r="Z991" s="181">
        <f t="shared" si="277"/>
        <v>674.5</v>
      </c>
      <c r="AA991" s="127">
        <f t="shared" si="278"/>
        <v>595.21331999999995</v>
      </c>
      <c r="AB991" s="127">
        <f t="shared" si="279"/>
        <v>674.5</v>
      </c>
      <c r="AC991" s="37">
        <f t="shared" si="268"/>
        <v>4447</v>
      </c>
      <c r="AD991" s="37">
        <f t="shared" si="280"/>
        <v>6364.1</v>
      </c>
      <c r="AE991" s="181">
        <f t="shared" si="269"/>
        <v>37</v>
      </c>
      <c r="AF991" s="37">
        <f t="shared" si="281"/>
        <v>25974</v>
      </c>
      <c r="AG991" s="181">
        <f t="shared" si="270"/>
        <v>1545.8</v>
      </c>
      <c r="AH991" s="111">
        <f t="shared" si="282"/>
        <v>1022.8641119999999</v>
      </c>
      <c r="AI991" s="127">
        <f t="shared" si="283"/>
        <v>1545.8</v>
      </c>
      <c r="AJ991" s="37">
        <f t="shared" si="271"/>
        <v>9674.7999999999993</v>
      </c>
      <c r="AK991" s="37">
        <f t="shared" si="284"/>
        <v>35648.800000000003</v>
      </c>
      <c r="AL991" s="37">
        <f t="shared" si="272"/>
        <v>6.6779643231899266</v>
      </c>
      <c r="AN991" s="37" t="str">
        <f t="shared" si="285"/>
        <v>Pallet</v>
      </c>
      <c r="AO991" s="194">
        <f t="shared" si="286"/>
        <v>37</v>
      </c>
    </row>
    <row r="992" spans="22:41" x14ac:dyDescent="0.2">
      <c r="V992" s="181">
        <f t="shared" si="273"/>
        <v>477</v>
      </c>
      <c r="W992" s="181">
        <f t="shared" si="274"/>
        <v>954</v>
      </c>
      <c r="X992" s="181">
        <f t="shared" si="275"/>
        <v>1</v>
      </c>
      <c r="Y992" s="37">
        <f t="shared" si="276"/>
        <v>1917.1</v>
      </c>
      <c r="Z992" s="181">
        <f t="shared" si="277"/>
        <v>675</v>
      </c>
      <c r="AA992" s="127">
        <f t="shared" si="278"/>
        <v>595.21331999999995</v>
      </c>
      <c r="AB992" s="127">
        <f t="shared" si="279"/>
        <v>675</v>
      </c>
      <c r="AC992" s="37">
        <f t="shared" si="268"/>
        <v>4450</v>
      </c>
      <c r="AD992" s="37">
        <f t="shared" si="280"/>
        <v>6367.1</v>
      </c>
      <c r="AE992" s="181">
        <f t="shared" si="269"/>
        <v>37</v>
      </c>
      <c r="AF992" s="37">
        <f t="shared" si="281"/>
        <v>25974</v>
      </c>
      <c r="AG992" s="181">
        <f t="shared" si="270"/>
        <v>1546.3</v>
      </c>
      <c r="AH992" s="111">
        <f t="shared" si="282"/>
        <v>1022.8641119999999</v>
      </c>
      <c r="AI992" s="127">
        <f t="shared" si="283"/>
        <v>1546.3</v>
      </c>
      <c r="AJ992" s="37">
        <f t="shared" si="271"/>
        <v>9677.7999999999993</v>
      </c>
      <c r="AK992" s="37">
        <f t="shared" si="284"/>
        <v>35651.800000000003</v>
      </c>
      <c r="AL992" s="37">
        <f t="shared" si="272"/>
        <v>6.6741090146750528</v>
      </c>
      <c r="AN992" s="37" t="str">
        <f t="shared" si="285"/>
        <v>Pallet</v>
      </c>
      <c r="AO992" s="194">
        <f t="shared" si="286"/>
        <v>37</v>
      </c>
    </row>
    <row r="993" spans="22:41" x14ac:dyDescent="0.2">
      <c r="V993" s="181">
        <f t="shared" si="273"/>
        <v>477.5</v>
      </c>
      <c r="W993" s="181">
        <f t="shared" si="274"/>
        <v>955</v>
      </c>
      <c r="X993" s="181">
        <f t="shared" si="275"/>
        <v>1</v>
      </c>
      <c r="Y993" s="37">
        <f t="shared" si="276"/>
        <v>1917.1</v>
      </c>
      <c r="Z993" s="181">
        <f t="shared" si="277"/>
        <v>675.5</v>
      </c>
      <c r="AA993" s="127">
        <f t="shared" si="278"/>
        <v>595.21331999999995</v>
      </c>
      <c r="AB993" s="127">
        <f t="shared" si="279"/>
        <v>675.5</v>
      </c>
      <c r="AC993" s="37">
        <f t="shared" si="268"/>
        <v>4453</v>
      </c>
      <c r="AD993" s="37">
        <f t="shared" si="280"/>
        <v>6370.1</v>
      </c>
      <c r="AE993" s="181">
        <f t="shared" si="269"/>
        <v>38</v>
      </c>
      <c r="AF993" s="37">
        <f t="shared" si="281"/>
        <v>26676</v>
      </c>
      <c r="AG993" s="181">
        <f t="shared" si="270"/>
        <v>1575.7</v>
      </c>
      <c r="AH993" s="111">
        <f t="shared" si="282"/>
        <v>1050.5090879999998</v>
      </c>
      <c r="AI993" s="127">
        <f t="shared" si="283"/>
        <v>1575.7</v>
      </c>
      <c r="AJ993" s="37">
        <f t="shared" si="271"/>
        <v>9854.2000000000007</v>
      </c>
      <c r="AK993" s="37">
        <f t="shared" si="284"/>
        <v>36530.199999999997</v>
      </c>
      <c r="AL993" s="37">
        <f t="shared" si="272"/>
        <v>6.6702617801047124</v>
      </c>
      <c r="AN993" s="37" t="str">
        <f t="shared" si="285"/>
        <v>Pallet</v>
      </c>
      <c r="AO993" s="194">
        <f t="shared" si="286"/>
        <v>37</v>
      </c>
    </row>
    <row r="994" spans="22:41" x14ac:dyDescent="0.2">
      <c r="V994" s="181">
        <f t="shared" si="273"/>
        <v>478</v>
      </c>
      <c r="W994" s="181">
        <f t="shared" si="274"/>
        <v>956</v>
      </c>
      <c r="X994" s="181">
        <f t="shared" si="275"/>
        <v>1</v>
      </c>
      <c r="Y994" s="37">
        <f t="shared" si="276"/>
        <v>1917.1</v>
      </c>
      <c r="Z994" s="181">
        <f t="shared" si="277"/>
        <v>676</v>
      </c>
      <c r="AA994" s="127">
        <f t="shared" si="278"/>
        <v>595.21331999999995</v>
      </c>
      <c r="AB994" s="127">
        <f t="shared" si="279"/>
        <v>676</v>
      </c>
      <c r="AC994" s="37">
        <f t="shared" si="268"/>
        <v>4456</v>
      </c>
      <c r="AD994" s="37">
        <f t="shared" si="280"/>
        <v>6373.1</v>
      </c>
      <c r="AE994" s="181">
        <f t="shared" si="269"/>
        <v>38</v>
      </c>
      <c r="AF994" s="37">
        <f t="shared" si="281"/>
        <v>26676</v>
      </c>
      <c r="AG994" s="181">
        <f t="shared" si="270"/>
        <v>1576.2</v>
      </c>
      <c r="AH994" s="111">
        <f t="shared" si="282"/>
        <v>1050.5090879999998</v>
      </c>
      <c r="AI994" s="127">
        <f t="shared" si="283"/>
        <v>1576.2</v>
      </c>
      <c r="AJ994" s="37">
        <f t="shared" si="271"/>
        <v>9857.2000000000007</v>
      </c>
      <c r="AK994" s="37">
        <f t="shared" si="284"/>
        <v>36533.199999999997</v>
      </c>
      <c r="AL994" s="37">
        <f t="shared" si="272"/>
        <v>6.6664225941422597</v>
      </c>
      <c r="AN994" s="37" t="str">
        <f t="shared" si="285"/>
        <v>Pallet</v>
      </c>
      <c r="AO994" s="194">
        <f t="shared" si="286"/>
        <v>38</v>
      </c>
    </row>
    <row r="995" spans="22:41" x14ac:dyDescent="0.2">
      <c r="V995" s="181">
        <f t="shared" si="273"/>
        <v>478.5</v>
      </c>
      <c r="W995" s="181">
        <f t="shared" si="274"/>
        <v>957</v>
      </c>
      <c r="X995" s="181">
        <f t="shared" si="275"/>
        <v>1</v>
      </c>
      <c r="Y995" s="37">
        <f t="shared" si="276"/>
        <v>1917.1</v>
      </c>
      <c r="Z995" s="181">
        <f t="shared" si="277"/>
        <v>676.5</v>
      </c>
      <c r="AA995" s="127">
        <f t="shared" si="278"/>
        <v>595.21331999999995</v>
      </c>
      <c r="AB995" s="127">
        <f t="shared" si="279"/>
        <v>676.5</v>
      </c>
      <c r="AC995" s="37">
        <f t="shared" si="268"/>
        <v>4459</v>
      </c>
      <c r="AD995" s="37">
        <f t="shared" si="280"/>
        <v>6376.1</v>
      </c>
      <c r="AE995" s="181">
        <f t="shared" si="269"/>
        <v>38</v>
      </c>
      <c r="AF995" s="37">
        <f t="shared" si="281"/>
        <v>26676</v>
      </c>
      <c r="AG995" s="181">
        <f t="shared" si="270"/>
        <v>1576.7</v>
      </c>
      <c r="AH995" s="111">
        <f t="shared" si="282"/>
        <v>1050.5090879999998</v>
      </c>
      <c r="AI995" s="127">
        <f t="shared" si="283"/>
        <v>1576.7</v>
      </c>
      <c r="AJ995" s="37">
        <f t="shared" si="271"/>
        <v>9860.2000000000007</v>
      </c>
      <c r="AK995" s="37">
        <f t="shared" si="284"/>
        <v>36536.199999999997</v>
      </c>
      <c r="AL995" s="37">
        <f t="shared" si="272"/>
        <v>6.6625914315569492</v>
      </c>
      <c r="AN995" s="37" t="str">
        <f t="shared" si="285"/>
        <v>Pallet</v>
      </c>
      <c r="AO995" s="194">
        <f t="shared" si="286"/>
        <v>38</v>
      </c>
    </row>
    <row r="996" spans="22:41" x14ac:dyDescent="0.2">
      <c r="V996" s="181">
        <f t="shared" si="273"/>
        <v>479</v>
      </c>
      <c r="W996" s="181">
        <f t="shared" si="274"/>
        <v>958</v>
      </c>
      <c r="X996" s="181">
        <f t="shared" si="275"/>
        <v>1</v>
      </c>
      <c r="Y996" s="37">
        <f t="shared" si="276"/>
        <v>1917.1</v>
      </c>
      <c r="Z996" s="181">
        <f t="shared" si="277"/>
        <v>677</v>
      </c>
      <c r="AA996" s="127">
        <f t="shared" si="278"/>
        <v>595.21331999999995</v>
      </c>
      <c r="AB996" s="127">
        <f t="shared" si="279"/>
        <v>677</v>
      </c>
      <c r="AC996" s="37">
        <f t="shared" si="268"/>
        <v>4462</v>
      </c>
      <c r="AD996" s="37">
        <f t="shared" si="280"/>
        <v>6379.1</v>
      </c>
      <c r="AE996" s="181">
        <f t="shared" si="269"/>
        <v>38</v>
      </c>
      <c r="AF996" s="37">
        <f t="shared" si="281"/>
        <v>26676</v>
      </c>
      <c r="AG996" s="181">
        <f t="shared" si="270"/>
        <v>1577.2</v>
      </c>
      <c r="AH996" s="111">
        <f t="shared" si="282"/>
        <v>1050.5090879999998</v>
      </c>
      <c r="AI996" s="127">
        <f t="shared" si="283"/>
        <v>1577.2</v>
      </c>
      <c r="AJ996" s="37">
        <f t="shared" si="271"/>
        <v>9863.2000000000007</v>
      </c>
      <c r="AK996" s="37">
        <f t="shared" si="284"/>
        <v>36539.199999999997</v>
      </c>
      <c r="AL996" s="37">
        <f t="shared" si="272"/>
        <v>6.6587682672233823</v>
      </c>
      <c r="AN996" s="37" t="str">
        <f t="shared" si="285"/>
        <v>Pallet</v>
      </c>
      <c r="AO996" s="194">
        <f t="shared" si="286"/>
        <v>38</v>
      </c>
    </row>
    <row r="997" spans="22:41" x14ac:dyDescent="0.2">
      <c r="V997" s="181">
        <f t="shared" si="273"/>
        <v>479.5</v>
      </c>
      <c r="W997" s="181">
        <f t="shared" si="274"/>
        <v>959</v>
      </c>
      <c r="X997" s="181">
        <f t="shared" si="275"/>
        <v>1</v>
      </c>
      <c r="Y997" s="37">
        <f t="shared" si="276"/>
        <v>1917.1</v>
      </c>
      <c r="Z997" s="181">
        <f t="shared" si="277"/>
        <v>677.5</v>
      </c>
      <c r="AA997" s="127">
        <f t="shared" si="278"/>
        <v>595.21331999999995</v>
      </c>
      <c r="AB997" s="127">
        <f t="shared" si="279"/>
        <v>677.5</v>
      </c>
      <c r="AC997" s="37">
        <f t="shared" si="268"/>
        <v>4465</v>
      </c>
      <c r="AD997" s="37">
        <f t="shared" si="280"/>
        <v>6382.1</v>
      </c>
      <c r="AE997" s="181">
        <f t="shared" si="269"/>
        <v>38</v>
      </c>
      <c r="AF997" s="37">
        <f t="shared" si="281"/>
        <v>26676</v>
      </c>
      <c r="AG997" s="181">
        <f t="shared" si="270"/>
        <v>1577.7</v>
      </c>
      <c r="AH997" s="111">
        <f t="shared" si="282"/>
        <v>1050.5090879999998</v>
      </c>
      <c r="AI997" s="127">
        <f t="shared" si="283"/>
        <v>1577.7</v>
      </c>
      <c r="AJ997" s="37">
        <f t="shared" si="271"/>
        <v>9866.2000000000007</v>
      </c>
      <c r="AK997" s="37">
        <f t="shared" si="284"/>
        <v>36542.199999999997</v>
      </c>
      <c r="AL997" s="37">
        <f t="shared" si="272"/>
        <v>6.6549530761209601</v>
      </c>
      <c r="AN997" s="37" t="str">
        <f t="shared" si="285"/>
        <v>Pallet</v>
      </c>
      <c r="AO997" s="194">
        <f t="shared" si="286"/>
        <v>38</v>
      </c>
    </row>
    <row r="998" spans="22:41" x14ac:dyDescent="0.2">
      <c r="V998" s="181">
        <f t="shared" si="273"/>
        <v>480</v>
      </c>
      <c r="W998" s="181">
        <f t="shared" si="274"/>
        <v>960</v>
      </c>
      <c r="X998" s="181">
        <f t="shared" si="275"/>
        <v>1</v>
      </c>
      <c r="Y998" s="37">
        <f t="shared" si="276"/>
        <v>1917.1</v>
      </c>
      <c r="Z998" s="181">
        <f t="shared" si="277"/>
        <v>678</v>
      </c>
      <c r="AA998" s="127">
        <f t="shared" si="278"/>
        <v>595.21331999999995</v>
      </c>
      <c r="AB998" s="127">
        <f t="shared" si="279"/>
        <v>678</v>
      </c>
      <c r="AC998" s="37">
        <f t="shared" si="268"/>
        <v>4468</v>
      </c>
      <c r="AD998" s="37">
        <f t="shared" si="280"/>
        <v>6385.1</v>
      </c>
      <c r="AE998" s="181">
        <f t="shared" si="269"/>
        <v>38</v>
      </c>
      <c r="AF998" s="37">
        <f t="shared" si="281"/>
        <v>26676</v>
      </c>
      <c r="AG998" s="181">
        <f t="shared" si="270"/>
        <v>1578.2</v>
      </c>
      <c r="AH998" s="111">
        <f t="shared" si="282"/>
        <v>1050.5090879999998</v>
      </c>
      <c r="AI998" s="127">
        <f t="shared" si="283"/>
        <v>1578.2</v>
      </c>
      <c r="AJ998" s="37">
        <f t="shared" si="271"/>
        <v>9869.2000000000007</v>
      </c>
      <c r="AK998" s="37">
        <f t="shared" si="284"/>
        <v>36545.199999999997</v>
      </c>
      <c r="AL998" s="37">
        <f t="shared" si="272"/>
        <v>6.6511458333333335</v>
      </c>
      <c r="AN998" s="37" t="str">
        <f t="shared" si="285"/>
        <v>Pallet</v>
      </c>
      <c r="AO998" s="194">
        <f t="shared" si="286"/>
        <v>38</v>
      </c>
    </row>
    <row r="999" spans="22:41" x14ac:dyDescent="0.2">
      <c r="V999" s="181">
        <f t="shared" si="273"/>
        <v>480.5</v>
      </c>
      <c r="W999" s="181">
        <f t="shared" si="274"/>
        <v>961</v>
      </c>
      <c r="X999" s="181">
        <f t="shared" si="275"/>
        <v>1</v>
      </c>
      <c r="Y999" s="37">
        <f t="shared" si="276"/>
        <v>1917.1</v>
      </c>
      <c r="Z999" s="181">
        <f t="shared" si="277"/>
        <v>678.5</v>
      </c>
      <c r="AA999" s="127">
        <f t="shared" si="278"/>
        <v>595.21331999999995</v>
      </c>
      <c r="AB999" s="127">
        <f t="shared" si="279"/>
        <v>678.5</v>
      </c>
      <c r="AC999" s="37">
        <f t="shared" ref="AC999:AC1062" si="287">(Shipping_perkg_first100*100)+((AB999-100)*Shipping_perkg_above100)</f>
        <v>4471</v>
      </c>
      <c r="AD999" s="37">
        <f t="shared" si="280"/>
        <v>6388.1</v>
      </c>
      <c r="AE999" s="181">
        <f t="shared" ref="AE999:AE1062" si="288">ROUNDUP(W999/$N$19,0)</f>
        <v>38</v>
      </c>
      <c r="AF999" s="37">
        <f t="shared" si="281"/>
        <v>26676</v>
      </c>
      <c r="AG999" s="181">
        <f t="shared" ref="AG999:AG1062" si="289">(AE999*$K$19)+V999</f>
        <v>1578.7</v>
      </c>
      <c r="AH999" s="111">
        <f t="shared" si="282"/>
        <v>1050.5090879999998</v>
      </c>
      <c r="AI999" s="127">
        <f t="shared" si="283"/>
        <v>1578.7</v>
      </c>
      <c r="AJ999" s="37">
        <f t="shared" ref="AJ999:AJ1062" si="290">IF(AI999&lt;=100,AI999*Shipping_perkg_first100,(Shipping_perkg_first100*100)+((AI999-100)*Shipping_perkg_above100))</f>
        <v>9872.2000000000007</v>
      </c>
      <c r="AK999" s="37">
        <f t="shared" si="284"/>
        <v>36548.199999999997</v>
      </c>
      <c r="AL999" s="37">
        <f t="shared" si="272"/>
        <v>6.6473465140478671</v>
      </c>
      <c r="AN999" s="37" t="str">
        <f t="shared" si="285"/>
        <v>Pallet</v>
      </c>
      <c r="AO999" s="194">
        <f t="shared" si="286"/>
        <v>38</v>
      </c>
    </row>
    <row r="1000" spans="22:41" x14ac:dyDescent="0.2">
      <c r="V1000" s="181">
        <f t="shared" si="273"/>
        <v>481</v>
      </c>
      <c r="W1000" s="181">
        <f t="shared" si="274"/>
        <v>962</v>
      </c>
      <c r="X1000" s="181">
        <f t="shared" si="275"/>
        <v>1</v>
      </c>
      <c r="Y1000" s="37">
        <f t="shared" si="276"/>
        <v>1917.1</v>
      </c>
      <c r="Z1000" s="181">
        <f t="shared" si="277"/>
        <v>679</v>
      </c>
      <c r="AA1000" s="127">
        <f t="shared" si="278"/>
        <v>595.21331999999995</v>
      </c>
      <c r="AB1000" s="127">
        <f t="shared" si="279"/>
        <v>679</v>
      </c>
      <c r="AC1000" s="37">
        <f t="shared" si="287"/>
        <v>4474</v>
      </c>
      <c r="AD1000" s="37">
        <f t="shared" si="280"/>
        <v>6391.1</v>
      </c>
      <c r="AE1000" s="181">
        <f t="shared" si="288"/>
        <v>38</v>
      </c>
      <c r="AF1000" s="37">
        <f t="shared" si="281"/>
        <v>26676</v>
      </c>
      <c r="AG1000" s="181">
        <f t="shared" si="289"/>
        <v>1579.2</v>
      </c>
      <c r="AH1000" s="111">
        <f t="shared" si="282"/>
        <v>1050.5090879999998</v>
      </c>
      <c r="AI1000" s="127">
        <f t="shared" si="283"/>
        <v>1579.2</v>
      </c>
      <c r="AJ1000" s="37">
        <f t="shared" si="290"/>
        <v>9875.2000000000007</v>
      </c>
      <c r="AK1000" s="37">
        <f t="shared" si="284"/>
        <v>36551.199999999997</v>
      </c>
      <c r="AL1000" s="37">
        <f t="shared" ref="AL1000:AL1063" si="291">MIN(AD1000,AK1000)/W1000</f>
        <v>6.6435550935550935</v>
      </c>
      <c r="AN1000" s="37" t="str">
        <f t="shared" si="285"/>
        <v>Pallet</v>
      </c>
      <c r="AO1000" s="194">
        <f t="shared" si="286"/>
        <v>38</v>
      </c>
    </row>
    <row r="1001" spans="22:41" x14ac:dyDescent="0.2">
      <c r="V1001" s="181">
        <f t="shared" ref="V1001:V1065" si="292">W1001*$V$37</f>
        <v>481.5</v>
      </c>
      <c r="W1001" s="181">
        <f t="shared" ref="W1001:W1064" si="293">W1000+1</f>
        <v>963</v>
      </c>
      <c r="X1001" s="181">
        <f t="shared" ref="X1001:X1065" si="294">ROUNDUP(W1001/$N$29,0)</f>
        <v>1</v>
      </c>
      <c r="Y1001" s="37">
        <f t="shared" ref="Y1001:Y1065" si="295">X1001*$P$29</f>
        <v>1917.1</v>
      </c>
      <c r="Z1001" s="181">
        <f t="shared" ref="Z1001:Z1064" si="296">V1001+(X1001*$K$29)</f>
        <v>679.5</v>
      </c>
      <c r="AA1001" s="127">
        <f t="shared" ref="AA1001:AA1064" si="297">X1001*$T$29</f>
        <v>595.21331999999995</v>
      </c>
      <c r="AB1001" s="127">
        <f t="shared" ref="AB1001:AB1064" si="298">MAX(Z1001,AA1001)</f>
        <v>679.5</v>
      </c>
      <c r="AC1001" s="37">
        <f t="shared" si="287"/>
        <v>4477</v>
      </c>
      <c r="AD1001" s="37">
        <f t="shared" ref="AD1001:AD1064" si="299">Y1001+AC1001</f>
        <v>6394.1</v>
      </c>
      <c r="AE1001" s="181">
        <f t="shared" si="288"/>
        <v>38</v>
      </c>
      <c r="AF1001" s="37">
        <f t="shared" ref="AF1001:AF1065" si="300">AE1001*$P$19</f>
        <v>26676</v>
      </c>
      <c r="AG1001" s="181">
        <f t="shared" si="289"/>
        <v>1579.7</v>
      </c>
      <c r="AH1001" s="111">
        <f t="shared" ref="AH1001:AH1064" si="301">AE1001*$X$19</f>
        <v>1050.5090879999998</v>
      </c>
      <c r="AI1001" s="127">
        <f t="shared" ref="AI1001:AI1064" si="302">MAX(AG1001,AH1001)</f>
        <v>1579.7</v>
      </c>
      <c r="AJ1001" s="37">
        <f t="shared" si="290"/>
        <v>9878.2000000000007</v>
      </c>
      <c r="AK1001" s="37">
        <f t="shared" ref="AK1001:AK1064" si="303">AF1001+AJ1001</f>
        <v>36554.199999999997</v>
      </c>
      <c r="AL1001" s="37">
        <f t="shared" si="291"/>
        <v>6.6397715472481833</v>
      </c>
      <c r="AN1001" s="37" t="str">
        <f t="shared" ref="AN1001:AN1064" si="304">IF(AD1001&lt;AK1001,"Pallet","Parcel")</f>
        <v>Pallet</v>
      </c>
      <c r="AO1001" s="194">
        <f t="shared" ref="AO1001:AO1064" si="305">AE1000</f>
        <v>38</v>
      </c>
    </row>
    <row r="1002" spans="22:41" x14ac:dyDescent="0.2">
      <c r="V1002" s="181">
        <f t="shared" si="292"/>
        <v>482</v>
      </c>
      <c r="W1002" s="181">
        <f t="shared" si="293"/>
        <v>964</v>
      </c>
      <c r="X1002" s="181">
        <f t="shared" si="294"/>
        <v>1</v>
      </c>
      <c r="Y1002" s="37">
        <f t="shared" si="295"/>
        <v>1917.1</v>
      </c>
      <c r="Z1002" s="181">
        <f t="shared" si="296"/>
        <v>680</v>
      </c>
      <c r="AA1002" s="127">
        <f t="shared" si="297"/>
        <v>595.21331999999995</v>
      </c>
      <c r="AB1002" s="127">
        <f t="shared" si="298"/>
        <v>680</v>
      </c>
      <c r="AC1002" s="37">
        <f t="shared" si="287"/>
        <v>4480</v>
      </c>
      <c r="AD1002" s="37">
        <f t="shared" si="299"/>
        <v>6397.1</v>
      </c>
      <c r="AE1002" s="181">
        <f t="shared" si="288"/>
        <v>38</v>
      </c>
      <c r="AF1002" s="37">
        <f t="shared" si="300"/>
        <v>26676</v>
      </c>
      <c r="AG1002" s="181">
        <f t="shared" si="289"/>
        <v>1580.2</v>
      </c>
      <c r="AH1002" s="111">
        <f t="shared" si="301"/>
        <v>1050.5090879999998</v>
      </c>
      <c r="AI1002" s="127">
        <f t="shared" si="302"/>
        <v>1580.2</v>
      </c>
      <c r="AJ1002" s="37">
        <f t="shared" si="290"/>
        <v>9881.2000000000007</v>
      </c>
      <c r="AK1002" s="37">
        <f t="shared" si="303"/>
        <v>36557.199999999997</v>
      </c>
      <c r="AL1002" s="37">
        <f t="shared" si="291"/>
        <v>6.6359958506224066</v>
      </c>
      <c r="AN1002" s="37" t="str">
        <f t="shared" si="304"/>
        <v>Pallet</v>
      </c>
      <c r="AO1002" s="194">
        <f t="shared" si="305"/>
        <v>38</v>
      </c>
    </row>
    <row r="1003" spans="22:41" x14ac:dyDescent="0.2">
      <c r="V1003" s="181">
        <f t="shared" si="292"/>
        <v>482.5</v>
      </c>
      <c r="W1003" s="181">
        <f t="shared" si="293"/>
        <v>965</v>
      </c>
      <c r="X1003" s="181">
        <f t="shared" si="294"/>
        <v>1</v>
      </c>
      <c r="Y1003" s="37">
        <f t="shared" si="295"/>
        <v>1917.1</v>
      </c>
      <c r="Z1003" s="181">
        <f t="shared" si="296"/>
        <v>680.5</v>
      </c>
      <c r="AA1003" s="127">
        <f t="shared" si="297"/>
        <v>595.21331999999995</v>
      </c>
      <c r="AB1003" s="127">
        <f t="shared" si="298"/>
        <v>680.5</v>
      </c>
      <c r="AC1003" s="37">
        <f t="shared" si="287"/>
        <v>4483</v>
      </c>
      <c r="AD1003" s="37">
        <f t="shared" si="299"/>
        <v>6400.1</v>
      </c>
      <c r="AE1003" s="181">
        <f t="shared" si="288"/>
        <v>38</v>
      </c>
      <c r="AF1003" s="37">
        <f t="shared" si="300"/>
        <v>26676</v>
      </c>
      <c r="AG1003" s="181">
        <f t="shared" si="289"/>
        <v>1580.7</v>
      </c>
      <c r="AH1003" s="111">
        <f t="shared" si="301"/>
        <v>1050.5090879999998</v>
      </c>
      <c r="AI1003" s="127">
        <f t="shared" si="302"/>
        <v>1580.7</v>
      </c>
      <c r="AJ1003" s="37">
        <f t="shared" si="290"/>
        <v>9884.2000000000007</v>
      </c>
      <c r="AK1003" s="37">
        <f t="shared" si="303"/>
        <v>36560.199999999997</v>
      </c>
      <c r="AL1003" s="37">
        <f t="shared" si="291"/>
        <v>6.6322279792746119</v>
      </c>
      <c r="AN1003" s="37" t="str">
        <f t="shared" si="304"/>
        <v>Pallet</v>
      </c>
      <c r="AO1003" s="194">
        <f t="shared" si="305"/>
        <v>38</v>
      </c>
    </row>
    <row r="1004" spans="22:41" x14ac:dyDescent="0.2">
      <c r="V1004" s="181">
        <f t="shared" si="292"/>
        <v>483</v>
      </c>
      <c r="W1004" s="181">
        <f t="shared" si="293"/>
        <v>966</v>
      </c>
      <c r="X1004" s="181">
        <f t="shared" si="294"/>
        <v>1</v>
      </c>
      <c r="Y1004" s="37">
        <f t="shared" si="295"/>
        <v>1917.1</v>
      </c>
      <c r="Z1004" s="181">
        <f t="shared" si="296"/>
        <v>681</v>
      </c>
      <c r="AA1004" s="127">
        <f t="shared" si="297"/>
        <v>595.21331999999995</v>
      </c>
      <c r="AB1004" s="127">
        <f t="shared" si="298"/>
        <v>681</v>
      </c>
      <c r="AC1004" s="37">
        <f t="shared" si="287"/>
        <v>4486</v>
      </c>
      <c r="AD1004" s="37">
        <f t="shared" si="299"/>
        <v>6403.1</v>
      </c>
      <c r="AE1004" s="181">
        <f t="shared" si="288"/>
        <v>38</v>
      </c>
      <c r="AF1004" s="37">
        <f t="shared" si="300"/>
        <v>26676</v>
      </c>
      <c r="AG1004" s="181">
        <f t="shared" si="289"/>
        <v>1581.2</v>
      </c>
      <c r="AH1004" s="111">
        <f t="shared" si="301"/>
        <v>1050.5090879999998</v>
      </c>
      <c r="AI1004" s="127">
        <f t="shared" si="302"/>
        <v>1581.2</v>
      </c>
      <c r="AJ1004" s="37">
        <f t="shared" si="290"/>
        <v>9887.2000000000007</v>
      </c>
      <c r="AK1004" s="37">
        <f t="shared" si="303"/>
        <v>36563.199999999997</v>
      </c>
      <c r="AL1004" s="37">
        <f t="shared" si="291"/>
        <v>6.6284679089026923</v>
      </c>
      <c r="AN1004" s="37" t="str">
        <f t="shared" si="304"/>
        <v>Pallet</v>
      </c>
      <c r="AO1004" s="194">
        <f t="shared" si="305"/>
        <v>38</v>
      </c>
    </row>
    <row r="1005" spans="22:41" x14ac:dyDescent="0.2">
      <c r="V1005" s="181">
        <f t="shared" si="292"/>
        <v>483.5</v>
      </c>
      <c r="W1005" s="181">
        <f t="shared" si="293"/>
        <v>967</v>
      </c>
      <c r="X1005" s="181">
        <f t="shared" si="294"/>
        <v>1</v>
      </c>
      <c r="Y1005" s="37">
        <f t="shared" si="295"/>
        <v>1917.1</v>
      </c>
      <c r="Z1005" s="181">
        <f t="shared" si="296"/>
        <v>681.5</v>
      </c>
      <c r="AA1005" s="127">
        <f t="shared" si="297"/>
        <v>595.21331999999995</v>
      </c>
      <c r="AB1005" s="127">
        <f t="shared" si="298"/>
        <v>681.5</v>
      </c>
      <c r="AC1005" s="37">
        <f t="shared" si="287"/>
        <v>4489</v>
      </c>
      <c r="AD1005" s="37">
        <f t="shared" si="299"/>
        <v>6406.1</v>
      </c>
      <c r="AE1005" s="181">
        <f t="shared" si="288"/>
        <v>38</v>
      </c>
      <c r="AF1005" s="37">
        <f t="shared" si="300"/>
        <v>26676</v>
      </c>
      <c r="AG1005" s="181">
        <f t="shared" si="289"/>
        <v>1581.7</v>
      </c>
      <c r="AH1005" s="111">
        <f t="shared" si="301"/>
        <v>1050.5090879999998</v>
      </c>
      <c r="AI1005" s="127">
        <f t="shared" si="302"/>
        <v>1581.7</v>
      </c>
      <c r="AJ1005" s="37">
        <f t="shared" si="290"/>
        <v>9890.2000000000007</v>
      </c>
      <c r="AK1005" s="37">
        <f t="shared" si="303"/>
        <v>36566.199999999997</v>
      </c>
      <c r="AL1005" s="37">
        <f t="shared" si="291"/>
        <v>6.6247156153050675</v>
      </c>
      <c r="AN1005" s="37" t="str">
        <f t="shared" si="304"/>
        <v>Pallet</v>
      </c>
      <c r="AO1005" s="194">
        <f t="shared" si="305"/>
        <v>38</v>
      </c>
    </row>
    <row r="1006" spans="22:41" x14ac:dyDescent="0.2">
      <c r="V1006" s="181">
        <f t="shared" si="292"/>
        <v>484</v>
      </c>
      <c r="W1006" s="181">
        <f t="shared" si="293"/>
        <v>968</v>
      </c>
      <c r="X1006" s="181">
        <f t="shared" si="294"/>
        <v>1</v>
      </c>
      <c r="Y1006" s="37">
        <f t="shared" si="295"/>
        <v>1917.1</v>
      </c>
      <c r="Z1006" s="181">
        <f t="shared" si="296"/>
        <v>682</v>
      </c>
      <c r="AA1006" s="127">
        <f t="shared" si="297"/>
        <v>595.21331999999995</v>
      </c>
      <c r="AB1006" s="127">
        <f t="shared" si="298"/>
        <v>682</v>
      </c>
      <c r="AC1006" s="37">
        <f t="shared" si="287"/>
        <v>4492</v>
      </c>
      <c r="AD1006" s="37">
        <f t="shared" si="299"/>
        <v>6409.1</v>
      </c>
      <c r="AE1006" s="181">
        <f t="shared" si="288"/>
        <v>38</v>
      </c>
      <c r="AF1006" s="37">
        <f t="shared" si="300"/>
        <v>26676</v>
      </c>
      <c r="AG1006" s="181">
        <f t="shared" si="289"/>
        <v>1582.2</v>
      </c>
      <c r="AH1006" s="111">
        <f t="shared" si="301"/>
        <v>1050.5090879999998</v>
      </c>
      <c r="AI1006" s="127">
        <f t="shared" si="302"/>
        <v>1582.2</v>
      </c>
      <c r="AJ1006" s="37">
        <f t="shared" si="290"/>
        <v>9893.2000000000007</v>
      </c>
      <c r="AK1006" s="37">
        <f t="shared" si="303"/>
        <v>36569.199999999997</v>
      </c>
      <c r="AL1006" s="37">
        <f t="shared" si="291"/>
        <v>6.620971074380166</v>
      </c>
      <c r="AN1006" s="37" t="str">
        <f t="shared" si="304"/>
        <v>Pallet</v>
      </c>
      <c r="AO1006" s="194">
        <f t="shared" si="305"/>
        <v>38</v>
      </c>
    </row>
    <row r="1007" spans="22:41" x14ac:dyDescent="0.2">
      <c r="V1007" s="181">
        <f t="shared" si="292"/>
        <v>484.5</v>
      </c>
      <c r="W1007" s="181">
        <f t="shared" si="293"/>
        <v>969</v>
      </c>
      <c r="X1007" s="181">
        <f t="shared" si="294"/>
        <v>1</v>
      </c>
      <c r="Y1007" s="37">
        <f t="shared" si="295"/>
        <v>1917.1</v>
      </c>
      <c r="Z1007" s="181">
        <f t="shared" si="296"/>
        <v>682.5</v>
      </c>
      <c r="AA1007" s="127">
        <f t="shared" si="297"/>
        <v>595.21331999999995</v>
      </c>
      <c r="AB1007" s="127">
        <f t="shared" si="298"/>
        <v>682.5</v>
      </c>
      <c r="AC1007" s="37">
        <f t="shared" si="287"/>
        <v>4495</v>
      </c>
      <c r="AD1007" s="37">
        <f t="shared" si="299"/>
        <v>6412.1</v>
      </c>
      <c r="AE1007" s="181">
        <f t="shared" si="288"/>
        <v>38</v>
      </c>
      <c r="AF1007" s="37">
        <f t="shared" si="300"/>
        <v>26676</v>
      </c>
      <c r="AG1007" s="181">
        <f t="shared" si="289"/>
        <v>1582.7</v>
      </c>
      <c r="AH1007" s="111">
        <f t="shared" si="301"/>
        <v>1050.5090879999998</v>
      </c>
      <c r="AI1007" s="127">
        <f t="shared" si="302"/>
        <v>1582.7</v>
      </c>
      <c r="AJ1007" s="37">
        <f t="shared" si="290"/>
        <v>9896.2000000000007</v>
      </c>
      <c r="AK1007" s="37">
        <f t="shared" si="303"/>
        <v>36572.199999999997</v>
      </c>
      <c r="AL1007" s="37">
        <f t="shared" si="291"/>
        <v>6.617234262125903</v>
      </c>
      <c r="AN1007" s="37" t="str">
        <f t="shared" si="304"/>
        <v>Pallet</v>
      </c>
      <c r="AO1007" s="194">
        <f t="shared" si="305"/>
        <v>38</v>
      </c>
    </row>
    <row r="1008" spans="22:41" x14ac:dyDescent="0.2">
      <c r="V1008" s="181">
        <f t="shared" si="292"/>
        <v>485</v>
      </c>
      <c r="W1008" s="181">
        <f t="shared" si="293"/>
        <v>970</v>
      </c>
      <c r="X1008" s="181">
        <f t="shared" si="294"/>
        <v>1</v>
      </c>
      <c r="Y1008" s="37">
        <f t="shared" si="295"/>
        <v>1917.1</v>
      </c>
      <c r="Z1008" s="181">
        <f t="shared" si="296"/>
        <v>683</v>
      </c>
      <c r="AA1008" s="127">
        <f t="shared" si="297"/>
        <v>595.21331999999995</v>
      </c>
      <c r="AB1008" s="127">
        <f t="shared" si="298"/>
        <v>683</v>
      </c>
      <c r="AC1008" s="37">
        <f t="shared" si="287"/>
        <v>4498</v>
      </c>
      <c r="AD1008" s="37">
        <f t="shared" si="299"/>
        <v>6415.1</v>
      </c>
      <c r="AE1008" s="181">
        <f t="shared" si="288"/>
        <v>38</v>
      </c>
      <c r="AF1008" s="37">
        <f t="shared" si="300"/>
        <v>26676</v>
      </c>
      <c r="AG1008" s="181">
        <f t="shared" si="289"/>
        <v>1583.2</v>
      </c>
      <c r="AH1008" s="111">
        <f t="shared" si="301"/>
        <v>1050.5090879999998</v>
      </c>
      <c r="AI1008" s="127">
        <f t="shared" si="302"/>
        <v>1583.2</v>
      </c>
      <c r="AJ1008" s="37">
        <f t="shared" si="290"/>
        <v>9899.2000000000007</v>
      </c>
      <c r="AK1008" s="37">
        <f t="shared" si="303"/>
        <v>36575.199999999997</v>
      </c>
      <c r="AL1008" s="37">
        <f t="shared" si="291"/>
        <v>6.6135051546391752</v>
      </c>
      <c r="AN1008" s="37" t="str">
        <f t="shared" si="304"/>
        <v>Pallet</v>
      </c>
      <c r="AO1008" s="194">
        <f t="shared" si="305"/>
        <v>38</v>
      </c>
    </row>
    <row r="1009" spans="22:41" x14ac:dyDescent="0.2">
      <c r="V1009" s="181">
        <f t="shared" si="292"/>
        <v>485.5</v>
      </c>
      <c r="W1009" s="181">
        <f t="shared" si="293"/>
        <v>971</v>
      </c>
      <c r="X1009" s="181">
        <f t="shared" si="294"/>
        <v>1</v>
      </c>
      <c r="Y1009" s="37">
        <f t="shared" si="295"/>
        <v>1917.1</v>
      </c>
      <c r="Z1009" s="181">
        <f t="shared" si="296"/>
        <v>683.5</v>
      </c>
      <c r="AA1009" s="127">
        <f t="shared" si="297"/>
        <v>595.21331999999995</v>
      </c>
      <c r="AB1009" s="127">
        <f t="shared" si="298"/>
        <v>683.5</v>
      </c>
      <c r="AC1009" s="37">
        <f t="shared" si="287"/>
        <v>4501</v>
      </c>
      <c r="AD1009" s="37">
        <f t="shared" si="299"/>
        <v>6418.1</v>
      </c>
      <c r="AE1009" s="181">
        <f t="shared" si="288"/>
        <v>38</v>
      </c>
      <c r="AF1009" s="37">
        <f t="shared" si="300"/>
        <v>26676</v>
      </c>
      <c r="AG1009" s="181">
        <f t="shared" si="289"/>
        <v>1583.7</v>
      </c>
      <c r="AH1009" s="111">
        <f t="shared" si="301"/>
        <v>1050.5090879999998</v>
      </c>
      <c r="AI1009" s="127">
        <f t="shared" si="302"/>
        <v>1583.7</v>
      </c>
      <c r="AJ1009" s="37">
        <f t="shared" si="290"/>
        <v>9902.2000000000007</v>
      </c>
      <c r="AK1009" s="37">
        <f t="shared" si="303"/>
        <v>36578.199999999997</v>
      </c>
      <c r="AL1009" s="37">
        <f t="shared" si="291"/>
        <v>6.6097837281153451</v>
      </c>
      <c r="AN1009" s="37" t="str">
        <f t="shared" si="304"/>
        <v>Pallet</v>
      </c>
      <c r="AO1009" s="194">
        <f t="shared" si="305"/>
        <v>38</v>
      </c>
    </row>
    <row r="1010" spans="22:41" x14ac:dyDescent="0.2">
      <c r="V1010" s="181">
        <f t="shared" si="292"/>
        <v>486</v>
      </c>
      <c r="W1010" s="181">
        <f t="shared" si="293"/>
        <v>972</v>
      </c>
      <c r="X1010" s="181">
        <f t="shared" si="294"/>
        <v>1</v>
      </c>
      <c r="Y1010" s="37">
        <f t="shared" si="295"/>
        <v>1917.1</v>
      </c>
      <c r="Z1010" s="181">
        <f t="shared" si="296"/>
        <v>684</v>
      </c>
      <c r="AA1010" s="127">
        <f t="shared" si="297"/>
        <v>595.21331999999995</v>
      </c>
      <c r="AB1010" s="127">
        <f t="shared" si="298"/>
        <v>684</v>
      </c>
      <c r="AC1010" s="37">
        <f t="shared" si="287"/>
        <v>4504</v>
      </c>
      <c r="AD1010" s="37">
        <f t="shared" si="299"/>
        <v>6421.1</v>
      </c>
      <c r="AE1010" s="181">
        <f t="shared" si="288"/>
        <v>38</v>
      </c>
      <c r="AF1010" s="37">
        <f t="shared" si="300"/>
        <v>26676</v>
      </c>
      <c r="AG1010" s="181">
        <f t="shared" si="289"/>
        <v>1584.2</v>
      </c>
      <c r="AH1010" s="111">
        <f t="shared" si="301"/>
        <v>1050.5090879999998</v>
      </c>
      <c r="AI1010" s="127">
        <f t="shared" si="302"/>
        <v>1584.2</v>
      </c>
      <c r="AJ1010" s="37">
        <f t="shared" si="290"/>
        <v>9905.2000000000007</v>
      </c>
      <c r="AK1010" s="37">
        <f t="shared" si="303"/>
        <v>36581.199999999997</v>
      </c>
      <c r="AL1010" s="37">
        <f t="shared" si="291"/>
        <v>6.606069958847737</v>
      </c>
      <c r="AN1010" s="37" t="str">
        <f t="shared" si="304"/>
        <v>Pallet</v>
      </c>
      <c r="AO1010" s="194">
        <f t="shared" si="305"/>
        <v>38</v>
      </c>
    </row>
    <row r="1011" spans="22:41" x14ac:dyDescent="0.2">
      <c r="V1011" s="181">
        <f t="shared" si="292"/>
        <v>486.5</v>
      </c>
      <c r="W1011" s="181">
        <f t="shared" si="293"/>
        <v>973</v>
      </c>
      <c r="X1011" s="181">
        <f t="shared" si="294"/>
        <v>1</v>
      </c>
      <c r="Y1011" s="37">
        <f t="shared" si="295"/>
        <v>1917.1</v>
      </c>
      <c r="Z1011" s="181">
        <f t="shared" si="296"/>
        <v>684.5</v>
      </c>
      <c r="AA1011" s="127">
        <f t="shared" si="297"/>
        <v>595.21331999999995</v>
      </c>
      <c r="AB1011" s="127">
        <f t="shared" si="298"/>
        <v>684.5</v>
      </c>
      <c r="AC1011" s="37">
        <f t="shared" si="287"/>
        <v>4507</v>
      </c>
      <c r="AD1011" s="37">
        <f t="shared" si="299"/>
        <v>6424.1</v>
      </c>
      <c r="AE1011" s="181">
        <f t="shared" si="288"/>
        <v>38</v>
      </c>
      <c r="AF1011" s="37">
        <f t="shared" si="300"/>
        <v>26676</v>
      </c>
      <c r="AG1011" s="181">
        <f t="shared" si="289"/>
        <v>1584.7</v>
      </c>
      <c r="AH1011" s="111">
        <f t="shared" si="301"/>
        <v>1050.5090879999998</v>
      </c>
      <c r="AI1011" s="127">
        <f t="shared" si="302"/>
        <v>1584.7</v>
      </c>
      <c r="AJ1011" s="37">
        <f t="shared" si="290"/>
        <v>9908.2000000000007</v>
      </c>
      <c r="AK1011" s="37">
        <f t="shared" si="303"/>
        <v>36584.199999999997</v>
      </c>
      <c r="AL1011" s="37">
        <f t="shared" si="291"/>
        <v>6.6023638232271331</v>
      </c>
      <c r="AN1011" s="37" t="str">
        <f t="shared" si="304"/>
        <v>Pallet</v>
      </c>
      <c r="AO1011" s="194">
        <f t="shared" si="305"/>
        <v>38</v>
      </c>
    </row>
    <row r="1012" spans="22:41" x14ac:dyDescent="0.2">
      <c r="V1012" s="181">
        <f t="shared" si="292"/>
        <v>487</v>
      </c>
      <c r="W1012" s="181">
        <f t="shared" si="293"/>
        <v>974</v>
      </c>
      <c r="X1012" s="181">
        <f t="shared" si="294"/>
        <v>1</v>
      </c>
      <c r="Y1012" s="37">
        <f t="shared" si="295"/>
        <v>1917.1</v>
      </c>
      <c r="Z1012" s="181">
        <f t="shared" si="296"/>
        <v>685</v>
      </c>
      <c r="AA1012" s="127">
        <f t="shared" si="297"/>
        <v>595.21331999999995</v>
      </c>
      <c r="AB1012" s="127">
        <f t="shared" si="298"/>
        <v>685</v>
      </c>
      <c r="AC1012" s="37">
        <f t="shared" si="287"/>
        <v>4510</v>
      </c>
      <c r="AD1012" s="37">
        <f t="shared" si="299"/>
        <v>6427.1</v>
      </c>
      <c r="AE1012" s="181">
        <f t="shared" si="288"/>
        <v>38</v>
      </c>
      <c r="AF1012" s="37">
        <f t="shared" si="300"/>
        <v>26676</v>
      </c>
      <c r="AG1012" s="181">
        <f t="shared" si="289"/>
        <v>1585.2</v>
      </c>
      <c r="AH1012" s="111">
        <f t="shared" si="301"/>
        <v>1050.5090879999998</v>
      </c>
      <c r="AI1012" s="127">
        <f t="shared" si="302"/>
        <v>1585.2</v>
      </c>
      <c r="AJ1012" s="37">
        <f t="shared" si="290"/>
        <v>9911.2000000000007</v>
      </c>
      <c r="AK1012" s="37">
        <f t="shared" si="303"/>
        <v>36587.199999999997</v>
      </c>
      <c r="AL1012" s="37">
        <f t="shared" si="291"/>
        <v>6.5986652977412739</v>
      </c>
      <c r="AN1012" s="37" t="str">
        <f t="shared" si="304"/>
        <v>Pallet</v>
      </c>
      <c r="AO1012" s="194">
        <f t="shared" si="305"/>
        <v>38</v>
      </c>
    </row>
    <row r="1013" spans="22:41" x14ac:dyDescent="0.2">
      <c r="V1013" s="181">
        <f t="shared" si="292"/>
        <v>487.5</v>
      </c>
      <c r="W1013" s="181">
        <f t="shared" si="293"/>
        <v>975</v>
      </c>
      <c r="X1013" s="181">
        <f t="shared" si="294"/>
        <v>1</v>
      </c>
      <c r="Y1013" s="37">
        <f t="shared" si="295"/>
        <v>1917.1</v>
      </c>
      <c r="Z1013" s="181">
        <f t="shared" si="296"/>
        <v>685.5</v>
      </c>
      <c r="AA1013" s="127">
        <f t="shared" si="297"/>
        <v>595.21331999999995</v>
      </c>
      <c r="AB1013" s="127">
        <f t="shared" si="298"/>
        <v>685.5</v>
      </c>
      <c r="AC1013" s="37">
        <f t="shared" si="287"/>
        <v>4513</v>
      </c>
      <c r="AD1013" s="37">
        <f t="shared" si="299"/>
        <v>6430.1</v>
      </c>
      <c r="AE1013" s="181">
        <f t="shared" si="288"/>
        <v>38</v>
      </c>
      <c r="AF1013" s="37">
        <f t="shared" si="300"/>
        <v>26676</v>
      </c>
      <c r="AG1013" s="181">
        <f t="shared" si="289"/>
        <v>1585.7</v>
      </c>
      <c r="AH1013" s="111">
        <f t="shared" si="301"/>
        <v>1050.5090879999998</v>
      </c>
      <c r="AI1013" s="127">
        <f t="shared" si="302"/>
        <v>1585.7</v>
      </c>
      <c r="AJ1013" s="37">
        <f t="shared" si="290"/>
        <v>9914.2000000000007</v>
      </c>
      <c r="AK1013" s="37">
        <f t="shared" si="303"/>
        <v>36590.199999999997</v>
      </c>
      <c r="AL1013" s="37">
        <f t="shared" si="291"/>
        <v>6.5949743589743592</v>
      </c>
      <c r="AN1013" s="37" t="str">
        <f t="shared" si="304"/>
        <v>Pallet</v>
      </c>
      <c r="AO1013" s="194">
        <f t="shared" si="305"/>
        <v>38</v>
      </c>
    </row>
    <row r="1014" spans="22:41" x14ac:dyDescent="0.2">
      <c r="V1014" s="181">
        <f t="shared" si="292"/>
        <v>488</v>
      </c>
      <c r="W1014" s="181">
        <f t="shared" si="293"/>
        <v>976</v>
      </c>
      <c r="X1014" s="181">
        <f t="shared" si="294"/>
        <v>1</v>
      </c>
      <c r="Y1014" s="37">
        <f t="shared" si="295"/>
        <v>1917.1</v>
      </c>
      <c r="Z1014" s="181">
        <f t="shared" si="296"/>
        <v>686</v>
      </c>
      <c r="AA1014" s="127">
        <f t="shared" si="297"/>
        <v>595.21331999999995</v>
      </c>
      <c r="AB1014" s="127">
        <f t="shared" si="298"/>
        <v>686</v>
      </c>
      <c r="AC1014" s="37">
        <f t="shared" si="287"/>
        <v>4516</v>
      </c>
      <c r="AD1014" s="37">
        <f t="shared" si="299"/>
        <v>6433.1</v>
      </c>
      <c r="AE1014" s="181">
        <f t="shared" si="288"/>
        <v>38</v>
      </c>
      <c r="AF1014" s="37">
        <f t="shared" si="300"/>
        <v>26676</v>
      </c>
      <c r="AG1014" s="181">
        <f t="shared" si="289"/>
        <v>1586.2</v>
      </c>
      <c r="AH1014" s="111">
        <f t="shared" si="301"/>
        <v>1050.5090879999998</v>
      </c>
      <c r="AI1014" s="127">
        <f t="shared" si="302"/>
        <v>1586.2</v>
      </c>
      <c r="AJ1014" s="37">
        <f t="shared" si="290"/>
        <v>9917.2000000000007</v>
      </c>
      <c r="AK1014" s="37">
        <f t="shared" si="303"/>
        <v>36593.199999999997</v>
      </c>
      <c r="AL1014" s="37">
        <f t="shared" si="291"/>
        <v>6.5912909836065579</v>
      </c>
      <c r="AN1014" s="37" t="str">
        <f t="shared" si="304"/>
        <v>Pallet</v>
      </c>
      <c r="AO1014" s="194">
        <f t="shared" si="305"/>
        <v>38</v>
      </c>
    </row>
    <row r="1015" spans="22:41" x14ac:dyDescent="0.2">
      <c r="V1015" s="181">
        <f t="shared" si="292"/>
        <v>488.5</v>
      </c>
      <c r="W1015" s="181">
        <f t="shared" si="293"/>
        <v>977</v>
      </c>
      <c r="X1015" s="181">
        <f t="shared" si="294"/>
        <v>1</v>
      </c>
      <c r="Y1015" s="37">
        <f t="shared" si="295"/>
        <v>1917.1</v>
      </c>
      <c r="Z1015" s="181">
        <f t="shared" si="296"/>
        <v>686.5</v>
      </c>
      <c r="AA1015" s="127">
        <f t="shared" si="297"/>
        <v>595.21331999999995</v>
      </c>
      <c r="AB1015" s="127">
        <f t="shared" si="298"/>
        <v>686.5</v>
      </c>
      <c r="AC1015" s="37">
        <f t="shared" si="287"/>
        <v>4519</v>
      </c>
      <c r="AD1015" s="37">
        <f t="shared" si="299"/>
        <v>6436.1</v>
      </c>
      <c r="AE1015" s="181">
        <f t="shared" si="288"/>
        <v>38</v>
      </c>
      <c r="AF1015" s="37">
        <f t="shared" si="300"/>
        <v>26676</v>
      </c>
      <c r="AG1015" s="181">
        <f t="shared" si="289"/>
        <v>1586.7</v>
      </c>
      <c r="AH1015" s="111">
        <f t="shared" si="301"/>
        <v>1050.5090879999998</v>
      </c>
      <c r="AI1015" s="127">
        <f t="shared" si="302"/>
        <v>1586.7</v>
      </c>
      <c r="AJ1015" s="37">
        <f t="shared" si="290"/>
        <v>9920.2000000000007</v>
      </c>
      <c r="AK1015" s="37">
        <f t="shared" si="303"/>
        <v>36596.199999999997</v>
      </c>
      <c r="AL1015" s="37">
        <f t="shared" si="291"/>
        <v>6.5876151484135113</v>
      </c>
      <c r="AN1015" s="37" t="str">
        <f t="shared" si="304"/>
        <v>Pallet</v>
      </c>
      <c r="AO1015" s="194">
        <f t="shared" si="305"/>
        <v>38</v>
      </c>
    </row>
    <row r="1016" spans="22:41" x14ac:dyDescent="0.2">
      <c r="V1016" s="181">
        <f t="shared" si="292"/>
        <v>489</v>
      </c>
      <c r="W1016" s="181">
        <f t="shared" si="293"/>
        <v>978</v>
      </c>
      <c r="X1016" s="181">
        <f t="shared" si="294"/>
        <v>1</v>
      </c>
      <c r="Y1016" s="37">
        <f t="shared" si="295"/>
        <v>1917.1</v>
      </c>
      <c r="Z1016" s="181">
        <f t="shared" si="296"/>
        <v>687</v>
      </c>
      <c r="AA1016" s="127">
        <f t="shared" si="297"/>
        <v>595.21331999999995</v>
      </c>
      <c r="AB1016" s="127">
        <f t="shared" si="298"/>
        <v>687</v>
      </c>
      <c r="AC1016" s="37">
        <f t="shared" si="287"/>
        <v>4522</v>
      </c>
      <c r="AD1016" s="37">
        <f t="shared" si="299"/>
        <v>6439.1</v>
      </c>
      <c r="AE1016" s="181">
        <f t="shared" si="288"/>
        <v>38</v>
      </c>
      <c r="AF1016" s="37">
        <f t="shared" si="300"/>
        <v>26676</v>
      </c>
      <c r="AG1016" s="181">
        <f t="shared" si="289"/>
        <v>1587.2</v>
      </c>
      <c r="AH1016" s="111">
        <f t="shared" si="301"/>
        <v>1050.5090879999998</v>
      </c>
      <c r="AI1016" s="127">
        <f t="shared" si="302"/>
        <v>1587.2</v>
      </c>
      <c r="AJ1016" s="37">
        <f t="shared" si="290"/>
        <v>9923.2000000000007</v>
      </c>
      <c r="AK1016" s="37">
        <f t="shared" si="303"/>
        <v>36599.199999999997</v>
      </c>
      <c r="AL1016" s="37">
        <f t="shared" si="291"/>
        <v>6.583946830265849</v>
      </c>
      <c r="AN1016" s="37" t="str">
        <f t="shared" si="304"/>
        <v>Pallet</v>
      </c>
      <c r="AO1016" s="194">
        <f t="shared" si="305"/>
        <v>38</v>
      </c>
    </row>
    <row r="1017" spans="22:41" x14ac:dyDescent="0.2">
      <c r="V1017" s="181">
        <f t="shared" si="292"/>
        <v>489.5</v>
      </c>
      <c r="W1017" s="181">
        <f t="shared" si="293"/>
        <v>979</v>
      </c>
      <c r="X1017" s="181">
        <f t="shared" si="294"/>
        <v>1</v>
      </c>
      <c r="Y1017" s="37">
        <f t="shared" si="295"/>
        <v>1917.1</v>
      </c>
      <c r="Z1017" s="181">
        <f t="shared" si="296"/>
        <v>687.5</v>
      </c>
      <c r="AA1017" s="127">
        <f t="shared" si="297"/>
        <v>595.21331999999995</v>
      </c>
      <c r="AB1017" s="127">
        <f t="shared" si="298"/>
        <v>687.5</v>
      </c>
      <c r="AC1017" s="37">
        <f t="shared" si="287"/>
        <v>4525</v>
      </c>
      <c r="AD1017" s="37">
        <f t="shared" si="299"/>
        <v>6442.1</v>
      </c>
      <c r="AE1017" s="181">
        <f t="shared" si="288"/>
        <v>38</v>
      </c>
      <c r="AF1017" s="37">
        <f t="shared" si="300"/>
        <v>26676</v>
      </c>
      <c r="AG1017" s="181">
        <f t="shared" si="289"/>
        <v>1587.7</v>
      </c>
      <c r="AH1017" s="111">
        <f t="shared" si="301"/>
        <v>1050.5090879999998</v>
      </c>
      <c r="AI1017" s="127">
        <f t="shared" si="302"/>
        <v>1587.7</v>
      </c>
      <c r="AJ1017" s="37">
        <f t="shared" si="290"/>
        <v>9926.2000000000007</v>
      </c>
      <c r="AK1017" s="37">
        <f t="shared" si="303"/>
        <v>36602.199999999997</v>
      </c>
      <c r="AL1017" s="37">
        <f t="shared" si="291"/>
        <v>6.580286006128703</v>
      </c>
      <c r="AN1017" s="37" t="str">
        <f t="shared" si="304"/>
        <v>Pallet</v>
      </c>
      <c r="AO1017" s="194">
        <f t="shared" si="305"/>
        <v>38</v>
      </c>
    </row>
    <row r="1018" spans="22:41" x14ac:dyDescent="0.2">
      <c r="V1018" s="181">
        <f t="shared" si="292"/>
        <v>490</v>
      </c>
      <c r="W1018" s="181">
        <f t="shared" si="293"/>
        <v>980</v>
      </c>
      <c r="X1018" s="181">
        <f t="shared" si="294"/>
        <v>1</v>
      </c>
      <c r="Y1018" s="37">
        <f t="shared" si="295"/>
        <v>1917.1</v>
      </c>
      <c r="Z1018" s="181">
        <f t="shared" si="296"/>
        <v>688</v>
      </c>
      <c r="AA1018" s="127">
        <f t="shared" si="297"/>
        <v>595.21331999999995</v>
      </c>
      <c r="AB1018" s="127">
        <f t="shared" si="298"/>
        <v>688</v>
      </c>
      <c r="AC1018" s="37">
        <f t="shared" si="287"/>
        <v>4528</v>
      </c>
      <c r="AD1018" s="37">
        <f t="shared" si="299"/>
        <v>6445.1</v>
      </c>
      <c r="AE1018" s="181">
        <f t="shared" si="288"/>
        <v>38</v>
      </c>
      <c r="AF1018" s="37">
        <f t="shared" si="300"/>
        <v>26676</v>
      </c>
      <c r="AG1018" s="181">
        <f t="shared" si="289"/>
        <v>1588.2</v>
      </c>
      <c r="AH1018" s="111">
        <f t="shared" si="301"/>
        <v>1050.5090879999998</v>
      </c>
      <c r="AI1018" s="127">
        <f t="shared" si="302"/>
        <v>1588.2</v>
      </c>
      <c r="AJ1018" s="37">
        <f t="shared" si="290"/>
        <v>9929.2000000000007</v>
      </c>
      <c r="AK1018" s="37">
        <f t="shared" si="303"/>
        <v>36605.199999999997</v>
      </c>
      <c r="AL1018" s="37">
        <f t="shared" si="291"/>
        <v>6.5766326530612247</v>
      </c>
      <c r="AN1018" s="37" t="str">
        <f t="shared" si="304"/>
        <v>Pallet</v>
      </c>
      <c r="AO1018" s="194">
        <f t="shared" si="305"/>
        <v>38</v>
      </c>
    </row>
    <row r="1019" spans="22:41" x14ac:dyDescent="0.2">
      <c r="V1019" s="181">
        <f t="shared" si="292"/>
        <v>490.5</v>
      </c>
      <c r="W1019" s="181">
        <f t="shared" si="293"/>
        <v>981</v>
      </c>
      <c r="X1019" s="181">
        <f t="shared" si="294"/>
        <v>1</v>
      </c>
      <c r="Y1019" s="37">
        <f t="shared" si="295"/>
        <v>1917.1</v>
      </c>
      <c r="Z1019" s="181">
        <f t="shared" si="296"/>
        <v>688.5</v>
      </c>
      <c r="AA1019" s="127">
        <f t="shared" si="297"/>
        <v>595.21331999999995</v>
      </c>
      <c r="AB1019" s="127">
        <f t="shared" si="298"/>
        <v>688.5</v>
      </c>
      <c r="AC1019" s="37">
        <f t="shared" si="287"/>
        <v>4531</v>
      </c>
      <c r="AD1019" s="37">
        <f t="shared" si="299"/>
        <v>6448.1</v>
      </c>
      <c r="AE1019" s="181">
        <f t="shared" si="288"/>
        <v>39</v>
      </c>
      <c r="AF1019" s="37">
        <f t="shared" si="300"/>
        <v>27378</v>
      </c>
      <c r="AG1019" s="181">
        <f t="shared" si="289"/>
        <v>1617.6</v>
      </c>
      <c r="AH1019" s="111">
        <f t="shared" si="301"/>
        <v>1078.1540639999998</v>
      </c>
      <c r="AI1019" s="127">
        <f t="shared" si="302"/>
        <v>1617.6</v>
      </c>
      <c r="AJ1019" s="37">
        <f t="shared" si="290"/>
        <v>10105.599999999999</v>
      </c>
      <c r="AK1019" s="37">
        <f t="shared" si="303"/>
        <v>37483.599999999999</v>
      </c>
      <c r="AL1019" s="37">
        <f t="shared" si="291"/>
        <v>6.5729867482161062</v>
      </c>
      <c r="AN1019" s="37" t="str">
        <f t="shared" si="304"/>
        <v>Pallet</v>
      </c>
      <c r="AO1019" s="194">
        <f t="shared" si="305"/>
        <v>38</v>
      </c>
    </row>
    <row r="1020" spans="22:41" x14ac:dyDescent="0.2">
      <c r="V1020" s="181">
        <f t="shared" si="292"/>
        <v>491</v>
      </c>
      <c r="W1020" s="181">
        <f t="shared" si="293"/>
        <v>982</v>
      </c>
      <c r="X1020" s="181">
        <f t="shared" si="294"/>
        <v>1</v>
      </c>
      <c r="Y1020" s="37">
        <f t="shared" si="295"/>
        <v>1917.1</v>
      </c>
      <c r="Z1020" s="181">
        <f t="shared" si="296"/>
        <v>689</v>
      </c>
      <c r="AA1020" s="127">
        <f t="shared" si="297"/>
        <v>595.21331999999995</v>
      </c>
      <c r="AB1020" s="127">
        <f t="shared" si="298"/>
        <v>689</v>
      </c>
      <c r="AC1020" s="37">
        <f t="shared" si="287"/>
        <v>4534</v>
      </c>
      <c r="AD1020" s="37">
        <f t="shared" si="299"/>
        <v>6451.1</v>
      </c>
      <c r="AE1020" s="181">
        <f t="shared" si="288"/>
        <v>39</v>
      </c>
      <c r="AF1020" s="37">
        <f t="shared" si="300"/>
        <v>27378</v>
      </c>
      <c r="AG1020" s="181">
        <f t="shared" si="289"/>
        <v>1618.1</v>
      </c>
      <c r="AH1020" s="111">
        <f t="shared" si="301"/>
        <v>1078.1540639999998</v>
      </c>
      <c r="AI1020" s="127">
        <f t="shared" si="302"/>
        <v>1618.1</v>
      </c>
      <c r="AJ1020" s="37">
        <f t="shared" si="290"/>
        <v>10108.599999999999</v>
      </c>
      <c r="AK1020" s="37">
        <f t="shared" si="303"/>
        <v>37486.6</v>
      </c>
      <c r="AL1020" s="37">
        <f t="shared" si="291"/>
        <v>6.5693482688391045</v>
      </c>
      <c r="AN1020" s="37" t="str">
        <f t="shared" si="304"/>
        <v>Pallet</v>
      </c>
      <c r="AO1020" s="194">
        <f t="shared" si="305"/>
        <v>39</v>
      </c>
    </row>
    <row r="1021" spans="22:41" x14ac:dyDescent="0.2">
      <c r="V1021" s="181">
        <f t="shared" si="292"/>
        <v>491.5</v>
      </c>
      <c r="W1021" s="181">
        <f t="shared" si="293"/>
        <v>983</v>
      </c>
      <c r="X1021" s="181">
        <f t="shared" si="294"/>
        <v>1</v>
      </c>
      <c r="Y1021" s="37">
        <f t="shared" si="295"/>
        <v>1917.1</v>
      </c>
      <c r="Z1021" s="181">
        <f t="shared" si="296"/>
        <v>689.5</v>
      </c>
      <c r="AA1021" s="127">
        <f t="shared" si="297"/>
        <v>595.21331999999995</v>
      </c>
      <c r="AB1021" s="127">
        <f t="shared" si="298"/>
        <v>689.5</v>
      </c>
      <c r="AC1021" s="37">
        <f t="shared" si="287"/>
        <v>4537</v>
      </c>
      <c r="AD1021" s="37">
        <f t="shared" si="299"/>
        <v>6454.1</v>
      </c>
      <c r="AE1021" s="181">
        <f t="shared" si="288"/>
        <v>39</v>
      </c>
      <c r="AF1021" s="37">
        <f t="shared" si="300"/>
        <v>27378</v>
      </c>
      <c r="AG1021" s="181">
        <f t="shared" si="289"/>
        <v>1618.6</v>
      </c>
      <c r="AH1021" s="111">
        <f t="shared" si="301"/>
        <v>1078.1540639999998</v>
      </c>
      <c r="AI1021" s="127">
        <f t="shared" si="302"/>
        <v>1618.6</v>
      </c>
      <c r="AJ1021" s="37">
        <f t="shared" si="290"/>
        <v>10111.599999999999</v>
      </c>
      <c r="AK1021" s="37">
        <f t="shared" si="303"/>
        <v>37489.599999999999</v>
      </c>
      <c r="AL1021" s="37">
        <f t="shared" si="291"/>
        <v>6.5657171922685658</v>
      </c>
      <c r="AN1021" s="37" t="str">
        <f t="shared" si="304"/>
        <v>Pallet</v>
      </c>
      <c r="AO1021" s="194">
        <f t="shared" si="305"/>
        <v>39</v>
      </c>
    </row>
    <row r="1022" spans="22:41" x14ac:dyDescent="0.2">
      <c r="V1022" s="181">
        <f t="shared" si="292"/>
        <v>492</v>
      </c>
      <c r="W1022" s="181">
        <f t="shared" si="293"/>
        <v>984</v>
      </c>
      <c r="X1022" s="181">
        <f t="shared" si="294"/>
        <v>1</v>
      </c>
      <c r="Y1022" s="37">
        <f t="shared" si="295"/>
        <v>1917.1</v>
      </c>
      <c r="Z1022" s="181">
        <f t="shared" si="296"/>
        <v>690</v>
      </c>
      <c r="AA1022" s="127">
        <f t="shared" si="297"/>
        <v>595.21331999999995</v>
      </c>
      <c r="AB1022" s="127">
        <f t="shared" si="298"/>
        <v>690</v>
      </c>
      <c r="AC1022" s="37">
        <f t="shared" si="287"/>
        <v>4540</v>
      </c>
      <c r="AD1022" s="37">
        <f t="shared" si="299"/>
        <v>6457.1</v>
      </c>
      <c r="AE1022" s="181">
        <f t="shared" si="288"/>
        <v>39</v>
      </c>
      <c r="AF1022" s="37">
        <f t="shared" si="300"/>
        <v>27378</v>
      </c>
      <c r="AG1022" s="181">
        <f t="shared" si="289"/>
        <v>1619.1</v>
      </c>
      <c r="AH1022" s="111">
        <f t="shared" si="301"/>
        <v>1078.1540639999998</v>
      </c>
      <c r="AI1022" s="127">
        <f t="shared" si="302"/>
        <v>1619.1</v>
      </c>
      <c r="AJ1022" s="37">
        <f t="shared" si="290"/>
        <v>10114.599999999999</v>
      </c>
      <c r="AK1022" s="37">
        <f t="shared" si="303"/>
        <v>37492.6</v>
      </c>
      <c r="AL1022" s="37">
        <f t="shared" si="291"/>
        <v>6.5620934959349597</v>
      </c>
      <c r="AN1022" s="37" t="str">
        <f t="shared" si="304"/>
        <v>Pallet</v>
      </c>
      <c r="AO1022" s="194">
        <f t="shared" si="305"/>
        <v>39</v>
      </c>
    </row>
    <row r="1023" spans="22:41" x14ac:dyDescent="0.2">
      <c r="V1023" s="181">
        <f t="shared" si="292"/>
        <v>492.5</v>
      </c>
      <c r="W1023" s="181">
        <f t="shared" si="293"/>
        <v>985</v>
      </c>
      <c r="X1023" s="181">
        <f t="shared" si="294"/>
        <v>1</v>
      </c>
      <c r="Y1023" s="37">
        <f t="shared" si="295"/>
        <v>1917.1</v>
      </c>
      <c r="Z1023" s="181">
        <f t="shared" si="296"/>
        <v>690.5</v>
      </c>
      <c r="AA1023" s="127">
        <f t="shared" si="297"/>
        <v>595.21331999999995</v>
      </c>
      <c r="AB1023" s="127">
        <f t="shared" si="298"/>
        <v>690.5</v>
      </c>
      <c r="AC1023" s="37">
        <f t="shared" si="287"/>
        <v>4543</v>
      </c>
      <c r="AD1023" s="37">
        <f t="shared" si="299"/>
        <v>6460.1</v>
      </c>
      <c r="AE1023" s="181">
        <f t="shared" si="288"/>
        <v>39</v>
      </c>
      <c r="AF1023" s="37">
        <f t="shared" si="300"/>
        <v>27378</v>
      </c>
      <c r="AG1023" s="181">
        <f t="shared" si="289"/>
        <v>1619.6</v>
      </c>
      <c r="AH1023" s="111">
        <f t="shared" si="301"/>
        <v>1078.1540639999998</v>
      </c>
      <c r="AI1023" s="127">
        <f t="shared" si="302"/>
        <v>1619.6</v>
      </c>
      <c r="AJ1023" s="37">
        <f t="shared" si="290"/>
        <v>10117.599999999999</v>
      </c>
      <c r="AK1023" s="37">
        <f t="shared" si="303"/>
        <v>37495.599999999999</v>
      </c>
      <c r="AL1023" s="37">
        <f t="shared" si="291"/>
        <v>6.5584771573604064</v>
      </c>
      <c r="AN1023" s="37" t="str">
        <f t="shared" si="304"/>
        <v>Pallet</v>
      </c>
      <c r="AO1023" s="194">
        <f t="shared" si="305"/>
        <v>39</v>
      </c>
    </row>
    <row r="1024" spans="22:41" x14ac:dyDescent="0.2">
      <c r="V1024" s="181">
        <f t="shared" si="292"/>
        <v>493</v>
      </c>
      <c r="W1024" s="181">
        <f t="shared" si="293"/>
        <v>986</v>
      </c>
      <c r="X1024" s="181">
        <f t="shared" si="294"/>
        <v>1</v>
      </c>
      <c r="Y1024" s="37">
        <f t="shared" si="295"/>
        <v>1917.1</v>
      </c>
      <c r="Z1024" s="181">
        <f t="shared" si="296"/>
        <v>691</v>
      </c>
      <c r="AA1024" s="127">
        <f t="shared" si="297"/>
        <v>595.21331999999995</v>
      </c>
      <c r="AB1024" s="127">
        <f t="shared" si="298"/>
        <v>691</v>
      </c>
      <c r="AC1024" s="37">
        <f t="shared" si="287"/>
        <v>4546</v>
      </c>
      <c r="AD1024" s="37">
        <f t="shared" si="299"/>
        <v>6463.1</v>
      </c>
      <c r="AE1024" s="181">
        <f t="shared" si="288"/>
        <v>39</v>
      </c>
      <c r="AF1024" s="37">
        <f t="shared" si="300"/>
        <v>27378</v>
      </c>
      <c r="AG1024" s="181">
        <f t="shared" si="289"/>
        <v>1620.1</v>
      </c>
      <c r="AH1024" s="111">
        <f t="shared" si="301"/>
        <v>1078.1540639999998</v>
      </c>
      <c r="AI1024" s="127">
        <f t="shared" si="302"/>
        <v>1620.1</v>
      </c>
      <c r="AJ1024" s="37">
        <f t="shared" si="290"/>
        <v>10120.599999999999</v>
      </c>
      <c r="AK1024" s="37">
        <f t="shared" si="303"/>
        <v>37498.6</v>
      </c>
      <c r="AL1024" s="37">
        <f t="shared" si="291"/>
        <v>6.554868154158215</v>
      </c>
      <c r="AN1024" s="37" t="str">
        <f t="shared" si="304"/>
        <v>Pallet</v>
      </c>
      <c r="AO1024" s="194">
        <f t="shared" si="305"/>
        <v>39</v>
      </c>
    </row>
    <row r="1025" spans="22:41" x14ac:dyDescent="0.2">
      <c r="V1025" s="181">
        <f t="shared" si="292"/>
        <v>493.5</v>
      </c>
      <c r="W1025" s="181">
        <f t="shared" si="293"/>
        <v>987</v>
      </c>
      <c r="X1025" s="181">
        <f t="shared" si="294"/>
        <v>1</v>
      </c>
      <c r="Y1025" s="37">
        <f t="shared" si="295"/>
        <v>1917.1</v>
      </c>
      <c r="Z1025" s="181">
        <f t="shared" si="296"/>
        <v>691.5</v>
      </c>
      <c r="AA1025" s="127">
        <f t="shared" si="297"/>
        <v>595.21331999999995</v>
      </c>
      <c r="AB1025" s="127">
        <f t="shared" si="298"/>
        <v>691.5</v>
      </c>
      <c r="AC1025" s="37">
        <f t="shared" si="287"/>
        <v>4549</v>
      </c>
      <c r="AD1025" s="37">
        <f t="shared" si="299"/>
        <v>6466.1</v>
      </c>
      <c r="AE1025" s="181">
        <f t="shared" si="288"/>
        <v>39</v>
      </c>
      <c r="AF1025" s="37">
        <f t="shared" si="300"/>
        <v>27378</v>
      </c>
      <c r="AG1025" s="181">
        <f t="shared" si="289"/>
        <v>1620.6</v>
      </c>
      <c r="AH1025" s="111">
        <f t="shared" si="301"/>
        <v>1078.1540639999998</v>
      </c>
      <c r="AI1025" s="127">
        <f t="shared" si="302"/>
        <v>1620.6</v>
      </c>
      <c r="AJ1025" s="37">
        <f t="shared" si="290"/>
        <v>10123.599999999999</v>
      </c>
      <c r="AK1025" s="37">
        <f t="shared" si="303"/>
        <v>37501.599999999999</v>
      </c>
      <c r="AL1025" s="37">
        <f t="shared" si="291"/>
        <v>6.5512664640324214</v>
      </c>
      <c r="AN1025" s="37" t="str">
        <f t="shared" si="304"/>
        <v>Pallet</v>
      </c>
      <c r="AO1025" s="194">
        <f t="shared" si="305"/>
        <v>39</v>
      </c>
    </row>
    <row r="1026" spans="22:41" x14ac:dyDescent="0.2">
      <c r="V1026" s="181">
        <f t="shared" si="292"/>
        <v>494</v>
      </c>
      <c r="W1026" s="181">
        <f t="shared" si="293"/>
        <v>988</v>
      </c>
      <c r="X1026" s="181">
        <f t="shared" si="294"/>
        <v>1</v>
      </c>
      <c r="Y1026" s="37">
        <f t="shared" si="295"/>
        <v>1917.1</v>
      </c>
      <c r="Z1026" s="181">
        <f t="shared" si="296"/>
        <v>692</v>
      </c>
      <c r="AA1026" s="127">
        <f t="shared" si="297"/>
        <v>595.21331999999995</v>
      </c>
      <c r="AB1026" s="127">
        <f t="shared" si="298"/>
        <v>692</v>
      </c>
      <c r="AC1026" s="37">
        <f t="shared" si="287"/>
        <v>4552</v>
      </c>
      <c r="AD1026" s="37">
        <f t="shared" si="299"/>
        <v>6469.1</v>
      </c>
      <c r="AE1026" s="181">
        <f t="shared" si="288"/>
        <v>39</v>
      </c>
      <c r="AF1026" s="37">
        <f t="shared" si="300"/>
        <v>27378</v>
      </c>
      <c r="AG1026" s="181">
        <f t="shared" si="289"/>
        <v>1621.1</v>
      </c>
      <c r="AH1026" s="111">
        <f t="shared" si="301"/>
        <v>1078.1540639999998</v>
      </c>
      <c r="AI1026" s="127">
        <f t="shared" si="302"/>
        <v>1621.1</v>
      </c>
      <c r="AJ1026" s="37">
        <f t="shared" si="290"/>
        <v>10126.599999999999</v>
      </c>
      <c r="AK1026" s="37">
        <f t="shared" si="303"/>
        <v>37504.6</v>
      </c>
      <c r="AL1026" s="37">
        <f t="shared" si="291"/>
        <v>6.5476720647773279</v>
      </c>
      <c r="AN1026" s="37" t="str">
        <f t="shared" si="304"/>
        <v>Pallet</v>
      </c>
      <c r="AO1026" s="194">
        <f t="shared" si="305"/>
        <v>39</v>
      </c>
    </row>
    <row r="1027" spans="22:41" x14ac:dyDescent="0.2">
      <c r="V1027" s="181">
        <f t="shared" si="292"/>
        <v>494.5</v>
      </c>
      <c r="W1027" s="181">
        <f t="shared" si="293"/>
        <v>989</v>
      </c>
      <c r="X1027" s="181">
        <f t="shared" si="294"/>
        <v>1</v>
      </c>
      <c r="Y1027" s="37">
        <f t="shared" si="295"/>
        <v>1917.1</v>
      </c>
      <c r="Z1027" s="181">
        <f t="shared" si="296"/>
        <v>692.5</v>
      </c>
      <c r="AA1027" s="127">
        <f t="shared" si="297"/>
        <v>595.21331999999995</v>
      </c>
      <c r="AB1027" s="127">
        <f t="shared" si="298"/>
        <v>692.5</v>
      </c>
      <c r="AC1027" s="37">
        <f t="shared" si="287"/>
        <v>4555</v>
      </c>
      <c r="AD1027" s="37">
        <f t="shared" si="299"/>
        <v>6472.1</v>
      </c>
      <c r="AE1027" s="181">
        <f t="shared" si="288"/>
        <v>39</v>
      </c>
      <c r="AF1027" s="37">
        <f t="shared" si="300"/>
        <v>27378</v>
      </c>
      <c r="AG1027" s="181">
        <f t="shared" si="289"/>
        <v>1621.6</v>
      </c>
      <c r="AH1027" s="111">
        <f t="shared" si="301"/>
        <v>1078.1540639999998</v>
      </c>
      <c r="AI1027" s="127">
        <f t="shared" si="302"/>
        <v>1621.6</v>
      </c>
      <c r="AJ1027" s="37">
        <f t="shared" si="290"/>
        <v>10129.599999999999</v>
      </c>
      <c r="AK1027" s="37">
        <f t="shared" si="303"/>
        <v>37507.599999999999</v>
      </c>
      <c r="AL1027" s="37">
        <f t="shared" si="291"/>
        <v>6.5440849342770475</v>
      </c>
      <c r="AN1027" s="37" t="str">
        <f t="shared" si="304"/>
        <v>Pallet</v>
      </c>
      <c r="AO1027" s="194">
        <f t="shared" si="305"/>
        <v>39</v>
      </c>
    </row>
    <row r="1028" spans="22:41" x14ac:dyDescent="0.2">
      <c r="V1028" s="181">
        <f t="shared" si="292"/>
        <v>495</v>
      </c>
      <c r="W1028" s="181">
        <f t="shared" si="293"/>
        <v>990</v>
      </c>
      <c r="X1028" s="181">
        <f t="shared" si="294"/>
        <v>1</v>
      </c>
      <c r="Y1028" s="37">
        <f t="shared" si="295"/>
        <v>1917.1</v>
      </c>
      <c r="Z1028" s="181">
        <f t="shared" si="296"/>
        <v>693</v>
      </c>
      <c r="AA1028" s="127">
        <f t="shared" si="297"/>
        <v>595.21331999999995</v>
      </c>
      <c r="AB1028" s="127">
        <f t="shared" si="298"/>
        <v>693</v>
      </c>
      <c r="AC1028" s="37">
        <f t="shared" si="287"/>
        <v>4558</v>
      </c>
      <c r="AD1028" s="37">
        <f t="shared" si="299"/>
        <v>6475.1</v>
      </c>
      <c r="AE1028" s="181">
        <f t="shared" si="288"/>
        <v>39</v>
      </c>
      <c r="AF1028" s="37">
        <f t="shared" si="300"/>
        <v>27378</v>
      </c>
      <c r="AG1028" s="181">
        <f t="shared" si="289"/>
        <v>1622.1</v>
      </c>
      <c r="AH1028" s="111">
        <f t="shared" si="301"/>
        <v>1078.1540639999998</v>
      </c>
      <c r="AI1028" s="127">
        <f t="shared" si="302"/>
        <v>1622.1</v>
      </c>
      <c r="AJ1028" s="37">
        <f t="shared" si="290"/>
        <v>10132.599999999999</v>
      </c>
      <c r="AK1028" s="37">
        <f t="shared" si="303"/>
        <v>37510.6</v>
      </c>
      <c r="AL1028" s="37">
        <f t="shared" si="291"/>
        <v>6.5405050505050513</v>
      </c>
      <c r="AN1028" s="37" t="str">
        <f t="shared" si="304"/>
        <v>Pallet</v>
      </c>
      <c r="AO1028" s="194">
        <f t="shared" si="305"/>
        <v>39</v>
      </c>
    </row>
    <row r="1029" spans="22:41" x14ac:dyDescent="0.2">
      <c r="V1029" s="181">
        <f t="shared" si="292"/>
        <v>495.5</v>
      </c>
      <c r="W1029" s="181">
        <f t="shared" si="293"/>
        <v>991</v>
      </c>
      <c r="X1029" s="181">
        <f t="shared" si="294"/>
        <v>1</v>
      </c>
      <c r="Y1029" s="37">
        <f t="shared" si="295"/>
        <v>1917.1</v>
      </c>
      <c r="Z1029" s="181">
        <f t="shared" si="296"/>
        <v>693.5</v>
      </c>
      <c r="AA1029" s="127">
        <f t="shared" si="297"/>
        <v>595.21331999999995</v>
      </c>
      <c r="AB1029" s="127">
        <f t="shared" si="298"/>
        <v>693.5</v>
      </c>
      <c r="AC1029" s="37">
        <f t="shared" si="287"/>
        <v>4561</v>
      </c>
      <c r="AD1029" s="37">
        <f t="shared" si="299"/>
        <v>6478.1</v>
      </c>
      <c r="AE1029" s="181">
        <f t="shared" si="288"/>
        <v>39</v>
      </c>
      <c r="AF1029" s="37">
        <f t="shared" si="300"/>
        <v>27378</v>
      </c>
      <c r="AG1029" s="181">
        <f t="shared" si="289"/>
        <v>1622.6</v>
      </c>
      <c r="AH1029" s="111">
        <f t="shared" si="301"/>
        <v>1078.1540639999998</v>
      </c>
      <c r="AI1029" s="127">
        <f t="shared" si="302"/>
        <v>1622.6</v>
      </c>
      <c r="AJ1029" s="37">
        <f t="shared" si="290"/>
        <v>10135.599999999999</v>
      </c>
      <c r="AK1029" s="37">
        <f t="shared" si="303"/>
        <v>37513.599999999999</v>
      </c>
      <c r="AL1029" s="37">
        <f t="shared" si="291"/>
        <v>6.5369323915237141</v>
      </c>
      <c r="AN1029" s="37" t="str">
        <f t="shared" si="304"/>
        <v>Pallet</v>
      </c>
      <c r="AO1029" s="194">
        <f t="shared" si="305"/>
        <v>39</v>
      </c>
    </row>
    <row r="1030" spans="22:41" x14ac:dyDescent="0.2">
      <c r="V1030" s="181">
        <f t="shared" si="292"/>
        <v>496</v>
      </c>
      <c r="W1030" s="181">
        <f t="shared" si="293"/>
        <v>992</v>
      </c>
      <c r="X1030" s="181">
        <f t="shared" si="294"/>
        <v>1</v>
      </c>
      <c r="Y1030" s="37">
        <f t="shared" si="295"/>
        <v>1917.1</v>
      </c>
      <c r="Z1030" s="181">
        <f t="shared" si="296"/>
        <v>694</v>
      </c>
      <c r="AA1030" s="127">
        <f t="shared" si="297"/>
        <v>595.21331999999995</v>
      </c>
      <c r="AB1030" s="127">
        <f t="shared" si="298"/>
        <v>694</v>
      </c>
      <c r="AC1030" s="37">
        <f t="shared" si="287"/>
        <v>4564</v>
      </c>
      <c r="AD1030" s="37">
        <f t="shared" si="299"/>
        <v>6481.1</v>
      </c>
      <c r="AE1030" s="181">
        <f t="shared" si="288"/>
        <v>39</v>
      </c>
      <c r="AF1030" s="37">
        <f t="shared" si="300"/>
        <v>27378</v>
      </c>
      <c r="AG1030" s="181">
        <f t="shared" si="289"/>
        <v>1623.1</v>
      </c>
      <c r="AH1030" s="111">
        <f t="shared" si="301"/>
        <v>1078.1540639999998</v>
      </c>
      <c r="AI1030" s="127">
        <f t="shared" si="302"/>
        <v>1623.1</v>
      </c>
      <c r="AJ1030" s="37">
        <f t="shared" si="290"/>
        <v>10138.599999999999</v>
      </c>
      <c r="AK1030" s="37">
        <f t="shared" si="303"/>
        <v>37516.6</v>
      </c>
      <c r="AL1030" s="37">
        <f t="shared" si="291"/>
        <v>6.5333669354838717</v>
      </c>
      <c r="AN1030" s="37" t="str">
        <f t="shared" si="304"/>
        <v>Pallet</v>
      </c>
      <c r="AO1030" s="194">
        <f t="shared" si="305"/>
        <v>39</v>
      </c>
    </row>
    <row r="1031" spans="22:41" x14ac:dyDescent="0.2">
      <c r="V1031" s="181">
        <f t="shared" si="292"/>
        <v>496.5</v>
      </c>
      <c r="W1031" s="181">
        <f t="shared" si="293"/>
        <v>993</v>
      </c>
      <c r="X1031" s="181">
        <f t="shared" si="294"/>
        <v>1</v>
      </c>
      <c r="Y1031" s="37">
        <f t="shared" si="295"/>
        <v>1917.1</v>
      </c>
      <c r="Z1031" s="181">
        <f t="shared" si="296"/>
        <v>694.5</v>
      </c>
      <c r="AA1031" s="127">
        <f t="shared" si="297"/>
        <v>595.21331999999995</v>
      </c>
      <c r="AB1031" s="127">
        <f t="shared" si="298"/>
        <v>694.5</v>
      </c>
      <c r="AC1031" s="37">
        <f t="shared" si="287"/>
        <v>4567</v>
      </c>
      <c r="AD1031" s="37">
        <f t="shared" si="299"/>
        <v>6484.1</v>
      </c>
      <c r="AE1031" s="181">
        <f t="shared" si="288"/>
        <v>39</v>
      </c>
      <c r="AF1031" s="37">
        <f t="shared" si="300"/>
        <v>27378</v>
      </c>
      <c r="AG1031" s="181">
        <f t="shared" si="289"/>
        <v>1623.6</v>
      </c>
      <c r="AH1031" s="111">
        <f t="shared" si="301"/>
        <v>1078.1540639999998</v>
      </c>
      <c r="AI1031" s="127">
        <f t="shared" si="302"/>
        <v>1623.6</v>
      </c>
      <c r="AJ1031" s="37">
        <f t="shared" si="290"/>
        <v>10141.599999999999</v>
      </c>
      <c r="AK1031" s="37">
        <f t="shared" si="303"/>
        <v>37519.599999999999</v>
      </c>
      <c r="AL1031" s="37">
        <f t="shared" si="291"/>
        <v>6.5298086606243713</v>
      </c>
      <c r="AN1031" s="37" t="str">
        <f t="shared" si="304"/>
        <v>Pallet</v>
      </c>
      <c r="AO1031" s="194">
        <f t="shared" si="305"/>
        <v>39</v>
      </c>
    </row>
    <row r="1032" spans="22:41" x14ac:dyDescent="0.2">
      <c r="V1032" s="181">
        <f t="shared" si="292"/>
        <v>497</v>
      </c>
      <c r="W1032" s="181">
        <f t="shared" si="293"/>
        <v>994</v>
      </c>
      <c r="X1032" s="181">
        <f t="shared" si="294"/>
        <v>1</v>
      </c>
      <c r="Y1032" s="37">
        <f t="shared" si="295"/>
        <v>1917.1</v>
      </c>
      <c r="Z1032" s="181">
        <f t="shared" si="296"/>
        <v>695</v>
      </c>
      <c r="AA1032" s="127">
        <f t="shared" si="297"/>
        <v>595.21331999999995</v>
      </c>
      <c r="AB1032" s="127">
        <f t="shared" si="298"/>
        <v>695</v>
      </c>
      <c r="AC1032" s="37">
        <f t="shared" si="287"/>
        <v>4570</v>
      </c>
      <c r="AD1032" s="37">
        <f t="shared" si="299"/>
        <v>6487.1</v>
      </c>
      <c r="AE1032" s="181">
        <f t="shared" si="288"/>
        <v>39</v>
      </c>
      <c r="AF1032" s="37">
        <f t="shared" si="300"/>
        <v>27378</v>
      </c>
      <c r="AG1032" s="181">
        <f t="shared" si="289"/>
        <v>1624.1</v>
      </c>
      <c r="AH1032" s="111">
        <f t="shared" si="301"/>
        <v>1078.1540639999998</v>
      </c>
      <c r="AI1032" s="127">
        <f t="shared" si="302"/>
        <v>1624.1</v>
      </c>
      <c r="AJ1032" s="37">
        <f t="shared" si="290"/>
        <v>10144.599999999999</v>
      </c>
      <c r="AK1032" s="37">
        <f t="shared" si="303"/>
        <v>37522.6</v>
      </c>
      <c r="AL1032" s="37">
        <f t="shared" si="291"/>
        <v>6.5262575452716298</v>
      </c>
      <c r="AN1032" s="37" t="str">
        <f t="shared" si="304"/>
        <v>Pallet</v>
      </c>
      <c r="AO1032" s="194">
        <f t="shared" si="305"/>
        <v>39</v>
      </c>
    </row>
    <row r="1033" spans="22:41" x14ac:dyDescent="0.2">
      <c r="V1033" s="181">
        <f t="shared" si="292"/>
        <v>497.5</v>
      </c>
      <c r="W1033" s="181">
        <f t="shared" si="293"/>
        <v>995</v>
      </c>
      <c r="X1033" s="181">
        <f t="shared" si="294"/>
        <v>1</v>
      </c>
      <c r="Y1033" s="37">
        <f t="shared" si="295"/>
        <v>1917.1</v>
      </c>
      <c r="Z1033" s="181">
        <f t="shared" si="296"/>
        <v>695.5</v>
      </c>
      <c r="AA1033" s="127">
        <f t="shared" si="297"/>
        <v>595.21331999999995</v>
      </c>
      <c r="AB1033" s="127">
        <f t="shared" si="298"/>
        <v>695.5</v>
      </c>
      <c r="AC1033" s="37">
        <f t="shared" si="287"/>
        <v>4573</v>
      </c>
      <c r="AD1033" s="37">
        <f t="shared" si="299"/>
        <v>6490.1</v>
      </c>
      <c r="AE1033" s="181">
        <f t="shared" si="288"/>
        <v>39</v>
      </c>
      <c r="AF1033" s="37">
        <f t="shared" si="300"/>
        <v>27378</v>
      </c>
      <c r="AG1033" s="181">
        <f t="shared" si="289"/>
        <v>1624.6</v>
      </c>
      <c r="AH1033" s="111">
        <f t="shared" si="301"/>
        <v>1078.1540639999998</v>
      </c>
      <c r="AI1033" s="127">
        <f t="shared" si="302"/>
        <v>1624.6</v>
      </c>
      <c r="AJ1033" s="37">
        <f t="shared" si="290"/>
        <v>10147.599999999999</v>
      </c>
      <c r="AK1033" s="37">
        <f t="shared" si="303"/>
        <v>37525.599999999999</v>
      </c>
      <c r="AL1033" s="37">
        <f t="shared" si="291"/>
        <v>6.5227135678391965</v>
      </c>
      <c r="AN1033" s="37" t="str">
        <f t="shared" si="304"/>
        <v>Pallet</v>
      </c>
      <c r="AO1033" s="194">
        <f t="shared" si="305"/>
        <v>39</v>
      </c>
    </row>
    <row r="1034" spans="22:41" x14ac:dyDescent="0.2">
      <c r="V1034" s="181">
        <f t="shared" si="292"/>
        <v>498</v>
      </c>
      <c r="W1034" s="181">
        <f t="shared" si="293"/>
        <v>996</v>
      </c>
      <c r="X1034" s="181">
        <f t="shared" si="294"/>
        <v>1</v>
      </c>
      <c r="Y1034" s="37">
        <f t="shared" si="295"/>
        <v>1917.1</v>
      </c>
      <c r="Z1034" s="181">
        <f t="shared" si="296"/>
        <v>696</v>
      </c>
      <c r="AA1034" s="127">
        <f t="shared" si="297"/>
        <v>595.21331999999995</v>
      </c>
      <c r="AB1034" s="127">
        <f t="shared" si="298"/>
        <v>696</v>
      </c>
      <c r="AC1034" s="37">
        <f t="shared" si="287"/>
        <v>4576</v>
      </c>
      <c r="AD1034" s="37">
        <f t="shared" si="299"/>
        <v>6493.1</v>
      </c>
      <c r="AE1034" s="181">
        <f t="shared" si="288"/>
        <v>39</v>
      </c>
      <c r="AF1034" s="37">
        <f t="shared" si="300"/>
        <v>27378</v>
      </c>
      <c r="AG1034" s="181">
        <f t="shared" si="289"/>
        <v>1625.1</v>
      </c>
      <c r="AH1034" s="111">
        <f t="shared" si="301"/>
        <v>1078.1540639999998</v>
      </c>
      <c r="AI1034" s="127">
        <f t="shared" si="302"/>
        <v>1625.1</v>
      </c>
      <c r="AJ1034" s="37">
        <f t="shared" si="290"/>
        <v>10150.599999999999</v>
      </c>
      <c r="AK1034" s="37">
        <f t="shared" si="303"/>
        <v>37528.6</v>
      </c>
      <c r="AL1034" s="37">
        <f t="shared" si="291"/>
        <v>6.5191767068273094</v>
      </c>
      <c r="AN1034" s="37" t="str">
        <f t="shared" si="304"/>
        <v>Pallet</v>
      </c>
      <c r="AO1034" s="194">
        <f t="shared" si="305"/>
        <v>39</v>
      </c>
    </row>
    <row r="1035" spans="22:41" x14ac:dyDescent="0.2">
      <c r="V1035" s="181">
        <f t="shared" si="292"/>
        <v>498.5</v>
      </c>
      <c r="W1035" s="181">
        <f t="shared" si="293"/>
        <v>997</v>
      </c>
      <c r="X1035" s="181">
        <f t="shared" si="294"/>
        <v>1</v>
      </c>
      <c r="Y1035" s="37">
        <f t="shared" si="295"/>
        <v>1917.1</v>
      </c>
      <c r="Z1035" s="181">
        <f t="shared" si="296"/>
        <v>696.5</v>
      </c>
      <c r="AA1035" s="127">
        <f t="shared" si="297"/>
        <v>595.21331999999995</v>
      </c>
      <c r="AB1035" s="127">
        <f t="shared" si="298"/>
        <v>696.5</v>
      </c>
      <c r="AC1035" s="37">
        <f t="shared" si="287"/>
        <v>4579</v>
      </c>
      <c r="AD1035" s="37">
        <f t="shared" si="299"/>
        <v>6496.1</v>
      </c>
      <c r="AE1035" s="181">
        <f t="shared" si="288"/>
        <v>39</v>
      </c>
      <c r="AF1035" s="37">
        <f t="shared" si="300"/>
        <v>27378</v>
      </c>
      <c r="AG1035" s="181">
        <f t="shared" si="289"/>
        <v>1625.6</v>
      </c>
      <c r="AH1035" s="111">
        <f t="shared" si="301"/>
        <v>1078.1540639999998</v>
      </c>
      <c r="AI1035" s="127">
        <f t="shared" si="302"/>
        <v>1625.6</v>
      </c>
      <c r="AJ1035" s="37">
        <f t="shared" si="290"/>
        <v>10153.599999999999</v>
      </c>
      <c r="AK1035" s="37">
        <f t="shared" si="303"/>
        <v>37531.599999999999</v>
      </c>
      <c r="AL1035" s="37">
        <f t="shared" si="291"/>
        <v>6.5156469408224682</v>
      </c>
      <c r="AN1035" s="37" t="str">
        <f t="shared" si="304"/>
        <v>Pallet</v>
      </c>
      <c r="AO1035" s="194">
        <f t="shared" si="305"/>
        <v>39</v>
      </c>
    </row>
    <row r="1036" spans="22:41" x14ac:dyDescent="0.2">
      <c r="V1036" s="181">
        <f t="shared" si="292"/>
        <v>499</v>
      </c>
      <c r="W1036" s="181">
        <f t="shared" si="293"/>
        <v>998</v>
      </c>
      <c r="X1036" s="181">
        <f t="shared" si="294"/>
        <v>1</v>
      </c>
      <c r="Y1036" s="37">
        <f t="shared" si="295"/>
        <v>1917.1</v>
      </c>
      <c r="Z1036" s="181">
        <f t="shared" si="296"/>
        <v>697</v>
      </c>
      <c r="AA1036" s="127">
        <f t="shared" si="297"/>
        <v>595.21331999999995</v>
      </c>
      <c r="AB1036" s="127">
        <f t="shared" si="298"/>
        <v>697</v>
      </c>
      <c r="AC1036" s="37">
        <f t="shared" si="287"/>
        <v>4582</v>
      </c>
      <c r="AD1036" s="37">
        <f t="shared" si="299"/>
        <v>6499.1</v>
      </c>
      <c r="AE1036" s="181">
        <f t="shared" si="288"/>
        <v>39</v>
      </c>
      <c r="AF1036" s="37">
        <f t="shared" si="300"/>
        <v>27378</v>
      </c>
      <c r="AG1036" s="181">
        <f t="shared" si="289"/>
        <v>1626.1</v>
      </c>
      <c r="AH1036" s="111">
        <f t="shared" si="301"/>
        <v>1078.1540639999998</v>
      </c>
      <c r="AI1036" s="127">
        <f t="shared" si="302"/>
        <v>1626.1</v>
      </c>
      <c r="AJ1036" s="37">
        <f t="shared" si="290"/>
        <v>10156.599999999999</v>
      </c>
      <c r="AK1036" s="37">
        <f t="shared" si="303"/>
        <v>37534.6</v>
      </c>
      <c r="AL1036" s="37">
        <f t="shared" si="291"/>
        <v>6.5121242484969946</v>
      </c>
      <c r="AN1036" s="37" t="str">
        <f t="shared" si="304"/>
        <v>Pallet</v>
      </c>
      <c r="AO1036" s="194">
        <f t="shared" si="305"/>
        <v>39</v>
      </c>
    </row>
    <row r="1037" spans="22:41" x14ac:dyDescent="0.2">
      <c r="V1037" s="181">
        <f t="shared" si="292"/>
        <v>499.5</v>
      </c>
      <c r="W1037" s="181">
        <f t="shared" si="293"/>
        <v>999</v>
      </c>
      <c r="X1037" s="181">
        <f t="shared" si="294"/>
        <v>1</v>
      </c>
      <c r="Y1037" s="37">
        <f t="shared" si="295"/>
        <v>1917.1</v>
      </c>
      <c r="Z1037" s="181">
        <f t="shared" si="296"/>
        <v>697.5</v>
      </c>
      <c r="AA1037" s="127">
        <f t="shared" si="297"/>
        <v>595.21331999999995</v>
      </c>
      <c r="AB1037" s="127">
        <f t="shared" si="298"/>
        <v>697.5</v>
      </c>
      <c r="AC1037" s="37">
        <f t="shared" si="287"/>
        <v>4585</v>
      </c>
      <c r="AD1037" s="37">
        <f t="shared" si="299"/>
        <v>6502.1</v>
      </c>
      <c r="AE1037" s="181">
        <f t="shared" si="288"/>
        <v>39</v>
      </c>
      <c r="AF1037" s="37">
        <f t="shared" si="300"/>
        <v>27378</v>
      </c>
      <c r="AG1037" s="181">
        <f t="shared" si="289"/>
        <v>1626.6</v>
      </c>
      <c r="AH1037" s="111">
        <f t="shared" si="301"/>
        <v>1078.1540639999998</v>
      </c>
      <c r="AI1037" s="127">
        <f t="shared" si="302"/>
        <v>1626.6</v>
      </c>
      <c r="AJ1037" s="37">
        <f t="shared" si="290"/>
        <v>10159.599999999999</v>
      </c>
      <c r="AK1037" s="37">
        <f t="shared" si="303"/>
        <v>37537.599999999999</v>
      </c>
      <c r="AL1037" s="37">
        <f t="shared" si="291"/>
        <v>6.5086086086086086</v>
      </c>
      <c r="AN1037" s="37" t="str">
        <f t="shared" si="304"/>
        <v>Pallet</v>
      </c>
      <c r="AO1037" s="194">
        <f t="shared" si="305"/>
        <v>39</v>
      </c>
    </row>
    <row r="1038" spans="22:41" x14ac:dyDescent="0.2">
      <c r="V1038" s="181">
        <f t="shared" si="292"/>
        <v>500</v>
      </c>
      <c r="W1038" s="181">
        <f t="shared" si="293"/>
        <v>1000</v>
      </c>
      <c r="X1038" s="181">
        <f t="shared" si="294"/>
        <v>1</v>
      </c>
      <c r="Y1038" s="37">
        <f t="shared" si="295"/>
        <v>1917.1</v>
      </c>
      <c r="Z1038" s="181">
        <f t="shared" si="296"/>
        <v>698</v>
      </c>
      <c r="AA1038" s="127">
        <f t="shared" si="297"/>
        <v>595.21331999999995</v>
      </c>
      <c r="AB1038" s="127">
        <f t="shared" si="298"/>
        <v>698</v>
      </c>
      <c r="AC1038" s="37">
        <f t="shared" si="287"/>
        <v>4588</v>
      </c>
      <c r="AD1038" s="37">
        <f t="shared" si="299"/>
        <v>6505.1</v>
      </c>
      <c r="AE1038" s="181">
        <f t="shared" si="288"/>
        <v>39</v>
      </c>
      <c r="AF1038" s="37">
        <f t="shared" si="300"/>
        <v>27378</v>
      </c>
      <c r="AG1038" s="181">
        <f t="shared" si="289"/>
        <v>1627.1</v>
      </c>
      <c r="AH1038" s="111">
        <f t="shared" si="301"/>
        <v>1078.1540639999998</v>
      </c>
      <c r="AI1038" s="127">
        <f t="shared" si="302"/>
        <v>1627.1</v>
      </c>
      <c r="AJ1038" s="37">
        <f t="shared" si="290"/>
        <v>10162.599999999999</v>
      </c>
      <c r="AK1038" s="37">
        <f t="shared" si="303"/>
        <v>37540.6</v>
      </c>
      <c r="AL1038" s="37">
        <f t="shared" si="291"/>
        <v>6.5051000000000005</v>
      </c>
      <c r="AN1038" s="37" t="str">
        <f t="shared" si="304"/>
        <v>Pallet</v>
      </c>
      <c r="AO1038" s="194">
        <f t="shared" si="305"/>
        <v>39</v>
      </c>
    </row>
    <row r="1039" spans="22:41" x14ac:dyDescent="0.2">
      <c r="V1039" s="181">
        <f t="shared" si="292"/>
        <v>500.5</v>
      </c>
      <c r="W1039" s="181">
        <f t="shared" si="293"/>
        <v>1001</v>
      </c>
      <c r="X1039" s="181">
        <f t="shared" si="294"/>
        <v>1</v>
      </c>
      <c r="Y1039" s="37">
        <f t="shared" si="295"/>
        <v>1917.1</v>
      </c>
      <c r="Z1039" s="181">
        <f t="shared" si="296"/>
        <v>698.5</v>
      </c>
      <c r="AA1039" s="127">
        <f t="shared" si="297"/>
        <v>595.21331999999995</v>
      </c>
      <c r="AB1039" s="127">
        <f t="shared" si="298"/>
        <v>698.5</v>
      </c>
      <c r="AC1039" s="37">
        <f t="shared" si="287"/>
        <v>4591</v>
      </c>
      <c r="AD1039" s="37">
        <f t="shared" si="299"/>
        <v>6508.1</v>
      </c>
      <c r="AE1039" s="181">
        <f t="shared" si="288"/>
        <v>39</v>
      </c>
      <c r="AF1039" s="37">
        <f t="shared" si="300"/>
        <v>27378</v>
      </c>
      <c r="AG1039" s="181">
        <f t="shared" si="289"/>
        <v>1627.6</v>
      </c>
      <c r="AH1039" s="111">
        <f t="shared" si="301"/>
        <v>1078.1540639999998</v>
      </c>
      <c r="AI1039" s="127">
        <f t="shared" si="302"/>
        <v>1627.6</v>
      </c>
      <c r="AJ1039" s="37">
        <f t="shared" si="290"/>
        <v>10165.599999999999</v>
      </c>
      <c r="AK1039" s="37">
        <f t="shared" si="303"/>
        <v>37543.599999999999</v>
      </c>
      <c r="AL1039" s="37">
        <f t="shared" si="291"/>
        <v>6.5015984015984021</v>
      </c>
      <c r="AN1039" s="37" t="str">
        <f t="shared" si="304"/>
        <v>Pallet</v>
      </c>
      <c r="AO1039" s="194">
        <f t="shared" si="305"/>
        <v>39</v>
      </c>
    </row>
    <row r="1040" spans="22:41" x14ac:dyDescent="0.2">
      <c r="V1040" s="181">
        <f t="shared" si="292"/>
        <v>501</v>
      </c>
      <c r="W1040" s="181">
        <f t="shared" si="293"/>
        <v>1002</v>
      </c>
      <c r="X1040" s="181">
        <f t="shared" si="294"/>
        <v>1</v>
      </c>
      <c r="Y1040" s="37">
        <f t="shared" si="295"/>
        <v>1917.1</v>
      </c>
      <c r="Z1040" s="181">
        <f t="shared" si="296"/>
        <v>699</v>
      </c>
      <c r="AA1040" s="127">
        <f t="shared" si="297"/>
        <v>595.21331999999995</v>
      </c>
      <c r="AB1040" s="127">
        <f t="shared" si="298"/>
        <v>699</v>
      </c>
      <c r="AC1040" s="37">
        <f t="shared" si="287"/>
        <v>4594</v>
      </c>
      <c r="AD1040" s="37">
        <f t="shared" si="299"/>
        <v>6511.1</v>
      </c>
      <c r="AE1040" s="181">
        <f t="shared" si="288"/>
        <v>39</v>
      </c>
      <c r="AF1040" s="37">
        <f t="shared" si="300"/>
        <v>27378</v>
      </c>
      <c r="AG1040" s="181">
        <f t="shared" si="289"/>
        <v>1628.1</v>
      </c>
      <c r="AH1040" s="111">
        <f t="shared" si="301"/>
        <v>1078.1540639999998</v>
      </c>
      <c r="AI1040" s="127">
        <f t="shared" si="302"/>
        <v>1628.1</v>
      </c>
      <c r="AJ1040" s="37">
        <f t="shared" si="290"/>
        <v>10168.599999999999</v>
      </c>
      <c r="AK1040" s="37">
        <f t="shared" si="303"/>
        <v>37546.6</v>
      </c>
      <c r="AL1040" s="37">
        <f t="shared" si="291"/>
        <v>6.4981037924151703</v>
      </c>
      <c r="AN1040" s="37" t="str">
        <f t="shared" si="304"/>
        <v>Pallet</v>
      </c>
      <c r="AO1040" s="194">
        <f t="shared" si="305"/>
        <v>39</v>
      </c>
    </row>
    <row r="1041" spans="22:41" x14ac:dyDescent="0.2">
      <c r="V1041" s="181">
        <f t="shared" si="292"/>
        <v>501.5</v>
      </c>
      <c r="W1041" s="181">
        <f t="shared" si="293"/>
        <v>1003</v>
      </c>
      <c r="X1041" s="181">
        <f t="shared" si="294"/>
        <v>1</v>
      </c>
      <c r="Y1041" s="37">
        <f t="shared" si="295"/>
        <v>1917.1</v>
      </c>
      <c r="Z1041" s="181">
        <f t="shared" si="296"/>
        <v>699.5</v>
      </c>
      <c r="AA1041" s="127">
        <f t="shared" si="297"/>
        <v>595.21331999999995</v>
      </c>
      <c r="AB1041" s="127">
        <f t="shared" si="298"/>
        <v>699.5</v>
      </c>
      <c r="AC1041" s="37">
        <f t="shared" si="287"/>
        <v>4597</v>
      </c>
      <c r="AD1041" s="37">
        <f t="shared" si="299"/>
        <v>6514.1</v>
      </c>
      <c r="AE1041" s="181">
        <f t="shared" si="288"/>
        <v>39</v>
      </c>
      <c r="AF1041" s="37">
        <f t="shared" si="300"/>
        <v>27378</v>
      </c>
      <c r="AG1041" s="181">
        <f t="shared" si="289"/>
        <v>1628.6</v>
      </c>
      <c r="AH1041" s="111">
        <f t="shared" si="301"/>
        <v>1078.1540639999998</v>
      </c>
      <c r="AI1041" s="127">
        <f t="shared" si="302"/>
        <v>1628.6</v>
      </c>
      <c r="AJ1041" s="37">
        <f t="shared" si="290"/>
        <v>10171.599999999999</v>
      </c>
      <c r="AK1041" s="37">
        <f t="shared" si="303"/>
        <v>37549.599999999999</v>
      </c>
      <c r="AL1041" s="37">
        <f t="shared" si="291"/>
        <v>6.4946161515453644</v>
      </c>
      <c r="AN1041" s="37" t="str">
        <f t="shared" si="304"/>
        <v>Pallet</v>
      </c>
      <c r="AO1041" s="194">
        <f t="shared" si="305"/>
        <v>39</v>
      </c>
    </row>
    <row r="1042" spans="22:41" x14ac:dyDescent="0.2">
      <c r="V1042" s="181">
        <f t="shared" si="292"/>
        <v>502</v>
      </c>
      <c r="W1042" s="181">
        <f t="shared" si="293"/>
        <v>1004</v>
      </c>
      <c r="X1042" s="181">
        <f t="shared" si="294"/>
        <v>1</v>
      </c>
      <c r="Y1042" s="37">
        <f t="shared" si="295"/>
        <v>1917.1</v>
      </c>
      <c r="Z1042" s="181">
        <f t="shared" si="296"/>
        <v>700</v>
      </c>
      <c r="AA1042" s="127">
        <f t="shared" si="297"/>
        <v>595.21331999999995</v>
      </c>
      <c r="AB1042" s="127">
        <f t="shared" si="298"/>
        <v>700</v>
      </c>
      <c r="AC1042" s="37">
        <f t="shared" si="287"/>
        <v>4600</v>
      </c>
      <c r="AD1042" s="37">
        <f t="shared" si="299"/>
        <v>6517.1</v>
      </c>
      <c r="AE1042" s="181">
        <f t="shared" si="288"/>
        <v>39</v>
      </c>
      <c r="AF1042" s="37">
        <f t="shared" si="300"/>
        <v>27378</v>
      </c>
      <c r="AG1042" s="181">
        <f t="shared" si="289"/>
        <v>1629.1</v>
      </c>
      <c r="AH1042" s="111">
        <f t="shared" si="301"/>
        <v>1078.1540639999998</v>
      </c>
      <c r="AI1042" s="127">
        <f t="shared" si="302"/>
        <v>1629.1</v>
      </c>
      <c r="AJ1042" s="37">
        <f t="shared" si="290"/>
        <v>10174.599999999999</v>
      </c>
      <c r="AK1042" s="37">
        <f t="shared" si="303"/>
        <v>37552.6</v>
      </c>
      <c r="AL1042" s="37">
        <f t="shared" si="291"/>
        <v>6.4911354581673306</v>
      </c>
      <c r="AN1042" s="37" t="str">
        <f t="shared" si="304"/>
        <v>Pallet</v>
      </c>
      <c r="AO1042" s="194">
        <f t="shared" si="305"/>
        <v>39</v>
      </c>
    </row>
    <row r="1043" spans="22:41" x14ac:dyDescent="0.2">
      <c r="V1043" s="181">
        <f t="shared" si="292"/>
        <v>502.5</v>
      </c>
      <c r="W1043" s="181">
        <f t="shared" si="293"/>
        <v>1005</v>
      </c>
      <c r="X1043" s="181">
        <f t="shared" si="294"/>
        <v>1</v>
      </c>
      <c r="Y1043" s="37">
        <f t="shared" si="295"/>
        <v>1917.1</v>
      </c>
      <c r="Z1043" s="181">
        <f t="shared" si="296"/>
        <v>700.5</v>
      </c>
      <c r="AA1043" s="127">
        <f t="shared" si="297"/>
        <v>595.21331999999995</v>
      </c>
      <c r="AB1043" s="127">
        <f t="shared" si="298"/>
        <v>700.5</v>
      </c>
      <c r="AC1043" s="37">
        <f t="shared" si="287"/>
        <v>4603</v>
      </c>
      <c r="AD1043" s="37">
        <f t="shared" si="299"/>
        <v>6520.1</v>
      </c>
      <c r="AE1043" s="181">
        <f t="shared" si="288"/>
        <v>39</v>
      </c>
      <c r="AF1043" s="37">
        <f t="shared" si="300"/>
        <v>27378</v>
      </c>
      <c r="AG1043" s="181">
        <f t="shared" si="289"/>
        <v>1629.6</v>
      </c>
      <c r="AH1043" s="111">
        <f t="shared" si="301"/>
        <v>1078.1540639999998</v>
      </c>
      <c r="AI1043" s="127">
        <f t="shared" si="302"/>
        <v>1629.6</v>
      </c>
      <c r="AJ1043" s="37">
        <f t="shared" si="290"/>
        <v>10177.599999999999</v>
      </c>
      <c r="AK1043" s="37">
        <f t="shared" si="303"/>
        <v>37555.599999999999</v>
      </c>
      <c r="AL1043" s="37">
        <f t="shared" si="291"/>
        <v>6.4876616915422893</v>
      </c>
      <c r="AN1043" s="37" t="str">
        <f t="shared" si="304"/>
        <v>Pallet</v>
      </c>
      <c r="AO1043" s="194">
        <f t="shared" si="305"/>
        <v>39</v>
      </c>
    </row>
    <row r="1044" spans="22:41" x14ac:dyDescent="0.2">
      <c r="V1044" s="181">
        <f t="shared" si="292"/>
        <v>503</v>
      </c>
      <c r="W1044" s="181">
        <f t="shared" si="293"/>
        <v>1006</v>
      </c>
      <c r="X1044" s="181">
        <f t="shared" si="294"/>
        <v>1</v>
      </c>
      <c r="Y1044" s="37">
        <f t="shared" si="295"/>
        <v>1917.1</v>
      </c>
      <c r="Z1044" s="181">
        <f t="shared" si="296"/>
        <v>701</v>
      </c>
      <c r="AA1044" s="127">
        <f t="shared" si="297"/>
        <v>595.21331999999995</v>
      </c>
      <c r="AB1044" s="127">
        <f t="shared" si="298"/>
        <v>701</v>
      </c>
      <c r="AC1044" s="37">
        <f t="shared" si="287"/>
        <v>4606</v>
      </c>
      <c r="AD1044" s="37">
        <f t="shared" si="299"/>
        <v>6523.1</v>
      </c>
      <c r="AE1044" s="181">
        <f t="shared" si="288"/>
        <v>39</v>
      </c>
      <c r="AF1044" s="37">
        <f t="shared" si="300"/>
        <v>27378</v>
      </c>
      <c r="AG1044" s="181">
        <f t="shared" si="289"/>
        <v>1630.1</v>
      </c>
      <c r="AH1044" s="111">
        <f t="shared" si="301"/>
        <v>1078.1540639999998</v>
      </c>
      <c r="AI1044" s="127">
        <f t="shared" si="302"/>
        <v>1630.1</v>
      </c>
      <c r="AJ1044" s="37">
        <f t="shared" si="290"/>
        <v>10180.599999999999</v>
      </c>
      <c r="AK1044" s="37">
        <f t="shared" si="303"/>
        <v>37558.6</v>
      </c>
      <c r="AL1044" s="37">
        <f t="shared" si="291"/>
        <v>6.4841948310139168</v>
      </c>
      <c r="AN1044" s="37" t="str">
        <f t="shared" si="304"/>
        <v>Pallet</v>
      </c>
      <c r="AO1044" s="194">
        <f t="shared" si="305"/>
        <v>39</v>
      </c>
    </row>
    <row r="1045" spans="22:41" x14ac:dyDescent="0.2">
      <c r="V1045" s="181">
        <f t="shared" si="292"/>
        <v>503.5</v>
      </c>
      <c r="W1045" s="181">
        <f t="shared" si="293"/>
        <v>1007</v>
      </c>
      <c r="X1045" s="181">
        <f t="shared" si="294"/>
        <v>1</v>
      </c>
      <c r="Y1045" s="37">
        <f t="shared" si="295"/>
        <v>1917.1</v>
      </c>
      <c r="Z1045" s="181">
        <f t="shared" si="296"/>
        <v>701.5</v>
      </c>
      <c r="AA1045" s="127">
        <f t="shared" si="297"/>
        <v>595.21331999999995</v>
      </c>
      <c r="AB1045" s="127">
        <f t="shared" si="298"/>
        <v>701.5</v>
      </c>
      <c r="AC1045" s="37">
        <f t="shared" si="287"/>
        <v>4609</v>
      </c>
      <c r="AD1045" s="37">
        <f t="shared" si="299"/>
        <v>6526.1</v>
      </c>
      <c r="AE1045" s="181">
        <f t="shared" si="288"/>
        <v>40</v>
      </c>
      <c r="AF1045" s="37">
        <f t="shared" si="300"/>
        <v>28080</v>
      </c>
      <c r="AG1045" s="181">
        <f t="shared" si="289"/>
        <v>1659.5</v>
      </c>
      <c r="AH1045" s="111">
        <f t="shared" si="301"/>
        <v>1105.7990399999999</v>
      </c>
      <c r="AI1045" s="127">
        <f t="shared" si="302"/>
        <v>1659.5</v>
      </c>
      <c r="AJ1045" s="37">
        <f t="shared" si="290"/>
        <v>10357</v>
      </c>
      <c r="AK1045" s="37">
        <f t="shared" si="303"/>
        <v>38437</v>
      </c>
      <c r="AL1045" s="37">
        <f t="shared" si="291"/>
        <v>6.4807348560079445</v>
      </c>
      <c r="AN1045" s="37" t="str">
        <f t="shared" si="304"/>
        <v>Pallet</v>
      </c>
      <c r="AO1045" s="194">
        <f t="shared" si="305"/>
        <v>39</v>
      </c>
    </row>
    <row r="1046" spans="22:41" x14ac:dyDescent="0.2">
      <c r="V1046" s="181">
        <f t="shared" si="292"/>
        <v>504</v>
      </c>
      <c r="W1046" s="181">
        <f t="shared" si="293"/>
        <v>1008</v>
      </c>
      <c r="X1046" s="181">
        <f t="shared" si="294"/>
        <v>1</v>
      </c>
      <c r="Y1046" s="37">
        <f t="shared" si="295"/>
        <v>1917.1</v>
      </c>
      <c r="Z1046" s="181">
        <f t="shared" si="296"/>
        <v>702</v>
      </c>
      <c r="AA1046" s="127">
        <f t="shared" si="297"/>
        <v>595.21331999999995</v>
      </c>
      <c r="AB1046" s="127">
        <f t="shared" si="298"/>
        <v>702</v>
      </c>
      <c r="AC1046" s="37">
        <f t="shared" si="287"/>
        <v>4612</v>
      </c>
      <c r="AD1046" s="37">
        <f t="shared" si="299"/>
        <v>6529.1</v>
      </c>
      <c r="AE1046" s="181">
        <f t="shared" si="288"/>
        <v>40</v>
      </c>
      <c r="AF1046" s="37">
        <f t="shared" si="300"/>
        <v>28080</v>
      </c>
      <c r="AG1046" s="181">
        <f t="shared" si="289"/>
        <v>1660</v>
      </c>
      <c r="AH1046" s="111">
        <f t="shared" si="301"/>
        <v>1105.7990399999999</v>
      </c>
      <c r="AI1046" s="127">
        <f t="shared" si="302"/>
        <v>1660</v>
      </c>
      <c r="AJ1046" s="37">
        <f t="shared" si="290"/>
        <v>10360</v>
      </c>
      <c r="AK1046" s="37">
        <f t="shared" si="303"/>
        <v>38440</v>
      </c>
      <c r="AL1046" s="37">
        <f t="shared" si="291"/>
        <v>6.4772817460317462</v>
      </c>
      <c r="AN1046" s="37" t="str">
        <f t="shared" si="304"/>
        <v>Pallet</v>
      </c>
      <c r="AO1046" s="194">
        <f t="shared" si="305"/>
        <v>40</v>
      </c>
    </row>
    <row r="1047" spans="22:41" x14ac:dyDescent="0.2">
      <c r="V1047" s="181">
        <f t="shared" si="292"/>
        <v>504.5</v>
      </c>
      <c r="W1047" s="181">
        <f t="shared" si="293"/>
        <v>1009</v>
      </c>
      <c r="X1047" s="181">
        <f t="shared" si="294"/>
        <v>1</v>
      </c>
      <c r="Y1047" s="37">
        <f t="shared" si="295"/>
        <v>1917.1</v>
      </c>
      <c r="Z1047" s="181">
        <f t="shared" si="296"/>
        <v>702.5</v>
      </c>
      <c r="AA1047" s="127">
        <f t="shared" si="297"/>
        <v>595.21331999999995</v>
      </c>
      <c r="AB1047" s="127">
        <f t="shared" si="298"/>
        <v>702.5</v>
      </c>
      <c r="AC1047" s="37">
        <f t="shared" si="287"/>
        <v>4615</v>
      </c>
      <c r="AD1047" s="37">
        <f t="shared" si="299"/>
        <v>6532.1</v>
      </c>
      <c r="AE1047" s="181">
        <f t="shared" si="288"/>
        <v>40</v>
      </c>
      <c r="AF1047" s="37">
        <f t="shared" si="300"/>
        <v>28080</v>
      </c>
      <c r="AG1047" s="181">
        <f t="shared" si="289"/>
        <v>1660.5</v>
      </c>
      <c r="AH1047" s="111">
        <f t="shared" si="301"/>
        <v>1105.7990399999999</v>
      </c>
      <c r="AI1047" s="127">
        <f t="shared" si="302"/>
        <v>1660.5</v>
      </c>
      <c r="AJ1047" s="37">
        <f t="shared" si="290"/>
        <v>10363</v>
      </c>
      <c r="AK1047" s="37">
        <f t="shared" si="303"/>
        <v>38443</v>
      </c>
      <c r="AL1047" s="37">
        <f t="shared" si="291"/>
        <v>6.4738354806739347</v>
      </c>
      <c r="AN1047" s="37" t="str">
        <f t="shared" si="304"/>
        <v>Pallet</v>
      </c>
      <c r="AO1047" s="194">
        <f t="shared" si="305"/>
        <v>40</v>
      </c>
    </row>
    <row r="1048" spans="22:41" x14ac:dyDescent="0.2">
      <c r="V1048" s="181">
        <f t="shared" si="292"/>
        <v>505</v>
      </c>
      <c r="W1048" s="181">
        <f t="shared" si="293"/>
        <v>1010</v>
      </c>
      <c r="X1048" s="181">
        <f t="shared" si="294"/>
        <v>1</v>
      </c>
      <c r="Y1048" s="37">
        <f t="shared" si="295"/>
        <v>1917.1</v>
      </c>
      <c r="Z1048" s="181">
        <f t="shared" si="296"/>
        <v>703</v>
      </c>
      <c r="AA1048" s="127">
        <f t="shared" si="297"/>
        <v>595.21331999999995</v>
      </c>
      <c r="AB1048" s="127">
        <f t="shared" si="298"/>
        <v>703</v>
      </c>
      <c r="AC1048" s="37">
        <f t="shared" si="287"/>
        <v>4618</v>
      </c>
      <c r="AD1048" s="37">
        <f t="shared" si="299"/>
        <v>6535.1</v>
      </c>
      <c r="AE1048" s="181">
        <f t="shared" si="288"/>
        <v>40</v>
      </c>
      <c r="AF1048" s="37">
        <f t="shared" si="300"/>
        <v>28080</v>
      </c>
      <c r="AG1048" s="181">
        <f t="shared" si="289"/>
        <v>1661</v>
      </c>
      <c r="AH1048" s="111">
        <f t="shared" si="301"/>
        <v>1105.7990399999999</v>
      </c>
      <c r="AI1048" s="127">
        <f t="shared" si="302"/>
        <v>1661</v>
      </c>
      <c r="AJ1048" s="37">
        <f t="shared" si="290"/>
        <v>10366</v>
      </c>
      <c r="AK1048" s="37">
        <f t="shared" si="303"/>
        <v>38446</v>
      </c>
      <c r="AL1048" s="37">
        <f t="shared" si="291"/>
        <v>6.470396039603961</v>
      </c>
      <c r="AN1048" s="37" t="str">
        <f t="shared" si="304"/>
        <v>Pallet</v>
      </c>
      <c r="AO1048" s="194">
        <f t="shared" si="305"/>
        <v>40</v>
      </c>
    </row>
    <row r="1049" spans="22:41" x14ac:dyDescent="0.2">
      <c r="V1049" s="181">
        <f t="shared" si="292"/>
        <v>505.5</v>
      </c>
      <c r="W1049" s="181">
        <f t="shared" si="293"/>
        <v>1011</v>
      </c>
      <c r="X1049" s="181">
        <f t="shared" si="294"/>
        <v>1</v>
      </c>
      <c r="Y1049" s="37">
        <f t="shared" si="295"/>
        <v>1917.1</v>
      </c>
      <c r="Z1049" s="181">
        <f t="shared" si="296"/>
        <v>703.5</v>
      </c>
      <c r="AA1049" s="127">
        <f t="shared" si="297"/>
        <v>595.21331999999995</v>
      </c>
      <c r="AB1049" s="127">
        <f t="shared" si="298"/>
        <v>703.5</v>
      </c>
      <c r="AC1049" s="37">
        <f t="shared" si="287"/>
        <v>4621</v>
      </c>
      <c r="AD1049" s="37">
        <f t="shared" si="299"/>
        <v>6538.1</v>
      </c>
      <c r="AE1049" s="181">
        <f t="shared" si="288"/>
        <v>40</v>
      </c>
      <c r="AF1049" s="37">
        <f t="shared" si="300"/>
        <v>28080</v>
      </c>
      <c r="AG1049" s="181">
        <f t="shared" si="289"/>
        <v>1661.5</v>
      </c>
      <c r="AH1049" s="111">
        <f t="shared" si="301"/>
        <v>1105.7990399999999</v>
      </c>
      <c r="AI1049" s="127">
        <f t="shared" si="302"/>
        <v>1661.5</v>
      </c>
      <c r="AJ1049" s="37">
        <f t="shared" si="290"/>
        <v>10369</v>
      </c>
      <c r="AK1049" s="37">
        <f t="shared" si="303"/>
        <v>38449</v>
      </c>
      <c r="AL1049" s="37">
        <f t="shared" si="291"/>
        <v>6.4669634025717118</v>
      </c>
      <c r="AN1049" s="37" t="str">
        <f t="shared" si="304"/>
        <v>Pallet</v>
      </c>
      <c r="AO1049" s="194">
        <f t="shared" si="305"/>
        <v>40</v>
      </c>
    </row>
    <row r="1050" spans="22:41" x14ac:dyDescent="0.2">
      <c r="V1050" s="181">
        <f t="shared" si="292"/>
        <v>506</v>
      </c>
      <c r="W1050" s="181">
        <f t="shared" si="293"/>
        <v>1012</v>
      </c>
      <c r="X1050" s="181">
        <f t="shared" si="294"/>
        <v>1</v>
      </c>
      <c r="Y1050" s="37">
        <f t="shared" si="295"/>
        <v>1917.1</v>
      </c>
      <c r="Z1050" s="181">
        <f t="shared" si="296"/>
        <v>704</v>
      </c>
      <c r="AA1050" s="127">
        <f t="shared" si="297"/>
        <v>595.21331999999995</v>
      </c>
      <c r="AB1050" s="127">
        <f t="shared" si="298"/>
        <v>704</v>
      </c>
      <c r="AC1050" s="37">
        <f t="shared" si="287"/>
        <v>4624</v>
      </c>
      <c r="AD1050" s="37">
        <f t="shared" si="299"/>
        <v>6541.1</v>
      </c>
      <c r="AE1050" s="181">
        <f t="shared" si="288"/>
        <v>40</v>
      </c>
      <c r="AF1050" s="37">
        <f t="shared" si="300"/>
        <v>28080</v>
      </c>
      <c r="AG1050" s="181">
        <f t="shared" si="289"/>
        <v>1662</v>
      </c>
      <c r="AH1050" s="111">
        <f t="shared" si="301"/>
        <v>1105.7990399999999</v>
      </c>
      <c r="AI1050" s="127">
        <f t="shared" si="302"/>
        <v>1662</v>
      </c>
      <c r="AJ1050" s="37">
        <f t="shared" si="290"/>
        <v>10372</v>
      </c>
      <c r="AK1050" s="37">
        <f t="shared" si="303"/>
        <v>38452</v>
      </c>
      <c r="AL1050" s="37">
        <f t="shared" si="291"/>
        <v>6.463537549407115</v>
      </c>
      <c r="AN1050" s="37" t="str">
        <f t="shared" si="304"/>
        <v>Pallet</v>
      </c>
      <c r="AO1050" s="194">
        <f t="shared" si="305"/>
        <v>40</v>
      </c>
    </row>
    <row r="1051" spans="22:41" x14ac:dyDescent="0.2">
      <c r="V1051" s="181">
        <f t="shared" si="292"/>
        <v>506.5</v>
      </c>
      <c r="W1051" s="181">
        <f t="shared" si="293"/>
        <v>1013</v>
      </c>
      <c r="X1051" s="181">
        <f t="shared" si="294"/>
        <v>1</v>
      </c>
      <c r="Y1051" s="37">
        <f t="shared" si="295"/>
        <v>1917.1</v>
      </c>
      <c r="Z1051" s="181">
        <f t="shared" si="296"/>
        <v>704.5</v>
      </c>
      <c r="AA1051" s="127">
        <f t="shared" si="297"/>
        <v>595.21331999999995</v>
      </c>
      <c r="AB1051" s="127">
        <f t="shared" si="298"/>
        <v>704.5</v>
      </c>
      <c r="AC1051" s="37">
        <f t="shared" si="287"/>
        <v>4627</v>
      </c>
      <c r="AD1051" s="37">
        <f t="shared" si="299"/>
        <v>6544.1</v>
      </c>
      <c r="AE1051" s="181">
        <f t="shared" si="288"/>
        <v>40</v>
      </c>
      <c r="AF1051" s="37">
        <f t="shared" si="300"/>
        <v>28080</v>
      </c>
      <c r="AG1051" s="181">
        <f t="shared" si="289"/>
        <v>1662.5</v>
      </c>
      <c r="AH1051" s="111">
        <f t="shared" si="301"/>
        <v>1105.7990399999999</v>
      </c>
      <c r="AI1051" s="127">
        <f t="shared" si="302"/>
        <v>1662.5</v>
      </c>
      <c r="AJ1051" s="37">
        <f t="shared" si="290"/>
        <v>10375</v>
      </c>
      <c r="AK1051" s="37">
        <f t="shared" si="303"/>
        <v>38455</v>
      </c>
      <c r="AL1051" s="37">
        <f t="shared" si="291"/>
        <v>6.4601184600197437</v>
      </c>
      <c r="AN1051" s="37" t="str">
        <f t="shared" si="304"/>
        <v>Pallet</v>
      </c>
      <c r="AO1051" s="194">
        <f t="shared" si="305"/>
        <v>40</v>
      </c>
    </row>
    <row r="1052" spans="22:41" x14ac:dyDescent="0.2">
      <c r="V1052" s="181">
        <f t="shared" si="292"/>
        <v>507</v>
      </c>
      <c r="W1052" s="181">
        <f t="shared" si="293"/>
        <v>1014</v>
      </c>
      <c r="X1052" s="181">
        <f t="shared" si="294"/>
        <v>1</v>
      </c>
      <c r="Y1052" s="37">
        <f t="shared" si="295"/>
        <v>1917.1</v>
      </c>
      <c r="Z1052" s="181">
        <f t="shared" si="296"/>
        <v>705</v>
      </c>
      <c r="AA1052" s="127">
        <f t="shared" si="297"/>
        <v>595.21331999999995</v>
      </c>
      <c r="AB1052" s="127">
        <f t="shared" si="298"/>
        <v>705</v>
      </c>
      <c r="AC1052" s="37">
        <f t="shared" si="287"/>
        <v>4630</v>
      </c>
      <c r="AD1052" s="37">
        <f t="shared" si="299"/>
        <v>6547.1</v>
      </c>
      <c r="AE1052" s="181">
        <f t="shared" si="288"/>
        <v>40</v>
      </c>
      <c r="AF1052" s="37">
        <f t="shared" si="300"/>
        <v>28080</v>
      </c>
      <c r="AG1052" s="181">
        <f t="shared" si="289"/>
        <v>1663</v>
      </c>
      <c r="AH1052" s="111">
        <f t="shared" si="301"/>
        <v>1105.7990399999999</v>
      </c>
      <c r="AI1052" s="127">
        <f t="shared" si="302"/>
        <v>1663</v>
      </c>
      <c r="AJ1052" s="37">
        <f t="shared" si="290"/>
        <v>10378</v>
      </c>
      <c r="AK1052" s="37">
        <f t="shared" si="303"/>
        <v>38458</v>
      </c>
      <c r="AL1052" s="37">
        <f t="shared" si="291"/>
        <v>6.4567061143984228</v>
      </c>
      <c r="AN1052" s="37" t="str">
        <f t="shared" si="304"/>
        <v>Pallet</v>
      </c>
      <c r="AO1052" s="194">
        <f t="shared" si="305"/>
        <v>40</v>
      </c>
    </row>
    <row r="1053" spans="22:41" x14ac:dyDescent="0.2">
      <c r="V1053" s="181">
        <f t="shared" si="292"/>
        <v>507.5</v>
      </c>
      <c r="W1053" s="181">
        <f t="shared" si="293"/>
        <v>1015</v>
      </c>
      <c r="X1053" s="181">
        <f t="shared" si="294"/>
        <v>1</v>
      </c>
      <c r="Y1053" s="37">
        <f t="shared" si="295"/>
        <v>1917.1</v>
      </c>
      <c r="Z1053" s="181">
        <f t="shared" si="296"/>
        <v>705.5</v>
      </c>
      <c r="AA1053" s="127">
        <f t="shared" si="297"/>
        <v>595.21331999999995</v>
      </c>
      <c r="AB1053" s="127">
        <f t="shared" si="298"/>
        <v>705.5</v>
      </c>
      <c r="AC1053" s="37">
        <f t="shared" si="287"/>
        <v>4633</v>
      </c>
      <c r="AD1053" s="37">
        <f t="shared" si="299"/>
        <v>6550.1</v>
      </c>
      <c r="AE1053" s="181">
        <f t="shared" si="288"/>
        <v>40</v>
      </c>
      <c r="AF1053" s="37">
        <f t="shared" si="300"/>
        <v>28080</v>
      </c>
      <c r="AG1053" s="181">
        <f t="shared" si="289"/>
        <v>1663.5</v>
      </c>
      <c r="AH1053" s="111">
        <f t="shared" si="301"/>
        <v>1105.7990399999999</v>
      </c>
      <c r="AI1053" s="127">
        <f t="shared" si="302"/>
        <v>1663.5</v>
      </c>
      <c r="AJ1053" s="37">
        <f t="shared" si="290"/>
        <v>10381</v>
      </c>
      <c r="AK1053" s="37">
        <f t="shared" si="303"/>
        <v>38461</v>
      </c>
      <c r="AL1053" s="37">
        <f t="shared" si="291"/>
        <v>6.4533004926108379</v>
      </c>
      <c r="AN1053" s="37" t="str">
        <f t="shared" si="304"/>
        <v>Pallet</v>
      </c>
      <c r="AO1053" s="194">
        <f t="shared" si="305"/>
        <v>40</v>
      </c>
    </row>
    <row r="1054" spans="22:41" x14ac:dyDescent="0.2">
      <c r="V1054" s="181">
        <f t="shared" si="292"/>
        <v>508</v>
      </c>
      <c r="W1054" s="181">
        <f t="shared" si="293"/>
        <v>1016</v>
      </c>
      <c r="X1054" s="181">
        <f t="shared" si="294"/>
        <v>1</v>
      </c>
      <c r="Y1054" s="37">
        <f t="shared" si="295"/>
        <v>1917.1</v>
      </c>
      <c r="Z1054" s="181">
        <f t="shared" si="296"/>
        <v>706</v>
      </c>
      <c r="AA1054" s="127">
        <f t="shared" si="297"/>
        <v>595.21331999999995</v>
      </c>
      <c r="AB1054" s="127">
        <f t="shared" si="298"/>
        <v>706</v>
      </c>
      <c r="AC1054" s="37">
        <f t="shared" si="287"/>
        <v>4636</v>
      </c>
      <c r="AD1054" s="37">
        <f t="shared" si="299"/>
        <v>6553.1</v>
      </c>
      <c r="AE1054" s="181">
        <f t="shared" si="288"/>
        <v>40</v>
      </c>
      <c r="AF1054" s="37">
        <f t="shared" si="300"/>
        <v>28080</v>
      </c>
      <c r="AG1054" s="181">
        <f t="shared" si="289"/>
        <v>1664</v>
      </c>
      <c r="AH1054" s="111">
        <f t="shared" si="301"/>
        <v>1105.7990399999999</v>
      </c>
      <c r="AI1054" s="127">
        <f t="shared" si="302"/>
        <v>1664</v>
      </c>
      <c r="AJ1054" s="37">
        <f t="shared" si="290"/>
        <v>10384</v>
      </c>
      <c r="AK1054" s="37">
        <f t="shared" si="303"/>
        <v>38464</v>
      </c>
      <c r="AL1054" s="37">
        <f t="shared" si="291"/>
        <v>6.4499015748031496</v>
      </c>
      <c r="AN1054" s="37" t="str">
        <f t="shared" si="304"/>
        <v>Pallet</v>
      </c>
      <c r="AO1054" s="194">
        <f t="shared" si="305"/>
        <v>40</v>
      </c>
    </row>
    <row r="1055" spans="22:41" x14ac:dyDescent="0.2">
      <c r="V1055" s="181">
        <f t="shared" si="292"/>
        <v>508.5</v>
      </c>
      <c r="W1055" s="181">
        <f t="shared" si="293"/>
        <v>1017</v>
      </c>
      <c r="X1055" s="181">
        <f t="shared" si="294"/>
        <v>1</v>
      </c>
      <c r="Y1055" s="37">
        <f t="shared" si="295"/>
        <v>1917.1</v>
      </c>
      <c r="Z1055" s="181">
        <f t="shared" si="296"/>
        <v>706.5</v>
      </c>
      <c r="AA1055" s="127">
        <f t="shared" si="297"/>
        <v>595.21331999999995</v>
      </c>
      <c r="AB1055" s="127">
        <f t="shared" si="298"/>
        <v>706.5</v>
      </c>
      <c r="AC1055" s="37">
        <f t="shared" si="287"/>
        <v>4639</v>
      </c>
      <c r="AD1055" s="37">
        <f t="shared" si="299"/>
        <v>6556.1</v>
      </c>
      <c r="AE1055" s="181">
        <f t="shared" si="288"/>
        <v>40</v>
      </c>
      <c r="AF1055" s="37">
        <f t="shared" si="300"/>
        <v>28080</v>
      </c>
      <c r="AG1055" s="181">
        <f t="shared" si="289"/>
        <v>1664.5</v>
      </c>
      <c r="AH1055" s="111">
        <f t="shared" si="301"/>
        <v>1105.7990399999999</v>
      </c>
      <c r="AI1055" s="127">
        <f t="shared" si="302"/>
        <v>1664.5</v>
      </c>
      <c r="AJ1055" s="37">
        <f t="shared" si="290"/>
        <v>10387</v>
      </c>
      <c r="AK1055" s="37">
        <f t="shared" si="303"/>
        <v>38467</v>
      </c>
      <c r="AL1055" s="37">
        <f t="shared" si="291"/>
        <v>6.4465093411996071</v>
      </c>
      <c r="AN1055" s="37" t="str">
        <f t="shared" si="304"/>
        <v>Pallet</v>
      </c>
      <c r="AO1055" s="194">
        <f t="shared" si="305"/>
        <v>40</v>
      </c>
    </row>
    <row r="1056" spans="22:41" x14ac:dyDescent="0.2">
      <c r="V1056" s="181">
        <f t="shared" si="292"/>
        <v>509</v>
      </c>
      <c r="W1056" s="181">
        <f t="shared" si="293"/>
        <v>1018</v>
      </c>
      <c r="X1056" s="181">
        <f t="shared" si="294"/>
        <v>1</v>
      </c>
      <c r="Y1056" s="37">
        <f t="shared" si="295"/>
        <v>1917.1</v>
      </c>
      <c r="Z1056" s="181">
        <f t="shared" si="296"/>
        <v>707</v>
      </c>
      <c r="AA1056" s="127">
        <f t="shared" si="297"/>
        <v>595.21331999999995</v>
      </c>
      <c r="AB1056" s="127">
        <f t="shared" si="298"/>
        <v>707</v>
      </c>
      <c r="AC1056" s="37">
        <f t="shared" si="287"/>
        <v>4642</v>
      </c>
      <c r="AD1056" s="37">
        <f t="shared" si="299"/>
        <v>6559.1</v>
      </c>
      <c r="AE1056" s="181">
        <f t="shared" si="288"/>
        <v>40</v>
      </c>
      <c r="AF1056" s="37">
        <f t="shared" si="300"/>
        <v>28080</v>
      </c>
      <c r="AG1056" s="181">
        <f t="shared" si="289"/>
        <v>1665</v>
      </c>
      <c r="AH1056" s="111">
        <f t="shared" si="301"/>
        <v>1105.7990399999999</v>
      </c>
      <c r="AI1056" s="127">
        <f t="shared" si="302"/>
        <v>1665</v>
      </c>
      <c r="AJ1056" s="37">
        <f t="shared" si="290"/>
        <v>10390</v>
      </c>
      <c r="AK1056" s="37">
        <f t="shared" si="303"/>
        <v>38470</v>
      </c>
      <c r="AL1056" s="37">
        <f t="shared" si="291"/>
        <v>6.4431237721021617</v>
      </c>
      <c r="AN1056" s="37" t="str">
        <f t="shared" si="304"/>
        <v>Pallet</v>
      </c>
      <c r="AO1056" s="194">
        <f t="shared" si="305"/>
        <v>40</v>
      </c>
    </row>
    <row r="1057" spans="22:41" x14ac:dyDescent="0.2">
      <c r="V1057" s="181">
        <f t="shared" si="292"/>
        <v>509.5</v>
      </c>
      <c r="W1057" s="181">
        <f t="shared" si="293"/>
        <v>1019</v>
      </c>
      <c r="X1057" s="181">
        <f t="shared" si="294"/>
        <v>1</v>
      </c>
      <c r="Y1057" s="37">
        <f t="shared" si="295"/>
        <v>1917.1</v>
      </c>
      <c r="Z1057" s="181">
        <f t="shared" si="296"/>
        <v>707.5</v>
      </c>
      <c r="AA1057" s="127">
        <f t="shared" si="297"/>
        <v>595.21331999999995</v>
      </c>
      <c r="AB1057" s="127">
        <f t="shared" si="298"/>
        <v>707.5</v>
      </c>
      <c r="AC1057" s="37">
        <f t="shared" si="287"/>
        <v>4645</v>
      </c>
      <c r="AD1057" s="37">
        <f t="shared" si="299"/>
        <v>6562.1</v>
      </c>
      <c r="AE1057" s="181">
        <f t="shared" si="288"/>
        <v>40</v>
      </c>
      <c r="AF1057" s="37">
        <f t="shared" si="300"/>
        <v>28080</v>
      </c>
      <c r="AG1057" s="181">
        <f t="shared" si="289"/>
        <v>1665.5</v>
      </c>
      <c r="AH1057" s="111">
        <f t="shared" si="301"/>
        <v>1105.7990399999999</v>
      </c>
      <c r="AI1057" s="127">
        <f t="shared" si="302"/>
        <v>1665.5</v>
      </c>
      <c r="AJ1057" s="37">
        <f t="shared" si="290"/>
        <v>10393</v>
      </c>
      <c r="AK1057" s="37">
        <f t="shared" si="303"/>
        <v>38473</v>
      </c>
      <c r="AL1057" s="37">
        <f t="shared" si="291"/>
        <v>6.4397448478900889</v>
      </c>
      <c r="AN1057" s="37" t="str">
        <f t="shared" si="304"/>
        <v>Pallet</v>
      </c>
      <c r="AO1057" s="194">
        <f t="shared" si="305"/>
        <v>40</v>
      </c>
    </row>
    <row r="1058" spans="22:41" x14ac:dyDescent="0.2">
      <c r="V1058" s="181">
        <f t="shared" si="292"/>
        <v>510</v>
      </c>
      <c r="W1058" s="181">
        <f t="shared" si="293"/>
        <v>1020</v>
      </c>
      <c r="X1058" s="181">
        <f t="shared" si="294"/>
        <v>1</v>
      </c>
      <c r="Y1058" s="37">
        <f t="shared" si="295"/>
        <v>1917.1</v>
      </c>
      <c r="Z1058" s="181">
        <f t="shared" si="296"/>
        <v>708</v>
      </c>
      <c r="AA1058" s="127">
        <f t="shared" si="297"/>
        <v>595.21331999999995</v>
      </c>
      <c r="AB1058" s="127">
        <f t="shared" si="298"/>
        <v>708</v>
      </c>
      <c r="AC1058" s="37">
        <f t="shared" si="287"/>
        <v>4648</v>
      </c>
      <c r="AD1058" s="37">
        <f t="shared" si="299"/>
        <v>6565.1</v>
      </c>
      <c r="AE1058" s="181">
        <f t="shared" si="288"/>
        <v>40</v>
      </c>
      <c r="AF1058" s="37">
        <f t="shared" si="300"/>
        <v>28080</v>
      </c>
      <c r="AG1058" s="181">
        <f t="shared" si="289"/>
        <v>1666</v>
      </c>
      <c r="AH1058" s="111">
        <f t="shared" si="301"/>
        <v>1105.7990399999999</v>
      </c>
      <c r="AI1058" s="127">
        <f t="shared" si="302"/>
        <v>1666</v>
      </c>
      <c r="AJ1058" s="37">
        <f t="shared" si="290"/>
        <v>10396</v>
      </c>
      <c r="AK1058" s="37">
        <f t="shared" si="303"/>
        <v>38476</v>
      </c>
      <c r="AL1058" s="37">
        <f t="shared" si="291"/>
        <v>6.436372549019608</v>
      </c>
      <c r="AN1058" s="37" t="str">
        <f t="shared" si="304"/>
        <v>Pallet</v>
      </c>
      <c r="AO1058" s="194">
        <f t="shared" si="305"/>
        <v>40</v>
      </c>
    </row>
    <row r="1059" spans="22:41" x14ac:dyDescent="0.2">
      <c r="V1059" s="181">
        <f t="shared" si="292"/>
        <v>510.5</v>
      </c>
      <c r="W1059" s="181">
        <f t="shared" si="293"/>
        <v>1021</v>
      </c>
      <c r="X1059" s="181">
        <f t="shared" si="294"/>
        <v>1</v>
      </c>
      <c r="Y1059" s="37">
        <f t="shared" si="295"/>
        <v>1917.1</v>
      </c>
      <c r="Z1059" s="181">
        <f t="shared" si="296"/>
        <v>708.5</v>
      </c>
      <c r="AA1059" s="127">
        <f t="shared" si="297"/>
        <v>595.21331999999995</v>
      </c>
      <c r="AB1059" s="127">
        <f t="shared" si="298"/>
        <v>708.5</v>
      </c>
      <c r="AC1059" s="37">
        <f t="shared" si="287"/>
        <v>4651</v>
      </c>
      <c r="AD1059" s="37">
        <f t="shared" si="299"/>
        <v>6568.1</v>
      </c>
      <c r="AE1059" s="181">
        <f t="shared" si="288"/>
        <v>40</v>
      </c>
      <c r="AF1059" s="37">
        <f t="shared" si="300"/>
        <v>28080</v>
      </c>
      <c r="AG1059" s="181">
        <f t="shared" si="289"/>
        <v>1666.5</v>
      </c>
      <c r="AH1059" s="111">
        <f t="shared" si="301"/>
        <v>1105.7990399999999</v>
      </c>
      <c r="AI1059" s="127">
        <f t="shared" si="302"/>
        <v>1666.5</v>
      </c>
      <c r="AJ1059" s="37">
        <f t="shared" si="290"/>
        <v>10399</v>
      </c>
      <c r="AK1059" s="37">
        <f t="shared" si="303"/>
        <v>38479</v>
      </c>
      <c r="AL1059" s="37">
        <f t="shared" si="291"/>
        <v>6.433006856023507</v>
      </c>
      <c r="AN1059" s="37" t="str">
        <f t="shared" si="304"/>
        <v>Pallet</v>
      </c>
      <c r="AO1059" s="194">
        <f t="shared" si="305"/>
        <v>40</v>
      </c>
    </row>
    <row r="1060" spans="22:41" x14ac:dyDescent="0.2">
      <c r="V1060" s="181">
        <f t="shared" si="292"/>
        <v>511</v>
      </c>
      <c r="W1060" s="181">
        <f t="shared" si="293"/>
        <v>1022</v>
      </c>
      <c r="X1060" s="181">
        <f t="shared" si="294"/>
        <v>1</v>
      </c>
      <c r="Y1060" s="37">
        <f t="shared" si="295"/>
        <v>1917.1</v>
      </c>
      <c r="Z1060" s="181">
        <f t="shared" si="296"/>
        <v>709</v>
      </c>
      <c r="AA1060" s="127">
        <f t="shared" si="297"/>
        <v>595.21331999999995</v>
      </c>
      <c r="AB1060" s="127">
        <f t="shared" si="298"/>
        <v>709</v>
      </c>
      <c r="AC1060" s="37">
        <f t="shared" si="287"/>
        <v>4654</v>
      </c>
      <c r="AD1060" s="37">
        <f t="shared" si="299"/>
        <v>6571.1</v>
      </c>
      <c r="AE1060" s="181">
        <f t="shared" si="288"/>
        <v>40</v>
      </c>
      <c r="AF1060" s="37">
        <f t="shared" si="300"/>
        <v>28080</v>
      </c>
      <c r="AG1060" s="181">
        <f t="shared" si="289"/>
        <v>1667</v>
      </c>
      <c r="AH1060" s="111">
        <f t="shared" si="301"/>
        <v>1105.7990399999999</v>
      </c>
      <c r="AI1060" s="127">
        <f t="shared" si="302"/>
        <v>1667</v>
      </c>
      <c r="AJ1060" s="37">
        <f t="shared" si="290"/>
        <v>10402</v>
      </c>
      <c r="AK1060" s="37">
        <f t="shared" si="303"/>
        <v>38482</v>
      </c>
      <c r="AL1060" s="37">
        <f t="shared" si="291"/>
        <v>6.4296477495107638</v>
      </c>
      <c r="AN1060" s="37" t="str">
        <f t="shared" si="304"/>
        <v>Pallet</v>
      </c>
      <c r="AO1060" s="194">
        <f t="shared" si="305"/>
        <v>40</v>
      </c>
    </row>
    <row r="1061" spans="22:41" x14ac:dyDescent="0.2">
      <c r="V1061" s="181">
        <f t="shared" si="292"/>
        <v>511.5</v>
      </c>
      <c r="W1061" s="181">
        <f t="shared" si="293"/>
        <v>1023</v>
      </c>
      <c r="X1061" s="181">
        <f t="shared" si="294"/>
        <v>1</v>
      </c>
      <c r="Y1061" s="37">
        <f t="shared" si="295"/>
        <v>1917.1</v>
      </c>
      <c r="Z1061" s="181">
        <f t="shared" si="296"/>
        <v>709.5</v>
      </c>
      <c r="AA1061" s="127">
        <f t="shared" si="297"/>
        <v>595.21331999999995</v>
      </c>
      <c r="AB1061" s="127">
        <f t="shared" si="298"/>
        <v>709.5</v>
      </c>
      <c r="AC1061" s="37">
        <f t="shared" si="287"/>
        <v>4657</v>
      </c>
      <c r="AD1061" s="37">
        <f t="shared" si="299"/>
        <v>6574.1</v>
      </c>
      <c r="AE1061" s="181">
        <f t="shared" si="288"/>
        <v>40</v>
      </c>
      <c r="AF1061" s="37">
        <f t="shared" si="300"/>
        <v>28080</v>
      </c>
      <c r="AG1061" s="181">
        <f t="shared" si="289"/>
        <v>1667.5</v>
      </c>
      <c r="AH1061" s="111">
        <f t="shared" si="301"/>
        <v>1105.7990399999999</v>
      </c>
      <c r="AI1061" s="127">
        <f t="shared" si="302"/>
        <v>1667.5</v>
      </c>
      <c r="AJ1061" s="37">
        <f t="shared" si="290"/>
        <v>10405</v>
      </c>
      <c r="AK1061" s="37">
        <f t="shared" si="303"/>
        <v>38485</v>
      </c>
      <c r="AL1061" s="37">
        <f t="shared" si="291"/>
        <v>6.4262952101661783</v>
      </c>
      <c r="AN1061" s="37" t="str">
        <f t="shared" si="304"/>
        <v>Pallet</v>
      </c>
      <c r="AO1061" s="194">
        <f t="shared" si="305"/>
        <v>40</v>
      </c>
    </row>
    <row r="1062" spans="22:41" x14ac:dyDescent="0.2">
      <c r="V1062" s="181">
        <f t="shared" si="292"/>
        <v>512</v>
      </c>
      <c r="W1062" s="181">
        <f t="shared" si="293"/>
        <v>1024</v>
      </c>
      <c r="X1062" s="181">
        <f t="shared" si="294"/>
        <v>1</v>
      </c>
      <c r="Y1062" s="37">
        <f t="shared" si="295"/>
        <v>1917.1</v>
      </c>
      <c r="Z1062" s="181">
        <f t="shared" si="296"/>
        <v>710</v>
      </c>
      <c r="AA1062" s="127">
        <f t="shared" si="297"/>
        <v>595.21331999999995</v>
      </c>
      <c r="AB1062" s="127">
        <f t="shared" si="298"/>
        <v>710</v>
      </c>
      <c r="AC1062" s="37">
        <f t="shared" si="287"/>
        <v>4660</v>
      </c>
      <c r="AD1062" s="37">
        <f t="shared" si="299"/>
        <v>6577.1</v>
      </c>
      <c r="AE1062" s="181">
        <f t="shared" si="288"/>
        <v>40</v>
      </c>
      <c r="AF1062" s="37">
        <f t="shared" si="300"/>
        <v>28080</v>
      </c>
      <c r="AG1062" s="181">
        <f t="shared" si="289"/>
        <v>1668</v>
      </c>
      <c r="AH1062" s="111">
        <f t="shared" si="301"/>
        <v>1105.7990399999999</v>
      </c>
      <c r="AI1062" s="127">
        <f t="shared" si="302"/>
        <v>1668</v>
      </c>
      <c r="AJ1062" s="37">
        <f t="shared" si="290"/>
        <v>10408</v>
      </c>
      <c r="AK1062" s="37">
        <f t="shared" si="303"/>
        <v>38488</v>
      </c>
      <c r="AL1062" s="37">
        <f t="shared" si="291"/>
        <v>6.4229492187500004</v>
      </c>
      <c r="AN1062" s="37" t="str">
        <f t="shared" si="304"/>
        <v>Pallet</v>
      </c>
      <c r="AO1062" s="194">
        <f t="shared" si="305"/>
        <v>40</v>
      </c>
    </row>
    <row r="1063" spans="22:41" x14ac:dyDescent="0.2">
      <c r="V1063" s="181">
        <f t="shared" si="292"/>
        <v>512.5</v>
      </c>
      <c r="W1063" s="181">
        <f t="shared" si="293"/>
        <v>1025</v>
      </c>
      <c r="X1063" s="181">
        <f t="shared" si="294"/>
        <v>1</v>
      </c>
      <c r="Y1063" s="37">
        <f t="shared" si="295"/>
        <v>1917.1</v>
      </c>
      <c r="Z1063" s="181">
        <f t="shared" si="296"/>
        <v>710.5</v>
      </c>
      <c r="AA1063" s="127">
        <f t="shared" si="297"/>
        <v>595.21331999999995</v>
      </c>
      <c r="AB1063" s="127">
        <f t="shared" si="298"/>
        <v>710.5</v>
      </c>
      <c r="AC1063" s="37">
        <f t="shared" ref="AC1063:AC1126" si="306">(Shipping_perkg_first100*100)+((AB1063-100)*Shipping_perkg_above100)</f>
        <v>4663</v>
      </c>
      <c r="AD1063" s="37">
        <f t="shared" si="299"/>
        <v>6580.1</v>
      </c>
      <c r="AE1063" s="181">
        <f t="shared" ref="AE1063:AE1126" si="307">ROUNDUP(W1063/$N$19,0)</f>
        <v>40</v>
      </c>
      <c r="AF1063" s="37">
        <f t="shared" si="300"/>
        <v>28080</v>
      </c>
      <c r="AG1063" s="181">
        <f t="shared" ref="AG1063:AG1126" si="308">(AE1063*$K$19)+V1063</f>
        <v>1668.5</v>
      </c>
      <c r="AH1063" s="111">
        <f t="shared" si="301"/>
        <v>1105.7990399999999</v>
      </c>
      <c r="AI1063" s="127">
        <f t="shared" si="302"/>
        <v>1668.5</v>
      </c>
      <c r="AJ1063" s="37">
        <f t="shared" ref="AJ1063:AJ1126" si="309">IF(AI1063&lt;=100,AI1063*Shipping_perkg_first100,(Shipping_perkg_first100*100)+((AI1063-100)*Shipping_perkg_above100))</f>
        <v>10411</v>
      </c>
      <c r="AK1063" s="37">
        <f t="shared" si="303"/>
        <v>38491</v>
      </c>
      <c r="AL1063" s="37">
        <f t="shared" si="291"/>
        <v>6.4196097560975609</v>
      </c>
      <c r="AN1063" s="37" t="str">
        <f t="shared" si="304"/>
        <v>Pallet</v>
      </c>
      <c r="AO1063" s="194">
        <f t="shared" si="305"/>
        <v>40</v>
      </c>
    </row>
    <row r="1064" spans="22:41" x14ac:dyDescent="0.2">
      <c r="V1064" s="181">
        <f t="shared" si="292"/>
        <v>513</v>
      </c>
      <c r="W1064" s="181">
        <f t="shared" si="293"/>
        <v>1026</v>
      </c>
      <c r="X1064" s="181">
        <f t="shared" si="294"/>
        <v>1</v>
      </c>
      <c r="Y1064" s="37">
        <f t="shared" si="295"/>
        <v>1917.1</v>
      </c>
      <c r="Z1064" s="181">
        <f t="shared" si="296"/>
        <v>711</v>
      </c>
      <c r="AA1064" s="127">
        <f t="shared" si="297"/>
        <v>595.21331999999995</v>
      </c>
      <c r="AB1064" s="127">
        <f t="shared" si="298"/>
        <v>711</v>
      </c>
      <c r="AC1064" s="37">
        <f t="shared" si="306"/>
        <v>4666</v>
      </c>
      <c r="AD1064" s="37">
        <f t="shared" si="299"/>
        <v>6583.1</v>
      </c>
      <c r="AE1064" s="181">
        <f t="shared" si="307"/>
        <v>40</v>
      </c>
      <c r="AF1064" s="37">
        <f t="shared" si="300"/>
        <v>28080</v>
      </c>
      <c r="AG1064" s="181">
        <f t="shared" si="308"/>
        <v>1669</v>
      </c>
      <c r="AH1064" s="111">
        <f t="shared" si="301"/>
        <v>1105.7990399999999</v>
      </c>
      <c r="AI1064" s="127">
        <f t="shared" si="302"/>
        <v>1669</v>
      </c>
      <c r="AJ1064" s="37">
        <f t="shared" si="309"/>
        <v>10414</v>
      </c>
      <c r="AK1064" s="37">
        <f t="shared" si="303"/>
        <v>38494</v>
      </c>
      <c r="AL1064" s="37">
        <f t="shared" ref="AL1064:AL1127" si="310">MIN(AD1064,AK1064)/W1064</f>
        <v>6.416276803118909</v>
      </c>
      <c r="AN1064" s="37" t="str">
        <f t="shared" si="304"/>
        <v>Pallet</v>
      </c>
      <c r="AO1064" s="194">
        <f t="shared" si="305"/>
        <v>40</v>
      </c>
    </row>
    <row r="1065" spans="22:41" x14ac:dyDescent="0.2">
      <c r="V1065" s="181">
        <f t="shared" si="292"/>
        <v>513.5</v>
      </c>
      <c r="W1065" s="181">
        <f t="shared" ref="W1065:W1121" si="311">W1064+1</f>
        <v>1027</v>
      </c>
      <c r="X1065" s="181">
        <f t="shared" si="294"/>
        <v>1</v>
      </c>
      <c r="Y1065" s="37">
        <f t="shared" si="295"/>
        <v>1917.1</v>
      </c>
      <c r="Z1065" s="181">
        <f t="shared" ref="Z1065:Z1121" si="312">V1065+(X1065*$K$29)</f>
        <v>711.5</v>
      </c>
      <c r="AA1065" s="127">
        <f t="shared" ref="AA1065:AA1121" si="313">X1065*$T$29</f>
        <v>595.21331999999995</v>
      </c>
      <c r="AB1065" s="127">
        <f t="shared" ref="AB1065:AB1121" si="314">MAX(Z1065,AA1065)</f>
        <v>711.5</v>
      </c>
      <c r="AC1065" s="37">
        <f t="shared" si="306"/>
        <v>4669</v>
      </c>
      <c r="AD1065" s="37">
        <f t="shared" ref="AD1065:AD1121" si="315">Y1065+AC1065</f>
        <v>6586.1</v>
      </c>
      <c r="AE1065" s="181">
        <f t="shared" si="307"/>
        <v>40</v>
      </c>
      <c r="AF1065" s="37">
        <f t="shared" si="300"/>
        <v>28080</v>
      </c>
      <c r="AG1065" s="181">
        <f t="shared" si="308"/>
        <v>1669.5</v>
      </c>
      <c r="AH1065" s="111">
        <f t="shared" ref="AH1065:AH1121" si="316">AE1065*$X$19</f>
        <v>1105.7990399999999</v>
      </c>
      <c r="AI1065" s="127">
        <f t="shared" ref="AI1065:AI1121" si="317">MAX(AG1065,AH1065)</f>
        <v>1669.5</v>
      </c>
      <c r="AJ1065" s="37">
        <f t="shared" si="309"/>
        <v>10417</v>
      </c>
      <c r="AK1065" s="37">
        <f t="shared" ref="AK1065:AK1121" si="318">AF1065+AJ1065</f>
        <v>38497</v>
      </c>
      <c r="AL1065" s="37">
        <f t="shared" si="310"/>
        <v>6.4129503407984423</v>
      </c>
      <c r="AN1065" s="37" t="str">
        <f t="shared" ref="AN1065:AN1128" si="319">IF(AD1065&lt;AK1065,"Pallet","Parcel")</f>
        <v>Pallet</v>
      </c>
      <c r="AO1065" s="194">
        <f t="shared" ref="AO1065:AO1128" si="320">AE1064</f>
        <v>40</v>
      </c>
    </row>
    <row r="1066" spans="22:41" x14ac:dyDescent="0.2">
      <c r="V1066" s="181">
        <f t="shared" ref="V1066:V1129" si="321">W1066*$V$37</f>
        <v>514</v>
      </c>
      <c r="W1066" s="181">
        <f t="shared" si="311"/>
        <v>1028</v>
      </c>
      <c r="X1066" s="181">
        <f t="shared" ref="X1066:X1129" si="322">ROUNDUP(W1066/$N$29,0)</f>
        <v>1</v>
      </c>
      <c r="Y1066" s="37">
        <f t="shared" ref="Y1066:Y1129" si="323">X1066*$P$29</f>
        <v>1917.1</v>
      </c>
      <c r="Z1066" s="181">
        <f t="shared" si="312"/>
        <v>712</v>
      </c>
      <c r="AA1066" s="127">
        <f t="shared" si="313"/>
        <v>595.21331999999995</v>
      </c>
      <c r="AB1066" s="127">
        <f t="shared" si="314"/>
        <v>712</v>
      </c>
      <c r="AC1066" s="37">
        <f t="shared" si="306"/>
        <v>4672</v>
      </c>
      <c r="AD1066" s="37">
        <f t="shared" si="315"/>
        <v>6589.1</v>
      </c>
      <c r="AE1066" s="181">
        <f t="shared" si="307"/>
        <v>40</v>
      </c>
      <c r="AF1066" s="37">
        <f t="shared" ref="AF1066:AF1129" si="324">AE1066*$P$19</f>
        <v>28080</v>
      </c>
      <c r="AG1066" s="181">
        <f t="shared" si="308"/>
        <v>1670</v>
      </c>
      <c r="AH1066" s="111">
        <f t="shared" si="316"/>
        <v>1105.7990399999999</v>
      </c>
      <c r="AI1066" s="127">
        <f t="shared" si="317"/>
        <v>1670</v>
      </c>
      <c r="AJ1066" s="37">
        <f t="shared" si="309"/>
        <v>10420</v>
      </c>
      <c r="AK1066" s="37">
        <f t="shared" si="318"/>
        <v>38500</v>
      </c>
      <c r="AL1066" s="37">
        <f t="shared" si="310"/>
        <v>6.4096303501945533</v>
      </c>
      <c r="AN1066" s="37" t="str">
        <f t="shared" si="319"/>
        <v>Pallet</v>
      </c>
      <c r="AO1066" s="194">
        <f t="shared" si="320"/>
        <v>40</v>
      </c>
    </row>
    <row r="1067" spans="22:41" x14ac:dyDescent="0.2">
      <c r="V1067" s="181">
        <f t="shared" si="321"/>
        <v>514.5</v>
      </c>
      <c r="W1067" s="181">
        <f t="shared" si="311"/>
        <v>1029</v>
      </c>
      <c r="X1067" s="181">
        <f t="shared" si="322"/>
        <v>1</v>
      </c>
      <c r="Y1067" s="37">
        <f t="shared" si="323"/>
        <v>1917.1</v>
      </c>
      <c r="Z1067" s="181">
        <f t="shared" si="312"/>
        <v>712.5</v>
      </c>
      <c r="AA1067" s="127">
        <f t="shared" si="313"/>
        <v>595.21331999999995</v>
      </c>
      <c r="AB1067" s="127">
        <f t="shared" si="314"/>
        <v>712.5</v>
      </c>
      <c r="AC1067" s="37">
        <f t="shared" si="306"/>
        <v>4675</v>
      </c>
      <c r="AD1067" s="37">
        <f t="shared" si="315"/>
        <v>6592.1</v>
      </c>
      <c r="AE1067" s="181">
        <f t="shared" si="307"/>
        <v>40</v>
      </c>
      <c r="AF1067" s="37">
        <f t="shared" si="324"/>
        <v>28080</v>
      </c>
      <c r="AG1067" s="181">
        <f t="shared" si="308"/>
        <v>1670.5</v>
      </c>
      <c r="AH1067" s="111">
        <f t="shared" si="316"/>
        <v>1105.7990399999999</v>
      </c>
      <c r="AI1067" s="127">
        <f t="shared" si="317"/>
        <v>1670.5</v>
      </c>
      <c r="AJ1067" s="37">
        <f t="shared" si="309"/>
        <v>10423</v>
      </c>
      <c r="AK1067" s="37">
        <f t="shared" si="318"/>
        <v>38503</v>
      </c>
      <c r="AL1067" s="37">
        <f t="shared" si="310"/>
        <v>6.406316812439262</v>
      </c>
      <c r="AN1067" s="37" t="str">
        <f t="shared" si="319"/>
        <v>Pallet</v>
      </c>
      <c r="AO1067" s="194">
        <f t="shared" si="320"/>
        <v>40</v>
      </c>
    </row>
    <row r="1068" spans="22:41" x14ac:dyDescent="0.2">
      <c r="V1068" s="181">
        <f t="shared" si="321"/>
        <v>515</v>
      </c>
      <c r="W1068" s="181">
        <f t="shared" si="311"/>
        <v>1030</v>
      </c>
      <c r="X1068" s="181">
        <f t="shared" si="322"/>
        <v>1</v>
      </c>
      <c r="Y1068" s="37">
        <f t="shared" si="323"/>
        <v>1917.1</v>
      </c>
      <c r="Z1068" s="181">
        <f t="shared" si="312"/>
        <v>713</v>
      </c>
      <c r="AA1068" s="127">
        <f t="shared" si="313"/>
        <v>595.21331999999995</v>
      </c>
      <c r="AB1068" s="127">
        <f t="shared" si="314"/>
        <v>713</v>
      </c>
      <c r="AC1068" s="37">
        <f t="shared" si="306"/>
        <v>4678</v>
      </c>
      <c r="AD1068" s="37">
        <f t="shared" si="315"/>
        <v>6595.1</v>
      </c>
      <c r="AE1068" s="181">
        <f t="shared" si="307"/>
        <v>40</v>
      </c>
      <c r="AF1068" s="37">
        <f t="shared" si="324"/>
        <v>28080</v>
      </c>
      <c r="AG1068" s="181">
        <f t="shared" si="308"/>
        <v>1671</v>
      </c>
      <c r="AH1068" s="111">
        <f t="shared" si="316"/>
        <v>1105.7990399999999</v>
      </c>
      <c r="AI1068" s="127">
        <f t="shared" si="317"/>
        <v>1671</v>
      </c>
      <c r="AJ1068" s="37">
        <f t="shared" si="309"/>
        <v>10426</v>
      </c>
      <c r="AK1068" s="37">
        <f t="shared" si="318"/>
        <v>38506</v>
      </c>
      <c r="AL1068" s="37">
        <f t="shared" si="310"/>
        <v>6.4030097087378648</v>
      </c>
      <c r="AN1068" s="37" t="str">
        <f t="shared" si="319"/>
        <v>Pallet</v>
      </c>
      <c r="AO1068" s="194">
        <f t="shared" si="320"/>
        <v>40</v>
      </c>
    </row>
    <row r="1069" spans="22:41" x14ac:dyDescent="0.2">
      <c r="V1069" s="181">
        <f t="shared" si="321"/>
        <v>515.5</v>
      </c>
      <c r="W1069" s="181">
        <f t="shared" si="311"/>
        <v>1031</v>
      </c>
      <c r="X1069" s="181">
        <f t="shared" si="322"/>
        <v>1</v>
      </c>
      <c r="Y1069" s="37">
        <f t="shared" si="323"/>
        <v>1917.1</v>
      </c>
      <c r="Z1069" s="181">
        <f t="shared" si="312"/>
        <v>713.5</v>
      </c>
      <c r="AA1069" s="127">
        <f t="shared" si="313"/>
        <v>595.21331999999995</v>
      </c>
      <c r="AB1069" s="127">
        <f t="shared" si="314"/>
        <v>713.5</v>
      </c>
      <c r="AC1069" s="37">
        <f t="shared" si="306"/>
        <v>4681</v>
      </c>
      <c r="AD1069" s="37">
        <f t="shared" si="315"/>
        <v>6598.1</v>
      </c>
      <c r="AE1069" s="181">
        <f t="shared" si="307"/>
        <v>40</v>
      </c>
      <c r="AF1069" s="37">
        <f t="shared" si="324"/>
        <v>28080</v>
      </c>
      <c r="AG1069" s="181">
        <f t="shared" si="308"/>
        <v>1671.5</v>
      </c>
      <c r="AH1069" s="111">
        <f t="shared" si="316"/>
        <v>1105.7990399999999</v>
      </c>
      <c r="AI1069" s="127">
        <f t="shared" si="317"/>
        <v>1671.5</v>
      </c>
      <c r="AJ1069" s="37">
        <f t="shared" si="309"/>
        <v>10429</v>
      </c>
      <c r="AK1069" s="37">
        <f t="shared" si="318"/>
        <v>38509</v>
      </c>
      <c r="AL1069" s="37">
        <f t="shared" si="310"/>
        <v>6.3997090203685749</v>
      </c>
      <c r="AN1069" s="37" t="str">
        <f t="shared" si="319"/>
        <v>Pallet</v>
      </c>
      <c r="AO1069" s="194">
        <f t="shared" si="320"/>
        <v>40</v>
      </c>
    </row>
    <row r="1070" spans="22:41" x14ac:dyDescent="0.2">
      <c r="V1070" s="181">
        <f t="shared" si="321"/>
        <v>516</v>
      </c>
      <c r="W1070" s="181">
        <f t="shared" si="311"/>
        <v>1032</v>
      </c>
      <c r="X1070" s="181">
        <f t="shared" si="322"/>
        <v>1</v>
      </c>
      <c r="Y1070" s="37">
        <f t="shared" si="323"/>
        <v>1917.1</v>
      </c>
      <c r="Z1070" s="181">
        <f t="shared" si="312"/>
        <v>714</v>
      </c>
      <c r="AA1070" s="127">
        <f t="shared" si="313"/>
        <v>595.21331999999995</v>
      </c>
      <c r="AB1070" s="127">
        <f t="shared" si="314"/>
        <v>714</v>
      </c>
      <c r="AC1070" s="37">
        <f t="shared" si="306"/>
        <v>4684</v>
      </c>
      <c r="AD1070" s="37">
        <f t="shared" si="315"/>
        <v>6601.1</v>
      </c>
      <c r="AE1070" s="181">
        <f t="shared" si="307"/>
        <v>40</v>
      </c>
      <c r="AF1070" s="37">
        <f t="shared" si="324"/>
        <v>28080</v>
      </c>
      <c r="AG1070" s="181">
        <f t="shared" si="308"/>
        <v>1672</v>
      </c>
      <c r="AH1070" s="111">
        <f t="shared" si="316"/>
        <v>1105.7990399999999</v>
      </c>
      <c r="AI1070" s="127">
        <f t="shared" si="317"/>
        <v>1672</v>
      </c>
      <c r="AJ1070" s="37">
        <f t="shared" si="309"/>
        <v>10432</v>
      </c>
      <c r="AK1070" s="37">
        <f t="shared" si="318"/>
        <v>38512</v>
      </c>
      <c r="AL1070" s="37">
        <f t="shared" si="310"/>
        <v>6.3964147286821706</v>
      </c>
      <c r="AN1070" s="37" t="str">
        <f t="shared" si="319"/>
        <v>Pallet</v>
      </c>
      <c r="AO1070" s="194">
        <f t="shared" si="320"/>
        <v>40</v>
      </c>
    </row>
    <row r="1071" spans="22:41" x14ac:dyDescent="0.2">
      <c r="V1071" s="181">
        <f t="shared" si="321"/>
        <v>516.5</v>
      </c>
      <c r="W1071" s="181">
        <f t="shared" si="311"/>
        <v>1033</v>
      </c>
      <c r="X1071" s="181">
        <f t="shared" si="322"/>
        <v>1</v>
      </c>
      <c r="Y1071" s="37">
        <f t="shared" si="323"/>
        <v>1917.1</v>
      </c>
      <c r="Z1071" s="181">
        <f t="shared" si="312"/>
        <v>714.5</v>
      </c>
      <c r="AA1071" s="127">
        <f t="shared" si="313"/>
        <v>595.21331999999995</v>
      </c>
      <c r="AB1071" s="127">
        <f t="shared" si="314"/>
        <v>714.5</v>
      </c>
      <c r="AC1071" s="37">
        <f t="shared" si="306"/>
        <v>4687</v>
      </c>
      <c r="AD1071" s="37">
        <f t="shared" si="315"/>
        <v>6604.1</v>
      </c>
      <c r="AE1071" s="181">
        <f t="shared" si="307"/>
        <v>41</v>
      </c>
      <c r="AF1071" s="37">
        <f t="shared" si="324"/>
        <v>28782</v>
      </c>
      <c r="AG1071" s="181">
        <f t="shared" si="308"/>
        <v>1701.3999999999999</v>
      </c>
      <c r="AH1071" s="111">
        <f t="shared" si="316"/>
        <v>1133.4440159999999</v>
      </c>
      <c r="AI1071" s="127">
        <f t="shared" si="317"/>
        <v>1701.3999999999999</v>
      </c>
      <c r="AJ1071" s="37">
        <f t="shared" si="309"/>
        <v>10608.4</v>
      </c>
      <c r="AK1071" s="37">
        <f t="shared" si="318"/>
        <v>39390.400000000001</v>
      </c>
      <c r="AL1071" s="37">
        <f t="shared" si="310"/>
        <v>6.3931268151016463</v>
      </c>
      <c r="AN1071" s="37" t="str">
        <f t="shared" si="319"/>
        <v>Pallet</v>
      </c>
      <c r="AO1071" s="194">
        <f t="shared" si="320"/>
        <v>40</v>
      </c>
    </row>
    <row r="1072" spans="22:41" x14ac:dyDescent="0.2">
      <c r="V1072" s="181">
        <f t="shared" si="321"/>
        <v>517</v>
      </c>
      <c r="W1072" s="181">
        <f t="shared" si="311"/>
        <v>1034</v>
      </c>
      <c r="X1072" s="181">
        <f t="shared" si="322"/>
        <v>1</v>
      </c>
      <c r="Y1072" s="37">
        <f t="shared" si="323"/>
        <v>1917.1</v>
      </c>
      <c r="Z1072" s="181">
        <f t="shared" si="312"/>
        <v>715</v>
      </c>
      <c r="AA1072" s="127">
        <f t="shared" si="313"/>
        <v>595.21331999999995</v>
      </c>
      <c r="AB1072" s="127">
        <f t="shared" si="314"/>
        <v>715</v>
      </c>
      <c r="AC1072" s="37">
        <f t="shared" si="306"/>
        <v>4690</v>
      </c>
      <c r="AD1072" s="37">
        <f t="shared" si="315"/>
        <v>6607.1</v>
      </c>
      <c r="AE1072" s="181">
        <f t="shared" si="307"/>
        <v>41</v>
      </c>
      <c r="AF1072" s="37">
        <f t="shared" si="324"/>
        <v>28782</v>
      </c>
      <c r="AG1072" s="181">
        <f t="shared" si="308"/>
        <v>1701.8999999999999</v>
      </c>
      <c r="AH1072" s="111">
        <f t="shared" si="316"/>
        <v>1133.4440159999999</v>
      </c>
      <c r="AI1072" s="127">
        <f t="shared" si="317"/>
        <v>1701.8999999999999</v>
      </c>
      <c r="AJ1072" s="37">
        <f t="shared" si="309"/>
        <v>10611.4</v>
      </c>
      <c r="AK1072" s="37">
        <f t="shared" si="318"/>
        <v>39393.4</v>
      </c>
      <c r="AL1072" s="37">
        <f t="shared" si="310"/>
        <v>6.3898452611218568</v>
      </c>
      <c r="AN1072" s="37" t="str">
        <f t="shared" si="319"/>
        <v>Pallet</v>
      </c>
      <c r="AO1072" s="194">
        <f t="shared" si="320"/>
        <v>41</v>
      </c>
    </row>
    <row r="1073" spans="22:41" x14ac:dyDescent="0.2">
      <c r="V1073" s="181">
        <f t="shared" si="321"/>
        <v>517.5</v>
      </c>
      <c r="W1073" s="181">
        <f t="shared" si="311"/>
        <v>1035</v>
      </c>
      <c r="X1073" s="181">
        <f t="shared" si="322"/>
        <v>1</v>
      </c>
      <c r="Y1073" s="37">
        <f t="shared" si="323"/>
        <v>1917.1</v>
      </c>
      <c r="Z1073" s="181">
        <f t="shared" si="312"/>
        <v>715.5</v>
      </c>
      <c r="AA1073" s="127">
        <f t="shared" si="313"/>
        <v>595.21331999999995</v>
      </c>
      <c r="AB1073" s="127">
        <f t="shared" si="314"/>
        <v>715.5</v>
      </c>
      <c r="AC1073" s="37">
        <f t="shared" si="306"/>
        <v>4693</v>
      </c>
      <c r="AD1073" s="37">
        <f t="shared" si="315"/>
        <v>6610.1</v>
      </c>
      <c r="AE1073" s="181">
        <f t="shared" si="307"/>
        <v>41</v>
      </c>
      <c r="AF1073" s="37">
        <f t="shared" si="324"/>
        <v>28782</v>
      </c>
      <c r="AG1073" s="181">
        <f t="shared" si="308"/>
        <v>1702.3999999999999</v>
      </c>
      <c r="AH1073" s="111">
        <f t="shared" si="316"/>
        <v>1133.4440159999999</v>
      </c>
      <c r="AI1073" s="127">
        <f t="shared" si="317"/>
        <v>1702.3999999999999</v>
      </c>
      <c r="AJ1073" s="37">
        <f t="shared" si="309"/>
        <v>10614.4</v>
      </c>
      <c r="AK1073" s="37">
        <f t="shared" si="318"/>
        <v>39396.400000000001</v>
      </c>
      <c r="AL1073" s="37">
        <f t="shared" si="310"/>
        <v>6.3865700483091787</v>
      </c>
      <c r="AN1073" s="37" t="str">
        <f t="shared" si="319"/>
        <v>Pallet</v>
      </c>
      <c r="AO1073" s="194">
        <f t="shared" si="320"/>
        <v>41</v>
      </c>
    </row>
    <row r="1074" spans="22:41" x14ac:dyDescent="0.2">
      <c r="V1074" s="181">
        <f t="shared" si="321"/>
        <v>518</v>
      </c>
      <c r="W1074" s="181">
        <f t="shared" si="311"/>
        <v>1036</v>
      </c>
      <c r="X1074" s="181">
        <f t="shared" si="322"/>
        <v>1</v>
      </c>
      <c r="Y1074" s="37">
        <f t="shared" si="323"/>
        <v>1917.1</v>
      </c>
      <c r="Z1074" s="181">
        <f t="shared" si="312"/>
        <v>716</v>
      </c>
      <c r="AA1074" s="127">
        <f t="shared" si="313"/>
        <v>595.21331999999995</v>
      </c>
      <c r="AB1074" s="127">
        <f t="shared" si="314"/>
        <v>716</v>
      </c>
      <c r="AC1074" s="37">
        <f t="shared" si="306"/>
        <v>4696</v>
      </c>
      <c r="AD1074" s="37">
        <f t="shared" si="315"/>
        <v>6613.1</v>
      </c>
      <c r="AE1074" s="181">
        <f t="shared" si="307"/>
        <v>41</v>
      </c>
      <c r="AF1074" s="37">
        <f t="shared" si="324"/>
        <v>28782</v>
      </c>
      <c r="AG1074" s="181">
        <f t="shared" si="308"/>
        <v>1702.8999999999999</v>
      </c>
      <c r="AH1074" s="111">
        <f t="shared" si="316"/>
        <v>1133.4440159999999</v>
      </c>
      <c r="AI1074" s="127">
        <f t="shared" si="317"/>
        <v>1702.8999999999999</v>
      </c>
      <c r="AJ1074" s="37">
        <f t="shared" si="309"/>
        <v>10617.4</v>
      </c>
      <c r="AK1074" s="37">
        <f t="shared" si="318"/>
        <v>39399.4</v>
      </c>
      <c r="AL1074" s="37">
        <f t="shared" si="310"/>
        <v>6.3833011583011583</v>
      </c>
      <c r="AN1074" s="37" t="str">
        <f t="shared" si="319"/>
        <v>Pallet</v>
      </c>
      <c r="AO1074" s="194">
        <f t="shared" si="320"/>
        <v>41</v>
      </c>
    </row>
    <row r="1075" spans="22:41" x14ac:dyDescent="0.2">
      <c r="V1075" s="181">
        <f t="shared" si="321"/>
        <v>518.5</v>
      </c>
      <c r="W1075" s="181">
        <f t="shared" si="311"/>
        <v>1037</v>
      </c>
      <c r="X1075" s="181">
        <f t="shared" si="322"/>
        <v>1</v>
      </c>
      <c r="Y1075" s="37">
        <f t="shared" si="323"/>
        <v>1917.1</v>
      </c>
      <c r="Z1075" s="181">
        <f t="shared" si="312"/>
        <v>716.5</v>
      </c>
      <c r="AA1075" s="127">
        <f t="shared" si="313"/>
        <v>595.21331999999995</v>
      </c>
      <c r="AB1075" s="127">
        <f t="shared" si="314"/>
        <v>716.5</v>
      </c>
      <c r="AC1075" s="37">
        <f t="shared" si="306"/>
        <v>4699</v>
      </c>
      <c r="AD1075" s="37">
        <f t="shared" si="315"/>
        <v>6616.1</v>
      </c>
      <c r="AE1075" s="181">
        <f t="shared" si="307"/>
        <v>41</v>
      </c>
      <c r="AF1075" s="37">
        <f t="shared" si="324"/>
        <v>28782</v>
      </c>
      <c r="AG1075" s="181">
        <f t="shared" si="308"/>
        <v>1703.3999999999999</v>
      </c>
      <c r="AH1075" s="111">
        <f t="shared" si="316"/>
        <v>1133.4440159999999</v>
      </c>
      <c r="AI1075" s="127">
        <f t="shared" si="317"/>
        <v>1703.3999999999999</v>
      </c>
      <c r="AJ1075" s="37">
        <f t="shared" si="309"/>
        <v>10620.4</v>
      </c>
      <c r="AK1075" s="37">
        <f t="shared" si="318"/>
        <v>39402.400000000001</v>
      </c>
      <c r="AL1075" s="37">
        <f t="shared" si="310"/>
        <v>6.3800385728061721</v>
      </c>
      <c r="AN1075" s="37" t="str">
        <f t="shared" si="319"/>
        <v>Pallet</v>
      </c>
      <c r="AO1075" s="194">
        <f t="shared" si="320"/>
        <v>41</v>
      </c>
    </row>
    <row r="1076" spans="22:41" x14ac:dyDescent="0.2">
      <c r="V1076" s="181">
        <f t="shared" si="321"/>
        <v>519</v>
      </c>
      <c r="W1076" s="181">
        <f t="shared" si="311"/>
        <v>1038</v>
      </c>
      <c r="X1076" s="181">
        <f t="shared" si="322"/>
        <v>1</v>
      </c>
      <c r="Y1076" s="37">
        <f t="shared" si="323"/>
        <v>1917.1</v>
      </c>
      <c r="Z1076" s="181">
        <f t="shared" si="312"/>
        <v>717</v>
      </c>
      <c r="AA1076" s="127">
        <f t="shared" si="313"/>
        <v>595.21331999999995</v>
      </c>
      <c r="AB1076" s="127">
        <f t="shared" si="314"/>
        <v>717</v>
      </c>
      <c r="AC1076" s="37">
        <f t="shared" si="306"/>
        <v>4702</v>
      </c>
      <c r="AD1076" s="37">
        <f t="shared" si="315"/>
        <v>6619.1</v>
      </c>
      <c r="AE1076" s="181">
        <f t="shared" si="307"/>
        <v>41</v>
      </c>
      <c r="AF1076" s="37">
        <f t="shared" si="324"/>
        <v>28782</v>
      </c>
      <c r="AG1076" s="181">
        <f t="shared" si="308"/>
        <v>1703.8999999999999</v>
      </c>
      <c r="AH1076" s="111">
        <f t="shared" si="316"/>
        <v>1133.4440159999999</v>
      </c>
      <c r="AI1076" s="127">
        <f t="shared" si="317"/>
        <v>1703.8999999999999</v>
      </c>
      <c r="AJ1076" s="37">
        <f t="shared" si="309"/>
        <v>10623.4</v>
      </c>
      <c r="AK1076" s="37">
        <f t="shared" si="318"/>
        <v>39405.4</v>
      </c>
      <c r="AL1076" s="37">
        <f t="shared" si="310"/>
        <v>6.3767822736030828</v>
      </c>
      <c r="AN1076" s="37" t="str">
        <f t="shared" si="319"/>
        <v>Pallet</v>
      </c>
      <c r="AO1076" s="194">
        <f t="shared" si="320"/>
        <v>41</v>
      </c>
    </row>
    <row r="1077" spans="22:41" x14ac:dyDescent="0.2">
      <c r="V1077" s="181">
        <f t="shared" si="321"/>
        <v>519.5</v>
      </c>
      <c r="W1077" s="181">
        <f t="shared" si="311"/>
        <v>1039</v>
      </c>
      <c r="X1077" s="181">
        <f t="shared" si="322"/>
        <v>1</v>
      </c>
      <c r="Y1077" s="37">
        <f t="shared" si="323"/>
        <v>1917.1</v>
      </c>
      <c r="Z1077" s="181">
        <f t="shared" si="312"/>
        <v>717.5</v>
      </c>
      <c r="AA1077" s="127">
        <f t="shared" si="313"/>
        <v>595.21331999999995</v>
      </c>
      <c r="AB1077" s="127">
        <f t="shared" si="314"/>
        <v>717.5</v>
      </c>
      <c r="AC1077" s="37">
        <f t="shared" si="306"/>
        <v>4705</v>
      </c>
      <c r="AD1077" s="37">
        <f t="shared" si="315"/>
        <v>6622.1</v>
      </c>
      <c r="AE1077" s="181">
        <f t="shared" si="307"/>
        <v>41</v>
      </c>
      <c r="AF1077" s="37">
        <f t="shared" si="324"/>
        <v>28782</v>
      </c>
      <c r="AG1077" s="181">
        <f t="shared" si="308"/>
        <v>1704.3999999999999</v>
      </c>
      <c r="AH1077" s="111">
        <f t="shared" si="316"/>
        <v>1133.4440159999999</v>
      </c>
      <c r="AI1077" s="127">
        <f t="shared" si="317"/>
        <v>1704.3999999999999</v>
      </c>
      <c r="AJ1077" s="37">
        <f t="shared" si="309"/>
        <v>10626.4</v>
      </c>
      <c r="AK1077" s="37">
        <f t="shared" si="318"/>
        <v>39408.400000000001</v>
      </c>
      <c r="AL1077" s="37">
        <f t="shared" si="310"/>
        <v>6.3735322425409047</v>
      </c>
      <c r="AN1077" s="37" t="str">
        <f t="shared" si="319"/>
        <v>Pallet</v>
      </c>
      <c r="AO1077" s="194">
        <f t="shared" si="320"/>
        <v>41</v>
      </c>
    </row>
    <row r="1078" spans="22:41" x14ac:dyDescent="0.2">
      <c r="V1078" s="181">
        <f t="shared" si="321"/>
        <v>520</v>
      </c>
      <c r="W1078" s="181">
        <f t="shared" si="311"/>
        <v>1040</v>
      </c>
      <c r="X1078" s="181">
        <f t="shared" si="322"/>
        <v>1</v>
      </c>
      <c r="Y1078" s="37">
        <f t="shared" si="323"/>
        <v>1917.1</v>
      </c>
      <c r="Z1078" s="181">
        <f t="shared" si="312"/>
        <v>718</v>
      </c>
      <c r="AA1078" s="127">
        <f t="shared" si="313"/>
        <v>595.21331999999995</v>
      </c>
      <c r="AB1078" s="127">
        <f t="shared" si="314"/>
        <v>718</v>
      </c>
      <c r="AC1078" s="37">
        <f t="shared" si="306"/>
        <v>4708</v>
      </c>
      <c r="AD1078" s="37">
        <f t="shared" si="315"/>
        <v>6625.1</v>
      </c>
      <c r="AE1078" s="181">
        <f t="shared" si="307"/>
        <v>41</v>
      </c>
      <c r="AF1078" s="37">
        <f t="shared" si="324"/>
        <v>28782</v>
      </c>
      <c r="AG1078" s="181">
        <f t="shared" si="308"/>
        <v>1704.8999999999999</v>
      </c>
      <c r="AH1078" s="111">
        <f t="shared" si="316"/>
        <v>1133.4440159999999</v>
      </c>
      <c r="AI1078" s="127">
        <f t="shared" si="317"/>
        <v>1704.8999999999999</v>
      </c>
      <c r="AJ1078" s="37">
        <f t="shared" si="309"/>
        <v>10629.4</v>
      </c>
      <c r="AK1078" s="37">
        <f t="shared" si="318"/>
        <v>39411.4</v>
      </c>
      <c r="AL1078" s="37">
        <f t="shared" si="310"/>
        <v>6.3702884615384621</v>
      </c>
      <c r="AN1078" s="37" t="str">
        <f t="shared" si="319"/>
        <v>Pallet</v>
      </c>
      <c r="AO1078" s="194">
        <f t="shared" si="320"/>
        <v>41</v>
      </c>
    </row>
    <row r="1079" spans="22:41" x14ac:dyDescent="0.2">
      <c r="V1079" s="181">
        <f t="shared" si="321"/>
        <v>520.5</v>
      </c>
      <c r="W1079" s="181">
        <f t="shared" si="311"/>
        <v>1041</v>
      </c>
      <c r="X1079" s="181">
        <f t="shared" si="322"/>
        <v>1</v>
      </c>
      <c r="Y1079" s="37">
        <f t="shared" si="323"/>
        <v>1917.1</v>
      </c>
      <c r="Z1079" s="181">
        <f t="shared" si="312"/>
        <v>718.5</v>
      </c>
      <c r="AA1079" s="127">
        <f t="shared" si="313"/>
        <v>595.21331999999995</v>
      </c>
      <c r="AB1079" s="127">
        <f t="shared" si="314"/>
        <v>718.5</v>
      </c>
      <c r="AC1079" s="37">
        <f t="shared" si="306"/>
        <v>4711</v>
      </c>
      <c r="AD1079" s="37">
        <f t="shared" si="315"/>
        <v>6628.1</v>
      </c>
      <c r="AE1079" s="181">
        <f t="shared" si="307"/>
        <v>41</v>
      </c>
      <c r="AF1079" s="37">
        <f t="shared" si="324"/>
        <v>28782</v>
      </c>
      <c r="AG1079" s="181">
        <f t="shared" si="308"/>
        <v>1705.3999999999999</v>
      </c>
      <c r="AH1079" s="111">
        <f t="shared" si="316"/>
        <v>1133.4440159999999</v>
      </c>
      <c r="AI1079" s="127">
        <f t="shared" si="317"/>
        <v>1705.3999999999999</v>
      </c>
      <c r="AJ1079" s="37">
        <f t="shared" si="309"/>
        <v>10632.4</v>
      </c>
      <c r="AK1079" s="37">
        <f t="shared" si="318"/>
        <v>39414.400000000001</v>
      </c>
      <c r="AL1079" s="37">
        <f t="shared" si="310"/>
        <v>6.3670509125840544</v>
      </c>
      <c r="AN1079" s="37" t="str">
        <f t="shared" si="319"/>
        <v>Pallet</v>
      </c>
      <c r="AO1079" s="194">
        <f t="shared" si="320"/>
        <v>41</v>
      </c>
    </row>
    <row r="1080" spans="22:41" x14ac:dyDescent="0.2">
      <c r="V1080" s="181">
        <f t="shared" si="321"/>
        <v>521</v>
      </c>
      <c r="W1080" s="181">
        <f t="shared" si="311"/>
        <v>1042</v>
      </c>
      <c r="X1080" s="181">
        <f t="shared" si="322"/>
        <v>1</v>
      </c>
      <c r="Y1080" s="37">
        <f t="shared" si="323"/>
        <v>1917.1</v>
      </c>
      <c r="Z1080" s="181">
        <f t="shared" si="312"/>
        <v>719</v>
      </c>
      <c r="AA1080" s="127">
        <f t="shared" si="313"/>
        <v>595.21331999999995</v>
      </c>
      <c r="AB1080" s="127">
        <f t="shared" si="314"/>
        <v>719</v>
      </c>
      <c r="AC1080" s="37">
        <f t="shared" si="306"/>
        <v>4714</v>
      </c>
      <c r="AD1080" s="37">
        <f t="shared" si="315"/>
        <v>6631.1</v>
      </c>
      <c r="AE1080" s="181">
        <f t="shared" si="307"/>
        <v>41</v>
      </c>
      <c r="AF1080" s="37">
        <f t="shared" si="324"/>
        <v>28782</v>
      </c>
      <c r="AG1080" s="181">
        <f t="shared" si="308"/>
        <v>1705.8999999999999</v>
      </c>
      <c r="AH1080" s="111">
        <f t="shared" si="316"/>
        <v>1133.4440159999999</v>
      </c>
      <c r="AI1080" s="127">
        <f t="shared" si="317"/>
        <v>1705.8999999999999</v>
      </c>
      <c r="AJ1080" s="37">
        <f t="shared" si="309"/>
        <v>10635.4</v>
      </c>
      <c r="AK1080" s="37">
        <f t="shared" si="318"/>
        <v>39417.4</v>
      </c>
      <c r="AL1080" s="37">
        <f t="shared" si="310"/>
        <v>6.363819577735125</v>
      </c>
      <c r="AN1080" s="37" t="str">
        <f t="shared" si="319"/>
        <v>Pallet</v>
      </c>
      <c r="AO1080" s="194">
        <f t="shared" si="320"/>
        <v>41</v>
      </c>
    </row>
    <row r="1081" spans="22:41" x14ac:dyDescent="0.2">
      <c r="V1081" s="181">
        <f t="shared" si="321"/>
        <v>521.5</v>
      </c>
      <c r="W1081" s="181">
        <f t="shared" si="311"/>
        <v>1043</v>
      </c>
      <c r="X1081" s="181">
        <f t="shared" si="322"/>
        <v>1</v>
      </c>
      <c r="Y1081" s="37">
        <f t="shared" si="323"/>
        <v>1917.1</v>
      </c>
      <c r="Z1081" s="181">
        <f t="shared" si="312"/>
        <v>719.5</v>
      </c>
      <c r="AA1081" s="127">
        <f t="shared" si="313"/>
        <v>595.21331999999995</v>
      </c>
      <c r="AB1081" s="127">
        <f t="shared" si="314"/>
        <v>719.5</v>
      </c>
      <c r="AC1081" s="37">
        <f t="shared" si="306"/>
        <v>4717</v>
      </c>
      <c r="AD1081" s="37">
        <f t="shared" si="315"/>
        <v>6634.1</v>
      </c>
      <c r="AE1081" s="181">
        <f t="shared" si="307"/>
        <v>41</v>
      </c>
      <c r="AF1081" s="37">
        <f t="shared" si="324"/>
        <v>28782</v>
      </c>
      <c r="AG1081" s="181">
        <f t="shared" si="308"/>
        <v>1706.3999999999999</v>
      </c>
      <c r="AH1081" s="111">
        <f t="shared" si="316"/>
        <v>1133.4440159999999</v>
      </c>
      <c r="AI1081" s="127">
        <f t="shared" si="317"/>
        <v>1706.3999999999999</v>
      </c>
      <c r="AJ1081" s="37">
        <f t="shared" si="309"/>
        <v>10638.4</v>
      </c>
      <c r="AK1081" s="37">
        <f t="shared" si="318"/>
        <v>39420.400000000001</v>
      </c>
      <c r="AL1081" s="37">
        <f t="shared" si="310"/>
        <v>6.3605944391179294</v>
      </c>
      <c r="AN1081" s="37" t="str">
        <f t="shared" si="319"/>
        <v>Pallet</v>
      </c>
      <c r="AO1081" s="194">
        <f t="shared" si="320"/>
        <v>41</v>
      </c>
    </row>
    <row r="1082" spans="22:41" x14ac:dyDescent="0.2">
      <c r="V1082" s="181">
        <f t="shared" si="321"/>
        <v>522</v>
      </c>
      <c r="W1082" s="181">
        <f t="shared" si="311"/>
        <v>1044</v>
      </c>
      <c r="X1082" s="181">
        <f t="shared" si="322"/>
        <v>1</v>
      </c>
      <c r="Y1082" s="37">
        <f t="shared" si="323"/>
        <v>1917.1</v>
      </c>
      <c r="Z1082" s="181">
        <f t="shared" si="312"/>
        <v>720</v>
      </c>
      <c r="AA1082" s="127">
        <f t="shared" si="313"/>
        <v>595.21331999999995</v>
      </c>
      <c r="AB1082" s="127">
        <f t="shared" si="314"/>
        <v>720</v>
      </c>
      <c r="AC1082" s="37">
        <f t="shared" si="306"/>
        <v>4720</v>
      </c>
      <c r="AD1082" s="37">
        <f t="shared" si="315"/>
        <v>6637.1</v>
      </c>
      <c r="AE1082" s="181">
        <f t="shared" si="307"/>
        <v>41</v>
      </c>
      <c r="AF1082" s="37">
        <f t="shared" si="324"/>
        <v>28782</v>
      </c>
      <c r="AG1082" s="181">
        <f t="shared" si="308"/>
        <v>1706.8999999999999</v>
      </c>
      <c r="AH1082" s="111">
        <f t="shared" si="316"/>
        <v>1133.4440159999999</v>
      </c>
      <c r="AI1082" s="127">
        <f t="shared" si="317"/>
        <v>1706.8999999999999</v>
      </c>
      <c r="AJ1082" s="37">
        <f t="shared" si="309"/>
        <v>10641.4</v>
      </c>
      <c r="AK1082" s="37">
        <f t="shared" si="318"/>
        <v>39423.4</v>
      </c>
      <c r="AL1082" s="37">
        <f t="shared" si="310"/>
        <v>6.357375478927203</v>
      </c>
      <c r="AN1082" s="37" t="str">
        <f t="shared" si="319"/>
        <v>Pallet</v>
      </c>
      <c r="AO1082" s="194">
        <f t="shared" si="320"/>
        <v>41</v>
      </c>
    </row>
    <row r="1083" spans="22:41" x14ac:dyDescent="0.2">
      <c r="V1083" s="181">
        <f t="shared" si="321"/>
        <v>522.5</v>
      </c>
      <c r="W1083" s="181">
        <f t="shared" si="311"/>
        <v>1045</v>
      </c>
      <c r="X1083" s="181">
        <f t="shared" si="322"/>
        <v>1</v>
      </c>
      <c r="Y1083" s="37">
        <f t="shared" si="323"/>
        <v>1917.1</v>
      </c>
      <c r="Z1083" s="181">
        <f t="shared" si="312"/>
        <v>720.5</v>
      </c>
      <c r="AA1083" s="127">
        <f t="shared" si="313"/>
        <v>595.21331999999995</v>
      </c>
      <c r="AB1083" s="127">
        <f t="shared" si="314"/>
        <v>720.5</v>
      </c>
      <c r="AC1083" s="37">
        <f t="shared" si="306"/>
        <v>4723</v>
      </c>
      <c r="AD1083" s="37">
        <f t="shared" si="315"/>
        <v>6640.1</v>
      </c>
      <c r="AE1083" s="181">
        <f t="shared" si="307"/>
        <v>41</v>
      </c>
      <c r="AF1083" s="37">
        <f t="shared" si="324"/>
        <v>28782</v>
      </c>
      <c r="AG1083" s="181">
        <f t="shared" si="308"/>
        <v>1707.3999999999999</v>
      </c>
      <c r="AH1083" s="111">
        <f t="shared" si="316"/>
        <v>1133.4440159999999</v>
      </c>
      <c r="AI1083" s="127">
        <f t="shared" si="317"/>
        <v>1707.3999999999999</v>
      </c>
      <c r="AJ1083" s="37">
        <f t="shared" si="309"/>
        <v>10644.4</v>
      </c>
      <c r="AK1083" s="37">
        <f t="shared" si="318"/>
        <v>39426.400000000001</v>
      </c>
      <c r="AL1083" s="37">
        <f t="shared" si="310"/>
        <v>6.3541626794258379</v>
      </c>
      <c r="AN1083" s="37" t="str">
        <f t="shared" si="319"/>
        <v>Pallet</v>
      </c>
      <c r="AO1083" s="194">
        <f t="shared" si="320"/>
        <v>41</v>
      </c>
    </row>
    <row r="1084" spans="22:41" x14ac:dyDescent="0.2">
      <c r="V1084" s="181">
        <f t="shared" si="321"/>
        <v>523</v>
      </c>
      <c r="W1084" s="181">
        <f t="shared" si="311"/>
        <v>1046</v>
      </c>
      <c r="X1084" s="181">
        <f t="shared" si="322"/>
        <v>1</v>
      </c>
      <c r="Y1084" s="37">
        <f t="shared" si="323"/>
        <v>1917.1</v>
      </c>
      <c r="Z1084" s="181">
        <f t="shared" si="312"/>
        <v>721</v>
      </c>
      <c r="AA1084" s="127">
        <f t="shared" si="313"/>
        <v>595.21331999999995</v>
      </c>
      <c r="AB1084" s="127">
        <f t="shared" si="314"/>
        <v>721</v>
      </c>
      <c r="AC1084" s="37">
        <f t="shared" si="306"/>
        <v>4726</v>
      </c>
      <c r="AD1084" s="37">
        <f t="shared" si="315"/>
        <v>6643.1</v>
      </c>
      <c r="AE1084" s="181">
        <f t="shared" si="307"/>
        <v>41</v>
      </c>
      <c r="AF1084" s="37">
        <f t="shared" si="324"/>
        <v>28782</v>
      </c>
      <c r="AG1084" s="181">
        <f t="shared" si="308"/>
        <v>1707.8999999999999</v>
      </c>
      <c r="AH1084" s="111">
        <f t="shared" si="316"/>
        <v>1133.4440159999999</v>
      </c>
      <c r="AI1084" s="127">
        <f t="shared" si="317"/>
        <v>1707.8999999999999</v>
      </c>
      <c r="AJ1084" s="37">
        <f t="shared" si="309"/>
        <v>10647.4</v>
      </c>
      <c r="AK1084" s="37">
        <f t="shared" si="318"/>
        <v>39429.4</v>
      </c>
      <c r="AL1084" s="37">
        <f t="shared" si="310"/>
        <v>6.3509560229445512</v>
      </c>
      <c r="AN1084" s="37" t="str">
        <f t="shared" si="319"/>
        <v>Pallet</v>
      </c>
      <c r="AO1084" s="194">
        <f t="shared" si="320"/>
        <v>41</v>
      </c>
    </row>
    <row r="1085" spans="22:41" x14ac:dyDescent="0.2">
      <c r="V1085" s="181">
        <f t="shared" si="321"/>
        <v>523.5</v>
      </c>
      <c r="W1085" s="181">
        <f t="shared" si="311"/>
        <v>1047</v>
      </c>
      <c r="X1085" s="181">
        <f t="shared" si="322"/>
        <v>1</v>
      </c>
      <c r="Y1085" s="37">
        <f t="shared" si="323"/>
        <v>1917.1</v>
      </c>
      <c r="Z1085" s="181">
        <f t="shared" si="312"/>
        <v>721.5</v>
      </c>
      <c r="AA1085" s="127">
        <f t="shared" si="313"/>
        <v>595.21331999999995</v>
      </c>
      <c r="AB1085" s="127">
        <f t="shared" si="314"/>
        <v>721.5</v>
      </c>
      <c r="AC1085" s="37">
        <f t="shared" si="306"/>
        <v>4729</v>
      </c>
      <c r="AD1085" s="37">
        <f t="shared" si="315"/>
        <v>6646.1</v>
      </c>
      <c r="AE1085" s="181">
        <f t="shared" si="307"/>
        <v>41</v>
      </c>
      <c r="AF1085" s="37">
        <f t="shared" si="324"/>
        <v>28782</v>
      </c>
      <c r="AG1085" s="181">
        <f t="shared" si="308"/>
        <v>1708.3999999999999</v>
      </c>
      <c r="AH1085" s="111">
        <f t="shared" si="316"/>
        <v>1133.4440159999999</v>
      </c>
      <c r="AI1085" s="127">
        <f t="shared" si="317"/>
        <v>1708.3999999999999</v>
      </c>
      <c r="AJ1085" s="37">
        <f t="shared" si="309"/>
        <v>10650.4</v>
      </c>
      <c r="AK1085" s="37">
        <f t="shared" si="318"/>
        <v>39432.400000000001</v>
      </c>
      <c r="AL1085" s="37">
        <f t="shared" si="310"/>
        <v>6.3477554918815668</v>
      </c>
      <c r="AN1085" s="37" t="str">
        <f t="shared" si="319"/>
        <v>Pallet</v>
      </c>
      <c r="AO1085" s="194">
        <f t="shared" si="320"/>
        <v>41</v>
      </c>
    </row>
    <row r="1086" spans="22:41" x14ac:dyDescent="0.2">
      <c r="V1086" s="181">
        <f t="shared" si="321"/>
        <v>524</v>
      </c>
      <c r="W1086" s="181">
        <f t="shared" si="311"/>
        <v>1048</v>
      </c>
      <c r="X1086" s="181">
        <f t="shared" si="322"/>
        <v>1</v>
      </c>
      <c r="Y1086" s="37">
        <f t="shared" si="323"/>
        <v>1917.1</v>
      </c>
      <c r="Z1086" s="181">
        <f t="shared" si="312"/>
        <v>722</v>
      </c>
      <c r="AA1086" s="127">
        <f t="shared" si="313"/>
        <v>595.21331999999995</v>
      </c>
      <c r="AB1086" s="127">
        <f t="shared" si="314"/>
        <v>722</v>
      </c>
      <c r="AC1086" s="37">
        <f t="shared" si="306"/>
        <v>4732</v>
      </c>
      <c r="AD1086" s="37">
        <f t="shared" si="315"/>
        <v>6649.1</v>
      </c>
      <c r="AE1086" s="181">
        <f t="shared" si="307"/>
        <v>41</v>
      </c>
      <c r="AF1086" s="37">
        <f t="shared" si="324"/>
        <v>28782</v>
      </c>
      <c r="AG1086" s="181">
        <f t="shared" si="308"/>
        <v>1708.8999999999999</v>
      </c>
      <c r="AH1086" s="111">
        <f t="shared" si="316"/>
        <v>1133.4440159999999</v>
      </c>
      <c r="AI1086" s="127">
        <f t="shared" si="317"/>
        <v>1708.8999999999999</v>
      </c>
      <c r="AJ1086" s="37">
        <f t="shared" si="309"/>
        <v>10653.4</v>
      </c>
      <c r="AK1086" s="37">
        <f t="shared" si="318"/>
        <v>39435.4</v>
      </c>
      <c r="AL1086" s="37">
        <f t="shared" si="310"/>
        <v>6.3445610687022906</v>
      </c>
      <c r="AN1086" s="37" t="str">
        <f t="shared" si="319"/>
        <v>Pallet</v>
      </c>
      <c r="AO1086" s="194">
        <f t="shared" si="320"/>
        <v>41</v>
      </c>
    </row>
    <row r="1087" spans="22:41" x14ac:dyDescent="0.2">
      <c r="V1087" s="181">
        <f t="shared" si="321"/>
        <v>524.5</v>
      </c>
      <c r="W1087" s="181">
        <f t="shared" si="311"/>
        <v>1049</v>
      </c>
      <c r="X1087" s="181">
        <f t="shared" si="322"/>
        <v>1</v>
      </c>
      <c r="Y1087" s="37">
        <f t="shared" si="323"/>
        <v>1917.1</v>
      </c>
      <c r="Z1087" s="181">
        <f t="shared" si="312"/>
        <v>722.5</v>
      </c>
      <c r="AA1087" s="127">
        <f t="shared" si="313"/>
        <v>595.21331999999995</v>
      </c>
      <c r="AB1087" s="127">
        <f t="shared" si="314"/>
        <v>722.5</v>
      </c>
      <c r="AC1087" s="37">
        <f t="shared" si="306"/>
        <v>4735</v>
      </c>
      <c r="AD1087" s="37">
        <f t="shared" si="315"/>
        <v>6652.1</v>
      </c>
      <c r="AE1087" s="181">
        <f t="shared" si="307"/>
        <v>41</v>
      </c>
      <c r="AF1087" s="37">
        <f t="shared" si="324"/>
        <v>28782</v>
      </c>
      <c r="AG1087" s="181">
        <f t="shared" si="308"/>
        <v>1709.3999999999999</v>
      </c>
      <c r="AH1087" s="111">
        <f t="shared" si="316"/>
        <v>1133.4440159999999</v>
      </c>
      <c r="AI1087" s="127">
        <f t="shared" si="317"/>
        <v>1709.3999999999999</v>
      </c>
      <c r="AJ1087" s="37">
        <f t="shared" si="309"/>
        <v>10656.4</v>
      </c>
      <c r="AK1087" s="37">
        <f t="shared" si="318"/>
        <v>39438.400000000001</v>
      </c>
      <c r="AL1087" s="37">
        <f t="shared" si="310"/>
        <v>6.3413727359389895</v>
      </c>
      <c r="AN1087" s="37" t="str">
        <f t="shared" si="319"/>
        <v>Pallet</v>
      </c>
      <c r="AO1087" s="194">
        <f t="shared" si="320"/>
        <v>41</v>
      </c>
    </row>
    <row r="1088" spans="22:41" x14ac:dyDescent="0.2">
      <c r="V1088" s="181">
        <f t="shared" si="321"/>
        <v>525</v>
      </c>
      <c r="W1088" s="181">
        <f t="shared" si="311"/>
        <v>1050</v>
      </c>
      <c r="X1088" s="181">
        <f t="shared" si="322"/>
        <v>1</v>
      </c>
      <c r="Y1088" s="37">
        <f t="shared" si="323"/>
        <v>1917.1</v>
      </c>
      <c r="Z1088" s="181">
        <f t="shared" si="312"/>
        <v>723</v>
      </c>
      <c r="AA1088" s="127">
        <f t="shared" si="313"/>
        <v>595.21331999999995</v>
      </c>
      <c r="AB1088" s="127">
        <f t="shared" si="314"/>
        <v>723</v>
      </c>
      <c r="AC1088" s="37">
        <f t="shared" si="306"/>
        <v>4738</v>
      </c>
      <c r="AD1088" s="37">
        <f t="shared" si="315"/>
        <v>6655.1</v>
      </c>
      <c r="AE1088" s="181">
        <f t="shared" si="307"/>
        <v>41</v>
      </c>
      <c r="AF1088" s="37">
        <f t="shared" si="324"/>
        <v>28782</v>
      </c>
      <c r="AG1088" s="181">
        <f t="shared" si="308"/>
        <v>1709.8999999999999</v>
      </c>
      <c r="AH1088" s="111">
        <f t="shared" si="316"/>
        <v>1133.4440159999999</v>
      </c>
      <c r="AI1088" s="127">
        <f t="shared" si="317"/>
        <v>1709.8999999999999</v>
      </c>
      <c r="AJ1088" s="37">
        <f t="shared" si="309"/>
        <v>10659.4</v>
      </c>
      <c r="AK1088" s="37">
        <f t="shared" si="318"/>
        <v>39441.4</v>
      </c>
      <c r="AL1088" s="37">
        <f t="shared" si="310"/>
        <v>6.3381904761904764</v>
      </c>
      <c r="AN1088" s="37" t="str">
        <f t="shared" si="319"/>
        <v>Pallet</v>
      </c>
      <c r="AO1088" s="194">
        <f t="shared" si="320"/>
        <v>41</v>
      </c>
    </row>
    <row r="1089" spans="22:41" x14ac:dyDescent="0.2">
      <c r="V1089" s="181">
        <f t="shared" si="321"/>
        <v>525.5</v>
      </c>
      <c r="W1089" s="181">
        <f t="shared" si="311"/>
        <v>1051</v>
      </c>
      <c r="X1089" s="181">
        <f t="shared" si="322"/>
        <v>1</v>
      </c>
      <c r="Y1089" s="37">
        <f t="shared" si="323"/>
        <v>1917.1</v>
      </c>
      <c r="Z1089" s="181">
        <f t="shared" si="312"/>
        <v>723.5</v>
      </c>
      <c r="AA1089" s="127">
        <f t="shared" si="313"/>
        <v>595.21331999999995</v>
      </c>
      <c r="AB1089" s="127">
        <f t="shared" si="314"/>
        <v>723.5</v>
      </c>
      <c r="AC1089" s="37">
        <f t="shared" si="306"/>
        <v>4741</v>
      </c>
      <c r="AD1089" s="37">
        <f t="shared" si="315"/>
        <v>6658.1</v>
      </c>
      <c r="AE1089" s="181">
        <f t="shared" si="307"/>
        <v>41</v>
      </c>
      <c r="AF1089" s="37">
        <f t="shared" si="324"/>
        <v>28782</v>
      </c>
      <c r="AG1089" s="181">
        <f t="shared" si="308"/>
        <v>1710.3999999999999</v>
      </c>
      <c r="AH1089" s="111">
        <f t="shared" si="316"/>
        <v>1133.4440159999999</v>
      </c>
      <c r="AI1089" s="127">
        <f t="shared" si="317"/>
        <v>1710.3999999999999</v>
      </c>
      <c r="AJ1089" s="37">
        <f t="shared" si="309"/>
        <v>10662.4</v>
      </c>
      <c r="AK1089" s="37">
        <f t="shared" si="318"/>
        <v>39444.400000000001</v>
      </c>
      <c r="AL1089" s="37">
        <f t="shared" si="310"/>
        <v>6.3350142721217892</v>
      </c>
      <c r="AN1089" s="37" t="str">
        <f t="shared" si="319"/>
        <v>Pallet</v>
      </c>
      <c r="AO1089" s="194">
        <f t="shared" si="320"/>
        <v>41</v>
      </c>
    </row>
    <row r="1090" spans="22:41" x14ac:dyDescent="0.2">
      <c r="V1090" s="181">
        <f t="shared" si="321"/>
        <v>526</v>
      </c>
      <c r="W1090" s="181">
        <f t="shared" si="311"/>
        <v>1052</v>
      </c>
      <c r="X1090" s="181">
        <f t="shared" si="322"/>
        <v>1</v>
      </c>
      <c r="Y1090" s="37">
        <f t="shared" si="323"/>
        <v>1917.1</v>
      </c>
      <c r="Z1090" s="181">
        <f t="shared" si="312"/>
        <v>724</v>
      </c>
      <c r="AA1090" s="127">
        <f t="shared" si="313"/>
        <v>595.21331999999995</v>
      </c>
      <c r="AB1090" s="127">
        <f t="shared" si="314"/>
        <v>724</v>
      </c>
      <c r="AC1090" s="37">
        <f t="shared" si="306"/>
        <v>4744</v>
      </c>
      <c r="AD1090" s="37">
        <f t="shared" si="315"/>
        <v>6661.1</v>
      </c>
      <c r="AE1090" s="181">
        <f t="shared" si="307"/>
        <v>41</v>
      </c>
      <c r="AF1090" s="37">
        <f t="shared" si="324"/>
        <v>28782</v>
      </c>
      <c r="AG1090" s="181">
        <f t="shared" si="308"/>
        <v>1710.8999999999999</v>
      </c>
      <c r="AH1090" s="111">
        <f t="shared" si="316"/>
        <v>1133.4440159999999</v>
      </c>
      <c r="AI1090" s="127">
        <f t="shared" si="317"/>
        <v>1710.8999999999999</v>
      </c>
      <c r="AJ1090" s="37">
        <f t="shared" si="309"/>
        <v>10665.4</v>
      </c>
      <c r="AK1090" s="37">
        <f t="shared" si="318"/>
        <v>39447.4</v>
      </c>
      <c r="AL1090" s="37">
        <f t="shared" si="310"/>
        <v>6.3318441064638789</v>
      </c>
      <c r="AN1090" s="37" t="str">
        <f t="shared" si="319"/>
        <v>Pallet</v>
      </c>
      <c r="AO1090" s="194">
        <f t="shared" si="320"/>
        <v>41</v>
      </c>
    </row>
    <row r="1091" spans="22:41" x14ac:dyDescent="0.2">
      <c r="V1091" s="181">
        <f t="shared" si="321"/>
        <v>526.5</v>
      </c>
      <c r="W1091" s="181">
        <f t="shared" si="311"/>
        <v>1053</v>
      </c>
      <c r="X1091" s="181">
        <f t="shared" si="322"/>
        <v>1</v>
      </c>
      <c r="Y1091" s="37">
        <f t="shared" si="323"/>
        <v>1917.1</v>
      </c>
      <c r="Z1091" s="181">
        <f t="shared" si="312"/>
        <v>724.5</v>
      </c>
      <c r="AA1091" s="127">
        <f t="shared" si="313"/>
        <v>595.21331999999995</v>
      </c>
      <c r="AB1091" s="127">
        <f t="shared" si="314"/>
        <v>724.5</v>
      </c>
      <c r="AC1091" s="37">
        <f t="shared" si="306"/>
        <v>4747</v>
      </c>
      <c r="AD1091" s="37">
        <f t="shared" si="315"/>
        <v>6664.1</v>
      </c>
      <c r="AE1091" s="181">
        <f t="shared" si="307"/>
        <v>41</v>
      </c>
      <c r="AF1091" s="37">
        <f t="shared" si="324"/>
        <v>28782</v>
      </c>
      <c r="AG1091" s="181">
        <f t="shared" si="308"/>
        <v>1711.3999999999999</v>
      </c>
      <c r="AH1091" s="111">
        <f t="shared" si="316"/>
        <v>1133.4440159999999</v>
      </c>
      <c r="AI1091" s="127">
        <f t="shared" si="317"/>
        <v>1711.3999999999999</v>
      </c>
      <c r="AJ1091" s="37">
        <f t="shared" si="309"/>
        <v>10668.4</v>
      </c>
      <c r="AK1091" s="37">
        <f t="shared" si="318"/>
        <v>39450.400000000001</v>
      </c>
      <c r="AL1091" s="37">
        <f t="shared" si="310"/>
        <v>6.3286799620132959</v>
      </c>
      <c r="AN1091" s="37" t="str">
        <f t="shared" si="319"/>
        <v>Pallet</v>
      </c>
      <c r="AO1091" s="194">
        <f t="shared" si="320"/>
        <v>41</v>
      </c>
    </row>
    <row r="1092" spans="22:41" x14ac:dyDescent="0.2">
      <c r="V1092" s="181">
        <f t="shared" si="321"/>
        <v>527</v>
      </c>
      <c r="W1092" s="181">
        <f t="shared" si="311"/>
        <v>1054</v>
      </c>
      <c r="X1092" s="181">
        <f t="shared" si="322"/>
        <v>1</v>
      </c>
      <c r="Y1092" s="37">
        <f t="shared" si="323"/>
        <v>1917.1</v>
      </c>
      <c r="Z1092" s="181">
        <f t="shared" si="312"/>
        <v>725</v>
      </c>
      <c r="AA1092" s="127">
        <f t="shared" si="313"/>
        <v>595.21331999999995</v>
      </c>
      <c r="AB1092" s="127">
        <f t="shared" si="314"/>
        <v>725</v>
      </c>
      <c r="AC1092" s="37">
        <f t="shared" si="306"/>
        <v>4750</v>
      </c>
      <c r="AD1092" s="37">
        <f t="shared" si="315"/>
        <v>6667.1</v>
      </c>
      <c r="AE1092" s="181">
        <f t="shared" si="307"/>
        <v>41</v>
      </c>
      <c r="AF1092" s="37">
        <f t="shared" si="324"/>
        <v>28782</v>
      </c>
      <c r="AG1092" s="181">
        <f t="shared" si="308"/>
        <v>1711.8999999999999</v>
      </c>
      <c r="AH1092" s="111">
        <f t="shared" si="316"/>
        <v>1133.4440159999999</v>
      </c>
      <c r="AI1092" s="127">
        <f t="shared" si="317"/>
        <v>1711.8999999999999</v>
      </c>
      <c r="AJ1092" s="37">
        <f t="shared" si="309"/>
        <v>10671.4</v>
      </c>
      <c r="AK1092" s="37">
        <f t="shared" si="318"/>
        <v>39453.4</v>
      </c>
      <c r="AL1092" s="37">
        <f t="shared" si="310"/>
        <v>6.3255218216318791</v>
      </c>
      <c r="AN1092" s="37" t="str">
        <f t="shared" si="319"/>
        <v>Pallet</v>
      </c>
      <c r="AO1092" s="194">
        <f t="shared" si="320"/>
        <v>41</v>
      </c>
    </row>
    <row r="1093" spans="22:41" x14ac:dyDescent="0.2">
      <c r="V1093" s="181">
        <f t="shared" si="321"/>
        <v>527.5</v>
      </c>
      <c r="W1093" s="181">
        <f t="shared" si="311"/>
        <v>1055</v>
      </c>
      <c r="X1093" s="181">
        <f t="shared" si="322"/>
        <v>1</v>
      </c>
      <c r="Y1093" s="37">
        <f t="shared" si="323"/>
        <v>1917.1</v>
      </c>
      <c r="Z1093" s="181">
        <f t="shared" si="312"/>
        <v>725.5</v>
      </c>
      <c r="AA1093" s="127">
        <f t="shared" si="313"/>
        <v>595.21331999999995</v>
      </c>
      <c r="AB1093" s="127">
        <f t="shared" si="314"/>
        <v>725.5</v>
      </c>
      <c r="AC1093" s="37">
        <f t="shared" si="306"/>
        <v>4753</v>
      </c>
      <c r="AD1093" s="37">
        <f t="shared" si="315"/>
        <v>6670.1</v>
      </c>
      <c r="AE1093" s="181">
        <f t="shared" si="307"/>
        <v>41</v>
      </c>
      <c r="AF1093" s="37">
        <f t="shared" si="324"/>
        <v>28782</v>
      </c>
      <c r="AG1093" s="181">
        <f t="shared" si="308"/>
        <v>1712.3999999999999</v>
      </c>
      <c r="AH1093" s="111">
        <f t="shared" si="316"/>
        <v>1133.4440159999999</v>
      </c>
      <c r="AI1093" s="127">
        <f t="shared" si="317"/>
        <v>1712.3999999999999</v>
      </c>
      <c r="AJ1093" s="37">
        <f t="shared" si="309"/>
        <v>10674.4</v>
      </c>
      <c r="AK1093" s="37">
        <f t="shared" si="318"/>
        <v>39456.400000000001</v>
      </c>
      <c r="AL1093" s="37">
        <f t="shared" si="310"/>
        <v>6.3223696682464459</v>
      </c>
      <c r="AN1093" s="37" t="str">
        <f t="shared" si="319"/>
        <v>Pallet</v>
      </c>
      <c r="AO1093" s="194">
        <f t="shared" si="320"/>
        <v>41</v>
      </c>
    </row>
    <row r="1094" spans="22:41" x14ac:dyDescent="0.2">
      <c r="V1094" s="181">
        <f t="shared" si="321"/>
        <v>528</v>
      </c>
      <c r="W1094" s="181">
        <f t="shared" si="311"/>
        <v>1056</v>
      </c>
      <c r="X1094" s="181">
        <f t="shared" si="322"/>
        <v>1</v>
      </c>
      <c r="Y1094" s="37">
        <f t="shared" si="323"/>
        <v>1917.1</v>
      </c>
      <c r="Z1094" s="181">
        <f t="shared" si="312"/>
        <v>726</v>
      </c>
      <c r="AA1094" s="127">
        <f t="shared" si="313"/>
        <v>595.21331999999995</v>
      </c>
      <c r="AB1094" s="127">
        <f t="shared" si="314"/>
        <v>726</v>
      </c>
      <c r="AC1094" s="37">
        <f t="shared" si="306"/>
        <v>4756</v>
      </c>
      <c r="AD1094" s="37">
        <f t="shared" si="315"/>
        <v>6673.1</v>
      </c>
      <c r="AE1094" s="181">
        <f t="shared" si="307"/>
        <v>41</v>
      </c>
      <c r="AF1094" s="37">
        <f t="shared" si="324"/>
        <v>28782</v>
      </c>
      <c r="AG1094" s="181">
        <f t="shared" si="308"/>
        <v>1712.8999999999999</v>
      </c>
      <c r="AH1094" s="111">
        <f t="shared" si="316"/>
        <v>1133.4440159999999</v>
      </c>
      <c r="AI1094" s="127">
        <f t="shared" si="317"/>
        <v>1712.8999999999999</v>
      </c>
      <c r="AJ1094" s="37">
        <f t="shared" si="309"/>
        <v>10677.4</v>
      </c>
      <c r="AK1094" s="37">
        <f t="shared" si="318"/>
        <v>39459.4</v>
      </c>
      <c r="AL1094" s="37">
        <f t="shared" si="310"/>
        <v>6.319223484848485</v>
      </c>
      <c r="AN1094" s="37" t="str">
        <f t="shared" si="319"/>
        <v>Pallet</v>
      </c>
      <c r="AO1094" s="194">
        <f t="shared" si="320"/>
        <v>41</v>
      </c>
    </row>
    <row r="1095" spans="22:41" x14ac:dyDescent="0.2">
      <c r="V1095" s="181">
        <f t="shared" si="321"/>
        <v>528.5</v>
      </c>
      <c r="W1095" s="181">
        <f t="shared" si="311"/>
        <v>1057</v>
      </c>
      <c r="X1095" s="181">
        <f t="shared" si="322"/>
        <v>1</v>
      </c>
      <c r="Y1095" s="37">
        <f t="shared" si="323"/>
        <v>1917.1</v>
      </c>
      <c r="Z1095" s="181">
        <f t="shared" si="312"/>
        <v>726.5</v>
      </c>
      <c r="AA1095" s="127">
        <f t="shared" si="313"/>
        <v>595.21331999999995</v>
      </c>
      <c r="AB1095" s="127">
        <f t="shared" si="314"/>
        <v>726.5</v>
      </c>
      <c r="AC1095" s="37">
        <f t="shared" si="306"/>
        <v>4759</v>
      </c>
      <c r="AD1095" s="37">
        <f t="shared" si="315"/>
        <v>6676.1</v>
      </c>
      <c r="AE1095" s="181">
        <f t="shared" si="307"/>
        <v>41</v>
      </c>
      <c r="AF1095" s="37">
        <f t="shared" si="324"/>
        <v>28782</v>
      </c>
      <c r="AG1095" s="181">
        <f t="shared" si="308"/>
        <v>1713.3999999999999</v>
      </c>
      <c r="AH1095" s="111">
        <f t="shared" si="316"/>
        <v>1133.4440159999999</v>
      </c>
      <c r="AI1095" s="127">
        <f t="shared" si="317"/>
        <v>1713.3999999999999</v>
      </c>
      <c r="AJ1095" s="37">
        <f t="shared" si="309"/>
        <v>10680.4</v>
      </c>
      <c r="AK1095" s="37">
        <f t="shared" si="318"/>
        <v>39462.400000000001</v>
      </c>
      <c r="AL1095" s="37">
        <f t="shared" si="310"/>
        <v>6.3160832544938508</v>
      </c>
      <c r="AN1095" s="37" t="str">
        <f t="shared" si="319"/>
        <v>Pallet</v>
      </c>
      <c r="AO1095" s="194">
        <f t="shared" si="320"/>
        <v>41</v>
      </c>
    </row>
    <row r="1096" spans="22:41" x14ac:dyDescent="0.2">
      <c r="V1096" s="181">
        <f t="shared" si="321"/>
        <v>529</v>
      </c>
      <c r="W1096" s="181">
        <f t="shared" si="311"/>
        <v>1058</v>
      </c>
      <c r="X1096" s="181">
        <f t="shared" si="322"/>
        <v>1</v>
      </c>
      <c r="Y1096" s="37">
        <f t="shared" si="323"/>
        <v>1917.1</v>
      </c>
      <c r="Z1096" s="181">
        <f t="shared" si="312"/>
        <v>727</v>
      </c>
      <c r="AA1096" s="127">
        <f t="shared" si="313"/>
        <v>595.21331999999995</v>
      </c>
      <c r="AB1096" s="127">
        <f t="shared" si="314"/>
        <v>727</v>
      </c>
      <c r="AC1096" s="37">
        <f t="shared" si="306"/>
        <v>4762</v>
      </c>
      <c r="AD1096" s="37">
        <f t="shared" si="315"/>
        <v>6679.1</v>
      </c>
      <c r="AE1096" s="181">
        <f t="shared" si="307"/>
        <v>42</v>
      </c>
      <c r="AF1096" s="37">
        <f t="shared" si="324"/>
        <v>29484</v>
      </c>
      <c r="AG1096" s="181">
        <f t="shared" si="308"/>
        <v>1742.8</v>
      </c>
      <c r="AH1096" s="111">
        <f t="shared" si="316"/>
        <v>1161.0889919999997</v>
      </c>
      <c r="AI1096" s="127">
        <f t="shared" si="317"/>
        <v>1742.8</v>
      </c>
      <c r="AJ1096" s="37">
        <f t="shared" si="309"/>
        <v>10856.8</v>
      </c>
      <c r="AK1096" s="37">
        <f t="shared" si="318"/>
        <v>40340.800000000003</v>
      </c>
      <c r="AL1096" s="37">
        <f t="shared" si="310"/>
        <v>6.3129489603024576</v>
      </c>
      <c r="AN1096" s="37" t="str">
        <f t="shared" si="319"/>
        <v>Pallet</v>
      </c>
      <c r="AO1096" s="194">
        <f t="shared" si="320"/>
        <v>41</v>
      </c>
    </row>
    <row r="1097" spans="22:41" x14ac:dyDescent="0.2">
      <c r="V1097" s="181">
        <f t="shared" si="321"/>
        <v>529.5</v>
      </c>
      <c r="W1097" s="181">
        <f t="shared" si="311"/>
        <v>1059</v>
      </c>
      <c r="X1097" s="181">
        <f t="shared" si="322"/>
        <v>1</v>
      </c>
      <c r="Y1097" s="37">
        <f t="shared" si="323"/>
        <v>1917.1</v>
      </c>
      <c r="Z1097" s="181">
        <f t="shared" si="312"/>
        <v>727.5</v>
      </c>
      <c r="AA1097" s="127">
        <f t="shared" si="313"/>
        <v>595.21331999999995</v>
      </c>
      <c r="AB1097" s="127">
        <f t="shared" si="314"/>
        <v>727.5</v>
      </c>
      <c r="AC1097" s="37">
        <f t="shared" si="306"/>
        <v>4765</v>
      </c>
      <c r="AD1097" s="37">
        <f t="shared" si="315"/>
        <v>6682.1</v>
      </c>
      <c r="AE1097" s="181">
        <f t="shared" si="307"/>
        <v>42</v>
      </c>
      <c r="AF1097" s="37">
        <f t="shared" si="324"/>
        <v>29484</v>
      </c>
      <c r="AG1097" s="181">
        <f t="shared" si="308"/>
        <v>1743.3</v>
      </c>
      <c r="AH1097" s="111">
        <f t="shared" si="316"/>
        <v>1161.0889919999997</v>
      </c>
      <c r="AI1097" s="127">
        <f t="shared" si="317"/>
        <v>1743.3</v>
      </c>
      <c r="AJ1097" s="37">
        <f t="shared" si="309"/>
        <v>10859.8</v>
      </c>
      <c r="AK1097" s="37">
        <f t="shared" si="318"/>
        <v>40343.800000000003</v>
      </c>
      <c r="AL1097" s="37">
        <f t="shared" si="310"/>
        <v>6.3098205854579792</v>
      </c>
      <c r="AN1097" s="37" t="str">
        <f t="shared" si="319"/>
        <v>Pallet</v>
      </c>
      <c r="AO1097" s="194">
        <f t="shared" si="320"/>
        <v>42</v>
      </c>
    </row>
    <row r="1098" spans="22:41" x14ac:dyDescent="0.2">
      <c r="V1098" s="181">
        <f t="shared" si="321"/>
        <v>530</v>
      </c>
      <c r="W1098" s="181">
        <f t="shared" si="311"/>
        <v>1060</v>
      </c>
      <c r="X1098" s="181">
        <f t="shared" si="322"/>
        <v>1</v>
      </c>
      <c r="Y1098" s="37">
        <f t="shared" si="323"/>
        <v>1917.1</v>
      </c>
      <c r="Z1098" s="181">
        <f t="shared" si="312"/>
        <v>728</v>
      </c>
      <c r="AA1098" s="127">
        <f t="shared" si="313"/>
        <v>595.21331999999995</v>
      </c>
      <c r="AB1098" s="127">
        <f t="shared" si="314"/>
        <v>728</v>
      </c>
      <c r="AC1098" s="37">
        <f t="shared" si="306"/>
        <v>4768</v>
      </c>
      <c r="AD1098" s="37">
        <f t="shared" si="315"/>
        <v>6685.1</v>
      </c>
      <c r="AE1098" s="181">
        <f t="shared" si="307"/>
        <v>42</v>
      </c>
      <c r="AF1098" s="37">
        <f t="shared" si="324"/>
        <v>29484</v>
      </c>
      <c r="AG1098" s="181">
        <f t="shared" si="308"/>
        <v>1743.8</v>
      </c>
      <c r="AH1098" s="111">
        <f t="shared" si="316"/>
        <v>1161.0889919999997</v>
      </c>
      <c r="AI1098" s="127">
        <f t="shared" si="317"/>
        <v>1743.8</v>
      </c>
      <c r="AJ1098" s="37">
        <f t="shared" si="309"/>
        <v>10862.8</v>
      </c>
      <c r="AK1098" s="37">
        <f t="shared" si="318"/>
        <v>40346.800000000003</v>
      </c>
      <c r="AL1098" s="37">
        <f t="shared" si="310"/>
        <v>6.3066981132075473</v>
      </c>
      <c r="AN1098" s="37" t="str">
        <f t="shared" si="319"/>
        <v>Pallet</v>
      </c>
      <c r="AO1098" s="194">
        <f t="shared" si="320"/>
        <v>42</v>
      </c>
    </row>
    <row r="1099" spans="22:41" x14ac:dyDescent="0.2">
      <c r="V1099" s="181">
        <f t="shared" si="321"/>
        <v>530.5</v>
      </c>
      <c r="W1099" s="181">
        <f t="shared" si="311"/>
        <v>1061</v>
      </c>
      <c r="X1099" s="181">
        <f t="shared" si="322"/>
        <v>1</v>
      </c>
      <c r="Y1099" s="37">
        <f t="shared" si="323"/>
        <v>1917.1</v>
      </c>
      <c r="Z1099" s="181">
        <f t="shared" si="312"/>
        <v>728.5</v>
      </c>
      <c r="AA1099" s="127">
        <f t="shared" si="313"/>
        <v>595.21331999999995</v>
      </c>
      <c r="AB1099" s="127">
        <f t="shared" si="314"/>
        <v>728.5</v>
      </c>
      <c r="AC1099" s="37">
        <f t="shared" si="306"/>
        <v>4771</v>
      </c>
      <c r="AD1099" s="37">
        <f t="shared" si="315"/>
        <v>6688.1</v>
      </c>
      <c r="AE1099" s="181">
        <f t="shared" si="307"/>
        <v>42</v>
      </c>
      <c r="AF1099" s="37">
        <f t="shared" si="324"/>
        <v>29484</v>
      </c>
      <c r="AG1099" s="181">
        <f t="shared" si="308"/>
        <v>1744.3</v>
      </c>
      <c r="AH1099" s="111">
        <f t="shared" si="316"/>
        <v>1161.0889919999997</v>
      </c>
      <c r="AI1099" s="127">
        <f t="shared" si="317"/>
        <v>1744.3</v>
      </c>
      <c r="AJ1099" s="37">
        <f t="shared" si="309"/>
        <v>10865.8</v>
      </c>
      <c r="AK1099" s="37">
        <f t="shared" si="318"/>
        <v>40349.800000000003</v>
      </c>
      <c r="AL1099" s="37">
        <f t="shared" si="310"/>
        <v>6.3035815268614517</v>
      </c>
      <c r="AN1099" s="37" t="str">
        <f t="shared" si="319"/>
        <v>Pallet</v>
      </c>
      <c r="AO1099" s="194">
        <f t="shared" si="320"/>
        <v>42</v>
      </c>
    </row>
    <row r="1100" spans="22:41" x14ac:dyDescent="0.2">
      <c r="V1100" s="181">
        <f t="shared" si="321"/>
        <v>531</v>
      </c>
      <c r="W1100" s="181">
        <f t="shared" si="311"/>
        <v>1062</v>
      </c>
      <c r="X1100" s="181">
        <f t="shared" si="322"/>
        <v>1</v>
      </c>
      <c r="Y1100" s="37">
        <f t="shared" si="323"/>
        <v>1917.1</v>
      </c>
      <c r="Z1100" s="181">
        <f t="shared" si="312"/>
        <v>729</v>
      </c>
      <c r="AA1100" s="127">
        <f t="shared" si="313"/>
        <v>595.21331999999995</v>
      </c>
      <c r="AB1100" s="127">
        <f t="shared" si="314"/>
        <v>729</v>
      </c>
      <c r="AC1100" s="37">
        <f t="shared" si="306"/>
        <v>4774</v>
      </c>
      <c r="AD1100" s="37">
        <f t="shared" si="315"/>
        <v>6691.1</v>
      </c>
      <c r="AE1100" s="181">
        <f t="shared" si="307"/>
        <v>42</v>
      </c>
      <c r="AF1100" s="37">
        <f t="shared" si="324"/>
        <v>29484</v>
      </c>
      <c r="AG1100" s="181">
        <f t="shared" si="308"/>
        <v>1744.8</v>
      </c>
      <c r="AH1100" s="111">
        <f t="shared" si="316"/>
        <v>1161.0889919999997</v>
      </c>
      <c r="AI1100" s="127">
        <f t="shared" si="317"/>
        <v>1744.8</v>
      </c>
      <c r="AJ1100" s="37">
        <f t="shared" si="309"/>
        <v>10868.8</v>
      </c>
      <c r="AK1100" s="37">
        <f t="shared" si="318"/>
        <v>40352.800000000003</v>
      </c>
      <c r="AL1100" s="37">
        <f t="shared" si="310"/>
        <v>6.3004708097928441</v>
      </c>
      <c r="AN1100" s="37" t="str">
        <f t="shared" si="319"/>
        <v>Pallet</v>
      </c>
      <c r="AO1100" s="194">
        <f t="shared" si="320"/>
        <v>42</v>
      </c>
    </row>
    <row r="1101" spans="22:41" x14ac:dyDescent="0.2">
      <c r="V1101" s="181">
        <f t="shared" si="321"/>
        <v>531.5</v>
      </c>
      <c r="W1101" s="181">
        <f t="shared" si="311"/>
        <v>1063</v>
      </c>
      <c r="X1101" s="181">
        <f t="shared" si="322"/>
        <v>1</v>
      </c>
      <c r="Y1101" s="37">
        <f t="shared" si="323"/>
        <v>1917.1</v>
      </c>
      <c r="Z1101" s="181">
        <f t="shared" si="312"/>
        <v>729.5</v>
      </c>
      <c r="AA1101" s="127">
        <f t="shared" si="313"/>
        <v>595.21331999999995</v>
      </c>
      <c r="AB1101" s="127">
        <f t="shared" si="314"/>
        <v>729.5</v>
      </c>
      <c r="AC1101" s="37">
        <f t="shared" si="306"/>
        <v>4777</v>
      </c>
      <c r="AD1101" s="37">
        <f t="shared" si="315"/>
        <v>6694.1</v>
      </c>
      <c r="AE1101" s="181">
        <f t="shared" si="307"/>
        <v>42</v>
      </c>
      <c r="AF1101" s="37">
        <f t="shared" si="324"/>
        <v>29484</v>
      </c>
      <c r="AG1101" s="181">
        <f t="shared" si="308"/>
        <v>1745.3</v>
      </c>
      <c r="AH1101" s="111">
        <f t="shared" si="316"/>
        <v>1161.0889919999997</v>
      </c>
      <c r="AI1101" s="127">
        <f t="shared" si="317"/>
        <v>1745.3</v>
      </c>
      <c r="AJ1101" s="37">
        <f t="shared" si="309"/>
        <v>10871.8</v>
      </c>
      <c r="AK1101" s="37">
        <f t="shared" si="318"/>
        <v>40355.800000000003</v>
      </c>
      <c r="AL1101" s="37">
        <f t="shared" si="310"/>
        <v>6.2973659454374413</v>
      </c>
      <c r="AN1101" s="37" t="str">
        <f t="shared" si="319"/>
        <v>Pallet</v>
      </c>
      <c r="AO1101" s="194">
        <f t="shared" si="320"/>
        <v>42</v>
      </c>
    </row>
    <row r="1102" spans="22:41" x14ac:dyDescent="0.2">
      <c r="V1102" s="181">
        <f t="shared" si="321"/>
        <v>532</v>
      </c>
      <c r="W1102" s="181">
        <f t="shared" si="311"/>
        <v>1064</v>
      </c>
      <c r="X1102" s="181">
        <f t="shared" si="322"/>
        <v>1</v>
      </c>
      <c r="Y1102" s="37">
        <f t="shared" si="323"/>
        <v>1917.1</v>
      </c>
      <c r="Z1102" s="181">
        <f t="shared" si="312"/>
        <v>730</v>
      </c>
      <c r="AA1102" s="127">
        <f t="shared" si="313"/>
        <v>595.21331999999995</v>
      </c>
      <c r="AB1102" s="127">
        <f t="shared" si="314"/>
        <v>730</v>
      </c>
      <c r="AC1102" s="37">
        <f t="shared" si="306"/>
        <v>4780</v>
      </c>
      <c r="AD1102" s="37">
        <f t="shared" si="315"/>
        <v>6697.1</v>
      </c>
      <c r="AE1102" s="181">
        <f t="shared" si="307"/>
        <v>42</v>
      </c>
      <c r="AF1102" s="37">
        <f t="shared" si="324"/>
        <v>29484</v>
      </c>
      <c r="AG1102" s="181">
        <f t="shared" si="308"/>
        <v>1745.8</v>
      </c>
      <c r="AH1102" s="111">
        <f t="shared" si="316"/>
        <v>1161.0889919999997</v>
      </c>
      <c r="AI1102" s="127">
        <f t="shared" si="317"/>
        <v>1745.8</v>
      </c>
      <c r="AJ1102" s="37">
        <f t="shared" si="309"/>
        <v>10874.8</v>
      </c>
      <c r="AK1102" s="37">
        <f t="shared" si="318"/>
        <v>40358.800000000003</v>
      </c>
      <c r="AL1102" s="37">
        <f t="shared" si="310"/>
        <v>6.2942669172932337</v>
      </c>
      <c r="AN1102" s="37" t="str">
        <f t="shared" si="319"/>
        <v>Pallet</v>
      </c>
      <c r="AO1102" s="194">
        <f t="shared" si="320"/>
        <v>42</v>
      </c>
    </row>
    <row r="1103" spans="22:41" x14ac:dyDescent="0.2">
      <c r="V1103" s="181">
        <f t="shared" si="321"/>
        <v>532.5</v>
      </c>
      <c r="W1103" s="181">
        <f t="shared" si="311"/>
        <v>1065</v>
      </c>
      <c r="X1103" s="181">
        <f t="shared" si="322"/>
        <v>1</v>
      </c>
      <c r="Y1103" s="37">
        <f t="shared" si="323"/>
        <v>1917.1</v>
      </c>
      <c r="Z1103" s="181">
        <f t="shared" si="312"/>
        <v>730.5</v>
      </c>
      <c r="AA1103" s="127">
        <f t="shared" si="313"/>
        <v>595.21331999999995</v>
      </c>
      <c r="AB1103" s="127">
        <f t="shared" si="314"/>
        <v>730.5</v>
      </c>
      <c r="AC1103" s="37">
        <f t="shared" si="306"/>
        <v>4783</v>
      </c>
      <c r="AD1103" s="37">
        <f t="shared" si="315"/>
        <v>6700.1</v>
      </c>
      <c r="AE1103" s="181">
        <f t="shared" si="307"/>
        <v>42</v>
      </c>
      <c r="AF1103" s="37">
        <f t="shared" si="324"/>
        <v>29484</v>
      </c>
      <c r="AG1103" s="181">
        <f t="shared" si="308"/>
        <v>1746.3</v>
      </c>
      <c r="AH1103" s="111">
        <f t="shared" si="316"/>
        <v>1161.0889919999997</v>
      </c>
      <c r="AI1103" s="127">
        <f t="shared" si="317"/>
        <v>1746.3</v>
      </c>
      <c r="AJ1103" s="37">
        <f t="shared" si="309"/>
        <v>10877.8</v>
      </c>
      <c r="AK1103" s="37">
        <f t="shared" si="318"/>
        <v>40361.800000000003</v>
      </c>
      <c r="AL1103" s="37">
        <f t="shared" si="310"/>
        <v>6.291173708920188</v>
      </c>
      <c r="AN1103" s="37" t="str">
        <f t="shared" si="319"/>
        <v>Pallet</v>
      </c>
      <c r="AO1103" s="194">
        <f t="shared" si="320"/>
        <v>42</v>
      </c>
    </row>
    <row r="1104" spans="22:41" x14ac:dyDescent="0.2">
      <c r="V1104" s="181">
        <f t="shared" si="321"/>
        <v>533</v>
      </c>
      <c r="W1104" s="181">
        <f t="shared" si="311"/>
        <v>1066</v>
      </c>
      <c r="X1104" s="181">
        <f t="shared" si="322"/>
        <v>1</v>
      </c>
      <c r="Y1104" s="37">
        <f t="shared" si="323"/>
        <v>1917.1</v>
      </c>
      <c r="Z1104" s="181">
        <f t="shared" si="312"/>
        <v>731</v>
      </c>
      <c r="AA1104" s="127">
        <f t="shared" si="313"/>
        <v>595.21331999999995</v>
      </c>
      <c r="AB1104" s="127">
        <f t="shared" si="314"/>
        <v>731</v>
      </c>
      <c r="AC1104" s="37">
        <f t="shared" si="306"/>
        <v>4786</v>
      </c>
      <c r="AD1104" s="37">
        <f t="shared" si="315"/>
        <v>6703.1</v>
      </c>
      <c r="AE1104" s="181">
        <f t="shared" si="307"/>
        <v>42</v>
      </c>
      <c r="AF1104" s="37">
        <f t="shared" si="324"/>
        <v>29484</v>
      </c>
      <c r="AG1104" s="181">
        <f t="shared" si="308"/>
        <v>1746.8</v>
      </c>
      <c r="AH1104" s="111">
        <f t="shared" si="316"/>
        <v>1161.0889919999997</v>
      </c>
      <c r="AI1104" s="127">
        <f t="shared" si="317"/>
        <v>1746.8</v>
      </c>
      <c r="AJ1104" s="37">
        <f t="shared" si="309"/>
        <v>10880.8</v>
      </c>
      <c r="AK1104" s="37">
        <f t="shared" si="318"/>
        <v>40364.800000000003</v>
      </c>
      <c r="AL1104" s="37">
        <f t="shared" si="310"/>
        <v>6.2880863039399628</v>
      </c>
      <c r="AN1104" s="37" t="str">
        <f t="shared" si="319"/>
        <v>Pallet</v>
      </c>
      <c r="AO1104" s="194">
        <f t="shared" si="320"/>
        <v>42</v>
      </c>
    </row>
    <row r="1105" spans="22:41" x14ac:dyDescent="0.2">
      <c r="V1105" s="181">
        <f t="shared" si="321"/>
        <v>533.5</v>
      </c>
      <c r="W1105" s="181">
        <f t="shared" si="311"/>
        <v>1067</v>
      </c>
      <c r="X1105" s="181">
        <f t="shared" si="322"/>
        <v>1</v>
      </c>
      <c r="Y1105" s="37">
        <f t="shared" si="323"/>
        <v>1917.1</v>
      </c>
      <c r="Z1105" s="181">
        <f t="shared" si="312"/>
        <v>731.5</v>
      </c>
      <c r="AA1105" s="127">
        <f t="shared" si="313"/>
        <v>595.21331999999995</v>
      </c>
      <c r="AB1105" s="127">
        <f t="shared" si="314"/>
        <v>731.5</v>
      </c>
      <c r="AC1105" s="37">
        <f t="shared" si="306"/>
        <v>4789</v>
      </c>
      <c r="AD1105" s="37">
        <f t="shared" si="315"/>
        <v>6706.1</v>
      </c>
      <c r="AE1105" s="181">
        <f t="shared" si="307"/>
        <v>42</v>
      </c>
      <c r="AF1105" s="37">
        <f t="shared" si="324"/>
        <v>29484</v>
      </c>
      <c r="AG1105" s="181">
        <f t="shared" si="308"/>
        <v>1747.3</v>
      </c>
      <c r="AH1105" s="111">
        <f t="shared" si="316"/>
        <v>1161.0889919999997</v>
      </c>
      <c r="AI1105" s="127">
        <f t="shared" si="317"/>
        <v>1747.3</v>
      </c>
      <c r="AJ1105" s="37">
        <f t="shared" si="309"/>
        <v>10883.8</v>
      </c>
      <c r="AK1105" s="37">
        <f t="shared" si="318"/>
        <v>40367.800000000003</v>
      </c>
      <c r="AL1105" s="37">
        <f t="shared" si="310"/>
        <v>6.2850046860356139</v>
      </c>
      <c r="AN1105" s="37" t="str">
        <f t="shared" si="319"/>
        <v>Pallet</v>
      </c>
      <c r="AO1105" s="194">
        <f t="shared" si="320"/>
        <v>42</v>
      </c>
    </row>
    <row r="1106" spans="22:41" x14ac:dyDescent="0.2">
      <c r="V1106" s="181">
        <f t="shared" si="321"/>
        <v>534</v>
      </c>
      <c r="W1106" s="181">
        <f t="shared" si="311"/>
        <v>1068</v>
      </c>
      <c r="X1106" s="181">
        <f t="shared" si="322"/>
        <v>1</v>
      </c>
      <c r="Y1106" s="37">
        <f t="shared" si="323"/>
        <v>1917.1</v>
      </c>
      <c r="Z1106" s="181">
        <f t="shared" si="312"/>
        <v>732</v>
      </c>
      <c r="AA1106" s="127">
        <f t="shared" si="313"/>
        <v>595.21331999999995</v>
      </c>
      <c r="AB1106" s="127">
        <f t="shared" si="314"/>
        <v>732</v>
      </c>
      <c r="AC1106" s="37">
        <f t="shared" si="306"/>
        <v>4792</v>
      </c>
      <c r="AD1106" s="37">
        <f t="shared" si="315"/>
        <v>6709.1</v>
      </c>
      <c r="AE1106" s="181">
        <f t="shared" si="307"/>
        <v>42</v>
      </c>
      <c r="AF1106" s="37">
        <f t="shared" si="324"/>
        <v>29484</v>
      </c>
      <c r="AG1106" s="181">
        <f t="shared" si="308"/>
        <v>1747.8</v>
      </c>
      <c r="AH1106" s="111">
        <f t="shared" si="316"/>
        <v>1161.0889919999997</v>
      </c>
      <c r="AI1106" s="127">
        <f t="shared" si="317"/>
        <v>1747.8</v>
      </c>
      <c r="AJ1106" s="37">
        <f t="shared" si="309"/>
        <v>10886.8</v>
      </c>
      <c r="AK1106" s="37">
        <f t="shared" si="318"/>
        <v>40370.800000000003</v>
      </c>
      <c r="AL1106" s="37">
        <f t="shared" si="310"/>
        <v>6.2819288389513108</v>
      </c>
      <c r="AN1106" s="37" t="str">
        <f t="shared" si="319"/>
        <v>Pallet</v>
      </c>
      <c r="AO1106" s="194">
        <f t="shared" si="320"/>
        <v>42</v>
      </c>
    </row>
    <row r="1107" spans="22:41" x14ac:dyDescent="0.2">
      <c r="V1107" s="181">
        <f t="shared" si="321"/>
        <v>534.5</v>
      </c>
      <c r="W1107" s="181">
        <f t="shared" si="311"/>
        <v>1069</v>
      </c>
      <c r="X1107" s="181">
        <f t="shared" si="322"/>
        <v>1</v>
      </c>
      <c r="Y1107" s="37">
        <f t="shared" si="323"/>
        <v>1917.1</v>
      </c>
      <c r="Z1107" s="181">
        <f t="shared" si="312"/>
        <v>732.5</v>
      </c>
      <c r="AA1107" s="127">
        <f t="shared" si="313"/>
        <v>595.21331999999995</v>
      </c>
      <c r="AB1107" s="127">
        <f t="shared" si="314"/>
        <v>732.5</v>
      </c>
      <c r="AC1107" s="37">
        <f t="shared" si="306"/>
        <v>4795</v>
      </c>
      <c r="AD1107" s="37">
        <f t="shared" si="315"/>
        <v>6712.1</v>
      </c>
      <c r="AE1107" s="181">
        <f t="shared" si="307"/>
        <v>42</v>
      </c>
      <c r="AF1107" s="37">
        <f t="shared" si="324"/>
        <v>29484</v>
      </c>
      <c r="AG1107" s="181">
        <f t="shared" si="308"/>
        <v>1748.3</v>
      </c>
      <c r="AH1107" s="111">
        <f t="shared" si="316"/>
        <v>1161.0889919999997</v>
      </c>
      <c r="AI1107" s="127">
        <f t="shared" si="317"/>
        <v>1748.3</v>
      </c>
      <c r="AJ1107" s="37">
        <f t="shared" si="309"/>
        <v>10889.8</v>
      </c>
      <c r="AK1107" s="37">
        <f t="shared" si="318"/>
        <v>40373.800000000003</v>
      </c>
      <c r="AL1107" s="37">
        <f t="shared" si="310"/>
        <v>6.2788587464920491</v>
      </c>
      <c r="AN1107" s="37" t="str">
        <f t="shared" si="319"/>
        <v>Pallet</v>
      </c>
      <c r="AO1107" s="194">
        <f t="shared" si="320"/>
        <v>42</v>
      </c>
    </row>
    <row r="1108" spans="22:41" x14ac:dyDescent="0.2">
      <c r="V1108" s="181">
        <f t="shared" si="321"/>
        <v>535</v>
      </c>
      <c r="W1108" s="181">
        <f t="shared" si="311"/>
        <v>1070</v>
      </c>
      <c r="X1108" s="181">
        <f t="shared" si="322"/>
        <v>1</v>
      </c>
      <c r="Y1108" s="37">
        <f t="shared" si="323"/>
        <v>1917.1</v>
      </c>
      <c r="Z1108" s="181">
        <f t="shared" si="312"/>
        <v>733</v>
      </c>
      <c r="AA1108" s="127">
        <f t="shared" si="313"/>
        <v>595.21331999999995</v>
      </c>
      <c r="AB1108" s="127">
        <f t="shared" si="314"/>
        <v>733</v>
      </c>
      <c r="AC1108" s="37">
        <f t="shared" si="306"/>
        <v>4798</v>
      </c>
      <c r="AD1108" s="37">
        <f t="shared" si="315"/>
        <v>6715.1</v>
      </c>
      <c r="AE1108" s="181">
        <f t="shared" si="307"/>
        <v>42</v>
      </c>
      <c r="AF1108" s="37">
        <f t="shared" si="324"/>
        <v>29484</v>
      </c>
      <c r="AG1108" s="181">
        <f t="shared" si="308"/>
        <v>1748.8</v>
      </c>
      <c r="AH1108" s="111">
        <f t="shared" si="316"/>
        <v>1161.0889919999997</v>
      </c>
      <c r="AI1108" s="127">
        <f t="shared" si="317"/>
        <v>1748.8</v>
      </c>
      <c r="AJ1108" s="37">
        <f t="shared" si="309"/>
        <v>10892.8</v>
      </c>
      <c r="AK1108" s="37">
        <f t="shared" si="318"/>
        <v>40376.800000000003</v>
      </c>
      <c r="AL1108" s="37">
        <f t="shared" si="310"/>
        <v>6.2757943925233652</v>
      </c>
      <c r="AN1108" s="37" t="str">
        <f t="shared" si="319"/>
        <v>Pallet</v>
      </c>
      <c r="AO1108" s="194">
        <f t="shared" si="320"/>
        <v>42</v>
      </c>
    </row>
    <row r="1109" spans="22:41" x14ac:dyDescent="0.2">
      <c r="V1109" s="181">
        <f t="shared" si="321"/>
        <v>535.5</v>
      </c>
      <c r="W1109" s="181">
        <f t="shared" si="311"/>
        <v>1071</v>
      </c>
      <c r="X1109" s="181">
        <f t="shared" si="322"/>
        <v>1</v>
      </c>
      <c r="Y1109" s="37">
        <f t="shared" si="323"/>
        <v>1917.1</v>
      </c>
      <c r="Z1109" s="181">
        <f t="shared" si="312"/>
        <v>733.5</v>
      </c>
      <c r="AA1109" s="127">
        <f t="shared" si="313"/>
        <v>595.21331999999995</v>
      </c>
      <c r="AB1109" s="127">
        <f t="shared" si="314"/>
        <v>733.5</v>
      </c>
      <c r="AC1109" s="37">
        <f t="shared" si="306"/>
        <v>4801</v>
      </c>
      <c r="AD1109" s="37">
        <f t="shared" si="315"/>
        <v>6718.1</v>
      </c>
      <c r="AE1109" s="181">
        <f t="shared" si="307"/>
        <v>42</v>
      </c>
      <c r="AF1109" s="37">
        <f t="shared" si="324"/>
        <v>29484</v>
      </c>
      <c r="AG1109" s="181">
        <f t="shared" si="308"/>
        <v>1749.3</v>
      </c>
      <c r="AH1109" s="111">
        <f t="shared" si="316"/>
        <v>1161.0889919999997</v>
      </c>
      <c r="AI1109" s="127">
        <f t="shared" si="317"/>
        <v>1749.3</v>
      </c>
      <c r="AJ1109" s="37">
        <f t="shared" si="309"/>
        <v>10895.8</v>
      </c>
      <c r="AK1109" s="37">
        <f t="shared" si="318"/>
        <v>40379.800000000003</v>
      </c>
      <c r="AL1109" s="37">
        <f t="shared" si="310"/>
        <v>6.272735760971055</v>
      </c>
      <c r="AN1109" s="37" t="str">
        <f t="shared" si="319"/>
        <v>Pallet</v>
      </c>
      <c r="AO1109" s="194">
        <f t="shared" si="320"/>
        <v>42</v>
      </c>
    </row>
    <row r="1110" spans="22:41" x14ac:dyDescent="0.2">
      <c r="V1110" s="181">
        <f t="shared" si="321"/>
        <v>536</v>
      </c>
      <c r="W1110" s="181">
        <f t="shared" si="311"/>
        <v>1072</v>
      </c>
      <c r="X1110" s="181">
        <f t="shared" si="322"/>
        <v>1</v>
      </c>
      <c r="Y1110" s="37">
        <f t="shared" si="323"/>
        <v>1917.1</v>
      </c>
      <c r="Z1110" s="181">
        <f t="shared" si="312"/>
        <v>734</v>
      </c>
      <c r="AA1110" s="127">
        <f t="shared" si="313"/>
        <v>595.21331999999995</v>
      </c>
      <c r="AB1110" s="127">
        <f t="shared" si="314"/>
        <v>734</v>
      </c>
      <c r="AC1110" s="37">
        <f t="shared" si="306"/>
        <v>4804</v>
      </c>
      <c r="AD1110" s="37">
        <f t="shared" si="315"/>
        <v>6721.1</v>
      </c>
      <c r="AE1110" s="181">
        <f t="shared" si="307"/>
        <v>42</v>
      </c>
      <c r="AF1110" s="37">
        <f t="shared" si="324"/>
        <v>29484</v>
      </c>
      <c r="AG1110" s="181">
        <f t="shared" si="308"/>
        <v>1749.8</v>
      </c>
      <c r="AH1110" s="111">
        <f t="shared" si="316"/>
        <v>1161.0889919999997</v>
      </c>
      <c r="AI1110" s="127">
        <f t="shared" si="317"/>
        <v>1749.8</v>
      </c>
      <c r="AJ1110" s="37">
        <f t="shared" si="309"/>
        <v>10898.8</v>
      </c>
      <c r="AK1110" s="37">
        <f t="shared" si="318"/>
        <v>40382.800000000003</v>
      </c>
      <c r="AL1110" s="37">
        <f t="shared" si="310"/>
        <v>6.2696828358208956</v>
      </c>
      <c r="AN1110" s="37" t="str">
        <f t="shared" si="319"/>
        <v>Pallet</v>
      </c>
      <c r="AO1110" s="194">
        <f t="shared" si="320"/>
        <v>42</v>
      </c>
    </row>
    <row r="1111" spans="22:41" x14ac:dyDescent="0.2">
      <c r="V1111" s="181">
        <f t="shared" si="321"/>
        <v>536.5</v>
      </c>
      <c r="W1111" s="181">
        <f t="shared" si="311"/>
        <v>1073</v>
      </c>
      <c r="X1111" s="181">
        <f t="shared" si="322"/>
        <v>1</v>
      </c>
      <c r="Y1111" s="37">
        <f t="shared" si="323"/>
        <v>1917.1</v>
      </c>
      <c r="Z1111" s="181">
        <f t="shared" si="312"/>
        <v>734.5</v>
      </c>
      <c r="AA1111" s="127">
        <f t="shared" si="313"/>
        <v>595.21331999999995</v>
      </c>
      <c r="AB1111" s="127">
        <f t="shared" si="314"/>
        <v>734.5</v>
      </c>
      <c r="AC1111" s="37">
        <f t="shared" si="306"/>
        <v>4807</v>
      </c>
      <c r="AD1111" s="37">
        <f t="shared" si="315"/>
        <v>6724.1</v>
      </c>
      <c r="AE1111" s="181">
        <f t="shared" si="307"/>
        <v>42</v>
      </c>
      <c r="AF1111" s="37">
        <f t="shared" si="324"/>
        <v>29484</v>
      </c>
      <c r="AG1111" s="181">
        <f t="shared" si="308"/>
        <v>1750.3</v>
      </c>
      <c r="AH1111" s="111">
        <f t="shared" si="316"/>
        <v>1161.0889919999997</v>
      </c>
      <c r="AI1111" s="127">
        <f t="shared" si="317"/>
        <v>1750.3</v>
      </c>
      <c r="AJ1111" s="37">
        <f t="shared" si="309"/>
        <v>10901.8</v>
      </c>
      <c r="AK1111" s="37">
        <f t="shared" si="318"/>
        <v>40385.800000000003</v>
      </c>
      <c r="AL1111" s="37">
        <f t="shared" si="310"/>
        <v>6.2666356011183604</v>
      </c>
      <c r="AN1111" s="37" t="str">
        <f t="shared" si="319"/>
        <v>Pallet</v>
      </c>
      <c r="AO1111" s="194">
        <f t="shared" si="320"/>
        <v>42</v>
      </c>
    </row>
    <row r="1112" spans="22:41" x14ac:dyDescent="0.2">
      <c r="V1112" s="181">
        <f t="shared" si="321"/>
        <v>537</v>
      </c>
      <c r="W1112" s="181">
        <f t="shared" si="311"/>
        <v>1074</v>
      </c>
      <c r="X1112" s="181">
        <f t="shared" si="322"/>
        <v>1</v>
      </c>
      <c r="Y1112" s="37">
        <f t="shared" si="323"/>
        <v>1917.1</v>
      </c>
      <c r="Z1112" s="181">
        <f t="shared" si="312"/>
        <v>735</v>
      </c>
      <c r="AA1112" s="127">
        <f t="shared" si="313"/>
        <v>595.21331999999995</v>
      </c>
      <c r="AB1112" s="127">
        <f t="shared" si="314"/>
        <v>735</v>
      </c>
      <c r="AC1112" s="37">
        <f t="shared" si="306"/>
        <v>4810</v>
      </c>
      <c r="AD1112" s="37">
        <f t="shared" si="315"/>
        <v>6727.1</v>
      </c>
      <c r="AE1112" s="181">
        <f t="shared" si="307"/>
        <v>42</v>
      </c>
      <c r="AF1112" s="37">
        <f t="shared" si="324"/>
        <v>29484</v>
      </c>
      <c r="AG1112" s="181">
        <f t="shared" si="308"/>
        <v>1750.8</v>
      </c>
      <c r="AH1112" s="111">
        <f t="shared" si="316"/>
        <v>1161.0889919999997</v>
      </c>
      <c r="AI1112" s="127">
        <f t="shared" si="317"/>
        <v>1750.8</v>
      </c>
      <c r="AJ1112" s="37">
        <f t="shared" si="309"/>
        <v>10904.8</v>
      </c>
      <c r="AK1112" s="37">
        <f t="shared" si="318"/>
        <v>40388.800000000003</v>
      </c>
      <c r="AL1112" s="37">
        <f t="shared" si="310"/>
        <v>6.2635940409683428</v>
      </c>
      <c r="AN1112" s="37" t="str">
        <f t="shared" si="319"/>
        <v>Pallet</v>
      </c>
      <c r="AO1112" s="194">
        <f t="shared" si="320"/>
        <v>42</v>
      </c>
    </row>
    <row r="1113" spans="22:41" x14ac:dyDescent="0.2">
      <c r="V1113" s="181">
        <f t="shared" si="321"/>
        <v>537.5</v>
      </c>
      <c r="W1113" s="181">
        <f t="shared" si="311"/>
        <v>1075</v>
      </c>
      <c r="X1113" s="181">
        <f t="shared" si="322"/>
        <v>1</v>
      </c>
      <c r="Y1113" s="37">
        <f t="shared" si="323"/>
        <v>1917.1</v>
      </c>
      <c r="Z1113" s="181">
        <f t="shared" si="312"/>
        <v>735.5</v>
      </c>
      <c r="AA1113" s="127">
        <f t="shared" si="313"/>
        <v>595.21331999999995</v>
      </c>
      <c r="AB1113" s="127">
        <f t="shared" si="314"/>
        <v>735.5</v>
      </c>
      <c r="AC1113" s="37">
        <f t="shared" si="306"/>
        <v>4813</v>
      </c>
      <c r="AD1113" s="37">
        <f t="shared" si="315"/>
        <v>6730.1</v>
      </c>
      <c r="AE1113" s="181">
        <f t="shared" si="307"/>
        <v>42</v>
      </c>
      <c r="AF1113" s="37">
        <f t="shared" si="324"/>
        <v>29484</v>
      </c>
      <c r="AG1113" s="181">
        <f t="shared" si="308"/>
        <v>1751.3</v>
      </c>
      <c r="AH1113" s="111">
        <f t="shared" si="316"/>
        <v>1161.0889919999997</v>
      </c>
      <c r="AI1113" s="127">
        <f t="shared" si="317"/>
        <v>1751.3</v>
      </c>
      <c r="AJ1113" s="37">
        <f t="shared" si="309"/>
        <v>10907.8</v>
      </c>
      <c r="AK1113" s="37">
        <f t="shared" si="318"/>
        <v>40391.800000000003</v>
      </c>
      <c r="AL1113" s="37">
        <f t="shared" si="310"/>
        <v>6.2605581395348837</v>
      </c>
      <c r="AN1113" s="37" t="str">
        <f t="shared" si="319"/>
        <v>Pallet</v>
      </c>
      <c r="AO1113" s="194">
        <f t="shared" si="320"/>
        <v>42</v>
      </c>
    </row>
    <row r="1114" spans="22:41" x14ac:dyDescent="0.2">
      <c r="V1114" s="181">
        <f t="shared" si="321"/>
        <v>538</v>
      </c>
      <c r="W1114" s="181">
        <f t="shared" si="311"/>
        <v>1076</v>
      </c>
      <c r="X1114" s="181">
        <f t="shared" si="322"/>
        <v>1</v>
      </c>
      <c r="Y1114" s="37">
        <f t="shared" si="323"/>
        <v>1917.1</v>
      </c>
      <c r="Z1114" s="181">
        <f t="shared" si="312"/>
        <v>736</v>
      </c>
      <c r="AA1114" s="127">
        <f t="shared" si="313"/>
        <v>595.21331999999995</v>
      </c>
      <c r="AB1114" s="127">
        <f t="shared" si="314"/>
        <v>736</v>
      </c>
      <c r="AC1114" s="37">
        <f t="shared" si="306"/>
        <v>4816</v>
      </c>
      <c r="AD1114" s="37">
        <f t="shared" si="315"/>
        <v>6733.1</v>
      </c>
      <c r="AE1114" s="181">
        <f t="shared" si="307"/>
        <v>42</v>
      </c>
      <c r="AF1114" s="37">
        <f t="shared" si="324"/>
        <v>29484</v>
      </c>
      <c r="AG1114" s="181">
        <f t="shared" si="308"/>
        <v>1751.8</v>
      </c>
      <c r="AH1114" s="111">
        <f t="shared" si="316"/>
        <v>1161.0889919999997</v>
      </c>
      <c r="AI1114" s="127">
        <f t="shared" si="317"/>
        <v>1751.8</v>
      </c>
      <c r="AJ1114" s="37">
        <f t="shared" si="309"/>
        <v>10910.8</v>
      </c>
      <c r="AK1114" s="37">
        <f t="shared" si="318"/>
        <v>40394.800000000003</v>
      </c>
      <c r="AL1114" s="37">
        <f t="shared" si="310"/>
        <v>6.2575278810408923</v>
      </c>
      <c r="AN1114" s="37" t="str">
        <f t="shared" si="319"/>
        <v>Pallet</v>
      </c>
      <c r="AO1114" s="194">
        <f t="shared" si="320"/>
        <v>42</v>
      </c>
    </row>
    <row r="1115" spans="22:41" x14ac:dyDescent="0.2">
      <c r="V1115" s="181">
        <f t="shared" si="321"/>
        <v>538.5</v>
      </c>
      <c r="W1115" s="181">
        <f t="shared" si="311"/>
        <v>1077</v>
      </c>
      <c r="X1115" s="181">
        <f t="shared" si="322"/>
        <v>1</v>
      </c>
      <c r="Y1115" s="37">
        <f t="shared" si="323"/>
        <v>1917.1</v>
      </c>
      <c r="Z1115" s="181">
        <f t="shared" si="312"/>
        <v>736.5</v>
      </c>
      <c r="AA1115" s="127">
        <f t="shared" si="313"/>
        <v>595.21331999999995</v>
      </c>
      <c r="AB1115" s="127">
        <f t="shared" si="314"/>
        <v>736.5</v>
      </c>
      <c r="AC1115" s="37">
        <f t="shared" si="306"/>
        <v>4819</v>
      </c>
      <c r="AD1115" s="37">
        <f t="shared" si="315"/>
        <v>6736.1</v>
      </c>
      <c r="AE1115" s="181">
        <f t="shared" si="307"/>
        <v>42</v>
      </c>
      <c r="AF1115" s="37">
        <f t="shared" si="324"/>
        <v>29484</v>
      </c>
      <c r="AG1115" s="181">
        <f t="shared" si="308"/>
        <v>1752.3</v>
      </c>
      <c r="AH1115" s="111">
        <f t="shared" si="316"/>
        <v>1161.0889919999997</v>
      </c>
      <c r="AI1115" s="127">
        <f t="shared" si="317"/>
        <v>1752.3</v>
      </c>
      <c r="AJ1115" s="37">
        <f t="shared" si="309"/>
        <v>10913.8</v>
      </c>
      <c r="AK1115" s="37">
        <f t="shared" si="318"/>
        <v>40397.800000000003</v>
      </c>
      <c r="AL1115" s="37">
        <f t="shared" si="310"/>
        <v>6.2545032497678736</v>
      </c>
      <c r="AN1115" s="37" t="str">
        <f t="shared" si="319"/>
        <v>Pallet</v>
      </c>
      <c r="AO1115" s="194">
        <f t="shared" si="320"/>
        <v>42</v>
      </c>
    </row>
    <row r="1116" spans="22:41" x14ac:dyDescent="0.2">
      <c r="V1116" s="181">
        <f t="shared" si="321"/>
        <v>539</v>
      </c>
      <c r="W1116" s="181">
        <f t="shared" si="311"/>
        <v>1078</v>
      </c>
      <c r="X1116" s="181">
        <f t="shared" si="322"/>
        <v>1</v>
      </c>
      <c r="Y1116" s="37">
        <f t="shared" si="323"/>
        <v>1917.1</v>
      </c>
      <c r="Z1116" s="181">
        <f t="shared" si="312"/>
        <v>737</v>
      </c>
      <c r="AA1116" s="127">
        <f t="shared" si="313"/>
        <v>595.21331999999995</v>
      </c>
      <c r="AB1116" s="127">
        <f t="shared" si="314"/>
        <v>737</v>
      </c>
      <c r="AC1116" s="37">
        <f t="shared" si="306"/>
        <v>4822</v>
      </c>
      <c r="AD1116" s="37">
        <f t="shared" si="315"/>
        <v>6739.1</v>
      </c>
      <c r="AE1116" s="181">
        <f t="shared" si="307"/>
        <v>42</v>
      </c>
      <c r="AF1116" s="37">
        <f t="shared" si="324"/>
        <v>29484</v>
      </c>
      <c r="AG1116" s="181">
        <f t="shared" si="308"/>
        <v>1752.8</v>
      </c>
      <c r="AH1116" s="111">
        <f t="shared" si="316"/>
        <v>1161.0889919999997</v>
      </c>
      <c r="AI1116" s="127">
        <f t="shared" si="317"/>
        <v>1752.8</v>
      </c>
      <c r="AJ1116" s="37">
        <f t="shared" si="309"/>
        <v>10916.8</v>
      </c>
      <c r="AK1116" s="37">
        <f t="shared" si="318"/>
        <v>40400.800000000003</v>
      </c>
      <c r="AL1116" s="37">
        <f t="shared" si="310"/>
        <v>6.2514842300556586</v>
      </c>
      <c r="AN1116" s="37" t="str">
        <f t="shared" si="319"/>
        <v>Pallet</v>
      </c>
      <c r="AO1116" s="194">
        <f t="shared" si="320"/>
        <v>42</v>
      </c>
    </row>
    <row r="1117" spans="22:41" x14ac:dyDescent="0.2">
      <c r="V1117" s="181">
        <f t="shared" si="321"/>
        <v>539.5</v>
      </c>
      <c r="W1117" s="181">
        <f t="shared" si="311"/>
        <v>1079</v>
      </c>
      <c r="X1117" s="181">
        <f t="shared" si="322"/>
        <v>1</v>
      </c>
      <c r="Y1117" s="37">
        <f t="shared" si="323"/>
        <v>1917.1</v>
      </c>
      <c r="Z1117" s="181">
        <f t="shared" si="312"/>
        <v>737.5</v>
      </c>
      <c r="AA1117" s="127">
        <f t="shared" si="313"/>
        <v>595.21331999999995</v>
      </c>
      <c r="AB1117" s="127">
        <f t="shared" si="314"/>
        <v>737.5</v>
      </c>
      <c r="AC1117" s="37">
        <f t="shared" si="306"/>
        <v>4825</v>
      </c>
      <c r="AD1117" s="37">
        <f t="shared" si="315"/>
        <v>6742.1</v>
      </c>
      <c r="AE1117" s="181">
        <f t="shared" si="307"/>
        <v>42</v>
      </c>
      <c r="AF1117" s="37">
        <f t="shared" si="324"/>
        <v>29484</v>
      </c>
      <c r="AG1117" s="181">
        <f t="shared" si="308"/>
        <v>1753.3</v>
      </c>
      <c r="AH1117" s="111">
        <f t="shared" si="316"/>
        <v>1161.0889919999997</v>
      </c>
      <c r="AI1117" s="127">
        <f t="shared" si="317"/>
        <v>1753.3</v>
      </c>
      <c r="AJ1117" s="37">
        <f t="shared" si="309"/>
        <v>10919.8</v>
      </c>
      <c r="AK1117" s="37">
        <f t="shared" si="318"/>
        <v>40403.800000000003</v>
      </c>
      <c r="AL1117" s="37">
        <f t="shared" si="310"/>
        <v>6.2484708063021319</v>
      </c>
      <c r="AN1117" s="37" t="str">
        <f t="shared" si="319"/>
        <v>Pallet</v>
      </c>
      <c r="AO1117" s="194">
        <f t="shared" si="320"/>
        <v>42</v>
      </c>
    </row>
    <row r="1118" spans="22:41" x14ac:dyDescent="0.2">
      <c r="V1118" s="181">
        <f t="shared" si="321"/>
        <v>540</v>
      </c>
      <c r="W1118" s="181">
        <f t="shared" si="311"/>
        <v>1080</v>
      </c>
      <c r="X1118" s="181">
        <f t="shared" si="322"/>
        <v>1</v>
      </c>
      <c r="Y1118" s="37">
        <f t="shared" si="323"/>
        <v>1917.1</v>
      </c>
      <c r="Z1118" s="181">
        <f t="shared" si="312"/>
        <v>738</v>
      </c>
      <c r="AA1118" s="127">
        <f t="shared" si="313"/>
        <v>595.21331999999995</v>
      </c>
      <c r="AB1118" s="127">
        <f t="shared" si="314"/>
        <v>738</v>
      </c>
      <c r="AC1118" s="37">
        <f t="shared" si="306"/>
        <v>4828</v>
      </c>
      <c r="AD1118" s="37">
        <f t="shared" si="315"/>
        <v>6745.1</v>
      </c>
      <c r="AE1118" s="181">
        <f t="shared" si="307"/>
        <v>42</v>
      </c>
      <c r="AF1118" s="37">
        <f t="shared" si="324"/>
        <v>29484</v>
      </c>
      <c r="AG1118" s="181">
        <f t="shared" si="308"/>
        <v>1753.8</v>
      </c>
      <c r="AH1118" s="111">
        <f t="shared" si="316"/>
        <v>1161.0889919999997</v>
      </c>
      <c r="AI1118" s="127">
        <f t="shared" si="317"/>
        <v>1753.8</v>
      </c>
      <c r="AJ1118" s="37">
        <f t="shared" si="309"/>
        <v>10922.8</v>
      </c>
      <c r="AK1118" s="37">
        <f t="shared" si="318"/>
        <v>40406.800000000003</v>
      </c>
      <c r="AL1118" s="37">
        <f t="shared" si="310"/>
        <v>6.2454629629629634</v>
      </c>
      <c r="AN1118" s="37" t="str">
        <f t="shared" si="319"/>
        <v>Pallet</v>
      </c>
      <c r="AO1118" s="194">
        <f t="shared" si="320"/>
        <v>42</v>
      </c>
    </row>
    <row r="1119" spans="22:41" x14ac:dyDescent="0.2">
      <c r="V1119" s="181">
        <f t="shared" si="321"/>
        <v>540.5</v>
      </c>
      <c r="W1119" s="181">
        <f t="shared" si="311"/>
        <v>1081</v>
      </c>
      <c r="X1119" s="181">
        <f t="shared" si="322"/>
        <v>1</v>
      </c>
      <c r="Y1119" s="37">
        <f t="shared" si="323"/>
        <v>1917.1</v>
      </c>
      <c r="Z1119" s="181">
        <f t="shared" si="312"/>
        <v>738.5</v>
      </c>
      <c r="AA1119" s="127">
        <f t="shared" si="313"/>
        <v>595.21331999999995</v>
      </c>
      <c r="AB1119" s="127">
        <f t="shared" si="314"/>
        <v>738.5</v>
      </c>
      <c r="AC1119" s="37">
        <f t="shared" si="306"/>
        <v>4831</v>
      </c>
      <c r="AD1119" s="37">
        <f t="shared" si="315"/>
        <v>6748.1</v>
      </c>
      <c r="AE1119" s="181">
        <f t="shared" si="307"/>
        <v>42</v>
      </c>
      <c r="AF1119" s="37">
        <f t="shared" si="324"/>
        <v>29484</v>
      </c>
      <c r="AG1119" s="181">
        <f t="shared" si="308"/>
        <v>1754.3</v>
      </c>
      <c r="AH1119" s="111">
        <f t="shared" si="316"/>
        <v>1161.0889919999997</v>
      </c>
      <c r="AI1119" s="127">
        <f t="shared" si="317"/>
        <v>1754.3</v>
      </c>
      <c r="AJ1119" s="37">
        <f t="shared" si="309"/>
        <v>10925.8</v>
      </c>
      <c r="AK1119" s="37">
        <f t="shared" si="318"/>
        <v>40409.800000000003</v>
      </c>
      <c r="AL1119" s="37">
        <f t="shared" si="310"/>
        <v>6.2424606845513413</v>
      </c>
      <c r="AN1119" s="37" t="str">
        <f t="shared" si="319"/>
        <v>Pallet</v>
      </c>
      <c r="AO1119" s="194">
        <f t="shared" si="320"/>
        <v>42</v>
      </c>
    </row>
    <row r="1120" spans="22:41" x14ac:dyDescent="0.2">
      <c r="V1120" s="181">
        <f t="shared" si="321"/>
        <v>541</v>
      </c>
      <c r="W1120" s="181">
        <f t="shared" si="311"/>
        <v>1082</v>
      </c>
      <c r="X1120" s="181">
        <f t="shared" si="322"/>
        <v>1</v>
      </c>
      <c r="Y1120" s="37">
        <f t="shared" si="323"/>
        <v>1917.1</v>
      </c>
      <c r="Z1120" s="181">
        <f t="shared" si="312"/>
        <v>739</v>
      </c>
      <c r="AA1120" s="127">
        <f t="shared" si="313"/>
        <v>595.21331999999995</v>
      </c>
      <c r="AB1120" s="127">
        <f t="shared" si="314"/>
        <v>739</v>
      </c>
      <c r="AC1120" s="37">
        <f t="shared" si="306"/>
        <v>4834</v>
      </c>
      <c r="AD1120" s="37">
        <f t="shared" si="315"/>
        <v>6751.1</v>
      </c>
      <c r="AE1120" s="181">
        <f t="shared" si="307"/>
        <v>42</v>
      </c>
      <c r="AF1120" s="37">
        <f t="shared" si="324"/>
        <v>29484</v>
      </c>
      <c r="AG1120" s="181">
        <f t="shared" si="308"/>
        <v>1754.8</v>
      </c>
      <c r="AH1120" s="111">
        <f t="shared" si="316"/>
        <v>1161.0889919999997</v>
      </c>
      <c r="AI1120" s="127">
        <f t="shared" si="317"/>
        <v>1754.8</v>
      </c>
      <c r="AJ1120" s="37">
        <f t="shared" si="309"/>
        <v>10928.8</v>
      </c>
      <c r="AK1120" s="37">
        <f t="shared" si="318"/>
        <v>40412.800000000003</v>
      </c>
      <c r="AL1120" s="37">
        <f t="shared" si="310"/>
        <v>6.2394639556377083</v>
      </c>
      <c r="AN1120" s="37" t="str">
        <f t="shared" si="319"/>
        <v>Pallet</v>
      </c>
      <c r="AO1120" s="194">
        <f t="shared" si="320"/>
        <v>42</v>
      </c>
    </row>
    <row r="1121" spans="22:41" x14ac:dyDescent="0.2">
      <c r="V1121" s="181">
        <f t="shared" si="321"/>
        <v>541.5</v>
      </c>
      <c r="W1121" s="181">
        <f t="shared" si="311"/>
        <v>1083</v>
      </c>
      <c r="X1121" s="181">
        <f t="shared" si="322"/>
        <v>1</v>
      </c>
      <c r="Y1121" s="37">
        <f t="shared" si="323"/>
        <v>1917.1</v>
      </c>
      <c r="Z1121" s="181">
        <f t="shared" si="312"/>
        <v>739.5</v>
      </c>
      <c r="AA1121" s="127">
        <f t="shared" si="313"/>
        <v>595.21331999999995</v>
      </c>
      <c r="AB1121" s="127">
        <f t="shared" si="314"/>
        <v>739.5</v>
      </c>
      <c r="AC1121" s="37">
        <f t="shared" si="306"/>
        <v>4837</v>
      </c>
      <c r="AD1121" s="37">
        <f t="shared" si="315"/>
        <v>6754.1</v>
      </c>
      <c r="AE1121" s="181">
        <f t="shared" si="307"/>
        <v>42</v>
      </c>
      <c r="AF1121" s="37">
        <f t="shared" si="324"/>
        <v>29484</v>
      </c>
      <c r="AG1121" s="181">
        <f t="shared" si="308"/>
        <v>1755.3</v>
      </c>
      <c r="AH1121" s="111">
        <f t="shared" si="316"/>
        <v>1161.0889919999997</v>
      </c>
      <c r="AI1121" s="127">
        <f t="shared" si="317"/>
        <v>1755.3</v>
      </c>
      <c r="AJ1121" s="37">
        <f t="shared" si="309"/>
        <v>10931.8</v>
      </c>
      <c r="AK1121" s="37">
        <f t="shared" si="318"/>
        <v>40415.800000000003</v>
      </c>
      <c r="AL1121" s="37">
        <f t="shared" si="310"/>
        <v>6.2364727608494928</v>
      </c>
      <c r="AN1121" s="37" t="str">
        <f t="shared" si="319"/>
        <v>Pallet</v>
      </c>
      <c r="AO1121" s="194">
        <f t="shared" si="320"/>
        <v>42</v>
      </c>
    </row>
    <row r="1122" spans="22:41" x14ac:dyDescent="0.2">
      <c r="V1122" s="181">
        <f t="shared" si="321"/>
        <v>542</v>
      </c>
      <c r="W1122" s="181">
        <f t="shared" ref="W1122:W1185" si="325">W1121+1</f>
        <v>1084</v>
      </c>
      <c r="X1122" s="181">
        <f t="shared" si="322"/>
        <v>1</v>
      </c>
      <c r="Y1122" s="37">
        <f t="shared" si="323"/>
        <v>1917.1</v>
      </c>
      <c r="Z1122" s="181">
        <f t="shared" ref="Z1122:Z1185" si="326">V1122+(X1122*$K$29)</f>
        <v>740</v>
      </c>
      <c r="AA1122" s="127">
        <f t="shared" ref="AA1122:AA1185" si="327">X1122*$T$29</f>
        <v>595.21331999999995</v>
      </c>
      <c r="AB1122" s="127">
        <f t="shared" ref="AB1122:AB1185" si="328">MAX(Z1122,AA1122)</f>
        <v>740</v>
      </c>
      <c r="AC1122" s="37">
        <f t="shared" si="306"/>
        <v>4840</v>
      </c>
      <c r="AD1122" s="37">
        <f t="shared" ref="AD1122:AD1185" si="329">Y1122+AC1122</f>
        <v>6757.1</v>
      </c>
      <c r="AE1122" s="181">
        <f t="shared" si="307"/>
        <v>43</v>
      </c>
      <c r="AF1122" s="37">
        <f t="shared" si="324"/>
        <v>30186</v>
      </c>
      <c r="AG1122" s="181">
        <f t="shared" si="308"/>
        <v>1784.7</v>
      </c>
      <c r="AH1122" s="111">
        <f t="shared" ref="AH1122:AH1185" si="330">AE1122*$X$19</f>
        <v>1188.7339679999998</v>
      </c>
      <c r="AI1122" s="127">
        <f t="shared" ref="AI1122:AI1185" si="331">MAX(AG1122,AH1122)</f>
        <v>1784.7</v>
      </c>
      <c r="AJ1122" s="37">
        <f t="shared" si="309"/>
        <v>11108.2</v>
      </c>
      <c r="AK1122" s="37">
        <f t="shared" ref="AK1122:AK1185" si="332">AF1122+AJ1122</f>
        <v>41294.199999999997</v>
      </c>
      <c r="AL1122" s="37">
        <f t="shared" si="310"/>
        <v>6.2334870848708492</v>
      </c>
      <c r="AN1122" s="37" t="str">
        <f t="shared" si="319"/>
        <v>Pallet</v>
      </c>
      <c r="AO1122" s="194">
        <f t="shared" si="320"/>
        <v>42</v>
      </c>
    </row>
    <row r="1123" spans="22:41" x14ac:dyDescent="0.2">
      <c r="V1123" s="181">
        <f t="shared" si="321"/>
        <v>542.5</v>
      </c>
      <c r="W1123" s="181">
        <f t="shared" si="325"/>
        <v>1085</v>
      </c>
      <c r="X1123" s="181">
        <f t="shared" si="322"/>
        <v>1</v>
      </c>
      <c r="Y1123" s="37">
        <f t="shared" si="323"/>
        <v>1917.1</v>
      </c>
      <c r="Z1123" s="181">
        <f t="shared" si="326"/>
        <v>740.5</v>
      </c>
      <c r="AA1123" s="127">
        <f t="shared" si="327"/>
        <v>595.21331999999995</v>
      </c>
      <c r="AB1123" s="127">
        <f t="shared" si="328"/>
        <v>740.5</v>
      </c>
      <c r="AC1123" s="37">
        <f t="shared" si="306"/>
        <v>4843</v>
      </c>
      <c r="AD1123" s="37">
        <f t="shared" si="329"/>
        <v>6760.1</v>
      </c>
      <c r="AE1123" s="181">
        <f t="shared" si="307"/>
        <v>43</v>
      </c>
      <c r="AF1123" s="37">
        <f t="shared" si="324"/>
        <v>30186</v>
      </c>
      <c r="AG1123" s="181">
        <f t="shared" si="308"/>
        <v>1785.2</v>
      </c>
      <c r="AH1123" s="111">
        <f t="shared" si="330"/>
        <v>1188.7339679999998</v>
      </c>
      <c r="AI1123" s="127">
        <f t="shared" si="331"/>
        <v>1785.2</v>
      </c>
      <c r="AJ1123" s="37">
        <f t="shared" si="309"/>
        <v>11111.2</v>
      </c>
      <c r="AK1123" s="37">
        <f t="shared" si="332"/>
        <v>41297.199999999997</v>
      </c>
      <c r="AL1123" s="37">
        <f t="shared" si="310"/>
        <v>6.2305069124423964</v>
      </c>
      <c r="AN1123" s="37" t="str">
        <f t="shared" si="319"/>
        <v>Pallet</v>
      </c>
      <c r="AO1123" s="194">
        <f t="shared" si="320"/>
        <v>43</v>
      </c>
    </row>
    <row r="1124" spans="22:41" x14ac:dyDescent="0.2">
      <c r="V1124" s="181">
        <f t="shared" si="321"/>
        <v>543</v>
      </c>
      <c r="W1124" s="181">
        <f t="shared" si="325"/>
        <v>1086</v>
      </c>
      <c r="X1124" s="181">
        <f t="shared" si="322"/>
        <v>1</v>
      </c>
      <c r="Y1124" s="37">
        <f t="shared" si="323"/>
        <v>1917.1</v>
      </c>
      <c r="Z1124" s="181">
        <f t="shared" si="326"/>
        <v>741</v>
      </c>
      <c r="AA1124" s="127">
        <f t="shared" si="327"/>
        <v>595.21331999999995</v>
      </c>
      <c r="AB1124" s="127">
        <f t="shared" si="328"/>
        <v>741</v>
      </c>
      <c r="AC1124" s="37">
        <f t="shared" si="306"/>
        <v>4846</v>
      </c>
      <c r="AD1124" s="37">
        <f t="shared" si="329"/>
        <v>6763.1</v>
      </c>
      <c r="AE1124" s="181">
        <f t="shared" si="307"/>
        <v>43</v>
      </c>
      <c r="AF1124" s="37">
        <f t="shared" si="324"/>
        <v>30186</v>
      </c>
      <c r="AG1124" s="181">
        <f t="shared" si="308"/>
        <v>1785.7</v>
      </c>
      <c r="AH1124" s="111">
        <f t="shared" si="330"/>
        <v>1188.7339679999998</v>
      </c>
      <c r="AI1124" s="127">
        <f t="shared" si="331"/>
        <v>1785.7</v>
      </c>
      <c r="AJ1124" s="37">
        <f t="shared" si="309"/>
        <v>11114.2</v>
      </c>
      <c r="AK1124" s="37">
        <f t="shared" si="332"/>
        <v>41300.199999999997</v>
      </c>
      <c r="AL1124" s="37">
        <f t="shared" si="310"/>
        <v>6.2275322283609578</v>
      </c>
      <c r="AN1124" s="37" t="str">
        <f t="shared" si="319"/>
        <v>Pallet</v>
      </c>
      <c r="AO1124" s="194">
        <f t="shared" si="320"/>
        <v>43</v>
      </c>
    </row>
    <row r="1125" spans="22:41" x14ac:dyDescent="0.2">
      <c r="V1125" s="181">
        <f t="shared" si="321"/>
        <v>543.5</v>
      </c>
      <c r="W1125" s="181">
        <f t="shared" si="325"/>
        <v>1087</v>
      </c>
      <c r="X1125" s="181">
        <f t="shared" si="322"/>
        <v>1</v>
      </c>
      <c r="Y1125" s="37">
        <f t="shared" si="323"/>
        <v>1917.1</v>
      </c>
      <c r="Z1125" s="181">
        <f t="shared" si="326"/>
        <v>741.5</v>
      </c>
      <c r="AA1125" s="127">
        <f t="shared" si="327"/>
        <v>595.21331999999995</v>
      </c>
      <c r="AB1125" s="127">
        <f t="shared" si="328"/>
        <v>741.5</v>
      </c>
      <c r="AC1125" s="37">
        <f t="shared" si="306"/>
        <v>4849</v>
      </c>
      <c r="AD1125" s="37">
        <f t="shared" si="329"/>
        <v>6766.1</v>
      </c>
      <c r="AE1125" s="181">
        <f t="shared" si="307"/>
        <v>43</v>
      </c>
      <c r="AF1125" s="37">
        <f t="shared" si="324"/>
        <v>30186</v>
      </c>
      <c r="AG1125" s="181">
        <f t="shared" si="308"/>
        <v>1786.2</v>
      </c>
      <c r="AH1125" s="111">
        <f t="shared" si="330"/>
        <v>1188.7339679999998</v>
      </c>
      <c r="AI1125" s="127">
        <f t="shared" si="331"/>
        <v>1786.2</v>
      </c>
      <c r="AJ1125" s="37">
        <f t="shared" si="309"/>
        <v>11117.2</v>
      </c>
      <c r="AK1125" s="37">
        <f t="shared" si="332"/>
        <v>41303.199999999997</v>
      </c>
      <c r="AL1125" s="37">
        <f t="shared" si="310"/>
        <v>6.2245630174793014</v>
      </c>
      <c r="AN1125" s="37" t="str">
        <f t="shared" si="319"/>
        <v>Pallet</v>
      </c>
      <c r="AO1125" s="194">
        <f t="shared" si="320"/>
        <v>43</v>
      </c>
    </row>
    <row r="1126" spans="22:41" x14ac:dyDescent="0.2">
      <c r="V1126" s="181">
        <f t="shared" si="321"/>
        <v>544</v>
      </c>
      <c r="W1126" s="181">
        <f t="shared" si="325"/>
        <v>1088</v>
      </c>
      <c r="X1126" s="181">
        <f t="shared" si="322"/>
        <v>1</v>
      </c>
      <c r="Y1126" s="37">
        <f t="shared" si="323"/>
        <v>1917.1</v>
      </c>
      <c r="Z1126" s="181">
        <f t="shared" si="326"/>
        <v>742</v>
      </c>
      <c r="AA1126" s="127">
        <f t="shared" si="327"/>
        <v>595.21331999999995</v>
      </c>
      <c r="AB1126" s="127">
        <f t="shared" si="328"/>
        <v>742</v>
      </c>
      <c r="AC1126" s="37">
        <f t="shared" si="306"/>
        <v>4852</v>
      </c>
      <c r="AD1126" s="37">
        <f t="shared" si="329"/>
        <v>6769.1</v>
      </c>
      <c r="AE1126" s="181">
        <f t="shared" si="307"/>
        <v>43</v>
      </c>
      <c r="AF1126" s="37">
        <f t="shared" si="324"/>
        <v>30186</v>
      </c>
      <c r="AG1126" s="181">
        <f t="shared" si="308"/>
        <v>1786.7</v>
      </c>
      <c r="AH1126" s="111">
        <f t="shared" si="330"/>
        <v>1188.7339679999998</v>
      </c>
      <c r="AI1126" s="127">
        <f t="shared" si="331"/>
        <v>1786.7</v>
      </c>
      <c r="AJ1126" s="37">
        <f t="shared" si="309"/>
        <v>11120.2</v>
      </c>
      <c r="AK1126" s="37">
        <f t="shared" si="332"/>
        <v>41306.199999999997</v>
      </c>
      <c r="AL1126" s="37">
        <f t="shared" si="310"/>
        <v>6.2215992647058824</v>
      </c>
      <c r="AN1126" s="37" t="str">
        <f t="shared" si="319"/>
        <v>Pallet</v>
      </c>
      <c r="AO1126" s="194">
        <f t="shared" si="320"/>
        <v>43</v>
      </c>
    </row>
    <row r="1127" spans="22:41" x14ac:dyDescent="0.2">
      <c r="V1127" s="181">
        <f t="shared" si="321"/>
        <v>544.5</v>
      </c>
      <c r="W1127" s="181">
        <f t="shared" si="325"/>
        <v>1089</v>
      </c>
      <c r="X1127" s="181">
        <f t="shared" si="322"/>
        <v>1</v>
      </c>
      <c r="Y1127" s="37">
        <f t="shared" si="323"/>
        <v>1917.1</v>
      </c>
      <c r="Z1127" s="181">
        <f t="shared" si="326"/>
        <v>742.5</v>
      </c>
      <c r="AA1127" s="127">
        <f t="shared" si="327"/>
        <v>595.21331999999995</v>
      </c>
      <c r="AB1127" s="127">
        <f t="shared" si="328"/>
        <v>742.5</v>
      </c>
      <c r="AC1127" s="37">
        <f t="shared" ref="AC1127:AC1190" si="333">(Shipping_perkg_first100*100)+((AB1127-100)*Shipping_perkg_above100)</f>
        <v>4855</v>
      </c>
      <c r="AD1127" s="37">
        <f t="shared" si="329"/>
        <v>6772.1</v>
      </c>
      <c r="AE1127" s="181">
        <f t="shared" ref="AE1127:AE1190" si="334">ROUNDUP(W1127/$N$19,0)</f>
        <v>43</v>
      </c>
      <c r="AF1127" s="37">
        <f t="shared" si="324"/>
        <v>30186</v>
      </c>
      <c r="AG1127" s="181">
        <f t="shared" ref="AG1127:AG1190" si="335">(AE1127*$K$19)+V1127</f>
        <v>1787.2</v>
      </c>
      <c r="AH1127" s="111">
        <f t="shared" si="330"/>
        <v>1188.7339679999998</v>
      </c>
      <c r="AI1127" s="127">
        <f t="shared" si="331"/>
        <v>1787.2</v>
      </c>
      <c r="AJ1127" s="37">
        <f t="shared" ref="AJ1127:AJ1190" si="336">IF(AI1127&lt;=100,AI1127*Shipping_perkg_first100,(Shipping_perkg_first100*100)+((AI1127-100)*Shipping_perkg_above100))</f>
        <v>11123.2</v>
      </c>
      <c r="AK1127" s="37">
        <f t="shared" si="332"/>
        <v>41309.199999999997</v>
      </c>
      <c r="AL1127" s="37">
        <f t="shared" si="310"/>
        <v>6.2186409550045916</v>
      </c>
      <c r="AN1127" s="37" t="str">
        <f t="shared" si="319"/>
        <v>Pallet</v>
      </c>
      <c r="AO1127" s="194">
        <f t="shared" si="320"/>
        <v>43</v>
      </c>
    </row>
    <row r="1128" spans="22:41" x14ac:dyDescent="0.2">
      <c r="V1128" s="181">
        <f t="shared" si="321"/>
        <v>545</v>
      </c>
      <c r="W1128" s="181">
        <f t="shared" si="325"/>
        <v>1090</v>
      </c>
      <c r="X1128" s="181">
        <f t="shared" si="322"/>
        <v>1</v>
      </c>
      <c r="Y1128" s="37">
        <f t="shared" si="323"/>
        <v>1917.1</v>
      </c>
      <c r="Z1128" s="181">
        <f t="shared" si="326"/>
        <v>743</v>
      </c>
      <c r="AA1128" s="127">
        <f t="shared" si="327"/>
        <v>595.21331999999995</v>
      </c>
      <c r="AB1128" s="127">
        <f t="shared" si="328"/>
        <v>743</v>
      </c>
      <c r="AC1128" s="37">
        <f t="shared" si="333"/>
        <v>4858</v>
      </c>
      <c r="AD1128" s="37">
        <f t="shared" si="329"/>
        <v>6775.1</v>
      </c>
      <c r="AE1128" s="181">
        <f t="shared" si="334"/>
        <v>43</v>
      </c>
      <c r="AF1128" s="37">
        <f t="shared" si="324"/>
        <v>30186</v>
      </c>
      <c r="AG1128" s="181">
        <f t="shared" si="335"/>
        <v>1787.7</v>
      </c>
      <c r="AH1128" s="111">
        <f t="shared" si="330"/>
        <v>1188.7339679999998</v>
      </c>
      <c r="AI1128" s="127">
        <f t="shared" si="331"/>
        <v>1787.7</v>
      </c>
      <c r="AJ1128" s="37">
        <f t="shared" si="336"/>
        <v>11126.2</v>
      </c>
      <c r="AK1128" s="37">
        <f t="shared" si="332"/>
        <v>41312.199999999997</v>
      </c>
      <c r="AL1128" s="37">
        <f t="shared" ref="AL1128:AL1191" si="337">MIN(AD1128,AK1128)/W1128</f>
        <v>6.2156880733944959</v>
      </c>
      <c r="AN1128" s="37" t="str">
        <f t="shared" si="319"/>
        <v>Pallet</v>
      </c>
      <c r="AO1128" s="194">
        <f t="shared" si="320"/>
        <v>43</v>
      </c>
    </row>
    <row r="1129" spans="22:41" x14ac:dyDescent="0.2">
      <c r="V1129" s="181">
        <f t="shared" si="321"/>
        <v>545.5</v>
      </c>
      <c r="W1129" s="181">
        <f t="shared" si="325"/>
        <v>1091</v>
      </c>
      <c r="X1129" s="181">
        <f t="shared" si="322"/>
        <v>1</v>
      </c>
      <c r="Y1129" s="37">
        <f t="shared" si="323"/>
        <v>1917.1</v>
      </c>
      <c r="Z1129" s="181">
        <f t="shared" si="326"/>
        <v>743.5</v>
      </c>
      <c r="AA1129" s="127">
        <f t="shared" si="327"/>
        <v>595.21331999999995</v>
      </c>
      <c r="AB1129" s="127">
        <f t="shared" si="328"/>
        <v>743.5</v>
      </c>
      <c r="AC1129" s="37">
        <f t="shared" si="333"/>
        <v>4861</v>
      </c>
      <c r="AD1129" s="37">
        <f t="shared" si="329"/>
        <v>6778.1</v>
      </c>
      <c r="AE1129" s="181">
        <f t="shared" si="334"/>
        <v>43</v>
      </c>
      <c r="AF1129" s="37">
        <f t="shared" si="324"/>
        <v>30186</v>
      </c>
      <c r="AG1129" s="181">
        <f t="shared" si="335"/>
        <v>1788.2</v>
      </c>
      <c r="AH1129" s="111">
        <f t="shared" si="330"/>
        <v>1188.7339679999998</v>
      </c>
      <c r="AI1129" s="127">
        <f t="shared" si="331"/>
        <v>1788.2</v>
      </c>
      <c r="AJ1129" s="37">
        <f t="shared" si="336"/>
        <v>11129.2</v>
      </c>
      <c r="AK1129" s="37">
        <f t="shared" si="332"/>
        <v>41315.199999999997</v>
      </c>
      <c r="AL1129" s="37">
        <f t="shared" si="337"/>
        <v>6.2127406049495875</v>
      </c>
      <c r="AN1129" s="37" t="str">
        <f t="shared" ref="AN1129:AN1192" si="338">IF(AD1129&lt;AK1129,"Pallet","Parcel")</f>
        <v>Pallet</v>
      </c>
      <c r="AO1129" s="194">
        <f t="shared" ref="AO1129:AO1192" si="339">AE1128</f>
        <v>43</v>
      </c>
    </row>
    <row r="1130" spans="22:41" x14ac:dyDescent="0.2">
      <c r="V1130" s="181">
        <f t="shared" ref="V1130:V1193" si="340">W1130*$V$37</f>
        <v>546</v>
      </c>
      <c r="W1130" s="181">
        <f t="shared" si="325"/>
        <v>1092</v>
      </c>
      <c r="X1130" s="181">
        <f t="shared" ref="X1130:X1193" si="341">ROUNDUP(W1130/$N$29,0)</f>
        <v>1</v>
      </c>
      <c r="Y1130" s="37">
        <f t="shared" ref="Y1130:Y1193" si="342">X1130*$P$29</f>
        <v>1917.1</v>
      </c>
      <c r="Z1130" s="181">
        <f t="shared" si="326"/>
        <v>744</v>
      </c>
      <c r="AA1130" s="127">
        <f t="shared" si="327"/>
        <v>595.21331999999995</v>
      </c>
      <c r="AB1130" s="127">
        <f t="shared" si="328"/>
        <v>744</v>
      </c>
      <c r="AC1130" s="37">
        <f t="shared" si="333"/>
        <v>4864</v>
      </c>
      <c r="AD1130" s="37">
        <f t="shared" si="329"/>
        <v>6781.1</v>
      </c>
      <c r="AE1130" s="181">
        <f t="shared" si="334"/>
        <v>43</v>
      </c>
      <c r="AF1130" s="37">
        <f t="shared" ref="AF1130:AF1193" si="343">AE1130*$P$19</f>
        <v>30186</v>
      </c>
      <c r="AG1130" s="181">
        <f t="shared" si="335"/>
        <v>1788.7</v>
      </c>
      <c r="AH1130" s="111">
        <f t="shared" si="330"/>
        <v>1188.7339679999998</v>
      </c>
      <c r="AI1130" s="127">
        <f t="shared" si="331"/>
        <v>1788.7</v>
      </c>
      <c r="AJ1130" s="37">
        <f t="shared" si="336"/>
        <v>11132.2</v>
      </c>
      <c r="AK1130" s="37">
        <f t="shared" si="332"/>
        <v>41318.199999999997</v>
      </c>
      <c r="AL1130" s="37">
        <f t="shared" si="337"/>
        <v>6.2097985347985354</v>
      </c>
      <c r="AN1130" s="37" t="str">
        <f t="shared" si="338"/>
        <v>Pallet</v>
      </c>
      <c r="AO1130" s="194">
        <f t="shared" si="339"/>
        <v>43</v>
      </c>
    </row>
    <row r="1131" spans="22:41" x14ac:dyDescent="0.2">
      <c r="V1131" s="181">
        <f t="shared" si="340"/>
        <v>546.5</v>
      </c>
      <c r="W1131" s="181">
        <f t="shared" si="325"/>
        <v>1093</v>
      </c>
      <c r="X1131" s="181">
        <f t="shared" si="341"/>
        <v>1</v>
      </c>
      <c r="Y1131" s="37">
        <f t="shared" si="342"/>
        <v>1917.1</v>
      </c>
      <c r="Z1131" s="181">
        <f t="shared" si="326"/>
        <v>744.5</v>
      </c>
      <c r="AA1131" s="127">
        <f t="shared" si="327"/>
        <v>595.21331999999995</v>
      </c>
      <c r="AB1131" s="127">
        <f t="shared" si="328"/>
        <v>744.5</v>
      </c>
      <c r="AC1131" s="37">
        <f t="shared" si="333"/>
        <v>4867</v>
      </c>
      <c r="AD1131" s="37">
        <f t="shared" si="329"/>
        <v>6784.1</v>
      </c>
      <c r="AE1131" s="181">
        <f t="shared" si="334"/>
        <v>43</v>
      </c>
      <c r="AF1131" s="37">
        <f t="shared" si="343"/>
        <v>30186</v>
      </c>
      <c r="AG1131" s="181">
        <f t="shared" si="335"/>
        <v>1789.2</v>
      </c>
      <c r="AH1131" s="111">
        <f t="shared" si="330"/>
        <v>1188.7339679999998</v>
      </c>
      <c r="AI1131" s="127">
        <f t="shared" si="331"/>
        <v>1789.2</v>
      </c>
      <c r="AJ1131" s="37">
        <f t="shared" si="336"/>
        <v>11135.2</v>
      </c>
      <c r="AK1131" s="37">
        <f t="shared" si="332"/>
        <v>41321.199999999997</v>
      </c>
      <c r="AL1131" s="37">
        <f t="shared" si="337"/>
        <v>6.2068618481244284</v>
      </c>
      <c r="AN1131" s="37" t="str">
        <f t="shared" si="338"/>
        <v>Pallet</v>
      </c>
      <c r="AO1131" s="194">
        <f t="shared" si="339"/>
        <v>43</v>
      </c>
    </row>
    <row r="1132" spans="22:41" x14ac:dyDescent="0.2">
      <c r="V1132" s="181">
        <f t="shared" si="340"/>
        <v>547</v>
      </c>
      <c r="W1132" s="181">
        <f t="shared" si="325"/>
        <v>1094</v>
      </c>
      <c r="X1132" s="181">
        <f t="shared" si="341"/>
        <v>1</v>
      </c>
      <c r="Y1132" s="37">
        <f t="shared" si="342"/>
        <v>1917.1</v>
      </c>
      <c r="Z1132" s="181">
        <f t="shared" si="326"/>
        <v>745</v>
      </c>
      <c r="AA1132" s="127">
        <f t="shared" si="327"/>
        <v>595.21331999999995</v>
      </c>
      <c r="AB1132" s="127">
        <f t="shared" si="328"/>
        <v>745</v>
      </c>
      <c r="AC1132" s="37">
        <f t="shared" si="333"/>
        <v>4870</v>
      </c>
      <c r="AD1132" s="37">
        <f t="shared" si="329"/>
        <v>6787.1</v>
      </c>
      <c r="AE1132" s="181">
        <f t="shared" si="334"/>
        <v>43</v>
      </c>
      <c r="AF1132" s="37">
        <f t="shared" si="343"/>
        <v>30186</v>
      </c>
      <c r="AG1132" s="181">
        <f t="shared" si="335"/>
        <v>1789.7</v>
      </c>
      <c r="AH1132" s="111">
        <f t="shared" si="330"/>
        <v>1188.7339679999998</v>
      </c>
      <c r="AI1132" s="127">
        <f t="shared" si="331"/>
        <v>1789.7</v>
      </c>
      <c r="AJ1132" s="37">
        <f t="shared" si="336"/>
        <v>11138.2</v>
      </c>
      <c r="AK1132" s="37">
        <f t="shared" si="332"/>
        <v>41324.199999999997</v>
      </c>
      <c r="AL1132" s="37">
        <f t="shared" si="337"/>
        <v>6.2039305301645342</v>
      </c>
      <c r="AN1132" s="37" t="str">
        <f t="shared" si="338"/>
        <v>Pallet</v>
      </c>
      <c r="AO1132" s="194">
        <f t="shared" si="339"/>
        <v>43</v>
      </c>
    </row>
    <row r="1133" spans="22:41" x14ac:dyDescent="0.2">
      <c r="V1133" s="181">
        <f t="shared" si="340"/>
        <v>547.5</v>
      </c>
      <c r="W1133" s="181">
        <f t="shared" si="325"/>
        <v>1095</v>
      </c>
      <c r="X1133" s="181">
        <f t="shared" si="341"/>
        <v>1</v>
      </c>
      <c r="Y1133" s="37">
        <f t="shared" si="342"/>
        <v>1917.1</v>
      </c>
      <c r="Z1133" s="181">
        <f t="shared" si="326"/>
        <v>745.5</v>
      </c>
      <c r="AA1133" s="127">
        <f t="shared" si="327"/>
        <v>595.21331999999995</v>
      </c>
      <c r="AB1133" s="127">
        <f t="shared" si="328"/>
        <v>745.5</v>
      </c>
      <c r="AC1133" s="37">
        <f t="shared" si="333"/>
        <v>4873</v>
      </c>
      <c r="AD1133" s="37">
        <f t="shared" si="329"/>
        <v>6790.1</v>
      </c>
      <c r="AE1133" s="181">
        <f t="shared" si="334"/>
        <v>43</v>
      </c>
      <c r="AF1133" s="37">
        <f t="shared" si="343"/>
        <v>30186</v>
      </c>
      <c r="AG1133" s="181">
        <f t="shared" si="335"/>
        <v>1790.2</v>
      </c>
      <c r="AH1133" s="111">
        <f t="shared" si="330"/>
        <v>1188.7339679999998</v>
      </c>
      <c r="AI1133" s="127">
        <f t="shared" si="331"/>
        <v>1790.2</v>
      </c>
      <c r="AJ1133" s="37">
        <f t="shared" si="336"/>
        <v>11141.2</v>
      </c>
      <c r="AK1133" s="37">
        <f t="shared" si="332"/>
        <v>41327.199999999997</v>
      </c>
      <c r="AL1133" s="37">
        <f t="shared" si="337"/>
        <v>6.2010045662100461</v>
      </c>
      <c r="AN1133" s="37" t="str">
        <f t="shared" si="338"/>
        <v>Pallet</v>
      </c>
      <c r="AO1133" s="194">
        <f t="shared" si="339"/>
        <v>43</v>
      </c>
    </row>
    <row r="1134" spans="22:41" x14ac:dyDescent="0.2">
      <c r="V1134" s="181">
        <f t="shared" si="340"/>
        <v>548</v>
      </c>
      <c r="W1134" s="181">
        <f t="shared" si="325"/>
        <v>1096</v>
      </c>
      <c r="X1134" s="181">
        <f t="shared" si="341"/>
        <v>1</v>
      </c>
      <c r="Y1134" s="37">
        <f t="shared" si="342"/>
        <v>1917.1</v>
      </c>
      <c r="Z1134" s="181">
        <f t="shared" si="326"/>
        <v>746</v>
      </c>
      <c r="AA1134" s="127">
        <f t="shared" si="327"/>
        <v>595.21331999999995</v>
      </c>
      <c r="AB1134" s="127">
        <f t="shared" si="328"/>
        <v>746</v>
      </c>
      <c r="AC1134" s="37">
        <f t="shared" si="333"/>
        <v>4876</v>
      </c>
      <c r="AD1134" s="37">
        <f t="shared" si="329"/>
        <v>6793.1</v>
      </c>
      <c r="AE1134" s="181">
        <f t="shared" si="334"/>
        <v>43</v>
      </c>
      <c r="AF1134" s="37">
        <f t="shared" si="343"/>
        <v>30186</v>
      </c>
      <c r="AG1134" s="181">
        <f t="shared" si="335"/>
        <v>1790.7</v>
      </c>
      <c r="AH1134" s="111">
        <f t="shared" si="330"/>
        <v>1188.7339679999998</v>
      </c>
      <c r="AI1134" s="127">
        <f t="shared" si="331"/>
        <v>1790.7</v>
      </c>
      <c r="AJ1134" s="37">
        <f t="shared" si="336"/>
        <v>11144.2</v>
      </c>
      <c r="AK1134" s="37">
        <f t="shared" si="332"/>
        <v>41330.199999999997</v>
      </c>
      <c r="AL1134" s="37">
        <f t="shared" si="337"/>
        <v>6.19808394160584</v>
      </c>
      <c r="AN1134" s="37" t="str">
        <f t="shared" si="338"/>
        <v>Pallet</v>
      </c>
      <c r="AO1134" s="194">
        <f t="shared" si="339"/>
        <v>43</v>
      </c>
    </row>
    <row r="1135" spans="22:41" x14ac:dyDescent="0.2">
      <c r="V1135" s="181">
        <f t="shared" si="340"/>
        <v>548.5</v>
      </c>
      <c r="W1135" s="181">
        <f t="shared" si="325"/>
        <v>1097</v>
      </c>
      <c r="X1135" s="181">
        <f t="shared" si="341"/>
        <v>1</v>
      </c>
      <c r="Y1135" s="37">
        <f t="shared" si="342"/>
        <v>1917.1</v>
      </c>
      <c r="Z1135" s="181">
        <f t="shared" si="326"/>
        <v>746.5</v>
      </c>
      <c r="AA1135" s="127">
        <f t="shared" si="327"/>
        <v>595.21331999999995</v>
      </c>
      <c r="AB1135" s="127">
        <f t="shared" si="328"/>
        <v>746.5</v>
      </c>
      <c r="AC1135" s="37">
        <f t="shared" si="333"/>
        <v>4879</v>
      </c>
      <c r="AD1135" s="37">
        <f t="shared" si="329"/>
        <v>6796.1</v>
      </c>
      <c r="AE1135" s="181">
        <f t="shared" si="334"/>
        <v>43</v>
      </c>
      <c r="AF1135" s="37">
        <f t="shared" si="343"/>
        <v>30186</v>
      </c>
      <c r="AG1135" s="181">
        <f t="shared" si="335"/>
        <v>1791.2</v>
      </c>
      <c r="AH1135" s="111">
        <f t="shared" si="330"/>
        <v>1188.7339679999998</v>
      </c>
      <c r="AI1135" s="127">
        <f t="shared" si="331"/>
        <v>1791.2</v>
      </c>
      <c r="AJ1135" s="37">
        <f t="shared" si="336"/>
        <v>11147.2</v>
      </c>
      <c r="AK1135" s="37">
        <f t="shared" si="332"/>
        <v>41333.199999999997</v>
      </c>
      <c r="AL1135" s="37">
        <f t="shared" si="337"/>
        <v>6.1951686417502279</v>
      </c>
      <c r="AN1135" s="37" t="str">
        <f t="shared" si="338"/>
        <v>Pallet</v>
      </c>
      <c r="AO1135" s="194">
        <f t="shared" si="339"/>
        <v>43</v>
      </c>
    </row>
    <row r="1136" spans="22:41" x14ac:dyDescent="0.2">
      <c r="V1136" s="181">
        <f t="shared" si="340"/>
        <v>549</v>
      </c>
      <c r="W1136" s="181">
        <f t="shared" si="325"/>
        <v>1098</v>
      </c>
      <c r="X1136" s="181">
        <f t="shared" si="341"/>
        <v>1</v>
      </c>
      <c r="Y1136" s="37">
        <f t="shared" si="342"/>
        <v>1917.1</v>
      </c>
      <c r="Z1136" s="181">
        <f t="shared" si="326"/>
        <v>747</v>
      </c>
      <c r="AA1136" s="127">
        <f t="shared" si="327"/>
        <v>595.21331999999995</v>
      </c>
      <c r="AB1136" s="127">
        <f t="shared" si="328"/>
        <v>747</v>
      </c>
      <c r="AC1136" s="37">
        <f t="shared" si="333"/>
        <v>4882</v>
      </c>
      <c r="AD1136" s="37">
        <f t="shared" si="329"/>
        <v>6799.1</v>
      </c>
      <c r="AE1136" s="181">
        <f t="shared" si="334"/>
        <v>43</v>
      </c>
      <c r="AF1136" s="37">
        <f t="shared" si="343"/>
        <v>30186</v>
      </c>
      <c r="AG1136" s="181">
        <f t="shared" si="335"/>
        <v>1791.7</v>
      </c>
      <c r="AH1136" s="111">
        <f t="shared" si="330"/>
        <v>1188.7339679999998</v>
      </c>
      <c r="AI1136" s="127">
        <f t="shared" si="331"/>
        <v>1791.7</v>
      </c>
      <c r="AJ1136" s="37">
        <f t="shared" si="336"/>
        <v>11150.2</v>
      </c>
      <c r="AK1136" s="37">
        <f t="shared" si="332"/>
        <v>41336.199999999997</v>
      </c>
      <c r="AL1136" s="37">
        <f t="shared" si="337"/>
        <v>6.1922586520947176</v>
      </c>
      <c r="AN1136" s="37" t="str">
        <f t="shared" si="338"/>
        <v>Pallet</v>
      </c>
      <c r="AO1136" s="194">
        <f t="shared" si="339"/>
        <v>43</v>
      </c>
    </row>
    <row r="1137" spans="22:41" x14ac:dyDescent="0.2">
      <c r="V1137" s="181">
        <f t="shared" si="340"/>
        <v>549.5</v>
      </c>
      <c r="W1137" s="181">
        <f t="shared" si="325"/>
        <v>1099</v>
      </c>
      <c r="X1137" s="181">
        <f t="shared" si="341"/>
        <v>1</v>
      </c>
      <c r="Y1137" s="37">
        <f t="shared" si="342"/>
        <v>1917.1</v>
      </c>
      <c r="Z1137" s="181">
        <f t="shared" si="326"/>
        <v>747.5</v>
      </c>
      <c r="AA1137" s="127">
        <f t="shared" si="327"/>
        <v>595.21331999999995</v>
      </c>
      <c r="AB1137" s="127">
        <f t="shared" si="328"/>
        <v>747.5</v>
      </c>
      <c r="AC1137" s="37">
        <f t="shared" si="333"/>
        <v>4885</v>
      </c>
      <c r="AD1137" s="37">
        <f t="shared" si="329"/>
        <v>6802.1</v>
      </c>
      <c r="AE1137" s="181">
        <f t="shared" si="334"/>
        <v>43</v>
      </c>
      <c r="AF1137" s="37">
        <f t="shared" si="343"/>
        <v>30186</v>
      </c>
      <c r="AG1137" s="181">
        <f t="shared" si="335"/>
        <v>1792.2</v>
      </c>
      <c r="AH1137" s="111">
        <f t="shared" si="330"/>
        <v>1188.7339679999998</v>
      </c>
      <c r="AI1137" s="127">
        <f t="shared" si="331"/>
        <v>1792.2</v>
      </c>
      <c r="AJ1137" s="37">
        <f t="shared" si="336"/>
        <v>11153.2</v>
      </c>
      <c r="AK1137" s="37">
        <f t="shared" si="332"/>
        <v>41339.199999999997</v>
      </c>
      <c r="AL1137" s="37">
        <f t="shared" si="337"/>
        <v>6.1893539581437675</v>
      </c>
      <c r="AN1137" s="37" t="str">
        <f t="shared" si="338"/>
        <v>Pallet</v>
      </c>
      <c r="AO1137" s="194">
        <f t="shared" si="339"/>
        <v>43</v>
      </c>
    </row>
    <row r="1138" spans="22:41" x14ac:dyDescent="0.2">
      <c r="V1138" s="181">
        <f t="shared" si="340"/>
        <v>550</v>
      </c>
      <c r="W1138" s="181">
        <f t="shared" si="325"/>
        <v>1100</v>
      </c>
      <c r="X1138" s="181">
        <f t="shared" si="341"/>
        <v>1</v>
      </c>
      <c r="Y1138" s="37">
        <f t="shared" si="342"/>
        <v>1917.1</v>
      </c>
      <c r="Z1138" s="181">
        <f t="shared" si="326"/>
        <v>748</v>
      </c>
      <c r="AA1138" s="127">
        <f t="shared" si="327"/>
        <v>595.21331999999995</v>
      </c>
      <c r="AB1138" s="127">
        <f t="shared" si="328"/>
        <v>748</v>
      </c>
      <c r="AC1138" s="37">
        <f t="shared" si="333"/>
        <v>4888</v>
      </c>
      <c r="AD1138" s="37">
        <f t="shared" si="329"/>
        <v>6805.1</v>
      </c>
      <c r="AE1138" s="181">
        <f t="shared" si="334"/>
        <v>43</v>
      </c>
      <c r="AF1138" s="37">
        <f t="shared" si="343"/>
        <v>30186</v>
      </c>
      <c r="AG1138" s="181">
        <f t="shared" si="335"/>
        <v>1792.7</v>
      </c>
      <c r="AH1138" s="111">
        <f t="shared" si="330"/>
        <v>1188.7339679999998</v>
      </c>
      <c r="AI1138" s="127">
        <f t="shared" si="331"/>
        <v>1792.7</v>
      </c>
      <c r="AJ1138" s="37">
        <f t="shared" si="336"/>
        <v>11156.2</v>
      </c>
      <c r="AK1138" s="37">
        <f t="shared" si="332"/>
        <v>41342.199999999997</v>
      </c>
      <c r="AL1138" s="37">
        <f t="shared" si="337"/>
        <v>6.1864545454545459</v>
      </c>
      <c r="AN1138" s="37" t="str">
        <f t="shared" si="338"/>
        <v>Pallet</v>
      </c>
      <c r="AO1138" s="194">
        <f t="shared" si="339"/>
        <v>43</v>
      </c>
    </row>
    <row r="1139" spans="22:41" x14ac:dyDescent="0.2">
      <c r="V1139" s="181">
        <f t="shared" si="340"/>
        <v>550.5</v>
      </c>
      <c r="W1139" s="181">
        <f t="shared" si="325"/>
        <v>1101</v>
      </c>
      <c r="X1139" s="181">
        <f t="shared" si="341"/>
        <v>1</v>
      </c>
      <c r="Y1139" s="37">
        <f t="shared" si="342"/>
        <v>1917.1</v>
      </c>
      <c r="Z1139" s="181">
        <f t="shared" si="326"/>
        <v>748.5</v>
      </c>
      <c r="AA1139" s="127">
        <f t="shared" si="327"/>
        <v>595.21331999999995</v>
      </c>
      <c r="AB1139" s="127">
        <f t="shared" si="328"/>
        <v>748.5</v>
      </c>
      <c r="AC1139" s="37">
        <f t="shared" si="333"/>
        <v>4891</v>
      </c>
      <c r="AD1139" s="37">
        <f t="shared" si="329"/>
        <v>6808.1</v>
      </c>
      <c r="AE1139" s="181">
        <f t="shared" si="334"/>
        <v>43</v>
      </c>
      <c r="AF1139" s="37">
        <f t="shared" si="343"/>
        <v>30186</v>
      </c>
      <c r="AG1139" s="181">
        <f t="shared" si="335"/>
        <v>1793.2</v>
      </c>
      <c r="AH1139" s="111">
        <f t="shared" si="330"/>
        <v>1188.7339679999998</v>
      </c>
      <c r="AI1139" s="127">
        <f t="shared" si="331"/>
        <v>1793.2</v>
      </c>
      <c r="AJ1139" s="37">
        <f t="shared" si="336"/>
        <v>11159.2</v>
      </c>
      <c r="AK1139" s="37">
        <f t="shared" si="332"/>
        <v>41345.199999999997</v>
      </c>
      <c r="AL1139" s="37">
        <f t="shared" si="337"/>
        <v>6.1835603996366943</v>
      </c>
      <c r="AN1139" s="37" t="str">
        <f t="shared" si="338"/>
        <v>Pallet</v>
      </c>
      <c r="AO1139" s="194">
        <f t="shared" si="339"/>
        <v>43</v>
      </c>
    </row>
    <row r="1140" spans="22:41" x14ac:dyDescent="0.2">
      <c r="V1140" s="181">
        <f t="shared" si="340"/>
        <v>551</v>
      </c>
      <c r="W1140" s="181">
        <f t="shared" si="325"/>
        <v>1102</v>
      </c>
      <c r="X1140" s="181">
        <f t="shared" si="341"/>
        <v>1</v>
      </c>
      <c r="Y1140" s="37">
        <f t="shared" si="342"/>
        <v>1917.1</v>
      </c>
      <c r="Z1140" s="181">
        <f t="shared" si="326"/>
        <v>749</v>
      </c>
      <c r="AA1140" s="127">
        <f t="shared" si="327"/>
        <v>595.21331999999995</v>
      </c>
      <c r="AB1140" s="127">
        <f t="shared" si="328"/>
        <v>749</v>
      </c>
      <c r="AC1140" s="37">
        <f t="shared" si="333"/>
        <v>4894</v>
      </c>
      <c r="AD1140" s="37">
        <f t="shared" si="329"/>
        <v>6811.1</v>
      </c>
      <c r="AE1140" s="181">
        <f t="shared" si="334"/>
        <v>43</v>
      </c>
      <c r="AF1140" s="37">
        <f t="shared" si="343"/>
        <v>30186</v>
      </c>
      <c r="AG1140" s="181">
        <f t="shared" si="335"/>
        <v>1793.7</v>
      </c>
      <c r="AH1140" s="111">
        <f t="shared" si="330"/>
        <v>1188.7339679999998</v>
      </c>
      <c r="AI1140" s="127">
        <f t="shared" si="331"/>
        <v>1793.7</v>
      </c>
      <c r="AJ1140" s="37">
        <f t="shared" si="336"/>
        <v>11162.2</v>
      </c>
      <c r="AK1140" s="37">
        <f t="shared" si="332"/>
        <v>41348.199999999997</v>
      </c>
      <c r="AL1140" s="37">
        <f t="shared" si="337"/>
        <v>6.1806715063520876</v>
      </c>
      <c r="AN1140" s="37" t="str">
        <f t="shared" si="338"/>
        <v>Pallet</v>
      </c>
      <c r="AO1140" s="194">
        <f t="shared" si="339"/>
        <v>43</v>
      </c>
    </row>
    <row r="1141" spans="22:41" x14ac:dyDescent="0.2">
      <c r="V1141" s="181">
        <f t="shared" si="340"/>
        <v>551.5</v>
      </c>
      <c r="W1141" s="181">
        <f t="shared" si="325"/>
        <v>1103</v>
      </c>
      <c r="X1141" s="181">
        <f t="shared" si="341"/>
        <v>1</v>
      </c>
      <c r="Y1141" s="37">
        <f t="shared" si="342"/>
        <v>1917.1</v>
      </c>
      <c r="Z1141" s="181">
        <f t="shared" si="326"/>
        <v>749.5</v>
      </c>
      <c r="AA1141" s="127">
        <f t="shared" si="327"/>
        <v>595.21331999999995</v>
      </c>
      <c r="AB1141" s="127">
        <f t="shared" si="328"/>
        <v>749.5</v>
      </c>
      <c r="AC1141" s="37">
        <f t="shared" si="333"/>
        <v>4897</v>
      </c>
      <c r="AD1141" s="37">
        <f t="shared" si="329"/>
        <v>6814.1</v>
      </c>
      <c r="AE1141" s="181">
        <f t="shared" si="334"/>
        <v>43</v>
      </c>
      <c r="AF1141" s="37">
        <f t="shared" si="343"/>
        <v>30186</v>
      </c>
      <c r="AG1141" s="181">
        <f t="shared" si="335"/>
        <v>1794.2</v>
      </c>
      <c r="AH1141" s="111">
        <f t="shared" si="330"/>
        <v>1188.7339679999998</v>
      </c>
      <c r="AI1141" s="127">
        <f t="shared" si="331"/>
        <v>1794.2</v>
      </c>
      <c r="AJ1141" s="37">
        <f t="shared" si="336"/>
        <v>11165.2</v>
      </c>
      <c r="AK1141" s="37">
        <f t="shared" si="332"/>
        <v>41351.199999999997</v>
      </c>
      <c r="AL1141" s="37">
        <f t="shared" si="337"/>
        <v>6.177787851314597</v>
      </c>
      <c r="AN1141" s="37" t="str">
        <f t="shared" si="338"/>
        <v>Pallet</v>
      </c>
      <c r="AO1141" s="194">
        <f t="shared" si="339"/>
        <v>43</v>
      </c>
    </row>
    <row r="1142" spans="22:41" x14ac:dyDescent="0.2">
      <c r="V1142" s="181">
        <f t="shared" si="340"/>
        <v>552</v>
      </c>
      <c r="W1142" s="181">
        <f t="shared" si="325"/>
        <v>1104</v>
      </c>
      <c r="X1142" s="181">
        <f t="shared" si="341"/>
        <v>1</v>
      </c>
      <c r="Y1142" s="37">
        <f t="shared" si="342"/>
        <v>1917.1</v>
      </c>
      <c r="Z1142" s="181">
        <f t="shared" si="326"/>
        <v>750</v>
      </c>
      <c r="AA1142" s="127">
        <f t="shared" si="327"/>
        <v>595.21331999999995</v>
      </c>
      <c r="AB1142" s="127">
        <f t="shared" si="328"/>
        <v>750</v>
      </c>
      <c r="AC1142" s="37">
        <f t="shared" si="333"/>
        <v>4900</v>
      </c>
      <c r="AD1142" s="37">
        <f t="shared" si="329"/>
        <v>6817.1</v>
      </c>
      <c r="AE1142" s="181">
        <f t="shared" si="334"/>
        <v>43</v>
      </c>
      <c r="AF1142" s="37">
        <f t="shared" si="343"/>
        <v>30186</v>
      </c>
      <c r="AG1142" s="181">
        <f t="shared" si="335"/>
        <v>1794.7</v>
      </c>
      <c r="AH1142" s="111">
        <f t="shared" si="330"/>
        <v>1188.7339679999998</v>
      </c>
      <c r="AI1142" s="127">
        <f t="shared" si="331"/>
        <v>1794.7</v>
      </c>
      <c r="AJ1142" s="37">
        <f t="shared" si="336"/>
        <v>11168.2</v>
      </c>
      <c r="AK1142" s="37">
        <f t="shared" si="332"/>
        <v>41354.199999999997</v>
      </c>
      <c r="AL1142" s="37">
        <f t="shared" si="337"/>
        <v>6.1749094202898558</v>
      </c>
      <c r="AN1142" s="37" t="str">
        <f t="shared" si="338"/>
        <v>Pallet</v>
      </c>
      <c r="AO1142" s="194">
        <f t="shared" si="339"/>
        <v>43</v>
      </c>
    </row>
    <row r="1143" spans="22:41" x14ac:dyDescent="0.2">
      <c r="V1143" s="181">
        <f t="shared" si="340"/>
        <v>552.5</v>
      </c>
      <c r="W1143" s="181">
        <f t="shared" si="325"/>
        <v>1105</v>
      </c>
      <c r="X1143" s="181">
        <f t="shared" si="341"/>
        <v>1</v>
      </c>
      <c r="Y1143" s="37">
        <f t="shared" si="342"/>
        <v>1917.1</v>
      </c>
      <c r="Z1143" s="181">
        <f t="shared" si="326"/>
        <v>750.5</v>
      </c>
      <c r="AA1143" s="127">
        <f t="shared" si="327"/>
        <v>595.21331999999995</v>
      </c>
      <c r="AB1143" s="127">
        <f t="shared" si="328"/>
        <v>750.5</v>
      </c>
      <c r="AC1143" s="37">
        <f t="shared" si="333"/>
        <v>4903</v>
      </c>
      <c r="AD1143" s="37">
        <f t="shared" si="329"/>
        <v>6820.1</v>
      </c>
      <c r="AE1143" s="181">
        <f t="shared" si="334"/>
        <v>43</v>
      </c>
      <c r="AF1143" s="37">
        <f t="shared" si="343"/>
        <v>30186</v>
      </c>
      <c r="AG1143" s="181">
        <f t="shared" si="335"/>
        <v>1795.2</v>
      </c>
      <c r="AH1143" s="111">
        <f t="shared" si="330"/>
        <v>1188.7339679999998</v>
      </c>
      <c r="AI1143" s="127">
        <f t="shared" si="331"/>
        <v>1795.2</v>
      </c>
      <c r="AJ1143" s="37">
        <f t="shared" si="336"/>
        <v>11171.2</v>
      </c>
      <c r="AK1143" s="37">
        <f t="shared" si="332"/>
        <v>41357.199999999997</v>
      </c>
      <c r="AL1143" s="37">
        <f t="shared" si="337"/>
        <v>6.1720361990950225</v>
      </c>
      <c r="AN1143" s="37" t="str">
        <f t="shared" si="338"/>
        <v>Pallet</v>
      </c>
      <c r="AO1143" s="194">
        <f t="shared" si="339"/>
        <v>43</v>
      </c>
    </row>
    <row r="1144" spans="22:41" x14ac:dyDescent="0.2">
      <c r="V1144" s="181">
        <f t="shared" si="340"/>
        <v>553</v>
      </c>
      <c r="W1144" s="181">
        <f t="shared" si="325"/>
        <v>1106</v>
      </c>
      <c r="X1144" s="181">
        <f t="shared" si="341"/>
        <v>1</v>
      </c>
      <c r="Y1144" s="37">
        <f t="shared" si="342"/>
        <v>1917.1</v>
      </c>
      <c r="Z1144" s="181">
        <f t="shared" si="326"/>
        <v>751</v>
      </c>
      <c r="AA1144" s="127">
        <f t="shared" si="327"/>
        <v>595.21331999999995</v>
      </c>
      <c r="AB1144" s="127">
        <f t="shared" si="328"/>
        <v>751</v>
      </c>
      <c r="AC1144" s="37">
        <f t="shared" si="333"/>
        <v>4906</v>
      </c>
      <c r="AD1144" s="37">
        <f t="shared" si="329"/>
        <v>6823.1</v>
      </c>
      <c r="AE1144" s="181">
        <f t="shared" si="334"/>
        <v>43</v>
      </c>
      <c r="AF1144" s="37">
        <f t="shared" si="343"/>
        <v>30186</v>
      </c>
      <c r="AG1144" s="181">
        <f t="shared" si="335"/>
        <v>1795.7</v>
      </c>
      <c r="AH1144" s="111">
        <f t="shared" si="330"/>
        <v>1188.7339679999998</v>
      </c>
      <c r="AI1144" s="127">
        <f t="shared" si="331"/>
        <v>1795.7</v>
      </c>
      <c r="AJ1144" s="37">
        <f t="shared" si="336"/>
        <v>11174.2</v>
      </c>
      <c r="AK1144" s="37">
        <f t="shared" si="332"/>
        <v>41360.199999999997</v>
      </c>
      <c r="AL1144" s="37">
        <f t="shared" si="337"/>
        <v>6.1691681735985533</v>
      </c>
      <c r="AN1144" s="37" t="str">
        <f t="shared" si="338"/>
        <v>Pallet</v>
      </c>
      <c r="AO1144" s="194">
        <f t="shared" si="339"/>
        <v>43</v>
      </c>
    </row>
    <row r="1145" spans="22:41" x14ac:dyDescent="0.2">
      <c r="V1145" s="181">
        <f t="shared" si="340"/>
        <v>553.5</v>
      </c>
      <c r="W1145" s="181">
        <f t="shared" si="325"/>
        <v>1107</v>
      </c>
      <c r="X1145" s="181">
        <f t="shared" si="341"/>
        <v>1</v>
      </c>
      <c r="Y1145" s="37">
        <f t="shared" si="342"/>
        <v>1917.1</v>
      </c>
      <c r="Z1145" s="181">
        <f t="shared" si="326"/>
        <v>751.5</v>
      </c>
      <c r="AA1145" s="127">
        <f t="shared" si="327"/>
        <v>595.21331999999995</v>
      </c>
      <c r="AB1145" s="127">
        <f t="shared" si="328"/>
        <v>751.5</v>
      </c>
      <c r="AC1145" s="37">
        <f t="shared" si="333"/>
        <v>4909</v>
      </c>
      <c r="AD1145" s="37">
        <f t="shared" si="329"/>
        <v>6826.1</v>
      </c>
      <c r="AE1145" s="181">
        <f t="shared" si="334"/>
        <v>43</v>
      </c>
      <c r="AF1145" s="37">
        <f t="shared" si="343"/>
        <v>30186</v>
      </c>
      <c r="AG1145" s="181">
        <f t="shared" si="335"/>
        <v>1796.2</v>
      </c>
      <c r="AH1145" s="111">
        <f t="shared" si="330"/>
        <v>1188.7339679999998</v>
      </c>
      <c r="AI1145" s="127">
        <f t="shared" si="331"/>
        <v>1796.2</v>
      </c>
      <c r="AJ1145" s="37">
        <f t="shared" si="336"/>
        <v>11177.2</v>
      </c>
      <c r="AK1145" s="37">
        <f t="shared" si="332"/>
        <v>41363.199999999997</v>
      </c>
      <c r="AL1145" s="37">
        <f t="shared" si="337"/>
        <v>6.1663053297199646</v>
      </c>
      <c r="AN1145" s="37" t="str">
        <f t="shared" si="338"/>
        <v>Pallet</v>
      </c>
      <c r="AO1145" s="194">
        <f t="shared" si="339"/>
        <v>43</v>
      </c>
    </row>
    <row r="1146" spans="22:41" x14ac:dyDescent="0.2">
      <c r="V1146" s="181">
        <f t="shared" si="340"/>
        <v>554</v>
      </c>
      <c r="W1146" s="181">
        <f t="shared" si="325"/>
        <v>1108</v>
      </c>
      <c r="X1146" s="181">
        <f t="shared" si="341"/>
        <v>1</v>
      </c>
      <c r="Y1146" s="37">
        <f t="shared" si="342"/>
        <v>1917.1</v>
      </c>
      <c r="Z1146" s="181">
        <f t="shared" si="326"/>
        <v>752</v>
      </c>
      <c r="AA1146" s="127">
        <f t="shared" si="327"/>
        <v>595.21331999999995</v>
      </c>
      <c r="AB1146" s="127">
        <f t="shared" si="328"/>
        <v>752</v>
      </c>
      <c r="AC1146" s="37">
        <f t="shared" si="333"/>
        <v>4912</v>
      </c>
      <c r="AD1146" s="37">
        <f t="shared" si="329"/>
        <v>6829.1</v>
      </c>
      <c r="AE1146" s="181">
        <f t="shared" si="334"/>
        <v>43</v>
      </c>
      <c r="AF1146" s="37">
        <f t="shared" si="343"/>
        <v>30186</v>
      </c>
      <c r="AG1146" s="181">
        <f t="shared" si="335"/>
        <v>1796.7</v>
      </c>
      <c r="AH1146" s="111">
        <f t="shared" si="330"/>
        <v>1188.7339679999998</v>
      </c>
      <c r="AI1146" s="127">
        <f t="shared" si="331"/>
        <v>1796.7</v>
      </c>
      <c r="AJ1146" s="37">
        <f t="shared" si="336"/>
        <v>11180.2</v>
      </c>
      <c r="AK1146" s="37">
        <f t="shared" si="332"/>
        <v>41366.199999999997</v>
      </c>
      <c r="AL1146" s="37">
        <f t="shared" si="337"/>
        <v>6.1634476534296034</v>
      </c>
      <c r="AN1146" s="37" t="str">
        <f t="shared" si="338"/>
        <v>Pallet</v>
      </c>
      <c r="AO1146" s="194">
        <f t="shared" si="339"/>
        <v>43</v>
      </c>
    </row>
    <row r="1147" spans="22:41" x14ac:dyDescent="0.2">
      <c r="V1147" s="181">
        <f t="shared" si="340"/>
        <v>554.5</v>
      </c>
      <c r="W1147" s="181">
        <f t="shared" si="325"/>
        <v>1109</v>
      </c>
      <c r="X1147" s="181">
        <f t="shared" si="341"/>
        <v>1</v>
      </c>
      <c r="Y1147" s="37">
        <f t="shared" si="342"/>
        <v>1917.1</v>
      </c>
      <c r="Z1147" s="181">
        <f t="shared" si="326"/>
        <v>752.5</v>
      </c>
      <c r="AA1147" s="127">
        <f t="shared" si="327"/>
        <v>595.21331999999995</v>
      </c>
      <c r="AB1147" s="127">
        <f t="shared" si="328"/>
        <v>752.5</v>
      </c>
      <c r="AC1147" s="37">
        <f t="shared" si="333"/>
        <v>4915</v>
      </c>
      <c r="AD1147" s="37">
        <f t="shared" si="329"/>
        <v>6832.1</v>
      </c>
      <c r="AE1147" s="181">
        <f t="shared" si="334"/>
        <v>43</v>
      </c>
      <c r="AF1147" s="37">
        <f t="shared" si="343"/>
        <v>30186</v>
      </c>
      <c r="AG1147" s="181">
        <f t="shared" si="335"/>
        <v>1797.2</v>
      </c>
      <c r="AH1147" s="111">
        <f t="shared" si="330"/>
        <v>1188.7339679999998</v>
      </c>
      <c r="AI1147" s="127">
        <f t="shared" si="331"/>
        <v>1797.2</v>
      </c>
      <c r="AJ1147" s="37">
        <f t="shared" si="336"/>
        <v>11183.2</v>
      </c>
      <c r="AK1147" s="37">
        <f t="shared" si="332"/>
        <v>41369.199999999997</v>
      </c>
      <c r="AL1147" s="37">
        <f t="shared" si="337"/>
        <v>6.1605951307484226</v>
      </c>
      <c r="AN1147" s="37" t="str">
        <f t="shared" si="338"/>
        <v>Pallet</v>
      </c>
      <c r="AO1147" s="194">
        <f t="shared" si="339"/>
        <v>43</v>
      </c>
    </row>
    <row r="1148" spans="22:41" x14ac:dyDescent="0.2">
      <c r="V1148" s="181">
        <f t="shared" si="340"/>
        <v>555</v>
      </c>
      <c r="W1148" s="181">
        <f t="shared" si="325"/>
        <v>1110</v>
      </c>
      <c r="X1148" s="181">
        <f t="shared" si="341"/>
        <v>1</v>
      </c>
      <c r="Y1148" s="37">
        <f t="shared" si="342"/>
        <v>1917.1</v>
      </c>
      <c r="Z1148" s="181">
        <f t="shared" si="326"/>
        <v>753</v>
      </c>
      <c r="AA1148" s="127">
        <f t="shared" si="327"/>
        <v>595.21331999999995</v>
      </c>
      <c r="AB1148" s="127">
        <f t="shared" si="328"/>
        <v>753</v>
      </c>
      <c r="AC1148" s="37">
        <f t="shared" si="333"/>
        <v>4918</v>
      </c>
      <c r="AD1148" s="37">
        <f t="shared" si="329"/>
        <v>6835.1</v>
      </c>
      <c r="AE1148" s="181">
        <f t="shared" si="334"/>
        <v>44</v>
      </c>
      <c r="AF1148" s="37">
        <f t="shared" si="343"/>
        <v>30888</v>
      </c>
      <c r="AG1148" s="181">
        <f t="shared" si="335"/>
        <v>1826.6</v>
      </c>
      <c r="AH1148" s="111">
        <f t="shared" si="330"/>
        <v>1216.3789439999998</v>
      </c>
      <c r="AI1148" s="127">
        <f t="shared" si="331"/>
        <v>1826.6</v>
      </c>
      <c r="AJ1148" s="37">
        <f t="shared" si="336"/>
        <v>11359.599999999999</v>
      </c>
      <c r="AK1148" s="37">
        <f t="shared" si="332"/>
        <v>42247.6</v>
      </c>
      <c r="AL1148" s="37">
        <f t="shared" si="337"/>
        <v>6.1577477477477478</v>
      </c>
      <c r="AN1148" s="37" t="str">
        <f t="shared" si="338"/>
        <v>Pallet</v>
      </c>
      <c r="AO1148" s="194">
        <f t="shared" si="339"/>
        <v>43</v>
      </c>
    </row>
    <row r="1149" spans="22:41" x14ac:dyDescent="0.2">
      <c r="V1149" s="181">
        <f t="shared" si="340"/>
        <v>555.5</v>
      </c>
      <c r="W1149" s="181">
        <f t="shared" si="325"/>
        <v>1111</v>
      </c>
      <c r="X1149" s="181">
        <f t="shared" si="341"/>
        <v>1</v>
      </c>
      <c r="Y1149" s="37">
        <f t="shared" si="342"/>
        <v>1917.1</v>
      </c>
      <c r="Z1149" s="181">
        <f t="shared" si="326"/>
        <v>753.5</v>
      </c>
      <c r="AA1149" s="127">
        <f t="shared" si="327"/>
        <v>595.21331999999995</v>
      </c>
      <c r="AB1149" s="127">
        <f t="shared" si="328"/>
        <v>753.5</v>
      </c>
      <c r="AC1149" s="37">
        <f t="shared" si="333"/>
        <v>4921</v>
      </c>
      <c r="AD1149" s="37">
        <f t="shared" si="329"/>
        <v>6838.1</v>
      </c>
      <c r="AE1149" s="181">
        <f t="shared" si="334"/>
        <v>44</v>
      </c>
      <c r="AF1149" s="37">
        <f t="shared" si="343"/>
        <v>30888</v>
      </c>
      <c r="AG1149" s="181">
        <f t="shared" si="335"/>
        <v>1827.1</v>
      </c>
      <c r="AH1149" s="111">
        <f t="shared" si="330"/>
        <v>1216.3789439999998</v>
      </c>
      <c r="AI1149" s="127">
        <f t="shared" si="331"/>
        <v>1827.1</v>
      </c>
      <c r="AJ1149" s="37">
        <f t="shared" si="336"/>
        <v>11362.599999999999</v>
      </c>
      <c r="AK1149" s="37">
        <f t="shared" si="332"/>
        <v>42250.6</v>
      </c>
      <c r="AL1149" s="37">
        <f t="shared" si="337"/>
        <v>6.154905490549055</v>
      </c>
      <c r="AN1149" s="37" t="str">
        <f t="shared" si="338"/>
        <v>Pallet</v>
      </c>
      <c r="AO1149" s="194">
        <f t="shared" si="339"/>
        <v>44</v>
      </c>
    </row>
    <row r="1150" spans="22:41" x14ac:dyDescent="0.2">
      <c r="V1150" s="181">
        <f t="shared" si="340"/>
        <v>556</v>
      </c>
      <c r="W1150" s="181">
        <f t="shared" si="325"/>
        <v>1112</v>
      </c>
      <c r="X1150" s="181">
        <f t="shared" si="341"/>
        <v>1</v>
      </c>
      <c r="Y1150" s="37">
        <f t="shared" si="342"/>
        <v>1917.1</v>
      </c>
      <c r="Z1150" s="181">
        <f t="shared" si="326"/>
        <v>754</v>
      </c>
      <c r="AA1150" s="127">
        <f t="shared" si="327"/>
        <v>595.21331999999995</v>
      </c>
      <c r="AB1150" s="127">
        <f t="shared" si="328"/>
        <v>754</v>
      </c>
      <c r="AC1150" s="37">
        <f t="shared" si="333"/>
        <v>4924</v>
      </c>
      <c r="AD1150" s="37">
        <f t="shared" si="329"/>
        <v>6841.1</v>
      </c>
      <c r="AE1150" s="181">
        <f t="shared" si="334"/>
        <v>44</v>
      </c>
      <c r="AF1150" s="37">
        <f t="shared" si="343"/>
        <v>30888</v>
      </c>
      <c r="AG1150" s="181">
        <f t="shared" si="335"/>
        <v>1827.6</v>
      </c>
      <c r="AH1150" s="111">
        <f t="shared" si="330"/>
        <v>1216.3789439999998</v>
      </c>
      <c r="AI1150" s="127">
        <f t="shared" si="331"/>
        <v>1827.6</v>
      </c>
      <c r="AJ1150" s="37">
        <f t="shared" si="336"/>
        <v>11365.599999999999</v>
      </c>
      <c r="AK1150" s="37">
        <f t="shared" si="332"/>
        <v>42253.599999999999</v>
      </c>
      <c r="AL1150" s="37">
        <f t="shared" si="337"/>
        <v>6.152068345323741</v>
      </c>
      <c r="AN1150" s="37" t="str">
        <f t="shared" si="338"/>
        <v>Pallet</v>
      </c>
      <c r="AO1150" s="194">
        <f t="shared" si="339"/>
        <v>44</v>
      </c>
    </row>
    <row r="1151" spans="22:41" x14ac:dyDescent="0.2">
      <c r="V1151" s="181">
        <f t="shared" si="340"/>
        <v>556.5</v>
      </c>
      <c r="W1151" s="181">
        <f t="shared" si="325"/>
        <v>1113</v>
      </c>
      <c r="X1151" s="181">
        <f t="shared" si="341"/>
        <v>1</v>
      </c>
      <c r="Y1151" s="37">
        <f t="shared" si="342"/>
        <v>1917.1</v>
      </c>
      <c r="Z1151" s="181">
        <f t="shared" si="326"/>
        <v>754.5</v>
      </c>
      <c r="AA1151" s="127">
        <f t="shared" si="327"/>
        <v>595.21331999999995</v>
      </c>
      <c r="AB1151" s="127">
        <f t="shared" si="328"/>
        <v>754.5</v>
      </c>
      <c r="AC1151" s="37">
        <f t="shared" si="333"/>
        <v>4927</v>
      </c>
      <c r="AD1151" s="37">
        <f t="shared" si="329"/>
        <v>6844.1</v>
      </c>
      <c r="AE1151" s="181">
        <f t="shared" si="334"/>
        <v>44</v>
      </c>
      <c r="AF1151" s="37">
        <f t="shared" si="343"/>
        <v>30888</v>
      </c>
      <c r="AG1151" s="181">
        <f t="shared" si="335"/>
        <v>1828.1</v>
      </c>
      <c r="AH1151" s="111">
        <f t="shared" si="330"/>
        <v>1216.3789439999998</v>
      </c>
      <c r="AI1151" s="127">
        <f t="shared" si="331"/>
        <v>1828.1</v>
      </c>
      <c r="AJ1151" s="37">
        <f t="shared" si="336"/>
        <v>11368.599999999999</v>
      </c>
      <c r="AK1151" s="37">
        <f t="shared" si="332"/>
        <v>42256.6</v>
      </c>
      <c r="AL1151" s="37">
        <f t="shared" si="337"/>
        <v>6.1492362982929025</v>
      </c>
      <c r="AN1151" s="37" t="str">
        <f t="shared" si="338"/>
        <v>Pallet</v>
      </c>
      <c r="AO1151" s="194">
        <f t="shared" si="339"/>
        <v>44</v>
      </c>
    </row>
    <row r="1152" spans="22:41" x14ac:dyDescent="0.2">
      <c r="V1152" s="181">
        <f t="shared" si="340"/>
        <v>557</v>
      </c>
      <c r="W1152" s="181">
        <f t="shared" si="325"/>
        <v>1114</v>
      </c>
      <c r="X1152" s="181">
        <f t="shared" si="341"/>
        <v>1</v>
      </c>
      <c r="Y1152" s="37">
        <f t="shared" si="342"/>
        <v>1917.1</v>
      </c>
      <c r="Z1152" s="181">
        <f t="shared" si="326"/>
        <v>755</v>
      </c>
      <c r="AA1152" s="127">
        <f t="shared" si="327"/>
        <v>595.21331999999995</v>
      </c>
      <c r="AB1152" s="127">
        <f t="shared" si="328"/>
        <v>755</v>
      </c>
      <c r="AC1152" s="37">
        <f t="shared" si="333"/>
        <v>4930</v>
      </c>
      <c r="AD1152" s="37">
        <f t="shared" si="329"/>
        <v>6847.1</v>
      </c>
      <c r="AE1152" s="181">
        <f t="shared" si="334"/>
        <v>44</v>
      </c>
      <c r="AF1152" s="37">
        <f t="shared" si="343"/>
        <v>30888</v>
      </c>
      <c r="AG1152" s="181">
        <f t="shared" si="335"/>
        <v>1828.6</v>
      </c>
      <c r="AH1152" s="111">
        <f t="shared" si="330"/>
        <v>1216.3789439999998</v>
      </c>
      <c r="AI1152" s="127">
        <f t="shared" si="331"/>
        <v>1828.6</v>
      </c>
      <c r="AJ1152" s="37">
        <f t="shared" si="336"/>
        <v>11371.599999999999</v>
      </c>
      <c r="AK1152" s="37">
        <f t="shared" si="332"/>
        <v>42259.6</v>
      </c>
      <c r="AL1152" s="37">
        <f t="shared" si="337"/>
        <v>6.1464093357271095</v>
      </c>
      <c r="AN1152" s="37" t="str">
        <f t="shared" si="338"/>
        <v>Pallet</v>
      </c>
      <c r="AO1152" s="194">
        <f t="shared" si="339"/>
        <v>44</v>
      </c>
    </row>
    <row r="1153" spans="22:41" x14ac:dyDescent="0.2">
      <c r="V1153" s="181">
        <f t="shared" si="340"/>
        <v>557.5</v>
      </c>
      <c r="W1153" s="181">
        <f t="shared" si="325"/>
        <v>1115</v>
      </c>
      <c r="X1153" s="181">
        <f t="shared" si="341"/>
        <v>1</v>
      </c>
      <c r="Y1153" s="37">
        <f t="shared" si="342"/>
        <v>1917.1</v>
      </c>
      <c r="Z1153" s="181">
        <f t="shared" si="326"/>
        <v>755.5</v>
      </c>
      <c r="AA1153" s="127">
        <f t="shared" si="327"/>
        <v>595.21331999999995</v>
      </c>
      <c r="AB1153" s="127">
        <f t="shared" si="328"/>
        <v>755.5</v>
      </c>
      <c r="AC1153" s="37">
        <f t="shared" si="333"/>
        <v>4933</v>
      </c>
      <c r="AD1153" s="37">
        <f t="shared" si="329"/>
        <v>6850.1</v>
      </c>
      <c r="AE1153" s="181">
        <f t="shared" si="334"/>
        <v>44</v>
      </c>
      <c r="AF1153" s="37">
        <f t="shared" si="343"/>
        <v>30888</v>
      </c>
      <c r="AG1153" s="181">
        <f t="shared" si="335"/>
        <v>1829.1</v>
      </c>
      <c r="AH1153" s="111">
        <f t="shared" si="330"/>
        <v>1216.3789439999998</v>
      </c>
      <c r="AI1153" s="127">
        <f t="shared" si="331"/>
        <v>1829.1</v>
      </c>
      <c r="AJ1153" s="37">
        <f t="shared" si="336"/>
        <v>11374.599999999999</v>
      </c>
      <c r="AK1153" s="37">
        <f t="shared" si="332"/>
        <v>42262.6</v>
      </c>
      <c r="AL1153" s="37">
        <f t="shared" si="337"/>
        <v>6.1435874439461884</v>
      </c>
      <c r="AN1153" s="37" t="str">
        <f t="shared" si="338"/>
        <v>Pallet</v>
      </c>
      <c r="AO1153" s="194">
        <f t="shared" si="339"/>
        <v>44</v>
      </c>
    </row>
    <row r="1154" spans="22:41" x14ac:dyDescent="0.2">
      <c r="V1154" s="181">
        <f t="shared" si="340"/>
        <v>558</v>
      </c>
      <c r="W1154" s="181">
        <f t="shared" si="325"/>
        <v>1116</v>
      </c>
      <c r="X1154" s="181">
        <f t="shared" si="341"/>
        <v>1</v>
      </c>
      <c r="Y1154" s="37">
        <f t="shared" si="342"/>
        <v>1917.1</v>
      </c>
      <c r="Z1154" s="181">
        <f t="shared" si="326"/>
        <v>756</v>
      </c>
      <c r="AA1154" s="127">
        <f t="shared" si="327"/>
        <v>595.21331999999995</v>
      </c>
      <c r="AB1154" s="127">
        <f t="shared" si="328"/>
        <v>756</v>
      </c>
      <c r="AC1154" s="37">
        <f t="shared" si="333"/>
        <v>4936</v>
      </c>
      <c r="AD1154" s="37">
        <f t="shared" si="329"/>
        <v>6853.1</v>
      </c>
      <c r="AE1154" s="181">
        <f t="shared" si="334"/>
        <v>44</v>
      </c>
      <c r="AF1154" s="37">
        <f t="shared" si="343"/>
        <v>30888</v>
      </c>
      <c r="AG1154" s="181">
        <f t="shared" si="335"/>
        <v>1829.6</v>
      </c>
      <c r="AH1154" s="111">
        <f t="shared" si="330"/>
        <v>1216.3789439999998</v>
      </c>
      <c r="AI1154" s="127">
        <f t="shared" si="331"/>
        <v>1829.6</v>
      </c>
      <c r="AJ1154" s="37">
        <f t="shared" si="336"/>
        <v>11377.599999999999</v>
      </c>
      <c r="AK1154" s="37">
        <f t="shared" si="332"/>
        <v>42265.599999999999</v>
      </c>
      <c r="AL1154" s="37">
        <f t="shared" si="337"/>
        <v>6.1407706093189969</v>
      </c>
      <c r="AN1154" s="37" t="str">
        <f t="shared" si="338"/>
        <v>Pallet</v>
      </c>
      <c r="AO1154" s="194">
        <f t="shared" si="339"/>
        <v>44</v>
      </c>
    </row>
    <row r="1155" spans="22:41" x14ac:dyDescent="0.2">
      <c r="V1155" s="181">
        <f t="shared" si="340"/>
        <v>558.5</v>
      </c>
      <c r="W1155" s="181">
        <f t="shared" si="325"/>
        <v>1117</v>
      </c>
      <c r="X1155" s="181">
        <f t="shared" si="341"/>
        <v>1</v>
      </c>
      <c r="Y1155" s="37">
        <f t="shared" si="342"/>
        <v>1917.1</v>
      </c>
      <c r="Z1155" s="181">
        <f t="shared" si="326"/>
        <v>756.5</v>
      </c>
      <c r="AA1155" s="127">
        <f t="shared" si="327"/>
        <v>595.21331999999995</v>
      </c>
      <c r="AB1155" s="127">
        <f t="shared" si="328"/>
        <v>756.5</v>
      </c>
      <c r="AC1155" s="37">
        <f t="shared" si="333"/>
        <v>4939</v>
      </c>
      <c r="AD1155" s="37">
        <f t="shared" si="329"/>
        <v>6856.1</v>
      </c>
      <c r="AE1155" s="181">
        <f t="shared" si="334"/>
        <v>44</v>
      </c>
      <c r="AF1155" s="37">
        <f t="shared" si="343"/>
        <v>30888</v>
      </c>
      <c r="AG1155" s="181">
        <f t="shared" si="335"/>
        <v>1830.1</v>
      </c>
      <c r="AH1155" s="111">
        <f t="shared" si="330"/>
        <v>1216.3789439999998</v>
      </c>
      <c r="AI1155" s="127">
        <f t="shared" si="331"/>
        <v>1830.1</v>
      </c>
      <c r="AJ1155" s="37">
        <f t="shared" si="336"/>
        <v>11380.599999999999</v>
      </c>
      <c r="AK1155" s="37">
        <f t="shared" si="332"/>
        <v>42268.6</v>
      </c>
      <c r="AL1155" s="37">
        <f t="shared" si="337"/>
        <v>6.137958818263205</v>
      </c>
      <c r="AN1155" s="37" t="str">
        <f t="shared" si="338"/>
        <v>Pallet</v>
      </c>
      <c r="AO1155" s="194">
        <f t="shared" si="339"/>
        <v>44</v>
      </c>
    </row>
    <row r="1156" spans="22:41" x14ac:dyDescent="0.2">
      <c r="V1156" s="181">
        <f t="shared" si="340"/>
        <v>559</v>
      </c>
      <c r="W1156" s="181">
        <f t="shared" si="325"/>
        <v>1118</v>
      </c>
      <c r="X1156" s="181">
        <f t="shared" si="341"/>
        <v>1</v>
      </c>
      <c r="Y1156" s="37">
        <f t="shared" si="342"/>
        <v>1917.1</v>
      </c>
      <c r="Z1156" s="181">
        <f t="shared" si="326"/>
        <v>757</v>
      </c>
      <c r="AA1156" s="127">
        <f t="shared" si="327"/>
        <v>595.21331999999995</v>
      </c>
      <c r="AB1156" s="127">
        <f t="shared" si="328"/>
        <v>757</v>
      </c>
      <c r="AC1156" s="37">
        <f t="shared" si="333"/>
        <v>4942</v>
      </c>
      <c r="AD1156" s="37">
        <f t="shared" si="329"/>
        <v>6859.1</v>
      </c>
      <c r="AE1156" s="181">
        <f t="shared" si="334"/>
        <v>44</v>
      </c>
      <c r="AF1156" s="37">
        <f t="shared" si="343"/>
        <v>30888</v>
      </c>
      <c r="AG1156" s="181">
        <f t="shared" si="335"/>
        <v>1830.6</v>
      </c>
      <c r="AH1156" s="111">
        <f t="shared" si="330"/>
        <v>1216.3789439999998</v>
      </c>
      <c r="AI1156" s="127">
        <f t="shared" si="331"/>
        <v>1830.6</v>
      </c>
      <c r="AJ1156" s="37">
        <f t="shared" si="336"/>
        <v>11383.599999999999</v>
      </c>
      <c r="AK1156" s="37">
        <f t="shared" si="332"/>
        <v>42271.6</v>
      </c>
      <c r="AL1156" s="37">
        <f t="shared" si="337"/>
        <v>6.1351520572450804</v>
      </c>
      <c r="AN1156" s="37" t="str">
        <f t="shared" si="338"/>
        <v>Pallet</v>
      </c>
      <c r="AO1156" s="194">
        <f t="shared" si="339"/>
        <v>44</v>
      </c>
    </row>
    <row r="1157" spans="22:41" x14ac:dyDescent="0.2">
      <c r="V1157" s="181">
        <f t="shared" si="340"/>
        <v>559.5</v>
      </c>
      <c r="W1157" s="181">
        <f t="shared" si="325"/>
        <v>1119</v>
      </c>
      <c r="X1157" s="181">
        <f t="shared" si="341"/>
        <v>1</v>
      </c>
      <c r="Y1157" s="37">
        <f t="shared" si="342"/>
        <v>1917.1</v>
      </c>
      <c r="Z1157" s="181">
        <f t="shared" si="326"/>
        <v>757.5</v>
      </c>
      <c r="AA1157" s="127">
        <f t="shared" si="327"/>
        <v>595.21331999999995</v>
      </c>
      <c r="AB1157" s="127">
        <f t="shared" si="328"/>
        <v>757.5</v>
      </c>
      <c r="AC1157" s="37">
        <f t="shared" si="333"/>
        <v>4945</v>
      </c>
      <c r="AD1157" s="37">
        <f t="shared" si="329"/>
        <v>6862.1</v>
      </c>
      <c r="AE1157" s="181">
        <f t="shared" si="334"/>
        <v>44</v>
      </c>
      <c r="AF1157" s="37">
        <f t="shared" si="343"/>
        <v>30888</v>
      </c>
      <c r="AG1157" s="181">
        <f t="shared" si="335"/>
        <v>1831.1</v>
      </c>
      <c r="AH1157" s="111">
        <f t="shared" si="330"/>
        <v>1216.3789439999998</v>
      </c>
      <c r="AI1157" s="127">
        <f t="shared" si="331"/>
        <v>1831.1</v>
      </c>
      <c r="AJ1157" s="37">
        <f t="shared" si="336"/>
        <v>11386.599999999999</v>
      </c>
      <c r="AK1157" s="37">
        <f t="shared" si="332"/>
        <v>42274.6</v>
      </c>
      <c r="AL1157" s="37">
        <f t="shared" si="337"/>
        <v>6.1323503127792671</v>
      </c>
      <c r="AN1157" s="37" t="str">
        <f t="shared" si="338"/>
        <v>Pallet</v>
      </c>
      <c r="AO1157" s="194">
        <f t="shared" si="339"/>
        <v>44</v>
      </c>
    </row>
    <row r="1158" spans="22:41" x14ac:dyDescent="0.2">
      <c r="V1158" s="181">
        <f t="shared" si="340"/>
        <v>560</v>
      </c>
      <c r="W1158" s="181">
        <f t="shared" si="325"/>
        <v>1120</v>
      </c>
      <c r="X1158" s="181">
        <f t="shared" si="341"/>
        <v>1</v>
      </c>
      <c r="Y1158" s="37">
        <f t="shared" si="342"/>
        <v>1917.1</v>
      </c>
      <c r="Z1158" s="181">
        <f t="shared" si="326"/>
        <v>758</v>
      </c>
      <c r="AA1158" s="127">
        <f t="shared" si="327"/>
        <v>595.21331999999995</v>
      </c>
      <c r="AB1158" s="127">
        <f t="shared" si="328"/>
        <v>758</v>
      </c>
      <c r="AC1158" s="37">
        <f t="shared" si="333"/>
        <v>4948</v>
      </c>
      <c r="AD1158" s="37">
        <f t="shared" si="329"/>
        <v>6865.1</v>
      </c>
      <c r="AE1158" s="181">
        <f t="shared" si="334"/>
        <v>44</v>
      </c>
      <c r="AF1158" s="37">
        <f t="shared" si="343"/>
        <v>30888</v>
      </c>
      <c r="AG1158" s="181">
        <f t="shared" si="335"/>
        <v>1831.6</v>
      </c>
      <c r="AH1158" s="111">
        <f t="shared" si="330"/>
        <v>1216.3789439999998</v>
      </c>
      <c r="AI1158" s="127">
        <f t="shared" si="331"/>
        <v>1831.6</v>
      </c>
      <c r="AJ1158" s="37">
        <f t="shared" si="336"/>
        <v>11389.599999999999</v>
      </c>
      <c r="AK1158" s="37">
        <f t="shared" si="332"/>
        <v>42277.599999999999</v>
      </c>
      <c r="AL1158" s="37">
        <f t="shared" si="337"/>
        <v>6.1295535714285716</v>
      </c>
      <c r="AN1158" s="37" t="str">
        <f t="shared" si="338"/>
        <v>Pallet</v>
      </c>
      <c r="AO1158" s="194">
        <f t="shared" si="339"/>
        <v>44</v>
      </c>
    </row>
    <row r="1159" spans="22:41" x14ac:dyDescent="0.2">
      <c r="V1159" s="181">
        <f t="shared" si="340"/>
        <v>560.5</v>
      </c>
      <c r="W1159" s="181">
        <f t="shared" si="325"/>
        <v>1121</v>
      </c>
      <c r="X1159" s="181">
        <f t="shared" si="341"/>
        <v>1</v>
      </c>
      <c r="Y1159" s="37">
        <f t="shared" si="342"/>
        <v>1917.1</v>
      </c>
      <c r="Z1159" s="181">
        <f t="shared" si="326"/>
        <v>758.5</v>
      </c>
      <c r="AA1159" s="127">
        <f t="shared" si="327"/>
        <v>595.21331999999995</v>
      </c>
      <c r="AB1159" s="127">
        <f t="shared" si="328"/>
        <v>758.5</v>
      </c>
      <c r="AC1159" s="37">
        <f t="shared" si="333"/>
        <v>4951</v>
      </c>
      <c r="AD1159" s="37">
        <f t="shared" si="329"/>
        <v>6868.1</v>
      </c>
      <c r="AE1159" s="181">
        <f t="shared" si="334"/>
        <v>44</v>
      </c>
      <c r="AF1159" s="37">
        <f t="shared" si="343"/>
        <v>30888</v>
      </c>
      <c r="AG1159" s="181">
        <f t="shared" si="335"/>
        <v>1832.1</v>
      </c>
      <c r="AH1159" s="111">
        <f t="shared" si="330"/>
        <v>1216.3789439999998</v>
      </c>
      <c r="AI1159" s="127">
        <f t="shared" si="331"/>
        <v>1832.1</v>
      </c>
      <c r="AJ1159" s="37">
        <f t="shared" si="336"/>
        <v>11392.599999999999</v>
      </c>
      <c r="AK1159" s="37">
        <f t="shared" si="332"/>
        <v>42280.6</v>
      </c>
      <c r="AL1159" s="37">
        <f t="shared" si="337"/>
        <v>6.1267618198037468</v>
      </c>
      <c r="AN1159" s="37" t="str">
        <f t="shared" si="338"/>
        <v>Pallet</v>
      </c>
      <c r="AO1159" s="194">
        <f t="shared" si="339"/>
        <v>44</v>
      </c>
    </row>
    <row r="1160" spans="22:41" x14ac:dyDescent="0.2">
      <c r="V1160" s="181">
        <f t="shared" si="340"/>
        <v>561</v>
      </c>
      <c r="W1160" s="181">
        <f t="shared" si="325"/>
        <v>1122</v>
      </c>
      <c r="X1160" s="181">
        <f t="shared" si="341"/>
        <v>2</v>
      </c>
      <c r="Y1160" s="37">
        <f t="shared" si="342"/>
        <v>3834.2</v>
      </c>
      <c r="Z1160" s="181">
        <f t="shared" si="326"/>
        <v>957</v>
      </c>
      <c r="AA1160" s="127">
        <f t="shared" si="327"/>
        <v>1190.4266399999999</v>
      </c>
      <c r="AB1160" s="127">
        <f t="shared" si="328"/>
        <v>1190.4266399999999</v>
      </c>
      <c r="AC1160" s="37">
        <f t="shared" si="333"/>
        <v>7542.5598399999999</v>
      </c>
      <c r="AD1160" s="37">
        <f t="shared" si="329"/>
        <v>11376.759839999999</v>
      </c>
      <c r="AE1160" s="181">
        <f t="shared" si="334"/>
        <v>44</v>
      </c>
      <c r="AF1160" s="37">
        <f t="shared" si="343"/>
        <v>30888</v>
      </c>
      <c r="AG1160" s="181">
        <f t="shared" si="335"/>
        <v>1832.6</v>
      </c>
      <c r="AH1160" s="111">
        <f t="shared" si="330"/>
        <v>1216.3789439999998</v>
      </c>
      <c r="AI1160" s="127">
        <f t="shared" si="331"/>
        <v>1832.6</v>
      </c>
      <c r="AJ1160" s="37">
        <f t="shared" si="336"/>
        <v>11395.599999999999</v>
      </c>
      <c r="AK1160" s="37">
        <f t="shared" si="332"/>
        <v>42283.6</v>
      </c>
      <c r="AL1160" s="37">
        <f t="shared" si="337"/>
        <v>10.139714652406417</v>
      </c>
      <c r="AN1160" s="37" t="str">
        <f t="shared" si="338"/>
        <v>Pallet</v>
      </c>
      <c r="AO1160" s="194">
        <f t="shared" si="339"/>
        <v>44</v>
      </c>
    </row>
    <row r="1161" spans="22:41" x14ac:dyDescent="0.2">
      <c r="V1161" s="181">
        <f t="shared" si="340"/>
        <v>561.5</v>
      </c>
      <c r="W1161" s="181">
        <f t="shared" si="325"/>
        <v>1123</v>
      </c>
      <c r="X1161" s="181">
        <f t="shared" si="341"/>
        <v>2</v>
      </c>
      <c r="Y1161" s="37">
        <f t="shared" si="342"/>
        <v>3834.2</v>
      </c>
      <c r="Z1161" s="181">
        <f t="shared" si="326"/>
        <v>957.5</v>
      </c>
      <c r="AA1161" s="127">
        <f t="shared" si="327"/>
        <v>1190.4266399999999</v>
      </c>
      <c r="AB1161" s="127">
        <f t="shared" si="328"/>
        <v>1190.4266399999999</v>
      </c>
      <c r="AC1161" s="37">
        <f t="shared" si="333"/>
        <v>7542.5598399999999</v>
      </c>
      <c r="AD1161" s="37">
        <f t="shared" si="329"/>
        <v>11376.759839999999</v>
      </c>
      <c r="AE1161" s="181">
        <f t="shared" si="334"/>
        <v>44</v>
      </c>
      <c r="AF1161" s="37">
        <f t="shared" si="343"/>
        <v>30888</v>
      </c>
      <c r="AG1161" s="181">
        <f t="shared" si="335"/>
        <v>1833.1</v>
      </c>
      <c r="AH1161" s="111">
        <f t="shared" si="330"/>
        <v>1216.3789439999998</v>
      </c>
      <c r="AI1161" s="127">
        <f t="shared" si="331"/>
        <v>1833.1</v>
      </c>
      <c r="AJ1161" s="37">
        <f t="shared" si="336"/>
        <v>11398.599999999999</v>
      </c>
      <c r="AK1161" s="37">
        <f t="shared" si="332"/>
        <v>42286.6</v>
      </c>
      <c r="AL1161" s="37">
        <f t="shared" si="337"/>
        <v>10.13068552092609</v>
      </c>
      <c r="AN1161" s="37" t="str">
        <f t="shared" si="338"/>
        <v>Pallet</v>
      </c>
      <c r="AO1161" s="194">
        <f t="shared" si="339"/>
        <v>44</v>
      </c>
    </row>
    <row r="1162" spans="22:41" x14ac:dyDescent="0.2">
      <c r="V1162" s="181">
        <f t="shared" si="340"/>
        <v>562</v>
      </c>
      <c r="W1162" s="181">
        <f t="shared" si="325"/>
        <v>1124</v>
      </c>
      <c r="X1162" s="181">
        <f t="shared" si="341"/>
        <v>2</v>
      </c>
      <c r="Y1162" s="37">
        <f t="shared" si="342"/>
        <v>3834.2</v>
      </c>
      <c r="Z1162" s="181">
        <f t="shared" si="326"/>
        <v>958</v>
      </c>
      <c r="AA1162" s="127">
        <f t="shared" si="327"/>
        <v>1190.4266399999999</v>
      </c>
      <c r="AB1162" s="127">
        <f t="shared" si="328"/>
        <v>1190.4266399999999</v>
      </c>
      <c r="AC1162" s="37">
        <f t="shared" si="333"/>
        <v>7542.5598399999999</v>
      </c>
      <c r="AD1162" s="37">
        <f t="shared" si="329"/>
        <v>11376.759839999999</v>
      </c>
      <c r="AE1162" s="181">
        <f t="shared" si="334"/>
        <v>44</v>
      </c>
      <c r="AF1162" s="37">
        <f t="shared" si="343"/>
        <v>30888</v>
      </c>
      <c r="AG1162" s="181">
        <f t="shared" si="335"/>
        <v>1833.6</v>
      </c>
      <c r="AH1162" s="111">
        <f t="shared" si="330"/>
        <v>1216.3789439999998</v>
      </c>
      <c r="AI1162" s="127">
        <f t="shared" si="331"/>
        <v>1833.6</v>
      </c>
      <c r="AJ1162" s="37">
        <f t="shared" si="336"/>
        <v>11401.599999999999</v>
      </c>
      <c r="AK1162" s="37">
        <f t="shared" si="332"/>
        <v>42289.599999999999</v>
      </c>
      <c r="AL1162" s="37">
        <f t="shared" si="337"/>
        <v>10.121672455516013</v>
      </c>
      <c r="AN1162" s="37" t="str">
        <f t="shared" si="338"/>
        <v>Pallet</v>
      </c>
      <c r="AO1162" s="194">
        <f t="shared" si="339"/>
        <v>44</v>
      </c>
    </row>
    <row r="1163" spans="22:41" x14ac:dyDescent="0.2">
      <c r="V1163" s="181">
        <f t="shared" si="340"/>
        <v>562.5</v>
      </c>
      <c r="W1163" s="181">
        <f t="shared" si="325"/>
        <v>1125</v>
      </c>
      <c r="X1163" s="181">
        <f t="shared" si="341"/>
        <v>2</v>
      </c>
      <c r="Y1163" s="37">
        <f t="shared" si="342"/>
        <v>3834.2</v>
      </c>
      <c r="Z1163" s="181">
        <f t="shared" si="326"/>
        <v>958.5</v>
      </c>
      <c r="AA1163" s="127">
        <f t="shared" si="327"/>
        <v>1190.4266399999999</v>
      </c>
      <c r="AB1163" s="127">
        <f t="shared" si="328"/>
        <v>1190.4266399999999</v>
      </c>
      <c r="AC1163" s="37">
        <f t="shared" si="333"/>
        <v>7542.5598399999999</v>
      </c>
      <c r="AD1163" s="37">
        <f t="shared" si="329"/>
        <v>11376.759839999999</v>
      </c>
      <c r="AE1163" s="181">
        <f t="shared" si="334"/>
        <v>44</v>
      </c>
      <c r="AF1163" s="37">
        <f t="shared" si="343"/>
        <v>30888</v>
      </c>
      <c r="AG1163" s="181">
        <f t="shared" si="335"/>
        <v>1834.1</v>
      </c>
      <c r="AH1163" s="111">
        <f t="shared" si="330"/>
        <v>1216.3789439999998</v>
      </c>
      <c r="AI1163" s="127">
        <f t="shared" si="331"/>
        <v>1834.1</v>
      </c>
      <c r="AJ1163" s="37">
        <f t="shared" si="336"/>
        <v>11404.599999999999</v>
      </c>
      <c r="AK1163" s="37">
        <f t="shared" si="332"/>
        <v>42292.6</v>
      </c>
      <c r="AL1163" s="37">
        <f t="shared" si="337"/>
        <v>10.112675413333331</v>
      </c>
      <c r="AN1163" s="37" t="str">
        <f t="shared" si="338"/>
        <v>Pallet</v>
      </c>
      <c r="AO1163" s="194">
        <f t="shared" si="339"/>
        <v>44</v>
      </c>
    </row>
    <row r="1164" spans="22:41" x14ac:dyDescent="0.2">
      <c r="V1164" s="181">
        <f t="shared" si="340"/>
        <v>563</v>
      </c>
      <c r="W1164" s="181">
        <f t="shared" si="325"/>
        <v>1126</v>
      </c>
      <c r="X1164" s="181">
        <f t="shared" si="341"/>
        <v>2</v>
      </c>
      <c r="Y1164" s="37">
        <f t="shared" si="342"/>
        <v>3834.2</v>
      </c>
      <c r="Z1164" s="181">
        <f t="shared" si="326"/>
        <v>959</v>
      </c>
      <c r="AA1164" s="127">
        <f t="shared" si="327"/>
        <v>1190.4266399999999</v>
      </c>
      <c r="AB1164" s="127">
        <f t="shared" si="328"/>
        <v>1190.4266399999999</v>
      </c>
      <c r="AC1164" s="37">
        <f t="shared" si="333"/>
        <v>7542.5598399999999</v>
      </c>
      <c r="AD1164" s="37">
        <f t="shared" si="329"/>
        <v>11376.759839999999</v>
      </c>
      <c r="AE1164" s="181">
        <f t="shared" si="334"/>
        <v>44</v>
      </c>
      <c r="AF1164" s="37">
        <f t="shared" si="343"/>
        <v>30888</v>
      </c>
      <c r="AG1164" s="181">
        <f t="shared" si="335"/>
        <v>1834.6</v>
      </c>
      <c r="AH1164" s="111">
        <f t="shared" si="330"/>
        <v>1216.3789439999998</v>
      </c>
      <c r="AI1164" s="127">
        <f t="shared" si="331"/>
        <v>1834.6</v>
      </c>
      <c r="AJ1164" s="37">
        <f t="shared" si="336"/>
        <v>11407.599999999999</v>
      </c>
      <c r="AK1164" s="37">
        <f t="shared" si="332"/>
        <v>42295.6</v>
      </c>
      <c r="AL1164" s="37">
        <f t="shared" si="337"/>
        <v>10.103694351687388</v>
      </c>
      <c r="AN1164" s="37" t="str">
        <f t="shared" si="338"/>
        <v>Pallet</v>
      </c>
      <c r="AO1164" s="194">
        <f t="shared" si="339"/>
        <v>44</v>
      </c>
    </row>
    <row r="1165" spans="22:41" x14ac:dyDescent="0.2">
      <c r="V1165" s="181">
        <f t="shared" si="340"/>
        <v>563.5</v>
      </c>
      <c r="W1165" s="181">
        <f t="shared" si="325"/>
        <v>1127</v>
      </c>
      <c r="X1165" s="181">
        <f t="shared" si="341"/>
        <v>2</v>
      </c>
      <c r="Y1165" s="37">
        <f t="shared" si="342"/>
        <v>3834.2</v>
      </c>
      <c r="Z1165" s="181">
        <f t="shared" si="326"/>
        <v>959.5</v>
      </c>
      <c r="AA1165" s="127">
        <f t="shared" si="327"/>
        <v>1190.4266399999999</v>
      </c>
      <c r="AB1165" s="127">
        <f t="shared" si="328"/>
        <v>1190.4266399999999</v>
      </c>
      <c r="AC1165" s="37">
        <f t="shared" si="333"/>
        <v>7542.5598399999999</v>
      </c>
      <c r="AD1165" s="37">
        <f t="shared" si="329"/>
        <v>11376.759839999999</v>
      </c>
      <c r="AE1165" s="181">
        <f t="shared" si="334"/>
        <v>44</v>
      </c>
      <c r="AF1165" s="37">
        <f t="shared" si="343"/>
        <v>30888</v>
      </c>
      <c r="AG1165" s="181">
        <f t="shared" si="335"/>
        <v>1835.1</v>
      </c>
      <c r="AH1165" s="111">
        <f t="shared" si="330"/>
        <v>1216.3789439999998</v>
      </c>
      <c r="AI1165" s="127">
        <f t="shared" si="331"/>
        <v>1835.1</v>
      </c>
      <c r="AJ1165" s="37">
        <f t="shared" si="336"/>
        <v>11410.599999999999</v>
      </c>
      <c r="AK1165" s="37">
        <f t="shared" si="332"/>
        <v>42298.6</v>
      </c>
      <c r="AL1165" s="37">
        <f t="shared" si="337"/>
        <v>10.094729228039041</v>
      </c>
      <c r="AN1165" s="37" t="str">
        <f t="shared" si="338"/>
        <v>Pallet</v>
      </c>
      <c r="AO1165" s="194">
        <f t="shared" si="339"/>
        <v>44</v>
      </c>
    </row>
    <row r="1166" spans="22:41" x14ac:dyDescent="0.2">
      <c r="V1166" s="181">
        <f t="shared" si="340"/>
        <v>564</v>
      </c>
      <c r="W1166" s="181">
        <f t="shared" si="325"/>
        <v>1128</v>
      </c>
      <c r="X1166" s="181">
        <f t="shared" si="341"/>
        <v>2</v>
      </c>
      <c r="Y1166" s="37">
        <f t="shared" si="342"/>
        <v>3834.2</v>
      </c>
      <c r="Z1166" s="181">
        <f t="shared" si="326"/>
        <v>960</v>
      </c>
      <c r="AA1166" s="127">
        <f t="shared" si="327"/>
        <v>1190.4266399999999</v>
      </c>
      <c r="AB1166" s="127">
        <f t="shared" si="328"/>
        <v>1190.4266399999999</v>
      </c>
      <c r="AC1166" s="37">
        <f t="shared" si="333"/>
        <v>7542.5598399999999</v>
      </c>
      <c r="AD1166" s="37">
        <f t="shared" si="329"/>
        <v>11376.759839999999</v>
      </c>
      <c r="AE1166" s="181">
        <f t="shared" si="334"/>
        <v>44</v>
      </c>
      <c r="AF1166" s="37">
        <f t="shared" si="343"/>
        <v>30888</v>
      </c>
      <c r="AG1166" s="181">
        <f t="shared" si="335"/>
        <v>1835.6</v>
      </c>
      <c r="AH1166" s="111">
        <f t="shared" si="330"/>
        <v>1216.3789439999998</v>
      </c>
      <c r="AI1166" s="127">
        <f t="shared" si="331"/>
        <v>1835.6</v>
      </c>
      <c r="AJ1166" s="37">
        <f t="shared" si="336"/>
        <v>11413.599999999999</v>
      </c>
      <c r="AK1166" s="37">
        <f t="shared" si="332"/>
        <v>42301.599999999999</v>
      </c>
      <c r="AL1166" s="37">
        <f t="shared" si="337"/>
        <v>10.08578</v>
      </c>
      <c r="AN1166" s="37" t="str">
        <f t="shared" si="338"/>
        <v>Pallet</v>
      </c>
      <c r="AO1166" s="194">
        <f t="shared" si="339"/>
        <v>44</v>
      </c>
    </row>
    <row r="1167" spans="22:41" x14ac:dyDescent="0.2">
      <c r="V1167" s="181">
        <f t="shared" si="340"/>
        <v>564.5</v>
      </c>
      <c r="W1167" s="181">
        <f t="shared" si="325"/>
        <v>1129</v>
      </c>
      <c r="X1167" s="181">
        <f t="shared" si="341"/>
        <v>2</v>
      </c>
      <c r="Y1167" s="37">
        <f t="shared" si="342"/>
        <v>3834.2</v>
      </c>
      <c r="Z1167" s="181">
        <f t="shared" si="326"/>
        <v>960.5</v>
      </c>
      <c r="AA1167" s="127">
        <f t="shared" si="327"/>
        <v>1190.4266399999999</v>
      </c>
      <c r="AB1167" s="127">
        <f t="shared" si="328"/>
        <v>1190.4266399999999</v>
      </c>
      <c r="AC1167" s="37">
        <f t="shared" si="333"/>
        <v>7542.5598399999999</v>
      </c>
      <c r="AD1167" s="37">
        <f t="shared" si="329"/>
        <v>11376.759839999999</v>
      </c>
      <c r="AE1167" s="181">
        <f t="shared" si="334"/>
        <v>44</v>
      </c>
      <c r="AF1167" s="37">
        <f t="shared" si="343"/>
        <v>30888</v>
      </c>
      <c r="AG1167" s="181">
        <f t="shared" si="335"/>
        <v>1836.1</v>
      </c>
      <c r="AH1167" s="111">
        <f t="shared" si="330"/>
        <v>1216.3789439999998</v>
      </c>
      <c r="AI1167" s="127">
        <f t="shared" si="331"/>
        <v>1836.1</v>
      </c>
      <c r="AJ1167" s="37">
        <f t="shared" si="336"/>
        <v>11416.599999999999</v>
      </c>
      <c r="AK1167" s="37">
        <f t="shared" si="332"/>
        <v>42304.6</v>
      </c>
      <c r="AL1167" s="37">
        <f t="shared" si="337"/>
        <v>10.076846625332152</v>
      </c>
      <c r="AN1167" s="37" t="str">
        <f t="shared" si="338"/>
        <v>Pallet</v>
      </c>
      <c r="AO1167" s="194">
        <f t="shared" si="339"/>
        <v>44</v>
      </c>
    </row>
    <row r="1168" spans="22:41" x14ac:dyDescent="0.2">
      <c r="V1168" s="181">
        <f t="shared" si="340"/>
        <v>565</v>
      </c>
      <c r="W1168" s="181">
        <f t="shared" si="325"/>
        <v>1130</v>
      </c>
      <c r="X1168" s="181">
        <f t="shared" si="341"/>
        <v>2</v>
      </c>
      <c r="Y1168" s="37">
        <f t="shared" si="342"/>
        <v>3834.2</v>
      </c>
      <c r="Z1168" s="181">
        <f t="shared" si="326"/>
        <v>961</v>
      </c>
      <c r="AA1168" s="127">
        <f t="shared" si="327"/>
        <v>1190.4266399999999</v>
      </c>
      <c r="AB1168" s="127">
        <f t="shared" si="328"/>
        <v>1190.4266399999999</v>
      </c>
      <c r="AC1168" s="37">
        <f t="shared" si="333"/>
        <v>7542.5598399999999</v>
      </c>
      <c r="AD1168" s="37">
        <f t="shared" si="329"/>
        <v>11376.759839999999</v>
      </c>
      <c r="AE1168" s="181">
        <f t="shared" si="334"/>
        <v>44</v>
      </c>
      <c r="AF1168" s="37">
        <f t="shared" si="343"/>
        <v>30888</v>
      </c>
      <c r="AG1168" s="181">
        <f t="shared" si="335"/>
        <v>1836.6</v>
      </c>
      <c r="AH1168" s="111">
        <f t="shared" si="330"/>
        <v>1216.3789439999998</v>
      </c>
      <c r="AI1168" s="127">
        <f t="shared" si="331"/>
        <v>1836.6</v>
      </c>
      <c r="AJ1168" s="37">
        <f t="shared" si="336"/>
        <v>11419.599999999999</v>
      </c>
      <c r="AK1168" s="37">
        <f t="shared" si="332"/>
        <v>42307.6</v>
      </c>
      <c r="AL1168" s="37">
        <f t="shared" si="337"/>
        <v>10.067929061946902</v>
      </c>
      <c r="AN1168" s="37" t="str">
        <f t="shared" si="338"/>
        <v>Pallet</v>
      </c>
      <c r="AO1168" s="194">
        <f t="shared" si="339"/>
        <v>44</v>
      </c>
    </row>
    <row r="1169" spans="22:41" x14ac:dyDescent="0.2">
      <c r="V1169" s="181">
        <f t="shared" si="340"/>
        <v>565.5</v>
      </c>
      <c r="W1169" s="181">
        <f t="shared" si="325"/>
        <v>1131</v>
      </c>
      <c r="X1169" s="181">
        <f t="shared" si="341"/>
        <v>2</v>
      </c>
      <c r="Y1169" s="37">
        <f t="shared" si="342"/>
        <v>3834.2</v>
      </c>
      <c r="Z1169" s="181">
        <f t="shared" si="326"/>
        <v>961.5</v>
      </c>
      <c r="AA1169" s="127">
        <f t="shared" si="327"/>
        <v>1190.4266399999999</v>
      </c>
      <c r="AB1169" s="127">
        <f t="shared" si="328"/>
        <v>1190.4266399999999</v>
      </c>
      <c r="AC1169" s="37">
        <f t="shared" si="333"/>
        <v>7542.5598399999999</v>
      </c>
      <c r="AD1169" s="37">
        <f t="shared" si="329"/>
        <v>11376.759839999999</v>
      </c>
      <c r="AE1169" s="181">
        <f t="shared" si="334"/>
        <v>44</v>
      </c>
      <c r="AF1169" s="37">
        <f t="shared" si="343"/>
        <v>30888</v>
      </c>
      <c r="AG1169" s="181">
        <f t="shared" si="335"/>
        <v>1837.1</v>
      </c>
      <c r="AH1169" s="111">
        <f t="shared" si="330"/>
        <v>1216.3789439999998</v>
      </c>
      <c r="AI1169" s="127">
        <f t="shared" si="331"/>
        <v>1837.1</v>
      </c>
      <c r="AJ1169" s="37">
        <f t="shared" si="336"/>
        <v>11422.599999999999</v>
      </c>
      <c r="AK1169" s="37">
        <f t="shared" si="332"/>
        <v>42310.6</v>
      </c>
      <c r="AL1169" s="37">
        <f t="shared" si="337"/>
        <v>10.059027267904508</v>
      </c>
      <c r="AN1169" s="37" t="str">
        <f t="shared" si="338"/>
        <v>Pallet</v>
      </c>
      <c r="AO1169" s="194">
        <f t="shared" si="339"/>
        <v>44</v>
      </c>
    </row>
    <row r="1170" spans="22:41" x14ac:dyDescent="0.2">
      <c r="V1170" s="181">
        <f t="shared" si="340"/>
        <v>566</v>
      </c>
      <c r="W1170" s="181">
        <f t="shared" si="325"/>
        <v>1132</v>
      </c>
      <c r="X1170" s="181">
        <f t="shared" si="341"/>
        <v>2</v>
      </c>
      <c r="Y1170" s="37">
        <f t="shared" si="342"/>
        <v>3834.2</v>
      </c>
      <c r="Z1170" s="181">
        <f t="shared" si="326"/>
        <v>962</v>
      </c>
      <c r="AA1170" s="127">
        <f t="shared" si="327"/>
        <v>1190.4266399999999</v>
      </c>
      <c r="AB1170" s="127">
        <f t="shared" si="328"/>
        <v>1190.4266399999999</v>
      </c>
      <c r="AC1170" s="37">
        <f t="shared" si="333"/>
        <v>7542.5598399999999</v>
      </c>
      <c r="AD1170" s="37">
        <f t="shared" si="329"/>
        <v>11376.759839999999</v>
      </c>
      <c r="AE1170" s="181">
        <f t="shared" si="334"/>
        <v>44</v>
      </c>
      <c r="AF1170" s="37">
        <f t="shared" si="343"/>
        <v>30888</v>
      </c>
      <c r="AG1170" s="181">
        <f t="shared" si="335"/>
        <v>1837.6</v>
      </c>
      <c r="AH1170" s="111">
        <f t="shared" si="330"/>
        <v>1216.3789439999998</v>
      </c>
      <c r="AI1170" s="127">
        <f t="shared" si="331"/>
        <v>1837.6</v>
      </c>
      <c r="AJ1170" s="37">
        <f t="shared" si="336"/>
        <v>11425.599999999999</v>
      </c>
      <c r="AK1170" s="37">
        <f t="shared" si="332"/>
        <v>42313.599999999999</v>
      </c>
      <c r="AL1170" s="37">
        <f t="shared" si="337"/>
        <v>10.050141201413426</v>
      </c>
      <c r="AN1170" s="37" t="str">
        <f t="shared" si="338"/>
        <v>Pallet</v>
      </c>
      <c r="AO1170" s="194">
        <f t="shared" si="339"/>
        <v>44</v>
      </c>
    </row>
    <row r="1171" spans="22:41" x14ac:dyDescent="0.2">
      <c r="V1171" s="181">
        <f t="shared" si="340"/>
        <v>566.5</v>
      </c>
      <c r="W1171" s="181">
        <f t="shared" si="325"/>
        <v>1133</v>
      </c>
      <c r="X1171" s="181">
        <f t="shared" si="341"/>
        <v>2</v>
      </c>
      <c r="Y1171" s="37">
        <f t="shared" si="342"/>
        <v>3834.2</v>
      </c>
      <c r="Z1171" s="181">
        <f t="shared" si="326"/>
        <v>962.5</v>
      </c>
      <c r="AA1171" s="127">
        <f t="shared" si="327"/>
        <v>1190.4266399999999</v>
      </c>
      <c r="AB1171" s="127">
        <f t="shared" si="328"/>
        <v>1190.4266399999999</v>
      </c>
      <c r="AC1171" s="37">
        <f t="shared" si="333"/>
        <v>7542.5598399999999</v>
      </c>
      <c r="AD1171" s="37">
        <f t="shared" si="329"/>
        <v>11376.759839999999</v>
      </c>
      <c r="AE1171" s="181">
        <f t="shared" si="334"/>
        <v>44</v>
      </c>
      <c r="AF1171" s="37">
        <f t="shared" si="343"/>
        <v>30888</v>
      </c>
      <c r="AG1171" s="181">
        <f t="shared" si="335"/>
        <v>1838.1</v>
      </c>
      <c r="AH1171" s="111">
        <f t="shared" si="330"/>
        <v>1216.3789439999998</v>
      </c>
      <c r="AI1171" s="127">
        <f t="shared" si="331"/>
        <v>1838.1</v>
      </c>
      <c r="AJ1171" s="37">
        <f t="shared" si="336"/>
        <v>11428.599999999999</v>
      </c>
      <c r="AK1171" s="37">
        <f t="shared" si="332"/>
        <v>42316.6</v>
      </c>
      <c r="AL1171" s="37">
        <f t="shared" si="337"/>
        <v>10.041270820829654</v>
      </c>
      <c r="AN1171" s="37" t="str">
        <f t="shared" si="338"/>
        <v>Pallet</v>
      </c>
      <c r="AO1171" s="194">
        <f t="shared" si="339"/>
        <v>44</v>
      </c>
    </row>
    <row r="1172" spans="22:41" x14ac:dyDescent="0.2">
      <c r="V1172" s="181">
        <f t="shared" si="340"/>
        <v>567</v>
      </c>
      <c r="W1172" s="181">
        <f t="shared" si="325"/>
        <v>1134</v>
      </c>
      <c r="X1172" s="181">
        <f t="shared" si="341"/>
        <v>2</v>
      </c>
      <c r="Y1172" s="37">
        <f t="shared" si="342"/>
        <v>3834.2</v>
      </c>
      <c r="Z1172" s="181">
        <f t="shared" si="326"/>
        <v>963</v>
      </c>
      <c r="AA1172" s="127">
        <f t="shared" si="327"/>
        <v>1190.4266399999999</v>
      </c>
      <c r="AB1172" s="127">
        <f t="shared" si="328"/>
        <v>1190.4266399999999</v>
      </c>
      <c r="AC1172" s="37">
        <f t="shared" si="333"/>
        <v>7542.5598399999999</v>
      </c>
      <c r="AD1172" s="37">
        <f t="shared" si="329"/>
        <v>11376.759839999999</v>
      </c>
      <c r="AE1172" s="181">
        <f t="shared" si="334"/>
        <v>44</v>
      </c>
      <c r="AF1172" s="37">
        <f t="shared" si="343"/>
        <v>30888</v>
      </c>
      <c r="AG1172" s="181">
        <f t="shared" si="335"/>
        <v>1838.6</v>
      </c>
      <c r="AH1172" s="111">
        <f t="shared" si="330"/>
        <v>1216.3789439999998</v>
      </c>
      <c r="AI1172" s="127">
        <f t="shared" si="331"/>
        <v>1838.6</v>
      </c>
      <c r="AJ1172" s="37">
        <f t="shared" si="336"/>
        <v>11431.599999999999</v>
      </c>
      <c r="AK1172" s="37">
        <f t="shared" si="332"/>
        <v>42319.6</v>
      </c>
      <c r="AL1172" s="37">
        <f t="shared" si="337"/>
        <v>10.032416084656084</v>
      </c>
      <c r="AN1172" s="37" t="str">
        <f t="shared" si="338"/>
        <v>Pallet</v>
      </c>
      <c r="AO1172" s="194">
        <f t="shared" si="339"/>
        <v>44</v>
      </c>
    </row>
    <row r="1173" spans="22:41" x14ac:dyDescent="0.2">
      <c r="V1173" s="181">
        <f t="shared" si="340"/>
        <v>567.5</v>
      </c>
      <c r="W1173" s="181">
        <f t="shared" si="325"/>
        <v>1135</v>
      </c>
      <c r="X1173" s="181">
        <f t="shared" si="341"/>
        <v>2</v>
      </c>
      <c r="Y1173" s="37">
        <f t="shared" si="342"/>
        <v>3834.2</v>
      </c>
      <c r="Z1173" s="181">
        <f t="shared" si="326"/>
        <v>963.5</v>
      </c>
      <c r="AA1173" s="127">
        <f t="shared" si="327"/>
        <v>1190.4266399999999</v>
      </c>
      <c r="AB1173" s="127">
        <f t="shared" si="328"/>
        <v>1190.4266399999999</v>
      </c>
      <c r="AC1173" s="37">
        <f t="shared" si="333"/>
        <v>7542.5598399999999</v>
      </c>
      <c r="AD1173" s="37">
        <f t="shared" si="329"/>
        <v>11376.759839999999</v>
      </c>
      <c r="AE1173" s="181">
        <f t="shared" si="334"/>
        <v>44</v>
      </c>
      <c r="AF1173" s="37">
        <f t="shared" si="343"/>
        <v>30888</v>
      </c>
      <c r="AG1173" s="181">
        <f t="shared" si="335"/>
        <v>1839.1</v>
      </c>
      <c r="AH1173" s="111">
        <f t="shared" si="330"/>
        <v>1216.3789439999998</v>
      </c>
      <c r="AI1173" s="127">
        <f t="shared" si="331"/>
        <v>1839.1</v>
      </c>
      <c r="AJ1173" s="37">
        <f t="shared" si="336"/>
        <v>11434.599999999999</v>
      </c>
      <c r="AK1173" s="37">
        <f t="shared" si="332"/>
        <v>42322.6</v>
      </c>
      <c r="AL1173" s="37">
        <f t="shared" si="337"/>
        <v>10.02357695154185</v>
      </c>
      <c r="AN1173" s="37" t="str">
        <f t="shared" si="338"/>
        <v>Pallet</v>
      </c>
      <c r="AO1173" s="194">
        <f t="shared" si="339"/>
        <v>44</v>
      </c>
    </row>
    <row r="1174" spans="22:41" x14ac:dyDescent="0.2">
      <c r="V1174" s="181">
        <f t="shared" si="340"/>
        <v>568</v>
      </c>
      <c r="W1174" s="181">
        <f t="shared" si="325"/>
        <v>1136</v>
      </c>
      <c r="X1174" s="181">
        <f t="shared" si="341"/>
        <v>2</v>
      </c>
      <c r="Y1174" s="37">
        <f t="shared" si="342"/>
        <v>3834.2</v>
      </c>
      <c r="Z1174" s="181">
        <f t="shared" si="326"/>
        <v>964</v>
      </c>
      <c r="AA1174" s="127">
        <f t="shared" si="327"/>
        <v>1190.4266399999999</v>
      </c>
      <c r="AB1174" s="127">
        <f t="shared" si="328"/>
        <v>1190.4266399999999</v>
      </c>
      <c r="AC1174" s="37">
        <f t="shared" si="333"/>
        <v>7542.5598399999999</v>
      </c>
      <c r="AD1174" s="37">
        <f t="shared" si="329"/>
        <v>11376.759839999999</v>
      </c>
      <c r="AE1174" s="181">
        <f t="shared" si="334"/>
        <v>45</v>
      </c>
      <c r="AF1174" s="37">
        <f t="shared" si="343"/>
        <v>31590</v>
      </c>
      <c r="AG1174" s="181">
        <f t="shared" si="335"/>
        <v>1868.5</v>
      </c>
      <c r="AH1174" s="111">
        <f t="shared" si="330"/>
        <v>1244.0239199999999</v>
      </c>
      <c r="AI1174" s="127">
        <f t="shared" si="331"/>
        <v>1868.5</v>
      </c>
      <c r="AJ1174" s="37">
        <f t="shared" si="336"/>
        <v>11611</v>
      </c>
      <c r="AK1174" s="37">
        <f t="shared" si="332"/>
        <v>43201</v>
      </c>
      <c r="AL1174" s="37">
        <f t="shared" si="337"/>
        <v>10.014753380281689</v>
      </c>
      <c r="AN1174" s="37" t="str">
        <f t="shared" si="338"/>
        <v>Pallet</v>
      </c>
      <c r="AO1174" s="194">
        <f t="shared" si="339"/>
        <v>44</v>
      </c>
    </row>
    <row r="1175" spans="22:41" x14ac:dyDescent="0.2">
      <c r="V1175" s="181">
        <f t="shared" si="340"/>
        <v>568.5</v>
      </c>
      <c r="W1175" s="181">
        <f t="shared" si="325"/>
        <v>1137</v>
      </c>
      <c r="X1175" s="181">
        <f t="shared" si="341"/>
        <v>2</v>
      </c>
      <c r="Y1175" s="37">
        <f t="shared" si="342"/>
        <v>3834.2</v>
      </c>
      <c r="Z1175" s="181">
        <f t="shared" si="326"/>
        <v>964.5</v>
      </c>
      <c r="AA1175" s="127">
        <f t="shared" si="327"/>
        <v>1190.4266399999999</v>
      </c>
      <c r="AB1175" s="127">
        <f t="shared" si="328"/>
        <v>1190.4266399999999</v>
      </c>
      <c r="AC1175" s="37">
        <f t="shared" si="333"/>
        <v>7542.5598399999999</v>
      </c>
      <c r="AD1175" s="37">
        <f t="shared" si="329"/>
        <v>11376.759839999999</v>
      </c>
      <c r="AE1175" s="181">
        <f t="shared" si="334"/>
        <v>45</v>
      </c>
      <c r="AF1175" s="37">
        <f t="shared" si="343"/>
        <v>31590</v>
      </c>
      <c r="AG1175" s="181">
        <f t="shared" si="335"/>
        <v>1869</v>
      </c>
      <c r="AH1175" s="111">
        <f t="shared" si="330"/>
        <v>1244.0239199999999</v>
      </c>
      <c r="AI1175" s="127">
        <f t="shared" si="331"/>
        <v>1869</v>
      </c>
      <c r="AJ1175" s="37">
        <f t="shared" si="336"/>
        <v>11614</v>
      </c>
      <c r="AK1175" s="37">
        <f t="shared" si="332"/>
        <v>43204</v>
      </c>
      <c r="AL1175" s="37">
        <f t="shared" si="337"/>
        <v>10.005945329815303</v>
      </c>
      <c r="AN1175" s="37" t="str">
        <f t="shared" si="338"/>
        <v>Pallet</v>
      </c>
      <c r="AO1175" s="194">
        <f t="shared" si="339"/>
        <v>45</v>
      </c>
    </row>
    <row r="1176" spans="22:41" x14ac:dyDescent="0.2">
      <c r="V1176" s="181">
        <f t="shared" si="340"/>
        <v>569</v>
      </c>
      <c r="W1176" s="181">
        <f t="shared" si="325"/>
        <v>1138</v>
      </c>
      <c r="X1176" s="181">
        <f t="shared" si="341"/>
        <v>2</v>
      </c>
      <c r="Y1176" s="37">
        <f t="shared" si="342"/>
        <v>3834.2</v>
      </c>
      <c r="Z1176" s="181">
        <f t="shared" si="326"/>
        <v>965</v>
      </c>
      <c r="AA1176" s="127">
        <f t="shared" si="327"/>
        <v>1190.4266399999999</v>
      </c>
      <c r="AB1176" s="127">
        <f t="shared" si="328"/>
        <v>1190.4266399999999</v>
      </c>
      <c r="AC1176" s="37">
        <f t="shared" si="333"/>
        <v>7542.5598399999999</v>
      </c>
      <c r="AD1176" s="37">
        <f t="shared" si="329"/>
        <v>11376.759839999999</v>
      </c>
      <c r="AE1176" s="181">
        <f t="shared" si="334"/>
        <v>45</v>
      </c>
      <c r="AF1176" s="37">
        <f t="shared" si="343"/>
        <v>31590</v>
      </c>
      <c r="AG1176" s="181">
        <f t="shared" si="335"/>
        <v>1869.5</v>
      </c>
      <c r="AH1176" s="111">
        <f t="shared" si="330"/>
        <v>1244.0239199999999</v>
      </c>
      <c r="AI1176" s="127">
        <f t="shared" si="331"/>
        <v>1869.5</v>
      </c>
      <c r="AJ1176" s="37">
        <f t="shared" si="336"/>
        <v>11617</v>
      </c>
      <c r="AK1176" s="37">
        <f t="shared" si="332"/>
        <v>43207</v>
      </c>
      <c r="AL1176" s="37">
        <f t="shared" si="337"/>
        <v>9.9971527592267133</v>
      </c>
      <c r="AN1176" s="37" t="str">
        <f t="shared" si="338"/>
        <v>Pallet</v>
      </c>
      <c r="AO1176" s="194">
        <f t="shared" si="339"/>
        <v>45</v>
      </c>
    </row>
    <row r="1177" spans="22:41" x14ac:dyDescent="0.2">
      <c r="V1177" s="181">
        <f t="shared" si="340"/>
        <v>569.5</v>
      </c>
      <c r="W1177" s="181">
        <f t="shared" si="325"/>
        <v>1139</v>
      </c>
      <c r="X1177" s="181">
        <f t="shared" si="341"/>
        <v>2</v>
      </c>
      <c r="Y1177" s="37">
        <f t="shared" si="342"/>
        <v>3834.2</v>
      </c>
      <c r="Z1177" s="181">
        <f t="shared" si="326"/>
        <v>965.5</v>
      </c>
      <c r="AA1177" s="127">
        <f t="shared" si="327"/>
        <v>1190.4266399999999</v>
      </c>
      <c r="AB1177" s="127">
        <f t="shared" si="328"/>
        <v>1190.4266399999999</v>
      </c>
      <c r="AC1177" s="37">
        <f t="shared" si="333"/>
        <v>7542.5598399999999</v>
      </c>
      <c r="AD1177" s="37">
        <f t="shared" si="329"/>
        <v>11376.759839999999</v>
      </c>
      <c r="AE1177" s="181">
        <f t="shared" si="334"/>
        <v>45</v>
      </c>
      <c r="AF1177" s="37">
        <f t="shared" si="343"/>
        <v>31590</v>
      </c>
      <c r="AG1177" s="181">
        <f t="shared" si="335"/>
        <v>1870</v>
      </c>
      <c r="AH1177" s="111">
        <f t="shared" si="330"/>
        <v>1244.0239199999999</v>
      </c>
      <c r="AI1177" s="127">
        <f t="shared" si="331"/>
        <v>1870</v>
      </c>
      <c r="AJ1177" s="37">
        <f t="shared" si="336"/>
        <v>11620</v>
      </c>
      <c r="AK1177" s="37">
        <f t="shared" si="332"/>
        <v>43210</v>
      </c>
      <c r="AL1177" s="37">
        <f t="shared" si="337"/>
        <v>9.9883756277436344</v>
      </c>
      <c r="AN1177" s="37" t="str">
        <f t="shared" si="338"/>
        <v>Pallet</v>
      </c>
      <c r="AO1177" s="194">
        <f t="shared" si="339"/>
        <v>45</v>
      </c>
    </row>
    <row r="1178" spans="22:41" x14ac:dyDescent="0.2">
      <c r="V1178" s="181">
        <f t="shared" si="340"/>
        <v>570</v>
      </c>
      <c r="W1178" s="181">
        <f t="shared" si="325"/>
        <v>1140</v>
      </c>
      <c r="X1178" s="181">
        <f t="shared" si="341"/>
        <v>2</v>
      </c>
      <c r="Y1178" s="37">
        <f t="shared" si="342"/>
        <v>3834.2</v>
      </c>
      <c r="Z1178" s="181">
        <f t="shared" si="326"/>
        <v>966</v>
      </c>
      <c r="AA1178" s="127">
        <f t="shared" si="327"/>
        <v>1190.4266399999999</v>
      </c>
      <c r="AB1178" s="127">
        <f t="shared" si="328"/>
        <v>1190.4266399999999</v>
      </c>
      <c r="AC1178" s="37">
        <f t="shared" si="333"/>
        <v>7542.5598399999999</v>
      </c>
      <c r="AD1178" s="37">
        <f t="shared" si="329"/>
        <v>11376.759839999999</v>
      </c>
      <c r="AE1178" s="181">
        <f t="shared" si="334"/>
        <v>45</v>
      </c>
      <c r="AF1178" s="37">
        <f t="shared" si="343"/>
        <v>31590</v>
      </c>
      <c r="AG1178" s="181">
        <f t="shared" si="335"/>
        <v>1870.5</v>
      </c>
      <c r="AH1178" s="111">
        <f t="shared" si="330"/>
        <v>1244.0239199999999</v>
      </c>
      <c r="AI1178" s="127">
        <f t="shared" si="331"/>
        <v>1870.5</v>
      </c>
      <c r="AJ1178" s="37">
        <f t="shared" si="336"/>
        <v>11623</v>
      </c>
      <c r="AK1178" s="37">
        <f t="shared" si="332"/>
        <v>43213</v>
      </c>
      <c r="AL1178" s="37">
        <f t="shared" si="337"/>
        <v>9.9796138947368416</v>
      </c>
      <c r="AN1178" s="37" t="str">
        <f t="shared" si="338"/>
        <v>Pallet</v>
      </c>
      <c r="AO1178" s="194">
        <f t="shared" si="339"/>
        <v>45</v>
      </c>
    </row>
    <row r="1179" spans="22:41" x14ac:dyDescent="0.2">
      <c r="V1179" s="181">
        <f t="shared" si="340"/>
        <v>570.5</v>
      </c>
      <c r="W1179" s="181">
        <f t="shared" si="325"/>
        <v>1141</v>
      </c>
      <c r="X1179" s="181">
        <f t="shared" si="341"/>
        <v>2</v>
      </c>
      <c r="Y1179" s="37">
        <f t="shared" si="342"/>
        <v>3834.2</v>
      </c>
      <c r="Z1179" s="181">
        <f t="shared" si="326"/>
        <v>966.5</v>
      </c>
      <c r="AA1179" s="127">
        <f t="shared" si="327"/>
        <v>1190.4266399999999</v>
      </c>
      <c r="AB1179" s="127">
        <f t="shared" si="328"/>
        <v>1190.4266399999999</v>
      </c>
      <c r="AC1179" s="37">
        <f t="shared" si="333"/>
        <v>7542.5598399999999</v>
      </c>
      <c r="AD1179" s="37">
        <f t="shared" si="329"/>
        <v>11376.759839999999</v>
      </c>
      <c r="AE1179" s="181">
        <f t="shared" si="334"/>
        <v>45</v>
      </c>
      <c r="AF1179" s="37">
        <f t="shared" si="343"/>
        <v>31590</v>
      </c>
      <c r="AG1179" s="181">
        <f t="shared" si="335"/>
        <v>1871</v>
      </c>
      <c r="AH1179" s="111">
        <f t="shared" si="330"/>
        <v>1244.0239199999999</v>
      </c>
      <c r="AI1179" s="127">
        <f t="shared" si="331"/>
        <v>1871</v>
      </c>
      <c r="AJ1179" s="37">
        <f t="shared" si="336"/>
        <v>11626</v>
      </c>
      <c r="AK1179" s="37">
        <f t="shared" si="332"/>
        <v>43216</v>
      </c>
      <c r="AL1179" s="37">
        <f t="shared" si="337"/>
        <v>9.970867519719544</v>
      </c>
      <c r="AN1179" s="37" t="str">
        <f t="shared" si="338"/>
        <v>Pallet</v>
      </c>
      <c r="AO1179" s="194">
        <f t="shared" si="339"/>
        <v>45</v>
      </c>
    </row>
    <row r="1180" spans="22:41" x14ac:dyDescent="0.2">
      <c r="V1180" s="181">
        <f t="shared" si="340"/>
        <v>571</v>
      </c>
      <c r="W1180" s="181">
        <f t="shared" si="325"/>
        <v>1142</v>
      </c>
      <c r="X1180" s="181">
        <f t="shared" si="341"/>
        <v>2</v>
      </c>
      <c r="Y1180" s="37">
        <f t="shared" si="342"/>
        <v>3834.2</v>
      </c>
      <c r="Z1180" s="181">
        <f t="shared" si="326"/>
        <v>967</v>
      </c>
      <c r="AA1180" s="127">
        <f t="shared" si="327"/>
        <v>1190.4266399999999</v>
      </c>
      <c r="AB1180" s="127">
        <f t="shared" si="328"/>
        <v>1190.4266399999999</v>
      </c>
      <c r="AC1180" s="37">
        <f t="shared" si="333"/>
        <v>7542.5598399999999</v>
      </c>
      <c r="AD1180" s="37">
        <f t="shared" si="329"/>
        <v>11376.759839999999</v>
      </c>
      <c r="AE1180" s="181">
        <f t="shared" si="334"/>
        <v>45</v>
      </c>
      <c r="AF1180" s="37">
        <f t="shared" si="343"/>
        <v>31590</v>
      </c>
      <c r="AG1180" s="181">
        <f t="shared" si="335"/>
        <v>1871.5</v>
      </c>
      <c r="AH1180" s="111">
        <f t="shared" si="330"/>
        <v>1244.0239199999999</v>
      </c>
      <c r="AI1180" s="127">
        <f t="shared" si="331"/>
        <v>1871.5</v>
      </c>
      <c r="AJ1180" s="37">
        <f t="shared" si="336"/>
        <v>11629</v>
      </c>
      <c r="AK1180" s="37">
        <f t="shared" si="332"/>
        <v>43219</v>
      </c>
      <c r="AL1180" s="37">
        <f t="shared" si="337"/>
        <v>9.9621364623467592</v>
      </c>
      <c r="AN1180" s="37" t="str">
        <f t="shared" si="338"/>
        <v>Pallet</v>
      </c>
      <c r="AO1180" s="194">
        <f t="shared" si="339"/>
        <v>45</v>
      </c>
    </row>
    <row r="1181" spans="22:41" x14ac:dyDescent="0.2">
      <c r="V1181" s="181">
        <f t="shared" si="340"/>
        <v>571.5</v>
      </c>
      <c r="W1181" s="181">
        <f t="shared" si="325"/>
        <v>1143</v>
      </c>
      <c r="X1181" s="181">
        <f t="shared" si="341"/>
        <v>2</v>
      </c>
      <c r="Y1181" s="37">
        <f t="shared" si="342"/>
        <v>3834.2</v>
      </c>
      <c r="Z1181" s="181">
        <f t="shared" si="326"/>
        <v>967.5</v>
      </c>
      <c r="AA1181" s="127">
        <f t="shared" si="327"/>
        <v>1190.4266399999999</v>
      </c>
      <c r="AB1181" s="127">
        <f t="shared" si="328"/>
        <v>1190.4266399999999</v>
      </c>
      <c r="AC1181" s="37">
        <f t="shared" si="333"/>
        <v>7542.5598399999999</v>
      </c>
      <c r="AD1181" s="37">
        <f t="shared" si="329"/>
        <v>11376.759839999999</v>
      </c>
      <c r="AE1181" s="181">
        <f t="shared" si="334"/>
        <v>45</v>
      </c>
      <c r="AF1181" s="37">
        <f t="shared" si="343"/>
        <v>31590</v>
      </c>
      <c r="AG1181" s="181">
        <f t="shared" si="335"/>
        <v>1872</v>
      </c>
      <c r="AH1181" s="111">
        <f t="shared" si="330"/>
        <v>1244.0239199999999</v>
      </c>
      <c r="AI1181" s="127">
        <f t="shared" si="331"/>
        <v>1872</v>
      </c>
      <c r="AJ1181" s="37">
        <f t="shared" si="336"/>
        <v>11632</v>
      </c>
      <c r="AK1181" s="37">
        <f t="shared" si="332"/>
        <v>43222</v>
      </c>
      <c r="AL1181" s="37">
        <f t="shared" si="337"/>
        <v>9.9534206824146967</v>
      </c>
      <c r="AN1181" s="37" t="str">
        <f t="shared" si="338"/>
        <v>Pallet</v>
      </c>
      <c r="AO1181" s="194">
        <f t="shared" si="339"/>
        <v>45</v>
      </c>
    </row>
    <row r="1182" spans="22:41" x14ac:dyDescent="0.2">
      <c r="V1182" s="181">
        <f t="shared" si="340"/>
        <v>572</v>
      </c>
      <c r="W1182" s="181">
        <f t="shared" si="325"/>
        <v>1144</v>
      </c>
      <c r="X1182" s="181">
        <f t="shared" si="341"/>
        <v>2</v>
      </c>
      <c r="Y1182" s="37">
        <f t="shared" si="342"/>
        <v>3834.2</v>
      </c>
      <c r="Z1182" s="181">
        <f t="shared" si="326"/>
        <v>968</v>
      </c>
      <c r="AA1182" s="127">
        <f t="shared" si="327"/>
        <v>1190.4266399999999</v>
      </c>
      <c r="AB1182" s="127">
        <f t="shared" si="328"/>
        <v>1190.4266399999999</v>
      </c>
      <c r="AC1182" s="37">
        <f t="shared" si="333"/>
        <v>7542.5598399999999</v>
      </c>
      <c r="AD1182" s="37">
        <f t="shared" si="329"/>
        <v>11376.759839999999</v>
      </c>
      <c r="AE1182" s="181">
        <f t="shared" si="334"/>
        <v>45</v>
      </c>
      <c r="AF1182" s="37">
        <f t="shared" si="343"/>
        <v>31590</v>
      </c>
      <c r="AG1182" s="181">
        <f t="shared" si="335"/>
        <v>1872.5</v>
      </c>
      <c r="AH1182" s="111">
        <f t="shared" si="330"/>
        <v>1244.0239199999999</v>
      </c>
      <c r="AI1182" s="127">
        <f t="shared" si="331"/>
        <v>1872.5</v>
      </c>
      <c r="AJ1182" s="37">
        <f t="shared" si="336"/>
        <v>11635</v>
      </c>
      <c r="AK1182" s="37">
        <f t="shared" si="332"/>
        <v>43225</v>
      </c>
      <c r="AL1182" s="37">
        <f t="shared" si="337"/>
        <v>9.9447201398601397</v>
      </c>
      <c r="AN1182" s="37" t="str">
        <f t="shared" si="338"/>
        <v>Pallet</v>
      </c>
      <c r="AO1182" s="194">
        <f t="shared" si="339"/>
        <v>45</v>
      </c>
    </row>
    <row r="1183" spans="22:41" x14ac:dyDescent="0.2">
      <c r="V1183" s="181">
        <f t="shared" si="340"/>
        <v>572.5</v>
      </c>
      <c r="W1183" s="181">
        <f t="shared" si="325"/>
        <v>1145</v>
      </c>
      <c r="X1183" s="181">
        <f t="shared" si="341"/>
        <v>2</v>
      </c>
      <c r="Y1183" s="37">
        <f t="shared" si="342"/>
        <v>3834.2</v>
      </c>
      <c r="Z1183" s="181">
        <f t="shared" si="326"/>
        <v>968.5</v>
      </c>
      <c r="AA1183" s="127">
        <f t="shared" si="327"/>
        <v>1190.4266399999999</v>
      </c>
      <c r="AB1183" s="127">
        <f t="shared" si="328"/>
        <v>1190.4266399999999</v>
      </c>
      <c r="AC1183" s="37">
        <f t="shared" si="333"/>
        <v>7542.5598399999999</v>
      </c>
      <c r="AD1183" s="37">
        <f t="shared" si="329"/>
        <v>11376.759839999999</v>
      </c>
      <c r="AE1183" s="181">
        <f t="shared" si="334"/>
        <v>45</v>
      </c>
      <c r="AF1183" s="37">
        <f t="shared" si="343"/>
        <v>31590</v>
      </c>
      <c r="AG1183" s="181">
        <f t="shared" si="335"/>
        <v>1873</v>
      </c>
      <c r="AH1183" s="111">
        <f t="shared" si="330"/>
        <v>1244.0239199999999</v>
      </c>
      <c r="AI1183" s="127">
        <f t="shared" si="331"/>
        <v>1873</v>
      </c>
      <c r="AJ1183" s="37">
        <f t="shared" si="336"/>
        <v>11638</v>
      </c>
      <c r="AK1183" s="37">
        <f t="shared" si="332"/>
        <v>43228</v>
      </c>
      <c r="AL1183" s="37">
        <f t="shared" si="337"/>
        <v>9.9360347947598235</v>
      </c>
      <c r="AN1183" s="37" t="str">
        <f t="shared" si="338"/>
        <v>Pallet</v>
      </c>
      <c r="AO1183" s="194">
        <f t="shared" si="339"/>
        <v>45</v>
      </c>
    </row>
    <row r="1184" spans="22:41" x14ac:dyDescent="0.2">
      <c r="V1184" s="181">
        <f t="shared" si="340"/>
        <v>573</v>
      </c>
      <c r="W1184" s="181">
        <f t="shared" si="325"/>
        <v>1146</v>
      </c>
      <c r="X1184" s="181">
        <f t="shared" si="341"/>
        <v>2</v>
      </c>
      <c r="Y1184" s="37">
        <f t="shared" si="342"/>
        <v>3834.2</v>
      </c>
      <c r="Z1184" s="181">
        <f t="shared" si="326"/>
        <v>969</v>
      </c>
      <c r="AA1184" s="127">
        <f t="shared" si="327"/>
        <v>1190.4266399999999</v>
      </c>
      <c r="AB1184" s="127">
        <f t="shared" si="328"/>
        <v>1190.4266399999999</v>
      </c>
      <c r="AC1184" s="37">
        <f t="shared" si="333"/>
        <v>7542.5598399999999</v>
      </c>
      <c r="AD1184" s="37">
        <f t="shared" si="329"/>
        <v>11376.759839999999</v>
      </c>
      <c r="AE1184" s="181">
        <f t="shared" si="334"/>
        <v>45</v>
      </c>
      <c r="AF1184" s="37">
        <f t="shared" si="343"/>
        <v>31590</v>
      </c>
      <c r="AG1184" s="181">
        <f t="shared" si="335"/>
        <v>1873.5</v>
      </c>
      <c r="AH1184" s="111">
        <f t="shared" si="330"/>
        <v>1244.0239199999999</v>
      </c>
      <c r="AI1184" s="127">
        <f t="shared" si="331"/>
        <v>1873.5</v>
      </c>
      <c r="AJ1184" s="37">
        <f t="shared" si="336"/>
        <v>11641</v>
      </c>
      <c r="AK1184" s="37">
        <f t="shared" si="332"/>
        <v>43231</v>
      </c>
      <c r="AL1184" s="37">
        <f t="shared" si="337"/>
        <v>9.9273646073298423</v>
      </c>
      <c r="AN1184" s="37" t="str">
        <f t="shared" si="338"/>
        <v>Pallet</v>
      </c>
      <c r="AO1184" s="194">
        <f t="shared" si="339"/>
        <v>45</v>
      </c>
    </row>
    <row r="1185" spans="22:41" x14ac:dyDescent="0.2">
      <c r="V1185" s="181">
        <f t="shared" si="340"/>
        <v>573.5</v>
      </c>
      <c r="W1185" s="181">
        <f t="shared" si="325"/>
        <v>1147</v>
      </c>
      <c r="X1185" s="181">
        <f t="shared" si="341"/>
        <v>2</v>
      </c>
      <c r="Y1185" s="37">
        <f t="shared" si="342"/>
        <v>3834.2</v>
      </c>
      <c r="Z1185" s="181">
        <f t="shared" si="326"/>
        <v>969.5</v>
      </c>
      <c r="AA1185" s="127">
        <f t="shared" si="327"/>
        <v>1190.4266399999999</v>
      </c>
      <c r="AB1185" s="127">
        <f t="shared" si="328"/>
        <v>1190.4266399999999</v>
      </c>
      <c r="AC1185" s="37">
        <f t="shared" si="333"/>
        <v>7542.5598399999999</v>
      </c>
      <c r="AD1185" s="37">
        <f t="shared" si="329"/>
        <v>11376.759839999999</v>
      </c>
      <c r="AE1185" s="181">
        <f t="shared" si="334"/>
        <v>45</v>
      </c>
      <c r="AF1185" s="37">
        <f t="shared" si="343"/>
        <v>31590</v>
      </c>
      <c r="AG1185" s="181">
        <f t="shared" si="335"/>
        <v>1874</v>
      </c>
      <c r="AH1185" s="111">
        <f t="shared" si="330"/>
        <v>1244.0239199999999</v>
      </c>
      <c r="AI1185" s="127">
        <f t="shared" si="331"/>
        <v>1874</v>
      </c>
      <c r="AJ1185" s="37">
        <f t="shared" si="336"/>
        <v>11644</v>
      </c>
      <c r="AK1185" s="37">
        <f t="shared" si="332"/>
        <v>43234</v>
      </c>
      <c r="AL1185" s="37">
        <f t="shared" si="337"/>
        <v>9.9187095379250216</v>
      </c>
      <c r="AN1185" s="37" t="str">
        <f t="shared" si="338"/>
        <v>Pallet</v>
      </c>
      <c r="AO1185" s="194">
        <f t="shared" si="339"/>
        <v>45</v>
      </c>
    </row>
    <row r="1186" spans="22:41" x14ac:dyDescent="0.2">
      <c r="V1186" s="181">
        <f t="shared" si="340"/>
        <v>574</v>
      </c>
      <c r="W1186" s="181">
        <f t="shared" ref="W1186:W1235" si="344">W1185+1</f>
        <v>1148</v>
      </c>
      <c r="X1186" s="181">
        <f t="shared" si="341"/>
        <v>2</v>
      </c>
      <c r="Y1186" s="37">
        <f t="shared" si="342"/>
        <v>3834.2</v>
      </c>
      <c r="Z1186" s="181">
        <f t="shared" ref="Z1186:Z1235" si="345">V1186+(X1186*$K$29)</f>
        <v>970</v>
      </c>
      <c r="AA1186" s="127">
        <f t="shared" ref="AA1186:AA1235" si="346">X1186*$T$29</f>
        <v>1190.4266399999999</v>
      </c>
      <c r="AB1186" s="127">
        <f t="shared" ref="AB1186:AB1235" si="347">MAX(Z1186,AA1186)</f>
        <v>1190.4266399999999</v>
      </c>
      <c r="AC1186" s="37">
        <f t="shared" si="333"/>
        <v>7542.5598399999999</v>
      </c>
      <c r="AD1186" s="37">
        <f t="shared" ref="AD1186:AD1235" si="348">Y1186+AC1186</f>
        <v>11376.759839999999</v>
      </c>
      <c r="AE1186" s="181">
        <f t="shared" si="334"/>
        <v>45</v>
      </c>
      <c r="AF1186" s="37">
        <f t="shared" si="343"/>
        <v>31590</v>
      </c>
      <c r="AG1186" s="181">
        <f t="shared" si="335"/>
        <v>1874.5</v>
      </c>
      <c r="AH1186" s="111">
        <f t="shared" ref="AH1186:AH1235" si="349">AE1186*$X$19</f>
        <v>1244.0239199999999</v>
      </c>
      <c r="AI1186" s="127">
        <f t="shared" ref="AI1186:AI1235" si="350">MAX(AG1186,AH1186)</f>
        <v>1874.5</v>
      </c>
      <c r="AJ1186" s="37">
        <f t="shared" si="336"/>
        <v>11647</v>
      </c>
      <c r="AK1186" s="37">
        <f t="shared" ref="AK1186:AK1235" si="351">AF1186+AJ1186</f>
        <v>43237</v>
      </c>
      <c r="AL1186" s="37">
        <f t="shared" si="337"/>
        <v>9.9100695470383258</v>
      </c>
      <c r="AN1186" s="37" t="str">
        <f t="shared" si="338"/>
        <v>Pallet</v>
      </c>
      <c r="AO1186" s="194">
        <f t="shared" si="339"/>
        <v>45</v>
      </c>
    </row>
    <row r="1187" spans="22:41" x14ac:dyDescent="0.2">
      <c r="V1187" s="181">
        <f t="shared" si="340"/>
        <v>574.5</v>
      </c>
      <c r="W1187" s="181">
        <f t="shared" si="344"/>
        <v>1149</v>
      </c>
      <c r="X1187" s="181">
        <f t="shared" si="341"/>
        <v>2</v>
      </c>
      <c r="Y1187" s="37">
        <f t="shared" si="342"/>
        <v>3834.2</v>
      </c>
      <c r="Z1187" s="181">
        <f t="shared" si="345"/>
        <v>970.5</v>
      </c>
      <c r="AA1187" s="127">
        <f t="shared" si="346"/>
        <v>1190.4266399999999</v>
      </c>
      <c r="AB1187" s="127">
        <f t="shared" si="347"/>
        <v>1190.4266399999999</v>
      </c>
      <c r="AC1187" s="37">
        <f t="shared" si="333"/>
        <v>7542.5598399999999</v>
      </c>
      <c r="AD1187" s="37">
        <f t="shared" si="348"/>
        <v>11376.759839999999</v>
      </c>
      <c r="AE1187" s="181">
        <f t="shared" si="334"/>
        <v>45</v>
      </c>
      <c r="AF1187" s="37">
        <f t="shared" si="343"/>
        <v>31590</v>
      </c>
      <c r="AG1187" s="181">
        <f t="shared" si="335"/>
        <v>1875</v>
      </c>
      <c r="AH1187" s="111">
        <f t="shared" si="349"/>
        <v>1244.0239199999999</v>
      </c>
      <c r="AI1187" s="127">
        <f t="shared" si="350"/>
        <v>1875</v>
      </c>
      <c r="AJ1187" s="37">
        <f t="shared" si="336"/>
        <v>11650</v>
      </c>
      <c r="AK1187" s="37">
        <f t="shared" si="351"/>
        <v>43240</v>
      </c>
      <c r="AL1187" s="37">
        <f t="shared" si="337"/>
        <v>9.9014445953002603</v>
      </c>
      <c r="AN1187" s="37" t="str">
        <f t="shared" si="338"/>
        <v>Pallet</v>
      </c>
      <c r="AO1187" s="194">
        <f t="shared" si="339"/>
        <v>45</v>
      </c>
    </row>
    <row r="1188" spans="22:41" x14ac:dyDescent="0.2">
      <c r="V1188" s="181">
        <f t="shared" si="340"/>
        <v>575</v>
      </c>
      <c r="W1188" s="181">
        <f t="shared" si="344"/>
        <v>1150</v>
      </c>
      <c r="X1188" s="181">
        <f t="shared" si="341"/>
        <v>2</v>
      </c>
      <c r="Y1188" s="37">
        <f t="shared" si="342"/>
        <v>3834.2</v>
      </c>
      <c r="Z1188" s="181">
        <f t="shared" si="345"/>
        <v>971</v>
      </c>
      <c r="AA1188" s="127">
        <f t="shared" si="346"/>
        <v>1190.4266399999999</v>
      </c>
      <c r="AB1188" s="127">
        <f t="shared" si="347"/>
        <v>1190.4266399999999</v>
      </c>
      <c r="AC1188" s="37">
        <f t="shared" si="333"/>
        <v>7542.5598399999999</v>
      </c>
      <c r="AD1188" s="37">
        <f t="shared" si="348"/>
        <v>11376.759839999999</v>
      </c>
      <c r="AE1188" s="181">
        <f t="shared" si="334"/>
        <v>45</v>
      </c>
      <c r="AF1188" s="37">
        <f t="shared" si="343"/>
        <v>31590</v>
      </c>
      <c r="AG1188" s="181">
        <f t="shared" si="335"/>
        <v>1875.5</v>
      </c>
      <c r="AH1188" s="111">
        <f t="shared" si="349"/>
        <v>1244.0239199999999</v>
      </c>
      <c r="AI1188" s="127">
        <f t="shared" si="350"/>
        <v>1875.5</v>
      </c>
      <c r="AJ1188" s="37">
        <f t="shared" si="336"/>
        <v>11653</v>
      </c>
      <c r="AK1188" s="37">
        <f t="shared" si="351"/>
        <v>43243</v>
      </c>
      <c r="AL1188" s="37">
        <f t="shared" si="337"/>
        <v>9.8928346434782597</v>
      </c>
      <c r="AN1188" s="37" t="str">
        <f t="shared" si="338"/>
        <v>Pallet</v>
      </c>
      <c r="AO1188" s="194">
        <f t="shared" si="339"/>
        <v>45</v>
      </c>
    </row>
    <row r="1189" spans="22:41" x14ac:dyDescent="0.2">
      <c r="V1189" s="181">
        <f t="shared" si="340"/>
        <v>575.5</v>
      </c>
      <c r="W1189" s="181">
        <f t="shared" si="344"/>
        <v>1151</v>
      </c>
      <c r="X1189" s="181">
        <f t="shared" si="341"/>
        <v>2</v>
      </c>
      <c r="Y1189" s="37">
        <f t="shared" si="342"/>
        <v>3834.2</v>
      </c>
      <c r="Z1189" s="181">
        <f t="shared" si="345"/>
        <v>971.5</v>
      </c>
      <c r="AA1189" s="127">
        <f t="shared" si="346"/>
        <v>1190.4266399999999</v>
      </c>
      <c r="AB1189" s="127">
        <f t="shared" si="347"/>
        <v>1190.4266399999999</v>
      </c>
      <c r="AC1189" s="37">
        <f t="shared" si="333"/>
        <v>7542.5598399999999</v>
      </c>
      <c r="AD1189" s="37">
        <f t="shared" si="348"/>
        <v>11376.759839999999</v>
      </c>
      <c r="AE1189" s="181">
        <f t="shared" si="334"/>
        <v>45</v>
      </c>
      <c r="AF1189" s="37">
        <f t="shared" si="343"/>
        <v>31590</v>
      </c>
      <c r="AG1189" s="181">
        <f t="shared" si="335"/>
        <v>1876</v>
      </c>
      <c r="AH1189" s="111">
        <f t="shared" si="349"/>
        <v>1244.0239199999999</v>
      </c>
      <c r="AI1189" s="127">
        <f t="shared" si="350"/>
        <v>1876</v>
      </c>
      <c r="AJ1189" s="37">
        <f t="shared" si="336"/>
        <v>11656</v>
      </c>
      <c r="AK1189" s="37">
        <f t="shared" si="351"/>
        <v>43246</v>
      </c>
      <c r="AL1189" s="37">
        <f t="shared" si="337"/>
        <v>9.884239652476106</v>
      </c>
      <c r="AN1189" s="37" t="str">
        <f t="shared" si="338"/>
        <v>Pallet</v>
      </c>
      <c r="AO1189" s="194">
        <f t="shared" si="339"/>
        <v>45</v>
      </c>
    </row>
    <row r="1190" spans="22:41" x14ac:dyDescent="0.2">
      <c r="V1190" s="181">
        <f t="shared" si="340"/>
        <v>576</v>
      </c>
      <c r="W1190" s="181">
        <f t="shared" si="344"/>
        <v>1152</v>
      </c>
      <c r="X1190" s="181">
        <f t="shared" si="341"/>
        <v>2</v>
      </c>
      <c r="Y1190" s="37">
        <f t="shared" si="342"/>
        <v>3834.2</v>
      </c>
      <c r="Z1190" s="181">
        <f t="shared" si="345"/>
        <v>972</v>
      </c>
      <c r="AA1190" s="127">
        <f t="shared" si="346"/>
        <v>1190.4266399999999</v>
      </c>
      <c r="AB1190" s="127">
        <f t="shared" si="347"/>
        <v>1190.4266399999999</v>
      </c>
      <c r="AC1190" s="37">
        <f t="shared" si="333"/>
        <v>7542.5598399999999</v>
      </c>
      <c r="AD1190" s="37">
        <f t="shared" si="348"/>
        <v>11376.759839999999</v>
      </c>
      <c r="AE1190" s="181">
        <f t="shared" si="334"/>
        <v>45</v>
      </c>
      <c r="AF1190" s="37">
        <f t="shared" si="343"/>
        <v>31590</v>
      </c>
      <c r="AG1190" s="181">
        <f t="shared" si="335"/>
        <v>1876.5</v>
      </c>
      <c r="AH1190" s="111">
        <f t="shared" si="349"/>
        <v>1244.0239199999999</v>
      </c>
      <c r="AI1190" s="127">
        <f t="shared" si="350"/>
        <v>1876.5</v>
      </c>
      <c r="AJ1190" s="37">
        <f t="shared" si="336"/>
        <v>11659</v>
      </c>
      <c r="AK1190" s="37">
        <f t="shared" si="351"/>
        <v>43249</v>
      </c>
      <c r="AL1190" s="37">
        <f t="shared" si="337"/>
        <v>9.8756595833333325</v>
      </c>
      <c r="AN1190" s="37" t="str">
        <f t="shared" si="338"/>
        <v>Pallet</v>
      </c>
      <c r="AO1190" s="194">
        <f t="shared" si="339"/>
        <v>45</v>
      </c>
    </row>
    <row r="1191" spans="22:41" x14ac:dyDescent="0.2">
      <c r="V1191" s="181">
        <f t="shared" si="340"/>
        <v>576.5</v>
      </c>
      <c r="W1191" s="181">
        <f t="shared" si="344"/>
        <v>1153</v>
      </c>
      <c r="X1191" s="181">
        <f t="shared" si="341"/>
        <v>2</v>
      </c>
      <c r="Y1191" s="37">
        <f t="shared" si="342"/>
        <v>3834.2</v>
      </c>
      <c r="Z1191" s="181">
        <f t="shared" si="345"/>
        <v>972.5</v>
      </c>
      <c r="AA1191" s="127">
        <f t="shared" si="346"/>
        <v>1190.4266399999999</v>
      </c>
      <c r="AB1191" s="127">
        <f t="shared" si="347"/>
        <v>1190.4266399999999</v>
      </c>
      <c r="AC1191" s="37">
        <f t="shared" ref="AC1191:AC1235" si="352">(Shipping_perkg_first100*100)+((AB1191-100)*Shipping_perkg_above100)</f>
        <v>7542.5598399999999</v>
      </c>
      <c r="AD1191" s="37">
        <f t="shared" si="348"/>
        <v>11376.759839999999</v>
      </c>
      <c r="AE1191" s="181">
        <f t="shared" ref="AE1191:AE1235" si="353">ROUNDUP(W1191/$N$19,0)</f>
        <v>45</v>
      </c>
      <c r="AF1191" s="37">
        <f t="shared" si="343"/>
        <v>31590</v>
      </c>
      <c r="AG1191" s="181">
        <f t="shared" ref="AG1191:AG1235" si="354">(AE1191*$K$19)+V1191</f>
        <v>1877</v>
      </c>
      <c r="AH1191" s="111">
        <f t="shared" si="349"/>
        <v>1244.0239199999999</v>
      </c>
      <c r="AI1191" s="127">
        <f t="shared" si="350"/>
        <v>1877</v>
      </c>
      <c r="AJ1191" s="37">
        <f t="shared" ref="AJ1191:AJ1235" si="355">IF(AI1191&lt;=100,AI1191*Shipping_perkg_first100,(Shipping_perkg_first100*100)+((AI1191-100)*Shipping_perkg_above100))</f>
        <v>11662</v>
      </c>
      <c r="AK1191" s="37">
        <f t="shared" si="351"/>
        <v>43252</v>
      </c>
      <c r="AL1191" s="37">
        <f t="shared" si="337"/>
        <v>9.8670943972246299</v>
      </c>
      <c r="AN1191" s="37" t="str">
        <f t="shared" si="338"/>
        <v>Pallet</v>
      </c>
      <c r="AO1191" s="194">
        <f t="shared" si="339"/>
        <v>45</v>
      </c>
    </row>
    <row r="1192" spans="22:41" x14ac:dyDescent="0.2">
      <c r="V1192" s="181">
        <f t="shared" si="340"/>
        <v>577</v>
      </c>
      <c r="W1192" s="181">
        <f t="shared" si="344"/>
        <v>1154</v>
      </c>
      <c r="X1192" s="181">
        <f t="shared" si="341"/>
        <v>2</v>
      </c>
      <c r="Y1192" s="37">
        <f t="shared" si="342"/>
        <v>3834.2</v>
      </c>
      <c r="Z1192" s="181">
        <f t="shared" si="345"/>
        <v>973</v>
      </c>
      <c r="AA1192" s="127">
        <f t="shared" si="346"/>
        <v>1190.4266399999999</v>
      </c>
      <c r="AB1192" s="127">
        <f t="shared" si="347"/>
        <v>1190.4266399999999</v>
      </c>
      <c r="AC1192" s="37">
        <f t="shared" si="352"/>
        <v>7542.5598399999999</v>
      </c>
      <c r="AD1192" s="37">
        <f t="shared" si="348"/>
        <v>11376.759839999999</v>
      </c>
      <c r="AE1192" s="181">
        <f t="shared" si="353"/>
        <v>45</v>
      </c>
      <c r="AF1192" s="37">
        <f t="shared" si="343"/>
        <v>31590</v>
      </c>
      <c r="AG1192" s="181">
        <f t="shared" si="354"/>
        <v>1877.5</v>
      </c>
      <c r="AH1192" s="111">
        <f t="shared" si="349"/>
        <v>1244.0239199999999</v>
      </c>
      <c r="AI1192" s="127">
        <f t="shared" si="350"/>
        <v>1877.5</v>
      </c>
      <c r="AJ1192" s="37">
        <f t="shared" si="355"/>
        <v>11665</v>
      </c>
      <c r="AK1192" s="37">
        <f t="shared" si="351"/>
        <v>43255</v>
      </c>
      <c r="AL1192" s="37">
        <f t="shared" ref="AL1192:AL1235" si="356">MIN(AD1192,AK1192)/W1192</f>
        <v>9.8585440554592711</v>
      </c>
      <c r="AN1192" s="37" t="str">
        <f t="shared" si="338"/>
        <v>Pallet</v>
      </c>
      <c r="AO1192" s="194">
        <f t="shared" si="339"/>
        <v>45</v>
      </c>
    </row>
    <row r="1193" spans="22:41" x14ac:dyDescent="0.2">
      <c r="V1193" s="181">
        <f t="shared" si="340"/>
        <v>577.5</v>
      </c>
      <c r="W1193" s="181">
        <f t="shared" si="344"/>
        <v>1155</v>
      </c>
      <c r="X1193" s="181">
        <f t="shared" si="341"/>
        <v>2</v>
      </c>
      <c r="Y1193" s="37">
        <f t="shared" si="342"/>
        <v>3834.2</v>
      </c>
      <c r="Z1193" s="181">
        <f t="shared" si="345"/>
        <v>973.5</v>
      </c>
      <c r="AA1193" s="127">
        <f t="shared" si="346"/>
        <v>1190.4266399999999</v>
      </c>
      <c r="AB1193" s="127">
        <f t="shared" si="347"/>
        <v>1190.4266399999999</v>
      </c>
      <c r="AC1193" s="37">
        <f t="shared" si="352"/>
        <v>7542.5598399999999</v>
      </c>
      <c r="AD1193" s="37">
        <f t="shared" si="348"/>
        <v>11376.759839999999</v>
      </c>
      <c r="AE1193" s="181">
        <f t="shared" si="353"/>
        <v>45</v>
      </c>
      <c r="AF1193" s="37">
        <f t="shared" si="343"/>
        <v>31590</v>
      </c>
      <c r="AG1193" s="181">
        <f t="shared" si="354"/>
        <v>1878</v>
      </c>
      <c r="AH1193" s="111">
        <f t="shared" si="349"/>
        <v>1244.0239199999999</v>
      </c>
      <c r="AI1193" s="127">
        <f t="shared" si="350"/>
        <v>1878</v>
      </c>
      <c r="AJ1193" s="37">
        <f t="shared" si="355"/>
        <v>11668</v>
      </c>
      <c r="AK1193" s="37">
        <f t="shared" si="351"/>
        <v>43258</v>
      </c>
      <c r="AL1193" s="37">
        <f t="shared" si="356"/>
        <v>9.850008519480518</v>
      </c>
      <c r="AN1193" s="37" t="str">
        <f t="shared" ref="AN1193:AN1235" si="357">IF(AD1193&lt;AK1193,"Pallet","Parcel")</f>
        <v>Pallet</v>
      </c>
      <c r="AO1193" s="194">
        <f t="shared" ref="AO1193:AO1235" si="358">AE1192</f>
        <v>45</v>
      </c>
    </row>
    <row r="1194" spans="22:41" x14ac:dyDescent="0.2">
      <c r="V1194" s="181">
        <f t="shared" ref="V1194:V1235" si="359">W1194*$V$37</f>
        <v>578</v>
      </c>
      <c r="W1194" s="181">
        <f t="shared" si="344"/>
        <v>1156</v>
      </c>
      <c r="X1194" s="181">
        <f t="shared" ref="X1194:X1235" si="360">ROUNDUP(W1194/$N$29,0)</f>
        <v>2</v>
      </c>
      <c r="Y1194" s="37">
        <f t="shared" ref="Y1194:Y1235" si="361">X1194*$P$29</f>
        <v>3834.2</v>
      </c>
      <c r="Z1194" s="181">
        <f t="shared" si="345"/>
        <v>974</v>
      </c>
      <c r="AA1194" s="127">
        <f t="shared" si="346"/>
        <v>1190.4266399999999</v>
      </c>
      <c r="AB1194" s="127">
        <f t="shared" si="347"/>
        <v>1190.4266399999999</v>
      </c>
      <c r="AC1194" s="37">
        <f t="shared" si="352"/>
        <v>7542.5598399999999</v>
      </c>
      <c r="AD1194" s="37">
        <f t="shared" si="348"/>
        <v>11376.759839999999</v>
      </c>
      <c r="AE1194" s="181">
        <f t="shared" si="353"/>
        <v>45</v>
      </c>
      <c r="AF1194" s="37">
        <f t="shared" ref="AF1194:AF1235" si="362">AE1194*$P$19</f>
        <v>31590</v>
      </c>
      <c r="AG1194" s="181">
        <f t="shared" si="354"/>
        <v>1878.5</v>
      </c>
      <c r="AH1194" s="111">
        <f t="shared" si="349"/>
        <v>1244.0239199999999</v>
      </c>
      <c r="AI1194" s="127">
        <f t="shared" si="350"/>
        <v>1878.5</v>
      </c>
      <c r="AJ1194" s="37">
        <f t="shared" si="355"/>
        <v>11671</v>
      </c>
      <c r="AK1194" s="37">
        <f t="shared" si="351"/>
        <v>43261</v>
      </c>
      <c r="AL1194" s="37">
        <f t="shared" si="356"/>
        <v>9.8414877508650509</v>
      </c>
      <c r="AN1194" s="37" t="str">
        <f t="shared" si="357"/>
        <v>Pallet</v>
      </c>
      <c r="AO1194" s="194">
        <f t="shared" si="358"/>
        <v>45</v>
      </c>
    </row>
    <row r="1195" spans="22:41" x14ac:dyDescent="0.2">
      <c r="V1195" s="181">
        <f t="shared" si="359"/>
        <v>578.5</v>
      </c>
      <c r="W1195" s="181">
        <f t="shared" si="344"/>
        <v>1157</v>
      </c>
      <c r="X1195" s="181">
        <f t="shared" si="360"/>
        <v>2</v>
      </c>
      <c r="Y1195" s="37">
        <f t="shared" si="361"/>
        <v>3834.2</v>
      </c>
      <c r="Z1195" s="181">
        <f t="shared" si="345"/>
        <v>974.5</v>
      </c>
      <c r="AA1195" s="127">
        <f t="shared" si="346"/>
        <v>1190.4266399999999</v>
      </c>
      <c r="AB1195" s="127">
        <f t="shared" si="347"/>
        <v>1190.4266399999999</v>
      </c>
      <c r="AC1195" s="37">
        <f t="shared" si="352"/>
        <v>7542.5598399999999</v>
      </c>
      <c r="AD1195" s="37">
        <f t="shared" si="348"/>
        <v>11376.759839999999</v>
      </c>
      <c r="AE1195" s="181">
        <f t="shared" si="353"/>
        <v>45</v>
      </c>
      <c r="AF1195" s="37">
        <f t="shared" si="362"/>
        <v>31590</v>
      </c>
      <c r="AG1195" s="181">
        <f t="shared" si="354"/>
        <v>1879</v>
      </c>
      <c r="AH1195" s="111">
        <f t="shared" si="349"/>
        <v>1244.0239199999999</v>
      </c>
      <c r="AI1195" s="127">
        <f t="shared" si="350"/>
        <v>1879</v>
      </c>
      <c r="AJ1195" s="37">
        <f t="shared" si="355"/>
        <v>11674</v>
      </c>
      <c r="AK1195" s="37">
        <f t="shared" si="351"/>
        <v>43264</v>
      </c>
      <c r="AL1195" s="37">
        <f t="shared" si="356"/>
        <v>9.8329817113223843</v>
      </c>
      <c r="AN1195" s="37" t="str">
        <f t="shared" si="357"/>
        <v>Pallet</v>
      </c>
      <c r="AO1195" s="194">
        <f t="shared" si="358"/>
        <v>45</v>
      </c>
    </row>
    <row r="1196" spans="22:41" x14ac:dyDescent="0.2">
      <c r="V1196" s="181">
        <f t="shared" si="359"/>
        <v>579</v>
      </c>
      <c r="W1196" s="181">
        <f t="shared" si="344"/>
        <v>1158</v>
      </c>
      <c r="X1196" s="181">
        <f t="shared" si="360"/>
        <v>2</v>
      </c>
      <c r="Y1196" s="37">
        <f t="shared" si="361"/>
        <v>3834.2</v>
      </c>
      <c r="Z1196" s="181">
        <f t="shared" si="345"/>
        <v>975</v>
      </c>
      <c r="AA1196" s="127">
        <f t="shared" si="346"/>
        <v>1190.4266399999999</v>
      </c>
      <c r="AB1196" s="127">
        <f t="shared" si="347"/>
        <v>1190.4266399999999</v>
      </c>
      <c r="AC1196" s="37">
        <f t="shared" si="352"/>
        <v>7542.5598399999999</v>
      </c>
      <c r="AD1196" s="37">
        <f t="shared" si="348"/>
        <v>11376.759839999999</v>
      </c>
      <c r="AE1196" s="181">
        <f t="shared" si="353"/>
        <v>45</v>
      </c>
      <c r="AF1196" s="37">
        <f t="shared" si="362"/>
        <v>31590</v>
      </c>
      <c r="AG1196" s="181">
        <f t="shared" si="354"/>
        <v>1879.5</v>
      </c>
      <c r="AH1196" s="111">
        <f t="shared" si="349"/>
        <v>1244.0239199999999</v>
      </c>
      <c r="AI1196" s="127">
        <f t="shared" si="350"/>
        <v>1879.5</v>
      </c>
      <c r="AJ1196" s="37">
        <f t="shared" si="355"/>
        <v>11677</v>
      </c>
      <c r="AK1196" s="37">
        <f t="shared" si="351"/>
        <v>43267</v>
      </c>
      <c r="AL1196" s="37">
        <f t="shared" si="356"/>
        <v>9.8244903626943003</v>
      </c>
      <c r="AN1196" s="37" t="str">
        <f t="shared" si="357"/>
        <v>Pallet</v>
      </c>
      <c r="AO1196" s="194">
        <f t="shared" si="358"/>
        <v>45</v>
      </c>
    </row>
    <row r="1197" spans="22:41" x14ac:dyDescent="0.2">
      <c r="V1197" s="181">
        <f t="shared" si="359"/>
        <v>579.5</v>
      </c>
      <c r="W1197" s="181">
        <f t="shared" si="344"/>
        <v>1159</v>
      </c>
      <c r="X1197" s="181">
        <f t="shared" si="360"/>
        <v>2</v>
      </c>
      <c r="Y1197" s="37">
        <f t="shared" si="361"/>
        <v>3834.2</v>
      </c>
      <c r="Z1197" s="181">
        <f t="shared" si="345"/>
        <v>975.5</v>
      </c>
      <c r="AA1197" s="127">
        <f t="shared" si="346"/>
        <v>1190.4266399999999</v>
      </c>
      <c r="AB1197" s="127">
        <f t="shared" si="347"/>
        <v>1190.4266399999999</v>
      </c>
      <c r="AC1197" s="37">
        <f t="shared" si="352"/>
        <v>7542.5598399999999</v>
      </c>
      <c r="AD1197" s="37">
        <f t="shared" si="348"/>
        <v>11376.759839999999</v>
      </c>
      <c r="AE1197" s="181">
        <f t="shared" si="353"/>
        <v>45</v>
      </c>
      <c r="AF1197" s="37">
        <f t="shared" si="362"/>
        <v>31590</v>
      </c>
      <c r="AG1197" s="181">
        <f t="shared" si="354"/>
        <v>1880</v>
      </c>
      <c r="AH1197" s="111">
        <f t="shared" si="349"/>
        <v>1244.0239199999999</v>
      </c>
      <c r="AI1197" s="127">
        <f t="shared" si="350"/>
        <v>1880</v>
      </c>
      <c r="AJ1197" s="37">
        <f t="shared" si="355"/>
        <v>11680</v>
      </c>
      <c r="AK1197" s="37">
        <f t="shared" si="351"/>
        <v>43270</v>
      </c>
      <c r="AL1197" s="37">
        <f t="shared" si="356"/>
        <v>9.8160136669542695</v>
      </c>
      <c r="AN1197" s="37" t="str">
        <f t="shared" si="357"/>
        <v>Pallet</v>
      </c>
      <c r="AO1197" s="194">
        <f t="shared" si="358"/>
        <v>45</v>
      </c>
    </row>
    <row r="1198" spans="22:41" x14ac:dyDescent="0.2">
      <c r="V1198" s="181">
        <f t="shared" si="359"/>
        <v>580</v>
      </c>
      <c r="W1198" s="181">
        <f t="shared" si="344"/>
        <v>1160</v>
      </c>
      <c r="X1198" s="181">
        <f t="shared" si="360"/>
        <v>2</v>
      </c>
      <c r="Y1198" s="37">
        <f t="shared" si="361"/>
        <v>3834.2</v>
      </c>
      <c r="Z1198" s="181">
        <f t="shared" si="345"/>
        <v>976</v>
      </c>
      <c r="AA1198" s="127">
        <f t="shared" si="346"/>
        <v>1190.4266399999999</v>
      </c>
      <c r="AB1198" s="127">
        <f t="shared" si="347"/>
        <v>1190.4266399999999</v>
      </c>
      <c r="AC1198" s="37">
        <f t="shared" si="352"/>
        <v>7542.5598399999999</v>
      </c>
      <c r="AD1198" s="37">
        <f t="shared" si="348"/>
        <v>11376.759839999999</v>
      </c>
      <c r="AE1198" s="181">
        <f t="shared" si="353"/>
        <v>45</v>
      </c>
      <c r="AF1198" s="37">
        <f t="shared" si="362"/>
        <v>31590</v>
      </c>
      <c r="AG1198" s="181">
        <f t="shared" si="354"/>
        <v>1880.5</v>
      </c>
      <c r="AH1198" s="111">
        <f t="shared" si="349"/>
        <v>1244.0239199999999</v>
      </c>
      <c r="AI1198" s="127">
        <f t="shared" si="350"/>
        <v>1880.5</v>
      </c>
      <c r="AJ1198" s="37">
        <f t="shared" si="355"/>
        <v>11683</v>
      </c>
      <c r="AK1198" s="37">
        <f t="shared" si="351"/>
        <v>43273</v>
      </c>
      <c r="AL1198" s="37">
        <f t="shared" si="356"/>
        <v>9.8075515862068947</v>
      </c>
      <c r="AN1198" s="37" t="str">
        <f t="shared" si="357"/>
        <v>Pallet</v>
      </c>
      <c r="AO1198" s="194">
        <f t="shared" si="358"/>
        <v>45</v>
      </c>
    </row>
    <row r="1199" spans="22:41" x14ac:dyDescent="0.2">
      <c r="V1199" s="181">
        <f t="shared" si="359"/>
        <v>580.5</v>
      </c>
      <c r="W1199" s="181">
        <f t="shared" si="344"/>
        <v>1161</v>
      </c>
      <c r="X1199" s="181">
        <f t="shared" si="360"/>
        <v>2</v>
      </c>
      <c r="Y1199" s="37">
        <f t="shared" si="361"/>
        <v>3834.2</v>
      </c>
      <c r="Z1199" s="181">
        <f t="shared" si="345"/>
        <v>976.5</v>
      </c>
      <c r="AA1199" s="127">
        <f t="shared" si="346"/>
        <v>1190.4266399999999</v>
      </c>
      <c r="AB1199" s="127">
        <f t="shared" si="347"/>
        <v>1190.4266399999999</v>
      </c>
      <c r="AC1199" s="37">
        <f t="shared" si="352"/>
        <v>7542.5598399999999</v>
      </c>
      <c r="AD1199" s="37">
        <f t="shared" si="348"/>
        <v>11376.759839999999</v>
      </c>
      <c r="AE1199" s="181">
        <f t="shared" si="353"/>
        <v>45</v>
      </c>
      <c r="AF1199" s="37">
        <f t="shared" si="362"/>
        <v>31590</v>
      </c>
      <c r="AG1199" s="181">
        <f t="shared" si="354"/>
        <v>1881</v>
      </c>
      <c r="AH1199" s="111">
        <f t="shared" si="349"/>
        <v>1244.0239199999999</v>
      </c>
      <c r="AI1199" s="127">
        <f t="shared" si="350"/>
        <v>1881</v>
      </c>
      <c r="AJ1199" s="37">
        <f t="shared" si="355"/>
        <v>11686</v>
      </c>
      <c r="AK1199" s="37">
        <f t="shared" si="351"/>
        <v>43276</v>
      </c>
      <c r="AL1199" s="37">
        <f t="shared" si="356"/>
        <v>9.7991040826873377</v>
      </c>
      <c r="AN1199" s="37" t="str">
        <f t="shared" si="357"/>
        <v>Pallet</v>
      </c>
      <c r="AO1199" s="194">
        <f t="shared" si="358"/>
        <v>45</v>
      </c>
    </row>
    <row r="1200" spans="22:41" x14ac:dyDescent="0.2">
      <c r="V1200" s="181">
        <f t="shared" si="359"/>
        <v>581</v>
      </c>
      <c r="W1200" s="181">
        <f t="shared" si="344"/>
        <v>1162</v>
      </c>
      <c r="X1200" s="181">
        <f t="shared" si="360"/>
        <v>2</v>
      </c>
      <c r="Y1200" s="37">
        <f t="shared" si="361"/>
        <v>3834.2</v>
      </c>
      <c r="Z1200" s="181">
        <f t="shared" si="345"/>
        <v>977</v>
      </c>
      <c r="AA1200" s="127">
        <f t="shared" si="346"/>
        <v>1190.4266399999999</v>
      </c>
      <c r="AB1200" s="127">
        <f t="shared" si="347"/>
        <v>1190.4266399999999</v>
      </c>
      <c r="AC1200" s="37">
        <f t="shared" si="352"/>
        <v>7542.5598399999999</v>
      </c>
      <c r="AD1200" s="37">
        <f t="shared" si="348"/>
        <v>11376.759839999999</v>
      </c>
      <c r="AE1200" s="181">
        <f t="shared" si="353"/>
        <v>46</v>
      </c>
      <c r="AF1200" s="37">
        <f t="shared" si="362"/>
        <v>32292</v>
      </c>
      <c r="AG1200" s="181">
        <f t="shared" si="354"/>
        <v>1910.3999999999999</v>
      </c>
      <c r="AH1200" s="111">
        <f t="shared" si="349"/>
        <v>1271.6688959999999</v>
      </c>
      <c r="AI1200" s="127">
        <f t="shared" si="350"/>
        <v>1910.3999999999999</v>
      </c>
      <c r="AJ1200" s="37">
        <f t="shared" si="355"/>
        <v>11862.4</v>
      </c>
      <c r="AK1200" s="37">
        <f t="shared" si="351"/>
        <v>44154.400000000001</v>
      </c>
      <c r="AL1200" s="37">
        <f t="shared" si="356"/>
        <v>9.7906711187607556</v>
      </c>
      <c r="AN1200" s="37" t="str">
        <f t="shared" si="357"/>
        <v>Pallet</v>
      </c>
      <c r="AO1200" s="194">
        <f t="shared" si="358"/>
        <v>45</v>
      </c>
    </row>
    <row r="1201" spans="22:41" x14ac:dyDescent="0.2">
      <c r="V1201" s="181">
        <f t="shared" si="359"/>
        <v>581.5</v>
      </c>
      <c r="W1201" s="181">
        <f t="shared" si="344"/>
        <v>1163</v>
      </c>
      <c r="X1201" s="181">
        <f t="shared" si="360"/>
        <v>2</v>
      </c>
      <c r="Y1201" s="37">
        <f t="shared" si="361"/>
        <v>3834.2</v>
      </c>
      <c r="Z1201" s="181">
        <f t="shared" si="345"/>
        <v>977.5</v>
      </c>
      <c r="AA1201" s="127">
        <f t="shared" si="346"/>
        <v>1190.4266399999999</v>
      </c>
      <c r="AB1201" s="127">
        <f t="shared" si="347"/>
        <v>1190.4266399999999</v>
      </c>
      <c r="AC1201" s="37">
        <f t="shared" si="352"/>
        <v>7542.5598399999999</v>
      </c>
      <c r="AD1201" s="37">
        <f t="shared" si="348"/>
        <v>11376.759839999999</v>
      </c>
      <c r="AE1201" s="181">
        <f t="shared" si="353"/>
        <v>46</v>
      </c>
      <c r="AF1201" s="37">
        <f t="shared" si="362"/>
        <v>32292</v>
      </c>
      <c r="AG1201" s="181">
        <f t="shared" si="354"/>
        <v>1910.8999999999999</v>
      </c>
      <c r="AH1201" s="111">
        <f t="shared" si="349"/>
        <v>1271.6688959999999</v>
      </c>
      <c r="AI1201" s="127">
        <f t="shared" si="350"/>
        <v>1910.8999999999999</v>
      </c>
      <c r="AJ1201" s="37">
        <f t="shared" si="355"/>
        <v>11865.4</v>
      </c>
      <c r="AK1201" s="37">
        <f t="shared" si="351"/>
        <v>44157.4</v>
      </c>
      <c r="AL1201" s="37">
        <f t="shared" si="356"/>
        <v>9.7822526569217523</v>
      </c>
      <c r="AN1201" s="37" t="str">
        <f t="shared" si="357"/>
        <v>Pallet</v>
      </c>
      <c r="AO1201" s="194">
        <f t="shared" si="358"/>
        <v>46</v>
      </c>
    </row>
    <row r="1202" spans="22:41" x14ac:dyDescent="0.2">
      <c r="V1202" s="181">
        <f t="shared" si="359"/>
        <v>582</v>
      </c>
      <c r="W1202" s="181">
        <f t="shared" si="344"/>
        <v>1164</v>
      </c>
      <c r="X1202" s="181">
        <f t="shared" si="360"/>
        <v>2</v>
      </c>
      <c r="Y1202" s="37">
        <f t="shared" si="361"/>
        <v>3834.2</v>
      </c>
      <c r="Z1202" s="181">
        <f t="shared" si="345"/>
        <v>978</v>
      </c>
      <c r="AA1202" s="127">
        <f t="shared" si="346"/>
        <v>1190.4266399999999</v>
      </c>
      <c r="AB1202" s="127">
        <f t="shared" si="347"/>
        <v>1190.4266399999999</v>
      </c>
      <c r="AC1202" s="37">
        <f t="shared" si="352"/>
        <v>7542.5598399999999</v>
      </c>
      <c r="AD1202" s="37">
        <f t="shared" si="348"/>
        <v>11376.759839999999</v>
      </c>
      <c r="AE1202" s="181">
        <f t="shared" si="353"/>
        <v>46</v>
      </c>
      <c r="AF1202" s="37">
        <f t="shared" si="362"/>
        <v>32292</v>
      </c>
      <c r="AG1202" s="181">
        <f t="shared" si="354"/>
        <v>1911.3999999999999</v>
      </c>
      <c r="AH1202" s="111">
        <f t="shared" si="349"/>
        <v>1271.6688959999999</v>
      </c>
      <c r="AI1202" s="127">
        <f t="shared" si="350"/>
        <v>1911.3999999999999</v>
      </c>
      <c r="AJ1202" s="37">
        <f t="shared" si="355"/>
        <v>11868.4</v>
      </c>
      <c r="AK1202" s="37">
        <f t="shared" si="351"/>
        <v>44160.4</v>
      </c>
      <c r="AL1202" s="37">
        <f t="shared" si="356"/>
        <v>9.7738486597938135</v>
      </c>
      <c r="AN1202" s="37" t="str">
        <f t="shared" si="357"/>
        <v>Pallet</v>
      </c>
      <c r="AO1202" s="194">
        <f t="shared" si="358"/>
        <v>46</v>
      </c>
    </row>
    <row r="1203" spans="22:41" x14ac:dyDescent="0.2">
      <c r="V1203" s="181">
        <f t="shared" si="359"/>
        <v>582.5</v>
      </c>
      <c r="W1203" s="181">
        <f t="shared" si="344"/>
        <v>1165</v>
      </c>
      <c r="X1203" s="181">
        <f t="shared" si="360"/>
        <v>2</v>
      </c>
      <c r="Y1203" s="37">
        <f t="shared" si="361"/>
        <v>3834.2</v>
      </c>
      <c r="Z1203" s="181">
        <f t="shared" si="345"/>
        <v>978.5</v>
      </c>
      <c r="AA1203" s="127">
        <f t="shared" si="346"/>
        <v>1190.4266399999999</v>
      </c>
      <c r="AB1203" s="127">
        <f t="shared" si="347"/>
        <v>1190.4266399999999</v>
      </c>
      <c r="AC1203" s="37">
        <f t="shared" si="352"/>
        <v>7542.5598399999999</v>
      </c>
      <c r="AD1203" s="37">
        <f t="shared" si="348"/>
        <v>11376.759839999999</v>
      </c>
      <c r="AE1203" s="181">
        <f t="shared" si="353"/>
        <v>46</v>
      </c>
      <c r="AF1203" s="37">
        <f t="shared" si="362"/>
        <v>32292</v>
      </c>
      <c r="AG1203" s="181">
        <f t="shared" si="354"/>
        <v>1911.8999999999999</v>
      </c>
      <c r="AH1203" s="111">
        <f t="shared" si="349"/>
        <v>1271.6688959999999</v>
      </c>
      <c r="AI1203" s="127">
        <f t="shared" si="350"/>
        <v>1911.8999999999999</v>
      </c>
      <c r="AJ1203" s="37">
        <f t="shared" si="355"/>
        <v>11871.4</v>
      </c>
      <c r="AK1203" s="37">
        <f t="shared" si="351"/>
        <v>44163.4</v>
      </c>
      <c r="AL1203" s="37">
        <f t="shared" si="356"/>
        <v>9.7654590901287541</v>
      </c>
      <c r="AN1203" s="37" t="str">
        <f t="shared" si="357"/>
        <v>Pallet</v>
      </c>
      <c r="AO1203" s="194">
        <f t="shared" si="358"/>
        <v>46</v>
      </c>
    </row>
    <row r="1204" spans="22:41" x14ac:dyDescent="0.2">
      <c r="V1204" s="181">
        <f t="shared" si="359"/>
        <v>583</v>
      </c>
      <c r="W1204" s="181">
        <f t="shared" si="344"/>
        <v>1166</v>
      </c>
      <c r="X1204" s="181">
        <f t="shared" si="360"/>
        <v>2</v>
      </c>
      <c r="Y1204" s="37">
        <f t="shared" si="361"/>
        <v>3834.2</v>
      </c>
      <c r="Z1204" s="181">
        <f t="shared" si="345"/>
        <v>979</v>
      </c>
      <c r="AA1204" s="127">
        <f t="shared" si="346"/>
        <v>1190.4266399999999</v>
      </c>
      <c r="AB1204" s="127">
        <f t="shared" si="347"/>
        <v>1190.4266399999999</v>
      </c>
      <c r="AC1204" s="37">
        <f t="shared" si="352"/>
        <v>7542.5598399999999</v>
      </c>
      <c r="AD1204" s="37">
        <f t="shared" si="348"/>
        <v>11376.759839999999</v>
      </c>
      <c r="AE1204" s="181">
        <f t="shared" si="353"/>
        <v>46</v>
      </c>
      <c r="AF1204" s="37">
        <f t="shared" si="362"/>
        <v>32292</v>
      </c>
      <c r="AG1204" s="181">
        <f t="shared" si="354"/>
        <v>1912.3999999999999</v>
      </c>
      <c r="AH1204" s="111">
        <f t="shared" si="349"/>
        <v>1271.6688959999999</v>
      </c>
      <c r="AI1204" s="127">
        <f t="shared" si="350"/>
        <v>1912.3999999999999</v>
      </c>
      <c r="AJ1204" s="37">
        <f t="shared" si="355"/>
        <v>11874.4</v>
      </c>
      <c r="AK1204" s="37">
        <f t="shared" si="351"/>
        <v>44166.400000000001</v>
      </c>
      <c r="AL1204" s="37">
        <f t="shared" si="356"/>
        <v>9.7570839108061733</v>
      </c>
      <c r="AN1204" s="37" t="str">
        <f t="shared" si="357"/>
        <v>Pallet</v>
      </c>
      <c r="AO1204" s="194">
        <f t="shared" si="358"/>
        <v>46</v>
      </c>
    </row>
    <row r="1205" spans="22:41" x14ac:dyDescent="0.2">
      <c r="V1205" s="181">
        <f t="shared" si="359"/>
        <v>583.5</v>
      </c>
      <c r="W1205" s="181">
        <f t="shared" si="344"/>
        <v>1167</v>
      </c>
      <c r="X1205" s="181">
        <f t="shared" si="360"/>
        <v>2</v>
      </c>
      <c r="Y1205" s="37">
        <f t="shared" si="361"/>
        <v>3834.2</v>
      </c>
      <c r="Z1205" s="181">
        <f t="shared" si="345"/>
        <v>979.5</v>
      </c>
      <c r="AA1205" s="127">
        <f t="shared" si="346"/>
        <v>1190.4266399999999</v>
      </c>
      <c r="AB1205" s="127">
        <f t="shared" si="347"/>
        <v>1190.4266399999999</v>
      </c>
      <c r="AC1205" s="37">
        <f t="shared" si="352"/>
        <v>7542.5598399999999</v>
      </c>
      <c r="AD1205" s="37">
        <f t="shared" si="348"/>
        <v>11376.759839999999</v>
      </c>
      <c r="AE1205" s="181">
        <f t="shared" si="353"/>
        <v>46</v>
      </c>
      <c r="AF1205" s="37">
        <f t="shared" si="362"/>
        <v>32292</v>
      </c>
      <c r="AG1205" s="181">
        <f t="shared" si="354"/>
        <v>1912.8999999999999</v>
      </c>
      <c r="AH1205" s="111">
        <f t="shared" si="349"/>
        <v>1271.6688959999999</v>
      </c>
      <c r="AI1205" s="127">
        <f t="shared" si="350"/>
        <v>1912.8999999999999</v>
      </c>
      <c r="AJ1205" s="37">
        <f t="shared" si="355"/>
        <v>11877.4</v>
      </c>
      <c r="AK1205" s="37">
        <f t="shared" si="351"/>
        <v>44169.4</v>
      </c>
      <c r="AL1205" s="37">
        <f t="shared" si="356"/>
        <v>9.7487230848329034</v>
      </c>
      <c r="AN1205" s="37" t="str">
        <f t="shared" si="357"/>
        <v>Pallet</v>
      </c>
      <c r="AO1205" s="194">
        <f t="shared" si="358"/>
        <v>46</v>
      </c>
    </row>
    <row r="1206" spans="22:41" x14ac:dyDescent="0.2">
      <c r="V1206" s="181">
        <f t="shared" si="359"/>
        <v>584</v>
      </c>
      <c r="W1206" s="181">
        <f t="shared" si="344"/>
        <v>1168</v>
      </c>
      <c r="X1206" s="181">
        <f t="shared" si="360"/>
        <v>2</v>
      </c>
      <c r="Y1206" s="37">
        <f t="shared" si="361"/>
        <v>3834.2</v>
      </c>
      <c r="Z1206" s="181">
        <f t="shared" si="345"/>
        <v>980</v>
      </c>
      <c r="AA1206" s="127">
        <f t="shared" si="346"/>
        <v>1190.4266399999999</v>
      </c>
      <c r="AB1206" s="127">
        <f t="shared" si="347"/>
        <v>1190.4266399999999</v>
      </c>
      <c r="AC1206" s="37">
        <f t="shared" si="352"/>
        <v>7542.5598399999999</v>
      </c>
      <c r="AD1206" s="37">
        <f t="shared" si="348"/>
        <v>11376.759839999999</v>
      </c>
      <c r="AE1206" s="181">
        <f t="shared" si="353"/>
        <v>46</v>
      </c>
      <c r="AF1206" s="37">
        <f t="shared" si="362"/>
        <v>32292</v>
      </c>
      <c r="AG1206" s="181">
        <f t="shared" si="354"/>
        <v>1913.3999999999999</v>
      </c>
      <c r="AH1206" s="111">
        <f t="shared" si="349"/>
        <v>1271.6688959999999</v>
      </c>
      <c r="AI1206" s="127">
        <f t="shared" si="350"/>
        <v>1913.3999999999999</v>
      </c>
      <c r="AJ1206" s="37">
        <f t="shared" si="355"/>
        <v>11880.4</v>
      </c>
      <c r="AK1206" s="37">
        <f t="shared" si="351"/>
        <v>44172.4</v>
      </c>
      <c r="AL1206" s="37">
        <f t="shared" si="356"/>
        <v>9.7403765753424647</v>
      </c>
      <c r="AN1206" s="37" t="str">
        <f t="shared" si="357"/>
        <v>Pallet</v>
      </c>
      <c r="AO1206" s="194">
        <f t="shared" si="358"/>
        <v>46</v>
      </c>
    </row>
    <row r="1207" spans="22:41" x14ac:dyDescent="0.2">
      <c r="V1207" s="181">
        <f t="shared" si="359"/>
        <v>584.5</v>
      </c>
      <c r="W1207" s="181">
        <f t="shared" si="344"/>
        <v>1169</v>
      </c>
      <c r="X1207" s="181">
        <f t="shared" si="360"/>
        <v>2</v>
      </c>
      <c r="Y1207" s="37">
        <f t="shared" si="361"/>
        <v>3834.2</v>
      </c>
      <c r="Z1207" s="181">
        <f t="shared" si="345"/>
        <v>980.5</v>
      </c>
      <c r="AA1207" s="127">
        <f t="shared" si="346"/>
        <v>1190.4266399999999</v>
      </c>
      <c r="AB1207" s="127">
        <f t="shared" si="347"/>
        <v>1190.4266399999999</v>
      </c>
      <c r="AC1207" s="37">
        <f t="shared" si="352"/>
        <v>7542.5598399999999</v>
      </c>
      <c r="AD1207" s="37">
        <f t="shared" si="348"/>
        <v>11376.759839999999</v>
      </c>
      <c r="AE1207" s="181">
        <f t="shared" si="353"/>
        <v>46</v>
      </c>
      <c r="AF1207" s="37">
        <f t="shared" si="362"/>
        <v>32292</v>
      </c>
      <c r="AG1207" s="181">
        <f t="shared" si="354"/>
        <v>1913.8999999999999</v>
      </c>
      <c r="AH1207" s="111">
        <f t="shared" si="349"/>
        <v>1271.6688959999999</v>
      </c>
      <c r="AI1207" s="127">
        <f t="shared" si="350"/>
        <v>1913.8999999999999</v>
      </c>
      <c r="AJ1207" s="37">
        <f t="shared" si="355"/>
        <v>11883.4</v>
      </c>
      <c r="AK1207" s="37">
        <f t="shared" si="351"/>
        <v>44175.4</v>
      </c>
      <c r="AL1207" s="37">
        <f t="shared" si="356"/>
        <v>9.7320443455945238</v>
      </c>
      <c r="AN1207" s="37" t="str">
        <f t="shared" si="357"/>
        <v>Pallet</v>
      </c>
      <c r="AO1207" s="194">
        <f t="shared" si="358"/>
        <v>46</v>
      </c>
    </row>
    <row r="1208" spans="22:41" x14ac:dyDescent="0.2">
      <c r="V1208" s="181">
        <f t="shared" si="359"/>
        <v>585</v>
      </c>
      <c r="W1208" s="181">
        <f t="shared" si="344"/>
        <v>1170</v>
      </c>
      <c r="X1208" s="181">
        <f t="shared" si="360"/>
        <v>2</v>
      </c>
      <c r="Y1208" s="37">
        <f t="shared" si="361"/>
        <v>3834.2</v>
      </c>
      <c r="Z1208" s="181">
        <f t="shared" si="345"/>
        <v>981</v>
      </c>
      <c r="AA1208" s="127">
        <f t="shared" si="346"/>
        <v>1190.4266399999999</v>
      </c>
      <c r="AB1208" s="127">
        <f t="shared" si="347"/>
        <v>1190.4266399999999</v>
      </c>
      <c r="AC1208" s="37">
        <f t="shared" si="352"/>
        <v>7542.5598399999999</v>
      </c>
      <c r="AD1208" s="37">
        <f t="shared" si="348"/>
        <v>11376.759839999999</v>
      </c>
      <c r="AE1208" s="181">
        <f t="shared" si="353"/>
        <v>46</v>
      </c>
      <c r="AF1208" s="37">
        <f t="shared" si="362"/>
        <v>32292</v>
      </c>
      <c r="AG1208" s="181">
        <f t="shared" si="354"/>
        <v>1914.3999999999999</v>
      </c>
      <c r="AH1208" s="111">
        <f t="shared" si="349"/>
        <v>1271.6688959999999</v>
      </c>
      <c r="AI1208" s="127">
        <f t="shared" si="350"/>
        <v>1914.3999999999999</v>
      </c>
      <c r="AJ1208" s="37">
        <f t="shared" si="355"/>
        <v>11886.4</v>
      </c>
      <c r="AK1208" s="37">
        <f t="shared" si="351"/>
        <v>44178.400000000001</v>
      </c>
      <c r="AL1208" s="37">
        <f t="shared" si="356"/>
        <v>9.7237263589743588</v>
      </c>
      <c r="AN1208" s="37" t="str">
        <f t="shared" si="357"/>
        <v>Pallet</v>
      </c>
      <c r="AO1208" s="194">
        <f t="shared" si="358"/>
        <v>46</v>
      </c>
    </row>
    <row r="1209" spans="22:41" x14ac:dyDescent="0.2">
      <c r="V1209" s="181">
        <f t="shared" si="359"/>
        <v>585.5</v>
      </c>
      <c r="W1209" s="181">
        <f t="shared" si="344"/>
        <v>1171</v>
      </c>
      <c r="X1209" s="181">
        <f t="shared" si="360"/>
        <v>2</v>
      </c>
      <c r="Y1209" s="37">
        <f t="shared" si="361"/>
        <v>3834.2</v>
      </c>
      <c r="Z1209" s="181">
        <f t="shared" si="345"/>
        <v>981.5</v>
      </c>
      <c r="AA1209" s="127">
        <f t="shared" si="346"/>
        <v>1190.4266399999999</v>
      </c>
      <c r="AB1209" s="127">
        <f t="shared" si="347"/>
        <v>1190.4266399999999</v>
      </c>
      <c r="AC1209" s="37">
        <f t="shared" si="352"/>
        <v>7542.5598399999999</v>
      </c>
      <c r="AD1209" s="37">
        <f t="shared" si="348"/>
        <v>11376.759839999999</v>
      </c>
      <c r="AE1209" s="181">
        <f t="shared" si="353"/>
        <v>46</v>
      </c>
      <c r="AF1209" s="37">
        <f t="shared" si="362"/>
        <v>32292</v>
      </c>
      <c r="AG1209" s="181">
        <f t="shared" si="354"/>
        <v>1914.8999999999999</v>
      </c>
      <c r="AH1209" s="111">
        <f t="shared" si="349"/>
        <v>1271.6688959999999</v>
      </c>
      <c r="AI1209" s="127">
        <f t="shared" si="350"/>
        <v>1914.8999999999999</v>
      </c>
      <c r="AJ1209" s="37">
        <f t="shared" si="355"/>
        <v>11889.4</v>
      </c>
      <c r="AK1209" s="37">
        <f t="shared" si="351"/>
        <v>44181.4</v>
      </c>
      <c r="AL1209" s="37">
        <f t="shared" si="356"/>
        <v>9.7154225789923139</v>
      </c>
      <c r="AN1209" s="37" t="str">
        <f t="shared" si="357"/>
        <v>Pallet</v>
      </c>
      <c r="AO1209" s="194">
        <f t="shared" si="358"/>
        <v>46</v>
      </c>
    </row>
    <row r="1210" spans="22:41" x14ac:dyDescent="0.2">
      <c r="V1210" s="181">
        <f t="shared" si="359"/>
        <v>586</v>
      </c>
      <c r="W1210" s="181">
        <f t="shared" si="344"/>
        <v>1172</v>
      </c>
      <c r="X1210" s="181">
        <f t="shared" si="360"/>
        <v>2</v>
      </c>
      <c r="Y1210" s="37">
        <f t="shared" si="361"/>
        <v>3834.2</v>
      </c>
      <c r="Z1210" s="181">
        <f t="shared" si="345"/>
        <v>982</v>
      </c>
      <c r="AA1210" s="127">
        <f t="shared" si="346"/>
        <v>1190.4266399999999</v>
      </c>
      <c r="AB1210" s="127">
        <f t="shared" si="347"/>
        <v>1190.4266399999999</v>
      </c>
      <c r="AC1210" s="37">
        <f t="shared" si="352"/>
        <v>7542.5598399999999</v>
      </c>
      <c r="AD1210" s="37">
        <f t="shared" si="348"/>
        <v>11376.759839999999</v>
      </c>
      <c r="AE1210" s="181">
        <f t="shared" si="353"/>
        <v>46</v>
      </c>
      <c r="AF1210" s="37">
        <f t="shared" si="362"/>
        <v>32292</v>
      </c>
      <c r="AG1210" s="181">
        <f t="shared" si="354"/>
        <v>1915.3999999999999</v>
      </c>
      <c r="AH1210" s="111">
        <f t="shared" si="349"/>
        <v>1271.6688959999999</v>
      </c>
      <c r="AI1210" s="127">
        <f t="shared" si="350"/>
        <v>1915.3999999999999</v>
      </c>
      <c r="AJ1210" s="37">
        <f t="shared" si="355"/>
        <v>11892.4</v>
      </c>
      <c r="AK1210" s="37">
        <f t="shared" si="351"/>
        <v>44184.4</v>
      </c>
      <c r="AL1210" s="37">
        <f t="shared" si="356"/>
        <v>9.7071329692832755</v>
      </c>
      <c r="AN1210" s="37" t="str">
        <f t="shared" si="357"/>
        <v>Pallet</v>
      </c>
      <c r="AO1210" s="194">
        <f t="shared" si="358"/>
        <v>46</v>
      </c>
    </row>
    <row r="1211" spans="22:41" x14ac:dyDescent="0.2">
      <c r="V1211" s="181">
        <f t="shared" si="359"/>
        <v>586.5</v>
      </c>
      <c r="W1211" s="181">
        <f t="shared" si="344"/>
        <v>1173</v>
      </c>
      <c r="X1211" s="181">
        <f t="shared" si="360"/>
        <v>2</v>
      </c>
      <c r="Y1211" s="37">
        <f t="shared" si="361"/>
        <v>3834.2</v>
      </c>
      <c r="Z1211" s="181">
        <f t="shared" si="345"/>
        <v>982.5</v>
      </c>
      <c r="AA1211" s="127">
        <f t="shared" si="346"/>
        <v>1190.4266399999999</v>
      </c>
      <c r="AB1211" s="127">
        <f t="shared" si="347"/>
        <v>1190.4266399999999</v>
      </c>
      <c r="AC1211" s="37">
        <f t="shared" si="352"/>
        <v>7542.5598399999999</v>
      </c>
      <c r="AD1211" s="37">
        <f t="shared" si="348"/>
        <v>11376.759839999999</v>
      </c>
      <c r="AE1211" s="181">
        <f t="shared" si="353"/>
        <v>46</v>
      </c>
      <c r="AF1211" s="37">
        <f t="shared" si="362"/>
        <v>32292</v>
      </c>
      <c r="AG1211" s="181">
        <f t="shared" si="354"/>
        <v>1915.8999999999999</v>
      </c>
      <c r="AH1211" s="111">
        <f t="shared" si="349"/>
        <v>1271.6688959999999</v>
      </c>
      <c r="AI1211" s="127">
        <f t="shared" si="350"/>
        <v>1915.8999999999999</v>
      </c>
      <c r="AJ1211" s="37">
        <f t="shared" si="355"/>
        <v>11895.4</v>
      </c>
      <c r="AK1211" s="37">
        <f t="shared" si="351"/>
        <v>44187.4</v>
      </c>
      <c r="AL1211" s="37">
        <f t="shared" si="356"/>
        <v>9.6988574936061376</v>
      </c>
      <c r="AN1211" s="37" t="str">
        <f t="shared" si="357"/>
        <v>Pallet</v>
      </c>
      <c r="AO1211" s="194">
        <f t="shared" si="358"/>
        <v>46</v>
      </c>
    </row>
    <row r="1212" spans="22:41" x14ac:dyDescent="0.2">
      <c r="V1212" s="181">
        <f t="shared" si="359"/>
        <v>587</v>
      </c>
      <c r="W1212" s="181">
        <f t="shared" si="344"/>
        <v>1174</v>
      </c>
      <c r="X1212" s="181">
        <f t="shared" si="360"/>
        <v>2</v>
      </c>
      <c r="Y1212" s="37">
        <f t="shared" si="361"/>
        <v>3834.2</v>
      </c>
      <c r="Z1212" s="181">
        <f t="shared" si="345"/>
        <v>983</v>
      </c>
      <c r="AA1212" s="127">
        <f t="shared" si="346"/>
        <v>1190.4266399999999</v>
      </c>
      <c r="AB1212" s="127">
        <f t="shared" si="347"/>
        <v>1190.4266399999999</v>
      </c>
      <c r="AC1212" s="37">
        <f t="shared" si="352"/>
        <v>7542.5598399999999</v>
      </c>
      <c r="AD1212" s="37">
        <f t="shared" si="348"/>
        <v>11376.759839999999</v>
      </c>
      <c r="AE1212" s="181">
        <f t="shared" si="353"/>
        <v>46</v>
      </c>
      <c r="AF1212" s="37">
        <f t="shared" si="362"/>
        <v>32292</v>
      </c>
      <c r="AG1212" s="181">
        <f t="shared" si="354"/>
        <v>1916.3999999999999</v>
      </c>
      <c r="AH1212" s="111">
        <f t="shared" si="349"/>
        <v>1271.6688959999999</v>
      </c>
      <c r="AI1212" s="127">
        <f t="shared" si="350"/>
        <v>1916.3999999999999</v>
      </c>
      <c r="AJ1212" s="37">
        <f t="shared" si="355"/>
        <v>11898.4</v>
      </c>
      <c r="AK1212" s="37">
        <f t="shared" si="351"/>
        <v>44190.400000000001</v>
      </c>
      <c r="AL1212" s="37">
        <f t="shared" si="356"/>
        <v>9.6905961158432703</v>
      </c>
      <c r="AN1212" s="37" t="str">
        <f t="shared" si="357"/>
        <v>Pallet</v>
      </c>
      <c r="AO1212" s="194">
        <f t="shared" si="358"/>
        <v>46</v>
      </c>
    </row>
    <row r="1213" spans="22:41" x14ac:dyDescent="0.2">
      <c r="V1213" s="181">
        <f t="shared" si="359"/>
        <v>587.5</v>
      </c>
      <c r="W1213" s="181">
        <f t="shared" si="344"/>
        <v>1175</v>
      </c>
      <c r="X1213" s="181">
        <f t="shared" si="360"/>
        <v>2</v>
      </c>
      <c r="Y1213" s="37">
        <f t="shared" si="361"/>
        <v>3834.2</v>
      </c>
      <c r="Z1213" s="181">
        <f t="shared" si="345"/>
        <v>983.5</v>
      </c>
      <c r="AA1213" s="127">
        <f t="shared" si="346"/>
        <v>1190.4266399999999</v>
      </c>
      <c r="AB1213" s="127">
        <f t="shared" si="347"/>
        <v>1190.4266399999999</v>
      </c>
      <c r="AC1213" s="37">
        <f t="shared" si="352"/>
        <v>7542.5598399999999</v>
      </c>
      <c r="AD1213" s="37">
        <f t="shared" si="348"/>
        <v>11376.759839999999</v>
      </c>
      <c r="AE1213" s="181">
        <f t="shared" si="353"/>
        <v>46</v>
      </c>
      <c r="AF1213" s="37">
        <f t="shared" si="362"/>
        <v>32292</v>
      </c>
      <c r="AG1213" s="181">
        <f t="shared" si="354"/>
        <v>1916.8999999999999</v>
      </c>
      <c r="AH1213" s="111">
        <f t="shared" si="349"/>
        <v>1271.6688959999999</v>
      </c>
      <c r="AI1213" s="127">
        <f t="shared" si="350"/>
        <v>1916.8999999999999</v>
      </c>
      <c r="AJ1213" s="37">
        <f t="shared" si="355"/>
        <v>11901.4</v>
      </c>
      <c r="AK1213" s="37">
        <f t="shared" si="351"/>
        <v>44193.4</v>
      </c>
      <c r="AL1213" s="37">
        <f t="shared" si="356"/>
        <v>9.6823487999999998</v>
      </c>
      <c r="AN1213" s="37" t="str">
        <f t="shared" si="357"/>
        <v>Pallet</v>
      </c>
      <c r="AO1213" s="194">
        <f t="shared" si="358"/>
        <v>46</v>
      </c>
    </row>
    <row r="1214" spans="22:41" x14ac:dyDescent="0.2">
      <c r="V1214" s="181">
        <f t="shared" si="359"/>
        <v>588</v>
      </c>
      <c r="W1214" s="181">
        <f t="shared" si="344"/>
        <v>1176</v>
      </c>
      <c r="X1214" s="181">
        <f t="shared" si="360"/>
        <v>2</v>
      </c>
      <c r="Y1214" s="37">
        <f t="shared" si="361"/>
        <v>3834.2</v>
      </c>
      <c r="Z1214" s="181">
        <f t="shared" si="345"/>
        <v>984</v>
      </c>
      <c r="AA1214" s="127">
        <f t="shared" si="346"/>
        <v>1190.4266399999999</v>
      </c>
      <c r="AB1214" s="127">
        <f t="shared" si="347"/>
        <v>1190.4266399999999</v>
      </c>
      <c r="AC1214" s="37">
        <f t="shared" si="352"/>
        <v>7542.5598399999999</v>
      </c>
      <c r="AD1214" s="37">
        <f t="shared" si="348"/>
        <v>11376.759839999999</v>
      </c>
      <c r="AE1214" s="181">
        <f t="shared" si="353"/>
        <v>46</v>
      </c>
      <c r="AF1214" s="37">
        <f t="shared" si="362"/>
        <v>32292</v>
      </c>
      <c r="AG1214" s="181">
        <f t="shared" si="354"/>
        <v>1917.3999999999999</v>
      </c>
      <c r="AH1214" s="111">
        <f t="shared" si="349"/>
        <v>1271.6688959999999</v>
      </c>
      <c r="AI1214" s="127">
        <f t="shared" si="350"/>
        <v>1917.3999999999999</v>
      </c>
      <c r="AJ1214" s="37">
        <f t="shared" si="355"/>
        <v>11904.4</v>
      </c>
      <c r="AK1214" s="37">
        <f t="shared" si="351"/>
        <v>44196.4</v>
      </c>
      <c r="AL1214" s="37">
        <f t="shared" si="356"/>
        <v>9.6741155102040803</v>
      </c>
      <c r="AN1214" s="37" t="str">
        <f t="shared" si="357"/>
        <v>Pallet</v>
      </c>
      <c r="AO1214" s="194">
        <f t="shared" si="358"/>
        <v>46</v>
      </c>
    </row>
    <row r="1215" spans="22:41" x14ac:dyDescent="0.2">
      <c r="V1215" s="181">
        <f t="shared" si="359"/>
        <v>588.5</v>
      </c>
      <c r="W1215" s="181">
        <f t="shared" si="344"/>
        <v>1177</v>
      </c>
      <c r="X1215" s="181">
        <f t="shared" si="360"/>
        <v>2</v>
      </c>
      <c r="Y1215" s="37">
        <f t="shared" si="361"/>
        <v>3834.2</v>
      </c>
      <c r="Z1215" s="181">
        <f t="shared" si="345"/>
        <v>984.5</v>
      </c>
      <c r="AA1215" s="127">
        <f t="shared" si="346"/>
        <v>1190.4266399999999</v>
      </c>
      <c r="AB1215" s="127">
        <f t="shared" si="347"/>
        <v>1190.4266399999999</v>
      </c>
      <c r="AC1215" s="37">
        <f t="shared" si="352"/>
        <v>7542.5598399999999</v>
      </c>
      <c r="AD1215" s="37">
        <f t="shared" si="348"/>
        <v>11376.759839999999</v>
      </c>
      <c r="AE1215" s="181">
        <f t="shared" si="353"/>
        <v>46</v>
      </c>
      <c r="AF1215" s="37">
        <f t="shared" si="362"/>
        <v>32292</v>
      </c>
      <c r="AG1215" s="181">
        <f t="shared" si="354"/>
        <v>1917.8999999999999</v>
      </c>
      <c r="AH1215" s="111">
        <f t="shared" si="349"/>
        <v>1271.6688959999999</v>
      </c>
      <c r="AI1215" s="127">
        <f t="shared" si="350"/>
        <v>1917.8999999999999</v>
      </c>
      <c r="AJ1215" s="37">
        <f t="shared" si="355"/>
        <v>11907.4</v>
      </c>
      <c r="AK1215" s="37">
        <f t="shared" si="351"/>
        <v>44199.4</v>
      </c>
      <c r="AL1215" s="37">
        <f t="shared" si="356"/>
        <v>9.6658962107051813</v>
      </c>
      <c r="AN1215" s="37" t="str">
        <f t="shared" si="357"/>
        <v>Pallet</v>
      </c>
      <c r="AO1215" s="194">
        <f t="shared" si="358"/>
        <v>46</v>
      </c>
    </row>
    <row r="1216" spans="22:41" x14ac:dyDescent="0.2">
      <c r="V1216" s="181">
        <f t="shared" si="359"/>
        <v>589</v>
      </c>
      <c r="W1216" s="181">
        <f t="shared" si="344"/>
        <v>1178</v>
      </c>
      <c r="X1216" s="181">
        <f t="shared" si="360"/>
        <v>2</v>
      </c>
      <c r="Y1216" s="37">
        <f t="shared" si="361"/>
        <v>3834.2</v>
      </c>
      <c r="Z1216" s="181">
        <f t="shared" si="345"/>
        <v>985</v>
      </c>
      <c r="AA1216" s="127">
        <f t="shared" si="346"/>
        <v>1190.4266399999999</v>
      </c>
      <c r="AB1216" s="127">
        <f t="shared" si="347"/>
        <v>1190.4266399999999</v>
      </c>
      <c r="AC1216" s="37">
        <f t="shared" si="352"/>
        <v>7542.5598399999999</v>
      </c>
      <c r="AD1216" s="37">
        <f t="shared" si="348"/>
        <v>11376.759839999999</v>
      </c>
      <c r="AE1216" s="181">
        <f t="shared" si="353"/>
        <v>46</v>
      </c>
      <c r="AF1216" s="37">
        <f t="shared" si="362"/>
        <v>32292</v>
      </c>
      <c r="AG1216" s="181">
        <f t="shared" si="354"/>
        <v>1918.3999999999999</v>
      </c>
      <c r="AH1216" s="111">
        <f t="shared" si="349"/>
        <v>1271.6688959999999</v>
      </c>
      <c r="AI1216" s="127">
        <f t="shared" si="350"/>
        <v>1918.3999999999999</v>
      </c>
      <c r="AJ1216" s="37">
        <f t="shared" si="355"/>
        <v>11910.4</v>
      </c>
      <c r="AK1216" s="37">
        <f t="shared" si="351"/>
        <v>44202.400000000001</v>
      </c>
      <c r="AL1216" s="37">
        <f t="shared" si="356"/>
        <v>9.657690865874363</v>
      </c>
      <c r="AN1216" s="37" t="str">
        <f t="shared" si="357"/>
        <v>Pallet</v>
      </c>
      <c r="AO1216" s="194">
        <f t="shared" si="358"/>
        <v>46</v>
      </c>
    </row>
    <row r="1217" spans="22:41" x14ac:dyDescent="0.2">
      <c r="V1217" s="181">
        <f t="shared" si="359"/>
        <v>589.5</v>
      </c>
      <c r="W1217" s="181">
        <f t="shared" si="344"/>
        <v>1179</v>
      </c>
      <c r="X1217" s="181">
        <f t="shared" si="360"/>
        <v>2</v>
      </c>
      <c r="Y1217" s="37">
        <f t="shared" si="361"/>
        <v>3834.2</v>
      </c>
      <c r="Z1217" s="181">
        <f t="shared" si="345"/>
        <v>985.5</v>
      </c>
      <c r="AA1217" s="127">
        <f t="shared" si="346"/>
        <v>1190.4266399999999</v>
      </c>
      <c r="AB1217" s="127">
        <f t="shared" si="347"/>
        <v>1190.4266399999999</v>
      </c>
      <c r="AC1217" s="37">
        <f t="shared" si="352"/>
        <v>7542.5598399999999</v>
      </c>
      <c r="AD1217" s="37">
        <f t="shared" si="348"/>
        <v>11376.759839999999</v>
      </c>
      <c r="AE1217" s="181">
        <f t="shared" si="353"/>
        <v>46</v>
      </c>
      <c r="AF1217" s="37">
        <f t="shared" si="362"/>
        <v>32292</v>
      </c>
      <c r="AG1217" s="181">
        <f t="shared" si="354"/>
        <v>1918.8999999999999</v>
      </c>
      <c r="AH1217" s="111">
        <f t="shared" si="349"/>
        <v>1271.6688959999999</v>
      </c>
      <c r="AI1217" s="127">
        <f t="shared" si="350"/>
        <v>1918.8999999999999</v>
      </c>
      <c r="AJ1217" s="37">
        <f t="shared" si="355"/>
        <v>11913.4</v>
      </c>
      <c r="AK1217" s="37">
        <f t="shared" si="351"/>
        <v>44205.4</v>
      </c>
      <c r="AL1217" s="37">
        <f t="shared" si="356"/>
        <v>9.6494994402035612</v>
      </c>
      <c r="AN1217" s="37" t="str">
        <f t="shared" si="357"/>
        <v>Pallet</v>
      </c>
      <c r="AO1217" s="194">
        <f t="shared" si="358"/>
        <v>46</v>
      </c>
    </row>
    <row r="1218" spans="22:41" x14ac:dyDescent="0.2">
      <c r="V1218" s="181">
        <f t="shared" si="359"/>
        <v>590</v>
      </c>
      <c r="W1218" s="181">
        <f t="shared" si="344"/>
        <v>1180</v>
      </c>
      <c r="X1218" s="181">
        <f t="shared" si="360"/>
        <v>2</v>
      </c>
      <c r="Y1218" s="37">
        <f t="shared" si="361"/>
        <v>3834.2</v>
      </c>
      <c r="Z1218" s="181">
        <f t="shared" si="345"/>
        <v>986</v>
      </c>
      <c r="AA1218" s="127">
        <f t="shared" si="346"/>
        <v>1190.4266399999999</v>
      </c>
      <c r="AB1218" s="127">
        <f t="shared" si="347"/>
        <v>1190.4266399999999</v>
      </c>
      <c r="AC1218" s="37">
        <f t="shared" si="352"/>
        <v>7542.5598399999999</v>
      </c>
      <c r="AD1218" s="37">
        <f t="shared" si="348"/>
        <v>11376.759839999999</v>
      </c>
      <c r="AE1218" s="181">
        <f t="shared" si="353"/>
        <v>46</v>
      </c>
      <c r="AF1218" s="37">
        <f t="shared" si="362"/>
        <v>32292</v>
      </c>
      <c r="AG1218" s="181">
        <f t="shared" si="354"/>
        <v>1919.3999999999999</v>
      </c>
      <c r="AH1218" s="111">
        <f t="shared" si="349"/>
        <v>1271.6688959999999</v>
      </c>
      <c r="AI1218" s="127">
        <f t="shared" si="350"/>
        <v>1919.3999999999999</v>
      </c>
      <c r="AJ1218" s="37">
        <f t="shared" si="355"/>
        <v>11916.4</v>
      </c>
      <c r="AK1218" s="37">
        <f t="shared" si="351"/>
        <v>44208.4</v>
      </c>
      <c r="AL1218" s="37">
        <f t="shared" si="356"/>
        <v>9.6413218983050832</v>
      </c>
      <c r="AN1218" s="37" t="str">
        <f t="shared" si="357"/>
        <v>Pallet</v>
      </c>
      <c r="AO1218" s="194">
        <f t="shared" si="358"/>
        <v>46</v>
      </c>
    </row>
    <row r="1219" spans="22:41" x14ac:dyDescent="0.2">
      <c r="V1219" s="181">
        <f t="shared" si="359"/>
        <v>590.5</v>
      </c>
      <c r="W1219" s="181">
        <f t="shared" si="344"/>
        <v>1181</v>
      </c>
      <c r="X1219" s="181">
        <f t="shared" si="360"/>
        <v>2</v>
      </c>
      <c r="Y1219" s="37">
        <f t="shared" si="361"/>
        <v>3834.2</v>
      </c>
      <c r="Z1219" s="181">
        <f t="shared" si="345"/>
        <v>986.5</v>
      </c>
      <c r="AA1219" s="127">
        <f t="shared" si="346"/>
        <v>1190.4266399999999</v>
      </c>
      <c r="AB1219" s="127">
        <f t="shared" si="347"/>
        <v>1190.4266399999999</v>
      </c>
      <c r="AC1219" s="37">
        <f t="shared" si="352"/>
        <v>7542.5598399999999</v>
      </c>
      <c r="AD1219" s="37">
        <f t="shared" si="348"/>
        <v>11376.759839999999</v>
      </c>
      <c r="AE1219" s="181">
        <f t="shared" si="353"/>
        <v>46</v>
      </c>
      <c r="AF1219" s="37">
        <f t="shared" si="362"/>
        <v>32292</v>
      </c>
      <c r="AG1219" s="181">
        <f t="shared" si="354"/>
        <v>1919.8999999999999</v>
      </c>
      <c r="AH1219" s="111">
        <f t="shared" si="349"/>
        <v>1271.6688959999999</v>
      </c>
      <c r="AI1219" s="127">
        <f t="shared" si="350"/>
        <v>1919.8999999999999</v>
      </c>
      <c r="AJ1219" s="37">
        <f t="shared" si="355"/>
        <v>11919.4</v>
      </c>
      <c r="AK1219" s="37">
        <f t="shared" si="351"/>
        <v>44211.4</v>
      </c>
      <c r="AL1219" s="37">
        <f t="shared" si="356"/>
        <v>9.6331582049110906</v>
      </c>
      <c r="AN1219" s="37" t="str">
        <f t="shared" si="357"/>
        <v>Pallet</v>
      </c>
      <c r="AO1219" s="194">
        <f t="shared" si="358"/>
        <v>46</v>
      </c>
    </row>
    <row r="1220" spans="22:41" x14ac:dyDescent="0.2">
      <c r="V1220" s="181">
        <f t="shared" si="359"/>
        <v>591</v>
      </c>
      <c r="W1220" s="181">
        <f t="shared" si="344"/>
        <v>1182</v>
      </c>
      <c r="X1220" s="181">
        <f t="shared" si="360"/>
        <v>2</v>
      </c>
      <c r="Y1220" s="37">
        <f t="shared" si="361"/>
        <v>3834.2</v>
      </c>
      <c r="Z1220" s="181">
        <f t="shared" si="345"/>
        <v>987</v>
      </c>
      <c r="AA1220" s="127">
        <f t="shared" si="346"/>
        <v>1190.4266399999999</v>
      </c>
      <c r="AB1220" s="127">
        <f t="shared" si="347"/>
        <v>1190.4266399999999</v>
      </c>
      <c r="AC1220" s="37">
        <f t="shared" si="352"/>
        <v>7542.5598399999999</v>
      </c>
      <c r="AD1220" s="37">
        <f t="shared" si="348"/>
        <v>11376.759839999999</v>
      </c>
      <c r="AE1220" s="181">
        <f t="shared" si="353"/>
        <v>46</v>
      </c>
      <c r="AF1220" s="37">
        <f t="shared" si="362"/>
        <v>32292</v>
      </c>
      <c r="AG1220" s="181">
        <f t="shared" si="354"/>
        <v>1920.3999999999999</v>
      </c>
      <c r="AH1220" s="111">
        <f t="shared" si="349"/>
        <v>1271.6688959999999</v>
      </c>
      <c r="AI1220" s="127">
        <f t="shared" si="350"/>
        <v>1920.3999999999999</v>
      </c>
      <c r="AJ1220" s="37">
        <f t="shared" si="355"/>
        <v>11922.4</v>
      </c>
      <c r="AK1220" s="37">
        <f t="shared" si="351"/>
        <v>44214.400000000001</v>
      </c>
      <c r="AL1220" s="37">
        <f t="shared" si="356"/>
        <v>9.6250083248730949</v>
      </c>
      <c r="AN1220" s="37" t="str">
        <f t="shared" si="357"/>
        <v>Pallet</v>
      </c>
      <c r="AO1220" s="194">
        <f t="shared" si="358"/>
        <v>46</v>
      </c>
    </row>
    <row r="1221" spans="22:41" x14ac:dyDescent="0.2">
      <c r="V1221" s="181">
        <f t="shared" si="359"/>
        <v>591.5</v>
      </c>
      <c r="W1221" s="181">
        <f t="shared" si="344"/>
        <v>1183</v>
      </c>
      <c r="X1221" s="181">
        <f t="shared" si="360"/>
        <v>2</v>
      </c>
      <c r="Y1221" s="37">
        <f t="shared" si="361"/>
        <v>3834.2</v>
      </c>
      <c r="Z1221" s="181">
        <f t="shared" si="345"/>
        <v>987.5</v>
      </c>
      <c r="AA1221" s="127">
        <f t="shared" si="346"/>
        <v>1190.4266399999999</v>
      </c>
      <c r="AB1221" s="127">
        <f t="shared" si="347"/>
        <v>1190.4266399999999</v>
      </c>
      <c r="AC1221" s="37">
        <f t="shared" si="352"/>
        <v>7542.5598399999999</v>
      </c>
      <c r="AD1221" s="37">
        <f t="shared" si="348"/>
        <v>11376.759839999999</v>
      </c>
      <c r="AE1221" s="181">
        <f t="shared" si="353"/>
        <v>46</v>
      </c>
      <c r="AF1221" s="37">
        <f t="shared" si="362"/>
        <v>32292</v>
      </c>
      <c r="AG1221" s="181">
        <f t="shared" si="354"/>
        <v>1920.8999999999999</v>
      </c>
      <c r="AH1221" s="111">
        <f t="shared" si="349"/>
        <v>1271.6688959999999</v>
      </c>
      <c r="AI1221" s="127">
        <f t="shared" si="350"/>
        <v>1920.8999999999999</v>
      </c>
      <c r="AJ1221" s="37">
        <f t="shared" si="355"/>
        <v>11925.4</v>
      </c>
      <c r="AK1221" s="37">
        <f t="shared" si="351"/>
        <v>44217.4</v>
      </c>
      <c r="AL1221" s="37">
        <f t="shared" si="356"/>
        <v>9.6168722231614527</v>
      </c>
      <c r="AN1221" s="37" t="str">
        <f t="shared" si="357"/>
        <v>Pallet</v>
      </c>
      <c r="AO1221" s="194">
        <f t="shared" si="358"/>
        <v>46</v>
      </c>
    </row>
    <row r="1222" spans="22:41" x14ac:dyDescent="0.2">
      <c r="V1222" s="181">
        <f t="shared" si="359"/>
        <v>592</v>
      </c>
      <c r="W1222" s="181">
        <f t="shared" si="344"/>
        <v>1184</v>
      </c>
      <c r="X1222" s="181">
        <f t="shared" si="360"/>
        <v>2</v>
      </c>
      <c r="Y1222" s="37">
        <f t="shared" si="361"/>
        <v>3834.2</v>
      </c>
      <c r="Z1222" s="181">
        <f t="shared" si="345"/>
        <v>988</v>
      </c>
      <c r="AA1222" s="127">
        <f t="shared" si="346"/>
        <v>1190.4266399999999</v>
      </c>
      <c r="AB1222" s="127">
        <f t="shared" si="347"/>
        <v>1190.4266399999999</v>
      </c>
      <c r="AC1222" s="37">
        <f t="shared" si="352"/>
        <v>7542.5598399999999</v>
      </c>
      <c r="AD1222" s="37">
        <f t="shared" si="348"/>
        <v>11376.759839999999</v>
      </c>
      <c r="AE1222" s="181">
        <f t="shared" si="353"/>
        <v>46</v>
      </c>
      <c r="AF1222" s="37">
        <f t="shared" si="362"/>
        <v>32292</v>
      </c>
      <c r="AG1222" s="181">
        <f t="shared" si="354"/>
        <v>1921.3999999999999</v>
      </c>
      <c r="AH1222" s="111">
        <f t="shared" si="349"/>
        <v>1271.6688959999999</v>
      </c>
      <c r="AI1222" s="127">
        <f t="shared" si="350"/>
        <v>1921.3999999999999</v>
      </c>
      <c r="AJ1222" s="37">
        <f t="shared" si="355"/>
        <v>11928.4</v>
      </c>
      <c r="AK1222" s="37">
        <f t="shared" si="351"/>
        <v>44220.4</v>
      </c>
      <c r="AL1222" s="37">
        <f t="shared" si="356"/>
        <v>9.6087498648648637</v>
      </c>
      <c r="AN1222" s="37" t="str">
        <f t="shared" si="357"/>
        <v>Pallet</v>
      </c>
      <c r="AO1222" s="194">
        <f t="shared" si="358"/>
        <v>46</v>
      </c>
    </row>
    <row r="1223" spans="22:41" x14ac:dyDescent="0.2">
      <c r="V1223" s="181">
        <f t="shared" si="359"/>
        <v>592.5</v>
      </c>
      <c r="W1223" s="181">
        <f t="shared" si="344"/>
        <v>1185</v>
      </c>
      <c r="X1223" s="181">
        <f t="shared" si="360"/>
        <v>2</v>
      </c>
      <c r="Y1223" s="37">
        <f t="shared" si="361"/>
        <v>3834.2</v>
      </c>
      <c r="Z1223" s="181">
        <f t="shared" si="345"/>
        <v>988.5</v>
      </c>
      <c r="AA1223" s="127">
        <f t="shared" si="346"/>
        <v>1190.4266399999999</v>
      </c>
      <c r="AB1223" s="127">
        <f t="shared" si="347"/>
        <v>1190.4266399999999</v>
      </c>
      <c r="AC1223" s="37">
        <f t="shared" si="352"/>
        <v>7542.5598399999999</v>
      </c>
      <c r="AD1223" s="37">
        <f t="shared" si="348"/>
        <v>11376.759839999999</v>
      </c>
      <c r="AE1223" s="181">
        <f t="shared" si="353"/>
        <v>46</v>
      </c>
      <c r="AF1223" s="37">
        <f t="shared" si="362"/>
        <v>32292</v>
      </c>
      <c r="AG1223" s="181">
        <f t="shared" si="354"/>
        <v>1921.8999999999999</v>
      </c>
      <c r="AH1223" s="111">
        <f t="shared" si="349"/>
        <v>1271.6688959999999</v>
      </c>
      <c r="AI1223" s="127">
        <f t="shared" si="350"/>
        <v>1921.8999999999999</v>
      </c>
      <c r="AJ1223" s="37">
        <f t="shared" si="355"/>
        <v>11931.4</v>
      </c>
      <c r="AK1223" s="37">
        <f t="shared" si="351"/>
        <v>44223.4</v>
      </c>
      <c r="AL1223" s="37">
        <f t="shared" si="356"/>
        <v>9.6006412151898726</v>
      </c>
      <c r="AN1223" s="37" t="str">
        <f t="shared" si="357"/>
        <v>Pallet</v>
      </c>
      <c r="AO1223" s="194">
        <f t="shared" si="358"/>
        <v>46</v>
      </c>
    </row>
    <row r="1224" spans="22:41" x14ac:dyDescent="0.2">
      <c r="V1224" s="181">
        <f t="shared" si="359"/>
        <v>593</v>
      </c>
      <c r="W1224" s="181">
        <f t="shared" si="344"/>
        <v>1186</v>
      </c>
      <c r="X1224" s="181">
        <f t="shared" si="360"/>
        <v>2</v>
      </c>
      <c r="Y1224" s="37">
        <f t="shared" si="361"/>
        <v>3834.2</v>
      </c>
      <c r="Z1224" s="181">
        <f t="shared" si="345"/>
        <v>989</v>
      </c>
      <c r="AA1224" s="127">
        <f t="shared" si="346"/>
        <v>1190.4266399999999</v>
      </c>
      <c r="AB1224" s="127">
        <f t="shared" si="347"/>
        <v>1190.4266399999999</v>
      </c>
      <c r="AC1224" s="37">
        <f t="shared" si="352"/>
        <v>7542.5598399999999</v>
      </c>
      <c r="AD1224" s="37">
        <f t="shared" si="348"/>
        <v>11376.759839999999</v>
      </c>
      <c r="AE1224" s="181">
        <f t="shared" si="353"/>
        <v>46</v>
      </c>
      <c r="AF1224" s="37">
        <f t="shared" si="362"/>
        <v>32292</v>
      </c>
      <c r="AG1224" s="181">
        <f t="shared" si="354"/>
        <v>1922.3999999999999</v>
      </c>
      <c r="AH1224" s="111">
        <f t="shared" si="349"/>
        <v>1271.6688959999999</v>
      </c>
      <c r="AI1224" s="127">
        <f t="shared" si="350"/>
        <v>1922.3999999999999</v>
      </c>
      <c r="AJ1224" s="37">
        <f t="shared" si="355"/>
        <v>11934.4</v>
      </c>
      <c r="AK1224" s="37">
        <f t="shared" si="351"/>
        <v>44226.400000000001</v>
      </c>
      <c r="AL1224" s="37">
        <f t="shared" si="356"/>
        <v>9.5925462394603702</v>
      </c>
      <c r="AN1224" s="37" t="str">
        <f t="shared" si="357"/>
        <v>Pallet</v>
      </c>
      <c r="AO1224" s="194">
        <f t="shared" si="358"/>
        <v>46</v>
      </c>
    </row>
    <row r="1225" spans="22:41" x14ac:dyDescent="0.2">
      <c r="V1225" s="181">
        <f t="shared" si="359"/>
        <v>593.5</v>
      </c>
      <c r="W1225" s="181">
        <f t="shared" si="344"/>
        <v>1187</v>
      </c>
      <c r="X1225" s="181">
        <f t="shared" si="360"/>
        <v>2</v>
      </c>
      <c r="Y1225" s="37">
        <f t="shared" si="361"/>
        <v>3834.2</v>
      </c>
      <c r="Z1225" s="181">
        <f t="shared" si="345"/>
        <v>989.5</v>
      </c>
      <c r="AA1225" s="127">
        <f t="shared" si="346"/>
        <v>1190.4266399999999</v>
      </c>
      <c r="AB1225" s="127">
        <f t="shared" si="347"/>
        <v>1190.4266399999999</v>
      </c>
      <c r="AC1225" s="37">
        <f t="shared" si="352"/>
        <v>7542.5598399999999</v>
      </c>
      <c r="AD1225" s="37">
        <f t="shared" si="348"/>
        <v>11376.759839999999</v>
      </c>
      <c r="AE1225" s="181">
        <f t="shared" si="353"/>
        <v>47</v>
      </c>
      <c r="AF1225" s="37">
        <f t="shared" si="362"/>
        <v>32994</v>
      </c>
      <c r="AG1225" s="181">
        <f t="shared" si="354"/>
        <v>1951.8</v>
      </c>
      <c r="AH1225" s="111">
        <f t="shared" si="349"/>
        <v>1299.3138719999997</v>
      </c>
      <c r="AI1225" s="127">
        <f t="shared" si="350"/>
        <v>1951.8</v>
      </c>
      <c r="AJ1225" s="37">
        <f t="shared" si="355"/>
        <v>12110.8</v>
      </c>
      <c r="AK1225" s="37">
        <f t="shared" si="351"/>
        <v>45104.800000000003</v>
      </c>
      <c r="AL1225" s="37">
        <f t="shared" si="356"/>
        <v>9.5844649031171016</v>
      </c>
      <c r="AN1225" s="37" t="str">
        <f t="shared" si="357"/>
        <v>Pallet</v>
      </c>
      <c r="AO1225" s="194">
        <f t="shared" si="358"/>
        <v>46</v>
      </c>
    </row>
    <row r="1226" spans="22:41" x14ac:dyDescent="0.2">
      <c r="V1226" s="181">
        <f t="shared" si="359"/>
        <v>594</v>
      </c>
      <c r="W1226" s="181">
        <f t="shared" si="344"/>
        <v>1188</v>
      </c>
      <c r="X1226" s="181">
        <f t="shared" si="360"/>
        <v>2</v>
      </c>
      <c r="Y1226" s="37">
        <f t="shared" si="361"/>
        <v>3834.2</v>
      </c>
      <c r="Z1226" s="181">
        <f t="shared" si="345"/>
        <v>990</v>
      </c>
      <c r="AA1226" s="127">
        <f t="shared" si="346"/>
        <v>1190.4266399999999</v>
      </c>
      <c r="AB1226" s="127">
        <f t="shared" si="347"/>
        <v>1190.4266399999999</v>
      </c>
      <c r="AC1226" s="37">
        <f t="shared" si="352"/>
        <v>7542.5598399999999</v>
      </c>
      <c r="AD1226" s="37">
        <f t="shared" si="348"/>
        <v>11376.759839999999</v>
      </c>
      <c r="AE1226" s="181">
        <f t="shared" si="353"/>
        <v>47</v>
      </c>
      <c r="AF1226" s="37">
        <f t="shared" si="362"/>
        <v>32994</v>
      </c>
      <c r="AG1226" s="181">
        <f t="shared" si="354"/>
        <v>1952.3</v>
      </c>
      <c r="AH1226" s="111">
        <f t="shared" si="349"/>
        <v>1299.3138719999997</v>
      </c>
      <c r="AI1226" s="127">
        <f t="shared" si="350"/>
        <v>1952.3</v>
      </c>
      <c r="AJ1226" s="37">
        <f t="shared" si="355"/>
        <v>12113.8</v>
      </c>
      <c r="AK1226" s="37">
        <f t="shared" si="351"/>
        <v>45107.8</v>
      </c>
      <c r="AL1226" s="37">
        <f t="shared" si="356"/>
        <v>9.5763971717171703</v>
      </c>
      <c r="AN1226" s="37" t="str">
        <f t="shared" si="357"/>
        <v>Pallet</v>
      </c>
      <c r="AO1226" s="194">
        <f t="shared" si="358"/>
        <v>47</v>
      </c>
    </row>
    <row r="1227" spans="22:41" x14ac:dyDescent="0.2">
      <c r="V1227" s="181">
        <f t="shared" si="359"/>
        <v>594.5</v>
      </c>
      <c r="W1227" s="181">
        <f t="shared" si="344"/>
        <v>1189</v>
      </c>
      <c r="X1227" s="181">
        <f t="shared" si="360"/>
        <v>2</v>
      </c>
      <c r="Y1227" s="37">
        <f t="shared" si="361"/>
        <v>3834.2</v>
      </c>
      <c r="Z1227" s="181">
        <f t="shared" si="345"/>
        <v>990.5</v>
      </c>
      <c r="AA1227" s="127">
        <f t="shared" si="346"/>
        <v>1190.4266399999999</v>
      </c>
      <c r="AB1227" s="127">
        <f t="shared" si="347"/>
        <v>1190.4266399999999</v>
      </c>
      <c r="AC1227" s="37">
        <f t="shared" si="352"/>
        <v>7542.5598399999999</v>
      </c>
      <c r="AD1227" s="37">
        <f t="shared" si="348"/>
        <v>11376.759839999999</v>
      </c>
      <c r="AE1227" s="181">
        <f t="shared" si="353"/>
        <v>47</v>
      </c>
      <c r="AF1227" s="37">
        <f t="shared" si="362"/>
        <v>32994</v>
      </c>
      <c r="AG1227" s="181">
        <f t="shared" si="354"/>
        <v>1952.8</v>
      </c>
      <c r="AH1227" s="111">
        <f t="shared" si="349"/>
        <v>1299.3138719999997</v>
      </c>
      <c r="AI1227" s="127">
        <f t="shared" si="350"/>
        <v>1952.8</v>
      </c>
      <c r="AJ1227" s="37">
        <f t="shared" si="355"/>
        <v>12116.8</v>
      </c>
      <c r="AK1227" s="37">
        <f t="shared" si="351"/>
        <v>45110.8</v>
      </c>
      <c r="AL1227" s="37">
        <f t="shared" si="356"/>
        <v>9.5683430109335568</v>
      </c>
      <c r="AN1227" s="37" t="str">
        <f t="shared" si="357"/>
        <v>Pallet</v>
      </c>
      <c r="AO1227" s="194">
        <f t="shared" si="358"/>
        <v>47</v>
      </c>
    </row>
    <row r="1228" spans="22:41" x14ac:dyDescent="0.2">
      <c r="V1228" s="181">
        <f t="shared" si="359"/>
        <v>595</v>
      </c>
      <c r="W1228" s="181">
        <f t="shared" si="344"/>
        <v>1190</v>
      </c>
      <c r="X1228" s="181">
        <f t="shared" si="360"/>
        <v>2</v>
      </c>
      <c r="Y1228" s="37">
        <f t="shared" si="361"/>
        <v>3834.2</v>
      </c>
      <c r="Z1228" s="181">
        <f t="shared" si="345"/>
        <v>991</v>
      </c>
      <c r="AA1228" s="127">
        <f t="shared" si="346"/>
        <v>1190.4266399999999</v>
      </c>
      <c r="AB1228" s="127">
        <f t="shared" si="347"/>
        <v>1190.4266399999999</v>
      </c>
      <c r="AC1228" s="37">
        <f t="shared" si="352"/>
        <v>7542.5598399999999</v>
      </c>
      <c r="AD1228" s="37">
        <f t="shared" si="348"/>
        <v>11376.759839999999</v>
      </c>
      <c r="AE1228" s="181">
        <f t="shared" si="353"/>
        <v>47</v>
      </c>
      <c r="AF1228" s="37">
        <f t="shared" si="362"/>
        <v>32994</v>
      </c>
      <c r="AG1228" s="181">
        <f t="shared" si="354"/>
        <v>1953.3</v>
      </c>
      <c r="AH1228" s="111">
        <f t="shared" si="349"/>
        <v>1299.3138719999997</v>
      </c>
      <c r="AI1228" s="127">
        <f t="shared" si="350"/>
        <v>1953.3</v>
      </c>
      <c r="AJ1228" s="37">
        <f t="shared" si="355"/>
        <v>12119.8</v>
      </c>
      <c r="AK1228" s="37">
        <f t="shared" si="351"/>
        <v>45113.8</v>
      </c>
      <c r="AL1228" s="37">
        <f t="shared" si="356"/>
        <v>9.5603023865546213</v>
      </c>
      <c r="AN1228" s="37" t="str">
        <f t="shared" si="357"/>
        <v>Pallet</v>
      </c>
      <c r="AO1228" s="194">
        <f t="shared" si="358"/>
        <v>47</v>
      </c>
    </row>
    <row r="1229" spans="22:41" x14ac:dyDescent="0.2">
      <c r="V1229" s="181">
        <f t="shared" si="359"/>
        <v>595.5</v>
      </c>
      <c r="W1229" s="181">
        <f t="shared" si="344"/>
        <v>1191</v>
      </c>
      <c r="X1229" s="181">
        <f t="shared" si="360"/>
        <v>2</v>
      </c>
      <c r="Y1229" s="37">
        <f t="shared" si="361"/>
        <v>3834.2</v>
      </c>
      <c r="Z1229" s="181">
        <f t="shared" si="345"/>
        <v>991.5</v>
      </c>
      <c r="AA1229" s="127">
        <f t="shared" si="346"/>
        <v>1190.4266399999999</v>
      </c>
      <c r="AB1229" s="127">
        <f t="shared" si="347"/>
        <v>1190.4266399999999</v>
      </c>
      <c r="AC1229" s="37">
        <f t="shared" si="352"/>
        <v>7542.5598399999999</v>
      </c>
      <c r="AD1229" s="37">
        <f t="shared" si="348"/>
        <v>11376.759839999999</v>
      </c>
      <c r="AE1229" s="181">
        <f t="shared" si="353"/>
        <v>47</v>
      </c>
      <c r="AF1229" s="37">
        <f t="shared" si="362"/>
        <v>32994</v>
      </c>
      <c r="AG1229" s="181">
        <f t="shared" si="354"/>
        <v>1953.8</v>
      </c>
      <c r="AH1229" s="111">
        <f t="shared" si="349"/>
        <v>1299.3138719999997</v>
      </c>
      <c r="AI1229" s="127">
        <f t="shared" si="350"/>
        <v>1953.8</v>
      </c>
      <c r="AJ1229" s="37">
        <f t="shared" si="355"/>
        <v>12122.8</v>
      </c>
      <c r="AK1229" s="37">
        <f t="shared" si="351"/>
        <v>45116.800000000003</v>
      </c>
      <c r="AL1229" s="37">
        <f t="shared" si="356"/>
        <v>9.552275264483626</v>
      </c>
      <c r="AN1229" s="37" t="str">
        <f t="shared" si="357"/>
        <v>Pallet</v>
      </c>
      <c r="AO1229" s="194">
        <f t="shared" si="358"/>
        <v>47</v>
      </c>
    </row>
    <row r="1230" spans="22:41" x14ac:dyDescent="0.2">
      <c r="V1230" s="181">
        <f t="shared" si="359"/>
        <v>596</v>
      </c>
      <c r="W1230" s="181">
        <f t="shared" si="344"/>
        <v>1192</v>
      </c>
      <c r="X1230" s="181">
        <f t="shared" si="360"/>
        <v>2</v>
      </c>
      <c r="Y1230" s="37">
        <f t="shared" si="361"/>
        <v>3834.2</v>
      </c>
      <c r="Z1230" s="181">
        <f t="shared" si="345"/>
        <v>992</v>
      </c>
      <c r="AA1230" s="127">
        <f t="shared" si="346"/>
        <v>1190.4266399999999</v>
      </c>
      <c r="AB1230" s="127">
        <f t="shared" si="347"/>
        <v>1190.4266399999999</v>
      </c>
      <c r="AC1230" s="37">
        <f t="shared" si="352"/>
        <v>7542.5598399999999</v>
      </c>
      <c r="AD1230" s="37">
        <f t="shared" si="348"/>
        <v>11376.759839999999</v>
      </c>
      <c r="AE1230" s="181">
        <f t="shared" si="353"/>
        <v>47</v>
      </c>
      <c r="AF1230" s="37">
        <f t="shared" si="362"/>
        <v>32994</v>
      </c>
      <c r="AG1230" s="181">
        <f t="shared" si="354"/>
        <v>1954.3</v>
      </c>
      <c r="AH1230" s="111">
        <f t="shared" si="349"/>
        <v>1299.3138719999997</v>
      </c>
      <c r="AI1230" s="127">
        <f t="shared" si="350"/>
        <v>1954.3</v>
      </c>
      <c r="AJ1230" s="37">
        <f t="shared" si="355"/>
        <v>12125.8</v>
      </c>
      <c r="AK1230" s="37">
        <f t="shared" si="351"/>
        <v>45119.8</v>
      </c>
      <c r="AL1230" s="37">
        <f t="shared" si="356"/>
        <v>9.5442616107382534</v>
      </c>
      <c r="AN1230" s="37" t="str">
        <f t="shared" si="357"/>
        <v>Pallet</v>
      </c>
      <c r="AO1230" s="194">
        <f t="shared" si="358"/>
        <v>47</v>
      </c>
    </row>
    <row r="1231" spans="22:41" x14ac:dyDescent="0.2">
      <c r="V1231" s="181">
        <f t="shared" si="359"/>
        <v>596.5</v>
      </c>
      <c r="W1231" s="181">
        <f t="shared" si="344"/>
        <v>1193</v>
      </c>
      <c r="X1231" s="181">
        <f t="shared" si="360"/>
        <v>2</v>
      </c>
      <c r="Y1231" s="37">
        <f t="shared" si="361"/>
        <v>3834.2</v>
      </c>
      <c r="Z1231" s="181">
        <f t="shared" si="345"/>
        <v>992.5</v>
      </c>
      <c r="AA1231" s="127">
        <f t="shared" si="346"/>
        <v>1190.4266399999999</v>
      </c>
      <c r="AB1231" s="127">
        <f t="shared" si="347"/>
        <v>1190.4266399999999</v>
      </c>
      <c r="AC1231" s="37">
        <f t="shared" si="352"/>
        <v>7542.5598399999999</v>
      </c>
      <c r="AD1231" s="37">
        <f t="shared" si="348"/>
        <v>11376.759839999999</v>
      </c>
      <c r="AE1231" s="181">
        <f t="shared" si="353"/>
        <v>47</v>
      </c>
      <c r="AF1231" s="37">
        <f t="shared" si="362"/>
        <v>32994</v>
      </c>
      <c r="AG1231" s="181">
        <f t="shared" si="354"/>
        <v>1954.8</v>
      </c>
      <c r="AH1231" s="111">
        <f t="shared" si="349"/>
        <v>1299.3138719999997</v>
      </c>
      <c r="AI1231" s="127">
        <f t="shared" si="350"/>
        <v>1954.8</v>
      </c>
      <c r="AJ1231" s="37">
        <f t="shared" si="355"/>
        <v>12128.8</v>
      </c>
      <c r="AK1231" s="37">
        <f t="shared" si="351"/>
        <v>45122.8</v>
      </c>
      <c r="AL1231" s="37">
        <f t="shared" si="356"/>
        <v>9.5362613914501253</v>
      </c>
      <c r="AN1231" s="37" t="str">
        <f t="shared" si="357"/>
        <v>Pallet</v>
      </c>
      <c r="AO1231" s="194">
        <f t="shared" si="358"/>
        <v>47</v>
      </c>
    </row>
    <row r="1232" spans="22:41" x14ac:dyDescent="0.2">
      <c r="V1232" s="181">
        <f t="shared" si="359"/>
        <v>597</v>
      </c>
      <c r="W1232" s="181">
        <f t="shared" si="344"/>
        <v>1194</v>
      </c>
      <c r="X1232" s="181">
        <f t="shared" si="360"/>
        <v>2</v>
      </c>
      <c r="Y1232" s="37">
        <f t="shared" si="361"/>
        <v>3834.2</v>
      </c>
      <c r="Z1232" s="181">
        <f t="shared" si="345"/>
        <v>993</v>
      </c>
      <c r="AA1232" s="127">
        <f t="shared" si="346"/>
        <v>1190.4266399999999</v>
      </c>
      <c r="AB1232" s="127">
        <f t="shared" si="347"/>
        <v>1190.4266399999999</v>
      </c>
      <c r="AC1232" s="37">
        <f t="shared" si="352"/>
        <v>7542.5598399999999</v>
      </c>
      <c r="AD1232" s="37">
        <f t="shared" si="348"/>
        <v>11376.759839999999</v>
      </c>
      <c r="AE1232" s="181">
        <f t="shared" si="353"/>
        <v>47</v>
      </c>
      <c r="AF1232" s="37">
        <f t="shared" si="362"/>
        <v>32994</v>
      </c>
      <c r="AG1232" s="181">
        <f t="shared" si="354"/>
        <v>1955.3</v>
      </c>
      <c r="AH1232" s="111">
        <f t="shared" si="349"/>
        <v>1299.3138719999997</v>
      </c>
      <c r="AI1232" s="127">
        <f t="shared" si="350"/>
        <v>1955.3</v>
      </c>
      <c r="AJ1232" s="37">
        <f t="shared" si="355"/>
        <v>12131.8</v>
      </c>
      <c r="AK1232" s="37">
        <f t="shared" si="351"/>
        <v>45125.8</v>
      </c>
      <c r="AL1232" s="37">
        <f t="shared" si="356"/>
        <v>9.528274572864321</v>
      </c>
      <c r="AN1232" s="37" t="str">
        <f t="shared" si="357"/>
        <v>Pallet</v>
      </c>
      <c r="AO1232" s="194">
        <f t="shared" si="358"/>
        <v>47</v>
      </c>
    </row>
    <row r="1233" spans="22:41" x14ac:dyDescent="0.2">
      <c r="V1233" s="181">
        <f t="shared" si="359"/>
        <v>597.5</v>
      </c>
      <c r="W1233" s="181">
        <f t="shared" si="344"/>
        <v>1195</v>
      </c>
      <c r="X1233" s="181">
        <f t="shared" si="360"/>
        <v>2</v>
      </c>
      <c r="Y1233" s="37">
        <f t="shared" si="361"/>
        <v>3834.2</v>
      </c>
      <c r="Z1233" s="181">
        <f t="shared" si="345"/>
        <v>993.5</v>
      </c>
      <c r="AA1233" s="127">
        <f t="shared" si="346"/>
        <v>1190.4266399999999</v>
      </c>
      <c r="AB1233" s="127">
        <f t="shared" si="347"/>
        <v>1190.4266399999999</v>
      </c>
      <c r="AC1233" s="37">
        <f t="shared" si="352"/>
        <v>7542.5598399999999</v>
      </c>
      <c r="AD1233" s="37">
        <f t="shared" si="348"/>
        <v>11376.759839999999</v>
      </c>
      <c r="AE1233" s="181">
        <f t="shared" si="353"/>
        <v>47</v>
      </c>
      <c r="AF1233" s="37">
        <f t="shared" si="362"/>
        <v>32994</v>
      </c>
      <c r="AG1233" s="181">
        <f t="shared" si="354"/>
        <v>1955.8</v>
      </c>
      <c r="AH1233" s="111">
        <f t="shared" si="349"/>
        <v>1299.3138719999997</v>
      </c>
      <c r="AI1233" s="127">
        <f t="shared" si="350"/>
        <v>1955.8</v>
      </c>
      <c r="AJ1233" s="37">
        <f t="shared" si="355"/>
        <v>12134.8</v>
      </c>
      <c r="AK1233" s="37">
        <f t="shared" si="351"/>
        <v>45128.800000000003</v>
      </c>
      <c r="AL1233" s="37">
        <f t="shared" si="356"/>
        <v>9.5203011213389104</v>
      </c>
      <c r="AN1233" s="37" t="str">
        <f t="shared" si="357"/>
        <v>Pallet</v>
      </c>
      <c r="AO1233" s="194">
        <f t="shared" si="358"/>
        <v>47</v>
      </c>
    </row>
    <row r="1234" spans="22:41" x14ac:dyDescent="0.2">
      <c r="V1234" s="181">
        <f t="shared" si="359"/>
        <v>598</v>
      </c>
      <c r="W1234" s="181">
        <f t="shared" si="344"/>
        <v>1196</v>
      </c>
      <c r="X1234" s="181">
        <f t="shared" si="360"/>
        <v>2</v>
      </c>
      <c r="Y1234" s="37">
        <f t="shared" si="361"/>
        <v>3834.2</v>
      </c>
      <c r="Z1234" s="181">
        <f t="shared" si="345"/>
        <v>994</v>
      </c>
      <c r="AA1234" s="127">
        <f t="shared" si="346"/>
        <v>1190.4266399999999</v>
      </c>
      <c r="AB1234" s="127">
        <f t="shared" si="347"/>
        <v>1190.4266399999999</v>
      </c>
      <c r="AC1234" s="37">
        <f t="shared" si="352"/>
        <v>7542.5598399999999</v>
      </c>
      <c r="AD1234" s="37">
        <f t="shared" si="348"/>
        <v>11376.759839999999</v>
      </c>
      <c r="AE1234" s="181">
        <f t="shared" si="353"/>
        <v>47</v>
      </c>
      <c r="AF1234" s="37">
        <f t="shared" si="362"/>
        <v>32994</v>
      </c>
      <c r="AG1234" s="181">
        <f t="shared" si="354"/>
        <v>1956.3</v>
      </c>
      <c r="AH1234" s="111">
        <f t="shared" si="349"/>
        <v>1299.3138719999997</v>
      </c>
      <c r="AI1234" s="127">
        <f t="shared" si="350"/>
        <v>1956.3</v>
      </c>
      <c r="AJ1234" s="37">
        <f t="shared" si="355"/>
        <v>12137.8</v>
      </c>
      <c r="AK1234" s="37">
        <f t="shared" si="351"/>
        <v>45131.8</v>
      </c>
      <c r="AL1234" s="37">
        <f t="shared" si="356"/>
        <v>9.5123410033444813</v>
      </c>
      <c r="AN1234" s="37" t="str">
        <f t="shared" si="357"/>
        <v>Pallet</v>
      </c>
      <c r="AO1234" s="194">
        <f t="shared" si="358"/>
        <v>47</v>
      </c>
    </row>
    <row r="1235" spans="22:41" x14ac:dyDescent="0.2">
      <c r="V1235" s="181">
        <f t="shared" si="359"/>
        <v>598.5</v>
      </c>
      <c r="W1235" s="181">
        <f t="shared" si="344"/>
        <v>1197</v>
      </c>
      <c r="X1235" s="181">
        <f t="shared" si="360"/>
        <v>2</v>
      </c>
      <c r="Y1235" s="37">
        <f t="shared" si="361"/>
        <v>3834.2</v>
      </c>
      <c r="Z1235" s="181">
        <f t="shared" si="345"/>
        <v>994.5</v>
      </c>
      <c r="AA1235" s="127">
        <f t="shared" si="346"/>
        <v>1190.4266399999999</v>
      </c>
      <c r="AB1235" s="127">
        <f t="shared" si="347"/>
        <v>1190.4266399999999</v>
      </c>
      <c r="AC1235" s="37">
        <f t="shared" si="352"/>
        <v>7542.5598399999999</v>
      </c>
      <c r="AD1235" s="37">
        <f t="shared" si="348"/>
        <v>11376.759839999999</v>
      </c>
      <c r="AE1235" s="181">
        <f t="shared" si="353"/>
        <v>47</v>
      </c>
      <c r="AF1235" s="37">
        <f t="shared" si="362"/>
        <v>32994</v>
      </c>
      <c r="AG1235" s="181">
        <f t="shared" si="354"/>
        <v>1956.8</v>
      </c>
      <c r="AH1235" s="111">
        <f t="shared" si="349"/>
        <v>1299.3138719999997</v>
      </c>
      <c r="AI1235" s="127">
        <f t="shared" si="350"/>
        <v>1956.8</v>
      </c>
      <c r="AJ1235" s="37">
        <f t="shared" si="355"/>
        <v>12140.8</v>
      </c>
      <c r="AK1235" s="37">
        <f t="shared" si="351"/>
        <v>45134.8</v>
      </c>
      <c r="AL1235" s="37">
        <f t="shared" si="356"/>
        <v>9.5043941854636582</v>
      </c>
      <c r="AN1235" s="37" t="str">
        <f t="shared" si="357"/>
        <v>Pallet</v>
      </c>
      <c r="AO1235" s="194">
        <f t="shared" si="358"/>
        <v>47</v>
      </c>
    </row>
  </sheetData>
  <sortState xmlns:xlrd2="http://schemas.microsoft.com/office/spreadsheetml/2017/richdata2" ref="A26:R31">
    <sortCondition ref="N26:N31"/>
  </sortState>
  <conditionalFormatting sqref="O13:O31">
    <cfRule type="dataBar" priority="1">
      <dataBar>
        <cfvo type="min"/>
        <cfvo type="max"/>
        <color rgb="FF638EC6"/>
      </dataBar>
      <extLst>
        <ext xmlns:x14="http://schemas.microsoft.com/office/spreadsheetml/2009/9/main" uri="{B025F937-C7B1-47D3-B67F-A62EFF666E3E}">
          <x14:id>{B4A524BD-8B08-4CA6-997C-B848D161D980}</x14:id>
        </ext>
      </extLst>
    </cfRule>
  </conditionalFormatting>
  <hyperlinks>
    <hyperlink ref="B6" r:id="rId1" xr:uid="{13F5BBE5-8519-465B-A006-5FA7CDF44417}"/>
  </hyperlinks>
  <pageMargins left="0.7" right="0.7" top="0.75" bottom="0.75" header="0.3" footer="0.3"/>
  <pageSetup paperSize="9" orientation="portrait" horizontalDpi="0" verticalDpi="0" r:id="rId2"/>
  <drawing r:id="rId3"/>
  <extLst>
    <ext xmlns:x14="http://schemas.microsoft.com/office/spreadsheetml/2009/9/main" uri="{78C0D931-6437-407d-A8EE-F0AAD7539E65}">
      <x14:conditionalFormattings>
        <x14:conditionalFormatting xmlns:xm="http://schemas.microsoft.com/office/excel/2006/main">
          <x14:cfRule type="dataBar" id="{B4A524BD-8B08-4CA6-997C-B848D161D980}">
            <x14:dataBar minLength="0" maxLength="100" gradient="0">
              <x14:cfvo type="autoMin"/>
              <x14:cfvo type="autoMax"/>
              <x14:negativeFillColor rgb="FFFF0000"/>
              <x14:axisColor rgb="FF000000"/>
            </x14:dataBar>
          </x14:cfRule>
          <xm:sqref>O13:O31</xm:sqref>
        </x14:conditionalFormatting>
      </x14:conditionalFormatting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34419-0D38-4D54-B7A6-B6B3EDBD6EFA}">
  <sheetPr codeName="Sheet31">
    <tabColor rgb="FF7030A0"/>
  </sheetPr>
  <dimension ref="A1:K195"/>
  <sheetViews>
    <sheetView workbookViewId="0"/>
  </sheetViews>
  <sheetFormatPr defaultColWidth="9.28515625" defaultRowHeight="12.75" x14ac:dyDescent="0.2"/>
  <cols>
    <col min="1" max="1" width="9.28515625" style="281"/>
    <col min="2" max="2" width="25.5703125" style="281" customWidth="1"/>
    <col min="3" max="3" width="26.85546875" style="281" customWidth="1"/>
    <col min="4" max="4" width="28.5703125" style="281" customWidth="1"/>
    <col min="5" max="5" width="31" style="281" customWidth="1"/>
    <col min="6" max="6" width="22.42578125" style="281" customWidth="1"/>
    <col min="7" max="7" width="31.85546875" style="281" customWidth="1"/>
    <col min="8" max="8" width="33.5703125" style="281" customWidth="1"/>
    <col min="9" max="9" width="36" style="281" customWidth="1"/>
    <col min="10" max="10" width="27.42578125" style="281" customWidth="1"/>
    <col min="11" max="11" width="33.42578125" style="281" customWidth="1"/>
    <col min="12" max="16384" width="9.28515625" style="281"/>
  </cols>
  <sheetData>
    <row r="1" spans="1:11" x14ac:dyDescent="0.2">
      <c r="A1" s="281" t="s">
        <v>3147</v>
      </c>
      <c r="B1" s="281" t="s">
        <v>3148</v>
      </c>
      <c r="C1" s="281" t="s">
        <v>3149</v>
      </c>
      <c r="D1" s="281" t="s">
        <v>3150</v>
      </c>
      <c r="E1" s="281" t="s">
        <v>3151</v>
      </c>
      <c r="F1" s="281" t="s">
        <v>3152</v>
      </c>
      <c r="G1" s="281" t="s">
        <v>3153</v>
      </c>
      <c r="H1" s="281" t="s">
        <v>3154</v>
      </c>
      <c r="I1" s="281" t="s">
        <v>3155</v>
      </c>
      <c r="J1" s="281" t="s">
        <v>3156</v>
      </c>
      <c r="K1" s="281" t="s">
        <v>3157</v>
      </c>
    </row>
    <row r="2" spans="1:11" x14ac:dyDescent="0.2">
      <c r="A2" s="281" t="s">
        <v>263</v>
      </c>
      <c r="B2" s="281">
        <v>0</v>
      </c>
      <c r="C2" s="281">
        <v>10823</v>
      </c>
      <c r="D2" s="281">
        <v>12017</v>
      </c>
      <c r="E2" s="281">
        <v>5335</v>
      </c>
      <c r="F2" s="281">
        <v>1123</v>
      </c>
      <c r="G2" s="281">
        <v>861</v>
      </c>
      <c r="H2" s="281">
        <v>4507</v>
      </c>
      <c r="I2" s="281">
        <v>694</v>
      </c>
      <c r="J2" s="281">
        <v>216</v>
      </c>
      <c r="K2" s="281">
        <f t="shared" ref="K2:K33" si="0">B2*SUM(C2:F2)</f>
        <v>0</v>
      </c>
    </row>
    <row r="3" spans="1:11" x14ac:dyDescent="0.2">
      <c r="A3" s="281" t="s">
        <v>85</v>
      </c>
      <c r="B3" s="281">
        <v>0</v>
      </c>
      <c r="C3" s="281">
        <v>7059</v>
      </c>
      <c r="D3" s="281">
        <v>13396</v>
      </c>
      <c r="E3" s="281">
        <v>0</v>
      </c>
      <c r="F3" s="281">
        <v>1607</v>
      </c>
      <c r="G3" s="281">
        <v>286</v>
      </c>
      <c r="H3" s="281">
        <v>727</v>
      </c>
      <c r="I3" s="281">
        <v>0</v>
      </c>
      <c r="J3" s="281">
        <v>162</v>
      </c>
      <c r="K3" s="281">
        <f t="shared" si="0"/>
        <v>0</v>
      </c>
    </row>
    <row r="4" spans="1:11" x14ac:dyDescent="0.2">
      <c r="A4" s="281" t="s">
        <v>309</v>
      </c>
      <c r="B4" s="281">
        <v>2.0570991788701771E-2</v>
      </c>
      <c r="C4" s="281">
        <v>6211</v>
      </c>
      <c r="D4" s="281">
        <v>21435</v>
      </c>
      <c r="E4" s="281">
        <v>2926</v>
      </c>
      <c r="F4" s="281">
        <v>3120</v>
      </c>
      <c r="G4" s="281">
        <v>261</v>
      </c>
      <c r="H4" s="281">
        <v>2563</v>
      </c>
      <c r="I4" s="281">
        <v>273</v>
      </c>
      <c r="J4" s="281">
        <v>100</v>
      </c>
      <c r="K4" s="281">
        <f t="shared" si="0"/>
        <v>693.07785534494008</v>
      </c>
    </row>
    <row r="5" spans="1:11" x14ac:dyDescent="0.2">
      <c r="A5" s="281" t="s">
        <v>313</v>
      </c>
      <c r="B5" s="281">
        <v>1.9770285701732296E-2</v>
      </c>
      <c r="C5" s="281">
        <v>258</v>
      </c>
      <c r="D5" s="281">
        <v>293</v>
      </c>
      <c r="E5" s="281">
        <v>17</v>
      </c>
      <c r="F5" s="281">
        <v>78</v>
      </c>
      <c r="G5" s="281">
        <v>2</v>
      </c>
      <c r="H5" s="281">
        <v>15</v>
      </c>
      <c r="I5" s="281">
        <v>2</v>
      </c>
      <c r="J5" s="281">
        <v>1</v>
      </c>
      <c r="K5" s="281">
        <f t="shared" si="0"/>
        <v>12.771604563319062</v>
      </c>
    </row>
    <row r="6" spans="1:11" x14ac:dyDescent="0.2">
      <c r="A6" s="281" t="s">
        <v>267</v>
      </c>
      <c r="B6" s="281">
        <v>2.1781366895612712E-2</v>
      </c>
      <c r="C6" s="281">
        <v>25001</v>
      </c>
      <c r="D6" s="281">
        <v>56644</v>
      </c>
      <c r="E6" s="281">
        <v>4724</v>
      </c>
      <c r="F6" s="281">
        <v>8697</v>
      </c>
      <c r="G6" s="281">
        <v>364</v>
      </c>
      <c r="H6" s="281">
        <v>365</v>
      </c>
      <c r="I6" s="281">
        <v>250</v>
      </c>
      <c r="J6" s="281">
        <v>576</v>
      </c>
      <c r="K6" s="281">
        <f t="shared" si="0"/>
        <v>2070.667425298318</v>
      </c>
    </row>
    <row r="7" spans="1:11" x14ac:dyDescent="0.2">
      <c r="A7" s="281" t="s">
        <v>189</v>
      </c>
      <c r="B7" s="281">
        <v>1.6450439199261615E-2</v>
      </c>
      <c r="C7" s="281">
        <v>180488</v>
      </c>
      <c r="D7" s="281">
        <v>117590</v>
      </c>
      <c r="E7" s="281">
        <v>0</v>
      </c>
      <c r="F7" s="281">
        <v>22903</v>
      </c>
      <c r="G7" s="281">
        <v>7033</v>
      </c>
      <c r="H7" s="281">
        <v>5680</v>
      </c>
      <c r="I7" s="281">
        <v>0</v>
      </c>
      <c r="J7" s="281">
        <v>1624</v>
      </c>
      <c r="K7" s="281">
        <f t="shared" si="0"/>
        <v>5280.2784246181927</v>
      </c>
    </row>
    <row r="8" spans="1:11" x14ac:dyDescent="0.2">
      <c r="A8" s="281" t="s">
        <v>315</v>
      </c>
      <c r="B8" s="281">
        <v>1.9861468093974918E-2</v>
      </c>
      <c r="C8" s="281">
        <v>13045</v>
      </c>
      <c r="D8" s="281">
        <v>12944</v>
      </c>
      <c r="E8" s="281">
        <v>0</v>
      </c>
      <c r="F8" s="281">
        <v>145</v>
      </c>
      <c r="G8" s="281">
        <v>591</v>
      </c>
      <c r="H8" s="281">
        <v>1289</v>
      </c>
      <c r="I8" s="281">
        <v>0</v>
      </c>
      <c r="J8" s="281">
        <v>92</v>
      </c>
      <c r="K8" s="281">
        <f t="shared" si="0"/>
        <v>519.0596071679405</v>
      </c>
    </row>
    <row r="9" spans="1:11" x14ac:dyDescent="0.2">
      <c r="A9" s="281" t="s">
        <v>193</v>
      </c>
      <c r="B9" s="281">
        <v>1.8371352086111081E-2</v>
      </c>
      <c r="C9" s="281">
        <v>271</v>
      </c>
      <c r="D9" s="281">
        <v>442</v>
      </c>
      <c r="E9" s="281">
        <v>38</v>
      </c>
      <c r="F9" s="281">
        <v>17</v>
      </c>
      <c r="G9" s="281">
        <v>11</v>
      </c>
      <c r="H9" s="281">
        <v>20</v>
      </c>
      <c r="I9" s="281">
        <v>12</v>
      </c>
      <c r="J9" s="281">
        <v>3</v>
      </c>
      <c r="K9" s="281">
        <f t="shared" si="0"/>
        <v>14.109198402133309</v>
      </c>
    </row>
    <row r="10" spans="1:11" x14ac:dyDescent="0.2">
      <c r="A10" s="281" t="s">
        <v>441</v>
      </c>
      <c r="B10" s="281">
        <v>0.05</v>
      </c>
      <c r="C10" s="281">
        <v>95859</v>
      </c>
      <c r="D10" s="281">
        <v>304982</v>
      </c>
      <c r="E10" s="281">
        <v>21734</v>
      </c>
      <c r="F10" s="281">
        <v>22595</v>
      </c>
      <c r="G10" s="281">
        <v>3958</v>
      </c>
      <c r="H10" s="281">
        <v>23994</v>
      </c>
      <c r="I10" s="281">
        <v>1280</v>
      </c>
      <c r="J10" s="281">
        <v>2116</v>
      </c>
      <c r="K10" s="281">
        <f t="shared" si="0"/>
        <v>22258.5</v>
      </c>
    </row>
    <row r="11" spans="1:11" x14ac:dyDescent="0.2">
      <c r="A11" s="281" t="s">
        <v>317</v>
      </c>
      <c r="B11" s="281">
        <v>3.1892155080187216E-2</v>
      </c>
      <c r="C11" s="281">
        <v>46936</v>
      </c>
      <c r="D11" s="281">
        <v>61479</v>
      </c>
      <c r="E11" s="281">
        <v>2368</v>
      </c>
      <c r="F11" s="281">
        <v>6431</v>
      </c>
      <c r="G11" s="281">
        <v>1346</v>
      </c>
      <c r="H11" s="281">
        <v>2842</v>
      </c>
      <c r="I11" s="281">
        <v>80</v>
      </c>
      <c r="J11" s="281">
        <v>274</v>
      </c>
      <c r="K11" s="281">
        <f t="shared" si="0"/>
        <v>3738.2070655690645</v>
      </c>
    </row>
    <row r="12" spans="1:11" x14ac:dyDescent="0.2">
      <c r="A12" s="281" t="s">
        <v>319</v>
      </c>
      <c r="B12" s="281">
        <v>2.1076120127116502E-2</v>
      </c>
      <c r="C12" s="281">
        <v>34939</v>
      </c>
      <c r="D12" s="281">
        <v>59890</v>
      </c>
      <c r="E12" s="281">
        <v>5343</v>
      </c>
      <c r="F12" s="281">
        <v>2023</v>
      </c>
      <c r="G12" s="281">
        <v>1141</v>
      </c>
      <c r="H12" s="281">
        <v>4304</v>
      </c>
      <c r="I12" s="281">
        <v>362</v>
      </c>
      <c r="J12" s="281">
        <v>274</v>
      </c>
      <c r="K12" s="281">
        <f t="shared" si="0"/>
        <v>2153.8740963906707</v>
      </c>
    </row>
    <row r="13" spans="1:11" x14ac:dyDescent="0.2">
      <c r="A13" s="281" t="s">
        <v>91</v>
      </c>
      <c r="B13" s="281">
        <v>0</v>
      </c>
      <c r="C13" s="281">
        <v>1193</v>
      </c>
      <c r="D13" s="281">
        <v>9987</v>
      </c>
      <c r="E13" s="281">
        <v>176</v>
      </c>
      <c r="F13" s="281">
        <v>5</v>
      </c>
      <c r="G13" s="281">
        <v>94</v>
      </c>
      <c r="H13" s="281">
        <v>1053</v>
      </c>
      <c r="I13" s="281">
        <v>45</v>
      </c>
      <c r="J13" s="281">
        <v>24</v>
      </c>
      <c r="K13" s="281">
        <f t="shared" si="0"/>
        <v>0</v>
      </c>
    </row>
    <row r="14" spans="1:11" x14ac:dyDescent="0.2">
      <c r="A14" s="281" t="s">
        <v>321</v>
      </c>
      <c r="B14" s="281">
        <v>0.05</v>
      </c>
      <c r="C14" s="281">
        <v>36041</v>
      </c>
      <c r="D14" s="281">
        <v>125257</v>
      </c>
      <c r="E14" s="281">
        <v>13054</v>
      </c>
      <c r="F14" s="281">
        <v>14391</v>
      </c>
      <c r="G14" s="281">
        <v>2020</v>
      </c>
      <c r="H14" s="281">
        <v>3569</v>
      </c>
      <c r="I14" s="281">
        <v>565</v>
      </c>
      <c r="J14" s="281">
        <v>569</v>
      </c>
      <c r="K14" s="281">
        <f t="shared" si="0"/>
        <v>9437.15</v>
      </c>
    </row>
    <row r="15" spans="1:11" x14ac:dyDescent="0.2">
      <c r="A15" s="281" t="s">
        <v>95</v>
      </c>
      <c r="B15" s="281">
        <v>0</v>
      </c>
      <c r="C15" s="281">
        <v>957</v>
      </c>
      <c r="D15" s="281">
        <v>3595</v>
      </c>
      <c r="E15" s="281">
        <v>1112</v>
      </c>
      <c r="F15" s="281">
        <v>323</v>
      </c>
      <c r="G15" s="281">
        <v>76</v>
      </c>
      <c r="H15" s="281">
        <v>382</v>
      </c>
      <c r="I15" s="281">
        <v>144</v>
      </c>
      <c r="J15" s="281">
        <v>19</v>
      </c>
      <c r="K15" s="281">
        <f t="shared" si="0"/>
        <v>0</v>
      </c>
    </row>
    <row r="16" spans="1:11" x14ac:dyDescent="0.2">
      <c r="A16" s="281" t="s">
        <v>97</v>
      </c>
      <c r="B16" s="281">
        <v>0</v>
      </c>
      <c r="C16" s="281">
        <v>1778</v>
      </c>
      <c r="D16" s="281">
        <v>11296</v>
      </c>
      <c r="E16" s="281">
        <v>7152</v>
      </c>
      <c r="F16" s="281">
        <v>252</v>
      </c>
      <c r="G16" s="281">
        <v>140</v>
      </c>
      <c r="H16" s="281">
        <v>2039</v>
      </c>
      <c r="I16" s="281">
        <v>1090</v>
      </c>
      <c r="J16" s="281">
        <v>31</v>
      </c>
      <c r="K16" s="281">
        <f t="shared" si="0"/>
        <v>0</v>
      </c>
    </row>
    <row r="17" spans="1:11" x14ac:dyDescent="0.2">
      <c r="A17" s="281" t="s">
        <v>417</v>
      </c>
      <c r="B17" s="281">
        <v>0</v>
      </c>
      <c r="C17" s="281">
        <v>95889</v>
      </c>
      <c r="D17" s="281">
        <v>58516</v>
      </c>
      <c r="E17" s="281">
        <v>9547</v>
      </c>
      <c r="F17" s="281">
        <v>29794</v>
      </c>
      <c r="G17" s="281">
        <v>5454</v>
      </c>
      <c r="H17" s="281">
        <v>6343</v>
      </c>
      <c r="I17" s="281">
        <v>1206</v>
      </c>
      <c r="J17" s="281">
        <v>1880</v>
      </c>
      <c r="K17" s="281">
        <f t="shared" si="0"/>
        <v>0</v>
      </c>
    </row>
    <row r="18" spans="1:11" x14ac:dyDescent="0.2">
      <c r="A18" s="281" t="s">
        <v>323</v>
      </c>
      <c r="B18" s="281">
        <v>1.9478347171175834E-2</v>
      </c>
      <c r="C18" s="281">
        <v>29233</v>
      </c>
      <c r="D18" s="281">
        <v>30141</v>
      </c>
      <c r="E18" s="281">
        <v>3109</v>
      </c>
      <c r="F18" s="281">
        <v>5812</v>
      </c>
      <c r="G18" s="281">
        <v>837</v>
      </c>
      <c r="H18" s="281">
        <v>494</v>
      </c>
      <c r="I18" s="281">
        <v>175</v>
      </c>
      <c r="J18" s="281">
        <v>414</v>
      </c>
      <c r="K18" s="281">
        <f t="shared" si="0"/>
        <v>1330.2737200554536</v>
      </c>
    </row>
    <row r="19" spans="1:11" x14ac:dyDescent="0.2">
      <c r="A19" s="281" t="s">
        <v>269</v>
      </c>
      <c r="B19" s="281">
        <v>9.8500783568124389E-3</v>
      </c>
      <c r="C19" s="281">
        <v>1575</v>
      </c>
      <c r="D19" s="281">
        <v>4244</v>
      </c>
      <c r="E19" s="281">
        <v>813</v>
      </c>
      <c r="F19" s="281">
        <v>275</v>
      </c>
      <c r="G19" s="281">
        <v>46</v>
      </c>
      <c r="H19" s="281">
        <v>198</v>
      </c>
      <c r="I19" s="281">
        <v>41</v>
      </c>
      <c r="J19" s="281">
        <v>19</v>
      </c>
      <c r="K19" s="281">
        <f t="shared" si="0"/>
        <v>68.034491210503518</v>
      </c>
    </row>
    <row r="20" spans="1:11" x14ac:dyDescent="0.2">
      <c r="A20" s="281" t="s">
        <v>195</v>
      </c>
      <c r="B20" s="281">
        <v>1.7187225197471942E-2</v>
      </c>
      <c r="C20" s="281">
        <v>762</v>
      </c>
      <c r="D20" s="281">
        <v>1796</v>
      </c>
      <c r="E20" s="281">
        <v>188</v>
      </c>
      <c r="F20" s="281">
        <v>221</v>
      </c>
      <c r="G20" s="281">
        <v>24</v>
      </c>
      <c r="H20" s="281">
        <v>89</v>
      </c>
      <c r="I20" s="281">
        <v>10</v>
      </c>
      <c r="J20" s="281">
        <v>10</v>
      </c>
      <c r="K20" s="281">
        <f t="shared" si="0"/>
        <v>50.99449716089925</v>
      </c>
    </row>
    <row r="21" spans="1:11" x14ac:dyDescent="0.2">
      <c r="A21" s="281" t="s">
        <v>325</v>
      </c>
      <c r="B21" s="281">
        <v>1.5805506574958272E-2</v>
      </c>
      <c r="C21" s="281">
        <v>7092</v>
      </c>
      <c r="D21" s="281">
        <v>18810</v>
      </c>
      <c r="E21" s="281">
        <v>0</v>
      </c>
      <c r="F21" s="281">
        <v>424</v>
      </c>
      <c r="G21" s="281">
        <v>310</v>
      </c>
      <c r="H21" s="281">
        <v>432</v>
      </c>
      <c r="I21" s="281">
        <v>0</v>
      </c>
      <c r="J21" s="281">
        <v>175</v>
      </c>
      <c r="K21" s="281">
        <f t="shared" si="0"/>
        <v>416.09576609235148</v>
      </c>
    </row>
    <row r="22" spans="1:11" x14ac:dyDescent="0.2">
      <c r="A22" s="281" t="s">
        <v>327</v>
      </c>
      <c r="B22" s="281">
        <v>4.039027127266568E-2</v>
      </c>
      <c r="C22" s="281">
        <v>49046</v>
      </c>
      <c r="D22" s="281">
        <v>98979</v>
      </c>
      <c r="E22" s="281">
        <v>4989</v>
      </c>
      <c r="F22" s="281">
        <v>3428</v>
      </c>
      <c r="G22" s="281">
        <v>2934</v>
      </c>
      <c r="H22" s="281">
        <v>7251</v>
      </c>
      <c r="I22" s="281">
        <v>601</v>
      </c>
      <c r="J22" s="281">
        <v>242</v>
      </c>
      <c r="K22" s="281">
        <f t="shared" si="0"/>
        <v>6318.7348184383645</v>
      </c>
    </row>
    <row r="23" spans="1:11" x14ac:dyDescent="0.2">
      <c r="A23" s="281" t="s">
        <v>198</v>
      </c>
      <c r="B23" s="281">
        <v>7.4955077362221668E-3</v>
      </c>
      <c r="C23" s="281">
        <v>429</v>
      </c>
      <c r="D23" s="281">
        <v>990</v>
      </c>
      <c r="E23" s="281">
        <v>0</v>
      </c>
      <c r="F23" s="281">
        <v>269</v>
      </c>
      <c r="G23" s="281">
        <v>16</v>
      </c>
      <c r="H23" s="281">
        <v>50</v>
      </c>
      <c r="I23" s="281">
        <v>0</v>
      </c>
      <c r="J23" s="281">
        <v>4</v>
      </c>
      <c r="K23" s="281">
        <f t="shared" si="0"/>
        <v>12.652417058743017</v>
      </c>
    </row>
    <row r="24" spans="1:11" x14ac:dyDescent="0.2">
      <c r="A24" s="281" t="s">
        <v>200</v>
      </c>
      <c r="B24" s="281">
        <v>6.1753037030181169E-3</v>
      </c>
      <c r="C24" s="281">
        <v>12015</v>
      </c>
      <c r="D24" s="281">
        <v>20285</v>
      </c>
      <c r="E24" s="281">
        <v>0</v>
      </c>
      <c r="F24" s="281">
        <v>2629</v>
      </c>
      <c r="G24" s="281">
        <v>507</v>
      </c>
      <c r="H24" s="281">
        <v>1451</v>
      </c>
      <c r="I24" s="281">
        <v>0</v>
      </c>
      <c r="J24" s="281">
        <v>287</v>
      </c>
      <c r="K24" s="281">
        <f t="shared" si="0"/>
        <v>215.69718304271981</v>
      </c>
    </row>
    <row r="25" spans="1:11" x14ac:dyDescent="0.2">
      <c r="A25" s="281" t="s">
        <v>202</v>
      </c>
      <c r="B25" s="281">
        <v>3.2869192977664684E-2</v>
      </c>
      <c r="C25" s="281">
        <v>402638</v>
      </c>
      <c r="D25" s="281">
        <v>2292062</v>
      </c>
      <c r="E25" s="281">
        <v>0</v>
      </c>
      <c r="F25" s="281">
        <v>145080</v>
      </c>
      <c r="G25" s="281">
        <v>19234</v>
      </c>
      <c r="H25" s="281">
        <v>42253</v>
      </c>
      <c r="I25" s="281">
        <v>0</v>
      </c>
      <c r="J25" s="281">
        <v>10869</v>
      </c>
      <c r="K25" s="281">
        <f t="shared" si="0"/>
        <v>93341.276834112621</v>
      </c>
    </row>
    <row r="26" spans="1:11" x14ac:dyDescent="0.2">
      <c r="A26" s="281" t="s">
        <v>204</v>
      </c>
      <c r="B26" s="281">
        <v>1.4987306785520885E-2</v>
      </c>
      <c r="C26" s="281">
        <v>715</v>
      </c>
      <c r="D26" s="281">
        <v>879</v>
      </c>
      <c r="E26" s="281">
        <v>110</v>
      </c>
      <c r="F26" s="281">
        <v>261</v>
      </c>
      <c r="G26" s="281">
        <v>28</v>
      </c>
      <c r="H26" s="281">
        <v>89</v>
      </c>
      <c r="I26" s="281">
        <v>16</v>
      </c>
      <c r="J26" s="281">
        <v>6</v>
      </c>
      <c r="K26" s="281">
        <f t="shared" si="0"/>
        <v>29.450057833548538</v>
      </c>
    </row>
    <row r="27" spans="1:11" x14ac:dyDescent="0.2">
      <c r="A27" s="281" t="s">
        <v>444</v>
      </c>
      <c r="B27" s="281">
        <v>1.9956475196233725E-2</v>
      </c>
      <c r="C27" s="281">
        <v>704</v>
      </c>
      <c r="D27" s="281">
        <v>2580</v>
      </c>
      <c r="E27" s="281">
        <v>0</v>
      </c>
      <c r="F27" s="281">
        <v>75</v>
      </c>
      <c r="G27" s="281">
        <v>22</v>
      </c>
      <c r="H27" s="281">
        <v>128</v>
      </c>
      <c r="I27" s="281">
        <v>0</v>
      </c>
      <c r="J27" s="281">
        <v>9</v>
      </c>
      <c r="K27" s="281">
        <f t="shared" si="0"/>
        <v>67.033800184149086</v>
      </c>
    </row>
    <row r="28" spans="1:11" x14ac:dyDescent="0.2">
      <c r="A28" s="281" t="s">
        <v>420</v>
      </c>
      <c r="B28" s="281">
        <v>4.6312099085095695E-3</v>
      </c>
      <c r="C28" s="281">
        <v>327</v>
      </c>
      <c r="D28" s="281">
        <v>1429</v>
      </c>
      <c r="E28" s="281">
        <v>0</v>
      </c>
      <c r="F28" s="281">
        <v>44</v>
      </c>
      <c r="G28" s="281">
        <v>33</v>
      </c>
      <c r="H28" s="281">
        <v>123</v>
      </c>
      <c r="I28" s="281">
        <v>0</v>
      </c>
      <c r="J28" s="281">
        <v>9</v>
      </c>
      <c r="K28" s="281">
        <f t="shared" si="0"/>
        <v>8.3361778353172244</v>
      </c>
    </row>
    <row r="29" spans="1:11" x14ac:dyDescent="0.2">
      <c r="A29" s="281" t="s">
        <v>99</v>
      </c>
      <c r="B29" s="281">
        <v>1.1871779686478555E-2</v>
      </c>
      <c r="C29" s="281">
        <v>1239</v>
      </c>
      <c r="D29" s="281">
        <v>12706</v>
      </c>
      <c r="E29" s="281">
        <v>0</v>
      </c>
      <c r="F29" s="281">
        <v>502</v>
      </c>
      <c r="G29" s="281">
        <v>47</v>
      </c>
      <c r="H29" s="281">
        <v>342</v>
      </c>
      <c r="I29" s="281">
        <v>0</v>
      </c>
      <c r="J29" s="281">
        <v>11</v>
      </c>
      <c r="K29" s="281">
        <f t="shared" si="0"/>
        <v>171.51160113055568</v>
      </c>
    </row>
    <row r="30" spans="1:11" x14ac:dyDescent="0.2">
      <c r="A30" s="281" t="s">
        <v>102</v>
      </c>
      <c r="B30" s="281">
        <v>0</v>
      </c>
      <c r="C30" s="281">
        <v>348</v>
      </c>
      <c r="D30" s="281">
        <v>346</v>
      </c>
      <c r="E30" s="281">
        <v>650</v>
      </c>
      <c r="F30" s="281">
        <v>21</v>
      </c>
      <c r="G30" s="281">
        <v>28</v>
      </c>
      <c r="H30" s="281">
        <v>37</v>
      </c>
      <c r="I30" s="281">
        <v>86</v>
      </c>
      <c r="J30" s="281">
        <v>7</v>
      </c>
      <c r="K30" s="281">
        <f t="shared" si="0"/>
        <v>0</v>
      </c>
    </row>
    <row r="31" spans="1:11" x14ac:dyDescent="0.2">
      <c r="A31" s="281" t="s">
        <v>206</v>
      </c>
      <c r="B31" s="281">
        <v>3.6231402275116807E-2</v>
      </c>
      <c r="C31" s="281">
        <v>91467</v>
      </c>
      <c r="D31" s="281">
        <v>375045</v>
      </c>
      <c r="E31" s="281">
        <v>1643</v>
      </c>
      <c r="F31" s="281">
        <v>38954</v>
      </c>
      <c r="G31" s="281">
        <v>2832</v>
      </c>
      <c r="H31" s="281">
        <v>18643</v>
      </c>
      <c r="I31" s="281">
        <v>88</v>
      </c>
      <c r="J31" s="281">
        <v>1194</v>
      </c>
      <c r="K31" s="281">
        <f t="shared" si="0"/>
        <v>18373.270176332207</v>
      </c>
    </row>
    <row r="32" spans="1:11" x14ac:dyDescent="0.2">
      <c r="A32" s="281" t="s">
        <v>329</v>
      </c>
      <c r="B32" s="281">
        <v>0.05</v>
      </c>
      <c r="C32" s="281">
        <v>37499</v>
      </c>
      <c r="D32" s="281">
        <v>152058</v>
      </c>
      <c r="E32" s="281">
        <v>2816</v>
      </c>
      <c r="F32" s="281">
        <v>5975</v>
      </c>
      <c r="G32" s="281">
        <v>995</v>
      </c>
      <c r="H32" s="281">
        <v>9039</v>
      </c>
      <c r="I32" s="281">
        <v>169</v>
      </c>
      <c r="J32" s="281">
        <v>223</v>
      </c>
      <c r="K32" s="281">
        <f t="shared" si="0"/>
        <v>9917.4000000000015</v>
      </c>
    </row>
    <row r="33" spans="1:11" x14ac:dyDescent="0.2">
      <c r="A33" s="281" t="s">
        <v>209</v>
      </c>
      <c r="B33" s="281">
        <v>4.2584167845448287E-2</v>
      </c>
      <c r="C33" s="281">
        <v>99222</v>
      </c>
      <c r="D33" s="281">
        <v>241689</v>
      </c>
      <c r="E33" s="281">
        <v>13428</v>
      </c>
      <c r="F33" s="281">
        <v>10077</v>
      </c>
      <c r="G33" s="281">
        <v>1637</v>
      </c>
      <c r="H33" s="281">
        <v>5570</v>
      </c>
      <c r="I33" s="281">
        <v>1009</v>
      </c>
      <c r="J33" s="281">
        <v>478</v>
      </c>
      <c r="K33" s="281">
        <f t="shared" si="0"/>
        <v>15518.352109566882</v>
      </c>
    </row>
    <row r="34" spans="1:11" x14ac:dyDescent="0.2">
      <c r="A34" s="281" t="s">
        <v>446</v>
      </c>
      <c r="B34" s="281">
        <v>1.3001148238888528E-2</v>
      </c>
      <c r="C34" s="281">
        <v>2847444</v>
      </c>
      <c r="D34" s="281">
        <v>3828824</v>
      </c>
      <c r="E34" s="281">
        <v>541140</v>
      </c>
      <c r="F34" s="281">
        <v>455954</v>
      </c>
      <c r="G34" s="281">
        <v>123081</v>
      </c>
      <c r="H34" s="281">
        <v>280527</v>
      </c>
      <c r="I34" s="281">
        <v>65152</v>
      </c>
      <c r="J34" s="281">
        <v>69554</v>
      </c>
      <c r="K34" s="281">
        <f t="shared" ref="K34:K65" si="1">B34*SUM(C34:F34)</f>
        <v>99762.516852654153</v>
      </c>
    </row>
    <row r="35" spans="1:11" x14ac:dyDescent="0.2">
      <c r="A35" s="281" t="s">
        <v>104</v>
      </c>
      <c r="B35" s="281">
        <v>0</v>
      </c>
      <c r="C35" s="281">
        <v>4251</v>
      </c>
      <c r="D35" s="281">
        <v>15935</v>
      </c>
      <c r="E35" s="281">
        <v>0</v>
      </c>
      <c r="F35" s="281">
        <v>978</v>
      </c>
      <c r="G35" s="281">
        <v>337</v>
      </c>
      <c r="H35" s="281">
        <v>1697</v>
      </c>
      <c r="I35" s="281">
        <v>0</v>
      </c>
      <c r="J35" s="281">
        <v>84</v>
      </c>
      <c r="K35" s="281">
        <f t="shared" si="1"/>
        <v>0</v>
      </c>
    </row>
    <row r="36" spans="1:11" x14ac:dyDescent="0.2">
      <c r="A36" s="281" t="s">
        <v>106</v>
      </c>
      <c r="B36" s="281">
        <v>0</v>
      </c>
      <c r="C36" s="281">
        <v>2340</v>
      </c>
      <c r="D36" s="281">
        <v>24074</v>
      </c>
      <c r="E36" s="281">
        <v>153</v>
      </c>
      <c r="F36" s="281">
        <v>221</v>
      </c>
      <c r="G36" s="281">
        <v>185</v>
      </c>
      <c r="H36" s="281">
        <v>1875</v>
      </c>
      <c r="I36" s="281">
        <v>20</v>
      </c>
      <c r="J36" s="281">
        <v>118</v>
      </c>
      <c r="K36" s="281">
        <f t="shared" si="1"/>
        <v>0</v>
      </c>
    </row>
    <row r="37" spans="1:11" x14ac:dyDescent="0.2">
      <c r="A37" s="281" t="s">
        <v>109</v>
      </c>
      <c r="B37" s="281">
        <v>0</v>
      </c>
      <c r="C37" s="281">
        <v>6628</v>
      </c>
      <c r="D37" s="281">
        <v>99387</v>
      </c>
      <c r="E37" s="281">
        <v>0</v>
      </c>
      <c r="F37" s="281">
        <v>459</v>
      </c>
      <c r="G37" s="281">
        <v>518</v>
      </c>
      <c r="H37" s="281">
        <v>10444</v>
      </c>
      <c r="I37" s="281">
        <v>0</v>
      </c>
      <c r="J37" s="281">
        <v>130</v>
      </c>
      <c r="K37" s="281">
        <f t="shared" si="1"/>
        <v>0</v>
      </c>
    </row>
    <row r="38" spans="1:11" x14ac:dyDescent="0.2">
      <c r="A38" s="281" t="s">
        <v>111</v>
      </c>
      <c r="B38" s="281">
        <v>0</v>
      </c>
      <c r="C38" s="281">
        <v>587</v>
      </c>
      <c r="D38" s="281">
        <v>4118</v>
      </c>
      <c r="E38" s="281">
        <v>1020</v>
      </c>
      <c r="F38" s="281">
        <v>81</v>
      </c>
      <c r="G38" s="281">
        <v>46</v>
      </c>
      <c r="H38" s="281">
        <v>438</v>
      </c>
      <c r="I38" s="281">
        <v>132</v>
      </c>
      <c r="J38" s="281">
        <v>12</v>
      </c>
      <c r="K38" s="281">
        <f t="shared" si="1"/>
        <v>0</v>
      </c>
    </row>
    <row r="39" spans="1:11" x14ac:dyDescent="0.2">
      <c r="A39" s="281" t="s">
        <v>448</v>
      </c>
      <c r="B39" s="281">
        <v>2.0497496803796336E-2</v>
      </c>
      <c r="C39" s="281">
        <v>25</v>
      </c>
      <c r="D39" s="281">
        <v>118</v>
      </c>
      <c r="E39" s="281">
        <v>0</v>
      </c>
      <c r="F39" s="281">
        <v>1</v>
      </c>
      <c r="G39" s="281">
        <v>1</v>
      </c>
      <c r="H39" s="281">
        <v>6</v>
      </c>
      <c r="I39" s="281">
        <v>0</v>
      </c>
      <c r="J39" s="281">
        <v>1</v>
      </c>
      <c r="K39" s="281">
        <f t="shared" si="1"/>
        <v>2.9516395397466724</v>
      </c>
    </row>
    <row r="40" spans="1:11" x14ac:dyDescent="0.2">
      <c r="A40" s="281" t="s">
        <v>211</v>
      </c>
      <c r="B40" s="281">
        <v>2.7648512658753156E-2</v>
      </c>
      <c r="C40" s="281">
        <v>195448</v>
      </c>
      <c r="D40" s="281">
        <v>349447</v>
      </c>
      <c r="E40" s="281">
        <v>19130</v>
      </c>
      <c r="F40" s="281">
        <v>15270</v>
      </c>
      <c r="G40" s="281">
        <v>8248</v>
      </c>
      <c r="H40" s="281">
        <v>3920</v>
      </c>
      <c r="I40" s="281">
        <v>2249</v>
      </c>
      <c r="J40" s="281">
        <v>4661</v>
      </c>
      <c r="K40" s="281">
        <f t="shared" si="1"/>
        <v>16016.64514065241</v>
      </c>
    </row>
    <row r="41" spans="1:11" x14ac:dyDescent="0.2">
      <c r="A41" s="281" t="s">
        <v>113</v>
      </c>
      <c r="B41" s="281">
        <v>2.2304306239327352E-3</v>
      </c>
      <c r="C41" s="281">
        <v>236</v>
      </c>
      <c r="D41" s="281">
        <v>354</v>
      </c>
      <c r="E41" s="281">
        <v>547</v>
      </c>
      <c r="F41" s="281">
        <v>19</v>
      </c>
      <c r="G41" s="281">
        <v>19</v>
      </c>
      <c r="H41" s="281">
        <v>38</v>
      </c>
      <c r="I41" s="281">
        <v>21</v>
      </c>
      <c r="J41" s="281">
        <v>5</v>
      </c>
      <c r="K41" s="281">
        <f t="shared" si="1"/>
        <v>2.5783778012662419</v>
      </c>
    </row>
    <row r="42" spans="1:11" x14ac:dyDescent="0.2">
      <c r="A42" s="281" t="s">
        <v>115</v>
      </c>
      <c r="B42" s="281">
        <v>5.5609639455822249E-3</v>
      </c>
      <c r="C42" s="281">
        <v>434</v>
      </c>
      <c r="D42" s="281">
        <v>722</v>
      </c>
      <c r="E42" s="281">
        <v>209</v>
      </c>
      <c r="F42" s="281">
        <v>4</v>
      </c>
      <c r="G42" s="281">
        <v>18</v>
      </c>
      <c r="H42" s="281">
        <v>52</v>
      </c>
      <c r="I42" s="281">
        <v>25</v>
      </c>
      <c r="J42" s="281">
        <v>10</v>
      </c>
      <c r="K42" s="281">
        <f t="shared" si="1"/>
        <v>7.6129596415020657</v>
      </c>
    </row>
    <row r="43" spans="1:11" x14ac:dyDescent="0.2">
      <c r="A43" s="281" t="s">
        <v>213</v>
      </c>
      <c r="B43" s="281">
        <v>1.752284781993212E-2</v>
      </c>
      <c r="C43" s="281">
        <v>30382</v>
      </c>
      <c r="D43" s="281">
        <v>4941</v>
      </c>
      <c r="E43" s="281">
        <v>0</v>
      </c>
      <c r="F43" s="281">
        <v>3716</v>
      </c>
      <c r="G43" s="281">
        <v>872</v>
      </c>
      <c r="H43" s="281">
        <v>136</v>
      </c>
      <c r="I43" s="281">
        <v>0</v>
      </c>
      <c r="J43" s="281">
        <v>80</v>
      </c>
      <c r="K43" s="281">
        <f t="shared" si="1"/>
        <v>684.07445604232998</v>
      </c>
    </row>
    <row r="44" spans="1:11" x14ac:dyDescent="0.2">
      <c r="A44" s="281" t="s">
        <v>215</v>
      </c>
      <c r="B44" s="281">
        <v>0.05</v>
      </c>
      <c r="C44" s="281">
        <v>95691</v>
      </c>
      <c r="D44" s="281">
        <v>85934</v>
      </c>
      <c r="E44" s="281">
        <v>4258</v>
      </c>
      <c r="F44" s="281">
        <v>3399</v>
      </c>
      <c r="G44" s="281">
        <v>4125</v>
      </c>
      <c r="H44" s="281">
        <v>450</v>
      </c>
      <c r="I44" s="281">
        <v>511</v>
      </c>
      <c r="J44" s="281">
        <v>2331</v>
      </c>
      <c r="K44" s="281">
        <f t="shared" si="1"/>
        <v>9464.1</v>
      </c>
    </row>
    <row r="45" spans="1:11" x14ac:dyDescent="0.2">
      <c r="A45" s="281" t="s">
        <v>331</v>
      </c>
      <c r="B45" s="281">
        <v>1.8437200258924681E-2</v>
      </c>
      <c r="C45" s="281">
        <v>2356</v>
      </c>
      <c r="D45" s="281">
        <v>6340</v>
      </c>
      <c r="E45" s="281">
        <v>0</v>
      </c>
      <c r="F45" s="281">
        <v>780</v>
      </c>
      <c r="G45" s="281">
        <v>73</v>
      </c>
      <c r="H45" s="281">
        <v>266</v>
      </c>
      <c r="I45" s="281">
        <v>0</v>
      </c>
      <c r="J45" s="281">
        <v>31</v>
      </c>
      <c r="K45" s="281">
        <f t="shared" si="1"/>
        <v>174.71090965357027</v>
      </c>
    </row>
    <row r="46" spans="1:11" x14ac:dyDescent="0.2">
      <c r="A46" s="281" t="s">
        <v>333</v>
      </c>
      <c r="B46" s="281">
        <v>3.0950768999972067E-2</v>
      </c>
      <c r="C46" s="281">
        <v>42955</v>
      </c>
      <c r="D46" s="281">
        <v>85816</v>
      </c>
      <c r="E46" s="281">
        <v>4113</v>
      </c>
      <c r="F46" s="281">
        <v>7353</v>
      </c>
      <c r="G46" s="281">
        <v>1700</v>
      </c>
      <c r="H46" s="281">
        <v>1400</v>
      </c>
      <c r="I46" s="281">
        <v>171</v>
      </c>
      <c r="J46" s="281">
        <v>337</v>
      </c>
      <c r="K46" s="281">
        <f t="shared" si="1"/>
        <v>4340.4429922490826</v>
      </c>
    </row>
    <row r="47" spans="1:11" x14ac:dyDescent="0.2">
      <c r="A47" s="281" t="s">
        <v>335</v>
      </c>
      <c r="B47" s="281">
        <v>0.05</v>
      </c>
      <c r="C47" s="281">
        <v>360343</v>
      </c>
      <c r="D47" s="281">
        <v>1105021</v>
      </c>
      <c r="E47" s="281">
        <v>25206</v>
      </c>
      <c r="F47" s="281">
        <v>54941</v>
      </c>
      <c r="G47" s="281">
        <v>9563</v>
      </c>
      <c r="H47" s="281">
        <v>35742</v>
      </c>
      <c r="I47" s="281">
        <v>633</v>
      </c>
      <c r="J47" s="281">
        <v>2281</v>
      </c>
      <c r="K47" s="281">
        <f t="shared" si="1"/>
        <v>77275.55</v>
      </c>
    </row>
    <row r="48" spans="1:11" x14ac:dyDescent="0.2">
      <c r="A48" s="281" t="s">
        <v>271</v>
      </c>
      <c r="B48" s="281">
        <v>0</v>
      </c>
      <c r="C48" s="281">
        <v>221</v>
      </c>
      <c r="D48" s="281">
        <v>536</v>
      </c>
      <c r="E48" s="281">
        <v>184</v>
      </c>
      <c r="F48" s="281">
        <v>231</v>
      </c>
      <c r="G48" s="281">
        <v>9</v>
      </c>
      <c r="H48" s="281">
        <v>38</v>
      </c>
      <c r="I48" s="281">
        <v>45</v>
      </c>
      <c r="J48" s="281">
        <v>5</v>
      </c>
      <c r="K48" s="281">
        <f t="shared" si="1"/>
        <v>0</v>
      </c>
    </row>
    <row r="49" spans="1:11" x14ac:dyDescent="0.2">
      <c r="A49" s="281" t="s">
        <v>217</v>
      </c>
      <c r="B49" s="281">
        <v>4.000841498807149E-3</v>
      </c>
      <c r="C49" s="281">
        <v>79</v>
      </c>
      <c r="D49" s="281">
        <v>8</v>
      </c>
      <c r="E49" s="281">
        <v>27</v>
      </c>
      <c r="F49" s="281">
        <v>19</v>
      </c>
      <c r="G49" s="281">
        <v>3</v>
      </c>
      <c r="H49" s="281">
        <v>1</v>
      </c>
      <c r="I49" s="281">
        <v>3</v>
      </c>
      <c r="J49" s="281">
        <v>2</v>
      </c>
      <c r="K49" s="281">
        <f t="shared" si="1"/>
        <v>0.53211191934135083</v>
      </c>
    </row>
    <row r="50" spans="1:11" x14ac:dyDescent="0.2">
      <c r="A50" s="281" t="s">
        <v>337</v>
      </c>
      <c r="B50" s="281">
        <v>3.9280443857250699E-2</v>
      </c>
      <c r="C50" s="281">
        <v>24470</v>
      </c>
      <c r="D50" s="281">
        <v>58917</v>
      </c>
      <c r="E50" s="281">
        <v>2199</v>
      </c>
      <c r="F50" s="281">
        <v>3152</v>
      </c>
      <c r="G50" s="281">
        <v>1335</v>
      </c>
      <c r="H50" s="281">
        <v>2587</v>
      </c>
      <c r="I50" s="281">
        <v>335</v>
      </c>
      <c r="J50" s="281">
        <v>238</v>
      </c>
      <c r="K50" s="281">
        <f t="shared" si="1"/>
        <v>3485.6680270047127</v>
      </c>
    </row>
    <row r="51" spans="1:11" x14ac:dyDescent="0.2">
      <c r="A51" s="281" t="s">
        <v>219</v>
      </c>
      <c r="B51" s="281">
        <v>5.7669407425843047E-3</v>
      </c>
      <c r="C51" s="281">
        <v>15334</v>
      </c>
      <c r="D51" s="281">
        <v>6346</v>
      </c>
      <c r="E51" s="281">
        <v>4078</v>
      </c>
      <c r="F51" s="281">
        <v>4264</v>
      </c>
      <c r="G51" s="281">
        <v>647</v>
      </c>
      <c r="H51" s="281">
        <v>1641</v>
      </c>
      <c r="I51" s="281">
        <v>480</v>
      </c>
      <c r="J51" s="281">
        <v>366</v>
      </c>
      <c r="K51" s="281">
        <f t="shared" si="1"/>
        <v>173.13509497386599</v>
      </c>
    </row>
    <row r="52" spans="1:11" x14ac:dyDescent="0.2">
      <c r="A52" s="281" t="s">
        <v>117</v>
      </c>
      <c r="B52" s="281">
        <v>8.3690591211355147E-3</v>
      </c>
      <c r="C52" s="281">
        <v>75445</v>
      </c>
      <c r="D52" s="281">
        <v>58618</v>
      </c>
      <c r="E52" s="281">
        <v>9298</v>
      </c>
      <c r="F52" s="281">
        <v>19543</v>
      </c>
      <c r="G52" s="281">
        <v>3137</v>
      </c>
      <c r="H52" s="281">
        <v>4131</v>
      </c>
      <c r="I52" s="281">
        <v>880</v>
      </c>
      <c r="J52" s="281">
        <v>1773</v>
      </c>
      <c r="K52" s="281">
        <f t="shared" si="1"/>
        <v>1363.3532070694598</v>
      </c>
    </row>
    <row r="53" spans="1:11" x14ac:dyDescent="0.2">
      <c r="A53" s="281" t="s">
        <v>221</v>
      </c>
      <c r="B53" s="281">
        <v>1.1931967055210171E-2</v>
      </c>
      <c r="C53" s="281">
        <v>39133</v>
      </c>
      <c r="D53" s="281">
        <v>44171</v>
      </c>
      <c r="E53" s="281">
        <v>0</v>
      </c>
      <c r="F53" s="281">
        <v>732</v>
      </c>
      <c r="G53" s="281">
        <v>1639</v>
      </c>
      <c r="H53" s="281">
        <v>3135</v>
      </c>
      <c r="I53" s="281">
        <v>0</v>
      </c>
      <c r="J53" s="281">
        <v>926</v>
      </c>
      <c r="K53" s="281">
        <f t="shared" si="1"/>
        <v>1002.714783451642</v>
      </c>
    </row>
    <row r="54" spans="1:11" x14ac:dyDescent="0.2">
      <c r="A54" s="281" t="s">
        <v>273</v>
      </c>
      <c r="B54" s="281">
        <v>5.3089891945924256E-3</v>
      </c>
      <c r="C54" s="281">
        <v>46281</v>
      </c>
      <c r="D54" s="281">
        <v>197159</v>
      </c>
      <c r="E54" s="281">
        <v>0</v>
      </c>
      <c r="F54" s="281">
        <v>46814</v>
      </c>
      <c r="G54" s="281">
        <v>1923</v>
      </c>
      <c r="H54" s="281">
        <v>13883</v>
      </c>
      <c r="I54" s="281">
        <v>0</v>
      </c>
      <c r="J54" s="281">
        <v>1087</v>
      </c>
      <c r="K54" s="281">
        <f t="shared" si="1"/>
        <v>1540.95534968723</v>
      </c>
    </row>
    <row r="55" spans="1:11" x14ac:dyDescent="0.2">
      <c r="A55" s="281" t="s">
        <v>120</v>
      </c>
      <c r="B55" s="281">
        <v>0</v>
      </c>
      <c r="C55" s="281">
        <v>223</v>
      </c>
      <c r="D55" s="281">
        <v>5106</v>
      </c>
      <c r="E55" s="281">
        <v>0</v>
      </c>
      <c r="F55" s="281">
        <v>22</v>
      </c>
      <c r="G55" s="281">
        <v>18</v>
      </c>
      <c r="H55" s="281">
        <v>560</v>
      </c>
      <c r="I55" s="281">
        <v>0</v>
      </c>
      <c r="J55" s="281">
        <v>5</v>
      </c>
      <c r="K55" s="281">
        <f t="shared" si="1"/>
        <v>0</v>
      </c>
    </row>
    <row r="56" spans="1:11" x14ac:dyDescent="0.2">
      <c r="A56" s="281" t="s">
        <v>339</v>
      </c>
      <c r="B56" s="281">
        <v>3.6712642985388975E-2</v>
      </c>
      <c r="C56" s="281">
        <v>345930</v>
      </c>
      <c r="D56" s="281">
        <v>274955</v>
      </c>
      <c r="E56" s="281">
        <v>9247</v>
      </c>
      <c r="F56" s="281">
        <v>55698</v>
      </c>
      <c r="G56" s="281">
        <v>6664</v>
      </c>
      <c r="H56" s="281">
        <v>9936</v>
      </c>
      <c r="I56" s="281">
        <v>364</v>
      </c>
      <c r="J56" s="281">
        <v>2515</v>
      </c>
      <c r="K56" s="281">
        <f t="shared" si="1"/>
        <v>25178.631938669321</v>
      </c>
    </row>
    <row r="57" spans="1:11" x14ac:dyDescent="0.2">
      <c r="A57" s="281" t="s">
        <v>341</v>
      </c>
      <c r="B57" s="281">
        <v>2.4847335033580456E-2</v>
      </c>
      <c r="C57" s="281">
        <v>4594</v>
      </c>
      <c r="D57" s="281">
        <v>8340</v>
      </c>
      <c r="E57" s="281">
        <v>457</v>
      </c>
      <c r="F57" s="281">
        <v>958</v>
      </c>
      <c r="G57" s="281">
        <v>138</v>
      </c>
      <c r="H57" s="281">
        <v>383</v>
      </c>
      <c r="I57" s="281">
        <v>32</v>
      </c>
      <c r="J57" s="281">
        <v>53</v>
      </c>
      <c r="K57" s="281">
        <f t="shared" si="1"/>
        <v>356.53441039684594</v>
      </c>
    </row>
    <row r="58" spans="1:11" x14ac:dyDescent="0.2">
      <c r="A58" s="281" t="s">
        <v>122</v>
      </c>
      <c r="B58" s="281">
        <v>0</v>
      </c>
      <c r="C58" s="281">
        <v>8854</v>
      </c>
      <c r="D58" s="281">
        <v>65152</v>
      </c>
      <c r="E58" s="281">
        <v>17043</v>
      </c>
      <c r="F58" s="281">
        <v>4121</v>
      </c>
      <c r="G58" s="281">
        <v>699</v>
      </c>
      <c r="H58" s="281">
        <v>6913</v>
      </c>
      <c r="I58" s="281">
        <v>2106</v>
      </c>
      <c r="J58" s="281">
        <v>175</v>
      </c>
      <c r="K58" s="281">
        <f t="shared" si="1"/>
        <v>0</v>
      </c>
    </row>
    <row r="59" spans="1:11" x14ac:dyDescent="0.2">
      <c r="A59" s="281" t="s">
        <v>343</v>
      </c>
      <c r="B59" s="281">
        <v>0.05</v>
      </c>
      <c r="C59" s="281">
        <v>25711</v>
      </c>
      <c r="D59" s="281">
        <v>75276</v>
      </c>
      <c r="E59" s="281">
        <v>7234</v>
      </c>
      <c r="F59" s="281">
        <v>10663</v>
      </c>
      <c r="G59" s="281">
        <v>645</v>
      </c>
      <c r="H59" s="281">
        <v>4731</v>
      </c>
      <c r="I59" s="281">
        <v>228</v>
      </c>
      <c r="J59" s="281">
        <v>400</v>
      </c>
      <c r="K59" s="281">
        <f t="shared" si="1"/>
        <v>5944.2000000000007</v>
      </c>
    </row>
    <row r="60" spans="1:11" x14ac:dyDescent="0.2">
      <c r="A60" s="281" t="s">
        <v>450</v>
      </c>
      <c r="B60" s="281">
        <v>9.6855656171820764E-3</v>
      </c>
      <c r="C60" s="281">
        <v>771</v>
      </c>
      <c r="D60" s="281">
        <v>3026</v>
      </c>
      <c r="E60" s="281">
        <v>337</v>
      </c>
      <c r="F60" s="281">
        <v>98</v>
      </c>
      <c r="G60" s="281">
        <v>33</v>
      </c>
      <c r="H60" s="281">
        <v>218</v>
      </c>
      <c r="I60" s="281">
        <v>42</v>
      </c>
      <c r="J60" s="281">
        <v>19</v>
      </c>
      <c r="K60" s="281">
        <f t="shared" si="1"/>
        <v>40.989313691914546</v>
      </c>
    </row>
    <row r="61" spans="1:11" x14ac:dyDescent="0.2">
      <c r="A61" s="281" t="s">
        <v>345</v>
      </c>
      <c r="B61" s="281">
        <v>4.608482858793727E-2</v>
      </c>
      <c r="C61" s="281">
        <v>426461</v>
      </c>
      <c r="D61" s="281">
        <v>725612</v>
      </c>
      <c r="E61" s="281">
        <v>23009</v>
      </c>
      <c r="F61" s="281">
        <v>69436</v>
      </c>
      <c r="G61" s="281">
        <v>7252</v>
      </c>
      <c r="H61" s="281">
        <v>27076</v>
      </c>
      <c r="I61" s="281">
        <v>834</v>
      </c>
      <c r="J61" s="281">
        <v>2911</v>
      </c>
      <c r="K61" s="281">
        <f t="shared" si="1"/>
        <v>57353.398704602514</v>
      </c>
    </row>
    <row r="62" spans="1:11" x14ac:dyDescent="0.2">
      <c r="A62" s="281" t="s">
        <v>452</v>
      </c>
      <c r="B62" s="281">
        <v>0</v>
      </c>
      <c r="C62" s="281">
        <v>22</v>
      </c>
      <c r="D62" s="281">
        <v>235</v>
      </c>
      <c r="E62" s="281">
        <v>0</v>
      </c>
      <c r="F62" s="281">
        <v>35</v>
      </c>
      <c r="G62" s="281">
        <v>1</v>
      </c>
      <c r="H62" s="281">
        <v>17</v>
      </c>
      <c r="I62" s="281">
        <v>0</v>
      </c>
      <c r="J62" s="281">
        <v>1</v>
      </c>
      <c r="K62" s="281">
        <f t="shared" si="1"/>
        <v>0</v>
      </c>
    </row>
    <row r="63" spans="1:11" x14ac:dyDescent="0.2">
      <c r="A63" s="281" t="s">
        <v>124</v>
      </c>
      <c r="B63" s="281">
        <v>0</v>
      </c>
      <c r="C63" s="281">
        <v>1518</v>
      </c>
      <c r="D63" s="281">
        <v>5767</v>
      </c>
      <c r="E63" s="281">
        <v>790</v>
      </c>
      <c r="F63" s="281">
        <v>130</v>
      </c>
      <c r="G63" s="281">
        <v>57</v>
      </c>
      <c r="H63" s="281">
        <v>270</v>
      </c>
      <c r="I63" s="281">
        <v>61</v>
      </c>
      <c r="J63" s="281">
        <v>13</v>
      </c>
      <c r="K63" s="281">
        <f t="shared" si="1"/>
        <v>0</v>
      </c>
    </row>
    <row r="64" spans="1:11" x14ac:dyDescent="0.2">
      <c r="A64" s="281" t="s">
        <v>347</v>
      </c>
      <c r="B64" s="281">
        <v>3.9394486229000561E-2</v>
      </c>
      <c r="C64" s="281">
        <v>381495</v>
      </c>
      <c r="D64" s="281">
        <v>523258</v>
      </c>
      <c r="E64" s="281">
        <v>31869</v>
      </c>
      <c r="F64" s="281">
        <v>60403</v>
      </c>
      <c r="G64" s="281">
        <v>8730</v>
      </c>
      <c r="H64" s="281">
        <v>29905</v>
      </c>
      <c r="I64" s="281">
        <v>2750</v>
      </c>
      <c r="J64" s="281">
        <v>3330</v>
      </c>
      <c r="K64" s="281">
        <f t="shared" si="1"/>
        <v>39277.287632469284</v>
      </c>
    </row>
    <row r="65" spans="1:11" x14ac:dyDescent="0.2">
      <c r="A65" s="281" t="s">
        <v>349</v>
      </c>
      <c r="B65" s="281">
        <v>2.5666548866220565E-2</v>
      </c>
      <c r="C65" s="281">
        <v>28403</v>
      </c>
      <c r="D65" s="281">
        <v>18377</v>
      </c>
      <c r="E65" s="281">
        <v>489</v>
      </c>
      <c r="F65" s="281">
        <v>394</v>
      </c>
      <c r="G65" s="281">
        <v>420</v>
      </c>
      <c r="H65" s="281">
        <v>9</v>
      </c>
      <c r="I65" s="281">
        <v>7</v>
      </c>
      <c r="J65" s="281">
        <v>488</v>
      </c>
      <c r="K65" s="281">
        <f t="shared" si="1"/>
        <v>1223.3447186106707</v>
      </c>
    </row>
    <row r="66" spans="1:11" x14ac:dyDescent="0.2">
      <c r="A66" s="281" t="s">
        <v>126</v>
      </c>
      <c r="B66" s="281">
        <v>0</v>
      </c>
      <c r="C66" s="281">
        <v>2979</v>
      </c>
      <c r="D66" s="281">
        <v>130365</v>
      </c>
      <c r="E66" s="281">
        <v>10937</v>
      </c>
      <c r="F66" s="281">
        <v>767</v>
      </c>
      <c r="G66" s="281">
        <v>238</v>
      </c>
      <c r="H66" s="281">
        <v>13078</v>
      </c>
      <c r="I66" s="281">
        <v>1428</v>
      </c>
      <c r="J66" s="281">
        <v>60</v>
      </c>
      <c r="K66" s="281">
        <f t="shared" ref="K66:K97" si="2">B66*SUM(C66:F66)</f>
        <v>0</v>
      </c>
    </row>
    <row r="67" spans="1:11" x14ac:dyDescent="0.2">
      <c r="A67" s="281" t="s">
        <v>128</v>
      </c>
      <c r="B67" s="281">
        <v>0</v>
      </c>
      <c r="C67" s="281">
        <v>1097</v>
      </c>
      <c r="D67" s="281">
        <v>1134</v>
      </c>
      <c r="E67" s="281">
        <v>497</v>
      </c>
      <c r="F67" s="281">
        <v>120</v>
      </c>
      <c r="G67" s="281">
        <v>86</v>
      </c>
      <c r="H67" s="281">
        <v>120</v>
      </c>
      <c r="I67" s="281">
        <v>64</v>
      </c>
      <c r="J67" s="281">
        <v>22</v>
      </c>
      <c r="K67" s="281">
        <f t="shared" si="2"/>
        <v>0</v>
      </c>
    </row>
    <row r="68" spans="1:11" x14ac:dyDescent="0.2">
      <c r="A68" s="281" t="s">
        <v>130</v>
      </c>
      <c r="B68" s="281">
        <v>0</v>
      </c>
      <c r="C68" s="281">
        <v>275</v>
      </c>
      <c r="D68" s="281">
        <v>1230</v>
      </c>
      <c r="E68" s="281">
        <v>461</v>
      </c>
      <c r="F68" s="281">
        <v>6</v>
      </c>
      <c r="G68" s="281">
        <v>22</v>
      </c>
      <c r="H68" s="281">
        <v>125</v>
      </c>
      <c r="I68" s="281">
        <v>59</v>
      </c>
      <c r="J68" s="281">
        <v>6</v>
      </c>
      <c r="K68" s="281">
        <f t="shared" si="2"/>
        <v>0</v>
      </c>
    </row>
    <row r="69" spans="1:11" x14ac:dyDescent="0.2">
      <c r="A69" s="281" t="s">
        <v>132</v>
      </c>
      <c r="B69" s="281">
        <v>0</v>
      </c>
      <c r="C69" s="281">
        <v>251</v>
      </c>
      <c r="D69" s="281">
        <v>1348</v>
      </c>
      <c r="E69" s="281">
        <v>0</v>
      </c>
      <c r="F69" s="281">
        <v>6</v>
      </c>
      <c r="G69" s="281">
        <v>20</v>
      </c>
      <c r="H69" s="281">
        <v>144</v>
      </c>
      <c r="I69" s="281">
        <v>0</v>
      </c>
      <c r="J69" s="281">
        <v>5</v>
      </c>
      <c r="K69" s="281">
        <f t="shared" si="2"/>
        <v>0</v>
      </c>
    </row>
    <row r="70" spans="1:11" x14ac:dyDescent="0.2">
      <c r="A70" s="281" t="s">
        <v>134</v>
      </c>
      <c r="B70" s="281">
        <v>0</v>
      </c>
      <c r="C70" s="281">
        <v>564</v>
      </c>
      <c r="D70" s="281">
        <v>705</v>
      </c>
      <c r="E70" s="281">
        <v>0</v>
      </c>
      <c r="F70" s="281">
        <v>23</v>
      </c>
      <c r="G70" s="281">
        <v>21</v>
      </c>
      <c r="H70" s="281">
        <v>32</v>
      </c>
      <c r="I70" s="281">
        <v>0</v>
      </c>
      <c r="J70" s="281">
        <v>5</v>
      </c>
      <c r="K70" s="281">
        <f t="shared" si="2"/>
        <v>0</v>
      </c>
    </row>
    <row r="71" spans="1:11" x14ac:dyDescent="0.2">
      <c r="A71" s="281" t="s">
        <v>351</v>
      </c>
      <c r="B71" s="281">
        <v>2.4489201140964541E-2</v>
      </c>
      <c r="C71" s="281">
        <v>65033</v>
      </c>
      <c r="D71" s="281">
        <v>35853</v>
      </c>
      <c r="E71" s="281">
        <v>2813</v>
      </c>
      <c r="F71" s="281">
        <v>10818</v>
      </c>
      <c r="G71" s="281">
        <v>1334</v>
      </c>
      <c r="H71" s="281">
        <v>8772</v>
      </c>
      <c r="I71" s="281">
        <v>275</v>
      </c>
      <c r="J71" s="281">
        <v>329</v>
      </c>
      <c r="K71" s="281">
        <f t="shared" si="2"/>
        <v>2804.4298470598364</v>
      </c>
    </row>
    <row r="72" spans="1:11" x14ac:dyDescent="0.2">
      <c r="A72" s="281" t="s">
        <v>223</v>
      </c>
      <c r="B72" s="281">
        <v>1.9606928395004036E-2</v>
      </c>
      <c r="C72" s="281">
        <v>162</v>
      </c>
      <c r="D72" s="281">
        <v>729</v>
      </c>
      <c r="E72" s="281">
        <v>43</v>
      </c>
      <c r="F72" s="281">
        <v>77</v>
      </c>
      <c r="G72" s="281">
        <v>6</v>
      </c>
      <c r="H72" s="281">
        <v>36</v>
      </c>
      <c r="I72" s="281">
        <v>3</v>
      </c>
      <c r="J72" s="281">
        <v>1</v>
      </c>
      <c r="K72" s="281">
        <f t="shared" si="2"/>
        <v>19.822604607349081</v>
      </c>
    </row>
    <row r="73" spans="1:11" x14ac:dyDescent="0.2">
      <c r="A73" s="281" t="s">
        <v>225</v>
      </c>
      <c r="B73" s="281">
        <v>3.6432709826868326E-3</v>
      </c>
      <c r="C73" s="281">
        <v>6377</v>
      </c>
      <c r="D73" s="281">
        <v>23048</v>
      </c>
      <c r="E73" s="281">
        <v>6736</v>
      </c>
      <c r="F73" s="281">
        <v>71</v>
      </c>
      <c r="G73" s="281">
        <v>264</v>
      </c>
      <c r="H73" s="281">
        <v>356</v>
      </c>
      <c r="I73" s="281">
        <v>15</v>
      </c>
      <c r="J73" s="281">
        <v>149</v>
      </c>
      <c r="K73" s="281">
        <f t="shared" si="2"/>
        <v>132.00299424470933</v>
      </c>
    </row>
    <row r="74" spans="1:11" x14ac:dyDescent="0.2">
      <c r="A74" s="281" t="s">
        <v>227</v>
      </c>
      <c r="B74" s="281">
        <v>7.0373794388570114E-3</v>
      </c>
      <c r="C74" s="281">
        <v>1431</v>
      </c>
      <c r="D74" s="281">
        <v>832</v>
      </c>
      <c r="E74" s="281">
        <v>80</v>
      </c>
      <c r="F74" s="281">
        <v>7</v>
      </c>
      <c r="G74" s="281">
        <v>61</v>
      </c>
      <c r="H74" s="281">
        <v>225</v>
      </c>
      <c r="I74" s="281">
        <v>10</v>
      </c>
      <c r="J74" s="281">
        <v>34</v>
      </c>
      <c r="K74" s="281">
        <f t="shared" si="2"/>
        <v>16.537841681313978</v>
      </c>
    </row>
    <row r="75" spans="1:11" x14ac:dyDescent="0.2">
      <c r="A75" s="281" t="s">
        <v>229</v>
      </c>
      <c r="B75" s="281">
        <v>2.2134678236305251E-3</v>
      </c>
      <c r="C75" s="281">
        <v>3060</v>
      </c>
      <c r="D75" s="281">
        <v>7217</v>
      </c>
      <c r="E75" s="281">
        <v>0</v>
      </c>
      <c r="F75" s="281">
        <v>529</v>
      </c>
      <c r="G75" s="281">
        <v>128</v>
      </c>
      <c r="H75" s="281">
        <v>512</v>
      </c>
      <c r="I75" s="281">
        <v>0</v>
      </c>
      <c r="J75" s="281">
        <v>72</v>
      </c>
      <c r="K75" s="281">
        <f t="shared" si="2"/>
        <v>23.918733302151455</v>
      </c>
    </row>
    <row r="76" spans="1:11" x14ac:dyDescent="0.2">
      <c r="A76" s="281" t="s">
        <v>353</v>
      </c>
      <c r="B76" s="281">
        <v>2.5916210489908182E-2</v>
      </c>
      <c r="C76" s="281">
        <v>12314</v>
      </c>
      <c r="D76" s="281">
        <v>33345</v>
      </c>
      <c r="E76" s="281">
        <v>0</v>
      </c>
      <c r="F76" s="281">
        <v>2950</v>
      </c>
      <c r="G76" s="281">
        <v>513</v>
      </c>
      <c r="H76" s="281">
        <v>977</v>
      </c>
      <c r="I76" s="281">
        <v>0</v>
      </c>
      <c r="J76" s="281">
        <v>190</v>
      </c>
      <c r="K76" s="281">
        <f t="shared" si="2"/>
        <v>1259.7610757039467</v>
      </c>
    </row>
    <row r="77" spans="1:11" x14ac:dyDescent="0.2">
      <c r="A77" s="281" t="s">
        <v>231</v>
      </c>
      <c r="B77" s="281">
        <v>0</v>
      </c>
      <c r="C77" s="281">
        <v>2677</v>
      </c>
      <c r="D77" s="281">
        <v>4342</v>
      </c>
      <c r="E77" s="281">
        <v>202</v>
      </c>
      <c r="F77" s="281">
        <v>345</v>
      </c>
      <c r="G77" s="281">
        <v>217</v>
      </c>
      <c r="H77" s="281">
        <v>473</v>
      </c>
      <c r="I77" s="281">
        <v>27</v>
      </c>
      <c r="J77" s="281">
        <v>54</v>
      </c>
      <c r="K77" s="281">
        <f t="shared" si="2"/>
        <v>0</v>
      </c>
    </row>
    <row r="78" spans="1:11" x14ac:dyDescent="0.2">
      <c r="A78" s="281" t="s">
        <v>355</v>
      </c>
      <c r="B78" s="281">
        <v>2.5681433624256018E-2</v>
      </c>
      <c r="C78" s="281">
        <v>32917</v>
      </c>
      <c r="D78" s="281">
        <v>64381</v>
      </c>
      <c r="E78" s="281">
        <v>4854</v>
      </c>
      <c r="F78" s="281">
        <v>7804</v>
      </c>
      <c r="G78" s="281">
        <v>1560</v>
      </c>
      <c r="H78" s="281">
        <v>2632</v>
      </c>
      <c r="I78" s="281">
        <v>116</v>
      </c>
      <c r="J78" s="281">
        <v>356</v>
      </c>
      <c r="K78" s="281">
        <f t="shared" si="2"/>
        <v>2823.8277155886949</v>
      </c>
    </row>
    <row r="79" spans="1:11" x14ac:dyDescent="0.2">
      <c r="A79" s="281" t="s">
        <v>422</v>
      </c>
      <c r="B79" s="281">
        <v>7.6185265478203243E-3</v>
      </c>
      <c r="C79" s="281">
        <v>116626</v>
      </c>
      <c r="D79" s="281">
        <v>755978</v>
      </c>
      <c r="E79" s="281">
        <v>241328</v>
      </c>
      <c r="F79" s="281">
        <v>23281</v>
      </c>
      <c r="G79" s="281">
        <v>4937</v>
      </c>
      <c r="H79" s="281">
        <v>179774</v>
      </c>
      <c r="I79" s="281">
        <v>113771</v>
      </c>
      <c r="J79" s="281">
        <v>9070</v>
      </c>
      <c r="K79" s="281">
        <f t="shared" si="2"/>
        <v>8663.8874310263946</v>
      </c>
    </row>
    <row r="80" spans="1:11" x14ac:dyDescent="0.2">
      <c r="A80" s="281" t="s">
        <v>425</v>
      </c>
      <c r="B80" s="281">
        <v>4.3637963404949617E-3</v>
      </c>
      <c r="C80" s="281">
        <v>948060</v>
      </c>
      <c r="D80" s="281">
        <v>2388127</v>
      </c>
      <c r="E80" s="281">
        <v>0</v>
      </c>
      <c r="F80" s="281">
        <v>1226178</v>
      </c>
      <c r="G80" s="281">
        <v>127846</v>
      </c>
      <c r="H80" s="281">
        <v>322827</v>
      </c>
      <c r="I80" s="281">
        <v>0</v>
      </c>
      <c r="J80" s="281">
        <v>342258</v>
      </c>
      <c r="K80" s="281">
        <f t="shared" si="2"/>
        <v>19909.231691002296</v>
      </c>
    </row>
    <row r="81" spans="1:11" x14ac:dyDescent="0.2">
      <c r="A81" s="281" t="s">
        <v>357</v>
      </c>
      <c r="B81" s="281">
        <v>4.0717496296265206E-2</v>
      </c>
      <c r="C81" s="281">
        <v>16356</v>
      </c>
      <c r="D81" s="281">
        <v>64250</v>
      </c>
      <c r="E81" s="281">
        <v>0</v>
      </c>
      <c r="F81" s="281">
        <v>6200</v>
      </c>
      <c r="G81" s="281">
        <v>1224</v>
      </c>
      <c r="H81" s="281">
        <v>1702</v>
      </c>
      <c r="I81" s="281">
        <v>0</v>
      </c>
      <c r="J81" s="281">
        <v>167</v>
      </c>
      <c r="K81" s="281">
        <f t="shared" si="2"/>
        <v>3534.5229834935976</v>
      </c>
    </row>
    <row r="82" spans="1:11" x14ac:dyDescent="0.2">
      <c r="A82" s="281" t="s">
        <v>275</v>
      </c>
      <c r="B82" s="281">
        <v>8.6510189620437553E-3</v>
      </c>
      <c r="C82" s="281">
        <v>133079</v>
      </c>
      <c r="D82" s="281">
        <v>137240</v>
      </c>
      <c r="E82" s="281">
        <v>37182</v>
      </c>
      <c r="F82" s="281">
        <v>24643</v>
      </c>
      <c r="G82" s="281">
        <v>6261</v>
      </c>
      <c r="H82" s="281">
        <v>9445</v>
      </c>
      <c r="I82" s="281">
        <v>2228</v>
      </c>
      <c r="J82" s="281">
        <v>1037</v>
      </c>
      <c r="K82" s="281">
        <f t="shared" si="2"/>
        <v>2873.3840421290611</v>
      </c>
    </row>
    <row r="83" spans="1:11" x14ac:dyDescent="0.2">
      <c r="A83" s="281" t="s">
        <v>277</v>
      </c>
      <c r="B83" s="281">
        <v>5.5156884677445492E-3</v>
      </c>
      <c r="C83" s="281">
        <v>28499</v>
      </c>
      <c r="D83" s="281">
        <v>82318</v>
      </c>
      <c r="E83" s="281">
        <v>0</v>
      </c>
      <c r="F83" s="281">
        <v>13148</v>
      </c>
      <c r="G83" s="281">
        <v>2631</v>
      </c>
      <c r="H83" s="281">
        <v>5755</v>
      </c>
      <c r="I83" s="281">
        <v>0</v>
      </c>
      <c r="J83" s="281">
        <v>10939</v>
      </c>
      <c r="K83" s="281">
        <f t="shared" si="2"/>
        <v>683.75232090395309</v>
      </c>
    </row>
    <row r="84" spans="1:11" x14ac:dyDescent="0.2">
      <c r="A84" s="281" t="s">
        <v>359</v>
      </c>
      <c r="B84" s="281">
        <v>0.05</v>
      </c>
      <c r="C84" s="281">
        <v>1391</v>
      </c>
      <c r="D84" s="281">
        <v>5407</v>
      </c>
      <c r="E84" s="281">
        <v>289</v>
      </c>
      <c r="F84" s="281">
        <v>184</v>
      </c>
      <c r="G84" s="281">
        <v>48</v>
      </c>
      <c r="H84" s="281">
        <v>113</v>
      </c>
      <c r="I84" s="281">
        <v>10</v>
      </c>
      <c r="J84" s="281">
        <v>22</v>
      </c>
      <c r="K84" s="281">
        <f t="shared" si="2"/>
        <v>363.55</v>
      </c>
    </row>
    <row r="85" spans="1:11" x14ac:dyDescent="0.2">
      <c r="A85" s="281" t="s">
        <v>361</v>
      </c>
      <c r="B85" s="281">
        <v>3.3713560610766559E-2</v>
      </c>
      <c r="C85" s="281">
        <v>60107</v>
      </c>
      <c r="D85" s="281">
        <v>46161</v>
      </c>
      <c r="E85" s="281">
        <v>2162</v>
      </c>
      <c r="F85" s="281">
        <v>7952</v>
      </c>
      <c r="G85" s="281">
        <v>658</v>
      </c>
      <c r="H85" s="281">
        <v>2395</v>
      </c>
      <c r="I85" s="281">
        <v>165</v>
      </c>
      <c r="J85" s="281">
        <v>138</v>
      </c>
      <c r="K85" s="281">
        <f t="shared" si="2"/>
        <v>3923.6516110022335</v>
      </c>
    </row>
    <row r="86" spans="1:11" x14ac:dyDescent="0.2">
      <c r="A86" s="281" t="s">
        <v>363</v>
      </c>
      <c r="B86" s="281">
        <v>3.7497185238251934E-2</v>
      </c>
      <c r="C86" s="281">
        <v>479506</v>
      </c>
      <c r="D86" s="281">
        <v>346156</v>
      </c>
      <c r="E86" s="281">
        <v>16769</v>
      </c>
      <c r="F86" s="281">
        <v>71789</v>
      </c>
      <c r="G86" s="281">
        <v>9120</v>
      </c>
      <c r="H86" s="281">
        <v>11455</v>
      </c>
      <c r="I86" s="281">
        <v>816</v>
      </c>
      <c r="J86" s="281">
        <v>3380</v>
      </c>
      <c r="K86" s="281">
        <f t="shared" si="2"/>
        <v>34280.676688514686</v>
      </c>
    </row>
    <row r="87" spans="1:11" x14ac:dyDescent="0.2">
      <c r="A87" s="281" t="s">
        <v>233</v>
      </c>
      <c r="B87" s="281">
        <v>4.826065289355785E-3</v>
      </c>
      <c r="C87" s="281">
        <v>3908</v>
      </c>
      <c r="D87" s="281">
        <v>2389</v>
      </c>
      <c r="E87" s="281">
        <v>402</v>
      </c>
      <c r="F87" s="281">
        <v>64</v>
      </c>
      <c r="G87" s="281">
        <v>167</v>
      </c>
      <c r="H87" s="281">
        <v>418</v>
      </c>
      <c r="I87" s="281">
        <v>185</v>
      </c>
      <c r="J87" s="281">
        <v>94</v>
      </c>
      <c r="K87" s="281">
        <f t="shared" si="2"/>
        <v>32.638679551913171</v>
      </c>
    </row>
    <row r="88" spans="1:11" x14ac:dyDescent="0.2">
      <c r="A88" s="281" t="s">
        <v>279</v>
      </c>
      <c r="B88" s="281">
        <v>1.2832695323987396E-2</v>
      </c>
      <c r="C88" s="281">
        <v>23709</v>
      </c>
      <c r="D88" s="281">
        <v>28785</v>
      </c>
      <c r="E88" s="281">
        <v>0</v>
      </c>
      <c r="F88" s="281">
        <v>16336</v>
      </c>
      <c r="G88" s="281">
        <v>1000</v>
      </c>
      <c r="H88" s="281">
        <v>1825</v>
      </c>
      <c r="I88" s="281">
        <v>0</v>
      </c>
      <c r="J88" s="281">
        <v>565</v>
      </c>
      <c r="K88" s="281">
        <f t="shared" si="2"/>
        <v>883.27441915005249</v>
      </c>
    </row>
    <row r="89" spans="1:11" x14ac:dyDescent="0.2">
      <c r="A89" s="281" t="s">
        <v>454</v>
      </c>
      <c r="B89" s="281">
        <v>0.05</v>
      </c>
      <c r="C89" s="281">
        <v>314106</v>
      </c>
      <c r="D89" s="281">
        <v>1539534</v>
      </c>
      <c r="E89" s="281">
        <v>68991</v>
      </c>
      <c r="F89" s="281">
        <v>239380</v>
      </c>
      <c r="G89" s="281">
        <v>9003</v>
      </c>
      <c r="H89" s="281">
        <v>65920</v>
      </c>
      <c r="I89" s="281">
        <v>1543</v>
      </c>
      <c r="J89" s="281">
        <v>12045</v>
      </c>
      <c r="K89" s="281">
        <f t="shared" si="2"/>
        <v>108100.55</v>
      </c>
    </row>
    <row r="90" spans="1:11" x14ac:dyDescent="0.2">
      <c r="A90" s="281" t="s">
        <v>365</v>
      </c>
      <c r="B90" s="281">
        <v>2.8092150807837665E-2</v>
      </c>
      <c r="C90" s="281">
        <v>74742</v>
      </c>
      <c r="D90" s="281">
        <v>126629</v>
      </c>
      <c r="E90" s="281">
        <v>10104</v>
      </c>
      <c r="F90" s="281">
        <v>15257</v>
      </c>
      <c r="G90" s="281">
        <v>3258</v>
      </c>
      <c r="H90" s="281">
        <v>9516</v>
      </c>
      <c r="I90" s="281">
        <v>1600</v>
      </c>
      <c r="J90" s="281">
        <v>227</v>
      </c>
      <c r="K90" s="281">
        <f t="shared" si="2"/>
        <v>6369.3895369626498</v>
      </c>
    </row>
    <row r="91" spans="1:11" x14ac:dyDescent="0.2">
      <c r="A91" s="281" t="s">
        <v>136</v>
      </c>
      <c r="B91" s="281">
        <v>2.3860313135886189E-3</v>
      </c>
      <c r="C91" s="281">
        <v>8413</v>
      </c>
      <c r="D91" s="281">
        <v>62664</v>
      </c>
      <c r="E91" s="281">
        <v>0</v>
      </c>
      <c r="F91" s="281">
        <v>1008</v>
      </c>
      <c r="G91" s="281">
        <v>669</v>
      </c>
      <c r="H91" s="281">
        <v>7120</v>
      </c>
      <c r="I91" s="281">
        <v>0</v>
      </c>
      <c r="J91" s="281">
        <v>168</v>
      </c>
      <c r="K91" s="281">
        <f t="shared" si="2"/>
        <v>171.99706724003559</v>
      </c>
    </row>
    <row r="92" spans="1:11" x14ac:dyDescent="0.2">
      <c r="A92" s="281" t="s">
        <v>367</v>
      </c>
      <c r="B92" s="281">
        <v>1.8740876588231568E-2</v>
      </c>
      <c r="C92" s="281">
        <v>14438</v>
      </c>
      <c r="D92" s="281">
        <v>36213</v>
      </c>
      <c r="E92" s="281">
        <v>2571</v>
      </c>
      <c r="F92" s="281">
        <v>270</v>
      </c>
      <c r="G92" s="281">
        <v>1687</v>
      </c>
      <c r="H92" s="281">
        <v>1753</v>
      </c>
      <c r="I92" s="281">
        <v>1162</v>
      </c>
      <c r="J92" s="281">
        <v>59</v>
      </c>
      <c r="K92" s="281">
        <f t="shared" si="2"/>
        <v>1002.486970457683</v>
      </c>
    </row>
    <row r="93" spans="1:11" x14ac:dyDescent="0.2">
      <c r="A93" s="281" t="s">
        <v>456</v>
      </c>
      <c r="B93" s="281">
        <v>1.7330121305945908E-3</v>
      </c>
      <c r="C93" s="281">
        <v>3217</v>
      </c>
      <c r="D93" s="281">
        <v>11497</v>
      </c>
      <c r="E93" s="281">
        <v>0</v>
      </c>
      <c r="F93" s="281">
        <v>575</v>
      </c>
      <c r="G93" s="281">
        <v>259</v>
      </c>
      <c r="H93" s="281">
        <v>1113</v>
      </c>
      <c r="I93" s="281">
        <v>0</v>
      </c>
      <c r="J93" s="281">
        <v>65</v>
      </c>
      <c r="K93" s="281">
        <f t="shared" si="2"/>
        <v>26.496022464660701</v>
      </c>
    </row>
    <row r="94" spans="1:11" x14ac:dyDescent="0.2">
      <c r="A94" s="281" t="s">
        <v>458</v>
      </c>
      <c r="B94" s="281">
        <v>0</v>
      </c>
      <c r="C94" s="281">
        <v>24</v>
      </c>
      <c r="D94" s="281">
        <v>458</v>
      </c>
      <c r="E94" s="281">
        <v>0</v>
      </c>
      <c r="F94" s="281">
        <v>3</v>
      </c>
      <c r="G94" s="281">
        <v>1</v>
      </c>
      <c r="H94" s="281">
        <v>33</v>
      </c>
      <c r="I94" s="281">
        <v>0</v>
      </c>
      <c r="J94" s="281">
        <v>1</v>
      </c>
      <c r="K94" s="281">
        <f t="shared" si="2"/>
        <v>0</v>
      </c>
    </row>
    <row r="95" spans="1:11" x14ac:dyDescent="0.2">
      <c r="A95" s="281" t="s">
        <v>235</v>
      </c>
      <c r="B95" s="281">
        <v>9.0686219392020744E-3</v>
      </c>
      <c r="C95" s="281">
        <v>147</v>
      </c>
      <c r="D95" s="281">
        <v>12</v>
      </c>
      <c r="E95" s="281">
        <v>20</v>
      </c>
      <c r="F95" s="281">
        <v>16</v>
      </c>
      <c r="G95" s="281">
        <v>6</v>
      </c>
      <c r="H95" s="281">
        <v>1</v>
      </c>
      <c r="I95" s="281">
        <v>2</v>
      </c>
      <c r="J95" s="281">
        <v>3</v>
      </c>
      <c r="K95" s="281">
        <f t="shared" si="2"/>
        <v>1.7683812781444046</v>
      </c>
    </row>
    <row r="96" spans="1:11" x14ac:dyDescent="0.2">
      <c r="A96" s="281" t="s">
        <v>460</v>
      </c>
      <c r="B96" s="281">
        <v>2.7848359938131447E-2</v>
      </c>
      <c r="C96" s="281">
        <v>123397</v>
      </c>
      <c r="D96" s="281">
        <v>374106</v>
      </c>
      <c r="E96" s="281">
        <v>8352</v>
      </c>
      <c r="F96" s="281">
        <v>37888</v>
      </c>
      <c r="G96" s="281">
        <v>3860</v>
      </c>
      <c r="H96" s="281">
        <v>53080</v>
      </c>
      <c r="I96" s="281">
        <v>453</v>
      </c>
      <c r="J96" s="281">
        <v>1942</v>
      </c>
      <c r="K96" s="281">
        <f t="shared" si="2"/>
        <v>15142.350777839407</v>
      </c>
    </row>
    <row r="97" spans="1:11" x14ac:dyDescent="0.2">
      <c r="A97" s="281" t="s">
        <v>281</v>
      </c>
      <c r="B97" s="281">
        <v>2.6285556423470958E-2</v>
      </c>
      <c r="C97" s="281">
        <v>11301</v>
      </c>
      <c r="D97" s="281">
        <v>31664</v>
      </c>
      <c r="E97" s="281">
        <v>2040</v>
      </c>
      <c r="F97" s="281">
        <v>2099</v>
      </c>
      <c r="G97" s="281">
        <v>345</v>
      </c>
      <c r="H97" s="281">
        <v>1551</v>
      </c>
      <c r="I97" s="281">
        <v>107</v>
      </c>
      <c r="J97" s="281">
        <v>145</v>
      </c>
      <c r="K97" s="281">
        <f t="shared" si="2"/>
        <v>1238.154849771176</v>
      </c>
    </row>
    <row r="98" spans="1:11" x14ac:dyDescent="0.2">
      <c r="A98" s="281" t="s">
        <v>462</v>
      </c>
      <c r="B98" s="281">
        <v>2.6119441684692756E-3</v>
      </c>
      <c r="C98" s="281">
        <v>2711</v>
      </c>
      <c r="D98" s="281">
        <v>6928</v>
      </c>
      <c r="E98" s="281">
        <v>1714</v>
      </c>
      <c r="F98" s="281">
        <v>1790</v>
      </c>
      <c r="G98" s="281">
        <v>219</v>
      </c>
      <c r="H98" s="281">
        <v>526</v>
      </c>
      <c r="I98" s="281">
        <v>188</v>
      </c>
      <c r="J98" s="281">
        <v>55</v>
      </c>
      <c r="K98" s="281">
        <f t="shared" ref="K98:K129" si="3">B98*SUM(C98:F98)</f>
        <v>34.32878220619169</v>
      </c>
    </row>
    <row r="99" spans="1:11" x14ac:dyDescent="0.2">
      <c r="A99" s="281" t="s">
        <v>283</v>
      </c>
      <c r="B99" s="281">
        <v>9.0497274801726209E-3</v>
      </c>
      <c r="C99" s="281">
        <v>14360</v>
      </c>
      <c r="D99" s="281">
        <v>10328</v>
      </c>
      <c r="E99" s="281">
        <v>1095</v>
      </c>
      <c r="F99" s="281">
        <v>8824</v>
      </c>
      <c r="G99" s="281">
        <v>572</v>
      </c>
      <c r="H99" s="281">
        <v>1711</v>
      </c>
      <c r="I99" s="281">
        <v>45</v>
      </c>
      <c r="J99" s="281">
        <v>132</v>
      </c>
      <c r="K99" s="281">
        <f t="shared" si="3"/>
        <v>313.18391890633387</v>
      </c>
    </row>
    <row r="100" spans="1:11" x14ac:dyDescent="0.2">
      <c r="A100" s="281" t="s">
        <v>138</v>
      </c>
      <c r="B100" s="281">
        <v>0</v>
      </c>
      <c r="C100" s="281">
        <v>190</v>
      </c>
      <c r="D100" s="281">
        <v>2691</v>
      </c>
      <c r="E100" s="281">
        <v>0</v>
      </c>
      <c r="F100" s="281">
        <v>60</v>
      </c>
      <c r="G100" s="281">
        <v>15</v>
      </c>
      <c r="H100" s="281">
        <v>287</v>
      </c>
      <c r="I100" s="281">
        <v>0</v>
      </c>
      <c r="J100" s="281">
        <v>4</v>
      </c>
      <c r="K100" s="281">
        <f t="shared" si="3"/>
        <v>0</v>
      </c>
    </row>
    <row r="101" spans="1:11" x14ac:dyDescent="0.2">
      <c r="A101" s="281" t="s">
        <v>285</v>
      </c>
      <c r="B101" s="281">
        <v>1.8107825605870029E-2</v>
      </c>
      <c r="C101" s="281">
        <v>14364</v>
      </c>
      <c r="D101" s="281">
        <v>43786</v>
      </c>
      <c r="E101" s="281">
        <v>1087</v>
      </c>
      <c r="F101" s="281">
        <v>4131</v>
      </c>
      <c r="G101" s="281">
        <v>1100</v>
      </c>
      <c r="H101" s="281">
        <v>263</v>
      </c>
      <c r="I101" s="281">
        <v>86</v>
      </c>
      <c r="J101" s="281">
        <v>56</v>
      </c>
      <c r="K101" s="281">
        <f t="shared" si="3"/>
        <v>1147.4566929927719</v>
      </c>
    </row>
    <row r="102" spans="1:11" x14ac:dyDescent="0.2">
      <c r="A102" s="281" t="s">
        <v>237</v>
      </c>
      <c r="B102" s="281">
        <v>8.4727992125187158E-3</v>
      </c>
      <c r="C102" s="281">
        <v>118</v>
      </c>
      <c r="D102" s="281">
        <v>483</v>
      </c>
      <c r="E102" s="281">
        <v>96</v>
      </c>
      <c r="F102" s="281">
        <v>80</v>
      </c>
      <c r="G102" s="281">
        <v>5</v>
      </c>
      <c r="H102" s="281">
        <v>24</v>
      </c>
      <c r="I102" s="281">
        <v>8</v>
      </c>
      <c r="J102" s="281">
        <v>1</v>
      </c>
      <c r="K102" s="281">
        <f t="shared" si="3"/>
        <v>6.583364988127042</v>
      </c>
    </row>
    <row r="103" spans="1:11" x14ac:dyDescent="0.2">
      <c r="A103" s="281" t="s">
        <v>427</v>
      </c>
      <c r="B103" s="281">
        <v>6.9071589975926544E-3</v>
      </c>
      <c r="C103" s="281">
        <v>21530</v>
      </c>
      <c r="D103" s="281">
        <v>37372</v>
      </c>
      <c r="E103" s="281">
        <v>9379</v>
      </c>
      <c r="F103" s="281">
        <v>1768</v>
      </c>
      <c r="G103" s="281">
        <v>1300</v>
      </c>
      <c r="H103" s="281">
        <v>3000</v>
      </c>
      <c r="I103" s="281">
        <v>500</v>
      </c>
      <c r="J103" s="281">
        <v>350</v>
      </c>
      <c r="K103" s="281">
        <f t="shared" si="3"/>
        <v>483.83958062236786</v>
      </c>
    </row>
    <row r="104" spans="1:11" x14ac:dyDescent="0.2">
      <c r="A104" s="281" t="s">
        <v>140</v>
      </c>
      <c r="B104" s="281">
        <v>0</v>
      </c>
      <c r="C104" s="281">
        <v>148</v>
      </c>
      <c r="D104" s="281">
        <v>6976</v>
      </c>
      <c r="E104" s="281">
        <v>463</v>
      </c>
      <c r="F104" s="281">
        <v>3</v>
      </c>
      <c r="G104" s="281">
        <v>12</v>
      </c>
      <c r="H104" s="281">
        <v>304</v>
      </c>
      <c r="I104" s="281">
        <v>62</v>
      </c>
      <c r="J104" s="281">
        <v>3</v>
      </c>
      <c r="K104" s="281">
        <f t="shared" si="3"/>
        <v>0</v>
      </c>
    </row>
    <row r="105" spans="1:11" x14ac:dyDescent="0.2">
      <c r="A105" s="281" t="s">
        <v>369</v>
      </c>
      <c r="B105" s="281">
        <v>3.5596051590856971E-2</v>
      </c>
      <c r="C105" s="281">
        <v>17294</v>
      </c>
      <c r="D105" s="281">
        <v>21179</v>
      </c>
      <c r="E105" s="281">
        <v>1974</v>
      </c>
      <c r="F105" s="281">
        <v>2799</v>
      </c>
      <c r="G105" s="281">
        <v>577</v>
      </c>
      <c r="H105" s="281">
        <v>605</v>
      </c>
      <c r="I105" s="281">
        <v>39</v>
      </c>
      <c r="J105" s="281">
        <v>118</v>
      </c>
      <c r="K105" s="281">
        <f t="shared" si="3"/>
        <v>1539.3868470982006</v>
      </c>
    </row>
    <row r="106" spans="1:11" x14ac:dyDescent="0.2">
      <c r="A106" s="281" t="s">
        <v>371</v>
      </c>
      <c r="B106" s="281">
        <v>0.05</v>
      </c>
      <c r="C106" s="281">
        <v>1882</v>
      </c>
      <c r="D106" s="281">
        <v>7394</v>
      </c>
      <c r="E106" s="281">
        <v>226</v>
      </c>
      <c r="F106" s="281">
        <v>440</v>
      </c>
      <c r="G106" s="281">
        <v>57</v>
      </c>
      <c r="H106" s="281">
        <v>66</v>
      </c>
      <c r="I106" s="281">
        <v>5</v>
      </c>
      <c r="J106" s="281">
        <v>24</v>
      </c>
      <c r="K106" s="281">
        <f t="shared" si="3"/>
        <v>497.1</v>
      </c>
    </row>
    <row r="107" spans="1:11" x14ac:dyDescent="0.2">
      <c r="A107" s="281" t="s">
        <v>373</v>
      </c>
      <c r="B107" s="281">
        <v>1.8311979348037022E-2</v>
      </c>
      <c r="C107" s="281">
        <v>6227</v>
      </c>
      <c r="D107" s="281">
        <v>8208</v>
      </c>
      <c r="E107" s="281">
        <v>387</v>
      </c>
      <c r="F107" s="281">
        <v>1614</v>
      </c>
      <c r="G107" s="281">
        <v>450</v>
      </c>
      <c r="H107" s="281">
        <v>514</v>
      </c>
      <c r="I107" s="281">
        <v>26</v>
      </c>
      <c r="J107" s="281">
        <v>63</v>
      </c>
      <c r="K107" s="281">
        <f t="shared" si="3"/>
        <v>300.9756925643365</v>
      </c>
    </row>
    <row r="108" spans="1:11" x14ac:dyDescent="0.2">
      <c r="A108" s="281" t="s">
        <v>287</v>
      </c>
      <c r="B108" s="281">
        <v>4.8667341173125418E-3</v>
      </c>
      <c r="C108" s="281">
        <v>26960</v>
      </c>
      <c r="D108" s="281">
        <v>46995</v>
      </c>
      <c r="E108" s="281">
        <v>4236</v>
      </c>
      <c r="F108" s="281">
        <v>9584</v>
      </c>
      <c r="G108" s="281">
        <v>1136</v>
      </c>
      <c r="H108" s="281">
        <v>3357</v>
      </c>
      <c r="I108" s="281">
        <v>454</v>
      </c>
      <c r="J108" s="281">
        <v>642</v>
      </c>
      <c r="K108" s="281">
        <f t="shared" si="3"/>
        <v>427.17758714710834</v>
      </c>
    </row>
    <row r="109" spans="1:11" x14ac:dyDescent="0.2">
      <c r="A109" s="281" t="s">
        <v>375</v>
      </c>
      <c r="B109" s="281">
        <v>0.05</v>
      </c>
      <c r="C109" s="281">
        <v>294</v>
      </c>
      <c r="D109" s="281">
        <v>770</v>
      </c>
      <c r="E109" s="281">
        <v>21</v>
      </c>
      <c r="F109" s="281">
        <v>103</v>
      </c>
      <c r="G109" s="281">
        <v>9</v>
      </c>
      <c r="H109" s="281">
        <v>29</v>
      </c>
      <c r="I109" s="281">
        <v>1</v>
      </c>
      <c r="J109" s="281">
        <v>4</v>
      </c>
      <c r="K109" s="281">
        <f t="shared" si="3"/>
        <v>59.400000000000006</v>
      </c>
    </row>
    <row r="110" spans="1:11" x14ac:dyDescent="0.2">
      <c r="A110" s="281" t="s">
        <v>377</v>
      </c>
      <c r="B110" s="281">
        <v>1.8411166150422886E-2</v>
      </c>
      <c r="C110" s="281">
        <v>12936</v>
      </c>
      <c r="D110" s="281">
        <v>19189</v>
      </c>
      <c r="E110" s="281">
        <v>673</v>
      </c>
      <c r="F110" s="281">
        <v>1634</v>
      </c>
      <c r="G110" s="281">
        <v>634</v>
      </c>
      <c r="H110" s="281">
        <v>785</v>
      </c>
      <c r="I110" s="281">
        <v>25</v>
      </c>
      <c r="J110" s="281">
        <v>92</v>
      </c>
      <c r="K110" s="281">
        <f t="shared" si="3"/>
        <v>633.93327289136084</v>
      </c>
    </row>
    <row r="111" spans="1:11" x14ac:dyDescent="0.2">
      <c r="A111" s="281" t="s">
        <v>142</v>
      </c>
      <c r="B111" s="281">
        <v>0</v>
      </c>
      <c r="C111" s="281">
        <v>2447</v>
      </c>
      <c r="D111" s="281">
        <v>4036</v>
      </c>
      <c r="E111" s="281">
        <v>4205</v>
      </c>
      <c r="F111" s="281">
        <v>4</v>
      </c>
      <c r="G111" s="281">
        <v>193</v>
      </c>
      <c r="H111" s="281">
        <v>159</v>
      </c>
      <c r="I111" s="281">
        <v>4</v>
      </c>
      <c r="J111" s="281">
        <v>48</v>
      </c>
      <c r="K111" s="281">
        <f t="shared" si="3"/>
        <v>0</v>
      </c>
    </row>
    <row r="112" spans="1:11" x14ac:dyDescent="0.2">
      <c r="A112" s="281" t="s">
        <v>429</v>
      </c>
      <c r="B112" s="281">
        <v>2.2364174821176145E-2</v>
      </c>
      <c r="C112" s="281">
        <v>2466</v>
      </c>
      <c r="D112" s="281">
        <v>3475</v>
      </c>
      <c r="E112" s="281">
        <v>0</v>
      </c>
      <c r="F112" s="281">
        <v>188</v>
      </c>
      <c r="G112" s="281">
        <v>102</v>
      </c>
      <c r="H112" s="281">
        <v>129</v>
      </c>
      <c r="I112" s="281">
        <v>0</v>
      </c>
      <c r="J112" s="281">
        <v>16</v>
      </c>
      <c r="K112" s="281">
        <f t="shared" si="3"/>
        <v>137.07002747898861</v>
      </c>
    </row>
    <row r="113" spans="1:11" x14ac:dyDescent="0.2">
      <c r="A113" s="281" t="s">
        <v>239</v>
      </c>
      <c r="B113" s="281">
        <v>1.9980935618036478E-2</v>
      </c>
      <c r="C113" s="281">
        <v>626214</v>
      </c>
      <c r="D113" s="281">
        <v>406594</v>
      </c>
      <c r="E113" s="281">
        <v>34</v>
      </c>
      <c r="F113" s="281">
        <v>6320</v>
      </c>
      <c r="G113" s="281">
        <v>15364</v>
      </c>
      <c r="H113" s="281">
        <v>19464</v>
      </c>
      <c r="I113" s="281">
        <v>3</v>
      </c>
      <c r="J113" s="281">
        <v>2625</v>
      </c>
      <c r="K113" s="281">
        <f t="shared" si="3"/>
        <v>20763.429018710023</v>
      </c>
    </row>
    <row r="114" spans="1:11" x14ac:dyDescent="0.2">
      <c r="A114" s="281" t="s">
        <v>464</v>
      </c>
      <c r="B114" s="281">
        <v>8.7019436100049252E-3</v>
      </c>
      <c r="C114" s="281">
        <v>7</v>
      </c>
      <c r="D114" s="281">
        <v>198</v>
      </c>
      <c r="E114" s="281">
        <v>0</v>
      </c>
      <c r="F114" s="281">
        <v>4</v>
      </c>
      <c r="G114" s="281">
        <v>0</v>
      </c>
      <c r="H114" s="281">
        <v>14</v>
      </c>
      <c r="I114" s="281">
        <v>0</v>
      </c>
      <c r="J114" s="281">
        <v>0</v>
      </c>
      <c r="K114" s="281">
        <f t="shared" si="3"/>
        <v>1.8187062144910293</v>
      </c>
    </row>
    <row r="115" spans="1:11" x14ac:dyDescent="0.2">
      <c r="A115" s="281" t="s">
        <v>379</v>
      </c>
      <c r="B115" s="281">
        <v>1.6638096726652361E-2</v>
      </c>
      <c r="C115" s="281">
        <v>5987</v>
      </c>
      <c r="D115" s="281">
        <v>7899</v>
      </c>
      <c r="E115" s="281">
        <v>783</v>
      </c>
      <c r="F115" s="281">
        <v>625</v>
      </c>
      <c r="G115" s="281">
        <v>261</v>
      </c>
      <c r="H115" s="281">
        <v>203</v>
      </c>
      <c r="I115" s="281">
        <v>14</v>
      </c>
      <c r="J115" s="281">
        <v>96</v>
      </c>
      <c r="K115" s="281">
        <f t="shared" si="3"/>
        <v>254.46305133742121</v>
      </c>
    </row>
    <row r="116" spans="1:11" x14ac:dyDescent="0.2">
      <c r="A116" s="281" t="s">
        <v>144</v>
      </c>
      <c r="B116" s="281">
        <v>0</v>
      </c>
      <c r="C116" s="281">
        <v>2602</v>
      </c>
      <c r="D116" s="281">
        <v>5486</v>
      </c>
      <c r="E116" s="281">
        <v>3430</v>
      </c>
      <c r="F116" s="281">
        <v>193</v>
      </c>
      <c r="G116" s="281">
        <v>204</v>
      </c>
      <c r="H116" s="281">
        <v>579</v>
      </c>
      <c r="I116" s="281">
        <v>441</v>
      </c>
      <c r="J116" s="281">
        <v>51</v>
      </c>
      <c r="K116" s="281">
        <f t="shared" si="3"/>
        <v>0</v>
      </c>
    </row>
    <row r="117" spans="1:11" x14ac:dyDescent="0.2">
      <c r="A117" s="281" t="s">
        <v>381</v>
      </c>
      <c r="B117" s="281">
        <v>3.3220931885305005E-2</v>
      </c>
      <c r="C117" s="281">
        <v>1263</v>
      </c>
      <c r="D117" s="281">
        <v>3792</v>
      </c>
      <c r="E117" s="281">
        <v>396</v>
      </c>
      <c r="F117" s="281">
        <v>568</v>
      </c>
      <c r="G117" s="281">
        <v>109</v>
      </c>
      <c r="H117" s="281">
        <v>158</v>
      </c>
      <c r="I117" s="281">
        <v>11</v>
      </c>
      <c r="J117" s="281">
        <v>44</v>
      </c>
      <c r="K117" s="281">
        <f t="shared" si="3"/>
        <v>199.95678901765083</v>
      </c>
    </row>
    <row r="118" spans="1:11" x14ac:dyDescent="0.2">
      <c r="A118" s="281" t="s">
        <v>431</v>
      </c>
      <c r="B118" s="281">
        <v>3.3565563020461864E-3</v>
      </c>
      <c r="C118" s="281">
        <v>36844</v>
      </c>
      <c r="D118" s="281">
        <v>36422</v>
      </c>
      <c r="E118" s="281">
        <v>17958</v>
      </c>
      <c r="F118" s="281">
        <v>4017</v>
      </c>
      <c r="G118" s="281">
        <v>1460</v>
      </c>
      <c r="H118" s="281">
        <v>3646</v>
      </c>
      <c r="I118" s="281">
        <v>1351</v>
      </c>
      <c r="J118" s="281">
        <v>238</v>
      </c>
      <c r="K118" s="281">
        <f t="shared" si="3"/>
        <v>319.68177876318083</v>
      </c>
    </row>
    <row r="119" spans="1:11" x14ac:dyDescent="0.2">
      <c r="A119" s="281" t="s">
        <v>383</v>
      </c>
      <c r="B119" s="281">
        <v>1.7820302904417485E-2</v>
      </c>
      <c r="C119" s="281">
        <v>1731</v>
      </c>
      <c r="D119" s="281">
        <v>3041</v>
      </c>
      <c r="E119" s="281">
        <v>243</v>
      </c>
      <c r="F119" s="281">
        <v>120</v>
      </c>
      <c r="G119" s="281">
        <v>30</v>
      </c>
      <c r="H119" s="281">
        <v>55</v>
      </c>
      <c r="I119" s="281">
        <v>29</v>
      </c>
      <c r="J119" s="281">
        <v>35</v>
      </c>
      <c r="K119" s="281">
        <f t="shared" si="3"/>
        <v>91.507255414183788</v>
      </c>
    </row>
    <row r="120" spans="1:11" x14ac:dyDescent="0.2">
      <c r="A120" s="281" t="s">
        <v>466</v>
      </c>
      <c r="B120" s="281">
        <v>1.5760678575466609E-2</v>
      </c>
      <c r="C120" s="281">
        <v>12627</v>
      </c>
      <c r="D120" s="281">
        <v>12765</v>
      </c>
      <c r="E120" s="281">
        <v>0</v>
      </c>
      <c r="F120" s="281">
        <v>2234</v>
      </c>
      <c r="G120" s="281">
        <v>1017</v>
      </c>
      <c r="H120" s="281">
        <v>737</v>
      </c>
      <c r="I120" s="281">
        <v>0</v>
      </c>
      <c r="J120" s="281">
        <v>255</v>
      </c>
      <c r="K120" s="281">
        <f t="shared" si="3"/>
        <v>435.40450632584054</v>
      </c>
    </row>
    <row r="121" spans="1:11" x14ac:dyDescent="0.2">
      <c r="A121" s="281" t="s">
        <v>146</v>
      </c>
      <c r="B121" s="281">
        <v>0</v>
      </c>
      <c r="C121" s="281">
        <v>2620</v>
      </c>
      <c r="D121" s="281">
        <v>15017</v>
      </c>
      <c r="E121" s="281">
        <v>6379</v>
      </c>
      <c r="F121" s="281">
        <v>323</v>
      </c>
      <c r="G121" s="281">
        <v>583</v>
      </c>
      <c r="H121" s="281">
        <v>87</v>
      </c>
      <c r="I121" s="281">
        <v>382</v>
      </c>
      <c r="J121" s="281">
        <v>198</v>
      </c>
      <c r="K121" s="281">
        <f t="shared" si="3"/>
        <v>0</v>
      </c>
    </row>
    <row r="122" spans="1:11" x14ac:dyDescent="0.2">
      <c r="A122" s="281" t="s">
        <v>148</v>
      </c>
      <c r="B122" s="281">
        <v>0</v>
      </c>
      <c r="C122" s="281">
        <v>867</v>
      </c>
      <c r="D122" s="281">
        <v>3593</v>
      </c>
      <c r="E122" s="281">
        <v>709</v>
      </c>
      <c r="F122" s="281">
        <v>82</v>
      </c>
      <c r="G122" s="281">
        <v>68</v>
      </c>
      <c r="H122" s="281">
        <v>381</v>
      </c>
      <c r="I122" s="281">
        <v>91</v>
      </c>
      <c r="J122" s="281">
        <v>17</v>
      </c>
      <c r="K122" s="281">
        <f t="shared" si="3"/>
        <v>0</v>
      </c>
    </row>
    <row r="123" spans="1:11" x14ac:dyDescent="0.2">
      <c r="A123" s="281" t="s">
        <v>150</v>
      </c>
      <c r="B123" s="281">
        <v>1.2505856615344311E-2</v>
      </c>
      <c r="C123" s="281">
        <v>3222</v>
      </c>
      <c r="D123" s="281">
        <v>4471</v>
      </c>
      <c r="E123" s="281">
        <v>0</v>
      </c>
      <c r="F123" s="281">
        <v>534</v>
      </c>
      <c r="G123" s="281">
        <v>127</v>
      </c>
      <c r="H123" s="281">
        <v>219</v>
      </c>
      <c r="I123" s="281">
        <v>0</v>
      </c>
      <c r="J123" s="281">
        <v>29</v>
      </c>
      <c r="K123" s="281">
        <f t="shared" si="3"/>
        <v>102.88568237443765</v>
      </c>
    </row>
    <row r="124" spans="1:11" x14ac:dyDescent="0.2">
      <c r="A124" s="281" t="s">
        <v>153</v>
      </c>
      <c r="B124" s="281">
        <v>0</v>
      </c>
      <c r="C124" s="281">
        <v>686</v>
      </c>
      <c r="D124" s="281">
        <v>8410</v>
      </c>
      <c r="E124" s="281">
        <v>0</v>
      </c>
      <c r="F124" s="281">
        <v>107</v>
      </c>
      <c r="G124" s="281">
        <v>54</v>
      </c>
      <c r="H124" s="281">
        <v>1886</v>
      </c>
      <c r="I124" s="281">
        <v>0</v>
      </c>
      <c r="J124" s="281">
        <v>14</v>
      </c>
      <c r="K124" s="281">
        <f t="shared" si="3"/>
        <v>0</v>
      </c>
    </row>
    <row r="125" spans="1:11" x14ac:dyDescent="0.2">
      <c r="A125" s="281" t="s">
        <v>468</v>
      </c>
      <c r="B125" s="281">
        <v>1.379497007966655E-2</v>
      </c>
      <c r="C125" s="281">
        <v>49661</v>
      </c>
      <c r="D125" s="281">
        <v>112249</v>
      </c>
      <c r="E125" s="281">
        <v>24451</v>
      </c>
      <c r="F125" s="281">
        <v>11228</v>
      </c>
      <c r="G125" s="281">
        <v>1917</v>
      </c>
      <c r="H125" s="281">
        <v>5367</v>
      </c>
      <c r="I125" s="281">
        <v>5670</v>
      </c>
      <c r="J125" s="281">
        <v>443</v>
      </c>
      <c r="K125" s="281">
        <f t="shared" si="3"/>
        <v>2725.734343071234</v>
      </c>
    </row>
    <row r="126" spans="1:11" x14ac:dyDescent="0.2">
      <c r="A126" s="281" t="s">
        <v>155</v>
      </c>
      <c r="B126" s="281">
        <v>5.592115031966007E-3</v>
      </c>
      <c r="C126" s="281">
        <v>1063</v>
      </c>
      <c r="D126" s="281">
        <v>4965</v>
      </c>
      <c r="E126" s="281">
        <v>955</v>
      </c>
      <c r="F126" s="281">
        <v>621</v>
      </c>
      <c r="G126" s="281">
        <v>44</v>
      </c>
      <c r="H126" s="281">
        <v>269</v>
      </c>
      <c r="I126" s="281">
        <v>111</v>
      </c>
      <c r="J126" s="281">
        <v>25</v>
      </c>
      <c r="K126" s="281">
        <f t="shared" si="3"/>
        <v>42.522442703069515</v>
      </c>
    </row>
    <row r="127" spans="1:11" x14ac:dyDescent="0.2">
      <c r="A127" s="281" t="s">
        <v>157</v>
      </c>
      <c r="B127" s="281">
        <v>0</v>
      </c>
      <c r="C127" s="281">
        <v>1047</v>
      </c>
      <c r="D127" s="281">
        <v>5523</v>
      </c>
      <c r="E127" s="281">
        <v>996</v>
      </c>
      <c r="F127" s="281">
        <v>28</v>
      </c>
      <c r="G127" s="281">
        <v>81</v>
      </c>
      <c r="H127" s="281">
        <v>572</v>
      </c>
      <c r="I127" s="281">
        <v>126</v>
      </c>
      <c r="J127" s="281">
        <v>20</v>
      </c>
      <c r="K127" s="281">
        <f t="shared" si="3"/>
        <v>0</v>
      </c>
    </row>
    <row r="128" spans="1:11" x14ac:dyDescent="0.2">
      <c r="A128" s="281" t="s">
        <v>159</v>
      </c>
      <c r="B128" s="281">
        <v>0</v>
      </c>
      <c r="C128" s="281">
        <v>78399</v>
      </c>
      <c r="D128" s="281">
        <v>115801</v>
      </c>
      <c r="E128" s="281">
        <v>74922</v>
      </c>
      <c r="F128" s="281">
        <v>25944</v>
      </c>
      <c r="G128" s="281">
        <v>2836</v>
      </c>
      <c r="H128" s="281">
        <v>14083</v>
      </c>
      <c r="I128" s="281">
        <v>9702</v>
      </c>
      <c r="J128" s="281">
        <v>710</v>
      </c>
      <c r="K128" s="281">
        <f t="shared" si="3"/>
        <v>0</v>
      </c>
    </row>
    <row r="129" spans="1:11" x14ac:dyDescent="0.2">
      <c r="A129" s="281" t="s">
        <v>241</v>
      </c>
      <c r="B129" s="281">
        <v>4.60159141566251E-3</v>
      </c>
      <c r="C129" s="281">
        <v>11027</v>
      </c>
      <c r="D129" s="281">
        <v>264</v>
      </c>
      <c r="E129" s="281">
        <v>1433</v>
      </c>
      <c r="F129" s="281">
        <v>1230</v>
      </c>
      <c r="G129" s="281">
        <v>896</v>
      </c>
      <c r="H129" s="281">
        <v>29</v>
      </c>
      <c r="I129" s="281">
        <v>190</v>
      </c>
      <c r="J129" s="281">
        <v>224</v>
      </c>
      <c r="K129" s="281">
        <f t="shared" si="3"/>
        <v>64.210606614154671</v>
      </c>
    </row>
    <row r="130" spans="1:11" x14ac:dyDescent="0.2">
      <c r="A130" s="281" t="s">
        <v>470</v>
      </c>
      <c r="B130" s="281">
        <v>3.5866642173768719E-2</v>
      </c>
      <c r="C130" s="281">
        <v>3</v>
      </c>
      <c r="D130" s="281">
        <v>20</v>
      </c>
      <c r="E130" s="281">
        <v>0</v>
      </c>
      <c r="F130" s="281">
        <v>1</v>
      </c>
      <c r="G130" s="281">
        <v>0</v>
      </c>
      <c r="H130" s="281">
        <v>1</v>
      </c>
      <c r="I130" s="281">
        <v>0</v>
      </c>
      <c r="J130" s="281">
        <v>0</v>
      </c>
      <c r="K130" s="281">
        <f t="shared" ref="K130:K161" si="4">B130*SUM(C130:F130)</f>
        <v>0.8607994121704492</v>
      </c>
    </row>
    <row r="131" spans="1:11" x14ac:dyDescent="0.2">
      <c r="A131" s="281" t="s">
        <v>385</v>
      </c>
      <c r="B131" s="281">
        <v>0.05</v>
      </c>
      <c r="C131" s="281">
        <v>126724</v>
      </c>
      <c r="D131" s="281">
        <v>192131</v>
      </c>
      <c r="E131" s="281">
        <v>4201</v>
      </c>
      <c r="F131" s="281">
        <v>3626</v>
      </c>
      <c r="G131" s="281">
        <v>2717</v>
      </c>
      <c r="H131" s="281">
        <v>9940</v>
      </c>
      <c r="I131" s="281">
        <v>161</v>
      </c>
      <c r="J131" s="281">
        <v>389</v>
      </c>
      <c r="K131" s="281">
        <f t="shared" si="4"/>
        <v>16334.1</v>
      </c>
    </row>
    <row r="132" spans="1:11" x14ac:dyDescent="0.2">
      <c r="A132" s="281" t="s">
        <v>387</v>
      </c>
      <c r="B132" s="281">
        <v>0.05</v>
      </c>
      <c r="C132" s="281">
        <v>25936</v>
      </c>
      <c r="D132" s="281">
        <v>95718</v>
      </c>
      <c r="E132" s="281">
        <v>2992</v>
      </c>
      <c r="F132" s="281">
        <v>4488</v>
      </c>
      <c r="G132" s="281">
        <v>542</v>
      </c>
      <c r="H132" s="281">
        <v>4257</v>
      </c>
      <c r="I132" s="281">
        <v>121</v>
      </c>
      <c r="J132" s="281">
        <v>139</v>
      </c>
      <c r="K132" s="281">
        <f t="shared" si="4"/>
        <v>6456.7000000000007</v>
      </c>
    </row>
    <row r="133" spans="1:11" x14ac:dyDescent="0.2">
      <c r="A133" s="281" t="s">
        <v>433</v>
      </c>
      <c r="B133" s="281">
        <v>0</v>
      </c>
      <c r="C133" s="281">
        <v>21809</v>
      </c>
      <c r="D133" s="281">
        <v>90555</v>
      </c>
      <c r="E133" s="281">
        <v>0</v>
      </c>
      <c r="F133" s="281">
        <v>2696</v>
      </c>
      <c r="G133" s="281">
        <v>1751</v>
      </c>
      <c r="H133" s="281">
        <v>9773</v>
      </c>
      <c r="I133" s="281">
        <v>0</v>
      </c>
      <c r="J133" s="281">
        <v>439</v>
      </c>
      <c r="K133" s="281">
        <f t="shared" si="4"/>
        <v>0</v>
      </c>
    </row>
    <row r="134" spans="1:11" x14ac:dyDescent="0.2">
      <c r="A134" s="281" t="s">
        <v>472</v>
      </c>
      <c r="B134" s="281">
        <v>2.318130102510722E-2</v>
      </c>
      <c r="C134" s="281">
        <v>15</v>
      </c>
      <c r="D134" s="281">
        <v>85</v>
      </c>
      <c r="E134" s="281">
        <v>0</v>
      </c>
      <c r="F134" s="281">
        <v>2</v>
      </c>
      <c r="G134" s="281">
        <v>1</v>
      </c>
      <c r="H134" s="281">
        <v>6</v>
      </c>
      <c r="I134" s="281">
        <v>0</v>
      </c>
      <c r="J134" s="281">
        <v>1</v>
      </c>
      <c r="K134" s="281">
        <f t="shared" si="4"/>
        <v>2.3644927045609365</v>
      </c>
    </row>
    <row r="135" spans="1:11" x14ac:dyDescent="0.2">
      <c r="A135" s="281" t="s">
        <v>474</v>
      </c>
      <c r="B135" s="281">
        <v>4.1580338676069861E-2</v>
      </c>
      <c r="C135" s="281">
        <v>16495</v>
      </c>
      <c r="D135" s="281">
        <v>50998</v>
      </c>
      <c r="E135" s="281">
        <v>2732</v>
      </c>
      <c r="F135" s="281">
        <v>3465</v>
      </c>
      <c r="G135" s="281">
        <v>474</v>
      </c>
      <c r="H135" s="281">
        <v>2084</v>
      </c>
      <c r="I135" s="281">
        <v>172</v>
      </c>
      <c r="J135" s="281">
        <v>224</v>
      </c>
      <c r="K135" s="281">
        <f t="shared" si="4"/>
        <v>3064.0551570395883</v>
      </c>
    </row>
    <row r="136" spans="1:11" x14ac:dyDescent="0.2">
      <c r="A136" s="281" t="s">
        <v>289</v>
      </c>
      <c r="B136" s="281">
        <v>1.4039357618892957E-2</v>
      </c>
      <c r="C136" s="281">
        <v>10229</v>
      </c>
      <c r="D136" s="281">
        <v>20529</v>
      </c>
      <c r="E136" s="281">
        <v>901</v>
      </c>
      <c r="F136" s="281">
        <v>2846</v>
      </c>
      <c r="G136" s="281">
        <v>331</v>
      </c>
      <c r="H136" s="281">
        <v>599</v>
      </c>
      <c r="I136" s="281">
        <v>47</v>
      </c>
      <c r="J136" s="281">
        <v>135</v>
      </c>
      <c r="K136" s="281">
        <f t="shared" si="4"/>
        <v>484.42803463990145</v>
      </c>
    </row>
    <row r="137" spans="1:11" x14ac:dyDescent="0.2">
      <c r="A137" s="281" t="s">
        <v>291</v>
      </c>
      <c r="B137" s="281">
        <v>0</v>
      </c>
      <c r="C137" s="281">
        <v>216732</v>
      </c>
      <c r="D137" s="281">
        <v>172011</v>
      </c>
      <c r="E137" s="281">
        <v>39656</v>
      </c>
      <c r="F137" s="281">
        <v>34858</v>
      </c>
      <c r="G137" s="281">
        <v>16000</v>
      </c>
      <c r="H137" s="281">
        <v>5600</v>
      </c>
      <c r="I137" s="281">
        <v>6019</v>
      </c>
      <c r="J137" s="281">
        <v>4007</v>
      </c>
      <c r="K137" s="281">
        <f t="shared" si="4"/>
        <v>0</v>
      </c>
    </row>
    <row r="138" spans="1:11" x14ac:dyDescent="0.2">
      <c r="A138" s="281" t="s">
        <v>243</v>
      </c>
      <c r="B138" s="281">
        <v>1.6764229111297688E-2</v>
      </c>
      <c r="C138" s="281">
        <v>12980</v>
      </c>
      <c r="D138" s="281">
        <v>13264</v>
      </c>
      <c r="E138" s="281">
        <v>1655</v>
      </c>
      <c r="F138" s="281">
        <v>900</v>
      </c>
      <c r="G138" s="281">
        <v>498</v>
      </c>
      <c r="H138" s="281">
        <v>631</v>
      </c>
      <c r="I138" s="281">
        <v>130</v>
      </c>
      <c r="J138" s="281">
        <v>115</v>
      </c>
      <c r="K138" s="281">
        <f t="shared" si="4"/>
        <v>482.79303417626215</v>
      </c>
    </row>
    <row r="139" spans="1:11" x14ac:dyDescent="0.2">
      <c r="A139" s="281" t="s">
        <v>245</v>
      </c>
      <c r="B139" s="281">
        <v>9.971545355516899E-3</v>
      </c>
      <c r="C139" s="281">
        <v>27028</v>
      </c>
      <c r="D139" s="281">
        <v>85362</v>
      </c>
      <c r="E139" s="281">
        <v>17712</v>
      </c>
      <c r="F139" s="281">
        <v>1708</v>
      </c>
      <c r="G139" s="281">
        <v>1133</v>
      </c>
      <c r="H139" s="281">
        <v>6067</v>
      </c>
      <c r="I139" s="281">
        <v>2069</v>
      </c>
      <c r="J139" s="281">
        <v>640</v>
      </c>
      <c r="K139" s="281">
        <f t="shared" si="4"/>
        <v>1314.3493933106824</v>
      </c>
    </row>
    <row r="140" spans="1:11" x14ac:dyDescent="0.2">
      <c r="A140" s="281" t="s">
        <v>476</v>
      </c>
      <c r="B140" s="281">
        <v>1.1051628075258063E-2</v>
      </c>
      <c r="C140" s="281">
        <v>65896</v>
      </c>
      <c r="D140" s="281">
        <v>539027</v>
      </c>
      <c r="E140" s="281">
        <v>0</v>
      </c>
      <c r="F140" s="281">
        <v>36284</v>
      </c>
      <c r="G140" s="281">
        <v>2780</v>
      </c>
      <c r="H140" s="281">
        <v>11111</v>
      </c>
      <c r="I140" s="281">
        <v>0</v>
      </c>
      <c r="J140" s="281">
        <v>1571</v>
      </c>
      <c r="K140" s="281">
        <f t="shared" si="4"/>
        <v>7086.381283251997</v>
      </c>
    </row>
    <row r="141" spans="1:11" x14ac:dyDescent="0.2">
      <c r="A141" s="281" t="s">
        <v>478</v>
      </c>
      <c r="B141" s="281">
        <v>2.3348605623468903E-2</v>
      </c>
      <c r="C141" s="281">
        <v>26</v>
      </c>
      <c r="D141" s="281">
        <v>131</v>
      </c>
      <c r="E141" s="281">
        <v>0</v>
      </c>
      <c r="F141" s="281">
        <v>2</v>
      </c>
      <c r="G141" s="281">
        <v>1</v>
      </c>
      <c r="H141" s="281">
        <v>10</v>
      </c>
      <c r="I141" s="281">
        <v>0</v>
      </c>
      <c r="J141" s="281">
        <v>1</v>
      </c>
      <c r="K141" s="281">
        <f t="shared" si="4"/>
        <v>3.7124282941315556</v>
      </c>
    </row>
    <row r="142" spans="1:11" x14ac:dyDescent="0.2">
      <c r="A142" s="281" t="s">
        <v>480</v>
      </c>
      <c r="B142" s="281">
        <v>0</v>
      </c>
      <c r="C142" s="281">
        <v>626</v>
      </c>
      <c r="D142" s="281">
        <v>4154</v>
      </c>
      <c r="E142" s="281">
        <v>704</v>
      </c>
      <c r="F142" s="281">
        <v>120</v>
      </c>
      <c r="G142" s="281">
        <v>50</v>
      </c>
      <c r="H142" s="281">
        <v>387</v>
      </c>
      <c r="I142" s="281">
        <v>93</v>
      </c>
      <c r="J142" s="281">
        <v>13</v>
      </c>
      <c r="K142" s="281">
        <f t="shared" si="4"/>
        <v>0</v>
      </c>
    </row>
    <row r="143" spans="1:11" x14ac:dyDescent="0.2">
      <c r="A143" s="281" t="s">
        <v>389</v>
      </c>
      <c r="B143" s="281">
        <v>2.2823818611087968E-2</v>
      </c>
      <c r="C143" s="281">
        <v>89920</v>
      </c>
      <c r="D143" s="281">
        <v>232684</v>
      </c>
      <c r="E143" s="281">
        <v>28328</v>
      </c>
      <c r="F143" s="281">
        <v>29212</v>
      </c>
      <c r="G143" s="281">
        <v>4006</v>
      </c>
      <c r="H143" s="281">
        <v>4549</v>
      </c>
      <c r="I143" s="281">
        <v>760</v>
      </c>
      <c r="J143" s="281">
        <v>1039</v>
      </c>
      <c r="K143" s="281">
        <f t="shared" si="4"/>
        <v>8676.337702093424</v>
      </c>
    </row>
    <row r="144" spans="1:11" x14ac:dyDescent="0.2">
      <c r="A144" s="281" t="s">
        <v>435</v>
      </c>
      <c r="B144" s="281">
        <v>1.8971916421749765E-2</v>
      </c>
      <c r="C144" s="281">
        <v>95064</v>
      </c>
      <c r="D144" s="281">
        <v>106693</v>
      </c>
      <c r="E144" s="281">
        <v>8129</v>
      </c>
      <c r="F144" s="281">
        <v>10245</v>
      </c>
      <c r="G144" s="281">
        <v>7828</v>
      </c>
      <c r="H144" s="281">
        <v>19830</v>
      </c>
      <c r="I144" s="281">
        <v>1095</v>
      </c>
      <c r="J144" s="281">
        <v>1961</v>
      </c>
      <c r="K144" s="281">
        <f t="shared" si="4"/>
        <v>4176.3069338361975</v>
      </c>
    </row>
    <row r="145" spans="1:11" x14ac:dyDescent="0.2">
      <c r="A145" s="281" t="s">
        <v>391</v>
      </c>
      <c r="B145" s="281">
        <v>3.2720791998391119E-2</v>
      </c>
      <c r="C145" s="281">
        <v>53932</v>
      </c>
      <c r="D145" s="281">
        <v>70044</v>
      </c>
      <c r="E145" s="281">
        <v>0</v>
      </c>
      <c r="F145" s="281">
        <v>9259</v>
      </c>
      <c r="G145" s="281">
        <v>1760</v>
      </c>
      <c r="H145" s="281">
        <v>2580</v>
      </c>
      <c r="I145" s="281">
        <v>0</v>
      </c>
      <c r="J145" s="281">
        <v>934</v>
      </c>
      <c r="K145" s="281">
        <f t="shared" si="4"/>
        <v>4359.5547219056407</v>
      </c>
    </row>
    <row r="146" spans="1:11" x14ac:dyDescent="0.2">
      <c r="A146" s="281" t="s">
        <v>247</v>
      </c>
      <c r="B146" s="281">
        <v>6.8270989414828537E-3</v>
      </c>
      <c r="C146" s="281">
        <v>9660</v>
      </c>
      <c r="D146" s="281">
        <v>10663</v>
      </c>
      <c r="E146" s="281">
        <v>1180</v>
      </c>
      <c r="F146" s="281">
        <v>227</v>
      </c>
      <c r="G146" s="281">
        <v>407</v>
      </c>
      <c r="H146" s="281">
        <v>1046</v>
      </c>
      <c r="I146" s="281">
        <v>71</v>
      </c>
      <c r="J146" s="281">
        <v>230</v>
      </c>
      <c r="K146" s="281">
        <f t="shared" si="4"/>
        <v>148.35285999842242</v>
      </c>
    </row>
    <row r="147" spans="1:11" x14ac:dyDescent="0.2">
      <c r="A147" s="281" t="s">
        <v>295</v>
      </c>
      <c r="B147" s="281">
        <v>2.1608171848358223E-2</v>
      </c>
      <c r="C147" s="281">
        <v>7160</v>
      </c>
      <c r="D147" s="281">
        <v>20416</v>
      </c>
      <c r="E147" s="281">
        <v>319</v>
      </c>
      <c r="F147" s="281">
        <v>2562</v>
      </c>
      <c r="G147" s="281">
        <v>218</v>
      </c>
      <c r="H147" s="281">
        <v>13</v>
      </c>
      <c r="I147" s="281">
        <v>17</v>
      </c>
      <c r="J147" s="281">
        <v>1</v>
      </c>
      <c r="K147" s="281">
        <f t="shared" si="4"/>
        <v>658.12008998544638</v>
      </c>
    </row>
    <row r="148" spans="1:11" x14ac:dyDescent="0.2">
      <c r="A148" s="281" t="s">
        <v>393</v>
      </c>
      <c r="B148" s="281">
        <v>2.5125846873773477E-2</v>
      </c>
      <c r="C148" s="281">
        <v>57208</v>
      </c>
      <c r="D148" s="281">
        <v>138493</v>
      </c>
      <c r="E148" s="281">
        <v>3325</v>
      </c>
      <c r="F148" s="281">
        <v>17415</v>
      </c>
      <c r="G148" s="281">
        <v>2963</v>
      </c>
      <c r="H148" s="281">
        <v>3023</v>
      </c>
      <c r="I148" s="281">
        <v>82</v>
      </c>
      <c r="J148" s="281">
        <v>1675</v>
      </c>
      <c r="K148" s="281">
        <f t="shared" si="4"/>
        <v>5438.2634232064056</v>
      </c>
    </row>
    <row r="149" spans="1:11" x14ac:dyDescent="0.2">
      <c r="A149" s="281" t="s">
        <v>395</v>
      </c>
      <c r="B149" s="281">
        <v>2.2021231886547001E-2</v>
      </c>
      <c r="C149" s="281">
        <v>646703</v>
      </c>
      <c r="D149" s="281">
        <v>604150</v>
      </c>
      <c r="E149" s="281">
        <v>54736</v>
      </c>
      <c r="F149" s="281">
        <v>7161</v>
      </c>
      <c r="G149" s="281">
        <v>15410</v>
      </c>
      <c r="H149" s="281">
        <v>29721</v>
      </c>
      <c r="I149" s="281">
        <v>2326</v>
      </c>
      <c r="J149" s="281">
        <v>2657</v>
      </c>
      <c r="K149" s="281">
        <f t="shared" si="4"/>
        <v>28908.372159064576</v>
      </c>
    </row>
    <row r="150" spans="1:11" x14ac:dyDescent="0.2">
      <c r="A150" s="281" t="s">
        <v>161</v>
      </c>
      <c r="B150" s="281">
        <v>2.5040150755868394E-3</v>
      </c>
      <c r="C150" s="281">
        <v>1735</v>
      </c>
      <c r="D150" s="281">
        <v>14053</v>
      </c>
      <c r="E150" s="281">
        <v>1549</v>
      </c>
      <c r="F150" s="281">
        <v>933</v>
      </c>
      <c r="G150" s="281">
        <v>137</v>
      </c>
      <c r="H150" s="281">
        <v>947</v>
      </c>
      <c r="I150" s="281">
        <v>150</v>
      </c>
      <c r="J150" s="281">
        <v>34</v>
      </c>
      <c r="K150" s="281">
        <f t="shared" si="4"/>
        <v>45.748355430971557</v>
      </c>
    </row>
    <row r="151" spans="1:11" x14ac:dyDescent="0.2">
      <c r="A151" s="281" t="s">
        <v>297</v>
      </c>
      <c r="B151" s="281">
        <v>1.9644473845746822E-2</v>
      </c>
      <c r="C151" s="281">
        <v>90932</v>
      </c>
      <c r="D151" s="281">
        <v>186539</v>
      </c>
      <c r="E151" s="281">
        <v>4126</v>
      </c>
      <c r="F151" s="281">
        <v>30088</v>
      </c>
      <c r="G151" s="281">
        <v>2773</v>
      </c>
      <c r="H151" s="281">
        <v>9131</v>
      </c>
      <c r="I151" s="281">
        <v>217</v>
      </c>
      <c r="J151" s="281">
        <v>1169</v>
      </c>
      <c r="K151" s="281">
        <f t="shared" si="4"/>
        <v>6122.8878306115985</v>
      </c>
    </row>
    <row r="152" spans="1:11" x14ac:dyDescent="0.2">
      <c r="A152" s="281" t="s">
        <v>299</v>
      </c>
      <c r="B152" s="281">
        <v>0</v>
      </c>
      <c r="C152" s="281">
        <v>11481</v>
      </c>
      <c r="D152" s="281">
        <v>50229</v>
      </c>
      <c r="E152" s="281">
        <v>0</v>
      </c>
      <c r="F152" s="281">
        <v>1104</v>
      </c>
      <c r="G152" s="281">
        <v>911</v>
      </c>
      <c r="H152" s="281">
        <v>5355</v>
      </c>
      <c r="I152" s="281">
        <v>0</v>
      </c>
      <c r="J152" s="281">
        <v>228</v>
      </c>
      <c r="K152" s="281">
        <f t="shared" si="4"/>
        <v>0</v>
      </c>
    </row>
    <row r="153" spans="1:11" x14ac:dyDescent="0.2">
      <c r="A153" s="281" t="s">
        <v>163</v>
      </c>
      <c r="B153" s="281">
        <v>0</v>
      </c>
      <c r="C153" s="281">
        <v>1159</v>
      </c>
      <c r="D153" s="281">
        <v>3066</v>
      </c>
      <c r="E153" s="281">
        <v>2177</v>
      </c>
      <c r="F153" s="281">
        <v>185</v>
      </c>
      <c r="G153" s="281">
        <v>92</v>
      </c>
      <c r="H153" s="281">
        <v>326</v>
      </c>
      <c r="I153" s="281">
        <v>281</v>
      </c>
      <c r="J153" s="281">
        <v>23</v>
      </c>
      <c r="K153" s="281">
        <f t="shared" si="4"/>
        <v>0</v>
      </c>
    </row>
    <row r="154" spans="1:11" x14ac:dyDescent="0.2">
      <c r="A154" s="281" t="s">
        <v>482</v>
      </c>
      <c r="B154" s="281">
        <v>2.4094617323401919E-2</v>
      </c>
      <c r="C154" s="281">
        <v>13418</v>
      </c>
      <c r="D154" s="281">
        <v>36524</v>
      </c>
      <c r="E154" s="281">
        <v>0</v>
      </c>
      <c r="F154" s="281">
        <v>2975</v>
      </c>
      <c r="G154" s="281">
        <v>416</v>
      </c>
      <c r="H154" s="281">
        <v>1818</v>
      </c>
      <c r="I154" s="281">
        <v>0</v>
      </c>
      <c r="J154" s="281">
        <v>175</v>
      </c>
      <c r="K154" s="281">
        <f t="shared" si="4"/>
        <v>1275.0148649024593</v>
      </c>
    </row>
    <row r="155" spans="1:11" x14ac:dyDescent="0.2">
      <c r="A155" s="281" t="s">
        <v>484</v>
      </c>
      <c r="B155" s="281">
        <v>0</v>
      </c>
      <c r="C155" s="281">
        <v>133</v>
      </c>
      <c r="D155" s="281">
        <v>1487</v>
      </c>
      <c r="E155" s="281">
        <v>0</v>
      </c>
      <c r="F155" s="281">
        <v>82</v>
      </c>
      <c r="G155" s="281">
        <v>10</v>
      </c>
      <c r="H155" s="281">
        <v>158</v>
      </c>
      <c r="I155" s="281">
        <v>0</v>
      </c>
      <c r="J155" s="281">
        <v>3</v>
      </c>
      <c r="K155" s="281">
        <f t="shared" si="4"/>
        <v>0</v>
      </c>
    </row>
    <row r="156" spans="1:11" x14ac:dyDescent="0.2">
      <c r="A156" s="281" t="s">
        <v>165</v>
      </c>
      <c r="B156" s="281">
        <v>0</v>
      </c>
      <c r="C156" s="281">
        <v>590</v>
      </c>
      <c r="D156" s="281">
        <v>6003</v>
      </c>
      <c r="E156" s="281">
        <v>0</v>
      </c>
      <c r="F156" s="281">
        <v>89</v>
      </c>
      <c r="G156" s="281">
        <v>47</v>
      </c>
      <c r="H156" s="281">
        <v>350</v>
      </c>
      <c r="I156" s="281">
        <v>0</v>
      </c>
      <c r="J156" s="281">
        <v>12</v>
      </c>
      <c r="K156" s="281">
        <f t="shared" si="4"/>
        <v>0</v>
      </c>
    </row>
    <row r="157" spans="1:11" x14ac:dyDescent="0.2">
      <c r="A157" s="281" t="s">
        <v>249</v>
      </c>
      <c r="B157" s="281">
        <v>1.4841592739684826E-2</v>
      </c>
      <c r="C157" s="281">
        <v>18615</v>
      </c>
      <c r="D157" s="281">
        <v>17541</v>
      </c>
      <c r="E157" s="281">
        <v>2439</v>
      </c>
      <c r="F157" s="281">
        <v>4245</v>
      </c>
      <c r="G157" s="281">
        <v>796</v>
      </c>
      <c r="H157" s="281">
        <v>488</v>
      </c>
      <c r="I157" s="281">
        <v>291</v>
      </c>
      <c r="J157" s="281">
        <v>450</v>
      </c>
      <c r="K157" s="281">
        <f t="shared" si="4"/>
        <v>635.81383296809793</v>
      </c>
    </row>
    <row r="158" spans="1:11" x14ac:dyDescent="0.2">
      <c r="A158" s="281" t="s">
        <v>397</v>
      </c>
      <c r="B158" s="281">
        <v>3.8476722045389752E-2</v>
      </c>
      <c r="C158" s="281">
        <v>207</v>
      </c>
      <c r="D158" s="281">
        <v>261</v>
      </c>
      <c r="E158" s="281">
        <v>18</v>
      </c>
      <c r="F158" s="281">
        <v>23</v>
      </c>
      <c r="G158" s="281">
        <v>6</v>
      </c>
      <c r="H158" s="281">
        <v>13</v>
      </c>
      <c r="I158" s="281">
        <v>1</v>
      </c>
      <c r="J158" s="281">
        <v>3</v>
      </c>
      <c r="K158" s="281">
        <f t="shared" si="4"/>
        <v>19.584651521103385</v>
      </c>
    </row>
    <row r="159" spans="1:11" x14ac:dyDescent="0.2">
      <c r="A159" s="281" t="s">
        <v>301</v>
      </c>
      <c r="B159" s="281">
        <v>0</v>
      </c>
      <c r="C159" s="281">
        <v>366</v>
      </c>
      <c r="D159" s="281">
        <v>979</v>
      </c>
      <c r="E159" s="281">
        <v>803</v>
      </c>
      <c r="F159" s="281">
        <v>1410</v>
      </c>
      <c r="G159" s="281">
        <v>29</v>
      </c>
      <c r="H159" s="281">
        <v>103</v>
      </c>
      <c r="I159" s="281">
        <v>103</v>
      </c>
      <c r="J159" s="281">
        <v>7</v>
      </c>
      <c r="K159" s="281">
        <f t="shared" si="4"/>
        <v>0</v>
      </c>
    </row>
    <row r="160" spans="1:11" x14ac:dyDescent="0.2">
      <c r="A160" s="281" t="s">
        <v>399</v>
      </c>
      <c r="B160" s="281">
        <v>1.9623054397379321E-2</v>
      </c>
      <c r="C160" s="281">
        <v>27200</v>
      </c>
      <c r="D160" s="281">
        <v>53171</v>
      </c>
      <c r="E160" s="281">
        <v>0</v>
      </c>
      <c r="F160" s="281">
        <v>7083</v>
      </c>
      <c r="G160" s="281">
        <v>1362</v>
      </c>
      <c r="H160" s="281">
        <v>1056</v>
      </c>
      <c r="I160" s="281">
        <v>0</v>
      </c>
      <c r="J160" s="281">
        <v>864</v>
      </c>
      <c r="K160" s="281">
        <f t="shared" si="4"/>
        <v>1716.1145992684112</v>
      </c>
    </row>
    <row r="161" spans="1:11" x14ac:dyDescent="0.2">
      <c r="A161" s="281" t="s">
        <v>167</v>
      </c>
      <c r="B161" s="281">
        <v>0</v>
      </c>
      <c r="C161" s="281">
        <v>6072</v>
      </c>
      <c r="D161" s="281">
        <v>15340</v>
      </c>
      <c r="E161" s="281">
        <v>2421</v>
      </c>
      <c r="F161" s="281">
        <v>993</v>
      </c>
      <c r="G161" s="281">
        <v>497</v>
      </c>
      <c r="H161" s="281">
        <v>1687</v>
      </c>
      <c r="I161" s="281">
        <v>324</v>
      </c>
      <c r="J161" s="281">
        <v>124</v>
      </c>
      <c r="K161" s="281">
        <f t="shared" si="4"/>
        <v>0</v>
      </c>
    </row>
    <row r="162" spans="1:11" x14ac:dyDescent="0.2">
      <c r="A162" s="281" t="s">
        <v>169</v>
      </c>
      <c r="B162" s="281">
        <v>4.0429371479882388E-3</v>
      </c>
      <c r="C162" s="281">
        <v>69</v>
      </c>
      <c r="D162" s="281">
        <v>422</v>
      </c>
      <c r="E162" s="281">
        <v>0</v>
      </c>
      <c r="F162" s="281">
        <v>3</v>
      </c>
      <c r="G162" s="281">
        <v>6</v>
      </c>
      <c r="H162" s="281">
        <v>45</v>
      </c>
      <c r="I162" s="281">
        <v>0</v>
      </c>
      <c r="J162" s="281">
        <v>2</v>
      </c>
      <c r="K162" s="281">
        <f t="shared" ref="K162:K195" si="5">B162*SUM(C162:F162)</f>
        <v>1.99721095110619</v>
      </c>
    </row>
    <row r="163" spans="1:11" x14ac:dyDescent="0.2">
      <c r="A163" s="281" t="s">
        <v>251</v>
      </c>
      <c r="B163" s="281">
        <v>8.495653835931493E-3</v>
      </c>
      <c r="C163" s="281">
        <v>481</v>
      </c>
      <c r="D163" s="281">
        <v>1658</v>
      </c>
      <c r="E163" s="281">
        <v>0</v>
      </c>
      <c r="F163" s="281">
        <v>35</v>
      </c>
      <c r="G163" s="281">
        <v>20</v>
      </c>
      <c r="H163" s="281">
        <v>119</v>
      </c>
      <c r="I163" s="281">
        <v>0</v>
      </c>
      <c r="J163" s="281">
        <v>11</v>
      </c>
      <c r="K163" s="281">
        <f t="shared" si="5"/>
        <v>18.469551439315065</v>
      </c>
    </row>
    <row r="164" spans="1:11" x14ac:dyDescent="0.2">
      <c r="A164" s="281" t="s">
        <v>401</v>
      </c>
      <c r="B164" s="281">
        <v>2.4089642301637137E-2</v>
      </c>
      <c r="C164" s="281">
        <v>19201</v>
      </c>
      <c r="D164" s="281">
        <v>31099</v>
      </c>
      <c r="E164" s="281">
        <v>1744</v>
      </c>
      <c r="F164" s="281">
        <v>4359</v>
      </c>
      <c r="G164" s="281">
        <v>962</v>
      </c>
      <c r="H164" s="281">
        <v>1440</v>
      </c>
      <c r="I164" s="281">
        <v>77</v>
      </c>
      <c r="J164" s="281">
        <v>298</v>
      </c>
      <c r="K164" s="281">
        <f t="shared" si="5"/>
        <v>1358.7280947392394</v>
      </c>
    </row>
    <row r="165" spans="1:11" x14ac:dyDescent="0.2">
      <c r="A165" s="281" t="s">
        <v>403</v>
      </c>
      <c r="B165" s="281">
        <v>3.4733976782496914E-2</v>
      </c>
      <c r="C165" s="281">
        <v>6594</v>
      </c>
      <c r="D165" s="281">
        <v>21256</v>
      </c>
      <c r="E165" s="281">
        <v>0</v>
      </c>
      <c r="F165" s="281">
        <v>1467</v>
      </c>
      <c r="G165" s="281">
        <v>281</v>
      </c>
      <c r="H165" s="281">
        <v>1620</v>
      </c>
      <c r="I165" s="281">
        <v>0</v>
      </c>
      <c r="J165" s="281">
        <v>121</v>
      </c>
      <c r="K165" s="281">
        <f t="shared" si="5"/>
        <v>1018.295997332462</v>
      </c>
    </row>
    <row r="166" spans="1:11" x14ac:dyDescent="0.2">
      <c r="A166" s="281" t="s">
        <v>405</v>
      </c>
      <c r="B166" s="281">
        <v>0.05</v>
      </c>
      <c r="C166" s="281">
        <v>69999</v>
      </c>
      <c r="D166" s="281">
        <v>205888</v>
      </c>
      <c r="E166" s="281">
        <v>12957</v>
      </c>
      <c r="F166" s="281">
        <v>15840</v>
      </c>
      <c r="G166" s="281">
        <v>1334</v>
      </c>
      <c r="H166" s="281">
        <v>4336</v>
      </c>
      <c r="I166" s="281">
        <v>372</v>
      </c>
      <c r="J166" s="281">
        <v>471</v>
      </c>
      <c r="K166" s="281">
        <f t="shared" si="5"/>
        <v>15234.2</v>
      </c>
    </row>
    <row r="167" spans="1:11" x14ac:dyDescent="0.2">
      <c r="A167" s="281" t="s">
        <v>171</v>
      </c>
      <c r="B167" s="281">
        <v>9.2426156137463723E-3</v>
      </c>
      <c r="C167" s="281">
        <v>381</v>
      </c>
      <c r="D167" s="281">
        <v>4805</v>
      </c>
      <c r="E167" s="281">
        <v>0</v>
      </c>
      <c r="F167" s="281">
        <v>32</v>
      </c>
      <c r="G167" s="281">
        <v>16</v>
      </c>
      <c r="H167" s="281">
        <v>298</v>
      </c>
      <c r="I167" s="281">
        <v>0</v>
      </c>
      <c r="J167" s="281">
        <v>9</v>
      </c>
      <c r="K167" s="281">
        <f t="shared" si="5"/>
        <v>48.227968272528571</v>
      </c>
    </row>
    <row r="168" spans="1:11" x14ac:dyDescent="0.2">
      <c r="A168" s="281" t="s">
        <v>173</v>
      </c>
      <c r="B168" s="281">
        <v>2.8703112294754224E-2</v>
      </c>
      <c r="C168" s="281">
        <v>243</v>
      </c>
      <c r="D168" s="281">
        <v>963</v>
      </c>
      <c r="E168" s="281">
        <v>5</v>
      </c>
      <c r="F168" s="281">
        <v>46</v>
      </c>
      <c r="G168" s="281">
        <v>10</v>
      </c>
      <c r="H168" s="281">
        <v>8</v>
      </c>
      <c r="I168" s="281">
        <v>0</v>
      </c>
      <c r="J168" s="281">
        <v>2</v>
      </c>
      <c r="K168" s="281">
        <f t="shared" si="5"/>
        <v>36.079812154506058</v>
      </c>
    </row>
    <row r="169" spans="1:11" x14ac:dyDescent="0.2">
      <c r="A169" s="281" t="s">
        <v>303</v>
      </c>
      <c r="B169" s="281">
        <v>5.5578966618027234E-3</v>
      </c>
      <c r="C169" s="281">
        <v>22486</v>
      </c>
      <c r="D169" s="281">
        <v>26909</v>
      </c>
      <c r="E169" s="281">
        <v>0</v>
      </c>
      <c r="F169" s="281">
        <v>18615</v>
      </c>
      <c r="G169" s="281">
        <v>938</v>
      </c>
      <c r="H169" s="281">
        <v>1412</v>
      </c>
      <c r="I169" s="281">
        <v>0</v>
      </c>
      <c r="J169" s="281">
        <v>530</v>
      </c>
      <c r="K169" s="281">
        <f t="shared" si="5"/>
        <v>377.99255196920319</v>
      </c>
    </row>
    <row r="170" spans="1:11" x14ac:dyDescent="0.2">
      <c r="A170" s="281" t="s">
        <v>175</v>
      </c>
      <c r="B170" s="281">
        <v>0</v>
      </c>
      <c r="C170" s="281">
        <v>713</v>
      </c>
      <c r="D170" s="281">
        <v>3818</v>
      </c>
      <c r="E170" s="281">
        <v>0</v>
      </c>
      <c r="F170" s="281">
        <v>78</v>
      </c>
      <c r="G170" s="281">
        <v>74</v>
      </c>
      <c r="H170" s="281">
        <v>347</v>
      </c>
      <c r="I170" s="281">
        <v>0</v>
      </c>
      <c r="J170" s="281">
        <v>19</v>
      </c>
      <c r="K170" s="281">
        <f t="shared" si="5"/>
        <v>0</v>
      </c>
    </row>
    <row r="171" spans="1:11" x14ac:dyDescent="0.2">
      <c r="A171" s="281" t="s">
        <v>177</v>
      </c>
      <c r="B171" s="281">
        <v>0</v>
      </c>
      <c r="C171" s="281">
        <v>641</v>
      </c>
      <c r="D171" s="281">
        <v>2047</v>
      </c>
      <c r="E171" s="281">
        <v>1348</v>
      </c>
      <c r="F171" s="281">
        <v>224</v>
      </c>
      <c r="G171" s="281">
        <v>51</v>
      </c>
      <c r="H171" s="281">
        <v>218</v>
      </c>
      <c r="I171" s="281">
        <v>175</v>
      </c>
      <c r="J171" s="281">
        <v>13</v>
      </c>
      <c r="K171" s="281">
        <f t="shared" si="5"/>
        <v>0</v>
      </c>
    </row>
    <row r="172" spans="1:11" x14ac:dyDescent="0.2">
      <c r="A172" s="281" t="s">
        <v>437</v>
      </c>
      <c r="B172" s="281">
        <v>9.3621620715817824E-3</v>
      </c>
      <c r="C172" s="281">
        <v>56212</v>
      </c>
      <c r="D172" s="281">
        <v>192679</v>
      </c>
      <c r="E172" s="281">
        <v>0</v>
      </c>
      <c r="F172" s="281">
        <v>38619</v>
      </c>
      <c r="G172" s="281">
        <v>2470</v>
      </c>
      <c r="H172" s="281">
        <v>10670</v>
      </c>
      <c r="I172" s="281">
        <v>0</v>
      </c>
      <c r="J172" s="281">
        <v>1800</v>
      </c>
      <c r="K172" s="281">
        <f t="shared" si="5"/>
        <v>2691.7152172004785</v>
      </c>
    </row>
    <row r="173" spans="1:11" x14ac:dyDescent="0.2">
      <c r="A173" s="281" t="s">
        <v>407</v>
      </c>
      <c r="B173" s="281">
        <v>1.5300604847586186E-2</v>
      </c>
      <c r="C173" s="281">
        <v>20053</v>
      </c>
      <c r="D173" s="281">
        <v>40098</v>
      </c>
      <c r="E173" s="281">
        <v>5239</v>
      </c>
      <c r="F173" s="281">
        <v>991</v>
      </c>
      <c r="G173" s="281">
        <v>893</v>
      </c>
      <c r="H173" s="281">
        <v>11056</v>
      </c>
      <c r="I173" s="281">
        <v>422</v>
      </c>
      <c r="J173" s="281">
        <v>66</v>
      </c>
      <c r="K173" s="281">
        <f t="shared" si="5"/>
        <v>1015.6694503876186</v>
      </c>
    </row>
    <row r="174" spans="1:11" x14ac:dyDescent="0.2">
      <c r="A174" s="281" t="s">
        <v>409</v>
      </c>
      <c r="B174" s="281">
        <v>1.5282073347120754E-2</v>
      </c>
      <c r="C174" s="281">
        <v>13418</v>
      </c>
      <c r="D174" s="281">
        <v>25476</v>
      </c>
      <c r="E174" s="281">
        <v>1226</v>
      </c>
      <c r="F174" s="281">
        <v>1022</v>
      </c>
      <c r="G174" s="281">
        <v>265</v>
      </c>
      <c r="H174" s="281">
        <v>235</v>
      </c>
      <c r="I174" s="281">
        <v>50</v>
      </c>
      <c r="J174" s="281">
        <v>20</v>
      </c>
      <c r="K174" s="281">
        <f t="shared" si="5"/>
        <v>628.73506164724211</v>
      </c>
    </row>
    <row r="175" spans="1:11" x14ac:dyDescent="0.2">
      <c r="A175" s="281" t="s">
        <v>439</v>
      </c>
      <c r="B175" s="281">
        <v>4.0795330530500424E-3</v>
      </c>
      <c r="C175" s="281">
        <v>952</v>
      </c>
      <c r="D175" s="281">
        <v>1557</v>
      </c>
      <c r="E175" s="281">
        <v>643</v>
      </c>
      <c r="F175" s="281">
        <v>250</v>
      </c>
      <c r="G175" s="281">
        <v>33</v>
      </c>
      <c r="H175" s="281">
        <v>60</v>
      </c>
      <c r="I175" s="281">
        <v>59</v>
      </c>
      <c r="J175" s="281">
        <v>8</v>
      </c>
      <c r="K175" s="281">
        <f t="shared" si="5"/>
        <v>13.878571446476244</v>
      </c>
    </row>
    <row r="176" spans="1:11" x14ac:dyDescent="0.2">
      <c r="A176" s="281" t="s">
        <v>486</v>
      </c>
      <c r="B176" s="281">
        <v>8.9417624089222613E-3</v>
      </c>
      <c r="C176" s="281">
        <v>57</v>
      </c>
      <c r="D176" s="281">
        <v>439</v>
      </c>
      <c r="E176" s="281">
        <v>0</v>
      </c>
      <c r="F176" s="281">
        <v>4</v>
      </c>
      <c r="G176" s="281">
        <v>2</v>
      </c>
      <c r="H176" s="281">
        <v>31</v>
      </c>
      <c r="I176" s="281">
        <v>0</v>
      </c>
      <c r="J176" s="281">
        <v>1</v>
      </c>
      <c r="K176" s="281">
        <f t="shared" si="5"/>
        <v>4.470881204461131</v>
      </c>
    </row>
    <row r="177" spans="1:11" x14ac:dyDescent="0.2">
      <c r="A177" s="281" t="s">
        <v>253</v>
      </c>
      <c r="B177" s="281">
        <v>2.417212517369834E-2</v>
      </c>
      <c r="C177" s="281">
        <v>7567</v>
      </c>
      <c r="D177" s="281">
        <v>6204</v>
      </c>
      <c r="E177" s="281">
        <v>158</v>
      </c>
      <c r="F177" s="281">
        <v>929</v>
      </c>
      <c r="G177" s="281">
        <v>298</v>
      </c>
      <c r="H177" s="281">
        <v>432</v>
      </c>
      <c r="I177" s="281">
        <v>13</v>
      </c>
      <c r="J177" s="281">
        <v>69</v>
      </c>
      <c r="K177" s="281">
        <f t="shared" si="5"/>
        <v>359.14943583080992</v>
      </c>
    </row>
    <row r="178" spans="1:11" x14ac:dyDescent="0.2">
      <c r="A178" s="281" t="s">
        <v>305</v>
      </c>
      <c r="B178" s="281">
        <v>8.7926587676104579E-3</v>
      </c>
      <c r="C178" s="281">
        <v>15439</v>
      </c>
      <c r="D178" s="281">
        <v>29794</v>
      </c>
      <c r="E178" s="281">
        <v>0</v>
      </c>
      <c r="F178" s="281">
        <v>2711</v>
      </c>
      <c r="G178" s="281">
        <v>655</v>
      </c>
      <c r="H178" s="281">
        <v>2142</v>
      </c>
      <c r="I178" s="281">
        <v>0</v>
      </c>
      <c r="J178" s="281">
        <v>370</v>
      </c>
      <c r="K178" s="281">
        <f t="shared" si="5"/>
        <v>421.55523195431579</v>
      </c>
    </row>
    <row r="179" spans="1:11" x14ac:dyDescent="0.2">
      <c r="A179" s="281" t="s">
        <v>411</v>
      </c>
      <c r="B179" s="281">
        <v>1.6204386336006071E-2</v>
      </c>
      <c r="C179" s="281">
        <v>309358</v>
      </c>
      <c r="D179" s="281">
        <v>195622</v>
      </c>
      <c r="E179" s="281">
        <v>57747</v>
      </c>
      <c r="F179" s="281">
        <v>32826</v>
      </c>
      <c r="G179" s="281">
        <v>9395</v>
      </c>
      <c r="H179" s="281">
        <v>15247</v>
      </c>
      <c r="I179" s="281">
        <v>2807</v>
      </c>
      <c r="J179" s="281">
        <v>1723</v>
      </c>
      <c r="K179" s="281">
        <f t="shared" si="5"/>
        <v>9650.5708955674236</v>
      </c>
    </row>
    <row r="180" spans="1:11" x14ac:dyDescent="0.2">
      <c r="A180" s="281" t="s">
        <v>488</v>
      </c>
      <c r="B180" s="281">
        <v>1.3004897501324273E-2</v>
      </c>
      <c r="C180" s="281">
        <v>11</v>
      </c>
      <c r="D180" s="281">
        <v>50</v>
      </c>
      <c r="E180" s="281">
        <v>0</v>
      </c>
      <c r="F180" s="281">
        <v>3</v>
      </c>
      <c r="G180" s="281">
        <v>0</v>
      </c>
      <c r="H180" s="281">
        <v>4</v>
      </c>
      <c r="I180" s="281">
        <v>0</v>
      </c>
      <c r="J180" s="281">
        <v>0</v>
      </c>
      <c r="K180" s="281">
        <f t="shared" si="5"/>
        <v>0.8323134400847535</v>
      </c>
    </row>
    <row r="181" spans="1:11" x14ac:dyDescent="0.2">
      <c r="A181" s="281" t="s">
        <v>179</v>
      </c>
      <c r="B181" s="281">
        <v>0</v>
      </c>
      <c r="C181" s="281">
        <v>836</v>
      </c>
      <c r="D181" s="281">
        <v>34880</v>
      </c>
      <c r="E181" s="281">
        <v>0</v>
      </c>
      <c r="F181" s="281">
        <v>845</v>
      </c>
      <c r="G181" s="281">
        <v>66</v>
      </c>
      <c r="H181" s="281">
        <v>3679</v>
      </c>
      <c r="I181" s="281">
        <v>0</v>
      </c>
      <c r="J181" s="281">
        <v>17</v>
      </c>
      <c r="K181" s="281">
        <f t="shared" si="5"/>
        <v>0</v>
      </c>
    </row>
    <row r="182" spans="1:11" x14ac:dyDescent="0.2">
      <c r="A182" s="281" t="s">
        <v>181</v>
      </c>
      <c r="B182" s="281">
        <v>0</v>
      </c>
      <c r="C182" s="281">
        <v>7680</v>
      </c>
      <c r="D182" s="281">
        <v>56675</v>
      </c>
      <c r="E182" s="281">
        <v>0</v>
      </c>
      <c r="F182" s="281">
        <v>54</v>
      </c>
      <c r="G182" s="281">
        <v>597</v>
      </c>
      <c r="H182" s="281">
        <v>10353</v>
      </c>
      <c r="I182" s="281">
        <v>0</v>
      </c>
      <c r="J182" s="281">
        <v>150</v>
      </c>
      <c r="K182" s="281">
        <f t="shared" si="5"/>
        <v>0</v>
      </c>
    </row>
    <row r="183" spans="1:11" x14ac:dyDescent="0.2">
      <c r="A183" s="281" t="s">
        <v>413</v>
      </c>
      <c r="B183" s="281">
        <v>2.1549016550904385E-2</v>
      </c>
      <c r="C183" s="281">
        <v>130897</v>
      </c>
      <c r="D183" s="281">
        <v>275597</v>
      </c>
      <c r="E183" s="281">
        <v>15789</v>
      </c>
      <c r="F183" s="281">
        <v>1475</v>
      </c>
      <c r="G183" s="281">
        <v>3787</v>
      </c>
      <c r="H183" s="281">
        <v>14526</v>
      </c>
      <c r="I183" s="281">
        <v>1515</v>
      </c>
      <c r="J183" s="281">
        <v>6124</v>
      </c>
      <c r="K183" s="281">
        <f t="shared" si="5"/>
        <v>9131.5681555781412</v>
      </c>
    </row>
    <row r="184" spans="1:11" x14ac:dyDescent="0.2">
      <c r="A184" s="281" t="s">
        <v>255</v>
      </c>
      <c r="B184" s="281">
        <v>4.0209286123877468E-2</v>
      </c>
      <c r="C184" s="281">
        <v>17159</v>
      </c>
      <c r="D184" s="281">
        <v>34707</v>
      </c>
      <c r="E184" s="281">
        <v>1332</v>
      </c>
      <c r="F184" s="281">
        <v>1842</v>
      </c>
      <c r="G184" s="281">
        <v>676</v>
      </c>
      <c r="H184" s="281">
        <v>305</v>
      </c>
      <c r="I184" s="281">
        <v>49</v>
      </c>
      <c r="J184" s="281">
        <v>156</v>
      </c>
      <c r="K184" s="281">
        <f t="shared" si="5"/>
        <v>2213.1191082582159</v>
      </c>
    </row>
    <row r="185" spans="1:11" x14ac:dyDescent="0.2">
      <c r="A185" s="281" t="s">
        <v>257</v>
      </c>
      <c r="B185" s="281">
        <v>0.05</v>
      </c>
      <c r="C185" s="281">
        <v>862066</v>
      </c>
      <c r="D185" s="281">
        <v>5193307</v>
      </c>
      <c r="E185" s="281">
        <v>0</v>
      </c>
      <c r="F185" s="281">
        <v>306144</v>
      </c>
      <c r="G185" s="281">
        <v>26826</v>
      </c>
      <c r="H185" s="281">
        <v>281893</v>
      </c>
      <c r="I185" s="281">
        <v>0</v>
      </c>
      <c r="J185" s="281">
        <v>11308</v>
      </c>
      <c r="K185" s="281">
        <f t="shared" si="5"/>
        <v>318075.85000000003</v>
      </c>
    </row>
    <row r="186" spans="1:11" x14ac:dyDescent="0.2">
      <c r="A186" s="281" t="s">
        <v>415</v>
      </c>
      <c r="B186" s="281">
        <v>3.2742388391407883E-2</v>
      </c>
      <c r="C186" s="281">
        <v>79530</v>
      </c>
      <c r="D186" s="281">
        <v>350321</v>
      </c>
      <c r="E186" s="281">
        <v>27554</v>
      </c>
      <c r="F186" s="281">
        <v>1368</v>
      </c>
      <c r="G186" s="281">
        <v>3452</v>
      </c>
      <c r="H186" s="281">
        <v>38068</v>
      </c>
      <c r="I186" s="281">
        <v>2540</v>
      </c>
      <c r="J186" s="281">
        <v>117</v>
      </c>
      <c r="K186" s="281">
        <f t="shared" si="5"/>
        <v>15021.323749491368</v>
      </c>
    </row>
    <row r="187" spans="1:11" x14ac:dyDescent="0.2">
      <c r="A187" s="281" t="s">
        <v>259</v>
      </c>
      <c r="B187" s="281">
        <v>1.942922522231131E-2</v>
      </c>
      <c r="C187" s="281">
        <v>104</v>
      </c>
      <c r="D187" s="281">
        <v>778</v>
      </c>
      <c r="E187" s="281">
        <v>43</v>
      </c>
      <c r="F187" s="281">
        <v>37</v>
      </c>
      <c r="G187" s="281">
        <v>4</v>
      </c>
      <c r="H187" s="281">
        <v>47</v>
      </c>
      <c r="I187" s="281">
        <v>3</v>
      </c>
      <c r="J187" s="281">
        <v>1</v>
      </c>
      <c r="K187" s="281">
        <f t="shared" si="5"/>
        <v>18.690914663863481</v>
      </c>
    </row>
    <row r="188" spans="1:11" x14ac:dyDescent="0.2">
      <c r="A188" s="281" t="s">
        <v>261</v>
      </c>
      <c r="B188" s="281">
        <v>1.0149444452042813E-2</v>
      </c>
      <c r="C188" s="281">
        <v>49198</v>
      </c>
      <c r="D188" s="281">
        <v>58732</v>
      </c>
      <c r="E188" s="281">
        <v>10906</v>
      </c>
      <c r="F188" s="281">
        <v>15082</v>
      </c>
      <c r="G188" s="281">
        <v>1983</v>
      </c>
      <c r="H188" s="281">
        <v>2935</v>
      </c>
      <c r="I188" s="281">
        <v>902</v>
      </c>
      <c r="J188" s="281">
        <v>458</v>
      </c>
      <c r="K188" s="281">
        <f t="shared" si="5"/>
        <v>1359.1933021286695</v>
      </c>
    </row>
    <row r="189" spans="1:11" x14ac:dyDescent="0.2">
      <c r="A189" s="281" t="s">
        <v>490</v>
      </c>
      <c r="B189" s="281">
        <v>5.6006410551391848E-3</v>
      </c>
      <c r="C189" s="281">
        <v>80636</v>
      </c>
      <c r="D189" s="281">
        <v>110914</v>
      </c>
      <c r="E189" s="281">
        <v>29927</v>
      </c>
      <c r="F189" s="281">
        <v>32986</v>
      </c>
      <c r="G189" s="281">
        <v>6586</v>
      </c>
      <c r="H189" s="281">
        <v>12178</v>
      </c>
      <c r="I189" s="281">
        <v>3999</v>
      </c>
      <c r="J189" s="281">
        <v>1650</v>
      </c>
      <c r="K189" s="281">
        <f t="shared" si="5"/>
        <v>1425.1559248138824</v>
      </c>
    </row>
    <row r="190" spans="1:11" x14ac:dyDescent="0.2">
      <c r="A190" s="281" t="s">
        <v>492</v>
      </c>
      <c r="B190" s="281">
        <v>0</v>
      </c>
      <c r="C190" s="281">
        <v>51</v>
      </c>
      <c r="D190" s="281">
        <v>438</v>
      </c>
      <c r="E190" s="281">
        <v>0</v>
      </c>
      <c r="F190" s="281">
        <v>36</v>
      </c>
      <c r="G190" s="281">
        <v>2</v>
      </c>
      <c r="H190" s="281">
        <v>37</v>
      </c>
      <c r="I190" s="281">
        <v>0</v>
      </c>
      <c r="J190" s="281">
        <v>1</v>
      </c>
      <c r="K190" s="281">
        <f t="shared" si="5"/>
        <v>0</v>
      </c>
    </row>
    <row r="191" spans="1:11" x14ac:dyDescent="0.2">
      <c r="A191" s="281" t="s">
        <v>494</v>
      </c>
      <c r="B191" s="281">
        <v>5.3918894974420845E-3</v>
      </c>
      <c r="C191" s="281">
        <v>68</v>
      </c>
      <c r="D191" s="281">
        <v>494</v>
      </c>
      <c r="E191" s="281">
        <v>0</v>
      </c>
      <c r="F191" s="281">
        <v>15</v>
      </c>
      <c r="G191" s="281">
        <v>3</v>
      </c>
      <c r="H191" s="281">
        <v>117</v>
      </c>
      <c r="I191" s="281">
        <v>0</v>
      </c>
      <c r="J191" s="281">
        <v>2</v>
      </c>
      <c r="K191" s="281">
        <f t="shared" si="5"/>
        <v>3.1111202400240829</v>
      </c>
    </row>
    <row r="192" spans="1:11" x14ac:dyDescent="0.2">
      <c r="A192" s="281" t="s">
        <v>307</v>
      </c>
      <c r="B192" s="281">
        <v>0</v>
      </c>
      <c r="C192" s="281">
        <v>15676</v>
      </c>
      <c r="D192" s="281">
        <v>23418</v>
      </c>
      <c r="E192" s="281">
        <v>0</v>
      </c>
      <c r="F192" s="281">
        <v>3140</v>
      </c>
      <c r="G192" s="281">
        <v>1247</v>
      </c>
      <c r="H192" s="281">
        <v>2504</v>
      </c>
      <c r="I192" s="281">
        <v>0</v>
      </c>
      <c r="J192" s="281">
        <v>312</v>
      </c>
      <c r="K192" s="281">
        <f t="shared" si="5"/>
        <v>0</v>
      </c>
    </row>
    <row r="193" spans="1:11" x14ac:dyDescent="0.2">
      <c r="A193" s="281" t="s">
        <v>183</v>
      </c>
      <c r="B193" s="281">
        <v>4.7447858309343643E-3</v>
      </c>
      <c r="C193" s="281">
        <v>46691</v>
      </c>
      <c r="D193" s="281">
        <v>77576</v>
      </c>
      <c r="E193" s="281">
        <v>0</v>
      </c>
      <c r="F193" s="281">
        <v>16111</v>
      </c>
      <c r="G193" s="281">
        <v>1805</v>
      </c>
      <c r="H193" s="281">
        <v>10192</v>
      </c>
      <c r="I193" s="281">
        <v>0</v>
      </c>
      <c r="J193" s="281">
        <v>417</v>
      </c>
      <c r="K193" s="281">
        <f t="shared" si="5"/>
        <v>666.06354537490415</v>
      </c>
    </row>
    <row r="194" spans="1:11" x14ac:dyDescent="0.2">
      <c r="A194" s="281" t="s">
        <v>185</v>
      </c>
      <c r="B194" s="281">
        <v>3.8323509323872698E-3</v>
      </c>
      <c r="C194" s="281">
        <v>21755</v>
      </c>
      <c r="D194" s="281">
        <v>18233</v>
      </c>
      <c r="E194" s="281">
        <v>516</v>
      </c>
      <c r="F194" s="281">
        <v>815</v>
      </c>
      <c r="G194" s="281">
        <v>1714</v>
      </c>
      <c r="H194" s="281">
        <v>2558</v>
      </c>
      <c r="I194" s="281">
        <v>141</v>
      </c>
      <c r="J194" s="281">
        <v>429</v>
      </c>
      <c r="K194" s="281">
        <f t="shared" si="5"/>
        <v>158.34890817530959</v>
      </c>
    </row>
    <row r="195" spans="1:11" x14ac:dyDescent="0.2">
      <c r="A195" s="281" t="s">
        <v>187</v>
      </c>
      <c r="B195" s="281">
        <v>3.810342984321321E-3</v>
      </c>
      <c r="C195" s="281">
        <v>3123</v>
      </c>
      <c r="D195" s="281">
        <v>28832</v>
      </c>
      <c r="E195" s="281">
        <v>0</v>
      </c>
      <c r="F195" s="281">
        <v>1442</v>
      </c>
      <c r="G195" s="281">
        <v>207</v>
      </c>
      <c r="H195" s="281">
        <v>796</v>
      </c>
      <c r="I195" s="281">
        <v>0</v>
      </c>
      <c r="J195" s="281">
        <v>101</v>
      </c>
      <c r="K195" s="281">
        <f t="shared" si="5"/>
        <v>127.25402464737915</v>
      </c>
    </row>
  </sheetData>
  <pageMargins left="0.7" right="0.7" top="0.75" bottom="0.75" header="0.3" footer="0.3"/>
  <pageSetup paperSize="9" orientation="portrait" horizontalDpi="0" verticalDpi="0" r:id="rId1"/>
  <tableParts count="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767F6-A40F-419B-911A-03D99FAC8532}">
  <sheetPr codeName="Sheet29">
    <tabColor rgb="FF7030A0"/>
  </sheetPr>
  <dimension ref="A1:Z320"/>
  <sheetViews>
    <sheetView topLeftCell="L1" workbookViewId="0">
      <selection activeCell="X2" sqref="X2"/>
    </sheetView>
  </sheetViews>
  <sheetFormatPr defaultRowHeight="12.75" x14ac:dyDescent="0.2"/>
  <cols>
    <col min="1" max="1" width="35.85546875" style="281" customWidth="1"/>
    <col min="2" max="2" width="62.28515625" customWidth="1"/>
    <col min="3" max="3" width="11.42578125" customWidth="1"/>
    <col min="4" max="4" width="45.7109375" customWidth="1"/>
    <col min="5" max="5" width="22.85546875" customWidth="1"/>
    <col min="6" max="6" width="18.7109375" customWidth="1"/>
    <col min="7" max="7" width="22" customWidth="1"/>
    <col min="8" max="8" width="26" customWidth="1"/>
    <col min="9" max="9" width="23.85546875" style="242" customWidth="1"/>
    <col min="10" max="10" width="42.85546875" style="37" customWidth="1"/>
    <col min="11" max="11" width="50.28515625" style="37" customWidth="1"/>
    <col min="12" max="12" width="49.5703125" style="37" customWidth="1"/>
    <col min="13" max="13" width="34.5703125" style="37" customWidth="1"/>
    <col min="14" max="14" width="34.85546875" style="37" customWidth="1"/>
    <col min="15" max="15" width="71.28515625" style="94" customWidth="1"/>
    <col min="16" max="16" width="75.85546875" style="94" customWidth="1"/>
    <col min="17" max="17" width="51.28515625" style="94" customWidth="1"/>
    <col min="18" max="18" width="55.42578125" style="94" customWidth="1"/>
    <col min="19" max="19" width="44.28515625" style="94" customWidth="1"/>
    <col min="20" max="20" width="45" style="94" customWidth="1"/>
    <col min="21" max="21" width="16.42578125" style="273" customWidth="1"/>
  </cols>
  <sheetData>
    <row r="1" spans="1:24" x14ac:dyDescent="0.2">
      <c r="A1" s="281" t="s">
        <v>3589</v>
      </c>
      <c r="B1" s="281" t="s">
        <v>3226</v>
      </c>
      <c r="C1" t="s">
        <v>3577</v>
      </c>
      <c r="D1" s="281" t="s">
        <v>3223</v>
      </c>
      <c r="E1" s="281" t="s">
        <v>3224</v>
      </c>
      <c r="F1" s="281" t="s">
        <v>3225</v>
      </c>
      <c r="G1" s="281" t="s">
        <v>3227</v>
      </c>
      <c r="H1" s="281" t="s">
        <v>3228</v>
      </c>
      <c r="I1" s="242" t="s">
        <v>3229</v>
      </c>
      <c r="J1" s="37" t="s">
        <v>3230</v>
      </c>
      <c r="K1" s="94" t="s">
        <v>3584</v>
      </c>
      <c r="L1" s="94" t="s">
        <v>3585</v>
      </c>
      <c r="M1" s="94" t="s">
        <v>3586</v>
      </c>
      <c r="N1" s="94" t="s">
        <v>3587</v>
      </c>
      <c r="O1" s="94" t="s">
        <v>3231</v>
      </c>
      <c r="P1" s="94" t="s">
        <v>3232</v>
      </c>
      <c r="Q1" s="94" t="s">
        <v>3233</v>
      </c>
      <c r="R1" s="94" t="s">
        <v>3234</v>
      </c>
      <c r="S1" s="94" t="s">
        <v>3235</v>
      </c>
      <c r="T1" s="94" t="s">
        <v>3236</v>
      </c>
      <c r="U1" s="298" t="s">
        <v>3588</v>
      </c>
      <c r="V1" s="94" t="s">
        <v>3706</v>
      </c>
    </row>
    <row r="2" spans="1:24" x14ac:dyDescent="0.2">
      <c r="A2" s="281" t="str">
        <f>CONCATENATE(CCE[[#This Row],[Capacity Segment - rename]]," - ",CCE[[#This Row],[Equipment model]])</f>
        <v>10 cbm - Foster 10 cbm (Mono cooling unit)</v>
      </c>
      <c r="B2" s="281" t="s">
        <v>3240</v>
      </c>
      <c r="C2" t="s">
        <v>3196</v>
      </c>
      <c r="D2" s="281" t="s">
        <v>3237</v>
      </c>
      <c r="E2" s="281" t="s">
        <v>3238</v>
      </c>
      <c r="F2" s="281" t="s">
        <v>3239</v>
      </c>
      <c r="G2" s="281">
        <v>10000</v>
      </c>
      <c r="H2" s="281"/>
      <c r="J2" s="37">
        <v>16405.458999999999</v>
      </c>
      <c r="K2" s="37">
        <f>O2</f>
        <v>11000</v>
      </c>
      <c r="L2" s="37">
        <f>P2</f>
        <v>15000</v>
      </c>
      <c r="M2" s="37">
        <f>$J2+K2</f>
        <v>27405.458999999999</v>
      </c>
      <c r="N2" s="37">
        <f t="shared" ref="N2" si="0">$J2+L2</f>
        <v>31405.458999999999</v>
      </c>
      <c r="O2" s="94">
        <v>11000</v>
      </c>
      <c r="P2" s="94">
        <v>15000</v>
      </c>
      <c r="Q2" s="94" t="s">
        <v>2471</v>
      </c>
      <c r="R2" s="94" t="s">
        <v>2471</v>
      </c>
      <c r="S2" s="94">
        <f t="shared" ref="S2:S32" si="1">J2+O2</f>
        <v>27405.458999999999</v>
      </c>
      <c r="T2" s="94">
        <f t="shared" ref="T2:T32" si="2">J2+P2</f>
        <v>31405.458999999999</v>
      </c>
      <c r="U2" s="273">
        <v>24</v>
      </c>
      <c r="V2" s="94" t="s">
        <v>3238</v>
      </c>
      <c r="X2" t="s">
        <v>14189</v>
      </c>
    </row>
    <row r="3" spans="1:24" x14ac:dyDescent="0.2">
      <c r="A3" s="299" t="str">
        <f>CONCATENATE(CCE[[#This Row],[Capacity Segment - rename]]," - ",CCE[[#This Row],[Equipment model]])</f>
        <v>10 cbm - Haier 10 cbm  (Mono cooling unit)</v>
      </c>
      <c r="B3" s="281" t="s">
        <v>3243</v>
      </c>
      <c r="C3" s="281" t="s">
        <v>3196</v>
      </c>
      <c r="D3" s="281" t="s">
        <v>3237</v>
      </c>
      <c r="E3" s="281" t="s">
        <v>3238</v>
      </c>
      <c r="F3" s="281" t="s">
        <v>3242</v>
      </c>
      <c r="G3" s="281">
        <v>10000</v>
      </c>
      <c r="H3" s="281"/>
      <c r="J3" s="37">
        <v>11900</v>
      </c>
      <c r="K3" s="37">
        <f t="shared" ref="K3:K61" si="3">O3</f>
        <v>11000</v>
      </c>
      <c r="L3" s="37">
        <f t="shared" ref="L3:L61" si="4">P3</f>
        <v>15000</v>
      </c>
      <c r="M3" s="37">
        <f t="shared" ref="M3:M61" si="5">$J3+K3</f>
        <v>22900</v>
      </c>
      <c r="N3" s="37">
        <f t="shared" ref="N3:N61" si="6">$J3+L3</f>
        <v>26900</v>
      </c>
      <c r="O3" s="94">
        <v>11000</v>
      </c>
      <c r="P3" s="94">
        <v>15000</v>
      </c>
      <c r="Q3" s="94" t="s">
        <v>2471</v>
      </c>
      <c r="R3" s="94" t="s">
        <v>2471</v>
      </c>
      <c r="S3" s="94">
        <f t="shared" si="1"/>
        <v>22900</v>
      </c>
      <c r="T3" s="94">
        <f t="shared" si="2"/>
        <v>26900</v>
      </c>
      <c r="U3" s="273">
        <v>31.2</v>
      </c>
      <c r="V3" s="94" t="s">
        <v>3238</v>
      </c>
    </row>
    <row r="4" spans="1:24" x14ac:dyDescent="0.2">
      <c r="A4" s="299" t="str">
        <f>CONCATENATE(CCE[[#This Row],[Capacity Segment - rename]]," - ",CCE[[#This Row],[Equipment model]])</f>
        <v>10 cbm - Porkka 10 cbm  (Mono cooling unit)</v>
      </c>
      <c r="B4" s="281" t="s">
        <v>3245</v>
      </c>
      <c r="C4" s="281" t="s">
        <v>3196</v>
      </c>
      <c r="D4" s="281" t="s">
        <v>3237</v>
      </c>
      <c r="E4" s="281" t="s">
        <v>3238</v>
      </c>
      <c r="F4" s="281" t="s">
        <v>3244</v>
      </c>
      <c r="G4" s="281">
        <v>10000</v>
      </c>
      <c r="H4" s="281"/>
      <c r="J4" s="37">
        <v>17076.5</v>
      </c>
      <c r="K4" s="37">
        <f t="shared" si="3"/>
        <v>11000</v>
      </c>
      <c r="L4" s="37">
        <f t="shared" si="4"/>
        <v>15000</v>
      </c>
      <c r="M4" s="37">
        <f t="shared" si="5"/>
        <v>28076.5</v>
      </c>
      <c r="N4" s="37">
        <f t="shared" si="6"/>
        <v>32076.5</v>
      </c>
      <c r="O4" s="94">
        <v>11000</v>
      </c>
      <c r="P4" s="94">
        <v>15000</v>
      </c>
      <c r="Q4" s="94" t="s">
        <v>2471</v>
      </c>
      <c r="R4" s="94" t="s">
        <v>2471</v>
      </c>
      <c r="S4" s="94">
        <f t="shared" si="1"/>
        <v>28076.5</v>
      </c>
      <c r="T4" s="94">
        <f t="shared" si="2"/>
        <v>32076.5</v>
      </c>
      <c r="U4" s="273">
        <v>29.04</v>
      </c>
      <c r="V4" s="94" t="s">
        <v>3238</v>
      </c>
    </row>
    <row r="5" spans="1:24" x14ac:dyDescent="0.2">
      <c r="A5" s="299" t="str">
        <f>CONCATENATE(CCE[[#This Row],[Capacity Segment - rename]]," - ",CCE[[#This Row],[Equipment model]])</f>
        <v>10 cbm - Viessmann 10 cbm  (Mono cooling unit)</v>
      </c>
      <c r="B5" s="281" t="s">
        <v>3247</v>
      </c>
      <c r="C5" s="281" t="s">
        <v>3196</v>
      </c>
      <c r="D5" s="281" t="s">
        <v>3237</v>
      </c>
      <c r="E5" s="281" t="s">
        <v>3238</v>
      </c>
      <c r="F5" s="281" t="s">
        <v>3246</v>
      </c>
      <c r="G5" s="281">
        <v>10000</v>
      </c>
      <c r="H5" s="281"/>
      <c r="J5" s="37">
        <v>19658.8</v>
      </c>
      <c r="K5" s="37">
        <f t="shared" si="3"/>
        <v>11000</v>
      </c>
      <c r="L5" s="37">
        <f t="shared" si="4"/>
        <v>15000</v>
      </c>
      <c r="M5" s="37">
        <f t="shared" si="5"/>
        <v>30658.799999999999</v>
      </c>
      <c r="N5" s="37">
        <f t="shared" si="6"/>
        <v>34658.800000000003</v>
      </c>
      <c r="O5" s="94">
        <v>11000</v>
      </c>
      <c r="P5" s="94">
        <v>15000</v>
      </c>
      <c r="Q5" s="94" t="s">
        <v>2471</v>
      </c>
      <c r="R5" s="94" t="s">
        <v>2471</v>
      </c>
      <c r="S5" s="94">
        <f t="shared" si="1"/>
        <v>30658.799999999999</v>
      </c>
      <c r="T5" s="94">
        <f t="shared" si="2"/>
        <v>34658.800000000003</v>
      </c>
      <c r="U5" s="273">
        <v>13.2</v>
      </c>
      <c r="V5" s="94" t="s">
        <v>3238</v>
      </c>
    </row>
    <row r="6" spans="1:24" x14ac:dyDescent="0.2">
      <c r="A6" s="299" t="str">
        <f>CONCATENATE(CCE[[#This Row],[Capacity Segment - rename]]," - ",CCE[[#This Row],[Equipment model]])</f>
        <v>10 cbm - Zhendre 10 cbm  (Mono cooling unit)</v>
      </c>
      <c r="B6" s="281" t="s">
        <v>3249</v>
      </c>
      <c r="C6" s="281" t="s">
        <v>3196</v>
      </c>
      <c r="D6" s="281" t="s">
        <v>3237</v>
      </c>
      <c r="E6" s="281" t="s">
        <v>3238</v>
      </c>
      <c r="F6" s="281" t="s">
        <v>3248</v>
      </c>
      <c r="G6" s="281">
        <v>10000</v>
      </c>
      <c r="H6" s="281"/>
      <c r="J6" s="37">
        <v>15368.849999999999</v>
      </c>
      <c r="K6" s="37">
        <f t="shared" si="3"/>
        <v>11000</v>
      </c>
      <c r="L6" s="37">
        <f t="shared" si="4"/>
        <v>15000</v>
      </c>
      <c r="M6" s="37">
        <f t="shared" si="5"/>
        <v>26368.85</v>
      </c>
      <c r="N6" s="37">
        <f t="shared" si="6"/>
        <v>30368.85</v>
      </c>
      <c r="O6" s="94">
        <v>11000</v>
      </c>
      <c r="P6" s="94">
        <v>15000</v>
      </c>
      <c r="Q6" s="94" t="s">
        <v>2471</v>
      </c>
      <c r="R6" s="94" t="s">
        <v>2471</v>
      </c>
      <c r="S6" s="94">
        <f t="shared" si="1"/>
        <v>26368.85</v>
      </c>
      <c r="T6" s="94">
        <f t="shared" si="2"/>
        <v>30368.85</v>
      </c>
      <c r="U6" s="273">
        <v>24</v>
      </c>
      <c r="V6" s="94" t="s">
        <v>3238</v>
      </c>
    </row>
    <row r="7" spans="1:24" x14ac:dyDescent="0.2">
      <c r="A7" s="299" t="str">
        <f>CONCATENATE(CCE[[#This Row],[Capacity Segment - rename]]," - ",CCE[[#This Row],[Equipment model]])</f>
        <v>30 cbm - Foster 30 cbm (Mono cooling unit)</v>
      </c>
      <c r="B7" s="281" t="s">
        <v>3251</v>
      </c>
      <c r="C7" s="281" t="s">
        <v>3196</v>
      </c>
      <c r="D7" s="281" t="s">
        <v>3237</v>
      </c>
      <c r="E7" s="281" t="s">
        <v>3250</v>
      </c>
      <c r="F7" s="281" t="s">
        <v>3239</v>
      </c>
      <c r="G7" s="281">
        <v>30000</v>
      </c>
      <c r="H7" s="281"/>
      <c r="J7" s="37">
        <v>23777.223399999999</v>
      </c>
      <c r="K7" s="37">
        <f t="shared" si="3"/>
        <v>16500</v>
      </c>
      <c r="L7" s="37">
        <f t="shared" si="4"/>
        <v>23000</v>
      </c>
      <c r="M7" s="37">
        <f t="shared" si="5"/>
        <v>40277.223400000003</v>
      </c>
      <c r="N7" s="37">
        <f t="shared" si="6"/>
        <v>46777.223400000003</v>
      </c>
      <c r="O7" s="94">
        <v>16500</v>
      </c>
      <c r="P7" s="94">
        <v>23000</v>
      </c>
      <c r="Q7" s="94" t="s">
        <v>2471</v>
      </c>
      <c r="R7" s="94" t="s">
        <v>2471</v>
      </c>
      <c r="S7" s="94">
        <f t="shared" si="1"/>
        <v>40277.223400000003</v>
      </c>
      <c r="T7" s="94">
        <f t="shared" si="2"/>
        <v>46777.223400000003</v>
      </c>
      <c r="U7" s="273">
        <v>40</v>
      </c>
      <c r="V7" s="94" t="s">
        <v>3250</v>
      </c>
    </row>
    <row r="8" spans="1:24" x14ac:dyDescent="0.2">
      <c r="A8" s="299" t="str">
        <f>CONCATENATE(CCE[[#This Row],[Capacity Segment - rename]]," - ",CCE[[#This Row],[Equipment model]])</f>
        <v>30 cbm - Haier 30 cbm (Mono cooling unit)</v>
      </c>
      <c r="B8" s="281" t="s">
        <v>3252</v>
      </c>
      <c r="C8" s="281" t="s">
        <v>3196</v>
      </c>
      <c r="D8" s="281" t="s">
        <v>3237</v>
      </c>
      <c r="E8" s="281" t="s">
        <v>3250</v>
      </c>
      <c r="F8" s="281" t="s">
        <v>3242</v>
      </c>
      <c r="G8" s="281">
        <v>30000</v>
      </c>
      <c r="H8" s="281"/>
      <c r="J8" s="37">
        <v>23950</v>
      </c>
      <c r="K8" s="37">
        <v>18900</v>
      </c>
      <c r="L8" s="37">
        <f t="shared" si="4"/>
        <v>23000</v>
      </c>
      <c r="M8" s="37">
        <f t="shared" si="5"/>
        <v>42850</v>
      </c>
      <c r="N8" s="37">
        <f t="shared" si="6"/>
        <v>46950</v>
      </c>
      <c r="O8" s="94">
        <v>16500</v>
      </c>
      <c r="P8" s="94">
        <v>23000</v>
      </c>
      <c r="Q8" s="94" t="s">
        <v>2471</v>
      </c>
      <c r="R8" s="94" t="s">
        <v>2471</v>
      </c>
      <c r="S8" s="94">
        <f t="shared" si="1"/>
        <v>40450</v>
      </c>
      <c r="T8" s="94">
        <f t="shared" si="2"/>
        <v>46950</v>
      </c>
      <c r="U8" s="273">
        <v>60.48</v>
      </c>
      <c r="V8" s="94" t="s">
        <v>3250</v>
      </c>
    </row>
    <row r="9" spans="1:24" x14ac:dyDescent="0.2">
      <c r="A9" s="299" t="str">
        <f>CONCATENATE(CCE[[#This Row],[Capacity Segment - rename]]," - ",CCE[[#This Row],[Equipment model]])</f>
        <v>30 cbm - Haier 30 cbm (Split cooling unit)</v>
      </c>
      <c r="B9" s="281" t="s">
        <v>3253</v>
      </c>
      <c r="C9" s="281" t="s">
        <v>3196</v>
      </c>
      <c r="D9" s="281" t="s">
        <v>3237</v>
      </c>
      <c r="E9" s="281" t="s">
        <v>3250</v>
      </c>
      <c r="F9" s="281" t="s">
        <v>3242</v>
      </c>
      <c r="G9" s="281">
        <v>30000</v>
      </c>
      <c r="H9" s="281"/>
      <c r="J9" s="37">
        <v>30100</v>
      </c>
      <c r="K9" s="37">
        <v>22600</v>
      </c>
      <c r="L9" s="37">
        <f t="shared" si="4"/>
        <v>23000</v>
      </c>
      <c r="M9" s="37">
        <f t="shared" si="5"/>
        <v>52700</v>
      </c>
      <c r="N9" s="37">
        <f t="shared" si="6"/>
        <v>53100</v>
      </c>
      <c r="O9" s="94">
        <v>16500</v>
      </c>
      <c r="P9" s="94">
        <v>23000</v>
      </c>
      <c r="Q9" s="94" t="s">
        <v>2471</v>
      </c>
      <c r="R9" s="94" t="s">
        <v>2471</v>
      </c>
      <c r="S9" s="94">
        <f t="shared" si="1"/>
        <v>46600</v>
      </c>
      <c r="T9" s="94">
        <f t="shared" si="2"/>
        <v>53100</v>
      </c>
      <c r="U9" s="273">
        <v>40</v>
      </c>
      <c r="V9" s="94" t="s">
        <v>3250</v>
      </c>
    </row>
    <row r="10" spans="1:24" x14ac:dyDescent="0.2">
      <c r="A10" s="299" t="str">
        <f>CONCATENATE(CCE[[#This Row],[Capacity Segment - rename]]," - ",CCE[[#This Row],[Equipment model]])</f>
        <v>30 cbm - Porkka 30 cbm (Mono cooling unit)</v>
      </c>
      <c r="B10" s="281" t="s">
        <v>3254</v>
      </c>
      <c r="C10" s="281" t="s">
        <v>3196</v>
      </c>
      <c r="D10" s="281" t="s">
        <v>3237</v>
      </c>
      <c r="E10" s="281" t="s">
        <v>3250</v>
      </c>
      <c r="F10" s="281" t="s">
        <v>3244</v>
      </c>
      <c r="G10" s="281">
        <v>30000</v>
      </c>
      <c r="H10" s="281"/>
      <c r="J10" s="37">
        <v>23573.899999999998</v>
      </c>
      <c r="K10" s="37">
        <f t="shared" si="3"/>
        <v>16500</v>
      </c>
      <c r="L10" s="37">
        <f t="shared" si="4"/>
        <v>23000</v>
      </c>
      <c r="M10" s="37">
        <f t="shared" si="5"/>
        <v>40073.899999999994</v>
      </c>
      <c r="N10" s="37">
        <f t="shared" si="6"/>
        <v>46573.899999999994</v>
      </c>
      <c r="O10" s="94">
        <v>16500</v>
      </c>
      <c r="P10" s="94">
        <v>23000</v>
      </c>
      <c r="Q10" s="94" t="s">
        <v>2471</v>
      </c>
      <c r="R10" s="94" t="s">
        <v>2471</v>
      </c>
      <c r="S10" s="94">
        <f t="shared" si="1"/>
        <v>40073.899999999994</v>
      </c>
      <c r="T10" s="94">
        <f t="shared" si="2"/>
        <v>46573.899999999994</v>
      </c>
      <c r="U10" s="273">
        <v>36.24</v>
      </c>
      <c r="V10" s="94" t="s">
        <v>3250</v>
      </c>
    </row>
    <row r="11" spans="1:24" x14ac:dyDescent="0.2">
      <c r="A11" s="299" t="str">
        <f>CONCATENATE(CCE[[#This Row],[Capacity Segment - rename]]," - ",CCE[[#This Row],[Equipment model]])</f>
        <v>30 cbm - Porkka 30 cbm (Split cooling unit)</v>
      </c>
      <c r="B11" s="281" t="s">
        <v>3255</v>
      </c>
      <c r="C11" s="281" t="s">
        <v>3196</v>
      </c>
      <c r="D11" s="281" t="s">
        <v>3237</v>
      </c>
      <c r="E11" s="281" t="s">
        <v>3250</v>
      </c>
      <c r="F11" s="281" t="s">
        <v>3244</v>
      </c>
      <c r="G11" s="281">
        <v>30000</v>
      </c>
      <c r="H11" s="281"/>
      <c r="J11" s="37">
        <v>26120.5</v>
      </c>
      <c r="K11" s="37">
        <f t="shared" si="3"/>
        <v>16500</v>
      </c>
      <c r="L11" s="37">
        <f t="shared" si="4"/>
        <v>23000</v>
      </c>
      <c r="M11" s="37">
        <f t="shared" si="5"/>
        <v>42620.5</v>
      </c>
      <c r="N11" s="37">
        <f t="shared" si="6"/>
        <v>49120.5</v>
      </c>
      <c r="O11" s="94">
        <v>16500</v>
      </c>
      <c r="P11" s="94">
        <v>23000</v>
      </c>
      <c r="Q11" s="94" t="s">
        <v>2471</v>
      </c>
      <c r="R11" s="94" t="s">
        <v>2471</v>
      </c>
      <c r="S11" s="94">
        <f t="shared" si="1"/>
        <v>42620.5</v>
      </c>
      <c r="T11" s="94">
        <f t="shared" si="2"/>
        <v>49120.5</v>
      </c>
      <c r="U11" s="273">
        <v>40</v>
      </c>
      <c r="V11" s="94" t="s">
        <v>3250</v>
      </c>
    </row>
    <row r="12" spans="1:24" x14ac:dyDescent="0.2">
      <c r="A12" s="299" t="str">
        <f>CONCATENATE(CCE[[#This Row],[Capacity Segment - rename]]," - ",CCE[[#This Row],[Equipment model]])</f>
        <v>30 cbm - Viessmann 30 cbm (Mono cooling unit)</v>
      </c>
      <c r="B12" s="281" t="s">
        <v>3256</v>
      </c>
      <c r="C12" s="281" t="s">
        <v>3196</v>
      </c>
      <c r="D12" s="281" t="s">
        <v>3237</v>
      </c>
      <c r="E12" s="281" t="s">
        <v>3250</v>
      </c>
      <c r="F12" s="281" t="s">
        <v>3246</v>
      </c>
      <c r="G12" s="281">
        <v>30000</v>
      </c>
      <c r="H12" s="281"/>
      <c r="J12" s="37">
        <v>26072.899999999998</v>
      </c>
      <c r="K12" s="37">
        <f t="shared" si="3"/>
        <v>16500</v>
      </c>
      <c r="L12" s="37">
        <f t="shared" si="4"/>
        <v>23000</v>
      </c>
      <c r="M12" s="37">
        <f t="shared" si="5"/>
        <v>42572.899999999994</v>
      </c>
      <c r="N12" s="37">
        <f t="shared" si="6"/>
        <v>49072.899999999994</v>
      </c>
      <c r="O12" s="94">
        <v>16500</v>
      </c>
      <c r="P12" s="94">
        <v>23000</v>
      </c>
      <c r="Q12" s="94" t="s">
        <v>2471</v>
      </c>
      <c r="R12" s="94" t="s">
        <v>2471</v>
      </c>
      <c r="S12" s="94">
        <f t="shared" si="1"/>
        <v>42572.899999999994</v>
      </c>
      <c r="T12" s="94">
        <f t="shared" si="2"/>
        <v>49072.899999999994</v>
      </c>
      <c r="U12" s="273">
        <v>21.4</v>
      </c>
      <c r="V12" s="94" t="s">
        <v>3250</v>
      </c>
    </row>
    <row r="13" spans="1:24" x14ac:dyDescent="0.2">
      <c r="A13" s="299" t="str">
        <f>CONCATENATE(CCE[[#This Row],[Capacity Segment - rename]]," - ",CCE[[#This Row],[Equipment model]])</f>
        <v>30 cbm - Viessmann 30 cbm (Split cooling unit)</v>
      </c>
      <c r="B13" s="281" t="s">
        <v>3257</v>
      </c>
      <c r="C13" s="281" t="s">
        <v>3196</v>
      </c>
      <c r="D13" s="281" t="s">
        <v>3237</v>
      </c>
      <c r="E13" s="281" t="s">
        <v>3250</v>
      </c>
      <c r="F13" s="281" t="s">
        <v>3246</v>
      </c>
      <c r="G13" s="281">
        <v>30000</v>
      </c>
      <c r="H13" s="281"/>
      <c r="J13" s="37">
        <v>26775</v>
      </c>
      <c r="K13" s="37">
        <f t="shared" si="3"/>
        <v>16500</v>
      </c>
      <c r="L13" s="37">
        <f t="shared" si="4"/>
        <v>23000</v>
      </c>
      <c r="M13" s="37">
        <f t="shared" si="5"/>
        <v>43275</v>
      </c>
      <c r="N13" s="37">
        <f t="shared" si="6"/>
        <v>49775</v>
      </c>
      <c r="O13" s="94">
        <v>16500</v>
      </c>
      <c r="P13" s="94">
        <v>23000</v>
      </c>
      <c r="Q13" s="94" t="s">
        <v>2471</v>
      </c>
      <c r="R13" s="94" t="s">
        <v>2471</v>
      </c>
      <c r="S13" s="94">
        <f t="shared" si="1"/>
        <v>43275</v>
      </c>
      <c r="T13" s="94">
        <f t="shared" si="2"/>
        <v>49775</v>
      </c>
      <c r="U13" s="273">
        <v>42.6</v>
      </c>
      <c r="V13" s="94" t="s">
        <v>3250</v>
      </c>
    </row>
    <row r="14" spans="1:24" x14ac:dyDescent="0.2">
      <c r="A14" s="299" t="str">
        <f>CONCATENATE(CCE[[#This Row],[Capacity Segment - rename]]," - ",CCE[[#This Row],[Equipment model]])</f>
        <v>30 cbm - Zhendre 30 cbm (Mono cooling unit)</v>
      </c>
      <c r="B14" s="281" t="s">
        <v>3258</v>
      </c>
      <c r="C14" s="281" t="s">
        <v>3196</v>
      </c>
      <c r="D14" s="281" t="s">
        <v>3237</v>
      </c>
      <c r="E14" s="281" t="s">
        <v>3250</v>
      </c>
      <c r="F14" s="281" t="s">
        <v>3248</v>
      </c>
      <c r="G14" s="281">
        <v>30000</v>
      </c>
      <c r="H14" s="281"/>
      <c r="J14" s="37">
        <v>22225.629999999997</v>
      </c>
      <c r="K14" s="37">
        <f t="shared" si="3"/>
        <v>16500</v>
      </c>
      <c r="L14" s="37">
        <f t="shared" si="4"/>
        <v>23000</v>
      </c>
      <c r="M14" s="37">
        <f t="shared" si="5"/>
        <v>38725.629999999997</v>
      </c>
      <c r="N14" s="37">
        <f t="shared" si="6"/>
        <v>45225.63</v>
      </c>
      <c r="O14" s="94">
        <v>16500</v>
      </c>
      <c r="P14" s="94">
        <v>23000</v>
      </c>
      <c r="Q14" s="94" t="s">
        <v>2471</v>
      </c>
      <c r="R14" s="94" t="s">
        <v>2471</v>
      </c>
      <c r="S14" s="94">
        <f t="shared" si="1"/>
        <v>38725.629999999997</v>
      </c>
      <c r="T14" s="94">
        <f t="shared" si="2"/>
        <v>45225.63</v>
      </c>
      <c r="U14" s="273">
        <v>40</v>
      </c>
      <c r="V14" s="94" t="s">
        <v>3250</v>
      </c>
    </row>
    <row r="15" spans="1:24" x14ac:dyDescent="0.2">
      <c r="A15" s="299" t="str">
        <f>CONCATENATE(CCE[[#This Row],[Capacity Segment - rename]]," - ",CCE[[#This Row],[Equipment model]])</f>
        <v>30 cbm - Zhendre 30 cbm (Split cooling unit)</v>
      </c>
      <c r="B15" s="281" t="s">
        <v>3259</v>
      </c>
      <c r="C15" s="281" t="s">
        <v>3196</v>
      </c>
      <c r="D15" s="281" t="s">
        <v>3237</v>
      </c>
      <c r="E15" s="281" t="s">
        <v>3250</v>
      </c>
      <c r="F15" s="281" t="s">
        <v>3248</v>
      </c>
      <c r="G15" s="281">
        <v>30000</v>
      </c>
      <c r="H15" s="281"/>
      <c r="J15" s="37">
        <v>25318.44</v>
      </c>
      <c r="K15" s="37">
        <f t="shared" si="3"/>
        <v>16500</v>
      </c>
      <c r="L15" s="37">
        <f t="shared" si="4"/>
        <v>23000</v>
      </c>
      <c r="M15" s="37">
        <f t="shared" si="5"/>
        <v>41818.44</v>
      </c>
      <c r="N15" s="37">
        <f t="shared" si="6"/>
        <v>48318.44</v>
      </c>
      <c r="O15" s="94">
        <v>16500</v>
      </c>
      <c r="P15" s="94">
        <v>23000</v>
      </c>
      <c r="Q15" s="94" t="s">
        <v>2471</v>
      </c>
      <c r="R15" s="94" t="s">
        <v>2471</v>
      </c>
      <c r="S15" s="94">
        <f t="shared" si="1"/>
        <v>41818.44</v>
      </c>
      <c r="T15" s="94">
        <f t="shared" si="2"/>
        <v>48318.44</v>
      </c>
      <c r="U15" s="273">
        <v>40</v>
      </c>
      <c r="V15" s="94" t="s">
        <v>3250</v>
      </c>
    </row>
    <row r="16" spans="1:24" x14ac:dyDescent="0.2">
      <c r="A16" s="299" t="str">
        <f>CONCATENATE(CCE[[#This Row],[Capacity Segment - rename]]," - ",CCE[[#This Row],[Equipment model]])</f>
        <v>40 cbm - Foster 40 cbm (Mono cooling unit)</v>
      </c>
      <c r="B16" s="281" t="s">
        <v>3261</v>
      </c>
      <c r="C16" s="281" t="s">
        <v>3196</v>
      </c>
      <c r="D16" s="281" t="s">
        <v>3237</v>
      </c>
      <c r="E16" s="281" t="s">
        <v>3260</v>
      </c>
      <c r="F16" s="281" t="s">
        <v>3239</v>
      </c>
      <c r="G16" s="281">
        <v>40000</v>
      </c>
      <c r="H16" s="281"/>
      <c r="J16" s="37">
        <v>25132.633399999999</v>
      </c>
      <c r="K16" s="37">
        <f t="shared" si="3"/>
        <v>18500</v>
      </c>
      <c r="L16" s="37">
        <f t="shared" si="4"/>
        <v>26000</v>
      </c>
      <c r="M16" s="37">
        <f t="shared" si="5"/>
        <v>43632.633399999999</v>
      </c>
      <c r="N16" s="37">
        <f t="shared" si="6"/>
        <v>51132.633399999999</v>
      </c>
      <c r="O16" s="94">
        <v>18500</v>
      </c>
      <c r="P16" s="94">
        <v>26000</v>
      </c>
      <c r="Q16" s="94" t="s">
        <v>2471</v>
      </c>
      <c r="R16" s="94" t="s">
        <v>2471</v>
      </c>
      <c r="S16" s="94">
        <f t="shared" si="1"/>
        <v>43632.633399999999</v>
      </c>
      <c r="T16" s="94">
        <f t="shared" si="2"/>
        <v>51132.633399999999</v>
      </c>
      <c r="U16" s="273">
        <v>51</v>
      </c>
      <c r="V16" s="94" t="s">
        <v>3260</v>
      </c>
    </row>
    <row r="17" spans="1:22" x14ac:dyDescent="0.2">
      <c r="A17" s="299" t="str">
        <f>CONCATENATE(CCE[[#This Row],[Capacity Segment - rename]]," - ",CCE[[#This Row],[Equipment model]])</f>
        <v>40 cbm - Haier 40 cbm  (Mono cooling unit)</v>
      </c>
      <c r="B17" s="281" t="s">
        <v>3262</v>
      </c>
      <c r="C17" s="281" t="s">
        <v>3196</v>
      </c>
      <c r="D17" s="281" t="s">
        <v>3237</v>
      </c>
      <c r="E17" s="281" t="s">
        <v>3260</v>
      </c>
      <c r="F17" s="281" t="s">
        <v>3242</v>
      </c>
      <c r="G17" s="281">
        <v>40000</v>
      </c>
      <c r="H17" s="281"/>
      <c r="J17" s="37">
        <v>21100</v>
      </c>
      <c r="K17" s="37">
        <f t="shared" si="3"/>
        <v>18500</v>
      </c>
      <c r="L17" s="37">
        <f t="shared" si="4"/>
        <v>26000</v>
      </c>
      <c r="M17" s="37">
        <f t="shared" si="5"/>
        <v>39600</v>
      </c>
      <c r="N17" s="37">
        <f t="shared" si="6"/>
        <v>47100</v>
      </c>
      <c r="O17" s="94">
        <v>18500</v>
      </c>
      <c r="P17" s="94">
        <v>26000</v>
      </c>
      <c r="Q17" s="94" t="s">
        <v>2471</v>
      </c>
      <c r="R17" s="94" t="s">
        <v>2471</v>
      </c>
      <c r="S17" s="94">
        <f t="shared" si="1"/>
        <v>39600</v>
      </c>
      <c r="T17" s="94">
        <f t="shared" si="2"/>
        <v>47100</v>
      </c>
      <c r="U17" s="273">
        <v>62.64</v>
      </c>
      <c r="V17" s="94" t="s">
        <v>3260</v>
      </c>
    </row>
    <row r="18" spans="1:22" x14ac:dyDescent="0.2">
      <c r="A18" s="299" t="str">
        <f>CONCATENATE(CCE[[#This Row],[Capacity Segment - rename]]," - ",CCE[[#This Row],[Equipment model]])</f>
        <v>40 cbm - Haier 40 cbm (Split cooling unit)</v>
      </c>
      <c r="B18" s="281" t="s">
        <v>3263</v>
      </c>
      <c r="C18" s="281" t="s">
        <v>3196</v>
      </c>
      <c r="D18" s="281" t="s">
        <v>3237</v>
      </c>
      <c r="E18" s="281" t="s">
        <v>3260</v>
      </c>
      <c r="F18" s="281" t="s">
        <v>3242</v>
      </c>
      <c r="G18" s="281">
        <v>40000</v>
      </c>
      <c r="H18" s="281"/>
      <c r="J18" s="37">
        <v>23100</v>
      </c>
      <c r="K18" s="37">
        <f t="shared" si="3"/>
        <v>18500</v>
      </c>
      <c r="L18" s="37">
        <f t="shared" si="4"/>
        <v>26000</v>
      </c>
      <c r="M18" s="37">
        <f t="shared" si="5"/>
        <v>41600</v>
      </c>
      <c r="N18" s="37">
        <f t="shared" si="6"/>
        <v>49100</v>
      </c>
      <c r="O18" s="94">
        <v>18500</v>
      </c>
      <c r="P18" s="94">
        <v>26000</v>
      </c>
      <c r="Q18" s="94" t="s">
        <v>2471</v>
      </c>
      <c r="R18" s="94" t="s">
        <v>2471</v>
      </c>
      <c r="S18" s="94">
        <f t="shared" si="1"/>
        <v>41600</v>
      </c>
      <c r="T18" s="94">
        <f t="shared" si="2"/>
        <v>49100</v>
      </c>
      <c r="U18" s="273">
        <v>51</v>
      </c>
      <c r="V18" s="94" t="s">
        <v>3260</v>
      </c>
    </row>
    <row r="19" spans="1:22" x14ac:dyDescent="0.2">
      <c r="A19" s="299" t="str">
        <f>CONCATENATE(CCE[[#This Row],[Capacity Segment - rename]]," - ",CCE[[#This Row],[Equipment model]])</f>
        <v>40 cbm - Porkka 40 cbm  (Mono cooling unit)</v>
      </c>
      <c r="B19" s="281" t="s">
        <v>3264</v>
      </c>
      <c r="C19" s="281" t="s">
        <v>3196</v>
      </c>
      <c r="D19" s="281" t="s">
        <v>3237</v>
      </c>
      <c r="E19" s="281" t="s">
        <v>3260</v>
      </c>
      <c r="F19" s="281" t="s">
        <v>3244</v>
      </c>
      <c r="G19" s="281">
        <v>40000</v>
      </c>
      <c r="H19" s="281"/>
      <c r="J19" s="37">
        <v>26596.5</v>
      </c>
      <c r="K19" s="37">
        <f t="shared" si="3"/>
        <v>18500</v>
      </c>
      <c r="L19" s="37">
        <f t="shared" si="4"/>
        <v>26000</v>
      </c>
      <c r="M19" s="37">
        <f t="shared" si="5"/>
        <v>45096.5</v>
      </c>
      <c r="N19" s="37">
        <f t="shared" si="6"/>
        <v>52596.5</v>
      </c>
      <c r="O19" s="94">
        <v>18500</v>
      </c>
      <c r="P19" s="94">
        <v>26000</v>
      </c>
      <c r="Q19" s="94" t="s">
        <v>2471</v>
      </c>
      <c r="R19" s="94" t="s">
        <v>2471</v>
      </c>
      <c r="S19" s="94">
        <f t="shared" si="1"/>
        <v>45096.5</v>
      </c>
      <c r="T19" s="94">
        <f t="shared" si="2"/>
        <v>52596.5</v>
      </c>
      <c r="U19" s="273">
        <v>47.76</v>
      </c>
      <c r="V19" s="94" t="s">
        <v>3260</v>
      </c>
    </row>
    <row r="20" spans="1:22" x14ac:dyDescent="0.2">
      <c r="A20" s="299" t="str">
        <f>CONCATENATE(CCE[[#This Row],[Capacity Segment - rename]]," - ",CCE[[#This Row],[Equipment model]])</f>
        <v>40 cbm - Porkka 40 cbm (Split cooling unit)</v>
      </c>
      <c r="B20" s="281" t="s">
        <v>3265</v>
      </c>
      <c r="C20" s="281" t="s">
        <v>3196</v>
      </c>
      <c r="D20" s="281" t="s">
        <v>3237</v>
      </c>
      <c r="E20" s="281" t="s">
        <v>3260</v>
      </c>
      <c r="F20" s="281" t="s">
        <v>3244</v>
      </c>
      <c r="G20" s="281">
        <v>40000</v>
      </c>
      <c r="H20" s="281"/>
      <c r="J20" s="37">
        <v>30404.5</v>
      </c>
      <c r="K20" s="37">
        <f t="shared" si="3"/>
        <v>18500</v>
      </c>
      <c r="L20" s="37">
        <f t="shared" si="4"/>
        <v>26000</v>
      </c>
      <c r="M20" s="37">
        <f t="shared" si="5"/>
        <v>48904.5</v>
      </c>
      <c r="N20" s="37">
        <f t="shared" si="6"/>
        <v>56404.5</v>
      </c>
      <c r="O20" s="94">
        <v>18500</v>
      </c>
      <c r="P20" s="94">
        <v>26000</v>
      </c>
      <c r="Q20" s="94" t="s">
        <v>2471</v>
      </c>
      <c r="R20" s="94" t="s">
        <v>2471</v>
      </c>
      <c r="S20" s="94">
        <f t="shared" si="1"/>
        <v>48904.5</v>
      </c>
      <c r="T20" s="94">
        <f t="shared" si="2"/>
        <v>56404.5</v>
      </c>
      <c r="U20" s="273">
        <v>51</v>
      </c>
      <c r="V20" s="94" t="s">
        <v>3260</v>
      </c>
    </row>
    <row r="21" spans="1:22" x14ac:dyDescent="0.2">
      <c r="A21" s="299" t="str">
        <f>CONCATENATE(CCE[[#This Row],[Capacity Segment - rename]]," - ",CCE[[#This Row],[Equipment model]])</f>
        <v>40 cbm - Viessmann 40 cbm  (Mono cooling unit)</v>
      </c>
      <c r="B21" s="281" t="s">
        <v>3266</v>
      </c>
      <c r="C21" s="281" t="s">
        <v>3196</v>
      </c>
      <c r="D21" s="281" t="s">
        <v>3237</v>
      </c>
      <c r="E21" s="281" t="s">
        <v>3260</v>
      </c>
      <c r="F21" s="281" t="s">
        <v>3246</v>
      </c>
      <c r="G21" s="281">
        <v>40000</v>
      </c>
      <c r="H21" s="281"/>
      <c r="J21" s="37">
        <v>27988.799999999999</v>
      </c>
      <c r="K21" s="37">
        <f t="shared" si="3"/>
        <v>18500</v>
      </c>
      <c r="L21" s="37">
        <f t="shared" si="4"/>
        <v>26000</v>
      </c>
      <c r="M21" s="37">
        <f t="shared" si="5"/>
        <v>46488.800000000003</v>
      </c>
      <c r="N21" s="37">
        <f t="shared" si="6"/>
        <v>53988.800000000003</v>
      </c>
      <c r="O21" s="94">
        <v>18500</v>
      </c>
      <c r="P21" s="94">
        <v>26000</v>
      </c>
      <c r="Q21" s="94" t="s">
        <v>2471</v>
      </c>
      <c r="R21" s="94" t="s">
        <v>2471</v>
      </c>
      <c r="S21" s="94">
        <f t="shared" si="1"/>
        <v>46488.800000000003</v>
      </c>
      <c r="T21" s="94">
        <f t="shared" si="2"/>
        <v>53988.800000000003</v>
      </c>
      <c r="U21" s="273">
        <v>27.2</v>
      </c>
      <c r="V21" s="94" t="s">
        <v>3260</v>
      </c>
    </row>
    <row r="22" spans="1:22" x14ac:dyDescent="0.2">
      <c r="A22" s="299" t="str">
        <f>CONCATENATE(CCE[[#This Row],[Capacity Segment - rename]]," - ",CCE[[#This Row],[Equipment model]])</f>
        <v>40 cbm - Viessmann 40 cbm (Split cooling unit)</v>
      </c>
      <c r="B22" s="281" t="s">
        <v>3267</v>
      </c>
      <c r="C22" s="281" t="s">
        <v>3196</v>
      </c>
      <c r="D22" s="281" t="s">
        <v>3237</v>
      </c>
      <c r="E22" s="281" t="s">
        <v>3260</v>
      </c>
      <c r="F22" s="281" t="s">
        <v>3246</v>
      </c>
      <c r="G22" s="281">
        <v>40000</v>
      </c>
      <c r="H22" s="281"/>
      <c r="J22" s="37">
        <v>28702.799999999999</v>
      </c>
      <c r="K22" s="37">
        <f t="shared" si="3"/>
        <v>18500</v>
      </c>
      <c r="L22" s="37">
        <f t="shared" si="4"/>
        <v>26000</v>
      </c>
      <c r="M22" s="37">
        <f t="shared" si="5"/>
        <v>47202.8</v>
      </c>
      <c r="N22" s="37">
        <f t="shared" si="6"/>
        <v>54702.8</v>
      </c>
      <c r="O22" s="94">
        <v>18500</v>
      </c>
      <c r="P22" s="94">
        <v>26000</v>
      </c>
      <c r="Q22" s="94" t="s">
        <v>2471</v>
      </c>
      <c r="R22" s="94" t="s">
        <v>2471</v>
      </c>
      <c r="S22" s="94">
        <f t="shared" si="1"/>
        <v>47202.8</v>
      </c>
      <c r="T22" s="94">
        <f t="shared" si="2"/>
        <v>54702.8</v>
      </c>
      <c r="U22" s="273">
        <v>59.4</v>
      </c>
      <c r="V22" s="94" t="s">
        <v>3260</v>
      </c>
    </row>
    <row r="23" spans="1:22" x14ac:dyDescent="0.2">
      <c r="A23" s="299" t="str">
        <f>CONCATENATE(CCE[[#This Row],[Capacity Segment - rename]]," - ",CCE[[#This Row],[Equipment model]])</f>
        <v>40 cbm - Zhendre 40 cbm  (Mono cooling unit)</v>
      </c>
      <c r="B23" s="281" t="s">
        <v>3268</v>
      </c>
      <c r="C23" s="281" t="s">
        <v>3196</v>
      </c>
      <c r="D23" s="281" t="s">
        <v>3237</v>
      </c>
      <c r="E23" s="281" t="s">
        <v>3260</v>
      </c>
      <c r="F23" s="281" t="s">
        <v>3248</v>
      </c>
      <c r="G23" s="281">
        <v>40000</v>
      </c>
      <c r="H23" s="281"/>
      <c r="J23" s="37">
        <v>25007.85</v>
      </c>
      <c r="K23" s="37">
        <f t="shared" si="3"/>
        <v>18500</v>
      </c>
      <c r="L23" s="37">
        <f t="shared" si="4"/>
        <v>26000</v>
      </c>
      <c r="M23" s="37">
        <f t="shared" si="5"/>
        <v>43507.85</v>
      </c>
      <c r="N23" s="37">
        <f t="shared" si="6"/>
        <v>51007.85</v>
      </c>
      <c r="O23" s="94">
        <v>18500</v>
      </c>
      <c r="P23" s="94">
        <v>26000</v>
      </c>
      <c r="Q23" s="94" t="s">
        <v>2471</v>
      </c>
      <c r="R23" s="94" t="s">
        <v>2471</v>
      </c>
      <c r="S23" s="94">
        <f t="shared" si="1"/>
        <v>43507.85</v>
      </c>
      <c r="T23" s="94">
        <f t="shared" si="2"/>
        <v>51007.85</v>
      </c>
      <c r="U23" s="273">
        <v>51</v>
      </c>
      <c r="V23" s="94" t="s">
        <v>3260</v>
      </c>
    </row>
    <row r="24" spans="1:22" x14ac:dyDescent="0.2">
      <c r="A24" s="299" t="str">
        <f>CONCATENATE(CCE[[#This Row],[Capacity Segment - rename]]," - ",CCE[[#This Row],[Equipment model]])</f>
        <v>40 cbm - Zhendre 40 cbm (Split cooling unit)</v>
      </c>
      <c r="B24" s="281" t="s">
        <v>3269</v>
      </c>
      <c r="C24" s="281" t="s">
        <v>3196</v>
      </c>
      <c r="D24" s="281" t="s">
        <v>3237</v>
      </c>
      <c r="E24" s="281" t="s">
        <v>3260</v>
      </c>
      <c r="F24" s="281" t="s">
        <v>3248</v>
      </c>
      <c r="G24" s="281">
        <v>40000</v>
      </c>
      <c r="H24" s="281"/>
      <c r="J24" s="37">
        <v>28492.17</v>
      </c>
      <c r="K24" s="37">
        <f t="shared" si="3"/>
        <v>18500</v>
      </c>
      <c r="L24" s="37">
        <f t="shared" si="4"/>
        <v>26000</v>
      </c>
      <c r="M24" s="37">
        <f t="shared" si="5"/>
        <v>46992.17</v>
      </c>
      <c r="N24" s="37">
        <f t="shared" si="6"/>
        <v>54492.17</v>
      </c>
      <c r="O24" s="94">
        <v>18500</v>
      </c>
      <c r="P24" s="94">
        <v>26000</v>
      </c>
      <c r="Q24" s="94" t="s">
        <v>2471</v>
      </c>
      <c r="R24" s="94" t="s">
        <v>2471</v>
      </c>
      <c r="S24" s="94">
        <f t="shared" si="1"/>
        <v>46992.17</v>
      </c>
      <c r="T24" s="94">
        <f t="shared" si="2"/>
        <v>54492.17</v>
      </c>
      <c r="U24" s="273">
        <v>51</v>
      </c>
      <c r="V24" s="94" t="s">
        <v>3260</v>
      </c>
    </row>
    <row r="25" spans="1:22" x14ac:dyDescent="0.2">
      <c r="A25" s="299" t="str">
        <f>CONCATENATE(CCE[[#This Row],[Capacity Segment - rename]]," - ",CCE[[#This Row],[Equipment model]])</f>
        <v>40 cbm - Haier 40cbm (Mono cooling unit)</v>
      </c>
      <c r="B25" s="281" t="s">
        <v>3271</v>
      </c>
      <c r="C25" t="s">
        <v>3197</v>
      </c>
      <c r="D25" s="281" t="s">
        <v>3270</v>
      </c>
      <c r="E25" s="281" t="s">
        <v>3260</v>
      </c>
      <c r="F25" s="281" t="s">
        <v>3242</v>
      </c>
      <c r="G25" s="281">
        <v>25000</v>
      </c>
      <c r="H25" s="281">
        <v>15000</v>
      </c>
      <c r="J25" s="37">
        <v>27500</v>
      </c>
      <c r="K25" s="37">
        <f t="shared" si="3"/>
        <v>26000</v>
      </c>
      <c r="L25" s="37">
        <f t="shared" si="4"/>
        <v>38000</v>
      </c>
      <c r="M25" s="37">
        <f t="shared" si="5"/>
        <v>53500</v>
      </c>
      <c r="N25" s="37">
        <f t="shared" si="6"/>
        <v>65500</v>
      </c>
      <c r="O25" s="94">
        <v>26000</v>
      </c>
      <c r="P25" s="94">
        <v>38000</v>
      </c>
      <c r="Q25" s="94" t="s">
        <v>2471</v>
      </c>
      <c r="R25" s="94" t="s">
        <v>2471</v>
      </c>
      <c r="S25" s="94">
        <f t="shared" si="1"/>
        <v>53500</v>
      </c>
      <c r="T25" s="94">
        <f t="shared" si="2"/>
        <v>65500</v>
      </c>
      <c r="U25" s="273">
        <v>51</v>
      </c>
      <c r="V25" s="94" t="s">
        <v>3260</v>
      </c>
    </row>
    <row r="26" spans="1:22" x14ac:dyDescent="0.2">
      <c r="A26" s="299" t="str">
        <f>CONCATENATE(CCE[[#This Row],[Capacity Segment - rename]]," - ",CCE[[#This Row],[Equipment model]])</f>
        <v>40 cbm - Haier 40cbm (Split cooling unit)</v>
      </c>
      <c r="B26" s="281" t="s">
        <v>3272</v>
      </c>
      <c r="C26" s="281" t="s">
        <v>3197</v>
      </c>
      <c r="D26" s="281" t="s">
        <v>3270</v>
      </c>
      <c r="E26" s="281" t="s">
        <v>3260</v>
      </c>
      <c r="F26" s="281" t="s">
        <v>3242</v>
      </c>
      <c r="G26" s="281">
        <v>25000</v>
      </c>
      <c r="H26" s="281">
        <v>15000</v>
      </c>
      <c r="J26" s="37">
        <v>36500</v>
      </c>
      <c r="K26" s="37">
        <f t="shared" si="3"/>
        <v>26000</v>
      </c>
      <c r="L26" s="37">
        <f t="shared" si="4"/>
        <v>38000</v>
      </c>
      <c r="M26" s="37">
        <f t="shared" si="5"/>
        <v>62500</v>
      </c>
      <c r="N26" s="37">
        <f t="shared" si="6"/>
        <v>74500</v>
      </c>
      <c r="O26" s="94">
        <v>26000</v>
      </c>
      <c r="P26" s="94">
        <v>38000</v>
      </c>
      <c r="Q26" s="94" t="s">
        <v>2471</v>
      </c>
      <c r="R26" s="94" t="s">
        <v>2471</v>
      </c>
      <c r="S26" s="94">
        <f t="shared" si="1"/>
        <v>62500</v>
      </c>
      <c r="T26" s="94">
        <f t="shared" si="2"/>
        <v>74500</v>
      </c>
      <c r="U26" s="273">
        <v>55.89</v>
      </c>
      <c r="V26" s="94" t="s">
        <v>3260</v>
      </c>
    </row>
    <row r="27" spans="1:22" x14ac:dyDescent="0.2">
      <c r="A27" s="299" t="str">
        <f>CONCATENATE(CCE[[#This Row],[Capacity Segment - rename]]," - ",CCE[[#This Row],[Equipment model]])</f>
        <v>40 cbm - Porkka 40cbm (Mono cooling unit)</v>
      </c>
      <c r="B27" s="281" t="s">
        <v>3273</v>
      </c>
      <c r="C27" s="281" t="s">
        <v>3197</v>
      </c>
      <c r="D27" s="281" t="s">
        <v>3270</v>
      </c>
      <c r="E27" s="281" t="s">
        <v>3260</v>
      </c>
      <c r="F27" s="281" t="s">
        <v>3244</v>
      </c>
      <c r="G27" s="281">
        <v>25000</v>
      </c>
      <c r="H27" s="281">
        <v>15000</v>
      </c>
      <c r="J27" s="37">
        <v>35200.199999999997</v>
      </c>
      <c r="K27" s="37">
        <f t="shared" si="3"/>
        <v>26000</v>
      </c>
      <c r="L27" s="37">
        <f t="shared" si="4"/>
        <v>38000</v>
      </c>
      <c r="M27" s="37">
        <f t="shared" si="5"/>
        <v>61200.2</v>
      </c>
      <c r="N27" s="37">
        <f t="shared" si="6"/>
        <v>73200.2</v>
      </c>
      <c r="O27" s="94">
        <v>26000</v>
      </c>
      <c r="P27" s="94">
        <v>38000</v>
      </c>
      <c r="Q27" s="94" t="s">
        <v>2471</v>
      </c>
      <c r="R27" s="94" t="s">
        <v>2471</v>
      </c>
      <c r="S27" s="94">
        <f t="shared" si="1"/>
        <v>61200.2</v>
      </c>
      <c r="T27" s="94">
        <f t="shared" si="2"/>
        <v>73200.2</v>
      </c>
      <c r="U27" s="273">
        <v>51</v>
      </c>
      <c r="V27" s="94" t="s">
        <v>3260</v>
      </c>
    </row>
    <row r="28" spans="1:22" x14ac:dyDescent="0.2">
      <c r="A28" s="299" t="str">
        <f>CONCATENATE(CCE[[#This Row],[Capacity Segment - rename]]," - ",CCE[[#This Row],[Equipment model]])</f>
        <v>40 cbm - Porkka 40cbm (Split cooling unit)</v>
      </c>
      <c r="B28" s="281" t="s">
        <v>3274</v>
      </c>
      <c r="C28" s="281" t="s">
        <v>3197</v>
      </c>
      <c r="D28" s="281" t="s">
        <v>3270</v>
      </c>
      <c r="E28" s="281" t="s">
        <v>3260</v>
      </c>
      <c r="F28" s="281" t="s">
        <v>3244</v>
      </c>
      <c r="G28" s="281">
        <v>25000</v>
      </c>
      <c r="H28" s="281">
        <v>15000</v>
      </c>
      <c r="J28" s="37">
        <v>43851.5</v>
      </c>
      <c r="K28" s="37">
        <f t="shared" si="3"/>
        <v>26000</v>
      </c>
      <c r="L28" s="37">
        <f t="shared" si="4"/>
        <v>38000</v>
      </c>
      <c r="M28" s="37">
        <f t="shared" si="5"/>
        <v>69851.5</v>
      </c>
      <c r="N28" s="37">
        <f t="shared" si="6"/>
        <v>81851.5</v>
      </c>
      <c r="O28" s="94">
        <v>26000</v>
      </c>
      <c r="P28" s="94">
        <v>38000</v>
      </c>
      <c r="Q28" s="94" t="s">
        <v>2471</v>
      </c>
      <c r="R28" s="94" t="s">
        <v>2471</v>
      </c>
      <c r="S28" s="94">
        <f t="shared" si="1"/>
        <v>69851.5</v>
      </c>
      <c r="T28" s="94">
        <f t="shared" si="2"/>
        <v>81851.5</v>
      </c>
      <c r="U28" s="273">
        <v>70.08</v>
      </c>
      <c r="V28" s="94" t="s">
        <v>3260</v>
      </c>
    </row>
    <row r="29" spans="1:22" x14ac:dyDescent="0.2">
      <c r="A29" s="299" t="str">
        <f>CONCATENATE(CCE[[#This Row],[Capacity Segment - rename]]," - ",CCE[[#This Row],[Equipment model]])</f>
        <v>40 cbm - Viessmann 40cbm (Mono cooling unit)</v>
      </c>
      <c r="B29" s="281" t="s">
        <v>3275</v>
      </c>
      <c r="C29" s="281" t="s">
        <v>3197</v>
      </c>
      <c r="D29" s="281" t="s">
        <v>3270</v>
      </c>
      <c r="E29" s="281" t="s">
        <v>3260</v>
      </c>
      <c r="F29" s="281" t="s">
        <v>3246</v>
      </c>
      <c r="G29" s="281">
        <v>25000</v>
      </c>
      <c r="H29" s="281">
        <v>15000</v>
      </c>
      <c r="J29" s="37">
        <v>46231.5</v>
      </c>
      <c r="K29" s="37">
        <f t="shared" si="3"/>
        <v>26000</v>
      </c>
      <c r="L29" s="37">
        <f t="shared" si="4"/>
        <v>38000</v>
      </c>
      <c r="M29" s="37">
        <f t="shared" si="5"/>
        <v>72231.5</v>
      </c>
      <c r="N29" s="37">
        <f t="shared" si="6"/>
        <v>84231.5</v>
      </c>
      <c r="O29" s="94">
        <v>26000</v>
      </c>
      <c r="P29" s="94">
        <v>38000</v>
      </c>
      <c r="Q29" s="94" t="s">
        <v>2471</v>
      </c>
      <c r="R29" s="94" t="s">
        <v>2471</v>
      </c>
      <c r="S29" s="94">
        <f t="shared" si="1"/>
        <v>72231.5</v>
      </c>
      <c r="T29" s="94">
        <f t="shared" si="2"/>
        <v>84231.5</v>
      </c>
      <c r="U29" s="273">
        <v>49.5</v>
      </c>
      <c r="V29" s="94" t="s">
        <v>3260</v>
      </c>
    </row>
    <row r="30" spans="1:22" x14ac:dyDescent="0.2">
      <c r="A30" s="299" t="str">
        <f>CONCATENATE(CCE[[#This Row],[Capacity Segment - rename]]," - ",CCE[[#This Row],[Equipment model]])</f>
        <v>40 cbm - Viessmann 40cbm (Split cooling unit)</v>
      </c>
      <c r="B30" s="281" t="s">
        <v>3276</v>
      </c>
      <c r="C30" s="281" t="s">
        <v>3197</v>
      </c>
      <c r="D30" s="281" t="s">
        <v>3270</v>
      </c>
      <c r="E30" s="281" t="s">
        <v>3260</v>
      </c>
      <c r="F30" s="281" t="s">
        <v>3246</v>
      </c>
      <c r="G30" s="281">
        <v>25000</v>
      </c>
      <c r="H30" s="281">
        <v>15000</v>
      </c>
      <c r="J30" s="37">
        <v>49420.7</v>
      </c>
      <c r="K30" s="37">
        <f t="shared" si="3"/>
        <v>26000</v>
      </c>
      <c r="L30" s="37">
        <f t="shared" si="4"/>
        <v>38000</v>
      </c>
      <c r="M30" s="37">
        <f t="shared" si="5"/>
        <v>75420.7</v>
      </c>
      <c r="N30" s="37">
        <f t="shared" si="6"/>
        <v>87420.7</v>
      </c>
      <c r="O30" s="94">
        <v>26000</v>
      </c>
      <c r="P30" s="94">
        <v>38000</v>
      </c>
      <c r="Q30" s="94" t="s">
        <v>2471</v>
      </c>
      <c r="R30" s="94" t="s">
        <v>2471</v>
      </c>
      <c r="S30" s="94">
        <f t="shared" si="1"/>
        <v>75420.7</v>
      </c>
      <c r="T30" s="94">
        <f t="shared" si="2"/>
        <v>87420.7</v>
      </c>
      <c r="U30" s="273">
        <v>32.700000000000003</v>
      </c>
      <c r="V30" s="94" t="s">
        <v>3260</v>
      </c>
    </row>
    <row r="31" spans="1:22" x14ac:dyDescent="0.2">
      <c r="A31" s="299" t="str">
        <f>CONCATENATE(CCE[[#This Row],[Capacity Segment - rename]]," - ",CCE[[#This Row],[Equipment model]])</f>
        <v>40 cbm - Zhendre 40cbm (Mono cooling unit)</v>
      </c>
      <c r="B31" s="281" t="s">
        <v>3277</v>
      </c>
      <c r="C31" s="281" t="s">
        <v>3197</v>
      </c>
      <c r="D31" s="281" t="s">
        <v>3270</v>
      </c>
      <c r="E31" s="281" t="s">
        <v>3260</v>
      </c>
      <c r="F31" s="281" t="s">
        <v>3248</v>
      </c>
      <c r="G31" s="281">
        <v>25000</v>
      </c>
      <c r="H31" s="281">
        <v>15000</v>
      </c>
      <c r="J31" s="37">
        <v>39299.75</v>
      </c>
      <c r="K31" s="37">
        <f t="shared" si="3"/>
        <v>26000</v>
      </c>
      <c r="L31" s="37">
        <f t="shared" si="4"/>
        <v>38000</v>
      </c>
      <c r="M31" s="37">
        <f t="shared" si="5"/>
        <v>65299.75</v>
      </c>
      <c r="N31" s="37">
        <f t="shared" si="6"/>
        <v>77299.75</v>
      </c>
      <c r="O31" s="94">
        <v>26000</v>
      </c>
      <c r="P31" s="94">
        <v>38000</v>
      </c>
      <c r="Q31" s="94" t="s">
        <v>2471</v>
      </c>
      <c r="R31" s="94" t="s">
        <v>2471</v>
      </c>
      <c r="S31" s="94">
        <f t="shared" si="1"/>
        <v>65299.75</v>
      </c>
      <c r="T31" s="94">
        <f t="shared" si="2"/>
        <v>77299.75</v>
      </c>
      <c r="U31" s="273">
        <v>51</v>
      </c>
      <c r="V31" s="94" t="s">
        <v>3260</v>
      </c>
    </row>
    <row r="32" spans="1:22" x14ac:dyDescent="0.2">
      <c r="A32" s="299" t="str">
        <f>CONCATENATE(CCE[[#This Row],[Capacity Segment - rename]]," - ",CCE[[#This Row],[Equipment model]])</f>
        <v>40 cbm - Zhendre 40cbm (Split cooling unit)</v>
      </c>
      <c r="B32" s="281" t="s">
        <v>3278</v>
      </c>
      <c r="C32" s="281" t="s">
        <v>3197</v>
      </c>
      <c r="D32" s="281" t="s">
        <v>3270</v>
      </c>
      <c r="E32" s="281" t="s">
        <v>3260</v>
      </c>
      <c r="F32" s="281" t="s">
        <v>3248</v>
      </c>
      <c r="G32" s="281">
        <v>25000</v>
      </c>
      <c r="H32" s="281">
        <v>15000</v>
      </c>
      <c r="J32" s="37">
        <v>46476.639999999999</v>
      </c>
      <c r="K32" s="37">
        <f t="shared" si="3"/>
        <v>26000</v>
      </c>
      <c r="L32" s="37">
        <f t="shared" si="4"/>
        <v>38000</v>
      </c>
      <c r="M32" s="37">
        <f t="shared" si="5"/>
        <v>72476.639999999999</v>
      </c>
      <c r="N32" s="37">
        <f t="shared" si="6"/>
        <v>84476.64</v>
      </c>
      <c r="O32" s="94">
        <v>26000</v>
      </c>
      <c r="P32" s="94">
        <v>38000</v>
      </c>
      <c r="Q32" s="94" t="s">
        <v>2471</v>
      </c>
      <c r="R32" s="94" t="s">
        <v>2471</v>
      </c>
      <c r="S32" s="94">
        <f t="shared" si="1"/>
        <v>72476.639999999999</v>
      </c>
      <c r="T32" s="94">
        <f t="shared" si="2"/>
        <v>84476.64</v>
      </c>
      <c r="U32" s="273">
        <v>51</v>
      </c>
      <c r="V32" s="94" t="s">
        <v>3260</v>
      </c>
    </row>
    <row r="33" spans="1:26" s="499" customFormat="1" x14ac:dyDescent="0.2">
      <c r="A33" s="499" t="str">
        <f>CONCATENATE(CCE[[#This Row],[Capacity Segment - rename]]," - ",CCE[[#This Row],[Equipment model]])</f>
        <v>UCC - Ultra-cold freezer (Extra Large)</v>
      </c>
      <c r="B33" s="499" t="s">
        <v>4504</v>
      </c>
      <c r="C33" s="499" t="s">
        <v>4507</v>
      </c>
      <c r="H33" s="499">
        <v>900</v>
      </c>
      <c r="I33" s="242"/>
      <c r="J33" s="300">
        <v>6912</v>
      </c>
      <c r="K33" s="300">
        <v>1300</v>
      </c>
      <c r="L33" s="300">
        <v>1300</v>
      </c>
      <c r="M33" s="300">
        <f t="shared" ref="M33:M35" si="7">$J33+K33</f>
        <v>8212</v>
      </c>
      <c r="N33" s="300">
        <f t="shared" ref="N33:N35" si="8">$J33+L33</f>
        <v>8212</v>
      </c>
      <c r="O33" s="94"/>
      <c r="P33" s="94"/>
      <c r="Q33" s="94"/>
      <c r="R33" s="94"/>
      <c r="S33" s="94">
        <f t="shared" ref="S33:S35" si="9">J33+O33</f>
        <v>6912</v>
      </c>
      <c r="T33" s="94">
        <f t="shared" ref="T33:T35" si="10">J33+P33</f>
        <v>6912</v>
      </c>
      <c r="U33" s="273">
        <v>10.4</v>
      </c>
      <c r="V33" s="94" t="s">
        <v>4507</v>
      </c>
      <c r="X33" t="s">
        <v>4525</v>
      </c>
      <c r="Z33" s="499" t="s">
        <v>4508</v>
      </c>
    </row>
    <row r="34" spans="1:26" s="499" customFormat="1" x14ac:dyDescent="0.2">
      <c r="A34" s="499" t="str">
        <f>CONCATENATE(CCE[[#This Row],[Capacity Segment - rename]]," - ",CCE[[#This Row],[Equipment model]])</f>
        <v>UCC - Ultra-cold freezer (Large)</v>
      </c>
      <c r="B34" s="499" t="s">
        <v>4505</v>
      </c>
      <c r="C34" s="499" t="s">
        <v>4507</v>
      </c>
      <c r="H34" s="499">
        <v>600</v>
      </c>
      <c r="I34" s="242"/>
      <c r="J34" s="300">
        <v>5632</v>
      </c>
      <c r="K34" s="300">
        <v>1300</v>
      </c>
      <c r="L34" s="300">
        <v>1300</v>
      </c>
      <c r="M34" s="300">
        <f t="shared" si="7"/>
        <v>6932</v>
      </c>
      <c r="N34" s="300">
        <f t="shared" si="8"/>
        <v>6932</v>
      </c>
      <c r="O34" s="94"/>
      <c r="P34" s="94"/>
      <c r="Q34" s="94"/>
      <c r="R34" s="94"/>
      <c r="S34" s="94">
        <f t="shared" si="9"/>
        <v>5632</v>
      </c>
      <c r="T34" s="94">
        <f t="shared" si="10"/>
        <v>5632</v>
      </c>
      <c r="U34" s="273">
        <v>8</v>
      </c>
      <c r="V34" s="94" t="s">
        <v>4507</v>
      </c>
      <c r="X34" t="s">
        <v>4524</v>
      </c>
      <c r="Z34" s="499" t="s">
        <v>4508</v>
      </c>
    </row>
    <row r="35" spans="1:26" s="499" customFormat="1" x14ac:dyDescent="0.2">
      <c r="A35" s="499" t="str">
        <f>CONCATENATE(CCE[[#This Row],[Capacity Segment - rename]]," - ",CCE[[#This Row],[Equipment model]])</f>
        <v>UCC - Ultra-cold freezer (Small)</v>
      </c>
      <c r="B35" s="499" t="s">
        <v>4506</v>
      </c>
      <c r="C35" s="499" t="s">
        <v>4507</v>
      </c>
      <c r="H35" s="499">
        <v>300</v>
      </c>
      <c r="I35" s="242"/>
      <c r="J35" s="300">
        <v>4641</v>
      </c>
      <c r="K35" s="300">
        <v>1300</v>
      </c>
      <c r="L35" s="300">
        <v>1300</v>
      </c>
      <c r="M35" s="300">
        <f t="shared" si="7"/>
        <v>5941</v>
      </c>
      <c r="N35" s="300">
        <f t="shared" si="8"/>
        <v>5941</v>
      </c>
      <c r="O35" s="94"/>
      <c r="P35" s="94"/>
      <c r="Q35" s="94"/>
      <c r="R35" s="94"/>
      <c r="S35" s="94">
        <f t="shared" si="9"/>
        <v>4641</v>
      </c>
      <c r="T35" s="94">
        <f t="shared" si="10"/>
        <v>4641</v>
      </c>
      <c r="U35" s="273">
        <v>7.8</v>
      </c>
      <c r="V35" s="94" t="s">
        <v>4507</v>
      </c>
      <c r="X35" t="s">
        <v>4523</v>
      </c>
      <c r="Z35" s="499" t="s">
        <v>4508</v>
      </c>
    </row>
    <row r="36" spans="1:26" x14ac:dyDescent="0.2">
      <c r="A36" s="299" t="str">
        <f>CONCATENATE(CCE[[#This Row],[Capacity Segment - rename]]," - ",CCE[[#This Row],[Equipment model]])</f>
        <v>0-30L - ZLF 30 AC</v>
      </c>
      <c r="B36" s="281" t="s">
        <v>3289</v>
      </c>
      <c r="C36" t="s">
        <v>3220</v>
      </c>
      <c r="D36" s="281" t="s">
        <v>3286</v>
      </c>
      <c r="E36" s="281" t="s">
        <v>3287</v>
      </c>
      <c r="F36" s="281" t="s">
        <v>3288</v>
      </c>
      <c r="G36" s="281">
        <v>27</v>
      </c>
      <c r="H36" s="281"/>
      <c r="I36" s="242">
        <v>3.2166666666666668</v>
      </c>
      <c r="J36" s="37">
        <v>1250</v>
      </c>
      <c r="K36" s="37">
        <f t="shared" si="3"/>
        <v>400</v>
      </c>
      <c r="L36" s="37">
        <f t="shared" si="4"/>
        <v>1350</v>
      </c>
      <c r="M36" s="37">
        <f t="shared" si="5"/>
        <v>1650</v>
      </c>
      <c r="N36" s="37">
        <f t="shared" si="6"/>
        <v>2600</v>
      </c>
      <c r="O36" s="94">
        <v>400</v>
      </c>
      <c r="P36" s="94">
        <v>1350</v>
      </c>
      <c r="Q36" s="94" t="s">
        <v>2471</v>
      </c>
      <c r="R36" s="94" t="s">
        <v>2471</v>
      </c>
      <c r="S36" s="94">
        <f t="shared" ref="S36:S99" si="11">J36+O36</f>
        <v>1650</v>
      </c>
      <c r="T36" s="94">
        <f t="shared" ref="T36:T99" si="12">J36+P36</f>
        <v>2600</v>
      </c>
      <c r="U36" s="273">
        <v>1.68</v>
      </c>
      <c r="V36" s="94" t="s">
        <v>3701</v>
      </c>
    </row>
    <row r="37" spans="1:26" x14ac:dyDescent="0.2">
      <c r="A37" s="299" t="str">
        <f>CONCATENATE(CCE[[#This Row],[Capacity Segment - rename]]," - ",CCE[[#This Row],[Equipment model]])</f>
        <v>0-30L - GVR 25 Lite</v>
      </c>
      <c r="B37" s="281" t="s">
        <v>3291</v>
      </c>
      <c r="C37" s="281" t="s">
        <v>3220</v>
      </c>
      <c r="D37" s="281" t="s">
        <v>3286</v>
      </c>
      <c r="E37" s="281" t="s">
        <v>3287</v>
      </c>
      <c r="F37" s="281" t="s">
        <v>3290</v>
      </c>
      <c r="G37" s="281">
        <v>27.5</v>
      </c>
      <c r="H37" s="281"/>
      <c r="I37" s="242">
        <f>53/24</f>
        <v>2.2083333333333335</v>
      </c>
      <c r="J37" s="37">
        <v>800</v>
      </c>
      <c r="K37" s="37">
        <f t="shared" si="3"/>
        <v>400</v>
      </c>
      <c r="L37" s="37">
        <f t="shared" si="4"/>
        <v>1350</v>
      </c>
      <c r="M37" s="37">
        <f t="shared" si="5"/>
        <v>1200</v>
      </c>
      <c r="N37" s="37">
        <f t="shared" si="6"/>
        <v>2150</v>
      </c>
      <c r="O37" s="94">
        <v>400</v>
      </c>
      <c r="P37" s="94">
        <v>1350</v>
      </c>
      <c r="Q37" s="94" t="s">
        <v>2471</v>
      </c>
      <c r="R37" s="94" t="s">
        <v>2471</v>
      </c>
      <c r="S37" s="94">
        <f t="shared" si="11"/>
        <v>1200</v>
      </c>
      <c r="T37" s="94">
        <f t="shared" si="12"/>
        <v>2150</v>
      </c>
      <c r="U37" s="273">
        <v>0.91</v>
      </c>
      <c r="V37" s="94" t="s">
        <v>3701</v>
      </c>
    </row>
    <row r="38" spans="1:26" x14ac:dyDescent="0.2">
      <c r="A38" s="299" t="str">
        <f>CONCATENATE(CCE[[#This Row],[Capacity Segment - rename]]," - ",CCE[[#This Row],[Equipment model]])</f>
        <v>30-60L - TCW 40R AC</v>
      </c>
      <c r="B38" s="281" t="s">
        <v>3294</v>
      </c>
      <c r="C38" s="281" t="s">
        <v>3220</v>
      </c>
      <c r="D38" s="281" t="s">
        <v>3286</v>
      </c>
      <c r="E38" s="281" t="s">
        <v>3292</v>
      </c>
      <c r="F38" s="281" t="s">
        <v>3293</v>
      </c>
      <c r="G38" s="281">
        <v>36.5</v>
      </c>
      <c r="H38" s="281"/>
      <c r="I38" s="242">
        <f>(121+54/60)/24</f>
        <v>5.0791666666666666</v>
      </c>
      <c r="J38" s="37">
        <v>3229.5454545454545</v>
      </c>
      <c r="K38" s="37">
        <f t="shared" si="3"/>
        <v>400</v>
      </c>
      <c r="L38" s="37">
        <f t="shared" si="4"/>
        <v>1350</v>
      </c>
      <c r="M38" s="37">
        <f t="shared" si="5"/>
        <v>3629.5454545454545</v>
      </c>
      <c r="N38" s="37">
        <f t="shared" si="6"/>
        <v>4579.545454545454</v>
      </c>
      <c r="O38" s="94">
        <v>400</v>
      </c>
      <c r="P38" s="94">
        <v>1350</v>
      </c>
      <c r="Q38" s="94" t="s">
        <v>2471</v>
      </c>
      <c r="R38" s="94" t="s">
        <v>2471</v>
      </c>
      <c r="S38" s="94">
        <f t="shared" si="11"/>
        <v>3629.5454545454545</v>
      </c>
      <c r="T38" s="94">
        <f t="shared" si="12"/>
        <v>4579.545454545454</v>
      </c>
      <c r="U38" s="273">
        <v>0.8</v>
      </c>
      <c r="V38" s="94" t="s">
        <v>3702</v>
      </c>
    </row>
    <row r="39" spans="1:26" x14ac:dyDescent="0.2">
      <c r="A39" s="299" t="str">
        <f>CONCATENATE(CCE[[#This Row],[Capacity Segment - rename]]," - ",CCE[[#This Row],[Equipment model]])</f>
        <v>30-60L - GVR 50 AC</v>
      </c>
      <c r="B39" s="281" t="s">
        <v>3295</v>
      </c>
      <c r="C39" s="281" t="s">
        <v>3220</v>
      </c>
      <c r="D39" s="281" t="s">
        <v>3286</v>
      </c>
      <c r="E39" s="281" t="s">
        <v>3292</v>
      </c>
      <c r="F39" s="281" t="s">
        <v>3290</v>
      </c>
      <c r="G39" s="281">
        <v>46.8</v>
      </c>
      <c r="H39" s="281"/>
      <c r="I39" s="242">
        <v>7.583333333333333</v>
      </c>
      <c r="J39" s="37">
        <v>1642</v>
      </c>
      <c r="K39" s="37">
        <f t="shared" si="3"/>
        <v>400</v>
      </c>
      <c r="L39" s="37">
        <f t="shared" si="4"/>
        <v>1350</v>
      </c>
      <c r="M39" s="37">
        <f t="shared" si="5"/>
        <v>2042</v>
      </c>
      <c r="N39" s="37">
        <f t="shared" si="6"/>
        <v>2992</v>
      </c>
      <c r="O39" s="94">
        <v>400</v>
      </c>
      <c r="P39" s="94">
        <v>1350</v>
      </c>
      <c r="Q39" s="94" t="s">
        <v>2471</v>
      </c>
      <c r="R39" s="94" t="s">
        <v>2471</v>
      </c>
      <c r="S39" s="94">
        <f t="shared" si="11"/>
        <v>2042</v>
      </c>
      <c r="T39" s="94">
        <f t="shared" si="12"/>
        <v>2992</v>
      </c>
      <c r="U39" s="273">
        <v>0.56000000000000005</v>
      </c>
      <c r="V39" s="94" t="s">
        <v>3702</v>
      </c>
    </row>
    <row r="40" spans="1:26" x14ac:dyDescent="0.2">
      <c r="A40" s="299" t="str">
        <f>CONCATENATE(CCE[[#This Row],[Capacity Segment - rename]]," - ",CCE[[#This Row],[Equipment model]])</f>
        <v>30-60L - CFD-50</v>
      </c>
      <c r="B40" s="281" t="s">
        <v>3297</v>
      </c>
      <c r="C40" s="281" t="s">
        <v>3220</v>
      </c>
      <c r="D40" s="281" t="s">
        <v>3286</v>
      </c>
      <c r="E40" s="281" t="s">
        <v>3292</v>
      </c>
      <c r="F40" s="281" t="s">
        <v>3296</v>
      </c>
      <c r="G40" s="281">
        <v>50</v>
      </c>
      <c r="H40" s="281"/>
      <c r="I40" s="242">
        <v>5.625</v>
      </c>
      <c r="J40" s="37">
        <v>1400</v>
      </c>
      <c r="K40" s="37">
        <f t="shared" si="3"/>
        <v>400</v>
      </c>
      <c r="L40" s="37">
        <f t="shared" si="4"/>
        <v>1350</v>
      </c>
      <c r="M40" s="37">
        <f t="shared" si="5"/>
        <v>1800</v>
      </c>
      <c r="N40" s="37">
        <f t="shared" si="6"/>
        <v>2750</v>
      </c>
      <c r="O40" s="94">
        <v>400</v>
      </c>
      <c r="P40" s="94">
        <v>1350</v>
      </c>
      <c r="Q40" s="94" t="s">
        <v>2471</v>
      </c>
      <c r="R40" s="94" t="s">
        <v>2471</v>
      </c>
      <c r="S40" s="94">
        <f t="shared" si="11"/>
        <v>1800</v>
      </c>
      <c r="T40" s="94">
        <f t="shared" si="12"/>
        <v>2750</v>
      </c>
      <c r="U40" s="273">
        <v>0.54</v>
      </c>
      <c r="V40" s="94" t="s">
        <v>3702</v>
      </c>
    </row>
    <row r="41" spans="1:26" x14ac:dyDescent="0.2">
      <c r="A41" s="299" t="str">
        <f>CONCATENATE(CCE[[#This Row],[Capacity Segment - rename]]," - ",CCE[[#This Row],[Equipment model]])</f>
        <v>30-60L - GVR 51 Lite AC</v>
      </c>
      <c r="B41" s="281" t="s">
        <v>3298</v>
      </c>
      <c r="C41" s="281" t="s">
        <v>3220</v>
      </c>
      <c r="D41" s="281" t="s">
        <v>3286</v>
      </c>
      <c r="E41" s="281" t="s">
        <v>3292</v>
      </c>
      <c r="F41" s="281" t="s">
        <v>3290</v>
      </c>
      <c r="G41" s="281">
        <v>51</v>
      </c>
      <c r="H41" s="281"/>
      <c r="I41" s="242">
        <v>2.2916666666666665</v>
      </c>
      <c r="J41" s="37">
        <v>999</v>
      </c>
      <c r="K41" s="37">
        <f t="shared" si="3"/>
        <v>400</v>
      </c>
      <c r="L41" s="37">
        <f t="shared" si="4"/>
        <v>1350</v>
      </c>
      <c r="M41" s="37">
        <f t="shared" si="5"/>
        <v>1399</v>
      </c>
      <c r="N41" s="37">
        <f t="shared" si="6"/>
        <v>2349</v>
      </c>
      <c r="O41" s="94">
        <v>400</v>
      </c>
      <c r="P41" s="94">
        <v>1350</v>
      </c>
      <c r="Q41" s="94" t="s">
        <v>2471</v>
      </c>
      <c r="R41" s="94" t="s">
        <v>2471</v>
      </c>
      <c r="S41" s="94">
        <f t="shared" si="11"/>
        <v>1399</v>
      </c>
      <c r="T41" s="94">
        <f t="shared" si="12"/>
        <v>2349</v>
      </c>
      <c r="U41" s="273">
        <v>1.63</v>
      </c>
      <c r="V41" s="94" t="s">
        <v>3702</v>
      </c>
    </row>
    <row r="42" spans="1:26" x14ac:dyDescent="0.2">
      <c r="A42" s="299" t="str">
        <f>CONCATENATE(CCE[[#This Row],[Capacity Segment - rename]]," - ",CCE[[#This Row],[Equipment model]])</f>
        <v>60-90L - VLS 204A</v>
      </c>
      <c r="B42" s="281" t="s">
        <v>3301</v>
      </c>
      <c r="C42" s="281" t="s">
        <v>3220</v>
      </c>
      <c r="D42" s="281" t="s">
        <v>3286</v>
      </c>
      <c r="E42" s="281" t="s">
        <v>3299</v>
      </c>
      <c r="F42" s="281" t="s">
        <v>3300</v>
      </c>
      <c r="G42" s="281">
        <v>60</v>
      </c>
      <c r="H42" s="281"/>
      <c r="I42" s="242">
        <v>2.25</v>
      </c>
      <c r="J42" s="37">
        <v>911.36363636363637</v>
      </c>
      <c r="K42" s="37">
        <f t="shared" si="3"/>
        <v>400</v>
      </c>
      <c r="L42" s="37">
        <f t="shared" si="4"/>
        <v>1350</v>
      </c>
      <c r="M42" s="37">
        <f t="shared" si="5"/>
        <v>1311.3636363636365</v>
      </c>
      <c r="N42" s="37">
        <f t="shared" si="6"/>
        <v>2261.3636363636365</v>
      </c>
      <c r="O42" s="94">
        <v>400</v>
      </c>
      <c r="P42" s="94">
        <v>1350</v>
      </c>
      <c r="Q42" s="94" t="s">
        <v>2471</v>
      </c>
      <c r="R42" s="94" t="s">
        <v>2471</v>
      </c>
      <c r="S42" s="94">
        <f t="shared" si="11"/>
        <v>1311.3636363636365</v>
      </c>
      <c r="T42" s="94">
        <f t="shared" si="12"/>
        <v>2261.3636363636365</v>
      </c>
      <c r="U42" s="273">
        <v>0.56999999999999995</v>
      </c>
      <c r="V42" s="94" t="s">
        <v>3703</v>
      </c>
    </row>
    <row r="43" spans="1:26" x14ac:dyDescent="0.2">
      <c r="A43" s="299" t="str">
        <f>CONCATENATE(CCE[[#This Row],[Capacity Segment - rename]]," - ",CCE[[#This Row],[Equipment model]])</f>
        <v>60-90L - HBC 80</v>
      </c>
      <c r="B43" s="281" t="s">
        <v>3302</v>
      </c>
      <c r="C43" s="281" t="s">
        <v>3220</v>
      </c>
      <c r="D43" s="281" t="s">
        <v>3286</v>
      </c>
      <c r="E43" s="281" t="s">
        <v>3299</v>
      </c>
      <c r="F43" s="281" t="s">
        <v>3242</v>
      </c>
      <c r="G43" s="281">
        <v>61</v>
      </c>
      <c r="H43" s="281"/>
      <c r="I43" s="242">
        <v>1.325</v>
      </c>
      <c r="J43" s="37">
        <v>718</v>
      </c>
      <c r="K43" s="37">
        <f t="shared" si="3"/>
        <v>400</v>
      </c>
      <c r="L43" s="37">
        <f t="shared" si="4"/>
        <v>1350</v>
      </c>
      <c r="M43" s="37">
        <f t="shared" si="5"/>
        <v>1118</v>
      </c>
      <c r="N43" s="37">
        <f t="shared" si="6"/>
        <v>2068</v>
      </c>
      <c r="O43" s="94">
        <v>400</v>
      </c>
      <c r="P43" s="94">
        <v>1350</v>
      </c>
      <c r="Q43" s="94" t="s">
        <v>2471</v>
      </c>
      <c r="R43" s="94" t="s">
        <v>2471</v>
      </c>
      <c r="S43" s="94">
        <f t="shared" si="11"/>
        <v>1118</v>
      </c>
      <c r="T43" s="94">
        <f t="shared" si="12"/>
        <v>2068</v>
      </c>
      <c r="U43" s="273">
        <v>0.56999999999999995</v>
      </c>
      <c r="V43" s="94" t="s">
        <v>3703</v>
      </c>
    </row>
    <row r="44" spans="1:26" x14ac:dyDescent="0.2">
      <c r="A44" s="299" t="str">
        <f>CONCATENATE(CCE[[#This Row],[Capacity Segment - rename]]," - ",CCE[[#This Row],[Equipment model]])</f>
        <v>60-90L - GVR 75 Lite AC</v>
      </c>
      <c r="B44" s="281" t="s">
        <v>3303</v>
      </c>
      <c r="C44" s="281" t="s">
        <v>3220</v>
      </c>
      <c r="D44" s="281" t="s">
        <v>3286</v>
      </c>
      <c r="E44" s="281" t="s">
        <v>3299</v>
      </c>
      <c r="F44" s="281" t="s">
        <v>3290</v>
      </c>
      <c r="G44" s="281">
        <v>72.5</v>
      </c>
      <c r="H44" s="281"/>
      <c r="I44" s="242">
        <v>3.375</v>
      </c>
      <c r="J44" s="37">
        <v>1030</v>
      </c>
      <c r="K44" s="37">
        <f t="shared" si="3"/>
        <v>400</v>
      </c>
      <c r="L44" s="37">
        <f t="shared" si="4"/>
        <v>1350</v>
      </c>
      <c r="M44" s="37">
        <f t="shared" si="5"/>
        <v>1430</v>
      </c>
      <c r="N44" s="37">
        <f t="shared" si="6"/>
        <v>2380</v>
      </c>
      <c r="O44" s="94">
        <v>400</v>
      </c>
      <c r="P44" s="94">
        <v>1350</v>
      </c>
      <c r="Q44" s="94" t="s">
        <v>2471</v>
      </c>
      <c r="R44" s="94" t="s">
        <v>2471</v>
      </c>
      <c r="S44" s="94">
        <f t="shared" si="11"/>
        <v>1430</v>
      </c>
      <c r="T44" s="94">
        <f t="shared" si="12"/>
        <v>2380</v>
      </c>
      <c r="U44" s="273">
        <v>1.47</v>
      </c>
      <c r="V44" s="94" t="s">
        <v>3703</v>
      </c>
    </row>
    <row r="45" spans="1:26" x14ac:dyDescent="0.2">
      <c r="A45" s="299" t="str">
        <f>CONCATENATE(CCE[[#This Row],[Capacity Segment - rename]]," - ",CCE[[#This Row],[Equipment model]])</f>
        <v>60-90L - ZLF 80 AC</v>
      </c>
      <c r="B45" s="281" t="s">
        <v>3304</v>
      </c>
      <c r="C45" s="281" t="s">
        <v>3220</v>
      </c>
      <c r="D45" s="281" t="s">
        <v>3286</v>
      </c>
      <c r="E45" s="281" t="s">
        <v>3299</v>
      </c>
      <c r="F45" s="281" t="s">
        <v>3288</v>
      </c>
      <c r="G45" s="281">
        <v>77</v>
      </c>
      <c r="H45" s="281"/>
      <c r="I45" s="242">
        <f>(105+17/60)/24</f>
        <v>4.3868055555555552</v>
      </c>
      <c r="J45" s="37">
        <v>1990</v>
      </c>
      <c r="K45" s="37">
        <f t="shared" si="3"/>
        <v>400</v>
      </c>
      <c r="L45" s="37">
        <f t="shared" si="4"/>
        <v>1350</v>
      </c>
      <c r="M45" s="37">
        <f t="shared" si="5"/>
        <v>2390</v>
      </c>
      <c r="N45" s="37">
        <f t="shared" si="6"/>
        <v>3340</v>
      </c>
      <c r="O45" s="94">
        <v>400</v>
      </c>
      <c r="P45" s="94">
        <v>1350</v>
      </c>
      <c r="Q45" s="94" t="s">
        <v>2471</v>
      </c>
      <c r="R45" s="94" t="s">
        <v>2471</v>
      </c>
      <c r="S45" s="94">
        <f t="shared" si="11"/>
        <v>2390</v>
      </c>
      <c r="T45" s="94">
        <f t="shared" si="12"/>
        <v>3340</v>
      </c>
      <c r="U45" s="273">
        <v>1.4</v>
      </c>
      <c r="V45" s="94" t="s">
        <v>3703</v>
      </c>
    </row>
    <row r="46" spans="1:26" x14ac:dyDescent="0.2">
      <c r="A46" s="299" t="str">
        <f>CONCATENATE(CCE[[#This Row],[Capacity Segment - rename]]," - ",CCE[[#This Row],[Equipment model]])</f>
        <v>60-90L - TCW 80 AC</v>
      </c>
      <c r="B46" s="281" t="s">
        <v>3305</v>
      </c>
      <c r="C46" s="281" t="s">
        <v>3220</v>
      </c>
      <c r="D46" s="281" t="s">
        <v>3286</v>
      </c>
      <c r="E46" s="281" t="s">
        <v>3299</v>
      </c>
      <c r="F46" s="281" t="s">
        <v>3293</v>
      </c>
      <c r="G46" s="281">
        <v>80.5</v>
      </c>
      <c r="H46" s="281"/>
      <c r="I46" s="242">
        <f>(72+9/60)/24</f>
        <v>3.0062500000000001</v>
      </c>
      <c r="J46" s="37">
        <v>3481.818181818182</v>
      </c>
      <c r="K46" s="37">
        <f t="shared" si="3"/>
        <v>400</v>
      </c>
      <c r="L46" s="37">
        <f t="shared" si="4"/>
        <v>1350</v>
      </c>
      <c r="M46" s="37">
        <f t="shared" si="5"/>
        <v>3881.818181818182</v>
      </c>
      <c r="N46" s="37">
        <f t="shared" si="6"/>
        <v>4831.818181818182</v>
      </c>
      <c r="O46" s="94">
        <v>400</v>
      </c>
      <c r="P46" s="94">
        <v>1350</v>
      </c>
      <c r="Q46" s="94" t="s">
        <v>2471</v>
      </c>
      <c r="R46" s="94" t="s">
        <v>2471</v>
      </c>
      <c r="S46" s="94">
        <f t="shared" si="11"/>
        <v>3881.818181818182</v>
      </c>
      <c r="T46" s="94">
        <f t="shared" si="12"/>
        <v>4831.818181818182</v>
      </c>
      <c r="U46" s="273">
        <v>1.1599999999999999</v>
      </c>
      <c r="V46" s="94" t="s">
        <v>3703</v>
      </c>
    </row>
    <row r="47" spans="1:26" x14ac:dyDescent="0.2">
      <c r="A47" s="299" t="str">
        <f>CONCATENATE(CCE[[#This Row],[Capacity Segment - rename]]," - ",CCE[[#This Row],[Equipment model]])</f>
        <v>90-120L - VLS 304A AC</v>
      </c>
      <c r="B47" s="281" t="s">
        <v>3307</v>
      </c>
      <c r="C47" s="281" t="s">
        <v>3220</v>
      </c>
      <c r="D47" s="281" t="s">
        <v>3286</v>
      </c>
      <c r="E47" s="281" t="s">
        <v>3306</v>
      </c>
      <c r="F47" s="281" t="s">
        <v>3300</v>
      </c>
      <c r="G47" s="281">
        <v>98</v>
      </c>
      <c r="H47" s="281"/>
      <c r="I47" s="242">
        <f>54.5/24</f>
        <v>2.2708333333333335</v>
      </c>
      <c r="J47" s="37">
        <v>1085.2272727272727</v>
      </c>
      <c r="K47" s="37">
        <f t="shared" si="3"/>
        <v>400</v>
      </c>
      <c r="L47" s="37">
        <f t="shared" si="4"/>
        <v>1350</v>
      </c>
      <c r="M47" s="37">
        <f t="shared" si="5"/>
        <v>1485.2272727272727</v>
      </c>
      <c r="N47" s="37">
        <f t="shared" si="6"/>
        <v>2435.227272727273</v>
      </c>
      <c r="O47" s="94">
        <v>400</v>
      </c>
      <c r="P47" s="94">
        <v>1350</v>
      </c>
      <c r="Q47" s="94" t="s">
        <v>2471</v>
      </c>
      <c r="R47" s="94" t="s">
        <v>2471</v>
      </c>
      <c r="S47" s="94">
        <f t="shared" si="11"/>
        <v>1485.2272727272727</v>
      </c>
      <c r="T47" s="94">
        <f t="shared" si="12"/>
        <v>2435.227272727273</v>
      </c>
      <c r="U47" s="273">
        <v>0.6</v>
      </c>
      <c r="V47" s="94" t="s">
        <v>3704</v>
      </c>
    </row>
    <row r="48" spans="1:26" x14ac:dyDescent="0.2">
      <c r="A48" s="299" t="str">
        <f>CONCATENATE(CCE[[#This Row],[Capacity Segment - rename]]," - ",CCE[[#This Row],[Equipment model]])</f>
        <v>90-120L - GVR 99 Lite AC</v>
      </c>
      <c r="B48" s="281" t="s">
        <v>3308</v>
      </c>
      <c r="C48" s="281" t="s">
        <v>3220</v>
      </c>
      <c r="D48" s="281" t="s">
        <v>3286</v>
      </c>
      <c r="E48" s="281" t="s">
        <v>3306</v>
      </c>
      <c r="F48" s="281" t="s">
        <v>3290</v>
      </c>
      <c r="G48" s="281">
        <v>98.5</v>
      </c>
      <c r="H48" s="281"/>
      <c r="I48" s="242">
        <v>2.4819444444444447</v>
      </c>
      <c r="J48" s="37">
        <v>1074</v>
      </c>
      <c r="K48" s="37">
        <f t="shared" si="3"/>
        <v>400</v>
      </c>
      <c r="L48" s="37">
        <f t="shared" si="4"/>
        <v>1350</v>
      </c>
      <c r="M48" s="37">
        <f t="shared" si="5"/>
        <v>1474</v>
      </c>
      <c r="N48" s="37">
        <f t="shared" si="6"/>
        <v>2424</v>
      </c>
      <c r="O48" s="94">
        <v>400</v>
      </c>
      <c r="P48" s="94">
        <v>1350</v>
      </c>
      <c r="Q48" s="94" t="s">
        <v>2471</v>
      </c>
      <c r="R48" s="94" t="s">
        <v>2471</v>
      </c>
      <c r="S48" s="94">
        <f t="shared" si="11"/>
        <v>1474</v>
      </c>
      <c r="T48" s="94">
        <f t="shared" si="12"/>
        <v>2424</v>
      </c>
      <c r="U48" s="273">
        <v>1.23</v>
      </c>
      <c r="V48" s="94" t="s">
        <v>3704</v>
      </c>
    </row>
    <row r="49" spans="1:24" x14ac:dyDescent="0.2">
      <c r="A49" s="299" t="str">
        <f>CONCATENATE(CCE[[#This Row],[Capacity Segment - rename]]," - ",CCE[[#This Row],[Equipment model]])</f>
        <v>90-120L - ZLF 100 AC</v>
      </c>
      <c r="B49" s="281" t="s">
        <v>3309</v>
      </c>
      <c r="C49" s="281" t="s">
        <v>3220</v>
      </c>
      <c r="D49" s="281" t="s">
        <v>3286</v>
      </c>
      <c r="E49" s="281" t="s">
        <v>3306</v>
      </c>
      <c r="F49" s="281" t="s">
        <v>3288</v>
      </c>
      <c r="G49" s="281">
        <v>99</v>
      </c>
      <c r="H49" s="281"/>
      <c r="I49" s="242">
        <v>4.7374999999999998</v>
      </c>
      <c r="J49" s="37">
        <v>1950</v>
      </c>
      <c r="K49" s="37">
        <f t="shared" si="3"/>
        <v>400</v>
      </c>
      <c r="L49" s="37">
        <f t="shared" si="4"/>
        <v>1350</v>
      </c>
      <c r="M49" s="37">
        <f t="shared" si="5"/>
        <v>2350</v>
      </c>
      <c r="N49" s="37">
        <f t="shared" si="6"/>
        <v>3300</v>
      </c>
      <c r="O49" s="94">
        <v>400</v>
      </c>
      <c r="P49" s="94">
        <v>1350</v>
      </c>
      <c r="Q49" s="94" t="s">
        <v>2471</v>
      </c>
      <c r="R49" s="94" t="s">
        <v>2471</v>
      </c>
      <c r="S49" s="94">
        <f t="shared" si="11"/>
        <v>2350</v>
      </c>
      <c r="T49" s="94">
        <f t="shared" si="12"/>
        <v>3300</v>
      </c>
      <c r="U49" s="273">
        <v>1.96</v>
      </c>
      <c r="V49" s="94" t="s">
        <v>3704</v>
      </c>
    </row>
    <row r="50" spans="1:24" x14ac:dyDescent="0.2">
      <c r="A50" s="299" t="str">
        <f>CONCATENATE(CCE[[#This Row],[Capacity Segment - rename]]," - ",CCE[[#This Row],[Equipment model]])</f>
        <v>90-120L - GVR 100 AC</v>
      </c>
      <c r="B50" s="281" t="s">
        <v>3310</v>
      </c>
      <c r="C50" s="281" t="s">
        <v>3220</v>
      </c>
      <c r="D50" s="281" t="s">
        <v>3286</v>
      </c>
      <c r="E50" s="281" t="s">
        <v>3306</v>
      </c>
      <c r="F50" s="281" t="s">
        <v>3290</v>
      </c>
      <c r="G50" s="281">
        <v>99</v>
      </c>
      <c r="H50" s="281"/>
      <c r="I50" s="242">
        <v>12.512500000000001</v>
      </c>
      <c r="J50" s="37">
        <v>2355</v>
      </c>
      <c r="K50" s="37">
        <f t="shared" si="3"/>
        <v>400</v>
      </c>
      <c r="L50" s="37">
        <f t="shared" si="4"/>
        <v>1350</v>
      </c>
      <c r="M50" s="37">
        <f t="shared" si="5"/>
        <v>2755</v>
      </c>
      <c r="N50" s="37">
        <f t="shared" si="6"/>
        <v>3705</v>
      </c>
      <c r="O50" s="94">
        <v>400</v>
      </c>
      <c r="P50" s="94">
        <v>1350</v>
      </c>
      <c r="Q50" s="94" t="s">
        <v>2471</v>
      </c>
      <c r="R50" s="94" t="s">
        <v>2471</v>
      </c>
      <c r="S50" s="94">
        <f t="shared" si="11"/>
        <v>2755</v>
      </c>
      <c r="T50" s="94">
        <f t="shared" si="12"/>
        <v>3705</v>
      </c>
      <c r="U50" s="273">
        <v>0.75</v>
      </c>
      <c r="V50" s="94" t="s">
        <v>3704</v>
      </c>
    </row>
    <row r="51" spans="1:24" x14ac:dyDescent="0.2">
      <c r="A51" s="299" t="str">
        <f>CONCATENATE(CCE[[#This Row],[Capacity Segment - rename]]," - ",CCE[[#This Row],[Equipment model]])</f>
        <v>90-120L - HBC-120</v>
      </c>
      <c r="B51" s="281" t="s">
        <v>3311</v>
      </c>
      <c r="C51" s="281" t="s">
        <v>3220</v>
      </c>
      <c r="D51" s="281" t="s">
        <v>3286</v>
      </c>
      <c r="E51" s="281" t="s">
        <v>3306</v>
      </c>
      <c r="F51" s="281" t="s">
        <v>3242</v>
      </c>
      <c r="G51" s="281">
        <v>100</v>
      </c>
      <c r="H51" s="281"/>
      <c r="I51" s="242">
        <f>(128+48/60)/24</f>
        <v>5.3666666666666671</v>
      </c>
      <c r="J51" s="37">
        <v>1700</v>
      </c>
      <c r="K51" s="37">
        <f t="shared" si="3"/>
        <v>400</v>
      </c>
      <c r="L51" s="37">
        <f t="shared" si="4"/>
        <v>1350</v>
      </c>
      <c r="M51" s="37">
        <f t="shared" si="5"/>
        <v>2100</v>
      </c>
      <c r="N51" s="37">
        <f t="shared" si="6"/>
        <v>3050</v>
      </c>
      <c r="O51" s="94">
        <v>400</v>
      </c>
      <c r="P51" s="94">
        <v>1350</v>
      </c>
      <c r="Q51" s="94" t="s">
        <v>2471</v>
      </c>
      <c r="R51" s="94" t="s">
        <v>2471</v>
      </c>
      <c r="S51" s="94">
        <f t="shared" si="11"/>
        <v>2100</v>
      </c>
      <c r="T51" s="94">
        <f t="shared" si="12"/>
        <v>3050</v>
      </c>
      <c r="U51" s="273">
        <v>1.25</v>
      </c>
      <c r="V51" s="94" t="s">
        <v>3704</v>
      </c>
    </row>
    <row r="52" spans="1:24" x14ac:dyDescent="0.2">
      <c r="A52" s="299" t="str">
        <f>CONCATENATE(CCE[[#This Row],[Capacity Segment - rename]]," - ",CCE[[#This Row],[Equipment model]])</f>
        <v>120L+ - HBC 150</v>
      </c>
      <c r="B52" s="281" t="s">
        <v>3313</v>
      </c>
      <c r="C52" s="281" t="s">
        <v>3220</v>
      </c>
      <c r="D52" s="281" t="s">
        <v>3286</v>
      </c>
      <c r="E52" s="281" t="s">
        <v>3312</v>
      </c>
      <c r="F52" s="281" t="s">
        <v>3242</v>
      </c>
      <c r="G52" s="281">
        <v>122</v>
      </c>
      <c r="H52" s="281"/>
      <c r="I52" s="242">
        <v>1.2604166666666667</v>
      </c>
      <c r="J52" s="37">
        <v>918</v>
      </c>
      <c r="K52" s="37">
        <f t="shared" si="3"/>
        <v>400</v>
      </c>
      <c r="L52" s="37">
        <f t="shared" si="4"/>
        <v>1350</v>
      </c>
      <c r="M52" s="37">
        <f t="shared" si="5"/>
        <v>1318</v>
      </c>
      <c r="N52" s="37">
        <f t="shared" si="6"/>
        <v>2268</v>
      </c>
      <c r="O52" s="94">
        <v>400</v>
      </c>
      <c r="P52" s="94">
        <v>1350</v>
      </c>
      <c r="Q52" s="94" t="s">
        <v>2471</v>
      </c>
      <c r="R52" s="94" t="s">
        <v>2471</v>
      </c>
      <c r="S52" s="94">
        <f t="shared" si="11"/>
        <v>1318</v>
      </c>
      <c r="T52" s="94">
        <f t="shared" si="12"/>
        <v>2268</v>
      </c>
      <c r="U52" s="273">
        <v>0.54</v>
      </c>
      <c r="V52" s="94" t="s">
        <v>3705</v>
      </c>
    </row>
    <row r="53" spans="1:24" x14ac:dyDescent="0.2">
      <c r="A53" s="299" t="str">
        <f>CONCATENATE(CCE[[#This Row],[Capacity Segment - rename]]," - ",CCE[[#This Row],[Equipment model]])</f>
        <v>120L+ - VLS 354A AC</v>
      </c>
      <c r="B53" s="281" t="s">
        <v>3314</v>
      </c>
      <c r="C53" s="281" t="s">
        <v>3220</v>
      </c>
      <c r="D53" s="281" t="s">
        <v>3286</v>
      </c>
      <c r="E53" s="281" t="s">
        <v>3312</v>
      </c>
      <c r="F53" s="281" t="s">
        <v>3300</v>
      </c>
      <c r="G53" s="281">
        <v>127</v>
      </c>
      <c r="H53" s="281"/>
      <c r="I53" s="242">
        <v>2.2791666666666668</v>
      </c>
      <c r="J53" s="37">
        <v>1201.1363636363637</v>
      </c>
      <c r="K53" s="37">
        <f t="shared" si="3"/>
        <v>400</v>
      </c>
      <c r="L53" s="37">
        <f t="shared" si="4"/>
        <v>1350</v>
      </c>
      <c r="M53" s="37">
        <f t="shared" si="5"/>
        <v>1601.1363636363637</v>
      </c>
      <c r="N53" s="37">
        <f t="shared" si="6"/>
        <v>2551.136363636364</v>
      </c>
      <c r="O53" s="94">
        <v>400</v>
      </c>
      <c r="P53" s="94">
        <v>1350</v>
      </c>
      <c r="Q53" s="94" t="s">
        <v>2471</v>
      </c>
      <c r="R53" s="94" t="s">
        <v>2471</v>
      </c>
      <c r="S53" s="94">
        <f>J53+O53</f>
        <v>1601.1363636363637</v>
      </c>
      <c r="T53" s="94">
        <f>J53+P53</f>
        <v>2551.136363636364</v>
      </c>
      <c r="U53" s="273">
        <v>0.62</v>
      </c>
      <c r="V53" s="94" t="s">
        <v>3705</v>
      </c>
    </row>
    <row r="54" spans="1:24" x14ac:dyDescent="0.2">
      <c r="A54" s="299" t="str">
        <f>CONCATENATE(CCE[[#This Row],[Capacity Segment - rename]]," - ",CCE[[#This Row],[Equipment model]])</f>
        <v>120L+ - ZLF 150 AC</v>
      </c>
      <c r="B54" s="281" t="s">
        <v>3315</v>
      </c>
      <c r="C54" s="281" t="s">
        <v>3220</v>
      </c>
      <c r="D54" s="281" t="s">
        <v>3286</v>
      </c>
      <c r="E54" s="281" t="s">
        <v>3312</v>
      </c>
      <c r="F54" s="281" t="s">
        <v>3288</v>
      </c>
      <c r="G54" s="281">
        <v>128</v>
      </c>
      <c r="H54" s="281"/>
      <c r="I54" s="242">
        <v>5.3416666666666659</v>
      </c>
      <c r="J54" s="37">
        <v>2300</v>
      </c>
      <c r="K54" s="37">
        <f t="shared" si="3"/>
        <v>400</v>
      </c>
      <c r="L54" s="37">
        <f t="shared" si="4"/>
        <v>1350</v>
      </c>
      <c r="M54" s="37">
        <f t="shared" si="5"/>
        <v>2700</v>
      </c>
      <c r="N54" s="37">
        <f t="shared" si="6"/>
        <v>3650</v>
      </c>
      <c r="O54" s="94">
        <v>400</v>
      </c>
      <c r="P54" s="94">
        <v>1350</v>
      </c>
      <c r="Q54" s="94" t="s">
        <v>2471</v>
      </c>
      <c r="R54" s="94" t="s">
        <v>2471</v>
      </c>
      <c r="S54" s="94">
        <f t="shared" si="11"/>
        <v>2700</v>
      </c>
      <c r="T54" s="94">
        <f t="shared" si="12"/>
        <v>3650</v>
      </c>
      <c r="U54" s="273">
        <v>1.98</v>
      </c>
      <c r="V54" s="94" t="s">
        <v>3705</v>
      </c>
    </row>
    <row r="55" spans="1:24" x14ac:dyDescent="0.2">
      <c r="A55" s="299" t="str">
        <f>CONCATENATE(CCE[[#This Row],[Capacity Segment - rename]]," - ",CCE[[#This Row],[Equipment model]])</f>
        <v>120L+ - VLS 404A AC</v>
      </c>
      <c r="B55" s="281" t="s">
        <v>3316</v>
      </c>
      <c r="C55" s="281" t="s">
        <v>3220</v>
      </c>
      <c r="D55" s="281" t="s">
        <v>3286</v>
      </c>
      <c r="E55" s="281" t="s">
        <v>3312</v>
      </c>
      <c r="F55" s="281" t="s">
        <v>3300</v>
      </c>
      <c r="G55" s="281">
        <v>145</v>
      </c>
      <c r="H55" s="281"/>
      <c r="I55" s="242">
        <v>2.2916666666666665</v>
      </c>
      <c r="J55" s="37">
        <v>1293.1818181818182</v>
      </c>
      <c r="K55" s="37">
        <f t="shared" si="3"/>
        <v>400</v>
      </c>
      <c r="L55" s="37">
        <f t="shared" si="4"/>
        <v>1350</v>
      </c>
      <c r="M55" s="37">
        <f t="shared" si="5"/>
        <v>1693.1818181818182</v>
      </c>
      <c r="N55" s="37">
        <f t="shared" si="6"/>
        <v>2643.181818181818</v>
      </c>
      <c r="O55" s="94">
        <v>400</v>
      </c>
      <c r="P55" s="94">
        <v>1350</v>
      </c>
      <c r="Q55" s="94" t="s">
        <v>2471</v>
      </c>
      <c r="R55" s="94" t="s">
        <v>2471</v>
      </c>
      <c r="S55" s="94">
        <f t="shared" si="11"/>
        <v>1693.1818181818182</v>
      </c>
      <c r="T55" s="94">
        <f t="shared" si="12"/>
        <v>2643.181818181818</v>
      </c>
      <c r="U55" s="273">
        <v>0.67</v>
      </c>
      <c r="V55" s="94" t="s">
        <v>3705</v>
      </c>
    </row>
    <row r="56" spans="1:24" x14ac:dyDescent="0.2">
      <c r="A56" s="299" t="str">
        <f>CONCATENATE(CCE[[#This Row],[Capacity Segment - rename]]," - ",CCE[[#This Row],[Equipment model]])</f>
        <v>120L+ - HBC-240</v>
      </c>
      <c r="B56" s="281" t="s">
        <v>3317</v>
      </c>
      <c r="C56" s="281" t="s">
        <v>3220</v>
      </c>
      <c r="D56" s="281" t="s">
        <v>3286</v>
      </c>
      <c r="E56" s="281" t="s">
        <v>3312</v>
      </c>
      <c r="F56" s="281" t="s">
        <v>3242</v>
      </c>
      <c r="G56" s="281">
        <v>200</v>
      </c>
      <c r="H56" s="281"/>
      <c r="I56" s="242">
        <f>(87+(14/60))/24</f>
        <v>3.6347222222222224</v>
      </c>
      <c r="J56" s="37">
        <v>1800</v>
      </c>
      <c r="K56" s="37">
        <f t="shared" si="3"/>
        <v>400</v>
      </c>
      <c r="L56" s="37">
        <f t="shared" si="4"/>
        <v>1350</v>
      </c>
      <c r="M56" s="37">
        <f t="shared" si="5"/>
        <v>2200</v>
      </c>
      <c r="N56" s="37">
        <f t="shared" si="6"/>
        <v>3150</v>
      </c>
      <c r="O56" s="94">
        <v>400</v>
      </c>
      <c r="P56" s="94">
        <v>1350</v>
      </c>
      <c r="Q56" s="94" t="s">
        <v>2471</v>
      </c>
      <c r="R56" s="94" t="s">
        <v>2471</v>
      </c>
      <c r="S56" s="94">
        <f>J56+O56</f>
        <v>2200</v>
      </c>
      <c r="T56" s="94">
        <f>J56+P56</f>
        <v>3150</v>
      </c>
      <c r="U56" s="273">
        <v>1.25</v>
      </c>
      <c r="V56" s="94" t="s">
        <v>3705</v>
      </c>
    </row>
    <row r="57" spans="1:24" x14ac:dyDescent="0.2">
      <c r="A57" s="299" t="str">
        <f>CONCATENATE(CCE[[#This Row],[Capacity Segment - rename]]," - ",CCE[[#This Row],[Equipment model]])</f>
        <v>120L+ - VC 225 ILR</v>
      </c>
      <c r="B57" s="281" t="s">
        <v>3319</v>
      </c>
      <c r="C57" s="281" t="s">
        <v>3220</v>
      </c>
      <c r="D57" s="281" t="s">
        <v>3286</v>
      </c>
      <c r="E57" s="281" t="s">
        <v>3312</v>
      </c>
      <c r="F57" s="281" t="s">
        <v>3318</v>
      </c>
      <c r="G57" s="281">
        <v>203.2</v>
      </c>
      <c r="H57" s="281"/>
      <c r="I57" s="242">
        <v>3.9166666666666665</v>
      </c>
      <c r="J57" s="37">
        <v>3181.818181818182</v>
      </c>
      <c r="K57" s="37">
        <f t="shared" si="3"/>
        <v>400</v>
      </c>
      <c r="L57" s="37">
        <f t="shared" si="4"/>
        <v>1350</v>
      </c>
      <c r="M57" s="37">
        <f t="shared" si="5"/>
        <v>3581.818181818182</v>
      </c>
      <c r="N57" s="37">
        <f t="shared" si="6"/>
        <v>4531.818181818182</v>
      </c>
      <c r="O57" s="94">
        <v>400</v>
      </c>
      <c r="P57" s="94">
        <v>1350</v>
      </c>
      <c r="Q57" s="94" t="s">
        <v>2471</v>
      </c>
      <c r="R57" s="94" t="s">
        <v>2471</v>
      </c>
      <c r="S57" s="94">
        <f t="shared" si="11"/>
        <v>3581.818181818182</v>
      </c>
      <c r="T57" s="94">
        <f t="shared" si="12"/>
        <v>4531.818181818182</v>
      </c>
      <c r="U57" s="273">
        <v>0.76</v>
      </c>
      <c r="V57" s="94" t="s">
        <v>3705</v>
      </c>
    </row>
    <row r="58" spans="1:24" x14ac:dyDescent="0.2">
      <c r="A58" s="299" t="str">
        <f>CONCATENATE(CCE[[#This Row],[Capacity Segment - rename]]," - ",CCE[[#This Row],[Equipment model]])</f>
        <v>120L+ - HBC 260</v>
      </c>
      <c r="B58" s="281" t="s">
        <v>3320</v>
      </c>
      <c r="C58" s="281" t="s">
        <v>3220</v>
      </c>
      <c r="D58" s="281" t="s">
        <v>3286</v>
      </c>
      <c r="E58" s="281" t="s">
        <v>3312</v>
      </c>
      <c r="F58" s="281" t="s">
        <v>3242</v>
      </c>
      <c r="G58" s="281">
        <v>211</v>
      </c>
      <c r="H58" s="281"/>
      <c r="I58" s="242">
        <v>1.4416666666666667</v>
      </c>
      <c r="J58" s="37">
        <v>1068</v>
      </c>
      <c r="K58" s="37">
        <f t="shared" si="3"/>
        <v>400</v>
      </c>
      <c r="L58" s="37">
        <f t="shared" si="4"/>
        <v>1350</v>
      </c>
      <c r="M58" s="37">
        <f t="shared" si="5"/>
        <v>1468</v>
      </c>
      <c r="N58" s="37">
        <f t="shared" si="6"/>
        <v>2418</v>
      </c>
      <c r="O58" s="94">
        <v>400</v>
      </c>
      <c r="P58" s="94">
        <v>1350</v>
      </c>
      <c r="Q58" s="94" t="s">
        <v>2471</v>
      </c>
      <c r="R58" s="94" t="s">
        <v>2471</v>
      </c>
      <c r="S58" s="94">
        <f t="shared" si="11"/>
        <v>1468</v>
      </c>
      <c r="T58" s="94">
        <f t="shared" si="12"/>
        <v>2418</v>
      </c>
      <c r="U58" s="273">
        <v>1.62</v>
      </c>
      <c r="V58" s="94" t="s">
        <v>3705</v>
      </c>
    </row>
    <row r="59" spans="1:24" x14ac:dyDescent="0.2">
      <c r="A59" s="299" t="str">
        <f>CONCATENATE(CCE[[#This Row],[Capacity Segment - rename]]," - ",CCE[[#This Row],[Equipment model]])</f>
        <v>120L+ - GVR 225 AC</v>
      </c>
      <c r="B59" s="281" t="s">
        <v>3321</v>
      </c>
      <c r="C59" s="281" t="s">
        <v>3220</v>
      </c>
      <c r="D59" s="281" t="s">
        <v>3286</v>
      </c>
      <c r="E59" s="281" t="s">
        <v>3312</v>
      </c>
      <c r="F59" s="281" t="s">
        <v>3290</v>
      </c>
      <c r="G59" s="281">
        <v>225</v>
      </c>
      <c r="H59" s="281"/>
      <c r="I59" s="242">
        <v>2.2916666666666665</v>
      </c>
      <c r="J59" s="37">
        <v>1910</v>
      </c>
      <c r="K59" s="37">
        <f t="shared" si="3"/>
        <v>400</v>
      </c>
      <c r="L59" s="37">
        <f t="shared" si="4"/>
        <v>1350</v>
      </c>
      <c r="M59" s="37">
        <f t="shared" si="5"/>
        <v>2310</v>
      </c>
      <c r="N59" s="37">
        <f t="shared" si="6"/>
        <v>3260</v>
      </c>
      <c r="O59" s="94">
        <v>400</v>
      </c>
      <c r="P59" s="94">
        <v>1350</v>
      </c>
      <c r="Q59" s="94" t="s">
        <v>2471</v>
      </c>
      <c r="R59" s="94" t="s">
        <v>2471</v>
      </c>
      <c r="S59" s="94">
        <f t="shared" si="11"/>
        <v>2310</v>
      </c>
      <c r="T59" s="94">
        <f t="shared" si="12"/>
        <v>3260</v>
      </c>
      <c r="U59" s="273">
        <v>2.04</v>
      </c>
      <c r="V59" s="94" t="s">
        <v>3705</v>
      </c>
    </row>
    <row r="60" spans="1:24" x14ac:dyDescent="0.2">
      <c r="A60" s="299" t="str">
        <f>CONCATENATE(CCE[[#This Row],[Capacity Segment - rename]]," - ",CCE[[#This Row],[Equipment model]])</f>
        <v>120L+ - TCW 4000 AC</v>
      </c>
      <c r="B60" s="281" t="s">
        <v>3322</v>
      </c>
      <c r="C60" s="281" t="s">
        <v>3220</v>
      </c>
      <c r="D60" s="281" t="s">
        <v>3286</v>
      </c>
      <c r="E60" s="281" t="s">
        <v>3312</v>
      </c>
      <c r="F60" s="281" t="s">
        <v>3293</v>
      </c>
      <c r="G60" s="281">
        <v>240</v>
      </c>
      <c r="H60" s="281"/>
      <c r="I60" s="242">
        <f>77.3/24</f>
        <v>3.2208333333333332</v>
      </c>
      <c r="J60" s="37">
        <v>4500</v>
      </c>
      <c r="K60" s="37">
        <f t="shared" si="3"/>
        <v>400</v>
      </c>
      <c r="L60" s="37">
        <f t="shared" si="4"/>
        <v>1350</v>
      </c>
      <c r="M60" s="37">
        <f t="shared" si="5"/>
        <v>4900</v>
      </c>
      <c r="N60" s="37">
        <f t="shared" si="6"/>
        <v>5850</v>
      </c>
      <c r="O60" s="94">
        <v>400</v>
      </c>
      <c r="P60" s="94">
        <v>1350</v>
      </c>
      <c r="Q60" s="94" t="s">
        <v>2471</v>
      </c>
      <c r="R60" s="94" t="s">
        <v>2471</v>
      </c>
      <c r="S60" s="94">
        <f t="shared" si="11"/>
        <v>4900</v>
      </c>
      <c r="T60" s="94">
        <f t="shared" si="12"/>
        <v>5850</v>
      </c>
      <c r="U60" s="273">
        <v>1.51</v>
      </c>
      <c r="V60" s="94" t="s">
        <v>3705</v>
      </c>
      <c r="X60" t="s">
        <v>14188</v>
      </c>
    </row>
    <row r="61" spans="1:24" x14ac:dyDescent="0.2">
      <c r="A61" s="299" t="str">
        <f>CONCATENATE(CCE[[#This Row],[Capacity Segment - rename]]," - ",CCE[[#This Row],[Equipment model]])</f>
        <v>120L+ - VLS 504A AC</v>
      </c>
      <c r="B61" s="281" t="s">
        <v>3323</v>
      </c>
      <c r="C61" s="281" t="s">
        <v>3220</v>
      </c>
      <c r="D61" s="281" t="s">
        <v>3286</v>
      </c>
      <c r="E61" s="281" t="s">
        <v>3312</v>
      </c>
      <c r="F61" s="281" t="s">
        <v>3300</v>
      </c>
      <c r="G61" s="281">
        <v>242</v>
      </c>
      <c r="H61" s="281"/>
      <c r="I61" s="242">
        <v>2.3029166666666669</v>
      </c>
      <c r="J61" s="37">
        <v>2039.7727272727273</v>
      </c>
      <c r="K61" s="37">
        <f t="shared" si="3"/>
        <v>400</v>
      </c>
      <c r="L61" s="37">
        <f t="shared" si="4"/>
        <v>1350</v>
      </c>
      <c r="M61" s="37">
        <f t="shared" si="5"/>
        <v>2439.772727272727</v>
      </c>
      <c r="N61" s="37">
        <f t="shared" si="6"/>
        <v>3389.772727272727</v>
      </c>
      <c r="O61" s="94">
        <v>400</v>
      </c>
      <c r="P61" s="94">
        <v>1350</v>
      </c>
      <c r="Q61" s="94" t="s">
        <v>2471</v>
      </c>
      <c r="R61" s="94" t="s">
        <v>2471</v>
      </c>
      <c r="S61" s="94">
        <f>J61+O61</f>
        <v>2439.772727272727</v>
      </c>
      <c r="T61" s="94">
        <f t="shared" si="12"/>
        <v>3389.772727272727</v>
      </c>
      <c r="U61" s="273">
        <v>0.64</v>
      </c>
      <c r="V61" s="94" t="s">
        <v>3705</v>
      </c>
    </row>
    <row r="62" spans="1:24" x14ac:dyDescent="0.2">
      <c r="A62" s="299" t="str">
        <f>CONCATENATE(CCE[[#This Row],[Capacity Segment - rename]]," - ",CCE[[#This Row],[Equipment model]])</f>
        <v>30-60L - HBCD - 90</v>
      </c>
      <c r="B62" s="281" t="s">
        <v>3325</v>
      </c>
      <c r="C62" t="s">
        <v>3578</v>
      </c>
      <c r="D62" s="281" t="s">
        <v>3324</v>
      </c>
      <c r="E62" s="281" t="s">
        <v>3292</v>
      </c>
      <c r="F62" s="281" t="s">
        <v>3242</v>
      </c>
      <c r="G62" s="281">
        <v>30</v>
      </c>
      <c r="H62" s="281">
        <v>32</v>
      </c>
      <c r="I62" s="242">
        <f>63.8/24</f>
        <v>2.6583333333333332</v>
      </c>
      <c r="J62" s="37">
        <v>1650</v>
      </c>
      <c r="K62" s="37">
        <f t="shared" ref="K62:K73" si="13">O62</f>
        <v>400</v>
      </c>
      <c r="L62" s="37">
        <f t="shared" ref="L62:L73" si="14">P62</f>
        <v>1350</v>
      </c>
      <c r="M62" s="37">
        <f t="shared" ref="M62:M74" si="15">$J62+K62</f>
        <v>2050</v>
      </c>
      <c r="N62" s="37">
        <f t="shared" ref="N62:N74" si="16">$J62+L62</f>
        <v>3000</v>
      </c>
      <c r="O62" s="94">
        <v>400</v>
      </c>
      <c r="P62" s="94">
        <v>1350</v>
      </c>
      <c r="Q62" s="94" t="s">
        <v>2471</v>
      </c>
      <c r="R62" s="94" t="s">
        <v>2471</v>
      </c>
      <c r="S62" s="94">
        <f t="shared" si="11"/>
        <v>2050</v>
      </c>
      <c r="T62" s="94">
        <f t="shared" si="12"/>
        <v>3000</v>
      </c>
      <c r="U62" s="273">
        <v>0.7</v>
      </c>
      <c r="V62" s="94" t="s">
        <v>3702</v>
      </c>
    </row>
    <row r="63" spans="1:24" x14ac:dyDescent="0.2">
      <c r="A63" s="299" t="str">
        <f>CONCATENATE(CCE[[#This Row],[Capacity Segment - rename]]," - ",CCE[[#This Row],[Equipment model]])</f>
        <v>30-60L - GVR 55 FF AC</v>
      </c>
      <c r="B63" s="281" t="s">
        <v>3326</v>
      </c>
      <c r="C63" s="281" t="s">
        <v>3578</v>
      </c>
      <c r="D63" s="281" t="s">
        <v>3324</v>
      </c>
      <c r="E63" s="281" t="s">
        <v>3292</v>
      </c>
      <c r="F63" s="281" t="s">
        <v>3290</v>
      </c>
      <c r="G63" s="281">
        <v>58</v>
      </c>
      <c r="H63" s="281">
        <v>44</v>
      </c>
      <c r="I63" s="242">
        <f>(113+37/60)/24</f>
        <v>4.7340277777777775</v>
      </c>
      <c r="J63" s="37">
        <v>1410</v>
      </c>
      <c r="K63" s="37">
        <f t="shared" si="13"/>
        <v>400</v>
      </c>
      <c r="L63" s="37">
        <f t="shared" si="14"/>
        <v>1350</v>
      </c>
      <c r="M63" s="37">
        <f t="shared" si="15"/>
        <v>1810</v>
      </c>
      <c r="N63" s="37">
        <f t="shared" si="16"/>
        <v>2760</v>
      </c>
      <c r="O63" s="94">
        <v>400</v>
      </c>
      <c r="P63" s="94">
        <v>1350</v>
      </c>
      <c r="Q63" s="94" t="s">
        <v>2471</v>
      </c>
      <c r="R63" s="94" t="s">
        <v>2471</v>
      </c>
      <c r="S63" s="94">
        <f t="shared" si="11"/>
        <v>1810</v>
      </c>
      <c r="T63" s="94">
        <f t="shared" si="12"/>
        <v>2760</v>
      </c>
      <c r="U63" s="273">
        <v>1.67</v>
      </c>
      <c r="V63" s="94" t="s">
        <v>3702</v>
      </c>
    </row>
    <row r="64" spans="1:24" x14ac:dyDescent="0.2">
      <c r="A64" s="299" t="str">
        <f>CONCATENATE(CCE[[#This Row],[Capacity Segment - rename]]," - ",CCE[[#This Row],[Equipment model]])</f>
        <v>30-60L - VLS 064 RF AC</v>
      </c>
      <c r="B64" s="281" t="s">
        <v>3327</v>
      </c>
      <c r="C64" s="281" t="s">
        <v>3578</v>
      </c>
      <c r="D64" s="281" t="s">
        <v>3324</v>
      </c>
      <c r="E64" s="281" t="s">
        <v>3292</v>
      </c>
      <c r="F64" s="281" t="s">
        <v>3300</v>
      </c>
      <c r="G64" s="281">
        <v>52.5</v>
      </c>
      <c r="H64" s="281">
        <v>5.0999999999999996</v>
      </c>
      <c r="I64" s="242">
        <v>1.1822660098522166</v>
      </c>
      <c r="J64" s="37">
        <v>1360.2272727272727</v>
      </c>
      <c r="K64" s="37">
        <f t="shared" si="13"/>
        <v>400</v>
      </c>
      <c r="L64" s="37">
        <f t="shared" si="14"/>
        <v>1350</v>
      </c>
      <c r="M64" s="37">
        <f t="shared" si="15"/>
        <v>1760.2272727272727</v>
      </c>
      <c r="N64" s="37">
        <f t="shared" si="16"/>
        <v>2710.227272727273</v>
      </c>
      <c r="O64" s="94">
        <v>400</v>
      </c>
      <c r="P64" s="94">
        <v>1350</v>
      </c>
      <c r="Q64" s="94" t="s">
        <v>2471</v>
      </c>
      <c r="R64" s="94" t="s">
        <v>2471</v>
      </c>
      <c r="S64" s="94">
        <f>J64+O64</f>
        <v>1760.2272727272727</v>
      </c>
      <c r="T64" s="94">
        <f>J64+P64</f>
        <v>2710.227272727273</v>
      </c>
      <c r="U64" s="273">
        <v>1.5</v>
      </c>
      <c r="V64" s="94" t="s">
        <v>3702</v>
      </c>
    </row>
    <row r="65" spans="1:22" x14ac:dyDescent="0.2">
      <c r="A65" s="299" t="str">
        <f>CONCATENATE(CCE[[#This Row],[Capacity Segment - rename]]," - ",CCE[[#This Row],[Equipment model]])</f>
        <v>60-90L - TCW 2000 AC</v>
      </c>
      <c r="B65" s="281" t="s">
        <v>3328</v>
      </c>
      <c r="C65" s="281" t="s">
        <v>3578</v>
      </c>
      <c r="D65" s="281" t="s">
        <v>3324</v>
      </c>
      <c r="E65" s="281" t="s">
        <v>3299</v>
      </c>
      <c r="F65" s="281" t="s">
        <v>3293</v>
      </c>
      <c r="G65" s="281">
        <v>60</v>
      </c>
      <c r="H65" s="281">
        <v>42</v>
      </c>
      <c r="I65" s="242">
        <f>39.4/24</f>
        <v>1.6416666666666666</v>
      </c>
      <c r="J65" s="37">
        <v>3710.2272727272725</v>
      </c>
      <c r="K65" s="37">
        <f t="shared" si="13"/>
        <v>400</v>
      </c>
      <c r="L65" s="37">
        <f t="shared" si="14"/>
        <v>1350</v>
      </c>
      <c r="M65" s="37">
        <f t="shared" si="15"/>
        <v>4110.2272727272721</v>
      </c>
      <c r="N65" s="37">
        <f t="shared" si="16"/>
        <v>5060.2272727272721</v>
      </c>
      <c r="O65" s="94">
        <v>400</v>
      </c>
      <c r="P65" s="94">
        <v>1350</v>
      </c>
      <c r="Q65" s="94" t="s">
        <v>2471</v>
      </c>
      <c r="R65" s="94" t="s">
        <v>2471</v>
      </c>
      <c r="S65" s="94">
        <f t="shared" si="11"/>
        <v>4110.2272727272721</v>
      </c>
      <c r="T65" s="94">
        <f t="shared" si="12"/>
        <v>5060.2272727272721</v>
      </c>
      <c r="U65" s="273">
        <v>1.87</v>
      </c>
      <c r="V65" s="94" t="s">
        <v>3703</v>
      </c>
    </row>
    <row r="66" spans="1:22" x14ac:dyDescent="0.2">
      <c r="A66" s="299" t="str">
        <f>CONCATENATE(CCE[[#This Row],[Capacity Segment - rename]]," - ",CCE[[#This Row],[Equipment model]])</f>
        <v>90-120L - DW-25W147</v>
      </c>
      <c r="B66" s="281" t="s">
        <v>3330</v>
      </c>
      <c r="C66" t="s">
        <v>3128</v>
      </c>
      <c r="D66" s="281" t="s">
        <v>3329</v>
      </c>
      <c r="E66" s="281" t="s">
        <v>3306</v>
      </c>
      <c r="F66" s="281" t="s">
        <v>3296</v>
      </c>
      <c r="G66" s="281"/>
      <c r="H66" s="281">
        <v>96</v>
      </c>
      <c r="I66" s="242">
        <v>0.28055555555555556</v>
      </c>
      <c r="J66" s="37">
        <v>450</v>
      </c>
      <c r="K66" s="37">
        <f t="shared" si="13"/>
        <v>400</v>
      </c>
      <c r="L66" s="37">
        <f t="shared" si="14"/>
        <v>1350</v>
      </c>
      <c r="M66" s="37">
        <f t="shared" si="15"/>
        <v>850</v>
      </c>
      <c r="N66" s="37">
        <f t="shared" si="16"/>
        <v>1800</v>
      </c>
      <c r="O66" s="94">
        <v>400</v>
      </c>
      <c r="P66" s="94">
        <v>1350</v>
      </c>
      <c r="Q66" s="94" t="s">
        <v>2471</v>
      </c>
      <c r="R66" s="94" t="s">
        <v>2471</v>
      </c>
      <c r="S66" s="94">
        <f t="shared" si="11"/>
        <v>850</v>
      </c>
      <c r="T66" s="94">
        <f t="shared" si="12"/>
        <v>1800</v>
      </c>
      <c r="U66" s="273">
        <v>3.31</v>
      </c>
      <c r="V66" s="94" t="s">
        <v>3704</v>
      </c>
    </row>
    <row r="67" spans="1:22" x14ac:dyDescent="0.2">
      <c r="A67" s="299" t="str">
        <f>CONCATENATE(CCE[[#This Row],[Capacity Segment - rename]]," - ",CCE[[#This Row],[Equipment model]])</f>
        <v>90-120L - MF 114</v>
      </c>
      <c r="B67" s="281" t="s">
        <v>3331</v>
      </c>
      <c r="C67" s="281" t="s">
        <v>3128</v>
      </c>
      <c r="D67" s="281" t="s">
        <v>3329</v>
      </c>
      <c r="E67" s="281" t="s">
        <v>3306</v>
      </c>
      <c r="F67" s="281" t="s">
        <v>3300</v>
      </c>
      <c r="G67" s="281"/>
      <c r="H67" s="281">
        <v>105</v>
      </c>
      <c r="I67" s="242">
        <v>0.11666666666666665</v>
      </c>
      <c r="J67" s="37">
        <v>553.40909090909088</v>
      </c>
      <c r="K67" s="37">
        <f t="shared" si="13"/>
        <v>400</v>
      </c>
      <c r="L67" s="37">
        <f t="shared" si="14"/>
        <v>1350</v>
      </c>
      <c r="M67" s="37">
        <f t="shared" si="15"/>
        <v>953.40909090909088</v>
      </c>
      <c r="N67" s="37">
        <f t="shared" si="16"/>
        <v>1903.409090909091</v>
      </c>
      <c r="O67" s="94">
        <v>400</v>
      </c>
      <c r="P67" s="94">
        <v>1350</v>
      </c>
      <c r="Q67" s="94" t="s">
        <v>2471</v>
      </c>
      <c r="R67" s="94" t="s">
        <v>2471</v>
      </c>
      <c r="S67" s="94">
        <f t="shared" si="11"/>
        <v>953.40909090909088</v>
      </c>
      <c r="T67" s="94">
        <f t="shared" si="12"/>
        <v>1903.409090909091</v>
      </c>
      <c r="U67" s="273">
        <v>2.2400000000000002</v>
      </c>
      <c r="V67" s="94" t="s">
        <v>3704</v>
      </c>
    </row>
    <row r="68" spans="1:22" x14ac:dyDescent="0.2">
      <c r="A68" s="299" t="str">
        <f>CONCATENATE(CCE[[#This Row],[Capacity Segment - rename]]," - ",CCE[[#This Row],[Equipment model]])</f>
        <v>120L+ - HBD 116</v>
      </c>
      <c r="B68" s="281" t="s">
        <v>3332</v>
      </c>
      <c r="C68" s="281" t="s">
        <v>3128</v>
      </c>
      <c r="D68" s="281" t="s">
        <v>3329</v>
      </c>
      <c r="E68" s="281" t="s">
        <v>3312</v>
      </c>
      <c r="F68" s="281" t="s">
        <v>3242</v>
      </c>
      <c r="G68" s="281"/>
      <c r="H68" s="281">
        <v>121</v>
      </c>
      <c r="I68" s="242">
        <v>0.10416666666666667</v>
      </c>
      <c r="J68" s="37">
        <v>533</v>
      </c>
      <c r="K68" s="37">
        <f t="shared" si="13"/>
        <v>400</v>
      </c>
      <c r="L68" s="37">
        <f t="shared" si="14"/>
        <v>1350</v>
      </c>
      <c r="M68" s="37">
        <f t="shared" si="15"/>
        <v>933</v>
      </c>
      <c r="N68" s="37">
        <f t="shared" si="16"/>
        <v>1883</v>
      </c>
      <c r="O68" s="94">
        <v>400</v>
      </c>
      <c r="P68" s="94">
        <v>1350</v>
      </c>
      <c r="Q68" s="94" t="s">
        <v>2471</v>
      </c>
      <c r="R68" s="94" t="s">
        <v>2471</v>
      </c>
      <c r="S68" s="94">
        <f t="shared" si="11"/>
        <v>933</v>
      </c>
      <c r="T68" s="94">
        <f t="shared" si="12"/>
        <v>1883</v>
      </c>
      <c r="U68" s="273">
        <v>0.38</v>
      </c>
      <c r="V68" s="94" t="s">
        <v>3705</v>
      </c>
    </row>
    <row r="69" spans="1:22" x14ac:dyDescent="0.2">
      <c r="A69" s="299" t="str">
        <f>CONCATENATE(CCE[[#This Row],[Capacity Segment - rename]]," - ",CCE[[#This Row],[Equipment model]])</f>
        <v>120L+ - MF 214</v>
      </c>
      <c r="B69" s="281" t="s">
        <v>3333</v>
      </c>
      <c r="C69" s="281" t="s">
        <v>3128</v>
      </c>
      <c r="D69" s="281" t="s">
        <v>3329</v>
      </c>
      <c r="E69" s="281" t="s">
        <v>3312</v>
      </c>
      <c r="F69" s="281" t="s">
        <v>3300</v>
      </c>
      <c r="G69" s="281"/>
      <c r="H69" s="281">
        <v>171</v>
      </c>
      <c r="I69" s="242">
        <v>0.12083333333333333</v>
      </c>
      <c r="J69" s="37">
        <v>632.9545454545455</v>
      </c>
      <c r="K69" s="37">
        <f t="shared" si="13"/>
        <v>400</v>
      </c>
      <c r="L69" s="37">
        <f t="shared" si="14"/>
        <v>1350</v>
      </c>
      <c r="M69" s="37">
        <f t="shared" si="15"/>
        <v>1032.9545454545455</v>
      </c>
      <c r="N69" s="37">
        <f t="shared" si="16"/>
        <v>1982.9545454545455</v>
      </c>
      <c r="O69" s="94">
        <v>400</v>
      </c>
      <c r="P69" s="94">
        <v>1350</v>
      </c>
      <c r="Q69" s="94" t="s">
        <v>2471</v>
      </c>
      <c r="R69" s="94" t="s">
        <v>2471</v>
      </c>
      <c r="S69" s="94">
        <f t="shared" si="11"/>
        <v>1032.9545454545455</v>
      </c>
      <c r="T69" s="94">
        <f t="shared" si="12"/>
        <v>1982.9545454545455</v>
      </c>
      <c r="U69" s="273">
        <v>3</v>
      </c>
      <c r="V69" s="94" t="s">
        <v>3705</v>
      </c>
    </row>
    <row r="70" spans="1:22" x14ac:dyDescent="0.2">
      <c r="A70" s="299" t="str">
        <f>CONCATENATE(CCE[[#This Row],[Capacity Segment - rename]]," - ",CCE[[#This Row],[Equipment model]])</f>
        <v>120L+ - TFW 3000 AC</v>
      </c>
      <c r="B70" s="281" t="s">
        <v>3334</v>
      </c>
      <c r="C70" s="281" t="s">
        <v>3128</v>
      </c>
      <c r="D70" s="281" t="s">
        <v>3329</v>
      </c>
      <c r="E70" s="281" t="s">
        <v>3312</v>
      </c>
      <c r="F70" s="281" t="s">
        <v>3293</v>
      </c>
      <c r="G70" s="281"/>
      <c r="H70" s="281">
        <v>204</v>
      </c>
      <c r="I70" s="242">
        <v>2.2152777777777777</v>
      </c>
      <c r="J70" s="37">
        <v>3381.818181818182</v>
      </c>
      <c r="K70" s="37">
        <f t="shared" si="13"/>
        <v>400</v>
      </c>
      <c r="L70" s="37">
        <f t="shared" si="14"/>
        <v>1350</v>
      </c>
      <c r="M70" s="37">
        <f t="shared" si="15"/>
        <v>3781.818181818182</v>
      </c>
      <c r="N70" s="37">
        <f t="shared" si="16"/>
        <v>4731.818181818182</v>
      </c>
      <c r="O70" s="94">
        <v>400</v>
      </c>
      <c r="P70" s="94">
        <v>1350</v>
      </c>
      <c r="Q70" s="94" t="s">
        <v>2471</v>
      </c>
      <c r="R70" s="94" t="s">
        <v>2471</v>
      </c>
      <c r="S70" s="94">
        <f t="shared" si="11"/>
        <v>3781.818181818182</v>
      </c>
      <c r="T70" s="94">
        <f t="shared" si="12"/>
        <v>4731.818181818182</v>
      </c>
      <c r="U70" s="273">
        <v>2.15</v>
      </c>
      <c r="V70" s="94" t="s">
        <v>3705</v>
      </c>
    </row>
    <row r="71" spans="1:22" x14ac:dyDescent="0.2">
      <c r="A71" s="299" t="str">
        <f>CONCATENATE(CCE[[#This Row],[Capacity Segment - rename]]," - ",CCE[[#This Row],[Equipment model]])</f>
        <v>120L+ - DW-25W300</v>
      </c>
      <c r="B71" s="281" t="s">
        <v>3335</v>
      </c>
      <c r="C71" s="281" t="s">
        <v>3128</v>
      </c>
      <c r="D71" s="281" t="s">
        <v>3329</v>
      </c>
      <c r="E71" s="281" t="s">
        <v>3312</v>
      </c>
      <c r="F71" s="281" t="s">
        <v>3296</v>
      </c>
      <c r="G71" s="281"/>
      <c r="H71" s="281">
        <v>240</v>
      </c>
      <c r="I71" s="242">
        <v>2.4416666666666669</v>
      </c>
      <c r="J71" s="37">
        <v>540</v>
      </c>
      <c r="K71" s="37">
        <f t="shared" si="13"/>
        <v>400</v>
      </c>
      <c r="L71" s="37">
        <f t="shared" si="14"/>
        <v>1350</v>
      </c>
      <c r="M71" s="37">
        <f t="shared" si="15"/>
        <v>940</v>
      </c>
      <c r="N71" s="37">
        <f t="shared" si="16"/>
        <v>1890</v>
      </c>
      <c r="O71" s="94">
        <v>400</v>
      </c>
      <c r="P71" s="94">
        <v>1350</v>
      </c>
      <c r="Q71" s="94" t="s">
        <v>2471</v>
      </c>
      <c r="R71" s="94" t="s">
        <v>2471</v>
      </c>
      <c r="S71" s="94">
        <f t="shared" si="11"/>
        <v>940</v>
      </c>
      <c r="T71" s="94">
        <f t="shared" si="12"/>
        <v>1890</v>
      </c>
      <c r="U71" s="273">
        <v>3.37</v>
      </c>
      <c r="V71" s="94" t="s">
        <v>3705</v>
      </c>
    </row>
    <row r="72" spans="1:22" x14ac:dyDescent="0.2">
      <c r="A72" s="299" t="str">
        <f>CONCATENATE(CCE[[#This Row],[Capacity Segment - rename]]," - ",CCE[[#This Row],[Equipment model]])</f>
        <v>120L+ - MF 314</v>
      </c>
      <c r="B72" s="281" t="s">
        <v>3336</v>
      </c>
      <c r="C72" s="281" t="s">
        <v>3128</v>
      </c>
      <c r="D72" s="281" t="s">
        <v>3329</v>
      </c>
      <c r="E72" s="281" t="s">
        <v>3312</v>
      </c>
      <c r="F72" s="281" t="s">
        <v>3300</v>
      </c>
      <c r="G72" s="281"/>
      <c r="H72" s="281">
        <v>281</v>
      </c>
      <c r="I72" s="242">
        <v>0.16666666666666666</v>
      </c>
      <c r="J72" s="37">
        <v>729.5454545454545</v>
      </c>
      <c r="K72" s="37">
        <f t="shared" si="13"/>
        <v>400</v>
      </c>
      <c r="L72" s="37">
        <f t="shared" si="14"/>
        <v>1350</v>
      </c>
      <c r="M72" s="37">
        <f t="shared" si="15"/>
        <v>1129.5454545454545</v>
      </c>
      <c r="N72" s="37">
        <f t="shared" si="16"/>
        <v>2079.5454545454545</v>
      </c>
      <c r="O72" s="94">
        <v>400</v>
      </c>
      <c r="P72" s="94">
        <v>1350</v>
      </c>
      <c r="Q72" s="94" t="s">
        <v>2471</v>
      </c>
      <c r="R72" s="94" t="s">
        <v>2471</v>
      </c>
      <c r="S72" s="94">
        <f t="shared" si="11"/>
        <v>1129.5454545454545</v>
      </c>
      <c r="T72" s="94">
        <f t="shared" si="12"/>
        <v>2079.5454545454545</v>
      </c>
      <c r="U72" s="273">
        <v>4.2300000000000004</v>
      </c>
      <c r="V72" s="94" t="s">
        <v>3705</v>
      </c>
    </row>
    <row r="73" spans="1:22" x14ac:dyDescent="0.2">
      <c r="A73" s="299" t="str">
        <f>CONCATENATE(CCE[[#This Row],[Capacity Segment - rename]]," - ",CCE[[#This Row],[Equipment model]])</f>
        <v>120L+ - HBD 286</v>
      </c>
      <c r="B73" s="281" t="s">
        <v>3337</v>
      </c>
      <c r="C73" s="281" t="s">
        <v>3128</v>
      </c>
      <c r="D73" s="281" t="s">
        <v>3329</v>
      </c>
      <c r="E73" s="281" t="s">
        <v>3312</v>
      </c>
      <c r="F73" s="281" t="s">
        <v>3242</v>
      </c>
      <c r="G73" s="281"/>
      <c r="H73" s="281">
        <v>298</v>
      </c>
      <c r="I73" s="242">
        <v>0.17083333333333331</v>
      </c>
      <c r="J73" s="37">
        <v>628</v>
      </c>
      <c r="K73" s="37">
        <f t="shared" si="13"/>
        <v>400</v>
      </c>
      <c r="L73" s="37">
        <f t="shared" si="14"/>
        <v>1350</v>
      </c>
      <c r="M73" s="37">
        <f t="shared" si="15"/>
        <v>1028</v>
      </c>
      <c r="N73" s="37">
        <f t="shared" si="16"/>
        <v>1978</v>
      </c>
      <c r="O73" s="94">
        <v>400</v>
      </c>
      <c r="P73" s="94">
        <v>1350</v>
      </c>
      <c r="Q73" s="94" t="s">
        <v>2471</v>
      </c>
      <c r="R73" s="94" t="s">
        <v>2471</v>
      </c>
      <c r="S73" s="94">
        <f t="shared" si="11"/>
        <v>1028</v>
      </c>
      <c r="T73" s="94">
        <f t="shared" si="12"/>
        <v>1978</v>
      </c>
      <c r="U73" s="273">
        <v>4.3600000000000003</v>
      </c>
      <c r="V73" s="94" t="s">
        <v>3705</v>
      </c>
    </row>
    <row r="74" spans="1:22" x14ac:dyDescent="0.2">
      <c r="A74" s="281" t="str">
        <f>CONCATENATE(CCE[[#This Row],[Capacity Segment - rename]]," - ",CCE[[#This Row],[Equipment model]]," (Ground Mount)")</f>
        <v>0-30L - BFRV 15 SDD (Ground Mount)</v>
      </c>
      <c r="B74" s="281" t="s">
        <v>3340</v>
      </c>
      <c r="C74" t="s">
        <v>3581</v>
      </c>
      <c r="D74" s="281" t="s">
        <v>3338</v>
      </c>
      <c r="E74" s="281" t="s">
        <v>3287</v>
      </c>
      <c r="F74" s="281" t="s">
        <v>3339</v>
      </c>
      <c r="G74" s="281">
        <v>15</v>
      </c>
      <c r="H74" s="281"/>
      <c r="I74" s="242">
        <v>4.2212500000000004</v>
      </c>
      <c r="J74" s="37">
        <v>2420</v>
      </c>
      <c r="K74" s="37">
        <f>O74</f>
        <v>650</v>
      </c>
      <c r="L74" s="37">
        <f>P74</f>
        <v>2150</v>
      </c>
      <c r="M74" s="37">
        <f t="shared" si="15"/>
        <v>3070</v>
      </c>
      <c r="N74" s="37">
        <f t="shared" si="16"/>
        <v>4570</v>
      </c>
      <c r="O74" s="94">
        <v>650</v>
      </c>
      <c r="P74" s="94">
        <v>2150</v>
      </c>
      <c r="Q74" s="94">
        <v>1250</v>
      </c>
      <c r="R74" s="94">
        <v>4000</v>
      </c>
      <c r="S74" s="94">
        <f t="shared" si="11"/>
        <v>3070</v>
      </c>
      <c r="T74" s="94">
        <f t="shared" si="12"/>
        <v>4570</v>
      </c>
      <c r="V74" s="94" t="s">
        <v>3701</v>
      </c>
    </row>
    <row r="75" spans="1:22" x14ac:dyDescent="0.2">
      <c r="A75" s="299" t="str">
        <f>CONCATENATE(CCE[[#This Row],[Capacity Segment - rename]]," - ",CCE[[#This Row],[Equipment model]]," (Ground Mount)")</f>
        <v>0-30L - TCW 15R SDD (Ground Mount)</v>
      </c>
      <c r="B75" s="281" t="s">
        <v>3341</v>
      </c>
      <c r="C75" s="281" t="s">
        <v>3581</v>
      </c>
      <c r="D75" s="281" t="s">
        <v>3338</v>
      </c>
      <c r="E75" s="281" t="s">
        <v>3287</v>
      </c>
      <c r="F75" s="281" t="s">
        <v>3293</v>
      </c>
      <c r="G75" s="281">
        <v>16</v>
      </c>
      <c r="H75" s="281"/>
      <c r="I75" s="242">
        <v>3.4083333333333332</v>
      </c>
      <c r="J75" s="37">
        <v>4905.681818181818</v>
      </c>
      <c r="K75" s="37">
        <f t="shared" ref="K75:K150" si="17">O75</f>
        <v>650</v>
      </c>
      <c r="L75" s="37">
        <f t="shared" ref="L75:L150" si="18">P75</f>
        <v>2150</v>
      </c>
      <c r="M75" s="37">
        <f t="shared" ref="M75:M150" si="19">$J75+K75</f>
        <v>5555.681818181818</v>
      </c>
      <c r="N75" s="37">
        <f t="shared" ref="N75:N150" si="20">$J75+L75</f>
        <v>7055.681818181818</v>
      </c>
      <c r="O75" s="94">
        <v>650</v>
      </c>
      <c r="P75" s="94">
        <v>2150</v>
      </c>
      <c r="Q75" s="94">
        <v>1250</v>
      </c>
      <c r="R75" s="94">
        <v>4000</v>
      </c>
      <c r="S75" s="94">
        <f t="shared" si="11"/>
        <v>5555.681818181818</v>
      </c>
      <c r="T75" s="94">
        <f t="shared" si="12"/>
        <v>7055.681818181818</v>
      </c>
      <c r="V75" s="94" t="s">
        <v>3701</v>
      </c>
    </row>
    <row r="76" spans="1:22" x14ac:dyDescent="0.2">
      <c r="A76" s="299" t="str">
        <f>CONCATENATE(CCE[[#This Row],[Capacity Segment - rename]]," - ",CCE[[#This Row],[Equipment model]]," (Ground Mount)")</f>
        <v>0-30L - Ultra 16 SDD (Ground Mount)</v>
      </c>
      <c r="B76" s="281" t="s">
        <v>3342</v>
      </c>
      <c r="C76" s="281" t="s">
        <v>3581</v>
      </c>
      <c r="D76" s="281" t="s">
        <v>3338</v>
      </c>
      <c r="E76" s="281" t="s">
        <v>3287</v>
      </c>
      <c r="F76" s="281" t="s">
        <v>3293</v>
      </c>
      <c r="G76" s="281">
        <v>16</v>
      </c>
      <c r="H76" s="281"/>
      <c r="I76" s="242">
        <v>19.916666666666668</v>
      </c>
      <c r="J76" s="37">
        <v>5946.590909090909</v>
      </c>
      <c r="K76" s="37">
        <f t="shared" si="17"/>
        <v>650</v>
      </c>
      <c r="L76" s="37">
        <f t="shared" si="18"/>
        <v>2150</v>
      </c>
      <c r="M76" s="37">
        <f t="shared" si="19"/>
        <v>6596.590909090909</v>
      </c>
      <c r="N76" s="37">
        <f t="shared" si="20"/>
        <v>8096.590909090909</v>
      </c>
      <c r="O76" s="94">
        <v>650</v>
      </c>
      <c r="P76" s="94">
        <v>2150</v>
      </c>
      <c r="Q76" s="94">
        <v>1250</v>
      </c>
      <c r="R76" s="94">
        <v>4000</v>
      </c>
      <c r="S76" s="94">
        <f t="shared" si="11"/>
        <v>6596.590909090909</v>
      </c>
      <c r="T76" s="94">
        <f t="shared" si="12"/>
        <v>8096.590909090909</v>
      </c>
      <c r="V76" s="94" t="s">
        <v>3701</v>
      </c>
    </row>
    <row r="77" spans="1:22" x14ac:dyDescent="0.2">
      <c r="A77" s="299" t="str">
        <f>CONCATENATE(CCE[[#This Row],[Capacity Segment - rename]]," - ",CCE[[#This Row],[Equipment model]]," (Ground Mount)")</f>
        <v>0-30L - HTC 40 SDD (Ground Mount)</v>
      </c>
      <c r="B77" s="281" t="s">
        <v>3343</v>
      </c>
      <c r="C77" s="281" t="s">
        <v>3581</v>
      </c>
      <c r="D77" s="281" t="s">
        <v>3338</v>
      </c>
      <c r="E77" s="281" t="s">
        <v>3287</v>
      </c>
      <c r="F77" s="281" t="s">
        <v>3242</v>
      </c>
      <c r="G77" s="281">
        <v>22.5</v>
      </c>
      <c r="H77" s="281"/>
      <c r="I77" s="242">
        <v>4.875</v>
      </c>
      <c r="J77" s="37">
        <v>2400</v>
      </c>
      <c r="K77" s="37">
        <f t="shared" si="17"/>
        <v>650</v>
      </c>
      <c r="L77" s="37">
        <f t="shared" si="18"/>
        <v>2150</v>
      </c>
      <c r="M77" s="37">
        <f t="shared" si="19"/>
        <v>3050</v>
      </c>
      <c r="N77" s="37">
        <f t="shared" si="20"/>
        <v>4550</v>
      </c>
      <c r="O77" s="94">
        <v>650</v>
      </c>
      <c r="P77" s="94">
        <v>2150</v>
      </c>
      <c r="Q77" s="94">
        <v>1250</v>
      </c>
      <c r="R77" s="94">
        <v>4000</v>
      </c>
      <c r="S77" s="94">
        <f t="shared" si="11"/>
        <v>3050</v>
      </c>
      <c r="T77" s="94">
        <f t="shared" si="12"/>
        <v>4550</v>
      </c>
      <c r="V77" s="94" t="s">
        <v>3701</v>
      </c>
    </row>
    <row r="78" spans="1:22" x14ac:dyDescent="0.2">
      <c r="A78" s="299" t="str">
        <f>CONCATENATE(CCE[[#This Row],[Capacity Segment - rename]]," - ",CCE[[#This Row],[Equipment model]]," (Ground Mount)")</f>
        <v>0-30L - VC 30 SDD (Ground Mount)</v>
      </c>
      <c r="B78" s="281" t="s">
        <v>3344</v>
      </c>
      <c r="C78" s="281" t="s">
        <v>3581</v>
      </c>
      <c r="D78" s="281" t="s">
        <v>3338</v>
      </c>
      <c r="E78" s="281" t="s">
        <v>3287</v>
      </c>
      <c r="F78" s="281" t="s">
        <v>3318</v>
      </c>
      <c r="G78" s="281">
        <v>25.5</v>
      </c>
      <c r="H78" s="281"/>
      <c r="I78" s="242">
        <v>3.0062500000000001</v>
      </c>
      <c r="J78" s="37">
        <v>2897.7272727272725</v>
      </c>
      <c r="K78" s="37">
        <f t="shared" si="17"/>
        <v>650</v>
      </c>
      <c r="L78" s="37">
        <f t="shared" si="18"/>
        <v>2150</v>
      </c>
      <c r="M78" s="37">
        <f t="shared" si="19"/>
        <v>3547.7272727272725</v>
      </c>
      <c r="N78" s="37">
        <f t="shared" si="20"/>
        <v>5047.7272727272721</v>
      </c>
      <c r="O78" s="94">
        <v>650</v>
      </c>
      <c r="P78" s="94">
        <v>2150</v>
      </c>
      <c r="Q78" s="94">
        <v>1250</v>
      </c>
      <c r="R78" s="94">
        <v>4000</v>
      </c>
      <c r="S78" s="94">
        <f t="shared" si="11"/>
        <v>3547.7272727272725</v>
      </c>
      <c r="T78" s="94">
        <f t="shared" si="12"/>
        <v>5047.7272727272721</v>
      </c>
      <c r="V78" s="94" t="s">
        <v>3701</v>
      </c>
    </row>
    <row r="79" spans="1:22" x14ac:dyDescent="0.2">
      <c r="A79" s="299" t="str">
        <f>CONCATENATE(CCE[[#This Row],[Capacity Segment - rename]]," - ",CCE[[#This Row],[Equipment model]]," (Ground Mount)")</f>
        <v>0-30L - VLS 024 SDD (Ground Mount)</v>
      </c>
      <c r="B79" s="281" t="s">
        <v>3345</v>
      </c>
      <c r="C79" s="281" t="s">
        <v>3581</v>
      </c>
      <c r="D79" s="281" t="s">
        <v>3338</v>
      </c>
      <c r="E79" s="281" t="s">
        <v>3287</v>
      </c>
      <c r="F79" s="281" t="s">
        <v>3300</v>
      </c>
      <c r="G79" s="281">
        <v>25.5</v>
      </c>
      <c r="H79" s="281"/>
      <c r="I79" s="242">
        <v>3.4041666666666668</v>
      </c>
      <c r="J79" s="37">
        <v>3034.090909090909</v>
      </c>
      <c r="K79" s="37">
        <f t="shared" si="17"/>
        <v>650</v>
      </c>
      <c r="L79" s="37">
        <f t="shared" si="18"/>
        <v>2150</v>
      </c>
      <c r="M79" s="37">
        <f t="shared" si="19"/>
        <v>3684.090909090909</v>
      </c>
      <c r="N79" s="37">
        <f t="shared" si="20"/>
        <v>5184.090909090909</v>
      </c>
      <c r="O79" s="94">
        <v>650</v>
      </c>
      <c r="P79" s="94">
        <v>2150</v>
      </c>
      <c r="Q79" s="94">
        <v>1250</v>
      </c>
      <c r="R79" s="94">
        <v>4000</v>
      </c>
      <c r="S79" s="94">
        <f t="shared" si="11"/>
        <v>3684.090909090909</v>
      </c>
      <c r="T79" s="94">
        <f t="shared" si="12"/>
        <v>5184.090909090909</v>
      </c>
      <c r="V79" s="94" t="s">
        <v>3701</v>
      </c>
    </row>
    <row r="80" spans="1:22" x14ac:dyDescent="0.2">
      <c r="A80" s="299" t="str">
        <f>CONCATENATE(CCE[[#This Row],[Capacity Segment - rename]]," - ",CCE[[#This Row],[Equipment model]]," (Ground Mount)")</f>
        <v>0-30L - ZLF 30DC SDD (Ground Mount)</v>
      </c>
      <c r="B80" s="281" t="s">
        <v>3346</v>
      </c>
      <c r="C80" s="281" t="s">
        <v>3581</v>
      </c>
      <c r="D80" s="281" t="s">
        <v>3338</v>
      </c>
      <c r="E80" s="281" t="s">
        <v>3287</v>
      </c>
      <c r="F80" s="281" t="s">
        <v>3288</v>
      </c>
      <c r="G80" s="281">
        <v>27</v>
      </c>
      <c r="H80" s="281"/>
      <c r="I80" s="242">
        <v>3.2118055555555554</v>
      </c>
      <c r="J80" s="37">
        <v>2920</v>
      </c>
      <c r="K80" s="37">
        <f t="shared" si="17"/>
        <v>650</v>
      </c>
      <c r="L80" s="37">
        <f t="shared" si="18"/>
        <v>2150</v>
      </c>
      <c r="M80" s="37">
        <f t="shared" si="19"/>
        <v>3570</v>
      </c>
      <c r="N80" s="37">
        <f t="shared" si="20"/>
        <v>5070</v>
      </c>
      <c r="O80" s="94">
        <v>650</v>
      </c>
      <c r="P80" s="94">
        <v>2150</v>
      </c>
      <c r="Q80" s="94">
        <v>1250</v>
      </c>
      <c r="R80" s="94">
        <v>4000</v>
      </c>
      <c r="S80" s="94">
        <f t="shared" si="11"/>
        <v>3570</v>
      </c>
      <c r="T80" s="94">
        <f t="shared" si="12"/>
        <v>5070</v>
      </c>
      <c r="V80" s="94" t="s">
        <v>3701</v>
      </c>
    </row>
    <row r="81" spans="1:22" x14ac:dyDescent="0.2">
      <c r="A81" s="299" t="str">
        <f>CONCATENATE(CCE[[#This Row],[Capacity Segment - rename]]," - ",CCE[[#This Row],[Equipment model]]," (Ground Mount)")</f>
        <v>30-60L - TCW 40R SDD (Ground Mount)</v>
      </c>
      <c r="B81" s="281" t="s">
        <v>3347</v>
      </c>
      <c r="C81" s="281" t="s">
        <v>3581</v>
      </c>
      <c r="D81" s="281" t="s">
        <v>3338</v>
      </c>
      <c r="E81" s="281" t="s">
        <v>3292</v>
      </c>
      <c r="F81" s="281" t="s">
        <v>3293</v>
      </c>
      <c r="G81" s="281">
        <v>36</v>
      </c>
      <c r="H81" s="281"/>
      <c r="I81" s="242">
        <f>(81+54/60)/24</f>
        <v>3.4125000000000001</v>
      </c>
      <c r="J81" s="37">
        <v>5806.818181818182</v>
      </c>
      <c r="K81" s="37">
        <f t="shared" si="17"/>
        <v>650</v>
      </c>
      <c r="L81" s="37">
        <f t="shared" si="18"/>
        <v>2150</v>
      </c>
      <c r="M81" s="37">
        <f t="shared" si="19"/>
        <v>6456.818181818182</v>
      </c>
      <c r="N81" s="37">
        <f t="shared" si="20"/>
        <v>7956.818181818182</v>
      </c>
      <c r="O81" s="94">
        <v>650</v>
      </c>
      <c r="P81" s="94">
        <v>2150</v>
      </c>
      <c r="Q81" s="94">
        <v>1250</v>
      </c>
      <c r="R81" s="94">
        <v>4000</v>
      </c>
      <c r="S81" s="94">
        <f t="shared" si="11"/>
        <v>6456.818181818182</v>
      </c>
      <c r="T81" s="94">
        <f t="shared" si="12"/>
        <v>7956.818181818182</v>
      </c>
      <c r="V81" s="94" t="s">
        <v>3702</v>
      </c>
    </row>
    <row r="82" spans="1:22" x14ac:dyDescent="0.2">
      <c r="A82" s="299" t="str">
        <f>CONCATENATE(CCE[[#This Row],[Capacity Segment - rename]]," - ",CCE[[#This Row],[Equipment model]]," (Ground Mount)")</f>
        <v>30-60L - GVR 50 DC (Ground Mount)</v>
      </c>
      <c r="B82" s="281" t="s">
        <v>3348</v>
      </c>
      <c r="C82" s="281" t="s">
        <v>3581</v>
      </c>
      <c r="D82" s="281" t="s">
        <v>3338</v>
      </c>
      <c r="E82" s="281" t="s">
        <v>3292</v>
      </c>
      <c r="F82" s="281" t="s">
        <v>3290</v>
      </c>
      <c r="G82" s="281">
        <v>46.5</v>
      </c>
      <c r="H82" s="281"/>
      <c r="I82" s="242">
        <v>5.6166666666666671</v>
      </c>
      <c r="J82" s="37">
        <v>3450</v>
      </c>
      <c r="K82" s="37">
        <f t="shared" si="17"/>
        <v>650</v>
      </c>
      <c r="L82" s="37">
        <f t="shared" si="18"/>
        <v>2150</v>
      </c>
      <c r="M82" s="37">
        <f t="shared" si="19"/>
        <v>4100</v>
      </c>
      <c r="N82" s="37">
        <f t="shared" si="20"/>
        <v>5600</v>
      </c>
      <c r="O82" s="94">
        <v>650</v>
      </c>
      <c r="P82" s="94">
        <v>2150</v>
      </c>
      <c r="Q82" s="94">
        <v>1250</v>
      </c>
      <c r="R82" s="94">
        <v>4000</v>
      </c>
      <c r="S82" s="94">
        <f t="shared" si="11"/>
        <v>4100</v>
      </c>
      <c r="T82" s="94">
        <f t="shared" si="12"/>
        <v>5600</v>
      </c>
      <c r="V82" s="94" t="s">
        <v>3702</v>
      </c>
    </row>
    <row r="83" spans="1:22" x14ac:dyDescent="0.2">
      <c r="A83" s="299" t="str">
        <f>CONCATENATE(CCE[[#This Row],[Capacity Segment - rename]]," - ",CCE[[#This Row],[Equipment model]]," (Ground Mount)")</f>
        <v>30-60L - CFD-50 SDD (Ground Mount)</v>
      </c>
      <c r="B83" s="281" t="s">
        <v>3349</v>
      </c>
      <c r="C83" s="281" t="s">
        <v>3581</v>
      </c>
      <c r="D83" s="281" t="s">
        <v>3338</v>
      </c>
      <c r="E83" s="281" t="s">
        <v>3292</v>
      </c>
      <c r="F83" s="281" t="s">
        <v>3296</v>
      </c>
      <c r="G83" s="281">
        <v>50</v>
      </c>
      <c r="H83" s="281"/>
      <c r="I83" s="242">
        <f>120/24</f>
        <v>5</v>
      </c>
      <c r="J83" s="37">
        <v>2600</v>
      </c>
      <c r="K83" s="37">
        <f t="shared" si="17"/>
        <v>650</v>
      </c>
      <c r="L83" s="37">
        <f t="shared" si="18"/>
        <v>2150</v>
      </c>
      <c r="M83" s="37">
        <f t="shared" si="19"/>
        <v>3250</v>
      </c>
      <c r="N83" s="37">
        <f t="shared" si="20"/>
        <v>4750</v>
      </c>
      <c r="O83" s="94">
        <v>650</v>
      </c>
      <c r="P83" s="94">
        <v>2150</v>
      </c>
      <c r="Q83" s="94">
        <v>1250</v>
      </c>
      <c r="R83" s="94">
        <v>4000</v>
      </c>
      <c r="S83" s="94">
        <f t="shared" si="11"/>
        <v>3250</v>
      </c>
      <c r="T83" s="94">
        <f t="shared" si="12"/>
        <v>4750</v>
      </c>
      <c r="V83" s="94" t="s">
        <v>3702</v>
      </c>
    </row>
    <row r="84" spans="1:22" x14ac:dyDescent="0.2">
      <c r="A84" s="299" t="str">
        <f>CONCATENATE(CCE[[#This Row],[Capacity Segment - rename]]," - ",CCE[[#This Row],[Equipment model]]," (Ground Mount)")</f>
        <v>30-60L - VC 50 SDD (Ground Mount)</v>
      </c>
      <c r="B84" s="281" t="s">
        <v>3350</v>
      </c>
      <c r="C84" s="281" t="s">
        <v>3581</v>
      </c>
      <c r="D84" s="281" t="s">
        <v>3338</v>
      </c>
      <c r="E84" s="281" t="s">
        <v>3292</v>
      </c>
      <c r="F84" s="281" t="s">
        <v>3318</v>
      </c>
      <c r="G84" s="281">
        <v>52.5</v>
      </c>
      <c r="H84" s="281"/>
      <c r="I84" s="242">
        <v>3.1</v>
      </c>
      <c r="J84" s="37">
        <v>3125</v>
      </c>
      <c r="K84" s="37">
        <f t="shared" si="17"/>
        <v>650</v>
      </c>
      <c r="L84" s="37">
        <f t="shared" si="18"/>
        <v>2150</v>
      </c>
      <c r="M84" s="37">
        <f t="shared" si="19"/>
        <v>3775</v>
      </c>
      <c r="N84" s="37">
        <f t="shared" si="20"/>
        <v>5275</v>
      </c>
      <c r="O84" s="94">
        <v>650</v>
      </c>
      <c r="P84" s="94">
        <v>2150</v>
      </c>
      <c r="Q84" s="94">
        <v>1250</v>
      </c>
      <c r="R84" s="94">
        <v>4000</v>
      </c>
      <c r="S84" s="94">
        <f t="shared" si="11"/>
        <v>3775</v>
      </c>
      <c r="T84" s="94">
        <f t="shared" si="12"/>
        <v>5275</v>
      </c>
      <c r="V84" s="94" t="s">
        <v>3702</v>
      </c>
    </row>
    <row r="85" spans="1:22" x14ac:dyDescent="0.2">
      <c r="A85" s="299" t="str">
        <f>CONCATENATE(CCE[[#This Row],[Capacity Segment - rename]]," - ",CCE[[#This Row],[Equipment model]]," (Ground Mount)")</f>
        <v>30-60L - BFRV 55 SDD (Ground Mount)</v>
      </c>
      <c r="B85" s="281" t="s">
        <v>3351</v>
      </c>
      <c r="C85" s="281" t="s">
        <v>3581</v>
      </c>
      <c r="D85" s="281" t="s">
        <v>3338</v>
      </c>
      <c r="E85" s="281" t="s">
        <v>3292</v>
      </c>
      <c r="F85" s="281" t="s">
        <v>3339</v>
      </c>
      <c r="G85" s="281">
        <v>54.5</v>
      </c>
      <c r="H85" s="281"/>
      <c r="I85" s="242">
        <v>3.4784722222222224</v>
      </c>
      <c r="J85" s="37">
        <v>3165</v>
      </c>
      <c r="K85" s="37">
        <f t="shared" si="17"/>
        <v>650</v>
      </c>
      <c r="L85" s="37">
        <f t="shared" si="18"/>
        <v>2150</v>
      </c>
      <c r="M85" s="37">
        <f t="shared" si="19"/>
        <v>3815</v>
      </c>
      <c r="N85" s="37">
        <f t="shared" si="20"/>
        <v>5315</v>
      </c>
      <c r="O85" s="94">
        <v>650</v>
      </c>
      <c r="P85" s="94">
        <v>2150</v>
      </c>
      <c r="Q85" s="94">
        <v>1250</v>
      </c>
      <c r="R85" s="94">
        <v>4000</v>
      </c>
      <c r="S85" s="94">
        <f t="shared" si="11"/>
        <v>3815</v>
      </c>
      <c r="T85" s="94">
        <f t="shared" si="12"/>
        <v>5315</v>
      </c>
      <c r="V85" s="94" t="s">
        <v>3702</v>
      </c>
    </row>
    <row r="86" spans="1:22" x14ac:dyDescent="0.2">
      <c r="A86" s="299" t="str">
        <f>CONCATENATE(CCE[[#This Row],[Capacity Segment - rename]]," - ",CCE[[#This Row],[Equipment model]]," (Ground Mount)")</f>
        <v>30-60L - VLS 054A SDD (Ground Mount)</v>
      </c>
      <c r="B86" s="281" t="s">
        <v>3352</v>
      </c>
      <c r="C86" s="281" t="s">
        <v>3581</v>
      </c>
      <c r="D86" s="281" t="s">
        <v>3338</v>
      </c>
      <c r="E86" s="281" t="s">
        <v>3292</v>
      </c>
      <c r="F86" s="281" t="s">
        <v>3300</v>
      </c>
      <c r="G86" s="281">
        <v>55.5</v>
      </c>
      <c r="H86" s="281"/>
      <c r="I86" s="242">
        <v>3.0166666666666671</v>
      </c>
      <c r="J86" s="37">
        <v>3362.5</v>
      </c>
      <c r="K86" s="37">
        <f t="shared" si="17"/>
        <v>650</v>
      </c>
      <c r="L86" s="37">
        <f t="shared" si="18"/>
        <v>2150</v>
      </c>
      <c r="M86" s="37">
        <f t="shared" si="19"/>
        <v>4012.5</v>
      </c>
      <c r="N86" s="37">
        <f t="shared" si="20"/>
        <v>5512.5</v>
      </c>
      <c r="O86" s="94">
        <v>650</v>
      </c>
      <c r="P86" s="94">
        <v>2150</v>
      </c>
      <c r="Q86" s="94">
        <v>1250</v>
      </c>
      <c r="R86" s="94">
        <v>4000</v>
      </c>
      <c r="S86" s="94">
        <f>J86+O86</f>
        <v>4012.5</v>
      </c>
      <c r="T86" s="94">
        <f>J86+P86</f>
        <v>5512.5</v>
      </c>
      <c r="V86" s="94" t="s">
        <v>3702</v>
      </c>
    </row>
    <row r="87" spans="1:22" x14ac:dyDescent="0.2">
      <c r="A87" s="299" t="str">
        <f>CONCATENATE(CCE[[#This Row],[Capacity Segment - rename]]," - ",CCE[[#This Row],[Equipment model]]," (Ground Mount)")</f>
        <v>30-60L - HTC 110 SDD (Ground Mount)</v>
      </c>
      <c r="B87" s="281" t="s">
        <v>3353</v>
      </c>
      <c r="C87" s="281" t="s">
        <v>3581</v>
      </c>
      <c r="D87" s="281" t="s">
        <v>3338</v>
      </c>
      <c r="E87" s="281" t="s">
        <v>3292</v>
      </c>
      <c r="F87" s="281" t="s">
        <v>3242</v>
      </c>
      <c r="G87" s="281">
        <v>59</v>
      </c>
      <c r="H87" s="281"/>
      <c r="I87" s="242">
        <v>4</v>
      </c>
      <c r="J87" s="37">
        <v>2650</v>
      </c>
      <c r="K87" s="37">
        <f t="shared" si="17"/>
        <v>650</v>
      </c>
      <c r="L87" s="37">
        <f t="shared" si="18"/>
        <v>2150</v>
      </c>
      <c r="M87" s="37">
        <f t="shared" si="19"/>
        <v>3300</v>
      </c>
      <c r="N87" s="37">
        <f t="shared" si="20"/>
        <v>4800</v>
      </c>
      <c r="O87" s="94">
        <v>650</v>
      </c>
      <c r="P87" s="94">
        <v>2150</v>
      </c>
      <c r="Q87" s="94">
        <v>1250</v>
      </c>
      <c r="R87" s="94">
        <v>4000</v>
      </c>
      <c r="S87" s="94">
        <f t="shared" si="11"/>
        <v>3300</v>
      </c>
      <c r="T87" s="94">
        <f t="shared" si="12"/>
        <v>4800</v>
      </c>
      <c r="V87" s="94" t="s">
        <v>3702</v>
      </c>
    </row>
    <row r="88" spans="1:22" x14ac:dyDescent="0.2">
      <c r="A88" s="299" t="str">
        <f>CONCATENATE(CCE[[#This Row],[Capacity Segment - rename]]," - ",CCE[[#This Row],[Equipment model]]," (Ground Mount)")</f>
        <v>60-90L - HTC-112 (Ground Mount)</v>
      </c>
      <c r="B88" s="281" t="s">
        <v>3354</v>
      </c>
      <c r="C88" s="281" t="s">
        <v>3581</v>
      </c>
      <c r="D88" s="281" t="s">
        <v>3338</v>
      </c>
      <c r="E88" s="281" t="s">
        <v>3299</v>
      </c>
      <c r="F88" s="281" t="s">
        <v>3242</v>
      </c>
      <c r="G88" s="281">
        <v>75</v>
      </c>
      <c r="H88" s="281"/>
      <c r="I88" s="242">
        <f>(92+46/60)/24</f>
        <v>3.8652777777777776</v>
      </c>
      <c r="J88" s="37">
        <v>2700</v>
      </c>
      <c r="K88" s="37">
        <f t="shared" si="17"/>
        <v>650</v>
      </c>
      <c r="L88" s="37">
        <f t="shared" si="18"/>
        <v>2150</v>
      </c>
      <c r="M88" s="37">
        <f t="shared" si="19"/>
        <v>3350</v>
      </c>
      <c r="N88" s="37">
        <f t="shared" si="20"/>
        <v>4850</v>
      </c>
      <c r="O88" s="94">
        <v>650</v>
      </c>
      <c r="P88" s="94">
        <v>2150</v>
      </c>
      <c r="Q88" s="94">
        <v>1250</v>
      </c>
      <c r="R88" s="94">
        <v>4000</v>
      </c>
      <c r="S88" s="94">
        <f t="shared" si="11"/>
        <v>3350</v>
      </c>
      <c r="T88" s="94">
        <f t="shared" si="12"/>
        <v>4850</v>
      </c>
      <c r="V88" s="94" t="s">
        <v>3703</v>
      </c>
    </row>
    <row r="89" spans="1:22" x14ac:dyDescent="0.2">
      <c r="A89" s="299" t="str">
        <f>CONCATENATE(CCE[[#This Row],[Capacity Segment - rename]]," - ",CCE[[#This Row],[Equipment model]]," (Ground Mount)")</f>
        <v>60-90L - VC 88 SDD (Ground Mount)</v>
      </c>
      <c r="B89" s="281" t="s">
        <v>3355</v>
      </c>
      <c r="C89" s="281" t="s">
        <v>3581</v>
      </c>
      <c r="D89" s="281" t="s">
        <v>3338</v>
      </c>
      <c r="E89" s="281" t="s">
        <v>3299</v>
      </c>
      <c r="F89" s="281" t="s">
        <v>3318</v>
      </c>
      <c r="G89" s="281">
        <v>88</v>
      </c>
      <c r="H89" s="281"/>
      <c r="I89" s="242">
        <v>3.2562500000000001</v>
      </c>
      <c r="J89" s="37">
        <v>4205</v>
      </c>
      <c r="K89" s="37">
        <f t="shared" si="17"/>
        <v>650</v>
      </c>
      <c r="L89" s="37">
        <f t="shared" si="18"/>
        <v>2150</v>
      </c>
      <c r="M89" s="37">
        <f t="shared" si="19"/>
        <v>4855</v>
      </c>
      <c r="N89" s="37">
        <f t="shared" si="20"/>
        <v>6355</v>
      </c>
      <c r="O89" s="94">
        <v>650</v>
      </c>
      <c r="P89" s="94">
        <v>2150</v>
      </c>
      <c r="Q89" s="94">
        <v>1250</v>
      </c>
      <c r="R89" s="94">
        <v>4000</v>
      </c>
      <c r="S89" s="94">
        <f t="shared" si="11"/>
        <v>4855</v>
      </c>
      <c r="T89" s="94">
        <f t="shared" si="12"/>
        <v>6355</v>
      </c>
      <c r="V89" s="94" t="s">
        <v>3703</v>
      </c>
    </row>
    <row r="90" spans="1:22" x14ac:dyDescent="0.2">
      <c r="A90" s="299" t="str">
        <f>CONCATENATE(CCE[[#This Row],[Capacity Segment - rename]]," - ",CCE[[#This Row],[Equipment model]]," (Ground Mount)")</f>
        <v>60-90L - TCW 3043 SDD (Ground Mount)</v>
      </c>
      <c r="B90" s="281" t="s">
        <v>3356</v>
      </c>
      <c r="C90" s="281" t="s">
        <v>3581</v>
      </c>
      <c r="D90" s="281" t="s">
        <v>3338</v>
      </c>
      <c r="E90" s="281" t="s">
        <v>3299</v>
      </c>
      <c r="F90" s="281" t="s">
        <v>3293</v>
      </c>
      <c r="G90" s="281">
        <v>89</v>
      </c>
      <c r="H90" s="281"/>
      <c r="I90" s="242">
        <v>4.8616666666666672</v>
      </c>
      <c r="J90" s="37">
        <v>7092.045454545455</v>
      </c>
      <c r="K90" s="37">
        <f t="shared" si="17"/>
        <v>650</v>
      </c>
      <c r="L90" s="37">
        <f t="shared" si="18"/>
        <v>2150</v>
      </c>
      <c r="M90" s="37">
        <f t="shared" si="19"/>
        <v>7742.045454545455</v>
      </c>
      <c r="N90" s="37">
        <f t="shared" si="20"/>
        <v>9242.0454545454559</v>
      </c>
      <c r="O90" s="94">
        <v>650</v>
      </c>
      <c r="P90" s="94">
        <v>2150</v>
      </c>
      <c r="Q90" s="94">
        <v>1250</v>
      </c>
      <c r="R90" s="94">
        <v>4000</v>
      </c>
      <c r="S90" s="94">
        <f t="shared" si="11"/>
        <v>7742.045454545455</v>
      </c>
      <c r="T90" s="94">
        <f t="shared" si="12"/>
        <v>9242.0454545454559</v>
      </c>
      <c r="V90" s="94" t="s">
        <v>3703</v>
      </c>
    </row>
    <row r="91" spans="1:22" x14ac:dyDescent="0.2">
      <c r="A91" s="299" t="str">
        <f>CONCATENATE(CCE[[#This Row],[Capacity Segment - rename]]," - ",CCE[[#This Row],[Equipment model]]," (Ground Mount)")</f>
        <v>90-120L - VLS 094A SDD (Ground Mount)</v>
      </c>
      <c r="B91" s="281" t="s">
        <v>3357</v>
      </c>
      <c r="C91" s="281" t="s">
        <v>3581</v>
      </c>
      <c r="D91" s="281" t="s">
        <v>3338</v>
      </c>
      <c r="E91" s="281" t="s">
        <v>3306</v>
      </c>
      <c r="F91" s="281" t="s">
        <v>3300</v>
      </c>
      <c r="G91" s="281">
        <v>92</v>
      </c>
      <c r="H91" s="281"/>
      <c r="I91" s="242">
        <v>3.0208333333333335</v>
      </c>
      <c r="J91" s="37">
        <v>3669.318181818182</v>
      </c>
      <c r="K91" s="37">
        <f t="shared" si="17"/>
        <v>650</v>
      </c>
      <c r="L91" s="37">
        <f t="shared" si="18"/>
        <v>2150</v>
      </c>
      <c r="M91" s="37">
        <f t="shared" si="19"/>
        <v>4319.318181818182</v>
      </c>
      <c r="N91" s="37">
        <f t="shared" si="20"/>
        <v>5819.318181818182</v>
      </c>
      <c r="O91" s="94">
        <v>650</v>
      </c>
      <c r="P91" s="94">
        <v>2150</v>
      </c>
      <c r="Q91" s="94">
        <v>1250</v>
      </c>
      <c r="R91" s="94">
        <v>4000</v>
      </c>
      <c r="S91" s="94">
        <f t="shared" si="11"/>
        <v>4319.318181818182</v>
      </c>
      <c r="T91" s="94">
        <f t="shared" si="12"/>
        <v>5819.318181818182</v>
      </c>
      <c r="V91" s="94" t="s">
        <v>3704</v>
      </c>
    </row>
    <row r="92" spans="1:22" x14ac:dyDescent="0.2">
      <c r="A92" s="299" t="str">
        <f>CONCATENATE(CCE[[#This Row],[Capacity Segment - rename]]," - ",CCE[[#This Row],[Equipment model]]," (Ground Mount)")</f>
        <v>90-120L - GVR 100 DC (Ground Mount)</v>
      </c>
      <c r="B92" s="281" t="s">
        <v>3358</v>
      </c>
      <c r="C92" s="281" t="s">
        <v>3581</v>
      </c>
      <c r="D92" s="281" t="s">
        <v>3338</v>
      </c>
      <c r="E92" s="281" t="s">
        <v>3306</v>
      </c>
      <c r="F92" s="281" t="s">
        <v>3290</v>
      </c>
      <c r="G92" s="281">
        <v>99</v>
      </c>
      <c r="H92" s="281"/>
      <c r="I92" s="242">
        <v>7.3312499999999998</v>
      </c>
      <c r="J92" s="37">
        <v>4750</v>
      </c>
      <c r="K92" s="37">
        <f t="shared" si="17"/>
        <v>650</v>
      </c>
      <c r="L92" s="37">
        <f t="shared" si="18"/>
        <v>2150</v>
      </c>
      <c r="M92" s="37">
        <f t="shared" si="19"/>
        <v>5400</v>
      </c>
      <c r="N92" s="37">
        <f t="shared" si="20"/>
        <v>6900</v>
      </c>
      <c r="O92" s="94">
        <v>650</v>
      </c>
      <c r="P92" s="94">
        <v>2150</v>
      </c>
      <c r="Q92" s="94">
        <v>1250</v>
      </c>
      <c r="R92" s="94">
        <v>4000</v>
      </c>
      <c r="S92" s="94">
        <f t="shared" si="11"/>
        <v>5400</v>
      </c>
      <c r="T92" s="94">
        <f t="shared" si="12"/>
        <v>6900</v>
      </c>
      <c r="V92" s="94" t="s">
        <v>3704</v>
      </c>
    </row>
    <row r="93" spans="1:22" x14ac:dyDescent="0.2">
      <c r="A93" s="299" t="str">
        <f>CONCATENATE(CCE[[#This Row],[Capacity Segment - rename]]," - ",CCE[[#This Row],[Equipment model]]," (Ground Mount)")</f>
        <v>90-120L - ZLF 100 DC (Ground Mount)</v>
      </c>
      <c r="B93" s="281" t="s">
        <v>3359</v>
      </c>
      <c r="C93" s="281" t="s">
        <v>3581</v>
      </c>
      <c r="D93" s="281" t="s">
        <v>3338</v>
      </c>
      <c r="E93" s="281" t="s">
        <v>3306</v>
      </c>
      <c r="F93" s="281" t="s">
        <v>3288</v>
      </c>
      <c r="G93" s="281">
        <v>99</v>
      </c>
      <c r="H93" s="281"/>
      <c r="I93" s="242">
        <v>7.0874999999999995</v>
      </c>
      <c r="J93" s="37">
        <v>4847</v>
      </c>
      <c r="K93" s="37">
        <f t="shared" si="17"/>
        <v>650</v>
      </c>
      <c r="L93" s="37">
        <f t="shared" si="18"/>
        <v>2150</v>
      </c>
      <c r="M93" s="37">
        <f t="shared" si="19"/>
        <v>5497</v>
      </c>
      <c r="N93" s="37">
        <f t="shared" si="20"/>
        <v>6997</v>
      </c>
      <c r="O93" s="94">
        <v>650</v>
      </c>
      <c r="P93" s="94">
        <v>2150</v>
      </c>
      <c r="Q93" s="94">
        <v>1250</v>
      </c>
      <c r="R93" s="94">
        <v>4000</v>
      </c>
      <c r="S93" s="94">
        <f t="shared" si="11"/>
        <v>5497</v>
      </c>
      <c r="T93" s="94">
        <f t="shared" si="12"/>
        <v>6997</v>
      </c>
      <c r="V93" s="94" t="s">
        <v>3704</v>
      </c>
    </row>
    <row r="94" spans="1:22" x14ac:dyDescent="0.2">
      <c r="A94" s="299" t="str">
        <f>CONCATENATE(CCE[[#This Row],[Capacity Segment - rename]]," - ",CCE[[#This Row],[Equipment model]]," (Ground Mount)")</f>
        <v>90-120L - HTC-120 (Ground Mount)</v>
      </c>
      <c r="B94" s="281" t="s">
        <v>3360</v>
      </c>
      <c r="C94" s="281" t="s">
        <v>3581</v>
      </c>
      <c r="D94" s="281" t="s">
        <v>3338</v>
      </c>
      <c r="E94" s="281" t="s">
        <v>3306</v>
      </c>
      <c r="F94" s="281" t="s">
        <v>3242</v>
      </c>
      <c r="G94" s="281">
        <v>100</v>
      </c>
      <c r="H94" s="281"/>
      <c r="I94" s="242">
        <f>((112+24/60))/24</f>
        <v>4.6833333333333336</v>
      </c>
      <c r="J94" s="37">
        <v>3620</v>
      </c>
      <c r="K94" s="37">
        <f t="shared" si="17"/>
        <v>650</v>
      </c>
      <c r="L94" s="37">
        <f t="shared" si="18"/>
        <v>2150</v>
      </c>
      <c r="M94" s="37">
        <f t="shared" si="19"/>
        <v>4270</v>
      </c>
      <c r="N94" s="37">
        <f t="shared" si="20"/>
        <v>5770</v>
      </c>
      <c r="O94" s="94">
        <v>650</v>
      </c>
      <c r="P94" s="94">
        <v>2150</v>
      </c>
      <c r="Q94" s="94">
        <v>1250</v>
      </c>
      <c r="R94" s="94">
        <v>4000</v>
      </c>
      <c r="S94" s="94">
        <f>J94+O94</f>
        <v>4270</v>
      </c>
      <c r="T94" s="94">
        <f>J94+P94</f>
        <v>5770</v>
      </c>
      <c r="V94" s="94" t="s">
        <v>3704</v>
      </c>
    </row>
    <row r="95" spans="1:22" x14ac:dyDescent="0.2">
      <c r="A95" s="299" t="str">
        <f>CONCATENATE(CCE[[#This Row],[Capacity Segment - rename]]," - ",CCE[[#This Row],[Equipment model]]," (Ground Mount)")</f>
        <v>90-120L - VC 110 SDD (Ground Mount)</v>
      </c>
      <c r="B95" s="281" t="s">
        <v>3361</v>
      </c>
      <c r="C95" s="281" t="s">
        <v>3581</v>
      </c>
      <c r="D95" s="281" t="s">
        <v>3338</v>
      </c>
      <c r="E95" s="281" t="s">
        <v>3306</v>
      </c>
      <c r="F95" s="281" t="s">
        <v>3318</v>
      </c>
      <c r="G95" s="281">
        <v>110</v>
      </c>
      <c r="H95" s="281"/>
      <c r="I95" s="242">
        <v>3.2562500000000001</v>
      </c>
      <c r="J95" s="37">
        <v>4204.545454545455</v>
      </c>
      <c r="K95" s="37">
        <f t="shared" si="17"/>
        <v>650</v>
      </c>
      <c r="L95" s="37">
        <f t="shared" si="18"/>
        <v>2150</v>
      </c>
      <c r="M95" s="37">
        <f t="shared" si="19"/>
        <v>4854.545454545455</v>
      </c>
      <c r="N95" s="37">
        <f t="shared" si="20"/>
        <v>6354.545454545455</v>
      </c>
      <c r="O95" s="94">
        <v>650</v>
      </c>
      <c r="P95" s="94">
        <v>2150</v>
      </c>
      <c r="Q95" s="94">
        <v>1250</v>
      </c>
      <c r="R95" s="94">
        <v>4000</v>
      </c>
      <c r="S95" s="94">
        <f t="shared" si="11"/>
        <v>4854.545454545455</v>
      </c>
      <c r="T95" s="94">
        <f t="shared" si="12"/>
        <v>6354.545454545455</v>
      </c>
      <c r="V95" s="94" t="s">
        <v>3704</v>
      </c>
    </row>
    <row r="96" spans="1:22" x14ac:dyDescent="0.2">
      <c r="A96" s="299" t="str">
        <f>CONCATENATE(CCE[[#This Row],[Capacity Segment - rename]]," - ",CCE[[#This Row],[Equipment model]]," (Ground Mount)")</f>
        <v>120L+ - ZLF 150DC (Ground Mount)</v>
      </c>
      <c r="B96" s="281" t="s">
        <v>3362</v>
      </c>
      <c r="C96" s="281" t="s">
        <v>3581</v>
      </c>
      <c r="D96" s="281" t="s">
        <v>3338</v>
      </c>
      <c r="E96" s="281" t="s">
        <v>3312</v>
      </c>
      <c r="F96" s="281" t="s">
        <v>3288</v>
      </c>
      <c r="G96" s="281">
        <v>128</v>
      </c>
      <c r="H96" s="281"/>
      <c r="I96" s="242">
        <v>4.4958333333333336</v>
      </c>
      <c r="J96" s="37">
        <v>5330</v>
      </c>
      <c r="K96" s="37">
        <f t="shared" si="17"/>
        <v>650</v>
      </c>
      <c r="L96" s="37">
        <f t="shared" si="18"/>
        <v>2150</v>
      </c>
      <c r="M96" s="37">
        <f t="shared" si="19"/>
        <v>5980</v>
      </c>
      <c r="N96" s="37">
        <f t="shared" si="20"/>
        <v>7480</v>
      </c>
      <c r="O96" s="94">
        <v>650</v>
      </c>
      <c r="P96" s="94">
        <v>2150</v>
      </c>
      <c r="Q96" s="94">
        <v>1250</v>
      </c>
      <c r="R96" s="94">
        <v>4000</v>
      </c>
      <c r="S96" s="94">
        <f t="shared" si="11"/>
        <v>5980</v>
      </c>
      <c r="T96" s="94">
        <f t="shared" si="12"/>
        <v>7480</v>
      </c>
      <c r="V96" s="94" t="s">
        <v>3705</v>
      </c>
    </row>
    <row r="97" spans="1:22" x14ac:dyDescent="0.2">
      <c r="A97" s="299" t="str">
        <f>CONCATENATE(CCE[[#This Row],[Capacity Segment - rename]]," - ",CCE[[#This Row],[Equipment model]]," (Ground Mount)")</f>
        <v>120L+ - VC 200 SDD (Ground Mount)</v>
      </c>
      <c r="B97" s="281" t="s">
        <v>3363</v>
      </c>
      <c r="C97" s="281" t="s">
        <v>3581</v>
      </c>
      <c r="D97" s="281" t="s">
        <v>3338</v>
      </c>
      <c r="E97" s="281" t="s">
        <v>3312</v>
      </c>
      <c r="F97" s="281" t="s">
        <v>3318</v>
      </c>
      <c r="G97" s="281">
        <v>132</v>
      </c>
      <c r="H97" s="281"/>
      <c r="I97" s="242">
        <v>3.3118055555555554</v>
      </c>
      <c r="J97" s="37">
        <v>4431.818181818182</v>
      </c>
      <c r="K97" s="37">
        <f t="shared" si="17"/>
        <v>650</v>
      </c>
      <c r="L97" s="37">
        <f t="shared" si="18"/>
        <v>2150</v>
      </c>
      <c r="M97" s="37">
        <f t="shared" si="19"/>
        <v>5081.818181818182</v>
      </c>
      <c r="N97" s="37">
        <f t="shared" si="20"/>
        <v>6581.818181818182</v>
      </c>
      <c r="O97" s="94">
        <v>650</v>
      </c>
      <c r="P97" s="94">
        <v>2150</v>
      </c>
      <c r="Q97" s="94">
        <v>1250</v>
      </c>
      <c r="R97" s="94">
        <v>4000</v>
      </c>
      <c r="S97" s="94">
        <f t="shared" si="11"/>
        <v>5081.818181818182</v>
      </c>
      <c r="T97" s="94">
        <f t="shared" si="12"/>
        <v>6581.818181818182</v>
      </c>
      <c r="V97" s="94" t="s">
        <v>3705</v>
      </c>
    </row>
    <row r="98" spans="1:22" x14ac:dyDescent="0.2">
      <c r="A98" s="299" t="str">
        <f>CONCATENATE(CCE[[#This Row],[Capacity Segment - rename]]," - ",CCE[[#This Row],[Equipment model]]," (Ground Mount)")</f>
        <v>120L+ - VLS 154A SDD (Ground Mount)</v>
      </c>
      <c r="B98" s="281" t="s">
        <v>3364</v>
      </c>
      <c r="C98" s="281" t="s">
        <v>3581</v>
      </c>
      <c r="D98" s="281" t="s">
        <v>3338</v>
      </c>
      <c r="E98" s="281" t="s">
        <v>3312</v>
      </c>
      <c r="F98" s="281" t="s">
        <v>3300</v>
      </c>
      <c r="G98" s="281">
        <v>170</v>
      </c>
      <c r="H98" s="281"/>
      <c r="I98" s="242">
        <v>3.0583333333333336</v>
      </c>
      <c r="J98" s="37">
        <v>4702.272727272727</v>
      </c>
      <c r="K98" s="37">
        <f t="shared" si="17"/>
        <v>650</v>
      </c>
      <c r="L98" s="37">
        <f t="shared" si="18"/>
        <v>2150</v>
      </c>
      <c r="M98" s="37">
        <f t="shared" si="19"/>
        <v>5352.272727272727</v>
      </c>
      <c r="N98" s="37">
        <f t="shared" si="20"/>
        <v>6852.272727272727</v>
      </c>
      <c r="O98" s="94">
        <v>650</v>
      </c>
      <c r="P98" s="94">
        <v>2150</v>
      </c>
      <c r="Q98" s="94">
        <v>1250</v>
      </c>
      <c r="R98" s="94">
        <v>4000</v>
      </c>
      <c r="S98" s="94">
        <f t="shared" si="11"/>
        <v>5352.272727272727</v>
      </c>
      <c r="T98" s="94">
        <f t="shared" si="12"/>
        <v>6852.272727272727</v>
      </c>
      <c r="V98" s="94" t="s">
        <v>3705</v>
      </c>
    </row>
    <row r="99" spans="1:22" x14ac:dyDescent="0.2">
      <c r="A99" s="299" t="str">
        <f>CONCATENATE(CCE[[#This Row],[Capacity Segment - rename]]," - ",CCE[[#This Row],[Equipment model]]," (Ground Mount)")</f>
        <v>120L+ - HTC-240 (Ground Mount)</v>
      </c>
      <c r="B99" s="281" t="s">
        <v>3365</v>
      </c>
      <c r="C99" s="281" t="s">
        <v>3581</v>
      </c>
      <c r="D99" s="281" t="s">
        <v>3338</v>
      </c>
      <c r="E99" s="281" t="s">
        <v>3312</v>
      </c>
      <c r="F99" s="281" t="s">
        <v>3242</v>
      </c>
      <c r="G99" s="281">
        <v>200</v>
      </c>
      <c r="H99" s="281"/>
      <c r="I99" s="242">
        <f>(93+(23/60))/24</f>
        <v>3.8909722222222225</v>
      </c>
      <c r="J99" s="37">
        <v>4150</v>
      </c>
      <c r="K99" s="37">
        <f t="shared" si="17"/>
        <v>650</v>
      </c>
      <c r="L99" s="37">
        <f t="shared" si="18"/>
        <v>2150</v>
      </c>
      <c r="M99" s="37">
        <f t="shared" si="19"/>
        <v>4800</v>
      </c>
      <c r="N99" s="37">
        <f t="shared" si="20"/>
        <v>6300</v>
      </c>
      <c r="O99" s="94">
        <v>650</v>
      </c>
      <c r="P99" s="94">
        <v>2150</v>
      </c>
      <c r="Q99" s="94">
        <v>1250</v>
      </c>
      <c r="R99" s="94">
        <v>4000</v>
      </c>
      <c r="S99" s="94">
        <f t="shared" si="11"/>
        <v>4800</v>
      </c>
      <c r="T99" s="94">
        <f t="shared" si="12"/>
        <v>6300</v>
      </c>
      <c r="V99" s="94" t="s">
        <v>3705</v>
      </c>
    </row>
    <row r="100" spans="1:22" x14ac:dyDescent="0.2">
      <c r="A100" s="299" t="str">
        <f>CONCATENATE(CCE[[#This Row],[Capacity Segment - rename]]," - ",CCE[[#This Row],[Equipment model]]," (Ground Mount)")</f>
        <v>120L+ - TCW 4000 SDD (Ground Mount)</v>
      </c>
      <c r="B100" s="281" t="s">
        <v>3366</v>
      </c>
      <c r="C100" s="281" t="s">
        <v>3581</v>
      </c>
      <c r="D100" s="281" t="s">
        <v>3338</v>
      </c>
      <c r="E100" s="281" t="s">
        <v>3312</v>
      </c>
      <c r="F100" s="281" t="s">
        <v>3293</v>
      </c>
      <c r="G100" s="281">
        <v>220</v>
      </c>
      <c r="H100" s="281"/>
      <c r="I100" s="242">
        <f>(91+16/60)/24</f>
        <v>3.8027777777777776</v>
      </c>
      <c r="J100" s="37">
        <v>7775</v>
      </c>
      <c r="K100" s="37">
        <f t="shared" si="17"/>
        <v>650</v>
      </c>
      <c r="L100" s="37">
        <f t="shared" si="18"/>
        <v>2150</v>
      </c>
      <c r="M100" s="37">
        <f t="shared" si="19"/>
        <v>8425</v>
      </c>
      <c r="N100" s="37">
        <f t="shared" si="20"/>
        <v>9925</v>
      </c>
      <c r="O100" s="94">
        <v>650</v>
      </c>
      <c r="P100" s="94">
        <v>2150</v>
      </c>
      <c r="Q100" s="94">
        <v>1250</v>
      </c>
      <c r="R100" s="94">
        <v>4000</v>
      </c>
      <c r="S100" s="94">
        <f t="shared" ref="S100:S128" si="21">J100+O100</f>
        <v>8425</v>
      </c>
      <c r="T100" s="94">
        <f t="shared" ref="T100:T128" si="22">J100+P100</f>
        <v>9925</v>
      </c>
      <c r="V100" s="94" t="s">
        <v>3705</v>
      </c>
    </row>
    <row r="101" spans="1:22" s="281" customFormat="1" x14ac:dyDescent="0.2">
      <c r="A101" s="299" t="str">
        <f>CONCATENATE(CCE[[#This Row],[Capacity Segment - rename]]," - ",CCE[[#This Row],[Equipment model]]," (Pole Mount)")</f>
        <v>0-30L - BFRV 15 SDD (Pole Mount)</v>
      </c>
      <c r="B101" s="281" t="s">
        <v>3340</v>
      </c>
      <c r="C101" s="281" t="s">
        <v>3581</v>
      </c>
      <c r="D101" s="281" t="s">
        <v>3338</v>
      </c>
      <c r="E101" s="281" t="s">
        <v>3287</v>
      </c>
      <c r="F101" s="281" t="s">
        <v>3339</v>
      </c>
      <c r="G101" s="281">
        <v>15</v>
      </c>
      <c r="I101" s="242">
        <v>4.2212500000000004</v>
      </c>
      <c r="J101" s="37">
        <v>2420</v>
      </c>
      <c r="K101" s="37">
        <f t="shared" ref="K101:K127" si="23">Q101</f>
        <v>1250</v>
      </c>
      <c r="L101" s="37">
        <f t="shared" ref="L101:L127" si="24">R101</f>
        <v>4000</v>
      </c>
      <c r="M101" s="37">
        <f t="shared" ref="M101:M127" si="25">$J101+K101</f>
        <v>3670</v>
      </c>
      <c r="N101" s="37">
        <f t="shared" si="20"/>
        <v>6420</v>
      </c>
      <c r="O101" s="94">
        <v>650</v>
      </c>
      <c r="P101" s="94">
        <v>2150</v>
      </c>
      <c r="Q101" s="94">
        <v>1250</v>
      </c>
      <c r="R101" s="94">
        <v>4000</v>
      </c>
      <c r="S101" s="94">
        <f t="shared" ref="S101:S113" si="26">J101+O101</f>
        <v>3070</v>
      </c>
      <c r="T101" s="94">
        <f t="shared" ref="T101:T113" si="27">J101+P101</f>
        <v>4570</v>
      </c>
      <c r="U101" s="273"/>
      <c r="V101" s="94" t="s">
        <v>3701</v>
      </c>
    </row>
    <row r="102" spans="1:22" s="281" customFormat="1" x14ac:dyDescent="0.2">
      <c r="A102" s="299" t="str">
        <f>CONCATENATE(CCE[[#This Row],[Capacity Segment - rename]]," - ",CCE[[#This Row],[Equipment model]]," (Pole Mount)")</f>
        <v>0-30L - TCW 15R SDD (Pole Mount)</v>
      </c>
      <c r="B102" s="281" t="s">
        <v>3341</v>
      </c>
      <c r="C102" s="281" t="s">
        <v>3581</v>
      </c>
      <c r="D102" s="281" t="s">
        <v>3338</v>
      </c>
      <c r="E102" s="281" t="s">
        <v>3287</v>
      </c>
      <c r="F102" s="281" t="s">
        <v>3293</v>
      </c>
      <c r="G102" s="281">
        <v>16</v>
      </c>
      <c r="I102" s="242">
        <v>3.4083333333333332</v>
      </c>
      <c r="J102" s="37">
        <v>4905.681818181818</v>
      </c>
      <c r="K102" s="37">
        <f t="shared" si="23"/>
        <v>1250</v>
      </c>
      <c r="L102" s="37">
        <f t="shared" si="24"/>
        <v>4000</v>
      </c>
      <c r="M102" s="37">
        <f t="shared" si="25"/>
        <v>6155.681818181818</v>
      </c>
      <c r="N102" s="37">
        <f t="shared" si="20"/>
        <v>8905.681818181818</v>
      </c>
      <c r="O102" s="94">
        <v>650</v>
      </c>
      <c r="P102" s="94">
        <v>2150</v>
      </c>
      <c r="Q102" s="94">
        <v>1250</v>
      </c>
      <c r="R102" s="94">
        <v>4000</v>
      </c>
      <c r="S102" s="94">
        <f t="shared" si="26"/>
        <v>5555.681818181818</v>
      </c>
      <c r="T102" s="94">
        <f t="shared" si="27"/>
        <v>7055.681818181818</v>
      </c>
      <c r="U102" s="273"/>
      <c r="V102" s="94" t="s">
        <v>3701</v>
      </c>
    </row>
    <row r="103" spans="1:22" s="281" customFormat="1" x14ac:dyDescent="0.2">
      <c r="A103" s="299" t="str">
        <f>CONCATENATE(CCE[[#This Row],[Capacity Segment - rename]]," - ",CCE[[#This Row],[Equipment model]]," (Pole Mount)")</f>
        <v>0-30L - Ultra 16 SDD (Pole Mount)</v>
      </c>
      <c r="B103" s="281" t="s">
        <v>3342</v>
      </c>
      <c r="C103" s="281" t="s">
        <v>3581</v>
      </c>
      <c r="D103" s="281" t="s">
        <v>3338</v>
      </c>
      <c r="E103" s="281" t="s">
        <v>3287</v>
      </c>
      <c r="F103" s="281" t="s">
        <v>3293</v>
      </c>
      <c r="G103" s="281">
        <v>16</v>
      </c>
      <c r="I103" s="242">
        <v>19.916666666666668</v>
      </c>
      <c r="J103" s="37">
        <v>5946.590909090909</v>
      </c>
      <c r="K103" s="37">
        <f t="shared" si="23"/>
        <v>1250</v>
      </c>
      <c r="L103" s="37">
        <f t="shared" si="24"/>
        <v>4000</v>
      </c>
      <c r="M103" s="37">
        <f t="shared" si="25"/>
        <v>7196.590909090909</v>
      </c>
      <c r="N103" s="37">
        <f t="shared" si="20"/>
        <v>9946.5909090909081</v>
      </c>
      <c r="O103" s="94">
        <v>650</v>
      </c>
      <c r="P103" s="94">
        <v>2150</v>
      </c>
      <c r="Q103" s="94">
        <v>1250</v>
      </c>
      <c r="R103" s="94">
        <v>4000</v>
      </c>
      <c r="S103" s="94">
        <f t="shared" si="26"/>
        <v>6596.590909090909</v>
      </c>
      <c r="T103" s="94">
        <f t="shared" si="27"/>
        <v>8096.590909090909</v>
      </c>
      <c r="U103" s="273"/>
      <c r="V103" s="94" t="s">
        <v>3701</v>
      </c>
    </row>
    <row r="104" spans="1:22" s="281" customFormat="1" x14ac:dyDescent="0.2">
      <c r="A104" s="299" t="str">
        <f>CONCATENATE(CCE[[#This Row],[Capacity Segment - rename]]," - ",CCE[[#This Row],[Equipment model]]," (Pole Mount)")</f>
        <v>0-30L - HTC 40 SDD (Pole Mount)</v>
      </c>
      <c r="B104" s="281" t="s">
        <v>3343</v>
      </c>
      <c r="C104" s="281" t="s">
        <v>3581</v>
      </c>
      <c r="D104" s="281" t="s">
        <v>3338</v>
      </c>
      <c r="E104" s="281" t="s">
        <v>3287</v>
      </c>
      <c r="F104" s="281" t="s">
        <v>3242</v>
      </c>
      <c r="G104" s="281">
        <v>22.5</v>
      </c>
      <c r="I104" s="242">
        <v>4.875</v>
      </c>
      <c r="J104" s="37">
        <v>2400</v>
      </c>
      <c r="K104" s="37">
        <f t="shared" si="23"/>
        <v>1250</v>
      </c>
      <c r="L104" s="37">
        <f t="shared" si="24"/>
        <v>4000</v>
      </c>
      <c r="M104" s="37">
        <f t="shared" si="25"/>
        <v>3650</v>
      </c>
      <c r="N104" s="37">
        <f t="shared" si="20"/>
        <v>6400</v>
      </c>
      <c r="O104" s="94">
        <v>650</v>
      </c>
      <c r="P104" s="94">
        <v>2150</v>
      </c>
      <c r="Q104" s="94">
        <v>1250</v>
      </c>
      <c r="R104" s="94">
        <v>4000</v>
      </c>
      <c r="S104" s="94">
        <f t="shared" si="26"/>
        <v>3050</v>
      </c>
      <c r="T104" s="94">
        <f t="shared" si="27"/>
        <v>4550</v>
      </c>
      <c r="U104" s="273"/>
      <c r="V104" s="94" t="s">
        <v>3701</v>
      </c>
    </row>
    <row r="105" spans="1:22" s="281" customFormat="1" x14ac:dyDescent="0.2">
      <c r="A105" s="299" t="str">
        <f>CONCATENATE(CCE[[#This Row],[Capacity Segment - rename]]," - ",CCE[[#This Row],[Equipment model]]," (Pole Mount)")</f>
        <v>0-30L - VC 30 SDD (Pole Mount)</v>
      </c>
      <c r="B105" s="281" t="s">
        <v>3344</v>
      </c>
      <c r="C105" s="281" t="s">
        <v>3581</v>
      </c>
      <c r="D105" s="281" t="s">
        <v>3338</v>
      </c>
      <c r="E105" s="281" t="s">
        <v>3287</v>
      </c>
      <c r="F105" s="281" t="s">
        <v>3318</v>
      </c>
      <c r="G105" s="281">
        <v>25.5</v>
      </c>
      <c r="I105" s="242">
        <v>3.0062500000000001</v>
      </c>
      <c r="J105" s="37">
        <v>2897.7272727272725</v>
      </c>
      <c r="K105" s="37">
        <f t="shared" si="23"/>
        <v>1250</v>
      </c>
      <c r="L105" s="37">
        <f t="shared" si="24"/>
        <v>4000</v>
      </c>
      <c r="M105" s="37">
        <f t="shared" si="25"/>
        <v>4147.7272727272721</v>
      </c>
      <c r="N105" s="37">
        <f t="shared" si="20"/>
        <v>6897.7272727272721</v>
      </c>
      <c r="O105" s="94">
        <v>650</v>
      </c>
      <c r="P105" s="94">
        <v>2150</v>
      </c>
      <c r="Q105" s="94">
        <v>1250</v>
      </c>
      <c r="R105" s="94">
        <v>4000</v>
      </c>
      <c r="S105" s="94">
        <f t="shared" si="26"/>
        <v>3547.7272727272725</v>
      </c>
      <c r="T105" s="94">
        <f t="shared" si="27"/>
        <v>5047.7272727272721</v>
      </c>
      <c r="U105" s="273"/>
      <c r="V105" s="94" t="s">
        <v>3701</v>
      </c>
    </row>
    <row r="106" spans="1:22" s="281" customFormat="1" x14ac:dyDescent="0.2">
      <c r="A106" s="299" t="str">
        <f>CONCATENATE(CCE[[#This Row],[Capacity Segment - rename]]," - ",CCE[[#This Row],[Equipment model]]," (Pole Mount)")</f>
        <v>0-30L - VLS 024 SDD (Pole Mount)</v>
      </c>
      <c r="B106" s="281" t="s">
        <v>3345</v>
      </c>
      <c r="C106" s="281" t="s">
        <v>3581</v>
      </c>
      <c r="D106" s="281" t="s">
        <v>3338</v>
      </c>
      <c r="E106" s="281" t="s">
        <v>3287</v>
      </c>
      <c r="F106" s="281" t="s">
        <v>3300</v>
      </c>
      <c r="G106" s="281">
        <v>25.5</v>
      </c>
      <c r="I106" s="242">
        <v>3.4041666666666668</v>
      </c>
      <c r="J106" s="37">
        <v>3034.090909090909</v>
      </c>
      <c r="K106" s="37">
        <f t="shared" si="23"/>
        <v>1250</v>
      </c>
      <c r="L106" s="37">
        <f t="shared" si="24"/>
        <v>4000</v>
      </c>
      <c r="M106" s="37">
        <f t="shared" si="25"/>
        <v>4284.090909090909</v>
      </c>
      <c r="N106" s="37">
        <f t="shared" si="20"/>
        <v>7034.090909090909</v>
      </c>
      <c r="O106" s="94">
        <v>650</v>
      </c>
      <c r="P106" s="94">
        <v>2150</v>
      </c>
      <c r="Q106" s="94">
        <v>1250</v>
      </c>
      <c r="R106" s="94">
        <v>4000</v>
      </c>
      <c r="S106" s="94">
        <f t="shared" si="26"/>
        <v>3684.090909090909</v>
      </c>
      <c r="T106" s="94">
        <f t="shared" si="27"/>
        <v>5184.090909090909</v>
      </c>
      <c r="U106" s="273"/>
      <c r="V106" s="94" t="s">
        <v>3701</v>
      </c>
    </row>
    <row r="107" spans="1:22" s="281" customFormat="1" x14ac:dyDescent="0.2">
      <c r="A107" s="299" t="str">
        <f>CONCATENATE(CCE[[#This Row],[Capacity Segment - rename]]," - ",CCE[[#This Row],[Equipment model]]," (Pole Mount)")</f>
        <v>0-30L - ZLF 30DC SDD (Pole Mount)</v>
      </c>
      <c r="B107" s="281" t="s">
        <v>3346</v>
      </c>
      <c r="C107" s="281" t="s">
        <v>3581</v>
      </c>
      <c r="D107" s="281" t="s">
        <v>3338</v>
      </c>
      <c r="E107" s="281" t="s">
        <v>3287</v>
      </c>
      <c r="F107" s="281" t="s">
        <v>3288</v>
      </c>
      <c r="G107" s="281">
        <v>27</v>
      </c>
      <c r="I107" s="242">
        <v>3.2118055555555554</v>
      </c>
      <c r="J107" s="37">
        <v>2920</v>
      </c>
      <c r="K107" s="37">
        <f t="shared" si="23"/>
        <v>1250</v>
      </c>
      <c r="L107" s="37">
        <f t="shared" si="24"/>
        <v>4000</v>
      </c>
      <c r="M107" s="37">
        <f t="shared" si="25"/>
        <v>4170</v>
      </c>
      <c r="N107" s="37">
        <f t="shared" si="20"/>
        <v>6920</v>
      </c>
      <c r="O107" s="94">
        <v>650</v>
      </c>
      <c r="P107" s="94">
        <v>2150</v>
      </c>
      <c r="Q107" s="94">
        <v>1250</v>
      </c>
      <c r="R107" s="94">
        <v>4000</v>
      </c>
      <c r="S107" s="94">
        <f t="shared" si="26"/>
        <v>3570</v>
      </c>
      <c r="T107" s="94">
        <f t="shared" si="27"/>
        <v>5070</v>
      </c>
      <c r="U107" s="273"/>
      <c r="V107" s="94" t="s">
        <v>3701</v>
      </c>
    </row>
    <row r="108" spans="1:22" s="281" customFormat="1" x14ac:dyDescent="0.2">
      <c r="A108" s="299" t="str">
        <f>CONCATENATE(CCE[[#This Row],[Capacity Segment - rename]]," - ",CCE[[#This Row],[Equipment model]]," (Pole Mount)")</f>
        <v>30-60L - TCW 40R SDD (Pole Mount)</v>
      </c>
      <c r="B108" s="281" t="s">
        <v>3347</v>
      </c>
      <c r="C108" s="281" t="s">
        <v>3581</v>
      </c>
      <c r="D108" s="281" t="s">
        <v>3338</v>
      </c>
      <c r="E108" s="281" t="s">
        <v>3292</v>
      </c>
      <c r="F108" s="281" t="s">
        <v>3293</v>
      </c>
      <c r="G108" s="281">
        <v>36</v>
      </c>
      <c r="I108" s="242">
        <f>(81+54/60)/24</f>
        <v>3.4125000000000001</v>
      </c>
      <c r="J108" s="37">
        <v>5806.818181818182</v>
      </c>
      <c r="K108" s="37">
        <f t="shared" si="23"/>
        <v>1250</v>
      </c>
      <c r="L108" s="37">
        <f t="shared" si="24"/>
        <v>4000</v>
      </c>
      <c r="M108" s="37">
        <f t="shared" si="25"/>
        <v>7056.818181818182</v>
      </c>
      <c r="N108" s="37">
        <f t="shared" si="20"/>
        <v>9806.818181818182</v>
      </c>
      <c r="O108" s="94">
        <v>650</v>
      </c>
      <c r="P108" s="94">
        <v>2150</v>
      </c>
      <c r="Q108" s="94">
        <v>1250</v>
      </c>
      <c r="R108" s="94">
        <v>4000</v>
      </c>
      <c r="S108" s="94">
        <f t="shared" si="26"/>
        <v>6456.818181818182</v>
      </c>
      <c r="T108" s="94">
        <f t="shared" si="27"/>
        <v>7956.818181818182</v>
      </c>
      <c r="U108" s="273"/>
      <c r="V108" s="94" t="s">
        <v>3702</v>
      </c>
    </row>
    <row r="109" spans="1:22" s="281" customFormat="1" x14ac:dyDescent="0.2">
      <c r="A109" s="299" t="str">
        <f>CONCATENATE(CCE[[#This Row],[Capacity Segment - rename]]," - ",CCE[[#This Row],[Equipment model]]," (Pole Mount)")</f>
        <v>30-60L - GVR 50 DC (Pole Mount)</v>
      </c>
      <c r="B109" s="281" t="s">
        <v>3348</v>
      </c>
      <c r="C109" s="281" t="s">
        <v>3581</v>
      </c>
      <c r="D109" s="281" t="s">
        <v>3338</v>
      </c>
      <c r="E109" s="281" t="s">
        <v>3292</v>
      </c>
      <c r="F109" s="281" t="s">
        <v>3290</v>
      </c>
      <c r="G109" s="281">
        <v>46.5</v>
      </c>
      <c r="I109" s="242">
        <v>5.6166666666666671</v>
      </c>
      <c r="J109" s="37">
        <v>3450</v>
      </c>
      <c r="K109" s="37">
        <f t="shared" si="23"/>
        <v>1250</v>
      </c>
      <c r="L109" s="37">
        <f t="shared" si="24"/>
        <v>4000</v>
      </c>
      <c r="M109" s="37">
        <f t="shared" si="25"/>
        <v>4700</v>
      </c>
      <c r="N109" s="37">
        <f t="shared" si="20"/>
        <v>7450</v>
      </c>
      <c r="O109" s="94">
        <v>650</v>
      </c>
      <c r="P109" s="94">
        <v>2150</v>
      </c>
      <c r="Q109" s="94">
        <v>1250</v>
      </c>
      <c r="R109" s="94">
        <v>4000</v>
      </c>
      <c r="S109" s="94">
        <f t="shared" si="26"/>
        <v>4100</v>
      </c>
      <c r="T109" s="94">
        <f t="shared" si="27"/>
        <v>5600</v>
      </c>
      <c r="U109" s="273"/>
      <c r="V109" s="94" t="s">
        <v>3702</v>
      </c>
    </row>
    <row r="110" spans="1:22" s="281" customFormat="1" x14ac:dyDescent="0.2">
      <c r="A110" s="299" t="str">
        <f>CONCATENATE(CCE[[#This Row],[Capacity Segment - rename]]," - ",CCE[[#This Row],[Equipment model]]," (Pole Mount)")</f>
        <v>30-60L - CFD-50 SDD (Pole Mount)</v>
      </c>
      <c r="B110" s="281" t="s">
        <v>3349</v>
      </c>
      <c r="C110" s="281" t="s">
        <v>3581</v>
      </c>
      <c r="D110" s="281" t="s">
        <v>3338</v>
      </c>
      <c r="E110" s="281" t="s">
        <v>3292</v>
      </c>
      <c r="F110" s="281" t="s">
        <v>3296</v>
      </c>
      <c r="G110" s="281">
        <v>50</v>
      </c>
      <c r="I110" s="242">
        <f>120/24</f>
        <v>5</v>
      </c>
      <c r="J110" s="37">
        <v>2600</v>
      </c>
      <c r="K110" s="37">
        <f t="shared" si="23"/>
        <v>1250</v>
      </c>
      <c r="L110" s="37">
        <f t="shared" si="24"/>
        <v>4000</v>
      </c>
      <c r="M110" s="37">
        <f t="shared" si="25"/>
        <v>3850</v>
      </c>
      <c r="N110" s="37">
        <f t="shared" si="20"/>
        <v>6600</v>
      </c>
      <c r="O110" s="94">
        <v>650</v>
      </c>
      <c r="P110" s="94">
        <v>2150</v>
      </c>
      <c r="Q110" s="94">
        <v>1250</v>
      </c>
      <c r="R110" s="94">
        <v>4000</v>
      </c>
      <c r="S110" s="94">
        <f t="shared" si="26"/>
        <v>3250</v>
      </c>
      <c r="T110" s="94">
        <f t="shared" si="27"/>
        <v>4750</v>
      </c>
      <c r="U110" s="273"/>
      <c r="V110" s="94" t="s">
        <v>3702</v>
      </c>
    </row>
    <row r="111" spans="1:22" s="281" customFormat="1" x14ac:dyDescent="0.2">
      <c r="A111" s="299" t="str">
        <f>CONCATENATE(CCE[[#This Row],[Capacity Segment - rename]]," - ",CCE[[#This Row],[Equipment model]]," (Pole Mount)")</f>
        <v>30-60L - VC 50 SDD (Pole Mount)</v>
      </c>
      <c r="B111" s="281" t="s">
        <v>3350</v>
      </c>
      <c r="C111" s="281" t="s">
        <v>3581</v>
      </c>
      <c r="D111" s="281" t="s">
        <v>3338</v>
      </c>
      <c r="E111" s="281" t="s">
        <v>3292</v>
      </c>
      <c r="F111" s="281" t="s">
        <v>3318</v>
      </c>
      <c r="G111" s="281">
        <v>52.5</v>
      </c>
      <c r="I111" s="242">
        <v>3.1</v>
      </c>
      <c r="J111" s="37">
        <v>3125</v>
      </c>
      <c r="K111" s="37">
        <f t="shared" si="23"/>
        <v>1250</v>
      </c>
      <c r="L111" s="37">
        <f t="shared" si="24"/>
        <v>4000</v>
      </c>
      <c r="M111" s="37">
        <f t="shared" si="25"/>
        <v>4375</v>
      </c>
      <c r="N111" s="37">
        <f t="shared" si="20"/>
        <v>7125</v>
      </c>
      <c r="O111" s="94">
        <v>650</v>
      </c>
      <c r="P111" s="94">
        <v>2150</v>
      </c>
      <c r="Q111" s="94">
        <v>1250</v>
      </c>
      <c r="R111" s="94">
        <v>4000</v>
      </c>
      <c r="S111" s="94">
        <f t="shared" si="26"/>
        <v>3775</v>
      </c>
      <c r="T111" s="94">
        <f t="shared" si="27"/>
        <v>5275</v>
      </c>
      <c r="U111" s="273"/>
      <c r="V111" s="94" t="s">
        <v>3702</v>
      </c>
    </row>
    <row r="112" spans="1:22" s="281" customFormat="1" x14ac:dyDescent="0.2">
      <c r="A112" s="299" t="str">
        <f>CONCATENATE(CCE[[#This Row],[Capacity Segment - rename]]," - ",CCE[[#This Row],[Equipment model]]," (Pole Mount)")</f>
        <v>30-60L - BFRV 55 SDD (Pole Mount)</v>
      </c>
      <c r="B112" s="281" t="s">
        <v>3351</v>
      </c>
      <c r="C112" s="281" t="s">
        <v>3581</v>
      </c>
      <c r="D112" s="281" t="s">
        <v>3338</v>
      </c>
      <c r="E112" s="281" t="s">
        <v>3292</v>
      </c>
      <c r="F112" s="281" t="s">
        <v>3339</v>
      </c>
      <c r="G112" s="281">
        <v>54.5</v>
      </c>
      <c r="I112" s="242">
        <v>3.4784722222222224</v>
      </c>
      <c r="J112" s="37">
        <v>3165</v>
      </c>
      <c r="K112" s="37">
        <f t="shared" si="23"/>
        <v>1250</v>
      </c>
      <c r="L112" s="37">
        <f t="shared" si="24"/>
        <v>4000</v>
      </c>
      <c r="M112" s="37">
        <f t="shared" si="25"/>
        <v>4415</v>
      </c>
      <c r="N112" s="37">
        <f t="shared" si="20"/>
        <v>7165</v>
      </c>
      <c r="O112" s="94">
        <v>650</v>
      </c>
      <c r="P112" s="94">
        <v>2150</v>
      </c>
      <c r="Q112" s="94">
        <v>1250</v>
      </c>
      <c r="R112" s="94">
        <v>4000</v>
      </c>
      <c r="S112" s="94">
        <f t="shared" si="26"/>
        <v>3815</v>
      </c>
      <c r="T112" s="94">
        <f t="shared" si="27"/>
        <v>5315</v>
      </c>
      <c r="U112" s="273"/>
      <c r="V112" s="94" t="s">
        <v>3702</v>
      </c>
    </row>
    <row r="113" spans="1:22" s="281" customFormat="1" x14ac:dyDescent="0.2">
      <c r="A113" s="299" t="str">
        <f>CONCATENATE(CCE[[#This Row],[Capacity Segment - rename]]," - ",CCE[[#This Row],[Equipment model]]," (Pole Mount)")</f>
        <v>30-60L - VLS 054A SDD (Pole Mount)</v>
      </c>
      <c r="B113" s="281" t="s">
        <v>3352</v>
      </c>
      <c r="C113" s="281" t="s">
        <v>3581</v>
      </c>
      <c r="D113" s="281" t="s">
        <v>3338</v>
      </c>
      <c r="E113" s="281" t="s">
        <v>3292</v>
      </c>
      <c r="F113" s="281" t="s">
        <v>3300</v>
      </c>
      <c r="G113" s="281">
        <v>55.5</v>
      </c>
      <c r="I113" s="242">
        <v>3.0166666666666671</v>
      </c>
      <c r="J113" s="37">
        <v>3362.5</v>
      </c>
      <c r="K113" s="37">
        <f t="shared" si="23"/>
        <v>1250</v>
      </c>
      <c r="L113" s="37">
        <f t="shared" si="24"/>
        <v>4000</v>
      </c>
      <c r="M113" s="37">
        <f t="shared" si="25"/>
        <v>4612.5</v>
      </c>
      <c r="N113" s="37">
        <f t="shared" si="20"/>
        <v>7362.5</v>
      </c>
      <c r="O113" s="94">
        <v>650</v>
      </c>
      <c r="P113" s="94">
        <v>2150</v>
      </c>
      <c r="Q113" s="94">
        <v>1250</v>
      </c>
      <c r="R113" s="94">
        <v>4000</v>
      </c>
      <c r="S113" s="94">
        <f t="shared" si="26"/>
        <v>4012.5</v>
      </c>
      <c r="T113" s="94">
        <f t="shared" si="27"/>
        <v>5512.5</v>
      </c>
      <c r="U113" s="273"/>
      <c r="V113" s="94" t="s">
        <v>3702</v>
      </c>
    </row>
    <row r="114" spans="1:22" s="281" customFormat="1" x14ac:dyDescent="0.2">
      <c r="A114" s="299" t="str">
        <f>CONCATENATE(CCE[[#This Row],[Capacity Segment - rename]]," - ",CCE[[#This Row],[Equipment model]]," (Pole Mount)")</f>
        <v>30-60L - HTC 110 SDD (Pole Mount)</v>
      </c>
      <c r="B114" s="281" t="s">
        <v>3353</v>
      </c>
      <c r="C114" s="281" t="s">
        <v>3581</v>
      </c>
      <c r="D114" s="281" t="s">
        <v>3338</v>
      </c>
      <c r="E114" s="281" t="s">
        <v>3292</v>
      </c>
      <c r="F114" s="281" t="s">
        <v>3242</v>
      </c>
      <c r="G114" s="281">
        <v>59</v>
      </c>
      <c r="I114" s="242">
        <v>4</v>
      </c>
      <c r="J114" s="37">
        <v>2650</v>
      </c>
      <c r="K114" s="37">
        <f t="shared" si="23"/>
        <v>1250</v>
      </c>
      <c r="L114" s="37">
        <f t="shared" si="24"/>
        <v>4000</v>
      </c>
      <c r="M114" s="37">
        <f t="shared" si="25"/>
        <v>3900</v>
      </c>
      <c r="N114" s="37">
        <f t="shared" si="20"/>
        <v>6650</v>
      </c>
      <c r="O114" s="94">
        <v>650</v>
      </c>
      <c r="P114" s="94">
        <v>2150</v>
      </c>
      <c r="Q114" s="94">
        <v>1250</v>
      </c>
      <c r="R114" s="94">
        <v>4000</v>
      </c>
      <c r="S114" s="94">
        <f t="shared" ref="S114:S120" si="28">J114+O114</f>
        <v>3300</v>
      </c>
      <c r="T114" s="94">
        <f t="shared" ref="T114:T120" si="29">J114+P114</f>
        <v>4800</v>
      </c>
      <c r="U114" s="273"/>
      <c r="V114" s="94" t="s">
        <v>3702</v>
      </c>
    </row>
    <row r="115" spans="1:22" s="281" customFormat="1" x14ac:dyDescent="0.2">
      <c r="A115" s="299" t="str">
        <f>CONCATENATE(CCE[[#This Row],[Capacity Segment - rename]]," - ",CCE[[#This Row],[Equipment model]]," (Pole Mount)")</f>
        <v>60-90L - HTC-112 (Pole Mount)</v>
      </c>
      <c r="B115" s="281" t="s">
        <v>3354</v>
      </c>
      <c r="C115" s="281" t="s">
        <v>3581</v>
      </c>
      <c r="D115" s="281" t="s">
        <v>3338</v>
      </c>
      <c r="E115" s="281" t="s">
        <v>3299</v>
      </c>
      <c r="F115" s="281" t="s">
        <v>3242</v>
      </c>
      <c r="G115" s="281">
        <v>75</v>
      </c>
      <c r="I115" s="242">
        <f>(92+46/60)/24</f>
        <v>3.8652777777777776</v>
      </c>
      <c r="J115" s="37">
        <v>2700</v>
      </c>
      <c r="K115" s="37">
        <f t="shared" si="23"/>
        <v>1250</v>
      </c>
      <c r="L115" s="37">
        <f t="shared" si="24"/>
        <v>4000</v>
      </c>
      <c r="M115" s="37">
        <f t="shared" si="25"/>
        <v>3950</v>
      </c>
      <c r="N115" s="37">
        <f t="shared" si="20"/>
        <v>6700</v>
      </c>
      <c r="O115" s="94">
        <v>650</v>
      </c>
      <c r="P115" s="94">
        <v>2150</v>
      </c>
      <c r="Q115" s="94">
        <v>1250</v>
      </c>
      <c r="R115" s="94">
        <v>4000</v>
      </c>
      <c r="S115" s="94">
        <f t="shared" si="28"/>
        <v>3350</v>
      </c>
      <c r="T115" s="94">
        <f t="shared" si="29"/>
        <v>4850</v>
      </c>
      <c r="U115" s="273"/>
      <c r="V115" s="94" t="s">
        <v>3703</v>
      </c>
    </row>
    <row r="116" spans="1:22" s="281" customFormat="1" x14ac:dyDescent="0.2">
      <c r="A116" s="299" t="str">
        <f>CONCATENATE(CCE[[#This Row],[Capacity Segment - rename]]," - ",CCE[[#This Row],[Equipment model]]," (Pole Mount)")</f>
        <v>60-90L - VC 88 SDD (Pole Mount)</v>
      </c>
      <c r="B116" s="281" t="s">
        <v>3355</v>
      </c>
      <c r="C116" s="281" t="s">
        <v>3581</v>
      </c>
      <c r="D116" s="281" t="s">
        <v>3338</v>
      </c>
      <c r="E116" s="281" t="s">
        <v>3299</v>
      </c>
      <c r="F116" s="281" t="s">
        <v>3318</v>
      </c>
      <c r="G116" s="281">
        <v>88</v>
      </c>
      <c r="I116" s="242">
        <v>3.2562500000000001</v>
      </c>
      <c r="J116" s="37">
        <v>4205</v>
      </c>
      <c r="K116" s="37">
        <f t="shared" si="23"/>
        <v>1250</v>
      </c>
      <c r="L116" s="37">
        <f t="shared" si="24"/>
        <v>4000</v>
      </c>
      <c r="M116" s="37">
        <f t="shared" si="25"/>
        <v>5455</v>
      </c>
      <c r="N116" s="37">
        <f t="shared" si="20"/>
        <v>8205</v>
      </c>
      <c r="O116" s="94">
        <v>650</v>
      </c>
      <c r="P116" s="94">
        <v>2150</v>
      </c>
      <c r="Q116" s="94">
        <v>1250</v>
      </c>
      <c r="R116" s="94">
        <v>4000</v>
      </c>
      <c r="S116" s="94">
        <f t="shared" si="28"/>
        <v>4855</v>
      </c>
      <c r="T116" s="94">
        <f t="shared" si="29"/>
        <v>6355</v>
      </c>
      <c r="U116" s="273"/>
      <c r="V116" s="94" t="s">
        <v>3703</v>
      </c>
    </row>
    <row r="117" spans="1:22" s="281" customFormat="1" x14ac:dyDescent="0.2">
      <c r="A117" s="299" t="str">
        <f>CONCATENATE(CCE[[#This Row],[Capacity Segment - rename]]," - ",CCE[[#This Row],[Equipment model]]," (Pole Mount)")</f>
        <v>60-90L - TCW 3043 SDD (Pole Mount)</v>
      </c>
      <c r="B117" s="281" t="s">
        <v>3356</v>
      </c>
      <c r="C117" s="281" t="s">
        <v>3581</v>
      </c>
      <c r="D117" s="281" t="s">
        <v>3338</v>
      </c>
      <c r="E117" s="281" t="s">
        <v>3299</v>
      </c>
      <c r="F117" s="281" t="s">
        <v>3293</v>
      </c>
      <c r="G117" s="281">
        <v>89</v>
      </c>
      <c r="I117" s="242">
        <v>4.8616666666666672</v>
      </c>
      <c r="J117" s="37">
        <v>7092.045454545455</v>
      </c>
      <c r="K117" s="37">
        <f t="shared" si="23"/>
        <v>1250</v>
      </c>
      <c r="L117" s="37">
        <f t="shared" si="24"/>
        <v>4000</v>
      </c>
      <c r="M117" s="37">
        <f t="shared" si="25"/>
        <v>8342.0454545454559</v>
      </c>
      <c r="N117" s="37">
        <f t="shared" si="20"/>
        <v>11092.045454545456</v>
      </c>
      <c r="O117" s="94">
        <v>650</v>
      </c>
      <c r="P117" s="94">
        <v>2150</v>
      </c>
      <c r="Q117" s="94">
        <v>1250</v>
      </c>
      <c r="R117" s="94">
        <v>4000</v>
      </c>
      <c r="S117" s="94">
        <f t="shared" si="28"/>
        <v>7742.045454545455</v>
      </c>
      <c r="T117" s="94">
        <f t="shared" si="29"/>
        <v>9242.0454545454559</v>
      </c>
      <c r="U117" s="273"/>
      <c r="V117" s="94" t="s">
        <v>3703</v>
      </c>
    </row>
    <row r="118" spans="1:22" s="281" customFormat="1" x14ac:dyDescent="0.2">
      <c r="A118" s="299" t="str">
        <f>CONCATENATE(CCE[[#This Row],[Capacity Segment - rename]]," - ",CCE[[#This Row],[Equipment model]]," (Pole Mount)")</f>
        <v>90-120L - VLS 094A SDD (Pole Mount)</v>
      </c>
      <c r="B118" s="281" t="s">
        <v>3357</v>
      </c>
      <c r="C118" s="281" t="s">
        <v>3581</v>
      </c>
      <c r="D118" s="281" t="s">
        <v>3338</v>
      </c>
      <c r="E118" s="281" t="s">
        <v>3306</v>
      </c>
      <c r="F118" s="281" t="s">
        <v>3300</v>
      </c>
      <c r="G118" s="281">
        <v>92</v>
      </c>
      <c r="I118" s="242">
        <v>3.0208333333333335</v>
      </c>
      <c r="J118" s="37">
        <v>3669.318181818182</v>
      </c>
      <c r="K118" s="37">
        <f t="shared" si="23"/>
        <v>1250</v>
      </c>
      <c r="L118" s="37">
        <f t="shared" si="24"/>
        <v>4000</v>
      </c>
      <c r="M118" s="37">
        <f t="shared" si="25"/>
        <v>4919.318181818182</v>
      </c>
      <c r="N118" s="37">
        <f t="shared" si="20"/>
        <v>7669.318181818182</v>
      </c>
      <c r="O118" s="94">
        <v>650</v>
      </c>
      <c r="P118" s="94">
        <v>2150</v>
      </c>
      <c r="Q118" s="94">
        <v>1250</v>
      </c>
      <c r="R118" s="94">
        <v>4000</v>
      </c>
      <c r="S118" s="94">
        <f t="shared" si="28"/>
        <v>4319.318181818182</v>
      </c>
      <c r="T118" s="94">
        <f t="shared" si="29"/>
        <v>5819.318181818182</v>
      </c>
      <c r="U118" s="273"/>
      <c r="V118" s="94" t="s">
        <v>3704</v>
      </c>
    </row>
    <row r="119" spans="1:22" s="281" customFormat="1" x14ac:dyDescent="0.2">
      <c r="A119" s="299" t="str">
        <f>CONCATENATE(CCE[[#This Row],[Capacity Segment - rename]]," - ",CCE[[#This Row],[Equipment model]]," (Pole Mount)")</f>
        <v>90-120L - GVR 100 DC (Pole Mount)</v>
      </c>
      <c r="B119" s="281" t="s">
        <v>3358</v>
      </c>
      <c r="C119" s="281" t="s">
        <v>3581</v>
      </c>
      <c r="D119" s="281" t="s">
        <v>3338</v>
      </c>
      <c r="E119" s="281" t="s">
        <v>3306</v>
      </c>
      <c r="F119" s="281" t="s">
        <v>3290</v>
      </c>
      <c r="G119" s="281">
        <v>99</v>
      </c>
      <c r="I119" s="242">
        <v>7.3312499999999998</v>
      </c>
      <c r="J119" s="37">
        <v>4750</v>
      </c>
      <c r="K119" s="37">
        <f t="shared" si="23"/>
        <v>1250</v>
      </c>
      <c r="L119" s="37">
        <f t="shared" si="24"/>
        <v>4000</v>
      </c>
      <c r="M119" s="37">
        <f t="shared" si="25"/>
        <v>6000</v>
      </c>
      <c r="N119" s="37">
        <f t="shared" si="20"/>
        <v>8750</v>
      </c>
      <c r="O119" s="94">
        <v>650</v>
      </c>
      <c r="P119" s="94">
        <v>2150</v>
      </c>
      <c r="Q119" s="94">
        <v>1250</v>
      </c>
      <c r="R119" s="94">
        <v>4000</v>
      </c>
      <c r="S119" s="94">
        <f t="shared" si="28"/>
        <v>5400</v>
      </c>
      <c r="T119" s="94">
        <f t="shared" si="29"/>
        <v>6900</v>
      </c>
      <c r="U119" s="273"/>
      <c r="V119" s="94" t="s">
        <v>3704</v>
      </c>
    </row>
    <row r="120" spans="1:22" s="281" customFormat="1" x14ac:dyDescent="0.2">
      <c r="A120" s="299" t="str">
        <f>CONCATENATE(CCE[[#This Row],[Capacity Segment - rename]]," - ",CCE[[#This Row],[Equipment model]]," (Pole Mount)")</f>
        <v>90-120L - ZLF 100 DC (Pole Mount)</v>
      </c>
      <c r="B120" s="281" t="s">
        <v>3359</v>
      </c>
      <c r="C120" s="281" t="s">
        <v>3581</v>
      </c>
      <c r="D120" s="281" t="s">
        <v>3338</v>
      </c>
      <c r="E120" s="281" t="s">
        <v>3306</v>
      </c>
      <c r="F120" s="281" t="s">
        <v>3288</v>
      </c>
      <c r="G120" s="281">
        <v>99</v>
      </c>
      <c r="I120" s="242">
        <v>7.0874999999999995</v>
      </c>
      <c r="J120" s="37">
        <v>4847</v>
      </c>
      <c r="K120" s="37">
        <f t="shared" si="23"/>
        <v>1250</v>
      </c>
      <c r="L120" s="37">
        <f t="shared" si="24"/>
        <v>4000</v>
      </c>
      <c r="M120" s="37">
        <f t="shared" si="25"/>
        <v>6097</v>
      </c>
      <c r="N120" s="37">
        <f t="shared" si="20"/>
        <v>8847</v>
      </c>
      <c r="O120" s="94">
        <v>650</v>
      </c>
      <c r="P120" s="94">
        <v>2150</v>
      </c>
      <c r="Q120" s="94">
        <v>1250</v>
      </c>
      <c r="R120" s="94">
        <v>4000</v>
      </c>
      <c r="S120" s="94">
        <f t="shared" si="28"/>
        <v>5497</v>
      </c>
      <c r="T120" s="94">
        <f t="shared" si="29"/>
        <v>6997</v>
      </c>
      <c r="U120" s="273"/>
      <c r="V120" s="94" t="s">
        <v>3704</v>
      </c>
    </row>
    <row r="121" spans="1:22" s="281" customFormat="1" x14ac:dyDescent="0.2">
      <c r="A121" s="299" t="str">
        <f>CONCATENATE(CCE[[#This Row],[Capacity Segment - rename]]," - ",CCE[[#This Row],[Equipment model]]," (Pole Mount)")</f>
        <v>90-120L - HTC-120 (Pole Mount)</v>
      </c>
      <c r="B121" s="281" t="s">
        <v>3360</v>
      </c>
      <c r="C121" s="281" t="s">
        <v>3581</v>
      </c>
      <c r="D121" s="281" t="s">
        <v>3338</v>
      </c>
      <c r="E121" s="281" t="s">
        <v>3306</v>
      </c>
      <c r="F121" s="281" t="s">
        <v>3242</v>
      </c>
      <c r="G121" s="281">
        <v>100</v>
      </c>
      <c r="I121" s="242">
        <f>((112+24/60))/24</f>
        <v>4.6833333333333336</v>
      </c>
      <c r="J121" s="37">
        <v>3620</v>
      </c>
      <c r="K121" s="37">
        <f t="shared" si="23"/>
        <v>1250</v>
      </c>
      <c r="L121" s="37">
        <f t="shared" si="24"/>
        <v>4000</v>
      </c>
      <c r="M121" s="37">
        <f t="shared" si="25"/>
        <v>4870</v>
      </c>
      <c r="N121" s="37">
        <f t="shared" si="20"/>
        <v>7620</v>
      </c>
      <c r="O121" s="94">
        <v>650</v>
      </c>
      <c r="P121" s="94">
        <v>2150</v>
      </c>
      <c r="Q121" s="94">
        <v>1250</v>
      </c>
      <c r="R121" s="94">
        <v>4000</v>
      </c>
      <c r="S121" s="94">
        <f t="shared" ref="S121:S127" si="30">J121+O121</f>
        <v>4270</v>
      </c>
      <c r="T121" s="94">
        <f t="shared" ref="T121:T127" si="31">J121+P121</f>
        <v>5770</v>
      </c>
      <c r="U121" s="273"/>
      <c r="V121" s="94" t="s">
        <v>3704</v>
      </c>
    </row>
    <row r="122" spans="1:22" s="281" customFormat="1" x14ac:dyDescent="0.2">
      <c r="A122" s="299" t="str">
        <f>CONCATENATE(CCE[[#This Row],[Capacity Segment - rename]]," - ",CCE[[#This Row],[Equipment model]]," (Pole Mount)")</f>
        <v>90-120L - VC 110 SDD (Pole Mount)</v>
      </c>
      <c r="B122" s="281" t="s">
        <v>3361</v>
      </c>
      <c r="C122" s="281" t="s">
        <v>3581</v>
      </c>
      <c r="D122" s="281" t="s">
        <v>3338</v>
      </c>
      <c r="E122" s="281" t="s">
        <v>3306</v>
      </c>
      <c r="F122" s="281" t="s">
        <v>3318</v>
      </c>
      <c r="G122" s="281">
        <v>110</v>
      </c>
      <c r="I122" s="242">
        <v>3.2562500000000001</v>
      </c>
      <c r="J122" s="37">
        <v>4204.545454545455</v>
      </c>
      <c r="K122" s="37">
        <f t="shared" si="23"/>
        <v>1250</v>
      </c>
      <c r="L122" s="37">
        <f t="shared" si="24"/>
        <v>4000</v>
      </c>
      <c r="M122" s="37">
        <f t="shared" si="25"/>
        <v>5454.545454545455</v>
      </c>
      <c r="N122" s="37">
        <f t="shared" si="20"/>
        <v>8204.5454545454559</v>
      </c>
      <c r="O122" s="94">
        <v>650</v>
      </c>
      <c r="P122" s="94">
        <v>2150</v>
      </c>
      <c r="Q122" s="94">
        <v>1250</v>
      </c>
      <c r="R122" s="94">
        <v>4000</v>
      </c>
      <c r="S122" s="94">
        <f t="shared" si="30"/>
        <v>4854.545454545455</v>
      </c>
      <c r="T122" s="94">
        <f t="shared" si="31"/>
        <v>6354.545454545455</v>
      </c>
      <c r="U122" s="273"/>
      <c r="V122" s="94" t="s">
        <v>3704</v>
      </c>
    </row>
    <row r="123" spans="1:22" s="281" customFormat="1" x14ac:dyDescent="0.2">
      <c r="A123" s="299" t="str">
        <f>CONCATENATE(CCE[[#This Row],[Capacity Segment - rename]]," - ",CCE[[#This Row],[Equipment model]]," (Pole Mount)")</f>
        <v>120L+ - ZLF 150DC (Pole Mount)</v>
      </c>
      <c r="B123" s="281" t="s">
        <v>3362</v>
      </c>
      <c r="C123" s="281" t="s">
        <v>3581</v>
      </c>
      <c r="D123" s="281" t="s">
        <v>3338</v>
      </c>
      <c r="E123" s="281" t="s">
        <v>3312</v>
      </c>
      <c r="F123" s="281" t="s">
        <v>3288</v>
      </c>
      <c r="G123" s="281">
        <v>128</v>
      </c>
      <c r="I123" s="242">
        <v>4.4958333333333336</v>
      </c>
      <c r="J123" s="37">
        <v>5330</v>
      </c>
      <c r="K123" s="37">
        <f t="shared" si="23"/>
        <v>1250</v>
      </c>
      <c r="L123" s="37">
        <f t="shared" si="24"/>
        <v>4000</v>
      </c>
      <c r="M123" s="37">
        <f t="shared" si="25"/>
        <v>6580</v>
      </c>
      <c r="N123" s="37">
        <f t="shared" si="20"/>
        <v>9330</v>
      </c>
      <c r="O123" s="94">
        <v>650</v>
      </c>
      <c r="P123" s="94">
        <v>2150</v>
      </c>
      <c r="Q123" s="94">
        <v>1250</v>
      </c>
      <c r="R123" s="94">
        <v>4000</v>
      </c>
      <c r="S123" s="94">
        <f t="shared" si="30"/>
        <v>5980</v>
      </c>
      <c r="T123" s="94">
        <f t="shared" si="31"/>
        <v>7480</v>
      </c>
      <c r="U123" s="273"/>
      <c r="V123" s="94" t="s">
        <v>3705</v>
      </c>
    </row>
    <row r="124" spans="1:22" s="281" customFormat="1" x14ac:dyDescent="0.2">
      <c r="A124" s="299" t="str">
        <f>CONCATENATE(CCE[[#This Row],[Capacity Segment - rename]]," - ",CCE[[#This Row],[Equipment model]]," (Pole Mount)")</f>
        <v>120L+ - VC 200 SDD (Pole Mount)</v>
      </c>
      <c r="B124" s="281" t="s">
        <v>3363</v>
      </c>
      <c r="C124" s="281" t="s">
        <v>3581</v>
      </c>
      <c r="D124" s="281" t="s">
        <v>3338</v>
      </c>
      <c r="E124" s="281" t="s">
        <v>3312</v>
      </c>
      <c r="F124" s="281" t="s">
        <v>3318</v>
      </c>
      <c r="G124" s="281">
        <v>132</v>
      </c>
      <c r="I124" s="242">
        <v>3.3118055555555554</v>
      </c>
      <c r="J124" s="37">
        <v>4431.818181818182</v>
      </c>
      <c r="K124" s="37">
        <f t="shared" si="23"/>
        <v>1250</v>
      </c>
      <c r="L124" s="37">
        <f t="shared" si="24"/>
        <v>4000</v>
      </c>
      <c r="M124" s="37">
        <f t="shared" si="25"/>
        <v>5681.818181818182</v>
      </c>
      <c r="N124" s="37">
        <f t="shared" si="20"/>
        <v>8431.818181818182</v>
      </c>
      <c r="O124" s="94">
        <v>650</v>
      </c>
      <c r="P124" s="94">
        <v>2150</v>
      </c>
      <c r="Q124" s="94">
        <v>1250</v>
      </c>
      <c r="R124" s="94">
        <v>4000</v>
      </c>
      <c r="S124" s="94">
        <f t="shared" si="30"/>
        <v>5081.818181818182</v>
      </c>
      <c r="T124" s="94">
        <f t="shared" si="31"/>
        <v>6581.818181818182</v>
      </c>
      <c r="U124" s="273"/>
      <c r="V124" s="94" t="s">
        <v>3705</v>
      </c>
    </row>
    <row r="125" spans="1:22" s="281" customFormat="1" x14ac:dyDescent="0.2">
      <c r="A125" s="299" t="str">
        <f>CONCATENATE(CCE[[#This Row],[Capacity Segment - rename]]," - ",CCE[[#This Row],[Equipment model]]," (Pole Mount)")</f>
        <v>120L+ - VLS 154A SDD (Pole Mount)</v>
      </c>
      <c r="B125" s="281" t="s">
        <v>3364</v>
      </c>
      <c r="C125" s="281" t="s">
        <v>3581</v>
      </c>
      <c r="D125" s="281" t="s">
        <v>3338</v>
      </c>
      <c r="E125" s="281" t="s">
        <v>3312</v>
      </c>
      <c r="F125" s="281" t="s">
        <v>3300</v>
      </c>
      <c r="G125" s="281">
        <v>170</v>
      </c>
      <c r="I125" s="242">
        <v>3.0583333333333336</v>
      </c>
      <c r="J125" s="37">
        <v>4702.272727272727</v>
      </c>
      <c r="K125" s="37">
        <f t="shared" si="23"/>
        <v>1250</v>
      </c>
      <c r="L125" s="37">
        <f t="shared" si="24"/>
        <v>4000</v>
      </c>
      <c r="M125" s="37">
        <f t="shared" si="25"/>
        <v>5952.272727272727</v>
      </c>
      <c r="N125" s="37">
        <f t="shared" si="20"/>
        <v>8702.2727272727279</v>
      </c>
      <c r="O125" s="94">
        <v>650</v>
      </c>
      <c r="P125" s="94">
        <v>2150</v>
      </c>
      <c r="Q125" s="94">
        <v>1250</v>
      </c>
      <c r="R125" s="94">
        <v>4000</v>
      </c>
      <c r="S125" s="94">
        <f t="shared" si="30"/>
        <v>5352.272727272727</v>
      </c>
      <c r="T125" s="94">
        <f t="shared" si="31"/>
        <v>6852.272727272727</v>
      </c>
      <c r="U125" s="273"/>
      <c r="V125" s="94" t="s">
        <v>3705</v>
      </c>
    </row>
    <row r="126" spans="1:22" s="281" customFormat="1" x14ac:dyDescent="0.2">
      <c r="A126" s="299" t="str">
        <f>CONCATENATE(CCE[[#This Row],[Capacity Segment - rename]]," - ",CCE[[#This Row],[Equipment model]]," (Pole Mount)")</f>
        <v>120L+ - HTC-240 (Pole Mount)</v>
      </c>
      <c r="B126" s="281" t="s">
        <v>3365</v>
      </c>
      <c r="C126" s="281" t="s">
        <v>3581</v>
      </c>
      <c r="D126" s="281" t="s">
        <v>3338</v>
      </c>
      <c r="E126" s="281" t="s">
        <v>3312</v>
      </c>
      <c r="F126" s="281" t="s">
        <v>3242</v>
      </c>
      <c r="G126" s="281">
        <v>200</v>
      </c>
      <c r="I126" s="242">
        <f>(93+(23/60))/24</f>
        <v>3.8909722222222225</v>
      </c>
      <c r="J126" s="37">
        <v>4150</v>
      </c>
      <c r="K126" s="37">
        <f t="shared" si="23"/>
        <v>1250</v>
      </c>
      <c r="L126" s="37">
        <f t="shared" si="24"/>
        <v>4000</v>
      </c>
      <c r="M126" s="37">
        <f t="shared" si="25"/>
        <v>5400</v>
      </c>
      <c r="N126" s="37">
        <f t="shared" si="20"/>
        <v>8150</v>
      </c>
      <c r="O126" s="94">
        <v>650</v>
      </c>
      <c r="P126" s="94">
        <v>2150</v>
      </c>
      <c r="Q126" s="94">
        <v>1250</v>
      </c>
      <c r="R126" s="94">
        <v>4000</v>
      </c>
      <c r="S126" s="94">
        <f t="shared" si="30"/>
        <v>4800</v>
      </c>
      <c r="T126" s="94">
        <f t="shared" si="31"/>
        <v>6300</v>
      </c>
      <c r="U126" s="273"/>
      <c r="V126" s="94" t="s">
        <v>3705</v>
      </c>
    </row>
    <row r="127" spans="1:22" s="281" customFormat="1" x14ac:dyDescent="0.2">
      <c r="A127" s="299" t="str">
        <f>CONCATENATE(CCE[[#This Row],[Capacity Segment - rename]]," - ",CCE[[#This Row],[Equipment model]]," (Pole Mount)")</f>
        <v>120L+ - TCW 4000 SDD (Pole Mount)</v>
      </c>
      <c r="B127" s="281" t="s">
        <v>3366</v>
      </c>
      <c r="C127" s="281" t="s">
        <v>3581</v>
      </c>
      <c r="D127" s="281" t="s">
        <v>3338</v>
      </c>
      <c r="E127" s="281" t="s">
        <v>3312</v>
      </c>
      <c r="F127" s="281" t="s">
        <v>3293</v>
      </c>
      <c r="G127" s="281">
        <v>220</v>
      </c>
      <c r="I127" s="242">
        <f>(91+16/60)/24</f>
        <v>3.8027777777777776</v>
      </c>
      <c r="J127" s="37">
        <v>7775</v>
      </c>
      <c r="K127" s="37">
        <f t="shared" si="23"/>
        <v>1250</v>
      </c>
      <c r="L127" s="37">
        <f t="shared" si="24"/>
        <v>4000</v>
      </c>
      <c r="M127" s="37">
        <f t="shared" si="25"/>
        <v>9025</v>
      </c>
      <c r="N127" s="37">
        <f t="shared" si="20"/>
        <v>11775</v>
      </c>
      <c r="O127" s="94">
        <v>650</v>
      </c>
      <c r="P127" s="94">
        <v>2150</v>
      </c>
      <c r="Q127" s="94">
        <v>1250</v>
      </c>
      <c r="R127" s="94">
        <v>4000</v>
      </c>
      <c r="S127" s="94">
        <f t="shared" si="30"/>
        <v>8425</v>
      </c>
      <c r="T127" s="94">
        <f t="shared" si="31"/>
        <v>9925</v>
      </c>
      <c r="U127" s="273"/>
      <c r="V127" s="94" t="s">
        <v>3705</v>
      </c>
    </row>
    <row r="128" spans="1:22" x14ac:dyDescent="0.2">
      <c r="A128" s="299" t="str">
        <f>CONCATENATE(CCE[[#This Row],[Capacity Segment - rename]]," - ",CCE[[#This Row],[Equipment model]]," (Ground Mount)")</f>
        <v>0-30L - TCW 15 SDD (Ground Mount)</v>
      </c>
      <c r="B128" s="281" t="s">
        <v>3368</v>
      </c>
      <c r="C128" t="s">
        <v>3579</v>
      </c>
      <c r="D128" s="281" t="s">
        <v>3367</v>
      </c>
      <c r="E128" s="281" t="s">
        <v>3287</v>
      </c>
      <c r="F128" s="281" t="s">
        <v>3293</v>
      </c>
      <c r="G128" s="281">
        <v>16</v>
      </c>
      <c r="H128" s="281">
        <v>2.4</v>
      </c>
      <c r="I128" s="242">
        <v>3.5</v>
      </c>
      <c r="J128" s="37">
        <v>4944.318181818182</v>
      </c>
      <c r="K128" s="37">
        <f t="shared" si="17"/>
        <v>650</v>
      </c>
      <c r="L128" s="37">
        <f t="shared" si="18"/>
        <v>2150</v>
      </c>
      <c r="M128" s="37">
        <f t="shared" si="19"/>
        <v>5594.318181818182</v>
      </c>
      <c r="N128" s="37">
        <f t="shared" si="20"/>
        <v>7094.318181818182</v>
      </c>
      <c r="O128" s="94">
        <v>650</v>
      </c>
      <c r="P128" s="94">
        <v>2150</v>
      </c>
      <c r="Q128" s="94">
        <v>1250</v>
      </c>
      <c r="R128" s="94">
        <v>4000</v>
      </c>
      <c r="S128" s="94">
        <f t="shared" si="21"/>
        <v>5594.318181818182</v>
      </c>
      <c r="T128" s="94">
        <f t="shared" si="22"/>
        <v>7094.318181818182</v>
      </c>
      <c r="V128" s="94" t="s">
        <v>3701</v>
      </c>
    </row>
    <row r="129" spans="1:22" x14ac:dyDescent="0.2">
      <c r="A129" s="299" t="str">
        <f>CONCATENATE(CCE[[#This Row],[Capacity Segment - rename]]," - ",CCE[[#This Row],[Equipment model]]," (Ground Mount)")</f>
        <v>30-60L - TCW 40 SDD (Ground Mount)</v>
      </c>
      <c r="B129" s="281" t="s">
        <v>3369</v>
      </c>
      <c r="C129" s="281" t="s">
        <v>3579</v>
      </c>
      <c r="D129" s="281" t="s">
        <v>3367</v>
      </c>
      <c r="E129" s="281" t="s">
        <v>3292</v>
      </c>
      <c r="F129" s="281" t="s">
        <v>3293</v>
      </c>
      <c r="G129" s="281">
        <v>36</v>
      </c>
      <c r="H129" s="281">
        <v>4.8</v>
      </c>
      <c r="I129" s="242">
        <v>3.4125000000000001</v>
      </c>
      <c r="J129" s="37">
        <v>6118.181818181818</v>
      </c>
      <c r="K129" s="37">
        <f t="shared" si="17"/>
        <v>650</v>
      </c>
      <c r="L129" s="37">
        <f t="shared" si="18"/>
        <v>2150</v>
      </c>
      <c r="M129" s="37">
        <f t="shared" si="19"/>
        <v>6768.181818181818</v>
      </c>
      <c r="N129" s="37">
        <f t="shared" si="20"/>
        <v>8268.181818181818</v>
      </c>
      <c r="O129" s="94">
        <v>650</v>
      </c>
      <c r="P129" s="94">
        <v>2150</v>
      </c>
      <c r="Q129" s="94">
        <v>1250</v>
      </c>
      <c r="R129" s="94">
        <v>4000</v>
      </c>
      <c r="S129" s="94">
        <f>J129+O129</f>
        <v>6768.181818181818</v>
      </c>
      <c r="T129" s="94">
        <f>J129+P129</f>
        <v>8268.181818181818</v>
      </c>
      <c r="V129" s="94" t="s">
        <v>3702</v>
      </c>
    </row>
    <row r="130" spans="1:22" x14ac:dyDescent="0.2">
      <c r="A130" s="299" t="str">
        <f>CONCATENATE(CCE[[#This Row],[Capacity Segment - rename]]," - ",CCE[[#This Row],[Equipment model]]," (Ground Mount)")</f>
        <v>30-60L - VLS 026 RF SDD (Ground Mount)</v>
      </c>
      <c r="B130" s="281" t="s">
        <v>3370</v>
      </c>
      <c r="C130" s="281" t="s">
        <v>3579</v>
      </c>
      <c r="D130" s="281" t="s">
        <v>3367</v>
      </c>
      <c r="E130" s="281" t="s">
        <v>3292</v>
      </c>
      <c r="F130" s="281" t="s">
        <v>3300</v>
      </c>
      <c r="G130" s="281">
        <v>20</v>
      </c>
      <c r="H130" s="281">
        <v>34.299999999999997</v>
      </c>
      <c r="I130" s="242">
        <v>3.0508333333333333</v>
      </c>
      <c r="J130" s="37">
        <v>5142.045454545455</v>
      </c>
      <c r="K130" s="37">
        <f t="shared" si="17"/>
        <v>650</v>
      </c>
      <c r="L130" s="37">
        <f t="shared" si="18"/>
        <v>2150</v>
      </c>
      <c r="M130" s="37">
        <f t="shared" si="19"/>
        <v>5792.045454545455</v>
      </c>
      <c r="N130" s="37">
        <f t="shared" si="20"/>
        <v>7292.045454545455</v>
      </c>
      <c r="O130" s="94">
        <v>650</v>
      </c>
      <c r="P130" s="94">
        <v>2150</v>
      </c>
      <c r="Q130" s="94">
        <v>1250</v>
      </c>
      <c r="R130" s="94">
        <v>4000</v>
      </c>
      <c r="S130" s="94">
        <v>5746.0000000000009</v>
      </c>
      <c r="T130" s="94">
        <v>7246.0000000000009</v>
      </c>
      <c r="V130" s="94" t="s">
        <v>3702</v>
      </c>
    </row>
    <row r="131" spans="1:22" x14ac:dyDescent="0.2">
      <c r="A131" s="299" t="str">
        <f>CONCATENATE(CCE[[#This Row],[Capacity Segment - rename]]," - ",CCE[[#This Row],[Equipment model]]," (Ground Mount)")</f>
        <v>30-60L - HTCD 90 SDD (Ground Mount)</v>
      </c>
      <c r="B131" s="281" t="s">
        <v>3371</v>
      </c>
      <c r="C131" s="281" t="s">
        <v>3579</v>
      </c>
      <c r="D131" s="281" t="s">
        <v>3367</v>
      </c>
      <c r="E131" s="281" t="s">
        <v>3292</v>
      </c>
      <c r="F131" s="281" t="s">
        <v>3242</v>
      </c>
      <c r="G131" s="281">
        <v>37.5</v>
      </c>
      <c r="H131" s="281">
        <v>32</v>
      </c>
      <c r="I131" s="242">
        <v>4.7875000000000005</v>
      </c>
      <c r="J131" s="37">
        <v>3950</v>
      </c>
      <c r="K131" s="37">
        <f t="shared" si="17"/>
        <v>650</v>
      </c>
      <c r="L131" s="37">
        <f t="shared" si="18"/>
        <v>2150</v>
      </c>
      <c r="M131" s="37">
        <f t="shared" si="19"/>
        <v>4600</v>
      </c>
      <c r="N131" s="37">
        <f t="shared" si="20"/>
        <v>6100</v>
      </c>
      <c r="O131" s="94">
        <v>650</v>
      </c>
      <c r="P131" s="94">
        <v>2150</v>
      </c>
      <c r="Q131" s="94">
        <v>1250</v>
      </c>
      <c r="R131" s="94">
        <v>4000</v>
      </c>
      <c r="S131" s="94">
        <f>J131+O131</f>
        <v>4600</v>
      </c>
      <c r="T131" s="94">
        <f>J131+P131</f>
        <v>6100</v>
      </c>
      <c r="V131" s="94" t="s">
        <v>3702</v>
      </c>
    </row>
    <row r="132" spans="1:22" x14ac:dyDescent="0.2">
      <c r="A132" s="299" t="str">
        <f>CONCATENATE(CCE[[#This Row],[Capacity Segment - rename]]," - ",CCE[[#This Row],[Equipment model]]," (Ground Mount)")</f>
        <v>30-60L - VLS 056 RF SDD (Ground Mount)</v>
      </c>
      <c r="B132" s="281" t="s">
        <v>3372</v>
      </c>
      <c r="C132" s="281" t="s">
        <v>3579</v>
      </c>
      <c r="D132" s="281" t="s">
        <v>3367</v>
      </c>
      <c r="E132" s="281" t="s">
        <v>3292</v>
      </c>
      <c r="F132" s="281" t="s">
        <v>3300</v>
      </c>
      <c r="G132" s="281">
        <v>36</v>
      </c>
      <c r="H132" s="281">
        <v>34.299999999999997</v>
      </c>
      <c r="I132" s="242">
        <v>3</v>
      </c>
      <c r="J132" s="37">
        <v>5465.909090909091</v>
      </c>
      <c r="K132" s="37">
        <f t="shared" si="17"/>
        <v>650</v>
      </c>
      <c r="L132" s="37">
        <f t="shared" si="18"/>
        <v>2150</v>
      </c>
      <c r="M132" s="37">
        <f t="shared" si="19"/>
        <v>6115.909090909091</v>
      </c>
      <c r="N132" s="37">
        <f t="shared" si="20"/>
        <v>7615.909090909091</v>
      </c>
      <c r="O132" s="94">
        <v>650</v>
      </c>
      <c r="P132" s="94">
        <v>2150</v>
      </c>
      <c r="Q132" s="94">
        <v>1250</v>
      </c>
      <c r="R132" s="94">
        <v>4000</v>
      </c>
      <c r="S132" s="94">
        <v>6065.2000000000007</v>
      </c>
      <c r="T132" s="94">
        <v>7565.2000000000007</v>
      </c>
      <c r="V132" s="94" t="s">
        <v>3702</v>
      </c>
    </row>
    <row r="133" spans="1:22" x14ac:dyDescent="0.2">
      <c r="A133" s="299" t="str">
        <f>CONCATENATE(CCE[[#This Row],[Capacity Segment - rename]]," - ",CCE[[#This Row],[Equipment model]]," (Ground Mount)")</f>
        <v>30-60L - VC 60 SDD (Ground Mount)</v>
      </c>
      <c r="B133" s="281" t="s">
        <v>3373</v>
      </c>
      <c r="C133" s="281" t="s">
        <v>3579</v>
      </c>
      <c r="D133" s="281" t="s">
        <v>3367</v>
      </c>
      <c r="E133" s="281" t="s">
        <v>3292</v>
      </c>
      <c r="F133" s="281" t="s">
        <v>3318</v>
      </c>
      <c r="G133" s="281">
        <v>57</v>
      </c>
      <c r="H133" s="281">
        <v>24</v>
      </c>
      <c r="I133" s="242">
        <v>3.4583333333333335</v>
      </c>
      <c r="J133" s="37">
        <v>5284.090909090909</v>
      </c>
      <c r="K133" s="37">
        <f t="shared" si="17"/>
        <v>650</v>
      </c>
      <c r="L133" s="37">
        <f t="shared" si="18"/>
        <v>2150</v>
      </c>
      <c r="M133" s="37">
        <f t="shared" si="19"/>
        <v>5934.090909090909</v>
      </c>
      <c r="N133" s="37">
        <f t="shared" si="20"/>
        <v>7434.090909090909</v>
      </c>
      <c r="O133" s="94">
        <v>650</v>
      </c>
      <c r="P133" s="94">
        <v>2150</v>
      </c>
      <c r="Q133" s="94">
        <v>1250</v>
      </c>
      <c r="R133" s="94">
        <v>4000</v>
      </c>
      <c r="S133" s="94">
        <f>J133+O133</f>
        <v>5934.090909090909</v>
      </c>
      <c r="T133" s="94">
        <f>J133+P133</f>
        <v>7434.090909090909</v>
      </c>
      <c r="V133" s="94" t="s">
        <v>3702</v>
      </c>
    </row>
    <row r="134" spans="1:22" x14ac:dyDescent="0.2">
      <c r="A134" s="299" t="str">
        <f>CONCATENATE(CCE[[#This Row],[Capacity Segment - rename]]," - ",CCE[[#This Row],[Equipment model]]," (Ground Mount)")</f>
        <v>30-60L - GVR 55 FF DC (Ground Mount)</v>
      </c>
      <c r="B134" s="281" t="s">
        <v>3374</v>
      </c>
      <c r="C134" s="281" t="s">
        <v>3579</v>
      </c>
      <c r="D134" s="281" t="s">
        <v>3367</v>
      </c>
      <c r="E134" s="281" t="s">
        <v>3292</v>
      </c>
      <c r="F134" s="281" t="s">
        <v>3290</v>
      </c>
      <c r="G134" s="281">
        <v>58</v>
      </c>
      <c r="H134" s="281">
        <v>44</v>
      </c>
      <c r="I134" s="242">
        <f>283.5/24</f>
        <v>11.8125</v>
      </c>
      <c r="J134" s="37">
        <v>5500</v>
      </c>
      <c r="K134" s="37">
        <f t="shared" si="17"/>
        <v>650</v>
      </c>
      <c r="L134" s="37">
        <f t="shared" si="18"/>
        <v>2150</v>
      </c>
      <c r="M134" s="37">
        <f t="shared" si="19"/>
        <v>6150</v>
      </c>
      <c r="N134" s="37">
        <f t="shared" si="20"/>
        <v>7650</v>
      </c>
      <c r="O134" s="94">
        <v>650</v>
      </c>
      <c r="P134" s="94">
        <v>2150</v>
      </c>
      <c r="Q134" s="94">
        <v>1250</v>
      </c>
      <c r="R134" s="94">
        <v>4000</v>
      </c>
      <c r="S134" s="94">
        <v>5746.0000000000009</v>
      </c>
      <c r="T134" s="94">
        <v>7246.0000000000009</v>
      </c>
      <c r="V134" s="94" t="s">
        <v>3702</v>
      </c>
    </row>
    <row r="135" spans="1:22" x14ac:dyDescent="0.2">
      <c r="A135" s="299" t="str">
        <f>CONCATENATE(CCE[[#This Row],[Capacity Segment - rename]]," - ",CCE[[#This Row],[Equipment model]]," (Ground Mount)")</f>
        <v>60-90L - TCW 2043 SDD (Ground Mount)</v>
      </c>
      <c r="B135" s="281" t="s">
        <v>3375</v>
      </c>
      <c r="C135" s="281" t="s">
        <v>3579</v>
      </c>
      <c r="D135" s="281" t="s">
        <v>3367</v>
      </c>
      <c r="E135" s="281" t="s">
        <v>3299</v>
      </c>
      <c r="F135" s="281" t="s">
        <v>3293</v>
      </c>
      <c r="G135" s="281">
        <v>70</v>
      </c>
      <c r="H135" s="281">
        <v>42</v>
      </c>
      <c r="I135" s="242">
        <v>3.0791666666666671</v>
      </c>
      <c r="J135" s="37">
        <v>10298.863636363636</v>
      </c>
      <c r="K135" s="37">
        <f t="shared" si="17"/>
        <v>650</v>
      </c>
      <c r="L135" s="37">
        <f t="shared" si="18"/>
        <v>2150</v>
      </c>
      <c r="M135" s="37">
        <f t="shared" si="19"/>
        <v>10948.863636363636</v>
      </c>
      <c r="N135" s="37">
        <f t="shared" si="20"/>
        <v>12448.863636363636</v>
      </c>
      <c r="O135" s="94">
        <v>650</v>
      </c>
      <c r="P135" s="94">
        <v>2150</v>
      </c>
      <c r="Q135" s="94">
        <v>1250</v>
      </c>
      <c r="R135" s="94">
        <v>4000</v>
      </c>
      <c r="S135" s="94">
        <f t="shared" ref="S135:S172" si="32">J135+O135</f>
        <v>10948.863636363636</v>
      </c>
      <c r="T135" s="94">
        <f t="shared" ref="T135:T172" si="33">J135+P135</f>
        <v>12448.863636363636</v>
      </c>
      <c r="V135" s="94" t="s">
        <v>3703</v>
      </c>
    </row>
    <row r="136" spans="1:22" x14ac:dyDescent="0.2">
      <c r="A136" s="299" t="str">
        <f>CONCATENATE(CCE[[#This Row],[Capacity Segment - rename]]," - ",CCE[[#This Row],[Equipment model]]," (Ground Mount)")</f>
        <v>90-120L - HTCD 160 SDD (Ground Mount)</v>
      </c>
      <c r="B136" s="281" t="s">
        <v>3376</v>
      </c>
      <c r="C136" s="281" t="s">
        <v>3579</v>
      </c>
      <c r="D136" s="281" t="s">
        <v>3367</v>
      </c>
      <c r="E136" s="281" t="s">
        <v>3306</v>
      </c>
      <c r="F136" s="281" t="s">
        <v>3242</v>
      </c>
      <c r="G136" s="281">
        <v>100</v>
      </c>
      <c r="H136" s="281">
        <v>40</v>
      </c>
      <c r="I136" s="242">
        <v>5.0604166666666668</v>
      </c>
      <c r="J136" s="37">
        <v>5750</v>
      </c>
      <c r="K136" s="37">
        <f t="shared" si="17"/>
        <v>650</v>
      </c>
      <c r="L136" s="37">
        <f t="shared" si="18"/>
        <v>2150</v>
      </c>
      <c r="M136" s="37">
        <f t="shared" si="19"/>
        <v>6400</v>
      </c>
      <c r="N136" s="37">
        <f t="shared" si="20"/>
        <v>7900</v>
      </c>
      <c r="O136" s="94">
        <v>650</v>
      </c>
      <c r="P136" s="94">
        <v>2150</v>
      </c>
      <c r="Q136" s="94">
        <v>1250</v>
      </c>
      <c r="R136" s="94">
        <v>4000</v>
      </c>
      <c r="S136" s="94">
        <f t="shared" si="32"/>
        <v>6400</v>
      </c>
      <c r="T136" s="94">
        <f t="shared" si="33"/>
        <v>7900</v>
      </c>
      <c r="V136" s="94" t="s">
        <v>3704</v>
      </c>
    </row>
    <row r="137" spans="1:22" x14ac:dyDescent="0.2">
      <c r="A137" s="299" t="str">
        <f>CONCATENATE(CCE[[#This Row],[Capacity Segment - rename]]," - ",CCE[[#This Row],[Equipment model]]," (Ground Mount)")</f>
        <v>90-120L - VC 150 SDD (Ground Mount)</v>
      </c>
      <c r="B137" s="281" t="s">
        <v>3377</v>
      </c>
      <c r="C137" s="281" t="s">
        <v>3579</v>
      </c>
      <c r="D137" s="281" t="s">
        <v>3367</v>
      </c>
      <c r="E137" s="281" t="s">
        <v>3306</v>
      </c>
      <c r="F137" s="281" t="s">
        <v>3318</v>
      </c>
      <c r="G137" s="281">
        <v>102</v>
      </c>
      <c r="H137" s="281">
        <v>42.9</v>
      </c>
      <c r="I137" s="242">
        <v>3.2495833333333333</v>
      </c>
      <c r="J137" s="37">
        <v>6250</v>
      </c>
      <c r="K137" s="37">
        <f t="shared" si="17"/>
        <v>650</v>
      </c>
      <c r="L137" s="37">
        <f t="shared" si="18"/>
        <v>2150</v>
      </c>
      <c r="M137" s="37">
        <f t="shared" si="19"/>
        <v>6900</v>
      </c>
      <c r="N137" s="37">
        <f t="shared" si="20"/>
        <v>8400</v>
      </c>
      <c r="O137" s="94">
        <v>650</v>
      </c>
      <c r="P137" s="94">
        <v>2150</v>
      </c>
      <c r="Q137" s="94">
        <v>1250</v>
      </c>
      <c r="R137" s="94">
        <v>4000</v>
      </c>
      <c r="S137" s="94">
        <f t="shared" si="32"/>
        <v>6900</v>
      </c>
      <c r="T137" s="94">
        <f t="shared" si="33"/>
        <v>8400</v>
      </c>
      <c r="V137" s="94" t="s">
        <v>3704</v>
      </c>
    </row>
    <row r="138" spans="1:22" s="281" customFormat="1" x14ac:dyDescent="0.2">
      <c r="A138" s="299" t="str">
        <f>CONCATENATE(CCE[[#This Row],[Capacity Segment - rename]]," - ",CCE[[#This Row],[Equipment model]]," (Pole Mount)")</f>
        <v>0-30L - TCW 15 SDD (Pole Mount)</v>
      </c>
      <c r="B138" s="281" t="s">
        <v>3368</v>
      </c>
      <c r="C138" s="281" t="s">
        <v>3579</v>
      </c>
      <c r="D138" s="281" t="s">
        <v>3367</v>
      </c>
      <c r="E138" s="281" t="s">
        <v>3287</v>
      </c>
      <c r="F138" s="281" t="s">
        <v>3293</v>
      </c>
      <c r="G138" s="281">
        <v>16</v>
      </c>
      <c r="H138" s="281">
        <v>2.4</v>
      </c>
      <c r="I138" s="242">
        <v>3.5</v>
      </c>
      <c r="J138" s="37">
        <v>4944.318181818182</v>
      </c>
      <c r="K138" s="37">
        <f t="shared" ref="K138:K147" si="34">Q138</f>
        <v>1250</v>
      </c>
      <c r="L138" s="37">
        <f t="shared" ref="L138:L147" si="35">R138</f>
        <v>4000</v>
      </c>
      <c r="M138" s="37">
        <f t="shared" ref="M138:M147" si="36">$J138+K138</f>
        <v>6194.318181818182</v>
      </c>
      <c r="N138" s="37">
        <f t="shared" si="20"/>
        <v>8944.318181818182</v>
      </c>
      <c r="O138" s="94">
        <v>650</v>
      </c>
      <c r="P138" s="94">
        <v>2150</v>
      </c>
      <c r="Q138" s="94">
        <v>1250</v>
      </c>
      <c r="R138" s="94">
        <v>4000</v>
      </c>
      <c r="S138" s="94">
        <f t="shared" ref="S138" si="37">J138+O138</f>
        <v>5594.318181818182</v>
      </c>
      <c r="T138" s="94">
        <f t="shared" ref="T138" si="38">J138+P138</f>
        <v>7094.318181818182</v>
      </c>
      <c r="U138" s="273"/>
      <c r="V138" s="94" t="s">
        <v>3701</v>
      </c>
    </row>
    <row r="139" spans="1:22" s="281" customFormat="1" x14ac:dyDescent="0.2">
      <c r="A139" s="299" t="str">
        <f>CONCATENATE(CCE[[#This Row],[Capacity Segment - rename]]," - ",CCE[[#This Row],[Equipment model]]," (Pole Mount)")</f>
        <v>30-60L - TCW 40 SDD (Pole Mount)</v>
      </c>
      <c r="B139" s="281" t="s">
        <v>3369</v>
      </c>
      <c r="C139" s="281" t="s">
        <v>3579</v>
      </c>
      <c r="D139" s="281" t="s">
        <v>3367</v>
      </c>
      <c r="E139" s="281" t="s">
        <v>3292</v>
      </c>
      <c r="F139" s="281" t="s">
        <v>3293</v>
      </c>
      <c r="G139" s="281">
        <v>36</v>
      </c>
      <c r="H139" s="281">
        <v>4.8</v>
      </c>
      <c r="I139" s="242">
        <v>3.4125000000000001</v>
      </c>
      <c r="J139" s="37">
        <v>6118.181818181818</v>
      </c>
      <c r="K139" s="37">
        <f t="shared" si="34"/>
        <v>1250</v>
      </c>
      <c r="L139" s="37">
        <f t="shared" si="35"/>
        <v>4000</v>
      </c>
      <c r="M139" s="37">
        <f t="shared" si="36"/>
        <v>7368.181818181818</v>
      </c>
      <c r="N139" s="37">
        <f t="shared" si="20"/>
        <v>10118.181818181818</v>
      </c>
      <c r="O139" s="94">
        <v>650</v>
      </c>
      <c r="P139" s="94">
        <v>2150</v>
      </c>
      <c r="Q139" s="94">
        <v>1250</v>
      </c>
      <c r="R139" s="94">
        <v>4000</v>
      </c>
      <c r="S139" s="94">
        <f>J139+O139</f>
        <v>6768.181818181818</v>
      </c>
      <c r="T139" s="94">
        <f>J139+P139</f>
        <v>8268.181818181818</v>
      </c>
      <c r="U139" s="273"/>
      <c r="V139" s="94" t="s">
        <v>3702</v>
      </c>
    </row>
    <row r="140" spans="1:22" s="281" customFormat="1" x14ac:dyDescent="0.2">
      <c r="A140" s="299" t="str">
        <f>CONCATENATE(CCE[[#This Row],[Capacity Segment - rename]]," - ",CCE[[#This Row],[Equipment model]]," (Pole Mount)")</f>
        <v>30-60L - VLS 026 RF SDD (Pole Mount)</v>
      </c>
      <c r="B140" s="281" t="s">
        <v>3370</v>
      </c>
      <c r="C140" s="281" t="s">
        <v>3579</v>
      </c>
      <c r="D140" s="281" t="s">
        <v>3367</v>
      </c>
      <c r="E140" s="281" t="s">
        <v>3292</v>
      </c>
      <c r="F140" s="281" t="s">
        <v>3300</v>
      </c>
      <c r="G140" s="281">
        <v>20</v>
      </c>
      <c r="H140" s="281">
        <v>34.299999999999997</v>
      </c>
      <c r="I140" s="242">
        <v>3.0508333333333333</v>
      </c>
      <c r="J140" s="37">
        <v>5142.045454545455</v>
      </c>
      <c r="K140" s="37">
        <f t="shared" si="34"/>
        <v>1250</v>
      </c>
      <c r="L140" s="37">
        <f t="shared" si="35"/>
        <v>4000</v>
      </c>
      <c r="M140" s="37">
        <f t="shared" si="36"/>
        <v>6392.045454545455</v>
      </c>
      <c r="N140" s="37">
        <f t="shared" si="20"/>
        <v>9142.0454545454559</v>
      </c>
      <c r="O140" s="94">
        <v>650</v>
      </c>
      <c r="P140" s="94">
        <v>2150</v>
      </c>
      <c r="Q140" s="94">
        <v>1250</v>
      </c>
      <c r="R140" s="94">
        <v>4000</v>
      </c>
      <c r="S140" s="94">
        <v>5746.0000000000009</v>
      </c>
      <c r="T140" s="94">
        <v>7246.0000000000009</v>
      </c>
      <c r="U140" s="273"/>
      <c r="V140" s="94" t="s">
        <v>3702</v>
      </c>
    </row>
    <row r="141" spans="1:22" s="281" customFormat="1" x14ac:dyDescent="0.2">
      <c r="A141" s="299" t="str">
        <f>CONCATENATE(CCE[[#This Row],[Capacity Segment - rename]]," - ",CCE[[#This Row],[Equipment model]]," (Pole Mount)")</f>
        <v>30-60L - HTCD 90 SDD (Pole Mount)</v>
      </c>
      <c r="B141" s="281" t="s">
        <v>3371</v>
      </c>
      <c r="C141" s="281" t="s">
        <v>3579</v>
      </c>
      <c r="D141" s="281" t="s">
        <v>3367</v>
      </c>
      <c r="E141" s="281" t="s">
        <v>3292</v>
      </c>
      <c r="F141" s="281" t="s">
        <v>3242</v>
      </c>
      <c r="G141" s="281">
        <v>37.5</v>
      </c>
      <c r="H141" s="281">
        <v>32</v>
      </c>
      <c r="I141" s="242">
        <v>4.7875000000000005</v>
      </c>
      <c r="J141" s="37">
        <v>3950</v>
      </c>
      <c r="K141" s="37">
        <f t="shared" si="34"/>
        <v>1250</v>
      </c>
      <c r="L141" s="37">
        <f t="shared" si="35"/>
        <v>4000</v>
      </c>
      <c r="M141" s="37">
        <f t="shared" si="36"/>
        <v>5200</v>
      </c>
      <c r="N141" s="37">
        <f t="shared" si="20"/>
        <v>7950</v>
      </c>
      <c r="O141" s="94">
        <v>650</v>
      </c>
      <c r="P141" s="94">
        <v>2150</v>
      </c>
      <c r="Q141" s="94">
        <v>1250</v>
      </c>
      <c r="R141" s="94">
        <v>4000</v>
      </c>
      <c r="S141" s="94">
        <f>J141+O141</f>
        <v>4600</v>
      </c>
      <c r="T141" s="94">
        <f>J141+P141</f>
        <v>6100</v>
      </c>
      <c r="U141" s="273"/>
      <c r="V141" s="94" t="s">
        <v>3702</v>
      </c>
    </row>
    <row r="142" spans="1:22" s="281" customFormat="1" x14ac:dyDescent="0.2">
      <c r="A142" s="299" t="str">
        <f>CONCATENATE(CCE[[#This Row],[Capacity Segment - rename]]," - ",CCE[[#This Row],[Equipment model]]," (Pole Mount)")</f>
        <v>30-60L - VLS 056 RF SDD (Pole Mount)</v>
      </c>
      <c r="B142" s="281" t="s">
        <v>3372</v>
      </c>
      <c r="C142" s="281" t="s">
        <v>3579</v>
      </c>
      <c r="D142" s="281" t="s">
        <v>3367</v>
      </c>
      <c r="E142" s="281" t="s">
        <v>3292</v>
      </c>
      <c r="F142" s="281" t="s">
        <v>3300</v>
      </c>
      <c r="G142" s="281">
        <v>36</v>
      </c>
      <c r="H142" s="281">
        <v>34.299999999999997</v>
      </c>
      <c r="I142" s="242">
        <v>3</v>
      </c>
      <c r="J142" s="37">
        <v>5465.909090909091</v>
      </c>
      <c r="K142" s="37">
        <f t="shared" si="34"/>
        <v>1250</v>
      </c>
      <c r="L142" s="37">
        <f t="shared" si="35"/>
        <v>4000</v>
      </c>
      <c r="M142" s="37">
        <f t="shared" si="36"/>
        <v>6715.909090909091</v>
      </c>
      <c r="N142" s="37">
        <f t="shared" si="20"/>
        <v>9465.9090909090919</v>
      </c>
      <c r="O142" s="94">
        <v>650</v>
      </c>
      <c r="P142" s="94">
        <v>2150</v>
      </c>
      <c r="Q142" s="94">
        <v>1250</v>
      </c>
      <c r="R142" s="94">
        <v>4000</v>
      </c>
      <c r="S142" s="94">
        <v>6065.2000000000007</v>
      </c>
      <c r="T142" s="94">
        <v>7565.2000000000007</v>
      </c>
      <c r="U142" s="273"/>
      <c r="V142" s="94" t="s">
        <v>3702</v>
      </c>
    </row>
    <row r="143" spans="1:22" s="281" customFormat="1" x14ac:dyDescent="0.2">
      <c r="A143" s="299" t="str">
        <f>CONCATENATE(CCE[[#This Row],[Capacity Segment - rename]]," - ",CCE[[#This Row],[Equipment model]]," (Pole Mount)")</f>
        <v>30-60L - VC 60 SDD (Pole Mount)</v>
      </c>
      <c r="B143" s="281" t="s">
        <v>3373</v>
      </c>
      <c r="C143" s="281" t="s">
        <v>3579</v>
      </c>
      <c r="D143" s="281" t="s">
        <v>3367</v>
      </c>
      <c r="E143" s="281" t="s">
        <v>3292</v>
      </c>
      <c r="F143" s="281" t="s">
        <v>3318</v>
      </c>
      <c r="G143" s="281">
        <v>57</v>
      </c>
      <c r="H143" s="281">
        <v>24</v>
      </c>
      <c r="I143" s="242">
        <v>3.4583333333333335</v>
      </c>
      <c r="J143" s="37">
        <v>5284.090909090909</v>
      </c>
      <c r="K143" s="37">
        <f t="shared" si="34"/>
        <v>1250</v>
      </c>
      <c r="L143" s="37">
        <f t="shared" si="35"/>
        <v>4000</v>
      </c>
      <c r="M143" s="37">
        <f t="shared" si="36"/>
        <v>6534.090909090909</v>
      </c>
      <c r="N143" s="37">
        <f t="shared" si="20"/>
        <v>9284.0909090909081</v>
      </c>
      <c r="O143" s="94">
        <v>650</v>
      </c>
      <c r="P143" s="94">
        <v>2150</v>
      </c>
      <c r="Q143" s="94">
        <v>1250</v>
      </c>
      <c r="R143" s="94">
        <v>4000</v>
      </c>
      <c r="S143" s="94">
        <f>J143+O143</f>
        <v>5934.090909090909</v>
      </c>
      <c r="T143" s="94">
        <f>J143+P143</f>
        <v>7434.090909090909</v>
      </c>
      <c r="U143" s="273"/>
      <c r="V143" s="94" t="s">
        <v>3702</v>
      </c>
    </row>
    <row r="144" spans="1:22" s="281" customFormat="1" x14ac:dyDescent="0.2">
      <c r="A144" s="299" t="str">
        <f>CONCATENATE(CCE[[#This Row],[Capacity Segment - rename]]," - ",CCE[[#This Row],[Equipment model]]," (Pole Mount)")</f>
        <v>30-60L - GVR 55 FF DC (Pole Mount)</v>
      </c>
      <c r="B144" s="281" t="s">
        <v>3374</v>
      </c>
      <c r="C144" s="281" t="s">
        <v>3579</v>
      </c>
      <c r="D144" s="281" t="s">
        <v>3367</v>
      </c>
      <c r="E144" s="281" t="s">
        <v>3292</v>
      </c>
      <c r="F144" s="281" t="s">
        <v>3290</v>
      </c>
      <c r="G144" s="281">
        <v>58</v>
      </c>
      <c r="H144" s="281">
        <v>44</v>
      </c>
      <c r="I144" s="242">
        <f>283.5/24</f>
        <v>11.8125</v>
      </c>
      <c r="J144" s="37">
        <v>5500</v>
      </c>
      <c r="K144" s="37">
        <f t="shared" si="34"/>
        <v>1250</v>
      </c>
      <c r="L144" s="37">
        <f t="shared" si="35"/>
        <v>4000</v>
      </c>
      <c r="M144" s="37">
        <f t="shared" si="36"/>
        <v>6750</v>
      </c>
      <c r="N144" s="37">
        <f t="shared" si="20"/>
        <v>9500</v>
      </c>
      <c r="O144" s="94">
        <v>650</v>
      </c>
      <c r="P144" s="94">
        <v>2150</v>
      </c>
      <c r="Q144" s="94">
        <v>1250</v>
      </c>
      <c r="R144" s="94">
        <v>4000</v>
      </c>
      <c r="S144" s="94">
        <v>5746.0000000000009</v>
      </c>
      <c r="T144" s="94">
        <v>7246.0000000000009</v>
      </c>
      <c r="U144" s="273"/>
      <c r="V144" s="94" t="s">
        <v>3702</v>
      </c>
    </row>
    <row r="145" spans="1:22" s="281" customFormat="1" x14ac:dyDescent="0.2">
      <c r="A145" s="299" t="str">
        <f>CONCATENATE(CCE[[#This Row],[Capacity Segment - rename]]," - ",CCE[[#This Row],[Equipment model]]," (Pole Mount)")</f>
        <v>60-90L - TCW 2043 SDD (Pole Mount)</v>
      </c>
      <c r="B145" s="281" t="s">
        <v>3375</v>
      </c>
      <c r="C145" s="281" t="s">
        <v>3579</v>
      </c>
      <c r="D145" s="281" t="s">
        <v>3367</v>
      </c>
      <c r="E145" s="281" t="s">
        <v>3299</v>
      </c>
      <c r="F145" s="281" t="s">
        <v>3293</v>
      </c>
      <c r="G145" s="281">
        <v>70</v>
      </c>
      <c r="H145" s="281">
        <v>42</v>
      </c>
      <c r="I145" s="242">
        <v>3.0791666666666671</v>
      </c>
      <c r="J145" s="37">
        <v>10298.863636363636</v>
      </c>
      <c r="K145" s="37">
        <f t="shared" si="34"/>
        <v>1250</v>
      </c>
      <c r="L145" s="37">
        <f t="shared" si="35"/>
        <v>4000</v>
      </c>
      <c r="M145" s="37">
        <f t="shared" si="36"/>
        <v>11548.863636363636</v>
      </c>
      <c r="N145" s="37">
        <f t="shared" si="20"/>
        <v>14298.863636363636</v>
      </c>
      <c r="O145" s="94">
        <v>650</v>
      </c>
      <c r="P145" s="94">
        <v>2150</v>
      </c>
      <c r="Q145" s="94">
        <v>1250</v>
      </c>
      <c r="R145" s="94">
        <v>4000</v>
      </c>
      <c r="S145" s="94">
        <f>J145+O145</f>
        <v>10948.863636363636</v>
      </c>
      <c r="T145" s="94">
        <f>J145+P145</f>
        <v>12448.863636363636</v>
      </c>
      <c r="U145" s="273"/>
      <c r="V145" s="94" t="s">
        <v>3703</v>
      </c>
    </row>
    <row r="146" spans="1:22" s="281" customFormat="1" x14ac:dyDescent="0.2">
      <c r="A146" s="299" t="str">
        <f>CONCATENATE(CCE[[#This Row],[Capacity Segment - rename]]," - ",CCE[[#This Row],[Equipment model]]," (Pole Mount)")</f>
        <v>90-120L - HTCD 160 SDD (Pole Mount)</v>
      </c>
      <c r="B146" s="281" t="s">
        <v>3376</v>
      </c>
      <c r="C146" s="281" t="s">
        <v>3579</v>
      </c>
      <c r="D146" s="281" t="s">
        <v>3367</v>
      </c>
      <c r="E146" s="281" t="s">
        <v>3306</v>
      </c>
      <c r="F146" s="281" t="s">
        <v>3242</v>
      </c>
      <c r="G146" s="281">
        <v>100</v>
      </c>
      <c r="H146" s="281">
        <v>40</v>
      </c>
      <c r="I146" s="242">
        <v>5.0604166666666668</v>
      </c>
      <c r="J146" s="37">
        <v>5750</v>
      </c>
      <c r="K146" s="37">
        <f t="shared" si="34"/>
        <v>1250</v>
      </c>
      <c r="L146" s="37">
        <f t="shared" si="35"/>
        <v>4000</v>
      </c>
      <c r="M146" s="37">
        <f t="shared" si="36"/>
        <v>7000</v>
      </c>
      <c r="N146" s="37">
        <f t="shared" si="20"/>
        <v>9750</v>
      </c>
      <c r="O146" s="94">
        <v>650</v>
      </c>
      <c r="P146" s="94">
        <v>2150</v>
      </c>
      <c r="Q146" s="94">
        <v>1250</v>
      </c>
      <c r="R146" s="94">
        <v>4000</v>
      </c>
      <c r="S146" s="94">
        <f>J146+O146</f>
        <v>6400</v>
      </c>
      <c r="T146" s="94">
        <f>J146+P146</f>
        <v>7900</v>
      </c>
      <c r="U146" s="273"/>
      <c r="V146" s="94" t="s">
        <v>3704</v>
      </c>
    </row>
    <row r="147" spans="1:22" s="281" customFormat="1" x14ac:dyDescent="0.2">
      <c r="A147" s="299" t="str">
        <f>CONCATENATE(CCE[[#This Row],[Capacity Segment - rename]]," - ",CCE[[#This Row],[Equipment model]]," (Pole Mount)")</f>
        <v>90-120L - VC 150 SDD (Pole Mount)</v>
      </c>
      <c r="B147" s="281" t="s">
        <v>3377</v>
      </c>
      <c r="C147" s="281" t="s">
        <v>3579</v>
      </c>
      <c r="D147" s="281" t="s">
        <v>3367</v>
      </c>
      <c r="E147" s="281" t="s">
        <v>3306</v>
      </c>
      <c r="F147" s="281" t="s">
        <v>3318</v>
      </c>
      <c r="G147" s="281">
        <v>102</v>
      </c>
      <c r="H147" s="281">
        <v>42.9</v>
      </c>
      <c r="I147" s="242">
        <v>3.2495833333333333</v>
      </c>
      <c r="J147" s="37">
        <v>6250</v>
      </c>
      <c r="K147" s="37">
        <f t="shared" si="34"/>
        <v>1250</v>
      </c>
      <c r="L147" s="37">
        <f t="shared" si="35"/>
        <v>4000</v>
      </c>
      <c r="M147" s="37">
        <f t="shared" si="36"/>
        <v>7500</v>
      </c>
      <c r="N147" s="37">
        <f t="shared" si="20"/>
        <v>10250</v>
      </c>
      <c r="O147" s="94">
        <v>650</v>
      </c>
      <c r="P147" s="94">
        <v>2150</v>
      </c>
      <c r="Q147" s="94">
        <v>1250</v>
      </c>
      <c r="R147" s="94">
        <v>4000</v>
      </c>
      <c r="S147" s="94">
        <f>J147+O147</f>
        <v>6900</v>
      </c>
      <c r="T147" s="94">
        <f>J147+P147</f>
        <v>8400</v>
      </c>
      <c r="U147" s="273"/>
      <c r="V147" s="94" t="s">
        <v>3704</v>
      </c>
    </row>
    <row r="148" spans="1:22" x14ac:dyDescent="0.2">
      <c r="A148" s="299" t="str">
        <f>CONCATENATE(CCE[[#This Row],[Capacity Segment - rename]]," - ",CCE[[#This Row],[Equipment model]]," (Ground Mount)")</f>
        <v>30-60L - VFS 048 SDD (Ground Mount)</v>
      </c>
      <c r="B148" s="281" t="s">
        <v>3379</v>
      </c>
      <c r="C148" t="s">
        <v>3580</v>
      </c>
      <c r="D148" s="281" t="s">
        <v>3378</v>
      </c>
      <c r="E148" s="281" t="s">
        <v>3292</v>
      </c>
      <c r="F148" s="281" t="s">
        <v>3300</v>
      </c>
      <c r="G148" s="281"/>
      <c r="H148" s="281">
        <v>34.299999999999997</v>
      </c>
      <c r="J148" s="37">
        <v>2965.909090909091</v>
      </c>
      <c r="K148" s="37">
        <f t="shared" si="17"/>
        <v>650</v>
      </c>
      <c r="L148" s="37">
        <f t="shared" si="18"/>
        <v>2150</v>
      </c>
      <c r="M148" s="37">
        <f t="shared" si="19"/>
        <v>3615.909090909091</v>
      </c>
      <c r="N148" s="37">
        <f t="shared" si="20"/>
        <v>5115.909090909091</v>
      </c>
      <c r="O148" s="94">
        <v>650</v>
      </c>
      <c r="P148" s="94">
        <v>2150</v>
      </c>
      <c r="Q148" s="94">
        <v>1250</v>
      </c>
      <c r="R148" s="94">
        <v>4000</v>
      </c>
      <c r="S148" s="94">
        <f t="shared" si="32"/>
        <v>3615.909090909091</v>
      </c>
      <c r="T148" s="94">
        <f t="shared" si="33"/>
        <v>5115.909090909091</v>
      </c>
      <c r="V148" s="94" t="s">
        <v>3702</v>
      </c>
    </row>
    <row r="149" spans="1:22" x14ac:dyDescent="0.2">
      <c r="A149" s="299" t="str">
        <f>CONCATENATE(CCE[[#This Row],[Capacity Segment - rename]]," - ",CCE[[#This Row],[Equipment model]]," (Ground Mount)")</f>
        <v>30-60L - HTD 40 SDD (Ground Mount)</v>
      </c>
      <c r="B149" s="281" t="s">
        <v>3380</v>
      </c>
      <c r="C149" s="281" t="s">
        <v>3580</v>
      </c>
      <c r="D149" s="281" t="s">
        <v>3378</v>
      </c>
      <c r="E149" s="281" t="s">
        <v>3292</v>
      </c>
      <c r="F149" s="281" t="s">
        <v>3242</v>
      </c>
      <c r="G149" s="281"/>
      <c r="H149" s="281">
        <v>48</v>
      </c>
      <c r="I149" s="242">
        <v>5</v>
      </c>
      <c r="J149" s="37">
        <v>2250</v>
      </c>
      <c r="K149" s="37">
        <f t="shared" si="17"/>
        <v>650</v>
      </c>
      <c r="L149" s="37">
        <f t="shared" si="18"/>
        <v>2150</v>
      </c>
      <c r="M149" s="37">
        <f t="shared" si="19"/>
        <v>2900</v>
      </c>
      <c r="N149" s="37">
        <f t="shared" si="20"/>
        <v>4400</v>
      </c>
      <c r="O149" s="94">
        <v>650</v>
      </c>
      <c r="P149" s="94">
        <v>2150</v>
      </c>
      <c r="Q149" s="94">
        <v>1250</v>
      </c>
      <c r="R149" s="94">
        <v>4000</v>
      </c>
      <c r="S149" s="94">
        <f t="shared" si="32"/>
        <v>2900</v>
      </c>
      <c r="T149" s="94">
        <f t="shared" si="33"/>
        <v>4400</v>
      </c>
      <c r="V149" s="94" t="s">
        <v>3702</v>
      </c>
    </row>
    <row r="150" spans="1:22" x14ac:dyDescent="0.2">
      <c r="A150" s="299" t="str">
        <f>CONCATENATE(CCE[[#This Row],[Capacity Segment - rename]]," - ",CCE[[#This Row],[Equipment model]]," (Ground Mount)")</f>
        <v>60-90L - TFW 40 SDD (Ground Mount)</v>
      </c>
      <c r="B150" s="281" t="s">
        <v>3381</v>
      </c>
      <c r="C150" s="281" t="s">
        <v>3580</v>
      </c>
      <c r="D150" s="281" t="s">
        <v>3378</v>
      </c>
      <c r="E150" s="281" t="s">
        <v>3299</v>
      </c>
      <c r="F150" s="281" t="s">
        <v>3293</v>
      </c>
      <c r="G150" s="281"/>
      <c r="H150" s="281">
        <v>64</v>
      </c>
      <c r="I150" s="242">
        <v>5</v>
      </c>
      <c r="J150" s="37">
        <v>5402.272727272727</v>
      </c>
      <c r="K150" s="37">
        <f t="shared" si="17"/>
        <v>650</v>
      </c>
      <c r="L150" s="37">
        <f t="shared" si="18"/>
        <v>2150</v>
      </c>
      <c r="M150" s="37">
        <f t="shared" si="19"/>
        <v>6052.272727272727</v>
      </c>
      <c r="N150" s="37">
        <f t="shared" si="20"/>
        <v>7552.272727272727</v>
      </c>
      <c r="O150" s="94">
        <v>650</v>
      </c>
      <c r="P150" s="94">
        <v>2150</v>
      </c>
      <c r="Q150" s="94">
        <v>1250</v>
      </c>
      <c r="R150" s="94">
        <v>4000</v>
      </c>
      <c r="S150" s="94">
        <f t="shared" si="32"/>
        <v>6052.272727272727</v>
      </c>
      <c r="T150" s="94">
        <f t="shared" si="33"/>
        <v>7552.272727272727</v>
      </c>
      <c r="V150" s="94" t="s">
        <v>3703</v>
      </c>
    </row>
    <row r="151" spans="1:22" s="281" customFormat="1" x14ac:dyDescent="0.2">
      <c r="A151" s="299" t="str">
        <f>CONCATENATE(CCE[[#This Row],[Capacity Segment - rename]]," - ",CCE[[#This Row],[Equipment model]]," (Pole Mount)")</f>
        <v>30-60L - VFS 048 SDD (Pole Mount)</v>
      </c>
      <c r="B151" s="281" t="s">
        <v>3379</v>
      </c>
      <c r="C151" s="281" t="s">
        <v>3580</v>
      </c>
      <c r="D151" s="281" t="s">
        <v>3378</v>
      </c>
      <c r="E151" s="281" t="s">
        <v>3292</v>
      </c>
      <c r="F151" s="281" t="s">
        <v>3300</v>
      </c>
      <c r="H151" s="281">
        <v>34.299999999999997</v>
      </c>
      <c r="I151" s="242"/>
      <c r="J151" s="37">
        <v>2965.909090909091</v>
      </c>
      <c r="K151" s="37">
        <f t="shared" ref="K151:K153" si="39">Q151</f>
        <v>1250</v>
      </c>
      <c r="L151" s="37">
        <f t="shared" ref="L151:L153" si="40">R151</f>
        <v>4000</v>
      </c>
      <c r="M151" s="37">
        <f t="shared" ref="M151:M153" si="41">$J151+K151</f>
        <v>4215.909090909091</v>
      </c>
      <c r="N151" s="37">
        <f t="shared" ref="N151:N153" si="42">$J151+L151</f>
        <v>6965.909090909091</v>
      </c>
      <c r="O151" s="94">
        <v>650</v>
      </c>
      <c r="P151" s="94">
        <v>2150</v>
      </c>
      <c r="Q151" s="94">
        <v>1250</v>
      </c>
      <c r="R151" s="94">
        <v>4000</v>
      </c>
      <c r="S151" s="94">
        <f t="shared" ref="S151:S153" si="43">J151+O151</f>
        <v>3615.909090909091</v>
      </c>
      <c r="T151" s="94">
        <f t="shared" ref="T151:T153" si="44">J151+P151</f>
        <v>5115.909090909091</v>
      </c>
      <c r="U151" s="273"/>
      <c r="V151" s="94" t="s">
        <v>3702</v>
      </c>
    </row>
    <row r="152" spans="1:22" s="281" customFormat="1" x14ac:dyDescent="0.2">
      <c r="A152" s="299" t="str">
        <f>CONCATENATE(CCE[[#This Row],[Capacity Segment - rename]]," - ",CCE[[#This Row],[Equipment model]]," (Pole Mount)")</f>
        <v>30-60L - HTD 40 SDD (Pole Mount)</v>
      </c>
      <c r="B152" s="281" t="s">
        <v>3380</v>
      </c>
      <c r="C152" s="281" t="s">
        <v>3580</v>
      </c>
      <c r="D152" s="281" t="s">
        <v>3378</v>
      </c>
      <c r="E152" s="281" t="s">
        <v>3292</v>
      </c>
      <c r="F152" s="281" t="s">
        <v>3242</v>
      </c>
      <c r="H152" s="281">
        <v>48</v>
      </c>
      <c r="I152" s="242">
        <v>5</v>
      </c>
      <c r="J152" s="37">
        <v>2250</v>
      </c>
      <c r="K152" s="37">
        <f t="shared" si="39"/>
        <v>1250</v>
      </c>
      <c r="L152" s="37">
        <f t="shared" si="40"/>
        <v>4000</v>
      </c>
      <c r="M152" s="37">
        <f t="shared" si="41"/>
        <v>3500</v>
      </c>
      <c r="N152" s="37">
        <f t="shared" si="42"/>
        <v>6250</v>
      </c>
      <c r="O152" s="94">
        <v>650</v>
      </c>
      <c r="P152" s="94">
        <v>2150</v>
      </c>
      <c r="Q152" s="94">
        <v>1250</v>
      </c>
      <c r="R152" s="94">
        <v>4000</v>
      </c>
      <c r="S152" s="94">
        <f t="shared" si="43"/>
        <v>2900</v>
      </c>
      <c r="T152" s="94">
        <f t="shared" si="44"/>
        <v>4400</v>
      </c>
      <c r="U152" s="273"/>
      <c r="V152" s="94" t="s">
        <v>3702</v>
      </c>
    </row>
    <row r="153" spans="1:22" s="281" customFormat="1" x14ac:dyDescent="0.2">
      <c r="A153" s="299" t="str">
        <f>CONCATENATE(CCE[[#This Row],[Capacity Segment - rename]]," - ",CCE[[#This Row],[Equipment model]]," (Pole Mount)")</f>
        <v>60-90L - TFW 40 SDD (Pole Mount)</v>
      </c>
      <c r="B153" s="281" t="s">
        <v>3381</v>
      </c>
      <c r="C153" s="281" t="s">
        <v>3580</v>
      </c>
      <c r="D153" s="281" t="s">
        <v>3378</v>
      </c>
      <c r="E153" s="281" t="s">
        <v>3299</v>
      </c>
      <c r="F153" s="281" t="s">
        <v>3293</v>
      </c>
      <c r="H153" s="281">
        <v>64</v>
      </c>
      <c r="I153" s="242">
        <v>5</v>
      </c>
      <c r="J153" s="37">
        <v>5402.272727272727</v>
      </c>
      <c r="K153" s="37">
        <f t="shared" si="39"/>
        <v>1250</v>
      </c>
      <c r="L153" s="37">
        <f t="shared" si="40"/>
        <v>4000</v>
      </c>
      <c r="M153" s="37">
        <f t="shared" si="41"/>
        <v>6652.272727272727</v>
      </c>
      <c r="N153" s="37">
        <f t="shared" si="42"/>
        <v>9402.2727272727279</v>
      </c>
      <c r="O153" s="94">
        <v>650</v>
      </c>
      <c r="P153" s="94">
        <v>2150</v>
      </c>
      <c r="Q153" s="94">
        <v>1250</v>
      </c>
      <c r="R153" s="94">
        <v>4000</v>
      </c>
      <c r="S153" s="94">
        <f t="shared" si="43"/>
        <v>6052.272727272727</v>
      </c>
      <c r="T153" s="94">
        <f t="shared" si="44"/>
        <v>7552.272727272727</v>
      </c>
      <c r="U153" s="273"/>
      <c r="V153" s="94" t="s">
        <v>3703</v>
      </c>
    </row>
    <row r="154" spans="1:22" x14ac:dyDescent="0.2">
      <c r="A154" s="281" t="str">
        <f t="shared" ref="A154:A195" si="45">B154</f>
        <v>HETL-01</v>
      </c>
      <c r="B154" s="281" t="s">
        <v>3383</v>
      </c>
      <c r="C154" t="s">
        <v>3582</v>
      </c>
      <c r="D154" s="281" t="s">
        <v>3382</v>
      </c>
      <c r="E154" s="281" t="s">
        <v>3241</v>
      </c>
      <c r="F154" s="281" t="s">
        <v>3242</v>
      </c>
      <c r="G154" s="281"/>
      <c r="H154" s="281"/>
      <c r="J154" s="37">
        <v>23</v>
      </c>
      <c r="K154" s="37">
        <f t="shared" ref="K154:K172" si="46">O154</f>
        <v>0</v>
      </c>
      <c r="L154" s="37">
        <f t="shared" ref="L154:L172" si="47">P154</f>
        <v>0</v>
      </c>
      <c r="M154" s="37">
        <f t="shared" ref="M154:M172" si="48">$J154+K154</f>
        <v>23</v>
      </c>
      <c r="N154" s="37">
        <f t="shared" ref="N154:N172" si="49">$J154+L154</f>
        <v>23</v>
      </c>
      <c r="O154" s="94">
        <v>0</v>
      </c>
      <c r="P154" s="94">
        <v>0</v>
      </c>
      <c r="Q154" s="94" t="s">
        <v>2471</v>
      </c>
      <c r="R154" s="94" t="s">
        <v>2471</v>
      </c>
      <c r="S154" s="94">
        <f t="shared" si="32"/>
        <v>23</v>
      </c>
      <c r="T154" s="94">
        <f t="shared" si="33"/>
        <v>23</v>
      </c>
      <c r="V154" s="94"/>
    </row>
    <row r="155" spans="1:22" x14ac:dyDescent="0.2">
      <c r="A155" s="281" t="str">
        <f t="shared" si="45"/>
        <v>VaxTag 30DTR</v>
      </c>
      <c r="B155" s="281" t="s">
        <v>3385</v>
      </c>
      <c r="C155" s="281" t="s">
        <v>3582</v>
      </c>
      <c r="D155" s="281" t="s">
        <v>3382</v>
      </c>
      <c r="E155" s="281" t="s">
        <v>3241</v>
      </c>
      <c r="F155" s="281" t="s">
        <v>3384</v>
      </c>
      <c r="G155" s="281"/>
      <c r="H155" s="281"/>
      <c r="J155" s="37">
        <v>40.799999999999997</v>
      </c>
      <c r="K155" s="37">
        <f t="shared" si="46"/>
        <v>0</v>
      </c>
      <c r="L155" s="37">
        <f t="shared" si="47"/>
        <v>0</v>
      </c>
      <c r="M155" s="37">
        <f t="shared" si="48"/>
        <v>40.799999999999997</v>
      </c>
      <c r="N155" s="37">
        <f t="shared" si="49"/>
        <v>40.799999999999997</v>
      </c>
      <c r="O155" s="94">
        <v>0</v>
      </c>
      <c r="P155" s="94">
        <v>0</v>
      </c>
      <c r="Q155" s="94" t="s">
        <v>2471</v>
      </c>
      <c r="R155" s="94" t="s">
        <v>2471</v>
      </c>
      <c r="S155" s="94">
        <f t="shared" si="32"/>
        <v>40.799999999999997</v>
      </c>
      <c r="T155" s="94">
        <f t="shared" si="33"/>
        <v>40.799999999999997</v>
      </c>
      <c r="V155" s="94"/>
    </row>
    <row r="156" spans="1:22" x14ac:dyDescent="0.2">
      <c r="A156" s="281" t="str">
        <f t="shared" si="45"/>
        <v>Fridge-Tag 2</v>
      </c>
      <c r="B156" s="281" t="s">
        <v>3387</v>
      </c>
      <c r="C156" s="281" t="s">
        <v>3582</v>
      </c>
      <c r="D156" s="281" t="s">
        <v>3382</v>
      </c>
      <c r="E156" s="281" t="s">
        <v>3241</v>
      </c>
      <c r="F156" s="281" t="s">
        <v>3386</v>
      </c>
      <c r="G156" s="281"/>
      <c r="H156" s="281"/>
      <c r="J156" s="37">
        <v>44</v>
      </c>
      <c r="K156" s="37">
        <f t="shared" si="46"/>
        <v>0</v>
      </c>
      <c r="L156" s="37">
        <f t="shared" si="47"/>
        <v>0</v>
      </c>
      <c r="M156" s="37">
        <f t="shared" si="48"/>
        <v>44</v>
      </c>
      <c r="N156" s="37">
        <f t="shared" si="49"/>
        <v>44</v>
      </c>
      <c r="O156" s="94">
        <v>0</v>
      </c>
      <c r="P156" s="94">
        <v>0</v>
      </c>
      <c r="Q156" s="94" t="s">
        <v>2471</v>
      </c>
      <c r="R156" s="94" t="s">
        <v>2471</v>
      </c>
      <c r="S156" s="94">
        <f t="shared" si="32"/>
        <v>44</v>
      </c>
      <c r="T156" s="94">
        <f t="shared" si="33"/>
        <v>44</v>
      </c>
      <c r="V156" s="94"/>
    </row>
    <row r="157" spans="1:22" x14ac:dyDescent="0.2">
      <c r="A157" s="281" t="str">
        <f t="shared" si="45"/>
        <v>Fridge-Tag 2 E</v>
      </c>
      <c r="B157" s="281" t="s">
        <v>3388</v>
      </c>
      <c r="C157" s="281" t="s">
        <v>3582</v>
      </c>
      <c r="D157" s="281" t="s">
        <v>3382</v>
      </c>
      <c r="E157" s="281" t="s">
        <v>3241</v>
      </c>
      <c r="F157" s="281" t="s">
        <v>3386</v>
      </c>
      <c r="G157" s="281"/>
      <c r="H157" s="281"/>
      <c r="J157" s="37">
        <v>73</v>
      </c>
      <c r="K157" s="37">
        <f t="shared" si="46"/>
        <v>0</v>
      </c>
      <c r="L157" s="37">
        <f t="shared" si="47"/>
        <v>0</v>
      </c>
      <c r="M157" s="37">
        <f t="shared" si="48"/>
        <v>73</v>
      </c>
      <c r="N157" s="37">
        <f t="shared" si="49"/>
        <v>73</v>
      </c>
      <c r="O157" s="94">
        <v>0</v>
      </c>
      <c r="P157" s="94">
        <v>0</v>
      </c>
      <c r="Q157" s="94" t="s">
        <v>2471</v>
      </c>
      <c r="R157" s="94" t="s">
        <v>2471</v>
      </c>
      <c r="S157" s="94">
        <f t="shared" si="32"/>
        <v>73</v>
      </c>
      <c r="T157" s="94">
        <f t="shared" si="33"/>
        <v>73</v>
      </c>
      <c r="V157" s="94"/>
    </row>
    <row r="158" spans="1:22" x14ac:dyDescent="0.2">
      <c r="A158" s="281" t="str">
        <f t="shared" si="45"/>
        <v>LIBERO Ti1</v>
      </c>
      <c r="B158" s="281" t="s">
        <v>3390</v>
      </c>
      <c r="C158" s="281" t="s">
        <v>3582</v>
      </c>
      <c r="D158" s="281" t="s">
        <v>3382</v>
      </c>
      <c r="E158" s="281" t="s">
        <v>3241</v>
      </c>
      <c r="F158" s="281" t="s">
        <v>3389</v>
      </c>
      <c r="G158" s="281"/>
      <c r="H158" s="281"/>
      <c r="J158" s="37">
        <v>150</v>
      </c>
      <c r="K158" s="37">
        <f t="shared" si="46"/>
        <v>0</v>
      </c>
      <c r="L158" s="37">
        <f t="shared" si="47"/>
        <v>0</v>
      </c>
      <c r="M158" s="37">
        <f t="shared" si="48"/>
        <v>150</v>
      </c>
      <c r="N158" s="37">
        <f t="shared" si="49"/>
        <v>150</v>
      </c>
      <c r="O158" s="94">
        <v>0</v>
      </c>
      <c r="P158" s="94">
        <v>0</v>
      </c>
      <c r="Q158" s="94" t="s">
        <v>2471</v>
      </c>
      <c r="R158" s="94" t="s">
        <v>2471</v>
      </c>
      <c r="S158" s="94">
        <f t="shared" si="32"/>
        <v>150</v>
      </c>
      <c r="T158" s="94">
        <f t="shared" si="33"/>
        <v>150</v>
      </c>
      <c r="V158" s="94"/>
    </row>
    <row r="159" spans="1:22" x14ac:dyDescent="0.2">
      <c r="A159" s="281" t="str">
        <f t="shared" si="45"/>
        <v>ICE3 (WICR Model BC141) + 3 years data/portal access</v>
      </c>
      <c r="B159" s="281" t="s">
        <v>3393</v>
      </c>
      <c r="C159" t="s">
        <v>3583</v>
      </c>
      <c r="D159" s="281" t="s">
        <v>3391</v>
      </c>
      <c r="E159" s="281" t="s">
        <v>3241</v>
      </c>
      <c r="F159" s="281" t="s">
        <v>3392</v>
      </c>
      <c r="G159" s="281"/>
      <c r="H159" s="281"/>
      <c r="J159" s="37">
        <v>1600</v>
      </c>
      <c r="K159" s="37">
        <f t="shared" si="46"/>
        <v>200</v>
      </c>
      <c r="L159" s="37">
        <f t="shared" si="47"/>
        <v>400</v>
      </c>
      <c r="M159" s="37">
        <f t="shared" si="48"/>
        <v>1800</v>
      </c>
      <c r="N159" s="37">
        <f t="shared" si="49"/>
        <v>2000</v>
      </c>
      <c r="O159" s="94">
        <v>200</v>
      </c>
      <c r="P159" s="94">
        <v>400</v>
      </c>
      <c r="Q159" s="94" t="s">
        <v>2471</v>
      </c>
      <c r="R159" s="94" t="s">
        <v>2471</v>
      </c>
      <c r="S159" s="94">
        <f>J159+O159</f>
        <v>1800</v>
      </c>
      <c r="T159" s="94">
        <f t="shared" si="33"/>
        <v>2000</v>
      </c>
      <c r="V159" s="94"/>
    </row>
    <row r="160" spans="1:22" x14ac:dyDescent="0.2">
      <c r="A160" s="281" t="str">
        <f t="shared" si="45"/>
        <v>TDL2-5Y data logger (WICR Model)+ 3 years data/portal access</v>
      </c>
      <c r="B160" s="281" t="s">
        <v>3395</v>
      </c>
      <c r="C160" s="281" t="s">
        <v>3583</v>
      </c>
      <c r="D160" s="281" t="s">
        <v>3391</v>
      </c>
      <c r="E160" s="281" t="s">
        <v>3241</v>
      </c>
      <c r="F160" s="281" t="s">
        <v>3394</v>
      </c>
      <c r="G160" s="281"/>
      <c r="H160" s="281"/>
      <c r="J160" s="37">
        <v>1600</v>
      </c>
      <c r="K160" s="37">
        <f t="shared" si="46"/>
        <v>200</v>
      </c>
      <c r="L160" s="37">
        <f t="shared" si="47"/>
        <v>400</v>
      </c>
      <c r="M160" s="37">
        <f t="shared" si="48"/>
        <v>1800</v>
      </c>
      <c r="N160" s="37">
        <f t="shared" si="49"/>
        <v>2000</v>
      </c>
      <c r="O160" s="94">
        <v>200</v>
      </c>
      <c r="P160" s="94">
        <v>400</v>
      </c>
      <c r="Q160" s="94" t="s">
        <v>2471</v>
      </c>
      <c r="R160" s="94" t="s">
        <v>2471</v>
      </c>
      <c r="S160" s="94">
        <f t="shared" ref="S160:S169" si="50">J160+O160</f>
        <v>1800</v>
      </c>
      <c r="T160" s="94">
        <f t="shared" si="33"/>
        <v>2000</v>
      </c>
      <c r="V160" s="94"/>
    </row>
    <row r="161" spans="1:22" x14ac:dyDescent="0.2">
      <c r="A161" s="281" t="str">
        <f t="shared" si="45"/>
        <v>VM 1000 (WICR Model)+ 3 years data/portal access</v>
      </c>
      <c r="B161" s="281" t="s">
        <v>3397</v>
      </c>
      <c r="C161" s="281" t="s">
        <v>3583</v>
      </c>
      <c r="D161" s="281" t="s">
        <v>3391</v>
      </c>
      <c r="E161" s="281" t="s">
        <v>3241</v>
      </c>
      <c r="F161" s="281" t="s">
        <v>3396</v>
      </c>
      <c r="G161" s="281"/>
      <c r="H161" s="281"/>
      <c r="J161" s="37">
        <v>1150</v>
      </c>
      <c r="K161" s="37">
        <f t="shared" si="46"/>
        <v>200</v>
      </c>
      <c r="L161" s="37">
        <f t="shared" si="47"/>
        <v>400</v>
      </c>
      <c r="M161" s="37">
        <f t="shared" si="48"/>
        <v>1350</v>
      </c>
      <c r="N161" s="37">
        <f t="shared" si="49"/>
        <v>1550</v>
      </c>
      <c r="O161" s="94">
        <v>200</v>
      </c>
      <c r="P161" s="94">
        <v>400</v>
      </c>
      <c r="Q161" s="94" t="s">
        <v>2471</v>
      </c>
      <c r="R161" s="94" t="s">
        <v>2471</v>
      </c>
      <c r="S161" s="94">
        <f t="shared" si="50"/>
        <v>1350</v>
      </c>
      <c r="T161" s="94">
        <f t="shared" si="33"/>
        <v>1550</v>
      </c>
      <c r="V161" s="94"/>
    </row>
    <row r="162" spans="1:22" x14ac:dyDescent="0.2">
      <c r="A162" s="281" t="str">
        <f t="shared" si="45"/>
        <v>ICE3 EXTRA - MODEL BC440 (2 WICR Model) + 3 years data/portal access</v>
      </c>
      <c r="B162" s="281" t="s">
        <v>3398</v>
      </c>
      <c r="C162" s="281" t="s">
        <v>3583</v>
      </c>
      <c r="D162" s="281" t="s">
        <v>3391</v>
      </c>
      <c r="E162" s="281" t="s">
        <v>3241</v>
      </c>
      <c r="F162" s="281" t="s">
        <v>3392</v>
      </c>
      <c r="G162" s="281"/>
      <c r="H162" s="281"/>
      <c r="J162" s="37">
        <v>2250</v>
      </c>
      <c r="K162" s="37">
        <f t="shared" si="46"/>
        <v>200</v>
      </c>
      <c r="L162" s="37">
        <f t="shared" si="47"/>
        <v>400</v>
      </c>
      <c r="M162" s="37">
        <f t="shared" si="48"/>
        <v>2450</v>
      </c>
      <c r="N162" s="37">
        <f t="shared" si="49"/>
        <v>2650</v>
      </c>
      <c r="O162" s="94">
        <v>200</v>
      </c>
      <c r="P162" s="94">
        <v>400</v>
      </c>
      <c r="Q162" s="94" t="s">
        <v>2471</v>
      </c>
      <c r="R162" s="94" t="s">
        <v>2471</v>
      </c>
      <c r="S162" s="94">
        <f t="shared" si="50"/>
        <v>2450</v>
      </c>
      <c r="T162" s="94">
        <f t="shared" si="33"/>
        <v>2650</v>
      </c>
      <c r="V162" s="94"/>
    </row>
    <row r="163" spans="1:22" x14ac:dyDescent="0.2">
      <c r="A163" s="281" t="str">
        <f t="shared" si="45"/>
        <v>TDL2-5Y data logger (2 WICR Model) + 3 years data/portal access</v>
      </c>
      <c r="B163" s="281" t="s">
        <v>3399</v>
      </c>
      <c r="C163" s="281" t="s">
        <v>3583</v>
      </c>
      <c r="D163" s="281" t="s">
        <v>3391</v>
      </c>
      <c r="E163" s="281" t="s">
        <v>3241</v>
      </c>
      <c r="F163" s="281" t="s">
        <v>3394</v>
      </c>
      <c r="G163" s="281"/>
      <c r="H163" s="281"/>
      <c r="J163" s="37">
        <v>2100</v>
      </c>
      <c r="K163" s="37">
        <f t="shared" si="46"/>
        <v>200</v>
      </c>
      <c r="L163" s="37">
        <f t="shared" si="47"/>
        <v>400</v>
      </c>
      <c r="M163" s="37">
        <f t="shared" si="48"/>
        <v>2300</v>
      </c>
      <c r="N163" s="37">
        <f t="shared" si="49"/>
        <v>2500</v>
      </c>
      <c r="O163" s="94">
        <v>200</v>
      </c>
      <c r="P163" s="94">
        <v>400</v>
      </c>
      <c r="Q163" s="94" t="s">
        <v>2471</v>
      </c>
      <c r="R163" s="94" t="s">
        <v>2471</v>
      </c>
      <c r="S163" s="94">
        <f t="shared" si="50"/>
        <v>2300</v>
      </c>
      <c r="T163" s="94">
        <f t="shared" si="33"/>
        <v>2500</v>
      </c>
      <c r="V163" s="94"/>
    </row>
    <row r="164" spans="1:22" x14ac:dyDescent="0.2">
      <c r="A164" s="281" t="str">
        <f t="shared" si="45"/>
        <v>VM 1000 (2 WICR Model)+ 3 years data/portal access</v>
      </c>
      <c r="B164" s="281" t="s">
        <v>3400</v>
      </c>
      <c r="C164" s="281" t="s">
        <v>3583</v>
      </c>
      <c r="D164" s="281" t="s">
        <v>3391</v>
      </c>
      <c r="E164" s="281" t="s">
        <v>3241</v>
      </c>
      <c r="F164" s="281" t="s">
        <v>3396</v>
      </c>
      <c r="G164" s="281"/>
      <c r="H164" s="281"/>
      <c r="J164" s="37">
        <v>1600</v>
      </c>
      <c r="K164" s="37">
        <f t="shared" si="46"/>
        <v>200</v>
      </c>
      <c r="L164" s="37">
        <f t="shared" si="47"/>
        <v>400</v>
      </c>
      <c r="M164" s="37">
        <f t="shared" si="48"/>
        <v>1800</v>
      </c>
      <c r="N164" s="37">
        <f t="shared" si="49"/>
        <v>2000</v>
      </c>
      <c r="O164" s="94">
        <v>200</v>
      </c>
      <c r="P164" s="94">
        <v>400</v>
      </c>
      <c r="Q164" s="94" t="s">
        <v>2471</v>
      </c>
      <c r="R164" s="94" t="s">
        <v>2471</v>
      </c>
      <c r="S164" s="94">
        <f t="shared" si="50"/>
        <v>1800</v>
      </c>
      <c r="T164" s="94">
        <f t="shared" si="33"/>
        <v>2000</v>
      </c>
      <c r="V164" s="94"/>
    </row>
    <row r="165" spans="1:22" x14ac:dyDescent="0.2">
      <c r="A165" s="281" t="str">
        <f t="shared" si="45"/>
        <v>ICE3 EXTRA - MODEL BC440 (3 WICR Model)+ 3 years data/portal access</v>
      </c>
      <c r="B165" s="281" t="s">
        <v>3401</v>
      </c>
      <c r="C165" s="281" t="s">
        <v>3583</v>
      </c>
      <c r="D165" s="281" t="s">
        <v>3391</v>
      </c>
      <c r="E165" s="281" t="s">
        <v>3241</v>
      </c>
      <c r="F165" s="281" t="s">
        <v>3392</v>
      </c>
      <c r="G165" s="281"/>
      <c r="H165" s="281"/>
      <c r="J165" s="37">
        <v>2800</v>
      </c>
      <c r="K165" s="37">
        <f t="shared" si="46"/>
        <v>200</v>
      </c>
      <c r="L165" s="37">
        <f t="shared" si="47"/>
        <v>400</v>
      </c>
      <c r="M165" s="37">
        <f t="shared" si="48"/>
        <v>3000</v>
      </c>
      <c r="N165" s="37">
        <f t="shared" si="49"/>
        <v>3200</v>
      </c>
      <c r="O165" s="94">
        <v>200</v>
      </c>
      <c r="P165" s="94">
        <v>400</v>
      </c>
      <c r="Q165" s="94" t="s">
        <v>2471</v>
      </c>
      <c r="R165" s="94" t="s">
        <v>2471</v>
      </c>
      <c r="S165" s="94">
        <f t="shared" si="50"/>
        <v>3000</v>
      </c>
      <c r="T165" s="94">
        <f t="shared" si="33"/>
        <v>3200</v>
      </c>
      <c r="V165" s="94"/>
    </row>
    <row r="166" spans="1:22" x14ac:dyDescent="0.2">
      <c r="A166" s="281" t="str">
        <f t="shared" si="45"/>
        <v>TDL2-5Y data logger (3 WICR Model)+ 3 years data/portal access</v>
      </c>
      <c r="B166" s="281" t="s">
        <v>3402</v>
      </c>
      <c r="C166" s="281" t="s">
        <v>3583</v>
      </c>
      <c r="D166" s="281" t="s">
        <v>3391</v>
      </c>
      <c r="E166" s="281" t="s">
        <v>3241</v>
      </c>
      <c r="F166" s="281" t="s">
        <v>3394</v>
      </c>
      <c r="G166" s="281"/>
      <c r="H166" s="281"/>
      <c r="J166" s="37">
        <v>2500</v>
      </c>
      <c r="K166" s="37">
        <f t="shared" si="46"/>
        <v>200</v>
      </c>
      <c r="L166" s="37">
        <f t="shared" si="47"/>
        <v>400</v>
      </c>
      <c r="M166" s="37">
        <f t="shared" si="48"/>
        <v>2700</v>
      </c>
      <c r="N166" s="37">
        <f t="shared" si="49"/>
        <v>2900</v>
      </c>
      <c r="O166" s="94">
        <v>200</v>
      </c>
      <c r="P166" s="94">
        <v>400</v>
      </c>
      <c r="Q166" s="94" t="s">
        <v>2471</v>
      </c>
      <c r="R166" s="94" t="s">
        <v>2471</v>
      </c>
      <c r="S166" s="94">
        <f t="shared" si="50"/>
        <v>2700</v>
      </c>
      <c r="T166" s="94">
        <f t="shared" si="33"/>
        <v>2900</v>
      </c>
      <c r="V166" s="94"/>
    </row>
    <row r="167" spans="1:22" x14ac:dyDescent="0.2">
      <c r="A167" s="281" t="str">
        <f t="shared" si="45"/>
        <v>VM 1000 (Refrigerator model)+ 3 years data/portal access</v>
      </c>
      <c r="B167" s="281" t="s">
        <v>3403</v>
      </c>
      <c r="C167" s="281" t="s">
        <v>3583</v>
      </c>
      <c r="D167" s="281" t="s">
        <v>3391</v>
      </c>
      <c r="E167" s="281" t="s">
        <v>3241</v>
      </c>
      <c r="F167" s="281" t="s">
        <v>3396</v>
      </c>
      <c r="G167" s="281"/>
      <c r="H167" s="281"/>
      <c r="J167" s="37">
        <v>1100</v>
      </c>
      <c r="K167" s="37">
        <f t="shared" si="46"/>
        <v>200</v>
      </c>
      <c r="L167" s="37">
        <f t="shared" si="47"/>
        <v>400</v>
      </c>
      <c r="M167" s="37">
        <f t="shared" si="48"/>
        <v>1300</v>
      </c>
      <c r="N167" s="37">
        <f t="shared" si="49"/>
        <v>1500</v>
      </c>
      <c r="O167" s="94">
        <v>200</v>
      </c>
      <c r="P167" s="94">
        <v>400</v>
      </c>
      <c r="Q167" s="94" t="s">
        <v>2471</v>
      </c>
      <c r="R167" s="94" t="s">
        <v>2471</v>
      </c>
      <c r="S167" s="94">
        <f t="shared" si="50"/>
        <v>1300</v>
      </c>
      <c r="T167" s="94">
        <f t="shared" si="33"/>
        <v>1500</v>
      </c>
      <c r="V167" s="94"/>
    </row>
    <row r="168" spans="1:22" x14ac:dyDescent="0.2">
      <c r="A168" s="281" t="str">
        <f t="shared" si="45"/>
        <v>TDL2-5Y data logger (Refrigerator Model)+ 3 years data/portal access</v>
      </c>
      <c r="B168" s="281" t="s">
        <v>3404</v>
      </c>
      <c r="C168" s="281" t="s">
        <v>3583</v>
      </c>
      <c r="D168" s="281" t="s">
        <v>3391</v>
      </c>
      <c r="E168" s="281" t="s">
        <v>3241</v>
      </c>
      <c r="F168" s="281" t="s">
        <v>3394</v>
      </c>
      <c r="G168" s="281"/>
      <c r="H168" s="281"/>
      <c r="J168" s="37">
        <v>1150</v>
      </c>
      <c r="K168" s="37">
        <f t="shared" si="46"/>
        <v>200</v>
      </c>
      <c r="L168" s="37">
        <f t="shared" si="47"/>
        <v>400</v>
      </c>
      <c r="M168" s="37">
        <f t="shared" si="48"/>
        <v>1350</v>
      </c>
      <c r="N168" s="37">
        <f t="shared" si="49"/>
        <v>1550</v>
      </c>
      <c r="O168" s="94">
        <v>200</v>
      </c>
      <c r="P168" s="94">
        <v>400</v>
      </c>
      <c r="Q168" s="94" t="s">
        <v>2471</v>
      </c>
      <c r="R168" s="94" t="s">
        <v>2471</v>
      </c>
      <c r="S168" s="94">
        <f t="shared" si="50"/>
        <v>1350</v>
      </c>
      <c r="T168" s="94">
        <f t="shared" si="33"/>
        <v>1550</v>
      </c>
      <c r="V168" s="94"/>
    </row>
    <row r="169" spans="1:22" x14ac:dyDescent="0.2">
      <c r="A169" s="281" t="str">
        <f t="shared" si="45"/>
        <v>ColdTrace 5 (Refrigerator model CT5)+ 3 years data/portal access</v>
      </c>
      <c r="B169" s="281" t="s">
        <v>3406</v>
      </c>
      <c r="C169" s="281" t="s">
        <v>3583</v>
      </c>
      <c r="D169" s="281" t="s">
        <v>3391</v>
      </c>
      <c r="E169" s="281" t="s">
        <v>3241</v>
      </c>
      <c r="F169" s="281" t="s">
        <v>3405</v>
      </c>
      <c r="G169" s="281"/>
      <c r="H169" s="281"/>
      <c r="J169" s="37">
        <v>600</v>
      </c>
      <c r="K169" s="37">
        <f t="shared" si="46"/>
        <v>200</v>
      </c>
      <c r="L169" s="37">
        <f t="shared" si="47"/>
        <v>400</v>
      </c>
      <c r="M169" s="37">
        <f t="shared" si="48"/>
        <v>800</v>
      </c>
      <c r="N169" s="37">
        <f t="shared" si="49"/>
        <v>1000</v>
      </c>
      <c r="O169" s="94">
        <v>200</v>
      </c>
      <c r="P169" s="94">
        <v>400</v>
      </c>
      <c r="Q169" s="94" t="s">
        <v>2471</v>
      </c>
      <c r="R169" s="94" t="s">
        <v>2471</v>
      </c>
      <c r="S169" s="94">
        <f t="shared" si="50"/>
        <v>800</v>
      </c>
      <c r="T169" s="94">
        <f t="shared" si="33"/>
        <v>1000</v>
      </c>
      <c r="V169" s="94"/>
    </row>
    <row r="170" spans="1:22" x14ac:dyDescent="0.2">
      <c r="A170" s="281" t="str">
        <f t="shared" si="45"/>
        <v>Fridge-tag 3 GSM (Refrigerator model)+ 3 years data/portal access</v>
      </c>
      <c r="B170" s="281" t="s">
        <v>3407</v>
      </c>
      <c r="C170" s="281" t="s">
        <v>3583</v>
      </c>
      <c r="D170" s="281" t="s">
        <v>3391</v>
      </c>
      <c r="E170" s="281" t="s">
        <v>3241</v>
      </c>
      <c r="F170" s="281" t="s">
        <v>3386</v>
      </c>
      <c r="G170" s="281"/>
      <c r="H170" s="281"/>
      <c r="J170" s="37">
        <v>1150</v>
      </c>
      <c r="K170" s="37">
        <f t="shared" si="46"/>
        <v>200</v>
      </c>
      <c r="L170" s="37">
        <f t="shared" si="47"/>
        <v>400</v>
      </c>
      <c r="M170" s="37">
        <f t="shared" si="48"/>
        <v>1350</v>
      </c>
      <c r="N170" s="37">
        <f t="shared" si="49"/>
        <v>1550</v>
      </c>
      <c r="O170" s="94">
        <v>200</v>
      </c>
      <c r="P170" s="94">
        <v>400</v>
      </c>
      <c r="Q170" s="94" t="s">
        <v>2471</v>
      </c>
      <c r="R170" s="94" t="s">
        <v>2471</v>
      </c>
      <c r="S170" s="94">
        <f t="shared" si="32"/>
        <v>1350</v>
      </c>
      <c r="T170" s="94">
        <f t="shared" si="33"/>
        <v>1550</v>
      </c>
      <c r="V170" s="94"/>
    </row>
    <row r="171" spans="1:22" x14ac:dyDescent="0.2">
      <c r="A171" s="281" t="str">
        <f t="shared" si="45"/>
        <v>Haier U-Cool (Refrigerator model)+ 3 years data/portal access</v>
      </c>
      <c r="B171" s="281" t="s">
        <v>3408</v>
      </c>
      <c r="C171" s="281" t="s">
        <v>3583</v>
      </c>
      <c r="D171" s="281" t="s">
        <v>3391</v>
      </c>
      <c r="E171" s="281" t="s">
        <v>3241</v>
      </c>
      <c r="F171" s="281" t="s">
        <v>3242</v>
      </c>
      <c r="G171" s="281"/>
      <c r="H171" s="281"/>
      <c r="J171" s="37">
        <v>450</v>
      </c>
      <c r="K171" s="37">
        <f t="shared" si="46"/>
        <v>200</v>
      </c>
      <c r="L171" s="37">
        <f t="shared" si="47"/>
        <v>400</v>
      </c>
      <c r="M171" s="37">
        <f t="shared" si="48"/>
        <v>650</v>
      </c>
      <c r="N171" s="37">
        <f t="shared" si="49"/>
        <v>850</v>
      </c>
      <c r="O171" s="94">
        <v>200</v>
      </c>
      <c r="P171" s="94">
        <v>400</v>
      </c>
      <c r="Q171" s="94" t="s">
        <v>2471</v>
      </c>
      <c r="R171" s="94" t="s">
        <v>2471</v>
      </c>
      <c r="S171" s="94">
        <f t="shared" si="32"/>
        <v>650</v>
      </c>
      <c r="T171" s="94">
        <f t="shared" si="33"/>
        <v>850</v>
      </c>
      <c r="V171" s="94"/>
    </row>
    <row r="172" spans="1:22" x14ac:dyDescent="0.2">
      <c r="A172" s="281" t="str">
        <f t="shared" si="45"/>
        <v>ICE3 (Refrigerator Model BC141)+ 3 years data/portal access</v>
      </c>
      <c r="B172" s="281" t="s">
        <v>3409</v>
      </c>
      <c r="C172" s="281" t="s">
        <v>3583</v>
      </c>
      <c r="D172" s="281" t="s">
        <v>3391</v>
      </c>
      <c r="E172" s="281" t="s">
        <v>3241</v>
      </c>
      <c r="F172" s="281" t="s">
        <v>3392</v>
      </c>
      <c r="G172" s="281"/>
      <c r="H172" s="281"/>
      <c r="J172" s="37">
        <v>1400</v>
      </c>
      <c r="K172" s="37">
        <f t="shared" si="46"/>
        <v>200</v>
      </c>
      <c r="L172" s="37">
        <f t="shared" si="47"/>
        <v>400</v>
      </c>
      <c r="M172" s="37">
        <f t="shared" si="48"/>
        <v>1600</v>
      </c>
      <c r="N172" s="37">
        <f t="shared" si="49"/>
        <v>1800</v>
      </c>
      <c r="O172" s="94">
        <v>200</v>
      </c>
      <c r="P172" s="94">
        <v>400</v>
      </c>
      <c r="Q172" s="94" t="s">
        <v>2471</v>
      </c>
      <c r="R172" s="94" t="s">
        <v>2471</v>
      </c>
      <c r="S172" s="94">
        <f t="shared" si="32"/>
        <v>1600</v>
      </c>
      <c r="T172" s="94">
        <f t="shared" si="33"/>
        <v>1800</v>
      </c>
      <c r="V172" s="94"/>
    </row>
    <row r="173" spans="1:22" s="281" customFormat="1" x14ac:dyDescent="0.2">
      <c r="I173" s="242"/>
      <c r="J173" s="37"/>
      <c r="K173" s="37"/>
      <c r="L173" s="37"/>
      <c r="M173" s="37"/>
      <c r="N173" s="37"/>
      <c r="O173" s="94"/>
      <c r="P173" s="94"/>
      <c r="Q173" s="94"/>
      <c r="R173" s="94"/>
      <c r="S173" s="94"/>
      <c r="T173" s="94"/>
      <c r="U173" s="273"/>
    </row>
    <row r="174" spans="1:22" s="281" customFormat="1" x14ac:dyDescent="0.2">
      <c r="I174" s="242"/>
      <c r="J174" s="37"/>
      <c r="K174" s="37"/>
      <c r="L174" s="37"/>
      <c r="M174" s="37"/>
      <c r="N174" s="37"/>
      <c r="O174" s="94"/>
      <c r="P174" s="94"/>
      <c r="Q174" s="94"/>
      <c r="R174" s="94"/>
      <c r="S174" s="94"/>
      <c r="T174" s="94"/>
      <c r="U174" s="273"/>
    </row>
    <row r="175" spans="1:22" x14ac:dyDescent="0.2">
      <c r="A175" s="281" t="str">
        <f t="shared" ref="A175:A182" si="51">B175</f>
        <v>10 cbm</v>
      </c>
      <c r="B175" s="281" t="s">
        <v>3238</v>
      </c>
      <c r="C175" s="281"/>
      <c r="D175" s="281" t="s">
        <v>3279</v>
      </c>
      <c r="E175" s="281" t="s">
        <v>3238</v>
      </c>
      <c r="F175" s="281" t="s">
        <v>3241</v>
      </c>
      <c r="G175" s="281">
        <v>10000</v>
      </c>
      <c r="H175" s="281" t="s">
        <v>3241</v>
      </c>
      <c r="I175" s="242" t="s">
        <v>3241</v>
      </c>
      <c r="J175" s="37">
        <v>5500</v>
      </c>
      <c r="K175" s="37" t="str">
        <f t="shared" ref="K175:L182" si="52">O175</f>
        <v>NA</v>
      </c>
      <c r="L175" s="37" t="str">
        <f t="shared" si="52"/>
        <v>NA</v>
      </c>
      <c r="M175" s="37" t="e">
        <f t="shared" ref="M175:N182" si="53">$J175+K175</f>
        <v>#VALUE!</v>
      </c>
      <c r="N175" s="37" t="e">
        <f t="shared" si="53"/>
        <v>#VALUE!</v>
      </c>
      <c r="O175" s="94" t="s">
        <v>2471</v>
      </c>
      <c r="P175" s="94" t="s">
        <v>2471</v>
      </c>
      <c r="Q175" s="94" t="s">
        <v>2471</v>
      </c>
      <c r="R175" s="94" t="s">
        <v>2471</v>
      </c>
      <c r="S175" s="94">
        <f t="shared" ref="S175:S178" si="54">J175</f>
        <v>5500</v>
      </c>
      <c r="T175" s="94">
        <f t="shared" ref="T175:T178" si="55">J175</f>
        <v>5500</v>
      </c>
    </row>
    <row r="176" spans="1:22" x14ac:dyDescent="0.2">
      <c r="A176" s="281" t="str">
        <f t="shared" si="51"/>
        <v>20 cbm</v>
      </c>
      <c r="B176" s="281" t="s">
        <v>3280</v>
      </c>
      <c r="C176" s="281"/>
      <c r="D176" s="281" t="s">
        <v>3279</v>
      </c>
      <c r="E176" s="281" t="s">
        <v>3280</v>
      </c>
      <c r="F176" s="281" t="s">
        <v>3241</v>
      </c>
      <c r="G176" s="281">
        <v>20000</v>
      </c>
      <c r="H176" s="281" t="s">
        <v>3241</v>
      </c>
      <c r="I176" s="242" t="s">
        <v>3241</v>
      </c>
      <c r="J176" s="37">
        <v>8500</v>
      </c>
      <c r="K176" s="37" t="str">
        <f t="shared" si="52"/>
        <v>NA</v>
      </c>
      <c r="L176" s="37" t="str">
        <f t="shared" si="52"/>
        <v>NA</v>
      </c>
      <c r="M176" s="37" t="e">
        <f t="shared" si="53"/>
        <v>#VALUE!</v>
      </c>
      <c r="N176" s="37" t="e">
        <f t="shared" si="53"/>
        <v>#VALUE!</v>
      </c>
      <c r="O176" s="94" t="s">
        <v>2471</v>
      </c>
      <c r="P176" s="94" t="s">
        <v>2471</v>
      </c>
      <c r="Q176" s="94" t="s">
        <v>2471</v>
      </c>
      <c r="R176" s="94" t="s">
        <v>2471</v>
      </c>
      <c r="S176" s="94">
        <f t="shared" si="54"/>
        <v>8500</v>
      </c>
      <c r="T176" s="94">
        <f t="shared" si="55"/>
        <v>8500</v>
      </c>
    </row>
    <row r="177" spans="1:20" x14ac:dyDescent="0.2">
      <c r="A177" s="281" t="str">
        <f t="shared" si="51"/>
        <v>30 cbm</v>
      </c>
      <c r="B177" s="281" t="s">
        <v>3250</v>
      </c>
      <c r="C177" s="281"/>
      <c r="D177" s="281" t="s">
        <v>3279</v>
      </c>
      <c r="E177" s="281" t="s">
        <v>3250</v>
      </c>
      <c r="F177" s="281" t="s">
        <v>3241</v>
      </c>
      <c r="G177" s="281">
        <v>30000</v>
      </c>
      <c r="H177" s="281" t="s">
        <v>3241</v>
      </c>
      <c r="I177" s="242" t="s">
        <v>3241</v>
      </c>
      <c r="J177" s="37">
        <v>8500</v>
      </c>
      <c r="K177" s="37" t="str">
        <f t="shared" si="52"/>
        <v>NA</v>
      </c>
      <c r="L177" s="37" t="str">
        <f t="shared" si="52"/>
        <v>NA</v>
      </c>
      <c r="M177" s="37" t="e">
        <f t="shared" si="53"/>
        <v>#VALUE!</v>
      </c>
      <c r="N177" s="37" t="e">
        <f t="shared" si="53"/>
        <v>#VALUE!</v>
      </c>
      <c r="O177" s="94" t="s">
        <v>2471</v>
      </c>
      <c r="P177" s="94" t="s">
        <v>2471</v>
      </c>
      <c r="Q177" s="94" t="s">
        <v>2471</v>
      </c>
      <c r="R177" s="94" t="s">
        <v>2471</v>
      </c>
      <c r="S177" s="94">
        <f t="shared" si="54"/>
        <v>8500</v>
      </c>
      <c r="T177" s="94">
        <f t="shared" si="55"/>
        <v>8500</v>
      </c>
    </row>
    <row r="178" spans="1:20" x14ac:dyDescent="0.2">
      <c r="A178" s="281" t="str">
        <f t="shared" si="51"/>
        <v>40 cbm</v>
      </c>
      <c r="B178" s="281" t="s">
        <v>3260</v>
      </c>
      <c r="C178" s="281"/>
      <c r="D178" s="281" t="s">
        <v>3279</v>
      </c>
      <c r="E178" s="281" t="s">
        <v>3260</v>
      </c>
      <c r="F178" s="281" t="s">
        <v>3241</v>
      </c>
      <c r="G178" s="281">
        <v>40000</v>
      </c>
      <c r="H178" s="281" t="s">
        <v>3241</v>
      </c>
      <c r="I178" s="242" t="s">
        <v>3241</v>
      </c>
      <c r="J178" s="37">
        <v>9500</v>
      </c>
      <c r="K178" s="37" t="str">
        <f t="shared" si="52"/>
        <v>NA</v>
      </c>
      <c r="L178" s="37" t="str">
        <f t="shared" si="52"/>
        <v>NA</v>
      </c>
      <c r="M178" s="37" t="e">
        <f t="shared" si="53"/>
        <v>#VALUE!</v>
      </c>
      <c r="N178" s="37" t="e">
        <f t="shared" si="53"/>
        <v>#VALUE!</v>
      </c>
      <c r="O178" s="94" t="s">
        <v>2471</v>
      </c>
      <c r="P178" s="94" t="s">
        <v>2471</v>
      </c>
      <c r="Q178" s="94" t="s">
        <v>2471</v>
      </c>
      <c r="R178" s="94" t="s">
        <v>2471</v>
      </c>
      <c r="S178" s="94">
        <f t="shared" si="54"/>
        <v>9500</v>
      </c>
      <c r="T178" s="94">
        <f t="shared" si="55"/>
        <v>9500</v>
      </c>
    </row>
    <row r="179" spans="1:20" x14ac:dyDescent="0.2">
      <c r="A179" s="281" t="str">
        <f t="shared" si="51"/>
        <v>10 cbm LT</v>
      </c>
      <c r="B179" s="281" t="s">
        <v>3282</v>
      </c>
      <c r="C179" s="281"/>
      <c r="D179" s="281" t="s">
        <v>3281</v>
      </c>
      <c r="E179" s="281" t="s">
        <v>3238</v>
      </c>
      <c r="F179" s="281" t="s">
        <v>3241</v>
      </c>
      <c r="G179" s="281">
        <v>10000</v>
      </c>
      <c r="H179" s="281" t="s">
        <v>3241</v>
      </c>
      <c r="I179" s="242" t="s">
        <v>3241</v>
      </c>
      <c r="J179" s="37">
        <v>16550</v>
      </c>
      <c r="K179" s="37" t="str">
        <f t="shared" si="52"/>
        <v>NA</v>
      </c>
      <c r="L179" s="37" t="str">
        <f t="shared" si="52"/>
        <v>NA</v>
      </c>
      <c r="M179" s="37" t="e">
        <f t="shared" si="53"/>
        <v>#VALUE!</v>
      </c>
      <c r="N179" s="37" t="e">
        <f t="shared" si="53"/>
        <v>#VALUE!</v>
      </c>
      <c r="O179" s="94" t="s">
        <v>2471</v>
      </c>
      <c r="P179" s="94" t="s">
        <v>2471</v>
      </c>
      <c r="Q179" s="94" t="s">
        <v>2471</v>
      </c>
      <c r="R179" s="94" t="s">
        <v>2471</v>
      </c>
      <c r="S179" s="94">
        <f>J179</f>
        <v>16550</v>
      </c>
      <c r="T179" s="94">
        <f>J179</f>
        <v>16550</v>
      </c>
    </row>
    <row r="180" spans="1:20" x14ac:dyDescent="0.2">
      <c r="A180" s="281" t="str">
        <f t="shared" si="51"/>
        <v>20 cbm LT</v>
      </c>
      <c r="B180" s="281" t="s">
        <v>3283</v>
      </c>
      <c r="C180" s="281"/>
      <c r="D180" s="281" t="s">
        <v>3281</v>
      </c>
      <c r="E180" s="281" t="s">
        <v>3280</v>
      </c>
      <c r="F180" s="281" t="s">
        <v>3241</v>
      </c>
      <c r="G180" s="281">
        <v>20000</v>
      </c>
      <c r="H180" s="281" t="s">
        <v>3241</v>
      </c>
      <c r="I180" s="242" t="s">
        <v>3241</v>
      </c>
      <c r="J180" s="37">
        <v>26605.25</v>
      </c>
      <c r="K180" s="37" t="str">
        <f t="shared" si="52"/>
        <v>NA</v>
      </c>
      <c r="L180" s="37" t="str">
        <f t="shared" si="52"/>
        <v>NA</v>
      </c>
      <c r="M180" s="37" t="e">
        <f t="shared" si="53"/>
        <v>#VALUE!</v>
      </c>
      <c r="N180" s="37" t="e">
        <f t="shared" si="53"/>
        <v>#VALUE!</v>
      </c>
      <c r="O180" s="94" t="s">
        <v>2471</v>
      </c>
      <c r="P180" s="94" t="s">
        <v>2471</v>
      </c>
      <c r="Q180" s="94" t="s">
        <v>2471</v>
      </c>
      <c r="R180" s="94" t="s">
        <v>2471</v>
      </c>
      <c r="S180" s="94">
        <f t="shared" ref="S180:S182" si="56">J180</f>
        <v>26605.25</v>
      </c>
      <c r="T180" s="94">
        <f t="shared" ref="T180:T182" si="57">J180</f>
        <v>26605.25</v>
      </c>
    </row>
    <row r="181" spans="1:20" x14ac:dyDescent="0.2">
      <c r="A181" s="281" t="str">
        <f t="shared" si="51"/>
        <v>30 cbm LT</v>
      </c>
      <c r="B181" s="281" t="s">
        <v>3284</v>
      </c>
      <c r="C181" s="281"/>
      <c r="D181" s="281" t="s">
        <v>3281</v>
      </c>
      <c r="E181" s="281" t="s">
        <v>3250</v>
      </c>
      <c r="F181" s="281" t="s">
        <v>3241</v>
      </c>
      <c r="G181" s="281">
        <v>30000</v>
      </c>
      <c r="H181" s="281" t="s">
        <v>3241</v>
      </c>
      <c r="I181" s="242" t="s">
        <v>3241</v>
      </c>
      <c r="J181" s="37">
        <v>25318.44</v>
      </c>
      <c r="K181" s="37" t="str">
        <f t="shared" si="52"/>
        <v>NA</v>
      </c>
      <c r="L181" s="37" t="str">
        <f t="shared" si="52"/>
        <v>NA</v>
      </c>
      <c r="M181" s="37" t="e">
        <f t="shared" si="53"/>
        <v>#VALUE!</v>
      </c>
      <c r="N181" s="37" t="e">
        <f t="shared" si="53"/>
        <v>#VALUE!</v>
      </c>
      <c r="O181" s="94" t="s">
        <v>2471</v>
      </c>
      <c r="P181" s="94" t="s">
        <v>2471</v>
      </c>
      <c r="Q181" s="94" t="s">
        <v>2471</v>
      </c>
      <c r="R181" s="94" t="s">
        <v>2471</v>
      </c>
      <c r="S181" s="94">
        <f t="shared" si="56"/>
        <v>25318.44</v>
      </c>
      <c r="T181" s="94">
        <f t="shared" si="57"/>
        <v>25318.44</v>
      </c>
    </row>
    <row r="182" spans="1:20" x14ac:dyDescent="0.2">
      <c r="A182" s="281" t="str">
        <f t="shared" si="51"/>
        <v>40 cbm LT</v>
      </c>
      <c r="B182" s="281" t="s">
        <v>3285</v>
      </c>
      <c r="C182" s="281"/>
      <c r="D182" s="281" t="s">
        <v>3281</v>
      </c>
      <c r="E182" s="281" t="s">
        <v>3260</v>
      </c>
      <c r="F182" s="281" t="s">
        <v>3241</v>
      </c>
      <c r="G182" s="281">
        <v>40000</v>
      </c>
      <c r="H182" s="281" t="s">
        <v>3241</v>
      </c>
      <c r="I182" s="242" t="s">
        <v>3241</v>
      </c>
      <c r="J182" s="37">
        <v>28492.17</v>
      </c>
      <c r="K182" s="37" t="str">
        <f t="shared" si="52"/>
        <v>NA</v>
      </c>
      <c r="L182" s="37" t="str">
        <f t="shared" si="52"/>
        <v>NA</v>
      </c>
      <c r="M182" s="37" t="e">
        <f t="shared" si="53"/>
        <v>#VALUE!</v>
      </c>
      <c r="N182" s="37" t="e">
        <f t="shared" si="53"/>
        <v>#VALUE!</v>
      </c>
      <c r="O182" s="94" t="s">
        <v>2471</v>
      </c>
      <c r="P182" s="94" t="s">
        <v>2471</v>
      </c>
      <c r="Q182" s="94" t="s">
        <v>2471</v>
      </c>
      <c r="R182" s="94" t="s">
        <v>2471</v>
      </c>
      <c r="S182" s="94">
        <f t="shared" si="56"/>
        <v>28492.17</v>
      </c>
      <c r="T182" s="94">
        <f t="shared" si="57"/>
        <v>28492.17</v>
      </c>
    </row>
    <row r="183" spans="1:20" x14ac:dyDescent="0.2">
      <c r="A183" s="281" t="str">
        <f t="shared" si="45"/>
        <v>ADVC24</v>
      </c>
      <c r="B183" s="281" t="s">
        <v>3413</v>
      </c>
      <c r="D183" s="281" t="s">
        <v>3410</v>
      </c>
      <c r="E183" s="281" t="s">
        <v>3411</v>
      </c>
      <c r="F183" s="281" t="s">
        <v>3412</v>
      </c>
      <c r="G183" s="281">
        <v>0.8</v>
      </c>
      <c r="H183" s="281" t="s">
        <v>3241</v>
      </c>
      <c r="I183" s="242">
        <f>20/24</f>
        <v>0.83333333333333337</v>
      </c>
      <c r="J183" s="37">
        <v>7.5</v>
      </c>
      <c r="O183" s="94">
        <v>0</v>
      </c>
      <c r="P183" s="94">
        <v>0</v>
      </c>
      <c r="Q183" s="94" t="s">
        <v>2471</v>
      </c>
      <c r="R183" s="94" t="s">
        <v>2471</v>
      </c>
      <c r="S183" s="94">
        <v>8</v>
      </c>
      <c r="T183" s="94">
        <v>8</v>
      </c>
    </row>
    <row r="184" spans="1:20" x14ac:dyDescent="0.2">
      <c r="A184" s="281" t="str">
        <f t="shared" si="45"/>
        <v>AIDVC24</v>
      </c>
      <c r="B184" s="281" t="s">
        <v>3415</v>
      </c>
      <c r="D184" s="281" t="s">
        <v>3410</v>
      </c>
      <c r="E184" s="281" t="s">
        <v>3411</v>
      </c>
      <c r="F184" s="281" t="s">
        <v>3414</v>
      </c>
      <c r="G184" s="281">
        <v>0.9</v>
      </c>
      <c r="H184" s="281" t="s">
        <v>3241</v>
      </c>
      <c r="I184" s="242">
        <f>21/24</f>
        <v>0.875</v>
      </c>
      <c r="J184" s="37">
        <v>7.5</v>
      </c>
      <c r="O184" s="94">
        <v>0</v>
      </c>
      <c r="P184" s="94">
        <v>0</v>
      </c>
      <c r="Q184" s="94" t="s">
        <v>2471</v>
      </c>
      <c r="R184" s="94" t="s">
        <v>2471</v>
      </c>
      <c r="S184" s="94">
        <v>7.5</v>
      </c>
      <c r="T184" s="94">
        <v>7.5</v>
      </c>
    </row>
    <row r="185" spans="1:20" x14ac:dyDescent="0.2">
      <c r="A185" s="281" t="str">
        <f t="shared" si="45"/>
        <v>VDC 24-CF</v>
      </c>
      <c r="B185" s="281" t="s">
        <v>3417</v>
      </c>
      <c r="D185" s="281" t="s">
        <v>3410</v>
      </c>
      <c r="E185" s="281" t="s">
        <v>3411</v>
      </c>
      <c r="F185" s="281" t="s">
        <v>3416</v>
      </c>
      <c r="G185" s="281">
        <v>0.9</v>
      </c>
      <c r="H185" s="281" t="s">
        <v>3241</v>
      </c>
      <c r="I185" s="242">
        <f>20/24</f>
        <v>0.83333333333333337</v>
      </c>
      <c r="J185" s="37">
        <v>9</v>
      </c>
      <c r="O185" s="94">
        <v>0</v>
      </c>
      <c r="P185" s="94">
        <v>0</v>
      </c>
      <c r="Q185" s="94" t="s">
        <v>2471</v>
      </c>
      <c r="R185" s="94" t="s">
        <v>2471</v>
      </c>
      <c r="S185" s="94">
        <v>7.5</v>
      </c>
      <c r="T185" s="94">
        <v>7.5</v>
      </c>
    </row>
    <row r="186" spans="1:20" x14ac:dyDescent="0.2">
      <c r="A186" s="281" t="str">
        <f t="shared" si="45"/>
        <v>BBVC23</v>
      </c>
      <c r="B186" s="281" t="s">
        <v>3419</v>
      </c>
      <c r="D186" s="281" t="s">
        <v>3410</v>
      </c>
      <c r="E186" s="281" t="s">
        <v>3411</v>
      </c>
      <c r="F186" s="281" t="s">
        <v>3418</v>
      </c>
      <c r="G186" s="281">
        <v>0.91</v>
      </c>
      <c r="H186" s="281" t="s">
        <v>3241</v>
      </c>
      <c r="I186" s="242">
        <f>17/24</f>
        <v>0.70833333333333337</v>
      </c>
      <c r="J186" s="37">
        <v>8.6999999999999993</v>
      </c>
      <c r="O186" s="94">
        <v>0</v>
      </c>
      <c r="P186" s="94">
        <v>0</v>
      </c>
      <c r="Q186" s="94" t="s">
        <v>2471</v>
      </c>
      <c r="R186" s="94" t="s">
        <v>2471</v>
      </c>
      <c r="S186" s="94">
        <v>9</v>
      </c>
      <c r="T186" s="94">
        <v>9</v>
      </c>
    </row>
    <row r="187" spans="1:20" x14ac:dyDescent="0.2">
      <c r="A187" s="281" t="str">
        <f t="shared" si="45"/>
        <v>AIVC44 LR</v>
      </c>
      <c r="B187" s="281" t="s">
        <v>3420</v>
      </c>
      <c r="D187" s="281" t="s">
        <v>3410</v>
      </c>
      <c r="E187" s="281" t="s">
        <v>3411</v>
      </c>
      <c r="F187" s="281" t="s">
        <v>3414</v>
      </c>
      <c r="G187" s="281">
        <v>1.67</v>
      </c>
      <c r="H187" s="281" t="s">
        <v>3241</v>
      </c>
      <c r="I187" s="242">
        <f>35/24</f>
        <v>1.4583333333333333</v>
      </c>
      <c r="J187" s="37">
        <v>11.5</v>
      </c>
      <c r="O187" s="94">
        <v>0</v>
      </c>
      <c r="P187" s="94">
        <v>0</v>
      </c>
      <c r="Q187" s="94" t="s">
        <v>2471</v>
      </c>
      <c r="R187" s="94" t="s">
        <v>2471</v>
      </c>
      <c r="S187" s="94">
        <v>8.6999999999999993</v>
      </c>
      <c r="T187" s="94">
        <v>8.6999999999999993</v>
      </c>
    </row>
    <row r="188" spans="1:20" x14ac:dyDescent="0.2">
      <c r="A188" s="281" t="str">
        <f t="shared" si="45"/>
        <v>BK-VC 1.7-CF</v>
      </c>
      <c r="B188" s="281" t="s">
        <v>3421</v>
      </c>
      <c r="D188" s="281" t="s">
        <v>3410</v>
      </c>
      <c r="E188" s="281" t="s">
        <v>3411</v>
      </c>
      <c r="F188" s="281" t="s">
        <v>3416</v>
      </c>
      <c r="G188" s="281">
        <v>1.7</v>
      </c>
      <c r="H188" s="281" t="s">
        <v>3241</v>
      </c>
      <c r="I188" s="242">
        <f>38/24</f>
        <v>1.5833333333333333</v>
      </c>
      <c r="J188" s="37">
        <v>14</v>
      </c>
      <c r="O188" s="94">
        <v>0</v>
      </c>
      <c r="P188" s="94">
        <v>0</v>
      </c>
      <c r="Q188" s="94" t="s">
        <v>2471</v>
      </c>
      <c r="R188" s="94" t="s">
        <v>2471</v>
      </c>
      <c r="S188" s="94">
        <v>11.5</v>
      </c>
      <c r="T188" s="94">
        <v>11.5</v>
      </c>
    </row>
    <row r="189" spans="1:20" x14ac:dyDescent="0.2">
      <c r="A189" s="281" t="str">
        <f t="shared" si="45"/>
        <v>BCVC44-A</v>
      </c>
      <c r="B189" s="281" t="s">
        <v>3422</v>
      </c>
      <c r="D189" s="281" t="s">
        <v>3410</v>
      </c>
      <c r="E189" s="281" t="s">
        <v>3411</v>
      </c>
      <c r="F189" s="281" t="s">
        <v>3418</v>
      </c>
      <c r="G189" s="281">
        <v>1.44</v>
      </c>
      <c r="H189" s="281" t="s">
        <v>3241</v>
      </c>
      <c r="I189" s="242">
        <f>39/24</f>
        <v>1.625</v>
      </c>
      <c r="J189" s="37">
        <v>11.5</v>
      </c>
      <c r="O189" s="94">
        <v>0</v>
      </c>
      <c r="P189" s="94">
        <v>0</v>
      </c>
      <c r="Q189" s="94" t="s">
        <v>2471</v>
      </c>
      <c r="R189" s="94" t="s">
        <v>2471</v>
      </c>
      <c r="S189" s="94">
        <v>14</v>
      </c>
      <c r="T189" s="94">
        <v>14</v>
      </c>
    </row>
    <row r="190" spans="1:20" x14ac:dyDescent="0.2">
      <c r="A190" s="281" t="str">
        <f t="shared" si="45"/>
        <v>RCW1</v>
      </c>
      <c r="B190" s="281" t="s">
        <v>3424</v>
      </c>
      <c r="D190" s="281" t="s">
        <v>3410</v>
      </c>
      <c r="E190" s="281" t="s">
        <v>3411</v>
      </c>
      <c r="F190" s="281" t="s">
        <v>3423</v>
      </c>
      <c r="G190" s="281">
        <v>1.18</v>
      </c>
      <c r="H190" s="281" t="s">
        <v>3241</v>
      </c>
      <c r="I190" s="242">
        <f>34/24</f>
        <v>1.4166666666666667</v>
      </c>
      <c r="J190" s="37">
        <f>102/0.855</f>
        <v>119.2982456140351</v>
      </c>
      <c r="O190" s="94">
        <v>0</v>
      </c>
      <c r="P190" s="94">
        <v>0</v>
      </c>
      <c r="Q190" s="94" t="s">
        <v>2471</v>
      </c>
      <c r="R190" s="94" t="s">
        <v>2471</v>
      </c>
      <c r="S190" s="94">
        <v>11.5</v>
      </c>
      <c r="T190" s="94">
        <v>11.5</v>
      </c>
    </row>
    <row r="191" spans="1:20" x14ac:dyDescent="0.2">
      <c r="A191" s="281" t="str">
        <f t="shared" si="45"/>
        <v>AVC46</v>
      </c>
      <c r="B191" s="281" t="s">
        <v>3425</v>
      </c>
      <c r="D191" s="281" t="s">
        <v>3410</v>
      </c>
      <c r="E191" s="281" t="s">
        <v>3411</v>
      </c>
      <c r="F191" s="281" t="s">
        <v>3412</v>
      </c>
      <c r="G191" s="281">
        <v>2.46</v>
      </c>
      <c r="H191" s="281" t="s">
        <v>3241</v>
      </c>
      <c r="I191" s="242">
        <f>50/24</f>
        <v>2.0833333333333335</v>
      </c>
      <c r="J191" s="37">
        <v>12</v>
      </c>
      <c r="O191" s="94">
        <v>0</v>
      </c>
      <c r="P191" s="94">
        <v>0</v>
      </c>
      <c r="Q191" s="94" t="s">
        <v>2471</v>
      </c>
      <c r="R191" s="94" t="s">
        <v>2471</v>
      </c>
      <c r="S191" s="94">
        <f>102/0.855</f>
        <v>119.2982456140351</v>
      </c>
      <c r="T191" s="94">
        <f>102/0.855</f>
        <v>119.2982456140351</v>
      </c>
    </row>
    <row r="192" spans="1:20" x14ac:dyDescent="0.2">
      <c r="A192" s="281" t="str">
        <f t="shared" si="45"/>
        <v>AIVC46</v>
      </c>
      <c r="B192" s="281" t="s">
        <v>3426</v>
      </c>
      <c r="D192" s="281" t="s">
        <v>3410</v>
      </c>
      <c r="E192" s="281" t="s">
        <v>3411</v>
      </c>
      <c r="F192" s="281" t="s">
        <v>3414</v>
      </c>
      <c r="G192" s="281">
        <v>2.9</v>
      </c>
      <c r="H192" s="281" t="s">
        <v>3241</v>
      </c>
      <c r="I192" s="242">
        <f>51/24</f>
        <v>2.125</v>
      </c>
      <c r="J192" s="37">
        <v>12.05</v>
      </c>
      <c r="O192" s="94">
        <v>0</v>
      </c>
      <c r="P192" s="94">
        <v>0</v>
      </c>
      <c r="Q192" s="94" t="s">
        <v>2471</v>
      </c>
      <c r="R192" s="94" t="s">
        <v>2471</v>
      </c>
      <c r="S192" s="94">
        <v>12</v>
      </c>
      <c r="T192" s="94">
        <v>12</v>
      </c>
    </row>
    <row r="193" spans="1:20" x14ac:dyDescent="0.2">
      <c r="A193" s="281" t="str">
        <f t="shared" si="45"/>
        <v>BK-VC 2.6-CF</v>
      </c>
      <c r="B193" s="281" t="s">
        <v>3427</v>
      </c>
      <c r="D193" s="281" t="s">
        <v>3410</v>
      </c>
      <c r="E193" s="281" t="s">
        <v>3411</v>
      </c>
      <c r="F193" s="281" t="s">
        <v>3416</v>
      </c>
      <c r="G193" s="281">
        <v>2.6</v>
      </c>
      <c r="H193" s="281" t="s">
        <v>3241</v>
      </c>
      <c r="I193" s="242">
        <f>43/24</f>
        <v>1.7916666666666667</v>
      </c>
      <c r="J193" s="37">
        <v>16</v>
      </c>
      <c r="O193" s="94">
        <v>0</v>
      </c>
      <c r="P193" s="94">
        <v>0</v>
      </c>
      <c r="Q193" s="94" t="s">
        <v>2471</v>
      </c>
      <c r="R193" s="94" t="s">
        <v>2471</v>
      </c>
      <c r="S193" s="94">
        <v>12.05</v>
      </c>
      <c r="T193" s="94">
        <v>12.05</v>
      </c>
    </row>
    <row r="194" spans="1:20" x14ac:dyDescent="0.2">
      <c r="A194" s="281" t="str">
        <f t="shared" si="45"/>
        <v>BCVC46</v>
      </c>
      <c r="B194" s="281" t="s">
        <v>3428</v>
      </c>
      <c r="D194" s="281" t="s">
        <v>3410</v>
      </c>
      <c r="E194" s="281" t="s">
        <v>3411</v>
      </c>
      <c r="F194" s="281" t="s">
        <v>3418</v>
      </c>
      <c r="G194" s="281">
        <v>2.74</v>
      </c>
      <c r="H194" s="281" t="s">
        <v>3241</v>
      </c>
      <c r="I194" s="242">
        <f>46/24</f>
        <v>1.9166666666666667</v>
      </c>
      <c r="J194" s="37">
        <v>15.8</v>
      </c>
      <c r="O194" s="94">
        <v>0</v>
      </c>
      <c r="P194" s="94">
        <v>0</v>
      </c>
      <c r="Q194" s="94" t="s">
        <v>2471</v>
      </c>
      <c r="R194" s="94" t="s">
        <v>2471</v>
      </c>
      <c r="S194" s="94">
        <v>16</v>
      </c>
      <c r="T194" s="94">
        <v>16</v>
      </c>
    </row>
    <row r="195" spans="1:20" x14ac:dyDescent="0.2">
      <c r="A195" s="281" t="str">
        <f t="shared" si="45"/>
        <v>RCW4</v>
      </c>
      <c r="B195" s="281" t="s">
        <v>3429</v>
      </c>
      <c r="D195" s="281" t="s">
        <v>3410</v>
      </c>
      <c r="E195" s="281" t="s">
        <v>3411</v>
      </c>
      <c r="F195" s="281" t="s">
        <v>3423</v>
      </c>
      <c r="G195" s="281">
        <v>3</v>
      </c>
      <c r="H195" s="281" t="s">
        <v>3241</v>
      </c>
      <c r="I195" s="242">
        <f>30/24</f>
        <v>1.25</v>
      </c>
      <c r="J195" s="37">
        <f>246/0.855</f>
        <v>287.71929824561403</v>
      </c>
      <c r="O195" s="94">
        <v>0</v>
      </c>
      <c r="P195" s="94">
        <v>0</v>
      </c>
      <c r="Q195" s="94" t="s">
        <v>2471</v>
      </c>
      <c r="R195" s="94" t="s">
        <v>2471</v>
      </c>
      <c r="S195" s="94">
        <v>15.8</v>
      </c>
      <c r="T195" s="94">
        <v>15.8</v>
      </c>
    </row>
    <row r="196" spans="1:20" x14ac:dyDescent="0.2">
      <c r="A196" s="281" t="str">
        <f t="shared" ref="A196:A259" si="58">B196</f>
        <v>BK-VC 3.4-CF</v>
      </c>
      <c r="B196" s="281" t="s">
        <v>3430</v>
      </c>
      <c r="D196" s="281" t="s">
        <v>3410</v>
      </c>
      <c r="E196" s="281" t="s">
        <v>3411</v>
      </c>
      <c r="F196" s="281" t="s">
        <v>3416</v>
      </c>
      <c r="G196" s="281">
        <v>3.4</v>
      </c>
      <c r="H196" s="281" t="s">
        <v>3241</v>
      </c>
      <c r="I196" s="242">
        <f>43/24</f>
        <v>1.7916666666666667</v>
      </c>
      <c r="J196" s="37">
        <v>21</v>
      </c>
      <c r="O196" s="94">
        <v>0</v>
      </c>
      <c r="P196" s="94">
        <v>0</v>
      </c>
      <c r="Q196" s="94" t="s">
        <v>2471</v>
      </c>
      <c r="R196" s="94" t="s">
        <v>2471</v>
      </c>
      <c r="S196" s="94">
        <f>246/0.855</f>
        <v>287.71929824561403</v>
      </c>
      <c r="T196" s="94">
        <f>246/0.855</f>
        <v>287.71929824561403</v>
      </c>
    </row>
    <row r="197" spans="1:20" x14ac:dyDescent="0.2">
      <c r="A197" s="281" t="str">
        <f t="shared" si="58"/>
        <v>AFVC 46</v>
      </c>
      <c r="B197" s="281" t="s">
        <v>3432</v>
      </c>
      <c r="D197" s="281" t="s">
        <v>3431</v>
      </c>
      <c r="E197" s="281" t="s">
        <v>3411</v>
      </c>
      <c r="F197" s="281" t="s">
        <v>3412</v>
      </c>
      <c r="G197" s="281">
        <v>1.5</v>
      </c>
      <c r="H197" s="281" t="s">
        <v>3241</v>
      </c>
      <c r="I197" s="242">
        <v>1.4166666666666667</v>
      </c>
      <c r="J197" s="37">
        <v>51</v>
      </c>
      <c r="O197" s="94">
        <v>0</v>
      </c>
      <c r="P197" s="94">
        <v>0</v>
      </c>
      <c r="Q197" s="94" t="s">
        <v>2471</v>
      </c>
      <c r="R197" s="94" t="s">
        <v>2471</v>
      </c>
      <c r="S197" s="94">
        <v>21</v>
      </c>
      <c r="T197" s="94">
        <v>21</v>
      </c>
    </row>
    <row r="198" spans="1:20" x14ac:dyDescent="0.2">
      <c r="A198" s="281" t="str">
        <f t="shared" si="58"/>
        <v>BK-VC-FF 1.6L</v>
      </c>
      <c r="B198" s="281" t="s">
        <v>3434</v>
      </c>
      <c r="D198" s="281" t="s">
        <v>3431</v>
      </c>
      <c r="E198" s="281" t="s">
        <v>3411</v>
      </c>
      <c r="F198" s="281" t="s">
        <v>3433</v>
      </c>
      <c r="G198" s="281">
        <v>1.6</v>
      </c>
      <c r="H198" s="281" t="s">
        <v>3241</v>
      </c>
      <c r="I198" s="242">
        <v>1.25</v>
      </c>
      <c r="J198" s="37">
        <v>55</v>
      </c>
      <c r="O198" s="94">
        <v>0</v>
      </c>
      <c r="P198" s="94">
        <v>0</v>
      </c>
      <c r="Q198" s="94" t="s">
        <v>2471</v>
      </c>
      <c r="R198" s="94" t="s">
        <v>2471</v>
      </c>
      <c r="S198" s="94">
        <v>51</v>
      </c>
      <c r="T198" s="94">
        <v>51</v>
      </c>
    </row>
    <row r="199" spans="1:20" x14ac:dyDescent="0.2">
      <c r="A199" s="281" t="str">
        <f t="shared" si="58"/>
        <v>FFVC-1.7L</v>
      </c>
      <c r="B199" s="281" t="s">
        <v>3436</v>
      </c>
      <c r="D199" s="281" t="s">
        <v>3431</v>
      </c>
      <c r="E199" s="281" t="s">
        <v>3411</v>
      </c>
      <c r="F199" s="281" t="s">
        <v>3435</v>
      </c>
      <c r="G199" s="281">
        <v>1.7</v>
      </c>
      <c r="H199" s="281" t="s">
        <v>3241</v>
      </c>
      <c r="I199" s="242">
        <f>33.7/24</f>
        <v>1.4041666666666668</v>
      </c>
      <c r="J199" s="37">
        <v>45</v>
      </c>
      <c r="O199" s="94">
        <v>0</v>
      </c>
      <c r="P199" s="94">
        <v>0</v>
      </c>
      <c r="Q199" s="94" t="s">
        <v>2471</v>
      </c>
      <c r="R199" s="94" t="s">
        <v>2471</v>
      </c>
      <c r="S199" s="94">
        <v>45</v>
      </c>
      <c r="T199" s="94">
        <v>45</v>
      </c>
    </row>
    <row r="200" spans="1:20" x14ac:dyDescent="0.2">
      <c r="A200" s="281" t="str">
        <f t="shared" si="58"/>
        <v>AICB243S</v>
      </c>
      <c r="B200" s="281" t="s">
        <v>3439</v>
      </c>
      <c r="D200" s="281" t="s">
        <v>3437</v>
      </c>
      <c r="E200" s="281" t="s">
        <v>3438</v>
      </c>
      <c r="F200" s="281" t="s">
        <v>3414</v>
      </c>
      <c r="G200" s="281">
        <v>8</v>
      </c>
      <c r="H200" s="281" t="s">
        <v>3241</v>
      </c>
      <c r="I200" s="242">
        <f>84/24</f>
        <v>3.5</v>
      </c>
      <c r="J200" s="37">
        <v>130</v>
      </c>
      <c r="O200" s="94">
        <v>0</v>
      </c>
      <c r="P200" s="94">
        <v>0</v>
      </c>
      <c r="Q200" s="94" t="s">
        <v>2471</v>
      </c>
      <c r="R200" s="94" t="s">
        <v>2471</v>
      </c>
      <c r="S200" s="94">
        <v>130</v>
      </c>
      <c r="T200" s="94">
        <v>130</v>
      </c>
    </row>
    <row r="201" spans="1:20" x14ac:dyDescent="0.2">
      <c r="A201" s="281" t="str">
        <f t="shared" si="58"/>
        <v>CB-55-CF</v>
      </c>
      <c r="B201" s="281" t="s">
        <v>3440</v>
      </c>
      <c r="D201" s="281" t="s">
        <v>3437</v>
      </c>
      <c r="E201" s="281" t="s">
        <v>3438</v>
      </c>
      <c r="F201" s="281" t="s">
        <v>3416</v>
      </c>
      <c r="G201" s="281">
        <v>7</v>
      </c>
      <c r="H201" s="281" t="s">
        <v>3241</v>
      </c>
      <c r="I201" s="242">
        <f>89/24</f>
        <v>3.7083333333333335</v>
      </c>
      <c r="J201" s="37">
        <v>100</v>
      </c>
      <c r="O201" s="94">
        <v>0</v>
      </c>
      <c r="P201" s="94">
        <v>0</v>
      </c>
      <c r="Q201" s="94" t="s">
        <v>2471</v>
      </c>
      <c r="R201" s="94" t="s">
        <v>2471</v>
      </c>
      <c r="S201" s="94">
        <v>100</v>
      </c>
      <c r="T201" s="94">
        <v>100</v>
      </c>
    </row>
    <row r="202" spans="1:20" x14ac:dyDescent="0.2">
      <c r="A202" s="281" t="str">
        <f t="shared" si="58"/>
        <v>RCB324SS</v>
      </c>
      <c r="B202" s="281" t="s">
        <v>3441</v>
      </c>
      <c r="D202" s="281" t="s">
        <v>3437</v>
      </c>
      <c r="E202" s="281" t="s">
        <v>3438</v>
      </c>
      <c r="F202" s="281" t="s">
        <v>3418</v>
      </c>
      <c r="G202" s="281">
        <v>15</v>
      </c>
      <c r="H202" s="281" t="s">
        <v>3241</v>
      </c>
      <c r="I202" s="242">
        <f>53/24</f>
        <v>2.2083333333333335</v>
      </c>
      <c r="J202" s="37">
        <v>100</v>
      </c>
      <c r="O202" s="94">
        <v>0</v>
      </c>
      <c r="P202" s="94">
        <v>0</v>
      </c>
      <c r="Q202" s="94" t="s">
        <v>2471</v>
      </c>
      <c r="R202" s="94" t="s">
        <v>2471</v>
      </c>
      <c r="S202" s="94">
        <v>100</v>
      </c>
      <c r="T202" s="94">
        <v>100</v>
      </c>
    </row>
    <row r="203" spans="1:20" x14ac:dyDescent="0.2">
      <c r="A203" s="281" t="str">
        <f t="shared" si="58"/>
        <v>RCW8</v>
      </c>
      <c r="B203" s="281" t="s">
        <v>3442</v>
      </c>
      <c r="D203" s="281" t="s">
        <v>3437</v>
      </c>
      <c r="E203" s="281" t="s">
        <v>3438</v>
      </c>
      <c r="F203" s="281" t="s">
        <v>3423</v>
      </c>
      <c r="G203" s="281">
        <v>6</v>
      </c>
      <c r="H203" s="281" t="s">
        <v>3241</v>
      </c>
      <c r="I203" s="242">
        <f>57/24</f>
        <v>2.375</v>
      </c>
      <c r="J203" s="37">
        <f>280/0.855</f>
        <v>327.48538011695905</v>
      </c>
      <c r="O203" s="94">
        <v>0</v>
      </c>
      <c r="P203" s="94">
        <v>0</v>
      </c>
      <c r="Q203" s="94" t="s">
        <v>2471</v>
      </c>
      <c r="R203" s="94" t="s">
        <v>2471</v>
      </c>
      <c r="S203" s="94">
        <f>280/0.855</f>
        <v>327.48538011695905</v>
      </c>
      <c r="T203" s="94">
        <f>280/0.855</f>
        <v>327.48538011695905</v>
      </c>
    </row>
    <row r="204" spans="1:20" x14ac:dyDescent="0.2">
      <c r="A204" s="281" t="str">
        <f t="shared" si="58"/>
        <v>ACB264SL</v>
      </c>
      <c r="B204" s="281" t="s">
        <v>3443</v>
      </c>
      <c r="D204" s="281" t="s">
        <v>3437</v>
      </c>
      <c r="E204" s="281" t="s">
        <v>3438</v>
      </c>
      <c r="F204" s="281" t="s">
        <v>3412</v>
      </c>
      <c r="G204" s="281">
        <v>6</v>
      </c>
      <c r="H204" s="281" t="s">
        <v>3241</v>
      </c>
      <c r="I204" s="242">
        <f>132/24</f>
        <v>5.5</v>
      </c>
      <c r="J204" s="37">
        <v>85</v>
      </c>
      <c r="O204" s="94">
        <v>0</v>
      </c>
      <c r="P204" s="94">
        <v>0</v>
      </c>
      <c r="Q204" s="94" t="s">
        <v>2471</v>
      </c>
      <c r="R204" s="94" t="s">
        <v>2471</v>
      </c>
      <c r="S204" s="94">
        <v>85</v>
      </c>
      <c r="T204" s="94">
        <v>85</v>
      </c>
    </row>
    <row r="205" spans="1:20" x14ac:dyDescent="0.2">
      <c r="A205" s="281" t="str">
        <f t="shared" si="58"/>
        <v>AICB156L</v>
      </c>
      <c r="B205" s="281" t="s">
        <v>3444</v>
      </c>
      <c r="D205" s="281" t="s">
        <v>3437</v>
      </c>
      <c r="E205" s="281" t="s">
        <v>3438</v>
      </c>
      <c r="F205" s="281" t="s">
        <v>3414</v>
      </c>
      <c r="G205" s="281">
        <v>5.5</v>
      </c>
      <c r="H205" s="281" t="s">
        <v>3241</v>
      </c>
      <c r="I205" s="242">
        <f>107/24</f>
        <v>4.458333333333333</v>
      </c>
      <c r="J205" s="37">
        <v>130</v>
      </c>
      <c r="O205" s="94">
        <v>0</v>
      </c>
      <c r="P205" s="94">
        <v>0</v>
      </c>
      <c r="Q205" s="94" t="s">
        <v>2471</v>
      </c>
      <c r="R205" s="94" t="s">
        <v>2471</v>
      </c>
      <c r="S205" s="94">
        <v>130</v>
      </c>
      <c r="T205" s="94">
        <v>130</v>
      </c>
    </row>
    <row r="206" spans="1:20" x14ac:dyDescent="0.2">
      <c r="A206" s="281" t="str">
        <f t="shared" si="58"/>
        <v>CB-12-CF</v>
      </c>
      <c r="B206" s="281" t="s">
        <v>3445</v>
      </c>
      <c r="D206" s="281" t="s">
        <v>3437</v>
      </c>
      <c r="E206" s="281" t="s">
        <v>3438</v>
      </c>
      <c r="F206" s="281" t="s">
        <v>3416</v>
      </c>
      <c r="G206" s="281">
        <v>12</v>
      </c>
      <c r="H206" s="281" t="s">
        <v>3241</v>
      </c>
      <c r="I206" s="242">
        <f>156/24</f>
        <v>6.5</v>
      </c>
      <c r="J206" s="37">
        <v>120</v>
      </c>
      <c r="O206" s="94">
        <v>0</v>
      </c>
      <c r="P206" s="94">
        <v>0</v>
      </c>
      <c r="Q206" s="94" t="s">
        <v>2471</v>
      </c>
      <c r="R206" s="94" t="s">
        <v>2471</v>
      </c>
      <c r="S206" s="94">
        <v>120</v>
      </c>
      <c r="T206" s="94">
        <v>120</v>
      </c>
    </row>
    <row r="207" spans="1:20" x14ac:dyDescent="0.2">
      <c r="A207" s="281" t="str">
        <f t="shared" si="58"/>
        <v>RCB264SL</v>
      </c>
      <c r="B207" s="281" t="s">
        <v>3446</v>
      </c>
      <c r="D207" s="281" t="s">
        <v>3437</v>
      </c>
      <c r="E207" s="281" t="s">
        <v>3438</v>
      </c>
      <c r="F207" s="281" t="s">
        <v>3418</v>
      </c>
      <c r="G207" s="281">
        <v>6</v>
      </c>
      <c r="H207" s="281" t="s">
        <v>3241</v>
      </c>
      <c r="I207" s="242">
        <f>106/24</f>
        <v>4.416666666666667</v>
      </c>
      <c r="J207" s="37">
        <v>99</v>
      </c>
      <c r="O207" s="94">
        <v>0</v>
      </c>
      <c r="P207" s="94">
        <v>0</v>
      </c>
      <c r="Q207" s="94" t="s">
        <v>2471</v>
      </c>
      <c r="R207" s="94" t="s">
        <v>2471</v>
      </c>
      <c r="S207" s="94">
        <v>99</v>
      </c>
      <c r="T207" s="94">
        <v>99</v>
      </c>
    </row>
    <row r="208" spans="1:20" x14ac:dyDescent="0.2">
      <c r="A208" s="281" t="str">
        <f t="shared" si="58"/>
        <v>RCW12</v>
      </c>
      <c r="B208" s="281" t="s">
        <v>3447</v>
      </c>
      <c r="D208" s="281" t="s">
        <v>3437</v>
      </c>
      <c r="E208" s="281" t="s">
        <v>3438</v>
      </c>
      <c r="F208" s="281" t="s">
        <v>3423</v>
      </c>
      <c r="G208" s="281">
        <v>7</v>
      </c>
      <c r="H208" s="281" t="s">
        <v>3241</v>
      </c>
      <c r="I208" s="242">
        <f>114/24</f>
        <v>4.75</v>
      </c>
      <c r="J208" s="37">
        <f>539/0.855</f>
        <v>630.40935672514627</v>
      </c>
      <c r="O208" s="94">
        <v>0</v>
      </c>
      <c r="P208" s="94">
        <v>0</v>
      </c>
      <c r="Q208" s="94" t="s">
        <v>2471</v>
      </c>
      <c r="R208" s="94" t="s">
        <v>2471</v>
      </c>
      <c r="S208" s="94">
        <f>539/0.855</f>
        <v>630.40935672514627</v>
      </c>
      <c r="T208" s="94">
        <f>539/0.855</f>
        <v>630.40935672514627</v>
      </c>
    </row>
    <row r="209" spans="1:20" x14ac:dyDescent="0.2">
      <c r="A209" s="281" t="str">
        <f t="shared" si="58"/>
        <v>AICB444L</v>
      </c>
      <c r="B209" s="281" t="s">
        <v>3449</v>
      </c>
      <c r="D209" s="281" t="s">
        <v>3437</v>
      </c>
      <c r="E209" s="281" t="s">
        <v>3448</v>
      </c>
      <c r="F209" s="281" t="s">
        <v>3414</v>
      </c>
      <c r="G209" s="281">
        <v>18</v>
      </c>
      <c r="H209" s="281" t="s">
        <v>3241</v>
      </c>
      <c r="I209" s="242">
        <f>140/24</f>
        <v>5.833333333333333</v>
      </c>
      <c r="J209" s="37">
        <v>122</v>
      </c>
      <c r="O209" s="94">
        <v>0</v>
      </c>
      <c r="P209" s="94">
        <v>0</v>
      </c>
      <c r="Q209" s="94" t="s">
        <v>2471</v>
      </c>
      <c r="R209" s="94" t="s">
        <v>2471</v>
      </c>
      <c r="S209" s="94">
        <v>122</v>
      </c>
      <c r="T209" s="94">
        <v>122</v>
      </c>
    </row>
    <row r="210" spans="1:20" x14ac:dyDescent="0.2">
      <c r="A210" s="281" t="str">
        <f t="shared" si="58"/>
        <v>RCB246LS</v>
      </c>
      <c r="B210" s="281" t="s">
        <v>3450</v>
      </c>
      <c r="D210" s="281" t="s">
        <v>3437</v>
      </c>
      <c r="E210" s="281" t="s">
        <v>3448</v>
      </c>
      <c r="F210" s="281" t="s">
        <v>3418</v>
      </c>
      <c r="G210" s="281">
        <v>16</v>
      </c>
      <c r="H210" s="281" t="s">
        <v>3241</v>
      </c>
      <c r="I210" s="242">
        <f>73/24</f>
        <v>3.0416666666666665</v>
      </c>
      <c r="J210" s="37">
        <v>100</v>
      </c>
      <c r="O210" s="94">
        <v>0</v>
      </c>
      <c r="P210" s="94">
        <v>0</v>
      </c>
      <c r="Q210" s="94" t="s">
        <v>2471</v>
      </c>
      <c r="R210" s="94" t="s">
        <v>2471</v>
      </c>
      <c r="S210" s="94">
        <v>100</v>
      </c>
      <c r="T210" s="94">
        <v>100</v>
      </c>
    </row>
    <row r="211" spans="1:20" x14ac:dyDescent="0.2">
      <c r="A211" s="281" t="str">
        <f t="shared" si="58"/>
        <v>ACB503L</v>
      </c>
      <c r="B211" s="281" t="s">
        <v>3451</v>
      </c>
      <c r="D211" s="281" t="s">
        <v>3437</v>
      </c>
      <c r="E211" s="281" t="s">
        <v>3448</v>
      </c>
      <c r="F211" s="281" t="s">
        <v>3412</v>
      </c>
      <c r="G211" s="281">
        <v>18</v>
      </c>
      <c r="H211" s="281" t="s">
        <v>3241</v>
      </c>
      <c r="I211" s="242">
        <f>126/24</f>
        <v>5.25</v>
      </c>
      <c r="J211" s="37">
        <v>115</v>
      </c>
      <c r="O211" s="94">
        <v>0</v>
      </c>
      <c r="P211" s="94">
        <v>0</v>
      </c>
      <c r="Q211" s="94" t="s">
        <v>2471</v>
      </c>
      <c r="R211" s="94" t="s">
        <v>2471</v>
      </c>
      <c r="S211" s="94">
        <v>115</v>
      </c>
      <c r="T211" s="94">
        <v>115</v>
      </c>
    </row>
    <row r="212" spans="1:20" x14ac:dyDescent="0.2">
      <c r="A212" s="281" t="str">
        <f t="shared" si="58"/>
        <v>AICB503L</v>
      </c>
      <c r="B212" s="281" t="s">
        <v>3452</v>
      </c>
      <c r="D212" s="281" t="s">
        <v>3437</v>
      </c>
      <c r="E212" s="281" t="s">
        <v>3448</v>
      </c>
      <c r="F212" s="281" t="s">
        <v>3414</v>
      </c>
      <c r="G212" s="281">
        <v>22.5</v>
      </c>
      <c r="H212" s="281" t="s">
        <v>3241</v>
      </c>
      <c r="I212" s="242">
        <f>128/24</f>
        <v>5.333333333333333</v>
      </c>
      <c r="J212" s="37">
        <v>115</v>
      </c>
      <c r="O212" s="94">
        <v>0</v>
      </c>
      <c r="P212" s="94">
        <v>0</v>
      </c>
      <c r="Q212" s="94" t="s">
        <v>2471</v>
      </c>
      <c r="R212" s="94" t="s">
        <v>2471</v>
      </c>
      <c r="S212" s="94">
        <v>115</v>
      </c>
      <c r="T212" s="94">
        <v>115</v>
      </c>
    </row>
    <row r="213" spans="1:20" x14ac:dyDescent="0.2">
      <c r="A213" s="281" t="str">
        <f t="shared" si="58"/>
        <v>CB-20-CF</v>
      </c>
      <c r="B213" s="281" t="s">
        <v>3453</v>
      </c>
      <c r="D213" s="281" t="s">
        <v>3437</v>
      </c>
      <c r="E213" s="281" t="s">
        <v>3448</v>
      </c>
      <c r="F213" s="281" t="s">
        <v>3416</v>
      </c>
      <c r="G213" s="281">
        <v>24</v>
      </c>
      <c r="H213" s="281" t="s">
        <v>3241</v>
      </c>
      <c r="I213" s="242">
        <f>138/24</f>
        <v>5.75</v>
      </c>
      <c r="J213" s="37">
        <v>160</v>
      </c>
      <c r="O213" s="94">
        <v>0</v>
      </c>
      <c r="P213" s="94">
        <v>0</v>
      </c>
      <c r="Q213" s="94" t="s">
        <v>2471</v>
      </c>
      <c r="R213" s="94" t="s">
        <v>2471</v>
      </c>
      <c r="S213" s="94">
        <v>160</v>
      </c>
      <c r="T213" s="94">
        <v>160</v>
      </c>
    </row>
    <row r="214" spans="1:20" x14ac:dyDescent="0.2">
      <c r="A214" s="281" t="str">
        <f t="shared" si="58"/>
        <v>RCB444L-A</v>
      </c>
      <c r="B214" s="281" t="s">
        <v>3454</v>
      </c>
      <c r="D214" s="281" t="s">
        <v>3437</v>
      </c>
      <c r="E214" s="281" t="s">
        <v>3448</v>
      </c>
      <c r="F214" s="281" t="s">
        <v>3418</v>
      </c>
      <c r="G214" s="281">
        <v>20.25</v>
      </c>
      <c r="H214" s="281" t="s">
        <v>3241</v>
      </c>
      <c r="I214" s="242">
        <f>152/24</f>
        <v>6.333333333333333</v>
      </c>
      <c r="J214" s="37">
        <v>130</v>
      </c>
      <c r="O214" s="94">
        <v>0</v>
      </c>
      <c r="P214" s="94">
        <v>0</v>
      </c>
      <c r="Q214" s="94" t="s">
        <v>2471</v>
      </c>
      <c r="R214" s="94" t="s">
        <v>2471</v>
      </c>
      <c r="S214" s="94">
        <v>130</v>
      </c>
      <c r="T214" s="94">
        <v>130</v>
      </c>
    </row>
    <row r="215" spans="1:20" x14ac:dyDescent="0.2">
      <c r="A215" s="281" t="str">
        <f t="shared" si="58"/>
        <v>RCW25</v>
      </c>
      <c r="B215" s="281" t="s">
        <v>3455</v>
      </c>
      <c r="D215" s="281" t="s">
        <v>3437</v>
      </c>
      <c r="E215" s="281" t="s">
        <v>3448</v>
      </c>
      <c r="F215" s="281" t="s">
        <v>3423</v>
      </c>
      <c r="G215" s="281">
        <v>20</v>
      </c>
      <c r="H215" s="281" t="s">
        <v>3241</v>
      </c>
      <c r="I215" s="242">
        <f>134/24</f>
        <v>5.583333333333333</v>
      </c>
      <c r="J215" s="37">
        <f>703/0.855</f>
        <v>822.22222222222229</v>
      </c>
      <c r="O215" s="94">
        <v>0</v>
      </c>
      <c r="P215" s="94">
        <v>0</v>
      </c>
      <c r="Q215" s="94" t="s">
        <v>2471</v>
      </c>
      <c r="R215" s="94" t="s">
        <v>2471</v>
      </c>
      <c r="S215" s="94">
        <f>703/0.855</f>
        <v>822.22222222222229</v>
      </c>
      <c r="T215" s="94">
        <f>703/0.855</f>
        <v>822.22222222222229</v>
      </c>
    </row>
    <row r="216" spans="1:20" x14ac:dyDescent="0.2">
      <c r="A216" s="281" t="str">
        <f t="shared" si="58"/>
        <v>FFCB-15L</v>
      </c>
      <c r="B216" s="281" t="s">
        <v>3457</v>
      </c>
      <c r="D216" s="281" t="s">
        <v>3456</v>
      </c>
      <c r="E216" s="281" t="s">
        <v>3448</v>
      </c>
      <c r="F216" s="281" t="s">
        <v>3435</v>
      </c>
      <c r="G216" s="281">
        <v>15.4</v>
      </c>
      <c r="H216" s="281" t="s">
        <v>3241</v>
      </c>
      <c r="I216" s="242">
        <f>(106+(9/60))/24</f>
        <v>4.4229166666666666</v>
      </c>
      <c r="J216" s="37">
        <v>265</v>
      </c>
      <c r="O216" s="94">
        <v>0</v>
      </c>
      <c r="P216" s="94">
        <v>0</v>
      </c>
      <c r="Q216" s="94" t="s">
        <v>2471</v>
      </c>
      <c r="R216" s="94" t="s">
        <v>2471</v>
      </c>
      <c r="S216" s="94">
        <f>J216+O216</f>
        <v>265</v>
      </c>
      <c r="T216" s="94">
        <f>J216+P216</f>
        <v>265</v>
      </c>
    </row>
    <row r="217" spans="1:20" x14ac:dyDescent="0.2">
      <c r="A217" s="281" t="str">
        <f t="shared" si="58"/>
        <v>SVS04-22E, 4A 1kVA 100-290V</v>
      </c>
      <c r="B217" s="281" t="s">
        <v>3460</v>
      </c>
      <c r="D217" s="281" t="s">
        <v>3458</v>
      </c>
      <c r="E217" s="281" t="s">
        <v>3241</v>
      </c>
      <c r="F217" s="281" t="s">
        <v>3459</v>
      </c>
      <c r="G217" s="281" t="s">
        <v>3241</v>
      </c>
      <c r="H217" s="281" t="s">
        <v>3241</v>
      </c>
      <c r="I217" s="242" t="s">
        <v>3241</v>
      </c>
      <c r="J217" s="37">
        <v>95</v>
      </c>
      <c r="O217" s="94">
        <v>0</v>
      </c>
      <c r="P217" s="94">
        <v>0</v>
      </c>
      <c r="Q217" s="94" t="s">
        <v>2471</v>
      </c>
      <c r="R217" s="94" t="s">
        <v>2471</v>
      </c>
      <c r="S217" s="94">
        <f>J217+O217</f>
        <v>95</v>
      </c>
      <c r="T217" s="94">
        <f>J217+P217</f>
        <v>95</v>
      </c>
    </row>
    <row r="218" spans="1:20" x14ac:dyDescent="0.2">
      <c r="A218" s="281" t="str">
        <f t="shared" si="58"/>
        <v>SVS04-22 4A 1KVA 230V</v>
      </c>
      <c r="B218" s="281" t="s">
        <v>3461</v>
      </c>
      <c r="D218" s="281" t="s">
        <v>3458</v>
      </c>
      <c r="E218" s="281" t="s">
        <v>3241</v>
      </c>
      <c r="F218" s="281" t="s">
        <v>3459</v>
      </c>
      <c r="G218" s="281" t="s">
        <v>3241</v>
      </c>
      <c r="H218" s="281" t="s">
        <v>3241</v>
      </c>
      <c r="I218" s="242" t="s">
        <v>3241</v>
      </c>
      <c r="J218" s="37">
        <v>65</v>
      </c>
      <c r="O218" s="94">
        <v>0</v>
      </c>
      <c r="P218" s="94">
        <v>0</v>
      </c>
      <c r="Q218" s="94" t="s">
        <v>2471</v>
      </c>
      <c r="R218" s="94" t="s">
        <v>2471</v>
      </c>
      <c r="S218" s="94">
        <f t="shared" ref="S218:S229" si="59">J218+O218</f>
        <v>65</v>
      </c>
      <c r="T218" s="94">
        <f t="shared" ref="T218:T229" si="60">J218+P218</f>
        <v>65</v>
      </c>
    </row>
    <row r="219" spans="1:20" x14ac:dyDescent="0.2">
      <c r="A219" s="281" t="str">
        <f t="shared" si="58"/>
        <v>HVS-1000</v>
      </c>
      <c r="B219" s="281" t="s">
        <v>3462</v>
      </c>
      <c r="D219" s="281" t="s">
        <v>3458</v>
      </c>
      <c r="E219" s="281" t="s">
        <v>3241</v>
      </c>
      <c r="F219" s="281" t="s">
        <v>3242</v>
      </c>
      <c r="G219" s="281" t="s">
        <v>3241</v>
      </c>
      <c r="H219" s="281" t="s">
        <v>3241</v>
      </c>
      <c r="I219" s="242" t="s">
        <v>3241</v>
      </c>
      <c r="J219" s="37">
        <v>68</v>
      </c>
      <c r="O219" s="94">
        <v>0</v>
      </c>
      <c r="P219" s="94">
        <v>0</v>
      </c>
      <c r="Q219" s="94" t="s">
        <v>2471</v>
      </c>
      <c r="R219" s="94" t="s">
        <v>2471</v>
      </c>
      <c r="S219" s="94">
        <f t="shared" si="59"/>
        <v>68</v>
      </c>
      <c r="T219" s="94">
        <f t="shared" si="60"/>
        <v>68</v>
      </c>
    </row>
    <row r="220" spans="1:20" x14ac:dyDescent="0.2">
      <c r="A220" s="281" t="str">
        <f t="shared" si="58"/>
        <v>SVS-5K-1P-ER</v>
      </c>
      <c r="B220" s="281" t="s">
        <v>3464</v>
      </c>
      <c r="D220" s="281" t="s">
        <v>3458</v>
      </c>
      <c r="E220" s="281" t="s">
        <v>3241</v>
      </c>
      <c r="F220" s="281" t="s">
        <v>3463</v>
      </c>
      <c r="G220" s="281" t="s">
        <v>3241</v>
      </c>
      <c r="H220" s="281" t="s">
        <v>3241</v>
      </c>
      <c r="I220" s="242" t="s">
        <v>3241</v>
      </c>
      <c r="J220" s="37">
        <v>550</v>
      </c>
      <c r="O220" s="94">
        <v>0</v>
      </c>
      <c r="P220" s="94">
        <v>0</v>
      </c>
      <c r="Q220" s="94" t="s">
        <v>2471</v>
      </c>
      <c r="R220" s="94" t="s">
        <v>2471</v>
      </c>
      <c r="S220" s="94">
        <f t="shared" si="59"/>
        <v>550</v>
      </c>
      <c r="T220" s="94">
        <f t="shared" si="60"/>
        <v>550</v>
      </c>
    </row>
    <row r="221" spans="1:20" x14ac:dyDescent="0.2">
      <c r="A221" s="281" t="str">
        <f t="shared" si="58"/>
        <v>SVS-10K-1P-ER</v>
      </c>
      <c r="B221" s="281" t="s">
        <v>3465</v>
      </c>
      <c r="D221" s="281" t="s">
        <v>3458</v>
      </c>
      <c r="E221" s="281" t="s">
        <v>3241</v>
      </c>
      <c r="F221" s="281" t="s">
        <v>3463</v>
      </c>
      <c r="G221" s="281" t="s">
        <v>3241</v>
      </c>
      <c r="H221" s="281" t="s">
        <v>3241</v>
      </c>
      <c r="I221" s="242" t="s">
        <v>3241</v>
      </c>
      <c r="J221" s="37">
        <v>950</v>
      </c>
      <c r="O221" s="94">
        <v>0</v>
      </c>
      <c r="P221" s="94">
        <v>0</v>
      </c>
      <c r="Q221" s="94" t="s">
        <v>2471</v>
      </c>
      <c r="R221" s="94" t="s">
        <v>2471</v>
      </c>
      <c r="S221" s="94">
        <f t="shared" si="59"/>
        <v>950</v>
      </c>
      <c r="T221" s="94">
        <f t="shared" si="60"/>
        <v>950</v>
      </c>
    </row>
    <row r="222" spans="1:20" x14ac:dyDescent="0.2">
      <c r="A222" s="281" t="str">
        <f t="shared" si="58"/>
        <v>SVS45E 45A 10kVA 120-288V</v>
      </c>
      <c r="B222" s="281" t="s">
        <v>3466</v>
      </c>
      <c r="D222" s="281" t="s">
        <v>3458</v>
      </c>
      <c r="E222" s="281" t="s">
        <v>3241</v>
      </c>
      <c r="F222" s="281" t="s">
        <v>3459</v>
      </c>
      <c r="G222" s="281" t="s">
        <v>3241</v>
      </c>
      <c r="H222" s="281" t="s">
        <v>3241</v>
      </c>
      <c r="I222" s="242" t="s">
        <v>3241</v>
      </c>
      <c r="J222" s="37">
        <v>1032</v>
      </c>
      <c r="O222" s="94">
        <v>0</v>
      </c>
      <c r="P222" s="94">
        <v>0</v>
      </c>
      <c r="Q222" s="94" t="s">
        <v>2471</v>
      </c>
      <c r="R222" s="94" t="s">
        <v>2471</v>
      </c>
      <c r="S222" s="94">
        <f t="shared" si="59"/>
        <v>1032</v>
      </c>
      <c r="T222" s="94">
        <f t="shared" si="60"/>
        <v>1032</v>
      </c>
    </row>
    <row r="223" spans="1:20" x14ac:dyDescent="0.2">
      <c r="A223" s="281" t="str">
        <f t="shared" si="58"/>
        <v>SVS-10K-TP</v>
      </c>
      <c r="B223" s="281" t="s">
        <v>3467</v>
      </c>
      <c r="D223" s="281" t="s">
        <v>3458</v>
      </c>
      <c r="E223" s="281" t="s">
        <v>3241</v>
      </c>
      <c r="F223" s="281" t="s">
        <v>3463</v>
      </c>
      <c r="G223" s="281" t="s">
        <v>3241</v>
      </c>
      <c r="H223" s="281" t="s">
        <v>3241</v>
      </c>
      <c r="I223" s="242" t="s">
        <v>3241</v>
      </c>
      <c r="J223" s="37">
        <v>1085</v>
      </c>
      <c r="O223" s="94">
        <v>0</v>
      </c>
      <c r="P223" s="94">
        <v>0</v>
      </c>
      <c r="Q223" s="94" t="s">
        <v>2471</v>
      </c>
      <c r="R223" s="94" t="s">
        <v>2471</v>
      </c>
      <c r="S223" s="94">
        <f t="shared" si="59"/>
        <v>1085</v>
      </c>
      <c r="T223" s="94">
        <f t="shared" si="60"/>
        <v>1085</v>
      </c>
    </row>
    <row r="224" spans="1:20" x14ac:dyDescent="0.2">
      <c r="A224" s="281" t="str">
        <f t="shared" si="58"/>
        <v>AVR3LE020, 20Amps/phase</v>
      </c>
      <c r="B224" s="281" t="s">
        <v>3468</v>
      </c>
      <c r="D224" s="281" t="s">
        <v>3458</v>
      </c>
      <c r="E224" s="281" t="s">
        <v>3241</v>
      </c>
      <c r="F224" s="281" t="s">
        <v>3459</v>
      </c>
      <c r="G224" s="281" t="s">
        <v>3241</v>
      </c>
      <c r="H224" s="281" t="s">
        <v>3241</v>
      </c>
      <c r="I224" s="242" t="s">
        <v>3241</v>
      </c>
      <c r="J224" s="37">
        <v>1010.9</v>
      </c>
      <c r="O224" s="94">
        <v>0</v>
      </c>
      <c r="P224" s="94">
        <v>0</v>
      </c>
      <c r="Q224" s="94" t="s">
        <v>2471</v>
      </c>
      <c r="R224" s="94" t="s">
        <v>2471</v>
      </c>
      <c r="S224" s="94">
        <f t="shared" si="59"/>
        <v>1010.9</v>
      </c>
      <c r="T224" s="94">
        <f t="shared" si="60"/>
        <v>1010.9</v>
      </c>
    </row>
    <row r="225" spans="1:20" x14ac:dyDescent="0.2">
      <c r="A225" s="281" t="str">
        <f t="shared" si="58"/>
        <v>SVS-15K-TP</v>
      </c>
      <c r="B225" s="281" t="s">
        <v>3469</v>
      </c>
      <c r="D225" s="281" t="s">
        <v>3458</v>
      </c>
      <c r="E225" s="281" t="s">
        <v>3241</v>
      </c>
      <c r="F225" s="281" t="s">
        <v>3463</v>
      </c>
      <c r="G225" s="281" t="s">
        <v>3241</v>
      </c>
      <c r="H225" s="281" t="s">
        <v>3241</v>
      </c>
      <c r="I225" s="242" t="s">
        <v>3241</v>
      </c>
      <c r="J225" s="37">
        <v>1340</v>
      </c>
      <c r="O225" s="94">
        <v>0</v>
      </c>
      <c r="P225" s="94">
        <v>0</v>
      </c>
      <c r="Q225" s="94" t="s">
        <v>2471</v>
      </c>
      <c r="R225" s="94" t="s">
        <v>2471</v>
      </c>
      <c r="S225" s="94">
        <f t="shared" si="59"/>
        <v>1340</v>
      </c>
      <c r="T225" s="94">
        <f t="shared" si="60"/>
        <v>1340</v>
      </c>
    </row>
    <row r="226" spans="1:20" x14ac:dyDescent="0.2">
      <c r="A226" s="281" t="str">
        <f t="shared" si="58"/>
        <v>SVS-20K-TP</v>
      </c>
      <c r="B226" s="281" t="s">
        <v>3470</v>
      </c>
      <c r="D226" s="281" t="s">
        <v>3458</v>
      </c>
      <c r="E226" s="281" t="s">
        <v>3241</v>
      </c>
      <c r="F226" s="281" t="s">
        <v>3463</v>
      </c>
      <c r="G226" s="281" t="s">
        <v>3241</v>
      </c>
      <c r="H226" s="281" t="s">
        <v>3241</v>
      </c>
      <c r="I226" s="242" t="s">
        <v>3241</v>
      </c>
      <c r="J226" s="37">
        <v>1510</v>
      </c>
      <c r="O226" s="94">
        <v>0</v>
      </c>
      <c r="P226" s="94">
        <v>0</v>
      </c>
      <c r="Q226" s="94" t="s">
        <v>2471</v>
      </c>
      <c r="R226" s="94" t="s">
        <v>2471</v>
      </c>
      <c r="S226" s="94">
        <f t="shared" si="59"/>
        <v>1510</v>
      </c>
      <c r="T226" s="94">
        <f t="shared" si="60"/>
        <v>1510</v>
      </c>
    </row>
    <row r="227" spans="1:20" x14ac:dyDescent="0.2">
      <c r="A227" s="281" t="str">
        <f t="shared" si="58"/>
        <v>AVR3LE030, 30Amps/phase</v>
      </c>
      <c r="B227" s="281" t="s">
        <v>3471</v>
      </c>
      <c r="D227" s="281" t="s">
        <v>3458</v>
      </c>
      <c r="E227" s="281" t="s">
        <v>3241</v>
      </c>
      <c r="F227" s="281" t="s">
        <v>3459</v>
      </c>
      <c r="G227" s="281" t="s">
        <v>3241</v>
      </c>
      <c r="H227" s="281" t="s">
        <v>3241</v>
      </c>
      <c r="I227" s="242" t="s">
        <v>3241</v>
      </c>
      <c r="J227" s="37">
        <v>1547.7</v>
      </c>
      <c r="O227" s="94">
        <v>0</v>
      </c>
      <c r="P227" s="94">
        <v>0</v>
      </c>
      <c r="Q227" s="94" t="s">
        <v>2471</v>
      </c>
      <c r="R227" s="94" t="s">
        <v>2471</v>
      </c>
      <c r="S227" s="94">
        <f t="shared" si="59"/>
        <v>1547.7</v>
      </c>
      <c r="T227" s="94">
        <f t="shared" si="60"/>
        <v>1547.7</v>
      </c>
    </row>
    <row r="228" spans="1:20" x14ac:dyDescent="0.2">
      <c r="A228" s="281" t="str">
        <f t="shared" si="58"/>
        <v>SVS-30K-TP</v>
      </c>
      <c r="B228" s="281" t="s">
        <v>3472</v>
      </c>
      <c r="D228" s="281" t="s">
        <v>3458</v>
      </c>
      <c r="E228" s="281" t="s">
        <v>3241</v>
      </c>
      <c r="F228" s="281" t="s">
        <v>3463</v>
      </c>
      <c r="G228" s="281" t="s">
        <v>3241</v>
      </c>
      <c r="H228" s="281" t="s">
        <v>3241</v>
      </c>
      <c r="I228" s="242" t="s">
        <v>3241</v>
      </c>
      <c r="J228" s="37">
        <v>1730</v>
      </c>
      <c r="O228" s="94">
        <v>0</v>
      </c>
      <c r="P228" s="94">
        <v>0</v>
      </c>
      <c r="Q228" s="94" t="s">
        <v>2471</v>
      </c>
      <c r="R228" s="94" t="s">
        <v>2471</v>
      </c>
      <c r="S228" s="94">
        <f t="shared" si="59"/>
        <v>1730</v>
      </c>
      <c r="T228" s="94">
        <f t="shared" si="60"/>
        <v>1730</v>
      </c>
    </row>
    <row r="229" spans="1:20" x14ac:dyDescent="0.2">
      <c r="A229" s="281" t="str">
        <f t="shared" si="58"/>
        <v>AVR3LE050, 50Amps/phase</v>
      </c>
      <c r="B229" s="281" t="s">
        <v>3473</v>
      </c>
      <c r="D229" s="281" t="s">
        <v>3458</v>
      </c>
      <c r="E229" s="281" t="s">
        <v>3241</v>
      </c>
      <c r="F229" s="281" t="s">
        <v>3459</v>
      </c>
      <c r="G229" s="281" t="s">
        <v>3241</v>
      </c>
      <c r="H229" s="281" t="s">
        <v>3241</v>
      </c>
      <c r="I229" s="242" t="s">
        <v>3241</v>
      </c>
      <c r="J229" s="37">
        <v>2836.9</v>
      </c>
      <c r="O229" s="94">
        <v>0</v>
      </c>
      <c r="P229" s="94">
        <v>0</v>
      </c>
      <c r="Q229" s="94" t="s">
        <v>2471</v>
      </c>
      <c r="R229" s="94" t="s">
        <v>2471</v>
      </c>
      <c r="S229" s="94">
        <f t="shared" si="59"/>
        <v>2836.9</v>
      </c>
      <c r="T229" s="94">
        <f t="shared" si="60"/>
        <v>2836.9</v>
      </c>
    </row>
    <row r="230" spans="1:20" x14ac:dyDescent="0.2">
      <c r="A230" s="281" t="str">
        <f t="shared" si="58"/>
        <v>AIP3</v>
      </c>
      <c r="B230" s="281" t="s">
        <v>3476</v>
      </c>
      <c r="D230" s="281" t="s">
        <v>3474</v>
      </c>
      <c r="E230" s="281" t="s">
        <v>3475</v>
      </c>
      <c r="F230" s="281" t="s">
        <v>3412</v>
      </c>
      <c r="G230" s="281" t="s">
        <v>3241</v>
      </c>
      <c r="H230" s="281" t="s">
        <v>3475</v>
      </c>
      <c r="I230" s="242" t="s">
        <v>3241</v>
      </c>
      <c r="J230" s="37">
        <v>0.87</v>
      </c>
      <c r="O230" s="94">
        <v>0</v>
      </c>
      <c r="P230" s="94">
        <v>0</v>
      </c>
      <c r="Q230" s="94" t="s">
        <v>2471</v>
      </c>
      <c r="R230" s="94" t="s">
        <v>2471</v>
      </c>
      <c r="S230" s="94">
        <v>0.87</v>
      </c>
      <c r="T230" s="94">
        <v>0.87</v>
      </c>
    </row>
    <row r="231" spans="1:20" x14ac:dyDescent="0.2">
      <c r="A231" s="281" t="str">
        <f t="shared" si="58"/>
        <v>AIIP03</v>
      </c>
      <c r="B231" s="281" t="s">
        <v>3477</v>
      </c>
      <c r="D231" s="281" t="s">
        <v>3474</v>
      </c>
      <c r="E231" s="281" t="s">
        <v>3475</v>
      </c>
      <c r="F231" s="281" t="s">
        <v>3414</v>
      </c>
      <c r="G231" s="281" t="s">
        <v>3241</v>
      </c>
      <c r="H231" s="281" t="s">
        <v>3475</v>
      </c>
      <c r="I231" s="242" t="s">
        <v>3241</v>
      </c>
      <c r="J231" s="37">
        <v>0.3</v>
      </c>
      <c r="O231" s="94">
        <v>0</v>
      </c>
      <c r="P231" s="94">
        <v>0</v>
      </c>
      <c r="Q231" s="94" t="s">
        <v>2471</v>
      </c>
      <c r="R231" s="94" t="s">
        <v>2471</v>
      </c>
      <c r="S231" s="94">
        <v>0.3</v>
      </c>
      <c r="T231" s="94">
        <v>0.3</v>
      </c>
    </row>
    <row r="232" spans="1:20" x14ac:dyDescent="0.2">
      <c r="A232" s="281" t="str">
        <f t="shared" si="58"/>
        <v>BK V4H</v>
      </c>
      <c r="B232" s="281" t="s">
        <v>3478</v>
      </c>
      <c r="D232" s="281" t="s">
        <v>3474</v>
      </c>
      <c r="E232" s="281" t="s">
        <v>3475</v>
      </c>
      <c r="F232" s="281" t="s">
        <v>3416</v>
      </c>
      <c r="G232" s="281" t="s">
        <v>3241</v>
      </c>
      <c r="H232" s="281" t="s">
        <v>3475</v>
      </c>
      <c r="I232" s="242" t="s">
        <v>3241</v>
      </c>
      <c r="J232" s="37">
        <v>0.3</v>
      </c>
      <c r="O232" s="94">
        <v>0</v>
      </c>
      <c r="P232" s="94">
        <v>0</v>
      </c>
      <c r="Q232" s="94" t="s">
        <v>2471</v>
      </c>
      <c r="R232" s="94" t="s">
        <v>2471</v>
      </c>
      <c r="S232" s="94">
        <v>0.3</v>
      </c>
      <c r="T232" s="94">
        <v>0.3</v>
      </c>
    </row>
    <row r="233" spans="1:20" x14ac:dyDescent="0.2">
      <c r="A233" s="281" t="str">
        <f t="shared" si="58"/>
        <v>BIP-3</v>
      </c>
      <c r="B233" s="281" t="s">
        <v>3479</v>
      </c>
      <c r="D233" s="281" t="s">
        <v>3474</v>
      </c>
      <c r="E233" s="281" t="s">
        <v>3475</v>
      </c>
      <c r="F233" s="281" t="s">
        <v>3418</v>
      </c>
      <c r="G233" s="281" t="s">
        <v>3241</v>
      </c>
      <c r="H233" s="281" t="s">
        <v>3475</v>
      </c>
      <c r="I233" s="242" t="s">
        <v>3241</v>
      </c>
      <c r="J233" s="37">
        <v>0.2</v>
      </c>
      <c r="O233" s="94">
        <v>0</v>
      </c>
      <c r="P233" s="94">
        <v>0</v>
      </c>
      <c r="Q233" s="94" t="s">
        <v>2471</v>
      </c>
      <c r="R233" s="94" t="s">
        <v>2471</v>
      </c>
      <c r="S233" s="94">
        <v>0.2</v>
      </c>
      <c r="T233" s="94">
        <v>0.2</v>
      </c>
    </row>
    <row r="234" spans="1:20" x14ac:dyDescent="0.2">
      <c r="A234" s="281" t="str">
        <f t="shared" si="58"/>
        <v>Icepack 0.3L - set of 24</v>
      </c>
      <c r="B234" s="281" t="s">
        <v>3480</v>
      </c>
      <c r="D234" s="281" t="s">
        <v>3474</v>
      </c>
      <c r="E234" s="281" t="s">
        <v>3475</v>
      </c>
      <c r="F234" s="281" t="s">
        <v>3423</v>
      </c>
      <c r="G234" s="281" t="s">
        <v>3241</v>
      </c>
      <c r="H234" s="281" t="s">
        <v>3475</v>
      </c>
      <c r="I234" s="242" t="s">
        <v>3241</v>
      </c>
      <c r="J234" s="37">
        <f>46/0.855</f>
        <v>53.801169590643276</v>
      </c>
      <c r="O234" s="94">
        <v>0</v>
      </c>
      <c r="P234" s="94">
        <v>0</v>
      </c>
      <c r="Q234" s="94" t="s">
        <v>2471</v>
      </c>
      <c r="R234" s="94" t="s">
        <v>2471</v>
      </c>
      <c r="S234" s="94">
        <f>46/0.855</f>
        <v>53.801169590643276</v>
      </c>
      <c r="T234" s="94">
        <f>46/0.855</f>
        <v>53.801169590643276</v>
      </c>
    </row>
    <row r="235" spans="1:20" x14ac:dyDescent="0.2">
      <c r="A235" s="281" t="str">
        <f t="shared" si="58"/>
        <v>AIP4</v>
      </c>
      <c r="B235" s="281" t="s">
        <v>3482</v>
      </c>
      <c r="D235" s="281" t="s">
        <v>3474</v>
      </c>
      <c r="E235" s="281" t="s">
        <v>3481</v>
      </c>
      <c r="F235" s="281" t="s">
        <v>3412</v>
      </c>
      <c r="G235" s="281" t="s">
        <v>3241</v>
      </c>
      <c r="H235" s="281" t="s">
        <v>3481</v>
      </c>
      <c r="I235" s="242" t="s">
        <v>3241</v>
      </c>
      <c r="J235" s="37">
        <v>0.87</v>
      </c>
      <c r="O235" s="94">
        <v>0</v>
      </c>
      <c r="P235" s="94">
        <v>0</v>
      </c>
      <c r="Q235" s="94" t="s">
        <v>2471</v>
      </c>
      <c r="R235" s="94" t="s">
        <v>2471</v>
      </c>
      <c r="S235" s="94">
        <v>0.87</v>
      </c>
      <c r="T235" s="94">
        <v>0.87</v>
      </c>
    </row>
    <row r="236" spans="1:20" x14ac:dyDescent="0.2">
      <c r="A236" s="281" t="str">
        <f t="shared" si="58"/>
        <v>AIIP04</v>
      </c>
      <c r="B236" s="281" t="s">
        <v>3483</v>
      </c>
      <c r="D236" s="281" t="s">
        <v>3474</v>
      </c>
      <c r="E236" s="281" t="s">
        <v>3481</v>
      </c>
      <c r="F236" s="281" t="s">
        <v>3414</v>
      </c>
      <c r="G236" s="281" t="s">
        <v>3241</v>
      </c>
      <c r="H236" s="281" t="s">
        <v>3481</v>
      </c>
      <c r="I236" s="242" t="s">
        <v>3241</v>
      </c>
      <c r="J236" s="37">
        <v>0.31</v>
      </c>
      <c r="O236" s="94">
        <v>0</v>
      </c>
      <c r="P236" s="94">
        <v>0</v>
      </c>
      <c r="Q236" s="94" t="s">
        <v>2471</v>
      </c>
      <c r="R236" s="94" t="s">
        <v>2471</v>
      </c>
      <c r="S236" s="94">
        <v>0.31</v>
      </c>
      <c r="T236" s="94">
        <v>0.31</v>
      </c>
    </row>
    <row r="237" spans="1:20" x14ac:dyDescent="0.2">
      <c r="A237" s="281" t="str">
        <f t="shared" si="58"/>
        <v>BK 4</v>
      </c>
      <c r="B237" s="281" t="s">
        <v>3484</v>
      </c>
      <c r="D237" s="281" t="s">
        <v>3474</v>
      </c>
      <c r="E237" s="281" t="s">
        <v>3481</v>
      </c>
      <c r="F237" s="281" t="s">
        <v>3416</v>
      </c>
      <c r="G237" s="281" t="s">
        <v>3241</v>
      </c>
      <c r="H237" s="281" t="s">
        <v>3481</v>
      </c>
      <c r="I237" s="242" t="s">
        <v>3241</v>
      </c>
      <c r="J237" s="37">
        <v>0.3</v>
      </c>
      <c r="O237" s="94">
        <v>0</v>
      </c>
      <c r="P237" s="94">
        <v>0</v>
      </c>
      <c r="Q237" s="94" t="s">
        <v>2471</v>
      </c>
      <c r="R237" s="94" t="s">
        <v>2471</v>
      </c>
      <c r="S237" s="94">
        <v>0.3</v>
      </c>
      <c r="T237" s="94">
        <v>0.3</v>
      </c>
    </row>
    <row r="238" spans="1:20" x14ac:dyDescent="0.2">
      <c r="A238" s="281" t="str">
        <f t="shared" si="58"/>
        <v>BIP-4</v>
      </c>
      <c r="B238" s="281" t="s">
        <v>3485</v>
      </c>
      <c r="D238" s="281" t="s">
        <v>3474</v>
      </c>
      <c r="E238" s="281" t="s">
        <v>3481</v>
      </c>
      <c r="F238" s="281" t="s">
        <v>3418</v>
      </c>
      <c r="G238" s="281" t="s">
        <v>3241</v>
      </c>
      <c r="H238" s="281" t="s">
        <v>3481</v>
      </c>
      <c r="I238" s="242" t="s">
        <v>3241</v>
      </c>
      <c r="J238" s="37">
        <v>0.2</v>
      </c>
      <c r="O238" s="94">
        <v>0</v>
      </c>
      <c r="P238" s="94">
        <v>0</v>
      </c>
      <c r="Q238" s="94" t="s">
        <v>2471</v>
      </c>
      <c r="R238" s="94" t="s">
        <v>2471</v>
      </c>
      <c r="S238" s="94">
        <v>0.2</v>
      </c>
      <c r="T238" s="94">
        <v>0.2</v>
      </c>
    </row>
    <row r="239" spans="1:20" x14ac:dyDescent="0.2">
      <c r="A239" s="281" t="str">
        <f t="shared" si="58"/>
        <v>AIP6</v>
      </c>
      <c r="B239" s="281" t="s">
        <v>3487</v>
      </c>
      <c r="D239" s="281" t="s">
        <v>3474</v>
      </c>
      <c r="E239" s="281" t="s">
        <v>3486</v>
      </c>
      <c r="F239" s="281" t="s">
        <v>3412</v>
      </c>
      <c r="G239" s="281" t="s">
        <v>3241</v>
      </c>
      <c r="H239" s="281" t="s">
        <v>3486</v>
      </c>
      <c r="I239" s="242" t="s">
        <v>3241</v>
      </c>
      <c r="J239" s="37">
        <v>1.23</v>
      </c>
      <c r="O239" s="94">
        <v>0</v>
      </c>
      <c r="P239" s="94">
        <v>0</v>
      </c>
      <c r="Q239" s="94" t="s">
        <v>2471</v>
      </c>
      <c r="R239" s="94" t="s">
        <v>2471</v>
      </c>
      <c r="S239" s="94">
        <v>1.23</v>
      </c>
      <c r="T239" s="94">
        <v>1.23</v>
      </c>
    </row>
    <row r="240" spans="1:20" x14ac:dyDescent="0.2">
      <c r="A240" s="281" t="str">
        <f t="shared" si="58"/>
        <v>AIIP06</v>
      </c>
      <c r="B240" s="281" t="s">
        <v>3488</v>
      </c>
      <c r="D240" s="281" t="s">
        <v>3474</v>
      </c>
      <c r="E240" s="281" t="s">
        <v>3486</v>
      </c>
      <c r="F240" s="281" t="s">
        <v>3414</v>
      </c>
      <c r="G240" s="281" t="s">
        <v>3241</v>
      </c>
      <c r="H240" s="281" t="s">
        <v>3486</v>
      </c>
      <c r="I240" s="242" t="s">
        <v>3241</v>
      </c>
      <c r="J240" s="37">
        <v>0.42</v>
      </c>
      <c r="O240" s="94">
        <v>0</v>
      </c>
      <c r="P240" s="94">
        <v>0</v>
      </c>
      <c r="Q240" s="94" t="s">
        <v>2471</v>
      </c>
      <c r="R240" s="94" t="s">
        <v>2471</v>
      </c>
      <c r="S240" s="94">
        <v>0.42</v>
      </c>
      <c r="T240" s="94">
        <v>0.42</v>
      </c>
    </row>
    <row r="241" spans="1:20" x14ac:dyDescent="0.2">
      <c r="A241" s="281" t="str">
        <f t="shared" si="58"/>
        <v>BK 6</v>
      </c>
      <c r="B241" s="281" t="s">
        <v>3489</v>
      </c>
      <c r="D241" s="281" t="s">
        <v>3474</v>
      </c>
      <c r="E241" s="281" t="s">
        <v>3486</v>
      </c>
      <c r="F241" s="281" t="s">
        <v>3416</v>
      </c>
      <c r="G241" s="281" t="s">
        <v>3241</v>
      </c>
      <c r="H241" s="281" t="s">
        <v>3486</v>
      </c>
      <c r="I241" s="242" t="s">
        <v>3241</v>
      </c>
      <c r="J241" s="37">
        <v>0.49</v>
      </c>
      <c r="O241" s="94">
        <v>0</v>
      </c>
      <c r="P241" s="94">
        <v>0</v>
      </c>
      <c r="Q241" s="94" t="s">
        <v>2471</v>
      </c>
      <c r="R241" s="94" t="s">
        <v>2471</v>
      </c>
      <c r="S241" s="94">
        <v>0.49</v>
      </c>
      <c r="T241" s="94">
        <v>0.49</v>
      </c>
    </row>
    <row r="242" spans="1:20" x14ac:dyDescent="0.2">
      <c r="A242" s="281" t="str">
        <f t="shared" si="58"/>
        <v>BIP-6</v>
      </c>
      <c r="B242" s="281" t="s">
        <v>3490</v>
      </c>
      <c r="D242" s="281" t="s">
        <v>3474</v>
      </c>
      <c r="E242" s="281" t="s">
        <v>3486</v>
      </c>
      <c r="F242" s="281" t="s">
        <v>3418</v>
      </c>
      <c r="G242" s="281" t="s">
        <v>3241</v>
      </c>
      <c r="H242" s="281" t="s">
        <v>3486</v>
      </c>
      <c r="I242" s="242" t="s">
        <v>3241</v>
      </c>
      <c r="J242" s="37">
        <v>0.3</v>
      </c>
      <c r="O242" s="94">
        <v>0</v>
      </c>
      <c r="P242" s="94">
        <v>0</v>
      </c>
      <c r="Q242" s="94" t="s">
        <v>2471</v>
      </c>
      <c r="R242" s="94" t="s">
        <v>2471</v>
      </c>
      <c r="S242" s="94">
        <v>0.3</v>
      </c>
      <c r="T242" s="94">
        <v>0.3</v>
      </c>
    </row>
    <row r="243" spans="1:20" x14ac:dyDescent="0.2">
      <c r="A243" s="281" t="str">
        <f t="shared" si="58"/>
        <v>Icepack 0.6L - set of 24</v>
      </c>
      <c r="B243" s="281" t="s">
        <v>3491</v>
      </c>
      <c r="D243" s="281" t="s">
        <v>3474</v>
      </c>
      <c r="E243" s="281" t="s">
        <v>3486</v>
      </c>
      <c r="F243" s="281" t="s">
        <v>3423</v>
      </c>
      <c r="G243" s="281" t="s">
        <v>3241</v>
      </c>
      <c r="H243" s="281" t="s">
        <v>3486</v>
      </c>
      <c r="I243" s="242" t="s">
        <v>3241</v>
      </c>
      <c r="J243" s="37">
        <f>34/0.855</f>
        <v>39.76608187134503</v>
      </c>
      <c r="O243" s="94">
        <v>0</v>
      </c>
      <c r="P243" s="94">
        <v>0</v>
      </c>
      <c r="Q243" s="94" t="s">
        <v>2471</v>
      </c>
      <c r="R243" s="94" t="s">
        <v>2471</v>
      </c>
      <c r="S243" s="94">
        <f>34/0.855</f>
        <v>39.76608187134503</v>
      </c>
      <c r="T243" s="94">
        <f>34/0.855</f>
        <v>39.76608187134503</v>
      </c>
    </row>
    <row r="244" spans="1:20" x14ac:dyDescent="0.2">
      <c r="A244" s="281" t="str">
        <f t="shared" si="58"/>
        <v>ZLF 30 AC-spare parts</v>
      </c>
      <c r="B244" s="281" t="s">
        <v>3493</v>
      </c>
      <c r="D244" s="281" t="s">
        <v>3492</v>
      </c>
      <c r="E244" s="281" t="s">
        <v>3241</v>
      </c>
      <c r="F244" s="281" t="s">
        <v>3288</v>
      </c>
      <c r="G244" s="281" t="s">
        <v>3241</v>
      </c>
      <c r="H244" s="281" t="s">
        <v>3241</v>
      </c>
      <c r="I244" s="242" t="s">
        <v>3241</v>
      </c>
      <c r="J244" s="37" t="s">
        <v>3241</v>
      </c>
      <c r="O244" s="94">
        <v>0</v>
      </c>
      <c r="P244" s="94">
        <v>0</v>
      </c>
      <c r="Q244" s="94" t="s">
        <v>2471</v>
      </c>
      <c r="R244" s="94" t="s">
        <v>2471</v>
      </c>
      <c r="S244" s="94" t="s">
        <v>3241</v>
      </c>
      <c r="T244" s="94" t="s">
        <v>3241</v>
      </c>
    </row>
    <row r="245" spans="1:20" x14ac:dyDescent="0.2">
      <c r="A245" s="281" t="str">
        <f t="shared" si="58"/>
        <v>GVR 25 Lite-spare parts</v>
      </c>
      <c r="B245" s="281" t="s">
        <v>3494</v>
      </c>
      <c r="D245" s="281" t="s">
        <v>3492</v>
      </c>
      <c r="E245" s="281" t="s">
        <v>3241</v>
      </c>
      <c r="F245" s="281" t="s">
        <v>3290</v>
      </c>
      <c r="G245" s="281" t="s">
        <v>3241</v>
      </c>
      <c r="H245" s="281" t="s">
        <v>3241</v>
      </c>
      <c r="I245" s="242" t="s">
        <v>3241</v>
      </c>
      <c r="J245" s="37" t="s">
        <v>3241</v>
      </c>
      <c r="O245" s="94">
        <v>0</v>
      </c>
      <c r="P245" s="94">
        <v>0</v>
      </c>
      <c r="Q245" s="94" t="s">
        <v>2471</v>
      </c>
      <c r="R245" s="94" t="s">
        <v>2471</v>
      </c>
      <c r="S245" s="94" t="s">
        <v>3241</v>
      </c>
      <c r="T245" s="94" t="s">
        <v>3241</v>
      </c>
    </row>
    <row r="246" spans="1:20" x14ac:dyDescent="0.2">
      <c r="A246" s="281" t="str">
        <f t="shared" si="58"/>
        <v>TCW 40R AC-spare parts</v>
      </c>
      <c r="B246" s="281" t="s">
        <v>3495</v>
      </c>
      <c r="D246" s="281" t="s">
        <v>3492</v>
      </c>
      <c r="E246" s="281" t="s">
        <v>3241</v>
      </c>
      <c r="F246" s="281" t="s">
        <v>3293</v>
      </c>
      <c r="G246" s="281" t="s">
        <v>3241</v>
      </c>
      <c r="H246" s="281" t="s">
        <v>3241</v>
      </c>
      <c r="I246" s="242" t="s">
        <v>3241</v>
      </c>
      <c r="J246" s="37" t="s">
        <v>3241</v>
      </c>
      <c r="O246" s="94">
        <v>0</v>
      </c>
      <c r="P246" s="94">
        <v>0</v>
      </c>
      <c r="Q246" s="94" t="s">
        <v>2471</v>
      </c>
      <c r="R246" s="94" t="s">
        <v>2471</v>
      </c>
      <c r="S246" s="94" t="s">
        <v>3241</v>
      </c>
      <c r="T246" s="94" t="s">
        <v>3241</v>
      </c>
    </row>
    <row r="247" spans="1:20" x14ac:dyDescent="0.2">
      <c r="A247" s="281" t="str">
        <f t="shared" si="58"/>
        <v>GVR 50 AC-spare parts</v>
      </c>
      <c r="B247" s="281" t="s">
        <v>3496</v>
      </c>
      <c r="D247" s="281" t="s">
        <v>3492</v>
      </c>
      <c r="E247" s="281" t="s">
        <v>3241</v>
      </c>
      <c r="F247" s="281" t="s">
        <v>3290</v>
      </c>
      <c r="G247" s="281" t="s">
        <v>3241</v>
      </c>
      <c r="H247" s="281" t="s">
        <v>3241</v>
      </c>
      <c r="I247" s="242" t="s">
        <v>3241</v>
      </c>
      <c r="J247" s="37" t="s">
        <v>3241</v>
      </c>
      <c r="O247" s="94">
        <v>0</v>
      </c>
      <c r="P247" s="94">
        <v>0</v>
      </c>
      <c r="Q247" s="94" t="s">
        <v>2471</v>
      </c>
      <c r="R247" s="94" t="s">
        <v>2471</v>
      </c>
      <c r="S247" s="94" t="s">
        <v>3241</v>
      </c>
      <c r="T247" s="94" t="s">
        <v>3241</v>
      </c>
    </row>
    <row r="248" spans="1:20" x14ac:dyDescent="0.2">
      <c r="A248" s="281" t="str">
        <f t="shared" si="58"/>
        <v>CFD-50-spare parts</v>
      </c>
      <c r="B248" s="281" t="s">
        <v>3497</v>
      </c>
      <c r="D248" s="281" t="s">
        <v>3492</v>
      </c>
      <c r="E248" s="281" t="s">
        <v>3241</v>
      </c>
      <c r="F248" s="281" t="s">
        <v>3296</v>
      </c>
      <c r="G248" s="281" t="s">
        <v>3241</v>
      </c>
      <c r="H248" s="281" t="s">
        <v>3241</v>
      </c>
      <c r="I248" s="242" t="s">
        <v>3241</v>
      </c>
      <c r="J248" s="37" t="s">
        <v>3241</v>
      </c>
      <c r="O248" s="94">
        <v>0</v>
      </c>
      <c r="P248" s="94">
        <v>0</v>
      </c>
      <c r="Q248" s="94" t="s">
        <v>2471</v>
      </c>
      <c r="R248" s="94" t="s">
        <v>2471</v>
      </c>
      <c r="S248" s="94" t="s">
        <v>3241</v>
      </c>
      <c r="T248" s="94" t="s">
        <v>3241</v>
      </c>
    </row>
    <row r="249" spans="1:20" x14ac:dyDescent="0.2">
      <c r="A249" s="281" t="str">
        <f t="shared" si="58"/>
        <v>GVR 51 Lite AC-spare parts</v>
      </c>
      <c r="B249" s="281" t="s">
        <v>3498</v>
      </c>
      <c r="D249" s="281" t="s">
        <v>3492</v>
      </c>
      <c r="E249" s="281" t="s">
        <v>3241</v>
      </c>
      <c r="F249" s="281" t="s">
        <v>3290</v>
      </c>
      <c r="G249" s="281" t="s">
        <v>3241</v>
      </c>
      <c r="H249" s="281" t="s">
        <v>3241</v>
      </c>
      <c r="I249" s="242" t="s">
        <v>3241</v>
      </c>
      <c r="J249" s="37" t="s">
        <v>3241</v>
      </c>
      <c r="O249" s="94">
        <v>0</v>
      </c>
      <c r="P249" s="94">
        <v>0</v>
      </c>
      <c r="Q249" s="94" t="s">
        <v>2471</v>
      </c>
      <c r="R249" s="94" t="s">
        <v>2471</v>
      </c>
      <c r="S249" s="94" t="s">
        <v>3241</v>
      </c>
      <c r="T249" s="94" t="s">
        <v>3241</v>
      </c>
    </row>
    <row r="250" spans="1:20" x14ac:dyDescent="0.2">
      <c r="A250" s="281" t="str">
        <f t="shared" si="58"/>
        <v>VLS 204A-spare parts</v>
      </c>
      <c r="B250" s="281" t="s">
        <v>3499</v>
      </c>
      <c r="D250" s="281" t="s">
        <v>3492</v>
      </c>
      <c r="E250" s="281" t="s">
        <v>3241</v>
      </c>
      <c r="F250" s="281" t="s">
        <v>3300</v>
      </c>
      <c r="G250" s="281" t="s">
        <v>3241</v>
      </c>
      <c r="H250" s="281" t="s">
        <v>3241</v>
      </c>
      <c r="I250" s="242" t="s">
        <v>3241</v>
      </c>
      <c r="J250" s="37" t="s">
        <v>3241</v>
      </c>
      <c r="O250" s="94">
        <v>0</v>
      </c>
      <c r="P250" s="94">
        <v>0</v>
      </c>
      <c r="Q250" s="94" t="s">
        <v>2471</v>
      </c>
      <c r="R250" s="94" t="s">
        <v>2471</v>
      </c>
      <c r="S250" s="94" t="s">
        <v>3241</v>
      </c>
      <c r="T250" s="94" t="s">
        <v>3241</v>
      </c>
    </row>
    <row r="251" spans="1:20" x14ac:dyDescent="0.2">
      <c r="A251" s="281" t="str">
        <f t="shared" si="58"/>
        <v>HBC 80-spare parts</v>
      </c>
      <c r="B251" s="281" t="s">
        <v>3500</v>
      </c>
      <c r="D251" s="281" t="s">
        <v>3492</v>
      </c>
      <c r="E251" s="281" t="s">
        <v>3241</v>
      </c>
      <c r="F251" s="281" t="s">
        <v>3242</v>
      </c>
      <c r="G251" s="281" t="s">
        <v>3241</v>
      </c>
      <c r="H251" s="281" t="s">
        <v>3241</v>
      </c>
      <c r="I251" s="242" t="s">
        <v>3241</v>
      </c>
      <c r="J251" s="37" t="s">
        <v>3241</v>
      </c>
      <c r="O251" s="94">
        <v>0</v>
      </c>
      <c r="P251" s="94">
        <v>0</v>
      </c>
      <c r="Q251" s="94" t="s">
        <v>2471</v>
      </c>
      <c r="R251" s="94" t="s">
        <v>2471</v>
      </c>
      <c r="S251" s="94" t="s">
        <v>3241</v>
      </c>
      <c r="T251" s="94" t="s">
        <v>3241</v>
      </c>
    </row>
    <row r="252" spans="1:20" x14ac:dyDescent="0.2">
      <c r="A252" s="281" t="str">
        <f t="shared" si="58"/>
        <v>GVR 75 Lite AC-spare parts</v>
      </c>
      <c r="B252" s="281" t="s">
        <v>3501</v>
      </c>
      <c r="D252" s="281" t="s">
        <v>3492</v>
      </c>
      <c r="E252" s="281" t="s">
        <v>3241</v>
      </c>
      <c r="F252" s="281" t="s">
        <v>3290</v>
      </c>
      <c r="G252" s="281" t="s">
        <v>3241</v>
      </c>
      <c r="H252" s="281" t="s">
        <v>3241</v>
      </c>
      <c r="I252" s="242" t="s">
        <v>3241</v>
      </c>
      <c r="J252" s="37" t="s">
        <v>3241</v>
      </c>
      <c r="O252" s="94">
        <v>0</v>
      </c>
      <c r="P252" s="94">
        <v>0</v>
      </c>
      <c r="Q252" s="94" t="s">
        <v>2471</v>
      </c>
      <c r="R252" s="94" t="s">
        <v>2471</v>
      </c>
      <c r="S252" s="94" t="s">
        <v>3241</v>
      </c>
      <c r="T252" s="94" t="s">
        <v>3241</v>
      </c>
    </row>
    <row r="253" spans="1:20" x14ac:dyDescent="0.2">
      <c r="A253" s="281" t="str">
        <f t="shared" si="58"/>
        <v>ZLF 80 AC-spare parts</v>
      </c>
      <c r="B253" s="281" t="s">
        <v>3502</v>
      </c>
      <c r="D253" s="281" t="s">
        <v>3492</v>
      </c>
      <c r="E253" s="281" t="s">
        <v>3241</v>
      </c>
      <c r="F253" s="281" t="s">
        <v>3288</v>
      </c>
      <c r="G253" s="281" t="s">
        <v>3241</v>
      </c>
      <c r="H253" s="281" t="s">
        <v>3241</v>
      </c>
      <c r="I253" s="242" t="s">
        <v>3241</v>
      </c>
      <c r="J253" s="37" t="s">
        <v>3241</v>
      </c>
      <c r="O253" s="94">
        <v>0</v>
      </c>
      <c r="P253" s="94">
        <v>0</v>
      </c>
      <c r="Q253" s="94" t="s">
        <v>2471</v>
      </c>
      <c r="R253" s="94" t="s">
        <v>2471</v>
      </c>
      <c r="S253" s="94" t="s">
        <v>3241</v>
      </c>
      <c r="T253" s="94" t="s">
        <v>3241</v>
      </c>
    </row>
    <row r="254" spans="1:20" x14ac:dyDescent="0.2">
      <c r="A254" s="281" t="str">
        <f t="shared" si="58"/>
        <v>TCW 80 AC-spare parts</v>
      </c>
      <c r="B254" s="281" t="s">
        <v>3503</v>
      </c>
      <c r="D254" s="281" t="s">
        <v>3492</v>
      </c>
      <c r="E254" s="281" t="s">
        <v>3241</v>
      </c>
      <c r="F254" s="281" t="s">
        <v>3293</v>
      </c>
      <c r="G254" s="281" t="s">
        <v>3241</v>
      </c>
      <c r="H254" s="281" t="s">
        <v>3241</v>
      </c>
      <c r="I254" s="242" t="s">
        <v>3241</v>
      </c>
      <c r="J254" s="37" t="s">
        <v>3241</v>
      </c>
      <c r="O254" s="94">
        <v>0</v>
      </c>
      <c r="P254" s="94">
        <v>0</v>
      </c>
      <c r="Q254" s="94" t="s">
        <v>2471</v>
      </c>
      <c r="R254" s="94" t="s">
        <v>2471</v>
      </c>
      <c r="S254" s="94" t="s">
        <v>3241</v>
      </c>
      <c r="T254" s="94" t="s">
        <v>3241</v>
      </c>
    </row>
    <row r="255" spans="1:20" x14ac:dyDescent="0.2">
      <c r="A255" s="281" t="str">
        <f t="shared" si="58"/>
        <v>VLS 304A AC-spare parts</v>
      </c>
      <c r="B255" s="281" t="s">
        <v>3504</v>
      </c>
      <c r="D255" s="281" t="s">
        <v>3492</v>
      </c>
      <c r="E255" s="281" t="s">
        <v>3241</v>
      </c>
      <c r="F255" s="281" t="s">
        <v>3300</v>
      </c>
      <c r="G255" s="281" t="s">
        <v>3241</v>
      </c>
      <c r="H255" s="281" t="s">
        <v>3241</v>
      </c>
      <c r="I255" s="242" t="s">
        <v>3241</v>
      </c>
      <c r="J255" s="37" t="s">
        <v>3241</v>
      </c>
      <c r="O255" s="94">
        <v>0</v>
      </c>
      <c r="P255" s="94">
        <v>0</v>
      </c>
      <c r="Q255" s="94" t="s">
        <v>2471</v>
      </c>
      <c r="R255" s="94" t="s">
        <v>2471</v>
      </c>
      <c r="S255" s="94" t="s">
        <v>3241</v>
      </c>
      <c r="T255" s="94" t="s">
        <v>3241</v>
      </c>
    </row>
    <row r="256" spans="1:20" x14ac:dyDescent="0.2">
      <c r="A256" s="281" t="str">
        <f t="shared" si="58"/>
        <v>GVR 99 Lite AC-spare parts</v>
      </c>
      <c r="B256" s="281" t="s">
        <v>3505</v>
      </c>
      <c r="D256" s="281" t="s">
        <v>3492</v>
      </c>
      <c r="E256" s="281" t="s">
        <v>3241</v>
      </c>
      <c r="F256" s="281" t="s">
        <v>3290</v>
      </c>
      <c r="G256" s="281" t="s">
        <v>3241</v>
      </c>
      <c r="H256" s="281" t="s">
        <v>3241</v>
      </c>
      <c r="I256" s="242" t="s">
        <v>3241</v>
      </c>
      <c r="J256" s="37" t="s">
        <v>3241</v>
      </c>
      <c r="O256" s="94">
        <v>0</v>
      </c>
      <c r="P256" s="94">
        <v>0</v>
      </c>
      <c r="Q256" s="94" t="s">
        <v>2471</v>
      </c>
      <c r="R256" s="94" t="s">
        <v>2471</v>
      </c>
      <c r="S256" s="94" t="s">
        <v>3241</v>
      </c>
      <c r="T256" s="94" t="s">
        <v>3241</v>
      </c>
    </row>
    <row r="257" spans="1:20" x14ac:dyDescent="0.2">
      <c r="A257" s="281" t="str">
        <f t="shared" si="58"/>
        <v>ZLF 100 AC-spare parts</v>
      </c>
      <c r="B257" s="281" t="s">
        <v>3506</v>
      </c>
      <c r="D257" s="281" t="s">
        <v>3492</v>
      </c>
      <c r="E257" s="281" t="s">
        <v>3241</v>
      </c>
      <c r="F257" s="281" t="s">
        <v>3288</v>
      </c>
      <c r="G257" s="281" t="s">
        <v>3241</v>
      </c>
      <c r="H257" s="281" t="s">
        <v>3241</v>
      </c>
      <c r="I257" s="242" t="s">
        <v>3241</v>
      </c>
      <c r="J257" s="37" t="s">
        <v>3241</v>
      </c>
      <c r="O257" s="94">
        <v>0</v>
      </c>
      <c r="P257" s="94">
        <v>0</v>
      </c>
      <c r="Q257" s="94" t="s">
        <v>2471</v>
      </c>
      <c r="R257" s="94" t="s">
        <v>2471</v>
      </c>
      <c r="S257" s="94" t="s">
        <v>3241</v>
      </c>
      <c r="T257" s="94" t="s">
        <v>3241</v>
      </c>
    </row>
    <row r="258" spans="1:20" x14ac:dyDescent="0.2">
      <c r="A258" s="281" t="str">
        <f t="shared" si="58"/>
        <v>GVR 100 AC-spare parts</v>
      </c>
      <c r="B258" s="281" t="s">
        <v>3507</v>
      </c>
      <c r="D258" s="281" t="s">
        <v>3492</v>
      </c>
      <c r="E258" s="281" t="s">
        <v>3241</v>
      </c>
      <c r="F258" s="281" t="s">
        <v>3290</v>
      </c>
      <c r="G258" s="281" t="s">
        <v>3241</v>
      </c>
      <c r="H258" s="281" t="s">
        <v>3241</v>
      </c>
      <c r="I258" s="242" t="s">
        <v>3241</v>
      </c>
      <c r="J258" s="37" t="s">
        <v>3241</v>
      </c>
      <c r="O258" s="94">
        <v>0</v>
      </c>
      <c r="P258" s="94">
        <v>0</v>
      </c>
      <c r="Q258" s="94" t="s">
        <v>2471</v>
      </c>
      <c r="R258" s="94" t="s">
        <v>2471</v>
      </c>
      <c r="S258" s="94" t="s">
        <v>3241</v>
      </c>
      <c r="T258" s="94" t="s">
        <v>3241</v>
      </c>
    </row>
    <row r="259" spans="1:20" x14ac:dyDescent="0.2">
      <c r="A259" s="281" t="str">
        <f t="shared" si="58"/>
        <v>HBC-120-spare parts</v>
      </c>
      <c r="B259" s="281" t="s">
        <v>3508</v>
      </c>
      <c r="D259" s="281" t="s">
        <v>3492</v>
      </c>
      <c r="E259" s="281" t="s">
        <v>3241</v>
      </c>
      <c r="F259" s="281" t="s">
        <v>3242</v>
      </c>
      <c r="G259" s="281" t="s">
        <v>3241</v>
      </c>
      <c r="H259" s="281" t="s">
        <v>3241</v>
      </c>
      <c r="I259" s="242" t="s">
        <v>3241</v>
      </c>
      <c r="J259" s="37" t="s">
        <v>3241</v>
      </c>
      <c r="O259" s="94">
        <v>0</v>
      </c>
      <c r="P259" s="94">
        <v>0</v>
      </c>
      <c r="Q259" s="94" t="s">
        <v>2471</v>
      </c>
      <c r="R259" s="94" t="s">
        <v>2471</v>
      </c>
      <c r="S259" s="94" t="s">
        <v>3241</v>
      </c>
      <c r="T259" s="94" t="s">
        <v>3241</v>
      </c>
    </row>
    <row r="260" spans="1:20" x14ac:dyDescent="0.2">
      <c r="A260" s="281" t="str">
        <f t="shared" ref="A260:A320" si="61">B260</f>
        <v>HBC 150-spare parts</v>
      </c>
      <c r="B260" s="281" t="s">
        <v>3509</v>
      </c>
      <c r="D260" s="281" t="s">
        <v>3492</v>
      </c>
      <c r="E260" s="281" t="s">
        <v>3241</v>
      </c>
      <c r="F260" s="281" t="s">
        <v>3242</v>
      </c>
      <c r="G260" s="281" t="s">
        <v>3241</v>
      </c>
      <c r="H260" s="281" t="s">
        <v>3241</v>
      </c>
      <c r="I260" s="242" t="s">
        <v>3241</v>
      </c>
      <c r="J260" s="37" t="s">
        <v>3241</v>
      </c>
      <c r="O260" s="94">
        <v>0</v>
      </c>
      <c r="P260" s="94">
        <v>0</v>
      </c>
      <c r="Q260" s="94" t="s">
        <v>2471</v>
      </c>
      <c r="R260" s="94" t="s">
        <v>2471</v>
      </c>
      <c r="S260" s="94" t="s">
        <v>3241</v>
      </c>
      <c r="T260" s="94" t="s">
        <v>3241</v>
      </c>
    </row>
    <row r="261" spans="1:20" x14ac:dyDescent="0.2">
      <c r="A261" s="281" t="str">
        <f t="shared" si="61"/>
        <v>ZLF 150 AC-spare parts</v>
      </c>
      <c r="B261" s="281" t="s">
        <v>3510</v>
      </c>
      <c r="D261" s="281" t="s">
        <v>3492</v>
      </c>
      <c r="E261" s="281" t="s">
        <v>3241</v>
      </c>
      <c r="F261" s="281" t="s">
        <v>3288</v>
      </c>
      <c r="G261" s="281" t="s">
        <v>3241</v>
      </c>
      <c r="H261" s="281" t="s">
        <v>3241</v>
      </c>
      <c r="I261" s="242" t="s">
        <v>3241</v>
      </c>
      <c r="J261" s="37" t="s">
        <v>3241</v>
      </c>
      <c r="O261" s="94">
        <v>0</v>
      </c>
      <c r="P261" s="94">
        <v>0</v>
      </c>
      <c r="Q261" s="94" t="s">
        <v>2471</v>
      </c>
      <c r="R261" s="94" t="s">
        <v>2471</v>
      </c>
      <c r="S261" s="94" t="s">
        <v>3241</v>
      </c>
      <c r="T261" s="94" t="s">
        <v>3241</v>
      </c>
    </row>
    <row r="262" spans="1:20" x14ac:dyDescent="0.2">
      <c r="A262" s="281" t="str">
        <f t="shared" si="61"/>
        <v>VLS 404A AC-spare parts</v>
      </c>
      <c r="B262" s="281" t="s">
        <v>3511</v>
      </c>
      <c r="D262" s="281" t="s">
        <v>3492</v>
      </c>
      <c r="E262" s="281" t="s">
        <v>3241</v>
      </c>
      <c r="F262" s="281" t="s">
        <v>3300</v>
      </c>
      <c r="G262" s="281" t="s">
        <v>3241</v>
      </c>
      <c r="H262" s="281" t="s">
        <v>3241</v>
      </c>
      <c r="I262" s="242" t="s">
        <v>3241</v>
      </c>
      <c r="J262" s="37" t="s">
        <v>3241</v>
      </c>
      <c r="O262" s="94">
        <v>0</v>
      </c>
      <c r="P262" s="94">
        <v>0</v>
      </c>
      <c r="Q262" s="94" t="s">
        <v>2471</v>
      </c>
      <c r="R262" s="94" t="s">
        <v>2471</v>
      </c>
      <c r="S262" s="94" t="s">
        <v>3241</v>
      </c>
      <c r="T262" s="94" t="s">
        <v>3241</v>
      </c>
    </row>
    <row r="263" spans="1:20" x14ac:dyDescent="0.2">
      <c r="A263" s="281" t="str">
        <f t="shared" si="61"/>
        <v>HBC-240-spare parts</v>
      </c>
      <c r="B263" s="281" t="s">
        <v>3512</v>
      </c>
      <c r="D263" s="281" t="s">
        <v>3492</v>
      </c>
      <c r="E263" s="281"/>
      <c r="F263" s="281" t="s">
        <v>3242</v>
      </c>
      <c r="G263" s="281" t="s">
        <v>3241</v>
      </c>
      <c r="H263" s="281" t="s">
        <v>3241</v>
      </c>
      <c r="I263" s="242" t="s">
        <v>3241</v>
      </c>
      <c r="J263" s="37" t="s">
        <v>3241</v>
      </c>
      <c r="O263" s="94">
        <v>0</v>
      </c>
      <c r="P263" s="94">
        <v>0</v>
      </c>
      <c r="Q263" s="94" t="s">
        <v>2471</v>
      </c>
      <c r="R263" s="94" t="s">
        <v>2471</v>
      </c>
      <c r="S263" s="94" t="s">
        <v>3241</v>
      </c>
      <c r="T263" s="94" t="s">
        <v>3241</v>
      </c>
    </row>
    <row r="264" spans="1:20" x14ac:dyDescent="0.2">
      <c r="A264" s="281" t="str">
        <f t="shared" si="61"/>
        <v>VC 225 ILR-spare parts</v>
      </c>
      <c r="B264" s="281" t="s">
        <v>3513</v>
      </c>
      <c r="D264" s="281" t="s">
        <v>3492</v>
      </c>
      <c r="E264" s="281" t="s">
        <v>3241</v>
      </c>
      <c r="F264" s="281" t="s">
        <v>3318</v>
      </c>
      <c r="G264" s="281" t="s">
        <v>3241</v>
      </c>
      <c r="H264" s="281" t="s">
        <v>3241</v>
      </c>
      <c r="I264" s="242" t="s">
        <v>3241</v>
      </c>
      <c r="J264" s="37" t="s">
        <v>3241</v>
      </c>
      <c r="O264" s="94">
        <v>0</v>
      </c>
      <c r="P264" s="94">
        <v>0</v>
      </c>
      <c r="Q264" s="94" t="s">
        <v>2471</v>
      </c>
      <c r="R264" s="94" t="s">
        <v>2471</v>
      </c>
      <c r="S264" s="94" t="s">
        <v>3241</v>
      </c>
      <c r="T264" s="94" t="s">
        <v>3241</v>
      </c>
    </row>
    <row r="265" spans="1:20" x14ac:dyDescent="0.2">
      <c r="A265" s="281" t="str">
        <f t="shared" si="61"/>
        <v>HBC 260-spare parts</v>
      </c>
      <c r="B265" s="281" t="s">
        <v>3514</v>
      </c>
      <c r="D265" s="281" t="s">
        <v>3492</v>
      </c>
      <c r="E265" s="281" t="s">
        <v>3241</v>
      </c>
      <c r="F265" s="281" t="s">
        <v>3242</v>
      </c>
      <c r="G265" s="281" t="s">
        <v>3241</v>
      </c>
      <c r="H265" s="281" t="s">
        <v>3241</v>
      </c>
      <c r="I265" s="242" t="s">
        <v>3241</v>
      </c>
      <c r="J265" s="37" t="s">
        <v>3241</v>
      </c>
      <c r="O265" s="94">
        <v>0</v>
      </c>
      <c r="P265" s="94">
        <v>0</v>
      </c>
      <c r="Q265" s="94" t="s">
        <v>2471</v>
      </c>
      <c r="R265" s="94" t="s">
        <v>2471</v>
      </c>
      <c r="S265" s="94" t="s">
        <v>3241</v>
      </c>
      <c r="T265" s="94" t="s">
        <v>3241</v>
      </c>
    </row>
    <row r="266" spans="1:20" x14ac:dyDescent="0.2">
      <c r="A266" s="281" t="str">
        <f t="shared" si="61"/>
        <v>GVR 225 AC-spare parts</v>
      </c>
      <c r="B266" s="281" t="s">
        <v>3515</v>
      </c>
      <c r="D266" s="281" t="s">
        <v>3492</v>
      </c>
      <c r="E266" s="281" t="s">
        <v>3241</v>
      </c>
      <c r="F266" s="281" t="s">
        <v>3290</v>
      </c>
      <c r="G266" s="281" t="s">
        <v>3241</v>
      </c>
      <c r="H266" s="281" t="s">
        <v>3241</v>
      </c>
      <c r="I266" s="242" t="s">
        <v>3241</v>
      </c>
      <c r="J266" s="37" t="s">
        <v>3241</v>
      </c>
      <c r="O266" s="94">
        <v>0</v>
      </c>
      <c r="P266" s="94">
        <v>0</v>
      </c>
      <c r="Q266" s="94" t="s">
        <v>2471</v>
      </c>
      <c r="R266" s="94" t="s">
        <v>2471</v>
      </c>
      <c r="S266" s="94" t="s">
        <v>3241</v>
      </c>
      <c r="T266" s="94" t="s">
        <v>3241</v>
      </c>
    </row>
    <row r="267" spans="1:20" x14ac:dyDescent="0.2">
      <c r="A267" s="281" t="str">
        <f t="shared" si="61"/>
        <v>TCW 4000 AC-spare parts</v>
      </c>
      <c r="B267" s="281" t="s">
        <v>3516</v>
      </c>
      <c r="D267" s="281" t="s">
        <v>3492</v>
      </c>
      <c r="E267" s="281" t="s">
        <v>3241</v>
      </c>
      <c r="F267" s="281" t="s">
        <v>3293</v>
      </c>
      <c r="G267" s="281" t="s">
        <v>3241</v>
      </c>
      <c r="H267" s="281" t="s">
        <v>3241</v>
      </c>
      <c r="I267" s="242" t="s">
        <v>3241</v>
      </c>
      <c r="J267" s="37" t="s">
        <v>3241</v>
      </c>
      <c r="O267" s="94">
        <v>0</v>
      </c>
      <c r="P267" s="94">
        <v>0</v>
      </c>
      <c r="Q267" s="94" t="s">
        <v>2471</v>
      </c>
      <c r="R267" s="94" t="s">
        <v>2471</v>
      </c>
      <c r="S267" s="94" t="s">
        <v>3241</v>
      </c>
      <c r="T267" s="94" t="s">
        <v>3241</v>
      </c>
    </row>
    <row r="268" spans="1:20" x14ac:dyDescent="0.2">
      <c r="A268" s="281" t="str">
        <f t="shared" si="61"/>
        <v>VLS 504A AC-spare parts</v>
      </c>
      <c r="B268" s="281" t="s">
        <v>3517</v>
      </c>
      <c r="D268" s="281" t="s">
        <v>3492</v>
      </c>
      <c r="E268" s="281" t="s">
        <v>3241</v>
      </c>
      <c r="F268" s="281" t="s">
        <v>3300</v>
      </c>
      <c r="G268" s="281" t="s">
        <v>3241</v>
      </c>
      <c r="H268" s="281" t="s">
        <v>3241</v>
      </c>
      <c r="I268" s="242" t="s">
        <v>3241</v>
      </c>
      <c r="J268" s="37" t="s">
        <v>3241</v>
      </c>
      <c r="O268" s="94">
        <v>0</v>
      </c>
      <c r="P268" s="94">
        <v>0</v>
      </c>
      <c r="Q268" s="94" t="s">
        <v>2471</v>
      </c>
      <c r="R268" s="94" t="s">
        <v>2471</v>
      </c>
      <c r="S268" s="94" t="s">
        <v>3241</v>
      </c>
      <c r="T268" s="94" t="s">
        <v>3241</v>
      </c>
    </row>
    <row r="269" spans="1:20" x14ac:dyDescent="0.2">
      <c r="A269" s="281" t="str">
        <f t="shared" si="61"/>
        <v>HBCD - 90-spare parts</v>
      </c>
      <c r="B269" s="281" t="s">
        <v>3519</v>
      </c>
      <c r="D269" s="281" t="s">
        <v>3518</v>
      </c>
      <c r="E269" s="281" t="s">
        <v>3241</v>
      </c>
      <c r="F269" s="281" t="s">
        <v>3242</v>
      </c>
      <c r="G269" s="281" t="s">
        <v>3241</v>
      </c>
      <c r="H269" s="281" t="s">
        <v>3241</v>
      </c>
      <c r="I269" s="242" t="s">
        <v>3241</v>
      </c>
      <c r="J269" s="37" t="s">
        <v>3241</v>
      </c>
      <c r="O269" s="94">
        <v>0</v>
      </c>
      <c r="P269" s="94">
        <v>0</v>
      </c>
      <c r="Q269" s="94" t="s">
        <v>2471</v>
      </c>
      <c r="R269" s="94" t="s">
        <v>2471</v>
      </c>
      <c r="S269" s="94" t="s">
        <v>3241</v>
      </c>
      <c r="T269" s="94" t="s">
        <v>3241</v>
      </c>
    </row>
    <row r="270" spans="1:20" x14ac:dyDescent="0.2">
      <c r="A270" s="281" t="str">
        <f t="shared" si="61"/>
        <v>GVR 55 FF AC-spare parts</v>
      </c>
      <c r="B270" s="281" t="s">
        <v>3520</v>
      </c>
      <c r="D270" s="281" t="s">
        <v>3518</v>
      </c>
      <c r="E270" s="281" t="s">
        <v>3241</v>
      </c>
      <c r="F270" s="281" t="s">
        <v>3290</v>
      </c>
      <c r="G270" s="281" t="s">
        <v>3241</v>
      </c>
      <c r="H270" s="281" t="s">
        <v>3241</v>
      </c>
      <c r="I270" s="242" t="s">
        <v>3241</v>
      </c>
      <c r="J270" s="37" t="s">
        <v>3241</v>
      </c>
      <c r="O270" s="94">
        <v>0</v>
      </c>
      <c r="P270" s="94">
        <v>0</v>
      </c>
      <c r="Q270" s="94" t="s">
        <v>2471</v>
      </c>
      <c r="R270" s="94" t="s">
        <v>2471</v>
      </c>
      <c r="S270" s="94" t="s">
        <v>3241</v>
      </c>
      <c r="T270" s="94" t="s">
        <v>3241</v>
      </c>
    </row>
    <row r="271" spans="1:20" x14ac:dyDescent="0.2">
      <c r="A271" s="281" t="str">
        <f t="shared" si="61"/>
        <v>VLS 064 RF AC-spare parts</v>
      </c>
      <c r="B271" s="281" t="s">
        <v>3521</v>
      </c>
      <c r="D271" s="281" t="s">
        <v>3518</v>
      </c>
      <c r="E271" s="281" t="s">
        <v>3241</v>
      </c>
      <c r="F271" s="281" t="s">
        <v>3300</v>
      </c>
      <c r="G271" s="281" t="s">
        <v>3241</v>
      </c>
      <c r="H271" s="281" t="s">
        <v>3241</v>
      </c>
      <c r="I271" s="242" t="s">
        <v>3241</v>
      </c>
      <c r="J271" s="37" t="s">
        <v>3241</v>
      </c>
      <c r="O271" s="94">
        <v>0</v>
      </c>
      <c r="P271" s="94">
        <v>0</v>
      </c>
      <c r="Q271" s="94" t="s">
        <v>2471</v>
      </c>
      <c r="R271" s="94" t="s">
        <v>2471</v>
      </c>
      <c r="S271" s="94" t="s">
        <v>3241</v>
      </c>
      <c r="T271" s="94" t="s">
        <v>3241</v>
      </c>
    </row>
    <row r="272" spans="1:20" x14ac:dyDescent="0.2">
      <c r="A272" s="281" t="str">
        <f t="shared" si="61"/>
        <v>TCW 2000 AC-spare parts</v>
      </c>
      <c r="B272" s="281" t="s">
        <v>3522</v>
      </c>
      <c r="D272" s="281" t="s">
        <v>3518</v>
      </c>
      <c r="E272" s="281" t="s">
        <v>3241</v>
      </c>
      <c r="F272" s="281" t="s">
        <v>3293</v>
      </c>
      <c r="G272" s="281" t="s">
        <v>3241</v>
      </c>
      <c r="H272" s="281" t="s">
        <v>3241</v>
      </c>
      <c r="I272" s="242" t="s">
        <v>3241</v>
      </c>
      <c r="J272" s="37" t="s">
        <v>3241</v>
      </c>
      <c r="O272" s="94">
        <v>0</v>
      </c>
      <c r="P272" s="94">
        <v>0</v>
      </c>
      <c r="Q272" s="94" t="s">
        <v>2471</v>
      </c>
      <c r="R272" s="94" t="s">
        <v>2471</v>
      </c>
      <c r="S272" s="94" t="s">
        <v>3241</v>
      </c>
      <c r="T272" s="94" t="s">
        <v>3241</v>
      </c>
    </row>
    <row r="273" spans="1:20" x14ac:dyDescent="0.2">
      <c r="A273" s="281" t="str">
        <f t="shared" si="61"/>
        <v>DW-25W147-spare parts</v>
      </c>
      <c r="B273" s="281" t="s">
        <v>3524</v>
      </c>
      <c r="D273" s="281" t="s">
        <v>3523</v>
      </c>
      <c r="E273" s="281" t="s">
        <v>3241</v>
      </c>
      <c r="F273" s="281" t="s">
        <v>3296</v>
      </c>
      <c r="G273" s="281" t="s">
        <v>3241</v>
      </c>
      <c r="H273" s="281" t="s">
        <v>3241</v>
      </c>
      <c r="I273" s="242" t="s">
        <v>3241</v>
      </c>
      <c r="J273" s="37" t="s">
        <v>3241</v>
      </c>
      <c r="O273" s="94">
        <v>0</v>
      </c>
      <c r="P273" s="94">
        <v>0</v>
      </c>
      <c r="Q273" s="94" t="s">
        <v>2471</v>
      </c>
      <c r="R273" s="94" t="s">
        <v>2471</v>
      </c>
      <c r="S273" s="94" t="s">
        <v>3241</v>
      </c>
      <c r="T273" s="94" t="s">
        <v>3241</v>
      </c>
    </row>
    <row r="274" spans="1:20" x14ac:dyDescent="0.2">
      <c r="A274" s="281" t="str">
        <f t="shared" si="61"/>
        <v>MF 114-spare parts</v>
      </c>
      <c r="B274" s="281" t="s">
        <v>3525</v>
      </c>
      <c r="D274" s="281" t="s">
        <v>3523</v>
      </c>
      <c r="E274" s="281" t="s">
        <v>3241</v>
      </c>
      <c r="F274" s="281" t="s">
        <v>3300</v>
      </c>
      <c r="G274" s="281" t="s">
        <v>3241</v>
      </c>
      <c r="H274" s="281" t="s">
        <v>3241</v>
      </c>
      <c r="I274" s="242" t="s">
        <v>3241</v>
      </c>
      <c r="J274" s="37" t="s">
        <v>3241</v>
      </c>
      <c r="O274" s="94">
        <v>0</v>
      </c>
      <c r="P274" s="94">
        <v>0</v>
      </c>
      <c r="Q274" s="94" t="s">
        <v>2471</v>
      </c>
      <c r="R274" s="94" t="s">
        <v>2471</v>
      </c>
      <c r="S274" s="94" t="s">
        <v>3241</v>
      </c>
      <c r="T274" s="94" t="s">
        <v>3241</v>
      </c>
    </row>
    <row r="275" spans="1:20" x14ac:dyDescent="0.2">
      <c r="A275" s="281" t="str">
        <f t="shared" si="61"/>
        <v>HBD 116-spare parts</v>
      </c>
      <c r="B275" s="281" t="s">
        <v>3526</v>
      </c>
      <c r="D275" s="281" t="s">
        <v>3523</v>
      </c>
      <c r="E275" s="281" t="s">
        <v>3241</v>
      </c>
      <c r="F275" s="281" t="s">
        <v>3242</v>
      </c>
      <c r="G275" s="281" t="s">
        <v>3241</v>
      </c>
      <c r="H275" s="281" t="s">
        <v>3241</v>
      </c>
      <c r="I275" s="242" t="s">
        <v>3241</v>
      </c>
      <c r="J275" s="37" t="s">
        <v>3241</v>
      </c>
      <c r="O275" s="94">
        <v>0</v>
      </c>
      <c r="P275" s="94">
        <v>0</v>
      </c>
      <c r="Q275" s="94" t="s">
        <v>2471</v>
      </c>
      <c r="R275" s="94" t="s">
        <v>2471</v>
      </c>
      <c r="S275" s="94" t="s">
        <v>3241</v>
      </c>
      <c r="T275" s="94" t="s">
        <v>3241</v>
      </c>
    </row>
    <row r="276" spans="1:20" x14ac:dyDescent="0.2">
      <c r="A276" s="281" t="str">
        <f t="shared" si="61"/>
        <v>MF 214-spare parts</v>
      </c>
      <c r="B276" s="281" t="s">
        <v>3527</v>
      </c>
      <c r="D276" s="281" t="s">
        <v>3523</v>
      </c>
      <c r="E276" s="281" t="s">
        <v>3241</v>
      </c>
      <c r="F276" s="281" t="s">
        <v>3300</v>
      </c>
      <c r="G276" s="281" t="s">
        <v>3241</v>
      </c>
      <c r="H276" s="281" t="s">
        <v>3241</v>
      </c>
      <c r="I276" s="242" t="s">
        <v>3241</v>
      </c>
      <c r="J276" s="37" t="s">
        <v>3241</v>
      </c>
      <c r="O276" s="94">
        <v>0</v>
      </c>
      <c r="P276" s="94">
        <v>0</v>
      </c>
      <c r="Q276" s="94" t="s">
        <v>2471</v>
      </c>
      <c r="R276" s="94" t="s">
        <v>2471</v>
      </c>
      <c r="S276" s="94" t="s">
        <v>3241</v>
      </c>
      <c r="T276" s="94" t="s">
        <v>3241</v>
      </c>
    </row>
    <row r="277" spans="1:20" x14ac:dyDescent="0.2">
      <c r="A277" s="281" t="str">
        <f t="shared" si="61"/>
        <v>TFW 3000 AC-spare parts</v>
      </c>
      <c r="B277" s="281" t="s">
        <v>3528</v>
      </c>
      <c r="D277" s="281" t="s">
        <v>3523</v>
      </c>
      <c r="E277" s="281" t="s">
        <v>3241</v>
      </c>
      <c r="F277" s="281" t="s">
        <v>3293</v>
      </c>
      <c r="G277" s="281" t="s">
        <v>3241</v>
      </c>
      <c r="H277" s="281" t="s">
        <v>3241</v>
      </c>
      <c r="I277" s="242" t="s">
        <v>3241</v>
      </c>
      <c r="J277" s="37" t="s">
        <v>3241</v>
      </c>
      <c r="O277" s="94">
        <v>0</v>
      </c>
      <c r="P277" s="94">
        <v>0</v>
      </c>
      <c r="Q277" s="94" t="s">
        <v>2471</v>
      </c>
      <c r="R277" s="94" t="s">
        <v>2471</v>
      </c>
      <c r="S277" s="94" t="s">
        <v>3241</v>
      </c>
      <c r="T277" s="94" t="s">
        <v>3241</v>
      </c>
    </row>
    <row r="278" spans="1:20" x14ac:dyDescent="0.2">
      <c r="A278" s="281" t="str">
        <f t="shared" si="61"/>
        <v>DW-25W300-spare parts</v>
      </c>
      <c r="B278" s="281" t="s">
        <v>3529</v>
      </c>
      <c r="D278" s="281" t="s">
        <v>3523</v>
      </c>
      <c r="E278" s="281" t="s">
        <v>3241</v>
      </c>
      <c r="F278" s="281" t="s">
        <v>3296</v>
      </c>
      <c r="G278" s="281" t="s">
        <v>3241</v>
      </c>
      <c r="H278" s="281" t="s">
        <v>3241</v>
      </c>
      <c r="I278" s="242" t="s">
        <v>3241</v>
      </c>
      <c r="J278" s="37" t="s">
        <v>3241</v>
      </c>
      <c r="O278" s="94">
        <v>0</v>
      </c>
      <c r="P278" s="94">
        <v>0</v>
      </c>
      <c r="Q278" s="94" t="s">
        <v>2471</v>
      </c>
      <c r="R278" s="94" t="s">
        <v>2471</v>
      </c>
      <c r="S278" s="94" t="s">
        <v>3241</v>
      </c>
      <c r="T278" s="94" t="s">
        <v>3241</v>
      </c>
    </row>
    <row r="279" spans="1:20" x14ac:dyDescent="0.2">
      <c r="A279" s="281" t="str">
        <f t="shared" si="61"/>
        <v>MF 314-spare parts</v>
      </c>
      <c r="B279" s="281" t="s">
        <v>3530</v>
      </c>
      <c r="D279" s="281" t="s">
        <v>3523</v>
      </c>
      <c r="E279" s="281" t="s">
        <v>3241</v>
      </c>
      <c r="F279" s="281" t="s">
        <v>3300</v>
      </c>
      <c r="G279" s="281" t="s">
        <v>3241</v>
      </c>
      <c r="H279" s="281" t="s">
        <v>3241</v>
      </c>
      <c r="I279" s="242" t="s">
        <v>3241</v>
      </c>
      <c r="J279" s="37" t="s">
        <v>3241</v>
      </c>
      <c r="O279" s="94">
        <v>0</v>
      </c>
      <c r="P279" s="94">
        <v>0</v>
      </c>
      <c r="Q279" s="94" t="s">
        <v>2471</v>
      </c>
      <c r="R279" s="94" t="s">
        <v>2471</v>
      </c>
      <c r="S279" s="94" t="s">
        <v>3241</v>
      </c>
      <c r="T279" s="94" t="s">
        <v>3241</v>
      </c>
    </row>
    <row r="280" spans="1:20" x14ac:dyDescent="0.2">
      <c r="A280" s="281" t="str">
        <f t="shared" si="61"/>
        <v>HBD 286-spare parts</v>
      </c>
      <c r="B280" s="281" t="s">
        <v>3531</v>
      </c>
      <c r="D280" s="281" t="s">
        <v>3523</v>
      </c>
      <c r="E280" s="281" t="s">
        <v>3241</v>
      </c>
      <c r="F280" s="281" t="s">
        <v>3242</v>
      </c>
      <c r="G280" s="281" t="s">
        <v>3241</v>
      </c>
      <c r="H280" s="281" t="s">
        <v>3241</v>
      </c>
      <c r="I280" s="242" t="s">
        <v>3241</v>
      </c>
      <c r="J280" s="37" t="s">
        <v>3241</v>
      </c>
      <c r="O280" s="94">
        <v>0</v>
      </c>
      <c r="P280" s="94">
        <v>0</v>
      </c>
      <c r="Q280" s="94" t="s">
        <v>2471</v>
      </c>
      <c r="R280" s="94" t="s">
        <v>2471</v>
      </c>
      <c r="S280" s="94" t="s">
        <v>3241</v>
      </c>
      <c r="T280" s="94" t="s">
        <v>3241</v>
      </c>
    </row>
    <row r="281" spans="1:20" x14ac:dyDescent="0.2">
      <c r="A281" s="281" t="str">
        <f t="shared" si="61"/>
        <v>BFRV 15 SDD-spare parts</v>
      </c>
      <c r="B281" s="281" t="s">
        <v>3533</v>
      </c>
      <c r="D281" s="281" t="s">
        <v>3532</v>
      </c>
      <c r="E281" s="281" t="s">
        <v>3241</v>
      </c>
      <c r="F281" s="281" t="s">
        <v>3339</v>
      </c>
      <c r="G281" s="281" t="s">
        <v>3241</v>
      </c>
      <c r="H281" s="281" t="s">
        <v>3241</v>
      </c>
      <c r="I281" s="242" t="s">
        <v>3241</v>
      </c>
      <c r="J281" s="37" t="s">
        <v>3241</v>
      </c>
      <c r="O281" s="94">
        <v>0</v>
      </c>
      <c r="P281" s="94">
        <v>0</v>
      </c>
      <c r="Q281" s="94" t="s">
        <v>2471</v>
      </c>
      <c r="R281" s="94" t="s">
        <v>2471</v>
      </c>
      <c r="S281" s="94" t="s">
        <v>3241</v>
      </c>
      <c r="T281" s="94" t="s">
        <v>3241</v>
      </c>
    </row>
    <row r="282" spans="1:20" x14ac:dyDescent="0.2">
      <c r="A282" s="281" t="str">
        <f t="shared" si="61"/>
        <v>TCW 15R SDD-spare parts</v>
      </c>
      <c r="B282" s="281" t="s">
        <v>3534</v>
      </c>
      <c r="D282" s="281" t="s">
        <v>3532</v>
      </c>
      <c r="E282" s="281" t="s">
        <v>3241</v>
      </c>
      <c r="F282" s="281" t="s">
        <v>3293</v>
      </c>
      <c r="G282" s="281" t="s">
        <v>3241</v>
      </c>
      <c r="H282" s="281" t="s">
        <v>3241</v>
      </c>
      <c r="I282" s="242" t="s">
        <v>3241</v>
      </c>
      <c r="J282" s="37" t="s">
        <v>3241</v>
      </c>
      <c r="O282" s="94">
        <v>0</v>
      </c>
      <c r="P282" s="94">
        <v>0</v>
      </c>
      <c r="Q282" s="94" t="s">
        <v>2471</v>
      </c>
      <c r="R282" s="94" t="s">
        <v>2471</v>
      </c>
      <c r="S282" s="94" t="s">
        <v>3241</v>
      </c>
      <c r="T282" s="94" t="s">
        <v>3241</v>
      </c>
    </row>
    <row r="283" spans="1:20" x14ac:dyDescent="0.2">
      <c r="A283" s="281" t="str">
        <f t="shared" si="61"/>
        <v>Ultra 16 SDD-spare parts</v>
      </c>
      <c r="B283" s="281" t="s">
        <v>3535</v>
      </c>
      <c r="D283" s="281" t="s">
        <v>3532</v>
      </c>
      <c r="E283" s="281" t="s">
        <v>3241</v>
      </c>
      <c r="F283" s="281" t="s">
        <v>3293</v>
      </c>
      <c r="G283" s="281" t="s">
        <v>3241</v>
      </c>
      <c r="H283" s="281" t="s">
        <v>3241</v>
      </c>
      <c r="I283" s="242" t="s">
        <v>3241</v>
      </c>
      <c r="J283" s="37" t="s">
        <v>3241</v>
      </c>
      <c r="O283" s="94">
        <v>0</v>
      </c>
      <c r="P283" s="94">
        <v>0</v>
      </c>
      <c r="Q283" s="94" t="s">
        <v>2471</v>
      </c>
      <c r="R283" s="94" t="s">
        <v>2471</v>
      </c>
      <c r="S283" s="94" t="s">
        <v>3241</v>
      </c>
      <c r="T283" s="94" t="s">
        <v>3241</v>
      </c>
    </row>
    <row r="284" spans="1:20" x14ac:dyDescent="0.2">
      <c r="A284" s="281" t="str">
        <f t="shared" si="61"/>
        <v>HTC 40 SDD-spare parts</v>
      </c>
      <c r="B284" s="281" t="s">
        <v>3536</v>
      </c>
      <c r="D284" s="281" t="s">
        <v>3532</v>
      </c>
      <c r="E284" s="281" t="s">
        <v>3241</v>
      </c>
      <c r="F284" s="281" t="s">
        <v>3242</v>
      </c>
      <c r="G284" s="281" t="s">
        <v>3241</v>
      </c>
      <c r="H284" s="281" t="s">
        <v>3241</v>
      </c>
      <c r="I284" s="242" t="s">
        <v>3241</v>
      </c>
      <c r="J284" s="37" t="s">
        <v>3241</v>
      </c>
      <c r="O284" s="94">
        <v>0</v>
      </c>
      <c r="P284" s="94">
        <v>0</v>
      </c>
      <c r="Q284" s="94" t="s">
        <v>2471</v>
      </c>
      <c r="R284" s="94" t="s">
        <v>2471</v>
      </c>
      <c r="S284" s="94" t="s">
        <v>3241</v>
      </c>
      <c r="T284" s="94" t="s">
        <v>3241</v>
      </c>
    </row>
    <row r="285" spans="1:20" x14ac:dyDescent="0.2">
      <c r="A285" s="281" t="str">
        <f t="shared" si="61"/>
        <v>VC 30 SDD-spare parts</v>
      </c>
      <c r="B285" s="281" t="s">
        <v>3537</v>
      </c>
      <c r="D285" s="281" t="s">
        <v>3532</v>
      </c>
      <c r="E285" s="281" t="s">
        <v>3241</v>
      </c>
      <c r="F285" s="281" t="s">
        <v>3318</v>
      </c>
      <c r="G285" s="281" t="s">
        <v>3241</v>
      </c>
      <c r="H285" s="281" t="s">
        <v>3241</v>
      </c>
      <c r="I285" s="242" t="s">
        <v>3241</v>
      </c>
      <c r="J285" s="37" t="s">
        <v>3241</v>
      </c>
      <c r="O285" s="94">
        <v>0</v>
      </c>
      <c r="P285" s="94">
        <v>0</v>
      </c>
      <c r="Q285" s="94" t="s">
        <v>2471</v>
      </c>
      <c r="R285" s="94" t="s">
        <v>2471</v>
      </c>
      <c r="S285" s="94" t="s">
        <v>3241</v>
      </c>
      <c r="T285" s="94" t="s">
        <v>3241</v>
      </c>
    </row>
    <row r="286" spans="1:20" x14ac:dyDescent="0.2">
      <c r="A286" s="281" t="str">
        <f t="shared" si="61"/>
        <v>VLS 024 SDD-spare parts</v>
      </c>
      <c r="B286" s="281" t="s">
        <v>3538</v>
      </c>
      <c r="D286" s="281" t="s">
        <v>3532</v>
      </c>
      <c r="E286" s="281" t="s">
        <v>3241</v>
      </c>
      <c r="F286" s="281" t="s">
        <v>3300</v>
      </c>
      <c r="G286" s="281" t="s">
        <v>3241</v>
      </c>
      <c r="H286" s="281" t="s">
        <v>3241</v>
      </c>
      <c r="I286" s="242" t="s">
        <v>3241</v>
      </c>
      <c r="J286" s="37" t="s">
        <v>3241</v>
      </c>
      <c r="O286" s="94">
        <v>0</v>
      </c>
      <c r="P286" s="94">
        <v>0</v>
      </c>
      <c r="Q286" s="94" t="s">
        <v>2471</v>
      </c>
      <c r="R286" s="94" t="s">
        <v>2471</v>
      </c>
      <c r="S286" s="94" t="s">
        <v>3241</v>
      </c>
      <c r="T286" s="94" t="s">
        <v>3241</v>
      </c>
    </row>
    <row r="287" spans="1:20" x14ac:dyDescent="0.2">
      <c r="A287" s="281" t="str">
        <f t="shared" si="61"/>
        <v>ZLF 30DC SDD-spare parts</v>
      </c>
      <c r="B287" s="281" t="s">
        <v>3539</v>
      </c>
      <c r="D287" s="281" t="s">
        <v>3532</v>
      </c>
      <c r="E287" s="281" t="s">
        <v>3241</v>
      </c>
      <c r="F287" s="281" t="s">
        <v>3288</v>
      </c>
      <c r="G287" s="281" t="s">
        <v>3241</v>
      </c>
      <c r="H287" s="281" t="s">
        <v>3241</v>
      </c>
      <c r="I287" s="242" t="s">
        <v>3241</v>
      </c>
      <c r="J287" s="37" t="s">
        <v>3241</v>
      </c>
      <c r="O287" s="94">
        <v>0</v>
      </c>
      <c r="P287" s="94">
        <v>0</v>
      </c>
      <c r="Q287" s="94" t="s">
        <v>2471</v>
      </c>
      <c r="R287" s="94" t="s">
        <v>2471</v>
      </c>
      <c r="S287" s="94" t="s">
        <v>3241</v>
      </c>
      <c r="T287" s="94" t="s">
        <v>3241</v>
      </c>
    </row>
    <row r="288" spans="1:20" x14ac:dyDescent="0.2">
      <c r="A288" s="281" t="str">
        <f t="shared" si="61"/>
        <v>TCW 40R SDD-spare parts</v>
      </c>
      <c r="B288" s="281" t="s">
        <v>3540</v>
      </c>
      <c r="D288" s="281" t="s">
        <v>3532</v>
      </c>
      <c r="E288" s="281" t="s">
        <v>3241</v>
      </c>
      <c r="F288" s="281" t="s">
        <v>3293</v>
      </c>
      <c r="G288" s="281" t="s">
        <v>3241</v>
      </c>
      <c r="H288" s="281" t="s">
        <v>3241</v>
      </c>
      <c r="I288" s="242" t="s">
        <v>3241</v>
      </c>
      <c r="J288" s="37" t="s">
        <v>3241</v>
      </c>
      <c r="O288" s="94">
        <v>0</v>
      </c>
      <c r="P288" s="94">
        <v>0</v>
      </c>
      <c r="Q288" s="94" t="s">
        <v>2471</v>
      </c>
      <c r="R288" s="94" t="s">
        <v>2471</v>
      </c>
      <c r="S288" s="94" t="s">
        <v>3241</v>
      </c>
      <c r="T288" s="94" t="s">
        <v>3241</v>
      </c>
    </row>
    <row r="289" spans="1:20" x14ac:dyDescent="0.2">
      <c r="A289" s="281" t="str">
        <f t="shared" si="61"/>
        <v>GVR 50 DC-spare parts</v>
      </c>
      <c r="B289" s="281" t="s">
        <v>3541</v>
      </c>
      <c r="D289" s="281" t="s">
        <v>3532</v>
      </c>
      <c r="E289" s="281" t="s">
        <v>3241</v>
      </c>
      <c r="F289" s="281" t="s">
        <v>3290</v>
      </c>
      <c r="G289" s="281" t="s">
        <v>3241</v>
      </c>
      <c r="H289" s="281" t="s">
        <v>3241</v>
      </c>
      <c r="I289" s="242" t="s">
        <v>3241</v>
      </c>
      <c r="J289" s="37" t="s">
        <v>3241</v>
      </c>
      <c r="O289" s="94">
        <v>0</v>
      </c>
      <c r="P289" s="94">
        <v>0</v>
      </c>
      <c r="Q289" s="94" t="s">
        <v>2471</v>
      </c>
      <c r="R289" s="94" t="s">
        <v>2471</v>
      </c>
      <c r="S289" s="94" t="s">
        <v>3241</v>
      </c>
      <c r="T289" s="94" t="s">
        <v>3241</v>
      </c>
    </row>
    <row r="290" spans="1:20" x14ac:dyDescent="0.2">
      <c r="A290" s="281" t="str">
        <f t="shared" si="61"/>
        <v>CFD-50 SDD-spare parts</v>
      </c>
      <c r="B290" s="281" t="s">
        <v>3542</v>
      </c>
      <c r="D290" s="281" t="s">
        <v>3532</v>
      </c>
      <c r="E290" s="281" t="s">
        <v>3241</v>
      </c>
      <c r="F290" s="281" t="s">
        <v>3296</v>
      </c>
      <c r="G290" s="281" t="s">
        <v>3241</v>
      </c>
      <c r="H290" s="281" t="s">
        <v>3241</v>
      </c>
      <c r="I290" s="242" t="s">
        <v>3241</v>
      </c>
      <c r="J290" s="37" t="s">
        <v>3241</v>
      </c>
      <c r="O290" s="94">
        <v>0</v>
      </c>
      <c r="P290" s="94">
        <v>0</v>
      </c>
      <c r="Q290" s="94" t="s">
        <v>2471</v>
      </c>
      <c r="R290" s="94" t="s">
        <v>2471</v>
      </c>
      <c r="S290" s="94" t="s">
        <v>3241</v>
      </c>
      <c r="T290" s="94" t="s">
        <v>3241</v>
      </c>
    </row>
    <row r="291" spans="1:20" x14ac:dyDescent="0.2">
      <c r="A291" s="281" t="str">
        <f t="shared" si="61"/>
        <v>VC 50 SDD-spare parts</v>
      </c>
      <c r="B291" s="281" t="s">
        <v>3543</v>
      </c>
      <c r="D291" s="281" t="s">
        <v>3532</v>
      </c>
      <c r="E291" s="281" t="s">
        <v>3241</v>
      </c>
      <c r="F291" s="281" t="s">
        <v>3318</v>
      </c>
      <c r="G291" s="281" t="s">
        <v>3241</v>
      </c>
      <c r="H291" s="281" t="s">
        <v>3241</v>
      </c>
      <c r="I291" s="242" t="s">
        <v>3241</v>
      </c>
      <c r="J291" s="37" t="s">
        <v>3241</v>
      </c>
      <c r="O291" s="94">
        <v>0</v>
      </c>
      <c r="P291" s="94">
        <v>0</v>
      </c>
      <c r="Q291" s="94" t="s">
        <v>2471</v>
      </c>
      <c r="R291" s="94" t="s">
        <v>2471</v>
      </c>
      <c r="S291" s="94" t="s">
        <v>3241</v>
      </c>
      <c r="T291" s="94" t="s">
        <v>3241</v>
      </c>
    </row>
    <row r="292" spans="1:20" x14ac:dyDescent="0.2">
      <c r="A292" s="281" t="str">
        <f t="shared" si="61"/>
        <v>BFRV 55 SDD-spare parts</v>
      </c>
      <c r="B292" s="281" t="s">
        <v>3544</v>
      </c>
      <c r="D292" s="281" t="s">
        <v>3532</v>
      </c>
      <c r="E292" s="281" t="s">
        <v>3241</v>
      </c>
      <c r="F292" s="281" t="s">
        <v>3339</v>
      </c>
      <c r="G292" s="281" t="s">
        <v>3241</v>
      </c>
      <c r="H292" s="281" t="s">
        <v>3241</v>
      </c>
      <c r="I292" s="242" t="s">
        <v>3241</v>
      </c>
      <c r="J292" s="37" t="s">
        <v>3241</v>
      </c>
      <c r="O292" s="94">
        <v>0</v>
      </c>
      <c r="P292" s="94">
        <v>0</v>
      </c>
      <c r="Q292" s="94" t="s">
        <v>2471</v>
      </c>
      <c r="R292" s="94" t="s">
        <v>2471</v>
      </c>
      <c r="S292" s="94" t="s">
        <v>3241</v>
      </c>
      <c r="T292" s="94" t="s">
        <v>3241</v>
      </c>
    </row>
    <row r="293" spans="1:20" x14ac:dyDescent="0.2">
      <c r="A293" s="281" t="str">
        <f t="shared" si="61"/>
        <v>VLS 054A SDD-spare parts</v>
      </c>
      <c r="B293" s="281" t="s">
        <v>3545</v>
      </c>
      <c r="D293" s="281" t="s">
        <v>3532</v>
      </c>
      <c r="E293" s="281" t="s">
        <v>3241</v>
      </c>
      <c r="F293" s="281" t="s">
        <v>3300</v>
      </c>
      <c r="G293" s="281" t="s">
        <v>3241</v>
      </c>
      <c r="H293" s="281" t="s">
        <v>3241</v>
      </c>
      <c r="I293" s="242" t="s">
        <v>3241</v>
      </c>
      <c r="J293" s="37" t="s">
        <v>3241</v>
      </c>
      <c r="O293" s="94">
        <v>0</v>
      </c>
      <c r="P293" s="94">
        <v>0</v>
      </c>
      <c r="Q293" s="94" t="s">
        <v>2471</v>
      </c>
      <c r="R293" s="94" t="s">
        <v>2471</v>
      </c>
      <c r="S293" s="94" t="s">
        <v>3241</v>
      </c>
      <c r="T293" s="94" t="s">
        <v>3241</v>
      </c>
    </row>
    <row r="294" spans="1:20" x14ac:dyDescent="0.2">
      <c r="A294" s="281" t="str">
        <f t="shared" si="61"/>
        <v>HTC 110 SDD-spare parts</v>
      </c>
      <c r="B294" s="281" t="s">
        <v>3546</v>
      </c>
      <c r="D294" s="281" t="s">
        <v>3532</v>
      </c>
      <c r="E294" s="281" t="s">
        <v>3241</v>
      </c>
      <c r="F294" s="281" t="s">
        <v>3242</v>
      </c>
      <c r="G294" s="281" t="s">
        <v>3241</v>
      </c>
      <c r="H294" s="281" t="s">
        <v>3241</v>
      </c>
      <c r="I294" s="242" t="s">
        <v>3241</v>
      </c>
      <c r="J294" s="37" t="s">
        <v>3241</v>
      </c>
      <c r="O294" s="94">
        <v>0</v>
      </c>
      <c r="P294" s="94">
        <v>0</v>
      </c>
      <c r="Q294" s="94" t="s">
        <v>2471</v>
      </c>
      <c r="R294" s="94" t="s">
        <v>2471</v>
      </c>
      <c r="S294" s="94" t="s">
        <v>3241</v>
      </c>
      <c r="T294" s="94" t="s">
        <v>3241</v>
      </c>
    </row>
    <row r="295" spans="1:20" x14ac:dyDescent="0.2">
      <c r="A295" s="281" t="str">
        <f t="shared" si="61"/>
        <v>HTC-112-spare parts</v>
      </c>
      <c r="B295" s="281" t="s">
        <v>3547</v>
      </c>
      <c r="D295" s="281" t="s">
        <v>3532</v>
      </c>
      <c r="E295" s="281" t="s">
        <v>3241</v>
      </c>
      <c r="F295" s="281" t="s">
        <v>3242</v>
      </c>
      <c r="G295" s="281" t="s">
        <v>3241</v>
      </c>
      <c r="H295" s="281" t="s">
        <v>3241</v>
      </c>
      <c r="I295" s="242" t="s">
        <v>3241</v>
      </c>
      <c r="J295" s="37" t="s">
        <v>3241</v>
      </c>
      <c r="O295" s="94">
        <v>0</v>
      </c>
      <c r="P295" s="94">
        <v>0</v>
      </c>
      <c r="Q295" s="94" t="s">
        <v>2471</v>
      </c>
      <c r="R295" s="94" t="s">
        <v>2471</v>
      </c>
      <c r="S295" s="94" t="s">
        <v>3241</v>
      </c>
      <c r="T295" s="94" t="s">
        <v>3241</v>
      </c>
    </row>
    <row r="296" spans="1:20" x14ac:dyDescent="0.2">
      <c r="A296" s="281" t="str">
        <f t="shared" si="61"/>
        <v>VC 88 SDD-spare parts</v>
      </c>
      <c r="B296" s="281" t="s">
        <v>3548</v>
      </c>
      <c r="D296" s="281" t="s">
        <v>3532</v>
      </c>
      <c r="E296" s="281" t="s">
        <v>3241</v>
      </c>
      <c r="F296" s="281" t="s">
        <v>3318</v>
      </c>
      <c r="G296" s="281" t="s">
        <v>3241</v>
      </c>
      <c r="H296" s="281" t="s">
        <v>3241</v>
      </c>
      <c r="I296" s="242" t="s">
        <v>3241</v>
      </c>
      <c r="J296" s="37" t="s">
        <v>3241</v>
      </c>
      <c r="O296" s="94">
        <v>0</v>
      </c>
      <c r="P296" s="94">
        <v>0</v>
      </c>
      <c r="Q296" s="94" t="s">
        <v>2471</v>
      </c>
      <c r="R296" s="94" t="s">
        <v>2471</v>
      </c>
      <c r="S296" s="94" t="s">
        <v>3241</v>
      </c>
      <c r="T296" s="94" t="s">
        <v>3241</v>
      </c>
    </row>
    <row r="297" spans="1:20" x14ac:dyDescent="0.2">
      <c r="A297" s="281" t="str">
        <f t="shared" si="61"/>
        <v>TCW 3043 SDD-spare parts</v>
      </c>
      <c r="B297" s="281" t="s">
        <v>3549</v>
      </c>
      <c r="D297" s="281" t="s">
        <v>3532</v>
      </c>
      <c r="E297" s="281" t="s">
        <v>3241</v>
      </c>
      <c r="F297" s="281" t="s">
        <v>3293</v>
      </c>
      <c r="G297" s="281" t="s">
        <v>3241</v>
      </c>
      <c r="H297" s="281" t="s">
        <v>3241</v>
      </c>
      <c r="I297" s="242" t="s">
        <v>3241</v>
      </c>
      <c r="J297" s="37" t="s">
        <v>3241</v>
      </c>
      <c r="O297" s="94">
        <v>0</v>
      </c>
      <c r="P297" s="94">
        <v>0</v>
      </c>
      <c r="Q297" s="94" t="s">
        <v>2471</v>
      </c>
      <c r="R297" s="94" t="s">
        <v>2471</v>
      </c>
      <c r="S297" s="94" t="s">
        <v>3241</v>
      </c>
      <c r="T297" s="94" t="s">
        <v>3241</v>
      </c>
    </row>
    <row r="298" spans="1:20" x14ac:dyDescent="0.2">
      <c r="A298" s="281" t="str">
        <f t="shared" si="61"/>
        <v>VLS 094A SDD-spare parts</v>
      </c>
      <c r="B298" s="281" t="s">
        <v>3550</v>
      </c>
      <c r="D298" s="281" t="s">
        <v>3532</v>
      </c>
      <c r="E298" s="281" t="s">
        <v>3241</v>
      </c>
      <c r="F298" s="281" t="s">
        <v>3300</v>
      </c>
      <c r="G298" s="281" t="s">
        <v>3241</v>
      </c>
      <c r="H298" s="281" t="s">
        <v>3241</v>
      </c>
      <c r="I298" s="242" t="s">
        <v>3241</v>
      </c>
      <c r="J298" s="37" t="s">
        <v>3241</v>
      </c>
      <c r="O298" s="94">
        <v>0</v>
      </c>
      <c r="P298" s="94">
        <v>0</v>
      </c>
      <c r="Q298" s="94" t="s">
        <v>2471</v>
      </c>
      <c r="R298" s="94" t="s">
        <v>2471</v>
      </c>
      <c r="S298" s="94" t="s">
        <v>3241</v>
      </c>
      <c r="T298" s="94" t="s">
        <v>3241</v>
      </c>
    </row>
    <row r="299" spans="1:20" x14ac:dyDescent="0.2">
      <c r="A299" s="281" t="str">
        <f t="shared" si="61"/>
        <v>GVR 100 DC-spare parts</v>
      </c>
      <c r="B299" s="281" t="s">
        <v>3551</v>
      </c>
      <c r="D299" s="281" t="s">
        <v>3532</v>
      </c>
      <c r="E299" s="281" t="s">
        <v>3241</v>
      </c>
      <c r="F299" s="281" t="s">
        <v>3290</v>
      </c>
      <c r="G299" s="281" t="s">
        <v>3241</v>
      </c>
      <c r="H299" s="281" t="s">
        <v>3241</v>
      </c>
      <c r="I299" s="242" t="s">
        <v>3241</v>
      </c>
      <c r="J299" s="37" t="s">
        <v>3241</v>
      </c>
      <c r="O299" s="94">
        <v>0</v>
      </c>
      <c r="P299" s="94">
        <v>0</v>
      </c>
      <c r="Q299" s="94" t="s">
        <v>2471</v>
      </c>
      <c r="R299" s="94" t="s">
        <v>2471</v>
      </c>
      <c r="S299" s="94" t="s">
        <v>3241</v>
      </c>
      <c r="T299" s="94" t="s">
        <v>3241</v>
      </c>
    </row>
    <row r="300" spans="1:20" x14ac:dyDescent="0.2">
      <c r="A300" s="281" t="str">
        <f t="shared" si="61"/>
        <v>ZLF 100 DC-spare parts</v>
      </c>
      <c r="B300" s="281" t="s">
        <v>3552</v>
      </c>
      <c r="D300" s="281" t="s">
        <v>3532</v>
      </c>
      <c r="E300" s="281" t="s">
        <v>3241</v>
      </c>
      <c r="F300" s="281" t="s">
        <v>3288</v>
      </c>
      <c r="G300" s="281" t="s">
        <v>3241</v>
      </c>
      <c r="H300" s="281" t="s">
        <v>3241</v>
      </c>
      <c r="I300" s="242" t="s">
        <v>3241</v>
      </c>
      <c r="J300" s="37" t="s">
        <v>3241</v>
      </c>
      <c r="O300" s="94">
        <v>0</v>
      </c>
      <c r="P300" s="94">
        <v>0</v>
      </c>
      <c r="Q300" s="94" t="s">
        <v>2471</v>
      </c>
      <c r="R300" s="94" t="s">
        <v>2471</v>
      </c>
      <c r="S300" s="94" t="s">
        <v>3241</v>
      </c>
      <c r="T300" s="94" t="s">
        <v>3241</v>
      </c>
    </row>
    <row r="301" spans="1:20" x14ac:dyDescent="0.2">
      <c r="A301" s="281" t="str">
        <f t="shared" si="61"/>
        <v>HTC-120-spare parts</v>
      </c>
      <c r="B301" s="281" t="s">
        <v>3553</v>
      </c>
      <c r="D301" s="281" t="s">
        <v>3532</v>
      </c>
      <c r="E301" s="281" t="s">
        <v>3241</v>
      </c>
      <c r="F301" s="281" t="s">
        <v>3242</v>
      </c>
      <c r="G301" s="281" t="s">
        <v>3241</v>
      </c>
      <c r="H301" s="281" t="s">
        <v>3241</v>
      </c>
      <c r="I301" s="242" t="s">
        <v>3241</v>
      </c>
      <c r="J301" s="37" t="s">
        <v>3241</v>
      </c>
      <c r="O301" s="94">
        <v>0</v>
      </c>
      <c r="P301" s="94">
        <v>0</v>
      </c>
      <c r="Q301" s="94" t="s">
        <v>2471</v>
      </c>
      <c r="R301" s="94" t="s">
        <v>2471</v>
      </c>
      <c r="S301" s="94" t="s">
        <v>3241</v>
      </c>
      <c r="T301" s="94" t="s">
        <v>3241</v>
      </c>
    </row>
    <row r="302" spans="1:20" x14ac:dyDescent="0.2">
      <c r="A302" s="281" t="str">
        <f t="shared" si="61"/>
        <v>VC 110 SDD-spare parts</v>
      </c>
      <c r="B302" s="281" t="s">
        <v>3554</v>
      </c>
      <c r="D302" s="281" t="s">
        <v>3532</v>
      </c>
      <c r="E302" s="281" t="s">
        <v>3241</v>
      </c>
      <c r="F302" s="281" t="s">
        <v>3318</v>
      </c>
      <c r="G302" s="281" t="s">
        <v>3241</v>
      </c>
      <c r="H302" s="281" t="s">
        <v>3241</v>
      </c>
      <c r="I302" s="242" t="s">
        <v>3241</v>
      </c>
      <c r="J302" s="37" t="s">
        <v>3241</v>
      </c>
      <c r="O302" s="94">
        <v>0</v>
      </c>
      <c r="P302" s="94">
        <v>0</v>
      </c>
      <c r="Q302" s="94" t="s">
        <v>2471</v>
      </c>
      <c r="R302" s="94" t="s">
        <v>2471</v>
      </c>
      <c r="S302" s="94" t="s">
        <v>3241</v>
      </c>
      <c r="T302" s="94" t="s">
        <v>3241</v>
      </c>
    </row>
    <row r="303" spans="1:20" x14ac:dyDescent="0.2">
      <c r="A303" s="281" t="str">
        <f t="shared" si="61"/>
        <v>ZLF 150DC-spare parts</v>
      </c>
      <c r="B303" s="281" t="s">
        <v>3555</v>
      </c>
      <c r="D303" s="281" t="s">
        <v>3532</v>
      </c>
      <c r="E303" s="281" t="s">
        <v>3241</v>
      </c>
      <c r="F303" s="281" t="s">
        <v>3288</v>
      </c>
      <c r="G303" s="281" t="s">
        <v>3241</v>
      </c>
      <c r="H303" s="281" t="s">
        <v>3241</v>
      </c>
      <c r="I303" s="242" t="s">
        <v>3241</v>
      </c>
      <c r="J303" s="37" t="s">
        <v>3241</v>
      </c>
      <c r="O303" s="94">
        <v>0</v>
      </c>
      <c r="P303" s="94">
        <v>0</v>
      </c>
      <c r="Q303" s="94" t="s">
        <v>2471</v>
      </c>
      <c r="R303" s="94" t="s">
        <v>2471</v>
      </c>
      <c r="S303" s="94" t="s">
        <v>3241</v>
      </c>
      <c r="T303" s="94" t="s">
        <v>3241</v>
      </c>
    </row>
    <row r="304" spans="1:20" x14ac:dyDescent="0.2">
      <c r="A304" s="281" t="str">
        <f t="shared" si="61"/>
        <v>VC 200 SDD-spare parts</v>
      </c>
      <c r="B304" s="281" t="s">
        <v>3556</v>
      </c>
      <c r="D304" s="281" t="s">
        <v>3532</v>
      </c>
      <c r="E304" s="281" t="s">
        <v>3241</v>
      </c>
      <c r="F304" s="281" t="s">
        <v>3318</v>
      </c>
      <c r="G304" s="281" t="s">
        <v>3241</v>
      </c>
      <c r="H304" s="281" t="s">
        <v>3241</v>
      </c>
      <c r="I304" s="242" t="s">
        <v>3241</v>
      </c>
      <c r="J304" s="37" t="s">
        <v>3241</v>
      </c>
      <c r="O304" s="94">
        <v>0</v>
      </c>
      <c r="P304" s="94">
        <v>0</v>
      </c>
      <c r="Q304" s="94" t="s">
        <v>2471</v>
      </c>
      <c r="R304" s="94" t="s">
        <v>2471</v>
      </c>
      <c r="S304" s="94" t="s">
        <v>3241</v>
      </c>
      <c r="T304" s="94" t="s">
        <v>3241</v>
      </c>
    </row>
    <row r="305" spans="1:20" x14ac:dyDescent="0.2">
      <c r="A305" s="281" t="str">
        <f t="shared" si="61"/>
        <v>VLS 154A SDD-spare parts</v>
      </c>
      <c r="B305" s="281" t="s">
        <v>3557</v>
      </c>
      <c r="D305" s="281" t="s">
        <v>3532</v>
      </c>
      <c r="E305" s="281" t="s">
        <v>3241</v>
      </c>
      <c r="F305" s="281" t="s">
        <v>3300</v>
      </c>
      <c r="G305" s="281" t="s">
        <v>3241</v>
      </c>
      <c r="H305" s="281" t="s">
        <v>3241</v>
      </c>
      <c r="I305" s="242" t="s">
        <v>3241</v>
      </c>
      <c r="J305" s="37" t="s">
        <v>3241</v>
      </c>
      <c r="O305" s="94">
        <v>0</v>
      </c>
      <c r="P305" s="94">
        <v>0</v>
      </c>
      <c r="Q305" s="94" t="s">
        <v>2471</v>
      </c>
      <c r="R305" s="94" t="s">
        <v>2471</v>
      </c>
      <c r="S305" s="94" t="s">
        <v>3241</v>
      </c>
      <c r="T305" s="94" t="s">
        <v>3241</v>
      </c>
    </row>
    <row r="306" spans="1:20" x14ac:dyDescent="0.2">
      <c r="A306" s="281" t="str">
        <f t="shared" si="61"/>
        <v>HTC-240-spare parts</v>
      </c>
      <c r="B306" s="281" t="s">
        <v>3558</v>
      </c>
      <c r="D306" s="281" t="s">
        <v>3532</v>
      </c>
      <c r="E306" s="281" t="s">
        <v>3241</v>
      </c>
      <c r="F306" s="281" t="s">
        <v>3242</v>
      </c>
      <c r="G306" s="281" t="s">
        <v>3241</v>
      </c>
      <c r="H306" s="281" t="s">
        <v>3241</v>
      </c>
      <c r="I306" s="242" t="s">
        <v>3241</v>
      </c>
      <c r="J306" s="37" t="s">
        <v>3241</v>
      </c>
      <c r="O306" s="94">
        <v>0</v>
      </c>
      <c r="P306" s="94">
        <v>0</v>
      </c>
      <c r="Q306" s="94" t="s">
        <v>2471</v>
      </c>
      <c r="R306" s="94" t="s">
        <v>2471</v>
      </c>
      <c r="S306" s="94" t="s">
        <v>3241</v>
      </c>
      <c r="T306" s="94" t="s">
        <v>3241</v>
      </c>
    </row>
    <row r="307" spans="1:20" x14ac:dyDescent="0.2">
      <c r="A307" s="281" t="str">
        <f t="shared" si="61"/>
        <v>TCW 4000 SDD-spare parts</v>
      </c>
      <c r="B307" s="281" t="s">
        <v>3559</v>
      </c>
      <c r="D307" s="281" t="s">
        <v>3532</v>
      </c>
      <c r="E307" s="281" t="s">
        <v>3241</v>
      </c>
      <c r="F307" s="281" t="s">
        <v>3293</v>
      </c>
      <c r="G307" s="281" t="s">
        <v>3241</v>
      </c>
      <c r="H307" s="281" t="s">
        <v>3241</v>
      </c>
      <c r="I307" s="242" t="s">
        <v>3241</v>
      </c>
      <c r="J307" s="37" t="s">
        <v>3241</v>
      </c>
      <c r="O307" s="94">
        <v>0</v>
      </c>
      <c r="P307" s="94">
        <v>0</v>
      </c>
      <c r="Q307" s="94" t="s">
        <v>2471</v>
      </c>
      <c r="R307" s="94" t="s">
        <v>2471</v>
      </c>
      <c r="S307" s="94" t="s">
        <v>3241</v>
      </c>
      <c r="T307" s="94" t="s">
        <v>3241</v>
      </c>
    </row>
    <row r="308" spans="1:20" x14ac:dyDescent="0.2">
      <c r="A308" s="281" t="str">
        <f t="shared" si="61"/>
        <v>TCW 15 SDD-spare parts</v>
      </c>
      <c r="B308" s="281" t="s">
        <v>3561</v>
      </c>
      <c r="D308" s="281" t="s">
        <v>3560</v>
      </c>
      <c r="E308" s="281" t="s">
        <v>3241</v>
      </c>
      <c r="F308" s="281" t="s">
        <v>3293</v>
      </c>
      <c r="G308" s="281" t="s">
        <v>3241</v>
      </c>
      <c r="H308" s="281" t="s">
        <v>3241</v>
      </c>
      <c r="I308" s="242" t="s">
        <v>3241</v>
      </c>
      <c r="J308" s="37" t="s">
        <v>3241</v>
      </c>
      <c r="O308" s="94">
        <v>0</v>
      </c>
      <c r="P308" s="94">
        <v>0</v>
      </c>
      <c r="Q308" s="94" t="s">
        <v>2471</v>
      </c>
      <c r="R308" s="94" t="s">
        <v>2471</v>
      </c>
      <c r="S308" s="94" t="s">
        <v>3241</v>
      </c>
      <c r="T308" s="94" t="s">
        <v>3241</v>
      </c>
    </row>
    <row r="309" spans="1:20" x14ac:dyDescent="0.2">
      <c r="A309" s="281" t="str">
        <f t="shared" si="61"/>
        <v>TCW 40 SDD-spare parts</v>
      </c>
      <c r="B309" s="281" t="s">
        <v>3562</v>
      </c>
      <c r="D309" s="281" t="s">
        <v>3560</v>
      </c>
      <c r="E309" s="281" t="s">
        <v>3241</v>
      </c>
      <c r="F309" s="281" t="s">
        <v>3293</v>
      </c>
      <c r="G309" s="281" t="s">
        <v>3241</v>
      </c>
      <c r="H309" s="281" t="s">
        <v>3241</v>
      </c>
      <c r="I309" s="242" t="s">
        <v>3241</v>
      </c>
      <c r="J309" s="37" t="s">
        <v>3241</v>
      </c>
      <c r="O309" s="94">
        <v>0</v>
      </c>
      <c r="P309" s="94">
        <v>0</v>
      </c>
      <c r="Q309" s="94" t="s">
        <v>2471</v>
      </c>
      <c r="R309" s="94" t="s">
        <v>2471</v>
      </c>
      <c r="S309" s="94" t="s">
        <v>3241</v>
      </c>
      <c r="T309" s="94" t="s">
        <v>3241</v>
      </c>
    </row>
    <row r="310" spans="1:20" x14ac:dyDescent="0.2">
      <c r="A310" s="281" t="str">
        <f t="shared" si="61"/>
        <v>VLS 026 RF SDD-spare parts</v>
      </c>
      <c r="B310" s="281" t="s">
        <v>3563</v>
      </c>
      <c r="D310" s="281" t="s">
        <v>3560</v>
      </c>
      <c r="E310" s="281" t="s">
        <v>3241</v>
      </c>
      <c r="F310" s="281" t="s">
        <v>3300</v>
      </c>
      <c r="G310" s="281" t="s">
        <v>3241</v>
      </c>
      <c r="H310" s="281" t="s">
        <v>3241</v>
      </c>
      <c r="I310" s="242" t="s">
        <v>3241</v>
      </c>
      <c r="J310" s="37" t="s">
        <v>3241</v>
      </c>
      <c r="O310" s="94">
        <v>0</v>
      </c>
      <c r="P310" s="94">
        <v>0</v>
      </c>
      <c r="Q310" s="94" t="s">
        <v>2471</v>
      </c>
      <c r="R310" s="94" t="s">
        <v>2471</v>
      </c>
      <c r="S310" s="94" t="s">
        <v>3241</v>
      </c>
      <c r="T310" s="94" t="s">
        <v>3241</v>
      </c>
    </row>
    <row r="311" spans="1:20" x14ac:dyDescent="0.2">
      <c r="A311" s="281" t="str">
        <f t="shared" si="61"/>
        <v>HTCD 90 SDD-spare parts</v>
      </c>
      <c r="B311" s="281" t="s">
        <v>3564</v>
      </c>
      <c r="D311" s="281" t="s">
        <v>3560</v>
      </c>
      <c r="E311" s="281" t="s">
        <v>3241</v>
      </c>
      <c r="F311" s="281" t="s">
        <v>3242</v>
      </c>
      <c r="G311" s="281" t="s">
        <v>3241</v>
      </c>
      <c r="H311" s="281" t="s">
        <v>3241</v>
      </c>
      <c r="I311" s="242" t="s">
        <v>3241</v>
      </c>
      <c r="J311" s="37" t="s">
        <v>3241</v>
      </c>
      <c r="O311" s="94">
        <v>0</v>
      </c>
      <c r="P311" s="94">
        <v>0</v>
      </c>
      <c r="Q311" s="94" t="s">
        <v>2471</v>
      </c>
      <c r="R311" s="94" t="s">
        <v>2471</v>
      </c>
      <c r="S311" s="94" t="s">
        <v>3241</v>
      </c>
      <c r="T311" s="94" t="s">
        <v>3241</v>
      </c>
    </row>
    <row r="312" spans="1:20" x14ac:dyDescent="0.2">
      <c r="A312" s="281" t="str">
        <f t="shared" si="61"/>
        <v>VLS 056 RF SDD-spare parts</v>
      </c>
      <c r="B312" s="281" t="s">
        <v>3565</v>
      </c>
      <c r="D312" s="281" t="s">
        <v>3560</v>
      </c>
      <c r="E312" s="281" t="s">
        <v>3241</v>
      </c>
      <c r="F312" s="281" t="s">
        <v>3300</v>
      </c>
      <c r="G312" s="281" t="s">
        <v>3241</v>
      </c>
      <c r="H312" s="281" t="s">
        <v>3241</v>
      </c>
      <c r="I312" s="242" t="s">
        <v>3241</v>
      </c>
      <c r="J312" s="37" t="s">
        <v>3241</v>
      </c>
      <c r="O312" s="94">
        <v>0</v>
      </c>
      <c r="P312" s="94">
        <v>0</v>
      </c>
      <c r="Q312" s="94" t="s">
        <v>2471</v>
      </c>
      <c r="R312" s="94" t="s">
        <v>2471</v>
      </c>
      <c r="S312" s="94" t="s">
        <v>3241</v>
      </c>
      <c r="T312" s="94" t="s">
        <v>3241</v>
      </c>
    </row>
    <row r="313" spans="1:20" x14ac:dyDescent="0.2">
      <c r="A313" s="281" t="str">
        <f t="shared" si="61"/>
        <v>VC 60 SDD-spare parts</v>
      </c>
      <c r="B313" s="281" t="s">
        <v>3566</v>
      </c>
      <c r="D313" s="281" t="s">
        <v>3560</v>
      </c>
      <c r="E313" s="281" t="s">
        <v>3241</v>
      </c>
      <c r="F313" s="281" t="s">
        <v>3318</v>
      </c>
      <c r="G313" s="281" t="s">
        <v>3241</v>
      </c>
      <c r="H313" s="281" t="s">
        <v>3241</v>
      </c>
      <c r="I313" s="242" t="s">
        <v>3241</v>
      </c>
      <c r="J313" s="37" t="s">
        <v>3241</v>
      </c>
      <c r="O313" s="94">
        <v>0</v>
      </c>
      <c r="P313" s="94">
        <v>0</v>
      </c>
      <c r="Q313" s="94" t="s">
        <v>2471</v>
      </c>
      <c r="R313" s="94" t="s">
        <v>2471</v>
      </c>
      <c r="S313" s="94" t="s">
        <v>3241</v>
      </c>
      <c r="T313" s="94" t="s">
        <v>3241</v>
      </c>
    </row>
    <row r="314" spans="1:20" x14ac:dyDescent="0.2">
      <c r="A314" s="281" t="str">
        <f t="shared" si="61"/>
        <v>GVR 55 FF DC-spare parts</v>
      </c>
      <c r="B314" s="281" t="s">
        <v>3567</v>
      </c>
      <c r="D314" s="281" t="s">
        <v>3560</v>
      </c>
      <c r="E314" s="281" t="s">
        <v>3241</v>
      </c>
      <c r="F314" s="281" t="s">
        <v>3290</v>
      </c>
      <c r="G314" s="281" t="s">
        <v>3241</v>
      </c>
      <c r="H314" s="281" t="s">
        <v>3241</v>
      </c>
      <c r="I314" s="242" t="s">
        <v>3241</v>
      </c>
      <c r="J314" s="37" t="s">
        <v>3241</v>
      </c>
      <c r="O314" s="94">
        <v>0</v>
      </c>
      <c r="P314" s="94">
        <v>0</v>
      </c>
      <c r="Q314" s="94" t="s">
        <v>2471</v>
      </c>
      <c r="R314" s="94" t="s">
        <v>2471</v>
      </c>
      <c r="S314" s="94" t="s">
        <v>3241</v>
      </c>
      <c r="T314" s="94" t="s">
        <v>3241</v>
      </c>
    </row>
    <row r="315" spans="1:20" x14ac:dyDescent="0.2">
      <c r="A315" s="281" t="str">
        <f t="shared" si="61"/>
        <v>TCW 2043 SDD-spare parts</v>
      </c>
      <c r="B315" s="281" t="s">
        <v>3568</v>
      </c>
      <c r="D315" s="281" t="s">
        <v>3560</v>
      </c>
      <c r="E315" s="281" t="s">
        <v>3241</v>
      </c>
      <c r="F315" s="281" t="s">
        <v>3293</v>
      </c>
      <c r="G315" s="281" t="s">
        <v>3241</v>
      </c>
      <c r="H315" s="281" t="s">
        <v>3241</v>
      </c>
      <c r="I315" s="242" t="s">
        <v>3241</v>
      </c>
      <c r="J315" s="37" t="s">
        <v>3241</v>
      </c>
      <c r="O315" s="94">
        <v>0</v>
      </c>
      <c r="P315" s="94">
        <v>0</v>
      </c>
      <c r="Q315" s="94" t="s">
        <v>2471</v>
      </c>
      <c r="R315" s="94" t="s">
        <v>2471</v>
      </c>
      <c r="S315" s="94" t="s">
        <v>3241</v>
      </c>
      <c r="T315" s="94" t="s">
        <v>3241</v>
      </c>
    </row>
    <row r="316" spans="1:20" x14ac:dyDescent="0.2">
      <c r="A316" s="281" t="str">
        <f t="shared" si="61"/>
        <v>HTCD 160 SDD-spare parts</v>
      </c>
      <c r="B316" s="281" t="s">
        <v>3569</v>
      </c>
      <c r="D316" s="281" t="s">
        <v>3560</v>
      </c>
      <c r="E316" s="281" t="s">
        <v>3241</v>
      </c>
      <c r="F316" s="281" t="s">
        <v>3242</v>
      </c>
      <c r="G316" s="281" t="s">
        <v>3241</v>
      </c>
      <c r="H316" s="281" t="s">
        <v>3241</v>
      </c>
      <c r="I316" s="242" t="s">
        <v>3241</v>
      </c>
      <c r="J316" s="37" t="s">
        <v>3241</v>
      </c>
      <c r="O316" s="94">
        <v>0</v>
      </c>
      <c r="P316" s="94">
        <v>0</v>
      </c>
      <c r="Q316" s="94" t="s">
        <v>2471</v>
      </c>
      <c r="R316" s="94" t="s">
        <v>2471</v>
      </c>
      <c r="S316" s="94" t="s">
        <v>3241</v>
      </c>
      <c r="T316" s="94" t="s">
        <v>3241</v>
      </c>
    </row>
    <row r="317" spans="1:20" x14ac:dyDescent="0.2">
      <c r="A317" s="281" t="str">
        <f t="shared" si="61"/>
        <v>VC 150 SDD-spare parts</v>
      </c>
      <c r="B317" s="281" t="s">
        <v>3570</v>
      </c>
      <c r="D317" s="281" t="s">
        <v>3560</v>
      </c>
      <c r="E317" s="281" t="s">
        <v>3241</v>
      </c>
      <c r="F317" s="281" t="s">
        <v>3318</v>
      </c>
      <c r="G317" s="281" t="s">
        <v>3241</v>
      </c>
      <c r="H317" s="281" t="s">
        <v>3241</v>
      </c>
      <c r="I317" s="242" t="s">
        <v>3241</v>
      </c>
      <c r="J317" s="37" t="s">
        <v>3241</v>
      </c>
      <c r="O317" s="94">
        <v>0</v>
      </c>
      <c r="P317" s="94">
        <v>0</v>
      </c>
      <c r="Q317" s="94" t="s">
        <v>2471</v>
      </c>
      <c r="R317" s="94" t="s">
        <v>2471</v>
      </c>
      <c r="S317" s="94" t="s">
        <v>3241</v>
      </c>
      <c r="T317" s="94" t="s">
        <v>3241</v>
      </c>
    </row>
    <row r="318" spans="1:20" x14ac:dyDescent="0.2">
      <c r="A318" s="281" t="str">
        <f t="shared" si="61"/>
        <v>VFS 048 SDD-spare parts</v>
      </c>
      <c r="B318" s="281" t="s">
        <v>3572</v>
      </c>
      <c r="D318" s="281" t="s">
        <v>3571</v>
      </c>
      <c r="E318" s="281" t="s">
        <v>3241</v>
      </c>
      <c r="F318" s="281" t="s">
        <v>3300</v>
      </c>
      <c r="G318" s="281" t="s">
        <v>3241</v>
      </c>
      <c r="H318" s="281" t="s">
        <v>3241</v>
      </c>
      <c r="I318" s="242" t="s">
        <v>3241</v>
      </c>
      <c r="J318" s="37" t="s">
        <v>3241</v>
      </c>
      <c r="O318" s="94">
        <v>0</v>
      </c>
      <c r="P318" s="94">
        <v>0</v>
      </c>
      <c r="Q318" s="94" t="s">
        <v>2471</v>
      </c>
      <c r="R318" s="94" t="s">
        <v>2471</v>
      </c>
      <c r="S318" s="94" t="s">
        <v>3241</v>
      </c>
      <c r="T318" s="94" t="s">
        <v>3241</v>
      </c>
    </row>
    <row r="319" spans="1:20" x14ac:dyDescent="0.2">
      <c r="A319" s="281" t="str">
        <f t="shared" si="61"/>
        <v>HTD 40 SDD-spare parts</v>
      </c>
      <c r="B319" s="281" t="s">
        <v>3573</v>
      </c>
      <c r="D319" s="281" t="s">
        <v>3571</v>
      </c>
      <c r="E319" s="281" t="s">
        <v>3241</v>
      </c>
      <c r="F319" s="281" t="s">
        <v>3242</v>
      </c>
      <c r="G319" s="281" t="s">
        <v>3241</v>
      </c>
      <c r="H319" s="281" t="s">
        <v>3241</v>
      </c>
      <c r="I319" s="242" t="s">
        <v>3241</v>
      </c>
      <c r="J319" s="37" t="s">
        <v>3241</v>
      </c>
      <c r="O319" s="94">
        <v>0</v>
      </c>
      <c r="P319" s="94">
        <v>0</v>
      </c>
      <c r="Q319" s="94" t="s">
        <v>2471</v>
      </c>
      <c r="R319" s="94" t="s">
        <v>2471</v>
      </c>
      <c r="S319" s="94" t="s">
        <v>3241</v>
      </c>
      <c r="T319" s="94" t="s">
        <v>3241</v>
      </c>
    </row>
    <row r="320" spans="1:20" x14ac:dyDescent="0.2">
      <c r="A320" s="281" t="str">
        <f t="shared" si="61"/>
        <v>TFW 40 SDD-spare parts</v>
      </c>
      <c r="B320" s="281" t="s">
        <v>3574</v>
      </c>
      <c r="D320" s="281" t="s">
        <v>3571</v>
      </c>
      <c r="E320" s="281" t="s">
        <v>3241</v>
      </c>
      <c r="F320" s="281" t="s">
        <v>3293</v>
      </c>
      <c r="G320" s="281" t="s">
        <v>3241</v>
      </c>
      <c r="H320" s="281" t="s">
        <v>3241</v>
      </c>
      <c r="I320" s="242" t="s">
        <v>3241</v>
      </c>
      <c r="J320" s="37" t="s">
        <v>3241</v>
      </c>
      <c r="O320" s="94">
        <v>0</v>
      </c>
      <c r="P320" s="94">
        <v>0</v>
      </c>
      <c r="Q320" s="94" t="s">
        <v>2471</v>
      </c>
      <c r="R320" s="94" t="s">
        <v>2471</v>
      </c>
      <c r="S320" s="94" t="s">
        <v>3241</v>
      </c>
      <c r="T320" s="94" t="s">
        <v>3241</v>
      </c>
    </row>
  </sheetData>
  <dataValidations count="1">
    <dataValidation type="list" allowBlank="1" showInputMessage="1" showErrorMessage="1" sqref="V2:V172" xr:uid="{27BCBFAA-97BA-4040-835A-81483F68C2A5}">
      <formula1>_Capacity_Segmentation</formula1>
    </dataValidation>
  </dataValidations>
  <pageMargins left="0.7" right="0.7" top="0.75" bottom="0.75" header="0.3" footer="0.3"/>
  <pageSetup paperSize="9" orientation="portrait" horizontalDpi="0" verticalDpi="0" r:id="rId1"/>
  <tableParts count="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5130E-C1FB-4B37-A19A-942B947E6AFC}">
  <sheetPr>
    <tabColor rgb="FF7030A0"/>
  </sheetPr>
  <dimension ref="A1:M196"/>
  <sheetViews>
    <sheetView workbookViewId="0"/>
  </sheetViews>
  <sheetFormatPr defaultColWidth="9.140625" defaultRowHeight="12.75" x14ac:dyDescent="0.2"/>
  <cols>
    <col min="1" max="1" width="6.42578125" style="499" customWidth="1"/>
    <col min="2" max="2" width="18" style="499" customWidth="1"/>
    <col min="3" max="3" width="18.28515625" style="499" customWidth="1"/>
    <col min="4" max="4" width="20.7109375" style="499" customWidth="1"/>
    <col min="5" max="5" width="8.85546875" style="499" customWidth="1"/>
    <col min="6" max="6" width="12.7109375" style="16" customWidth="1"/>
    <col min="7" max="7" width="12.42578125" style="16" customWidth="1"/>
    <col min="8" max="10" width="12.7109375" style="16" customWidth="1"/>
    <col min="11" max="11" width="12.85546875" style="16" customWidth="1"/>
    <col min="12" max="12" width="8.85546875" style="499" customWidth="1"/>
    <col min="13" max="13" width="24.7109375" style="273" customWidth="1"/>
    <col min="14" max="16384" width="9.140625" style="499"/>
  </cols>
  <sheetData>
    <row r="1" spans="1:13" x14ac:dyDescent="0.2">
      <c r="A1" s="499" t="s">
        <v>4447</v>
      </c>
      <c r="B1" s="499" t="s">
        <v>21</v>
      </c>
      <c r="C1" s="499" t="s">
        <v>22</v>
      </c>
      <c r="D1" s="499" t="s">
        <v>23</v>
      </c>
      <c r="F1" s="16" t="s">
        <v>4448</v>
      </c>
      <c r="G1" s="16">
        <v>2019</v>
      </c>
      <c r="H1" s="16">
        <v>2020</v>
      </c>
      <c r="I1" s="16">
        <v>2021</v>
      </c>
      <c r="J1" s="16">
        <v>2022</v>
      </c>
      <c r="K1" s="16">
        <v>2023</v>
      </c>
      <c r="M1" s="273" t="s">
        <v>4449</v>
      </c>
    </row>
    <row r="2" spans="1:13" x14ac:dyDescent="0.2">
      <c r="A2" s="499" t="s">
        <v>503</v>
      </c>
      <c r="B2" s="300">
        <f t="shared" ref="B2:B33" si="0">IF($M2="","",I2*1000000000/$M2)</f>
        <v>846927374.30167592</v>
      </c>
      <c r="C2" s="300">
        <f t="shared" ref="C2:C33" si="1">IF($M2="","",J2*1000000000/$M2)</f>
        <v>878770949.72067034</v>
      </c>
      <c r="D2" s="300">
        <f t="shared" ref="D2:D33" si="2">IF($M2="","",K2*1000000000/$M2)</f>
        <v>898324022.34636867</v>
      </c>
      <c r="F2" s="16">
        <v>1.409</v>
      </c>
      <c r="G2" s="16">
        <v>1.4</v>
      </c>
      <c r="H2" s="16">
        <v>1.9470000000000001</v>
      </c>
      <c r="I2" s="16">
        <v>1.516</v>
      </c>
      <c r="J2" s="16">
        <v>1.573</v>
      </c>
      <c r="K2" s="16">
        <v>1.6080000000000001</v>
      </c>
      <c r="M2" s="273">
        <v>1.79</v>
      </c>
    </row>
    <row r="3" spans="1:13" x14ac:dyDescent="0.2">
      <c r="A3" s="499" t="s">
        <v>263</v>
      </c>
      <c r="B3" s="300">
        <f t="shared" si="0"/>
        <v>5745623658.9846792</v>
      </c>
      <c r="C3" s="300">
        <f t="shared" si="1"/>
        <v>6303883819.6745596</v>
      </c>
      <c r="D3" s="300">
        <f t="shared" si="2"/>
        <v>7069854630.9626131</v>
      </c>
      <c r="F3" s="16">
        <v>384.17599999999999</v>
      </c>
      <c r="G3" s="16">
        <v>411.47300000000001</v>
      </c>
      <c r="H3" s="16">
        <v>478.78500000000003</v>
      </c>
      <c r="I3" s="16">
        <v>446.65300000000002</v>
      </c>
      <c r="J3" s="16">
        <v>490.05099999999999</v>
      </c>
      <c r="K3" s="16">
        <v>549.596</v>
      </c>
      <c r="M3" s="273">
        <v>77.737949178336706</v>
      </c>
    </row>
    <row r="4" spans="1:13" x14ac:dyDescent="0.2">
      <c r="A4" s="499" t="s">
        <v>85</v>
      </c>
      <c r="B4" s="300">
        <f t="shared" si="0"/>
        <v>15534143719.614107</v>
      </c>
      <c r="C4" s="300">
        <f t="shared" si="1"/>
        <v>17814532785.840199</v>
      </c>
      <c r="D4" s="300">
        <f t="shared" si="2"/>
        <v>19249952408.172474</v>
      </c>
      <c r="F4" s="16">
        <v>5273.8649999999998</v>
      </c>
      <c r="G4" s="16">
        <v>6270.7860000000001</v>
      </c>
      <c r="H4" s="16">
        <v>7363.8019999999997</v>
      </c>
      <c r="I4" s="16">
        <v>8982.7549999999992</v>
      </c>
      <c r="J4" s="16">
        <v>10301.41</v>
      </c>
      <c r="K4" s="16">
        <v>11131.454</v>
      </c>
      <c r="M4" s="273">
        <v>578.25878028011095</v>
      </c>
    </row>
    <row r="5" spans="1:13" x14ac:dyDescent="0.2">
      <c r="A5" s="499" t="s">
        <v>309</v>
      </c>
      <c r="B5" s="300">
        <f t="shared" si="0"/>
        <v>4899677864.7031755</v>
      </c>
      <c r="C5" s="300">
        <f t="shared" si="1"/>
        <v>4988449148.6424294</v>
      </c>
      <c r="D5" s="300">
        <f t="shared" si="2"/>
        <v>5226102162.9084215</v>
      </c>
      <c r="F5" s="16">
        <v>471.40699999999998</v>
      </c>
      <c r="G5" s="16">
        <v>493.16500000000002</v>
      </c>
      <c r="H5" s="16">
        <v>516.46199999999999</v>
      </c>
      <c r="I5" s="16">
        <v>532.35</v>
      </c>
      <c r="J5" s="16">
        <v>541.995</v>
      </c>
      <c r="K5" s="16">
        <v>567.81600000000003</v>
      </c>
      <c r="M5" s="273">
        <v>108.65</v>
      </c>
    </row>
    <row r="6" spans="1:13" x14ac:dyDescent="0.2">
      <c r="A6" s="499" t="s">
        <v>267</v>
      </c>
      <c r="B6" s="300">
        <f t="shared" si="0"/>
        <v>123179577944.17972</v>
      </c>
      <c r="C6" s="300">
        <f t="shared" si="1"/>
        <v>123377263444.52008</v>
      </c>
      <c r="D6" s="300">
        <f t="shared" si="2"/>
        <v>125678148400.27229</v>
      </c>
      <c r="F6" s="16">
        <v>447.65800000000002</v>
      </c>
      <c r="G6" s="16">
        <v>472.61599999999999</v>
      </c>
      <c r="H6" s="16">
        <v>466.762</v>
      </c>
      <c r="I6" s="16">
        <v>452.37700000000001</v>
      </c>
      <c r="J6" s="16">
        <v>453.10300000000001</v>
      </c>
      <c r="K6" s="16">
        <v>461.553</v>
      </c>
      <c r="M6" s="273">
        <v>3.6724999999999999</v>
      </c>
    </row>
    <row r="7" spans="1:13" x14ac:dyDescent="0.2">
      <c r="A7" s="499" t="s">
        <v>315</v>
      </c>
      <c r="B7" s="300">
        <f t="shared" si="0"/>
        <v>3744218469.3257337</v>
      </c>
      <c r="C7" s="300">
        <f t="shared" si="1"/>
        <v>4021741049.1641707</v>
      </c>
      <c r="D7" s="300">
        <f t="shared" si="2"/>
        <v>4358732899.3217525</v>
      </c>
      <c r="F7" s="16">
        <v>1447.0830000000001</v>
      </c>
      <c r="G7" s="16">
        <v>1629.4369999999999</v>
      </c>
      <c r="H7" s="16">
        <v>1842.2529999999999</v>
      </c>
      <c r="I7" s="16">
        <v>1830.9559999999999</v>
      </c>
      <c r="J7" s="16">
        <v>1966.6669999999999</v>
      </c>
      <c r="K7" s="16">
        <v>2131.4589999999998</v>
      </c>
      <c r="M7" s="273">
        <v>489.008858590915</v>
      </c>
    </row>
    <row r="8" spans="1:13" x14ac:dyDescent="0.2">
      <c r="A8" s="499" t="s">
        <v>193</v>
      </c>
      <c r="B8" s="300">
        <f t="shared" si="0"/>
        <v>402222222.22222221</v>
      </c>
      <c r="C8" s="300">
        <f t="shared" si="1"/>
        <v>412962962.96296293</v>
      </c>
      <c r="D8" s="300">
        <f t="shared" si="2"/>
        <v>421851851.85185182</v>
      </c>
      <c r="F8" s="16">
        <v>0.996</v>
      </c>
      <c r="G8" s="16">
        <v>1.0309999999999999</v>
      </c>
      <c r="H8" s="16">
        <v>1.127</v>
      </c>
      <c r="I8" s="16">
        <v>1.0860000000000001</v>
      </c>
      <c r="J8" s="16">
        <v>1.115</v>
      </c>
      <c r="K8" s="16">
        <v>1.139</v>
      </c>
      <c r="M8" s="273">
        <v>2.7</v>
      </c>
    </row>
    <row r="9" spans="1:13" x14ac:dyDescent="0.2">
      <c r="A9" s="499" t="s">
        <v>441</v>
      </c>
      <c r="B9" s="300">
        <f t="shared" si="0"/>
        <v>607158513142.61292</v>
      </c>
      <c r="C9" s="300">
        <f t="shared" si="1"/>
        <v>583166112727.20959</v>
      </c>
      <c r="D9" s="300">
        <f t="shared" si="2"/>
        <v>585209351600.32239</v>
      </c>
      <c r="F9" s="16">
        <v>700.43899999999996</v>
      </c>
      <c r="G9" s="16">
        <v>766.93700000000001</v>
      </c>
      <c r="H9" s="16">
        <v>862.70799999999997</v>
      </c>
      <c r="I9" s="16">
        <v>882.25300000000004</v>
      </c>
      <c r="J9" s="16">
        <v>847.39</v>
      </c>
      <c r="K9" s="16">
        <v>850.35900000000004</v>
      </c>
      <c r="M9" s="273">
        <v>1.4530851184701601</v>
      </c>
    </row>
    <row r="10" spans="1:13" x14ac:dyDescent="0.2">
      <c r="A10" s="499" t="s">
        <v>319</v>
      </c>
      <c r="B10" s="300">
        <f t="shared" si="0"/>
        <v>18637058823.529411</v>
      </c>
      <c r="C10" s="300">
        <f t="shared" si="1"/>
        <v>19254117647.058823</v>
      </c>
      <c r="D10" s="300">
        <f t="shared" si="2"/>
        <v>19822352941.176472</v>
      </c>
      <c r="F10" s="16">
        <v>26.538</v>
      </c>
      <c r="G10" s="16">
        <v>27.3</v>
      </c>
      <c r="H10" s="16">
        <v>29.952999999999999</v>
      </c>
      <c r="I10" s="16">
        <v>31.683</v>
      </c>
      <c r="J10" s="16">
        <v>32.731999999999999</v>
      </c>
      <c r="K10" s="16">
        <v>33.698</v>
      </c>
      <c r="M10" s="273">
        <v>1.7</v>
      </c>
    </row>
    <row r="11" spans="1:13" x14ac:dyDescent="0.2">
      <c r="A11" s="499" t="s">
        <v>91</v>
      </c>
      <c r="B11" s="300">
        <f t="shared" si="0"/>
        <v>1078935469.449024</v>
      </c>
      <c r="C11" s="300">
        <f t="shared" si="1"/>
        <v>1017525849.6554596</v>
      </c>
      <c r="D11" s="300">
        <f t="shared" si="2"/>
        <v>1057671645.6214057</v>
      </c>
      <c r="F11" s="16">
        <v>1463.1849999999999</v>
      </c>
      <c r="G11" s="16">
        <v>1724.7909999999999</v>
      </c>
      <c r="H11" s="16">
        <v>1881.8320000000001</v>
      </c>
      <c r="I11" s="16">
        <v>1991.308</v>
      </c>
      <c r="J11" s="16">
        <v>1877.9690000000001</v>
      </c>
      <c r="K11" s="16">
        <v>1952.0630000000001</v>
      </c>
      <c r="M11" s="273">
        <v>1845.62289069697</v>
      </c>
    </row>
    <row r="12" spans="1:13" x14ac:dyDescent="0.2">
      <c r="A12" s="499" t="s">
        <v>95</v>
      </c>
      <c r="B12" s="300">
        <f t="shared" si="0"/>
        <v>2836089948.9562235</v>
      </c>
      <c r="C12" s="300">
        <f t="shared" si="1"/>
        <v>3002776190.4650435</v>
      </c>
      <c r="D12" s="300">
        <f t="shared" si="2"/>
        <v>3226593393.8122625</v>
      </c>
      <c r="F12" s="16">
        <v>1311.4280000000001</v>
      </c>
      <c r="G12" s="16">
        <v>1231.202</v>
      </c>
      <c r="H12" s="16">
        <v>1528.5</v>
      </c>
      <c r="I12" s="16">
        <v>1628.751</v>
      </c>
      <c r="J12" s="16">
        <v>1724.4780000000001</v>
      </c>
      <c r="K12" s="16">
        <v>1853.0150000000001</v>
      </c>
      <c r="M12" s="273">
        <v>574.29454964904596</v>
      </c>
    </row>
    <row r="13" spans="1:13" x14ac:dyDescent="0.2">
      <c r="A13" s="499" t="s">
        <v>97</v>
      </c>
      <c r="B13" s="300">
        <f t="shared" si="0"/>
        <v>4362199532.8627825</v>
      </c>
      <c r="C13" s="300">
        <f t="shared" si="1"/>
        <v>4662728035.3703709</v>
      </c>
      <c r="D13" s="300">
        <f t="shared" si="2"/>
        <v>4969921050.1661949</v>
      </c>
      <c r="F13" s="16">
        <v>2137.7049999999999</v>
      </c>
      <c r="G13" s="16">
        <v>2201.944</v>
      </c>
      <c r="H13" s="16">
        <v>2598.5940000000001</v>
      </c>
      <c r="I13" s="16">
        <v>2510.8209999999999</v>
      </c>
      <c r="J13" s="16">
        <v>2683.8009999999999</v>
      </c>
      <c r="K13" s="16">
        <v>2860.6170000000002</v>
      </c>
      <c r="M13" s="273">
        <v>575.58600451094503</v>
      </c>
    </row>
    <row r="14" spans="1:13" x14ac:dyDescent="0.2">
      <c r="A14" s="499" t="s">
        <v>417</v>
      </c>
      <c r="B14" s="300">
        <f t="shared" si="0"/>
        <v>53838601091.239304</v>
      </c>
      <c r="C14" s="300">
        <f t="shared" si="1"/>
        <v>62699914488.264427</v>
      </c>
      <c r="D14" s="300">
        <f t="shared" si="2"/>
        <v>69900008512.880295</v>
      </c>
      <c r="F14" s="16">
        <v>3218.61</v>
      </c>
      <c r="G14" s="16">
        <v>3840.9760000000001</v>
      </c>
      <c r="H14" s="16">
        <v>4153.518</v>
      </c>
      <c r="I14" s="16">
        <v>4569.357</v>
      </c>
      <c r="J14" s="16">
        <v>5321.4290000000001</v>
      </c>
      <c r="K14" s="16">
        <v>5932.5110000000004</v>
      </c>
      <c r="M14" s="273">
        <v>84.871391666666696</v>
      </c>
    </row>
    <row r="15" spans="1:13" x14ac:dyDescent="0.2">
      <c r="A15" s="499" t="s">
        <v>323</v>
      </c>
      <c r="B15" s="300">
        <f t="shared" si="0"/>
        <v>26911439114.391197</v>
      </c>
      <c r="C15" s="300">
        <f t="shared" si="1"/>
        <v>28164692173.237579</v>
      </c>
      <c r="D15" s="300">
        <f t="shared" si="2"/>
        <v>29662652942.318954</v>
      </c>
      <c r="F15" s="16">
        <v>37.729999999999997</v>
      </c>
      <c r="G15" s="16">
        <v>43.162999999999997</v>
      </c>
      <c r="H15" s="16">
        <v>44.518999999999998</v>
      </c>
      <c r="I15" s="16">
        <v>46.189</v>
      </c>
      <c r="J15" s="16">
        <v>48.34</v>
      </c>
      <c r="K15" s="16">
        <v>50.911000000000001</v>
      </c>
      <c r="M15" s="273">
        <v>1.7163333333333299</v>
      </c>
    </row>
    <row r="16" spans="1:13" x14ac:dyDescent="0.2">
      <c r="A16" s="499" t="s">
        <v>269</v>
      </c>
      <c r="B16" s="300">
        <f t="shared" si="0"/>
        <v>11324468085.106382</v>
      </c>
      <c r="C16" s="300">
        <f t="shared" si="1"/>
        <v>11444148936.170212</v>
      </c>
      <c r="D16" s="300">
        <f t="shared" si="2"/>
        <v>11542553191.489361</v>
      </c>
      <c r="F16" s="16">
        <v>4.7839999999999998</v>
      </c>
      <c r="G16" s="16">
        <v>4.8019999999999996</v>
      </c>
      <c r="H16" s="16">
        <v>4.2169999999999996</v>
      </c>
      <c r="I16" s="16">
        <v>4.258</v>
      </c>
      <c r="J16" s="16">
        <v>4.3029999999999999</v>
      </c>
      <c r="K16" s="16">
        <v>4.34</v>
      </c>
      <c r="M16" s="273">
        <v>0.376</v>
      </c>
    </row>
    <row r="17" spans="1:13" x14ac:dyDescent="0.2">
      <c r="A17" s="499" t="s">
        <v>195</v>
      </c>
      <c r="B17" s="300">
        <f t="shared" si="0"/>
        <v>3050000000</v>
      </c>
      <c r="C17" s="300">
        <f t="shared" si="1"/>
        <v>3052000000</v>
      </c>
      <c r="D17" s="300">
        <f t="shared" si="2"/>
        <v>2925000000</v>
      </c>
      <c r="F17" s="16">
        <v>2.4569999999999999</v>
      </c>
      <c r="G17" s="16">
        <v>2.6459999999999999</v>
      </c>
      <c r="H17" s="16">
        <v>2.8359999999999999</v>
      </c>
      <c r="I17" s="16">
        <v>3.05</v>
      </c>
      <c r="J17" s="16">
        <v>3.052</v>
      </c>
      <c r="K17" s="16">
        <v>2.9249999999999998</v>
      </c>
      <c r="M17" s="273">
        <v>1</v>
      </c>
    </row>
    <row r="18" spans="1:13" x14ac:dyDescent="0.2">
      <c r="A18" s="499" t="s">
        <v>325</v>
      </c>
      <c r="B18" s="300">
        <f t="shared" si="0"/>
        <v>9233123134.2595005</v>
      </c>
      <c r="C18" s="300">
        <f t="shared" si="1"/>
        <v>9431146339.0565891</v>
      </c>
      <c r="D18" s="300">
        <f t="shared" si="2"/>
        <v>9798071689.1217804</v>
      </c>
      <c r="F18" s="16">
        <v>13.802</v>
      </c>
      <c r="G18" s="16">
        <v>14.260999999999999</v>
      </c>
      <c r="H18" s="16">
        <v>14.714</v>
      </c>
      <c r="I18" s="16">
        <v>15.853</v>
      </c>
      <c r="J18" s="16">
        <v>16.193000000000001</v>
      </c>
      <c r="K18" s="16">
        <v>16.823</v>
      </c>
      <c r="M18" s="273">
        <v>1.71697049519219</v>
      </c>
    </row>
    <row r="19" spans="1:13" x14ac:dyDescent="0.2">
      <c r="A19" s="499" t="s">
        <v>327</v>
      </c>
      <c r="B19" s="300">
        <f t="shared" si="0"/>
        <v>23722164721.314163</v>
      </c>
      <c r="C19" s="300">
        <f t="shared" si="1"/>
        <v>25014602953.383274</v>
      </c>
      <c r="D19" s="300">
        <f t="shared" si="2"/>
        <v>25750796757.631966</v>
      </c>
      <c r="F19" s="16">
        <v>46.290999999999997</v>
      </c>
      <c r="G19" s="16">
        <v>50.932000000000002</v>
      </c>
      <c r="H19" s="16">
        <v>56.05</v>
      </c>
      <c r="I19" s="16">
        <v>57.872</v>
      </c>
      <c r="J19" s="16">
        <v>61.024999999999999</v>
      </c>
      <c r="K19" s="16">
        <v>62.820999999999998</v>
      </c>
      <c r="M19" s="273">
        <v>2.439575</v>
      </c>
    </row>
    <row r="20" spans="1:13" x14ac:dyDescent="0.2">
      <c r="A20" s="499" t="s">
        <v>198</v>
      </c>
      <c r="B20" s="300">
        <f t="shared" si="0"/>
        <v>641000000</v>
      </c>
      <c r="C20" s="300">
        <f t="shared" si="1"/>
        <v>662000000</v>
      </c>
      <c r="D20" s="300">
        <f t="shared" si="2"/>
        <v>685000000</v>
      </c>
      <c r="F20" s="16">
        <v>1.238</v>
      </c>
      <c r="G20" s="16">
        <v>1.3109999999999999</v>
      </c>
      <c r="H20" s="16">
        <v>1.278</v>
      </c>
      <c r="I20" s="16">
        <v>1.282</v>
      </c>
      <c r="J20" s="16">
        <v>1.3240000000000001</v>
      </c>
      <c r="K20" s="16">
        <v>1.37</v>
      </c>
      <c r="M20" s="273">
        <v>2</v>
      </c>
    </row>
    <row r="21" spans="1:13" x14ac:dyDescent="0.2">
      <c r="A21" s="499" t="s">
        <v>200</v>
      </c>
      <c r="B21" s="300">
        <f t="shared" si="0"/>
        <v>14594066570.188133</v>
      </c>
      <c r="C21" s="300">
        <f t="shared" si="1"/>
        <v>15364544138.929089</v>
      </c>
      <c r="D21" s="300">
        <f t="shared" si="2"/>
        <v>16194790159.189581</v>
      </c>
      <c r="F21" s="16">
        <v>103.267</v>
      </c>
      <c r="G21" s="16">
        <v>101.919</v>
      </c>
      <c r="H21" s="16">
        <v>96.521000000000001</v>
      </c>
      <c r="I21" s="16">
        <v>100.845</v>
      </c>
      <c r="J21" s="16">
        <v>106.169</v>
      </c>
      <c r="K21" s="16">
        <v>111.90600000000001</v>
      </c>
      <c r="M21" s="273">
        <v>6.91</v>
      </c>
    </row>
    <row r="22" spans="1:13" x14ac:dyDescent="0.2">
      <c r="A22" s="499" t="s">
        <v>202</v>
      </c>
      <c r="B22" s="300">
        <f t="shared" si="0"/>
        <v>529275532908.60913</v>
      </c>
      <c r="C22" s="300">
        <f t="shared" si="1"/>
        <v>563068153335.65906</v>
      </c>
      <c r="D22" s="300">
        <f t="shared" si="2"/>
        <v>598602517428.66089</v>
      </c>
      <c r="F22" s="16">
        <v>2623.9789999999998</v>
      </c>
      <c r="G22" s="16">
        <v>2747.3310000000001</v>
      </c>
      <c r="H22" s="16">
        <v>3167.6080000000002</v>
      </c>
      <c r="I22" s="16">
        <v>2728.51</v>
      </c>
      <c r="J22" s="16">
        <v>2902.7170000000001</v>
      </c>
      <c r="K22" s="16">
        <v>3085.9029999999998</v>
      </c>
      <c r="M22" s="273">
        <v>5.1551787875128099</v>
      </c>
    </row>
    <row r="23" spans="1:13" x14ac:dyDescent="0.2">
      <c r="A23" s="499" t="s">
        <v>204</v>
      </c>
      <c r="B23" s="300">
        <f t="shared" si="0"/>
        <v>1613000000</v>
      </c>
      <c r="C23" s="300">
        <f t="shared" si="1"/>
        <v>1653000000</v>
      </c>
      <c r="D23" s="300">
        <f t="shared" si="2"/>
        <v>1704000000</v>
      </c>
      <c r="F23" s="16">
        <v>3.024</v>
      </c>
      <c r="G23" s="16">
        <v>2.7719999999999998</v>
      </c>
      <c r="H23" s="16">
        <v>3.0630000000000002</v>
      </c>
      <c r="I23" s="16">
        <v>3.226</v>
      </c>
      <c r="J23" s="16">
        <v>3.306</v>
      </c>
      <c r="K23" s="16">
        <v>3.4079999999999999</v>
      </c>
      <c r="M23" s="273">
        <v>2</v>
      </c>
    </row>
    <row r="24" spans="1:13" x14ac:dyDescent="0.2">
      <c r="A24" s="499" t="s">
        <v>444</v>
      </c>
      <c r="B24" s="300">
        <f t="shared" si="0"/>
        <v>4305273055.116889</v>
      </c>
      <c r="C24" s="300">
        <f t="shared" si="1"/>
        <v>4352384628.952343</v>
      </c>
      <c r="D24" s="300">
        <f t="shared" si="2"/>
        <v>4390798681.4643288</v>
      </c>
      <c r="F24" s="16">
        <v>5.8849999999999998</v>
      </c>
      <c r="G24" s="16">
        <v>5.4939999999999998</v>
      </c>
      <c r="H24" s="16">
        <v>5.6070000000000002</v>
      </c>
      <c r="I24" s="16">
        <v>5.94</v>
      </c>
      <c r="J24" s="16">
        <v>6.0049999999999999</v>
      </c>
      <c r="K24" s="16">
        <v>6.0579999999999998</v>
      </c>
      <c r="M24" s="273">
        <v>1.3797034297139901</v>
      </c>
    </row>
    <row r="25" spans="1:13" x14ac:dyDescent="0.2">
      <c r="A25" s="499" t="s">
        <v>420</v>
      </c>
      <c r="B25" s="300">
        <f t="shared" si="0"/>
        <v>891681721.80232358</v>
      </c>
      <c r="C25" s="300">
        <f t="shared" si="1"/>
        <v>851589915.21806407</v>
      </c>
      <c r="D25" s="300">
        <f t="shared" si="2"/>
        <v>910938203.79348421</v>
      </c>
      <c r="F25" s="16">
        <v>56.334000000000003</v>
      </c>
      <c r="G25" s="16">
        <v>44.054000000000002</v>
      </c>
      <c r="H25" s="16">
        <v>60.912999999999997</v>
      </c>
      <c r="I25" s="16">
        <v>66.078000000000003</v>
      </c>
      <c r="J25" s="16">
        <v>63.106999999999999</v>
      </c>
      <c r="K25" s="16">
        <v>67.504999999999995</v>
      </c>
      <c r="M25" s="273">
        <v>74.104917017295094</v>
      </c>
    </row>
    <row r="26" spans="1:13" x14ac:dyDescent="0.2">
      <c r="A26" s="499" t="s">
        <v>99</v>
      </c>
      <c r="B26" s="300">
        <f t="shared" si="0"/>
        <v>6495236585.0056801</v>
      </c>
      <c r="C26" s="300">
        <f t="shared" si="1"/>
        <v>6640921360.9175005</v>
      </c>
      <c r="D26" s="300">
        <f t="shared" si="2"/>
        <v>7041401739.51752</v>
      </c>
      <c r="F26" s="16">
        <v>62.350999999999999</v>
      </c>
      <c r="G26" s="16">
        <v>64.075999999999993</v>
      </c>
      <c r="H26" s="16">
        <v>65.91</v>
      </c>
      <c r="I26" s="16">
        <v>74.411000000000001</v>
      </c>
      <c r="J26" s="16">
        <v>76.08</v>
      </c>
      <c r="K26" s="16">
        <v>80.668000000000006</v>
      </c>
      <c r="M26" s="273">
        <v>11.456241666666701</v>
      </c>
    </row>
    <row r="27" spans="1:13" x14ac:dyDescent="0.2">
      <c r="A27" s="499" t="s">
        <v>102</v>
      </c>
      <c r="B27" s="300">
        <f t="shared" si="0"/>
        <v>462665870.80460548</v>
      </c>
      <c r="C27" s="300">
        <f t="shared" si="1"/>
        <v>499694220.75225395</v>
      </c>
      <c r="D27" s="300">
        <f t="shared" si="2"/>
        <v>537151698.57664752</v>
      </c>
      <c r="F27" s="16">
        <v>222.833</v>
      </c>
      <c r="G27" s="16">
        <v>225.74600000000001</v>
      </c>
      <c r="H27" s="16">
        <v>298.81299999999999</v>
      </c>
      <c r="I27" s="16">
        <v>266.30399999999997</v>
      </c>
      <c r="J27" s="16">
        <v>287.61700000000002</v>
      </c>
      <c r="K27" s="16">
        <v>309.17700000000002</v>
      </c>
      <c r="M27" s="273">
        <v>575.58600451094503</v>
      </c>
    </row>
    <row r="28" spans="1:13" x14ac:dyDescent="0.2">
      <c r="A28" s="499" t="s">
        <v>206</v>
      </c>
      <c r="B28" s="300">
        <f t="shared" si="0"/>
        <v>798505660227.50793</v>
      </c>
      <c r="C28" s="300">
        <f t="shared" si="1"/>
        <v>798245436311.74658</v>
      </c>
      <c r="D28" s="300">
        <f t="shared" si="2"/>
        <v>798444518791.71301</v>
      </c>
      <c r="F28" s="16">
        <v>912.83199999999999</v>
      </c>
      <c r="G28" s="16">
        <v>948.32399999999996</v>
      </c>
      <c r="H28" s="16">
        <v>1236.0519999999999</v>
      </c>
      <c r="I28" s="16">
        <v>1070.9179999999999</v>
      </c>
      <c r="J28" s="16">
        <v>1070.569</v>
      </c>
      <c r="K28" s="16">
        <v>1070.836</v>
      </c>
      <c r="M28" s="273">
        <v>1.34115267222386</v>
      </c>
    </row>
    <row r="29" spans="1:13" x14ac:dyDescent="0.2">
      <c r="A29" s="499" t="s">
        <v>329</v>
      </c>
      <c r="B29" s="300">
        <f t="shared" si="0"/>
        <v>248925892722.41495</v>
      </c>
      <c r="C29" s="300">
        <f t="shared" si="1"/>
        <v>251378915507.58459</v>
      </c>
      <c r="D29" s="300">
        <f t="shared" si="2"/>
        <v>253203504318.26443</v>
      </c>
      <c r="F29" s="16">
        <v>225.422</v>
      </c>
      <c r="G29" s="16">
        <v>228.83</v>
      </c>
      <c r="H29" s="16">
        <v>247.35599999999999</v>
      </c>
      <c r="I29" s="16">
        <v>233.702</v>
      </c>
      <c r="J29" s="16">
        <v>236.005</v>
      </c>
      <c r="K29" s="16">
        <v>237.71799999999999</v>
      </c>
      <c r="M29" s="273">
        <v>0.93884166666666702</v>
      </c>
    </row>
    <row r="30" spans="1:13" x14ac:dyDescent="0.2">
      <c r="A30" s="499" t="s">
        <v>209</v>
      </c>
      <c r="B30" s="300">
        <f t="shared" si="0"/>
        <v>80353868909.237427</v>
      </c>
      <c r="C30" s="300">
        <f t="shared" si="1"/>
        <v>79086518688.045135</v>
      </c>
      <c r="D30" s="300">
        <f t="shared" si="2"/>
        <v>82015111250.690018</v>
      </c>
      <c r="F30" s="16">
        <v>48494.447999999997</v>
      </c>
      <c r="G30" s="16">
        <v>51309.834999999999</v>
      </c>
      <c r="H30" s="16">
        <v>57726.569000000003</v>
      </c>
      <c r="I30" s="16">
        <v>63698.697999999997</v>
      </c>
      <c r="J30" s="16">
        <v>62694.035000000003</v>
      </c>
      <c r="K30" s="16">
        <v>65015.61</v>
      </c>
      <c r="M30" s="273">
        <v>792.72720610316799</v>
      </c>
    </row>
    <row r="31" spans="1:13" x14ac:dyDescent="0.2">
      <c r="A31" s="499" t="s">
        <v>446</v>
      </c>
      <c r="B31" s="300">
        <f t="shared" si="0"/>
        <v>6011075490640.4199</v>
      </c>
      <c r="C31" s="300">
        <f t="shared" si="1"/>
        <v>6339229869940.4385</v>
      </c>
      <c r="D31" s="300">
        <f t="shared" si="2"/>
        <v>6675229463821.1133</v>
      </c>
      <c r="F31" s="16">
        <v>30153.737000000001</v>
      </c>
      <c r="G31" s="16">
        <v>33799.542999999998</v>
      </c>
      <c r="H31" s="16">
        <v>37165.421999999999</v>
      </c>
      <c r="I31" s="16">
        <v>41481.033000000003</v>
      </c>
      <c r="J31" s="16">
        <v>43745.55</v>
      </c>
      <c r="K31" s="16">
        <v>46064.205000000002</v>
      </c>
      <c r="M31" s="273">
        <v>6.9007672694492497</v>
      </c>
    </row>
    <row r="32" spans="1:13" x14ac:dyDescent="0.2">
      <c r="A32" s="499" t="s">
        <v>104</v>
      </c>
      <c r="B32" s="300">
        <f t="shared" si="0"/>
        <v>12254676007.963762</v>
      </c>
      <c r="C32" s="300">
        <f t="shared" si="1"/>
        <v>12469464065.753742</v>
      </c>
      <c r="D32" s="300">
        <f t="shared" si="2"/>
        <v>13565936174.272493</v>
      </c>
      <c r="F32" s="16">
        <v>5708.2160000000003</v>
      </c>
      <c r="G32" s="16">
        <v>5943.8</v>
      </c>
      <c r="H32" s="16">
        <v>6973.2759999999998</v>
      </c>
      <c r="I32" s="16">
        <v>7053.62</v>
      </c>
      <c r="J32" s="16">
        <v>7177.2489999999998</v>
      </c>
      <c r="K32" s="16">
        <v>7808.3630000000003</v>
      </c>
      <c r="M32" s="273">
        <v>575.58600451094503</v>
      </c>
    </row>
    <row r="33" spans="1:13" x14ac:dyDescent="0.2">
      <c r="A33" s="499" t="s">
        <v>106</v>
      </c>
      <c r="B33" s="300">
        <f t="shared" si="0"/>
        <v>7209108573.6625071</v>
      </c>
      <c r="C33" s="300">
        <f t="shared" si="1"/>
        <v>7506273547.5491295</v>
      </c>
      <c r="D33" s="300">
        <f t="shared" si="2"/>
        <v>7739138834.3169746</v>
      </c>
      <c r="F33" s="16">
        <v>3986.067</v>
      </c>
      <c r="G33" s="16">
        <v>4338.4459999999999</v>
      </c>
      <c r="H33" s="16">
        <v>3881.1</v>
      </c>
      <c r="I33" s="16">
        <v>4149.4620000000004</v>
      </c>
      <c r="J33" s="16">
        <v>4320.5060000000003</v>
      </c>
      <c r="K33" s="16">
        <v>4454.54</v>
      </c>
      <c r="M33" s="273">
        <v>575.58600451094503</v>
      </c>
    </row>
    <row r="34" spans="1:13" x14ac:dyDescent="0.2">
      <c r="A34" s="499" t="s">
        <v>109</v>
      </c>
      <c r="B34" s="300">
        <f t="shared" ref="B34:B65" si="3">IF($M34="","",I34*1000000000/$M34)</f>
        <v>7886186174.524375</v>
      </c>
      <c r="C34" s="300">
        <f t="shared" ref="C34:C65" si="4">IF($M34="","",J34*1000000000/$M34)</f>
        <v>9260543336.0643444</v>
      </c>
      <c r="D34" s="300">
        <f t="shared" ref="D34:D65" si="5">IF($M34="","",K34*1000000000/$M34)</f>
        <v>10807884759.044407</v>
      </c>
      <c r="F34" s="16">
        <v>8520.7369999999992</v>
      </c>
      <c r="G34" s="16">
        <v>10622.252</v>
      </c>
      <c r="H34" s="16">
        <v>11151.334999999999</v>
      </c>
      <c r="I34" s="16">
        <v>14598.294</v>
      </c>
      <c r="J34" s="16">
        <v>17142.397000000001</v>
      </c>
      <c r="K34" s="16">
        <v>20006.715</v>
      </c>
      <c r="M34" s="273">
        <v>1851.1221618326099</v>
      </c>
    </row>
    <row r="35" spans="1:13" x14ac:dyDescent="0.2">
      <c r="A35" s="499" t="s">
        <v>111</v>
      </c>
      <c r="B35" s="300">
        <f t="shared" si="3"/>
        <v>2314199771.2952924</v>
      </c>
      <c r="C35" s="300">
        <f t="shared" si="4"/>
        <v>2332146698.2862935</v>
      </c>
      <c r="D35" s="300">
        <f t="shared" si="5"/>
        <v>2407403913.8205814</v>
      </c>
      <c r="F35" s="16">
        <v>1459.596</v>
      </c>
      <c r="G35" s="16">
        <v>1574.585</v>
      </c>
      <c r="H35" s="16">
        <v>1410.6179999999999</v>
      </c>
      <c r="I35" s="16">
        <v>1332.021</v>
      </c>
      <c r="J35" s="16">
        <v>1342.3510000000001</v>
      </c>
      <c r="K35" s="16">
        <v>1385.6679999999999</v>
      </c>
      <c r="M35" s="273">
        <v>575.58600451094503</v>
      </c>
    </row>
    <row r="36" spans="1:13" x14ac:dyDescent="0.2">
      <c r="A36" s="499" t="s">
        <v>211</v>
      </c>
      <c r="B36" s="300">
        <f t="shared" si="3"/>
        <v>95729848895.476364</v>
      </c>
      <c r="C36" s="300">
        <f t="shared" si="4"/>
        <v>95239365654.541107</v>
      </c>
      <c r="D36" s="300">
        <f t="shared" si="5"/>
        <v>100250273701.0816</v>
      </c>
      <c r="F36" s="16">
        <v>342347.56099999999</v>
      </c>
      <c r="G36" s="16">
        <v>338245.55099999998</v>
      </c>
      <c r="H36" s="16">
        <v>357502.88</v>
      </c>
      <c r="I36" s="16">
        <v>353707.82199999999</v>
      </c>
      <c r="J36" s="16">
        <v>351895.55800000002</v>
      </c>
      <c r="K36" s="16">
        <v>370410.13199999998</v>
      </c>
      <c r="M36" s="273">
        <v>3694.8540719645298</v>
      </c>
    </row>
    <row r="37" spans="1:13" x14ac:dyDescent="0.2">
      <c r="A37" s="499" t="s">
        <v>113</v>
      </c>
      <c r="B37" s="300">
        <f t="shared" si="3"/>
        <v>284669252.21544522</v>
      </c>
      <c r="C37" s="300">
        <f t="shared" si="4"/>
        <v>273759635.64819396</v>
      </c>
      <c r="D37" s="300">
        <f t="shared" si="5"/>
        <v>288688095.85832924</v>
      </c>
      <c r="F37" s="16">
        <v>73.239000000000004</v>
      </c>
      <c r="G37" s="16">
        <v>95.938000000000002</v>
      </c>
      <c r="H37" s="16">
        <v>121.31100000000001</v>
      </c>
      <c r="I37" s="16">
        <v>122.613</v>
      </c>
      <c r="J37" s="16">
        <v>117.914</v>
      </c>
      <c r="K37" s="16">
        <v>124.34399999999999</v>
      </c>
      <c r="M37" s="273">
        <v>430.72091223678501</v>
      </c>
    </row>
    <row r="38" spans="1:13" x14ac:dyDescent="0.2">
      <c r="A38" s="499" t="s">
        <v>115</v>
      </c>
      <c r="B38" s="300">
        <f t="shared" si="3"/>
        <v>740604779.29792893</v>
      </c>
      <c r="C38" s="300">
        <f t="shared" si="4"/>
        <v>731436817.8510226</v>
      </c>
      <c r="D38" s="300">
        <f t="shared" si="5"/>
        <v>704623322.63365865</v>
      </c>
      <c r="F38" s="16">
        <v>56.725999999999999</v>
      </c>
      <c r="G38" s="16">
        <v>60.973999999999997</v>
      </c>
      <c r="H38" s="16">
        <v>74.405000000000001</v>
      </c>
      <c r="I38" s="16">
        <v>72.945999999999998</v>
      </c>
      <c r="J38" s="16">
        <v>72.043000000000006</v>
      </c>
      <c r="K38" s="16">
        <v>69.402000000000001</v>
      </c>
      <c r="M38" s="273">
        <v>98.495178587897598</v>
      </c>
    </row>
    <row r="39" spans="1:13" x14ac:dyDescent="0.2">
      <c r="A39" s="499" t="s">
        <v>213</v>
      </c>
      <c r="B39" s="300">
        <f t="shared" si="3"/>
        <v>13320445565.944893</v>
      </c>
      <c r="C39" s="300">
        <f t="shared" si="4"/>
        <v>13382678335.295771</v>
      </c>
      <c r="D39" s="300">
        <f t="shared" si="5"/>
        <v>13441074556.997654</v>
      </c>
      <c r="F39" s="16">
        <v>6829.424</v>
      </c>
      <c r="G39" s="16">
        <v>7706.8130000000001</v>
      </c>
      <c r="H39" s="16">
        <v>7776.723</v>
      </c>
      <c r="I39" s="16">
        <v>7791.14</v>
      </c>
      <c r="J39" s="16">
        <v>7827.54</v>
      </c>
      <c r="K39" s="16">
        <v>7861.6959999999999</v>
      </c>
      <c r="M39" s="273">
        <v>584.90085496230404</v>
      </c>
    </row>
    <row r="40" spans="1:13" x14ac:dyDescent="0.2">
      <c r="A40" s="499" t="s">
        <v>333</v>
      </c>
      <c r="B40" s="300">
        <f t="shared" si="3"/>
        <v>115820036406.3291</v>
      </c>
      <c r="C40" s="300">
        <f t="shared" si="4"/>
        <v>120876035372.30319</v>
      </c>
      <c r="D40" s="300">
        <f t="shared" si="5"/>
        <v>125950603720.33908</v>
      </c>
      <c r="F40" s="16">
        <v>2195.8609999999999</v>
      </c>
      <c r="G40" s="16">
        <v>2365.855</v>
      </c>
      <c r="H40" s="16">
        <v>2669.8919999999998</v>
      </c>
      <c r="I40" s="16">
        <v>2688.212</v>
      </c>
      <c r="J40" s="16">
        <v>2805.5630000000001</v>
      </c>
      <c r="K40" s="16">
        <v>2923.3449999999998</v>
      </c>
      <c r="M40" s="273">
        <v>23.210249999999998</v>
      </c>
    </row>
    <row r="41" spans="1:13" x14ac:dyDescent="0.2">
      <c r="A41" s="499" t="s">
        <v>271</v>
      </c>
      <c r="B41" s="300">
        <f t="shared" si="3"/>
        <v>820566058.96916497</v>
      </c>
      <c r="C41" s="300">
        <f t="shared" si="4"/>
        <v>864612874.18410981</v>
      </c>
      <c r="D41" s="300">
        <f t="shared" si="5"/>
        <v>918883637.1820842</v>
      </c>
      <c r="F41" s="16">
        <v>138.82900000000001</v>
      </c>
      <c r="G41" s="16">
        <v>133.96799999999999</v>
      </c>
      <c r="H41" s="16">
        <v>137.65</v>
      </c>
      <c r="I41" s="16">
        <v>145.83099999999999</v>
      </c>
      <c r="J41" s="16">
        <v>153.65899999999999</v>
      </c>
      <c r="K41" s="16">
        <v>163.304</v>
      </c>
      <c r="M41" s="273">
        <v>177.72</v>
      </c>
    </row>
    <row r="42" spans="1:13" x14ac:dyDescent="0.2">
      <c r="A42" s="499" t="s">
        <v>217</v>
      </c>
      <c r="B42" s="300">
        <f t="shared" si="3"/>
        <v>200740740.74074072</v>
      </c>
      <c r="C42" s="300">
        <f t="shared" si="4"/>
        <v>187407407.4074074</v>
      </c>
      <c r="D42" s="300">
        <f t="shared" si="5"/>
        <v>195555555.55555555</v>
      </c>
      <c r="F42" s="16">
        <v>0.999</v>
      </c>
      <c r="G42" s="16">
        <v>0.69899999999999995</v>
      </c>
      <c r="H42" s="16">
        <v>0.54900000000000004</v>
      </c>
      <c r="I42" s="16">
        <v>0.54200000000000004</v>
      </c>
      <c r="J42" s="16">
        <v>0.50600000000000001</v>
      </c>
      <c r="K42" s="16">
        <v>0.52800000000000002</v>
      </c>
      <c r="M42" s="273">
        <v>2.7</v>
      </c>
    </row>
    <row r="43" spans="1:13" x14ac:dyDescent="0.2">
      <c r="A43" s="499" t="s">
        <v>337</v>
      </c>
      <c r="B43" s="300">
        <f t="shared" si="3"/>
        <v>190797609264.57953</v>
      </c>
      <c r="C43" s="300">
        <f t="shared" si="4"/>
        <v>190626870344.85696</v>
      </c>
      <c r="D43" s="300">
        <f t="shared" si="5"/>
        <v>192896459852.50299</v>
      </c>
      <c r="F43" s="16">
        <v>1144.1500000000001</v>
      </c>
      <c r="G43" s="16">
        <v>1150.133</v>
      </c>
      <c r="H43" s="16">
        <v>1270.6489999999999</v>
      </c>
      <c r="I43" s="16">
        <v>1248.2270000000001</v>
      </c>
      <c r="J43" s="16">
        <v>1247.1099999999999</v>
      </c>
      <c r="K43" s="16">
        <v>1261.9580000000001</v>
      </c>
      <c r="M43" s="273">
        <v>6.54215220416667</v>
      </c>
    </row>
    <row r="44" spans="1:13" x14ac:dyDescent="0.2">
      <c r="A44" s="499" t="s">
        <v>219</v>
      </c>
      <c r="B44" s="300">
        <f t="shared" si="3"/>
        <v>14589700283.53471</v>
      </c>
      <c r="C44" s="300">
        <f t="shared" si="4"/>
        <v>15221496742.417459</v>
      </c>
      <c r="D44" s="300">
        <f t="shared" si="5"/>
        <v>16107289106.323162</v>
      </c>
      <c r="F44" s="16">
        <v>691.13</v>
      </c>
      <c r="G44" s="16">
        <v>756.93799999999999</v>
      </c>
      <c r="H44" s="16">
        <v>898.94600000000003</v>
      </c>
      <c r="I44" s="16">
        <v>824.67600000000004</v>
      </c>
      <c r="J44" s="16">
        <v>860.38800000000003</v>
      </c>
      <c r="K44" s="16">
        <v>910.45699999999999</v>
      </c>
      <c r="M44" s="273">
        <v>56.524533333333302</v>
      </c>
    </row>
    <row r="45" spans="1:13" x14ac:dyDescent="0.2">
      <c r="A45" s="499" t="s">
        <v>117</v>
      </c>
      <c r="B45" s="300">
        <f t="shared" si="3"/>
        <v>61905608912.671722</v>
      </c>
      <c r="C45" s="300">
        <f t="shared" si="4"/>
        <v>62785612194.029198</v>
      </c>
      <c r="D45" s="300">
        <f t="shared" si="5"/>
        <v>65393881214.859505</v>
      </c>
      <c r="F45" s="16">
        <v>7732.07</v>
      </c>
      <c r="G45" s="16">
        <v>7725.4769999999999</v>
      </c>
      <c r="H45" s="16">
        <v>7241.6850000000004</v>
      </c>
      <c r="I45" s="16">
        <v>7848.1949999999997</v>
      </c>
      <c r="J45" s="16">
        <v>7959.759</v>
      </c>
      <c r="K45" s="16">
        <v>8290.4269999999997</v>
      </c>
      <c r="M45" s="273">
        <v>126.77679999999999</v>
      </c>
    </row>
    <row r="46" spans="1:13" x14ac:dyDescent="0.2">
      <c r="A46" s="499" t="s">
        <v>221</v>
      </c>
      <c r="B46" s="300">
        <f t="shared" si="3"/>
        <v>34305999999.999996</v>
      </c>
      <c r="C46" s="300">
        <f t="shared" si="4"/>
        <v>34966000000</v>
      </c>
      <c r="D46" s="300">
        <f t="shared" si="5"/>
        <v>35339000000</v>
      </c>
      <c r="F46" s="16">
        <v>41.411999999999999</v>
      </c>
      <c r="G46" s="16">
        <v>39.319000000000003</v>
      </c>
      <c r="H46" s="16">
        <v>36.311999999999998</v>
      </c>
      <c r="I46" s="16">
        <v>34.305999999999997</v>
      </c>
      <c r="J46" s="16">
        <v>34.966000000000001</v>
      </c>
      <c r="K46" s="16">
        <v>35.338999999999999</v>
      </c>
      <c r="M46" s="273">
        <v>1</v>
      </c>
    </row>
    <row r="47" spans="1:13" x14ac:dyDescent="0.2">
      <c r="A47" s="499" t="s">
        <v>273</v>
      </c>
      <c r="B47" s="300">
        <f t="shared" si="3"/>
        <v>106289156613.67897</v>
      </c>
      <c r="C47" s="300">
        <f t="shared" si="4"/>
        <v>109030325669.75005</v>
      </c>
      <c r="D47" s="300">
        <f t="shared" si="5"/>
        <v>121979071398.10669</v>
      </c>
      <c r="F47" s="16">
        <v>1335.98</v>
      </c>
      <c r="G47" s="16">
        <v>1465.127</v>
      </c>
      <c r="H47" s="16">
        <v>1551.029</v>
      </c>
      <c r="I47" s="16">
        <v>1782.5309999999999</v>
      </c>
      <c r="J47" s="16">
        <v>1828.502</v>
      </c>
      <c r="K47" s="16">
        <v>2045.66</v>
      </c>
      <c r="M47" s="273">
        <v>16.7705818428763</v>
      </c>
    </row>
    <row r="48" spans="1:13" x14ac:dyDescent="0.2">
      <c r="A48" s="499" t="s">
        <v>120</v>
      </c>
      <c r="B48" s="300">
        <f t="shared" si="3"/>
        <v>825140961.85737979</v>
      </c>
      <c r="C48" s="300">
        <f t="shared" si="4"/>
        <v>849751243.78109455</v>
      </c>
      <c r="D48" s="300">
        <f t="shared" si="5"/>
        <v>892868988.3913765</v>
      </c>
      <c r="F48" s="16">
        <v>8.2750000000000004</v>
      </c>
      <c r="G48" s="16">
        <v>9.9619999999999997</v>
      </c>
      <c r="H48" s="16">
        <v>11.42</v>
      </c>
      <c r="I48" s="16">
        <v>12.439</v>
      </c>
      <c r="J48" s="16">
        <v>12.81</v>
      </c>
      <c r="K48" s="16">
        <v>13.46</v>
      </c>
      <c r="M48" s="273">
        <v>15.074999999999999</v>
      </c>
    </row>
    <row r="49" spans="1:13" x14ac:dyDescent="0.2">
      <c r="A49" s="499" t="s">
        <v>341</v>
      </c>
      <c r="B49" s="300">
        <f t="shared" si="3"/>
        <v>1032282261.7452489</v>
      </c>
      <c r="C49" s="300">
        <f t="shared" si="4"/>
        <v>1090977011.2849154</v>
      </c>
      <c r="D49" s="300">
        <f t="shared" si="5"/>
        <v>1152127962.4647703</v>
      </c>
      <c r="F49" s="16">
        <v>10.146000000000001</v>
      </c>
      <c r="G49" s="16">
        <v>10.96</v>
      </c>
      <c r="H49" s="16">
        <v>10.862</v>
      </c>
      <c r="I49" s="16">
        <v>12.188000000000001</v>
      </c>
      <c r="J49" s="16">
        <v>12.881</v>
      </c>
      <c r="K49" s="16">
        <v>13.603</v>
      </c>
      <c r="M49" s="273">
        <v>11.8068482348947</v>
      </c>
    </row>
    <row r="50" spans="1:13" x14ac:dyDescent="0.2">
      <c r="A50" s="499" t="s">
        <v>122</v>
      </c>
      <c r="B50" s="300">
        <f t="shared" si="3"/>
        <v>20598181958.909176</v>
      </c>
      <c r="C50" s="300">
        <f t="shared" si="4"/>
        <v>26320143792.086277</v>
      </c>
      <c r="D50" s="300">
        <f t="shared" si="5"/>
        <v>32656799594.079758</v>
      </c>
      <c r="F50" s="16">
        <v>354.209</v>
      </c>
      <c r="G50" s="16">
        <v>413.10500000000002</v>
      </c>
      <c r="H50" s="16">
        <v>501.846</v>
      </c>
      <c r="I50" s="16">
        <v>598.78399999999999</v>
      </c>
      <c r="J50" s="16">
        <v>765.12</v>
      </c>
      <c r="K50" s="16">
        <v>949.32500000000005</v>
      </c>
      <c r="M50" s="273">
        <v>29.069749999999999</v>
      </c>
    </row>
    <row r="51" spans="1:13" x14ac:dyDescent="0.2">
      <c r="A51" s="499" t="s">
        <v>450</v>
      </c>
      <c r="B51" s="300">
        <f t="shared" si="3"/>
        <v>1244925244.2301285</v>
      </c>
      <c r="C51" s="300">
        <f t="shared" si="4"/>
        <v>1294722253.9993336</v>
      </c>
      <c r="D51" s="300">
        <f t="shared" si="5"/>
        <v>1399388191.1994221</v>
      </c>
      <c r="F51" s="16">
        <v>3.7719999999999998</v>
      </c>
      <c r="G51" s="16">
        <v>3.6269999999999998</v>
      </c>
      <c r="H51" s="16">
        <v>3.0960000000000001</v>
      </c>
      <c r="I51" s="16">
        <v>2.7</v>
      </c>
      <c r="J51" s="16">
        <v>2.8079999999999998</v>
      </c>
      <c r="K51" s="16">
        <v>3.0350000000000001</v>
      </c>
      <c r="M51" s="273">
        <v>2.1688049242424201</v>
      </c>
    </row>
    <row r="52" spans="1:13" x14ac:dyDescent="0.2">
      <c r="A52" s="499" t="s">
        <v>452</v>
      </c>
      <c r="B52" s="300">
        <f t="shared" si="3"/>
        <v>260000000</v>
      </c>
      <c r="C52" s="300">
        <f t="shared" si="4"/>
        <v>255000000</v>
      </c>
      <c r="D52" s="300">
        <f t="shared" si="5"/>
        <v>260000000</v>
      </c>
      <c r="F52" s="16">
        <v>0.25900000000000001</v>
      </c>
      <c r="G52" s="16">
        <v>0.26400000000000001</v>
      </c>
      <c r="H52" s="16">
        <v>0.28100000000000003</v>
      </c>
      <c r="I52" s="16">
        <v>0.26</v>
      </c>
      <c r="J52" s="16">
        <v>0.255</v>
      </c>
      <c r="K52" s="16">
        <v>0.26</v>
      </c>
      <c r="M52" s="273">
        <v>1</v>
      </c>
    </row>
    <row r="53" spans="1:13" x14ac:dyDescent="0.2">
      <c r="A53" s="499" t="s">
        <v>124</v>
      </c>
      <c r="B53" s="300">
        <f t="shared" si="3"/>
        <v>3118609531.7330928</v>
      </c>
      <c r="C53" s="300">
        <f t="shared" si="4"/>
        <v>3241442608.7118702</v>
      </c>
      <c r="D53" s="300">
        <f t="shared" si="5"/>
        <v>3320193654.8539906</v>
      </c>
      <c r="F53" s="16">
        <v>1600.625</v>
      </c>
      <c r="G53" s="16">
        <v>1721.0409999999999</v>
      </c>
      <c r="H53" s="16">
        <v>1844.1949999999999</v>
      </c>
      <c r="I53" s="16">
        <v>1795.028</v>
      </c>
      <c r="J53" s="16">
        <v>1865.729</v>
      </c>
      <c r="K53" s="16">
        <v>1911.057</v>
      </c>
      <c r="M53" s="273">
        <v>575.58600451094503</v>
      </c>
    </row>
    <row r="54" spans="1:13" x14ac:dyDescent="0.2">
      <c r="A54" s="499" t="s">
        <v>347</v>
      </c>
      <c r="B54" s="300">
        <f t="shared" si="3"/>
        <v>1272753254820.6106</v>
      </c>
      <c r="C54" s="300">
        <f t="shared" si="4"/>
        <v>1278389155315.0884</v>
      </c>
      <c r="D54" s="300">
        <f t="shared" si="5"/>
        <v>1310246864911.8311</v>
      </c>
      <c r="F54" s="16">
        <v>831.61599999999999</v>
      </c>
      <c r="G54" s="16">
        <v>855.71100000000001</v>
      </c>
      <c r="H54" s="16">
        <v>1092.99</v>
      </c>
      <c r="I54" s="16">
        <v>992.74699999999996</v>
      </c>
      <c r="J54" s="16">
        <v>997.14300000000003</v>
      </c>
      <c r="K54" s="16">
        <v>1021.992</v>
      </c>
      <c r="M54" s="273">
        <v>0.77999957669715303</v>
      </c>
    </row>
    <row r="55" spans="1:13" x14ac:dyDescent="0.2">
      <c r="A55" s="499" t="s">
        <v>349</v>
      </c>
      <c r="B55" s="300">
        <f t="shared" si="3"/>
        <v>5205504419.9398479</v>
      </c>
      <c r="C55" s="300">
        <f t="shared" si="4"/>
        <v>5449633056.5398445</v>
      </c>
      <c r="D55" s="300">
        <f t="shared" si="5"/>
        <v>5873882953.3453712</v>
      </c>
      <c r="F55" s="16">
        <v>12.125</v>
      </c>
      <c r="G55" s="16">
        <v>14.257</v>
      </c>
      <c r="H55" s="16">
        <v>16.236999999999998</v>
      </c>
      <c r="I55" s="16">
        <v>16.184000000000001</v>
      </c>
      <c r="J55" s="16">
        <v>16.943000000000001</v>
      </c>
      <c r="K55" s="16">
        <v>18.262</v>
      </c>
      <c r="M55" s="273">
        <v>3.1090166666666699</v>
      </c>
    </row>
    <row r="56" spans="1:13" x14ac:dyDescent="0.2">
      <c r="A56" s="499" t="s">
        <v>126</v>
      </c>
      <c r="B56" s="300">
        <f t="shared" si="3"/>
        <v>17414596007.356838</v>
      </c>
      <c r="C56" s="300">
        <f t="shared" si="4"/>
        <v>19143242216.877529</v>
      </c>
      <c r="D56" s="300">
        <f t="shared" si="5"/>
        <v>22391267116.912529</v>
      </c>
      <c r="F56" s="16">
        <v>64.48</v>
      </c>
      <c r="G56" s="16">
        <v>73.665999999999997</v>
      </c>
      <c r="H56" s="16">
        <v>109.761</v>
      </c>
      <c r="I56" s="16">
        <v>97.447000000000003</v>
      </c>
      <c r="J56" s="16">
        <v>107.12</v>
      </c>
      <c r="K56" s="16">
        <v>125.295</v>
      </c>
      <c r="M56" s="273">
        <v>5.59570833333333</v>
      </c>
    </row>
    <row r="57" spans="1:13" x14ac:dyDescent="0.2">
      <c r="A57" s="499" t="s">
        <v>128</v>
      </c>
      <c r="B57" s="300">
        <f t="shared" si="3"/>
        <v>3145440272.5018797</v>
      </c>
      <c r="C57" s="300">
        <f t="shared" si="4"/>
        <v>3646867564.0114036</v>
      </c>
      <c r="D57" s="300">
        <f t="shared" si="5"/>
        <v>4202997249.9614072</v>
      </c>
      <c r="F57" s="16">
        <v>17131.877</v>
      </c>
      <c r="G57" s="16">
        <v>18491.099999999999</v>
      </c>
      <c r="H57" s="16">
        <v>24126.181</v>
      </c>
      <c r="I57" s="16">
        <v>28887.332999999999</v>
      </c>
      <c r="J57" s="16">
        <v>33492.379000000001</v>
      </c>
      <c r="K57" s="16">
        <v>38599.805</v>
      </c>
      <c r="M57" s="273">
        <v>9183.8758639098396</v>
      </c>
    </row>
    <row r="58" spans="1:13" x14ac:dyDescent="0.2">
      <c r="A58" s="499" t="s">
        <v>130</v>
      </c>
      <c r="B58" s="300">
        <f t="shared" si="3"/>
        <v>498877120.02535486</v>
      </c>
      <c r="C58" s="300">
        <f t="shared" si="4"/>
        <v>551186113.18879652</v>
      </c>
      <c r="D58" s="300">
        <f t="shared" si="5"/>
        <v>587437371.62834573</v>
      </c>
      <c r="F58" s="16">
        <v>17.007999999999999</v>
      </c>
      <c r="G58" s="16">
        <v>21.552</v>
      </c>
      <c r="H58" s="16">
        <v>25.785</v>
      </c>
      <c r="I58" s="16">
        <v>25.693000000000001</v>
      </c>
      <c r="J58" s="16">
        <v>28.387</v>
      </c>
      <c r="K58" s="16">
        <v>30.254000000000001</v>
      </c>
      <c r="M58" s="273">
        <v>51.501660366172302</v>
      </c>
    </row>
    <row r="59" spans="1:13" x14ac:dyDescent="0.2">
      <c r="A59" s="499" t="s">
        <v>132</v>
      </c>
      <c r="B59" s="300">
        <f t="shared" si="3"/>
        <v>333868437.54701787</v>
      </c>
      <c r="C59" s="300">
        <f t="shared" si="4"/>
        <v>338052000.00532675</v>
      </c>
      <c r="D59" s="300">
        <f t="shared" si="5"/>
        <v>354935662.78350192</v>
      </c>
      <c r="F59" s="16">
        <v>168.12700000000001</v>
      </c>
      <c r="G59" s="16">
        <v>168.97200000000001</v>
      </c>
      <c r="H59" s="16">
        <v>204.78200000000001</v>
      </c>
      <c r="I59" s="16">
        <v>192.17</v>
      </c>
      <c r="J59" s="16">
        <v>194.578</v>
      </c>
      <c r="K59" s="16">
        <v>204.29599999999999</v>
      </c>
      <c r="M59" s="273">
        <v>575.58600451094503</v>
      </c>
    </row>
    <row r="60" spans="1:13" x14ac:dyDescent="0.2">
      <c r="A60" s="499" t="s">
        <v>134</v>
      </c>
      <c r="B60" s="300">
        <f t="shared" si="3"/>
        <v>1881781335.041832</v>
      </c>
      <c r="C60" s="300">
        <f t="shared" si="4"/>
        <v>1745061540.9827955</v>
      </c>
      <c r="D60" s="300">
        <f t="shared" si="5"/>
        <v>1780920647.7683005</v>
      </c>
      <c r="F60" s="16">
        <v>1407.902</v>
      </c>
      <c r="G60" s="16">
        <v>1118.5640000000001</v>
      </c>
      <c r="H60" s="16">
        <v>1155.8389999999999</v>
      </c>
      <c r="I60" s="16">
        <v>1083.127</v>
      </c>
      <c r="J60" s="16">
        <v>1004.433</v>
      </c>
      <c r="K60" s="16">
        <v>1025.0730000000001</v>
      </c>
      <c r="M60" s="273">
        <v>575.58600451094503</v>
      </c>
    </row>
    <row r="61" spans="1:13" x14ac:dyDescent="0.2">
      <c r="A61" s="499" t="s">
        <v>223</v>
      </c>
      <c r="B61" s="300">
        <f t="shared" si="3"/>
        <v>277407407.4074074</v>
      </c>
      <c r="C61" s="300">
        <f t="shared" si="4"/>
        <v>286296296.2962963</v>
      </c>
      <c r="D61" s="300">
        <f t="shared" si="5"/>
        <v>298888888.8888889</v>
      </c>
      <c r="F61" s="16">
        <v>0.70499999999999996</v>
      </c>
      <c r="G61" s="16">
        <v>0.70899999999999996</v>
      </c>
      <c r="H61" s="16">
        <v>0.76900000000000002</v>
      </c>
      <c r="I61" s="16">
        <v>0.749</v>
      </c>
      <c r="J61" s="16">
        <v>0.77300000000000002</v>
      </c>
      <c r="K61" s="16">
        <v>0.80700000000000005</v>
      </c>
      <c r="M61" s="273">
        <v>2.7</v>
      </c>
    </row>
    <row r="62" spans="1:13" x14ac:dyDescent="0.2">
      <c r="A62" s="499" t="s">
        <v>225</v>
      </c>
      <c r="B62" s="300">
        <f t="shared" si="3"/>
        <v>11911832315.632021</v>
      </c>
      <c r="C62" s="300">
        <f t="shared" si="4"/>
        <v>12310840299.676882</v>
      </c>
      <c r="D62" s="300">
        <f t="shared" si="5"/>
        <v>12867198072.950729</v>
      </c>
      <c r="F62" s="16">
        <v>72.710999999999999</v>
      </c>
      <c r="G62" s="16">
        <v>79.835999999999999</v>
      </c>
      <c r="H62" s="16">
        <v>93.62</v>
      </c>
      <c r="I62" s="16">
        <v>91.978999999999999</v>
      </c>
      <c r="J62" s="16">
        <v>95.06</v>
      </c>
      <c r="K62" s="16">
        <v>99.355999999999995</v>
      </c>
      <c r="M62" s="273">
        <v>7.7216500000000003</v>
      </c>
    </row>
    <row r="63" spans="1:13" x14ac:dyDescent="0.2">
      <c r="A63" s="499" t="s">
        <v>227</v>
      </c>
      <c r="B63" s="300">
        <f t="shared" si="3"/>
        <v>1666095923.2613909</v>
      </c>
      <c r="C63" s="300">
        <f t="shared" si="4"/>
        <v>1823031175.059952</v>
      </c>
      <c r="D63" s="300">
        <f t="shared" si="5"/>
        <v>1800604316.5467627</v>
      </c>
      <c r="F63" s="16">
        <v>276.517</v>
      </c>
      <c r="G63" s="16">
        <v>305.892</v>
      </c>
      <c r="H63" s="16">
        <v>332.166</v>
      </c>
      <c r="I63" s="16">
        <v>347.38099999999997</v>
      </c>
      <c r="J63" s="16">
        <v>380.10199999999998</v>
      </c>
      <c r="K63" s="16">
        <v>375.42599999999999</v>
      </c>
      <c r="M63" s="273">
        <v>208.5</v>
      </c>
    </row>
    <row r="64" spans="1:13" x14ac:dyDescent="0.2">
      <c r="A64" s="499" t="s">
        <v>510</v>
      </c>
      <c r="B64" s="300">
        <f t="shared" si="3"/>
        <v>97852073866.383057</v>
      </c>
      <c r="C64" s="300">
        <f t="shared" si="4"/>
        <v>85765703051.983627</v>
      </c>
      <c r="D64" s="300">
        <f t="shared" si="5"/>
        <v>90042089658.061813</v>
      </c>
      <c r="F64" s="16">
        <v>531.82500000000005</v>
      </c>
      <c r="G64" s="16">
        <v>611.447</v>
      </c>
      <c r="H64" s="16">
        <v>772.00199999999995</v>
      </c>
      <c r="I64" s="16">
        <v>759.06299999999999</v>
      </c>
      <c r="J64" s="16">
        <v>665.30600000000004</v>
      </c>
      <c r="K64" s="16">
        <v>698.47900000000004</v>
      </c>
      <c r="M64" s="273">
        <v>7.75725</v>
      </c>
    </row>
    <row r="65" spans="1:13" x14ac:dyDescent="0.2">
      <c r="A65" s="499" t="s">
        <v>229</v>
      </c>
      <c r="B65" s="300">
        <f t="shared" si="3"/>
        <v>7976688352.3059244</v>
      </c>
      <c r="C65" s="300">
        <f t="shared" si="4"/>
        <v>8170286234.1544571</v>
      </c>
      <c r="D65" s="300">
        <f t="shared" si="5"/>
        <v>8889840622.5000839</v>
      </c>
      <c r="F65" s="16">
        <v>150.47200000000001</v>
      </c>
      <c r="G65" s="16">
        <v>158.184</v>
      </c>
      <c r="H65" s="16">
        <v>171.34700000000001</v>
      </c>
      <c r="I65" s="16">
        <v>196.08199999999999</v>
      </c>
      <c r="J65" s="16">
        <v>200.84100000000001</v>
      </c>
      <c r="K65" s="16">
        <v>218.529</v>
      </c>
      <c r="M65" s="273">
        <v>24.581880517284599</v>
      </c>
    </row>
    <row r="66" spans="1:13" x14ac:dyDescent="0.2">
      <c r="A66" s="499" t="s">
        <v>353</v>
      </c>
      <c r="B66" s="300">
        <f t="shared" ref="B66:B97" si="6">IF($M66="","",I66*1000000000/$M66)</f>
        <v>30628107066.836678</v>
      </c>
      <c r="C66" s="300">
        <f t="shared" ref="C66:C97" si="7">IF($M66="","",J66*1000000000/$M66)</f>
        <v>33785020400.872051</v>
      </c>
      <c r="D66" s="300">
        <f t="shared" ref="D66:D97" si="8">IF($M66="","",K66*1000000000/$M66)</f>
        <v>35713640443.446533</v>
      </c>
      <c r="F66" s="16">
        <v>177.29</v>
      </c>
      <c r="G66" s="16">
        <v>188.54300000000001</v>
      </c>
      <c r="H66" s="16">
        <v>186.364</v>
      </c>
      <c r="I66" s="16">
        <v>202.57599999999999</v>
      </c>
      <c r="J66" s="16">
        <v>223.45599999999999</v>
      </c>
      <c r="K66" s="16">
        <v>236.21199999999999</v>
      </c>
      <c r="M66" s="273">
        <v>6.6140555000000001</v>
      </c>
    </row>
    <row r="67" spans="1:13" x14ac:dyDescent="0.2">
      <c r="A67" s="499" t="s">
        <v>231</v>
      </c>
      <c r="B67" s="300">
        <f t="shared" si="6"/>
        <v>2659236502.2076316</v>
      </c>
      <c r="C67" s="300">
        <f t="shared" si="7"/>
        <v>2750831425.3402386</v>
      </c>
      <c r="D67" s="300">
        <f t="shared" si="8"/>
        <v>3462896100.0485759</v>
      </c>
      <c r="F67" s="16">
        <v>119.965</v>
      </c>
      <c r="G67" s="16">
        <v>105.681</v>
      </c>
      <c r="H67" s="16">
        <v>169.42400000000001</v>
      </c>
      <c r="I67" s="16">
        <v>236.18</v>
      </c>
      <c r="J67" s="16">
        <v>244.315</v>
      </c>
      <c r="K67" s="16">
        <v>307.55700000000002</v>
      </c>
      <c r="M67" s="273">
        <v>88.814966176919299</v>
      </c>
    </row>
    <row r="68" spans="1:13" x14ac:dyDescent="0.2">
      <c r="A68" s="499" t="s">
        <v>355</v>
      </c>
      <c r="B68" s="300">
        <f t="shared" si="6"/>
        <v>76745785127.544586</v>
      </c>
      <c r="C68" s="300">
        <f t="shared" si="7"/>
        <v>81547301377.720444</v>
      </c>
      <c r="D68" s="300">
        <f t="shared" si="8"/>
        <v>84036477667.507126</v>
      </c>
      <c r="F68" s="16">
        <v>19910.169999999998</v>
      </c>
      <c r="G68" s="16">
        <v>21545.617999999999</v>
      </c>
      <c r="H68" s="16">
        <v>23570.965</v>
      </c>
      <c r="I68" s="16">
        <v>23637.446</v>
      </c>
      <c r="J68" s="16">
        <v>25116.296999999999</v>
      </c>
      <c r="K68" s="16">
        <v>25882.955000000002</v>
      </c>
      <c r="M68" s="273">
        <v>307.99666666666701</v>
      </c>
    </row>
    <row r="69" spans="1:13" x14ac:dyDescent="0.2">
      <c r="A69" s="499" t="s">
        <v>422</v>
      </c>
      <c r="B69" s="300">
        <f t="shared" si="6"/>
        <v>204719976071.40509</v>
      </c>
      <c r="C69" s="300">
        <f t="shared" si="7"/>
        <v>207431470399.90366</v>
      </c>
      <c r="D69" s="300">
        <f t="shared" si="8"/>
        <v>216451567759.69482</v>
      </c>
      <c r="F69" s="16">
        <v>2467812.5290000001</v>
      </c>
      <c r="G69" s="16">
        <v>2593848.213</v>
      </c>
      <c r="H69" s="16">
        <v>2884865.9980000001</v>
      </c>
      <c r="I69" s="16">
        <v>2985268.3450000002</v>
      </c>
      <c r="J69" s="16">
        <v>3024807.9070000001</v>
      </c>
      <c r="K69" s="16">
        <v>3156340.8020000001</v>
      </c>
      <c r="M69" s="273">
        <v>14582.203467817701</v>
      </c>
    </row>
    <row r="70" spans="1:13" x14ac:dyDescent="0.2">
      <c r="A70" s="499" t="s">
        <v>425</v>
      </c>
      <c r="B70" s="300">
        <f t="shared" si="6"/>
        <v>863285491269.90088</v>
      </c>
      <c r="C70" s="300">
        <f t="shared" si="7"/>
        <v>953368433461.52246</v>
      </c>
      <c r="D70" s="300">
        <f t="shared" si="8"/>
        <v>1056919996887.7009</v>
      </c>
      <c r="F70" s="16">
        <v>50290.201000000001</v>
      </c>
      <c r="G70" s="16">
        <v>55974.553</v>
      </c>
      <c r="H70" s="16">
        <v>59367.224000000002</v>
      </c>
      <c r="I70" s="16">
        <v>63969.080999999998</v>
      </c>
      <c r="J70" s="16">
        <v>70644.187999999995</v>
      </c>
      <c r="K70" s="16">
        <v>78317.313999999998</v>
      </c>
      <c r="M70" s="273">
        <v>74.099566883605206</v>
      </c>
    </row>
    <row r="71" spans="1:13" x14ac:dyDescent="0.2">
      <c r="A71" s="499" t="s">
        <v>275</v>
      </c>
      <c r="B71" s="300">
        <f t="shared" si="6"/>
        <v>179504550952.38095</v>
      </c>
      <c r="C71" s="300">
        <f t="shared" si="7"/>
        <v>237000045333.33334</v>
      </c>
      <c r="D71" s="300">
        <f t="shared" si="8"/>
        <v>310452573952.38098</v>
      </c>
      <c r="F71" s="16">
        <v>3296429.29</v>
      </c>
      <c r="G71" s="16">
        <v>4173471.9589999998</v>
      </c>
      <c r="H71" s="16">
        <v>5701241.4950000001</v>
      </c>
      <c r="I71" s="16">
        <v>7539191.1399999997</v>
      </c>
      <c r="J71" s="16">
        <v>9954001.9039999992</v>
      </c>
      <c r="K71" s="16">
        <v>13039008.106000001</v>
      </c>
      <c r="M71" s="273">
        <v>42000</v>
      </c>
    </row>
    <row r="72" spans="1:13" x14ac:dyDescent="0.2">
      <c r="A72" s="499" t="s">
        <v>277</v>
      </c>
      <c r="B72" s="300">
        <f t="shared" si="6"/>
        <v>87584923011.84433</v>
      </c>
      <c r="C72" s="300">
        <f t="shared" si="7"/>
        <v>86071049069.373947</v>
      </c>
      <c r="D72" s="300">
        <f t="shared" si="8"/>
        <v>89070221658.206436</v>
      </c>
      <c r="F72" s="16">
        <v>84689</v>
      </c>
      <c r="G72" s="16">
        <v>96936.119000000006</v>
      </c>
      <c r="H72" s="16">
        <v>101619.10400000001</v>
      </c>
      <c r="I72" s="16">
        <v>103525.379</v>
      </c>
      <c r="J72" s="16">
        <v>101735.98</v>
      </c>
      <c r="K72" s="16">
        <v>105281.00199999999</v>
      </c>
      <c r="M72" s="273">
        <v>1182</v>
      </c>
    </row>
    <row r="73" spans="1:13" x14ac:dyDescent="0.2">
      <c r="A73" s="499" t="s">
        <v>359</v>
      </c>
      <c r="B73" s="300">
        <f t="shared" si="6"/>
        <v>10160460855.549131</v>
      </c>
      <c r="C73" s="300">
        <f t="shared" si="7"/>
        <v>10513292018.478367</v>
      </c>
      <c r="D73" s="300">
        <f t="shared" si="8"/>
        <v>10777902468.079803</v>
      </c>
      <c r="F73" s="16">
        <v>1178.174</v>
      </c>
      <c r="G73" s="16">
        <v>1242.8019999999999</v>
      </c>
      <c r="H73" s="16">
        <v>1360.454</v>
      </c>
      <c r="I73" s="16">
        <v>1375.9469999999999</v>
      </c>
      <c r="J73" s="16">
        <v>1423.7280000000001</v>
      </c>
      <c r="K73" s="16">
        <v>1459.5619999999999</v>
      </c>
      <c r="M73" s="273">
        <v>135.42171162920499</v>
      </c>
    </row>
    <row r="74" spans="1:13" x14ac:dyDescent="0.2">
      <c r="A74" s="499" t="s">
        <v>361</v>
      </c>
      <c r="B74" s="300">
        <f t="shared" si="6"/>
        <v>169155243465.47717</v>
      </c>
      <c r="C74" s="300">
        <f t="shared" si="7"/>
        <v>172958397585.85483</v>
      </c>
      <c r="D74" s="300">
        <f t="shared" si="8"/>
        <v>179960767741.04144</v>
      </c>
      <c r="F74" s="16">
        <v>527.26700000000005</v>
      </c>
      <c r="G74" s="16">
        <v>551.154</v>
      </c>
      <c r="H74" s="16">
        <v>617.64800000000002</v>
      </c>
      <c r="I74" s="16">
        <v>582.30100000000004</v>
      </c>
      <c r="J74" s="16">
        <v>595.39300000000003</v>
      </c>
      <c r="K74" s="16">
        <v>619.49800000000005</v>
      </c>
      <c r="M74" s="273">
        <v>3.4424058519879202</v>
      </c>
    </row>
    <row r="75" spans="1:13" x14ac:dyDescent="0.2">
      <c r="A75" s="499" t="s">
        <v>233</v>
      </c>
      <c r="B75" s="300">
        <f t="shared" si="6"/>
        <v>4576481993.9825363</v>
      </c>
      <c r="C75" s="300">
        <f t="shared" si="7"/>
        <v>5039457334.5992498</v>
      </c>
      <c r="D75" s="300">
        <f t="shared" si="8"/>
        <v>5418487715.9153185</v>
      </c>
      <c r="F75" s="16">
        <v>604.59699999999998</v>
      </c>
      <c r="G75" s="16">
        <v>630.35400000000004</v>
      </c>
      <c r="H75" s="16">
        <v>638.02</v>
      </c>
      <c r="I75" s="16">
        <v>651.70399999999995</v>
      </c>
      <c r="J75" s="16">
        <v>717.63300000000004</v>
      </c>
      <c r="K75" s="16">
        <v>771.60799999999995</v>
      </c>
      <c r="M75" s="273">
        <v>142.402832756013</v>
      </c>
    </row>
    <row r="76" spans="1:13" x14ac:dyDescent="0.2">
      <c r="A76" s="499" t="s">
        <v>279</v>
      </c>
      <c r="B76" s="300">
        <f t="shared" si="6"/>
        <v>14754929577.46479</v>
      </c>
      <c r="C76" s="300">
        <f t="shared" si="7"/>
        <v>14936619718.30986</v>
      </c>
      <c r="D76" s="300">
        <f t="shared" si="8"/>
        <v>15304225352.112677</v>
      </c>
      <c r="F76" s="16">
        <v>9.26</v>
      </c>
      <c r="G76" s="16">
        <v>9.5649999999999995</v>
      </c>
      <c r="H76" s="16">
        <v>9.9380000000000006</v>
      </c>
      <c r="I76" s="16">
        <v>10.476000000000001</v>
      </c>
      <c r="J76" s="16">
        <v>10.605</v>
      </c>
      <c r="K76" s="16">
        <v>10.866</v>
      </c>
      <c r="M76" s="273">
        <v>0.71</v>
      </c>
    </row>
    <row r="77" spans="1:13" x14ac:dyDescent="0.2">
      <c r="A77" s="499" t="s">
        <v>454</v>
      </c>
      <c r="B77" s="300">
        <f t="shared" si="6"/>
        <v>2040020465400.8682</v>
      </c>
      <c r="C77" s="300">
        <f t="shared" si="7"/>
        <v>1942160358823.0884</v>
      </c>
      <c r="D77" s="300">
        <f t="shared" si="8"/>
        <v>1962686077150.0708</v>
      </c>
      <c r="F77" s="16">
        <v>205213.5</v>
      </c>
      <c r="G77" s="16">
        <v>208690.72099999999</v>
      </c>
      <c r="H77" s="16">
        <v>253254.611</v>
      </c>
      <c r="I77" s="16">
        <v>217822.33300000001</v>
      </c>
      <c r="J77" s="16">
        <v>207373.361</v>
      </c>
      <c r="K77" s="16">
        <v>209564.986</v>
      </c>
      <c r="M77" s="273">
        <v>106.77458226243699</v>
      </c>
    </row>
    <row r="78" spans="1:13" x14ac:dyDescent="0.2">
      <c r="A78" s="499" t="s">
        <v>365</v>
      </c>
      <c r="B78" s="300">
        <f t="shared" si="6"/>
        <v>40197454918.231308</v>
      </c>
      <c r="C78" s="300">
        <f t="shared" si="7"/>
        <v>41385683612.353325</v>
      </c>
      <c r="D78" s="300">
        <f t="shared" si="8"/>
        <v>45103457210.661453</v>
      </c>
      <c r="F78" s="16">
        <v>11650.897999999999</v>
      </c>
      <c r="G78" s="16">
        <v>14079.304</v>
      </c>
      <c r="H78" s="16">
        <v>15724.267</v>
      </c>
      <c r="I78" s="16">
        <v>16599.672999999999</v>
      </c>
      <c r="J78" s="16">
        <v>17090.356</v>
      </c>
      <c r="K78" s="16">
        <v>18625.623</v>
      </c>
      <c r="M78" s="273">
        <v>412.95333333333298</v>
      </c>
    </row>
    <row r="79" spans="1:13" x14ac:dyDescent="0.2">
      <c r="A79" s="499" t="s">
        <v>136</v>
      </c>
      <c r="B79" s="300">
        <f t="shared" si="6"/>
        <v>27329231365.593113</v>
      </c>
      <c r="C79" s="300">
        <f t="shared" si="7"/>
        <v>29812491700.617065</v>
      </c>
      <c r="D79" s="300">
        <f t="shared" si="8"/>
        <v>32670864363.991627</v>
      </c>
      <c r="F79" s="16">
        <v>2276.31</v>
      </c>
      <c r="G79" s="16">
        <v>2475.4459999999999</v>
      </c>
      <c r="H79" s="16">
        <v>2674.817</v>
      </c>
      <c r="I79" s="16">
        <v>2909.2179999999998</v>
      </c>
      <c r="J79" s="16">
        <v>3173.5630000000001</v>
      </c>
      <c r="K79" s="16">
        <v>3477.8389999999999</v>
      </c>
      <c r="M79" s="273">
        <v>106.45078015851701</v>
      </c>
    </row>
    <row r="80" spans="1:13" x14ac:dyDescent="0.2">
      <c r="A80" s="499" t="s">
        <v>367</v>
      </c>
      <c r="B80" s="300">
        <f t="shared" si="6"/>
        <v>3100556597.0455537</v>
      </c>
      <c r="C80" s="300">
        <f t="shared" si="7"/>
        <v>3319972924.5985942</v>
      </c>
      <c r="D80" s="300">
        <f t="shared" si="8"/>
        <v>3743290902.1333108</v>
      </c>
      <c r="F80" s="16">
        <v>188.23699999999999</v>
      </c>
      <c r="G80" s="16">
        <v>201.70099999999999</v>
      </c>
      <c r="H80" s="16">
        <v>218.982</v>
      </c>
      <c r="I80" s="16">
        <v>239.816</v>
      </c>
      <c r="J80" s="16">
        <v>256.78699999999998</v>
      </c>
      <c r="K80" s="16">
        <v>289.529</v>
      </c>
      <c r="M80" s="273">
        <v>77.346112703930302</v>
      </c>
    </row>
    <row r="81" spans="1:13" x14ac:dyDescent="0.2">
      <c r="A81" s="499" t="s">
        <v>456</v>
      </c>
      <c r="B81" s="300">
        <f t="shared" si="6"/>
        <v>6896893993.5295029</v>
      </c>
      <c r="C81" s="300">
        <f t="shared" si="7"/>
        <v>7707151664.788022</v>
      </c>
      <c r="D81" s="300">
        <f t="shared" si="8"/>
        <v>8638132563.6304493</v>
      </c>
      <c r="F81" s="16">
        <v>22924.101999999999</v>
      </c>
      <c r="G81" s="16">
        <v>24988.262999999999</v>
      </c>
      <c r="H81" s="16">
        <v>25970.65</v>
      </c>
      <c r="I81" s="16">
        <v>28227.491999999998</v>
      </c>
      <c r="J81" s="16">
        <v>31543.701000000001</v>
      </c>
      <c r="K81" s="16">
        <v>35354.004000000001</v>
      </c>
      <c r="M81" s="273">
        <v>4092.7832190087802</v>
      </c>
    </row>
    <row r="82" spans="1:13" x14ac:dyDescent="0.2">
      <c r="A82" s="499" t="s">
        <v>458</v>
      </c>
      <c r="B82" s="300">
        <f t="shared" si="6"/>
        <v>216780143.15612763</v>
      </c>
      <c r="C82" s="300">
        <f t="shared" si="7"/>
        <v>209898233.84958389</v>
      </c>
      <c r="D82" s="300">
        <f t="shared" si="8"/>
        <v>216780143.15612763</v>
      </c>
      <c r="F82" s="16">
        <v>0.36099999999999999</v>
      </c>
      <c r="G82" s="16">
        <v>0.312</v>
      </c>
      <c r="H82" s="16">
        <v>0.313</v>
      </c>
      <c r="I82" s="16">
        <v>0.315</v>
      </c>
      <c r="J82" s="16">
        <v>0.30499999999999999</v>
      </c>
      <c r="K82" s="16">
        <v>0.315</v>
      </c>
      <c r="M82" s="273">
        <v>1.4530851184701601</v>
      </c>
    </row>
    <row r="83" spans="1:13" x14ac:dyDescent="0.2">
      <c r="A83" s="499" t="s">
        <v>235</v>
      </c>
      <c r="B83" s="300">
        <f t="shared" si="6"/>
        <v>337037037.03703701</v>
      </c>
      <c r="C83" s="300">
        <f t="shared" si="7"/>
        <v>352222222.22222221</v>
      </c>
      <c r="D83" s="300">
        <f t="shared" si="8"/>
        <v>371111111.1111111</v>
      </c>
      <c r="F83" s="16">
        <v>1.04</v>
      </c>
      <c r="G83" s="16">
        <v>1.147</v>
      </c>
      <c r="H83" s="16">
        <v>1.0329999999999999</v>
      </c>
      <c r="I83" s="16">
        <v>0.91</v>
      </c>
      <c r="J83" s="16">
        <v>0.95099999999999996</v>
      </c>
      <c r="K83" s="16">
        <v>1.002</v>
      </c>
      <c r="M83" s="273">
        <v>2.7</v>
      </c>
    </row>
    <row r="84" spans="1:13" x14ac:dyDescent="0.2">
      <c r="A84" s="499" t="s">
        <v>460</v>
      </c>
      <c r="B84" s="300">
        <f t="shared" si="6"/>
        <v>421295087464.88794</v>
      </c>
      <c r="C84" s="300">
        <f t="shared" si="7"/>
        <v>446536408597.62732</v>
      </c>
      <c r="D84" s="300">
        <f t="shared" si="8"/>
        <v>466699145817.36609</v>
      </c>
      <c r="F84" s="16">
        <v>386907</v>
      </c>
      <c r="G84" s="16">
        <v>433993</v>
      </c>
      <c r="H84" s="16">
        <v>496260.39399999997</v>
      </c>
      <c r="I84" s="16">
        <v>497244.505</v>
      </c>
      <c r="J84" s="16">
        <v>527036.23199999996</v>
      </c>
      <c r="K84" s="16">
        <v>550833.82799999998</v>
      </c>
      <c r="M84" s="273">
        <v>1180.2760577915401</v>
      </c>
    </row>
    <row r="85" spans="1:13" x14ac:dyDescent="0.2">
      <c r="A85" s="499" t="s">
        <v>281</v>
      </c>
      <c r="B85" s="300">
        <f t="shared" si="6"/>
        <v>70785942015.838135</v>
      </c>
      <c r="C85" s="300">
        <f t="shared" si="7"/>
        <v>72676658463.094223</v>
      </c>
      <c r="D85" s="300">
        <f t="shared" si="8"/>
        <v>74462879355.406982</v>
      </c>
      <c r="F85" s="16">
        <v>20.974</v>
      </c>
      <c r="G85" s="16">
        <v>21.558</v>
      </c>
      <c r="H85" s="16">
        <v>21.254000000000001</v>
      </c>
      <c r="I85" s="16">
        <v>21.677</v>
      </c>
      <c r="J85" s="16">
        <v>22.256</v>
      </c>
      <c r="K85" s="16">
        <v>22.803000000000001</v>
      </c>
      <c r="M85" s="273">
        <v>0.30623312175671602</v>
      </c>
    </row>
    <row r="86" spans="1:13" x14ac:dyDescent="0.2">
      <c r="A86" s="499" t="s">
        <v>462</v>
      </c>
      <c r="B86" s="300">
        <f t="shared" si="6"/>
        <v>4232778250.3174753</v>
      </c>
      <c r="C86" s="300">
        <f t="shared" si="7"/>
        <v>4663438472.6845102</v>
      </c>
      <c r="D86" s="300">
        <f t="shared" si="8"/>
        <v>5111560634.5643587</v>
      </c>
      <c r="F86" s="16">
        <v>31865.734</v>
      </c>
      <c r="G86" s="16">
        <v>33335.802000000003</v>
      </c>
      <c r="H86" s="16">
        <v>32261.78</v>
      </c>
      <c r="I86" s="16">
        <v>38288.813999999998</v>
      </c>
      <c r="J86" s="16">
        <v>42184.474999999999</v>
      </c>
      <c r="K86" s="16">
        <v>46238.093000000001</v>
      </c>
      <c r="M86" s="273">
        <v>9045.7878338247901</v>
      </c>
    </row>
    <row r="87" spans="1:13" x14ac:dyDescent="0.2">
      <c r="A87" s="499" t="s">
        <v>138</v>
      </c>
      <c r="B87" s="300">
        <f t="shared" si="6"/>
        <v>5278127.7063351637</v>
      </c>
      <c r="C87" s="300">
        <f t="shared" si="7"/>
        <v>5358586.9701512484</v>
      </c>
      <c r="D87" s="300">
        <f t="shared" si="8"/>
        <v>5503413.6450202009</v>
      </c>
      <c r="F87" s="16">
        <v>1.042</v>
      </c>
      <c r="G87" s="16">
        <v>1.0369999999999999</v>
      </c>
      <c r="H87" s="16">
        <v>0.98499999999999999</v>
      </c>
      <c r="I87" s="16">
        <v>0.98399999999999999</v>
      </c>
      <c r="J87" s="16">
        <v>0.999</v>
      </c>
      <c r="K87" s="16">
        <v>1.026</v>
      </c>
      <c r="M87" s="273">
        <v>186.42974455107199</v>
      </c>
    </row>
    <row r="88" spans="1:13" x14ac:dyDescent="0.2">
      <c r="A88" s="499" t="s">
        <v>285</v>
      </c>
      <c r="B88" s="300">
        <f t="shared" si="6"/>
        <v>33533035946.398945</v>
      </c>
      <c r="C88" s="300">
        <f t="shared" si="7"/>
        <v>41425686191.759354</v>
      </c>
      <c r="D88" s="300">
        <f t="shared" si="8"/>
        <v>45173908367.904137</v>
      </c>
      <c r="F88" s="16">
        <v>49.274000000000001</v>
      </c>
      <c r="G88" s="16">
        <v>56.155999999999999</v>
      </c>
      <c r="H88" s="16">
        <v>49.84</v>
      </c>
      <c r="I88" s="16">
        <v>46.887999999999998</v>
      </c>
      <c r="J88" s="16">
        <v>57.923999999999999</v>
      </c>
      <c r="K88" s="16">
        <v>63.164999999999999</v>
      </c>
      <c r="M88" s="273">
        <v>1.3982628973692799</v>
      </c>
    </row>
    <row r="89" spans="1:13" x14ac:dyDescent="0.2">
      <c r="A89" s="499" t="s">
        <v>237</v>
      </c>
      <c r="B89" s="300">
        <f t="shared" si="6"/>
        <v>536296296.29629624</v>
      </c>
      <c r="C89" s="300">
        <f t="shared" si="7"/>
        <v>525185185.18518513</v>
      </c>
      <c r="D89" s="300">
        <f t="shared" si="8"/>
        <v>554074074.07407403</v>
      </c>
      <c r="F89" s="16">
        <v>1.2929999999999999</v>
      </c>
      <c r="G89" s="16">
        <v>1.4279999999999999</v>
      </c>
      <c r="H89" s="16">
        <v>1.5329999999999999</v>
      </c>
      <c r="I89" s="16">
        <v>1.448</v>
      </c>
      <c r="J89" s="16">
        <v>1.4179999999999999</v>
      </c>
      <c r="K89" s="16">
        <v>1.496</v>
      </c>
      <c r="M89" s="273">
        <v>2.7</v>
      </c>
    </row>
    <row r="90" spans="1:13" x14ac:dyDescent="0.2">
      <c r="A90" s="499" t="s">
        <v>427</v>
      </c>
      <c r="B90" s="300">
        <f t="shared" si="6"/>
        <v>17423856924.615627</v>
      </c>
      <c r="C90" s="300">
        <f t="shared" si="7"/>
        <v>19589753382.379105</v>
      </c>
      <c r="D90" s="300">
        <f t="shared" si="8"/>
        <v>21817329913.001553</v>
      </c>
      <c r="F90" s="16">
        <v>2693.2280000000001</v>
      </c>
      <c r="G90" s="16">
        <v>3127.2910000000002</v>
      </c>
      <c r="H90" s="16">
        <v>2833.6680000000001</v>
      </c>
      <c r="I90" s="16">
        <v>3114.4259999999999</v>
      </c>
      <c r="J90" s="16">
        <v>3501.569</v>
      </c>
      <c r="K90" s="16">
        <v>3899.7370000000001</v>
      </c>
      <c r="M90" s="273">
        <v>178.74492504584799</v>
      </c>
    </row>
    <row r="91" spans="1:13" x14ac:dyDescent="0.2">
      <c r="A91" s="499" t="s">
        <v>140</v>
      </c>
      <c r="B91" s="300">
        <f t="shared" si="6"/>
        <v>1219739699.0190523</v>
      </c>
      <c r="C91" s="300">
        <f t="shared" si="7"/>
        <v>1264357659.4420354</v>
      </c>
      <c r="D91" s="300">
        <f t="shared" si="8"/>
        <v>1302298101.978586</v>
      </c>
      <c r="F91" s="16">
        <v>17.536000000000001</v>
      </c>
      <c r="G91" s="16">
        <v>18.646000000000001</v>
      </c>
      <c r="H91" s="16">
        <v>20.219000000000001</v>
      </c>
      <c r="I91" s="16">
        <v>20.093</v>
      </c>
      <c r="J91" s="16">
        <v>20.827999999999999</v>
      </c>
      <c r="K91" s="16">
        <v>21.452999999999999</v>
      </c>
      <c r="M91" s="273">
        <v>16.473186874346499</v>
      </c>
    </row>
    <row r="92" spans="1:13" x14ac:dyDescent="0.2">
      <c r="A92" s="499" t="s">
        <v>369</v>
      </c>
      <c r="B92" s="300">
        <f t="shared" si="6"/>
        <v>7579918919.351985</v>
      </c>
      <c r="C92" s="300">
        <f t="shared" si="7"/>
        <v>7815661704.6164589</v>
      </c>
      <c r="D92" s="300">
        <f t="shared" si="8"/>
        <v>7731440383.2903252</v>
      </c>
      <c r="F92" s="16">
        <v>15.089</v>
      </c>
      <c r="G92" s="16">
        <v>16.518000000000001</v>
      </c>
      <c r="H92" s="16">
        <v>19.206</v>
      </c>
      <c r="I92" s="16">
        <v>19.71</v>
      </c>
      <c r="J92" s="16">
        <v>20.323</v>
      </c>
      <c r="K92" s="16">
        <v>20.103999999999999</v>
      </c>
      <c r="M92" s="273">
        <v>2.6002916666666702</v>
      </c>
    </row>
    <row r="93" spans="1:13" x14ac:dyDescent="0.2">
      <c r="A93" s="499" t="s">
        <v>373</v>
      </c>
      <c r="B93" s="300">
        <f t="shared" si="6"/>
        <v>25321516835.361324</v>
      </c>
      <c r="C93" s="300">
        <f t="shared" si="7"/>
        <v>27833834432.603439</v>
      </c>
      <c r="D93" s="300">
        <f t="shared" si="8"/>
        <v>29601901553.670071</v>
      </c>
      <c r="F93" s="16">
        <v>11.098000000000001</v>
      </c>
      <c r="G93" s="16">
        <v>11.531000000000001</v>
      </c>
      <c r="H93" s="16">
        <v>12.788</v>
      </c>
      <c r="I93" s="16">
        <v>13.404999999999999</v>
      </c>
      <c r="J93" s="16">
        <v>14.734999999999999</v>
      </c>
      <c r="K93" s="16">
        <v>15.670999999999999</v>
      </c>
      <c r="M93" s="273">
        <v>0.52939166666666704</v>
      </c>
    </row>
    <row r="94" spans="1:13" x14ac:dyDescent="0.2">
      <c r="A94" s="499" t="s">
        <v>511</v>
      </c>
      <c r="B94" s="300">
        <f t="shared" si="6"/>
        <v>6158670506.4026937</v>
      </c>
      <c r="C94" s="300">
        <f t="shared" si="7"/>
        <v>7182570444.2583513</v>
      </c>
      <c r="D94" s="300">
        <f t="shared" si="8"/>
        <v>9129857893.3073063</v>
      </c>
      <c r="F94" s="16">
        <v>80.445999999999998</v>
      </c>
      <c r="G94" s="16">
        <v>82.13</v>
      </c>
      <c r="H94" s="16">
        <v>63.683999999999997</v>
      </c>
      <c r="I94" s="16">
        <v>49.201999999999998</v>
      </c>
      <c r="J94" s="16">
        <v>57.381999999999998</v>
      </c>
      <c r="K94" s="16">
        <v>72.938999999999993</v>
      </c>
      <c r="M94" s="273">
        <v>7.9890619166666701</v>
      </c>
    </row>
    <row r="95" spans="1:13" x14ac:dyDescent="0.2">
      <c r="A95" s="499" t="s">
        <v>287</v>
      </c>
      <c r="B95" s="300">
        <f t="shared" si="6"/>
        <v>38676203537.633667</v>
      </c>
      <c r="C95" s="300">
        <f t="shared" si="7"/>
        <v>39037481326.313339</v>
      </c>
      <c r="D95" s="300">
        <f t="shared" si="8"/>
        <v>40416886465.25351</v>
      </c>
      <c r="F95" s="16">
        <v>331.11599999999999</v>
      </c>
      <c r="G95" s="16">
        <v>342.28100000000001</v>
      </c>
      <c r="H95" s="16">
        <v>376.33499999999998</v>
      </c>
      <c r="I95" s="16">
        <v>367.30200000000002</v>
      </c>
      <c r="J95" s="16">
        <v>370.733</v>
      </c>
      <c r="K95" s="16">
        <v>383.83300000000003</v>
      </c>
      <c r="M95" s="273">
        <v>9.4968473222196899</v>
      </c>
    </row>
    <row r="96" spans="1:13" x14ac:dyDescent="0.2">
      <c r="A96" s="499" t="s">
        <v>377</v>
      </c>
      <c r="B96" s="300">
        <f t="shared" si="6"/>
        <v>4414024211.4453077</v>
      </c>
      <c r="C96" s="300">
        <f t="shared" si="7"/>
        <v>4696730976.6848173</v>
      </c>
      <c r="D96" s="300">
        <f t="shared" si="8"/>
        <v>5082833252.7562571</v>
      </c>
      <c r="F96" s="16">
        <v>59.609000000000002</v>
      </c>
      <c r="G96" s="16">
        <v>65.971999999999994</v>
      </c>
      <c r="H96" s="16">
        <v>77.682000000000002</v>
      </c>
      <c r="I96" s="16">
        <v>76.459000000000003</v>
      </c>
      <c r="J96" s="16">
        <v>81.355999999999995</v>
      </c>
      <c r="K96" s="16">
        <v>88.043999999999997</v>
      </c>
      <c r="M96" s="273">
        <v>17.321835209183099</v>
      </c>
    </row>
    <row r="97" spans="1:13" x14ac:dyDescent="0.2">
      <c r="A97" s="499" t="s">
        <v>142</v>
      </c>
      <c r="B97" s="300">
        <f t="shared" si="6"/>
        <v>2616071309.038187</v>
      </c>
      <c r="C97" s="300">
        <f t="shared" si="7"/>
        <v>2961089538.18892</v>
      </c>
      <c r="D97" s="300">
        <f t="shared" si="8"/>
        <v>3266656882.2067966</v>
      </c>
      <c r="F97" s="16">
        <v>6585.1710000000003</v>
      </c>
      <c r="G97" s="16">
        <v>7839.79</v>
      </c>
      <c r="H97" s="16">
        <v>9298.1669999999995</v>
      </c>
      <c r="I97" s="16">
        <v>9465.7880000000005</v>
      </c>
      <c r="J97" s="16">
        <v>10714.174999999999</v>
      </c>
      <c r="K97" s="16">
        <v>11819.816000000001</v>
      </c>
      <c r="M97" s="273">
        <v>3618.3218581607198</v>
      </c>
    </row>
    <row r="98" spans="1:13" x14ac:dyDescent="0.2">
      <c r="A98" s="499" t="s">
        <v>429</v>
      </c>
      <c r="B98" s="300">
        <f t="shared" ref="B98:B129" si="9">IF($M98="","",I98*1000000000/$M98)</f>
        <v>1949513981.6428072</v>
      </c>
      <c r="C98" s="300">
        <f t="shared" ref="C98:C129" si="10">IF($M98="","",J98*1000000000/$M98)</f>
        <v>2043394398.8205638</v>
      </c>
      <c r="D98" s="300">
        <f t="shared" ref="D98:D129" si="11">IF($M98="","",K98*1000000000/$M98)</f>
        <v>2046385049.2292736</v>
      </c>
      <c r="F98" s="16">
        <v>26.116</v>
      </c>
      <c r="G98" s="16">
        <v>29.800999999999998</v>
      </c>
      <c r="H98" s="16">
        <v>28.109000000000002</v>
      </c>
      <c r="I98" s="16">
        <v>29.986000000000001</v>
      </c>
      <c r="J98" s="16">
        <v>31.43</v>
      </c>
      <c r="K98" s="16">
        <v>31.475999999999999</v>
      </c>
      <c r="M98" s="273">
        <v>15.381269527870501</v>
      </c>
    </row>
    <row r="99" spans="1:13" x14ac:dyDescent="0.2">
      <c r="A99" s="499" t="s">
        <v>239</v>
      </c>
      <c r="B99" s="300">
        <f t="shared" si="9"/>
        <v>297403959937.52454</v>
      </c>
      <c r="C99" s="300">
        <f t="shared" si="10"/>
        <v>306198218730.13495</v>
      </c>
      <c r="D99" s="300">
        <f t="shared" si="11"/>
        <v>318554675940.05804</v>
      </c>
      <c r="F99" s="16">
        <v>6036.8509999999997</v>
      </c>
      <c r="G99" s="16">
        <v>6406.3249999999998</v>
      </c>
      <c r="H99" s="16">
        <v>6869.7309999999998</v>
      </c>
      <c r="I99" s="16">
        <v>6389.9049999999997</v>
      </c>
      <c r="J99" s="16">
        <v>6578.8549999999996</v>
      </c>
      <c r="K99" s="16">
        <v>6844.3410000000003</v>
      </c>
      <c r="M99" s="273">
        <v>21.4856083333333</v>
      </c>
    </row>
    <row r="100" spans="1:13" x14ac:dyDescent="0.2">
      <c r="A100" s="499" t="s">
        <v>379</v>
      </c>
      <c r="B100" s="300">
        <f t="shared" si="9"/>
        <v>4380754585.083478</v>
      </c>
      <c r="C100" s="300">
        <f t="shared" si="10"/>
        <v>4635000990.4085054</v>
      </c>
      <c r="D100" s="300">
        <f t="shared" si="11"/>
        <v>4897484639.433588</v>
      </c>
      <c r="F100" s="16">
        <v>200.024</v>
      </c>
      <c r="G100" s="16">
        <v>217.542</v>
      </c>
      <c r="H100" s="16">
        <v>236.72</v>
      </c>
      <c r="I100" s="16">
        <v>237.19300000000001</v>
      </c>
      <c r="J100" s="16">
        <v>250.959</v>
      </c>
      <c r="K100" s="16">
        <v>265.17099999999999</v>
      </c>
      <c r="M100" s="273">
        <v>54.144325000000002</v>
      </c>
    </row>
    <row r="101" spans="1:13" x14ac:dyDescent="0.2">
      <c r="A101" s="499" t="s">
        <v>144</v>
      </c>
      <c r="B101" s="300">
        <f t="shared" si="9"/>
        <v>4856549634.7937088</v>
      </c>
      <c r="C101" s="300">
        <f t="shared" si="10"/>
        <v>5036428921.6223917</v>
      </c>
      <c r="D101" s="300">
        <f t="shared" si="11"/>
        <v>5447800980.9572668</v>
      </c>
      <c r="F101" s="16">
        <v>1925.539</v>
      </c>
      <c r="G101" s="16">
        <v>2343.8000000000002</v>
      </c>
      <c r="H101" s="16">
        <v>2686.5169999999998</v>
      </c>
      <c r="I101" s="16">
        <v>2795.3620000000001</v>
      </c>
      <c r="J101" s="16">
        <v>2898.8980000000001</v>
      </c>
      <c r="K101" s="16">
        <v>3135.6779999999999</v>
      </c>
      <c r="M101" s="273">
        <v>575.58600451094503</v>
      </c>
    </row>
    <row r="102" spans="1:13" x14ac:dyDescent="0.2">
      <c r="A102" s="499" t="s">
        <v>431</v>
      </c>
      <c r="B102" s="300">
        <f t="shared" si="9"/>
        <v>19735608522.126465</v>
      </c>
      <c r="C102" s="300">
        <f t="shared" si="10"/>
        <v>21975046186.750637</v>
      </c>
      <c r="D102" s="300">
        <f t="shared" si="11"/>
        <v>25069689126.827579</v>
      </c>
      <c r="F102" s="16">
        <v>19514.895</v>
      </c>
      <c r="G102" s="16">
        <v>21321.135999999999</v>
      </c>
      <c r="H102" s="16">
        <v>23994.178</v>
      </c>
      <c r="I102" s="16">
        <v>27267.095000000001</v>
      </c>
      <c r="J102" s="16">
        <v>30361.145</v>
      </c>
      <c r="K102" s="16">
        <v>34636.762999999999</v>
      </c>
      <c r="M102" s="273">
        <v>1381.61916666667</v>
      </c>
    </row>
    <row r="103" spans="1:13" x14ac:dyDescent="0.2">
      <c r="A103" s="499" t="s">
        <v>383</v>
      </c>
      <c r="B103" s="300">
        <f t="shared" si="9"/>
        <v>2452490944.7709789</v>
      </c>
      <c r="C103" s="300">
        <f t="shared" si="10"/>
        <v>2458189111.46422</v>
      </c>
      <c r="D103" s="300">
        <f t="shared" si="11"/>
        <v>2558476845.2652636</v>
      </c>
      <c r="F103" s="16">
        <v>2.2000000000000002</v>
      </c>
      <c r="G103" s="16">
        <v>2.2080000000000002</v>
      </c>
      <c r="H103" s="16">
        <v>2.1629999999999998</v>
      </c>
      <c r="I103" s="16">
        <v>2.1520000000000001</v>
      </c>
      <c r="J103" s="16">
        <v>2.157</v>
      </c>
      <c r="K103" s="16">
        <v>2.2450000000000001</v>
      </c>
      <c r="M103" s="273">
        <v>0.87747520723301198</v>
      </c>
    </row>
    <row r="104" spans="1:13" x14ac:dyDescent="0.2">
      <c r="A104" s="499" t="s">
        <v>466</v>
      </c>
      <c r="B104" s="300">
        <f t="shared" si="9"/>
        <v>5459115803.5510921</v>
      </c>
      <c r="C104" s="300">
        <f t="shared" si="10"/>
        <v>6093802275.4456034</v>
      </c>
      <c r="D104" s="300">
        <f t="shared" si="11"/>
        <v>6826126749.849062</v>
      </c>
      <c r="F104" s="16">
        <v>9222.9429999999993</v>
      </c>
      <c r="G104" s="16">
        <v>11698.415000000001</v>
      </c>
      <c r="H104" s="16">
        <v>14759.64</v>
      </c>
      <c r="I104" s="16">
        <v>15358.075000000001</v>
      </c>
      <c r="J104" s="16">
        <v>17143.632000000001</v>
      </c>
      <c r="K104" s="16">
        <v>19203.873</v>
      </c>
      <c r="M104" s="273">
        <v>2813.2898353264</v>
      </c>
    </row>
    <row r="105" spans="1:13" x14ac:dyDescent="0.2">
      <c r="A105" s="499" t="s">
        <v>146</v>
      </c>
      <c r="B105" s="300">
        <f t="shared" si="9"/>
        <v>5455812838.0718946</v>
      </c>
      <c r="C105" s="300">
        <f t="shared" si="10"/>
        <v>5819467611.7136116</v>
      </c>
      <c r="D105" s="300">
        <f t="shared" si="11"/>
        <v>6405542380.5590382</v>
      </c>
      <c r="F105" s="16">
        <v>292.00599999999997</v>
      </c>
      <c r="G105" s="16">
        <v>287.19</v>
      </c>
      <c r="H105" s="16">
        <v>316.06900000000002</v>
      </c>
      <c r="I105" s="16">
        <v>341.25200000000001</v>
      </c>
      <c r="J105" s="16">
        <v>363.99799999999999</v>
      </c>
      <c r="K105" s="16">
        <v>400.65600000000001</v>
      </c>
      <c r="M105" s="273">
        <v>62.548333333333296</v>
      </c>
    </row>
    <row r="106" spans="1:13" x14ac:dyDescent="0.2">
      <c r="A106" s="499" t="s">
        <v>148</v>
      </c>
      <c r="B106" s="300">
        <f t="shared" si="9"/>
        <v>1584755502.0554647</v>
      </c>
      <c r="C106" s="300">
        <f t="shared" si="10"/>
        <v>1679356787.5718291</v>
      </c>
      <c r="D106" s="300">
        <f t="shared" si="11"/>
        <v>1843266937.7001538</v>
      </c>
      <c r="F106" s="16">
        <v>50.634</v>
      </c>
      <c r="G106" s="16">
        <v>51.634</v>
      </c>
      <c r="H106" s="16">
        <v>60.249000000000002</v>
      </c>
      <c r="I106" s="16">
        <v>58.146000000000001</v>
      </c>
      <c r="J106" s="16">
        <v>61.616999999999997</v>
      </c>
      <c r="K106" s="16">
        <v>67.631</v>
      </c>
      <c r="M106" s="273">
        <v>36.690833333333302</v>
      </c>
    </row>
    <row r="107" spans="1:13" x14ac:dyDescent="0.2">
      <c r="A107" s="499" t="s">
        <v>150</v>
      </c>
      <c r="B107" s="300">
        <f t="shared" si="9"/>
        <v>3845382274.6033611</v>
      </c>
      <c r="C107" s="300">
        <f t="shared" si="10"/>
        <v>3983359990.7828517</v>
      </c>
      <c r="D107" s="300">
        <f t="shared" si="11"/>
        <v>4470488170.1920052</v>
      </c>
      <c r="F107" s="16">
        <v>121.604</v>
      </c>
      <c r="G107" s="16">
        <v>149.78299999999999</v>
      </c>
      <c r="H107" s="16">
        <v>152.44499999999999</v>
      </c>
      <c r="I107" s="16">
        <v>151.304</v>
      </c>
      <c r="J107" s="16">
        <v>156.733</v>
      </c>
      <c r="K107" s="16">
        <v>175.9</v>
      </c>
      <c r="M107" s="273">
        <v>39.346933333333297</v>
      </c>
    </row>
    <row r="108" spans="1:13" x14ac:dyDescent="0.2">
      <c r="A108" s="499" t="s">
        <v>153</v>
      </c>
      <c r="B108" s="300">
        <f t="shared" si="9"/>
        <v>2813132925.3590345</v>
      </c>
      <c r="C108" s="300">
        <f t="shared" si="10"/>
        <v>2999733074.7460327</v>
      </c>
      <c r="D108" s="300">
        <f t="shared" si="11"/>
        <v>3357477476.2142429</v>
      </c>
      <c r="F108" s="16">
        <v>1393.424</v>
      </c>
      <c r="G108" s="16">
        <v>1583.1379999999999</v>
      </c>
      <c r="H108" s="16">
        <v>1842.549</v>
      </c>
      <c r="I108" s="16">
        <v>2097.3049999999998</v>
      </c>
      <c r="J108" s="16">
        <v>2236.4229999999998</v>
      </c>
      <c r="K108" s="16">
        <v>2503.136</v>
      </c>
      <c r="M108" s="273">
        <v>745.54066787737202</v>
      </c>
    </row>
    <row r="109" spans="1:13" x14ac:dyDescent="0.2">
      <c r="A109" s="499" t="s">
        <v>468</v>
      </c>
      <c r="B109" s="300">
        <f t="shared" si="9"/>
        <v>88550873908.512436</v>
      </c>
      <c r="C109" s="300">
        <f t="shared" si="10"/>
        <v>91687083403.748932</v>
      </c>
      <c r="D109" s="300">
        <f t="shared" si="11"/>
        <v>98622048358.284256</v>
      </c>
      <c r="F109" s="16">
        <v>328.89800000000002</v>
      </c>
      <c r="G109" s="16">
        <v>360.63</v>
      </c>
      <c r="H109" s="16">
        <v>377.28100000000001</v>
      </c>
      <c r="I109" s="16">
        <v>372.22199999999998</v>
      </c>
      <c r="J109" s="16">
        <v>385.40499999999997</v>
      </c>
      <c r="K109" s="16">
        <v>414.55599999999998</v>
      </c>
      <c r="M109" s="273">
        <v>4.2034819485188404</v>
      </c>
    </row>
    <row r="110" spans="1:13" x14ac:dyDescent="0.2">
      <c r="A110" s="499" t="s">
        <v>155</v>
      </c>
      <c r="B110" s="300">
        <f t="shared" si="9"/>
        <v>5297435116.4524393</v>
      </c>
      <c r="C110" s="300">
        <f t="shared" si="10"/>
        <v>5651031176.21068</v>
      </c>
      <c r="D110" s="300">
        <f t="shared" si="11"/>
        <v>6067747143.2892408</v>
      </c>
      <c r="F110" s="16">
        <v>66.022999999999996</v>
      </c>
      <c r="G110" s="16">
        <v>68.863</v>
      </c>
      <c r="H110" s="16">
        <v>74.632999999999996</v>
      </c>
      <c r="I110" s="16">
        <v>76.540999999999997</v>
      </c>
      <c r="J110" s="16">
        <v>81.650000000000006</v>
      </c>
      <c r="K110" s="16">
        <v>87.671000000000006</v>
      </c>
      <c r="M110" s="273">
        <v>14.4486904166667</v>
      </c>
    </row>
    <row r="111" spans="1:13" x14ac:dyDescent="0.2">
      <c r="A111" s="499" t="s">
        <v>157</v>
      </c>
      <c r="B111" s="300">
        <f t="shared" si="9"/>
        <v>3433551171.3478775</v>
      </c>
      <c r="C111" s="300">
        <f t="shared" si="10"/>
        <v>3637254873.4551277</v>
      </c>
      <c r="D111" s="300">
        <f t="shared" si="11"/>
        <v>4015842952.8945341</v>
      </c>
      <c r="F111" s="16">
        <v>1505.3230000000001</v>
      </c>
      <c r="G111" s="16">
        <v>1631.7729999999999</v>
      </c>
      <c r="H111" s="16">
        <v>1857.595</v>
      </c>
      <c r="I111" s="16">
        <v>1976.3040000000001</v>
      </c>
      <c r="J111" s="16">
        <v>2093.5529999999999</v>
      </c>
      <c r="K111" s="16">
        <v>2311.4630000000002</v>
      </c>
      <c r="M111" s="273">
        <v>575.58600451094503</v>
      </c>
    </row>
    <row r="112" spans="1:13" x14ac:dyDescent="0.2">
      <c r="A112" s="499" t="s">
        <v>159</v>
      </c>
      <c r="B112" s="300">
        <f t="shared" si="9"/>
        <v>59734097088.976013</v>
      </c>
      <c r="C112" s="300">
        <f t="shared" si="10"/>
        <v>68800306982.482162</v>
      </c>
      <c r="D112" s="300">
        <f t="shared" si="11"/>
        <v>74260217929.893585</v>
      </c>
      <c r="F112" s="16">
        <v>16549.537</v>
      </c>
      <c r="G112" s="16">
        <v>18379.219000000001</v>
      </c>
      <c r="H112" s="16">
        <v>19648.141</v>
      </c>
      <c r="I112" s="16">
        <v>21433.239000000001</v>
      </c>
      <c r="J112" s="16">
        <v>24686.293000000001</v>
      </c>
      <c r="K112" s="16">
        <v>26645.367999999999</v>
      </c>
      <c r="M112" s="273">
        <v>358.81079725829699</v>
      </c>
    </row>
    <row r="113" spans="1:13" x14ac:dyDescent="0.2">
      <c r="A113" s="499" t="s">
        <v>241</v>
      </c>
      <c r="B113" s="300">
        <f t="shared" si="9"/>
        <v>3775374727.3416147</v>
      </c>
      <c r="C113" s="300">
        <f t="shared" si="10"/>
        <v>3842339797.6371336</v>
      </c>
      <c r="D113" s="300">
        <f t="shared" si="11"/>
        <v>4125929926.260129</v>
      </c>
      <c r="F113" s="16">
        <v>113.40900000000001</v>
      </c>
      <c r="G113" s="16">
        <v>114.318</v>
      </c>
      <c r="H113" s="16">
        <v>123.708</v>
      </c>
      <c r="I113" s="16">
        <v>125.047</v>
      </c>
      <c r="J113" s="16">
        <v>127.265</v>
      </c>
      <c r="K113" s="16">
        <v>136.65799999999999</v>
      </c>
      <c r="M113" s="273">
        <v>33.121745265283998</v>
      </c>
    </row>
    <row r="114" spans="1:13" x14ac:dyDescent="0.2">
      <c r="A114" s="499" t="s">
        <v>387</v>
      </c>
      <c r="B114" s="300">
        <f t="shared" si="9"/>
        <v>211206266041.24268</v>
      </c>
      <c r="C114" s="300">
        <f t="shared" si="10"/>
        <v>216686503230.37445</v>
      </c>
      <c r="D114" s="300">
        <f t="shared" si="11"/>
        <v>223359837153.73053</v>
      </c>
      <c r="F114" s="16">
        <v>1738.4970000000001</v>
      </c>
      <c r="G114" s="16">
        <v>1803.2049999999999</v>
      </c>
      <c r="H114" s="16">
        <v>1903.43</v>
      </c>
      <c r="I114" s="16">
        <v>1988.683</v>
      </c>
      <c r="J114" s="16">
        <v>2040.2840000000001</v>
      </c>
      <c r="K114" s="16">
        <v>2103.1190000000001</v>
      </c>
      <c r="M114" s="273">
        <v>9.4158333333333299</v>
      </c>
    </row>
    <row r="115" spans="1:13" x14ac:dyDescent="0.2">
      <c r="A115" s="499" t="s">
        <v>433</v>
      </c>
      <c r="B115" s="300">
        <f t="shared" si="9"/>
        <v>11274157103.814648</v>
      </c>
      <c r="C115" s="300">
        <f t="shared" si="10"/>
        <v>11978502759.766325</v>
      </c>
      <c r="D115" s="300">
        <f t="shared" si="11"/>
        <v>13163376331.080063</v>
      </c>
      <c r="F115" s="16">
        <v>967.63400000000001</v>
      </c>
      <c r="G115" s="16">
        <v>1059.1949999999999</v>
      </c>
      <c r="H115" s="16">
        <v>1041.307</v>
      </c>
      <c r="I115" s="16">
        <v>1269.577</v>
      </c>
      <c r="J115" s="16">
        <v>1348.893</v>
      </c>
      <c r="K115" s="16">
        <v>1482.3209999999999</v>
      </c>
      <c r="M115" s="273">
        <v>112.609482758621</v>
      </c>
    </row>
    <row r="116" spans="1:13" x14ac:dyDescent="0.2">
      <c r="A116" s="499" t="s">
        <v>472</v>
      </c>
      <c r="B116" s="300">
        <f t="shared" si="9"/>
        <v>143831904.50676405</v>
      </c>
      <c r="C116" s="300">
        <f t="shared" si="10"/>
        <v>148649241.02134466</v>
      </c>
      <c r="D116" s="300">
        <f t="shared" si="11"/>
        <v>151402004.74396217</v>
      </c>
      <c r="F116" s="16">
        <v>0.155</v>
      </c>
      <c r="G116" s="16">
        <v>0.20599999999999999</v>
      </c>
      <c r="H116" s="16">
        <v>0.22900000000000001</v>
      </c>
      <c r="I116" s="16">
        <v>0.20899999999999999</v>
      </c>
      <c r="J116" s="16">
        <v>0.216</v>
      </c>
      <c r="K116" s="16">
        <v>0.22</v>
      </c>
      <c r="M116" s="273">
        <v>1.4530851184701601</v>
      </c>
    </row>
    <row r="117" spans="1:13" x14ac:dyDescent="0.2">
      <c r="A117" s="499" t="s">
        <v>474</v>
      </c>
      <c r="B117" s="300">
        <f t="shared" si="9"/>
        <v>91589271914.702957</v>
      </c>
      <c r="C117" s="300">
        <f t="shared" si="10"/>
        <v>89042027160.66748</v>
      </c>
      <c r="D117" s="300">
        <f t="shared" si="11"/>
        <v>89725529189.881683</v>
      </c>
      <c r="F117" s="16">
        <v>108.383</v>
      </c>
      <c r="G117" s="16">
        <v>124.428</v>
      </c>
      <c r="H117" s="16">
        <v>140.51900000000001</v>
      </c>
      <c r="I117" s="16">
        <v>141.23599999999999</v>
      </c>
      <c r="J117" s="16">
        <v>137.30799999999999</v>
      </c>
      <c r="K117" s="16">
        <v>138.36199999999999</v>
      </c>
      <c r="M117" s="273">
        <v>1.54205833333333</v>
      </c>
    </row>
    <row r="118" spans="1:13" x14ac:dyDescent="0.2">
      <c r="A118" s="499" t="s">
        <v>289</v>
      </c>
      <c r="B118" s="300">
        <f t="shared" si="9"/>
        <v>31464239271.781532</v>
      </c>
      <c r="C118" s="300">
        <f t="shared" si="10"/>
        <v>32652795838.751625</v>
      </c>
      <c r="D118" s="300">
        <f t="shared" si="11"/>
        <v>33963589076.723015</v>
      </c>
      <c r="F118" s="16">
        <v>13.836</v>
      </c>
      <c r="G118" s="16">
        <v>12.968</v>
      </c>
      <c r="H118" s="16">
        <v>11.827</v>
      </c>
      <c r="I118" s="16">
        <v>12.098000000000001</v>
      </c>
      <c r="J118" s="16">
        <v>12.555</v>
      </c>
      <c r="K118" s="16">
        <v>13.058999999999999</v>
      </c>
      <c r="M118" s="273">
        <v>0.38450000000000001</v>
      </c>
    </row>
    <row r="119" spans="1:13" x14ac:dyDescent="0.2">
      <c r="A119" s="499" t="s">
        <v>291</v>
      </c>
      <c r="B119" s="300">
        <f t="shared" si="9"/>
        <v>65071180973.250435</v>
      </c>
      <c r="C119" s="300">
        <f t="shared" si="10"/>
        <v>71326986156.123779</v>
      </c>
      <c r="D119" s="300">
        <f t="shared" si="11"/>
        <v>78157914141.567459</v>
      </c>
      <c r="F119" s="16">
        <v>7488.3220000000001</v>
      </c>
      <c r="G119" s="16">
        <v>8345.2379999999994</v>
      </c>
      <c r="H119" s="16">
        <v>9649</v>
      </c>
      <c r="I119" s="16">
        <v>10531.021000000001</v>
      </c>
      <c r="J119" s="16">
        <v>11543.450999999999</v>
      </c>
      <c r="K119" s="16">
        <v>12648.958000000001</v>
      </c>
      <c r="M119" s="273">
        <v>161.83847968471801</v>
      </c>
    </row>
    <row r="120" spans="1:13" x14ac:dyDescent="0.2">
      <c r="A120" s="499" t="s">
        <v>243</v>
      </c>
      <c r="B120" s="300">
        <f t="shared" si="9"/>
        <v>15859000000</v>
      </c>
      <c r="C120" s="300">
        <f t="shared" si="10"/>
        <v>15680000000</v>
      </c>
      <c r="D120" s="300">
        <f t="shared" si="11"/>
        <v>15779000000</v>
      </c>
      <c r="F120" s="16">
        <v>14.914</v>
      </c>
      <c r="G120" s="16">
        <v>14.385</v>
      </c>
      <c r="H120" s="16">
        <v>14.420999999999999</v>
      </c>
      <c r="I120" s="16">
        <v>15.859</v>
      </c>
      <c r="J120" s="16">
        <v>15.68</v>
      </c>
      <c r="K120" s="16">
        <v>15.779</v>
      </c>
      <c r="M120" s="273">
        <v>1</v>
      </c>
    </row>
    <row r="121" spans="1:13" x14ac:dyDescent="0.2">
      <c r="A121" s="499" t="s">
        <v>245</v>
      </c>
      <c r="B121" s="300">
        <f t="shared" si="9"/>
        <v>55928123608.170845</v>
      </c>
      <c r="C121" s="300">
        <f t="shared" si="10"/>
        <v>58215325478.552734</v>
      </c>
      <c r="D121" s="300">
        <f t="shared" si="11"/>
        <v>60659242477.74501</v>
      </c>
      <c r="F121" s="16">
        <v>158.601</v>
      </c>
      <c r="G121" s="16">
        <v>163.97300000000001</v>
      </c>
      <c r="H121" s="16">
        <v>190.23400000000001</v>
      </c>
      <c r="I121" s="16">
        <v>186.64699999999999</v>
      </c>
      <c r="J121" s="16">
        <v>194.28</v>
      </c>
      <c r="K121" s="16">
        <v>202.43600000000001</v>
      </c>
      <c r="M121" s="273">
        <v>3.3372655465368002</v>
      </c>
    </row>
    <row r="122" spans="1:13" x14ac:dyDescent="0.2">
      <c r="A122" s="499" t="s">
        <v>476</v>
      </c>
      <c r="B122" s="300">
        <f t="shared" si="9"/>
        <v>101320656798.12572</v>
      </c>
      <c r="C122" s="300">
        <f t="shared" si="10"/>
        <v>107071209916.20892</v>
      </c>
      <c r="D122" s="300">
        <f t="shared" si="11"/>
        <v>117435670761.45459</v>
      </c>
      <c r="F122" s="16">
        <v>3808.3739999999998</v>
      </c>
      <c r="G122" s="16">
        <v>4232.018</v>
      </c>
      <c r="H122" s="16">
        <v>4625.165</v>
      </c>
      <c r="I122" s="16">
        <v>5027.9459999999999</v>
      </c>
      <c r="J122" s="16">
        <v>5313.3119999999999</v>
      </c>
      <c r="K122" s="16">
        <v>5827.6390000000001</v>
      </c>
      <c r="M122" s="273">
        <v>49.624096002632797</v>
      </c>
    </row>
    <row r="123" spans="1:13" x14ac:dyDescent="0.2">
      <c r="A123" s="499" t="s">
        <v>478</v>
      </c>
      <c r="B123" s="300">
        <f t="shared" si="9"/>
        <v>124000000</v>
      </c>
      <c r="C123" s="300">
        <f t="shared" si="10"/>
        <v>116000000</v>
      </c>
      <c r="D123" s="300">
        <f t="shared" si="11"/>
        <v>117000000</v>
      </c>
      <c r="F123" s="16">
        <v>0.109</v>
      </c>
      <c r="G123" s="16">
        <v>0.121</v>
      </c>
      <c r="H123" s="16">
        <v>0.124</v>
      </c>
      <c r="I123" s="16">
        <v>0.124</v>
      </c>
      <c r="J123" s="16">
        <v>0.11600000000000001</v>
      </c>
      <c r="K123" s="16">
        <v>0.11700000000000001</v>
      </c>
      <c r="M123" s="273">
        <v>1</v>
      </c>
    </row>
    <row r="124" spans="1:13" x14ac:dyDescent="0.2">
      <c r="A124" s="499" t="s">
        <v>480</v>
      </c>
      <c r="B124" s="300">
        <f t="shared" si="9"/>
        <v>5088061483.230731</v>
      </c>
      <c r="C124" s="300">
        <f t="shared" si="10"/>
        <v>5622963282.2336369</v>
      </c>
      <c r="D124" s="300">
        <f t="shared" si="11"/>
        <v>5962738100.4744444</v>
      </c>
      <c r="F124" s="16">
        <v>16.134</v>
      </c>
      <c r="G124" s="16">
        <v>17.852</v>
      </c>
      <c r="H124" s="16">
        <v>16.454000000000001</v>
      </c>
      <c r="I124" s="16">
        <v>17.236000000000001</v>
      </c>
      <c r="J124" s="16">
        <v>19.047999999999998</v>
      </c>
      <c r="K124" s="16">
        <v>20.199000000000002</v>
      </c>
      <c r="M124" s="273">
        <v>3.38753768145423</v>
      </c>
    </row>
    <row r="125" spans="1:13" x14ac:dyDescent="0.2">
      <c r="A125" s="499" t="s">
        <v>389</v>
      </c>
      <c r="B125" s="300">
        <f t="shared" si="9"/>
        <v>277632236323.34595</v>
      </c>
      <c r="C125" s="300">
        <f t="shared" si="10"/>
        <v>296118589051.83862</v>
      </c>
      <c r="D125" s="300">
        <f t="shared" si="11"/>
        <v>311624744374.0929</v>
      </c>
      <c r="F125" s="16">
        <v>880.35599999999999</v>
      </c>
      <c r="G125" s="16">
        <v>955.49699999999996</v>
      </c>
      <c r="H125" s="16">
        <v>1164.56</v>
      </c>
      <c r="I125" s="16">
        <v>1082.694</v>
      </c>
      <c r="J125" s="16">
        <v>1154.7860000000001</v>
      </c>
      <c r="K125" s="16">
        <v>1215.2560000000001</v>
      </c>
      <c r="M125" s="273">
        <v>3.89974166666667</v>
      </c>
    </row>
    <row r="126" spans="1:13" x14ac:dyDescent="0.2">
      <c r="A126" s="499" t="s">
        <v>247</v>
      </c>
      <c r="B126" s="300">
        <f t="shared" si="9"/>
        <v>8841941304.4056835</v>
      </c>
      <c r="C126" s="300">
        <f t="shared" si="10"/>
        <v>9057597483.6486855</v>
      </c>
      <c r="D126" s="300">
        <f t="shared" si="11"/>
        <v>9506454117.8318501</v>
      </c>
      <c r="F126" s="16">
        <v>47490.544000000002</v>
      </c>
      <c r="G126" s="16">
        <v>54383.879000000001</v>
      </c>
      <c r="H126" s="16">
        <v>59885.245000000003</v>
      </c>
      <c r="I126" s="16">
        <v>59869.646000000001</v>
      </c>
      <c r="J126" s="16">
        <v>61329.875</v>
      </c>
      <c r="K126" s="16">
        <v>64369.127</v>
      </c>
      <c r="M126" s="273">
        <v>6771.0974251965099</v>
      </c>
    </row>
    <row r="127" spans="1:13" x14ac:dyDescent="0.2">
      <c r="A127" s="499" t="s">
        <v>295</v>
      </c>
      <c r="B127" s="300">
        <f t="shared" si="9"/>
        <v>46726923076.923073</v>
      </c>
      <c r="C127" s="300">
        <f t="shared" si="10"/>
        <v>45858241758.24176</v>
      </c>
      <c r="D127" s="300">
        <f t="shared" si="11"/>
        <v>46087912087.912086</v>
      </c>
      <c r="F127" s="16">
        <v>192.83500000000001</v>
      </c>
      <c r="G127" s="16">
        <v>208.41800000000001</v>
      </c>
      <c r="H127" s="16">
        <v>173.893</v>
      </c>
      <c r="I127" s="16">
        <v>170.08600000000001</v>
      </c>
      <c r="J127" s="16">
        <v>166.92400000000001</v>
      </c>
      <c r="K127" s="16">
        <v>167.76</v>
      </c>
      <c r="M127" s="273">
        <v>3.64</v>
      </c>
    </row>
    <row r="128" spans="1:13" x14ac:dyDescent="0.2">
      <c r="A128" s="499" t="s">
        <v>393</v>
      </c>
      <c r="B128" s="300">
        <f t="shared" si="9"/>
        <v>99444116093.536087</v>
      </c>
      <c r="C128" s="300">
        <f t="shared" si="10"/>
        <v>105918209861.39221</v>
      </c>
      <c r="D128" s="300">
        <f t="shared" si="11"/>
        <v>112075620632.30559</v>
      </c>
      <c r="F128" s="16">
        <v>304.30200000000002</v>
      </c>
      <c r="G128" s="16">
        <v>354.24700000000001</v>
      </c>
      <c r="H128" s="16">
        <v>405.27800000000002</v>
      </c>
      <c r="I128" s="16">
        <v>422.04</v>
      </c>
      <c r="J128" s="16">
        <v>449.51600000000002</v>
      </c>
      <c r="K128" s="16">
        <v>475.64800000000002</v>
      </c>
      <c r="M128" s="273">
        <v>4.2439916666666697</v>
      </c>
    </row>
    <row r="129" spans="1:13" x14ac:dyDescent="0.2">
      <c r="A129" s="499" t="s">
        <v>395</v>
      </c>
      <c r="B129" s="300">
        <f t="shared" si="9"/>
        <v>549132256253.01306</v>
      </c>
      <c r="C129" s="300">
        <f t="shared" si="10"/>
        <v>562382186418.42371</v>
      </c>
      <c r="D129" s="300">
        <f t="shared" si="11"/>
        <v>602203525441.92297</v>
      </c>
      <c r="F129" s="16">
        <v>33880.686000000002</v>
      </c>
      <c r="G129" s="16">
        <v>36995.283000000003</v>
      </c>
      <c r="H129" s="16">
        <v>39032.436000000002</v>
      </c>
      <c r="I129" s="16">
        <v>39595.131000000001</v>
      </c>
      <c r="J129" s="16">
        <v>40550.516000000003</v>
      </c>
      <c r="K129" s="16">
        <v>43421.83</v>
      </c>
      <c r="M129" s="273">
        <v>72.104908333333299</v>
      </c>
    </row>
    <row r="130" spans="1:13" x14ac:dyDescent="0.2">
      <c r="A130" s="499" t="s">
        <v>161</v>
      </c>
      <c r="B130" s="300">
        <f t="shared" ref="B130:B161" si="12">IF($M130="","",I130*1000000000/$M130)</f>
        <v>3122108063.1780457</v>
      </c>
      <c r="C130" s="300">
        <f t="shared" ref="C130:C161" si="13">IF($M130="","",J130*1000000000/$M130)</f>
        <v>3160463667.9441257</v>
      </c>
      <c r="D130" s="300">
        <f t="shared" ref="D130:D161" si="14">IF($M130="","",K130*1000000000/$M130)</f>
        <v>3514068843.6908488</v>
      </c>
      <c r="F130" s="16">
        <v>2188.8969999999999</v>
      </c>
      <c r="G130" s="16">
        <v>2625.6010000000001</v>
      </c>
      <c r="H130" s="16">
        <v>2751.4380000000001</v>
      </c>
      <c r="I130" s="16">
        <v>2945.0160000000001</v>
      </c>
      <c r="J130" s="16">
        <v>2981.1959999999999</v>
      </c>
      <c r="K130" s="16">
        <v>3314.7440000000001</v>
      </c>
      <c r="M130" s="273">
        <v>943.27804816666696</v>
      </c>
    </row>
    <row r="131" spans="1:13" x14ac:dyDescent="0.2">
      <c r="A131" s="499" t="s">
        <v>297</v>
      </c>
      <c r="B131" s="300">
        <f t="shared" si="12"/>
        <v>272287200000</v>
      </c>
      <c r="C131" s="300">
        <f t="shared" si="13"/>
        <v>272114400000</v>
      </c>
      <c r="D131" s="300">
        <f t="shared" si="14"/>
        <v>278702933333.33331</v>
      </c>
      <c r="F131" s="16">
        <v>1078.75</v>
      </c>
      <c r="G131" s="16">
        <v>1059</v>
      </c>
      <c r="H131" s="16">
        <v>993.68499999999995</v>
      </c>
      <c r="I131" s="16">
        <v>1021.077</v>
      </c>
      <c r="J131" s="16">
        <v>1020.429</v>
      </c>
      <c r="K131" s="16">
        <v>1045.136</v>
      </c>
      <c r="M131" s="273">
        <v>3.75</v>
      </c>
    </row>
    <row r="132" spans="1:13" x14ac:dyDescent="0.2">
      <c r="A132" s="499" t="s">
        <v>299</v>
      </c>
      <c r="B132" s="300">
        <f t="shared" si="12"/>
        <v>38924033271.260048</v>
      </c>
      <c r="C132" s="300">
        <f t="shared" si="13"/>
        <v>56368288019.86338</v>
      </c>
      <c r="D132" s="300">
        <f t="shared" si="14"/>
        <v>77835415518.311523</v>
      </c>
      <c r="F132" s="16">
        <v>229.34399999999999</v>
      </c>
      <c r="G132" s="16">
        <v>378.827</v>
      </c>
      <c r="H132" s="16">
        <v>612.73599999999999</v>
      </c>
      <c r="I132" s="16">
        <v>1781.4380000000001</v>
      </c>
      <c r="J132" s="16">
        <v>2579.81</v>
      </c>
      <c r="K132" s="16">
        <v>3562.297</v>
      </c>
      <c r="M132" s="273">
        <v>45.767045454545503</v>
      </c>
    </row>
    <row r="133" spans="1:13" x14ac:dyDescent="0.2">
      <c r="A133" s="499" t="s">
        <v>163</v>
      </c>
      <c r="B133" s="300">
        <f t="shared" si="12"/>
        <v>6481874074.005661</v>
      </c>
      <c r="C133" s="300">
        <f t="shared" si="13"/>
        <v>6732422209.0711269</v>
      </c>
      <c r="D133" s="300">
        <f t="shared" si="14"/>
        <v>7849264861.5365868</v>
      </c>
      <c r="F133" s="16">
        <v>2895.7370000000001</v>
      </c>
      <c r="G133" s="16">
        <v>3317.4319999999998</v>
      </c>
      <c r="H133" s="16">
        <v>3881.0949999999998</v>
      </c>
      <c r="I133" s="16">
        <v>3730.8760000000002</v>
      </c>
      <c r="J133" s="16">
        <v>3875.0880000000002</v>
      </c>
      <c r="K133" s="16">
        <v>4517.9269999999997</v>
      </c>
      <c r="M133" s="273">
        <v>575.58600451094503</v>
      </c>
    </row>
    <row r="134" spans="1:13" x14ac:dyDescent="0.2">
      <c r="A134" s="499" t="s">
        <v>482</v>
      </c>
      <c r="B134" s="300">
        <f t="shared" si="12"/>
        <v>58141318725.123528</v>
      </c>
      <c r="C134" s="300">
        <f t="shared" si="13"/>
        <v>55646648829.188904</v>
      </c>
      <c r="D134" s="300">
        <f t="shared" si="14"/>
        <v>57887648050.057541</v>
      </c>
      <c r="F134" s="16">
        <v>71.253</v>
      </c>
      <c r="G134" s="16">
        <v>72.391999999999996</v>
      </c>
      <c r="H134" s="16">
        <v>132.48699999999999</v>
      </c>
      <c r="I134" s="16">
        <v>80.22</v>
      </c>
      <c r="J134" s="16">
        <v>76.778000000000006</v>
      </c>
      <c r="K134" s="16">
        <v>79.87</v>
      </c>
      <c r="M134" s="273">
        <v>1.37974166666667</v>
      </c>
    </row>
    <row r="135" spans="1:13" x14ac:dyDescent="0.2">
      <c r="A135" s="499" t="s">
        <v>484</v>
      </c>
      <c r="B135" s="300">
        <f t="shared" si="12"/>
        <v>612778153.8990736</v>
      </c>
      <c r="C135" s="300">
        <f t="shared" si="13"/>
        <v>651860567.44995832</v>
      </c>
      <c r="D135" s="300">
        <f t="shared" si="14"/>
        <v>695569559.55203807</v>
      </c>
      <c r="F135" s="16">
        <v>4.96</v>
      </c>
      <c r="G135" s="16">
        <v>4.42</v>
      </c>
      <c r="H135" s="16">
        <v>4.6589999999999998</v>
      </c>
      <c r="I135" s="16">
        <v>5.0330000000000004</v>
      </c>
      <c r="J135" s="16">
        <v>5.3540000000000001</v>
      </c>
      <c r="K135" s="16">
        <v>5.7130000000000001</v>
      </c>
      <c r="M135" s="273">
        <v>8.2134129096726092</v>
      </c>
    </row>
    <row r="136" spans="1:13" x14ac:dyDescent="0.2">
      <c r="A136" s="499" t="s">
        <v>165</v>
      </c>
      <c r="B136" s="300">
        <f t="shared" si="12"/>
        <v>1059524780.8823353</v>
      </c>
      <c r="C136" s="300">
        <f t="shared" si="13"/>
        <v>1164012537.9867136</v>
      </c>
      <c r="D136" s="300">
        <f t="shared" si="14"/>
        <v>1290922028.7730095</v>
      </c>
      <c r="F136" s="16">
        <v>6919.9610000000002</v>
      </c>
      <c r="G136" s="16">
        <v>7707.6319999999996</v>
      </c>
      <c r="H136" s="16">
        <v>10851.587</v>
      </c>
      <c r="I136" s="16">
        <v>10415.050999999999</v>
      </c>
      <c r="J136" s="16">
        <v>11442.157999999999</v>
      </c>
      <c r="K136" s="16">
        <v>12689.669</v>
      </c>
      <c r="M136" s="273">
        <v>9829.9267633237505</v>
      </c>
    </row>
    <row r="137" spans="1:13" x14ac:dyDescent="0.2">
      <c r="A137" s="499" t="s">
        <v>249</v>
      </c>
      <c r="B137" s="300">
        <f t="shared" si="12"/>
        <v>7738000000</v>
      </c>
      <c r="C137" s="300">
        <f t="shared" si="13"/>
        <v>7984000000</v>
      </c>
      <c r="D137" s="300">
        <f t="shared" si="14"/>
        <v>8369999999.999999</v>
      </c>
      <c r="F137" s="16">
        <v>6.58</v>
      </c>
      <c r="G137" s="16">
        <v>6.819</v>
      </c>
      <c r="H137" s="16">
        <v>8.3219999999999992</v>
      </c>
      <c r="I137" s="16">
        <v>7.7380000000000004</v>
      </c>
      <c r="J137" s="16">
        <v>7.984</v>
      </c>
      <c r="K137" s="16">
        <v>8.3699999999999992</v>
      </c>
      <c r="M137" s="273">
        <v>1</v>
      </c>
    </row>
    <row r="138" spans="1:13" x14ac:dyDescent="0.2">
      <c r="A138" s="499" t="s">
        <v>397</v>
      </c>
      <c r="B138" s="300">
        <f t="shared" si="12"/>
        <v>396592401.84958208</v>
      </c>
      <c r="C138" s="300">
        <f t="shared" si="13"/>
        <v>407988735.23606431</v>
      </c>
      <c r="D138" s="300">
        <f t="shared" si="14"/>
        <v>407988735.23606431</v>
      </c>
      <c r="F138" s="16">
        <v>0.34399999999999997</v>
      </c>
      <c r="G138" s="16">
        <v>0.34499999999999997</v>
      </c>
      <c r="H138" s="16">
        <v>0.308</v>
      </c>
      <c r="I138" s="16">
        <v>0.34799999999999998</v>
      </c>
      <c r="J138" s="16">
        <v>0.35799999999999998</v>
      </c>
      <c r="K138" s="16">
        <v>0.35799999999999998</v>
      </c>
      <c r="M138" s="273">
        <v>0.87747520723301198</v>
      </c>
    </row>
    <row r="139" spans="1:13" x14ac:dyDescent="0.2">
      <c r="A139" s="499" t="s">
        <v>399</v>
      </c>
      <c r="B139" s="300">
        <f t="shared" si="12"/>
        <v>24418869922.642784</v>
      </c>
      <c r="C139" s="300">
        <f t="shared" si="13"/>
        <v>25731429824.642807</v>
      </c>
      <c r="D139" s="300">
        <f t="shared" si="14"/>
        <v>27381900619.527447</v>
      </c>
      <c r="F139" s="16">
        <v>2064.0929999999998</v>
      </c>
      <c r="G139" s="16">
        <v>2278.7750000000001</v>
      </c>
      <c r="H139" s="16">
        <v>2522.067</v>
      </c>
      <c r="I139" s="16">
        <v>2519.1309999999999</v>
      </c>
      <c r="J139" s="16">
        <v>2654.5390000000002</v>
      </c>
      <c r="K139" s="16">
        <v>2824.8069999999998</v>
      </c>
      <c r="M139" s="273">
        <v>103.16329166666701</v>
      </c>
    </row>
    <row r="140" spans="1:13" x14ac:dyDescent="0.2">
      <c r="A140" s="499" t="s">
        <v>167</v>
      </c>
      <c r="B140" s="300">
        <f t="shared" si="12"/>
        <v>1992504179.8743622</v>
      </c>
      <c r="C140" s="300">
        <f t="shared" si="13"/>
        <v>2350082015.2004972</v>
      </c>
      <c r="D140" s="300">
        <f t="shared" si="14"/>
        <v>2989566400.6666636</v>
      </c>
      <c r="F140" s="16">
        <v>214.755</v>
      </c>
      <c r="G140" s="16">
        <v>301.19400000000002</v>
      </c>
      <c r="H140" s="16">
        <v>248.428</v>
      </c>
      <c r="I140" s="16">
        <v>314.81400000000002</v>
      </c>
      <c r="J140" s="16">
        <v>371.31099999999998</v>
      </c>
      <c r="K140" s="16">
        <v>472.34899999999999</v>
      </c>
      <c r="M140" s="273">
        <v>157.99916666666701</v>
      </c>
    </row>
    <row r="141" spans="1:13" x14ac:dyDescent="0.2">
      <c r="A141" s="499" t="s">
        <v>169</v>
      </c>
      <c r="B141" s="300">
        <f t="shared" si="12"/>
        <v>113777901.55724858</v>
      </c>
      <c r="C141" s="300">
        <f t="shared" si="13"/>
        <v>112955410.70261787</v>
      </c>
      <c r="D141" s="300">
        <f t="shared" si="14"/>
        <v>121363094.99439849</v>
      </c>
      <c r="F141" s="16">
        <v>2.2429999999999999</v>
      </c>
      <c r="G141" s="16">
        <v>2.2429999999999999</v>
      </c>
      <c r="H141" s="16">
        <v>2.5990000000000002</v>
      </c>
      <c r="I141" s="16">
        <v>2.4900000000000002</v>
      </c>
      <c r="J141" s="16">
        <v>2.472</v>
      </c>
      <c r="K141" s="16">
        <v>2.6560000000000001</v>
      </c>
      <c r="M141" s="273">
        <v>21.8847418164689</v>
      </c>
    </row>
    <row r="142" spans="1:13" x14ac:dyDescent="0.2">
      <c r="A142" s="499" t="s">
        <v>251</v>
      </c>
      <c r="B142" s="300">
        <f t="shared" si="12"/>
        <v>2481968653.874321</v>
      </c>
      <c r="C142" s="300">
        <f t="shared" si="13"/>
        <v>2951486743.8113356</v>
      </c>
      <c r="D142" s="300">
        <f t="shared" si="14"/>
        <v>3410263170.7436137</v>
      </c>
      <c r="F142" s="16">
        <v>7.9909999999999997</v>
      </c>
      <c r="G142" s="16">
        <v>9.9130000000000003</v>
      </c>
      <c r="H142" s="16">
        <v>14.45</v>
      </c>
      <c r="I142" s="16">
        <v>23.106000000000002</v>
      </c>
      <c r="J142" s="16">
        <v>27.477</v>
      </c>
      <c r="K142" s="16">
        <v>31.748000000000001</v>
      </c>
      <c r="M142" s="273">
        <v>9.3095454545454608</v>
      </c>
    </row>
    <row r="143" spans="1:13" x14ac:dyDescent="0.2">
      <c r="A143" s="499" t="s">
        <v>405</v>
      </c>
      <c r="B143" s="300">
        <f t="shared" si="12"/>
        <v>273019720862.84482</v>
      </c>
      <c r="C143" s="300">
        <f t="shared" si="13"/>
        <v>278071668615.78333</v>
      </c>
      <c r="D143" s="300">
        <f t="shared" si="14"/>
        <v>273424376123.43372</v>
      </c>
      <c r="F143" s="16">
        <v>2356.8209999999999</v>
      </c>
      <c r="G143" s="16">
        <v>2427.5790000000002</v>
      </c>
      <c r="H143" s="16">
        <v>2593.89</v>
      </c>
      <c r="I143" s="16">
        <v>2514.596</v>
      </c>
      <c r="J143" s="16">
        <v>2561.1260000000002</v>
      </c>
      <c r="K143" s="16">
        <v>2518.3229999999999</v>
      </c>
      <c r="M143" s="273">
        <v>9.2103090284208502</v>
      </c>
    </row>
    <row r="144" spans="1:13" x14ac:dyDescent="0.2">
      <c r="A144" s="499" t="s">
        <v>171</v>
      </c>
      <c r="B144" s="300">
        <f t="shared" si="12"/>
        <v>1443996996.4228284</v>
      </c>
      <c r="C144" s="300">
        <f t="shared" si="13"/>
        <v>1440718358.8326659</v>
      </c>
      <c r="D144" s="300">
        <f t="shared" si="14"/>
        <v>1425357334.5676458</v>
      </c>
      <c r="F144" s="16">
        <v>21.952999999999999</v>
      </c>
      <c r="G144" s="16">
        <v>22.481000000000002</v>
      </c>
      <c r="H144" s="16">
        <v>24.562000000000001</v>
      </c>
      <c r="I144" s="16">
        <v>23.783000000000001</v>
      </c>
      <c r="J144" s="16">
        <v>23.728999999999999</v>
      </c>
      <c r="K144" s="16">
        <v>23.475999999999999</v>
      </c>
      <c r="M144" s="273">
        <v>16.470255865432499</v>
      </c>
    </row>
    <row r="145" spans="1:13" x14ac:dyDescent="0.2">
      <c r="A145" s="499" t="s">
        <v>173</v>
      </c>
      <c r="B145" s="300">
        <f t="shared" si="12"/>
        <v>552719872.47815728</v>
      </c>
      <c r="C145" s="300">
        <f t="shared" si="13"/>
        <v>541366891.63234949</v>
      </c>
      <c r="D145" s="300">
        <f t="shared" si="14"/>
        <v>542275130.10001409</v>
      </c>
      <c r="F145" s="16">
        <v>8.2319999999999993</v>
      </c>
      <c r="G145" s="16">
        <v>8.23</v>
      </c>
      <c r="H145" s="16">
        <v>10.493</v>
      </c>
      <c r="I145" s="16">
        <v>9.7370000000000001</v>
      </c>
      <c r="J145" s="16">
        <v>9.5370000000000008</v>
      </c>
      <c r="K145" s="16">
        <v>9.5530000000000008</v>
      </c>
      <c r="M145" s="273">
        <v>17.616518755411299</v>
      </c>
    </row>
    <row r="146" spans="1:13" x14ac:dyDescent="0.2">
      <c r="A146" s="499" t="s">
        <v>175</v>
      </c>
      <c r="B146" s="300">
        <f t="shared" si="12"/>
        <v>2040162531.3974609</v>
      </c>
      <c r="C146" s="300">
        <f t="shared" si="13"/>
        <v>2101777997.5867984</v>
      </c>
      <c r="D146" s="300">
        <f t="shared" si="14"/>
        <v>2196901922.7185793</v>
      </c>
      <c r="F146" s="16">
        <v>817.97699999999998</v>
      </c>
      <c r="G146" s="16">
        <v>923.86900000000003</v>
      </c>
      <c r="H146" s="16">
        <v>1187.4749999999999</v>
      </c>
      <c r="I146" s="16">
        <v>1174.289</v>
      </c>
      <c r="J146" s="16">
        <v>1209.7539999999999</v>
      </c>
      <c r="K146" s="16">
        <v>1264.5060000000001</v>
      </c>
      <c r="M146" s="273">
        <v>575.58600451094503</v>
      </c>
    </row>
    <row r="147" spans="1:13" x14ac:dyDescent="0.2">
      <c r="A147" s="499" t="s">
        <v>177</v>
      </c>
      <c r="B147" s="300">
        <f t="shared" si="12"/>
        <v>1699577460.7674603</v>
      </c>
      <c r="C147" s="300">
        <f t="shared" si="13"/>
        <v>1805829175.5775921</v>
      </c>
      <c r="D147" s="300">
        <f t="shared" si="14"/>
        <v>1891585256.5336246</v>
      </c>
      <c r="F147" s="16">
        <v>733.85500000000002</v>
      </c>
      <c r="G147" s="16">
        <v>678.66099999999994</v>
      </c>
      <c r="H147" s="16">
        <v>1005.31</v>
      </c>
      <c r="I147" s="16">
        <v>978.25300000000004</v>
      </c>
      <c r="J147" s="16">
        <v>1039.4100000000001</v>
      </c>
      <c r="K147" s="16">
        <v>1088.77</v>
      </c>
      <c r="M147" s="273">
        <v>575.58600451094503</v>
      </c>
    </row>
    <row r="148" spans="1:13" x14ac:dyDescent="0.2">
      <c r="A148" s="499" t="s">
        <v>437</v>
      </c>
      <c r="B148" s="300">
        <f t="shared" si="12"/>
        <v>133694851720.08646</v>
      </c>
      <c r="C148" s="300">
        <f t="shared" si="13"/>
        <v>123505252121.83005</v>
      </c>
      <c r="D148" s="300">
        <f t="shared" si="14"/>
        <v>129517234119.56319</v>
      </c>
      <c r="F148" s="16">
        <v>3452.2089999999998</v>
      </c>
      <c r="G148" s="16">
        <v>3668.002</v>
      </c>
      <c r="H148" s="16">
        <v>4158.42</v>
      </c>
      <c r="I148" s="16">
        <v>4183.8029999999999</v>
      </c>
      <c r="J148" s="16">
        <v>3864.933</v>
      </c>
      <c r="K148" s="16">
        <v>4053.07</v>
      </c>
      <c r="M148" s="273">
        <v>31.293673213083199</v>
      </c>
    </row>
    <row r="149" spans="1:13" x14ac:dyDescent="0.2">
      <c r="A149" s="499" t="s">
        <v>407</v>
      </c>
      <c r="B149" s="300">
        <f t="shared" si="12"/>
        <v>2854349780.1763477</v>
      </c>
      <c r="C149" s="300">
        <f t="shared" si="13"/>
        <v>3152239682.9782686</v>
      </c>
      <c r="D149" s="300">
        <f t="shared" si="14"/>
        <v>3481398057.4374537</v>
      </c>
      <c r="F149" s="16">
        <v>21.94</v>
      </c>
      <c r="G149" s="16">
        <v>22.803999999999998</v>
      </c>
      <c r="H149" s="16">
        <v>24.74</v>
      </c>
      <c r="I149" s="16">
        <v>27.202999999999999</v>
      </c>
      <c r="J149" s="16">
        <v>30.042000000000002</v>
      </c>
      <c r="K149" s="16">
        <v>33.179000000000002</v>
      </c>
      <c r="M149" s="273">
        <v>9.5303666666666693</v>
      </c>
    </row>
    <row r="150" spans="1:13" x14ac:dyDescent="0.2">
      <c r="A150" s="499" t="s">
        <v>439</v>
      </c>
      <c r="B150" s="300">
        <f t="shared" si="12"/>
        <v>1483000000</v>
      </c>
      <c r="C150" s="300">
        <f t="shared" si="13"/>
        <v>1925000000</v>
      </c>
      <c r="D150" s="300">
        <f t="shared" si="14"/>
        <v>1858000000</v>
      </c>
      <c r="F150" s="16">
        <v>1.353</v>
      </c>
      <c r="G150" s="16">
        <v>1.4330000000000001</v>
      </c>
      <c r="H150" s="16">
        <v>1.23</v>
      </c>
      <c r="I150" s="16">
        <v>1.4830000000000001</v>
      </c>
      <c r="J150" s="16">
        <v>1.925</v>
      </c>
      <c r="K150" s="16">
        <v>1.8580000000000001</v>
      </c>
      <c r="M150" s="273">
        <v>1</v>
      </c>
    </row>
    <row r="151" spans="1:13" x14ac:dyDescent="0.2">
      <c r="A151" s="499" t="s">
        <v>486</v>
      </c>
      <c r="B151" s="300">
        <f t="shared" si="12"/>
        <v>231929824.30919063</v>
      </c>
      <c r="C151" s="300">
        <f t="shared" si="13"/>
        <v>212711533.78262872</v>
      </c>
      <c r="D151" s="300">
        <f t="shared" si="14"/>
        <v>230182706.98859411</v>
      </c>
      <c r="F151" s="16">
        <v>0.42599999999999999</v>
      </c>
      <c r="G151" s="16">
        <v>0.44800000000000001</v>
      </c>
      <c r="H151" s="16">
        <v>0.46300000000000002</v>
      </c>
      <c r="I151" s="16">
        <v>0.53100000000000003</v>
      </c>
      <c r="J151" s="16">
        <v>0.48699999999999999</v>
      </c>
      <c r="K151" s="16">
        <v>0.52700000000000002</v>
      </c>
      <c r="M151" s="273">
        <v>2.28948563032632</v>
      </c>
    </row>
    <row r="152" spans="1:13" x14ac:dyDescent="0.2">
      <c r="A152" s="499" t="s">
        <v>253</v>
      </c>
      <c r="B152" s="300">
        <f t="shared" si="12"/>
        <v>7622959319.843771</v>
      </c>
      <c r="C152" s="300">
        <f t="shared" si="13"/>
        <v>7894620656.9712887</v>
      </c>
      <c r="D152" s="300">
        <f t="shared" si="14"/>
        <v>8112364476.8063231</v>
      </c>
      <c r="F152" s="16">
        <v>48.834000000000003</v>
      </c>
      <c r="G152" s="16">
        <v>48.616999999999997</v>
      </c>
      <c r="H152" s="16">
        <v>52.628999999999998</v>
      </c>
      <c r="I152" s="16">
        <v>51.463000000000001</v>
      </c>
      <c r="J152" s="16">
        <v>53.296999999999997</v>
      </c>
      <c r="K152" s="16">
        <v>54.767000000000003</v>
      </c>
      <c r="M152" s="273">
        <v>6.7510526871150498</v>
      </c>
    </row>
    <row r="153" spans="1:13" x14ac:dyDescent="0.2">
      <c r="A153" s="499" t="s">
        <v>305</v>
      </c>
      <c r="B153" s="300">
        <f t="shared" si="12"/>
        <v>13086001840.219023</v>
      </c>
      <c r="C153" s="300">
        <f t="shared" si="13"/>
        <v>13846966478.479675</v>
      </c>
      <c r="D153" s="300">
        <f t="shared" si="14"/>
        <v>14497517976.213482</v>
      </c>
      <c r="F153" s="16">
        <v>32.409999999999997</v>
      </c>
      <c r="G153" s="16">
        <v>36.314999999999998</v>
      </c>
      <c r="H153" s="16">
        <v>36.774000000000001</v>
      </c>
      <c r="I153" s="16">
        <v>38.4</v>
      </c>
      <c r="J153" s="16">
        <v>40.633000000000003</v>
      </c>
      <c r="K153" s="16">
        <v>42.542000000000002</v>
      </c>
      <c r="M153" s="273">
        <v>2.9344333333333301</v>
      </c>
    </row>
    <row r="154" spans="1:13" x14ac:dyDescent="0.2">
      <c r="A154" s="499" t="s">
        <v>411</v>
      </c>
      <c r="B154" s="300">
        <f t="shared" si="12"/>
        <v>320964045734.13727</v>
      </c>
      <c r="C154" s="300">
        <f t="shared" si="13"/>
        <v>376144865386.69635</v>
      </c>
      <c r="D154" s="300">
        <f t="shared" si="14"/>
        <v>438125513849.91888</v>
      </c>
      <c r="F154" s="16">
        <v>1300.9490000000001</v>
      </c>
      <c r="G154" s="16">
        <v>1519.6679999999999</v>
      </c>
      <c r="H154" s="16">
        <v>1655.24</v>
      </c>
      <c r="I154" s="16">
        <v>1821.0920000000001</v>
      </c>
      <c r="J154" s="16">
        <v>2134.1779999999999</v>
      </c>
      <c r="K154" s="16">
        <v>2485.8449999999998</v>
      </c>
      <c r="M154" s="273">
        <v>5.67381930843574</v>
      </c>
    </row>
    <row r="155" spans="1:13" x14ac:dyDescent="0.2">
      <c r="A155" s="499" t="s">
        <v>518</v>
      </c>
      <c r="B155" s="300">
        <f t="shared" si="12"/>
        <v>120737647148.30183</v>
      </c>
      <c r="C155" s="300">
        <f t="shared" si="13"/>
        <v>118904751844.3714</v>
      </c>
      <c r="D155" s="300">
        <f t="shared" si="14"/>
        <v>119332798120.55809</v>
      </c>
      <c r="F155" s="16">
        <v>3190.8629999999998</v>
      </c>
      <c r="G155" s="16">
        <v>3267.259</v>
      </c>
      <c r="H155" s="16">
        <v>3671.5160000000001</v>
      </c>
      <c r="I155" s="16">
        <v>3571.8119999999999</v>
      </c>
      <c r="J155" s="16">
        <v>3517.5889999999999</v>
      </c>
      <c r="K155" s="16">
        <v>3530.252</v>
      </c>
      <c r="M155" s="273">
        <v>29.58325</v>
      </c>
    </row>
    <row r="156" spans="1:13" x14ac:dyDescent="0.2">
      <c r="A156" s="499" t="s">
        <v>179</v>
      </c>
      <c r="B156" s="300">
        <f t="shared" si="12"/>
        <v>12465631018.177244</v>
      </c>
      <c r="C156" s="300">
        <f t="shared" si="13"/>
        <v>13843550262.068382</v>
      </c>
      <c r="D156" s="300">
        <f t="shared" si="14"/>
        <v>15407968831.486643</v>
      </c>
      <c r="F156" s="16">
        <v>21424.108</v>
      </c>
      <c r="G156" s="16">
        <v>22920.917000000001</v>
      </c>
      <c r="H156" s="16">
        <v>25219.532999999999</v>
      </c>
      <c r="I156" s="16">
        <v>28523.94</v>
      </c>
      <c r="J156" s="16">
        <v>31676.903999999999</v>
      </c>
      <c r="K156" s="16">
        <v>35256.616999999998</v>
      </c>
      <c r="M156" s="273">
        <v>2288.2066666666701</v>
      </c>
    </row>
    <row r="157" spans="1:13" x14ac:dyDescent="0.2">
      <c r="A157" s="499" t="s">
        <v>181</v>
      </c>
      <c r="B157" s="300">
        <f t="shared" si="12"/>
        <v>8760454901.5147228</v>
      </c>
      <c r="C157" s="300">
        <f t="shared" si="13"/>
        <v>9957843804.8794785</v>
      </c>
      <c r="D157" s="300">
        <f t="shared" si="14"/>
        <v>11092379197.127039</v>
      </c>
      <c r="F157" s="16">
        <v>20163.592000000001</v>
      </c>
      <c r="G157" s="16">
        <v>25765.284</v>
      </c>
      <c r="H157" s="16">
        <v>27897.398000000001</v>
      </c>
      <c r="I157" s="16">
        <v>32573.552</v>
      </c>
      <c r="J157" s="16">
        <v>37025.741999999998</v>
      </c>
      <c r="K157" s="16">
        <v>41244.226999999999</v>
      </c>
      <c r="M157" s="273">
        <v>3718.2489227092401</v>
      </c>
    </row>
    <row r="158" spans="1:13" x14ac:dyDescent="0.2">
      <c r="A158" s="499" t="s">
        <v>413</v>
      </c>
      <c r="B158" s="300">
        <f t="shared" si="12"/>
        <v>71583427786.605637</v>
      </c>
      <c r="C158" s="300">
        <f t="shared" si="13"/>
        <v>75177489267.262268</v>
      </c>
      <c r="D158" s="300">
        <f t="shared" si="14"/>
        <v>79741743693.980728</v>
      </c>
      <c r="F158" s="16">
        <v>1485.4349999999999</v>
      </c>
      <c r="G158" s="16">
        <v>1647.4469999999999</v>
      </c>
      <c r="H158" s="16">
        <v>1815.069</v>
      </c>
      <c r="I158" s="16">
        <v>1929.712</v>
      </c>
      <c r="J158" s="16">
        <v>2026.5989999999999</v>
      </c>
      <c r="K158" s="16">
        <v>2149.64</v>
      </c>
      <c r="M158" s="273">
        <v>26.9575243833333</v>
      </c>
    </row>
    <row r="159" spans="1:13" x14ac:dyDescent="0.2">
      <c r="A159" s="499" t="s">
        <v>255</v>
      </c>
      <c r="B159" s="300">
        <f t="shared" si="12"/>
        <v>19623765891.548195</v>
      </c>
      <c r="C159" s="300">
        <f t="shared" si="13"/>
        <v>21396276376.821205</v>
      </c>
      <c r="D159" s="300">
        <f t="shared" si="14"/>
        <v>22851672932.871422</v>
      </c>
      <c r="F159" s="16">
        <v>608.37699999999995</v>
      </c>
      <c r="G159" s="16">
        <v>670.39</v>
      </c>
      <c r="H159" s="16">
        <v>766.80399999999997</v>
      </c>
      <c r="I159" s="16">
        <v>824.45899999999995</v>
      </c>
      <c r="J159" s="16">
        <v>898.928</v>
      </c>
      <c r="K159" s="16">
        <v>960.07399999999996</v>
      </c>
      <c r="M159" s="273">
        <v>42.013291666666703</v>
      </c>
    </row>
    <row r="160" spans="1:13" x14ac:dyDescent="0.2">
      <c r="A160" s="499" t="s">
        <v>257</v>
      </c>
      <c r="B160" s="300">
        <f t="shared" si="12"/>
        <v>8208519000000</v>
      </c>
      <c r="C160" s="300">
        <f t="shared" si="13"/>
        <v>8387516000000</v>
      </c>
      <c r="D160" s="300">
        <f t="shared" si="14"/>
        <v>8575005999999.999</v>
      </c>
      <c r="F160" s="16">
        <v>7290.45</v>
      </c>
      <c r="G160" s="16">
        <v>7659.277</v>
      </c>
      <c r="H160" s="16">
        <v>9818.5069999999996</v>
      </c>
      <c r="I160" s="16">
        <v>8208.5190000000002</v>
      </c>
      <c r="J160" s="16">
        <v>8387.5159999999996</v>
      </c>
      <c r="K160" s="16">
        <v>8575.0059999999994</v>
      </c>
      <c r="M160" s="273">
        <v>1</v>
      </c>
    </row>
    <row r="161" spans="1:13" x14ac:dyDescent="0.2">
      <c r="A161" s="499" t="s">
        <v>415</v>
      </c>
      <c r="B161" s="300">
        <f t="shared" si="12"/>
        <v>63555993118.161926</v>
      </c>
      <c r="C161" s="300">
        <f t="shared" si="13"/>
        <v>70723739148.802017</v>
      </c>
      <c r="D161" s="300">
        <f t="shared" si="14"/>
        <v>77126824754.801697</v>
      </c>
      <c r="F161" s="16">
        <v>105872.52</v>
      </c>
      <c r="G161" s="16">
        <v>144443.31</v>
      </c>
      <c r="H161" s="16">
        <v>172616.17</v>
      </c>
      <c r="I161" s="16">
        <v>188459.63099999999</v>
      </c>
      <c r="J161" s="16">
        <v>209713.815</v>
      </c>
      <c r="K161" s="16">
        <v>228700.587</v>
      </c>
      <c r="M161" s="273">
        <v>2965.25349937684</v>
      </c>
    </row>
    <row r="162" spans="1:13" x14ac:dyDescent="0.2">
      <c r="A162" s="499" t="s">
        <v>259</v>
      </c>
      <c r="B162" s="300">
        <f t="shared" ref="B162:B196" si="15">IF($M162="","",I162*1000000000/$M162)</f>
        <v>302222222.22222221</v>
      </c>
      <c r="C162" s="300">
        <f t="shared" ref="C162:C196" si="16">IF($M162="","",J162*1000000000/$M162)</f>
        <v>330000000</v>
      </c>
      <c r="D162" s="300">
        <f t="shared" ref="D162:D196" si="17">IF($M162="","",K162*1000000000/$M162)</f>
        <v>320000000</v>
      </c>
      <c r="F162" s="16">
        <v>0.65600000000000003</v>
      </c>
      <c r="G162" s="16">
        <v>0.71499999999999997</v>
      </c>
      <c r="H162" s="16">
        <v>0.753</v>
      </c>
      <c r="I162" s="16">
        <v>0.81599999999999995</v>
      </c>
      <c r="J162" s="16">
        <v>0.89100000000000001</v>
      </c>
      <c r="K162" s="16">
        <v>0.86399999999999999</v>
      </c>
      <c r="M162" s="273">
        <v>2.7</v>
      </c>
    </row>
    <row r="163" spans="1:13" x14ac:dyDescent="0.2">
      <c r="A163" s="499" t="s">
        <v>490</v>
      </c>
      <c r="B163" s="300">
        <f t="shared" si="15"/>
        <v>87046456561.896881</v>
      </c>
      <c r="C163" s="300">
        <f t="shared" si="16"/>
        <v>95079077956.148285</v>
      </c>
      <c r="D163" s="300">
        <f t="shared" si="17"/>
        <v>105370796036.8607</v>
      </c>
      <c r="F163" s="16">
        <v>1435435</v>
      </c>
      <c r="G163" s="16">
        <v>1747987</v>
      </c>
      <c r="H163" s="16">
        <v>1833859.8910000001</v>
      </c>
      <c r="I163" s="16">
        <v>2020206.226</v>
      </c>
      <c r="J163" s="16">
        <v>2206630.2620000001</v>
      </c>
      <c r="K163" s="16">
        <v>2445484.2459999998</v>
      </c>
      <c r="M163" s="273">
        <v>23208.368333333299</v>
      </c>
    </row>
    <row r="164" spans="1:13" x14ac:dyDescent="0.2">
      <c r="A164" s="499" t="s">
        <v>492</v>
      </c>
      <c r="B164" s="300">
        <f t="shared" si="15"/>
        <v>357492428.0391345</v>
      </c>
      <c r="C164" s="300">
        <f t="shared" si="16"/>
        <v>359950319.22079617</v>
      </c>
      <c r="D164" s="300">
        <f t="shared" si="17"/>
        <v>365092715.6646983</v>
      </c>
      <c r="F164" s="16">
        <v>32.116</v>
      </c>
      <c r="G164" s="16">
        <v>40.765999999999998</v>
      </c>
      <c r="H164" s="16">
        <v>54.844999999999999</v>
      </c>
      <c r="I164" s="16">
        <v>41.015999999999998</v>
      </c>
      <c r="J164" s="16">
        <v>41.298000000000002</v>
      </c>
      <c r="K164" s="16">
        <v>41.887999999999998</v>
      </c>
      <c r="M164" s="273">
        <v>114.7325</v>
      </c>
    </row>
    <row r="165" spans="1:13" x14ac:dyDescent="0.2">
      <c r="A165" s="499" t="s">
        <v>494</v>
      </c>
      <c r="B165" s="300">
        <f t="shared" si="15"/>
        <v>291186266.9196732</v>
      </c>
      <c r="C165" s="300">
        <f t="shared" si="16"/>
        <v>309573028.61949795</v>
      </c>
      <c r="D165" s="300">
        <f t="shared" si="17"/>
        <v>337716031.2212705</v>
      </c>
      <c r="F165" s="16">
        <v>0.64400000000000002</v>
      </c>
      <c r="G165" s="16">
        <v>0.69399999999999995</v>
      </c>
      <c r="H165" s="16">
        <v>0.77600000000000002</v>
      </c>
      <c r="I165" s="16">
        <v>0.77600000000000002</v>
      </c>
      <c r="J165" s="16">
        <v>0.82499999999999996</v>
      </c>
      <c r="K165" s="16">
        <v>0.9</v>
      </c>
      <c r="M165" s="273">
        <v>2.6649608451969602</v>
      </c>
    </row>
    <row r="166" spans="1:13" x14ac:dyDescent="0.2">
      <c r="A166" s="499" t="s">
        <v>307</v>
      </c>
      <c r="B166" s="300">
        <f t="shared" si="15"/>
        <v>8120683316.6833162</v>
      </c>
      <c r="C166" s="300">
        <f t="shared" si="16"/>
        <v>8120655344.655345</v>
      </c>
      <c r="D166" s="300">
        <f t="shared" si="17"/>
        <v>11980527472.527473</v>
      </c>
      <c r="F166" s="16">
        <v>1651.6</v>
      </c>
      <c r="G166" s="16">
        <v>1745</v>
      </c>
      <c r="H166" s="16">
        <v>2271</v>
      </c>
      <c r="I166" s="16">
        <v>2032.201</v>
      </c>
      <c r="J166" s="16">
        <v>2032.194</v>
      </c>
      <c r="K166" s="16">
        <v>2998.127</v>
      </c>
      <c r="M166" s="273">
        <v>250.25</v>
      </c>
    </row>
    <row r="167" spans="1:13" x14ac:dyDescent="0.2">
      <c r="A167" s="499" t="s">
        <v>183</v>
      </c>
      <c r="B167" s="300">
        <f t="shared" si="15"/>
        <v>119447075243.50984</v>
      </c>
      <c r="C167" s="300">
        <f t="shared" si="16"/>
        <v>120555154909.29237</v>
      </c>
      <c r="D167" s="300">
        <f t="shared" si="17"/>
        <v>122053292226.91852</v>
      </c>
      <c r="F167" s="16">
        <v>1617.546</v>
      </c>
      <c r="G167" s="16">
        <v>1793.3530000000001</v>
      </c>
      <c r="H167" s="16">
        <v>1985.624</v>
      </c>
      <c r="I167" s="16">
        <v>1965.992</v>
      </c>
      <c r="J167" s="16">
        <v>1984.23</v>
      </c>
      <c r="K167" s="16">
        <v>2008.8879999999999</v>
      </c>
      <c r="M167" s="273">
        <v>16.459105390333299</v>
      </c>
    </row>
    <row r="168" spans="1:13" x14ac:dyDescent="0.2">
      <c r="A168" s="499" t="s">
        <v>185</v>
      </c>
      <c r="B168" s="300">
        <f t="shared" si="15"/>
        <v>5105621837.5457745</v>
      </c>
      <c r="C168" s="300">
        <f t="shared" si="16"/>
        <v>5525811603.7569122</v>
      </c>
      <c r="D168" s="300">
        <f t="shared" si="17"/>
        <v>5877532461.5143423</v>
      </c>
      <c r="F168" s="16">
        <v>77.251000000000005</v>
      </c>
      <c r="G168" s="16">
        <v>86.765000000000001</v>
      </c>
      <c r="H168" s="16">
        <v>81.132999999999996</v>
      </c>
      <c r="I168" s="16">
        <v>93.658000000000001</v>
      </c>
      <c r="J168" s="16">
        <v>101.366</v>
      </c>
      <c r="K168" s="16">
        <v>107.818</v>
      </c>
      <c r="M168" s="273">
        <v>18.344092645337899</v>
      </c>
    </row>
    <row r="169" spans="1:13" x14ac:dyDescent="0.2">
      <c r="A169" s="499" t="s">
        <v>317</v>
      </c>
      <c r="B169" s="300" t="str">
        <f t="shared" si="15"/>
        <v/>
      </c>
      <c r="C169" s="300" t="str">
        <f t="shared" si="16"/>
        <v/>
      </c>
      <c r="D169" s="300" t="str">
        <f t="shared" si="17"/>
        <v/>
      </c>
      <c r="F169" s="16">
        <v>187.648</v>
      </c>
      <c r="G169" s="16">
        <v>192.18199999999999</v>
      </c>
      <c r="H169" s="16">
        <v>220.90199999999999</v>
      </c>
      <c r="I169" s="16">
        <v>209.37100000000001</v>
      </c>
      <c r="J169" s="16">
        <v>213.321</v>
      </c>
      <c r="K169" s="16">
        <v>220.06299999999999</v>
      </c>
    </row>
    <row r="170" spans="1:13" x14ac:dyDescent="0.2">
      <c r="A170" s="499" t="s">
        <v>321</v>
      </c>
      <c r="B170" s="300" t="str">
        <f t="shared" si="15"/>
        <v/>
      </c>
      <c r="C170" s="300" t="str">
        <f t="shared" si="16"/>
        <v/>
      </c>
      <c r="D170" s="300" t="str">
        <f t="shared" si="17"/>
        <v/>
      </c>
      <c r="F170" s="16">
        <v>240.04499999999999</v>
      </c>
      <c r="G170" s="16">
        <v>247.297</v>
      </c>
      <c r="H170" s="16">
        <v>269.911</v>
      </c>
      <c r="I170" s="16">
        <v>264.43700000000001</v>
      </c>
      <c r="J170" s="16">
        <v>270.69</v>
      </c>
      <c r="K170" s="16">
        <v>279.21600000000001</v>
      </c>
    </row>
    <row r="171" spans="1:13" x14ac:dyDescent="0.2">
      <c r="A171" s="499" t="s">
        <v>331</v>
      </c>
      <c r="B171" s="300" t="str">
        <f t="shared" si="15"/>
        <v/>
      </c>
      <c r="C171" s="300" t="str">
        <f t="shared" si="16"/>
        <v/>
      </c>
      <c r="D171" s="300" t="str">
        <f t="shared" si="17"/>
        <v/>
      </c>
      <c r="F171" s="16">
        <v>9.1829999999999998</v>
      </c>
      <c r="G171" s="16">
        <v>8.6669999999999998</v>
      </c>
      <c r="H171" s="16">
        <v>9.7080000000000002</v>
      </c>
      <c r="I171" s="16">
        <v>9.9060000000000006</v>
      </c>
      <c r="J171" s="16">
        <v>10.351000000000001</v>
      </c>
      <c r="K171" s="16">
        <v>10.9</v>
      </c>
    </row>
    <row r="172" spans="1:13" x14ac:dyDescent="0.2">
      <c r="A172" s="499" t="s">
        <v>343</v>
      </c>
      <c r="B172" s="300" t="str">
        <f t="shared" si="15"/>
        <v/>
      </c>
      <c r="C172" s="300" t="str">
        <f t="shared" si="16"/>
        <v/>
      </c>
      <c r="D172" s="300" t="str">
        <f t="shared" si="17"/>
        <v/>
      </c>
      <c r="F172" s="16">
        <v>124.739</v>
      </c>
      <c r="G172" s="16">
        <v>127.974</v>
      </c>
      <c r="H172" s="16">
        <v>140.44</v>
      </c>
      <c r="I172" s="16">
        <v>142.04599999999999</v>
      </c>
      <c r="J172" s="16">
        <v>142.768</v>
      </c>
      <c r="K172" s="16">
        <v>145.82900000000001</v>
      </c>
    </row>
    <row r="173" spans="1:13" x14ac:dyDescent="0.2">
      <c r="A173" s="499" t="s">
        <v>345</v>
      </c>
      <c r="B173" s="300" t="str">
        <f t="shared" si="15"/>
        <v/>
      </c>
      <c r="C173" s="300" t="str">
        <f t="shared" si="16"/>
        <v/>
      </c>
      <c r="D173" s="300" t="str">
        <f t="shared" si="17"/>
        <v/>
      </c>
      <c r="F173" s="16">
        <v>1314.038</v>
      </c>
      <c r="G173" s="16">
        <v>1347.7919999999999</v>
      </c>
      <c r="H173" s="16">
        <v>1408.115</v>
      </c>
      <c r="I173" s="16">
        <v>1402.0809999999999</v>
      </c>
      <c r="J173" s="16">
        <v>1411.6079999999999</v>
      </c>
      <c r="K173" s="16">
        <v>1433.2639999999999</v>
      </c>
    </row>
    <row r="174" spans="1:13" x14ac:dyDescent="0.2">
      <c r="A174" s="499" t="s">
        <v>335</v>
      </c>
      <c r="B174" s="300" t="str">
        <f t="shared" si="15"/>
        <v/>
      </c>
      <c r="C174" s="300" t="str">
        <f t="shared" si="16"/>
        <v/>
      </c>
      <c r="D174" s="300" t="str">
        <f t="shared" si="17"/>
        <v/>
      </c>
      <c r="F174" s="16">
        <v>1492.201</v>
      </c>
      <c r="G174" s="16">
        <v>1558.09</v>
      </c>
      <c r="H174" s="16">
        <v>1782.9960000000001</v>
      </c>
      <c r="I174" s="16">
        <v>1721.4349999999999</v>
      </c>
      <c r="J174" s="16">
        <v>1684.4090000000001</v>
      </c>
      <c r="K174" s="16">
        <v>1738.348</v>
      </c>
    </row>
    <row r="175" spans="1:13" x14ac:dyDescent="0.2">
      <c r="A175" s="499" t="s">
        <v>351</v>
      </c>
      <c r="B175" s="300" t="str">
        <f t="shared" si="15"/>
        <v/>
      </c>
      <c r="C175" s="300" t="str">
        <f t="shared" si="16"/>
        <v/>
      </c>
      <c r="D175" s="300" t="str">
        <f t="shared" si="17"/>
        <v/>
      </c>
      <c r="F175" s="16">
        <v>86.665999999999997</v>
      </c>
      <c r="G175" s="16">
        <v>86.6</v>
      </c>
      <c r="H175" s="16">
        <v>97.424999999999997</v>
      </c>
      <c r="I175" s="16">
        <v>91.350999999999999</v>
      </c>
      <c r="J175" s="16">
        <v>95.147000000000006</v>
      </c>
      <c r="K175" s="16">
        <v>98.923000000000002</v>
      </c>
    </row>
    <row r="176" spans="1:13" x14ac:dyDescent="0.2">
      <c r="A176" s="499" t="s">
        <v>357</v>
      </c>
      <c r="B176" s="300" t="str">
        <f t="shared" si="15"/>
        <v/>
      </c>
      <c r="C176" s="300" t="str">
        <f t="shared" si="16"/>
        <v/>
      </c>
      <c r="D176" s="300" t="str">
        <f t="shared" si="17"/>
        <v/>
      </c>
      <c r="F176" s="16">
        <v>81.941000000000003</v>
      </c>
      <c r="G176" s="16">
        <v>86.114000000000004</v>
      </c>
      <c r="H176" s="16">
        <v>102.477</v>
      </c>
      <c r="I176" s="16">
        <v>97.962999999999994</v>
      </c>
      <c r="J176" s="16">
        <v>96.338999999999999</v>
      </c>
      <c r="K176" s="16">
        <v>99.132000000000005</v>
      </c>
    </row>
    <row r="177" spans="1:13" x14ac:dyDescent="0.2">
      <c r="A177" s="499" t="s">
        <v>363</v>
      </c>
      <c r="B177" s="300" t="str">
        <f t="shared" si="15"/>
        <v/>
      </c>
      <c r="C177" s="300" t="str">
        <f t="shared" si="16"/>
        <v/>
      </c>
      <c r="D177" s="300" t="str">
        <f t="shared" si="17"/>
        <v/>
      </c>
      <c r="F177" s="16">
        <v>857.30700000000002</v>
      </c>
      <c r="G177" s="16">
        <v>870.74199999999996</v>
      </c>
      <c r="H177" s="16">
        <v>965.49400000000003</v>
      </c>
      <c r="I177" s="16">
        <v>923.07899999999995</v>
      </c>
      <c r="J177" s="16">
        <v>915.58</v>
      </c>
      <c r="K177" s="16">
        <v>916.73299999999995</v>
      </c>
    </row>
    <row r="178" spans="1:13" x14ac:dyDescent="0.2">
      <c r="A178" s="499" t="s">
        <v>4450</v>
      </c>
      <c r="B178" s="300" t="str">
        <f t="shared" si="15"/>
        <v/>
      </c>
      <c r="C178" s="300" t="str">
        <f t="shared" si="16"/>
        <v/>
      </c>
      <c r="D178" s="300" t="str">
        <f t="shared" si="17"/>
        <v/>
      </c>
      <c r="F178" s="16">
        <v>1.9670000000000001</v>
      </c>
      <c r="G178" s="16">
        <v>2.1030000000000002</v>
      </c>
      <c r="H178" s="16">
        <v>2.1829999999999998</v>
      </c>
      <c r="I178" s="16">
        <v>2.278</v>
      </c>
      <c r="J178" s="16">
        <v>2.2000000000000002</v>
      </c>
      <c r="K178" s="16">
        <v>2.2890000000000001</v>
      </c>
    </row>
    <row r="179" spans="1:13" x14ac:dyDescent="0.2">
      <c r="A179" s="499" t="s">
        <v>371</v>
      </c>
      <c r="B179" s="300" t="str">
        <f t="shared" si="15"/>
        <v/>
      </c>
      <c r="C179" s="300" t="str">
        <f t="shared" si="16"/>
        <v/>
      </c>
      <c r="D179" s="300" t="str">
        <f t="shared" si="17"/>
        <v/>
      </c>
      <c r="F179" s="16">
        <v>25.396999999999998</v>
      </c>
      <c r="G179" s="16">
        <v>27.079000000000001</v>
      </c>
      <c r="H179" s="16">
        <v>30.919</v>
      </c>
      <c r="I179" s="16">
        <v>30.015999999999998</v>
      </c>
      <c r="J179" s="16">
        <v>31.238</v>
      </c>
      <c r="K179" s="16">
        <v>32.064999999999998</v>
      </c>
    </row>
    <row r="180" spans="1:13" x14ac:dyDescent="0.2">
      <c r="A180" s="499" t="s">
        <v>381</v>
      </c>
      <c r="B180" s="300" t="str">
        <f t="shared" si="15"/>
        <v/>
      </c>
      <c r="C180" s="300" t="str">
        <f t="shared" si="16"/>
        <v/>
      </c>
      <c r="D180" s="300" t="str">
        <f t="shared" si="17"/>
        <v/>
      </c>
      <c r="F180" s="16">
        <v>4.5350000000000001</v>
      </c>
      <c r="G180" s="16">
        <v>4.9740000000000002</v>
      </c>
      <c r="H180" s="16">
        <v>5.851</v>
      </c>
      <c r="I180" s="16">
        <v>5.6120000000000001</v>
      </c>
      <c r="J180" s="16">
        <v>5.782</v>
      </c>
      <c r="K180" s="16">
        <v>6.0190000000000001</v>
      </c>
    </row>
    <row r="181" spans="1:13" x14ac:dyDescent="0.2">
      <c r="A181" s="499" t="s">
        <v>464</v>
      </c>
      <c r="B181" s="300" t="str">
        <f t="shared" si="15"/>
        <v/>
      </c>
      <c r="C181" s="300" t="str">
        <f t="shared" si="16"/>
        <v/>
      </c>
      <c r="D181" s="300" t="str">
        <f t="shared" si="17"/>
        <v/>
      </c>
      <c r="F181" s="16">
        <v>0.13300000000000001</v>
      </c>
      <c r="G181" s="16">
        <v>0.157</v>
      </c>
      <c r="H181" s="16">
        <v>0.17899999999999999</v>
      </c>
      <c r="I181" s="16">
        <v>0.189</v>
      </c>
      <c r="J181" s="16">
        <v>0.18099999999999999</v>
      </c>
      <c r="K181" s="16">
        <v>0.18099999999999999</v>
      </c>
    </row>
    <row r="182" spans="1:13" x14ac:dyDescent="0.2">
      <c r="A182" s="499" t="s">
        <v>385</v>
      </c>
      <c r="B182" s="300" t="str">
        <f t="shared" si="15"/>
        <v/>
      </c>
      <c r="C182" s="300" t="str">
        <f t="shared" si="16"/>
        <v/>
      </c>
      <c r="D182" s="300" t="str">
        <f t="shared" si="17"/>
        <v/>
      </c>
      <c r="F182" s="16">
        <v>319.58100000000002</v>
      </c>
      <c r="G182" s="16">
        <v>342.48599999999999</v>
      </c>
      <c r="H182" s="16">
        <v>376.34300000000002</v>
      </c>
      <c r="I182" s="16">
        <v>376.97</v>
      </c>
      <c r="J182" s="16">
        <v>376.51600000000002</v>
      </c>
      <c r="K182" s="16">
        <v>384.37400000000002</v>
      </c>
    </row>
    <row r="183" spans="1:13" x14ac:dyDescent="0.2">
      <c r="A183" s="499" t="s">
        <v>391</v>
      </c>
      <c r="B183" s="300" t="str">
        <f t="shared" si="15"/>
        <v/>
      </c>
      <c r="C183" s="300" t="str">
        <f t="shared" si="16"/>
        <v/>
      </c>
      <c r="D183" s="300" t="str">
        <f t="shared" si="17"/>
        <v/>
      </c>
      <c r="F183" s="16">
        <v>88.599000000000004</v>
      </c>
      <c r="G183" s="16">
        <v>90.603999999999999</v>
      </c>
      <c r="H183" s="16">
        <v>97.929000000000002</v>
      </c>
      <c r="I183" s="16">
        <v>98.838999999999999</v>
      </c>
      <c r="J183" s="16">
        <v>103.02500000000001</v>
      </c>
      <c r="K183" s="16">
        <v>105.461</v>
      </c>
    </row>
    <row r="184" spans="1:13" x14ac:dyDescent="0.2">
      <c r="A184" s="499" t="s">
        <v>515</v>
      </c>
      <c r="B184" s="300" t="str">
        <f t="shared" si="15"/>
        <v/>
      </c>
      <c r="C184" s="300" t="str">
        <f t="shared" si="16"/>
        <v/>
      </c>
      <c r="D184" s="300" t="str">
        <f t="shared" si="17"/>
        <v/>
      </c>
      <c r="F184" s="16">
        <v>24.533999999999999</v>
      </c>
      <c r="G184" s="16">
        <v>25.152999999999999</v>
      </c>
      <c r="H184" s="16">
        <v>24.460999999999999</v>
      </c>
      <c r="I184" s="16">
        <v>22.251999999999999</v>
      </c>
      <c r="J184" s="16">
        <v>21.55</v>
      </c>
      <c r="K184" s="16">
        <v>21.253</v>
      </c>
    </row>
    <row r="185" spans="1:13" x14ac:dyDescent="0.2">
      <c r="A185" s="499" t="s">
        <v>401</v>
      </c>
      <c r="B185" s="300" t="str">
        <f t="shared" si="15"/>
        <v/>
      </c>
      <c r="C185" s="300" t="str">
        <f t="shared" si="16"/>
        <v/>
      </c>
      <c r="D185" s="300" t="str">
        <f t="shared" si="17"/>
        <v/>
      </c>
      <c r="F185" s="16">
        <v>37.500999999999998</v>
      </c>
      <c r="G185" s="16">
        <v>40.304000000000002</v>
      </c>
      <c r="H185" s="16">
        <v>45.591999999999999</v>
      </c>
      <c r="I185" s="16">
        <v>45.27</v>
      </c>
      <c r="J185" s="16">
        <v>48.072000000000003</v>
      </c>
      <c r="K185" s="16">
        <v>50.512</v>
      </c>
    </row>
    <row r="186" spans="1:13" x14ac:dyDescent="0.2">
      <c r="A186" s="499" t="s">
        <v>403</v>
      </c>
      <c r="B186" s="300" t="str">
        <f t="shared" si="15"/>
        <v/>
      </c>
      <c r="C186" s="300" t="str">
        <f t="shared" si="16"/>
        <v/>
      </c>
      <c r="D186" s="300" t="str">
        <f t="shared" si="17"/>
        <v/>
      </c>
      <c r="F186" s="16">
        <v>19.933</v>
      </c>
      <c r="G186" s="16">
        <v>20.966999999999999</v>
      </c>
      <c r="H186" s="16">
        <v>21.969000000000001</v>
      </c>
      <c r="I186" s="16">
        <v>22.145</v>
      </c>
      <c r="J186" s="16">
        <v>22.449000000000002</v>
      </c>
      <c r="K186" s="16">
        <v>23.353999999999999</v>
      </c>
    </row>
    <row r="187" spans="1:13" x14ac:dyDescent="0.2">
      <c r="A187" s="499" t="s">
        <v>339</v>
      </c>
      <c r="B187" s="300" t="str">
        <f t="shared" si="15"/>
        <v/>
      </c>
      <c r="C187" s="300" t="str">
        <f t="shared" si="16"/>
        <v/>
      </c>
      <c r="D187" s="300" t="str">
        <f t="shared" si="17"/>
        <v/>
      </c>
      <c r="F187" s="16">
        <v>501.49700000000001</v>
      </c>
      <c r="G187" s="16">
        <v>521.94899999999996</v>
      </c>
      <c r="H187" s="16">
        <v>575.375</v>
      </c>
      <c r="I187" s="16">
        <v>566.77800000000002</v>
      </c>
      <c r="J187" s="16">
        <v>578.52800000000002</v>
      </c>
      <c r="K187" s="16">
        <v>591.04899999999998</v>
      </c>
    </row>
    <row r="188" spans="1:13" x14ac:dyDescent="0.2">
      <c r="A188" s="499" t="s">
        <v>409</v>
      </c>
      <c r="B188" s="300" t="str">
        <f t="shared" si="15"/>
        <v/>
      </c>
      <c r="C188" s="300" t="str">
        <f t="shared" si="16"/>
        <v/>
      </c>
      <c r="D188" s="300" t="str">
        <f t="shared" si="17"/>
        <v/>
      </c>
      <c r="F188" s="16">
        <v>19.596</v>
      </c>
      <c r="G188" s="16">
        <v>21.47</v>
      </c>
      <c r="H188" s="16">
        <v>23.135999999999999</v>
      </c>
      <c r="I188" s="16">
        <v>24.564</v>
      </c>
      <c r="J188" s="16">
        <v>26.518999999999998</v>
      </c>
      <c r="K188" s="16">
        <v>27.722999999999999</v>
      </c>
    </row>
    <row r="189" spans="1:13" x14ac:dyDescent="0.2">
      <c r="A189" s="499" t="s">
        <v>488</v>
      </c>
      <c r="B189" s="300" t="str">
        <f t="shared" si="15"/>
        <v/>
      </c>
      <c r="C189" s="300" t="str">
        <f t="shared" si="16"/>
        <v/>
      </c>
      <c r="D189" s="300" t="str">
        <f t="shared" si="17"/>
        <v/>
      </c>
      <c r="F189" s="16">
        <v>7.5999999999999998E-2</v>
      </c>
      <c r="G189" s="16">
        <v>8.5999999999999993E-2</v>
      </c>
      <c r="H189" s="16">
        <v>8.7999999999999995E-2</v>
      </c>
      <c r="I189" s="16">
        <v>8.1000000000000003E-2</v>
      </c>
      <c r="J189" s="16">
        <v>0.08</v>
      </c>
      <c r="K189" s="16">
        <v>8.1000000000000003E-2</v>
      </c>
    </row>
    <row r="190" spans="1:13" x14ac:dyDescent="0.2">
      <c r="A190" s="499" t="s">
        <v>4451</v>
      </c>
      <c r="B190" s="300" t="str">
        <f t="shared" si="15"/>
        <v/>
      </c>
      <c r="C190" s="300" t="str">
        <f t="shared" si="16"/>
        <v/>
      </c>
      <c r="D190" s="300" t="str">
        <f t="shared" si="17"/>
        <v/>
      </c>
      <c r="F190" s="16">
        <v>15.83</v>
      </c>
      <c r="G190" s="16">
        <v>16.536999999999999</v>
      </c>
      <c r="H190" s="16">
        <v>17.236000000000001</v>
      </c>
      <c r="I190" s="16">
        <v>17.77</v>
      </c>
      <c r="J190" s="16">
        <v>18.858000000000001</v>
      </c>
      <c r="K190" s="16">
        <v>19.818000000000001</v>
      </c>
    </row>
    <row r="191" spans="1:13" x14ac:dyDescent="0.2">
      <c r="A191" s="499" t="s">
        <v>187</v>
      </c>
      <c r="B191" s="300" t="str">
        <f t="shared" si="15"/>
        <v/>
      </c>
      <c r="C191" s="300" t="str">
        <f t="shared" si="16"/>
        <v/>
      </c>
      <c r="D191" s="300" t="str">
        <f t="shared" si="17"/>
        <v/>
      </c>
      <c r="F191" s="16">
        <v>7.4969999999999999</v>
      </c>
      <c r="G191" s="16">
        <v>26.047000000000001</v>
      </c>
      <c r="H191" s="16">
        <v>126.05500000000001</v>
      </c>
      <c r="I191" s="16">
        <v>135.84899999999999</v>
      </c>
      <c r="J191" s="16">
        <v>138.65899999999999</v>
      </c>
      <c r="K191" s="16">
        <v>145.399</v>
      </c>
    </row>
    <row r="192" spans="1:13" x14ac:dyDescent="0.2">
      <c r="A192" s="499" t="s">
        <v>189</v>
      </c>
      <c r="B192" s="300">
        <f t="shared" si="15"/>
        <v>0</v>
      </c>
      <c r="C192" s="300">
        <f t="shared" si="16"/>
        <v>0</v>
      </c>
      <c r="D192" s="300">
        <f t="shared" si="17"/>
        <v>0</v>
      </c>
      <c r="F192" s="16">
        <v>5742.9870000000001</v>
      </c>
      <c r="G192" s="16">
        <v>8220.0319999999992</v>
      </c>
      <c r="H192" s="16">
        <v>11986.088</v>
      </c>
      <c r="M192" s="273">
        <v>70.539166666666702</v>
      </c>
    </row>
    <row r="193" spans="1:13" x14ac:dyDescent="0.2">
      <c r="A193" s="499" t="s">
        <v>283</v>
      </c>
      <c r="B193" s="300">
        <f t="shared" si="15"/>
        <v>0</v>
      </c>
      <c r="C193" s="300">
        <f t="shared" si="16"/>
        <v>0</v>
      </c>
      <c r="D193" s="300">
        <f t="shared" si="17"/>
        <v>0</v>
      </c>
      <c r="F193" s="16">
        <v>26753.600999999999</v>
      </c>
      <c r="G193" s="16">
        <v>24986.02</v>
      </c>
      <c r="H193" s="16">
        <v>26726.703000000001</v>
      </c>
      <c r="M193" s="273">
        <v>1507.5</v>
      </c>
    </row>
    <row r="194" spans="1:13" x14ac:dyDescent="0.2">
      <c r="A194" s="499" t="s">
        <v>301</v>
      </c>
      <c r="B194" s="300">
        <f t="shared" si="15"/>
        <v>0</v>
      </c>
      <c r="C194" s="300">
        <f t="shared" si="16"/>
        <v>0</v>
      </c>
      <c r="D194" s="300">
        <f t="shared" si="17"/>
        <v>0</v>
      </c>
      <c r="M194" s="273">
        <v>23097.9873219373</v>
      </c>
    </row>
    <row r="195" spans="1:13" x14ac:dyDescent="0.2">
      <c r="A195" s="499" t="s">
        <v>303</v>
      </c>
      <c r="B195" s="300">
        <f t="shared" si="15"/>
        <v>0</v>
      </c>
      <c r="C195" s="300">
        <f t="shared" si="16"/>
        <v>0</v>
      </c>
      <c r="D195" s="300">
        <f t="shared" si="17"/>
        <v>0</v>
      </c>
      <c r="M195" s="273">
        <v>492.61083333333301</v>
      </c>
    </row>
    <row r="196" spans="1:13" x14ac:dyDescent="0.2">
      <c r="A196" s="499" t="s">
        <v>261</v>
      </c>
      <c r="B196" s="300">
        <f t="shared" si="15"/>
        <v>0</v>
      </c>
      <c r="C196" s="300">
        <f t="shared" si="16"/>
        <v>0</v>
      </c>
      <c r="D196" s="300">
        <f t="shared" si="17"/>
        <v>0</v>
      </c>
      <c r="F196" s="16">
        <v>511.92500000000001</v>
      </c>
      <c r="G196" s="16">
        <v>29364.241000000002</v>
      </c>
      <c r="M196" s="273">
        <v>9.9749999999999996</v>
      </c>
    </row>
  </sheetData>
  <sortState xmlns:xlrd2="http://schemas.microsoft.com/office/spreadsheetml/2017/richdata2" ref="A2:M168">
    <sortCondition ref="A2:A168"/>
  </sortState>
  <pageMargins left="0.7" right="0.7" top="0.75" bottom="0.75" header="0.3" footer="0.3"/>
  <pageSetup paperSize="9" orientation="portrait" horizontalDpi="0" verticalDpi="0" r:id="rId1"/>
  <tableParts count="1">
    <tablePart r:id="rId2"/>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8AF60-9C80-4397-9882-2BDDDD3DD474}">
  <sheetPr>
    <tabColor rgb="FF7030A0"/>
  </sheetPr>
  <dimension ref="A1:T193"/>
  <sheetViews>
    <sheetView workbookViewId="0"/>
  </sheetViews>
  <sheetFormatPr defaultColWidth="10.28515625" defaultRowHeight="12.75" x14ac:dyDescent="0.2"/>
  <cols>
    <col min="1" max="1" width="7.42578125" style="499" customWidth="1"/>
    <col min="2" max="2" width="24.5703125" style="499" customWidth="1"/>
    <col min="3" max="11" width="10.7109375" style="499" customWidth="1"/>
    <col min="12" max="12" width="16.28515625" style="499" customWidth="1"/>
    <col min="13" max="13" width="18.28515625" style="499" customWidth="1"/>
    <col min="14" max="14" width="17.85546875" style="499" customWidth="1"/>
    <col min="15" max="20" width="18.28515625" style="499" customWidth="1"/>
    <col min="21" max="16384" width="10.28515625" style="499"/>
  </cols>
  <sheetData>
    <row r="1" spans="1:20" x14ac:dyDescent="0.2">
      <c r="C1" s="499" t="s">
        <v>329</v>
      </c>
      <c r="D1" s="499" t="s">
        <v>4456</v>
      </c>
      <c r="E1" s="499" t="s">
        <v>4457</v>
      </c>
      <c r="F1" s="499" t="s">
        <v>4458</v>
      </c>
      <c r="G1" s="499" t="s">
        <v>4459</v>
      </c>
      <c r="H1" s="499" t="s">
        <v>4460</v>
      </c>
      <c r="I1" s="499" t="s">
        <v>4461</v>
      </c>
      <c r="J1" s="499" t="s">
        <v>4462</v>
      </c>
      <c r="K1" s="499" t="s">
        <v>4463</v>
      </c>
      <c r="L1" s="499" t="s">
        <v>329</v>
      </c>
      <c r="M1" s="499" t="s">
        <v>4456</v>
      </c>
      <c r="N1" s="499" t="s">
        <v>4457</v>
      </c>
      <c r="O1" s="499" t="s">
        <v>4458</v>
      </c>
      <c r="P1" s="499" t="s">
        <v>4459</v>
      </c>
      <c r="Q1" s="499" t="s">
        <v>4460</v>
      </c>
      <c r="R1" s="499" t="s">
        <v>4461</v>
      </c>
      <c r="S1" s="499" t="s">
        <v>4462</v>
      </c>
      <c r="T1" s="499" t="s">
        <v>4463</v>
      </c>
    </row>
    <row r="2" spans="1:20" x14ac:dyDescent="0.2">
      <c r="B2" s="499" t="s">
        <v>4464</v>
      </c>
      <c r="C2" s="499" t="s">
        <v>4465</v>
      </c>
      <c r="D2" s="499" t="s">
        <v>4466</v>
      </c>
      <c r="E2" s="499" t="s">
        <v>4467</v>
      </c>
      <c r="F2" s="499" t="s">
        <v>4468</v>
      </c>
      <c r="G2" s="499" t="s">
        <v>4469</v>
      </c>
      <c r="H2" s="499" t="s">
        <v>4470</v>
      </c>
      <c r="I2" s="499" t="s">
        <v>4471</v>
      </c>
      <c r="J2" s="499" t="s">
        <v>4472</v>
      </c>
      <c r="K2" s="499" t="s">
        <v>4473</v>
      </c>
      <c r="L2" s="499" t="s">
        <v>4465</v>
      </c>
      <c r="M2" s="499" t="s">
        <v>4466</v>
      </c>
      <c r="N2" s="499" t="s">
        <v>4467</v>
      </c>
      <c r="O2" s="499" t="s">
        <v>4468</v>
      </c>
      <c r="P2" s="499" t="s">
        <v>4469</v>
      </c>
      <c r="Q2" s="499" t="s">
        <v>4470</v>
      </c>
      <c r="R2" s="499" t="s">
        <v>4471</v>
      </c>
      <c r="S2" s="499" t="s">
        <v>4472</v>
      </c>
      <c r="T2" s="499" t="s">
        <v>4473</v>
      </c>
    </row>
    <row r="3" spans="1:20" x14ac:dyDescent="0.2">
      <c r="A3" s="499" t="s">
        <v>4475</v>
      </c>
      <c r="B3" s="499" t="s">
        <v>4474</v>
      </c>
      <c r="C3" s="499" t="s">
        <v>4328</v>
      </c>
      <c r="D3" s="499" t="s">
        <v>4480</v>
      </c>
      <c r="E3" s="499" t="s">
        <v>4481</v>
      </c>
      <c r="F3" s="499" t="s">
        <v>4482</v>
      </c>
      <c r="G3" s="499" t="s">
        <v>4483</v>
      </c>
      <c r="H3" s="499" t="s">
        <v>4484</v>
      </c>
      <c r="I3" s="499" t="s">
        <v>4485</v>
      </c>
      <c r="J3" s="499" t="s">
        <v>4486</v>
      </c>
      <c r="K3" s="499" t="s">
        <v>4487</v>
      </c>
      <c r="L3" s="499" t="s">
        <v>4476</v>
      </c>
      <c r="M3" s="499" t="s">
        <v>4488</v>
      </c>
      <c r="N3" s="499" t="s">
        <v>4489</v>
      </c>
      <c r="O3" s="499" t="s">
        <v>4490</v>
      </c>
      <c r="P3" s="499" t="s">
        <v>4491</v>
      </c>
      <c r="Q3" s="499" t="s">
        <v>4492</v>
      </c>
      <c r="R3" s="499" t="s">
        <v>4493</v>
      </c>
      <c r="S3" s="499" t="s">
        <v>4494</v>
      </c>
      <c r="T3" s="499" t="s">
        <v>4495</v>
      </c>
    </row>
    <row r="4" spans="1:20" x14ac:dyDescent="0.2">
      <c r="A4" s="499" t="s">
        <v>263</v>
      </c>
      <c r="B4" s="499" t="s">
        <v>264</v>
      </c>
      <c r="C4" s="499">
        <v>1852.7454092799999</v>
      </c>
      <c r="D4" s="300">
        <f t="shared" ref="D4:D35" si="0">E4+F4</f>
        <v>400.51193967</v>
      </c>
      <c r="E4" s="499">
        <v>95.829482499999997</v>
      </c>
      <c r="F4" s="499">
        <v>304.68245717000002</v>
      </c>
      <c r="G4" s="499">
        <v>1452.2334696200001</v>
      </c>
      <c r="I4" s="499">
        <v>19719.020882160003</v>
      </c>
      <c r="J4" s="499">
        <v>72.08324432000002</v>
      </c>
      <c r="K4" s="499">
        <v>37171.921000000002</v>
      </c>
      <c r="L4" s="499">
        <v>2098.6156589900002</v>
      </c>
      <c r="M4" s="499">
        <f t="shared" ref="M4:M35" si="1">N4+O4</f>
        <v>483.7704663925</v>
      </c>
      <c r="N4" s="499">
        <v>107.58748691749999</v>
      </c>
      <c r="O4" s="499">
        <v>376.18297947500002</v>
      </c>
      <c r="P4" s="499">
        <v>1614.8364326450001</v>
      </c>
      <c r="Q4" s="499">
        <v>48.437125380000005</v>
      </c>
      <c r="R4" s="499">
        <v>19864.260968555001</v>
      </c>
      <c r="S4" s="499">
        <v>67.279924392499993</v>
      </c>
      <c r="T4" s="499">
        <v>35816.167249999999</v>
      </c>
    </row>
    <row r="5" spans="1:20" x14ac:dyDescent="0.2">
      <c r="A5" s="499" t="s">
        <v>85</v>
      </c>
      <c r="B5" s="499" t="s">
        <v>86</v>
      </c>
      <c r="C5" s="499">
        <v>2699.4540422999999</v>
      </c>
      <c r="D5" s="300">
        <f t="shared" si="0"/>
        <v>1221.5631641799998</v>
      </c>
      <c r="E5" s="499">
        <v>1131.8659333799999</v>
      </c>
      <c r="F5" s="499">
        <v>89.6972308</v>
      </c>
      <c r="G5" s="499">
        <v>993.36687067999992</v>
      </c>
      <c r="I5" s="499">
        <v>105902.24939672001</v>
      </c>
      <c r="J5" s="499">
        <v>252.85574340999997</v>
      </c>
      <c r="K5" s="499">
        <v>30809.787</v>
      </c>
      <c r="L5" s="499">
        <v>2969.9878439550002</v>
      </c>
      <c r="M5" s="499">
        <f t="shared" si="1"/>
        <v>1432.8246524050001</v>
      </c>
      <c r="N5" s="499">
        <v>1338.6626679574999</v>
      </c>
      <c r="O5" s="499">
        <v>94.161984447500004</v>
      </c>
      <c r="P5" s="499">
        <v>1034.3981753</v>
      </c>
      <c r="R5" s="499">
        <v>111335.87024924251</v>
      </c>
      <c r="S5" s="499">
        <v>175.6222076425</v>
      </c>
      <c r="T5" s="499">
        <v>29338.355749999999</v>
      </c>
    </row>
    <row r="6" spans="1:20" x14ac:dyDescent="0.2">
      <c r="A6" s="499" t="s">
        <v>309</v>
      </c>
      <c r="B6" s="499" t="s">
        <v>310</v>
      </c>
      <c r="C6" s="499">
        <v>792.50588641000013</v>
      </c>
      <c r="D6" s="300">
        <f t="shared" si="0"/>
        <v>438.59029207999993</v>
      </c>
      <c r="E6" s="499">
        <v>427.90403519999995</v>
      </c>
      <c r="F6" s="499">
        <v>10.686256880000002</v>
      </c>
      <c r="G6" s="499">
        <v>353.33173985000002</v>
      </c>
      <c r="H6" s="499">
        <v>25.409956340000001</v>
      </c>
      <c r="I6" s="499">
        <v>15058.880962970001</v>
      </c>
      <c r="J6" s="499">
        <v>107.98916626</v>
      </c>
      <c r="K6" s="499">
        <v>2882.7400000000002</v>
      </c>
      <c r="L6" s="499">
        <v>646.44338989250014</v>
      </c>
      <c r="M6" s="499">
        <f t="shared" si="1"/>
        <v>364.01227276000003</v>
      </c>
      <c r="N6" s="499">
        <v>354.939938025</v>
      </c>
      <c r="O6" s="499">
        <v>9.0723347350000001</v>
      </c>
      <c r="P6" s="499">
        <v>282.07374561250003</v>
      </c>
      <c r="Q6" s="499">
        <v>19.231855680000002</v>
      </c>
      <c r="R6" s="499">
        <v>12832.9907556</v>
      </c>
      <c r="S6" s="499">
        <v>119.29833412000001</v>
      </c>
      <c r="T6" s="499">
        <v>2885.9649999999997</v>
      </c>
    </row>
    <row r="7" spans="1:20" x14ac:dyDescent="0.2">
      <c r="A7" s="499" t="s">
        <v>313</v>
      </c>
      <c r="B7" s="499" t="s">
        <v>314</v>
      </c>
      <c r="C7" s="499">
        <v>217.29562906000001</v>
      </c>
      <c r="D7" s="300">
        <f t="shared" si="0"/>
        <v>147.61931321999998</v>
      </c>
      <c r="E7" s="499">
        <v>147.61931321999998</v>
      </c>
      <c r="F7" s="499">
        <v>0</v>
      </c>
      <c r="G7" s="499">
        <v>29.523862639999997</v>
      </c>
      <c r="I7" s="499">
        <v>3238.2251448900001</v>
      </c>
      <c r="J7" s="499">
        <v>0.84677267000000001</v>
      </c>
      <c r="K7" s="499">
        <v>77.006</v>
      </c>
      <c r="L7" s="499">
        <v>193.18435428750001</v>
      </c>
      <c r="M7" s="499">
        <f t="shared" si="1"/>
        <v>133.1074974725</v>
      </c>
      <c r="N7" s="499">
        <v>133.1074974725</v>
      </c>
      <c r="O7" s="499">
        <v>0</v>
      </c>
      <c r="P7" s="499">
        <v>26.614138699999998</v>
      </c>
      <c r="R7" s="499">
        <v>2986.9731124</v>
      </c>
      <c r="S7" s="499">
        <v>0.88441806750000007</v>
      </c>
      <c r="T7" s="499">
        <v>77.328749999999999</v>
      </c>
    </row>
    <row r="8" spans="1:20" x14ac:dyDescent="0.2">
      <c r="A8" s="499" t="s">
        <v>267</v>
      </c>
      <c r="B8" s="499" t="s">
        <v>268</v>
      </c>
      <c r="C8" s="499">
        <v>17502.80154638</v>
      </c>
      <c r="D8" s="300">
        <f t="shared" si="0"/>
        <v>9027.6750926899986</v>
      </c>
      <c r="E8" s="499">
        <v>9027.6750926899986</v>
      </c>
      <c r="F8" s="499">
        <v>0</v>
      </c>
      <c r="G8" s="499">
        <v>2222.1753555400001</v>
      </c>
      <c r="I8" s="499">
        <v>414178.90848682995</v>
      </c>
      <c r="J8" s="499">
        <v>3.6724998999999996</v>
      </c>
      <c r="K8" s="499">
        <v>9630.9589999999989</v>
      </c>
      <c r="L8" s="499">
        <v>14535.677503037499</v>
      </c>
      <c r="M8" s="499">
        <f t="shared" si="1"/>
        <v>8863.1820501175007</v>
      </c>
      <c r="N8" s="499">
        <v>8863.1820501175007</v>
      </c>
      <c r="O8" s="499">
        <v>0</v>
      </c>
      <c r="P8" s="499">
        <v>2155.1203069150001</v>
      </c>
      <c r="R8" s="499">
        <v>376765.02047011757</v>
      </c>
      <c r="S8" s="499">
        <v>3.6724998999999996</v>
      </c>
      <c r="T8" s="499">
        <v>9435.5105000000003</v>
      </c>
    </row>
    <row r="9" spans="1:20" x14ac:dyDescent="0.2">
      <c r="A9" s="499" t="s">
        <v>189</v>
      </c>
      <c r="B9" s="499" t="s">
        <v>190</v>
      </c>
      <c r="C9" s="499">
        <v>50035.2619768</v>
      </c>
      <c r="D9" s="300">
        <f t="shared" si="0"/>
        <v>30876.695722989996</v>
      </c>
      <c r="E9" s="499">
        <v>30725.305764829995</v>
      </c>
      <c r="F9" s="499">
        <v>151.38995815999996</v>
      </c>
      <c r="G9" s="499">
        <v>13874.799247189998</v>
      </c>
      <c r="I9" s="499">
        <v>519871.66152450006</v>
      </c>
      <c r="J9" s="499">
        <v>28.094991670000002</v>
      </c>
      <c r="K9" s="499">
        <v>44361.15</v>
      </c>
      <c r="L9" s="499">
        <v>58350.0099709325</v>
      </c>
      <c r="M9" s="499">
        <f t="shared" si="1"/>
        <v>37292.245087182506</v>
      </c>
      <c r="N9" s="499">
        <v>37095.979274432502</v>
      </c>
      <c r="O9" s="499">
        <v>196.26581275000001</v>
      </c>
      <c r="P9" s="499">
        <v>15797.483581895001</v>
      </c>
      <c r="Q9" s="499">
        <v>129.25470119333332</v>
      </c>
      <c r="R9" s="499">
        <v>591250.70723348006</v>
      </c>
      <c r="S9" s="499">
        <v>17.162264802500001</v>
      </c>
      <c r="T9" s="499">
        <v>43720.541499999999</v>
      </c>
    </row>
    <row r="10" spans="1:20" x14ac:dyDescent="0.2">
      <c r="A10" s="499" t="s">
        <v>315</v>
      </c>
      <c r="B10" s="499" t="s">
        <v>316</v>
      </c>
      <c r="C10" s="499">
        <v>1246.4708323</v>
      </c>
      <c r="D10" s="300">
        <f t="shared" si="0"/>
        <v>168.98267369000001</v>
      </c>
      <c r="E10" s="499">
        <v>153.81582478000001</v>
      </c>
      <c r="F10" s="499">
        <v>15.166848909999999</v>
      </c>
      <c r="G10" s="499">
        <v>1050.4805586700002</v>
      </c>
      <c r="H10" s="499">
        <v>3.63570109</v>
      </c>
      <c r="I10" s="499">
        <v>12433.141196049999</v>
      </c>
      <c r="J10" s="499">
        <v>482.988</v>
      </c>
      <c r="K10" s="499">
        <v>2951.7449999999999</v>
      </c>
      <c r="L10" s="499">
        <v>1139.5804411825</v>
      </c>
      <c r="M10" s="499">
        <f t="shared" si="1"/>
        <v>179.09513974999999</v>
      </c>
      <c r="N10" s="499">
        <v>163.65951284249999</v>
      </c>
      <c r="O10" s="499">
        <v>15.435626907500001</v>
      </c>
      <c r="P10" s="499">
        <v>944.02344388500001</v>
      </c>
      <c r="Q10" s="499">
        <v>9.2889268174999984</v>
      </c>
      <c r="R10" s="499">
        <v>11265.0181488625</v>
      </c>
      <c r="S10" s="499">
        <v>481.02772499999998</v>
      </c>
      <c r="T10" s="499">
        <v>2939.558</v>
      </c>
    </row>
    <row r="11" spans="1:20" x14ac:dyDescent="0.2">
      <c r="A11" s="499" t="s">
        <v>193</v>
      </c>
      <c r="B11" s="499" t="s">
        <v>194</v>
      </c>
      <c r="C11" s="499">
        <v>84.266858310000003</v>
      </c>
      <c r="D11" s="300">
        <f t="shared" si="0"/>
        <v>46.853355959999995</v>
      </c>
      <c r="E11" s="499">
        <v>46.777779279999997</v>
      </c>
      <c r="F11" s="499">
        <v>7.5576679999999993E-2</v>
      </c>
      <c r="G11" s="499">
        <v>24.823801030000006</v>
      </c>
      <c r="H11" s="499">
        <v>0.36384240000000007</v>
      </c>
      <c r="I11" s="499">
        <v>1610.7407407400001</v>
      </c>
      <c r="J11" s="499">
        <v>2.7</v>
      </c>
      <c r="K11" s="499">
        <v>96.286000000000001</v>
      </c>
      <c r="L11" s="499">
        <v>76.084999587499993</v>
      </c>
      <c r="M11" s="499">
        <f t="shared" si="1"/>
        <v>42.591395502500006</v>
      </c>
      <c r="N11" s="499">
        <v>42.565921717500004</v>
      </c>
      <c r="O11" s="499">
        <v>2.5473784999999995E-2</v>
      </c>
      <c r="P11" s="499">
        <v>21.260303200000003</v>
      </c>
      <c r="Q11" s="499">
        <v>0.79408524500000011</v>
      </c>
      <c r="R11" s="499">
        <v>1463.0555555575002</v>
      </c>
      <c r="S11" s="499">
        <v>2.7</v>
      </c>
      <c r="T11" s="499">
        <v>94.951250000000002</v>
      </c>
    </row>
    <row r="12" spans="1:20" x14ac:dyDescent="0.2">
      <c r="A12" s="499" t="s">
        <v>441</v>
      </c>
      <c r="B12" s="499" t="s">
        <v>442</v>
      </c>
      <c r="C12" s="499">
        <v>135080.95414564997</v>
      </c>
      <c r="D12" s="300">
        <f t="shared" si="0"/>
        <v>93294.094048059982</v>
      </c>
      <c r="E12" s="499">
        <v>93294.094048059982</v>
      </c>
      <c r="F12" s="499">
        <v>0</v>
      </c>
      <c r="G12" s="499">
        <v>23937.132346499999</v>
      </c>
      <c r="I12" s="499">
        <v>1454892.8132742399</v>
      </c>
      <c r="J12" s="499">
        <v>1.3384120000000002</v>
      </c>
      <c r="K12" s="499">
        <v>24898.152000000002</v>
      </c>
      <c r="L12" s="499">
        <v>125635.276381595</v>
      </c>
      <c r="M12" s="499">
        <f t="shared" si="1"/>
        <v>86307.697184147502</v>
      </c>
      <c r="N12" s="499">
        <v>86307.697184147502</v>
      </c>
      <c r="O12" s="499">
        <v>0</v>
      </c>
      <c r="P12" s="499">
        <v>22878.484711392503</v>
      </c>
      <c r="Q12" s="499">
        <v>8064.6973744766665</v>
      </c>
      <c r="R12" s="499">
        <v>1357840.29655192</v>
      </c>
      <c r="S12" s="499">
        <v>1.3298685000000001</v>
      </c>
      <c r="T12" s="499">
        <v>24419.496500000001</v>
      </c>
    </row>
    <row r="13" spans="1:20" x14ac:dyDescent="0.2">
      <c r="A13" s="499" t="s">
        <v>317</v>
      </c>
      <c r="B13" s="499" t="s">
        <v>318</v>
      </c>
      <c r="C13" s="499">
        <v>46991.19922278</v>
      </c>
      <c r="D13" s="300">
        <f t="shared" si="0"/>
        <v>34343.597822930002</v>
      </c>
      <c r="E13" s="499">
        <v>34343.597822930002</v>
      </c>
      <c r="F13" s="499">
        <v>0</v>
      </c>
      <c r="G13" s="499">
        <v>8630.0328287000029</v>
      </c>
      <c r="H13" s="499">
        <v>3284.2332006299998</v>
      </c>
      <c r="I13" s="499">
        <v>455094.68299060001</v>
      </c>
      <c r="J13" s="499">
        <v>0.846773</v>
      </c>
      <c r="K13" s="499">
        <v>8822.2669999999998</v>
      </c>
      <c r="L13" s="499">
        <v>42722.593240235008</v>
      </c>
      <c r="M13" s="499">
        <f t="shared" si="1"/>
        <v>31009.817110780001</v>
      </c>
      <c r="N13" s="499">
        <v>31009.817110780001</v>
      </c>
      <c r="O13" s="499">
        <v>0</v>
      </c>
      <c r="P13" s="499">
        <v>8092.2788384925007</v>
      </c>
      <c r="Q13" s="499">
        <v>3097.6747744175</v>
      </c>
      <c r="R13" s="499">
        <v>412535.29811630247</v>
      </c>
      <c r="S13" s="499">
        <v>0.88417400000000002</v>
      </c>
      <c r="T13" s="499">
        <v>8720.1322499999987</v>
      </c>
    </row>
    <row r="14" spans="1:20" x14ac:dyDescent="0.2">
      <c r="A14" s="499" t="s">
        <v>319</v>
      </c>
      <c r="B14" s="499" t="s">
        <v>320</v>
      </c>
      <c r="C14" s="499">
        <v>1649.3093338799997</v>
      </c>
      <c r="D14" s="300">
        <f t="shared" si="0"/>
        <v>448.53286735000017</v>
      </c>
      <c r="E14" s="499">
        <v>437.52513431000017</v>
      </c>
      <c r="F14" s="499">
        <v>11.00773304</v>
      </c>
      <c r="G14" s="499">
        <v>1200.7764665300001</v>
      </c>
      <c r="H14" s="499">
        <v>85.999159229999989</v>
      </c>
      <c r="I14" s="499">
        <v>46938.952867409986</v>
      </c>
      <c r="J14" s="499">
        <v>1.70001662</v>
      </c>
      <c r="K14" s="499">
        <v>9949.5370000000003</v>
      </c>
      <c r="L14" s="499">
        <v>1721.1166925374998</v>
      </c>
      <c r="M14" s="499">
        <f t="shared" si="1"/>
        <v>506.51856165750002</v>
      </c>
      <c r="N14" s="499">
        <v>494.73457798750002</v>
      </c>
      <c r="O14" s="499">
        <v>11.78398367</v>
      </c>
      <c r="P14" s="499">
        <v>1214.5981308800001</v>
      </c>
      <c r="Q14" s="499">
        <v>81.819861632500007</v>
      </c>
      <c r="R14" s="499">
        <v>44687.207051295001</v>
      </c>
      <c r="S14" s="499">
        <v>1.5103642049999997</v>
      </c>
      <c r="T14" s="499">
        <v>9788.411250000001</v>
      </c>
    </row>
    <row r="15" spans="1:20" x14ac:dyDescent="0.2">
      <c r="A15" s="499" t="s">
        <v>91</v>
      </c>
      <c r="B15" s="499" t="s">
        <v>92</v>
      </c>
      <c r="C15" s="499">
        <v>268.49363161999997</v>
      </c>
      <c r="D15" s="300">
        <f t="shared" si="0"/>
        <v>149.07158178</v>
      </c>
      <c r="E15" s="499">
        <v>65.979517819999984</v>
      </c>
      <c r="F15" s="499">
        <v>83.092063960000019</v>
      </c>
      <c r="G15" s="499">
        <v>68.741267360000009</v>
      </c>
      <c r="I15" s="499">
        <v>3468.1683514599999</v>
      </c>
      <c r="J15" s="499">
        <v>1782.87683105</v>
      </c>
      <c r="K15" s="499">
        <v>11175.374</v>
      </c>
      <c r="L15" s="499">
        <v>239.154178565</v>
      </c>
      <c r="M15" s="499">
        <f t="shared" si="1"/>
        <v>129.38158212499999</v>
      </c>
      <c r="N15" s="499">
        <v>65.195799504999997</v>
      </c>
      <c r="O15" s="499">
        <v>64.185782619999998</v>
      </c>
      <c r="P15" s="499">
        <v>63.495653827499993</v>
      </c>
      <c r="Q15" s="499">
        <v>5.7234117699999993</v>
      </c>
      <c r="R15" s="499">
        <v>3251.8511607225</v>
      </c>
      <c r="S15" s="499">
        <v>1684.6142272924999</v>
      </c>
      <c r="T15" s="499">
        <v>10662.604500000001</v>
      </c>
    </row>
    <row r="16" spans="1:20" x14ac:dyDescent="0.2">
      <c r="A16" s="499" t="s">
        <v>321</v>
      </c>
      <c r="B16" s="499" t="s">
        <v>322</v>
      </c>
      <c r="C16" s="499">
        <v>55997.857772980002</v>
      </c>
      <c r="D16" s="300">
        <f t="shared" si="0"/>
        <v>42437.719058119997</v>
      </c>
      <c r="E16" s="499">
        <v>42437.719058119997</v>
      </c>
      <c r="F16" s="499">
        <v>0</v>
      </c>
      <c r="G16" s="499">
        <v>10669.785264759999</v>
      </c>
      <c r="I16" s="499">
        <v>542685.70207127999</v>
      </c>
      <c r="J16" s="499">
        <v>0.846773</v>
      </c>
      <c r="K16" s="499">
        <v>11398.588999999998</v>
      </c>
      <c r="L16" s="499">
        <v>51398.623859740001</v>
      </c>
      <c r="M16" s="499">
        <f t="shared" si="1"/>
        <v>39000.999608419996</v>
      </c>
      <c r="N16" s="499">
        <v>39000.999608419996</v>
      </c>
      <c r="O16" s="499">
        <v>0</v>
      </c>
      <c r="P16" s="499">
        <v>9830.6843186075002</v>
      </c>
      <c r="R16" s="499">
        <v>496258.59114304249</v>
      </c>
      <c r="S16" s="499">
        <v>0.88417400000000002</v>
      </c>
      <c r="T16" s="499">
        <v>11324.676750000001</v>
      </c>
    </row>
    <row r="17" spans="1:20" x14ac:dyDescent="0.2">
      <c r="A17" s="499" t="s">
        <v>95</v>
      </c>
      <c r="B17" s="499" t="s">
        <v>96</v>
      </c>
      <c r="C17" s="499">
        <v>355.33643748000003</v>
      </c>
      <c r="D17" s="300">
        <f t="shared" si="0"/>
        <v>176.95114279000001</v>
      </c>
      <c r="E17" s="499">
        <v>69.958488840000001</v>
      </c>
      <c r="F17" s="499">
        <v>106.99265394999999</v>
      </c>
      <c r="G17" s="499">
        <v>158.30164100999997</v>
      </c>
      <c r="I17" s="499">
        <v>14262.407625079999</v>
      </c>
      <c r="J17" s="499">
        <v>555.44647216999999</v>
      </c>
      <c r="K17" s="499">
        <v>11485.043999999998</v>
      </c>
      <c r="L17" s="499">
        <v>337.74382275249997</v>
      </c>
      <c r="M17" s="499">
        <f t="shared" si="1"/>
        <v>173.46122681</v>
      </c>
      <c r="N17" s="499">
        <v>77.008516659999998</v>
      </c>
      <c r="O17" s="499">
        <v>96.452710150000001</v>
      </c>
      <c r="P17" s="499">
        <v>145.79924329749997</v>
      </c>
      <c r="Q17" s="499">
        <v>20.803242940000004</v>
      </c>
      <c r="R17" s="499">
        <v>12543.32281274</v>
      </c>
      <c r="S17" s="499">
        <v>579.98011779749993</v>
      </c>
      <c r="T17" s="499">
        <v>11027.064249999999</v>
      </c>
    </row>
    <row r="18" spans="1:20" x14ac:dyDescent="0.2">
      <c r="A18" s="499" t="s">
        <v>97</v>
      </c>
      <c r="B18" s="499" t="s">
        <v>98</v>
      </c>
      <c r="C18" s="499">
        <v>794.98565896999992</v>
      </c>
      <c r="D18" s="300">
        <f t="shared" si="0"/>
        <v>458.63970570000004</v>
      </c>
      <c r="E18" s="499">
        <v>337.92778421000003</v>
      </c>
      <c r="F18" s="499">
        <v>120.71192148999999</v>
      </c>
      <c r="G18" s="499">
        <v>284.84933164999995</v>
      </c>
      <c r="H18" s="499">
        <v>56.29709604</v>
      </c>
      <c r="I18" s="499">
        <v>14124.230883260001</v>
      </c>
      <c r="J18" s="499">
        <v>555.71783446999996</v>
      </c>
      <c r="K18" s="499">
        <v>19751.466</v>
      </c>
      <c r="L18" s="499">
        <v>754.46706763999998</v>
      </c>
      <c r="M18" s="499">
        <f t="shared" si="1"/>
        <v>447.104527405</v>
      </c>
      <c r="N18" s="499">
        <v>296.32490477250002</v>
      </c>
      <c r="O18" s="499">
        <v>150.77962263249998</v>
      </c>
      <c r="P18" s="499">
        <v>253.29338635249999</v>
      </c>
      <c r="Q18" s="499">
        <v>38.269348050000005</v>
      </c>
      <c r="R18" s="499">
        <v>11934.986645880001</v>
      </c>
      <c r="S18" s="499">
        <v>580.56752014250003</v>
      </c>
      <c r="T18" s="499">
        <v>18925.420249999999</v>
      </c>
    </row>
    <row r="19" spans="1:20" x14ac:dyDescent="0.2">
      <c r="A19" s="499" t="s">
        <v>417</v>
      </c>
      <c r="B19" s="499" t="s">
        <v>418</v>
      </c>
      <c r="C19" s="499">
        <v>6763.1457698200002</v>
      </c>
      <c r="D19" s="300">
        <f t="shared" si="0"/>
        <v>1589.2148585600003</v>
      </c>
      <c r="E19" s="499">
        <v>1148.3226624400002</v>
      </c>
      <c r="F19" s="499">
        <v>440.89219612000005</v>
      </c>
      <c r="G19" s="499">
        <v>4996.0639017800004</v>
      </c>
      <c r="I19" s="499">
        <v>288677.12302890001</v>
      </c>
      <c r="J19" s="499">
        <v>83.466201780000006</v>
      </c>
      <c r="K19" s="499">
        <v>161376.70800000001</v>
      </c>
      <c r="L19" s="499">
        <v>5834.0820339475003</v>
      </c>
      <c r="M19" s="499">
        <f t="shared" si="1"/>
        <v>1440.2297157799999</v>
      </c>
      <c r="N19" s="499">
        <v>986.86646754499998</v>
      </c>
      <c r="O19" s="499">
        <v>453.36324823500001</v>
      </c>
      <c r="P19" s="499">
        <v>4272.9018693625003</v>
      </c>
      <c r="Q19" s="499">
        <v>204.73628036000002</v>
      </c>
      <c r="R19" s="499">
        <v>249022.79204005003</v>
      </c>
      <c r="S19" s="499">
        <v>80.079685210000008</v>
      </c>
      <c r="T19" s="499">
        <v>158823.89025</v>
      </c>
    </row>
    <row r="20" spans="1:20" x14ac:dyDescent="0.2">
      <c r="A20" s="499" t="s">
        <v>323</v>
      </c>
      <c r="B20" s="499" t="s">
        <v>324</v>
      </c>
      <c r="C20" s="499">
        <v>4863.8559961400006</v>
      </c>
      <c r="D20" s="300">
        <f t="shared" si="0"/>
        <v>2803.3574748000001</v>
      </c>
      <c r="E20" s="499">
        <v>2803.3574748000001</v>
      </c>
      <c r="F20" s="499">
        <v>0</v>
      </c>
      <c r="G20" s="499">
        <v>1970.7073450400003</v>
      </c>
      <c r="I20" s="499">
        <v>66204.84036454001</v>
      </c>
      <c r="J20" s="499">
        <v>1.6568999999999998</v>
      </c>
      <c r="K20" s="499">
        <v>7050.0339999999997</v>
      </c>
      <c r="L20" s="499">
        <v>4259.0116539525006</v>
      </c>
      <c r="M20" s="499">
        <f t="shared" si="1"/>
        <v>2379.1870605475001</v>
      </c>
      <c r="N20" s="499">
        <v>2379.1870605475001</v>
      </c>
      <c r="O20" s="499">
        <v>0</v>
      </c>
      <c r="P20" s="499">
        <v>1807.3366432174998</v>
      </c>
      <c r="Q20" s="499">
        <v>15.8775163</v>
      </c>
      <c r="R20" s="499">
        <v>57399.224829962506</v>
      </c>
      <c r="S20" s="499">
        <v>1.7309749999999999</v>
      </c>
      <c r="T20" s="499">
        <v>7126.96875</v>
      </c>
    </row>
    <row r="21" spans="1:20" x14ac:dyDescent="0.2">
      <c r="A21" s="499" t="s">
        <v>269</v>
      </c>
      <c r="B21" s="499" t="s">
        <v>270</v>
      </c>
      <c r="C21" s="499">
        <v>1560.3103136799996</v>
      </c>
      <c r="D21" s="300">
        <f t="shared" si="0"/>
        <v>917.96725845999993</v>
      </c>
      <c r="E21" s="499">
        <v>917.96725845999993</v>
      </c>
      <c r="F21" s="499">
        <v>0</v>
      </c>
      <c r="G21" s="499">
        <v>468.14890165000008</v>
      </c>
      <c r="I21" s="499">
        <v>37747.341429450003</v>
      </c>
      <c r="J21" s="499">
        <v>0.37599998999999995</v>
      </c>
      <c r="K21" s="499">
        <v>1569.4460000000001</v>
      </c>
      <c r="L21" s="499">
        <v>1589.5021584124997</v>
      </c>
      <c r="M21" s="499">
        <f t="shared" si="1"/>
        <v>964.89757987749999</v>
      </c>
      <c r="N21" s="499">
        <v>964.89757987749999</v>
      </c>
      <c r="O21" s="499">
        <v>0</v>
      </c>
      <c r="P21" s="499">
        <v>454.73298126999998</v>
      </c>
      <c r="R21" s="499">
        <v>34138.963673907499</v>
      </c>
      <c r="S21" s="499">
        <v>0.37599998999999995</v>
      </c>
      <c r="T21" s="499">
        <v>1465.29125</v>
      </c>
    </row>
    <row r="22" spans="1:20" x14ac:dyDescent="0.2">
      <c r="A22" s="499" t="s">
        <v>195</v>
      </c>
      <c r="B22" s="499" t="s">
        <v>196</v>
      </c>
      <c r="C22" s="499">
        <v>776.43353389999993</v>
      </c>
      <c r="D22" s="300">
        <f t="shared" si="0"/>
        <v>394.01633657000002</v>
      </c>
      <c r="E22" s="499">
        <v>389.91063783000004</v>
      </c>
      <c r="F22" s="499">
        <v>4.1056987399999993</v>
      </c>
      <c r="G22" s="499">
        <v>211.08589022000001</v>
      </c>
      <c r="H22" s="499">
        <v>10.039626999999999</v>
      </c>
      <c r="I22" s="499">
        <v>12425</v>
      </c>
      <c r="J22" s="499">
        <v>1</v>
      </c>
      <c r="K22" s="499">
        <v>385.637</v>
      </c>
      <c r="L22" s="499">
        <v>722.26241348500002</v>
      </c>
      <c r="M22" s="499">
        <f t="shared" si="1"/>
        <v>366.08264148499995</v>
      </c>
      <c r="N22" s="499">
        <v>362.25863239249998</v>
      </c>
      <c r="O22" s="499">
        <v>3.8240090924999999</v>
      </c>
      <c r="P22" s="499">
        <v>196.60340794249998</v>
      </c>
      <c r="Q22" s="499">
        <v>10.039626999999999</v>
      </c>
      <c r="R22" s="499">
        <v>12066.25</v>
      </c>
      <c r="S22" s="499">
        <v>1</v>
      </c>
      <c r="T22" s="499">
        <v>379.88200000000001</v>
      </c>
    </row>
    <row r="23" spans="1:20" x14ac:dyDescent="0.2">
      <c r="A23" s="499" t="s">
        <v>325</v>
      </c>
      <c r="B23" s="499" t="s">
        <v>326</v>
      </c>
      <c r="C23" s="499">
        <v>1793.4718101400001</v>
      </c>
      <c r="D23" s="300">
        <f t="shared" si="0"/>
        <v>1260.3092398199997</v>
      </c>
      <c r="E23" s="499">
        <v>1252.6965837499997</v>
      </c>
      <c r="F23" s="499">
        <v>7.6126560699999999</v>
      </c>
      <c r="G23" s="499">
        <v>526.03501343000005</v>
      </c>
      <c r="I23" s="499">
        <v>20161.915242900002</v>
      </c>
      <c r="J23" s="499">
        <v>1.6569854400000001</v>
      </c>
      <c r="K23" s="499">
        <v>3323.9250000000002</v>
      </c>
      <c r="L23" s="499">
        <v>1620.686393515</v>
      </c>
      <c r="M23" s="499">
        <f t="shared" si="1"/>
        <v>1144.9200950825</v>
      </c>
      <c r="N23" s="499">
        <v>1134.3026511099999</v>
      </c>
      <c r="O23" s="499">
        <v>10.617443972500002</v>
      </c>
      <c r="P23" s="499">
        <v>470.22211356000003</v>
      </c>
      <c r="R23" s="499">
        <v>17841.243393069999</v>
      </c>
      <c r="S23" s="499">
        <v>1.7309922050000002</v>
      </c>
      <c r="T23" s="499">
        <v>3372.7692500000003</v>
      </c>
    </row>
    <row r="24" spans="1:20" x14ac:dyDescent="0.2">
      <c r="A24" s="499" t="s">
        <v>327</v>
      </c>
      <c r="B24" s="499" t="s">
        <v>328</v>
      </c>
      <c r="C24" s="499">
        <v>3367.5017007700008</v>
      </c>
      <c r="D24" s="300">
        <f t="shared" si="0"/>
        <v>2380.8476483900004</v>
      </c>
      <c r="E24" s="499">
        <v>2371.1020604600003</v>
      </c>
      <c r="F24" s="499">
        <v>9.7455879299999992</v>
      </c>
      <c r="G24" s="499">
        <v>840.33884143</v>
      </c>
      <c r="I24" s="499">
        <v>59662.347860230002</v>
      </c>
      <c r="J24" s="499">
        <v>2.0375999999999999</v>
      </c>
      <c r="K24" s="499">
        <v>9452.6170000000002</v>
      </c>
      <c r="L24" s="499">
        <v>3191.1024505300002</v>
      </c>
      <c r="M24" s="499">
        <f t="shared" si="1"/>
        <v>2169.6712360699998</v>
      </c>
      <c r="N24" s="499">
        <v>2157.9644341849998</v>
      </c>
      <c r="O24" s="499">
        <v>11.706801884999997</v>
      </c>
      <c r="P24" s="499">
        <v>921.59451457749992</v>
      </c>
      <c r="Q24" s="499">
        <v>415.66145883333337</v>
      </c>
      <c r="R24" s="499">
        <v>54641.525891319994</v>
      </c>
      <c r="S24" s="499">
        <v>1.8880258400000001</v>
      </c>
      <c r="T24" s="499">
        <v>9446.9784999999993</v>
      </c>
    </row>
    <row r="25" spans="1:20" x14ac:dyDescent="0.2">
      <c r="A25" s="499" t="s">
        <v>198</v>
      </c>
      <c r="B25" s="499" t="s">
        <v>199</v>
      </c>
      <c r="C25" s="499">
        <v>109.55288347000001</v>
      </c>
      <c r="D25" s="300">
        <f t="shared" si="0"/>
        <v>77.882627839999998</v>
      </c>
      <c r="E25" s="499">
        <v>75.151616329999996</v>
      </c>
      <c r="F25" s="499">
        <v>2.7310115099999996</v>
      </c>
      <c r="G25" s="499">
        <v>25.44945508</v>
      </c>
      <c r="H25" s="499">
        <v>0.20511150000000003</v>
      </c>
      <c r="I25" s="499">
        <v>1925</v>
      </c>
      <c r="J25" s="499">
        <v>2</v>
      </c>
      <c r="K25" s="499">
        <v>383.07100000000003</v>
      </c>
      <c r="L25" s="499">
        <v>106.8534928775</v>
      </c>
      <c r="M25" s="499">
        <f t="shared" si="1"/>
        <v>75.480139440000002</v>
      </c>
      <c r="N25" s="499">
        <v>73.159554395000001</v>
      </c>
      <c r="O25" s="499">
        <v>2.3205850450000001</v>
      </c>
      <c r="P25" s="499">
        <v>25.210871625000003</v>
      </c>
      <c r="Q25" s="499">
        <v>0.88621585250000012</v>
      </c>
      <c r="R25" s="499">
        <v>1839.125</v>
      </c>
      <c r="S25" s="499">
        <v>2</v>
      </c>
      <c r="T25" s="499">
        <v>372.04325000000006</v>
      </c>
    </row>
    <row r="26" spans="1:20" x14ac:dyDescent="0.2">
      <c r="A26" s="499" t="s">
        <v>200</v>
      </c>
      <c r="B26" s="499" t="s">
        <v>4478</v>
      </c>
      <c r="C26" s="499">
        <v>2538.5385361600001</v>
      </c>
      <c r="D26" s="300">
        <f t="shared" si="0"/>
        <v>1854.1533815800001</v>
      </c>
      <c r="E26" s="499">
        <v>1806.63862494</v>
      </c>
      <c r="F26" s="499">
        <v>47.514756640000002</v>
      </c>
      <c r="G26" s="499">
        <v>588.21207073000005</v>
      </c>
      <c r="I26" s="499">
        <v>40287.698986980002</v>
      </c>
      <c r="J26" s="499">
        <v>6.9099999999999993</v>
      </c>
      <c r="K26" s="499">
        <v>11353.142</v>
      </c>
      <c r="L26" s="499">
        <v>2363.4891266675004</v>
      </c>
      <c r="M26" s="499">
        <f t="shared" si="1"/>
        <v>1661.1416214725</v>
      </c>
      <c r="N26" s="499">
        <v>1599.85161801</v>
      </c>
      <c r="O26" s="499">
        <v>61.290003462500003</v>
      </c>
      <c r="P26" s="499">
        <v>609.83144352500005</v>
      </c>
      <c r="Q26" s="499">
        <v>291.28688525666672</v>
      </c>
      <c r="R26" s="499">
        <v>36184.406657020008</v>
      </c>
      <c r="S26" s="499">
        <v>6.9099999999999993</v>
      </c>
      <c r="T26" s="499">
        <v>11111.885249999999</v>
      </c>
    </row>
    <row r="27" spans="1:20" x14ac:dyDescent="0.2">
      <c r="A27" s="499" t="s">
        <v>202</v>
      </c>
      <c r="B27" s="499" t="s">
        <v>203</v>
      </c>
      <c r="C27" s="499">
        <v>177711.43292294</v>
      </c>
      <c r="D27" s="300">
        <f t="shared" si="0"/>
        <v>74210.587614679986</v>
      </c>
      <c r="E27" s="499">
        <v>74055.61131575999</v>
      </c>
      <c r="F27" s="499">
        <v>154.97629892</v>
      </c>
      <c r="G27" s="499">
        <v>48948.491637690007</v>
      </c>
      <c r="I27" s="499">
        <v>1867818.0612332299</v>
      </c>
      <c r="J27" s="499">
        <v>3.6538253600000004</v>
      </c>
      <c r="K27" s="499">
        <v>209469.323</v>
      </c>
      <c r="L27" s="499">
        <v>174294.42921843502</v>
      </c>
      <c r="M27" s="499">
        <f t="shared" si="1"/>
        <v>73893.876279477481</v>
      </c>
      <c r="N27" s="499">
        <v>73759.968773867484</v>
      </c>
      <c r="O27" s="499">
        <v>133.90750561000002</v>
      </c>
      <c r="P27" s="499">
        <v>48267.786951720002</v>
      </c>
      <c r="Q27" s="499">
        <v>6222.7592695266676</v>
      </c>
      <c r="R27" s="499">
        <v>1879276.572624515</v>
      </c>
      <c r="S27" s="499">
        <v>3.4158581525000007</v>
      </c>
      <c r="T27" s="499">
        <v>206984.492</v>
      </c>
    </row>
    <row r="28" spans="1:20" x14ac:dyDescent="0.2">
      <c r="A28" s="499" t="s">
        <v>204</v>
      </c>
      <c r="B28" s="499" t="s">
        <v>205</v>
      </c>
      <c r="C28" s="499">
        <v>333.80620312999997</v>
      </c>
      <c r="D28" s="300">
        <f t="shared" si="0"/>
        <v>153.42848928999999</v>
      </c>
      <c r="E28" s="499">
        <v>149.46329499999999</v>
      </c>
      <c r="F28" s="499">
        <v>3.9651942900000008</v>
      </c>
      <c r="G28" s="499">
        <v>155.28473877000002</v>
      </c>
      <c r="H28" s="499">
        <v>9.557701999999999</v>
      </c>
      <c r="I28" s="499">
        <v>5086.5</v>
      </c>
      <c r="J28" s="499">
        <v>2</v>
      </c>
      <c r="K28" s="499">
        <v>286.64099999999996</v>
      </c>
      <c r="L28" s="499">
        <v>326.40268176500001</v>
      </c>
      <c r="M28" s="499">
        <f t="shared" si="1"/>
        <v>155.98447941666666</v>
      </c>
      <c r="N28" s="499">
        <v>150.51218137499998</v>
      </c>
      <c r="O28" s="499">
        <v>5.472298041666666</v>
      </c>
      <c r="P28" s="499">
        <v>146.84252086999999</v>
      </c>
      <c r="Q28" s="499">
        <v>7.2059420599999999</v>
      </c>
      <c r="R28" s="499">
        <v>4902.375</v>
      </c>
      <c r="S28" s="499">
        <v>2</v>
      </c>
      <c r="T28" s="499">
        <v>285.99824999999998</v>
      </c>
    </row>
    <row r="29" spans="1:20" x14ac:dyDescent="0.2">
      <c r="A29" s="499" t="s">
        <v>444</v>
      </c>
      <c r="B29" s="499" t="s">
        <v>445</v>
      </c>
      <c r="C29" s="499">
        <v>327.36436775999999</v>
      </c>
      <c r="D29" s="300">
        <f t="shared" si="0"/>
        <v>311.45690514999995</v>
      </c>
      <c r="E29" s="499">
        <v>311.45690514999995</v>
      </c>
      <c r="F29" s="499">
        <v>0</v>
      </c>
      <c r="G29" s="499">
        <v>15.90746261</v>
      </c>
      <c r="H29" s="499">
        <v>13.010422220000001</v>
      </c>
      <c r="I29" s="499">
        <v>13567.164499540002</v>
      </c>
      <c r="J29" s="499">
        <v>1.3489185600000002</v>
      </c>
      <c r="K29" s="499">
        <v>428.96300000000002</v>
      </c>
      <c r="L29" s="499">
        <v>300.47025092500002</v>
      </c>
      <c r="M29" s="499">
        <f t="shared" si="1"/>
        <v>285.31377105999997</v>
      </c>
      <c r="N29" s="499">
        <v>285.31377105999997</v>
      </c>
      <c r="O29" s="499">
        <v>0</v>
      </c>
      <c r="P29" s="499">
        <v>15.156479870000002</v>
      </c>
      <c r="Q29" s="499">
        <v>17.392842474999998</v>
      </c>
      <c r="R29" s="499">
        <v>12506.400164272502</v>
      </c>
      <c r="S29" s="499">
        <v>1.3715168525000003</v>
      </c>
      <c r="T29" s="499">
        <v>422.03575000000001</v>
      </c>
    </row>
    <row r="30" spans="1:20" x14ac:dyDescent="0.2">
      <c r="A30" s="499" t="s">
        <v>420</v>
      </c>
      <c r="B30" s="499" t="s">
        <v>421</v>
      </c>
      <c r="C30" s="499">
        <v>77.50470897000001</v>
      </c>
      <c r="D30" s="300">
        <f t="shared" si="0"/>
        <v>66.34503934</v>
      </c>
      <c r="E30" s="499">
        <v>61.654613189999999</v>
      </c>
      <c r="F30" s="499">
        <v>4.6904261500000004</v>
      </c>
      <c r="G30" s="499">
        <v>10.202568589999998</v>
      </c>
      <c r="H30" s="499">
        <v>20.353405709999997</v>
      </c>
      <c r="I30" s="499">
        <v>2534.9664478800005</v>
      </c>
      <c r="J30" s="499">
        <v>68.389465330000007</v>
      </c>
      <c r="K30" s="499">
        <v>754.38800000000003</v>
      </c>
      <c r="L30" s="499">
        <v>75.071540080000005</v>
      </c>
      <c r="M30" s="499">
        <f t="shared" si="1"/>
        <v>61.898806395000001</v>
      </c>
      <c r="N30" s="499">
        <v>56.766108042500001</v>
      </c>
      <c r="O30" s="499">
        <v>5.1326983525000003</v>
      </c>
      <c r="P30" s="499">
        <v>12.36832558</v>
      </c>
      <c r="Q30" s="499">
        <v>16.534339652500002</v>
      </c>
      <c r="R30" s="499">
        <v>2249.7212477875</v>
      </c>
      <c r="S30" s="499">
        <v>66.214572905000011</v>
      </c>
      <c r="T30" s="499">
        <v>741.13374999999996</v>
      </c>
    </row>
    <row r="31" spans="1:20" x14ac:dyDescent="0.2">
      <c r="A31" s="499" t="s">
        <v>99</v>
      </c>
      <c r="B31" s="499" t="s">
        <v>100</v>
      </c>
      <c r="C31" s="499">
        <v>1088.6315945199999</v>
      </c>
      <c r="D31" s="300">
        <f t="shared" si="0"/>
        <v>913.09682890999989</v>
      </c>
      <c r="E31" s="499">
        <v>843.42512897999984</v>
      </c>
      <c r="F31" s="499">
        <v>69.671699929999988</v>
      </c>
      <c r="G31" s="499">
        <v>36.088146199999997</v>
      </c>
      <c r="I31" s="499">
        <v>18614.653449040004</v>
      </c>
      <c r="J31" s="499">
        <v>10.199975009999999</v>
      </c>
      <c r="K31" s="499">
        <v>2254.0680000000002</v>
      </c>
      <c r="L31" s="499">
        <v>963.04302331749989</v>
      </c>
      <c r="M31" s="499">
        <f t="shared" si="1"/>
        <v>767.30177458499998</v>
      </c>
      <c r="N31" s="499">
        <v>697.39099065249991</v>
      </c>
      <c r="O31" s="499">
        <v>69.91078393250001</v>
      </c>
      <c r="P31" s="499">
        <v>31.5922231825</v>
      </c>
      <c r="Q31" s="499">
        <v>17.761573346666665</v>
      </c>
      <c r="R31" s="499">
        <v>16521.788352985001</v>
      </c>
      <c r="S31" s="499">
        <v>10.394385575000001</v>
      </c>
      <c r="T31" s="499">
        <v>2184.9477500000003</v>
      </c>
    </row>
    <row r="32" spans="1:20" x14ac:dyDescent="0.2">
      <c r="A32" s="499" t="s">
        <v>102</v>
      </c>
      <c r="B32" s="499" t="s">
        <v>103</v>
      </c>
      <c r="C32" s="499">
        <v>250.41672875</v>
      </c>
      <c r="D32" s="300">
        <f t="shared" si="0"/>
        <v>144.33751639999994</v>
      </c>
      <c r="E32" s="499">
        <v>15.681913479999997</v>
      </c>
      <c r="F32" s="499">
        <v>128.65560291999995</v>
      </c>
      <c r="G32" s="499">
        <v>104.35548306000001</v>
      </c>
      <c r="H32" s="499">
        <v>4.5847358800000002</v>
      </c>
      <c r="I32" s="499">
        <v>2278.0625732599997</v>
      </c>
      <c r="J32" s="499">
        <v>555.71783446999996</v>
      </c>
      <c r="K32" s="499">
        <v>4666.3680000000004</v>
      </c>
      <c r="L32" s="499">
        <v>143.20814508999999</v>
      </c>
      <c r="M32" s="499">
        <f t="shared" si="1"/>
        <v>72.332810167499986</v>
      </c>
      <c r="N32" s="499">
        <v>12.352458927499999</v>
      </c>
      <c r="O32" s="499">
        <v>59.98035123999999</v>
      </c>
      <c r="P32" s="499">
        <v>69.633076680000002</v>
      </c>
      <c r="Q32" s="499">
        <v>1.4146473374999999</v>
      </c>
      <c r="R32" s="499">
        <v>1966.0542030699999</v>
      </c>
      <c r="S32" s="499">
        <v>580.56752014250003</v>
      </c>
      <c r="T32" s="499">
        <v>4573.3117499999998</v>
      </c>
    </row>
    <row r="33" spans="1:20" x14ac:dyDescent="0.2">
      <c r="A33" s="499" t="s">
        <v>206</v>
      </c>
      <c r="B33" s="499" t="s">
        <v>207</v>
      </c>
      <c r="C33" s="499">
        <v>185183.80559418997</v>
      </c>
      <c r="D33" s="300">
        <f t="shared" si="0"/>
        <v>136094.91724434998</v>
      </c>
      <c r="E33" s="499">
        <v>136094.91724434998</v>
      </c>
      <c r="F33" s="499">
        <v>0</v>
      </c>
      <c r="G33" s="499">
        <v>27275.206060049997</v>
      </c>
      <c r="H33" s="499">
        <v>10642.44302522</v>
      </c>
      <c r="I33" s="499">
        <v>1716179.2782628399</v>
      </c>
      <c r="J33" s="499">
        <v>1.2958179999999999</v>
      </c>
      <c r="K33" s="499">
        <v>37074.561999999998</v>
      </c>
      <c r="L33" s="499">
        <v>174304.45134058251</v>
      </c>
      <c r="M33" s="499">
        <f t="shared" si="1"/>
        <v>128007.08380122999</v>
      </c>
      <c r="N33" s="499">
        <v>128007.08380122999</v>
      </c>
      <c r="O33" s="499">
        <v>0</v>
      </c>
      <c r="P33" s="499">
        <v>25763.744974527501</v>
      </c>
      <c r="Q33" s="499">
        <v>7602.4788716800003</v>
      </c>
      <c r="R33" s="499">
        <v>1612576.9384242774</v>
      </c>
      <c r="S33" s="499">
        <v>1.2995387500000002</v>
      </c>
      <c r="T33" s="499">
        <v>36554.06925</v>
      </c>
    </row>
    <row r="34" spans="1:20" x14ac:dyDescent="0.2">
      <c r="A34" s="499" t="s">
        <v>329</v>
      </c>
      <c r="B34" s="499" t="s">
        <v>330</v>
      </c>
      <c r="C34" s="499">
        <v>83744.003720280001</v>
      </c>
      <c r="D34" s="300">
        <f t="shared" si="0"/>
        <v>26145.523694559994</v>
      </c>
      <c r="E34" s="499">
        <v>26145.523694559994</v>
      </c>
      <c r="F34" s="499">
        <v>0</v>
      </c>
      <c r="G34" s="499">
        <v>23433.207009429996</v>
      </c>
      <c r="I34" s="499">
        <v>705140.86040967982</v>
      </c>
      <c r="J34" s="499">
        <v>0.97788300000000006</v>
      </c>
      <c r="K34" s="499">
        <v>8484.130000000001</v>
      </c>
      <c r="L34" s="499">
        <v>80130.182880709996</v>
      </c>
      <c r="M34" s="499">
        <f t="shared" si="1"/>
        <v>25155.9604211675</v>
      </c>
      <c r="N34" s="499">
        <v>25155.9604211675</v>
      </c>
      <c r="O34" s="499">
        <v>0</v>
      </c>
      <c r="P34" s="499">
        <v>21415.8768284375</v>
      </c>
      <c r="R34" s="499">
        <v>684058.27540739242</v>
      </c>
      <c r="S34" s="499">
        <v>0.97758750000000005</v>
      </c>
      <c r="T34" s="499">
        <v>8367.1180000000004</v>
      </c>
    </row>
    <row r="35" spans="1:20" x14ac:dyDescent="0.2">
      <c r="A35" s="499" t="s">
        <v>209</v>
      </c>
      <c r="B35" s="499" t="s">
        <v>210</v>
      </c>
      <c r="C35" s="499">
        <v>27262.314912490001</v>
      </c>
      <c r="D35" s="300">
        <f t="shared" si="0"/>
        <v>13859.709283720002</v>
      </c>
      <c r="E35" s="499">
        <v>13859.709283720002</v>
      </c>
      <c r="F35" s="499">
        <v>0</v>
      </c>
      <c r="G35" s="499">
        <v>9060.768468440001</v>
      </c>
      <c r="H35" s="499">
        <v>732.02084413</v>
      </c>
      <c r="I35" s="499">
        <v>298258.01930561999</v>
      </c>
      <c r="J35" s="499">
        <v>641.27681299999995</v>
      </c>
      <c r="K35" s="499">
        <v>18729.16</v>
      </c>
      <c r="L35" s="499">
        <v>23492.832989144998</v>
      </c>
      <c r="M35" s="499">
        <f t="shared" si="1"/>
        <v>11709.789738405001</v>
      </c>
      <c r="N35" s="499">
        <v>11709.717878567501</v>
      </c>
      <c r="O35" s="499">
        <v>7.1859837499999996E-2</v>
      </c>
      <c r="P35" s="499">
        <v>7957.6426003550005</v>
      </c>
      <c r="Q35" s="499">
        <v>737.57478879000007</v>
      </c>
      <c r="R35" s="499">
        <v>267415.5477923975</v>
      </c>
      <c r="S35" s="499">
        <v>655.2981064999999</v>
      </c>
      <c r="T35" s="499">
        <v>18344.505000000001</v>
      </c>
    </row>
    <row r="36" spans="1:20" x14ac:dyDescent="0.2">
      <c r="A36" s="499" t="s">
        <v>446</v>
      </c>
      <c r="B36" s="499" t="s">
        <v>447</v>
      </c>
      <c r="C36" s="499">
        <v>715336.29364379996</v>
      </c>
      <c r="D36" s="300">
        <f t="shared" ref="D36:D67" si="2">E36+F36</f>
        <v>403571.77587298997</v>
      </c>
      <c r="E36" s="499">
        <v>403567.14043092995</v>
      </c>
      <c r="F36" s="499">
        <v>4.6354420600000008</v>
      </c>
      <c r="G36" s="499">
        <v>255737.41109397</v>
      </c>
      <c r="H36" s="499">
        <v>87433.160050369988</v>
      </c>
      <c r="I36" s="499">
        <v>13368073.057956854</v>
      </c>
      <c r="J36" s="499">
        <v>6.6159572600000001</v>
      </c>
      <c r="K36" s="499">
        <v>1427647.7859999998</v>
      </c>
      <c r="L36" s="499">
        <v>611140.81937929254</v>
      </c>
      <c r="M36" s="499">
        <f t="shared" ref="M36:M67" si="3">N36+O36</f>
        <v>352719.01341384248</v>
      </c>
      <c r="N36" s="499">
        <v>352703.11165130249</v>
      </c>
      <c r="O36" s="499">
        <v>15.901762539999998</v>
      </c>
      <c r="P36" s="499">
        <v>218262.42932926497</v>
      </c>
      <c r="Q36" s="499">
        <v>74467.236684670002</v>
      </c>
      <c r="R36" s="499">
        <v>11969594.914584691</v>
      </c>
      <c r="S36" s="499">
        <v>6.5616697075000001</v>
      </c>
      <c r="T36" s="499">
        <v>1417391.6995000001</v>
      </c>
    </row>
    <row r="37" spans="1:20" x14ac:dyDescent="0.2">
      <c r="A37" s="499" t="s">
        <v>104</v>
      </c>
      <c r="B37" s="499" t="s">
        <v>520</v>
      </c>
      <c r="C37" s="499">
        <v>1802.0115384700002</v>
      </c>
      <c r="D37" s="300">
        <f t="shared" si="2"/>
        <v>741.23913559999994</v>
      </c>
      <c r="E37" s="499">
        <v>519.20999642999993</v>
      </c>
      <c r="F37" s="499">
        <v>222.02913917000001</v>
      </c>
      <c r="G37" s="499">
        <v>710.45262433999983</v>
      </c>
      <c r="H37" s="499">
        <v>249.08070501999995</v>
      </c>
      <c r="I37" s="499">
        <v>43007.046953589997</v>
      </c>
      <c r="J37" s="499">
        <v>555.71783446999996</v>
      </c>
      <c r="K37" s="499">
        <v>25069.23</v>
      </c>
      <c r="L37" s="499">
        <v>1640.6883322925003</v>
      </c>
      <c r="M37" s="499">
        <f t="shared" si="3"/>
        <v>661.0246261625</v>
      </c>
      <c r="N37" s="499">
        <v>441.90495649749994</v>
      </c>
      <c r="O37" s="499">
        <v>219.119669665</v>
      </c>
      <c r="P37" s="499">
        <v>662.06786537499988</v>
      </c>
      <c r="Q37" s="499">
        <v>189.97681405249998</v>
      </c>
      <c r="R37" s="499">
        <v>37372.187248100003</v>
      </c>
      <c r="S37" s="499">
        <v>580.56752014250003</v>
      </c>
      <c r="T37" s="499">
        <v>24138.88925</v>
      </c>
    </row>
    <row r="38" spans="1:20" x14ac:dyDescent="0.2">
      <c r="A38" s="499" t="s">
        <v>106</v>
      </c>
      <c r="B38" s="499" t="s">
        <v>107</v>
      </c>
      <c r="C38" s="499">
        <v>1365.1967072299999</v>
      </c>
      <c r="D38" s="300">
        <f t="shared" si="2"/>
        <v>198.04921524000002</v>
      </c>
      <c r="E38" s="499">
        <v>81.361801510000006</v>
      </c>
      <c r="F38" s="499">
        <v>116.68741373</v>
      </c>
      <c r="G38" s="499">
        <v>1031.8040143100002</v>
      </c>
      <c r="H38" s="499">
        <v>163.73417291000001</v>
      </c>
      <c r="I38" s="499">
        <v>38675.264076229992</v>
      </c>
      <c r="J38" s="499">
        <v>555.71783446999996</v>
      </c>
      <c r="K38" s="499">
        <v>25216.267</v>
      </c>
      <c r="L38" s="499">
        <v>1240.1370085099998</v>
      </c>
      <c r="M38" s="499">
        <f t="shared" si="3"/>
        <v>209.99805885749998</v>
      </c>
      <c r="N38" s="499">
        <v>93.23094983</v>
      </c>
      <c r="O38" s="499">
        <v>116.7671090275</v>
      </c>
      <c r="P38" s="499">
        <v>903.92286218250013</v>
      </c>
      <c r="Q38" s="499">
        <v>168.03002061666666</v>
      </c>
      <c r="R38" s="499">
        <v>34283.9509156575</v>
      </c>
      <c r="S38" s="499">
        <v>580.56752014250003</v>
      </c>
      <c r="T38" s="499">
        <v>24251.814749999998</v>
      </c>
    </row>
    <row r="39" spans="1:20" x14ac:dyDescent="0.2">
      <c r="A39" s="499" t="s">
        <v>109</v>
      </c>
      <c r="B39" s="499" t="s">
        <v>110</v>
      </c>
      <c r="C39" s="499">
        <v>1556.1751204100001</v>
      </c>
      <c r="D39" s="300">
        <f t="shared" si="2"/>
        <v>782.68185020999999</v>
      </c>
      <c r="E39" s="499">
        <v>234.64596006000005</v>
      </c>
      <c r="F39" s="499">
        <v>548.03589015</v>
      </c>
      <c r="G39" s="499">
        <v>647.53440017000003</v>
      </c>
      <c r="H39" s="499">
        <v>29.07987</v>
      </c>
      <c r="I39" s="499">
        <v>47146.002625860005</v>
      </c>
      <c r="J39" s="499">
        <v>1622.5235595700001</v>
      </c>
      <c r="K39" s="499">
        <v>84068.090999999986</v>
      </c>
      <c r="L39" s="499">
        <v>1568.3878837275001</v>
      </c>
      <c r="M39" s="499">
        <f t="shared" si="3"/>
        <v>842.28548785999999</v>
      </c>
      <c r="N39" s="499">
        <v>211.91700479750003</v>
      </c>
      <c r="O39" s="499">
        <v>630.36848306249999</v>
      </c>
      <c r="P39" s="499">
        <v>612.44870477250004</v>
      </c>
      <c r="Q39" s="499">
        <v>48.9275835575</v>
      </c>
      <c r="R39" s="499">
        <v>40054.443477232504</v>
      </c>
      <c r="S39" s="499">
        <v>1255.8073120125</v>
      </c>
      <c r="T39" s="499">
        <v>80125.131500000003</v>
      </c>
    </row>
    <row r="40" spans="1:20" x14ac:dyDescent="0.2">
      <c r="A40" s="499" t="s">
        <v>111</v>
      </c>
      <c r="B40" s="499" t="s">
        <v>112</v>
      </c>
      <c r="C40" s="499">
        <v>249.20016322999999</v>
      </c>
      <c r="D40" s="300">
        <f t="shared" si="2"/>
        <v>111.40115736999999</v>
      </c>
      <c r="E40" s="499">
        <v>91.590914799999993</v>
      </c>
      <c r="F40" s="499">
        <v>19.81024257</v>
      </c>
      <c r="G40" s="499">
        <v>130.30805820999998</v>
      </c>
      <c r="H40" s="499">
        <v>9.1041517599999988</v>
      </c>
      <c r="I40" s="499">
        <v>11653.13149645</v>
      </c>
      <c r="J40" s="499">
        <v>555.71783446999996</v>
      </c>
      <c r="K40" s="499">
        <v>5244.3590000000004</v>
      </c>
      <c r="L40" s="499">
        <v>268.1707598575</v>
      </c>
      <c r="M40" s="499">
        <f t="shared" si="3"/>
        <v>141.06859230500001</v>
      </c>
      <c r="N40" s="499">
        <v>113.49667188000001</v>
      </c>
      <c r="O40" s="499">
        <v>27.571920425000002</v>
      </c>
      <c r="P40" s="499">
        <v>119.4449383825</v>
      </c>
      <c r="Q40" s="499">
        <v>17.631166947499999</v>
      </c>
      <c r="R40" s="499">
        <v>9224.7295139025009</v>
      </c>
      <c r="S40" s="499">
        <v>580.56752014250003</v>
      </c>
      <c r="T40" s="499">
        <v>5048.0362500000001</v>
      </c>
    </row>
    <row r="41" spans="1:20" x14ac:dyDescent="0.2">
      <c r="A41" s="499" t="s">
        <v>448</v>
      </c>
      <c r="B41" s="499" t="s">
        <v>449</v>
      </c>
      <c r="C41" s="499">
        <v>10.442760699999999</v>
      </c>
      <c r="D41" s="300">
        <f t="shared" si="2"/>
        <v>9.0699059300000009</v>
      </c>
      <c r="E41" s="499">
        <v>8.56001294</v>
      </c>
      <c r="F41" s="499">
        <v>0.5098929900000001</v>
      </c>
      <c r="G41" s="499">
        <v>0.71191174999999995</v>
      </c>
      <c r="H41" s="499">
        <v>0.6811931</v>
      </c>
      <c r="I41" s="499">
        <v>362.71389142999993</v>
      </c>
      <c r="J41" s="499">
        <v>1.4452583300000001</v>
      </c>
      <c r="K41" s="499">
        <v>17.518000000000001</v>
      </c>
      <c r="L41" s="499">
        <v>9.7085888624999992</v>
      </c>
      <c r="M41" s="499">
        <f t="shared" si="3"/>
        <v>8.879621307499999</v>
      </c>
      <c r="N41" s="499">
        <v>8.2107121949999993</v>
      </c>
      <c r="O41" s="499">
        <v>0.66890911250000007</v>
      </c>
      <c r="P41" s="499">
        <v>0.66373179500000001</v>
      </c>
      <c r="Q41" s="499">
        <v>0.6831618049999999</v>
      </c>
      <c r="R41" s="499">
        <v>330.08871100750002</v>
      </c>
      <c r="S41" s="499">
        <v>1.4307916650000001</v>
      </c>
      <c r="T41" s="499">
        <v>17.533749999999998</v>
      </c>
    </row>
    <row r="42" spans="1:20" x14ac:dyDescent="0.2">
      <c r="A42" s="499" t="s">
        <v>211</v>
      </c>
      <c r="B42" s="499" t="s">
        <v>212</v>
      </c>
      <c r="C42" s="499">
        <v>25483.9978333</v>
      </c>
      <c r="D42" s="300">
        <f t="shared" si="2"/>
        <v>18250.226519900003</v>
      </c>
      <c r="E42" s="499">
        <v>18250.226519900003</v>
      </c>
      <c r="F42" s="499">
        <v>0</v>
      </c>
      <c r="G42" s="499">
        <v>3855.9193272500002</v>
      </c>
      <c r="I42" s="499">
        <v>333568.92639241007</v>
      </c>
      <c r="J42" s="499">
        <v>2955.7039699800002</v>
      </c>
      <c r="K42" s="499">
        <v>49661.047999999995</v>
      </c>
      <c r="L42" s="499">
        <v>23203.058120335005</v>
      </c>
      <c r="M42" s="499">
        <f t="shared" si="3"/>
        <v>16470.739718367498</v>
      </c>
      <c r="N42" s="499">
        <v>16470.739718367498</v>
      </c>
      <c r="O42" s="499">
        <v>0</v>
      </c>
      <c r="P42" s="499">
        <v>3565.2604377100001</v>
      </c>
      <c r="Q42" s="499">
        <v>0</v>
      </c>
      <c r="R42" s="499">
        <v>305439.85557034251</v>
      </c>
      <c r="S42" s="499">
        <v>2925.7584750850001</v>
      </c>
      <c r="T42" s="499">
        <v>48566.651500000007</v>
      </c>
    </row>
    <row r="43" spans="1:20" x14ac:dyDescent="0.2">
      <c r="A43" s="499" t="s">
        <v>113</v>
      </c>
      <c r="B43" s="499" t="s">
        <v>114</v>
      </c>
      <c r="C43" s="499">
        <v>54.290498249999999</v>
      </c>
      <c r="D43" s="300">
        <f t="shared" si="2"/>
        <v>12.882745509999999</v>
      </c>
      <c r="E43" s="499">
        <v>5.0275911100000004</v>
      </c>
      <c r="F43" s="499">
        <v>7.8551544</v>
      </c>
      <c r="G43" s="499">
        <v>40.471703959999999</v>
      </c>
      <c r="I43" s="499">
        <v>1183.0963444000004</v>
      </c>
      <c r="J43" s="499">
        <v>416.58483886999994</v>
      </c>
      <c r="K43" s="499">
        <v>832.32199999999989</v>
      </c>
      <c r="L43" s="499">
        <v>49.917023069999999</v>
      </c>
      <c r="M43" s="499">
        <f t="shared" si="3"/>
        <v>12.282131257500001</v>
      </c>
      <c r="N43" s="499">
        <v>6.2011034275000014</v>
      </c>
      <c r="O43" s="499">
        <v>6.08102783</v>
      </c>
      <c r="P43" s="499">
        <v>36.784275722499999</v>
      </c>
      <c r="R43" s="499">
        <v>1070.0615561274999</v>
      </c>
      <c r="S43" s="499">
        <v>434.98509979250002</v>
      </c>
      <c r="T43" s="499">
        <v>804.80750000000012</v>
      </c>
    </row>
    <row r="44" spans="1:20" x14ac:dyDescent="0.2">
      <c r="A44" s="499" t="s">
        <v>115</v>
      </c>
      <c r="B44" s="499" t="s">
        <v>4477</v>
      </c>
      <c r="C44" s="499">
        <v>105.95673418000001</v>
      </c>
      <c r="D44" s="300">
        <f t="shared" si="2"/>
        <v>73.200388669999995</v>
      </c>
      <c r="E44" s="499">
        <v>63.748365049999997</v>
      </c>
      <c r="F44" s="499">
        <v>9.4520236200000021</v>
      </c>
      <c r="G44" s="499">
        <v>29.629075489999998</v>
      </c>
      <c r="I44" s="499">
        <v>1976.81104121</v>
      </c>
      <c r="J44" s="499">
        <v>93.413581849999986</v>
      </c>
      <c r="K44" s="499">
        <v>543.76700000000005</v>
      </c>
      <c r="L44" s="499">
        <v>89.580918935</v>
      </c>
      <c r="M44" s="499">
        <f t="shared" si="3"/>
        <v>61.964247207500001</v>
      </c>
      <c r="N44" s="499">
        <v>55.932702925000001</v>
      </c>
      <c r="O44" s="499">
        <v>6.0315442825000005</v>
      </c>
      <c r="P44" s="499">
        <v>25.162487847499996</v>
      </c>
      <c r="Q44" s="499">
        <v>9.4989572400000011</v>
      </c>
      <c r="R44" s="499">
        <v>1751.5998511749999</v>
      </c>
      <c r="S44" s="499">
        <v>97.573581695000001</v>
      </c>
      <c r="T44" s="499">
        <v>534.28850000000011</v>
      </c>
    </row>
    <row r="45" spans="1:20" x14ac:dyDescent="0.2">
      <c r="A45" s="499" t="s">
        <v>213</v>
      </c>
      <c r="B45" s="499" t="s">
        <v>214</v>
      </c>
      <c r="C45" s="499">
        <v>4547.8566382400004</v>
      </c>
      <c r="D45" s="300">
        <f t="shared" si="2"/>
        <v>3292.6556007700001</v>
      </c>
      <c r="E45" s="499">
        <v>3292.37310174</v>
      </c>
      <c r="F45" s="499">
        <v>0.28249902999999998</v>
      </c>
      <c r="G45" s="499">
        <v>1019.46688341</v>
      </c>
      <c r="H45" s="499">
        <v>151.03543127</v>
      </c>
      <c r="I45" s="499">
        <v>60130.106590589996</v>
      </c>
      <c r="J45" s="499">
        <v>576.97250125000005</v>
      </c>
      <c r="K45" s="499">
        <v>4999.4409999999998</v>
      </c>
      <c r="L45" s="499">
        <v>4350.5950263750001</v>
      </c>
      <c r="M45" s="499">
        <f t="shared" si="3"/>
        <v>3175.8259875675003</v>
      </c>
      <c r="N45" s="499">
        <v>3174.8111661475004</v>
      </c>
      <c r="O45" s="499">
        <v>1.0148214199999999</v>
      </c>
      <c r="P45" s="499">
        <v>962.53303483000013</v>
      </c>
      <c r="Q45" s="499">
        <v>141.8137202675</v>
      </c>
      <c r="R45" s="499">
        <v>57559.662742947497</v>
      </c>
      <c r="S45" s="499">
        <v>555.94768219000002</v>
      </c>
      <c r="T45" s="499">
        <v>4924.1359999999995</v>
      </c>
    </row>
    <row r="46" spans="1:20" x14ac:dyDescent="0.2">
      <c r="A46" s="499" t="s">
        <v>215</v>
      </c>
      <c r="B46" s="499" t="s">
        <v>216</v>
      </c>
      <c r="C46" s="499">
        <v>11190.027692140002</v>
      </c>
      <c r="D46" s="300">
        <f t="shared" si="2"/>
        <v>9958.2276921400007</v>
      </c>
      <c r="E46" s="499">
        <v>9948.5213104600007</v>
      </c>
      <c r="F46" s="499">
        <v>9.706381679999998</v>
      </c>
      <c r="G46" s="499">
        <v>1231.8</v>
      </c>
      <c r="H46" s="499">
        <v>301.2</v>
      </c>
      <c r="I46" s="499">
        <v>100023</v>
      </c>
      <c r="J46" s="499">
        <v>1</v>
      </c>
      <c r="K46" s="499">
        <v>11338.134</v>
      </c>
      <c r="L46" s="499">
        <v>11217.6176293075</v>
      </c>
      <c r="M46" s="499">
        <f t="shared" si="3"/>
        <v>10056.5686310375</v>
      </c>
      <c r="N46" s="499">
        <v>10047.6887298275</v>
      </c>
      <c r="O46" s="499">
        <v>8.8799012099999981</v>
      </c>
      <c r="P46" s="499">
        <v>1161.0489982700001</v>
      </c>
      <c r="Q46" s="499">
        <v>274.41123309</v>
      </c>
      <c r="R46" s="499">
        <v>93862.417775474998</v>
      </c>
      <c r="S46" s="499">
        <v>0.99979166750000004</v>
      </c>
      <c r="T46" s="499">
        <v>11334.31825</v>
      </c>
    </row>
    <row r="47" spans="1:20" x14ac:dyDescent="0.2">
      <c r="A47" s="499" t="s">
        <v>331</v>
      </c>
      <c r="B47" s="499" t="s">
        <v>332</v>
      </c>
      <c r="C47" s="499">
        <v>1689.0686968800001</v>
      </c>
      <c r="D47" s="300">
        <f t="shared" si="2"/>
        <v>729.30358828999999</v>
      </c>
      <c r="E47" s="499">
        <v>722.95387295</v>
      </c>
      <c r="F47" s="499">
        <v>6.3497153400000004</v>
      </c>
      <c r="G47" s="499">
        <v>753.98607176999997</v>
      </c>
      <c r="I47" s="499">
        <v>24950.188857410001</v>
      </c>
      <c r="J47" s="499">
        <v>0.84719999999999995</v>
      </c>
      <c r="K47" s="499">
        <v>864.2360000000001</v>
      </c>
      <c r="L47" s="499">
        <v>1501.7334463449999</v>
      </c>
      <c r="M47" s="499">
        <f t="shared" si="3"/>
        <v>632.80857126750004</v>
      </c>
      <c r="N47" s="499">
        <v>625.02773403250001</v>
      </c>
      <c r="O47" s="499">
        <v>7.7808372349999999</v>
      </c>
      <c r="P47" s="499">
        <v>679.28380281750003</v>
      </c>
      <c r="Q47" s="499">
        <v>30.695032520000002</v>
      </c>
      <c r="R47" s="499">
        <v>22045.661649497502</v>
      </c>
      <c r="S47" s="499">
        <v>0.88505</v>
      </c>
      <c r="T47" s="499">
        <v>853.59124999999995</v>
      </c>
    </row>
    <row r="48" spans="1:20" x14ac:dyDescent="0.2">
      <c r="A48" s="499" t="s">
        <v>333</v>
      </c>
      <c r="B48" s="499" t="s">
        <v>4279</v>
      </c>
      <c r="C48" s="499">
        <v>18732.991817379996</v>
      </c>
      <c r="D48" s="300">
        <f t="shared" si="2"/>
        <v>15492.892239280001</v>
      </c>
      <c r="E48" s="499">
        <v>15492.892239280001</v>
      </c>
      <c r="F48" s="499">
        <v>0</v>
      </c>
      <c r="G48" s="499">
        <v>2658.3241436200001</v>
      </c>
      <c r="H48" s="499">
        <v>278.04290047000001</v>
      </c>
      <c r="I48" s="499">
        <v>244987.40607247004</v>
      </c>
      <c r="J48" s="499">
        <v>21.729917</v>
      </c>
      <c r="K48" s="499">
        <v>10610.055</v>
      </c>
      <c r="L48" s="499">
        <v>15456.56619288</v>
      </c>
      <c r="M48" s="499">
        <f t="shared" si="3"/>
        <v>12701.175870600002</v>
      </c>
      <c r="N48" s="499">
        <v>12701.175870600002</v>
      </c>
      <c r="O48" s="499">
        <v>0</v>
      </c>
      <c r="P48" s="499">
        <v>2268.1516170999998</v>
      </c>
      <c r="Q48" s="499">
        <v>232.63809720500001</v>
      </c>
      <c r="R48" s="499">
        <v>210705.29111934252</v>
      </c>
      <c r="S48" s="499">
        <v>23.536229250000002</v>
      </c>
      <c r="T48" s="499">
        <v>10570.248250000001</v>
      </c>
    </row>
    <row r="49" spans="1:20" x14ac:dyDescent="0.2">
      <c r="A49" s="499" t="s">
        <v>335</v>
      </c>
      <c r="B49" s="499" t="s">
        <v>336</v>
      </c>
      <c r="C49" s="499">
        <v>453056.48621294991</v>
      </c>
      <c r="D49" s="300">
        <f t="shared" si="2"/>
        <v>351952.64846658998</v>
      </c>
      <c r="E49" s="499">
        <v>351952.64846658998</v>
      </c>
      <c r="F49" s="499">
        <v>0</v>
      </c>
      <c r="G49" s="499">
        <v>57305.795059599994</v>
      </c>
      <c r="I49" s="499">
        <v>3963765.9679748891</v>
      </c>
      <c r="J49" s="499">
        <v>0.846773</v>
      </c>
      <c r="K49" s="499">
        <v>82792.350999999995</v>
      </c>
      <c r="L49" s="499">
        <v>408750.76937565749</v>
      </c>
      <c r="M49" s="499">
        <f t="shared" si="3"/>
        <v>316465.20001483243</v>
      </c>
      <c r="N49" s="499">
        <v>316465.20001483243</v>
      </c>
      <c r="O49" s="499">
        <v>0</v>
      </c>
      <c r="P49" s="499">
        <v>52599.386838575003</v>
      </c>
      <c r="R49" s="499">
        <v>3618452.2095647501</v>
      </c>
      <c r="S49" s="499">
        <v>0.88417400000000002</v>
      </c>
      <c r="T49" s="499">
        <v>82171.806249999994</v>
      </c>
    </row>
    <row r="50" spans="1:20" x14ac:dyDescent="0.2">
      <c r="A50" s="499" t="s">
        <v>271</v>
      </c>
      <c r="B50" s="499" t="s">
        <v>272</v>
      </c>
      <c r="C50" s="499">
        <v>67.95018657</v>
      </c>
      <c r="D50" s="300">
        <f t="shared" si="2"/>
        <v>47.156738680000004</v>
      </c>
      <c r="E50" s="499">
        <v>33.679190370000001</v>
      </c>
      <c r="F50" s="499">
        <v>13.47754831</v>
      </c>
      <c r="G50" s="499">
        <v>19.629318390000002</v>
      </c>
      <c r="I50" s="499">
        <v>2923.3625727700005</v>
      </c>
      <c r="J50" s="499">
        <v>177.72000122000003</v>
      </c>
      <c r="K50" s="499">
        <v>958.923</v>
      </c>
      <c r="L50" s="499">
        <v>70.694657422500001</v>
      </c>
      <c r="M50" s="499">
        <f t="shared" si="3"/>
        <v>52.296473859999999</v>
      </c>
      <c r="N50" s="499">
        <v>35.343088004999998</v>
      </c>
      <c r="O50" s="499">
        <v>16.953385855000001</v>
      </c>
      <c r="P50" s="499">
        <v>17.368153892500001</v>
      </c>
      <c r="R50" s="499">
        <v>2688.576112535</v>
      </c>
      <c r="S50" s="499">
        <v>177.72000122000003</v>
      </c>
      <c r="T50" s="499">
        <v>936.53174999999987</v>
      </c>
    </row>
    <row r="51" spans="1:20" x14ac:dyDescent="0.2">
      <c r="A51" s="499" t="s">
        <v>217</v>
      </c>
      <c r="B51" s="499" t="s">
        <v>218</v>
      </c>
      <c r="C51" s="499">
        <v>35.154859589999987</v>
      </c>
      <c r="D51" s="300">
        <f t="shared" si="2"/>
        <v>23.450296079999994</v>
      </c>
      <c r="E51" s="499">
        <v>22.784494669999994</v>
      </c>
      <c r="F51" s="499">
        <v>0.66580140999999993</v>
      </c>
      <c r="G51" s="499">
        <v>11.381734550000001</v>
      </c>
      <c r="H51" s="499">
        <v>1.2852418500000002</v>
      </c>
      <c r="I51" s="499">
        <v>533.33333332999996</v>
      </c>
      <c r="J51" s="499">
        <v>2.7</v>
      </c>
      <c r="K51" s="499">
        <v>71.625</v>
      </c>
      <c r="L51" s="499">
        <v>30.335777949999997</v>
      </c>
      <c r="M51" s="499">
        <f t="shared" si="3"/>
        <v>20.363400229999996</v>
      </c>
      <c r="N51" s="499">
        <v>19.806106037499998</v>
      </c>
      <c r="O51" s="499">
        <v>0.5572941924999999</v>
      </c>
      <c r="P51" s="499">
        <v>9.6973249824999996</v>
      </c>
      <c r="Q51" s="499">
        <v>2.2292931924999997</v>
      </c>
      <c r="R51" s="499">
        <v>543.33333333249993</v>
      </c>
      <c r="S51" s="499">
        <v>2.7</v>
      </c>
      <c r="T51" s="499">
        <v>71.393249999999995</v>
      </c>
    </row>
    <row r="52" spans="1:20" x14ac:dyDescent="0.2">
      <c r="A52" s="499" t="s">
        <v>337</v>
      </c>
      <c r="B52" s="499" t="s">
        <v>338</v>
      </c>
      <c r="C52" s="499">
        <v>35940.318392120003</v>
      </c>
      <c r="D52" s="300">
        <f t="shared" si="2"/>
        <v>30146.941500819998</v>
      </c>
      <c r="E52" s="499">
        <v>30146.941500819998</v>
      </c>
      <c r="F52" s="499">
        <v>0</v>
      </c>
      <c r="G52" s="499">
        <v>4947.2226875400002</v>
      </c>
      <c r="H52" s="499">
        <v>1971.00886055</v>
      </c>
      <c r="I52" s="499">
        <v>356879.48774106998</v>
      </c>
      <c r="J52" s="499">
        <v>6.3146190000000004</v>
      </c>
      <c r="K52" s="499">
        <v>5781.1900000000005</v>
      </c>
      <c r="L52" s="499">
        <v>33000.793298002507</v>
      </c>
      <c r="M52" s="499">
        <f t="shared" si="3"/>
        <v>27735.835424454999</v>
      </c>
      <c r="N52" s="499">
        <v>27735.835424454999</v>
      </c>
      <c r="O52" s="499">
        <v>0</v>
      </c>
      <c r="P52" s="499">
        <v>4529.194186974999</v>
      </c>
      <c r="Q52" s="499">
        <v>1940.6784721775002</v>
      </c>
      <c r="R52" s="499">
        <v>326197.3948761425</v>
      </c>
      <c r="S52" s="499">
        <v>6.5942842500000003</v>
      </c>
      <c r="T52" s="499">
        <v>5724.2312500000007</v>
      </c>
    </row>
    <row r="53" spans="1:20" x14ac:dyDescent="0.2">
      <c r="A53" s="499" t="s">
        <v>219</v>
      </c>
      <c r="B53" s="499" t="s">
        <v>220</v>
      </c>
      <c r="C53" s="499">
        <v>4904.8771743799998</v>
      </c>
      <c r="D53" s="300">
        <f t="shared" si="2"/>
        <v>2219.7416453199999</v>
      </c>
      <c r="E53" s="499">
        <v>2173.2078151799997</v>
      </c>
      <c r="F53" s="499">
        <v>46.533830140000006</v>
      </c>
      <c r="G53" s="499">
        <v>2194.6714500499997</v>
      </c>
      <c r="H53" s="499">
        <v>222.25737228000008</v>
      </c>
      <c r="I53" s="499">
        <v>85555.39508918002</v>
      </c>
      <c r="J53" s="499">
        <v>49.509992859999997</v>
      </c>
      <c r="K53" s="499">
        <v>10627.141</v>
      </c>
      <c r="L53" s="499">
        <v>4524.4056189749999</v>
      </c>
      <c r="M53" s="499">
        <f t="shared" si="3"/>
        <v>2108.7172108724999</v>
      </c>
      <c r="N53" s="499">
        <v>2005.3397687624997</v>
      </c>
      <c r="O53" s="499">
        <v>103.37744211</v>
      </c>
      <c r="P53" s="499">
        <v>2003.4551210874997</v>
      </c>
      <c r="Q53" s="499">
        <v>175.08156752000002</v>
      </c>
      <c r="R53" s="499">
        <v>78105.732026492507</v>
      </c>
      <c r="S53" s="499">
        <v>47.038573517499998</v>
      </c>
      <c r="T53" s="499">
        <v>10454.916499999999</v>
      </c>
    </row>
    <row r="54" spans="1:20" x14ac:dyDescent="0.2">
      <c r="A54" s="499" t="s">
        <v>117</v>
      </c>
      <c r="B54" s="499" t="s">
        <v>118</v>
      </c>
      <c r="C54" s="499">
        <v>10804.958832979999</v>
      </c>
      <c r="D54" s="300">
        <f t="shared" si="2"/>
        <v>7116.2736024099995</v>
      </c>
      <c r="E54" s="499">
        <v>7113.3612944399993</v>
      </c>
      <c r="F54" s="499">
        <v>2.9123079699999996</v>
      </c>
      <c r="G54" s="499">
        <v>3527.4469294300006</v>
      </c>
      <c r="I54" s="499">
        <v>173757.11280549996</v>
      </c>
      <c r="J54" s="499">
        <v>116.59378814999999</v>
      </c>
      <c r="K54" s="499">
        <v>42228.407999999996</v>
      </c>
      <c r="L54" s="499">
        <v>10910.635859394999</v>
      </c>
      <c r="M54" s="499">
        <f t="shared" si="3"/>
        <v>7372.0291741099991</v>
      </c>
      <c r="N54" s="499">
        <v>7369.0997794074992</v>
      </c>
      <c r="O54" s="499">
        <v>2.9293947024999998</v>
      </c>
      <c r="P54" s="499">
        <v>3383.89169425</v>
      </c>
      <c r="Q54" s="499">
        <v>18.313374589999999</v>
      </c>
      <c r="R54" s="499">
        <v>166790.11597911248</v>
      </c>
      <c r="S54" s="499">
        <v>109.42532730249999</v>
      </c>
      <c r="T54" s="499">
        <v>40974.253500000006</v>
      </c>
    </row>
    <row r="55" spans="1:20" x14ac:dyDescent="0.2">
      <c r="A55" s="499" t="s">
        <v>221</v>
      </c>
      <c r="B55" s="499" t="s">
        <v>222</v>
      </c>
      <c r="C55" s="499">
        <v>8819.7016315300025</v>
      </c>
      <c r="D55" s="300">
        <f t="shared" si="2"/>
        <v>4594.202810159999</v>
      </c>
      <c r="E55" s="499">
        <v>4585.736116439999</v>
      </c>
      <c r="F55" s="499">
        <v>8.4666937200000003</v>
      </c>
      <c r="G55" s="499">
        <v>3514.0996465699995</v>
      </c>
      <c r="I55" s="499">
        <v>108398</v>
      </c>
      <c r="J55" s="499">
        <v>1</v>
      </c>
      <c r="K55" s="499">
        <v>17084.358</v>
      </c>
      <c r="L55" s="499">
        <v>8562.5416958200003</v>
      </c>
      <c r="M55" s="499">
        <f t="shared" si="3"/>
        <v>4424.8227844724988</v>
      </c>
      <c r="N55" s="499">
        <v>4394.9426648249992</v>
      </c>
      <c r="O55" s="499">
        <v>29.880119647500003</v>
      </c>
      <c r="P55" s="499">
        <v>3499.0913816424995</v>
      </c>
      <c r="Q55" s="499">
        <v>191.25428871999998</v>
      </c>
      <c r="R55" s="499">
        <v>102980.5</v>
      </c>
      <c r="S55" s="499">
        <v>1</v>
      </c>
      <c r="T55" s="499">
        <v>16643.213750000003</v>
      </c>
    </row>
    <row r="56" spans="1:20" x14ac:dyDescent="0.2">
      <c r="A56" s="499" t="s">
        <v>273</v>
      </c>
      <c r="B56" s="499" t="s">
        <v>274</v>
      </c>
      <c r="C56" s="499">
        <v>12356.627528989999</v>
      </c>
      <c r="D56" s="300">
        <f t="shared" si="2"/>
        <v>3632.299305009999</v>
      </c>
      <c r="E56" s="499">
        <v>3550.2914253299991</v>
      </c>
      <c r="F56" s="499">
        <v>82.007879680000002</v>
      </c>
      <c r="G56" s="499">
        <v>7693.38110108</v>
      </c>
      <c r="I56" s="499">
        <v>249751.08584539001</v>
      </c>
      <c r="J56" s="499">
        <v>17.767290119999998</v>
      </c>
      <c r="K56" s="499">
        <v>98423.598000000013</v>
      </c>
      <c r="L56" s="499">
        <v>13700.520102314998</v>
      </c>
      <c r="M56" s="499">
        <f t="shared" si="3"/>
        <v>4260.552804183334</v>
      </c>
      <c r="N56" s="499">
        <v>4181.8112641325006</v>
      </c>
      <c r="O56" s="499">
        <v>78.741540050833322</v>
      </c>
      <c r="P56" s="499">
        <v>8131.7014819249998</v>
      </c>
      <c r="R56" s="499">
        <v>258222.56297574748</v>
      </c>
      <c r="S56" s="499">
        <v>13.31662083</v>
      </c>
      <c r="T56" s="499">
        <v>95438.952250000002</v>
      </c>
    </row>
    <row r="57" spans="1:20" x14ac:dyDescent="0.2">
      <c r="A57" s="499" t="s">
        <v>120</v>
      </c>
      <c r="B57" s="499" t="s">
        <v>121</v>
      </c>
      <c r="C57" s="499">
        <v>82.128065860000007</v>
      </c>
      <c r="D57" s="300">
        <f t="shared" si="2"/>
        <v>42.178576460000002</v>
      </c>
      <c r="E57" s="499">
        <v>12.787915139999999</v>
      </c>
      <c r="F57" s="499">
        <v>29.39066132</v>
      </c>
      <c r="G57" s="499">
        <v>39.949489409999998</v>
      </c>
      <c r="I57" s="499">
        <v>2006.7661944500001</v>
      </c>
      <c r="J57" s="499">
        <v>15.07499981</v>
      </c>
      <c r="K57" s="499">
        <v>3452.7860000000001</v>
      </c>
      <c r="L57" s="499">
        <v>80.179879957500006</v>
      </c>
      <c r="M57" s="499">
        <f t="shared" si="3"/>
        <v>40.650468007499995</v>
      </c>
      <c r="N57" s="499">
        <v>14.036754237499999</v>
      </c>
      <c r="O57" s="499">
        <v>26.613713769999997</v>
      </c>
      <c r="P57" s="499">
        <v>39.529411955</v>
      </c>
      <c r="R57" s="499">
        <v>2026.2145419199996</v>
      </c>
      <c r="S57" s="499">
        <v>15.21875</v>
      </c>
      <c r="T57" s="499">
        <v>3396.2635</v>
      </c>
    </row>
    <row r="58" spans="1:20" x14ac:dyDescent="0.2">
      <c r="A58" s="499" t="s">
        <v>339</v>
      </c>
      <c r="B58" s="499" t="s">
        <v>340</v>
      </c>
      <c r="C58" s="499">
        <v>127672.58721641</v>
      </c>
      <c r="D58" s="300">
        <f t="shared" si="2"/>
        <v>89885.677836339994</v>
      </c>
      <c r="E58" s="499">
        <v>89885.677836339994</v>
      </c>
      <c r="F58" s="499">
        <v>0</v>
      </c>
      <c r="G58" s="499">
        <v>28298.039857050004</v>
      </c>
      <c r="I58" s="499">
        <v>1422153.2807493901</v>
      </c>
      <c r="J58" s="499">
        <v>0.846773</v>
      </c>
      <c r="K58" s="499">
        <v>46658.447</v>
      </c>
      <c r="L58" s="499">
        <v>116135.57800183748</v>
      </c>
      <c r="M58" s="499">
        <f t="shared" si="3"/>
        <v>82403.425692265009</v>
      </c>
      <c r="N58" s="499">
        <v>82403.425692265009</v>
      </c>
      <c r="O58" s="499">
        <v>0</v>
      </c>
      <c r="P58" s="499">
        <v>25706.554459097504</v>
      </c>
      <c r="R58" s="499">
        <v>1290801.4867727824</v>
      </c>
      <c r="S58" s="499">
        <v>0.88417400000000002</v>
      </c>
      <c r="T58" s="499">
        <v>46519.033750000002</v>
      </c>
    </row>
    <row r="59" spans="1:20" x14ac:dyDescent="0.2">
      <c r="A59" s="499" t="s">
        <v>341</v>
      </c>
      <c r="B59" s="499" t="s">
        <v>342</v>
      </c>
      <c r="C59" s="499">
        <v>2048.5722891500004</v>
      </c>
      <c r="D59" s="300">
        <f t="shared" si="2"/>
        <v>1507.7421835600001</v>
      </c>
      <c r="E59" s="499">
        <v>1507.22070968</v>
      </c>
      <c r="F59" s="499">
        <v>0.52147388000000006</v>
      </c>
      <c r="G59" s="499">
        <v>505.39023564000001</v>
      </c>
      <c r="H59" s="499">
        <v>66.569198589999999</v>
      </c>
      <c r="I59" s="499">
        <v>30631.130184829999</v>
      </c>
      <c r="J59" s="499">
        <v>0.846773</v>
      </c>
      <c r="K59" s="499">
        <v>1319.1329999999998</v>
      </c>
      <c r="L59" s="499">
        <v>1712.506813295</v>
      </c>
      <c r="M59" s="499">
        <f t="shared" si="3"/>
        <v>1275.0476896025</v>
      </c>
      <c r="N59" s="499">
        <v>1273.3281778825001</v>
      </c>
      <c r="O59" s="499">
        <v>1.7195117200000001</v>
      </c>
      <c r="P59" s="499">
        <v>408.88181382499999</v>
      </c>
      <c r="Q59" s="499">
        <v>91.734246119999995</v>
      </c>
      <c r="R59" s="499">
        <v>26229.238592592497</v>
      </c>
      <c r="S59" s="499">
        <v>0.88417400000000002</v>
      </c>
      <c r="T59" s="499">
        <v>1316.3955000000001</v>
      </c>
    </row>
    <row r="60" spans="1:20" x14ac:dyDescent="0.2">
      <c r="A60" s="499" t="s">
        <v>122</v>
      </c>
      <c r="B60" s="499" t="s">
        <v>123</v>
      </c>
      <c r="C60" s="499">
        <v>2646.0833979900008</v>
      </c>
      <c r="D60" s="300">
        <f t="shared" si="2"/>
        <v>1569.18913286</v>
      </c>
      <c r="E60" s="499">
        <v>618.34423432000006</v>
      </c>
      <c r="F60" s="499">
        <v>950.84489853999992</v>
      </c>
      <c r="G60" s="499">
        <v>938.47453058999997</v>
      </c>
      <c r="I60" s="499">
        <v>80292.4640296</v>
      </c>
      <c r="J60" s="499">
        <v>27.429386139999998</v>
      </c>
      <c r="K60" s="499">
        <v>109224.41400000002</v>
      </c>
      <c r="L60" s="499">
        <v>2576.9012337450004</v>
      </c>
      <c r="M60" s="499">
        <f t="shared" si="3"/>
        <v>1348.1838285000001</v>
      </c>
      <c r="N60" s="499">
        <v>634.53972908000003</v>
      </c>
      <c r="O60" s="499">
        <v>713.64409942000009</v>
      </c>
      <c r="P60" s="499">
        <v>914.34905149250005</v>
      </c>
      <c r="Q60" s="499">
        <v>256.82703623000003</v>
      </c>
      <c r="R60" s="499">
        <v>72498.578944217501</v>
      </c>
      <c r="S60" s="499">
        <v>23.400971412499999</v>
      </c>
      <c r="T60" s="499">
        <v>105015.81450000001</v>
      </c>
    </row>
    <row r="61" spans="1:20" x14ac:dyDescent="0.2">
      <c r="A61" s="499" t="s">
        <v>343</v>
      </c>
      <c r="B61" s="499" t="s">
        <v>344</v>
      </c>
      <c r="C61" s="499">
        <v>24938.169956400005</v>
      </c>
      <c r="D61" s="300">
        <f t="shared" si="2"/>
        <v>19591.62988484</v>
      </c>
      <c r="E61" s="499">
        <v>19590.637067340002</v>
      </c>
      <c r="F61" s="499">
        <v>0.99281749999999991</v>
      </c>
      <c r="G61" s="499">
        <v>4596.2751767700001</v>
      </c>
      <c r="H61" s="499">
        <v>1271.5379446399998</v>
      </c>
      <c r="I61" s="499">
        <v>275946.44609594002</v>
      </c>
      <c r="J61" s="499">
        <v>0.846773</v>
      </c>
      <c r="K61" s="499">
        <v>5522.5759999999991</v>
      </c>
      <c r="L61" s="499">
        <v>23367.812299174999</v>
      </c>
      <c r="M61" s="499">
        <f t="shared" si="3"/>
        <v>18285.355971242501</v>
      </c>
      <c r="N61" s="499">
        <v>18284.794296327502</v>
      </c>
      <c r="O61" s="499">
        <v>0.561674915</v>
      </c>
      <c r="P61" s="499">
        <v>4401.4898180149994</v>
      </c>
      <c r="Q61" s="499">
        <v>1086.5451521074999</v>
      </c>
      <c r="R61" s="499">
        <v>251621.13041933498</v>
      </c>
      <c r="S61" s="499">
        <v>0.88417400000000002</v>
      </c>
      <c r="T61" s="499">
        <v>5503.1954999999998</v>
      </c>
    </row>
    <row r="62" spans="1:20" x14ac:dyDescent="0.2">
      <c r="A62" s="499" t="s">
        <v>450</v>
      </c>
      <c r="B62" s="499" t="s">
        <v>451</v>
      </c>
      <c r="C62" s="499">
        <v>189.55463042000002</v>
      </c>
      <c r="D62" s="300">
        <f t="shared" si="2"/>
        <v>133.65000271999997</v>
      </c>
      <c r="E62" s="499">
        <v>129.48387685999998</v>
      </c>
      <c r="F62" s="499">
        <v>4.1661258599999993</v>
      </c>
      <c r="G62" s="499">
        <v>26.89372358</v>
      </c>
      <c r="I62" s="499">
        <v>5536.5989069100006</v>
      </c>
      <c r="J62" s="499">
        <v>2.08738256</v>
      </c>
      <c r="K62" s="499">
        <v>883.48299999999995</v>
      </c>
      <c r="L62" s="499">
        <v>169.38453902000001</v>
      </c>
      <c r="M62" s="499">
        <f t="shared" si="3"/>
        <v>115.29069791999997</v>
      </c>
      <c r="N62" s="499">
        <v>111.01710634999998</v>
      </c>
      <c r="O62" s="499">
        <v>4.2735915699999998</v>
      </c>
      <c r="P62" s="499">
        <v>29.900799979999999</v>
      </c>
      <c r="Q62" s="499">
        <v>18.094968976666664</v>
      </c>
      <c r="R62" s="499">
        <v>5125.6534595025005</v>
      </c>
      <c r="S62" s="499">
        <v>2.0866430425</v>
      </c>
      <c r="T62" s="499">
        <v>875.49199999999996</v>
      </c>
    </row>
    <row r="63" spans="1:20" x14ac:dyDescent="0.2">
      <c r="A63" s="499" t="s">
        <v>345</v>
      </c>
      <c r="B63" s="499" t="s">
        <v>346</v>
      </c>
      <c r="C63" s="499">
        <v>313854.99754799</v>
      </c>
      <c r="D63" s="300">
        <f t="shared" si="2"/>
        <v>230279.21296499006</v>
      </c>
      <c r="E63" s="499">
        <v>230279.21296499006</v>
      </c>
      <c r="F63" s="499">
        <v>0</v>
      </c>
      <c r="G63" s="499">
        <v>29026.4083508</v>
      </c>
      <c r="H63" s="499">
        <v>14035.371935570001</v>
      </c>
      <c r="I63" s="499">
        <v>2787862.86289242</v>
      </c>
      <c r="J63" s="499">
        <v>0.846773</v>
      </c>
      <c r="K63" s="499">
        <v>66918.940999999992</v>
      </c>
      <c r="L63" s="499">
        <v>293390.52344471001</v>
      </c>
      <c r="M63" s="499">
        <f t="shared" si="3"/>
        <v>214005.31472958502</v>
      </c>
      <c r="N63" s="499">
        <v>214005.31472958502</v>
      </c>
      <c r="O63" s="499">
        <v>0</v>
      </c>
      <c r="P63" s="499">
        <v>27877.334624325002</v>
      </c>
      <c r="Q63" s="499">
        <v>13340.760450365</v>
      </c>
      <c r="R63" s="499">
        <v>2573791.9485456077</v>
      </c>
      <c r="S63" s="499">
        <v>0.88417400000000002</v>
      </c>
      <c r="T63" s="499">
        <v>66706.325249999994</v>
      </c>
    </row>
    <row r="64" spans="1:20" x14ac:dyDescent="0.2">
      <c r="A64" s="499" t="s">
        <v>452</v>
      </c>
      <c r="B64" s="499" t="s">
        <v>453</v>
      </c>
      <c r="C64" s="499">
        <v>46.837603289999997</v>
      </c>
      <c r="D64" s="300">
        <f t="shared" si="2"/>
        <v>45.732326970000003</v>
      </c>
      <c r="E64" s="499">
        <v>12.329056</v>
      </c>
      <c r="F64" s="499">
        <v>33.403270970000001</v>
      </c>
      <c r="G64" s="499">
        <v>1.1052763199999998</v>
      </c>
      <c r="H64" s="499">
        <v>1.6027670000000005</v>
      </c>
      <c r="I64" s="499">
        <v>372</v>
      </c>
      <c r="J64" s="499">
        <v>1</v>
      </c>
      <c r="K64" s="499">
        <v>112.64000000000001</v>
      </c>
      <c r="L64" s="499">
        <v>43.634925452500006</v>
      </c>
      <c r="M64" s="499">
        <f t="shared" si="3"/>
        <v>42.568840972499999</v>
      </c>
      <c r="N64" s="499">
        <v>11.4037293025</v>
      </c>
      <c r="O64" s="499">
        <v>31.165111670000002</v>
      </c>
      <c r="P64" s="499">
        <v>1.06608448</v>
      </c>
      <c r="Q64" s="499">
        <v>1.2086218200000003</v>
      </c>
      <c r="R64" s="499">
        <v>345.25</v>
      </c>
      <c r="S64" s="499">
        <v>1</v>
      </c>
      <c r="T64" s="499">
        <v>110.80225000000002</v>
      </c>
    </row>
    <row r="65" spans="1:20" x14ac:dyDescent="0.2">
      <c r="A65" s="499" t="s">
        <v>124</v>
      </c>
      <c r="B65" s="499" t="s">
        <v>125</v>
      </c>
      <c r="C65" s="499">
        <v>462.7831335699999</v>
      </c>
      <c r="D65" s="300">
        <f t="shared" si="2"/>
        <v>276.84206898999992</v>
      </c>
      <c r="E65" s="499">
        <v>271.18466005999994</v>
      </c>
      <c r="F65" s="499">
        <v>5.6574089299999999</v>
      </c>
      <c r="G65" s="499">
        <v>106.96840146999998</v>
      </c>
      <c r="H65" s="499">
        <v>59.526579349999999</v>
      </c>
      <c r="I65" s="499">
        <v>16858.888484179995</v>
      </c>
      <c r="J65" s="499">
        <v>555.71783446999996</v>
      </c>
      <c r="K65" s="499">
        <v>2119.2750000000001</v>
      </c>
      <c r="L65" s="499">
        <v>423.62482247249989</v>
      </c>
      <c r="M65" s="499">
        <f t="shared" si="3"/>
        <v>263.60341253999997</v>
      </c>
      <c r="N65" s="499">
        <v>260.02633386499997</v>
      </c>
      <c r="O65" s="499">
        <v>3.5770786749999997</v>
      </c>
      <c r="P65" s="499">
        <v>102.08376864749999</v>
      </c>
      <c r="Q65" s="499">
        <v>45.911676947499998</v>
      </c>
      <c r="R65" s="499">
        <v>15035.7771228375</v>
      </c>
      <c r="S65" s="499">
        <v>580.56752014250003</v>
      </c>
      <c r="T65" s="499">
        <v>2034.9142499999998</v>
      </c>
    </row>
    <row r="66" spans="1:20" x14ac:dyDescent="0.2">
      <c r="A66" s="499" t="s">
        <v>347</v>
      </c>
      <c r="B66" s="499" t="s">
        <v>4280</v>
      </c>
      <c r="C66" s="499">
        <v>285998.81026609999</v>
      </c>
      <c r="D66" s="300">
        <f t="shared" si="2"/>
        <v>224843.05015901005</v>
      </c>
      <c r="E66" s="499">
        <v>224805.67989577004</v>
      </c>
      <c r="F66" s="499">
        <v>37.37026324</v>
      </c>
      <c r="G66" s="499">
        <v>47785.710634090006</v>
      </c>
      <c r="I66" s="499">
        <v>2860857.1748771202</v>
      </c>
      <c r="J66" s="499">
        <v>0.74953199999999998</v>
      </c>
      <c r="K66" s="499">
        <v>66273.576000000001</v>
      </c>
      <c r="L66" s="499">
        <v>275965.74233012996</v>
      </c>
      <c r="M66" s="499">
        <f t="shared" si="3"/>
        <v>219823.87425181997</v>
      </c>
      <c r="N66" s="499">
        <v>219790.91085709748</v>
      </c>
      <c r="O66" s="499">
        <v>32.963394722499999</v>
      </c>
      <c r="P66" s="499">
        <v>43426.872666157506</v>
      </c>
      <c r="Q66" s="499">
        <v>8340.3532877966663</v>
      </c>
      <c r="R66" s="499">
        <v>2787513.059288552</v>
      </c>
      <c r="S66" s="499">
        <v>0.7304219999999999</v>
      </c>
      <c r="T66" s="499">
        <v>65587.538750000007</v>
      </c>
    </row>
    <row r="67" spans="1:20" x14ac:dyDescent="0.2">
      <c r="A67" s="499" t="s">
        <v>349</v>
      </c>
      <c r="B67" s="499" t="s">
        <v>350</v>
      </c>
      <c r="C67" s="499">
        <v>1251.9077266099998</v>
      </c>
      <c r="D67" s="300">
        <f t="shared" si="2"/>
        <v>500.72331400000013</v>
      </c>
      <c r="E67" s="499">
        <v>494.02153033000013</v>
      </c>
      <c r="F67" s="499">
        <v>6.7017836700000002</v>
      </c>
      <c r="G67" s="499">
        <v>596.76305196999999</v>
      </c>
      <c r="H67" s="499">
        <v>12.368059669999997</v>
      </c>
      <c r="I67" s="499">
        <v>17599.542243790002</v>
      </c>
      <c r="J67" s="499">
        <v>2.5341</v>
      </c>
      <c r="K67" s="499">
        <v>4002.942</v>
      </c>
      <c r="L67" s="499">
        <v>1179.8160352875</v>
      </c>
      <c r="M67" s="499">
        <f t="shared" si="3"/>
        <v>467.08829463749998</v>
      </c>
      <c r="N67" s="499">
        <v>439.79284056</v>
      </c>
      <c r="O67" s="499">
        <v>27.295454077500001</v>
      </c>
      <c r="P67" s="499">
        <v>633.28524510499994</v>
      </c>
      <c r="Q67" s="499">
        <v>46.239725240000006</v>
      </c>
      <c r="R67" s="499">
        <v>15553.6523278225</v>
      </c>
      <c r="S67" s="499">
        <v>2.4199000000000002</v>
      </c>
      <c r="T67" s="499">
        <v>4012.8227499999994</v>
      </c>
    </row>
    <row r="68" spans="1:20" x14ac:dyDescent="0.2">
      <c r="A68" s="499" t="s">
        <v>126</v>
      </c>
      <c r="B68" s="499" t="s">
        <v>127</v>
      </c>
      <c r="C68" s="499">
        <v>2319.1974945000002</v>
      </c>
      <c r="D68" s="300">
        <f t="shared" ref="D68:D99" si="4">E68+F68</f>
        <v>1190.4938876099998</v>
      </c>
      <c r="E68" s="499">
        <v>902.00565744999983</v>
      </c>
      <c r="F68" s="499">
        <v>288.48823015999994</v>
      </c>
      <c r="G68" s="499">
        <v>873.99023492000015</v>
      </c>
      <c r="I68" s="499">
        <v>65534.773626739996</v>
      </c>
      <c r="J68" s="499">
        <v>4.5868167899999994</v>
      </c>
      <c r="K68" s="499">
        <v>29767.102000000003</v>
      </c>
      <c r="L68" s="499">
        <v>2115.2063856724999</v>
      </c>
      <c r="M68" s="499">
        <f t="shared" ref="M68:M99" si="5">N68+O68</f>
        <v>1111.8909709625</v>
      </c>
      <c r="N68" s="499">
        <v>767.80115837249991</v>
      </c>
      <c r="O68" s="499">
        <v>344.08981258999995</v>
      </c>
      <c r="P68" s="499">
        <v>804.40548717499996</v>
      </c>
      <c r="Q68" s="499">
        <v>43.860856683333331</v>
      </c>
      <c r="R68" s="499">
        <v>57180.191512872501</v>
      </c>
      <c r="S68" s="499">
        <v>4.1288459299999998</v>
      </c>
      <c r="T68" s="499">
        <v>28804.929249999997</v>
      </c>
    </row>
    <row r="69" spans="1:20" x14ac:dyDescent="0.2">
      <c r="A69" s="499" t="s">
        <v>128</v>
      </c>
      <c r="B69" s="499" t="s">
        <v>129</v>
      </c>
      <c r="C69" s="499">
        <v>475.68644929000004</v>
      </c>
      <c r="D69" s="300">
        <f t="shared" si="4"/>
        <v>125.22286973999999</v>
      </c>
      <c r="E69" s="499">
        <v>78.203135869999997</v>
      </c>
      <c r="F69" s="499">
        <v>47.019733869999996</v>
      </c>
      <c r="G69" s="499">
        <v>288.34291517999998</v>
      </c>
      <c r="I69" s="499">
        <v>12098.67276994</v>
      </c>
      <c r="J69" s="499">
        <v>9011.1337890600007</v>
      </c>
      <c r="K69" s="499">
        <v>12414.293000000001</v>
      </c>
      <c r="L69" s="499">
        <v>472.86676467500001</v>
      </c>
      <c r="M69" s="499">
        <f t="shared" si="5"/>
        <v>151.47734302250001</v>
      </c>
      <c r="N69" s="499">
        <v>61.68308735250001</v>
      </c>
      <c r="O69" s="499">
        <v>89.794255670000013</v>
      </c>
      <c r="P69" s="499">
        <v>254.80877579499997</v>
      </c>
      <c r="Q69" s="499">
        <v>40.492642539999999</v>
      </c>
      <c r="R69" s="499">
        <v>9950.6220064624995</v>
      </c>
      <c r="S69" s="499">
        <v>8636.1713867175004</v>
      </c>
      <c r="T69" s="499">
        <v>11913.082249999999</v>
      </c>
    </row>
    <row r="70" spans="1:20" x14ac:dyDescent="0.2">
      <c r="A70" s="499" t="s">
        <v>130</v>
      </c>
      <c r="B70" s="499" t="s">
        <v>131</v>
      </c>
      <c r="C70" s="499">
        <v>50.516460750000007</v>
      </c>
      <c r="D70" s="300">
        <f t="shared" si="4"/>
        <v>33.178270760000004</v>
      </c>
      <c r="E70" s="499">
        <v>15.45526508</v>
      </c>
      <c r="F70" s="499">
        <v>17.72300568</v>
      </c>
      <c r="G70" s="499">
        <v>14.820185900000002</v>
      </c>
      <c r="I70" s="499">
        <v>1632.8308408200003</v>
      </c>
      <c r="J70" s="499">
        <v>48.151344299999998</v>
      </c>
      <c r="K70" s="499">
        <v>2280.0940000000001</v>
      </c>
      <c r="L70" s="499">
        <v>47.85587889</v>
      </c>
      <c r="M70" s="499">
        <f t="shared" si="5"/>
        <v>31.8582533075</v>
      </c>
      <c r="N70" s="499">
        <v>15.758455527500001</v>
      </c>
      <c r="O70" s="499">
        <v>16.099797779999999</v>
      </c>
      <c r="P70" s="499">
        <v>13.21592399</v>
      </c>
      <c r="Q70" s="499">
        <v>1.5176449300000001</v>
      </c>
      <c r="R70" s="499">
        <v>1495.8030688650001</v>
      </c>
      <c r="S70" s="499">
        <v>45.287427902499999</v>
      </c>
      <c r="T70" s="499">
        <v>2182.2447499999998</v>
      </c>
    </row>
    <row r="71" spans="1:20" x14ac:dyDescent="0.2">
      <c r="A71" s="499" t="s">
        <v>132</v>
      </c>
      <c r="B71" s="499" t="s">
        <v>133</v>
      </c>
      <c r="C71" s="499">
        <v>99.890182590000009</v>
      </c>
      <c r="D71" s="300">
        <f t="shared" si="4"/>
        <v>21.573710630000001</v>
      </c>
      <c r="E71" s="499">
        <v>9.1516379299999997</v>
      </c>
      <c r="F71" s="499">
        <v>12.422072700000001</v>
      </c>
      <c r="G71" s="499">
        <v>74.396807070000008</v>
      </c>
      <c r="I71" s="499">
        <v>1427.9126061699999</v>
      </c>
      <c r="J71" s="499">
        <v>555.44645839999998</v>
      </c>
      <c r="K71" s="499">
        <v>1874.3029999999999</v>
      </c>
      <c r="L71" s="499">
        <v>93.15854173999999</v>
      </c>
      <c r="M71" s="499">
        <f t="shared" si="5"/>
        <v>21.117512130000001</v>
      </c>
      <c r="N71" s="499">
        <v>7.7225080625000002</v>
      </c>
      <c r="O71" s="499">
        <v>13.3950040675</v>
      </c>
      <c r="P71" s="499">
        <v>68.62186804000001</v>
      </c>
      <c r="Q71" s="499">
        <v>1.5454835366666666</v>
      </c>
      <c r="R71" s="499">
        <v>1251.3538789224999</v>
      </c>
      <c r="S71" s="499">
        <v>579.98013025749992</v>
      </c>
      <c r="T71" s="499">
        <v>1805.5219999999999</v>
      </c>
    </row>
    <row r="72" spans="1:20" x14ac:dyDescent="0.2">
      <c r="A72" s="499" t="s">
        <v>134</v>
      </c>
      <c r="B72" s="499" t="s">
        <v>135</v>
      </c>
      <c r="C72" s="499">
        <v>411.40925565999999</v>
      </c>
      <c r="D72" s="300">
        <f t="shared" si="4"/>
        <v>91.295332040000005</v>
      </c>
      <c r="E72" s="499">
        <v>81.728342839999996</v>
      </c>
      <c r="F72" s="499">
        <v>9.5669892000000019</v>
      </c>
      <c r="G72" s="499">
        <v>309.93370869999995</v>
      </c>
      <c r="I72" s="499">
        <v>13721.373558709998</v>
      </c>
      <c r="J72" s="499">
        <v>555.71783446999996</v>
      </c>
      <c r="K72" s="499">
        <v>1308.9749999999999</v>
      </c>
      <c r="L72" s="499">
        <v>379.70539508499996</v>
      </c>
      <c r="M72" s="499">
        <f t="shared" si="5"/>
        <v>82.716236402499987</v>
      </c>
      <c r="N72" s="499">
        <v>76.176905174999987</v>
      </c>
      <c r="O72" s="499">
        <v>6.5393312275</v>
      </c>
      <c r="P72" s="499">
        <v>287.59211078750002</v>
      </c>
      <c r="Q72" s="499">
        <v>54.735017429999992</v>
      </c>
      <c r="R72" s="499">
        <v>12605.404379765001</v>
      </c>
      <c r="S72" s="499">
        <v>580.56752014250003</v>
      </c>
      <c r="T72" s="499">
        <v>1238.6812499999999</v>
      </c>
    </row>
    <row r="73" spans="1:20" x14ac:dyDescent="0.2">
      <c r="A73" s="499" t="s">
        <v>351</v>
      </c>
      <c r="B73" s="499" t="s">
        <v>352</v>
      </c>
      <c r="C73" s="499">
        <v>16830.097429540001</v>
      </c>
      <c r="D73" s="300">
        <f t="shared" si="4"/>
        <v>8763.4855339300011</v>
      </c>
      <c r="E73" s="499">
        <v>8740.536129510001</v>
      </c>
      <c r="F73" s="499">
        <v>22.94940442</v>
      </c>
      <c r="G73" s="499">
        <v>6132.7536055800001</v>
      </c>
      <c r="I73" s="499">
        <v>218138.28145204997</v>
      </c>
      <c r="J73" s="499">
        <v>0.846773</v>
      </c>
      <c r="K73" s="499">
        <v>10741.164999999999</v>
      </c>
      <c r="L73" s="499">
        <v>16215.170708882501</v>
      </c>
      <c r="M73" s="499">
        <f t="shared" si="5"/>
        <v>8718.2230787525004</v>
      </c>
      <c r="N73" s="499">
        <v>8629.9848273200005</v>
      </c>
      <c r="O73" s="499">
        <v>88.238251432500007</v>
      </c>
      <c r="P73" s="499">
        <v>5804.2160241925003</v>
      </c>
      <c r="Q73" s="499">
        <v>428.51336115666658</v>
      </c>
      <c r="R73" s="499">
        <v>203438.06717090751</v>
      </c>
      <c r="S73" s="499">
        <v>0.88417400000000002</v>
      </c>
      <c r="T73" s="499">
        <v>10787.781000000001</v>
      </c>
    </row>
    <row r="74" spans="1:20" x14ac:dyDescent="0.2">
      <c r="A74" s="499" t="s">
        <v>223</v>
      </c>
      <c r="B74" s="499" t="s">
        <v>224</v>
      </c>
      <c r="C74" s="499">
        <v>52.888576499999999</v>
      </c>
      <c r="D74" s="300">
        <f t="shared" si="4"/>
        <v>21.902227179999997</v>
      </c>
      <c r="E74" s="499">
        <v>20.201668079999997</v>
      </c>
      <c r="F74" s="499">
        <v>1.7005591000000004</v>
      </c>
      <c r="G74" s="499">
        <v>28.817304869999997</v>
      </c>
      <c r="H74" s="499">
        <v>2.0060866699999997</v>
      </c>
      <c r="I74" s="499">
        <v>1184.8148148099999</v>
      </c>
      <c r="J74" s="499">
        <v>2.7</v>
      </c>
      <c r="K74" s="499">
        <v>111.45399999999999</v>
      </c>
      <c r="L74" s="499">
        <v>49.526708512500008</v>
      </c>
      <c r="M74" s="499">
        <f t="shared" si="5"/>
        <v>20.39351976</v>
      </c>
      <c r="N74" s="499">
        <v>19.871623655</v>
      </c>
      <c r="O74" s="499">
        <v>0.52189610500000005</v>
      </c>
      <c r="P74" s="499">
        <v>27.093865537500001</v>
      </c>
      <c r="Q74" s="499">
        <v>2.5719644449999999</v>
      </c>
      <c r="R74" s="499">
        <v>1092.2222222225</v>
      </c>
      <c r="S74" s="499">
        <v>2.7</v>
      </c>
      <c r="T74" s="499">
        <v>110.54700000000001</v>
      </c>
    </row>
    <row r="75" spans="1:20" x14ac:dyDescent="0.2">
      <c r="A75" s="499" t="s">
        <v>225</v>
      </c>
      <c r="B75" s="499" t="s">
        <v>226</v>
      </c>
      <c r="C75" s="499">
        <v>4477.8893038400001</v>
      </c>
      <c r="D75" s="300">
        <f t="shared" si="4"/>
        <v>1687.76671629</v>
      </c>
      <c r="E75" s="499">
        <v>1612.43478435</v>
      </c>
      <c r="F75" s="499">
        <v>75.331931940000004</v>
      </c>
      <c r="G75" s="499">
        <v>2574.8023597599999</v>
      </c>
      <c r="H75" s="499">
        <v>75.725762979999985</v>
      </c>
      <c r="I75" s="499">
        <v>78460.844116809982</v>
      </c>
      <c r="J75" s="499">
        <v>7.5191645799999991</v>
      </c>
      <c r="K75" s="499">
        <v>17247.848999999998</v>
      </c>
      <c r="L75" s="499">
        <v>4154.6771315825008</v>
      </c>
      <c r="M75" s="499">
        <f t="shared" si="5"/>
        <v>1591.9241560650003</v>
      </c>
      <c r="N75" s="499">
        <v>1529.0240681650002</v>
      </c>
      <c r="O75" s="499">
        <v>62.900087899999995</v>
      </c>
      <c r="P75" s="499">
        <v>2320.9261396949996</v>
      </c>
      <c r="Q75" s="499">
        <v>51.734871579999997</v>
      </c>
      <c r="R75" s="499">
        <v>71627.832952792494</v>
      </c>
      <c r="S75" s="499">
        <v>7.5304638524999996</v>
      </c>
      <c r="T75" s="499">
        <v>16749.580999999998</v>
      </c>
    </row>
    <row r="76" spans="1:20" x14ac:dyDescent="0.2">
      <c r="A76" s="499" t="s">
        <v>227</v>
      </c>
      <c r="B76" s="499" t="s">
        <v>228</v>
      </c>
      <c r="C76" s="499">
        <v>230.24135532999998</v>
      </c>
      <c r="D76" s="300">
        <f t="shared" si="4"/>
        <v>149.40505013000001</v>
      </c>
      <c r="E76" s="499">
        <v>142.45591148</v>
      </c>
      <c r="F76" s="499">
        <v>6.9491386500000001</v>
      </c>
      <c r="G76" s="499">
        <v>74.366211390000004</v>
      </c>
      <c r="H76" s="499">
        <v>13.360198989999997</v>
      </c>
      <c r="I76" s="499">
        <v>3878.6680573899998</v>
      </c>
      <c r="J76" s="499">
        <v>207.71666667000005</v>
      </c>
      <c r="K76" s="499">
        <v>779.00600000000009</v>
      </c>
      <c r="L76" s="499">
        <v>196.52898509250002</v>
      </c>
      <c r="M76" s="499">
        <f t="shared" si="5"/>
        <v>130.35466228749999</v>
      </c>
      <c r="N76" s="499">
        <v>122.46127739749998</v>
      </c>
      <c r="O76" s="499">
        <v>7.893384890000001</v>
      </c>
      <c r="P76" s="499">
        <v>60.877978992500005</v>
      </c>
      <c r="Q76" s="499">
        <v>7.5853038149999987</v>
      </c>
      <c r="R76" s="499">
        <v>3546.4418327499998</v>
      </c>
      <c r="S76" s="499">
        <v>206.8041666675</v>
      </c>
      <c r="T76" s="499">
        <v>773.25700000000006</v>
      </c>
    </row>
    <row r="77" spans="1:20" x14ac:dyDescent="0.2">
      <c r="A77" s="499" t="s">
        <v>229</v>
      </c>
      <c r="B77" s="499" t="s">
        <v>230</v>
      </c>
      <c r="C77" s="499">
        <v>1689.7746354500002</v>
      </c>
      <c r="D77" s="300">
        <f t="shared" si="4"/>
        <v>731.57931115000008</v>
      </c>
      <c r="E77" s="499">
        <v>680.28975618000004</v>
      </c>
      <c r="F77" s="499">
        <v>51.289554970000005</v>
      </c>
      <c r="G77" s="499">
        <v>865.39247706999993</v>
      </c>
      <c r="H77" s="499">
        <v>19.798809499999997</v>
      </c>
      <c r="I77" s="499">
        <v>23969.857877679999</v>
      </c>
      <c r="J77" s="499">
        <v>23.902728289999999</v>
      </c>
      <c r="K77" s="499">
        <v>9587.5220000000008</v>
      </c>
      <c r="L77" s="499">
        <v>1636.8430059900004</v>
      </c>
      <c r="M77" s="499">
        <f t="shared" si="5"/>
        <v>724.0028906325</v>
      </c>
      <c r="N77" s="499">
        <v>655.73722047000001</v>
      </c>
      <c r="O77" s="499">
        <v>68.265670162500001</v>
      </c>
      <c r="P77" s="499">
        <v>824.95219964</v>
      </c>
      <c r="Q77" s="499">
        <v>38.672347630000004</v>
      </c>
      <c r="R77" s="499">
        <v>22442.007789552499</v>
      </c>
      <c r="S77" s="499">
        <v>23.042501404999999</v>
      </c>
      <c r="T77" s="499">
        <v>9350.0614999999998</v>
      </c>
    </row>
    <row r="78" spans="1:20" x14ac:dyDescent="0.2">
      <c r="A78" s="499" t="s">
        <v>353</v>
      </c>
      <c r="B78" s="499" t="s">
        <v>354</v>
      </c>
      <c r="C78" s="499">
        <v>4163.88296541</v>
      </c>
      <c r="D78" s="300">
        <f t="shared" si="4"/>
        <v>3464.9244086000008</v>
      </c>
      <c r="E78" s="499">
        <v>3464.7399158000007</v>
      </c>
      <c r="F78" s="499">
        <v>0.18449279999999998</v>
      </c>
      <c r="G78" s="499">
        <v>436.31026219999995</v>
      </c>
      <c r="H78" s="499">
        <v>142.41860617000003</v>
      </c>
      <c r="I78" s="499">
        <v>60991.188141579994</v>
      </c>
      <c r="J78" s="499">
        <v>6.2790250800000003</v>
      </c>
      <c r="K78" s="499">
        <v>4105.4930000000004</v>
      </c>
      <c r="L78" s="499">
        <v>3699.7154787575</v>
      </c>
      <c r="M78" s="499">
        <f t="shared" si="5"/>
        <v>3070.3127265025009</v>
      </c>
      <c r="N78" s="499">
        <v>3070.2172777650007</v>
      </c>
      <c r="O78" s="499">
        <v>9.5448737499999992E-2</v>
      </c>
      <c r="P78" s="499">
        <v>400.52945256499999</v>
      </c>
      <c r="Q78" s="499">
        <v>106.40415994750002</v>
      </c>
      <c r="R78" s="499">
        <v>54359.546260022493</v>
      </c>
      <c r="S78" s="499">
        <v>6.6417874125000003</v>
      </c>
      <c r="T78" s="499">
        <v>4168.9227499999997</v>
      </c>
    </row>
    <row r="79" spans="1:20" x14ac:dyDescent="0.2">
      <c r="A79" s="499" t="s">
        <v>231</v>
      </c>
      <c r="B79" s="499" t="s">
        <v>232</v>
      </c>
      <c r="C79" s="499">
        <v>714.61831677999999</v>
      </c>
      <c r="D79" s="300">
        <f t="shared" si="4"/>
        <v>365.59277177000001</v>
      </c>
      <c r="E79" s="499">
        <v>85.611812689999994</v>
      </c>
      <c r="F79" s="499">
        <v>279.98095908000005</v>
      </c>
      <c r="G79" s="499">
        <v>311.44502026999999</v>
      </c>
      <c r="H79" s="499">
        <v>23.210015309999999</v>
      </c>
      <c r="I79" s="499">
        <v>9287.2660638100024</v>
      </c>
      <c r="J79" s="499">
        <v>68.031753979999991</v>
      </c>
      <c r="K79" s="499">
        <v>11123.178</v>
      </c>
      <c r="L79" s="499">
        <v>691.35992437250002</v>
      </c>
      <c r="M79" s="499">
        <f t="shared" si="5"/>
        <v>394.94446952999999</v>
      </c>
      <c r="N79" s="499">
        <v>79.275446837499999</v>
      </c>
      <c r="O79" s="499">
        <v>315.66902269249999</v>
      </c>
      <c r="P79" s="499">
        <v>264.48999339249997</v>
      </c>
      <c r="Q79" s="499">
        <v>28.416879982500003</v>
      </c>
      <c r="R79" s="499">
        <v>8440.2556541824997</v>
      </c>
      <c r="S79" s="499">
        <v>61.710919824999998</v>
      </c>
      <c r="T79" s="499">
        <v>10910.263999999999</v>
      </c>
    </row>
    <row r="80" spans="1:20" x14ac:dyDescent="0.2">
      <c r="A80" s="499" t="s">
        <v>355</v>
      </c>
      <c r="B80" s="499" t="s">
        <v>356</v>
      </c>
      <c r="C80" s="499">
        <v>10578.269076</v>
      </c>
      <c r="D80" s="300">
        <f t="shared" si="4"/>
        <v>7309.6447152499995</v>
      </c>
      <c r="E80" s="499">
        <v>7309.6447152499995</v>
      </c>
      <c r="F80" s="499">
        <v>0</v>
      </c>
      <c r="G80" s="499">
        <v>2847.1105949700004</v>
      </c>
      <c r="H80" s="499">
        <v>280.74657487000002</v>
      </c>
      <c r="I80" s="499">
        <v>157882.91258348996</v>
      </c>
      <c r="J80" s="499">
        <v>270.21166700000003</v>
      </c>
      <c r="K80" s="499">
        <v>9778.3709999999992</v>
      </c>
      <c r="L80" s="499">
        <v>9439.1215382225018</v>
      </c>
      <c r="M80" s="499">
        <f t="shared" si="5"/>
        <v>6452.8271955024993</v>
      </c>
      <c r="N80" s="499">
        <v>6452.8271955024993</v>
      </c>
      <c r="O80" s="499">
        <v>0</v>
      </c>
      <c r="P80" s="499">
        <v>2572.7060730174999</v>
      </c>
      <c r="Q80" s="499">
        <v>305.22310091999998</v>
      </c>
      <c r="R80" s="499">
        <v>137857.67774717999</v>
      </c>
      <c r="S80" s="499">
        <v>276.37520825000001</v>
      </c>
      <c r="T80" s="499">
        <v>9815.4969999999994</v>
      </c>
    </row>
    <row r="81" spans="1:20" x14ac:dyDescent="0.2">
      <c r="A81" s="499" t="s">
        <v>422</v>
      </c>
      <c r="B81" s="499" t="s">
        <v>423</v>
      </c>
      <c r="C81" s="499">
        <v>29892.887667799998</v>
      </c>
      <c r="D81" s="300">
        <f t="shared" si="4"/>
        <v>14859.008015810001</v>
      </c>
      <c r="E81" s="499">
        <v>14745.961361270001</v>
      </c>
      <c r="F81" s="499">
        <v>113.04665454000002</v>
      </c>
      <c r="G81" s="499">
        <v>10417.917020610001</v>
      </c>
      <c r="H81" s="499">
        <v>2375.0534649799997</v>
      </c>
      <c r="I81" s="499">
        <v>1041371.6406381701</v>
      </c>
      <c r="J81" s="499">
        <v>14236.938476560003</v>
      </c>
      <c r="K81" s="499">
        <v>267670.54300000001</v>
      </c>
      <c r="L81" s="499">
        <v>28380.479862524997</v>
      </c>
      <c r="M81" s="499">
        <f t="shared" si="5"/>
        <v>13138.308010557503</v>
      </c>
      <c r="N81" s="499">
        <v>13014.313335885003</v>
      </c>
      <c r="O81" s="499">
        <v>123.99467467250001</v>
      </c>
      <c r="P81" s="499">
        <v>10621.612457899999</v>
      </c>
      <c r="Q81" s="499">
        <v>2199.2711234724998</v>
      </c>
      <c r="R81" s="499">
        <v>962381.66322692507</v>
      </c>
      <c r="S81" s="499">
        <v>13578.87817383</v>
      </c>
      <c r="T81" s="499">
        <v>263065.28574999998</v>
      </c>
    </row>
    <row r="82" spans="1:20" x14ac:dyDescent="0.2">
      <c r="A82" s="499" t="s">
        <v>425</v>
      </c>
      <c r="B82" s="499" t="s">
        <v>426</v>
      </c>
      <c r="C82" s="499">
        <v>98519.06720944999</v>
      </c>
      <c r="D82" s="300">
        <f t="shared" si="4"/>
        <v>27239.473063560006</v>
      </c>
      <c r="E82" s="499">
        <v>26554.332515540005</v>
      </c>
      <c r="F82" s="499">
        <v>685.14054801999998</v>
      </c>
      <c r="G82" s="499">
        <v>61739.024874869989</v>
      </c>
      <c r="I82" s="499">
        <v>2779691.2738343799</v>
      </c>
      <c r="J82" s="499">
        <v>68.389465330000007</v>
      </c>
      <c r="K82" s="499">
        <v>1352642.28</v>
      </c>
      <c r="L82" s="499">
        <v>87193.870992049997</v>
      </c>
      <c r="M82" s="499">
        <f t="shared" si="5"/>
        <v>23891.039066442507</v>
      </c>
      <c r="N82" s="499">
        <v>23266.586335812506</v>
      </c>
      <c r="O82" s="499">
        <v>624.45273062999991</v>
      </c>
      <c r="P82" s="499">
        <v>55073.672012927498</v>
      </c>
      <c r="Q82" s="499">
        <v>5694.3115263699992</v>
      </c>
      <c r="R82" s="499">
        <v>2459442.6357115004</v>
      </c>
      <c r="S82" s="499">
        <v>66.214572905000011</v>
      </c>
      <c r="T82" s="499">
        <v>1331497.17925</v>
      </c>
    </row>
    <row r="83" spans="1:20" x14ac:dyDescent="0.2">
      <c r="A83" s="499" t="s">
        <v>357</v>
      </c>
      <c r="B83" s="499" t="s">
        <v>358</v>
      </c>
      <c r="C83" s="499">
        <v>26514.36206634</v>
      </c>
      <c r="D83" s="300">
        <f t="shared" si="4"/>
        <v>19591.78593319</v>
      </c>
      <c r="E83" s="499">
        <v>19591.78593319</v>
      </c>
      <c r="F83" s="499">
        <v>0</v>
      </c>
      <c r="G83" s="499">
        <v>3203.8170418800009</v>
      </c>
      <c r="H83" s="499">
        <v>1432.4848973700002</v>
      </c>
      <c r="I83" s="499">
        <v>382674.2102074601</v>
      </c>
      <c r="J83" s="499">
        <v>0.846773</v>
      </c>
      <c r="K83" s="499">
        <v>4830.3919999999998</v>
      </c>
      <c r="L83" s="499">
        <v>23541.305063834996</v>
      </c>
      <c r="M83" s="499">
        <f t="shared" si="5"/>
        <v>17149.079700017501</v>
      </c>
      <c r="N83" s="499">
        <v>17149.079700017501</v>
      </c>
      <c r="O83" s="499">
        <v>0</v>
      </c>
      <c r="P83" s="499">
        <v>2968.2021299850003</v>
      </c>
      <c r="Q83" s="499">
        <v>1280.6257035174999</v>
      </c>
      <c r="R83" s="499">
        <v>327670.48182159005</v>
      </c>
      <c r="S83" s="499">
        <v>0.88417400000000002</v>
      </c>
      <c r="T83" s="499">
        <v>4754.6720000000005</v>
      </c>
    </row>
    <row r="84" spans="1:20" x14ac:dyDescent="0.2">
      <c r="A84" s="499" t="s">
        <v>275</v>
      </c>
      <c r="B84" s="499" t="s">
        <v>4307</v>
      </c>
      <c r="C84" s="499">
        <v>39614.73371416</v>
      </c>
      <c r="D84" s="300">
        <f t="shared" si="4"/>
        <v>18202.415900479999</v>
      </c>
      <c r="E84" s="499">
        <v>18194.07578454</v>
      </c>
      <c r="F84" s="499">
        <v>8.3401159399999987</v>
      </c>
      <c r="G84" s="499">
        <v>14193.307807920002</v>
      </c>
      <c r="I84" s="499">
        <v>457355.93085419002</v>
      </c>
      <c r="J84" s="499">
        <v>40864.329009779998</v>
      </c>
      <c r="K84" s="499">
        <v>81800.187999999995</v>
      </c>
      <c r="L84" s="499">
        <v>36109.259465797499</v>
      </c>
      <c r="M84" s="499">
        <f t="shared" si="5"/>
        <v>17991.771845109168</v>
      </c>
      <c r="N84" s="499">
        <v>17982.280970212501</v>
      </c>
      <c r="O84" s="499">
        <v>9.4908748966666643</v>
      </c>
      <c r="P84" s="499">
        <v>14478.456029659999</v>
      </c>
      <c r="R84" s="499">
        <v>424538.14010418754</v>
      </c>
      <c r="S84" s="499">
        <v>33504.242743884999</v>
      </c>
      <c r="T84" s="499">
        <v>80132.568750000006</v>
      </c>
    </row>
    <row r="85" spans="1:20" x14ac:dyDescent="0.2">
      <c r="A85" s="499" t="s">
        <v>277</v>
      </c>
      <c r="B85" s="499" t="s">
        <v>278</v>
      </c>
      <c r="C85" s="499">
        <v>9201.5055656399982</v>
      </c>
      <c r="D85" s="300">
        <f t="shared" si="4"/>
        <v>4475.1484651500004</v>
      </c>
      <c r="E85" s="499">
        <v>4428.81943013</v>
      </c>
      <c r="F85" s="499">
        <v>46.329035020000006</v>
      </c>
      <c r="G85" s="499">
        <v>4725.1743495999999</v>
      </c>
      <c r="I85" s="499">
        <v>224085.82371592004</v>
      </c>
      <c r="J85" s="499">
        <v>1182.75</v>
      </c>
      <c r="K85" s="499">
        <v>38433.599999999999</v>
      </c>
      <c r="L85" s="499">
        <v>7118.770655585</v>
      </c>
      <c r="M85" s="499">
        <f t="shared" si="5"/>
        <v>2595.61195671</v>
      </c>
      <c r="N85" s="499">
        <v>2573.2245601075001</v>
      </c>
      <c r="O85" s="499">
        <v>22.387396602500004</v>
      </c>
      <c r="P85" s="499">
        <v>4522.0531851025007</v>
      </c>
      <c r="R85" s="499">
        <v>192906.69922541251</v>
      </c>
      <c r="S85" s="499">
        <v>1179.0208333324999</v>
      </c>
      <c r="T85" s="499">
        <v>37042.318500000001</v>
      </c>
    </row>
    <row r="86" spans="1:20" x14ac:dyDescent="0.2">
      <c r="A86" s="499" t="s">
        <v>359</v>
      </c>
      <c r="B86" s="499" t="s">
        <v>360</v>
      </c>
      <c r="C86" s="499">
        <v>2199.0497703599995</v>
      </c>
      <c r="D86" s="300">
        <f t="shared" si="4"/>
        <v>1811.3969339499999</v>
      </c>
      <c r="E86" s="499">
        <v>1811.3969339499999</v>
      </c>
      <c r="F86" s="499">
        <v>0</v>
      </c>
      <c r="G86" s="499">
        <v>350.65310356999993</v>
      </c>
      <c r="H86" s="499">
        <v>95.613432720000006</v>
      </c>
      <c r="I86" s="499">
        <v>25964.92548636</v>
      </c>
      <c r="J86" s="499">
        <v>108.30017600000001</v>
      </c>
      <c r="K86" s="499">
        <v>336.71300000000002</v>
      </c>
      <c r="L86" s="499">
        <v>1834.9097874049999</v>
      </c>
      <c r="M86" s="499">
        <f t="shared" si="5"/>
        <v>1499.7544924174999</v>
      </c>
      <c r="N86" s="499">
        <v>1499.7544924174999</v>
      </c>
      <c r="O86" s="499">
        <v>0</v>
      </c>
      <c r="P86" s="499">
        <v>305.01597646749997</v>
      </c>
      <c r="Q86" s="499">
        <v>58.760780722500002</v>
      </c>
      <c r="R86" s="499">
        <v>22115.1417471975</v>
      </c>
      <c r="S86" s="499">
        <v>116.96750100000001</v>
      </c>
      <c r="T86" s="499">
        <v>333.38875000000002</v>
      </c>
    </row>
    <row r="87" spans="1:20" x14ac:dyDescent="0.2">
      <c r="A87" s="499" t="s">
        <v>361</v>
      </c>
      <c r="B87" s="499" t="s">
        <v>362</v>
      </c>
      <c r="C87" s="499">
        <v>27857.229990440002</v>
      </c>
      <c r="D87" s="300">
        <f t="shared" si="4"/>
        <v>18509.657830349999</v>
      </c>
      <c r="E87" s="499">
        <v>18024.774979269998</v>
      </c>
      <c r="F87" s="499">
        <v>484.88285108000002</v>
      </c>
      <c r="G87" s="499">
        <v>5888.221273690001</v>
      </c>
      <c r="I87" s="499">
        <v>370587.99022324994</v>
      </c>
      <c r="J87" s="499">
        <v>3.5905580000000001</v>
      </c>
      <c r="K87" s="499">
        <v>8381.5159999999996</v>
      </c>
      <c r="L87" s="499">
        <v>24615.646750992499</v>
      </c>
      <c r="M87" s="499">
        <f t="shared" si="5"/>
        <v>16115.875559984999</v>
      </c>
      <c r="N87" s="499">
        <v>15731.198302077499</v>
      </c>
      <c r="O87" s="499">
        <v>384.67725790750001</v>
      </c>
      <c r="P87" s="499">
        <v>5419.7656299050004</v>
      </c>
      <c r="R87" s="499">
        <v>335651.26776711748</v>
      </c>
      <c r="S87" s="499">
        <v>3.7293784999999997</v>
      </c>
      <c r="T87" s="499">
        <v>8178.2097500000009</v>
      </c>
    </row>
    <row r="88" spans="1:20" x14ac:dyDescent="0.2">
      <c r="A88" s="499" t="s">
        <v>363</v>
      </c>
      <c r="B88" s="499" t="s">
        <v>364</v>
      </c>
      <c r="C88" s="499">
        <v>180786.35006075999</v>
      </c>
      <c r="D88" s="300">
        <f t="shared" si="4"/>
        <v>133580.07399857999</v>
      </c>
      <c r="E88" s="499">
        <v>133580.07399857999</v>
      </c>
      <c r="F88" s="499">
        <v>0</v>
      </c>
      <c r="G88" s="499">
        <v>42566.307617270002</v>
      </c>
      <c r="I88" s="499">
        <v>2085763.4808856696</v>
      </c>
      <c r="J88" s="499">
        <v>0.846773</v>
      </c>
      <c r="K88" s="499">
        <v>60483.972999999998</v>
      </c>
      <c r="L88" s="499">
        <v>169368.923490385</v>
      </c>
      <c r="M88" s="499">
        <f t="shared" si="5"/>
        <v>125511.20003348752</v>
      </c>
      <c r="N88" s="499">
        <v>125511.20003348752</v>
      </c>
      <c r="O88" s="499">
        <v>0</v>
      </c>
      <c r="P88" s="499">
        <v>39866.412778382495</v>
      </c>
      <c r="R88" s="499">
        <v>1940317.4390785324</v>
      </c>
      <c r="S88" s="499">
        <v>0.88417400000000002</v>
      </c>
      <c r="T88" s="499">
        <v>60633.645250000001</v>
      </c>
    </row>
    <row r="89" spans="1:20" x14ac:dyDescent="0.2">
      <c r="A89" s="499" t="s">
        <v>233</v>
      </c>
      <c r="B89" s="499" t="s">
        <v>234</v>
      </c>
      <c r="C89" s="499">
        <v>942.01641877999987</v>
      </c>
      <c r="D89" s="300">
        <f t="shared" si="4"/>
        <v>625.81270081000014</v>
      </c>
      <c r="E89" s="499">
        <v>611.7395494000001</v>
      </c>
      <c r="F89" s="499">
        <v>14.073151409999998</v>
      </c>
      <c r="G89" s="499">
        <v>160.71332644999998</v>
      </c>
      <c r="H89" s="499">
        <v>16.503737270000002</v>
      </c>
      <c r="I89" s="499">
        <v>15541.347030039999</v>
      </c>
      <c r="J89" s="499">
        <v>128.87151906</v>
      </c>
      <c r="K89" s="499">
        <v>2934.8470000000002</v>
      </c>
      <c r="L89" s="499">
        <v>863.62114994249987</v>
      </c>
      <c r="M89" s="499">
        <f t="shared" si="5"/>
        <v>570.00471244250014</v>
      </c>
      <c r="N89" s="499">
        <v>557.27378571250017</v>
      </c>
      <c r="O89" s="499">
        <v>12.73092673</v>
      </c>
      <c r="P89" s="499">
        <v>152.4736448175</v>
      </c>
      <c r="Q89" s="499">
        <v>24.569675260000004</v>
      </c>
      <c r="R89" s="499">
        <v>14657.987134987499</v>
      </c>
      <c r="S89" s="499">
        <v>124.72521862249999</v>
      </c>
      <c r="T89" s="499">
        <v>2913.2379999999998</v>
      </c>
    </row>
    <row r="90" spans="1:20" x14ac:dyDescent="0.2">
      <c r="A90" s="499" t="s">
        <v>279</v>
      </c>
      <c r="B90" s="499" t="s">
        <v>280</v>
      </c>
      <c r="C90" s="499">
        <v>3289.9685923700004</v>
      </c>
      <c r="D90" s="300">
        <f t="shared" si="4"/>
        <v>1767.6976783400003</v>
      </c>
      <c r="E90" s="499">
        <v>1617.9134667000003</v>
      </c>
      <c r="F90" s="499">
        <v>149.78421163999997</v>
      </c>
      <c r="G90" s="499">
        <v>1009.1631537899999</v>
      </c>
      <c r="I90" s="499">
        <v>42230.987105099994</v>
      </c>
      <c r="J90" s="499">
        <v>0.70999997999999986</v>
      </c>
      <c r="K90" s="499">
        <v>9965.3180000000011</v>
      </c>
      <c r="L90" s="499">
        <v>3082.265718315</v>
      </c>
      <c r="M90" s="499">
        <f t="shared" si="5"/>
        <v>1656.3786209675</v>
      </c>
      <c r="N90" s="499">
        <v>1506.3459275275</v>
      </c>
      <c r="O90" s="499">
        <v>150.03269344</v>
      </c>
      <c r="P90" s="499">
        <v>933.66666342999997</v>
      </c>
      <c r="R90" s="499">
        <v>40013.0292961425</v>
      </c>
      <c r="S90" s="499">
        <v>0.70999997999999986</v>
      </c>
      <c r="T90" s="499">
        <v>9643.0055000000011</v>
      </c>
    </row>
    <row r="91" spans="1:20" x14ac:dyDescent="0.2">
      <c r="A91" s="499" t="s">
        <v>454</v>
      </c>
      <c r="B91" s="499" t="s">
        <v>455</v>
      </c>
      <c r="C91" s="499">
        <v>542719.2192863801</v>
      </c>
      <c r="D91" s="300">
        <f t="shared" si="4"/>
        <v>456368.23075886996</v>
      </c>
      <c r="E91" s="499">
        <v>456368.23075886996</v>
      </c>
      <c r="F91" s="499">
        <v>0</v>
      </c>
      <c r="G91" s="499">
        <v>69188.258255089997</v>
      </c>
      <c r="I91" s="499">
        <v>4954806.6352989199</v>
      </c>
      <c r="J91" s="499">
        <v>110.423179</v>
      </c>
      <c r="K91" s="499">
        <v>127202.192</v>
      </c>
      <c r="L91" s="499">
        <v>519829.26346111752</v>
      </c>
      <c r="M91" s="499">
        <f t="shared" si="5"/>
        <v>437208.36546115496</v>
      </c>
      <c r="N91" s="499">
        <v>437208.36546115496</v>
      </c>
      <c r="O91" s="499">
        <v>0</v>
      </c>
      <c r="P91" s="499">
        <v>66526.55833477249</v>
      </c>
      <c r="R91" s="499">
        <v>4783421.2008031979</v>
      </c>
      <c r="S91" s="499">
        <v>113.1065615</v>
      </c>
      <c r="T91" s="499">
        <v>127613.32875</v>
      </c>
    </row>
    <row r="92" spans="1:20" x14ac:dyDescent="0.2">
      <c r="A92" s="499" t="s">
        <v>365</v>
      </c>
      <c r="B92" s="499" t="s">
        <v>366</v>
      </c>
      <c r="C92" s="499">
        <v>5053.5510602300001</v>
      </c>
      <c r="D92" s="300">
        <f t="shared" si="4"/>
        <v>3082.2453779400003</v>
      </c>
      <c r="E92" s="499">
        <v>3074.4192984300003</v>
      </c>
      <c r="F92" s="499">
        <v>7.8260795100000013</v>
      </c>
      <c r="G92" s="499">
        <v>1691.4363523899999</v>
      </c>
      <c r="I92" s="499">
        <v>172940.83244319999</v>
      </c>
      <c r="J92" s="499">
        <v>344.70580000000001</v>
      </c>
      <c r="K92" s="499">
        <v>18319.617999999999</v>
      </c>
      <c r="L92" s="499">
        <v>5112.4272608124993</v>
      </c>
      <c r="M92" s="499">
        <f t="shared" si="5"/>
        <v>3150.6982117550001</v>
      </c>
      <c r="N92" s="499">
        <v>3143.1033224850003</v>
      </c>
      <c r="O92" s="499">
        <v>7.5948892700000012</v>
      </c>
      <c r="P92" s="499">
        <v>1713.5840770850002</v>
      </c>
      <c r="Q92" s="499">
        <v>264.29416527000001</v>
      </c>
      <c r="R92" s="499">
        <v>164373.61373132252</v>
      </c>
      <c r="S92" s="499">
        <v>308.648775</v>
      </c>
      <c r="T92" s="499">
        <v>17950.638500000001</v>
      </c>
    </row>
    <row r="93" spans="1:20" x14ac:dyDescent="0.2">
      <c r="A93" s="499" t="s">
        <v>136</v>
      </c>
      <c r="B93" s="499" t="s">
        <v>137</v>
      </c>
      <c r="C93" s="499">
        <v>4542.3459568600001</v>
      </c>
      <c r="D93" s="300">
        <f t="shared" si="4"/>
        <v>2618.4873527899999</v>
      </c>
      <c r="E93" s="499">
        <v>1914.0141957199999</v>
      </c>
      <c r="F93" s="499">
        <v>704.47315706999984</v>
      </c>
      <c r="G93" s="499">
        <v>1072.9152070100001</v>
      </c>
      <c r="I93" s="499">
        <v>87905.681876049988</v>
      </c>
      <c r="J93" s="499">
        <v>101.30157471</v>
      </c>
      <c r="K93" s="499">
        <v>51392.565000000002</v>
      </c>
      <c r="L93" s="499">
        <v>3812.3955972525009</v>
      </c>
      <c r="M93" s="499">
        <f t="shared" si="5"/>
        <v>2222.4126799800001</v>
      </c>
      <c r="N93" s="499">
        <v>1602.6199409025</v>
      </c>
      <c r="O93" s="499">
        <v>619.79273907749996</v>
      </c>
      <c r="P93" s="499">
        <v>944.05127884750004</v>
      </c>
      <c r="Q93" s="499">
        <v>197.59391649000003</v>
      </c>
      <c r="R93" s="499">
        <v>74964.917820139992</v>
      </c>
      <c r="S93" s="499">
        <v>101.09883880750003</v>
      </c>
      <c r="T93" s="499">
        <v>49635.894249999998</v>
      </c>
    </row>
    <row r="94" spans="1:20" x14ac:dyDescent="0.2">
      <c r="A94" s="499" t="s">
        <v>367</v>
      </c>
      <c r="B94" s="499" t="s">
        <v>368</v>
      </c>
      <c r="C94" s="499">
        <v>540.48282764999999</v>
      </c>
      <c r="D94" s="300">
        <f t="shared" si="4"/>
        <v>256.91346493000003</v>
      </c>
      <c r="E94" s="499">
        <v>231.50683538000004</v>
      </c>
      <c r="F94" s="499">
        <v>25.406629550000002</v>
      </c>
      <c r="G94" s="499">
        <v>283.42409896999999</v>
      </c>
      <c r="H94" s="499">
        <v>18.991782429999997</v>
      </c>
      <c r="I94" s="499">
        <v>8271.1144489500002</v>
      </c>
      <c r="J94" s="499">
        <v>68.840299999999999</v>
      </c>
      <c r="K94" s="499">
        <v>6304.0300000000007</v>
      </c>
      <c r="L94" s="499">
        <v>482.82685374499999</v>
      </c>
      <c r="M94" s="499">
        <f t="shared" si="5"/>
        <v>218.91734453750001</v>
      </c>
      <c r="N94" s="499">
        <v>190.893185735</v>
      </c>
      <c r="O94" s="499">
        <v>28.024158802500001</v>
      </c>
      <c r="P94" s="499">
        <v>265.6021676025</v>
      </c>
      <c r="Q94" s="499">
        <v>20.280881385000001</v>
      </c>
      <c r="R94" s="499">
        <v>7366.3287364374992</v>
      </c>
      <c r="S94" s="499">
        <v>68.020799999999994</v>
      </c>
      <c r="T94" s="499">
        <v>6131.8035</v>
      </c>
    </row>
    <row r="95" spans="1:20" x14ac:dyDescent="0.2">
      <c r="A95" s="499" t="s">
        <v>456</v>
      </c>
      <c r="B95" s="499" t="s">
        <v>457</v>
      </c>
      <c r="C95" s="499">
        <v>1471.5208166799998</v>
      </c>
      <c r="D95" s="300">
        <f t="shared" si="4"/>
        <v>615.26797707000014</v>
      </c>
      <c r="E95" s="499">
        <v>313.03966571000007</v>
      </c>
      <c r="F95" s="499">
        <v>302.22831136000002</v>
      </c>
      <c r="G95" s="499">
        <v>846.5076502899999</v>
      </c>
      <c r="H95" s="499">
        <v>142.19999999999999</v>
      </c>
      <c r="I95" s="499">
        <v>24417.327942960001</v>
      </c>
      <c r="J95" s="499">
        <v>4051.1669921899993</v>
      </c>
      <c r="K95" s="499">
        <v>16249.791999999998</v>
      </c>
      <c r="L95" s="499">
        <v>1281.8920978599999</v>
      </c>
      <c r="M95" s="499">
        <f t="shared" si="5"/>
        <v>523.79156757999999</v>
      </c>
      <c r="N95" s="499">
        <v>266.1045793875</v>
      </c>
      <c r="O95" s="499">
        <v>257.68698819250005</v>
      </c>
      <c r="P95" s="499">
        <v>749.59903173249995</v>
      </c>
      <c r="Q95" s="499">
        <v>49.3723679975</v>
      </c>
      <c r="R95" s="499">
        <v>21160.609176192498</v>
      </c>
      <c r="S95" s="499">
        <v>4057.0479126</v>
      </c>
      <c r="T95" s="499">
        <v>15886.732250000001</v>
      </c>
    </row>
    <row r="96" spans="1:20" x14ac:dyDescent="0.2">
      <c r="A96" s="499" t="s">
        <v>458</v>
      </c>
      <c r="B96" s="499" t="s">
        <v>459</v>
      </c>
      <c r="C96" s="499">
        <v>22.804428609999999</v>
      </c>
      <c r="D96" s="300">
        <f t="shared" si="4"/>
        <v>22.781866349999994</v>
      </c>
      <c r="E96" s="499">
        <v>17.422006849999995</v>
      </c>
      <c r="F96" s="499">
        <v>5.3598595000000007</v>
      </c>
      <c r="G96" s="499">
        <v>2.2562249999999999E-2</v>
      </c>
      <c r="H96" s="499">
        <v>0.34168995999999996</v>
      </c>
      <c r="I96" s="499">
        <v>188.28280677999999</v>
      </c>
      <c r="J96" s="499">
        <v>1.33841217</v>
      </c>
      <c r="K96" s="499">
        <v>115.84700000000001</v>
      </c>
      <c r="L96" s="499">
        <v>18.275129740000001</v>
      </c>
      <c r="M96" s="499">
        <f t="shared" si="5"/>
        <v>17.83264333</v>
      </c>
      <c r="N96" s="499">
        <v>14.3580188375</v>
      </c>
      <c r="O96" s="499">
        <v>3.4746244925000003</v>
      </c>
      <c r="P96" s="499">
        <v>2.1389452499999996E-2</v>
      </c>
      <c r="Q96" s="499">
        <v>2.2673567375000001</v>
      </c>
      <c r="R96" s="499">
        <v>180.864060935</v>
      </c>
      <c r="S96" s="499">
        <v>1.3298686150000001</v>
      </c>
      <c r="T96" s="499">
        <v>113.36474999999999</v>
      </c>
    </row>
    <row r="97" spans="1:20" x14ac:dyDescent="0.2">
      <c r="A97" s="499" t="s">
        <v>235</v>
      </c>
      <c r="B97" s="499" t="s">
        <v>236</v>
      </c>
      <c r="C97" s="499">
        <v>52.052505529999998</v>
      </c>
      <c r="D97" s="300">
        <f t="shared" si="4"/>
        <v>24.214370059999993</v>
      </c>
      <c r="E97" s="499">
        <v>24.214370059999993</v>
      </c>
      <c r="F97" s="499">
        <v>0</v>
      </c>
      <c r="G97" s="499">
        <v>25.266324990000005</v>
      </c>
      <c r="H97" s="499">
        <v>2.2804977800000001</v>
      </c>
      <c r="I97" s="499">
        <v>980</v>
      </c>
      <c r="J97" s="499">
        <v>2.7</v>
      </c>
      <c r="K97" s="499">
        <v>52.44100000000001</v>
      </c>
      <c r="L97" s="499">
        <v>50.739549797499997</v>
      </c>
      <c r="M97" s="499">
        <f t="shared" si="5"/>
        <v>21.981012674999999</v>
      </c>
      <c r="N97" s="499">
        <v>21.981012674999999</v>
      </c>
      <c r="O97" s="499">
        <v>0</v>
      </c>
      <c r="P97" s="499">
        <v>26.111157532499998</v>
      </c>
      <c r="Q97" s="499">
        <v>2.7597549075000005</v>
      </c>
      <c r="R97" s="499">
        <v>917.77777777750009</v>
      </c>
      <c r="S97" s="499">
        <v>2.7</v>
      </c>
      <c r="T97" s="499">
        <v>51.828499999999998</v>
      </c>
    </row>
    <row r="98" spans="1:20" x14ac:dyDescent="0.2">
      <c r="A98" s="499" t="s">
        <v>460</v>
      </c>
      <c r="B98" s="499" t="s">
        <v>461</v>
      </c>
      <c r="C98" s="499">
        <v>130120.35204538</v>
      </c>
      <c r="D98" s="300">
        <f t="shared" si="4"/>
        <v>76064.18848776001</v>
      </c>
      <c r="E98" s="499">
        <v>76064.18848776001</v>
      </c>
      <c r="F98" s="499">
        <v>0</v>
      </c>
      <c r="G98" s="499">
        <v>42291.078967590009</v>
      </c>
      <c r="I98" s="499">
        <v>1720578.8278055401</v>
      </c>
      <c r="J98" s="499">
        <v>1100.5</v>
      </c>
      <c r="K98" s="499">
        <v>51171.705999999991</v>
      </c>
      <c r="L98" s="499">
        <v>111691.64017989249</v>
      </c>
      <c r="M98" s="499">
        <f t="shared" si="5"/>
        <v>64623.719402355011</v>
      </c>
      <c r="N98" s="499">
        <v>64623.719402355011</v>
      </c>
      <c r="O98" s="499">
        <v>0</v>
      </c>
      <c r="P98" s="499">
        <v>36742.010334145001</v>
      </c>
      <c r="R98" s="499">
        <v>1577591.2727531022</v>
      </c>
      <c r="S98" s="499">
        <v>1130.6288890000001</v>
      </c>
      <c r="T98" s="499">
        <v>51018.667749999993</v>
      </c>
    </row>
    <row r="99" spans="1:20" x14ac:dyDescent="0.2">
      <c r="A99" s="499" t="s">
        <v>281</v>
      </c>
      <c r="B99" s="499" t="s">
        <v>282</v>
      </c>
      <c r="C99" s="499">
        <v>7079.8651036199999</v>
      </c>
      <c r="D99" s="300">
        <f t="shared" si="4"/>
        <v>6233.2984035100008</v>
      </c>
      <c r="E99" s="499">
        <v>6233.2984035100008</v>
      </c>
      <c r="F99" s="499">
        <v>0</v>
      </c>
      <c r="G99" s="499">
        <v>765.75806051999996</v>
      </c>
      <c r="I99" s="499">
        <v>141619.73661769001</v>
      </c>
      <c r="J99" s="499">
        <v>0.30195650000000002</v>
      </c>
      <c r="K99" s="499">
        <v>4137.3119999999999</v>
      </c>
      <c r="L99" s="499">
        <v>5605.02448637</v>
      </c>
      <c r="M99" s="499">
        <f t="shared" si="5"/>
        <v>4819.9181795625009</v>
      </c>
      <c r="N99" s="499">
        <v>4819.9181795625009</v>
      </c>
      <c r="O99" s="499">
        <v>0</v>
      </c>
      <c r="P99" s="499">
        <v>710.16434114500009</v>
      </c>
      <c r="R99" s="499">
        <v>121286.68901692001</v>
      </c>
      <c r="S99" s="499">
        <v>0.30207393000000005</v>
      </c>
      <c r="T99" s="499">
        <v>3996.4692500000001</v>
      </c>
    </row>
    <row r="100" spans="1:20" x14ac:dyDescent="0.2">
      <c r="A100" s="499" t="s">
        <v>462</v>
      </c>
      <c r="B100" s="499" t="s">
        <v>463</v>
      </c>
      <c r="C100" s="499">
        <v>403.29647218000002</v>
      </c>
      <c r="D100" s="300">
        <f t="shared" ref="D100:D131" si="6">E100+F100</f>
        <v>206.27353705000004</v>
      </c>
      <c r="E100" s="499">
        <v>156.05943447000004</v>
      </c>
      <c r="F100" s="499">
        <v>50.214102580000002</v>
      </c>
      <c r="G100" s="499">
        <v>195.78401506999998</v>
      </c>
      <c r="H100" s="499">
        <v>72.033536940000005</v>
      </c>
      <c r="I100" s="499">
        <v>17953.785708970005</v>
      </c>
      <c r="J100" s="499">
        <v>8489.2402343799986</v>
      </c>
      <c r="K100" s="499">
        <v>7061.5069999999996</v>
      </c>
      <c r="L100" s="499">
        <v>388.77670147499998</v>
      </c>
      <c r="M100" s="499">
        <f t="shared" ref="M100:M131" si="7">N100+O100</f>
        <v>206.35654352666671</v>
      </c>
      <c r="N100" s="499">
        <v>137.75855911500003</v>
      </c>
      <c r="O100" s="499">
        <v>68.597984411666673</v>
      </c>
      <c r="P100" s="499">
        <v>181.5086557525</v>
      </c>
      <c r="Q100" s="499">
        <v>35.560341487499997</v>
      </c>
      <c r="R100" s="499">
        <v>16250.742753217502</v>
      </c>
      <c r="S100" s="499">
        <v>8291.9857177749982</v>
      </c>
      <c r="T100" s="499">
        <v>6900.387999999999</v>
      </c>
    </row>
    <row r="101" spans="1:20" x14ac:dyDescent="0.2">
      <c r="A101" s="499" t="s">
        <v>283</v>
      </c>
      <c r="B101" s="499" t="s">
        <v>284</v>
      </c>
      <c r="C101" s="499">
        <v>4708.7626533999992</v>
      </c>
      <c r="D101" s="300">
        <f t="shared" si="6"/>
        <v>2401.0247429599999</v>
      </c>
      <c r="E101" s="499">
        <v>2355.3917081300001</v>
      </c>
      <c r="F101" s="499">
        <v>45.63303483</v>
      </c>
      <c r="G101" s="499">
        <v>1564.1921061400001</v>
      </c>
      <c r="I101" s="499">
        <v>56372.315754559982</v>
      </c>
      <c r="J101" s="499">
        <v>1507.5</v>
      </c>
      <c r="K101" s="499">
        <v>6859.4080000000004</v>
      </c>
      <c r="L101" s="499">
        <v>4286.5900685875004</v>
      </c>
      <c r="M101" s="499">
        <f t="shared" si="7"/>
        <v>2208.5026283450002</v>
      </c>
      <c r="N101" s="499">
        <v>2165.0140940775</v>
      </c>
      <c r="O101" s="499">
        <v>43.488534267499993</v>
      </c>
      <c r="P101" s="499">
        <v>1408.692352715</v>
      </c>
      <c r="R101" s="499">
        <v>52744.764676617502</v>
      </c>
      <c r="S101" s="499">
        <v>1507.5</v>
      </c>
      <c r="T101" s="499">
        <v>6731.4350000000004</v>
      </c>
    </row>
    <row r="102" spans="1:20" x14ac:dyDescent="0.2">
      <c r="A102" s="499" t="s">
        <v>138</v>
      </c>
      <c r="B102" s="499" t="s">
        <v>139</v>
      </c>
      <c r="C102" s="499">
        <v>218.90079331000001</v>
      </c>
      <c r="D102" s="300">
        <f t="shared" si="6"/>
        <v>110.26857916</v>
      </c>
      <c r="E102" s="499">
        <v>55.072004029999995</v>
      </c>
      <c r="F102" s="499">
        <v>55.196575129999999</v>
      </c>
      <c r="G102" s="499">
        <v>91.47243665000002</v>
      </c>
      <c r="I102" s="499">
        <v>3248</v>
      </c>
      <c r="J102" s="499">
        <v>144.05557250999999</v>
      </c>
      <c r="K102" s="499">
        <v>4818.973</v>
      </c>
      <c r="L102" s="499">
        <v>284.00086727249993</v>
      </c>
      <c r="M102" s="499">
        <f t="shared" si="7"/>
        <v>130.53479041499997</v>
      </c>
      <c r="N102" s="499">
        <v>45.945037824999993</v>
      </c>
      <c r="O102" s="499">
        <v>84.589752589999989</v>
      </c>
      <c r="P102" s="499">
        <v>129.22424626750001</v>
      </c>
      <c r="Q102" s="499">
        <v>4.1346766450000008</v>
      </c>
      <c r="R102" s="499">
        <v>3243</v>
      </c>
      <c r="S102" s="499">
        <v>109.34446334750001</v>
      </c>
      <c r="T102" s="499">
        <v>4645.0540000000001</v>
      </c>
    </row>
    <row r="103" spans="1:20" x14ac:dyDescent="0.2">
      <c r="A103" s="499" t="s">
        <v>237</v>
      </c>
      <c r="B103" s="499" t="s">
        <v>238</v>
      </c>
      <c r="C103" s="499">
        <v>84.525483070000007</v>
      </c>
      <c r="D103" s="300">
        <f t="shared" si="6"/>
        <v>40.219957329999993</v>
      </c>
      <c r="E103" s="499">
        <v>39.941282539999996</v>
      </c>
      <c r="F103" s="499">
        <v>0.27867479000000001</v>
      </c>
      <c r="G103" s="499">
        <v>39.158558730000003</v>
      </c>
      <c r="H103" s="499">
        <v>2.1921566700000001</v>
      </c>
      <c r="I103" s="499">
        <v>1921.85185185</v>
      </c>
      <c r="J103" s="499">
        <v>2.7</v>
      </c>
      <c r="K103" s="499">
        <v>181.88900000000001</v>
      </c>
      <c r="L103" s="499">
        <v>82.869460347500009</v>
      </c>
      <c r="M103" s="499">
        <f t="shared" si="7"/>
        <v>39.647856740000002</v>
      </c>
      <c r="N103" s="499">
        <v>38.322011615000001</v>
      </c>
      <c r="O103" s="499">
        <v>1.3258451250000001</v>
      </c>
      <c r="P103" s="499">
        <v>38.220779132499999</v>
      </c>
      <c r="Q103" s="499">
        <v>4.0244790149999998</v>
      </c>
      <c r="R103" s="499">
        <v>1774.8148148149999</v>
      </c>
      <c r="S103" s="499">
        <v>2.7</v>
      </c>
      <c r="T103" s="499">
        <v>180.49825000000001</v>
      </c>
    </row>
    <row r="104" spans="1:20" x14ac:dyDescent="0.2">
      <c r="A104" s="499" t="s">
        <v>427</v>
      </c>
      <c r="B104" s="499" t="s">
        <v>428</v>
      </c>
      <c r="C104" s="499">
        <v>3342.8051814699998</v>
      </c>
      <c r="D104" s="300">
        <f t="shared" si="6"/>
        <v>1448.4592049799999</v>
      </c>
      <c r="E104" s="499">
        <v>1373.6215993199999</v>
      </c>
      <c r="F104" s="499">
        <v>74.837605660000008</v>
      </c>
      <c r="G104" s="499">
        <v>1693.2707587499997</v>
      </c>
      <c r="I104" s="499">
        <v>88941.892345540022</v>
      </c>
      <c r="J104" s="499">
        <v>162.46485901</v>
      </c>
      <c r="K104" s="499">
        <v>21228.762999999999</v>
      </c>
      <c r="L104" s="499">
        <v>3253.9389943224996</v>
      </c>
      <c r="M104" s="499">
        <f t="shared" si="7"/>
        <v>1436.2735723575001</v>
      </c>
      <c r="N104" s="499">
        <v>1387.1642357675</v>
      </c>
      <c r="O104" s="499">
        <v>49.109336589999998</v>
      </c>
      <c r="P104" s="499">
        <v>1625.7350554425</v>
      </c>
      <c r="Q104" s="499">
        <v>315.01014224333335</v>
      </c>
      <c r="R104" s="499">
        <v>84991.683263565006</v>
      </c>
      <c r="S104" s="499">
        <v>149.0874633775</v>
      </c>
      <c r="T104" s="499">
        <v>21071.498250000001</v>
      </c>
    </row>
    <row r="105" spans="1:20" x14ac:dyDescent="0.2">
      <c r="A105" s="499" t="s">
        <v>140</v>
      </c>
      <c r="B105" s="499" t="s">
        <v>141</v>
      </c>
      <c r="C105" s="499">
        <v>263.09759350000002</v>
      </c>
      <c r="D105" s="300">
        <f t="shared" si="6"/>
        <v>220.89891278000002</v>
      </c>
      <c r="E105" s="499">
        <v>152.76092028000002</v>
      </c>
      <c r="F105" s="499">
        <v>68.137992499999996</v>
      </c>
      <c r="G105" s="499">
        <v>42.198680719999992</v>
      </c>
      <c r="I105" s="499">
        <v>2834.0193994000001</v>
      </c>
      <c r="J105" s="499">
        <v>13.240911479999999</v>
      </c>
      <c r="K105" s="499">
        <v>2108.328</v>
      </c>
      <c r="L105" s="499">
        <v>223.8650619</v>
      </c>
      <c r="M105" s="499">
        <f t="shared" si="7"/>
        <v>186.80500233750001</v>
      </c>
      <c r="N105" s="499">
        <v>139.506799865</v>
      </c>
      <c r="O105" s="499">
        <v>47.298202472500002</v>
      </c>
      <c r="P105" s="499">
        <v>37.060059562500001</v>
      </c>
      <c r="Q105" s="499">
        <v>8.9523809733333337</v>
      </c>
      <c r="R105" s="499">
        <v>2567.9703338500003</v>
      </c>
      <c r="S105" s="499">
        <v>13.510808705000001</v>
      </c>
      <c r="T105" s="499">
        <v>2083.4782499999997</v>
      </c>
    </row>
    <row r="106" spans="1:20" x14ac:dyDescent="0.2">
      <c r="A106" s="499" t="s">
        <v>369</v>
      </c>
      <c r="B106" s="499" t="s">
        <v>370</v>
      </c>
      <c r="C106" s="499">
        <v>3509.03246021</v>
      </c>
      <c r="D106" s="300">
        <f t="shared" si="6"/>
        <v>2322.2245468900005</v>
      </c>
      <c r="E106" s="499">
        <v>2311.2448859200003</v>
      </c>
      <c r="F106" s="499">
        <v>10.979660970000001</v>
      </c>
      <c r="G106" s="499">
        <v>1110.3509350799998</v>
      </c>
      <c r="I106" s="499">
        <v>53428.207034940002</v>
      </c>
      <c r="J106" s="499">
        <v>0.84719999999999995</v>
      </c>
      <c r="K106" s="499">
        <v>2808.9009999999998</v>
      </c>
      <c r="L106" s="499">
        <v>3034.4353789699999</v>
      </c>
      <c r="M106" s="499">
        <f t="shared" si="7"/>
        <v>2001.4413137975</v>
      </c>
      <c r="N106" s="499">
        <v>1993.9047284825001</v>
      </c>
      <c r="O106" s="499">
        <v>7.5365853150000008</v>
      </c>
      <c r="P106" s="499">
        <v>973.60097391749991</v>
      </c>
      <c r="Q106" s="499">
        <v>105.35654873999999</v>
      </c>
      <c r="R106" s="499">
        <v>46370.138586862508</v>
      </c>
      <c r="S106" s="499">
        <v>0.88505</v>
      </c>
      <c r="T106" s="499">
        <v>2866.65625</v>
      </c>
    </row>
    <row r="107" spans="1:20" x14ac:dyDescent="0.2">
      <c r="A107" s="499" t="s">
        <v>371</v>
      </c>
      <c r="B107" s="499" t="s">
        <v>372</v>
      </c>
      <c r="C107" s="499">
        <v>3748.7359163000001</v>
      </c>
      <c r="D107" s="300">
        <f t="shared" si="6"/>
        <v>3236.4131503900003</v>
      </c>
      <c r="E107" s="499">
        <v>3183.4697457100001</v>
      </c>
      <c r="F107" s="499">
        <v>52.94340468</v>
      </c>
      <c r="G107" s="499">
        <v>392.64373739999996</v>
      </c>
      <c r="I107" s="499">
        <v>70919.930134759998</v>
      </c>
      <c r="J107" s="499">
        <v>0.846773</v>
      </c>
      <c r="K107" s="499">
        <v>602.005</v>
      </c>
      <c r="L107" s="499">
        <v>3332.6626641150001</v>
      </c>
      <c r="M107" s="499">
        <f t="shared" si="7"/>
        <v>2867.8213884674997</v>
      </c>
      <c r="N107" s="499">
        <v>2821.9657825249997</v>
      </c>
      <c r="O107" s="499">
        <v>45.855605942500006</v>
      </c>
      <c r="P107" s="499">
        <v>355.40488902750002</v>
      </c>
      <c r="R107" s="499">
        <v>63400.572951192502</v>
      </c>
      <c r="S107" s="499">
        <v>0.88417400000000002</v>
      </c>
      <c r="T107" s="499">
        <v>582.96974999999998</v>
      </c>
    </row>
    <row r="108" spans="1:20" x14ac:dyDescent="0.2">
      <c r="A108" s="499" t="s">
        <v>373</v>
      </c>
      <c r="B108" s="499" t="s">
        <v>374</v>
      </c>
      <c r="C108" s="499">
        <v>2130.7040017599993</v>
      </c>
      <c r="D108" s="300">
        <f t="shared" si="6"/>
        <v>1275.8784487400001</v>
      </c>
      <c r="E108" s="499">
        <v>1272.3706609400001</v>
      </c>
      <c r="F108" s="499">
        <v>3.5077878</v>
      </c>
      <c r="G108" s="499">
        <v>838.26158841000017</v>
      </c>
      <c r="I108" s="499">
        <v>34425.991381400003</v>
      </c>
      <c r="J108" s="499">
        <v>0.846773</v>
      </c>
      <c r="K108" s="499">
        <v>1934.3790000000001</v>
      </c>
      <c r="L108" s="499">
        <v>1803.1615828249996</v>
      </c>
      <c r="M108" s="499">
        <f t="shared" si="7"/>
        <v>1047.7614244599999</v>
      </c>
      <c r="N108" s="499">
        <v>1044.517562125</v>
      </c>
      <c r="O108" s="499">
        <v>3.2438623350000002</v>
      </c>
      <c r="P108" s="499">
        <v>743.76439151249997</v>
      </c>
      <c r="R108" s="499">
        <v>29888.217945240001</v>
      </c>
      <c r="S108" s="499">
        <v>0.88417400000000002</v>
      </c>
      <c r="T108" s="499">
        <v>1959.8869999999999</v>
      </c>
    </row>
    <row r="109" spans="1:20" x14ac:dyDescent="0.2">
      <c r="A109" s="499" t="s">
        <v>287</v>
      </c>
      <c r="B109" s="499" t="s">
        <v>288</v>
      </c>
      <c r="C109" s="499">
        <v>6297.2316120000014</v>
      </c>
      <c r="D109" s="300">
        <f t="shared" si="6"/>
        <v>2542.3484947400002</v>
      </c>
      <c r="E109" s="499">
        <v>2530.9379153300001</v>
      </c>
      <c r="F109" s="499">
        <v>11.410579410000002</v>
      </c>
      <c r="G109" s="499">
        <v>2958.7716517500003</v>
      </c>
      <c r="I109" s="499">
        <v>118533.54240101001</v>
      </c>
      <c r="J109" s="499">
        <v>9.3861026800000005</v>
      </c>
      <c r="K109" s="499">
        <v>36029.093000000001</v>
      </c>
      <c r="L109" s="499">
        <v>5646.6989107000009</v>
      </c>
      <c r="M109" s="499">
        <f t="shared" si="7"/>
        <v>2368.5273773274998</v>
      </c>
      <c r="N109" s="499">
        <v>2357.5621671674999</v>
      </c>
      <c r="O109" s="499">
        <v>10.965210160000002</v>
      </c>
      <c r="P109" s="499">
        <v>2961.6368007475003</v>
      </c>
      <c r="Q109" s="499">
        <v>161.30109200999999</v>
      </c>
      <c r="R109" s="499">
        <v>108191.78975822999</v>
      </c>
      <c r="S109" s="499">
        <v>9.6624810699999983</v>
      </c>
      <c r="T109" s="499">
        <v>35350.058499999999</v>
      </c>
    </row>
    <row r="110" spans="1:20" x14ac:dyDescent="0.2">
      <c r="A110" s="499" t="s">
        <v>375</v>
      </c>
      <c r="B110" s="499" t="s">
        <v>376</v>
      </c>
      <c r="C110" s="499">
        <v>114.82753435999999</v>
      </c>
      <c r="D110" s="300">
        <f t="shared" si="6"/>
        <v>98.426756299999994</v>
      </c>
      <c r="E110" s="499">
        <v>98.426756299999994</v>
      </c>
      <c r="F110" s="499">
        <v>0</v>
      </c>
      <c r="G110" s="499">
        <v>8.7503499500000004</v>
      </c>
      <c r="I110" s="499">
        <v>7188.4700766299993</v>
      </c>
      <c r="J110" s="499">
        <v>0.84677267000000001</v>
      </c>
      <c r="K110" s="499">
        <v>38.682000000000002</v>
      </c>
      <c r="L110" s="499">
        <v>113.17370489250001</v>
      </c>
      <c r="M110" s="499">
        <f t="shared" si="7"/>
        <v>95.455997935000013</v>
      </c>
      <c r="N110" s="499">
        <v>95.455997935000013</v>
      </c>
      <c r="O110" s="499">
        <v>0</v>
      </c>
      <c r="P110" s="499">
        <v>8.0393408475000001</v>
      </c>
      <c r="Q110" s="499">
        <v>6.981423770000001</v>
      </c>
      <c r="R110" s="499">
        <v>6586.7065953799993</v>
      </c>
      <c r="S110" s="499">
        <v>0.88441806750000007</v>
      </c>
      <c r="T110" s="499">
        <v>38.215500000000006</v>
      </c>
    </row>
    <row r="111" spans="1:20" x14ac:dyDescent="0.2">
      <c r="A111" s="499" t="s">
        <v>377</v>
      </c>
      <c r="B111" s="499" t="s">
        <v>378</v>
      </c>
      <c r="C111" s="499">
        <v>754.7670515399999</v>
      </c>
      <c r="D111" s="300">
        <f t="shared" si="6"/>
        <v>447.14778003000004</v>
      </c>
      <c r="E111" s="499">
        <v>426.63974527000005</v>
      </c>
      <c r="F111" s="499">
        <v>20.508034760000001</v>
      </c>
      <c r="G111" s="499">
        <v>302.62111653000005</v>
      </c>
      <c r="H111" s="499">
        <v>51.300202359999993</v>
      </c>
      <c r="I111" s="499">
        <v>11443.756695630003</v>
      </c>
      <c r="J111" s="499">
        <v>16.802</v>
      </c>
      <c r="K111" s="499">
        <v>3544</v>
      </c>
      <c r="L111" s="499">
        <v>675.9938840824999</v>
      </c>
      <c r="M111" s="499">
        <f t="shared" si="7"/>
        <v>372.90010143249998</v>
      </c>
      <c r="N111" s="499">
        <v>342.12507741749999</v>
      </c>
      <c r="O111" s="499">
        <v>30.775024014999996</v>
      </c>
      <c r="P111" s="499">
        <v>296.55809607750001</v>
      </c>
      <c r="Q111" s="499">
        <v>46.977855799999993</v>
      </c>
      <c r="R111" s="499">
        <v>9232.5686999874997</v>
      </c>
      <c r="S111" s="499">
        <v>18.510825677500002</v>
      </c>
      <c r="T111" s="499">
        <v>3549.80375</v>
      </c>
    </row>
    <row r="112" spans="1:20" x14ac:dyDescent="0.2">
      <c r="A112" s="499" t="s">
        <v>142</v>
      </c>
      <c r="B112" s="499" t="s">
        <v>143</v>
      </c>
      <c r="C112" s="499">
        <v>579.07757301000004</v>
      </c>
      <c r="D112" s="300">
        <f t="shared" si="6"/>
        <v>380.48576437000003</v>
      </c>
      <c r="E112" s="499">
        <v>206.91415114</v>
      </c>
      <c r="F112" s="499">
        <v>173.57161323000003</v>
      </c>
      <c r="G112" s="499">
        <v>162.74330205000001</v>
      </c>
      <c r="I112" s="499">
        <v>12090.401809470002</v>
      </c>
      <c r="J112" s="499">
        <v>3334.7521972700001</v>
      </c>
      <c r="K112" s="499">
        <v>26262.313000000002</v>
      </c>
      <c r="L112" s="499">
        <v>593.69618629499996</v>
      </c>
      <c r="M112" s="499">
        <f t="shared" si="7"/>
        <v>413.11053841749998</v>
      </c>
      <c r="N112" s="499">
        <v>252.31803906749997</v>
      </c>
      <c r="O112" s="499">
        <v>160.79249935000001</v>
      </c>
      <c r="P112" s="499">
        <v>147.01248868499999</v>
      </c>
      <c r="R112" s="499">
        <v>10845.683027757499</v>
      </c>
      <c r="S112" s="499">
        <v>3140.2274169924999</v>
      </c>
      <c r="T112" s="499">
        <v>25240.320749999999</v>
      </c>
    </row>
    <row r="113" spans="1:20" x14ac:dyDescent="0.2">
      <c r="A113" s="499" t="s">
        <v>429</v>
      </c>
      <c r="B113" s="499" t="s">
        <v>430</v>
      </c>
      <c r="C113" s="499">
        <v>502.04910228000006</v>
      </c>
      <c r="D113" s="300">
        <f t="shared" si="6"/>
        <v>359.2221031200001</v>
      </c>
      <c r="E113" s="499">
        <v>354.56023828000008</v>
      </c>
      <c r="F113" s="499">
        <v>4.6618648399999998</v>
      </c>
      <c r="G113" s="499">
        <v>103.54845149000001</v>
      </c>
      <c r="I113" s="499">
        <v>5334.4075066200003</v>
      </c>
      <c r="J113" s="499">
        <v>15.390837669999996</v>
      </c>
      <c r="K113" s="499">
        <v>515.69600000000003</v>
      </c>
      <c r="L113" s="499">
        <v>437.18735766250006</v>
      </c>
      <c r="M113" s="499">
        <f t="shared" si="7"/>
        <v>314.3417580725</v>
      </c>
      <c r="N113" s="499">
        <v>312.79829705999998</v>
      </c>
      <c r="O113" s="499">
        <v>1.5434610124999999</v>
      </c>
      <c r="P113" s="499">
        <v>87.365767927500002</v>
      </c>
      <c r="Q113" s="499">
        <v>57.52434525666667</v>
      </c>
      <c r="R113" s="499">
        <v>4680.8618971274991</v>
      </c>
      <c r="S113" s="499">
        <v>15.378136157499998</v>
      </c>
      <c r="T113" s="499">
        <v>485.63124999999991</v>
      </c>
    </row>
    <row r="114" spans="1:20" x14ac:dyDescent="0.2">
      <c r="A114" s="499" t="s">
        <v>239</v>
      </c>
      <c r="B114" s="499" t="s">
        <v>240</v>
      </c>
      <c r="C114" s="499">
        <v>65569.424434710003</v>
      </c>
      <c r="D114" s="300">
        <f t="shared" si="6"/>
        <v>32831.598948140003</v>
      </c>
      <c r="E114" s="499">
        <v>32831.598948140003</v>
      </c>
      <c r="F114" s="499">
        <v>0</v>
      </c>
      <c r="G114" s="499">
        <v>27585.075654959997</v>
      </c>
      <c r="H114" s="499">
        <v>1023.5616265799999</v>
      </c>
      <c r="I114" s="499">
        <v>1220696.8166019903</v>
      </c>
      <c r="J114" s="499">
        <v>19.244341999999996</v>
      </c>
      <c r="K114" s="499">
        <v>126190.78800000002</v>
      </c>
      <c r="L114" s="499">
        <v>64463.587412250003</v>
      </c>
      <c r="M114" s="499">
        <f t="shared" si="7"/>
        <v>33370.301638855002</v>
      </c>
      <c r="N114" s="499">
        <v>33370.301638855002</v>
      </c>
      <c r="O114" s="499">
        <v>0</v>
      </c>
      <c r="P114" s="499">
        <v>26475.778194337501</v>
      </c>
      <c r="Q114" s="499">
        <v>907.31744165249995</v>
      </c>
      <c r="R114" s="499">
        <v>1156726.2642783727</v>
      </c>
      <c r="S114" s="499">
        <v>18.170795999999996</v>
      </c>
      <c r="T114" s="499">
        <v>124039.9365</v>
      </c>
    </row>
    <row r="115" spans="1:20" x14ac:dyDescent="0.2">
      <c r="A115" s="499" t="s">
        <v>464</v>
      </c>
      <c r="B115" s="499" t="s">
        <v>465</v>
      </c>
      <c r="C115" s="499">
        <v>37.535674819999997</v>
      </c>
      <c r="D115" s="300">
        <f t="shared" si="6"/>
        <v>32.063507009999995</v>
      </c>
      <c r="E115" s="499">
        <v>16.312107000000001</v>
      </c>
      <c r="F115" s="499">
        <v>15.751400009999996</v>
      </c>
      <c r="G115" s="499">
        <v>4.0217238100000001</v>
      </c>
      <c r="H115" s="499">
        <v>1.0508600000000001</v>
      </c>
      <c r="I115" s="499">
        <v>214</v>
      </c>
      <c r="J115" s="499">
        <v>1</v>
      </c>
      <c r="K115" s="499">
        <v>58.412999999999997</v>
      </c>
      <c r="L115" s="499">
        <v>34.471803704999999</v>
      </c>
      <c r="M115" s="499">
        <f t="shared" si="7"/>
        <v>29.335766505000002</v>
      </c>
      <c r="N115" s="499">
        <v>13.838921750000001</v>
      </c>
      <c r="O115" s="499">
        <v>15.496844755</v>
      </c>
      <c r="P115" s="499">
        <v>3.7606912000000001</v>
      </c>
      <c r="Q115" s="499">
        <v>0.69393925000000001</v>
      </c>
      <c r="R115" s="499">
        <v>200.25</v>
      </c>
      <c r="S115" s="499">
        <v>1</v>
      </c>
      <c r="T115" s="499">
        <v>57.91125000000001</v>
      </c>
    </row>
    <row r="116" spans="1:20" x14ac:dyDescent="0.2">
      <c r="A116" s="499" t="s">
        <v>379</v>
      </c>
      <c r="B116" s="499" t="s">
        <v>4479</v>
      </c>
      <c r="C116" s="499">
        <v>831.30211650000024</v>
      </c>
      <c r="D116" s="300">
        <f t="shared" si="6"/>
        <v>476.53041372000007</v>
      </c>
      <c r="E116" s="499">
        <v>476.51780513000006</v>
      </c>
      <c r="F116" s="499">
        <v>1.2608589999999999E-2</v>
      </c>
      <c r="G116" s="499">
        <v>350.05816325999996</v>
      </c>
      <c r="H116" s="499">
        <v>9.3340456799999991</v>
      </c>
      <c r="I116" s="499">
        <v>12628.224687530001</v>
      </c>
      <c r="J116" s="499">
        <v>52.109699999999997</v>
      </c>
      <c r="K116" s="499">
        <v>2082.9569999999999</v>
      </c>
      <c r="L116" s="499">
        <v>724.22494227999982</v>
      </c>
      <c r="M116" s="499">
        <f t="shared" si="7"/>
        <v>439.82784103250009</v>
      </c>
      <c r="N116" s="499">
        <v>437.44362794250009</v>
      </c>
      <c r="O116" s="499">
        <v>2.3842130899999998</v>
      </c>
      <c r="P116" s="499">
        <v>281.47312532999996</v>
      </c>
      <c r="Q116" s="499">
        <v>22.543872669999999</v>
      </c>
      <c r="R116" s="499">
        <v>11171.3339832</v>
      </c>
      <c r="S116" s="499">
        <v>54.494700000000002</v>
      </c>
      <c r="T116" s="499">
        <v>2081.2559999999999</v>
      </c>
    </row>
    <row r="117" spans="1:20" x14ac:dyDescent="0.2">
      <c r="A117" s="499" t="s">
        <v>144</v>
      </c>
      <c r="B117" s="499" t="s">
        <v>145</v>
      </c>
      <c r="C117" s="499">
        <v>666.79897914000003</v>
      </c>
      <c r="D117" s="300">
        <f t="shared" si="6"/>
        <v>427.98760018999997</v>
      </c>
      <c r="E117" s="499">
        <v>188.16915861999999</v>
      </c>
      <c r="F117" s="499">
        <v>239.81844156999998</v>
      </c>
      <c r="G117" s="499">
        <v>226.01803982000001</v>
      </c>
      <c r="I117" s="499">
        <v>17163.746434549998</v>
      </c>
      <c r="J117" s="499">
        <v>555.71783446999996</v>
      </c>
      <c r="K117" s="499">
        <v>19077.749</v>
      </c>
      <c r="L117" s="499">
        <v>590.94336457250006</v>
      </c>
      <c r="M117" s="499">
        <f t="shared" si="7"/>
        <v>378.3331132875</v>
      </c>
      <c r="N117" s="499">
        <v>167.20188315000001</v>
      </c>
      <c r="O117" s="499">
        <v>211.13123013749998</v>
      </c>
      <c r="P117" s="499">
        <v>201.00754922250002</v>
      </c>
      <c r="Q117" s="499">
        <v>37.366262899999995</v>
      </c>
      <c r="R117" s="499">
        <v>14902.902768542497</v>
      </c>
      <c r="S117" s="499">
        <v>580.56752014250003</v>
      </c>
      <c r="T117" s="499">
        <v>18248.599999999999</v>
      </c>
    </row>
    <row r="118" spans="1:20" x14ac:dyDescent="0.2">
      <c r="A118" s="499" t="s">
        <v>381</v>
      </c>
      <c r="B118" s="499" t="s">
        <v>382</v>
      </c>
      <c r="C118" s="499">
        <v>1309.84791903</v>
      </c>
      <c r="D118" s="300">
        <f t="shared" si="6"/>
        <v>831.46277856000017</v>
      </c>
      <c r="E118" s="499">
        <v>831.46277856000017</v>
      </c>
      <c r="F118" s="499">
        <v>0</v>
      </c>
      <c r="G118" s="499">
        <v>449.22074716999998</v>
      </c>
      <c r="H118" s="499">
        <v>37.5878789</v>
      </c>
      <c r="I118" s="499">
        <v>14611.425873470003</v>
      </c>
      <c r="J118" s="499">
        <v>0.84719999999999995</v>
      </c>
      <c r="K118" s="499">
        <v>475.70100000000002</v>
      </c>
      <c r="L118" s="499">
        <v>1129.07744508</v>
      </c>
      <c r="M118" s="499">
        <f t="shared" si="7"/>
        <v>707.30891470250003</v>
      </c>
      <c r="N118" s="499">
        <v>707.30891470250003</v>
      </c>
      <c r="O118" s="499">
        <v>0</v>
      </c>
      <c r="P118" s="499">
        <v>399.30625892749993</v>
      </c>
      <c r="Q118" s="499">
        <v>56.031240139999994</v>
      </c>
      <c r="R118" s="499">
        <v>12390.223691955001</v>
      </c>
      <c r="S118" s="499">
        <v>0.88505</v>
      </c>
      <c r="T118" s="499">
        <v>456.52599999999995</v>
      </c>
    </row>
    <row r="119" spans="1:20" x14ac:dyDescent="0.2">
      <c r="A119" s="499" t="s">
        <v>431</v>
      </c>
      <c r="B119" s="499" t="s">
        <v>432</v>
      </c>
      <c r="C119" s="499">
        <v>3179.8578437999995</v>
      </c>
      <c r="D119" s="300">
        <f t="shared" si="6"/>
        <v>748.92721155999993</v>
      </c>
      <c r="E119" s="499">
        <v>471.53453824999997</v>
      </c>
      <c r="F119" s="499">
        <v>277.39267330999996</v>
      </c>
      <c r="G119" s="499">
        <v>2430.8855912299996</v>
      </c>
      <c r="H119" s="499">
        <v>188.69116574000003</v>
      </c>
      <c r="I119" s="499">
        <v>66367.950872920002</v>
      </c>
      <c r="J119" s="499">
        <v>1429.8079834</v>
      </c>
      <c r="K119" s="499">
        <v>53708.319999999992</v>
      </c>
      <c r="L119" s="499">
        <v>3148.0515239999995</v>
      </c>
      <c r="M119" s="499">
        <f t="shared" si="7"/>
        <v>794.31181673499987</v>
      </c>
      <c r="N119" s="499">
        <v>518.28729921999991</v>
      </c>
      <c r="O119" s="499">
        <v>276.02451751500001</v>
      </c>
      <c r="P119" s="499">
        <v>2353.7220176849996</v>
      </c>
      <c r="Q119" s="499">
        <v>244.93571517750001</v>
      </c>
      <c r="R119" s="499">
        <v>61630.818898422498</v>
      </c>
      <c r="S119" s="499">
        <v>1296.9129028350001</v>
      </c>
      <c r="T119" s="499">
        <v>53204.192500000005</v>
      </c>
    </row>
    <row r="120" spans="1:20" x14ac:dyDescent="0.2">
      <c r="A120" s="499" t="s">
        <v>383</v>
      </c>
      <c r="B120" s="499" t="s">
        <v>384</v>
      </c>
      <c r="C120" s="499">
        <v>459.23078376000001</v>
      </c>
      <c r="D120" s="300">
        <f t="shared" si="6"/>
        <v>275.60656279999995</v>
      </c>
      <c r="E120" s="499">
        <v>275.60656279999995</v>
      </c>
      <c r="F120" s="499">
        <v>0</v>
      </c>
      <c r="G120" s="499">
        <v>181.90166431000003</v>
      </c>
      <c r="H120" s="499">
        <v>4.2920207700000006</v>
      </c>
      <c r="I120" s="499">
        <v>5452.0774315400004</v>
      </c>
      <c r="J120" s="499">
        <v>0.84719999999999995</v>
      </c>
      <c r="K120" s="499">
        <v>627.80899999999997</v>
      </c>
      <c r="L120" s="499">
        <v>459.23078376000001</v>
      </c>
      <c r="M120" s="499">
        <f t="shared" si="7"/>
        <v>275.60656279999995</v>
      </c>
      <c r="N120" s="499">
        <v>275.60656279999995</v>
      </c>
      <c r="O120" s="499">
        <v>0</v>
      </c>
      <c r="P120" s="499">
        <v>181.90166431000003</v>
      </c>
      <c r="Q120" s="499">
        <v>4.2920207700000006</v>
      </c>
      <c r="R120" s="499">
        <v>5452.0774315400004</v>
      </c>
      <c r="S120" s="499">
        <v>0.84719999999999995</v>
      </c>
      <c r="T120" s="499">
        <v>627.80899999999997</v>
      </c>
    </row>
    <row r="121" spans="1:20" x14ac:dyDescent="0.2">
      <c r="A121" s="499" t="s">
        <v>466</v>
      </c>
      <c r="B121" s="499" t="s">
        <v>467</v>
      </c>
      <c r="C121" s="499">
        <v>491.68044062000001</v>
      </c>
      <c r="D121" s="300">
        <f t="shared" si="6"/>
        <v>315.62267691</v>
      </c>
      <c r="E121" s="499">
        <v>288.51968785000003</v>
      </c>
      <c r="F121" s="499">
        <v>27.102989059999999</v>
      </c>
      <c r="G121" s="499">
        <v>159.12935807000002</v>
      </c>
      <c r="H121" s="499">
        <v>44.592627710000002</v>
      </c>
      <c r="I121" s="499">
        <v>12980.31182463</v>
      </c>
      <c r="J121" s="499">
        <v>2472.4841308599998</v>
      </c>
      <c r="K121" s="499">
        <v>3170.2159999999994</v>
      </c>
      <c r="L121" s="499">
        <v>485.53239435</v>
      </c>
      <c r="M121" s="499">
        <f t="shared" si="7"/>
        <v>308.79793865000005</v>
      </c>
      <c r="N121" s="499">
        <v>286.29491420250002</v>
      </c>
      <c r="O121" s="499">
        <v>22.5030244475</v>
      </c>
      <c r="P121" s="499">
        <v>160.81514063500001</v>
      </c>
      <c r="Q121" s="499">
        <v>45.432463962499995</v>
      </c>
      <c r="R121" s="499">
        <v>11835.6058567375</v>
      </c>
      <c r="S121" s="499">
        <v>2255.7153015125</v>
      </c>
      <c r="T121" s="499">
        <v>3084.7012500000001</v>
      </c>
    </row>
    <row r="122" spans="1:20" x14ac:dyDescent="0.2">
      <c r="A122" s="499" t="s">
        <v>146</v>
      </c>
      <c r="B122" s="499" t="s">
        <v>147</v>
      </c>
      <c r="C122" s="499">
        <v>1187.6246363299999</v>
      </c>
      <c r="D122" s="300">
        <f t="shared" si="6"/>
        <v>998.63969176000001</v>
      </c>
      <c r="E122" s="499">
        <v>251.43214988999998</v>
      </c>
      <c r="F122" s="499">
        <v>747.20754187</v>
      </c>
      <c r="G122" s="499">
        <v>115.09902047999999</v>
      </c>
      <c r="I122" s="499">
        <v>14528.760468529998</v>
      </c>
      <c r="J122" s="499">
        <v>60.326206209999995</v>
      </c>
      <c r="K122" s="499">
        <v>29496.003999999997</v>
      </c>
      <c r="L122" s="499">
        <v>1035.9697621574999</v>
      </c>
      <c r="M122" s="499">
        <f t="shared" si="7"/>
        <v>860.91854661000002</v>
      </c>
      <c r="N122" s="499">
        <v>239.12549530250001</v>
      </c>
      <c r="O122" s="499">
        <v>621.79305130750004</v>
      </c>
      <c r="P122" s="499">
        <v>107.82604596249998</v>
      </c>
      <c r="Q122" s="499">
        <v>82.640706379999997</v>
      </c>
      <c r="R122" s="499">
        <v>13219.004817834999</v>
      </c>
      <c r="S122" s="499">
        <v>56.737309455000002</v>
      </c>
      <c r="T122" s="499">
        <v>28254.2405</v>
      </c>
    </row>
    <row r="123" spans="1:20" x14ac:dyDescent="0.2">
      <c r="A123" s="499" t="s">
        <v>148</v>
      </c>
      <c r="B123" s="499" t="s">
        <v>149</v>
      </c>
      <c r="C123" s="499">
        <v>239.93532239000001</v>
      </c>
      <c r="D123" s="300">
        <f t="shared" si="6"/>
        <v>104.40353175</v>
      </c>
      <c r="E123" s="499">
        <v>86.083831919999994</v>
      </c>
      <c r="F123" s="499">
        <v>18.319699830000001</v>
      </c>
      <c r="G123" s="499">
        <v>124.74421247999999</v>
      </c>
      <c r="I123" s="499">
        <v>5238.3154649299995</v>
      </c>
      <c r="J123" s="499">
        <v>35.677499999999995</v>
      </c>
      <c r="K123" s="499">
        <v>4403.3130000000001</v>
      </c>
      <c r="L123" s="499">
        <v>221.17053334250002</v>
      </c>
      <c r="M123" s="499">
        <f t="shared" si="7"/>
        <v>97.999802880000004</v>
      </c>
      <c r="N123" s="499">
        <v>83.512564977500006</v>
      </c>
      <c r="O123" s="499">
        <v>14.487237902499999</v>
      </c>
      <c r="P123" s="499">
        <v>112.68602078249999</v>
      </c>
      <c r="Q123" s="499">
        <v>70.100859560000004</v>
      </c>
      <c r="R123" s="499">
        <v>4909.5669455325005</v>
      </c>
      <c r="S123" s="499">
        <v>34.794041667499997</v>
      </c>
      <c r="T123" s="499">
        <v>4223.9292499999992</v>
      </c>
    </row>
    <row r="124" spans="1:20" x14ac:dyDescent="0.2">
      <c r="A124" s="499" t="s">
        <v>150</v>
      </c>
      <c r="B124" s="499" t="s">
        <v>151</v>
      </c>
      <c r="C124" s="499">
        <v>827.91177261000007</v>
      </c>
      <c r="D124" s="300">
        <f t="shared" si="6"/>
        <v>361.37289851000003</v>
      </c>
      <c r="E124" s="499">
        <v>357.22082358</v>
      </c>
      <c r="F124" s="499">
        <v>4.1520749299999995</v>
      </c>
      <c r="G124" s="499">
        <v>401.85345336000006</v>
      </c>
      <c r="I124" s="499">
        <v>14210.043923200001</v>
      </c>
      <c r="J124" s="499">
        <v>33.934448239999995</v>
      </c>
      <c r="K124" s="499">
        <v>1267.1849999999999</v>
      </c>
      <c r="L124" s="499">
        <v>737.61117933750006</v>
      </c>
      <c r="M124" s="499">
        <f t="shared" si="7"/>
        <v>324.19478615500003</v>
      </c>
      <c r="N124" s="499">
        <v>317.03640051750006</v>
      </c>
      <c r="O124" s="499">
        <v>7.1583856374999995</v>
      </c>
      <c r="P124" s="499">
        <v>359.801637105</v>
      </c>
      <c r="Q124" s="499">
        <v>13.751777870000002</v>
      </c>
      <c r="R124" s="499">
        <v>12848.53727483</v>
      </c>
      <c r="S124" s="499">
        <v>34.7536096575</v>
      </c>
      <c r="T124" s="499">
        <v>1263.2512499999998</v>
      </c>
    </row>
    <row r="125" spans="1:20" x14ac:dyDescent="0.2">
      <c r="A125" s="499" t="s">
        <v>153</v>
      </c>
      <c r="B125" s="499" t="s">
        <v>154</v>
      </c>
      <c r="C125" s="499">
        <v>644.05189751000012</v>
      </c>
      <c r="D125" s="300">
        <f t="shared" si="6"/>
        <v>528.90661234999993</v>
      </c>
      <c r="E125" s="499">
        <v>185.99992307999997</v>
      </c>
      <c r="F125" s="499">
        <v>342.90668927000002</v>
      </c>
      <c r="G125" s="499">
        <v>72.067302890000008</v>
      </c>
      <c r="I125" s="499">
        <v>6899.8882208000014</v>
      </c>
      <c r="J125" s="499">
        <v>732.33331298999985</v>
      </c>
      <c r="K125" s="499">
        <v>18143.216999999997</v>
      </c>
      <c r="L125" s="499">
        <v>593.67395425500013</v>
      </c>
      <c r="M125" s="499">
        <f t="shared" si="7"/>
        <v>488.63703948749998</v>
      </c>
      <c r="N125" s="499">
        <v>172.65050399749998</v>
      </c>
      <c r="O125" s="499">
        <v>315.98653548999999</v>
      </c>
      <c r="P125" s="499">
        <v>65.457457887499999</v>
      </c>
      <c r="Q125" s="499">
        <v>18.927870880000004</v>
      </c>
      <c r="R125" s="499">
        <v>6256.0368089599997</v>
      </c>
      <c r="S125" s="499">
        <v>670.05416869999999</v>
      </c>
      <c r="T125" s="499">
        <v>17440.99425</v>
      </c>
    </row>
    <row r="126" spans="1:20" x14ac:dyDescent="0.2">
      <c r="A126" s="499" t="s">
        <v>468</v>
      </c>
      <c r="B126" s="499" t="s">
        <v>469</v>
      </c>
      <c r="C126" s="499">
        <v>13469.312515799998</v>
      </c>
      <c r="D126" s="300">
        <f t="shared" si="6"/>
        <v>6895.4812574800007</v>
      </c>
      <c r="E126" s="499">
        <v>6893.7556404100005</v>
      </c>
      <c r="F126" s="499">
        <v>1.7256170699999998</v>
      </c>
      <c r="G126" s="499">
        <v>4731.00010105</v>
      </c>
      <c r="H126" s="499">
        <v>534.65466687000003</v>
      </c>
      <c r="I126" s="499">
        <v>358579.27571810997</v>
      </c>
      <c r="J126" s="499">
        <v>4.0351300200000004</v>
      </c>
      <c r="K126" s="499">
        <v>31528.032999999996</v>
      </c>
      <c r="L126" s="499">
        <v>11980.432628947498</v>
      </c>
      <c r="M126" s="499">
        <f t="shared" si="7"/>
        <v>6217.3162963925006</v>
      </c>
      <c r="N126" s="499">
        <v>6214.6279951425004</v>
      </c>
      <c r="O126" s="499">
        <v>2.6883012500000003</v>
      </c>
      <c r="P126" s="499">
        <v>4111.3808475349997</v>
      </c>
      <c r="Q126" s="499">
        <v>471.93774847499998</v>
      </c>
      <c r="R126" s="499">
        <v>320036.15703090496</v>
      </c>
      <c r="S126" s="499">
        <v>4.0973429075000007</v>
      </c>
      <c r="T126" s="499">
        <v>30897.073749999996</v>
      </c>
    </row>
    <row r="127" spans="1:20" x14ac:dyDescent="0.2">
      <c r="A127" s="499" t="s">
        <v>155</v>
      </c>
      <c r="B127" s="499" t="s">
        <v>156</v>
      </c>
      <c r="C127" s="499">
        <v>1154.33888</v>
      </c>
      <c r="D127" s="300">
        <f t="shared" si="6"/>
        <v>584.89964142999986</v>
      </c>
      <c r="E127" s="499">
        <v>531.67761908999989</v>
      </c>
      <c r="F127" s="499">
        <v>53.222022339999995</v>
      </c>
      <c r="G127" s="499">
        <v>97.300529080000004</v>
      </c>
      <c r="I127" s="499">
        <v>14518.5765182</v>
      </c>
      <c r="J127" s="499">
        <v>13.23394203</v>
      </c>
      <c r="K127" s="499">
        <v>2448.3010000000004</v>
      </c>
      <c r="L127" s="499">
        <v>1102.4137700499998</v>
      </c>
      <c r="M127" s="499">
        <f t="shared" si="7"/>
        <v>566.14518890749991</v>
      </c>
      <c r="N127" s="499">
        <v>500.22070227749998</v>
      </c>
      <c r="O127" s="499">
        <v>65.92448662999999</v>
      </c>
      <c r="P127" s="499">
        <v>86.239747139999992</v>
      </c>
      <c r="Q127" s="499">
        <v>42.592113149999996</v>
      </c>
      <c r="R127" s="499">
        <v>12755.401407325</v>
      </c>
      <c r="S127" s="499">
        <v>13.534382342500001</v>
      </c>
      <c r="T127" s="499">
        <v>2380.9705000000004</v>
      </c>
    </row>
    <row r="128" spans="1:20" x14ac:dyDescent="0.2">
      <c r="A128" s="499" t="s">
        <v>157</v>
      </c>
      <c r="B128" s="499" t="s">
        <v>158</v>
      </c>
      <c r="C128" s="499">
        <v>681.33223099000008</v>
      </c>
      <c r="D128" s="300">
        <f t="shared" si="6"/>
        <v>306.38162540000002</v>
      </c>
      <c r="E128" s="499">
        <v>226.20329259000005</v>
      </c>
      <c r="F128" s="499">
        <v>80.178332809999986</v>
      </c>
      <c r="G128" s="499">
        <v>332.41025464999996</v>
      </c>
      <c r="H128" s="499">
        <v>44.058340550000004</v>
      </c>
      <c r="I128" s="499">
        <v>9290.3010840499992</v>
      </c>
      <c r="J128" s="499">
        <v>555.71783446999996</v>
      </c>
      <c r="K128" s="499">
        <v>22442.822000000004</v>
      </c>
      <c r="L128" s="499">
        <v>572.50435019250006</v>
      </c>
      <c r="M128" s="499">
        <f t="shared" si="7"/>
        <v>256.1502768025</v>
      </c>
      <c r="N128" s="499">
        <v>164.50875306</v>
      </c>
      <c r="O128" s="499">
        <v>91.641523742499999</v>
      </c>
      <c r="P128" s="499">
        <v>293.72365577000005</v>
      </c>
      <c r="Q128" s="499">
        <v>34.809989327499999</v>
      </c>
      <c r="R128" s="499">
        <v>8067.0351972450007</v>
      </c>
      <c r="S128" s="499">
        <v>580.56752014250003</v>
      </c>
      <c r="T128" s="499">
        <v>21208.916250000002</v>
      </c>
    </row>
    <row r="129" spans="1:20" x14ac:dyDescent="0.2">
      <c r="A129" s="499" t="s">
        <v>159</v>
      </c>
      <c r="B129" s="499" t="s">
        <v>160</v>
      </c>
      <c r="C129" s="499">
        <v>16405.192798390002</v>
      </c>
      <c r="D129" s="300">
        <f t="shared" si="6"/>
        <v>3728.8827730399998</v>
      </c>
      <c r="E129" s="499">
        <v>2438.8811016699997</v>
      </c>
      <c r="F129" s="499">
        <v>1290.0016713699999</v>
      </c>
      <c r="G129" s="499">
        <v>12566.562739010002</v>
      </c>
      <c r="I129" s="499">
        <v>421737.31163122004</v>
      </c>
      <c r="J129" s="499">
        <v>306.08367920000001</v>
      </c>
      <c r="K129" s="499">
        <v>195874.68300000002</v>
      </c>
      <c r="L129" s="499">
        <v>15748.182060495001</v>
      </c>
      <c r="M129" s="499">
        <f t="shared" si="7"/>
        <v>3740.40070879</v>
      </c>
      <c r="N129" s="499">
        <v>2318.9404357475</v>
      </c>
      <c r="O129" s="499">
        <v>1421.4602730424999</v>
      </c>
      <c r="P129" s="499">
        <v>11824.456189764998</v>
      </c>
      <c r="Q129" s="499">
        <v>479.59583638666663</v>
      </c>
      <c r="R129" s="499">
        <v>424178.85259912745</v>
      </c>
      <c r="S129" s="499">
        <v>264.45153045500001</v>
      </c>
      <c r="T129" s="499">
        <v>188461.40399999998</v>
      </c>
    </row>
    <row r="130" spans="1:20" x14ac:dyDescent="0.2">
      <c r="A130" s="499" t="s">
        <v>241</v>
      </c>
      <c r="B130" s="499" t="s">
        <v>242</v>
      </c>
      <c r="C130" s="499">
        <v>1123.48498552</v>
      </c>
      <c r="D130" s="300">
        <f t="shared" si="6"/>
        <v>732.78160150999986</v>
      </c>
      <c r="E130" s="499">
        <v>671.99832492999985</v>
      </c>
      <c r="F130" s="499">
        <v>60.783276580000006</v>
      </c>
      <c r="G130" s="499">
        <v>369.70616517000002</v>
      </c>
      <c r="H130" s="499">
        <v>47.306413559999996</v>
      </c>
      <c r="I130" s="499">
        <v>13117.871983080002</v>
      </c>
      <c r="J130" s="499">
        <v>31.553212329999997</v>
      </c>
      <c r="K130" s="499">
        <v>6465.5009999999993</v>
      </c>
      <c r="L130" s="499">
        <v>1090.0086810850003</v>
      </c>
      <c r="M130" s="499">
        <f t="shared" si="7"/>
        <v>694.68172340000001</v>
      </c>
      <c r="N130" s="499">
        <v>632.31679351749995</v>
      </c>
      <c r="O130" s="499">
        <v>62.364929882500007</v>
      </c>
      <c r="P130" s="499">
        <v>373.45993728500002</v>
      </c>
      <c r="Q130" s="499">
        <v>51.051560954999999</v>
      </c>
      <c r="R130" s="499">
        <v>13251.062897227503</v>
      </c>
      <c r="S130" s="499">
        <v>29.370490255</v>
      </c>
      <c r="T130" s="499">
        <v>6344.3902499999995</v>
      </c>
    </row>
    <row r="131" spans="1:20" x14ac:dyDescent="0.2">
      <c r="A131" s="499" t="s">
        <v>470</v>
      </c>
      <c r="B131" s="499" t="s">
        <v>471</v>
      </c>
      <c r="C131" s="499">
        <v>2.5055883500000005</v>
      </c>
      <c r="D131" s="300">
        <f t="shared" si="6"/>
        <v>2.4841790100000001</v>
      </c>
      <c r="E131" s="499">
        <v>1.66514378</v>
      </c>
      <c r="F131" s="499">
        <v>0.81903523</v>
      </c>
      <c r="G131" s="499">
        <v>2.1409350000000001E-2</v>
      </c>
      <c r="H131" s="499">
        <v>1.4530270000000001E-2</v>
      </c>
      <c r="I131" s="499">
        <v>30.123264189999997</v>
      </c>
      <c r="J131" s="499">
        <v>1.4452583800000003</v>
      </c>
      <c r="K131" s="499">
        <v>1.61</v>
      </c>
      <c r="L131" s="499">
        <v>2.1955605500000002</v>
      </c>
      <c r="M131" s="499">
        <f t="shared" si="7"/>
        <v>2.176888355</v>
      </c>
      <c r="N131" s="499">
        <v>1.4546900224999999</v>
      </c>
      <c r="O131" s="499">
        <v>0.72219833249999998</v>
      </c>
      <c r="P131" s="499">
        <v>1.86722E-2</v>
      </c>
      <c r="Q131" s="499">
        <v>7.2651350000000007E-3</v>
      </c>
      <c r="R131" s="499">
        <v>26.105525035000003</v>
      </c>
      <c r="S131" s="499">
        <v>1.4307916775</v>
      </c>
      <c r="T131" s="499">
        <v>1.6107500000000001</v>
      </c>
    </row>
    <row r="132" spans="1:20" x14ac:dyDescent="0.2">
      <c r="A132" s="499" t="s">
        <v>385</v>
      </c>
      <c r="B132" s="499" t="s">
        <v>386</v>
      </c>
      <c r="C132" s="499">
        <v>91172.014223410006</v>
      </c>
      <c r="D132" s="300">
        <f t="shared" ref="D132:D163" si="8">E132+F132</f>
        <v>59208.808027660001</v>
      </c>
      <c r="E132" s="499">
        <v>59185.543232960001</v>
      </c>
      <c r="F132" s="499">
        <v>23.264794699999999</v>
      </c>
      <c r="G132" s="499">
        <v>9845.6138776300013</v>
      </c>
      <c r="I132" s="499">
        <v>914043.07884166983</v>
      </c>
      <c r="J132" s="499">
        <v>0.846773</v>
      </c>
      <c r="K132" s="499">
        <v>17181.083999999999</v>
      </c>
      <c r="L132" s="499">
        <v>83622.043867977496</v>
      </c>
      <c r="M132" s="499">
        <f t="shared" ref="M132:M163" si="9">N132+O132</f>
        <v>54058.434408635003</v>
      </c>
      <c r="N132" s="499">
        <v>54041.8534298175</v>
      </c>
      <c r="O132" s="499">
        <v>16.580978817499997</v>
      </c>
      <c r="P132" s="499">
        <v>9278.765307945001</v>
      </c>
      <c r="R132" s="499">
        <v>824386.54910553747</v>
      </c>
      <c r="S132" s="499">
        <v>0.88417400000000002</v>
      </c>
      <c r="T132" s="499">
        <v>17035.609250000001</v>
      </c>
    </row>
    <row r="133" spans="1:20" x14ac:dyDescent="0.2">
      <c r="A133" s="499" t="s">
        <v>387</v>
      </c>
      <c r="B133" s="499" t="s">
        <v>388</v>
      </c>
      <c r="C133" s="499">
        <v>43631.10974485</v>
      </c>
      <c r="D133" s="300">
        <f t="shared" si="8"/>
        <v>37227.420842300009</v>
      </c>
      <c r="E133" s="499">
        <v>37227.420842300009</v>
      </c>
      <c r="F133" s="499">
        <v>0</v>
      </c>
      <c r="G133" s="499">
        <v>6245.434983090001</v>
      </c>
      <c r="H133" s="499">
        <v>2092.46849062</v>
      </c>
      <c r="I133" s="499">
        <v>434166.61543191003</v>
      </c>
      <c r="J133" s="499">
        <v>8.1325000000000003</v>
      </c>
      <c r="K133" s="499">
        <v>5295.6190000000006</v>
      </c>
      <c r="L133" s="499">
        <v>40719.981007849994</v>
      </c>
      <c r="M133" s="499">
        <f t="shared" si="9"/>
        <v>34746.968263855</v>
      </c>
      <c r="N133" s="499">
        <v>34746.968263855</v>
      </c>
      <c r="O133" s="499">
        <v>0</v>
      </c>
      <c r="P133" s="499">
        <v>5828.0815662550012</v>
      </c>
      <c r="Q133" s="499">
        <v>2007.6389889325001</v>
      </c>
      <c r="R133" s="499">
        <v>396797.30790587503</v>
      </c>
      <c r="S133" s="499">
        <v>8.2170835000000011</v>
      </c>
      <c r="T133" s="499">
        <v>5232.7875000000004</v>
      </c>
    </row>
    <row r="134" spans="1:20" x14ac:dyDescent="0.2">
      <c r="A134" s="499" t="s">
        <v>433</v>
      </c>
      <c r="B134" s="499" t="s">
        <v>434</v>
      </c>
      <c r="C134" s="499">
        <v>1625.2405158400002</v>
      </c>
      <c r="D134" s="300">
        <f t="shared" si="8"/>
        <v>554.79230990999997</v>
      </c>
      <c r="E134" s="499">
        <v>407.08453894000002</v>
      </c>
      <c r="F134" s="499">
        <v>147.70777096999996</v>
      </c>
      <c r="G134" s="499">
        <v>825.57595761000016</v>
      </c>
      <c r="I134" s="499">
        <v>27825.485820050002</v>
      </c>
      <c r="J134" s="499">
        <v>108.93013763000002</v>
      </c>
      <c r="K134" s="499">
        <v>28095.714</v>
      </c>
      <c r="L134" s="499">
        <v>1410.1848050150002</v>
      </c>
      <c r="M134" s="499">
        <f t="shared" si="9"/>
        <v>470.77375031250006</v>
      </c>
      <c r="N134" s="499">
        <v>295.18418908750004</v>
      </c>
      <c r="O134" s="499">
        <v>175.58956122500001</v>
      </c>
      <c r="P134" s="499">
        <v>784.10131768250017</v>
      </c>
      <c r="Q134" s="499">
        <v>97.344946696666668</v>
      </c>
      <c r="R134" s="499">
        <v>23799.836529875</v>
      </c>
      <c r="S134" s="499">
        <v>105.80774307249999</v>
      </c>
      <c r="T134" s="499">
        <v>27501.714749999999</v>
      </c>
    </row>
    <row r="135" spans="1:20" x14ac:dyDescent="0.2">
      <c r="A135" s="499" t="s">
        <v>472</v>
      </c>
      <c r="B135" s="499" t="s">
        <v>473</v>
      </c>
      <c r="C135" s="499">
        <v>10.30509417</v>
      </c>
      <c r="D135" s="300">
        <f t="shared" si="8"/>
        <v>9.7817966500000004</v>
      </c>
      <c r="E135" s="499">
        <v>8.5287516500000002</v>
      </c>
      <c r="F135" s="499">
        <v>1.2530450000000002</v>
      </c>
      <c r="G135" s="499">
        <v>0.13082438000000002</v>
      </c>
      <c r="I135" s="499">
        <v>107.59017530000001</v>
      </c>
      <c r="J135" s="499">
        <v>1.33841217</v>
      </c>
      <c r="K135" s="499">
        <v>10.67</v>
      </c>
      <c r="L135" s="499">
        <v>12.348524149999999</v>
      </c>
      <c r="M135" s="499">
        <f t="shared" si="9"/>
        <v>11.8222155825</v>
      </c>
      <c r="N135" s="499">
        <v>8.5483252900000011</v>
      </c>
      <c r="O135" s="499">
        <v>3.2738902925</v>
      </c>
      <c r="P135" s="499">
        <v>0.12933582500000002</v>
      </c>
      <c r="Q135" s="499">
        <v>3.0024023566666673</v>
      </c>
      <c r="R135" s="499">
        <v>99.673965997499991</v>
      </c>
      <c r="S135" s="499">
        <v>1.3298686150000001</v>
      </c>
      <c r="T135" s="499">
        <v>10.52525</v>
      </c>
    </row>
    <row r="136" spans="1:20" x14ac:dyDescent="0.2">
      <c r="A136" s="499" t="s">
        <v>474</v>
      </c>
      <c r="B136" s="499" t="s">
        <v>475</v>
      </c>
      <c r="C136" s="499">
        <v>19150.905928209999</v>
      </c>
      <c r="D136" s="300">
        <f t="shared" si="8"/>
        <v>14330.313341980001</v>
      </c>
      <c r="E136" s="499">
        <v>14330.313341980001</v>
      </c>
      <c r="F136" s="499">
        <v>0</v>
      </c>
      <c r="G136" s="499">
        <v>2472.9148705600001</v>
      </c>
      <c r="I136" s="499">
        <v>207920.66191641998</v>
      </c>
      <c r="J136" s="499">
        <v>1.4452579999999997</v>
      </c>
      <c r="K136" s="499">
        <v>4743.1309999999994</v>
      </c>
      <c r="L136" s="499">
        <v>17916.091709820001</v>
      </c>
      <c r="M136" s="499">
        <f t="shared" si="9"/>
        <v>13417.9580215325</v>
      </c>
      <c r="N136" s="499">
        <v>13417.9580215325</v>
      </c>
      <c r="O136" s="499">
        <v>0</v>
      </c>
      <c r="P136" s="499">
        <v>2391.8580585125001</v>
      </c>
      <c r="R136" s="499">
        <v>194756.94231083</v>
      </c>
      <c r="S136" s="499">
        <v>1.4307915</v>
      </c>
      <c r="T136" s="499">
        <v>4679.7404999999999</v>
      </c>
    </row>
    <row r="137" spans="1:20" x14ac:dyDescent="0.2">
      <c r="A137" s="499" t="s">
        <v>289</v>
      </c>
      <c r="B137" s="499" t="s">
        <v>290</v>
      </c>
      <c r="C137" s="499">
        <v>3275.4983870999995</v>
      </c>
      <c r="D137" s="300">
        <f t="shared" si="8"/>
        <v>2871.2613784099995</v>
      </c>
      <c r="E137" s="499">
        <v>2871.2613784099995</v>
      </c>
      <c r="F137" s="499">
        <v>0</v>
      </c>
      <c r="G137" s="499">
        <v>196.17458995999999</v>
      </c>
      <c r="I137" s="499">
        <v>79276.983094930009</v>
      </c>
      <c r="J137" s="499">
        <v>0.38450000000000001</v>
      </c>
      <c r="K137" s="499">
        <v>4829.473</v>
      </c>
      <c r="L137" s="499">
        <v>2975.3698968475001</v>
      </c>
      <c r="M137" s="499">
        <f t="shared" si="9"/>
        <v>2626.1711288224997</v>
      </c>
      <c r="N137" s="499">
        <v>2626.1711288224997</v>
      </c>
      <c r="O137" s="499">
        <v>0</v>
      </c>
      <c r="P137" s="499">
        <v>185.24990184500001</v>
      </c>
      <c r="R137" s="499">
        <v>71068.920676204987</v>
      </c>
      <c r="S137" s="499">
        <v>0.38450000000000001</v>
      </c>
      <c r="T137" s="499">
        <v>4560.4920000000002</v>
      </c>
    </row>
    <row r="138" spans="1:20" x14ac:dyDescent="0.2">
      <c r="A138" s="499" t="s">
        <v>291</v>
      </c>
      <c r="B138" s="499" t="s">
        <v>292</v>
      </c>
      <c r="C138" s="499">
        <v>9098.8918277000012</v>
      </c>
      <c r="D138" s="300">
        <f t="shared" si="8"/>
        <v>3287.88073347</v>
      </c>
      <c r="E138" s="499">
        <v>3233.35127792</v>
      </c>
      <c r="F138" s="499">
        <v>54.529455550000002</v>
      </c>
      <c r="G138" s="499">
        <v>5117.32221433</v>
      </c>
      <c r="I138" s="499">
        <v>284168.61373296002</v>
      </c>
      <c r="J138" s="499">
        <v>121.82406616</v>
      </c>
      <c r="K138" s="499">
        <v>212228.28600000002</v>
      </c>
      <c r="L138" s="499">
        <v>8245.8704800025007</v>
      </c>
      <c r="M138" s="499">
        <f t="shared" si="9"/>
        <v>2721.0080674824999</v>
      </c>
      <c r="N138" s="499">
        <v>2565.3374291</v>
      </c>
      <c r="O138" s="499">
        <v>155.67063838249999</v>
      </c>
      <c r="P138" s="499">
        <v>5040.0036521999991</v>
      </c>
      <c r="Q138" s="499">
        <v>738.43323821000013</v>
      </c>
      <c r="R138" s="499">
        <v>282858.66155695252</v>
      </c>
      <c r="S138" s="499">
        <v>108.70440482999999</v>
      </c>
      <c r="T138" s="499">
        <v>205798.20299999998</v>
      </c>
    </row>
    <row r="139" spans="1:20" x14ac:dyDescent="0.2">
      <c r="A139" s="499" t="s">
        <v>243</v>
      </c>
      <c r="B139" s="499" t="s">
        <v>244</v>
      </c>
      <c r="C139" s="499">
        <v>4726.7963192599991</v>
      </c>
      <c r="D139" s="300">
        <f t="shared" si="8"/>
        <v>3052.3824353600003</v>
      </c>
      <c r="E139" s="499">
        <v>3020.5307895200003</v>
      </c>
      <c r="F139" s="499">
        <v>31.851645840000003</v>
      </c>
      <c r="G139" s="499">
        <v>1356.8060754399999</v>
      </c>
      <c r="H139" s="499">
        <v>555.50392867000005</v>
      </c>
      <c r="I139" s="499">
        <v>65055</v>
      </c>
      <c r="J139" s="499">
        <v>1</v>
      </c>
      <c r="K139" s="499">
        <v>4176.8690000000006</v>
      </c>
      <c r="L139" s="499">
        <v>4236.7287857074998</v>
      </c>
      <c r="M139" s="499">
        <f t="shared" si="9"/>
        <v>2730.3623619699997</v>
      </c>
      <c r="N139" s="499">
        <v>2701.8246683074999</v>
      </c>
      <c r="O139" s="499">
        <v>28.537693662499997</v>
      </c>
      <c r="P139" s="499">
        <v>1229.8246869925001</v>
      </c>
      <c r="Q139" s="499">
        <v>588.93406958499997</v>
      </c>
      <c r="R139" s="499">
        <v>59847.25</v>
      </c>
      <c r="S139" s="499">
        <v>1</v>
      </c>
      <c r="T139" s="499">
        <v>4072.3007500000003</v>
      </c>
    </row>
    <row r="140" spans="1:20" x14ac:dyDescent="0.2">
      <c r="A140" s="499" t="s">
        <v>245</v>
      </c>
      <c r="B140" s="499" t="s">
        <v>246</v>
      </c>
      <c r="C140" s="499">
        <v>11806.547544949999</v>
      </c>
      <c r="D140" s="300">
        <f t="shared" si="8"/>
        <v>7413.6834300199989</v>
      </c>
      <c r="E140" s="499">
        <v>7392.6659839699987</v>
      </c>
      <c r="F140" s="499">
        <v>21.017446050000007</v>
      </c>
      <c r="G140" s="499">
        <v>3441.9509063299993</v>
      </c>
      <c r="H140" s="499">
        <v>747.33646128999987</v>
      </c>
      <c r="I140" s="499">
        <v>225401.74995901002</v>
      </c>
      <c r="J140" s="499">
        <v>3.2866027000000004</v>
      </c>
      <c r="K140" s="499">
        <v>31989.26</v>
      </c>
      <c r="L140" s="499">
        <v>10494.976971815</v>
      </c>
      <c r="M140" s="499">
        <f t="shared" si="9"/>
        <v>6600.6963573349985</v>
      </c>
      <c r="N140" s="499">
        <v>6578.2150776174985</v>
      </c>
      <c r="O140" s="499">
        <v>22.481279717500001</v>
      </c>
      <c r="P140" s="499">
        <v>3038.41608464</v>
      </c>
      <c r="Q140" s="499">
        <v>751.38794609500007</v>
      </c>
      <c r="R140" s="499">
        <v>206346.87453321755</v>
      </c>
      <c r="S140" s="499">
        <v>3.2766480050000002</v>
      </c>
      <c r="T140" s="499">
        <v>31207.580999999998</v>
      </c>
    </row>
    <row r="141" spans="1:20" x14ac:dyDescent="0.2">
      <c r="A141" s="499" t="s">
        <v>476</v>
      </c>
      <c r="B141" s="499" t="s">
        <v>477</v>
      </c>
      <c r="C141" s="499">
        <v>14562.054895160001</v>
      </c>
      <c r="D141" s="300">
        <f t="shared" si="8"/>
        <v>4865.5430661199989</v>
      </c>
      <c r="E141" s="499">
        <v>4754.985651519999</v>
      </c>
      <c r="F141" s="499">
        <v>110.55741459999999</v>
      </c>
      <c r="G141" s="499">
        <v>7841.8685188899999</v>
      </c>
      <c r="H141" s="499">
        <v>611.99977117000003</v>
      </c>
      <c r="I141" s="499">
        <v>330910.15342486004</v>
      </c>
      <c r="J141" s="499">
        <v>52.661430359999997</v>
      </c>
      <c r="K141" s="499">
        <v>106651.394</v>
      </c>
      <c r="L141" s="499">
        <v>13648.496683919999</v>
      </c>
      <c r="M141" s="499">
        <f t="shared" si="9"/>
        <v>4602.1378913574999</v>
      </c>
      <c r="N141" s="499">
        <v>4362.2662275824996</v>
      </c>
      <c r="O141" s="499">
        <v>239.87166377500003</v>
      </c>
      <c r="P141" s="499">
        <v>7345.9495463924995</v>
      </c>
      <c r="Q141" s="499">
        <v>549.28170176499998</v>
      </c>
      <c r="R141" s="499">
        <v>310550.365677425</v>
      </c>
      <c r="S141" s="499">
        <v>49.015112877500002</v>
      </c>
      <c r="T141" s="499">
        <v>104400.33674999999</v>
      </c>
    </row>
    <row r="142" spans="1:20" x14ac:dyDescent="0.2">
      <c r="A142" s="499" t="s">
        <v>478</v>
      </c>
      <c r="B142" s="499" t="s">
        <v>479</v>
      </c>
      <c r="C142" s="499">
        <v>30.861917630000004</v>
      </c>
      <c r="D142" s="300">
        <f t="shared" si="8"/>
        <v>18.996230980000004</v>
      </c>
      <c r="E142" s="499">
        <v>18.180646000000003</v>
      </c>
      <c r="F142" s="499">
        <v>0.8155849799999999</v>
      </c>
      <c r="G142" s="499">
        <v>5.3001502899999995</v>
      </c>
      <c r="H142" s="499">
        <v>0.24</v>
      </c>
      <c r="I142" s="499">
        <v>284</v>
      </c>
      <c r="J142" s="499">
        <v>1</v>
      </c>
      <c r="K142" s="499">
        <v>17.907</v>
      </c>
      <c r="L142" s="499">
        <v>33.364971287499998</v>
      </c>
      <c r="M142" s="499">
        <f t="shared" si="9"/>
        <v>21.698834495000003</v>
      </c>
      <c r="N142" s="499">
        <v>16.388268500000002</v>
      </c>
      <c r="O142" s="499">
        <v>5.3105659950000002</v>
      </c>
      <c r="P142" s="499">
        <v>5.1579581899999987</v>
      </c>
      <c r="Q142" s="499">
        <v>0.37535650000000004</v>
      </c>
      <c r="R142" s="499">
        <v>287.5</v>
      </c>
      <c r="S142" s="499">
        <v>1</v>
      </c>
      <c r="T142" s="499">
        <v>17.776250000000001</v>
      </c>
    </row>
    <row r="143" spans="1:20" x14ac:dyDescent="0.2">
      <c r="A143" s="499" t="s">
        <v>480</v>
      </c>
      <c r="B143" s="499" t="s">
        <v>481</v>
      </c>
      <c r="C143" s="499">
        <v>548.80702183000017</v>
      </c>
      <c r="D143" s="300">
        <f t="shared" si="8"/>
        <v>495.32866191000005</v>
      </c>
      <c r="E143" s="499">
        <v>384.40631183000005</v>
      </c>
      <c r="F143" s="499">
        <v>110.92235007999999</v>
      </c>
      <c r="G143" s="499">
        <v>53.478359909999995</v>
      </c>
      <c r="I143" s="499">
        <v>23185.16415914</v>
      </c>
      <c r="J143" s="499">
        <v>3.2790365200000005</v>
      </c>
      <c r="K143" s="499">
        <v>8606.3230000000003</v>
      </c>
      <c r="L143" s="499">
        <v>483.70598983250005</v>
      </c>
      <c r="M143" s="499">
        <f t="shared" si="9"/>
        <v>434.44070021750002</v>
      </c>
      <c r="N143" s="499">
        <v>353.61426738</v>
      </c>
      <c r="O143" s="499">
        <v>80.826432837500008</v>
      </c>
      <c r="P143" s="499">
        <v>49.265289617499995</v>
      </c>
      <c r="Q143" s="499">
        <v>71.025573496666667</v>
      </c>
      <c r="R143" s="499">
        <v>21999.5031797175</v>
      </c>
      <c r="S143" s="499">
        <v>3.0923164474999996</v>
      </c>
      <c r="T143" s="499">
        <v>8355.9739999999983</v>
      </c>
    </row>
    <row r="144" spans="1:20" x14ac:dyDescent="0.2">
      <c r="A144" s="499" t="s">
        <v>389</v>
      </c>
      <c r="B144" s="499" t="s">
        <v>390</v>
      </c>
      <c r="C144" s="499">
        <v>37169.135898520006</v>
      </c>
      <c r="D144" s="300">
        <f t="shared" si="8"/>
        <v>26443.886661109998</v>
      </c>
      <c r="E144" s="499">
        <v>26422.211651689999</v>
      </c>
      <c r="F144" s="499">
        <v>21.675009420000002</v>
      </c>
      <c r="G144" s="499">
        <v>7729.1656572199981</v>
      </c>
      <c r="I144" s="499">
        <v>587111.33790382999</v>
      </c>
      <c r="J144" s="499">
        <v>3.6117170000000001</v>
      </c>
      <c r="K144" s="499">
        <v>37976.686999999998</v>
      </c>
      <c r="L144" s="499">
        <v>33287.215321080002</v>
      </c>
      <c r="M144" s="499">
        <f t="shared" si="9"/>
        <v>23169.992294209998</v>
      </c>
      <c r="N144" s="499">
        <v>23157.509103852499</v>
      </c>
      <c r="O144" s="499">
        <v>12.4831903575</v>
      </c>
      <c r="P144" s="499">
        <v>7486.135211724999</v>
      </c>
      <c r="R144" s="499">
        <v>515777.02401257248</v>
      </c>
      <c r="S144" s="499">
        <v>3.7758332500000003</v>
      </c>
      <c r="T144" s="499">
        <v>37980.618500000004</v>
      </c>
    </row>
    <row r="145" spans="1:20" x14ac:dyDescent="0.2">
      <c r="A145" s="499" t="s">
        <v>391</v>
      </c>
      <c r="B145" s="499" t="s">
        <v>392</v>
      </c>
      <c r="C145" s="499">
        <v>22796.428322579999</v>
      </c>
      <c r="D145" s="300">
        <f t="shared" si="8"/>
        <v>14030.206442579994</v>
      </c>
      <c r="E145" s="499">
        <v>14008.713078949995</v>
      </c>
      <c r="F145" s="499">
        <v>21.493363630000005</v>
      </c>
      <c r="G145" s="499">
        <v>6729.9028192900005</v>
      </c>
      <c r="I145" s="499">
        <v>242313.02131739995</v>
      </c>
      <c r="J145" s="499">
        <v>0.846773</v>
      </c>
      <c r="K145" s="499">
        <v>10291.026999999998</v>
      </c>
      <c r="L145" s="499">
        <v>20197.891772012503</v>
      </c>
      <c r="M145" s="499">
        <f t="shared" si="9"/>
        <v>12612.151231214997</v>
      </c>
      <c r="N145" s="499">
        <v>12596.133299697498</v>
      </c>
      <c r="O145" s="499">
        <v>16.017931517499999</v>
      </c>
      <c r="P145" s="499">
        <v>5906.2210500375004</v>
      </c>
      <c r="R145" s="499">
        <v>217372.79631262747</v>
      </c>
      <c r="S145" s="499">
        <v>0.88417400000000002</v>
      </c>
      <c r="T145" s="499">
        <v>10329.188</v>
      </c>
    </row>
    <row r="146" spans="1:20" x14ac:dyDescent="0.2">
      <c r="A146" s="499" t="s">
        <v>247</v>
      </c>
      <c r="B146" s="499" t="s">
        <v>248</v>
      </c>
      <c r="C146" s="499">
        <v>2785.1582328900004</v>
      </c>
      <c r="D146" s="300">
        <f t="shared" si="8"/>
        <v>1220.5015095500003</v>
      </c>
      <c r="E146" s="499">
        <v>1218.7470534400002</v>
      </c>
      <c r="F146" s="499">
        <v>1.75445611</v>
      </c>
      <c r="G146" s="499">
        <v>1262.4120610300001</v>
      </c>
      <c r="H146" s="499">
        <v>71.733838809999995</v>
      </c>
      <c r="I146" s="499">
        <v>41853.683523650005</v>
      </c>
      <c r="J146" s="499">
        <v>5732.1045557300013</v>
      </c>
      <c r="K146" s="499">
        <v>6956.0660000000007</v>
      </c>
      <c r="L146" s="499">
        <v>2561.4455561674999</v>
      </c>
      <c r="M146" s="499">
        <f t="shared" si="9"/>
        <v>1177.5880668258333</v>
      </c>
      <c r="N146" s="499">
        <v>1169.5540487525</v>
      </c>
      <c r="O146" s="499">
        <v>8.0340180733333337</v>
      </c>
      <c r="P146" s="499">
        <v>1134.291982315</v>
      </c>
      <c r="Q146" s="499">
        <v>76.055878849999999</v>
      </c>
      <c r="R146" s="499">
        <v>38270.214847502502</v>
      </c>
      <c r="S146" s="499">
        <v>5556.6249283700008</v>
      </c>
      <c r="T146" s="499">
        <v>6822.4362499999988</v>
      </c>
    </row>
    <row r="147" spans="1:20" x14ac:dyDescent="0.2">
      <c r="A147" s="499" t="s">
        <v>295</v>
      </c>
      <c r="B147" s="499" t="s">
        <v>296</v>
      </c>
      <c r="C147" s="499">
        <v>4774.1037898000004</v>
      </c>
      <c r="D147" s="300">
        <f t="shared" si="8"/>
        <v>3564.7848498500002</v>
      </c>
      <c r="E147" s="499">
        <v>3564.7848498500002</v>
      </c>
      <c r="F147" s="499">
        <v>0</v>
      </c>
      <c r="G147" s="499">
        <v>455.39278140000005</v>
      </c>
      <c r="I147" s="499">
        <v>191361.80792961997</v>
      </c>
      <c r="J147" s="499">
        <v>3.6400001000000004</v>
      </c>
      <c r="K147" s="499">
        <v>2781.6819999999998</v>
      </c>
      <c r="L147" s="499">
        <v>4821.2103246200004</v>
      </c>
      <c r="M147" s="499">
        <f t="shared" si="9"/>
        <v>3803.3001532499998</v>
      </c>
      <c r="N147" s="499">
        <v>3803.3001532499998</v>
      </c>
      <c r="O147" s="499">
        <v>0</v>
      </c>
      <c r="P147" s="499">
        <v>424.42645111000007</v>
      </c>
      <c r="R147" s="499">
        <v>167940.65472690499</v>
      </c>
      <c r="S147" s="499">
        <v>3.6400001000000004</v>
      </c>
      <c r="T147" s="499">
        <v>2681.6235000000001</v>
      </c>
    </row>
    <row r="148" spans="1:20" x14ac:dyDescent="0.2">
      <c r="A148" s="499" t="s">
        <v>393</v>
      </c>
      <c r="B148" s="499" t="s">
        <v>394</v>
      </c>
      <c r="C148" s="499">
        <v>13422.511984170002</v>
      </c>
      <c r="D148" s="300">
        <f t="shared" si="8"/>
        <v>10696.494787839998</v>
      </c>
      <c r="E148" s="499">
        <v>10696.494787839998</v>
      </c>
      <c r="F148" s="499">
        <v>0</v>
      </c>
      <c r="G148" s="499">
        <v>2611.6947776900001</v>
      </c>
      <c r="I148" s="499">
        <v>241559.54041647009</v>
      </c>
      <c r="J148" s="499">
        <v>3.9426999999999999</v>
      </c>
      <c r="K148" s="499">
        <v>19530.631000000001</v>
      </c>
      <c r="L148" s="499">
        <v>10631.4071212525</v>
      </c>
      <c r="M148" s="499">
        <f t="shared" si="9"/>
        <v>8368.2599891649988</v>
      </c>
      <c r="N148" s="499">
        <v>8368.2599891649988</v>
      </c>
      <c r="O148" s="499">
        <v>0</v>
      </c>
      <c r="P148" s="499">
        <v>2167.3104734999997</v>
      </c>
      <c r="R148" s="499">
        <v>204877.28295308002</v>
      </c>
      <c r="S148" s="499">
        <v>4.0157750000000005</v>
      </c>
      <c r="T148" s="499">
        <v>19701.453000000001</v>
      </c>
    </row>
    <row r="149" spans="1:20" x14ac:dyDescent="0.2">
      <c r="A149" s="499" t="s">
        <v>395</v>
      </c>
      <c r="B149" s="499" t="s">
        <v>396</v>
      </c>
      <c r="C149" s="499">
        <v>88753.357862299992</v>
      </c>
      <c r="D149" s="300">
        <f t="shared" si="8"/>
        <v>52769.713158450009</v>
      </c>
      <c r="E149" s="499">
        <v>52769.713158450009</v>
      </c>
      <c r="F149" s="499">
        <v>0</v>
      </c>
      <c r="G149" s="499">
        <v>34002.887891670005</v>
      </c>
      <c r="H149" s="499">
        <v>2227.1978369800004</v>
      </c>
      <c r="I149" s="499">
        <v>1669582.8029381002</v>
      </c>
      <c r="J149" s="499">
        <v>62.668133330000003</v>
      </c>
      <c r="K149" s="499">
        <v>145734.038</v>
      </c>
      <c r="L149" s="499">
        <v>78215.492012100003</v>
      </c>
      <c r="M149" s="499">
        <f t="shared" si="9"/>
        <v>45448.427892967506</v>
      </c>
      <c r="N149" s="499">
        <v>45448.427892967506</v>
      </c>
      <c r="O149" s="499">
        <v>0</v>
      </c>
      <c r="P149" s="499">
        <v>30853.032015455003</v>
      </c>
      <c r="Q149" s="499">
        <v>2033.1764099225002</v>
      </c>
      <c r="R149" s="499">
        <v>1473631.4305660175</v>
      </c>
      <c r="S149" s="499">
        <v>62.251116962500006</v>
      </c>
      <c r="T149" s="499">
        <v>145381.13999999998</v>
      </c>
    </row>
    <row r="150" spans="1:20" x14ac:dyDescent="0.2">
      <c r="A150" s="499" t="s">
        <v>161</v>
      </c>
      <c r="B150" s="499" t="s">
        <v>162</v>
      </c>
      <c r="C150" s="499">
        <v>717.30972241000006</v>
      </c>
      <c r="D150" s="300">
        <f t="shared" si="8"/>
        <v>445.90186236</v>
      </c>
      <c r="E150" s="499">
        <v>225.79981581999999</v>
      </c>
      <c r="F150" s="499">
        <v>220.10204654</v>
      </c>
      <c r="G150" s="499">
        <v>75.446117939999993</v>
      </c>
      <c r="I150" s="499">
        <v>9510.0022299099983</v>
      </c>
      <c r="J150" s="499">
        <v>861.09338378999996</v>
      </c>
      <c r="K150" s="499">
        <v>12301.97</v>
      </c>
      <c r="L150" s="499">
        <v>631.03817919500011</v>
      </c>
      <c r="M150" s="499">
        <f t="shared" si="9"/>
        <v>449.7953403875</v>
      </c>
      <c r="N150" s="499">
        <v>201.42471685749999</v>
      </c>
      <c r="O150" s="499">
        <v>248.37062352999999</v>
      </c>
      <c r="P150" s="499">
        <v>70.878163389999997</v>
      </c>
      <c r="R150" s="499">
        <v>8850.6264431449999</v>
      </c>
      <c r="S150" s="499">
        <v>800.21269226250001</v>
      </c>
      <c r="T150" s="499">
        <v>11830.207250000001</v>
      </c>
    </row>
    <row r="151" spans="1:20" x14ac:dyDescent="0.2">
      <c r="A151" s="499" t="s">
        <v>297</v>
      </c>
      <c r="B151" s="499" t="s">
        <v>298</v>
      </c>
      <c r="C151" s="499">
        <v>50034.891469610004</v>
      </c>
      <c r="D151" s="300">
        <f t="shared" si="8"/>
        <v>31240.793901329998</v>
      </c>
      <c r="E151" s="499">
        <v>31240.793901329998</v>
      </c>
      <c r="F151" s="499">
        <v>0</v>
      </c>
      <c r="G151" s="499">
        <v>7188.1089173299988</v>
      </c>
      <c r="I151" s="499">
        <v>786522.13333332981</v>
      </c>
      <c r="J151" s="499">
        <v>3.75</v>
      </c>
      <c r="K151" s="499">
        <v>33702.756000000001</v>
      </c>
      <c r="L151" s="499">
        <v>43785.665522340001</v>
      </c>
      <c r="M151" s="499">
        <f t="shared" si="9"/>
        <v>28550.951200160001</v>
      </c>
      <c r="N151" s="499">
        <v>28550.951200160001</v>
      </c>
      <c r="O151" s="499">
        <v>0</v>
      </c>
      <c r="P151" s="499">
        <v>6230.1946382899996</v>
      </c>
      <c r="R151" s="499">
        <v>693578.39999999991</v>
      </c>
      <c r="S151" s="499">
        <v>3.75</v>
      </c>
      <c r="T151" s="499">
        <v>32741.26225</v>
      </c>
    </row>
    <row r="152" spans="1:20" x14ac:dyDescent="0.2">
      <c r="A152" s="499" t="s">
        <v>299</v>
      </c>
      <c r="B152" s="499" t="s">
        <v>300</v>
      </c>
      <c r="C152" s="499">
        <v>2526.4331507699999</v>
      </c>
      <c r="D152" s="300">
        <f t="shared" si="8"/>
        <v>769.52540390000001</v>
      </c>
      <c r="E152" s="499">
        <v>577.15616132000002</v>
      </c>
      <c r="F152" s="499">
        <v>192.36924257999999</v>
      </c>
      <c r="G152" s="499">
        <v>1672.9672032800001</v>
      </c>
      <c r="I152" s="499">
        <v>55980.681154069993</v>
      </c>
      <c r="J152" s="499">
        <v>24.328910830000002</v>
      </c>
      <c r="K152" s="499">
        <v>41985</v>
      </c>
      <c r="L152" s="499">
        <v>5764.0608603524997</v>
      </c>
      <c r="M152" s="499">
        <f t="shared" si="9"/>
        <v>1576.1831908575002</v>
      </c>
      <c r="N152" s="499">
        <v>1359.5900738925002</v>
      </c>
      <c r="O152" s="499">
        <v>216.59311696499998</v>
      </c>
      <c r="P152" s="499">
        <v>3961.3253846724997</v>
      </c>
      <c r="R152" s="499">
        <v>92026.387555282505</v>
      </c>
      <c r="S152" s="499">
        <v>10.812429309999999</v>
      </c>
      <c r="T152" s="499">
        <v>40200.5</v>
      </c>
    </row>
    <row r="153" spans="1:20" x14ac:dyDescent="0.2">
      <c r="A153" s="499" t="s">
        <v>163</v>
      </c>
      <c r="B153" s="499" t="s">
        <v>164</v>
      </c>
      <c r="C153" s="499">
        <v>933.87682456000005</v>
      </c>
      <c r="D153" s="300">
        <f t="shared" si="8"/>
        <v>350.16161289000001</v>
      </c>
      <c r="E153" s="499">
        <v>222.00869736000001</v>
      </c>
      <c r="F153" s="499">
        <v>128.15291553</v>
      </c>
      <c r="G153" s="499">
        <v>521.95292936999999</v>
      </c>
      <c r="I153" s="499">
        <v>23476.059594959999</v>
      </c>
      <c r="J153" s="499">
        <v>555.71783446999996</v>
      </c>
      <c r="K153" s="499">
        <v>15854.323</v>
      </c>
      <c r="L153" s="499">
        <v>843.221348605</v>
      </c>
      <c r="M153" s="499">
        <f t="shared" si="9"/>
        <v>341.03048895000006</v>
      </c>
      <c r="N153" s="499">
        <v>203.19739851500003</v>
      </c>
      <c r="O153" s="499">
        <v>137.833090435</v>
      </c>
      <c r="P153" s="499">
        <v>447.55153117250001</v>
      </c>
      <c r="Q153" s="499">
        <v>57.640202010000003</v>
      </c>
      <c r="R153" s="499">
        <v>20289.827499495001</v>
      </c>
      <c r="S153" s="499">
        <v>580.56752014250003</v>
      </c>
      <c r="T153" s="499">
        <v>15211.414000000001</v>
      </c>
    </row>
    <row r="154" spans="1:20" x14ac:dyDescent="0.2">
      <c r="A154" s="499" t="s">
        <v>482</v>
      </c>
      <c r="B154" s="499" t="s">
        <v>483</v>
      </c>
      <c r="C154" s="499">
        <v>16257.094069829996</v>
      </c>
      <c r="D154" s="300">
        <f t="shared" si="8"/>
        <v>8184.69368278</v>
      </c>
      <c r="E154" s="499">
        <v>8184.69368278</v>
      </c>
      <c r="F154" s="499">
        <v>0</v>
      </c>
      <c r="G154" s="499">
        <v>5045.4122692599994</v>
      </c>
      <c r="I154" s="499">
        <v>364145.77850341995</v>
      </c>
      <c r="J154" s="499">
        <v>1.3488416699999999</v>
      </c>
      <c r="K154" s="499">
        <v>5757.4990000000007</v>
      </c>
      <c r="L154" s="499">
        <v>14520.696792562499</v>
      </c>
      <c r="M154" s="499">
        <f t="shared" si="9"/>
        <v>7020.2318863700002</v>
      </c>
      <c r="N154" s="499">
        <v>7020.2318863700002</v>
      </c>
      <c r="O154" s="499">
        <v>0</v>
      </c>
      <c r="P154" s="499">
        <v>4670.2159181325005</v>
      </c>
      <c r="Q154" s="499">
        <v>1086.8295908300001</v>
      </c>
      <c r="R154" s="499">
        <v>332150.75848137744</v>
      </c>
      <c r="S154" s="499">
        <v>1.3715345275000002</v>
      </c>
      <c r="T154" s="499">
        <v>5677.8314999999993</v>
      </c>
    </row>
    <row r="155" spans="1:20" x14ac:dyDescent="0.2">
      <c r="A155" s="499" t="s">
        <v>484</v>
      </c>
      <c r="B155" s="499" t="s">
        <v>485</v>
      </c>
      <c r="C155" s="499">
        <v>61.99777091</v>
      </c>
      <c r="D155" s="300">
        <f t="shared" si="8"/>
        <v>60.666956849999991</v>
      </c>
      <c r="E155" s="499">
        <v>49.012772719999994</v>
      </c>
      <c r="F155" s="499">
        <v>11.654184129999999</v>
      </c>
      <c r="G155" s="499">
        <v>1.3308140600000002</v>
      </c>
      <c r="H155" s="499">
        <v>2.5150577000000007</v>
      </c>
      <c r="I155" s="499">
        <v>1385.6012052399997</v>
      </c>
      <c r="J155" s="499">
        <v>7.9525046300000017</v>
      </c>
      <c r="K155" s="499">
        <v>652.85699999999997</v>
      </c>
      <c r="L155" s="499">
        <v>61.357606057499993</v>
      </c>
      <c r="M155" s="499">
        <f t="shared" si="9"/>
        <v>60.155654972500002</v>
      </c>
      <c r="N155" s="499">
        <v>45.2057378425</v>
      </c>
      <c r="O155" s="499">
        <v>14.949917130000003</v>
      </c>
      <c r="P155" s="499">
        <v>1.2019510875000001</v>
      </c>
      <c r="Q155" s="499">
        <v>2.3372719174999999</v>
      </c>
      <c r="R155" s="499">
        <v>1269.4467893824999</v>
      </c>
      <c r="S155" s="499">
        <v>7.9256842125000002</v>
      </c>
      <c r="T155" s="499">
        <v>627.86300000000006</v>
      </c>
    </row>
    <row r="156" spans="1:20" x14ac:dyDescent="0.2">
      <c r="A156" s="499" t="s">
        <v>165</v>
      </c>
      <c r="B156" s="499" t="s">
        <v>166</v>
      </c>
      <c r="C156" s="499">
        <v>656.19530089999989</v>
      </c>
      <c r="D156" s="300">
        <f t="shared" si="8"/>
        <v>233.53875336999999</v>
      </c>
      <c r="E156" s="499">
        <v>63.738640920000002</v>
      </c>
      <c r="F156" s="499">
        <v>169.80011245</v>
      </c>
      <c r="G156" s="499">
        <v>293.82288408000005</v>
      </c>
      <c r="I156" s="499">
        <v>4085.1147242100001</v>
      </c>
      <c r="J156" s="499">
        <v>7931.6318359400002</v>
      </c>
      <c r="K156" s="499">
        <v>7650.15</v>
      </c>
      <c r="L156" s="499">
        <v>694.97148156499998</v>
      </c>
      <c r="M156" s="499">
        <f t="shared" si="9"/>
        <v>322.56434873500001</v>
      </c>
      <c r="N156" s="499">
        <v>68.42305667250001</v>
      </c>
      <c r="O156" s="499">
        <v>254.14129206249999</v>
      </c>
      <c r="P156" s="499">
        <v>282.56732537750003</v>
      </c>
      <c r="R156" s="499">
        <v>3978.8154759399999</v>
      </c>
      <c r="S156" s="499">
        <v>6671.6877441425004</v>
      </c>
      <c r="T156" s="499">
        <v>7409.8302500000009</v>
      </c>
    </row>
    <row r="157" spans="1:20" x14ac:dyDescent="0.2">
      <c r="A157" s="499" t="s">
        <v>249</v>
      </c>
      <c r="B157" s="499" t="s">
        <v>250</v>
      </c>
      <c r="C157" s="499">
        <v>1852.4972855400003</v>
      </c>
      <c r="D157" s="300">
        <f t="shared" si="8"/>
        <v>1186.6165036</v>
      </c>
      <c r="E157" s="499">
        <v>1182.8403797599999</v>
      </c>
      <c r="F157" s="499">
        <v>3.7761238400000003</v>
      </c>
      <c r="G157" s="499">
        <v>533.33212321000008</v>
      </c>
      <c r="H157" s="499">
        <v>85.378047409999994</v>
      </c>
      <c r="I157" s="499">
        <v>26057</v>
      </c>
      <c r="J157" s="499">
        <v>1</v>
      </c>
      <c r="K157" s="499">
        <v>6420.7460000000001</v>
      </c>
      <c r="L157" s="499">
        <v>1826.6431929600001</v>
      </c>
      <c r="M157" s="499">
        <f t="shared" si="9"/>
        <v>1191.9248597499998</v>
      </c>
      <c r="N157" s="499">
        <v>1170.7473682024997</v>
      </c>
      <c r="O157" s="499">
        <v>21.177491547499997</v>
      </c>
      <c r="P157" s="499">
        <v>515.88437975750003</v>
      </c>
      <c r="Q157" s="499">
        <v>229.65237961000003</v>
      </c>
      <c r="R157" s="499">
        <v>24644.25</v>
      </c>
      <c r="S157" s="499">
        <v>1</v>
      </c>
      <c r="T157" s="499">
        <v>6372.5347499999998</v>
      </c>
    </row>
    <row r="158" spans="1:20" x14ac:dyDescent="0.2">
      <c r="A158" s="499" t="s">
        <v>397</v>
      </c>
      <c r="B158" s="499" t="s">
        <v>398</v>
      </c>
      <c r="C158" s="499">
        <v>117.02112809000002</v>
      </c>
      <c r="D158" s="300">
        <f t="shared" si="8"/>
        <v>98.217442069999976</v>
      </c>
      <c r="E158" s="499">
        <v>98.217442069999976</v>
      </c>
      <c r="F158" s="499">
        <v>0</v>
      </c>
      <c r="G158" s="499">
        <v>17.687754959999999</v>
      </c>
      <c r="I158" s="499">
        <v>1637.9838994999998</v>
      </c>
      <c r="J158" s="499">
        <v>0.84677267000000001</v>
      </c>
      <c r="K158" s="499">
        <v>33.785000000000004</v>
      </c>
      <c r="L158" s="499">
        <v>107.518503065</v>
      </c>
      <c r="M158" s="499">
        <f t="shared" si="9"/>
        <v>88.456942874999996</v>
      </c>
      <c r="N158" s="499">
        <v>88.456942874999996</v>
      </c>
      <c r="O158" s="499">
        <v>0</v>
      </c>
      <c r="P158" s="499">
        <v>17.949636220000002</v>
      </c>
      <c r="R158" s="499">
        <v>1513.5924863349999</v>
      </c>
      <c r="S158" s="499">
        <v>0.88417400999999995</v>
      </c>
      <c r="T158" s="499">
        <v>33.558</v>
      </c>
    </row>
    <row r="159" spans="1:20" x14ac:dyDescent="0.2">
      <c r="A159" s="499" t="s">
        <v>399</v>
      </c>
      <c r="B159" s="499" t="s">
        <v>400</v>
      </c>
      <c r="C159" s="499">
        <v>4320.4948077899999</v>
      </c>
      <c r="D159" s="300">
        <f t="shared" si="8"/>
        <v>2594.5663085900001</v>
      </c>
      <c r="E159" s="499">
        <v>2564.99389569</v>
      </c>
      <c r="F159" s="499">
        <v>29.5724129</v>
      </c>
      <c r="G159" s="499">
        <v>1655.2230045199999</v>
      </c>
      <c r="H159" s="499">
        <v>144.13099662000002</v>
      </c>
      <c r="I159" s="499">
        <v>50597.289146700001</v>
      </c>
      <c r="J159" s="499">
        <v>100.1751</v>
      </c>
      <c r="K159" s="499">
        <v>7001.4440000000004</v>
      </c>
      <c r="L159" s="499">
        <v>3722.3256468649997</v>
      </c>
      <c r="M159" s="499">
        <f t="shared" si="9"/>
        <v>2179.0407902524998</v>
      </c>
      <c r="N159" s="499">
        <v>2162.6116055399998</v>
      </c>
      <c r="O159" s="499">
        <v>16.4291847125</v>
      </c>
      <c r="P159" s="499">
        <v>1485.530771575</v>
      </c>
      <c r="Q159" s="499">
        <v>130.79202640750003</v>
      </c>
      <c r="R159" s="499">
        <v>43744.17738922</v>
      </c>
      <c r="S159" s="499">
        <v>107.00579288750001</v>
      </c>
      <c r="T159" s="499">
        <v>7058.1202499999999</v>
      </c>
    </row>
    <row r="160" spans="1:20" x14ac:dyDescent="0.2">
      <c r="A160" s="499" t="s">
        <v>167</v>
      </c>
      <c r="B160" s="499" t="s">
        <v>168</v>
      </c>
      <c r="C160" s="499">
        <v>293.99969109000006</v>
      </c>
      <c r="D160" s="300">
        <f t="shared" si="8"/>
        <v>214.96356407000005</v>
      </c>
      <c r="E160" s="499">
        <v>31.684582139999993</v>
      </c>
      <c r="F160" s="499">
        <v>183.27898193000004</v>
      </c>
      <c r="G160" s="499">
        <v>64.674842060000017</v>
      </c>
      <c r="I160" s="499">
        <v>4593.4729302100004</v>
      </c>
      <c r="J160" s="499">
        <v>141.38583374000001</v>
      </c>
      <c r="K160" s="499">
        <v>10975.927</v>
      </c>
      <c r="L160" s="499">
        <v>290.91992328000003</v>
      </c>
      <c r="M160" s="499">
        <f t="shared" si="9"/>
        <v>217.66589561500001</v>
      </c>
      <c r="N160" s="499">
        <v>27.992017439999998</v>
      </c>
      <c r="O160" s="499">
        <v>189.673878175</v>
      </c>
      <c r="P160" s="499">
        <v>59.959734080000011</v>
      </c>
      <c r="Q160" s="499">
        <v>15.524821609999998</v>
      </c>
      <c r="R160" s="499">
        <v>4015.3136584549998</v>
      </c>
      <c r="S160" s="499">
        <v>127.51666641000001</v>
      </c>
      <c r="T160" s="499">
        <v>10943.345000000001</v>
      </c>
    </row>
    <row r="161" spans="1:20" x14ac:dyDescent="0.2">
      <c r="A161" s="499" t="s">
        <v>169</v>
      </c>
      <c r="B161" s="499" t="s">
        <v>170</v>
      </c>
      <c r="C161" s="499">
        <v>26.462995620000004</v>
      </c>
      <c r="D161" s="300">
        <f t="shared" si="8"/>
        <v>22.142342029999998</v>
      </c>
      <c r="E161" s="499">
        <v>11.633535609999997</v>
      </c>
      <c r="F161" s="499">
        <v>10.508806420000001</v>
      </c>
      <c r="G161" s="499">
        <v>3.9686203999999998</v>
      </c>
      <c r="I161" s="499">
        <v>422.2957850300001</v>
      </c>
      <c r="J161" s="499">
        <v>20.750858309999998</v>
      </c>
      <c r="K161" s="499">
        <v>211.02799999999996</v>
      </c>
      <c r="L161" s="499">
        <v>22.510520249999999</v>
      </c>
      <c r="M161" s="499">
        <f t="shared" si="9"/>
        <v>18.837126157499998</v>
      </c>
      <c r="N161" s="499">
        <v>9.2929925324999996</v>
      </c>
      <c r="O161" s="499">
        <v>9.5441336249999988</v>
      </c>
      <c r="P161" s="499">
        <v>3.3483917424999996</v>
      </c>
      <c r="Q161" s="499">
        <v>1.5149450799999997</v>
      </c>
      <c r="R161" s="499">
        <v>365.79551151999999</v>
      </c>
      <c r="S161" s="499">
        <v>21.682875634999998</v>
      </c>
      <c r="T161" s="499">
        <v>205.19400000000002</v>
      </c>
    </row>
    <row r="162" spans="1:20" x14ac:dyDescent="0.2">
      <c r="A162" s="499" t="s">
        <v>251</v>
      </c>
      <c r="B162" s="499" t="s">
        <v>252</v>
      </c>
      <c r="C162" s="499">
        <v>273.09217015999991</v>
      </c>
      <c r="D162" s="300">
        <f t="shared" si="8"/>
        <v>185.34512868000002</v>
      </c>
      <c r="E162" s="499">
        <v>180.05203155000001</v>
      </c>
      <c r="F162" s="499">
        <v>5.2930971299999996</v>
      </c>
      <c r="G162" s="499">
        <v>54.27314891000001</v>
      </c>
      <c r="I162" s="499">
        <v>3426.7285253800001</v>
      </c>
      <c r="J162" s="499">
        <v>7.4625111999999989</v>
      </c>
      <c r="K162" s="499">
        <v>575.99</v>
      </c>
      <c r="L162" s="499">
        <v>240.20501758249995</v>
      </c>
      <c r="M162" s="499">
        <f t="shared" si="9"/>
        <v>146.68222625749999</v>
      </c>
      <c r="N162" s="499">
        <v>144.163573485</v>
      </c>
      <c r="O162" s="499">
        <v>2.5186527724999999</v>
      </c>
      <c r="P162" s="499">
        <v>53.404114929999999</v>
      </c>
      <c r="Q162" s="499">
        <v>1.8623677199999995</v>
      </c>
      <c r="R162" s="499">
        <v>3612.2375826499997</v>
      </c>
      <c r="S162" s="499">
        <v>6.1488673174999997</v>
      </c>
      <c r="T162" s="499">
        <v>567.62924999999996</v>
      </c>
    </row>
    <row r="163" spans="1:20" x14ac:dyDescent="0.2">
      <c r="A163" s="499" t="s">
        <v>401</v>
      </c>
      <c r="B163" s="499" t="s">
        <v>402</v>
      </c>
      <c r="C163" s="499">
        <v>7075.5739731900003</v>
      </c>
      <c r="D163" s="300">
        <f t="shared" si="8"/>
        <v>5606.6213459799992</v>
      </c>
      <c r="E163" s="499">
        <v>5606.6213459799992</v>
      </c>
      <c r="F163" s="499">
        <v>0</v>
      </c>
      <c r="G163" s="499">
        <v>1337.8319809400002</v>
      </c>
      <c r="I163" s="499">
        <v>105820.45837550001</v>
      </c>
      <c r="J163" s="499">
        <v>0.846773</v>
      </c>
      <c r="K163" s="499">
        <v>5443.12</v>
      </c>
      <c r="L163" s="499">
        <v>6482.3503169250007</v>
      </c>
      <c r="M163" s="499">
        <f t="shared" si="9"/>
        <v>5137.2078428274999</v>
      </c>
      <c r="N163" s="499">
        <v>5137.2078428274999</v>
      </c>
      <c r="O163" s="499">
        <v>0</v>
      </c>
      <c r="P163" s="499">
        <v>1199.2860118325002</v>
      </c>
      <c r="R163" s="499">
        <v>94874.175871485015</v>
      </c>
      <c r="S163" s="499">
        <v>0.88417400000000002</v>
      </c>
      <c r="T163" s="499">
        <v>5431.5159999999996</v>
      </c>
    </row>
    <row r="164" spans="1:20" x14ac:dyDescent="0.2">
      <c r="A164" s="499" t="s">
        <v>403</v>
      </c>
      <c r="B164" s="499" t="s">
        <v>404</v>
      </c>
      <c r="C164" s="499">
        <v>4484.2596457700001</v>
      </c>
      <c r="D164" s="300">
        <f t="shared" ref="D164:D193" si="10">E164+F164</f>
        <v>3247.00237285</v>
      </c>
      <c r="E164" s="499">
        <v>3247.00237285</v>
      </c>
      <c r="F164" s="499">
        <v>0</v>
      </c>
      <c r="G164" s="499">
        <v>537.2850555</v>
      </c>
      <c r="I164" s="499">
        <v>54034.316162659998</v>
      </c>
      <c r="J164" s="499">
        <v>0.846773</v>
      </c>
      <c r="K164" s="499">
        <v>2066.88</v>
      </c>
      <c r="L164" s="499">
        <v>3978.2954453424995</v>
      </c>
      <c r="M164" s="499">
        <f t="shared" ref="M164:M193" si="11">N164+O164</f>
        <v>2863.7632506200002</v>
      </c>
      <c r="N164" s="499">
        <v>2863.7632506200002</v>
      </c>
      <c r="O164" s="499">
        <v>0</v>
      </c>
      <c r="P164" s="499">
        <v>485.0407690275</v>
      </c>
      <c r="R164" s="499">
        <v>47596.356110610002</v>
      </c>
      <c r="S164" s="499">
        <v>0.88417400000000002</v>
      </c>
      <c r="T164" s="499">
        <v>2064.9592499999999</v>
      </c>
    </row>
    <row r="165" spans="1:20" x14ac:dyDescent="0.2">
      <c r="A165" s="499" t="s">
        <v>405</v>
      </c>
      <c r="B165" s="499" t="s">
        <v>406</v>
      </c>
      <c r="C165" s="499">
        <v>60536.314103689998</v>
      </c>
      <c r="D165" s="300">
        <f t="shared" si="10"/>
        <v>51511.656346299998</v>
      </c>
      <c r="E165" s="499">
        <v>51511.656346299998</v>
      </c>
      <c r="F165" s="499">
        <v>0</v>
      </c>
      <c r="G165" s="499">
        <v>8339.2407125299997</v>
      </c>
      <c r="H165" s="499">
        <v>3252.4522813800004</v>
      </c>
      <c r="I165" s="499">
        <v>555455.39278722007</v>
      </c>
      <c r="J165" s="499">
        <v>8.6925179999999997</v>
      </c>
      <c r="K165" s="499">
        <v>10120.242</v>
      </c>
      <c r="L165" s="499">
        <v>57331.579106592508</v>
      </c>
      <c r="M165" s="499">
        <f t="shared" si="11"/>
        <v>48503.641630220009</v>
      </c>
      <c r="N165" s="499">
        <v>48503.641630220009</v>
      </c>
      <c r="O165" s="499">
        <v>0</v>
      </c>
      <c r="P165" s="499">
        <v>8193.6214316525002</v>
      </c>
      <c r="Q165" s="499">
        <v>2945.8348743425004</v>
      </c>
      <c r="R165" s="499">
        <v>529308.13869305002</v>
      </c>
      <c r="S165" s="499">
        <v>8.5595530000000011</v>
      </c>
      <c r="T165" s="499">
        <v>9928.44175</v>
      </c>
    </row>
    <row r="166" spans="1:20" x14ac:dyDescent="0.2">
      <c r="A166" s="499" t="s">
        <v>171</v>
      </c>
      <c r="B166" s="499" t="s">
        <v>172</v>
      </c>
      <c r="C166" s="499">
        <v>308.09130659000004</v>
      </c>
      <c r="D166" s="300">
        <f t="shared" si="10"/>
        <v>232.26581229000001</v>
      </c>
      <c r="E166" s="499">
        <v>101.27173055</v>
      </c>
      <c r="F166" s="499">
        <v>130.99408174000001</v>
      </c>
      <c r="G166" s="499">
        <v>34.70325283999999</v>
      </c>
      <c r="I166" s="499">
        <v>4710.62736838</v>
      </c>
      <c r="J166" s="499">
        <v>13.240911479999999</v>
      </c>
      <c r="K166" s="499">
        <v>1136.2810000000002</v>
      </c>
      <c r="L166" s="499">
        <v>290.53822315750006</v>
      </c>
      <c r="M166" s="499">
        <f t="shared" si="11"/>
        <v>216.9938561475</v>
      </c>
      <c r="N166" s="499">
        <v>121.360937745</v>
      </c>
      <c r="O166" s="499">
        <v>95.632918402499996</v>
      </c>
      <c r="P166" s="499">
        <v>31.197015169999997</v>
      </c>
      <c r="Q166" s="499">
        <v>24.824669080000003</v>
      </c>
      <c r="R166" s="499">
        <v>4267.7472912949997</v>
      </c>
      <c r="S166" s="499">
        <v>13.510808705000001</v>
      </c>
      <c r="T166" s="499">
        <v>1119.7817499999999</v>
      </c>
    </row>
    <row r="167" spans="1:20" x14ac:dyDescent="0.2">
      <c r="A167" s="499" t="s">
        <v>173</v>
      </c>
      <c r="B167" s="499" t="s">
        <v>174</v>
      </c>
      <c r="C167" s="499">
        <v>80.888635300000004</v>
      </c>
      <c r="D167" s="300">
        <f t="shared" si="10"/>
        <v>60.536701469999997</v>
      </c>
      <c r="E167" s="499">
        <v>60.237543189999997</v>
      </c>
      <c r="F167" s="499">
        <v>0.29915828</v>
      </c>
      <c r="G167" s="499">
        <v>19.03835089</v>
      </c>
      <c r="I167" s="499">
        <v>1582.8348387200001</v>
      </c>
      <c r="J167" s="499">
        <v>13.9111166</v>
      </c>
      <c r="K167" s="499">
        <v>97.096000000000004</v>
      </c>
      <c r="L167" s="499">
        <v>73.2555289875</v>
      </c>
      <c r="M167" s="499">
        <f t="shared" si="11"/>
        <v>53.868514030833332</v>
      </c>
      <c r="N167" s="499">
        <v>52.711702854999999</v>
      </c>
      <c r="O167" s="499">
        <v>1.1568111758333335</v>
      </c>
      <c r="P167" s="499">
        <v>18.614003627500001</v>
      </c>
      <c r="Q167" s="499">
        <v>15.445467540000001</v>
      </c>
      <c r="R167" s="499">
        <v>1472.7700638975002</v>
      </c>
      <c r="S167" s="499">
        <v>13.547999857500001</v>
      </c>
      <c r="T167" s="499">
        <v>96.0505</v>
      </c>
    </row>
    <row r="168" spans="1:20" x14ac:dyDescent="0.2">
      <c r="A168" s="499" t="s">
        <v>175</v>
      </c>
      <c r="B168" s="499" t="s">
        <v>176</v>
      </c>
      <c r="C168" s="499">
        <v>452.54576775000004</v>
      </c>
      <c r="D168" s="300">
        <f t="shared" si="10"/>
        <v>147.71398805000001</v>
      </c>
      <c r="E168" s="499">
        <v>76.939308670000017</v>
      </c>
      <c r="F168" s="499">
        <v>70.774679379999995</v>
      </c>
      <c r="G168" s="499">
        <v>280.13193003000004</v>
      </c>
      <c r="I168" s="499">
        <v>11040.926922659999</v>
      </c>
      <c r="J168" s="499">
        <v>555.71783446999996</v>
      </c>
      <c r="K168" s="499">
        <v>15477.728999999998</v>
      </c>
      <c r="L168" s="499">
        <v>472.73939008500003</v>
      </c>
      <c r="M168" s="499">
        <f t="shared" si="11"/>
        <v>174.00235063000002</v>
      </c>
      <c r="N168" s="499">
        <v>84.031385895</v>
      </c>
      <c r="O168" s="499">
        <v>89.97096473500001</v>
      </c>
      <c r="P168" s="499">
        <v>274.5310332025</v>
      </c>
      <c r="R168" s="499">
        <v>10560.553753425</v>
      </c>
      <c r="S168" s="499">
        <v>580.56752014250003</v>
      </c>
      <c r="T168" s="499">
        <v>14791.779250000001</v>
      </c>
    </row>
    <row r="169" spans="1:20" x14ac:dyDescent="0.2">
      <c r="A169" s="499" t="s">
        <v>177</v>
      </c>
      <c r="B169" s="499" t="s">
        <v>178</v>
      </c>
      <c r="C169" s="499">
        <v>330.05419630000006</v>
      </c>
      <c r="D169" s="300">
        <f t="shared" si="10"/>
        <v>111.70184254000002</v>
      </c>
      <c r="E169" s="499">
        <v>56.248140400000011</v>
      </c>
      <c r="F169" s="499">
        <v>55.453702140000004</v>
      </c>
      <c r="G169" s="499">
        <v>185.8731181</v>
      </c>
      <c r="I169" s="499">
        <v>5353.3984613599996</v>
      </c>
      <c r="J169" s="499">
        <v>555.71783446999996</v>
      </c>
      <c r="K169" s="499">
        <v>7889.0930000000008</v>
      </c>
      <c r="L169" s="499">
        <v>293.65078683749999</v>
      </c>
      <c r="M169" s="499">
        <f t="shared" si="11"/>
        <v>103.3481564825</v>
      </c>
      <c r="N169" s="499">
        <v>53.208266512500003</v>
      </c>
      <c r="O169" s="499">
        <v>50.139889969999999</v>
      </c>
      <c r="P169" s="499">
        <v>162.57859134249998</v>
      </c>
      <c r="Q169" s="499">
        <v>4.5527568200000008</v>
      </c>
      <c r="R169" s="499">
        <v>4697.7283469774993</v>
      </c>
      <c r="S169" s="499">
        <v>580.56752014250003</v>
      </c>
      <c r="T169" s="499">
        <v>7605.1689999999999</v>
      </c>
    </row>
    <row r="170" spans="1:20" x14ac:dyDescent="0.2">
      <c r="A170" s="499" t="s">
        <v>437</v>
      </c>
      <c r="B170" s="499" t="s">
        <v>438</v>
      </c>
      <c r="C170" s="499">
        <v>19156.454231989999</v>
      </c>
      <c r="D170" s="300">
        <f t="shared" si="10"/>
        <v>14675.265933210001</v>
      </c>
      <c r="E170" s="499">
        <v>14611.129710430001</v>
      </c>
      <c r="F170" s="499">
        <v>64.136222779999997</v>
      </c>
      <c r="G170" s="499">
        <v>2109.3963517599996</v>
      </c>
      <c r="I170" s="499">
        <v>505042.35958552</v>
      </c>
      <c r="J170" s="499">
        <v>32.310226439999994</v>
      </c>
      <c r="K170" s="499">
        <v>69428.453000000009</v>
      </c>
      <c r="L170" s="499">
        <v>16709.999233767499</v>
      </c>
      <c r="M170" s="499">
        <f t="shared" si="11"/>
        <v>12751.8388068925</v>
      </c>
      <c r="N170" s="499">
        <v>12697.2818339975</v>
      </c>
      <c r="O170" s="499">
        <v>54.556972895000001</v>
      </c>
      <c r="P170" s="499">
        <v>1903.1499920125</v>
      </c>
      <c r="Q170" s="499">
        <v>1099.1352319900002</v>
      </c>
      <c r="R170" s="499">
        <v>443491.59591480251</v>
      </c>
      <c r="S170" s="499">
        <v>33.948534012500005</v>
      </c>
      <c r="T170" s="499">
        <v>69081.020499999999</v>
      </c>
    </row>
    <row r="171" spans="1:20" x14ac:dyDescent="0.2">
      <c r="A171" s="499" t="s">
        <v>407</v>
      </c>
      <c r="B171" s="499" t="s">
        <v>408</v>
      </c>
      <c r="C171" s="499">
        <v>544.62229871</v>
      </c>
      <c r="D171" s="300">
        <f t="shared" si="10"/>
        <v>170.92384167999995</v>
      </c>
      <c r="E171" s="499">
        <v>147.29612618999997</v>
      </c>
      <c r="F171" s="499">
        <v>23.62771549</v>
      </c>
      <c r="G171" s="499">
        <v>372.63037634000005</v>
      </c>
      <c r="H171" s="499">
        <v>16.819656439999999</v>
      </c>
      <c r="I171" s="499">
        <v>7522.9478101199984</v>
      </c>
      <c r="J171" s="499">
        <v>9.1512000000000011</v>
      </c>
      <c r="K171" s="499">
        <v>9100.8350000000009</v>
      </c>
      <c r="L171" s="499">
        <v>522.63742839499992</v>
      </c>
      <c r="M171" s="499">
        <f t="shared" si="11"/>
        <v>181.46566536750001</v>
      </c>
      <c r="N171" s="499">
        <v>149.21191926</v>
      </c>
      <c r="O171" s="499">
        <v>32.2537461075</v>
      </c>
      <c r="P171" s="499">
        <v>339.9219789375</v>
      </c>
      <c r="Q171" s="499">
        <v>13.480987442500002</v>
      </c>
      <c r="R171" s="499">
        <v>7368.4345810425002</v>
      </c>
      <c r="S171" s="499">
        <v>7.924925</v>
      </c>
      <c r="T171" s="499">
        <v>8774.6775000000016</v>
      </c>
    </row>
    <row r="172" spans="1:20" x14ac:dyDescent="0.2">
      <c r="A172" s="499" t="s">
        <v>409</v>
      </c>
      <c r="B172" s="499" t="s">
        <v>410</v>
      </c>
      <c r="C172" s="499">
        <v>2692.4390759600001</v>
      </c>
      <c r="D172" s="300">
        <f t="shared" si="10"/>
        <v>500.05181642000008</v>
      </c>
      <c r="E172" s="499">
        <v>487.88844651000011</v>
      </c>
      <c r="F172" s="499">
        <v>12.163369909999998</v>
      </c>
      <c r="G172" s="499">
        <v>2055.3630558300001</v>
      </c>
      <c r="I172" s="499">
        <v>40761.142857139996</v>
      </c>
      <c r="J172" s="499">
        <v>3.5</v>
      </c>
      <c r="K172" s="499">
        <v>5850.9009999999998</v>
      </c>
      <c r="L172" s="499">
        <v>2493.0834982625001</v>
      </c>
      <c r="M172" s="499">
        <f t="shared" si="11"/>
        <v>521.20441035750002</v>
      </c>
      <c r="N172" s="499">
        <v>515.01578338249999</v>
      </c>
      <c r="O172" s="499">
        <v>6.1886269749999991</v>
      </c>
      <c r="P172" s="499">
        <v>1848.6366449175</v>
      </c>
      <c r="R172" s="499">
        <v>37666.785714284997</v>
      </c>
      <c r="S172" s="499">
        <v>3.5</v>
      </c>
      <c r="T172" s="499">
        <v>5709.0557499999995</v>
      </c>
    </row>
    <row r="173" spans="1:20" x14ac:dyDescent="0.2">
      <c r="A173" s="499" t="s">
        <v>439</v>
      </c>
      <c r="B173" s="499" t="s">
        <v>440</v>
      </c>
      <c r="C173" s="499">
        <v>118.80158630999999</v>
      </c>
      <c r="D173" s="300">
        <f t="shared" si="10"/>
        <v>105.30548546</v>
      </c>
      <c r="E173" s="499">
        <v>72.046877699999996</v>
      </c>
      <c r="F173" s="499">
        <v>33.258607759999997</v>
      </c>
      <c r="G173" s="499">
        <v>8.4265907900000023</v>
      </c>
      <c r="I173" s="499">
        <v>2746</v>
      </c>
      <c r="J173" s="499">
        <v>1</v>
      </c>
      <c r="K173" s="499">
        <v>1267.9739999999999</v>
      </c>
      <c r="L173" s="499">
        <v>115.70075849000001</v>
      </c>
      <c r="M173" s="499">
        <f t="shared" si="11"/>
        <v>102.5532425275</v>
      </c>
      <c r="N173" s="499">
        <v>67.494167924999999</v>
      </c>
      <c r="O173" s="499">
        <v>35.059074602499997</v>
      </c>
      <c r="P173" s="499">
        <v>8.8566476975000015</v>
      </c>
      <c r="Q173" s="499">
        <v>10</v>
      </c>
      <c r="R173" s="499">
        <v>2707.5</v>
      </c>
      <c r="S173" s="499">
        <v>1</v>
      </c>
      <c r="T173" s="499">
        <v>1231.7055</v>
      </c>
    </row>
    <row r="174" spans="1:20" x14ac:dyDescent="0.2">
      <c r="A174" s="499" t="s">
        <v>486</v>
      </c>
      <c r="B174" s="499" t="s">
        <v>487</v>
      </c>
      <c r="C174" s="499">
        <v>24.450931910000001</v>
      </c>
      <c r="D174" s="300">
        <f t="shared" si="10"/>
        <v>21.022304819999999</v>
      </c>
      <c r="E174" s="499">
        <v>15.464031989999999</v>
      </c>
      <c r="F174" s="499">
        <v>5.5582728299999999</v>
      </c>
      <c r="G174" s="499">
        <v>2.49374092</v>
      </c>
      <c r="H174" s="499">
        <v>0.60519701000000015</v>
      </c>
      <c r="I174" s="499">
        <v>479.75214563999998</v>
      </c>
      <c r="J174" s="499">
        <v>2.2365715499999999</v>
      </c>
      <c r="K174" s="499">
        <v>103.197</v>
      </c>
      <c r="L174" s="499">
        <v>22.215027794999997</v>
      </c>
      <c r="M174" s="499">
        <f t="shared" si="11"/>
        <v>19.131666054999997</v>
      </c>
      <c r="N174" s="499">
        <v>13.210964117499998</v>
      </c>
      <c r="O174" s="499">
        <v>5.9207019375000005</v>
      </c>
      <c r="P174" s="499">
        <v>2.2226403674999999</v>
      </c>
      <c r="Q174" s="499">
        <v>0.23708650500000003</v>
      </c>
      <c r="R174" s="499">
        <v>448.04579307750004</v>
      </c>
      <c r="S174" s="499">
        <v>2.1909921175</v>
      </c>
      <c r="T174" s="499">
        <v>101.77725</v>
      </c>
    </row>
    <row r="175" spans="1:20" x14ac:dyDescent="0.2">
      <c r="A175" s="499" t="s">
        <v>253</v>
      </c>
      <c r="B175" s="499" t="s">
        <v>254</v>
      </c>
      <c r="C175" s="499">
        <v>1561.3826261900001</v>
      </c>
      <c r="D175" s="300">
        <f t="shared" si="10"/>
        <v>769.75603591999993</v>
      </c>
      <c r="E175" s="499">
        <v>769.56440384999996</v>
      </c>
      <c r="F175" s="499">
        <v>0.19163207000000004</v>
      </c>
      <c r="G175" s="499">
        <v>685.77741398000001</v>
      </c>
      <c r="H175" s="499">
        <v>45.64709817</v>
      </c>
      <c r="I175" s="499">
        <v>22524.828080739997</v>
      </c>
      <c r="J175" s="499">
        <v>6.7707509000000003</v>
      </c>
      <c r="K175" s="499">
        <v>1389.8429999999998</v>
      </c>
      <c r="L175" s="499">
        <v>1541.2280500525001</v>
      </c>
      <c r="M175" s="499">
        <f t="shared" si="11"/>
        <v>784.71336372999997</v>
      </c>
      <c r="N175" s="499">
        <v>783.97813801749999</v>
      </c>
      <c r="O175" s="499">
        <v>0.73522571250000013</v>
      </c>
      <c r="P175" s="499">
        <v>650.46955747499999</v>
      </c>
      <c r="Q175" s="499">
        <v>71.542558982499997</v>
      </c>
      <c r="R175" s="499">
        <v>22910.778285914999</v>
      </c>
      <c r="S175" s="499">
        <v>6.6491710599999996</v>
      </c>
      <c r="T175" s="499">
        <v>1380.4475</v>
      </c>
    </row>
    <row r="176" spans="1:20" x14ac:dyDescent="0.2">
      <c r="A176" s="499" t="s">
        <v>305</v>
      </c>
      <c r="B176" s="499" t="s">
        <v>306</v>
      </c>
      <c r="C176" s="499">
        <v>2909.1885435199997</v>
      </c>
      <c r="D176" s="300">
        <f t="shared" si="10"/>
        <v>1681.54743263</v>
      </c>
      <c r="E176" s="499">
        <v>1668.9544970100001</v>
      </c>
      <c r="F176" s="499">
        <v>12.592935619999999</v>
      </c>
      <c r="G176" s="499">
        <v>1131.4072486399998</v>
      </c>
      <c r="I176" s="499">
        <v>39895.097696199999</v>
      </c>
      <c r="J176" s="499">
        <v>2.6468665599999999</v>
      </c>
      <c r="K176" s="499">
        <v>11565.201000000001</v>
      </c>
      <c r="L176" s="499">
        <v>2936.8737059699997</v>
      </c>
      <c r="M176" s="499">
        <f t="shared" si="11"/>
        <v>1682.2013565975001</v>
      </c>
      <c r="N176" s="499">
        <v>1674.999207715</v>
      </c>
      <c r="O176" s="499">
        <v>7.2021488824999995</v>
      </c>
      <c r="P176" s="499">
        <v>1156.3403436249998</v>
      </c>
      <c r="R176" s="499">
        <v>41165.553196075001</v>
      </c>
      <c r="S176" s="499">
        <v>2.2939874825</v>
      </c>
      <c r="T176" s="499">
        <v>11370.6345</v>
      </c>
    </row>
    <row r="177" spans="1:20" x14ac:dyDescent="0.2">
      <c r="A177" s="499" t="s">
        <v>411</v>
      </c>
      <c r="B177" s="499" t="s">
        <v>412</v>
      </c>
      <c r="C177" s="499">
        <v>32101.563751820002</v>
      </c>
      <c r="D177" s="300">
        <f t="shared" si="10"/>
        <v>24840.919142520004</v>
      </c>
      <c r="E177" s="499">
        <v>24840.919142520004</v>
      </c>
      <c r="F177" s="499">
        <v>0</v>
      </c>
      <c r="G177" s="499">
        <v>5615.0188630199991</v>
      </c>
      <c r="H177" s="499">
        <v>2119.93114539</v>
      </c>
      <c r="I177" s="499">
        <v>778381.85992373992</v>
      </c>
      <c r="J177" s="499">
        <v>4.8283699999999996</v>
      </c>
      <c r="K177" s="499">
        <v>82340.088000000003</v>
      </c>
      <c r="L177" s="499">
        <v>35212.868755465002</v>
      </c>
      <c r="M177" s="499">
        <f t="shared" si="11"/>
        <v>27443.507539285001</v>
      </c>
      <c r="N177" s="499">
        <v>27443.507539285001</v>
      </c>
      <c r="O177" s="499">
        <v>0</v>
      </c>
      <c r="P177" s="499">
        <v>6005.812113044999</v>
      </c>
      <c r="Q177" s="499">
        <v>2386.2711082133333</v>
      </c>
      <c r="R177" s="499">
        <v>842841.76118801243</v>
      </c>
      <c r="S177" s="499">
        <v>3.55416175</v>
      </c>
      <c r="T177" s="499">
        <v>80453.454500000007</v>
      </c>
    </row>
    <row r="178" spans="1:20" x14ac:dyDescent="0.2">
      <c r="A178" s="499" t="s">
        <v>488</v>
      </c>
      <c r="B178" s="499" t="s">
        <v>489</v>
      </c>
      <c r="C178" s="499">
        <v>7.969533359999998</v>
      </c>
      <c r="D178" s="300">
        <f t="shared" si="10"/>
        <v>7.6610952099999992</v>
      </c>
      <c r="E178" s="499">
        <v>6.3650609199999986</v>
      </c>
      <c r="F178" s="499">
        <v>1.2960342900000001</v>
      </c>
      <c r="G178" s="499">
        <v>4.0890529999999994E-2</v>
      </c>
      <c r="H178" s="499">
        <v>0.21038287000000003</v>
      </c>
      <c r="I178" s="499">
        <v>41.840623730000004</v>
      </c>
      <c r="J178" s="499">
        <v>1.33841217</v>
      </c>
      <c r="K178" s="499">
        <v>11.507999999999999</v>
      </c>
      <c r="L178" s="499">
        <v>6.8043788474999989</v>
      </c>
      <c r="M178" s="499">
        <f t="shared" si="11"/>
        <v>6.5925269699999989</v>
      </c>
      <c r="N178" s="499">
        <v>5.2078501724999988</v>
      </c>
      <c r="O178" s="499">
        <v>1.3846767975000001</v>
      </c>
      <c r="P178" s="499">
        <v>3.2553644999999999E-2</v>
      </c>
      <c r="Q178" s="499">
        <v>0.55121712</v>
      </c>
      <c r="R178" s="499">
        <v>38.549003625000005</v>
      </c>
      <c r="S178" s="499">
        <v>1.3298686150000001</v>
      </c>
      <c r="T178" s="499">
        <v>11.3005</v>
      </c>
    </row>
    <row r="179" spans="1:20" x14ac:dyDescent="0.2">
      <c r="A179" s="499" t="s">
        <v>179</v>
      </c>
      <c r="B179" s="499" t="s">
        <v>180</v>
      </c>
      <c r="C179" s="499">
        <v>2073.6193623900003</v>
      </c>
      <c r="D179" s="300">
        <f t="shared" si="10"/>
        <v>1559.0603714600002</v>
      </c>
      <c r="E179" s="499">
        <v>890.57658058000004</v>
      </c>
      <c r="F179" s="499">
        <v>668.48379088000002</v>
      </c>
      <c r="G179" s="499">
        <v>497.2676102399999</v>
      </c>
      <c r="I179" s="499">
        <v>57145.271812080013</v>
      </c>
      <c r="J179" s="499">
        <v>2263.7805175799999</v>
      </c>
      <c r="K179" s="499">
        <v>56313.438000000002</v>
      </c>
      <c r="L179" s="499">
        <v>1928.5939436775002</v>
      </c>
      <c r="M179" s="499">
        <f t="shared" si="11"/>
        <v>1446.7943164349999</v>
      </c>
      <c r="N179" s="499">
        <v>782.08633212250004</v>
      </c>
      <c r="O179" s="499">
        <v>664.70798431249989</v>
      </c>
      <c r="P179" s="499">
        <v>460.05142888500001</v>
      </c>
      <c r="Q179" s="499">
        <v>25.174372515000002</v>
      </c>
      <c r="R179" s="499">
        <v>51893.459577125002</v>
      </c>
      <c r="S179" s="499">
        <v>2165.2787780775002</v>
      </c>
      <c r="T179" s="499">
        <v>53876.409999999996</v>
      </c>
    </row>
    <row r="180" spans="1:20" x14ac:dyDescent="0.2">
      <c r="A180" s="499" t="s">
        <v>181</v>
      </c>
      <c r="B180" s="499" t="s">
        <v>182</v>
      </c>
      <c r="C180" s="499">
        <v>1843.2400568500002</v>
      </c>
      <c r="D180" s="300">
        <f t="shared" si="10"/>
        <v>1086.2473319799999</v>
      </c>
      <c r="E180" s="499">
        <v>291.79910215000001</v>
      </c>
      <c r="F180" s="499">
        <v>794.44822982999995</v>
      </c>
      <c r="G180" s="499">
        <v>707.51213113000006</v>
      </c>
      <c r="I180" s="499">
        <v>28243.541347699997</v>
      </c>
      <c r="J180" s="499">
        <v>3727.0690917999991</v>
      </c>
      <c r="K180" s="499">
        <v>42729.036</v>
      </c>
      <c r="L180" s="499">
        <v>1728.7965340824999</v>
      </c>
      <c r="M180" s="499">
        <f t="shared" si="11"/>
        <v>1015.2827416599998</v>
      </c>
      <c r="N180" s="499">
        <v>264.90569493499999</v>
      </c>
      <c r="O180" s="499">
        <v>750.3770467249999</v>
      </c>
      <c r="P180" s="499">
        <v>668.89450421749996</v>
      </c>
      <c r="Q180" s="499">
        <v>41.600825150000006</v>
      </c>
      <c r="R180" s="499">
        <v>26262.913281507499</v>
      </c>
      <c r="S180" s="499">
        <v>3499.7592163075005</v>
      </c>
      <c r="T180" s="499">
        <v>40442.560750000004</v>
      </c>
    </row>
    <row r="181" spans="1:20" x14ac:dyDescent="0.2">
      <c r="A181" s="499" t="s">
        <v>413</v>
      </c>
      <c r="B181" s="499" t="s">
        <v>414</v>
      </c>
      <c r="C181" s="499">
        <v>10105.383289110001</v>
      </c>
      <c r="D181" s="300">
        <f t="shared" si="10"/>
        <v>4946.6722579899997</v>
      </c>
      <c r="E181" s="499">
        <v>4844.81539557</v>
      </c>
      <c r="F181" s="499">
        <v>101.85686242</v>
      </c>
      <c r="G181" s="499">
        <v>4986.7098031299993</v>
      </c>
      <c r="H181" s="499">
        <v>370.02996268000004</v>
      </c>
      <c r="I181" s="499">
        <v>130832.37440487999</v>
      </c>
      <c r="J181" s="499">
        <v>27.200499999999998</v>
      </c>
      <c r="K181" s="499">
        <v>44246.155999999995</v>
      </c>
      <c r="L181" s="499">
        <v>8141.2250362150007</v>
      </c>
      <c r="M181" s="499">
        <f t="shared" si="11"/>
        <v>3994.5302826125003</v>
      </c>
      <c r="N181" s="499">
        <v>3885.4120070825002</v>
      </c>
      <c r="O181" s="499">
        <v>109.11827553000001</v>
      </c>
      <c r="P181" s="499">
        <v>3979.6448008924999</v>
      </c>
      <c r="Q181" s="499">
        <v>322.67681347750005</v>
      </c>
      <c r="R181" s="499">
        <v>106843.3781523725</v>
      </c>
      <c r="S181" s="499">
        <v>25.298275000000004</v>
      </c>
      <c r="T181" s="499">
        <v>44592.301500000001</v>
      </c>
    </row>
    <row r="182" spans="1:20" x14ac:dyDescent="0.2">
      <c r="A182" s="499" t="s">
        <v>255</v>
      </c>
      <c r="B182" s="499" t="s">
        <v>256</v>
      </c>
      <c r="C182" s="499">
        <v>5484.5290836100003</v>
      </c>
      <c r="D182" s="300">
        <f t="shared" si="10"/>
        <v>4002.7843823799994</v>
      </c>
      <c r="E182" s="499">
        <v>4001.8918059599996</v>
      </c>
      <c r="F182" s="499">
        <v>0.89257642000000015</v>
      </c>
      <c r="G182" s="499">
        <v>930.2004893699999</v>
      </c>
      <c r="I182" s="499">
        <v>59596.960270700001</v>
      </c>
      <c r="J182" s="499">
        <v>30.725258330000003</v>
      </c>
      <c r="K182" s="499">
        <v>3449.2849999999999</v>
      </c>
      <c r="L182" s="499">
        <v>5228.9174219574998</v>
      </c>
      <c r="M182" s="499">
        <f t="shared" si="11"/>
        <v>3680.3192854249992</v>
      </c>
      <c r="N182" s="499">
        <v>3679.5457468299992</v>
      </c>
      <c r="O182" s="499">
        <v>0.773538595</v>
      </c>
      <c r="P182" s="499">
        <v>873.35556574750001</v>
      </c>
      <c r="Q182" s="499">
        <v>118.30872563666667</v>
      </c>
      <c r="R182" s="499">
        <v>56276.178750957508</v>
      </c>
      <c r="S182" s="499">
        <v>29.222906250000001</v>
      </c>
      <c r="T182" s="499">
        <v>3430.5160000000001</v>
      </c>
    </row>
    <row r="183" spans="1:20" x14ac:dyDescent="0.2">
      <c r="A183" s="499" t="s">
        <v>257</v>
      </c>
      <c r="B183" s="499" t="s">
        <v>258</v>
      </c>
      <c r="C183" s="499">
        <v>3475021.4907974303</v>
      </c>
      <c r="D183" s="300">
        <f t="shared" si="10"/>
        <v>1751858.0713952398</v>
      </c>
      <c r="E183" s="499">
        <v>1751858.0713952398</v>
      </c>
      <c r="F183" s="499">
        <v>0</v>
      </c>
      <c r="G183" s="499">
        <v>375610.22106428992</v>
      </c>
      <c r="H183" s="499">
        <v>121802.23952787</v>
      </c>
      <c r="I183" s="499">
        <v>20580159.776000001</v>
      </c>
      <c r="J183" s="499">
        <v>1</v>
      </c>
      <c r="K183" s="499">
        <v>327096.26500000001</v>
      </c>
      <c r="L183" s="499">
        <v>3257553.1824651649</v>
      </c>
      <c r="M183" s="499">
        <f t="shared" si="11"/>
        <v>1642885.641244885</v>
      </c>
      <c r="N183" s="499">
        <v>1642885.641244885</v>
      </c>
      <c r="O183" s="499">
        <v>0</v>
      </c>
      <c r="P183" s="499">
        <v>359935.28291753749</v>
      </c>
      <c r="Q183" s="499">
        <v>114259.53999075</v>
      </c>
      <c r="R183" s="499">
        <v>19259794.611500002</v>
      </c>
      <c r="S183" s="499">
        <v>1</v>
      </c>
      <c r="T183" s="499">
        <v>324018.83149999997</v>
      </c>
    </row>
    <row r="184" spans="1:20" x14ac:dyDescent="0.2">
      <c r="A184" s="499" t="s">
        <v>415</v>
      </c>
      <c r="B184" s="499" t="s">
        <v>416</v>
      </c>
      <c r="C184" s="499">
        <v>2671.7966529800005</v>
      </c>
      <c r="D184" s="300">
        <f t="shared" si="10"/>
        <v>1041.4555232100001</v>
      </c>
      <c r="E184" s="499">
        <v>1019.8006222400002</v>
      </c>
      <c r="F184" s="499">
        <v>21.65490097</v>
      </c>
      <c r="G184" s="499">
        <v>1612.2251715200002</v>
      </c>
      <c r="I184" s="499">
        <v>50492.326064859997</v>
      </c>
      <c r="J184" s="499">
        <v>8070.8200999999999</v>
      </c>
      <c r="K184" s="499">
        <v>32476.243999999999</v>
      </c>
      <c r="L184" s="499">
        <v>3445.7864303424994</v>
      </c>
      <c r="M184" s="499">
        <f t="shared" si="11"/>
        <v>1550.4663609950001</v>
      </c>
      <c r="N184" s="499">
        <v>1513.392823705</v>
      </c>
      <c r="O184" s="499">
        <v>37.073537289999997</v>
      </c>
      <c r="P184" s="499">
        <v>1872.8028703274999</v>
      </c>
      <c r="Q184" s="499">
        <v>9.6310000000000007E-3</v>
      </c>
      <c r="R184" s="499">
        <v>68143.151667227503</v>
      </c>
      <c r="S184" s="499">
        <v>4693.5806750000002</v>
      </c>
      <c r="T184" s="499">
        <v>31701.83425</v>
      </c>
    </row>
    <row r="185" spans="1:20" x14ac:dyDescent="0.2">
      <c r="A185" s="499" t="s">
        <v>259</v>
      </c>
      <c r="B185" s="499" t="s">
        <v>260</v>
      </c>
      <c r="C185" s="499">
        <v>36.287702470000006</v>
      </c>
      <c r="D185" s="300">
        <f t="shared" si="10"/>
        <v>24.906066759999998</v>
      </c>
      <c r="E185" s="499">
        <v>24.761673869999999</v>
      </c>
      <c r="F185" s="499">
        <v>0.14439289</v>
      </c>
      <c r="G185" s="499">
        <v>10.310623790000003</v>
      </c>
      <c r="H185" s="499">
        <v>0.70030104000000004</v>
      </c>
      <c r="I185" s="499">
        <v>811.48148147999996</v>
      </c>
      <c r="J185" s="499">
        <v>2.7</v>
      </c>
      <c r="K185" s="499">
        <v>110.21100000000001</v>
      </c>
      <c r="L185" s="499">
        <v>33.365282720000003</v>
      </c>
      <c r="M185" s="499">
        <f t="shared" si="11"/>
        <v>22.401490869999996</v>
      </c>
      <c r="N185" s="499">
        <v>22.088739172499995</v>
      </c>
      <c r="O185" s="499">
        <v>0.31275169749999998</v>
      </c>
      <c r="P185" s="499">
        <v>9.9320990375000022</v>
      </c>
      <c r="Q185" s="499">
        <v>2.9703559700000004</v>
      </c>
      <c r="R185" s="499">
        <v>783.425925925</v>
      </c>
      <c r="S185" s="499">
        <v>2.7</v>
      </c>
      <c r="T185" s="499">
        <v>109.66125</v>
      </c>
    </row>
    <row r="186" spans="1:20" x14ac:dyDescent="0.2">
      <c r="A186" s="499" t="s">
        <v>261</v>
      </c>
      <c r="B186" s="499" t="s">
        <v>262</v>
      </c>
      <c r="C186" s="499">
        <v>7422.4548695600006</v>
      </c>
      <c r="D186" s="300">
        <f t="shared" si="10"/>
        <v>3553.643847150001</v>
      </c>
      <c r="E186" s="499">
        <v>3551.4516801400009</v>
      </c>
      <c r="F186" s="499">
        <v>2.1921670100000004</v>
      </c>
      <c r="G186" s="499">
        <v>2835.1598575599996</v>
      </c>
      <c r="I186" s="499">
        <v>208338.47519826001</v>
      </c>
      <c r="J186" s="499">
        <v>733576.93040002999</v>
      </c>
      <c r="K186" s="499">
        <v>28887.117999999999</v>
      </c>
      <c r="L186" s="499">
        <v>14477.6389515625</v>
      </c>
      <c r="M186" s="499">
        <f t="shared" si="11"/>
        <v>7240.0822445500007</v>
      </c>
      <c r="N186" s="499">
        <v>7238.9180390475003</v>
      </c>
      <c r="O186" s="499">
        <v>1.1642055025</v>
      </c>
      <c r="P186" s="499">
        <v>4055.4951687425</v>
      </c>
      <c r="Q186" s="499">
        <v>21.911234329999999</v>
      </c>
      <c r="R186" s="499">
        <v>272367.32579367002</v>
      </c>
      <c r="S186" s="499">
        <v>183568.64692334499</v>
      </c>
      <c r="T186" s="499">
        <v>29555.6715</v>
      </c>
    </row>
    <row r="187" spans="1:20" x14ac:dyDescent="0.2">
      <c r="A187" s="499" t="s">
        <v>490</v>
      </c>
      <c r="B187" s="499" t="s">
        <v>491</v>
      </c>
      <c r="C187" s="499">
        <v>14492.99558174</v>
      </c>
      <c r="D187" s="300">
        <f t="shared" si="10"/>
        <v>6870.6050709399997</v>
      </c>
      <c r="E187" s="499">
        <v>6603.0488065099998</v>
      </c>
      <c r="F187" s="499">
        <v>267.55626443</v>
      </c>
      <c r="G187" s="499">
        <v>6507.5568521699997</v>
      </c>
      <c r="I187" s="499">
        <v>244901.11758317999</v>
      </c>
      <c r="J187" s="499">
        <v>22602.05078125</v>
      </c>
      <c r="K187" s="499">
        <v>95545.961999999985</v>
      </c>
      <c r="L187" s="499">
        <v>12573.222656662503</v>
      </c>
      <c r="M187" s="499">
        <f t="shared" si="11"/>
        <v>5927.0819170800005</v>
      </c>
      <c r="N187" s="499">
        <v>5698.4787692975005</v>
      </c>
      <c r="O187" s="499">
        <v>228.6031477825</v>
      </c>
      <c r="P187" s="499">
        <v>5603.5564729674998</v>
      </c>
      <c r="Q187" s="499">
        <v>795.47544493333328</v>
      </c>
      <c r="R187" s="499">
        <v>216799.57680333752</v>
      </c>
      <c r="S187" s="499">
        <v>22151.176269532501</v>
      </c>
      <c r="T187" s="499">
        <v>94116.027000000002</v>
      </c>
    </row>
    <row r="188" spans="1:20" x14ac:dyDescent="0.2">
      <c r="A188" s="499" t="s">
        <v>492</v>
      </c>
      <c r="B188" s="499" t="s">
        <v>493</v>
      </c>
      <c r="C188" s="499">
        <v>30.846009900000002</v>
      </c>
      <c r="D188" s="300">
        <f t="shared" si="10"/>
        <v>26.789251620000002</v>
      </c>
      <c r="E188" s="499">
        <v>19.578669420000001</v>
      </c>
      <c r="F188" s="499">
        <v>7.2105822000000002</v>
      </c>
      <c r="G188" s="499">
        <v>2.7734088399999997</v>
      </c>
      <c r="H188" s="499">
        <v>0.37956351999999993</v>
      </c>
      <c r="I188" s="499">
        <v>914.3008291499998</v>
      </c>
      <c r="J188" s="499">
        <v>110.16833495999997</v>
      </c>
      <c r="K188" s="499">
        <v>292.68</v>
      </c>
      <c r="L188" s="499">
        <v>27.404926392500002</v>
      </c>
      <c r="M188" s="499">
        <f t="shared" si="11"/>
        <v>23.807539935000001</v>
      </c>
      <c r="N188" s="499">
        <v>14.511490015</v>
      </c>
      <c r="O188" s="499">
        <v>9.2960499199999997</v>
      </c>
      <c r="P188" s="499">
        <v>2.5820103125</v>
      </c>
      <c r="Q188" s="499">
        <v>0.32358700666666668</v>
      </c>
      <c r="R188" s="499">
        <v>839.59178011249992</v>
      </c>
      <c r="S188" s="499">
        <v>108.8633327475</v>
      </c>
      <c r="T188" s="499">
        <v>281.91250000000002</v>
      </c>
    </row>
    <row r="189" spans="1:20" x14ac:dyDescent="0.2">
      <c r="A189" s="499" t="s">
        <v>494</v>
      </c>
      <c r="B189" s="499" t="s">
        <v>495</v>
      </c>
      <c r="C189" s="499">
        <v>44.585599709999997</v>
      </c>
      <c r="D189" s="300">
        <f t="shared" si="10"/>
        <v>38.969266719999993</v>
      </c>
      <c r="E189" s="499">
        <v>32.192991369999994</v>
      </c>
      <c r="F189" s="499">
        <v>6.7762753499999997</v>
      </c>
      <c r="G189" s="499">
        <v>5.2554819799999999</v>
      </c>
      <c r="H189" s="499">
        <v>1.4210999999999998E-2</v>
      </c>
      <c r="I189" s="499">
        <v>855.33841169000004</v>
      </c>
      <c r="J189" s="499">
        <v>2.58728004</v>
      </c>
      <c r="K189" s="499">
        <v>196.12900000000002</v>
      </c>
      <c r="L189" s="499">
        <v>44.483476922500003</v>
      </c>
      <c r="M189" s="499">
        <f t="shared" si="11"/>
        <v>38.974481569999995</v>
      </c>
      <c r="N189" s="499">
        <v>33.667902437499997</v>
      </c>
      <c r="O189" s="499">
        <v>5.3065791324999996</v>
      </c>
      <c r="P189" s="499">
        <v>5.1492796749999998</v>
      </c>
      <c r="Q189" s="499">
        <v>4.9536202700000009</v>
      </c>
      <c r="R189" s="499">
        <v>813.15889141750006</v>
      </c>
      <c r="S189" s="499">
        <v>2.5668651474999997</v>
      </c>
      <c r="T189" s="499">
        <v>194.88225</v>
      </c>
    </row>
    <row r="190" spans="1:20" x14ac:dyDescent="0.2">
      <c r="A190" s="499" t="s">
        <v>307</v>
      </c>
      <c r="B190" s="499" t="s">
        <v>308</v>
      </c>
      <c r="D190" s="300">
        <f t="shared" si="10"/>
        <v>0</v>
      </c>
      <c r="E190" s="499">
        <v>0</v>
      </c>
      <c r="F190" s="499">
        <v>0</v>
      </c>
      <c r="L190" s="499">
        <v>1939.0292762900001</v>
      </c>
      <c r="M190" s="499">
        <f t="shared" si="11"/>
        <v>348.37824102000008</v>
      </c>
      <c r="N190" s="499">
        <v>197.44055154000006</v>
      </c>
      <c r="O190" s="499">
        <v>150.93768948000002</v>
      </c>
      <c r="P190" s="499">
        <v>1569.7845453799998</v>
      </c>
      <c r="R190" s="499">
        <v>39713.844405159994</v>
      </c>
      <c r="S190" s="499">
        <v>214.88999939000001</v>
      </c>
      <c r="T190" s="499">
        <v>26497.889000000003</v>
      </c>
    </row>
    <row r="191" spans="1:20" x14ac:dyDescent="0.2">
      <c r="A191" s="499" t="s">
        <v>183</v>
      </c>
      <c r="B191" s="499" t="s">
        <v>184</v>
      </c>
      <c r="C191" s="499">
        <v>30396.37356493</v>
      </c>
      <c r="D191" s="300">
        <f t="shared" si="10"/>
        <v>17001.631285869997</v>
      </c>
      <c r="E191" s="499">
        <v>16429.121449929997</v>
      </c>
      <c r="F191" s="499">
        <v>572.5098359399999</v>
      </c>
      <c r="G191" s="499">
        <v>2348.0191628799998</v>
      </c>
      <c r="I191" s="499">
        <v>368288.19478196005</v>
      </c>
      <c r="J191" s="499">
        <v>13.23392677</v>
      </c>
      <c r="K191" s="499">
        <v>57792.517999999996</v>
      </c>
      <c r="L191" s="499">
        <v>27188.767069205001</v>
      </c>
      <c r="M191" s="499">
        <f t="shared" si="11"/>
        <v>15176.767018769999</v>
      </c>
      <c r="N191" s="499">
        <v>14620.931222577499</v>
      </c>
      <c r="O191" s="499">
        <v>555.83579619250008</v>
      </c>
      <c r="P191" s="499">
        <v>2102.9793582000002</v>
      </c>
      <c r="R191" s="499">
        <v>332828.18171765498</v>
      </c>
      <c r="S191" s="499">
        <v>13.506567477499999</v>
      </c>
      <c r="T191" s="499">
        <v>56599.071750000003</v>
      </c>
    </row>
    <row r="192" spans="1:20" x14ac:dyDescent="0.2">
      <c r="A192" s="499" t="s">
        <v>185</v>
      </c>
      <c r="B192" s="499" t="s">
        <v>186</v>
      </c>
      <c r="C192" s="499">
        <v>1318.5873384200002</v>
      </c>
      <c r="D192" s="300">
        <f t="shared" si="10"/>
        <v>1102.92827616</v>
      </c>
      <c r="E192" s="499">
        <v>515.35268758000007</v>
      </c>
      <c r="F192" s="499">
        <v>587.57558857999993</v>
      </c>
      <c r="G192" s="499">
        <v>131.63455514000003</v>
      </c>
      <c r="I192" s="499">
        <v>26719.943886939996</v>
      </c>
      <c r="J192" s="499">
        <v>10.458143220000002</v>
      </c>
      <c r="K192" s="499">
        <v>17351.708000000002</v>
      </c>
      <c r="L192" s="499">
        <v>1084.3089767050001</v>
      </c>
      <c r="M192" s="499">
        <f t="shared" si="11"/>
        <v>891.66799446250002</v>
      </c>
      <c r="N192" s="499">
        <v>444.49737706750005</v>
      </c>
      <c r="O192" s="499">
        <v>447.17061739499997</v>
      </c>
      <c r="P192" s="499">
        <v>124.56072321000001</v>
      </c>
      <c r="Q192" s="499">
        <v>0.597477645</v>
      </c>
      <c r="R192" s="499">
        <v>23700.746966699997</v>
      </c>
      <c r="S192" s="499">
        <v>9.7287782150000019</v>
      </c>
      <c r="T192" s="499">
        <v>16612.031500000001</v>
      </c>
    </row>
    <row r="193" spans="1:20" x14ac:dyDescent="0.2">
      <c r="A193" s="499" t="s">
        <v>187</v>
      </c>
      <c r="B193" s="499" t="s">
        <v>188</v>
      </c>
      <c r="C193" s="499">
        <v>2026.0571736500001</v>
      </c>
      <c r="D193" s="300">
        <f t="shared" si="10"/>
        <v>972.15011854000011</v>
      </c>
      <c r="E193" s="499">
        <v>566.71174885000005</v>
      </c>
      <c r="F193" s="499">
        <v>405.43836969000006</v>
      </c>
      <c r="G193" s="499">
        <v>493.48292921000001</v>
      </c>
      <c r="I193" s="499">
        <v>42795</v>
      </c>
      <c r="J193" s="499">
        <v>1</v>
      </c>
      <c r="K193" s="499">
        <v>14438.802</v>
      </c>
      <c r="L193" s="499">
        <v>1677.4845508050003</v>
      </c>
      <c r="M193" s="499">
        <f t="shared" si="11"/>
        <v>813.6208275875</v>
      </c>
      <c r="N193" s="499">
        <v>427.585034995</v>
      </c>
      <c r="O193" s="499">
        <v>386.0357925925</v>
      </c>
      <c r="P193" s="499">
        <v>405.05669190000009</v>
      </c>
      <c r="Q193" s="499">
        <v>1.9585319899999996</v>
      </c>
      <c r="R193" s="499">
        <v>27750.5</v>
      </c>
      <c r="S193" s="499">
        <v>1</v>
      </c>
      <c r="T193" s="499">
        <v>14130.089250000001</v>
      </c>
    </row>
  </sheetData>
  <sortState xmlns:xlrd2="http://schemas.microsoft.com/office/spreadsheetml/2017/richdata2" ref="A4:T193">
    <sortCondition ref="A4:A193"/>
  </sortState>
  <pageMargins left="1.18" right="0.79" top="0.79" bottom="4.72" header="0.39" footer="0.39"/>
  <pageSetup paperSize="9" fitToWidth="0" fitToHeight="0" orientation="portrait"/>
  <headerFooter>
    <oddFooter>&amp;L&amp;K000000&amp;"Arial"&amp;10 Health expenditure series. Geneva: World Health Organization (latest updates and more information on countries are available at: http://apps.who.int/nha/database/DataExplorerRegime.aspx). All the indicators refer to expenditures by f</oddFooter>
  </headerFooter>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A9BE7-2BCD-48CB-AD07-BFA97433D5EE}">
  <sheetPr codeName="Sheet9">
    <tabColor rgb="FFC00000"/>
  </sheetPr>
  <dimension ref="A1:CN200"/>
  <sheetViews>
    <sheetView showGridLines="0" workbookViewId="0"/>
  </sheetViews>
  <sheetFormatPr defaultRowHeight="12.75" x14ac:dyDescent="0.2"/>
  <cols>
    <col min="1" max="1" width="4.28515625" customWidth="1"/>
    <col min="2" max="2" width="2.85546875" style="528" customWidth="1"/>
    <col min="3" max="3" width="59.7109375" style="9" customWidth="1"/>
    <col min="4" max="4" width="17.28515625" style="15" customWidth="1"/>
    <col min="5" max="5" width="18.28515625" customWidth="1"/>
    <col min="6" max="6" width="18.28515625" style="194" customWidth="1"/>
    <col min="7" max="7" width="6.85546875" style="194" customWidth="1"/>
    <col min="8" max="8" width="18.28515625" style="194" hidden="1" customWidth="1"/>
    <col min="9" max="9" width="18.28515625" style="14" customWidth="1"/>
    <col min="10" max="10" width="59.140625" customWidth="1"/>
    <col min="11" max="11" width="50.140625" customWidth="1"/>
    <col min="12" max="12" width="3.28515625" style="241" hidden="1" customWidth="1"/>
    <col min="13" max="13" width="10" style="277" customWidth="1"/>
    <col min="14" max="14" width="10" customWidth="1"/>
    <col min="15" max="15" width="2.85546875" style="403" hidden="1" customWidth="1"/>
    <col min="16" max="80" width="2.28515625" style="403" hidden="1" customWidth="1"/>
    <col min="81" max="81" width="2.28515625" style="650" hidden="1" customWidth="1"/>
    <col min="82" max="91" width="2.28515625" style="403" hidden="1" customWidth="1"/>
    <col min="92" max="92" width="2.28515625" style="564" hidden="1" customWidth="1"/>
  </cols>
  <sheetData>
    <row r="1" spans="1:92" s="224" customFormat="1" ht="45" customHeight="1" x14ac:dyDescent="0.2">
      <c r="A1" s="586" t="str">
        <f ca="1">IF(OFFSET(P1,0,Lang_Order*Lang__A3)="","",OFFSET(P1,0,Lang_Order*Lang__A3))</f>
        <v>NAVIGATION BAR:</v>
      </c>
      <c r="B1" s="578"/>
      <c r="H1" s="415" t="s">
        <v>3031</v>
      </c>
      <c r="J1" s="396" t="str">
        <f ca="1">IF(COUNTIF(G:G,Lang_CHECK)=0,Lang_LogicPassed,CONCATENATE(Lang_LogicFailed,COUNTIF(G:G,Lang_CHECK)))</f>
        <v>Logic checks failed - Errors = 20</v>
      </c>
      <c r="L1" s="415" t="s">
        <v>3031</v>
      </c>
      <c r="M1" s="488"/>
      <c r="N1" s="488"/>
      <c r="O1" s="403">
        <v>11</v>
      </c>
      <c r="P1" s="403" t="s">
        <v>2910</v>
      </c>
      <c r="Q1" s="403"/>
      <c r="R1" s="403"/>
      <c r="S1" s="403"/>
      <c r="T1" s="403"/>
      <c r="U1" s="403"/>
      <c r="V1" s="403"/>
      <c r="W1" s="403"/>
      <c r="X1" s="403"/>
      <c r="Y1" s="403"/>
      <c r="Z1" s="403"/>
      <c r="AA1" s="403" t="s">
        <v>4634</v>
      </c>
      <c r="AB1" s="403"/>
      <c r="AC1" s="403"/>
      <c r="AD1" s="403"/>
      <c r="AE1" s="403"/>
      <c r="AF1" s="403"/>
      <c r="AG1" s="403"/>
      <c r="AH1" s="403"/>
      <c r="AI1" s="403"/>
      <c r="AJ1" s="403"/>
      <c r="AK1" s="403"/>
      <c r="AL1" s="403" t="s">
        <v>4635</v>
      </c>
      <c r="AM1" s="403"/>
      <c r="AN1" s="403"/>
      <c r="AO1" s="403"/>
      <c r="AP1" s="403"/>
      <c r="AQ1" s="403"/>
      <c r="AR1" s="403"/>
      <c r="AS1" s="403"/>
      <c r="AT1" s="403"/>
      <c r="AU1" s="403"/>
      <c r="AV1" s="403"/>
      <c r="AW1" s="403" t="s">
        <v>4636</v>
      </c>
      <c r="AX1" s="403"/>
      <c r="AY1" s="403"/>
      <c r="AZ1" s="403"/>
      <c r="BA1" s="403"/>
      <c r="BB1" s="403"/>
      <c r="BC1" s="403"/>
      <c r="BD1" s="403"/>
      <c r="BE1" s="403"/>
      <c r="BF1" s="403"/>
      <c r="BG1" s="403"/>
      <c r="BH1" s="403" t="s">
        <v>4637</v>
      </c>
      <c r="BI1" s="403"/>
      <c r="BJ1" s="403"/>
      <c r="BK1" s="403"/>
      <c r="BL1" s="403"/>
      <c r="BM1" s="403"/>
      <c r="BN1" s="403"/>
      <c r="BO1" s="403"/>
      <c r="BP1" s="403"/>
      <c r="BQ1" s="403"/>
      <c r="BR1" s="403"/>
      <c r="BS1" s="403" t="s">
        <v>4638</v>
      </c>
      <c r="BT1" s="403"/>
      <c r="BU1" s="403"/>
      <c r="BV1" s="403"/>
      <c r="BW1" s="403"/>
      <c r="BX1" s="403"/>
      <c r="BY1" s="403"/>
      <c r="BZ1" s="403"/>
      <c r="CA1" s="403"/>
      <c r="CB1" s="403"/>
      <c r="CC1" s="650"/>
      <c r="CD1" s="403" t="s">
        <v>4639</v>
      </c>
      <c r="CE1" s="403"/>
      <c r="CF1" s="403"/>
      <c r="CG1" s="403"/>
      <c r="CH1" s="403"/>
      <c r="CI1" s="403"/>
      <c r="CJ1" s="403"/>
      <c r="CK1" s="403"/>
      <c r="CL1" s="403"/>
      <c r="CM1" s="403"/>
      <c r="CN1" s="564"/>
    </row>
    <row r="2" spans="1:92" s="299" customFormat="1" ht="99.95" customHeight="1" x14ac:dyDescent="0.2">
      <c r="B2" s="528"/>
      <c r="O2" s="403"/>
      <c r="P2" s="403"/>
      <c r="Q2" s="403"/>
      <c r="R2" s="403"/>
      <c r="S2" s="403"/>
      <c r="T2" s="403"/>
      <c r="U2" s="403"/>
      <c r="V2" s="403"/>
      <c r="W2" s="403"/>
      <c r="X2" s="403"/>
      <c r="Y2" s="403"/>
      <c r="Z2" s="403"/>
      <c r="AA2" s="403"/>
      <c r="AB2" s="403"/>
      <c r="AC2" s="403"/>
      <c r="AD2" s="403"/>
      <c r="AE2" s="403"/>
      <c r="AF2" s="403"/>
      <c r="AG2" s="403"/>
      <c r="AH2" s="403"/>
      <c r="AI2" s="403"/>
      <c r="AJ2" s="403"/>
      <c r="AK2" s="403"/>
      <c r="AL2" s="403"/>
      <c r="AM2" s="403"/>
      <c r="AN2" s="403"/>
      <c r="AO2" s="403"/>
      <c r="AP2" s="403"/>
      <c r="AQ2" s="403"/>
      <c r="AR2" s="403"/>
      <c r="AS2" s="403"/>
      <c r="AT2" s="403"/>
      <c r="AU2" s="403"/>
      <c r="AV2" s="403"/>
      <c r="AW2" s="403"/>
      <c r="AX2" s="403"/>
      <c r="AY2" s="403"/>
      <c r="AZ2" s="403"/>
      <c r="BA2" s="403"/>
      <c r="BB2" s="403"/>
      <c r="BC2" s="403"/>
      <c r="BD2" s="403"/>
      <c r="BE2" s="403"/>
      <c r="BF2" s="403"/>
      <c r="BG2" s="403"/>
      <c r="BH2" s="403"/>
      <c r="BI2" s="403"/>
      <c r="BJ2" s="403"/>
      <c r="BK2" s="403"/>
      <c r="BL2" s="403"/>
      <c r="BM2" s="403"/>
      <c r="BN2" s="403"/>
      <c r="BO2" s="403"/>
      <c r="BP2" s="403"/>
      <c r="BQ2" s="403"/>
      <c r="BR2" s="403"/>
      <c r="BS2" s="403"/>
      <c r="BT2" s="403"/>
      <c r="BU2" s="403"/>
      <c r="BV2" s="403"/>
      <c r="BW2" s="403"/>
      <c r="BX2" s="403"/>
      <c r="BY2" s="403"/>
      <c r="BZ2" s="403"/>
      <c r="CA2" s="403"/>
      <c r="CB2" s="403"/>
      <c r="CC2" s="650"/>
      <c r="CD2" s="403"/>
      <c r="CE2" s="403"/>
      <c r="CF2" s="403"/>
      <c r="CG2" s="403"/>
      <c r="CH2" s="403"/>
      <c r="CI2" s="403"/>
      <c r="CJ2" s="403"/>
      <c r="CK2" s="403"/>
      <c r="CL2" s="403"/>
      <c r="CM2" s="403"/>
      <c r="CN2" s="564"/>
    </row>
    <row r="3" spans="1:92" s="27" customFormat="1" ht="19.5" x14ac:dyDescent="0.3">
      <c r="A3" s="27" t="str">
        <f ca="1">IF(OFFSET(P3,0,Lang_Order*Lang__A3)="","",OFFSET(P3,0,Lang_Order*Lang__A3))</f>
        <v>A3. Unit costs</v>
      </c>
      <c r="B3" s="579"/>
      <c r="C3" s="156"/>
      <c r="H3" s="28"/>
      <c r="I3" s="28" t="str">
        <f ca="1">IF(OFFSET(X3,0,Lang_Order*Lang__A3)="","",OFFSET(X3,0,Lang_Order*Lang__A3))</f>
        <v xml:space="preserve">Local Currency Unit (LCU) selected for unit costs = </v>
      </c>
      <c r="J3" s="237" t="e">
        <f>CONCATENATE(LCU," - ",LCU_Name)</f>
        <v>#N/A</v>
      </c>
      <c r="O3" s="403"/>
      <c r="P3" s="403" t="s">
        <v>2948</v>
      </c>
      <c r="Q3" s="403"/>
      <c r="R3" s="403"/>
      <c r="S3" s="403"/>
      <c r="T3" s="403"/>
      <c r="U3" s="403"/>
      <c r="V3" s="403"/>
      <c r="W3" s="403"/>
      <c r="X3" s="403" t="s">
        <v>4143</v>
      </c>
      <c r="Y3" s="403"/>
      <c r="Z3" s="403"/>
      <c r="AA3" s="403" t="s">
        <v>7872</v>
      </c>
      <c r="AB3" s="403"/>
      <c r="AC3" s="403"/>
      <c r="AD3" s="403"/>
      <c r="AE3" s="403"/>
      <c r="AF3" s="403"/>
      <c r="AG3" s="403"/>
      <c r="AH3" s="403"/>
      <c r="AI3" s="403" t="s">
        <v>7873</v>
      </c>
      <c r="AJ3" s="403"/>
      <c r="AK3" s="403"/>
      <c r="AL3" s="403" t="s">
        <v>7874</v>
      </c>
      <c r="AM3" s="403"/>
      <c r="AN3" s="403"/>
      <c r="AO3" s="403"/>
      <c r="AP3" s="403"/>
      <c r="AQ3" s="403"/>
      <c r="AR3" s="403"/>
      <c r="AS3" s="403"/>
      <c r="AT3" s="403" t="s">
        <v>7875</v>
      </c>
      <c r="AU3" s="403"/>
      <c r="AV3" s="403"/>
      <c r="AW3" s="403" t="s">
        <v>7876</v>
      </c>
      <c r="AX3" s="403"/>
      <c r="AY3" s="403"/>
      <c r="AZ3" s="403"/>
      <c r="BA3" s="403"/>
      <c r="BB3" s="403"/>
      <c r="BC3" s="403"/>
      <c r="BD3" s="403"/>
      <c r="BE3" s="403" t="s">
        <v>7877</v>
      </c>
      <c r="BF3" s="403"/>
      <c r="BG3" s="403"/>
      <c r="BH3" s="403" t="s">
        <v>7878</v>
      </c>
      <c r="BI3" s="403"/>
      <c r="BJ3" s="403"/>
      <c r="BK3" s="403"/>
      <c r="BL3" s="403"/>
      <c r="BM3" s="403"/>
      <c r="BN3" s="403"/>
      <c r="BO3" s="403"/>
      <c r="BP3" s="403" t="s">
        <v>7879</v>
      </c>
      <c r="BQ3" s="403"/>
      <c r="BR3" s="403"/>
      <c r="BS3" s="403" t="s">
        <v>7880</v>
      </c>
      <c r="BT3" s="403"/>
      <c r="BU3" s="403"/>
      <c r="BV3" s="403"/>
      <c r="BW3" s="403"/>
      <c r="BX3" s="403"/>
      <c r="BY3" s="403"/>
      <c r="BZ3" s="403"/>
      <c r="CA3" s="403" t="s">
        <v>7881</v>
      </c>
      <c r="CB3" s="403"/>
      <c r="CC3" s="650"/>
      <c r="CD3" s="403" t="s">
        <v>7882</v>
      </c>
      <c r="CE3" s="403"/>
      <c r="CF3" s="403"/>
      <c r="CG3" s="403"/>
      <c r="CH3" s="403"/>
      <c r="CI3" s="403"/>
      <c r="CJ3" s="403"/>
      <c r="CK3" s="403"/>
      <c r="CL3" s="403" t="s">
        <v>7883</v>
      </c>
      <c r="CM3" s="403"/>
      <c r="CN3" s="564"/>
    </row>
    <row r="4" spans="1:92" s="299" customFormat="1" ht="81.75" customHeight="1" x14ac:dyDescent="0.2">
      <c r="B4" s="528"/>
      <c r="C4" s="679" t="str">
        <f ca="1">IF(OFFSET(R4,0,Lang_Order*Lang__A3)="","",OFFSET(R4,0,Lang_Order*Lang__A3))</f>
        <v>General Instructions:: Please use this section to input country-specific unit costs. Unit costs can be inputed as LCUs (in the currency selected in A1.1) [Column E] or in USD [Column F]. Column F takes precedence if values are inputed in both currencies. Some names [Column C] for items can also be edited by the end-user to allow for more customization.
For many items, default prices can be used. Default prices may be updated by the costing team from time to time - to do so, under the menu "Data", click "Refresh All".</v>
      </c>
      <c r="D4" s="679"/>
      <c r="E4" s="679"/>
      <c r="F4" s="679"/>
      <c r="G4" s="679"/>
      <c r="H4" s="679"/>
      <c r="I4" s="679"/>
      <c r="O4" s="403"/>
      <c r="P4" s="403"/>
      <c r="Q4" s="403"/>
      <c r="R4" s="403" t="s">
        <v>4130</v>
      </c>
      <c r="S4" s="403"/>
      <c r="T4" s="403"/>
      <c r="U4" s="403"/>
      <c r="V4" s="403"/>
      <c r="W4" s="403"/>
      <c r="X4" s="403"/>
      <c r="Y4" s="403"/>
      <c r="Z4" s="403"/>
      <c r="AA4" s="403"/>
      <c r="AB4" s="403"/>
      <c r="AC4" s="403" t="s">
        <v>7884</v>
      </c>
      <c r="AD4" s="403"/>
      <c r="AE4" s="403"/>
      <c r="AF4" s="403"/>
      <c r="AG4" s="403"/>
      <c r="AH4" s="403"/>
      <c r="AI4" s="403"/>
      <c r="AJ4" s="403"/>
      <c r="AK4" s="403"/>
      <c r="AL4" s="403"/>
      <c r="AM4" s="403"/>
      <c r="AN4" s="403" t="s">
        <v>7885</v>
      </c>
      <c r="AO4" s="403"/>
      <c r="AP4" s="403"/>
      <c r="AQ4" s="403"/>
      <c r="AR4" s="403"/>
      <c r="AS4" s="403"/>
      <c r="AT4" s="403"/>
      <c r="AU4" s="403"/>
      <c r="AV4" s="403"/>
      <c r="AW4" s="403"/>
      <c r="AX4" s="403"/>
      <c r="AY4" s="403" t="s">
        <v>7886</v>
      </c>
      <c r="AZ4" s="403"/>
      <c r="BA4" s="403"/>
      <c r="BB4" s="403"/>
      <c r="BC4" s="403"/>
      <c r="BD4" s="403"/>
      <c r="BE4" s="403"/>
      <c r="BF4" s="403"/>
      <c r="BG4" s="403"/>
      <c r="BH4" s="403"/>
      <c r="BI4" s="403"/>
      <c r="BJ4" s="403" t="s">
        <v>7887</v>
      </c>
      <c r="BK4" s="403"/>
      <c r="BL4" s="403"/>
      <c r="BM4" s="403"/>
      <c r="BN4" s="403"/>
      <c r="BO4" s="403"/>
      <c r="BP4" s="403"/>
      <c r="BQ4" s="403"/>
      <c r="BR4" s="403"/>
      <c r="BS4" s="403"/>
      <c r="BT4" s="403"/>
      <c r="BU4" s="403" t="s">
        <v>7888</v>
      </c>
      <c r="BV4" s="403"/>
      <c r="BW4" s="403"/>
      <c r="BX4" s="403"/>
      <c r="BY4" s="403"/>
      <c r="BZ4" s="403"/>
      <c r="CA4" s="403"/>
      <c r="CB4" s="403"/>
      <c r="CC4" s="650"/>
      <c r="CD4" s="403"/>
      <c r="CE4" s="403"/>
      <c r="CF4" s="403" t="s">
        <v>7889</v>
      </c>
      <c r="CG4" s="403"/>
      <c r="CH4" s="403"/>
      <c r="CI4" s="403"/>
      <c r="CJ4" s="403"/>
      <c r="CK4" s="403"/>
      <c r="CL4" s="403"/>
      <c r="CM4" s="403"/>
      <c r="CN4" s="564"/>
    </row>
    <row r="5" spans="1:92" s="15" customFormat="1" x14ac:dyDescent="0.2">
      <c r="B5" s="528"/>
      <c r="C5" s="9"/>
      <c r="E5" s="689" t="str">
        <f ca="1">IF(OFFSET(T5,0,Lang_Order*Lang__A3)="","",OFFSET(T5,0,Lang_Order*Lang__A3))</f>
        <v>Change the LCU used by clicking here</v>
      </c>
      <c r="F5" s="689"/>
      <c r="G5" s="194"/>
      <c r="H5" s="194"/>
      <c r="I5" s="14"/>
      <c r="J5" s="194"/>
      <c r="L5" s="241"/>
      <c r="M5" s="277"/>
      <c r="O5" s="403"/>
      <c r="P5" s="403"/>
      <c r="Q5" s="403"/>
      <c r="R5" s="403"/>
      <c r="S5" s="403"/>
      <c r="T5" s="403" t="s">
        <v>2963</v>
      </c>
      <c r="U5" s="403"/>
      <c r="V5" s="403"/>
      <c r="W5" s="403"/>
      <c r="X5" s="403"/>
      <c r="Y5" s="403"/>
      <c r="Z5" s="403"/>
      <c r="AA5" s="403"/>
      <c r="AB5" s="403"/>
      <c r="AC5" s="403"/>
      <c r="AD5" s="403"/>
      <c r="AE5" s="403" t="s">
        <v>7890</v>
      </c>
      <c r="AF5" s="403"/>
      <c r="AG5" s="403"/>
      <c r="AH5" s="403"/>
      <c r="AI5" s="403"/>
      <c r="AJ5" s="403"/>
      <c r="AK5" s="403"/>
      <c r="AL5" s="403"/>
      <c r="AM5" s="403"/>
      <c r="AN5" s="403"/>
      <c r="AO5" s="403"/>
      <c r="AP5" s="403" t="s">
        <v>7891</v>
      </c>
      <c r="AQ5" s="403"/>
      <c r="AR5" s="403"/>
      <c r="AS5" s="403"/>
      <c r="AT5" s="403"/>
      <c r="AU5" s="403"/>
      <c r="AV5" s="403"/>
      <c r="AW5" s="403"/>
      <c r="AX5" s="403"/>
      <c r="AY5" s="403"/>
      <c r="AZ5" s="403"/>
      <c r="BA5" s="403" t="s">
        <v>7892</v>
      </c>
      <c r="BB5" s="403"/>
      <c r="BC5" s="403"/>
      <c r="BD5" s="403"/>
      <c r="BE5" s="403"/>
      <c r="BF5" s="403"/>
      <c r="BG5" s="403"/>
      <c r="BH5" s="403"/>
      <c r="BI5" s="403"/>
      <c r="BJ5" s="403"/>
      <c r="BK5" s="403"/>
      <c r="BL5" s="403" t="s">
        <v>7893</v>
      </c>
      <c r="BM5" s="403"/>
      <c r="BN5" s="403"/>
      <c r="BO5" s="403"/>
      <c r="BP5" s="403"/>
      <c r="BQ5" s="403"/>
      <c r="BR5" s="403"/>
      <c r="BS5" s="403"/>
      <c r="BT5" s="403"/>
      <c r="BU5" s="403"/>
      <c r="BV5" s="403"/>
      <c r="BW5" s="403" t="s">
        <v>7894</v>
      </c>
      <c r="BX5" s="403"/>
      <c r="BY5" s="403"/>
      <c r="BZ5" s="403"/>
      <c r="CA5" s="403"/>
      <c r="CB5" s="403"/>
      <c r="CC5" s="650"/>
      <c r="CD5" s="403"/>
      <c r="CE5" s="403"/>
      <c r="CF5" s="403"/>
      <c r="CG5" s="403"/>
      <c r="CH5" s="403" t="s">
        <v>7895</v>
      </c>
      <c r="CI5" s="403"/>
      <c r="CJ5" s="403"/>
      <c r="CK5" s="403"/>
      <c r="CL5" s="403"/>
      <c r="CM5" s="403"/>
      <c r="CN5" s="564"/>
    </row>
    <row r="6" spans="1:92" s="8" customFormat="1" ht="15" x14ac:dyDescent="0.25">
      <c r="A6" s="8" t="str">
        <f ca="1">IF(OFFSET(P6,0,Lang_Order*Lang__A3)="","",OFFSET(P6,0,Lang_Order*Lang__A3))</f>
        <v>A3.1 Human Resources for Health</v>
      </c>
      <c r="B6" s="285"/>
      <c r="C6" s="58"/>
      <c r="E6" s="217" t="str">
        <f>CONCATENATE(Lang_LCU,": ",LCU)</f>
        <v xml:space="preserve">LCU: </v>
      </c>
      <c r="F6" s="610" t="str">
        <f ca="1">IF(OFFSET(U6,0,Lang_Order*Lang__A3)="","",OFFSET(U6,0,Lang_Order*Lang__A3))</f>
        <v>Override in USD</v>
      </c>
      <c r="G6" s="217"/>
      <c r="H6" s="234"/>
      <c r="I6" s="219" t="s">
        <v>26</v>
      </c>
      <c r="J6" s="8" t="str">
        <f ca="1">IF(OFFSET(Y6,0,Lang_Order*Lang__A3)="","",OFFSET(Y6,0,Lang_Order*Lang__A3))</f>
        <v>Comments</v>
      </c>
      <c r="K6" s="8" t="str">
        <f ca="1">IF(OFFSET(Z6,0,Lang_Order*Lang__A3)="","",OFFSET(Z6,0,Lang_Order*Lang__A3))</f>
        <v>User Notes</v>
      </c>
      <c r="M6" s="311"/>
      <c r="O6" s="403"/>
      <c r="P6" s="403" t="s">
        <v>2949</v>
      </c>
      <c r="Q6" s="403"/>
      <c r="R6" s="403"/>
      <c r="S6" s="403"/>
      <c r="T6" s="403"/>
      <c r="U6" s="403" t="s">
        <v>2977</v>
      </c>
      <c r="V6" s="403"/>
      <c r="W6" s="403" t="s">
        <v>2635</v>
      </c>
      <c r="X6" s="403"/>
      <c r="Y6" s="403" t="s">
        <v>13980</v>
      </c>
      <c r="Z6" s="403" t="s">
        <v>13981</v>
      </c>
      <c r="AA6" s="403" t="s">
        <v>7896</v>
      </c>
      <c r="AB6" s="403"/>
      <c r="AC6" s="403"/>
      <c r="AD6" s="403"/>
      <c r="AE6" s="403"/>
      <c r="AF6" s="403" t="s">
        <v>7897</v>
      </c>
      <c r="AG6" s="403"/>
      <c r="AH6" s="403" t="s">
        <v>7898</v>
      </c>
      <c r="AI6" s="403"/>
      <c r="AJ6" s="403" t="s">
        <v>14071</v>
      </c>
      <c r="AK6" s="403" t="s">
        <v>14076</v>
      </c>
      <c r="AL6" s="403" t="s">
        <v>7899</v>
      </c>
      <c r="AM6" s="403"/>
      <c r="AN6" s="403"/>
      <c r="AO6" s="403"/>
      <c r="AP6" s="403"/>
      <c r="AQ6" s="403" t="s">
        <v>7900</v>
      </c>
      <c r="AR6" s="403"/>
      <c r="AS6" s="403" t="s">
        <v>7901</v>
      </c>
      <c r="AT6" s="403"/>
      <c r="AU6" s="403" t="s">
        <v>14072</v>
      </c>
      <c r="AV6" s="403" t="s">
        <v>14077</v>
      </c>
      <c r="AW6" s="403" t="s">
        <v>7902</v>
      </c>
      <c r="AX6" s="403"/>
      <c r="AY6" s="403"/>
      <c r="AZ6" s="403"/>
      <c r="BA6" s="403"/>
      <c r="BB6" s="403" t="s">
        <v>7903</v>
      </c>
      <c r="BC6" s="403"/>
      <c r="BD6" s="403" t="s">
        <v>7904</v>
      </c>
      <c r="BE6" s="403"/>
      <c r="BF6" s="403" t="s">
        <v>14073</v>
      </c>
      <c r="BG6" s="403" t="s">
        <v>14078</v>
      </c>
      <c r="BH6" s="403" t="s">
        <v>7905</v>
      </c>
      <c r="BI6" s="403"/>
      <c r="BJ6" s="403"/>
      <c r="BK6" s="403"/>
      <c r="BL6" s="403"/>
      <c r="BM6" s="403" t="s">
        <v>7906</v>
      </c>
      <c r="BN6" s="403"/>
      <c r="BO6" s="403" t="s">
        <v>7904</v>
      </c>
      <c r="BP6" s="403"/>
      <c r="BQ6" s="403" t="s">
        <v>14074</v>
      </c>
      <c r="BR6" s="403" t="s">
        <v>14079</v>
      </c>
      <c r="BS6" s="403" t="s">
        <v>7907</v>
      </c>
      <c r="BT6" s="403"/>
      <c r="BU6" s="403"/>
      <c r="BV6" s="403"/>
      <c r="BW6" s="403"/>
      <c r="BX6" s="403" t="s">
        <v>7908</v>
      </c>
      <c r="BY6" s="403"/>
      <c r="BZ6" s="403" t="s">
        <v>7909</v>
      </c>
      <c r="CA6" s="403"/>
      <c r="CB6" s="403" t="s">
        <v>14075</v>
      </c>
      <c r="CC6" s="650" t="s">
        <v>14080</v>
      </c>
      <c r="CD6" s="403" t="s">
        <v>7910</v>
      </c>
      <c r="CE6" s="403"/>
      <c r="CF6" s="403"/>
      <c r="CG6" s="403"/>
      <c r="CH6" s="403"/>
      <c r="CI6" s="403" t="s">
        <v>7911</v>
      </c>
      <c r="CJ6" s="403"/>
      <c r="CK6" s="403" t="s">
        <v>7912</v>
      </c>
      <c r="CL6" s="403"/>
      <c r="CM6" s="403" t="s">
        <v>5455</v>
      </c>
      <c r="CN6" s="564" t="s">
        <v>14081</v>
      </c>
    </row>
    <row r="7" spans="1:92" s="299" customFormat="1" ht="81.75" customHeight="1" x14ac:dyDescent="0.25">
      <c r="B7" s="580"/>
      <c r="C7" s="679" t="str">
        <f ca="1">IF(OFFSET(R7,0,Lang_Order*Lang__A3)="","",OFFSET(R7,0,Lang_Order*Lang__A3))</f>
        <v>Instructions: Vaccinator compensation is a large cost driver - please complete this section carefully.
 Supplementary wages (such as per diems) can be computed either as a daily rate.
 In some contexts, it may be desireable to consider regular salaries for vaccinators - for example, if vaccinators are newly recruited and inducted into the health workforce. If this is not desired, please input 0 under the salary. Leaving this blank will result in a default value being used.</v>
      </c>
      <c r="D7" s="679"/>
      <c r="E7" s="679"/>
      <c r="F7" s="679"/>
      <c r="G7" s="679"/>
      <c r="H7" s="679"/>
      <c r="I7" s="679"/>
      <c r="J7" s="85" t="s">
        <v>2642</v>
      </c>
      <c r="M7" s="389" t="s">
        <v>26</v>
      </c>
      <c r="N7" s="30"/>
      <c r="O7" s="403"/>
      <c r="P7" s="403"/>
      <c r="Q7" s="403"/>
      <c r="R7" s="403" t="s">
        <v>13710</v>
      </c>
      <c r="S7" s="403"/>
      <c r="T7" s="403"/>
      <c r="U7" s="403"/>
      <c r="V7" s="403"/>
      <c r="W7" s="403"/>
      <c r="X7" s="403"/>
      <c r="Y7" s="403"/>
      <c r="Z7" s="403"/>
      <c r="AA7" s="403"/>
      <c r="AB7" s="403"/>
      <c r="AC7" s="403" t="s">
        <v>13711</v>
      </c>
      <c r="AD7" s="403"/>
      <c r="AE7" s="403"/>
      <c r="AF7" s="403"/>
      <c r="AG7" s="403"/>
      <c r="AH7" s="403"/>
      <c r="AI7" s="403"/>
      <c r="AJ7" s="403"/>
      <c r="AK7" s="403"/>
      <c r="AL7" s="403"/>
      <c r="AM7" s="403"/>
      <c r="AN7" s="403" t="s">
        <v>13712</v>
      </c>
      <c r="AO7" s="403"/>
      <c r="AP7" s="403"/>
      <c r="AQ7" s="403"/>
      <c r="AR7" s="403"/>
      <c r="AS7" s="403"/>
      <c r="AT7" s="403"/>
      <c r="AU7" s="403"/>
      <c r="AV7" s="403"/>
      <c r="AW7" s="403"/>
      <c r="AX7" s="403"/>
      <c r="AY7" s="403" t="s">
        <v>13713</v>
      </c>
      <c r="AZ7" s="403"/>
      <c r="BA7" s="403"/>
      <c r="BB7" s="403"/>
      <c r="BC7" s="403"/>
      <c r="BD7" s="403"/>
      <c r="BE7" s="403"/>
      <c r="BF7" s="403"/>
      <c r="BG7" s="403"/>
      <c r="BH7" s="403"/>
      <c r="BI7" s="403"/>
      <c r="BJ7" s="403" t="s">
        <v>13714</v>
      </c>
      <c r="BK7" s="403"/>
      <c r="BL7" s="403"/>
      <c r="BM7" s="403"/>
      <c r="BN7" s="403"/>
      <c r="BO7" s="403"/>
      <c r="BP7" s="403"/>
      <c r="BQ7" s="403"/>
      <c r="BR7" s="403"/>
      <c r="BS7" s="403"/>
      <c r="BT7" s="403"/>
      <c r="BU7" s="403"/>
      <c r="BV7" s="403"/>
      <c r="BW7" s="403"/>
      <c r="BX7" s="403"/>
      <c r="BY7" s="403"/>
      <c r="BZ7" s="403"/>
      <c r="CA7" s="403"/>
      <c r="CB7" s="403"/>
      <c r="CC7" s="650"/>
      <c r="CD7" s="403"/>
      <c r="CE7" s="403"/>
      <c r="CF7" s="403" t="s">
        <v>13715</v>
      </c>
      <c r="CG7" s="403"/>
      <c r="CH7" s="403"/>
      <c r="CI7" s="403"/>
      <c r="CJ7" s="403"/>
      <c r="CK7" s="403"/>
      <c r="CL7" s="403"/>
      <c r="CM7" s="403"/>
      <c r="CN7" s="564"/>
    </row>
    <row r="8" spans="1:92" x14ac:dyDescent="0.2">
      <c r="A8" s="9"/>
      <c r="B8" s="569" t="str">
        <f ca="1">IF(OFFSET(Q8,0,Lang_Order*Lang__A3)="","",OFFSET(Q8,0,Lang_Order*Lang__A3))</f>
        <v>Vaccinator Compensation</v>
      </c>
      <c r="D8" s="155"/>
      <c r="E8" s="25"/>
      <c r="F8" s="25"/>
      <c r="G8" s="5"/>
      <c r="H8" s="5"/>
      <c r="I8" s="220"/>
      <c r="J8" s="12" t="str">
        <f t="shared" ref="J8:J15" ca="1" si="0">IF(OFFSET(Y8,0,Lang_Order*Lang__A3)="","",OFFSET(Y8,0,Lang_Order*Lang__A3))</f>
        <v>This is intended to be marginal costs (per diems, hazard pay, etc.) not baseline salary</v>
      </c>
      <c r="K8" s="5"/>
      <c r="L8" s="5"/>
      <c r="Q8" s="403" t="s">
        <v>3163</v>
      </c>
      <c r="Y8" s="403" t="s">
        <v>2904</v>
      </c>
      <c r="AB8" s="403" t="s">
        <v>7913</v>
      </c>
      <c r="AJ8" s="403" t="s">
        <v>7914</v>
      </c>
      <c r="AM8" s="403" t="s">
        <v>7915</v>
      </c>
      <c r="AU8" s="403" t="s">
        <v>7916</v>
      </c>
      <c r="AX8" s="403" t="s">
        <v>7917</v>
      </c>
      <c r="BF8" s="403" t="s">
        <v>7918</v>
      </c>
      <c r="BI8" s="403" t="s">
        <v>7919</v>
      </c>
      <c r="BQ8" s="403" t="s">
        <v>7920</v>
      </c>
      <c r="BT8" s="403" t="s">
        <v>7921</v>
      </c>
      <c r="CB8" s="403" t="s">
        <v>7922</v>
      </c>
      <c r="CE8" s="403" t="s">
        <v>7923</v>
      </c>
      <c r="CM8" s="403" t="s">
        <v>7924</v>
      </c>
    </row>
    <row r="9" spans="1:92" s="15" customFormat="1" x14ac:dyDescent="0.2">
      <c r="A9" s="354">
        <v>1</v>
      </c>
      <c r="B9" s="581"/>
      <c r="C9" s="23" t="str">
        <f t="shared" ref="C9:C16" ca="1" si="1">IF(OFFSET(R9,0,Lang_Order*Lang__A3)="","",OFFSET(R9,0,Lang_Order*Lang__A3))</f>
        <v>Supplementary wages / per diems (Daily Rate)</v>
      </c>
      <c r="D9" s="23"/>
      <c r="E9" s="494"/>
      <c r="F9" s="39"/>
      <c r="G9" s="4" t="str">
        <f>IF(AND(ISBLANK(E9),ISBLANK(F9)),"CHECK","OK")</f>
        <v>CHECK</v>
      </c>
      <c r="H9" s="5"/>
      <c r="I9" s="11" t="e">
        <f>IF(ISBLANK(F9),E9/USD2LCU,F9)</f>
        <v>#N/A</v>
      </c>
      <c r="J9" s="12" t="str">
        <f t="shared" ca="1" si="0"/>
        <v>Zero is allowed</v>
      </c>
      <c r="K9" s="587"/>
      <c r="L9" s="241"/>
      <c r="M9" s="312"/>
      <c r="O9" s="403"/>
      <c r="P9" s="403"/>
      <c r="Q9" s="403"/>
      <c r="R9" s="403" t="s">
        <v>14125</v>
      </c>
      <c r="S9" s="403"/>
      <c r="T9" s="403"/>
      <c r="U9" s="403"/>
      <c r="V9" s="403"/>
      <c r="W9" s="403"/>
      <c r="X9" s="403"/>
      <c r="Y9" s="403" t="s">
        <v>3173</v>
      </c>
      <c r="Z9" s="403"/>
      <c r="AA9" s="403"/>
      <c r="AB9" s="403"/>
      <c r="AC9" s="403" t="s">
        <v>7925</v>
      </c>
      <c r="AD9" s="403"/>
      <c r="AE9" s="403"/>
      <c r="AF9" s="403"/>
      <c r="AG9" s="403"/>
      <c r="AH9" s="403"/>
      <c r="AI9" s="403"/>
      <c r="AJ9" s="403" t="s">
        <v>7926</v>
      </c>
      <c r="AK9" s="403"/>
      <c r="AL9" s="403"/>
      <c r="AM9" s="403"/>
      <c r="AN9" s="403" t="s">
        <v>7927</v>
      </c>
      <c r="AO9" s="403"/>
      <c r="AP9" s="403"/>
      <c r="AQ9" s="403"/>
      <c r="AR9" s="403"/>
      <c r="AS9" s="403"/>
      <c r="AT9" s="403"/>
      <c r="AU9" s="403" t="s">
        <v>7928</v>
      </c>
      <c r="AV9" s="403"/>
      <c r="AW9" s="403"/>
      <c r="AX9" s="403"/>
      <c r="AY9" s="403" t="s">
        <v>7929</v>
      </c>
      <c r="AZ9" s="403"/>
      <c r="BA9" s="403"/>
      <c r="BB9" s="403"/>
      <c r="BC9" s="403"/>
      <c r="BD9" s="403"/>
      <c r="BE9" s="403"/>
      <c r="BF9" s="403" t="s">
        <v>7930</v>
      </c>
      <c r="BG9" s="403"/>
      <c r="BH9" s="403"/>
      <c r="BI9" s="403"/>
      <c r="BJ9" s="403" t="s">
        <v>7931</v>
      </c>
      <c r="BK9" s="403"/>
      <c r="BL9" s="403"/>
      <c r="BM9" s="403"/>
      <c r="BN9" s="403"/>
      <c r="BO9" s="403"/>
      <c r="BP9" s="403"/>
      <c r="BQ9" s="403" t="s">
        <v>7932</v>
      </c>
      <c r="BR9" s="403"/>
      <c r="BS9" s="403"/>
      <c r="BT9" s="403"/>
      <c r="BU9" s="403" t="s">
        <v>7933</v>
      </c>
      <c r="BV9" s="403"/>
      <c r="BW9" s="403"/>
      <c r="BX9" s="403"/>
      <c r="BY9" s="403"/>
      <c r="BZ9" s="403"/>
      <c r="CA9" s="403"/>
      <c r="CB9" s="403" t="s">
        <v>7934</v>
      </c>
      <c r="CC9" s="650"/>
      <c r="CD9" s="403"/>
      <c r="CE9" s="403"/>
      <c r="CF9" s="403" t="s">
        <v>7935</v>
      </c>
      <c r="CG9" s="403"/>
      <c r="CH9" s="403"/>
      <c r="CI9" s="403"/>
      <c r="CJ9" s="403"/>
      <c r="CK9" s="403"/>
      <c r="CL9" s="403"/>
      <c r="CM9" s="403" t="s">
        <v>7936</v>
      </c>
      <c r="CN9" s="564"/>
    </row>
    <row r="10" spans="1:92" s="15" customFormat="1" hidden="1" x14ac:dyDescent="0.2">
      <c r="A10" s="350">
        <v>2</v>
      </c>
      <c r="B10" s="582" t="s">
        <v>14109</v>
      </c>
      <c r="C10" s="23" t="str">
        <f t="shared" ca="1" si="1"/>
        <v>Supplementary Wages (Hourly Rate)</v>
      </c>
      <c r="D10" s="23"/>
      <c r="E10" s="116">
        <v>0</v>
      </c>
      <c r="F10" s="39"/>
      <c r="G10" s="4" t="str">
        <f t="shared" ref="G10" si="2">IF(AND(ISBLANK(E10),ISBLANK(F10)),"CHECK","OK")</f>
        <v>OK</v>
      </c>
      <c r="H10" s="5"/>
      <c r="I10" s="11" t="e">
        <f>IF(ISBLANK(F10),E10/USD2LCU,F10)</f>
        <v>#N/A</v>
      </c>
      <c r="J10" s="12" t="str">
        <f t="shared" ca="1" si="0"/>
        <v>Zero is allowed</v>
      </c>
      <c r="K10" s="587"/>
      <c r="L10" s="241"/>
      <c r="M10" s="277"/>
      <c r="O10" s="403"/>
      <c r="P10" s="403"/>
      <c r="Q10" s="403"/>
      <c r="R10" s="403" t="s">
        <v>1716</v>
      </c>
      <c r="S10" s="403"/>
      <c r="T10" s="403"/>
      <c r="U10" s="403"/>
      <c r="V10" s="403"/>
      <c r="W10" s="403"/>
      <c r="X10" s="403"/>
      <c r="Y10" s="403" t="s">
        <v>3173</v>
      </c>
      <c r="Z10" s="403"/>
      <c r="AA10" s="403"/>
      <c r="AB10" s="403"/>
      <c r="AC10" s="403" t="s">
        <v>7937</v>
      </c>
      <c r="AD10" s="403"/>
      <c r="AE10" s="403"/>
      <c r="AF10" s="403"/>
      <c r="AG10" s="403"/>
      <c r="AH10" s="403"/>
      <c r="AI10" s="403"/>
      <c r="AJ10" s="403" t="s">
        <v>7926</v>
      </c>
      <c r="AK10" s="403"/>
      <c r="AL10" s="403"/>
      <c r="AM10" s="403"/>
      <c r="AN10" s="403" t="s">
        <v>7938</v>
      </c>
      <c r="AO10" s="403"/>
      <c r="AP10" s="403"/>
      <c r="AQ10" s="403"/>
      <c r="AR10" s="403"/>
      <c r="AS10" s="403"/>
      <c r="AT10" s="403"/>
      <c r="AU10" s="403" t="s">
        <v>7928</v>
      </c>
      <c r="AV10" s="403"/>
      <c r="AW10" s="403"/>
      <c r="AX10" s="403"/>
      <c r="AY10" s="403" t="s">
        <v>7939</v>
      </c>
      <c r="AZ10" s="403"/>
      <c r="BA10" s="403"/>
      <c r="BB10" s="403"/>
      <c r="BC10" s="403"/>
      <c r="BD10" s="403"/>
      <c r="BE10" s="403"/>
      <c r="BF10" s="403" t="s">
        <v>7930</v>
      </c>
      <c r="BG10" s="403"/>
      <c r="BH10" s="403"/>
      <c r="BI10" s="403"/>
      <c r="BJ10" s="403" t="s">
        <v>7940</v>
      </c>
      <c r="BK10" s="403"/>
      <c r="BL10" s="403"/>
      <c r="BM10" s="403"/>
      <c r="BN10" s="403"/>
      <c r="BO10" s="403"/>
      <c r="BP10" s="403"/>
      <c r="BQ10" s="403" t="s">
        <v>7932</v>
      </c>
      <c r="BR10" s="403"/>
      <c r="BS10" s="403"/>
      <c r="BT10" s="403"/>
      <c r="BU10" s="403" t="s">
        <v>7941</v>
      </c>
      <c r="BV10" s="403"/>
      <c r="BW10" s="403"/>
      <c r="BX10" s="403"/>
      <c r="BY10" s="403"/>
      <c r="BZ10" s="403"/>
      <c r="CA10" s="403"/>
      <c r="CB10" s="403" t="s">
        <v>7934</v>
      </c>
      <c r="CC10" s="650"/>
      <c r="CD10" s="403"/>
      <c r="CE10" s="403"/>
      <c r="CF10" s="403" t="s">
        <v>7942</v>
      </c>
      <c r="CG10" s="403"/>
      <c r="CH10" s="403"/>
      <c r="CI10" s="403"/>
      <c r="CJ10" s="403"/>
      <c r="CK10" s="403"/>
      <c r="CL10" s="403"/>
      <c r="CM10" s="403" t="s">
        <v>7936</v>
      </c>
      <c r="CN10" s="564"/>
    </row>
    <row r="11" spans="1:92" s="463" customFormat="1" x14ac:dyDescent="0.2">
      <c r="A11" s="350">
        <v>2</v>
      </c>
      <c r="B11" s="581"/>
      <c r="C11" s="31" t="str">
        <f t="shared" ca="1" si="1"/>
        <v>Pay per diems for Delivery Modality 1?</v>
      </c>
      <c r="D11" s="23"/>
      <c r="E11" s="23"/>
      <c r="F11" s="399" t="s">
        <v>2671</v>
      </c>
      <c r="G11" s="4" t="str">
        <f>IF(ISBLANK(F11),Lang_CHECK,"OK")</f>
        <v>OK</v>
      </c>
      <c r="H11" s="5"/>
      <c r="I11" s="147">
        <f>IF(F11=Lang_No,0,1)</f>
        <v>1</v>
      </c>
      <c r="J11" s="12" t="str">
        <f t="shared" ca="1" si="0"/>
        <v>Default is Yes</v>
      </c>
      <c r="K11" s="587"/>
      <c r="M11" s="277"/>
      <c r="O11" s="403"/>
      <c r="P11" s="403"/>
      <c r="Q11" s="403"/>
      <c r="R11" s="403" t="s">
        <v>4352</v>
      </c>
      <c r="S11" s="403"/>
      <c r="T11" s="403"/>
      <c r="U11" s="403"/>
      <c r="V11" s="403"/>
      <c r="W11" s="403"/>
      <c r="X11" s="403"/>
      <c r="Y11" s="403" t="s">
        <v>4356</v>
      </c>
      <c r="Z11" s="403"/>
      <c r="AA11" s="403"/>
      <c r="AB11" s="403"/>
      <c r="AC11" s="403" t="s">
        <v>7943</v>
      </c>
      <c r="AD11" s="403"/>
      <c r="AE11" s="403"/>
      <c r="AF11" s="403"/>
      <c r="AG11" s="403"/>
      <c r="AH11" s="403"/>
      <c r="AI11" s="403"/>
      <c r="AJ11" s="403" t="s">
        <v>7944</v>
      </c>
      <c r="AK11" s="403"/>
      <c r="AL11" s="403"/>
      <c r="AM11" s="403"/>
      <c r="AN11" s="403" t="s">
        <v>7945</v>
      </c>
      <c r="AO11" s="403"/>
      <c r="AP11" s="403"/>
      <c r="AQ11" s="403"/>
      <c r="AR11" s="403"/>
      <c r="AS11" s="403"/>
      <c r="AT11" s="403"/>
      <c r="AU11" s="403" t="s">
        <v>7946</v>
      </c>
      <c r="AV11" s="403"/>
      <c r="AW11" s="403"/>
      <c r="AX11" s="403"/>
      <c r="AY11" s="403" t="s">
        <v>7947</v>
      </c>
      <c r="AZ11" s="403"/>
      <c r="BA11" s="403"/>
      <c r="BB11" s="403"/>
      <c r="BC11" s="403"/>
      <c r="BD11" s="403"/>
      <c r="BE11" s="403"/>
      <c r="BF11" s="403" t="s">
        <v>7948</v>
      </c>
      <c r="BG11" s="403"/>
      <c r="BH11" s="403"/>
      <c r="BI11" s="403"/>
      <c r="BJ11" s="403" t="s">
        <v>7949</v>
      </c>
      <c r="BK11" s="403"/>
      <c r="BL11" s="403"/>
      <c r="BM11" s="403"/>
      <c r="BN11" s="403"/>
      <c r="BO11" s="403"/>
      <c r="BP11" s="403"/>
      <c r="BQ11" s="403" t="s">
        <v>7950</v>
      </c>
      <c r="BR11" s="403"/>
      <c r="BS11" s="403"/>
      <c r="BT11" s="403"/>
      <c r="BU11" s="403" t="s">
        <v>7951</v>
      </c>
      <c r="BV11" s="403"/>
      <c r="BW11" s="403"/>
      <c r="BX11" s="403"/>
      <c r="BY11" s="403"/>
      <c r="BZ11" s="403"/>
      <c r="CA11" s="403"/>
      <c r="CB11" s="403" t="s">
        <v>7952</v>
      </c>
      <c r="CC11" s="650"/>
      <c r="CD11" s="403"/>
      <c r="CE11" s="403"/>
      <c r="CF11" s="403" t="s">
        <v>7953</v>
      </c>
      <c r="CG11" s="403"/>
      <c r="CH11" s="403"/>
      <c r="CI11" s="403"/>
      <c r="CJ11" s="403"/>
      <c r="CK11" s="403"/>
      <c r="CL11" s="403"/>
      <c r="CM11" s="403" t="s">
        <v>7954</v>
      </c>
      <c r="CN11" s="564"/>
    </row>
    <row r="12" spans="1:92" s="463" customFormat="1" x14ac:dyDescent="0.2">
      <c r="A12" s="350">
        <v>2</v>
      </c>
      <c r="B12" s="581"/>
      <c r="C12" s="31" t="str">
        <f t="shared" ca="1" si="1"/>
        <v>Pay per diems for Delivery Modality 2?</v>
      </c>
      <c r="D12" s="23"/>
      <c r="E12" s="23"/>
      <c r="F12" s="399" t="s">
        <v>2671</v>
      </c>
      <c r="G12" s="4" t="str">
        <f>IF(ISBLANK(F12),Lang_CHECK,"OK")</f>
        <v>OK</v>
      </c>
      <c r="H12" s="5"/>
      <c r="I12" s="147">
        <f>IF(F12=Lang_No,0,1)</f>
        <v>1</v>
      </c>
      <c r="J12" s="12" t="str">
        <f t="shared" ca="1" si="0"/>
        <v>Default is Yes</v>
      </c>
      <c r="K12" s="587"/>
      <c r="M12" s="277"/>
      <c r="O12" s="403"/>
      <c r="P12" s="403"/>
      <c r="Q12" s="403"/>
      <c r="R12" s="403" t="s">
        <v>4353</v>
      </c>
      <c r="S12" s="403"/>
      <c r="T12" s="403"/>
      <c r="U12" s="403"/>
      <c r="V12" s="403"/>
      <c r="W12" s="403"/>
      <c r="X12" s="403"/>
      <c r="Y12" s="403" t="s">
        <v>4356</v>
      </c>
      <c r="Z12" s="403"/>
      <c r="AA12" s="403"/>
      <c r="AB12" s="403"/>
      <c r="AC12" s="403" t="s">
        <v>7955</v>
      </c>
      <c r="AD12" s="403"/>
      <c r="AE12" s="403"/>
      <c r="AF12" s="403"/>
      <c r="AG12" s="403"/>
      <c r="AH12" s="403"/>
      <c r="AI12" s="403"/>
      <c r="AJ12" s="403" t="s">
        <v>7944</v>
      </c>
      <c r="AK12" s="403"/>
      <c r="AL12" s="403"/>
      <c r="AM12" s="403"/>
      <c r="AN12" s="403" t="s">
        <v>7956</v>
      </c>
      <c r="AO12" s="403"/>
      <c r="AP12" s="403"/>
      <c r="AQ12" s="403"/>
      <c r="AR12" s="403"/>
      <c r="AS12" s="403"/>
      <c r="AT12" s="403"/>
      <c r="AU12" s="403" t="s">
        <v>7946</v>
      </c>
      <c r="AV12" s="403"/>
      <c r="AW12" s="403"/>
      <c r="AX12" s="403"/>
      <c r="AY12" s="403" t="s">
        <v>7957</v>
      </c>
      <c r="AZ12" s="403"/>
      <c r="BA12" s="403"/>
      <c r="BB12" s="403"/>
      <c r="BC12" s="403"/>
      <c r="BD12" s="403"/>
      <c r="BE12" s="403"/>
      <c r="BF12" s="403" t="s">
        <v>7948</v>
      </c>
      <c r="BG12" s="403"/>
      <c r="BH12" s="403"/>
      <c r="BI12" s="403"/>
      <c r="BJ12" s="403" t="s">
        <v>7958</v>
      </c>
      <c r="BK12" s="403"/>
      <c r="BL12" s="403"/>
      <c r="BM12" s="403"/>
      <c r="BN12" s="403"/>
      <c r="BO12" s="403"/>
      <c r="BP12" s="403"/>
      <c r="BQ12" s="403" t="s">
        <v>7950</v>
      </c>
      <c r="BR12" s="403"/>
      <c r="BS12" s="403"/>
      <c r="BT12" s="403"/>
      <c r="BU12" s="403" t="s">
        <v>7959</v>
      </c>
      <c r="BV12" s="403"/>
      <c r="BW12" s="403"/>
      <c r="BX12" s="403"/>
      <c r="BY12" s="403"/>
      <c r="BZ12" s="403"/>
      <c r="CA12" s="403"/>
      <c r="CB12" s="403" t="s">
        <v>7952</v>
      </c>
      <c r="CC12" s="650"/>
      <c r="CD12" s="403"/>
      <c r="CE12" s="403"/>
      <c r="CF12" s="403" t="s">
        <v>7960</v>
      </c>
      <c r="CG12" s="403"/>
      <c r="CH12" s="403"/>
      <c r="CI12" s="403"/>
      <c r="CJ12" s="403"/>
      <c r="CK12" s="403"/>
      <c r="CL12" s="403"/>
      <c r="CM12" s="403" t="s">
        <v>7954</v>
      </c>
      <c r="CN12" s="564"/>
    </row>
    <row r="13" spans="1:92" s="463" customFormat="1" x14ac:dyDescent="0.2">
      <c r="A13" s="350">
        <v>2</v>
      </c>
      <c r="B13" s="581"/>
      <c r="C13" s="31" t="str">
        <f t="shared" ca="1" si="1"/>
        <v>Pay per diems for Delivery Modality 3?</v>
      </c>
      <c r="D13" s="23"/>
      <c r="E13" s="23"/>
      <c r="F13" s="399" t="s">
        <v>2671</v>
      </c>
      <c r="G13" s="4" t="str">
        <f>IF(ISBLANK(F13),Lang_CHECK,"OK")</f>
        <v>OK</v>
      </c>
      <c r="H13" s="5"/>
      <c r="I13" s="147">
        <f>IF(F13=Lang_No,0,1)</f>
        <v>1</v>
      </c>
      <c r="J13" s="12" t="str">
        <f t="shared" ca="1" si="0"/>
        <v>Default is Yes</v>
      </c>
      <c r="K13" s="587"/>
      <c r="M13" s="277"/>
      <c r="O13" s="403"/>
      <c r="P13" s="403"/>
      <c r="Q13" s="403"/>
      <c r="R13" s="403" t="s">
        <v>4354</v>
      </c>
      <c r="S13" s="403"/>
      <c r="T13" s="403"/>
      <c r="U13" s="403"/>
      <c r="V13" s="403"/>
      <c r="W13" s="403"/>
      <c r="X13" s="403"/>
      <c r="Y13" s="403" t="s">
        <v>4356</v>
      </c>
      <c r="Z13" s="403"/>
      <c r="AA13" s="403"/>
      <c r="AB13" s="403"/>
      <c r="AC13" s="403" t="s">
        <v>7961</v>
      </c>
      <c r="AD13" s="403"/>
      <c r="AE13" s="403"/>
      <c r="AF13" s="403"/>
      <c r="AG13" s="403"/>
      <c r="AH13" s="403"/>
      <c r="AI13" s="403"/>
      <c r="AJ13" s="403" t="s">
        <v>7944</v>
      </c>
      <c r="AK13" s="403"/>
      <c r="AL13" s="403"/>
      <c r="AM13" s="403"/>
      <c r="AN13" s="403" t="s">
        <v>7962</v>
      </c>
      <c r="AO13" s="403"/>
      <c r="AP13" s="403"/>
      <c r="AQ13" s="403"/>
      <c r="AR13" s="403"/>
      <c r="AS13" s="403"/>
      <c r="AT13" s="403"/>
      <c r="AU13" s="403" t="s">
        <v>7946</v>
      </c>
      <c r="AV13" s="403"/>
      <c r="AW13" s="403"/>
      <c r="AX13" s="403"/>
      <c r="AY13" s="403" t="s">
        <v>7963</v>
      </c>
      <c r="AZ13" s="403"/>
      <c r="BA13" s="403"/>
      <c r="BB13" s="403"/>
      <c r="BC13" s="403"/>
      <c r="BD13" s="403"/>
      <c r="BE13" s="403"/>
      <c r="BF13" s="403" t="s">
        <v>7948</v>
      </c>
      <c r="BG13" s="403"/>
      <c r="BH13" s="403"/>
      <c r="BI13" s="403"/>
      <c r="BJ13" s="403" t="s">
        <v>7964</v>
      </c>
      <c r="BK13" s="403"/>
      <c r="BL13" s="403"/>
      <c r="BM13" s="403"/>
      <c r="BN13" s="403"/>
      <c r="BO13" s="403"/>
      <c r="BP13" s="403"/>
      <c r="BQ13" s="403" t="s">
        <v>7950</v>
      </c>
      <c r="BR13" s="403"/>
      <c r="BS13" s="403"/>
      <c r="BT13" s="403"/>
      <c r="BU13" s="403" t="s">
        <v>7965</v>
      </c>
      <c r="BV13" s="403"/>
      <c r="BW13" s="403"/>
      <c r="BX13" s="403"/>
      <c r="BY13" s="403"/>
      <c r="BZ13" s="403"/>
      <c r="CA13" s="403"/>
      <c r="CB13" s="403" t="s">
        <v>7966</v>
      </c>
      <c r="CC13" s="650"/>
      <c r="CD13" s="403"/>
      <c r="CE13" s="403"/>
      <c r="CF13" s="403" t="s">
        <v>7967</v>
      </c>
      <c r="CG13" s="403"/>
      <c r="CH13" s="403"/>
      <c r="CI13" s="403"/>
      <c r="CJ13" s="403"/>
      <c r="CK13" s="403"/>
      <c r="CL13" s="403"/>
      <c r="CM13" s="403" t="s">
        <v>7954</v>
      </c>
      <c r="CN13" s="564"/>
    </row>
    <row r="14" spans="1:92" s="463" customFormat="1" x14ac:dyDescent="0.2">
      <c r="A14" s="350">
        <v>2</v>
      </c>
      <c r="B14" s="581"/>
      <c r="C14" s="31" t="str">
        <f t="shared" ca="1" si="1"/>
        <v>Pay per diems for Delivery Modality 4?</v>
      </c>
      <c r="D14" s="23"/>
      <c r="E14" s="23"/>
      <c r="F14" s="39" t="s">
        <v>2671</v>
      </c>
      <c r="G14" s="4" t="str">
        <f>IF(ISBLANK(F14),Lang_CHECK,"OK")</f>
        <v>OK</v>
      </c>
      <c r="H14" s="5"/>
      <c r="I14" s="147">
        <f>IF(F14=Lang_No,0,1)</f>
        <v>1</v>
      </c>
      <c r="J14" s="12" t="str">
        <f t="shared" ca="1" si="0"/>
        <v>Default is Yes</v>
      </c>
      <c r="K14" s="587"/>
      <c r="M14" s="277"/>
      <c r="O14" s="403"/>
      <c r="P14" s="403"/>
      <c r="Q14" s="403"/>
      <c r="R14" s="403" t="s">
        <v>4355</v>
      </c>
      <c r="S14" s="403"/>
      <c r="T14" s="403"/>
      <c r="U14" s="403"/>
      <c r="V14" s="403"/>
      <c r="W14" s="403"/>
      <c r="X14" s="403"/>
      <c r="Y14" s="403" t="s">
        <v>4356</v>
      </c>
      <c r="Z14" s="403"/>
      <c r="AA14" s="403"/>
      <c r="AB14" s="403"/>
      <c r="AC14" s="403" t="s">
        <v>7968</v>
      </c>
      <c r="AD14" s="403"/>
      <c r="AE14" s="403"/>
      <c r="AF14" s="403"/>
      <c r="AG14" s="403"/>
      <c r="AH14" s="403"/>
      <c r="AI14" s="403"/>
      <c r="AJ14" s="403" t="s">
        <v>7944</v>
      </c>
      <c r="AK14" s="403"/>
      <c r="AL14" s="403"/>
      <c r="AM14" s="403"/>
      <c r="AN14" s="403" t="s">
        <v>7969</v>
      </c>
      <c r="AO14" s="403"/>
      <c r="AP14" s="403"/>
      <c r="AQ14" s="403"/>
      <c r="AR14" s="403"/>
      <c r="AS14" s="403"/>
      <c r="AT14" s="403"/>
      <c r="AU14" s="403" t="s">
        <v>7946</v>
      </c>
      <c r="AV14" s="403"/>
      <c r="AW14" s="403"/>
      <c r="AX14" s="403"/>
      <c r="AY14" s="403" t="s">
        <v>7970</v>
      </c>
      <c r="AZ14" s="403"/>
      <c r="BA14" s="403"/>
      <c r="BB14" s="403"/>
      <c r="BC14" s="403"/>
      <c r="BD14" s="403"/>
      <c r="BE14" s="403"/>
      <c r="BF14" s="403" t="s">
        <v>7948</v>
      </c>
      <c r="BG14" s="403"/>
      <c r="BH14" s="403"/>
      <c r="BI14" s="403"/>
      <c r="BJ14" s="403" t="s">
        <v>7971</v>
      </c>
      <c r="BK14" s="403"/>
      <c r="BL14" s="403"/>
      <c r="BM14" s="403"/>
      <c r="BN14" s="403"/>
      <c r="BO14" s="403"/>
      <c r="BP14" s="403"/>
      <c r="BQ14" s="403" t="s">
        <v>7950</v>
      </c>
      <c r="BR14" s="403"/>
      <c r="BS14" s="403"/>
      <c r="BT14" s="403"/>
      <c r="BU14" s="403" t="s">
        <v>7972</v>
      </c>
      <c r="BV14" s="403"/>
      <c r="BW14" s="403"/>
      <c r="BX14" s="403"/>
      <c r="BY14" s="403"/>
      <c r="BZ14" s="403"/>
      <c r="CA14" s="403"/>
      <c r="CB14" s="403" t="s">
        <v>7966</v>
      </c>
      <c r="CC14" s="650"/>
      <c r="CD14" s="403"/>
      <c r="CE14" s="403"/>
      <c r="CF14" s="403" t="s">
        <v>7973</v>
      </c>
      <c r="CG14" s="403"/>
      <c r="CH14" s="403"/>
      <c r="CI14" s="403"/>
      <c r="CJ14" s="403"/>
      <c r="CK14" s="403"/>
      <c r="CL14" s="403"/>
      <c r="CM14" s="403" t="s">
        <v>7954</v>
      </c>
      <c r="CN14" s="564"/>
    </row>
    <row r="15" spans="1:92" s="272" customFormat="1" ht="25.5" x14ac:dyDescent="0.2">
      <c r="A15" s="354">
        <v>1</v>
      </c>
      <c r="B15" s="580"/>
      <c r="C15" s="335" t="str">
        <f t="shared" ca="1" si="1"/>
        <v>Monthly salaries for newly recruited vaccinators [Leave blank to use default data]</v>
      </c>
      <c r="D15" s="164" t="s">
        <v>4566</v>
      </c>
      <c r="E15" s="494"/>
      <c r="F15" s="39"/>
      <c r="G15" s="299"/>
      <c r="H15" s="5"/>
      <c r="I15" s="11">
        <f t="shared" ref="I15" si="3">IF(ISBLANK(F15),IF(ISBLANK(E15),M15,E15/USD2LCU),F15)</f>
        <v>0</v>
      </c>
      <c r="J15" s="12" t="str">
        <f t="shared" ca="1" si="0"/>
        <v>Zero is allowed. These are for non-redeployed HRH. Source: Serje, Juliana, Melanie Y. Bertram, Callum Brindley, and Jeremy A. Lauer. 2018. “Global Health Worker Salary Estimates: An Econometric Analysis of Global Earnings Data.” Cost Effectiveness and Resource Allocation 16 (1): 10. https://doi.org/10.1186/s12962-018-0093-z. | WHO-CHOICE | Updated to 2020</v>
      </c>
      <c r="K15" s="587"/>
      <c r="M15" s="313">
        <v>0</v>
      </c>
      <c r="O15" s="403"/>
      <c r="P15" s="403"/>
      <c r="Q15" s="403"/>
      <c r="R15" s="403" t="s">
        <v>4131</v>
      </c>
      <c r="S15" s="403" t="s">
        <v>4566</v>
      </c>
      <c r="T15" s="403"/>
      <c r="U15" s="403"/>
      <c r="V15" s="403"/>
      <c r="W15" s="403"/>
      <c r="X15" s="403"/>
      <c r="Y15" s="403" t="s">
        <v>4125</v>
      </c>
      <c r="Z15" s="403"/>
      <c r="AA15" s="403"/>
      <c r="AB15" s="403"/>
      <c r="AC15" s="403" t="s">
        <v>7974</v>
      </c>
      <c r="AD15" s="403" t="s">
        <v>13716</v>
      </c>
      <c r="AE15" s="403"/>
      <c r="AF15" s="403"/>
      <c r="AG15" s="403"/>
      <c r="AH15" s="403"/>
      <c r="AI15" s="403"/>
      <c r="AJ15" s="403" t="s">
        <v>7975</v>
      </c>
      <c r="AK15" s="403"/>
      <c r="AL15" s="403"/>
      <c r="AM15" s="403"/>
      <c r="AN15" s="403" t="s">
        <v>7976</v>
      </c>
      <c r="AO15" s="403" t="s">
        <v>13717</v>
      </c>
      <c r="AP15" s="403"/>
      <c r="AQ15" s="403"/>
      <c r="AR15" s="403"/>
      <c r="AS15" s="403"/>
      <c r="AT15" s="403"/>
      <c r="AU15" s="403" t="s">
        <v>7977</v>
      </c>
      <c r="AV15" s="403"/>
      <c r="AW15" s="403"/>
      <c r="AX15" s="403"/>
      <c r="AY15" s="403" t="s">
        <v>7978</v>
      </c>
      <c r="AZ15" s="403" t="s">
        <v>13718</v>
      </c>
      <c r="BA15" s="403"/>
      <c r="BB15" s="403"/>
      <c r="BC15" s="403"/>
      <c r="BD15" s="403"/>
      <c r="BE15" s="403"/>
      <c r="BF15" s="403" t="s">
        <v>7979</v>
      </c>
      <c r="BG15" s="403"/>
      <c r="BH15" s="403"/>
      <c r="BI15" s="403"/>
      <c r="BJ15" s="403" t="s">
        <v>7980</v>
      </c>
      <c r="BK15" s="403" t="s">
        <v>13719</v>
      </c>
      <c r="BL15" s="403"/>
      <c r="BM15" s="403"/>
      <c r="BN15" s="403"/>
      <c r="BO15" s="403"/>
      <c r="BP15" s="403"/>
      <c r="BQ15" s="403" t="s">
        <v>7981</v>
      </c>
      <c r="BR15" s="403"/>
      <c r="BS15" s="403"/>
      <c r="BT15" s="403"/>
      <c r="BU15" s="403" t="s">
        <v>2642</v>
      </c>
      <c r="BV15" s="403" t="s">
        <v>13720</v>
      </c>
      <c r="BW15" s="403"/>
      <c r="BX15" s="403"/>
      <c r="BY15" s="403"/>
      <c r="BZ15" s="403"/>
      <c r="CA15" s="403"/>
      <c r="CB15" s="403" t="s">
        <v>7982</v>
      </c>
      <c r="CC15" s="650"/>
      <c r="CD15" s="403"/>
      <c r="CE15" s="403"/>
      <c r="CF15" s="403" t="s">
        <v>7983</v>
      </c>
      <c r="CG15" s="403" t="s">
        <v>13721</v>
      </c>
      <c r="CH15" s="403"/>
      <c r="CI15" s="403"/>
      <c r="CJ15" s="403"/>
      <c r="CK15" s="403"/>
      <c r="CL15" s="403"/>
      <c r="CM15" s="403" t="s">
        <v>7984</v>
      </c>
      <c r="CN15" s="564"/>
    </row>
    <row r="16" spans="1:92" s="194" customFormat="1" ht="67.5" customHeight="1" x14ac:dyDescent="0.2">
      <c r="B16" s="583"/>
      <c r="C16" s="679" t="str">
        <f t="shared" ca="1" si="1"/>
        <v>Instructions: Training and deployment costs can be specified at the local (service point) level here and/or can be specified under central costs.  This can be used for local level training, recruitment, credentialing, and other costs such as uniforms other items required by each vaccinator. If the training program is delivered centrally - e.g. through a digital learning mechanism - and does not involve the local level, cost training from a central level (A4.1.06)</v>
      </c>
      <c r="D16" s="679"/>
      <c r="E16" s="679"/>
      <c r="F16" s="679"/>
      <c r="G16" s="679"/>
      <c r="H16" s="679"/>
      <c r="I16" s="679"/>
      <c r="L16" s="241"/>
      <c r="M16" s="277"/>
      <c r="O16" s="403"/>
      <c r="P16" s="403"/>
      <c r="Q16" s="403"/>
      <c r="R16" s="403" t="s">
        <v>14458</v>
      </c>
      <c r="S16" s="403"/>
      <c r="T16" s="403"/>
      <c r="U16" s="403"/>
      <c r="V16" s="403"/>
      <c r="W16" s="403"/>
      <c r="X16" s="403"/>
      <c r="Y16" s="403"/>
      <c r="Z16" s="403"/>
      <c r="AA16" s="403"/>
      <c r="AB16" s="403"/>
      <c r="AC16" s="403" t="s">
        <v>14459</v>
      </c>
      <c r="AD16" s="403"/>
      <c r="AE16" s="403"/>
      <c r="AF16" s="403"/>
      <c r="AG16" s="403"/>
      <c r="AH16" s="403"/>
      <c r="AI16" s="403"/>
      <c r="AJ16" s="403"/>
      <c r="AK16" s="403"/>
      <c r="AL16" s="403"/>
      <c r="AM16" s="403"/>
      <c r="AN16" s="403" t="s">
        <v>14460</v>
      </c>
      <c r="AO16" s="403"/>
      <c r="AP16" s="403"/>
      <c r="AQ16" s="403"/>
      <c r="AR16" s="403"/>
      <c r="AS16" s="403"/>
      <c r="AT16" s="403"/>
      <c r="AU16" s="403"/>
      <c r="AV16" s="403"/>
      <c r="AW16" s="403"/>
      <c r="AX16" s="403"/>
      <c r="AY16" s="403" t="s">
        <v>14461</v>
      </c>
      <c r="AZ16" s="403"/>
      <c r="BA16" s="403"/>
      <c r="BB16" s="403"/>
      <c r="BC16" s="403"/>
      <c r="BD16" s="403"/>
      <c r="BE16" s="403"/>
      <c r="BF16" s="403"/>
      <c r="BG16" s="403"/>
      <c r="BH16" s="403"/>
      <c r="BI16" s="403"/>
      <c r="BJ16" s="403" t="s">
        <v>14462</v>
      </c>
      <c r="BK16" s="403"/>
      <c r="BL16" s="403"/>
      <c r="BM16" s="403"/>
      <c r="BN16" s="403"/>
      <c r="BO16" s="403"/>
      <c r="BP16" s="403"/>
      <c r="BQ16" s="403"/>
      <c r="BR16" s="403"/>
      <c r="BS16" s="403"/>
      <c r="BT16" s="403"/>
      <c r="BU16" s="403" t="s">
        <v>14463</v>
      </c>
      <c r="BV16" s="403"/>
      <c r="BW16" s="403"/>
      <c r="BX16" s="403"/>
      <c r="BY16" s="403"/>
      <c r="BZ16" s="403"/>
      <c r="CA16" s="403"/>
      <c r="CB16" s="403"/>
      <c r="CC16" s="650"/>
      <c r="CD16" s="403"/>
      <c r="CE16" s="403"/>
      <c r="CF16" s="403" t="s">
        <v>14464</v>
      </c>
      <c r="CG16" s="403"/>
      <c r="CH16" s="403"/>
      <c r="CI16" s="403"/>
      <c r="CJ16" s="403"/>
      <c r="CK16" s="403"/>
      <c r="CL16" s="403"/>
      <c r="CM16" s="403"/>
      <c r="CN16" s="564"/>
    </row>
    <row r="17" spans="1:92" s="15" customFormat="1" x14ac:dyDescent="0.2">
      <c r="A17" s="508"/>
      <c r="B17" s="92" t="str">
        <f ca="1">IF(OFFSET(Q17,0,Lang_Order*Lang__A3)="","",OFFSET(Q17,0,Lang_Order*Lang__A3))</f>
        <v>Non-wage costs Per Unique Vaccinator (Local Training and Deployment)</v>
      </c>
      <c r="D17" s="23"/>
      <c r="F17" s="14"/>
      <c r="G17" s="194"/>
      <c r="I17" s="11" t="e">
        <f>SUM(H18:H21)</f>
        <v>#N/A</v>
      </c>
      <c r="J17" s="12" t="str">
        <f ca="1">IF(OFFSET(Y17,0,Lang_Order*Lang__A3)="","",OFFSET(Y17,0,Lang_Order*Lang__A3))</f>
        <v>e.g., once-off non-wage expenses for each recruited vaccinator, such as training, recruitment, uniforms, etc.</v>
      </c>
      <c r="L17" s="241"/>
      <c r="M17" s="277"/>
      <c r="O17" s="403"/>
      <c r="P17" s="403"/>
      <c r="Q17" s="403" t="s">
        <v>3189</v>
      </c>
      <c r="R17" s="403"/>
      <c r="S17" s="403"/>
      <c r="T17" s="403"/>
      <c r="U17" s="403"/>
      <c r="V17" s="403"/>
      <c r="W17" s="403"/>
      <c r="X17" s="403"/>
      <c r="Y17" s="403" t="s">
        <v>4568</v>
      </c>
      <c r="Z17" s="403"/>
      <c r="AA17" s="403"/>
      <c r="AB17" s="403" t="s">
        <v>7985</v>
      </c>
      <c r="AC17" s="403"/>
      <c r="AD17" s="403"/>
      <c r="AE17" s="403"/>
      <c r="AF17" s="403"/>
      <c r="AG17" s="403"/>
      <c r="AH17" s="403"/>
      <c r="AI17" s="403"/>
      <c r="AJ17" s="403" t="s">
        <v>13722</v>
      </c>
      <c r="AK17" s="403"/>
      <c r="AL17" s="403"/>
      <c r="AM17" s="403" t="s">
        <v>7986</v>
      </c>
      <c r="AN17" s="403"/>
      <c r="AO17" s="403"/>
      <c r="AP17" s="403"/>
      <c r="AQ17" s="403"/>
      <c r="AR17" s="403"/>
      <c r="AS17" s="403"/>
      <c r="AT17" s="403"/>
      <c r="AU17" s="403" t="s">
        <v>13723</v>
      </c>
      <c r="AV17" s="403"/>
      <c r="AW17" s="403"/>
      <c r="AX17" s="403" t="s">
        <v>7987</v>
      </c>
      <c r="AY17" s="403"/>
      <c r="AZ17" s="403"/>
      <c r="BA17" s="403"/>
      <c r="BB17" s="403"/>
      <c r="BC17" s="403"/>
      <c r="BD17" s="403"/>
      <c r="BE17" s="403"/>
      <c r="BF17" s="403" t="s">
        <v>13724</v>
      </c>
      <c r="BG17" s="403"/>
      <c r="BH17" s="403"/>
      <c r="BI17" s="403" t="s">
        <v>7988</v>
      </c>
      <c r="BJ17" s="403"/>
      <c r="BK17" s="403"/>
      <c r="BL17" s="403"/>
      <c r="BM17" s="403"/>
      <c r="BN17" s="403"/>
      <c r="BO17" s="403"/>
      <c r="BP17" s="403"/>
      <c r="BQ17" s="403" t="s">
        <v>13725</v>
      </c>
      <c r="BR17" s="403"/>
      <c r="BS17" s="403"/>
      <c r="BT17" s="403" t="s">
        <v>7989</v>
      </c>
      <c r="BU17" s="403"/>
      <c r="BV17" s="403"/>
      <c r="BW17" s="403"/>
      <c r="BX17" s="403"/>
      <c r="BY17" s="403"/>
      <c r="BZ17" s="403"/>
      <c r="CA17" s="403"/>
      <c r="CB17" s="403" t="s">
        <v>13726</v>
      </c>
      <c r="CC17" s="650"/>
      <c r="CD17" s="403"/>
      <c r="CE17" s="403" t="s">
        <v>7990</v>
      </c>
      <c r="CF17" s="403"/>
      <c r="CG17" s="403"/>
      <c r="CH17" s="403"/>
      <c r="CI17" s="403"/>
      <c r="CJ17" s="403"/>
      <c r="CK17" s="403"/>
      <c r="CL17" s="403"/>
      <c r="CM17" s="403" t="s">
        <v>13727</v>
      </c>
      <c r="CN17" s="564"/>
    </row>
    <row r="18" spans="1:92" s="15" customFormat="1" x14ac:dyDescent="0.2">
      <c r="A18" s="354">
        <v>1</v>
      </c>
      <c r="B18" s="569"/>
      <c r="C18" s="374"/>
      <c r="D18" s="5"/>
      <c r="E18" s="494"/>
      <c r="F18" s="39"/>
      <c r="G18" s="4" t="str">
        <f t="shared" ref="G18" si="4">IF(AND(ISBLANK(E18),ISBLANK(F18)),"CHECK","OK")</f>
        <v>CHECK</v>
      </c>
      <c r="H18" s="236" t="e">
        <f>IF(ISBLANK(F18),E18/USD2LCU,F18)</f>
        <v>#N/A</v>
      </c>
      <c r="I18" s="14"/>
      <c r="J18" s="12" t="str">
        <f ca="1">IF(OFFSET(Y18,0,Lang_Order*Lang__A3)="","",OFFSET(Y18,0,Lang_Order*Lang__A3))</f>
        <v>Training of vaccinators at the local level (within a facility). Training delivered from central [Ref A4.1] EXCLUDED.</v>
      </c>
      <c r="K18" s="587"/>
      <c r="L18" s="241"/>
      <c r="M18" s="277"/>
      <c r="O18" s="403"/>
      <c r="P18" s="403"/>
      <c r="Q18" s="403"/>
      <c r="R18" s="403" t="s">
        <v>3975</v>
      </c>
      <c r="S18" s="403"/>
      <c r="T18" s="403"/>
      <c r="U18" s="403"/>
      <c r="V18" s="403"/>
      <c r="W18" s="403"/>
      <c r="X18" s="403"/>
      <c r="Y18" s="403" t="s">
        <v>2952</v>
      </c>
      <c r="Z18" s="403"/>
      <c r="AA18" s="403"/>
      <c r="AB18" s="403"/>
      <c r="AC18" s="403" t="s">
        <v>7991</v>
      </c>
      <c r="AD18" s="403"/>
      <c r="AE18" s="403"/>
      <c r="AF18" s="403"/>
      <c r="AG18" s="403"/>
      <c r="AH18" s="403"/>
      <c r="AI18" s="403"/>
      <c r="AJ18" s="403" t="s">
        <v>7992</v>
      </c>
      <c r="AK18" s="403"/>
      <c r="AL18" s="403"/>
      <c r="AM18" s="403"/>
      <c r="AN18" s="403" t="s">
        <v>7993</v>
      </c>
      <c r="AO18" s="403"/>
      <c r="AP18" s="403"/>
      <c r="AQ18" s="403"/>
      <c r="AR18" s="403"/>
      <c r="AS18" s="403"/>
      <c r="AT18" s="403"/>
      <c r="AU18" s="403" t="s">
        <v>7994</v>
      </c>
      <c r="AV18" s="403"/>
      <c r="AW18" s="403"/>
      <c r="AX18" s="403"/>
      <c r="AY18" s="403" t="s">
        <v>7995</v>
      </c>
      <c r="AZ18" s="403"/>
      <c r="BA18" s="403"/>
      <c r="BB18" s="403"/>
      <c r="BC18" s="403"/>
      <c r="BD18" s="403"/>
      <c r="BE18" s="403"/>
      <c r="BF18" s="403" t="s">
        <v>7996</v>
      </c>
      <c r="BG18" s="403"/>
      <c r="BH18" s="403"/>
      <c r="BI18" s="403"/>
      <c r="BJ18" s="403" t="s">
        <v>7997</v>
      </c>
      <c r="BK18" s="403"/>
      <c r="BL18" s="403"/>
      <c r="BM18" s="403"/>
      <c r="BN18" s="403"/>
      <c r="BO18" s="403"/>
      <c r="BP18" s="403"/>
      <c r="BQ18" s="403" t="s">
        <v>7998</v>
      </c>
      <c r="BR18" s="403"/>
      <c r="BS18" s="403"/>
      <c r="BT18" s="403"/>
      <c r="BU18" s="403" t="s">
        <v>7999</v>
      </c>
      <c r="BV18" s="403"/>
      <c r="BW18" s="403"/>
      <c r="BX18" s="403"/>
      <c r="BY18" s="403"/>
      <c r="BZ18" s="403"/>
      <c r="CA18" s="403"/>
      <c r="CB18" s="403" t="s">
        <v>8000</v>
      </c>
      <c r="CC18" s="650"/>
      <c r="CD18" s="403"/>
      <c r="CE18" s="403"/>
      <c r="CF18" s="403" t="s">
        <v>8001</v>
      </c>
      <c r="CG18" s="403"/>
      <c r="CH18" s="403"/>
      <c r="CI18" s="403"/>
      <c r="CJ18" s="403"/>
      <c r="CK18" s="403"/>
      <c r="CL18" s="403"/>
      <c r="CM18" s="403" t="s">
        <v>8002</v>
      </c>
      <c r="CN18" s="564"/>
    </row>
    <row r="19" spans="1:92" s="15" customFormat="1" x14ac:dyDescent="0.2">
      <c r="A19" s="350">
        <v>2</v>
      </c>
      <c r="B19" s="569"/>
      <c r="C19" s="374"/>
      <c r="D19" s="5"/>
      <c r="E19" s="494"/>
      <c r="F19" s="39"/>
      <c r="G19" s="194"/>
      <c r="H19" s="236" t="e">
        <f>IF(ISBLANK(F19),E19/USD2LCU,F19)</f>
        <v>#N/A</v>
      </c>
      <c r="I19" s="14"/>
      <c r="J19" s="567"/>
      <c r="K19" s="587"/>
      <c r="L19" s="241"/>
      <c r="M19" s="277"/>
      <c r="O19" s="403"/>
      <c r="P19" s="403"/>
      <c r="Q19" s="403"/>
      <c r="R19" s="403" t="s">
        <v>1651</v>
      </c>
      <c r="S19" s="403"/>
      <c r="T19" s="403"/>
      <c r="U19" s="403"/>
      <c r="V19" s="403"/>
      <c r="W19" s="403"/>
      <c r="X19" s="403"/>
      <c r="Y19" s="403" t="s">
        <v>1659</v>
      </c>
      <c r="Z19" s="403"/>
      <c r="AA19" s="403"/>
      <c r="AB19" s="403"/>
      <c r="AC19" s="403" t="s">
        <v>8003</v>
      </c>
      <c r="AD19" s="403"/>
      <c r="AE19" s="403"/>
      <c r="AF19" s="403"/>
      <c r="AG19" s="403"/>
      <c r="AH19" s="403"/>
      <c r="AI19" s="403"/>
      <c r="AJ19" s="403" t="s">
        <v>8004</v>
      </c>
      <c r="AK19" s="403"/>
      <c r="AL19" s="403"/>
      <c r="AM19" s="403"/>
      <c r="AN19" s="403" t="s">
        <v>8005</v>
      </c>
      <c r="AO19" s="403"/>
      <c r="AP19" s="403"/>
      <c r="AQ19" s="403"/>
      <c r="AR19" s="403"/>
      <c r="AS19" s="403"/>
      <c r="AT19" s="403"/>
      <c r="AU19" s="403" t="s">
        <v>8006</v>
      </c>
      <c r="AV19" s="403"/>
      <c r="AW19" s="403"/>
      <c r="AX19" s="403"/>
      <c r="AY19" s="403" t="s">
        <v>8007</v>
      </c>
      <c r="AZ19" s="403"/>
      <c r="BA19" s="403"/>
      <c r="BB19" s="403"/>
      <c r="BC19" s="403"/>
      <c r="BD19" s="403"/>
      <c r="BE19" s="403"/>
      <c r="BF19" s="403" t="s">
        <v>8008</v>
      </c>
      <c r="BG19" s="403"/>
      <c r="BH19" s="403"/>
      <c r="BI19" s="403"/>
      <c r="BJ19" s="403" t="s">
        <v>8009</v>
      </c>
      <c r="BK19" s="403"/>
      <c r="BL19" s="403"/>
      <c r="BM19" s="403"/>
      <c r="BN19" s="403"/>
      <c r="BO19" s="403"/>
      <c r="BP19" s="403"/>
      <c r="BQ19" s="403" t="s">
        <v>8010</v>
      </c>
      <c r="BR19" s="403"/>
      <c r="BS19" s="403"/>
      <c r="BT19" s="403"/>
      <c r="BU19" s="403" t="s">
        <v>8011</v>
      </c>
      <c r="BV19" s="403"/>
      <c r="BW19" s="403"/>
      <c r="BX19" s="403"/>
      <c r="BY19" s="403"/>
      <c r="BZ19" s="403"/>
      <c r="CA19" s="403"/>
      <c r="CB19" s="403" t="s">
        <v>8012</v>
      </c>
      <c r="CC19" s="650"/>
      <c r="CD19" s="403"/>
      <c r="CE19" s="403"/>
      <c r="CF19" s="403" t="s">
        <v>8013</v>
      </c>
      <c r="CG19" s="403"/>
      <c r="CH19" s="403"/>
      <c r="CI19" s="403"/>
      <c r="CJ19" s="403"/>
      <c r="CK19" s="403"/>
      <c r="CL19" s="403"/>
      <c r="CM19" s="403" t="s">
        <v>8014</v>
      </c>
      <c r="CN19" s="564"/>
    </row>
    <row r="20" spans="1:92" s="194" customFormat="1" x14ac:dyDescent="0.2">
      <c r="A20" s="350">
        <v>2</v>
      </c>
      <c r="B20" s="569"/>
      <c r="C20" s="374"/>
      <c r="D20" s="5"/>
      <c r="E20" s="494"/>
      <c r="F20" s="39"/>
      <c r="H20" s="236" t="e">
        <f>IF(ISBLANK(F20),E20/USD2LCU,F20)</f>
        <v>#N/A</v>
      </c>
      <c r="I20" s="14"/>
      <c r="J20" s="567"/>
      <c r="K20" s="587"/>
      <c r="L20" s="241"/>
      <c r="M20" s="277"/>
      <c r="O20" s="403"/>
      <c r="P20" s="403"/>
      <c r="Q20" s="403"/>
      <c r="R20" s="403" t="s">
        <v>2866</v>
      </c>
      <c r="S20" s="403"/>
      <c r="T20" s="403"/>
      <c r="U20" s="403"/>
      <c r="V20" s="403"/>
      <c r="W20" s="403"/>
      <c r="X20" s="403"/>
      <c r="Y20" s="403" t="s">
        <v>2888</v>
      </c>
      <c r="Z20" s="403"/>
      <c r="AA20" s="403"/>
      <c r="AB20" s="403"/>
      <c r="AC20" s="403" t="s">
        <v>8015</v>
      </c>
      <c r="AD20" s="403"/>
      <c r="AE20" s="403"/>
      <c r="AF20" s="403"/>
      <c r="AG20" s="403"/>
      <c r="AH20" s="403"/>
      <c r="AI20" s="403"/>
      <c r="AJ20" s="403" t="s">
        <v>8016</v>
      </c>
      <c r="AK20" s="403"/>
      <c r="AL20" s="403"/>
      <c r="AM20" s="403"/>
      <c r="AN20" s="403" t="s">
        <v>8017</v>
      </c>
      <c r="AO20" s="403"/>
      <c r="AP20" s="403"/>
      <c r="AQ20" s="403"/>
      <c r="AR20" s="403"/>
      <c r="AS20" s="403"/>
      <c r="AT20" s="403"/>
      <c r="AU20" s="403" t="s">
        <v>8018</v>
      </c>
      <c r="AV20" s="403"/>
      <c r="AW20" s="403"/>
      <c r="AX20" s="403"/>
      <c r="AY20" s="403" t="s">
        <v>8019</v>
      </c>
      <c r="AZ20" s="403"/>
      <c r="BA20" s="403"/>
      <c r="BB20" s="403"/>
      <c r="BC20" s="403"/>
      <c r="BD20" s="403"/>
      <c r="BE20" s="403"/>
      <c r="BF20" s="403" t="s">
        <v>8020</v>
      </c>
      <c r="BG20" s="403"/>
      <c r="BH20" s="403"/>
      <c r="BI20" s="403"/>
      <c r="BJ20" s="403" t="s">
        <v>8021</v>
      </c>
      <c r="BK20" s="403"/>
      <c r="BL20" s="403"/>
      <c r="BM20" s="403"/>
      <c r="BN20" s="403"/>
      <c r="BO20" s="403"/>
      <c r="BP20" s="403"/>
      <c r="BQ20" s="403" t="s">
        <v>8022</v>
      </c>
      <c r="BR20" s="403"/>
      <c r="BS20" s="403"/>
      <c r="BT20" s="403"/>
      <c r="BU20" s="403" t="s">
        <v>8023</v>
      </c>
      <c r="BV20" s="403"/>
      <c r="BW20" s="403"/>
      <c r="BX20" s="403"/>
      <c r="BY20" s="403"/>
      <c r="BZ20" s="403"/>
      <c r="CA20" s="403"/>
      <c r="CB20" s="403" t="s">
        <v>8024</v>
      </c>
      <c r="CC20" s="650"/>
      <c r="CD20" s="403"/>
      <c r="CE20" s="403"/>
      <c r="CF20" s="403" t="s">
        <v>8025</v>
      </c>
      <c r="CG20" s="403"/>
      <c r="CH20" s="403"/>
      <c r="CI20" s="403"/>
      <c r="CJ20" s="403"/>
      <c r="CK20" s="403"/>
      <c r="CL20" s="403"/>
      <c r="CM20" s="403" t="s">
        <v>8026</v>
      </c>
      <c r="CN20" s="564"/>
    </row>
    <row r="21" spans="1:92" s="15" customFormat="1" x14ac:dyDescent="0.2">
      <c r="A21" s="350">
        <v>2</v>
      </c>
      <c r="B21" s="569"/>
      <c r="C21" s="374"/>
      <c r="D21" s="5"/>
      <c r="E21" s="494"/>
      <c r="F21" s="39"/>
      <c r="G21" s="194"/>
      <c r="H21" s="236" t="e">
        <f>IF(ISBLANK(F21),E21/USD2LCU,F21)</f>
        <v>#N/A</v>
      </c>
      <c r="I21" s="14"/>
      <c r="J21" s="567"/>
      <c r="K21" s="587"/>
      <c r="L21" s="241"/>
      <c r="M21" s="277"/>
      <c r="O21" s="403"/>
      <c r="P21" s="403"/>
      <c r="Q21" s="403"/>
      <c r="R21" s="403" t="s">
        <v>1652</v>
      </c>
      <c r="S21" s="403"/>
      <c r="T21" s="403"/>
      <c r="U21" s="403"/>
      <c r="V21" s="403"/>
      <c r="W21" s="403"/>
      <c r="X21" s="403"/>
      <c r="Y21" s="403" t="s">
        <v>1654</v>
      </c>
      <c r="Z21" s="403"/>
      <c r="AA21" s="403"/>
      <c r="AB21" s="403"/>
      <c r="AC21" s="403" t="s">
        <v>8027</v>
      </c>
      <c r="AD21" s="403"/>
      <c r="AE21" s="403"/>
      <c r="AF21" s="403"/>
      <c r="AG21" s="403"/>
      <c r="AH21" s="403"/>
      <c r="AI21" s="403"/>
      <c r="AJ21" s="403" t="s">
        <v>8028</v>
      </c>
      <c r="AK21" s="403"/>
      <c r="AL21" s="403"/>
      <c r="AM21" s="403"/>
      <c r="AN21" s="403" t="s">
        <v>8029</v>
      </c>
      <c r="AO21" s="403"/>
      <c r="AP21" s="403"/>
      <c r="AQ21" s="403"/>
      <c r="AR21" s="403"/>
      <c r="AS21" s="403"/>
      <c r="AT21" s="403"/>
      <c r="AU21" s="403" t="s">
        <v>8030</v>
      </c>
      <c r="AV21" s="403"/>
      <c r="AW21" s="403"/>
      <c r="AX21" s="403"/>
      <c r="AY21" s="403" t="s">
        <v>8027</v>
      </c>
      <c r="AZ21" s="403"/>
      <c r="BA21" s="403"/>
      <c r="BB21" s="403"/>
      <c r="BC21" s="403"/>
      <c r="BD21" s="403"/>
      <c r="BE21" s="403"/>
      <c r="BF21" s="403" t="s">
        <v>8031</v>
      </c>
      <c r="BG21" s="403"/>
      <c r="BH21" s="403"/>
      <c r="BI21" s="403"/>
      <c r="BJ21" s="403" t="s">
        <v>8027</v>
      </c>
      <c r="BK21" s="403"/>
      <c r="BL21" s="403"/>
      <c r="BM21" s="403"/>
      <c r="BN21" s="403"/>
      <c r="BO21" s="403"/>
      <c r="BP21" s="403"/>
      <c r="BQ21" s="403" t="s">
        <v>8032</v>
      </c>
      <c r="BR21" s="403"/>
      <c r="BS21" s="403"/>
      <c r="BT21" s="403"/>
      <c r="BU21" s="403" t="s">
        <v>8033</v>
      </c>
      <c r="BV21" s="403"/>
      <c r="BW21" s="403"/>
      <c r="BX21" s="403"/>
      <c r="BY21" s="403"/>
      <c r="BZ21" s="403"/>
      <c r="CA21" s="403"/>
      <c r="CB21" s="403" t="s">
        <v>8034</v>
      </c>
      <c r="CC21" s="650"/>
      <c r="CD21" s="403"/>
      <c r="CE21" s="403"/>
      <c r="CF21" s="403" t="s">
        <v>8035</v>
      </c>
      <c r="CG21" s="403"/>
      <c r="CH21" s="403"/>
      <c r="CI21" s="403"/>
      <c r="CJ21" s="403"/>
      <c r="CK21" s="403"/>
      <c r="CL21" s="403"/>
      <c r="CM21" s="403" t="s">
        <v>8036</v>
      </c>
      <c r="CN21" s="564"/>
    </row>
    <row r="22" spans="1:92" s="15" customFormat="1" x14ac:dyDescent="0.2">
      <c r="B22" s="569"/>
      <c r="C22" s="23"/>
      <c r="D22" s="5"/>
      <c r="F22" s="14"/>
      <c r="G22" s="194"/>
      <c r="H22" s="14"/>
      <c r="I22" s="14"/>
      <c r="L22" s="241"/>
      <c r="M22" s="277"/>
      <c r="O22" s="403"/>
      <c r="P22" s="403"/>
      <c r="Q22" s="403"/>
      <c r="R22" s="403"/>
      <c r="S22" s="403"/>
      <c r="T22" s="403"/>
      <c r="U22" s="403"/>
      <c r="V22" s="403"/>
      <c r="W22" s="403"/>
      <c r="X22" s="403"/>
      <c r="Y22" s="403"/>
      <c r="Z22" s="403"/>
      <c r="AA22" s="403"/>
      <c r="AB22" s="403"/>
      <c r="AC22" s="403"/>
      <c r="AD22" s="403"/>
      <c r="AE22" s="403"/>
      <c r="AF22" s="403"/>
      <c r="AG22" s="403"/>
      <c r="AH22" s="403"/>
      <c r="AI22" s="403"/>
      <c r="AJ22" s="403"/>
      <c r="AK22" s="403"/>
      <c r="AL22" s="403"/>
      <c r="AM22" s="403"/>
      <c r="AN22" s="403"/>
      <c r="AO22" s="403"/>
      <c r="AP22" s="403"/>
      <c r="AQ22" s="403"/>
      <c r="AR22" s="403"/>
      <c r="AS22" s="403"/>
      <c r="AT22" s="403"/>
      <c r="AU22" s="403"/>
      <c r="AV22" s="403"/>
      <c r="AW22" s="403"/>
      <c r="AX22" s="403"/>
      <c r="AY22" s="403"/>
      <c r="AZ22" s="403"/>
      <c r="BA22" s="403"/>
      <c r="BB22" s="403"/>
      <c r="BC22" s="403"/>
      <c r="BD22" s="403"/>
      <c r="BE22" s="403"/>
      <c r="BF22" s="403"/>
      <c r="BG22" s="403"/>
      <c r="BH22" s="403"/>
      <c r="BI22" s="403"/>
      <c r="BJ22" s="403"/>
      <c r="BK22" s="403"/>
      <c r="BL22" s="403"/>
      <c r="BM22" s="403"/>
      <c r="BN22" s="403"/>
      <c r="BO22" s="403"/>
      <c r="BP22" s="403"/>
      <c r="BQ22" s="403"/>
      <c r="BR22" s="403"/>
      <c r="BS22" s="403"/>
      <c r="BT22" s="403"/>
      <c r="BU22" s="403"/>
      <c r="BV22" s="403"/>
      <c r="BW22" s="403"/>
      <c r="BX22" s="403"/>
      <c r="BY22" s="403"/>
      <c r="BZ22" s="403"/>
      <c r="CA22" s="403"/>
      <c r="CB22" s="403"/>
      <c r="CC22" s="650"/>
      <c r="CD22" s="403"/>
      <c r="CE22" s="403"/>
      <c r="CF22" s="403"/>
      <c r="CG22" s="403"/>
      <c r="CH22" s="403"/>
      <c r="CI22" s="403"/>
      <c r="CJ22" s="403"/>
      <c r="CK22" s="403"/>
      <c r="CL22" s="403"/>
      <c r="CM22" s="403"/>
      <c r="CN22" s="564"/>
    </row>
    <row r="23" spans="1:92" s="15" customFormat="1" x14ac:dyDescent="0.2">
      <c r="A23" s="508"/>
      <c r="B23" s="92" t="str">
        <f ca="1">IF(OFFSET(Q23,0,Lang_Order*Lang__A3)="","",OFFSET(Q23,0,Lang_Order*Lang__A3))</f>
        <v>Other non-wage costs per Vaccinator per Day (Mobile Teams)</v>
      </c>
      <c r="D23" s="23"/>
      <c r="F23" s="14"/>
      <c r="G23" s="194"/>
      <c r="H23" s="14"/>
      <c r="I23" s="11" t="e">
        <f>SUM(H24:H26)</f>
        <v>#N/A</v>
      </c>
      <c r="J23" s="12" t="str">
        <f ca="1">IF(OFFSET(Y23,0,Lang_Order*Lang__A3)="","",OFFSET(Y23,0,Lang_Order*Lang__A3))</f>
        <v>e.g., food rations, accomodation, and other expenses. For DM4 (Outreach) only.</v>
      </c>
      <c r="L23" s="241"/>
      <c r="M23" s="277"/>
      <c r="O23" s="403"/>
      <c r="P23" s="403"/>
      <c r="Q23" s="403" t="s">
        <v>2959</v>
      </c>
      <c r="R23" s="403"/>
      <c r="S23" s="403"/>
      <c r="T23" s="403"/>
      <c r="U23" s="403"/>
      <c r="V23" s="403"/>
      <c r="W23" s="403"/>
      <c r="X23" s="403"/>
      <c r="Y23" s="403" t="s">
        <v>4567</v>
      </c>
      <c r="Z23" s="403"/>
      <c r="AA23" s="403"/>
      <c r="AB23" s="403" t="s">
        <v>8037</v>
      </c>
      <c r="AC23" s="403"/>
      <c r="AD23" s="403"/>
      <c r="AE23" s="403"/>
      <c r="AF23" s="403"/>
      <c r="AG23" s="403"/>
      <c r="AH23" s="403"/>
      <c r="AI23" s="403"/>
      <c r="AJ23" s="403" t="s">
        <v>13728</v>
      </c>
      <c r="AK23" s="403"/>
      <c r="AL23" s="403"/>
      <c r="AM23" s="403" t="s">
        <v>8038</v>
      </c>
      <c r="AN23" s="403"/>
      <c r="AO23" s="403"/>
      <c r="AP23" s="403"/>
      <c r="AQ23" s="403"/>
      <c r="AR23" s="403"/>
      <c r="AS23" s="403"/>
      <c r="AT23" s="403"/>
      <c r="AU23" s="403" t="s">
        <v>13729</v>
      </c>
      <c r="AV23" s="403"/>
      <c r="AW23" s="403"/>
      <c r="AX23" s="403" t="s">
        <v>8039</v>
      </c>
      <c r="AY23" s="403"/>
      <c r="AZ23" s="403"/>
      <c r="BA23" s="403"/>
      <c r="BB23" s="403"/>
      <c r="BC23" s="403"/>
      <c r="BD23" s="403"/>
      <c r="BE23" s="403"/>
      <c r="BF23" s="403" t="s">
        <v>13730</v>
      </c>
      <c r="BG23" s="403"/>
      <c r="BH23" s="403"/>
      <c r="BI23" s="403" t="s">
        <v>8040</v>
      </c>
      <c r="BJ23" s="403"/>
      <c r="BK23" s="403"/>
      <c r="BL23" s="403"/>
      <c r="BM23" s="403"/>
      <c r="BN23" s="403"/>
      <c r="BO23" s="403"/>
      <c r="BP23" s="403"/>
      <c r="BQ23" s="403" t="s">
        <v>13731</v>
      </c>
      <c r="BR23" s="403"/>
      <c r="BS23" s="403"/>
      <c r="BT23" s="403" t="s">
        <v>8041</v>
      </c>
      <c r="BU23" s="403"/>
      <c r="BV23" s="403"/>
      <c r="BW23" s="403"/>
      <c r="BX23" s="403"/>
      <c r="BY23" s="403"/>
      <c r="BZ23" s="403"/>
      <c r="CA23" s="403"/>
      <c r="CB23" s="403" t="s">
        <v>13732</v>
      </c>
      <c r="CC23" s="650"/>
      <c r="CD23" s="403"/>
      <c r="CE23" s="403" t="s">
        <v>8042</v>
      </c>
      <c r="CF23" s="403"/>
      <c r="CG23" s="403"/>
      <c r="CH23" s="403"/>
      <c r="CI23" s="403"/>
      <c r="CJ23" s="403"/>
      <c r="CK23" s="403"/>
      <c r="CL23" s="403"/>
      <c r="CM23" s="403" t="s">
        <v>13733</v>
      </c>
      <c r="CN23" s="564"/>
    </row>
    <row r="24" spans="1:92" s="15" customFormat="1" x14ac:dyDescent="0.2">
      <c r="A24" s="354">
        <v>1</v>
      </c>
      <c r="B24" s="569"/>
      <c r="C24" s="374"/>
      <c r="D24" s="5"/>
      <c r="E24" s="494"/>
      <c r="F24" s="39"/>
      <c r="G24" s="4" t="str">
        <f t="shared" ref="G24" si="5">IF(AND(ISBLANK(E24),ISBLANK(F24)),"CHECK","OK")</f>
        <v>CHECK</v>
      </c>
      <c r="H24" s="236" t="e">
        <f>IF(ISBLANK(F24),E24/USD2LCU,F24)</f>
        <v>#N/A</v>
      </c>
      <c r="I24" s="14"/>
      <c r="J24" s="567"/>
      <c r="K24" s="587"/>
      <c r="L24" s="241"/>
      <c r="M24" s="277"/>
      <c r="O24" s="403"/>
      <c r="P24" s="403"/>
      <c r="Q24" s="403"/>
      <c r="R24" s="403" t="s">
        <v>1653</v>
      </c>
      <c r="S24" s="403"/>
      <c r="T24" s="403"/>
      <c r="U24" s="403"/>
      <c r="V24" s="403"/>
      <c r="W24" s="403"/>
      <c r="X24" s="403"/>
      <c r="Y24" s="403"/>
      <c r="Z24" s="403"/>
      <c r="AA24" s="403"/>
      <c r="AB24" s="403"/>
      <c r="AC24" s="403" t="s">
        <v>8043</v>
      </c>
      <c r="AD24" s="403"/>
      <c r="AE24" s="403"/>
      <c r="AF24" s="403"/>
      <c r="AG24" s="403"/>
      <c r="AH24" s="403"/>
      <c r="AI24" s="403"/>
      <c r="AJ24" s="403"/>
      <c r="AK24" s="403"/>
      <c r="AL24" s="403"/>
      <c r="AM24" s="403"/>
      <c r="AN24" s="403" t="s">
        <v>8044</v>
      </c>
      <c r="AO24" s="403"/>
      <c r="AP24" s="403"/>
      <c r="AQ24" s="403"/>
      <c r="AR24" s="403"/>
      <c r="AS24" s="403"/>
      <c r="AT24" s="403"/>
      <c r="AU24" s="403"/>
      <c r="AV24" s="403"/>
      <c r="AW24" s="403"/>
      <c r="AX24" s="403"/>
      <c r="AY24" s="403" t="s">
        <v>8045</v>
      </c>
      <c r="AZ24" s="403"/>
      <c r="BA24" s="403"/>
      <c r="BB24" s="403"/>
      <c r="BC24" s="403"/>
      <c r="BD24" s="403"/>
      <c r="BE24" s="403"/>
      <c r="BF24" s="403"/>
      <c r="BG24" s="403"/>
      <c r="BH24" s="403"/>
      <c r="BI24" s="403"/>
      <c r="BJ24" s="403" t="s">
        <v>8046</v>
      </c>
      <c r="BK24" s="403"/>
      <c r="BL24" s="403"/>
      <c r="BM24" s="403"/>
      <c r="BN24" s="403"/>
      <c r="BO24" s="403"/>
      <c r="BP24" s="403"/>
      <c r="BQ24" s="403"/>
      <c r="BR24" s="403"/>
      <c r="BS24" s="403"/>
      <c r="BT24" s="403"/>
      <c r="BU24" s="403" t="s">
        <v>8047</v>
      </c>
      <c r="BV24" s="403"/>
      <c r="BW24" s="403"/>
      <c r="BX24" s="403"/>
      <c r="BY24" s="403"/>
      <c r="BZ24" s="403"/>
      <c r="CA24" s="403"/>
      <c r="CB24" s="403"/>
      <c r="CC24" s="650"/>
      <c r="CD24" s="403"/>
      <c r="CE24" s="403"/>
      <c r="CF24" s="403" t="s">
        <v>8048</v>
      </c>
      <c r="CG24" s="403"/>
      <c r="CH24" s="403"/>
      <c r="CI24" s="403"/>
      <c r="CJ24" s="403"/>
      <c r="CK24" s="403"/>
      <c r="CL24" s="403"/>
      <c r="CM24" s="403"/>
      <c r="CN24" s="564"/>
    </row>
    <row r="25" spans="1:92" s="15" customFormat="1" x14ac:dyDescent="0.2">
      <c r="A25" s="350">
        <v>2</v>
      </c>
      <c r="B25" s="569"/>
      <c r="C25" s="374"/>
      <c r="D25" s="5"/>
      <c r="E25" s="494"/>
      <c r="F25" s="39"/>
      <c r="G25" s="194"/>
      <c r="H25" s="236" t="e">
        <f>IF(ISBLANK(F25),E25/USD2LCU,F25)</f>
        <v>#N/A</v>
      </c>
      <c r="I25" s="14"/>
      <c r="J25" s="567"/>
      <c r="K25" s="587"/>
      <c r="L25" s="241"/>
      <c r="M25" s="277"/>
      <c r="O25" s="403"/>
      <c r="P25" s="403"/>
      <c r="Q25" s="403"/>
      <c r="R25" s="403" t="s">
        <v>1655</v>
      </c>
      <c r="S25" s="403"/>
      <c r="T25" s="403"/>
      <c r="U25" s="403"/>
      <c r="V25" s="403"/>
      <c r="W25" s="403"/>
      <c r="X25" s="403"/>
      <c r="Y25" s="403"/>
      <c r="Z25" s="403"/>
      <c r="AA25" s="403"/>
      <c r="AB25" s="403"/>
      <c r="AC25" s="403" t="s">
        <v>8049</v>
      </c>
      <c r="AD25" s="403"/>
      <c r="AE25" s="403"/>
      <c r="AF25" s="403"/>
      <c r="AG25" s="403"/>
      <c r="AH25" s="403"/>
      <c r="AI25" s="403"/>
      <c r="AJ25" s="403"/>
      <c r="AK25" s="403"/>
      <c r="AL25" s="403"/>
      <c r="AM25" s="403"/>
      <c r="AN25" s="403" t="s">
        <v>8050</v>
      </c>
      <c r="AO25" s="403"/>
      <c r="AP25" s="403"/>
      <c r="AQ25" s="403"/>
      <c r="AR25" s="403"/>
      <c r="AS25" s="403"/>
      <c r="AT25" s="403"/>
      <c r="AU25" s="403"/>
      <c r="AV25" s="403"/>
      <c r="AW25" s="403"/>
      <c r="AX25" s="403"/>
      <c r="AY25" s="403" t="s">
        <v>8051</v>
      </c>
      <c r="AZ25" s="403"/>
      <c r="BA25" s="403"/>
      <c r="BB25" s="403"/>
      <c r="BC25" s="403"/>
      <c r="BD25" s="403"/>
      <c r="BE25" s="403"/>
      <c r="BF25" s="403"/>
      <c r="BG25" s="403"/>
      <c r="BH25" s="403"/>
      <c r="BI25" s="403"/>
      <c r="BJ25" s="403" t="s">
        <v>8052</v>
      </c>
      <c r="BK25" s="403"/>
      <c r="BL25" s="403"/>
      <c r="BM25" s="403"/>
      <c r="BN25" s="403"/>
      <c r="BO25" s="403"/>
      <c r="BP25" s="403"/>
      <c r="BQ25" s="403"/>
      <c r="BR25" s="403"/>
      <c r="BS25" s="403"/>
      <c r="BT25" s="403"/>
      <c r="BU25" s="403" t="s">
        <v>8053</v>
      </c>
      <c r="BV25" s="403"/>
      <c r="BW25" s="403"/>
      <c r="BX25" s="403"/>
      <c r="BY25" s="403"/>
      <c r="BZ25" s="403"/>
      <c r="CA25" s="403"/>
      <c r="CB25" s="403"/>
      <c r="CC25" s="650"/>
      <c r="CD25" s="403"/>
      <c r="CE25" s="403"/>
      <c r="CF25" s="403" t="s">
        <v>8054</v>
      </c>
      <c r="CG25" s="403"/>
      <c r="CH25" s="403"/>
      <c r="CI25" s="403"/>
      <c r="CJ25" s="403"/>
      <c r="CK25" s="403"/>
      <c r="CL25" s="403"/>
      <c r="CM25" s="403"/>
      <c r="CN25" s="564"/>
    </row>
    <row r="26" spans="1:92" s="15" customFormat="1" x14ac:dyDescent="0.2">
      <c r="A26" s="350">
        <v>2</v>
      </c>
      <c r="B26" s="569"/>
      <c r="C26" s="374"/>
      <c r="D26" s="5"/>
      <c r="E26" s="494"/>
      <c r="F26" s="39"/>
      <c r="G26" s="194"/>
      <c r="H26" s="236" t="e">
        <f>IF(ISBLANK(F26),E26/USD2LCU,F26)</f>
        <v>#N/A</v>
      </c>
      <c r="I26" s="14"/>
      <c r="J26" s="567"/>
      <c r="K26" s="587"/>
      <c r="L26" s="241"/>
      <c r="M26" s="277"/>
      <c r="O26" s="403"/>
      <c r="P26" s="403"/>
      <c r="Q26" s="403"/>
      <c r="R26" s="403" t="s">
        <v>1656</v>
      </c>
      <c r="S26" s="403"/>
      <c r="T26" s="403"/>
      <c r="U26" s="403"/>
      <c r="V26" s="403"/>
      <c r="W26" s="403"/>
      <c r="X26" s="403"/>
      <c r="Y26" s="403" t="s">
        <v>2887</v>
      </c>
      <c r="Z26" s="403"/>
      <c r="AA26" s="403"/>
      <c r="AB26" s="403"/>
      <c r="AC26" s="403" t="s">
        <v>8055</v>
      </c>
      <c r="AD26" s="403"/>
      <c r="AE26" s="403"/>
      <c r="AF26" s="403"/>
      <c r="AG26" s="403"/>
      <c r="AH26" s="403"/>
      <c r="AI26" s="403"/>
      <c r="AJ26" s="403" t="s">
        <v>8056</v>
      </c>
      <c r="AK26" s="403"/>
      <c r="AL26" s="403"/>
      <c r="AM26" s="403"/>
      <c r="AN26" s="403" t="s">
        <v>8057</v>
      </c>
      <c r="AO26" s="403"/>
      <c r="AP26" s="403"/>
      <c r="AQ26" s="403"/>
      <c r="AR26" s="403"/>
      <c r="AS26" s="403"/>
      <c r="AT26" s="403"/>
      <c r="AU26" s="403" t="s">
        <v>8058</v>
      </c>
      <c r="AV26" s="403"/>
      <c r="AW26" s="403"/>
      <c r="AX26" s="403"/>
      <c r="AY26" s="403" t="s">
        <v>8059</v>
      </c>
      <c r="AZ26" s="403"/>
      <c r="BA26" s="403"/>
      <c r="BB26" s="403"/>
      <c r="BC26" s="403"/>
      <c r="BD26" s="403"/>
      <c r="BE26" s="403"/>
      <c r="BF26" s="403" t="s">
        <v>8060</v>
      </c>
      <c r="BG26" s="403"/>
      <c r="BH26" s="403"/>
      <c r="BI26" s="403"/>
      <c r="BJ26" s="403" t="s">
        <v>8061</v>
      </c>
      <c r="BK26" s="403"/>
      <c r="BL26" s="403"/>
      <c r="BM26" s="403"/>
      <c r="BN26" s="403"/>
      <c r="BO26" s="403"/>
      <c r="BP26" s="403"/>
      <c r="BQ26" s="403" t="s">
        <v>8062</v>
      </c>
      <c r="BR26" s="403"/>
      <c r="BS26" s="403"/>
      <c r="BT26" s="403"/>
      <c r="BU26" s="403" t="s">
        <v>8063</v>
      </c>
      <c r="BV26" s="403"/>
      <c r="BW26" s="403"/>
      <c r="BX26" s="403"/>
      <c r="BY26" s="403"/>
      <c r="BZ26" s="403"/>
      <c r="CA26" s="403"/>
      <c r="CB26" s="403" t="s">
        <v>8064</v>
      </c>
      <c r="CC26" s="650"/>
      <c r="CD26" s="403"/>
      <c r="CE26" s="403"/>
      <c r="CF26" s="403" t="s">
        <v>8065</v>
      </c>
      <c r="CG26" s="403"/>
      <c r="CH26" s="403"/>
      <c r="CI26" s="403"/>
      <c r="CJ26" s="403"/>
      <c r="CK26" s="403"/>
      <c r="CL26" s="403"/>
      <c r="CM26" s="403" t="s">
        <v>8066</v>
      </c>
      <c r="CN26" s="564"/>
    </row>
    <row r="27" spans="1:92" s="15" customFormat="1" x14ac:dyDescent="0.2">
      <c r="B27" s="569"/>
      <c r="C27" s="9"/>
      <c r="F27" s="14"/>
      <c r="G27" s="194"/>
      <c r="H27" s="194"/>
      <c r="I27" s="14"/>
      <c r="L27" s="241"/>
      <c r="M27" s="277"/>
      <c r="O27" s="403"/>
      <c r="P27" s="403"/>
      <c r="Q27" s="403"/>
      <c r="R27" s="403"/>
      <c r="S27" s="403"/>
      <c r="T27" s="403"/>
      <c r="U27" s="403"/>
      <c r="V27" s="403"/>
      <c r="W27" s="403"/>
      <c r="X27" s="403"/>
      <c r="Y27" s="403"/>
      <c r="Z27" s="403"/>
      <c r="AA27" s="403"/>
      <c r="AB27" s="403"/>
      <c r="AC27" s="403"/>
      <c r="AD27" s="403"/>
      <c r="AE27" s="403"/>
      <c r="AF27" s="403"/>
      <c r="AG27" s="403"/>
      <c r="AH27" s="403"/>
      <c r="AI27" s="403"/>
      <c r="AJ27" s="403"/>
      <c r="AK27" s="403"/>
      <c r="AL27" s="403"/>
      <c r="AM27" s="403"/>
      <c r="AN27" s="403"/>
      <c r="AO27" s="403"/>
      <c r="AP27" s="403"/>
      <c r="AQ27" s="403"/>
      <c r="AR27" s="403"/>
      <c r="AS27" s="403"/>
      <c r="AT27" s="403"/>
      <c r="AU27" s="403"/>
      <c r="AV27" s="403"/>
      <c r="AW27" s="403"/>
      <c r="AX27" s="403"/>
      <c r="AY27" s="403"/>
      <c r="AZ27" s="403"/>
      <c r="BA27" s="403"/>
      <c r="BB27" s="403"/>
      <c r="BC27" s="403"/>
      <c r="BD27" s="403"/>
      <c r="BE27" s="403"/>
      <c r="BF27" s="403"/>
      <c r="BG27" s="403"/>
      <c r="BH27" s="403"/>
      <c r="BI27" s="403"/>
      <c r="BJ27" s="403"/>
      <c r="BK27" s="403"/>
      <c r="BL27" s="403"/>
      <c r="BM27" s="403"/>
      <c r="BN27" s="403"/>
      <c r="BO27" s="403"/>
      <c r="BP27" s="403"/>
      <c r="BQ27" s="403"/>
      <c r="BR27" s="403"/>
      <c r="BS27" s="403"/>
      <c r="BT27" s="403"/>
      <c r="BU27" s="403"/>
      <c r="BV27" s="403"/>
      <c r="BW27" s="403"/>
      <c r="BX27" s="403"/>
      <c r="BY27" s="403"/>
      <c r="BZ27" s="403"/>
      <c r="CA27" s="403"/>
      <c r="CB27" s="403"/>
      <c r="CC27" s="650"/>
      <c r="CD27" s="403"/>
      <c r="CE27" s="403"/>
      <c r="CF27" s="403"/>
      <c r="CG27" s="403"/>
      <c r="CH27" s="403"/>
      <c r="CI27" s="403"/>
      <c r="CJ27" s="403"/>
      <c r="CK27" s="403"/>
      <c r="CL27" s="403"/>
      <c r="CM27" s="403"/>
      <c r="CN27" s="564"/>
    </row>
    <row r="28" spans="1:92" s="8" customFormat="1" ht="15" x14ac:dyDescent="0.25">
      <c r="A28" s="8" t="str">
        <f ca="1">IF(OFFSET(P28,0,Lang_Order*Lang__A3)="","",OFFSET(P28,0,Lang_Order*Lang__A3))</f>
        <v>A3.2 Vaccine-related supplies, incl. freight</v>
      </c>
      <c r="B28" s="33"/>
      <c r="C28" s="19"/>
      <c r="D28" s="343" t="str">
        <f ca="1">IF(OFFSET(S28,0,Lang_Order*Lang__A3)="","",OFFSET(S28,0,Lang_Order*Lang__A3))</f>
        <v>Customs?</v>
      </c>
      <c r="E28" s="408" t="str">
        <f>CONCATENATE(Lang_LCU,": ",LCU)</f>
        <v xml:space="preserve">LCU: </v>
      </c>
      <c r="F28" s="610" t="str">
        <f ca="1">IF(OFFSET(U28,0,Lang_Order*Lang__A3)="","",OFFSET(U28,0,Lang_Order*Lang__A3))</f>
        <v>Override in USD</v>
      </c>
      <c r="G28" s="234"/>
      <c r="H28" s="234" t="s">
        <v>2635</v>
      </c>
      <c r="I28" s="219" t="s">
        <v>26</v>
      </c>
      <c r="J28" s="8" t="str">
        <f ca="1">IF(OFFSET(Y28,0,Lang_Order*Lang__A3)="","",OFFSET(Y28,0,Lang_Order*Lang__A3))</f>
        <v>Comments</v>
      </c>
      <c r="K28" s="8" t="str">
        <f ca="1">IF(OFFSET(Z28,0,Lang_Order*Lang__A3)="","",OFFSET(Z28,0,Lang_Order*Lang__A3))</f>
        <v>User Notes</v>
      </c>
      <c r="M28" s="311" t="s">
        <v>3848</v>
      </c>
      <c r="O28" s="403"/>
      <c r="P28" s="403" t="s">
        <v>4385</v>
      </c>
      <c r="Q28" s="403"/>
      <c r="R28" s="403"/>
      <c r="S28" s="403" t="s">
        <v>3816</v>
      </c>
      <c r="T28" s="403"/>
      <c r="U28" s="403" t="s">
        <v>2977</v>
      </c>
      <c r="V28" s="403"/>
      <c r="W28" s="403"/>
      <c r="X28" s="403"/>
      <c r="Y28" s="403" t="s">
        <v>13980</v>
      </c>
      <c r="Z28" s="403" t="s">
        <v>13981</v>
      </c>
      <c r="AA28" s="403" t="s">
        <v>8067</v>
      </c>
      <c r="AB28" s="403"/>
      <c r="AC28" s="403"/>
      <c r="AD28" s="403" t="s">
        <v>8068</v>
      </c>
      <c r="AE28" s="403"/>
      <c r="AF28" s="403" t="s">
        <v>7897</v>
      </c>
      <c r="AG28" s="403"/>
      <c r="AH28" s="403"/>
      <c r="AI28" s="403"/>
      <c r="AJ28" s="403" t="s">
        <v>14071</v>
      </c>
      <c r="AK28" s="403" t="s">
        <v>14076</v>
      </c>
      <c r="AL28" s="403" t="s">
        <v>8069</v>
      </c>
      <c r="AM28" s="403"/>
      <c r="AN28" s="403"/>
      <c r="AO28" s="403" t="s">
        <v>8070</v>
      </c>
      <c r="AP28" s="403"/>
      <c r="AQ28" s="403" t="s">
        <v>7900</v>
      </c>
      <c r="AR28" s="403"/>
      <c r="AS28" s="403"/>
      <c r="AT28" s="403"/>
      <c r="AU28" s="403" t="s">
        <v>14072</v>
      </c>
      <c r="AV28" s="403" t="s">
        <v>14077</v>
      </c>
      <c r="AW28" s="403" t="s">
        <v>8071</v>
      </c>
      <c r="AX28" s="403"/>
      <c r="AY28" s="403"/>
      <c r="AZ28" s="403" t="s">
        <v>8072</v>
      </c>
      <c r="BA28" s="403"/>
      <c r="BB28" s="403" t="s">
        <v>7903</v>
      </c>
      <c r="BC28" s="403"/>
      <c r="BD28" s="403"/>
      <c r="BE28" s="403"/>
      <c r="BF28" s="403" t="s">
        <v>14073</v>
      </c>
      <c r="BG28" s="403" t="s">
        <v>14078</v>
      </c>
      <c r="BH28" s="403" t="s">
        <v>8073</v>
      </c>
      <c r="BI28" s="403"/>
      <c r="BJ28" s="403"/>
      <c r="BK28" s="403" t="s">
        <v>8074</v>
      </c>
      <c r="BL28" s="403"/>
      <c r="BM28" s="403" t="s">
        <v>7906</v>
      </c>
      <c r="BN28" s="403"/>
      <c r="BO28" s="403"/>
      <c r="BP28" s="403"/>
      <c r="BQ28" s="403" t="s">
        <v>14074</v>
      </c>
      <c r="BR28" s="403" t="s">
        <v>14079</v>
      </c>
      <c r="BS28" s="403" t="s">
        <v>8075</v>
      </c>
      <c r="BT28" s="403"/>
      <c r="BU28" s="403"/>
      <c r="BV28" s="403" t="s">
        <v>8076</v>
      </c>
      <c r="BW28" s="403"/>
      <c r="BX28" s="403" t="s">
        <v>7908</v>
      </c>
      <c r="BY28" s="403"/>
      <c r="BZ28" s="403"/>
      <c r="CA28" s="403"/>
      <c r="CB28" s="403" t="s">
        <v>14075</v>
      </c>
      <c r="CC28" s="650" t="s">
        <v>14080</v>
      </c>
      <c r="CD28" s="403" t="s">
        <v>8077</v>
      </c>
      <c r="CE28" s="403"/>
      <c r="CF28" s="403"/>
      <c r="CG28" s="403" t="s">
        <v>8078</v>
      </c>
      <c r="CH28" s="403"/>
      <c r="CI28" s="403" t="s">
        <v>7911</v>
      </c>
      <c r="CJ28" s="403"/>
      <c r="CK28" s="403"/>
      <c r="CL28" s="403"/>
      <c r="CM28" s="403" t="s">
        <v>5455</v>
      </c>
      <c r="CN28" s="564" t="s">
        <v>14081</v>
      </c>
    </row>
    <row r="29" spans="1:92" s="299" customFormat="1" ht="52.5" customHeight="1" x14ac:dyDescent="0.25">
      <c r="B29" s="528"/>
      <c r="C29" s="679" t="str">
        <f ca="1">IF(OFFSET(R29,0,Lang_Order*Lang__A3)="","",OFFSET(R29,0,Lang_Order*Lang__A3))</f>
        <v>Notes: The unit prices of vaccine-related supplies are overridden here. You may leave this section blank to will default to auto-updateable parameters.
Electronic records: Depending on the system used / procured, the costs can be included here (as a per dose unit cost) and/or in A3.6 (per site/team and/or per site-day)</v>
      </c>
      <c r="D29" s="679"/>
      <c r="E29" s="679"/>
      <c r="F29" s="679"/>
      <c r="G29" s="679"/>
      <c r="H29" s="679"/>
      <c r="I29" s="679"/>
      <c r="J29" s="78"/>
      <c r="L29" s="2"/>
      <c r="M29" s="389" t="s">
        <v>26</v>
      </c>
      <c r="N29" s="481" t="s">
        <v>4386</v>
      </c>
      <c r="O29" s="403"/>
      <c r="P29" s="403"/>
      <c r="Q29" s="403"/>
      <c r="R29" s="566" t="s">
        <v>13804</v>
      </c>
      <c r="S29" s="566"/>
      <c r="T29" s="566"/>
      <c r="U29" s="566"/>
      <c r="V29" s="566"/>
      <c r="W29" s="566"/>
      <c r="X29" s="566"/>
      <c r="Y29" s="566"/>
      <c r="Z29" s="566"/>
      <c r="AA29" s="566"/>
      <c r="AB29" s="566"/>
      <c r="AC29" s="566" t="s">
        <v>8079</v>
      </c>
      <c r="AD29" s="566"/>
      <c r="AE29" s="566"/>
      <c r="AF29" s="566"/>
      <c r="AG29" s="566"/>
      <c r="AH29" s="566"/>
      <c r="AI29" s="566"/>
      <c r="AJ29" s="566"/>
      <c r="AK29" s="566"/>
      <c r="AL29" s="566"/>
      <c r="AM29" s="566"/>
      <c r="AN29" s="566" t="s">
        <v>13805</v>
      </c>
      <c r="AO29" s="566"/>
      <c r="AP29" s="566"/>
      <c r="AQ29" s="566"/>
      <c r="AR29" s="566"/>
      <c r="AS29" s="566"/>
      <c r="AT29" s="566"/>
      <c r="AU29" s="566"/>
      <c r="AV29" s="566"/>
      <c r="AW29" s="566"/>
      <c r="AX29" s="566"/>
      <c r="AY29" s="566" t="s">
        <v>13806</v>
      </c>
      <c r="AZ29" s="566"/>
      <c r="BA29" s="566"/>
      <c r="BB29" s="566"/>
      <c r="BC29" s="566"/>
      <c r="BD29" s="566"/>
      <c r="BE29" s="566"/>
      <c r="BF29" s="566"/>
      <c r="BG29" s="566"/>
      <c r="BH29" s="566"/>
      <c r="BI29" s="566"/>
      <c r="BJ29" s="566" t="s">
        <v>8080</v>
      </c>
      <c r="BK29" s="566"/>
      <c r="BL29" s="566"/>
      <c r="BM29" s="566"/>
      <c r="BN29" s="566"/>
      <c r="BO29" s="566"/>
      <c r="BP29" s="566"/>
      <c r="BQ29" s="566"/>
      <c r="BR29" s="566"/>
      <c r="BS29" s="566"/>
      <c r="BT29" s="566"/>
      <c r="BU29" s="566" t="s">
        <v>13807</v>
      </c>
      <c r="BV29" s="566"/>
      <c r="BW29" s="566"/>
      <c r="BX29" s="566"/>
      <c r="BY29" s="566"/>
      <c r="BZ29" s="566"/>
      <c r="CA29" s="566"/>
      <c r="CB29" s="566"/>
      <c r="CC29" s="651"/>
      <c r="CD29" s="566"/>
      <c r="CE29" s="566"/>
      <c r="CF29" s="566" t="s">
        <v>13808</v>
      </c>
      <c r="CG29" s="566"/>
      <c r="CH29" s="566"/>
      <c r="CI29" s="566"/>
      <c r="CJ29" s="566"/>
      <c r="CK29" s="566"/>
      <c r="CL29" s="566"/>
      <c r="CM29" s="566"/>
      <c r="CN29" s="564"/>
    </row>
    <row r="30" spans="1:92" ht="38.25" x14ac:dyDescent="0.2">
      <c r="A30" s="9"/>
      <c r="C30" s="23"/>
      <c r="D30" s="348" t="str">
        <f ca="1">IF(OFFSET(S30,0,Lang_Order*Lang__A3)="","",OFFSET(S30,0,Lang_Order*Lang__A3))</f>
        <v>Are these supplies subject to customs clearance?</v>
      </c>
      <c r="E30" s="688" t="str">
        <f ca="1">IF(OFFSET(T30,0,Lang_Order*Lang__A3)="","",OFFSET(T30,0,Lang_Order*Lang__A3))</f>
        <v>Leave these cells blank to use default unit costs</v>
      </c>
      <c r="F30" s="688" t="str">
        <f ca="1">IF(OFFSET(U30,0,Lang_Order*Lang__A3)="","",OFFSET(U30,0,Lang_Order*Lang__A3))</f>
        <v/>
      </c>
      <c r="G30" s="5"/>
      <c r="H30" s="5"/>
      <c r="I30" s="220"/>
      <c r="J30" s="86" t="str">
        <f ca="1">IF(OFFSET(Y30,0,Lang_Order*Lang__A3)="","",OFFSET(Y30,0,Lang_Order*Lang__A3))</f>
        <v>Click here to change or view vaccine specifications @ T1. Vaccines</v>
      </c>
      <c r="L30" s="2"/>
      <c r="M30" s="314"/>
      <c r="N30" s="25"/>
      <c r="S30" s="403" t="s">
        <v>3817</v>
      </c>
      <c r="T30" s="403" t="s">
        <v>3974</v>
      </c>
      <c r="Y30" s="403" t="s">
        <v>2964</v>
      </c>
      <c r="AD30" s="403" t="s">
        <v>8081</v>
      </c>
      <c r="AE30" s="403" t="s">
        <v>8082</v>
      </c>
      <c r="AJ30" s="403" t="s">
        <v>8083</v>
      </c>
      <c r="AO30" s="403" t="s">
        <v>8084</v>
      </c>
      <c r="AP30" s="403" t="s">
        <v>8085</v>
      </c>
      <c r="AU30" s="403" t="s">
        <v>8086</v>
      </c>
      <c r="AZ30" s="403" t="s">
        <v>8087</v>
      </c>
      <c r="BA30" s="403" t="s">
        <v>8088</v>
      </c>
      <c r="BF30" s="403" t="s">
        <v>8089</v>
      </c>
      <c r="BK30" s="403" t="s">
        <v>8090</v>
      </c>
      <c r="BL30" s="403" t="s">
        <v>8091</v>
      </c>
      <c r="BQ30" s="403" t="s">
        <v>8092</v>
      </c>
      <c r="BV30" s="403" t="s">
        <v>8093</v>
      </c>
      <c r="BW30" s="403" t="s">
        <v>8094</v>
      </c>
      <c r="CB30" s="403" t="s">
        <v>8095</v>
      </c>
      <c r="CG30" s="403" t="s">
        <v>8096</v>
      </c>
      <c r="CH30" s="403" t="s">
        <v>8097</v>
      </c>
      <c r="CM30" s="403" t="s">
        <v>8098</v>
      </c>
    </row>
    <row r="31" spans="1:92" x14ac:dyDescent="0.2">
      <c r="A31" s="350">
        <v>2</v>
      </c>
      <c r="B31" s="584">
        <v>0</v>
      </c>
      <c r="C31" s="270" t="str">
        <f t="shared" ref="C31:C43" ca="1" si="6">OFFSET(_Offset_Index_VaccineSupplies,0,B31)</f>
        <v>Low Dead Space Syringe (0.3ml) AD</v>
      </c>
      <c r="D31" s="36" t="s">
        <v>2672</v>
      </c>
      <c r="E31" s="494"/>
      <c r="F31" s="39"/>
      <c r="G31" s="5"/>
      <c r="H31" s="5"/>
      <c r="I31" s="11">
        <f t="shared" ref="I31:I41" ca="1" si="7">IF(ISBLANK(F31),IF(ISBLANK(E31),M31,E31/USD2LCU),F31)</f>
        <v>0.05</v>
      </c>
      <c r="J31" s="299"/>
      <c r="K31" s="587"/>
      <c r="L31" s="2">
        <v>0</v>
      </c>
      <c r="M31" s="313">
        <f t="shared" ref="M31:M41" ca="1" si="8">_xlfn.NUMBERVALUE(OFFSET(_Offset_Index_VaccineSupplyPrices,2,L31))</f>
        <v>0.05</v>
      </c>
      <c r="N31" s="2">
        <f t="shared" ref="N31:N43" ca="1" si="9">_xlfn.NUMBERVALUE(OFFSET(_Offset_Index_VaccineSupplyPrices,4,L31))</f>
        <v>1</v>
      </c>
    </row>
    <row r="32" spans="1:92" x14ac:dyDescent="0.2">
      <c r="A32" s="350">
        <v>2</v>
      </c>
      <c r="B32" s="584">
        <v>1</v>
      </c>
      <c r="C32" s="5" t="str">
        <f t="shared" ca="1" si="6"/>
        <v>Syringe (0.5ml) AD</v>
      </c>
      <c r="D32" s="36" t="s">
        <v>2672</v>
      </c>
      <c r="E32" s="494"/>
      <c r="F32" s="39"/>
      <c r="G32" s="5"/>
      <c r="H32" s="5"/>
      <c r="I32" s="11">
        <f t="shared" ca="1" si="7"/>
        <v>0.05</v>
      </c>
      <c r="J32" s="299"/>
      <c r="K32" s="587"/>
      <c r="L32" s="2">
        <v>1</v>
      </c>
      <c r="M32" s="313">
        <f t="shared" ca="1" si="8"/>
        <v>0.05</v>
      </c>
      <c r="N32" s="2">
        <f t="shared" ca="1" si="9"/>
        <v>1</v>
      </c>
    </row>
    <row r="33" spans="1:92" x14ac:dyDescent="0.2">
      <c r="A33" s="350">
        <v>2</v>
      </c>
      <c r="B33" s="584">
        <v>2</v>
      </c>
      <c r="C33" s="5" t="str">
        <f t="shared" ca="1" si="6"/>
        <v>23G needle</v>
      </c>
      <c r="D33" s="36" t="s">
        <v>2672</v>
      </c>
      <c r="E33" s="494"/>
      <c r="F33" s="39"/>
      <c r="G33" s="5"/>
      <c r="H33" s="5"/>
      <c r="I33" s="11">
        <f t="shared" ca="1" si="7"/>
        <v>0.01</v>
      </c>
      <c r="J33" s="299"/>
      <c r="K33" s="587"/>
      <c r="L33" s="2">
        <v>2</v>
      </c>
      <c r="M33" s="313">
        <f t="shared" ca="1" si="8"/>
        <v>0.01</v>
      </c>
      <c r="N33" s="2">
        <f t="shared" ca="1" si="9"/>
        <v>1</v>
      </c>
    </row>
    <row r="34" spans="1:92" x14ac:dyDescent="0.2">
      <c r="A34" s="350">
        <v>2</v>
      </c>
      <c r="B34" s="584">
        <v>3</v>
      </c>
      <c r="C34" s="5" t="str">
        <f t="shared" ca="1" si="6"/>
        <v>Alcohol Swab, Plaster, Dry Swabs</v>
      </c>
      <c r="D34" s="36" t="s">
        <v>2672</v>
      </c>
      <c r="E34" s="494"/>
      <c r="F34" s="39"/>
      <c r="G34" s="5"/>
      <c r="H34" s="5"/>
      <c r="I34" s="11">
        <f t="shared" ca="1" si="7"/>
        <v>0.01</v>
      </c>
      <c r="J34" s="299"/>
      <c r="K34" s="587"/>
      <c r="L34" s="2">
        <v>3</v>
      </c>
      <c r="M34" s="313">
        <f t="shared" ca="1" si="8"/>
        <v>0.01</v>
      </c>
      <c r="N34" s="2">
        <f t="shared" ca="1" si="9"/>
        <v>0</v>
      </c>
    </row>
    <row r="35" spans="1:92" x14ac:dyDescent="0.2">
      <c r="A35" s="350">
        <v>2</v>
      </c>
      <c r="B35" s="584">
        <v>4</v>
      </c>
      <c r="C35" s="5" t="str">
        <f t="shared" ca="1" si="6"/>
        <v>21G needle</v>
      </c>
      <c r="D35" s="36" t="s">
        <v>2672</v>
      </c>
      <c r="E35" s="494"/>
      <c r="F35" s="39"/>
      <c r="G35" s="5"/>
      <c r="H35" s="5"/>
      <c r="I35" s="11">
        <f t="shared" ca="1" si="7"/>
        <v>0.01</v>
      </c>
      <c r="J35" s="299"/>
      <c r="K35" s="587"/>
      <c r="L35" s="2">
        <v>4</v>
      </c>
      <c r="M35" s="313">
        <f t="shared" ca="1" si="8"/>
        <v>0.01</v>
      </c>
      <c r="N35" s="2">
        <f t="shared" ca="1" si="9"/>
        <v>1</v>
      </c>
    </row>
    <row r="36" spans="1:92" x14ac:dyDescent="0.2">
      <c r="A36" s="350">
        <v>2</v>
      </c>
      <c r="B36" s="584">
        <v>5</v>
      </c>
      <c r="C36" s="5" t="str">
        <f t="shared" ca="1" si="6"/>
        <v>Sodium Chloride 0.9 % ampule 10mls</v>
      </c>
      <c r="D36" s="36" t="s">
        <v>2672</v>
      </c>
      <c r="E36" s="494"/>
      <c r="F36" s="39"/>
      <c r="G36" s="5"/>
      <c r="H36" s="5"/>
      <c r="I36" s="11">
        <f t="shared" ca="1" si="7"/>
        <v>0.05</v>
      </c>
      <c r="J36" s="299"/>
      <c r="K36" s="587"/>
      <c r="L36" s="2">
        <v>5</v>
      </c>
      <c r="M36" s="313">
        <f t="shared" ca="1" si="8"/>
        <v>0.05</v>
      </c>
      <c r="N36" s="2">
        <f t="shared" ca="1" si="9"/>
        <v>1</v>
      </c>
    </row>
    <row r="37" spans="1:92" x14ac:dyDescent="0.2">
      <c r="A37" s="350">
        <v>2</v>
      </c>
      <c r="B37" s="584">
        <v>6</v>
      </c>
      <c r="C37" s="5" t="str">
        <f t="shared" ca="1" si="6"/>
        <v>RUP syringe (3ml)</v>
      </c>
      <c r="D37" s="36" t="s">
        <v>2672</v>
      </c>
      <c r="E37" s="494"/>
      <c r="F37" s="39"/>
      <c r="G37" s="5"/>
      <c r="H37" s="5"/>
      <c r="I37" s="11">
        <f t="shared" ca="1" si="7"/>
        <v>0.06</v>
      </c>
      <c r="J37" s="299"/>
      <c r="K37" s="587"/>
      <c r="L37" s="2">
        <v>6</v>
      </c>
      <c r="M37" s="313">
        <f t="shared" ca="1" si="8"/>
        <v>0.06</v>
      </c>
      <c r="N37" s="2">
        <f t="shared" ca="1" si="9"/>
        <v>1</v>
      </c>
    </row>
    <row r="38" spans="1:92" x14ac:dyDescent="0.2">
      <c r="A38" s="350">
        <v>2</v>
      </c>
      <c r="B38" s="584">
        <v>7</v>
      </c>
      <c r="C38" s="5" t="str">
        <f t="shared" ca="1" si="6"/>
        <v>…</v>
      </c>
      <c r="D38" s="36" t="s">
        <v>2672</v>
      </c>
      <c r="E38" s="494"/>
      <c r="F38" s="39"/>
      <c r="G38" s="5"/>
      <c r="H38" s="5"/>
      <c r="I38" s="11">
        <f t="shared" ca="1" si="7"/>
        <v>0.01</v>
      </c>
      <c r="J38" s="299"/>
      <c r="K38" s="587"/>
      <c r="L38" s="2">
        <v>7</v>
      </c>
      <c r="M38" s="313">
        <f t="shared" ca="1" si="8"/>
        <v>0.01</v>
      </c>
      <c r="N38" s="2">
        <f t="shared" ca="1" si="9"/>
        <v>0</v>
      </c>
    </row>
    <row r="39" spans="1:92" x14ac:dyDescent="0.2">
      <c r="A39" s="350">
        <v>2</v>
      </c>
      <c r="B39" s="584">
        <v>8</v>
      </c>
      <c r="C39" s="5" t="str">
        <f t="shared" ca="1" si="6"/>
        <v>…</v>
      </c>
      <c r="D39" s="36" t="s">
        <v>2672</v>
      </c>
      <c r="E39" s="494"/>
      <c r="F39" s="39"/>
      <c r="G39" s="5"/>
      <c r="H39" s="5"/>
      <c r="I39" s="11">
        <f t="shared" ca="1" si="7"/>
        <v>0.01</v>
      </c>
      <c r="J39" s="299"/>
      <c r="K39" s="587"/>
      <c r="L39" s="2">
        <v>8</v>
      </c>
      <c r="M39" s="313">
        <f t="shared" ca="1" si="8"/>
        <v>0.01</v>
      </c>
      <c r="N39" s="2">
        <f t="shared" ca="1" si="9"/>
        <v>0</v>
      </c>
    </row>
    <row r="40" spans="1:92" x14ac:dyDescent="0.2">
      <c r="A40" s="350">
        <v>2</v>
      </c>
      <c r="B40" s="584">
        <v>9</v>
      </c>
      <c r="C40" s="5" t="str">
        <f t="shared" ca="1" si="6"/>
        <v>Sharps Disposal (5L)</v>
      </c>
      <c r="D40" s="36" t="s">
        <v>2672</v>
      </c>
      <c r="E40" s="494"/>
      <c r="F40" s="39"/>
      <c r="G40" s="5"/>
      <c r="H40" s="5"/>
      <c r="I40" s="11">
        <f t="shared" ca="1" si="7"/>
        <v>0.84</v>
      </c>
      <c r="J40" s="299"/>
      <c r="K40" s="587"/>
      <c r="L40" s="2">
        <v>9</v>
      </c>
      <c r="M40" s="313">
        <f t="shared" ca="1" si="8"/>
        <v>0.84</v>
      </c>
      <c r="N40" s="2">
        <f t="shared" ca="1" si="9"/>
        <v>1</v>
      </c>
    </row>
    <row r="41" spans="1:92" x14ac:dyDescent="0.2">
      <c r="A41" s="350">
        <v>2</v>
      </c>
      <c r="B41" s="584">
        <v>10</v>
      </c>
      <c r="C41" s="5" t="str">
        <f t="shared" ca="1" si="6"/>
        <v>Vaccination Card</v>
      </c>
      <c r="D41" s="36" t="s">
        <v>2672</v>
      </c>
      <c r="E41" s="494"/>
      <c r="F41" s="39"/>
      <c r="G41" s="5"/>
      <c r="H41" s="5"/>
      <c r="I41" s="11">
        <f t="shared" ca="1" si="7"/>
        <v>0.03</v>
      </c>
      <c r="J41" s="299"/>
      <c r="K41" s="587"/>
      <c r="L41" s="2">
        <v>10</v>
      </c>
      <c r="M41" s="313">
        <f t="shared" ca="1" si="8"/>
        <v>0.03</v>
      </c>
      <c r="N41" s="2"/>
    </row>
    <row r="42" spans="1:92" x14ac:dyDescent="0.2">
      <c r="A42" s="354">
        <v>1</v>
      </c>
      <c r="B42" s="584">
        <v>11</v>
      </c>
      <c r="C42" s="270" t="str">
        <f t="shared" ca="1" si="6"/>
        <v>Electronic Records</v>
      </c>
      <c r="D42" s="23"/>
      <c r="E42" s="494"/>
      <c r="F42" s="39"/>
      <c r="G42" s="4" t="str">
        <f>IF(AND(ISBLANK(E42),ISBLANK(F42)),"CHECK","OK")</f>
        <v>CHECK</v>
      </c>
      <c r="H42" s="5"/>
      <c r="I42" s="11" t="e">
        <f>IF(ISBLANK(F42),E42/USD2LCU,F42)</f>
        <v>#N/A</v>
      </c>
      <c r="J42" s="12" t="str">
        <f ca="1">IF(OFFSET(Y42,0,Lang_Order*Lang__A3)="","",OFFSET(Y42,0,Lang_Order*Lang__A3))</f>
        <v>This allows costing per dose for electronic vaccination and related records. These can also be costed per site / per team and per site-day.</v>
      </c>
      <c r="K42" s="587"/>
      <c r="L42" s="2">
        <v>11</v>
      </c>
      <c r="N42" s="2"/>
      <c r="Y42" s="403" t="s">
        <v>3973</v>
      </c>
      <c r="AJ42" s="403" t="s">
        <v>8099</v>
      </c>
      <c r="AU42" s="403" t="s">
        <v>8100</v>
      </c>
      <c r="BF42" s="403" t="s">
        <v>8101</v>
      </c>
      <c r="BQ42" s="403" t="s">
        <v>8102</v>
      </c>
      <c r="CB42" s="403" t="s">
        <v>8103</v>
      </c>
      <c r="CM42" s="403" t="s">
        <v>8104</v>
      </c>
    </row>
    <row r="43" spans="1:92" hidden="1" x14ac:dyDescent="0.2">
      <c r="A43" s="344" t="s">
        <v>14110</v>
      </c>
      <c r="B43" s="584">
        <v>12</v>
      </c>
      <c r="C43" s="5" t="str">
        <f t="shared" ca="1" si="6"/>
        <v>No fault compensation fund</v>
      </c>
      <c r="D43" s="23"/>
      <c r="E43" s="194"/>
      <c r="F43" s="14"/>
      <c r="I43" s="2">
        <v>1</v>
      </c>
      <c r="J43" s="12" t="str">
        <f ca="1">IF(OFFSET(Y43,0,Lang_Order*Lang__A3)="","",OFFSET(Y43,0,Lang_Order*Lang__A3))</f>
        <v>Set the no fault compensiation fund cost per dose (in USD) in Sheet T1 vaccine. Do not edit this row.</v>
      </c>
      <c r="L43" s="2">
        <v>12</v>
      </c>
      <c r="N43" s="2">
        <f t="shared" ca="1" si="9"/>
        <v>1</v>
      </c>
      <c r="Y43" s="403" t="s">
        <v>4269</v>
      </c>
      <c r="AJ43" s="403" t="s">
        <v>8105</v>
      </c>
      <c r="AU43" s="403" t="s">
        <v>8106</v>
      </c>
      <c r="BF43" s="403" t="s">
        <v>8107</v>
      </c>
      <c r="BQ43" s="403" t="s">
        <v>8108</v>
      </c>
      <c r="CB43" s="403" t="s">
        <v>8109</v>
      </c>
      <c r="CM43" s="403" t="s">
        <v>8110</v>
      </c>
    </row>
    <row r="44" spans="1:92" s="15" customFormat="1" x14ac:dyDescent="0.2">
      <c r="B44" s="528"/>
      <c r="D44" s="194"/>
      <c r="F44" s="14"/>
      <c r="H44" s="194"/>
      <c r="I44" s="14"/>
      <c r="L44" s="2"/>
      <c r="M44" s="277"/>
      <c r="O44" s="403"/>
      <c r="P44" s="403"/>
      <c r="Q44" s="403"/>
      <c r="R44" s="403"/>
      <c r="S44" s="403"/>
      <c r="T44" s="403"/>
      <c r="U44" s="403"/>
      <c r="V44" s="403"/>
      <c r="W44" s="403"/>
      <c r="X44" s="403"/>
      <c r="Y44" s="403"/>
      <c r="Z44" s="403"/>
      <c r="AA44" s="403"/>
      <c r="AB44" s="403"/>
      <c r="AC44" s="403"/>
      <c r="AD44" s="403"/>
      <c r="AE44" s="403"/>
      <c r="AF44" s="403"/>
      <c r="AG44" s="403"/>
      <c r="AH44" s="403"/>
      <c r="AI44" s="403"/>
      <c r="AJ44" s="403"/>
      <c r="AK44" s="403"/>
      <c r="AL44" s="403"/>
      <c r="AM44" s="403"/>
      <c r="AN44" s="403"/>
      <c r="AO44" s="403"/>
      <c r="AP44" s="403"/>
      <c r="AQ44" s="403"/>
      <c r="AR44" s="403"/>
      <c r="AS44" s="403"/>
      <c r="AT44" s="403"/>
      <c r="AU44" s="403"/>
      <c r="AV44" s="403"/>
      <c r="AW44" s="403"/>
      <c r="AX44" s="403"/>
      <c r="AY44" s="403"/>
      <c r="AZ44" s="403"/>
      <c r="BA44" s="403"/>
      <c r="BB44" s="403"/>
      <c r="BC44" s="403"/>
      <c r="BD44" s="403"/>
      <c r="BE44" s="403"/>
      <c r="BF44" s="403"/>
      <c r="BG44" s="403"/>
      <c r="BH44" s="403"/>
      <c r="BI44" s="403"/>
      <c r="BJ44" s="403"/>
      <c r="BK44" s="403"/>
      <c r="BL44" s="403"/>
      <c r="BM44" s="403"/>
      <c r="BN44" s="403"/>
      <c r="BO44" s="403"/>
      <c r="BP44" s="403"/>
      <c r="BQ44" s="403"/>
      <c r="BR44" s="403"/>
      <c r="BS44" s="403"/>
      <c r="BT44" s="403"/>
      <c r="BU44" s="403"/>
      <c r="BV44" s="403"/>
      <c r="BW44" s="403"/>
      <c r="BX44" s="403"/>
      <c r="BY44" s="403"/>
      <c r="BZ44" s="403"/>
      <c r="CA44" s="403"/>
      <c r="CB44" s="403"/>
      <c r="CC44" s="650"/>
      <c r="CD44" s="403"/>
      <c r="CE44" s="403"/>
      <c r="CF44" s="403"/>
      <c r="CG44" s="403"/>
      <c r="CH44" s="403"/>
      <c r="CI44" s="403"/>
      <c r="CJ44" s="403"/>
      <c r="CK44" s="403"/>
      <c r="CL44" s="403"/>
      <c r="CM44" s="403"/>
      <c r="CN44" s="564"/>
    </row>
    <row r="45" spans="1:92" s="8" customFormat="1" ht="15" x14ac:dyDescent="0.25">
      <c r="A45" s="8" t="str">
        <f ca="1">IF(OFFSET(P45,0,Lang_Order*Lang__A3)="","",OFFSET(P45,0,Lang_Order*Lang__A3))</f>
        <v>A3.3 PPE</v>
      </c>
      <c r="B45" s="285"/>
      <c r="C45" s="58"/>
      <c r="D45" s="217" t="str">
        <f ca="1">IF(OFFSET(S45,0,Lang_Order*Lang__A3)="","",OFFSET(S45,0,Lang_Order*Lang__A3))</f>
        <v>Quantity</v>
      </c>
      <c r="E45" s="234" t="str">
        <f>CONCATENATE("LCU: ",LCU)</f>
        <v xml:space="preserve">LCU: </v>
      </c>
      <c r="F45" s="610" t="str">
        <f ca="1">IF(OFFSET(U45,0,Lang_Order*Lang__A3)="","",OFFSET(U45,0,Lang_Order*Lang__A3))</f>
        <v>Override in USD</v>
      </c>
      <c r="G45" s="234"/>
      <c r="H45" s="234" t="s">
        <v>2635</v>
      </c>
      <c r="I45" s="219" t="s">
        <v>26</v>
      </c>
      <c r="J45" s="8" t="str">
        <f ca="1">IF(OFFSET(Y45,0,Lang_Order*Lang__A3)="","",OFFSET(Y45,0,Lang_Order*Lang__A3))</f>
        <v>Comments</v>
      </c>
      <c r="K45" s="8" t="str">
        <f ca="1">IF(OFFSET(Z45,0,Lang_Order*Lang__A3)="","",OFFSET(Z45,0,Lang_Order*Lang__A3))</f>
        <v>User Notes</v>
      </c>
      <c r="M45" s="311" t="s">
        <v>3848</v>
      </c>
      <c r="O45" s="403"/>
      <c r="P45" s="403" t="s">
        <v>8120</v>
      </c>
      <c r="Q45" s="403"/>
      <c r="R45" s="403"/>
      <c r="S45" s="403" t="s">
        <v>1596</v>
      </c>
      <c r="T45" s="403"/>
      <c r="U45" s="403" t="s">
        <v>2977</v>
      </c>
      <c r="V45" s="403"/>
      <c r="W45" s="403"/>
      <c r="X45" s="403"/>
      <c r="Y45" s="403" t="s">
        <v>13980</v>
      </c>
      <c r="Z45" s="403" t="s">
        <v>13981</v>
      </c>
      <c r="AA45" s="403" t="s">
        <v>8111</v>
      </c>
      <c r="AB45" s="403"/>
      <c r="AC45" s="403"/>
      <c r="AD45" s="403" t="s">
        <v>8112</v>
      </c>
      <c r="AE45" s="403"/>
      <c r="AF45" s="403" t="s">
        <v>7897</v>
      </c>
      <c r="AG45" s="403"/>
      <c r="AH45" s="403"/>
      <c r="AI45" s="403"/>
      <c r="AJ45" s="403" t="s">
        <v>14071</v>
      </c>
      <c r="AK45" s="403" t="s">
        <v>14076</v>
      </c>
      <c r="AL45" s="403" t="s">
        <v>8113</v>
      </c>
      <c r="AM45" s="403"/>
      <c r="AN45" s="403"/>
      <c r="AO45" s="403" t="s">
        <v>6056</v>
      </c>
      <c r="AP45" s="403"/>
      <c r="AQ45" s="403" t="s">
        <v>8114</v>
      </c>
      <c r="AR45" s="403"/>
      <c r="AS45" s="403"/>
      <c r="AT45" s="403"/>
      <c r="AU45" s="403" t="s">
        <v>14072</v>
      </c>
      <c r="AV45" s="403" t="s">
        <v>14077</v>
      </c>
      <c r="AW45" s="403" t="s">
        <v>8115</v>
      </c>
      <c r="AX45" s="403"/>
      <c r="AY45" s="403"/>
      <c r="AZ45" s="403" t="s">
        <v>8116</v>
      </c>
      <c r="BA45" s="403"/>
      <c r="BB45" s="403" t="s">
        <v>7903</v>
      </c>
      <c r="BC45" s="403"/>
      <c r="BD45" s="403"/>
      <c r="BE45" s="403"/>
      <c r="BF45" s="403" t="s">
        <v>14073</v>
      </c>
      <c r="BG45" s="403" t="s">
        <v>14078</v>
      </c>
      <c r="BH45" s="403" t="s">
        <v>8111</v>
      </c>
      <c r="BI45" s="403"/>
      <c r="BJ45" s="403"/>
      <c r="BK45" s="403" t="s">
        <v>8117</v>
      </c>
      <c r="BL45" s="403"/>
      <c r="BM45" s="403" t="s">
        <v>7906</v>
      </c>
      <c r="BN45" s="403"/>
      <c r="BO45" s="403"/>
      <c r="BP45" s="403"/>
      <c r="BQ45" s="403" t="s">
        <v>14074</v>
      </c>
      <c r="BR45" s="403" t="s">
        <v>14079</v>
      </c>
      <c r="BS45" s="403" t="s">
        <v>8118</v>
      </c>
      <c r="BT45" s="403"/>
      <c r="BU45" s="403"/>
      <c r="BV45" s="403" t="s">
        <v>8119</v>
      </c>
      <c r="BW45" s="403"/>
      <c r="BX45" s="403" t="s">
        <v>7908</v>
      </c>
      <c r="BY45" s="403"/>
      <c r="BZ45" s="403"/>
      <c r="CA45" s="403"/>
      <c r="CB45" s="403" t="s">
        <v>14075</v>
      </c>
      <c r="CC45" s="650" t="s">
        <v>14080</v>
      </c>
      <c r="CD45" s="403" t="s">
        <v>8120</v>
      </c>
      <c r="CE45" s="403"/>
      <c r="CF45" s="403"/>
      <c r="CG45" s="403" t="s">
        <v>8121</v>
      </c>
      <c r="CH45" s="403"/>
      <c r="CI45" s="403" t="s">
        <v>7911</v>
      </c>
      <c r="CJ45" s="403"/>
      <c r="CK45" s="403"/>
      <c r="CL45" s="403"/>
      <c r="CM45" s="403" t="s">
        <v>5455</v>
      </c>
      <c r="CN45" s="564" t="s">
        <v>14081</v>
      </c>
    </row>
    <row r="46" spans="1:92" s="15" customFormat="1" ht="15" x14ac:dyDescent="0.25">
      <c r="B46" s="342"/>
      <c r="C46" s="678" t="str">
        <f ca="1">IF(OFFSET(R46,0,Lang_Order*Lang__A3)="","",OFFSET(R46,0,Lang_Order*Lang__A3))</f>
        <v>Notes: The type of PPE, quantities required, and unit costs of PPE may be reviewed and overridden here. You may leave this section blank to will default to auto-updateable parameters.</v>
      </c>
      <c r="D46" s="678"/>
      <c r="E46" s="678"/>
      <c r="F46" s="678"/>
      <c r="G46" s="678"/>
      <c r="H46" s="678"/>
      <c r="I46" s="678"/>
      <c r="J46" s="678"/>
      <c r="K46" s="678"/>
      <c r="L46" s="2"/>
      <c r="M46" s="389" t="s">
        <v>26</v>
      </c>
      <c r="N46" s="382" t="s">
        <v>1596</v>
      </c>
      <c r="O46" s="403"/>
      <c r="P46" s="403"/>
      <c r="Q46" s="403"/>
      <c r="R46" s="403" t="s">
        <v>14245</v>
      </c>
      <c r="S46" s="403"/>
      <c r="T46" s="403"/>
      <c r="U46" s="403"/>
      <c r="V46" s="403"/>
      <c r="W46" s="403"/>
      <c r="X46" s="403"/>
      <c r="Y46" s="403"/>
      <c r="Z46" s="403"/>
      <c r="AA46" s="403"/>
      <c r="AB46" s="403"/>
      <c r="AC46" s="403" t="s">
        <v>8122</v>
      </c>
      <c r="AD46" s="403"/>
      <c r="AE46" s="403"/>
      <c r="AF46" s="403"/>
      <c r="AG46" s="403"/>
      <c r="AH46" s="403"/>
      <c r="AI46" s="403"/>
      <c r="AJ46" s="403"/>
      <c r="AK46" s="403"/>
      <c r="AL46" s="403"/>
      <c r="AM46" s="403"/>
      <c r="AN46" s="403" t="s">
        <v>8123</v>
      </c>
      <c r="AO46" s="403"/>
      <c r="AP46" s="403"/>
      <c r="AQ46" s="403"/>
      <c r="AR46" s="403"/>
      <c r="AS46" s="403"/>
      <c r="AT46" s="403"/>
      <c r="AU46" s="403"/>
      <c r="AV46" s="403"/>
      <c r="AW46" s="403"/>
      <c r="AX46" s="403"/>
      <c r="AY46" s="403" t="s">
        <v>8124</v>
      </c>
      <c r="AZ46" s="403"/>
      <c r="BA46" s="403"/>
      <c r="BB46" s="403"/>
      <c r="BC46" s="403"/>
      <c r="BD46" s="403"/>
      <c r="BE46" s="403"/>
      <c r="BF46" s="403"/>
      <c r="BG46" s="403"/>
      <c r="BH46" s="403"/>
      <c r="BI46" s="403"/>
      <c r="BJ46" s="403" t="s">
        <v>8125</v>
      </c>
      <c r="BK46" s="403"/>
      <c r="BL46" s="403"/>
      <c r="BM46" s="403"/>
      <c r="BN46" s="403"/>
      <c r="BO46" s="403"/>
      <c r="BP46" s="403"/>
      <c r="BQ46" s="403"/>
      <c r="BR46" s="403"/>
      <c r="BS46" s="403"/>
      <c r="BT46" s="403"/>
      <c r="BU46" s="403" t="s">
        <v>8126</v>
      </c>
      <c r="BV46" s="403"/>
      <c r="BW46" s="403"/>
      <c r="BX46" s="403"/>
      <c r="BY46" s="403"/>
      <c r="BZ46" s="403"/>
      <c r="CA46" s="403"/>
      <c r="CB46" s="403"/>
      <c r="CC46" s="650"/>
      <c r="CD46" s="403"/>
      <c r="CE46" s="403"/>
      <c r="CF46" s="403" t="s">
        <v>8127</v>
      </c>
      <c r="CG46" s="403"/>
      <c r="CH46" s="403"/>
      <c r="CI46" s="403"/>
      <c r="CJ46" s="403"/>
      <c r="CK46" s="403"/>
      <c r="CL46" s="403"/>
      <c r="CM46" s="403"/>
      <c r="CN46" s="564"/>
    </row>
    <row r="47" spans="1:92" s="15" customFormat="1" x14ac:dyDescent="0.2">
      <c r="B47" s="569" t="str">
        <f ca="1">IF(OFFSET(Q47,0,Lang_Order*Lang__A3)="","",OFFSET(Q47,0,Lang_Order*Lang__A3))</f>
        <v>PPE per HRH per Day</v>
      </c>
      <c r="D47" s="23"/>
      <c r="E47" s="1" t="str">
        <f ca="1">IF(OFFSET(T47,0,Lang_Order*Lang__A3)="","",OFFSET(T47,0,Lang_Order*Lang__A3))</f>
        <v>Leave these cells blank to use default unit costs and quantities</v>
      </c>
      <c r="F47" s="14"/>
      <c r="G47" s="194"/>
      <c r="H47" s="194"/>
      <c r="I47" s="11" t="e">
        <f ca="1">SUMPRODUCT(G48:G61,H48:H61)</f>
        <v>#N/A</v>
      </c>
      <c r="J47" s="567"/>
      <c r="L47" s="2"/>
      <c r="M47" s="315"/>
      <c r="O47" s="403"/>
      <c r="P47" s="403"/>
      <c r="Q47" s="403" t="s">
        <v>1585</v>
      </c>
      <c r="R47" s="403"/>
      <c r="S47" s="403"/>
      <c r="T47" s="403" t="s">
        <v>3976</v>
      </c>
      <c r="U47" s="403"/>
      <c r="V47" s="403"/>
      <c r="W47" s="403"/>
      <c r="X47" s="403"/>
      <c r="Y47" s="403"/>
      <c r="Z47" s="403"/>
      <c r="AA47" s="403"/>
      <c r="AB47" s="403" t="s">
        <v>8128</v>
      </c>
      <c r="AC47" s="403"/>
      <c r="AD47" s="403"/>
      <c r="AE47" s="403" t="s">
        <v>8129</v>
      </c>
      <c r="AF47" s="403"/>
      <c r="AG47" s="403"/>
      <c r="AH47" s="403"/>
      <c r="AI47" s="403"/>
      <c r="AJ47" s="403"/>
      <c r="AK47" s="403"/>
      <c r="AL47" s="403"/>
      <c r="AM47" s="403" t="s">
        <v>8130</v>
      </c>
      <c r="AN47" s="403"/>
      <c r="AO47" s="403"/>
      <c r="AP47" s="403" t="s">
        <v>8131</v>
      </c>
      <c r="AQ47" s="403"/>
      <c r="AR47" s="403"/>
      <c r="AS47" s="403"/>
      <c r="AT47" s="403"/>
      <c r="AU47" s="403"/>
      <c r="AV47" s="403"/>
      <c r="AW47" s="403"/>
      <c r="AX47" s="403" t="s">
        <v>8132</v>
      </c>
      <c r="AY47" s="403"/>
      <c r="AZ47" s="403"/>
      <c r="BA47" s="403" t="s">
        <v>8133</v>
      </c>
      <c r="BB47" s="403"/>
      <c r="BC47" s="403"/>
      <c r="BD47" s="403"/>
      <c r="BE47" s="403"/>
      <c r="BF47" s="403"/>
      <c r="BG47" s="403"/>
      <c r="BH47" s="403"/>
      <c r="BI47" s="403" t="s">
        <v>8134</v>
      </c>
      <c r="BJ47" s="403"/>
      <c r="BK47" s="403"/>
      <c r="BL47" s="403" t="s">
        <v>8135</v>
      </c>
      <c r="BM47" s="403"/>
      <c r="BN47" s="403"/>
      <c r="BO47" s="403"/>
      <c r="BP47" s="403"/>
      <c r="BQ47" s="403"/>
      <c r="BR47" s="403"/>
      <c r="BS47" s="403"/>
      <c r="BT47" s="403" t="s">
        <v>8136</v>
      </c>
      <c r="BU47" s="403"/>
      <c r="BV47" s="403"/>
      <c r="BW47" s="403" t="s">
        <v>8137</v>
      </c>
      <c r="BX47" s="403"/>
      <c r="BY47" s="403"/>
      <c r="BZ47" s="403"/>
      <c r="CA47" s="403"/>
      <c r="CB47" s="403"/>
      <c r="CC47" s="650"/>
      <c r="CD47" s="403"/>
      <c r="CE47" s="403" t="s">
        <v>8138</v>
      </c>
      <c r="CF47" s="403"/>
      <c r="CG47" s="403"/>
      <c r="CH47" s="403" t="s">
        <v>8139</v>
      </c>
      <c r="CI47" s="403"/>
      <c r="CJ47" s="403"/>
      <c r="CK47" s="403"/>
      <c r="CL47" s="403"/>
      <c r="CM47" s="403"/>
      <c r="CN47" s="564"/>
    </row>
    <row r="48" spans="1:92" s="15" customFormat="1" x14ac:dyDescent="0.2">
      <c r="A48" s="350">
        <v>2</v>
      </c>
      <c r="B48" s="569"/>
      <c r="C48" s="5" t="str">
        <f t="shared" ref="C48:C55" ca="1" si="10">OFFSET(_Offset_Index_VaccineSupplyPrices,1,L48)</f>
        <v>Medical mask</v>
      </c>
      <c r="D48" s="35"/>
      <c r="E48" s="494"/>
      <c r="F48" s="39"/>
      <c r="G48" s="2">
        <f ca="1">IF(ISBLANK(D48),N48,D48)</f>
        <v>2</v>
      </c>
      <c r="H48" s="236">
        <f t="shared" ref="H48:H55" ca="1" si="11">IF(ISBLANK(F48),IF(ISBLANK(E48),M48,E48/USD2LCU),F48)</f>
        <v>0.31</v>
      </c>
      <c r="I48" s="221" t="e">
        <f t="shared" ref="I48:I61" si="12">E48/USD2LCU</f>
        <v>#N/A</v>
      </c>
      <c r="J48" s="567"/>
      <c r="K48" s="587"/>
      <c r="L48" s="2">
        <v>13</v>
      </c>
      <c r="M48" s="313">
        <f t="shared" ref="M48:M55" ca="1" si="13">_xlfn.NUMBERVALUE(OFFSET(_Offset_Index_VaccineSupplyPrices,2,L48))</f>
        <v>0.31</v>
      </c>
      <c r="N48" s="280">
        <f t="shared" ref="N48:N55" ca="1" si="14">_xlfn.NUMBERVALUE(OFFSET(_Offset_Index_VaccineSupplyPrices,3,L48))</f>
        <v>2</v>
      </c>
      <c r="O48" s="403"/>
      <c r="P48" s="403"/>
      <c r="Q48" s="403"/>
      <c r="R48" s="403"/>
      <c r="S48" s="403"/>
      <c r="T48" s="403"/>
      <c r="U48" s="403"/>
      <c r="V48" s="403"/>
      <c r="W48" s="403"/>
      <c r="X48" s="403"/>
      <c r="Y48" s="403"/>
      <c r="Z48" s="403"/>
      <c r="AA48" s="403"/>
      <c r="AB48" s="403"/>
      <c r="AC48" s="403"/>
      <c r="AD48" s="403"/>
      <c r="AE48" s="403"/>
      <c r="AF48" s="403"/>
      <c r="AG48" s="403"/>
      <c r="AH48" s="403"/>
      <c r="AI48" s="403"/>
      <c r="AJ48" s="403"/>
      <c r="AK48" s="403"/>
      <c r="AL48" s="403"/>
      <c r="AM48" s="403"/>
      <c r="AN48" s="403"/>
      <c r="AO48" s="403"/>
      <c r="AP48" s="403"/>
      <c r="AQ48" s="403"/>
      <c r="AR48" s="403"/>
      <c r="AS48" s="403"/>
      <c r="AT48" s="403"/>
      <c r="AU48" s="403"/>
      <c r="AV48" s="403"/>
      <c r="AW48" s="403"/>
      <c r="AX48" s="403"/>
      <c r="AY48" s="403"/>
      <c r="AZ48" s="403"/>
      <c r="BA48" s="403"/>
      <c r="BB48" s="403"/>
      <c r="BC48" s="403"/>
      <c r="BD48" s="403"/>
      <c r="BE48" s="403"/>
      <c r="BF48" s="403"/>
      <c r="BG48" s="403"/>
      <c r="BH48" s="403"/>
      <c r="BI48" s="403"/>
      <c r="BJ48" s="403"/>
      <c r="BK48" s="403"/>
      <c r="BL48" s="403"/>
      <c r="BM48" s="403"/>
      <c r="BN48" s="403"/>
      <c r="BO48" s="403"/>
      <c r="BP48" s="403"/>
      <c r="BQ48" s="403"/>
      <c r="BR48" s="403"/>
      <c r="BS48" s="403"/>
      <c r="BT48" s="403"/>
      <c r="BU48" s="403"/>
      <c r="BV48" s="403"/>
      <c r="BW48" s="403"/>
      <c r="BX48" s="403"/>
      <c r="BY48" s="403"/>
      <c r="BZ48" s="403"/>
      <c r="CA48" s="403"/>
      <c r="CB48" s="403"/>
      <c r="CC48" s="650"/>
      <c r="CD48" s="403"/>
      <c r="CE48" s="403"/>
      <c r="CF48" s="403"/>
      <c r="CG48" s="403"/>
      <c r="CH48" s="403"/>
      <c r="CI48" s="403"/>
      <c r="CJ48" s="403"/>
      <c r="CK48" s="403"/>
      <c r="CL48" s="403"/>
      <c r="CM48" s="403"/>
      <c r="CN48" s="564"/>
    </row>
    <row r="49" spans="1:92" s="15" customFormat="1" x14ac:dyDescent="0.2">
      <c r="A49" s="350">
        <v>2</v>
      </c>
      <c r="B49" s="569"/>
      <c r="C49" s="5" t="str">
        <f t="shared" ca="1" si="10"/>
        <v>Alcohol-based hand rub (1L)</v>
      </c>
      <c r="D49" s="35"/>
      <c r="E49" s="494"/>
      <c r="F49" s="39"/>
      <c r="G49" s="2">
        <f t="shared" ref="G49:G55" ca="1" si="15">IF(ISBLANK(D49),N49,D49)</f>
        <v>0.6</v>
      </c>
      <c r="H49" s="236">
        <f t="shared" ca="1" si="11"/>
        <v>8.3000000000000007</v>
      </c>
      <c r="I49" s="221" t="e">
        <f t="shared" si="12"/>
        <v>#N/A</v>
      </c>
      <c r="J49" s="567"/>
      <c r="K49" s="587"/>
      <c r="L49" s="2">
        <v>14</v>
      </c>
      <c r="M49" s="313">
        <f t="shared" ca="1" si="13"/>
        <v>8.3000000000000007</v>
      </c>
      <c r="N49" s="280">
        <f t="shared" ca="1" si="14"/>
        <v>0.6</v>
      </c>
      <c r="O49" s="403"/>
      <c r="P49" s="403"/>
      <c r="Q49" s="403"/>
      <c r="R49" s="403"/>
      <c r="S49" s="403"/>
      <c r="T49" s="403"/>
      <c r="U49" s="403"/>
      <c r="V49" s="403"/>
      <c r="W49" s="403"/>
      <c r="X49" s="403"/>
      <c r="Y49" s="403"/>
      <c r="Z49" s="403"/>
      <c r="AA49" s="403"/>
      <c r="AB49" s="403"/>
      <c r="AC49" s="403"/>
      <c r="AD49" s="403"/>
      <c r="AE49" s="403"/>
      <c r="AF49" s="403"/>
      <c r="AG49" s="403"/>
      <c r="AH49" s="403"/>
      <c r="AI49" s="403"/>
      <c r="AJ49" s="403"/>
      <c r="AK49" s="403"/>
      <c r="AL49" s="403"/>
      <c r="AM49" s="403"/>
      <c r="AN49" s="403"/>
      <c r="AO49" s="403"/>
      <c r="AP49" s="403"/>
      <c r="AQ49" s="403"/>
      <c r="AR49" s="403"/>
      <c r="AS49" s="403"/>
      <c r="AT49" s="403"/>
      <c r="AU49" s="403"/>
      <c r="AV49" s="403"/>
      <c r="AW49" s="403"/>
      <c r="AX49" s="403"/>
      <c r="AY49" s="403"/>
      <c r="AZ49" s="403"/>
      <c r="BA49" s="403"/>
      <c r="BB49" s="403"/>
      <c r="BC49" s="403"/>
      <c r="BD49" s="403"/>
      <c r="BE49" s="403"/>
      <c r="BF49" s="403"/>
      <c r="BG49" s="403"/>
      <c r="BH49" s="403"/>
      <c r="BI49" s="403"/>
      <c r="BJ49" s="403"/>
      <c r="BK49" s="403"/>
      <c r="BL49" s="403"/>
      <c r="BM49" s="403"/>
      <c r="BN49" s="403"/>
      <c r="BO49" s="403"/>
      <c r="BP49" s="403"/>
      <c r="BQ49" s="403"/>
      <c r="BR49" s="403"/>
      <c r="BS49" s="403"/>
      <c r="BT49" s="403"/>
      <c r="BU49" s="403"/>
      <c r="BV49" s="403"/>
      <c r="BW49" s="403"/>
      <c r="BX49" s="403"/>
      <c r="BY49" s="403"/>
      <c r="BZ49" s="403"/>
      <c r="CA49" s="403"/>
      <c r="CB49" s="403"/>
      <c r="CC49" s="650"/>
      <c r="CD49" s="403"/>
      <c r="CE49" s="403"/>
      <c r="CF49" s="403"/>
      <c r="CG49" s="403"/>
      <c r="CH49" s="403"/>
      <c r="CI49" s="403"/>
      <c r="CJ49" s="403"/>
      <c r="CK49" s="403"/>
      <c r="CL49" s="403"/>
      <c r="CM49" s="403"/>
      <c r="CN49" s="564"/>
    </row>
    <row r="50" spans="1:92" s="194" customFormat="1" x14ac:dyDescent="0.2">
      <c r="A50" s="350">
        <v>2</v>
      </c>
      <c r="B50" s="569"/>
      <c r="C50" s="5" t="str">
        <f t="shared" ca="1" si="10"/>
        <v>Liquid soap and water</v>
      </c>
      <c r="D50" s="35"/>
      <c r="E50" s="494"/>
      <c r="F50" s="39"/>
      <c r="G50" s="2">
        <f t="shared" ca="1" si="15"/>
        <v>0.05</v>
      </c>
      <c r="H50" s="236">
        <f t="shared" ca="1" si="11"/>
        <v>0.9</v>
      </c>
      <c r="I50" s="221" t="e">
        <f t="shared" si="12"/>
        <v>#N/A</v>
      </c>
      <c r="J50" s="567"/>
      <c r="K50" s="587"/>
      <c r="L50" s="2">
        <v>15</v>
      </c>
      <c r="M50" s="313">
        <f t="shared" ca="1" si="13"/>
        <v>0.9</v>
      </c>
      <c r="N50" s="280">
        <f t="shared" ca="1" si="14"/>
        <v>0.05</v>
      </c>
      <c r="O50" s="403"/>
      <c r="P50" s="403"/>
      <c r="Q50" s="403"/>
      <c r="R50" s="403"/>
      <c r="S50" s="403"/>
      <c r="T50" s="403"/>
      <c r="U50" s="403"/>
      <c r="V50" s="403"/>
      <c r="W50" s="403"/>
      <c r="X50" s="403"/>
      <c r="Y50" s="403"/>
      <c r="Z50" s="403"/>
      <c r="AA50" s="403"/>
      <c r="AB50" s="403"/>
      <c r="AC50" s="403"/>
      <c r="AD50" s="403"/>
      <c r="AE50" s="403"/>
      <c r="AF50" s="403"/>
      <c r="AG50" s="403"/>
      <c r="AH50" s="403"/>
      <c r="AI50" s="403"/>
      <c r="AJ50" s="403"/>
      <c r="AK50" s="403"/>
      <c r="AL50" s="403"/>
      <c r="AM50" s="403"/>
      <c r="AN50" s="403"/>
      <c r="AO50" s="403"/>
      <c r="AP50" s="403"/>
      <c r="AQ50" s="403"/>
      <c r="AR50" s="403"/>
      <c r="AS50" s="403"/>
      <c r="AT50" s="403"/>
      <c r="AU50" s="403"/>
      <c r="AV50" s="403"/>
      <c r="AW50" s="403"/>
      <c r="AX50" s="403"/>
      <c r="AY50" s="403"/>
      <c r="AZ50" s="403"/>
      <c r="BA50" s="403"/>
      <c r="BB50" s="403"/>
      <c r="BC50" s="403"/>
      <c r="BD50" s="403"/>
      <c r="BE50" s="403"/>
      <c r="BF50" s="403"/>
      <c r="BG50" s="403"/>
      <c r="BH50" s="403"/>
      <c r="BI50" s="403"/>
      <c r="BJ50" s="403"/>
      <c r="BK50" s="403"/>
      <c r="BL50" s="403"/>
      <c r="BM50" s="403"/>
      <c r="BN50" s="403"/>
      <c r="BO50" s="403"/>
      <c r="BP50" s="403"/>
      <c r="BQ50" s="403"/>
      <c r="BR50" s="403"/>
      <c r="BS50" s="403"/>
      <c r="BT50" s="403"/>
      <c r="BU50" s="403"/>
      <c r="BV50" s="403"/>
      <c r="BW50" s="403"/>
      <c r="BX50" s="403"/>
      <c r="BY50" s="403"/>
      <c r="BZ50" s="403"/>
      <c r="CA50" s="403"/>
      <c r="CB50" s="403"/>
      <c r="CC50" s="650"/>
      <c r="CD50" s="403"/>
      <c r="CE50" s="403"/>
      <c r="CF50" s="403"/>
      <c r="CG50" s="403"/>
      <c r="CH50" s="403"/>
      <c r="CI50" s="403"/>
      <c r="CJ50" s="403"/>
      <c r="CK50" s="403"/>
      <c r="CL50" s="403"/>
      <c r="CM50" s="403"/>
      <c r="CN50" s="564"/>
    </row>
    <row r="51" spans="1:92" s="241" customFormat="1" x14ac:dyDescent="0.2">
      <c r="A51" s="350">
        <v>2</v>
      </c>
      <c r="B51" s="569"/>
      <c r="C51" s="5" t="str">
        <f t="shared" ca="1" si="10"/>
        <v>…</v>
      </c>
      <c r="D51" s="35"/>
      <c r="E51" s="494"/>
      <c r="F51" s="39"/>
      <c r="G51" s="2">
        <f t="shared" ca="1" si="15"/>
        <v>0</v>
      </c>
      <c r="H51" s="236">
        <f t="shared" ca="1" si="11"/>
        <v>0</v>
      </c>
      <c r="I51" s="221" t="e">
        <f t="shared" ref="I51:I53" si="16">E51/USD2LCU</f>
        <v>#N/A</v>
      </c>
      <c r="J51" s="567"/>
      <c r="K51" s="587"/>
      <c r="L51" s="2">
        <v>16</v>
      </c>
      <c r="M51" s="313">
        <f t="shared" ca="1" si="13"/>
        <v>0</v>
      </c>
      <c r="N51" s="280">
        <f t="shared" ca="1" si="14"/>
        <v>0</v>
      </c>
      <c r="O51" s="403"/>
      <c r="P51" s="403"/>
      <c r="Q51" s="403"/>
      <c r="R51" s="403"/>
      <c r="S51" s="403"/>
      <c r="T51" s="403"/>
      <c r="U51" s="403"/>
      <c r="V51" s="403"/>
      <c r="W51" s="403"/>
      <c r="X51" s="403"/>
      <c r="Y51" s="403"/>
      <c r="Z51" s="403"/>
      <c r="AA51" s="403"/>
      <c r="AB51" s="403"/>
      <c r="AC51" s="403"/>
      <c r="AD51" s="403"/>
      <c r="AE51" s="403"/>
      <c r="AF51" s="403"/>
      <c r="AG51" s="403"/>
      <c r="AH51" s="403"/>
      <c r="AI51" s="403"/>
      <c r="AJ51" s="403"/>
      <c r="AK51" s="403"/>
      <c r="AL51" s="403"/>
      <c r="AM51" s="403"/>
      <c r="AN51" s="403"/>
      <c r="AO51" s="403"/>
      <c r="AP51" s="403"/>
      <c r="AQ51" s="403"/>
      <c r="AR51" s="403"/>
      <c r="AS51" s="403"/>
      <c r="AT51" s="403"/>
      <c r="AU51" s="403"/>
      <c r="AV51" s="403"/>
      <c r="AW51" s="403"/>
      <c r="AX51" s="403"/>
      <c r="AY51" s="403"/>
      <c r="AZ51" s="403"/>
      <c r="BA51" s="403"/>
      <c r="BB51" s="403"/>
      <c r="BC51" s="403"/>
      <c r="BD51" s="403"/>
      <c r="BE51" s="403"/>
      <c r="BF51" s="403"/>
      <c r="BG51" s="403"/>
      <c r="BH51" s="403"/>
      <c r="BI51" s="403"/>
      <c r="BJ51" s="403"/>
      <c r="BK51" s="403"/>
      <c r="BL51" s="403"/>
      <c r="BM51" s="403"/>
      <c r="BN51" s="403"/>
      <c r="BO51" s="403"/>
      <c r="BP51" s="403"/>
      <c r="BQ51" s="403"/>
      <c r="BR51" s="403"/>
      <c r="BS51" s="403"/>
      <c r="BT51" s="403"/>
      <c r="BU51" s="403"/>
      <c r="BV51" s="403"/>
      <c r="BW51" s="403"/>
      <c r="BX51" s="403"/>
      <c r="BY51" s="403"/>
      <c r="BZ51" s="403"/>
      <c r="CA51" s="403"/>
      <c r="CB51" s="403"/>
      <c r="CC51" s="650"/>
      <c r="CD51" s="403"/>
      <c r="CE51" s="403"/>
      <c r="CF51" s="403"/>
      <c r="CG51" s="403"/>
      <c r="CH51" s="403"/>
      <c r="CI51" s="403"/>
      <c r="CJ51" s="403"/>
      <c r="CK51" s="403"/>
      <c r="CL51" s="403"/>
      <c r="CM51" s="403"/>
      <c r="CN51" s="564"/>
    </row>
    <row r="52" spans="1:92" s="241" customFormat="1" x14ac:dyDescent="0.2">
      <c r="A52" s="350">
        <v>2</v>
      </c>
      <c r="B52" s="569"/>
      <c r="C52" s="5" t="str">
        <f t="shared" ca="1" si="10"/>
        <v>…</v>
      </c>
      <c r="D52" s="35"/>
      <c r="E52" s="494"/>
      <c r="F52" s="39"/>
      <c r="G52" s="2">
        <f t="shared" ca="1" si="15"/>
        <v>0</v>
      </c>
      <c r="H52" s="236">
        <f t="shared" ca="1" si="11"/>
        <v>0</v>
      </c>
      <c r="I52" s="221" t="e">
        <f t="shared" si="16"/>
        <v>#N/A</v>
      </c>
      <c r="J52" s="567"/>
      <c r="K52" s="587"/>
      <c r="L52" s="2">
        <v>17</v>
      </c>
      <c r="M52" s="313">
        <f t="shared" ca="1" si="13"/>
        <v>0</v>
      </c>
      <c r="N52" s="280">
        <f t="shared" ca="1" si="14"/>
        <v>0</v>
      </c>
      <c r="O52" s="403"/>
      <c r="P52" s="403"/>
      <c r="Q52" s="403"/>
      <c r="R52" s="403"/>
      <c r="S52" s="403"/>
      <c r="T52" s="403"/>
      <c r="U52" s="403"/>
      <c r="V52" s="403"/>
      <c r="W52" s="403"/>
      <c r="X52" s="403"/>
      <c r="Y52" s="403"/>
      <c r="Z52" s="403"/>
      <c r="AA52" s="403"/>
      <c r="AB52" s="403"/>
      <c r="AC52" s="403"/>
      <c r="AD52" s="403"/>
      <c r="AE52" s="403"/>
      <c r="AF52" s="403"/>
      <c r="AG52" s="403"/>
      <c r="AH52" s="403"/>
      <c r="AI52" s="403"/>
      <c r="AJ52" s="403"/>
      <c r="AK52" s="403"/>
      <c r="AL52" s="403"/>
      <c r="AM52" s="403"/>
      <c r="AN52" s="403"/>
      <c r="AO52" s="403"/>
      <c r="AP52" s="403"/>
      <c r="AQ52" s="403"/>
      <c r="AR52" s="403"/>
      <c r="AS52" s="403"/>
      <c r="AT52" s="403"/>
      <c r="AU52" s="403"/>
      <c r="AV52" s="403"/>
      <c r="AW52" s="403"/>
      <c r="AX52" s="403"/>
      <c r="AY52" s="403"/>
      <c r="AZ52" s="403"/>
      <c r="BA52" s="403"/>
      <c r="BB52" s="403"/>
      <c r="BC52" s="403"/>
      <c r="BD52" s="403"/>
      <c r="BE52" s="403"/>
      <c r="BF52" s="403"/>
      <c r="BG52" s="403"/>
      <c r="BH52" s="403"/>
      <c r="BI52" s="403"/>
      <c r="BJ52" s="403"/>
      <c r="BK52" s="403"/>
      <c r="BL52" s="403"/>
      <c r="BM52" s="403"/>
      <c r="BN52" s="403"/>
      <c r="BO52" s="403"/>
      <c r="BP52" s="403"/>
      <c r="BQ52" s="403"/>
      <c r="BR52" s="403"/>
      <c r="BS52" s="403"/>
      <c r="BT52" s="403"/>
      <c r="BU52" s="403"/>
      <c r="BV52" s="403"/>
      <c r="BW52" s="403"/>
      <c r="BX52" s="403"/>
      <c r="BY52" s="403"/>
      <c r="BZ52" s="403"/>
      <c r="CA52" s="403"/>
      <c r="CB52" s="403"/>
      <c r="CC52" s="650"/>
      <c r="CD52" s="403"/>
      <c r="CE52" s="403"/>
      <c r="CF52" s="403"/>
      <c r="CG52" s="403"/>
      <c r="CH52" s="403"/>
      <c r="CI52" s="403"/>
      <c r="CJ52" s="403"/>
      <c r="CK52" s="403"/>
      <c r="CL52" s="403"/>
      <c r="CM52" s="403"/>
      <c r="CN52" s="564"/>
    </row>
    <row r="53" spans="1:92" s="241" customFormat="1" x14ac:dyDescent="0.2">
      <c r="A53" s="350">
        <v>2</v>
      </c>
      <c r="B53" s="569"/>
      <c r="C53" s="5" t="str">
        <f t="shared" ca="1" si="10"/>
        <v>…</v>
      </c>
      <c r="D53" s="35"/>
      <c r="E53" s="494"/>
      <c r="F53" s="39"/>
      <c r="G53" s="2">
        <f t="shared" ca="1" si="15"/>
        <v>0</v>
      </c>
      <c r="H53" s="236">
        <f t="shared" ca="1" si="11"/>
        <v>0</v>
      </c>
      <c r="I53" s="221" t="e">
        <f t="shared" si="16"/>
        <v>#N/A</v>
      </c>
      <c r="J53" s="567"/>
      <c r="K53" s="587"/>
      <c r="L53" s="2">
        <v>18</v>
      </c>
      <c r="M53" s="313">
        <f t="shared" ca="1" si="13"/>
        <v>0</v>
      </c>
      <c r="N53" s="280">
        <f t="shared" ca="1" si="14"/>
        <v>0</v>
      </c>
      <c r="O53" s="403"/>
      <c r="P53" s="403"/>
      <c r="Q53" s="403"/>
      <c r="R53" s="403"/>
      <c r="S53" s="403"/>
      <c r="T53" s="403"/>
      <c r="U53" s="403"/>
      <c r="V53" s="403"/>
      <c r="W53" s="403"/>
      <c r="X53" s="403"/>
      <c r="Y53" s="403"/>
      <c r="Z53" s="403"/>
      <c r="AA53" s="403"/>
      <c r="AB53" s="403"/>
      <c r="AC53" s="403"/>
      <c r="AD53" s="403"/>
      <c r="AE53" s="403"/>
      <c r="AF53" s="403"/>
      <c r="AG53" s="403"/>
      <c r="AH53" s="403"/>
      <c r="AI53" s="403"/>
      <c r="AJ53" s="403"/>
      <c r="AK53" s="403"/>
      <c r="AL53" s="403"/>
      <c r="AM53" s="403"/>
      <c r="AN53" s="403"/>
      <c r="AO53" s="403"/>
      <c r="AP53" s="403"/>
      <c r="AQ53" s="403"/>
      <c r="AR53" s="403"/>
      <c r="AS53" s="403"/>
      <c r="AT53" s="403"/>
      <c r="AU53" s="403"/>
      <c r="AV53" s="403"/>
      <c r="AW53" s="403"/>
      <c r="AX53" s="403"/>
      <c r="AY53" s="403"/>
      <c r="AZ53" s="403"/>
      <c r="BA53" s="403"/>
      <c r="BB53" s="403"/>
      <c r="BC53" s="403"/>
      <c r="BD53" s="403"/>
      <c r="BE53" s="403"/>
      <c r="BF53" s="403"/>
      <c r="BG53" s="403"/>
      <c r="BH53" s="403"/>
      <c r="BI53" s="403"/>
      <c r="BJ53" s="403"/>
      <c r="BK53" s="403"/>
      <c r="BL53" s="403"/>
      <c r="BM53" s="403"/>
      <c r="BN53" s="403"/>
      <c r="BO53" s="403"/>
      <c r="BP53" s="403"/>
      <c r="BQ53" s="403"/>
      <c r="BR53" s="403"/>
      <c r="BS53" s="403"/>
      <c r="BT53" s="403"/>
      <c r="BU53" s="403"/>
      <c r="BV53" s="403"/>
      <c r="BW53" s="403"/>
      <c r="BX53" s="403"/>
      <c r="BY53" s="403"/>
      <c r="BZ53" s="403"/>
      <c r="CA53" s="403"/>
      <c r="CB53" s="403"/>
      <c r="CC53" s="650"/>
      <c r="CD53" s="403"/>
      <c r="CE53" s="403"/>
      <c r="CF53" s="403"/>
      <c r="CG53" s="403"/>
      <c r="CH53" s="403"/>
      <c r="CI53" s="403"/>
      <c r="CJ53" s="403"/>
      <c r="CK53" s="403"/>
      <c r="CL53" s="403"/>
      <c r="CM53" s="403"/>
      <c r="CN53" s="564"/>
    </row>
    <row r="54" spans="1:92" s="194" customFormat="1" x14ac:dyDescent="0.2">
      <c r="A54" s="350">
        <v>2</v>
      </c>
      <c r="B54" s="569"/>
      <c r="C54" s="5" t="str">
        <f t="shared" ca="1" si="10"/>
        <v>…</v>
      </c>
      <c r="D54" s="35"/>
      <c r="E54" s="494"/>
      <c r="F54" s="39"/>
      <c r="G54" s="2">
        <f t="shared" ca="1" si="15"/>
        <v>0</v>
      </c>
      <c r="H54" s="236">
        <f t="shared" ca="1" si="11"/>
        <v>0</v>
      </c>
      <c r="I54" s="221" t="e">
        <f t="shared" si="12"/>
        <v>#N/A</v>
      </c>
      <c r="J54" s="567"/>
      <c r="K54" s="587"/>
      <c r="L54" s="2">
        <v>19</v>
      </c>
      <c r="M54" s="313">
        <f t="shared" ca="1" si="13"/>
        <v>0</v>
      </c>
      <c r="N54" s="280">
        <f t="shared" ca="1" si="14"/>
        <v>0</v>
      </c>
      <c r="O54" s="403"/>
      <c r="P54" s="403"/>
      <c r="Q54" s="403"/>
      <c r="R54" s="403"/>
      <c r="S54" s="403"/>
      <c r="T54" s="403"/>
      <c r="U54" s="403"/>
      <c r="V54" s="403"/>
      <c r="W54" s="403"/>
      <c r="X54" s="403"/>
      <c r="Y54" s="403"/>
      <c r="Z54" s="403"/>
      <c r="AA54" s="403"/>
      <c r="AB54" s="403"/>
      <c r="AC54" s="403"/>
      <c r="AD54" s="403"/>
      <c r="AE54" s="403"/>
      <c r="AF54" s="403"/>
      <c r="AG54" s="403"/>
      <c r="AH54" s="403"/>
      <c r="AI54" s="403"/>
      <c r="AJ54" s="403"/>
      <c r="AK54" s="403"/>
      <c r="AL54" s="403"/>
      <c r="AM54" s="403"/>
      <c r="AN54" s="403"/>
      <c r="AO54" s="403"/>
      <c r="AP54" s="403"/>
      <c r="AQ54" s="403"/>
      <c r="AR54" s="403"/>
      <c r="AS54" s="403"/>
      <c r="AT54" s="403"/>
      <c r="AU54" s="403"/>
      <c r="AV54" s="403"/>
      <c r="AW54" s="403"/>
      <c r="AX54" s="403"/>
      <c r="AY54" s="403"/>
      <c r="AZ54" s="403"/>
      <c r="BA54" s="403"/>
      <c r="BB54" s="403"/>
      <c r="BC54" s="403"/>
      <c r="BD54" s="403"/>
      <c r="BE54" s="403"/>
      <c r="BF54" s="403"/>
      <c r="BG54" s="403"/>
      <c r="BH54" s="403"/>
      <c r="BI54" s="403"/>
      <c r="BJ54" s="403"/>
      <c r="BK54" s="403"/>
      <c r="BL54" s="403"/>
      <c r="BM54" s="403"/>
      <c r="BN54" s="403"/>
      <c r="BO54" s="403"/>
      <c r="BP54" s="403"/>
      <c r="BQ54" s="403"/>
      <c r="BR54" s="403"/>
      <c r="BS54" s="403"/>
      <c r="BT54" s="403"/>
      <c r="BU54" s="403"/>
      <c r="BV54" s="403"/>
      <c r="BW54" s="403"/>
      <c r="BX54" s="403"/>
      <c r="BY54" s="403"/>
      <c r="BZ54" s="403"/>
      <c r="CA54" s="403"/>
      <c r="CB54" s="403"/>
      <c r="CC54" s="650"/>
      <c r="CD54" s="403"/>
      <c r="CE54" s="403"/>
      <c r="CF54" s="403"/>
      <c r="CG54" s="403"/>
      <c r="CH54" s="403"/>
      <c r="CI54" s="403"/>
      <c r="CJ54" s="403"/>
      <c r="CK54" s="403"/>
      <c r="CL54" s="403"/>
      <c r="CM54" s="403"/>
      <c r="CN54" s="564"/>
    </row>
    <row r="55" spans="1:92" s="194" customFormat="1" x14ac:dyDescent="0.2">
      <c r="A55" s="350">
        <v>2</v>
      </c>
      <c r="B55" s="569"/>
      <c r="C55" s="5" t="str">
        <f t="shared" ca="1" si="10"/>
        <v>…</v>
      </c>
      <c r="D55" s="35"/>
      <c r="E55" s="494"/>
      <c r="F55" s="39"/>
      <c r="G55" s="2">
        <f t="shared" ca="1" si="15"/>
        <v>0</v>
      </c>
      <c r="H55" s="236">
        <f t="shared" ca="1" si="11"/>
        <v>0</v>
      </c>
      <c r="I55" s="221" t="e">
        <f t="shared" si="12"/>
        <v>#N/A</v>
      </c>
      <c r="J55" s="567"/>
      <c r="K55" s="587"/>
      <c r="L55" s="2">
        <v>20</v>
      </c>
      <c r="M55" s="313">
        <f t="shared" ca="1" si="13"/>
        <v>0</v>
      </c>
      <c r="N55" s="280">
        <f t="shared" ca="1" si="14"/>
        <v>0</v>
      </c>
      <c r="O55" s="403"/>
      <c r="P55" s="403"/>
      <c r="Q55" s="403"/>
      <c r="R55" s="403"/>
      <c r="S55" s="403"/>
      <c r="T55" s="403"/>
      <c r="U55" s="403"/>
      <c r="V55" s="403"/>
      <c r="W55" s="403"/>
      <c r="X55" s="403"/>
      <c r="Y55" s="403"/>
      <c r="Z55" s="403"/>
      <c r="AA55" s="403"/>
      <c r="AB55" s="403"/>
      <c r="AC55" s="403"/>
      <c r="AD55" s="403"/>
      <c r="AE55" s="403"/>
      <c r="AF55" s="403"/>
      <c r="AG55" s="403"/>
      <c r="AH55" s="403"/>
      <c r="AI55" s="403"/>
      <c r="AJ55" s="403"/>
      <c r="AK55" s="403"/>
      <c r="AL55" s="403"/>
      <c r="AM55" s="403"/>
      <c r="AN55" s="403"/>
      <c r="AO55" s="403"/>
      <c r="AP55" s="403"/>
      <c r="AQ55" s="403"/>
      <c r="AR55" s="403"/>
      <c r="AS55" s="403"/>
      <c r="AT55" s="403"/>
      <c r="AU55" s="403"/>
      <c r="AV55" s="403"/>
      <c r="AW55" s="403"/>
      <c r="AX55" s="403"/>
      <c r="AY55" s="403"/>
      <c r="AZ55" s="403"/>
      <c r="BA55" s="403"/>
      <c r="BB55" s="403"/>
      <c r="BC55" s="403"/>
      <c r="BD55" s="403"/>
      <c r="BE55" s="403"/>
      <c r="BF55" s="403"/>
      <c r="BG55" s="403"/>
      <c r="BH55" s="403"/>
      <c r="BI55" s="403"/>
      <c r="BJ55" s="403"/>
      <c r="BK55" s="403"/>
      <c r="BL55" s="403"/>
      <c r="BM55" s="403"/>
      <c r="BN55" s="403"/>
      <c r="BO55" s="403"/>
      <c r="BP55" s="403"/>
      <c r="BQ55" s="403"/>
      <c r="BR55" s="403"/>
      <c r="BS55" s="403"/>
      <c r="BT55" s="403"/>
      <c r="BU55" s="403"/>
      <c r="BV55" s="403"/>
      <c r="BW55" s="403"/>
      <c r="BX55" s="403"/>
      <c r="BY55" s="403"/>
      <c r="BZ55" s="403"/>
      <c r="CA55" s="403"/>
      <c r="CB55" s="403"/>
      <c r="CC55" s="650"/>
      <c r="CD55" s="403"/>
      <c r="CE55" s="403"/>
      <c r="CF55" s="403"/>
      <c r="CG55" s="403"/>
      <c r="CH55" s="403"/>
      <c r="CI55" s="403"/>
      <c r="CJ55" s="403"/>
      <c r="CK55" s="403"/>
      <c r="CL55" s="403"/>
      <c r="CM55" s="403"/>
      <c r="CN55" s="564"/>
    </row>
    <row r="56" spans="1:92" s="194" customFormat="1" x14ac:dyDescent="0.2">
      <c r="A56" s="299"/>
      <c r="B56" s="528"/>
      <c r="C56" s="238" t="str">
        <f ca="1">IF(OFFSET(R56,0,Lang_Order*Lang__A3)="","",OFFSET(R56,0,Lang_Order*Lang__A3))</f>
        <v/>
      </c>
      <c r="F56" s="14"/>
      <c r="J56" s="567"/>
      <c r="L56" s="2"/>
      <c r="M56" s="277"/>
      <c r="O56" s="403"/>
      <c r="P56" s="403"/>
      <c r="Q56" s="403"/>
      <c r="R56" s="403"/>
      <c r="S56" s="403"/>
      <c r="T56" s="403"/>
      <c r="U56" s="403"/>
      <c r="V56" s="403"/>
      <c r="W56" s="403"/>
      <c r="X56" s="403"/>
      <c r="Y56" s="403"/>
      <c r="Z56" s="403"/>
      <c r="AA56" s="403"/>
      <c r="AB56" s="403"/>
      <c r="AC56" s="403"/>
      <c r="AD56" s="403"/>
      <c r="AE56" s="403"/>
      <c r="AF56" s="403"/>
      <c r="AG56" s="403"/>
      <c r="AH56" s="403"/>
      <c r="AI56" s="403"/>
      <c r="AJ56" s="403"/>
      <c r="AK56" s="403"/>
      <c r="AL56" s="403"/>
      <c r="AM56" s="403"/>
      <c r="AN56" s="403"/>
      <c r="AO56" s="403"/>
      <c r="AP56" s="403"/>
      <c r="AQ56" s="403"/>
      <c r="AR56" s="403"/>
      <c r="AS56" s="403"/>
      <c r="AT56" s="403"/>
      <c r="AU56" s="403"/>
      <c r="AV56" s="403"/>
      <c r="AW56" s="403"/>
      <c r="AX56" s="403"/>
      <c r="AY56" s="403"/>
      <c r="AZ56" s="403"/>
      <c r="BA56" s="403"/>
      <c r="BB56" s="403"/>
      <c r="BC56" s="403"/>
      <c r="BD56" s="403"/>
      <c r="BE56" s="403"/>
      <c r="BF56" s="403"/>
      <c r="BG56" s="403"/>
      <c r="BH56" s="403"/>
      <c r="BI56" s="403"/>
      <c r="BJ56" s="403"/>
      <c r="BK56" s="403"/>
      <c r="BL56" s="403"/>
      <c r="BM56" s="403"/>
      <c r="BN56" s="403"/>
      <c r="BO56" s="403"/>
      <c r="BP56" s="403"/>
      <c r="BQ56" s="403"/>
      <c r="BR56" s="403"/>
      <c r="BS56" s="403"/>
      <c r="BT56" s="403"/>
      <c r="BU56" s="403"/>
      <c r="BV56" s="403"/>
      <c r="BW56" s="403"/>
      <c r="BX56" s="403"/>
      <c r="BY56" s="403"/>
      <c r="BZ56" s="403"/>
      <c r="CA56" s="403"/>
      <c r="CB56" s="403"/>
      <c r="CC56" s="650"/>
      <c r="CD56" s="403"/>
      <c r="CE56" s="403"/>
      <c r="CF56" s="403"/>
      <c r="CG56" s="403"/>
      <c r="CH56" s="403"/>
      <c r="CI56" s="403"/>
      <c r="CJ56" s="403"/>
      <c r="CK56" s="403"/>
      <c r="CL56" s="403"/>
      <c r="CM56" s="403"/>
      <c r="CN56" s="564"/>
    </row>
    <row r="57" spans="1:92" s="194" customFormat="1" x14ac:dyDescent="0.2">
      <c r="A57" s="350">
        <v>2</v>
      </c>
      <c r="B57" s="569"/>
      <c r="C57" s="364"/>
      <c r="D57" s="35"/>
      <c r="E57" s="494"/>
      <c r="F57" s="39"/>
      <c r="G57" s="2">
        <f>D57</f>
        <v>0</v>
      </c>
      <c r="H57" s="236" t="e">
        <f>IF(ISBLANK(F57),E57/USD2LCU,F57)</f>
        <v>#N/A</v>
      </c>
      <c r="I57" s="221" t="e">
        <f t="shared" si="12"/>
        <v>#N/A</v>
      </c>
      <c r="J57" s="567"/>
      <c r="K57" s="587" t="s">
        <v>14246</v>
      </c>
      <c r="L57" s="2"/>
      <c r="M57" s="277"/>
      <c r="O57" s="403"/>
      <c r="P57" s="403"/>
      <c r="Q57" s="403"/>
      <c r="R57" s="403"/>
      <c r="S57" s="403"/>
      <c r="T57" s="403"/>
      <c r="U57" s="403"/>
      <c r="V57" s="403"/>
      <c r="W57" s="403"/>
      <c r="X57" s="403"/>
      <c r="Y57" s="403"/>
      <c r="Z57" s="403"/>
      <c r="AA57" s="403"/>
      <c r="AB57" s="403"/>
      <c r="AC57" s="403"/>
      <c r="AD57" s="403"/>
      <c r="AE57" s="403"/>
      <c r="AF57" s="403"/>
      <c r="AG57" s="403"/>
      <c r="AH57" s="403"/>
      <c r="AI57" s="403"/>
      <c r="AJ57" s="403"/>
      <c r="AK57" s="403"/>
      <c r="AL57" s="403"/>
      <c r="AM57" s="403"/>
      <c r="AN57" s="403"/>
      <c r="AO57" s="403"/>
      <c r="AP57" s="403"/>
      <c r="AQ57" s="403"/>
      <c r="AR57" s="403"/>
      <c r="AS57" s="403"/>
      <c r="AT57" s="403"/>
      <c r="AU57" s="403"/>
      <c r="AV57" s="403"/>
      <c r="AW57" s="403"/>
      <c r="AX57" s="403"/>
      <c r="AY57" s="403"/>
      <c r="AZ57" s="403"/>
      <c r="BA57" s="403"/>
      <c r="BB57" s="403"/>
      <c r="BC57" s="403"/>
      <c r="BD57" s="403"/>
      <c r="BE57" s="403"/>
      <c r="BF57" s="403"/>
      <c r="BG57" s="403"/>
      <c r="BH57" s="403"/>
      <c r="BI57" s="403"/>
      <c r="BJ57" s="403"/>
      <c r="BK57" s="403"/>
      <c r="BL57" s="403"/>
      <c r="BM57" s="403"/>
      <c r="BN57" s="403"/>
      <c r="BO57" s="403"/>
      <c r="BP57" s="403"/>
      <c r="BQ57" s="403"/>
      <c r="BR57" s="403"/>
      <c r="BS57" s="403"/>
      <c r="BT57" s="403"/>
      <c r="BU57" s="403"/>
      <c r="BV57" s="403"/>
      <c r="BW57" s="403"/>
      <c r="BX57" s="403"/>
      <c r="BY57" s="403"/>
      <c r="BZ57" s="403"/>
      <c r="CA57" s="403"/>
      <c r="CB57" s="403"/>
      <c r="CC57" s="650"/>
      <c r="CD57" s="403"/>
      <c r="CE57" s="403"/>
      <c r="CF57" s="403"/>
      <c r="CG57" s="403"/>
      <c r="CH57" s="403"/>
      <c r="CI57" s="403"/>
      <c r="CJ57" s="403"/>
      <c r="CK57" s="403"/>
      <c r="CL57" s="403"/>
      <c r="CM57" s="403"/>
      <c r="CN57" s="564"/>
    </row>
    <row r="58" spans="1:92" s="194" customFormat="1" x14ac:dyDescent="0.2">
      <c r="A58" s="350">
        <v>2</v>
      </c>
      <c r="B58" s="569"/>
      <c r="C58" s="364" t="s">
        <v>2642</v>
      </c>
      <c r="D58" s="35"/>
      <c r="E58" s="494"/>
      <c r="F58" s="39"/>
      <c r="G58" s="2">
        <f t="shared" ref="G58:G61" si="17">D58</f>
        <v>0</v>
      </c>
      <c r="H58" s="236" t="e">
        <f>IF(ISBLANK(F58),E58/USD2LCU,F58)</f>
        <v>#N/A</v>
      </c>
      <c r="I58" s="221" t="e">
        <f t="shared" si="12"/>
        <v>#N/A</v>
      </c>
      <c r="J58" s="567"/>
      <c r="K58" s="587"/>
      <c r="L58" s="2"/>
      <c r="M58" s="277"/>
      <c r="O58" s="403"/>
      <c r="P58" s="403"/>
      <c r="Q58" s="403"/>
      <c r="R58" s="403"/>
      <c r="S58" s="403"/>
      <c r="T58" s="403"/>
      <c r="U58" s="403"/>
      <c r="V58" s="403"/>
      <c r="W58" s="403"/>
      <c r="X58" s="403"/>
      <c r="Y58" s="403"/>
      <c r="Z58" s="403"/>
      <c r="AA58" s="403"/>
      <c r="AB58" s="403"/>
      <c r="AC58" s="403"/>
      <c r="AD58" s="403"/>
      <c r="AE58" s="403"/>
      <c r="AF58" s="403"/>
      <c r="AG58" s="403"/>
      <c r="AH58" s="403"/>
      <c r="AI58" s="403"/>
      <c r="AJ58" s="403"/>
      <c r="AK58" s="403"/>
      <c r="AL58" s="403"/>
      <c r="AM58" s="403"/>
      <c r="AN58" s="403"/>
      <c r="AO58" s="403"/>
      <c r="AP58" s="403"/>
      <c r="AQ58" s="403"/>
      <c r="AR58" s="403"/>
      <c r="AS58" s="403"/>
      <c r="AT58" s="403"/>
      <c r="AU58" s="403"/>
      <c r="AV58" s="403"/>
      <c r="AW58" s="403"/>
      <c r="AX58" s="403"/>
      <c r="AY58" s="403"/>
      <c r="AZ58" s="403"/>
      <c r="BA58" s="403"/>
      <c r="BB58" s="403"/>
      <c r="BC58" s="403"/>
      <c r="BD58" s="403"/>
      <c r="BE58" s="403"/>
      <c r="BF58" s="403"/>
      <c r="BG58" s="403"/>
      <c r="BH58" s="403"/>
      <c r="BI58" s="403"/>
      <c r="BJ58" s="403"/>
      <c r="BK58" s="403"/>
      <c r="BL58" s="403"/>
      <c r="BM58" s="403"/>
      <c r="BN58" s="403"/>
      <c r="BO58" s="403"/>
      <c r="BP58" s="403"/>
      <c r="BQ58" s="403"/>
      <c r="BR58" s="403"/>
      <c r="BS58" s="403"/>
      <c r="BT58" s="403"/>
      <c r="BU58" s="403"/>
      <c r="BV58" s="403"/>
      <c r="BW58" s="403"/>
      <c r="BX58" s="403"/>
      <c r="BY58" s="403"/>
      <c r="BZ58" s="403"/>
      <c r="CA58" s="403"/>
      <c r="CB58" s="403"/>
      <c r="CC58" s="650"/>
      <c r="CD58" s="403"/>
      <c r="CE58" s="403"/>
      <c r="CF58" s="403"/>
      <c r="CG58" s="403"/>
      <c r="CH58" s="403"/>
      <c r="CI58" s="403"/>
      <c r="CJ58" s="403"/>
      <c r="CK58" s="403"/>
      <c r="CL58" s="403"/>
      <c r="CM58" s="403"/>
      <c r="CN58" s="564"/>
    </row>
    <row r="59" spans="1:92" s="194" customFormat="1" x14ac:dyDescent="0.2">
      <c r="A59" s="350">
        <v>2</v>
      </c>
      <c r="B59" s="569"/>
      <c r="C59" s="364" t="s">
        <v>2642</v>
      </c>
      <c r="D59" s="35"/>
      <c r="E59" s="494"/>
      <c r="F59" s="39"/>
      <c r="G59" s="2">
        <f t="shared" si="17"/>
        <v>0</v>
      </c>
      <c r="H59" s="236" t="e">
        <f>IF(ISBLANK(F59),E59/USD2LCU,F59)</f>
        <v>#N/A</v>
      </c>
      <c r="I59" s="221" t="e">
        <f t="shared" si="12"/>
        <v>#N/A</v>
      </c>
      <c r="J59" s="567"/>
      <c r="K59" s="587"/>
      <c r="L59" s="2"/>
      <c r="M59" s="277"/>
      <c r="O59" s="403"/>
      <c r="P59" s="403"/>
      <c r="Q59" s="403"/>
      <c r="R59" s="403"/>
      <c r="S59" s="403"/>
      <c r="T59" s="403"/>
      <c r="U59" s="403"/>
      <c r="V59" s="403"/>
      <c r="W59" s="403"/>
      <c r="X59" s="403"/>
      <c r="Y59" s="403"/>
      <c r="Z59" s="403"/>
      <c r="AA59" s="403"/>
      <c r="AB59" s="403"/>
      <c r="AC59" s="403"/>
      <c r="AD59" s="403"/>
      <c r="AE59" s="403"/>
      <c r="AF59" s="403"/>
      <c r="AG59" s="403"/>
      <c r="AH59" s="403"/>
      <c r="AI59" s="403"/>
      <c r="AJ59" s="403"/>
      <c r="AK59" s="403"/>
      <c r="AL59" s="403"/>
      <c r="AM59" s="403"/>
      <c r="AN59" s="403"/>
      <c r="AO59" s="403"/>
      <c r="AP59" s="403"/>
      <c r="AQ59" s="403"/>
      <c r="AR59" s="403"/>
      <c r="AS59" s="403"/>
      <c r="AT59" s="403"/>
      <c r="AU59" s="403"/>
      <c r="AV59" s="403"/>
      <c r="AW59" s="403"/>
      <c r="AX59" s="403"/>
      <c r="AY59" s="403"/>
      <c r="AZ59" s="403"/>
      <c r="BA59" s="403"/>
      <c r="BB59" s="403"/>
      <c r="BC59" s="403"/>
      <c r="BD59" s="403"/>
      <c r="BE59" s="403"/>
      <c r="BF59" s="403"/>
      <c r="BG59" s="403"/>
      <c r="BH59" s="403"/>
      <c r="BI59" s="403"/>
      <c r="BJ59" s="403"/>
      <c r="BK59" s="403"/>
      <c r="BL59" s="403"/>
      <c r="BM59" s="403"/>
      <c r="BN59" s="403"/>
      <c r="BO59" s="403"/>
      <c r="BP59" s="403"/>
      <c r="BQ59" s="403"/>
      <c r="BR59" s="403"/>
      <c r="BS59" s="403"/>
      <c r="BT59" s="403"/>
      <c r="BU59" s="403"/>
      <c r="BV59" s="403"/>
      <c r="BW59" s="403"/>
      <c r="BX59" s="403"/>
      <c r="BY59" s="403"/>
      <c r="BZ59" s="403"/>
      <c r="CA59" s="403"/>
      <c r="CB59" s="403"/>
      <c r="CC59" s="650"/>
      <c r="CD59" s="403"/>
      <c r="CE59" s="403"/>
      <c r="CF59" s="403"/>
      <c r="CG59" s="403"/>
      <c r="CH59" s="403"/>
      <c r="CI59" s="403"/>
      <c r="CJ59" s="403"/>
      <c r="CK59" s="403"/>
      <c r="CL59" s="403"/>
      <c r="CM59" s="403"/>
      <c r="CN59" s="564"/>
    </row>
    <row r="60" spans="1:92" s="194" customFormat="1" x14ac:dyDescent="0.2">
      <c r="A60" s="350">
        <v>2</v>
      </c>
      <c r="B60" s="569"/>
      <c r="C60" s="364" t="s">
        <v>2642</v>
      </c>
      <c r="D60" s="35"/>
      <c r="E60" s="494"/>
      <c r="F60" s="39"/>
      <c r="G60" s="2">
        <f t="shared" si="17"/>
        <v>0</v>
      </c>
      <c r="H60" s="236" t="e">
        <f>IF(ISBLANK(F60),E60/USD2LCU,F60)</f>
        <v>#N/A</v>
      </c>
      <c r="I60" s="221" t="e">
        <f t="shared" si="12"/>
        <v>#N/A</v>
      </c>
      <c r="J60" s="567"/>
      <c r="K60" s="587"/>
      <c r="L60" s="2"/>
      <c r="M60" s="277"/>
      <c r="O60" s="403"/>
      <c r="P60" s="403"/>
      <c r="Q60" s="403"/>
      <c r="R60" s="403"/>
      <c r="S60" s="403"/>
      <c r="T60" s="403"/>
      <c r="U60" s="403"/>
      <c r="V60" s="403"/>
      <c r="W60" s="403"/>
      <c r="X60" s="403"/>
      <c r="Y60" s="403"/>
      <c r="Z60" s="403"/>
      <c r="AA60" s="403"/>
      <c r="AB60" s="403"/>
      <c r="AC60" s="403"/>
      <c r="AD60" s="403"/>
      <c r="AE60" s="403"/>
      <c r="AF60" s="403"/>
      <c r="AG60" s="403"/>
      <c r="AH60" s="403"/>
      <c r="AI60" s="403"/>
      <c r="AJ60" s="403"/>
      <c r="AK60" s="403"/>
      <c r="AL60" s="403"/>
      <c r="AM60" s="403"/>
      <c r="AN60" s="403"/>
      <c r="AO60" s="403"/>
      <c r="AP60" s="403"/>
      <c r="AQ60" s="403"/>
      <c r="AR60" s="403"/>
      <c r="AS60" s="403"/>
      <c r="AT60" s="403"/>
      <c r="AU60" s="403"/>
      <c r="AV60" s="403"/>
      <c r="AW60" s="403"/>
      <c r="AX60" s="403"/>
      <c r="AY60" s="403"/>
      <c r="AZ60" s="403"/>
      <c r="BA60" s="403"/>
      <c r="BB60" s="403"/>
      <c r="BC60" s="403"/>
      <c r="BD60" s="403"/>
      <c r="BE60" s="403"/>
      <c r="BF60" s="403"/>
      <c r="BG60" s="403"/>
      <c r="BH60" s="403"/>
      <c r="BI60" s="403"/>
      <c r="BJ60" s="403"/>
      <c r="BK60" s="403"/>
      <c r="BL60" s="403"/>
      <c r="BM60" s="403"/>
      <c r="BN60" s="403"/>
      <c r="BO60" s="403"/>
      <c r="BP60" s="403"/>
      <c r="BQ60" s="403"/>
      <c r="BR60" s="403"/>
      <c r="BS60" s="403"/>
      <c r="BT60" s="403"/>
      <c r="BU60" s="403"/>
      <c r="BV60" s="403"/>
      <c r="BW60" s="403"/>
      <c r="BX60" s="403"/>
      <c r="BY60" s="403"/>
      <c r="BZ60" s="403"/>
      <c r="CA60" s="403"/>
      <c r="CB60" s="403"/>
      <c r="CC60" s="650"/>
      <c r="CD60" s="403"/>
      <c r="CE60" s="403"/>
      <c r="CF60" s="403"/>
      <c r="CG60" s="403"/>
      <c r="CH60" s="403"/>
      <c r="CI60" s="403"/>
      <c r="CJ60" s="403"/>
      <c r="CK60" s="403"/>
      <c r="CL60" s="403"/>
      <c r="CM60" s="403"/>
      <c r="CN60" s="564"/>
    </row>
    <row r="61" spans="1:92" s="15" customFormat="1" x14ac:dyDescent="0.2">
      <c r="A61" s="350">
        <v>2</v>
      </c>
      <c r="B61" s="569"/>
      <c r="C61" s="364"/>
      <c r="D61" s="35"/>
      <c r="E61" s="494"/>
      <c r="F61" s="39"/>
      <c r="G61" s="2">
        <f t="shared" si="17"/>
        <v>0</v>
      </c>
      <c r="H61" s="236" t="e">
        <f>IF(ISBLANK(F61),E61/USD2LCU,F61)</f>
        <v>#N/A</v>
      </c>
      <c r="I61" s="221" t="e">
        <f t="shared" si="12"/>
        <v>#N/A</v>
      </c>
      <c r="J61" s="567"/>
      <c r="K61" s="587"/>
      <c r="L61" s="2"/>
      <c r="M61" s="277"/>
      <c r="N61" s="194"/>
      <c r="O61" s="403"/>
      <c r="P61" s="403"/>
      <c r="Q61" s="403"/>
      <c r="R61" s="403"/>
      <c r="S61" s="403"/>
      <c r="T61" s="403"/>
      <c r="U61" s="403"/>
      <c r="V61" s="403"/>
      <c r="W61" s="403"/>
      <c r="X61" s="403"/>
      <c r="Y61" s="403"/>
      <c r="Z61" s="403"/>
      <c r="AA61" s="403"/>
      <c r="AB61" s="403"/>
      <c r="AC61" s="403"/>
      <c r="AD61" s="403"/>
      <c r="AE61" s="403"/>
      <c r="AF61" s="403"/>
      <c r="AG61" s="403"/>
      <c r="AH61" s="403"/>
      <c r="AI61" s="403"/>
      <c r="AJ61" s="403"/>
      <c r="AK61" s="403"/>
      <c r="AL61" s="403"/>
      <c r="AM61" s="403"/>
      <c r="AN61" s="403"/>
      <c r="AO61" s="403"/>
      <c r="AP61" s="403"/>
      <c r="AQ61" s="403"/>
      <c r="AR61" s="403"/>
      <c r="AS61" s="403"/>
      <c r="AT61" s="403"/>
      <c r="AU61" s="403"/>
      <c r="AV61" s="403"/>
      <c r="AW61" s="403"/>
      <c r="AX61" s="403"/>
      <c r="AY61" s="403"/>
      <c r="AZ61" s="403"/>
      <c r="BA61" s="403"/>
      <c r="BB61" s="403"/>
      <c r="BC61" s="403"/>
      <c r="BD61" s="403"/>
      <c r="BE61" s="403"/>
      <c r="BF61" s="403"/>
      <c r="BG61" s="403"/>
      <c r="BH61" s="403"/>
      <c r="BI61" s="403"/>
      <c r="BJ61" s="403"/>
      <c r="BK61" s="403"/>
      <c r="BL61" s="403"/>
      <c r="BM61" s="403"/>
      <c r="BN61" s="403"/>
      <c r="BO61" s="403"/>
      <c r="BP61" s="403"/>
      <c r="BQ61" s="403"/>
      <c r="BR61" s="403"/>
      <c r="BS61" s="403"/>
      <c r="BT61" s="403"/>
      <c r="BU61" s="403"/>
      <c r="BV61" s="403"/>
      <c r="BW61" s="403"/>
      <c r="BX61" s="403"/>
      <c r="BY61" s="403"/>
      <c r="BZ61" s="403"/>
      <c r="CA61" s="403"/>
      <c r="CB61" s="403"/>
      <c r="CC61" s="650"/>
      <c r="CD61" s="403"/>
      <c r="CE61" s="403"/>
      <c r="CF61" s="403"/>
      <c r="CG61" s="403"/>
      <c r="CH61" s="403"/>
      <c r="CI61" s="403"/>
      <c r="CJ61" s="403"/>
      <c r="CK61" s="403"/>
      <c r="CL61" s="403"/>
      <c r="CM61" s="403"/>
      <c r="CN61" s="564"/>
    </row>
    <row r="62" spans="1:92" s="15" customFormat="1" x14ac:dyDescent="0.2">
      <c r="B62" s="569"/>
      <c r="C62" s="23"/>
      <c r="D62" s="5"/>
      <c r="F62" s="14"/>
      <c r="G62" s="194"/>
      <c r="H62" s="194"/>
      <c r="I62" s="14"/>
      <c r="L62" s="2"/>
      <c r="M62" s="277"/>
      <c r="O62" s="403"/>
      <c r="P62" s="403"/>
      <c r="Q62" s="403"/>
      <c r="R62" s="403"/>
      <c r="S62" s="403"/>
      <c r="T62" s="403"/>
      <c r="U62" s="403"/>
      <c r="V62" s="403"/>
      <c r="W62" s="403"/>
      <c r="X62" s="403"/>
      <c r="Y62" s="403"/>
      <c r="Z62" s="403"/>
      <c r="AA62" s="403"/>
      <c r="AB62" s="403"/>
      <c r="AC62" s="403"/>
      <c r="AD62" s="403"/>
      <c r="AE62" s="403"/>
      <c r="AF62" s="403"/>
      <c r="AG62" s="403"/>
      <c r="AH62" s="403"/>
      <c r="AI62" s="403"/>
      <c r="AJ62" s="403"/>
      <c r="AK62" s="403"/>
      <c r="AL62" s="403"/>
      <c r="AM62" s="403"/>
      <c r="AN62" s="403"/>
      <c r="AO62" s="403"/>
      <c r="AP62" s="403"/>
      <c r="AQ62" s="403"/>
      <c r="AR62" s="403"/>
      <c r="AS62" s="403"/>
      <c r="AT62" s="403"/>
      <c r="AU62" s="403"/>
      <c r="AV62" s="403"/>
      <c r="AW62" s="403"/>
      <c r="AX62" s="403"/>
      <c r="AY62" s="403"/>
      <c r="AZ62" s="403"/>
      <c r="BA62" s="403"/>
      <c r="BB62" s="403"/>
      <c r="BC62" s="403"/>
      <c r="BD62" s="403"/>
      <c r="BE62" s="403"/>
      <c r="BF62" s="403"/>
      <c r="BG62" s="403"/>
      <c r="BH62" s="403"/>
      <c r="BI62" s="403"/>
      <c r="BJ62" s="403"/>
      <c r="BK62" s="403"/>
      <c r="BL62" s="403"/>
      <c r="BM62" s="403"/>
      <c r="BN62" s="403"/>
      <c r="BO62" s="403"/>
      <c r="BP62" s="403"/>
      <c r="BQ62" s="403"/>
      <c r="BR62" s="403"/>
      <c r="BS62" s="403"/>
      <c r="BT62" s="403"/>
      <c r="BU62" s="403"/>
      <c r="BV62" s="403"/>
      <c r="BW62" s="403"/>
      <c r="BX62" s="403"/>
      <c r="BY62" s="403"/>
      <c r="BZ62" s="403"/>
      <c r="CA62" s="403"/>
      <c r="CB62" s="403"/>
      <c r="CC62" s="650"/>
      <c r="CD62" s="403"/>
      <c r="CE62" s="403"/>
      <c r="CF62" s="403"/>
      <c r="CG62" s="403"/>
      <c r="CH62" s="403"/>
      <c r="CI62" s="403"/>
      <c r="CJ62" s="403"/>
      <c r="CK62" s="403"/>
      <c r="CL62" s="403"/>
      <c r="CM62" s="403"/>
      <c r="CN62" s="564"/>
    </row>
    <row r="63" spans="1:92" s="15" customFormat="1" x14ac:dyDescent="0.2">
      <c r="B63" s="569" t="str">
        <f ca="1">IF(OFFSET(Q63,0,Lang_Order*Lang__A3)="","",OFFSET(Q63,0,Lang_Order*Lang__A3))</f>
        <v>PPE per Unique HRH</v>
      </c>
      <c r="D63" s="23"/>
      <c r="E63" s="1" t="str">
        <f ca="1">IF(OFFSET(T63,0,Lang_Order*Lang__A3)="","",OFFSET(T63,0,Lang_Order*Lang__A3))</f>
        <v>Leave these cells blank to use default unit costs and quantities</v>
      </c>
      <c r="F63" s="14"/>
      <c r="G63" s="194"/>
      <c r="H63" s="194"/>
      <c r="I63" s="11" t="e">
        <f ca="1">SUMPRODUCT(G64:G74,H64:H74)</f>
        <v>#N/A</v>
      </c>
      <c r="J63" s="12" t="str">
        <f ca="1">IF(OFFSET(Y63,0,Lang_Order*Lang__A3)="","",OFFSET(Y63,0,Lang_Order*Lang__A3))</f>
        <v>Assume that these can be re-sanitized / re-used. Quantities per duration of the whole program (3-years)</v>
      </c>
      <c r="L63" s="2"/>
      <c r="M63" s="277"/>
      <c r="O63" s="403"/>
      <c r="P63" s="403"/>
      <c r="Q63" s="403" t="s">
        <v>1593</v>
      </c>
      <c r="R63" s="403"/>
      <c r="S63" s="403"/>
      <c r="T63" s="403" t="s">
        <v>3976</v>
      </c>
      <c r="U63" s="403"/>
      <c r="V63" s="403"/>
      <c r="W63" s="403"/>
      <c r="X63" s="403"/>
      <c r="Y63" s="403" t="s">
        <v>3116</v>
      </c>
      <c r="Z63" s="403"/>
      <c r="AA63" s="403"/>
      <c r="AB63" s="403" t="s">
        <v>8140</v>
      </c>
      <c r="AC63" s="403"/>
      <c r="AD63" s="403"/>
      <c r="AE63" s="403" t="s">
        <v>8129</v>
      </c>
      <c r="AF63" s="403"/>
      <c r="AG63" s="403"/>
      <c r="AH63" s="403"/>
      <c r="AI63" s="403"/>
      <c r="AJ63" s="403" t="s">
        <v>8141</v>
      </c>
      <c r="AK63" s="403"/>
      <c r="AL63" s="403"/>
      <c r="AM63" s="403" t="s">
        <v>8142</v>
      </c>
      <c r="AN63" s="403"/>
      <c r="AO63" s="403"/>
      <c r="AP63" s="403" t="s">
        <v>8131</v>
      </c>
      <c r="AQ63" s="403"/>
      <c r="AR63" s="403"/>
      <c r="AS63" s="403"/>
      <c r="AT63" s="403"/>
      <c r="AU63" s="403" t="s">
        <v>8143</v>
      </c>
      <c r="AV63" s="403"/>
      <c r="AW63" s="403"/>
      <c r="AX63" s="403" t="s">
        <v>8144</v>
      </c>
      <c r="AY63" s="403"/>
      <c r="AZ63" s="403"/>
      <c r="BA63" s="403" t="s">
        <v>8133</v>
      </c>
      <c r="BB63" s="403"/>
      <c r="BC63" s="403"/>
      <c r="BD63" s="403"/>
      <c r="BE63" s="403"/>
      <c r="BF63" s="403" t="s">
        <v>8145</v>
      </c>
      <c r="BG63" s="403"/>
      <c r="BH63" s="403"/>
      <c r="BI63" s="403" t="s">
        <v>8146</v>
      </c>
      <c r="BJ63" s="403"/>
      <c r="BK63" s="403"/>
      <c r="BL63" s="403" t="s">
        <v>8135</v>
      </c>
      <c r="BM63" s="403"/>
      <c r="BN63" s="403"/>
      <c r="BO63" s="403"/>
      <c r="BP63" s="403"/>
      <c r="BQ63" s="403" t="s">
        <v>8147</v>
      </c>
      <c r="BR63" s="403"/>
      <c r="BS63" s="403"/>
      <c r="BT63" s="403" t="s">
        <v>8148</v>
      </c>
      <c r="BU63" s="403"/>
      <c r="BV63" s="403"/>
      <c r="BW63" s="403" t="s">
        <v>8137</v>
      </c>
      <c r="BX63" s="403"/>
      <c r="BY63" s="403"/>
      <c r="BZ63" s="403"/>
      <c r="CA63" s="403"/>
      <c r="CB63" s="403" t="s">
        <v>8149</v>
      </c>
      <c r="CC63" s="650"/>
      <c r="CD63" s="403"/>
      <c r="CE63" s="403" t="s">
        <v>8150</v>
      </c>
      <c r="CF63" s="403"/>
      <c r="CG63" s="403"/>
      <c r="CH63" s="403" t="s">
        <v>8139</v>
      </c>
      <c r="CI63" s="403"/>
      <c r="CJ63" s="403"/>
      <c r="CK63" s="403"/>
      <c r="CL63" s="403"/>
      <c r="CM63" s="403" t="s">
        <v>8151</v>
      </c>
      <c r="CN63" s="564"/>
    </row>
    <row r="64" spans="1:92" s="15" customFormat="1" x14ac:dyDescent="0.2">
      <c r="A64" s="350">
        <v>2</v>
      </c>
      <c r="B64" s="569"/>
      <c r="C64" s="5" t="str">
        <f ca="1">OFFSET(_Offset_Index_VaccineSupplyPrices,1,L64)</f>
        <v>Eye protection</v>
      </c>
      <c r="D64" s="36"/>
      <c r="E64" s="494"/>
      <c r="F64" s="39"/>
      <c r="G64" s="2">
        <f t="shared" ref="G64:G68" ca="1" si="18">IF(ISBLANK(D64),N64,D64)</f>
        <v>0</v>
      </c>
      <c r="H64" s="236">
        <f ca="1">IF(ISBLANK(F64),IF(ISBLANK(E64),M64,E64/USD2LCU),F64)</f>
        <v>5</v>
      </c>
      <c r="I64" s="221" t="e">
        <f t="shared" ref="I64:I68" si="19">E64/USD2LCU</f>
        <v>#N/A</v>
      </c>
      <c r="J64" s="567"/>
      <c r="K64" s="587"/>
      <c r="L64" s="2">
        <v>21</v>
      </c>
      <c r="M64" s="313">
        <f ca="1">_xlfn.NUMBERVALUE(OFFSET(_Offset_Index_VaccineSupplyPrices,2,L64))</f>
        <v>5</v>
      </c>
      <c r="N64" s="280">
        <f ca="1">_xlfn.NUMBERVALUE(OFFSET(_Offset_Index_VaccineSupplyPrices,3,L64))</f>
        <v>0</v>
      </c>
      <c r="O64" s="403"/>
      <c r="P64" s="403"/>
      <c r="Q64" s="403"/>
      <c r="R64" s="403"/>
      <c r="S64" s="403"/>
      <c r="T64" s="403"/>
      <c r="U64" s="403"/>
      <c r="V64" s="403"/>
      <c r="W64" s="403"/>
      <c r="X64" s="403"/>
      <c r="Y64" s="403"/>
      <c r="Z64" s="403"/>
      <c r="AA64" s="403"/>
      <c r="AB64" s="403"/>
      <c r="AC64" s="403"/>
      <c r="AD64" s="403"/>
      <c r="AE64" s="403"/>
      <c r="AF64" s="403"/>
      <c r="AG64" s="403"/>
      <c r="AH64" s="403"/>
      <c r="AI64" s="403"/>
      <c r="AJ64" s="403"/>
      <c r="AK64" s="403"/>
      <c r="AL64" s="403"/>
      <c r="AM64" s="403"/>
      <c r="AN64" s="403"/>
      <c r="AO64" s="403"/>
      <c r="AP64" s="403"/>
      <c r="AQ64" s="403"/>
      <c r="AR64" s="403"/>
      <c r="AS64" s="403"/>
      <c r="AT64" s="403"/>
      <c r="AU64" s="403"/>
      <c r="AV64" s="403"/>
      <c r="AW64" s="403"/>
      <c r="AX64" s="403"/>
      <c r="AY64" s="403"/>
      <c r="AZ64" s="403"/>
      <c r="BA64" s="403"/>
      <c r="BB64" s="403"/>
      <c r="BC64" s="403"/>
      <c r="BD64" s="403"/>
      <c r="BE64" s="403"/>
      <c r="BF64" s="403"/>
      <c r="BG64" s="403"/>
      <c r="BH64" s="403"/>
      <c r="BI64" s="403"/>
      <c r="BJ64" s="403"/>
      <c r="BK64" s="403"/>
      <c r="BL64" s="403"/>
      <c r="BM64" s="403"/>
      <c r="BN64" s="403"/>
      <c r="BO64" s="403"/>
      <c r="BP64" s="403"/>
      <c r="BQ64" s="403"/>
      <c r="BR64" s="403"/>
      <c r="BS64" s="403"/>
      <c r="BT64" s="403"/>
      <c r="BU64" s="403"/>
      <c r="BV64" s="403"/>
      <c r="BW64" s="403"/>
      <c r="BX64" s="403"/>
      <c r="BY64" s="403"/>
      <c r="BZ64" s="403"/>
      <c r="CA64" s="403"/>
      <c r="CB64" s="403"/>
      <c r="CC64" s="650"/>
      <c r="CD64" s="403"/>
      <c r="CE64" s="403"/>
      <c r="CF64" s="403"/>
      <c r="CG64" s="403"/>
      <c r="CH64" s="403"/>
      <c r="CI64" s="403"/>
      <c r="CJ64" s="403"/>
      <c r="CK64" s="403"/>
      <c r="CL64" s="403"/>
      <c r="CM64" s="403"/>
      <c r="CN64" s="564"/>
    </row>
    <row r="65" spans="1:92" s="15" customFormat="1" x14ac:dyDescent="0.2">
      <c r="A65" s="350">
        <v>2</v>
      </c>
      <c r="B65" s="569"/>
      <c r="C65" s="5" t="str">
        <f ca="1">OFFSET(_Offset_Index_VaccineSupplyPrices,1,L65)</f>
        <v>Face shield</v>
      </c>
      <c r="D65" s="36"/>
      <c r="E65" s="494"/>
      <c r="F65" s="39"/>
      <c r="G65" s="2">
        <f t="shared" ca="1" si="18"/>
        <v>0</v>
      </c>
      <c r="H65" s="236">
        <f ca="1">IF(ISBLANK(F65),IF(ISBLANK(E65),M65,E65/USD2LCU),F65)</f>
        <v>5</v>
      </c>
      <c r="I65" s="221" t="e">
        <f t="shared" si="19"/>
        <v>#N/A</v>
      </c>
      <c r="J65" s="567"/>
      <c r="K65" s="587"/>
      <c r="L65" s="2">
        <v>22</v>
      </c>
      <c r="M65" s="313">
        <f ca="1">_xlfn.NUMBERVALUE(OFFSET(_Offset_Index_VaccineSupplyPrices,2,L65))</f>
        <v>5</v>
      </c>
      <c r="N65" s="280">
        <f ca="1">_xlfn.NUMBERVALUE(OFFSET(_Offset_Index_VaccineSupplyPrices,3,L65))</f>
        <v>0</v>
      </c>
      <c r="O65" s="403"/>
      <c r="P65" s="403"/>
      <c r="Q65" s="403"/>
      <c r="R65" s="403"/>
      <c r="S65" s="403"/>
      <c r="T65" s="403"/>
      <c r="U65" s="403"/>
      <c r="V65" s="403"/>
      <c r="W65" s="403"/>
      <c r="X65" s="403"/>
      <c r="Y65" s="403"/>
      <c r="Z65" s="403"/>
      <c r="AA65" s="403"/>
      <c r="AB65" s="403"/>
      <c r="AC65" s="403"/>
      <c r="AD65" s="403"/>
      <c r="AE65" s="403"/>
      <c r="AF65" s="403"/>
      <c r="AG65" s="403"/>
      <c r="AH65" s="403"/>
      <c r="AI65" s="403"/>
      <c r="AJ65" s="403"/>
      <c r="AK65" s="403"/>
      <c r="AL65" s="403"/>
      <c r="AM65" s="403"/>
      <c r="AN65" s="403"/>
      <c r="AO65" s="403"/>
      <c r="AP65" s="403"/>
      <c r="AQ65" s="403"/>
      <c r="AR65" s="403"/>
      <c r="AS65" s="403"/>
      <c r="AT65" s="403"/>
      <c r="AU65" s="403"/>
      <c r="AV65" s="403"/>
      <c r="AW65" s="403"/>
      <c r="AX65" s="403"/>
      <c r="AY65" s="403"/>
      <c r="AZ65" s="403"/>
      <c r="BA65" s="403"/>
      <c r="BB65" s="403"/>
      <c r="BC65" s="403"/>
      <c r="BD65" s="403"/>
      <c r="BE65" s="403"/>
      <c r="BF65" s="403"/>
      <c r="BG65" s="403"/>
      <c r="BH65" s="403"/>
      <c r="BI65" s="403"/>
      <c r="BJ65" s="403"/>
      <c r="BK65" s="403"/>
      <c r="BL65" s="403"/>
      <c r="BM65" s="403"/>
      <c r="BN65" s="403"/>
      <c r="BO65" s="403"/>
      <c r="BP65" s="403"/>
      <c r="BQ65" s="403"/>
      <c r="BR65" s="403"/>
      <c r="BS65" s="403"/>
      <c r="BT65" s="403"/>
      <c r="BU65" s="403"/>
      <c r="BV65" s="403"/>
      <c r="BW65" s="403"/>
      <c r="BX65" s="403"/>
      <c r="BY65" s="403"/>
      <c r="BZ65" s="403"/>
      <c r="CA65" s="403"/>
      <c r="CB65" s="403"/>
      <c r="CC65" s="650"/>
      <c r="CD65" s="403"/>
      <c r="CE65" s="403"/>
      <c r="CF65" s="403"/>
      <c r="CG65" s="403"/>
      <c r="CH65" s="403"/>
      <c r="CI65" s="403"/>
      <c r="CJ65" s="403"/>
      <c r="CK65" s="403"/>
      <c r="CL65" s="403"/>
      <c r="CM65" s="403"/>
      <c r="CN65" s="564"/>
    </row>
    <row r="66" spans="1:92" s="241" customFormat="1" x14ac:dyDescent="0.2">
      <c r="A66" s="350">
        <v>2</v>
      </c>
      <c r="B66" s="569"/>
      <c r="C66" s="5" t="str">
        <f ca="1">OFFSET(_Offset_Index_VaccineSupplyPrices,1,L66)</f>
        <v>…</v>
      </c>
      <c r="D66" s="36"/>
      <c r="E66" s="494"/>
      <c r="F66" s="39"/>
      <c r="G66" s="2">
        <f t="shared" ca="1" si="18"/>
        <v>0</v>
      </c>
      <c r="H66" s="236">
        <f ca="1">IF(ISBLANK(F66),IF(ISBLANK(E66),M66,E66/USD2LCU),F66)</f>
        <v>0</v>
      </c>
      <c r="I66" s="221" t="e">
        <f t="shared" si="19"/>
        <v>#N/A</v>
      </c>
      <c r="J66" s="567"/>
      <c r="K66" s="587"/>
      <c r="L66" s="2">
        <v>23</v>
      </c>
      <c r="M66" s="313">
        <f ca="1">_xlfn.NUMBERVALUE(OFFSET(_Offset_Index_VaccineSupplyPrices,2,L66))</f>
        <v>0</v>
      </c>
      <c r="N66" s="280">
        <f ca="1">_xlfn.NUMBERVALUE(OFFSET(_Offset_Index_VaccineSupplyPrices,3,L66))</f>
        <v>0</v>
      </c>
      <c r="O66" s="403"/>
      <c r="P66" s="403"/>
      <c r="Q66" s="403"/>
      <c r="R66" s="403"/>
      <c r="S66" s="403"/>
      <c r="T66" s="403"/>
      <c r="U66" s="403"/>
      <c r="V66" s="403"/>
      <c r="W66" s="403"/>
      <c r="X66" s="403"/>
      <c r="Y66" s="403"/>
      <c r="Z66" s="403"/>
      <c r="AA66" s="403"/>
      <c r="AB66" s="403"/>
      <c r="AC66" s="403"/>
      <c r="AD66" s="403"/>
      <c r="AE66" s="403"/>
      <c r="AF66" s="403"/>
      <c r="AG66" s="403"/>
      <c r="AH66" s="403"/>
      <c r="AI66" s="403"/>
      <c r="AJ66" s="403"/>
      <c r="AK66" s="403"/>
      <c r="AL66" s="403"/>
      <c r="AM66" s="403"/>
      <c r="AN66" s="403"/>
      <c r="AO66" s="403"/>
      <c r="AP66" s="403"/>
      <c r="AQ66" s="403"/>
      <c r="AR66" s="403"/>
      <c r="AS66" s="403"/>
      <c r="AT66" s="403"/>
      <c r="AU66" s="403"/>
      <c r="AV66" s="403"/>
      <c r="AW66" s="403"/>
      <c r="AX66" s="403"/>
      <c r="AY66" s="403"/>
      <c r="AZ66" s="403"/>
      <c r="BA66" s="403"/>
      <c r="BB66" s="403"/>
      <c r="BC66" s="403"/>
      <c r="BD66" s="403"/>
      <c r="BE66" s="403"/>
      <c r="BF66" s="403"/>
      <c r="BG66" s="403"/>
      <c r="BH66" s="403"/>
      <c r="BI66" s="403"/>
      <c r="BJ66" s="403"/>
      <c r="BK66" s="403"/>
      <c r="BL66" s="403"/>
      <c r="BM66" s="403"/>
      <c r="BN66" s="403"/>
      <c r="BO66" s="403"/>
      <c r="BP66" s="403"/>
      <c r="BQ66" s="403"/>
      <c r="BR66" s="403"/>
      <c r="BS66" s="403"/>
      <c r="BT66" s="403"/>
      <c r="BU66" s="403"/>
      <c r="BV66" s="403"/>
      <c r="BW66" s="403"/>
      <c r="BX66" s="403"/>
      <c r="BY66" s="403"/>
      <c r="BZ66" s="403"/>
      <c r="CA66" s="403"/>
      <c r="CB66" s="403"/>
      <c r="CC66" s="650"/>
      <c r="CD66" s="403"/>
      <c r="CE66" s="403"/>
      <c r="CF66" s="403"/>
      <c r="CG66" s="403"/>
      <c r="CH66" s="403"/>
      <c r="CI66" s="403"/>
      <c r="CJ66" s="403"/>
      <c r="CK66" s="403"/>
      <c r="CL66" s="403"/>
      <c r="CM66" s="403"/>
      <c r="CN66" s="564"/>
    </row>
    <row r="67" spans="1:92" s="241" customFormat="1" x14ac:dyDescent="0.2">
      <c r="A67" s="350">
        <v>2</v>
      </c>
      <c r="B67" s="569"/>
      <c r="C67" s="5" t="str">
        <f ca="1">OFFSET(_Offset_Index_VaccineSupplyPrices,1,L67)</f>
        <v>…</v>
      </c>
      <c r="D67" s="36"/>
      <c r="E67" s="494"/>
      <c r="F67" s="39"/>
      <c r="G67" s="2">
        <f t="shared" ca="1" si="18"/>
        <v>0</v>
      </c>
      <c r="H67" s="236">
        <f ca="1">IF(ISBLANK(F67),IF(ISBLANK(E67),M67,E67/USD2LCU),F67)</f>
        <v>0</v>
      </c>
      <c r="I67" s="221" t="e">
        <f t="shared" si="19"/>
        <v>#N/A</v>
      </c>
      <c r="J67" s="567"/>
      <c r="K67" s="587"/>
      <c r="L67" s="2">
        <v>24</v>
      </c>
      <c r="M67" s="313">
        <f ca="1">_xlfn.NUMBERVALUE(OFFSET(_Offset_Index_VaccineSupplyPrices,2,L67))</f>
        <v>0</v>
      </c>
      <c r="N67" s="280">
        <f ca="1">_xlfn.NUMBERVALUE(OFFSET(_Offset_Index_VaccineSupplyPrices,3,L67))</f>
        <v>0</v>
      </c>
      <c r="O67" s="403"/>
      <c r="P67" s="403"/>
      <c r="Q67" s="403"/>
      <c r="R67" s="403"/>
      <c r="S67" s="403"/>
      <c r="T67" s="403"/>
      <c r="U67" s="403"/>
      <c r="V67" s="403"/>
      <c r="W67" s="403"/>
      <c r="X67" s="403"/>
      <c r="Y67" s="403"/>
      <c r="Z67" s="403"/>
      <c r="AA67" s="403"/>
      <c r="AB67" s="403"/>
      <c r="AC67" s="403"/>
      <c r="AD67" s="403"/>
      <c r="AE67" s="403"/>
      <c r="AF67" s="403"/>
      <c r="AG67" s="403"/>
      <c r="AH67" s="403"/>
      <c r="AI67" s="403"/>
      <c r="AJ67" s="403"/>
      <c r="AK67" s="403"/>
      <c r="AL67" s="403"/>
      <c r="AM67" s="403"/>
      <c r="AN67" s="403"/>
      <c r="AO67" s="403"/>
      <c r="AP67" s="403"/>
      <c r="AQ67" s="403"/>
      <c r="AR67" s="403"/>
      <c r="AS67" s="403"/>
      <c r="AT67" s="403"/>
      <c r="AU67" s="403"/>
      <c r="AV67" s="403"/>
      <c r="AW67" s="403"/>
      <c r="AX67" s="403"/>
      <c r="AY67" s="403"/>
      <c r="AZ67" s="403"/>
      <c r="BA67" s="403"/>
      <c r="BB67" s="403"/>
      <c r="BC67" s="403"/>
      <c r="BD67" s="403"/>
      <c r="BE67" s="403"/>
      <c r="BF67" s="403"/>
      <c r="BG67" s="403"/>
      <c r="BH67" s="403"/>
      <c r="BI67" s="403"/>
      <c r="BJ67" s="403"/>
      <c r="BK67" s="403"/>
      <c r="BL67" s="403"/>
      <c r="BM67" s="403"/>
      <c r="BN67" s="403"/>
      <c r="BO67" s="403"/>
      <c r="BP67" s="403"/>
      <c r="BQ67" s="403"/>
      <c r="BR67" s="403"/>
      <c r="BS67" s="403"/>
      <c r="BT67" s="403"/>
      <c r="BU67" s="403"/>
      <c r="BV67" s="403"/>
      <c r="BW67" s="403"/>
      <c r="BX67" s="403"/>
      <c r="BY67" s="403"/>
      <c r="BZ67" s="403"/>
      <c r="CA67" s="403"/>
      <c r="CB67" s="403"/>
      <c r="CC67" s="650"/>
      <c r="CD67" s="403"/>
      <c r="CE67" s="403"/>
      <c r="CF67" s="403"/>
      <c r="CG67" s="403"/>
      <c r="CH67" s="403"/>
      <c r="CI67" s="403"/>
      <c r="CJ67" s="403"/>
      <c r="CK67" s="403"/>
      <c r="CL67" s="403"/>
      <c r="CM67" s="403"/>
      <c r="CN67" s="564"/>
    </row>
    <row r="68" spans="1:92" s="194" customFormat="1" x14ac:dyDescent="0.2">
      <c r="A68" s="350">
        <v>2</v>
      </c>
      <c r="B68" s="569"/>
      <c r="C68" s="5" t="str">
        <f ca="1">OFFSET(_Offset_Index_VaccineSupplyPrices,1,L68)</f>
        <v>…</v>
      </c>
      <c r="D68" s="36"/>
      <c r="E68" s="494"/>
      <c r="F68" s="39"/>
      <c r="G68" s="2">
        <f t="shared" ca="1" si="18"/>
        <v>0</v>
      </c>
      <c r="H68" s="236">
        <f ca="1">IF(ISBLANK(F68),IF(ISBLANK(E68),M68,E68/USD2LCU),F68)</f>
        <v>0</v>
      </c>
      <c r="I68" s="221" t="e">
        <f t="shared" si="19"/>
        <v>#N/A</v>
      </c>
      <c r="J68" s="567"/>
      <c r="K68" s="587"/>
      <c r="L68" s="2">
        <v>25</v>
      </c>
      <c r="M68" s="313">
        <f ca="1">_xlfn.NUMBERVALUE(OFFSET(_Offset_Index_VaccineSupplyPrices,2,L68))</f>
        <v>0</v>
      </c>
      <c r="N68" s="280">
        <f ca="1">_xlfn.NUMBERVALUE(OFFSET(_Offset_Index_VaccineSupplyPrices,3,L68))</f>
        <v>0</v>
      </c>
      <c r="O68" s="403"/>
      <c r="P68" s="403"/>
      <c r="Q68" s="403"/>
      <c r="R68" s="403"/>
      <c r="S68" s="403"/>
      <c r="T68" s="403"/>
      <c r="U68" s="403"/>
      <c r="V68" s="403"/>
      <c r="W68" s="403"/>
      <c r="X68" s="403"/>
      <c r="Y68" s="403"/>
      <c r="Z68" s="403"/>
      <c r="AA68" s="403"/>
      <c r="AB68" s="403"/>
      <c r="AC68" s="403"/>
      <c r="AD68" s="403"/>
      <c r="AE68" s="403"/>
      <c r="AF68" s="403"/>
      <c r="AG68" s="403"/>
      <c r="AH68" s="403"/>
      <c r="AI68" s="403"/>
      <c r="AJ68" s="403"/>
      <c r="AK68" s="403"/>
      <c r="AL68" s="403"/>
      <c r="AM68" s="403"/>
      <c r="AN68" s="403"/>
      <c r="AO68" s="403"/>
      <c r="AP68" s="403"/>
      <c r="AQ68" s="403"/>
      <c r="AR68" s="403"/>
      <c r="AS68" s="403"/>
      <c r="AT68" s="403"/>
      <c r="AU68" s="403"/>
      <c r="AV68" s="403"/>
      <c r="AW68" s="403"/>
      <c r="AX68" s="403"/>
      <c r="AY68" s="403"/>
      <c r="AZ68" s="403"/>
      <c r="BA68" s="403"/>
      <c r="BB68" s="403"/>
      <c r="BC68" s="403"/>
      <c r="BD68" s="403"/>
      <c r="BE68" s="403"/>
      <c r="BF68" s="403"/>
      <c r="BG68" s="403"/>
      <c r="BH68" s="403"/>
      <c r="BI68" s="403"/>
      <c r="BJ68" s="403"/>
      <c r="BK68" s="403"/>
      <c r="BL68" s="403"/>
      <c r="BM68" s="403"/>
      <c r="BN68" s="403"/>
      <c r="BO68" s="403"/>
      <c r="BP68" s="403"/>
      <c r="BQ68" s="403"/>
      <c r="BR68" s="403"/>
      <c r="BS68" s="403"/>
      <c r="BT68" s="403"/>
      <c r="BU68" s="403"/>
      <c r="BV68" s="403"/>
      <c r="BW68" s="403"/>
      <c r="BX68" s="403"/>
      <c r="BY68" s="403"/>
      <c r="BZ68" s="403"/>
      <c r="CA68" s="403"/>
      <c r="CB68" s="403"/>
      <c r="CC68" s="650"/>
      <c r="CD68" s="403"/>
      <c r="CE68" s="403"/>
      <c r="CF68" s="403"/>
      <c r="CG68" s="403"/>
      <c r="CH68" s="403"/>
      <c r="CI68" s="403"/>
      <c r="CJ68" s="403"/>
      <c r="CK68" s="403"/>
      <c r="CL68" s="403"/>
      <c r="CM68" s="403"/>
      <c r="CN68" s="564"/>
    </row>
    <row r="69" spans="1:92" s="194" customFormat="1" x14ac:dyDescent="0.2">
      <c r="B69" s="528"/>
      <c r="C69" s="238" t="str">
        <f ca="1">IF(OFFSET(R69,0,Lang_Order*Lang__A3)="","",OFFSET(R69,0,Lang_Order*Lang__A3))</f>
        <v/>
      </c>
      <c r="F69" s="14"/>
      <c r="J69" s="567"/>
      <c r="L69" s="2"/>
      <c r="M69" s="277"/>
      <c r="O69" s="403"/>
      <c r="P69" s="403"/>
      <c r="Q69" s="403"/>
      <c r="R69" s="403"/>
      <c r="S69" s="403"/>
      <c r="T69" s="403"/>
      <c r="U69" s="403"/>
      <c r="V69" s="403"/>
      <c r="W69" s="403"/>
      <c r="X69" s="403"/>
      <c r="Y69" s="403"/>
      <c r="Z69" s="403"/>
      <c r="AA69" s="403"/>
      <c r="AB69" s="403"/>
      <c r="AC69" s="403"/>
      <c r="AD69" s="403"/>
      <c r="AE69" s="403"/>
      <c r="AF69" s="403"/>
      <c r="AG69" s="403"/>
      <c r="AH69" s="403"/>
      <c r="AI69" s="403"/>
      <c r="AJ69" s="403"/>
      <c r="AK69" s="403"/>
      <c r="AL69" s="403"/>
      <c r="AM69" s="403"/>
      <c r="AN69" s="403"/>
      <c r="AO69" s="403"/>
      <c r="AP69" s="403"/>
      <c r="AQ69" s="403"/>
      <c r="AR69" s="403"/>
      <c r="AS69" s="403"/>
      <c r="AT69" s="403"/>
      <c r="AU69" s="403"/>
      <c r="AV69" s="403"/>
      <c r="AW69" s="403"/>
      <c r="AX69" s="403"/>
      <c r="AY69" s="403"/>
      <c r="AZ69" s="403"/>
      <c r="BA69" s="403"/>
      <c r="BB69" s="403"/>
      <c r="BC69" s="403"/>
      <c r="BD69" s="403"/>
      <c r="BE69" s="403"/>
      <c r="BF69" s="403"/>
      <c r="BG69" s="403"/>
      <c r="BH69" s="403"/>
      <c r="BI69" s="403"/>
      <c r="BJ69" s="403"/>
      <c r="BK69" s="403"/>
      <c r="BL69" s="403"/>
      <c r="BM69" s="403"/>
      <c r="BN69" s="403"/>
      <c r="BO69" s="403"/>
      <c r="BP69" s="403"/>
      <c r="BQ69" s="403"/>
      <c r="BR69" s="403"/>
      <c r="BS69" s="403"/>
      <c r="BT69" s="403"/>
      <c r="BU69" s="403"/>
      <c r="BV69" s="403"/>
      <c r="BW69" s="403"/>
      <c r="BX69" s="403"/>
      <c r="BY69" s="403"/>
      <c r="BZ69" s="403"/>
      <c r="CA69" s="403"/>
      <c r="CB69" s="403"/>
      <c r="CC69" s="650"/>
      <c r="CD69" s="403"/>
      <c r="CE69" s="403"/>
      <c r="CF69" s="403"/>
      <c r="CG69" s="403"/>
      <c r="CH69" s="403"/>
      <c r="CI69" s="403"/>
      <c r="CJ69" s="403"/>
      <c r="CK69" s="403"/>
      <c r="CL69" s="403"/>
      <c r="CM69" s="403"/>
      <c r="CN69" s="564"/>
    </row>
    <row r="70" spans="1:92" s="194" customFormat="1" x14ac:dyDescent="0.2">
      <c r="A70" s="350">
        <v>2</v>
      </c>
      <c r="B70" s="569"/>
      <c r="C70" s="364"/>
      <c r="D70" s="36"/>
      <c r="E70" s="494"/>
      <c r="F70" s="39"/>
      <c r="G70" s="2">
        <f t="shared" ref="G70:G74" si="20">D70</f>
        <v>0</v>
      </c>
      <c r="H70" s="236" t="e">
        <f>IF(ISBLANK(F70),E70/USD2LCU,F70)</f>
        <v>#N/A</v>
      </c>
      <c r="I70" s="221" t="e">
        <f t="shared" ref="I70:I74" si="21">E70/USD2LCU</f>
        <v>#N/A</v>
      </c>
      <c r="J70" s="567"/>
      <c r="K70" s="587" t="s">
        <v>14246</v>
      </c>
      <c r="L70" s="2"/>
      <c r="M70" s="277"/>
      <c r="O70" s="403"/>
      <c r="P70" s="403"/>
      <c r="Q70" s="403"/>
      <c r="R70" s="403"/>
      <c r="S70" s="403"/>
      <c r="T70" s="403"/>
      <c r="U70" s="403"/>
      <c r="V70" s="403"/>
      <c r="W70" s="403"/>
      <c r="X70" s="403"/>
      <c r="Y70" s="403"/>
      <c r="Z70" s="403"/>
      <c r="AA70" s="403"/>
      <c r="AB70" s="403"/>
      <c r="AC70" s="403"/>
      <c r="AD70" s="403"/>
      <c r="AE70" s="403"/>
      <c r="AF70" s="403"/>
      <c r="AG70" s="403"/>
      <c r="AH70" s="403"/>
      <c r="AI70" s="403"/>
      <c r="AJ70" s="403"/>
      <c r="AK70" s="403"/>
      <c r="AL70" s="403"/>
      <c r="AM70" s="403"/>
      <c r="AN70" s="403"/>
      <c r="AO70" s="403"/>
      <c r="AP70" s="403"/>
      <c r="AQ70" s="403"/>
      <c r="AR70" s="403"/>
      <c r="AS70" s="403"/>
      <c r="AT70" s="403"/>
      <c r="AU70" s="403"/>
      <c r="AV70" s="403"/>
      <c r="AW70" s="403"/>
      <c r="AX70" s="403"/>
      <c r="AY70" s="403"/>
      <c r="AZ70" s="403"/>
      <c r="BA70" s="403"/>
      <c r="BB70" s="403"/>
      <c r="BC70" s="403"/>
      <c r="BD70" s="403"/>
      <c r="BE70" s="403"/>
      <c r="BF70" s="403"/>
      <c r="BG70" s="403"/>
      <c r="BH70" s="403"/>
      <c r="BI70" s="403"/>
      <c r="BJ70" s="403"/>
      <c r="BK70" s="403"/>
      <c r="BL70" s="403"/>
      <c r="BM70" s="403"/>
      <c r="BN70" s="403"/>
      <c r="BO70" s="403"/>
      <c r="BP70" s="403"/>
      <c r="BQ70" s="403"/>
      <c r="BR70" s="403"/>
      <c r="BS70" s="403"/>
      <c r="BT70" s="403"/>
      <c r="BU70" s="403"/>
      <c r="BV70" s="403"/>
      <c r="BW70" s="403"/>
      <c r="BX70" s="403"/>
      <c r="BY70" s="403"/>
      <c r="BZ70" s="403"/>
      <c r="CA70" s="403"/>
      <c r="CB70" s="403"/>
      <c r="CC70" s="650"/>
      <c r="CD70" s="403"/>
      <c r="CE70" s="403"/>
      <c r="CF70" s="403"/>
      <c r="CG70" s="403"/>
      <c r="CH70" s="403"/>
      <c r="CI70" s="403"/>
      <c r="CJ70" s="403"/>
      <c r="CK70" s="403"/>
      <c r="CL70" s="403"/>
      <c r="CM70" s="403"/>
      <c r="CN70" s="564"/>
    </row>
    <row r="71" spans="1:92" s="194" customFormat="1" x14ac:dyDescent="0.2">
      <c r="A71" s="350">
        <v>2</v>
      </c>
      <c r="B71" s="569"/>
      <c r="C71" s="364"/>
      <c r="D71" s="36"/>
      <c r="E71" s="494"/>
      <c r="F71" s="39"/>
      <c r="G71" s="2">
        <f t="shared" si="20"/>
        <v>0</v>
      </c>
      <c r="H71" s="236" t="e">
        <f>IF(ISBLANK(F71),E71/USD2LCU,F71)</f>
        <v>#N/A</v>
      </c>
      <c r="I71" s="221" t="e">
        <f t="shared" si="21"/>
        <v>#N/A</v>
      </c>
      <c r="J71" s="567"/>
      <c r="K71" s="587"/>
      <c r="L71" s="2"/>
      <c r="M71" s="277"/>
      <c r="O71" s="403"/>
      <c r="P71" s="403"/>
      <c r="Q71" s="403"/>
      <c r="R71" s="403"/>
      <c r="S71" s="403"/>
      <c r="T71" s="403"/>
      <c r="U71" s="403"/>
      <c r="V71" s="403"/>
      <c r="W71" s="403"/>
      <c r="X71" s="403"/>
      <c r="Y71" s="403"/>
      <c r="Z71" s="403"/>
      <c r="AA71" s="403"/>
      <c r="AB71" s="403"/>
      <c r="AC71" s="403"/>
      <c r="AD71" s="403"/>
      <c r="AE71" s="403"/>
      <c r="AF71" s="403"/>
      <c r="AG71" s="403"/>
      <c r="AH71" s="403"/>
      <c r="AI71" s="403"/>
      <c r="AJ71" s="403"/>
      <c r="AK71" s="403"/>
      <c r="AL71" s="403"/>
      <c r="AM71" s="403"/>
      <c r="AN71" s="403"/>
      <c r="AO71" s="403"/>
      <c r="AP71" s="403"/>
      <c r="AQ71" s="403"/>
      <c r="AR71" s="403"/>
      <c r="AS71" s="403"/>
      <c r="AT71" s="403"/>
      <c r="AU71" s="403"/>
      <c r="AV71" s="403"/>
      <c r="AW71" s="403"/>
      <c r="AX71" s="403"/>
      <c r="AY71" s="403"/>
      <c r="AZ71" s="403"/>
      <c r="BA71" s="403"/>
      <c r="BB71" s="403"/>
      <c r="BC71" s="403"/>
      <c r="BD71" s="403"/>
      <c r="BE71" s="403"/>
      <c r="BF71" s="403"/>
      <c r="BG71" s="403"/>
      <c r="BH71" s="403"/>
      <c r="BI71" s="403"/>
      <c r="BJ71" s="403"/>
      <c r="BK71" s="403"/>
      <c r="BL71" s="403"/>
      <c r="BM71" s="403"/>
      <c r="BN71" s="403"/>
      <c r="BO71" s="403"/>
      <c r="BP71" s="403"/>
      <c r="BQ71" s="403"/>
      <c r="BR71" s="403"/>
      <c r="BS71" s="403"/>
      <c r="BT71" s="403"/>
      <c r="BU71" s="403"/>
      <c r="BV71" s="403"/>
      <c r="BW71" s="403"/>
      <c r="BX71" s="403"/>
      <c r="BY71" s="403"/>
      <c r="BZ71" s="403"/>
      <c r="CA71" s="403"/>
      <c r="CB71" s="403"/>
      <c r="CC71" s="650"/>
      <c r="CD71" s="403"/>
      <c r="CE71" s="403"/>
      <c r="CF71" s="403"/>
      <c r="CG71" s="403"/>
      <c r="CH71" s="403"/>
      <c r="CI71" s="403"/>
      <c r="CJ71" s="403"/>
      <c r="CK71" s="403"/>
      <c r="CL71" s="403"/>
      <c r="CM71" s="403"/>
      <c r="CN71" s="564"/>
    </row>
    <row r="72" spans="1:92" s="194" customFormat="1" x14ac:dyDescent="0.2">
      <c r="A72" s="350">
        <v>2</v>
      </c>
      <c r="B72" s="569"/>
      <c r="C72" s="364"/>
      <c r="D72" s="36"/>
      <c r="E72" s="494"/>
      <c r="F72" s="39"/>
      <c r="G72" s="2">
        <f t="shared" si="20"/>
        <v>0</v>
      </c>
      <c r="H72" s="236" t="e">
        <f>IF(ISBLANK(F72),E72/USD2LCU,F72)</f>
        <v>#N/A</v>
      </c>
      <c r="I72" s="221" t="e">
        <f t="shared" si="21"/>
        <v>#N/A</v>
      </c>
      <c r="J72" s="567"/>
      <c r="K72" s="587"/>
      <c r="L72" s="2"/>
      <c r="M72" s="277"/>
      <c r="O72" s="403"/>
      <c r="P72" s="403"/>
      <c r="Q72" s="403"/>
      <c r="R72" s="403"/>
      <c r="S72" s="403"/>
      <c r="T72" s="403"/>
      <c r="U72" s="403"/>
      <c r="V72" s="403"/>
      <c r="W72" s="403"/>
      <c r="X72" s="403"/>
      <c r="Y72" s="403"/>
      <c r="Z72" s="403"/>
      <c r="AA72" s="403"/>
      <c r="AB72" s="403"/>
      <c r="AC72" s="403"/>
      <c r="AD72" s="403"/>
      <c r="AE72" s="403"/>
      <c r="AF72" s="403"/>
      <c r="AG72" s="403"/>
      <c r="AH72" s="403"/>
      <c r="AI72" s="403"/>
      <c r="AJ72" s="403"/>
      <c r="AK72" s="403"/>
      <c r="AL72" s="403"/>
      <c r="AM72" s="403"/>
      <c r="AN72" s="403"/>
      <c r="AO72" s="403"/>
      <c r="AP72" s="403"/>
      <c r="AQ72" s="403"/>
      <c r="AR72" s="403"/>
      <c r="AS72" s="403"/>
      <c r="AT72" s="403"/>
      <c r="AU72" s="403"/>
      <c r="AV72" s="403"/>
      <c r="AW72" s="403"/>
      <c r="AX72" s="403"/>
      <c r="AY72" s="403"/>
      <c r="AZ72" s="403"/>
      <c r="BA72" s="403"/>
      <c r="BB72" s="403"/>
      <c r="BC72" s="403"/>
      <c r="BD72" s="403"/>
      <c r="BE72" s="403"/>
      <c r="BF72" s="403"/>
      <c r="BG72" s="403"/>
      <c r="BH72" s="403"/>
      <c r="BI72" s="403"/>
      <c r="BJ72" s="403"/>
      <c r="BK72" s="403"/>
      <c r="BL72" s="403"/>
      <c r="BM72" s="403"/>
      <c r="BN72" s="403"/>
      <c r="BO72" s="403"/>
      <c r="BP72" s="403"/>
      <c r="BQ72" s="403"/>
      <c r="BR72" s="403"/>
      <c r="BS72" s="403"/>
      <c r="BT72" s="403"/>
      <c r="BU72" s="403"/>
      <c r="BV72" s="403"/>
      <c r="BW72" s="403"/>
      <c r="BX72" s="403"/>
      <c r="BY72" s="403"/>
      <c r="BZ72" s="403"/>
      <c r="CA72" s="403"/>
      <c r="CB72" s="403"/>
      <c r="CC72" s="650"/>
      <c r="CD72" s="403"/>
      <c r="CE72" s="403"/>
      <c r="CF72" s="403"/>
      <c r="CG72" s="403"/>
      <c r="CH72" s="403"/>
      <c r="CI72" s="403"/>
      <c r="CJ72" s="403"/>
      <c r="CK72" s="403"/>
      <c r="CL72" s="403"/>
      <c r="CM72" s="403"/>
      <c r="CN72" s="564"/>
    </row>
    <row r="73" spans="1:92" s="194" customFormat="1" x14ac:dyDescent="0.2">
      <c r="A73" s="350">
        <v>2</v>
      </c>
      <c r="B73" s="569"/>
      <c r="C73" s="364"/>
      <c r="D73" s="36"/>
      <c r="E73" s="494"/>
      <c r="F73" s="39"/>
      <c r="G73" s="2">
        <f t="shared" si="20"/>
        <v>0</v>
      </c>
      <c r="H73" s="236" t="e">
        <f>IF(ISBLANK(F73),E73/USD2LCU,F73)</f>
        <v>#N/A</v>
      </c>
      <c r="I73" s="221" t="e">
        <f t="shared" si="21"/>
        <v>#N/A</v>
      </c>
      <c r="J73" s="567"/>
      <c r="K73" s="587"/>
      <c r="L73" s="2"/>
      <c r="M73" s="277"/>
      <c r="O73" s="403"/>
      <c r="P73" s="403"/>
      <c r="Q73" s="403"/>
      <c r="R73" s="403"/>
      <c r="S73" s="403"/>
      <c r="T73" s="403"/>
      <c r="U73" s="403"/>
      <c r="V73" s="403"/>
      <c r="W73" s="403"/>
      <c r="X73" s="403"/>
      <c r="Y73" s="403"/>
      <c r="Z73" s="403"/>
      <c r="AA73" s="403"/>
      <c r="AB73" s="403"/>
      <c r="AC73" s="403"/>
      <c r="AD73" s="403"/>
      <c r="AE73" s="403"/>
      <c r="AF73" s="403"/>
      <c r="AG73" s="403"/>
      <c r="AH73" s="403"/>
      <c r="AI73" s="403"/>
      <c r="AJ73" s="403"/>
      <c r="AK73" s="403"/>
      <c r="AL73" s="403"/>
      <c r="AM73" s="403"/>
      <c r="AN73" s="403"/>
      <c r="AO73" s="403"/>
      <c r="AP73" s="403"/>
      <c r="AQ73" s="403"/>
      <c r="AR73" s="403"/>
      <c r="AS73" s="403"/>
      <c r="AT73" s="403"/>
      <c r="AU73" s="403"/>
      <c r="AV73" s="403"/>
      <c r="AW73" s="403"/>
      <c r="AX73" s="403"/>
      <c r="AY73" s="403"/>
      <c r="AZ73" s="403"/>
      <c r="BA73" s="403"/>
      <c r="BB73" s="403"/>
      <c r="BC73" s="403"/>
      <c r="BD73" s="403"/>
      <c r="BE73" s="403"/>
      <c r="BF73" s="403"/>
      <c r="BG73" s="403"/>
      <c r="BH73" s="403"/>
      <c r="BI73" s="403"/>
      <c r="BJ73" s="403"/>
      <c r="BK73" s="403"/>
      <c r="BL73" s="403"/>
      <c r="BM73" s="403"/>
      <c r="BN73" s="403"/>
      <c r="BO73" s="403"/>
      <c r="BP73" s="403"/>
      <c r="BQ73" s="403"/>
      <c r="BR73" s="403"/>
      <c r="BS73" s="403"/>
      <c r="BT73" s="403"/>
      <c r="BU73" s="403"/>
      <c r="BV73" s="403"/>
      <c r="BW73" s="403"/>
      <c r="BX73" s="403"/>
      <c r="BY73" s="403"/>
      <c r="BZ73" s="403"/>
      <c r="CA73" s="403"/>
      <c r="CB73" s="403"/>
      <c r="CC73" s="650"/>
      <c r="CD73" s="403"/>
      <c r="CE73" s="403"/>
      <c r="CF73" s="403"/>
      <c r="CG73" s="403"/>
      <c r="CH73" s="403"/>
      <c r="CI73" s="403"/>
      <c r="CJ73" s="403"/>
      <c r="CK73" s="403"/>
      <c r="CL73" s="403"/>
      <c r="CM73" s="403"/>
      <c r="CN73" s="564"/>
    </row>
    <row r="74" spans="1:92" s="15" customFormat="1" x14ac:dyDescent="0.2">
      <c r="A74" s="350">
        <v>2</v>
      </c>
      <c r="B74" s="569"/>
      <c r="C74" s="364"/>
      <c r="D74" s="35"/>
      <c r="E74" s="494"/>
      <c r="F74" s="39"/>
      <c r="G74" s="2">
        <f t="shared" si="20"/>
        <v>0</v>
      </c>
      <c r="H74" s="236" t="e">
        <f>IF(ISBLANK(F74),E74/USD2LCU,F74)</f>
        <v>#N/A</v>
      </c>
      <c r="I74" s="221" t="e">
        <f t="shared" si="21"/>
        <v>#N/A</v>
      </c>
      <c r="J74" s="567"/>
      <c r="K74" s="587"/>
      <c r="L74" s="2"/>
      <c r="M74" s="277"/>
      <c r="N74" s="194"/>
      <c r="O74" s="403"/>
      <c r="P74" s="403"/>
      <c r="Q74" s="403"/>
      <c r="R74" s="403"/>
      <c r="S74" s="403"/>
      <c r="T74" s="403"/>
      <c r="U74" s="403"/>
      <c r="V74" s="403"/>
      <c r="W74" s="403"/>
      <c r="X74" s="403"/>
      <c r="Y74" s="403"/>
      <c r="Z74" s="403"/>
      <c r="AA74" s="403"/>
      <c r="AB74" s="403"/>
      <c r="AC74" s="403"/>
      <c r="AD74" s="403"/>
      <c r="AE74" s="403"/>
      <c r="AF74" s="403"/>
      <c r="AG74" s="403"/>
      <c r="AH74" s="403"/>
      <c r="AI74" s="403"/>
      <c r="AJ74" s="403"/>
      <c r="AK74" s="403"/>
      <c r="AL74" s="403"/>
      <c r="AM74" s="403"/>
      <c r="AN74" s="403"/>
      <c r="AO74" s="403"/>
      <c r="AP74" s="403"/>
      <c r="AQ74" s="403"/>
      <c r="AR74" s="403"/>
      <c r="AS74" s="403"/>
      <c r="AT74" s="403"/>
      <c r="AU74" s="403"/>
      <c r="AV74" s="403"/>
      <c r="AW74" s="403"/>
      <c r="AX74" s="403"/>
      <c r="AY74" s="403"/>
      <c r="AZ74" s="403"/>
      <c r="BA74" s="403"/>
      <c r="BB74" s="403"/>
      <c r="BC74" s="403"/>
      <c r="BD74" s="403"/>
      <c r="BE74" s="403"/>
      <c r="BF74" s="403"/>
      <c r="BG74" s="403"/>
      <c r="BH74" s="403"/>
      <c r="BI74" s="403"/>
      <c r="BJ74" s="403"/>
      <c r="BK74" s="403"/>
      <c r="BL74" s="403"/>
      <c r="BM74" s="403"/>
      <c r="BN74" s="403"/>
      <c r="BO74" s="403"/>
      <c r="BP74" s="403"/>
      <c r="BQ74" s="403"/>
      <c r="BR74" s="403"/>
      <c r="BS74" s="403"/>
      <c r="BT74" s="403"/>
      <c r="BU74" s="403"/>
      <c r="BV74" s="403"/>
      <c r="BW74" s="403"/>
      <c r="BX74" s="403"/>
      <c r="BY74" s="403"/>
      <c r="BZ74" s="403"/>
      <c r="CA74" s="403"/>
      <c r="CB74" s="403"/>
      <c r="CC74" s="650"/>
      <c r="CD74" s="403"/>
      <c r="CE74" s="403"/>
      <c r="CF74" s="403"/>
      <c r="CG74" s="403"/>
      <c r="CH74" s="403"/>
      <c r="CI74" s="403"/>
      <c r="CJ74" s="403"/>
      <c r="CK74" s="403"/>
      <c r="CL74" s="403"/>
      <c r="CM74" s="403"/>
      <c r="CN74" s="564"/>
    </row>
    <row r="75" spans="1:92" x14ac:dyDescent="0.2">
      <c r="B75" s="569"/>
      <c r="F75" s="14"/>
      <c r="L75" s="2"/>
    </row>
    <row r="76" spans="1:92" s="8" customFormat="1" ht="15" x14ac:dyDescent="0.25">
      <c r="A76" s="8" t="str">
        <f ca="1">IF(OFFSET(P76,0,Lang_Order*Lang__A3)="","",OFFSET(P76,0,Lang_Order*Lang__A3))</f>
        <v>A3.4 Logistics</v>
      </c>
      <c r="B76" s="33"/>
      <c r="D76" s="8" t="str">
        <f ca="1">IF(OFFSET(S76,0,Lang_Order*Lang__A3)="","",OFFSET(S76,0,Lang_Order*Lang__A3))</f>
        <v>Units</v>
      </c>
      <c r="E76" s="408" t="str">
        <f>CONCATENATE(Lang_LCU,": ",LCU)</f>
        <v xml:space="preserve">LCU: </v>
      </c>
      <c r="F76" s="610" t="str">
        <f ca="1">IF(OFFSET(U76,0,Lang_Order*Lang__A3)="","",OFFSET(U76,0,Lang_Order*Lang__A3))</f>
        <v>Override in USD</v>
      </c>
      <c r="G76" s="234"/>
      <c r="H76" s="234" t="s">
        <v>2635</v>
      </c>
      <c r="I76" s="219" t="s">
        <v>26</v>
      </c>
      <c r="J76" s="8" t="str">
        <f ca="1">IF(OFFSET(Y76,0,Lang_Order*Lang__A3)="","",OFFSET(Y76,0,Lang_Order*Lang__A3))</f>
        <v>Comments</v>
      </c>
      <c r="K76" s="8" t="str">
        <f ca="1">IF(OFFSET(Z76,0,Lang_Order*Lang__A3)="","",OFFSET(Z76,0,Lang_Order*Lang__A3))</f>
        <v>User Notes</v>
      </c>
      <c r="M76" s="311" t="s">
        <v>3848</v>
      </c>
      <c r="O76" s="403"/>
      <c r="P76" s="403" t="s">
        <v>2950</v>
      </c>
      <c r="Q76" s="403"/>
      <c r="R76" s="403"/>
      <c r="S76" s="403" t="s">
        <v>37</v>
      </c>
      <c r="T76" s="403"/>
      <c r="U76" s="403" t="s">
        <v>2977</v>
      </c>
      <c r="V76" s="403"/>
      <c r="W76" s="403"/>
      <c r="X76" s="403"/>
      <c r="Y76" s="403" t="s">
        <v>13980</v>
      </c>
      <c r="Z76" s="403" t="s">
        <v>13981</v>
      </c>
      <c r="AA76" s="403" t="s">
        <v>8152</v>
      </c>
      <c r="AB76" s="403"/>
      <c r="AC76" s="403"/>
      <c r="AD76" s="403" t="s">
        <v>8153</v>
      </c>
      <c r="AE76" s="403"/>
      <c r="AF76" s="403" t="s">
        <v>7897</v>
      </c>
      <c r="AG76" s="403"/>
      <c r="AH76" s="403"/>
      <c r="AI76" s="403"/>
      <c r="AJ76" s="403" t="s">
        <v>14071</v>
      </c>
      <c r="AK76" s="403" t="s">
        <v>14076</v>
      </c>
      <c r="AL76" s="403" t="s">
        <v>8154</v>
      </c>
      <c r="AM76" s="403"/>
      <c r="AN76" s="403"/>
      <c r="AO76" s="403" t="s">
        <v>8155</v>
      </c>
      <c r="AP76" s="403"/>
      <c r="AQ76" s="403" t="s">
        <v>8156</v>
      </c>
      <c r="AR76" s="403"/>
      <c r="AS76" s="403"/>
      <c r="AT76" s="403"/>
      <c r="AU76" s="403" t="s">
        <v>14072</v>
      </c>
      <c r="AV76" s="403" t="s">
        <v>14077</v>
      </c>
      <c r="AW76" s="403" t="s">
        <v>8158</v>
      </c>
      <c r="AX76" s="403"/>
      <c r="AY76" s="403"/>
      <c r="AZ76" s="403" t="s">
        <v>8159</v>
      </c>
      <c r="BA76" s="403"/>
      <c r="BB76" s="403" t="s">
        <v>7903</v>
      </c>
      <c r="BC76" s="403"/>
      <c r="BD76" s="403"/>
      <c r="BE76" s="403"/>
      <c r="BF76" s="403" t="s">
        <v>14073</v>
      </c>
      <c r="BG76" s="403" t="s">
        <v>14078</v>
      </c>
      <c r="BH76" s="403" t="s">
        <v>8158</v>
      </c>
      <c r="BI76" s="403"/>
      <c r="BJ76" s="403"/>
      <c r="BK76" s="403" t="s">
        <v>8159</v>
      </c>
      <c r="BL76" s="403"/>
      <c r="BM76" s="403" t="s">
        <v>7906</v>
      </c>
      <c r="BN76" s="403"/>
      <c r="BO76" s="403"/>
      <c r="BP76" s="403"/>
      <c r="BQ76" s="403" t="s">
        <v>14074</v>
      </c>
      <c r="BR76" s="403" t="s">
        <v>14079</v>
      </c>
      <c r="BS76" s="403" t="s">
        <v>8160</v>
      </c>
      <c r="BT76" s="403"/>
      <c r="BU76" s="403"/>
      <c r="BV76" s="403" t="s">
        <v>5709</v>
      </c>
      <c r="BW76" s="403"/>
      <c r="BX76" s="403" t="s">
        <v>7908</v>
      </c>
      <c r="BY76" s="403"/>
      <c r="BZ76" s="403"/>
      <c r="CA76" s="403"/>
      <c r="CB76" s="403" t="s">
        <v>14075</v>
      </c>
      <c r="CC76" s="650" t="s">
        <v>14080</v>
      </c>
      <c r="CD76" s="403" t="s">
        <v>8161</v>
      </c>
      <c r="CE76" s="403"/>
      <c r="CF76" s="403"/>
      <c r="CG76" s="403" t="s">
        <v>8162</v>
      </c>
      <c r="CH76" s="403"/>
      <c r="CI76" s="403" t="s">
        <v>7911</v>
      </c>
      <c r="CJ76" s="403"/>
      <c r="CK76" s="403"/>
      <c r="CL76" s="403"/>
      <c r="CM76" s="403" t="s">
        <v>5455</v>
      </c>
      <c r="CN76" s="564" t="s">
        <v>14081</v>
      </c>
    </row>
    <row r="77" spans="1:92" s="299" customFormat="1" ht="40.5" customHeight="1" x14ac:dyDescent="0.25">
      <c r="B77" s="528"/>
      <c r="C77" s="679" t="str">
        <f ca="1">IF(OFFSET(R77,0,Lang_Order*Lang__A3)="","",OFFSET(R77,0,Lang_Order*Lang__A3))</f>
        <v>Instructions: Please review the unit cost assumptions for freight and related costs.
If the country will be imposing custom clearance duties or tarfiffs for the vaccine doses or vaccine-related supplies, enter it here.</v>
      </c>
      <c r="D77" s="679"/>
      <c r="E77" s="679"/>
      <c r="F77" s="679"/>
      <c r="G77" s="679"/>
      <c r="H77" s="679"/>
      <c r="I77" s="679"/>
      <c r="M77" s="389" t="s">
        <v>26</v>
      </c>
      <c r="O77" s="403"/>
      <c r="P77" s="403"/>
      <c r="Q77" s="403"/>
      <c r="R77" s="403" t="s">
        <v>4132</v>
      </c>
      <c r="S77" s="403"/>
      <c r="T77" s="403"/>
      <c r="U77" s="403"/>
      <c r="V77" s="403"/>
      <c r="W77" s="403"/>
      <c r="X77" s="403"/>
      <c r="Y77" s="403"/>
      <c r="Z77" s="403"/>
      <c r="AA77" s="403"/>
      <c r="AB77" s="403"/>
      <c r="AC77" s="403" t="s">
        <v>8163</v>
      </c>
      <c r="AD77" s="403"/>
      <c r="AE77" s="403"/>
      <c r="AF77" s="403"/>
      <c r="AG77" s="403"/>
      <c r="AH77" s="403"/>
      <c r="AI77" s="403"/>
      <c r="AJ77" s="403"/>
      <c r="AK77" s="403"/>
      <c r="AL77" s="403"/>
      <c r="AM77" s="403"/>
      <c r="AN77" s="403" t="s">
        <v>8164</v>
      </c>
      <c r="AO77" s="403"/>
      <c r="AP77" s="403"/>
      <c r="AQ77" s="403"/>
      <c r="AR77" s="403"/>
      <c r="AS77" s="403"/>
      <c r="AT77" s="403"/>
      <c r="AU77" s="403"/>
      <c r="AV77" s="403"/>
      <c r="AW77" s="403"/>
      <c r="AX77" s="403"/>
      <c r="AY77" s="403" t="s">
        <v>8165</v>
      </c>
      <c r="AZ77" s="403"/>
      <c r="BA77" s="403"/>
      <c r="BB77" s="403"/>
      <c r="BC77" s="403"/>
      <c r="BD77" s="403"/>
      <c r="BE77" s="403"/>
      <c r="BF77" s="403"/>
      <c r="BG77" s="403"/>
      <c r="BH77" s="403"/>
      <c r="BI77" s="403"/>
      <c r="BJ77" s="403" t="s">
        <v>8166</v>
      </c>
      <c r="BK77" s="403"/>
      <c r="BL77" s="403"/>
      <c r="BM77" s="403"/>
      <c r="BN77" s="403"/>
      <c r="BO77" s="403"/>
      <c r="BP77" s="403"/>
      <c r="BQ77" s="403"/>
      <c r="BR77" s="403"/>
      <c r="BS77" s="403"/>
      <c r="BT77" s="403"/>
      <c r="BU77" s="403" t="s">
        <v>8167</v>
      </c>
      <c r="BV77" s="403"/>
      <c r="BW77" s="403"/>
      <c r="BX77" s="403"/>
      <c r="BY77" s="403"/>
      <c r="BZ77" s="403"/>
      <c r="CA77" s="403"/>
      <c r="CB77" s="403"/>
      <c r="CC77" s="650"/>
      <c r="CD77" s="403"/>
      <c r="CE77" s="403"/>
      <c r="CF77" s="403" t="s">
        <v>8168</v>
      </c>
      <c r="CG77" s="403"/>
      <c r="CH77" s="403"/>
      <c r="CI77" s="403"/>
      <c r="CJ77" s="403"/>
      <c r="CK77" s="403"/>
      <c r="CL77" s="403"/>
      <c r="CM77" s="403"/>
      <c r="CN77" s="564"/>
    </row>
    <row r="78" spans="1:92" s="15" customFormat="1" x14ac:dyDescent="0.2">
      <c r="B78" s="569" t="str">
        <f ca="1">IF(OFFSET(Q78,0,Lang_Order*Lang__A3)="","",OFFSET(Q78,0,Lang_Order*Lang__A3))</f>
        <v>International Logistics</v>
      </c>
      <c r="F78" s="14"/>
      <c r="H78" s="194"/>
      <c r="I78" s="14"/>
      <c r="J78" s="12" t="str">
        <f t="shared" ref="J78:J88" ca="1" si="22">IF(OFFSET(Y78,0,Lang_Order*Lang__A3)="","",OFFSET(Y78,0,Lang_Order*Lang__A3))</f>
        <v>Basic model: Assumes transport from manufacturer airport until arrival at ONE central store/warehouse in recipient country</v>
      </c>
      <c r="L78" s="241"/>
      <c r="M78" s="314"/>
      <c r="N78" s="25"/>
      <c r="O78" s="403"/>
      <c r="P78" s="403"/>
      <c r="Q78" s="403" t="s">
        <v>2907</v>
      </c>
      <c r="R78" s="403"/>
      <c r="S78" s="403"/>
      <c r="T78" s="403"/>
      <c r="U78" s="403"/>
      <c r="V78" s="403"/>
      <c r="W78" s="403"/>
      <c r="X78" s="403"/>
      <c r="Y78" s="403" t="s">
        <v>2965</v>
      </c>
      <c r="Z78" s="403"/>
      <c r="AA78" s="403"/>
      <c r="AB78" s="403" t="s">
        <v>5579</v>
      </c>
      <c r="AC78" s="403"/>
      <c r="AD78" s="403"/>
      <c r="AE78" s="403"/>
      <c r="AF78" s="403"/>
      <c r="AG78" s="403"/>
      <c r="AH78" s="403"/>
      <c r="AI78" s="403"/>
      <c r="AJ78" s="403" t="s">
        <v>8169</v>
      </c>
      <c r="AK78" s="403"/>
      <c r="AL78" s="403"/>
      <c r="AM78" s="403" t="s">
        <v>5569</v>
      </c>
      <c r="AN78" s="403"/>
      <c r="AO78" s="403"/>
      <c r="AP78" s="403"/>
      <c r="AQ78" s="403"/>
      <c r="AR78" s="403"/>
      <c r="AS78" s="403"/>
      <c r="AT78" s="403"/>
      <c r="AU78" s="403" t="s">
        <v>8170</v>
      </c>
      <c r="AV78" s="403"/>
      <c r="AW78" s="403"/>
      <c r="AX78" s="403" t="s">
        <v>5571</v>
      </c>
      <c r="AY78" s="403"/>
      <c r="AZ78" s="403"/>
      <c r="BA78" s="403"/>
      <c r="BB78" s="403"/>
      <c r="BC78" s="403"/>
      <c r="BD78" s="403"/>
      <c r="BE78" s="403"/>
      <c r="BF78" s="403" t="s">
        <v>8171</v>
      </c>
      <c r="BG78" s="403"/>
      <c r="BH78" s="403"/>
      <c r="BI78" s="403" t="s">
        <v>5573</v>
      </c>
      <c r="BJ78" s="403"/>
      <c r="BK78" s="403"/>
      <c r="BL78" s="403"/>
      <c r="BM78" s="403"/>
      <c r="BN78" s="403"/>
      <c r="BO78" s="403"/>
      <c r="BP78" s="403"/>
      <c r="BQ78" s="403" t="s">
        <v>8172</v>
      </c>
      <c r="BR78" s="403"/>
      <c r="BS78" s="403"/>
      <c r="BT78" s="403" t="s">
        <v>8173</v>
      </c>
      <c r="BU78" s="403"/>
      <c r="BV78" s="403"/>
      <c r="BW78" s="403"/>
      <c r="BX78" s="403"/>
      <c r="BY78" s="403"/>
      <c r="BZ78" s="403"/>
      <c r="CA78" s="403"/>
      <c r="CB78" s="403" t="s">
        <v>8174</v>
      </c>
      <c r="CC78" s="650"/>
      <c r="CD78" s="403"/>
      <c r="CE78" s="403" t="s">
        <v>5577</v>
      </c>
      <c r="CF78" s="403"/>
      <c r="CG78" s="403"/>
      <c r="CH78" s="403"/>
      <c r="CI78" s="403"/>
      <c r="CJ78" s="403"/>
      <c r="CK78" s="403"/>
      <c r="CL78" s="403"/>
      <c r="CM78" s="403" t="s">
        <v>8175</v>
      </c>
      <c r="CN78" s="564"/>
    </row>
    <row r="79" spans="1:92" x14ac:dyDescent="0.2">
      <c r="A79" s="354">
        <v>1</v>
      </c>
      <c r="B79" s="581"/>
      <c r="C79" s="23" t="str">
        <f t="shared" ref="C79:D86" ca="1" si="23">IF(OFFSET(R79,0,Lang_Order*Lang__A3)="","",OFFSET(R79,0,Lang_Order*Lang__A3))</f>
        <v>Airfreight price - First 100kg</v>
      </c>
      <c r="D79" s="2" t="str">
        <f t="shared" ca="1" si="23"/>
        <v>Per kg</v>
      </c>
      <c r="E79" s="494"/>
      <c r="F79" s="39">
        <v>10</v>
      </c>
      <c r="G79" s="4" t="str">
        <f t="shared" ref="G79:G83" si="24">IF(AND(ISBLANK(E79),ISBLANK(F79)),"CHECK","OK")</f>
        <v>OK</v>
      </c>
      <c r="H79" s="5"/>
      <c r="I79" s="11">
        <f>IF(ISBLANK(F79),E79/USD2LCU,F79)</f>
        <v>10</v>
      </c>
      <c r="J79" s="567"/>
      <c r="K79" s="587"/>
      <c r="L79" s="2"/>
      <c r="R79" s="403" t="s">
        <v>2966</v>
      </c>
      <c r="S79" s="403" t="s">
        <v>2818</v>
      </c>
      <c r="AC79" s="403" t="s">
        <v>8176</v>
      </c>
      <c r="AD79" s="403" t="s">
        <v>8177</v>
      </c>
      <c r="AN79" s="403" t="s">
        <v>8178</v>
      </c>
      <c r="AO79" s="403" t="s">
        <v>8179</v>
      </c>
      <c r="AY79" s="403" t="s">
        <v>8180</v>
      </c>
      <c r="AZ79" s="403" t="s">
        <v>8181</v>
      </c>
      <c r="BJ79" s="403" t="s">
        <v>8182</v>
      </c>
      <c r="BK79" s="403" t="s">
        <v>8181</v>
      </c>
      <c r="BU79" s="403" t="s">
        <v>8183</v>
      </c>
      <c r="BV79" s="403" t="s">
        <v>8184</v>
      </c>
      <c r="CF79" s="403" t="s">
        <v>8185</v>
      </c>
      <c r="CG79" s="403" t="s">
        <v>8186</v>
      </c>
    </row>
    <row r="80" spans="1:92" x14ac:dyDescent="0.2">
      <c r="A80" s="354">
        <v>1</v>
      </c>
      <c r="B80" s="581"/>
      <c r="C80" s="23" t="str">
        <f t="shared" ca="1" si="23"/>
        <v>Airfreight price - Above 100kg</v>
      </c>
      <c r="D80" s="2" t="str">
        <f t="shared" ca="1" si="23"/>
        <v>Per kg</v>
      </c>
      <c r="E80" s="494"/>
      <c r="F80" s="39">
        <v>6</v>
      </c>
      <c r="G80" s="4" t="str">
        <f t="shared" si="24"/>
        <v>OK</v>
      </c>
      <c r="H80" s="5"/>
      <c r="I80" s="11">
        <f>IF(ISBLANK(F80),E80/USD2LCU,F80)</f>
        <v>6</v>
      </c>
      <c r="J80" s="567"/>
      <c r="K80" s="587"/>
      <c r="L80" s="2"/>
      <c r="R80" s="403" t="s">
        <v>2967</v>
      </c>
      <c r="S80" s="403" t="s">
        <v>2818</v>
      </c>
      <c r="AC80" s="403" t="s">
        <v>8187</v>
      </c>
      <c r="AD80" s="403" t="s">
        <v>8177</v>
      </c>
      <c r="AN80" s="403" t="s">
        <v>8188</v>
      </c>
      <c r="AO80" s="403" t="s">
        <v>8179</v>
      </c>
      <c r="AY80" s="403" t="s">
        <v>8189</v>
      </c>
      <c r="AZ80" s="403" t="s">
        <v>8181</v>
      </c>
      <c r="BJ80" s="403" t="s">
        <v>8190</v>
      </c>
      <c r="BK80" s="403" t="s">
        <v>8181</v>
      </c>
      <c r="BU80" s="403" t="s">
        <v>8191</v>
      </c>
      <c r="BV80" s="403" t="s">
        <v>8184</v>
      </c>
      <c r="CF80" s="403" t="s">
        <v>8192</v>
      </c>
      <c r="CG80" s="403" t="s">
        <v>8186</v>
      </c>
    </row>
    <row r="81" spans="1:92" s="15" customFormat="1" x14ac:dyDescent="0.2">
      <c r="A81" s="354">
        <v>1</v>
      </c>
      <c r="B81" s="581"/>
      <c r="C81" s="23" t="str">
        <f t="shared" ca="1" si="23"/>
        <v>Ground handling costs per shipment</v>
      </c>
      <c r="D81" s="2" t="str">
        <f t="shared" ca="1" si="23"/>
        <v>Per shipment</v>
      </c>
      <c r="E81" s="494"/>
      <c r="F81" s="39">
        <v>200</v>
      </c>
      <c r="G81" s="4" t="str">
        <f t="shared" si="24"/>
        <v>OK</v>
      </c>
      <c r="H81" s="5"/>
      <c r="I81" s="11">
        <f>IF(ISBLANK(F81),E81/USD2LCU,F81)</f>
        <v>200</v>
      </c>
      <c r="J81" s="567"/>
      <c r="K81" s="587"/>
      <c r="L81" s="2"/>
      <c r="M81" s="277"/>
      <c r="O81" s="403"/>
      <c r="P81" s="403"/>
      <c r="Q81" s="403"/>
      <c r="R81" s="403" t="s">
        <v>3117</v>
      </c>
      <c r="S81" s="403" t="s">
        <v>2816</v>
      </c>
      <c r="T81" s="403"/>
      <c r="U81" s="403"/>
      <c r="V81" s="403"/>
      <c r="W81" s="403"/>
      <c r="X81" s="403"/>
      <c r="Y81" s="403"/>
      <c r="Z81" s="403"/>
      <c r="AA81" s="403"/>
      <c r="AB81" s="403"/>
      <c r="AC81" s="403" t="s">
        <v>8193</v>
      </c>
      <c r="AD81" s="403" t="s">
        <v>8194</v>
      </c>
      <c r="AE81" s="403"/>
      <c r="AF81" s="403"/>
      <c r="AG81" s="403"/>
      <c r="AH81" s="403"/>
      <c r="AI81" s="403"/>
      <c r="AJ81" s="403"/>
      <c r="AK81" s="403"/>
      <c r="AL81" s="403"/>
      <c r="AM81" s="403"/>
      <c r="AN81" s="403" t="s">
        <v>8195</v>
      </c>
      <c r="AO81" s="403" t="s">
        <v>8196</v>
      </c>
      <c r="AP81" s="403"/>
      <c r="AQ81" s="403"/>
      <c r="AR81" s="403"/>
      <c r="AS81" s="403"/>
      <c r="AT81" s="403"/>
      <c r="AU81" s="403"/>
      <c r="AV81" s="403"/>
      <c r="AW81" s="403"/>
      <c r="AX81" s="403"/>
      <c r="AY81" s="403" t="s">
        <v>8197</v>
      </c>
      <c r="AZ81" s="403" t="s">
        <v>8198</v>
      </c>
      <c r="BA81" s="403"/>
      <c r="BB81" s="403"/>
      <c r="BC81" s="403"/>
      <c r="BD81" s="403"/>
      <c r="BE81" s="403"/>
      <c r="BF81" s="403"/>
      <c r="BG81" s="403"/>
      <c r="BH81" s="403"/>
      <c r="BI81" s="403"/>
      <c r="BJ81" s="403" t="s">
        <v>8199</v>
      </c>
      <c r="BK81" s="403" t="s">
        <v>8200</v>
      </c>
      <c r="BL81" s="403"/>
      <c r="BM81" s="403"/>
      <c r="BN81" s="403"/>
      <c r="BO81" s="403"/>
      <c r="BP81" s="403"/>
      <c r="BQ81" s="403"/>
      <c r="BR81" s="403"/>
      <c r="BS81" s="403"/>
      <c r="BT81" s="403"/>
      <c r="BU81" s="403" t="s">
        <v>8201</v>
      </c>
      <c r="BV81" s="403" t="s">
        <v>8202</v>
      </c>
      <c r="BW81" s="403"/>
      <c r="BX81" s="403"/>
      <c r="BY81" s="403"/>
      <c r="BZ81" s="403"/>
      <c r="CA81" s="403"/>
      <c r="CB81" s="403"/>
      <c r="CC81" s="650"/>
      <c r="CD81" s="403"/>
      <c r="CE81" s="403"/>
      <c r="CF81" s="403" t="s">
        <v>8203</v>
      </c>
      <c r="CG81" s="403" t="s">
        <v>8204</v>
      </c>
      <c r="CH81" s="403"/>
      <c r="CI81" s="403"/>
      <c r="CJ81" s="403"/>
      <c r="CK81" s="403"/>
      <c r="CL81" s="403"/>
      <c r="CM81" s="403"/>
      <c r="CN81" s="564"/>
    </row>
    <row r="82" spans="1:92" s="193" customFormat="1" x14ac:dyDescent="0.2">
      <c r="A82" s="350">
        <v>2</v>
      </c>
      <c r="B82" s="581"/>
      <c r="C82" s="370" t="str">
        <f t="shared" ca="1" si="23"/>
        <v>Electronic temperature monitoring device (leave blank for default cost)</v>
      </c>
      <c r="D82" s="2" t="str">
        <f t="shared" ca="1" si="23"/>
        <v>Per container</v>
      </c>
      <c r="E82" s="494"/>
      <c r="F82" s="39"/>
      <c r="G82" s="299"/>
      <c r="H82" s="194"/>
      <c r="I82" s="11">
        <f t="shared" ref="I82" ca="1" si="25">IF(ISBLANK(F82),IF(ISBLANK(E82),M82,E82/USD2LCU),F82)</f>
        <v>40</v>
      </c>
      <c r="J82" s="12" t="str">
        <f t="shared" ca="1" si="22"/>
        <v>https://www.who.int/immunization_standards/vaccine_quality/Vaccines_Shipping_Guidelines082019.pdf</v>
      </c>
      <c r="K82" s="587"/>
      <c r="L82" s="2">
        <v>26</v>
      </c>
      <c r="M82" s="313">
        <f ca="1">_xlfn.NUMBERVALUE(OFFSET(_Offset_Index_VaccineSupplyPrices,2,L82))</f>
        <v>40</v>
      </c>
      <c r="O82" s="403"/>
      <c r="P82" s="403"/>
      <c r="Q82" s="403"/>
      <c r="R82" s="403" t="s">
        <v>4133</v>
      </c>
      <c r="S82" s="403" t="s">
        <v>2908</v>
      </c>
      <c r="T82" s="403"/>
      <c r="U82" s="403"/>
      <c r="V82" s="403"/>
      <c r="W82" s="403"/>
      <c r="X82" s="403"/>
      <c r="Y82" s="403" t="s">
        <v>2711</v>
      </c>
      <c r="Z82" s="403"/>
      <c r="AA82" s="403"/>
      <c r="AB82" s="403"/>
      <c r="AC82" s="403" t="s">
        <v>8205</v>
      </c>
      <c r="AD82" s="403" t="s">
        <v>8206</v>
      </c>
      <c r="AE82" s="403"/>
      <c r="AF82" s="403"/>
      <c r="AG82" s="403"/>
      <c r="AH82" s="403"/>
      <c r="AI82" s="403"/>
      <c r="AJ82" s="403" t="s">
        <v>2711</v>
      </c>
      <c r="AK82" s="403"/>
      <c r="AL82" s="403"/>
      <c r="AM82" s="403"/>
      <c r="AN82" s="403" t="s">
        <v>8207</v>
      </c>
      <c r="AO82" s="403" t="s">
        <v>8208</v>
      </c>
      <c r="AP82" s="403"/>
      <c r="AQ82" s="403"/>
      <c r="AR82" s="403"/>
      <c r="AS82" s="403"/>
      <c r="AT82" s="403"/>
      <c r="AU82" s="403" t="s">
        <v>8209</v>
      </c>
      <c r="AV82" s="403"/>
      <c r="AW82" s="403"/>
      <c r="AX82" s="403"/>
      <c r="AY82" s="403" t="s">
        <v>8210</v>
      </c>
      <c r="AZ82" s="403" t="s">
        <v>8211</v>
      </c>
      <c r="BA82" s="403"/>
      <c r="BB82" s="403"/>
      <c r="BC82" s="403"/>
      <c r="BD82" s="403"/>
      <c r="BE82" s="403"/>
      <c r="BF82" s="403" t="s">
        <v>2711</v>
      </c>
      <c r="BG82" s="403"/>
      <c r="BH82" s="403"/>
      <c r="BI82" s="403"/>
      <c r="BJ82" s="403" t="s">
        <v>8212</v>
      </c>
      <c r="BK82" s="403" t="s">
        <v>8213</v>
      </c>
      <c r="BL82" s="403"/>
      <c r="BM82" s="403"/>
      <c r="BN82" s="403"/>
      <c r="BO82" s="403"/>
      <c r="BP82" s="403"/>
      <c r="BQ82" s="403" t="s">
        <v>2711</v>
      </c>
      <c r="BR82" s="403"/>
      <c r="BS82" s="403"/>
      <c r="BT82" s="403"/>
      <c r="BU82" s="403" t="s">
        <v>8214</v>
      </c>
      <c r="BV82" s="403" t="s">
        <v>8215</v>
      </c>
      <c r="BW82" s="403"/>
      <c r="BX82" s="403"/>
      <c r="BY82" s="403"/>
      <c r="BZ82" s="403"/>
      <c r="CA82" s="403"/>
      <c r="CB82" s="403" t="s">
        <v>2711</v>
      </c>
      <c r="CC82" s="650"/>
      <c r="CD82" s="403"/>
      <c r="CE82" s="403"/>
      <c r="CF82" s="403" t="s">
        <v>8216</v>
      </c>
      <c r="CG82" s="403" t="s">
        <v>8217</v>
      </c>
      <c r="CH82" s="403"/>
      <c r="CI82" s="403"/>
      <c r="CJ82" s="403"/>
      <c r="CK82" s="403"/>
      <c r="CL82" s="403"/>
      <c r="CM82" s="403" t="s">
        <v>2711</v>
      </c>
      <c r="CN82" s="564"/>
    </row>
    <row r="83" spans="1:92" s="194" customFormat="1" hidden="1" x14ac:dyDescent="0.2">
      <c r="A83" s="350">
        <v>2</v>
      </c>
      <c r="B83" s="582" t="s">
        <v>14109</v>
      </c>
      <c r="C83" s="23" t="str">
        <f t="shared" ca="1" si="23"/>
        <v>Special tariff (per vaccine dose)</v>
      </c>
      <c r="D83" s="2" t="str">
        <f t="shared" ca="1" si="23"/>
        <v>Per dose</v>
      </c>
      <c r="E83" s="154"/>
      <c r="F83" s="39">
        <v>0</v>
      </c>
      <c r="G83" s="4" t="str">
        <f t="shared" si="24"/>
        <v>OK</v>
      </c>
      <c r="I83" s="11">
        <f>IF(ISBLANK(F83),E83/USD2LCU,F83)</f>
        <v>0</v>
      </c>
      <c r="J83" s="12" t="str">
        <f t="shared" ca="1" si="22"/>
        <v>Not expected that there would be tariffs, but if there are, here is where they can be specified</v>
      </c>
      <c r="K83" s="587"/>
      <c r="L83" s="2"/>
      <c r="M83" s="277"/>
      <c r="N83" s="241"/>
      <c r="O83" s="403"/>
      <c r="P83" s="403"/>
      <c r="Q83" s="403"/>
      <c r="R83" s="403" t="s">
        <v>2905</v>
      </c>
      <c r="S83" s="403" t="s">
        <v>1633</v>
      </c>
      <c r="T83" s="403"/>
      <c r="U83" s="403"/>
      <c r="V83" s="403"/>
      <c r="W83" s="403"/>
      <c r="X83" s="403"/>
      <c r="Y83" s="403" t="s">
        <v>2968</v>
      </c>
      <c r="Z83" s="403"/>
      <c r="AA83" s="403"/>
      <c r="AB83" s="403"/>
      <c r="AC83" s="403" t="s">
        <v>8218</v>
      </c>
      <c r="AD83" s="403" t="s">
        <v>8219</v>
      </c>
      <c r="AE83" s="403"/>
      <c r="AF83" s="403"/>
      <c r="AG83" s="403"/>
      <c r="AH83" s="403"/>
      <c r="AI83" s="403"/>
      <c r="AJ83" s="403" t="s">
        <v>8220</v>
      </c>
      <c r="AK83" s="403"/>
      <c r="AL83" s="403"/>
      <c r="AM83" s="403"/>
      <c r="AN83" s="403" t="s">
        <v>8221</v>
      </c>
      <c r="AO83" s="403" t="s">
        <v>8222</v>
      </c>
      <c r="AP83" s="403"/>
      <c r="AQ83" s="403"/>
      <c r="AR83" s="403"/>
      <c r="AS83" s="403"/>
      <c r="AT83" s="403"/>
      <c r="AU83" s="403" t="s">
        <v>8223</v>
      </c>
      <c r="AV83" s="403"/>
      <c r="AW83" s="403"/>
      <c r="AX83" s="403"/>
      <c r="AY83" s="403" t="s">
        <v>8224</v>
      </c>
      <c r="AZ83" s="403" t="s">
        <v>8225</v>
      </c>
      <c r="BA83" s="403"/>
      <c r="BB83" s="403"/>
      <c r="BC83" s="403"/>
      <c r="BD83" s="403"/>
      <c r="BE83" s="403"/>
      <c r="BF83" s="403" t="s">
        <v>8226</v>
      </c>
      <c r="BG83" s="403"/>
      <c r="BH83" s="403"/>
      <c r="BI83" s="403"/>
      <c r="BJ83" s="403" t="s">
        <v>8227</v>
      </c>
      <c r="BK83" s="403" t="s">
        <v>8228</v>
      </c>
      <c r="BL83" s="403"/>
      <c r="BM83" s="403"/>
      <c r="BN83" s="403"/>
      <c r="BO83" s="403"/>
      <c r="BP83" s="403"/>
      <c r="BQ83" s="403" t="s">
        <v>8229</v>
      </c>
      <c r="BR83" s="403"/>
      <c r="BS83" s="403"/>
      <c r="BT83" s="403"/>
      <c r="BU83" s="403" t="s">
        <v>8230</v>
      </c>
      <c r="BV83" s="403" t="s">
        <v>8231</v>
      </c>
      <c r="BW83" s="403"/>
      <c r="BX83" s="403"/>
      <c r="BY83" s="403"/>
      <c r="BZ83" s="403"/>
      <c r="CA83" s="403"/>
      <c r="CB83" s="403" t="s">
        <v>8232</v>
      </c>
      <c r="CC83" s="650"/>
      <c r="CD83" s="403"/>
      <c r="CE83" s="403"/>
      <c r="CF83" s="403" t="s">
        <v>8233</v>
      </c>
      <c r="CG83" s="403" t="s">
        <v>8234</v>
      </c>
      <c r="CH83" s="403"/>
      <c r="CI83" s="403"/>
      <c r="CJ83" s="403"/>
      <c r="CK83" s="403"/>
      <c r="CL83" s="403"/>
      <c r="CM83" s="403" t="s">
        <v>8235</v>
      </c>
      <c r="CN83" s="564"/>
    </row>
    <row r="84" spans="1:92" s="15" customFormat="1" hidden="1" x14ac:dyDescent="0.2">
      <c r="A84" s="350">
        <v>2</v>
      </c>
      <c r="B84" s="582" t="s">
        <v>14109</v>
      </c>
      <c r="C84" s="335" t="str">
        <f t="shared" ca="1" si="23"/>
        <v xml:space="preserve"> Vaccine dose customs clearance (Ad valorem), Percent</v>
      </c>
      <c r="D84" s="2" t="str">
        <f t="shared" ca="1" si="23"/>
        <v>Per value</v>
      </c>
      <c r="E84" s="40">
        <v>0</v>
      </c>
      <c r="F84" s="14"/>
      <c r="G84" s="4" t="str">
        <f>IF(ISBLANK(E84),"CHECK","OK")</f>
        <v>OK</v>
      </c>
      <c r="H84" s="5"/>
      <c r="I84" s="243"/>
      <c r="J84" s="12" t="str">
        <f t="shared" ca="1" si="22"/>
        <v>Not expected that there would be tariffs, but if there are, here is where they can be specified</v>
      </c>
      <c r="K84" s="587"/>
      <c r="L84" s="2"/>
      <c r="M84" s="277"/>
      <c r="N84" s="241"/>
      <c r="O84" s="403"/>
      <c r="P84" s="403"/>
      <c r="Q84" s="403"/>
      <c r="R84" s="403" t="s">
        <v>4134</v>
      </c>
      <c r="S84" s="403" t="s">
        <v>2906</v>
      </c>
      <c r="T84" s="403"/>
      <c r="U84" s="403"/>
      <c r="V84" s="403"/>
      <c r="W84" s="403"/>
      <c r="X84" s="403"/>
      <c r="Y84" s="403" t="s">
        <v>2968</v>
      </c>
      <c r="Z84" s="403"/>
      <c r="AA84" s="403"/>
      <c r="AB84" s="403"/>
      <c r="AC84" s="403" t="s">
        <v>8236</v>
      </c>
      <c r="AD84" s="403" t="s">
        <v>8237</v>
      </c>
      <c r="AE84" s="403"/>
      <c r="AF84" s="403"/>
      <c r="AG84" s="403"/>
      <c r="AH84" s="403"/>
      <c r="AI84" s="403"/>
      <c r="AJ84" s="403" t="s">
        <v>8220</v>
      </c>
      <c r="AK84" s="403"/>
      <c r="AL84" s="403"/>
      <c r="AM84" s="403"/>
      <c r="AN84" s="403" t="s">
        <v>8238</v>
      </c>
      <c r="AO84" s="403" t="s">
        <v>8239</v>
      </c>
      <c r="AP84" s="403"/>
      <c r="AQ84" s="403"/>
      <c r="AR84" s="403"/>
      <c r="AS84" s="403"/>
      <c r="AT84" s="403"/>
      <c r="AU84" s="403" t="s">
        <v>8223</v>
      </c>
      <c r="AV84" s="403"/>
      <c r="AW84" s="403"/>
      <c r="AX84" s="403"/>
      <c r="AY84" s="403" t="s">
        <v>8240</v>
      </c>
      <c r="AZ84" s="403" t="s">
        <v>8241</v>
      </c>
      <c r="BA84" s="403"/>
      <c r="BB84" s="403"/>
      <c r="BC84" s="403"/>
      <c r="BD84" s="403"/>
      <c r="BE84" s="403"/>
      <c r="BF84" s="403" t="s">
        <v>8226</v>
      </c>
      <c r="BG84" s="403"/>
      <c r="BH84" s="403"/>
      <c r="BI84" s="403"/>
      <c r="BJ84" s="403" t="s">
        <v>8242</v>
      </c>
      <c r="BK84" s="403" t="s">
        <v>8241</v>
      </c>
      <c r="BL84" s="403"/>
      <c r="BM84" s="403"/>
      <c r="BN84" s="403"/>
      <c r="BO84" s="403"/>
      <c r="BP84" s="403"/>
      <c r="BQ84" s="403" t="s">
        <v>8229</v>
      </c>
      <c r="BR84" s="403"/>
      <c r="BS84" s="403"/>
      <c r="BT84" s="403"/>
      <c r="BU84" s="403" t="s">
        <v>8243</v>
      </c>
      <c r="BV84" s="403" t="s">
        <v>8244</v>
      </c>
      <c r="BW84" s="403"/>
      <c r="BX84" s="403"/>
      <c r="BY84" s="403"/>
      <c r="BZ84" s="403"/>
      <c r="CA84" s="403"/>
      <c r="CB84" s="403" t="s">
        <v>8245</v>
      </c>
      <c r="CC84" s="650"/>
      <c r="CD84" s="403"/>
      <c r="CE84" s="403"/>
      <c r="CF84" s="403" t="s">
        <v>8246</v>
      </c>
      <c r="CG84" s="403" t="s">
        <v>8247</v>
      </c>
      <c r="CH84" s="403"/>
      <c r="CI84" s="403"/>
      <c r="CJ84" s="403"/>
      <c r="CK84" s="403"/>
      <c r="CL84" s="403"/>
      <c r="CM84" s="403" t="s">
        <v>8235</v>
      </c>
      <c r="CN84" s="564"/>
    </row>
    <row r="85" spans="1:92" s="272" customFormat="1" hidden="1" x14ac:dyDescent="0.2">
      <c r="A85" s="350">
        <v>2</v>
      </c>
      <c r="B85" s="582" t="s">
        <v>14109</v>
      </c>
      <c r="C85" s="335" t="str">
        <f t="shared" ca="1" si="23"/>
        <v>Vaccine-related supplies customs clearance (Ad valorem), Percent</v>
      </c>
      <c r="D85" s="2" t="str">
        <f t="shared" ca="1" si="23"/>
        <v>Per value</v>
      </c>
      <c r="E85" s="40">
        <v>0</v>
      </c>
      <c r="F85" s="243"/>
      <c r="G85" s="4" t="str">
        <f>IF(ISBLANK(E85),"CHECK","OK")</f>
        <v>OK</v>
      </c>
      <c r="H85" s="5"/>
      <c r="I85" s="243"/>
      <c r="J85" s="12" t="str">
        <f t="shared" ca="1" si="22"/>
        <v>Not expected that there would be tariffs, but if there are, here is where they can be specified</v>
      </c>
      <c r="K85" s="587"/>
      <c r="L85" s="2"/>
      <c r="M85" s="277"/>
      <c r="O85" s="403"/>
      <c r="P85" s="403"/>
      <c r="Q85" s="403"/>
      <c r="R85" s="403" t="s">
        <v>4135</v>
      </c>
      <c r="S85" s="403" t="s">
        <v>2906</v>
      </c>
      <c r="T85" s="403"/>
      <c r="U85" s="403"/>
      <c r="V85" s="403"/>
      <c r="W85" s="403"/>
      <c r="X85" s="403"/>
      <c r="Y85" s="403" t="s">
        <v>2968</v>
      </c>
      <c r="Z85" s="403"/>
      <c r="AA85" s="403"/>
      <c r="AB85" s="403"/>
      <c r="AC85" s="403" t="s">
        <v>8248</v>
      </c>
      <c r="AD85" s="403" t="s">
        <v>8237</v>
      </c>
      <c r="AE85" s="403"/>
      <c r="AF85" s="403"/>
      <c r="AG85" s="403"/>
      <c r="AH85" s="403"/>
      <c r="AI85" s="403"/>
      <c r="AJ85" s="403" t="s">
        <v>8220</v>
      </c>
      <c r="AK85" s="403"/>
      <c r="AL85" s="403"/>
      <c r="AM85" s="403"/>
      <c r="AN85" s="403" t="s">
        <v>8249</v>
      </c>
      <c r="AO85" s="403" t="s">
        <v>8239</v>
      </c>
      <c r="AP85" s="403"/>
      <c r="AQ85" s="403"/>
      <c r="AR85" s="403"/>
      <c r="AS85" s="403"/>
      <c r="AT85" s="403"/>
      <c r="AU85" s="403" t="s">
        <v>8223</v>
      </c>
      <c r="AV85" s="403"/>
      <c r="AW85" s="403"/>
      <c r="AX85" s="403"/>
      <c r="AY85" s="403" t="s">
        <v>8250</v>
      </c>
      <c r="AZ85" s="403" t="s">
        <v>8241</v>
      </c>
      <c r="BA85" s="403"/>
      <c r="BB85" s="403"/>
      <c r="BC85" s="403"/>
      <c r="BD85" s="403"/>
      <c r="BE85" s="403"/>
      <c r="BF85" s="403" t="s">
        <v>8226</v>
      </c>
      <c r="BG85" s="403"/>
      <c r="BH85" s="403"/>
      <c r="BI85" s="403"/>
      <c r="BJ85" s="403" t="s">
        <v>8251</v>
      </c>
      <c r="BK85" s="403" t="s">
        <v>8241</v>
      </c>
      <c r="BL85" s="403"/>
      <c r="BM85" s="403"/>
      <c r="BN85" s="403"/>
      <c r="BO85" s="403"/>
      <c r="BP85" s="403"/>
      <c r="BQ85" s="403" t="s">
        <v>8229</v>
      </c>
      <c r="BR85" s="403"/>
      <c r="BS85" s="403"/>
      <c r="BT85" s="403"/>
      <c r="BU85" s="403" t="s">
        <v>8252</v>
      </c>
      <c r="BV85" s="403" t="s">
        <v>8244</v>
      </c>
      <c r="BW85" s="403"/>
      <c r="BX85" s="403"/>
      <c r="BY85" s="403"/>
      <c r="BZ85" s="403"/>
      <c r="CA85" s="403"/>
      <c r="CB85" s="403" t="s">
        <v>8245</v>
      </c>
      <c r="CC85" s="650"/>
      <c r="CD85" s="403"/>
      <c r="CE85" s="403"/>
      <c r="CF85" s="403" t="s">
        <v>8253</v>
      </c>
      <c r="CG85" s="403" t="s">
        <v>8247</v>
      </c>
      <c r="CH85" s="403"/>
      <c r="CI85" s="403"/>
      <c r="CJ85" s="403"/>
      <c r="CK85" s="403"/>
      <c r="CL85" s="403"/>
      <c r="CM85" s="403" t="s">
        <v>8235</v>
      </c>
      <c r="CN85" s="564"/>
    </row>
    <row r="86" spans="1:92" s="281" customFormat="1" hidden="1" x14ac:dyDescent="0.2">
      <c r="A86" s="350">
        <v>2</v>
      </c>
      <c r="B86" s="582" t="s">
        <v>14109</v>
      </c>
      <c r="C86" s="335" t="str">
        <f t="shared" ca="1" si="23"/>
        <v>Vaccine-related supplies Procurement Service Fees, Percent</v>
      </c>
      <c r="D86" s="2" t="str">
        <f t="shared" ca="1" si="23"/>
        <v>Per value</v>
      </c>
      <c r="E86" s="40">
        <v>0</v>
      </c>
      <c r="F86" s="243"/>
      <c r="G86" s="4" t="str">
        <f>IF(ISBLANK(E86),"CHECK","OK")</f>
        <v>OK</v>
      </c>
      <c r="H86" s="5"/>
      <c r="I86" s="460"/>
      <c r="J86" s="12" t="str">
        <f t="shared" ca="1" si="22"/>
        <v>For the procurement agent</v>
      </c>
      <c r="K86" s="587"/>
      <c r="L86" s="2"/>
      <c r="M86" s="277"/>
      <c r="O86" s="403"/>
      <c r="P86" s="403"/>
      <c r="Q86" s="403"/>
      <c r="R86" s="403" t="s">
        <v>4136</v>
      </c>
      <c r="S86" s="403" t="s">
        <v>2906</v>
      </c>
      <c r="T86" s="403"/>
      <c r="U86" s="403"/>
      <c r="V86" s="403"/>
      <c r="W86" s="403"/>
      <c r="X86" s="403"/>
      <c r="Y86" s="403" t="s">
        <v>3640</v>
      </c>
      <c r="Z86" s="403"/>
      <c r="AA86" s="403"/>
      <c r="AB86" s="403"/>
      <c r="AC86" s="403" t="s">
        <v>8254</v>
      </c>
      <c r="AD86" s="403" t="s">
        <v>8237</v>
      </c>
      <c r="AE86" s="403"/>
      <c r="AF86" s="403"/>
      <c r="AG86" s="403"/>
      <c r="AH86" s="403"/>
      <c r="AI86" s="403"/>
      <c r="AJ86" s="403" t="s">
        <v>8255</v>
      </c>
      <c r="AK86" s="403"/>
      <c r="AL86" s="403"/>
      <c r="AM86" s="403"/>
      <c r="AN86" s="403" t="s">
        <v>8256</v>
      </c>
      <c r="AO86" s="403" t="s">
        <v>8239</v>
      </c>
      <c r="AP86" s="403"/>
      <c r="AQ86" s="403"/>
      <c r="AR86" s="403"/>
      <c r="AS86" s="403"/>
      <c r="AT86" s="403"/>
      <c r="AU86" s="403" t="s">
        <v>8257</v>
      </c>
      <c r="AV86" s="403"/>
      <c r="AW86" s="403"/>
      <c r="AX86" s="403"/>
      <c r="AY86" s="403" t="s">
        <v>8258</v>
      </c>
      <c r="AZ86" s="403" t="s">
        <v>8241</v>
      </c>
      <c r="BA86" s="403"/>
      <c r="BB86" s="403"/>
      <c r="BC86" s="403"/>
      <c r="BD86" s="403"/>
      <c r="BE86" s="403"/>
      <c r="BF86" s="403" t="s">
        <v>8259</v>
      </c>
      <c r="BG86" s="403"/>
      <c r="BH86" s="403"/>
      <c r="BI86" s="403"/>
      <c r="BJ86" s="403" t="s">
        <v>8260</v>
      </c>
      <c r="BK86" s="403" t="s">
        <v>8241</v>
      </c>
      <c r="BL86" s="403"/>
      <c r="BM86" s="403"/>
      <c r="BN86" s="403"/>
      <c r="BO86" s="403"/>
      <c r="BP86" s="403"/>
      <c r="BQ86" s="403" t="s">
        <v>8261</v>
      </c>
      <c r="BR86" s="403"/>
      <c r="BS86" s="403"/>
      <c r="BT86" s="403"/>
      <c r="BU86" s="403" t="s">
        <v>8262</v>
      </c>
      <c r="BV86" s="403" t="s">
        <v>8244</v>
      </c>
      <c r="BW86" s="403"/>
      <c r="BX86" s="403"/>
      <c r="BY86" s="403"/>
      <c r="BZ86" s="403"/>
      <c r="CA86" s="403"/>
      <c r="CB86" s="403" t="s">
        <v>8263</v>
      </c>
      <c r="CC86" s="650"/>
      <c r="CD86" s="403"/>
      <c r="CE86" s="403"/>
      <c r="CF86" s="403" t="s">
        <v>8264</v>
      </c>
      <c r="CG86" s="403" t="s">
        <v>8247</v>
      </c>
      <c r="CH86" s="403"/>
      <c r="CI86" s="403"/>
      <c r="CJ86" s="403"/>
      <c r="CK86" s="403"/>
      <c r="CL86" s="403"/>
      <c r="CM86" s="403" t="s">
        <v>8265</v>
      </c>
      <c r="CN86" s="564"/>
    </row>
    <row r="87" spans="1:92" s="194" customFormat="1" x14ac:dyDescent="0.2">
      <c r="B87" s="92" t="str">
        <f t="shared" ref="B87" ca="1" si="26">IF(OFFSET(Q87,0,Lang_Order*Lang__A3)="","",OFFSET(Q87,0,Lang_Order*Lang__A3))</f>
        <v>Vaccinator transport to service point (Delivery Modality 2, 3, and 4)</v>
      </c>
      <c r="C87" s="5"/>
      <c r="F87" s="14"/>
      <c r="I87" s="14"/>
      <c r="J87" s="299"/>
      <c r="L87" s="2"/>
      <c r="M87" s="277"/>
      <c r="O87" s="403"/>
      <c r="P87" s="403"/>
      <c r="Q87" s="403" t="s">
        <v>4437</v>
      </c>
      <c r="R87" s="403"/>
      <c r="S87" s="403"/>
      <c r="T87" s="403"/>
      <c r="U87" s="403"/>
      <c r="V87" s="403"/>
      <c r="W87" s="403"/>
      <c r="X87" s="403"/>
      <c r="Y87" s="403"/>
      <c r="Z87" s="403"/>
      <c r="AA87" s="403"/>
      <c r="AB87" s="403" t="s">
        <v>13734</v>
      </c>
      <c r="AC87" s="403"/>
      <c r="AD87" s="403"/>
      <c r="AE87" s="403"/>
      <c r="AF87" s="403"/>
      <c r="AG87" s="403"/>
      <c r="AH87" s="403"/>
      <c r="AI87" s="403"/>
      <c r="AJ87" s="403"/>
      <c r="AK87" s="403"/>
      <c r="AL87" s="403"/>
      <c r="AM87" s="403" t="s">
        <v>13735</v>
      </c>
      <c r="AN87" s="403"/>
      <c r="AO87" s="403"/>
      <c r="AP87" s="403"/>
      <c r="AQ87" s="403"/>
      <c r="AR87" s="403"/>
      <c r="AS87" s="403"/>
      <c r="AT87" s="403"/>
      <c r="AU87" s="403"/>
      <c r="AV87" s="403"/>
      <c r="AW87" s="403"/>
      <c r="AX87" s="403" t="s">
        <v>13736</v>
      </c>
      <c r="AY87" s="403"/>
      <c r="AZ87" s="403"/>
      <c r="BA87" s="403"/>
      <c r="BB87" s="403"/>
      <c r="BC87" s="403"/>
      <c r="BD87" s="403"/>
      <c r="BE87" s="403"/>
      <c r="BF87" s="403"/>
      <c r="BG87" s="403"/>
      <c r="BH87" s="403"/>
      <c r="BI87" s="403" t="s">
        <v>13737</v>
      </c>
      <c r="BJ87" s="403"/>
      <c r="BK87" s="403"/>
      <c r="BL87" s="403"/>
      <c r="BM87" s="403"/>
      <c r="BN87" s="403"/>
      <c r="BO87" s="403"/>
      <c r="BP87" s="403"/>
      <c r="BQ87" s="403"/>
      <c r="BR87" s="403"/>
      <c r="BS87" s="403"/>
      <c r="BT87" s="403" t="s">
        <v>13738</v>
      </c>
      <c r="BU87" s="403"/>
      <c r="BV87" s="403"/>
      <c r="BW87" s="403"/>
      <c r="BX87" s="403"/>
      <c r="BY87" s="403"/>
      <c r="BZ87" s="403"/>
      <c r="CA87" s="403"/>
      <c r="CB87" s="403"/>
      <c r="CC87" s="650"/>
      <c r="CD87" s="403"/>
      <c r="CE87" s="403" t="s">
        <v>13739</v>
      </c>
      <c r="CF87" s="403"/>
      <c r="CG87" s="403"/>
      <c r="CH87" s="403"/>
      <c r="CI87" s="403"/>
      <c r="CJ87" s="403"/>
      <c r="CK87" s="403"/>
      <c r="CL87" s="403"/>
      <c r="CM87" s="403"/>
      <c r="CN87" s="564"/>
    </row>
    <row r="88" spans="1:92" s="194" customFormat="1" x14ac:dyDescent="0.2">
      <c r="A88" s="354">
        <v>1</v>
      </c>
      <c r="B88" s="585"/>
      <c r="C88" s="270" t="str">
        <f t="shared" ref="C88" ca="1" si="27">IF(OFFSET(R88,0,Lang_Order*Lang__A3)="","",OFFSET(R88,0,Lang_Order*Lang__A3))</f>
        <v>Personnel transport</v>
      </c>
      <c r="D88" s="2" t="s">
        <v>4431</v>
      </c>
      <c r="E88" s="494"/>
      <c r="F88" s="39">
        <v>0.5</v>
      </c>
      <c r="G88" s="4" t="str">
        <f t="shared" ref="G88" si="28">IF(AND(ISBLANK(E88),ISBLANK(F88)),"CHECK","OK")</f>
        <v>OK</v>
      </c>
      <c r="H88" s="5"/>
      <c r="I88" s="11">
        <f>IF(ISBLANK(F88),E88/USD2LCU,F88)</f>
        <v>0.5</v>
      </c>
      <c r="J88" s="12" t="str">
        <f t="shared" ca="1" si="22"/>
        <v>Fuel / fare per km (sharing a car)</v>
      </c>
      <c r="K88" s="587"/>
      <c r="L88" s="2"/>
      <c r="M88" s="277"/>
      <c r="O88" s="403"/>
      <c r="P88" s="403"/>
      <c r="Q88" s="403"/>
      <c r="R88" s="403" t="s">
        <v>4430</v>
      </c>
      <c r="S88" s="403" t="s">
        <v>4431</v>
      </c>
      <c r="T88" s="403"/>
      <c r="U88" s="403"/>
      <c r="V88" s="403"/>
      <c r="W88" s="403"/>
      <c r="X88" s="403"/>
      <c r="Y88" s="403" t="s">
        <v>4436</v>
      </c>
      <c r="Z88" s="403"/>
      <c r="AA88" s="403"/>
      <c r="AB88" s="403"/>
      <c r="AC88" s="403" t="s">
        <v>13740</v>
      </c>
      <c r="AD88" s="403" t="s">
        <v>13746</v>
      </c>
      <c r="AE88" s="403"/>
      <c r="AF88" s="403"/>
      <c r="AG88" s="403"/>
      <c r="AH88" s="403"/>
      <c r="AI88" s="403"/>
      <c r="AJ88" s="403" t="s">
        <v>13752</v>
      </c>
      <c r="AK88" s="403"/>
      <c r="AL88" s="403"/>
      <c r="AM88" s="403"/>
      <c r="AN88" s="403" t="s">
        <v>13741</v>
      </c>
      <c r="AO88" s="403" t="s">
        <v>13747</v>
      </c>
      <c r="AP88" s="403"/>
      <c r="AQ88" s="403"/>
      <c r="AR88" s="403"/>
      <c r="AS88" s="403"/>
      <c r="AT88" s="403"/>
      <c r="AU88" s="403" t="s">
        <v>13753</v>
      </c>
      <c r="AV88" s="403"/>
      <c r="AW88" s="403"/>
      <c r="AX88" s="403"/>
      <c r="AY88" s="403" t="s">
        <v>13742</v>
      </c>
      <c r="AZ88" s="403" t="s">
        <v>13748</v>
      </c>
      <c r="BA88" s="403"/>
      <c r="BB88" s="403"/>
      <c r="BC88" s="403"/>
      <c r="BD88" s="403"/>
      <c r="BE88" s="403"/>
      <c r="BF88" s="403" t="s">
        <v>13754</v>
      </c>
      <c r="BG88" s="403"/>
      <c r="BH88" s="403"/>
      <c r="BI88" s="403"/>
      <c r="BJ88" s="403" t="s">
        <v>13743</v>
      </c>
      <c r="BK88" s="403" t="s">
        <v>13749</v>
      </c>
      <c r="BL88" s="403"/>
      <c r="BM88" s="403"/>
      <c r="BN88" s="403"/>
      <c r="BO88" s="403"/>
      <c r="BP88" s="403"/>
      <c r="BQ88" s="403" t="s">
        <v>13755</v>
      </c>
      <c r="BR88" s="403"/>
      <c r="BS88" s="403"/>
      <c r="BT88" s="403"/>
      <c r="BU88" s="403" t="s">
        <v>13744</v>
      </c>
      <c r="BV88" s="403" t="s">
        <v>13750</v>
      </c>
      <c r="BW88" s="403"/>
      <c r="BX88" s="403"/>
      <c r="BY88" s="403"/>
      <c r="BZ88" s="403"/>
      <c r="CA88" s="403"/>
      <c r="CB88" s="403" t="s">
        <v>13756</v>
      </c>
      <c r="CC88" s="650"/>
      <c r="CD88" s="403"/>
      <c r="CE88" s="403"/>
      <c r="CF88" s="403" t="s">
        <v>13745</v>
      </c>
      <c r="CG88" s="403" t="s">
        <v>13751</v>
      </c>
      <c r="CH88" s="403"/>
      <c r="CI88" s="403"/>
      <c r="CJ88" s="403"/>
      <c r="CK88" s="403"/>
      <c r="CL88" s="403"/>
      <c r="CM88" s="403" t="s">
        <v>13757</v>
      </c>
      <c r="CN88" s="564"/>
    </row>
    <row r="89" spans="1:92" s="15" customFormat="1" x14ac:dyDescent="0.2">
      <c r="B89" s="580"/>
      <c r="C89" s="679" t="str">
        <f ca="1">IF(OFFSET(R89,0,Lang_Order*Lang__A3)="","",OFFSET(R89,0,Lang_Order*Lang__A3))</f>
        <v>Instructions: Please include unit costs for transport and other related expenses for outreach teams</v>
      </c>
      <c r="D89" s="679"/>
      <c r="E89" s="679"/>
      <c r="F89" s="679"/>
      <c r="G89" s="679"/>
      <c r="H89" s="679"/>
      <c r="I89" s="679"/>
      <c r="L89" s="2"/>
      <c r="M89" s="277"/>
      <c r="O89" s="403"/>
      <c r="P89" s="403"/>
      <c r="Q89" s="403"/>
      <c r="R89" s="403" t="s">
        <v>4137</v>
      </c>
      <c r="S89" s="403"/>
      <c r="T89" s="403"/>
      <c r="U89" s="403"/>
      <c r="V89" s="403"/>
      <c r="W89" s="403"/>
      <c r="X89" s="403"/>
      <c r="Y89" s="403"/>
      <c r="Z89" s="403"/>
      <c r="AA89" s="403"/>
      <c r="AB89" s="403"/>
      <c r="AC89" s="403" t="s">
        <v>8266</v>
      </c>
      <c r="AD89" s="403"/>
      <c r="AE89" s="403"/>
      <c r="AF89" s="403"/>
      <c r="AG89" s="403"/>
      <c r="AH89" s="403"/>
      <c r="AI89" s="403"/>
      <c r="AJ89" s="403"/>
      <c r="AK89" s="403"/>
      <c r="AL89" s="403"/>
      <c r="AM89" s="403"/>
      <c r="AN89" s="403" t="s">
        <v>8267</v>
      </c>
      <c r="AO89" s="403"/>
      <c r="AP89" s="403"/>
      <c r="AQ89" s="403"/>
      <c r="AR89" s="403"/>
      <c r="AS89" s="403"/>
      <c r="AT89" s="403"/>
      <c r="AU89" s="403"/>
      <c r="AV89" s="403"/>
      <c r="AW89" s="403"/>
      <c r="AX89" s="403"/>
      <c r="AY89" s="403" t="s">
        <v>8268</v>
      </c>
      <c r="AZ89" s="403"/>
      <c r="BA89" s="403"/>
      <c r="BB89" s="403"/>
      <c r="BC89" s="403"/>
      <c r="BD89" s="403"/>
      <c r="BE89" s="403"/>
      <c r="BF89" s="403"/>
      <c r="BG89" s="403"/>
      <c r="BH89" s="403"/>
      <c r="BI89" s="403"/>
      <c r="BJ89" s="403" t="s">
        <v>8269</v>
      </c>
      <c r="BK89" s="403"/>
      <c r="BL89" s="403"/>
      <c r="BM89" s="403"/>
      <c r="BN89" s="403"/>
      <c r="BO89" s="403"/>
      <c r="BP89" s="403"/>
      <c r="BQ89" s="403"/>
      <c r="BR89" s="403"/>
      <c r="BS89" s="403"/>
      <c r="BT89" s="403"/>
      <c r="BU89" s="403" t="s">
        <v>8270</v>
      </c>
      <c r="BV89" s="403"/>
      <c r="BW89" s="403"/>
      <c r="BX89" s="403"/>
      <c r="BY89" s="403"/>
      <c r="BZ89" s="403"/>
      <c r="CA89" s="403"/>
      <c r="CB89" s="403"/>
      <c r="CC89" s="650"/>
      <c r="CD89" s="403"/>
      <c r="CE89" s="403"/>
      <c r="CF89" s="403" t="s">
        <v>8271</v>
      </c>
      <c r="CG89" s="403"/>
      <c r="CH89" s="403"/>
      <c r="CI89" s="403"/>
      <c r="CJ89" s="403"/>
      <c r="CK89" s="403"/>
      <c r="CL89" s="403"/>
      <c r="CM89" s="403"/>
      <c r="CN89" s="564"/>
    </row>
    <row r="90" spans="1:92" s="15" customFormat="1" x14ac:dyDescent="0.2">
      <c r="A90" s="508"/>
      <c r="B90" s="92" t="str">
        <f t="shared" ref="B90" ca="1" si="29">IF(OFFSET(Q90,0,Lang_Order*Lang__A3)="","",OFFSET(Q90,0,Lang_Order*Lang__A3))</f>
        <v>Vaccinator last-mile transport for outreach beyond basecamp (Delivery Modality 4)</v>
      </c>
      <c r="C90" s="23"/>
      <c r="D90" s="5"/>
      <c r="E90" s="194"/>
      <c r="F90" s="14"/>
      <c r="G90" s="194"/>
      <c r="H90" s="194"/>
      <c r="I90" s="14"/>
      <c r="J90" s="194"/>
      <c r="L90" s="241"/>
      <c r="M90" s="277"/>
      <c r="O90" s="403"/>
      <c r="P90" s="403"/>
      <c r="Q90" s="403" t="s">
        <v>4438</v>
      </c>
      <c r="R90" s="403"/>
      <c r="S90" s="403"/>
      <c r="T90" s="403"/>
      <c r="U90" s="403"/>
      <c r="V90" s="403"/>
      <c r="W90" s="403"/>
      <c r="X90" s="403"/>
      <c r="Y90" s="403"/>
      <c r="Z90" s="403"/>
      <c r="AA90" s="403"/>
      <c r="AB90" s="403" t="s">
        <v>13758</v>
      </c>
      <c r="AC90" s="403"/>
      <c r="AD90" s="403"/>
      <c r="AE90" s="403"/>
      <c r="AF90" s="403"/>
      <c r="AG90" s="403"/>
      <c r="AH90" s="403"/>
      <c r="AI90" s="403"/>
      <c r="AJ90" s="403"/>
      <c r="AK90" s="403"/>
      <c r="AL90" s="403"/>
      <c r="AM90" s="403" t="s">
        <v>13759</v>
      </c>
      <c r="AN90" s="403"/>
      <c r="AO90" s="403"/>
      <c r="AP90" s="403"/>
      <c r="AQ90" s="403"/>
      <c r="AR90" s="403"/>
      <c r="AS90" s="403"/>
      <c r="AT90" s="403"/>
      <c r="AU90" s="403"/>
      <c r="AV90" s="403"/>
      <c r="AW90" s="403"/>
      <c r="AX90" s="403" t="s">
        <v>13760</v>
      </c>
      <c r="AY90" s="403"/>
      <c r="AZ90" s="403"/>
      <c r="BA90" s="403"/>
      <c r="BB90" s="403"/>
      <c r="BC90" s="403"/>
      <c r="BD90" s="403"/>
      <c r="BE90" s="403"/>
      <c r="BF90" s="403"/>
      <c r="BG90" s="403"/>
      <c r="BH90" s="403"/>
      <c r="BI90" s="403" t="s">
        <v>13761</v>
      </c>
      <c r="BJ90" s="403"/>
      <c r="BK90" s="403"/>
      <c r="BL90" s="403"/>
      <c r="BM90" s="403"/>
      <c r="BN90" s="403"/>
      <c r="BO90" s="403"/>
      <c r="BP90" s="403"/>
      <c r="BQ90" s="403"/>
      <c r="BR90" s="403"/>
      <c r="BS90" s="403"/>
      <c r="BT90" s="403" t="s">
        <v>13762</v>
      </c>
      <c r="BU90" s="403"/>
      <c r="BV90" s="403"/>
      <c r="BW90" s="403"/>
      <c r="BX90" s="403"/>
      <c r="BY90" s="403"/>
      <c r="BZ90" s="403"/>
      <c r="CA90" s="403"/>
      <c r="CB90" s="403"/>
      <c r="CC90" s="650"/>
      <c r="CD90" s="403"/>
      <c r="CE90" s="403" t="s">
        <v>13763</v>
      </c>
      <c r="CF90" s="403"/>
      <c r="CG90" s="403"/>
      <c r="CH90" s="403"/>
      <c r="CI90" s="403"/>
      <c r="CJ90" s="403"/>
      <c r="CK90" s="403"/>
      <c r="CL90" s="403"/>
      <c r="CM90" s="403"/>
      <c r="CN90" s="564"/>
    </row>
    <row r="91" spans="1:92" ht="14.25" customHeight="1" x14ac:dyDescent="0.2">
      <c r="A91" s="9"/>
      <c r="C91" s="34" t="str">
        <f ca="1">IF(OFFSET(R91,0,Lang_Order*Lang__A3)="","",OFFSET(R91,0,Lang_Order*Lang__A3))</f>
        <v>Mobile Team A (Solo) Per Team per Day</v>
      </c>
      <c r="D91" s="23"/>
      <c r="E91" s="15"/>
      <c r="F91" s="14"/>
      <c r="H91" s="14"/>
      <c r="I91" s="11" t="e">
        <f>SUM(H92:H94)</f>
        <v>#N/A</v>
      </c>
      <c r="J91" s="12" t="str">
        <f ca="1">IF(OFFSET(Y91,0,Lang_Order*Lang__A3)="","",OFFSET(Y91,0,Lang_Order*Lang__A3))</f>
        <v>If multiple modes of transport - use a weighted average</v>
      </c>
      <c r="N91" s="243"/>
      <c r="R91" s="403" t="s">
        <v>1672</v>
      </c>
      <c r="Y91" s="403" t="s">
        <v>3685</v>
      </c>
      <c r="AC91" s="403" t="s">
        <v>8276</v>
      </c>
      <c r="AJ91" s="403" t="s">
        <v>8277</v>
      </c>
      <c r="AN91" s="403" t="s">
        <v>8278</v>
      </c>
      <c r="AU91" s="403" t="s">
        <v>8279</v>
      </c>
      <c r="AY91" s="403" t="s">
        <v>8280</v>
      </c>
      <c r="BF91" s="403" t="s">
        <v>8281</v>
      </c>
      <c r="BJ91" s="403" t="s">
        <v>8282</v>
      </c>
      <c r="BQ91" s="403" t="s">
        <v>8283</v>
      </c>
      <c r="BU91" s="403" t="s">
        <v>8284</v>
      </c>
      <c r="CB91" s="403" t="s">
        <v>8285</v>
      </c>
      <c r="CF91" s="403" t="s">
        <v>8286</v>
      </c>
      <c r="CM91" s="403" t="s">
        <v>8287</v>
      </c>
    </row>
    <row r="92" spans="1:92" s="15" customFormat="1" x14ac:dyDescent="0.2">
      <c r="A92" s="354">
        <v>1</v>
      </c>
      <c r="B92" s="569"/>
      <c r="C92" s="374"/>
      <c r="D92" s="5"/>
      <c r="E92" s="494"/>
      <c r="F92" s="39"/>
      <c r="G92" s="4" t="str">
        <f t="shared" ref="G92" si="30">IF(AND(ISBLANK(E92),ISBLANK(F92)),"CHECK","OK")</f>
        <v>CHECK</v>
      </c>
      <c r="H92" s="236" t="e">
        <f>IF(ISBLANK(F92),E92/USD2LCU,F92)</f>
        <v>#N/A</v>
      </c>
      <c r="I92" s="221" t="e">
        <f t="shared" ref="I92:I94" si="31">E92/USD2LCU</f>
        <v>#N/A</v>
      </c>
      <c r="J92" s="12" t="str">
        <f ca="1">IF(OFFSET(Y92,0,Lang_Order*Lang__A3)="","",OFFSET(Y92,0,Lang_Order*Lang__A3))</f>
        <v>Say TCO for a motorbike per day, incl. fuel</v>
      </c>
      <c r="K92" s="587" t="s">
        <v>14127</v>
      </c>
      <c r="L92" s="241"/>
      <c r="M92" s="277"/>
      <c r="N92" s="243"/>
      <c r="O92" s="403"/>
      <c r="P92" s="403"/>
      <c r="Q92" s="403"/>
      <c r="R92" s="403" t="s">
        <v>1669</v>
      </c>
      <c r="S92" s="403"/>
      <c r="T92" s="403"/>
      <c r="U92" s="403"/>
      <c r="V92" s="403"/>
      <c r="W92" s="403"/>
      <c r="X92" s="403"/>
      <c r="Y92" s="403" t="s">
        <v>2971</v>
      </c>
      <c r="Z92" s="403"/>
      <c r="AA92" s="403"/>
      <c r="AB92" s="403"/>
      <c r="AC92" s="403" t="s">
        <v>8288</v>
      </c>
      <c r="AD92" s="403"/>
      <c r="AE92" s="403"/>
      <c r="AF92" s="403"/>
      <c r="AG92" s="403"/>
      <c r="AH92" s="403"/>
      <c r="AI92" s="403"/>
      <c r="AJ92" s="403" t="s">
        <v>8289</v>
      </c>
      <c r="AK92" s="403"/>
      <c r="AL92" s="403"/>
      <c r="AM92" s="403"/>
      <c r="AN92" s="403" t="s">
        <v>8290</v>
      </c>
      <c r="AO92" s="403"/>
      <c r="AP92" s="403"/>
      <c r="AQ92" s="403"/>
      <c r="AR92" s="403"/>
      <c r="AS92" s="403"/>
      <c r="AT92" s="403"/>
      <c r="AU92" s="403" t="s">
        <v>8291</v>
      </c>
      <c r="AV92" s="403"/>
      <c r="AW92" s="403"/>
      <c r="AX92" s="403"/>
      <c r="AY92" s="403" t="s">
        <v>8292</v>
      </c>
      <c r="AZ92" s="403"/>
      <c r="BA92" s="403"/>
      <c r="BB92" s="403"/>
      <c r="BC92" s="403"/>
      <c r="BD92" s="403"/>
      <c r="BE92" s="403"/>
      <c r="BF92" s="403" t="s">
        <v>8293</v>
      </c>
      <c r="BG92" s="403"/>
      <c r="BH92" s="403"/>
      <c r="BI92" s="403"/>
      <c r="BJ92" s="403" t="s">
        <v>8292</v>
      </c>
      <c r="BK92" s="403"/>
      <c r="BL92" s="403"/>
      <c r="BM92" s="403"/>
      <c r="BN92" s="403"/>
      <c r="BO92" s="403"/>
      <c r="BP92" s="403"/>
      <c r="BQ92" s="403" t="s">
        <v>8294</v>
      </c>
      <c r="BR92" s="403"/>
      <c r="BS92" s="403"/>
      <c r="BT92" s="403"/>
      <c r="BU92" s="403" t="s">
        <v>8295</v>
      </c>
      <c r="BV92" s="403"/>
      <c r="BW92" s="403"/>
      <c r="BX92" s="403"/>
      <c r="BY92" s="403"/>
      <c r="BZ92" s="403"/>
      <c r="CA92" s="403"/>
      <c r="CB92" s="403" t="s">
        <v>8296</v>
      </c>
      <c r="CC92" s="650"/>
      <c r="CD92" s="403"/>
      <c r="CE92" s="403"/>
      <c r="CF92" s="403" t="s">
        <v>8297</v>
      </c>
      <c r="CG92" s="403"/>
      <c r="CH92" s="403"/>
      <c r="CI92" s="403"/>
      <c r="CJ92" s="403"/>
      <c r="CK92" s="403"/>
      <c r="CL92" s="403"/>
      <c r="CM92" s="403" t="s">
        <v>8298</v>
      </c>
      <c r="CN92" s="564"/>
    </row>
    <row r="93" spans="1:92" s="15" customFormat="1" x14ac:dyDescent="0.2">
      <c r="A93" s="350">
        <v>2</v>
      </c>
      <c r="B93" s="569"/>
      <c r="C93" s="374"/>
      <c r="D93" s="5"/>
      <c r="E93" s="494"/>
      <c r="F93" s="39"/>
      <c r="G93" s="194"/>
      <c r="H93" s="236" t="e">
        <f>IF(ISBLANK(F93),E93/USD2LCU,F93)</f>
        <v>#N/A</v>
      </c>
      <c r="I93" s="221" t="e">
        <f t="shared" si="31"/>
        <v>#N/A</v>
      </c>
      <c r="J93" s="567"/>
      <c r="K93" s="587"/>
      <c r="L93" s="241"/>
      <c r="M93" s="277"/>
      <c r="N93" s="243"/>
      <c r="O93" s="403"/>
      <c r="P93" s="403"/>
      <c r="Q93" s="403"/>
      <c r="R93" s="403"/>
      <c r="S93" s="403"/>
      <c r="T93" s="403"/>
      <c r="U93" s="403"/>
      <c r="V93" s="403"/>
      <c r="W93" s="403"/>
      <c r="X93" s="403"/>
      <c r="Y93" s="403"/>
      <c r="Z93" s="403"/>
      <c r="AA93" s="403"/>
      <c r="AB93" s="403"/>
      <c r="AC93" s="403"/>
      <c r="AD93" s="403"/>
      <c r="AE93" s="403"/>
      <c r="AF93" s="403"/>
      <c r="AG93" s="403"/>
      <c r="AH93" s="403"/>
      <c r="AI93" s="403"/>
      <c r="AJ93" s="403"/>
      <c r="AK93" s="403"/>
      <c r="AL93" s="403"/>
      <c r="AM93" s="403"/>
      <c r="AN93" s="403"/>
      <c r="AO93" s="403"/>
      <c r="AP93" s="403"/>
      <c r="AQ93" s="403"/>
      <c r="AR93" s="403"/>
      <c r="AS93" s="403"/>
      <c r="AT93" s="403"/>
      <c r="AU93" s="403"/>
      <c r="AV93" s="403"/>
      <c r="AW93" s="403"/>
      <c r="AX93" s="403"/>
      <c r="AY93" s="403"/>
      <c r="AZ93" s="403"/>
      <c r="BA93" s="403"/>
      <c r="BB93" s="403"/>
      <c r="BC93" s="403"/>
      <c r="BD93" s="403"/>
      <c r="BE93" s="403"/>
      <c r="BF93" s="403"/>
      <c r="BG93" s="403"/>
      <c r="BH93" s="403"/>
      <c r="BI93" s="403"/>
      <c r="BJ93" s="403"/>
      <c r="BK93" s="403"/>
      <c r="BL93" s="403"/>
      <c r="BM93" s="403"/>
      <c r="BN93" s="403"/>
      <c r="BO93" s="403"/>
      <c r="BP93" s="403"/>
      <c r="BQ93" s="403"/>
      <c r="BR93" s="403"/>
      <c r="BS93" s="403"/>
      <c r="BT93" s="403"/>
      <c r="BU93" s="403"/>
      <c r="BV93" s="403"/>
      <c r="BW93" s="403"/>
      <c r="BX93" s="403"/>
      <c r="BY93" s="403"/>
      <c r="BZ93" s="403"/>
      <c r="CA93" s="403"/>
      <c r="CB93" s="403"/>
      <c r="CC93" s="650"/>
      <c r="CD93" s="403"/>
      <c r="CE93" s="403"/>
      <c r="CF93" s="403"/>
      <c r="CG93" s="403"/>
      <c r="CH93" s="403"/>
      <c r="CI93" s="403"/>
      <c r="CJ93" s="403"/>
      <c r="CK93" s="403"/>
      <c r="CL93" s="403"/>
      <c r="CM93" s="403"/>
      <c r="CN93" s="564"/>
    </row>
    <row r="94" spans="1:92" s="15" customFormat="1" x14ac:dyDescent="0.2">
      <c r="A94" s="350">
        <v>2</v>
      </c>
      <c r="B94" s="569"/>
      <c r="C94" s="374"/>
      <c r="D94" s="5"/>
      <c r="E94" s="494"/>
      <c r="F94" s="39"/>
      <c r="G94" s="194"/>
      <c r="H94" s="236" t="e">
        <f>IF(ISBLANK(F94),E94/USD2LCU,F94)</f>
        <v>#N/A</v>
      </c>
      <c r="I94" s="221" t="e">
        <f t="shared" si="31"/>
        <v>#N/A</v>
      </c>
      <c r="J94" s="567"/>
      <c r="K94" s="587"/>
      <c r="L94" s="241"/>
      <c r="M94" s="277"/>
      <c r="N94" s="243"/>
      <c r="O94" s="403"/>
      <c r="P94" s="403"/>
      <c r="Q94" s="403"/>
      <c r="R94" s="403"/>
      <c r="S94" s="403"/>
      <c r="T94" s="403"/>
      <c r="U94" s="403"/>
      <c r="V94" s="403"/>
      <c r="W94" s="403"/>
      <c r="X94" s="403"/>
      <c r="Y94" s="403"/>
      <c r="Z94" s="403"/>
      <c r="AA94" s="403"/>
      <c r="AB94" s="403"/>
      <c r="AC94" s="403"/>
      <c r="AD94" s="403"/>
      <c r="AE94" s="403"/>
      <c r="AF94" s="403"/>
      <c r="AG94" s="403"/>
      <c r="AH94" s="403"/>
      <c r="AI94" s="403"/>
      <c r="AJ94" s="403"/>
      <c r="AK94" s="403"/>
      <c r="AL94" s="403"/>
      <c r="AM94" s="403"/>
      <c r="AN94" s="403"/>
      <c r="AO94" s="403"/>
      <c r="AP94" s="403"/>
      <c r="AQ94" s="403"/>
      <c r="AR94" s="403"/>
      <c r="AS94" s="403"/>
      <c r="AT94" s="403"/>
      <c r="AU94" s="403"/>
      <c r="AV94" s="403"/>
      <c r="AW94" s="403"/>
      <c r="AX94" s="403"/>
      <c r="AY94" s="403"/>
      <c r="AZ94" s="403"/>
      <c r="BA94" s="403"/>
      <c r="BB94" s="403"/>
      <c r="BC94" s="403"/>
      <c r="BD94" s="403"/>
      <c r="BE94" s="403"/>
      <c r="BF94" s="403"/>
      <c r="BG94" s="403"/>
      <c r="BH94" s="403"/>
      <c r="BI94" s="403"/>
      <c r="BJ94" s="403"/>
      <c r="BK94" s="403"/>
      <c r="BL94" s="403"/>
      <c r="BM94" s="403"/>
      <c r="BN94" s="403"/>
      <c r="BO94" s="403"/>
      <c r="BP94" s="403"/>
      <c r="BQ94" s="403"/>
      <c r="BR94" s="403"/>
      <c r="BS94" s="403"/>
      <c r="BT94" s="403"/>
      <c r="BU94" s="403"/>
      <c r="BV94" s="403"/>
      <c r="BW94" s="403"/>
      <c r="BX94" s="403"/>
      <c r="BY94" s="403"/>
      <c r="BZ94" s="403"/>
      <c r="CA94" s="403"/>
      <c r="CB94" s="403"/>
      <c r="CC94" s="650"/>
      <c r="CD94" s="403"/>
      <c r="CE94" s="403"/>
      <c r="CF94" s="403"/>
      <c r="CG94" s="403"/>
      <c r="CH94" s="403"/>
      <c r="CI94" s="403"/>
      <c r="CJ94" s="403"/>
      <c r="CK94" s="403"/>
      <c r="CL94" s="403"/>
      <c r="CM94" s="403"/>
      <c r="CN94" s="564"/>
    </row>
    <row r="95" spans="1:92" s="15" customFormat="1" x14ac:dyDescent="0.2">
      <c r="A95" s="9"/>
      <c r="B95" s="569"/>
      <c r="C95" s="9"/>
      <c r="F95" s="14"/>
      <c r="G95" s="194"/>
      <c r="H95" s="194"/>
      <c r="I95" s="14"/>
      <c r="L95" s="241"/>
      <c r="M95" s="277"/>
      <c r="N95" s="243"/>
      <c r="O95" s="403"/>
      <c r="P95" s="403"/>
      <c r="Q95" s="403"/>
      <c r="R95" s="403"/>
      <c r="S95" s="403"/>
      <c r="T95" s="403"/>
      <c r="U95" s="403"/>
      <c r="V95" s="403"/>
      <c r="W95" s="403"/>
      <c r="X95" s="403"/>
      <c r="Y95" s="403"/>
      <c r="Z95" s="403"/>
      <c r="AA95" s="403"/>
      <c r="AB95" s="403"/>
      <c r="AC95" s="403"/>
      <c r="AD95" s="403"/>
      <c r="AE95" s="403"/>
      <c r="AF95" s="403"/>
      <c r="AG95" s="403"/>
      <c r="AH95" s="403"/>
      <c r="AI95" s="403"/>
      <c r="AJ95" s="403"/>
      <c r="AK95" s="403"/>
      <c r="AL95" s="403"/>
      <c r="AM95" s="403"/>
      <c r="AN95" s="403"/>
      <c r="AO95" s="403"/>
      <c r="AP95" s="403"/>
      <c r="AQ95" s="403"/>
      <c r="AR95" s="403"/>
      <c r="AS95" s="403"/>
      <c r="AT95" s="403"/>
      <c r="AU95" s="403"/>
      <c r="AV95" s="403"/>
      <c r="AW95" s="403"/>
      <c r="AX95" s="403"/>
      <c r="AY95" s="403"/>
      <c r="AZ95" s="403"/>
      <c r="BA95" s="403"/>
      <c r="BB95" s="403"/>
      <c r="BC95" s="403"/>
      <c r="BD95" s="403"/>
      <c r="BE95" s="403"/>
      <c r="BF95" s="403"/>
      <c r="BG95" s="403"/>
      <c r="BH95" s="403"/>
      <c r="BI95" s="403"/>
      <c r="BJ95" s="403"/>
      <c r="BK95" s="403"/>
      <c r="BL95" s="403"/>
      <c r="BM95" s="403"/>
      <c r="BN95" s="403"/>
      <c r="BO95" s="403"/>
      <c r="BP95" s="403"/>
      <c r="BQ95" s="403"/>
      <c r="BR95" s="403"/>
      <c r="BS95" s="403"/>
      <c r="BT95" s="403"/>
      <c r="BU95" s="403"/>
      <c r="BV95" s="403"/>
      <c r="BW95" s="403"/>
      <c r="BX95" s="403"/>
      <c r="BY95" s="403"/>
      <c r="BZ95" s="403"/>
      <c r="CA95" s="403"/>
      <c r="CB95" s="403"/>
      <c r="CC95" s="650"/>
      <c r="CD95" s="403"/>
      <c r="CE95" s="403"/>
      <c r="CF95" s="403"/>
      <c r="CG95" s="403"/>
      <c r="CH95" s="403"/>
      <c r="CI95" s="403"/>
      <c r="CJ95" s="403"/>
      <c r="CK95" s="403"/>
      <c r="CL95" s="403"/>
      <c r="CM95" s="403"/>
      <c r="CN95" s="564"/>
    </row>
    <row r="96" spans="1:92" x14ac:dyDescent="0.2">
      <c r="A96" s="9"/>
      <c r="C96" s="34" t="str">
        <f ca="1">IF(OFFSET(R96,0,Lang_Order*Lang__A3)="","",OFFSET(R96,0,Lang_Order*Lang__A3))</f>
        <v>Mobile Team B (Multi-person) Per Team per Day</v>
      </c>
      <c r="D96" s="23"/>
      <c r="E96" s="15"/>
      <c r="F96" s="14"/>
      <c r="H96" s="14"/>
      <c r="I96" s="11" t="e">
        <f>SUM(H97:H99)</f>
        <v>#N/A</v>
      </c>
      <c r="J96" s="12" t="str">
        <f ca="1">IF(OFFSET(Y96,0,Lang_Order*Lang__A3)="","",OFFSET(Y96,0,Lang_Order*Lang__A3))</f>
        <v>If multiple modes of transport - use a weighted average</v>
      </c>
      <c r="N96" s="243"/>
      <c r="R96" s="403" t="s">
        <v>2733</v>
      </c>
      <c r="Y96" s="403" t="s">
        <v>3685</v>
      </c>
      <c r="AC96" s="403" t="s">
        <v>8299</v>
      </c>
      <c r="AJ96" s="403" t="s">
        <v>8277</v>
      </c>
      <c r="AN96" s="403" t="s">
        <v>8300</v>
      </c>
      <c r="AU96" s="403" t="s">
        <v>8279</v>
      </c>
      <c r="AY96" s="403" t="s">
        <v>8301</v>
      </c>
      <c r="BF96" s="403" t="s">
        <v>8281</v>
      </c>
      <c r="BJ96" s="403" t="s">
        <v>8302</v>
      </c>
      <c r="BQ96" s="403" t="s">
        <v>8303</v>
      </c>
      <c r="BU96" s="403" t="s">
        <v>8304</v>
      </c>
      <c r="CB96" s="403" t="s">
        <v>8305</v>
      </c>
      <c r="CF96" s="403" t="s">
        <v>8306</v>
      </c>
      <c r="CM96" s="403" t="s">
        <v>8287</v>
      </c>
    </row>
    <row r="97" spans="1:92" s="15" customFormat="1" x14ac:dyDescent="0.2">
      <c r="A97" s="354">
        <v>1</v>
      </c>
      <c r="B97" s="569"/>
      <c r="C97" s="374"/>
      <c r="D97" s="5"/>
      <c r="E97" s="494"/>
      <c r="F97" s="39"/>
      <c r="G97" s="4" t="str">
        <f t="shared" ref="G97" si="32">IF(AND(ISBLANK(E97),ISBLANK(F97)),"CHECK","OK")</f>
        <v>CHECK</v>
      </c>
      <c r="H97" s="236" t="e">
        <f>IF(ISBLANK(F97),E97/USD2LCU,F97)</f>
        <v>#N/A</v>
      </c>
      <c r="I97" s="221" t="e">
        <f t="shared" ref="I97:I99" si="33">E97/USD2LCU</f>
        <v>#N/A</v>
      </c>
      <c r="J97" s="12" t="str">
        <f ca="1">IF(OFFSET(Y97,0,Lang_Order*Lang__A3)="","",OFFSET(Y97,0,Lang_Order*Lang__A3))</f>
        <v>Say TCO for a 4WD per day, incl. fuel</v>
      </c>
      <c r="K97" s="587" t="s">
        <v>14127</v>
      </c>
      <c r="L97" s="241"/>
      <c r="M97" s="277"/>
      <c r="N97" s="243"/>
      <c r="O97" s="403"/>
      <c r="P97" s="403"/>
      <c r="Q97" s="403"/>
      <c r="R97" s="403" t="s">
        <v>1669</v>
      </c>
      <c r="S97" s="403"/>
      <c r="T97" s="403"/>
      <c r="U97" s="403"/>
      <c r="V97" s="403"/>
      <c r="W97" s="403"/>
      <c r="X97" s="403"/>
      <c r="Y97" s="403" t="s">
        <v>2972</v>
      </c>
      <c r="Z97" s="403"/>
      <c r="AA97" s="403"/>
      <c r="AB97" s="403"/>
      <c r="AC97" s="403" t="s">
        <v>8288</v>
      </c>
      <c r="AD97" s="403"/>
      <c r="AE97" s="403"/>
      <c r="AF97" s="403"/>
      <c r="AG97" s="403"/>
      <c r="AH97" s="403"/>
      <c r="AI97" s="403"/>
      <c r="AJ97" s="403" t="s">
        <v>8307</v>
      </c>
      <c r="AK97" s="403"/>
      <c r="AL97" s="403"/>
      <c r="AM97" s="403"/>
      <c r="AN97" s="403" t="s">
        <v>8290</v>
      </c>
      <c r="AO97" s="403"/>
      <c r="AP97" s="403"/>
      <c r="AQ97" s="403"/>
      <c r="AR97" s="403"/>
      <c r="AS97" s="403"/>
      <c r="AT97" s="403"/>
      <c r="AU97" s="403" t="s">
        <v>8308</v>
      </c>
      <c r="AV97" s="403"/>
      <c r="AW97" s="403"/>
      <c r="AX97" s="403"/>
      <c r="AY97" s="403" t="s">
        <v>8292</v>
      </c>
      <c r="AZ97" s="403"/>
      <c r="BA97" s="403"/>
      <c r="BB97" s="403"/>
      <c r="BC97" s="403"/>
      <c r="BD97" s="403"/>
      <c r="BE97" s="403"/>
      <c r="BF97" s="403" t="s">
        <v>8309</v>
      </c>
      <c r="BG97" s="403"/>
      <c r="BH97" s="403"/>
      <c r="BI97" s="403"/>
      <c r="BJ97" s="403" t="s">
        <v>8292</v>
      </c>
      <c r="BK97" s="403"/>
      <c r="BL97" s="403"/>
      <c r="BM97" s="403"/>
      <c r="BN97" s="403"/>
      <c r="BO97" s="403"/>
      <c r="BP97" s="403"/>
      <c r="BQ97" s="403" t="s">
        <v>8310</v>
      </c>
      <c r="BR97" s="403"/>
      <c r="BS97" s="403"/>
      <c r="BT97" s="403"/>
      <c r="BU97" s="403" t="s">
        <v>8295</v>
      </c>
      <c r="BV97" s="403"/>
      <c r="BW97" s="403"/>
      <c r="BX97" s="403"/>
      <c r="BY97" s="403"/>
      <c r="BZ97" s="403"/>
      <c r="CA97" s="403"/>
      <c r="CB97" s="403" t="s">
        <v>8311</v>
      </c>
      <c r="CC97" s="650"/>
      <c r="CD97" s="403"/>
      <c r="CE97" s="403"/>
      <c r="CF97" s="403" t="s">
        <v>8297</v>
      </c>
      <c r="CG97" s="403"/>
      <c r="CH97" s="403"/>
      <c r="CI97" s="403"/>
      <c r="CJ97" s="403"/>
      <c r="CK97" s="403"/>
      <c r="CL97" s="403"/>
      <c r="CM97" s="403" t="s">
        <v>8312</v>
      </c>
      <c r="CN97" s="564"/>
    </row>
    <row r="98" spans="1:92" s="15" customFormat="1" x14ac:dyDescent="0.2">
      <c r="A98" s="350">
        <v>2</v>
      </c>
      <c r="B98" s="569"/>
      <c r="C98" s="374"/>
      <c r="D98" s="5"/>
      <c r="E98" s="494"/>
      <c r="F98" s="39"/>
      <c r="G98" s="194"/>
      <c r="H98" s="236" t="e">
        <f>IF(ISBLANK(F98),E98/USD2LCU,F98)</f>
        <v>#N/A</v>
      </c>
      <c r="I98" s="221" t="e">
        <f t="shared" si="33"/>
        <v>#N/A</v>
      </c>
      <c r="J98" s="567"/>
      <c r="K98" s="587"/>
      <c r="L98" s="241"/>
      <c r="M98" s="277"/>
      <c r="N98" s="243"/>
      <c r="O98" s="403"/>
      <c r="P98" s="403"/>
      <c r="Q98" s="403"/>
      <c r="R98" s="403"/>
      <c r="S98" s="403"/>
      <c r="T98" s="403"/>
      <c r="U98" s="403"/>
      <c r="V98" s="403"/>
      <c r="W98" s="403"/>
      <c r="X98" s="403"/>
      <c r="Y98" s="403"/>
      <c r="Z98" s="403"/>
      <c r="AA98" s="403"/>
      <c r="AB98" s="403"/>
      <c r="AC98" s="403"/>
      <c r="AD98" s="403"/>
      <c r="AE98" s="403"/>
      <c r="AF98" s="403"/>
      <c r="AG98" s="403"/>
      <c r="AH98" s="403"/>
      <c r="AI98" s="403"/>
      <c r="AJ98" s="403"/>
      <c r="AK98" s="403"/>
      <c r="AL98" s="403"/>
      <c r="AM98" s="403"/>
      <c r="AN98" s="403"/>
      <c r="AO98" s="403"/>
      <c r="AP98" s="403"/>
      <c r="AQ98" s="403"/>
      <c r="AR98" s="403"/>
      <c r="AS98" s="403"/>
      <c r="AT98" s="403"/>
      <c r="AU98" s="403"/>
      <c r="AV98" s="403"/>
      <c r="AW98" s="403"/>
      <c r="AX98" s="403"/>
      <c r="AY98" s="403"/>
      <c r="AZ98" s="403"/>
      <c r="BA98" s="403"/>
      <c r="BB98" s="403"/>
      <c r="BC98" s="403"/>
      <c r="BD98" s="403"/>
      <c r="BE98" s="403"/>
      <c r="BF98" s="403"/>
      <c r="BG98" s="403"/>
      <c r="BH98" s="403"/>
      <c r="BI98" s="403"/>
      <c r="BJ98" s="403"/>
      <c r="BK98" s="403"/>
      <c r="BL98" s="403"/>
      <c r="BM98" s="403"/>
      <c r="BN98" s="403"/>
      <c r="BO98" s="403"/>
      <c r="BP98" s="403"/>
      <c r="BQ98" s="403"/>
      <c r="BR98" s="403"/>
      <c r="BS98" s="403"/>
      <c r="BT98" s="403"/>
      <c r="BU98" s="403"/>
      <c r="BV98" s="403"/>
      <c r="BW98" s="403"/>
      <c r="BX98" s="403"/>
      <c r="BY98" s="403"/>
      <c r="BZ98" s="403"/>
      <c r="CA98" s="403"/>
      <c r="CB98" s="403"/>
      <c r="CC98" s="650"/>
      <c r="CD98" s="403"/>
      <c r="CE98" s="403"/>
      <c r="CF98" s="403"/>
      <c r="CG98" s="403"/>
      <c r="CH98" s="403"/>
      <c r="CI98" s="403"/>
      <c r="CJ98" s="403"/>
      <c r="CK98" s="403"/>
      <c r="CL98" s="403"/>
      <c r="CM98" s="403"/>
      <c r="CN98" s="564"/>
    </row>
    <row r="99" spans="1:92" s="15" customFormat="1" x14ac:dyDescent="0.2">
      <c r="A99" s="350">
        <v>2</v>
      </c>
      <c r="B99" s="569"/>
      <c r="C99" s="374"/>
      <c r="D99" s="5"/>
      <c r="E99" s="494"/>
      <c r="F99" s="39"/>
      <c r="G99" s="194"/>
      <c r="H99" s="236" t="e">
        <f>IF(ISBLANK(F99),E99/USD2LCU,F99)</f>
        <v>#N/A</v>
      </c>
      <c r="I99" s="221" t="e">
        <f t="shared" si="33"/>
        <v>#N/A</v>
      </c>
      <c r="J99" s="567"/>
      <c r="K99" s="587"/>
      <c r="L99" s="241"/>
      <c r="M99" s="277"/>
      <c r="N99" s="243"/>
      <c r="O99" s="403"/>
      <c r="P99" s="403"/>
      <c r="Q99" s="403"/>
      <c r="R99" s="403"/>
      <c r="S99" s="403"/>
      <c r="T99" s="403"/>
      <c r="U99" s="403"/>
      <c r="V99" s="403"/>
      <c r="W99" s="403"/>
      <c r="X99" s="403"/>
      <c r="Y99" s="403"/>
      <c r="Z99" s="403"/>
      <c r="AA99" s="403"/>
      <c r="AB99" s="403"/>
      <c r="AC99" s="403"/>
      <c r="AD99" s="403"/>
      <c r="AE99" s="403"/>
      <c r="AF99" s="403"/>
      <c r="AG99" s="403"/>
      <c r="AH99" s="403"/>
      <c r="AI99" s="403"/>
      <c r="AJ99" s="403"/>
      <c r="AK99" s="403"/>
      <c r="AL99" s="403"/>
      <c r="AM99" s="403"/>
      <c r="AN99" s="403"/>
      <c r="AO99" s="403"/>
      <c r="AP99" s="403"/>
      <c r="AQ99" s="403"/>
      <c r="AR99" s="403"/>
      <c r="AS99" s="403"/>
      <c r="AT99" s="403"/>
      <c r="AU99" s="403"/>
      <c r="AV99" s="403"/>
      <c r="AW99" s="403"/>
      <c r="AX99" s="403"/>
      <c r="AY99" s="403"/>
      <c r="AZ99" s="403"/>
      <c r="BA99" s="403"/>
      <c r="BB99" s="403"/>
      <c r="BC99" s="403"/>
      <c r="BD99" s="403"/>
      <c r="BE99" s="403"/>
      <c r="BF99" s="403"/>
      <c r="BG99" s="403"/>
      <c r="BH99" s="403"/>
      <c r="BI99" s="403"/>
      <c r="BJ99" s="403"/>
      <c r="BK99" s="403"/>
      <c r="BL99" s="403"/>
      <c r="BM99" s="403"/>
      <c r="BN99" s="403"/>
      <c r="BO99" s="403"/>
      <c r="BP99" s="403"/>
      <c r="BQ99" s="403"/>
      <c r="BR99" s="403"/>
      <c r="BS99" s="403"/>
      <c r="BT99" s="403"/>
      <c r="BU99" s="403"/>
      <c r="BV99" s="403"/>
      <c r="BW99" s="403"/>
      <c r="BX99" s="403"/>
      <c r="BY99" s="403"/>
      <c r="BZ99" s="403"/>
      <c r="CA99" s="403"/>
      <c r="CB99" s="403"/>
      <c r="CC99" s="650"/>
      <c r="CD99" s="403"/>
      <c r="CE99" s="403"/>
      <c r="CF99" s="403"/>
      <c r="CG99" s="403"/>
      <c r="CH99" s="403"/>
      <c r="CI99" s="403"/>
      <c r="CJ99" s="403"/>
      <c r="CK99" s="403"/>
      <c r="CL99" s="403"/>
      <c r="CM99" s="403"/>
      <c r="CN99" s="564"/>
    </row>
    <row r="100" spans="1:92" s="15" customFormat="1" x14ac:dyDescent="0.2">
      <c r="B100" s="569"/>
      <c r="C100" s="9"/>
      <c r="F100" s="14"/>
      <c r="G100" s="194"/>
      <c r="H100" s="194"/>
      <c r="I100" s="14"/>
      <c r="L100" s="241"/>
      <c r="M100" s="277"/>
      <c r="O100" s="403"/>
      <c r="P100" s="403"/>
      <c r="Q100" s="403"/>
      <c r="R100" s="403"/>
      <c r="S100" s="403"/>
      <c r="T100" s="403"/>
      <c r="U100" s="403"/>
      <c r="V100" s="403"/>
      <c r="W100" s="403"/>
      <c r="X100" s="403"/>
      <c r="Y100" s="403"/>
      <c r="Z100" s="403"/>
      <c r="AA100" s="403"/>
      <c r="AB100" s="403"/>
      <c r="AC100" s="403"/>
      <c r="AD100" s="403"/>
      <c r="AE100" s="403"/>
      <c r="AF100" s="403"/>
      <c r="AG100" s="403"/>
      <c r="AH100" s="403"/>
      <c r="AI100" s="403"/>
      <c r="AJ100" s="403"/>
      <c r="AK100" s="403"/>
      <c r="AL100" s="403"/>
      <c r="AM100" s="403"/>
      <c r="AN100" s="403"/>
      <c r="AO100" s="403"/>
      <c r="AP100" s="403"/>
      <c r="AQ100" s="403"/>
      <c r="AR100" s="403"/>
      <c r="AS100" s="403"/>
      <c r="AT100" s="403"/>
      <c r="AU100" s="403"/>
      <c r="AV100" s="403"/>
      <c r="AW100" s="403"/>
      <c r="AX100" s="403"/>
      <c r="AY100" s="403"/>
      <c r="AZ100" s="403"/>
      <c r="BA100" s="403"/>
      <c r="BB100" s="403"/>
      <c r="BC100" s="403"/>
      <c r="BD100" s="403"/>
      <c r="BE100" s="403"/>
      <c r="BF100" s="403"/>
      <c r="BG100" s="403"/>
      <c r="BH100" s="403"/>
      <c r="BI100" s="403"/>
      <c r="BJ100" s="403"/>
      <c r="BK100" s="403"/>
      <c r="BL100" s="403"/>
      <c r="BM100" s="403"/>
      <c r="BN100" s="403"/>
      <c r="BO100" s="403"/>
      <c r="BP100" s="403"/>
      <c r="BQ100" s="403"/>
      <c r="BR100" s="403"/>
      <c r="BS100" s="403"/>
      <c r="BT100" s="403"/>
      <c r="BU100" s="403"/>
      <c r="BV100" s="403"/>
      <c r="BW100" s="403"/>
      <c r="BX100" s="403"/>
      <c r="BY100" s="403"/>
      <c r="BZ100" s="403"/>
      <c r="CA100" s="403"/>
      <c r="CB100" s="403"/>
      <c r="CC100" s="650"/>
      <c r="CD100" s="403"/>
      <c r="CE100" s="403"/>
      <c r="CF100" s="403"/>
      <c r="CG100" s="403"/>
      <c r="CH100" s="403"/>
      <c r="CI100" s="403"/>
      <c r="CJ100" s="403"/>
      <c r="CK100" s="403"/>
      <c r="CL100" s="403"/>
      <c r="CM100" s="403"/>
      <c r="CN100" s="564"/>
    </row>
    <row r="101" spans="1:92" s="8" customFormat="1" ht="15" x14ac:dyDescent="0.25">
      <c r="A101" s="8" t="str">
        <f ca="1">IF(OFFSET(P101,0,Lang_Order*Lang__A3)="","",OFFSET(P101,0,Lang_Order*Lang__A3))</f>
        <v>A3.5 Cold storage and cold chain</v>
      </c>
      <c r="B101" s="33"/>
      <c r="D101" s="343" t="str">
        <f ca="1">IF(OFFSET(S101,0,Lang_Order*Lang__A3)="","",OFFSET(S101,0,Lang_Order*Lang__A3))</f>
        <v>Customs?</v>
      </c>
      <c r="E101" s="408" t="str">
        <f>CONCATENATE(Lang_LCU,": ",LCU)</f>
        <v xml:space="preserve">LCU: </v>
      </c>
      <c r="F101" s="610" t="str">
        <f ca="1">IF(OFFSET(U101,0,Lang_Order*Lang__A3)="","",OFFSET(U101,0,Lang_Order*Lang__A3))</f>
        <v>Override in USD</v>
      </c>
      <c r="G101" s="234"/>
      <c r="H101" s="234" t="s">
        <v>2635</v>
      </c>
      <c r="I101" s="219" t="s">
        <v>26</v>
      </c>
      <c r="J101" s="8" t="str">
        <f ca="1">IF(OFFSET(Y101,0,Lang_Order*Lang__A3)="","",OFFSET(Y101,0,Lang_Order*Lang__A3))</f>
        <v>Comments</v>
      </c>
      <c r="K101" s="8" t="str">
        <f ca="1">IF(OFFSET(Z101,0,Lang_Order*Lang__A3)="","",OFFSET(Z101,0,Lang_Order*Lang__A3))</f>
        <v>User Notes</v>
      </c>
      <c r="M101" s="311" t="s">
        <v>3848</v>
      </c>
      <c r="O101" s="403"/>
      <c r="P101" s="403" t="s">
        <v>2951</v>
      </c>
      <c r="Q101" s="403"/>
      <c r="R101" s="403"/>
      <c r="S101" s="403" t="s">
        <v>3816</v>
      </c>
      <c r="T101" s="403"/>
      <c r="U101" s="403" t="s">
        <v>2977</v>
      </c>
      <c r="V101" s="403"/>
      <c r="W101" s="403"/>
      <c r="X101" s="403"/>
      <c r="Y101" s="403" t="s">
        <v>13980</v>
      </c>
      <c r="Z101" s="403" t="s">
        <v>13981</v>
      </c>
      <c r="AA101" s="403" t="s">
        <v>8313</v>
      </c>
      <c r="AB101" s="403"/>
      <c r="AC101" s="403"/>
      <c r="AD101" s="403" t="s">
        <v>8068</v>
      </c>
      <c r="AE101" s="403"/>
      <c r="AF101" s="403" t="s">
        <v>7897</v>
      </c>
      <c r="AG101" s="403"/>
      <c r="AH101" s="403"/>
      <c r="AI101" s="403"/>
      <c r="AJ101" s="403" t="s">
        <v>14071</v>
      </c>
      <c r="AK101" s="403" t="s">
        <v>14076</v>
      </c>
      <c r="AL101" s="403" t="s">
        <v>8314</v>
      </c>
      <c r="AM101" s="403"/>
      <c r="AN101" s="403"/>
      <c r="AO101" s="403" t="s">
        <v>8070</v>
      </c>
      <c r="AP101" s="403"/>
      <c r="AQ101" s="403" t="s">
        <v>7900</v>
      </c>
      <c r="AR101" s="403"/>
      <c r="AS101" s="403"/>
      <c r="AT101" s="403"/>
      <c r="AU101" s="403" t="s">
        <v>14072</v>
      </c>
      <c r="AV101" s="403" t="s">
        <v>14077</v>
      </c>
      <c r="AW101" s="403" t="s">
        <v>8315</v>
      </c>
      <c r="AX101" s="403"/>
      <c r="AY101" s="403"/>
      <c r="AZ101" s="403" t="s">
        <v>8072</v>
      </c>
      <c r="BA101" s="403"/>
      <c r="BB101" s="403" t="s">
        <v>7903</v>
      </c>
      <c r="BC101" s="403"/>
      <c r="BD101" s="403"/>
      <c r="BE101" s="403"/>
      <c r="BF101" s="403" t="s">
        <v>14073</v>
      </c>
      <c r="BG101" s="403" t="s">
        <v>14078</v>
      </c>
      <c r="BH101" s="403" t="s">
        <v>8316</v>
      </c>
      <c r="BI101" s="403"/>
      <c r="BJ101" s="403"/>
      <c r="BK101" s="403" t="s">
        <v>8074</v>
      </c>
      <c r="BL101" s="403"/>
      <c r="BM101" s="403" t="s">
        <v>7906</v>
      </c>
      <c r="BN101" s="403"/>
      <c r="BO101" s="403"/>
      <c r="BP101" s="403"/>
      <c r="BQ101" s="403" t="s">
        <v>14074</v>
      </c>
      <c r="BR101" s="403" t="s">
        <v>14079</v>
      </c>
      <c r="BS101" s="403" t="s">
        <v>8317</v>
      </c>
      <c r="BT101" s="403"/>
      <c r="BU101" s="403"/>
      <c r="BV101" s="403" t="s">
        <v>8076</v>
      </c>
      <c r="BW101" s="403"/>
      <c r="BX101" s="403" t="s">
        <v>7908</v>
      </c>
      <c r="BY101" s="403"/>
      <c r="BZ101" s="403"/>
      <c r="CA101" s="403"/>
      <c r="CB101" s="403" t="s">
        <v>14075</v>
      </c>
      <c r="CC101" s="650" t="s">
        <v>14080</v>
      </c>
      <c r="CD101" s="403" t="s">
        <v>8318</v>
      </c>
      <c r="CE101" s="403"/>
      <c r="CF101" s="403"/>
      <c r="CG101" s="403" t="s">
        <v>8078</v>
      </c>
      <c r="CH101" s="403"/>
      <c r="CI101" s="403" t="s">
        <v>7911</v>
      </c>
      <c r="CJ101" s="403"/>
      <c r="CK101" s="403"/>
      <c r="CL101" s="403"/>
      <c r="CM101" s="403" t="s">
        <v>5455</v>
      </c>
      <c r="CN101" s="564" t="s">
        <v>14081</v>
      </c>
    </row>
    <row r="102" spans="1:92" s="299" customFormat="1" ht="44.25" customHeight="1" x14ac:dyDescent="0.25">
      <c r="B102" s="528"/>
      <c r="C102" s="679" t="str">
        <f ca="1">IF(OFFSET(R102,0,Lang_Order*Lang__A3)="","",OFFSET(R102,0,Lang_Order*Lang__A3))</f>
        <v>Instructions: Please review the unit cost assumptions for electricity and cold chain transportation. Note that default costs for cold-chain supplies can be used by leaving that section blank.
If customs clearance will be required for cold-chain supplies, please indicate YES in the appropriate cell.</v>
      </c>
      <c r="D102" s="679"/>
      <c r="E102" s="679"/>
      <c r="F102" s="679"/>
      <c r="G102" s="679"/>
      <c r="H102" s="679"/>
      <c r="I102" s="679"/>
      <c r="M102" s="389" t="s">
        <v>26</v>
      </c>
      <c r="O102" s="403"/>
      <c r="P102" s="403"/>
      <c r="Q102" s="403"/>
      <c r="R102" s="403" t="s">
        <v>4138</v>
      </c>
      <c r="S102" s="403"/>
      <c r="T102" s="403"/>
      <c r="U102" s="403"/>
      <c r="V102" s="403"/>
      <c r="W102" s="403"/>
      <c r="X102" s="403"/>
      <c r="Y102" s="403"/>
      <c r="Z102" s="403"/>
      <c r="AA102" s="403"/>
      <c r="AB102" s="403"/>
      <c r="AC102" s="403" t="s">
        <v>8319</v>
      </c>
      <c r="AD102" s="403"/>
      <c r="AE102" s="403"/>
      <c r="AF102" s="403"/>
      <c r="AG102" s="403"/>
      <c r="AH102" s="403"/>
      <c r="AI102" s="403"/>
      <c r="AJ102" s="403"/>
      <c r="AK102" s="403"/>
      <c r="AL102" s="403"/>
      <c r="AM102" s="403"/>
      <c r="AN102" s="403" t="s">
        <v>8320</v>
      </c>
      <c r="AO102" s="403"/>
      <c r="AP102" s="403"/>
      <c r="AQ102" s="403"/>
      <c r="AR102" s="403"/>
      <c r="AS102" s="403"/>
      <c r="AT102" s="403"/>
      <c r="AU102" s="403"/>
      <c r="AV102" s="403"/>
      <c r="AW102" s="403"/>
      <c r="AX102" s="403"/>
      <c r="AY102" s="403" t="s">
        <v>8321</v>
      </c>
      <c r="AZ102" s="403"/>
      <c r="BA102" s="403"/>
      <c r="BB102" s="403"/>
      <c r="BC102" s="403"/>
      <c r="BD102" s="403"/>
      <c r="BE102" s="403"/>
      <c r="BF102" s="403"/>
      <c r="BG102" s="403"/>
      <c r="BH102" s="403"/>
      <c r="BI102" s="403"/>
      <c r="BJ102" s="403" t="s">
        <v>8322</v>
      </c>
      <c r="BK102" s="403"/>
      <c r="BL102" s="403"/>
      <c r="BM102" s="403"/>
      <c r="BN102" s="403"/>
      <c r="BO102" s="403"/>
      <c r="BP102" s="403"/>
      <c r="BQ102" s="403"/>
      <c r="BR102" s="403"/>
      <c r="BS102" s="403"/>
      <c r="BT102" s="403"/>
      <c r="BU102" s="403" t="s">
        <v>8323</v>
      </c>
      <c r="BV102" s="403"/>
      <c r="BW102" s="403"/>
      <c r="BX102" s="403"/>
      <c r="BY102" s="403"/>
      <c r="BZ102" s="403"/>
      <c r="CA102" s="403"/>
      <c r="CB102" s="403"/>
      <c r="CC102" s="650"/>
      <c r="CD102" s="403"/>
      <c r="CE102" s="403"/>
      <c r="CF102" s="403" t="s">
        <v>8324</v>
      </c>
      <c r="CG102" s="403"/>
      <c r="CH102" s="403"/>
      <c r="CI102" s="403"/>
      <c r="CJ102" s="403"/>
      <c r="CK102" s="403"/>
      <c r="CL102" s="403"/>
      <c r="CM102" s="403"/>
      <c r="CN102" s="564"/>
    </row>
    <row r="103" spans="1:92" s="241" customFormat="1" x14ac:dyDescent="0.2">
      <c r="B103" s="569" t="str">
        <f ca="1">IF(OFFSET(Q103,0,Lang_Order*Lang__A3)="","",OFFSET(Q103,0,Lang_Order*Lang__A3))</f>
        <v>Power</v>
      </c>
      <c r="J103" s="567"/>
      <c r="M103" s="314"/>
      <c r="N103" s="25"/>
      <c r="O103" s="403"/>
      <c r="P103" s="403"/>
      <c r="Q103" s="403" t="s">
        <v>3001</v>
      </c>
      <c r="R103" s="403"/>
      <c r="S103" s="403"/>
      <c r="T103" s="403"/>
      <c r="U103" s="403"/>
      <c r="V103" s="403"/>
      <c r="W103" s="403"/>
      <c r="X103" s="403"/>
      <c r="Y103" s="403"/>
      <c r="Z103" s="403"/>
      <c r="AA103" s="403"/>
      <c r="AB103" s="403" t="s">
        <v>8325</v>
      </c>
      <c r="AC103" s="403"/>
      <c r="AD103" s="403"/>
      <c r="AE103" s="403"/>
      <c r="AF103" s="403"/>
      <c r="AG103" s="403"/>
      <c r="AH103" s="403"/>
      <c r="AI103" s="403"/>
      <c r="AJ103" s="403"/>
      <c r="AK103" s="403"/>
      <c r="AL103" s="403"/>
      <c r="AM103" s="403" t="s">
        <v>8326</v>
      </c>
      <c r="AN103" s="403"/>
      <c r="AO103" s="403"/>
      <c r="AP103" s="403"/>
      <c r="AQ103" s="403"/>
      <c r="AR103" s="403"/>
      <c r="AS103" s="403"/>
      <c r="AT103" s="403"/>
      <c r="AU103" s="403"/>
      <c r="AV103" s="403"/>
      <c r="AW103" s="403"/>
      <c r="AX103" s="403" t="s">
        <v>8327</v>
      </c>
      <c r="AY103" s="403"/>
      <c r="AZ103" s="403"/>
      <c r="BA103" s="403"/>
      <c r="BB103" s="403"/>
      <c r="BC103" s="403"/>
      <c r="BD103" s="403"/>
      <c r="BE103" s="403"/>
      <c r="BF103" s="403"/>
      <c r="BG103" s="403"/>
      <c r="BH103" s="403"/>
      <c r="BI103" s="403" t="s">
        <v>8328</v>
      </c>
      <c r="BJ103" s="403"/>
      <c r="BK103" s="403"/>
      <c r="BL103" s="403"/>
      <c r="BM103" s="403"/>
      <c r="BN103" s="403"/>
      <c r="BO103" s="403"/>
      <c r="BP103" s="403"/>
      <c r="BQ103" s="403"/>
      <c r="BR103" s="403"/>
      <c r="BS103" s="403"/>
      <c r="BT103" s="403" t="s">
        <v>8329</v>
      </c>
      <c r="BU103" s="403"/>
      <c r="BV103" s="403"/>
      <c r="BW103" s="403"/>
      <c r="BX103" s="403"/>
      <c r="BY103" s="403"/>
      <c r="BZ103" s="403"/>
      <c r="CA103" s="403"/>
      <c r="CB103" s="403"/>
      <c r="CC103" s="650"/>
      <c r="CD103" s="403"/>
      <c r="CE103" s="403" t="s">
        <v>8330</v>
      </c>
      <c r="CF103" s="403"/>
      <c r="CG103" s="403"/>
      <c r="CH103" s="403"/>
      <c r="CI103" s="403"/>
      <c r="CJ103" s="403"/>
      <c r="CK103" s="403"/>
      <c r="CL103" s="403"/>
      <c r="CM103" s="403"/>
      <c r="CN103" s="564"/>
    </row>
    <row r="104" spans="1:92" s="241" customFormat="1" x14ac:dyDescent="0.2">
      <c r="A104" s="350">
        <v>2</v>
      </c>
      <c r="B104" s="528"/>
      <c r="C104" s="5" t="str">
        <f ca="1">IF(OFFSET(R104,0,Lang_Order*Lang__A3)="","",OFFSET(R104,0,Lang_Order*Lang__A3))</f>
        <v>Electricity (per kWh)</v>
      </c>
      <c r="E104" s="494"/>
      <c r="F104" s="39">
        <v>0.2</v>
      </c>
      <c r="G104" s="4" t="str">
        <f>IF(ISBLANK(I104),"CHECK","OK")</f>
        <v>OK</v>
      </c>
      <c r="H104" s="5"/>
      <c r="I104" s="11">
        <f>IF(ISBLANK(F104),E104/USD2LCU,F104)</f>
        <v>0.2</v>
      </c>
      <c r="J104" s="567"/>
      <c r="K104" s="587"/>
      <c r="M104" s="314"/>
      <c r="N104" s="25"/>
      <c r="O104" s="403"/>
      <c r="P104" s="403"/>
      <c r="Q104" s="403"/>
      <c r="R104" s="403" t="s">
        <v>3115</v>
      </c>
      <c r="S104" s="403"/>
      <c r="T104" s="403"/>
      <c r="U104" s="403"/>
      <c r="V104" s="403"/>
      <c r="W104" s="403"/>
      <c r="X104" s="403"/>
      <c r="Y104" s="403"/>
      <c r="Z104" s="403"/>
      <c r="AA104" s="403"/>
      <c r="AB104" s="403"/>
      <c r="AC104" s="403" t="s">
        <v>8331</v>
      </c>
      <c r="AD104" s="403"/>
      <c r="AE104" s="403"/>
      <c r="AF104" s="403"/>
      <c r="AG104" s="403"/>
      <c r="AH104" s="403"/>
      <c r="AI104" s="403"/>
      <c r="AJ104" s="403"/>
      <c r="AK104" s="403"/>
      <c r="AL104" s="403"/>
      <c r="AM104" s="403"/>
      <c r="AN104" s="403" t="s">
        <v>8332</v>
      </c>
      <c r="AO104" s="403"/>
      <c r="AP104" s="403"/>
      <c r="AQ104" s="403"/>
      <c r="AR104" s="403"/>
      <c r="AS104" s="403"/>
      <c r="AT104" s="403"/>
      <c r="AU104" s="403"/>
      <c r="AV104" s="403"/>
      <c r="AW104" s="403"/>
      <c r="AX104" s="403"/>
      <c r="AY104" s="403" t="s">
        <v>8333</v>
      </c>
      <c r="AZ104" s="403"/>
      <c r="BA104" s="403"/>
      <c r="BB104" s="403"/>
      <c r="BC104" s="403"/>
      <c r="BD104" s="403"/>
      <c r="BE104" s="403"/>
      <c r="BF104" s="403"/>
      <c r="BG104" s="403"/>
      <c r="BH104" s="403"/>
      <c r="BI104" s="403"/>
      <c r="BJ104" s="403" t="s">
        <v>8334</v>
      </c>
      <c r="BK104" s="403"/>
      <c r="BL104" s="403"/>
      <c r="BM104" s="403"/>
      <c r="BN104" s="403"/>
      <c r="BO104" s="403"/>
      <c r="BP104" s="403"/>
      <c r="BQ104" s="403"/>
      <c r="BR104" s="403"/>
      <c r="BS104" s="403"/>
      <c r="BT104" s="403"/>
      <c r="BU104" s="403" t="s">
        <v>8335</v>
      </c>
      <c r="BV104" s="403"/>
      <c r="BW104" s="403"/>
      <c r="BX104" s="403"/>
      <c r="BY104" s="403"/>
      <c r="BZ104" s="403"/>
      <c r="CA104" s="403"/>
      <c r="CB104" s="403"/>
      <c r="CC104" s="650"/>
      <c r="CD104" s="403"/>
      <c r="CE104" s="403"/>
      <c r="CF104" s="403" t="s">
        <v>8336</v>
      </c>
      <c r="CG104" s="403"/>
      <c r="CH104" s="403"/>
      <c r="CI104" s="403"/>
      <c r="CJ104" s="403"/>
      <c r="CK104" s="403"/>
      <c r="CL104" s="403"/>
      <c r="CM104" s="403"/>
      <c r="CN104" s="564"/>
    </row>
    <row r="105" spans="1:92" s="281" customFormat="1" ht="38.25" x14ac:dyDescent="0.2">
      <c r="B105" s="569" t="str">
        <f ca="1">IF(OFFSET(Q105,0,Lang_Order*Lang__A3)="","",OFFSET(Q105,0,Lang_Order*Lang__A3))</f>
        <v>Cold chain supplies</v>
      </c>
      <c r="D105" s="164" t="str">
        <f ca="1">IF(OFFSET(S105,0,Lang_Order*Lang__A3)="","",OFFSET(S105,0,Lang_Order*Lang__A3))</f>
        <v>Are these supplies subject to customs clearance?</v>
      </c>
      <c r="J105" s="567"/>
      <c r="M105" s="277"/>
      <c r="O105" s="403"/>
      <c r="P105" s="403"/>
      <c r="Q105" s="403" t="s">
        <v>3686</v>
      </c>
      <c r="R105" s="403"/>
      <c r="S105" s="403" t="s">
        <v>3817</v>
      </c>
      <c r="T105" s="403"/>
      <c r="U105" s="403"/>
      <c r="V105" s="403"/>
      <c r="W105" s="403"/>
      <c r="X105" s="403"/>
      <c r="Y105" s="403"/>
      <c r="Z105" s="403"/>
      <c r="AA105" s="403"/>
      <c r="AB105" s="403" t="s">
        <v>8337</v>
      </c>
      <c r="AC105" s="403"/>
      <c r="AD105" s="403" t="s">
        <v>8081</v>
      </c>
      <c r="AE105" s="403"/>
      <c r="AF105" s="403"/>
      <c r="AG105" s="403"/>
      <c r="AH105" s="403"/>
      <c r="AI105" s="403"/>
      <c r="AJ105" s="403"/>
      <c r="AK105" s="403"/>
      <c r="AL105" s="403"/>
      <c r="AM105" s="403" t="s">
        <v>8338</v>
      </c>
      <c r="AN105" s="403"/>
      <c r="AO105" s="403" t="s">
        <v>8339</v>
      </c>
      <c r="AP105" s="403"/>
      <c r="AQ105" s="403"/>
      <c r="AR105" s="403"/>
      <c r="AS105" s="403"/>
      <c r="AT105" s="403"/>
      <c r="AU105" s="403"/>
      <c r="AV105" s="403"/>
      <c r="AW105" s="403"/>
      <c r="AX105" s="403" t="s">
        <v>8340</v>
      </c>
      <c r="AY105" s="403"/>
      <c r="AZ105" s="403" t="s">
        <v>8341</v>
      </c>
      <c r="BA105" s="403"/>
      <c r="BB105" s="403"/>
      <c r="BC105" s="403"/>
      <c r="BD105" s="403"/>
      <c r="BE105" s="403"/>
      <c r="BF105" s="403"/>
      <c r="BG105" s="403"/>
      <c r="BH105" s="403"/>
      <c r="BI105" s="403" t="s">
        <v>8342</v>
      </c>
      <c r="BJ105" s="403"/>
      <c r="BK105" s="403" t="s">
        <v>8090</v>
      </c>
      <c r="BL105" s="403"/>
      <c r="BM105" s="403"/>
      <c r="BN105" s="403"/>
      <c r="BO105" s="403"/>
      <c r="BP105" s="403"/>
      <c r="BQ105" s="403"/>
      <c r="BR105" s="403"/>
      <c r="BS105" s="403"/>
      <c r="BT105" s="403" t="s">
        <v>8343</v>
      </c>
      <c r="BU105" s="403"/>
      <c r="BV105" s="403" t="s">
        <v>8093</v>
      </c>
      <c r="BW105" s="403"/>
      <c r="BX105" s="403"/>
      <c r="BY105" s="403"/>
      <c r="BZ105" s="403"/>
      <c r="CA105" s="403"/>
      <c r="CB105" s="403"/>
      <c r="CC105" s="650"/>
      <c r="CD105" s="403"/>
      <c r="CE105" s="403" t="s">
        <v>8344</v>
      </c>
      <c r="CF105" s="403"/>
      <c r="CG105" s="403" t="s">
        <v>8096</v>
      </c>
      <c r="CH105" s="403"/>
      <c r="CI105" s="403"/>
      <c r="CJ105" s="403"/>
      <c r="CK105" s="403"/>
      <c r="CL105" s="403"/>
      <c r="CM105" s="403"/>
      <c r="CN105" s="564"/>
    </row>
    <row r="106" spans="1:92" s="281" customFormat="1" x14ac:dyDescent="0.2">
      <c r="A106" s="350">
        <v>2</v>
      </c>
      <c r="B106" s="569"/>
      <c r="C106" s="5" t="str">
        <f ca="1">OFFSET(_Offset_Index_VaccineSupplyPrices,1,L106)</f>
        <v>Large, long range, cold box (20L)</v>
      </c>
      <c r="D106" s="36" t="s">
        <v>2672</v>
      </c>
      <c r="E106" s="494"/>
      <c r="F106" s="39"/>
      <c r="G106" s="4" t="str">
        <f t="shared" ref="G106:G108" ca="1" si="34">IF(ISBLANK(I106),"CHECK","OK")</f>
        <v>OK</v>
      </c>
      <c r="I106" s="11">
        <f t="shared" ref="I106:I108" ca="1" si="35">IF(ISBLANK(F106),IF(ISBLANK(E106),M106,E106/USD2LCU),F106)</f>
        <v>83.19</v>
      </c>
      <c r="J106" s="12" t="str">
        <f ca="1">IF(OFFSET(Y106,0,Lang_Order*Lang__A3)="","",OFFSET(Y106,0,Lang_Order*Lang__A3))</f>
        <v>Leave blank to use default prices. e.g., E004/036 | https://supply.unicef.org/s0002363.html</v>
      </c>
      <c r="K106" s="587"/>
      <c r="L106" s="2">
        <v>27</v>
      </c>
      <c r="M106" s="313">
        <f ca="1">_xlfn.NUMBERVALUE(OFFSET(_Offset_Index_VaccineSupplyPrices,2,L106))</f>
        <v>83.19</v>
      </c>
      <c r="N106" s="86"/>
      <c r="O106" s="403"/>
      <c r="P106" s="403"/>
      <c r="Q106" s="403"/>
      <c r="R106" s="403"/>
      <c r="S106" s="403"/>
      <c r="T106" s="403"/>
      <c r="U106" s="403"/>
      <c r="V106" s="403"/>
      <c r="W106" s="403"/>
      <c r="X106" s="403"/>
      <c r="Y106" s="403" t="s">
        <v>3843</v>
      </c>
      <c r="Z106" s="403"/>
      <c r="AA106" s="403"/>
      <c r="AB106" s="403"/>
      <c r="AC106" s="403"/>
      <c r="AD106" s="403"/>
      <c r="AE106" s="403"/>
      <c r="AF106" s="403"/>
      <c r="AG106" s="403"/>
      <c r="AH106" s="403"/>
      <c r="AI106" s="403"/>
      <c r="AJ106" s="403" t="s">
        <v>8345</v>
      </c>
      <c r="AK106" s="403"/>
      <c r="AL106" s="403"/>
      <c r="AM106" s="403"/>
      <c r="AN106" s="403"/>
      <c r="AO106" s="403"/>
      <c r="AP106" s="403"/>
      <c r="AQ106" s="403"/>
      <c r="AR106" s="403"/>
      <c r="AS106" s="403"/>
      <c r="AT106" s="403"/>
      <c r="AU106" s="403" t="s">
        <v>8346</v>
      </c>
      <c r="AV106" s="403"/>
      <c r="AW106" s="403"/>
      <c r="AX106" s="403"/>
      <c r="AY106" s="403"/>
      <c r="AZ106" s="403"/>
      <c r="BA106" s="403"/>
      <c r="BB106" s="403"/>
      <c r="BC106" s="403"/>
      <c r="BD106" s="403"/>
      <c r="BE106" s="403"/>
      <c r="BF106" s="403" t="s">
        <v>8347</v>
      </c>
      <c r="BG106" s="403"/>
      <c r="BH106" s="403"/>
      <c r="BI106" s="403"/>
      <c r="BJ106" s="403"/>
      <c r="BK106" s="403"/>
      <c r="BL106" s="403"/>
      <c r="BM106" s="403"/>
      <c r="BN106" s="403"/>
      <c r="BO106" s="403"/>
      <c r="BP106" s="403"/>
      <c r="BQ106" s="403" t="s">
        <v>8348</v>
      </c>
      <c r="BR106" s="403"/>
      <c r="BS106" s="403"/>
      <c r="BT106" s="403"/>
      <c r="BU106" s="403"/>
      <c r="BV106" s="403"/>
      <c r="BW106" s="403"/>
      <c r="BX106" s="403"/>
      <c r="BY106" s="403"/>
      <c r="BZ106" s="403"/>
      <c r="CA106" s="403"/>
      <c r="CB106" s="403" t="s">
        <v>8349</v>
      </c>
      <c r="CC106" s="650"/>
      <c r="CD106" s="403"/>
      <c r="CE106" s="403"/>
      <c r="CF106" s="403"/>
      <c r="CG106" s="403"/>
      <c r="CH106" s="403"/>
      <c r="CI106" s="403"/>
      <c r="CJ106" s="403"/>
      <c r="CK106" s="403"/>
      <c r="CL106" s="403"/>
      <c r="CM106" s="403" t="s">
        <v>8350</v>
      </c>
      <c r="CN106" s="564"/>
    </row>
    <row r="107" spans="1:92" s="281" customFormat="1" x14ac:dyDescent="0.2">
      <c r="A107" s="350">
        <v>2</v>
      </c>
      <c r="B107" s="569"/>
      <c r="C107" s="5" t="str">
        <f ca="1">OFFSET(_Offset_Index_VaccineSupplyPrices,1,L107)</f>
        <v>Vaccine carrier (1.5L)</v>
      </c>
      <c r="D107" s="36" t="s">
        <v>2672</v>
      </c>
      <c r="E107" s="494"/>
      <c r="F107" s="39"/>
      <c r="G107" s="4" t="str">
        <f t="shared" ca="1" si="34"/>
        <v>OK</v>
      </c>
      <c r="I107" s="11">
        <f t="shared" ca="1" si="35"/>
        <v>49</v>
      </c>
      <c r="J107" s="12" t="str">
        <f ca="1">IF(OFFSET(Y107,0,Lang_Order*Lang__A3)="","",OFFSET(Y107,0,Lang_Order*Lang__A3))</f>
        <v>Leave blank to use default prices. e.g. PQS E004/050 | https://supply.unicef.org/s0002475.html</v>
      </c>
      <c r="K107" s="587"/>
      <c r="L107" s="2">
        <v>28</v>
      </c>
      <c r="M107" s="313">
        <f ca="1">_xlfn.NUMBERVALUE(OFFSET(_Offset_Index_VaccineSupplyPrices,2,L107))</f>
        <v>49</v>
      </c>
      <c r="O107" s="403"/>
      <c r="P107" s="403"/>
      <c r="Q107" s="403"/>
      <c r="R107" s="403"/>
      <c r="S107" s="403"/>
      <c r="T107" s="403"/>
      <c r="U107" s="403"/>
      <c r="V107" s="403"/>
      <c r="W107" s="403"/>
      <c r="X107" s="403"/>
      <c r="Y107" s="403" t="s">
        <v>3844</v>
      </c>
      <c r="Z107" s="403"/>
      <c r="AA107" s="403"/>
      <c r="AB107" s="403"/>
      <c r="AC107" s="403"/>
      <c r="AD107" s="403"/>
      <c r="AE107" s="403"/>
      <c r="AF107" s="403"/>
      <c r="AG107" s="403"/>
      <c r="AH107" s="403"/>
      <c r="AI107" s="403"/>
      <c r="AJ107" s="403" t="s">
        <v>8351</v>
      </c>
      <c r="AK107" s="403"/>
      <c r="AL107" s="403"/>
      <c r="AM107" s="403"/>
      <c r="AN107" s="403"/>
      <c r="AO107" s="403"/>
      <c r="AP107" s="403"/>
      <c r="AQ107" s="403"/>
      <c r="AR107" s="403"/>
      <c r="AS107" s="403"/>
      <c r="AT107" s="403"/>
      <c r="AU107" s="403" t="s">
        <v>8352</v>
      </c>
      <c r="AV107" s="403"/>
      <c r="AW107" s="403"/>
      <c r="AX107" s="403"/>
      <c r="AY107" s="403"/>
      <c r="AZ107" s="403"/>
      <c r="BA107" s="403"/>
      <c r="BB107" s="403"/>
      <c r="BC107" s="403"/>
      <c r="BD107" s="403"/>
      <c r="BE107" s="403"/>
      <c r="BF107" s="403" t="s">
        <v>8353</v>
      </c>
      <c r="BG107" s="403"/>
      <c r="BH107" s="403"/>
      <c r="BI107" s="403"/>
      <c r="BJ107" s="403"/>
      <c r="BK107" s="403"/>
      <c r="BL107" s="403"/>
      <c r="BM107" s="403"/>
      <c r="BN107" s="403"/>
      <c r="BO107" s="403"/>
      <c r="BP107" s="403"/>
      <c r="BQ107" s="403" t="s">
        <v>8354</v>
      </c>
      <c r="BR107" s="403"/>
      <c r="BS107" s="403"/>
      <c r="BT107" s="403"/>
      <c r="BU107" s="403"/>
      <c r="BV107" s="403"/>
      <c r="BW107" s="403"/>
      <c r="BX107" s="403"/>
      <c r="BY107" s="403"/>
      <c r="BZ107" s="403"/>
      <c r="CA107" s="403"/>
      <c r="CB107" s="403" t="s">
        <v>8355</v>
      </c>
      <c r="CC107" s="650"/>
      <c r="CD107" s="403"/>
      <c r="CE107" s="403"/>
      <c r="CF107" s="403"/>
      <c r="CG107" s="403"/>
      <c r="CH107" s="403"/>
      <c r="CI107" s="403"/>
      <c r="CJ107" s="403"/>
      <c r="CK107" s="403"/>
      <c r="CL107" s="403"/>
      <c r="CM107" s="403" t="s">
        <v>8356</v>
      </c>
      <c r="CN107" s="564"/>
    </row>
    <row r="108" spans="1:92" s="281" customFormat="1" x14ac:dyDescent="0.2">
      <c r="A108" s="350">
        <v>2</v>
      </c>
      <c r="B108" s="569"/>
      <c r="C108" s="5" t="str">
        <f ca="1">OFFSET(_Offset_Index_VaccineSupplyPrices,1,L108)</f>
        <v>Icepacks</v>
      </c>
      <c r="D108" s="36" t="s">
        <v>2672</v>
      </c>
      <c r="E108" s="494"/>
      <c r="F108" s="39"/>
      <c r="G108" s="4" t="str">
        <f t="shared" ca="1" si="34"/>
        <v>OK</v>
      </c>
      <c r="I108" s="11">
        <f t="shared" ca="1" si="35"/>
        <v>0.49</v>
      </c>
      <c r="J108" s="12" t="str">
        <f ca="1">IF(OFFSET(Y108,0,Lang_Order*Lang__A3)="","",OFFSET(Y108,0,Lang_Order*Lang__A3))</f>
        <v>Leave blank to use default prices. e.g., https://supply.unicef.org/s0002221.html</v>
      </c>
      <c r="K108" s="587"/>
      <c r="L108" s="2">
        <v>29</v>
      </c>
      <c r="M108" s="313">
        <f ca="1">_xlfn.NUMBERVALUE(OFFSET(_Offset_Index_VaccineSupplyPrices,2,L108))</f>
        <v>0.49</v>
      </c>
      <c r="O108" s="403"/>
      <c r="P108" s="403"/>
      <c r="Q108" s="403"/>
      <c r="R108" s="403"/>
      <c r="S108" s="403"/>
      <c r="T108" s="403"/>
      <c r="U108" s="403"/>
      <c r="V108" s="403"/>
      <c r="W108" s="403"/>
      <c r="X108" s="403"/>
      <c r="Y108" s="403" t="s">
        <v>3845</v>
      </c>
      <c r="Z108" s="403"/>
      <c r="AA108" s="403"/>
      <c r="AB108" s="403"/>
      <c r="AC108" s="403"/>
      <c r="AD108" s="403"/>
      <c r="AE108" s="403"/>
      <c r="AF108" s="403"/>
      <c r="AG108" s="403"/>
      <c r="AH108" s="403"/>
      <c r="AI108" s="403"/>
      <c r="AJ108" s="403" t="s">
        <v>8357</v>
      </c>
      <c r="AK108" s="403"/>
      <c r="AL108" s="403"/>
      <c r="AM108" s="403"/>
      <c r="AN108" s="403"/>
      <c r="AO108" s="403"/>
      <c r="AP108" s="403"/>
      <c r="AQ108" s="403"/>
      <c r="AR108" s="403"/>
      <c r="AS108" s="403"/>
      <c r="AT108" s="403"/>
      <c r="AU108" s="403" t="s">
        <v>8358</v>
      </c>
      <c r="AV108" s="403"/>
      <c r="AW108" s="403"/>
      <c r="AX108" s="403"/>
      <c r="AY108" s="403"/>
      <c r="AZ108" s="403"/>
      <c r="BA108" s="403"/>
      <c r="BB108" s="403"/>
      <c r="BC108" s="403"/>
      <c r="BD108" s="403"/>
      <c r="BE108" s="403"/>
      <c r="BF108" s="403" t="s">
        <v>8359</v>
      </c>
      <c r="BG108" s="403"/>
      <c r="BH108" s="403"/>
      <c r="BI108" s="403"/>
      <c r="BJ108" s="403"/>
      <c r="BK108" s="403"/>
      <c r="BL108" s="403"/>
      <c r="BM108" s="403"/>
      <c r="BN108" s="403"/>
      <c r="BO108" s="403"/>
      <c r="BP108" s="403"/>
      <c r="BQ108" s="403" t="s">
        <v>8360</v>
      </c>
      <c r="BR108" s="403"/>
      <c r="BS108" s="403"/>
      <c r="BT108" s="403"/>
      <c r="BU108" s="403"/>
      <c r="BV108" s="403"/>
      <c r="BW108" s="403"/>
      <c r="BX108" s="403"/>
      <c r="BY108" s="403"/>
      <c r="BZ108" s="403"/>
      <c r="CA108" s="403"/>
      <c r="CB108" s="403" t="s">
        <v>8361</v>
      </c>
      <c r="CC108" s="650"/>
      <c r="CD108" s="403"/>
      <c r="CE108" s="403"/>
      <c r="CF108" s="403"/>
      <c r="CG108" s="403"/>
      <c r="CH108" s="403"/>
      <c r="CI108" s="403"/>
      <c r="CJ108" s="403"/>
      <c r="CK108" s="403"/>
      <c r="CL108" s="403"/>
      <c r="CM108" s="403" t="s">
        <v>8362</v>
      </c>
      <c r="CN108" s="564"/>
    </row>
    <row r="109" spans="1:92" s="15" customFormat="1" x14ac:dyDescent="0.2">
      <c r="B109" s="569"/>
      <c r="C109" s="23"/>
      <c r="D109" s="5"/>
      <c r="F109" s="14"/>
      <c r="G109" s="194"/>
      <c r="H109" s="194"/>
      <c r="I109" s="14"/>
      <c r="J109" s="150"/>
      <c r="L109" s="241"/>
      <c r="M109" s="277"/>
      <c r="O109" s="403"/>
      <c r="P109" s="403"/>
      <c r="Q109" s="403"/>
      <c r="R109" s="403"/>
      <c r="S109" s="403"/>
      <c r="T109" s="403"/>
      <c r="U109" s="403"/>
      <c r="V109" s="403"/>
      <c r="W109" s="403"/>
      <c r="X109" s="403"/>
      <c r="Y109" s="403"/>
      <c r="Z109" s="403"/>
      <c r="AA109" s="403"/>
      <c r="AB109" s="403"/>
      <c r="AC109" s="403"/>
      <c r="AD109" s="403"/>
      <c r="AE109" s="403"/>
      <c r="AF109" s="403"/>
      <c r="AG109" s="403"/>
      <c r="AH109" s="403"/>
      <c r="AI109" s="403"/>
      <c r="AJ109" s="403"/>
      <c r="AK109" s="403"/>
      <c r="AL109" s="403"/>
      <c r="AM109" s="403"/>
      <c r="AN109" s="403"/>
      <c r="AO109" s="403"/>
      <c r="AP109" s="403"/>
      <c r="AQ109" s="403"/>
      <c r="AR109" s="403"/>
      <c r="AS109" s="403"/>
      <c r="AT109" s="403"/>
      <c r="AU109" s="403"/>
      <c r="AV109" s="403"/>
      <c r="AW109" s="403"/>
      <c r="AX109" s="403"/>
      <c r="AY109" s="403"/>
      <c r="AZ109" s="403"/>
      <c r="BA109" s="403"/>
      <c r="BB109" s="403"/>
      <c r="BC109" s="403"/>
      <c r="BD109" s="403"/>
      <c r="BE109" s="403"/>
      <c r="BF109" s="403"/>
      <c r="BG109" s="403"/>
      <c r="BH109" s="403"/>
      <c r="BI109" s="403"/>
      <c r="BJ109" s="403"/>
      <c r="BK109" s="403"/>
      <c r="BL109" s="403"/>
      <c r="BM109" s="403"/>
      <c r="BN109" s="403"/>
      <c r="BO109" s="403"/>
      <c r="BP109" s="403"/>
      <c r="BQ109" s="403"/>
      <c r="BR109" s="403"/>
      <c r="BS109" s="403"/>
      <c r="BT109" s="403"/>
      <c r="BU109" s="403"/>
      <c r="BV109" s="403"/>
      <c r="BW109" s="403"/>
      <c r="BX109" s="403"/>
      <c r="BY109" s="403"/>
      <c r="BZ109" s="403"/>
      <c r="CA109" s="403"/>
      <c r="CB109" s="403"/>
      <c r="CC109" s="650"/>
      <c r="CD109" s="403"/>
      <c r="CE109" s="403"/>
      <c r="CF109" s="403"/>
      <c r="CG109" s="403"/>
      <c r="CH109" s="403"/>
      <c r="CI109" s="403"/>
      <c r="CJ109" s="403"/>
      <c r="CK109" s="403"/>
      <c r="CL109" s="403"/>
      <c r="CM109" s="403"/>
      <c r="CN109" s="564"/>
    </row>
    <row r="110" spans="1:92" s="299" customFormat="1" x14ac:dyDescent="0.2">
      <c r="A110" s="508"/>
      <c r="B110" s="92" t="str">
        <f ca="1">IF(OFFSET(Q110,0,Lang_Order*Lang__A3)="","",OFFSET(Q110,0,Lang_Order*Lang__A3))</f>
        <v>From Central to Regional - calculated based on PER TRIP basis PLUS PER LITER basis</v>
      </c>
      <c r="C110" s="23"/>
      <c r="D110" s="5"/>
      <c r="F110" s="243"/>
      <c r="I110" s="243"/>
      <c r="J110" s="12" t="str">
        <f ca="1">IF(OFFSET(Y110,0,Lang_Order*Lang__A3)="","",OFFSET(Y110,0,Lang_Order*Lang__A3))</f>
        <v>Operational expenditures (e.g. rental temperature controlled vehicles, cold chain logistics charges)</v>
      </c>
      <c r="M110" s="277"/>
      <c r="O110" s="403"/>
      <c r="P110" s="403"/>
      <c r="Q110" s="403" t="s">
        <v>14130</v>
      </c>
      <c r="R110" s="403"/>
      <c r="S110" s="403"/>
      <c r="T110" s="403"/>
      <c r="U110" s="403"/>
      <c r="V110" s="403"/>
      <c r="W110" s="403"/>
      <c r="X110" s="403"/>
      <c r="Y110" s="403" t="s">
        <v>4439</v>
      </c>
      <c r="Z110" s="403"/>
      <c r="AA110" s="403"/>
      <c r="AB110" s="403" t="s">
        <v>8363</v>
      </c>
      <c r="AC110" s="403"/>
      <c r="AD110" s="403"/>
      <c r="AE110" s="403"/>
      <c r="AF110" s="403"/>
      <c r="AG110" s="403"/>
      <c r="AH110" s="403"/>
      <c r="AI110" s="403"/>
      <c r="AJ110" s="403" t="s">
        <v>13764</v>
      </c>
      <c r="AK110" s="403"/>
      <c r="AL110" s="403"/>
      <c r="AM110" s="403" t="s">
        <v>14132</v>
      </c>
      <c r="AN110" s="403"/>
      <c r="AO110" s="403"/>
      <c r="AP110" s="403"/>
      <c r="AQ110" s="403"/>
      <c r="AR110" s="403"/>
      <c r="AS110" s="403"/>
      <c r="AT110" s="403"/>
      <c r="AU110" s="403" t="s">
        <v>13765</v>
      </c>
      <c r="AV110" s="403"/>
      <c r="AW110" s="403"/>
      <c r="AX110" s="403" t="s">
        <v>14135</v>
      </c>
      <c r="AY110" s="403"/>
      <c r="AZ110" s="403"/>
      <c r="BA110" s="403"/>
      <c r="BB110" s="403"/>
      <c r="BC110" s="403"/>
      <c r="BD110" s="403"/>
      <c r="BE110" s="403"/>
      <c r="BF110" s="403" t="s">
        <v>13766</v>
      </c>
      <c r="BG110" s="403"/>
      <c r="BH110" s="403"/>
      <c r="BI110" s="403" t="s">
        <v>14136</v>
      </c>
      <c r="BJ110" s="403"/>
      <c r="BK110" s="403"/>
      <c r="BL110" s="403"/>
      <c r="BM110" s="403"/>
      <c r="BN110" s="403"/>
      <c r="BO110" s="403"/>
      <c r="BP110" s="403"/>
      <c r="BQ110" s="403" t="s">
        <v>13767</v>
      </c>
      <c r="BR110" s="403"/>
      <c r="BS110" s="403"/>
      <c r="BT110" s="403" t="s">
        <v>14138</v>
      </c>
      <c r="BU110" s="403"/>
      <c r="BV110" s="403"/>
      <c r="BW110" s="403"/>
      <c r="BX110" s="403"/>
      <c r="BY110" s="403"/>
      <c r="BZ110" s="403"/>
      <c r="CA110" s="403"/>
      <c r="CB110" s="403" t="s">
        <v>13768</v>
      </c>
      <c r="CC110" s="650"/>
      <c r="CD110" s="403"/>
      <c r="CE110" s="403" t="s">
        <v>8364</v>
      </c>
      <c r="CF110" s="403"/>
      <c r="CG110" s="403"/>
      <c r="CH110" s="403"/>
      <c r="CI110" s="403"/>
      <c r="CJ110" s="403"/>
      <c r="CK110" s="403"/>
      <c r="CL110" s="403"/>
      <c r="CM110" s="403" t="s">
        <v>13769</v>
      </c>
      <c r="CN110" s="564"/>
    </row>
    <row r="111" spans="1:92" ht="14.25" customHeight="1" x14ac:dyDescent="0.2">
      <c r="A111" s="299"/>
      <c r="C111" s="223" t="str">
        <f ca="1">IF(OFFSET(R111,0,Lang_Order*Lang__A3)="","",OFFSET(R111,0,Lang_Order*Lang__A3))</f>
        <v>a. Cold-chain logistics and domestic transport, PER TRIP</v>
      </c>
      <c r="E111" s="15"/>
      <c r="F111" s="14"/>
      <c r="G111" s="15"/>
      <c r="J111" s="12" t="str">
        <f ca="1">IF(OFFSET(Y111,0,Lang_Order*Lang__A3)="","",OFFSET(Y111,0,Lang_Order*Lang__A3))</f>
        <v>If multiple modes of transport - use a weighted average</v>
      </c>
      <c r="R111" s="403" t="s">
        <v>3726</v>
      </c>
      <c r="Y111" s="403" t="s">
        <v>3685</v>
      </c>
      <c r="AC111" s="403" t="s">
        <v>8365</v>
      </c>
      <c r="AJ111" s="403" t="s">
        <v>8277</v>
      </c>
      <c r="AN111" s="403" t="s">
        <v>8366</v>
      </c>
      <c r="AU111" s="403" t="s">
        <v>8279</v>
      </c>
      <c r="AY111" s="403" t="s">
        <v>8367</v>
      </c>
      <c r="BF111" s="403" t="s">
        <v>8281</v>
      </c>
      <c r="BJ111" s="403" t="s">
        <v>8368</v>
      </c>
      <c r="BQ111" s="403" t="s">
        <v>8303</v>
      </c>
      <c r="BU111" s="403" t="s">
        <v>8369</v>
      </c>
      <c r="CB111" s="403" t="s">
        <v>8305</v>
      </c>
      <c r="CF111" s="403" t="s">
        <v>8370</v>
      </c>
      <c r="CM111" s="403" t="s">
        <v>8287</v>
      </c>
    </row>
    <row r="112" spans="1:92" hidden="1" x14ac:dyDescent="0.2">
      <c r="A112" s="518"/>
      <c r="B112" s="582" t="s">
        <v>14109</v>
      </c>
      <c r="C112" s="5" t="str">
        <f ca="1">IF(OFFSET(R112,0,Lang_Order*Lang__A3)="","",OFFSET(R112,0,Lang_Order*Lang__A3))</f>
        <v>Room temperature</v>
      </c>
      <c r="D112" s="2" t="str">
        <f ca="1">IF(OFFSET(S112,0,Lang_Order*Lang__A3)="","",OFFSET(S112,0,Lang_Order*Lang__A3))</f>
        <v>per trip</v>
      </c>
      <c r="E112" s="153"/>
      <c r="F112" s="39">
        <v>0</v>
      </c>
      <c r="G112" s="4" t="str">
        <f>IF(AND(ISBLANK(E112),ISBLANK(F112)),"CHECK","OK")</f>
        <v>OK</v>
      </c>
      <c r="I112" s="11">
        <f>IF(ISBLANK(F112),E112/USD2LCU,F112)</f>
        <v>0</v>
      </c>
      <c r="J112" s="567"/>
      <c r="K112" s="587"/>
      <c r="R112" s="403" t="s">
        <v>10</v>
      </c>
      <c r="S112" s="403" t="s">
        <v>2817</v>
      </c>
      <c r="AC112" s="403" t="s">
        <v>8371</v>
      </c>
      <c r="AD112" s="403" t="s">
        <v>8372</v>
      </c>
      <c r="AN112" s="403" t="s">
        <v>8373</v>
      </c>
      <c r="AO112" s="403" t="s">
        <v>8374</v>
      </c>
      <c r="AY112" s="403" t="s">
        <v>8375</v>
      </c>
      <c r="AZ112" s="403" t="s">
        <v>8376</v>
      </c>
      <c r="BJ112" s="403" t="s">
        <v>8375</v>
      </c>
      <c r="BK112" s="403" t="s">
        <v>8377</v>
      </c>
      <c r="BU112" s="403" t="s">
        <v>8378</v>
      </c>
      <c r="BV112" s="403" t="s">
        <v>2642</v>
      </c>
      <c r="CF112" s="403" t="s">
        <v>8379</v>
      </c>
      <c r="CG112" s="403" t="s">
        <v>8380</v>
      </c>
    </row>
    <row r="113" spans="1:92" x14ac:dyDescent="0.2">
      <c r="A113" s="354">
        <v>1</v>
      </c>
      <c r="B113" s="569"/>
      <c r="C113" s="5" t="str">
        <f ca="1">IF(OFFSET(R113,0,Lang_Order*Lang__A3)="","",OFFSET(R113,0,Lang_Order*Lang__A3))</f>
        <v>Refrigerated (2 to 8C)</v>
      </c>
      <c r="D113" s="2" t="str">
        <f ca="1">IF(OFFSET(S113,0,Lang_Order*Lang__A3)="","",OFFSET(S113,0,Lang_Order*Lang__A3))</f>
        <v>per trip</v>
      </c>
      <c r="E113" s="495"/>
      <c r="F113" s="39"/>
      <c r="G113" s="4" t="str">
        <f t="shared" ref="G113:G115" si="36">IF(AND(ISBLANK(E113),ISBLANK(F113)),"CHECK","OK")</f>
        <v>CHECK</v>
      </c>
      <c r="I113" s="11" t="e">
        <f>IF(ISBLANK(F113),E113/USD2LCU,F113)</f>
        <v>#N/A</v>
      </c>
      <c r="J113" s="567"/>
      <c r="K113" s="587"/>
      <c r="R113" s="403" t="s">
        <v>11</v>
      </c>
      <c r="S113" s="403" t="s">
        <v>2817</v>
      </c>
      <c r="AC113" s="403" t="s">
        <v>8381</v>
      </c>
      <c r="AD113" s="403" t="s">
        <v>8372</v>
      </c>
      <c r="AN113" s="403" t="s">
        <v>8382</v>
      </c>
      <c r="AO113" s="403" t="s">
        <v>8374</v>
      </c>
      <c r="AY113" s="403" t="s">
        <v>8383</v>
      </c>
      <c r="AZ113" s="403" t="s">
        <v>8376</v>
      </c>
      <c r="BJ113" s="403" t="s">
        <v>8384</v>
      </c>
      <c r="BK113" s="403" t="s">
        <v>8377</v>
      </c>
      <c r="BU113" s="403" t="s">
        <v>8385</v>
      </c>
      <c r="BV113" s="403" t="s">
        <v>8386</v>
      </c>
      <c r="CF113" s="403" t="s">
        <v>8387</v>
      </c>
      <c r="CG113" s="403" t="s">
        <v>8380</v>
      </c>
    </row>
    <row r="114" spans="1:92" s="15" customFormat="1" x14ac:dyDescent="0.2">
      <c r="A114" s="354">
        <v>1</v>
      </c>
      <c r="B114" s="569"/>
      <c r="C114" s="5" t="str">
        <f ca="1">IF(OFFSET(R114,0,Lang_Order*Lang__A3)="","",OFFSET(R114,0,Lang_Order*Lang__A3))</f>
        <v>Frozen (-20C)</v>
      </c>
      <c r="D114" s="2" t="str">
        <f ca="1">IF(OFFSET(S114,0,Lang_Order*Lang__A3)="","",OFFSET(S114,0,Lang_Order*Lang__A3))</f>
        <v>per trip</v>
      </c>
      <c r="E114" s="495"/>
      <c r="F114" s="39"/>
      <c r="G114" s="4" t="str">
        <f t="shared" si="36"/>
        <v>CHECK</v>
      </c>
      <c r="H114" s="194"/>
      <c r="I114" s="11" t="e">
        <f>IF(ISBLANK(F114),E114/USD2LCU,F114)</f>
        <v>#N/A</v>
      </c>
      <c r="J114" s="567"/>
      <c r="K114" s="587"/>
      <c r="L114" s="241"/>
      <c r="M114" s="277"/>
      <c r="O114" s="403"/>
      <c r="P114" s="403"/>
      <c r="Q114" s="403"/>
      <c r="R114" s="403" t="s">
        <v>12</v>
      </c>
      <c r="S114" s="403" t="s">
        <v>2817</v>
      </c>
      <c r="T114" s="403"/>
      <c r="U114" s="403"/>
      <c r="V114" s="403"/>
      <c r="W114" s="403"/>
      <c r="X114" s="403"/>
      <c r="Y114" s="403"/>
      <c r="Z114" s="403"/>
      <c r="AA114" s="403"/>
      <c r="AB114" s="403"/>
      <c r="AC114" s="403" t="s">
        <v>8388</v>
      </c>
      <c r="AD114" s="403" t="s">
        <v>8372</v>
      </c>
      <c r="AE114" s="403"/>
      <c r="AF114" s="403"/>
      <c r="AG114" s="403"/>
      <c r="AH114" s="403"/>
      <c r="AI114" s="403"/>
      <c r="AJ114" s="403"/>
      <c r="AK114" s="403"/>
      <c r="AL114" s="403"/>
      <c r="AM114" s="403"/>
      <c r="AN114" s="403" t="s">
        <v>8389</v>
      </c>
      <c r="AO114" s="403" t="s">
        <v>8374</v>
      </c>
      <c r="AP114" s="403"/>
      <c r="AQ114" s="403"/>
      <c r="AR114" s="403"/>
      <c r="AS114" s="403"/>
      <c r="AT114" s="403"/>
      <c r="AU114" s="403"/>
      <c r="AV114" s="403"/>
      <c r="AW114" s="403"/>
      <c r="AX114" s="403"/>
      <c r="AY114" s="403" t="s">
        <v>8390</v>
      </c>
      <c r="AZ114" s="403" t="s">
        <v>8376</v>
      </c>
      <c r="BA114" s="403"/>
      <c r="BB114" s="403"/>
      <c r="BC114" s="403"/>
      <c r="BD114" s="403"/>
      <c r="BE114" s="403"/>
      <c r="BF114" s="403"/>
      <c r="BG114" s="403"/>
      <c r="BH114" s="403"/>
      <c r="BI114" s="403"/>
      <c r="BJ114" s="403" t="s">
        <v>8391</v>
      </c>
      <c r="BK114" s="403" t="s">
        <v>8377</v>
      </c>
      <c r="BL114" s="403"/>
      <c r="BM114" s="403"/>
      <c r="BN114" s="403"/>
      <c r="BO114" s="403"/>
      <c r="BP114" s="403"/>
      <c r="BQ114" s="403"/>
      <c r="BR114" s="403"/>
      <c r="BS114" s="403"/>
      <c r="BT114" s="403"/>
      <c r="BU114" s="403" t="s">
        <v>8392</v>
      </c>
      <c r="BV114" s="403" t="s">
        <v>8386</v>
      </c>
      <c r="BW114" s="403"/>
      <c r="BX114" s="403"/>
      <c r="BY114" s="403"/>
      <c r="BZ114" s="403"/>
      <c r="CA114" s="403"/>
      <c r="CB114" s="403"/>
      <c r="CC114" s="650"/>
      <c r="CD114" s="403"/>
      <c r="CE114" s="403"/>
      <c r="CF114" s="403" t="s">
        <v>8393</v>
      </c>
      <c r="CG114" s="403" t="s">
        <v>8380</v>
      </c>
      <c r="CH114" s="403"/>
      <c r="CI114" s="403"/>
      <c r="CJ114" s="403"/>
      <c r="CK114" s="403"/>
      <c r="CL114" s="403"/>
      <c r="CM114" s="403"/>
      <c r="CN114" s="564"/>
    </row>
    <row r="115" spans="1:92" s="15" customFormat="1" x14ac:dyDescent="0.2">
      <c r="A115" s="354">
        <v>1</v>
      </c>
      <c r="B115" s="569"/>
      <c r="C115" s="5" t="str">
        <f ca="1">IF(OFFSET(R115,0,Lang_Order*Lang__A3)="","",OFFSET(R115,0,Lang_Order*Lang__A3))</f>
        <v>Ultra-cold (-60 to -80C)</v>
      </c>
      <c r="D115" s="2" t="str">
        <f ca="1">IF(OFFSET(S115,0,Lang_Order*Lang__A3)="","",OFFSET(S115,0,Lang_Order*Lang__A3))</f>
        <v>per trip</v>
      </c>
      <c r="E115" s="496"/>
      <c r="F115" s="39"/>
      <c r="G115" s="4" t="str">
        <f t="shared" si="36"/>
        <v>CHECK</v>
      </c>
      <c r="H115" s="194"/>
      <c r="I115" s="11" t="e">
        <f>IF(ISBLANK(F115),E115/USD2LCU,F115)</f>
        <v>#N/A</v>
      </c>
      <c r="J115" s="567"/>
      <c r="K115" s="587"/>
      <c r="L115" s="241"/>
      <c r="M115" s="277"/>
      <c r="O115" s="403"/>
      <c r="P115" s="403"/>
      <c r="Q115" s="403"/>
      <c r="R115" s="403" t="s">
        <v>13</v>
      </c>
      <c r="S115" s="403" t="s">
        <v>2817</v>
      </c>
      <c r="T115" s="403"/>
      <c r="U115" s="403"/>
      <c r="V115" s="403"/>
      <c r="W115" s="403"/>
      <c r="X115" s="403"/>
      <c r="Y115" s="403" t="s">
        <v>2909</v>
      </c>
      <c r="Z115" s="403"/>
      <c r="AA115" s="403"/>
      <c r="AB115" s="403"/>
      <c r="AC115" s="403" t="s">
        <v>8394</v>
      </c>
      <c r="AD115" s="403" t="s">
        <v>8372</v>
      </c>
      <c r="AE115" s="403"/>
      <c r="AF115" s="403"/>
      <c r="AG115" s="403"/>
      <c r="AH115" s="403"/>
      <c r="AI115" s="403"/>
      <c r="AJ115" s="403" t="s">
        <v>8395</v>
      </c>
      <c r="AK115" s="403"/>
      <c r="AL115" s="403"/>
      <c r="AM115" s="403"/>
      <c r="AN115" s="403" t="s">
        <v>8396</v>
      </c>
      <c r="AO115" s="403" t="s">
        <v>8374</v>
      </c>
      <c r="AP115" s="403"/>
      <c r="AQ115" s="403"/>
      <c r="AR115" s="403"/>
      <c r="AS115" s="403"/>
      <c r="AT115" s="403"/>
      <c r="AU115" s="403" t="s">
        <v>8397</v>
      </c>
      <c r="AV115" s="403"/>
      <c r="AW115" s="403"/>
      <c r="AX115" s="403"/>
      <c r="AY115" s="403" t="s">
        <v>8398</v>
      </c>
      <c r="AZ115" s="403" t="s">
        <v>8376</v>
      </c>
      <c r="BA115" s="403"/>
      <c r="BB115" s="403"/>
      <c r="BC115" s="403"/>
      <c r="BD115" s="403"/>
      <c r="BE115" s="403"/>
      <c r="BF115" s="403" t="s">
        <v>8399</v>
      </c>
      <c r="BG115" s="403"/>
      <c r="BH115" s="403"/>
      <c r="BI115" s="403"/>
      <c r="BJ115" s="403" t="s">
        <v>8400</v>
      </c>
      <c r="BK115" s="403" t="s">
        <v>8377</v>
      </c>
      <c r="BL115" s="403"/>
      <c r="BM115" s="403"/>
      <c r="BN115" s="403"/>
      <c r="BO115" s="403"/>
      <c r="BP115" s="403"/>
      <c r="BQ115" s="403" t="s">
        <v>8401</v>
      </c>
      <c r="BR115" s="403"/>
      <c r="BS115" s="403"/>
      <c r="BT115" s="403"/>
      <c r="BU115" s="403" t="s">
        <v>8402</v>
      </c>
      <c r="BV115" s="403" t="s">
        <v>8386</v>
      </c>
      <c r="BW115" s="403"/>
      <c r="BX115" s="403"/>
      <c r="BY115" s="403"/>
      <c r="BZ115" s="403"/>
      <c r="CA115" s="403"/>
      <c r="CB115" s="403" t="s">
        <v>8403</v>
      </c>
      <c r="CC115" s="650"/>
      <c r="CD115" s="403"/>
      <c r="CE115" s="403"/>
      <c r="CF115" s="403" t="s">
        <v>8404</v>
      </c>
      <c r="CG115" s="403" t="s">
        <v>8380</v>
      </c>
      <c r="CH115" s="403"/>
      <c r="CI115" s="403"/>
      <c r="CJ115" s="403"/>
      <c r="CK115" s="403"/>
      <c r="CL115" s="403"/>
      <c r="CM115" s="403" t="s">
        <v>8405</v>
      </c>
      <c r="CN115" s="564"/>
    </row>
    <row r="116" spans="1:92" s="15" customFormat="1" x14ac:dyDescent="0.2">
      <c r="A116" s="299"/>
      <c r="B116" s="569"/>
      <c r="C116" s="23"/>
      <c r="E116" s="23"/>
      <c r="F116" s="240"/>
      <c r="H116" s="194"/>
      <c r="I116" s="14"/>
      <c r="L116" s="241"/>
      <c r="M116" s="277"/>
      <c r="O116" s="403"/>
      <c r="P116" s="403"/>
      <c r="Q116" s="403"/>
      <c r="R116" s="403"/>
      <c r="S116" s="403"/>
      <c r="T116" s="403"/>
      <c r="U116" s="403"/>
      <c r="V116" s="403"/>
      <c r="W116" s="403"/>
      <c r="X116" s="403"/>
      <c r="Y116" s="403"/>
      <c r="Z116" s="403"/>
      <c r="AA116" s="403"/>
      <c r="AB116" s="403"/>
      <c r="AC116" s="403"/>
      <c r="AD116" s="403"/>
      <c r="AE116" s="403"/>
      <c r="AF116" s="403"/>
      <c r="AG116" s="403"/>
      <c r="AH116" s="403"/>
      <c r="AI116" s="403"/>
      <c r="AJ116" s="403"/>
      <c r="AK116" s="403"/>
      <c r="AL116" s="403"/>
      <c r="AM116" s="403"/>
      <c r="AN116" s="403"/>
      <c r="AO116" s="403"/>
      <c r="AP116" s="403"/>
      <c r="AQ116" s="403"/>
      <c r="AR116" s="403"/>
      <c r="AS116" s="403"/>
      <c r="AT116" s="403"/>
      <c r="AU116" s="403"/>
      <c r="AV116" s="403"/>
      <c r="AW116" s="403"/>
      <c r="AX116" s="403"/>
      <c r="AY116" s="403"/>
      <c r="AZ116" s="403"/>
      <c r="BA116" s="403"/>
      <c r="BB116" s="403"/>
      <c r="BC116" s="403"/>
      <c r="BD116" s="403"/>
      <c r="BE116" s="403"/>
      <c r="BF116" s="403"/>
      <c r="BG116" s="403"/>
      <c r="BH116" s="403"/>
      <c r="BI116" s="403"/>
      <c r="BJ116" s="403"/>
      <c r="BK116" s="403"/>
      <c r="BL116" s="403"/>
      <c r="BM116" s="403"/>
      <c r="BN116" s="403"/>
      <c r="BO116" s="403"/>
      <c r="BP116" s="403"/>
      <c r="BQ116" s="403"/>
      <c r="BR116" s="403"/>
      <c r="BS116" s="403"/>
      <c r="BT116" s="403"/>
      <c r="BU116" s="403"/>
      <c r="BV116" s="403"/>
      <c r="BW116" s="403"/>
      <c r="BX116" s="403"/>
      <c r="BY116" s="403"/>
      <c r="BZ116" s="403"/>
      <c r="CA116" s="403"/>
      <c r="CB116" s="403"/>
      <c r="CC116" s="650"/>
      <c r="CD116" s="403"/>
      <c r="CE116" s="403"/>
      <c r="CF116" s="403"/>
      <c r="CG116" s="403"/>
      <c r="CH116" s="403"/>
      <c r="CI116" s="403"/>
      <c r="CJ116" s="403"/>
      <c r="CK116" s="403"/>
      <c r="CL116" s="403"/>
      <c r="CM116" s="403"/>
      <c r="CN116" s="564"/>
    </row>
    <row r="117" spans="1:92" s="15" customFormat="1" x14ac:dyDescent="0.2">
      <c r="A117" s="299"/>
      <c r="B117" s="580"/>
      <c r="C117" s="223" t="str">
        <f ca="1">IF(OFFSET(R117,0,Lang_Order*Lang__A3)="","",OFFSET(R117,0,Lang_Order*Lang__A3))</f>
        <v>b. Cold-chain logistics and domestic transport, PER LITER (e.g., to cover additional cold storage requirements)</v>
      </c>
      <c r="F117" s="14"/>
      <c r="H117" s="194"/>
      <c r="I117" s="14"/>
      <c r="J117" s="12" t="str">
        <f ca="1">IF(OFFSET(Y117,0,Lang_Order*Lang__A3)="","",OFFSET(Y117,0,Lang_Order*Lang__A3))</f>
        <v>If multiple modes of transport - use a weighted average</v>
      </c>
      <c r="L117" s="241"/>
      <c r="M117" s="277"/>
      <c r="O117" s="403"/>
      <c r="P117" s="403"/>
      <c r="Q117" s="403"/>
      <c r="R117" s="403" t="s">
        <v>4533</v>
      </c>
      <c r="S117" s="403"/>
      <c r="T117" s="403"/>
      <c r="U117" s="403"/>
      <c r="V117" s="403"/>
      <c r="W117" s="403"/>
      <c r="X117" s="403"/>
      <c r="Y117" s="403" t="s">
        <v>3685</v>
      </c>
      <c r="Z117" s="403"/>
      <c r="AA117" s="403"/>
      <c r="AB117" s="403"/>
      <c r="AC117" s="403" t="s">
        <v>13770</v>
      </c>
      <c r="AD117" s="403"/>
      <c r="AE117" s="403"/>
      <c r="AF117" s="403"/>
      <c r="AG117" s="403"/>
      <c r="AH117" s="403"/>
      <c r="AI117" s="403"/>
      <c r="AJ117" s="403"/>
      <c r="AK117" s="403"/>
      <c r="AL117" s="403"/>
      <c r="AM117" s="403"/>
      <c r="AN117" s="403" t="s">
        <v>13771</v>
      </c>
      <c r="AO117" s="403"/>
      <c r="AP117" s="403"/>
      <c r="AQ117" s="403"/>
      <c r="AR117" s="403"/>
      <c r="AS117" s="403"/>
      <c r="AT117" s="403"/>
      <c r="AU117" s="403" t="s">
        <v>8279</v>
      </c>
      <c r="AV117" s="403"/>
      <c r="AW117" s="403"/>
      <c r="AX117" s="403"/>
      <c r="AY117" s="403" t="s">
        <v>13772</v>
      </c>
      <c r="AZ117" s="403"/>
      <c r="BA117" s="403"/>
      <c r="BB117" s="403"/>
      <c r="BC117" s="403"/>
      <c r="BD117" s="403"/>
      <c r="BE117" s="403"/>
      <c r="BF117" s="403" t="s">
        <v>8281</v>
      </c>
      <c r="BG117" s="403"/>
      <c r="BH117" s="403"/>
      <c r="BI117" s="403"/>
      <c r="BJ117" s="403" t="s">
        <v>13773</v>
      </c>
      <c r="BK117" s="403"/>
      <c r="BL117" s="403"/>
      <c r="BM117" s="403"/>
      <c r="BN117" s="403"/>
      <c r="BO117" s="403"/>
      <c r="BP117" s="403"/>
      <c r="BQ117" s="403" t="s">
        <v>8303</v>
      </c>
      <c r="BR117" s="403"/>
      <c r="BS117" s="403"/>
      <c r="BT117" s="403"/>
      <c r="BU117" s="403" t="s">
        <v>13774</v>
      </c>
      <c r="BV117" s="403"/>
      <c r="BW117" s="403"/>
      <c r="BX117" s="403"/>
      <c r="BY117" s="403"/>
      <c r="BZ117" s="403"/>
      <c r="CA117" s="403"/>
      <c r="CB117" s="403" t="s">
        <v>8305</v>
      </c>
      <c r="CC117" s="650"/>
      <c r="CD117" s="403"/>
      <c r="CE117" s="403"/>
      <c r="CF117" s="403" t="s">
        <v>13775</v>
      </c>
      <c r="CG117" s="403"/>
      <c r="CH117" s="403"/>
      <c r="CI117" s="403"/>
      <c r="CJ117" s="403"/>
      <c r="CK117" s="403"/>
      <c r="CL117" s="403"/>
      <c r="CM117" s="403" t="s">
        <v>8287</v>
      </c>
      <c r="CN117" s="564"/>
    </row>
    <row r="118" spans="1:92" s="15" customFormat="1" hidden="1" x14ac:dyDescent="0.2">
      <c r="A118" s="508"/>
      <c r="B118" s="582" t="s">
        <v>14109</v>
      </c>
      <c r="C118" s="23" t="str">
        <f ca="1">IF(OFFSET(R118,0,Lang_Order*Lang__A3)="","",OFFSET(R118,0,Lang_Order*Lang__A3))</f>
        <v>Room temperature</v>
      </c>
      <c r="D118" s="2" t="str">
        <f ca="1">IF(OFFSET(S118,0,Lang_Order*Lang__A3)="","",OFFSET(S118,0,Lang_Order*Lang__A3))</f>
        <v>per liter</v>
      </c>
      <c r="E118" s="154"/>
      <c r="F118" s="39">
        <v>0</v>
      </c>
      <c r="G118" s="4" t="str">
        <f t="shared" ref="G118:G121" si="37">IF(AND(ISBLANK(E118),ISBLANK(F118)),"CHECK","OK")</f>
        <v>OK</v>
      </c>
      <c r="H118" s="194"/>
      <c r="I118" s="11">
        <f>IF(ISBLANK(F118),E118/USD2LCU,F118)</f>
        <v>0</v>
      </c>
      <c r="J118" s="12" t="s">
        <v>4535</v>
      </c>
      <c r="K118" s="587"/>
      <c r="L118" s="241"/>
      <c r="M118" s="277"/>
      <c r="O118" s="403"/>
      <c r="P118" s="403"/>
      <c r="Q118" s="403"/>
      <c r="R118" s="403" t="s">
        <v>10</v>
      </c>
      <c r="S118" s="403" t="s">
        <v>4616</v>
      </c>
      <c r="T118" s="403"/>
      <c r="U118" s="403"/>
      <c r="V118" s="403"/>
      <c r="W118" s="403"/>
      <c r="X118" s="403"/>
      <c r="Y118" s="403"/>
      <c r="Z118" s="403"/>
      <c r="AA118" s="403"/>
      <c r="AB118" s="403"/>
      <c r="AC118" s="403" t="s">
        <v>8371</v>
      </c>
      <c r="AD118" s="403" t="s">
        <v>13776</v>
      </c>
      <c r="AE118" s="403"/>
      <c r="AF118" s="403"/>
      <c r="AG118" s="403"/>
      <c r="AH118" s="403"/>
      <c r="AI118" s="403"/>
      <c r="AJ118" s="403"/>
      <c r="AK118" s="403"/>
      <c r="AL118" s="403"/>
      <c r="AM118" s="403"/>
      <c r="AN118" s="403" t="s">
        <v>8373</v>
      </c>
      <c r="AO118" s="403" t="s">
        <v>13777</v>
      </c>
      <c r="AP118" s="403"/>
      <c r="AQ118" s="403"/>
      <c r="AR118" s="403"/>
      <c r="AS118" s="403"/>
      <c r="AT118" s="403"/>
      <c r="AU118" s="403"/>
      <c r="AV118" s="403"/>
      <c r="AW118" s="403"/>
      <c r="AX118" s="403"/>
      <c r="AY118" s="403" t="s">
        <v>8375</v>
      </c>
      <c r="AZ118" s="403" t="s">
        <v>13778</v>
      </c>
      <c r="BA118" s="403"/>
      <c r="BB118" s="403"/>
      <c r="BC118" s="403"/>
      <c r="BD118" s="403"/>
      <c r="BE118" s="403"/>
      <c r="BF118" s="403"/>
      <c r="BG118" s="403"/>
      <c r="BH118" s="403"/>
      <c r="BI118" s="403"/>
      <c r="BJ118" s="403" t="s">
        <v>8375</v>
      </c>
      <c r="BK118" s="403" t="s">
        <v>13778</v>
      </c>
      <c r="BL118" s="403"/>
      <c r="BM118" s="403"/>
      <c r="BN118" s="403"/>
      <c r="BO118" s="403"/>
      <c r="BP118" s="403"/>
      <c r="BQ118" s="403"/>
      <c r="BR118" s="403"/>
      <c r="BS118" s="403"/>
      <c r="BT118" s="403"/>
      <c r="BU118" s="403" t="s">
        <v>8378</v>
      </c>
      <c r="BV118" s="403" t="s">
        <v>13779</v>
      </c>
      <c r="BW118" s="403"/>
      <c r="BX118" s="403"/>
      <c r="BY118" s="403"/>
      <c r="BZ118" s="403"/>
      <c r="CA118" s="403"/>
      <c r="CB118" s="403"/>
      <c r="CC118" s="650"/>
      <c r="CD118" s="403"/>
      <c r="CE118" s="403"/>
      <c r="CF118" s="403" t="s">
        <v>8379</v>
      </c>
      <c r="CG118" s="403" t="s">
        <v>13780</v>
      </c>
      <c r="CH118" s="403"/>
      <c r="CI118" s="403"/>
      <c r="CJ118" s="403"/>
      <c r="CK118" s="403"/>
      <c r="CL118" s="403"/>
      <c r="CM118" s="403"/>
      <c r="CN118" s="564"/>
    </row>
    <row r="119" spans="1:92" s="15" customFormat="1" x14ac:dyDescent="0.2">
      <c r="A119" s="354">
        <v>1</v>
      </c>
      <c r="B119" s="581"/>
      <c r="C119" s="23" t="str">
        <f ca="1">IF(OFFSET(R119,0,Lang_Order*Lang__A3)="","",OFFSET(R119,0,Lang_Order*Lang__A3))</f>
        <v>Refrigerated (2 to 8C)</v>
      </c>
      <c r="D119" s="2" t="str">
        <f ca="1">IF(OFFSET(S119,0,Lang_Order*Lang__A3)="","",OFFSET(S119,0,Lang_Order*Lang__A3))</f>
        <v>per liter</v>
      </c>
      <c r="E119" s="494"/>
      <c r="F119" s="39"/>
      <c r="G119" s="4" t="str">
        <f t="shared" si="37"/>
        <v>CHECK</v>
      </c>
      <c r="H119" s="194"/>
      <c r="I119" s="11" t="e">
        <f>IF(ISBLANK(F119),E119/USD2LCU,F119)</f>
        <v>#N/A</v>
      </c>
      <c r="J119" s="567"/>
      <c r="K119" s="587"/>
      <c r="L119" s="241"/>
      <c r="M119" s="277"/>
      <c r="O119" s="403"/>
      <c r="P119" s="403"/>
      <c r="Q119" s="403"/>
      <c r="R119" s="403" t="s">
        <v>11</v>
      </c>
      <c r="S119" s="403" t="s">
        <v>4616</v>
      </c>
      <c r="T119" s="403"/>
      <c r="U119" s="403"/>
      <c r="V119" s="403"/>
      <c r="W119" s="403"/>
      <c r="X119" s="403"/>
      <c r="Y119" s="403"/>
      <c r="Z119" s="403"/>
      <c r="AA119" s="403"/>
      <c r="AB119" s="403"/>
      <c r="AC119" s="403" t="s">
        <v>8381</v>
      </c>
      <c r="AD119" s="403" t="s">
        <v>13776</v>
      </c>
      <c r="AE119" s="403"/>
      <c r="AF119" s="403"/>
      <c r="AG119" s="403"/>
      <c r="AH119" s="403"/>
      <c r="AI119" s="403"/>
      <c r="AJ119" s="403"/>
      <c r="AK119" s="403"/>
      <c r="AL119" s="403"/>
      <c r="AM119" s="403"/>
      <c r="AN119" s="403" t="s">
        <v>8382</v>
      </c>
      <c r="AO119" s="403" t="s">
        <v>13777</v>
      </c>
      <c r="AP119" s="403"/>
      <c r="AQ119" s="403"/>
      <c r="AR119" s="403"/>
      <c r="AS119" s="403"/>
      <c r="AT119" s="403"/>
      <c r="AU119" s="403"/>
      <c r="AV119" s="403"/>
      <c r="AW119" s="403"/>
      <c r="AX119" s="403"/>
      <c r="AY119" s="403" t="s">
        <v>8383</v>
      </c>
      <c r="AZ119" s="403" t="s">
        <v>13778</v>
      </c>
      <c r="BA119" s="403"/>
      <c r="BB119" s="403"/>
      <c r="BC119" s="403"/>
      <c r="BD119" s="403"/>
      <c r="BE119" s="403"/>
      <c r="BF119" s="403"/>
      <c r="BG119" s="403"/>
      <c r="BH119" s="403"/>
      <c r="BI119" s="403"/>
      <c r="BJ119" s="403" t="s">
        <v>8384</v>
      </c>
      <c r="BK119" s="403" t="s">
        <v>13778</v>
      </c>
      <c r="BL119" s="403"/>
      <c r="BM119" s="403"/>
      <c r="BN119" s="403"/>
      <c r="BO119" s="403"/>
      <c r="BP119" s="403"/>
      <c r="BQ119" s="403"/>
      <c r="BR119" s="403"/>
      <c r="BS119" s="403"/>
      <c r="BT119" s="403"/>
      <c r="BU119" s="403" t="s">
        <v>8406</v>
      </c>
      <c r="BV119" s="403" t="s">
        <v>13779</v>
      </c>
      <c r="BW119" s="403"/>
      <c r="BX119" s="403"/>
      <c r="BY119" s="403"/>
      <c r="BZ119" s="403"/>
      <c r="CA119" s="403"/>
      <c r="CB119" s="403"/>
      <c r="CC119" s="650"/>
      <c r="CD119" s="403"/>
      <c r="CE119" s="403"/>
      <c r="CF119" s="403" t="s">
        <v>8387</v>
      </c>
      <c r="CG119" s="403" t="s">
        <v>13780</v>
      </c>
      <c r="CH119" s="403"/>
      <c r="CI119" s="403"/>
      <c r="CJ119" s="403"/>
      <c r="CK119" s="403"/>
      <c r="CL119" s="403"/>
      <c r="CM119" s="403"/>
      <c r="CN119" s="564"/>
    </row>
    <row r="120" spans="1:92" s="15" customFormat="1" x14ac:dyDescent="0.2">
      <c r="A120" s="354">
        <v>1</v>
      </c>
      <c r="B120" s="581"/>
      <c r="C120" s="23" t="str">
        <f ca="1">IF(OFFSET(R120,0,Lang_Order*Lang__A3)="","",OFFSET(R120,0,Lang_Order*Lang__A3))</f>
        <v>Frozen (-20C)</v>
      </c>
      <c r="D120" s="2" t="str">
        <f ca="1">IF(OFFSET(S120,0,Lang_Order*Lang__A3)="","",OFFSET(S120,0,Lang_Order*Lang__A3))</f>
        <v>per liter</v>
      </c>
      <c r="E120" s="494"/>
      <c r="F120" s="399"/>
      <c r="G120" s="4" t="str">
        <f t="shared" si="37"/>
        <v>CHECK</v>
      </c>
      <c r="H120" s="194"/>
      <c r="I120" s="11" t="e">
        <f>IF(ISBLANK(F120),E120/USD2LCU,F120)</f>
        <v>#N/A</v>
      </c>
      <c r="J120" s="567"/>
      <c r="K120" s="587"/>
      <c r="L120" s="241"/>
      <c r="M120" s="277"/>
      <c r="O120" s="403"/>
      <c r="P120" s="403"/>
      <c r="Q120" s="403"/>
      <c r="R120" s="403" t="s">
        <v>12</v>
      </c>
      <c r="S120" s="403" t="s">
        <v>4616</v>
      </c>
      <c r="T120" s="403"/>
      <c r="U120" s="403"/>
      <c r="V120" s="403"/>
      <c r="W120" s="403"/>
      <c r="X120" s="403"/>
      <c r="Y120" s="403"/>
      <c r="Z120" s="403"/>
      <c r="AA120" s="403"/>
      <c r="AB120" s="403"/>
      <c r="AC120" s="403" t="s">
        <v>8388</v>
      </c>
      <c r="AD120" s="403" t="s">
        <v>13776</v>
      </c>
      <c r="AE120" s="403"/>
      <c r="AF120" s="403"/>
      <c r="AG120" s="403"/>
      <c r="AH120" s="403"/>
      <c r="AI120" s="403"/>
      <c r="AJ120" s="403"/>
      <c r="AK120" s="403"/>
      <c r="AL120" s="403"/>
      <c r="AM120" s="403"/>
      <c r="AN120" s="403" t="s">
        <v>8389</v>
      </c>
      <c r="AO120" s="403" t="s">
        <v>13777</v>
      </c>
      <c r="AP120" s="403"/>
      <c r="AQ120" s="403"/>
      <c r="AR120" s="403"/>
      <c r="AS120" s="403"/>
      <c r="AT120" s="403"/>
      <c r="AU120" s="403"/>
      <c r="AV120" s="403"/>
      <c r="AW120" s="403"/>
      <c r="AX120" s="403"/>
      <c r="AY120" s="403" t="s">
        <v>8390</v>
      </c>
      <c r="AZ120" s="403" t="s">
        <v>13778</v>
      </c>
      <c r="BA120" s="403"/>
      <c r="BB120" s="403"/>
      <c r="BC120" s="403"/>
      <c r="BD120" s="403"/>
      <c r="BE120" s="403"/>
      <c r="BF120" s="403"/>
      <c r="BG120" s="403"/>
      <c r="BH120" s="403"/>
      <c r="BI120" s="403"/>
      <c r="BJ120" s="403" t="s">
        <v>8391</v>
      </c>
      <c r="BK120" s="403" t="s">
        <v>13778</v>
      </c>
      <c r="BL120" s="403"/>
      <c r="BM120" s="403"/>
      <c r="BN120" s="403"/>
      <c r="BO120" s="403"/>
      <c r="BP120" s="403"/>
      <c r="BQ120" s="403"/>
      <c r="BR120" s="403"/>
      <c r="BS120" s="403"/>
      <c r="BT120" s="403"/>
      <c r="BU120" s="403" t="s">
        <v>8407</v>
      </c>
      <c r="BV120" s="403" t="s">
        <v>13779</v>
      </c>
      <c r="BW120" s="403"/>
      <c r="BX120" s="403"/>
      <c r="BY120" s="403"/>
      <c r="BZ120" s="403"/>
      <c r="CA120" s="403"/>
      <c r="CB120" s="403"/>
      <c r="CC120" s="650"/>
      <c r="CD120" s="403"/>
      <c r="CE120" s="403"/>
      <c r="CF120" s="403" t="s">
        <v>8393</v>
      </c>
      <c r="CG120" s="403" t="s">
        <v>13780</v>
      </c>
      <c r="CH120" s="403"/>
      <c r="CI120" s="403"/>
      <c r="CJ120" s="403"/>
      <c r="CK120" s="403"/>
      <c r="CL120" s="403"/>
      <c r="CM120" s="403"/>
      <c r="CN120" s="564"/>
    </row>
    <row r="121" spans="1:92" x14ac:dyDescent="0.2">
      <c r="A121" s="350">
        <v>2</v>
      </c>
      <c r="B121" s="569"/>
      <c r="C121" s="23" t="str">
        <f ca="1">IF(OFFSET(R121,0,Lang_Order*Lang__A3)="","",OFFSET(R121,0,Lang_Order*Lang__A3))</f>
        <v>Ultra-cold (-60 to -80C)</v>
      </c>
      <c r="D121" s="2" t="str">
        <f ca="1">IF(OFFSET(S121,0,Lang_Order*Lang__A3)="","",OFFSET(S121,0,Lang_Order*Lang__A3))</f>
        <v>per liter</v>
      </c>
      <c r="E121" s="494"/>
      <c r="F121" s="39">
        <v>8.6</v>
      </c>
      <c r="G121" s="4" t="str">
        <f t="shared" si="37"/>
        <v>OK</v>
      </c>
      <c r="I121" s="11">
        <f>IF(ISBLANK(F121),E121/USD2LCU,F121)</f>
        <v>8.6</v>
      </c>
      <c r="J121" s="12" t="str">
        <f ca="1">IF(OFFSET(Y121,0,Lang_Order*Lang__A3)="","",OFFSET(Y121,0,Lang_Order*Lang__A3))</f>
        <v>Assumption for US$ 8.60 per liter: 25 L disposable dry ice shipper ($100) + 7.2kg locally-sourced dry ice per shipper ($5 per kg of dry ice). Source: Coupa</v>
      </c>
      <c r="K121" s="587"/>
      <c r="R121" s="403" t="s">
        <v>13</v>
      </c>
      <c r="S121" s="403" t="s">
        <v>4616</v>
      </c>
      <c r="Y121" s="403" t="s">
        <v>4559</v>
      </c>
      <c r="AC121" s="403" t="s">
        <v>8394</v>
      </c>
      <c r="AD121" s="403" t="s">
        <v>13776</v>
      </c>
      <c r="AJ121" s="403" t="s">
        <v>13781</v>
      </c>
      <c r="AN121" s="403" t="s">
        <v>8396</v>
      </c>
      <c r="AO121" s="403" t="s">
        <v>13777</v>
      </c>
      <c r="AU121" s="403" t="s">
        <v>13782</v>
      </c>
      <c r="AY121" s="403" t="s">
        <v>8398</v>
      </c>
      <c r="AZ121" s="403" t="s">
        <v>13778</v>
      </c>
      <c r="BF121" s="403" t="s">
        <v>13783</v>
      </c>
      <c r="BJ121" s="403" t="s">
        <v>8400</v>
      </c>
      <c r="BK121" s="403" t="s">
        <v>13778</v>
      </c>
      <c r="BQ121" s="403" t="s">
        <v>13784</v>
      </c>
      <c r="BU121" s="403" t="s">
        <v>8402</v>
      </c>
      <c r="BV121" s="403" t="s">
        <v>13779</v>
      </c>
      <c r="CB121" s="403" t="s">
        <v>13785</v>
      </c>
      <c r="CF121" s="403" t="s">
        <v>8404</v>
      </c>
      <c r="CG121" s="403" t="s">
        <v>13780</v>
      </c>
      <c r="CM121" s="403" t="s">
        <v>13786</v>
      </c>
    </row>
    <row r="122" spans="1:92" s="15" customFormat="1" x14ac:dyDescent="0.2">
      <c r="A122" s="299"/>
      <c r="B122" s="528"/>
      <c r="F122" s="14"/>
      <c r="H122" s="194"/>
      <c r="I122" s="14"/>
      <c r="L122" s="241"/>
      <c r="M122" s="277"/>
      <c r="O122" s="403"/>
      <c r="P122" s="403"/>
      <c r="Q122" s="403"/>
      <c r="R122" s="403"/>
      <c r="S122" s="403"/>
      <c r="T122" s="403"/>
      <c r="U122" s="403"/>
      <c r="V122" s="403"/>
      <c r="W122" s="403"/>
      <c r="X122" s="403"/>
      <c r="Y122" s="403"/>
      <c r="Z122" s="403"/>
      <c r="AA122" s="403"/>
      <c r="AB122" s="403"/>
      <c r="AC122" s="403"/>
      <c r="AD122" s="403"/>
      <c r="AE122" s="403"/>
      <c r="AF122" s="403"/>
      <c r="AG122" s="403"/>
      <c r="AH122" s="403"/>
      <c r="AI122" s="403"/>
      <c r="AJ122" s="403"/>
      <c r="AK122" s="403"/>
      <c r="AL122" s="403"/>
      <c r="AM122" s="403"/>
      <c r="AN122" s="403"/>
      <c r="AO122" s="403"/>
      <c r="AP122" s="403"/>
      <c r="AQ122" s="403"/>
      <c r="AR122" s="403"/>
      <c r="AS122" s="403"/>
      <c r="AT122" s="403"/>
      <c r="AU122" s="403"/>
      <c r="AV122" s="403"/>
      <c r="AW122" s="403"/>
      <c r="AX122" s="403"/>
      <c r="AY122" s="403"/>
      <c r="AZ122" s="403"/>
      <c r="BA122" s="403"/>
      <c r="BB122" s="403"/>
      <c r="BC122" s="403"/>
      <c r="BD122" s="403"/>
      <c r="BE122" s="403"/>
      <c r="BF122" s="403"/>
      <c r="BG122" s="403"/>
      <c r="BH122" s="403"/>
      <c r="BI122" s="403"/>
      <c r="BJ122" s="403"/>
      <c r="BK122" s="403"/>
      <c r="BL122" s="403"/>
      <c r="BM122" s="403"/>
      <c r="BN122" s="403"/>
      <c r="BO122" s="403"/>
      <c r="BP122" s="403"/>
      <c r="BQ122" s="403"/>
      <c r="BR122" s="403"/>
      <c r="BS122" s="403"/>
      <c r="BT122" s="403"/>
      <c r="BU122" s="403"/>
      <c r="BV122" s="403"/>
      <c r="BW122" s="403"/>
      <c r="BX122" s="403"/>
      <c r="BY122" s="403"/>
      <c r="BZ122" s="403"/>
      <c r="CA122" s="403"/>
      <c r="CB122" s="403"/>
      <c r="CC122" s="650"/>
      <c r="CD122" s="403"/>
      <c r="CE122" s="403"/>
      <c r="CF122" s="403"/>
      <c r="CG122" s="403"/>
      <c r="CH122" s="403"/>
      <c r="CI122" s="403"/>
      <c r="CJ122" s="403"/>
      <c r="CK122" s="403"/>
      <c r="CL122" s="403"/>
      <c r="CM122" s="403"/>
      <c r="CN122" s="564"/>
    </row>
    <row r="123" spans="1:92" s="299" customFormat="1" x14ac:dyDescent="0.2">
      <c r="B123" s="92" t="str">
        <f ca="1">IF(OFFSET(Q123,0,Lang_Order*Lang__A3)="","",OFFSET(Q123,0,Lang_Order*Lang__A3))</f>
        <v>From Regional to Districts and Fixed Sites - calculated based on PER TRIP basis PLUS PER LITER basis</v>
      </c>
      <c r="F123" s="243"/>
      <c r="I123" s="243"/>
      <c r="M123" s="277"/>
      <c r="O123" s="403"/>
      <c r="P123" s="403"/>
      <c r="Q123" s="403" t="s">
        <v>14131</v>
      </c>
      <c r="R123" s="403"/>
      <c r="S123" s="403"/>
      <c r="T123" s="403"/>
      <c r="U123" s="403"/>
      <c r="V123" s="403"/>
      <c r="W123" s="403"/>
      <c r="X123" s="403"/>
      <c r="Y123" s="403"/>
      <c r="Z123" s="403"/>
      <c r="AA123" s="403"/>
      <c r="AB123" s="403" t="s">
        <v>8408</v>
      </c>
      <c r="AC123" s="403"/>
      <c r="AD123" s="403"/>
      <c r="AE123" s="403"/>
      <c r="AF123" s="403"/>
      <c r="AG123" s="403"/>
      <c r="AH123" s="403"/>
      <c r="AI123" s="403"/>
      <c r="AJ123" s="403"/>
      <c r="AK123" s="403"/>
      <c r="AL123" s="403"/>
      <c r="AM123" s="403" t="s">
        <v>14133</v>
      </c>
      <c r="AN123" s="403"/>
      <c r="AO123" s="403"/>
      <c r="AP123" s="403"/>
      <c r="AQ123" s="403"/>
      <c r="AR123" s="403"/>
      <c r="AS123" s="403"/>
      <c r="AT123" s="403"/>
      <c r="AU123" s="403"/>
      <c r="AV123" s="403"/>
      <c r="AW123" s="403"/>
      <c r="AX123" s="403" t="s">
        <v>14134</v>
      </c>
      <c r="AY123" s="403"/>
      <c r="AZ123" s="403"/>
      <c r="BA123" s="403"/>
      <c r="BB123" s="403"/>
      <c r="BC123" s="403"/>
      <c r="BD123" s="403"/>
      <c r="BE123" s="403"/>
      <c r="BF123" s="403"/>
      <c r="BG123" s="403"/>
      <c r="BH123" s="403"/>
      <c r="BI123" s="403" t="s">
        <v>14137</v>
      </c>
      <c r="BJ123" s="403"/>
      <c r="BK123" s="403"/>
      <c r="BL123" s="403"/>
      <c r="BM123" s="403"/>
      <c r="BN123" s="403"/>
      <c r="BO123" s="403"/>
      <c r="BP123" s="403"/>
      <c r="BQ123" s="403"/>
      <c r="BR123" s="403"/>
      <c r="BS123" s="403"/>
      <c r="BT123" s="403" t="s">
        <v>14139</v>
      </c>
      <c r="BU123" s="403"/>
      <c r="BV123" s="403"/>
      <c r="BW123" s="403"/>
      <c r="BX123" s="403"/>
      <c r="BY123" s="403"/>
      <c r="BZ123" s="403"/>
      <c r="CA123" s="403"/>
      <c r="CB123" s="403"/>
      <c r="CC123" s="650"/>
      <c r="CD123" s="403"/>
      <c r="CE123" s="403" t="s">
        <v>8409</v>
      </c>
      <c r="CF123" s="403"/>
      <c r="CG123" s="403"/>
      <c r="CH123" s="403"/>
      <c r="CI123" s="403"/>
      <c r="CJ123" s="403"/>
      <c r="CK123" s="403"/>
      <c r="CL123" s="403"/>
      <c r="CM123" s="403"/>
      <c r="CN123" s="564"/>
    </row>
    <row r="124" spans="1:92" s="299" customFormat="1" x14ac:dyDescent="0.2">
      <c r="B124" s="528"/>
      <c r="C124" s="223" t="str">
        <f ca="1">IF(OFFSET(R124,0,Lang_Order*Lang__A3)="","",OFFSET(R124,0,Lang_Order*Lang__A3))</f>
        <v>a. Cold-chain logistics and domestic transport, PER TRIP</v>
      </c>
      <c r="F124" s="243"/>
      <c r="I124" s="243"/>
      <c r="J124" s="12" t="str">
        <f ca="1">IF(OFFSET(Y124,0,Lang_Order*Lang__A3)="","",OFFSET(Y124,0,Lang_Order*Lang__A3))</f>
        <v>If multiple modes of transport - use a weighted average</v>
      </c>
      <c r="M124" s="277"/>
      <c r="O124" s="403"/>
      <c r="P124" s="403"/>
      <c r="Q124" s="403"/>
      <c r="R124" s="403" t="s">
        <v>3726</v>
      </c>
      <c r="S124" s="403"/>
      <c r="T124" s="403"/>
      <c r="U124" s="403"/>
      <c r="V124" s="403"/>
      <c r="W124" s="403"/>
      <c r="X124" s="403"/>
      <c r="Y124" s="403" t="s">
        <v>3685</v>
      </c>
      <c r="Z124" s="403"/>
      <c r="AA124" s="403"/>
      <c r="AB124" s="403"/>
      <c r="AC124" s="403" t="s">
        <v>8365</v>
      </c>
      <c r="AD124" s="403"/>
      <c r="AE124" s="403"/>
      <c r="AF124" s="403"/>
      <c r="AG124" s="403"/>
      <c r="AH124" s="403"/>
      <c r="AI124" s="403"/>
      <c r="AJ124" s="403"/>
      <c r="AK124" s="403"/>
      <c r="AL124" s="403"/>
      <c r="AM124" s="403"/>
      <c r="AN124" s="403" t="s">
        <v>8366</v>
      </c>
      <c r="AO124" s="403"/>
      <c r="AP124" s="403"/>
      <c r="AQ124" s="403"/>
      <c r="AR124" s="403"/>
      <c r="AS124" s="403"/>
      <c r="AT124" s="403"/>
      <c r="AU124" s="403" t="s">
        <v>8279</v>
      </c>
      <c r="AV124" s="403"/>
      <c r="AW124" s="403"/>
      <c r="AX124" s="403"/>
      <c r="AY124" s="403" t="s">
        <v>8367</v>
      </c>
      <c r="AZ124" s="403"/>
      <c r="BA124" s="403"/>
      <c r="BB124" s="403"/>
      <c r="BC124" s="403"/>
      <c r="BD124" s="403"/>
      <c r="BE124" s="403"/>
      <c r="BF124" s="403" t="s">
        <v>8281</v>
      </c>
      <c r="BG124" s="403"/>
      <c r="BH124" s="403"/>
      <c r="BI124" s="403"/>
      <c r="BJ124" s="403" t="s">
        <v>8368</v>
      </c>
      <c r="BK124" s="403"/>
      <c r="BL124" s="403"/>
      <c r="BM124" s="403"/>
      <c r="BN124" s="403"/>
      <c r="BO124" s="403"/>
      <c r="BP124" s="403"/>
      <c r="BQ124" s="403" t="s">
        <v>8303</v>
      </c>
      <c r="BR124" s="403"/>
      <c r="BS124" s="403"/>
      <c r="BT124" s="403"/>
      <c r="BU124" s="403" t="s">
        <v>8410</v>
      </c>
      <c r="BV124" s="403"/>
      <c r="BW124" s="403"/>
      <c r="BX124" s="403"/>
      <c r="BY124" s="403"/>
      <c r="BZ124" s="403"/>
      <c r="CA124" s="403"/>
      <c r="CB124" s="403" t="s">
        <v>8305</v>
      </c>
      <c r="CC124" s="650"/>
      <c r="CD124" s="403"/>
      <c r="CE124" s="403"/>
      <c r="CF124" s="403" t="s">
        <v>8370</v>
      </c>
      <c r="CG124" s="403"/>
      <c r="CH124" s="403"/>
      <c r="CI124" s="403"/>
      <c r="CJ124" s="403"/>
      <c r="CK124" s="403"/>
      <c r="CL124" s="403"/>
      <c r="CM124" s="403" t="s">
        <v>8287</v>
      </c>
      <c r="CN124" s="564"/>
    </row>
    <row r="125" spans="1:92" s="299" customFormat="1" hidden="1" x14ac:dyDescent="0.2">
      <c r="A125" s="518"/>
      <c r="B125" s="582" t="s">
        <v>14109</v>
      </c>
      <c r="C125" s="5" t="str">
        <f ca="1">IF(OFFSET(R125,0,Lang_Order*Lang__A3)="","",OFFSET(R125,0,Lang_Order*Lang__A3))</f>
        <v>Room temperature</v>
      </c>
      <c r="D125" s="2" t="str">
        <f ca="1">IF(OFFSET(S125,0,Lang_Order*Lang__A3)="","",OFFSET(S125,0,Lang_Order*Lang__A3))</f>
        <v>per trip</v>
      </c>
      <c r="E125" s="153"/>
      <c r="F125" s="39">
        <v>0</v>
      </c>
      <c r="G125" s="4" t="str">
        <f>IF(AND(ISBLANK(E125),ISBLANK(F125)),"CHECK","OK")</f>
        <v>OK</v>
      </c>
      <c r="I125" s="11">
        <f>IF(ISBLANK(F125),E125/USD2LCU,F125)</f>
        <v>0</v>
      </c>
      <c r="J125" s="567"/>
      <c r="K125" s="587"/>
      <c r="M125" s="277"/>
      <c r="O125" s="403"/>
      <c r="P125" s="403"/>
      <c r="Q125" s="403"/>
      <c r="R125" s="403" t="s">
        <v>10</v>
      </c>
      <c r="S125" s="403" t="s">
        <v>2817</v>
      </c>
      <c r="T125" s="403"/>
      <c r="U125" s="403"/>
      <c r="V125" s="403"/>
      <c r="W125" s="403"/>
      <c r="X125" s="403"/>
      <c r="Y125" s="403"/>
      <c r="Z125" s="403"/>
      <c r="AA125" s="403"/>
      <c r="AB125" s="403"/>
      <c r="AC125" s="403" t="s">
        <v>8371</v>
      </c>
      <c r="AD125" s="403" t="s">
        <v>8372</v>
      </c>
      <c r="AE125" s="403"/>
      <c r="AF125" s="403"/>
      <c r="AG125" s="403"/>
      <c r="AH125" s="403"/>
      <c r="AI125" s="403"/>
      <c r="AJ125" s="403"/>
      <c r="AK125" s="403"/>
      <c r="AL125" s="403"/>
      <c r="AM125" s="403"/>
      <c r="AN125" s="403" t="s">
        <v>8373</v>
      </c>
      <c r="AO125" s="403" t="s">
        <v>8411</v>
      </c>
      <c r="AP125" s="403"/>
      <c r="AQ125" s="403"/>
      <c r="AR125" s="403"/>
      <c r="AS125" s="403"/>
      <c r="AT125" s="403"/>
      <c r="AU125" s="403"/>
      <c r="AV125" s="403"/>
      <c r="AW125" s="403"/>
      <c r="AX125" s="403"/>
      <c r="AY125" s="403" t="s">
        <v>8375</v>
      </c>
      <c r="AZ125" s="403" t="s">
        <v>8376</v>
      </c>
      <c r="BA125" s="403"/>
      <c r="BB125" s="403"/>
      <c r="BC125" s="403"/>
      <c r="BD125" s="403"/>
      <c r="BE125" s="403"/>
      <c r="BF125" s="403"/>
      <c r="BG125" s="403"/>
      <c r="BH125" s="403"/>
      <c r="BI125" s="403"/>
      <c r="BJ125" s="403" t="s">
        <v>8375</v>
      </c>
      <c r="BK125" s="403" t="s">
        <v>8377</v>
      </c>
      <c r="BL125" s="403"/>
      <c r="BM125" s="403"/>
      <c r="BN125" s="403"/>
      <c r="BO125" s="403"/>
      <c r="BP125" s="403"/>
      <c r="BQ125" s="403"/>
      <c r="BR125" s="403"/>
      <c r="BS125" s="403"/>
      <c r="BT125" s="403"/>
      <c r="BU125" s="403" t="s">
        <v>8378</v>
      </c>
      <c r="BV125" s="403" t="s">
        <v>8386</v>
      </c>
      <c r="BW125" s="403"/>
      <c r="BX125" s="403"/>
      <c r="BY125" s="403"/>
      <c r="BZ125" s="403"/>
      <c r="CA125" s="403"/>
      <c r="CB125" s="403"/>
      <c r="CC125" s="650"/>
      <c r="CD125" s="403"/>
      <c r="CE125" s="403"/>
      <c r="CF125" s="403" t="s">
        <v>8379</v>
      </c>
      <c r="CG125" s="403" t="s">
        <v>8380</v>
      </c>
      <c r="CH125" s="403"/>
      <c r="CI125" s="403"/>
      <c r="CJ125" s="403"/>
      <c r="CK125" s="403"/>
      <c r="CL125" s="403"/>
      <c r="CM125" s="403"/>
      <c r="CN125" s="564"/>
    </row>
    <row r="126" spans="1:92" s="299" customFormat="1" x14ac:dyDescent="0.2">
      <c r="A126" s="354">
        <v>1</v>
      </c>
      <c r="B126" s="569"/>
      <c r="C126" s="5" t="str">
        <f ca="1">IF(OFFSET(R126,0,Lang_Order*Lang__A3)="","",OFFSET(R126,0,Lang_Order*Lang__A3))</f>
        <v>Refrigerated (2 to 8C)</v>
      </c>
      <c r="D126" s="2" t="str">
        <f ca="1">IF(OFFSET(S126,0,Lang_Order*Lang__A3)="","",OFFSET(S126,0,Lang_Order*Lang__A3))</f>
        <v>per trip</v>
      </c>
      <c r="E126" s="496"/>
      <c r="F126" s="39"/>
      <c r="G126" s="4" t="str">
        <f t="shared" ref="G126:G127" si="38">IF(AND(ISBLANK(E126),ISBLANK(F126)),"CHECK","OK")</f>
        <v>CHECK</v>
      </c>
      <c r="I126" s="11" t="e">
        <f>IF(ISBLANK(F126),E126/USD2LCU,F126)</f>
        <v>#N/A</v>
      </c>
      <c r="J126" s="567"/>
      <c r="K126" s="587"/>
      <c r="M126" s="277"/>
      <c r="O126" s="403"/>
      <c r="P126" s="403"/>
      <c r="Q126" s="403"/>
      <c r="R126" s="403" t="s">
        <v>11</v>
      </c>
      <c r="S126" s="403" t="s">
        <v>2817</v>
      </c>
      <c r="T126" s="403"/>
      <c r="U126" s="403"/>
      <c r="V126" s="403"/>
      <c r="W126" s="403"/>
      <c r="X126" s="403"/>
      <c r="Y126" s="403"/>
      <c r="Z126" s="403"/>
      <c r="AA126" s="403"/>
      <c r="AB126" s="403"/>
      <c r="AC126" s="403" t="s">
        <v>8381</v>
      </c>
      <c r="AD126" s="403" t="s">
        <v>8372</v>
      </c>
      <c r="AE126" s="403"/>
      <c r="AF126" s="403"/>
      <c r="AG126" s="403"/>
      <c r="AH126" s="403"/>
      <c r="AI126" s="403"/>
      <c r="AJ126" s="403"/>
      <c r="AK126" s="403"/>
      <c r="AL126" s="403"/>
      <c r="AM126" s="403"/>
      <c r="AN126" s="403" t="s">
        <v>8382</v>
      </c>
      <c r="AO126" s="403" t="s">
        <v>8411</v>
      </c>
      <c r="AP126" s="403"/>
      <c r="AQ126" s="403"/>
      <c r="AR126" s="403"/>
      <c r="AS126" s="403"/>
      <c r="AT126" s="403"/>
      <c r="AU126" s="403"/>
      <c r="AV126" s="403"/>
      <c r="AW126" s="403"/>
      <c r="AX126" s="403"/>
      <c r="AY126" s="403" t="s">
        <v>8383</v>
      </c>
      <c r="AZ126" s="403" t="s">
        <v>8376</v>
      </c>
      <c r="BA126" s="403"/>
      <c r="BB126" s="403"/>
      <c r="BC126" s="403"/>
      <c r="BD126" s="403"/>
      <c r="BE126" s="403"/>
      <c r="BF126" s="403"/>
      <c r="BG126" s="403"/>
      <c r="BH126" s="403"/>
      <c r="BI126" s="403"/>
      <c r="BJ126" s="403" t="s">
        <v>8384</v>
      </c>
      <c r="BK126" s="403" t="s">
        <v>8377</v>
      </c>
      <c r="BL126" s="403"/>
      <c r="BM126" s="403"/>
      <c r="BN126" s="403"/>
      <c r="BO126" s="403"/>
      <c r="BP126" s="403"/>
      <c r="BQ126" s="403"/>
      <c r="BR126" s="403"/>
      <c r="BS126" s="403"/>
      <c r="BT126" s="403"/>
      <c r="BU126" s="403" t="s">
        <v>8406</v>
      </c>
      <c r="BV126" s="403" t="s">
        <v>8412</v>
      </c>
      <c r="BW126" s="403"/>
      <c r="BX126" s="403"/>
      <c r="BY126" s="403"/>
      <c r="BZ126" s="403"/>
      <c r="CA126" s="403"/>
      <c r="CB126" s="403"/>
      <c r="CC126" s="650"/>
      <c r="CD126" s="403"/>
      <c r="CE126" s="403"/>
      <c r="CF126" s="403" t="s">
        <v>8387</v>
      </c>
      <c r="CG126" s="403" t="s">
        <v>8380</v>
      </c>
      <c r="CH126" s="403"/>
      <c r="CI126" s="403"/>
      <c r="CJ126" s="403"/>
      <c r="CK126" s="403"/>
      <c r="CL126" s="403"/>
      <c r="CM126" s="403"/>
      <c r="CN126" s="564"/>
    </row>
    <row r="127" spans="1:92" s="299" customFormat="1" x14ac:dyDescent="0.2">
      <c r="A127" s="354">
        <v>1</v>
      </c>
      <c r="B127" s="569"/>
      <c r="C127" s="5" t="str">
        <f ca="1">IF(OFFSET(R127,0,Lang_Order*Lang__A3)="","",OFFSET(R127,0,Lang_Order*Lang__A3))</f>
        <v>Frozen (-20C)</v>
      </c>
      <c r="D127" s="2" t="str">
        <f ca="1">IF(OFFSET(S127,0,Lang_Order*Lang__A3)="","",OFFSET(S127,0,Lang_Order*Lang__A3))</f>
        <v>per trip</v>
      </c>
      <c r="E127" s="496"/>
      <c r="F127" s="39"/>
      <c r="G127" s="4" t="str">
        <f t="shared" si="38"/>
        <v>CHECK</v>
      </c>
      <c r="I127" s="11" t="e">
        <f>IF(ISBLANK(F127),E127/USD2LCU,F127)</f>
        <v>#N/A</v>
      </c>
      <c r="J127" s="567"/>
      <c r="K127" s="587"/>
      <c r="M127" s="277"/>
      <c r="O127" s="403"/>
      <c r="P127" s="403"/>
      <c r="Q127" s="403"/>
      <c r="R127" s="403" t="s">
        <v>12</v>
      </c>
      <c r="S127" s="403" t="s">
        <v>2817</v>
      </c>
      <c r="T127" s="403"/>
      <c r="U127" s="403"/>
      <c r="V127" s="403"/>
      <c r="W127" s="403"/>
      <c r="X127" s="403"/>
      <c r="Y127" s="403"/>
      <c r="Z127" s="403"/>
      <c r="AA127" s="403"/>
      <c r="AB127" s="403"/>
      <c r="AC127" s="403" t="s">
        <v>8388</v>
      </c>
      <c r="AD127" s="403" t="s">
        <v>8372</v>
      </c>
      <c r="AE127" s="403"/>
      <c r="AF127" s="403"/>
      <c r="AG127" s="403"/>
      <c r="AH127" s="403"/>
      <c r="AI127" s="403"/>
      <c r="AJ127" s="403"/>
      <c r="AK127" s="403"/>
      <c r="AL127" s="403"/>
      <c r="AM127" s="403"/>
      <c r="AN127" s="403" t="s">
        <v>8389</v>
      </c>
      <c r="AO127" s="403" t="s">
        <v>8411</v>
      </c>
      <c r="AP127" s="403"/>
      <c r="AQ127" s="403"/>
      <c r="AR127" s="403"/>
      <c r="AS127" s="403"/>
      <c r="AT127" s="403"/>
      <c r="AU127" s="403"/>
      <c r="AV127" s="403"/>
      <c r="AW127" s="403"/>
      <c r="AX127" s="403"/>
      <c r="AY127" s="403" t="s">
        <v>8390</v>
      </c>
      <c r="AZ127" s="403" t="s">
        <v>8376</v>
      </c>
      <c r="BA127" s="403"/>
      <c r="BB127" s="403"/>
      <c r="BC127" s="403"/>
      <c r="BD127" s="403"/>
      <c r="BE127" s="403"/>
      <c r="BF127" s="403"/>
      <c r="BG127" s="403"/>
      <c r="BH127" s="403"/>
      <c r="BI127" s="403"/>
      <c r="BJ127" s="403" t="s">
        <v>8391</v>
      </c>
      <c r="BK127" s="403" t="s">
        <v>8377</v>
      </c>
      <c r="BL127" s="403"/>
      <c r="BM127" s="403"/>
      <c r="BN127" s="403"/>
      <c r="BO127" s="403"/>
      <c r="BP127" s="403"/>
      <c r="BQ127" s="403"/>
      <c r="BR127" s="403"/>
      <c r="BS127" s="403"/>
      <c r="BT127" s="403"/>
      <c r="BU127" s="403" t="s">
        <v>8392</v>
      </c>
      <c r="BV127" s="403" t="s">
        <v>8386</v>
      </c>
      <c r="BW127" s="403"/>
      <c r="BX127" s="403"/>
      <c r="BY127" s="403"/>
      <c r="BZ127" s="403"/>
      <c r="CA127" s="403"/>
      <c r="CB127" s="403"/>
      <c r="CC127" s="650"/>
      <c r="CD127" s="403"/>
      <c r="CE127" s="403"/>
      <c r="CF127" s="403" t="s">
        <v>8393</v>
      </c>
      <c r="CG127" s="403" t="s">
        <v>8380</v>
      </c>
      <c r="CH127" s="403"/>
      <c r="CI127" s="403"/>
      <c r="CJ127" s="403"/>
      <c r="CK127" s="403"/>
      <c r="CL127" s="403"/>
      <c r="CM127" s="403"/>
      <c r="CN127" s="564"/>
    </row>
    <row r="128" spans="1:92" s="299" customFormat="1" x14ac:dyDescent="0.2">
      <c r="A128" s="499"/>
      <c r="B128" s="585"/>
      <c r="C128" s="270" t="str">
        <f ca="1">IF(OFFSET(R128,0,Lang_Order*Lang__A3)="","",OFFSET(R128,0,Lang_Order*Lang__A3))</f>
        <v>Ultra-cold (-60 to -80C)</v>
      </c>
      <c r="D128" s="73" t="str">
        <f ca="1">IF(OFFSET(S128,0,Lang_Order*Lang__A3)="","",OFFSET(S128,0,Lang_Order*Lang__A3))</f>
        <v>per trip</v>
      </c>
      <c r="E128" s="577">
        <f>E126</f>
        <v>0</v>
      </c>
      <c r="F128" s="502">
        <f>F126</f>
        <v>0</v>
      </c>
      <c r="G128" s="499"/>
      <c r="I128" s="11">
        <f>IF(ISBLANK(F128),E128/USD2LCU,F128)</f>
        <v>0</v>
      </c>
      <c r="J128" s="12" t="str">
        <f ca="1">IF(OFFSET(Y128,0,Lang_Order*Lang__A3)="","",OFFSET(Y128,0,Lang_Order*Lang__A3))</f>
        <v>Costing model would assume 2-8C below regional level - as per 5 days stability for BNT162b2</v>
      </c>
      <c r="M128" s="277"/>
      <c r="O128" s="403"/>
      <c r="P128" s="403"/>
      <c r="Q128" s="403"/>
      <c r="R128" s="403" t="s">
        <v>13</v>
      </c>
      <c r="S128" s="403" t="s">
        <v>2817</v>
      </c>
      <c r="T128" s="403"/>
      <c r="U128" s="403"/>
      <c r="V128" s="403"/>
      <c r="W128" s="403"/>
      <c r="X128" s="403"/>
      <c r="Y128" s="403" t="s">
        <v>4516</v>
      </c>
      <c r="Z128" s="403"/>
      <c r="AA128" s="403"/>
      <c r="AB128" s="403"/>
      <c r="AC128" s="403" t="s">
        <v>8394</v>
      </c>
      <c r="AD128" s="403" t="s">
        <v>8372</v>
      </c>
      <c r="AE128" s="403"/>
      <c r="AF128" s="403"/>
      <c r="AG128" s="403"/>
      <c r="AH128" s="403"/>
      <c r="AI128" s="403"/>
      <c r="AJ128" s="403" t="s">
        <v>13787</v>
      </c>
      <c r="AK128" s="403"/>
      <c r="AL128" s="403"/>
      <c r="AM128" s="403"/>
      <c r="AN128" s="403" t="s">
        <v>8396</v>
      </c>
      <c r="AO128" s="403" t="s">
        <v>8411</v>
      </c>
      <c r="AP128" s="403"/>
      <c r="AQ128" s="403"/>
      <c r="AR128" s="403"/>
      <c r="AS128" s="403"/>
      <c r="AT128" s="403"/>
      <c r="AU128" s="403" t="s">
        <v>13788</v>
      </c>
      <c r="AV128" s="403"/>
      <c r="AW128" s="403"/>
      <c r="AX128" s="403"/>
      <c r="AY128" s="403" t="s">
        <v>8398</v>
      </c>
      <c r="AZ128" s="403" t="s">
        <v>8376</v>
      </c>
      <c r="BA128" s="403"/>
      <c r="BB128" s="403"/>
      <c r="BC128" s="403"/>
      <c r="BD128" s="403"/>
      <c r="BE128" s="403"/>
      <c r="BF128" s="403" t="s">
        <v>13789</v>
      </c>
      <c r="BG128" s="403"/>
      <c r="BH128" s="403"/>
      <c r="BI128" s="403"/>
      <c r="BJ128" s="403" t="s">
        <v>8400</v>
      </c>
      <c r="BK128" s="403" t="s">
        <v>8377</v>
      </c>
      <c r="BL128" s="403"/>
      <c r="BM128" s="403"/>
      <c r="BN128" s="403"/>
      <c r="BO128" s="403"/>
      <c r="BP128" s="403"/>
      <c r="BQ128" s="403" t="s">
        <v>13790</v>
      </c>
      <c r="BR128" s="403"/>
      <c r="BS128" s="403"/>
      <c r="BT128" s="403"/>
      <c r="BU128" s="403" t="s">
        <v>8413</v>
      </c>
      <c r="BV128" s="403" t="s">
        <v>8412</v>
      </c>
      <c r="BW128" s="403"/>
      <c r="BX128" s="403"/>
      <c r="BY128" s="403"/>
      <c r="BZ128" s="403"/>
      <c r="CA128" s="403"/>
      <c r="CB128" s="403" t="s">
        <v>13791</v>
      </c>
      <c r="CC128" s="650"/>
      <c r="CD128" s="403"/>
      <c r="CE128" s="403"/>
      <c r="CF128" s="403" t="s">
        <v>8404</v>
      </c>
      <c r="CG128" s="403" t="s">
        <v>8380</v>
      </c>
      <c r="CH128" s="403"/>
      <c r="CI128" s="403"/>
      <c r="CJ128" s="403"/>
      <c r="CK128" s="403"/>
      <c r="CL128" s="403"/>
      <c r="CM128" s="403" t="s">
        <v>13792</v>
      </c>
      <c r="CN128" s="564"/>
    </row>
    <row r="129" spans="1:92" s="299" customFormat="1" x14ac:dyDescent="0.2">
      <c r="B129" s="569"/>
      <c r="C129" s="23"/>
      <c r="E129" s="23"/>
      <c r="F129" s="240"/>
      <c r="I129" s="243"/>
      <c r="M129" s="277"/>
      <c r="O129" s="403"/>
      <c r="P129" s="403"/>
      <c r="Q129" s="403"/>
      <c r="R129" s="403"/>
      <c r="S129" s="403"/>
      <c r="T129" s="403"/>
      <c r="U129" s="403"/>
      <c r="V129" s="403"/>
      <c r="W129" s="403"/>
      <c r="X129" s="403"/>
      <c r="Y129" s="403"/>
      <c r="Z129" s="403"/>
      <c r="AA129" s="403"/>
      <c r="AB129" s="403"/>
      <c r="AC129" s="403"/>
      <c r="AD129" s="403"/>
      <c r="AE129" s="403"/>
      <c r="AF129" s="403"/>
      <c r="AG129" s="403"/>
      <c r="AH129" s="403"/>
      <c r="AI129" s="403"/>
      <c r="AJ129" s="403"/>
      <c r="AK129" s="403"/>
      <c r="AL129" s="403"/>
      <c r="AM129" s="403"/>
      <c r="AN129" s="403"/>
      <c r="AO129" s="403"/>
      <c r="AP129" s="403"/>
      <c r="AQ129" s="403"/>
      <c r="AR129" s="403"/>
      <c r="AS129" s="403"/>
      <c r="AT129" s="403"/>
      <c r="AU129" s="403"/>
      <c r="AV129" s="403"/>
      <c r="AW129" s="403"/>
      <c r="AX129" s="403"/>
      <c r="AY129" s="403"/>
      <c r="AZ129" s="403"/>
      <c r="BA129" s="403"/>
      <c r="BB129" s="403"/>
      <c r="BC129" s="403"/>
      <c r="BD129" s="403"/>
      <c r="BE129" s="403"/>
      <c r="BF129" s="403"/>
      <c r="BG129" s="403"/>
      <c r="BH129" s="403"/>
      <c r="BI129" s="403"/>
      <c r="BJ129" s="403"/>
      <c r="BK129" s="403"/>
      <c r="BL129" s="403"/>
      <c r="BM129" s="403"/>
      <c r="BN129" s="403"/>
      <c r="BO129" s="403"/>
      <c r="BP129" s="403"/>
      <c r="BQ129" s="403"/>
      <c r="BR129" s="403"/>
      <c r="BS129" s="403"/>
      <c r="BT129" s="403"/>
      <c r="BU129" s="403"/>
      <c r="BV129" s="403"/>
      <c r="BW129" s="403"/>
      <c r="BX129" s="403"/>
      <c r="BY129" s="403"/>
      <c r="BZ129" s="403"/>
      <c r="CA129" s="403"/>
      <c r="CB129" s="403"/>
      <c r="CC129" s="650"/>
      <c r="CD129" s="403"/>
      <c r="CE129" s="403"/>
      <c r="CF129" s="403"/>
      <c r="CG129" s="403"/>
      <c r="CH129" s="403"/>
      <c r="CI129" s="403"/>
      <c r="CJ129" s="403"/>
      <c r="CK129" s="403"/>
      <c r="CL129" s="403"/>
      <c r="CM129" s="403"/>
      <c r="CN129" s="564"/>
    </row>
    <row r="130" spans="1:92" s="299" customFormat="1" x14ac:dyDescent="0.2">
      <c r="B130" s="580"/>
      <c r="C130" s="223" t="str">
        <f ca="1">IF(OFFSET(R130,0,Lang_Order*Lang__A3)="","",OFFSET(R130,0,Lang_Order*Lang__A3))</f>
        <v>b. Cold-chain logistics and domestic transport, PER LITER (to cover additional cold storage requirements)</v>
      </c>
      <c r="F130" s="243"/>
      <c r="I130" s="243"/>
      <c r="J130" s="12" t="str">
        <f ca="1">IF(OFFSET(Y130,0,Lang_Order*Lang__A3)="","",OFFSET(Y130,0,Lang_Order*Lang__A3))</f>
        <v>If multiple modes of transport - use a weighted average</v>
      </c>
      <c r="M130" s="277"/>
      <c r="O130" s="403"/>
      <c r="P130" s="403"/>
      <c r="Q130" s="403"/>
      <c r="R130" s="403" t="s">
        <v>4534</v>
      </c>
      <c r="S130" s="403"/>
      <c r="T130" s="403"/>
      <c r="U130" s="403"/>
      <c r="V130" s="403"/>
      <c r="W130" s="403"/>
      <c r="X130" s="403"/>
      <c r="Y130" s="403" t="s">
        <v>3685</v>
      </c>
      <c r="Z130" s="403"/>
      <c r="AA130" s="403"/>
      <c r="AB130" s="403"/>
      <c r="AC130" s="403" t="s">
        <v>13793</v>
      </c>
      <c r="AD130" s="403"/>
      <c r="AE130" s="403"/>
      <c r="AF130" s="403"/>
      <c r="AG130" s="403"/>
      <c r="AH130" s="403"/>
      <c r="AI130" s="403"/>
      <c r="AJ130" s="403"/>
      <c r="AK130" s="403"/>
      <c r="AL130" s="403"/>
      <c r="AM130" s="403"/>
      <c r="AN130" s="403" t="s">
        <v>13771</v>
      </c>
      <c r="AO130" s="403"/>
      <c r="AP130" s="403"/>
      <c r="AQ130" s="403"/>
      <c r="AR130" s="403"/>
      <c r="AS130" s="403"/>
      <c r="AT130" s="403"/>
      <c r="AU130" s="403" t="s">
        <v>8279</v>
      </c>
      <c r="AV130" s="403"/>
      <c r="AW130" s="403"/>
      <c r="AX130" s="403"/>
      <c r="AY130" s="403" t="s">
        <v>13794</v>
      </c>
      <c r="AZ130" s="403"/>
      <c r="BA130" s="403"/>
      <c r="BB130" s="403"/>
      <c r="BC130" s="403"/>
      <c r="BD130" s="403"/>
      <c r="BE130" s="403"/>
      <c r="BF130" s="403" t="s">
        <v>8281</v>
      </c>
      <c r="BG130" s="403"/>
      <c r="BH130" s="403"/>
      <c r="BI130" s="403"/>
      <c r="BJ130" s="403" t="s">
        <v>13795</v>
      </c>
      <c r="BK130" s="403"/>
      <c r="BL130" s="403"/>
      <c r="BM130" s="403"/>
      <c r="BN130" s="403"/>
      <c r="BO130" s="403"/>
      <c r="BP130" s="403"/>
      <c r="BQ130" s="403" t="s">
        <v>8303</v>
      </c>
      <c r="BR130" s="403"/>
      <c r="BS130" s="403"/>
      <c r="BT130" s="403"/>
      <c r="BU130" s="403" t="s">
        <v>13796</v>
      </c>
      <c r="BV130" s="403"/>
      <c r="BW130" s="403"/>
      <c r="BX130" s="403"/>
      <c r="BY130" s="403"/>
      <c r="BZ130" s="403"/>
      <c r="CA130" s="403"/>
      <c r="CB130" s="403" t="s">
        <v>8305</v>
      </c>
      <c r="CC130" s="650"/>
      <c r="CD130" s="403"/>
      <c r="CE130" s="403"/>
      <c r="CF130" s="403" t="s">
        <v>13797</v>
      </c>
      <c r="CG130" s="403"/>
      <c r="CH130" s="403"/>
      <c r="CI130" s="403"/>
      <c r="CJ130" s="403"/>
      <c r="CK130" s="403"/>
      <c r="CL130" s="403"/>
      <c r="CM130" s="403" t="s">
        <v>8287</v>
      </c>
      <c r="CN130" s="564"/>
    </row>
    <row r="131" spans="1:92" s="299" customFormat="1" hidden="1" x14ac:dyDescent="0.2">
      <c r="A131" s="508"/>
      <c r="B131" s="582" t="s">
        <v>14109</v>
      </c>
      <c r="C131" s="23" t="str">
        <f ca="1">IF(OFFSET(R131,0,Lang_Order*Lang__A3)="","",OFFSET(R131,0,Lang_Order*Lang__A3))</f>
        <v>Room temperature</v>
      </c>
      <c r="D131" s="2" t="str">
        <f ca="1">IF(OFFSET(S131,0,Lang_Order*Lang__A3)="","",OFFSET(S131,0,Lang_Order*Lang__A3))</f>
        <v>per liter</v>
      </c>
      <c r="E131" s="154"/>
      <c r="F131" s="39">
        <v>0</v>
      </c>
      <c r="G131" s="4" t="str">
        <f t="shared" ref="G131:G133" si="39">IF(AND(ISBLANK(E131),ISBLANK(F131)),"CHECK","OK")</f>
        <v>OK</v>
      </c>
      <c r="I131" s="11">
        <f>IF(ISBLANK(F131),E131/USD2LCU,F131)</f>
        <v>0</v>
      </c>
      <c r="J131" s="12" t="s">
        <v>4535</v>
      </c>
      <c r="K131" s="587"/>
      <c r="M131" s="277"/>
      <c r="O131" s="403"/>
      <c r="P131" s="403"/>
      <c r="Q131" s="403"/>
      <c r="R131" s="403" t="s">
        <v>10</v>
      </c>
      <c r="S131" s="403" t="s">
        <v>4616</v>
      </c>
      <c r="T131" s="403"/>
      <c r="U131" s="403"/>
      <c r="V131" s="403"/>
      <c r="W131" s="403"/>
      <c r="X131" s="403"/>
      <c r="Y131" s="403"/>
      <c r="Z131" s="403"/>
      <c r="AA131" s="403"/>
      <c r="AB131" s="403"/>
      <c r="AC131" s="403" t="s">
        <v>8371</v>
      </c>
      <c r="AD131" s="403" t="s">
        <v>13776</v>
      </c>
      <c r="AE131" s="403"/>
      <c r="AF131" s="403"/>
      <c r="AG131" s="403"/>
      <c r="AH131" s="403"/>
      <c r="AI131" s="403"/>
      <c r="AJ131" s="403"/>
      <c r="AK131" s="403"/>
      <c r="AL131" s="403"/>
      <c r="AM131" s="403"/>
      <c r="AN131" s="403" t="s">
        <v>8373</v>
      </c>
      <c r="AO131" s="403" t="s">
        <v>13777</v>
      </c>
      <c r="AP131" s="403"/>
      <c r="AQ131" s="403"/>
      <c r="AR131" s="403"/>
      <c r="AS131" s="403"/>
      <c r="AT131" s="403"/>
      <c r="AU131" s="403"/>
      <c r="AV131" s="403"/>
      <c r="AW131" s="403"/>
      <c r="AX131" s="403"/>
      <c r="AY131" s="403" t="s">
        <v>8375</v>
      </c>
      <c r="AZ131" s="403" t="s">
        <v>13778</v>
      </c>
      <c r="BA131" s="403"/>
      <c r="BB131" s="403"/>
      <c r="BC131" s="403"/>
      <c r="BD131" s="403"/>
      <c r="BE131" s="403"/>
      <c r="BF131" s="403"/>
      <c r="BG131" s="403"/>
      <c r="BH131" s="403"/>
      <c r="BI131" s="403"/>
      <c r="BJ131" s="403" t="s">
        <v>8375</v>
      </c>
      <c r="BK131" s="403" t="s">
        <v>13778</v>
      </c>
      <c r="BL131" s="403"/>
      <c r="BM131" s="403"/>
      <c r="BN131" s="403"/>
      <c r="BO131" s="403"/>
      <c r="BP131" s="403"/>
      <c r="BQ131" s="403"/>
      <c r="BR131" s="403"/>
      <c r="BS131" s="403"/>
      <c r="BT131" s="403"/>
      <c r="BU131" s="403" t="s">
        <v>8414</v>
      </c>
      <c r="BV131" s="403" t="s">
        <v>13779</v>
      </c>
      <c r="BW131" s="403"/>
      <c r="BX131" s="403"/>
      <c r="BY131" s="403"/>
      <c r="BZ131" s="403"/>
      <c r="CA131" s="403"/>
      <c r="CB131" s="403"/>
      <c r="CC131" s="650"/>
      <c r="CD131" s="403"/>
      <c r="CE131" s="403"/>
      <c r="CF131" s="403" t="s">
        <v>8379</v>
      </c>
      <c r="CG131" s="403" t="s">
        <v>13780</v>
      </c>
      <c r="CH131" s="403"/>
      <c r="CI131" s="403"/>
      <c r="CJ131" s="403"/>
      <c r="CK131" s="403"/>
      <c r="CL131" s="403"/>
      <c r="CM131" s="403"/>
      <c r="CN131" s="564"/>
    </row>
    <row r="132" spans="1:92" s="299" customFormat="1" x14ac:dyDescent="0.2">
      <c r="A132" s="354">
        <v>1</v>
      </c>
      <c r="B132" s="581"/>
      <c r="C132" s="23" t="str">
        <f ca="1">IF(OFFSET(R132,0,Lang_Order*Lang__A3)="","",OFFSET(R132,0,Lang_Order*Lang__A3))</f>
        <v>Refrigerated (2 to 8C)</v>
      </c>
      <c r="D132" s="2" t="str">
        <f ca="1">IF(OFFSET(S132,0,Lang_Order*Lang__A3)="","",OFFSET(S132,0,Lang_Order*Lang__A3))</f>
        <v>per liter</v>
      </c>
      <c r="E132" s="494"/>
      <c r="F132" s="39"/>
      <c r="G132" s="4" t="str">
        <f t="shared" si="39"/>
        <v>CHECK</v>
      </c>
      <c r="I132" s="11" t="e">
        <f>IF(ISBLANK(F132),E132/USD2LCU,F132)</f>
        <v>#N/A</v>
      </c>
      <c r="J132" s="567"/>
      <c r="K132" s="587"/>
      <c r="M132" s="277"/>
      <c r="O132" s="403"/>
      <c r="P132" s="403"/>
      <c r="Q132" s="403"/>
      <c r="R132" s="403" t="s">
        <v>11</v>
      </c>
      <c r="S132" s="403" t="s">
        <v>4616</v>
      </c>
      <c r="T132" s="403"/>
      <c r="U132" s="403"/>
      <c r="V132" s="403"/>
      <c r="W132" s="403"/>
      <c r="X132" s="403"/>
      <c r="Y132" s="403"/>
      <c r="Z132" s="403"/>
      <c r="AA132" s="403"/>
      <c r="AB132" s="403"/>
      <c r="AC132" s="403" t="s">
        <v>8381</v>
      </c>
      <c r="AD132" s="403" t="s">
        <v>13776</v>
      </c>
      <c r="AE132" s="403"/>
      <c r="AF132" s="403"/>
      <c r="AG132" s="403"/>
      <c r="AH132" s="403"/>
      <c r="AI132" s="403"/>
      <c r="AJ132" s="403"/>
      <c r="AK132" s="403"/>
      <c r="AL132" s="403"/>
      <c r="AM132" s="403"/>
      <c r="AN132" s="403" t="s">
        <v>8382</v>
      </c>
      <c r="AO132" s="403" t="s">
        <v>13777</v>
      </c>
      <c r="AP132" s="403"/>
      <c r="AQ132" s="403"/>
      <c r="AR132" s="403"/>
      <c r="AS132" s="403"/>
      <c r="AT132" s="403"/>
      <c r="AU132" s="403"/>
      <c r="AV132" s="403"/>
      <c r="AW132" s="403"/>
      <c r="AX132" s="403"/>
      <c r="AY132" s="403" t="s">
        <v>8383</v>
      </c>
      <c r="AZ132" s="403" t="s">
        <v>13778</v>
      </c>
      <c r="BA132" s="403"/>
      <c r="BB132" s="403"/>
      <c r="BC132" s="403"/>
      <c r="BD132" s="403"/>
      <c r="BE132" s="403"/>
      <c r="BF132" s="403"/>
      <c r="BG132" s="403"/>
      <c r="BH132" s="403"/>
      <c r="BI132" s="403"/>
      <c r="BJ132" s="403" t="s">
        <v>8384</v>
      </c>
      <c r="BK132" s="403" t="s">
        <v>13778</v>
      </c>
      <c r="BL132" s="403"/>
      <c r="BM132" s="403"/>
      <c r="BN132" s="403"/>
      <c r="BO132" s="403"/>
      <c r="BP132" s="403"/>
      <c r="BQ132" s="403"/>
      <c r="BR132" s="403"/>
      <c r="BS132" s="403"/>
      <c r="BT132" s="403"/>
      <c r="BU132" s="403" t="s">
        <v>8406</v>
      </c>
      <c r="BV132" s="403" t="s">
        <v>13779</v>
      </c>
      <c r="BW132" s="403"/>
      <c r="BX132" s="403"/>
      <c r="BY132" s="403"/>
      <c r="BZ132" s="403"/>
      <c r="CA132" s="403"/>
      <c r="CB132" s="403"/>
      <c r="CC132" s="650"/>
      <c r="CD132" s="403"/>
      <c r="CE132" s="403"/>
      <c r="CF132" s="403" t="s">
        <v>8387</v>
      </c>
      <c r="CG132" s="403" t="s">
        <v>13780</v>
      </c>
      <c r="CH132" s="403"/>
      <c r="CI132" s="403"/>
      <c r="CJ132" s="403"/>
      <c r="CK132" s="403"/>
      <c r="CL132" s="403"/>
      <c r="CM132" s="403"/>
      <c r="CN132" s="564"/>
    </row>
    <row r="133" spans="1:92" s="299" customFormat="1" x14ac:dyDescent="0.2">
      <c r="A133" s="354">
        <v>1</v>
      </c>
      <c r="B133" s="581"/>
      <c r="C133" s="23" t="str">
        <f ca="1">IF(OFFSET(R133,0,Lang_Order*Lang__A3)="","",OFFSET(R133,0,Lang_Order*Lang__A3))</f>
        <v>Frozen (-20C)</v>
      </c>
      <c r="D133" s="2" t="str">
        <f ca="1">IF(OFFSET(S133,0,Lang_Order*Lang__A3)="","",OFFSET(S133,0,Lang_Order*Lang__A3))</f>
        <v>per liter</v>
      </c>
      <c r="E133" s="494"/>
      <c r="F133" s="39"/>
      <c r="G133" s="4" t="str">
        <f t="shared" si="39"/>
        <v>CHECK</v>
      </c>
      <c r="I133" s="11" t="e">
        <f>IF(ISBLANK(F133),E133/USD2LCU,F133)</f>
        <v>#N/A</v>
      </c>
      <c r="J133" s="567"/>
      <c r="K133" s="587"/>
      <c r="M133" s="277"/>
      <c r="O133" s="403"/>
      <c r="P133" s="403"/>
      <c r="Q133" s="403"/>
      <c r="R133" s="403" t="s">
        <v>12</v>
      </c>
      <c r="S133" s="403" t="s">
        <v>4616</v>
      </c>
      <c r="T133" s="403"/>
      <c r="U133" s="403"/>
      <c r="V133" s="403"/>
      <c r="W133" s="403"/>
      <c r="X133" s="403"/>
      <c r="Y133" s="403"/>
      <c r="Z133" s="403"/>
      <c r="AA133" s="403"/>
      <c r="AB133" s="403"/>
      <c r="AC133" s="403" t="s">
        <v>8388</v>
      </c>
      <c r="AD133" s="403" t="s">
        <v>13776</v>
      </c>
      <c r="AE133" s="403"/>
      <c r="AF133" s="403"/>
      <c r="AG133" s="403"/>
      <c r="AH133" s="403"/>
      <c r="AI133" s="403"/>
      <c r="AJ133" s="403"/>
      <c r="AK133" s="403"/>
      <c r="AL133" s="403"/>
      <c r="AM133" s="403"/>
      <c r="AN133" s="403" t="s">
        <v>8389</v>
      </c>
      <c r="AO133" s="403" t="s">
        <v>13777</v>
      </c>
      <c r="AP133" s="403"/>
      <c r="AQ133" s="403"/>
      <c r="AR133" s="403"/>
      <c r="AS133" s="403"/>
      <c r="AT133" s="403"/>
      <c r="AU133" s="403"/>
      <c r="AV133" s="403"/>
      <c r="AW133" s="403"/>
      <c r="AX133" s="403"/>
      <c r="AY133" s="403" t="s">
        <v>8390</v>
      </c>
      <c r="AZ133" s="403" t="s">
        <v>13778</v>
      </c>
      <c r="BA133" s="403"/>
      <c r="BB133" s="403"/>
      <c r="BC133" s="403"/>
      <c r="BD133" s="403"/>
      <c r="BE133" s="403"/>
      <c r="BF133" s="403"/>
      <c r="BG133" s="403"/>
      <c r="BH133" s="403"/>
      <c r="BI133" s="403"/>
      <c r="BJ133" s="403" t="s">
        <v>8391</v>
      </c>
      <c r="BK133" s="403" t="s">
        <v>13778</v>
      </c>
      <c r="BL133" s="403"/>
      <c r="BM133" s="403"/>
      <c r="BN133" s="403"/>
      <c r="BO133" s="403"/>
      <c r="BP133" s="403"/>
      <c r="BQ133" s="403"/>
      <c r="BR133" s="403"/>
      <c r="BS133" s="403"/>
      <c r="BT133" s="403"/>
      <c r="BU133" s="403" t="s">
        <v>8392</v>
      </c>
      <c r="BV133" s="403" t="s">
        <v>13779</v>
      </c>
      <c r="BW133" s="403"/>
      <c r="BX133" s="403"/>
      <c r="BY133" s="403"/>
      <c r="BZ133" s="403"/>
      <c r="CA133" s="403"/>
      <c r="CB133" s="403"/>
      <c r="CC133" s="650"/>
      <c r="CD133" s="403"/>
      <c r="CE133" s="403"/>
      <c r="CF133" s="403" t="s">
        <v>8393</v>
      </c>
      <c r="CG133" s="403" t="s">
        <v>13780</v>
      </c>
      <c r="CH133" s="403"/>
      <c r="CI133" s="403"/>
      <c r="CJ133" s="403"/>
      <c r="CK133" s="403"/>
      <c r="CL133" s="403"/>
      <c r="CM133" s="403"/>
      <c r="CN133" s="564"/>
    </row>
    <row r="134" spans="1:92" s="299" customFormat="1" x14ac:dyDescent="0.2">
      <c r="A134" s="499"/>
      <c r="B134" s="585"/>
      <c r="C134" s="66" t="str">
        <f ca="1">IF(OFFSET(R134,0,Lang_Order*Lang__A3)="","",OFFSET(R134,0,Lang_Order*Lang__A3))</f>
        <v>Ultra-cold (-60 to -80C)</v>
      </c>
      <c r="D134" s="73" t="str">
        <f ca="1">IF(OFFSET(S134,0,Lang_Order*Lang__A3)="","",OFFSET(S134,0,Lang_Order*Lang__A3))</f>
        <v>per liter</v>
      </c>
      <c r="E134" s="577">
        <f>E132</f>
        <v>0</v>
      </c>
      <c r="F134" s="502">
        <f>F132</f>
        <v>0</v>
      </c>
      <c r="G134" s="499"/>
      <c r="I134" s="11">
        <f>IF(ISBLANK(F134),E134/USD2LCU,F134)</f>
        <v>0</v>
      </c>
      <c r="J134" s="12" t="str">
        <f ca="1">IF(OFFSET(Y134,0,Lang_Order*Lang__A3)="","",OFFSET(Y134,0,Lang_Order*Lang__A3))</f>
        <v>Costing model would assume 2-8C below regional level - as per 5 days stability for BNT162b2</v>
      </c>
      <c r="M134" s="277"/>
      <c r="O134" s="403"/>
      <c r="P134" s="403"/>
      <c r="Q134" s="403"/>
      <c r="R134" s="403" t="s">
        <v>13</v>
      </c>
      <c r="S134" s="403" t="s">
        <v>4616</v>
      </c>
      <c r="T134" s="403"/>
      <c r="U134" s="403"/>
      <c r="V134" s="403"/>
      <c r="W134" s="403"/>
      <c r="X134" s="403"/>
      <c r="Y134" s="403" t="s">
        <v>4516</v>
      </c>
      <c r="Z134" s="403"/>
      <c r="AA134" s="403"/>
      <c r="AB134" s="403"/>
      <c r="AC134" s="403" t="s">
        <v>8394</v>
      </c>
      <c r="AD134" s="403" t="s">
        <v>13776</v>
      </c>
      <c r="AE134" s="403"/>
      <c r="AF134" s="403"/>
      <c r="AG134" s="403"/>
      <c r="AH134" s="403"/>
      <c r="AI134" s="403"/>
      <c r="AJ134" s="403" t="s">
        <v>13787</v>
      </c>
      <c r="AK134" s="403"/>
      <c r="AL134" s="403"/>
      <c r="AM134" s="403"/>
      <c r="AN134" s="403" t="s">
        <v>8396</v>
      </c>
      <c r="AO134" s="403" t="s">
        <v>13777</v>
      </c>
      <c r="AP134" s="403"/>
      <c r="AQ134" s="403"/>
      <c r="AR134" s="403"/>
      <c r="AS134" s="403"/>
      <c r="AT134" s="403"/>
      <c r="AU134" s="403" t="s">
        <v>13788</v>
      </c>
      <c r="AV134" s="403"/>
      <c r="AW134" s="403"/>
      <c r="AX134" s="403"/>
      <c r="AY134" s="403" t="s">
        <v>8398</v>
      </c>
      <c r="AZ134" s="403" t="s">
        <v>13778</v>
      </c>
      <c r="BA134" s="403"/>
      <c r="BB134" s="403"/>
      <c r="BC134" s="403"/>
      <c r="BD134" s="403"/>
      <c r="BE134" s="403"/>
      <c r="BF134" s="403" t="s">
        <v>13789</v>
      </c>
      <c r="BG134" s="403"/>
      <c r="BH134" s="403"/>
      <c r="BI134" s="403"/>
      <c r="BJ134" s="403" t="s">
        <v>8400</v>
      </c>
      <c r="BK134" s="403" t="s">
        <v>13778</v>
      </c>
      <c r="BL134" s="403"/>
      <c r="BM134" s="403"/>
      <c r="BN134" s="403"/>
      <c r="BO134" s="403"/>
      <c r="BP134" s="403"/>
      <c r="BQ134" s="403" t="s">
        <v>13790</v>
      </c>
      <c r="BR134" s="403"/>
      <c r="BS134" s="403">
        <v>1</v>
      </c>
      <c r="BT134" s="403"/>
      <c r="BU134" s="403" t="s">
        <v>8402</v>
      </c>
      <c r="BV134" s="403" t="s">
        <v>13779</v>
      </c>
      <c r="BW134" s="403"/>
      <c r="BX134" s="403"/>
      <c r="BY134" s="403"/>
      <c r="BZ134" s="403"/>
      <c r="CA134" s="403"/>
      <c r="CB134" s="403" t="s">
        <v>13791</v>
      </c>
      <c r="CC134" s="650"/>
      <c r="CD134" s="403"/>
      <c r="CE134" s="403"/>
      <c r="CF134" s="403" t="s">
        <v>8404</v>
      </c>
      <c r="CG134" s="403" t="s">
        <v>13780</v>
      </c>
      <c r="CH134" s="403"/>
      <c r="CI134" s="403"/>
      <c r="CJ134" s="403"/>
      <c r="CK134" s="403"/>
      <c r="CL134" s="403"/>
      <c r="CM134" s="403" t="s">
        <v>13792</v>
      </c>
      <c r="CN134" s="564"/>
    </row>
    <row r="135" spans="1:92" s="299" customFormat="1" x14ac:dyDescent="0.2">
      <c r="B135" s="528"/>
      <c r="F135" s="243"/>
      <c r="I135" s="243"/>
      <c r="M135" s="277"/>
      <c r="O135" s="403"/>
      <c r="P135" s="403"/>
      <c r="Q135" s="403"/>
      <c r="R135" s="403"/>
      <c r="S135" s="403"/>
      <c r="T135" s="403"/>
      <c r="U135" s="403"/>
      <c r="V135" s="403"/>
      <c r="W135" s="403"/>
      <c r="X135" s="403"/>
      <c r="Y135" s="403"/>
      <c r="Z135" s="403"/>
      <c r="AA135" s="403"/>
      <c r="AB135" s="403"/>
      <c r="AC135" s="403"/>
      <c r="AD135" s="403"/>
      <c r="AE135" s="403"/>
      <c r="AF135" s="403"/>
      <c r="AG135" s="403"/>
      <c r="AH135" s="403"/>
      <c r="AI135" s="403"/>
      <c r="AJ135" s="403"/>
      <c r="AK135" s="403"/>
      <c r="AL135" s="403"/>
      <c r="AM135" s="403"/>
      <c r="AN135" s="403"/>
      <c r="AO135" s="403"/>
      <c r="AP135" s="403"/>
      <c r="AQ135" s="403"/>
      <c r="AR135" s="403"/>
      <c r="AS135" s="403"/>
      <c r="AT135" s="403"/>
      <c r="AU135" s="403"/>
      <c r="AV135" s="403"/>
      <c r="AW135" s="403"/>
      <c r="AX135" s="403"/>
      <c r="AY135" s="403"/>
      <c r="AZ135" s="403"/>
      <c r="BA135" s="403"/>
      <c r="BB135" s="403"/>
      <c r="BC135" s="403"/>
      <c r="BD135" s="403"/>
      <c r="BE135" s="403"/>
      <c r="BF135" s="403"/>
      <c r="BG135" s="403"/>
      <c r="BH135" s="403"/>
      <c r="BI135" s="403"/>
      <c r="BJ135" s="403"/>
      <c r="BK135" s="403"/>
      <c r="BL135" s="403"/>
      <c r="BM135" s="403"/>
      <c r="BN135" s="403"/>
      <c r="BO135" s="403"/>
      <c r="BP135" s="403"/>
      <c r="BQ135" s="403"/>
      <c r="BR135" s="403"/>
      <c r="BS135" s="403"/>
      <c r="BT135" s="403"/>
      <c r="BU135" s="403"/>
      <c r="BV135" s="403"/>
      <c r="BW135" s="403"/>
      <c r="BX135" s="403"/>
      <c r="BY135" s="403"/>
      <c r="BZ135" s="403"/>
      <c r="CA135" s="403"/>
      <c r="CB135" s="403"/>
      <c r="CC135" s="650"/>
      <c r="CD135" s="403"/>
      <c r="CE135" s="403"/>
      <c r="CF135" s="403"/>
      <c r="CG135" s="403"/>
      <c r="CH135" s="403"/>
      <c r="CI135" s="403"/>
      <c r="CJ135" s="403"/>
      <c r="CK135" s="403"/>
      <c r="CL135" s="403"/>
      <c r="CM135" s="403"/>
      <c r="CN135" s="564"/>
    </row>
    <row r="136" spans="1:92" s="8" customFormat="1" ht="15" x14ac:dyDescent="0.25">
      <c r="A136" s="8" t="str">
        <f ca="1">IF(OFFSET(P136,0,Lang_Order*Lang__A3)="","",OFFSET(P136,0,Lang_Order*Lang__A3))</f>
        <v>A3.6 Local Data Management and Monitoring, Pharmacovigilance</v>
      </c>
      <c r="B136" s="285"/>
      <c r="C136" s="58"/>
      <c r="D136" s="217"/>
      <c r="E136" s="408" t="str">
        <f>CONCATENATE(Lang_LCU,": ",LCU)</f>
        <v xml:space="preserve">LCU: </v>
      </c>
      <c r="F136" s="610" t="str">
        <f ca="1">IF(OFFSET(U136,0,Lang_Order*Lang__A3)="","",OFFSET(U136,0,Lang_Order*Lang__A3))</f>
        <v>Override in USD</v>
      </c>
      <c r="G136" s="234"/>
      <c r="H136" s="234" t="s">
        <v>2635</v>
      </c>
      <c r="I136" s="219" t="s">
        <v>26</v>
      </c>
      <c r="J136" s="8" t="str">
        <f ca="1">IF(OFFSET(Y136,0,Lang_Order*Lang__A3)="","",OFFSET(Y136,0,Lang_Order*Lang__A3))</f>
        <v>Comments</v>
      </c>
      <c r="K136" s="8" t="str">
        <f ca="1">IF(OFFSET(Z136,0,Lang_Order*Lang__A3)="","",OFFSET(Z136,0,Lang_Order*Lang__A3))</f>
        <v>User Notes</v>
      </c>
      <c r="M136" s="311"/>
      <c r="O136" s="403"/>
      <c r="P136" s="403" t="s">
        <v>4159</v>
      </c>
      <c r="Q136" s="403"/>
      <c r="R136" s="403"/>
      <c r="S136" s="403"/>
      <c r="T136" s="403"/>
      <c r="U136" s="403" t="s">
        <v>2977</v>
      </c>
      <c r="V136" s="403"/>
      <c r="W136" s="403"/>
      <c r="X136" s="403"/>
      <c r="Y136" s="403" t="s">
        <v>13980</v>
      </c>
      <c r="Z136" s="403" t="s">
        <v>13981</v>
      </c>
      <c r="AA136" s="403" t="s">
        <v>8415</v>
      </c>
      <c r="AB136" s="403"/>
      <c r="AC136" s="403"/>
      <c r="AD136" s="403"/>
      <c r="AE136" s="403"/>
      <c r="AF136" s="403" t="s">
        <v>7897</v>
      </c>
      <c r="AG136" s="403"/>
      <c r="AH136" s="403"/>
      <c r="AI136" s="403"/>
      <c r="AJ136" s="403" t="s">
        <v>14071</v>
      </c>
      <c r="AK136" s="403" t="s">
        <v>14076</v>
      </c>
      <c r="AL136" s="403" t="s">
        <v>8416</v>
      </c>
      <c r="AM136" s="403"/>
      <c r="AN136" s="403"/>
      <c r="AO136" s="403"/>
      <c r="AP136" s="403"/>
      <c r="AQ136" s="403" t="s">
        <v>7900</v>
      </c>
      <c r="AR136" s="403"/>
      <c r="AS136" s="403"/>
      <c r="AT136" s="403"/>
      <c r="AU136" s="403" t="s">
        <v>14072</v>
      </c>
      <c r="AV136" s="403" t="s">
        <v>14077</v>
      </c>
      <c r="AW136" s="403" t="s">
        <v>8417</v>
      </c>
      <c r="AX136" s="403"/>
      <c r="AY136" s="403"/>
      <c r="AZ136" s="403"/>
      <c r="BA136" s="403"/>
      <c r="BB136" s="403" t="s">
        <v>7903</v>
      </c>
      <c r="BC136" s="403"/>
      <c r="BD136" s="403"/>
      <c r="BE136" s="403"/>
      <c r="BF136" s="403" t="s">
        <v>14073</v>
      </c>
      <c r="BG136" s="403" t="s">
        <v>14078</v>
      </c>
      <c r="BH136" s="403" t="s">
        <v>8418</v>
      </c>
      <c r="BI136" s="403"/>
      <c r="BJ136" s="403"/>
      <c r="BK136" s="403"/>
      <c r="BL136" s="403"/>
      <c r="BM136" s="403" t="s">
        <v>7906</v>
      </c>
      <c r="BN136" s="403"/>
      <c r="BO136" s="403"/>
      <c r="BP136" s="403"/>
      <c r="BQ136" s="403" t="s">
        <v>14074</v>
      </c>
      <c r="BR136" s="403" t="s">
        <v>14079</v>
      </c>
      <c r="BS136" s="403" t="s">
        <v>8419</v>
      </c>
      <c r="BT136" s="403"/>
      <c r="BU136" s="403"/>
      <c r="BV136" s="403"/>
      <c r="BW136" s="403"/>
      <c r="BX136" s="403" t="s">
        <v>7908</v>
      </c>
      <c r="BY136" s="403"/>
      <c r="BZ136" s="403"/>
      <c r="CA136" s="403"/>
      <c r="CB136" s="403" t="s">
        <v>14075</v>
      </c>
      <c r="CC136" s="650" t="s">
        <v>14080</v>
      </c>
      <c r="CD136" s="403" t="s">
        <v>8420</v>
      </c>
      <c r="CE136" s="403"/>
      <c r="CF136" s="403"/>
      <c r="CG136" s="403"/>
      <c r="CH136" s="403"/>
      <c r="CI136" s="403" t="s">
        <v>7911</v>
      </c>
      <c r="CJ136" s="403"/>
      <c r="CK136" s="403"/>
      <c r="CL136" s="403"/>
      <c r="CM136" s="403" t="s">
        <v>5455</v>
      </c>
      <c r="CN136" s="564" t="s">
        <v>14081</v>
      </c>
    </row>
    <row r="137" spans="1:92" s="299" customFormat="1" ht="31.5" customHeight="1" x14ac:dyDescent="0.2">
      <c r="B137" s="585"/>
      <c r="C137" s="679" t="str">
        <f ca="1">IF(OFFSET(R137,0,Lang_Order*Lang__A3)="","",OFFSET(R137,0,Lang_Order*Lang__A3))</f>
        <v>Instructions: Please add unit costs for local data management. Once-off costs per fixed site or team (e.g. IT equipment, installation, etc.) and recurrent costs such as data charges and consumables.</v>
      </c>
      <c r="D137" s="679"/>
      <c r="E137" s="679"/>
      <c r="F137" s="679"/>
      <c r="G137" s="679"/>
      <c r="H137" s="679"/>
      <c r="I137" s="679"/>
      <c r="O137" s="403"/>
      <c r="P137" s="403"/>
      <c r="Q137" s="403"/>
      <c r="R137" s="403" t="s">
        <v>4442</v>
      </c>
      <c r="S137" s="403"/>
      <c r="T137" s="403"/>
      <c r="U137" s="403"/>
      <c r="V137" s="403"/>
      <c r="W137" s="403"/>
      <c r="X137" s="403"/>
      <c r="Y137" s="403"/>
      <c r="Z137" s="403"/>
      <c r="AA137" s="403"/>
      <c r="AB137" s="403"/>
      <c r="AC137" s="403" t="s">
        <v>13798</v>
      </c>
      <c r="AD137" s="403"/>
      <c r="AE137" s="403"/>
      <c r="AF137" s="403"/>
      <c r="AG137" s="403"/>
      <c r="AH137" s="403"/>
      <c r="AI137" s="403"/>
      <c r="AJ137" s="403"/>
      <c r="AK137" s="403"/>
      <c r="AL137" s="403"/>
      <c r="AM137" s="403"/>
      <c r="AN137" s="403" t="s">
        <v>13799</v>
      </c>
      <c r="AO137" s="403"/>
      <c r="AP137" s="403"/>
      <c r="AQ137" s="403"/>
      <c r="AR137" s="403"/>
      <c r="AS137" s="403"/>
      <c r="AT137" s="403"/>
      <c r="AU137" s="403"/>
      <c r="AV137" s="403"/>
      <c r="AW137" s="403"/>
      <c r="AX137" s="403"/>
      <c r="AY137" s="403" t="s">
        <v>13800</v>
      </c>
      <c r="AZ137" s="403"/>
      <c r="BA137" s="403"/>
      <c r="BB137" s="403"/>
      <c r="BC137" s="403"/>
      <c r="BD137" s="403"/>
      <c r="BE137" s="403"/>
      <c r="BF137" s="403"/>
      <c r="BG137" s="403"/>
      <c r="BH137" s="403"/>
      <c r="BI137" s="403"/>
      <c r="BJ137" s="403" t="s">
        <v>13801</v>
      </c>
      <c r="BK137" s="403"/>
      <c r="BL137" s="403"/>
      <c r="BM137" s="403"/>
      <c r="BN137" s="403"/>
      <c r="BO137" s="403"/>
      <c r="BP137" s="403"/>
      <c r="BQ137" s="403"/>
      <c r="BR137" s="403"/>
      <c r="BS137" s="403"/>
      <c r="BT137" s="403"/>
      <c r="BU137" s="403" t="s">
        <v>13802</v>
      </c>
      <c r="BV137" s="403"/>
      <c r="BW137" s="403"/>
      <c r="BX137" s="403"/>
      <c r="BY137" s="403"/>
      <c r="BZ137" s="403"/>
      <c r="CA137" s="403"/>
      <c r="CB137" s="403"/>
      <c r="CC137" s="650"/>
      <c r="CD137" s="403"/>
      <c r="CE137" s="403"/>
      <c r="CF137" s="403" t="s">
        <v>13803</v>
      </c>
      <c r="CG137" s="403"/>
      <c r="CH137" s="403"/>
      <c r="CI137" s="403"/>
      <c r="CJ137" s="403"/>
      <c r="CK137" s="403"/>
      <c r="CL137" s="403"/>
      <c r="CM137" s="403"/>
      <c r="CN137" s="564"/>
    </row>
    <row r="138" spans="1:92" x14ac:dyDescent="0.2">
      <c r="B138" s="569" t="str">
        <f ca="1">IF(OFFSET(Q138,0,Lang_Order*Lang__A3)="","",OFFSET(Q138,0,Lang_Order*Lang__A3))</f>
        <v>Per Fixed Site (DM1) or Per Team (DM2,3,4)</v>
      </c>
      <c r="D138" s="23"/>
      <c r="E138" s="15"/>
      <c r="F138" s="14"/>
      <c r="H138" s="14"/>
      <c r="I138" s="11" t="e">
        <f>SUM(H139:H141)</f>
        <v>#N/A</v>
      </c>
      <c r="J138" s="12" t="str">
        <f ca="1">IF(OFFSET(Y138,0,Lang_Order*Lang__A3)="","",OFFSET(Y138,0,Lang_Order*Lang__A3))</f>
        <v>Will be counted as capital expenditures</v>
      </c>
      <c r="Q138" s="403" t="s">
        <v>3958</v>
      </c>
      <c r="Y138" s="403" t="s">
        <v>3846</v>
      </c>
      <c r="AB138" s="403" t="s">
        <v>8421</v>
      </c>
      <c r="AJ138" s="403" t="s">
        <v>8422</v>
      </c>
      <c r="AM138" s="403" t="s">
        <v>8423</v>
      </c>
      <c r="AU138" s="403" t="s">
        <v>8424</v>
      </c>
      <c r="AX138" s="403" t="s">
        <v>8425</v>
      </c>
      <c r="BF138" s="403" t="s">
        <v>8426</v>
      </c>
      <c r="BI138" s="403" t="s">
        <v>8427</v>
      </c>
      <c r="BQ138" s="403" t="s">
        <v>8428</v>
      </c>
      <c r="BT138" s="403" t="s">
        <v>8429</v>
      </c>
      <c r="CB138" s="403" t="s">
        <v>8430</v>
      </c>
      <c r="CE138" s="403" t="s">
        <v>8431</v>
      </c>
      <c r="CM138" s="403" t="s">
        <v>8432</v>
      </c>
    </row>
    <row r="139" spans="1:92" x14ac:dyDescent="0.2">
      <c r="A139" s="354">
        <v>1</v>
      </c>
      <c r="B139" s="569"/>
      <c r="C139" s="374"/>
      <c r="D139" s="5"/>
      <c r="E139" s="494"/>
      <c r="F139" s="39"/>
      <c r="G139" s="4" t="str">
        <f t="shared" ref="G139" si="40">IF(AND(ISBLANK(E139),ISBLANK(F139)),"CHECK","OK")</f>
        <v>CHECK</v>
      </c>
      <c r="H139" s="236" t="e">
        <f>IF(ISBLANK(F139),E139/USD2LCU,F139)</f>
        <v>#N/A</v>
      </c>
      <c r="I139" s="221" t="e">
        <f t="shared" ref="I139:I141" si="41">E139/USD2LCU</f>
        <v>#N/A</v>
      </c>
      <c r="J139" s="299"/>
      <c r="K139" s="587" t="s">
        <v>14126</v>
      </c>
    </row>
    <row r="140" spans="1:92" x14ac:dyDescent="0.2">
      <c r="A140" s="350">
        <v>2</v>
      </c>
      <c r="B140" s="569"/>
      <c r="C140" s="374"/>
      <c r="D140" s="5"/>
      <c r="E140" s="494"/>
      <c r="F140" s="39"/>
      <c r="H140" s="236" t="e">
        <f>IF(ISBLANK(F140),E140/USD2LCU,F140)</f>
        <v>#N/A</v>
      </c>
      <c r="I140" s="221" t="e">
        <f t="shared" si="41"/>
        <v>#N/A</v>
      </c>
      <c r="J140" s="299"/>
      <c r="K140" s="587"/>
    </row>
    <row r="141" spans="1:92" x14ac:dyDescent="0.2">
      <c r="A141" s="350">
        <v>2</v>
      </c>
      <c r="B141" s="569"/>
      <c r="C141" s="374"/>
      <c r="D141" s="5"/>
      <c r="E141" s="494"/>
      <c r="F141" s="39"/>
      <c r="H141" s="236" t="e">
        <f>IF(ISBLANK(F141),E141/USD2LCU,F141)</f>
        <v>#N/A</v>
      </c>
      <c r="I141" s="221" t="e">
        <f t="shared" si="41"/>
        <v>#N/A</v>
      </c>
      <c r="J141" s="299"/>
      <c r="K141" s="587"/>
    </row>
    <row r="142" spans="1:92" x14ac:dyDescent="0.2">
      <c r="B142" s="569"/>
      <c r="E142" s="15"/>
      <c r="F142" s="14"/>
    </row>
    <row r="143" spans="1:92" x14ac:dyDescent="0.2">
      <c r="B143" s="569" t="str">
        <f ca="1">IF(OFFSET(Q143,0,Lang_Order*Lang__A3)="","",OFFSET(Q143,0,Lang_Order*Lang__A3))</f>
        <v>Per Site per Day</v>
      </c>
      <c r="D143" s="23"/>
      <c r="E143" s="15"/>
      <c r="F143" s="14"/>
      <c r="H143" s="14"/>
      <c r="I143" s="11" t="e">
        <f>SUM(H144:H146)</f>
        <v>#N/A</v>
      </c>
      <c r="J143" s="12" t="str">
        <f ca="1">IF(OFFSET(Y143,0,Lang_Order*Lang__A3)="","",OFFSET(Y143,0,Lang_Order*Lang__A3))</f>
        <v>Will be counted as operational expenditures</v>
      </c>
      <c r="Q143" s="403" t="s">
        <v>1586</v>
      </c>
      <c r="Y143" s="403" t="s">
        <v>3847</v>
      </c>
      <c r="AB143" s="403" t="s">
        <v>8433</v>
      </c>
      <c r="AJ143" s="403" t="s">
        <v>8434</v>
      </c>
      <c r="AM143" s="403" t="s">
        <v>8435</v>
      </c>
      <c r="AU143" s="403" t="s">
        <v>8436</v>
      </c>
      <c r="AX143" s="403" t="s">
        <v>8437</v>
      </c>
      <c r="BF143" s="403" t="s">
        <v>8438</v>
      </c>
      <c r="BI143" s="403" t="s">
        <v>8439</v>
      </c>
      <c r="BQ143" s="403" t="s">
        <v>8440</v>
      </c>
      <c r="BT143" s="403" t="s">
        <v>8441</v>
      </c>
      <c r="CB143" s="403" t="s">
        <v>8442</v>
      </c>
      <c r="CE143" s="403" t="s">
        <v>8443</v>
      </c>
      <c r="CM143" s="403" t="s">
        <v>8444</v>
      </c>
    </row>
    <row r="144" spans="1:92" x14ac:dyDescent="0.2">
      <c r="A144" s="354">
        <v>1</v>
      </c>
      <c r="B144" s="569"/>
      <c r="C144" s="374"/>
      <c r="D144" s="5"/>
      <c r="E144" s="494"/>
      <c r="F144" s="39"/>
      <c r="G144" s="4" t="str">
        <f t="shared" ref="G144" si="42">IF(AND(ISBLANK(E144),ISBLANK(F144)),"CHECK","OK")</f>
        <v>CHECK</v>
      </c>
      <c r="H144" s="236" t="e">
        <f>IF(ISBLANK(F144),E144/USD2LCU,F144)</f>
        <v>#N/A</v>
      </c>
      <c r="I144" s="221" t="e">
        <f t="shared" ref="I144:I146" si="43">E144/USD2LCU</f>
        <v>#N/A</v>
      </c>
      <c r="J144" s="299"/>
      <c r="K144" s="587" t="s">
        <v>14128</v>
      </c>
    </row>
    <row r="145" spans="1:92" x14ac:dyDescent="0.2">
      <c r="A145" s="350">
        <v>2</v>
      </c>
      <c r="B145" s="569"/>
      <c r="C145" s="374"/>
      <c r="D145" s="5"/>
      <c r="E145" s="494"/>
      <c r="F145" s="39"/>
      <c r="H145" s="236" t="e">
        <f>IF(ISBLANK(F145),E145/USD2LCU,F145)</f>
        <v>#N/A</v>
      </c>
      <c r="I145" s="221" t="e">
        <f t="shared" si="43"/>
        <v>#N/A</v>
      </c>
      <c r="J145" s="299"/>
      <c r="K145" s="587"/>
    </row>
    <row r="146" spans="1:92" x14ac:dyDescent="0.2">
      <c r="A146" s="350">
        <v>2</v>
      </c>
      <c r="B146" s="569"/>
      <c r="C146" s="374"/>
      <c r="D146" s="5"/>
      <c r="E146" s="494"/>
      <c r="F146" s="39"/>
      <c r="H146" s="236" t="e">
        <f>IF(ISBLANK(F146),E146/USD2LCU,F146)</f>
        <v>#N/A</v>
      </c>
      <c r="I146" s="221" t="e">
        <f t="shared" si="43"/>
        <v>#N/A</v>
      </c>
      <c r="J146" s="299"/>
      <c r="K146" s="587"/>
    </row>
    <row r="147" spans="1:92" x14ac:dyDescent="0.2">
      <c r="B147" s="569"/>
      <c r="F147" s="14"/>
    </row>
    <row r="148" spans="1:92" s="8" customFormat="1" ht="15" x14ac:dyDescent="0.25">
      <c r="A148" s="8" t="str">
        <f ca="1">IF(OFFSET(P148,0,Lang_Order*Lang__A3)="","",OFFSET(P148,0,Lang_Order*Lang__A3))</f>
        <v>A3.7 Local Demand Generation and Communications</v>
      </c>
      <c r="B148" s="285"/>
      <c r="C148" s="58"/>
      <c r="D148" s="217"/>
      <c r="E148" s="408" t="str">
        <f>CONCATENATE(Lang_LCU,": ",LCU)</f>
        <v xml:space="preserve">LCU: </v>
      </c>
      <c r="F148" s="610" t="str">
        <f ca="1">IF(OFFSET(U148,0,Lang_Order*Lang__A3)="","",OFFSET(U148,0,Lang_Order*Lang__A3))</f>
        <v>Override in USD</v>
      </c>
      <c r="G148" s="234"/>
      <c r="H148" s="234" t="s">
        <v>2635</v>
      </c>
      <c r="I148" s="219" t="s">
        <v>26</v>
      </c>
      <c r="J148" s="8" t="str">
        <f ca="1">IF(OFFSET(Y148,0,Lang_Order*Lang__A3)="","",OFFSET(Y148,0,Lang_Order*Lang__A3))</f>
        <v>Comments</v>
      </c>
      <c r="K148" s="8" t="str">
        <f ca="1">IF(OFFSET(Z148,0,Lang_Order*Lang__A3)="","",OFFSET(Z148,0,Lang_Order*Lang__A3))</f>
        <v>User Notes</v>
      </c>
      <c r="M148" s="311"/>
      <c r="O148" s="403"/>
      <c r="P148" s="403" t="s">
        <v>4160</v>
      </c>
      <c r="Q148" s="403"/>
      <c r="R148" s="403"/>
      <c r="S148" s="403"/>
      <c r="T148" s="403"/>
      <c r="U148" s="403" t="s">
        <v>2977</v>
      </c>
      <c r="V148" s="403"/>
      <c r="W148" s="403"/>
      <c r="X148" s="403"/>
      <c r="Y148" s="403" t="s">
        <v>13980</v>
      </c>
      <c r="Z148" s="403" t="s">
        <v>13981</v>
      </c>
      <c r="AA148" s="403" t="s">
        <v>8445</v>
      </c>
      <c r="AB148" s="403"/>
      <c r="AC148" s="403"/>
      <c r="AD148" s="403"/>
      <c r="AE148" s="403"/>
      <c r="AF148" s="403" t="s">
        <v>7897</v>
      </c>
      <c r="AG148" s="403"/>
      <c r="AH148" s="403"/>
      <c r="AI148" s="403"/>
      <c r="AJ148" s="403" t="s">
        <v>14071</v>
      </c>
      <c r="AK148" s="403" t="s">
        <v>14076</v>
      </c>
      <c r="AL148" s="403" t="s">
        <v>8446</v>
      </c>
      <c r="AM148" s="403"/>
      <c r="AN148" s="403"/>
      <c r="AO148" s="403"/>
      <c r="AP148" s="403"/>
      <c r="AQ148" s="403" t="s">
        <v>7900</v>
      </c>
      <c r="AR148" s="403"/>
      <c r="AS148" s="403"/>
      <c r="AT148" s="403"/>
      <c r="AU148" s="403" t="s">
        <v>14072</v>
      </c>
      <c r="AV148" s="403" t="s">
        <v>14077</v>
      </c>
      <c r="AW148" s="403" t="s">
        <v>8447</v>
      </c>
      <c r="AX148" s="403"/>
      <c r="AY148" s="403"/>
      <c r="AZ148" s="403"/>
      <c r="BA148" s="403"/>
      <c r="BB148" s="403" t="s">
        <v>7903</v>
      </c>
      <c r="BC148" s="403"/>
      <c r="BD148" s="403"/>
      <c r="BE148" s="403"/>
      <c r="BF148" s="403" t="s">
        <v>14073</v>
      </c>
      <c r="BG148" s="403" t="s">
        <v>14078</v>
      </c>
      <c r="BH148" s="403" t="s">
        <v>8448</v>
      </c>
      <c r="BI148" s="403"/>
      <c r="BJ148" s="403"/>
      <c r="BK148" s="403"/>
      <c r="BL148" s="403"/>
      <c r="BM148" s="403" t="s">
        <v>7906</v>
      </c>
      <c r="BN148" s="403"/>
      <c r="BO148" s="403"/>
      <c r="BP148" s="403"/>
      <c r="BQ148" s="403" t="s">
        <v>14074</v>
      </c>
      <c r="BR148" s="403" t="s">
        <v>14079</v>
      </c>
      <c r="BS148" s="403" t="s">
        <v>8449</v>
      </c>
      <c r="BT148" s="403"/>
      <c r="BU148" s="403"/>
      <c r="BV148" s="403"/>
      <c r="BW148" s="403"/>
      <c r="BX148" s="403" t="s">
        <v>7908</v>
      </c>
      <c r="BY148" s="403"/>
      <c r="BZ148" s="403"/>
      <c r="CA148" s="403"/>
      <c r="CB148" s="403" t="s">
        <v>14075</v>
      </c>
      <c r="CC148" s="650" t="s">
        <v>14080</v>
      </c>
      <c r="CD148" s="403" t="s">
        <v>8450</v>
      </c>
      <c r="CE148" s="403"/>
      <c r="CF148" s="403"/>
      <c r="CG148" s="403"/>
      <c r="CH148" s="403"/>
      <c r="CI148" s="403" t="s">
        <v>7911</v>
      </c>
      <c r="CJ148" s="403"/>
      <c r="CK148" s="403"/>
      <c r="CL148" s="403"/>
      <c r="CM148" s="403" t="s">
        <v>5455</v>
      </c>
      <c r="CN148" s="564" t="s">
        <v>14081</v>
      </c>
    </row>
    <row r="149" spans="1:92" s="299" customFormat="1" ht="55.5" customHeight="1" x14ac:dyDescent="0.2">
      <c r="B149" s="528"/>
      <c r="C149" s="679" t="str">
        <f ca="1">IF(OFFSET(R149,0,Lang_Order*Lang__A3)="","",OFFSET(R149,0,Lang_Order*Lang__A3))</f>
        <v>Instructions: Please add demand generation and communications units costs per site and per eligible person. This can be a large driver of costs - please complete these carefully. Separate demand generation costs can be used for those who are eligible due to the nature of their work and for those who are eligible due to non-work criteria (voluntary).</v>
      </c>
      <c r="D149" s="679"/>
      <c r="E149" s="679"/>
      <c r="F149" s="679"/>
      <c r="G149" s="679"/>
      <c r="H149" s="679"/>
      <c r="I149" s="679"/>
      <c r="O149" s="403"/>
      <c r="P149" s="403"/>
      <c r="Q149" s="403"/>
      <c r="R149" s="403" t="s">
        <v>4139</v>
      </c>
      <c r="S149" s="403"/>
      <c r="T149" s="403"/>
      <c r="U149" s="403"/>
      <c r="V149" s="403"/>
      <c r="W149" s="403"/>
      <c r="X149" s="403"/>
      <c r="Y149" s="403"/>
      <c r="Z149" s="403"/>
      <c r="AA149" s="403"/>
      <c r="AB149" s="403"/>
      <c r="AC149" s="403" t="s">
        <v>8451</v>
      </c>
      <c r="AD149" s="403"/>
      <c r="AE149" s="403"/>
      <c r="AF149" s="403"/>
      <c r="AG149" s="403"/>
      <c r="AH149" s="403"/>
      <c r="AI149" s="403"/>
      <c r="AJ149" s="403"/>
      <c r="AK149" s="403"/>
      <c r="AL149" s="403"/>
      <c r="AM149" s="403"/>
      <c r="AN149" s="403" t="s">
        <v>8452</v>
      </c>
      <c r="AO149" s="403"/>
      <c r="AP149" s="403"/>
      <c r="AQ149" s="403"/>
      <c r="AR149" s="403"/>
      <c r="AS149" s="403"/>
      <c r="AT149" s="403"/>
      <c r="AU149" s="403"/>
      <c r="AV149" s="403"/>
      <c r="AW149" s="403"/>
      <c r="AX149" s="403"/>
      <c r="AY149" s="403" t="s">
        <v>8453</v>
      </c>
      <c r="AZ149" s="403"/>
      <c r="BA149" s="403"/>
      <c r="BB149" s="403"/>
      <c r="BC149" s="403"/>
      <c r="BD149" s="403"/>
      <c r="BE149" s="403"/>
      <c r="BF149" s="403"/>
      <c r="BG149" s="403"/>
      <c r="BH149" s="403"/>
      <c r="BI149" s="403"/>
      <c r="BJ149" s="403" t="s">
        <v>8454</v>
      </c>
      <c r="BK149" s="403"/>
      <c r="BL149" s="403"/>
      <c r="BM149" s="403"/>
      <c r="BN149" s="403"/>
      <c r="BO149" s="403"/>
      <c r="BP149" s="403"/>
      <c r="BQ149" s="403"/>
      <c r="BR149" s="403"/>
      <c r="BS149" s="403"/>
      <c r="BT149" s="403"/>
      <c r="BU149" s="403" t="s">
        <v>8455</v>
      </c>
      <c r="BV149" s="403"/>
      <c r="BW149" s="403"/>
      <c r="BX149" s="403"/>
      <c r="BY149" s="403"/>
      <c r="BZ149" s="403"/>
      <c r="CA149" s="403"/>
      <c r="CB149" s="403"/>
      <c r="CC149" s="650"/>
      <c r="CD149" s="403"/>
      <c r="CE149" s="403"/>
      <c r="CF149" s="403" t="s">
        <v>8456</v>
      </c>
      <c r="CG149" s="403"/>
      <c r="CH149" s="403"/>
      <c r="CI149" s="403"/>
      <c r="CJ149" s="403"/>
      <c r="CK149" s="403"/>
      <c r="CL149" s="403"/>
      <c r="CM149" s="403"/>
      <c r="CN149" s="564"/>
    </row>
    <row r="150" spans="1:92" x14ac:dyDescent="0.2">
      <c r="B150" s="569" t="str">
        <f ca="1">IF(OFFSET(Q150,0,Lang_Order*Lang__A3)="","",OFFSET(Q150,0,Lang_Order*Lang__A3))</f>
        <v>Per Site</v>
      </c>
      <c r="D150" s="23"/>
      <c r="F150" s="14"/>
      <c r="H150" s="14"/>
      <c r="I150" s="11" t="e">
        <f>SUM(H151:H153)</f>
        <v>#N/A</v>
      </c>
      <c r="J150" s="12" t="str">
        <f ca="1">IF(OFFSET(Y150,0,Lang_Order*Lang__A3)="","",OFFSET(Y150,0,Lang_Order*Lang__A3))</f>
        <v>All types of services points</v>
      </c>
      <c r="K150" s="15"/>
      <c r="Q150" s="403" t="s">
        <v>1580</v>
      </c>
      <c r="X150" s="403">
        <v>0</v>
      </c>
      <c r="Y150" s="403" t="s">
        <v>3841</v>
      </c>
      <c r="AB150" s="403" t="s">
        <v>8457</v>
      </c>
      <c r="AI150" s="403">
        <v>0</v>
      </c>
      <c r="AJ150" s="403" t="s">
        <v>8458</v>
      </c>
      <c r="AM150" s="403" t="s">
        <v>8459</v>
      </c>
      <c r="AT150" s="403">
        <v>0</v>
      </c>
      <c r="AU150" s="403" t="s">
        <v>8460</v>
      </c>
      <c r="AX150" s="403" t="s">
        <v>8461</v>
      </c>
      <c r="BE150" s="403">
        <v>0</v>
      </c>
      <c r="BF150" s="403" t="s">
        <v>8462</v>
      </c>
      <c r="BI150" s="403" t="s">
        <v>8463</v>
      </c>
      <c r="BP150" s="403" t="s">
        <v>3122</v>
      </c>
      <c r="BQ150" s="403" t="s">
        <v>8464</v>
      </c>
      <c r="BT150" s="403" t="s">
        <v>8465</v>
      </c>
      <c r="CA150" s="403">
        <v>0</v>
      </c>
      <c r="CB150" s="403" t="s">
        <v>8466</v>
      </c>
      <c r="CE150" s="403" t="s">
        <v>8467</v>
      </c>
      <c r="CL150" s="403">
        <v>0</v>
      </c>
      <c r="CM150" s="403" t="s">
        <v>8468</v>
      </c>
    </row>
    <row r="151" spans="1:92" s="15" customFormat="1" x14ac:dyDescent="0.2">
      <c r="A151" s="354">
        <v>1</v>
      </c>
      <c r="B151" s="569"/>
      <c r="C151" s="374"/>
      <c r="D151" s="5"/>
      <c r="E151" s="494"/>
      <c r="F151" s="39"/>
      <c r="G151" s="4" t="str">
        <f t="shared" ref="G151" si="44">IF(AND(ISBLANK(E151),ISBLANK(F151)),"CHECK","OK")</f>
        <v>CHECK</v>
      </c>
      <c r="H151" s="236" t="e">
        <f>IF(ISBLANK(F151),E151/USD2LCU,F151)</f>
        <v>#N/A</v>
      </c>
      <c r="I151" s="221" t="e">
        <f t="shared" ref="I151:I153" si="45">E151/USD2LCU</f>
        <v>#N/A</v>
      </c>
      <c r="J151" s="299"/>
      <c r="K151" s="587" t="s">
        <v>14129</v>
      </c>
      <c r="L151" s="241"/>
      <c r="M151" s="277"/>
      <c r="O151" s="403"/>
      <c r="P151" s="403"/>
      <c r="Q151" s="403"/>
      <c r="R151" s="403"/>
      <c r="S151" s="403"/>
      <c r="T151" s="403"/>
      <c r="U151" s="403"/>
      <c r="V151" s="403"/>
      <c r="W151" s="403"/>
      <c r="X151" s="403"/>
      <c r="Y151" s="403"/>
      <c r="Z151" s="403"/>
      <c r="AA151" s="403"/>
      <c r="AB151" s="403"/>
      <c r="AC151" s="403"/>
      <c r="AD151" s="403"/>
      <c r="AE151" s="403"/>
      <c r="AF151" s="403"/>
      <c r="AG151" s="403"/>
      <c r="AH151" s="403"/>
      <c r="AI151" s="403"/>
      <c r="AJ151" s="403"/>
      <c r="AK151" s="403"/>
      <c r="AL151" s="403"/>
      <c r="AM151" s="403"/>
      <c r="AN151" s="403"/>
      <c r="AO151" s="403"/>
      <c r="AP151" s="403"/>
      <c r="AQ151" s="403"/>
      <c r="AR151" s="403"/>
      <c r="AS151" s="403"/>
      <c r="AT151" s="403"/>
      <c r="AU151" s="403"/>
      <c r="AV151" s="403"/>
      <c r="AW151" s="403"/>
      <c r="AX151" s="403"/>
      <c r="AY151" s="403"/>
      <c r="AZ151" s="403"/>
      <c r="BA151" s="403"/>
      <c r="BB151" s="403"/>
      <c r="BC151" s="403"/>
      <c r="BD151" s="403"/>
      <c r="BE151" s="403"/>
      <c r="BF151" s="403"/>
      <c r="BG151" s="403"/>
      <c r="BH151" s="403"/>
      <c r="BI151" s="403"/>
      <c r="BJ151" s="403"/>
      <c r="BK151" s="403"/>
      <c r="BL151" s="403"/>
      <c r="BM151" s="403"/>
      <c r="BN151" s="403"/>
      <c r="BO151" s="403"/>
      <c r="BP151" s="403"/>
      <c r="BQ151" s="403"/>
      <c r="BR151" s="403"/>
      <c r="BS151" s="403"/>
      <c r="BT151" s="403"/>
      <c r="BU151" s="403"/>
      <c r="BV151" s="403"/>
      <c r="BW151" s="403"/>
      <c r="BX151" s="403"/>
      <c r="BY151" s="403"/>
      <c r="BZ151" s="403"/>
      <c r="CA151" s="403"/>
      <c r="CB151" s="403"/>
      <c r="CC151" s="650"/>
      <c r="CD151" s="403"/>
      <c r="CE151" s="403"/>
      <c r="CF151" s="403"/>
      <c r="CG151" s="403"/>
      <c r="CH151" s="403"/>
      <c r="CI151" s="403"/>
      <c r="CJ151" s="403"/>
      <c r="CK151" s="403"/>
      <c r="CL151" s="403"/>
      <c r="CM151" s="403"/>
      <c r="CN151" s="564"/>
    </row>
    <row r="152" spans="1:92" s="15" customFormat="1" x14ac:dyDescent="0.2">
      <c r="A152" s="350">
        <v>2</v>
      </c>
      <c r="B152" s="569"/>
      <c r="C152" s="374"/>
      <c r="D152" s="5"/>
      <c r="E152" s="494"/>
      <c r="F152" s="39"/>
      <c r="G152" s="194"/>
      <c r="H152" s="236" t="e">
        <f>IF(ISBLANK(F152),E152/USD2LCU,F152)</f>
        <v>#N/A</v>
      </c>
      <c r="I152" s="221" t="e">
        <f t="shared" si="45"/>
        <v>#N/A</v>
      </c>
      <c r="J152" s="299"/>
      <c r="K152" s="587"/>
      <c r="L152" s="241"/>
      <c r="M152" s="277"/>
      <c r="O152" s="403"/>
      <c r="P152" s="403"/>
      <c r="Q152" s="403"/>
      <c r="R152" s="403"/>
      <c r="S152" s="403"/>
      <c r="T152" s="403"/>
      <c r="U152" s="403"/>
      <c r="V152" s="403"/>
      <c r="W152" s="403"/>
      <c r="X152" s="403"/>
      <c r="Y152" s="403"/>
      <c r="Z152" s="403"/>
      <c r="AA152" s="403"/>
      <c r="AB152" s="403"/>
      <c r="AC152" s="403"/>
      <c r="AD152" s="403"/>
      <c r="AE152" s="403"/>
      <c r="AF152" s="403"/>
      <c r="AG152" s="403"/>
      <c r="AH152" s="403"/>
      <c r="AI152" s="403"/>
      <c r="AJ152" s="403"/>
      <c r="AK152" s="403"/>
      <c r="AL152" s="403"/>
      <c r="AM152" s="403"/>
      <c r="AN152" s="403"/>
      <c r="AO152" s="403"/>
      <c r="AP152" s="403"/>
      <c r="AQ152" s="403"/>
      <c r="AR152" s="403"/>
      <c r="AS152" s="403"/>
      <c r="AT152" s="403"/>
      <c r="AU152" s="403"/>
      <c r="AV152" s="403"/>
      <c r="AW152" s="403"/>
      <c r="AX152" s="403"/>
      <c r="AY152" s="403"/>
      <c r="AZ152" s="403"/>
      <c r="BA152" s="403"/>
      <c r="BB152" s="403"/>
      <c r="BC152" s="403"/>
      <c r="BD152" s="403"/>
      <c r="BE152" s="403"/>
      <c r="BF152" s="403"/>
      <c r="BG152" s="403"/>
      <c r="BH152" s="403"/>
      <c r="BI152" s="403"/>
      <c r="BJ152" s="403"/>
      <c r="BK152" s="403"/>
      <c r="BL152" s="403"/>
      <c r="BM152" s="403"/>
      <c r="BN152" s="403"/>
      <c r="BO152" s="403"/>
      <c r="BP152" s="403"/>
      <c r="BQ152" s="403"/>
      <c r="BR152" s="403"/>
      <c r="BS152" s="403"/>
      <c r="BT152" s="403"/>
      <c r="BU152" s="403"/>
      <c r="BV152" s="403"/>
      <c r="BW152" s="403"/>
      <c r="BX152" s="403"/>
      <c r="BY152" s="403"/>
      <c r="BZ152" s="403"/>
      <c r="CA152" s="403"/>
      <c r="CB152" s="403"/>
      <c r="CC152" s="650"/>
      <c r="CD152" s="403"/>
      <c r="CE152" s="403"/>
      <c r="CF152" s="403"/>
      <c r="CG152" s="403"/>
      <c r="CH152" s="403"/>
      <c r="CI152" s="403"/>
      <c r="CJ152" s="403"/>
      <c r="CK152" s="403"/>
      <c r="CL152" s="403"/>
      <c r="CM152" s="403"/>
      <c r="CN152" s="564"/>
    </row>
    <row r="153" spans="1:92" s="15" customFormat="1" x14ac:dyDescent="0.2">
      <c r="A153" s="350">
        <v>2</v>
      </c>
      <c r="B153" s="569"/>
      <c r="C153" s="374"/>
      <c r="D153" s="5"/>
      <c r="E153" s="494"/>
      <c r="F153" s="39"/>
      <c r="G153" s="194"/>
      <c r="H153" s="236" t="e">
        <f>IF(ISBLANK(F153),E153/USD2LCU,F153)</f>
        <v>#N/A</v>
      </c>
      <c r="I153" s="221" t="e">
        <f t="shared" si="45"/>
        <v>#N/A</v>
      </c>
      <c r="J153" s="299"/>
      <c r="K153" s="587"/>
      <c r="L153" s="241"/>
      <c r="M153" s="277"/>
      <c r="O153" s="403"/>
      <c r="P153" s="403"/>
      <c r="Q153" s="403"/>
      <c r="R153" s="403"/>
      <c r="S153" s="403"/>
      <c r="T153" s="403"/>
      <c r="U153" s="403"/>
      <c r="V153" s="403"/>
      <c r="W153" s="403"/>
      <c r="X153" s="403"/>
      <c r="Y153" s="403"/>
      <c r="Z153" s="403"/>
      <c r="AA153" s="403"/>
      <c r="AB153" s="403"/>
      <c r="AC153" s="403"/>
      <c r="AD153" s="403"/>
      <c r="AE153" s="403"/>
      <c r="AF153" s="403"/>
      <c r="AG153" s="403"/>
      <c r="AH153" s="403"/>
      <c r="AI153" s="403"/>
      <c r="AJ153" s="403"/>
      <c r="AK153" s="403"/>
      <c r="AL153" s="403"/>
      <c r="AM153" s="403"/>
      <c r="AN153" s="403"/>
      <c r="AO153" s="403"/>
      <c r="AP153" s="403"/>
      <c r="AQ153" s="403"/>
      <c r="AR153" s="403"/>
      <c r="AS153" s="403"/>
      <c r="AT153" s="403"/>
      <c r="AU153" s="403"/>
      <c r="AV153" s="403"/>
      <c r="AW153" s="403"/>
      <c r="AX153" s="403"/>
      <c r="AY153" s="403"/>
      <c r="AZ153" s="403"/>
      <c r="BA153" s="403"/>
      <c r="BB153" s="403"/>
      <c r="BC153" s="403"/>
      <c r="BD153" s="403"/>
      <c r="BE153" s="403"/>
      <c r="BF153" s="403"/>
      <c r="BG153" s="403"/>
      <c r="BH153" s="403"/>
      <c r="BI153" s="403"/>
      <c r="BJ153" s="403"/>
      <c r="BK153" s="403"/>
      <c r="BL153" s="403"/>
      <c r="BM153" s="403"/>
      <c r="BN153" s="403"/>
      <c r="BO153" s="403"/>
      <c r="BP153" s="403"/>
      <c r="BQ153" s="403"/>
      <c r="BR153" s="403"/>
      <c r="BS153" s="403"/>
      <c r="BT153" s="403"/>
      <c r="BU153" s="403"/>
      <c r="BV153" s="403"/>
      <c r="BW153" s="403"/>
      <c r="BX153" s="403"/>
      <c r="BY153" s="403"/>
      <c r="BZ153" s="403"/>
      <c r="CA153" s="403"/>
      <c r="CB153" s="403"/>
      <c r="CC153" s="650"/>
      <c r="CD153" s="403"/>
      <c r="CE153" s="403"/>
      <c r="CF153" s="403"/>
      <c r="CG153" s="403"/>
      <c r="CH153" s="403"/>
      <c r="CI153" s="403"/>
      <c r="CJ153" s="403"/>
      <c r="CK153" s="403"/>
      <c r="CL153" s="403"/>
      <c r="CM153" s="403"/>
      <c r="CN153" s="564"/>
    </row>
    <row r="154" spans="1:92" s="15" customFormat="1" x14ac:dyDescent="0.2">
      <c r="B154" s="569"/>
      <c r="C154" s="23"/>
      <c r="D154" s="5"/>
      <c r="F154" s="14"/>
      <c r="G154" s="194"/>
      <c r="H154" s="194"/>
      <c r="I154" s="14"/>
      <c r="L154" s="241"/>
      <c r="M154" s="277"/>
      <c r="O154" s="403"/>
      <c r="P154" s="403"/>
      <c r="Q154" s="403"/>
      <c r="R154" s="403"/>
      <c r="S154" s="403"/>
      <c r="T154" s="403"/>
      <c r="U154" s="403"/>
      <c r="V154" s="403"/>
      <c r="W154" s="403"/>
      <c r="X154" s="403"/>
      <c r="Y154" s="403"/>
      <c r="Z154" s="403"/>
      <c r="AA154" s="403"/>
      <c r="AB154" s="403"/>
      <c r="AC154" s="403"/>
      <c r="AD154" s="403"/>
      <c r="AE154" s="403"/>
      <c r="AF154" s="403"/>
      <c r="AG154" s="403"/>
      <c r="AH154" s="403"/>
      <c r="AI154" s="403"/>
      <c r="AJ154" s="403"/>
      <c r="AK154" s="403"/>
      <c r="AL154" s="403"/>
      <c r="AM154" s="403"/>
      <c r="AN154" s="403"/>
      <c r="AO154" s="403"/>
      <c r="AP154" s="403"/>
      <c r="AQ154" s="403"/>
      <c r="AR154" s="403"/>
      <c r="AS154" s="403"/>
      <c r="AT154" s="403"/>
      <c r="AU154" s="403"/>
      <c r="AV154" s="403"/>
      <c r="AW154" s="403"/>
      <c r="AX154" s="403"/>
      <c r="AY154" s="403"/>
      <c r="AZ154" s="403"/>
      <c r="BA154" s="403"/>
      <c r="BB154" s="403"/>
      <c r="BC154" s="403"/>
      <c r="BD154" s="403"/>
      <c r="BE154" s="403"/>
      <c r="BF154" s="403"/>
      <c r="BG154" s="403"/>
      <c r="BH154" s="403"/>
      <c r="BI154" s="403"/>
      <c r="BJ154" s="403"/>
      <c r="BK154" s="403"/>
      <c r="BL154" s="403"/>
      <c r="BM154" s="403"/>
      <c r="BN154" s="403"/>
      <c r="BO154" s="403"/>
      <c r="BP154" s="403"/>
      <c r="BQ154" s="403"/>
      <c r="BR154" s="403"/>
      <c r="BS154" s="403"/>
      <c r="BT154" s="403"/>
      <c r="BU154" s="403"/>
      <c r="BV154" s="403"/>
      <c r="BW154" s="403"/>
      <c r="BX154" s="403"/>
      <c r="BY154" s="403"/>
      <c r="BZ154" s="403"/>
      <c r="CA154" s="403"/>
      <c r="CB154" s="403"/>
      <c r="CC154" s="650"/>
      <c r="CD154" s="403"/>
      <c r="CE154" s="403"/>
      <c r="CF154" s="403"/>
      <c r="CG154" s="403"/>
      <c r="CH154" s="403"/>
      <c r="CI154" s="403"/>
      <c r="CJ154" s="403"/>
      <c r="CK154" s="403"/>
      <c r="CL154" s="403"/>
      <c r="CM154" s="403"/>
      <c r="CN154" s="564"/>
    </row>
    <row r="155" spans="1:92" s="15" customFormat="1" x14ac:dyDescent="0.2">
      <c r="A155" s="429"/>
      <c r="B155" s="92" t="str">
        <f ca="1">IF(OFFSET(Q155,0,Lang_Order*Lang__A3)="","",OFFSET(Q155,0,Lang_Order*Lang__A3))</f>
        <v>PER PERSON Eligible for Vaccination (Work-based)</v>
      </c>
      <c r="D155" s="23"/>
      <c r="F155" s="14"/>
      <c r="G155" s="194"/>
      <c r="H155" s="14"/>
      <c r="I155" s="11" t="e">
        <f>SUM(H156:H158)</f>
        <v>#N/A</v>
      </c>
      <c r="J155" s="12" t="str">
        <f ca="1">IF(OFFSET(Y155,0,Lang_Order*Lang__A3)="","",OFFSET(Y155,0,Lang_Order*Lang__A3))</f>
        <v>Work-based … i.e. a 'captive' audience</v>
      </c>
      <c r="L155" s="241"/>
      <c r="M155" s="277"/>
      <c r="O155" s="403"/>
      <c r="P155" s="403"/>
      <c r="Q155" s="403" t="s">
        <v>4440</v>
      </c>
      <c r="R155" s="403"/>
      <c r="S155" s="403"/>
      <c r="T155" s="403"/>
      <c r="U155" s="403"/>
      <c r="V155" s="403"/>
      <c r="W155" s="403"/>
      <c r="X155" s="403"/>
      <c r="Y155" s="403" t="s">
        <v>1628</v>
      </c>
      <c r="Z155" s="403"/>
      <c r="AA155" s="403"/>
      <c r="AB155" s="403" t="s">
        <v>8469</v>
      </c>
      <c r="AC155" s="403"/>
      <c r="AD155" s="403"/>
      <c r="AE155" s="403"/>
      <c r="AF155" s="403"/>
      <c r="AG155" s="403"/>
      <c r="AH155" s="403"/>
      <c r="AI155" s="403"/>
      <c r="AJ155" s="403" t="s">
        <v>8470</v>
      </c>
      <c r="AK155" s="403"/>
      <c r="AL155" s="403"/>
      <c r="AM155" s="403" t="s">
        <v>8471</v>
      </c>
      <c r="AN155" s="403"/>
      <c r="AO155" s="403"/>
      <c r="AP155" s="403"/>
      <c r="AQ155" s="403"/>
      <c r="AR155" s="403"/>
      <c r="AS155" s="403"/>
      <c r="AT155" s="403"/>
      <c r="AU155" s="403" t="s">
        <v>8472</v>
      </c>
      <c r="AV155" s="403"/>
      <c r="AW155" s="403"/>
      <c r="AX155" s="403" t="s">
        <v>8473</v>
      </c>
      <c r="AY155" s="403"/>
      <c r="AZ155" s="403"/>
      <c r="BA155" s="403"/>
      <c r="BB155" s="403"/>
      <c r="BC155" s="403"/>
      <c r="BD155" s="403"/>
      <c r="BE155" s="403"/>
      <c r="BF155" s="403" t="s">
        <v>8474</v>
      </c>
      <c r="BG155" s="403"/>
      <c r="BH155" s="403"/>
      <c r="BI155" s="403" t="s">
        <v>8475</v>
      </c>
      <c r="BJ155" s="403"/>
      <c r="BK155" s="403"/>
      <c r="BL155" s="403"/>
      <c r="BM155" s="403"/>
      <c r="BN155" s="403"/>
      <c r="BO155" s="403"/>
      <c r="BP155" s="403"/>
      <c r="BQ155" s="403" t="s">
        <v>8476</v>
      </c>
      <c r="BR155" s="403"/>
      <c r="BS155" s="403"/>
      <c r="BT155" s="403" t="s">
        <v>8477</v>
      </c>
      <c r="BU155" s="403"/>
      <c r="BV155" s="403"/>
      <c r="BW155" s="403"/>
      <c r="BX155" s="403"/>
      <c r="BY155" s="403"/>
      <c r="BZ155" s="403"/>
      <c r="CA155" s="403"/>
      <c r="CB155" s="403" t="s">
        <v>8478</v>
      </c>
      <c r="CC155" s="650"/>
      <c r="CD155" s="403"/>
      <c r="CE155" s="403" t="s">
        <v>8479</v>
      </c>
      <c r="CF155" s="403"/>
      <c r="CG155" s="403"/>
      <c r="CH155" s="403"/>
      <c r="CI155" s="403"/>
      <c r="CJ155" s="403"/>
      <c r="CK155" s="403"/>
      <c r="CL155" s="403"/>
      <c r="CM155" s="403" t="s">
        <v>8480</v>
      </c>
      <c r="CN155" s="564"/>
    </row>
    <row r="156" spans="1:92" s="15" customFormat="1" x14ac:dyDescent="0.2">
      <c r="A156" s="354">
        <v>1</v>
      </c>
      <c r="B156" s="569"/>
      <c r="C156" s="374"/>
      <c r="D156" s="5"/>
      <c r="E156" s="494"/>
      <c r="F156" s="39"/>
      <c r="G156" s="4" t="str">
        <f t="shared" ref="G156" si="46">IF(AND(ISBLANK(E156),ISBLANK(F156)),"CHECK","OK")</f>
        <v>CHECK</v>
      </c>
      <c r="H156" s="236" t="e">
        <f>IF(ISBLANK(F156),E156/USD2LCU,F156)</f>
        <v>#N/A</v>
      </c>
      <c r="I156" s="221" t="e">
        <f t="shared" ref="I156:I158" si="47">E156/USD2LCU</f>
        <v>#N/A</v>
      </c>
      <c r="J156" s="299"/>
      <c r="K156" s="587" t="s">
        <v>14151</v>
      </c>
      <c r="L156" s="241"/>
      <c r="M156" s="277"/>
      <c r="O156" s="403"/>
      <c r="P156" s="403"/>
      <c r="Q156" s="403"/>
      <c r="R156" s="403"/>
      <c r="S156" s="403"/>
      <c r="T156" s="403"/>
      <c r="U156" s="403"/>
      <c r="V156" s="403"/>
      <c r="W156" s="403"/>
      <c r="X156" s="403"/>
      <c r="Y156" s="403"/>
      <c r="Z156" s="403"/>
      <c r="AA156" s="403"/>
      <c r="AB156" s="403"/>
      <c r="AC156" s="403"/>
      <c r="AD156" s="403"/>
      <c r="AE156" s="403"/>
      <c r="AF156" s="403"/>
      <c r="AG156" s="403"/>
      <c r="AH156" s="403"/>
      <c r="AI156" s="403"/>
      <c r="AJ156" s="403"/>
      <c r="AK156" s="403"/>
      <c r="AL156" s="403"/>
      <c r="AM156" s="403"/>
      <c r="AN156" s="403"/>
      <c r="AO156" s="403"/>
      <c r="AP156" s="403"/>
      <c r="AQ156" s="403"/>
      <c r="AR156" s="403"/>
      <c r="AS156" s="403"/>
      <c r="AT156" s="403"/>
      <c r="AU156" s="403"/>
      <c r="AV156" s="403"/>
      <c r="AW156" s="403"/>
      <c r="AX156" s="403"/>
      <c r="AY156" s="403"/>
      <c r="AZ156" s="403"/>
      <c r="BA156" s="403"/>
      <c r="BB156" s="403"/>
      <c r="BC156" s="403"/>
      <c r="BD156" s="403"/>
      <c r="BE156" s="403"/>
      <c r="BF156" s="403"/>
      <c r="BG156" s="403"/>
      <c r="BH156" s="403"/>
      <c r="BI156" s="403"/>
      <c r="BJ156" s="403"/>
      <c r="BK156" s="403"/>
      <c r="BL156" s="403"/>
      <c r="BM156" s="403"/>
      <c r="BN156" s="403"/>
      <c r="BO156" s="403"/>
      <c r="BP156" s="403"/>
      <c r="BQ156" s="403"/>
      <c r="BR156" s="403"/>
      <c r="BS156" s="403"/>
      <c r="BT156" s="403"/>
      <c r="BU156" s="403"/>
      <c r="BV156" s="403"/>
      <c r="BW156" s="403"/>
      <c r="BX156" s="403"/>
      <c r="BY156" s="403"/>
      <c r="BZ156" s="403"/>
      <c r="CA156" s="403"/>
      <c r="CB156" s="403"/>
      <c r="CC156" s="650"/>
      <c r="CD156" s="403"/>
      <c r="CE156" s="403"/>
      <c r="CF156" s="403"/>
      <c r="CG156" s="403"/>
      <c r="CH156" s="403"/>
      <c r="CI156" s="403"/>
      <c r="CJ156" s="403"/>
      <c r="CK156" s="403"/>
      <c r="CL156" s="403"/>
      <c r="CM156" s="403"/>
      <c r="CN156" s="564"/>
    </row>
    <row r="157" spans="1:92" s="15" customFormat="1" x14ac:dyDescent="0.2">
      <c r="A157" s="350">
        <v>2</v>
      </c>
      <c r="B157" s="569"/>
      <c r="C157" s="374"/>
      <c r="D157" s="5"/>
      <c r="E157" s="494"/>
      <c r="F157" s="39"/>
      <c r="G157" s="194"/>
      <c r="H157" s="236" t="e">
        <f>IF(ISBLANK(F157),E157/USD2LCU,F157)</f>
        <v>#N/A</v>
      </c>
      <c r="I157" s="221" t="e">
        <f t="shared" si="47"/>
        <v>#N/A</v>
      </c>
      <c r="J157" s="299"/>
      <c r="K157" s="587"/>
      <c r="L157" s="241"/>
      <c r="M157" s="277"/>
      <c r="O157" s="403"/>
      <c r="P157" s="403"/>
      <c r="Q157" s="403"/>
      <c r="R157" s="403"/>
      <c r="S157" s="403"/>
      <c r="T157" s="403"/>
      <c r="U157" s="403"/>
      <c r="V157" s="403"/>
      <c r="W157" s="403"/>
      <c r="X157" s="403"/>
      <c r="Y157" s="403"/>
      <c r="Z157" s="403"/>
      <c r="AA157" s="403"/>
      <c r="AB157" s="403"/>
      <c r="AC157" s="403"/>
      <c r="AD157" s="403"/>
      <c r="AE157" s="403"/>
      <c r="AF157" s="403"/>
      <c r="AG157" s="403"/>
      <c r="AH157" s="403"/>
      <c r="AI157" s="403"/>
      <c r="AJ157" s="403"/>
      <c r="AK157" s="403"/>
      <c r="AL157" s="403"/>
      <c r="AM157" s="403"/>
      <c r="AN157" s="403"/>
      <c r="AO157" s="403"/>
      <c r="AP157" s="403"/>
      <c r="AQ157" s="403"/>
      <c r="AR157" s="403"/>
      <c r="AS157" s="403"/>
      <c r="AT157" s="403"/>
      <c r="AU157" s="403"/>
      <c r="AV157" s="403"/>
      <c r="AW157" s="403"/>
      <c r="AX157" s="403"/>
      <c r="AY157" s="403"/>
      <c r="AZ157" s="403"/>
      <c r="BA157" s="403"/>
      <c r="BB157" s="403"/>
      <c r="BC157" s="403"/>
      <c r="BD157" s="403"/>
      <c r="BE157" s="403"/>
      <c r="BF157" s="403"/>
      <c r="BG157" s="403"/>
      <c r="BH157" s="403"/>
      <c r="BI157" s="403"/>
      <c r="BJ157" s="403"/>
      <c r="BK157" s="403"/>
      <c r="BL157" s="403"/>
      <c r="BM157" s="403"/>
      <c r="BN157" s="403"/>
      <c r="BO157" s="403"/>
      <c r="BP157" s="403"/>
      <c r="BQ157" s="403"/>
      <c r="BR157" s="403"/>
      <c r="BS157" s="403"/>
      <c r="BT157" s="403"/>
      <c r="BU157" s="403"/>
      <c r="BV157" s="403"/>
      <c r="BW157" s="403"/>
      <c r="BX157" s="403"/>
      <c r="BY157" s="403"/>
      <c r="BZ157" s="403"/>
      <c r="CA157" s="403"/>
      <c r="CB157" s="403"/>
      <c r="CC157" s="650"/>
      <c r="CD157" s="403"/>
      <c r="CE157" s="403"/>
      <c r="CF157" s="403"/>
      <c r="CG157" s="403"/>
      <c r="CH157" s="403"/>
      <c r="CI157" s="403"/>
      <c r="CJ157" s="403"/>
      <c r="CK157" s="403"/>
      <c r="CL157" s="403"/>
      <c r="CM157" s="403"/>
      <c r="CN157" s="564"/>
    </row>
    <row r="158" spans="1:92" s="15" customFormat="1" x14ac:dyDescent="0.2">
      <c r="A158" s="350">
        <v>2</v>
      </c>
      <c r="B158" s="569"/>
      <c r="C158" s="374"/>
      <c r="D158" s="5"/>
      <c r="E158" s="494"/>
      <c r="F158" s="39"/>
      <c r="G158" s="194"/>
      <c r="H158" s="236" t="e">
        <f>IF(ISBLANK(F158),E158/USD2LCU,F158)</f>
        <v>#N/A</v>
      </c>
      <c r="I158" s="221" t="e">
        <f t="shared" si="47"/>
        <v>#N/A</v>
      </c>
      <c r="J158" s="299"/>
      <c r="K158" s="587"/>
      <c r="L158" s="241"/>
      <c r="M158" s="277"/>
      <c r="O158" s="403"/>
      <c r="P158" s="403"/>
      <c r="Q158" s="403"/>
      <c r="R158" s="403"/>
      <c r="S158" s="403"/>
      <c r="T158" s="403"/>
      <c r="U158" s="403"/>
      <c r="V158" s="403"/>
      <c r="W158" s="403"/>
      <c r="X158" s="403"/>
      <c r="Y158" s="403"/>
      <c r="Z158" s="403"/>
      <c r="AA158" s="403"/>
      <c r="AB158" s="403"/>
      <c r="AC158" s="403"/>
      <c r="AD158" s="403"/>
      <c r="AE158" s="403"/>
      <c r="AF158" s="403"/>
      <c r="AG158" s="403"/>
      <c r="AH158" s="403"/>
      <c r="AI158" s="403"/>
      <c r="AJ158" s="403"/>
      <c r="AK158" s="403"/>
      <c r="AL158" s="403"/>
      <c r="AM158" s="403"/>
      <c r="AN158" s="403"/>
      <c r="AO158" s="403"/>
      <c r="AP158" s="403"/>
      <c r="AQ158" s="403"/>
      <c r="AR158" s="403"/>
      <c r="AS158" s="403"/>
      <c r="AT158" s="403"/>
      <c r="AU158" s="403"/>
      <c r="AV158" s="403"/>
      <c r="AW158" s="403"/>
      <c r="AX158" s="403"/>
      <c r="AY158" s="403"/>
      <c r="AZ158" s="403"/>
      <c r="BA158" s="403"/>
      <c r="BB158" s="403"/>
      <c r="BC158" s="403"/>
      <c r="BD158" s="403"/>
      <c r="BE158" s="403"/>
      <c r="BF158" s="403"/>
      <c r="BG158" s="403"/>
      <c r="BH158" s="403"/>
      <c r="BI158" s="403"/>
      <c r="BJ158" s="403"/>
      <c r="BK158" s="403"/>
      <c r="BL158" s="403"/>
      <c r="BM158" s="403"/>
      <c r="BN158" s="403"/>
      <c r="BO158" s="403"/>
      <c r="BP158" s="403"/>
      <c r="BQ158" s="403"/>
      <c r="BR158" s="403"/>
      <c r="BS158" s="403"/>
      <c r="BT158" s="403"/>
      <c r="BU158" s="403"/>
      <c r="BV158" s="403"/>
      <c r="BW158" s="403"/>
      <c r="BX158" s="403"/>
      <c r="BY158" s="403"/>
      <c r="BZ158" s="403"/>
      <c r="CA158" s="403"/>
      <c r="CB158" s="403"/>
      <c r="CC158" s="650"/>
      <c r="CD158" s="403"/>
      <c r="CE158" s="403"/>
      <c r="CF158" s="403"/>
      <c r="CG158" s="403"/>
      <c r="CH158" s="403"/>
      <c r="CI158" s="403"/>
      <c r="CJ158" s="403"/>
      <c r="CK158" s="403"/>
      <c r="CL158" s="403"/>
      <c r="CM158" s="403"/>
      <c r="CN158" s="564"/>
    </row>
    <row r="159" spans="1:92" s="15" customFormat="1" x14ac:dyDescent="0.2">
      <c r="B159" s="569"/>
      <c r="C159" s="23"/>
      <c r="D159" s="5"/>
      <c r="F159" s="14"/>
      <c r="G159" s="194"/>
      <c r="H159" s="194"/>
      <c r="I159" s="14"/>
      <c r="L159" s="241"/>
      <c r="M159" s="277"/>
      <c r="O159" s="403"/>
      <c r="P159" s="403"/>
      <c r="Q159" s="403"/>
      <c r="R159" s="403"/>
      <c r="S159" s="403"/>
      <c r="T159" s="403"/>
      <c r="U159" s="403"/>
      <c r="V159" s="403"/>
      <c r="W159" s="403"/>
      <c r="X159" s="403"/>
      <c r="Y159" s="403"/>
      <c r="Z159" s="403"/>
      <c r="AA159" s="403"/>
      <c r="AB159" s="403"/>
      <c r="AC159" s="403"/>
      <c r="AD159" s="403"/>
      <c r="AE159" s="403"/>
      <c r="AF159" s="403"/>
      <c r="AG159" s="403"/>
      <c r="AH159" s="403"/>
      <c r="AI159" s="403"/>
      <c r="AJ159" s="403"/>
      <c r="AK159" s="403"/>
      <c r="AL159" s="403"/>
      <c r="AM159" s="403"/>
      <c r="AN159" s="403"/>
      <c r="AO159" s="403"/>
      <c r="AP159" s="403"/>
      <c r="AQ159" s="403"/>
      <c r="AR159" s="403"/>
      <c r="AS159" s="403"/>
      <c r="AT159" s="403"/>
      <c r="AU159" s="403"/>
      <c r="AV159" s="403"/>
      <c r="AW159" s="403"/>
      <c r="AX159" s="403"/>
      <c r="AY159" s="403"/>
      <c r="AZ159" s="403"/>
      <c r="BA159" s="403"/>
      <c r="BB159" s="403"/>
      <c r="BC159" s="403"/>
      <c r="BD159" s="403"/>
      <c r="BE159" s="403"/>
      <c r="BF159" s="403"/>
      <c r="BG159" s="403"/>
      <c r="BH159" s="403"/>
      <c r="BI159" s="403"/>
      <c r="BJ159" s="403"/>
      <c r="BK159" s="403"/>
      <c r="BL159" s="403"/>
      <c r="BM159" s="403"/>
      <c r="BN159" s="403"/>
      <c r="BO159" s="403"/>
      <c r="BP159" s="403"/>
      <c r="BQ159" s="403"/>
      <c r="BR159" s="403"/>
      <c r="BS159" s="403"/>
      <c r="BT159" s="403"/>
      <c r="BU159" s="403"/>
      <c r="BV159" s="403"/>
      <c r="BW159" s="403"/>
      <c r="BX159" s="403"/>
      <c r="BY159" s="403"/>
      <c r="BZ159" s="403"/>
      <c r="CA159" s="403"/>
      <c r="CB159" s="403"/>
      <c r="CC159" s="650"/>
      <c r="CD159" s="403"/>
      <c r="CE159" s="403"/>
      <c r="CF159" s="403"/>
      <c r="CG159" s="403"/>
      <c r="CH159" s="403"/>
      <c r="CI159" s="403"/>
      <c r="CJ159" s="403"/>
      <c r="CK159" s="403"/>
      <c r="CL159" s="403"/>
      <c r="CM159" s="403"/>
      <c r="CN159" s="564"/>
    </row>
    <row r="160" spans="1:92" s="15" customFormat="1" x14ac:dyDescent="0.2">
      <c r="A160" s="429"/>
      <c r="B160" s="92" t="str">
        <f ca="1">IF(OFFSET(Q160,0,Lang_Order*Lang__A3)="","",OFFSET(Q160,0,Lang_Order*Lang__A3))</f>
        <v>PER PERSON Eligible for Vaccination (Voluntary)</v>
      </c>
      <c r="D160" s="23"/>
      <c r="F160" s="14"/>
      <c r="G160" s="194"/>
      <c r="H160" s="14"/>
      <c r="I160" s="11" t="e">
        <f>SUM(H161:H163)</f>
        <v>#N/A</v>
      </c>
      <c r="J160" s="12" t="str">
        <f ca="1">IF(OFFSET(Y160,0,Lang_Order*Lang__A3)="","",OFFSET(Y160,0,Lang_Order*Lang__A3))</f>
        <v>Voluntary … i.e., needs to be convinced and persuaded</v>
      </c>
      <c r="L160" s="241"/>
      <c r="M160" s="277"/>
      <c r="O160" s="403"/>
      <c r="P160" s="403"/>
      <c r="Q160" s="403" t="s">
        <v>4441</v>
      </c>
      <c r="R160" s="403"/>
      <c r="S160" s="403"/>
      <c r="T160" s="403"/>
      <c r="U160" s="403"/>
      <c r="V160" s="403"/>
      <c r="W160" s="403"/>
      <c r="X160" s="403"/>
      <c r="Y160" s="403" t="s">
        <v>1629</v>
      </c>
      <c r="Z160" s="403"/>
      <c r="AA160" s="403"/>
      <c r="AB160" s="403" t="s">
        <v>8481</v>
      </c>
      <c r="AC160" s="403"/>
      <c r="AD160" s="403"/>
      <c r="AE160" s="403"/>
      <c r="AF160" s="403"/>
      <c r="AG160" s="403"/>
      <c r="AH160" s="403"/>
      <c r="AI160" s="403"/>
      <c r="AJ160" s="403" t="s">
        <v>8482</v>
      </c>
      <c r="AK160" s="403"/>
      <c r="AL160" s="403"/>
      <c r="AM160" s="403" t="s">
        <v>8483</v>
      </c>
      <c r="AN160" s="403"/>
      <c r="AO160" s="403"/>
      <c r="AP160" s="403"/>
      <c r="AQ160" s="403"/>
      <c r="AR160" s="403"/>
      <c r="AS160" s="403"/>
      <c r="AT160" s="403"/>
      <c r="AU160" s="403" t="s">
        <v>8484</v>
      </c>
      <c r="AV160" s="403"/>
      <c r="AW160" s="403"/>
      <c r="AX160" s="403" t="s">
        <v>8485</v>
      </c>
      <c r="AY160" s="403"/>
      <c r="AZ160" s="403"/>
      <c r="BA160" s="403"/>
      <c r="BB160" s="403"/>
      <c r="BC160" s="403"/>
      <c r="BD160" s="403"/>
      <c r="BE160" s="403"/>
      <c r="BF160" s="403" t="s">
        <v>8486</v>
      </c>
      <c r="BG160" s="403"/>
      <c r="BH160" s="403"/>
      <c r="BI160" s="403" t="s">
        <v>8487</v>
      </c>
      <c r="BJ160" s="403"/>
      <c r="BK160" s="403"/>
      <c r="BL160" s="403"/>
      <c r="BM160" s="403"/>
      <c r="BN160" s="403"/>
      <c r="BO160" s="403"/>
      <c r="BP160" s="403"/>
      <c r="BQ160" s="403" t="s">
        <v>8488</v>
      </c>
      <c r="BR160" s="403"/>
      <c r="BS160" s="403"/>
      <c r="BT160" s="403" t="s">
        <v>8489</v>
      </c>
      <c r="BU160" s="403"/>
      <c r="BV160" s="403"/>
      <c r="BW160" s="403"/>
      <c r="BX160" s="403"/>
      <c r="BY160" s="403"/>
      <c r="BZ160" s="403"/>
      <c r="CA160" s="403"/>
      <c r="CB160" s="403" t="s">
        <v>8490</v>
      </c>
      <c r="CC160" s="650"/>
      <c r="CD160" s="403"/>
      <c r="CE160" s="403" t="s">
        <v>8491</v>
      </c>
      <c r="CF160" s="403"/>
      <c r="CG160" s="403"/>
      <c r="CH160" s="403"/>
      <c r="CI160" s="403"/>
      <c r="CJ160" s="403"/>
      <c r="CK160" s="403"/>
      <c r="CL160" s="403"/>
      <c r="CM160" s="403" t="s">
        <v>8492</v>
      </c>
      <c r="CN160" s="564"/>
    </row>
    <row r="161" spans="1:92" s="15" customFormat="1" x14ac:dyDescent="0.2">
      <c r="A161" s="354">
        <v>1</v>
      </c>
      <c r="B161" s="569"/>
      <c r="C161" s="374"/>
      <c r="D161" s="5"/>
      <c r="E161" s="494"/>
      <c r="F161" s="39"/>
      <c r="G161" s="4" t="str">
        <f t="shared" ref="G161" si="48">IF(AND(ISBLANK(E161),ISBLANK(F161)),"CHECK","OK")</f>
        <v>CHECK</v>
      </c>
      <c r="H161" s="236" t="e">
        <f>IF(ISBLANK(F161),E161/USD2LCU,F161)</f>
        <v>#N/A</v>
      </c>
      <c r="I161" s="221" t="e">
        <f t="shared" ref="I161:I163" si="49">E161/USD2LCU</f>
        <v>#N/A</v>
      </c>
      <c r="J161" s="299"/>
      <c r="K161" s="587" t="s">
        <v>14152</v>
      </c>
      <c r="L161" s="241"/>
      <c r="M161" s="277"/>
      <c r="O161" s="403"/>
      <c r="P161" s="403"/>
      <c r="Q161" s="403"/>
      <c r="R161" s="403"/>
      <c r="S161" s="403"/>
      <c r="T161" s="403"/>
      <c r="U161" s="403"/>
      <c r="V161" s="403"/>
      <c r="W161" s="403"/>
      <c r="X161" s="403"/>
      <c r="Y161" s="403"/>
      <c r="Z161" s="403"/>
      <c r="AA161" s="403"/>
      <c r="AB161" s="403"/>
      <c r="AC161" s="403"/>
      <c r="AD161" s="403"/>
      <c r="AE161" s="403"/>
      <c r="AF161" s="403"/>
      <c r="AG161" s="403"/>
      <c r="AH161" s="403"/>
      <c r="AI161" s="403"/>
      <c r="AJ161" s="403"/>
      <c r="AK161" s="403"/>
      <c r="AL161" s="403"/>
      <c r="AM161" s="403"/>
      <c r="AN161" s="403"/>
      <c r="AO161" s="403"/>
      <c r="AP161" s="403"/>
      <c r="AQ161" s="403"/>
      <c r="AR161" s="403"/>
      <c r="AS161" s="403"/>
      <c r="AT161" s="403"/>
      <c r="AU161" s="403"/>
      <c r="AV161" s="403"/>
      <c r="AW161" s="403"/>
      <c r="AX161" s="403"/>
      <c r="AY161" s="403"/>
      <c r="AZ161" s="403"/>
      <c r="BA161" s="403"/>
      <c r="BB161" s="403"/>
      <c r="BC161" s="403"/>
      <c r="BD161" s="403"/>
      <c r="BE161" s="403"/>
      <c r="BF161" s="403"/>
      <c r="BG161" s="403"/>
      <c r="BH161" s="403"/>
      <c r="BI161" s="403"/>
      <c r="BJ161" s="403"/>
      <c r="BK161" s="403"/>
      <c r="BL161" s="403"/>
      <c r="BM161" s="403"/>
      <c r="BN161" s="403"/>
      <c r="BO161" s="403"/>
      <c r="BP161" s="403"/>
      <c r="BQ161" s="403"/>
      <c r="BR161" s="403"/>
      <c r="BS161" s="403"/>
      <c r="BT161" s="403"/>
      <c r="BU161" s="403"/>
      <c r="BV161" s="403"/>
      <c r="BW161" s="403"/>
      <c r="BX161" s="403"/>
      <c r="BY161" s="403"/>
      <c r="BZ161" s="403"/>
      <c r="CA161" s="403"/>
      <c r="CB161" s="403"/>
      <c r="CC161" s="650"/>
      <c r="CD161" s="403"/>
      <c r="CE161" s="403"/>
      <c r="CF161" s="403"/>
      <c r="CG161" s="403"/>
      <c r="CH161" s="403"/>
      <c r="CI161" s="403"/>
      <c r="CJ161" s="403"/>
      <c r="CK161" s="403"/>
      <c r="CL161" s="403"/>
      <c r="CM161" s="403"/>
      <c r="CN161" s="564"/>
    </row>
    <row r="162" spans="1:92" s="15" customFormat="1" x14ac:dyDescent="0.2">
      <c r="A162" s="350">
        <v>2</v>
      </c>
      <c r="B162" s="569"/>
      <c r="C162" s="374"/>
      <c r="D162" s="5"/>
      <c r="E162" s="494"/>
      <c r="F162" s="39"/>
      <c r="G162" s="194"/>
      <c r="H162" s="236" t="e">
        <f>IF(ISBLANK(F162),E162/USD2LCU,F162)</f>
        <v>#N/A</v>
      </c>
      <c r="I162" s="221" t="e">
        <f t="shared" si="49"/>
        <v>#N/A</v>
      </c>
      <c r="J162" s="299"/>
      <c r="K162" s="587"/>
      <c r="L162" s="241"/>
      <c r="M162" s="277"/>
      <c r="O162" s="403"/>
      <c r="P162" s="403"/>
      <c r="Q162" s="403"/>
      <c r="R162" s="403"/>
      <c r="S162" s="403"/>
      <c r="T162" s="403"/>
      <c r="U162" s="403"/>
      <c r="V162" s="403"/>
      <c r="W162" s="403"/>
      <c r="X162" s="403"/>
      <c r="Y162" s="403"/>
      <c r="Z162" s="403"/>
      <c r="AA162" s="403"/>
      <c r="AB162" s="403"/>
      <c r="AC162" s="403"/>
      <c r="AD162" s="403"/>
      <c r="AE162" s="403"/>
      <c r="AF162" s="403"/>
      <c r="AG162" s="403"/>
      <c r="AH162" s="403"/>
      <c r="AI162" s="403"/>
      <c r="AJ162" s="403"/>
      <c r="AK162" s="403"/>
      <c r="AL162" s="403"/>
      <c r="AM162" s="403"/>
      <c r="AN162" s="403"/>
      <c r="AO162" s="403"/>
      <c r="AP162" s="403"/>
      <c r="AQ162" s="403"/>
      <c r="AR162" s="403"/>
      <c r="AS162" s="403"/>
      <c r="AT162" s="403"/>
      <c r="AU162" s="403"/>
      <c r="AV162" s="403"/>
      <c r="AW162" s="403"/>
      <c r="AX162" s="403"/>
      <c r="AY162" s="403"/>
      <c r="AZ162" s="403"/>
      <c r="BA162" s="403"/>
      <c r="BB162" s="403"/>
      <c r="BC162" s="403"/>
      <c r="BD162" s="403"/>
      <c r="BE162" s="403"/>
      <c r="BF162" s="403"/>
      <c r="BG162" s="403"/>
      <c r="BH162" s="403"/>
      <c r="BI162" s="403"/>
      <c r="BJ162" s="403"/>
      <c r="BK162" s="403"/>
      <c r="BL162" s="403"/>
      <c r="BM162" s="403"/>
      <c r="BN162" s="403"/>
      <c r="BO162" s="403"/>
      <c r="BP162" s="403"/>
      <c r="BQ162" s="403"/>
      <c r="BR162" s="403"/>
      <c r="BS162" s="403"/>
      <c r="BT162" s="403"/>
      <c r="BU162" s="403"/>
      <c r="BV162" s="403"/>
      <c r="BW162" s="403"/>
      <c r="BX162" s="403"/>
      <c r="BY162" s="403"/>
      <c r="BZ162" s="403"/>
      <c r="CA162" s="403"/>
      <c r="CB162" s="403"/>
      <c r="CC162" s="650"/>
      <c r="CD162" s="403"/>
      <c r="CE162" s="403"/>
      <c r="CF162" s="403"/>
      <c r="CG162" s="403"/>
      <c r="CH162" s="403"/>
      <c r="CI162" s="403"/>
      <c r="CJ162" s="403"/>
      <c r="CK162" s="403"/>
      <c r="CL162" s="403"/>
      <c r="CM162" s="403"/>
      <c r="CN162" s="564"/>
    </row>
    <row r="163" spans="1:92" s="15" customFormat="1" x14ac:dyDescent="0.2">
      <c r="A163" s="350">
        <v>2</v>
      </c>
      <c r="B163" s="569"/>
      <c r="C163" s="374"/>
      <c r="D163" s="5"/>
      <c r="E163" s="494"/>
      <c r="F163" s="39"/>
      <c r="G163" s="194"/>
      <c r="H163" s="236" t="e">
        <f>IF(ISBLANK(F163),E163/USD2LCU,F163)</f>
        <v>#N/A</v>
      </c>
      <c r="I163" s="221" t="e">
        <f t="shared" si="49"/>
        <v>#N/A</v>
      </c>
      <c r="J163" s="299"/>
      <c r="K163" s="587"/>
      <c r="L163" s="241"/>
      <c r="M163" s="277"/>
      <c r="O163" s="403"/>
      <c r="P163" s="403"/>
      <c r="Q163" s="403"/>
      <c r="R163" s="403"/>
      <c r="S163" s="403"/>
      <c r="T163" s="403"/>
      <c r="U163" s="403"/>
      <c r="V163" s="403"/>
      <c r="W163" s="403"/>
      <c r="X163" s="403"/>
      <c r="Y163" s="403"/>
      <c r="Z163" s="403"/>
      <c r="AA163" s="403"/>
      <c r="AB163" s="403"/>
      <c r="AC163" s="403"/>
      <c r="AD163" s="403"/>
      <c r="AE163" s="403"/>
      <c r="AF163" s="403"/>
      <c r="AG163" s="403"/>
      <c r="AH163" s="403"/>
      <c r="AI163" s="403"/>
      <c r="AJ163" s="403"/>
      <c r="AK163" s="403"/>
      <c r="AL163" s="403"/>
      <c r="AM163" s="403"/>
      <c r="AN163" s="403"/>
      <c r="AO163" s="403"/>
      <c r="AP163" s="403"/>
      <c r="AQ163" s="403"/>
      <c r="AR163" s="403"/>
      <c r="AS163" s="403"/>
      <c r="AT163" s="403"/>
      <c r="AU163" s="403"/>
      <c r="AV163" s="403"/>
      <c r="AW163" s="403"/>
      <c r="AX163" s="403"/>
      <c r="AY163" s="403"/>
      <c r="AZ163" s="403"/>
      <c r="BA163" s="403"/>
      <c r="BB163" s="403"/>
      <c r="BC163" s="403"/>
      <c r="BD163" s="403"/>
      <c r="BE163" s="403"/>
      <c r="BF163" s="403"/>
      <c r="BG163" s="403"/>
      <c r="BH163" s="403"/>
      <c r="BI163" s="403"/>
      <c r="BJ163" s="403"/>
      <c r="BK163" s="403"/>
      <c r="BL163" s="403"/>
      <c r="BM163" s="403"/>
      <c r="BN163" s="403"/>
      <c r="BO163" s="403"/>
      <c r="BP163" s="403"/>
      <c r="BQ163" s="403"/>
      <c r="BR163" s="403"/>
      <c r="BS163" s="403"/>
      <c r="BT163" s="403"/>
      <c r="BU163" s="403"/>
      <c r="BV163" s="403"/>
      <c r="BW163" s="403"/>
      <c r="BX163" s="403"/>
      <c r="BY163" s="403"/>
      <c r="BZ163" s="403"/>
      <c r="CA163" s="403"/>
      <c r="CB163" s="403"/>
      <c r="CC163" s="650"/>
      <c r="CD163" s="403"/>
      <c r="CE163" s="403"/>
      <c r="CF163" s="403"/>
      <c r="CG163" s="403"/>
      <c r="CH163" s="403"/>
      <c r="CI163" s="403"/>
      <c r="CJ163" s="403"/>
      <c r="CK163" s="403"/>
      <c r="CL163" s="403"/>
      <c r="CM163" s="403"/>
      <c r="CN163" s="564"/>
    </row>
    <row r="164" spans="1:92" s="15" customFormat="1" x14ac:dyDescent="0.2">
      <c r="B164" s="569"/>
      <c r="C164" s="23"/>
      <c r="D164" s="5"/>
      <c r="F164" s="14"/>
      <c r="G164" s="194"/>
      <c r="H164" s="194"/>
      <c r="I164" s="14"/>
      <c r="L164" s="241"/>
      <c r="M164" s="277"/>
      <c r="O164" s="403"/>
      <c r="P164" s="403"/>
      <c r="Q164" s="403"/>
      <c r="R164" s="403"/>
      <c r="S164" s="403"/>
      <c r="T164" s="403"/>
      <c r="U164" s="403"/>
      <c r="V164" s="403"/>
      <c r="W164" s="403"/>
      <c r="X164" s="403"/>
      <c r="Y164" s="403"/>
      <c r="Z164" s="403"/>
      <c r="AA164" s="403"/>
      <c r="AB164" s="403"/>
      <c r="AC164" s="403"/>
      <c r="AD164" s="403"/>
      <c r="AE164" s="403"/>
      <c r="AF164" s="403"/>
      <c r="AG164" s="403"/>
      <c r="AH164" s="403"/>
      <c r="AI164" s="403"/>
      <c r="AJ164" s="403"/>
      <c r="AK164" s="403"/>
      <c r="AL164" s="403"/>
      <c r="AM164" s="403"/>
      <c r="AN164" s="403"/>
      <c r="AO164" s="403"/>
      <c r="AP164" s="403"/>
      <c r="AQ164" s="403"/>
      <c r="AR164" s="403"/>
      <c r="AS164" s="403"/>
      <c r="AT164" s="403"/>
      <c r="AU164" s="403"/>
      <c r="AV164" s="403"/>
      <c r="AW164" s="403"/>
      <c r="AX164" s="403"/>
      <c r="AY164" s="403"/>
      <c r="AZ164" s="403"/>
      <c r="BA164" s="403"/>
      <c r="BB164" s="403"/>
      <c r="BC164" s="403"/>
      <c r="BD164" s="403"/>
      <c r="BE164" s="403"/>
      <c r="BF164" s="403"/>
      <c r="BG164" s="403"/>
      <c r="BH164" s="403"/>
      <c r="BI164" s="403"/>
      <c r="BJ164" s="403"/>
      <c r="BK164" s="403"/>
      <c r="BL164" s="403"/>
      <c r="BM164" s="403"/>
      <c r="BN164" s="403"/>
      <c r="BO164" s="403"/>
      <c r="BP164" s="403"/>
      <c r="BQ164" s="403"/>
      <c r="BR164" s="403"/>
      <c r="BS164" s="403"/>
      <c r="BT164" s="403"/>
      <c r="BU164" s="403"/>
      <c r="BV164" s="403"/>
      <c r="BW164" s="403"/>
      <c r="BX164" s="403"/>
      <c r="BY164" s="403"/>
      <c r="BZ164" s="403"/>
      <c r="CA164" s="403"/>
      <c r="CB164" s="403"/>
      <c r="CC164" s="650"/>
      <c r="CD164" s="403"/>
      <c r="CE164" s="403"/>
      <c r="CF164" s="403"/>
      <c r="CG164" s="403"/>
      <c r="CH164" s="403"/>
      <c r="CI164" s="403"/>
      <c r="CJ164" s="403"/>
      <c r="CK164" s="403"/>
      <c r="CL164" s="403"/>
      <c r="CM164" s="403"/>
      <c r="CN164" s="564"/>
    </row>
    <row r="165" spans="1:92" s="8" customFormat="1" ht="15" x14ac:dyDescent="0.25">
      <c r="A165" s="8" t="str">
        <f ca="1">IF(OFFSET(P165,0,Lang_Order*Lang__A3)="","",OFFSET(P165,0,Lang_Order*Lang__A3))</f>
        <v>A3.8 Security</v>
      </c>
      <c r="B165" s="285"/>
      <c r="C165" s="58"/>
      <c r="D165" s="234"/>
      <c r="E165" s="408" t="str">
        <f>CONCATENATE(Lang_LCU,": ",LCU)</f>
        <v xml:space="preserve">LCU: </v>
      </c>
      <c r="F165" s="610" t="str">
        <f ca="1">IF(OFFSET(U165,0,Lang_Order*Lang__A3)="","",OFFSET(U165,0,Lang_Order*Lang__A3))</f>
        <v>Override in USD</v>
      </c>
      <c r="G165" s="234"/>
      <c r="H165" s="234" t="s">
        <v>2635</v>
      </c>
      <c r="I165" s="219" t="s">
        <v>26</v>
      </c>
      <c r="J165" s="8" t="str">
        <f ca="1">IF(OFFSET(Y165,0,Lang_Order*Lang__A3)="","",OFFSET(Y165,0,Lang_Order*Lang__A3))</f>
        <v>Comments</v>
      </c>
      <c r="K165" s="8" t="str">
        <f ca="1">IF(OFFSET(Z165,0,Lang_Order*Lang__A3)="","",OFFSET(Z165,0,Lang_Order*Lang__A3))</f>
        <v>User Notes</v>
      </c>
      <c r="M165" s="311"/>
      <c r="O165" s="403"/>
      <c r="P165" s="403" t="s">
        <v>4161</v>
      </c>
      <c r="Q165" s="403"/>
      <c r="R165" s="403"/>
      <c r="S165" s="403"/>
      <c r="T165" s="403"/>
      <c r="U165" s="403" t="s">
        <v>2977</v>
      </c>
      <c r="V165" s="403"/>
      <c r="W165" s="403"/>
      <c r="X165" s="403"/>
      <c r="Y165" s="403" t="s">
        <v>13980</v>
      </c>
      <c r="Z165" s="403" t="s">
        <v>13981</v>
      </c>
      <c r="AA165" s="403" t="s">
        <v>8493</v>
      </c>
      <c r="AB165" s="403"/>
      <c r="AC165" s="403"/>
      <c r="AD165" s="403"/>
      <c r="AE165" s="403"/>
      <c r="AF165" s="403" t="s">
        <v>7897</v>
      </c>
      <c r="AG165" s="403"/>
      <c r="AH165" s="403"/>
      <c r="AI165" s="403"/>
      <c r="AJ165" s="403" t="s">
        <v>14071</v>
      </c>
      <c r="AK165" s="403" t="s">
        <v>14076</v>
      </c>
      <c r="AL165" s="403" t="s">
        <v>8494</v>
      </c>
      <c r="AM165" s="403"/>
      <c r="AN165" s="403"/>
      <c r="AO165" s="403"/>
      <c r="AP165" s="403"/>
      <c r="AQ165" s="403" t="s">
        <v>7900</v>
      </c>
      <c r="AR165" s="403"/>
      <c r="AS165" s="403"/>
      <c r="AT165" s="403"/>
      <c r="AU165" s="403" t="s">
        <v>14072</v>
      </c>
      <c r="AV165" s="403" t="s">
        <v>14077</v>
      </c>
      <c r="AW165" s="403" t="s">
        <v>8495</v>
      </c>
      <c r="AX165" s="403"/>
      <c r="AY165" s="403"/>
      <c r="AZ165" s="403"/>
      <c r="BA165" s="403"/>
      <c r="BB165" s="403" t="s">
        <v>7903</v>
      </c>
      <c r="BC165" s="403"/>
      <c r="BD165" s="403"/>
      <c r="BE165" s="403"/>
      <c r="BF165" s="403" t="s">
        <v>14073</v>
      </c>
      <c r="BG165" s="403" t="s">
        <v>14078</v>
      </c>
      <c r="BH165" s="403" t="s">
        <v>8496</v>
      </c>
      <c r="BI165" s="403"/>
      <c r="BJ165" s="403"/>
      <c r="BK165" s="403"/>
      <c r="BL165" s="403"/>
      <c r="BM165" s="403" t="s">
        <v>7906</v>
      </c>
      <c r="BN165" s="403"/>
      <c r="BO165" s="403"/>
      <c r="BP165" s="403"/>
      <c r="BQ165" s="403" t="s">
        <v>14074</v>
      </c>
      <c r="BR165" s="403" t="s">
        <v>14079</v>
      </c>
      <c r="BS165" s="403" t="s">
        <v>8497</v>
      </c>
      <c r="BT165" s="403"/>
      <c r="BU165" s="403"/>
      <c r="BV165" s="403"/>
      <c r="BW165" s="403"/>
      <c r="BX165" s="403" t="s">
        <v>7908</v>
      </c>
      <c r="BY165" s="403"/>
      <c r="BZ165" s="403"/>
      <c r="CA165" s="403"/>
      <c r="CB165" s="403" t="s">
        <v>14075</v>
      </c>
      <c r="CC165" s="650" t="s">
        <v>14080</v>
      </c>
      <c r="CD165" s="403" t="s">
        <v>8498</v>
      </c>
      <c r="CE165" s="403"/>
      <c r="CF165" s="403"/>
      <c r="CG165" s="403"/>
      <c r="CH165" s="403"/>
      <c r="CI165" s="403" t="s">
        <v>7911</v>
      </c>
      <c r="CJ165" s="403"/>
      <c r="CK165" s="403"/>
      <c r="CL165" s="403"/>
      <c r="CM165" s="403" t="s">
        <v>5455</v>
      </c>
      <c r="CN165" s="564" t="s">
        <v>14081</v>
      </c>
    </row>
    <row r="166" spans="1:92" s="15" customFormat="1" x14ac:dyDescent="0.2">
      <c r="B166" s="528"/>
      <c r="C166" s="679" t="str">
        <f ca="1">IF(OFFSET(R166,0,Lang_Order*Lang__A3)="","",OFFSET(R166,0,Lang_Order*Lang__A3))</f>
        <v>Note: By default, security costs are added ONLY for Fragile and Conflict-Affected Situations, but these settings can be overridden.</v>
      </c>
      <c r="D166" s="679"/>
      <c r="E166" s="679"/>
      <c r="F166" s="679"/>
      <c r="G166" s="679"/>
      <c r="H166" s="679"/>
      <c r="I166" s="679"/>
      <c r="L166" s="241"/>
      <c r="M166" s="277"/>
      <c r="O166" s="403"/>
      <c r="P166" s="403"/>
      <c r="Q166" s="403"/>
      <c r="R166" s="403" t="s">
        <v>4140</v>
      </c>
      <c r="S166" s="403"/>
      <c r="T166" s="403"/>
      <c r="U166" s="403"/>
      <c r="V166" s="403"/>
      <c r="W166" s="403"/>
      <c r="X166" s="403"/>
      <c r="Y166" s="403"/>
      <c r="Z166" s="403"/>
      <c r="AA166" s="403"/>
      <c r="AB166" s="403"/>
      <c r="AC166" s="403" t="s">
        <v>8499</v>
      </c>
      <c r="AD166" s="403"/>
      <c r="AE166" s="403"/>
      <c r="AF166" s="403"/>
      <c r="AG166" s="403"/>
      <c r="AH166" s="403"/>
      <c r="AI166" s="403"/>
      <c r="AJ166" s="403"/>
      <c r="AK166" s="403"/>
      <c r="AL166" s="403"/>
      <c r="AM166" s="403"/>
      <c r="AN166" s="403" t="s">
        <v>8500</v>
      </c>
      <c r="AO166" s="403"/>
      <c r="AP166" s="403"/>
      <c r="AQ166" s="403"/>
      <c r="AR166" s="403"/>
      <c r="AS166" s="403"/>
      <c r="AT166" s="403"/>
      <c r="AU166" s="403"/>
      <c r="AV166" s="403"/>
      <c r="AW166" s="403"/>
      <c r="AX166" s="403"/>
      <c r="AY166" s="403" t="s">
        <v>8501</v>
      </c>
      <c r="AZ166" s="403"/>
      <c r="BA166" s="403"/>
      <c r="BB166" s="403"/>
      <c r="BC166" s="403"/>
      <c r="BD166" s="403"/>
      <c r="BE166" s="403"/>
      <c r="BF166" s="403"/>
      <c r="BG166" s="403"/>
      <c r="BH166" s="403"/>
      <c r="BI166" s="403"/>
      <c r="BJ166" s="403" t="s">
        <v>8502</v>
      </c>
      <c r="BK166" s="403"/>
      <c r="BL166" s="403"/>
      <c r="BM166" s="403"/>
      <c r="BN166" s="403"/>
      <c r="BO166" s="403"/>
      <c r="BP166" s="403"/>
      <c r="BQ166" s="403"/>
      <c r="BR166" s="403"/>
      <c r="BS166" s="403"/>
      <c r="BT166" s="403"/>
      <c r="BU166" s="403" t="s">
        <v>8503</v>
      </c>
      <c r="BV166" s="403"/>
      <c r="BW166" s="403"/>
      <c r="BX166" s="403"/>
      <c r="BY166" s="403"/>
      <c r="BZ166" s="403"/>
      <c r="CA166" s="403"/>
      <c r="CB166" s="403"/>
      <c r="CC166" s="650"/>
      <c r="CD166" s="403"/>
      <c r="CE166" s="403"/>
      <c r="CF166" s="403" t="s">
        <v>8504</v>
      </c>
      <c r="CG166" s="403"/>
      <c r="CH166" s="403"/>
      <c r="CI166" s="403"/>
      <c r="CJ166" s="403"/>
      <c r="CK166" s="403"/>
      <c r="CL166" s="403"/>
      <c r="CM166" s="403"/>
      <c r="CN166" s="564"/>
    </row>
    <row r="167" spans="1:92" s="194" customFormat="1" x14ac:dyDescent="0.2">
      <c r="A167" s="350">
        <v>2</v>
      </c>
      <c r="B167" s="528"/>
      <c r="C167" s="9"/>
      <c r="D167" s="361" t="str">
        <f ca="1">IF(OFFSET(S167,0,Lang_Order*Lang__A3)="","",OFFSET(S167,0,Lang_Order*Lang__A3))</f>
        <v>OVERRIDE HERE. Do you wish to include security costs? --&gt;</v>
      </c>
      <c r="E167" s="35" t="s">
        <v>2672</v>
      </c>
      <c r="F167" s="14"/>
      <c r="I167" s="231">
        <f>IF(E167=Lang_Yes,1,0)</f>
        <v>0</v>
      </c>
      <c r="J167" s="2" t="str">
        <f ca="1">IF(OFFSET(Y167,0,Lang_Order*Lang__A3)="","",OFFSET(Y167,0,Lang_Order*Lang__A3))</f>
        <v>If blank, security costs will be added only for FCAS countries</v>
      </c>
      <c r="K167" s="587"/>
      <c r="L167" s="241"/>
      <c r="M167" s="277"/>
      <c r="O167" s="403"/>
      <c r="P167" s="403"/>
      <c r="Q167" s="403"/>
      <c r="R167" s="403"/>
      <c r="S167" s="403" t="s">
        <v>4141</v>
      </c>
      <c r="T167" s="403"/>
      <c r="U167" s="403"/>
      <c r="V167" s="403"/>
      <c r="W167" s="403"/>
      <c r="X167" s="403"/>
      <c r="Y167" s="403" t="s">
        <v>3898</v>
      </c>
      <c r="Z167" s="403"/>
      <c r="AA167" s="403"/>
      <c r="AB167" s="403"/>
      <c r="AC167" s="403"/>
      <c r="AD167" s="403" t="s">
        <v>8505</v>
      </c>
      <c r="AE167" s="403"/>
      <c r="AF167" s="403"/>
      <c r="AG167" s="403"/>
      <c r="AH167" s="403"/>
      <c r="AI167" s="403"/>
      <c r="AJ167" s="403" t="s">
        <v>8506</v>
      </c>
      <c r="AK167" s="403"/>
      <c r="AL167" s="403"/>
      <c r="AM167" s="403"/>
      <c r="AN167" s="403"/>
      <c r="AO167" s="403" t="s">
        <v>8507</v>
      </c>
      <c r="AP167" s="403"/>
      <c r="AQ167" s="403"/>
      <c r="AR167" s="403"/>
      <c r="AS167" s="403"/>
      <c r="AT167" s="403"/>
      <c r="AU167" s="403" t="s">
        <v>8508</v>
      </c>
      <c r="AV167" s="403"/>
      <c r="AW167" s="403"/>
      <c r="AX167" s="403"/>
      <c r="AY167" s="403"/>
      <c r="AZ167" s="403" t="s">
        <v>8509</v>
      </c>
      <c r="BA167" s="403"/>
      <c r="BB167" s="403"/>
      <c r="BC167" s="403"/>
      <c r="BD167" s="403"/>
      <c r="BE167" s="403"/>
      <c r="BF167" s="403" t="s">
        <v>8510</v>
      </c>
      <c r="BG167" s="403"/>
      <c r="BH167" s="403"/>
      <c r="BI167" s="403"/>
      <c r="BJ167" s="403"/>
      <c r="BK167" s="403" t="s">
        <v>8511</v>
      </c>
      <c r="BL167" s="403"/>
      <c r="BM167" s="403"/>
      <c r="BN167" s="403"/>
      <c r="BO167" s="403"/>
      <c r="BP167" s="403"/>
      <c r="BQ167" s="403" t="s">
        <v>8512</v>
      </c>
      <c r="BR167" s="403"/>
      <c r="BS167" s="403"/>
      <c r="BT167" s="403"/>
      <c r="BU167" s="403"/>
      <c r="BV167" s="403" t="s">
        <v>2642</v>
      </c>
      <c r="BW167" s="403"/>
      <c r="BX167" s="403"/>
      <c r="BY167" s="403"/>
      <c r="BZ167" s="403"/>
      <c r="CA167" s="403"/>
      <c r="CB167" s="403" t="s">
        <v>8513</v>
      </c>
      <c r="CC167" s="650"/>
      <c r="CD167" s="403"/>
      <c r="CE167" s="403"/>
      <c r="CF167" s="403"/>
      <c r="CG167" s="403" t="s">
        <v>8514</v>
      </c>
      <c r="CH167" s="403"/>
      <c r="CI167" s="403"/>
      <c r="CJ167" s="403"/>
      <c r="CK167" s="403"/>
      <c r="CL167" s="403"/>
      <c r="CM167" s="403" t="s">
        <v>8515</v>
      </c>
      <c r="CN167" s="564"/>
    </row>
    <row r="168" spans="1:92" s="194" customFormat="1" x14ac:dyDescent="0.2">
      <c r="B168" s="90" t="str">
        <f ca="1">IF(OFFSET(Q168,0,Lang_Order*Lang__A3)="","",OFFSET(Q168,0,Lang_Order*Lang__A3))</f>
        <v>Cells below will be darkened if security cost settings are disabled</v>
      </c>
      <c r="C168" s="9"/>
      <c r="F168" s="14"/>
      <c r="I168" s="221"/>
      <c r="J168" s="2"/>
      <c r="L168" s="241"/>
      <c r="M168" s="277"/>
      <c r="O168" s="403"/>
      <c r="P168" s="403"/>
      <c r="Q168" s="403" t="s">
        <v>3737</v>
      </c>
      <c r="R168" s="403"/>
      <c r="S168" s="403"/>
      <c r="T168" s="403"/>
      <c r="U168" s="403"/>
      <c r="V168" s="403"/>
      <c r="W168" s="403"/>
      <c r="X168" s="403"/>
      <c r="Y168" s="403"/>
      <c r="Z168" s="403"/>
      <c r="AA168" s="403"/>
      <c r="AB168" s="403" t="s">
        <v>8516</v>
      </c>
      <c r="AC168" s="403"/>
      <c r="AD168" s="403"/>
      <c r="AE168" s="403"/>
      <c r="AF168" s="403"/>
      <c r="AG168" s="403"/>
      <c r="AH168" s="403"/>
      <c r="AI168" s="403"/>
      <c r="AJ168" s="403"/>
      <c r="AK168" s="403"/>
      <c r="AL168" s="403"/>
      <c r="AM168" s="403" t="s">
        <v>8517</v>
      </c>
      <c r="AN168" s="403"/>
      <c r="AO168" s="403"/>
      <c r="AP168" s="403"/>
      <c r="AQ168" s="403"/>
      <c r="AR168" s="403"/>
      <c r="AS168" s="403"/>
      <c r="AT168" s="403"/>
      <c r="AU168" s="403"/>
      <c r="AV168" s="403"/>
      <c r="AW168" s="403"/>
      <c r="AX168" s="403" t="s">
        <v>8518</v>
      </c>
      <c r="AY168" s="403"/>
      <c r="AZ168" s="403"/>
      <c r="BA168" s="403"/>
      <c r="BB168" s="403"/>
      <c r="BC168" s="403"/>
      <c r="BD168" s="403"/>
      <c r="BE168" s="403"/>
      <c r="BF168" s="403"/>
      <c r="BG168" s="403"/>
      <c r="BH168" s="403"/>
      <c r="BI168" s="403" t="s">
        <v>8519</v>
      </c>
      <c r="BJ168" s="403"/>
      <c r="BK168" s="403"/>
      <c r="BL168" s="403"/>
      <c r="BM168" s="403"/>
      <c r="BN168" s="403"/>
      <c r="BO168" s="403"/>
      <c r="BP168" s="403"/>
      <c r="BQ168" s="403"/>
      <c r="BR168" s="403"/>
      <c r="BS168" s="403"/>
      <c r="BT168" s="403" t="s">
        <v>8520</v>
      </c>
      <c r="BU168" s="403"/>
      <c r="BV168" s="403"/>
      <c r="BW168" s="403"/>
      <c r="BX168" s="403"/>
      <c r="BY168" s="403"/>
      <c r="BZ168" s="403"/>
      <c r="CA168" s="403"/>
      <c r="CB168" s="403" t="s">
        <v>8521</v>
      </c>
      <c r="CC168" s="650"/>
      <c r="CD168" s="403"/>
      <c r="CE168" s="403" t="s">
        <v>8522</v>
      </c>
      <c r="CF168" s="403"/>
      <c r="CG168" s="403"/>
      <c r="CH168" s="403"/>
      <c r="CI168" s="403"/>
      <c r="CJ168" s="403"/>
      <c r="CK168" s="403"/>
      <c r="CL168" s="403"/>
      <c r="CM168" s="403"/>
      <c r="CN168" s="564"/>
    </row>
    <row r="169" spans="1:92" s="15" customFormat="1" x14ac:dyDescent="0.2">
      <c r="A169" s="350">
        <v>2</v>
      </c>
      <c r="B169" s="581"/>
      <c r="C169" s="23" t="str">
        <f ca="1">IF(OFFSET(R169,0,Lang_Order*Lang__A3)="","",OFFSET(R169,0,Lang_Order*Lang__A3))</f>
        <v>Security during transport</v>
      </c>
      <c r="D169" s="2" t="str">
        <f ca="1">IF(OFFSET(S169,0,Lang_Order*Lang__A3)="","",OFFSET(S169,0,Lang_Order*Lang__A3))</f>
        <v>per trip</v>
      </c>
      <c r="E169" s="154">
        <v>0</v>
      </c>
      <c r="F169" s="39"/>
      <c r="G169" s="4" t="str">
        <f t="shared" ref="G169" si="50">IF(AND(ISBLANK(E169),ISBLANK(F169)),"CHECK","OK")</f>
        <v>OK</v>
      </c>
      <c r="H169" s="5"/>
      <c r="I169" s="11">
        <f>IF(I167=0,0,IF(ISBLANK(F169),E169/USD2LCU,F169))</f>
        <v>0</v>
      </c>
      <c r="J169" s="12" t="str">
        <f ca="1">IF(OFFSET(Y169,0,Lang_Order*Lang__A3)="","",OFFSET(Y169,0,Lang_Order*Lang__A3))</f>
        <v>Ignored if not FCAS or security cost settings overridden</v>
      </c>
      <c r="K169" s="587"/>
      <c r="L169" s="2"/>
      <c r="M169" s="277"/>
      <c r="O169" s="403"/>
      <c r="P169" s="403"/>
      <c r="Q169" s="403"/>
      <c r="R169" s="403" t="s">
        <v>3736</v>
      </c>
      <c r="S169" s="403" t="s">
        <v>2817</v>
      </c>
      <c r="T169" s="403"/>
      <c r="U169" s="403"/>
      <c r="V169" s="403"/>
      <c r="W169" s="403"/>
      <c r="X169" s="403"/>
      <c r="Y169" s="403" t="s">
        <v>2969</v>
      </c>
      <c r="Z169" s="403"/>
      <c r="AA169" s="403"/>
      <c r="AB169" s="403"/>
      <c r="AC169" s="403" t="s">
        <v>8523</v>
      </c>
      <c r="AD169" s="403" t="s">
        <v>8372</v>
      </c>
      <c r="AE169" s="403"/>
      <c r="AF169" s="403"/>
      <c r="AG169" s="403"/>
      <c r="AH169" s="403"/>
      <c r="AI169" s="403"/>
      <c r="AJ169" s="403" t="s">
        <v>8524</v>
      </c>
      <c r="AK169" s="403"/>
      <c r="AL169" s="403"/>
      <c r="AM169" s="403"/>
      <c r="AN169" s="403" t="s">
        <v>8525</v>
      </c>
      <c r="AO169" s="403" t="s">
        <v>8374</v>
      </c>
      <c r="AP169" s="403"/>
      <c r="AQ169" s="403"/>
      <c r="AR169" s="403"/>
      <c r="AS169" s="403"/>
      <c r="AT169" s="403"/>
      <c r="AU169" s="403" t="s">
        <v>8526</v>
      </c>
      <c r="AV169" s="403"/>
      <c r="AW169" s="403"/>
      <c r="AX169" s="403"/>
      <c r="AY169" s="403" t="s">
        <v>8527</v>
      </c>
      <c r="AZ169" s="403" t="s">
        <v>8376</v>
      </c>
      <c r="BA169" s="403"/>
      <c r="BB169" s="403"/>
      <c r="BC169" s="403"/>
      <c r="BD169" s="403"/>
      <c r="BE169" s="403"/>
      <c r="BF169" s="403" t="s">
        <v>8528</v>
      </c>
      <c r="BG169" s="403"/>
      <c r="BH169" s="403"/>
      <c r="BI169" s="403"/>
      <c r="BJ169" s="403" t="s">
        <v>8529</v>
      </c>
      <c r="BK169" s="403" t="s">
        <v>8377</v>
      </c>
      <c r="BL169" s="403"/>
      <c r="BM169" s="403"/>
      <c r="BN169" s="403"/>
      <c r="BO169" s="403"/>
      <c r="BP169" s="403"/>
      <c r="BQ169" s="403" t="s">
        <v>8530</v>
      </c>
      <c r="BR169" s="403"/>
      <c r="BS169" s="403"/>
      <c r="BT169" s="403"/>
      <c r="BU169" s="403" t="s">
        <v>8531</v>
      </c>
      <c r="BV169" s="403" t="s">
        <v>8386</v>
      </c>
      <c r="BW169" s="403"/>
      <c r="BX169" s="403"/>
      <c r="BY169" s="403"/>
      <c r="BZ169" s="403"/>
      <c r="CA169" s="403"/>
      <c r="CB169" s="403" t="s">
        <v>8521</v>
      </c>
      <c r="CC169" s="650"/>
      <c r="CD169" s="403"/>
      <c r="CE169" s="403"/>
      <c r="CF169" s="403" t="s">
        <v>8532</v>
      </c>
      <c r="CG169" s="403" t="s">
        <v>8380</v>
      </c>
      <c r="CH169" s="403"/>
      <c r="CI169" s="403"/>
      <c r="CJ169" s="403"/>
      <c r="CK169" s="403"/>
      <c r="CL169" s="403"/>
      <c r="CM169" s="403" t="s">
        <v>8533</v>
      </c>
      <c r="CN169" s="564"/>
    </row>
    <row r="170" spans="1:92" s="299" customFormat="1" x14ac:dyDescent="0.2">
      <c r="A170" s="350">
        <v>2</v>
      </c>
      <c r="B170" s="528"/>
      <c r="C170" s="5" t="str">
        <f ca="1">IF(OFFSET(R170,0,Lang_Order*Lang__A3)="","",OFFSET(R170,0,Lang_Order*Lang__A3))</f>
        <v>Central store security factor (cost relative to security at fixed sites)</v>
      </c>
      <c r="D170" s="2" t="str">
        <f ca="1">IF(OFFSET(S170,0,Lang_Order*Lang__A3)="","",OFFSET(S170,0,Lang_Order*Lang__A3))</f>
        <v>factor</v>
      </c>
      <c r="E170" s="35">
        <v>5</v>
      </c>
      <c r="G170" s="4" t="str">
        <f>IF(ISBLANK(E170),"CHECK","OK")</f>
        <v>OK</v>
      </c>
      <c r="I170" s="11">
        <f>IF(I167=0,0,E170*AUCs_Security_perSiteperDay)</f>
        <v>0</v>
      </c>
      <c r="J170" s="12" t="str">
        <f ca="1">IF(OFFSET(Y170,0,Lang_Order*Lang__A3)="","",OFFSET(Y170,0,Lang_Order*Lang__A3))</f>
        <v>Ignored if not FCAS or security cost settings overridden</v>
      </c>
      <c r="K170" s="587"/>
      <c r="O170" s="403"/>
      <c r="P170" s="403"/>
      <c r="Q170" s="403"/>
      <c r="R170" s="403" t="s">
        <v>3734</v>
      </c>
      <c r="S170" s="403" t="s">
        <v>3735</v>
      </c>
      <c r="T170" s="403"/>
      <c r="U170" s="403"/>
      <c r="V170" s="403"/>
      <c r="W170" s="403"/>
      <c r="X170" s="403"/>
      <c r="Y170" s="403" t="s">
        <v>2969</v>
      </c>
      <c r="Z170" s="403"/>
      <c r="AA170" s="403"/>
      <c r="AB170" s="403"/>
      <c r="AC170" s="403" t="s">
        <v>8534</v>
      </c>
      <c r="AD170" s="403" t="s">
        <v>8535</v>
      </c>
      <c r="AE170" s="403"/>
      <c r="AF170" s="403"/>
      <c r="AG170" s="403"/>
      <c r="AH170" s="403"/>
      <c r="AI170" s="403"/>
      <c r="AJ170" s="403" t="s">
        <v>8524</v>
      </c>
      <c r="AK170" s="403"/>
      <c r="AL170" s="403"/>
      <c r="AM170" s="403"/>
      <c r="AN170" s="403" t="s">
        <v>8536</v>
      </c>
      <c r="AO170" s="403" t="s">
        <v>8537</v>
      </c>
      <c r="AP170" s="403"/>
      <c r="AQ170" s="403"/>
      <c r="AR170" s="403"/>
      <c r="AS170" s="403"/>
      <c r="AT170" s="403"/>
      <c r="AU170" s="403" t="s">
        <v>8526</v>
      </c>
      <c r="AV170" s="403"/>
      <c r="AW170" s="403"/>
      <c r="AX170" s="403"/>
      <c r="AY170" s="403" t="s">
        <v>8538</v>
      </c>
      <c r="AZ170" s="403" t="s">
        <v>3735</v>
      </c>
      <c r="BA170" s="403"/>
      <c r="BB170" s="403"/>
      <c r="BC170" s="403"/>
      <c r="BD170" s="403"/>
      <c r="BE170" s="403"/>
      <c r="BF170" s="403" t="s">
        <v>8528</v>
      </c>
      <c r="BG170" s="403"/>
      <c r="BH170" s="403"/>
      <c r="BI170" s="403"/>
      <c r="BJ170" s="403" t="s">
        <v>8539</v>
      </c>
      <c r="BK170" s="403" t="s">
        <v>3735</v>
      </c>
      <c r="BL170" s="403"/>
      <c r="BM170" s="403"/>
      <c r="BN170" s="403"/>
      <c r="BO170" s="403"/>
      <c r="BP170" s="403"/>
      <c r="BQ170" s="403" t="s">
        <v>8530</v>
      </c>
      <c r="BR170" s="403"/>
      <c r="BS170" s="403"/>
      <c r="BT170" s="403"/>
      <c r="BU170" s="403" t="s">
        <v>8540</v>
      </c>
      <c r="BV170" s="403" t="s">
        <v>8541</v>
      </c>
      <c r="BW170" s="403"/>
      <c r="BX170" s="403"/>
      <c r="BY170" s="403"/>
      <c r="BZ170" s="403"/>
      <c r="CA170" s="403"/>
      <c r="CB170" s="403"/>
      <c r="CC170" s="650"/>
      <c r="CD170" s="403"/>
      <c r="CE170" s="403"/>
      <c r="CF170" s="403" t="s">
        <v>8542</v>
      </c>
      <c r="CG170" s="403" t="s">
        <v>8543</v>
      </c>
      <c r="CH170" s="403"/>
      <c r="CI170" s="403"/>
      <c r="CJ170" s="403"/>
      <c r="CK170" s="403"/>
      <c r="CL170" s="403"/>
      <c r="CM170" s="403" t="s">
        <v>8533</v>
      </c>
      <c r="CN170" s="564"/>
    </row>
    <row r="171" spans="1:92" s="299" customFormat="1" x14ac:dyDescent="0.2">
      <c r="B171" s="528"/>
      <c r="O171" s="403"/>
      <c r="P171" s="403"/>
      <c r="Q171" s="403"/>
      <c r="R171" s="403"/>
      <c r="S171" s="403"/>
      <c r="T171" s="403"/>
      <c r="U171" s="403"/>
      <c r="V171" s="403"/>
      <c r="W171" s="403"/>
      <c r="X171" s="403"/>
      <c r="Y171" s="403"/>
      <c r="Z171" s="403"/>
      <c r="AA171" s="403"/>
      <c r="AB171" s="403"/>
      <c r="AC171" s="403"/>
      <c r="AD171" s="403"/>
      <c r="AE171" s="403"/>
      <c r="AF171" s="403"/>
      <c r="AG171" s="403"/>
      <c r="AH171" s="403"/>
      <c r="AI171" s="403"/>
      <c r="AJ171" s="403"/>
      <c r="AK171" s="403"/>
      <c r="AL171" s="403"/>
      <c r="AM171" s="403"/>
      <c r="AN171" s="403"/>
      <c r="AO171" s="403"/>
      <c r="AP171" s="403"/>
      <c r="AQ171" s="403"/>
      <c r="AR171" s="403"/>
      <c r="AS171" s="403"/>
      <c r="AT171" s="403"/>
      <c r="AU171" s="403"/>
      <c r="AV171" s="403"/>
      <c r="AW171" s="403"/>
      <c r="AX171" s="403"/>
      <c r="AY171" s="403"/>
      <c r="AZ171" s="403"/>
      <c r="BA171" s="403"/>
      <c r="BB171" s="403"/>
      <c r="BC171" s="403"/>
      <c r="BD171" s="403"/>
      <c r="BE171" s="403"/>
      <c r="BF171" s="403"/>
      <c r="BG171" s="403"/>
      <c r="BH171" s="403"/>
      <c r="BI171" s="403"/>
      <c r="BJ171" s="403"/>
      <c r="BK171" s="403"/>
      <c r="BL171" s="403"/>
      <c r="BM171" s="403"/>
      <c r="BN171" s="403"/>
      <c r="BO171" s="403"/>
      <c r="BP171" s="403"/>
      <c r="BQ171" s="403"/>
      <c r="BR171" s="403"/>
      <c r="BS171" s="403"/>
      <c r="BT171" s="403"/>
      <c r="BU171" s="403"/>
      <c r="BV171" s="403"/>
      <c r="BW171" s="403"/>
      <c r="BX171" s="403"/>
      <c r="BY171" s="403"/>
      <c r="BZ171" s="403"/>
      <c r="CA171" s="403"/>
      <c r="CB171" s="403"/>
      <c r="CC171" s="650"/>
      <c r="CD171" s="403"/>
      <c r="CE171" s="403"/>
      <c r="CF171" s="403"/>
      <c r="CG171" s="403"/>
      <c r="CH171" s="403"/>
      <c r="CI171" s="403"/>
      <c r="CJ171" s="403"/>
      <c r="CK171" s="403"/>
      <c r="CL171" s="403"/>
      <c r="CM171" s="403"/>
      <c r="CN171" s="564"/>
    </row>
    <row r="172" spans="1:92" x14ac:dyDescent="0.2">
      <c r="B172" s="569" t="str">
        <f ca="1">IF(OFFSET(Q172,0,Lang_Order*Lang__A3)="","",OFFSET(Q172,0,Lang_Order*Lang__A3))</f>
        <v>Security per Fixed Site per Day</v>
      </c>
      <c r="D172" s="23"/>
      <c r="E172" s="2"/>
      <c r="F172" s="221"/>
      <c r="I172" s="11">
        <f>IF(I167=1,I173,0)</f>
        <v>0</v>
      </c>
      <c r="J172" s="12" t="str">
        <f ca="1">IF(OFFSET(Y172,0,Lang_Order*Lang__A3)="","",OFFSET(Y172,0,Lang_Order*Lang__A3))</f>
        <v>Ignored if not FCAS or security cost settings overridden</v>
      </c>
      <c r="K172" s="15"/>
      <c r="Q172" s="403" t="s">
        <v>3733</v>
      </c>
      <c r="Y172" s="403" t="s">
        <v>2969</v>
      </c>
      <c r="AB172" s="403" t="s">
        <v>8544</v>
      </c>
      <c r="AJ172" s="403" t="s">
        <v>8524</v>
      </c>
      <c r="AM172" s="403" t="s">
        <v>8545</v>
      </c>
      <c r="AU172" s="403" t="s">
        <v>8546</v>
      </c>
      <c r="AX172" s="403" t="s">
        <v>8547</v>
      </c>
      <c r="BF172" s="403" t="s">
        <v>8528</v>
      </c>
      <c r="BI172" s="403" t="s">
        <v>8548</v>
      </c>
      <c r="BQ172" s="403" t="s">
        <v>8530</v>
      </c>
      <c r="BT172" s="403" t="s">
        <v>8549</v>
      </c>
      <c r="CB172" s="403" t="s">
        <v>8521</v>
      </c>
      <c r="CE172" s="403" t="s">
        <v>8550</v>
      </c>
      <c r="CM172" s="403" t="s">
        <v>8533</v>
      </c>
    </row>
    <row r="173" spans="1:92" s="15" customFormat="1" x14ac:dyDescent="0.2">
      <c r="B173" s="569"/>
      <c r="D173" s="23"/>
      <c r="F173" s="14"/>
      <c r="G173" s="194"/>
      <c r="H173" s="14"/>
      <c r="I173" s="11" t="e">
        <f>SUM(H174:H175)</f>
        <v>#N/A</v>
      </c>
      <c r="J173" s="299"/>
      <c r="L173" s="241"/>
      <c r="M173" s="277"/>
      <c r="O173" s="403"/>
      <c r="P173" s="403"/>
      <c r="Q173" s="403"/>
      <c r="R173" s="403"/>
      <c r="S173" s="403"/>
      <c r="T173" s="403"/>
      <c r="U173" s="403"/>
      <c r="V173" s="403"/>
      <c r="W173" s="403"/>
      <c r="X173" s="403"/>
      <c r="Y173" s="403"/>
      <c r="Z173" s="403"/>
      <c r="AA173" s="403"/>
      <c r="AB173" s="403"/>
      <c r="AC173" s="403"/>
      <c r="AD173" s="403"/>
      <c r="AE173" s="403"/>
      <c r="AF173" s="403"/>
      <c r="AG173" s="403"/>
      <c r="AH173" s="403"/>
      <c r="AI173" s="403"/>
      <c r="AJ173" s="403"/>
      <c r="AK173" s="403"/>
      <c r="AL173" s="403"/>
      <c r="AM173" s="403"/>
      <c r="AN173" s="403"/>
      <c r="AO173" s="403"/>
      <c r="AP173" s="403"/>
      <c r="AQ173" s="403"/>
      <c r="AR173" s="403"/>
      <c r="AS173" s="403"/>
      <c r="AT173" s="403"/>
      <c r="AU173" s="403"/>
      <c r="AV173" s="403"/>
      <c r="AW173" s="403"/>
      <c r="AX173" s="403"/>
      <c r="AY173" s="403"/>
      <c r="AZ173" s="403"/>
      <c r="BA173" s="403"/>
      <c r="BB173" s="403"/>
      <c r="BC173" s="403"/>
      <c r="BD173" s="403"/>
      <c r="BE173" s="403"/>
      <c r="BF173" s="403"/>
      <c r="BG173" s="403"/>
      <c r="BH173" s="403"/>
      <c r="BI173" s="403"/>
      <c r="BJ173" s="403"/>
      <c r="BK173" s="403"/>
      <c r="BL173" s="403"/>
      <c r="BM173" s="403"/>
      <c r="BN173" s="403"/>
      <c r="BO173" s="403"/>
      <c r="BP173" s="403"/>
      <c r="BQ173" s="403"/>
      <c r="BR173" s="403"/>
      <c r="BS173" s="403"/>
      <c r="BT173" s="403"/>
      <c r="BU173" s="403"/>
      <c r="BV173" s="403"/>
      <c r="BW173" s="403"/>
      <c r="BX173" s="403"/>
      <c r="BY173" s="403"/>
      <c r="BZ173" s="403"/>
      <c r="CA173" s="403"/>
      <c r="CB173" s="403"/>
      <c r="CC173" s="650"/>
      <c r="CD173" s="403"/>
      <c r="CE173" s="403"/>
      <c r="CF173" s="403"/>
      <c r="CG173" s="403"/>
      <c r="CH173" s="403"/>
      <c r="CI173" s="403"/>
      <c r="CJ173" s="403"/>
      <c r="CK173" s="403"/>
      <c r="CL173" s="403"/>
      <c r="CM173" s="403"/>
      <c r="CN173" s="564"/>
    </row>
    <row r="174" spans="1:92" x14ac:dyDescent="0.2">
      <c r="A174" s="350">
        <v>2</v>
      </c>
      <c r="B174" s="569"/>
      <c r="C174" s="374"/>
      <c r="D174" s="5"/>
      <c r="E174" s="496">
        <v>0</v>
      </c>
      <c r="F174" s="39"/>
      <c r="G174" s="4" t="str">
        <f t="shared" ref="G174" si="51">IF(AND(ISBLANK(E174),ISBLANK(F174)),"CHECK","OK")</f>
        <v>OK</v>
      </c>
      <c r="H174" s="236" t="e">
        <f>IF(ISBLANK(F174),E174/USD2LCU,F174)</f>
        <v>#N/A</v>
      </c>
      <c r="I174" s="221" t="e">
        <f t="shared" ref="I174:I175" si="52">E174/USD2LCU</f>
        <v>#N/A</v>
      </c>
      <c r="J174" s="12" t="str">
        <f ca="1">IF(OFFSET(Y174,0,Lang_Order*Lang__A3)="","",OFFSET(Y174,0,Lang_Order*Lang__A3))</f>
        <v>Presumably this will be outsourced and paid as an all inclusive charge</v>
      </c>
      <c r="K174" s="587" t="s">
        <v>1657</v>
      </c>
      <c r="Y174" s="403" t="s">
        <v>1658</v>
      </c>
      <c r="AJ174" s="403" t="s">
        <v>8551</v>
      </c>
      <c r="AU174" s="403" t="s">
        <v>8552</v>
      </c>
      <c r="BF174" s="403" t="s">
        <v>8553</v>
      </c>
      <c r="BQ174" s="403" t="s">
        <v>8554</v>
      </c>
      <c r="CB174" s="403" t="s">
        <v>8555</v>
      </c>
      <c r="CM174" s="403" t="s">
        <v>8556</v>
      </c>
    </row>
    <row r="175" spans="1:92" x14ac:dyDescent="0.2">
      <c r="A175" s="350">
        <v>2</v>
      </c>
      <c r="B175" s="569"/>
      <c r="C175" s="374"/>
      <c r="D175" s="5"/>
      <c r="E175" s="496"/>
      <c r="F175" s="39"/>
      <c r="H175" s="236" t="e">
        <f>IF(ISBLANK(F175),E175/USD2LCU,F175)</f>
        <v>#N/A</v>
      </c>
      <c r="I175" s="221" t="e">
        <f t="shared" si="52"/>
        <v>#N/A</v>
      </c>
      <c r="J175" s="299"/>
      <c r="K175" s="587"/>
    </row>
    <row r="176" spans="1:92" x14ac:dyDescent="0.2">
      <c r="B176" s="569"/>
      <c r="E176" s="15"/>
      <c r="F176" s="14"/>
      <c r="J176" s="299"/>
    </row>
    <row r="177" spans="1:92" x14ac:dyDescent="0.2">
      <c r="B177" s="569" t="str">
        <f ca="1">IF(OFFSET(Q177,0,Lang_Order*Lang__A3)="","",OFFSET(Q177,0,Lang_Order*Lang__A3))</f>
        <v>Security per Mobile Team per Day</v>
      </c>
      <c r="D177" s="23"/>
      <c r="E177" s="2"/>
      <c r="F177" s="221"/>
      <c r="I177" s="11">
        <f>IF(I167=1,I178,0)</f>
        <v>0</v>
      </c>
      <c r="J177" s="12" t="str">
        <f ca="1">IF(OFFSET(Y177,0,Lang_Order*Lang__A3)="","",OFFSET(Y177,0,Lang_Order*Lang__A3))</f>
        <v>Ignored if not FCAS or security cost settings overridden</v>
      </c>
      <c r="Q177" s="403" t="s">
        <v>1584</v>
      </c>
      <c r="Y177" s="403" t="s">
        <v>2969</v>
      </c>
      <c r="AB177" s="403" t="s">
        <v>8557</v>
      </c>
      <c r="AJ177" s="403" t="s">
        <v>8524</v>
      </c>
      <c r="AM177" s="403" t="s">
        <v>8558</v>
      </c>
      <c r="AU177" s="403" t="s">
        <v>8546</v>
      </c>
      <c r="AX177" s="403" t="s">
        <v>8559</v>
      </c>
      <c r="BF177" s="403" t="s">
        <v>8528</v>
      </c>
      <c r="BI177" s="403" t="s">
        <v>8560</v>
      </c>
      <c r="BQ177" s="403" t="s">
        <v>8530</v>
      </c>
      <c r="BT177" s="403" t="s">
        <v>2642</v>
      </c>
      <c r="CB177" s="403" t="s">
        <v>8561</v>
      </c>
      <c r="CE177" s="403" t="s">
        <v>8562</v>
      </c>
      <c r="CM177" s="403" t="s">
        <v>8533</v>
      </c>
    </row>
    <row r="178" spans="1:92" s="15" customFormat="1" x14ac:dyDescent="0.2">
      <c r="B178" s="569"/>
      <c r="D178" s="23"/>
      <c r="F178" s="14"/>
      <c r="G178" s="194"/>
      <c r="H178" s="14"/>
      <c r="I178" s="11" t="e">
        <f>SUM(H179:H180)</f>
        <v>#N/A</v>
      </c>
      <c r="J178" s="299"/>
      <c r="L178" s="241"/>
      <c r="M178" s="277"/>
      <c r="O178" s="403"/>
      <c r="P178" s="403"/>
      <c r="Q178" s="403"/>
      <c r="R178" s="403"/>
      <c r="S178" s="403"/>
      <c r="T178" s="403"/>
      <c r="U178" s="403"/>
      <c r="V178" s="403"/>
      <c r="W178" s="403"/>
      <c r="X178" s="403"/>
      <c r="Y178" s="403"/>
      <c r="Z178" s="403"/>
      <c r="AA178" s="403"/>
      <c r="AB178" s="403"/>
      <c r="AC178" s="403"/>
      <c r="AD178" s="403"/>
      <c r="AE178" s="403"/>
      <c r="AF178" s="403"/>
      <c r="AG178" s="403"/>
      <c r="AH178" s="403"/>
      <c r="AI178" s="403"/>
      <c r="AJ178" s="403"/>
      <c r="AK178" s="403"/>
      <c r="AL178" s="403"/>
      <c r="AM178" s="403"/>
      <c r="AN178" s="403"/>
      <c r="AO178" s="403"/>
      <c r="AP178" s="403"/>
      <c r="AQ178" s="403"/>
      <c r="AR178" s="403"/>
      <c r="AS178" s="403"/>
      <c r="AT178" s="403"/>
      <c r="AU178" s="403"/>
      <c r="AV178" s="403"/>
      <c r="AW178" s="403"/>
      <c r="AX178" s="403"/>
      <c r="AY178" s="403"/>
      <c r="AZ178" s="403"/>
      <c r="BA178" s="403"/>
      <c r="BB178" s="403"/>
      <c r="BC178" s="403"/>
      <c r="BD178" s="403"/>
      <c r="BE178" s="403"/>
      <c r="BF178" s="403"/>
      <c r="BG178" s="403"/>
      <c r="BH178" s="403"/>
      <c r="BI178" s="403"/>
      <c r="BJ178" s="403"/>
      <c r="BK178" s="403"/>
      <c r="BL178" s="403"/>
      <c r="BM178" s="403"/>
      <c r="BN178" s="403"/>
      <c r="BO178" s="403"/>
      <c r="BP178" s="403"/>
      <c r="BQ178" s="403"/>
      <c r="BR178" s="403"/>
      <c r="BS178" s="403"/>
      <c r="BT178" s="403"/>
      <c r="BU178" s="403"/>
      <c r="BV178" s="403"/>
      <c r="BW178" s="403"/>
      <c r="BX178" s="403"/>
      <c r="BY178" s="403"/>
      <c r="BZ178" s="403"/>
      <c r="CA178" s="403"/>
      <c r="CB178" s="403"/>
      <c r="CC178" s="650"/>
      <c r="CD178" s="403"/>
      <c r="CE178" s="403"/>
      <c r="CF178" s="403"/>
      <c r="CG178" s="403"/>
      <c r="CH178" s="403"/>
      <c r="CI178" s="403"/>
      <c r="CJ178" s="403"/>
      <c r="CK178" s="403"/>
      <c r="CL178" s="403"/>
      <c r="CM178" s="403"/>
      <c r="CN178" s="564"/>
    </row>
    <row r="179" spans="1:92" x14ac:dyDescent="0.2">
      <c r="A179" s="350">
        <v>2</v>
      </c>
      <c r="B179" s="569"/>
      <c r="C179" s="374"/>
      <c r="D179" s="5"/>
      <c r="E179" s="496">
        <v>0</v>
      </c>
      <c r="F179" s="39"/>
      <c r="G179" s="4" t="str">
        <f t="shared" ref="G179" si="53">IF(AND(ISBLANK(E179),ISBLANK(F179)),"CHECK","OK")</f>
        <v>OK</v>
      </c>
      <c r="H179" s="236" t="e">
        <f>IF(ISBLANK(F179),E179/USD2LCU,F179)</f>
        <v>#N/A</v>
      </c>
      <c r="I179" s="221" t="e">
        <f t="shared" ref="I179:I180" si="54">E179/USD2LCU</f>
        <v>#N/A</v>
      </c>
      <c r="J179" s="12" t="str">
        <f ca="1">IF(OFFSET(Y179,0,Lang_Order*Lang__A3)="","",OFFSET(Y179,0,Lang_Order*Lang__A3))</f>
        <v>Presumably this will be outsourced and paid as an all inclusive charge</v>
      </c>
      <c r="K179" s="587" t="s">
        <v>1657</v>
      </c>
      <c r="Y179" s="403" t="s">
        <v>1658</v>
      </c>
      <c r="AJ179" s="403" t="s">
        <v>8551</v>
      </c>
      <c r="AU179" s="403" t="s">
        <v>8552</v>
      </c>
      <c r="BF179" s="403" t="s">
        <v>8553</v>
      </c>
      <c r="BQ179" s="403" t="s">
        <v>8554</v>
      </c>
      <c r="CB179" s="403" t="s">
        <v>8555</v>
      </c>
      <c r="CM179" s="403" t="s">
        <v>8556</v>
      </c>
    </row>
    <row r="180" spans="1:92" x14ac:dyDescent="0.2">
      <c r="A180" s="350">
        <v>2</v>
      </c>
      <c r="B180" s="569"/>
      <c r="C180" s="374"/>
      <c r="D180" s="5"/>
      <c r="E180" s="496"/>
      <c r="F180" s="39"/>
      <c r="H180" s="236" t="e">
        <f>IF(ISBLANK(F180),E180/USD2LCU,F180)</f>
        <v>#N/A</v>
      </c>
      <c r="I180" s="221" t="e">
        <f t="shared" si="54"/>
        <v>#N/A</v>
      </c>
      <c r="J180" s="299"/>
      <c r="K180" s="587"/>
    </row>
    <row r="181" spans="1:92" x14ac:dyDescent="0.2">
      <c r="B181" s="569"/>
      <c r="F181" s="14"/>
    </row>
    <row r="182" spans="1:92" s="8" customFormat="1" ht="15" x14ac:dyDescent="0.25">
      <c r="A182" s="8" t="str">
        <f ca="1">IF(OFFSET(P182,0,Lang_Order*Lang__A3)="","",OFFSET(P182,0,Lang_Order*Lang__A3))</f>
        <v>A3.9 Additional Interventions</v>
      </c>
      <c r="B182" s="285"/>
      <c r="C182" s="58"/>
      <c r="D182" s="234"/>
      <c r="E182" s="408" t="str">
        <f>CONCATENATE(Lang_LCU,": ",LCU)</f>
        <v xml:space="preserve">LCU: </v>
      </c>
      <c r="F182" s="610" t="str">
        <f ca="1">IF(OFFSET(U182,0,Lang_Order*Lang__A3)="","",OFFSET(U182,0,Lang_Order*Lang__A3))</f>
        <v>Override in USD</v>
      </c>
      <c r="G182" s="234"/>
      <c r="H182" s="234" t="s">
        <v>2635</v>
      </c>
      <c r="I182" s="219" t="s">
        <v>26</v>
      </c>
      <c r="J182" s="8" t="str">
        <f ca="1">IF(OFFSET(Y182,0,Lang_Order*Lang__A3)="","",OFFSET(Y182,0,Lang_Order*Lang__A3))</f>
        <v>Comments</v>
      </c>
      <c r="K182" s="8" t="str">
        <f ca="1">IF(OFFSET(Z182,0,Lang_Order*Lang__A3)="","",OFFSET(Z182,0,Lang_Order*Lang__A3))</f>
        <v>User Notes</v>
      </c>
      <c r="M182" s="311"/>
      <c r="O182" s="403"/>
      <c r="P182" s="403" t="s">
        <v>4162</v>
      </c>
      <c r="Q182" s="403"/>
      <c r="R182" s="403"/>
      <c r="S182" s="403"/>
      <c r="T182" s="403"/>
      <c r="U182" s="403" t="s">
        <v>2977</v>
      </c>
      <c r="V182" s="403"/>
      <c r="W182" s="403"/>
      <c r="X182" s="403"/>
      <c r="Y182" s="403" t="s">
        <v>13980</v>
      </c>
      <c r="Z182" s="403" t="s">
        <v>13981</v>
      </c>
      <c r="AA182" s="403" t="s">
        <v>8563</v>
      </c>
      <c r="AB182" s="403"/>
      <c r="AC182" s="403"/>
      <c r="AD182" s="403"/>
      <c r="AE182" s="403"/>
      <c r="AF182" s="403" t="s">
        <v>7897</v>
      </c>
      <c r="AG182" s="403"/>
      <c r="AH182" s="403"/>
      <c r="AI182" s="403"/>
      <c r="AJ182" s="403" t="s">
        <v>14071</v>
      </c>
      <c r="AK182" s="403" t="s">
        <v>14076</v>
      </c>
      <c r="AL182" s="403" t="s">
        <v>8564</v>
      </c>
      <c r="AM182" s="403"/>
      <c r="AN182" s="403"/>
      <c r="AO182" s="403"/>
      <c r="AP182" s="403"/>
      <c r="AQ182" s="403" t="s">
        <v>7900</v>
      </c>
      <c r="AR182" s="403"/>
      <c r="AS182" s="403"/>
      <c r="AT182" s="403"/>
      <c r="AU182" s="403" t="s">
        <v>14072</v>
      </c>
      <c r="AV182" s="403" t="s">
        <v>14077</v>
      </c>
      <c r="AW182" s="403" t="s">
        <v>8565</v>
      </c>
      <c r="AX182" s="403"/>
      <c r="AY182" s="403"/>
      <c r="AZ182" s="403"/>
      <c r="BA182" s="403"/>
      <c r="BB182" s="403" t="s">
        <v>7903</v>
      </c>
      <c r="BC182" s="403"/>
      <c r="BD182" s="403"/>
      <c r="BE182" s="403"/>
      <c r="BF182" s="403" t="s">
        <v>14073</v>
      </c>
      <c r="BG182" s="403" t="s">
        <v>14078</v>
      </c>
      <c r="BH182" s="403" t="s">
        <v>8566</v>
      </c>
      <c r="BI182" s="403"/>
      <c r="BJ182" s="403"/>
      <c r="BK182" s="403"/>
      <c r="BL182" s="403"/>
      <c r="BM182" s="403" t="s">
        <v>7906</v>
      </c>
      <c r="BN182" s="403"/>
      <c r="BO182" s="403"/>
      <c r="BP182" s="403"/>
      <c r="BQ182" s="403" t="s">
        <v>14074</v>
      </c>
      <c r="BR182" s="403" t="s">
        <v>14079</v>
      </c>
      <c r="BS182" s="403" t="s">
        <v>8567</v>
      </c>
      <c r="BT182" s="403"/>
      <c r="BU182" s="403"/>
      <c r="BV182" s="403"/>
      <c r="BW182" s="403"/>
      <c r="BX182" s="403" t="s">
        <v>7908</v>
      </c>
      <c r="BY182" s="403"/>
      <c r="BZ182" s="403"/>
      <c r="CA182" s="403"/>
      <c r="CB182" s="403" t="s">
        <v>14075</v>
      </c>
      <c r="CC182" s="650" t="s">
        <v>14080</v>
      </c>
      <c r="CD182" s="403" t="s">
        <v>8568</v>
      </c>
      <c r="CE182" s="403"/>
      <c r="CF182" s="403"/>
      <c r="CG182" s="403"/>
      <c r="CH182" s="403"/>
      <c r="CI182" s="403" t="s">
        <v>7911</v>
      </c>
      <c r="CJ182" s="403"/>
      <c r="CK182" s="403"/>
      <c r="CL182" s="403"/>
      <c r="CM182" s="403" t="s">
        <v>5455</v>
      </c>
      <c r="CN182" s="564" t="s">
        <v>14081</v>
      </c>
    </row>
    <row r="183" spans="1:92" s="194" customFormat="1" x14ac:dyDescent="0.2">
      <c r="B183" s="528"/>
      <c r="C183" s="679" t="str">
        <f ca="1">IF(OFFSET(R183,0,Lang_Order*Lang__A3)="","",OFFSET(R183,0,Lang_Order*Lang__A3))</f>
        <v>Note: If no additional interventions are desired, just input 0 under the unit costs</v>
      </c>
      <c r="D183" s="679"/>
      <c r="E183" s="679"/>
      <c r="F183" s="679"/>
      <c r="G183" s="679"/>
      <c r="H183" s="679"/>
      <c r="I183" s="679"/>
      <c r="L183" s="241"/>
      <c r="M183" s="277"/>
      <c r="O183" s="403"/>
      <c r="P183" s="403"/>
      <c r="Q183" s="403"/>
      <c r="R183" s="403" t="s">
        <v>4142</v>
      </c>
      <c r="S183" s="403"/>
      <c r="T183" s="403"/>
      <c r="U183" s="403"/>
      <c r="V183" s="403"/>
      <c r="W183" s="403"/>
      <c r="X183" s="403"/>
      <c r="Y183" s="403"/>
      <c r="Z183" s="403"/>
      <c r="AA183" s="403"/>
      <c r="AB183" s="403"/>
      <c r="AC183" s="403" t="s">
        <v>8569</v>
      </c>
      <c r="AD183" s="403"/>
      <c r="AE183" s="403"/>
      <c r="AF183" s="403"/>
      <c r="AG183" s="403"/>
      <c r="AH183" s="403"/>
      <c r="AI183" s="403"/>
      <c r="AJ183" s="403"/>
      <c r="AK183" s="403"/>
      <c r="AL183" s="403"/>
      <c r="AM183" s="403"/>
      <c r="AN183" s="403" t="s">
        <v>8570</v>
      </c>
      <c r="AO183" s="403"/>
      <c r="AP183" s="403"/>
      <c r="AQ183" s="403"/>
      <c r="AR183" s="403"/>
      <c r="AS183" s="403"/>
      <c r="AT183" s="403"/>
      <c r="AU183" s="403"/>
      <c r="AV183" s="403"/>
      <c r="AW183" s="403"/>
      <c r="AX183" s="403"/>
      <c r="AY183" s="403" t="s">
        <v>8571</v>
      </c>
      <c r="AZ183" s="403"/>
      <c r="BA183" s="403"/>
      <c r="BB183" s="403"/>
      <c r="BC183" s="403"/>
      <c r="BD183" s="403"/>
      <c r="BE183" s="403"/>
      <c r="BF183" s="403"/>
      <c r="BG183" s="403"/>
      <c r="BH183" s="403"/>
      <c r="BI183" s="403"/>
      <c r="BJ183" s="403" t="s">
        <v>8572</v>
      </c>
      <c r="BK183" s="403"/>
      <c r="BL183" s="403"/>
      <c r="BM183" s="403"/>
      <c r="BN183" s="403"/>
      <c r="BO183" s="403"/>
      <c r="BP183" s="403"/>
      <c r="BQ183" s="403"/>
      <c r="BR183" s="403"/>
      <c r="BS183" s="403"/>
      <c r="BT183" s="403"/>
      <c r="BU183" s="403" t="s">
        <v>8573</v>
      </c>
      <c r="BV183" s="403"/>
      <c r="BW183" s="403"/>
      <c r="BX183" s="403"/>
      <c r="BY183" s="403"/>
      <c r="BZ183" s="403"/>
      <c r="CA183" s="403"/>
      <c r="CB183" s="403" t="s">
        <v>8574</v>
      </c>
      <c r="CC183" s="650"/>
      <c r="CD183" s="403"/>
      <c r="CE183" s="403"/>
      <c r="CF183" s="403" t="s">
        <v>8575</v>
      </c>
      <c r="CG183" s="403"/>
      <c r="CH183" s="403"/>
      <c r="CI183" s="403"/>
      <c r="CJ183" s="403"/>
      <c r="CK183" s="403"/>
      <c r="CL183" s="403"/>
      <c r="CM183" s="403"/>
      <c r="CN183" s="564"/>
    </row>
    <row r="184" spans="1:92" s="15" customFormat="1" x14ac:dyDescent="0.2">
      <c r="B184" s="569" t="str">
        <f ca="1">IF(OFFSET(Q184,0,Lang_Order*Lang__A3)="","",OFFSET(Q184,0,Lang_Order*Lang__A3))</f>
        <v>Per Site</v>
      </c>
      <c r="D184" s="23"/>
      <c r="F184" s="14"/>
      <c r="G184" s="194"/>
      <c r="H184" s="14"/>
      <c r="I184" s="11" t="e">
        <f>SUM(H185:H187)</f>
        <v>#N/A</v>
      </c>
      <c r="J184" s="12" t="str">
        <f ca="1">IF(OFFSET(Y184,0,Lang_Order*Lang__A3)="","",OFFSET(Y184,0,Lang_Order*Lang__A3))</f>
        <v>e.g blood pressure machine, capillary blood glucose meter, etc.</v>
      </c>
      <c r="L184" s="241"/>
      <c r="M184" s="277"/>
      <c r="O184" s="403"/>
      <c r="P184" s="403"/>
      <c r="Q184" s="403" t="s">
        <v>1580</v>
      </c>
      <c r="R184" s="403"/>
      <c r="S184" s="403"/>
      <c r="T184" s="403"/>
      <c r="U184" s="403"/>
      <c r="V184" s="403"/>
      <c r="W184" s="403"/>
      <c r="X184" s="403"/>
      <c r="Y184" s="403" t="s">
        <v>2657</v>
      </c>
      <c r="Z184" s="403"/>
      <c r="AA184" s="403"/>
      <c r="AB184" s="403" t="s">
        <v>8457</v>
      </c>
      <c r="AC184" s="403"/>
      <c r="AD184" s="403"/>
      <c r="AE184" s="403"/>
      <c r="AF184" s="403"/>
      <c r="AG184" s="403"/>
      <c r="AH184" s="403"/>
      <c r="AI184" s="403"/>
      <c r="AJ184" s="403" t="s">
        <v>8576</v>
      </c>
      <c r="AK184" s="403"/>
      <c r="AL184" s="403"/>
      <c r="AM184" s="403" t="s">
        <v>8577</v>
      </c>
      <c r="AN184" s="403"/>
      <c r="AO184" s="403"/>
      <c r="AP184" s="403"/>
      <c r="AQ184" s="403"/>
      <c r="AR184" s="403"/>
      <c r="AS184" s="403"/>
      <c r="AT184" s="403"/>
      <c r="AU184" s="403" t="s">
        <v>8578</v>
      </c>
      <c r="AV184" s="403"/>
      <c r="AW184" s="403"/>
      <c r="AX184" s="403" t="s">
        <v>8579</v>
      </c>
      <c r="AY184" s="403"/>
      <c r="AZ184" s="403"/>
      <c r="BA184" s="403"/>
      <c r="BB184" s="403"/>
      <c r="BC184" s="403"/>
      <c r="BD184" s="403"/>
      <c r="BE184" s="403"/>
      <c r="BF184" s="403" t="s">
        <v>8580</v>
      </c>
      <c r="BG184" s="403"/>
      <c r="BH184" s="403"/>
      <c r="BI184" s="403" t="s">
        <v>8463</v>
      </c>
      <c r="BJ184" s="403"/>
      <c r="BK184" s="403"/>
      <c r="BL184" s="403"/>
      <c r="BM184" s="403"/>
      <c r="BN184" s="403"/>
      <c r="BO184" s="403"/>
      <c r="BP184" s="403"/>
      <c r="BQ184" s="403" t="s">
        <v>8581</v>
      </c>
      <c r="BR184" s="403"/>
      <c r="BS184" s="403"/>
      <c r="BT184" s="403" t="s">
        <v>8465</v>
      </c>
      <c r="BU184" s="403"/>
      <c r="BV184" s="403"/>
      <c r="BW184" s="403"/>
      <c r="BX184" s="403"/>
      <c r="BY184" s="403"/>
      <c r="BZ184" s="403"/>
      <c r="CA184" s="403"/>
      <c r="CB184" s="403" t="s">
        <v>8582</v>
      </c>
      <c r="CC184" s="650"/>
      <c r="CD184" s="403"/>
      <c r="CE184" s="403" t="s">
        <v>8467</v>
      </c>
      <c r="CF184" s="403"/>
      <c r="CG184" s="403"/>
      <c r="CH184" s="403"/>
      <c r="CI184" s="403"/>
      <c r="CJ184" s="403"/>
      <c r="CK184" s="403"/>
      <c r="CL184" s="403"/>
      <c r="CM184" s="403" t="s">
        <v>8583</v>
      </c>
      <c r="CN184" s="564"/>
    </row>
    <row r="185" spans="1:92" s="15" customFormat="1" x14ac:dyDescent="0.2">
      <c r="A185" s="350">
        <v>2</v>
      </c>
      <c r="B185" s="569"/>
      <c r="C185" s="374"/>
      <c r="D185" s="5"/>
      <c r="E185" s="496">
        <v>0</v>
      </c>
      <c r="F185" s="39"/>
      <c r="G185" s="4" t="str">
        <f t="shared" ref="G185" si="55">IF(AND(ISBLANK(E185),ISBLANK(F185)),"CHECK","OK")</f>
        <v>OK</v>
      </c>
      <c r="H185" s="236" t="e">
        <f>IF(ISBLANK(F185),E185/USD2LCU,F185)</f>
        <v>#N/A</v>
      </c>
      <c r="I185" s="221" t="e">
        <f t="shared" ref="I185:I186" si="56">E185/USD2LCU</f>
        <v>#N/A</v>
      </c>
      <c r="J185" s="299"/>
      <c r="K185" s="587" t="s">
        <v>1590</v>
      </c>
      <c r="L185" s="241"/>
      <c r="M185" s="277"/>
      <c r="O185" s="403"/>
      <c r="P185" s="403"/>
      <c r="Q185" s="403"/>
      <c r="R185" s="403"/>
      <c r="S185" s="403"/>
      <c r="T185" s="403"/>
      <c r="U185" s="403"/>
      <c r="V185" s="403"/>
      <c r="W185" s="403"/>
      <c r="X185" s="403"/>
      <c r="Y185" s="403"/>
      <c r="Z185" s="403"/>
      <c r="AA185" s="403"/>
      <c r="AB185" s="403"/>
      <c r="AC185" s="403"/>
      <c r="AD185" s="403"/>
      <c r="AE185" s="403"/>
      <c r="AF185" s="403"/>
      <c r="AG185" s="403"/>
      <c r="AH185" s="403"/>
      <c r="AI185" s="403"/>
      <c r="AJ185" s="403"/>
      <c r="AK185" s="403"/>
      <c r="AL185" s="403"/>
      <c r="AM185" s="403"/>
      <c r="AN185" s="403"/>
      <c r="AO185" s="403"/>
      <c r="AP185" s="403"/>
      <c r="AQ185" s="403"/>
      <c r="AR185" s="403"/>
      <c r="AS185" s="403"/>
      <c r="AT185" s="403"/>
      <c r="AU185" s="403"/>
      <c r="AV185" s="403"/>
      <c r="AW185" s="403"/>
      <c r="AX185" s="403"/>
      <c r="AY185" s="403"/>
      <c r="AZ185" s="403"/>
      <c r="BA185" s="403"/>
      <c r="BB185" s="403"/>
      <c r="BC185" s="403"/>
      <c r="BD185" s="403"/>
      <c r="BE185" s="403"/>
      <c r="BF185" s="403"/>
      <c r="BG185" s="403"/>
      <c r="BH185" s="403"/>
      <c r="BI185" s="403"/>
      <c r="BJ185" s="403"/>
      <c r="BK185" s="403"/>
      <c r="BL185" s="403"/>
      <c r="BM185" s="403"/>
      <c r="BN185" s="403"/>
      <c r="BO185" s="403"/>
      <c r="BP185" s="403"/>
      <c r="BQ185" s="403"/>
      <c r="BR185" s="403"/>
      <c r="BS185" s="403"/>
      <c r="BT185" s="403"/>
      <c r="BU185" s="403"/>
      <c r="BV185" s="403"/>
      <c r="BW185" s="403"/>
      <c r="BX185" s="403"/>
      <c r="BY185" s="403"/>
      <c r="BZ185" s="403"/>
      <c r="CA185" s="403"/>
      <c r="CB185" s="403"/>
      <c r="CC185" s="650"/>
      <c r="CD185" s="403"/>
      <c r="CE185" s="403"/>
      <c r="CF185" s="403"/>
      <c r="CG185" s="403"/>
      <c r="CH185" s="403"/>
      <c r="CI185" s="403"/>
      <c r="CJ185" s="403"/>
      <c r="CK185" s="403"/>
      <c r="CL185" s="403"/>
      <c r="CM185" s="403"/>
      <c r="CN185" s="564"/>
    </row>
    <row r="186" spans="1:92" s="15" customFormat="1" x14ac:dyDescent="0.2">
      <c r="A186" s="350">
        <v>2</v>
      </c>
      <c r="B186" s="569"/>
      <c r="C186" s="374"/>
      <c r="D186" s="5"/>
      <c r="E186" s="496"/>
      <c r="F186" s="39"/>
      <c r="G186" s="194"/>
      <c r="H186" s="236" t="e">
        <f>IF(ISBLANK(F186),E186/USD2LCU,F186)</f>
        <v>#N/A</v>
      </c>
      <c r="I186" s="221" t="e">
        <f t="shared" si="56"/>
        <v>#N/A</v>
      </c>
      <c r="J186" s="299"/>
      <c r="K186" s="587" t="s">
        <v>1591</v>
      </c>
      <c r="L186" s="241"/>
      <c r="M186" s="277"/>
      <c r="O186" s="403"/>
      <c r="P186" s="403"/>
      <c r="Q186" s="403"/>
      <c r="R186" s="403"/>
      <c r="S186" s="403"/>
      <c r="T186" s="403"/>
      <c r="U186" s="403"/>
      <c r="V186" s="403"/>
      <c r="W186" s="403"/>
      <c r="X186" s="403"/>
      <c r="Y186" s="403"/>
      <c r="Z186" s="403"/>
      <c r="AA186" s="403"/>
      <c r="AB186" s="403"/>
      <c r="AC186" s="403"/>
      <c r="AD186" s="403"/>
      <c r="AE186" s="403"/>
      <c r="AF186" s="403"/>
      <c r="AG186" s="403"/>
      <c r="AH186" s="403"/>
      <c r="AI186" s="403"/>
      <c r="AJ186" s="403"/>
      <c r="AK186" s="403"/>
      <c r="AL186" s="403"/>
      <c r="AM186" s="403"/>
      <c r="AN186" s="403"/>
      <c r="AO186" s="403"/>
      <c r="AP186" s="403"/>
      <c r="AQ186" s="403"/>
      <c r="AR186" s="403"/>
      <c r="AS186" s="403"/>
      <c r="AT186" s="403"/>
      <c r="AU186" s="403"/>
      <c r="AV186" s="403"/>
      <c r="AW186" s="403"/>
      <c r="AX186" s="403"/>
      <c r="AY186" s="403"/>
      <c r="AZ186" s="403"/>
      <c r="BA186" s="403"/>
      <c r="BB186" s="403"/>
      <c r="BC186" s="403"/>
      <c r="BD186" s="403"/>
      <c r="BE186" s="403"/>
      <c r="BF186" s="403"/>
      <c r="BG186" s="403"/>
      <c r="BH186" s="403"/>
      <c r="BI186" s="403"/>
      <c r="BJ186" s="403"/>
      <c r="BK186" s="403"/>
      <c r="BL186" s="403"/>
      <c r="BM186" s="403"/>
      <c r="BN186" s="403"/>
      <c r="BO186" s="403"/>
      <c r="BP186" s="403"/>
      <c r="BQ186" s="403"/>
      <c r="BR186" s="403"/>
      <c r="BS186" s="403"/>
      <c r="BT186" s="403"/>
      <c r="BU186" s="403"/>
      <c r="BV186" s="403"/>
      <c r="BW186" s="403"/>
      <c r="BX186" s="403"/>
      <c r="BY186" s="403"/>
      <c r="BZ186" s="403"/>
      <c r="CA186" s="403"/>
      <c r="CB186" s="403"/>
      <c r="CC186" s="650"/>
      <c r="CD186" s="403"/>
      <c r="CE186" s="403"/>
      <c r="CF186" s="403"/>
      <c r="CG186" s="403"/>
      <c r="CH186" s="403"/>
      <c r="CI186" s="403"/>
      <c r="CJ186" s="403"/>
      <c r="CK186" s="403"/>
      <c r="CL186" s="403"/>
      <c r="CM186" s="403"/>
      <c r="CN186" s="564"/>
    </row>
    <row r="187" spans="1:92" s="194" customFormat="1" x14ac:dyDescent="0.2">
      <c r="A187" s="350">
        <v>2</v>
      </c>
      <c r="B187" s="569"/>
      <c r="C187" s="374"/>
      <c r="D187" s="5"/>
      <c r="E187" s="496"/>
      <c r="F187" s="39"/>
      <c r="H187" s="236"/>
      <c r="I187" s="221"/>
      <c r="J187" s="299"/>
      <c r="K187" s="587" t="s">
        <v>1592</v>
      </c>
      <c r="L187" s="241"/>
      <c r="M187" s="277"/>
      <c r="O187" s="403"/>
      <c r="P187" s="403"/>
      <c r="Q187" s="403"/>
      <c r="R187" s="403"/>
      <c r="S187" s="403"/>
      <c r="T187" s="403"/>
      <c r="U187" s="403"/>
      <c r="V187" s="403"/>
      <c r="W187" s="403"/>
      <c r="X187" s="403"/>
      <c r="Y187" s="403"/>
      <c r="Z187" s="403"/>
      <c r="AA187" s="403"/>
      <c r="AB187" s="403"/>
      <c r="AC187" s="403"/>
      <c r="AD187" s="403"/>
      <c r="AE187" s="403"/>
      <c r="AF187" s="403"/>
      <c r="AG187" s="403"/>
      <c r="AH187" s="403"/>
      <c r="AI187" s="403"/>
      <c r="AJ187" s="403"/>
      <c r="AK187" s="403"/>
      <c r="AL187" s="403"/>
      <c r="AM187" s="403"/>
      <c r="AN187" s="403"/>
      <c r="AO187" s="403"/>
      <c r="AP187" s="403"/>
      <c r="AQ187" s="403"/>
      <c r="AR187" s="403"/>
      <c r="AS187" s="403"/>
      <c r="AT187" s="403"/>
      <c r="AU187" s="403"/>
      <c r="AV187" s="403"/>
      <c r="AW187" s="403"/>
      <c r="AX187" s="403"/>
      <c r="AY187" s="403"/>
      <c r="AZ187" s="403"/>
      <c r="BA187" s="403"/>
      <c r="BB187" s="403"/>
      <c r="BC187" s="403"/>
      <c r="BD187" s="403"/>
      <c r="BE187" s="403"/>
      <c r="BF187" s="403"/>
      <c r="BG187" s="403"/>
      <c r="BH187" s="403"/>
      <c r="BI187" s="403"/>
      <c r="BJ187" s="403"/>
      <c r="BK187" s="403"/>
      <c r="BL187" s="403"/>
      <c r="BM187" s="403"/>
      <c r="BN187" s="403"/>
      <c r="BO187" s="403"/>
      <c r="BP187" s="403"/>
      <c r="BQ187" s="403"/>
      <c r="BR187" s="403"/>
      <c r="BS187" s="403"/>
      <c r="BT187" s="403"/>
      <c r="BU187" s="403"/>
      <c r="BV187" s="403"/>
      <c r="BW187" s="403"/>
      <c r="BX187" s="403"/>
      <c r="BY187" s="403"/>
      <c r="BZ187" s="403"/>
      <c r="CA187" s="403"/>
      <c r="CB187" s="403"/>
      <c r="CC187" s="650"/>
      <c r="CD187" s="403"/>
      <c r="CE187" s="403"/>
      <c r="CF187" s="403"/>
      <c r="CG187" s="403"/>
      <c r="CH187" s="403"/>
      <c r="CI187" s="403"/>
      <c r="CJ187" s="403"/>
      <c r="CK187" s="403"/>
      <c r="CL187" s="403"/>
      <c r="CM187" s="403"/>
      <c r="CN187" s="564"/>
    </row>
    <row r="188" spans="1:92" s="15" customFormat="1" x14ac:dyDescent="0.2">
      <c r="B188" s="569"/>
      <c r="C188" s="9"/>
      <c r="F188" s="14"/>
      <c r="G188" s="194"/>
      <c r="H188" s="194"/>
      <c r="I188" s="14"/>
      <c r="J188" s="299"/>
      <c r="L188" s="241"/>
      <c r="M188" s="277"/>
      <c r="O188" s="403"/>
      <c r="P188" s="403"/>
      <c r="Q188" s="403"/>
      <c r="R188" s="403"/>
      <c r="S188" s="403"/>
      <c r="T188" s="403"/>
      <c r="U188" s="403"/>
      <c r="V188" s="403"/>
      <c r="W188" s="403"/>
      <c r="X188" s="403"/>
      <c r="Y188" s="403"/>
      <c r="Z188" s="403"/>
      <c r="AA188" s="403"/>
      <c r="AB188" s="403"/>
      <c r="AC188" s="403"/>
      <c r="AD188" s="403"/>
      <c r="AE188" s="403"/>
      <c r="AF188" s="403"/>
      <c r="AG188" s="403"/>
      <c r="AH188" s="403"/>
      <c r="AI188" s="403"/>
      <c r="AJ188" s="403"/>
      <c r="AK188" s="403"/>
      <c r="AL188" s="403"/>
      <c r="AM188" s="403"/>
      <c r="AN188" s="403"/>
      <c r="AO188" s="403"/>
      <c r="AP188" s="403"/>
      <c r="AQ188" s="403"/>
      <c r="AR188" s="403"/>
      <c r="AS188" s="403"/>
      <c r="AT188" s="403"/>
      <c r="AU188" s="403"/>
      <c r="AV188" s="403"/>
      <c r="AW188" s="403"/>
      <c r="AX188" s="403"/>
      <c r="AY188" s="403"/>
      <c r="AZ188" s="403"/>
      <c r="BA188" s="403"/>
      <c r="BB188" s="403"/>
      <c r="BC188" s="403"/>
      <c r="BD188" s="403"/>
      <c r="BE188" s="403"/>
      <c r="BF188" s="403"/>
      <c r="BG188" s="403"/>
      <c r="BH188" s="403"/>
      <c r="BI188" s="403"/>
      <c r="BJ188" s="403"/>
      <c r="BK188" s="403"/>
      <c r="BL188" s="403"/>
      <c r="BM188" s="403"/>
      <c r="BN188" s="403"/>
      <c r="BO188" s="403"/>
      <c r="BP188" s="403"/>
      <c r="BQ188" s="403"/>
      <c r="BR188" s="403"/>
      <c r="BS188" s="403"/>
      <c r="BT188" s="403"/>
      <c r="BU188" s="403"/>
      <c r="BV188" s="403"/>
      <c r="BW188" s="403"/>
      <c r="BX188" s="403"/>
      <c r="BY188" s="403"/>
      <c r="BZ188" s="403"/>
      <c r="CA188" s="403"/>
      <c r="CB188" s="403"/>
      <c r="CC188" s="650"/>
      <c r="CD188" s="403"/>
      <c r="CE188" s="403"/>
      <c r="CF188" s="403"/>
      <c r="CG188" s="403"/>
      <c r="CH188" s="403"/>
      <c r="CI188" s="403"/>
      <c r="CJ188" s="403"/>
      <c r="CK188" s="403"/>
      <c r="CL188" s="403"/>
      <c r="CM188" s="403"/>
      <c r="CN188" s="564"/>
    </row>
    <row r="189" spans="1:92" s="15" customFormat="1" x14ac:dyDescent="0.2">
      <c r="B189" s="569" t="str">
        <f ca="1">IF(OFFSET(Q189,0,Lang_Order*Lang__A3)="","",OFFSET(Q189,0,Lang_Order*Lang__A3))</f>
        <v>Per Vaccinated Person Per Dose</v>
      </c>
      <c r="D189" s="23"/>
      <c r="F189" s="14"/>
      <c r="G189" s="194"/>
      <c r="H189" s="14"/>
      <c r="I189" s="11" t="e">
        <f>SUM(H190:H192)</f>
        <v>#N/A</v>
      </c>
      <c r="J189" s="12" t="str">
        <f ca="1">IF(OFFSET(Y189,0,Lang_Order*Lang__A3)="","",OFFSET(Y189,0,Lang_Order*Lang__A3))</f>
        <v>e.g., dipsticks, glucostix, etc.</v>
      </c>
      <c r="L189" s="241"/>
      <c r="M189" s="277"/>
      <c r="O189" s="403"/>
      <c r="P189" s="403"/>
      <c r="Q189" s="403" t="s">
        <v>3842</v>
      </c>
      <c r="R189" s="403"/>
      <c r="S189" s="403"/>
      <c r="T189" s="403"/>
      <c r="U189" s="403"/>
      <c r="V189" s="403"/>
      <c r="W189" s="403"/>
      <c r="X189" s="403"/>
      <c r="Y189" s="403" t="s">
        <v>2970</v>
      </c>
      <c r="Z189" s="403"/>
      <c r="AA189" s="403"/>
      <c r="AB189" s="403" t="s">
        <v>8584</v>
      </c>
      <c r="AC189" s="403"/>
      <c r="AD189" s="403"/>
      <c r="AE189" s="403"/>
      <c r="AF189" s="403"/>
      <c r="AG189" s="403"/>
      <c r="AH189" s="403"/>
      <c r="AI189" s="403"/>
      <c r="AJ189" s="403" t="s">
        <v>8585</v>
      </c>
      <c r="AK189" s="403"/>
      <c r="AL189" s="403"/>
      <c r="AM189" s="403" t="s">
        <v>8586</v>
      </c>
      <c r="AN189" s="403"/>
      <c r="AO189" s="403"/>
      <c r="AP189" s="403"/>
      <c r="AQ189" s="403"/>
      <c r="AR189" s="403"/>
      <c r="AS189" s="403"/>
      <c r="AT189" s="403"/>
      <c r="AU189" s="403" t="s">
        <v>8587</v>
      </c>
      <c r="AV189" s="403"/>
      <c r="AW189" s="403"/>
      <c r="AX189" s="403" t="s">
        <v>8588</v>
      </c>
      <c r="AY189" s="403"/>
      <c r="AZ189" s="403"/>
      <c r="BA189" s="403"/>
      <c r="BB189" s="403"/>
      <c r="BC189" s="403"/>
      <c r="BD189" s="403"/>
      <c r="BE189" s="403"/>
      <c r="BF189" s="403" t="s">
        <v>8589</v>
      </c>
      <c r="BG189" s="403"/>
      <c r="BH189" s="403"/>
      <c r="BI189" s="403" t="s">
        <v>8590</v>
      </c>
      <c r="BJ189" s="403"/>
      <c r="BK189" s="403"/>
      <c r="BL189" s="403"/>
      <c r="BM189" s="403"/>
      <c r="BN189" s="403"/>
      <c r="BO189" s="403"/>
      <c r="BP189" s="403"/>
      <c r="BQ189" s="403" t="s">
        <v>8591</v>
      </c>
      <c r="BR189" s="403"/>
      <c r="BS189" s="403"/>
      <c r="BT189" s="403" t="s">
        <v>8592</v>
      </c>
      <c r="BU189" s="403"/>
      <c r="BV189" s="403"/>
      <c r="BW189" s="403"/>
      <c r="BX189" s="403"/>
      <c r="BY189" s="403"/>
      <c r="BZ189" s="403"/>
      <c r="CA189" s="403"/>
      <c r="CB189" s="403" t="s">
        <v>8593</v>
      </c>
      <c r="CC189" s="650"/>
      <c r="CD189" s="403"/>
      <c r="CE189" s="403" t="s">
        <v>8594</v>
      </c>
      <c r="CF189" s="403"/>
      <c r="CG189" s="403"/>
      <c r="CH189" s="403"/>
      <c r="CI189" s="403"/>
      <c r="CJ189" s="403"/>
      <c r="CK189" s="403"/>
      <c r="CL189" s="403"/>
      <c r="CM189" s="403" t="s">
        <v>8595</v>
      </c>
      <c r="CN189" s="564"/>
    </row>
    <row r="190" spans="1:92" s="15" customFormat="1" x14ac:dyDescent="0.2">
      <c r="A190" s="350">
        <v>2</v>
      </c>
      <c r="B190" s="569"/>
      <c r="C190" s="374"/>
      <c r="D190" s="5"/>
      <c r="E190" s="496">
        <v>0</v>
      </c>
      <c r="F190" s="39"/>
      <c r="G190" s="4" t="str">
        <f t="shared" ref="G190" si="57">IF(AND(ISBLANK(E190),ISBLANK(F190)),"CHECK","OK")</f>
        <v>OK</v>
      </c>
      <c r="H190" s="236" t="e">
        <f>IF(ISBLANK(F190),E190/USD2LCU,F190)</f>
        <v>#N/A</v>
      </c>
      <c r="I190" s="221" t="e">
        <f t="shared" ref="I190:I191" si="58">E190/USD2LCU</f>
        <v>#N/A</v>
      </c>
      <c r="J190" s="299"/>
      <c r="K190" s="587" t="s">
        <v>1590</v>
      </c>
      <c r="L190" s="241"/>
      <c r="M190" s="277"/>
      <c r="O190" s="403"/>
      <c r="P190" s="403"/>
      <c r="Q190" s="403"/>
      <c r="R190" s="403"/>
      <c r="S190" s="403"/>
      <c r="T190" s="403"/>
      <c r="U190" s="403"/>
      <c r="V190" s="403"/>
      <c r="W190" s="403"/>
      <c r="X190" s="403"/>
      <c r="Y190" s="403"/>
      <c r="Z190" s="403"/>
      <c r="AA190" s="403"/>
      <c r="AB190" s="403"/>
      <c r="AC190" s="403"/>
      <c r="AD190" s="403"/>
      <c r="AE190" s="403"/>
      <c r="AF190" s="403"/>
      <c r="AG190" s="403"/>
      <c r="AH190" s="403"/>
      <c r="AI190" s="403"/>
      <c r="AJ190" s="403"/>
      <c r="AK190" s="403"/>
      <c r="AL190" s="403"/>
      <c r="AM190" s="403"/>
      <c r="AN190" s="403"/>
      <c r="AO190" s="403"/>
      <c r="AP190" s="403"/>
      <c r="AQ190" s="403"/>
      <c r="AR190" s="403"/>
      <c r="AS190" s="403"/>
      <c r="AT190" s="403"/>
      <c r="AU190" s="403"/>
      <c r="AV190" s="403"/>
      <c r="AW190" s="403"/>
      <c r="AX190" s="403"/>
      <c r="AY190" s="403"/>
      <c r="AZ190" s="403"/>
      <c r="BA190" s="403"/>
      <c r="BB190" s="403"/>
      <c r="BC190" s="403"/>
      <c r="BD190" s="403"/>
      <c r="BE190" s="403"/>
      <c r="BF190" s="403"/>
      <c r="BG190" s="403"/>
      <c r="BH190" s="403"/>
      <c r="BI190" s="403"/>
      <c r="BJ190" s="403"/>
      <c r="BK190" s="403"/>
      <c r="BL190" s="403"/>
      <c r="BM190" s="403"/>
      <c r="BN190" s="403"/>
      <c r="BO190" s="403"/>
      <c r="BP190" s="403"/>
      <c r="BQ190" s="403"/>
      <c r="BR190" s="403"/>
      <c r="BS190" s="403"/>
      <c r="BT190" s="403"/>
      <c r="BU190" s="403"/>
      <c r="BV190" s="403"/>
      <c r="BW190" s="403"/>
      <c r="BX190" s="403"/>
      <c r="BY190" s="403"/>
      <c r="BZ190" s="403"/>
      <c r="CA190" s="403"/>
      <c r="CB190" s="403"/>
      <c r="CC190" s="650"/>
      <c r="CD190" s="403"/>
      <c r="CE190" s="403"/>
      <c r="CF190" s="403"/>
      <c r="CG190" s="403"/>
      <c r="CH190" s="403"/>
      <c r="CI190" s="403"/>
      <c r="CJ190" s="403"/>
      <c r="CK190" s="403"/>
      <c r="CL190" s="403"/>
      <c r="CM190" s="403"/>
      <c r="CN190" s="564"/>
    </row>
    <row r="191" spans="1:92" s="15" customFormat="1" x14ac:dyDescent="0.2">
      <c r="A191" s="350">
        <v>2</v>
      </c>
      <c r="B191" s="569"/>
      <c r="C191" s="374"/>
      <c r="D191" s="5"/>
      <c r="E191" s="496"/>
      <c r="F191" s="39"/>
      <c r="G191" s="194"/>
      <c r="H191" s="236" t="e">
        <f>IF(ISBLANK(F191),E191/USD2LCU,F191)</f>
        <v>#N/A</v>
      </c>
      <c r="I191" s="221" t="e">
        <f t="shared" si="58"/>
        <v>#N/A</v>
      </c>
      <c r="J191" s="299"/>
      <c r="K191" s="587" t="s">
        <v>1591</v>
      </c>
      <c r="L191" s="241"/>
      <c r="M191" s="277"/>
      <c r="O191" s="403"/>
      <c r="P191" s="403"/>
      <c r="Q191" s="403"/>
      <c r="R191" s="403"/>
      <c r="S191" s="403"/>
      <c r="T191" s="403"/>
      <c r="U191" s="403"/>
      <c r="V191" s="403"/>
      <c r="W191" s="403"/>
      <c r="X191" s="403"/>
      <c r="Y191" s="403"/>
      <c r="Z191" s="403"/>
      <c r="AA191" s="403"/>
      <c r="AB191" s="403"/>
      <c r="AC191" s="403"/>
      <c r="AD191" s="403"/>
      <c r="AE191" s="403"/>
      <c r="AF191" s="403"/>
      <c r="AG191" s="403"/>
      <c r="AH191" s="403"/>
      <c r="AI191" s="403"/>
      <c r="AJ191" s="403"/>
      <c r="AK191" s="403"/>
      <c r="AL191" s="403"/>
      <c r="AM191" s="403"/>
      <c r="AN191" s="403"/>
      <c r="AO191" s="403"/>
      <c r="AP191" s="403"/>
      <c r="AQ191" s="403"/>
      <c r="AR191" s="403"/>
      <c r="AS191" s="403"/>
      <c r="AT191" s="403"/>
      <c r="AU191" s="403"/>
      <c r="AV191" s="403"/>
      <c r="AW191" s="403"/>
      <c r="AX191" s="403"/>
      <c r="AY191" s="403"/>
      <c r="AZ191" s="403"/>
      <c r="BA191" s="403"/>
      <c r="BB191" s="403"/>
      <c r="BC191" s="403"/>
      <c r="BD191" s="403"/>
      <c r="BE191" s="403"/>
      <c r="BF191" s="403"/>
      <c r="BG191" s="403"/>
      <c r="BH191" s="403"/>
      <c r="BI191" s="403"/>
      <c r="BJ191" s="403"/>
      <c r="BK191" s="403"/>
      <c r="BL191" s="403"/>
      <c r="BM191" s="403"/>
      <c r="BN191" s="403"/>
      <c r="BO191" s="403"/>
      <c r="BP191" s="403"/>
      <c r="BQ191" s="403"/>
      <c r="BR191" s="403"/>
      <c r="BS191" s="403"/>
      <c r="BT191" s="403"/>
      <c r="BU191" s="403"/>
      <c r="BV191" s="403"/>
      <c r="BW191" s="403"/>
      <c r="BX191" s="403"/>
      <c r="BY191" s="403"/>
      <c r="BZ191" s="403"/>
      <c r="CA191" s="403"/>
      <c r="CB191" s="403"/>
      <c r="CC191" s="650"/>
      <c r="CD191" s="403"/>
      <c r="CE191" s="403"/>
      <c r="CF191" s="403"/>
      <c r="CG191" s="403"/>
      <c r="CH191" s="403"/>
      <c r="CI191" s="403"/>
      <c r="CJ191" s="403"/>
      <c r="CK191" s="403"/>
      <c r="CL191" s="403"/>
      <c r="CM191" s="403"/>
      <c r="CN191" s="564"/>
    </row>
    <row r="192" spans="1:92" s="194" customFormat="1" x14ac:dyDescent="0.2">
      <c r="A192" s="350">
        <v>2</v>
      </c>
      <c r="B192" s="569"/>
      <c r="C192" s="374"/>
      <c r="D192" s="5"/>
      <c r="E192" s="496"/>
      <c r="F192" s="39"/>
      <c r="H192" s="236"/>
      <c r="I192" s="221"/>
      <c r="J192" s="299"/>
      <c r="K192" s="587" t="s">
        <v>1592</v>
      </c>
      <c r="L192" s="241"/>
      <c r="M192" s="277"/>
      <c r="O192" s="403"/>
      <c r="P192" s="403"/>
      <c r="Q192" s="403"/>
      <c r="R192" s="403"/>
      <c r="S192" s="403"/>
      <c r="T192" s="403"/>
      <c r="U192" s="403"/>
      <c r="V192" s="403"/>
      <c r="W192" s="403"/>
      <c r="X192" s="403"/>
      <c r="Y192" s="403"/>
      <c r="Z192" s="403"/>
      <c r="AA192" s="403"/>
      <c r="AB192" s="403"/>
      <c r="AC192" s="403"/>
      <c r="AD192" s="403"/>
      <c r="AE192" s="403"/>
      <c r="AF192" s="403"/>
      <c r="AG192" s="403"/>
      <c r="AH192" s="403"/>
      <c r="AI192" s="403"/>
      <c r="AJ192" s="403"/>
      <c r="AK192" s="403"/>
      <c r="AL192" s="403"/>
      <c r="AM192" s="403"/>
      <c r="AN192" s="403"/>
      <c r="AO192" s="403"/>
      <c r="AP192" s="403"/>
      <c r="AQ192" s="403"/>
      <c r="AR192" s="403"/>
      <c r="AS192" s="403"/>
      <c r="AT192" s="403"/>
      <c r="AU192" s="403"/>
      <c r="AV192" s="403"/>
      <c r="AW192" s="403"/>
      <c r="AX192" s="403"/>
      <c r="AY192" s="403"/>
      <c r="AZ192" s="403"/>
      <c r="BA192" s="403"/>
      <c r="BB192" s="403"/>
      <c r="BC192" s="403"/>
      <c r="BD192" s="403"/>
      <c r="BE192" s="403"/>
      <c r="BF192" s="403"/>
      <c r="BG192" s="403"/>
      <c r="BH192" s="403"/>
      <c r="BI192" s="403"/>
      <c r="BJ192" s="403"/>
      <c r="BK192" s="403"/>
      <c r="BL192" s="403"/>
      <c r="BM192" s="403"/>
      <c r="BN192" s="403"/>
      <c r="BO192" s="403"/>
      <c r="BP192" s="403"/>
      <c r="BQ192" s="403"/>
      <c r="BR192" s="403"/>
      <c r="BS192" s="403"/>
      <c r="BT192" s="403"/>
      <c r="BU192" s="403"/>
      <c r="BV192" s="403"/>
      <c r="BW192" s="403"/>
      <c r="BX192" s="403"/>
      <c r="BY192" s="403"/>
      <c r="BZ192" s="403"/>
      <c r="CA192" s="403"/>
      <c r="CB192" s="403"/>
      <c r="CC192" s="650"/>
      <c r="CD192" s="403"/>
      <c r="CE192" s="403"/>
      <c r="CF192" s="403"/>
      <c r="CG192" s="403"/>
      <c r="CH192" s="403"/>
      <c r="CI192" s="403"/>
      <c r="CJ192" s="403"/>
      <c r="CK192" s="403"/>
      <c r="CL192" s="403"/>
      <c r="CM192" s="403"/>
      <c r="CN192" s="564"/>
    </row>
    <row r="193" spans="1:92" x14ac:dyDescent="0.2">
      <c r="B193" s="569"/>
      <c r="F193" s="14"/>
      <c r="J193" s="299"/>
    </row>
    <row r="194" spans="1:92" s="27" customFormat="1" ht="19.5" x14ac:dyDescent="0.3">
      <c r="B194" s="579"/>
      <c r="C194" s="156"/>
      <c r="F194" s="218"/>
      <c r="I194" s="218"/>
      <c r="M194" s="310"/>
      <c r="O194" s="403"/>
      <c r="P194" s="403"/>
      <c r="Q194" s="403"/>
      <c r="R194" s="403"/>
      <c r="S194" s="403"/>
      <c r="T194" s="403"/>
      <c r="U194" s="403"/>
      <c r="V194" s="403"/>
      <c r="W194" s="403"/>
      <c r="X194" s="403"/>
      <c r="Y194" s="403"/>
      <c r="Z194" s="403"/>
      <c r="AA194" s="403"/>
      <c r="AB194" s="403"/>
      <c r="AC194" s="403"/>
      <c r="AD194" s="403"/>
      <c r="AE194" s="403"/>
      <c r="AF194" s="403"/>
      <c r="AG194" s="403"/>
      <c r="AH194" s="403"/>
      <c r="AI194" s="403"/>
      <c r="AJ194" s="403"/>
      <c r="AK194" s="403"/>
      <c r="AL194" s="403"/>
      <c r="AM194" s="403"/>
      <c r="AN194" s="403"/>
      <c r="AO194" s="403"/>
      <c r="AP194" s="403"/>
      <c r="AQ194" s="403"/>
      <c r="AR194" s="403"/>
      <c r="AS194" s="403"/>
      <c r="AT194" s="403"/>
      <c r="AU194" s="403"/>
      <c r="AV194" s="403"/>
      <c r="AW194" s="403"/>
      <c r="AX194" s="403"/>
      <c r="AY194" s="403"/>
      <c r="AZ194" s="403"/>
      <c r="BA194" s="403"/>
      <c r="BB194" s="403"/>
      <c r="BC194" s="403"/>
      <c r="BD194" s="403"/>
      <c r="BE194" s="403"/>
      <c r="BF194" s="403"/>
      <c r="BG194" s="403"/>
      <c r="BH194" s="403"/>
      <c r="BI194" s="403"/>
      <c r="BJ194" s="403"/>
      <c r="BK194" s="403"/>
      <c r="BL194" s="403"/>
      <c r="BM194" s="403"/>
      <c r="BN194" s="403"/>
      <c r="BO194" s="403"/>
      <c r="BP194" s="403"/>
      <c r="BQ194" s="403"/>
      <c r="BR194" s="403"/>
      <c r="BS194" s="403"/>
      <c r="BT194" s="403"/>
      <c r="BU194" s="403"/>
      <c r="BV194" s="403"/>
      <c r="BW194" s="403"/>
      <c r="BX194" s="403"/>
      <c r="BY194" s="403"/>
      <c r="BZ194" s="403"/>
      <c r="CA194" s="403"/>
      <c r="CB194" s="403"/>
      <c r="CC194" s="650"/>
      <c r="CD194" s="403"/>
      <c r="CE194" s="403"/>
      <c r="CF194" s="403"/>
      <c r="CG194" s="403"/>
      <c r="CH194" s="403"/>
      <c r="CI194" s="403"/>
      <c r="CJ194" s="403"/>
      <c r="CK194" s="403"/>
      <c r="CL194" s="403"/>
      <c r="CM194" s="403"/>
      <c r="CN194" s="564"/>
    </row>
    <row r="199" spans="1:92" x14ac:dyDescent="0.2">
      <c r="A199" s="684" t="str">
        <f>WHO_Copyright</f>
        <v>© World Health Organization and the United Nations Children’s Fund (UNICEF), 2022. Some rights reserved. This work is available under the CC BY-NC-SA 3.0 IGO licence.</v>
      </c>
      <c r="B199" s="684"/>
      <c r="C199" s="684"/>
      <c r="D199" s="684"/>
      <c r="E199" s="684"/>
      <c r="F199" s="684"/>
      <c r="G199" s="684"/>
      <c r="H199" s="684"/>
      <c r="I199" s="684"/>
      <c r="J199" s="684"/>
    </row>
    <row r="200" spans="1:92" x14ac:dyDescent="0.2">
      <c r="A200" s="671" t="str">
        <f>WHO_Reference</f>
        <v>WHO reference number: WHO/2019-nCoV/Vaccine_deployment_tool/2022.1</v>
      </c>
      <c r="B200" s="671"/>
      <c r="C200" s="671"/>
      <c r="D200" s="671"/>
      <c r="E200" s="671"/>
      <c r="F200" s="671"/>
      <c r="G200" s="671"/>
      <c r="H200" s="671"/>
      <c r="I200" s="671"/>
      <c r="J200" s="671"/>
    </row>
  </sheetData>
  <sheetProtection algorithmName="SHA-512" hashValue="x8dsKFdWj4UYZKAbh3sWn9TRPpLzmpDem9uE2SWCvb+WwTzm9dulDyqbDGOICpR0fHX7PHQjyHkGgdnxJSwJ0g==" saltValue="Jqsh0O+NKb70sNf4ifSP3Q==" spinCount="100000" sheet="1" objects="1" scenarios="1"/>
  <mergeCells count="16">
    <mergeCell ref="A199:J199"/>
    <mergeCell ref="A200:J200"/>
    <mergeCell ref="C46:K46"/>
    <mergeCell ref="C166:I166"/>
    <mergeCell ref="C183:I183"/>
    <mergeCell ref="C77:I77"/>
    <mergeCell ref="C102:I102"/>
    <mergeCell ref="C137:I137"/>
    <mergeCell ref="C149:I149"/>
    <mergeCell ref="C89:I89"/>
    <mergeCell ref="E30:F30"/>
    <mergeCell ref="C16:I16"/>
    <mergeCell ref="C7:I7"/>
    <mergeCell ref="C4:I4"/>
    <mergeCell ref="E5:F5"/>
    <mergeCell ref="C29:I29"/>
  </mergeCells>
  <conditionalFormatting sqref="H9 G87:H87 G171:H171 H88 H169:H170">
    <cfRule type="containsText" dxfId="317" priority="80" operator="containsText" text="OK">
      <formula>NOT(ISERROR(SEARCH("OK",G9)))</formula>
    </cfRule>
  </conditionalFormatting>
  <conditionalFormatting sqref="H82:H83">
    <cfRule type="containsText" dxfId="316" priority="79" operator="containsText" text="OK">
      <formula>NOT(ISERROR(SEARCH("OK",H82)))</formula>
    </cfRule>
  </conditionalFormatting>
  <conditionalFormatting sqref="G31:H41 H42">
    <cfRule type="containsText" dxfId="315" priority="78" operator="containsText" text="OK">
      <formula>NOT(ISERROR(SEARCH("OK",G31)))</formula>
    </cfRule>
  </conditionalFormatting>
  <conditionalFormatting sqref="G112:H115">
    <cfRule type="containsText" dxfId="314" priority="77" operator="containsText" text="OK">
      <formula>NOT(ISERROR(SEARCH("OK",G112)))</formula>
    </cfRule>
  </conditionalFormatting>
  <conditionalFormatting sqref="H118:H121">
    <cfRule type="containsText" dxfId="313" priority="76" operator="containsText" text="OK">
      <formula>NOT(ISERROR(SEARCH("OK",H118)))</formula>
    </cfRule>
  </conditionalFormatting>
  <conditionalFormatting sqref="B169:F180">
    <cfRule type="expression" dxfId="312" priority="74">
      <formula>$I$167=0</formula>
    </cfRule>
  </conditionalFormatting>
  <conditionalFormatting sqref="G10:H14">
    <cfRule type="containsText" dxfId="311" priority="73" operator="containsText" text="OK">
      <formula>NOT(ISERROR(SEARCH("OK",G10)))</formula>
    </cfRule>
  </conditionalFormatting>
  <conditionalFormatting sqref="H18:H21">
    <cfRule type="containsText" dxfId="310" priority="72" operator="containsText" text="OK">
      <formula>NOT(ISERROR(SEARCH("OK",H18)))</formula>
    </cfRule>
  </conditionalFormatting>
  <conditionalFormatting sqref="H24:H26">
    <cfRule type="containsText" dxfId="309" priority="71" operator="containsText" text="OK">
      <formula>NOT(ISERROR(SEARCH("OK",H24)))</formula>
    </cfRule>
  </conditionalFormatting>
  <conditionalFormatting sqref="H48:H56 H58:H61">
    <cfRule type="containsText" dxfId="308" priority="69" operator="containsText" text="OK">
      <formula>NOT(ISERROR(SEARCH("OK",H48)))</formula>
    </cfRule>
  </conditionalFormatting>
  <conditionalFormatting sqref="H69">
    <cfRule type="containsText" dxfId="307" priority="66" operator="containsText" text="OK">
      <formula>NOT(ISERROR(SEARCH("OK",H69)))</formula>
    </cfRule>
  </conditionalFormatting>
  <conditionalFormatting sqref="H190:H192">
    <cfRule type="containsText" dxfId="306" priority="49" operator="containsText" text="OK">
      <formula>NOT(ISERROR(SEARCH("OK",H190)))</formula>
    </cfRule>
  </conditionalFormatting>
  <conditionalFormatting sqref="H92:H94">
    <cfRule type="containsText" dxfId="305" priority="60" operator="containsText" text="OK">
      <formula>NOT(ISERROR(SEARCH("OK",H92)))</formula>
    </cfRule>
  </conditionalFormatting>
  <conditionalFormatting sqref="H97:H99">
    <cfRule type="containsText" dxfId="304" priority="59" operator="containsText" text="OK">
      <formula>NOT(ISERROR(SEARCH("OK",H97)))</formula>
    </cfRule>
  </conditionalFormatting>
  <conditionalFormatting sqref="G118:G121">
    <cfRule type="containsText" dxfId="303" priority="58" operator="containsText" text="OK">
      <formula>NOT(ISERROR(SEARCH("OK",G118)))</formula>
    </cfRule>
  </conditionalFormatting>
  <conditionalFormatting sqref="H139:H141">
    <cfRule type="containsText" dxfId="302" priority="57" operator="containsText" text="OK">
      <formula>NOT(ISERROR(SEARCH("OK",H139)))</formula>
    </cfRule>
  </conditionalFormatting>
  <conditionalFormatting sqref="H144:H146">
    <cfRule type="containsText" dxfId="301" priority="56" operator="containsText" text="OK">
      <formula>NOT(ISERROR(SEARCH("OK",H144)))</formula>
    </cfRule>
  </conditionalFormatting>
  <conditionalFormatting sqref="H151:H153">
    <cfRule type="containsText" dxfId="300" priority="55" operator="containsText" text="OK">
      <formula>NOT(ISERROR(SEARCH("OK",H151)))</formula>
    </cfRule>
  </conditionalFormatting>
  <conditionalFormatting sqref="H156:H158">
    <cfRule type="containsText" dxfId="299" priority="54" operator="containsText" text="OK">
      <formula>NOT(ISERROR(SEARCH("OK",H156)))</formula>
    </cfRule>
  </conditionalFormatting>
  <conditionalFormatting sqref="H161:H163">
    <cfRule type="containsText" dxfId="298" priority="53" operator="containsText" text="OK">
      <formula>NOT(ISERROR(SEARCH("OK",H161)))</formula>
    </cfRule>
  </conditionalFormatting>
  <conditionalFormatting sqref="H174:H175">
    <cfRule type="containsText" dxfId="297" priority="52" operator="containsText" text="OK">
      <formula>NOT(ISERROR(SEARCH("OK",H174)))</formula>
    </cfRule>
  </conditionalFormatting>
  <conditionalFormatting sqref="H179:H180">
    <cfRule type="containsText" dxfId="296" priority="51" operator="containsText" text="OK">
      <formula>NOT(ISERROR(SEARCH("OK",H179)))</formula>
    </cfRule>
  </conditionalFormatting>
  <conditionalFormatting sqref="H185:H187">
    <cfRule type="containsText" dxfId="295" priority="50" operator="containsText" text="OK">
      <formula>NOT(ISERROR(SEARCH("OK",H185)))</formula>
    </cfRule>
  </conditionalFormatting>
  <conditionalFormatting sqref="H64:H68">
    <cfRule type="containsText" dxfId="294" priority="40" operator="containsText" text="OK">
      <formula>NOT(ISERROR(SEARCH("OK",H64)))</formula>
    </cfRule>
  </conditionalFormatting>
  <conditionalFormatting sqref="H70:H74">
    <cfRule type="containsText" dxfId="293" priority="39" operator="containsText" text="OK">
      <formula>NOT(ISERROR(SEARCH("OK",H70)))</formula>
    </cfRule>
  </conditionalFormatting>
  <conditionalFormatting sqref="H79:H81">
    <cfRule type="containsText" dxfId="292" priority="38" operator="containsText" text="OK">
      <formula>NOT(ISERROR(SEARCH("OK",H79)))</formula>
    </cfRule>
  </conditionalFormatting>
  <conditionalFormatting sqref="G84:H84">
    <cfRule type="containsText" dxfId="291" priority="37" operator="containsText" text="OK">
      <formula>NOT(ISERROR(SEARCH("OK",G84)))</formula>
    </cfRule>
  </conditionalFormatting>
  <conditionalFormatting sqref="G85:H85">
    <cfRule type="containsText" dxfId="290" priority="35" operator="containsText" text="OK">
      <formula>NOT(ISERROR(SEARCH("OK",G85)))</formula>
    </cfRule>
  </conditionalFormatting>
  <conditionalFormatting sqref="H15">
    <cfRule type="containsText" dxfId="289" priority="34" operator="containsText" text="OK">
      <formula>NOT(ISERROR(SEARCH("OK",H15)))</formula>
    </cfRule>
  </conditionalFormatting>
  <conditionalFormatting sqref="G15">
    <cfRule type="containsText" dxfId="288" priority="33" operator="containsText" text="OK">
      <formula>NOT(ISERROR(SEARCH("OK",G15)))</formula>
    </cfRule>
  </conditionalFormatting>
  <conditionalFormatting sqref="H104">
    <cfRule type="containsText" dxfId="287" priority="29" operator="containsText" text="OK">
      <formula>NOT(ISERROR(SEARCH("OK",H104)))</formula>
    </cfRule>
  </conditionalFormatting>
  <conditionalFormatting sqref="G104">
    <cfRule type="containsText" dxfId="286" priority="28" operator="containsText" text="OK">
      <formula>NOT(ISERROR(SEARCH("OK",G104)))</formula>
    </cfRule>
  </conditionalFormatting>
  <conditionalFormatting sqref="G86:H86">
    <cfRule type="containsText" dxfId="285" priority="27" operator="containsText" text="OK">
      <formula>NOT(ISERROR(SEARCH("OK",G86)))</formula>
    </cfRule>
  </conditionalFormatting>
  <conditionalFormatting sqref="G106:H108">
    <cfRule type="containsText" dxfId="284" priority="26" operator="containsText" text="OK">
      <formula>NOT(ISERROR(SEARCH("OK",G106)))</formula>
    </cfRule>
  </conditionalFormatting>
  <conditionalFormatting sqref="G125:H127 H128">
    <cfRule type="containsText" dxfId="283" priority="25" operator="containsText" text="OK">
      <formula>NOT(ISERROR(SEARCH("OK",G125)))</formula>
    </cfRule>
  </conditionalFormatting>
  <conditionalFormatting sqref="H131:H134">
    <cfRule type="containsText" dxfId="282" priority="24" operator="containsText" text="OK">
      <formula>NOT(ISERROR(SEARCH("OK",H131)))</formula>
    </cfRule>
  </conditionalFormatting>
  <conditionalFormatting sqref="G131:G133">
    <cfRule type="containsText" dxfId="281" priority="23" operator="containsText" text="OK">
      <formula>NOT(ISERROR(SEARCH("OK",G131)))</formula>
    </cfRule>
  </conditionalFormatting>
  <conditionalFormatting sqref="G9:G14">
    <cfRule type="containsText" dxfId="280" priority="22" operator="containsText" text="OK">
      <formula>NOT(ISERROR(SEARCH("OK",G9)))</formula>
    </cfRule>
  </conditionalFormatting>
  <conditionalFormatting sqref="G42">
    <cfRule type="containsText" dxfId="279" priority="21" operator="containsText" text="OK">
      <formula>NOT(ISERROR(SEARCH("OK",G42)))</formula>
    </cfRule>
  </conditionalFormatting>
  <conditionalFormatting sqref="G79:G81 G83">
    <cfRule type="containsText" dxfId="278" priority="20" operator="containsText" text="OK">
      <formula>NOT(ISERROR(SEARCH("OK",G79)))</formula>
    </cfRule>
  </conditionalFormatting>
  <conditionalFormatting sqref="G88">
    <cfRule type="containsText" dxfId="277" priority="18" operator="containsText" text="OK">
      <formula>NOT(ISERROR(SEARCH("OK",G88)))</formula>
    </cfRule>
  </conditionalFormatting>
  <conditionalFormatting sqref="G92">
    <cfRule type="containsText" dxfId="276" priority="17" operator="containsText" text="OK">
      <formula>NOT(ISERROR(SEARCH("OK",G92)))</formula>
    </cfRule>
  </conditionalFormatting>
  <conditionalFormatting sqref="G97">
    <cfRule type="containsText" dxfId="275" priority="16" operator="containsText" text="OK">
      <formula>NOT(ISERROR(SEARCH("OK",G97)))</formula>
    </cfRule>
  </conditionalFormatting>
  <conditionalFormatting sqref="G18">
    <cfRule type="containsText" dxfId="274" priority="15" operator="containsText" text="OK">
      <formula>NOT(ISERROR(SEARCH("OK",G18)))</formula>
    </cfRule>
  </conditionalFormatting>
  <conditionalFormatting sqref="G24">
    <cfRule type="containsText" dxfId="273" priority="14" operator="containsText" text="OK">
      <formula>NOT(ISERROR(SEARCH("OK",G24)))</formula>
    </cfRule>
  </conditionalFormatting>
  <conditionalFormatting sqref="G139">
    <cfRule type="containsText" dxfId="272" priority="13" operator="containsText" text="OK">
      <formula>NOT(ISERROR(SEARCH("OK",G139)))</formula>
    </cfRule>
  </conditionalFormatting>
  <conditionalFormatting sqref="G144">
    <cfRule type="containsText" dxfId="271" priority="12" operator="containsText" text="OK">
      <formula>NOT(ISERROR(SEARCH("OK",G144)))</formula>
    </cfRule>
  </conditionalFormatting>
  <conditionalFormatting sqref="G151">
    <cfRule type="containsText" dxfId="270" priority="11" operator="containsText" text="OK">
      <formula>NOT(ISERROR(SEARCH("OK",G151)))</formula>
    </cfRule>
  </conditionalFormatting>
  <conditionalFormatting sqref="G156">
    <cfRule type="containsText" dxfId="269" priority="10" operator="containsText" text="OK">
      <formula>NOT(ISERROR(SEARCH("OK",G156)))</formula>
    </cfRule>
  </conditionalFormatting>
  <conditionalFormatting sqref="G161">
    <cfRule type="containsText" dxfId="268" priority="9" operator="containsText" text="OK">
      <formula>NOT(ISERROR(SEARCH("OK",G161)))</formula>
    </cfRule>
  </conditionalFormatting>
  <conditionalFormatting sqref="G169">
    <cfRule type="containsText" dxfId="267" priority="8" operator="containsText" text="OK">
      <formula>NOT(ISERROR(SEARCH("OK",G169)))</formula>
    </cfRule>
  </conditionalFormatting>
  <conditionalFormatting sqref="G170">
    <cfRule type="containsText" dxfId="266" priority="7" operator="containsText" text="OK">
      <formula>NOT(ISERROR(SEARCH("OK",G170)))</formula>
    </cfRule>
  </conditionalFormatting>
  <conditionalFormatting sqref="G174">
    <cfRule type="containsText" dxfId="265" priority="6" operator="containsText" text="OK">
      <formula>NOT(ISERROR(SEARCH("OK",G174)))</formula>
    </cfRule>
  </conditionalFormatting>
  <conditionalFormatting sqref="G179">
    <cfRule type="containsText" dxfId="264" priority="5" operator="containsText" text="OK">
      <formula>NOT(ISERROR(SEARCH("OK",G179)))</formula>
    </cfRule>
  </conditionalFormatting>
  <conditionalFormatting sqref="G185">
    <cfRule type="containsText" dxfId="263" priority="4" operator="containsText" text="OK">
      <formula>NOT(ISERROR(SEARCH("OK",G185)))</formula>
    </cfRule>
  </conditionalFormatting>
  <conditionalFormatting sqref="G190">
    <cfRule type="containsText" dxfId="262" priority="3" operator="containsText" text="OK">
      <formula>NOT(ISERROR(SEARCH("OK",G190)))</formula>
    </cfRule>
  </conditionalFormatting>
  <conditionalFormatting sqref="H57:H61">
    <cfRule type="containsText" dxfId="261" priority="1" operator="containsText" text="OK">
      <formula>NOT(ISERROR(SEARCH("OK",H57)))</formula>
    </cfRule>
  </conditionalFormatting>
  <dataValidations disablePrompts="1" count="5">
    <dataValidation type="whole" allowBlank="1" showInputMessage="1" showErrorMessage="1" sqref="D69 D56" xr:uid="{20336A56-BC93-438E-B37F-C0312446B703}">
      <formula1>0</formula1>
      <formula2>999</formula2>
    </dataValidation>
    <dataValidation type="decimal" allowBlank="1" showInputMessage="1" showErrorMessage="1" sqref="E18:F21 E190:F192 E139:F141 E64:F74 E174:F175 E161:F163 E104:E105 E179:F180 E92:E94 E185:F187 E156:F158 E151:F153 E144:F146 E48:F61 E24:F26 E97:E99" xr:uid="{BC65DDB2-305D-4D06-B4B0-497FE6043708}">
      <formula1>0</formula1>
      <formula2>999999</formula2>
    </dataValidation>
    <dataValidation type="decimal" allowBlank="1" showInputMessage="1" showErrorMessage="1" sqref="F97:F99 E31:F42 E79:E86 F79:F83 E106:F108 E112:F115 E88:F88 F92:F94 F104:F105 E125:F128 E118:F121 E15:F15 F169:F171 E169 E171 E9:F10 E131:F134" xr:uid="{4A0DF4FD-DA2D-454E-9C00-4BF4E28AB9B0}">
      <formula1>0</formula1>
      <formula2>9999999</formula2>
    </dataValidation>
    <dataValidation type="decimal" allowBlank="1" showInputMessage="1" showErrorMessage="1" sqref="D70:D74 D57:D61 D64:D68 D48:D55 E170" xr:uid="{91978DFC-05D5-4294-8A59-785AE878E492}">
      <formula1>0</formula1>
      <formula2>999</formula2>
    </dataValidation>
    <dataValidation type="list" allowBlank="1" showInputMessage="1" showErrorMessage="1" sqref="F11:F14 D106:D108 E167 D31:D41" xr:uid="{B1324DF0-A643-448E-9D88-05BC8EACBF71}">
      <formula1>DataVal_YesNo</formula1>
    </dataValidation>
  </dataValidations>
  <hyperlinks>
    <hyperlink ref="J30" location="'T1. Vaccines'!A1" display="Also see T1. Vaccines" xr:uid="{18EA2A66-904E-4F28-A4A4-DFC0596E8D2A}"/>
    <hyperlink ref="E5" location="'A2. INPUT Population &amp; Delivery'!E8" display="Change the LCU used by clicking here" xr:uid="{DBC73C53-170C-40B7-AA30-0C77B489A4F9}"/>
  </hyperlink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2" operator="containsText" id="{BA614F06-4D05-4759-AC23-224EBC24B63A}">
            <xm:f>NOT(ISERROR(SEARCH(Lang_LogicPassed,J1)))</xm:f>
            <xm:f>Lang_LogicPassed</xm:f>
            <x14:dxf>
              <fill>
                <patternFill>
                  <bgColor theme="9"/>
                </patternFill>
              </fill>
            </x14:dxf>
          </x14:cfRule>
          <xm:sqref>J1</xm:sqref>
        </x14:conditionalFormatting>
      </x14:conditionalFormatting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0B9A8-DB85-43EB-BF6F-6C297B105DDA}">
  <sheetPr codeName="Sheet32">
    <tabColor rgb="FF7030A0"/>
  </sheetPr>
  <dimension ref="A1:H195"/>
  <sheetViews>
    <sheetView workbookViewId="0"/>
  </sheetViews>
  <sheetFormatPr defaultColWidth="9.28515625" defaultRowHeight="12.75" x14ac:dyDescent="0.2"/>
  <cols>
    <col min="1" max="1" width="9.28515625" style="299"/>
    <col min="2" max="2" width="18.5703125" style="300" customWidth="1"/>
    <col min="3" max="3" width="13.42578125" style="300" customWidth="1"/>
    <col min="4" max="4" width="17" style="300" customWidth="1"/>
    <col min="5" max="5" width="12.85546875" style="300" customWidth="1"/>
    <col min="6" max="6" width="21.28515625" style="300" customWidth="1"/>
    <col min="7" max="7" width="21.5703125" style="300" customWidth="1"/>
    <col min="8" max="8" width="23.28515625" style="300" customWidth="1"/>
    <col min="9" max="16384" width="9.28515625" style="299"/>
  </cols>
  <sheetData>
    <row r="1" spans="1:8" x14ac:dyDescent="0.2">
      <c r="A1" s="299" t="s">
        <v>3147</v>
      </c>
      <c r="B1" s="300" t="s">
        <v>3633</v>
      </c>
      <c r="C1" s="300" t="s">
        <v>3143</v>
      </c>
      <c r="D1" s="300" t="s">
        <v>3634</v>
      </c>
      <c r="E1" s="300" t="s">
        <v>3635</v>
      </c>
      <c r="F1" s="300" t="s">
        <v>3636</v>
      </c>
      <c r="G1" s="300" t="s">
        <v>3637</v>
      </c>
      <c r="H1" s="300" t="s">
        <v>3638</v>
      </c>
    </row>
    <row r="2" spans="1:8" x14ac:dyDescent="0.2">
      <c r="A2" s="281" t="s">
        <v>263</v>
      </c>
      <c r="B2" s="37">
        <v>722.29285624609122</v>
      </c>
      <c r="C2" s="37">
        <v>586.7527937815313</v>
      </c>
      <c r="D2" s="37">
        <v>451.21273131697131</v>
      </c>
      <c r="E2" s="37">
        <v>209.19682926874523</v>
      </c>
      <c r="F2" s="37">
        <v>349.90178680761341</v>
      </c>
      <c r="G2" s="37">
        <v>536.09732152685228</v>
      </c>
      <c r="H2" s="37">
        <v>330.20478029285829</v>
      </c>
    </row>
    <row r="3" spans="1:8" x14ac:dyDescent="0.2">
      <c r="A3" s="281" t="s">
        <v>85</v>
      </c>
      <c r="B3" s="37">
        <v>2375.7506450619708</v>
      </c>
      <c r="C3" s="37">
        <v>1929.9351609615019</v>
      </c>
      <c r="D3" s="37">
        <v>1484.1196768610332</v>
      </c>
      <c r="E3" s="37">
        <v>688.08584680479157</v>
      </c>
      <c r="F3" s="37">
        <v>1150.889827823423</v>
      </c>
      <c r="G3" s="37">
        <v>1763.320236442697</v>
      </c>
      <c r="H3" s="37">
        <v>1086.1027618329124</v>
      </c>
    </row>
    <row r="4" spans="1:8" x14ac:dyDescent="0.2">
      <c r="A4" s="281" t="s">
        <v>309</v>
      </c>
      <c r="B4" s="37">
        <v>970.06613568871353</v>
      </c>
      <c r="C4" s="37">
        <v>788.0307447624059</v>
      </c>
      <c r="D4" s="37">
        <v>605.99535383609827</v>
      </c>
      <c r="E4" s="37">
        <v>280.95899694424054</v>
      </c>
      <c r="F4" s="37">
        <v>469.93110798789195</v>
      </c>
      <c r="G4" s="37">
        <v>719.99862183830271</v>
      </c>
      <c r="H4" s="37">
        <v>443.47717539016941</v>
      </c>
    </row>
    <row r="5" spans="1:8" x14ac:dyDescent="0.2">
      <c r="A5" s="281" t="s">
        <v>313</v>
      </c>
      <c r="B5" s="37">
        <v>5695.8357909228016</v>
      </c>
      <c r="C5" s="37">
        <v>4626.9979549488935</v>
      </c>
      <c r="D5" s="37">
        <v>3558.160118974984</v>
      </c>
      <c r="E5" s="37">
        <v>1649.6779297800579</v>
      </c>
      <c r="F5" s="37">
        <v>2759.2451784770665</v>
      </c>
      <c r="G5" s="37">
        <v>4227.5404846999354</v>
      </c>
      <c r="H5" s="37">
        <v>2603.9190243775211</v>
      </c>
    </row>
    <row r="6" spans="1:8" x14ac:dyDescent="0.2">
      <c r="A6" s="281" t="s">
        <v>267</v>
      </c>
      <c r="B6" s="37">
        <v>4981.1068944705685</v>
      </c>
      <c r="C6" s="37">
        <v>4046.3898879507897</v>
      </c>
      <c r="D6" s="37">
        <v>3111.6728814310109</v>
      </c>
      <c r="E6" s="37">
        <v>1442.6723023478221</v>
      </c>
      <c r="F6" s="37">
        <v>2413.0076430985246</v>
      </c>
      <c r="G6" s="37">
        <v>3697.0572687845465</v>
      </c>
      <c r="H6" s="37">
        <v>2277.1725918894163</v>
      </c>
    </row>
    <row r="7" spans="1:8" x14ac:dyDescent="0.2">
      <c r="A7" s="281" t="s">
        <v>189</v>
      </c>
      <c r="B7" s="37">
        <v>1641.7</v>
      </c>
      <c r="C7" s="37">
        <v>1333.63</v>
      </c>
      <c r="D7" s="37">
        <v>1025.56</v>
      </c>
      <c r="E7" s="37">
        <v>475.48</v>
      </c>
      <c r="F7" s="37">
        <v>795.29</v>
      </c>
      <c r="G7" s="37">
        <v>1218.5</v>
      </c>
      <c r="H7" s="37">
        <v>750.52</v>
      </c>
    </row>
    <row r="8" spans="1:8" x14ac:dyDescent="0.2">
      <c r="A8" s="281" t="s">
        <v>315</v>
      </c>
      <c r="B8" s="37">
        <v>809.98699879630135</v>
      </c>
      <c r="C8" s="37">
        <v>657.99087645943064</v>
      </c>
      <c r="D8" s="37">
        <v>505.99475412255981</v>
      </c>
      <c r="E8" s="37">
        <v>234.59555043059504</v>
      </c>
      <c r="F8" s="37">
        <v>392.38363728536467</v>
      </c>
      <c r="G8" s="37">
        <v>601.18531804083295</v>
      </c>
      <c r="H8" s="37">
        <v>370.29515227657743</v>
      </c>
    </row>
    <row r="9" spans="1:8" x14ac:dyDescent="0.2">
      <c r="A9" s="281" t="s">
        <v>193</v>
      </c>
      <c r="B9" s="37">
        <v>2143.2082113509505</v>
      </c>
      <c r="C9" s="37">
        <v>1741.0299259398616</v>
      </c>
      <c r="D9" s="37">
        <v>1338.851640528773</v>
      </c>
      <c r="E9" s="37">
        <v>620.73488341807047</v>
      </c>
      <c r="F9" s="37">
        <v>1038.2384960515603</v>
      </c>
      <c r="G9" s="37">
        <v>1590.7233537012553</v>
      </c>
      <c r="H9" s="37">
        <v>979.79326197342175</v>
      </c>
    </row>
    <row r="10" spans="1:8" x14ac:dyDescent="0.2">
      <c r="A10" s="281" t="s">
        <v>441</v>
      </c>
      <c r="B10" s="37">
        <v>11737.801595338648</v>
      </c>
      <c r="C10" s="37">
        <v>9535.1745166248238</v>
      </c>
      <c r="D10" s="37">
        <v>7332.547437911001</v>
      </c>
      <c r="E10" s="37">
        <v>3399.6042458866182</v>
      </c>
      <c r="F10" s="37">
        <v>5686.1660071113201</v>
      </c>
      <c r="G10" s="37">
        <v>8711.9838012249838</v>
      </c>
      <c r="H10" s="37">
        <v>5366.0758418988098</v>
      </c>
    </row>
    <row r="11" spans="1:8" x14ac:dyDescent="0.2">
      <c r="A11" s="281" t="s">
        <v>317</v>
      </c>
      <c r="B11" s="37">
        <v>8256.7187847732985</v>
      </c>
      <c r="C11" s="37">
        <v>6707.3234540061076</v>
      </c>
      <c r="D11" s="37">
        <v>5157.9281232389158</v>
      </c>
      <c r="E11" s="37">
        <v>2391.3833227948594</v>
      </c>
      <c r="F11" s="37">
        <v>3999.8193412294863</v>
      </c>
      <c r="G11" s="37">
        <v>6128.2690630013922</v>
      </c>
      <c r="H11" s="37">
        <v>3774.6557230168874</v>
      </c>
    </row>
    <row r="12" spans="1:8" x14ac:dyDescent="0.2">
      <c r="A12" s="281" t="s">
        <v>319</v>
      </c>
      <c r="B12" s="37">
        <v>1555.674788948472</v>
      </c>
      <c r="C12" s="37">
        <v>1263.7484431907844</v>
      </c>
      <c r="D12" s="37">
        <v>971.82209743309681</v>
      </c>
      <c r="E12" s="37">
        <v>450.56816734530332</v>
      </c>
      <c r="F12" s="37">
        <v>753.61873229316484</v>
      </c>
      <c r="G12" s="37">
        <v>1154.6467606208184</v>
      </c>
      <c r="H12" s="37">
        <v>711.19513238920013</v>
      </c>
    </row>
    <row r="13" spans="1:8" x14ac:dyDescent="0.2">
      <c r="A13" s="281" t="s">
        <v>91</v>
      </c>
      <c r="B13" s="37">
        <v>420.29010082017936</v>
      </c>
      <c r="C13" s="37">
        <v>341.42163599116509</v>
      </c>
      <c r="D13" s="37">
        <v>262.55317116215087</v>
      </c>
      <c r="E13" s="37">
        <v>121.72812403525793</v>
      </c>
      <c r="F13" s="37">
        <v>203.60206368262615</v>
      </c>
      <c r="G13" s="37">
        <v>311.94608225140274</v>
      </c>
      <c r="H13" s="37">
        <v>192.14064759870439</v>
      </c>
    </row>
    <row r="14" spans="1:8" x14ac:dyDescent="0.2">
      <c r="A14" s="281" t="s">
        <v>321</v>
      </c>
      <c r="B14" s="37">
        <v>7613.5190391996866</v>
      </c>
      <c r="C14" s="37">
        <v>6184.8217398795459</v>
      </c>
      <c r="D14" s="37">
        <v>4756.1244405594052</v>
      </c>
      <c r="E14" s="37">
        <v>2205.0941411856411</v>
      </c>
      <c r="F14" s="37">
        <v>3688.2330482867687</v>
      </c>
      <c r="G14" s="37">
        <v>5650.8760437432275</v>
      </c>
      <c r="H14" s="37">
        <v>3480.6092908725232</v>
      </c>
    </row>
    <row r="15" spans="1:8" x14ac:dyDescent="0.2">
      <c r="A15" s="281" t="s">
        <v>95</v>
      </c>
      <c r="B15" s="37">
        <v>485.3277886482191</v>
      </c>
      <c r="C15" s="37">
        <v>394.25480919895796</v>
      </c>
      <c r="D15" s="37">
        <v>303.18182974969682</v>
      </c>
      <c r="E15" s="37">
        <v>140.56492469259612</v>
      </c>
      <c r="F15" s="37">
        <v>235.10834779778872</v>
      </c>
      <c r="G15" s="37">
        <v>360.21806822300391</v>
      </c>
      <c r="H15" s="37">
        <v>221.87337722114648</v>
      </c>
    </row>
    <row r="16" spans="1:8" x14ac:dyDescent="0.2">
      <c r="A16" s="281" t="s">
        <v>97</v>
      </c>
      <c r="B16" s="37">
        <v>403.87213931201933</v>
      </c>
      <c r="C16" s="37">
        <v>328.08460460406536</v>
      </c>
      <c r="D16" s="37">
        <v>252.29706989611137</v>
      </c>
      <c r="E16" s="37">
        <v>116.97296808309497</v>
      </c>
      <c r="F16" s="37">
        <v>195.64859758056124</v>
      </c>
      <c r="G16" s="37">
        <v>299.76036844629027</v>
      </c>
      <c r="H16" s="37">
        <v>184.63501898960317</v>
      </c>
    </row>
    <row r="17" spans="1:8" x14ac:dyDescent="0.2">
      <c r="A17" s="281" t="s">
        <v>417</v>
      </c>
      <c r="B17" s="37">
        <v>578.32546729954186</v>
      </c>
      <c r="C17" s="37">
        <v>469.80119809138353</v>
      </c>
      <c r="D17" s="37">
        <v>361.27692888322514</v>
      </c>
      <c r="E17" s="37">
        <v>167.49969689065287</v>
      </c>
      <c r="F17" s="37">
        <v>280.15933330580395</v>
      </c>
      <c r="G17" s="37">
        <v>429.24240030267288</v>
      </c>
      <c r="H17" s="37">
        <v>264.38831288693899</v>
      </c>
    </row>
    <row r="18" spans="1:8" x14ac:dyDescent="0.2">
      <c r="A18" s="281" t="s">
        <v>323</v>
      </c>
      <c r="B18" s="37">
        <v>1219.4446740282133</v>
      </c>
      <c r="C18" s="37">
        <v>990.61293797432108</v>
      </c>
      <c r="D18" s="37">
        <v>761.78120192042888</v>
      </c>
      <c r="E18" s="37">
        <v>353.18619943769426</v>
      </c>
      <c r="F18" s="37">
        <v>590.73794901104202</v>
      </c>
      <c r="G18" s="37">
        <v>905.09131151962765</v>
      </c>
      <c r="H18" s="37">
        <v>557.4837006790616</v>
      </c>
    </row>
    <row r="19" spans="1:8" x14ac:dyDescent="0.2">
      <c r="A19" s="281" t="s">
        <v>269</v>
      </c>
      <c r="B19" s="37">
        <v>3662.2971605995699</v>
      </c>
      <c r="C19" s="37">
        <v>2975.0576330992171</v>
      </c>
      <c r="D19" s="37">
        <v>2287.8181055988648</v>
      </c>
      <c r="E19" s="37">
        <v>1060.7065254894806</v>
      </c>
      <c r="F19" s="37">
        <v>1774.1344229962287</v>
      </c>
      <c r="G19" s="37">
        <v>2718.2157917978993</v>
      </c>
      <c r="H19" s="37">
        <v>1674.2623155441727</v>
      </c>
    </row>
    <row r="20" spans="1:8" x14ac:dyDescent="0.2">
      <c r="A20" s="281" t="s">
        <v>195</v>
      </c>
      <c r="B20" s="37">
        <v>3333.9139679828736</v>
      </c>
      <c r="C20" s="37">
        <v>2708.2966925122241</v>
      </c>
      <c r="D20" s="37">
        <v>2082.6794170415747</v>
      </c>
      <c r="E20" s="37">
        <v>965.59768029214797</v>
      </c>
      <c r="F20" s="37">
        <v>1615.0542818694416</v>
      </c>
      <c r="G20" s="37">
        <v>2474.4841249261576</v>
      </c>
      <c r="H20" s="37">
        <v>1524.1385486668614</v>
      </c>
    </row>
    <row r="21" spans="1:8" x14ac:dyDescent="0.2">
      <c r="A21" s="281" t="s">
        <v>325</v>
      </c>
      <c r="B21" s="37">
        <v>912.45542079001564</v>
      </c>
      <c r="C21" s="37">
        <v>741.2309476256994</v>
      </c>
      <c r="D21" s="37">
        <v>570.00647446138328</v>
      </c>
      <c r="E21" s="37">
        <v>264.27353371454387</v>
      </c>
      <c r="F21" s="37">
        <v>442.0226441437631</v>
      </c>
      <c r="G21" s="37">
        <v>677.2390324668894</v>
      </c>
      <c r="H21" s="37">
        <v>417.14000408796358</v>
      </c>
    </row>
    <row r="22" spans="1:8" x14ac:dyDescent="0.2">
      <c r="A22" s="281" t="s">
        <v>327</v>
      </c>
      <c r="B22" s="37">
        <v>1641.7</v>
      </c>
      <c r="C22" s="37">
        <v>1333.63</v>
      </c>
      <c r="D22" s="37">
        <v>1025.56</v>
      </c>
      <c r="E22" s="37">
        <v>475.48</v>
      </c>
      <c r="F22" s="37">
        <v>795.29</v>
      </c>
      <c r="G22" s="37">
        <v>1218.5</v>
      </c>
      <c r="H22" s="37">
        <v>750.52</v>
      </c>
    </row>
    <row r="23" spans="1:8" x14ac:dyDescent="0.2">
      <c r="A23" s="281" t="s">
        <v>198</v>
      </c>
      <c r="B23" s="37">
        <v>1180.1279713214008</v>
      </c>
      <c r="C23" s="37">
        <v>958.6739492837072</v>
      </c>
      <c r="D23" s="37">
        <v>737.21992724601364</v>
      </c>
      <c r="E23" s="37">
        <v>341.79902083661432</v>
      </c>
      <c r="F23" s="37">
        <v>571.69166783844491</v>
      </c>
      <c r="G23" s="37">
        <v>875.9098195799229</v>
      </c>
      <c r="H23" s="37">
        <v>539.50947404131398</v>
      </c>
    </row>
    <row r="24" spans="1:8" x14ac:dyDescent="0.2">
      <c r="A24" s="281" t="s">
        <v>200</v>
      </c>
      <c r="B24" s="37">
        <v>995.65005398419248</v>
      </c>
      <c r="C24" s="37">
        <v>808.81396876008205</v>
      </c>
      <c r="D24" s="37">
        <v>621.97788353597161</v>
      </c>
      <c r="E24" s="37">
        <v>288.36890133383741</v>
      </c>
      <c r="F24" s="37">
        <v>482.32477801530115</v>
      </c>
      <c r="G24" s="37">
        <v>738.98741599974687</v>
      </c>
      <c r="H24" s="37">
        <v>455.17339243490449</v>
      </c>
    </row>
    <row r="25" spans="1:8" x14ac:dyDescent="0.2">
      <c r="A25" s="281" t="s">
        <v>202</v>
      </c>
      <c r="B25" s="37">
        <v>1641.7033866290838</v>
      </c>
      <c r="C25" s="37">
        <v>1333.6334864411749</v>
      </c>
      <c r="D25" s="37">
        <v>1025.5635862532661</v>
      </c>
      <c r="E25" s="37">
        <v>475.48442497730997</v>
      </c>
      <c r="F25" s="37">
        <v>795.29357154699437</v>
      </c>
      <c r="G25" s="37">
        <v>1218.4984790880389</v>
      </c>
      <c r="H25" s="37">
        <v>750.52400561528805</v>
      </c>
    </row>
    <row r="26" spans="1:8" x14ac:dyDescent="0.2">
      <c r="A26" s="281" t="s">
        <v>204</v>
      </c>
      <c r="B26" s="37">
        <v>2260.5816648286464</v>
      </c>
      <c r="C26" s="37">
        <v>1836.3777564243896</v>
      </c>
      <c r="D26" s="37">
        <v>1412.1738480201332</v>
      </c>
      <c r="E26" s="37">
        <v>654.72955069290708</v>
      </c>
      <c r="F26" s="37">
        <v>1095.0980769100884</v>
      </c>
      <c r="G26" s="37">
        <v>1677.8398708693674</v>
      </c>
      <c r="H26" s="37">
        <v>1033.4516993565201</v>
      </c>
    </row>
    <row r="27" spans="1:8" x14ac:dyDescent="0.2">
      <c r="A27" s="281" t="s">
        <v>444</v>
      </c>
      <c r="B27" s="37">
        <v>9200.4831706647201</v>
      </c>
      <c r="C27" s="37">
        <v>7473.9900933483441</v>
      </c>
      <c r="D27" s="37">
        <v>5747.4970160319672</v>
      </c>
      <c r="E27" s="37">
        <v>2664.7243479810581</v>
      </c>
      <c r="F27" s="37">
        <v>4457.0079367075232</v>
      </c>
      <c r="G27" s="37">
        <v>6828.7455536861216</v>
      </c>
      <c r="H27" s="37">
        <v>4206.1106820065124</v>
      </c>
    </row>
    <row r="28" spans="1:8" x14ac:dyDescent="0.2">
      <c r="A28" s="281" t="s">
        <v>420</v>
      </c>
      <c r="B28" s="37">
        <v>1076.7450401450519</v>
      </c>
      <c r="C28" s="37">
        <v>874.69108793451846</v>
      </c>
      <c r="D28" s="37">
        <v>672.6371357239849</v>
      </c>
      <c r="E28" s="37">
        <v>311.85640555393309</v>
      </c>
      <c r="F28" s="37">
        <v>521.6098512026939</v>
      </c>
      <c r="G28" s="37">
        <v>799.17744567387285</v>
      </c>
      <c r="H28" s="37">
        <v>492.24677063895899</v>
      </c>
    </row>
    <row r="29" spans="1:8" x14ac:dyDescent="0.2">
      <c r="A29" s="281" t="s">
        <v>99</v>
      </c>
      <c r="B29" s="37">
        <v>2790.5912104114173</v>
      </c>
      <c r="C29" s="37">
        <v>2266.92972692272</v>
      </c>
      <c r="D29" s="37">
        <v>1743.2682434340227</v>
      </c>
      <c r="E29" s="37">
        <v>808.23534225032188</v>
      </c>
      <c r="F29" s="37">
        <v>1351.8514789338897</v>
      </c>
      <c r="G29" s="37">
        <v>2071.2213446726537</v>
      </c>
      <c r="H29" s="37">
        <v>1275.7517928421723</v>
      </c>
    </row>
    <row r="30" spans="1:8" x14ac:dyDescent="0.2">
      <c r="A30" s="281" t="s">
        <v>102</v>
      </c>
      <c r="B30" s="37">
        <v>496.2274741989059</v>
      </c>
      <c r="C30" s="37">
        <v>403.1091069856239</v>
      </c>
      <c r="D30" s="37">
        <v>309.9907397723419</v>
      </c>
      <c r="E30" s="37">
        <v>143.72174875656751</v>
      </c>
      <c r="F30" s="37">
        <v>240.38847173593911</v>
      </c>
      <c r="G30" s="37">
        <v>368.30797296742253</v>
      </c>
      <c r="H30" s="37">
        <v>226.85624426445469</v>
      </c>
    </row>
    <row r="31" spans="1:8" x14ac:dyDescent="0.2">
      <c r="A31" s="281" t="s">
        <v>206</v>
      </c>
      <c r="B31" s="37">
        <v>7121.4141894321938</v>
      </c>
      <c r="C31" s="37">
        <v>5785.0637448447342</v>
      </c>
      <c r="D31" s="37">
        <v>4448.7133002572755</v>
      </c>
      <c r="E31" s="37">
        <v>2062.5677979608226</v>
      </c>
      <c r="F31" s="37">
        <v>3449.8431828974099</v>
      </c>
      <c r="G31" s="37">
        <v>5285.6286861648023</v>
      </c>
      <c r="H31" s="37">
        <v>3255.6405491090491</v>
      </c>
    </row>
    <row r="32" spans="1:8" x14ac:dyDescent="0.2">
      <c r="A32" s="281" t="s">
        <v>329</v>
      </c>
      <c r="B32" s="37">
        <v>9056.0574185438545</v>
      </c>
      <c r="C32" s="37">
        <v>7356.6664262418326</v>
      </c>
      <c r="D32" s="37">
        <v>5657.2754339398116</v>
      </c>
      <c r="E32" s="37">
        <v>2622.8943269868018</v>
      </c>
      <c r="F32" s="37">
        <v>4387.0446581335464</v>
      </c>
      <c r="G32" s="37">
        <v>6721.5510383387009</v>
      </c>
      <c r="H32" s="37">
        <v>4140.0848804633069</v>
      </c>
    </row>
    <row r="33" spans="1:8" x14ac:dyDescent="0.2">
      <c r="A33" s="281" t="s">
        <v>209</v>
      </c>
      <c r="B33" s="37">
        <v>1675.437067267251</v>
      </c>
      <c r="C33" s="37">
        <v>1361.0369025340099</v>
      </c>
      <c r="D33" s="37">
        <v>1046.6367378007687</v>
      </c>
      <c r="E33" s="37">
        <v>485.25459604913596</v>
      </c>
      <c r="F33" s="37">
        <v>811.63521507003236</v>
      </c>
      <c r="G33" s="37">
        <v>1243.5361411686417</v>
      </c>
      <c r="H33" s="37">
        <v>765.94566692495232</v>
      </c>
    </row>
    <row r="34" spans="1:8" x14ac:dyDescent="0.2">
      <c r="A34" s="281" t="s">
        <v>446</v>
      </c>
      <c r="B34" s="37">
        <v>1756.5208832577098</v>
      </c>
      <c r="C34" s="37">
        <v>1426.9055050080606</v>
      </c>
      <c r="D34" s="37">
        <v>1097.2901267584116</v>
      </c>
      <c r="E34" s="37">
        <v>508.73895114802275</v>
      </c>
      <c r="F34" s="37">
        <v>850.91491253234983</v>
      </c>
      <c r="G34" s="37">
        <v>1303.7178978950299</v>
      </c>
      <c r="H34" s="37">
        <v>803.0145389532172</v>
      </c>
    </row>
    <row r="35" spans="1:8" x14ac:dyDescent="0.2">
      <c r="A35" s="281" t="s">
        <v>104</v>
      </c>
      <c r="B35" s="37">
        <v>648.40756254512439</v>
      </c>
      <c r="C35" s="37">
        <v>526.73232884557638</v>
      </c>
      <c r="D35" s="37">
        <v>405.0570951460283</v>
      </c>
      <c r="E35" s="37">
        <v>187.7975243811438</v>
      </c>
      <c r="F35" s="37">
        <v>314.10937097896561</v>
      </c>
      <c r="G35" s="37">
        <v>481.25846676204503</v>
      </c>
      <c r="H35" s="37">
        <v>296.42730976358604</v>
      </c>
    </row>
    <row r="36" spans="1:8" x14ac:dyDescent="0.2">
      <c r="A36" s="281" t="s">
        <v>106</v>
      </c>
      <c r="B36" s="37">
        <v>718.47039629179619</v>
      </c>
      <c r="C36" s="37">
        <v>583.64761859085456</v>
      </c>
      <c r="D36" s="37">
        <v>448.82484088991282</v>
      </c>
      <c r="E36" s="37">
        <v>208.08974262846846</v>
      </c>
      <c r="F36" s="37">
        <v>348.05010159570793</v>
      </c>
      <c r="G36" s="37">
        <v>533.260248943752</v>
      </c>
      <c r="H36" s="37">
        <v>328.45729175919064</v>
      </c>
    </row>
    <row r="37" spans="1:8" x14ac:dyDescent="0.2">
      <c r="A37" s="281" t="s">
        <v>109</v>
      </c>
      <c r="B37" s="37">
        <v>541.83061235564571</v>
      </c>
      <c r="C37" s="37">
        <v>440.15471752228405</v>
      </c>
      <c r="D37" s="37">
        <v>338.47882268892238</v>
      </c>
      <c r="E37" s="37">
        <v>156.92968187632241</v>
      </c>
      <c r="F37" s="37">
        <v>262.48002007158738</v>
      </c>
      <c r="G37" s="37">
        <v>402.15531621361652</v>
      </c>
      <c r="H37" s="37">
        <v>247.70425228262241</v>
      </c>
    </row>
    <row r="38" spans="1:8" x14ac:dyDescent="0.2">
      <c r="A38" s="281" t="s">
        <v>111</v>
      </c>
      <c r="B38" s="37">
        <v>473.1302164458877</v>
      </c>
      <c r="C38" s="37">
        <v>384.34612593336783</v>
      </c>
      <c r="D38" s="37">
        <v>295.56203542084791</v>
      </c>
      <c r="E38" s="37">
        <v>137.0320772946543</v>
      </c>
      <c r="F38" s="37">
        <v>229.19935839224476</v>
      </c>
      <c r="G38" s="37">
        <v>351.16478741906622</v>
      </c>
      <c r="H38" s="37">
        <v>216.2970563577511</v>
      </c>
    </row>
    <row r="39" spans="1:8" x14ac:dyDescent="0.2">
      <c r="A39" s="281" t="s">
        <v>448</v>
      </c>
      <c r="B39" s="37">
        <v>5695.8357909228016</v>
      </c>
      <c r="C39" s="37">
        <v>4626.9979549488935</v>
      </c>
      <c r="D39" s="37">
        <v>3558.160118974984</v>
      </c>
      <c r="E39" s="37">
        <v>1649.6779297800579</v>
      </c>
      <c r="F39" s="37">
        <v>2759.2451784770665</v>
      </c>
      <c r="G39" s="37">
        <v>4227.5404846999354</v>
      </c>
      <c r="H39" s="37">
        <v>2603.9190243775211</v>
      </c>
    </row>
    <row r="40" spans="1:8" x14ac:dyDescent="0.2">
      <c r="A40" s="281" t="s">
        <v>211</v>
      </c>
      <c r="B40" s="37">
        <v>1080.1108729086777</v>
      </c>
      <c r="C40" s="37">
        <v>877.42530572331771</v>
      </c>
      <c r="D40" s="37">
        <v>674.73973853795769</v>
      </c>
      <c r="E40" s="37">
        <v>312.83112478900586</v>
      </c>
      <c r="F40" s="37">
        <v>523.24030886920241</v>
      </c>
      <c r="G40" s="37">
        <v>801.67559088894006</v>
      </c>
      <c r="H40" s="37">
        <v>493.78543166348175</v>
      </c>
    </row>
    <row r="41" spans="1:8" x14ac:dyDescent="0.2">
      <c r="A41" s="281" t="s">
        <v>113</v>
      </c>
      <c r="B41" s="37">
        <v>533.19394006914001</v>
      </c>
      <c r="C41" s="37">
        <v>433.13870191440463</v>
      </c>
      <c r="D41" s="37">
        <v>333.08346375966926</v>
      </c>
      <c r="E41" s="37">
        <v>154.42833010043387</v>
      </c>
      <c r="F41" s="37">
        <v>258.29615714710422</v>
      </c>
      <c r="G41" s="37">
        <v>395.74504860812215</v>
      </c>
      <c r="H41" s="37">
        <v>243.75589693005156</v>
      </c>
    </row>
    <row r="42" spans="1:8" x14ac:dyDescent="0.2">
      <c r="A42" s="281" t="s">
        <v>115</v>
      </c>
      <c r="B42" s="37">
        <v>1109.0343701643051</v>
      </c>
      <c r="C42" s="37">
        <v>900.92123794087979</v>
      </c>
      <c r="D42" s="37">
        <v>692.8081057174544</v>
      </c>
      <c r="E42" s="37">
        <v>321.20825523039355</v>
      </c>
      <c r="F42" s="37">
        <v>537.25172366812092</v>
      </c>
      <c r="G42" s="37">
        <v>823.14304691621305</v>
      </c>
      <c r="H42" s="37">
        <v>507.00818047392397</v>
      </c>
    </row>
    <row r="43" spans="1:8" x14ac:dyDescent="0.2">
      <c r="A43" s="281" t="s">
        <v>213</v>
      </c>
      <c r="B43" s="37">
        <v>1652.8583132576907</v>
      </c>
      <c r="C43" s="37">
        <v>1342.6952865082783</v>
      </c>
      <c r="D43" s="37">
        <v>1032.5322597588658</v>
      </c>
      <c r="E43" s="37">
        <v>478.71537896996563</v>
      </c>
      <c r="F43" s="37">
        <v>800.6975114079338</v>
      </c>
      <c r="G43" s="37">
        <v>1226.7779123328123</v>
      </c>
      <c r="H43" s="37">
        <v>755.62381936441579</v>
      </c>
    </row>
    <row r="44" spans="1:8" x14ac:dyDescent="0.2">
      <c r="A44" s="281" t="s">
        <v>215</v>
      </c>
      <c r="B44" s="37">
        <v>2100.6777363895549</v>
      </c>
      <c r="C44" s="37">
        <v>1706.4802247499947</v>
      </c>
      <c r="D44" s="37">
        <v>1312.2827131104343</v>
      </c>
      <c r="E44" s="37">
        <v>608.41667640815808</v>
      </c>
      <c r="F44" s="37">
        <v>1017.6355387457627</v>
      </c>
      <c r="G44" s="37">
        <v>1559.1566375676587</v>
      </c>
      <c r="H44" s="37">
        <v>960.34969475929643</v>
      </c>
    </row>
    <row r="45" spans="1:8" x14ac:dyDescent="0.2">
      <c r="A45" s="281" t="s">
        <v>331</v>
      </c>
      <c r="B45" s="37">
        <v>4208.7932543319557</v>
      </c>
      <c r="C45" s="37">
        <v>3419.0031782174551</v>
      </c>
      <c r="D45" s="37">
        <v>2629.2131021029545</v>
      </c>
      <c r="E45" s="37">
        <v>1218.9878451059888</v>
      </c>
      <c r="F45" s="37">
        <v>2038.8737930180032</v>
      </c>
      <c r="G45" s="37">
        <v>3123.8335236749795</v>
      </c>
      <c r="H45" s="37">
        <v>1924.1004736044715</v>
      </c>
    </row>
    <row r="46" spans="1:8" x14ac:dyDescent="0.2">
      <c r="A46" s="281" t="s">
        <v>333</v>
      </c>
      <c r="B46" s="37">
        <v>4014.3686432986574</v>
      </c>
      <c r="C46" s="37">
        <v>3261.0628148327869</v>
      </c>
      <c r="D46" s="37">
        <v>2507.7569863669164</v>
      </c>
      <c r="E46" s="37">
        <v>1162.6771100583971</v>
      </c>
      <c r="F46" s="37">
        <v>1944.6887786731077</v>
      </c>
      <c r="G46" s="37">
        <v>2979.5287109858828</v>
      </c>
      <c r="H46" s="37">
        <v>1835.2170482126567</v>
      </c>
    </row>
    <row r="47" spans="1:8" x14ac:dyDescent="0.2">
      <c r="A47" s="281" t="s">
        <v>335</v>
      </c>
      <c r="B47" s="37">
        <v>7679.5801340615644</v>
      </c>
      <c r="C47" s="37">
        <v>6238.4863146319549</v>
      </c>
      <c r="D47" s="37">
        <v>4797.3924952023463</v>
      </c>
      <c r="E47" s="37">
        <v>2224.2258883597569</v>
      </c>
      <c r="F47" s="37">
        <v>3720.233436639614</v>
      </c>
      <c r="G47" s="37">
        <v>5699.9067853505894</v>
      </c>
      <c r="H47" s="37">
        <v>3510.8091917810516</v>
      </c>
    </row>
    <row r="48" spans="1:8" x14ac:dyDescent="0.2">
      <c r="A48" s="281" t="s">
        <v>271</v>
      </c>
      <c r="B48" s="37">
        <v>1115.1174929211991</v>
      </c>
      <c r="C48" s="37">
        <v>905.86287761632639</v>
      </c>
      <c r="D48" s="37">
        <v>696.60826231145393</v>
      </c>
      <c r="E48" s="37">
        <v>322.97009531521525</v>
      </c>
      <c r="F48" s="37">
        <v>540.19861860427704</v>
      </c>
      <c r="G48" s="37">
        <v>827.65805576273806</v>
      </c>
      <c r="H48" s="37">
        <v>509.7891788133345</v>
      </c>
    </row>
    <row r="49" spans="1:8" x14ac:dyDescent="0.2">
      <c r="A49" s="281" t="s">
        <v>217</v>
      </c>
      <c r="B49" s="37">
        <v>1527.0546081246862</v>
      </c>
      <c r="C49" s="37">
        <v>1240.4988266431128</v>
      </c>
      <c r="D49" s="37">
        <v>953.94304516153932</v>
      </c>
      <c r="E49" s="37">
        <v>442.27878525661765</v>
      </c>
      <c r="F49" s="37">
        <v>739.75391443178819</v>
      </c>
      <c r="G49" s="37">
        <v>1133.4042612782373</v>
      </c>
      <c r="H49" s="37">
        <v>698.11091520907848</v>
      </c>
    </row>
    <row r="50" spans="1:8" x14ac:dyDescent="0.2">
      <c r="A50" s="281" t="s">
        <v>337</v>
      </c>
      <c r="B50" s="37">
        <v>7929.247037851831</v>
      </c>
      <c r="C50" s="37">
        <v>6441.3050422051492</v>
      </c>
      <c r="D50" s="37">
        <v>4953.3630465584665</v>
      </c>
      <c r="E50" s="37">
        <v>2296.5375564512201</v>
      </c>
      <c r="F50" s="37">
        <v>3841.1809218092194</v>
      </c>
      <c r="G50" s="37">
        <v>5885.2139798305252</v>
      </c>
      <c r="H50" s="37">
        <v>3624.9503015048431</v>
      </c>
    </row>
    <row r="51" spans="1:8" x14ac:dyDescent="0.2">
      <c r="A51" s="281" t="s">
        <v>219</v>
      </c>
      <c r="B51" s="37">
        <v>1434.0520667953315</v>
      </c>
      <c r="C51" s="37">
        <v>1164.9486322145126</v>
      </c>
      <c r="D51" s="37">
        <v>895.84519763369349</v>
      </c>
      <c r="E51" s="37">
        <v>415.34278275736881</v>
      </c>
      <c r="F51" s="37">
        <v>694.70089425663673</v>
      </c>
      <c r="G51" s="37">
        <v>1064.3764805259841</v>
      </c>
      <c r="H51" s="37">
        <v>655.59399019553121</v>
      </c>
    </row>
    <row r="52" spans="1:8" x14ac:dyDescent="0.2">
      <c r="A52" s="281" t="s">
        <v>117</v>
      </c>
      <c r="B52" s="37">
        <v>1789.0957607118855</v>
      </c>
      <c r="C52" s="37">
        <v>1453.3675124285296</v>
      </c>
      <c r="D52" s="37">
        <v>1117.6392641451735</v>
      </c>
      <c r="E52" s="37">
        <v>518.17378767264734</v>
      </c>
      <c r="F52" s="37">
        <v>866.69551465954669</v>
      </c>
      <c r="G52" s="37">
        <v>1327.8956376857161</v>
      </c>
      <c r="H52" s="37">
        <v>817.90652590891045</v>
      </c>
    </row>
    <row r="53" spans="1:8" x14ac:dyDescent="0.2">
      <c r="A53" s="281" t="s">
        <v>221</v>
      </c>
      <c r="B53" s="37">
        <v>1578.5223666540544</v>
      </c>
      <c r="C53" s="37">
        <v>1282.3085577259912</v>
      </c>
      <c r="D53" s="37">
        <v>986.09474879792788</v>
      </c>
      <c r="E53" s="37">
        <v>457.18548431882823</v>
      </c>
      <c r="F53" s="37">
        <v>764.68673923173139</v>
      </c>
      <c r="G53" s="37">
        <v>1171.604552942893</v>
      </c>
      <c r="H53" s="37">
        <v>721.64011655837805</v>
      </c>
    </row>
    <row r="54" spans="1:8" x14ac:dyDescent="0.2">
      <c r="A54" s="281" t="s">
        <v>273</v>
      </c>
      <c r="B54" s="37">
        <v>956.98</v>
      </c>
      <c r="C54" s="37">
        <v>777.4</v>
      </c>
      <c r="D54" s="37">
        <v>597.82000000000005</v>
      </c>
      <c r="E54" s="37">
        <v>277.17</v>
      </c>
      <c r="F54" s="37">
        <v>463.59</v>
      </c>
      <c r="G54" s="37">
        <v>710.28</v>
      </c>
      <c r="H54" s="37">
        <v>437.49</v>
      </c>
    </row>
    <row r="55" spans="1:8" x14ac:dyDescent="0.2">
      <c r="A55" s="281" t="s">
        <v>120</v>
      </c>
      <c r="B55" s="37">
        <v>227.10570934834865</v>
      </c>
      <c r="C55" s="37">
        <v>184.48872640195466</v>
      </c>
      <c r="D55" s="37">
        <v>141.87174345556068</v>
      </c>
      <c r="E55" s="37">
        <v>65.77633533094432</v>
      </c>
      <c r="F55" s="37">
        <v>110.01724174617716</v>
      </c>
      <c r="G55" s="37">
        <v>168.56147554726292</v>
      </c>
      <c r="H55" s="37">
        <v>103.82403939325249</v>
      </c>
    </row>
    <row r="56" spans="1:8" x14ac:dyDescent="0.2">
      <c r="A56" s="281" t="s">
        <v>339</v>
      </c>
      <c r="B56" s="37">
        <v>5875.1127184439911</v>
      </c>
      <c r="C56" s="37">
        <v>4772.6329076939965</v>
      </c>
      <c r="D56" s="37">
        <v>3670.1530969440009</v>
      </c>
      <c r="E56" s="37">
        <v>1701.6015315300588</v>
      </c>
      <c r="F56" s="37">
        <v>2846.0933408522365</v>
      </c>
      <c r="G56" s="37">
        <v>4360.603029648114</v>
      </c>
      <c r="H56" s="37">
        <v>2685.8773142370301</v>
      </c>
    </row>
    <row r="57" spans="1:8" x14ac:dyDescent="0.2">
      <c r="A57" s="281" t="s">
        <v>341</v>
      </c>
      <c r="B57" s="37">
        <v>2334.2560828786686</v>
      </c>
      <c r="C57" s="37">
        <v>1896.227024518018</v>
      </c>
      <c r="D57" s="37">
        <v>1458.1979661573673</v>
      </c>
      <c r="E57" s="37">
        <v>676.06769862977353</v>
      </c>
      <c r="F57" s="37">
        <v>1130.7882957391282</v>
      </c>
      <c r="G57" s="37">
        <v>1732.5221893088983</v>
      </c>
      <c r="H57" s="37">
        <v>1067.1328323935704</v>
      </c>
    </row>
    <row r="58" spans="1:8" x14ac:dyDescent="0.2">
      <c r="A58" s="281" t="s">
        <v>122</v>
      </c>
      <c r="B58" s="37">
        <v>970.03048410691054</v>
      </c>
      <c r="C58" s="37">
        <v>788.00188838813233</v>
      </c>
      <c r="D58" s="37">
        <v>605.97329266935401</v>
      </c>
      <c r="E58" s="37">
        <v>280.94873903743735</v>
      </c>
      <c r="F58" s="37">
        <v>469.91376007265586</v>
      </c>
      <c r="G58" s="37">
        <v>719.97212208978317</v>
      </c>
      <c r="H58" s="37">
        <v>443.46101585339568</v>
      </c>
    </row>
    <row r="59" spans="1:8" x14ac:dyDescent="0.2">
      <c r="A59" s="281" t="s">
        <v>343</v>
      </c>
      <c r="B59" s="37">
        <v>8348.3699762682718</v>
      </c>
      <c r="C59" s="37">
        <v>6781.7783153548235</v>
      </c>
      <c r="D59" s="37">
        <v>5215.1866544413751</v>
      </c>
      <c r="E59" s="37">
        <v>2417.9293093686151</v>
      </c>
      <c r="F59" s="37">
        <v>4044.2203347563304</v>
      </c>
      <c r="G59" s="37">
        <v>6196.2951555123009</v>
      </c>
      <c r="H59" s="37">
        <v>3816.5579819049954</v>
      </c>
    </row>
    <row r="60" spans="1:8" x14ac:dyDescent="0.2">
      <c r="A60" s="281" t="s">
        <v>450</v>
      </c>
      <c r="B60" s="37">
        <v>2216.9538419716464</v>
      </c>
      <c r="C60" s="37">
        <v>1800.9366110025371</v>
      </c>
      <c r="D60" s="37">
        <v>1384.9193800334278</v>
      </c>
      <c r="E60" s="37">
        <v>642.09353164822676</v>
      </c>
      <c r="F60" s="37">
        <v>1073.9633361298309</v>
      </c>
      <c r="G60" s="37">
        <v>1645.4585890507387</v>
      </c>
      <c r="H60" s="37">
        <v>1013.5064558408274</v>
      </c>
    </row>
    <row r="61" spans="1:8" x14ac:dyDescent="0.2">
      <c r="A61" s="281" t="s">
        <v>345</v>
      </c>
      <c r="B61" s="37">
        <v>6944.2508455257394</v>
      </c>
      <c r="C61" s="37">
        <v>5641.1435413548061</v>
      </c>
      <c r="D61" s="37">
        <v>4338.0362371838737</v>
      </c>
      <c r="E61" s="37">
        <v>2011.2544472438574</v>
      </c>
      <c r="F61" s="37">
        <v>3364.0156537794805</v>
      </c>
      <c r="G61" s="37">
        <v>5154.1332496526102</v>
      </c>
      <c r="H61" s="37">
        <v>3174.6453422138657</v>
      </c>
    </row>
    <row r="62" spans="1:8" x14ac:dyDescent="0.2">
      <c r="A62" s="281" t="s">
        <v>452</v>
      </c>
      <c r="B62" s="37">
        <v>1115.1174929211991</v>
      </c>
      <c r="C62" s="37">
        <v>905.86287761632639</v>
      </c>
      <c r="D62" s="37">
        <v>696.60826231145393</v>
      </c>
      <c r="E62" s="37">
        <v>322.97009531521525</v>
      </c>
      <c r="F62" s="37">
        <v>540.19861860427704</v>
      </c>
      <c r="G62" s="37">
        <v>827.65805576273806</v>
      </c>
      <c r="H62" s="37">
        <v>509.7891788133345</v>
      </c>
    </row>
    <row r="63" spans="1:8" x14ac:dyDescent="0.2">
      <c r="A63" s="281" t="s">
        <v>124</v>
      </c>
      <c r="B63" s="37">
        <v>1846.0750255504602</v>
      </c>
      <c r="C63" s="37">
        <v>1499.6543227885195</v>
      </c>
      <c r="D63" s="37">
        <v>1153.2336200265786</v>
      </c>
      <c r="E63" s="37">
        <v>534.6762981148853</v>
      </c>
      <c r="F63" s="37">
        <v>894.29759994781932</v>
      </c>
      <c r="G63" s="37">
        <v>1370.1863127491397</v>
      </c>
      <c r="H63" s="37">
        <v>843.954959070732</v>
      </c>
    </row>
    <row r="64" spans="1:8" x14ac:dyDescent="0.2">
      <c r="A64" s="281" t="s">
        <v>347</v>
      </c>
      <c r="B64" s="37">
        <v>7513.8349979651957</v>
      </c>
      <c r="C64" s="37">
        <v>6103.8461722517541</v>
      </c>
      <c r="D64" s="37">
        <v>4693.8573465383124</v>
      </c>
      <c r="E64" s="37">
        <v>2176.2229023254808</v>
      </c>
      <c r="F64" s="37">
        <v>3639.9418846143708</v>
      </c>
      <c r="G64" s="37">
        <v>5576.8884412897833</v>
      </c>
      <c r="H64" s="37">
        <v>3435.0401244318964</v>
      </c>
    </row>
    <row r="65" spans="1:8" x14ac:dyDescent="0.2">
      <c r="A65" s="281" t="s">
        <v>349</v>
      </c>
      <c r="B65" s="37">
        <v>842.64642075775919</v>
      </c>
      <c r="C65" s="37">
        <v>684.52168584267838</v>
      </c>
      <c r="D65" s="37">
        <v>526.39695092759746</v>
      </c>
      <c r="E65" s="37">
        <v>244.05467648056907</v>
      </c>
      <c r="F65" s="37">
        <v>408.20499774288749</v>
      </c>
      <c r="G65" s="37">
        <v>625.42570925032328</v>
      </c>
      <c r="H65" s="37">
        <v>385.22581370408329</v>
      </c>
    </row>
    <row r="66" spans="1:8" x14ac:dyDescent="0.2">
      <c r="A66" s="281" t="s">
        <v>126</v>
      </c>
      <c r="B66" s="37">
        <v>1788.9617962199434</v>
      </c>
      <c r="C66" s="37">
        <v>1453.258482557238</v>
      </c>
      <c r="D66" s="37">
        <v>1117.5551688945327</v>
      </c>
      <c r="E66" s="37">
        <v>518.13462591324708</v>
      </c>
      <c r="F66" s="37">
        <v>866.63035244130572</v>
      </c>
      <c r="G66" s="37">
        <v>1327.7960743306246</v>
      </c>
      <c r="H66" s="37">
        <v>817.84489740388995</v>
      </c>
    </row>
    <row r="67" spans="1:8" x14ac:dyDescent="0.2">
      <c r="A67" s="281" t="s">
        <v>128</v>
      </c>
      <c r="B67" s="37">
        <v>549.02789686599647</v>
      </c>
      <c r="C67" s="37">
        <v>446.00135513477909</v>
      </c>
      <c r="D67" s="37">
        <v>342.97481340356171</v>
      </c>
      <c r="E67" s="37">
        <v>159.01426835288638</v>
      </c>
      <c r="F67" s="37">
        <v>265.96661802808461</v>
      </c>
      <c r="G67" s="37">
        <v>407.49725744704051</v>
      </c>
      <c r="H67" s="37">
        <v>250.99454087822403</v>
      </c>
    </row>
    <row r="68" spans="1:8" x14ac:dyDescent="0.2">
      <c r="A68" s="281" t="s">
        <v>130</v>
      </c>
      <c r="B68" s="37">
        <v>1023.8820962730614</v>
      </c>
      <c r="C68" s="37">
        <v>831.74792758059345</v>
      </c>
      <c r="D68" s="37">
        <v>639.61375888812552</v>
      </c>
      <c r="E68" s="37">
        <v>296.54554594159163</v>
      </c>
      <c r="F68" s="37">
        <v>496.00128918786737</v>
      </c>
      <c r="G68" s="37">
        <v>759.94169273046441</v>
      </c>
      <c r="H68" s="37">
        <v>468.07965241485857</v>
      </c>
    </row>
    <row r="69" spans="1:8" x14ac:dyDescent="0.2">
      <c r="A69" s="281" t="s">
        <v>132</v>
      </c>
      <c r="B69" s="37">
        <v>576.9573263257754</v>
      </c>
      <c r="C69" s="37">
        <v>468.68981206064564</v>
      </c>
      <c r="D69" s="37">
        <v>360.42229779551582</v>
      </c>
      <c r="E69" s="37">
        <v>167.10345073224283</v>
      </c>
      <c r="F69" s="37">
        <v>279.49655229640359</v>
      </c>
      <c r="G69" s="37">
        <v>428.2269393110895</v>
      </c>
      <c r="H69" s="37">
        <v>263.76287426387933</v>
      </c>
    </row>
    <row r="70" spans="1:8" x14ac:dyDescent="0.2">
      <c r="A70" s="281" t="s">
        <v>134</v>
      </c>
      <c r="B70" s="37">
        <v>1641.7</v>
      </c>
      <c r="C70" s="37">
        <v>1333.63</v>
      </c>
      <c r="D70" s="37">
        <v>1025.56</v>
      </c>
      <c r="E70" s="37">
        <v>475.48</v>
      </c>
      <c r="F70" s="37">
        <v>795.29</v>
      </c>
      <c r="G70" s="37">
        <v>1218.5</v>
      </c>
      <c r="H70" s="37">
        <v>750.52</v>
      </c>
    </row>
    <row r="71" spans="1:8" x14ac:dyDescent="0.2">
      <c r="A71" s="281" t="s">
        <v>351</v>
      </c>
      <c r="B71" s="37">
        <v>4502.5785708240874</v>
      </c>
      <c r="C71" s="37">
        <v>3657.6585939152778</v>
      </c>
      <c r="D71" s="37">
        <v>2812.7386170064683</v>
      </c>
      <c r="E71" s="37">
        <v>1304.0763675977933</v>
      </c>
      <c r="F71" s="37">
        <v>2181.1944317719085</v>
      </c>
      <c r="G71" s="37">
        <v>3341.8865012979977</v>
      </c>
      <c r="H71" s="37">
        <v>2058.4074923021308</v>
      </c>
    </row>
    <row r="72" spans="1:8" x14ac:dyDescent="0.2">
      <c r="A72" s="281" t="s">
        <v>223</v>
      </c>
      <c r="B72" s="37">
        <v>1557.0121341430547</v>
      </c>
      <c r="C72" s="37">
        <v>1264.8350258956807</v>
      </c>
      <c r="D72" s="37">
        <v>972.65791764830647</v>
      </c>
      <c r="E72" s="37">
        <v>450.95559512457965</v>
      </c>
      <c r="F72" s="37">
        <v>754.26675610260054</v>
      </c>
      <c r="G72" s="37">
        <v>1155.6394451228275</v>
      </c>
      <c r="H72" s="37">
        <v>711.80675638644311</v>
      </c>
    </row>
    <row r="73" spans="1:8" x14ac:dyDescent="0.2">
      <c r="A73" s="281" t="s">
        <v>225</v>
      </c>
      <c r="B73" s="37">
        <v>1409.3537554230174</v>
      </c>
      <c r="C73" s="37">
        <v>1144.884844321233</v>
      </c>
      <c r="D73" s="37">
        <v>880.41593321944845</v>
      </c>
      <c r="E73" s="37">
        <v>408.18929116201116</v>
      </c>
      <c r="F73" s="37">
        <v>682.7359519289821</v>
      </c>
      <c r="G73" s="37">
        <v>1046.0448536759998</v>
      </c>
      <c r="H73" s="37">
        <v>644.30261219072986</v>
      </c>
    </row>
    <row r="74" spans="1:8" x14ac:dyDescent="0.2">
      <c r="A74" s="281" t="s">
        <v>227</v>
      </c>
      <c r="B74" s="37">
        <v>597.49875595013862</v>
      </c>
      <c r="C74" s="37">
        <v>485.37659980133492</v>
      </c>
      <c r="D74" s="37">
        <v>373.25444365253122</v>
      </c>
      <c r="E74" s="37">
        <v>173.05283650135888</v>
      </c>
      <c r="F74" s="37">
        <v>289.44755639405798</v>
      </c>
      <c r="G74" s="37">
        <v>443.4731561720983</v>
      </c>
      <c r="H74" s="37">
        <v>273.15364007694507</v>
      </c>
    </row>
    <row r="75" spans="1:8" x14ac:dyDescent="0.2">
      <c r="A75" s="281" t="s">
        <v>229</v>
      </c>
      <c r="B75" s="37">
        <v>814.65293470978258</v>
      </c>
      <c r="C75" s="37">
        <v>661.78136585183802</v>
      </c>
      <c r="D75" s="37">
        <v>508.90979699389351</v>
      </c>
      <c r="E75" s="37">
        <v>235.94689258682556</v>
      </c>
      <c r="F75" s="37">
        <v>394.64405166540575</v>
      </c>
      <c r="G75" s="37">
        <v>604.64849318759411</v>
      </c>
      <c r="H75" s="37">
        <v>372.42834479035952</v>
      </c>
    </row>
    <row r="76" spans="1:8" x14ac:dyDescent="0.2">
      <c r="A76" s="281" t="s">
        <v>353</v>
      </c>
      <c r="B76" s="37">
        <v>3034.6539838563731</v>
      </c>
      <c r="C76" s="37">
        <v>2465.1935542740766</v>
      </c>
      <c r="D76" s="37">
        <v>1895.7331246917802</v>
      </c>
      <c r="E76" s="37">
        <v>878.9231230967049</v>
      </c>
      <c r="F76" s="37">
        <v>1470.0839118678705</v>
      </c>
      <c r="G76" s="37">
        <v>2252.3689478621218</v>
      </c>
      <c r="H76" s="37">
        <v>1387.3281238942425</v>
      </c>
    </row>
    <row r="77" spans="1:8" x14ac:dyDescent="0.2">
      <c r="A77" s="281" t="s">
        <v>231</v>
      </c>
      <c r="B77" s="37">
        <v>771.53234725997106</v>
      </c>
      <c r="C77" s="37">
        <v>626.75235716642533</v>
      </c>
      <c r="D77" s="37">
        <v>481.97236707287971</v>
      </c>
      <c r="E77" s="37">
        <v>223.45804697258072</v>
      </c>
      <c r="F77" s="37">
        <v>373.7550710738073</v>
      </c>
      <c r="G77" s="37">
        <v>572.64370916688915</v>
      </c>
      <c r="H77" s="37">
        <v>352.71520702273023</v>
      </c>
    </row>
    <row r="78" spans="1:8" x14ac:dyDescent="0.2">
      <c r="A78" s="281" t="s">
        <v>355</v>
      </c>
      <c r="B78" s="37">
        <v>1848.9157524393288</v>
      </c>
      <c r="C78" s="37">
        <v>1501.9620520077115</v>
      </c>
      <c r="D78" s="37">
        <v>1155.0083515760941</v>
      </c>
      <c r="E78" s="37">
        <v>535.49922961182324</v>
      </c>
      <c r="F78" s="37">
        <v>895.67401048609781</v>
      </c>
      <c r="G78" s="37">
        <v>1372.2948814627134</v>
      </c>
      <c r="H78" s="37">
        <v>845.25379059395868</v>
      </c>
    </row>
    <row r="79" spans="1:8" x14ac:dyDescent="0.2">
      <c r="A79" s="281" t="s">
        <v>422</v>
      </c>
      <c r="B79" s="37">
        <v>625.75558727808811</v>
      </c>
      <c r="C79" s="37">
        <v>508.33094594660969</v>
      </c>
      <c r="D79" s="37">
        <v>390.90630461513126</v>
      </c>
      <c r="E79" s="37">
        <v>181.23679277284981</v>
      </c>
      <c r="F79" s="37">
        <v>303.13603045609995</v>
      </c>
      <c r="G79" s="37">
        <v>464.445808867094</v>
      </c>
      <c r="H79" s="37">
        <v>286.07154869399051</v>
      </c>
    </row>
    <row r="80" spans="1:8" x14ac:dyDescent="0.2">
      <c r="A80" s="281" t="s">
        <v>425</v>
      </c>
      <c r="B80" s="37">
        <v>682.68054336419186</v>
      </c>
      <c r="C80" s="37">
        <v>554.57382911869877</v>
      </c>
      <c r="D80" s="37">
        <v>426.46711487320573</v>
      </c>
      <c r="E80" s="37">
        <v>197.72391042612875</v>
      </c>
      <c r="F80" s="37">
        <v>330.71228921812292</v>
      </c>
      <c r="G80" s="37">
        <v>506.69641629115739</v>
      </c>
      <c r="H80" s="37">
        <v>312.09551264966723</v>
      </c>
    </row>
    <row r="81" spans="1:8" x14ac:dyDescent="0.2">
      <c r="A81" s="281" t="s">
        <v>357</v>
      </c>
      <c r="B81" s="37">
        <v>8033.1747337924853</v>
      </c>
      <c r="C81" s="37">
        <v>6525.7281448975027</v>
      </c>
      <c r="D81" s="37">
        <v>5018.281556002521</v>
      </c>
      <c r="E81" s="37">
        <v>2326.638911893599</v>
      </c>
      <c r="F81" s="37">
        <v>3891.5270639826231</v>
      </c>
      <c r="G81" s="37">
        <v>5962.3508988875546</v>
      </c>
      <c r="H81" s="37">
        <v>3672.4602339480598</v>
      </c>
    </row>
    <row r="82" spans="1:8" x14ac:dyDescent="0.2">
      <c r="A82" s="281" t="s">
        <v>275</v>
      </c>
      <c r="B82" s="37">
        <v>1641.7</v>
      </c>
      <c r="C82" s="37">
        <v>1333.63</v>
      </c>
      <c r="D82" s="37">
        <v>1025.56</v>
      </c>
      <c r="E82" s="37">
        <v>475.48</v>
      </c>
      <c r="F82" s="37">
        <v>795.29</v>
      </c>
      <c r="G82" s="37">
        <v>1218.5</v>
      </c>
      <c r="H82" s="37">
        <v>750.52</v>
      </c>
    </row>
    <row r="83" spans="1:8" x14ac:dyDescent="0.2">
      <c r="A83" s="281" t="s">
        <v>277</v>
      </c>
      <c r="B83" s="37">
        <v>1379.0883325171399</v>
      </c>
      <c r="C83" s="37">
        <v>1120.2988316346643</v>
      </c>
      <c r="D83" s="37">
        <v>861.50933075218882</v>
      </c>
      <c r="E83" s="37">
        <v>399.42362164253979</v>
      </c>
      <c r="F83" s="37">
        <v>668.07433738318298</v>
      </c>
      <c r="G83" s="37">
        <v>1023.5813349501614</v>
      </c>
      <c r="H83" s="37">
        <v>630.46647619736427</v>
      </c>
    </row>
    <row r="84" spans="1:8" x14ac:dyDescent="0.2">
      <c r="A84" s="281" t="s">
        <v>359</v>
      </c>
      <c r="B84" s="37">
        <v>8292.16873022865</v>
      </c>
      <c r="C84" s="37">
        <v>6736.1236371499763</v>
      </c>
      <c r="D84" s="37">
        <v>5180.0785440713025</v>
      </c>
      <c r="E84" s="37">
        <v>2401.6514751431469</v>
      </c>
      <c r="F84" s="37">
        <v>4016.9925635532295</v>
      </c>
      <c r="G84" s="37">
        <v>6154.5806468909395</v>
      </c>
      <c r="H84" s="37">
        <v>3790.8650096072247</v>
      </c>
    </row>
    <row r="85" spans="1:8" x14ac:dyDescent="0.2">
      <c r="A85" s="281" t="s">
        <v>361</v>
      </c>
      <c r="B85" s="37">
        <v>5584.0485784897501</v>
      </c>
      <c r="C85" s="37">
        <v>4536.1875002811903</v>
      </c>
      <c r="D85" s="37">
        <v>3488.3264220726314</v>
      </c>
      <c r="E85" s="37">
        <v>1617.3012368890029</v>
      </c>
      <c r="F85" s="37">
        <v>2705.0916743885991</v>
      </c>
      <c r="G85" s="37">
        <v>4144.5701264391746</v>
      </c>
      <c r="H85" s="37">
        <v>2552.8138294808173</v>
      </c>
    </row>
    <row r="86" spans="1:8" x14ac:dyDescent="0.2">
      <c r="A86" s="281" t="s">
        <v>363</v>
      </c>
      <c r="B86" s="37">
        <v>6286.9331856523368</v>
      </c>
      <c r="C86" s="37">
        <v>5107.1750999143005</v>
      </c>
      <c r="D86" s="37">
        <v>3927.4170141762634</v>
      </c>
      <c r="E86" s="37">
        <v>1820.8764057662343</v>
      </c>
      <c r="F86" s="37">
        <v>3045.5915376620928</v>
      </c>
      <c r="G86" s="37">
        <v>4666.2623616572146</v>
      </c>
      <c r="H86" s="37">
        <v>2874.146709971249</v>
      </c>
    </row>
    <row r="87" spans="1:8" x14ac:dyDescent="0.2">
      <c r="A87" s="281" t="s">
        <v>233</v>
      </c>
      <c r="B87" s="37">
        <v>1664.9480376077231</v>
      </c>
      <c r="C87" s="37">
        <v>1352.5162626564006</v>
      </c>
      <c r="D87" s="37">
        <v>1040.0844877050783</v>
      </c>
      <c r="E87" s="37">
        <v>482.21680505047874</v>
      </c>
      <c r="F87" s="37">
        <v>806.55416142847093</v>
      </c>
      <c r="G87" s="37">
        <v>1235.7510995180969</v>
      </c>
      <c r="H87" s="37">
        <v>761.15064637777857</v>
      </c>
    </row>
    <row r="88" spans="1:8" x14ac:dyDescent="0.2">
      <c r="A88" s="281" t="s">
        <v>279</v>
      </c>
      <c r="B88" s="37">
        <v>1612.2762831311607</v>
      </c>
      <c r="C88" s="37">
        <v>1309.728654754851</v>
      </c>
      <c r="D88" s="37">
        <v>1007.1810263785417</v>
      </c>
      <c r="E88" s="37">
        <v>466.96162193232641</v>
      </c>
      <c r="F88" s="37">
        <v>781.03837724459231</v>
      </c>
      <c r="G88" s="37">
        <v>1196.6573301878766</v>
      </c>
      <c r="H88" s="37">
        <v>737.07132415543401</v>
      </c>
    </row>
    <row r="89" spans="1:8" x14ac:dyDescent="0.2">
      <c r="A89" s="281" t="s">
        <v>454</v>
      </c>
      <c r="B89" s="37">
        <v>13364.452160548723</v>
      </c>
      <c r="C89" s="37">
        <v>10856.57922437476</v>
      </c>
      <c r="D89" s="37">
        <v>8348.7062882007958</v>
      </c>
      <c r="E89" s="37">
        <v>3870.7305859282028</v>
      </c>
      <c r="F89" s="37">
        <v>6474.1669705750564</v>
      </c>
      <c r="G89" s="37">
        <v>9919.309565561889</v>
      </c>
      <c r="H89" s="37">
        <v>6109.7184370644991</v>
      </c>
    </row>
    <row r="90" spans="1:8" x14ac:dyDescent="0.2">
      <c r="A90" s="281" t="s">
        <v>365</v>
      </c>
      <c r="B90" s="37">
        <v>2217.9850270894776</v>
      </c>
      <c r="C90" s="37">
        <v>1801.7745753623378</v>
      </c>
      <c r="D90" s="37">
        <v>1385.564123635198</v>
      </c>
      <c r="E90" s="37">
        <v>642.39218439118349</v>
      </c>
      <c r="F90" s="37">
        <v>1074.4630037150962</v>
      </c>
      <c r="G90" s="37">
        <v>1646.224015402287</v>
      </c>
      <c r="H90" s="37">
        <v>1013.9781540131908</v>
      </c>
    </row>
    <row r="91" spans="1:8" x14ac:dyDescent="0.2">
      <c r="A91" s="281" t="s">
        <v>136</v>
      </c>
      <c r="B91" s="37">
        <v>919.60655061803789</v>
      </c>
      <c r="C91" s="37">
        <v>747.03999763509341</v>
      </c>
      <c r="D91" s="37">
        <v>574.47344465214894</v>
      </c>
      <c r="E91" s="37">
        <v>266.34444809787419</v>
      </c>
      <c r="F91" s="37">
        <v>445.48685104568102</v>
      </c>
      <c r="G91" s="37">
        <v>682.54670083185943</v>
      </c>
      <c r="H91" s="37">
        <v>420.40894637501157</v>
      </c>
    </row>
    <row r="92" spans="1:8" x14ac:dyDescent="0.2">
      <c r="A92" s="281" t="s">
        <v>367</v>
      </c>
      <c r="B92" s="37">
        <v>602.97916415516715</v>
      </c>
      <c r="C92" s="37">
        <v>489.82855434992916</v>
      </c>
      <c r="D92" s="37">
        <v>376.67794454469117</v>
      </c>
      <c r="E92" s="37">
        <v>174.64008721115428</v>
      </c>
      <c r="F92" s="37">
        <v>292.10240932435374</v>
      </c>
      <c r="G92" s="37">
        <v>447.54078673976045</v>
      </c>
      <c r="H92" s="37">
        <v>275.65901587792274</v>
      </c>
    </row>
    <row r="93" spans="1:8" x14ac:dyDescent="0.2">
      <c r="A93" s="281" t="s">
        <v>456</v>
      </c>
      <c r="B93" s="37">
        <v>730.30805535397462</v>
      </c>
      <c r="C93" s="37">
        <v>593.26390172498225</v>
      </c>
      <c r="D93" s="37">
        <v>456.21974809598987</v>
      </c>
      <c r="E93" s="37">
        <v>211.51819439649788</v>
      </c>
      <c r="F93" s="37">
        <v>353.78452484695646</v>
      </c>
      <c r="G93" s="37">
        <v>542.04629010046551</v>
      </c>
      <c r="H93" s="37">
        <v>333.86897124624386</v>
      </c>
    </row>
    <row r="94" spans="1:8" x14ac:dyDescent="0.2">
      <c r="A94" s="281" t="s">
        <v>458</v>
      </c>
      <c r="B94" s="37">
        <v>826.36161267587238</v>
      </c>
      <c r="C94" s="37">
        <v>671.2927301841363</v>
      </c>
      <c r="D94" s="37">
        <v>516.22384769240023</v>
      </c>
      <c r="E94" s="37">
        <v>239.33810917270083</v>
      </c>
      <c r="F94" s="37">
        <v>400.31599362109239</v>
      </c>
      <c r="G94" s="37">
        <v>613.33880314848238</v>
      </c>
      <c r="H94" s="37">
        <v>377.78097843255051</v>
      </c>
    </row>
    <row r="95" spans="1:8" x14ac:dyDescent="0.2">
      <c r="A95" s="281" t="s">
        <v>235</v>
      </c>
      <c r="B95" s="37">
        <v>5695.8357909228016</v>
      </c>
      <c r="C95" s="37">
        <v>4626.9979549488935</v>
      </c>
      <c r="D95" s="37">
        <v>3558.160118974984</v>
      </c>
      <c r="E95" s="37">
        <v>1649.6779297800579</v>
      </c>
      <c r="F95" s="37">
        <v>2759.2451784770665</v>
      </c>
      <c r="G95" s="37">
        <v>4227.5404846999354</v>
      </c>
      <c r="H95" s="37">
        <v>2603.9190243775211</v>
      </c>
    </row>
    <row r="96" spans="1:8" x14ac:dyDescent="0.2">
      <c r="A96" s="281" t="s">
        <v>460</v>
      </c>
      <c r="B96" s="37">
        <v>4634.6099835464311</v>
      </c>
      <c r="C96" s="37">
        <v>3764.9145785173296</v>
      </c>
      <c r="D96" s="37">
        <v>2895.2191734882285</v>
      </c>
      <c r="E96" s="37">
        <v>1342.3169247968074</v>
      </c>
      <c r="F96" s="37">
        <v>2245.1531097476823</v>
      </c>
      <c r="G96" s="37">
        <v>3439.8815466470569</v>
      </c>
      <c r="H96" s="37">
        <v>2118.7680491425181</v>
      </c>
    </row>
    <row r="97" spans="1:8" x14ac:dyDescent="0.2">
      <c r="A97" s="281" t="s">
        <v>281</v>
      </c>
      <c r="B97" s="37">
        <v>5777.250747518201</v>
      </c>
      <c r="C97" s="37">
        <v>4693.1348351237721</v>
      </c>
      <c r="D97" s="37">
        <v>3609.0189227293436</v>
      </c>
      <c r="E97" s="37">
        <v>1673.2567603162659</v>
      </c>
      <c r="F97" s="37">
        <v>2798.6836348448933</v>
      </c>
      <c r="G97" s="37">
        <v>4287.9671911815476</v>
      </c>
      <c r="H97" s="37">
        <v>2641.1378415228046</v>
      </c>
    </row>
    <row r="98" spans="1:8" x14ac:dyDescent="0.2">
      <c r="A98" s="281" t="s">
        <v>462</v>
      </c>
      <c r="B98" s="37">
        <v>954.642713155499</v>
      </c>
      <c r="C98" s="37">
        <v>775.50156829833736</v>
      </c>
      <c r="D98" s="37">
        <v>596.36042344117573</v>
      </c>
      <c r="E98" s="37">
        <v>276.49194026710126</v>
      </c>
      <c r="F98" s="37">
        <v>462.45952057786235</v>
      </c>
      <c r="G98" s="37">
        <v>708.55111686668067</v>
      </c>
      <c r="H98" s="37">
        <v>436.42618185413846</v>
      </c>
    </row>
    <row r="99" spans="1:8" x14ac:dyDescent="0.2">
      <c r="A99" s="281" t="s">
        <v>283</v>
      </c>
      <c r="B99" s="37">
        <v>1641.7</v>
      </c>
      <c r="C99" s="37">
        <v>1333.63</v>
      </c>
      <c r="D99" s="37">
        <v>1025.56</v>
      </c>
      <c r="E99" s="37">
        <v>475.48</v>
      </c>
      <c r="F99" s="37">
        <v>795.29</v>
      </c>
      <c r="G99" s="37">
        <v>1218.5</v>
      </c>
      <c r="H99" s="37">
        <v>750.52</v>
      </c>
    </row>
    <row r="100" spans="1:8" x14ac:dyDescent="0.2">
      <c r="A100" s="281" t="s">
        <v>138</v>
      </c>
      <c r="B100" s="37">
        <v>353.17169153279815</v>
      </c>
      <c r="C100" s="37">
        <v>286.89821681834997</v>
      </c>
      <c r="D100" s="37">
        <v>220.62474210390184</v>
      </c>
      <c r="E100" s="37">
        <v>102.28870553287389</v>
      </c>
      <c r="F100" s="37">
        <v>171.08774203856578</v>
      </c>
      <c r="G100" s="37">
        <v>262.12971678568198</v>
      </c>
      <c r="H100" s="37">
        <v>161.45672381838787</v>
      </c>
    </row>
    <row r="101" spans="1:8" x14ac:dyDescent="0.2">
      <c r="A101" s="281" t="s">
        <v>285</v>
      </c>
      <c r="B101" s="37">
        <v>1641.7</v>
      </c>
      <c r="C101" s="37">
        <v>1333.63</v>
      </c>
      <c r="D101" s="37">
        <v>1025.56</v>
      </c>
      <c r="E101" s="37">
        <v>475.48</v>
      </c>
      <c r="F101" s="37">
        <v>795.29</v>
      </c>
      <c r="G101" s="37">
        <v>1218.5</v>
      </c>
      <c r="H101" s="37">
        <v>750.52</v>
      </c>
    </row>
    <row r="102" spans="1:8" x14ac:dyDescent="0.2">
      <c r="A102" s="281" t="s">
        <v>237</v>
      </c>
      <c r="B102" s="37">
        <v>2100.6777363895549</v>
      </c>
      <c r="C102" s="37">
        <v>1706.4802247499947</v>
      </c>
      <c r="D102" s="37">
        <v>1312.2827131104343</v>
      </c>
      <c r="E102" s="37">
        <v>608.41667640815808</v>
      </c>
      <c r="F102" s="37">
        <v>1017.6355387457627</v>
      </c>
      <c r="G102" s="37">
        <v>1559.1566375676587</v>
      </c>
      <c r="H102" s="37">
        <v>960.34969475929643</v>
      </c>
    </row>
    <row r="103" spans="1:8" x14ac:dyDescent="0.2">
      <c r="A103" s="281" t="s">
        <v>427</v>
      </c>
      <c r="B103" s="37">
        <v>645.99745179750391</v>
      </c>
      <c r="C103" s="37">
        <v>524.77438657798029</v>
      </c>
      <c r="D103" s="37">
        <v>403.55132135845668</v>
      </c>
      <c r="E103" s="37">
        <v>187.09936292374002</v>
      </c>
      <c r="F103" s="37">
        <v>312.94175545112427</v>
      </c>
      <c r="G103" s="37">
        <v>479.46960362431412</v>
      </c>
      <c r="H103" s="37">
        <v>295.32534214109836</v>
      </c>
    </row>
    <row r="104" spans="1:8" x14ac:dyDescent="0.2">
      <c r="A104" s="281" t="s">
        <v>140</v>
      </c>
      <c r="B104" s="37">
        <v>953.20264016939598</v>
      </c>
      <c r="C104" s="37">
        <v>774.33184714169397</v>
      </c>
      <c r="D104" s="37">
        <v>595.46105411399196</v>
      </c>
      <c r="E104" s="37">
        <v>276.07497032794998</v>
      </c>
      <c r="F104" s="37">
        <v>461.76180549630493</v>
      </c>
      <c r="G104" s="37">
        <v>707.48222283285043</v>
      </c>
      <c r="H104" s="37">
        <v>435.76801222097095</v>
      </c>
    </row>
    <row r="105" spans="1:8" x14ac:dyDescent="0.2">
      <c r="A105" s="281" t="s">
        <v>369</v>
      </c>
      <c r="B105" s="37">
        <v>1913.3046325039968</v>
      </c>
      <c r="C105" s="37">
        <v>1554.2682419431085</v>
      </c>
      <c r="D105" s="37">
        <v>1195.2318513822202</v>
      </c>
      <c r="E105" s="37">
        <v>554.14814764834455</v>
      </c>
      <c r="F105" s="37">
        <v>926.86613781878634</v>
      </c>
      <c r="G105" s="37">
        <v>1420.0853851613915</v>
      </c>
      <c r="H105" s="37">
        <v>874.68999951528235</v>
      </c>
    </row>
    <row r="106" spans="1:8" x14ac:dyDescent="0.2">
      <c r="A106" s="281" t="s">
        <v>371</v>
      </c>
      <c r="B106" s="37">
        <v>13274.915085879375</v>
      </c>
      <c r="C106" s="37">
        <v>10783.84680686409</v>
      </c>
      <c r="D106" s="37">
        <v>8292.7785278488063</v>
      </c>
      <c r="E106" s="37">
        <v>3844.7992385106322</v>
      </c>
      <c r="F106" s="37">
        <v>6430.7957752197035</v>
      </c>
      <c r="G106" s="37">
        <v>9852.8554305495381</v>
      </c>
      <c r="H106" s="37">
        <v>6068.7888831797191</v>
      </c>
    </row>
    <row r="107" spans="1:8" x14ac:dyDescent="0.2">
      <c r="A107" s="281" t="s">
        <v>373</v>
      </c>
      <c r="B107" s="37">
        <v>1635.3118895871244</v>
      </c>
      <c r="C107" s="37">
        <v>1328.4414972278701</v>
      </c>
      <c r="D107" s="37">
        <v>1021.571104868616</v>
      </c>
      <c r="E107" s="37">
        <v>473.63329083628219</v>
      </c>
      <c r="F107" s="37">
        <v>792.19737224814992</v>
      </c>
      <c r="G107" s="37">
        <v>1213.7546309176371</v>
      </c>
      <c r="H107" s="37">
        <v>747.60219785244908</v>
      </c>
    </row>
    <row r="108" spans="1:8" x14ac:dyDescent="0.2">
      <c r="A108" s="281" t="s">
        <v>287</v>
      </c>
      <c r="B108" s="37">
        <v>1836.4018767349828</v>
      </c>
      <c r="C108" s="37">
        <v>1491.7963420139135</v>
      </c>
      <c r="D108" s="37">
        <v>1147.1908072928443</v>
      </c>
      <c r="E108" s="37">
        <v>531.87481736278096</v>
      </c>
      <c r="F108" s="37">
        <v>889.61183764044358</v>
      </c>
      <c r="G108" s="37">
        <v>1363.0068571877132</v>
      </c>
      <c r="H108" s="37">
        <v>839.53281232781262</v>
      </c>
    </row>
    <row r="109" spans="1:8" x14ac:dyDescent="0.2">
      <c r="A109" s="281" t="s">
        <v>375</v>
      </c>
      <c r="B109" s="37">
        <v>5695.8357909228016</v>
      </c>
      <c r="C109" s="37">
        <v>4626.9979549488935</v>
      </c>
      <c r="D109" s="37">
        <v>3558.160118974984</v>
      </c>
      <c r="E109" s="37">
        <v>1649.6779297800579</v>
      </c>
      <c r="F109" s="37">
        <v>2759.2451784770665</v>
      </c>
      <c r="G109" s="37">
        <v>4227.5404846999354</v>
      </c>
      <c r="H109" s="37">
        <v>2603.9190243775211</v>
      </c>
    </row>
    <row r="110" spans="1:8" x14ac:dyDescent="0.2">
      <c r="A110" s="281" t="s">
        <v>377</v>
      </c>
      <c r="B110" s="37">
        <v>725.25911227822758</v>
      </c>
      <c r="C110" s="37">
        <v>589.16239044775205</v>
      </c>
      <c r="D110" s="37">
        <v>453.06566861727646</v>
      </c>
      <c r="E110" s="37">
        <v>210.05581558273997</v>
      </c>
      <c r="F110" s="37">
        <v>351.3387683144212</v>
      </c>
      <c r="G110" s="37">
        <v>538.29894029632442</v>
      </c>
      <c r="H110" s="37">
        <v>331.56074210000821</v>
      </c>
    </row>
    <row r="111" spans="1:8" x14ac:dyDescent="0.2">
      <c r="A111" s="281" t="s">
        <v>142</v>
      </c>
      <c r="B111" s="37">
        <v>506.96998723102814</v>
      </c>
      <c r="C111" s="37">
        <v>411.83582545105196</v>
      </c>
      <c r="D111" s="37">
        <v>316.70166367107572</v>
      </c>
      <c r="E111" s="37">
        <v>146.83311977652954</v>
      </c>
      <c r="F111" s="37">
        <v>245.59253616625182</v>
      </c>
      <c r="G111" s="37">
        <v>376.28126169863998</v>
      </c>
      <c r="H111" s="37">
        <v>231.76739172380263</v>
      </c>
    </row>
    <row r="112" spans="1:8" x14ac:dyDescent="0.2">
      <c r="A112" s="281" t="s">
        <v>429</v>
      </c>
      <c r="B112" s="37">
        <v>1858.1105295604164</v>
      </c>
      <c r="C112" s="37">
        <v>1509.4313162931317</v>
      </c>
      <c r="D112" s="37">
        <v>1160.7521030258472</v>
      </c>
      <c r="E112" s="37">
        <v>538.16227691837378</v>
      </c>
      <c r="F112" s="37">
        <v>900.12826443747235</v>
      </c>
      <c r="G112" s="37">
        <v>1379.1193969989445</v>
      </c>
      <c r="H112" s="37">
        <v>849.45718997211043</v>
      </c>
    </row>
    <row r="113" spans="1:8" x14ac:dyDescent="0.2">
      <c r="A113" s="281" t="s">
        <v>239</v>
      </c>
      <c r="B113" s="37">
        <v>2029.4545900301912</v>
      </c>
      <c r="C113" s="37">
        <v>1648.6221248321349</v>
      </c>
      <c r="D113" s="37">
        <v>1267.7896596340784</v>
      </c>
      <c r="E113" s="37">
        <v>587.78830224925628</v>
      </c>
      <c r="F113" s="37">
        <v>983.13247132606716</v>
      </c>
      <c r="G113" s="37">
        <v>1506.2935306781292</v>
      </c>
      <c r="H113" s="37">
        <v>927.78898094166732</v>
      </c>
    </row>
    <row r="114" spans="1:8" x14ac:dyDescent="0.2">
      <c r="A114" s="281" t="s">
        <v>464</v>
      </c>
      <c r="B114" s="37">
        <v>2100.6777363895549</v>
      </c>
      <c r="C114" s="37">
        <v>1706.4802247499947</v>
      </c>
      <c r="D114" s="37">
        <v>1312.2827131104343</v>
      </c>
      <c r="E114" s="37">
        <v>608.41667640815808</v>
      </c>
      <c r="F114" s="37">
        <v>1017.6355387457627</v>
      </c>
      <c r="G114" s="37">
        <v>1559.1566375676587</v>
      </c>
      <c r="H114" s="37">
        <v>960.34969475929643</v>
      </c>
    </row>
    <row r="115" spans="1:8" x14ac:dyDescent="0.2">
      <c r="A115" s="281" t="s">
        <v>379</v>
      </c>
      <c r="B115" s="37">
        <v>2100.6777363895549</v>
      </c>
      <c r="C115" s="37">
        <v>1706.4802247499947</v>
      </c>
      <c r="D115" s="37">
        <v>1312.2827131104343</v>
      </c>
      <c r="E115" s="37">
        <v>608.41667640815808</v>
      </c>
      <c r="F115" s="37">
        <v>1017.6355387457627</v>
      </c>
      <c r="G115" s="37">
        <v>1559.1566375676587</v>
      </c>
      <c r="H115" s="37">
        <v>960.34969475929643</v>
      </c>
    </row>
    <row r="116" spans="1:8" x14ac:dyDescent="0.2">
      <c r="A116" s="281" t="s">
        <v>144</v>
      </c>
      <c r="B116" s="37">
        <v>481.18823431431679</v>
      </c>
      <c r="C116" s="37">
        <v>390.89202491471008</v>
      </c>
      <c r="D116" s="37">
        <v>300.59581551510331</v>
      </c>
      <c r="E116" s="37">
        <v>139.36594838832372</v>
      </c>
      <c r="F116" s="37">
        <v>233.10303499889969</v>
      </c>
      <c r="G116" s="37">
        <v>357.14563465660825</v>
      </c>
      <c r="H116" s="37">
        <v>219.98088195171351</v>
      </c>
    </row>
    <row r="117" spans="1:8" x14ac:dyDescent="0.2">
      <c r="A117" s="281" t="s">
        <v>381</v>
      </c>
      <c r="B117" s="37">
        <v>4954.0969360120971</v>
      </c>
      <c r="C117" s="37">
        <v>4024.4481872120091</v>
      </c>
      <c r="D117" s="37">
        <v>3094.7994384119211</v>
      </c>
      <c r="E117" s="37">
        <v>1434.84973668369</v>
      </c>
      <c r="F117" s="37">
        <v>2399.9239121655896</v>
      </c>
      <c r="G117" s="37">
        <v>3677.0104240888431</v>
      </c>
      <c r="H117" s="37">
        <v>2264.8245875478055</v>
      </c>
    </row>
    <row r="118" spans="1:8" x14ac:dyDescent="0.2">
      <c r="A118" s="281" t="s">
        <v>431</v>
      </c>
      <c r="B118" s="37">
        <v>369.03820241912013</v>
      </c>
      <c r="C118" s="37">
        <v>299.78721654458883</v>
      </c>
      <c r="D118" s="37">
        <v>230.53623067005756</v>
      </c>
      <c r="E118" s="37">
        <v>106.88409568694124</v>
      </c>
      <c r="F118" s="37">
        <v>178.77393393669863</v>
      </c>
      <c r="G118" s="37">
        <v>273.90606817790939</v>
      </c>
      <c r="H118" s="37">
        <v>168.71016317849939</v>
      </c>
    </row>
    <row r="119" spans="1:8" x14ac:dyDescent="0.2">
      <c r="A119" s="281" t="s">
        <v>383</v>
      </c>
      <c r="B119" s="37">
        <v>2154.7754878995552</v>
      </c>
      <c r="C119" s="37">
        <v>1750.4262711074996</v>
      </c>
      <c r="D119" s="37">
        <v>1346.077054315444</v>
      </c>
      <c r="E119" s="37">
        <v>624.08506887448345</v>
      </c>
      <c r="F119" s="37">
        <v>1043.8425362944329</v>
      </c>
      <c r="G119" s="37">
        <v>1599.3090120969941</v>
      </c>
      <c r="H119" s="37">
        <v>985.08106159496378</v>
      </c>
    </row>
    <row r="120" spans="1:8" x14ac:dyDescent="0.2">
      <c r="A120" s="281" t="s">
        <v>466</v>
      </c>
      <c r="B120" s="37">
        <v>1609.3433855107514</v>
      </c>
      <c r="C120" s="37">
        <v>1307.3460300490883</v>
      </c>
      <c r="D120" s="37">
        <v>1005.348674587425</v>
      </c>
      <c r="E120" s="37">
        <v>466.11206355140831</v>
      </c>
      <c r="F120" s="37">
        <v>779.61741879800911</v>
      </c>
      <c r="G120" s="37">
        <v>1194.4804021543803</v>
      </c>
      <c r="H120" s="37">
        <v>735.73036906941661</v>
      </c>
    </row>
    <row r="121" spans="1:8" x14ac:dyDescent="0.2">
      <c r="A121" s="281" t="s">
        <v>146</v>
      </c>
      <c r="B121" s="37">
        <v>607.75137374390192</v>
      </c>
      <c r="C121" s="37">
        <v>493.70529021774973</v>
      </c>
      <c r="D121" s="37">
        <v>379.65920669159755</v>
      </c>
      <c r="E121" s="37">
        <v>176.02226877284389</v>
      </c>
      <c r="F121" s="37">
        <v>294.41417952118951</v>
      </c>
      <c r="G121" s="37">
        <v>451.08277663254569</v>
      </c>
      <c r="H121" s="37">
        <v>277.8407377322207</v>
      </c>
    </row>
    <row r="122" spans="1:8" x14ac:dyDescent="0.2">
      <c r="A122" s="281" t="s">
        <v>148</v>
      </c>
      <c r="B122" s="37">
        <v>55.802048556928447</v>
      </c>
      <c r="C122" s="37">
        <v>45.330649342195258</v>
      </c>
      <c r="D122" s="37">
        <v>34.859250127462076</v>
      </c>
      <c r="E122" s="37">
        <v>16.161880612287863</v>
      </c>
      <c r="F122" s="37">
        <v>27.032290860074891</v>
      </c>
      <c r="G122" s="37">
        <v>41.417169708501667</v>
      </c>
      <c r="H122" s="37">
        <v>25.510565369874968</v>
      </c>
    </row>
    <row r="123" spans="1:8" x14ac:dyDescent="0.2">
      <c r="A123" s="281" t="s">
        <v>150</v>
      </c>
      <c r="B123" s="37">
        <v>2010.8575418586231</v>
      </c>
      <c r="C123" s="37">
        <v>1633.5148479785653</v>
      </c>
      <c r="D123" s="37">
        <v>1256.1721540985072</v>
      </c>
      <c r="E123" s="37">
        <v>582.40210316682203</v>
      </c>
      <c r="F123" s="37">
        <v>974.12361255770236</v>
      </c>
      <c r="G123" s="37">
        <v>1492.4905772081627</v>
      </c>
      <c r="H123" s="37">
        <v>919.28712863266469</v>
      </c>
    </row>
    <row r="124" spans="1:8" x14ac:dyDescent="0.2">
      <c r="A124" s="281" t="s">
        <v>153</v>
      </c>
      <c r="B124" s="37">
        <v>1274.4115814751697</v>
      </c>
      <c r="C124" s="37">
        <v>1035.2649093780994</v>
      </c>
      <c r="D124" s="37">
        <v>796.11823728102911</v>
      </c>
      <c r="E124" s="37">
        <v>369.10624913204691</v>
      </c>
      <c r="F124" s="37">
        <v>617.36561408687498</v>
      </c>
      <c r="G124" s="37">
        <v>945.88859778102233</v>
      </c>
      <c r="H124" s="37">
        <v>582.61224320653798</v>
      </c>
    </row>
    <row r="125" spans="1:8" x14ac:dyDescent="0.2">
      <c r="A125" s="281" t="s">
        <v>468</v>
      </c>
      <c r="B125" s="37">
        <v>2500.7313251358555</v>
      </c>
      <c r="C125" s="37">
        <v>2031.4623455747983</v>
      </c>
      <c r="D125" s="37">
        <v>1562.1933660137413</v>
      </c>
      <c r="E125" s="37">
        <v>724.28364338626625</v>
      </c>
      <c r="F125" s="37">
        <v>1211.4344849135657</v>
      </c>
      <c r="G125" s="37">
        <v>1856.0829050247107</v>
      </c>
      <c r="H125" s="37">
        <v>1143.2385047000039</v>
      </c>
    </row>
    <row r="126" spans="1:8" x14ac:dyDescent="0.2">
      <c r="A126" s="281" t="s">
        <v>155</v>
      </c>
      <c r="B126" s="37">
        <v>2409.8318657101427</v>
      </c>
      <c r="C126" s="37">
        <v>1957.6208253686073</v>
      </c>
      <c r="D126" s="37">
        <v>1505.4097850270721</v>
      </c>
      <c r="E126" s="37">
        <v>697.95656947001385</v>
      </c>
      <c r="F126" s="37">
        <v>1167.3996433690681</v>
      </c>
      <c r="G126" s="37">
        <v>1788.6157545396054</v>
      </c>
      <c r="H126" s="37">
        <v>1101.683177248543</v>
      </c>
    </row>
    <row r="127" spans="1:8" x14ac:dyDescent="0.2">
      <c r="A127" s="281" t="s">
        <v>157</v>
      </c>
      <c r="B127" s="37">
        <v>306.5967278763186</v>
      </c>
      <c r="C127" s="37">
        <v>249.06311817977937</v>
      </c>
      <c r="D127" s="37">
        <v>191.52950848324014</v>
      </c>
      <c r="E127" s="37">
        <v>88.799271342853402</v>
      </c>
      <c r="F127" s="37">
        <v>148.52523240669063</v>
      </c>
      <c r="G127" s="37">
        <v>227.56098014150461</v>
      </c>
      <c r="H127" s="37">
        <v>140.16438991304676</v>
      </c>
    </row>
    <row r="128" spans="1:8" x14ac:dyDescent="0.2">
      <c r="A128" s="281" t="s">
        <v>159</v>
      </c>
      <c r="B128" s="37">
        <v>1308.8134872724734</v>
      </c>
      <c r="C128" s="37">
        <v>1063.211499398677</v>
      </c>
      <c r="D128" s="37">
        <v>817.60951152488087</v>
      </c>
      <c r="E128" s="37">
        <v>379.07009117052291</v>
      </c>
      <c r="F128" s="37">
        <v>634.0311499312553</v>
      </c>
      <c r="G128" s="37">
        <v>971.42231860186439</v>
      </c>
      <c r="H128" s="37">
        <v>598.33980134770195</v>
      </c>
    </row>
    <row r="129" spans="1:8" x14ac:dyDescent="0.2">
      <c r="A129" s="281" t="s">
        <v>241</v>
      </c>
      <c r="B129" s="37">
        <v>1188.7870051314462</v>
      </c>
      <c r="C129" s="37">
        <v>965.70811255793546</v>
      </c>
      <c r="D129" s="37">
        <v>742.62921998442471</v>
      </c>
      <c r="E129" s="37">
        <v>344.30688656971233</v>
      </c>
      <c r="F129" s="37">
        <v>575.88647301672324</v>
      </c>
      <c r="G129" s="37">
        <v>882.33673907408479</v>
      </c>
      <c r="H129" s="37">
        <v>543.46805327706852</v>
      </c>
    </row>
    <row r="130" spans="1:8" x14ac:dyDescent="0.2">
      <c r="A130" s="281" t="s">
        <v>470</v>
      </c>
      <c r="B130" s="37">
        <v>2100.6777363895549</v>
      </c>
      <c r="C130" s="37">
        <v>1706.4802247499947</v>
      </c>
      <c r="D130" s="37">
        <v>1312.2827131104343</v>
      </c>
      <c r="E130" s="37">
        <v>608.41667640815808</v>
      </c>
      <c r="F130" s="37">
        <v>1017.6355387457627</v>
      </c>
      <c r="G130" s="37">
        <v>1559.1566375676587</v>
      </c>
      <c r="H130" s="37">
        <v>960.34969475929643</v>
      </c>
    </row>
    <row r="131" spans="1:8" x14ac:dyDescent="0.2">
      <c r="A131" s="281" t="s">
        <v>385</v>
      </c>
      <c r="B131" s="37">
        <v>7819.2683120533411</v>
      </c>
      <c r="C131" s="37">
        <v>6351.9612629110725</v>
      </c>
      <c r="D131" s="37">
        <v>4884.6542137688048</v>
      </c>
      <c r="E131" s="37">
        <v>2264.6843289580947</v>
      </c>
      <c r="F131" s="37">
        <v>3787.9039160068437</v>
      </c>
      <c r="G131" s="37">
        <v>5803.5861140300922</v>
      </c>
      <c r="H131" s="37">
        <v>3574.6692713634498</v>
      </c>
    </row>
    <row r="132" spans="1:8" x14ac:dyDescent="0.2">
      <c r="A132" s="281" t="s">
        <v>387</v>
      </c>
      <c r="B132" s="37">
        <v>9169.6460346952099</v>
      </c>
      <c r="C132" s="37">
        <v>7448.9399494532763</v>
      </c>
      <c r="D132" s="37">
        <v>5728.2338642113427</v>
      </c>
      <c r="E132" s="37">
        <v>2655.7942424723096</v>
      </c>
      <c r="F132" s="37">
        <v>4442.0701153523059</v>
      </c>
      <c r="G132" s="37">
        <v>6805.8580750237579</v>
      </c>
      <c r="H132" s="37">
        <v>4192.0140533418262</v>
      </c>
    </row>
    <row r="133" spans="1:8" x14ac:dyDescent="0.2">
      <c r="A133" s="281" t="s">
        <v>433</v>
      </c>
      <c r="B133" s="37">
        <v>461.13200165915185</v>
      </c>
      <c r="C133" s="37">
        <v>374.59937867601411</v>
      </c>
      <c r="D133" s="37">
        <v>288.06675569287637</v>
      </c>
      <c r="E133" s="37">
        <v>133.55707794831318</v>
      </c>
      <c r="F133" s="37">
        <v>223.38716327878626</v>
      </c>
      <c r="G133" s="37">
        <v>342.25958246896903</v>
      </c>
      <c r="H133" s="37">
        <v>210.81191682059477</v>
      </c>
    </row>
    <row r="134" spans="1:8" x14ac:dyDescent="0.2">
      <c r="A134" s="281" t="s">
        <v>472</v>
      </c>
      <c r="B134" s="37">
        <v>5695.8357909228016</v>
      </c>
      <c r="C134" s="37">
        <v>4626.9979549488935</v>
      </c>
      <c r="D134" s="37">
        <v>3558.160118974984</v>
      </c>
      <c r="E134" s="37">
        <v>1649.6779297800579</v>
      </c>
      <c r="F134" s="37">
        <v>2759.2451784770665</v>
      </c>
      <c r="G134" s="37">
        <v>4227.5404846999354</v>
      </c>
      <c r="H134" s="37">
        <v>2603.9190243775211</v>
      </c>
    </row>
    <row r="135" spans="1:8" x14ac:dyDescent="0.2">
      <c r="A135" s="281" t="s">
        <v>474</v>
      </c>
      <c r="B135" s="37">
        <v>10111.516872881428</v>
      </c>
      <c r="C135" s="37">
        <v>8214.0664254755247</v>
      </c>
      <c r="D135" s="37">
        <v>6316.6159780696216</v>
      </c>
      <c r="E135" s="37">
        <v>2928.5862612769411</v>
      </c>
      <c r="F135" s="37">
        <v>4898.3425961941975</v>
      </c>
      <c r="G135" s="37">
        <v>7504.9297345378127</v>
      </c>
      <c r="H135" s="37">
        <v>4622.6011196732816</v>
      </c>
    </row>
    <row r="136" spans="1:8" x14ac:dyDescent="0.2">
      <c r="A136" s="281" t="s">
        <v>289</v>
      </c>
      <c r="B136" s="37">
        <v>3536.6434358018037</v>
      </c>
      <c r="C136" s="37">
        <v>2872.9835309452119</v>
      </c>
      <c r="D136" s="37">
        <v>2209.3236260886197</v>
      </c>
      <c r="E136" s="37">
        <v>1024.31371304205</v>
      </c>
      <c r="F136" s="37">
        <v>1713.2637295990135</v>
      </c>
      <c r="G136" s="37">
        <v>2624.9535827004083</v>
      </c>
      <c r="H136" s="37">
        <v>1616.8186695653349</v>
      </c>
    </row>
    <row r="137" spans="1:8" x14ac:dyDescent="0.2">
      <c r="A137" s="281" t="s">
        <v>291</v>
      </c>
      <c r="B137" s="37">
        <v>1371.9918485869891</v>
      </c>
      <c r="C137" s="37">
        <v>1114.53406983994</v>
      </c>
      <c r="D137" s="37">
        <v>857.07629109289064</v>
      </c>
      <c r="E137" s="37">
        <v>397.36830708795856</v>
      </c>
      <c r="F137" s="37">
        <v>664.63674701697767</v>
      </c>
      <c r="G137" s="37">
        <v>1018.3142978019835</v>
      </c>
      <c r="H137" s="37">
        <v>627.2222990904246</v>
      </c>
    </row>
    <row r="138" spans="1:8" x14ac:dyDescent="0.2">
      <c r="A138" s="281" t="s">
        <v>243</v>
      </c>
      <c r="B138" s="37">
        <v>1771.0879324722957</v>
      </c>
      <c r="C138" s="37">
        <v>1438.7387028614744</v>
      </c>
      <c r="D138" s="37">
        <v>1106.3894732506531</v>
      </c>
      <c r="E138" s="37">
        <v>512.95797265057638</v>
      </c>
      <c r="F138" s="37">
        <v>857.97148219167741</v>
      </c>
      <c r="G138" s="37">
        <v>1314.5297073319866</v>
      </c>
      <c r="H138" s="37">
        <v>809.67372295061477</v>
      </c>
    </row>
    <row r="139" spans="1:8" x14ac:dyDescent="0.2">
      <c r="A139" s="281" t="s">
        <v>245</v>
      </c>
      <c r="B139" s="37">
        <v>1703.507793009253</v>
      </c>
      <c r="C139" s="37">
        <v>1383.8401704204271</v>
      </c>
      <c r="D139" s="37">
        <v>1064.1725478316014</v>
      </c>
      <c r="E139" s="37">
        <v>493.38478596023964</v>
      </c>
      <c r="F139" s="37">
        <v>825.23366594357913</v>
      </c>
      <c r="G139" s="37">
        <v>1264.370729476416</v>
      </c>
      <c r="H139" s="37">
        <v>778.77866689592054</v>
      </c>
    </row>
    <row r="140" spans="1:8" x14ac:dyDescent="0.2">
      <c r="A140" s="281" t="s">
        <v>476</v>
      </c>
      <c r="B140" s="37">
        <v>1221.3610800743672</v>
      </c>
      <c r="C140" s="37">
        <v>992.16953551538654</v>
      </c>
      <c r="D140" s="37">
        <v>762.97799095640585</v>
      </c>
      <c r="E140" s="37">
        <v>353.74130062900628</v>
      </c>
      <c r="F140" s="37">
        <v>591.66638246775153</v>
      </c>
      <c r="G140" s="37">
        <v>906.51373127105944</v>
      </c>
      <c r="H140" s="37">
        <v>558.35964579270603</v>
      </c>
    </row>
    <row r="141" spans="1:8" x14ac:dyDescent="0.2">
      <c r="A141" s="281" t="s">
        <v>478</v>
      </c>
      <c r="B141" s="37">
        <v>5695.8357909228016</v>
      </c>
      <c r="C141" s="37">
        <v>4626.9979549488935</v>
      </c>
      <c r="D141" s="37">
        <v>3558.160118974984</v>
      </c>
      <c r="E141" s="37">
        <v>1649.6779297800579</v>
      </c>
      <c r="F141" s="37">
        <v>2759.2451784770665</v>
      </c>
      <c r="G141" s="37">
        <v>4227.5404846999354</v>
      </c>
      <c r="H141" s="37">
        <v>2603.9190243775211</v>
      </c>
    </row>
    <row r="142" spans="1:8" x14ac:dyDescent="0.2">
      <c r="A142" s="281" t="s">
        <v>480</v>
      </c>
      <c r="B142" s="37">
        <v>1089.0141011135684</v>
      </c>
      <c r="C142" s="37">
        <v>884.65787977778086</v>
      </c>
      <c r="D142" s="37">
        <v>680.30165844199337</v>
      </c>
      <c r="E142" s="37">
        <v>315.40985875315499</v>
      </c>
      <c r="F142" s="37">
        <v>527.55328378640354</v>
      </c>
      <c r="G142" s="37">
        <v>808.28369244998589</v>
      </c>
      <c r="H142" s="37">
        <v>497.85575859757421</v>
      </c>
    </row>
    <row r="143" spans="1:8" x14ac:dyDescent="0.2">
      <c r="A143" s="281" t="s">
        <v>389</v>
      </c>
      <c r="B143" s="37">
        <v>1892.6959367541442</v>
      </c>
      <c r="C143" s="37">
        <v>1537.5267630114404</v>
      </c>
      <c r="D143" s="37">
        <v>1182.3575892687363</v>
      </c>
      <c r="E143" s="37">
        <v>548.17900076553497</v>
      </c>
      <c r="F143" s="37">
        <v>916.88228229069523</v>
      </c>
      <c r="G143" s="37">
        <v>1404.7891095224197</v>
      </c>
      <c r="H143" s="37">
        <v>865.26829501713564</v>
      </c>
    </row>
    <row r="144" spans="1:8" x14ac:dyDescent="0.2">
      <c r="A144" s="281" t="s">
        <v>435</v>
      </c>
      <c r="B144" s="37">
        <v>1443.2014065337839</v>
      </c>
      <c r="C144" s="37">
        <v>1172.3809040092362</v>
      </c>
      <c r="D144" s="37">
        <v>901.56040148468821</v>
      </c>
      <c r="E144" s="37">
        <v>417.99261375800216</v>
      </c>
      <c r="F144" s="37">
        <v>699.13278037660177</v>
      </c>
      <c r="G144" s="37">
        <v>1071.1670934551928</v>
      </c>
      <c r="H144" s="37">
        <v>659.77650762134522</v>
      </c>
    </row>
    <row r="145" spans="1:8" x14ac:dyDescent="0.2">
      <c r="A145" s="281" t="s">
        <v>391</v>
      </c>
      <c r="B145" s="37">
        <v>4702.6090173093862</v>
      </c>
      <c r="C145" s="37">
        <v>3820.1522498524496</v>
      </c>
      <c r="D145" s="37">
        <v>2937.695482395513</v>
      </c>
      <c r="E145" s="37">
        <v>1362.011187107945</v>
      </c>
      <c r="F145" s="37">
        <v>2278.0940997399698</v>
      </c>
      <c r="G145" s="37">
        <v>3490.3515585246778</v>
      </c>
      <c r="H145" s="37">
        <v>2149.8533347517291</v>
      </c>
    </row>
    <row r="146" spans="1:8" x14ac:dyDescent="0.2">
      <c r="A146" s="281" t="s">
        <v>247</v>
      </c>
      <c r="B146" s="37">
        <v>732.60587904308738</v>
      </c>
      <c r="C146" s="37">
        <v>595.13053920423033</v>
      </c>
      <c r="D146" s="37">
        <v>457.65519936537333</v>
      </c>
      <c r="E146" s="37">
        <v>212.18381452977621</v>
      </c>
      <c r="F146" s="37">
        <v>354.89776803466737</v>
      </c>
      <c r="G146" s="37">
        <v>543.75182353887737</v>
      </c>
      <c r="H146" s="37">
        <v>334.91950694757475</v>
      </c>
    </row>
    <row r="147" spans="1:8" x14ac:dyDescent="0.2">
      <c r="A147" s="281" t="s">
        <v>295</v>
      </c>
      <c r="B147" s="37">
        <v>8101.9633998315057</v>
      </c>
      <c r="C147" s="37">
        <v>6581.6081860293989</v>
      </c>
      <c r="D147" s="37">
        <v>5061.252972227292</v>
      </c>
      <c r="E147" s="37">
        <v>2346.5604708461842</v>
      </c>
      <c r="F147" s="37">
        <v>3924.8502042600021</v>
      </c>
      <c r="G147" s="37">
        <v>6013.4068020457544</v>
      </c>
      <c r="H147" s="37">
        <v>3703.9067215367381</v>
      </c>
    </row>
    <row r="148" spans="1:8" x14ac:dyDescent="0.2">
      <c r="A148" s="281" t="s">
        <v>393</v>
      </c>
      <c r="B148" s="37">
        <v>1480.1033487025513</v>
      </c>
      <c r="C148" s="37">
        <v>1202.3582024965513</v>
      </c>
      <c r="D148" s="37">
        <v>924.61305629055096</v>
      </c>
      <c r="E148" s="37">
        <v>428.6804700068418</v>
      </c>
      <c r="F148" s="37">
        <v>717.00951862278566</v>
      </c>
      <c r="G148" s="37">
        <v>1098.5564336626685</v>
      </c>
      <c r="H148" s="37">
        <v>676.64676314869644</v>
      </c>
    </row>
    <row r="149" spans="1:8" x14ac:dyDescent="0.2">
      <c r="A149" s="281" t="s">
        <v>395</v>
      </c>
      <c r="B149" s="37">
        <v>2310.556482778984</v>
      </c>
      <c r="C149" s="37">
        <v>1876.9746144205278</v>
      </c>
      <c r="D149" s="37">
        <v>1443.3927460620719</v>
      </c>
      <c r="E149" s="37">
        <v>669.20359148263356</v>
      </c>
      <c r="F149" s="37">
        <v>1119.3075026967442</v>
      </c>
      <c r="G149" s="37">
        <v>1714.9319927378642</v>
      </c>
      <c r="H149" s="37">
        <v>1056.2981687723527</v>
      </c>
    </row>
    <row r="150" spans="1:8" x14ac:dyDescent="0.2">
      <c r="A150" s="281" t="s">
        <v>161</v>
      </c>
      <c r="B150" s="37">
        <v>485.32535950142994</v>
      </c>
      <c r="C150" s="37">
        <v>394.25282613127183</v>
      </c>
      <c r="D150" s="37">
        <v>303.18029276111378</v>
      </c>
      <c r="E150" s="37">
        <v>140.56420065737152</v>
      </c>
      <c r="F150" s="37">
        <v>235.10714472732332</v>
      </c>
      <c r="G150" s="37">
        <v>360.21625211437663</v>
      </c>
      <c r="H150" s="37">
        <v>221.87224670924263</v>
      </c>
    </row>
    <row r="151" spans="1:8" x14ac:dyDescent="0.2">
      <c r="A151" s="281" t="s">
        <v>297</v>
      </c>
      <c r="B151" s="37">
        <v>3522.9128767916127</v>
      </c>
      <c r="C151" s="37">
        <v>2861.8300391775019</v>
      </c>
      <c r="D151" s="37">
        <v>2200.7472015633907</v>
      </c>
      <c r="E151" s="37">
        <v>1020.3374289434277</v>
      </c>
      <c r="F151" s="37">
        <v>1706.6113592646225</v>
      </c>
      <c r="G151" s="37">
        <v>2614.7621180281176</v>
      </c>
      <c r="H151" s="37">
        <v>1610.5423152534092</v>
      </c>
    </row>
    <row r="152" spans="1:8" x14ac:dyDescent="0.2">
      <c r="A152" s="281" t="s">
        <v>299</v>
      </c>
      <c r="B152" s="37">
        <v>541.83000000000004</v>
      </c>
      <c r="C152" s="37">
        <v>440.15</v>
      </c>
      <c r="D152" s="37">
        <v>338.48</v>
      </c>
      <c r="E152" s="37">
        <v>156.93</v>
      </c>
      <c r="F152" s="37">
        <v>262.48</v>
      </c>
      <c r="G152" s="37">
        <v>402.16</v>
      </c>
      <c r="H152" s="37">
        <v>247.7</v>
      </c>
    </row>
    <row r="153" spans="1:8" x14ac:dyDescent="0.2">
      <c r="A153" s="281" t="s">
        <v>163</v>
      </c>
      <c r="B153" s="37">
        <v>602.22850954608987</v>
      </c>
      <c r="C153" s="37">
        <v>489.21879286425758</v>
      </c>
      <c r="D153" s="37">
        <v>376.20907618242524</v>
      </c>
      <c r="E153" s="37">
        <v>174.42265268664664</v>
      </c>
      <c r="F153" s="37">
        <v>291.73877063241611</v>
      </c>
      <c r="G153" s="37">
        <v>446.98364008925296</v>
      </c>
      <c r="H153" s="37">
        <v>275.31586443453591</v>
      </c>
    </row>
    <row r="154" spans="1:8" x14ac:dyDescent="0.2">
      <c r="A154" s="281" t="s">
        <v>482</v>
      </c>
      <c r="B154" s="37">
        <v>11612.006085285311</v>
      </c>
      <c r="C154" s="37">
        <v>9432.9842429783948</v>
      </c>
      <c r="D154" s="37">
        <v>7253.9624006714794</v>
      </c>
      <c r="E154" s="37">
        <v>3363.1710753193397</v>
      </c>
      <c r="F154" s="37">
        <v>5625.2253659541539</v>
      </c>
      <c r="G154" s="37">
        <v>8618.615725619733</v>
      </c>
      <c r="H154" s="37">
        <v>5308.5667379954093</v>
      </c>
    </row>
    <row r="155" spans="1:8" x14ac:dyDescent="0.2">
      <c r="A155" s="281" t="s">
        <v>484</v>
      </c>
      <c r="B155" s="37">
        <v>1159.0206387828975</v>
      </c>
      <c r="C155" s="37">
        <v>941.52748210437744</v>
      </c>
      <c r="D155" s="37">
        <v>724.03432542585745</v>
      </c>
      <c r="E155" s="37">
        <v>335.68568575121401</v>
      </c>
      <c r="F155" s="37">
        <v>561.4667899260271</v>
      </c>
      <c r="G155" s="37">
        <v>860.24371435446233</v>
      </c>
      <c r="H155" s="37">
        <v>529.86000558853573</v>
      </c>
    </row>
    <row r="156" spans="1:8" x14ac:dyDescent="0.2">
      <c r="A156" s="281" t="s">
        <v>165</v>
      </c>
      <c r="B156" s="37">
        <v>823.58543638137792</v>
      </c>
      <c r="C156" s="37">
        <v>669.03745837439396</v>
      </c>
      <c r="D156" s="37">
        <v>514.48948036741012</v>
      </c>
      <c r="E156" s="37">
        <v>238.53391660916475</v>
      </c>
      <c r="F156" s="37">
        <v>398.97117496795391</v>
      </c>
      <c r="G156" s="37">
        <v>611.27830567466594</v>
      </c>
      <c r="H156" s="37">
        <v>376.51169848828744</v>
      </c>
    </row>
    <row r="157" spans="1:8" x14ac:dyDescent="0.2">
      <c r="A157" s="281" t="s">
        <v>249</v>
      </c>
      <c r="B157" s="37">
        <v>956.97761462449751</v>
      </c>
      <c r="C157" s="37">
        <v>777.39829157946019</v>
      </c>
      <c r="D157" s="37">
        <v>597.81896853442277</v>
      </c>
      <c r="E157" s="37">
        <v>277.168191736604</v>
      </c>
      <c r="F157" s="37">
        <v>463.59052658303779</v>
      </c>
      <c r="G157" s="37">
        <v>710.28407060376765</v>
      </c>
      <c r="H157" s="37">
        <v>437.49358013551341</v>
      </c>
    </row>
    <row r="158" spans="1:8" x14ac:dyDescent="0.2">
      <c r="A158" s="281" t="s">
        <v>397</v>
      </c>
      <c r="B158" s="37">
        <v>7354.2583569944645</v>
      </c>
      <c r="C158" s="37">
        <v>5974.2145894216201</v>
      </c>
      <c r="D158" s="37">
        <v>4594.1708218487756</v>
      </c>
      <c r="E158" s="37">
        <v>2130.005457930507</v>
      </c>
      <c r="F158" s="37">
        <v>3562.6403573467924</v>
      </c>
      <c r="G158" s="37">
        <v>5458.449357170628</v>
      </c>
      <c r="H158" s="37">
        <v>3362.0881398896413</v>
      </c>
    </row>
    <row r="159" spans="1:8" x14ac:dyDescent="0.2">
      <c r="A159" s="281" t="s">
        <v>301</v>
      </c>
      <c r="B159" s="37">
        <v>1443.2014065337839</v>
      </c>
      <c r="C159" s="37">
        <v>1172.3809040092362</v>
      </c>
      <c r="D159" s="37">
        <v>901.56040148468821</v>
      </c>
      <c r="E159" s="37">
        <v>417.99261375800216</v>
      </c>
      <c r="F159" s="37">
        <v>699.13278037660177</v>
      </c>
      <c r="G159" s="37">
        <v>1071.1670934551928</v>
      </c>
      <c r="H159" s="37">
        <v>659.77650762134522</v>
      </c>
    </row>
    <row r="160" spans="1:8" x14ac:dyDescent="0.2">
      <c r="A160" s="281" t="s">
        <v>399</v>
      </c>
      <c r="B160" s="37">
        <v>1281.4943025259679</v>
      </c>
      <c r="C160" s="37">
        <v>1041.018681978722</v>
      </c>
      <c r="D160" s="37">
        <v>800.54306143147619</v>
      </c>
      <c r="E160" s="37">
        <v>371.15760476607545</v>
      </c>
      <c r="F160" s="37">
        <v>620.79687068051453</v>
      </c>
      <c r="G160" s="37">
        <v>951.14558660324121</v>
      </c>
      <c r="H160" s="37">
        <v>585.85033309877576</v>
      </c>
    </row>
    <row r="161" spans="1:8" x14ac:dyDescent="0.2">
      <c r="A161" s="281" t="s">
        <v>167</v>
      </c>
      <c r="B161" s="37">
        <v>1443.2014065337839</v>
      </c>
      <c r="C161" s="37">
        <v>1172.3809040092362</v>
      </c>
      <c r="D161" s="37">
        <v>901.56040148468821</v>
      </c>
      <c r="E161" s="37">
        <v>417.99261375800216</v>
      </c>
      <c r="F161" s="37">
        <v>699.13278037660177</v>
      </c>
      <c r="G161" s="37">
        <v>1071.1670934551928</v>
      </c>
      <c r="H161" s="37">
        <v>659.77650762134522</v>
      </c>
    </row>
    <row r="162" spans="1:8" x14ac:dyDescent="0.2">
      <c r="A162" s="281" t="s">
        <v>169</v>
      </c>
      <c r="B162" s="37">
        <v>1139.2355260848708</v>
      </c>
      <c r="C162" s="37">
        <v>925.45514362259473</v>
      </c>
      <c r="D162" s="37">
        <v>711.67476116031867</v>
      </c>
      <c r="E162" s="37">
        <v>329.95534607041515</v>
      </c>
      <c r="F162" s="37">
        <v>551.88223463283862</v>
      </c>
      <c r="G162" s="37">
        <v>845.55888035885471</v>
      </c>
      <c r="H162" s="37">
        <v>520.81505361536688</v>
      </c>
    </row>
    <row r="163" spans="1:8" x14ac:dyDescent="0.2">
      <c r="A163" s="281" t="s">
        <v>251</v>
      </c>
      <c r="B163" s="37">
        <v>2718.9337734952683</v>
      </c>
      <c r="C163" s="37">
        <v>2208.7191002683999</v>
      </c>
      <c r="D163" s="37">
        <v>1698.5044270415312</v>
      </c>
      <c r="E163" s="37">
        <v>787.48165606207988</v>
      </c>
      <c r="F163" s="37">
        <v>1317.1387034556674</v>
      </c>
      <c r="G163" s="37">
        <v>2018.0362384754678</v>
      </c>
      <c r="H163" s="37">
        <v>1242.9930415518056</v>
      </c>
    </row>
    <row r="164" spans="1:8" x14ac:dyDescent="0.2">
      <c r="A164" s="281" t="s">
        <v>401</v>
      </c>
      <c r="B164" s="37">
        <v>1759.3028955852103</v>
      </c>
      <c r="C164" s="37">
        <v>1429.165135438323</v>
      </c>
      <c r="D164" s="37">
        <v>1099.0273752914354</v>
      </c>
      <c r="E164" s="37">
        <v>509.54459700813703</v>
      </c>
      <c r="F164" s="37">
        <v>852.26252478936567</v>
      </c>
      <c r="G164" s="37">
        <v>1305.7827101872881</v>
      </c>
      <c r="H164" s="37">
        <v>804.28598614978625</v>
      </c>
    </row>
    <row r="165" spans="1:8" x14ac:dyDescent="0.2">
      <c r="A165" s="281" t="s">
        <v>403</v>
      </c>
      <c r="B165" s="37">
        <v>4366.5787052315363</v>
      </c>
      <c r="C165" s="37">
        <v>3547.1791671104493</v>
      </c>
      <c r="D165" s="37">
        <v>2727.7796289893627</v>
      </c>
      <c r="E165" s="37">
        <v>1264.685982444078</v>
      </c>
      <c r="F165" s="37">
        <v>2115.3093747118346</v>
      </c>
      <c r="G165" s="37">
        <v>3240.9440399716855</v>
      </c>
      <c r="H165" s="37">
        <v>1996.2328057167203</v>
      </c>
    </row>
    <row r="166" spans="1:8" x14ac:dyDescent="0.2">
      <c r="A166" s="281" t="s">
        <v>405</v>
      </c>
      <c r="B166" s="37">
        <v>7806.8487683329067</v>
      </c>
      <c r="C166" s="37">
        <v>6341.8724831750533</v>
      </c>
      <c r="D166" s="37">
        <v>4876.8961980171998</v>
      </c>
      <c r="E166" s="37">
        <v>2261.0871563138821</v>
      </c>
      <c r="F166" s="37">
        <v>3781.8869958738119</v>
      </c>
      <c r="G166" s="37">
        <v>5794.3678821033591</v>
      </c>
      <c r="H166" s="37">
        <v>3568.9916771655408</v>
      </c>
    </row>
    <row r="167" spans="1:8" x14ac:dyDescent="0.2">
      <c r="A167" s="281" t="s">
        <v>171</v>
      </c>
      <c r="B167" s="37">
        <v>1620.4761220192688</v>
      </c>
      <c r="C167" s="37">
        <v>1316.3895159164115</v>
      </c>
      <c r="D167" s="37">
        <v>1012.3029098135543</v>
      </c>
      <c r="E167" s="37">
        <v>469.33639884081526</v>
      </c>
      <c r="F167" s="37">
        <v>785.01033782113825</v>
      </c>
      <c r="G167" s="37">
        <v>1202.7432299202035</v>
      </c>
      <c r="H167" s="37">
        <v>740.81965432718471</v>
      </c>
    </row>
    <row r="168" spans="1:8" x14ac:dyDescent="0.2">
      <c r="A168" s="281" t="s">
        <v>173</v>
      </c>
      <c r="B168" s="37">
        <v>4035.8898198235697</v>
      </c>
      <c r="C168" s="37">
        <v>3278.5448059582518</v>
      </c>
      <c r="D168" s="37">
        <v>2521.1997920929339</v>
      </c>
      <c r="E168" s="37">
        <v>1168.9098103539516</v>
      </c>
      <c r="F168" s="37">
        <v>1955.1140329076673</v>
      </c>
      <c r="G168" s="37">
        <v>2995.5019263656186</v>
      </c>
      <c r="H168" s="37">
        <v>1845.0548012234426</v>
      </c>
    </row>
    <row r="169" spans="1:8" x14ac:dyDescent="0.2">
      <c r="A169" s="281" t="s">
        <v>303</v>
      </c>
      <c r="B169" s="37">
        <v>1443.2014065337839</v>
      </c>
      <c r="C169" s="37">
        <v>1172.3809040092362</v>
      </c>
      <c r="D169" s="37">
        <v>901.56040148468821</v>
      </c>
      <c r="E169" s="37">
        <v>417.99261375800216</v>
      </c>
      <c r="F169" s="37">
        <v>699.13278037660177</v>
      </c>
      <c r="G169" s="37">
        <v>1071.1670934551928</v>
      </c>
      <c r="H169" s="37">
        <v>659.77650762134522</v>
      </c>
    </row>
    <row r="170" spans="1:8" x14ac:dyDescent="0.2">
      <c r="A170" s="281" t="s">
        <v>175</v>
      </c>
      <c r="B170" s="37">
        <v>413.72418396677085</v>
      </c>
      <c r="C170" s="37">
        <v>336.08779740115233</v>
      </c>
      <c r="D170" s="37">
        <v>258.45141083553375</v>
      </c>
      <c r="E170" s="37">
        <v>119.82645818133734</v>
      </c>
      <c r="F170" s="37">
        <v>200.42119648703374</v>
      </c>
      <c r="G170" s="37">
        <v>307.0726902269023</v>
      </c>
      <c r="H170" s="37">
        <v>189.13893450843554</v>
      </c>
    </row>
    <row r="171" spans="1:8" x14ac:dyDescent="0.2">
      <c r="A171" s="281" t="s">
        <v>177</v>
      </c>
      <c r="B171" s="37">
        <v>424.15008149188753</v>
      </c>
      <c r="C171" s="37">
        <v>344.55721993218185</v>
      </c>
      <c r="D171" s="37">
        <v>264.96435837247617</v>
      </c>
      <c r="E171" s="37">
        <v>122.84600743343562</v>
      </c>
      <c r="F171" s="37">
        <v>205.4718735399988</v>
      </c>
      <c r="G171" s="37">
        <v>314.81097751594314</v>
      </c>
      <c r="H171" s="37">
        <v>193.90518290295589</v>
      </c>
    </row>
    <row r="172" spans="1:8" x14ac:dyDescent="0.2">
      <c r="A172" s="281" t="s">
        <v>437</v>
      </c>
      <c r="B172" s="37">
        <v>780.08395166225671</v>
      </c>
      <c r="C172" s="37">
        <v>633.69919273673145</v>
      </c>
      <c r="D172" s="37">
        <v>487.31443381120619</v>
      </c>
      <c r="E172" s="37">
        <v>225.93479225951211</v>
      </c>
      <c r="F172" s="37">
        <v>377.89763869105838</v>
      </c>
      <c r="G172" s="37">
        <v>578.99079517665757</v>
      </c>
      <c r="H172" s="37">
        <v>356.62461303535918</v>
      </c>
    </row>
    <row r="173" spans="1:8" x14ac:dyDescent="0.2">
      <c r="A173" s="281" t="s">
        <v>407</v>
      </c>
      <c r="B173" s="37">
        <v>482.96912211153978</v>
      </c>
      <c r="C173" s="37">
        <v>392.3387000610046</v>
      </c>
      <c r="D173" s="37">
        <v>301.70827801046937</v>
      </c>
      <c r="E173" s="37">
        <v>139.8817358072879</v>
      </c>
      <c r="F173" s="37">
        <v>233.9657287558592</v>
      </c>
      <c r="G173" s="37">
        <v>358.46742543369947</v>
      </c>
      <c r="H173" s="37">
        <v>220.79500690887863</v>
      </c>
    </row>
    <row r="174" spans="1:8" x14ac:dyDescent="0.2">
      <c r="A174" s="281" t="s">
        <v>409</v>
      </c>
      <c r="B174" s="37">
        <v>1487.6525038707721</v>
      </c>
      <c r="C174" s="37">
        <v>1208.4908304532707</v>
      </c>
      <c r="D174" s="37">
        <v>929.32915703576941</v>
      </c>
      <c r="E174" s="37">
        <v>430.86706619988064</v>
      </c>
      <c r="F174" s="37">
        <v>720.66659164064936</v>
      </c>
      <c r="G174" s="37">
        <v>1104.1595477557107</v>
      </c>
      <c r="H174" s="37">
        <v>680.098111617825</v>
      </c>
    </row>
    <row r="175" spans="1:8" x14ac:dyDescent="0.2">
      <c r="A175" s="281" t="s">
        <v>439</v>
      </c>
      <c r="B175" s="37">
        <v>258.86826554303417</v>
      </c>
      <c r="C175" s="37">
        <v>210.29097739380626</v>
      </c>
      <c r="D175" s="37">
        <v>161.71368924457838</v>
      </c>
      <c r="E175" s="37">
        <v>74.975729565247988</v>
      </c>
      <c r="F175" s="37">
        <v>125.40411202935077</v>
      </c>
      <c r="G175" s="37">
        <v>192.13618878619246</v>
      </c>
      <c r="H175" s="37">
        <v>118.34470940491317</v>
      </c>
    </row>
    <row r="176" spans="1:8" x14ac:dyDescent="0.2">
      <c r="A176" s="281" t="s">
        <v>486</v>
      </c>
      <c r="B176" s="37">
        <v>1699.3273220626636</v>
      </c>
      <c r="C176" s="37">
        <v>1380.4443063894437</v>
      </c>
      <c r="D176" s="37">
        <v>1061.5612907162238</v>
      </c>
      <c r="E176" s="37">
        <v>492.17421312532667</v>
      </c>
      <c r="F176" s="37">
        <v>823.20867251172569</v>
      </c>
      <c r="G176" s="37">
        <v>1261.2679972871947</v>
      </c>
      <c r="H176" s="37">
        <v>776.86775192077516</v>
      </c>
    </row>
    <row r="177" spans="1:8" x14ac:dyDescent="0.2">
      <c r="A177" s="281" t="s">
        <v>253</v>
      </c>
      <c r="B177" s="37">
        <v>2475.0021643929317</v>
      </c>
      <c r="C177" s="37">
        <v>2010.5615337152021</v>
      </c>
      <c r="D177" s="37">
        <v>1546.1209030374728</v>
      </c>
      <c r="E177" s="37">
        <v>716.83189294938052</v>
      </c>
      <c r="F177" s="37">
        <v>1198.9705087253319</v>
      </c>
      <c r="G177" s="37">
        <v>1836.9863365591318</v>
      </c>
      <c r="H177" s="37">
        <v>1131.4763979934266</v>
      </c>
    </row>
    <row r="178" spans="1:8" x14ac:dyDescent="0.2">
      <c r="A178" s="281" t="s">
        <v>305</v>
      </c>
      <c r="B178" s="37">
        <v>2194.4915772861509</v>
      </c>
      <c r="C178" s="37">
        <v>1782.6895228808862</v>
      </c>
      <c r="D178" s="37">
        <v>1370.8874684756213</v>
      </c>
      <c r="E178" s="37">
        <v>635.58783093308375</v>
      </c>
      <c r="F178" s="37">
        <v>1063.0818681838612</v>
      </c>
      <c r="G178" s="37">
        <v>1628.7867227350062</v>
      </c>
      <c r="H178" s="37">
        <v>1003.2376497043525</v>
      </c>
    </row>
    <row r="179" spans="1:8" x14ac:dyDescent="0.2">
      <c r="A179" s="281" t="s">
        <v>411</v>
      </c>
      <c r="B179" s="37">
        <v>1586.8062095787627</v>
      </c>
      <c r="C179" s="37">
        <v>1289.0379814827752</v>
      </c>
      <c r="D179" s="37">
        <v>991.26975338678744</v>
      </c>
      <c r="E179" s="37">
        <v>459.58478814748065</v>
      </c>
      <c r="F179" s="37">
        <v>768.69964999156116</v>
      </c>
      <c r="G179" s="37">
        <v>1177.752929785162</v>
      </c>
      <c r="H179" s="37">
        <v>725.42727076713402</v>
      </c>
    </row>
    <row r="180" spans="1:8" x14ac:dyDescent="0.2">
      <c r="A180" s="281" t="s">
        <v>488</v>
      </c>
      <c r="B180" s="37">
        <v>2100.6777363895549</v>
      </c>
      <c r="C180" s="37">
        <v>1706.4802247499947</v>
      </c>
      <c r="D180" s="37">
        <v>1312.2827131104343</v>
      </c>
      <c r="E180" s="37">
        <v>608.41667640815808</v>
      </c>
      <c r="F180" s="37">
        <v>1017.6355387457627</v>
      </c>
      <c r="G180" s="37">
        <v>1559.1566375676587</v>
      </c>
      <c r="H180" s="37">
        <v>960.34969475929643</v>
      </c>
    </row>
    <row r="181" spans="1:8" x14ac:dyDescent="0.2">
      <c r="A181" s="281" t="s">
        <v>179</v>
      </c>
      <c r="B181" s="37">
        <v>733.56925388653258</v>
      </c>
      <c r="C181" s="37">
        <v>595.91317738854525</v>
      </c>
      <c r="D181" s="37">
        <v>458.25710089055792</v>
      </c>
      <c r="E181" s="37">
        <v>212.46284660992893</v>
      </c>
      <c r="F181" s="37">
        <v>355.36443702594329</v>
      </c>
      <c r="G181" s="37">
        <v>544.46684545623793</v>
      </c>
      <c r="H181" s="37">
        <v>335.3599737502434</v>
      </c>
    </row>
    <row r="182" spans="1:8" x14ac:dyDescent="0.2">
      <c r="A182" s="281" t="s">
        <v>181</v>
      </c>
      <c r="B182" s="37">
        <v>648.70130897407034</v>
      </c>
      <c r="C182" s="37">
        <v>526.97089774602091</v>
      </c>
      <c r="D182" s="37">
        <v>405.24048651797153</v>
      </c>
      <c r="E182" s="37">
        <v>187.88255276002883</v>
      </c>
      <c r="F182" s="37">
        <v>314.25166693487517</v>
      </c>
      <c r="G182" s="37">
        <v>481.47648795447276</v>
      </c>
      <c r="H182" s="37">
        <v>296.56151963900015</v>
      </c>
    </row>
    <row r="183" spans="1:8" x14ac:dyDescent="0.2">
      <c r="A183" s="281" t="s">
        <v>413</v>
      </c>
      <c r="B183" s="37">
        <v>2574.1242145381825</v>
      </c>
      <c r="C183" s="37">
        <v>2091.0833079734707</v>
      </c>
      <c r="D183" s="37">
        <v>1608.0424014087591</v>
      </c>
      <c r="E183" s="37">
        <v>745.54022207416631</v>
      </c>
      <c r="F183" s="37">
        <v>1246.9881909559601</v>
      </c>
      <c r="G183" s="37">
        <v>1910.5562027470714</v>
      </c>
      <c r="H183" s="37">
        <v>1176.7913117414628</v>
      </c>
    </row>
    <row r="184" spans="1:8" x14ac:dyDescent="0.2">
      <c r="A184" s="281" t="s">
        <v>255</v>
      </c>
      <c r="B184" s="37">
        <v>2056.6238676995199</v>
      </c>
      <c r="C184" s="37">
        <v>1670.6930968811805</v>
      </c>
      <c r="D184" s="37">
        <v>1284.7623260628411</v>
      </c>
      <c r="E184" s="37">
        <v>595.65741818314609</v>
      </c>
      <c r="F184" s="37">
        <v>996.2944991597185</v>
      </c>
      <c r="G184" s="37">
        <v>1526.4591834296193</v>
      </c>
      <c r="H184" s="37">
        <v>940.2098721229936</v>
      </c>
    </row>
    <row r="185" spans="1:8" x14ac:dyDescent="0.2">
      <c r="A185" s="281" t="s">
        <v>257</v>
      </c>
      <c r="B185" s="37">
        <v>8658.3853022997646</v>
      </c>
      <c r="C185" s="37">
        <v>7033.6162691486488</v>
      </c>
      <c r="D185" s="37">
        <v>5408.8472359975331</v>
      </c>
      <c r="E185" s="37">
        <v>2507.7161232869666</v>
      </c>
      <c r="F185" s="37">
        <v>4194.397384114407</v>
      </c>
      <c r="G185" s="37">
        <v>6426.3913432070858</v>
      </c>
      <c r="H185" s="37">
        <v>3958.2816796422499</v>
      </c>
    </row>
    <row r="186" spans="1:8" x14ac:dyDescent="0.2">
      <c r="A186" s="281" t="s">
        <v>415</v>
      </c>
      <c r="B186" s="37">
        <v>1560.6966797696807</v>
      </c>
      <c r="C186" s="37">
        <v>1267.8279009825808</v>
      </c>
      <c r="D186" s="37">
        <v>974.95912219548086</v>
      </c>
      <c r="E186" s="37">
        <v>452.02248684828982</v>
      </c>
      <c r="F186" s="37">
        <v>756.05161369004452</v>
      </c>
      <c r="G186" s="37">
        <v>1158.3741467298626</v>
      </c>
      <c r="H186" s="37">
        <v>713.49080452188537</v>
      </c>
    </row>
    <row r="187" spans="1:8" x14ac:dyDescent="0.2">
      <c r="A187" s="281" t="s">
        <v>259</v>
      </c>
      <c r="B187" s="37">
        <v>2100.6777363895549</v>
      </c>
      <c r="C187" s="37">
        <v>1706.4802247499947</v>
      </c>
      <c r="D187" s="37">
        <v>1312.2827131104343</v>
      </c>
      <c r="E187" s="37">
        <v>608.41667640815808</v>
      </c>
      <c r="F187" s="37">
        <v>1017.6355387457627</v>
      </c>
      <c r="G187" s="37">
        <v>1559.1566375676587</v>
      </c>
      <c r="H187" s="37">
        <v>960.34969475929643</v>
      </c>
    </row>
    <row r="188" spans="1:8" x14ac:dyDescent="0.2">
      <c r="A188" s="281" t="s">
        <v>261</v>
      </c>
      <c r="B188" s="37">
        <v>2100.6777363895549</v>
      </c>
      <c r="C188" s="37">
        <v>1706.4802247499947</v>
      </c>
      <c r="D188" s="37">
        <v>1312.2827131104343</v>
      </c>
      <c r="E188" s="37">
        <v>608.41667640815808</v>
      </c>
      <c r="F188" s="37">
        <v>1017.6355387457627</v>
      </c>
      <c r="G188" s="37">
        <v>1559.1566375676587</v>
      </c>
      <c r="H188" s="37">
        <v>960.34969475929643</v>
      </c>
    </row>
    <row r="189" spans="1:8" x14ac:dyDescent="0.2">
      <c r="A189" s="281" t="s">
        <v>490</v>
      </c>
      <c r="B189" s="37">
        <v>1156.7610636446166</v>
      </c>
      <c r="C189" s="37">
        <v>939.69193239349352</v>
      </c>
      <c r="D189" s="37">
        <v>722.62280114237035</v>
      </c>
      <c r="E189" s="37">
        <v>335.03130074557669</v>
      </c>
      <c r="F189" s="37">
        <v>560.3721146050691</v>
      </c>
      <c r="G189" s="37">
        <v>858.56658912484284</v>
      </c>
      <c r="H189" s="37">
        <v>528.82705094397352</v>
      </c>
    </row>
    <row r="190" spans="1:8" x14ac:dyDescent="0.2">
      <c r="A190" s="281" t="s">
        <v>492</v>
      </c>
      <c r="B190" s="37">
        <v>1403.820156157868</v>
      </c>
      <c r="C190" s="37">
        <v>1140.3898829396271</v>
      </c>
      <c r="D190" s="37">
        <v>876.95960972138607</v>
      </c>
      <c r="E190" s="37">
        <v>406.58666730290975</v>
      </c>
      <c r="F190" s="37">
        <v>680.0553081598199</v>
      </c>
      <c r="G190" s="37">
        <v>1041.937732158844</v>
      </c>
      <c r="H190" s="37">
        <v>641.77313851214785</v>
      </c>
    </row>
    <row r="191" spans="1:8" x14ac:dyDescent="0.2">
      <c r="A191" s="281" t="s">
        <v>494</v>
      </c>
      <c r="B191" s="37">
        <v>1482.4219228739087</v>
      </c>
      <c r="C191" s="37">
        <v>1204.241702785841</v>
      </c>
      <c r="D191" s="37">
        <v>926.06148269777316</v>
      </c>
      <c r="E191" s="37">
        <v>429.35199934759902</v>
      </c>
      <c r="F191" s="37">
        <v>718.13264660717948</v>
      </c>
      <c r="G191" s="37">
        <v>1100.277284740544</v>
      </c>
      <c r="H191" s="37">
        <v>677.70674102268606</v>
      </c>
    </row>
    <row r="192" spans="1:8" x14ac:dyDescent="0.2">
      <c r="A192" s="281" t="s">
        <v>307</v>
      </c>
      <c r="B192" s="37">
        <v>541.83000000000004</v>
      </c>
      <c r="C192" s="37">
        <v>440.15</v>
      </c>
      <c r="D192" s="37">
        <v>338.48</v>
      </c>
      <c r="E192" s="37">
        <v>156.93</v>
      </c>
      <c r="F192" s="37">
        <v>262.48</v>
      </c>
      <c r="G192" s="37">
        <v>402.16</v>
      </c>
      <c r="H192" s="37">
        <v>247.7</v>
      </c>
    </row>
    <row r="193" spans="1:8" x14ac:dyDescent="0.2">
      <c r="A193" s="281" t="s">
        <v>183</v>
      </c>
      <c r="B193" s="37">
        <v>2308.4965611206549</v>
      </c>
      <c r="C193" s="37">
        <v>1875.3011658510172</v>
      </c>
      <c r="D193" s="37">
        <v>1442.1057705813794</v>
      </c>
      <c r="E193" s="37">
        <v>668.6071627278842</v>
      </c>
      <c r="F193" s="37">
        <v>1118.309826303491</v>
      </c>
      <c r="G193" s="37">
        <v>1713.4031937120731</v>
      </c>
      <c r="H193" s="37">
        <v>1055.3564666546317</v>
      </c>
    </row>
    <row r="194" spans="1:8" x14ac:dyDescent="0.2">
      <c r="A194" s="281" t="s">
        <v>185</v>
      </c>
      <c r="B194" s="37">
        <v>1000.7446146782254</v>
      </c>
      <c r="C194" s="37">
        <v>812.9523633642242</v>
      </c>
      <c r="D194" s="37">
        <v>625.16011205022301</v>
      </c>
      <c r="E194" s="37">
        <v>289.84433989897946</v>
      </c>
      <c r="F194" s="37">
        <v>484.7927135887067</v>
      </c>
      <c r="G194" s="37">
        <v>742.76866413346602</v>
      </c>
      <c r="H194" s="37">
        <v>457.50222597460123</v>
      </c>
    </row>
    <row r="195" spans="1:8" x14ac:dyDescent="0.2">
      <c r="A195" s="281" t="s">
        <v>187</v>
      </c>
      <c r="B195" s="37">
        <v>1115.1174929211991</v>
      </c>
      <c r="C195" s="37">
        <v>905.86287761632639</v>
      </c>
      <c r="D195" s="37">
        <v>696.60826231145393</v>
      </c>
      <c r="E195" s="37">
        <v>322.97009531521525</v>
      </c>
      <c r="F195" s="37">
        <v>540.19861860427704</v>
      </c>
      <c r="G195" s="37">
        <v>827.65805576273806</v>
      </c>
      <c r="H195" s="37">
        <v>509.7891788133345</v>
      </c>
    </row>
  </sheetData>
  <pageMargins left="0.7" right="0.7" top="0.75" bottom="0.75" header="0.3" footer="0.3"/>
  <pageSetup paperSize="9" orientation="portrait" horizontalDpi="0" verticalDpi="0" r:id="rId1"/>
  <tableParts count="1">
    <tablePart r:id="rId2"/>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A4526-D469-4DD8-8E67-8EA00F6AF13E}">
  <sheetPr>
    <tabColor rgb="FF7030A0"/>
  </sheetPr>
  <dimension ref="A1:S753"/>
  <sheetViews>
    <sheetView workbookViewId="0"/>
  </sheetViews>
  <sheetFormatPr defaultColWidth="9.140625" defaultRowHeight="12.75" x14ac:dyDescent="0.2"/>
  <cols>
    <col min="1" max="1" width="9.140625" style="299"/>
    <col min="2" max="2" width="15.28515625" style="460" customWidth="1"/>
    <col min="3" max="4" width="15" style="460" customWidth="1"/>
    <col min="5" max="5" width="11.5703125" style="460" customWidth="1"/>
    <col min="6" max="6" width="13.42578125" style="460" customWidth="1"/>
    <col min="7" max="18" width="9.140625" style="299"/>
    <col min="19" max="19" width="31.85546875" style="299" customWidth="1"/>
    <col min="20" max="16384" width="9.140625" style="299"/>
  </cols>
  <sheetData>
    <row r="1" spans="1:19" x14ac:dyDescent="0.2">
      <c r="A1" s="299" t="s">
        <v>4281</v>
      </c>
      <c r="B1" s="460" t="s">
        <v>4274</v>
      </c>
      <c r="C1" s="460" t="s">
        <v>4277</v>
      </c>
      <c r="D1" s="460" t="s">
        <v>4275</v>
      </c>
      <c r="E1" s="460" t="s">
        <v>4276</v>
      </c>
      <c r="F1" s="460" t="s">
        <v>4273</v>
      </c>
      <c r="G1" s="299" t="s">
        <v>3105</v>
      </c>
      <c r="H1" s="299" t="s">
        <v>4272</v>
      </c>
    </row>
    <row r="2" spans="1:19" x14ac:dyDescent="0.2">
      <c r="A2" s="299" t="str">
        <f t="shared" ref="A2:A65" si="0">CONCATENATE(G2,H2)</f>
        <v>AFG2015</v>
      </c>
      <c r="B2" s="460">
        <v>2027.1859999999999</v>
      </c>
      <c r="C2" s="460">
        <v>266.84739999999999</v>
      </c>
      <c r="D2" s="460">
        <v>104.8509</v>
      </c>
      <c r="E2" s="460">
        <v>333.38010000000003</v>
      </c>
      <c r="F2" s="460">
        <v>42.844360000000002</v>
      </c>
      <c r="G2" s="299" t="s">
        <v>263</v>
      </c>
      <c r="H2" s="299">
        <v>2015</v>
      </c>
    </row>
    <row r="3" spans="1:19" x14ac:dyDescent="0.2">
      <c r="A3" s="299" t="str">
        <f t="shared" si="0"/>
        <v>AFG2016</v>
      </c>
      <c r="B3" s="460">
        <v>2129.6579999999999</v>
      </c>
      <c r="C3" s="460">
        <v>251.19919999999999</v>
      </c>
      <c r="D3" s="460">
        <v>108.1407</v>
      </c>
      <c r="E3" s="460">
        <v>403.52370000000002</v>
      </c>
      <c r="G3" s="299" t="s">
        <v>263</v>
      </c>
      <c r="H3" s="299">
        <v>2016</v>
      </c>
      <c r="S3" s="299" t="s">
        <v>4315</v>
      </c>
    </row>
    <row r="4" spans="1:19" x14ac:dyDescent="0.2">
      <c r="A4" s="299" t="str">
        <f t="shared" si="0"/>
        <v>AFG2017</v>
      </c>
      <c r="B4" s="460">
        <v>2384.873</v>
      </c>
      <c r="C4" s="460">
        <v>261.36489999999998</v>
      </c>
      <c r="D4" s="460">
        <v>121.5288</v>
      </c>
      <c r="E4" s="460">
        <v>463.1456</v>
      </c>
      <c r="F4" s="460">
        <v>54.029890999999999</v>
      </c>
      <c r="G4" s="299" t="s">
        <v>263</v>
      </c>
      <c r="H4" s="299">
        <v>2017</v>
      </c>
      <c r="S4" s="300" t="str">
        <f>IF(ISERROR(AVERAGE(N4:R4)),"",AVERAGE(N4:R4))</f>
        <v/>
      </c>
    </row>
    <row r="5" spans="1:19" x14ac:dyDescent="0.2">
      <c r="A5" s="299" t="str">
        <f t="shared" si="0"/>
        <v>AFG2018</v>
      </c>
      <c r="B5" s="460">
        <v>1852.7449999999999</v>
      </c>
      <c r="C5" s="460">
        <v>243.88749999999999</v>
      </c>
      <c r="D5" s="460">
        <v>95.829480000000004</v>
      </c>
      <c r="E5" s="460">
        <v>304.6825</v>
      </c>
      <c r="G5" s="299" t="s">
        <v>263</v>
      </c>
      <c r="H5" s="299">
        <v>2018</v>
      </c>
      <c r="S5" s="300" t="str">
        <f t="shared" ref="S5:S68" si="1">IF(ISERROR(AVERAGE(N5:R5)),"",AVERAGE(N5:R5))</f>
        <v/>
      </c>
    </row>
    <row r="6" spans="1:19" x14ac:dyDescent="0.2">
      <c r="A6" s="299" t="str">
        <f t="shared" si="0"/>
        <v>AGO2015</v>
      </c>
      <c r="B6" s="460">
        <v>3027.768</v>
      </c>
      <c r="C6" s="460">
        <v>1456.748</v>
      </c>
      <c r="D6" s="460">
        <v>1434.1089999999999</v>
      </c>
      <c r="E6" s="460">
        <v>80.851169999999996</v>
      </c>
      <c r="G6" s="299" t="s">
        <v>85</v>
      </c>
      <c r="H6" s="299">
        <v>2015</v>
      </c>
      <c r="S6" s="300" t="str">
        <f t="shared" si="1"/>
        <v/>
      </c>
    </row>
    <row r="7" spans="1:19" x14ac:dyDescent="0.2">
      <c r="A7" s="299" t="str">
        <f t="shared" si="0"/>
        <v>AGO2016</v>
      </c>
      <c r="B7" s="460">
        <v>2743.6410000000001</v>
      </c>
      <c r="C7" s="460">
        <v>1240.769</v>
      </c>
      <c r="D7" s="460">
        <v>1210.9949999999999</v>
      </c>
      <c r="E7" s="460">
        <v>99.913640000000001</v>
      </c>
      <c r="G7" s="299" t="s">
        <v>85</v>
      </c>
      <c r="H7" s="299">
        <v>2016</v>
      </c>
      <c r="S7" s="300" t="str">
        <f t="shared" si="1"/>
        <v/>
      </c>
    </row>
    <row r="8" spans="1:19" x14ac:dyDescent="0.2">
      <c r="A8" s="299" t="str">
        <f t="shared" si="0"/>
        <v>AGO2017</v>
      </c>
      <c r="B8" s="460">
        <v>3409.0880000000002</v>
      </c>
      <c r="C8" s="460">
        <v>1617.761</v>
      </c>
      <c r="D8" s="460">
        <v>1577.68</v>
      </c>
      <c r="E8" s="460">
        <v>106.1859</v>
      </c>
      <c r="G8" s="299" t="s">
        <v>85</v>
      </c>
      <c r="H8" s="299">
        <v>2017</v>
      </c>
      <c r="S8" s="300" t="str">
        <f t="shared" si="1"/>
        <v/>
      </c>
    </row>
    <row r="9" spans="1:19" x14ac:dyDescent="0.2">
      <c r="A9" s="299" t="str">
        <f t="shared" si="0"/>
        <v>AGO2018</v>
      </c>
      <c r="B9" s="460">
        <v>2699.4540000000002</v>
      </c>
      <c r="C9" s="460">
        <v>1160.6210000000001</v>
      </c>
      <c r="D9" s="460">
        <v>1131.866</v>
      </c>
      <c r="E9" s="460">
        <v>89.697230000000005</v>
      </c>
      <c r="G9" s="299" t="s">
        <v>85</v>
      </c>
      <c r="H9" s="299">
        <v>2018</v>
      </c>
      <c r="S9" s="300" t="str">
        <f t="shared" si="1"/>
        <v/>
      </c>
    </row>
    <row r="10" spans="1:19" x14ac:dyDescent="0.2">
      <c r="A10" s="299" t="str">
        <f t="shared" si="0"/>
        <v>ALB2015</v>
      </c>
      <c r="B10" s="460">
        <v>557.53700000000003</v>
      </c>
      <c r="C10" s="460">
        <v>313.76209999999998</v>
      </c>
      <c r="D10" s="460">
        <v>311.01530000000002</v>
      </c>
      <c r="E10" s="460">
        <v>5.1784689999999998</v>
      </c>
      <c r="F10" s="460">
        <v>14.925174999999999</v>
      </c>
      <c r="G10" s="299" t="s">
        <v>309</v>
      </c>
      <c r="H10" s="299">
        <v>2015</v>
      </c>
      <c r="S10" s="300" t="str">
        <f t="shared" si="1"/>
        <v/>
      </c>
    </row>
    <row r="11" spans="1:19" x14ac:dyDescent="0.2">
      <c r="A11" s="299" t="str">
        <f t="shared" si="0"/>
        <v>ALB2016</v>
      </c>
      <c r="B11" s="460">
        <v>583.09889999999996</v>
      </c>
      <c r="C11" s="460">
        <v>337.10449999999997</v>
      </c>
      <c r="D11" s="460">
        <v>332.55329999999998</v>
      </c>
      <c r="E11" s="460">
        <v>6.9868259999999998</v>
      </c>
      <c r="F11" s="460">
        <v>17.423525000000001</v>
      </c>
      <c r="G11" s="299" t="s">
        <v>309</v>
      </c>
      <c r="H11" s="299">
        <v>2016</v>
      </c>
      <c r="S11" s="300" t="str">
        <f t="shared" si="1"/>
        <v/>
      </c>
    </row>
    <row r="12" spans="1:19" x14ac:dyDescent="0.2">
      <c r="A12" s="299" t="str">
        <f t="shared" si="0"/>
        <v>ALB2017</v>
      </c>
      <c r="B12" s="460">
        <v>652.63170000000002</v>
      </c>
      <c r="C12" s="460">
        <v>358.78250000000003</v>
      </c>
      <c r="D12" s="460">
        <v>348.28719999999998</v>
      </c>
      <c r="E12" s="460">
        <v>13.43779</v>
      </c>
      <c r="F12" s="460">
        <v>19.168766000000002</v>
      </c>
      <c r="G12" s="299" t="s">
        <v>309</v>
      </c>
      <c r="H12" s="299">
        <v>2017</v>
      </c>
      <c r="S12" s="300" t="str">
        <f t="shared" si="1"/>
        <v/>
      </c>
    </row>
    <row r="13" spans="1:19" x14ac:dyDescent="0.2">
      <c r="A13" s="299" t="str">
        <f t="shared" si="0"/>
        <v>ALB2018</v>
      </c>
      <c r="B13" s="460">
        <v>792.5059</v>
      </c>
      <c r="C13" s="460">
        <v>435.67329999999998</v>
      </c>
      <c r="D13" s="460">
        <v>427.904</v>
      </c>
      <c r="E13" s="460">
        <v>10.686260000000001</v>
      </c>
      <c r="F13" s="460">
        <v>25.409956000000001</v>
      </c>
      <c r="G13" s="299" t="s">
        <v>309</v>
      </c>
      <c r="H13" s="299">
        <v>2018</v>
      </c>
      <c r="S13" s="300" t="str">
        <f t="shared" si="1"/>
        <v/>
      </c>
    </row>
    <row r="14" spans="1:19" x14ac:dyDescent="0.2">
      <c r="A14" s="299" t="str">
        <f t="shared" si="0"/>
        <v>AND2015</v>
      </c>
      <c r="B14" s="460">
        <v>175.23249999999999</v>
      </c>
      <c r="C14" s="460">
        <v>120.8883</v>
      </c>
      <c r="D14" s="460">
        <v>120.8883</v>
      </c>
      <c r="G14" s="299" t="s">
        <v>313</v>
      </c>
      <c r="H14" s="299">
        <v>2015</v>
      </c>
      <c r="S14" s="300" t="str">
        <f t="shared" si="1"/>
        <v/>
      </c>
    </row>
    <row r="15" spans="1:19" x14ac:dyDescent="0.2">
      <c r="A15" s="299" t="str">
        <f t="shared" si="0"/>
        <v>AND2016</v>
      </c>
      <c r="B15" s="460">
        <v>182.51499999999999</v>
      </c>
      <c r="C15" s="460">
        <v>126.10129999999999</v>
      </c>
      <c r="D15" s="460">
        <v>126.10129999999999</v>
      </c>
      <c r="G15" s="299" t="s">
        <v>313</v>
      </c>
      <c r="H15" s="299">
        <v>2016</v>
      </c>
      <c r="S15" s="300" t="str">
        <f t="shared" si="1"/>
        <v/>
      </c>
    </row>
    <row r="16" spans="1:19" x14ac:dyDescent="0.2">
      <c r="A16" s="299" t="str">
        <f t="shared" si="0"/>
        <v>AND2017</v>
      </c>
      <c r="B16" s="460">
        <v>197.6942</v>
      </c>
      <c r="C16" s="460">
        <v>137.8211</v>
      </c>
      <c r="D16" s="460">
        <v>137.8211</v>
      </c>
      <c r="G16" s="299" t="s">
        <v>313</v>
      </c>
      <c r="H16" s="299">
        <v>2017</v>
      </c>
      <c r="S16" s="300" t="str">
        <f t="shared" si="1"/>
        <v/>
      </c>
    </row>
    <row r="17" spans="1:19" x14ac:dyDescent="0.2">
      <c r="A17" s="299" t="str">
        <f t="shared" si="0"/>
        <v>AND2018</v>
      </c>
      <c r="B17" s="460">
        <v>217.29560000000001</v>
      </c>
      <c r="C17" s="460">
        <v>147.61930000000001</v>
      </c>
      <c r="D17" s="460">
        <v>147.61930000000001</v>
      </c>
      <c r="G17" s="299" t="s">
        <v>313</v>
      </c>
      <c r="H17" s="299">
        <v>2018</v>
      </c>
      <c r="S17" s="300" t="str">
        <f t="shared" si="1"/>
        <v/>
      </c>
    </row>
    <row r="18" spans="1:19" x14ac:dyDescent="0.2">
      <c r="A18" s="299" t="str">
        <f t="shared" si="0"/>
        <v>ARE2015</v>
      </c>
      <c r="B18" s="460">
        <v>12834.1</v>
      </c>
      <c r="C18" s="460">
        <v>9144.43</v>
      </c>
      <c r="D18" s="460">
        <v>9144.43</v>
      </c>
      <c r="G18" s="299" t="s">
        <v>267</v>
      </c>
      <c r="H18" s="299">
        <v>2015</v>
      </c>
      <c r="S18" s="300" t="str">
        <f t="shared" si="1"/>
        <v/>
      </c>
    </row>
    <row r="19" spans="1:19" x14ac:dyDescent="0.2">
      <c r="A19" s="299" t="str">
        <f t="shared" si="0"/>
        <v>ARE2016</v>
      </c>
      <c r="B19" s="460">
        <v>12151.75</v>
      </c>
      <c r="C19" s="460">
        <v>8700.4140000000007</v>
      </c>
      <c r="D19" s="460">
        <v>8700.4140000000007</v>
      </c>
      <c r="E19" s="460">
        <v>0</v>
      </c>
      <c r="G19" s="299" t="s">
        <v>267</v>
      </c>
      <c r="H19" s="299">
        <v>2016</v>
      </c>
      <c r="S19" s="300" t="str">
        <f t="shared" si="1"/>
        <v/>
      </c>
    </row>
    <row r="20" spans="1:19" x14ac:dyDescent="0.2">
      <c r="A20" s="299" t="str">
        <f t="shared" si="0"/>
        <v>ARE2017</v>
      </c>
      <c r="B20" s="460">
        <v>15654.06</v>
      </c>
      <c r="C20" s="460">
        <v>8580.2090000000007</v>
      </c>
      <c r="D20" s="460">
        <v>8580.2090000000007</v>
      </c>
      <c r="E20" s="460">
        <v>0</v>
      </c>
      <c r="G20" s="299" t="s">
        <v>267</v>
      </c>
      <c r="H20" s="299">
        <v>2017</v>
      </c>
      <c r="S20" s="300" t="str">
        <f t="shared" si="1"/>
        <v/>
      </c>
    </row>
    <row r="21" spans="1:19" x14ac:dyDescent="0.2">
      <c r="A21" s="299" t="str">
        <f t="shared" si="0"/>
        <v>ARE2018</v>
      </c>
      <c r="B21" s="460">
        <v>17502.8</v>
      </c>
      <c r="C21" s="460">
        <v>9027.6759999999995</v>
      </c>
      <c r="D21" s="460">
        <v>9027.6759999999995</v>
      </c>
      <c r="E21" s="460">
        <v>0</v>
      </c>
      <c r="G21" s="299" t="s">
        <v>267</v>
      </c>
      <c r="H21" s="299">
        <v>2018</v>
      </c>
      <c r="S21" s="300" t="str">
        <f t="shared" si="1"/>
        <v/>
      </c>
    </row>
    <row r="22" spans="1:19" x14ac:dyDescent="0.2">
      <c r="A22" s="299" t="str">
        <f t="shared" si="0"/>
        <v>ARG2015</v>
      </c>
      <c r="B22" s="460">
        <v>65969.320000000007</v>
      </c>
      <c r="C22" s="460">
        <v>44197.279999999999</v>
      </c>
      <c r="D22" s="460">
        <v>44010.6</v>
      </c>
      <c r="E22" s="460">
        <v>187.26169999999999</v>
      </c>
      <c r="F22" s="460">
        <v>148.37414000000001</v>
      </c>
      <c r="G22" s="299" t="s">
        <v>189</v>
      </c>
      <c r="H22" s="299">
        <v>2015</v>
      </c>
      <c r="S22" s="300" t="str">
        <f t="shared" si="1"/>
        <v/>
      </c>
    </row>
    <row r="23" spans="1:19" x14ac:dyDescent="0.2">
      <c r="A23" s="299" t="str">
        <f t="shared" si="0"/>
        <v>ARG2016</v>
      </c>
      <c r="B23" s="460">
        <v>50188.49</v>
      </c>
      <c r="C23" s="460">
        <v>31325.23</v>
      </c>
      <c r="D23" s="460">
        <v>31172.67</v>
      </c>
      <c r="E23" s="460">
        <v>154.86279999999999</v>
      </c>
      <c r="F23" s="460">
        <v>176.93074999999999</v>
      </c>
      <c r="G23" s="299" t="s">
        <v>189</v>
      </c>
      <c r="H23" s="299">
        <v>2016</v>
      </c>
      <c r="S23" s="300" t="str">
        <f t="shared" si="1"/>
        <v/>
      </c>
    </row>
    <row r="24" spans="1:19" x14ac:dyDescent="0.2">
      <c r="A24" s="299" t="str">
        <f t="shared" si="0"/>
        <v>ARG2017</v>
      </c>
      <c r="B24" s="460">
        <v>67206.960000000006</v>
      </c>
      <c r="C24" s="460">
        <v>42764.959999999999</v>
      </c>
      <c r="D24" s="460">
        <v>42475.34</v>
      </c>
      <c r="E24" s="460">
        <v>291.54880000000003</v>
      </c>
      <c r="F24" s="460">
        <v>62.459207999999997</v>
      </c>
      <c r="G24" s="299" t="s">
        <v>189</v>
      </c>
      <c r="H24" s="299">
        <v>2017</v>
      </c>
      <c r="S24" s="300" t="str">
        <f t="shared" si="1"/>
        <v/>
      </c>
    </row>
    <row r="25" spans="1:19" x14ac:dyDescent="0.2">
      <c r="A25" s="299" t="str">
        <f t="shared" si="0"/>
        <v>ARG2018</v>
      </c>
      <c r="B25" s="460">
        <v>50035.26</v>
      </c>
      <c r="C25" s="460">
        <v>30874.43</v>
      </c>
      <c r="D25" s="460">
        <v>30725.3</v>
      </c>
      <c r="E25" s="460">
        <v>151.38999999999999</v>
      </c>
      <c r="G25" s="299" t="s">
        <v>189</v>
      </c>
      <c r="H25" s="299">
        <v>2018</v>
      </c>
      <c r="S25" s="300" t="str">
        <f t="shared" si="1"/>
        <v/>
      </c>
    </row>
    <row r="26" spans="1:19" x14ac:dyDescent="0.2">
      <c r="A26" s="299" t="str">
        <f t="shared" si="0"/>
        <v>ARM2015</v>
      </c>
      <c r="B26" s="460">
        <v>1067.7470000000001</v>
      </c>
      <c r="C26" s="460">
        <v>173.559</v>
      </c>
      <c r="D26" s="460">
        <v>169.9307</v>
      </c>
      <c r="E26" s="460">
        <v>11.56265</v>
      </c>
      <c r="F26" s="460">
        <v>10.614784999999999</v>
      </c>
      <c r="G26" s="299" t="s">
        <v>315</v>
      </c>
      <c r="H26" s="299">
        <v>2015</v>
      </c>
      <c r="S26" s="300" t="str">
        <f t="shared" si="1"/>
        <v/>
      </c>
    </row>
    <row r="27" spans="1:19" x14ac:dyDescent="0.2">
      <c r="A27" s="299" t="str">
        <f t="shared" si="0"/>
        <v>ARM2016</v>
      </c>
      <c r="B27" s="460">
        <v>1049.547</v>
      </c>
      <c r="C27" s="460">
        <v>176.36770000000001</v>
      </c>
      <c r="D27" s="460">
        <v>172.6765</v>
      </c>
      <c r="E27" s="460">
        <v>19.637530000000002</v>
      </c>
      <c r="F27" s="460">
        <v>15.100846000000001</v>
      </c>
      <c r="G27" s="299" t="s">
        <v>315</v>
      </c>
      <c r="H27" s="299">
        <v>2016</v>
      </c>
      <c r="S27" s="300" t="str">
        <f t="shared" si="1"/>
        <v/>
      </c>
    </row>
    <row r="28" spans="1:19" x14ac:dyDescent="0.2">
      <c r="A28" s="299" t="str">
        <f t="shared" si="0"/>
        <v>ARM2017</v>
      </c>
      <c r="B28" s="460">
        <v>1194.557</v>
      </c>
      <c r="C28" s="460">
        <v>161.56899999999999</v>
      </c>
      <c r="D28" s="460">
        <v>158.21510000000001</v>
      </c>
      <c r="E28" s="460">
        <v>15.375489999999999</v>
      </c>
      <c r="F28" s="460">
        <v>7.8043753999999996</v>
      </c>
      <c r="G28" s="299" t="s">
        <v>315</v>
      </c>
      <c r="H28" s="299">
        <v>2017</v>
      </c>
      <c r="S28" s="300" t="str">
        <f t="shared" si="1"/>
        <v/>
      </c>
    </row>
    <row r="29" spans="1:19" x14ac:dyDescent="0.2">
      <c r="A29" s="299" t="str">
        <f t="shared" si="0"/>
        <v>ARM2018</v>
      </c>
      <c r="B29" s="460">
        <v>1246.471</v>
      </c>
      <c r="C29" s="460">
        <v>157.15809999999999</v>
      </c>
      <c r="D29" s="460">
        <v>153.8158</v>
      </c>
      <c r="E29" s="460">
        <v>15.16685</v>
      </c>
      <c r="F29" s="460">
        <v>3.6357010999999999</v>
      </c>
      <c r="G29" s="299" t="s">
        <v>315</v>
      </c>
      <c r="H29" s="299">
        <v>2018</v>
      </c>
      <c r="S29" s="300" t="str">
        <f t="shared" si="1"/>
        <v/>
      </c>
    </row>
    <row r="30" spans="1:19" x14ac:dyDescent="0.2">
      <c r="A30" s="299" t="str">
        <f t="shared" si="0"/>
        <v>ATG2015</v>
      </c>
      <c r="B30" s="460">
        <v>70.571399999999997</v>
      </c>
      <c r="C30" s="460">
        <v>42.192990000000002</v>
      </c>
      <c r="D30" s="460">
        <v>42.192990000000002</v>
      </c>
      <c r="E30" s="460">
        <v>0</v>
      </c>
      <c r="F30" s="460">
        <v>0.65782562</v>
      </c>
      <c r="G30" s="299" t="s">
        <v>193</v>
      </c>
      <c r="H30" s="299">
        <v>2015</v>
      </c>
      <c r="S30" s="300" t="str">
        <f t="shared" si="1"/>
        <v/>
      </c>
    </row>
    <row r="31" spans="1:19" x14ac:dyDescent="0.2">
      <c r="A31" s="299" t="str">
        <f t="shared" si="0"/>
        <v>ATG2016</v>
      </c>
      <c r="B31" s="460">
        <v>73.584649999999996</v>
      </c>
      <c r="C31" s="460">
        <v>41.103149999999999</v>
      </c>
      <c r="D31" s="460">
        <v>41.096969999999999</v>
      </c>
      <c r="E31" s="460">
        <v>9.9710000000000007E-3</v>
      </c>
      <c r="F31" s="460">
        <v>2.0738922</v>
      </c>
      <c r="G31" s="299" t="s">
        <v>193</v>
      </c>
      <c r="H31" s="299">
        <v>2016</v>
      </c>
      <c r="S31" s="300" t="str">
        <f t="shared" si="1"/>
        <v/>
      </c>
    </row>
    <row r="32" spans="1:19" x14ac:dyDescent="0.2">
      <c r="A32" s="299" t="str">
        <f t="shared" si="0"/>
        <v>ATG2017</v>
      </c>
      <c r="B32" s="460">
        <v>75.917090000000002</v>
      </c>
      <c r="C32" s="460">
        <v>40.195959999999999</v>
      </c>
      <c r="D32" s="460">
        <v>40.195959999999999</v>
      </c>
      <c r="E32" s="460">
        <v>1.6347500000000001E-2</v>
      </c>
      <c r="F32" s="460">
        <v>8.0780740000000004E-2</v>
      </c>
      <c r="G32" s="299" t="s">
        <v>193</v>
      </c>
      <c r="H32" s="299">
        <v>2017</v>
      </c>
      <c r="S32" s="300" t="str">
        <f t="shared" si="1"/>
        <v/>
      </c>
    </row>
    <row r="33" spans="1:19" x14ac:dyDescent="0.2">
      <c r="A33" s="299" t="str">
        <f t="shared" si="0"/>
        <v>ATG2018</v>
      </c>
      <c r="B33" s="460">
        <v>84.266859999999994</v>
      </c>
      <c r="C33" s="460">
        <v>46.792479999999998</v>
      </c>
      <c r="D33" s="460">
        <v>46.77778</v>
      </c>
      <c r="E33" s="460">
        <v>7.5576699999999997E-2</v>
      </c>
      <c r="F33" s="460">
        <v>0.36384240000000001</v>
      </c>
      <c r="G33" s="299" t="s">
        <v>193</v>
      </c>
      <c r="H33" s="299">
        <v>2018</v>
      </c>
      <c r="S33" s="300" t="str">
        <f t="shared" si="1"/>
        <v/>
      </c>
    </row>
    <row r="34" spans="1:19" x14ac:dyDescent="0.2">
      <c r="A34" s="299" t="str">
        <f t="shared" si="0"/>
        <v>AUS2015</v>
      </c>
      <c r="B34" s="460">
        <v>116320.9</v>
      </c>
      <c r="C34" s="460">
        <v>79338.31</v>
      </c>
      <c r="D34" s="460">
        <v>79338.31</v>
      </c>
      <c r="E34" s="460">
        <v>0</v>
      </c>
      <c r="F34" s="460">
        <v>7666.5289000000002</v>
      </c>
      <c r="G34" s="299" t="s">
        <v>441</v>
      </c>
      <c r="H34" s="299">
        <v>2015</v>
      </c>
      <c r="S34" s="300" t="str">
        <f t="shared" si="1"/>
        <v/>
      </c>
    </row>
    <row r="35" spans="1:19" x14ac:dyDescent="0.2">
      <c r="A35" s="299" t="str">
        <f t="shared" si="0"/>
        <v>AUS2016</v>
      </c>
      <c r="B35" s="460">
        <v>120624.9</v>
      </c>
      <c r="C35" s="460">
        <v>82742.3</v>
      </c>
      <c r="D35" s="460">
        <v>82742.3</v>
      </c>
      <c r="E35" s="460">
        <v>0</v>
      </c>
      <c r="F35" s="460">
        <v>9416.643</v>
      </c>
      <c r="G35" s="299" t="s">
        <v>441</v>
      </c>
      <c r="H35" s="299">
        <v>2016</v>
      </c>
      <c r="S35" s="300" t="str">
        <f t="shared" si="1"/>
        <v/>
      </c>
    </row>
    <row r="36" spans="1:19" x14ac:dyDescent="0.2">
      <c r="A36" s="299" t="str">
        <f t="shared" si="0"/>
        <v>AUS2017</v>
      </c>
      <c r="B36" s="460">
        <v>130514.4</v>
      </c>
      <c r="C36" s="460">
        <v>89856.07</v>
      </c>
      <c r="D36" s="460">
        <v>89856.07</v>
      </c>
      <c r="E36" s="460">
        <v>0</v>
      </c>
      <c r="F36" s="460">
        <v>7110.9201999999996</v>
      </c>
      <c r="G36" s="299" t="s">
        <v>441</v>
      </c>
      <c r="H36" s="299">
        <v>2017</v>
      </c>
      <c r="S36" s="300" t="str">
        <f t="shared" si="1"/>
        <v/>
      </c>
    </row>
    <row r="37" spans="1:19" x14ac:dyDescent="0.2">
      <c r="A37" s="299" t="str">
        <f t="shared" si="0"/>
        <v>AUS2018</v>
      </c>
      <c r="B37" s="460">
        <v>135081</v>
      </c>
      <c r="C37" s="460">
        <v>93294.09</v>
      </c>
      <c r="D37" s="460">
        <v>93294.09</v>
      </c>
      <c r="E37" s="460">
        <v>0</v>
      </c>
      <c r="G37" s="299" t="s">
        <v>441</v>
      </c>
      <c r="H37" s="299">
        <v>2018</v>
      </c>
      <c r="S37" s="300" t="str">
        <f t="shared" si="1"/>
        <v/>
      </c>
    </row>
    <row r="38" spans="1:19" x14ac:dyDescent="0.2">
      <c r="A38" s="299" t="str">
        <f t="shared" si="0"/>
        <v>AUT2015</v>
      </c>
      <c r="B38" s="460">
        <v>39600.75</v>
      </c>
      <c r="C38" s="460">
        <v>28693.13</v>
      </c>
      <c r="D38" s="460">
        <v>28693.13</v>
      </c>
      <c r="E38" s="460">
        <v>0</v>
      </c>
      <c r="F38" s="460">
        <v>2896.7853</v>
      </c>
      <c r="G38" s="299" t="s">
        <v>317</v>
      </c>
      <c r="H38" s="299">
        <v>2015</v>
      </c>
      <c r="S38" s="300" t="str">
        <f t="shared" si="1"/>
        <v/>
      </c>
    </row>
    <row r="39" spans="1:19" x14ac:dyDescent="0.2">
      <c r="A39" s="299" t="str">
        <f t="shared" si="0"/>
        <v>AUT2016</v>
      </c>
      <c r="B39" s="460">
        <v>40978.14</v>
      </c>
      <c r="C39" s="460">
        <v>29651.64</v>
      </c>
      <c r="D39" s="460">
        <v>29651.64</v>
      </c>
      <c r="E39" s="460">
        <v>0</v>
      </c>
      <c r="F39" s="460">
        <v>3011.5549999999998</v>
      </c>
      <c r="G39" s="299" t="s">
        <v>317</v>
      </c>
      <c r="H39" s="299">
        <v>2016</v>
      </c>
      <c r="S39" s="300" t="str">
        <f t="shared" si="1"/>
        <v/>
      </c>
    </row>
    <row r="40" spans="1:19" x14ac:dyDescent="0.2">
      <c r="A40" s="299" t="str">
        <f t="shared" si="0"/>
        <v>AUT2017</v>
      </c>
      <c r="B40" s="460">
        <v>43320.21</v>
      </c>
      <c r="C40" s="460">
        <v>31350.91</v>
      </c>
      <c r="D40" s="460">
        <v>31350.91</v>
      </c>
      <c r="E40" s="460">
        <v>0</v>
      </c>
      <c r="F40" s="460">
        <v>3198.1255999999998</v>
      </c>
      <c r="G40" s="299" t="s">
        <v>317</v>
      </c>
      <c r="H40" s="299">
        <v>2017</v>
      </c>
      <c r="S40" s="300" t="str">
        <f t="shared" si="1"/>
        <v/>
      </c>
    </row>
    <row r="41" spans="1:19" x14ac:dyDescent="0.2">
      <c r="A41" s="299" t="str">
        <f t="shared" si="0"/>
        <v>AUT2018</v>
      </c>
      <c r="B41" s="460">
        <v>46991.25</v>
      </c>
      <c r="C41" s="460">
        <v>34343.599999999999</v>
      </c>
      <c r="D41" s="460">
        <v>34343.599999999999</v>
      </c>
      <c r="E41" s="460">
        <v>0</v>
      </c>
      <c r="F41" s="460">
        <v>3284.2332000000001</v>
      </c>
      <c r="G41" s="299" t="s">
        <v>317</v>
      </c>
      <c r="H41" s="299">
        <v>2018</v>
      </c>
      <c r="S41" s="300" t="str">
        <f t="shared" si="1"/>
        <v/>
      </c>
    </row>
    <row r="42" spans="1:19" x14ac:dyDescent="0.2">
      <c r="A42" s="299" t="str">
        <f t="shared" si="0"/>
        <v>AZE2015</v>
      </c>
      <c r="B42" s="460">
        <v>2179.6480000000001</v>
      </c>
      <c r="C42" s="460">
        <v>706.6422</v>
      </c>
      <c r="D42" s="460">
        <v>691.3809</v>
      </c>
      <c r="E42" s="460">
        <v>18.11881</v>
      </c>
      <c r="F42" s="460">
        <v>98.578537999999995</v>
      </c>
      <c r="G42" s="299" t="s">
        <v>319</v>
      </c>
      <c r="H42" s="299">
        <v>2015</v>
      </c>
      <c r="S42" s="300" t="str">
        <f t="shared" si="1"/>
        <v/>
      </c>
    </row>
    <row r="43" spans="1:19" x14ac:dyDescent="0.2">
      <c r="A43" s="299" t="str">
        <f t="shared" si="0"/>
        <v>AZE2016</v>
      </c>
      <c r="B43" s="460">
        <v>1528.5170000000001</v>
      </c>
      <c r="C43" s="460">
        <v>444.31310000000002</v>
      </c>
      <c r="D43" s="460">
        <v>440.54230000000001</v>
      </c>
      <c r="E43" s="460">
        <v>7.7640690000000001</v>
      </c>
      <c r="F43" s="460">
        <v>84.601224000000002</v>
      </c>
      <c r="G43" s="299" t="s">
        <v>319</v>
      </c>
      <c r="H43" s="299">
        <v>2016</v>
      </c>
      <c r="S43" s="300" t="str">
        <f t="shared" si="1"/>
        <v/>
      </c>
    </row>
    <row r="44" spans="1:19" x14ac:dyDescent="0.2">
      <c r="A44" s="299" t="str">
        <f t="shared" si="0"/>
        <v>AZE2017</v>
      </c>
      <c r="B44" s="460">
        <v>1526.992</v>
      </c>
      <c r="C44" s="460">
        <v>418.90480000000002</v>
      </c>
      <c r="D44" s="460">
        <v>409.49</v>
      </c>
      <c r="E44" s="460">
        <v>10.245329999999999</v>
      </c>
      <c r="F44" s="460">
        <v>58.100526000000002</v>
      </c>
      <c r="G44" s="299" t="s">
        <v>319</v>
      </c>
      <c r="H44" s="299">
        <v>2017</v>
      </c>
      <c r="S44" s="300" t="str">
        <f t="shared" si="1"/>
        <v/>
      </c>
    </row>
    <row r="45" spans="1:19" x14ac:dyDescent="0.2">
      <c r="A45" s="299" t="str">
        <f t="shared" si="0"/>
        <v>AZE2018</v>
      </c>
      <c r="B45" s="460">
        <v>1649.309</v>
      </c>
      <c r="C45" s="460">
        <v>446.96890000000002</v>
      </c>
      <c r="D45" s="460">
        <v>437.52510000000001</v>
      </c>
      <c r="E45" s="460">
        <v>11.00773</v>
      </c>
      <c r="F45" s="460">
        <v>85.999159000000006</v>
      </c>
      <c r="G45" s="299" t="s">
        <v>319</v>
      </c>
      <c r="H45" s="299">
        <v>2018</v>
      </c>
      <c r="S45" s="300" t="str">
        <f t="shared" si="1"/>
        <v/>
      </c>
    </row>
    <row r="46" spans="1:19" x14ac:dyDescent="0.2">
      <c r="A46" s="299" t="str">
        <f t="shared" si="0"/>
        <v>BDI2015</v>
      </c>
      <c r="B46" s="460">
        <v>197.68199999999999</v>
      </c>
      <c r="C46" s="460">
        <v>76.385670000000005</v>
      </c>
      <c r="D46" s="460">
        <v>75.112210000000005</v>
      </c>
      <c r="E46" s="460">
        <v>18.9239</v>
      </c>
      <c r="F46" s="460">
        <v>2.9315764999999998</v>
      </c>
      <c r="G46" s="299" t="s">
        <v>91</v>
      </c>
      <c r="H46" s="299">
        <v>2015</v>
      </c>
      <c r="S46" s="300" t="str">
        <f t="shared" si="1"/>
        <v/>
      </c>
    </row>
    <row r="47" spans="1:19" x14ac:dyDescent="0.2">
      <c r="A47" s="299" t="str">
        <f t="shared" si="0"/>
        <v>BDI2016</v>
      </c>
      <c r="B47" s="460">
        <v>235.1241</v>
      </c>
      <c r="C47" s="460">
        <v>109.81489999999999</v>
      </c>
      <c r="D47" s="460">
        <v>56.593310000000002</v>
      </c>
      <c r="E47" s="460">
        <v>75.486829999999998</v>
      </c>
      <c r="F47" s="460">
        <v>8.5152470999999998</v>
      </c>
      <c r="G47" s="299" t="s">
        <v>91</v>
      </c>
      <c r="H47" s="299">
        <v>2016</v>
      </c>
      <c r="S47" s="300" t="str">
        <f t="shared" si="1"/>
        <v/>
      </c>
    </row>
    <row r="48" spans="1:19" x14ac:dyDescent="0.2">
      <c r="A48" s="299" t="str">
        <f t="shared" si="0"/>
        <v>BDI2017</v>
      </c>
      <c r="B48" s="460">
        <v>255.3169</v>
      </c>
      <c r="C48" s="460">
        <v>122.437</v>
      </c>
      <c r="D48" s="460">
        <v>63.098149999999997</v>
      </c>
      <c r="E48" s="460">
        <v>79.24033</v>
      </c>
      <c r="G48" s="299" t="s">
        <v>91</v>
      </c>
      <c r="H48" s="299">
        <v>2017</v>
      </c>
      <c r="S48" s="300" t="str">
        <f t="shared" si="1"/>
        <v/>
      </c>
    </row>
    <row r="49" spans="1:19" x14ac:dyDescent="0.2">
      <c r="A49" s="299" t="str">
        <f t="shared" si="0"/>
        <v>BDI2018</v>
      </c>
      <c r="B49" s="460">
        <v>268.49360000000001</v>
      </c>
      <c r="C49" s="460">
        <v>128.02809999999999</v>
      </c>
      <c r="D49" s="460">
        <v>65.979519999999994</v>
      </c>
      <c r="E49" s="460">
        <v>83.092060000000004</v>
      </c>
      <c r="G49" s="299" t="s">
        <v>91</v>
      </c>
      <c r="H49" s="299">
        <v>2018</v>
      </c>
      <c r="S49" s="300" t="str">
        <f t="shared" si="1"/>
        <v/>
      </c>
    </row>
    <row r="50" spans="1:19" x14ac:dyDescent="0.2">
      <c r="A50" s="299" t="str">
        <f t="shared" si="0"/>
        <v>BEL2015</v>
      </c>
      <c r="B50" s="460">
        <v>48207.91</v>
      </c>
      <c r="C50" s="460">
        <v>36514.53</v>
      </c>
      <c r="D50" s="460">
        <v>36514.53</v>
      </c>
      <c r="E50" s="460">
        <v>0</v>
      </c>
      <c r="G50" s="299" t="s">
        <v>321</v>
      </c>
      <c r="H50" s="299">
        <v>2015</v>
      </c>
      <c r="S50" s="300" t="str">
        <f t="shared" si="1"/>
        <v/>
      </c>
    </row>
    <row r="51" spans="1:19" x14ac:dyDescent="0.2">
      <c r="A51" s="299" t="str">
        <f t="shared" si="0"/>
        <v>BEL2016</v>
      </c>
      <c r="B51" s="460">
        <v>48964.09</v>
      </c>
      <c r="C51" s="460">
        <v>37246.75</v>
      </c>
      <c r="D51" s="460">
        <v>37246.75</v>
      </c>
      <c r="E51" s="460">
        <v>0</v>
      </c>
      <c r="G51" s="299" t="s">
        <v>321</v>
      </c>
      <c r="H51" s="299">
        <v>2016</v>
      </c>
      <c r="S51" s="300" t="str">
        <f t="shared" si="1"/>
        <v/>
      </c>
    </row>
    <row r="52" spans="1:19" x14ac:dyDescent="0.2">
      <c r="A52" s="299" t="str">
        <f t="shared" si="0"/>
        <v>BEL2017</v>
      </c>
      <c r="B52" s="460">
        <v>52424.65</v>
      </c>
      <c r="C52" s="460">
        <v>39805</v>
      </c>
      <c r="D52" s="460">
        <v>39805</v>
      </c>
      <c r="E52" s="460">
        <v>0</v>
      </c>
      <c r="G52" s="299" t="s">
        <v>321</v>
      </c>
      <c r="H52" s="299">
        <v>2017</v>
      </c>
      <c r="S52" s="300" t="str">
        <f t="shared" si="1"/>
        <v/>
      </c>
    </row>
    <row r="53" spans="1:19" x14ac:dyDescent="0.2">
      <c r="A53" s="299" t="str">
        <f t="shared" si="0"/>
        <v>BEL2018</v>
      </c>
      <c r="B53" s="460">
        <v>55997.86</v>
      </c>
      <c r="C53" s="460">
        <v>42437.72</v>
      </c>
      <c r="D53" s="460">
        <v>42437.72</v>
      </c>
      <c r="E53" s="460">
        <v>0</v>
      </c>
      <c r="G53" s="299" t="s">
        <v>321</v>
      </c>
      <c r="H53" s="299">
        <v>2018</v>
      </c>
      <c r="S53" s="300" t="str">
        <f t="shared" si="1"/>
        <v/>
      </c>
    </row>
    <row r="54" spans="1:19" x14ac:dyDescent="0.2">
      <c r="A54" s="299" t="str">
        <f t="shared" si="0"/>
        <v>BEN2015</v>
      </c>
      <c r="B54" s="460">
        <v>331.10109999999997</v>
      </c>
      <c r="C54" s="460">
        <v>128.0932</v>
      </c>
      <c r="D54" s="460">
        <v>66.671769999999995</v>
      </c>
      <c r="E54" s="460">
        <v>113.34990000000001</v>
      </c>
      <c r="F54" s="460">
        <v>20.803242999999998</v>
      </c>
      <c r="G54" s="299" t="s">
        <v>95</v>
      </c>
      <c r="H54" s="299">
        <v>2015</v>
      </c>
      <c r="S54" s="300" t="str">
        <f t="shared" si="1"/>
        <v/>
      </c>
    </row>
    <row r="55" spans="1:19" x14ac:dyDescent="0.2">
      <c r="A55" s="299" t="str">
        <f t="shared" si="0"/>
        <v>BEN2016</v>
      </c>
      <c r="B55" s="460">
        <v>328.64449999999999</v>
      </c>
      <c r="C55" s="460">
        <v>113.0043</v>
      </c>
      <c r="D55" s="460">
        <v>67.960859999999997</v>
      </c>
      <c r="E55" s="460">
        <v>100.20489999999999</v>
      </c>
      <c r="G55" s="299" t="s">
        <v>95</v>
      </c>
      <c r="H55" s="299">
        <v>2016</v>
      </c>
      <c r="S55" s="300" t="str">
        <f t="shared" si="1"/>
        <v/>
      </c>
    </row>
    <row r="56" spans="1:19" x14ac:dyDescent="0.2">
      <c r="A56" s="299" t="str">
        <f t="shared" si="0"/>
        <v>BEN2017</v>
      </c>
      <c r="B56" s="460">
        <v>335.89319999999998</v>
      </c>
      <c r="C56" s="460">
        <v>139.9742</v>
      </c>
      <c r="D56" s="460">
        <v>103.44289999999999</v>
      </c>
      <c r="E56" s="460">
        <v>65.263329999999996</v>
      </c>
      <c r="G56" s="299" t="s">
        <v>95</v>
      </c>
      <c r="H56" s="299">
        <v>2017</v>
      </c>
      <c r="S56" s="300" t="str">
        <f t="shared" si="1"/>
        <v/>
      </c>
    </row>
    <row r="57" spans="1:19" x14ac:dyDescent="0.2">
      <c r="A57" s="299" t="str">
        <f t="shared" si="0"/>
        <v>BEN2018</v>
      </c>
      <c r="B57" s="460">
        <v>355.3365</v>
      </c>
      <c r="C57" s="460">
        <v>146.29750000000001</v>
      </c>
      <c r="D57" s="460">
        <v>69.958489999999998</v>
      </c>
      <c r="E57" s="460">
        <v>106.9927</v>
      </c>
      <c r="G57" s="299" t="s">
        <v>95</v>
      </c>
      <c r="H57" s="299">
        <v>2018</v>
      </c>
      <c r="S57" s="300" t="str">
        <f t="shared" si="1"/>
        <v/>
      </c>
    </row>
    <row r="58" spans="1:19" x14ac:dyDescent="0.2">
      <c r="A58" s="299" t="str">
        <f t="shared" si="0"/>
        <v>BFA2015</v>
      </c>
      <c r="B58" s="460">
        <v>606.97320000000002</v>
      </c>
      <c r="C58" s="460">
        <v>321.86009999999999</v>
      </c>
      <c r="D58" s="460">
        <v>172.22919999999999</v>
      </c>
      <c r="E58" s="460">
        <v>149.74510000000001</v>
      </c>
      <c r="F58" s="460">
        <v>23.941860999999999</v>
      </c>
      <c r="G58" s="299" t="s">
        <v>97</v>
      </c>
      <c r="H58" s="299">
        <v>2015</v>
      </c>
      <c r="S58" s="300" t="str">
        <f t="shared" si="1"/>
        <v/>
      </c>
    </row>
    <row r="59" spans="1:19" x14ac:dyDescent="0.2">
      <c r="A59" s="299" t="str">
        <f t="shared" si="0"/>
        <v>BFA2016</v>
      </c>
      <c r="B59" s="460">
        <v>763.65840000000003</v>
      </c>
      <c r="C59" s="460">
        <v>466.86070000000001</v>
      </c>
      <c r="D59" s="460">
        <v>306.1028</v>
      </c>
      <c r="E59" s="460">
        <v>179.28149999999999</v>
      </c>
      <c r="F59" s="460">
        <v>20.451305999999999</v>
      </c>
      <c r="G59" s="299" t="s">
        <v>97</v>
      </c>
      <c r="H59" s="299">
        <v>2016</v>
      </c>
      <c r="S59" s="300" t="str">
        <f t="shared" si="1"/>
        <v/>
      </c>
    </row>
    <row r="60" spans="1:19" x14ac:dyDescent="0.2">
      <c r="A60" s="299" t="str">
        <f t="shared" si="0"/>
        <v>BFA2017</v>
      </c>
      <c r="B60" s="460">
        <v>852.25099999999998</v>
      </c>
      <c r="C60" s="460">
        <v>516.78689999999995</v>
      </c>
      <c r="D60" s="460">
        <v>369.03989999999999</v>
      </c>
      <c r="E60" s="460">
        <v>153.38</v>
      </c>
      <c r="F60" s="460">
        <v>52.387129000000002</v>
      </c>
      <c r="G60" s="299" t="s">
        <v>97</v>
      </c>
      <c r="H60" s="299">
        <v>2017</v>
      </c>
      <c r="S60" s="300" t="str">
        <f t="shared" si="1"/>
        <v/>
      </c>
    </row>
    <row r="61" spans="1:19" x14ac:dyDescent="0.2">
      <c r="A61" s="299" t="str">
        <f t="shared" si="0"/>
        <v>BFA2018</v>
      </c>
      <c r="B61" s="460">
        <v>794.98569999999995</v>
      </c>
      <c r="C61" s="460">
        <v>443.33280000000002</v>
      </c>
      <c r="D61" s="460">
        <v>337.92779999999999</v>
      </c>
      <c r="E61" s="460">
        <v>120.7119</v>
      </c>
      <c r="F61" s="460">
        <v>56.297096000000003</v>
      </c>
      <c r="G61" s="299" t="s">
        <v>97</v>
      </c>
      <c r="H61" s="299">
        <v>2018</v>
      </c>
      <c r="S61" s="300" t="str">
        <f t="shared" si="1"/>
        <v/>
      </c>
    </row>
    <row r="62" spans="1:19" x14ac:dyDescent="0.2">
      <c r="A62" s="299" t="str">
        <f t="shared" si="0"/>
        <v>BGD2015</v>
      </c>
      <c r="B62" s="460">
        <v>5132.8760000000002</v>
      </c>
      <c r="C62" s="460">
        <v>904.96190000000001</v>
      </c>
      <c r="D62" s="460">
        <v>904.96190000000001</v>
      </c>
      <c r="E62" s="460">
        <v>411.98169999999999</v>
      </c>
      <c r="F62" s="460">
        <v>358.09118000000001</v>
      </c>
      <c r="G62" s="299" t="s">
        <v>417</v>
      </c>
      <c r="H62" s="299">
        <v>2015</v>
      </c>
      <c r="S62" s="300" t="str">
        <f t="shared" si="1"/>
        <v/>
      </c>
    </row>
    <row r="63" spans="1:19" x14ac:dyDescent="0.2">
      <c r="A63" s="299" t="str">
        <f t="shared" si="0"/>
        <v>BGD2016</v>
      </c>
      <c r="B63" s="460">
        <v>5463.1450000000004</v>
      </c>
      <c r="C63" s="460">
        <v>1003.604</v>
      </c>
      <c r="D63" s="460">
        <v>896.82039999999995</v>
      </c>
      <c r="E63" s="460">
        <v>427.07760000000002</v>
      </c>
      <c r="F63" s="460">
        <v>184.59974</v>
      </c>
      <c r="G63" s="299" t="s">
        <v>417</v>
      </c>
      <c r="H63" s="299">
        <v>2016</v>
      </c>
      <c r="S63" s="300" t="str">
        <f t="shared" si="1"/>
        <v/>
      </c>
    </row>
    <row r="64" spans="1:19" x14ac:dyDescent="0.2">
      <c r="A64" s="299" t="str">
        <f t="shared" si="0"/>
        <v>BGD2017</v>
      </c>
      <c r="B64" s="460">
        <v>5977.1610000000001</v>
      </c>
      <c r="C64" s="460">
        <v>1125.664</v>
      </c>
      <c r="D64" s="460">
        <v>997.36090000000002</v>
      </c>
      <c r="E64" s="460">
        <v>403.49110000000002</v>
      </c>
      <c r="F64" s="460">
        <v>71.517921000000001</v>
      </c>
      <c r="G64" s="299" t="s">
        <v>417</v>
      </c>
      <c r="H64" s="299">
        <v>2017</v>
      </c>
      <c r="S64" s="300" t="str">
        <f t="shared" si="1"/>
        <v/>
      </c>
    </row>
    <row r="65" spans="1:19" x14ac:dyDescent="0.2">
      <c r="A65" s="299" t="str">
        <f t="shared" si="0"/>
        <v>BGD2018</v>
      </c>
      <c r="B65" s="460">
        <v>6763.1459999999997</v>
      </c>
      <c r="C65" s="460">
        <v>1303.2660000000001</v>
      </c>
      <c r="D65" s="460">
        <v>1148.3230000000001</v>
      </c>
      <c r="E65" s="460">
        <v>440.8922</v>
      </c>
      <c r="G65" s="299" t="s">
        <v>417</v>
      </c>
      <c r="H65" s="299">
        <v>2018</v>
      </c>
      <c r="S65" s="300" t="str">
        <f t="shared" si="1"/>
        <v/>
      </c>
    </row>
    <row r="66" spans="1:19" x14ac:dyDescent="0.2">
      <c r="A66" s="299" t="str">
        <f t="shared" ref="A66:A129" si="2">CONCATENATE(G66,H66)</f>
        <v>BGR2015</v>
      </c>
      <c r="B66" s="460">
        <v>3755.3629999999998</v>
      </c>
      <c r="C66" s="460">
        <v>2099.1460000000002</v>
      </c>
      <c r="D66" s="460">
        <v>2099.1460000000002</v>
      </c>
      <c r="F66" s="460">
        <v>15.877516</v>
      </c>
      <c r="G66" s="299" t="s">
        <v>323</v>
      </c>
      <c r="H66" s="299">
        <v>2015</v>
      </c>
      <c r="S66" s="300" t="str">
        <f t="shared" si="1"/>
        <v/>
      </c>
    </row>
    <row r="67" spans="1:19" x14ac:dyDescent="0.2">
      <c r="A67" s="299" t="str">
        <f t="shared" si="2"/>
        <v>BGR2016</v>
      </c>
      <c r="B67" s="460">
        <v>4022.8649999999998</v>
      </c>
      <c r="C67" s="460">
        <v>2217.94</v>
      </c>
      <c r="D67" s="460">
        <v>2217.94</v>
      </c>
      <c r="G67" s="299" t="s">
        <v>323</v>
      </c>
      <c r="H67" s="299">
        <v>2016</v>
      </c>
      <c r="S67" s="300" t="str">
        <f t="shared" si="1"/>
        <v/>
      </c>
    </row>
    <row r="68" spans="1:19" x14ac:dyDescent="0.2">
      <c r="A68" s="299" t="str">
        <f t="shared" si="2"/>
        <v>BGR2017</v>
      </c>
      <c r="B68" s="460">
        <v>4393.9620000000004</v>
      </c>
      <c r="C68" s="460">
        <v>2396.3040000000001</v>
      </c>
      <c r="D68" s="460">
        <v>2396.3040000000001</v>
      </c>
      <c r="G68" s="299" t="s">
        <v>323</v>
      </c>
      <c r="H68" s="299">
        <v>2017</v>
      </c>
      <c r="S68" s="300" t="str">
        <f t="shared" si="1"/>
        <v/>
      </c>
    </row>
    <row r="69" spans="1:19" x14ac:dyDescent="0.2">
      <c r="A69" s="299" t="str">
        <f t="shared" si="2"/>
        <v>BGR2018</v>
      </c>
      <c r="B69" s="460">
        <v>4863.8559999999998</v>
      </c>
      <c r="C69" s="460">
        <v>2803.3580000000002</v>
      </c>
      <c r="D69" s="460">
        <v>2803.3580000000002</v>
      </c>
      <c r="G69" s="299" t="s">
        <v>323</v>
      </c>
      <c r="H69" s="299">
        <v>2018</v>
      </c>
      <c r="S69" s="300" t="str">
        <f t="shared" ref="S69:S132" si="3">IF(ISERROR(AVERAGE(N69:R69)),"",AVERAGE(N69:R69))</f>
        <v/>
      </c>
    </row>
    <row r="70" spans="1:19" x14ac:dyDescent="0.2">
      <c r="A70" s="299" t="str">
        <f t="shared" si="2"/>
        <v>BHR2015</v>
      </c>
      <c r="B70" s="460">
        <v>1548.489</v>
      </c>
      <c r="C70" s="460">
        <v>1004.734</v>
      </c>
      <c r="D70" s="460">
        <v>1004.734</v>
      </c>
      <c r="E70" s="460">
        <v>0</v>
      </c>
      <c r="G70" s="299" t="s">
        <v>269</v>
      </c>
      <c r="H70" s="299">
        <v>2015</v>
      </c>
      <c r="S70" s="300" t="str">
        <f t="shared" si="3"/>
        <v/>
      </c>
    </row>
    <row r="71" spans="1:19" x14ac:dyDescent="0.2">
      <c r="A71" s="299" t="str">
        <f t="shared" si="2"/>
        <v>BHR2016</v>
      </c>
      <c r="B71" s="460">
        <v>1566.779</v>
      </c>
      <c r="C71" s="460">
        <v>961.44150000000002</v>
      </c>
      <c r="D71" s="460">
        <v>961.44150000000002</v>
      </c>
      <c r="E71" s="460">
        <v>0</v>
      </c>
      <c r="G71" s="299" t="s">
        <v>269</v>
      </c>
      <c r="H71" s="299">
        <v>2016</v>
      </c>
      <c r="S71" s="300" t="str">
        <f t="shared" si="3"/>
        <v/>
      </c>
    </row>
    <row r="72" spans="1:19" x14ac:dyDescent="0.2">
      <c r="A72" s="299" t="str">
        <f t="shared" si="2"/>
        <v>BHR2017</v>
      </c>
      <c r="B72" s="460">
        <v>1682.43</v>
      </c>
      <c r="C72" s="460">
        <v>975.44740000000002</v>
      </c>
      <c r="D72" s="460">
        <v>975.44740000000002</v>
      </c>
      <c r="E72" s="460">
        <v>0</v>
      </c>
      <c r="G72" s="299" t="s">
        <v>269</v>
      </c>
      <c r="H72" s="299">
        <v>2017</v>
      </c>
      <c r="S72" s="300" t="str">
        <f t="shared" si="3"/>
        <v/>
      </c>
    </row>
    <row r="73" spans="1:19" x14ac:dyDescent="0.2">
      <c r="A73" s="299" t="str">
        <f t="shared" si="2"/>
        <v>BHR2018</v>
      </c>
      <c r="B73" s="460">
        <v>1560.31</v>
      </c>
      <c r="C73" s="460">
        <v>917.96730000000002</v>
      </c>
      <c r="D73" s="460">
        <v>917.96730000000002</v>
      </c>
      <c r="E73" s="460">
        <v>0</v>
      </c>
      <c r="G73" s="299" t="s">
        <v>269</v>
      </c>
      <c r="H73" s="299">
        <v>2018</v>
      </c>
      <c r="S73" s="300" t="str">
        <f t="shared" si="3"/>
        <v/>
      </c>
    </row>
    <row r="74" spans="1:19" x14ac:dyDescent="0.2">
      <c r="A74" s="299" t="str">
        <f t="shared" si="2"/>
        <v>BHS2015</v>
      </c>
      <c r="B74" s="460">
        <v>612.15719999999999</v>
      </c>
      <c r="C74" s="460">
        <v>271.50170000000003</v>
      </c>
      <c r="D74" s="460">
        <v>271.50170000000003</v>
      </c>
      <c r="E74" s="460">
        <v>3.6184889999999998</v>
      </c>
      <c r="G74" s="299" t="s">
        <v>195</v>
      </c>
      <c r="H74" s="299">
        <v>2015</v>
      </c>
      <c r="S74" s="300" t="str">
        <f t="shared" si="3"/>
        <v/>
      </c>
    </row>
    <row r="75" spans="1:19" x14ac:dyDescent="0.2">
      <c r="A75" s="299" t="str">
        <f t="shared" si="2"/>
        <v>BHS2016</v>
      </c>
      <c r="B75" s="460">
        <v>670.45609999999999</v>
      </c>
      <c r="C75" s="460">
        <v>326.22300000000001</v>
      </c>
      <c r="D75" s="460">
        <v>326.22300000000001</v>
      </c>
      <c r="E75" s="460">
        <v>3.6564899999999998</v>
      </c>
      <c r="G75" s="299" t="s">
        <v>195</v>
      </c>
      <c r="H75" s="299">
        <v>2016</v>
      </c>
      <c r="S75" s="300" t="str">
        <f t="shared" si="3"/>
        <v/>
      </c>
    </row>
    <row r="76" spans="1:19" x14ac:dyDescent="0.2">
      <c r="A76" s="299" t="str">
        <f t="shared" si="2"/>
        <v>BHS2017</v>
      </c>
      <c r="B76" s="460">
        <v>830.00279999999998</v>
      </c>
      <c r="C76" s="460">
        <v>461.39920000000001</v>
      </c>
      <c r="D76" s="460">
        <v>461.39920000000001</v>
      </c>
      <c r="E76" s="460">
        <v>3.9153579999999999</v>
      </c>
      <c r="G76" s="299" t="s">
        <v>195</v>
      </c>
      <c r="H76" s="299">
        <v>2017</v>
      </c>
      <c r="S76" s="300" t="str">
        <f t="shared" si="3"/>
        <v/>
      </c>
    </row>
    <row r="77" spans="1:19" x14ac:dyDescent="0.2">
      <c r="A77" s="299" t="str">
        <f t="shared" si="2"/>
        <v>BHS2018</v>
      </c>
      <c r="B77" s="460">
        <v>776.43349999999998</v>
      </c>
      <c r="C77" s="460">
        <v>389.91059999999999</v>
      </c>
      <c r="D77" s="460">
        <v>389.91059999999999</v>
      </c>
      <c r="E77" s="460">
        <v>4.1056990000000004</v>
      </c>
      <c r="F77" s="460">
        <v>10.039626999999999</v>
      </c>
      <c r="G77" s="299" t="s">
        <v>195</v>
      </c>
      <c r="H77" s="299">
        <v>2018</v>
      </c>
      <c r="S77" s="300" t="str">
        <f t="shared" si="3"/>
        <v/>
      </c>
    </row>
    <row r="78" spans="1:19" x14ac:dyDescent="0.2">
      <c r="A78" s="299" t="str">
        <f t="shared" si="2"/>
        <v>BIH2015</v>
      </c>
      <c r="B78" s="460">
        <v>1513.9280000000001</v>
      </c>
      <c r="C78" s="460">
        <v>1073.0039999999999</v>
      </c>
      <c r="D78" s="460">
        <v>1047.354</v>
      </c>
      <c r="E78" s="460">
        <v>25.649850000000001</v>
      </c>
      <c r="G78" s="299" t="s">
        <v>325</v>
      </c>
      <c r="H78" s="299">
        <v>2015</v>
      </c>
      <c r="S78" s="300" t="str">
        <f t="shared" si="3"/>
        <v/>
      </c>
    </row>
    <row r="79" spans="1:19" x14ac:dyDescent="0.2">
      <c r="A79" s="299" t="str">
        <f t="shared" si="2"/>
        <v>BIH2016</v>
      </c>
      <c r="B79" s="460">
        <v>1560.68</v>
      </c>
      <c r="C79" s="460">
        <v>1108.2539999999999</v>
      </c>
      <c r="D79" s="460">
        <v>1105.2860000000001</v>
      </c>
      <c r="E79" s="460">
        <v>2.9671620000000001</v>
      </c>
      <c r="G79" s="299" t="s">
        <v>325</v>
      </c>
      <c r="H79" s="299">
        <v>2016</v>
      </c>
      <c r="S79" s="300" t="str">
        <f t="shared" si="3"/>
        <v/>
      </c>
    </row>
    <row r="80" spans="1:19" x14ac:dyDescent="0.2">
      <c r="A80" s="299" t="str">
        <f t="shared" si="2"/>
        <v>BIH2017</v>
      </c>
      <c r="B80" s="460">
        <v>1614.874</v>
      </c>
      <c r="C80" s="460">
        <v>1138.114</v>
      </c>
      <c r="D80" s="460">
        <v>1131.874</v>
      </c>
      <c r="E80" s="460">
        <v>6.2401059999999999</v>
      </c>
      <c r="G80" s="299" t="s">
        <v>325</v>
      </c>
      <c r="H80" s="299">
        <v>2017</v>
      </c>
      <c r="S80" s="300" t="str">
        <f t="shared" si="3"/>
        <v/>
      </c>
    </row>
    <row r="81" spans="1:19" x14ac:dyDescent="0.2">
      <c r="A81" s="299" t="str">
        <f t="shared" si="2"/>
        <v>BIH2018</v>
      </c>
      <c r="B81" s="460">
        <v>1793.412</v>
      </c>
      <c r="C81" s="460">
        <v>1260.309</v>
      </c>
      <c r="D81" s="460">
        <v>1252.6969999999999</v>
      </c>
      <c r="E81" s="460">
        <v>7.6126560000000003</v>
      </c>
      <c r="G81" s="299" t="s">
        <v>325</v>
      </c>
      <c r="H81" s="299">
        <v>2018</v>
      </c>
      <c r="S81" s="300" t="str">
        <f t="shared" si="3"/>
        <v/>
      </c>
    </row>
    <row r="82" spans="1:19" x14ac:dyDescent="0.2">
      <c r="A82" s="299" t="str">
        <f t="shared" si="2"/>
        <v>BLR2015</v>
      </c>
      <c r="B82" s="460">
        <v>3424.1770000000001</v>
      </c>
      <c r="C82" s="460">
        <v>2081.384</v>
      </c>
      <c r="D82" s="460">
        <v>2081.346</v>
      </c>
      <c r="E82" s="460">
        <v>13.38222</v>
      </c>
      <c r="F82" s="460">
        <v>1033.5309</v>
      </c>
      <c r="G82" s="299" t="s">
        <v>327</v>
      </c>
      <c r="H82" s="299">
        <v>2015</v>
      </c>
      <c r="S82" s="300" t="str">
        <f t="shared" si="3"/>
        <v/>
      </c>
    </row>
    <row r="83" spans="1:19" x14ac:dyDescent="0.2">
      <c r="A83" s="299" t="str">
        <f t="shared" si="2"/>
        <v>BLR2016</v>
      </c>
      <c r="B83" s="460">
        <v>2820.72</v>
      </c>
      <c r="C83" s="460">
        <v>2010.8030000000001</v>
      </c>
      <c r="D83" s="460">
        <v>2001.0429999999999</v>
      </c>
      <c r="E83" s="460">
        <v>11.82169</v>
      </c>
      <c r="F83" s="460">
        <v>122.94158</v>
      </c>
      <c r="G83" s="299" t="s">
        <v>327</v>
      </c>
      <c r="H83" s="299">
        <v>2016</v>
      </c>
      <c r="S83" s="300" t="str">
        <f t="shared" si="3"/>
        <v/>
      </c>
    </row>
    <row r="84" spans="1:19" x14ac:dyDescent="0.2">
      <c r="A84" s="299" t="str">
        <f t="shared" si="2"/>
        <v>BLR2017</v>
      </c>
      <c r="B84" s="460">
        <v>3152.04</v>
      </c>
      <c r="C84" s="460">
        <v>2187.038</v>
      </c>
      <c r="D84" s="460">
        <v>2178.3670000000002</v>
      </c>
      <c r="E84" s="460">
        <v>11.87771</v>
      </c>
      <c r="F84" s="460">
        <v>90.511943000000002</v>
      </c>
      <c r="G84" s="299" t="s">
        <v>327</v>
      </c>
      <c r="H84" s="299">
        <v>2017</v>
      </c>
      <c r="S84" s="300" t="str">
        <f t="shared" si="3"/>
        <v/>
      </c>
    </row>
    <row r="85" spans="1:19" x14ac:dyDescent="0.2">
      <c r="A85" s="299" t="str">
        <f t="shared" si="2"/>
        <v>BLR2018</v>
      </c>
      <c r="B85" s="460">
        <v>3367.502</v>
      </c>
      <c r="C85" s="460">
        <v>2378.2159999999999</v>
      </c>
      <c r="D85" s="460">
        <v>2371.1019999999999</v>
      </c>
      <c r="E85" s="460">
        <v>9.7455879999999997</v>
      </c>
      <c r="G85" s="299" t="s">
        <v>327</v>
      </c>
      <c r="H85" s="299">
        <v>2018</v>
      </c>
      <c r="S85" s="300" t="str">
        <f t="shared" si="3"/>
        <v/>
      </c>
    </row>
    <row r="86" spans="1:19" x14ac:dyDescent="0.2">
      <c r="A86" s="299" t="str">
        <f t="shared" si="2"/>
        <v>BLZ2015</v>
      </c>
      <c r="B86" s="460">
        <v>102.5463</v>
      </c>
      <c r="C86" s="460">
        <v>70.957229999999996</v>
      </c>
      <c r="D86" s="460">
        <v>69.548310000000001</v>
      </c>
      <c r="E86" s="460">
        <v>3.0355270000000001</v>
      </c>
      <c r="F86" s="460">
        <v>0.85620839999999998</v>
      </c>
      <c r="G86" s="299" t="s">
        <v>198</v>
      </c>
      <c r="H86" s="299">
        <v>2015</v>
      </c>
      <c r="S86" s="300" t="str">
        <f t="shared" si="3"/>
        <v/>
      </c>
    </row>
    <row r="87" spans="1:19" x14ac:dyDescent="0.2">
      <c r="A87" s="299" t="str">
        <f t="shared" si="2"/>
        <v>BLZ2016</v>
      </c>
      <c r="B87" s="460">
        <v>109.1289</v>
      </c>
      <c r="C87" s="460">
        <v>75.533600000000007</v>
      </c>
      <c r="D87" s="460">
        <v>75.049779999999998</v>
      </c>
      <c r="E87" s="460">
        <v>1.8099609999999999</v>
      </c>
      <c r="F87" s="460">
        <v>0.46863300000000002</v>
      </c>
      <c r="G87" s="299" t="s">
        <v>198</v>
      </c>
      <c r="H87" s="299">
        <v>2016</v>
      </c>
      <c r="S87" s="300" t="str">
        <f t="shared" si="3"/>
        <v/>
      </c>
    </row>
    <row r="88" spans="1:19" x14ac:dyDescent="0.2">
      <c r="A88" s="299" t="str">
        <f t="shared" si="2"/>
        <v>BLZ2017</v>
      </c>
      <c r="B88" s="460">
        <v>106.1859</v>
      </c>
      <c r="C88" s="460">
        <v>72.989570000000001</v>
      </c>
      <c r="D88" s="460">
        <v>72.888509999999997</v>
      </c>
      <c r="E88" s="460">
        <v>1.70584</v>
      </c>
      <c r="F88" s="460">
        <v>2.0149105</v>
      </c>
      <c r="G88" s="299" t="s">
        <v>198</v>
      </c>
      <c r="H88" s="299">
        <v>2017</v>
      </c>
      <c r="S88" s="300" t="str">
        <f t="shared" si="3"/>
        <v/>
      </c>
    </row>
    <row r="89" spans="1:19" x14ac:dyDescent="0.2">
      <c r="A89" s="299" t="str">
        <f t="shared" si="2"/>
        <v>BLZ2018</v>
      </c>
      <c r="B89" s="460">
        <v>109.55289999999999</v>
      </c>
      <c r="C89" s="460">
        <v>75.522450000000006</v>
      </c>
      <c r="D89" s="460">
        <v>75.151619999999994</v>
      </c>
      <c r="E89" s="460">
        <v>2.7310120000000002</v>
      </c>
      <c r="F89" s="460">
        <v>0.2051115</v>
      </c>
      <c r="G89" s="299" t="s">
        <v>198</v>
      </c>
      <c r="H89" s="299">
        <v>2018</v>
      </c>
      <c r="S89" s="300" t="str">
        <f t="shared" si="3"/>
        <v/>
      </c>
    </row>
    <row r="90" spans="1:19" x14ac:dyDescent="0.2">
      <c r="A90" s="299" t="str">
        <f t="shared" si="2"/>
        <v>BOL2015</v>
      </c>
      <c r="B90" s="460">
        <v>2161.7240000000002</v>
      </c>
      <c r="C90" s="460">
        <v>1441.171</v>
      </c>
      <c r="D90" s="460">
        <v>1421.136</v>
      </c>
      <c r="E90" s="460">
        <v>66.446820000000002</v>
      </c>
      <c r="F90" s="460">
        <v>322.47789999999998</v>
      </c>
      <c r="G90" s="299" t="s">
        <v>200</v>
      </c>
      <c r="H90" s="299">
        <v>2015</v>
      </c>
      <c r="S90" s="300" t="str">
        <f t="shared" si="3"/>
        <v/>
      </c>
    </row>
    <row r="91" spans="1:19" x14ac:dyDescent="0.2">
      <c r="A91" s="299" t="str">
        <f t="shared" si="2"/>
        <v>BOL2016</v>
      </c>
      <c r="B91" s="460">
        <v>2319.308</v>
      </c>
      <c r="C91" s="460">
        <v>1531.9369999999999</v>
      </c>
      <c r="D91" s="460">
        <v>1503.403</v>
      </c>
      <c r="E91" s="460">
        <v>75.113309999999998</v>
      </c>
      <c r="F91" s="460">
        <v>328.29883999999998</v>
      </c>
      <c r="G91" s="299" t="s">
        <v>200</v>
      </c>
      <c r="H91" s="299">
        <v>2016</v>
      </c>
      <c r="S91" s="300" t="str">
        <f t="shared" si="3"/>
        <v/>
      </c>
    </row>
    <row r="92" spans="1:19" x14ac:dyDescent="0.2">
      <c r="A92" s="299" t="str">
        <f t="shared" si="2"/>
        <v>BOL2017</v>
      </c>
      <c r="B92" s="460">
        <v>2434.386</v>
      </c>
      <c r="C92" s="460">
        <v>1676.33</v>
      </c>
      <c r="D92" s="460">
        <v>1668.229</v>
      </c>
      <c r="E92" s="460">
        <v>56.085129999999999</v>
      </c>
      <c r="F92" s="460">
        <v>223.08392000000001</v>
      </c>
      <c r="G92" s="299" t="s">
        <v>200</v>
      </c>
      <c r="H92" s="299">
        <v>2017</v>
      </c>
      <c r="S92" s="300" t="str">
        <f t="shared" si="3"/>
        <v/>
      </c>
    </row>
    <row r="93" spans="1:19" x14ac:dyDescent="0.2">
      <c r="A93" s="299" t="str">
        <f t="shared" si="2"/>
        <v>BOL2018</v>
      </c>
      <c r="B93" s="460">
        <v>2538.5390000000002</v>
      </c>
      <c r="C93" s="460">
        <v>1815.83</v>
      </c>
      <c r="D93" s="460">
        <v>1806.6389999999999</v>
      </c>
      <c r="E93" s="460">
        <v>47.514760000000003</v>
      </c>
      <c r="G93" s="299" t="s">
        <v>200</v>
      </c>
      <c r="H93" s="299">
        <v>2018</v>
      </c>
      <c r="S93" s="300" t="str">
        <f t="shared" si="3"/>
        <v/>
      </c>
    </row>
    <row r="94" spans="1:19" x14ac:dyDescent="0.2">
      <c r="A94" s="299" t="str">
        <f t="shared" si="2"/>
        <v>BRA2015</v>
      </c>
      <c r="B94" s="460">
        <v>159858.1</v>
      </c>
      <c r="C94" s="460">
        <v>68718.960000000006</v>
      </c>
      <c r="D94" s="460">
        <v>68597.88</v>
      </c>
      <c r="E94" s="460">
        <v>128.8638</v>
      </c>
      <c r="F94" s="460">
        <v>4966.1782000000003</v>
      </c>
      <c r="G94" s="299" t="s">
        <v>202</v>
      </c>
      <c r="H94" s="299">
        <v>2015</v>
      </c>
      <c r="S94" s="300" t="str">
        <f t="shared" si="3"/>
        <v/>
      </c>
    </row>
    <row r="95" spans="1:19" x14ac:dyDescent="0.2">
      <c r="A95" s="299" t="str">
        <f t="shared" si="2"/>
        <v>BRA2016</v>
      </c>
      <c r="B95" s="460">
        <v>165221.4</v>
      </c>
      <c r="C95" s="460">
        <v>71042.03</v>
      </c>
      <c r="D95" s="460">
        <v>70978.789999999994</v>
      </c>
      <c r="E95" s="460">
        <v>122.34050000000001</v>
      </c>
      <c r="F95" s="460">
        <v>4882.1167999999998</v>
      </c>
      <c r="G95" s="299" t="s">
        <v>202</v>
      </c>
      <c r="H95" s="299">
        <v>2016</v>
      </c>
      <c r="S95" s="300" t="str">
        <f t="shared" si="3"/>
        <v/>
      </c>
    </row>
    <row r="96" spans="1:19" x14ac:dyDescent="0.2">
      <c r="A96" s="299" t="str">
        <f t="shared" si="2"/>
        <v>BRA2017</v>
      </c>
      <c r="B96" s="460">
        <v>194386.8</v>
      </c>
      <c r="C96" s="460">
        <v>81522.8</v>
      </c>
      <c r="D96" s="460">
        <v>81407.600000000006</v>
      </c>
      <c r="E96" s="460">
        <v>129.4494</v>
      </c>
      <c r="F96" s="460">
        <v>8819.9827999999998</v>
      </c>
      <c r="G96" s="299" t="s">
        <v>202</v>
      </c>
      <c r="H96" s="299">
        <v>2017</v>
      </c>
      <c r="S96" s="300" t="str">
        <f t="shared" si="3"/>
        <v/>
      </c>
    </row>
    <row r="97" spans="1:19" x14ac:dyDescent="0.2">
      <c r="A97" s="299" t="str">
        <f t="shared" si="2"/>
        <v>BRA2018</v>
      </c>
      <c r="B97" s="460">
        <v>177711.4</v>
      </c>
      <c r="C97" s="460">
        <v>74203.509999999995</v>
      </c>
      <c r="D97" s="460">
        <v>74055.62</v>
      </c>
      <c r="E97" s="460">
        <v>154.97630000000001</v>
      </c>
      <c r="G97" s="299" t="s">
        <v>202</v>
      </c>
      <c r="H97" s="299">
        <v>2018</v>
      </c>
      <c r="S97" s="300" t="str">
        <f t="shared" si="3"/>
        <v/>
      </c>
    </row>
    <row r="98" spans="1:19" x14ac:dyDescent="0.2">
      <c r="A98" s="299" t="str">
        <f t="shared" si="2"/>
        <v>BRB2015</v>
      </c>
      <c r="B98" s="460">
        <v>319.43400000000003</v>
      </c>
      <c r="C98" s="460">
        <v>155.98179999999999</v>
      </c>
      <c r="D98" s="460">
        <v>150.8955</v>
      </c>
      <c r="E98" s="460">
        <v>5.4862729999999997</v>
      </c>
      <c r="F98" s="460">
        <v>7.7270865000000004</v>
      </c>
      <c r="G98" s="299" t="s">
        <v>204</v>
      </c>
      <c r="H98" s="299">
        <v>2015</v>
      </c>
      <c r="S98" s="300" t="str">
        <f t="shared" si="3"/>
        <v/>
      </c>
    </row>
    <row r="99" spans="1:19" x14ac:dyDescent="0.2">
      <c r="A99" s="299" t="str">
        <f t="shared" si="2"/>
        <v>BRB2016</v>
      </c>
      <c r="B99" s="460">
        <v>322.71890000000002</v>
      </c>
      <c r="C99" s="460">
        <v>157.32810000000001</v>
      </c>
      <c r="D99" s="460">
        <v>152.18279999999999</v>
      </c>
      <c r="E99" s="460">
        <v>5.5452760000000003</v>
      </c>
      <c r="F99" s="460">
        <v>7.7165664999999999</v>
      </c>
      <c r="G99" s="299" t="s">
        <v>204</v>
      </c>
      <c r="H99" s="299">
        <v>2016</v>
      </c>
      <c r="S99" s="300" t="str">
        <f t="shared" si="3"/>
        <v/>
      </c>
    </row>
    <row r="100" spans="1:19" x14ac:dyDescent="0.2">
      <c r="A100" s="299" t="str">
        <f t="shared" si="2"/>
        <v>BRB2017</v>
      </c>
      <c r="B100" s="460">
        <v>329.65159999999997</v>
      </c>
      <c r="C100" s="460">
        <v>156.13290000000001</v>
      </c>
      <c r="D100" s="460">
        <v>149.50710000000001</v>
      </c>
      <c r="E100" s="460">
        <v>6.6257820000000001</v>
      </c>
      <c r="F100" s="460">
        <v>3.8224132000000002</v>
      </c>
      <c r="G100" s="299" t="s">
        <v>204</v>
      </c>
      <c r="H100" s="299">
        <v>2017</v>
      </c>
      <c r="S100" s="300" t="str">
        <f t="shared" si="3"/>
        <v/>
      </c>
    </row>
    <row r="101" spans="1:19" x14ac:dyDescent="0.2">
      <c r="A101" s="299" t="str">
        <f t="shared" si="2"/>
        <v>BRB2018</v>
      </c>
      <c r="B101" s="460">
        <v>333.80619999999999</v>
      </c>
      <c r="C101" s="460">
        <v>153.42850000000001</v>
      </c>
      <c r="D101" s="460">
        <v>149.4633</v>
      </c>
      <c r="E101" s="460">
        <v>3.9651939999999999</v>
      </c>
      <c r="F101" s="460">
        <v>9.5577020000000008</v>
      </c>
      <c r="G101" s="299" t="s">
        <v>204</v>
      </c>
      <c r="H101" s="299">
        <v>2018</v>
      </c>
      <c r="S101" s="300" t="str">
        <f t="shared" si="3"/>
        <v/>
      </c>
    </row>
    <row r="102" spans="1:19" x14ac:dyDescent="0.2">
      <c r="A102" s="299" t="str">
        <f t="shared" si="2"/>
        <v>BRN2015</v>
      </c>
      <c r="B102" s="460">
        <v>308.6576</v>
      </c>
      <c r="C102" s="460">
        <v>293.30630000000002</v>
      </c>
      <c r="D102" s="460">
        <v>293.30630000000002</v>
      </c>
      <c r="E102" s="460">
        <v>0</v>
      </c>
      <c r="F102" s="460">
        <v>18.910316999999999</v>
      </c>
      <c r="G102" s="299" t="s">
        <v>444</v>
      </c>
      <c r="H102" s="299">
        <v>2015</v>
      </c>
      <c r="S102" s="300" t="str">
        <f t="shared" si="3"/>
        <v/>
      </c>
    </row>
    <row r="103" spans="1:19" x14ac:dyDescent="0.2">
      <c r="A103" s="299" t="str">
        <f t="shared" si="2"/>
        <v>BRN2016</v>
      </c>
      <c r="B103" s="460">
        <v>290.51659999999998</v>
      </c>
      <c r="C103" s="460">
        <v>276.04939999999999</v>
      </c>
      <c r="D103" s="460">
        <v>276.04939999999999</v>
      </c>
      <c r="E103" s="460">
        <v>0</v>
      </c>
      <c r="F103" s="460">
        <v>18.822209999999998</v>
      </c>
      <c r="G103" s="299" t="s">
        <v>444</v>
      </c>
      <c r="H103" s="299">
        <v>2016</v>
      </c>
      <c r="S103" s="300" t="str">
        <f t="shared" si="3"/>
        <v/>
      </c>
    </row>
    <row r="104" spans="1:19" x14ac:dyDescent="0.2">
      <c r="A104" s="299" t="str">
        <f t="shared" si="2"/>
        <v>BRN2017</v>
      </c>
      <c r="B104" s="460">
        <v>275.3424</v>
      </c>
      <c r="C104" s="460">
        <v>260.4425</v>
      </c>
      <c r="D104" s="460">
        <v>260.4425</v>
      </c>
      <c r="E104" s="460">
        <v>0</v>
      </c>
      <c r="F104" s="460">
        <v>18.828420000000001</v>
      </c>
      <c r="G104" s="299" t="s">
        <v>444</v>
      </c>
      <c r="H104" s="299">
        <v>2017</v>
      </c>
      <c r="S104" s="300" t="str">
        <f t="shared" si="3"/>
        <v/>
      </c>
    </row>
    <row r="105" spans="1:19" x14ac:dyDescent="0.2">
      <c r="A105" s="299" t="str">
        <f t="shared" si="2"/>
        <v>BRN2018</v>
      </c>
      <c r="B105" s="460">
        <v>327.36430000000001</v>
      </c>
      <c r="C105" s="460">
        <v>311.45690000000002</v>
      </c>
      <c r="D105" s="460">
        <v>311.45690000000002</v>
      </c>
      <c r="E105" s="460">
        <v>0</v>
      </c>
      <c r="F105" s="460">
        <v>13.010422</v>
      </c>
      <c r="G105" s="299" t="s">
        <v>444</v>
      </c>
      <c r="H105" s="299">
        <v>2018</v>
      </c>
      <c r="S105" s="300" t="str">
        <f t="shared" si="3"/>
        <v/>
      </c>
    </row>
    <row r="106" spans="1:19" x14ac:dyDescent="0.2">
      <c r="A106" s="299" t="str">
        <f t="shared" si="2"/>
        <v>BTN2015</v>
      </c>
      <c r="B106" s="460">
        <v>71.741230000000002</v>
      </c>
      <c r="C106" s="460">
        <v>56.909399999999998</v>
      </c>
      <c r="D106" s="460">
        <v>53.268999999999998</v>
      </c>
      <c r="E106" s="460">
        <v>3.6404049999999999</v>
      </c>
      <c r="F106" s="460">
        <v>11.057892000000001</v>
      </c>
      <c r="G106" s="299" t="s">
        <v>420</v>
      </c>
      <c r="H106" s="299">
        <v>2015</v>
      </c>
      <c r="S106" s="300" t="str">
        <f t="shared" si="3"/>
        <v/>
      </c>
    </row>
    <row r="107" spans="1:19" x14ac:dyDescent="0.2">
      <c r="A107" s="299" t="str">
        <f t="shared" si="2"/>
        <v>BTN2016</v>
      </c>
      <c r="B107" s="460">
        <v>72.864140000000006</v>
      </c>
      <c r="C107" s="460">
        <v>57.35436</v>
      </c>
      <c r="D107" s="460">
        <v>53.88523</v>
      </c>
      <c r="E107" s="460">
        <v>3.4691360000000002</v>
      </c>
      <c r="F107" s="460">
        <v>13.662537</v>
      </c>
      <c r="G107" s="299" t="s">
        <v>420</v>
      </c>
      <c r="H107" s="299">
        <v>2016</v>
      </c>
      <c r="S107" s="300" t="str">
        <f t="shared" si="3"/>
        <v/>
      </c>
    </row>
    <row r="108" spans="1:19" x14ac:dyDescent="0.2">
      <c r="A108" s="299" t="str">
        <f t="shared" si="2"/>
        <v>BTN2017</v>
      </c>
      <c r="B108" s="460">
        <v>78.176090000000002</v>
      </c>
      <c r="C108" s="460">
        <v>61.97334</v>
      </c>
      <c r="D108" s="460">
        <v>58.255589999999998</v>
      </c>
      <c r="E108" s="460">
        <v>8.7308269999999997</v>
      </c>
      <c r="F108" s="460">
        <v>21.063523</v>
      </c>
      <c r="G108" s="299" t="s">
        <v>420</v>
      </c>
      <c r="H108" s="299">
        <v>2017</v>
      </c>
      <c r="S108" s="300" t="str">
        <f t="shared" si="3"/>
        <v/>
      </c>
    </row>
    <row r="109" spans="1:19" x14ac:dyDescent="0.2">
      <c r="A109" s="299" t="str">
        <f t="shared" si="2"/>
        <v>BTN2018</v>
      </c>
      <c r="B109" s="460">
        <v>77.504710000000003</v>
      </c>
      <c r="C109" s="460">
        <v>64.968140000000005</v>
      </c>
      <c r="D109" s="460">
        <v>61.654609999999998</v>
      </c>
      <c r="E109" s="460">
        <v>4.6904260000000004</v>
      </c>
      <c r="F109" s="460">
        <v>20.353406</v>
      </c>
      <c r="G109" s="299" t="s">
        <v>420</v>
      </c>
      <c r="H109" s="299">
        <v>2018</v>
      </c>
      <c r="S109" s="300" t="str">
        <f t="shared" si="3"/>
        <v/>
      </c>
    </row>
    <row r="110" spans="1:19" x14ac:dyDescent="0.2">
      <c r="A110" s="299" t="str">
        <f t="shared" si="2"/>
        <v>BWA2015</v>
      </c>
      <c r="B110" s="460">
        <v>825.76589999999999</v>
      </c>
      <c r="C110" s="460">
        <v>602.00760000000002</v>
      </c>
      <c r="D110" s="460">
        <v>559.52149999999995</v>
      </c>
      <c r="E110" s="460">
        <v>58.051389999999998</v>
      </c>
      <c r="F110" s="460">
        <v>3.2573360999999998</v>
      </c>
      <c r="G110" s="299" t="s">
        <v>99</v>
      </c>
      <c r="H110" s="299">
        <v>2015</v>
      </c>
      <c r="S110" s="300" t="str">
        <f t="shared" si="3"/>
        <v/>
      </c>
    </row>
    <row r="111" spans="1:19" x14ac:dyDescent="0.2">
      <c r="A111" s="299" t="str">
        <f t="shared" si="2"/>
        <v>BWA2016</v>
      </c>
      <c r="B111" s="460">
        <v>870.0222</v>
      </c>
      <c r="C111" s="460">
        <v>607.72379999999998</v>
      </c>
      <c r="D111" s="460">
        <v>578.76020000000005</v>
      </c>
      <c r="E111" s="460">
        <v>49.290559999999999</v>
      </c>
      <c r="F111" s="460">
        <v>27.773917000000001</v>
      </c>
      <c r="G111" s="299" t="s">
        <v>99</v>
      </c>
      <c r="H111" s="299">
        <v>2016</v>
      </c>
      <c r="S111" s="300" t="str">
        <f t="shared" si="3"/>
        <v/>
      </c>
    </row>
    <row r="112" spans="1:19" x14ac:dyDescent="0.2">
      <c r="A112" s="299" t="str">
        <f t="shared" si="2"/>
        <v>BWA2017</v>
      </c>
      <c r="B112" s="460">
        <v>1067.752</v>
      </c>
      <c r="C112" s="460">
        <v>838.55520000000001</v>
      </c>
      <c r="D112" s="460">
        <v>807.85720000000003</v>
      </c>
      <c r="E112" s="460">
        <v>102.62949999999999</v>
      </c>
      <c r="F112" s="460">
        <v>22.253466</v>
      </c>
      <c r="G112" s="299" t="s">
        <v>99</v>
      </c>
      <c r="H112" s="299">
        <v>2017</v>
      </c>
      <c r="S112" s="300" t="str">
        <f t="shared" si="3"/>
        <v/>
      </c>
    </row>
    <row r="113" spans="1:19" x14ac:dyDescent="0.2">
      <c r="A113" s="299" t="str">
        <f t="shared" si="2"/>
        <v>BWA2018</v>
      </c>
      <c r="B113" s="460">
        <v>1088.6320000000001</v>
      </c>
      <c r="C113" s="460">
        <v>885.54989999999998</v>
      </c>
      <c r="D113" s="460">
        <v>843.42510000000004</v>
      </c>
      <c r="E113" s="460">
        <v>69.671700000000001</v>
      </c>
      <c r="G113" s="299" t="s">
        <v>99</v>
      </c>
      <c r="H113" s="299">
        <v>2018</v>
      </c>
      <c r="S113" s="300" t="str">
        <f t="shared" si="3"/>
        <v/>
      </c>
    </row>
    <row r="114" spans="1:19" x14ac:dyDescent="0.2">
      <c r="A114" s="299" t="str">
        <f t="shared" si="2"/>
        <v>CAF2015</v>
      </c>
      <c r="B114" s="460">
        <v>85.339340000000007</v>
      </c>
      <c r="C114" s="460">
        <v>18.991710000000001</v>
      </c>
      <c r="D114" s="460">
        <v>7.727347</v>
      </c>
      <c r="E114" s="460">
        <v>35.333150000000003</v>
      </c>
      <c r="F114" s="460">
        <v>9.9269869999999996E-2</v>
      </c>
      <c r="G114" s="299" t="s">
        <v>102</v>
      </c>
      <c r="H114" s="299">
        <v>2015</v>
      </c>
      <c r="S114" s="300" t="str">
        <f t="shared" si="3"/>
        <v/>
      </c>
    </row>
    <row r="115" spans="1:19" x14ac:dyDescent="0.2">
      <c r="A115" s="299" t="str">
        <f t="shared" si="2"/>
        <v>CAF2016</v>
      </c>
      <c r="B115" s="460">
        <v>99.286969999999997</v>
      </c>
      <c r="C115" s="460">
        <v>25.799589999999998</v>
      </c>
      <c r="D115" s="460">
        <v>10.93418</v>
      </c>
      <c r="E115" s="460">
        <v>32.589080000000003</v>
      </c>
      <c r="F115" s="460">
        <v>0.30773719999999999</v>
      </c>
      <c r="G115" s="299" t="s">
        <v>102</v>
      </c>
      <c r="H115" s="299">
        <v>2016</v>
      </c>
      <c r="S115" s="300" t="str">
        <f t="shared" si="3"/>
        <v/>
      </c>
    </row>
    <row r="116" spans="1:19" x14ac:dyDescent="0.2">
      <c r="A116" s="299" t="str">
        <f t="shared" si="2"/>
        <v>CAF2017</v>
      </c>
      <c r="B116" s="460">
        <v>137.78960000000001</v>
      </c>
      <c r="C116" s="460">
        <v>21.465699999999998</v>
      </c>
      <c r="D116" s="460">
        <v>15.06639</v>
      </c>
      <c r="E116" s="460">
        <v>43.34357</v>
      </c>
      <c r="F116" s="460">
        <v>0.66684639999999995</v>
      </c>
      <c r="G116" s="299" t="s">
        <v>102</v>
      </c>
      <c r="H116" s="299">
        <v>2017</v>
      </c>
      <c r="S116" s="300" t="str">
        <f t="shared" si="3"/>
        <v/>
      </c>
    </row>
    <row r="117" spans="1:19" x14ac:dyDescent="0.2">
      <c r="A117" s="299" t="str">
        <f t="shared" si="2"/>
        <v>CAF2018</v>
      </c>
      <c r="B117" s="460">
        <v>250.41669999999999</v>
      </c>
      <c r="C117" s="460">
        <v>33.588070000000002</v>
      </c>
      <c r="D117" s="460">
        <v>15.68191</v>
      </c>
      <c r="E117" s="460">
        <v>128.65559999999999</v>
      </c>
      <c r="F117" s="460">
        <v>4.5847359000000001</v>
      </c>
      <c r="G117" s="299" t="s">
        <v>102</v>
      </c>
      <c r="H117" s="299">
        <v>2018</v>
      </c>
      <c r="S117" s="300" t="str">
        <f t="shared" si="3"/>
        <v/>
      </c>
    </row>
    <row r="118" spans="1:19" x14ac:dyDescent="0.2">
      <c r="A118" s="299" t="str">
        <f t="shared" si="2"/>
        <v>CAN2015</v>
      </c>
      <c r="B118" s="460">
        <v>166286.20000000001</v>
      </c>
      <c r="C118" s="460">
        <v>123120.5</v>
      </c>
      <c r="D118" s="460">
        <v>123120.5</v>
      </c>
      <c r="E118" s="460">
        <v>0</v>
      </c>
      <c r="F118" s="460">
        <v>7198.3450000000003</v>
      </c>
      <c r="G118" s="299" t="s">
        <v>206</v>
      </c>
      <c r="H118" s="299">
        <v>2015</v>
      </c>
      <c r="S118" s="300" t="str">
        <f t="shared" si="3"/>
        <v/>
      </c>
    </row>
    <row r="119" spans="1:19" x14ac:dyDescent="0.2">
      <c r="A119" s="299" t="str">
        <f t="shared" si="2"/>
        <v>CAN2016</v>
      </c>
      <c r="B119" s="460">
        <v>167759.1</v>
      </c>
      <c r="C119" s="460">
        <v>122509.4</v>
      </c>
      <c r="D119" s="460">
        <v>122509.4</v>
      </c>
      <c r="E119" s="460">
        <v>0</v>
      </c>
      <c r="F119" s="460">
        <v>6313.5514000000003</v>
      </c>
      <c r="G119" s="299" t="s">
        <v>206</v>
      </c>
      <c r="H119" s="299">
        <v>2016</v>
      </c>
      <c r="S119" s="300" t="str">
        <f t="shared" si="3"/>
        <v/>
      </c>
    </row>
    <row r="120" spans="1:19" x14ac:dyDescent="0.2">
      <c r="A120" s="299" t="str">
        <f t="shared" si="2"/>
        <v>CAN2017</v>
      </c>
      <c r="B120" s="460">
        <v>177988.7</v>
      </c>
      <c r="C120" s="460">
        <v>130303.5</v>
      </c>
      <c r="D120" s="460">
        <v>130303.5</v>
      </c>
      <c r="E120" s="460">
        <v>0</v>
      </c>
      <c r="F120" s="460">
        <v>6255.5761000000002</v>
      </c>
      <c r="G120" s="299" t="s">
        <v>206</v>
      </c>
      <c r="H120" s="299">
        <v>2017</v>
      </c>
      <c r="S120" s="300" t="str">
        <f t="shared" si="3"/>
        <v/>
      </c>
    </row>
    <row r="121" spans="1:19" x14ac:dyDescent="0.2">
      <c r="A121" s="299" t="str">
        <f t="shared" si="2"/>
        <v>CAN2018</v>
      </c>
      <c r="B121" s="460">
        <v>185183.8</v>
      </c>
      <c r="C121" s="460">
        <v>136094.9</v>
      </c>
      <c r="D121" s="460">
        <v>136094.9</v>
      </c>
      <c r="E121" s="460">
        <v>0</v>
      </c>
      <c r="F121" s="460">
        <v>10642.442999999999</v>
      </c>
      <c r="G121" s="299" t="s">
        <v>206</v>
      </c>
      <c r="H121" s="299">
        <v>2018</v>
      </c>
      <c r="S121" s="300" t="str">
        <f t="shared" si="3"/>
        <v/>
      </c>
    </row>
    <row r="122" spans="1:19" x14ac:dyDescent="0.2">
      <c r="A122" s="299" t="str">
        <f t="shared" si="2"/>
        <v>CHE2015</v>
      </c>
      <c r="B122" s="460">
        <v>77292.3</v>
      </c>
      <c r="C122" s="460">
        <v>24591.96</v>
      </c>
      <c r="D122" s="460">
        <v>24591.96</v>
      </c>
      <c r="E122" s="460">
        <v>0</v>
      </c>
      <c r="G122" s="299" t="s">
        <v>329</v>
      </c>
      <c r="H122" s="299">
        <v>2015</v>
      </c>
      <c r="S122" s="300" t="str">
        <f t="shared" si="3"/>
        <v/>
      </c>
    </row>
    <row r="123" spans="1:19" x14ac:dyDescent="0.2">
      <c r="A123" s="299" t="str">
        <f t="shared" si="2"/>
        <v>CHE2016</v>
      </c>
      <c r="B123" s="460">
        <v>78603.28</v>
      </c>
      <c r="C123" s="460">
        <v>24363.45</v>
      </c>
      <c r="D123" s="460">
        <v>24363.45</v>
      </c>
      <c r="E123" s="460">
        <v>0</v>
      </c>
      <c r="G123" s="299" t="s">
        <v>329</v>
      </c>
      <c r="H123" s="299">
        <v>2016</v>
      </c>
      <c r="S123" s="300" t="str">
        <f t="shared" si="3"/>
        <v/>
      </c>
    </row>
    <row r="124" spans="1:19" x14ac:dyDescent="0.2">
      <c r="A124" s="299" t="str">
        <f t="shared" si="2"/>
        <v>CHE2017</v>
      </c>
      <c r="B124" s="460">
        <v>80881.14</v>
      </c>
      <c r="C124" s="460">
        <v>25522.91</v>
      </c>
      <c r="D124" s="460">
        <v>25522.91</v>
      </c>
      <c r="E124" s="460">
        <v>0</v>
      </c>
      <c r="G124" s="299" t="s">
        <v>329</v>
      </c>
      <c r="H124" s="299">
        <v>2017</v>
      </c>
      <c r="S124" s="300" t="str">
        <f t="shared" si="3"/>
        <v/>
      </c>
    </row>
    <row r="125" spans="1:19" x14ac:dyDescent="0.2">
      <c r="A125" s="299" t="str">
        <f t="shared" si="2"/>
        <v>CHE2018</v>
      </c>
      <c r="B125" s="460">
        <v>83744</v>
      </c>
      <c r="C125" s="460">
        <v>26145.52</v>
      </c>
      <c r="D125" s="460">
        <v>26145.52</v>
      </c>
      <c r="E125" s="460">
        <v>0</v>
      </c>
      <c r="G125" s="299" t="s">
        <v>329</v>
      </c>
      <c r="H125" s="299">
        <v>2018</v>
      </c>
      <c r="S125" s="300" t="str">
        <f t="shared" si="3"/>
        <v/>
      </c>
    </row>
    <row r="126" spans="1:19" x14ac:dyDescent="0.2">
      <c r="A126" s="299" t="str">
        <f t="shared" si="2"/>
        <v>CHL2015</v>
      </c>
      <c r="B126" s="460">
        <v>20251.849999999999</v>
      </c>
      <c r="C126" s="460">
        <v>9724.2749999999996</v>
      </c>
      <c r="D126" s="460">
        <v>9724.2749999999996</v>
      </c>
      <c r="E126" s="460">
        <v>0.28743930000000001</v>
      </c>
      <c r="F126" s="460">
        <v>782.76180999999997</v>
      </c>
      <c r="G126" s="299" t="s">
        <v>209</v>
      </c>
      <c r="H126" s="299">
        <v>2015</v>
      </c>
      <c r="S126" s="300" t="str">
        <f t="shared" si="3"/>
        <v/>
      </c>
    </row>
    <row r="127" spans="1:19" x14ac:dyDescent="0.2">
      <c r="A127" s="299" t="str">
        <f t="shared" si="2"/>
        <v>CHL2016</v>
      </c>
      <c r="B127" s="460">
        <v>21334.16</v>
      </c>
      <c r="C127" s="460">
        <v>10593.02</v>
      </c>
      <c r="D127" s="460">
        <v>10593.02</v>
      </c>
      <c r="E127" s="460">
        <v>0</v>
      </c>
      <c r="F127" s="460">
        <v>756.35941000000003</v>
      </c>
      <c r="G127" s="299" t="s">
        <v>209</v>
      </c>
      <c r="H127" s="299">
        <v>2016</v>
      </c>
      <c r="S127" s="300" t="str">
        <f t="shared" si="3"/>
        <v/>
      </c>
    </row>
    <row r="128" spans="1:19" x14ac:dyDescent="0.2">
      <c r="A128" s="299" t="str">
        <f t="shared" si="2"/>
        <v>CHL2017</v>
      </c>
      <c r="B128" s="460">
        <v>25123</v>
      </c>
      <c r="C128" s="460">
        <v>12661.86</v>
      </c>
      <c r="D128" s="460">
        <v>12661.86</v>
      </c>
      <c r="E128" s="460">
        <v>0</v>
      </c>
      <c r="F128" s="460">
        <v>679.15709000000004</v>
      </c>
      <c r="G128" s="299" t="s">
        <v>209</v>
      </c>
      <c r="H128" s="299">
        <v>2017</v>
      </c>
      <c r="S128" s="300" t="str">
        <f t="shared" si="3"/>
        <v/>
      </c>
    </row>
    <row r="129" spans="1:19" x14ac:dyDescent="0.2">
      <c r="A129" s="299" t="str">
        <f t="shared" si="2"/>
        <v>CHL2018</v>
      </c>
      <c r="B129" s="460">
        <v>27262.31</v>
      </c>
      <c r="C129" s="460">
        <v>13859.71</v>
      </c>
      <c r="D129" s="460">
        <v>13859.71</v>
      </c>
      <c r="E129" s="460">
        <v>0</v>
      </c>
      <c r="F129" s="460">
        <v>732.02084000000002</v>
      </c>
      <c r="G129" s="299" t="s">
        <v>209</v>
      </c>
      <c r="H129" s="299">
        <v>2018</v>
      </c>
      <c r="S129" s="300" t="str">
        <f t="shared" si="3"/>
        <v/>
      </c>
    </row>
    <row r="130" spans="1:19" x14ac:dyDescent="0.2">
      <c r="A130" s="299" t="str">
        <f t="shared" ref="A130:A193" si="4">CONCATENATE(G130,H130)</f>
        <v>CHN2015</v>
      </c>
      <c r="B130" s="460">
        <v>548817.1</v>
      </c>
      <c r="C130" s="460">
        <v>330283.7</v>
      </c>
      <c r="D130" s="460">
        <v>330283.7</v>
      </c>
      <c r="E130" s="460">
        <v>47.19726</v>
      </c>
      <c r="F130" s="460">
        <v>63389.421999999999</v>
      </c>
      <c r="G130" s="299" t="s">
        <v>446</v>
      </c>
      <c r="H130" s="299">
        <v>2015</v>
      </c>
      <c r="S130" s="300" t="str">
        <f t="shared" si="3"/>
        <v/>
      </c>
    </row>
    <row r="131" spans="1:19" x14ac:dyDescent="0.2">
      <c r="A131" s="299" t="str">
        <f t="shared" si="4"/>
        <v>CHN2016</v>
      </c>
      <c r="B131" s="460">
        <v>559058.5</v>
      </c>
      <c r="C131" s="460">
        <v>324821</v>
      </c>
      <c r="D131" s="460">
        <v>324821</v>
      </c>
      <c r="E131" s="460">
        <v>9.0300550000000008</v>
      </c>
      <c r="F131" s="460">
        <v>69360.906000000003</v>
      </c>
      <c r="G131" s="299" t="s">
        <v>446</v>
      </c>
      <c r="H131" s="299">
        <v>2016</v>
      </c>
      <c r="S131" s="300" t="str">
        <f t="shared" si="3"/>
        <v/>
      </c>
    </row>
    <row r="132" spans="1:19" x14ac:dyDescent="0.2">
      <c r="A132" s="299" t="str">
        <f t="shared" si="4"/>
        <v>CHN2017</v>
      </c>
      <c r="B132" s="460">
        <v>621351.4</v>
      </c>
      <c r="C132" s="460">
        <v>352140.7</v>
      </c>
      <c r="D132" s="460">
        <v>352140.7</v>
      </c>
      <c r="E132" s="460">
        <v>2.7442920000000002</v>
      </c>
      <c r="F132" s="460">
        <v>77685.459000000003</v>
      </c>
      <c r="G132" s="299" t="s">
        <v>446</v>
      </c>
      <c r="H132" s="299">
        <v>2017</v>
      </c>
      <c r="S132" s="300" t="str">
        <f t="shared" si="3"/>
        <v/>
      </c>
    </row>
    <row r="133" spans="1:19" x14ac:dyDescent="0.2">
      <c r="A133" s="299" t="str">
        <f t="shared" si="4"/>
        <v>CHN2018</v>
      </c>
      <c r="B133" s="460">
        <v>715336.3</v>
      </c>
      <c r="C133" s="460">
        <v>403567.2</v>
      </c>
      <c r="D133" s="460">
        <v>403567.2</v>
      </c>
      <c r="E133" s="460">
        <v>4.6354420000000003</v>
      </c>
      <c r="F133" s="460">
        <v>87433.16</v>
      </c>
      <c r="G133" s="299" t="s">
        <v>446</v>
      </c>
      <c r="H133" s="299">
        <v>2018</v>
      </c>
      <c r="S133" s="300" t="str">
        <f t="shared" ref="S133:S196" si="5">IF(ISERROR(AVERAGE(N133:R133)),"",AVERAGE(N133:R133))</f>
        <v/>
      </c>
    </row>
    <row r="134" spans="1:19" x14ac:dyDescent="0.2">
      <c r="A134" s="299" t="str">
        <f t="shared" si="4"/>
        <v>CIV2015</v>
      </c>
      <c r="B134" s="460">
        <v>1465.0519999999999</v>
      </c>
      <c r="C134" s="460">
        <v>414.58879999999999</v>
      </c>
      <c r="D134" s="460">
        <v>358.86739999999998</v>
      </c>
      <c r="E134" s="460">
        <v>192.9109</v>
      </c>
      <c r="F134" s="460">
        <v>172.63091</v>
      </c>
      <c r="G134" s="299" t="s">
        <v>104</v>
      </c>
      <c r="H134" s="299">
        <v>2015</v>
      </c>
      <c r="S134" s="300" t="str">
        <f t="shared" si="5"/>
        <v/>
      </c>
    </row>
    <row r="135" spans="1:19" x14ac:dyDescent="0.2">
      <c r="A135" s="299" t="str">
        <f t="shared" si="4"/>
        <v>CIV2016</v>
      </c>
      <c r="B135" s="460">
        <v>1601.15</v>
      </c>
      <c r="C135" s="460">
        <v>531.94839999999999</v>
      </c>
      <c r="D135" s="460">
        <v>407.27280000000002</v>
      </c>
      <c r="E135" s="460">
        <v>239.8503</v>
      </c>
      <c r="F135" s="460">
        <v>191.93754000000001</v>
      </c>
      <c r="G135" s="299" t="s">
        <v>104</v>
      </c>
      <c r="H135" s="299">
        <v>2016</v>
      </c>
      <c r="S135" s="300" t="str">
        <f t="shared" si="5"/>
        <v/>
      </c>
    </row>
    <row r="136" spans="1:19" x14ac:dyDescent="0.2">
      <c r="A136" s="299" t="str">
        <f t="shared" si="4"/>
        <v>CIV2017</v>
      </c>
      <c r="B136" s="460">
        <v>1694.54</v>
      </c>
      <c r="C136" s="460">
        <v>612.52549999999997</v>
      </c>
      <c r="D136" s="460">
        <v>482.2697</v>
      </c>
      <c r="E136" s="460">
        <v>221.6883</v>
      </c>
      <c r="F136" s="460">
        <v>146.25810999999999</v>
      </c>
      <c r="G136" s="299" t="s">
        <v>104</v>
      </c>
      <c r="H136" s="299">
        <v>2017</v>
      </c>
      <c r="S136" s="300" t="str">
        <f t="shared" si="5"/>
        <v/>
      </c>
    </row>
    <row r="137" spans="1:19" x14ac:dyDescent="0.2">
      <c r="A137" s="299" t="str">
        <f t="shared" si="4"/>
        <v>CIV2018</v>
      </c>
      <c r="B137" s="460">
        <v>1802.011</v>
      </c>
      <c r="C137" s="460">
        <v>606.77470000000005</v>
      </c>
      <c r="D137" s="460">
        <v>519.21</v>
      </c>
      <c r="E137" s="460">
        <v>222.0291</v>
      </c>
      <c r="F137" s="460">
        <v>249.08071000000001</v>
      </c>
      <c r="G137" s="299" t="s">
        <v>104</v>
      </c>
      <c r="H137" s="299">
        <v>2018</v>
      </c>
      <c r="S137" s="300" t="str">
        <f t="shared" si="5"/>
        <v/>
      </c>
    </row>
    <row r="138" spans="1:19" x14ac:dyDescent="0.2">
      <c r="A138" s="299" t="str">
        <f t="shared" si="4"/>
        <v>CMR2015</v>
      </c>
      <c r="B138" s="460">
        <v>1159.0050000000001</v>
      </c>
      <c r="C138" s="460">
        <v>180.39750000000001</v>
      </c>
      <c r="D138" s="460">
        <v>117.12</v>
      </c>
      <c r="E138" s="460">
        <v>114.7637</v>
      </c>
      <c r="F138" s="460">
        <v>175.86859000000001</v>
      </c>
      <c r="G138" s="299" t="s">
        <v>106</v>
      </c>
      <c r="H138" s="299">
        <v>2015</v>
      </c>
      <c r="S138" s="300" t="str">
        <f t="shared" si="5"/>
        <v/>
      </c>
    </row>
    <row r="139" spans="1:19" x14ac:dyDescent="0.2">
      <c r="A139" s="299" t="str">
        <f t="shared" si="4"/>
        <v>CMR2016</v>
      </c>
      <c r="B139" s="460">
        <v>1216.6590000000001</v>
      </c>
      <c r="C139" s="460">
        <v>190.4188</v>
      </c>
      <c r="D139" s="460">
        <v>123.6262</v>
      </c>
      <c r="E139" s="460">
        <v>119.4149</v>
      </c>
      <c r="G139" s="299" t="s">
        <v>106</v>
      </c>
      <c r="H139" s="299">
        <v>2016</v>
      </c>
      <c r="S139" s="300" t="str">
        <f t="shared" si="5"/>
        <v/>
      </c>
    </row>
    <row r="140" spans="1:19" x14ac:dyDescent="0.2">
      <c r="A140" s="299" t="str">
        <f t="shared" si="4"/>
        <v>CMR2017</v>
      </c>
      <c r="B140" s="460">
        <v>1219.6869999999999</v>
      </c>
      <c r="C140" s="460">
        <v>118.6232</v>
      </c>
      <c r="D140" s="460">
        <v>50.815840000000001</v>
      </c>
      <c r="E140" s="460">
        <v>116.2025</v>
      </c>
      <c r="F140" s="460">
        <v>164.4873</v>
      </c>
      <c r="G140" s="299" t="s">
        <v>106</v>
      </c>
      <c r="H140" s="299">
        <v>2017</v>
      </c>
      <c r="S140" s="300" t="str">
        <f t="shared" si="5"/>
        <v/>
      </c>
    </row>
    <row r="141" spans="1:19" x14ac:dyDescent="0.2">
      <c r="A141" s="299" t="str">
        <f t="shared" si="4"/>
        <v>CMR2018</v>
      </c>
      <c r="B141" s="460">
        <v>1365.1969999999999</v>
      </c>
      <c r="C141" s="460">
        <v>151.60390000000001</v>
      </c>
      <c r="D141" s="460">
        <v>81.361800000000002</v>
      </c>
      <c r="E141" s="460">
        <v>116.6874</v>
      </c>
      <c r="F141" s="460">
        <v>163.73417000000001</v>
      </c>
      <c r="G141" s="299" t="s">
        <v>106</v>
      </c>
      <c r="H141" s="299">
        <v>2018</v>
      </c>
      <c r="S141" s="300" t="str">
        <f t="shared" si="5"/>
        <v/>
      </c>
    </row>
    <row r="142" spans="1:19" x14ac:dyDescent="0.2">
      <c r="A142" s="299" t="str">
        <f t="shared" si="4"/>
        <v>COD2015</v>
      </c>
      <c r="B142" s="460">
        <v>1515.1659999999999</v>
      </c>
      <c r="C142" s="460">
        <v>672.2482</v>
      </c>
      <c r="D142" s="460">
        <v>251.03399999999999</v>
      </c>
      <c r="E142" s="460">
        <v>601.11239999999998</v>
      </c>
      <c r="F142" s="460">
        <v>64.206042999999994</v>
      </c>
      <c r="G142" s="299" t="s">
        <v>109</v>
      </c>
      <c r="H142" s="299">
        <v>2015</v>
      </c>
      <c r="S142" s="300" t="str">
        <f t="shared" si="5"/>
        <v/>
      </c>
    </row>
    <row r="143" spans="1:19" x14ac:dyDescent="0.2">
      <c r="A143" s="299" t="str">
        <f t="shared" si="4"/>
        <v>COD2016</v>
      </c>
      <c r="B143" s="460">
        <v>1621.6410000000001</v>
      </c>
      <c r="C143" s="460">
        <v>569.81420000000003</v>
      </c>
      <c r="D143" s="460">
        <v>204.7371</v>
      </c>
      <c r="E143" s="460">
        <v>701.00919999999996</v>
      </c>
      <c r="F143" s="460">
        <v>60.383873000000001</v>
      </c>
      <c r="G143" s="299" t="s">
        <v>109</v>
      </c>
      <c r="H143" s="299">
        <v>2016</v>
      </c>
      <c r="S143" s="300" t="str">
        <f t="shared" si="5"/>
        <v/>
      </c>
    </row>
    <row r="144" spans="1:19" x14ac:dyDescent="0.2">
      <c r="A144" s="299" t="str">
        <f t="shared" si="4"/>
        <v>COD2017</v>
      </c>
      <c r="B144" s="460">
        <v>1580.57</v>
      </c>
      <c r="C144" s="460">
        <v>491.8279</v>
      </c>
      <c r="D144" s="460">
        <v>157.251</v>
      </c>
      <c r="E144" s="460">
        <v>671.31659999999999</v>
      </c>
      <c r="F144" s="460">
        <v>42.040548000000001</v>
      </c>
      <c r="G144" s="299" t="s">
        <v>109</v>
      </c>
      <c r="H144" s="299">
        <v>2017</v>
      </c>
      <c r="S144" s="300" t="str">
        <f t="shared" si="5"/>
        <v/>
      </c>
    </row>
    <row r="145" spans="1:19" x14ac:dyDescent="0.2">
      <c r="A145" s="299" t="str">
        <f t="shared" si="4"/>
        <v>COD2018</v>
      </c>
      <c r="B145" s="460">
        <v>1556.175</v>
      </c>
      <c r="C145" s="460">
        <v>480.63130000000001</v>
      </c>
      <c r="D145" s="460">
        <v>234.64599999999999</v>
      </c>
      <c r="E145" s="460">
        <v>548.03589999999997</v>
      </c>
      <c r="F145" s="460">
        <v>29.07987</v>
      </c>
      <c r="G145" s="299" t="s">
        <v>109</v>
      </c>
      <c r="H145" s="299">
        <v>2018</v>
      </c>
      <c r="S145" s="300" t="str">
        <f t="shared" si="5"/>
        <v/>
      </c>
    </row>
    <row r="146" spans="1:19" x14ac:dyDescent="0.2">
      <c r="A146" s="299" t="str">
        <f t="shared" si="4"/>
        <v>COG2015</v>
      </c>
      <c r="B146" s="460">
        <v>291.98869999999999</v>
      </c>
      <c r="C146" s="460">
        <v>185.06800000000001</v>
      </c>
      <c r="D146" s="460">
        <v>132.9785</v>
      </c>
      <c r="E146" s="460">
        <v>55.227809999999998</v>
      </c>
      <c r="F146" s="460">
        <v>30.610927</v>
      </c>
      <c r="G146" s="299" t="s">
        <v>111</v>
      </c>
      <c r="H146" s="299">
        <v>2015</v>
      </c>
      <c r="S146" s="300" t="str">
        <f t="shared" si="5"/>
        <v/>
      </c>
    </row>
    <row r="147" spans="1:19" x14ac:dyDescent="0.2">
      <c r="A147" s="299" t="str">
        <f t="shared" si="4"/>
        <v>COG2016</v>
      </c>
      <c r="B147" s="460">
        <v>269.4898</v>
      </c>
      <c r="C147" s="460">
        <v>128.21979999999999</v>
      </c>
      <c r="D147" s="460">
        <v>122.3019</v>
      </c>
      <c r="E147" s="460">
        <v>15.436159999999999</v>
      </c>
      <c r="F147" s="460">
        <v>13.776294999999999</v>
      </c>
      <c r="G147" s="299" t="s">
        <v>111</v>
      </c>
      <c r="H147" s="299">
        <v>2016</v>
      </c>
      <c r="S147" s="300" t="str">
        <f t="shared" si="5"/>
        <v/>
      </c>
    </row>
    <row r="148" spans="1:19" x14ac:dyDescent="0.2">
      <c r="A148" s="299" t="str">
        <f t="shared" si="4"/>
        <v>COG2017</v>
      </c>
      <c r="B148" s="460">
        <v>262.00439999999998</v>
      </c>
      <c r="C148" s="460">
        <v>113.461</v>
      </c>
      <c r="D148" s="460">
        <v>107.11539999999999</v>
      </c>
      <c r="E148" s="460">
        <v>19.813479999999998</v>
      </c>
      <c r="F148" s="460">
        <v>17.033294000000001</v>
      </c>
      <c r="G148" s="299" t="s">
        <v>111</v>
      </c>
      <c r="H148" s="299">
        <v>2017</v>
      </c>
      <c r="S148" s="300" t="str">
        <f t="shared" si="5"/>
        <v/>
      </c>
    </row>
    <row r="149" spans="1:19" x14ac:dyDescent="0.2">
      <c r="A149" s="299" t="str">
        <f t="shared" si="4"/>
        <v>COG2018</v>
      </c>
      <c r="B149" s="460">
        <v>249.20009999999999</v>
      </c>
      <c r="C149" s="460">
        <v>103.1315</v>
      </c>
      <c r="D149" s="460">
        <v>91.590909999999994</v>
      </c>
      <c r="E149" s="460">
        <v>19.81024</v>
      </c>
      <c r="F149" s="460">
        <v>9.1041518000000003</v>
      </c>
      <c r="G149" s="299" t="s">
        <v>111</v>
      </c>
      <c r="H149" s="299">
        <v>2018</v>
      </c>
      <c r="S149" s="300" t="str">
        <f t="shared" si="5"/>
        <v/>
      </c>
    </row>
    <row r="150" spans="1:19" x14ac:dyDescent="0.2">
      <c r="A150" s="299" t="str">
        <f t="shared" si="4"/>
        <v>COK2015</v>
      </c>
      <c r="B150" s="460">
        <v>8.1527150000000006</v>
      </c>
      <c r="C150" s="460">
        <v>7.4059869999999997</v>
      </c>
      <c r="D150" s="460">
        <v>7.4059869999999997</v>
      </c>
      <c r="E150" s="460">
        <v>0.12259109999999999</v>
      </c>
      <c r="F150" s="460">
        <v>0.80894018000000001</v>
      </c>
      <c r="G150" s="299" t="s">
        <v>448</v>
      </c>
      <c r="H150" s="299">
        <v>2015</v>
      </c>
      <c r="S150" s="300" t="str">
        <f t="shared" si="5"/>
        <v/>
      </c>
    </row>
    <row r="151" spans="1:19" x14ac:dyDescent="0.2">
      <c r="A151" s="299" t="str">
        <f t="shared" si="4"/>
        <v>COK2016</v>
      </c>
      <c r="B151" s="460">
        <v>10.00698</v>
      </c>
      <c r="C151" s="460">
        <v>8.5679339999999993</v>
      </c>
      <c r="D151" s="460">
        <v>8.1618589999999998</v>
      </c>
      <c r="E151" s="460">
        <v>1.2068829999999999</v>
      </c>
      <c r="F151" s="460">
        <v>0.71352744000000001</v>
      </c>
      <c r="G151" s="299" t="s">
        <v>448</v>
      </c>
      <c r="H151" s="299">
        <v>2016</v>
      </c>
      <c r="S151" s="300" t="str">
        <f t="shared" si="5"/>
        <v/>
      </c>
    </row>
    <row r="152" spans="1:19" x14ac:dyDescent="0.2">
      <c r="A152" s="299" t="str">
        <f t="shared" si="4"/>
        <v>COK2017</v>
      </c>
      <c r="B152" s="460">
        <v>10.23188</v>
      </c>
      <c r="C152" s="460">
        <v>8.9193540000000002</v>
      </c>
      <c r="D152" s="460">
        <v>8.7149900000000002</v>
      </c>
      <c r="E152" s="460">
        <v>0.8362697</v>
      </c>
      <c r="F152" s="460">
        <v>0.52898650000000003</v>
      </c>
      <c r="G152" s="299" t="s">
        <v>448</v>
      </c>
      <c r="H152" s="299">
        <v>2017</v>
      </c>
      <c r="S152" s="300" t="str">
        <f t="shared" si="5"/>
        <v/>
      </c>
    </row>
    <row r="153" spans="1:19" x14ac:dyDescent="0.2">
      <c r="A153" s="299" t="str">
        <f t="shared" si="4"/>
        <v>COK2018</v>
      </c>
      <c r="B153" s="460">
        <v>10.44275</v>
      </c>
      <c r="C153" s="460">
        <v>8.6010530000000003</v>
      </c>
      <c r="D153" s="460">
        <v>8.5600129999999996</v>
      </c>
      <c r="E153" s="460">
        <v>0.50989300000000004</v>
      </c>
      <c r="F153" s="460">
        <v>0.6811931</v>
      </c>
      <c r="G153" s="299" t="s">
        <v>448</v>
      </c>
      <c r="H153" s="299">
        <v>2018</v>
      </c>
      <c r="S153" s="300" t="str">
        <f t="shared" si="5"/>
        <v/>
      </c>
    </row>
    <row r="154" spans="1:19" x14ac:dyDescent="0.2">
      <c r="A154" s="299" t="str">
        <f t="shared" si="4"/>
        <v>COL2015</v>
      </c>
      <c r="B154" s="460">
        <v>22079.759999999998</v>
      </c>
      <c r="C154" s="460">
        <v>15639.33</v>
      </c>
      <c r="D154" s="460">
        <v>15639.33</v>
      </c>
      <c r="G154" s="299" t="s">
        <v>211</v>
      </c>
      <c r="H154" s="299">
        <v>2015</v>
      </c>
      <c r="S154" s="300" t="str">
        <f t="shared" si="5"/>
        <v/>
      </c>
    </row>
    <row r="155" spans="1:19" x14ac:dyDescent="0.2">
      <c r="A155" s="299" t="str">
        <f t="shared" si="4"/>
        <v>COL2016</v>
      </c>
      <c r="B155" s="460">
        <v>21300.03</v>
      </c>
      <c r="C155" s="460">
        <v>14980.21</v>
      </c>
      <c r="D155" s="460">
        <v>14980.21</v>
      </c>
      <c r="F155" s="460">
        <v>0</v>
      </c>
      <c r="G155" s="299" t="s">
        <v>211</v>
      </c>
      <c r="H155" s="299">
        <v>2016</v>
      </c>
      <c r="S155" s="300" t="str">
        <f t="shared" si="5"/>
        <v/>
      </c>
    </row>
    <row r="156" spans="1:19" x14ac:dyDescent="0.2">
      <c r="A156" s="299" t="str">
        <f t="shared" si="4"/>
        <v>COL2017</v>
      </c>
      <c r="B156" s="460">
        <v>23948.44</v>
      </c>
      <c r="C156" s="460">
        <v>17013.2</v>
      </c>
      <c r="D156" s="460">
        <v>17013.2</v>
      </c>
      <c r="G156" s="299" t="s">
        <v>211</v>
      </c>
      <c r="H156" s="299">
        <v>2017</v>
      </c>
      <c r="S156" s="300" t="str">
        <f t="shared" si="5"/>
        <v/>
      </c>
    </row>
    <row r="157" spans="1:19" x14ac:dyDescent="0.2">
      <c r="A157" s="299" t="str">
        <f t="shared" si="4"/>
        <v>COL2018</v>
      </c>
      <c r="B157" s="460">
        <v>25484</v>
      </c>
      <c r="C157" s="460">
        <v>18250.23</v>
      </c>
      <c r="D157" s="460">
        <v>18250.23</v>
      </c>
      <c r="G157" s="299" t="s">
        <v>211</v>
      </c>
      <c r="H157" s="299">
        <v>2018</v>
      </c>
      <c r="S157" s="300" t="str">
        <f t="shared" si="5"/>
        <v/>
      </c>
    </row>
    <row r="158" spans="1:19" x14ac:dyDescent="0.2">
      <c r="A158" s="299" t="str">
        <f t="shared" si="4"/>
        <v>COM2015</v>
      </c>
      <c r="B158" s="460">
        <v>46.8095</v>
      </c>
      <c r="C158" s="460">
        <v>9.2122510000000002</v>
      </c>
      <c r="D158" s="460">
        <v>7.3461600000000002</v>
      </c>
      <c r="E158" s="460">
        <v>4.613588</v>
      </c>
      <c r="G158" s="299" t="s">
        <v>113</v>
      </c>
      <c r="H158" s="299">
        <v>2015</v>
      </c>
      <c r="S158" s="300" t="str">
        <f t="shared" si="5"/>
        <v/>
      </c>
    </row>
    <row r="159" spans="1:19" x14ac:dyDescent="0.2">
      <c r="A159" s="299" t="str">
        <f t="shared" si="4"/>
        <v>COM2016</v>
      </c>
      <c r="B159" s="460">
        <v>48.326630000000002</v>
      </c>
      <c r="C159" s="460">
        <v>9.3864529999999995</v>
      </c>
      <c r="D159" s="460">
        <v>6.8703050000000001</v>
      </c>
      <c r="E159" s="460">
        <v>5.3617809999999997</v>
      </c>
      <c r="G159" s="299" t="s">
        <v>113</v>
      </c>
      <c r="H159" s="299">
        <v>2016</v>
      </c>
      <c r="S159" s="300" t="str">
        <f t="shared" si="5"/>
        <v/>
      </c>
    </row>
    <row r="160" spans="1:19" x14ac:dyDescent="0.2">
      <c r="A160" s="299" t="str">
        <f t="shared" si="4"/>
        <v>COM2017</v>
      </c>
      <c r="B160" s="460">
        <v>50.241459999999996</v>
      </c>
      <c r="C160" s="460">
        <v>9.0385200000000001</v>
      </c>
      <c r="D160" s="460">
        <v>5.5603569999999998</v>
      </c>
      <c r="E160" s="460">
        <v>6.4935879999999999</v>
      </c>
      <c r="G160" s="299" t="s">
        <v>113</v>
      </c>
      <c r="H160" s="299">
        <v>2017</v>
      </c>
      <c r="S160" s="300" t="str">
        <f t="shared" si="5"/>
        <v/>
      </c>
    </row>
    <row r="161" spans="1:19" x14ac:dyDescent="0.2">
      <c r="A161" s="299" t="str">
        <f t="shared" si="4"/>
        <v>COM2018</v>
      </c>
      <c r="B161" s="460">
        <v>54.290500000000002</v>
      </c>
      <c r="C161" s="460">
        <v>9.6151710000000001</v>
      </c>
      <c r="D161" s="460">
        <v>5.0275910000000001</v>
      </c>
      <c r="E161" s="460">
        <v>7.8551539999999997</v>
      </c>
      <c r="G161" s="299" t="s">
        <v>113</v>
      </c>
      <c r="H161" s="299">
        <v>2018</v>
      </c>
      <c r="S161" s="300" t="str">
        <f t="shared" si="5"/>
        <v/>
      </c>
    </row>
    <row r="162" spans="1:19" x14ac:dyDescent="0.2">
      <c r="A162" s="299" t="str">
        <f t="shared" si="4"/>
        <v>CPV2015</v>
      </c>
      <c r="B162" s="460">
        <v>76.931309999999996</v>
      </c>
      <c r="C162" s="460">
        <v>52.637360000000001</v>
      </c>
      <c r="D162" s="460">
        <v>50.687269999999998</v>
      </c>
      <c r="E162" s="460">
        <v>3.12263</v>
      </c>
      <c r="F162" s="460">
        <v>12.867394000000001</v>
      </c>
      <c r="G162" s="299" t="s">
        <v>115</v>
      </c>
      <c r="H162" s="299">
        <v>2015</v>
      </c>
      <c r="S162" s="300" t="str">
        <f t="shared" si="5"/>
        <v/>
      </c>
    </row>
    <row r="163" spans="1:19" x14ac:dyDescent="0.2">
      <c r="A163" s="299" t="str">
        <f t="shared" si="4"/>
        <v>CPV2016</v>
      </c>
      <c r="B163" s="460">
        <v>80.572940000000003</v>
      </c>
      <c r="C163" s="460">
        <v>54.054090000000002</v>
      </c>
      <c r="D163" s="460">
        <v>51.2271</v>
      </c>
      <c r="E163" s="460">
        <v>4.0937450000000002</v>
      </c>
      <c r="F163" s="460">
        <v>6.1305205000000003</v>
      </c>
      <c r="G163" s="299" t="s">
        <v>115</v>
      </c>
      <c r="H163" s="299">
        <v>2016</v>
      </c>
      <c r="S163" s="300" t="str">
        <f t="shared" si="5"/>
        <v/>
      </c>
    </row>
    <row r="164" spans="1:19" x14ac:dyDescent="0.2">
      <c r="A164" s="299" t="str">
        <f t="shared" si="4"/>
        <v>CPV2017</v>
      </c>
      <c r="B164" s="460">
        <v>94.862690000000001</v>
      </c>
      <c r="C164" s="460">
        <v>64.330160000000006</v>
      </c>
      <c r="D164" s="460">
        <v>58.068069999999999</v>
      </c>
      <c r="E164" s="460">
        <v>7.4577780000000002</v>
      </c>
      <c r="G164" s="299" t="s">
        <v>115</v>
      </c>
      <c r="H164" s="299">
        <v>2017</v>
      </c>
      <c r="S164" s="300" t="str">
        <f t="shared" si="5"/>
        <v/>
      </c>
    </row>
    <row r="165" spans="1:19" x14ac:dyDescent="0.2">
      <c r="A165" s="299" t="str">
        <f t="shared" si="4"/>
        <v>CPV2018</v>
      </c>
      <c r="B165" s="460">
        <v>105.9567</v>
      </c>
      <c r="C165" s="460">
        <v>71.417299999999997</v>
      </c>
      <c r="D165" s="460">
        <v>63.748359999999998</v>
      </c>
      <c r="E165" s="460">
        <v>9.4520239999999998</v>
      </c>
      <c r="G165" s="299" t="s">
        <v>115</v>
      </c>
      <c r="H165" s="299">
        <v>2018</v>
      </c>
      <c r="S165" s="300" t="str">
        <f t="shared" si="5"/>
        <v/>
      </c>
    </row>
    <row r="166" spans="1:19" x14ac:dyDescent="0.2">
      <c r="A166" s="299" t="str">
        <f t="shared" si="4"/>
        <v>CRI2015</v>
      </c>
      <c r="B166" s="460">
        <v>4285.049</v>
      </c>
      <c r="C166" s="460">
        <v>3115.6129999999998</v>
      </c>
      <c r="D166" s="460">
        <v>3115.4960000000001</v>
      </c>
      <c r="E166" s="460">
        <v>0.27287440000000002</v>
      </c>
      <c r="F166" s="460">
        <v>119.51246</v>
      </c>
      <c r="G166" s="299" t="s">
        <v>213</v>
      </c>
      <c r="H166" s="299">
        <v>2015</v>
      </c>
      <c r="S166" s="300" t="str">
        <f t="shared" si="5"/>
        <v/>
      </c>
    </row>
    <row r="167" spans="1:19" x14ac:dyDescent="0.2">
      <c r="A167" s="299" t="str">
        <f t="shared" si="4"/>
        <v>CRI2016</v>
      </c>
      <c r="B167" s="460">
        <v>4305.9799999999996</v>
      </c>
      <c r="C167" s="460">
        <v>3157.3490000000002</v>
      </c>
      <c r="D167" s="460">
        <v>3157.3119999999999</v>
      </c>
      <c r="E167" s="460">
        <v>1.221247</v>
      </c>
      <c r="F167" s="460">
        <v>143.06800000000001</v>
      </c>
      <c r="G167" s="299" t="s">
        <v>213</v>
      </c>
      <c r="H167" s="299">
        <v>2016</v>
      </c>
      <c r="S167" s="300" t="str">
        <f t="shared" si="5"/>
        <v/>
      </c>
    </row>
    <row r="168" spans="1:19" x14ac:dyDescent="0.2">
      <c r="A168" s="299" t="str">
        <f t="shared" si="4"/>
        <v>CRI2017</v>
      </c>
      <c r="B168" s="460">
        <v>4263.4949999999999</v>
      </c>
      <c r="C168" s="460">
        <v>3134.1109999999999</v>
      </c>
      <c r="D168" s="460">
        <v>3134.0639999999999</v>
      </c>
      <c r="E168" s="460">
        <v>2.2826650000000002</v>
      </c>
      <c r="F168" s="460">
        <v>77.541470000000004</v>
      </c>
      <c r="G168" s="299" t="s">
        <v>213</v>
      </c>
      <c r="H168" s="299">
        <v>2017</v>
      </c>
      <c r="S168" s="300" t="str">
        <f t="shared" si="5"/>
        <v/>
      </c>
    </row>
    <row r="169" spans="1:19" x14ac:dyDescent="0.2">
      <c r="A169" s="299" t="str">
        <f t="shared" si="4"/>
        <v>CRI2018</v>
      </c>
      <c r="B169" s="460">
        <v>4547.857</v>
      </c>
      <c r="C169" s="460">
        <v>3292.373</v>
      </c>
      <c r="D169" s="460">
        <v>3292.373</v>
      </c>
      <c r="E169" s="460">
        <v>0.282499</v>
      </c>
      <c r="F169" s="460">
        <v>151.03542999999999</v>
      </c>
      <c r="G169" s="299" t="s">
        <v>213</v>
      </c>
      <c r="H169" s="299">
        <v>2018</v>
      </c>
      <c r="S169" s="300" t="str">
        <f t="shared" si="5"/>
        <v/>
      </c>
    </row>
    <row r="170" spans="1:19" x14ac:dyDescent="0.2">
      <c r="A170" s="299" t="str">
        <f t="shared" si="4"/>
        <v>CUB2015</v>
      </c>
      <c r="B170" s="460">
        <v>11174.55</v>
      </c>
      <c r="C170" s="460">
        <v>10094.129999999999</v>
      </c>
      <c r="D170" s="460">
        <v>10094.02</v>
      </c>
      <c r="E170" s="460">
        <v>5.3262549999999997</v>
      </c>
      <c r="F170" s="460">
        <v>190.16542999999999</v>
      </c>
      <c r="G170" s="299" t="s">
        <v>215</v>
      </c>
      <c r="H170" s="299">
        <v>2015</v>
      </c>
      <c r="S170" s="300" t="str">
        <f t="shared" si="5"/>
        <v/>
      </c>
    </row>
    <row r="171" spans="1:19" x14ac:dyDescent="0.2">
      <c r="A171" s="299" t="str">
        <f t="shared" si="4"/>
        <v>CUB2016</v>
      </c>
      <c r="B171" s="460">
        <v>11163.36</v>
      </c>
      <c r="C171" s="460">
        <v>10005.049999999999</v>
      </c>
      <c r="D171" s="460">
        <v>10003.200000000001</v>
      </c>
      <c r="E171" s="460">
        <v>11.95716</v>
      </c>
      <c r="F171" s="460">
        <v>293.77618999999999</v>
      </c>
      <c r="G171" s="299" t="s">
        <v>215</v>
      </c>
      <c r="H171" s="299">
        <v>2016</v>
      </c>
      <c r="S171" s="300" t="str">
        <f t="shared" si="5"/>
        <v/>
      </c>
    </row>
    <row r="172" spans="1:19" x14ac:dyDescent="0.2">
      <c r="A172" s="299" t="str">
        <f t="shared" si="4"/>
        <v>CUB2017</v>
      </c>
      <c r="B172" s="460">
        <v>11342.54</v>
      </c>
      <c r="C172" s="460">
        <v>10145.42</v>
      </c>
      <c r="D172" s="460">
        <v>10145.01</v>
      </c>
      <c r="E172" s="460">
        <v>8.5298060000000007</v>
      </c>
      <c r="F172" s="460">
        <v>312.50331999999997</v>
      </c>
      <c r="G172" s="299" t="s">
        <v>215</v>
      </c>
      <c r="H172" s="299">
        <v>2017</v>
      </c>
      <c r="S172" s="300" t="str">
        <f t="shared" si="5"/>
        <v/>
      </c>
    </row>
    <row r="173" spans="1:19" x14ac:dyDescent="0.2">
      <c r="A173" s="299" t="str">
        <f t="shared" si="4"/>
        <v>CUB2018</v>
      </c>
      <c r="B173" s="460">
        <v>11190.03</v>
      </c>
      <c r="C173" s="460">
        <v>9951.9889999999996</v>
      </c>
      <c r="D173" s="460">
        <v>9948.5210000000006</v>
      </c>
      <c r="E173" s="460">
        <v>9.7063819999999996</v>
      </c>
      <c r="F173" s="460">
        <v>301.2</v>
      </c>
      <c r="G173" s="299" t="s">
        <v>215</v>
      </c>
      <c r="H173" s="299">
        <v>2018</v>
      </c>
      <c r="S173" s="300" t="str">
        <f t="shared" si="5"/>
        <v/>
      </c>
    </row>
    <row r="174" spans="1:19" x14ac:dyDescent="0.2">
      <c r="A174" s="299" t="str">
        <f t="shared" si="4"/>
        <v>CYP2015</v>
      </c>
      <c r="B174" s="460">
        <v>1369.23</v>
      </c>
      <c r="C174" s="460">
        <v>571.59469999999999</v>
      </c>
      <c r="D174" s="460">
        <v>565.94259999999997</v>
      </c>
      <c r="E174" s="460">
        <v>15.674300000000001</v>
      </c>
      <c r="F174" s="460">
        <v>26.727293</v>
      </c>
      <c r="G174" s="299" t="s">
        <v>331</v>
      </c>
      <c r="H174" s="299">
        <v>2015</v>
      </c>
      <c r="S174" s="300" t="str">
        <f t="shared" si="5"/>
        <v/>
      </c>
    </row>
    <row r="175" spans="1:19" x14ac:dyDescent="0.2">
      <c r="A175" s="299" t="str">
        <f t="shared" si="4"/>
        <v>CYP2016</v>
      </c>
      <c r="B175" s="460">
        <v>1426.7909999999999</v>
      </c>
      <c r="C175" s="460">
        <v>588.24009999999998</v>
      </c>
      <c r="D175" s="460">
        <v>585.33180000000004</v>
      </c>
      <c r="E175" s="460">
        <v>2.9081359999999998</v>
      </c>
      <c r="F175" s="460">
        <v>30.420354</v>
      </c>
      <c r="G175" s="299" t="s">
        <v>331</v>
      </c>
      <c r="H175" s="299">
        <v>2016</v>
      </c>
      <c r="S175" s="300" t="str">
        <f t="shared" si="5"/>
        <v/>
      </c>
    </row>
    <row r="176" spans="1:19" x14ac:dyDescent="0.2">
      <c r="A176" s="299" t="str">
        <f t="shared" si="4"/>
        <v>CYP2017</v>
      </c>
      <c r="B176" s="460">
        <v>1521.845</v>
      </c>
      <c r="C176" s="460">
        <v>632.07380000000001</v>
      </c>
      <c r="D176" s="460">
        <v>625.88260000000002</v>
      </c>
      <c r="E176" s="460">
        <v>6.1911940000000003</v>
      </c>
      <c r="F176" s="460">
        <v>34.937451000000003</v>
      </c>
      <c r="G176" s="299" t="s">
        <v>331</v>
      </c>
      <c r="H176" s="299">
        <v>2017</v>
      </c>
      <c r="S176" s="300" t="str">
        <f t="shared" si="5"/>
        <v/>
      </c>
    </row>
    <row r="177" spans="1:19" x14ac:dyDescent="0.2">
      <c r="A177" s="299" t="str">
        <f t="shared" si="4"/>
        <v>CYP2018</v>
      </c>
      <c r="B177" s="460">
        <v>1689.069</v>
      </c>
      <c r="C177" s="460">
        <v>729.30349999999999</v>
      </c>
      <c r="D177" s="460">
        <v>722.95389999999998</v>
      </c>
      <c r="E177" s="460">
        <v>6.3497149999999998</v>
      </c>
      <c r="G177" s="299" t="s">
        <v>331</v>
      </c>
      <c r="H177" s="299">
        <v>2018</v>
      </c>
      <c r="S177" s="300" t="str">
        <f t="shared" si="5"/>
        <v/>
      </c>
    </row>
    <row r="178" spans="1:19" x14ac:dyDescent="0.2">
      <c r="A178" s="299" t="str">
        <f t="shared" si="4"/>
        <v>CZE2015</v>
      </c>
      <c r="B178" s="460">
        <v>13531.64</v>
      </c>
      <c r="C178" s="460">
        <v>11127.47</v>
      </c>
      <c r="D178" s="460">
        <v>11127.47</v>
      </c>
      <c r="E178" s="460">
        <v>0</v>
      </c>
      <c r="F178" s="460">
        <v>166.77518000000001</v>
      </c>
      <c r="G178" s="299" t="s">
        <v>333</v>
      </c>
      <c r="H178" s="299">
        <v>2015</v>
      </c>
      <c r="S178" s="300" t="str">
        <f t="shared" si="5"/>
        <v/>
      </c>
    </row>
    <row r="179" spans="1:19" x14ac:dyDescent="0.2">
      <c r="A179" s="299" t="str">
        <f t="shared" si="4"/>
        <v>CZE2016</v>
      </c>
      <c r="B179" s="460">
        <v>13948.17</v>
      </c>
      <c r="C179" s="460">
        <v>11420.53</v>
      </c>
      <c r="D179" s="460">
        <v>11420.53</v>
      </c>
      <c r="F179" s="460">
        <v>204.27450999999999</v>
      </c>
      <c r="G179" s="299" t="s">
        <v>333</v>
      </c>
      <c r="H179" s="299">
        <v>2016</v>
      </c>
      <c r="S179" s="300" t="str">
        <f t="shared" si="5"/>
        <v/>
      </c>
    </row>
    <row r="180" spans="1:19" x14ac:dyDescent="0.2">
      <c r="A180" s="299" t="str">
        <f t="shared" si="4"/>
        <v>CZE2017</v>
      </c>
      <c r="B180" s="460">
        <v>15613.44</v>
      </c>
      <c r="C180" s="460">
        <v>12763.81</v>
      </c>
      <c r="D180" s="460">
        <v>12763.81</v>
      </c>
      <c r="F180" s="460">
        <v>281.45979999999997</v>
      </c>
      <c r="G180" s="299" t="s">
        <v>333</v>
      </c>
      <c r="H180" s="299">
        <v>2017</v>
      </c>
      <c r="S180" s="300" t="str">
        <f t="shared" si="5"/>
        <v/>
      </c>
    </row>
    <row r="181" spans="1:19" x14ac:dyDescent="0.2">
      <c r="A181" s="299" t="str">
        <f t="shared" si="4"/>
        <v>CZE2018</v>
      </c>
      <c r="B181" s="460">
        <v>18732.990000000002</v>
      </c>
      <c r="C181" s="460">
        <v>15492.89</v>
      </c>
      <c r="D181" s="460">
        <v>15492.89</v>
      </c>
      <c r="F181" s="460">
        <v>278.04289999999997</v>
      </c>
      <c r="G181" s="299" t="s">
        <v>333</v>
      </c>
      <c r="H181" s="299">
        <v>2018</v>
      </c>
      <c r="S181" s="300" t="str">
        <f t="shared" si="5"/>
        <v/>
      </c>
    </row>
    <row r="182" spans="1:19" x14ac:dyDescent="0.2">
      <c r="A182" s="299" t="str">
        <f t="shared" si="4"/>
        <v>DEU2015</v>
      </c>
      <c r="B182" s="460">
        <v>375311.8</v>
      </c>
      <c r="C182" s="460">
        <v>288818.5</v>
      </c>
      <c r="D182" s="460">
        <v>288818.5</v>
      </c>
      <c r="E182" s="460">
        <v>0</v>
      </c>
      <c r="G182" s="299" t="s">
        <v>335</v>
      </c>
      <c r="H182" s="299">
        <v>2015</v>
      </c>
      <c r="S182" s="300" t="str">
        <f t="shared" si="5"/>
        <v/>
      </c>
    </row>
    <row r="183" spans="1:19" x14ac:dyDescent="0.2">
      <c r="A183" s="299" t="str">
        <f t="shared" si="4"/>
        <v>DEU2016</v>
      </c>
      <c r="B183" s="460">
        <v>389679.9</v>
      </c>
      <c r="C183" s="460">
        <v>301066.7</v>
      </c>
      <c r="D183" s="460">
        <v>301066.7</v>
      </c>
      <c r="E183" s="460">
        <v>0</v>
      </c>
      <c r="G183" s="299" t="s">
        <v>335</v>
      </c>
      <c r="H183" s="299">
        <v>2016</v>
      </c>
      <c r="S183" s="300" t="str">
        <f t="shared" si="5"/>
        <v/>
      </c>
    </row>
    <row r="184" spans="1:19" x14ac:dyDescent="0.2">
      <c r="A184" s="299" t="str">
        <f t="shared" si="4"/>
        <v>DEU2017</v>
      </c>
      <c r="B184" s="460">
        <v>416954.9</v>
      </c>
      <c r="C184" s="460">
        <v>324022.90000000002</v>
      </c>
      <c r="D184" s="460">
        <v>324022.90000000002</v>
      </c>
      <c r="E184" s="460">
        <v>0</v>
      </c>
      <c r="G184" s="299" t="s">
        <v>335</v>
      </c>
      <c r="H184" s="299">
        <v>2017</v>
      </c>
      <c r="S184" s="300" t="str">
        <f t="shared" si="5"/>
        <v/>
      </c>
    </row>
    <row r="185" spans="1:19" x14ac:dyDescent="0.2">
      <c r="A185" s="299" t="str">
        <f t="shared" si="4"/>
        <v>DEU2018</v>
      </c>
      <c r="B185" s="460">
        <v>453056.5</v>
      </c>
      <c r="C185" s="460">
        <v>351952.7</v>
      </c>
      <c r="D185" s="460">
        <v>351952.7</v>
      </c>
      <c r="E185" s="460">
        <v>0</v>
      </c>
      <c r="G185" s="299" t="s">
        <v>335</v>
      </c>
      <c r="H185" s="299">
        <v>2018</v>
      </c>
      <c r="S185" s="300" t="str">
        <f t="shared" si="5"/>
        <v/>
      </c>
    </row>
    <row r="186" spans="1:19" x14ac:dyDescent="0.2">
      <c r="A186" s="299" t="str">
        <f t="shared" si="4"/>
        <v>DJI2015</v>
      </c>
      <c r="B186" s="460">
        <v>75.212370000000007</v>
      </c>
      <c r="C186" s="460">
        <v>58.339100000000002</v>
      </c>
      <c r="D186" s="460">
        <v>41.401510000000002</v>
      </c>
      <c r="E186" s="460">
        <v>17.444019999999998</v>
      </c>
      <c r="G186" s="299" t="s">
        <v>271</v>
      </c>
      <c r="H186" s="299">
        <v>2015</v>
      </c>
      <c r="S186" s="300" t="str">
        <f t="shared" si="5"/>
        <v/>
      </c>
    </row>
    <row r="187" spans="1:19" x14ac:dyDescent="0.2">
      <c r="A187" s="299" t="str">
        <f t="shared" si="4"/>
        <v>DJI2016</v>
      </c>
      <c r="B187" s="460">
        <v>71.419300000000007</v>
      </c>
      <c r="C187" s="460">
        <v>44.540030000000002</v>
      </c>
      <c r="D187" s="460">
        <v>34.62518</v>
      </c>
      <c r="E187" s="460">
        <v>19.25834</v>
      </c>
      <c r="G187" s="299" t="s">
        <v>271</v>
      </c>
      <c r="H187" s="299">
        <v>2016</v>
      </c>
      <c r="S187" s="300" t="str">
        <f t="shared" si="5"/>
        <v/>
      </c>
    </row>
    <row r="188" spans="1:19" x14ac:dyDescent="0.2">
      <c r="A188" s="299" t="str">
        <f t="shared" si="4"/>
        <v>DJI2017</v>
      </c>
      <c r="B188" s="460">
        <v>68.196770000000001</v>
      </c>
      <c r="C188" s="460">
        <v>36.87885</v>
      </c>
      <c r="D188" s="460">
        <v>31.66647</v>
      </c>
      <c r="E188" s="460">
        <v>17.63364</v>
      </c>
      <c r="G188" s="299" t="s">
        <v>271</v>
      </c>
      <c r="H188" s="299">
        <v>2017</v>
      </c>
      <c r="S188" s="300" t="str">
        <f t="shared" si="5"/>
        <v/>
      </c>
    </row>
    <row r="189" spans="1:19" x14ac:dyDescent="0.2">
      <c r="A189" s="299" t="str">
        <f t="shared" si="4"/>
        <v>DJI2018</v>
      </c>
      <c r="B189" s="460">
        <v>67.950190000000006</v>
      </c>
      <c r="C189" s="460">
        <v>37.022329999999997</v>
      </c>
      <c r="D189" s="460">
        <v>33.679189999999998</v>
      </c>
      <c r="E189" s="460">
        <v>13.477550000000001</v>
      </c>
      <c r="G189" s="299" t="s">
        <v>271</v>
      </c>
      <c r="H189" s="299">
        <v>2018</v>
      </c>
      <c r="S189" s="300" t="str">
        <f t="shared" si="5"/>
        <v/>
      </c>
    </row>
    <row r="190" spans="1:19" x14ac:dyDescent="0.2">
      <c r="A190" s="299" t="str">
        <f t="shared" si="4"/>
        <v>DMA2015</v>
      </c>
      <c r="B190" s="460">
        <v>28.041589999999999</v>
      </c>
      <c r="C190" s="460">
        <v>17.588609999999999</v>
      </c>
      <c r="D190" s="460">
        <v>17.588609999999999</v>
      </c>
      <c r="E190" s="460">
        <v>0.54750679999999996</v>
      </c>
      <c r="F190" s="460">
        <v>0.48228221999999998</v>
      </c>
      <c r="G190" s="299" t="s">
        <v>217</v>
      </c>
      <c r="H190" s="299">
        <v>2015</v>
      </c>
      <c r="S190" s="300" t="str">
        <f t="shared" si="5"/>
        <v/>
      </c>
    </row>
    <row r="191" spans="1:19" x14ac:dyDescent="0.2">
      <c r="A191" s="299" t="str">
        <f t="shared" si="4"/>
        <v>DMA2016</v>
      </c>
      <c r="B191" s="460">
        <v>29.65569</v>
      </c>
      <c r="C191" s="460">
        <v>19.199149999999999</v>
      </c>
      <c r="D191" s="460">
        <v>19.193650000000002</v>
      </c>
      <c r="E191" s="460">
        <v>0.5531973</v>
      </c>
      <c r="F191" s="460">
        <v>0.50321610999999999</v>
      </c>
      <c r="G191" s="299" t="s">
        <v>217</v>
      </c>
      <c r="H191" s="299">
        <v>2016</v>
      </c>
      <c r="S191" s="300" t="str">
        <f t="shared" si="5"/>
        <v/>
      </c>
    </row>
    <row r="192" spans="1:19" x14ac:dyDescent="0.2">
      <c r="A192" s="299" t="str">
        <f t="shared" si="4"/>
        <v>DMA2017</v>
      </c>
      <c r="B192" s="460">
        <v>28.49098</v>
      </c>
      <c r="C192" s="460">
        <v>19.65767</v>
      </c>
      <c r="D192" s="460">
        <v>19.65767</v>
      </c>
      <c r="E192" s="460">
        <v>0.4626712</v>
      </c>
      <c r="F192" s="460">
        <v>6.6464325999999998</v>
      </c>
      <c r="G192" s="299" t="s">
        <v>217</v>
      </c>
      <c r="H192" s="299">
        <v>2017</v>
      </c>
      <c r="S192" s="300" t="str">
        <f t="shared" si="5"/>
        <v/>
      </c>
    </row>
    <row r="193" spans="1:19" x14ac:dyDescent="0.2">
      <c r="A193" s="299" t="str">
        <f t="shared" si="4"/>
        <v>DMA2018</v>
      </c>
      <c r="B193" s="460">
        <v>35.154859999999999</v>
      </c>
      <c r="C193" s="460">
        <v>22.803349999999998</v>
      </c>
      <c r="D193" s="460">
        <v>22.784490000000002</v>
      </c>
      <c r="E193" s="460">
        <v>0.66580139999999999</v>
      </c>
      <c r="F193" s="460">
        <v>1.2852418999999999</v>
      </c>
      <c r="G193" s="299" t="s">
        <v>217</v>
      </c>
      <c r="H193" s="299">
        <v>2018</v>
      </c>
      <c r="S193" s="300" t="str">
        <f t="shared" si="5"/>
        <v/>
      </c>
    </row>
    <row r="194" spans="1:19" x14ac:dyDescent="0.2">
      <c r="A194" s="299" t="str">
        <f t="shared" ref="A194:A257" si="6">CONCATENATE(G194,H194)</f>
        <v>DNK2015</v>
      </c>
      <c r="B194" s="460">
        <v>30954.880000000001</v>
      </c>
      <c r="C194" s="460">
        <v>26058.799999999999</v>
      </c>
      <c r="D194" s="460">
        <v>26058.799999999999</v>
      </c>
      <c r="E194" s="460">
        <v>0</v>
      </c>
      <c r="F194" s="460">
        <v>1924.8185000000001</v>
      </c>
      <c r="G194" s="299" t="s">
        <v>337</v>
      </c>
      <c r="H194" s="299">
        <v>2015</v>
      </c>
      <c r="S194" s="300" t="str">
        <f t="shared" si="5"/>
        <v/>
      </c>
    </row>
    <row r="195" spans="1:19" x14ac:dyDescent="0.2">
      <c r="A195" s="299" t="str">
        <f t="shared" si="6"/>
        <v>DNK2016</v>
      </c>
      <c r="B195" s="460">
        <v>31764.240000000002</v>
      </c>
      <c r="C195" s="460">
        <v>26720.84</v>
      </c>
      <c r="D195" s="460">
        <v>26720.84</v>
      </c>
      <c r="E195" s="460">
        <v>0</v>
      </c>
      <c r="F195" s="460">
        <v>1863.8630000000001</v>
      </c>
      <c r="G195" s="299" t="s">
        <v>337</v>
      </c>
      <c r="H195" s="299">
        <v>2016</v>
      </c>
      <c r="S195" s="300" t="str">
        <f t="shared" si="5"/>
        <v/>
      </c>
    </row>
    <row r="196" spans="1:19" x14ac:dyDescent="0.2">
      <c r="A196" s="299" t="str">
        <f t="shared" si="6"/>
        <v>DNK2017</v>
      </c>
      <c r="B196" s="460">
        <v>33343.74</v>
      </c>
      <c r="C196" s="460">
        <v>28016.75</v>
      </c>
      <c r="D196" s="460">
        <v>28016.75</v>
      </c>
      <c r="E196" s="460">
        <v>0</v>
      </c>
      <c r="F196" s="460">
        <v>2003.0235</v>
      </c>
      <c r="G196" s="299" t="s">
        <v>337</v>
      </c>
      <c r="H196" s="299">
        <v>2017</v>
      </c>
      <c r="S196" s="300" t="str">
        <f t="shared" si="5"/>
        <v/>
      </c>
    </row>
    <row r="197" spans="1:19" x14ac:dyDescent="0.2">
      <c r="A197" s="299" t="str">
        <f t="shared" si="6"/>
        <v>DNK2018</v>
      </c>
      <c r="B197" s="460">
        <v>35940.32</v>
      </c>
      <c r="C197" s="460">
        <v>30146.94</v>
      </c>
      <c r="D197" s="460">
        <v>30146.94</v>
      </c>
      <c r="E197" s="460">
        <v>0</v>
      </c>
      <c r="F197" s="460">
        <v>1971.0089</v>
      </c>
      <c r="G197" s="299" t="s">
        <v>337</v>
      </c>
      <c r="H197" s="299">
        <v>2018</v>
      </c>
      <c r="S197" s="300" t="str">
        <f t="shared" ref="S197:S198" si="7">IF(ISERROR(AVERAGE(N197:R197)),"",AVERAGE(N197:R197))</f>
        <v/>
      </c>
    </row>
    <row r="198" spans="1:19" x14ac:dyDescent="0.2">
      <c r="A198" s="299" t="str">
        <f t="shared" si="6"/>
        <v>DOM2015</v>
      </c>
      <c r="B198" s="460">
        <v>4116.63</v>
      </c>
      <c r="C198" s="460">
        <v>1980.4849999999999</v>
      </c>
      <c r="D198" s="460">
        <v>1685.165</v>
      </c>
      <c r="E198" s="460">
        <v>305.2484</v>
      </c>
      <c r="F198" s="460">
        <v>119.61069000000001</v>
      </c>
      <c r="G198" s="299" t="s">
        <v>219</v>
      </c>
      <c r="H198" s="299">
        <v>2015</v>
      </c>
      <c r="S198" s="300" t="str">
        <f t="shared" si="7"/>
        <v/>
      </c>
    </row>
    <row r="199" spans="1:19" x14ac:dyDescent="0.2">
      <c r="A199" s="299" t="str">
        <f t="shared" si="6"/>
        <v>DOM2016</v>
      </c>
      <c r="B199" s="460">
        <v>4411.7629999999999</v>
      </c>
      <c r="C199" s="460">
        <v>2035.643</v>
      </c>
      <c r="D199" s="460">
        <v>2017.2760000000001</v>
      </c>
      <c r="E199" s="460">
        <v>27.241230000000002</v>
      </c>
      <c r="F199" s="460">
        <v>108.12983</v>
      </c>
      <c r="G199" s="299" t="s">
        <v>219</v>
      </c>
      <c r="H199" s="299">
        <v>2016</v>
      </c>
    </row>
    <row r="200" spans="1:19" x14ac:dyDescent="0.2">
      <c r="A200" s="299" t="str">
        <f t="shared" si="6"/>
        <v>DOM2017</v>
      </c>
      <c r="B200" s="460">
        <v>4664.3559999999998</v>
      </c>
      <c r="C200" s="460">
        <v>2165.4160000000002</v>
      </c>
      <c r="D200" s="460">
        <v>2145.71</v>
      </c>
      <c r="E200" s="460">
        <v>34.4863</v>
      </c>
      <c r="F200" s="460">
        <v>250.32837000000001</v>
      </c>
      <c r="G200" s="299" t="s">
        <v>219</v>
      </c>
      <c r="H200" s="299">
        <v>2017</v>
      </c>
    </row>
    <row r="201" spans="1:19" x14ac:dyDescent="0.2">
      <c r="A201" s="299" t="str">
        <f t="shared" si="6"/>
        <v>DOM2018</v>
      </c>
      <c r="B201" s="460">
        <v>4904.8770000000004</v>
      </c>
      <c r="C201" s="460">
        <v>2201.759</v>
      </c>
      <c r="D201" s="460">
        <v>2173.2080000000001</v>
      </c>
      <c r="E201" s="460">
        <v>46.533830000000002</v>
      </c>
      <c r="F201" s="460">
        <v>222.25737000000001</v>
      </c>
      <c r="G201" s="299" t="s">
        <v>219</v>
      </c>
      <c r="H201" s="299">
        <v>2018</v>
      </c>
    </row>
    <row r="202" spans="1:19" x14ac:dyDescent="0.2">
      <c r="A202" s="299" t="str">
        <f t="shared" si="6"/>
        <v>DZA2015</v>
      </c>
      <c r="B202" s="460">
        <v>11582.85</v>
      </c>
      <c r="C202" s="460">
        <v>8162.9870000000001</v>
      </c>
      <c r="D202" s="460">
        <v>8161.18</v>
      </c>
      <c r="E202" s="460">
        <v>3.1295449999999998</v>
      </c>
      <c r="F202" s="460">
        <v>18.313375000000001</v>
      </c>
      <c r="G202" s="299" t="s">
        <v>117</v>
      </c>
      <c r="H202" s="299">
        <v>2015</v>
      </c>
    </row>
    <row r="203" spans="1:19" x14ac:dyDescent="0.2">
      <c r="A203" s="299" t="str">
        <f t="shared" si="6"/>
        <v>DZA2016</v>
      </c>
      <c r="B203" s="460">
        <v>10574.69</v>
      </c>
      <c r="C203" s="460">
        <v>7158.2430000000004</v>
      </c>
      <c r="D203" s="460">
        <v>7157.4380000000001</v>
      </c>
      <c r="E203" s="460">
        <v>2.586846</v>
      </c>
      <c r="G203" s="299" t="s">
        <v>117</v>
      </c>
      <c r="H203" s="299">
        <v>2016</v>
      </c>
    </row>
    <row r="204" spans="1:19" x14ac:dyDescent="0.2">
      <c r="A204" s="299" t="str">
        <f t="shared" si="6"/>
        <v>DZA2017</v>
      </c>
      <c r="B204" s="460">
        <v>10680.05</v>
      </c>
      <c r="C204" s="460">
        <v>7045.1760000000004</v>
      </c>
      <c r="D204" s="460">
        <v>7044.42</v>
      </c>
      <c r="E204" s="460">
        <v>3.0888800000000001</v>
      </c>
      <c r="G204" s="299" t="s">
        <v>117</v>
      </c>
      <c r="H204" s="299">
        <v>2017</v>
      </c>
    </row>
    <row r="205" spans="1:19" x14ac:dyDescent="0.2">
      <c r="A205" s="299" t="str">
        <f t="shared" si="6"/>
        <v>DZA2018</v>
      </c>
      <c r="B205" s="460">
        <v>10804.96</v>
      </c>
      <c r="C205" s="460">
        <v>7114.0450000000001</v>
      </c>
      <c r="D205" s="460">
        <v>7113.3609999999999</v>
      </c>
      <c r="E205" s="460">
        <v>2.9123079999999999</v>
      </c>
      <c r="G205" s="299" t="s">
        <v>117</v>
      </c>
      <c r="H205" s="299">
        <v>2018</v>
      </c>
    </row>
    <row r="206" spans="1:19" x14ac:dyDescent="0.2">
      <c r="A206" s="299" t="str">
        <f t="shared" si="6"/>
        <v>ECU2015</v>
      </c>
      <c r="B206" s="460">
        <v>8527.4789999999994</v>
      </c>
      <c r="C206" s="460">
        <v>4235.8100000000004</v>
      </c>
      <c r="D206" s="460">
        <v>4211.027</v>
      </c>
      <c r="E206" s="460">
        <v>33.91722</v>
      </c>
      <c r="F206" s="460">
        <v>28.46</v>
      </c>
      <c r="G206" s="299" t="s">
        <v>221</v>
      </c>
      <c r="H206" s="299">
        <v>2015</v>
      </c>
    </row>
    <row r="207" spans="1:19" x14ac:dyDescent="0.2">
      <c r="A207" s="299" t="str">
        <f t="shared" si="6"/>
        <v>ECU2016</v>
      </c>
      <c r="B207" s="460">
        <v>8290.8169999999991</v>
      </c>
      <c r="C207" s="460">
        <v>4256.99</v>
      </c>
      <c r="D207" s="460">
        <v>4233.9840000000004</v>
      </c>
      <c r="E207" s="460">
        <v>30.338699999999999</v>
      </c>
      <c r="F207" s="460">
        <v>262.68</v>
      </c>
      <c r="G207" s="299" t="s">
        <v>221</v>
      </c>
      <c r="H207" s="299">
        <v>2016</v>
      </c>
    </row>
    <row r="208" spans="1:19" x14ac:dyDescent="0.2">
      <c r="A208" s="299" t="str">
        <f t="shared" si="6"/>
        <v>ECU2017</v>
      </c>
      <c r="B208" s="460">
        <v>8612.1689999999999</v>
      </c>
      <c r="C208" s="460">
        <v>4591.6930000000002</v>
      </c>
      <c r="D208" s="460">
        <v>4549.0219999999999</v>
      </c>
      <c r="E208" s="460">
        <v>46.797870000000003</v>
      </c>
      <c r="F208" s="460">
        <v>282.62286999999998</v>
      </c>
      <c r="G208" s="299" t="s">
        <v>221</v>
      </c>
      <c r="H208" s="299">
        <v>2017</v>
      </c>
    </row>
    <row r="209" spans="1:8" x14ac:dyDescent="0.2">
      <c r="A209" s="299" t="str">
        <f t="shared" si="6"/>
        <v>ECU2018</v>
      </c>
      <c r="B209" s="460">
        <v>8819.7659999999996</v>
      </c>
      <c r="C209" s="460">
        <v>4590.1319999999996</v>
      </c>
      <c r="D209" s="460">
        <v>4585.7359999999999</v>
      </c>
      <c r="E209" s="460">
        <v>8.4666940000000004</v>
      </c>
      <c r="G209" s="299" t="s">
        <v>221</v>
      </c>
      <c r="H209" s="299">
        <v>2018</v>
      </c>
    </row>
    <row r="210" spans="1:8" x14ac:dyDescent="0.2">
      <c r="A210" s="299" t="str">
        <f t="shared" si="6"/>
        <v>EGY2015</v>
      </c>
      <c r="B210" s="460">
        <v>16956.98</v>
      </c>
      <c r="C210" s="460">
        <v>5332.2250000000004</v>
      </c>
      <c r="D210" s="460">
        <v>5297.9459999999999</v>
      </c>
      <c r="E210" s="460">
        <v>34.279170000000001</v>
      </c>
      <c r="G210" s="299" t="s">
        <v>273</v>
      </c>
      <c r="H210" s="299">
        <v>2015</v>
      </c>
    </row>
    <row r="211" spans="1:8" x14ac:dyDescent="0.2">
      <c r="A211" s="299" t="str">
        <f t="shared" si="6"/>
        <v>EGY2016</v>
      </c>
      <c r="B211" s="460">
        <v>14496.39</v>
      </c>
      <c r="C211" s="460">
        <v>4599.1040000000003</v>
      </c>
      <c r="D211" s="460">
        <v>4474.5429999999997</v>
      </c>
      <c r="E211" s="460">
        <v>146.4913</v>
      </c>
      <c r="G211" s="299" t="s">
        <v>273</v>
      </c>
      <c r="H211" s="299">
        <v>2016</v>
      </c>
    </row>
    <row r="212" spans="1:8" x14ac:dyDescent="0.2">
      <c r="A212" s="299" t="str">
        <f t="shared" si="6"/>
        <v>EGY2017</v>
      </c>
      <c r="B212" s="460">
        <v>10992.08</v>
      </c>
      <c r="C212" s="460">
        <v>3418.86</v>
      </c>
      <c r="D212" s="460">
        <v>3404.4639999999999</v>
      </c>
      <c r="E212" s="460">
        <v>34.640729999999998</v>
      </c>
      <c r="G212" s="299" t="s">
        <v>273</v>
      </c>
      <c r="H212" s="299">
        <v>2017</v>
      </c>
    </row>
    <row r="213" spans="1:8" x14ac:dyDescent="0.2">
      <c r="A213" s="299" t="str">
        <f t="shared" si="6"/>
        <v>EGY2018</v>
      </c>
      <c r="B213" s="460">
        <v>12356.63</v>
      </c>
      <c r="C213" s="460">
        <v>3621.8330000000001</v>
      </c>
      <c r="D213" s="460">
        <v>3550.2919999999999</v>
      </c>
      <c r="E213" s="460">
        <v>82.00788</v>
      </c>
      <c r="G213" s="299" t="s">
        <v>273</v>
      </c>
      <c r="H213" s="299">
        <v>2018</v>
      </c>
    </row>
    <row r="214" spans="1:8" x14ac:dyDescent="0.2">
      <c r="A214" s="299" t="str">
        <f t="shared" si="6"/>
        <v>ERI2015</v>
      </c>
      <c r="B214" s="460">
        <v>89.420929999999998</v>
      </c>
      <c r="C214" s="460">
        <v>48.056179999999998</v>
      </c>
      <c r="D214" s="460">
        <v>14.91164</v>
      </c>
      <c r="E214" s="460">
        <v>36.966270000000002</v>
      </c>
      <c r="G214" s="299" t="s">
        <v>120</v>
      </c>
      <c r="H214" s="299">
        <v>2015</v>
      </c>
    </row>
    <row r="215" spans="1:8" x14ac:dyDescent="0.2">
      <c r="A215" s="299" t="str">
        <f t="shared" si="6"/>
        <v>ERI2016</v>
      </c>
      <c r="B215" s="460">
        <v>76.909639999999996</v>
      </c>
      <c r="C215" s="460">
        <v>25.313839999999999</v>
      </c>
      <c r="D215" s="460">
        <v>13.27655</v>
      </c>
      <c r="E215" s="460">
        <v>17.360600000000002</v>
      </c>
      <c r="G215" s="299" t="s">
        <v>120</v>
      </c>
      <c r="H215" s="299">
        <v>2016</v>
      </c>
    </row>
    <row r="216" spans="1:8" x14ac:dyDescent="0.2">
      <c r="A216" s="299" t="str">
        <f t="shared" si="6"/>
        <v>ERI2017</v>
      </c>
      <c r="B216" s="460">
        <v>72.26088</v>
      </c>
      <c r="C216" s="460">
        <v>33.085790000000003</v>
      </c>
      <c r="D216" s="460">
        <v>15.170909999999999</v>
      </c>
      <c r="E216" s="460">
        <v>22.73732</v>
      </c>
      <c r="G216" s="299" t="s">
        <v>120</v>
      </c>
      <c r="H216" s="299">
        <v>2017</v>
      </c>
    </row>
    <row r="217" spans="1:8" x14ac:dyDescent="0.2">
      <c r="A217" s="299" t="str">
        <f t="shared" si="6"/>
        <v>ERI2018</v>
      </c>
      <c r="B217" s="460">
        <v>82.128069999999994</v>
      </c>
      <c r="C217" s="460">
        <v>37.27937</v>
      </c>
      <c r="D217" s="460">
        <v>12.78792</v>
      </c>
      <c r="E217" s="460">
        <v>29.39066</v>
      </c>
      <c r="G217" s="299" t="s">
        <v>120</v>
      </c>
      <c r="H217" s="299">
        <v>2018</v>
      </c>
    </row>
    <row r="218" spans="1:8" x14ac:dyDescent="0.2">
      <c r="A218" s="299" t="str">
        <f t="shared" si="6"/>
        <v>ESP2015</v>
      </c>
      <c r="B218" s="460">
        <v>109120.9</v>
      </c>
      <c r="C218" s="460">
        <v>77822.12</v>
      </c>
      <c r="D218" s="460">
        <v>77822.12</v>
      </c>
      <c r="G218" s="299" t="s">
        <v>339</v>
      </c>
      <c r="H218" s="299">
        <v>2015</v>
      </c>
    </row>
    <row r="219" spans="1:8" x14ac:dyDescent="0.2">
      <c r="A219" s="299" t="str">
        <f t="shared" si="6"/>
        <v>ESP2016</v>
      </c>
      <c r="B219" s="460">
        <v>110375.2</v>
      </c>
      <c r="C219" s="460">
        <v>78978.23</v>
      </c>
      <c r="D219" s="460">
        <v>78978.23</v>
      </c>
      <c r="G219" s="299" t="s">
        <v>339</v>
      </c>
      <c r="H219" s="299">
        <v>2016</v>
      </c>
    </row>
    <row r="220" spans="1:8" x14ac:dyDescent="0.2">
      <c r="A220" s="299" t="str">
        <f t="shared" si="6"/>
        <v>ESP2017</v>
      </c>
      <c r="B220" s="460">
        <v>117373.7</v>
      </c>
      <c r="C220" s="460">
        <v>82927.679999999993</v>
      </c>
      <c r="D220" s="460">
        <v>82927.679999999993</v>
      </c>
      <c r="G220" s="299" t="s">
        <v>339</v>
      </c>
      <c r="H220" s="299">
        <v>2017</v>
      </c>
    </row>
    <row r="221" spans="1:8" x14ac:dyDescent="0.2">
      <c r="A221" s="299" t="str">
        <f t="shared" si="6"/>
        <v>ESP2018</v>
      </c>
      <c r="B221" s="460">
        <v>127672.6</v>
      </c>
      <c r="C221" s="460">
        <v>89885.68</v>
      </c>
      <c r="D221" s="460">
        <v>89885.68</v>
      </c>
      <c r="G221" s="299" t="s">
        <v>339</v>
      </c>
      <c r="H221" s="299">
        <v>2018</v>
      </c>
    </row>
    <row r="222" spans="1:8" x14ac:dyDescent="0.2">
      <c r="A222" s="299" t="str">
        <f t="shared" si="6"/>
        <v>EST2015</v>
      </c>
      <c r="B222" s="460">
        <v>1463.337</v>
      </c>
      <c r="C222" s="460">
        <v>1105.1859999999999</v>
      </c>
      <c r="D222" s="460">
        <v>1102.7449999999999</v>
      </c>
      <c r="E222" s="460">
        <v>2.9956860000000001</v>
      </c>
      <c r="F222" s="460">
        <v>140.24250000000001</v>
      </c>
      <c r="G222" s="299" t="s">
        <v>341</v>
      </c>
      <c r="H222" s="299">
        <v>2015</v>
      </c>
    </row>
    <row r="223" spans="1:8" x14ac:dyDescent="0.2">
      <c r="A223" s="299" t="str">
        <f t="shared" si="6"/>
        <v>EST2016</v>
      </c>
      <c r="B223" s="460">
        <v>1560.845</v>
      </c>
      <c r="C223" s="460">
        <v>1179.7380000000001</v>
      </c>
      <c r="D223" s="460">
        <v>1177.413</v>
      </c>
      <c r="E223" s="460">
        <v>2.8779490000000001</v>
      </c>
      <c r="F223" s="460">
        <v>96.411308000000005</v>
      </c>
      <c r="G223" s="299" t="s">
        <v>341</v>
      </c>
      <c r="H223" s="299">
        <v>2016</v>
      </c>
    </row>
    <row r="224" spans="1:8" x14ac:dyDescent="0.2">
      <c r="A224" s="299" t="str">
        <f t="shared" si="6"/>
        <v>EST2017</v>
      </c>
      <c r="B224" s="460">
        <v>1776.6079999999999</v>
      </c>
      <c r="C224" s="460">
        <v>1305.933</v>
      </c>
      <c r="D224" s="460">
        <v>1305.933</v>
      </c>
      <c r="E224" s="460">
        <v>0.48293730000000001</v>
      </c>
      <c r="F224" s="460">
        <v>63.713982999999999</v>
      </c>
      <c r="G224" s="299" t="s">
        <v>341</v>
      </c>
      <c r="H224" s="299">
        <v>2017</v>
      </c>
    </row>
    <row r="225" spans="1:8" x14ac:dyDescent="0.2">
      <c r="A225" s="299" t="str">
        <f t="shared" si="6"/>
        <v>EST2018</v>
      </c>
      <c r="B225" s="460">
        <v>2048.5720000000001</v>
      </c>
      <c r="C225" s="460">
        <v>1507.221</v>
      </c>
      <c r="D225" s="460">
        <v>1507.221</v>
      </c>
      <c r="E225" s="460">
        <v>0.52147390000000005</v>
      </c>
      <c r="F225" s="460">
        <v>66.569198999999998</v>
      </c>
      <c r="G225" s="299" t="s">
        <v>341</v>
      </c>
      <c r="H225" s="299">
        <v>2018</v>
      </c>
    </row>
    <row r="226" spans="1:8" x14ac:dyDescent="0.2">
      <c r="A226" s="299" t="str">
        <f t="shared" si="6"/>
        <v>ETH2015</v>
      </c>
      <c r="B226" s="460">
        <v>2411.605</v>
      </c>
      <c r="C226" s="460">
        <v>900.3519</v>
      </c>
      <c r="D226" s="460">
        <v>608.96749999999997</v>
      </c>
      <c r="E226" s="460">
        <v>440.38499999999999</v>
      </c>
      <c r="G226" s="299" t="s">
        <v>122</v>
      </c>
      <c r="H226" s="299">
        <v>2015</v>
      </c>
    </row>
    <row r="227" spans="1:8" x14ac:dyDescent="0.2">
      <c r="A227" s="299" t="str">
        <f t="shared" si="6"/>
        <v>ETH2016</v>
      </c>
      <c r="B227" s="460">
        <v>2597.9180000000001</v>
      </c>
      <c r="C227" s="460">
        <v>1075.0740000000001</v>
      </c>
      <c r="D227" s="460">
        <v>649.44000000000005</v>
      </c>
      <c r="E227" s="460">
        <v>525.66930000000002</v>
      </c>
      <c r="G227" s="299" t="s">
        <v>122</v>
      </c>
      <c r="H227" s="299">
        <v>2016</v>
      </c>
    </row>
    <row r="228" spans="1:8" x14ac:dyDescent="0.2">
      <c r="A228" s="299" t="str">
        <f t="shared" si="6"/>
        <v>ETH2017</v>
      </c>
      <c r="B228" s="460">
        <v>2651.998</v>
      </c>
      <c r="C228" s="460">
        <v>1185.3130000000001</v>
      </c>
      <c r="D228" s="460">
        <v>661.40719999999999</v>
      </c>
      <c r="E228" s="460">
        <v>937.67719999999997</v>
      </c>
      <c r="F228" s="460">
        <v>256.82704000000001</v>
      </c>
      <c r="G228" s="299" t="s">
        <v>122</v>
      </c>
      <c r="H228" s="299">
        <v>2017</v>
      </c>
    </row>
    <row r="229" spans="1:8" x14ac:dyDescent="0.2">
      <c r="A229" s="299" t="str">
        <f t="shared" si="6"/>
        <v>ETH2018</v>
      </c>
      <c r="B229" s="460">
        <v>2646.0830000000001</v>
      </c>
      <c r="C229" s="460">
        <v>1166.231</v>
      </c>
      <c r="D229" s="460">
        <v>618.3442</v>
      </c>
      <c r="E229" s="460">
        <v>950.84490000000005</v>
      </c>
      <c r="G229" s="299" t="s">
        <v>122</v>
      </c>
      <c r="H229" s="299">
        <v>2018</v>
      </c>
    </row>
    <row r="230" spans="1:8" x14ac:dyDescent="0.2">
      <c r="A230" s="299" t="str">
        <f t="shared" si="6"/>
        <v>FIN2015</v>
      </c>
      <c r="B230" s="460">
        <v>22621.41</v>
      </c>
      <c r="C230" s="460">
        <v>17772.43</v>
      </c>
      <c r="D230" s="460">
        <v>17772.16</v>
      </c>
      <c r="E230" s="460">
        <v>0.26707839999999999</v>
      </c>
      <c r="F230" s="460">
        <v>910.25035000000003</v>
      </c>
      <c r="G230" s="299" t="s">
        <v>343</v>
      </c>
      <c r="H230" s="299">
        <v>2015</v>
      </c>
    </row>
    <row r="231" spans="1:8" x14ac:dyDescent="0.2">
      <c r="A231" s="299" t="str">
        <f t="shared" si="6"/>
        <v>FIN2016</v>
      </c>
      <c r="B231" s="460">
        <v>22579.45</v>
      </c>
      <c r="C231" s="460">
        <v>17574.669999999998</v>
      </c>
      <c r="D231" s="460">
        <v>17574.34</v>
      </c>
      <c r="E231" s="460">
        <v>0.32860709999999999</v>
      </c>
      <c r="F231" s="460">
        <v>923.85055999999997</v>
      </c>
      <c r="G231" s="299" t="s">
        <v>343</v>
      </c>
      <c r="H231" s="299">
        <v>2016</v>
      </c>
    </row>
    <row r="232" spans="1:8" x14ac:dyDescent="0.2">
      <c r="A232" s="299" t="str">
        <f t="shared" si="6"/>
        <v>FIN2017</v>
      </c>
      <c r="B232" s="460">
        <v>23332.21</v>
      </c>
      <c r="C232" s="460">
        <v>18202.7</v>
      </c>
      <c r="D232" s="460">
        <v>18202.04</v>
      </c>
      <c r="E232" s="460">
        <v>0.65819669999999997</v>
      </c>
      <c r="F232" s="460">
        <v>1240.5417</v>
      </c>
      <c r="G232" s="299" t="s">
        <v>343</v>
      </c>
      <c r="H232" s="299">
        <v>2017</v>
      </c>
    </row>
    <row r="233" spans="1:8" x14ac:dyDescent="0.2">
      <c r="A233" s="299" t="str">
        <f t="shared" si="6"/>
        <v>FIN2018</v>
      </c>
      <c r="B233" s="460">
        <v>24938.17</v>
      </c>
      <c r="C233" s="460">
        <v>19591.63</v>
      </c>
      <c r="D233" s="460">
        <v>19590.64</v>
      </c>
      <c r="E233" s="460">
        <v>0.99281750000000002</v>
      </c>
      <c r="F233" s="460">
        <v>1271.5379</v>
      </c>
      <c r="G233" s="299" t="s">
        <v>343</v>
      </c>
      <c r="H233" s="299">
        <v>2018</v>
      </c>
    </row>
    <row r="234" spans="1:8" x14ac:dyDescent="0.2">
      <c r="A234" s="299" t="str">
        <f t="shared" si="6"/>
        <v>FJI2015</v>
      </c>
      <c r="B234" s="460">
        <v>155.67670000000001</v>
      </c>
      <c r="C234" s="460">
        <v>98.963220000000007</v>
      </c>
      <c r="D234" s="460">
        <v>98.260050000000007</v>
      </c>
      <c r="E234" s="460">
        <v>3.9673189999999998</v>
      </c>
      <c r="F234" s="460">
        <v>17.591336999999999</v>
      </c>
      <c r="G234" s="299" t="s">
        <v>450</v>
      </c>
      <c r="H234" s="299">
        <v>2015</v>
      </c>
    </row>
    <row r="235" spans="1:8" x14ac:dyDescent="0.2">
      <c r="A235" s="299" t="str">
        <f t="shared" si="6"/>
        <v>FJI2016</v>
      </c>
      <c r="B235" s="460">
        <v>161.69730000000001</v>
      </c>
      <c r="C235" s="460">
        <v>104.1399</v>
      </c>
      <c r="D235" s="460">
        <v>103.3283</v>
      </c>
      <c r="E235" s="460">
        <v>4.9935960000000001</v>
      </c>
      <c r="F235" s="460">
        <v>20.132403</v>
      </c>
      <c r="G235" s="299" t="s">
        <v>450</v>
      </c>
      <c r="H235" s="299">
        <v>2016</v>
      </c>
    </row>
    <row r="236" spans="1:8" x14ac:dyDescent="0.2">
      <c r="A236" s="299" t="str">
        <f t="shared" si="6"/>
        <v>FJI2017</v>
      </c>
      <c r="B236" s="460">
        <v>170.6095</v>
      </c>
      <c r="C236" s="460">
        <v>114.33159999999999</v>
      </c>
      <c r="D236" s="460">
        <v>112.9962</v>
      </c>
      <c r="E236" s="460">
        <v>3.9673259999999999</v>
      </c>
      <c r="F236" s="460">
        <v>16.561167000000001</v>
      </c>
      <c r="G236" s="299" t="s">
        <v>450</v>
      </c>
      <c r="H236" s="299">
        <v>2017</v>
      </c>
    </row>
    <row r="237" spans="1:8" x14ac:dyDescent="0.2">
      <c r="A237" s="299" t="str">
        <f t="shared" si="6"/>
        <v>FJI2018</v>
      </c>
      <c r="B237" s="460">
        <v>189.55459999999999</v>
      </c>
      <c r="C237" s="460">
        <v>131.38730000000001</v>
      </c>
      <c r="D237" s="460">
        <v>129.48390000000001</v>
      </c>
      <c r="E237" s="460">
        <v>4.1661260000000002</v>
      </c>
      <c r="G237" s="299" t="s">
        <v>450</v>
      </c>
      <c r="H237" s="299">
        <v>2018</v>
      </c>
    </row>
    <row r="238" spans="1:8" x14ac:dyDescent="0.2">
      <c r="A238" s="299" t="str">
        <f t="shared" si="6"/>
        <v>FRA2015</v>
      </c>
      <c r="B238" s="460">
        <v>279681.59999999998</v>
      </c>
      <c r="C238" s="460">
        <v>202478.9</v>
      </c>
      <c r="D238" s="460">
        <v>202478.9</v>
      </c>
      <c r="F238" s="460">
        <v>12931.812</v>
      </c>
      <c r="G238" s="299" t="s">
        <v>345</v>
      </c>
      <c r="H238" s="299">
        <v>2015</v>
      </c>
    </row>
    <row r="239" spans="1:8" x14ac:dyDescent="0.2">
      <c r="A239" s="299" t="str">
        <f t="shared" si="6"/>
        <v>FRA2016</v>
      </c>
      <c r="B239" s="460">
        <v>284424.3</v>
      </c>
      <c r="C239" s="460">
        <v>206574.3</v>
      </c>
      <c r="D239" s="460">
        <v>206574.3</v>
      </c>
      <c r="F239" s="460">
        <v>13007.786</v>
      </c>
      <c r="G239" s="299" t="s">
        <v>345</v>
      </c>
      <c r="H239" s="299">
        <v>2016</v>
      </c>
    </row>
    <row r="240" spans="1:8" x14ac:dyDescent="0.2">
      <c r="A240" s="299" t="str">
        <f t="shared" si="6"/>
        <v>FRA2017</v>
      </c>
      <c r="B240" s="460">
        <v>295600.59999999998</v>
      </c>
      <c r="C240" s="460">
        <v>216688.8</v>
      </c>
      <c r="D240" s="460">
        <v>216688.8</v>
      </c>
      <c r="F240" s="460">
        <v>13388.072</v>
      </c>
      <c r="G240" s="299" t="s">
        <v>345</v>
      </c>
      <c r="H240" s="299">
        <v>2017</v>
      </c>
    </row>
    <row r="241" spans="1:8" x14ac:dyDescent="0.2">
      <c r="A241" s="299" t="str">
        <f t="shared" si="6"/>
        <v>FRA2018</v>
      </c>
      <c r="B241" s="460">
        <v>313854.7</v>
      </c>
      <c r="C241" s="460">
        <v>230279.2</v>
      </c>
      <c r="D241" s="460">
        <v>230279.2</v>
      </c>
      <c r="F241" s="460">
        <v>14035.371999999999</v>
      </c>
      <c r="G241" s="299" t="s">
        <v>345</v>
      </c>
      <c r="H241" s="299">
        <v>2018</v>
      </c>
    </row>
    <row r="242" spans="1:8" x14ac:dyDescent="0.2">
      <c r="A242" s="299" t="str">
        <f t="shared" si="6"/>
        <v>FSM2015</v>
      </c>
      <c r="B242" s="460">
        <v>39.362499999999997</v>
      </c>
      <c r="C242" s="460">
        <v>37.307160000000003</v>
      </c>
      <c r="D242" s="460">
        <v>10.158569999999999</v>
      </c>
      <c r="E242" s="460">
        <v>28.189340000000001</v>
      </c>
      <c r="F242" s="460">
        <v>0.37809589999999998</v>
      </c>
      <c r="G242" s="299" t="s">
        <v>452</v>
      </c>
      <c r="H242" s="299">
        <v>2015</v>
      </c>
    </row>
    <row r="243" spans="1:8" x14ac:dyDescent="0.2">
      <c r="A243" s="299" t="str">
        <f t="shared" si="6"/>
        <v>FSM2016</v>
      </c>
      <c r="B243" s="460">
        <v>43.622219999999999</v>
      </c>
      <c r="C243" s="460">
        <v>41.457810000000002</v>
      </c>
      <c r="D243" s="460">
        <v>11.55546</v>
      </c>
      <c r="E243" s="460">
        <v>30.999929999999999</v>
      </c>
      <c r="F243" s="460">
        <v>1.4212514000000001</v>
      </c>
      <c r="G243" s="299" t="s">
        <v>452</v>
      </c>
      <c r="H243" s="299">
        <v>2016</v>
      </c>
    </row>
    <row r="244" spans="1:8" x14ac:dyDescent="0.2">
      <c r="A244" s="299" t="str">
        <f t="shared" si="6"/>
        <v>FSM2017</v>
      </c>
      <c r="B244" s="460">
        <v>44.717379999999999</v>
      </c>
      <c r="C244" s="460">
        <v>42.903309999999998</v>
      </c>
      <c r="D244" s="460">
        <v>11.57183</v>
      </c>
      <c r="E244" s="460">
        <v>32.067909999999998</v>
      </c>
      <c r="F244" s="460">
        <v>1.4323729999999999</v>
      </c>
      <c r="G244" s="299" t="s">
        <v>452</v>
      </c>
      <c r="H244" s="299">
        <v>2017</v>
      </c>
    </row>
    <row r="245" spans="1:8" x14ac:dyDescent="0.2">
      <c r="A245" s="299" t="str">
        <f t="shared" si="6"/>
        <v>FSM2018</v>
      </c>
      <c r="B245" s="460">
        <v>46.837600000000002</v>
      </c>
      <c r="C245" s="460">
        <v>45.012630000000001</v>
      </c>
      <c r="D245" s="460">
        <v>12.32906</v>
      </c>
      <c r="E245" s="460">
        <v>33.403269999999999</v>
      </c>
      <c r="F245" s="460">
        <v>1.6027670000000001</v>
      </c>
      <c r="G245" s="299" t="s">
        <v>452</v>
      </c>
      <c r="H245" s="299">
        <v>2018</v>
      </c>
    </row>
    <row r="246" spans="1:8" x14ac:dyDescent="0.2">
      <c r="A246" s="299" t="str">
        <f t="shared" si="6"/>
        <v>GAB2015</v>
      </c>
      <c r="B246" s="460">
        <v>382.06790000000001</v>
      </c>
      <c r="C246" s="460">
        <v>225.8013</v>
      </c>
      <c r="D246" s="460">
        <v>225.07570000000001</v>
      </c>
      <c r="E246" s="460">
        <v>3.1368320000000001</v>
      </c>
      <c r="F246" s="460">
        <v>82.113722999999993</v>
      </c>
      <c r="G246" s="299" t="s">
        <v>124</v>
      </c>
      <c r="H246" s="299">
        <v>2015</v>
      </c>
    </row>
    <row r="247" spans="1:8" x14ac:dyDescent="0.2">
      <c r="A247" s="299" t="str">
        <f t="shared" si="6"/>
        <v>GAB2016</v>
      </c>
      <c r="B247" s="460">
        <v>435.52339999999998</v>
      </c>
      <c r="C247" s="460">
        <v>282.31360000000001</v>
      </c>
      <c r="D247" s="460">
        <v>281.7654</v>
      </c>
      <c r="E247" s="460">
        <v>2.995209</v>
      </c>
      <c r="F247" s="460">
        <v>22.445176</v>
      </c>
      <c r="G247" s="299" t="s">
        <v>124</v>
      </c>
      <c r="H247" s="299">
        <v>2016</v>
      </c>
    </row>
    <row r="248" spans="1:8" x14ac:dyDescent="0.2">
      <c r="A248" s="299" t="str">
        <f t="shared" si="6"/>
        <v>GAB2017</v>
      </c>
      <c r="B248" s="460">
        <v>414.12479999999999</v>
      </c>
      <c r="C248" s="460">
        <v>262.5625</v>
      </c>
      <c r="D248" s="460">
        <v>262.07960000000003</v>
      </c>
      <c r="E248" s="460">
        <v>2.5188649999999999</v>
      </c>
      <c r="F248" s="460">
        <v>19.561229000000001</v>
      </c>
      <c r="G248" s="299" t="s">
        <v>124</v>
      </c>
      <c r="H248" s="299">
        <v>2017</v>
      </c>
    </row>
    <row r="249" spans="1:8" x14ac:dyDescent="0.2">
      <c r="A249" s="299" t="str">
        <f t="shared" si="6"/>
        <v>GAB2018</v>
      </c>
      <c r="B249" s="460">
        <v>462.78309999999999</v>
      </c>
      <c r="C249" s="460">
        <v>271.70030000000003</v>
      </c>
      <c r="D249" s="460">
        <v>271.18470000000002</v>
      </c>
      <c r="E249" s="460">
        <v>5.6574090000000004</v>
      </c>
      <c r="F249" s="460">
        <v>59.526578999999998</v>
      </c>
      <c r="G249" s="299" t="s">
        <v>124</v>
      </c>
      <c r="H249" s="299">
        <v>2018</v>
      </c>
    </row>
    <row r="250" spans="1:8" x14ac:dyDescent="0.2">
      <c r="A250" s="299" t="str">
        <f t="shared" si="6"/>
        <v>GBR2015</v>
      </c>
      <c r="B250" s="460">
        <v>290058.2</v>
      </c>
      <c r="C250" s="460">
        <v>232459.6</v>
      </c>
      <c r="D250" s="460">
        <v>232459.6</v>
      </c>
      <c r="E250" s="460">
        <v>30.479520000000001</v>
      </c>
      <c r="F250" s="460">
        <v>8825.9784</v>
      </c>
      <c r="G250" s="299" t="s">
        <v>347</v>
      </c>
      <c r="H250" s="299">
        <v>2015</v>
      </c>
    </row>
    <row r="251" spans="1:8" x14ac:dyDescent="0.2">
      <c r="A251" s="299" t="str">
        <f t="shared" si="6"/>
        <v>GBR2016</v>
      </c>
      <c r="B251" s="460">
        <v>265837.3</v>
      </c>
      <c r="C251" s="460">
        <v>213682.2</v>
      </c>
      <c r="D251" s="460">
        <v>213682.2</v>
      </c>
      <c r="E251" s="460">
        <v>31.064050000000002</v>
      </c>
      <c r="F251" s="460">
        <v>8122.7704999999996</v>
      </c>
      <c r="G251" s="299" t="s">
        <v>347</v>
      </c>
      <c r="H251" s="299">
        <v>2016</v>
      </c>
    </row>
    <row r="252" spans="1:8" x14ac:dyDescent="0.2">
      <c r="A252" s="299" t="str">
        <f t="shared" si="6"/>
        <v>GBR2017</v>
      </c>
      <c r="B252" s="460">
        <v>261968.6</v>
      </c>
      <c r="C252" s="460">
        <v>208216.3</v>
      </c>
      <c r="D252" s="460">
        <v>208216.3</v>
      </c>
      <c r="E252" s="460">
        <v>32.939749999999997</v>
      </c>
      <c r="F252" s="460">
        <v>8072.3109999999997</v>
      </c>
      <c r="G252" s="299" t="s">
        <v>347</v>
      </c>
      <c r="H252" s="299">
        <v>2017</v>
      </c>
    </row>
    <row r="253" spans="1:8" x14ac:dyDescent="0.2">
      <c r="A253" s="299" t="str">
        <f t="shared" si="6"/>
        <v>GBR2018</v>
      </c>
      <c r="B253" s="460">
        <v>285998.8</v>
      </c>
      <c r="C253" s="460">
        <v>224805.7</v>
      </c>
      <c r="D253" s="460">
        <v>224805.7</v>
      </c>
      <c r="E253" s="460">
        <v>37.370260000000002</v>
      </c>
      <c r="G253" s="299" t="s">
        <v>347</v>
      </c>
      <c r="H253" s="299">
        <v>2018</v>
      </c>
    </row>
    <row r="254" spans="1:8" x14ac:dyDescent="0.2">
      <c r="A254" s="299" t="str">
        <f t="shared" si="6"/>
        <v>GEO2015</v>
      </c>
      <c r="B254" s="460">
        <v>1110.0340000000001</v>
      </c>
      <c r="C254" s="460">
        <v>402.76740000000001</v>
      </c>
      <c r="D254" s="460">
        <v>394.83539999999999</v>
      </c>
      <c r="E254" s="460">
        <v>28.202529999999999</v>
      </c>
      <c r="F254" s="460">
        <v>75.225076000000001</v>
      </c>
      <c r="G254" s="299" t="s">
        <v>349</v>
      </c>
      <c r="H254" s="299">
        <v>2015</v>
      </c>
    </row>
    <row r="255" spans="1:8" x14ac:dyDescent="0.2">
      <c r="A255" s="299" t="str">
        <f t="shared" si="6"/>
        <v>GEO2016</v>
      </c>
      <c r="B255" s="460">
        <v>1210.8420000000001</v>
      </c>
      <c r="C255" s="460">
        <v>451.26130000000001</v>
      </c>
      <c r="D255" s="460">
        <v>443.65570000000002</v>
      </c>
      <c r="E255" s="460">
        <v>27.33764</v>
      </c>
      <c r="F255" s="460">
        <v>51.126040000000003</v>
      </c>
      <c r="G255" s="299" t="s">
        <v>349</v>
      </c>
      <c r="H255" s="299">
        <v>2016</v>
      </c>
    </row>
    <row r="256" spans="1:8" x14ac:dyDescent="0.2">
      <c r="A256" s="299" t="str">
        <f t="shared" si="6"/>
        <v>GEO2017</v>
      </c>
      <c r="B256" s="460">
        <v>1146.443</v>
      </c>
      <c r="C256" s="460">
        <v>435.02690000000001</v>
      </c>
      <c r="D256" s="460">
        <v>426.65870000000001</v>
      </c>
      <c r="E256" s="460">
        <v>27.29627</v>
      </c>
      <c r="G256" s="299" t="s">
        <v>349</v>
      </c>
      <c r="H256" s="299">
        <v>2017</v>
      </c>
    </row>
    <row r="257" spans="1:8" x14ac:dyDescent="0.2">
      <c r="A257" s="299" t="str">
        <f t="shared" si="6"/>
        <v>GEO2018</v>
      </c>
      <c r="B257" s="460">
        <v>1251.9079999999999</v>
      </c>
      <c r="C257" s="460">
        <v>500.72329999999999</v>
      </c>
      <c r="D257" s="460">
        <v>494.0215</v>
      </c>
      <c r="E257" s="460">
        <v>6.701784</v>
      </c>
      <c r="F257" s="460">
        <v>12.36806</v>
      </c>
      <c r="G257" s="299" t="s">
        <v>349</v>
      </c>
      <c r="H257" s="299">
        <v>2018</v>
      </c>
    </row>
    <row r="258" spans="1:8" x14ac:dyDescent="0.2">
      <c r="A258" s="299" t="str">
        <f t="shared" ref="A258:A321" si="8">CONCATENATE(G258,H258)</f>
        <v>GHA2015</v>
      </c>
      <c r="B258" s="460">
        <v>2273.029</v>
      </c>
      <c r="C258" s="460">
        <v>1177.9169999999999</v>
      </c>
      <c r="D258" s="460">
        <v>797.42909999999995</v>
      </c>
      <c r="E258" s="460">
        <v>566.70550000000003</v>
      </c>
      <c r="F258" s="460">
        <v>21.264849000000002</v>
      </c>
      <c r="G258" s="299" t="s">
        <v>126</v>
      </c>
      <c r="H258" s="299">
        <v>2015</v>
      </c>
    </row>
    <row r="259" spans="1:8" x14ac:dyDescent="0.2">
      <c r="A259" s="299" t="str">
        <f t="shared" si="8"/>
        <v>GHA2016</v>
      </c>
      <c r="B259" s="460">
        <v>1904.204</v>
      </c>
      <c r="C259" s="460">
        <v>826.46770000000004</v>
      </c>
      <c r="D259" s="460">
        <v>730.36800000000005</v>
      </c>
      <c r="E259" s="460">
        <v>243.69</v>
      </c>
      <c r="F259" s="460">
        <v>91.127414999999999</v>
      </c>
      <c r="G259" s="299" t="s">
        <v>126</v>
      </c>
      <c r="H259" s="299">
        <v>2016</v>
      </c>
    </row>
    <row r="260" spans="1:8" x14ac:dyDescent="0.2">
      <c r="A260" s="299" t="str">
        <f t="shared" si="8"/>
        <v>GHA2017</v>
      </c>
      <c r="B260" s="460">
        <v>1964.395</v>
      </c>
      <c r="C260" s="460">
        <v>785.67470000000003</v>
      </c>
      <c r="D260" s="460">
        <v>641.40189999999996</v>
      </c>
      <c r="E260" s="460">
        <v>277.47550000000001</v>
      </c>
      <c r="F260" s="460">
        <v>19.190304999999999</v>
      </c>
      <c r="G260" s="299" t="s">
        <v>126</v>
      </c>
      <c r="H260" s="299">
        <v>2017</v>
      </c>
    </row>
    <row r="261" spans="1:8" x14ac:dyDescent="0.2">
      <c r="A261" s="299" t="str">
        <f t="shared" si="8"/>
        <v>GHA2018</v>
      </c>
      <c r="B261" s="460">
        <v>2319.1979999999999</v>
      </c>
      <c r="C261" s="460">
        <v>1039.971</v>
      </c>
      <c r="D261" s="460">
        <v>902.00559999999996</v>
      </c>
      <c r="E261" s="460">
        <v>288.48820000000001</v>
      </c>
      <c r="G261" s="299" t="s">
        <v>126</v>
      </c>
      <c r="H261" s="299">
        <v>2018</v>
      </c>
    </row>
    <row r="262" spans="1:8" x14ac:dyDescent="0.2">
      <c r="A262" s="299" t="str">
        <f t="shared" si="8"/>
        <v>GIN2015</v>
      </c>
      <c r="B262" s="460">
        <v>510.87220000000002</v>
      </c>
      <c r="C262" s="460">
        <v>146.42740000000001</v>
      </c>
      <c r="D262" s="460">
        <v>37.754489999999997</v>
      </c>
      <c r="E262" s="460">
        <v>119.864</v>
      </c>
      <c r="F262" s="460">
        <v>47.069803</v>
      </c>
      <c r="G262" s="299" t="s">
        <v>128</v>
      </c>
      <c r="H262" s="299">
        <v>2015</v>
      </c>
    </row>
    <row r="263" spans="1:8" x14ac:dyDescent="0.2">
      <c r="A263" s="299" t="str">
        <f t="shared" si="8"/>
        <v>GIN2016</v>
      </c>
      <c r="B263" s="460">
        <v>464.34449999999998</v>
      </c>
      <c r="C263" s="460">
        <v>180.19560000000001</v>
      </c>
      <c r="D263" s="460">
        <v>57.107439999999997</v>
      </c>
      <c r="E263" s="460">
        <v>126.45480000000001</v>
      </c>
      <c r="F263" s="460">
        <v>33.915481999999997</v>
      </c>
      <c r="G263" s="299" t="s">
        <v>128</v>
      </c>
      <c r="H263" s="299">
        <v>2016</v>
      </c>
    </row>
    <row r="264" spans="1:8" x14ac:dyDescent="0.2">
      <c r="A264" s="299" t="str">
        <f t="shared" si="8"/>
        <v>GIN2017</v>
      </c>
      <c r="B264" s="460">
        <v>440.56389999999999</v>
      </c>
      <c r="C264" s="460">
        <v>138.02199999999999</v>
      </c>
      <c r="D264" s="460">
        <v>73.667280000000005</v>
      </c>
      <c r="E264" s="460">
        <v>65.838499999999996</v>
      </c>
      <c r="G264" s="299" t="s">
        <v>128</v>
      </c>
      <c r="H264" s="299">
        <v>2017</v>
      </c>
    </row>
    <row r="265" spans="1:8" x14ac:dyDescent="0.2">
      <c r="A265" s="299" t="str">
        <f t="shared" si="8"/>
        <v>GIN2018</v>
      </c>
      <c r="B265" s="460">
        <v>475.68639999999999</v>
      </c>
      <c r="C265" s="460">
        <v>123.4956</v>
      </c>
      <c r="D265" s="460">
        <v>78.203130000000002</v>
      </c>
      <c r="E265" s="460">
        <v>47.019730000000003</v>
      </c>
      <c r="G265" s="299" t="s">
        <v>128</v>
      </c>
      <c r="H265" s="299">
        <v>2018</v>
      </c>
    </row>
    <row r="266" spans="1:8" x14ac:dyDescent="0.2">
      <c r="A266" s="299" t="str">
        <f t="shared" si="8"/>
        <v>GMB2015</v>
      </c>
      <c r="B266" s="460">
        <v>43.772620000000003</v>
      </c>
      <c r="C266" s="460">
        <v>13.75821</v>
      </c>
      <c r="D266" s="460">
        <v>13.75821</v>
      </c>
      <c r="E266" s="460">
        <v>15.29918</v>
      </c>
      <c r="F266" s="460">
        <v>2.0221499000000001</v>
      </c>
      <c r="G266" s="299" t="s">
        <v>130</v>
      </c>
      <c r="H266" s="299">
        <v>2015</v>
      </c>
    </row>
    <row r="267" spans="1:8" x14ac:dyDescent="0.2">
      <c r="A267" s="299" t="str">
        <f t="shared" si="8"/>
        <v>GMB2016</v>
      </c>
      <c r="B267" s="460">
        <v>46.856430000000003</v>
      </c>
      <c r="C267" s="460">
        <v>17.85314</v>
      </c>
      <c r="D267" s="460">
        <v>17.85314</v>
      </c>
      <c r="E267" s="460">
        <v>12.857760000000001</v>
      </c>
      <c r="F267" s="460">
        <v>1.0131399999999999</v>
      </c>
      <c r="G267" s="299" t="s">
        <v>130</v>
      </c>
      <c r="H267" s="299">
        <v>2016</v>
      </c>
    </row>
    <row r="268" spans="1:8" x14ac:dyDescent="0.2">
      <c r="A268" s="299" t="str">
        <f t="shared" si="8"/>
        <v>GMB2017</v>
      </c>
      <c r="B268" s="460">
        <v>50.277999999999999</v>
      </c>
      <c r="C268" s="460">
        <v>15.9672</v>
      </c>
      <c r="D268" s="460">
        <v>15.9672</v>
      </c>
      <c r="E268" s="460">
        <v>18.51925</v>
      </c>
      <c r="G268" s="299" t="s">
        <v>130</v>
      </c>
      <c r="H268" s="299">
        <v>2017</v>
      </c>
    </row>
    <row r="269" spans="1:8" x14ac:dyDescent="0.2">
      <c r="A269" s="299" t="str">
        <f t="shared" si="8"/>
        <v>GMB2018</v>
      </c>
      <c r="B269" s="460">
        <v>50.516460000000002</v>
      </c>
      <c r="C269" s="460">
        <v>15.455270000000001</v>
      </c>
      <c r="D269" s="460">
        <v>15.455270000000001</v>
      </c>
      <c r="E269" s="460">
        <v>17.723009999999999</v>
      </c>
      <c r="G269" s="299" t="s">
        <v>130</v>
      </c>
      <c r="H269" s="299">
        <v>2018</v>
      </c>
    </row>
    <row r="270" spans="1:8" x14ac:dyDescent="0.2">
      <c r="A270" s="299" t="str">
        <f t="shared" si="8"/>
        <v>GNB2015</v>
      </c>
      <c r="B270" s="460">
        <v>90.055070000000001</v>
      </c>
      <c r="C270" s="460">
        <v>15.80315</v>
      </c>
      <c r="D270" s="460">
        <v>6.8901649999999997</v>
      </c>
      <c r="E270" s="460">
        <v>17.636019999999998</v>
      </c>
      <c r="F270" s="460">
        <v>1.0220254</v>
      </c>
      <c r="G270" s="299" t="s">
        <v>132</v>
      </c>
      <c r="H270" s="299">
        <v>2015</v>
      </c>
    </row>
    <row r="271" spans="1:8" x14ac:dyDescent="0.2">
      <c r="A271" s="299" t="str">
        <f t="shared" si="8"/>
        <v>GNB2016</v>
      </c>
      <c r="B271" s="460">
        <v>90.234999999999999</v>
      </c>
      <c r="C271" s="460">
        <v>16.4361</v>
      </c>
      <c r="D271" s="460">
        <v>6.8392860000000004</v>
      </c>
      <c r="E271" s="460">
        <v>13.187749999999999</v>
      </c>
      <c r="F271" s="460">
        <v>1.0343541999999999</v>
      </c>
      <c r="G271" s="299" t="s">
        <v>132</v>
      </c>
      <c r="H271" s="299">
        <v>2016</v>
      </c>
    </row>
    <row r="272" spans="1:8" x14ac:dyDescent="0.2">
      <c r="A272" s="299" t="str">
        <f t="shared" si="8"/>
        <v>GNB2017</v>
      </c>
      <c r="B272" s="460">
        <v>92.453919999999997</v>
      </c>
      <c r="C272" s="460">
        <v>14.230549999999999</v>
      </c>
      <c r="D272" s="460">
        <v>8.0089439999999996</v>
      </c>
      <c r="E272" s="460">
        <v>10.334160000000001</v>
      </c>
      <c r="F272" s="460">
        <v>2.5800709999999998</v>
      </c>
      <c r="G272" s="299" t="s">
        <v>132</v>
      </c>
      <c r="H272" s="299">
        <v>2017</v>
      </c>
    </row>
    <row r="273" spans="1:8" x14ac:dyDescent="0.2">
      <c r="A273" s="299" t="str">
        <f t="shared" si="8"/>
        <v>GNB2018</v>
      </c>
      <c r="B273" s="460">
        <v>99.890180000000001</v>
      </c>
      <c r="C273" s="460">
        <v>17.22777</v>
      </c>
      <c r="D273" s="460">
        <v>9.1516380000000002</v>
      </c>
      <c r="E273" s="460">
        <v>12.42207</v>
      </c>
      <c r="G273" s="299" t="s">
        <v>132</v>
      </c>
      <c r="H273" s="299">
        <v>2018</v>
      </c>
    </row>
    <row r="274" spans="1:8" x14ac:dyDescent="0.2">
      <c r="A274" s="299" t="str">
        <f t="shared" si="8"/>
        <v>GNQ2015</v>
      </c>
      <c r="B274" s="460">
        <v>384.2475</v>
      </c>
      <c r="C274" s="460">
        <v>75.672499999999999</v>
      </c>
      <c r="D274" s="460">
        <v>73.070170000000005</v>
      </c>
      <c r="E274" s="460">
        <v>4.7849740000000001</v>
      </c>
      <c r="F274" s="460">
        <v>54.735016999999999</v>
      </c>
      <c r="G274" s="299" t="s">
        <v>134</v>
      </c>
      <c r="H274" s="299">
        <v>2015</v>
      </c>
    </row>
    <row r="275" spans="1:8" x14ac:dyDescent="0.2">
      <c r="A275" s="299" t="str">
        <f t="shared" si="8"/>
        <v>GNQ2016</v>
      </c>
      <c r="B275" s="460">
        <v>353.22989999999999</v>
      </c>
      <c r="C275" s="460">
        <v>79.144040000000004</v>
      </c>
      <c r="D275" s="460">
        <v>78.012870000000007</v>
      </c>
      <c r="E275" s="460">
        <v>4.217638</v>
      </c>
      <c r="G275" s="299" t="s">
        <v>134</v>
      </c>
      <c r="H275" s="299">
        <v>2016</v>
      </c>
    </row>
    <row r="276" spans="1:8" x14ac:dyDescent="0.2">
      <c r="A276" s="299" t="str">
        <f t="shared" si="8"/>
        <v>GNQ2017</v>
      </c>
      <c r="B276" s="460">
        <v>369.93490000000003</v>
      </c>
      <c r="C276" s="460">
        <v>76.343209999999999</v>
      </c>
      <c r="D276" s="460">
        <v>71.896240000000006</v>
      </c>
      <c r="E276" s="460">
        <v>7.5877239999999997</v>
      </c>
      <c r="G276" s="299" t="s">
        <v>134</v>
      </c>
      <c r="H276" s="299">
        <v>2017</v>
      </c>
    </row>
    <row r="277" spans="1:8" x14ac:dyDescent="0.2">
      <c r="A277" s="299" t="str">
        <f t="shared" si="8"/>
        <v>GNQ2018</v>
      </c>
      <c r="B277" s="460">
        <v>411.4092</v>
      </c>
      <c r="C277" s="460">
        <v>86.909970000000001</v>
      </c>
      <c r="D277" s="460">
        <v>81.728350000000006</v>
      </c>
      <c r="E277" s="460">
        <v>9.5669889999999995</v>
      </c>
      <c r="G277" s="299" t="s">
        <v>134</v>
      </c>
      <c r="H277" s="299">
        <v>2018</v>
      </c>
    </row>
    <row r="278" spans="1:8" x14ac:dyDescent="0.2">
      <c r="A278" s="299" t="str">
        <f t="shared" si="8"/>
        <v>GRC2015</v>
      </c>
      <c r="B278" s="460">
        <v>15766.65</v>
      </c>
      <c r="C278" s="460">
        <v>8964.8680000000004</v>
      </c>
      <c r="D278" s="460">
        <v>8964.8680000000004</v>
      </c>
      <c r="E278" s="460">
        <v>259.23669999999998</v>
      </c>
      <c r="F278" s="460">
        <v>452.75691999999998</v>
      </c>
      <c r="G278" s="299" t="s">
        <v>351</v>
      </c>
      <c r="H278" s="299">
        <v>2015</v>
      </c>
    </row>
    <row r="279" spans="1:8" x14ac:dyDescent="0.2">
      <c r="A279" s="299" t="str">
        <f t="shared" si="8"/>
        <v>GRC2016</v>
      </c>
      <c r="B279" s="460">
        <v>16048.36</v>
      </c>
      <c r="C279" s="460">
        <v>8364.6929999999993</v>
      </c>
      <c r="D279" s="460">
        <v>8364.6929999999993</v>
      </c>
      <c r="E279" s="460">
        <v>41.703539999999997</v>
      </c>
      <c r="F279" s="460">
        <v>389.86252999999999</v>
      </c>
      <c r="G279" s="299" t="s">
        <v>351</v>
      </c>
      <c r="H279" s="299">
        <v>2016</v>
      </c>
    </row>
    <row r="280" spans="1:8" x14ac:dyDescent="0.2">
      <c r="A280" s="299" t="str">
        <f t="shared" si="8"/>
        <v>GRC2017</v>
      </c>
      <c r="B280" s="460">
        <v>16216.27</v>
      </c>
      <c r="C280" s="460">
        <v>8449.8410000000003</v>
      </c>
      <c r="D280" s="460">
        <v>8449.8410000000003</v>
      </c>
      <c r="E280" s="460">
        <v>29.063369999999999</v>
      </c>
      <c r="F280" s="460">
        <v>442.92063000000002</v>
      </c>
      <c r="G280" s="299" t="s">
        <v>351</v>
      </c>
      <c r="H280" s="299">
        <v>2017</v>
      </c>
    </row>
    <row r="281" spans="1:8" x14ac:dyDescent="0.2">
      <c r="A281" s="299" t="str">
        <f t="shared" si="8"/>
        <v>GRC2018</v>
      </c>
      <c r="B281" s="460">
        <v>16830.330000000002</v>
      </c>
      <c r="C281" s="460">
        <v>8740.5360000000001</v>
      </c>
      <c r="D281" s="460">
        <v>8740.5360000000001</v>
      </c>
      <c r="E281" s="460">
        <v>22.949400000000001</v>
      </c>
      <c r="G281" s="299" t="s">
        <v>351</v>
      </c>
      <c r="H281" s="299">
        <v>2018</v>
      </c>
    </row>
    <row r="282" spans="1:8" x14ac:dyDescent="0.2">
      <c r="A282" s="299" t="str">
        <f t="shared" si="8"/>
        <v>GRD2015</v>
      </c>
      <c r="B282" s="460">
        <v>46.329880000000003</v>
      </c>
      <c r="C282" s="460">
        <v>19.36111</v>
      </c>
      <c r="D282" s="460">
        <v>19.29204</v>
      </c>
      <c r="E282" s="460">
        <v>0.1473216</v>
      </c>
      <c r="F282" s="460">
        <v>2.5427122</v>
      </c>
      <c r="G282" s="299" t="s">
        <v>223</v>
      </c>
      <c r="H282" s="299">
        <v>2015</v>
      </c>
    </row>
    <row r="283" spans="1:8" x14ac:dyDescent="0.2">
      <c r="A283" s="299" t="str">
        <f t="shared" si="8"/>
        <v>GRD2016</v>
      </c>
      <c r="B283" s="460">
        <v>47.137979999999999</v>
      </c>
      <c r="C283" s="460">
        <v>18.80969</v>
      </c>
      <c r="D283" s="460">
        <v>18.742709999999999</v>
      </c>
      <c r="E283" s="460">
        <v>0.13400100000000001</v>
      </c>
      <c r="F283" s="460">
        <v>2.3536559000000001</v>
      </c>
      <c r="G283" s="299" t="s">
        <v>223</v>
      </c>
      <c r="H283" s="299">
        <v>2016</v>
      </c>
    </row>
    <row r="284" spans="1:8" x14ac:dyDescent="0.2">
      <c r="A284" s="299" t="str">
        <f t="shared" si="8"/>
        <v>GRD2017</v>
      </c>
      <c r="B284" s="460">
        <v>51.750399999999999</v>
      </c>
      <c r="C284" s="460">
        <v>21.350850000000001</v>
      </c>
      <c r="D284" s="460">
        <v>21.250080000000001</v>
      </c>
      <c r="E284" s="460">
        <v>0.1057027</v>
      </c>
      <c r="F284" s="460">
        <v>3.3854030000000002</v>
      </c>
      <c r="G284" s="299" t="s">
        <v>223</v>
      </c>
      <c r="H284" s="299">
        <v>2017</v>
      </c>
    </row>
    <row r="285" spans="1:8" x14ac:dyDescent="0.2">
      <c r="A285" s="299" t="str">
        <f t="shared" si="8"/>
        <v>GRD2018</v>
      </c>
      <c r="B285" s="460">
        <v>52.888579999999997</v>
      </c>
      <c r="C285" s="460">
        <v>21.853280000000002</v>
      </c>
      <c r="D285" s="460">
        <v>20.20167</v>
      </c>
      <c r="E285" s="460">
        <v>1.7005589999999999</v>
      </c>
      <c r="F285" s="460">
        <v>2.0060867</v>
      </c>
      <c r="G285" s="299" t="s">
        <v>223</v>
      </c>
      <c r="H285" s="299">
        <v>2018</v>
      </c>
    </row>
    <row r="286" spans="1:8" x14ac:dyDescent="0.2">
      <c r="A286" s="299" t="str">
        <f t="shared" si="8"/>
        <v>GTM2015</v>
      </c>
      <c r="B286" s="460">
        <v>3734.9090000000001</v>
      </c>
      <c r="C286" s="460">
        <v>1435.0419999999999</v>
      </c>
      <c r="D286" s="460">
        <v>1416.7239999999999</v>
      </c>
      <c r="E286" s="460">
        <v>62.653820000000003</v>
      </c>
      <c r="F286" s="460">
        <v>56.03228</v>
      </c>
      <c r="G286" s="299" t="s">
        <v>225</v>
      </c>
      <c r="H286" s="299">
        <v>2015</v>
      </c>
    </row>
    <row r="287" spans="1:8" x14ac:dyDescent="0.2">
      <c r="A287" s="299" t="str">
        <f t="shared" si="8"/>
        <v>GTM2016</v>
      </c>
      <c r="B287" s="460">
        <v>4009.498</v>
      </c>
      <c r="C287" s="460">
        <v>1519.1410000000001</v>
      </c>
      <c r="D287" s="460">
        <v>1511.0540000000001</v>
      </c>
      <c r="E287" s="460">
        <v>66.032539999999997</v>
      </c>
      <c r="F287" s="460">
        <v>28.616156</v>
      </c>
      <c r="G287" s="299" t="s">
        <v>225</v>
      </c>
      <c r="H287" s="299">
        <v>2016</v>
      </c>
    </row>
    <row r="288" spans="1:8" x14ac:dyDescent="0.2">
      <c r="A288" s="299" t="str">
        <f t="shared" si="8"/>
        <v>GTM2017</v>
      </c>
      <c r="B288" s="460">
        <v>4396.4120000000003</v>
      </c>
      <c r="C288" s="460">
        <v>1591.056</v>
      </c>
      <c r="D288" s="460">
        <v>1575.884</v>
      </c>
      <c r="E288" s="460">
        <v>47.582059999999998</v>
      </c>
      <c r="F288" s="460">
        <v>46.565288000000002</v>
      </c>
      <c r="G288" s="299" t="s">
        <v>225</v>
      </c>
      <c r="H288" s="299">
        <v>2017</v>
      </c>
    </row>
    <row r="289" spans="1:8" x14ac:dyDescent="0.2">
      <c r="A289" s="299" t="str">
        <f t="shared" si="8"/>
        <v>GTM2018</v>
      </c>
      <c r="B289" s="460">
        <v>4477.8900000000003</v>
      </c>
      <c r="C289" s="460">
        <v>1634.471</v>
      </c>
      <c r="D289" s="460">
        <v>1612.4349999999999</v>
      </c>
      <c r="E289" s="460">
        <v>75.331940000000003</v>
      </c>
      <c r="F289" s="460">
        <v>75.725763000000001</v>
      </c>
      <c r="G289" s="299" t="s">
        <v>225</v>
      </c>
      <c r="H289" s="299">
        <v>2018</v>
      </c>
    </row>
    <row r="290" spans="1:8" x14ac:dyDescent="0.2">
      <c r="A290" s="299" t="str">
        <f t="shared" si="8"/>
        <v>GUY2015</v>
      </c>
      <c r="B290" s="460">
        <v>171.6574</v>
      </c>
      <c r="C290" s="460">
        <v>101.1966</v>
      </c>
      <c r="D290" s="460">
        <v>100.8663</v>
      </c>
      <c r="E290" s="460">
        <v>8.3753810000000009</v>
      </c>
      <c r="F290" s="460">
        <v>4.8841597999999999</v>
      </c>
      <c r="G290" s="299" t="s">
        <v>227</v>
      </c>
      <c r="H290" s="299">
        <v>2015</v>
      </c>
    </row>
    <row r="291" spans="1:8" x14ac:dyDescent="0.2">
      <c r="A291" s="299" t="str">
        <f t="shared" si="8"/>
        <v>GUY2016</v>
      </c>
      <c r="B291" s="460">
        <v>180.1337</v>
      </c>
      <c r="C291" s="460">
        <v>114.5941</v>
      </c>
      <c r="D291" s="460">
        <v>113.49809999999999</v>
      </c>
      <c r="E291" s="460">
        <v>8.0210659999999994</v>
      </c>
      <c r="F291" s="460">
        <v>0.83845645999999996</v>
      </c>
      <c r="G291" s="299" t="s">
        <v>227</v>
      </c>
      <c r="H291" s="299">
        <v>2016</v>
      </c>
    </row>
    <row r="292" spans="1:8" x14ac:dyDescent="0.2">
      <c r="A292" s="299" t="str">
        <f t="shared" si="8"/>
        <v>GUY2017</v>
      </c>
      <c r="B292" s="460">
        <v>204.08349999999999</v>
      </c>
      <c r="C292" s="460">
        <v>134.9607</v>
      </c>
      <c r="D292" s="460">
        <v>133.0247</v>
      </c>
      <c r="E292" s="460">
        <v>8.2279540000000004</v>
      </c>
      <c r="F292" s="460">
        <v>11.2584</v>
      </c>
      <c r="G292" s="299" t="s">
        <v>227</v>
      </c>
      <c r="H292" s="299">
        <v>2017</v>
      </c>
    </row>
    <row r="293" spans="1:8" x14ac:dyDescent="0.2">
      <c r="A293" s="299" t="str">
        <f t="shared" si="8"/>
        <v>GUY2018</v>
      </c>
      <c r="B293" s="460">
        <v>230.2414</v>
      </c>
      <c r="C293" s="460">
        <v>143.63409999999999</v>
      </c>
      <c r="D293" s="460">
        <v>142.45590000000001</v>
      </c>
      <c r="E293" s="460">
        <v>6.9491389999999997</v>
      </c>
      <c r="F293" s="460">
        <v>13.360199</v>
      </c>
      <c r="G293" s="299" t="s">
        <v>227</v>
      </c>
      <c r="H293" s="299">
        <v>2018</v>
      </c>
    </row>
    <row r="294" spans="1:8" x14ac:dyDescent="0.2">
      <c r="A294" s="299" t="str">
        <f t="shared" si="8"/>
        <v>HND2015</v>
      </c>
      <c r="B294" s="460">
        <v>1570.0830000000001</v>
      </c>
      <c r="C294" s="460">
        <v>677.77570000000003</v>
      </c>
      <c r="D294" s="460">
        <v>618.47670000000005</v>
      </c>
      <c r="E294" s="460">
        <v>78.908760000000001</v>
      </c>
      <c r="F294" s="460">
        <v>42.988408</v>
      </c>
      <c r="G294" s="299" t="s">
        <v>229</v>
      </c>
      <c r="H294" s="299">
        <v>2015</v>
      </c>
    </row>
    <row r="295" spans="1:8" x14ac:dyDescent="0.2">
      <c r="A295" s="299" t="str">
        <f t="shared" si="8"/>
        <v>HND2016</v>
      </c>
      <c r="B295" s="460">
        <v>1670.298</v>
      </c>
      <c r="C295" s="460">
        <v>720.11320000000001</v>
      </c>
      <c r="D295" s="460">
        <v>667.74040000000002</v>
      </c>
      <c r="E295" s="460">
        <v>82.998310000000004</v>
      </c>
      <c r="F295" s="460">
        <v>59.892918000000002</v>
      </c>
      <c r="G295" s="299" t="s">
        <v>229</v>
      </c>
      <c r="H295" s="299">
        <v>2016</v>
      </c>
    </row>
    <row r="296" spans="1:8" x14ac:dyDescent="0.2">
      <c r="A296" s="299" t="str">
        <f t="shared" si="8"/>
        <v>HND2017</v>
      </c>
      <c r="B296" s="460">
        <v>1617.2159999999999</v>
      </c>
      <c r="C296" s="460">
        <v>695.66060000000004</v>
      </c>
      <c r="D296" s="460">
        <v>656.44209999999998</v>
      </c>
      <c r="E296" s="460">
        <v>59.866059999999997</v>
      </c>
      <c r="F296" s="460">
        <v>32.009255000000003</v>
      </c>
      <c r="G296" s="299" t="s">
        <v>229</v>
      </c>
      <c r="H296" s="299">
        <v>2017</v>
      </c>
    </row>
    <row r="297" spans="1:8" x14ac:dyDescent="0.2">
      <c r="A297" s="299" t="str">
        <f t="shared" si="8"/>
        <v>HND2018</v>
      </c>
      <c r="B297" s="460">
        <v>1689.7750000000001</v>
      </c>
      <c r="C297" s="460">
        <v>716.96900000000005</v>
      </c>
      <c r="D297" s="460">
        <v>680.28970000000004</v>
      </c>
      <c r="E297" s="460">
        <v>51.289549999999998</v>
      </c>
      <c r="F297" s="460">
        <v>19.79881</v>
      </c>
      <c r="G297" s="299" t="s">
        <v>229</v>
      </c>
      <c r="H297" s="299">
        <v>2018</v>
      </c>
    </row>
    <row r="298" spans="1:8" x14ac:dyDescent="0.2">
      <c r="A298" s="299" t="str">
        <f t="shared" si="8"/>
        <v>HRV2015</v>
      </c>
      <c r="B298" s="460">
        <v>3361.3270000000002</v>
      </c>
      <c r="C298" s="460">
        <v>2793.1109999999999</v>
      </c>
      <c r="D298" s="460">
        <v>2793.1109999999999</v>
      </c>
      <c r="E298" s="460">
        <v>0</v>
      </c>
      <c r="F298" s="460">
        <v>95.213049999999996</v>
      </c>
      <c r="G298" s="299" t="s">
        <v>353</v>
      </c>
      <c r="H298" s="299">
        <v>2015</v>
      </c>
    </row>
    <row r="299" spans="1:8" x14ac:dyDescent="0.2">
      <c r="A299" s="299" t="str">
        <f t="shared" si="8"/>
        <v>HRV2016</v>
      </c>
      <c r="B299" s="460">
        <v>3523.9549999999999</v>
      </c>
      <c r="C299" s="460">
        <v>2916.5479999999998</v>
      </c>
      <c r="D299" s="460">
        <v>2916.5479999999998</v>
      </c>
      <c r="E299" s="460">
        <v>0.14692939999999999</v>
      </c>
      <c r="F299" s="460">
        <v>91.278709000000006</v>
      </c>
      <c r="G299" s="299" t="s">
        <v>353</v>
      </c>
      <c r="H299" s="299">
        <v>2016</v>
      </c>
    </row>
    <row r="300" spans="1:8" x14ac:dyDescent="0.2">
      <c r="A300" s="299" t="str">
        <f t="shared" si="8"/>
        <v>HRV2017</v>
      </c>
      <c r="B300" s="460">
        <v>3749.6979999999999</v>
      </c>
      <c r="C300" s="460">
        <v>3106.47</v>
      </c>
      <c r="D300" s="460">
        <v>3106.47</v>
      </c>
      <c r="E300" s="460">
        <v>5.0372800000000002E-2</v>
      </c>
      <c r="F300" s="460">
        <v>96.706275000000005</v>
      </c>
      <c r="G300" s="299" t="s">
        <v>353</v>
      </c>
      <c r="H300" s="299">
        <v>2017</v>
      </c>
    </row>
    <row r="301" spans="1:8" x14ac:dyDescent="0.2">
      <c r="A301" s="299" t="str">
        <f t="shared" si="8"/>
        <v>HRV2018</v>
      </c>
      <c r="B301" s="460">
        <v>4163.8829999999998</v>
      </c>
      <c r="C301" s="460">
        <v>3464.74</v>
      </c>
      <c r="D301" s="460">
        <v>3464.74</v>
      </c>
      <c r="E301" s="460">
        <v>0.18449280000000001</v>
      </c>
      <c r="F301" s="460">
        <v>142.41861</v>
      </c>
      <c r="G301" s="299" t="s">
        <v>353</v>
      </c>
      <c r="H301" s="299">
        <v>2018</v>
      </c>
    </row>
    <row r="302" spans="1:8" x14ac:dyDescent="0.2">
      <c r="A302" s="299" t="str">
        <f t="shared" si="8"/>
        <v>HTI2015</v>
      </c>
      <c r="B302" s="460">
        <v>720.89970000000005</v>
      </c>
      <c r="C302" s="460">
        <v>98.327799999999996</v>
      </c>
      <c r="D302" s="460">
        <v>79.672229999999999</v>
      </c>
      <c r="E302" s="460">
        <v>366.78649999999999</v>
      </c>
      <c r="F302" s="460">
        <v>31.62932</v>
      </c>
      <c r="G302" s="299" t="s">
        <v>231</v>
      </c>
      <c r="H302" s="299">
        <v>2015</v>
      </c>
    </row>
    <row r="303" spans="1:8" x14ac:dyDescent="0.2">
      <c r="A303" s="299" t="str">
        <f t="shared" si="8"/>
        <v>HTI2016</v>
      </c>
      <c r="B303" s="460">
        <v>641.01509999999996</v>
      </c>
      <c r="C303" s="460">
        <v>77.923950000000005</v>
      </c>
      <c r="D303" s="460">
        <v>70.636539999999997</v>
      </c>
      <c r="E303" s="460">
        <v>316.86689999999999</v>
      </c>
      <c r="F303" s="460">
        <v>22.216577000000001</v>
      </c>
      <c r="G303" s="299" t="s">
        <v>231</v>
      </c>
      <c r="H303" s="299">
        <v>2016</v>
      </c>
    </row>
    <row r="304" spans="1:8" x14ac:dyDescent="0.2">
      <c r="A304" s="299" t="str">
        <f t="shared" si="8"/>
        <v>HTI2017</v>
      </c>
      <c r="B304" s="460">
        <v>688.90650000000005</v>
      </c>
      <c r="C304" s="460">
        <v>91.184619999999995</v>
      </c>
      <c r="D304" s="460">
        <v>81.181209999999993</v>
      </c>
      <c r="E304" s="460">
        <v>299.04180000000002</v>
      </c>
      <c r="F304" s="460">
        <v>36.611607999999997</v>
      </c>
      <c r="G304" s="299" t="s">
        <v>231</v>
      </c>
      <c r="H304" s="299">
        <v>2017</v>
      </c>
    </row>
    <row r="305" spans="1:8" x14ac:dyDescent="0.2">
      <c r="A305" s="299" t="str">
        <f t="shared" si="8"/>
        <v>HTI2018</v>
      </c>
      <c r="B305" s="460">
        <v>714.61829999999998</v>
      </c>
      <c r="C305" s="460">
        <v>94.670940000000002</v>
      </c>
      <c r="D305" s="460">
        <v>85.611819999999994</v>
      </c>
      <c r="E305" s="460">
        <v>279.98099999999999</v>
      </c>
      <c r="F305" s="460">
        <v>23.210014999999999</v>
      </c>
      <c r="G305" s="299" t="s">
        <v>231</v>
      </c>
      <c r="H305" s="299">
        <v>2018</v>
      </c>
    </row>
    <row r="306" spans="1:8" x14ac:dyDescent="0.2">
      <c r="A306" s="299" t="str">
        <f t="shared" si="8"/>
        <v>HUN2015</v>
      </c>
      <c r="B306" s="460">
        <v>8579.4639999999999</v>
      </c>
      <c r="C306" s="460">
        <v>5815.6139999999996</v>
      </c>
      <c r="D306" s="460">
        <v>5815.6139999999996</v>
      </c>
      <c r="F306" s="460">
        <v>582.78832</v>
      </c>
      <c r="G306" s="299" t="s">
        <v>355</v>
      </c>
      <c r="H306" s="299">
        <v>2015</v>
      </c>
    </row>
    <row r="307" spans="1:8" x14ac:dyDescent="0.2">
      <c r="A307" s="299" t="str">
        <f t="shared" si="8"/>
        <v>HUN2016</v>
      </c>
      <c r="B307" s="460">
        <v>8986.9660000000003</v>
      </c>
      <c r="C307" s="460">
        <v>6085.1710000000003</v>
      </c>
      <c r="D307" s="460">
        <v>6085.1710000000003</v>
      </c>
      <c r="F307" s="460">
        <v>131.72107</v>
      </c>
      <c r="G307" s="299" t="s">
        <v>355</v>
      </c>
      <c r="H307" s="299">
        <v>2016</v>
      </c>
    </row>
    <row r="308" spans="1:8" x14ac:dyDescent="0.2">
      <c r="A308" s="299" t="str">
        <f t="shared" si="8"/>
        <v>HUN2017</v>
      </c>
      <c r="B308" s="460">
        <v>9611.7880000000005</v>
      </c>
      <c r="C308" s="460">
        <v>6600.8779999999997</v>
      </c>
      <c r="D308" s="460">
        <v>6600.8779999999997</v>
      </c>
      <c r="F308" s="460">
        <v>225.63643999999999</v>
      </c>
      <c r="G308" s="299" t="s">
        <v>355</v>
      </c>
      <c r="H308" s="299">
        <v>2017</v>
      </c>
    </row>
    <row r="309" spans="1:8" x14ac:dyDescent="0.2">
      <c r="A309" s="299" t="str">
        <f t="shared" si="8"/>
        <v>HUN2018</v>
      </c>
      <c r="B309" s="460">
        <v>10578.27</v>
      </c>
      <c r="C309" s="460">
        <v>7309.6450000000004</v>
      </c>
      <c r="D309" s="460">
        <v>7309.6450000000004</v>
      </c>
      <c r="F309" s="460">
        <v>280.74657000000002</v>
      </c>
      <c r="G309" s="299" t="s">
        <v>355</v>
      </c>
      <c r="H309" s="299">
        <v>2018</v>
      </c>
    </row>
    <row r="310" spans="1:8" x14ac:dyDescent="0.2">
      <c r="A310" s="299" t="str">
        <f t="shared" si="8"/>
        <v>IDN2015</v>
      </c>
      <c r="B310" s="460">
        <v>25749.31</v>
      </c>
      <c r="C310" s="460">
        <v>10632.04</v>
      </c>
      <c r="D310" s="460">
        <v>10583.74</v>
      </c>
      <c r="E310" s="460">
        <v>106.21550000000001</v>
      </c>
      <c r="F310" s="460">
        <v>1746.7896000000001</v>
      </c>
      <c r="G310" s="299" t="s">
        <v>422</v>
      </c>
      <c r="H310" s="299">
        <v>2015</v>
      </c>
    </row>
    <row r="311" spans="1:8" x14ac:dyDescent="0.2">
      <c r="A311" s="299" t="str">
        <f t="shared" si="8"/>
        <v>IDN2016</v>
      </c>
      <c r="B311" s="460">
        <v>28754.93</v>
      </c>
      <c r="C311" s="460">
        <v>13239.39</v>
      </c>
      <c r="D311" s="460">
        <v>13181.69</v>
      </c>
      <c r="E311" s="460">
        <v>119.4363</v>
      </c>
      <c r="F311" s="460">
        <v>2025.5723</v>
      </c>
      <c r="G311" s="299" t="s">
        <v>422</v>
      </c>
      <c r="H311" s="299">
        <v>2016</v>
      </c>
    </row>
    <row r="312" spans="1:8" x14ac:dyDescent="0.2">
      <c r="A312" s="299" t="str">
        <f t="shared" si="8"/>
        <v>IDN2017</v>
      </c>
      <c r="B312" s="460">
        <v>29124.79</v>
      </c>
      <c r="C312" s="460">
        <v>13653.81</v>
      </c>
      <c r="D312" s="460">
        <v>13545.86</v>
      </c>
      <c r="E312" s="460">
        <v>157.28020000000001</v>
      </c>
      <c r="F312" s="460">
        <v>2649.6691000000001</v>
      </c>
      <c r="G312" s="299" t="s">
        <v>422</v>
      </c>
      <c r="H312" s="299">
        <v>2017</v>
      </c>
    </row>
    <row r="313" spans="1:8" x14ac:dyDescent="0.2">
      <c r="A313" s="299" t="str">
        <f t="shared" si="8"/>
        <v>IDN2018</v>
      </c>
      <c r="B313" s="460">
        <v>29892.89</v>
      </c>
      <c r="C313" s="460">
        <v>14800.44</v>
      </c>
      <c r="D313" s="460">
        <v>14745.96</v>
      </c>
      <c r="E313" s="460">
        <v>113.0467</v>
      </c>
      <c r="F313" s="460">
        <v>2375.0535</v>
      </c>
      <c r="G313" s="299" t="s">
        <v>422</v>
      </c>
      <c r="H313" s="299">
        <v>2018</v>
      </c>
    </row>
    <row r="314" spans="1:8" x14ac:dyDescent="0.2">
      <c r="A314" s="299" t="str">
        <f t="shared" si="8"/>
        <v>IND2015</v>
      </c>
      <c r="B314" s="460">
        <v>77190.12</v>
      </c>
      <c r="C314" s="460">
        <v>20052.54</v>
      </c>
      <c r="D314" s="460">
        <v>19791.650000000001</v>
      </c>
      <c r="E314" s="460">
        <v>549.41110000000003</v>
      </c>
      <c r="F314" s="460">
        <v>5189.9763999999996</v>
      </c>
      <c r="G314" s="299" t="s">
        <v>425</v>
      </c>
      <c r="H314" s="299">
        <v>2015</v>
      </c>
    </row>
    <row r="315" spans="1:8" x14ac:dyDescent="0.2">
      <c r="A315" s="299" t="str">
        <f t="shared" si="8"/>
        <v>IND2016</v>
      </c>
      <c r="B315" s="460">
        <v>80269.13</v>
      </c>
      <c r="C315" s="460">
        <v>21781.02</v>
      </c>
      <c r="D315" s="460">
        <v>21542.959999999999</v>
      </c>
      <c r="E315" s="460">
        <v>515.16690000000006</v>
      </c>
      <c r="F315" s="460">
        <v>6198.6467000000002</v>
      </c>
      <c r="G315" s="299" t="s">
        <v>425</v>
      </c>
      <c r="H315" s="299">
        <v>2016</v>
      </c>
    </row>
    <row r="316" spans="1:8" x14ac:dyDescent="0.2">
      <c r="A316" s="299" t="str">
        <f t="shared" si="8"/>
        <v>IND2017</v>
      </c>
      <c r="B316" s="460">
        <v>92797.17</v>
      </c>
      <c r="C316" s="460">
        <v>25489.040000000001</v>
      </c>
      <c r="D316" s="460">
        <v>25177.41</v>
      </c>
      <c r="E316" s="460">
        <v>748.0924</v>
      </c>
      <c r="G316" s="299" t="s">
        <v>425</v>
      </c>
      <c r="H316" s="299">
        <v>2017</v>
      </c>
    </row>
    <row r="317" spans="1:8" x14ac:dyDescent="0.2">
      <c r="A317" s="299" t="str">
        <f t="shared" si="8"/>
        <v>IND2018</v>
      </c>
      <c r="B317" s="460">
        <v>98519.07</v>
      </c>
      <c r="C317" s="460">
        <v>26785.08</v>
      </c>
      <c r="D317" s="460">
        <v>26554.33</v>
      </c>
      <c r="E317" s="460">
        <v>685.14049999999997</v>
      </c>
      <c r="G317" s="299" t="s">
        <v>425</v>
      </c>
      <c r="H317" s="299">
        <v>2018</v>
      </c>
    </row>
    <row r="318" spans="1:8" x14ac:dyDescent="0.2">
      <c r="A318" s="299" t="str">
        <f t="shared" si="8"/>
        <v>IRL2015</v>
      </c>
      <c r="B318" s="460">
        <v>21338.11</v>
      </c>
      <c r="C318" s="460">
        <v>15371.87</v>
      </c>
      <c r="D318" s="460">
        <v>15371.87</v>
      </c>
      <c r="F318" s="460">
        <v>1156.3946000000001</v>
      </c>
      <c r="G318" s="299" t="s">
        <v>357</v>
      </c>
      <c r="H318" s="299">
        <v>2015</v>
      </c>
    </row>
    <row r="319" spans="1:8" x14ac:dyDescent="0.2">
      <c r="A319" s="299" t="str">
        <f t="shared" si="8"/>
        <v>IRL2016</v>
      </c>
      <c r="B319" s="460">
        <v>22296.58</v>
      </c>
      <c r="C319" s="460">
        <v>16152.25</v>
      </c>
      <c r="D319" s="460">
        <v>16152.25</v>
      </c>
      <c r="F319" s="460">
        <v>1279.2920999999999</v>
      </c>
      <c r="G319" s="299" t="s">
        <v>357</v>
      </c>
      <c r="H319" s="299">
        <v>2016</v>
      </c>
    </row>
    <row r="320" spans="1:8" x14ac:dyDescent="0.2">
      <c r="A320" s="299" t="str">
        <f t="shared" si="8"/>
        <v>IRL2017</v>
      </c>
      <c r="B320" s="460">
        <v>24016.17</v>
      </c>
      <c r="C320" s="460">
        <v>17480.41</v>
      </c>
      <c r="D320" s="460">
        <v>17480.41</v>
      </c>
      <c r="F320" s="460">
        <v>1254.3313000000001</v>
      </c>
      <c r="G320" s="299" t="s">
        <v>357</v>
      </c>
      <c r="H320" s="299">
        <v>2017</v>
      </c>
    </row>
    <row r="321" spans="1:8" x14ac:dyDescent="0.2">
      <c r="A321" s="299" t="str">
        <f t="shared" si="8"/>
        <v>IRL2018</v>
      </c>
      <c r="B321" s="460">
        <v>26514.36</v>
      </c>
      <c r="C321" s="460">
        <v>19591.79</v>
      </c>
      <c r="D321" s="460">
        <v>19591.79</v>
      </c>
      <c r="F321" s="460">
        <v>1432.4848999999999</v>
      </c>
      <c r="G321" s="299" t="s">
        <v>357</v>
      </c>
      <c r="H321" s="299">
        <v>2018</v>
      </c>
    </row>
    <row r="322" spans="1:8" x14ac:dyDescent="0.2">
      <c r="A322" s="299" t="str">
        <f t="shared" ref="A322:A385" si="9">CONCATENATE(G322,H322)</f>
        <v>IRN2015</v>
      </c>
      <c r="B322" s="460">
        <v>29770.18</v>
      </c>
      <c r="C322" s="460">
        <v>15505.2</v>
      </c>
      <c r="D322" s="460">
        <v>15505.2</v>
      </c>
      <c r="G322" s="299" t="s">
        <v>275</v>
      </c>
      <c r="H322" s="299">
        <v>2015</v>
      </c>
    </row>
    <row r="323" spans="1:8" x14ac:dyDescent="0.2">
      <c r="A323" s="299" t="str">
        <f t="shared" si="9"/>
        <v>IRN2016</v>
      </c>
      <c r="B323" s="460">
        <v>36460.85</v>
      </c>
      <c r="C323" s="460">
        <v>18453.02</v>
      </c>
      <c r="D323" s="460">
        <v>18452.86</v>
      </c>
      <c r="E323" s="460">
        <v>11.71503</v>
      </c>
      <c r="G323" s="299" t="s">
        <v>275</v>
      </c>
      <c r="H323" s="299">
        <v>2016</v>
      </c>
    </row>
    <row r="324" spans="1:8" x14ac:dyDescent="0.2">
      <c r="A324" s="299" t="str">
        <f t="shared" si="9"/>
        <v>IRN2017</v>
      </c>
      <c r="B324" s="460">
        <v>38591.279999999999</v>
      </c>
      <c r="C324" s="460">
        <v>19777.28</v>
      </c>
      <c r="D324" s="460">
        <v>19776.990000000002</v>
      </c>
      <c r="E324" s="460">
        <v>8.4174779999999991</v>
      </c>
      <c r="G324" s="299" t="s">
        <v>275</v>
      </c>
      <c r="H324" s="299">
        <v>2017</v>
      </c>
    </row>
    <row r="325" spans="1:8" x14ac:dyDescent="0.2">
      <c r="A325" s="299" t="str">
        <f t="shared" si="9"/>
        <v>IRN2018</v>
      </c>
      <c r="B325" s="460">
        <v>39614.730000000003</v>
      </c>
      <c r="C325" s="460">
        <v>18194.349999999999</v>
      </c>
      <c r="D325" s="460">
        <v>18194.080000000002</v>
      </c>
      <c r="E325" s="460">
        <v>8.3401169999999993</v>
      </c>
      <c r="G325" s="299" t="s">
        <v>275</v>
      </c>
      <c r="H325" s="299">
        <v>2018</v>
      </c>
    </row>
    <row r="326" spans="1:8" x14ac:dyDescent="0.2">
      <c r="A326" s="299" t="str">
        <f t="shared" si="9"/>
        <v>IRQ2015</v>
      </c>
      <c r="B326" s="460">
        <v>5579.0550000000003</v>
      </c>
      <c r="C326" s="460">
        <v>1299.5409999999999</v>
      </c>
      <c r="D326" s="460">
        <v>1296.568</v>
      </c>
      <c r="E326" s="460">
        <v>15.082240000000001</v>
      </c>
      <c r="G326" s="299" t="s">
        <v>277</v>
      </c>
      <c r="H326" s="299">
        <v>2015</v>
      </c>
    </row>
    <row r="327" spans="1:8" x14ac:dyDescent="0.2">
      <c r="A327" s="299" t="str">
        <f t="shared" si="9"/>
        <v>IRQ2016</v>
      </c>
      <c r="B327" s="460">
        <v>5644.8459999999995</v>
      </c>
      <c r="C327" s="460">
        <v>1201.607</v>
      </c>
      <c r="D327" s="460">
        <v>1197.873</v>
      </c>
      <c r="E327" s="460">
        <v>21.447430000000001</v>
      </c>
      <c r="G327" s="299" t="s">
        <v>277</v>
      </c>
      <c r="H327" s="299">
        <v>2016</v>
      </c>
    </row>
    <row r="328" spans="1:8" x14ac:dyDescent="0.2">
      <c r="A328" s="299" t="str">
        <f t="shared" si="9"/>
        <v>IRQ2017</v>
      </c>
      <c r="B328" s="460">
        <v>8049.6769999999997</v>
      </c>
      <c r="C328" s="460">
        <v>3370.8049999999998</v>
      </c>
      <c r="D328" s="460">
        <v>3369.6379999999999</v>
      </c>
      <c r="E328" s="460">
        <v>6.6908779999999997</v>
      </c>
      <c r="G328" s="299" t="s">
        <v>277</v>
      </c>
      <c r="H328" s="299">
        <v>2017</v>
      </c>
    </row>
    <row r="329" spans="1:8" x14ac:dyDescent="0.2">
      <c r="A329" s="299" t="str">
        <f t="shared" si="9"/>
        <v>IRQ2018</v>
      </c>
      <c r="B329" s="460">
        <v>9201.5059999999994</v>
      </c>
      <c r="C329" s="460">
        <v>4464.7449999999999</v>
      </c>
      <c r="D329" s="460">
        <v>4428.8190000000004</v>
      </c>
      <c r="E329" s="460">
        <v>46.329039999999999</v>
      </c>
      <c r="G329" s="299" t="s">
        <v>277</v>
      </c>
      <c r="H329" s="299">
        <v>2018</v>
      </c>
    </row>
    <row r="330" spans="1:8" x14ac:dyDescent="0.2">
      <c r="A330" s="299" t="str">
        <f t="shared" si="9"/>
        <v>ISL2015</v>
      </c>
      <c r="B330" s="460">
        <v>1413.96</v>
      </c>
      <c r="C330" s="460">
        <v>1142.798</v>
      </c>
      <c r="D330" s="460">
        <v>1142.798</v>
      </c>
      <c r="E330" s="460">
        <v>0</v>
      </c>
      <c r="F330" s="460">
        <v>34.464914999999998</v>
      </c>
      <c r="G330" s="299" t="s">
        <v>359</v>
      </c>
      <c r="H330" s="299">
        <v>2015</v>
      </c>
    </row>
    <row r="331" spans="1:8" x14ac:dyDescent="0.2">
      <c r="A331" s="299" t="str">
        <f t="shared" si="9"/>
        <v>ISL2016</v>
      </c>
      <c r="B331" s="460">
        <v>1683.5170000000001</v>
      </c>
      <c r="C331" s="460">
        <v>1372.2360000000001</v>
      </c>
      <c r="D331" s="460">
        <v>1372.2360000000001</v>
      </c>
      <c r="E331" s="460">
        <v>0</v>
      </c>
      <c r="F331" s="460">
        <v>46.104094000000003</v>
      </c>
      <c r="G331" s="299" t="s">
        <v>359</v>
      </c>
      <c r="H331" s="299">
        <v>2016</v>
      </c>
    </row>
    <row r="332" spans="1:8" x14ac:dyDescent="0.2">
      <c r="A332" s="299" t="str">
        <f t="shared" si="9"/>
        <v>ISL2017</v>
      </c>
      <c r="B332" s="460">
        <v>2043.1120000000001</v>
      </c>
      <c r="C332" s="460">
        <v>1672.587</v>
      </c>
      <c r="D332" s="460">
        <v>1672.587</v>
      </c>
      <c r="E332" s="460">
        <v>0</v>
      </c>
      <c r="F332" s="460">
        <v>58.860681</v>
      </c>
      <c r="G332" s="299" t="s">
        <v>359</v>
      </c>
      <c r="H332" s="299">
        <v>2017</v>
      </c>
    </row>
    <row r="333" spans="1:8" x14ac:dyDescent="0.2">
      <c r="A333" s="299" t="str">
        <f t="shared" si="9"/>
        <v>ISL2018</v>
      </c>
      <c r="B333" s="460">
        <v>2199.0500000000002</v>
      </c>
      <c r="C333" s="460">
        <v>1811.3969999999999</v>
      </c>
      <c r="D333" s="460">
        <v>1811.3969999999999</v>
      </c>
      <c r="E333" s="460">
        <v>0</v>
      </c>
      <c r="F333" s="460">
        <v>95.613433000000001</v>
      </c>
      <c r="G333" s="299" t="s">
        <v>359</v>
      </c>
      <c r="H333" s="299">
        <v>2018</v>
      </c>
    </row>
    <row r="334" spans="1:8" x14ac:dyDescent="0.2">
      <c r="A334" s="299" t="str">
        <f t="shared" si="9"/>
        <v>ISR2015</v>
      </c>
      <c r="B334" s="460">
        <v>21306.29</v>
      </c>
      <c r="C334" s="460">
        <v>13511.77</v>
      </c>
      <c r="D334" s="460">
        <v>13511.77</v>
      </c>
      <c r="E334" s="460">
        <v>299.21530000000001</v>
      </c>
      <c r="G334" s="299" t="s">
        <v>361</v>
      </c>
      <c r="H334" s="299">
        <v>2015</v>
      </c>
    </row>
    <row r="335" spans="1:8" x14ac:dyDescent="0.2">
      <c r="A335" s="299" t="str">
        <f t="shared" si="9"/>
        <v>ISR2016</v>
      </c>
      <c r="B335" s="460">
        <v>22813.3</v>
      </c>
      <c r="C335" s="460">
        <v>14477.55</v>
      </c>
      <c r="D335" s="460">
        <v>14477.55</v>
      </c>
      <c r="E335" s="460">
        <v>305.94439999999997</v>
      </c>
      <c r="G335" s="299" t="s">
        <v>361</v>
      </c>
      <c r="H335" s="299">
        <v>2016</v>
      </c>
    </row>
    <row r="336" spans="1:8" x14ac:dyDescent="0.2">
      <c r="A336" s="299" t="str">
        <f t="shared" si="9"/>
        <v>ISR2017</v>
      </c>
      <c r="B336" s="460">
        <v>26485.77</v>
      </c>
      <c r="C336" s="460">
        <v>16910.7</v>
      </c>
      <c r="D336" s="460">
        <v>16910.7</v>
      </c>
      <c r="E336" s="460">
        <v>448.66640000000001</v>
      </c>
      <c r="G336" s="299" t="s">
        <v>361</v>
      </c>
      <c r="H336" s="299">
        <v>2017</v>
      </c>
    </row>
    <row r="337" spans="1:8" x14ac:dyDescent="0.2">
      <c r="A337" s="299" t="str">
        <f t="shared" si="9"/>
        <v>ISR2018</v>
      </c>
      <c r="B337" s="460">
        <v>27857.23</v>
      </c>
      <c r="C337" s="460">
        <v>18024.78</v>
      </c>
      <c r="D337" s="460">
        <v>18024.78</v>
      </c>
      <c r="E337" s="460">
        <v>484.88279999999997</v>
      </c>
      <c r="G337" s="299" t="s">
        <v>361</v>
      </c>
      <c r="H337" s="299">
        <v>2018</v>
      </c>
    </row>
    <row r="338" spans="1:8" x14ac:dyDescent="0.2">
      <c r="A338" s="299" t="str">
        <f t="shared" si="9"/>
        <v>ITA2015</v>
      </c>
      <c r="B338" s="460">
        <v>162669.1</v>
      </c>
      <c r="C338" s="460">
        <v>121083.4</v>
      </c>
      <c r="D338" s="460">
        <v>121083.4</v>
      </c>
      <c r="E338" s="460">
        <v>0</v>
      </c>
      <c r="G338" s="299" t="s">
        <v>363</v>
      </c>
      <c r="H338" s="299">
        <v>2015</v>
      </c>
    </row>
    <row r="339" spans="1:8" x14ac:dyDescent="0.2">
      <c r="A339" s="299" t="str">
        <f t="shared" si="9"/>
        <v>ITA2016</v>
      </c>
      <c r="B339" s="460">
        <v>163780.79999999999</v>
      </c>
      <c r="C339" s="460">
        <v>121854.6</v>
      </c>
      <c r="D339" s="460">
        <v>121854.6</v>
      </c>
      <c r="E339" s="460">
        <v>0</v>
      </c>
      <c r="G339" s="299" t="s">
        <v>363</v>
      </c>
      <c r="H339" s="299">
        <v>2016</v>
      </c>
    </row>
    <row r="340" spans="1:8" x14ac:dyDescent="0.2">
      <c r="A340" s="299" t="str">
        <f t="shared" si="9"/>
        <v>ITA2017</v>
      </c>
      <c r="B340" s="460">
        <v>170239.5</v>
      </c>
      <c r="C340" s="460">
        <v>125526.7</v>
      </c>
      <c r="D340" s="460">
        <v>125526.7</v>
      </c>
      <c r="E340" s="460">
        <v>0</v>
      </c>
      <c r="G340" s="299" t="s">
        <v>363</v>
      </c>
      <c r="H340" s="299">
        <v>2017</v>
      </c>
    </row>
    <row r="341" spans="1:8" x14ac:dyDescent="0.2">
      <c r="A341" s="299" t="str">
        <f t="shared" si="9"/>
        <v>ITA2018</v>
      </c>
      <c r="B341" s="460">
        <v>180786.3</v>
      </c>
      <c r="C341" s="460">
        <v>133580.1</v>
      </c>
      <c r="D341" s="460">
        <v>133580.1</v>
      </c>
      <c r="E341" s="460">
        <v>0</v>
      </c>
      <c r="G341" s="299" t="s">
        <v>363</v>
      </c>
      <c r="H341" s="299">
        <v>2018</v>
      </c>
    </row>
    <row r="342" spans="1:8" x14ac:dyDescent="0.2">
      <c r="A342" s="299" t="str">
        <f t="shared" si="9"/>
        <v>JAM2015</v>
      </c>
      <c r="B342" s="460">
        <v>798.08579999999995</v>
      </c>
      <c r="C342" s="460">
        <v>513.79269999999997</v>
      </c>
      <c r="D342" s="460">
        <v>504.9622</v>
      </c>
      <c r="E342" s="460">
        <v>11.18557</v>
      </c>
      <c r="F342" s="460">
        <v>21.20729</v>
      </c>
      <c r="G342" s="299" t="s">
        <v>233</v>
      </c>
      <c r="H342" s="299">
        <v>2015</v>
      </c>
    </row>
    <row r="343" spans="1:8" x14ac:dyDescent="0.2">
      <c r="A343" s="299" t="str">
        <f t="shared" si="9"/>
        <v>JAM2016</v>
      </c>
      <c r="B343" s="460">
        <v>803.45730000000003</v>
      </c>
      <c r="C343" s="460">
        <v>520.37099999999998</v>
      </c>
      <c r="D343" s="460">
        <v>510.37189999999998</v>
      </c>
      <c r="E343" s="460">
        <v>12.6378</v>
      </c>
      <c r="F343" s="460">
        <v>30.889721999999999</v>
      </c>
      <c r="G343" s="299" t="s">
        <v>233</v>
      </c>
      <c r="H343" s="299">
        <v>2016</v>
      </c>
    </row>
    <row r="344" spans="1:8" x14ac:dyDescent="0.2">
      <c r="A344" s="299" t="str">
        <f t="shared" si="9"/>
        <v>JAM2017</v>
      </c>
      <c r="B344" s="460">
        <v>910.92499999999995</v>
      </c>
      <c r="C344" s="460">
        <v>611.79729999999995</v>
      </c>
      <c r="D344" s="460">
        <v>602.02139999999997</v>
      </c>
      <c r="E344" s="460">
        <v>13.027189999999999</v>
      </c>
      <c r="F344" s="460">
        <v>29.677952000000001</v>
      </c>
      <c r="G344" s="299" t="s">
        <v>233</v>
      </c>
      <c r="H344" s="299">
        <v>2017</v>
      </c>
    </row>
    <row r="345" spans="1:8" x14ac:dyDescent="0.2">
      <c r="A345" s="299" t="str">
        <f t="shared" si="9"/>
        <v>JAM2018</v>
      </c>
      <c r="B345" s="460">
        <v>942.01639999999998</v>
      </c>
      <c r="C345" s="460">
        <v>619.51459999999997</v>
      </c>
      <c r="D345" s="460">
        <v>611.7396</v>
      </c>
      <c r="E345" s="460">
        <v>14.07315</v>
      </c>
      <c r="F345" s="460">
        <v>16.503737000000001</v>
      </c>
      <c r="G345" s="299" t="s">
        <v>233</v>
      </c>
      <c r="H345" s="299">
        <v>2018</v>
      </c>
    </row>
    <row r="346" spans="1:8" x14ac:dyDescent="0.2">
      <c r="A346" s="299" t="str">
        <f t="shared" si="9"/>
        <v>JOR2015</v>
      </c>
      <c r="B346" s="460">
        <v>2878.9830000000002</v>
      </c>
      <c r="C346" s="460">
        <v>1542.981</v>
      </c>
      <c r="D346" s="460">
        <v>1541.4079999999999</v>
      </c>
      <c r="E346" s="460">
        <v>23.061</v>
      </c>
      <c r="G346" s="299" t="s">
        <v>279</v>
      </c>
      <c r="H346" s="299">
        <v>2015</v>
      </c>
    </row>
    <row r="347" spans="1:8" x14ac:dyDescent="0.2">
      <c r="A347" s="299" t="str">
        <f t="shared" si="9"/>
        <v>JOR2016</v>
      </c>
      <c r="B347" s="460">
        <v>2854.89</v>
      </c>
      <c r="C347" s="460">
        <v>1447.6510000000001</v>
      </c>
      <c r="D347" s="460">
        <v>1385.3050000000001</v>
      </c>
      <c r="E347" s="460">
        <v>119.8587</v>
      </c>
      <c r="G347" s="299" t="s">
        <v>279</v>
      </c>
      <c r="H347" s="299">
        <v>2016</v>
      </c>
    </row>
    <row r="348" spans="1:8" x14ac:dyDescent="0.2">
      <c r="A348" s="299" t="str">
        <f t="shared" si="9"/>
        <v>JOR2017</v>
      </c>
      <c r="B348" s="460">
        <v>3305.221</v>
      </c>
      <c r="C348" s="460">
        <v>1649.923</v>
      </c>
      <c r="D348" s="460">
        <v>1480.7570000000001</v>
      </c>
      <c r="E348" s="460">
        <v>307.42680000000001</v>
      </c>
      <c r="G348" s="299" t="s">
        <v>279</v>
      </c>
      <c r="H348" s="299">
        <v>2017</v>
      </c>
    </row>
    <row r="349" spans="1:8" x14ac:dyDescent="0.2">
      <c r="A349" s="299" t="str">
        <f t="shared" si="9"/>
        <v>JOR2018</v>
      </c>
      <c r="B349" s="460">
        <v>3289.9690000000001</v>
      </c>
      <c r="C349" s="460">
        <v>1701.4839999999999</v>
      </c>
      <c r="D349" s="460">
        <v>1617.913</v>
      </c>
      <c r="E349" s="460">
        <v>149.7842</v>
      </c>
      <c r="G349" s="299" t="s">
        <v>279</v>
      </c>
      <c r="H349" s="299">
        <v>2018</v>
      </c>
    </row>
    <row r="350" spans="1:8" x14ac:dyDescent="0.2">
      <c r="A350" s="299" t="str">
        <f t="shared" si="9"/>
        <v>JPN2015</v>
      </c>
      <c r="B350" s="460">
        <v>477816.7</v>
      </c>
      <c r="C350" s="460">
        <v>401762.5</v>
      </c>
      <c r="D350" s="460">
        <v>401762.5</v>
      </c>
      <c r="E350" s="460">
        <v>0</v>
      </c>
      <c r="G350" s="299" t="s">
        <v>454</v>
      </c>
      <c r="H350" s="299">
        <v>2015</v>
      </c>
    </row>
    <row r="351" spans="1:8" x14ac:dyDescent="0.2">
      <c r="A351" s="299" t="str">
        <f t="shared" si="9"/>
        <v>JPN2016</v>
      </c>
      <c r="B351" s="460">
        <v>533337.80000000005</v>
      </c>
      <c r="C351" s="460">
        <v>448202.2</v>
      </c>
      <c r="D351" s="460">
        <v>448202.2</v>
      </c>
      <c r="E351" s="460">
        <v>0</v>
      </c>
      <c r="G351" s="299" t="s">
        <v>454</v>
      </c>
      <c r="H351" s="299">
        <v>2016</v>
      </c>
    </row>
    <row r="352" spans="1:8" x14ac:dyDescent="0.2">
      <c r="A352" s="299" t="str">
        <f t="shared" si="9"/>
        <v>JPN2017</v>
      </c>
      <c r="B352" s="460">
        <v>525443.4</v>
      </c>
      <c r="C352" s="460">
        <v>442500.5</v>
      </c>
      <c r="D352" s="460">
        <v>442500.5</v>
      </c>
      <c r="E352" s="460">
        <v>0</v>
      </c>
      <c r="G352" s="299" t="s">
        <v>454</v>
      </c>
      <c r="H352" s="299">
        <v>2017</v>
      </c>
    </row>
    <row r="353" spans="1:8" x14ac:dyDescent="0.2">
      <c r="A353" s="299" t="str">
        <f t="shared" si="9"/>
        <v>JPN2018</v>
      </c>
      <c r="B353" s="460">
        <v>542719.19999999995</v>
      </c>
      <c r="C353" s="460">
        <v>456368.3</v>
      </c>
      <c r="D353" s="460">
        <v>456368.3</v>
      </c>
      <c r="E353" s="460">
        <v>0</v>
      </c>
      <c r="G353" s="299" t="s">
        <v>454</v>
      </c>
      <c r="H353" s="299">
        <v>2018</v>
      </c>
    </row>
    <row r="354" spans="1:8" x14ac:dyDescent="0.2">
      <c r="A354" s="299" t="str">
        <f t="shared" si="9"/>
        <v>KAZ2015</v>
      </c>
      <c r="B354" s="460">
        <v>5606.3509999999997</v>
      </c>
      <c r="C354" s="460">
        <v>3540.0859999999998</v>
      </c>
      <c r="D354" s="460">
        <v>3540.0859999999998</v>
      </c>
      <c r="E354" s="460">
        <v>4.6468980000000002</v>
      </c>
      <c r="F354" s="460">
        <v>343.86712</v>
      </c>
      <c r="G354" s="299" t="s">
        <v>365</v>
      </c>
      <c r="H354" s="299">
        <v>2015</v>
      </c>
    </row>
    <row r="355" spans="1:8" x14ac:dyDescent="0.2">
      <c r="A355" s="299" t="str">
        <f t="shared" si="9"/>
        <v>KAZ2016</v>
      </c>
      <c r="B355" s="460">
        <v>4698.152</v>
      </c>
      <c r="C355" s="460">
        <v>2800.8229999999999</v>
      </c>
      <c r="D355" s="460">
        <v>2800.8229999999999</v>
      </c>
      <c r="E355" s="460">
        <v>8.617362</v>
      </c>
      <c r="F355" s="460">
        <v>184.72121000000001</v>
      </c>
      <c r="G355" s="299" t="s">
        <v>365</v>
      </c>
      <c r="H355" s="299">
        <v>2016</v>
      </c>
    </row>
    <row r="356" spans="1:8" x14ac:dyDescent="0.2">
      <c r="A356" s="299" t="str">
        <f t="shared" si="9"/>
        <v>KAZ2017</v>
      </c>
      <c r="B356" s="460">
        <v>5091.6549999999997</v>
      </c>
      <c r="C356" s="460">
        <v>3157.0839999999998</v>
      </c>
      <c r="D356" s="460">
        <v>3157.0839999999998</v>
      </c>
      <c r="E356" s="460">
        <v>9.2892170000000007</v>
      </c>
      <c r="G356" s="299" t="s">
        <v>365</v>
      </c>
      <c r="H356" s="299">
        <v>2017</v>
      </c>
    </row>
    <row r="357" spans="1:8" x14ac:dyDescent="0.2">
      <c r="A357" s="299" t="str">
        <f t="shared" si="9"/>
        <v>KAZ2018</v>
      </c>
      <c r="B357" s="460">
        <v>5053.5510000000004</v>
      </c>
      <c r="C357" s="460">
        <v>3074.4189999999999</v>
      </c>
      <c r="D357" s="460">
        <v>3074.4189999999999</v>
      </c>
      <c r="E357" s="460">
        <v>7.8260800000000001</v>
      </c>
      <c r="G357" s="299" t="s">
        <v>365</v>
      </c>
      <c r="H357" s="299">
        <v>2018</v>
      </c>
    </row>
    <row r="358" spans="1:8" x14ac:dyDescent="0.2">
      <c r="A358" s="299" t="str">
        <f t="shared" si="9"/>
        <v>KEN2015</v>
      </c>
      <c r="B358" s="460">
        <v>3340.7919999999999</v>
      </c>
      <c r="C358" s="460">
        <v>1549.009</v>
      </c>
      <c r="D358" s="460">
        <v>1349.027</v>
      </c>
      <c r="E358" s="460">
        <v>598.69100000000003</v>
      </c>
      <c r="G358" s="299" t="s">
        <v>136</v>
      </c>
      <c r="H358" s="299">
        <v>2015</v>
      </c>
    </row>
    <row r="359" spans="1:8" x14ac:dyDescent="0.2">
      <c r="A359" s="299" t="str">
        <f t="shared" si="9"/>
        <v>KEN2016</v>
      </c>
      <c r="B359" s="460">
        <v>3556.9369999999999</v>
      </c>
      <c r="C359" s="460">
        <v>1754.48</v>
      </c>
      <c r="D359" s="460">
        <v>1522.7090000000001</v>
      </c>
      <c r="E359" s="460">
        <v>576.44330000000002</v>
      </c>
      <c r="F359" s="460">
        <v>197.59392</v>
      </c>
      <c r="G359" s="299" t="s">
        <v>136</v>
      </c>
      <c r="H359" s="299">
        <v>2016</v>
      </c>
    </row>
    <row r="360" spans="1:8" x14ac:dyDescent="0.2">
      <c r="A360" s="299" t="str">
        <f t="shared" si="9"/>
        <v>KEN2017</v>
      </c>
      <c r="B360" s="460">
        <v>3809.509</v>
      </c>
      <c r="C360" s="460">
        <v>1874.076</v>
      </c>
      <c r="D360" s="460">
        <v>1624.73</v>
      </c>
      <c r="E360" s="460">
        <v>599.56349999999998</v>
      </c>
      <c r="G360" s="299" t="s">
        <v>136</v>
      </c>
      <c r="H360" s="299">
        <v>2017</v>
      </c>
    </row>
    <row r="361" spans="1:8" x14ac:dyDescent="0.2">
      <c r="A361" s="299" t="str">
        <f t="shared" si="9"/>
        <v>KEN2018</v>
      </c>
      <c r="B361" s="460">
        <v>4542.3459999999995</v>
      </c>
      <c r="C361" s="460">
        <v>2185.2669999999998</v>
      </c>
      <c r="D361" s="460">
        <v>1914.0139999999999</v>
      </c>
      <c r="E361" s="460">
        <v>704.47320000000002</v>
      </c>
      <c r="G361" s="299" t="s">
        <v>136</v>
      </c>
      <c r="H361" s="299">
        <v>2018</v>
      </c>
    </row>
    <row r="362" spans="1:8" x14ac:dyDescent="0.2">
      <c r="A362" s="299" t="str">
        <f t="shared" si="9"/>
        <v>KGZ2015</v>
      </c>
      <c r="B362" s="460">
        <v>477.44319999999999</v>
      </c>
      <c r="C362" s="460">
        <v>203.02940000000001</v>
      </c>
      <c r="D362" s="460">
        <v>181.0872</v>
      </c>
      <c r="E362" s="460">
        <v>35.825389999999999</v>
      </c>
      <c r="F362" s="460">
        <v>12.689627</v>
      </c>
      <c r="G362" s="299" t="s">
        <v>367</v>
      </c>
      <c r="H362" s="299">
        <v>2015</v>
      </c>
    </row>
    <row r="363" spans="1:8" x14ac:dyDescent="0.2">
      <c r="A363" s="299" t="str">
        <f t="shared" si="9"/>
        <v>KGZ2016</v>
      </c>
      <c r="B363" s="460">
        <v>436.88810000000001</v>
      </c>
      <c r="C363" s="460">
        <v>185.60759999999999</v>
      </c>
      <c r="D363" s="460">
        <v>170.1388</v>
      </c>
      <c r="E363" s="460">
        <v>16.752839999999999</v>
      </c>
      <c r="F363" s="460">
        <v>11.728678</v>
      </c>
      <c r="G363" s="299" t="s">
        <v>367</v>
      </c>
      <c r="H363" s="299">
        <v>2016</v>
      </c>
    </row>
    <row r="364" spans="1:8" x14ac:dyDescent="0.2">
      <c r="A364" s="299" t="str">
        <f t="shared" si="9"/>
        <v>KGZ2017</v>
      </c>
      <c r="B364" s="460">
        <v>476.49329999999998</v>
      </c>
      <c r="C364" s="460">
        <v>201.20650000000001</v>
      </c>
      <c r="D364" s="460">
        <v>180.8399</v>
      </c>
      <c r="E364" s="460">
        <v>26.883669999999999</v>
      </c>
      <c r="F364" s="460">
        <v>37.713437999999996</v>
      </c>
      <c r="G364" s="299" t="s">
        <v>367</v>
      </c>
      <c r="H364" s="299">
        <v>2017</v>
      </c>
    </row>
    <row r="365" spans="1:8" x14ac:dyDescent="0.2">
      <c r="A365" s="299" t="str">
        <f t="shared" si="9"/>
        <v>KGZ2018</v>
      </c>
      <c r="B365" s="460">
        <v>540.4828</v>
      </c>
      <c r="C365" s="460">
        <v>256.9135</v>
      </c>
      <c r="D365" s="460">
        <v>231.5068</v>
      </c>
      <c r="E365" s="460">
        <v>25.40663</v>
      </c>
      <c r="F365" s="460">
        <v>18.991782000000001</v>
      </c>
      <c r="G365" s="299" t="s">
        <v>367</v>
      </c>
      <c r="H365" s="299">
        <v>2018</v>
      </c>
    </row>
    <row r="366" spans="1:8" x14ac:dyDescent="0.2">
      <c r="A366" s="299" t="str">
        <f t="shared" si="9"/>
        <v>KHM2015</v>
      </c>
      <c r="B366" s="460">
        <v>1118.0709999999999</v>
      </c>
      <c r="C366" s="460">
        <v>263.5179</v>
      </c>
      <c r="D366" s="460">
        <v>242.709</v>
      </c>
      <c r="E366" s="460">
        <v>227.61259999999999</v>
      </c>
      <c r="F366" s="460">
        <v>21.066670999999999</v>
      </c>
      <c r="G366" s="299" t="s">
        <v>456</v>
      </c>
      <c r="H366" s="299">
        <v>2015</v>
      </c>
    </row>
    <row r="367" spans="1:8" x14ac:dyDescent="0.2">
      <c r="A367" s="299" t="str">
        <f t="shared" si="9"/>
        <v>KHM2016</v>
      </c>
      <c r="B367" s="460">
        <v>1224.3209999999999</v>
      </c>
      <c r="C367" s="460">
        <v>301.80059999999997</v>
      </c>
      <c r="D367" s="460">
        <v>266.98630000000003</v>
      </c>
      <c r="E367" s="460">
        <v>232.00720000000001</v>
      </c>
      <c r="F367" s="460">
        <v>12.139517</v>
      </c>
      <c r="G367" s="299" t="s">
        <v>456</v>
      </c>
      <c r="H367" s="299">
        <v>2016</v>
      </c>
    </row>
    <row r="368" spans="1:8" x14ac:dyDescent="0.2">
      <c r="A368" s="299" t="str">
        <f t="shared" si="9"/>
        <v>KHM2017</v>
      </c>
      <c r="B368" s="460">
        <v>1313.655</v>
      </c>
      <c r="C368" s="460">
        <v>312.67410000000001</v>
      </c>
      <c r="D368" s="460">
        <v>241.68340000000001</v>
      </c>
      <c r="E368" s="460">
        <v>268.8999</v>
      </c>
      <c r="F368" s="460">
        <v>22.083283999999999</v>
      </c>
      <c r="G368" s="299" t="s">
        <v>456</v>
      </c>
      <c r="H368" s="299">
        <v>2017</v>
      </c>
    </row>
    <row r="369" spans="1:8" x14ac:dyDescent="0.2">
      <c r="A369" s="299" t="str">
        <f t="shared" si="9"/>
        <v>KHM2018</v>
      </c>
      <c r="B369" s="460">
        <v>1471.521</v>
      </c>
      <c r="C369" s="460">
        <v>379.18810000000002</v>
      </c>
      <c r="D369" s="460">
        <v>313.03960000000001</v>
      </c>
      <c r="E369" s="460">
        <v>302.22829999999999</v>
      </c>
      <c r="F369" s="460">
        <v>142.19999999999999</v>
      </c>
      <c r="G369" s="299" t="s">
        <v>456</v>
      </c>
      <c r="H369" s="299">
        <v>2018</v>
      </c>
    </row>
    <row r="370" spans="1:8" x14ac:dyDescent="0.2">
      <c r="A370" s="299" t="str">
        <f t="shared" si="9"/>
        <v>KIR2015</v>
      </c>
      <c r="B370" s="460">
        <v>13.68282</v>
      </c>
      <c r="C370" s="460">
        <v>12.07624</v>
      </c>
      <c r="D370" s="460">
        <v>11.65962</v>
      </c>
      <c r="E370" s="460">
        <v>1.466105</v>
      </c>
      <c r="F370" s="460">
        <v>3.3011691999999999</v>
      </c>
      <c r="G370" s="299" t="s">
        <v>458</v>
      </c>
      <c r="H370" s="299">
        <v>2015</v>
      </c>
    </row>
    <row r="371" spans="1:8" x14ac:dyDescent="0.2">
      <c r="A371" s="299" t="str">
        <f t="shared" si="9"/>
        <v>KIR2016</v>
      </c>
      <c r="B371" s="460">
        <v>16.628489999999999</v>
      </c>
      <c r="C371" s="460">
        <v>15.56452</v>
      </c>
      <c r="D371" s="460">
        <v>13.22687</v>
      </c>
      <c r="E371" s="460">
        <v>2.8320500000000002</v>
      </c>
      <c r="F371" s="460">
        <v>5.1941416</v>
      </c>
      <c r="G371" s="299" t="s">
        <v>458</v>
      </c>
      <c r="H371" s="299">
        <v>2016</v>
      </c>
    </row>
    <row r="372" spans="1:8" x14ac:dyDescent="0.2">
      <c r="A372" s="299" t="str">
        <f t="shared" si="9"/>
        <v>KIR2017</v>
      </c>
      <c r="B372" s="460">
        <v>19.985130000000002</v>
      </c>
      <c r="C372" s="460">
        <v>17.042919999999999</v>
      </c>
      <c r="D372" s="460">
        <v>15.12358</v>
      </c>
      <c r="E372" s="460">
        <v>4.2404840000000004</v>
      </c>
      <c r="F372" s="460">
        <v>0.23242623000000001</v>
      </c>
      <c r="G372" s="299" t="s">
        <v>458</v>
      </c>
      <c r="H372" s="299">
        <v>2017</v>
      </c>
    </row>
    <row r="373" spans="1:8" x14ac:dyDescent="0.2">
      <c r="A373" s="299" t="str">
        <f t="shared" si="9"/>
        <v>KIR2018</v>
      </c>
      <c r="B373" s="460">
        <v>22.80425</v>
      </c>
      <c r="C373" s="460">
        <v>19.763179999999998</v>
      </c>
      <c r="D373" s="460">
        <v>17.42201</v>
      </c>
      <c r="E373" s="460">
        <v>5.3598590000000002</v>
      </c>
      <c r="F373" s="460">
        <v>0.34168996000000001</v>
      </c>
      <c r="G373" s="299" t="s">
        <v>458</v>
      </c>
      <c r="H373" s="299">
        <v>2018</v>
      </c>
    </row>
    <row r="374" spans="1:8" x14ac:dyDescent="0.2">
      <c r="A374" s="299" t="str">
        <f t="shared" si="9"/>
        <v>KNA2015</v>
      </c>
      <c r="B374" s="460">
        <v>45.30677</v>
      </c>
      <c r="C374" s="460">
        <v>18.560310000000001</v>
      </c>
      <c r="D374" s="460">
        <v>18.560310000000001</v>
      </c>
      <c r="E374" s="460">
        <v>0</v>
      </c>
      <c r="F374" s="460">
        <v>4.4241133000000001</v>
      </c>
      <c r="G374" s="299" t="s">
        <v>235</v>
      </c>
      <c r="H374" s="299">
        <v>2015</v>
      </c>
    </row>
    <row r="375" spans="1:8" x14ac:dyDescent="0.2">
      <c r="A375" s="299" t="str">
        <f t="shared" si="9"/>
        <v>KNA2016</v>
      </c>
      <c r="B375" s="460">
        <v>51.967640000000003</v>
      </c>
      <c r="C375" s="460">
        <v>21.953520000000001</v>
      </c>
      <c r="D375" s="460">
        <v>21.953520000000001</v>
      </c>
      <c r="E375" s="460">
        <v>0</v>
      </c>
      <c r="F375" s="460">
        <v>2.0921530000000002</v>
      </c>
      <c r="G375" s="299" t="s">
        <v>235</v>
      </c>
      <c r="H375" s="299">
        <v>2016</v>
      </c>
    </row>
    <row r="376" spans="1:8" x14ac:dyDescent="0.2">
      <c r="A376" s="299" t="str">
        <f t="shared" si="9"/>
        <v>KNA2017</v>
      </c>
      <c r="B376" s="460">
        <v>53.631279999999997</v>
      </c>
      <c r="C376" s="460">
        <v>23.19584</v>
      </c>
      <c r="D376" s="460">
        <v>23.19584</v>
      </c>
      <c r="E376" s="460">
        <v>0</v>
      </c>
      <c r="F376" s="460">
        <v>2.2422556</v>
      </c>
      <c r="G376" s="299" t="s">
        <v>235</v>
      </c>
      <c r="H376" s="299">
        <v>2017</v>
      </c>
    </row>
    <row r="377" spans="1:8" x14ac:dyDescent="0.2">
      <c r="A377" s="299" t="str">
        <f t="shared" si="9"/>
        <v>KNA2018</v>
      </c>
      <c r="B377" s="460">
        <v>52.052509999999998</v>
      </c>
      <c r="C377" s="460">
        <v>24.214369999999999</v>
      </c>
      <c r="D377" s="460">
        <v>24.214369999999999</v>
      </c>
      <c r="E377" s="460">
        <v>0</v>
      </c>
      <c r="F377" s="460">
        <v>2.2804978</v>
      </c>
      <c r="G377" s="299" t="s">
        <v>235</v>
      </c>
      <c r="H377" s="299">
        <v>2018</v>
      </c>
    </row>
    <row r="378" spans="1:8" x14ac:dyDescent="0.2">
      <c r="A378" s="299" t="str">
        <f t="shared" si="9"/>
        <v>KOR2015</v>
      </c>
      <c r="B378" s="460">
        <v>97513.74</v>
      </c>
      <c r="C378" s="460">
        <v>55929.55</v>
      </c>
      <c r="D378" s="460">
        <v>55929.55</v>
      </c>
      <c r="G378" s="299" t="s">
        <v>460</v>
      </c>
      <c r="H378" s="299">
        <v>2015</v>
      </c>
    </row>
    <row r="379" spans="1:8" x14ac:dyDescent="0.2">
      <c r="A379" s="299" t="str">
        <f t="shared" si="9"/>
        <v>KOR2016</v>
      </c>
      <c r="B379" s="460">
        <v>103722.6</v>
      </c>
      <c r="C379" s="460">
        <v>59663.17</v>
      </c>
      <c r="D379" s="460">
        <v>59663.17</v>
      </c>
      <c r="G379" s="299" t="s">
        <v>460</v>
      </c>
      <c r="H379" s="299">
        <v>2016</v>
      </c>
    </row>
    <row r="380" spans="1:8" x14ac:dyDescent="0.2">
      <c r="A380" s="299" t="str">
        <f t="shared" si="9"/>
        <v>KOR2017</v>
      </c>
      <c r="B380" s="460">
        <v>115409.9</v>
      </c>
      <c r="C380" s="460">
        <v>66837.960000000006</v>
      </c>
      <c r="D380" s="460">
        <v>66837.960000000006</v>
      </c>
      <c r="G380" s="299" t="s">
        <v>460</v>
      </c>
      <c r="H380" s="299">
        <v>2017</v>
      </c>
    </row>
    <row r="381" spans="1:8" x14ac:dyDescent="0.2">
      <c r="A381" s="299" t="str">
        <f t="shared" si="9"/>
        <v>KOR2018</v>
      </c>
      <c r="B381" s="460">
        <v>130120.3</v>
      </c>
      <c r="C381" s="460">
        <v>76064.19</v>
      </c>
      <c r="D381" s="460">
        <v>76064.19</v>
      </c>
      <c r="G381" s="299" t="s">
        <v>460</v>
      </c>
      <c r="H381" s="299">
        <v>2018</v>
      </c>
    </row>
    <row r="382" spans="1:8" x14ac:dyDescent="0.2">
      <c r="A382" s="299" t="str">
        <f t="shared" si="9"/>
        <v>KWT2015</v>
      </c>
      <c r="B382" s="460">
        <v>4600.268</v>
      </c>
      <c r="C382" s="460">
        <v>3869.0120000000002</v>
      </c>
      <c r="D382" s="460">
        <v>3869.0120000000002</v>
      </c>
      <c r="E382" s="460">
        <v>0</v>
      </c>
      <c r="G382" s="299" t="s">
        <v>281</v>
      </c>
      <c r="H382" s="299">
        <v>2015</v>
      </c>
    </row>
    <row r="383" spans="1:8" x14ac:dyDescent="0.2">
      <c r="A383" s="299" t="str">
        <f t="shared" si="9"/>
        <v>KWT2016</v>
      </c>
      <c r="B383" s="460">
        <v>4410.2529999999997</v>
      </c>
      <c r="C383" s="460">
        <v>3650.2179999999998</v>
      </c>
      <c r="D383" s="460">
        <v>3650.2179999999998</v>
      </c>
      <c r="E383" s="460">
        <v>0</v>
      </c>
      <c r="G383" s="299" t="s">
        <v>281</v>
      </c>
      <c r="H383" s="299">
        <v>2016</v>
      </c>
    </row>
    <row r="384" spans="1:8" x14ac:dyDescent="0.2">
      <c r="A384" s="299" t="str">
        <f t="shared" si="9"/>
        <v>KWT2017</v>
      </c>
      <c r="B384" s="460">
        <v>6329.7120000000004</v>
      </c>
      <c r="C384" s="460">
        <v>5527.1450000000004</v>
      </c>
      <c r="D384" s="460">
        <v>5527.1450000000004</v>
      </c>
      <c r="E384" s="460">
        <v>0</v>
      </c>
      <c r="G384" s="299" t="s">
        <v>281</v>
      </c>
      <c r="H384" s="299">
        <v>2017</v>
      </c>
    </row>
    <row r="385" spans="1:8" x14ac:dyDescent="0.2">
      <c r="A385" s="299" t="str">
        <f t="shared" si="9"/>
        <v>KWT2018</v>
      </c>
      <c r="B385" s="460">
        <v>7079.8649999999998</v>
      </c>
      <c r="C385" s="460">
        <v>6233.2979999999998</v>
      </c>
      <c r="D385" s="460">
        <v>6233.2979999999998</v>
      </c>
      <c r="E385" s="460">
        <v>0</v>
      </c>
      <c r="G385" s="299" t="s">
        <v>281</v>
      </c>
      <c r="H385" s="299">
        <v>2018</v>
      </c>
    </row>
    <row r="386" spans="1:8" x14ac:dyDescent="0.2">
      <c r="A386" s="299" t="str">
        <f t="shared" ref="A386:A449" si="10">CONCATENATE(G386,H386)</f>
        <v>LAO2015</v>
      </c>
      <c r="B386" s="460">
        <v>353.09190000000001</v>
      </c>
      <c r="C386" s="460">
        <v>138.89609999999999</v>
      </c>
      <c r="D386" s="460">
        <v>124.3205</v>
      </c>
      <c r="E386" s="460">
        <v>59.889769999999999</v>
      </c>
      <c r="F386" s="460">
        <v>25.216926999999998</v>
      </c>
      <c r="G386" s="299" t="s">
        <v>462</v>
      </c>
      <c r="H386" s="299">
        <v>2015</v>
      </c>
    </row>
    <row r="387" spans="1:8" x14ac:dyDescent="0.2">
      <c r="A387" s="299" t="str">
        <f t="shared" si="10"/>
        <v>LAO2016</v>
      </c>
      <c r="B387" s="460">
        <v>373.15289999999999</v>
      </c>
      <c r="C387" s="460">
        <v>142.45079999999999</v>
      </c>
      <c r="D387" s="460">
        <v>120.9055</v>
      </c>
      <c r="E387" s="460">
        <v>67.612920000000003</v>
      </c>
      <c r="F387" s="460">
        <v>11.440507999999999</v>
      </c>
      <c r="G387" s="299" t="s">
        <v>462</v>
      </c>
      <c r="H387" s="299">
        <v>2016</v>
      </c>
    </row>
    <row r="388" spans="1:8" x14ac:dyDescent="0.2">
      <c r="A388" s="299" t="str">
        <f t="shared" si="10"/>
        <v>LAO2017</v>
      </c>
      <c r="B388" s="460">
        <v>425.56549999999999</v>
      </c>
      <c r="C388" s="460">
        <v>149.74879999999999</v>
      </c>
      <c r="D388" s="460">
        <v>149.74879999999999</v>
      </c>
      <c r="E388" s="460">
        <v>70.944900000000004</v>
      </c>
      <c r="F388" s="460">
        <v>33.550393999999997</v>
      </c>
      <c r="G388" s="299" t="s">
        <v>462</v>
      </c>
      <c r="H388" s="299">
        <v>2017</v>
      </c>
    </row>
    <row r="389" spans="1:8" x14ac:dyDescent="0.2">
      <c r="A389" s="299" t="str">
        <f t="shared" si="10"/>
        <v>LAO2018</v>
      </c>
      <c r="B389" s="460">
        <v>403.29649999999998</v>
      </c>
      <c r="C389" s="460">
        <v>197.1292</v>
      </c>
      <c r="D389" s="460">
        <v>156.05940000000001</v>
      </c>
      <c r="E389" s="460">
        <v>50.214100000000002</v>
      </c>
      <c r="F389" s="460">
        <v>72.033536999999995</v>
      </c>
      <c r="G389" s="299" t="s">
        <v>462</v>
      </c>
      <c r="H389" s="299">
        <v>2018</v>
      </c>
    </row>
    <row r="390" spans="1:8" x14ac:dyDescent="0.2">
      <c r="A390" s="299" t="str">
        <f t="shared" si="10"/>
        <v>LBN2015</v>
      </c>
      <c r="B390" s="460">
        <v>3837.6669999999999</v>
      </c>
      <c r="C390" s="460">
        <v>1907.7570000000001</v>
      </c>
      <c r="D390" s="460">
        <v>1907.7570000000001</v>
      </c>
      <c r="E390" s="460">
        <v>51.572920000000003</v>
      </c>
      <c r="G390" s="299" t="s">
        <v>283</v>
      </c>
      <c r="H390" s="299">
        <v>2015</v>
      </c>
    </row>
    <row r="391" spans="1:8" x14ac:dyDescent="0.2">
      <c r="A391" s="299" t="str">
        <f t="shared" si="10"/>
        <v>LBN2016</v>
      </c>
      <c r="B391" s="460">
        <v>4089.4070000000002</v>
      </c>
      <c r="C391" s="460">
        <v>2074.1219999999998</v>
      </c>
      <c r="D391" s="460">
        <v>2073.4</v>
      </c>
      <c r="E391" s="460">
        <v>33.408749999999998</v>
      </c>
      <c r="G391" s="299" t="s">
        <v>283</v>
      </c>
      <c r="H391" s="299">
        <v>2016</v>
      </c>
    </row>
    <row r="392" spans="1:8" x14ac:dyDescent="0.2">
      <c r="A392" s="299" t="str">
        <f t="shared" si="10"/>
        <v>LBN2017</v>
      </c>
      <c r="B392" s="460">
        <v>4510.5240000000003</v>
      </c>
      <c r="C392" s="460">
        <v>2324.5070000000001</v>
      </c>
      <c r="D392" s="460">
        <v>2323.5070000000001</v>
      </c>
      <c r="E392" s="460">
        <v>42.407449999999997</v>
      </c>
      <c r="G392" s="299" t="s">
        <v>283</v>
      </c>
      <c r="H392" s="299">
        <v>2017</v>
      </c>
    </row>
    <row r="393" spans="1:8" x14ac:dyDescent="0.2">
      <c r="A393" s="299" t="str">
        <f t="shared" si="10"/>
        <v>LBN2018</v>
      </c>
      <c r="B393" s="460">
        <v>4708.7629999999999</v>
      </c>
      <c r="C393" s="460">
        <v>2356.4670000000001</v>
      </c>
      <c r="D393" s="460">
        <v>2355.3919999999998</v>
      </c>
      <c r="E393" s="460">
        <v>45.633029999999998</v>
      </c>
      <c r="G393" s="299" t="s">
        <v>283</v>
      </c>
      <c r="H393" s="299">
        <v>2018</v>
      </c>
    </row>
    <row r="394" spans="1:8" x14ac:dyDescent="0.2">
      <c r="A394" s="299" t="str">
        <f t="shared" si="10"/>
        <v>LBR2015</v>
      </c>
      <c r="B394" s="460">
        <v>328.24790000000002</v>
      </c>
      <c r="C394" s="460">
        <v>88.584919999999997</v>
      </c>
      <c r="D394" s="460">
        <v>37.26943</v>
      </c>
      <c r="E394" s="460">
        <v>109.2013</v>
      </c>
      <c r="G394" s="299" t="s">
        <v>138</v>
      </c>
      <c r="H394" s="299">
        <v>2015</v>
      </c>
    </row>
    <row r="395" spans="1:8" x14ac:dyDescent="0.2">
      <c r="A395" s="299" t="str">
        <f t="shared" si="10"/>
        <v>LBR2016</v>
      </c>
      <c r="B395" s="460">
        <v>321.0102</v>
      </c>
      <c r="C395" s="460">
        <v>92.145359999999997</v>
      </c>
      <c r="D395" s="460">
        <v>45.361269999999998</v>
      </c>
      <c r="E395" s="460">
        <v>96.933019999999999</v>
      </c>
      <c r="F395" s="460">
        <v>8.0193598000000001</v>
      </c>
      <c r="G395" s="299" t="s">
        <v>138</v>
      </c>
      <c r="H395" s="299">
        <v>2016</v>
      </c>
    </row>
    <row r="396" spans="1:8" x14ac:dyDescent="0.2">
      <c r="A396" s="299" t="str">
        <f t="shared" si="10"/>
        <v>LBR2017</v>
      </c>
      <c r="B396" s="460">
        <v>267.84449999999998</v>
      </c>
      <c r="C396" s="460">
        <v>85.017809999999997</v>
      </c>
      <c r="D396" s="460">
        <v>46.077449999999999</v>
      </c>
      <c r="E396" s="460">
        <v>77.028099999999995</v>
      </c>
      <c r="F396" s="460">
        <v>0.24999353999999999</v>
      </c>
      <c r="G396" s="299" t="s">
        <v>138</v>
      </c>
      <c r="H396" s="299">
        <v>2017</v>
      </c>
    </row>
    <row r="397" spans="1:8" x14ac:dyDescent="0.2">
      <c r="A397" s="299" t="str">
        <f t="shared" si="10"/>
        <v>LBR2018</v>
      </c>
      <c r="B397" s="460">
        <v>218.9008</v>
      </c>
      <c r="C397" s="460">
        <v>85.676370000000006</v>
      </c>
      <c r="D397" s="460">
        <v>55.072009999999999</v>
      </c>
      <c r="E397" s="460">
        <v>55.196579999999997</v>
      </c>
      <c r="G397" s="299" t="s">
        <v>138</v>
      </c>
      <c r="H397" s="299">
        <v>2018</v>
      </c>
    </row>
    <row r="398" spans="1:8" x14ac:dyDescent="0.2">
      <c r="A398" s="299" t="str">
        <f t="shared" si="10"/>
        <v>LCA2015</v>
      </c>
      <c r="B398" s="460">
        <v>76.461709999999997</v>
      </c>
      <c r="C398" s="460">
        <v>36.711860000000001</v>
      </c>
      <c r="D398" s="460">
        <v>36.009410000000003</v>
      </c>
      <c r="E398" s="460">
        <v>0.74939750000000005</v>
      </c>
      <c r="F398" s="460">
        <v>3.1935932</v>
      </c>
      <c r="G398" s="299" t="s">
        <v>237</v>
      </c>
      <c r="H398" s="299">
        <v>2015</v>
      </c>
    </row>
    <row r="399" spans="1:8" x14ac:dyDescent="0.2">
      <c r="A399" s="299" t="str">
        <f t="shared" si="10"/>
        <v>LCA2016</v>
      </c>
      <c r="B399" s="460">
        <v>84.841639999999998</v>
      </c>
      <c r="C399" s="460">
        <v>39.829419999999999</v>
      </c>
      <c r="D399" s="460">
        <v>36.617980000000003</v>
      </c>
      <c r="E399" s="460">
        <v>3.2406809999999999</v>
      </c>
      <c r="F399" s="460">
        <v>6.0292658000000001</v>
      </c>
      <c r="G399" s="299" t="s">
        <v>237</v>
      </c>
      <c r="H399" s="299">
        <v>2016</v>
      </c>
    </row>
    <row r="400" spans="1:8" x14ac:dyDescent="0.2">
      <c r="A400" s="299" t="str">
        <f t="shared" si="10"/>
        <v>LCA2017</v>
      </c>
      <c r="B400" s="460">
        <v>85.649010000000004</v>
      </c>
      <c r="C400" s="460">
        <v>41.702840000000002</v>
      </c>
      <c r="D400" s="460">
        <v>40.719380000000001</v>
      </c>
      <c r="E400" s="460">
        <v>1.034627</v>
      </c>
      <c r="F400" s="460">
        <v>4.6829004000000003</v>
      </c>
      <c r="G400" s="299" t="s">
        <v>237</v>
      </c>
      <c r="H400" s="299">
        <v>2017</v>
      </c>
    </row>
    <row r="401" spans="1:8" x14ac:dyDescent="0.2">
      <c r="A401" s="299" t="str">
        <f t="shared" si="10"/>
        <v>LCA2018</v>
      </c>
      <c r="B401" s="460">
        <v>84.525480000000002</v>
      </c>
      <c r="C401" s="460">
        <v>40.184759999999997</v>
      </c>
      <c r="D401" s="460">
        <v>39.941279999999999</v>
      </c>
      <c r="E401" s="460">
        <v>0.2786748</v>
      </c>
      <c r="F401" s="460">
        <v>2.1921567</v>
      </c>
      <c r="G401" s="299" t="s">
        <v>237</v>
      </c>
      <c r="H401" s="299">
        <v>2018</v>
      </c>
    </row>
    <row r="402" spans="1:8" x14ac:dyDescent="0.2">
      <c r="A402" s="299" t="str">
        <f t="shared" si="10"/>
        <v>LKA2015</v>
      </c>
      <c r="B402" s="460">
        <v>3135.4340000000002</v>
      </c>
      <c r="C402" s="460">
        <v>1421.068</v>
      </c>
      <c r="D402" s="460">
        <v>1378.2829999999999</v>
      </c>
      <c r="E402" s="460">
        <v>42.933320000000002</v>
      </c>
      <c r="F402" s="460">
        <v>278.94718</v>
      </c>
      <c r="G402" s="299" t="s">
        <v>427</v>
      </c>
      <c r="H402" s="299">
        <v>2015</v>
      </c>
    </row>
    <row r="403" spans="1:8" x14ac:dyDescent="0.2">
      <c r="A403" s="299" t="str">
        <f t="shared" si="10"/>
        <v>LKA2016</v>
      </c>
      <c r="B403" s="460">
        <v>3184.1819999999998</v>
      </c>
      <c r="C403" s="460">
        <v>1400.5360000000001</v>
      </c>
      <c r="D403" s="460">
        <v>1373.0650000000001</v>
      </c>
      <c r="E403" s="460">
        <v>27.64875</v>
      </c>
      <c r="F403" s="460">
        <v>315.09433000000001</v>
      </c>
      <c r="G403" s="299" t="s">
        <v>427</v>
      </c>
      <c r="H403" s="299">
        <v>2016</v>
      </c>
    </row>
    <row r="404" spans="1:8" x14ac:dyDescent="0.2">
      <c r="A404" s="299" t="str">
        <f t="shared" si="10"/>
        <v>LKA2017</v>
      </c>
      <c r="B404" s="460">
        <v>3353.3339999999998</v>
      </c>
      <c r="C404" s="460">
        <v>1474.5309999999999</v>
      </c>
      <c r="D404" s="460">
        <v>1423.6869999999999</v>
      </c>
      <c r="E404" s="460">
        <v>51.017659999999999</v>
      </c>
      <c r="F404" s="460">
        <v>350.98890999999998</v>
      </c>
      <c r="G404" s="299" t="s">
        <v>427</v>
      </c>
      <c r="H404" s="299">
        <v>2017</v>
      </c>
    </row>
    <row r="405" spans="1:8" x14ac:dyDescent="0.2">
      <c r="A405" s="299" t="str">
        <f t="shared" si="10"/>
        <v>LKA2018</v>
      </c>
      <c r="B405" s="460">
        <v>3342.8049999999998</v>
      </c>
      <c r="C405" s="460">
        <v>1448.2239999999999</v>
      </c>
      <c r="D405" s="460">
        <v>1373.6220000000001</v>
      </c>
      <c r="E405" s="460">
        <v>74.837599999999995</v>
      </c>
      <c r="G405" s="299" t="s">
        <v>427</v>
      </c>
      <c r="H405" s="299">
        <v>2018</v>
      </c>
    </row>
    <row r="406" spans="1:8" x14ac:dyDescent="0.2">
      <c r="A406" s="299" t="str">
        <f t="shared" si="10"/>
        <v>LSO2015</v>
      </c>
      <c r="B406" s="460">
        <v>213.3818</v>
      </c>
      <c r="C406" s="460">
        <v>152.49709999999999</v>
      </c>
      <c r="D406" s="460">
        <v>138.0915</v>
      </c>
      <c r="E406" s="460">
        <v>40.632800000000003</v>
      </c>
      <c r="F406" s="460">
        <v>18.340094000000001</v>
      </c>
      <c r="G406" s="299" t="s">
        <v>140</v>
      </c>
      <c r="H406" s="299">
        <v>2015</v>
      </c>
    </row>
    <row r="407" spans="1:8" x14ac:dyDescent="0.2">
      <c r="A407" s="299" t="str">
        <f t="shared" si="10"/>
        <v>LSO2016</v>
      </c>
      <c r="B407" s="460">
        <v>185.47900000000001</v>
      </c>
      <c r="C407" s="460">
        <v>130.84639999999999</v>
      </c>
      <c r="D407" s="460">
        <v>120.2547</v>
      </c>
      <c r="E407" s="460">
        <v>32.701099999999997</v>
      </c>
      <c r="F407" s="460">
        <v>2.5697485000000002</v>
      </c>
      <c r="G407" s="299" t="s">
        <v>140</v>
      </c>
      <c r="H407" s="299">
        <v>2016</v>
      </c>
    </row>
    <row r="408" spans="1:8" x14ac:dyDescent="0.2">
      <c r="A408" s="299" t="str">
        <f t="shared" si="10"/>
        <v>LSO2017</v>
      </c>
      <c r="B408" s="460">
        <v>233.5018</v>
      </c>
      <c r="C408" s="460">
        <v>159.5121</v>
      </c>
      <c r="D408" s="460">
        <v>146.92009999999999</v>
      </c>
      <c r="E408" s="460">
        <v>47.720910000000003</v>
      </c>
      <c r="F408" s="460">
        <v>5.9473001999999999</v>
      </c>
      <c r="G408" s="299" t="s">
        <v>140</v>
      </c>
      <c r="H408" s="299">
        <v>2017</v>
      </c>
    </row>
    <row r="409" spans="1:8" x14ac:dyDescent="0.2">
      <c r="A409" s="299" t="str">
        <f t="shared" si="10"/>
        <v>LSO2018</v>
      </c>
      <c r="B409" s="460">
        <v>263.0976</v>
      </c>
      <c r="C409" s="460">
        <v>174.09909999999999</v>
      </c>
      <c r="D409" s="460">
        <v>152.76089999999999</v>
      </c>
      <c r="E409" s="460">
        <v>68.137990000000002</v>
      </c>
      <c r="G409" s="299" t="s">
        <v>140</v>
      </c>
      <c r="H409" s="299">
        <v>2018</v>
      </c>
    </row>
    <row r="410" spans="1:8" x14ac:dyDescent="0.2">
      <c r="A410" s="299" t="str">
        <f t="shared" si="10"/>
        <v>LTU2015</v>
      </c>
      <c r="B410" s="460">
        <v>2688.145</v>
      </c>
      <c r="C410" s="460">
        <v>1780.6369999999999</v>
      </c>
      <c r="D410" s="460">
        <v>1776.5329999999999</v>
      </c>
      <c r="E410" s="460">
        <v>7.8740160000000001</v>
      </c>
      <c r="F410" s="460">
        <v>105.35655</v>
      </c>
      <c r="G410" s="299" t="s">
        <v>369</v>
      </c>
      <c r="H410" s="299">
        <v>2015</v>
      </c>
    </row>
    <row r="411" spans="1:8" x14ac:dyDescent="0.2">
      <c r="A411" s="299" t="str">
        <f t="shared" si="10"/>
        <v>LTU2016</v>
      </c>
      <c r="B411" s="460">
        <v>2855.42</v>
      </c>
      <c r="C411" s="460">
        <v>1881.6369999999999</v>
      </c>
      <c r="D411" s="460">
        <v>1877.655</v>
      </c>
      <c r="E411" s="460">
        <v>6.637168</v>
      </c>
      <c r="G411" s="299" t="s">
        <v>369</v>
      </c>
      <c r="H411" s="299">
        <v>2016</v>
      </c>
    </row>
    <row r="412" spans="1:8" x14ac:dyDescent="0.2">
      <c r="A412" s="299" t="str">
        <f t="shared" si="10"/>
        <v>LTU2017</v>
      </c>
      <c r="B412" s="460">
        <v>3085.1439999999998</v>
      </c>
      <c r="C412" s="460">
        <v>2012.009</v>
      </c>
      <c r="D412" s="460">
        <v>2010.1859999999999</v>
      </c>
      <c r="E412" s="460">
        <v>4.6554970000000004</v>
      </c>
      <c r="G412" s="299" t="s">
        <v>369</v>
      </c>
      <c r="H412" s="299">
        <v>2017</v>
      </c>
    </row>
    <row r="413" spans="1:8" x14ac:dyDescent="0.2">
      <c r="A413" s="299" t="str">
        <f t="shared" si="10"/>
        <v>LTU2018</v>
      </c>
      <c r="B413" s="460">
        <v>3509.0320000000002</v>
      </c>
      <c r="C413" s="460">
        <v>2318.973</v>
      </c>
      <c r="D413" s="460">
        <v>2311.2449999999999</v>
      </c>
      <c r="E413" s="460">
        <v>10.979660000000001</v>
      </c>
      <c r="G413" s="299" t="s">
        <v>369</v>
      </c>
      <c r="H413" s="299">
        <v>2018</v>
      </c>
    </row>
    <row r="414" spans="1:8" x14ac:dyDescent="0.2">
      <c r="A414" s="299" t="str">
        <f t="shared" si="10"/>
        <v>LUX2015</v>
      </c>
      <c r="B414" s="460">
        <v>3052.32</v>
      </c>
      <c r="C414" s="460">
        <v>2579.3910000000001</v>
      </c>
      <c r="D414" s="460">
        <v>2579.3910000000001</v>
      </c>
      <c r="E414" s="460">
        <v>42.257550000000002</v>
      </c>
      <c r="G414" s="299" t="s">
        <v>371</v>
      </c>
      <c r="H414" s="299">
        <v>2015</v>
      </c>
    </row>
    <row r="415" spans="1:8" x14ac:dyDescent="0.2">
      <c r="A415" s="299" t="str">
        <f t="shared" si="10"/>
        <v>LUX2016</v>
      </c>
      <c r="B415" s="460">
        <v>3155.0439999999999</v>
      </c>
      <c r="C415" s="460">
        <v>2664.002</v>
      </c>
      <c r="D415" s="460">
        <v>2664.002</v>
      </c>
      <c r="E415" s="460">
        <v>41.645989999999998</v>
      </c>
      <c r="G415" s="299" t="s">
        <v>371</v>
      </c>
      <c r="H415" s="299">
        <v>2016</v>
      </c>
    </row>
    <row r="416" spans="1:8" x14ac:dyDescent="0.2">
      <c r="A416" s="299" t="str">
        <f t="shared" si="10"/>
        <v>LUX2017</v>
      </c>
      <c r="B416" s="460">
        <v>3374.5509999999999</v>
      </c>
      <c r="C416" s="460">
        <v>2861.0010000000002</v>
      </c>
      <c r="D416" s="460">
        <v>2861.0010000000002</v>
      </c>
      <c r="E416" s="460">
        <v>46.575490000000002</v>
      </c>
      <c r="G416" s="299" t="s">
        <v>371</v>
      </c>
      <c r="H416" s="299">
        <v>2017</v>
      </c>
    </row>
    <row r="417" spans="1:8" x14ac:dyDescent="0.2">
      <c r="A417" s="299" t="str">
        <f t="shared" si="10"/>
        <v>LUX2018</v>
      </c>
      <c r="B417" s="460">
        <v>3748.7359999999999</v>
      </c>
      <c r="C417" s="460">
        <v>3183.47</v>
      </c>
      <c r="D417" s="460">
        <v>3183.47</v>
      </c>
      <c r="E417" s="460">
        <v>52.94341</v>
      </c>
      <c r="G417" s="299" t="s">
        <v>371</v>
      </c>
      <c r="H417" s="299">
        <v>2018</v>
      </c>
    </row>
    <row r="418" spans="1:8" x14ac:dyDescent="0.2">
      <c r="A418" s="299" t="str">
        <f t="shared" si="10"/>
        <v>LVA2015</v>
      </c>
      <c r="B418" s="460">
        <v>1540.941</v>
      </c>
      <c r="C418" s="460">
        <v>904.25340000000006</v>
      </c>
      <c r="D418" s="460">
        <v>904.25340000000006</v>
      </c>
      <c r="G418" s="299" t="s">
        <v>373</v>
      </c>
      <c r="H418" s="299">
        <v>2015</v>
      </c>
    </row>
    <row r="419" spans="1:8" x14ac:dyDescent="0.2">
      <c r="A419" s="299" t="str">
        <f t="shared" si="10"/>
        <v>LVA2016</v>
      </c>
      <c r="B419" s="460">
        <v>1722.4390000000001</v>
      </c>
      <c r="C419" s="460">
        <v>961.89930000000004</v>
      </c>
      <c r="D419" s="460">
        <v>961.89930000000004</v>
      </c>
      <c r="G419" s="299" t="s">
        <v>373</v>
      </c>
      <c r="H419" s="299">
        <v>2016</v>
      </c>
    </row>
    <row r="420" spans="1:8" x14ac:dyDescent="0.2">
      <c r="A420" s="299" t="str">
        <f t="shared" si="10"/>
        <v>LVA2017</v>
      </c>
      <c r="B420" s="460">
        <v>1818.4860000000001</v>
      </c>
      <c r="C420" s="460">
        <v>1039.547</v>
      </c>
      <c r="D420" s="460">
        <v>1039.547</v>
      </c>
      <c r="E420" s="460">
        <v>2.9799370000000001</v>
      </c>
      <c r="G420" s="299" t="s">
        <v>373</v>
      </c>
      <c r="H420" s="299">
        <v>2017</v>
      </c>
    </row>
    <row r="421" spans="1:8" x14ac:dyDescent="0.2">
      <c r="A421" s="299" t="str">
        <f t="shared" si="10"/>
        <v>LVA2018</v>
      </c>
      <c r="B421" s="460">
        <v>2130.7040000000002</v>
      </c>
      <c r="C421" s="460">
        <v>1272.3710000000001</v>
      </c>
      <c r="D421" s="460">
        <v>1272.3710000000001</v>
      </c>
      <c r="E421" s="460">
        <v>3.5077880000000001</v>
      </c>
      <c r="G421" s="299" t="s">
        <v>373</v>
      </c>
      <c r="H421" s="299">
        <v>2018</v>
      </c>
    </row>
    <row r="422" spans="1:8" x14ac:dyDescent="0.2">
      <c r="A422" s="299" t="str">
        <f t="shared" si="10"/>
        <v>MAR2015</v>
      </c>
      <c r="B422" s="460">
        <v>5131.5559999999996</v>
      </c>
      <c r="C422" s="460">
        <v>2138.4</v>
      </c>
      <c r="D422" s="460">
        <v>2129.3150000000001</v>
      </c>
      <c r="E422" s="460">
        <v>10.66188</v>
      </c>
      <c r="F422" s="460">
        <v>161.30108999999999</v>
      </c>
      <c r="G422" s="299" t="s">
        <v>287</v>
      </c>
      <c r="H422" s="299">
        <v>2015</v>
      </c>
    </row>
    <row r="423" spans="1:8" x14ac:dyDescent="0.2">
      <c r="A423" s="299" t="str">
        <f t="shared" si="10"/>
        <v>MAR2016</v>
      </c>
      <c r="B423" s="460">
        <v>5413.3959999999997</v>
      </c>
      <c r="C423" s="460">
        <v>2309.549</v>
      </c>
      <c r="D423" s="460">
        <v>2301.0250000000001</v>
      </c>
      <c r="E423" s="460">
        <v>8.5242109999999993</v>
      </c>
      <c r="G423" s="299" t="s">
        <v>287</v>
      </c>
      <c r="H423" s="299">
        <v>2016</v>
      </c>
    </row>
    <row r="424" spans="1:8" x14ac:dyDescent="0.2">
      <c r="A424" s="299" t="str">
        <f t="shared" si="10"/>
        <v>MAR2017</v>
      </c>
      <c r="B424" s="460">
        <v>5744.6120000000001</v>
      </c>
      <c r="C424" s="460">
        <v>2481.694</v>
      </c>
      <c r="D424" s="460">
        <v>2468.9699999999998</v>
      </c>
      <c r="E424" s="460">
        <v>12.7347</v>
      </c>
      <c r="G424" s="299" t="s">
        <v>287</v>
      </c>
      <c r="H424" s="299">
        <v>2017</v>
      </c>
    </row>
    <row r="425" spans="1:8" x14ac:dyDescent="0.2">
      <c r="A425" s="299" t="str">
        <f t="shared" si="10"/>
        <v>MAR2018</v>
      </c>
      <c r="B425" s="460">
        <v>6297.2309999999998</v>
      </c>
      <c r="C425" s="460">
        <v>2542.348</v>
      </c>
      <c r="D425" s="460">
        <v>2530.9380000000001</v>
      </c>
      <c r="E425" s="460">
        <v>11.41058</v>
      </c>
      <c r="G425" s="299" t="s">
        <v>287</v>
      </c>
      <c r="H425" s="299">
        <v>2018</v>
      </c>
    </row>
    <row r="426" spans="1:8" x14ac:dyDescent="0.2">
      <c r="A426" s="299" t="str">
        <f t="shared" si="10"/>
        <v>MCO2015</v>
      </c>
      <c r="B426" s="460">
        <v>126.956</v>
      </c>
      <c r="C426" s="460">
        <v>102.69119999999999</v>
      </c>
      <c r="D426" s="460">
        <v>102.69119999999999</v>
      </c>
      <c r="F426" s="460">
        <v>6.9814238</v>
      </c>
      <c r="G426" s="299" t="s">
        <v>375</v>
      </c>
      <c r="H426" s="299">
        <v>2015</v>
      </c>
    </row>
    <row r="427" spans="1:8" x14ac:dyDescent="0.2">
      <c r="A427" s="299" t="str">
        <f t="shared" si="10"/>
        <v>MCO2016</v>
      </c>
      <c r="B427" s="460">
        <v>105.2668</v>
      </c>
      <c r="C427" s="460">
        <v>90.041899999999998</v>
      </c>
      <c r="D427" s="460">
        <v>90.041899999999998</v>
      </c>
      <c r="G427" s="299" t="s">
        <v>375</v>
      </c>
      <c r="H427" s="299">
        <v>2016</v>
      </c>
    </row>
    <row r="428" spans="1:8" x14ac:dyDescent="0.2">
      <c r="A428" s="299" t="str">
        <f t="shared" si="10"/>
        <v>MCO2017</v>
      </c>
      <c r="B428" s="460">
        <v>105.64449999999999</v>
      </c>
      <c r="C428" s="460">
        <v>90.66413</v>
      </c>
      <c r="D428" s="460">
        <v>90.66413</v>
      </c>
      <c r="G428" s="299" t="s">
        <v>375</v>
      </c>
      <c r="H428" s="299">
        <v>2017</v>
      </c>
    </row>
    <row r="429" spans="1:8" x14ac:dyDescent="0.2">
      <c r="A429" s="299" t="str">
        <f t="shared" si="10"/>
        <v>MCO2018</v>
      </c>
      <c r="B429" s="460">
        <v>114.8275</v>
      </c>
      <c r="C429" s="460">
        <v>98.426749999999998</v>
      </c>
      <c r="D429" s="460">
        <v>98.426749999999998</v>
      </c>
      <c r="G429" s="299" t="s">
        <v>375</v>
      </c>
      <c r="H429" s="299">
        <v>2018</v>
      </c>
    </row>
    <row r="430" spans="1:8" x14ac:dyDescent="0.2">
      <c r="A430" s="299" t="str">
        <f t="shared" si="10"/>
        <v>MDA2015</v>
      </c>
      <c r="B430" s="460">
        <v>662.81119999999999</v>
      </c>
      <c r="C430" s="460">
        <v>325.64249999999998</v>
      </c>
      <c r="D430" s="460">
        <v>301.83609999999999</v>
      </c>
      <c r="E430" s="460">
        <v>48.250450000000001</v>
      </c>
      <c r="F430" s="460">
        <v>31.771968999999999</v>
      </c>
      <c r="G430" s="299" t="s">
        <v>377</v>
      </c>
      <c r="H430" s="299">
        <v>2015</v>
      </c>
    </row>
    <row r="431" spans="1:8" x14ac:dyDescent="0.2">
      <c r="A431" s="299" t="str">
        <f t="shared" si="10"/>
        <v>MDA2016</v>
      </c>
      <c r="B431" s="460">
        <v>608.22910000000002</v>
      </c>
      <c r="C431" s="460">
        <v>312.93509999999998</v>
      </c>
      <c r="D431" s="460">
        <v>296.7722</v>
      </c>
      <c r="E431" s="460">
        <v>22.472639999999998</v>
      </c>
      <c r="F431" s="460">
        <v>52.545777000000001</v>
      </c>
      <c r="G431" s="299" t="s">
        <v>377</v>
      </c>
      <c r="H431" s="299">
        <v>2016</v>
      </c>
    </row>
    <row r="432" spans="1:8" x14ac:dyDescent="0.2">
      <c r="A432" s="299" t="str">
        <f t="shared" si="10"/>
        <v>MDA2017</v>
      </c>
      <c r="B432" s="460">
        <v>678.16819999999996</v>
      </c>
      <c r="C432" s="460">
        <v>355.76639999999998</v>
      </c>
      <c r="D432" s="460">
        <v>343.25220000000002</v>
      </c>
      <c r="E432" s="460">
        <v>31.868970000000001</v>
      </c>
      <c r="F432" s="460">
        <v>52.293475000000001</v>
      </c>
      <c r="G432" s="299" t="s">
        <v>377</v>
      </c>
      <c r="H432" s="299">
        <v>2017</v>
      </c>
    </row>
    <row r="433" spans="1:8" x14ac:dyDescent="0.2">
      <c r="A433" s="299" t="str">
        <f t="shared" si="10"/>
        <v>MDA2018</v>
      </c>
      <c r="B433" s="460">
        <v>754.76700000000005</v>
      </c>
      <c r="C433" s="460">
        <v>434.35980000000001</v>
      </c>
      <c r="D433" s="460">
        <v>426.6397</v>
      </c>
      <c r="E433" s="460">
        <v>20.508040000000001</v>
      </c>
      <c r="F433" s="460">
        <v>51.300201999999999</v>
      </c>
      <c r="G433" s="299" t="s">
        <v>377</v>
      </c>
      <c r="H433" s="299">
        <v>2018</v>
      </c>
    </row>
    <row r="434" spans="1:8" x14ac:dyDescent="0.2">
      <c r="A434" s="299" t="str">
        <f t="shared" si="10"/>
        <v>MDG2015</v>
      </c>
      <c r="B434" s="460">
        <v>555.10170000000005</v>
      </c>
      <c r="C434" s="460">
        <v>271.38839999999999</v>
      </c>
      <c r="D434" s="460">
        <v>225.34059999999999</v>
      </c>
      <c r="E434" s="460">
        <v>159.86269999999999</v>
      </c>
      <c r="G434" s="299" t="s">
        <v>142</v>
      </c>
      <c r="H434" s="299">
        <v>2015</v>
      </c>
    </row>
    <row r="435" spans="1:8" x14ac:dyDescent="0.2">
      <c r="A435" s="299" t="str">
        <f t="shared" si="10"/>
        <v>MDG2016</v>
      </c>
      <c r="B435" s="460">
        <v>609.52350000000001</v>
      </c>
      <c r="C435" s="460">
        <v>322.1635</v>
      </c>
      <c r="D435" s="460">
        <v>281.0428</v>
      </c>
      <c r="E435" s="460">
        <v>164.6611</v>
      </c>
      <c r="G435" s="299" t="s">
        <v>142</v>
      </c>
      <c r="H435" s="299">
        <v>2016</v>
      </c>
    </row>
    <row r="436" spans="1:8" x14ac:dyDescent="0.2">
      <c r="A436" s="299" t="str">
        <f t="shared" si="10"/>
        <v>MDG2017</v>
      </c>
      <c r="B436" s="460">
        <v>631.08199999999999</v>
      </c>
      <c r="C436" s="460">
        <v>338.9803</v>
      </c>
      <c r="D436" s="460">
        <v>295.97460000000001</v>
      </c>
      <c r="E436" s="460">
        <v>145.0746</v>
      </c>
      <c r="G436" s="299" t="s">
        <v>142</v>
      </c>
      <c r="H436" s="299">
        <v>2017</v>
      </c>
    </row>
    <row r="437" spans="1:8" x14ac:dyDescent="0.2">
      <c r="A437" s="299" t="str">
        <f t="shared" si="10"/>
        <v>MDG2018</v>
      </c>
      <c r="B437" s="460">
        <v>579.07759999999996</v>
      </c>
      <c r="C437" s="460">
        <v>250.16249999999999</v>
      </c>
      <c r="D437" s="460">
        <v>206.91419999999999</v>
      </c>
      <c r="E437" s="460">
        <v>173.57159999999999</v>
      </c>
      <c r="G437" s="299" t="s">
        <v>142</v>
      </c>
      <c r="H437" s="299">
        <v>2018</v>
      </c>
    </row>
    <row r="438" spans="1:8" x14ac:dyDescent="0.2">
      <c r="A438" s="299" t="str">
        <f t="shared" si="10"/>
        <v>MDV2015</v>
      </c>
      <c r="B438" s="460">
        <v>357.12270000000001</v>
      </c>
      <c r="C438" s="460">
        <v>257.608</v>
      </c>
      <c r="D438" s="460">
        <v>257.49669999999998</v>
      </c>
      <c r="E438" s="460">
        <v>0.1113473</v>
      </c>
      <c r="F438" s="460">
        <v>18.819717000000001</v>
      </c>
      <c r="G438" s="299" t="s">
        <v>429</v>
      </c>
      <c r="H438" s="299">
        <v>2015</v>
      </c>
    </row>
    <row r="439" spans="1:8" x14ac:dyDescent="0.2">
      <c r="A439" s="299" t="str">
        <f t="shared" si="10"/>
        <v>MDV2016</v>
      </c>
      <c r="B439" s="460">
        <v>450.2201</v>
      </c>
      <c r="C439" s="460">
        <v>326.23930000000001</v>
      </c>
      <c r="D439" s="460">
        <v>325.18979999999999</v>
      </c>
      <c r="E439" s="460">
        <v>1.049426</v>
      </c>
      <c r="F439" s="460">
        <v>59.127792999999997</v>
      </c>
      <c r="G439" s="299" t="s">
        <v>429</v>
      </c>
      <c r="H439" s="299">
        <v>2016</v>
      </c>
    </row>
    <row r="440" spans="1:8" x14ac:dyDescent="0.2">
      <c r="A440" s="299" t="str">
        <f t="shared" si="10"/>
        <v>MDV2017</v>
      </c>
      <c r="B440" s="460">
        <v>439.35759999999999</v>
      </c>
      <c r="C440" s="460">
        <v>314.29759999999999</v>
      </c>
      <c r="D440" s="460">
        <v>313.94639999999998</v>
      </c>
      <c r="E440" s="460">
        <v>0.35120630000000003</v>
      </c>
      <c r="F440" s="460">
        <v>94.625525999999994</v>
      </c>
      <c r="G440" s="299" t="s">
        <v>429</v>
      </c>
      <c r="H440" s="299">
        <v>2017</v>
      </c>
    </row>
    <row r="441" spans="1:8" x14ac:dyDescent="0.2">
      <c r="A441" s="299" t="str">
        <f t="shared" si="10"/>
        <v>MDV2018</v>
      </c>
      <c r="B441" s="460">
        <v>502.04910000000001</v>
      </c>
      <c r="C441" s="460">
        <v>357.35890000000001</v>
      </c>
      <c r="D441" s="460">
        <v>354.56020000000001</v>
      </c>
      <c r="E441" s="460">
        <v>4.6618649999999997</v>
      </c>
      <c r="G441" s="299" t="s">
        <v>429</v>
      </c>
      <c r="H441" s="299">
        <v>2018</v>
      </c>
    </row>
    <row r="442" spans="1:8" x14ac:dyDescent="0.2">
      <c r="A442" s="299" t="str">
        <f t="shared" si="10"/>
        <v>MEX2015</v>
      </c>
      <c r="B442" s="460">
        <v>67858.789999999994</v>
      </c>
      <c r="C442" s="460">
        <v>36022.089999999997</v>
      </c>
      <c r="D442" s="460">
        <v>36022.089999999997</v>
      </c>
      <c r="E442" s="460">
        <v>0</v>
      </c>
      <c r="F442" s="460">
        <v>898.03004999999996</v>
      </c>
      <c r="G442" s="299" t="s">
        <v>239</v>
      </c>
      <c r="H442" s="299">
        <v>2015</v>
      </c>
    </row>
    <row r="443" spans="1:8" x14ac:dyDescent="0.2">
      <c r="A443" s="299" t="str">
        <f t="shared" si="10"/>
        <v>MEX2016</v>
      </c>
      <c r="B443" s="460">
        <v>60531.95</v>
      </c>
      <c r="C443" s="460">
        <v>31714.06</v>
      </c>
      <c r="D443" s="460">
        <v>31714.06</v>
      </c>
      <c r="E443" s="460">
        <v>0</v>
      </c>
      <c r="F443" s="460">
        <v>893.58113000000003</v>
      </c>
      <c r="G443" s="299" t="s">
        <v>239</v>
      </c>
      <c r="H443" s="299">
        <v>2016</v>
      </c>
    </row>
    <row r="444" spans="1:8" x14ac:dyDescent="0.2">
      <c r="A444" s="299" t="str">
        <f t="shared" si="10"/>
        <v>MEX2017</v>
      </c>
      <c r="B444" s="460">
        <v>63894.18</v>
      </c>
      <c r="C444" s="460">
        <v>32913.46</v>
      </c>
      <c r="D444" s="460">
        <v>32913.46</v>
      </c>
      <c r="E444" s="460">
        <v>0</v>
      </c>
      <c r="F444" s="460">
        <v>814.09695999999997</v>
      </c>
      <c r="G444" s="299" t="s">
        <v>239</v>
      </c>
      <c r="H444" s="299">
        <v>2017</v>
      </c>
    </row>
    <row r="445" spans="1:8" x14ac:dyDescent="0.2">
      <c r="A445" s="299" t="str">
        <f t="shared" si="10"/>
        <v>MEX2018</v>
      </c>
      <c r="B445" s="460">
        <v>65569.42</v>
      </c>
      <c r="C445" s="460">
        <v>32831.599999999999</v>
      </c>
      <c r="D445" s="460">
        <v>32831.599999999999</v>
      </c>
      <c r="E445" s="460">
        <v>0</v>
      </c>
      <c r="F445" s="460">
        <v>1023.5616</v>
      </c>
      <c r="G445" s="299" t="s">
        <v>239</v>
      </c>
      <c r="H445" s="299">
        <v>2018</v>
      </c>
    </row>
    <row r="446" spans="1:8" x14ac:dyDescent="0.2">
      <c r="A446" s="299" t="str">
        <f t="shared" si="10"/>
        <v>MHL2015</v>
      </c>
      <c r="B446" s="460">
        <v>31.41844</v>
      </c>
      <c r="C446" s="460">
        <v>26.548749999999998</v>
      </c>
      <c r="D446" s="460">
        <v>11.91957</v>
      </c>
      <c r="E446" s="460">
        <v>14.680730000000001</v>
      </c>
      <c r="F446" s="460">
        <v>0.326289</v>
      </c>
      <c r="G446" s="299" t="s">
        <v>464</v>
      </c>
      <c r="H446" s="299">
        <v>2015</v>
      </c>
    </row>
    <row r="447" spans="1:8" x14ac:dyDescent="0.2">
      <c r="A447" s="299" t="str">
        <f t="shared" si="10"/>
        <v>MHL2016</v>
      </c>
      <c r="B447" s="460">
        <v>34.945929999999997</v>
      </c>
      <c r="C447" s="460">
        <v>29.542339999999999</v>
      </c>
      <c r="D447" s="460">
        <v>13.972020000000001</v>
      </c>
      <c r="E447" s="460">
        <v>15.985099999999999</v>
      </c>
      <c r="F447" s="460">
        <v>0.15599099999999999</v>
      </c>
      <c r="G447" s="299" t="s">
        <v>464</v>
      </c>
      <c r="H447" s="299">
        <v>2016</v>
      </c>
    </row>
    <row r="448" spans="1:8" x14ac:dyDescent="0.2">
      <c r="A448" s="299" t="str">
        <f t="shared" si="10"/>
        <v>MHL2017</v>
      </c>
      <c r="B448" s="460">
        <v>34.112160000000003</v>
      </c>
      <c r="C448" s="460">
        <v>28.329930000000001</v>
      </c>
      <c r="D448" s="460">
        <v>13.15199</v>
      </c>
      <c r="E448" s="460">
        <v>15.57014</v>
      </c>
      <c r="F448" s="460">
        <v>1.2426170000000001</v>
      </c>
      <c r="G448" s="299" t="s">
        <v>464</v>
      </c>
      <c r="H448" s="299">
        <v>2017</v>
      </c>
    </row>
    <row r="449" spans="1:8" x14ac:dyDescent="0.2">
      <c r="A449" s="299" t="str">
        <f t="shared" si="10"/>
        <v>MHL2018</v>
      </c>
      <c r="B449" s="460">
        <v>37.563409999999998</v>
      </c>
      <c r="C449" s="460">
        <v>31.568940000000001</v>
      </c>
      <c r="D449" s="460">
        <v>16.312110000000001</v>
      </c>
      <c r="E449" s="460">
        <v>15.7514</v>
      </c>
      <c r="F449" s="460">
        <v>1.0508599999999999</v>
      </c>
      <c r="G449" s="299" t="s">
        <v>464</v>
      </c>
      <c r="H449" s="299">
        <v>2018</v>
      </c>
    </row>
    <row r="450" spans="1:8" x14ac:dyDescent="0.2">
      <c r="A450" s="299" t="str">
        <f t="shared" ref="A450:A513" si="11">CONCATENATE(G450,H450)</f>
        <v>MKD2015</v>
      </c>
      <c r="B450" s="460">
        <v>638.17719999999997</v>
      </c>
      <c r="C450" s="460">
        <v>416.2414</v>
      </c>
      <c r="D450" s="460">
        <v>414.49520000000001</v>
      </c>
      <c r="E450" s="460">
        <v>2.3222529999999999</v>
      </c>
      <c r="F450" s="460">
        <v>28.497105999999999</v>
      </c>
      <c r="G450" s="299" t="s">
        <v>379</v>
      </c>
      <c r="H450" s="299">
        <v>2015</v>
      </c>
    </row>
    <row r="451" spans="1:8" x14ac:dyDescent="0.2">
      <c r="A451" s="299" t="str">
        <f t="shared" si="11"/>
        <v>MKD2016</v>
      </c>
      <c r="B451" s="460">
        <v>681.42539999999997</v>
      </c>
      <c r="C451" s="460">
        <v>438.00729999999999</v>
      </c>
      <c r="D451" s="460">
        <v>433.75119999999998</v>
      </c>
      <c r="E451" s="460">
        <v>4.9565409999999996</v>
      </c>
      <c r="F451" s="460">
        <v>28.122979999999998</v>
      </c>
      <c r="G451" s="299" t="s">
        <v>379</v>
      </c>
      <c r="H451" s="299">
        <v>2016</v>
      </c>
    </row>
    <row r="452" spans="1:8" x14ac:dyDescent="0.2">
      <c r="A452" s="299" t="str">
        <f t="shared" si="11"/>
        <v>MKD2017</v>
      </c>
      <c r="B452" s="460">
        <v>745.99350000000004</v>
      </c>
      <c r="C452" s="460">
        <v>425.9794</v>
      </c>
      <c r="D452" s="460">
        <v>425.01029999999997</v>
      </c>
      <c r="E452" s="460">
        <v>0.9690067</v>
      </c>
      <c r="F452" s="460">
        <v>24.221359</v>
      </c>
      <c r="G452" s="299" t="s">
        <v>379</v>
      </c>
      <c r="H452" s="299">
        <v>2017</v>
      </c>
    </row>
    <row r="453" spans="1:8" x14ac:dyDescent="0.2">
      <c r="A453" s="299" t="str">
        <f t="shared" si="11"/>
        <v>MKD2018</v>
      </c>
      <c r="B453" s="460">
        <v>831.3021</v>
      </c>
      <c r="C453" s="460">
        <v>476.53039999999999</v>
      </c>
      <c r="D453" s="460">
        <v>476.51780000000002</v>
      </c>
      <c r="E453" s="460">
        <v>1.2608599999999999E-2</v>
      </c>
      <c r="F453" s="460">
        <v>9.3340457000000008</v>
      </c>
      <c r="G453" s="299" t="s">
        <v>379</v>
      </c>
      <c r="H453" s="299">
        <v>2018</v>
      </c>
    </row>
    <row r="454" spans="1:8" x14ac:dyDescent="0.2">
      <c r="A454" s="299" t="str">
        <f t="shared" si="11"/>
        <v>MLI2015</v>
      </c>
      <c r="B454" s="460">
        <v>538.57979999999998</v>
      </c>
      <c r="C454" s="460">
        <v>209.69110000000001</v>
      </c>
      <c r="D454" s="460">
        <v>120.4208</v>
      </c>
      <c r="E454" s="460">
        <v>222.5164</v>
      </c>
      <c r="F454" s="460">
        <v>32.164768000000002</v>
      </c>
      <c r="G454" s="299" t="s">
        <v>144</v>
      </c>
      <c r="H454" s="299">
        <v>2015</v>
      </c>
    </row>
    <row r="455" spans="1:8" x14ac:dyDescent="0.2">
      <c r="A455" s="299" t="str">
        <f t="shared" si="11"/>
        <v>MLI2016</v>
      </c>
      <c r="B455" s="460">
        <v>528.9529</v>
      </c>
      <c r="C455" s="460">
        <v>226.68979999999999</v>
      </c>
      <c r="D455" s="460">
        <v>169.42760000000001</v>
      </c>
      <c r="E455" s="460">
        <v>159.89340000000001</v>
      </c>
      <c r="F455" s="460">
        <v>42.567757</v>
      </c>
      <c r="G455" s="299" t="s">
        <v>144</v>
      </c>
      <c r="H455" s="299">
        <v>2016</v>
      </c>
    </row>
    <row r="456" spans="1:8" x14ac:dyDescent="0.2">
      <c r="A456" s="299" t="str">
        <f t="shared" si="11"/>
        <v>MLI2017</v>
      </c>
      <c r="B456" s="460">
        <v>629.44169999999997</v>
      </c>
      <c r="C456" s="460">
        <v>242.9265</v>
      </c>
      <c r="D456" s="460">
        <v>190.79</v>
      </c>
      <c r="E456" s="460">
        <v>222.29669999999999</v>
      </c>
      <c r="G456" s="299" t="s">
        <v>144</v>
      </c>
      <c r="H456" s="299">
        <v>2017</v>
      </c>
    </row>
    <row r="457" spans="1:8" x14ac:dyDescent="0.2">
      <c r="A457" s="299" t="str">
        <f t="shared" si="11"/>
        <v>MLI2018</v>
      </c>
      <c r="B457" s="460">
        <v>666.79899999999998</v>
      </c>
      <c r="C457" s="460">
        <v>259.91829999999999</v>
      </c>
      <c r="D457" s="460">
        <v>188.16919999999999</v>
      </c>
      <c r="E457" s="460">
        <v>239.8185</v>
      </c>
      <c r="G457" s="299" t="s">
        <v>144</v>
      </c>
      <c r="H457" s="299">
        <v>2018</v>
      </c>
    </row>
    <row r="458" spans="1:8" x14ac:dyDescent="0.2">
      <c r="A458" s="299" t="str">
        <f t="shared" si="11"/>
        <v>MLT2015</v>
      </c>
      <c r="B458" s="460">
        <v>986.43230000000005</v>
      </c>
      <c r="C458" s="460">
        <v>600.06870000000004</v>
      </c>
      <c r="D458" s="460">
        <v>600.06870000000004</v>
      </c>
      <c r="F458" s="460">
        <v>67.649994000000007</v>
      </c>
      <c r="G458" s="299" t="s">
        <v>381</v>
      </c>
      <c r="H458" s="299">
        <v>2015</v>
      </c>
    </row>
    <row r="459" spans="1:8" x14ac:dyDescent="0.2">
      <c r="A459" s="299" t="str">
        <f t="shared" si="11"/>
        <v>MLT2016</v>
      </c>
      <c r="B459" s="460">
        <v>1045.482</v>
      </c>
      <c r="C459" s="460">
        <v>658.94910000000004</v>
      </c>
      <c r="D459" s="460">
        <v>658.94910000000004</v>
      </c>
      <c r="F459" s="460">
        <v>94.311947000000004</v>
      </c>
      <c r="G459" s="299" t="s">
        <v>381</v>
      </c>
      <c r="H459" s="299">
        <v>2016</v>
      </c>
    </row>
    <row r="460" spans="1:8" x14ac:dyDescent="0.2">
      <c r="A460" s="299" t="str">
        <f t="shared" si="11"/>
        <v>MLT2017</v>
      </c>
      <c r="B460" s="460">
        <v>1174.547</v>
      </c>
      <c r="C460" s="460">
        <v>738.755</v>
      </c>
      <c r="D460" s="460">
        <v>738.755</v>
      </c>
      <c r="F460" s="460">
        <v>24.575140000000001</v>
      </c>
      <c r="G460" s="299" t="s">
        <v>381</v>
      </c>
      <c r="H460" s="299">
        <v>2017</v>
      </c>
    </row>
    <row r="461" spans="1:8" x14ac:dyDescent="0.2">
      <c r="A461" s="299" t="str">
        <f t="shared" si="11"/>
        <v>MLT2018</v>
      </c>
      <c r="B461" s="460">
        <v>1309.848</v>
      </c>
      <c r="C461" s="460">
        <v>831.46280000000002</v>
      </c>
      <c r="D461" s="460">
        <v>831.46280000000002</v>
      </c>
      <c r="F461" s="460">
        <v>37.587879000000001</v>
      </c>
      <c r="G461" s="299" t="s">
        <v>381</v>
      </c>
      <c r="H461" s="299">
        <v>2018</v>
      </c>
    </row>
    <row r="462" spans="1:8" x14ac:dyDescent="0.2">
      <c r="A462" s="299" t="str">
        <f t="shared" si="11"/>
        <v>MMR2015</v>
      </c>
      <c r="B462" s="460">
        <v>3250.4569999999999</v>
      </c>
      <c r="C462" s="460">
        <v>731.83519999999999</v>
      </c>
      <c r="D462" s="460">
        <v>714.85379999999998</v>
      </c>
      <c r="E462" s="460">
        <v>245.65520000000001</v>
      </c>
      <c r="F462" s="460">
        <v>297.46834000000001</v>
      </c>
      <c r="G462" s="299" t="s">
        <v>431</v>
      </c>
      <c r="H462" s="299">
        <v>2015</v>
      </c>
    </row>
    <row r="463" spans="1:8" x14ac:dyDescent="0.2">
      <c r="A463" s="299" t="str">
        <f t="shared" si="11"/>
        <v>MMR2016</v>
      </c>
      <c r="B463" s="460">
        <v>3073.2170000000001</v>
      </c>
      <c r="C463" s="460">
        <v>504.96249999999998</v>
      </c>
      <c r="D463" s="460">
        <v>429.798</v>
      </c>
      <c r="E463" s="460">
        <v>287.08909999999997</v>
      </c>
      <c r="F463" s="460">
        <v>252.75729999999999</v>
      </c>
      <c r="G463" s="299" t="s">
        <v>431</v>
      </c>
      <c r="H463" s="299">
        <v>2016</v>
      </c>
    </row>
    <row r="464" spans="1:8" x14ac:dyDescent="0.2">
      <c r="A464" s="299" t="str">
        <f t="shared" si="11"/>
        <v>MMR2017</v>
      </c>
      <c r="B464" s="460">
        <v>3088.674</v>
      </c>
      <c r="C464" s="460">
        <v>531.4932</v>
      </c>
      <c r="D464" s="460">
        <v>456.96289999999999</v>
      </c>
      <c r="E464" s="460">
        <v>293.96109999999999</v>
      </c>
      <c r="F464" s="460">
        <v>240.82606000000001</v>
      </c>
      <c r="G464" s="299" t="s">
        <v>431</v>
      </c>
      <c r="H464" s="299">
        <v>2017</v>
      </c>
    </row>
    <row r="465" spans="1:8" x14ac:dyDescent="0.2">
      <c r="A465" s="299" t="str">
        <f t="shared" si="11"/>
        <v>MMR2018</v>
      </c>
      <c r="B465" s="460">
        <v>3179.8580000000002</v>
      </c>
      <c r="C465" s="460">
        <v>552.02700000000004</v>
      </c>
      <c r="D465" s="460">
        <v>471.53449999999998</v>
      </c>
      <c r="E465" s="460">
        <v>277.39269999999999</v>
      </c>
      <c r="F465" s="460">
        <v>188.69117</v>
      </c>
      <c r="G465" s="299" t="s">
        <v>431</v>
      </c>
      <c r="H465" s="299">
        <v>2018</v>
      </c>
    </row>
    <row r="466" spans="1:8" x14ac:dyDescent="0.2">
      <c r="A466" s="299" t="str">
        <f t="shared" si="11"/>
        <v>MNE2018</v>
      </c>
      <c r="B466" s="460">
        <v>459.23079999999999</v>
      </c>
      <c r="C466" s="460">
        <v>275.60660000000001</v>
      </c>
      <c r="D466" s="460">
        <v>275.60660000000001</v>
      </c>
      <c r="F466" s="460">
        <v>4.2920208000000004</v>
      </c>
      <c r="G466" s="299" t="s">
        <v>383</v>
      </c>
      <c r="H466" s="299">
        <v>2018</v>
      </c>
    </row>
    <row r="467" spans="1:8" x14ac:dyDescent="0.2">
      <c r="A467" s="299" t="str">
        <f t="shared" si="11"/>
        <v>MNG2015</v>
      </c>
      <c r="B467" s="460">
        <v>497.98910000000001</v>
      </c>
      <c r="C467" s="460">
        <v>299.47050000000002</v>
      </c>
      <c r="D467" s="460">
        <v>280.7321</v>
      </c>
      <c r="E467" s="460">
        <v>21.89424</v>
      </c>
      <c r="F467" s="460">
        <v>31.309920999999999</v>
      </c>
      <c r="G467" s="299" t="s">
        <v>466</v>
      </c>
      <c r="H467" s="299">
        <v>2015</v>
      </c>
    </row>
    <row r="468" spans="1:8" x14ac:dyDescent="0.2">
      <c r="A468" s="299" t="str">
        <f t="shared" si="11"/>
        <v>MNG2016</v>
      </c>
      <c r="B468" s="460">
        <v>494.85160000000002</v>
      </c>
      <c r="C468" s="460">
        <v>318.57569999999998</v>
      </c>
      <c r="D468" s="460">
        <v>293.63690000000003</v>
      </c>
      <c r="E468" s="460">
        <v>28.03708</v>
      </c>
      <c r="F468" s="460">
        <v>53.858840999999998</v>
      </c>
      <c r="G468" s="299" t="s">
        <v>466</v>
      </c>
      <c r="H468" s="299">
        <v>2016</v>
      </c>
    </row>
    <row r="469" spans="1:8" x14ac:dyDescent="0.2">
      <c r="A469" s="299" t="str">
        <f t="shared" si="11"/>
        <v>MNG2017</v>
      </c>
      <c r="B469" s="460">
        <v>457.60849999999999</v>
      </c>
      <c r="C469" s="460">
        <v>292.88900000000001</v>
      </c>
      <c r="D469" s="460">
        <v>282.291</v>
      </c>
      <c r="E469" s="460">
        <v>12.977790000000001</v>
      </c>
      <c r="F469" s="460">
        <v>51.968465999999999</v>
      </c>
      <c r="G469" s="299" t="s">
        <v>466</v>
      </c>
      <c r="H469" s="299">
        <v>2017</v>
      </c>
    </row>
    <row r="470" spans="1:8" x14ac:dyDescent="0.2">
      <c r="A470" s="299" t="str">
        <f t="shared" si="11"/>
        <v>MNG2018</v>
      </c>
      <c r="B470" s="460">
        <v>491.68049999999999</v>
      </c>
      <c r="C470" s="460">
        <v>312.3897</v>
      </c>
      <c r="D470" s="460">
        <v>288.5197</v>
      </c>
      <c r="E470" s="460">
        <v>27.102989999999998</v>
      </c>
      <c r="F470" s="460">
        <v>44.592627999999998</v>
      </c>
      <c r="G470" s="299" t="s">
        <v>466</v>
      </c>
      <c r="H470" s="299">
        <v>2018</v>
      </c>
    </row>
    <row r="471" spans="1:8" x14ac:dyDescent="0.2">
      <c r="A471" s="299" t="str">
        <f t="shared" si="11"/>
        <v>MOZ2015</v>
      </c>
      <c r="B471" s="460">
        <v>1071.3689999999999</v>
      </c>
      <c r="C471" s="460">
        <v>547.9</v>
      </c>
      <c r="D471" s="460">
        <v>289.59359999999998</v>
      </c>
      <c r="E471" s="460">
        <v>585.86620000000005</v>
      </c>
      <c r="F471" s="460">
        <v>82.640705999999994</v>
      </c>
      <c r="G471" s="299" t="s">
        <v>146</v>
      </c>
      <c r="H471" s="299">
        <v>2015</v>
      </c>
    </row>
    <row r="472" spans="1:8" x14ac:dyDescent="0.2">
      <c r="A472" s="299" t="str">
        <f t="shared" si="11"/>
        <v>MOZ2016</v>
      </c>
      <c r="B472" s="460">
        <v>854.95680000000004</v>
      </c>
      <c r="C472" s="460">
        <v>495.25200000000001</v>
      </c>
      <c r="D472" s="460">
        <v>194.9622</v>
      </c>
      <c r="E472" s="460">
        <v>511.33030000000002</v>
      </c>
      <c r="G472" s="299" t="s">
        <v>146</v>
      </c>
      <c r="H472" s="299">
        <v>2016</v>
      </c>
    </row>
    <row r="473" spans="1:8" x14ac:dyDescent="0.2">
      <c r="A473" s="299" t="str">
        <f t="shared" si="11"/>
        <v>MOZ2017</v>
      </c>
      <c r="B473" s="460">
        <v>1029.9280000000001</v>
      </c>
      <c r="C473" s="460">
        <v>625.34829999999999</v>
      </c>
      <c r="D473" s="460">
        <v>220.51400000000001</v>
      </c>
      <c r="E473" s="460">
        <v>642.76819999999998</v>
      </c>
      <c r="G473" s="299" t="s">
        <v>146</v>
      </c>
      <c r="H473" s="299">
        <v>2017</v>
      </c>
    </row>
    <row r="474" spans="1:8" x14ac:dyDescent="0.2">
      <c r="A474" s="299" t="str">
        <f t="shared" si="11"/>
        <v>MOZ2018</v>
      </c>
      <c r="B474" s="460">
        <v>1187.625</v>
      </c>
      <c r="C474" s="460">
        <v>700.29300000000001</v>
      </c>
      <c r="D474" s="460">
        <v>251.43209999999999</v>
      </c>
      <c r="E474" s="460">
        <v>747.20749999999998</v>
      </c>
      <c r="G474" s="299" t="s">
        <v>146</v>
      </c>
      <c r="H474" s="299">
        <v>2018</v>
      </c>
    </row>
    <row r="475" spans="1:8" x14ac:dyDescent="0.2">
      <c r="A475" s="299" t="str">
        <f t="shared" si="11"/>
        <v>MRT2015</v>
      </c>
      <c r="B475" s="460">
        <v>226.5487</v>
      </c>
      <c r="C475" s="460">
        <v>106.78230000000001</v>
      </c>
      <c r="D475" s="460">
        <v>87.498050000000006</v>
      </c>
      <c r="E475" s="460">
        <v>19.568480000000001</v>
      </c>
      <c r="F475" s="460">
        <v>31.992646000000001</v>
      </c>
      <c r="G475" s="299" t="s">
        <v>148</v>
      </c>
      <c r="H475" s="299">
        <v>2015</v>
      </c>
    </row>
    <row r="476" spans="1:8" x14ac:dyDescent="0.2">
      <c r="A476" s="299" t="str">
        <f t="shared" si="11"/>
        <v>MRT2016</v>
      </c>
      <c r="B476" s="460">
        <v>197.1568</v>
      </c>
      <c r="C476" s="460">
        <v>80.945369999999997</v>
      </c>
      <c r="D476" s="460">
        <v>76.743260000000006</v>
      </c>
      <c r="E476" s="460">
        <v>4.6659139999999999</v>
      </c>
      <c r="F476" s="460">
        <v>156.13500999999999</v>
      </c>
      <c r="G476" s="299" t="s">
        <v>148</v>
      </c>
      <c r="H476" s="299">
        <v>2016</v>
      </c>
    </row>
    <row r="477" spans="1:8" x14ac:dyDescent="0.2">
      <c r="A477" s="299" t="str">
        <f t="shared" si="11"/>
        <v>MRT2017</v>
      </c>
      <c r="B477" s="460">
        <v>221.04140000000001</v>
      </c>
      <c r="C477" s="460">
        <v>96.297039999999996</v>
      </c>
      <c r="D477" s="460">
        <v>83.725120000000004</v>
      </c>
      <c r="E477" s="460">
        <v>15.39486</v>
      </c>
      <c r="F477" s="460">
        <v>22.174927</v>
      </c>
      <c r="G477" s="299" t="s">
        <v>148</v>
      </c>
      <c r="H477" s="299">
        <v>2017</v>
      </c>
    </row>
    <row r="478" spans="1:8" x14ac:dyDescent="0.2">
      <c r="A478" s="299" t="str">
        <f t="shared" si="11"/>
        <v>MRT2018</v>
      </c>
      <c r="B478" s="460">
        <v>239.93530000000001</v>
      </c>
      <c r="C478" s="460">
        <v>101.2598</v>
      </c>
      <c r="D478" s="460">
        <v>86.083830000000006</v>
      </c>
      <c r="E478" s="460">
        <v>18.319700000000001</v>
      </c>
      <c r="G478" s="299" t="s">
        <v>148</v>
      </c>
      <c r="H478" s="299">
        <v>2018</v>
      </c>
    </row>
    <row r="479" spans="1:8" x14ac:dyDescent="0.2">
      <c r="A479" s="299" t="str">
        <f t="shared" si="11"/>
        <v>MUS2015</v>
      </c>
      <c r="B479" s="460">
        <v>666.45540000000005</v>
      </c>
      <c r="C479" s="460">
        <v>294.04820000000001</v>
      </c>
      <c r="D479" s="460">
        <v>277.74919999999997</v>
      </c>
      <c r="E479" s="460">
        <v>17.321190000000001</v>
      </c>
      <c r="G479" s="299" t="s">
        <v>150</v>
      </c>
      <c r="H479" s="299">
        <v>2015</v>
      </c>
    </row>
    <row r="480" spans="1:8" x14ac:dyDescent="0.2">
      <c r="A480" s="299" t="str">
        <f t="shared" si="11"/>
        <v>MUS2016</v>
      </c>
      <c r="B480" s="460">
        <v>698.08090000000004</v>
      </c>
      <c r="C480" s="460">
        <v>308.20729999999998</v>
      </c>
      <c r="D480" s="460">
        <v>307.94060000000002</v>
      </c>
      <c r="E480" s="460">
        <v>1.57789</v>
      </c>
      <c r="F480" s="460">
        <v>13.751778</v>
      </c>
      <c r="G480" s="299" t="s">
        <v>150</v>
      </c>
      <c r="H480" s="299">
        <v>2016</v>
      </c>
    </row>
    <row r="481" spans="1:8" x14ac:dyDescent="0.2">
      <c r="A481" s="299" t="str">
        <f t="shared" si="11"/>
        <v>MUS2017</v>
      </c>
      <c r="B481" s="460">
        <v>757.99659999999994</v>
      </c>
      <c r="C481" s="460">
        <v>328.18490000000003</v>
      </c>
      <c r="D481" s="460">
        <v>325.23500000000001</v>
      </c>
      <c r="E481" s="460">
        <v>5.5823869999999998</v>
      </c>
      <c r="G481" s="299" t="s">
        <v>150</v>
      </c>
      <c r="H481" s="299">
        <v>2017</v>
      </c>
    </row>
    <row r="482" spans="1:8" x14ac:dyDescent="0.2">
      <c r="A482" s="299" t="str">
        <f t="shared" si="11"/>
        <v>MUS2018</v>
      </c>
      <c r="B482" s="460">
        <v>827.91179999999997</v>
      </c>
      <c r="C482" s="460">
        <v>359.47379999999998</v>
      </c>
      <c r="D482" s="460">
        <v>357.2208</v>
      </c>
      <c r="E482" s="460">
        <v>4.152075</v>
      </c>
      <c r="G482" s="299" t="s">
        <v>150</v>
      </c>
      <c r="H482" s="299">
        <v>2018</v>
      </c>
    </row>
    <row r="483" spans="1:8" x14ac:dyDescent="0.2">
      <c r="A483" s="299" t="str">
        <f t="shared" si="11"/>
        <v>MWI2015</v>
      </c>
      <c r="B483" s="460">
        <v>597.53610000000003</v>
      </c>
      <c r="C483" s="460">
        <v>269.37830000000002</v>
      </c>
      <c r="D483" s="460">
        <v>171.1935</v>
      </c>
      <c r="E483" s="460">
        <v>319.68720000000002</v>
      </c>
      <c r="F483" s="460">
        <v>18.927871</v>
      </c>
      <c r="G483" s="299" t="s">
        <v>153</v>
      </c>
      <c r="H483" s="299">
        <v>2015</v>
      </c>
    </row>
    <row r="484" spans="1:8" x14ac:dyDescent="0.2">
      <c r="A484" s="299" t="str">
        <f t="shared" si="11"/>
        <v>MWI2016</v>
      </c>
      <c r="B484" s="460">
        <v>532.36800000000005</v>
      </c>
      <c r="C484" s="460">
        <v>244.01259999999999</v>
      </c>
      <c r="D484" s="460">
        <v>149.3057</v>
      </c>
      <c r="E484" s="460">
        <v>286.3646</v>
      </c>
      <c r="G484" s="299" t="s">
        <v>153</v>
      </c>
      <c r="H484" s="299">
        <v>2016</v>
      </c>
    </row>
    <row r="485" spans="1:8" x14ac:dyDescent="0.2">
      <c r="A485" s="299" t="str">
        <f t="shared" si="11"/>
        <v>MWI2017</v>
      </c>
      <c r="B485" s="460">
        <v>600.73979999999995</v>
      </c>
      <c r="C485" s="460">
        <v>299.61540000000002</v>
      </c>
      <c r="D485" s="460">
        <v>184.10290000000001</v>
      </c>
      <c r="E485" s="460">
        <v>314.98759999999999</v>
      </c>
      <c r="G485" s="299" t="s">
        <v>153</v>
      </c>
      <c r="H485" s="299">
        <v>2017</v>
      </c>
    </row>
    <row r="486" spans="1:8" x14ac:dyDescent="0.2">
      <c r="A486" s="299" t="str">
        <f t="shared" si="11"/>
        <v>MWI2018</v>
      </c>
      <c r="B486" s="460">
        <v>644.05190000000005</v>
      </c>
      <c r="C486" s="460">
        <v>302.70269999999999</v>
      </c>
      <c r="D486" s="460">
        <v>185.9999</v>
      </c>
      <c r="E486" s="460">
        <v>342.9067</v>
      </c>
      <c r="G486" s="299" t="s">
        <v>153</v>
      </c>
      <c r="H486" s="299">
        <v>2018</v>
      </c>
    </row>
    <row r="487" spans="1:8" x14ac:dyDescent="0.2">
      <c r="A487" s="299" t="str">
        <f t="shared" si="11"/>
        <v>MYS2015</v>
      </c>
      <c r="B487" s="460">
        <v>11499.95</v>
      </c>
      <c r="C487" s="460">
        <v>6130.9780000000001</v>
      </c>
      <c r="D487" s="460">
        <v>6130.6940000000004</v>
      </c>
      <c r="E487" s="460">
        <v>3.905297</v>
      </c>
      <c r="F487" s="460">
        <v>466.12817000000001</v>
      </c>
      <c r="G487" s="299" t="s">
        <v>468</v>
      </c>
      <c r="H487" s="299">
        <v>2015</v>
      </c>
    </row>
    <row r="488" spans="1:8" x14ac:dyDescent="0.2">
      <c r="A488" s="299" t="str">
        <f t="shared" si="11"/>
        <v>MYS2016</v>
      </c>
      <c r="B488" s="460">
        <v>11111.37</v>
      </c>
      <c r="C488" s="460">
        <v>5693.6459999999997</v>
      </c>
      <c r="D488" s="460">
        <v>5693.4520000000002</v>
      </c>
      <c r="E488" s="460">
        <v>2.3305129999999998</v>
      </c>
      <c r="F488" s="460">
        <v>450.22062</v>
      </c>
      <c r="G488" s="299" t="s">
        <v>468</v>
      </c>
      <c r="H488" s="299">
        <v>2016</v>
      </c>
    </row>
    <row r="489" spans="1:8" x14ac:dyDescent="0.2">
      <c r="A489" s="299" t="str">
        <f t="shared" si="11"/>
        <v>MYS2017</v>
      </c>
      <c r="B489" s="460">
        <v>11841.09</v>
      </c>
      <c r="C489" s="460">
        <v>6140.9290000000001</v>
      </c>
      <c r="D489" s="460">
        <v>6140.61</v>
      </c>
      <c r="E489" s="460">
        <v>2.7917779999999999</v>
      </c>
      <c r="F489" s="460">
        <v>436.74754000000001</v>
      </c>
      <c r="G489" s="299" t="s">
        <v>468</v>
      </c>
      <c r="H489" s="299">
        <v>2017</v>
      </c>
    </row>
    <row r="490" spans="1:8" x14ac:dyDescent="0.2">
      <c r="A490" s="299" t="str">
        <f t="shared" si="11"/>
        <v>MYS2018</v>
      </c>
      <c r="B490" s="460">
        <v>13469.31</v>
      </c>
      <c r="C490" s="460">
        <v>6894.1329999999998</v>
      </c>
      <c r="D490" s="460">
        <v>6893.7560000000003</v>
      </c>
      <c r="E490" s="460">
        <v>1.725617</v>
      </c>
      <c r="F490" s="460">
        <v>534.65467000000001</v>
      </c>
      <c r="G490" s="299" t="s">
        <v>468</v>
      </c>
      <c r="H490" s="299">
        <v>2018</v>
      </c>
    </row>
    <row r="491" spans="1:8" x14ac:dyDescent="0.2">
      <c r="A491" s="299" t="str">
        <f t="shared" si="11"/>
        <v>NAM2015</v>
      </c>
      <c r="B491" s="460">
        <v>1131.2719999999999</v>
      </c>
      <c r="C491" s="460">
        <v>490.13639999999998</v>
      </c>
      <c r="D491" s="460">
        <v>477.51569999999998</v>
      </c>
      <c r="E491" s="460">
        <v>64.615039999999993</v>
      </c>
      <c r="F491" s="460">
        <v>47.815441</v>
      </c>
      <c r="G491" s="299" t="s">
        <v>155</v>
      </c>
      <c r="H491" s="299">
        <v>2015</v>
      </c>
    </row>
    <row r="492" spans="1:8" x14ac:dyDescent="0.2">
      <c r="A492" s="299" t="str">
        <f t="shared" si="11"/>
        <v>NAM2016</v>
      </c>
      <c r="B492" s="460">
        <v>999.51459999999997</v>
      </c>
      <c r="C492" s="460">
        <v>483.42689999999999</v>
      </c>
      <c r="D492" s="460">
        <v>468.74220000000003</v>
      </c>
      <c r="E492" s="460">
        <v>69.676429999999996</v>
      </c>
      <c r="F492" s="460">
        <v>42.812140999999997</v>
      </c>
      <c r="G492" s="299" t="s">
        <v>155</v>
      </c>
      <c r="H492" s="299">
        <v>2016</v>
      </c>
    </row>
    <row r="493" spans="1:8" x14ac:dyDescent="0.2">
      <c r="A493" s="299" t="str">
        <f t="shared" si="11"/>
        <v>NAM2017</v>
      </c>
      <c r="B493" s="460">
        <v>1124.53</v>
      </c>
      <c r="C493" s="460">
        <v>540.64329999999995</v>
      </c>
      <c r="D493" s="460">
        <v>522.94719999999995</v>
      </c>
      <c r="E493" s="460">
        <v>76.184449999999998</v>
      </c>
      <c r="F493" s="460">
        <v>37.148758000000001</v>
      </c>
      <c r="G493" s="299" t="s">
        <v>155</v>
      </c>
      <c r="H493" s="299">
        <v>2017</v>
      </c>
    </row>
    <row r="494" spans="1:8" x14ac:dyDescent="0.2">
      <c r="A494" s="299" t="str">
        <f t="shared" si="11"/>
        <v>NAM2018</v>
      </c>
      <c r="B494" s="460">
        <v>1154.3389999999999</v>
      </c>
      <c r="C494" s="460">
        <v>553.84400000000005</v>
      </c>
      <c r="D494" s="460">
        <v>531.67759999999998</v>
      </c>
      <c r="E494" s="460">
        <v>53.222020000000001</v>
      </c>
      <c r="G494" s="299" t="s">
        <v>155</v>
      </c>
      <c r="H494" s="299">
        <v>2018</v>
      </c>
    </row>
    <row r="495" spans="1:8" x14ac:dyDescent="0.2">
      <c r="A495" s="299" t="str">
        <f t="shared" si="11"/>
        <v>NER2015</v>
      </c>
      <c r="B495" s="460">
        <v>517.60159999999996</v>
      </c>
      <c r="C495" s="460">
        <v>180.5821</v>
      </c>
      <c r="D495" s="460">
        <v>107.5992</v>
      </c>
      <c r="E495" s="460">
        <v>127.0996</v>
      </c>
      <c r="F495" s="460">
        <v>38.683401000000003</v>
      </c>
      <c r="G495" s="299" t="s">
        <v>157</v>
      </c>
      <c r="H495" s="299">
        <v>2015</v>
      </c>
    </row>
    <row r="496" spans="1:8" x14ac:dyDescent="0.2">
      <c r="A496" s="299" t="str">
        <f t="shared" si="11"/>
        <v>NER2016</v>
      </c>
      <c r="B496" s="460">
        <v>468.93239999999997</v>
      </c>
      <c r="C496" s="460">
        <v>174.60470000000001</v>
      </c>
      <c r="D496" s="460">
        <v>113.8981</v>
      </c>
      <c r="E496" s="460">
        <v>69.220050000000001</v>
      </c>
      <c r="F496" s="460">
        <v>29.514469999999999</v>
      </c>
      <c r="G496" s="299" t="s">
        <v>157</v>
      </c>
      <c r="H496" s="299">
        <v>2016</v>
      </c>
    </row>
    <row r="497" spans="1:8" x14ac:dyDescent="0.2">
      <c r="A497" s="299" t="str">
        <f t="shared" si="11"/>
        <v>NER2017</v>
      </c>
      <c r="B497" s="460">
        <v>622.15110000000004</v>
      </c>
      <c r="C497" s="460">
        <v>285.37889999999999</v>
      </c>
      <c r="D497" s="460">
        <v>210.33439999999999</v>
      </c>
      <c r="E497" s="460">
        <v>90.068079999999995</v>
      </c>
      <c r="F497" s="460">
        <v>26.983744999999999</v>
      </c>
      <c r="G497" s="299" t="s">
        <v>157</v>
      </c>
      <c r="H497" s="299">
        <v>2017</v>
      </c>
    </row>
    <row r="498" spans="1:8" x14ac:dyDescent="0.2">
      <c r="A498" s="299" t="str">
        <f t="shared" si="11"/>
        <v>NER2018</v>
      </c>
      <c r="B498" s="460">
        <v>681.33219999999994</v>
      </c>
      <c r="C498" s="460">
        <v>295.4649</v>
      </c>
      <c r="D498" s="460">
        <v>226.20330000000001</v>
      </c>
      <c r="E498" s="460">
        <v>80.178330000000003</v>
      </c>
      <c r="F498" s="460">
        <v>44.058340999999999</v>
      </c>
      <c r="G498" s="299" t="s">
        <v>157</v>
      </c>
      <c r="H498" s="299">
        <v>2018</v>
      </c>
    </row>
    <row r="499" spans="1:8" x14ac:dyDescent="0.2">
      <c r="A499" s="299" t="str">
        <f t="shared" si="11"/>
        <v>NGA2015</v>
      </c>
      <c r="B499" s="460">
        <v>17715.72</v>
      </c>
      <c r="C499" s="460">
        <v>3401.4749999999999</v>
      </c>
      <c r="D499" s="460">
        <v>2913.482</v>
      </c>
      <c r="E499" s="460">
        <v>1756.645</v>
      </c>
      <c r="F499" s="460">
        <v>176.27755999999999</v>
      </c>
      <c r="G499" s="299" t="s">
        <v>159</v>
      </c>
      <c r="H499" s="299">
        <v>2015</v>
      </c>
    </row>
    <row r="500" spans="1:8" x14ac:dyDescent="0.2">
      <c r="A500" s="299" t="str">
        <f t="shared" si="11"/>
        <v>NGA2016</v>
      </c>
      <c r="B500" s="460">
        <v>14760.55</v>
      </c>
      <c r="C500" s="460">
        <v>2318.7849999999999</v>
      </c>
      <c r="D500" s="460">
        <v>1921.961</v>
      </c>
      <c r="E500" s="460">
        <v>1522.864</v>
      </c>
      <c r="F500" s="460">
        <v>768.17137000000002</v>
      </c>
      <c r="G500" s="299" t="s">
        <v>159</v>
      </c>
      <c r="H500" s="299">
        <v>2016</v>
      </c>
    </row>
    <row r="501" spans="1:8" x14ac:dyDescent="0.2">
      <c r="A501" s="299" t="str">
        <f t="shared" si="11"/>
        <v>NGA2017</v>
      </c>
      <c r="B501" s="460">
        <v>14111.27</v>
      </c>
      <c r="C501" s="460">
        <v>2042.7919999999999</v>
      </c>
      <c r="D501" s="460">
        <v>2001.4369999999999</v>
      </c>
      <c r="E501" s="460">
        <v>1116.3309999999999</v>
      </c>
      <c r="F501" s="460">
        <v>494.33857999999998</v>
      </c>
      <c r="G501" s="299" t="s">
        <v>159</v>
      </c>
      <c r="H501" s="299">
        <v>2017</v>
      </c>
    </row>
    <row r="502" spans="1:8" x14ac:dyDescent="0.2">
      <c r="A502" s="299" t="str">
        <f t="shared" si="11"/>
        <v>NGA2018</v>
      </c>
      <c r="B502" s="460">
        <v>16405.189999999999</v>
      </c>
      <c r="C502" s="460">
        <v>2489.2739999999999</v>
      </c>
      <c r="D502" s="460">
        <v>2438.8809999999999</v>
      </c>
      <c r="E502" s="460">
        <v>1290.002</v>
      </c>
      <c r="G502" s="299" t="s">
        <v>159</v>
      </c>
      <c r="H502" s="299">
        <v>2018</v>
      </c>
    </row>
    <row r="503" spans="1:8" x14ac:dyDescent="0.2">
      <c r="A503" s="299" t="str">
        <f t="shared" si="11"/>
        <v>NIC2015</v>
      </c>
      <c r="B503" s="460">
        <v>1015.819</v>
      </c>
      <c r="C503" s="460">
        <v>609.71669999999995</v>
      </c>
      <c r="D503" s="460">
        <v>569.69569999999999</v>
      </c>
      <c r="E503" s="460">
        <v>63.417020000000001</v>
      </c>
      <c r="F503" s="460">
        <v>61.352279000000003</v>
      </c>
      <c r="G503" s="299" t="s">
        <v>241</v>
      </c>
      <c r="H503" s="299">
        <v>2015</v>
      </c>
    </row>
    <row r="504" spans="1:8" x14ac:dyDescent="0.2">
      <c r="A504" s="299" t="str">
        <f t="shared" si="11"/>
        <v>NIC2016</v>
      </c>
      <c r="B504" s="460">
        <v>1069.3689999999999</v>
      </c>
      <c r="C504" s="460">
        <v>653.90610000000004</v>
      </c>
      <c r="D504" s="460">
        <v>617.96630000000005</v>
      </c>
      <c r="E504" s="460">
        <v>55.81138</v>
      </c>
      <c r="F504" s="460">
        <v>50.502806999999997</v>
      </c>
      <c r="G504" s="299" t="s">
        <v>241</v>
      </c>
      <c r="H504" s="299">
        <v>2016</v>
      </c>
    </row>
    <row r="505" spans="1:8" x14ac:dyDescent="0.2">
      <c r="A505" s="299" t="str">
        <f t="shared" si="11"/>
        <v>NIC2017</v>
      </c>
      <c r="B505" s="460">
        <v>1151.3620000000001</v>
      </c>
      <c r="C505" s="460">
        <v>714.79010000000005</v>
      </c>
      <c r="D505" s="460">
        <v>669.60680000000002</v>
      </c>
      <c r="E505" s="460">
        <v>69.448040000000006</v>
      </c>
      <c r="F505" s="460">
        <v>45.044744000000001</v>
      </c>
      <c r="G505" s="299" t="s">
        <v>241</v>
      </c>
      <c r="H505" s="299">
        <v>2017</v>
      </c>
    </row>
    <row r="506" spans="1:8" x14ac:dyDescent="0.2">
      <c r="A506" s="299" t="str">
        <f t="shared" si="11"/>
        <v>NIC2018</v>
      </c>
      <c r="B506" s="460">
        <v>1123.4849999999999</v>
      </c>
      <c r="C506" s="460">
        <v>714.53579999999999</v>
      </c>
      <c r="D506" s="460">
        <v>671.99839999999995</v>
      </c>
      <c r="E506" s="460">
        <v>60.783279999999998</v>
      </c>
      <c r="F506" s="460">
        <v>47.306413999999997</v>
      </c>
      <c r="G506" s="299" t="s">
        <v>241</v>
      </c>
      <c r="H506" s="299">
        <v>2018</v>
      </c>
    </row>
    <row r="507" spans="1:8" x14ac:dyDescent="0.2">
      <c r="A507" s="299" t="str">
        <f t="shared" si="11"/>
        <v>NIU2015</v>
      </c>
      <c r="B507" s="460">
        <v>2.0686230000000001</v>
      </c>
      <c r="C507" s="460">
        <v>2.019075</v>
      </c>
      <c r="D507" s="460">
        <v>1.3528830000000001</v>
      </c>
      <c r="E507" s="460">
        <v>0.69848730000000003</v>
      </c>
      <c r="F507" s="460">
        <v>0</v>
      </c>
      <c r="G507" s="299" t="s">
        <v>470</v>
      </c>
      <c r="H507" s="299">
        <v>2015</v>
      </c>
    </row>
    <row r="508" spans="1:8" x14ac:dyDescent="0.2">
      <c r="A508" s="299" t="str">
        <f t="shared" si="11"/>
        <v>NIU2016</v>
      </c>
      <c r="B508" s="460">
        <v>1.922283</v>
      </c>
      <c r="C508" s="460">
        <v>1.641643</v>
      </c>
      <c r="D508" s="460">
        <v>1.3418509999999999</v>
      </c>
      <c r="E508" s="460">
        <v>0.5629731</v>
      </c>
      <c r="F508" s="460">
        <v>0</v>
      </c>
      <c r="G508" s="299" t="s">
        <v>470</v>
      </c>
      <c r="H508" s="299">
        <v>2016</v>
      </c>
    </row>
    <row r="509" spans="1:8" x14ac:dyDescent="0.2">
      <c r="A509" s="299" t="str">
        <f t="shared" si="11"/>
        <v>NIU2017</v>
      </c>
      <c r="B509" s="460">
        <v>2.2857479999999999</v>
      </c>
      <c r="C509" s="460">
        <v>1.96923</v>
      </c>
      <c r="D509" s="460">
        <v>1.4588829999999999</v>
      </c>
      <c r="E509" s="460">
        <v>0.80829770000000001</v>
      </c>
      <c r="F509" s="460">
        <v>0</v>
      </c>
      <c r="G509" s="299" t="s">
        <v>470</v>
      </c>
      <c r="H509" s="299">
        <v>2017</v>
      </c>
    </row>
    <row r="510" spans="1:8" x14ac:dyDescent="0.2">
      <c r="A510" s="299" t="str">
        <f t="shared" si="11"/>
        <v>NIU2018</v>
      </c>
      <c r="B510" s="460">
        <v>2.5055879999999999</v>
      </c>
      <c r="C510" s="460">
        <v>2.2454339999999999</v>
      </c>
      <c r="D510" s="460">
        <v>1.665144</v>
      </c>
      <c r="E510" s="460">
        <v>0.81903519999999996</v>
      </c>
      <c r="F510" s="460">
        <v>0</v>
      </c>
      <c r="G510" s="299" t="s">
        <v>470</v>
      </c>
      <c r="H510" s="299">
        <v>2018</v>
      </c>
    </row>
    <row r="511" spans="1:8" x14ac:dyDescent="0.2">
      <c r="A511" s="299" t="str">
        <f t="shared" si="11"/>
        <v>NLD2015</v>
      </c>
      <c r="B511" s="460">
        <v>79037.539999999994</v>
      </c>
      <c r="C511" s="460">
        <v>51429.27</v>
      </c>
      <c r="D511" s="460">
        <v>51429.27</v>
      </c>
      <c r="E511" s="460">
        <v>0</v>
      </c>
      <c r="G511" s="299" t="s">
        <v>385</v>
      </c>
      <c r="H511" s="299">
        <v>2015</v>
      </c>
    </row>
    <row r="512" spans="1:8" x14ac:dyDescent="0.2">
      <c r="A512" s="299" t="str">
        <f t="shared" si="11"/>
        <v>NLD2016</v>
      </c>
      <c r="B512" s="460">
        <v>80393.3</v>
      </c>
      <c r="C512" s="460">
        <v>51464.9</v>
      </c>
      <c r="D512" s="460">
        <v>51444.38</v>
      </c>
      <c r="E512" s="460">
        <v>20.521999999999998</v>
      </c>
      <c r="G512" s="299" t="s">
        <v>385</v>
      </c>
      <c r="H512" s="299">
        <v>2016</v>
      </c>
    </row>
    <row r="513" spans="1:8" x14ac:dyDescent="0.2">
      <c r="A513" s="299" t="str">
        <f t="shared" si="11"/>
        <v>NLD2017</v>
      </c>
      <c r="B513" s="460">
        <v>83885.56</v>
      </c>
      <c r="C513" s="460">
        <v>54130.76</v>
      </c>
      <c r="D513" s="460">
        <v>54108.22</v>
      </c>
      <c r="E513" s="460">
        <v>22.537130000000001</v>
      </c>
      <c r="G513" s="299" t="s">
        <v>385</v>
      </c>
      <c r="H513" s="299">
        <v>2017</v>
      </c>
    </row>
    <row r="514" spans="1:8" x14ac:dyDescent="0.2">
      <c r="A514" s="299" t="str">
        <f t="shared" ref="A514:A577" si="12">CONCATENATE(G514,H514)</f>
        <v>NLD2018</v>
      </c>
      <c r="B514" s="460">
        <v>91172.02</v>
      </c>
      <c r="C514" s="460">
        <v>59208.81</v>
      </c>
      <c r="D514" s="460">
        <v>59185.54</v>
      </c>
      <c r="E514" s="460">
        <v>23.264800000000001</v>
      </c>
      <c r="G514" s="299" t="s">
        <v>385</v>
      </c>
      <c r="H514" s="299">
        <v>2018</v>
      </c>
    </row>
    <row r="515" spans="1:8" x14ac:dyDescent="0.2">
      <c r="A515" s="299" t="str">
        <f t="shared" si="12"/>
        <v>NOR2015</v>
      </c>
      <c r="B515" s="460">
        <v>39087.360000000001</v>
      </c>
      <c r="C515" s="460">
        <v>33425.4</v>
      </c>
      <c r="D515" s="460">
        <v>33425.4</v>
      </c>
      <c r="E515" s="460">
        <v>0</v>
      </c>
      <c r="F515" s="460">
        <v>1900.5063</v>
      </c>
      <c r="G515" s="299" t="s">
        <v>387</v>
      </c>
      <c r="H515" s="299">
        <v>2015</v>
      </c>
    </row>
    <row r="516" spans="1:8" x14ac:dyDescent="0.2">
      <c r="A516" s="299" t="str">
        <f t="shared" si="12"/>
        <v>NOR2016</v>
      </c>
      <c r="B516" s="460">
        <v>39063.57</v>
      </c>
      <c r="C516" s="460">
        <v>33352.26</v>
      </c>
      <c r="D516" s="460">
        <v>33352.26</v>
      </c>
      <c r="E516" s="460">
        <v>0</v>
      </c>
      <c r="F516" s="460">
        <v>2060.8332999999998</v>
      </c>
      <c r="G516" s="299" t="s">
        <v>387</v>
      </c>
      <c r="H516" s="299">
        <v>2016</v>
      </c>
    </row>
    <row r="517" spans="1:8" x14ac:dyDescent="0.2">
      <c r="A517" s="299" t="str">
        <f t="shared" si="12"/>
        <v>NOR2017</v>
      </c>
      <c r="B517" s="460">
        <v>41097.879999999997</v>
      </c>
      <c r="C517" s="460">
        <v>34982.79</v>
      </c>
      <c r="D517" s="460">
        <v>34982.79</v>
      </c>
      <c r="E517" s="460">
        <v>0</v>
      </c>
      <c r="F517" s="460">
        <v>1976.7479000000001</v>
      </c>
      <c r="G517" s="299" t="s">
        <v>387</v>
      </c>
      <c r="H517" s="299">
        <v>2017</v>
      </c>
    </row>
    <row r="518" spans="1:8" x14ac:dyDescent="0.2">
      <c r="A518" s="299" t="str">
        <f t="shared" si="12"/>
        <v>NOR2018</v>
      </c>
      <c r="B518" s="460">
        <v>43631.11</v>
      </c>
      <c r="C518" s="460">
        <v>37227.42</v>
      </c>
      <c r="D518" s="460">
        <v>37227.42</v>
      </c>
      <c r="E518" s="460">
        <v>0</v>
      </c>
      <c r="F518" s="460">
        <v>2092.4684999999999</v>
      </c>
      <c r="G518" s="299" t="s">
        <v>387</v>
      </c>
      <c r="H518" s="299">
        <v>2018</v>
      </c>
    </row>
    <row r="519" spans="1:8" x14ac:dyDescent="0.2">
      <c r="A519" s="299" t="str">
        <f t="shared" si="12"/>
        <v>NPL2015</v>
      </c>
      <c r="B519" s="460">
        <v>1293.683</v>
      </c>
      <c r="C519" s="460">
        <v>281.80349999999999</v>
      </c>
      <c r="D519" s="460">
        <v>215.20009999999999</v>
      </c>
      <c r="E519" s="460">
        <v>185.94390000000001</v>
      </c>
      <c r="F519" s="460">
        <v>63.774704999999997</v>
      </c>
      <c r="G519" s="299" t="s">
        <v>433</v>
      </c>
      <c r="H519" s="299">
        <v>2015</v>
      </c>
    </row>
    <row r="520" spans="1:8" x14ac:dyDescent="0.2">
      <c r="A520" s="299" t="str">
        <f t="shared" si="12"/>
        <v>NPL2016</v>
      </c>
      <c r="B520" s="460">
        <v>1317.3530000000001</v>
      </c>
      <c r="C520" s="460">
        <v>285.75569999999999</v>
      </c>
      <c r="D520" s="460">
        <v>244.7585</v>
      </c>
      <c r="E520" s="460">
        <v>154.2337</v>
      </c>
      <c r="F520" s="460">
        <v>90.344972999999996</v>
      </c>
      <c r="G520" s="299" t="s">
        <v>433</v>
      </c>
      <c r="H520" s="299">
        <v>2016</v>
      </c>
    </row>
    <row r="521" spans="1:8" x14ac:dyDescent="0.2">
      <c r="A521" s="299" t="str">
        <f t="shared" si="12"/>
        <v>NPL2017</v>
      </c>
      <c r="B521" s="460">
        <v>1404.462</v>
      </c>
      <c r="C521" s="460">
        <v>352.97160000000002</v>
      </c>
      <c r="D521" s="460">
        <v>313.6936</v>
      </c>
      <c r="E521" s="460">
        <v>214.47280000000001</v>
      </c>
      <c r="F521" s="460">
        <v>137.91515999999999</v>
      </c>
      <c r="G521" s="299" t="s">
        <v>433</v>
      </c>
      <c r="H521" s="299">
        <v>2017</v>
      </c>
    </row>
    <row r="522" spans="1:8" x14ac:dyDescent="0.2">
      <c r="A522" s="299" t="str">
        <f t="shared" si="12"/>
        <v>NPL2018</v>
      </c>
      <c r="B522" s="460">
        <v>1625.24</v>
      </c>
      <c r="C522" s="460">
        <v>450.5521</v>
      </c>
      <c r="D522" s="460">
        <v>407.08449999999999</v>
      </c>
      <c r="E522" s="460">
        <v>147.70779999999999</v>
      </c>
      <c r="G522" s="299" t="s">
        <v>433</v>
      </c>
      <c r="H522" s="299">
        <v>2018</v>
      </c>
    </row>
    <row r="523" spans="1:8" x14ac:dyDescent="0.2">
      <c r="A523" s="299" t="str">
        <f t="shared" si="12"/>
        <v>NRU2015</v>
      </c>
      <c r="B523" s="460">
        <v>11.870329999999999</v>
      </c>
      <c r="C523" s="460">
        <v>11.05832</v>
      </c>
      <c r="D523" s="460">
        <v>6.4642109999999997</v>
      </c>
      <c r="E523" s="460">
        <v>4.9307800000000004</v>
      </c>
      <c r="F523" s="460">
        <v>8.3540539999999996E-2</v>
      </c>
      <c r="G523" s="299" t="s">
        <v>472</v>
      </c>
      <c r="H523" s="299">
        <v>2015</v>
      </c>
    </row>
    <row r="524" spans="1:8" x14ac:dyDescent="0.2">
      <c r="A524" s="299" t="str">
        <f t="shared" si="12"/>
        <v>NRU2016</v>
      </c>
      <c r="B524" s="460">
        <v>14.345929999999999</v>
      </c>
      <c r="C524" s="460">
        <v>13.226929999999999</v>
      </c>
      <c r="D524" s="460">
        <v>9.8325089999999999</v>
      </c>
      <c r="E524" s="460">
        <v>3.9638559999999998</v>
      </c>
      <c r="F524" s="460">
        <v>7.4430624999999999</v>
      </c>
      <c r="G524" s="299" t="s">
        <v>472</v>
      </c>
      <c r="H524" s="299">
        <v>2016</v>
      </c>
    </row>
    <row r="525" spans="1:8" x14ac:dyDescent="0.2">
      <c r="A525" s="299" t="str">
        <f t="shared" si="12"/>
        <v>NRU2017</v>
      </c>
      <c r="B525" s="460">
        <v>12.87275</v>
      </c>
      <c r="C525" s="460">
        <v>11.56349</v>
      </c>
      <c r="D525" s="460">
        <v>9.3678290000000004</v>
      </c>
      <c r="E525" s="460">
        <v>2.9478800000000001</v>
      </c>
      <c r="F525" s="460">
        <v>1.480604</v>
      </c>
      <c r="G525" s="299" t="s">
        <v>472</v>
      </c>
      <c r="H525" s="299">
        <v>2017</v>
      </c>
    </row>
    <row r="526" spans="1:8" x14ac:dyDescent="0.2">
      <c r="A526" s="299" t="str">
        <f t="shared" si="12"/>
        <v>NRU2018</v>
      </c>
      <c r="B526" s="460">
        <v>10.30509</v>
      </c>
      <c r="C526" s="460">
        <v>9.1715160000000004</v>
      </c>
      <c r="D526" s="460">
        <v>8.5287509999999997</v>
      </c>
      <c r="E526" s="460">
        <v>1.253045</v>
      </c>
      <c r="G526" s="299" t="s">
        <v>472</v>
      </c>
      <c r="H526" s="299">
        <v>2018</v>
      </c>
    </row>
    <row r="527" spans="1:8" x14ac:dyDescent="0.2">
      <c r="A527" s="299" t="str">
        <f t="shared" si="12"/>
        <v>NZL2015</v>
      </c>
      <c r="B527" s="460">
        <v>16530.509999999998</v>
      </c>
      <c r="C527" s="460">
        <v>12347.27</v>
      </c>
      <c r="D527" s="460">
        <v>12347.27</v>
      </c>
      <c r="G527" s="299" t="s">
        <v>474</v>
      </c>
      <c r="H527" s="299">
        <v>2015</v>
      </c>
    </row>
    <row r="528" spans="1:8" x14ac:dyDescent="0.2">
      <c r="A528" s="299" t="str">
        <f t="shared" si="12"/>
        <v>NZL2016</v>
      </c>
      <c r="B528" s="460">
        <v>17455.830000000002</v>
      </c>
      <c r="C528" s="460">
        <v>13013.94</v>
      </c>
      <c r="D528" s="460">
        <v>13013.94</v>
      </c>
      <c r="G528" s="299" t="s">
        <v>474</v>
      </c>
      <c r="H528" s="299">
        <v>2016</v>
      </c>
    </row>
    <row r="529" spans="1:8" x14ac:dyDescent="0.2">
      <c r="A529" s="299" t="str">
        <f t="shared" si="12"/>
        <v>NZL2017</v>
      </c>
      <c r="B529" s="460">
        <v>18527.849999999999</v>
      </c>
      <c r="C529" s="460">
        <v>13980.31</v>
      </c>
      <c r="D529" s="460">
        <v>13980.31</v>
      </c>
      <c r="G529" s="299" t="s">
        <v>474</v>
      </c>
      <c r="H529" s="299">
        <v>2017</v>
      </c>
    </row>
    <row r="530" spans="1:8" x14ac:dyDescent="0.2">
      <c r="A530" s="299" t="str">
        <f t="shared" si="12"/>
        <v>NZL2018</v>
      </c>
      <c r="B530" s="460">
        <v>19150.21</v>
      </c>
      <c r="C530" s="460">
        <v>14330.31</v>
      </c>
      <c r="D530" s="460">
        <v>14330.31</v>
      </c>
      <c r="G530" s="299" t="s">
        <v>474</v>
      </c>
      <c r="H530" s="299">
        <v>2018</v>
      </c>
    </row>
    <row r="531" spans="1:8" x14ac:dyDescent="0.2">
      <c r="A531" s="299" t="str">
        <f t="shared" si="12"/>
        <v>OMN2015</v>
      </c>
      <c r="B531" s="460">
        <v>2966.623</v>
      </c>
      <c r="C531" s="460">
        <v>2652.6309999999999</v>
      </c>
      <c r="D531" s="460">
        <v>2652.6309999999999</v>
      </c>
      <c r="G531" s="299" t="s">
        <v>289</v>
      </c>
      <c r="H531" s="299">
        <v>2015</v>
      </c>
    </row>
    <row r="532" spans="1:8" x14ac:dyDescent="0.2">
      <c r="A532" s="299" t="str">
        <f t="shared" si="12"/>
        <v>OMN2016</v>
      </c>
      <c r="B532" s="460">
        <v>2854.1190000000001</v>
      </c>
      <c r="C532" s="460">
        <v>2535.9479999999999</v>
      </c>
      <c r="D532" s="460">
        <v>2535.9479999999999</v>
      </c>
      <c r="E532" s="460">
        <v>0</v>
      </c>
      <c r="G532" s="299" t="s">
        <v>289</v>
      </c>
      <c r="H532" s="299">
        <v>2016</v>
      </c>
    </row>
    <row r="533" spans="1:8" x14ac:dyDescent="0.2">
      <c r="A533" s="299" t="str">
        <f t="shared" si="12"/>
        <v>OMN2017</v>
      </c>
      <c r="B533" s="460">
        <v>2805.239</v>
      </c>
      <c r="C533" s="460">
        <v>2444.8440000000001</v>
      </c>
      <c r="D533" s="460">
        <v>2444.8440000000001</v>
      </c>
      <c r="E533" s="460">
        <v>0</v>
      </c>
      <c r="G533" s="299" t="s">
        <v>289</v>
      </c>
      <c r="H533" s="299">
        <v>2017</v>
      </c>
    </row>
    <row r="534" spans="1:8" x14ac:dyDescent="0.2">
      <c r="A534" s="299" t="str">
        <f t="shared" si="12"/>
        <v>OMN2018</v>
      </c>
      <c r="B534" s="460">
        <v>3275.498</v>
      </c>
      <c r="C534" s="460">
        <v>2871.261</v>
      </c>
      <c r="D534" s="460">
        <v>2871.261</v>
      </c>
      <c r="E534" s="460">
        <v>0</v>
      </c>
      <c r="G534" s="299" t="s">
        <v>289</v>
      </c>
      <c r="H534" s="299">
        <v>2018</v>
      </c>
    </row>
    <row r="535" spans="1:8" x14ac:dyDescent="0.2">
      <c r="A535" s="299" t="str">
        <f t="shared" si="12"/>
        <v>PAK2015</v>
      </c>
      <c r="B535" s="460">
        <v>7175.5559999999996</v>
      </c>
      <c r="C535" s="460">
        <v>1976.116</v>
      </c>
      <c r="D535" s="460">
        <v>1976.116</v>
      </c>
      <c r="E535" s="460">
        <v>269.89749999999998</v>
      </c>
      <c r="G535" s="299" t="s">
        <v>291</v>
      </c>
      <c r="H535" s="299">
        <v>2015</v>
      </c>
    </row>
    <row r="536" spans="1:8" x14ac:dyDescent="0.2">
      <c r="A536" s="299" t="str">
        <f t="shared" si="12"/>
        <v>PAK2016</v>
      </c>
      <c r="B536" s="460">
        <v>7923.5079999999998</v>
      </c>
      <c r="C536" s="460">
        <v>2276.9690000000001</v>
      </c>
      <c r="D536" s="460">
        <v>2276.9690000000001</v>
      </c>
      <c r="E536" s="460">
        <v>145.1764</v>
      </c>
      <c r="F536" s="460">
        <v>738.43323999999996</v>
      </c>
      <c r="G536" s="299" t="s">
        <v>291</v>
      </c>
      <c r="H536" s="299">
        <v>2016</v>
      </c>
    </row>
    <row r="537" spans="1:8" x14ac:dyDescent="0.2">
      <c r="A537" s="299" t="str">
        <f t="shared" si="12"/>
        <v>PAK2017</v>
      </c>
      <c r="B537" s="460">
        <v>8785.5249999999996</v>
      </c>
      <c r="C537" s="460">
        <v>2774.9140000000002</v>
      </c>
      <c r="D537" s="460">
        <v>2774.9140000000002</v>
      </c>
      <c r="E537" s="460">
        <v>153.07929999999999</v>
      </c>
      <c r="G537" s="299" t="s">
        <v>291</v>
      </c>
      <c r="H537" s="299">
        <v>2017</v>
      </c>
    </row>
    <row r="538" spans="1:8" x14ac:dyDescent="0.2">
      <c r="A538" s="299" t="str">
        <f t="shared" si="12"/>
        <v>PAK2018</v>
      </c>
      <c r="B538" s="460">
        <v>9098.8919999999998</v>
      </c>
      <c r="C538" s="460">
        <v>3233.3510000000001</v>
      </c>
      <c r="D538" s="460">
        <v>3233.3510000000001</v>
      </c>
      <c r="E538" s="460">
        <v>54.52946</v>
      </c>
      <c r="G538" s="299" t="s">
        <v>291</v>
      </c>
      <c r="H538" s="299">
        <v>2018</v>
      </c>
    </row>
    <row r="539" spans="1:8" x14ac:dyDescent="0.2">
      <c r="A539" s="299" t="str">
        <f t="shared" si="12"/>
        <v>PAN2015</v>
      </c>
      <c r="B539" s="460">
        <v>3683.14</v>
      </c>
      <c r="C539" s="460">
        <v>2328.1669999999999</v>
      </c>
      <c r="D539" s="460">
        <v>2300.1179999999999</v>
      </c>
      <c r="E539" s="460">
        <v>30.518740000000001</v>
      </c>
      <c r="F539" s="460">
        <v>819.54759000000001</v>
      </c>
      <c r="G539" s="299" t="s">
        <v>243</v>
      </c>
      <c r="H539" s="299">
        <v>2015</v>
      </c>
    </row>
    <row r="540" spans="1:8" x14ac:dyDescent="0.2">
      <c r="A540" s="299" t="str">
        <f t="shared" si="12"/>
        <v>PAN2016</v>
      </c>
      <c r="B540" s="460">
        <v>4239.9160000000002</v>
      </c>
      <c r="C540" s="460">
        <v>2781.2060000000001</v>
      </c>
      <c r="D540" s="460">
        <v>2753.97</v>
      </c>
      <c r="E540" s="460">
        <v>30.594449999999998</v>
      </c>
      <c r="F540" s="460">
        <v>457.64062999999999</v>
      </c>
      <c r="G540" s="299" t="s">
        <v>243</v>
      </c>
      <c r="H540" s="299">
        <v>2016</v>
      </c>
    </row>
    <row r="541" spans="1:8" x14ac:dyDescent="0.2">
      <c r="A541" s="299" t="str">
        <f t="shared" si="12"/>
        <v>PAN2017</v>
      </c>
      <c r="B541" s="460">
        <v>4297.0630000000001</v>
      </c>
      <c r="C541" s="460">
        <v>2751.4059999999999</v>
      </c>
      <c r="D541" s="460">
        <v>2732.68</v>
      </c>
      <c r="E541" s="460">
        <v>21.185939999999999</v>
      </c>
      <c r="F541" s="460">
        <v>523.04413</v>
      </c>
      <c r="G541" s="299" t="s">
        <v>243</v>
      </c>
      <c r="H541" s="299">
        <v>2017</v>
      </c>
    </row>
    <row r="542" spans="1:8" x14ac:dyDescent="0.2">
      <c r="A542" s="299" t="str">
        <f t="shared" si="12"/>
        <v>PAN2018</v>
      </c>
      <c r="B542" s="460">
        <v>4726.7960000000003</v>
      </c>
      <c r="C542" s="460">
        <v>3048.3449999999998</v>
      </c>
      <c r="D542" s="460">
        <v>3020.5309999999999</v>
      </c>
      <c r="E542" s="460">
        <v>31.851649999999999</v>
      </c>
      <c r="F542" s="460">
        <v>555.50392999999997</v>
      </c>
      <c r="G542" s="299" t="s">
        <v>243</v>
      </c>
      <c r="H542" s="299">
        <v>2018</v>
      </c>
    </row>
    <row r="543" spans="1:8" x14ac:dyDescent="0.2">
      <c r="A543" s="299" t="str">
        <f t="shared" si="12"/>
        <v>PER2015</v>
      </c>
      <c r="B543" s="460">
        <v>9627.3670000000002</v>
      </c>
      <c r="C543" s="460">
        <v>5964.1239999999998</v>
      </c>
      <c r="D543" s="460">
        <v>5961.4489999999996</v>
      </c>
      <c r="E543" s="460">
        <v>22.687830000000002</v>
      </c>
      <c r="F543" s="460">
        <v>852.17858000000001</v>
      </c>
      <c r="G543" s="299" t="s">
        <v>245</v>
      </c>
      <c r="H543" s="299">
        <v>2015</v>
      </c>
    </row>
    <row r="544" spans="1:8" x14ac:dyDescent="0.2">
      <c r="A544" s="299" t="str">
        <f t="shared" si="12"/>
        <v>PER2016</v>
      </c>
      <c r="B544" s="460">
        <v>9848.6880000000001</v>
      </c>
      <c r="C544" s="460">
        <v>6183.9759999999997</v>
      </c>
      <c r="D544" s="460">
        <v>6181.82</v>
      </c>
      <c r="E544" s="460">
        <v>20.353899999999999</v>
      </c>
      <c r="F544" s="460">
        <v>697.26396999999997</v>
      </c>
      <c r="G544" s="299" t="s">
        <v>245</v>
      </c>
      <c r="H544" s="299">
        <v>2016</v>
      </c>
    </row>
    <row r="545" spans="1:8" x14ac:dyDescent="0.2">
      <c r="A545" s="299" t="str">
        <f t="shared" si="12"/>
        <v>PER2017</v>
      </c>
      <c r="B545" s="460">
        <v>10697.3</v>
      </c>
      <c r="C545" s="460">
        <v>6778.63</v>
      </c>
      <c r="D545" s="460">
        <v>6776.9250000000002</v>
      </c>
      <c r="E545" s="460">
        <v>25.865939999999998</v>
      </c>
      <c r="F545" s="460">
        <v>708.77275999999995</v>
      </c>
      <c r="G545" s="299" t="s">
        <v>245</v>
      </c>
      <c r="H545" s="299">
        <v>2017</v>
      </c>
    </row>
    <row r="546" spans="1:8" x14ac:dyDescent="0.2">
      <c r="A546" s="299" t="str">
        <f t="shared" si="12"/>
        <v>PER2018</v>
      </c>
      <c r="B546" s="460">
        <v>11806.55</v>
      </c>
      <c r="C546" s="460">
        <v>7394.1130000000003</v>
      </c>
      <c r="D546" s="460">
        <v>7392.6660000000002</v>
      </c>
      <c r="E546" s="460">
        <v>21.01745</v>
      </c>
      <c r="F546" s="460">
        <v>747.33645999999999</v>
      </c>
      <c r="G546" s="299" t="s">
        <v>245</v>
      </c>
      <c r="H546" s="299">
        <v>2018</v>
      </c>
    </row>
    <row r="547" spans="1:8" x14ac:dyDescent="0.2">
      <c r="A547" s="299" t="str">
        <f t="shared" si="12"/>
        <v>PHL2015</v>
      </c>
      <c r="B547" s="460">
        <v>12651.84</v>
      </c>
      <c r="C547" s="460">
        <v>4159.2809999999999</v>
      </c>
      <c r="D547" s="460">
        <v>3983.7249999999999</v>
      </c>
      <c r="E547" s="460">
        <v>175.55609999999999</v>
      </c>
      <c r="F547" s="460">
        <v>375.20956000000001</v>
      </c>
      <c r="G547" s="299" t="s">
        <v>476</v>
      </c>
      <c r="H547" s="299">
        <v>2015</v>
      </c>
    </row>
    <row r="548" spans="1:8" x14ac:dyDescent="0.2">
      <c r="A548" s="299" t="str">
        <f t="shared" si="12"/>
        <v>PHL2016</v>
      </c>
      <c r="B548" s="460">
        <v>13436.38</v>
      </c>
      <c r="C548" s="460">
        <v>4572.518</v>
      </c>
      <c r="D548" s="460">
        <v>4260.848</v>
      </c>
      <c r="E548" s="460">
        <v>311.6696</v>
      </c>
      <c r="F548" s="460">
        <v>516.31547</v>
      </c>
      <c r="G548" s="299" t="s">
        <v>476</v>
      </c>
      <c r="H548" s="299">
        <v>2016</v>
      </c>
    </row>
    <row r="549" spans="1:8" x14ac:dyDescent="0.2">
      <c r="A549" s="299" t="str">
        <f t="shared" si="12"/>
        <v>PHL2017</v>
      </c>
      <c r="B549" s="460">
        <v>13943.72</v>
      </c>
      <c r="C549" s="460">
        <v>4811.21</v>
      </c>
      <c r="D549" s="460">
        <v>4449.5060000000003</v>
      </c>
      <c r="E549" s="460">
        <v>361.70359999999999</v>
      </c>
      <c r="F549" s="460">
        <v>693.60200999999995</v>
      </c>
      <c r="G549" s="299" t="s">
        <v>476</v>
      </c>
      <c r="H549" s="299">
        <v>2017</v>
      </c>
    </row>
    <row r="550" spans="1:8" x14ac:dyDescent="0.2">
      <c r="A550" s="299" t="str">
        <f t="shared" si="12"/>
        <v>PHL2018</v>
      </c>
      <c r="B550" s="460">
        <v>14562.05</v>
      </c>
      <c r="C550" s="460">
        <v>4865.5429999999997</v>
      </c>
      <c r="D550" s="460">
        <v>4754.9859999999999</v>
      </c>
      <c r="E550" s="460">
        <v>110.5574</v>
      </c>
      <c r="F550" s="460">
        <v>611.99977000000001</v>
      </c>
      <c r="G550" s="299" t="s">
        <v>476</v>
      </c>
      <c r="H550" s="299">
        <v>2018</v>
      </c>
    </row>
    <row r="551" spans="1:8" x14ac:dyDescent="0.2">
      <c r="A551" s="299" t="str">
        <f t="shared" si="12"/>
        <v>PLW2015</v>
      </c>
      <c r="B551" s="460">
        <v>31.902740000000001</v>
      </c>
      <c r="C551" s="460">
        <v>20.576920000000001</v>
      </c>
      <c r="D551" s="460">
        <v>10.98906</v>
      </c>
      <c r="E551" s="460">
        <v>9.9020399999999995</v>
      </c>
      <c r="F551" s="460">
        <v>0.29550999999999999</v>
      </c>
      <c r="G551" s="299" t="s">
        <v>478</v>
      </c>
      <c r="H551" s="299">
        <v>2015</v>
      </c>
    </row>
    <row r="552" spans="1:8" x14ac:dyDescent="0.2">
      <c r="A552" s="299" t="str">
        <f t="shared" si="12"/>
        <v>PLW2016</v>
      </c>
      <c r="B552" s="460">
        <v>36.007849999999998</v>
      </c>
      <c r="C552" s="460">
        <v>23.978449999999999</v>
      </c>
      <c r="D552" s="460">
        <v>18.823879999999999</v>
      </c>
      <c r="E552" s="460">
        <v>5.5282410000000004</v>
      </c>
      <c r="F552" s="460">
        <v>0.39991599999999999</v>
      </c>
      <c r="G552" s="299" t="s">
        <v>478</v>
      </c>
      <c r="H552" s="299">
        <v>2016</v>
      </c>
    </row>
    <row r="553" spans="1:8" x14ac:dyDescent="0.2">
      <c r="A553" s="299" t="str">
        <f t="shared" si="12"/>
        <v>PLW2017</v>
      </c>
      <c r="B553" s="460">
        <v>34.687370000000001</v>
      </c>
      <c r="C553" s="460">
        <v>22.26371</v>
      </c>
      <c r="D553" s="460">
        <v>17.55949</v>
      </c>
      <c r="E553" s="460">
        <v>4.9963990000000003</v>
      </c>
      <c r="F553" s="460">
        <v>0.56599999999999995</v>
      </c>
      <c r="G553" s="299" t="s">
        <v>478</v>
      </c>
      <c r="H553" s="299">
        <v>2017</v>
      </c>
    </row>
    <row r="554" spans="1:8" x14ac:dyDescent="0.2">
      <c r="A554" s="299" t="str">
        <f t="shared" si="12"/>
        <v>PLW2018</v>
      </c>
      <c r="B554" s="460">
        <v>30.861910000000002</v>
      </c>
      <c r="C554" s="460">
        <v>18.72326</v>
      </c>
      <c r="D554" s="460">
        <v>18.18065</v>
      </c>
      <c r="E554" s="460">
        <v>0.815585</v>
      </c>
      <c r="F554" s="460">
        <v>0.24</v>
      </c>
      <c r="G554" s="299" t="s">
        <v>478</v>
      </c>
      <c r="H554" s="299">
        <v>2018</v>
      </c>
    </row>
    <row r="555" spans="1:8" x14ac:dyDescent="0.2">
      <c r="A555" s="299" t="str">
        <f t="shared" si="12"/>
        <v>PNG2015</v>
      </c>
      <c r="B555" s="460">
        <v>395.1069</v>
      </c>
      <c r="C555" s="460">
        <v>306.95819999999998</v>
      </c>
      <c r="D555" s="460">
        <v>299.30950000000001</v>
      </c>
      <c r="E555" s="460">
        <v>46.926749999999998</v>
      </c>
      <c r="F555" s="460">
        <v>113.90094000000001</v>
      </c>
      <c r="G555" s="299" t="s">
        <v>480</v>
      </c>
      <c r="H555" s="299">
        <v>2015</v>
      </c>
    </row>
    <row r="556" spans="1:8" x14ac:dyDescent="0.2">
      <c r="A556" s="299" t="str">
        <f t="shared" si="12"/>
        <v>PNG2016</v>
      </c>
      <c r="B556" s="460">
        <v>483.81150000000002</v>
      </c>
      <c r="C556" s="460">
        <v>357.64960000000002</v>
      </c>
      <c r="D556" s="460">
        <v>348.32530000000003</v>
      </c>
      <c r="E556" s="460">
        <v>86.405460000000005</v>
      </c>
      <c r="F556" s="460">
        <v>74.115602999999993</v>
      </c>
      <c r="G556" s="299" t="s">
        <v>480</v>
      </c>
      <c r="H556" s="299">
        <v>2016</v>
      </c>
    </row>
    <row r="557" spans="1:8" x14ac:dyDescent="0.2">
      <c r="A557" s="299" t="str">
        <f t="shared" si="12"/>
        <v>PNG2017</v>
      </c>
      <c r="B557" s="460">
        <v>507.09859999999998</v>
      </c>
      <c r="C557" s="460">
        <v>387.66359999999997</v>
      </c>
      <c r="D557" s="460">
        <v>382.41590000000002</v>
      </c>
      <c r="E557" s="460">
        <v>79.051169999999999</v>
      </c>
      <c r="F557" s="460">
        <v>25.060179000000002</v>
      </c>
      <c r="G557" s="299" t="s">
        <v>480</v>
      </c>
      <c r="H557" s="299">
        <v>2017</v>
      </c>
    </row>
    <row r="558" spans="1:8" x14ac:dyDescent="0.2">
      <c r="A558" s="299" t="str">
        <f t="shared" si="12"/>
        <v>PNG2018</v>
      </c>
      <c r="B558" s="460">
        <v>548.80700000000002</v>
      </c>
      <c r="C558" s="460">
        <v>419.13940000000002</v>
      </c>
      <c r="D558" s="460">
        <v>384.40629999999999</v>
      </c>
      <c r="E558" s="460">
        <v>110.9224</v>
      </c>
      <c r="G558" s="299" t="s">
        <v>480</v>
      </c>
      <c r="H558" s="299">
        <v>2018</v>
      </c>
    </row>
    <row r="559" spans="1:8" x14ac:dyDescent="0.2">
      <c r="A559" s="299" t="str">
        <f t="shared" si="12"/>
        <v>POL2015</v>
      </c>
      <c r="B559" s="460">
        <v>30554.98</v>
      </c>
      <c r="C559" s="460">
        <v>21192.97</v>
      </c>
      <c r="D559" s="460">
        <v>21184.75</v>
      </c>
      <c r="E559" s="460">
        <v>11.672639999999999</v>
      </c>
      <c r="G559" s="299" t="s">
        <v>389</v>
      </c>
      <c r="H559" s="299">
        <v>2015</v>
      </c>
    </row>
    <row r="560" spans="1:8" x14ac:dyDescent="0.2">
      <c r="A560" s="299" t="str">
        <f t="shared" si="12"/>
        <v>POL2016</v>
      </c>
      <c r="B560" s="460">
        <v>30885.29</v>
      </c>
      <c r="C560" s="460">
        <v>21255.9</v>
      </c>
      <c r="D560" s="460">
        <v>21252.1</v>
      </c>
      <c r="E560" s="460">
        <v>6.0870709999999999</v>
      </c>
      <c r="G560" s="299" t="s">
        <v>389</v>
      </c>
      <c r="H560" s="299">
        <v>2016</v>
      </c>
    </row>
    <row r="561" spans="1:8" x14ac:dyDescent="0.2">
      <c r="A561" s="299" t="str">
        <f t="shared" si="12"/>
        <v>POL2017</v>
      </c>
      <c r="B561" s="460">
        <v>34539.379999999997</v>
      </c>
      <c r="C561" s="460">
        <v>23777.78</v>
      </c>
      <c r="D561" s="460">
        <v>23770.98</v>
      </c>
      <c r="E561" s="460">
        <v>10.498049999999999</v>
      </c>
      <c r="G561" s="299" t="s">
        <v>389</v>
      </c>
      <c r="H561" s="299">
        <v>2017</v>
      </c>
    </row>
    <row r="562" spans="1:8" x14ac:dyDescent="0.2">
      <c r="A562" s="299" t="str">
        <f t="shared" si="12"/>
        <v>POL2018</v>
      </c>
      <c r="B562" s="460">
        <v>37169.14</v>
      </c>
      <c r="C562" s="460">
        <v>26441.56</v>
      </c>
      <c r="D562" s="460">
        <v>26422.21</v>
      </c>
      <c r="E562" s="460">
        <v>21.67501</v>
      </c>
      <c r="G562" s="299" t="s">
        <v>389</v>
      </c>
      <c r="H562" s="299">
        <v>2018</v>
      </c>
    </row>
    <row r="563" spans="1:8" x14ac:dyDescent="0.2">
      <c r="A563" s="299" t="str">
        <f t="shared" si="12"/>
        <v>PRT2015</v>
      </c>
      <c r="B563" s="460">
        <v>17898.88</v>
      </c>
      <c r="C563" s="460">
        <v>11843.06</v>
      </c>
      <c r="D563" s="460">
        <v>11837.29</v>
      </c>
      <c r="E563" s="460">
        <v>5.7694700000000001</v>
      </c>
      <c r="G563" s="299" t="s">
        <v>391</v>
      </c>
      <c r="H563" s="299">
        <v>2015</v>
      </c>
    </row>
    <row r="564" spans="1:8" x14ac:dyDescent="0.2">
      <c r="A564" s="299" t="str">
        <f t="shared" si="12"/>
        <v>PRT2016</v>
      </c>
      <c r="B564" s="460">
        <v>19443.32</v>
      </c>
      <c r="C564" s="460">
        <v>11955</v>
      </c>
      <c r="D564" s="460">
        <v>11937.62</v>
      </c>
      <c r="E564" s="460">
        <v>17.37839</v>
      </c>
      <c r="G564" s="299" t="s">
        <v>391</v>
      </c>
      <c r="H564" s="299">
        <v>2016</v>
      </c>
    </row>
    <row r="565" spans="1:8" x14ac:dyDescent="0.2">
      <c r="A565" s="299" t="str">
        <f t="shared" si="12"/>
        <v>PRT2017</v>
      </c>
      <c r="B565" s="460">
        <v>20652.79</v>
      </c>
      <c r="C565" s="460">
        <v>12620.34</v>
      </c>
      <c r="D565" s="460">
        <v>12600.91</v>
      </c>
      <c r="E565" s="460">
        <v>19.430510000000002</v>
      </c>
      <c r="G565" s="299" t="s">
        <v>391</v>
      </c>
      <c r="H565" s="299">
        <v>2017</v>
      </c>
    </row>
    <row r="566" spans="1:8" x14ac:dyDescent="0.2">
      <c r="A566" s="299" t="str">
        <f t="shared" si="12"/>
        <v>PRT2018</v>
      </c>
      <c r="B566" s="460">
        <v>22796.41</v>
      </c>
      <c r="C566" s="460">
        <v>14030.21</v>
      </c>
      <c r="D566" s="460">
        <v>14008.71</v>
      </c>
      <c r="E566" s="460">
        <v>21.493359999999999</v>
      </c>
      <c r="G566" s="299" t="s">
        <v>391</v>
      </c>
      <c r="H566" s="299">
        <v>2018</v>
      </c>
    </row>
    <row r="567" spans="1:8" x14ac:dyDescent="0.2">
      <c r="A567" s="299" t="str">
        <f t="shared" si="12"/>
        <v>PRY2015</v>
      </c>
      <c r="B567" s="460">
        <v>2439.982</v>
      </c>
      <c r="C567" s="460">
        <v>1144.25</v>
      </c>
      <c r="D567" s="460">
        <v>1143.04</v>
      </c>
      <c r="E567" s="460">
        <v>7.8058529999999999</v>
      </c>
      <c r="F567" s="460">
        <v>62.679119999999998</v>
      </c>
      <c r="G567" s="299" t="s">
        <v>247</v>
      </c>
      <c r="H567" s="299">
        <v>2015</v>
      </c>
    </row>
    <row r="568" spans="1:8" x14ac:dyDescent="0.2">
      <c r="A568" s="299" t="str">
        <f t="shared" si="12"/>
        <v>PRY2016</v>
      </c>
      <c r="B568" s="460">
        <v>2424.768</v>
      </c>
      <c r="C568" s="460">
        <v>1137.191</v>
      </c>
      <c r="D568" s="460">
        <v>1136.0920000000001</v>
      </c>
      <c r="E568" s="460">
        <v>8.628171</v>
      </c>
      <c r="F568" s="460">
        <v>90.501462000000004</v>
      </c>
      <c r="G568" s="299" t="s">
        <v>247</v>
      </c>
      <c r="H568" s="299">
        <v>2016</v>
      </c>
    </row>
    <row r="569" spans="1:8" x14ac:dyDescent="0.2">
      <c r="A569" s="299" t="str">
        <f t="shared" si="12"/>
        <v>PRY2017</v>
      </c>
      <c r="B569" s="460">
        <v>2595.8739999999998</v>
      </c>
      <c r="C569" s="460">
        <v>1181.8209999999999</v>
      </c>
      <c r="D569" s="460">
        <v>1180.337</v>
      </c>
      <c r="E569" s="460">
        <v>7.3006260000000003</v>
      </c>
      <c r="F569" s="460">
        <v>79.309094000000002</v>
      </c>
      <c r="G569" s="299" t="s">
        <v>247</v>
      </c>
      <c r="H569" s="299">
        <v>2017</v>
      </c>
    </row>
    <row r="570" spans="1:8" x14ac:dyDescent="0.2">
      <c r="A570" s="299" t="str">
        <f t="shared" si="12"/>
        <v>PRY2018</v>
      </c>
      <c r="B570" s="460">
        <v>2785.1579999999999</v>
      </c>
      <c r="C570" s="460">
        <v>1220.501</v>
      </c>
      <c r="D570" s="460">
        <v>1218.7470000000001</v>
      </c>
      <c r="E570" s="460">
        <v>1.754456</v>
      </c>
      <c r="F570" s="460">
        <v>71.733839000000003</v>
      </c>
      <c r="G570" s="299" t="s">
        <v>247</v>
      </c>
      <c r="H570" s="299">
        <v>2018</v>
      </c>
    </row>
    <row r="571" spans="1:8" x14ac:dyDescent="0.2">
      <c r="A571" s="299" t="str">
        <f t="shared" si="12"/>
        <v>QAT2015</v>
      </c>
      <c r="B571" s="460">
        <v>5130.3500000000004</v>
      </c>
      <c r="C571" s="460">
        <v>4301.7039999999997</v>
      </c>
      <c r="D571" s="460">
        <v>4301.7039999999997</v>
      </c>
      <c r="G571" s="299" t="s">
        <v>295</v>
      </c>
      <c r="H571" s="299">
        <v>2015</v>
      </c>
    </row>
    <row r="572" spans="1:8" x14ac:dyDescent="0.2">
      <c r="A572" s="299" t="str">
        <f t="shared" si="12"/>
        <v>QAT2016</v>
      </c>
      <c r="B572" s="460">
        <v>4837.2510000000002</v>
      </c>
      <c r="C572" s="460">
        <v>3832.5830000000001</v>
      </c>
      <c r="D572" s="460">
        <v>3832.5830000000001</v>
      </c>
      <c r="E572" s="460">
        <v>0</v>
      </c>
      <c r="G572" s="299" t="s">
        <v>295</v>
      </c>
      <c r="H572" s="299">
        <v>2016</v>
      </c>
    </row>
    <row r="573" spans="1:8" x14ac:dyDescent="0.2">
      <c r="A573" s="299" t="str">
        <f t="shared" si="12"/>
        <v>QAT2017</v>
      </c>
      <c r="B573" s="460">
        <v>4543.1369999999997</v>
      </c>
      <c r="C573" s="460">
        <v>3514.13</v>
      </c>
      <c r="D573" s="460">
        <v>3514.13</v>
      </c>
      <c r="E573" s="460">
        <v>0</v>
      </c>
      <c r="G573" s="299" t="s">
        <v>295</v>
      </c>
      <c r="H573" s="299">
        <v>2017</v>
      </c>
    </row>
    <row r="574" spans="1:8" x14ac:dyDescent="0.2">
      <c r="A574" s="299" t="str">
        <f t="shared" si="12"/>
        <v>QAT2018</v>
      </c>
      <c r="B574" s="460">
        <v>4774.1040000000003</v>
      </c>
      <c r="C574" s="460">
        <v>3564.7849999999999</v>
      </c>
      <c r="D574" s="460">
        <v>3564.7849999999999</v>
      </c>
      <c r="E574" s="460">
        <v>0</v>
      </c>
      <c r="G574" s="299" t="s">
        <v>295</v>
      </c>
      <c r="H574" s="299">
        <v>2018</v>
      </c>
    </row>
    <row r="575" spans="1:8" x14ac:dyDescent="0.2">
      <c r="A575" s="299" t="str">
        <f t="shared" si="12"/>
        <v>ROU2015</v>
      </c>
      <c r="B575" s="460">
        <v>8787.6029999999992</v>
      </c>
      <c r="C575" s="460">
        <v>6849.3010000000004</v>
      </c>
      <c r="D575" s="460">
        <v>6849.3010000000004</v>
      </c>
      <c r="G575" s="299" t="s">
        <v>393</v>
      </c>
      <c r="H575" s="299">
        <v>2015</v>
      </c>
    </row>
    <row r="576" spans="1:8" x14ac:dyDescent="0.2">
      <c r="A576" s="299" t="str">
        <f t="shared" si="12"/>
        <v>ROU2016</v>
      </c>
      <c r="B576" s="460">
        <v>9410.8809999999994</v>
      </c>
      <c r="C576" s="460">
        <v>7357.701</v>
      </c>
      <c r="D576" s="460">
        <v>7357.701</v>
      </c>
      <c r="G576" s="299" t="s">
        <v>393</v>
      </c>
      <c r="H576" s="299">
        <v>2016</v>
      </c>
    </row>
    <row r="577" spans="1:8" x14ac:dyDescent="0.2">
      <c r="A577" s="299" t="str">
        <f t="shared" si="12"/>
        <v>ROU2017</v>
      </c>
      <c r="B577" s="460">
        <v>10904.61</v>
      </c>
      <c r="C577" s="460">
        <v>8569.5429999999997</v>
      </c>
      <c r="D577" s="460">
        <v>8569.5429999999997</v>
      </c>
      <c r="G577" s="299" t="s">
        <v>393</v>
      </c>
      <c r="H577" s="299">
        <v>2017</v>
      </c>
    </row>
    <row r="578" spans="1:8" x14ac:dyDescent="0.2">
      <c r="A578" s="299" t="str">
        <f t="shared" ref="A578:A641" si="13">CONCATENATE(G578,H578)</f>
        <v>ROU2018</v>
      </c>
      <c r="B578" s="460">
        <v>13422.51</v>
      </c>
      <c r="C578" s="460">
        <v>10696.5</v>
      </c>
      <c r="D578" s="460">
        <v>10696.5</v>
      </c>
      <c r="G578" s="299" t="s">
        <v>393</v>
      </c>
      <c r="H578" s="299">
        <v>2018</v>
      </c>
    </row>
    <row r="579" spans="1:8" x14ac:dyDescent="0.2">
      <c r="A579" s="299" t="str">
        <f t="shared" si="13"/>
        <v>RUS2015</v>
      </c>
      <c r="B579" s="460">
        <v>72210.67</v>
      </c>
      <c r="C579" s="460">
        <v>42401.04</v>
      </c>
      <c r="D579" s="460">
        <v>42401.04</v>
      </c>
      <c r="F579" s="460">
        <v>1883.8123000000001</v>
      </c>
      <c r="G579" s="299" t="s">
        <v>395</v>
      </c>
      <c r="H579" s="299">
        <v>2015</v>
      </c>
    </row>
    <row r="580" spans="1:8" x14ac:dyDescent="0.2">
      <c r="A580" s="299" t="str">
        <f t="shared" si="13"/>
        <v>RUS2016</v>
      </c>
      <c r="B580" s="460">
        <v>67538.2</v>
      </c>
      <c r="C580" s="460">
        <v>38463.040000000001</v>
      </c>
      <c r="D580" s="460">
        <v>38463.040000000001</v>
      </c>
      <c r="F580" s="460">
        <v>1871.1271999999999</v>
      </c>
      <c r="G580" s="299" t="s">
        <v>395</v>
      </c>
      <c r="H580" s="299">
        <v>2016</v>
      </c>
    </row>
    <row r="581" spans="1:8" x14ac:dyDescent="0.2">
      <c r="A581" s="299" t="str">
        <f t="shared" si="13"/>
        <v>RUS2017</v>
      </c>
      <c r="B581" s="460">
        <v>84359.74</v>
      </c>
      <c r="C581" s="460">
        <v>48159.92</v>
      </c>
      <c r="D581" s="460">
        <v>48159.92</v>
      </c>
      <c r="F581" s="460">
        <v>2150.5682999999999</v>
      </c>
      <c r="G581" s="299" t="s">
        <v>395</v>
      </c>
      <c r="H581" s="299">
        <v>2017</v>
      </c>
    </row>
    <row r="582" spans="1:8" x14ac:dyDescent="0.2">
      <c r="A582" s="299" t="str">
        <f t="shared" si="13"/>
        <v>RUS2018</v>
      </c>
      <c r="B582" s="460">
        <v>88753.36</v>
      </c>
      <c r="C582" s="460">
        <v>52769.71</v>
      </c>
      <c r="D582" s="460">
        <v>52769.71</v>
      </c>
      <c r="F582" s="460">
        <v>2227.1977999999999</v>
      </c>
      <c r="G582" s="299" t="s">
        <v>395</v>
      </c>
      <c r="H582" s="299">
        <v>2018</v>
      </c>
    </row>
    <row r="583" spans="1:8" x14ac:dyDescent="0.2">
      <c r="A583" s="299" t="str">
        <f t="shared" si="13"/>
        <v>RWA2015</v>
      </c>
      <c r="B583" s="460">
        <v>568.04160000000002</v>
      </c>
      <c r="C583" s="460">
        <v>333.0933</v>
      </c>
      <c r="D583" s="460">
        <v>179.5352</v>
      </c>
      <c r="E583" s="460">
        <v>239.1617</v>
      </c>
      <c r="G583" s="299" t="s">
        <v>161</v>
      </c>
      <c r="H583" s="299">
        <v>2015</v>
      </c>
    </row>
    <row r="584" spans="1:8" x14ac:dyDescent="0.2">
      <c r="A584" s="299" t="str">
        <f t="shared" si="13"/>
        <v>RWA2016</v>
      </c>
      <c r="B584" s="460">
        <v>605.39970000000005</v>
      </c>
      <c r="C584" s="460">
        <v>362.1628</v>
      </c>
      <c r="D584" s="460">
        <v>194.13159999999999</v>
      </c>
      <c r="E584" s="460">
        <v>261.50979999999998</v>
      </c>
      <c r="G584" s="299" t="s">
        <v>161</v>
      </c>
      <c r="H584" s="299">
        <v>2016</v>
      </c>
    </row>
    <row r="585" spans="1:8" x14ac:dyDescent="0.2">
      <c r="A585" s="299" t="str">
        <f t="shared" si="13"/>
        <v>RWA2017</v>
      </c>
      <c r="B585" s="460">
        <v>633.40170000000001</v>
      </c>
      <c r="C585" s="460">
        <v>384.7373</v>
      </c>
      <c r="D585" s="460">
        <v>206.23230000000001</v>
      </c>
      <c r="E585" s="460">
        <v>272.709</v>
      </c>
      <c r="G585" s="299" t="s">
        <v>161</v>
      </c>
      <c r="H585" s="299">
        <v>2017</v>
      </c>
    </row>
    <row r="586" spans="1:8" x14ac:dyDescent="0.2">
      <c r="A586" s="299" t="str">
        <f t="shared" si="13"/>
        <v>RWA2018</v>
      </c>
      <c r="B586" s="460">
        <v>717.30970000000002</v>
      </c>
      <c r="C586" s="460">
        <v>391.99540000000002</v>
      </c>
      <c r="D586" s="460">
        <v>225.7998</v>
      </c>
      <c r="E586" s="460">
        <v>220.10210000000001</v>
      </c>
      <c r="G586" s="299" t="s">
        <v>161</v>
      </c>
      <c r="H586" s="299">
        <v>2018</v>
      </c>
    </row>
    <row r="587" spans="1:8" x14ac:dyDescent="0.2">
      <c r="A587" s="299" t="str">
        <f t="shared" si="13"/>
        <v>SAU2015</v>
      </c>
      <c r="B587" s="460">
        <v>39245.33</v>
      </c>
      <c r="C587" s="460">
        <v>26872.799999999999</v>
      </c>
      <c r="D587" s="460">
        <v>26872.799999999999</v>
      </c>
      <c r="G587" s="299" t="s">
        <v>297</v>
      </c>
      <c r="H587" s="299">
        <v>2015</v>
      </c>
    </row>
    <row r="588" spans="1:8" x14ac:dyDescent="0.2">
      <c r="A588" s="299" t="str">
        <f t="shared" si="13"/>
        <v>SAU2016</v>
      </c>
      <c r="B588" s="460">
        <v>37636.019999999997</v>
      </c>
      <c r="C588" s="460">
        <v>25107.5</v>
      </c>
      <c r="D588" s="460">
        <v>25107.5</v>
      </c>
      <c r="E588" s="460">
        <v>0</v>
      </c>
      <c r="G588" s="299" t="s">
        <v>297</v>
      </c>
      <c r="H588" s="299">
        <v>2016</v>
      </c>
    </row>
    <row r="589" spans="1:8" x14ac:dyDescent="0.2">
      <c r="A589" s="299" t="str">
        <f t="shared" si="13"/>
        <v>SAU2017</v>
      </c>
      <c r="B589" s="460">
        <v>48226.42</v>
      </c>
      <c r="C589" s="460">
        <v>30982.71</v>
      </c>
      <c r="D589" s="460">
        <v>30982.71</v>
      </c>
      <c r="E589" s="460">
        <v>0</v>
      </c>
      <c r="G589" s="299" t="s">
        <v>297</v>
      </c>
      <c r="H589" s="299">
        <v>2017</v>
      </c>
    </row>
    <row r="590" spans="1:8" x14ac:dyDescent="0.2">
      <c r="A590" s="299" t="str">
        <f t="shared" si="13"/>
        <v>SAU2018</v>
      </c>
      <c r="B590" s="460">
        <v>50034.89</v>
      </c>
      <c r="C590" s="460">
        <v>31240.79</v>
      </c>
      <c r="D590" s="460">
        <v>31240.79</v>
      </c>
      <c r="E590" s="460">
        <v>0</v>
      </c>
      <c r="G590" s="299" t="s">
        <v>297</v>
      </c>
      <c r="H590" s="299">
        <v>2018</v>
      </c>
    </row>
    <row r="591" spans="1:8" x14ac:dyDescent="0.2">
      <c r="A591" s="299" t="str">
        <f t="shared" si="13"/>
        <v>SDN2015</v>
      </c>
      <c r="B591" s="460">
        <v>6107.1409999999996</v>
      </c>
      <c r="C591" s="460">
        <v>1915.12</v>
      </c>
      <c r="D591" s="460">
        <v>1901.8440000000001</v>
      </c>
      <c r="E591" s="460">
        <v>118.3259</v>
      </c>
      <c r="G591" s="299" t="s">
        <v>299</v>
      </c>
      <c r="H591" s="299">
        <v>2015</v>
      </c>
    </row>
    <row r="592" spans="1:8" x14ac:dyDescent="0.2">
      <c r="A592" s="299" t="str">
        <f t="shared" si="13"/>
        <v>SDN2016</v>
      </c>
      <c r="B592" s="460">
        <v>6567.5919999999996</v>
      </c>
      <c r="C592" s="460">
        <v>1557.702</v>
      </c>
      <c r="D592" s="460">
        <v>1544.8230000000001</v>
      </c>
      <c r="E592" s="460">
        <v>133.45750000000001</v>
      </c>
      <c r="G592" s="299" t="s">
        <v>299</v>
      </c>
      <c r="H592" s="299">
        <v>2016</v>
      </c>
    </row>
    <row r="593" spans="1:8" x14ac:dyDescent="0.2">
      <c r="A593" s="299" t="str">
        <f t="shared" si="13"/>
        <v>SDN2017</v>
      </c>
      <c r="B593" s="460">
        <v>7855.0770000000002</v>
      </c>
      <c r="C593" s="460">
        <v>1442.0740000000001</v>
      </c>
      <c r="D593" s="460">
        <v>1414.537</v>
      </c>
      <c r="E593" s="460">
        <v>422.21980000000002</v>
      </c>
      <c r="G593" s="299" t="s">
        <v>299</v>
      </c>
      <c r="H593" s="299">
        <v>2017</v>
      </c>
    </row>
    <row r="594" spans="1:8" x14ac:dyDescent="0.2">
      <c r="A594" s="299" t="str">
        <f t="shared" si="13"/>
        <v>SDN2018</v>
      </c>
      <c r="B594" s="460">
        <v>2526.433</v>
      </c>
      <c r="C594" s="460">
        <v>609.46090000000004</v>
      </c>
      <c r="D594" s="460">
        <v>577.15620000000001</v>
      </c>
      <c r="E594" s="460">
        <v>192.36920000000001</v>
      </c>
      <c r="G594" s="299" t="s">
        <v>299</v>
      </c>
      <c r="H594" s="299">
        <v>2018</v>
      </c>
    </row>
    <row r="595" spans="1:8" x14ac:dyDescent="0.2">
      <c r="A595" s="299" t="str">
        <f t="shared" si="13"/>
        <v>SEN2015</v>
      </c>
      <c r="B595" s="460">
        <v>778.67899999999997</v>
      </c>
      <c r="C595" s="460">
        <v>331.5548</v>
      </c>
      <c r="D595" s="460">
        <v>191.57169999999999</v>
      </c>
      <c r="E595" s="460">
        <v>140.0445</v>
      </c>
      <c r="F595" s="460">
        <v>58.866317000000002</v>
      </c>
      <c r="G595" s="299" t="s">
        <v>163</v>
      </c>
      <c r="H595" s="299">
        <v>2015</v>
      </c>
    </row>
    <row r="596" spans="1:8" x14ac:dyDescent="0.2">
      <c r="A596" s="299" t="str">
        <f t="shared" si="13"/>
        <v>SEN2016</v>
      </c>
      <c r="B596" s="460">
        <v>810.71569999999997</v>
      </c>
      <c r="C596" s="460">
        <v>343.70940000000002</v>
      </c>
      <c r="D596" s="460">
        <v>203.21610000000001</v>
      </c>
      <c r="E596" s="460">
        <v>140.5104</v>
      </c>
      <c r="F596" s="460">
        <v>56.414087000000002</v>
      </c>
      <c r="G596" s="299" t="s">
        <v>163</v>
      </c>
      <c r="H596" s="299">
        <v>2016</v>
      </c>
    </row>
    <row r="597" spans="1:8" x14ac:dyDescent="0.2">
      <c r="A597" s="299" t="str">
        <f t="shared" si="13"/>
        <v>SEN2017</v>
      </c>
      <c r="B597" s="460">
        <v>849.61400000000003</v>
      </c>
      <c r="C597" s="460">
        <v>337.85140000000001</v>
      </c>
      <c r="D597" s="460">
        <v>195.99299999999999</v>
      </c>
      <c r="E597" s="460">
        <v>142.62450000000001</v>
      </c>
      <c r="G597" s="299" t="s">
        <v>163</v>
      </c>
      <c r="H597" s="299">
        <v>2017</v>
      </c>
    </row>
    <row r="598" spans="1:8" x14ac:dyDescent="0.2">
      <c r="A598" s="299" t="str">
        <f t="shared" si="13"/>
        <v>SEN2018</v>
      </c>
      <c r="B598" s="460">
        <v>933.8768</v>
      </c>
      <c r="C598" s="460">
        <v>350.16160000000002</v>
      </c>
      <c r="D598" s="460">
        <v>222.0087</v>
      </c>
      <c r="E598" s="460">
        <v>128.15289999999999</v>
      </c>
      <c r="G598" s="299" t="s">
        <v>163</v>
      </c>
      <c r="H598" s="299">
        <v>2018</v>
      </c>
    </row>
    <row r="599" spans="1:8" x14ac:dyDescent="0.2">
      <c r="A599" s="299" t="str">
        <f t="shared" si="13"/>
        <v>SGP2015</v>
      </c>
      <c r="B599" s="460">
        <v>12876.49</v>
      </c>
      <c r="C599" s="460">
        <v>6061.9070000000002</v>
      </c>
      <c r="D599" s="460">
        <v>6061.9070000000002</v>
      </c>
      <c r="E599" s="460">
        <v>0</v>
      </c>
      <c r="F599" s="460">
        <v>1027.8440000000001</v>
      </c>
      <c r="G599" s="299" t="s">
        <v>482</v>
      </c>
      <c r="H599" s="299">
        <v>2015</v>
      </c>
    </row>
    <row r="600" spans="1:8" x14ac:dyDescent="0.2">
      <c r="A600" s="299" t="str">
        <f t="shared" si="13"/>
        <v>SGP2016</v>
      </c>
      <c r="B600" s="460">
        <v>13999.38</v>
      </c>
      <c r="C600" s="460">
        <v>6627.8609999999999</v>
      </c>
      <c r="D600" s="460">
        <v>6627.8609999999999</v>
      </c>
      <c r="E600" s="460">
        <v>0</v>
      </c>
      <c r="F600" s="460">
        <v>1171.4417000000001</v>
      </c>
      <c r="G600" s="299" t="s">
        <v>482</v>
      </c>
      <c r="H600" s="299">
        <v>2016</v>
      </c>
    </row>
    <row r="601" spans="1:8" x14ac:dyDescent="0.2">
      <c r="A601" s="299" t="str">
        <f t="shared" si="13"/>
        <v>SGP2017</v>
      </c>
      <c r="B601" s="460">
        <v>14949.82</v>
      </c>
      <c r="C601" s="460">
        <v>7206.4650000000001</v>
      </c>
      <c r="D601" s="460">
        <v>7206.4650000000001</v>
      </c>
      <c r="E601" s="460">
        <v>0</v>
      </c>
      <c r="F601" s="460">
        <v>1061.2030999999999</v>
      </c>
      <c r="G601" s="299" t="s">
        <v>482</v>
      </c>
      <c r="H601" s="299">
        <v>2017</v>
      </c>
    </row>
    <row r="602" spans="1:8" x14ac:dyDescent="0.2">
      <c r="A602" s="299" t="str">
        <f t="shared" si="13"/>
        <v>SGP2018</v>
      </c>
      <c r="B602" s="460">
        <v>16257.09</v>
      </c>
      <c r="C602" s="460">
        <v>8184.6930000000002</v>
      </c>
      <c r="D602" s="460">
        <v>8184.6930000000002</v>
      </c>
      <c r="E602" s="460">
        <v>0</v>
      </c>
      <c r="G602" s="299" t="s">
        <v>482</v>
      </c>
      <c r="H602" s="299">
        <v>2018</v>
      </c>
    </row>
    <row r="603" spans="1:8" x14ac:dyDescent="0.2">
      <c r="A603" s="299" t="str">
        <f t="shared" si="13"/>
        <v>SLB2015</v>
      </c>
      <c r="B603" s="460">
        <v>59.966419999999999</v>
      </c>
      <c r="C603" s="460">
        <v>53.213250000000002</v>
      </c>
      <c r="D603" s="460">
        <v>41.919029999999999</v>
      </c>
      <c r="E603" s="460">
        <v>16.920100000000001</v>
      </c>
      <c r="F603" s="460">
        <v>2.6841550000000001</v>
      </c>
      <c r="G603" s="299" t="s">
        <v>484</v>
      </c>
      <c r="H603" s="299">
        <v>2015</v>
      </c>
    </row>
    <row r="604" spans="1:8" x14ac:dyDescent="0.2">
      <c r="A604" s="299" t="str">
        <f t="shared" si="13"/>
        <v>SLB2016</v>
      </c>
      <c r="B604" s="460">
        <v>61.495190000000001</v>
      </c>
      <c r="C604" s="460">
        <v>53.50029</v>
      </c>
      <c r="D604" s="460">
        <v>43.656149999999997</v>
      </c>
      <c r="E604" s="460">
        <v>16.684249999999999</v>
      </c>
      <c r="F604" s="460">
        <v>2.1913288</v>
      </c>
      <c r="G604" s="299" t="s">
        <v>484</v>
      </c>
      <c r="H604" s="299">
        <v>2016</v>
      </c>
    </row>
    <row r="605" spans="1:8" x14ac:dyDescent="0.2">
      <c r="A605" s="299" t="str">
        <f t="shared" si="13"/>
        <v>SLB2017</v>
      </c>
      <c r="B605" s="460">
        <v>61.971040000000002</v>
      </c>
      <c r="C605" s="460">
        <v>56.793640000000003</v>
      </c>
      <c r="D605" s="460">
        <v>46.234999999999999</v>
      </c>
      <c r="E605" s="460">
        <v>14.54114</v>
      </c>
      <c r="F605" s="460">
        <v>1.9585461</v>
      </c>
      <c r="G605" s="299" t="s">
        <v>484</v>
      </c>
      <c r="H605" s="299">
        <v>2017</v>
      </c>
    </row>
    <row r="606" spans="1:8" x14ac:dyDescent="0.2">
      <c r="A606" s="299" t="str">
        <f t="shared" si="13"/>
        <v>SLB2018</v>
      </c>
      <c r="B606" s="460">
        <v>61.997770000000003</v>
      </c>
      <c r="C606" s="460">
        <v>58.312890000000003</v>
      </c>
      <c r="D606" s="460">
        <v>49.012770000000003</v>
      </c>
      <c r="E606" s="460">
        <v>11.65418</v>
      </c>
      <c r="F606" s="460">
        <v>2.5150576999999998</v>
      </c>
      <c r="G606" s="299" t="s">
        <v>484</v>
      </c>
      <c r="H606" s="299">
        <v>2018</v>
      </c>
    </row>
    <row r="607" spans="1:8" x14ac:dyDescent="0.2">
      <c r="A607" s="299" t="str">
        <f t="shared" si="13"/>
        <v>SLE2015</v>
      </c>
      <c r="B607" s="460">
        <v>867.17330000000004</v>
      </c>
      <c r="C607" s="460">
        <v>170.49770000000001</v>
      </c>
      <c r="D607" s="460">
        <v>69.697460000000007</v>
      </c>
      <c r="E607" s="460">
        <v>435.10890000000001</v>
      </c>
      <c r="G607" s="299" t="s">
        <v>165</v>
      </c>
      <c r="H607" s="299">
        <v>2015</v>
      </c>
    </row>
    <row r="608" spans="1:8" x14ac:dyDescent="0.2">
      <c r="A608" s="299" t="str">
        <f t="shared" si="13"/>
        <v>SLE2016</v>
      </c>
      <c r="B608" s="460">
        <v>638.35170000000005</v>
      </c>
      <c r="C608" s="460">
        <v>193.79769999999999</v>
      </c>
      <c r="D608" s="460">
        <v>71.320920000000001</v>
      </c>
      <c r="E608" s="460">
        <v>201.4478</v>
      </c>
      <c r="G608" s="299" t="s">
        <v>165</v>
      </c>
      <c r="H608" s="299">
        <v>2016</v>
      </c>
    </row>
    <row r="609" spans="1:8" x14ac:dyDescent="0.2">
      <c r="A609" s="299" t="str">
        <f t="shared" si="13"/>
        <v>SLE2017</v>
      </c>
      <c r="B609" s="460">
        <v>618.16549999999995</v>
      </c>
      <c r="C609" s="460">
        <v>135.6773</v>
      </c>
      <c r="D609" s="460">
        <v>68.935209999999998</v>
      </c>
      <c r="E609" s="460">
        <v>210.20840000000001</v>
      </c>
      <c r="G609" s="299" t="s">
        <v>165</v>
      </c>
      <c r="H609" s="299">
        <v>2017</v>
      </c>
    </row>
    <row r="610" spans="1:8" x14ac:dyDescent="0.2">
      <c r="A610" s="299" t="str">
        <f t="shared" si="13"/>
        <v>SLE2018</v>
      </c>
      <c r="B610" s="460">
        <v>656.19529999999997</v>
      </c>
      <c r="C610" s="460">
        <v>136.90520000000001</v>
      </c>
      <c r="D610" s="460">
        <v>63.738639999999997</v>
      </c>
      <c r="E610" s="460">
        <v>169.80009999999999</v>
      </c>
      <c r="G610" s="299" t="s">
        <v>165</v>
      </c>
      <c r="H610" s="299">
        <v>2018</v>
      </c>
    </row>
    <row r="611" spans="1:8" x14ac:dyDescent="0.2">
      <c r="A611" s="299" t="str">
        <f t="shared" si="13"/>
        <v>SLV2015</v>
      </c>
      <c r="B611" s="460">
        <v>1788.3989999999999</v>
      </c>
      <c r="C611" s="460">
        <v>1183.1559999999999</v>
      </c>
      <c r="D611" s="460">
        <v>1149.9380000000001</v>
      </c>
      <c r="E611" s="460">
        <v>36.441940000000002</v>
      </c>
      <c r="G611" s="299" t="s">
        <v>249</v>
      </c>
      <c r="H611" s="299">
        <v>2015</v>
      </c>
    </row>
    <row r="612" spans="1:8" x14ac:dyDescent="0.2">
      <c r="A612" s="299" t="str">
        <f t="shared" si="13"/>
        <v>SLV2016</v>
      </c>
      <c r="B612" s="460">
        <v>1863.99</v>
      </c>
      <c r="C612" s="460">
        <v>1235.546</v>
      </c>
      <c r="D612" s="460">
        <v>1201.7149999999999</v>
      </c>
      <c r="E612" s="460">
        <v>41.946199999999997</v>
      </c>
      <c r="F612" s="460">
        <v>497</v>
      </c>
      <c r="G612" s="299" t="s">
        <v>249</v>
      </c>
      <c r="H612" s="299">
        <v>2016</v>
      </c>
    </row>
    <row r="613" spans="1:8" x14ac:dyDescent="0.2">
      <c r="A613" s="299" t="str">
        <f t="shared" si="13"/>
        <v>SLV2017</v>
      </c>
      <c r="B613" s="460">
        <v>1801.6859999999999</v>
      </c>
      <c r="C613" s="460">
        <v>1148.732</v>
      </c>
      <c r="D613" s="460">
        <v>1148.4960000000001</v>
      </c>
      <c r="E613" s="460">
        <v>2.545712</v>
      </c>
      <c r="F613" s="460">
        <v>106.57908999999999</v>
      </c>
      <c r="G613" s="299" t="s">
        <v>249</v>
      </c>
      <c r="H613" s="299">
        <v>2017</v>
      </c>
    </row>
    <row r="614" spans="1:8" x14ac:dyDescent="0.2">
      <c r="A614" s="299" t="str">
        <f t="shared" si="13"/>
        <v>SLV2018</v>
      </c>
      <c r="B614" s="460">
        <v>1852.4970000000001</v>
      </c>
      <c r="C614" s="460">
        <v>1182.913</v>
      </c>
      <c r="D614" s="460">
        <v>1182.8399999999999</v>
      </c>
      <c r="E614" s="460">
        <v>3.7761239999999998</v>
      </c>
      <c r="F614" s="460">
        <v>85.378046999999995</v>
      </c>
      <c r="G614" s="299" t="s">
        <v>249</v>
      </c>
      <c r="H614" s="299">
        <v>2018</v>
      </c>
    </row>
    <row r="615" spans="1:8" x14ac:dyDescent="0.2">
      <c r="A615" s="299" t="str">
        <f t="shared" si="13"/>
        <v>SMR2015</v>
      </c>
      <c r="B615" s="460">
        <v>103.23690000000001</v>
      </c>
      <c r="C615" s="460">
        <v>83.239810000000006</v>
      </c>
      <c r="D615" s="460">
        <v>83.239810000000006</v>
      </c>
      <c r="G615" s="299" t="s">
        <v>397</v>
      </c>
      <c r="H615" s="299">
        <v>2015</v>
      </c>
    </row>
    <row r="616" spans="1:8" x14ac:dyDescent="0.2">
      <c r="A616" s="299" t="str">
        <f t="shared" si="13"/>
        <v>SMR2016</v>
      </c>
      <c r="B616" s="460">
        <v>99.123419999999996</v>
      </c>
      <c r="C616" s="460">
        <v>80.471860000000007</v>
      </c>
      <c r="D616" s="460">
        <v>80.471860000000007</v>
      </c>
      <c r="G616" s="299" t="s">
        <v>397</v>
      </c>
      <c r="H616" s="299">
        <v>2016</v>
      </c>
    </row>
    <row r="617" spans="1:8" x14ac:dyDescent="0.2">
      <c r="A617" s="299" t="str">
        <f t="shared" si="13"/>
        <v>SMR2017</v>
      </c>
      <c r="B617" s="460">
        <v>110.6925</v>
      </c>
      <c r="C617" s="460">
        <v>91.898660000000007</v>
      </c>
      <c r="D617" s="460">
        <v>91.898660000000007</v>
      </c>
      <c r="G617" s="299" t="s">
        <v>397</v>
      </c>
      <c r="H617" s="299">
        <v>2017</v>
      </c>
    </row>
    <row r="618" spans="1:8" x14ac:dyDescent="0.2">
      <c r="A618" s="299" t="str">
        <f t="shared" si="13"/>
        <v>SMR2018</v>
      </c>
      <c r="B618" s="460">
        <v>117.0211</v>
      </c>
      <c r="C618" s="460">
        <v>98.217449999999999</v>
      </c>
      <c r="D618" s="460">
        <v>98.217449999999999</v>
      </c>
      <c r="G618" s="299" t="s">
        <v>397</v>
      </c>
      <c r="H618" s="299">
        <v>2018</v>
      </c>
    </row>
    <row r="619" spans="1:8" x14ac:dyDescent="0.2">
      <c r="A619" s="299" t="str">
        <f t="shared" si="13"/>
        <v>SRB2015</v>
      </c>
      <c r="B619" s="460">
        <v>3494.9580000000001</v>
      </c>
      <c r="C619" s="460">
        <v>2028.1659999999999</v>
      </c>
      <c r="D619" s="460">
        <v>2016.06</v>
      </c>
      <c r="E619" s="460">
        <v>14.20851</v>
      </c>
      <c r="F619" s="460">
        <v>124.91584</v>
      </c>
      <c r="G619" s="299" t="s">
        <v>399</v>
      </c>
      <c r="H619" s="299">
        <v>2015</v>
      </c>
    </row>
    <row r="620" spans="1:8" x14ac:dyDescent="0.2">
      <c r="A620" s="299" t="str">
        <f t="shared" si="13"/>
        <v>SRB2016</v>
      </c>
      <c r="B620" s="460">
        <v>3442.1559999999999</v>
      </c>
      <c r="C620" s="460">
        <v>1995.249</v>
      </c>
      <c r="D620" s="460">
        <v>1981.94</v>
      </c>
      <c r="E620" s="460">
        <v>14.95973</v>
      </c>
      <c r="F620" s="460">
        <v>116.37994999999999</v>
      </c>
      <c r="G620" s="299" t="s">
        <v>399</v>
      </c>
      <c r="H620" s="299">
        <v>2016</v>
      </c>
    </row>
    <row r="621" spans="1:8" x14ac:dyDescent="0.2">
      <c r="A621" s="299" t="str">
        <f t="shared" si="13"/>
        <v>SRB2017</v>
      </c>
      <c r="B621" s="460">
        <v>3631.6959999999999</v>
      </c>
      <c r="C621" s="460">
        <v>2092.25</v>
      </c>
      <c r="D621" s="460">
        <v>2087.453</v>
      </c>
      <c r="E621" s="460">
        <v>6.9760949999999999</v>
      </c>
      <c r="F621" s="460">
        <v>137.74133</v>
      </c>
      <c r="G621" s="299" t="s">
        <v>399</v>
      </c>
      <c r="H621" s="299">
        <v>2017</v>
      </c>
    </row>
    <row r="622" spans="1:8" x14ac:dyDescent="0.2">
      <c r="A622" s="299" t="str">
        <f t="shared" si="13"/>
        <v>SRB2018</v>
      </c>
      <c r="B622" s="460">
        <v>4320.4970000000003</v>
      </c>
      <c r="C622" s="460">
        <v>2592.547</v>
      </c>
      <c r="D622" s="460">
        <v>2564.9940000000001</v>
      </c>
      <c r="E622" s="460">
        <v>29.572410000000001</v>
      </c>
      <c r="F622" s="460">
        <v>144.131</v>
      </c>
      <c r="G622" s="299" t="s">
        <v>399</v>
      </c>
      <c r="H622" s="299">
        <v>2018</v>
      </c>
    </row>
    <row r="623" spans="1:8" x14ac:dyDescent="0.2">
      <c r="A623" s="299" t="str">
        <f t="shared" si="13"/>
        <v>SSD2017</v>
      </c>
      <c r="B623" s="460">
        <v>287.84010000000001</v>
      </c>
      <c r="C623" s="460">
        <v>24.31334</v>
      </c>
      <c r="D623" s="460">
        <v>24.29945</v>
      </c>
      <c r="E623" s="460">
        <v>196.06880000000001</v>
      </c>
      <c r="F623" s="460">
        <v>15.524822</v>
      </c>
      <c r="G623" s="299" t="s">
        <v>167</v>
      </c>
      <c r="H623" s="299">
        <v>2017</v>
      </c>
    </row>
    <row r="624" spans="1:8" x14ac:dyDescent="0.2">
      <c r="A624" s="299" t="str">
        <f t="shared" si="13"/>
        <v>SSD2018</v>
      </c>
      <c r="B624" s="460">
        <v>293.99970000000002</v>
      </c>
      <c r="C624" s="460">
        <v>31.70269</v>
      </c>
      <c r="D624" s="460">
        <v>31.68458</v>
      </c>
      <c r="E624" s="460">
        <v>183.279</v>
      </c>
      <c r="G624" s="299" t="s">
        <v>167</v>
      </c>
      <c r="H624" s="299">
        <v>2018</v>
      </c>
    </row>
    <row r="625" spans="1:8" x14ac:dyDescent="0.2">
      <c r="A625" s="299" t="str">
        <f t="shared" si="13"/>
        <v>STP2015</v>
      </c>
      <c r="B625" s="460">
        <v>16.99643</v>
      </c>
      <c r="C625" s="460">
        <v>7.246397</v>
      </c>
      <c r="D625" s="460">
        <v>5.3747199999999999</v>
      </c>
      <c r="E625" s="460">
        <v>8.6734439999999999</v>
      </c>
      <c r="F625" s="460">
        <v>0.68641538999999996</v>
      </c>
      <c r="G625" s="299" t="s">
        <v>169</v>
      </c>
      <c r="H625" s="299">
        <v>2015</v>
      </c>
    </row>
    <row r="626" spans="1:8" x14ac:dyDescent="0.2">
      <c r="A626" s="299" t="str">
        <f t="shared" si="13"/>
        <v>STP2016</v>
      </c>
      <c r="B626" s="460">
        <v>22.351030000000002</v>
      </c>
      <c r="C626" s="460">
        <v>11.061120000000001</v>
      </c>
      <c r="D626" s="460">
        <v>9.010567</v>
      </c>
      <c r="E626" s="460">
        <v>9.8089449999999996</v>
      </c>
      <c r="F626" s="460">
        <v>1.5499510000000001</v>
      </c>
      <c r="G626" s="299" t="s">
        <v>169</v>
      </c>
      <c r="H626" s="299">
        <v>2016</v>
      </c>
    </row>
    <row r="627" spans="1:8" x14ac:dyDescent="0.2">
      <c r="A627" s="299" t="str">
        <f t="shared" si="13"/>
        <v>STP2017</v>
      </c>
      <c r="B627" s="460">
        <v>24.231619999999999</v>
      </c>
      <c r="C627" s="460">
        <v>12.369109999999999</v>
      </c>
      <c r="D627" s="460">
        <v>11.15315</v>
      </c>
      <c r="E627" s="460">
        <v>9.1853409999999993</v>
      </c>
      <c r="F627" s="460">
        <v>2.3084688</v>
      </c>
      <c r="G627" s="299" t="s">
        <v>169</v>
      </c>
      <c r="H627" s="299">
        <v>2017</v>
      </c>
    </row>
    <row r="628" spans="1:8" x14ac:dyDescent="0.2">
      <c r="A628" s="299" t="str">
        <f t="shared" si="13"/>
        <v>STP2018</v>
      </c>
      <c r="B628" s="460">
        <v>26.463000000000001</v>
      </c>
      <c r="C628" s="460">
        <v>13.29782</v>
      </c>
      <c r="D628" s="460">
        <v>11.63354</v>
      </c>
      <c r="E628" s="460">
        <v>10.50881</v>
      </c>
      <c r="G628" s="299" t="s">
        <v>169</v>
      </c>
      <c r="H628" s="299">
        <v>2018</v>
      </c>
    </row>
    <row r="629" spans="1:8" x14ac:dyDescent="0.2">
      <c r="A629" s="299" t="str">
        <f t="shared" si="13"/>
        <v>SUR2015</v>
      </c>
      <c r="B629" s="460">
        <v>297.74209999999999</v>
      </c>
      <c r="C629" s="460">
        <v>163.0753</v>
      </c>
      <c r="D629" s="460">
        <v>162.2088</v>
      </c>
      <c r="E629" s="460">
        <v>0.91498889999999999</v>
      </c>
      <c r="G629" s="299" t="s">
        <v>251</v>
      </c>
      <c r="H629" s="299">
        <v>2015</v>
      </c>
    </row>
    <row r="630" spans="1:8" x14ac:dyDescent="0.2">
      <c r="A630" s="299" t="str">
        <f t="shared" si="13"/>
        <v>SUR2016</v>
      </c>
      <c r="B630" s="460">
        <v>198.80779999999999</v>
      </c>
      <c r="C630" s="460">
        <v>124.586</v>
      </c>
      <c r="D630" s="460">
        <v>123.07680000000001</v>
      </c>
      <c r="E630" s="460">
        <v>2.745387</v>
      </c>
      <c r="F630" s="460">
        <v>1.8623677000000001</v>
      </c>
      <c r="G630" s="299" t="s">
        <v>251</v>
      </c>
      <c r="H630" s="299">
        <v>2016</v>
      </c>
    </row>
    <row r="631" spans="1:8" x14ac:dyDescent="0.2">
      <c r="A631" s="299" t="str">
        <f t="shared" si="13"/>
        <v>SUR2017</v>
      </c>
      <c r="B631" s="460">
        <v>191.1781</v>
      </c>
      <c r="C631" s="460">
        <v>112.27549999999999</v>
      </c>
      <c r="D631" s="460">
        <v>111.31659999999999</v>
      </c>
      <c r="E631" s="460">
        <v>1.121138</v>
      </c>
      <c r="G631" s="299" t="s">
        <v>251</v>
      </c>
      <c r="H631" s="299">
        <v>2017</v>
      </c>
    </row>
    <row r="632" spans="1:8" x14ac:dyDescent="0.2">
      <c r="A632" s="299" t="str">
        <f t="shared" si="13"/>
        <v>SUR2018</v>
      </c>
      <c r="B632" s="460">
        <v>273.09219999999999</v>
      </c>
      <c r="C632" s="460">
        <v>184.87649999999999</v>
      </c>
      <c r="D632" s="460">
        <v>180.05199999999999</v>
      </c>
      <c r="E632" s="460">
        <v>5.2930970000000004</v>
      </c>
      <c r="G632" s="299" t="s">
        <v>251</v>
      </c>
      <c r="H632" s="299">
        <v>2018</v>
      </c>
    </row>
    <row r="633" spans="1:8" x14ac:dyDescent="0.2">
      <c r="A633" s="299" t="str">
        <f t="shared" si="13"/>
        <v>SVK2015</v>
      </c>
      <c r="B633" s="460">
        <v>6011.616</v>
      </c>
      <c r="C633" s="460">
        <v>4740.1149999999998</v>
      </c>
      <c r="D633" s="460">
        <v>4740.1149999999998</v>
      </c>
      <c r="G633" s="299" t="s">
        <v>401</v>
      </c>
      <c r="H633" s="299">
        <v>2015</v>
      </c>
    </row>
    <row r="634" spans="1:8" x14ac:dyDescent="0.2">
      <c r="A634" s="299" t="str">
        <f t="shared" si="13"/>
        <v>SVK2016</v>
      </c>
      <c r="B634" s="460">
        <v>6379.0860000000002</v>
      </c>
      <c r="C634" s="460">
        <v>5089.4769999999999</v>
      </c>
      <c r="D634" s="460">
        <v>5089.4769999999999</v>
      </c>
      <c r="G634" s="299" t="s">
        <v>401</v>
      </c>
      <c r="H634" s="299">
        <v>2016</v>
      </c>
    </row>
    <row r="635" spans="1:8" x14ac:dyDescent="0.2">
      <c r="A635" s="299" t="str">
        <f t="shared" si="13"/>
        <v>SVK2017</v>
      </c>
      <c r="B635" s="460">
        <v>6463.0159999999996</v>
      </c>
      <c r="C635" s="460">
        <v>5112.6180000000004</v>
      </c>
      <c r="D635" s="460">
        <v>5112.6180000000004</v>
      </c>
      <c r="G635" s="299" t="s">
        <v>401</v>
      </c>
      <c r="H635" s="299">
        <v>2017</v>
      </c>
    </row>
    <row r="636" spans="1:8" x14ac:dyDescent="0.2">
      <c r="A636" s="299" t="str">
        <f t="shared" si="13"/>
        <v>SVK2018</v>
      </c>
      <c r="B636" s="460">
        <v>7075.5739999999996</v>
      </c>
      <c r="C636" s="460">
        <v>5606.6220000000003</v>
      </c>
      <c r="D636" s="460">
        <v>5606.6220000000003</v>
      </c>
      <c r="G636" s="299" t="s">
        <v>401</v>
      </c>
      <c r="H636" s="299">
        <v>2018</v>
      </c>
    </row>
    <row r="637" spans="1:8" x14ac:dyDescent="0.2">
      <c r="A637" s="299" t="str">
        <f t="shared" si="13"/>
        <v>SVN2015</v>
      </c>
      <c r="B637" s="460">
        <v>3663.377</v>
      </c>
      <c r="C637" s="460">
        <v>2613.982</v>
      </c>
      <c r="D637" s="460">
        <v>2613.982</v>
      </c>
      <c r="G637" s="299" t="s">
        <v>403</v>
      </c>
      <c r="H637" s="299">
        <v>2015</v>
      </c>
    </row>
    <row r="638" spans="1:8" x14ac:dyDescent="0.2">
      <c r="A638" s="299" t="str">
        <f t="shared" si="13"/>
        <v>SVN2016</v>
      </c>
      <c r="B638" s="460">
        <v>3788.6260000000002</v>
      </c>
      <c r="C638" s="460">
        <v>2738.712</v>
      </c>
      <c r="D638" s="460">
        <v>2738.712</v>
      </c>
      <c r="G638" s="299" t="s">
        <v>403</v>
      </c>
      <c r="H638" s="299">
        <v>2016</v>
      </c>
    </row>
    <row r="639" spans="1:8" x14ac:dyDescent="0.2">
      <c r="A639" s="299" t="str">
        <f t="shared" si="13"/>
        <v>SVN2017</v>
      </c>
      <c r="B639" s="460">
        <v>3976.92</v>
      </c>
      <c r="C639" s="460">
        <v>2855.3560000000002</v>
      </c>
      <c r="D639" s="460">
        <v>2855.3560000000002</v>
      </c>
      <c r="G639" s="299" t="s">
        <v>403</v>
      </c>
      <c r="H639" s="299">
        <v>2017</v>
      </c>
    </row>
    <row r="640" spans="1:8" x14ac:dyDescent="0.2">
      <c r="A640" s="299" t="str">
        <f t="shared" si="13"/>
        <v>SVN2018</v>
      </c>
      <c r="B640" s="460">
        <v>4484.26</v>
      </c>
      <c r="C640" s="460">
        <v>3247.002</v>
      </c>
      <c r="D640" s="460">
        <v>3247.002</v>
      </c>
      <c r="G640" s="299" t="s">
        <v>403</v>
      </c>
      <c r="H640" s="299">
        <v>2018</v>
      </c>
    </row>
    <row r="641" spans="1:8" x14ac:dyDescent="0.2">
      <c r="A641" s="299" t="str">
        <f t="shared" si="13"/>
        <v>SWE2015</v>
      </c>
      <c r="B641" s="460">
        <v>54536.77</v>
      </c>
      <c r="C641" s="460">
        <v>45853.5</v>
      </c>
      <c r="D641" s="460">
        <v>45853.5</v>
      </c>
      <c r="E641" s="460">
        <v>0</v>
      </c>
      <c r="F641" s="460">
        <v>2808.2330999999999</v>
      </c>
      <c r="G641" s="299" t="s">
        <v>405</v>
      </c>
      <c r="H641" s="299">
        <v>2015</v>
      </c>
    </row>
    <row r="642" spans="1:8" x14ac:dyDescent="0.2">
      <c r="A642" s="299" t="str">
        <f t="shared" ref="A642:A705" si="14">CONCATENATE(G642,H642)</f>
        <v>SWE2016</v>
      </c>
      <c r="B642" s="460">
        <v>55899.38</v>
      </c>
      <c r="C642" s="460">
        <v>47189.48</v>
      </c>
      <c r="D642" s="460">
        <v>47189.48</v>
      </c>
      <c r="E642" s="460">
        <v>0</v>
      </c>
      <c r="F642" s="460">
        <v>2804.4875999999999</v>
      </c>
      <c r="G642" s="299" t="s">
        <v>405</v>
      </c>
      <c r="H642" s="299">
        <v>2016</v>
      </c>
    </row>
    <row r="643" spans="1:8" x14ac:dyDescent="0.2">
      <c r="A643" s="299" t="str">
        <f t="shared" si="14"/>
        <v>SWE2017</v>
      </c>
      <c r="B643" s="460">
        <v>58353.86</v>
      </c>
      <c r="C643" s="460">
        <v>49459.92</v>
      </c>
      <c r="D643" s="460">
        <v>49459.92</v>
      </c>
      <c r="E643" s="460">
        <v>0</v>
      </c>
      <c r="F643" s="460">
        <v>2918.1664999999998</v>
      </c>
      <c r="G643" s="299" t="s">
        <v>405</v>
      </c>
      <c r="H643" s="299">
        <v>2017</v>
      </c>
    </row>
    <row r="644" spans="1:8" x14ac:dyDescent="0.2">
      <c r="A644" s="299" t="str">
        <f t="shared" si="14"/>
        <v>SWE2018</v>
      </c>
      <c r="B644" s="460">
        <v>60536.31</v>
      </c>
      <c r="C644" s="460">
        <v>51511.66</v>
      </c>
      <c r="D644" s="460">
        <v>51511.66</v>
      </c>
      <c r="E644" s="460">
        <v>0</v>
      </c>
      <c r="F644" s="460">
        <v>3252.4522999999999</v>
      </c>
      <c r="G644" s="299" t="s">
        <v>405</v>
      </c>
      <c r="H644" s="299">
        <v>2018</v>
      </c>
    </row>
    <row r="645" spans="1:8" x14ac:dyDescent="0.2">
      <c r="A645" s="299" t="str">
        <f t="shared" si="14"/>
        <v>SWZ2015</v>
      </c>
      <c r="B645" s="460">
        <v>286.52050000000003</v>
      </c>
      <c r="C645" s="460">
        <v>146.0907</v>
      </c>
      <c r="D645" s="460">
        <v>119.64279999999999</v>
      </c>
      <c r="E645" s="460">
        <v>93.599040000000002</v>
      </c>
      <c r="G645" s="299" t="s">
        <v>171</v>
      </c>
      <c r="H645" s="299">
        <v>2015</v>
      </c>
    </row>
    <row r="646" spans="1:8" x14ac:dyDescent="0.2">
      <c r="A646" s="299" t="str">
        <f t="shared" si="14"/>
        <v>SWZ2016</v>
      </c>
      <c r="B646" s="460">
        <v>260.26889999999997</v>
      </c>
      <c r="C646" s="460">
        <v>130.9898</v>
      </c>
      <c r="D646" s="460">
        <v>108.60299999999999</v>
      </c>
      <c r="E646" s="460">
        <v>84.973380000000006</v>
      </c>
      <c r="G646" s="299" t="s">
        <v>171</v>
      </c>
      <c r="H646" s="299">
        <v>2016</v>
      </c>
    </row>
    <row r="647" spans="1:8" x14ac:dyDescent="0.2">
      <c r="A647" s="299" t="str">
        <f t="shared" si="14"/>
        <v>SWZ2017</v>
      </c>
      <c r="B647" s="460">
        <v>307.2722</v>
      </c>
      <c r="C647" s="460">
        <v>155.94739999999999</v>
      </c>
      <c r="D647" s="460">
        <v>155.9263</v>
      </c>
      <c r="E647" s="460">
        <v>72.965159999999997</v>
      </c>
      <c r="F647" s="460">
        <v>24.824669</v>
      </c>
      <c r="G647" s="299" t="s">
        <v>171</v>
      </c>
      <c r="H647" s="299">
        <v>2017</v>
      </c>
    </row>
    <row r="648" spans="1:8" x14ac:dyDescent="0.2">
      <c r="A648" s="299" t="str">
        <f t="shared" si="14"/>
        <v>SWZ2018</v>
      </c>
      <c r="B648" s="460">
        <v>308.09129999999999</v>
      </c>
      <c r="C648" s="460">
        <v>152.53290000000001</v>
      </c>
      <c r="D648" s="460">
        <v>101.2717</v>
      </c>
      <c r="E648" s="460">
        <v>130.9941</v>
      </c>
      <c r="G648" s="299" t="s">
        <v>171</v>
      </c>
      <c r="H648" s="299">
        <v>2018</v>
      </c>
    </row>
    <row r="649" spans="1:8" x14ac:dyDescent="0.2">
      <c r="A649" s="299" t="str">
        <f t="shared" si="14"/>
        <v>SYC2015</v>
      </c>
      <c r="B649" s="460">
        <v>63.203220000000002</v>
      </c>
      <c r="C649" s="460">
        <v>44.704320000000003</v>
      </c>
      <c r="D649" s="460">
        <v>44.704320000000003</v>
      </c>
      <c r="E649" s="460">
        <v>0.21406159999999999</v>
      </c>
      <c r="F649" s="460">
        <v>1.6524053000000001</v>
      </c>
      <c r="G649" s="299" t="s">
        <v>173</v>
      </c>
      <c r="H649" s="299">
        <v>2015</v>
      </c>
    </row>
    <row r="650" spans="1:8" x14ac:dyDescent="0.2">
      <c r="A650" s="299" t="str">
        <f t="shared" si="14"/>
        <v>SYC2016</v>
      </c>
      <c r="B650" s="460">
        <v>73.931079999999994</v>
      </c>
      <c r="C650" s="460">
        <v>53.416629999999998</v>
      </c>
      <c r="D650" s="460">
        <v>51.122210000000003</v>
      </c>
      <c r="E650" s="460">
        <v>2.8960270000000001</v>
      </c>
      <c r="F650" s="460">
        <v>3.0096807000000001</v>
      </c>
      <c r="G650" s="299" t="s">
        <v>173</v>
      </c>
      <c r="H650" s="299">
        <v>2016</v>
      </c>
    </row>
    <row r="651" spans="1:8" x14ac:dyDescent="0.2">
      <c r="A651" s="299" t="str">
        <f t="shared" si="14"/>
        <v>SYC2017</v>
      </c>
      <c r="B651" s="460">
        <v>74.999179999999996</v>
      </c>
      <c r="C651" s="460">
        <v>54.819070000000004</v>
      </c>
      <c r="D651" s="460">
        <v>54.782730000000001</v>
      </c>
      <c r="E651" s="460">
        <v>0.44107800000000003</v>
      </c>
      <c r="F651" s="460">
        <v>41.674317000000002</v>
      </c>
      <c r="G651" s="299" t="s">
        <v>173</v>
      </c>
      <c r="H651" s="299">
        <v>2017</v>
      </c>
    </row>
    <row r="652" spans="1:8" x14ac:dyDescent="0.2">
      <c r="A652" s="299" t="str">
        <f t="shared" si="14"/>
        <v>SYC2018</v>
      </c>
      <c r="B652" s="460">
        <v>80.888630000000006</v>
      </c>
      <c r="C652" s="460">
        <v>60.237549999999999</v>
      </c>
      <c r="D652" s="460">
        <v>60.237549999999999</v>
      </c>
      <c r="E652" s="460">
        <v>0.29915829999999999</v>
      </c>
      <c r="G652" s="299" t="s">
        <v>173</v>
      </c>
      <c r="H652" s="299">
        <v>2018</v>
      </c>
    </row>
    <row r="653" spans="1:8" x14ac:dyDescent="0.2">
      <c r="A653" s="299" t="str">
        <f t="shared" si="14"/>
        <v>TCD2015</v>
      </c>
      <c r="B653" s="460">
        <v>495.19690000000003</v>
      </c>
      <c r="C653" s="460">
        <v>140.5086</v>
      </c>
      <c r="D653" s="460">
        <v>105.2998</v>
      </c>
      <c r="E653" s="460">
        <v>84.233289999999997</v>
      </c>
      <c r="G653" s="299" t="s">
        <v>175</v>
      </c>
      <c r="H653" s="299">
        <v>2015</v>
      </c>
    </row>
    <row r="654" spans="1:8" x14ac:dyDescent="0.2">
      <c r="A654" s="299" t="str">
        <f t="shared" si="14"/>
        <v>TCD2016</v>
      </c>
      <c r="B654" s="460">
        <v>500.22519999999997</v>
      </c>
      <c r="C654" s="460">
        <v>146.5943</v>
      </c>
      <c r="D654" s="460">
        <v>83.869339999999994</v>
      </c>
      <c r="E654" s="460">
        <v>111.60339999999999</v>
      </c>
      <c r="G654" s="299" t="s">
        <v>175</v>
      </c>
      <c r="H654" s="299">
        <v>2016</v>
      </c>
    </row>
    <row r="655" spans="1:8" x14ac:dyDescent="0.2">
      <c r="A655" s="299" t="str">
        <f t="shared" si="14"/>
        <v>TCD2017</v>
      </c>
      <c r="B655" s="460">
        <v>442.98970000000003</v>
      </c>
      <c r="C655" s="460">
        <v>93.902029999999996</v>
      </c>
      <c r="D655" s="460">
        <v>70.017060000000001</v>
      </c>
      <c r="E655" s="460">
        <v>93.27252</v>
      </c>
      <c r="G655" s="299" t="s">
        <v>175</v>
      </c>
      <c r="H655" s="299">
        <v>2017</v>
      </c>
    </row>
    <row r="656" spans="1:8" x14ac:dyDescent="0.2">
      <c r="A656" s="299" t="str">
        <f t="shared" si="14"/>
        <v>TCD2018</v>
      </c>
      <c r="B656" s="460">
        <v>452.54570000000001</v>
      </c>
      <c r="C656" s="460">
        <v>109.32980000000001</v>
      </c>
      <c r="D656" s="460">
        <v>76.939310000000006</v>
      </c>
      <c r="E656" s="460">
        <v>70.77467</v>
      </c>
      <c r="G656" s="299" t="s">
        <v>175</v>
      </c>
      <c r="H656" s="299">
        <v>2018</v>
      </c>
    </row>
    <row r="657" spans="1:8" x14ac:dyDescent="0.2">
      <c r="A657" s="299" t="str">
        <f t="shared" si="14"/>
        <v>TGO2015</v>
      </c>
      <c r="B657" s="460">
        <v>261.17320000000001</v>
      </c>
      <c r="C657" s="460">
        <v>92.190190000000001</v>
      </c>
      <c r="D657" s="460">
        <v>53.23789</v>
      </c>
      <c r="E657" s="460">
        <v>43.359549999999999</v>
      </c>
      <c r="F657" s="460">
        <v>4.9797710000000004</v>
      </c>
      <c r="G657" s="299" t="s">
        <v>177</v>
      </c>
      <c r="H657" s="299">
        <v>2015</v>
      </c>
    </row>
    <row r="658" spans="1:8" x14ac:dyDescent="0.2">
      <c r="A658" s="299" t="str">
        <f t="shared" si="14"/>
        <v>TGO2016</v>
      </c>
      <c r="B658" s="460">
        <v>294.90960000000001</v>
      </c>
      <c r="C658" s="460">
        <v>111.6554</v>
      </c>
      <c r="D658" s="460">
        <v>59.186329999999998</v>
      </c>
      <c r="E658" s="460">
        <v>61.055959999999999</v>
      </c>
      <c r="F658" s="460">
        <v>4.1257427</v>
      </c>
      <c r="G658" s="299" t="s">
        <v>177</v>
      </c>
      <c r="H658" s="299">
        <v>2016</v>
      </c>
    </row>
    <row r="659" spans="1:8" x14ac:dyDescent="0.2">
      <c r="A659" s="299" t="str">
        <f t="shared" si="14"/>
        <v>TGO2017</v>
      </c>
      <c r="B659" s="460">
        <v>288.46609999999998</v>
      </c>
      <c r="C659" s="460">
        <v>75.083399999999997</v>
      </c>
      <c r="D659" s="460">
        <v>44.160710000000002</v>
      </c>
      <c r="E659" s="460">
        <v>40.690339999999999</v>
      </c>
      <c r="G659" s="299" t="s">
        <v>177</v>
      </c>
      <c r="H659" s="299">
        <v>2017</v>
      </c>
    </row>
    <row r="660" spans="1:8" x14ac:dyDescent="0.2">
      <c r="A660" s="299" t="str">
        <f t="shared" si="14"/>
        <v>TGO2018</v>
      </c>
      <c r="B660" s="460">
        <v>330.05419999999998</v>
      </c>
      <c r="C660" s="460">
        <v>101.2272</v>
      </c>
      <c r="D660" s="460">
        <v>56.248139999999999</v>
      </c>
      <c r="E660" s="460">
        <v>55.453699999999998</v>
      </c>
      <c r="G660" s="299" t="s">
        <v>177</v>
      </c>
      <c r="H660" s="299">
        <v>2018</v>
      </c>
    </row>
    <row r="661" spans="1:8" x14ac:dyDescent="0.2">
      <c r="A661" s="299" t="str">
        <f t="shared" si="14"/>
        <v>THA2015</v>
      </c>
      <c r="B661" s="460">
        <v>14719.1</v>
      </c>
      <c r="C661" s="460">
        <v>11030.44</v>
      </c>
      <c r="D661" s="460">
        <v>11030.44</v>
      </c>
      <c r="E661" s="460">
        <v>43.101280000000003</v>
      </c>
      <c r="F661" s="460">
        <v>889.05376000000001</v>
      </c>
      <c r="G661" s="299" t="s">
        <v>437</v>
      </c>
      <c r="H661" s="299">
        <v>2015</v>
      </c>
    </row>
    <row r="662" spans="1:8" x14ac:dyDescent="0.2">
      <c r="A662" s="299" t="str">
        <f t="shared" si="14"/>
        <v>THA2016</v>
      </c>
      <c r="B662" s="460">
        <v>15518.17</v>
      </c>
      <c r="C662" s="460">
        <v>11786.63</v>
      </c>
      <c r="D662" s="460">
        <v>11786.63</v>
      </c>
      <c r="E662" s="460">
        <v>14.34728</v>
      </c>
      <c r="F662" s="460">
        <v>1309.2166999999999</v>
      </c>
      <c r="G662" s="299" t="s">
        <v>437</v>
      </c>
      <c r="H662" s="299">
        <v>2016</v>
      </c>
    </row>
    <row r="663" spans="1:8" x14ac:dyDescent="0.2">
      <c r="A663" s="299" t="str">
        <f t="shared" si="14"/>
        <v>THA2017</v>
      </c>
      <c r="B663" s="460">
        <v>17446.28</v>
      </c>
      <c r="C663" s="460">
        <v>13391.12</v>
      </c>
      <c r="D663" s="460">
        <v>13360.93</v>
      </c>
      <c r="E663" s="460">
        <v>39.154589999999999</v>
      </c>
      <c r="G663" s="299" t="s">
        <v>437</v>
      </c>
      <c r="H663" s="299">
        <v>2017</v>
      </c>
    </row>
    <row r="664" spans="1:8" x14ac:dyDescent="0.2">
      <c r="A664" s="299" t="str">
        <f t="shared" si="14"/>
        <v>THA2018</v>
      </c>
      <c r="B664" s="460">
        <v>19156.46</v>
      </c>
      <c r="C664" s="460">
        <v>14638.43</v>
      </c>
      <c r="D664" s="460">
        <v>14611.13</v>
      </c>
      <c r="E664" s="460">
        <v>64.136219999999994</v>
      </c>
      <c r="G664" s="299" t="s">
        <v>437</v>
      </c>
      <c r="H664" s="299">
        <v>2018</v>
      </c>
    </row>
    <row r="665" spans="1:8" x14ac:dyDescent="0.2">
      <c r="A665" s="299" t="str">
        <f t="shared" si="14"/>
        <v>TJK2015</v>
      </c>
      <c r="B665" s="460">
        <v>542.47050000000002</v>
      </c>
      <c r="C665" s="460">
        <v>179.84460000000001</v>
      </c>
      <c r="D665" s="460">
        <v>160.601</v>
      </c>
      <c r="E665" s="460">
        <v>40.596449999999997</v>
      </c>
      <c r="F665" s="460">
        <v>20.444257</v>
      </c>
      <c r="G665" s="299" t="s">
        <v>407</v>
      </c>
      <c r="H665" s="299">
        <v>2015</v>
      </c>
    </row>
    <row r="666" spans="1:8" x14ac:dyDescent="0.2">
      <c r="A666" s="299" t="str">
        <f t="shared" si="14"/>
        <v>TJK2016</v>
      </c>
      <c r="B666" s="460">
        <v>486.91250000000002</v>
      </c>
      <c r="C666" s="460">
        <v>155.251</v>
      </c>
      <c r="D666" s="460">
        <v>139.13239999999999</v>
      </c>
      <c r="E666" s="460">
        <v>25.26896</v>
      </c>
      <c r="F666" s="460">
        <v>6.6362928999999999</v>
      </c>
      <c r="G666" s="299" t="s">
        <v>407</v>
      </c>
      <c r="H666" s="299">
        <v>2016</v>
      </c>
    </row>
    <row r="667" spans="1:8" x14ac:dyDescent="0.2">
      <c r="A667" s="299" t="str">
        <f t="shared" si="14"/>
        <v>TJK2017</v>
      </c>
      <c r="B667" s="460">
        <v>516.5444</v>
      </c>
      <c r="C667" s="460">
        <v>171.58500000000001</v>
      </c>
      <c r="D667" s="460">
        <v>149.81809999999999</v>
      </c>
      <c r="E667" s="460">
        <v>39.521850000000001</v>
      </c>
      <c r="F667" s="460">
        <v>10.023744000000001</v>
      </c>
      <c r="G667" s="299" t="s">
        <v>407</v>
      </c>
      <c r="H667" s="299">
        <v>2017</v>
      </c>
    </row>
    <row r="668" spans="1:8" x14ac:dyDescent="0.2">
      <c r="A668" s="299" t="str">
        <f t="shared" si="14"/>
        <v>TJK2018</v>
      </c>
      <c r="B668" s="460">
        <v>544.6223</v>
      </c>
      <c r="C668" s="460">
        <v>160.9811</v>
      </c>
      <c r="D668" s="460">
        <v>147.2961</v>
      </c>
      <c r="E668" s="460">
        <v>23.62772</v>
      </c>
      <c r="F668" s="460">
        <v>16.819655999999998</v>
      </c>
      <c r="G668" s="299" t="s">
        <v>407</v>
      </c>
      <c r="H668" s="299">
        <v>2018</v>
      </c>
    </row>
    <row r="669" spans="1:8" x14ac:dyDescent="0.2">
      <c r="A669" s="299" t="str">
        <f t="shared" si="14"/>
        <v>TKM2015</v>
      </c>
      <c r="B669" s="460">
        <v>2254.643</v>
      </c>
      <c r="C669" s="460">
        <v>540.11969999999997</v>
      </c>
      <c r="D669" s="460">
        <v>539.93589999999995</v>
      </c>
      <c r="E669" s="460">
        <v>5.4741479999999996</v>
      </c>
      <c r="G669" s="299" t="s">
        <v>409</v>
      </c>
      <c r="H669" s="299">
        <v>2015</v>
      </c>
    </row>
    <row r="670" spans="1:8" x14ac:dyDescent="0.2">
      <c r="A670" s="299" t="str">
        <f t="shared" si="14"/>
        <v>TKM2016</v>
      </c>
      <c r="B670" s="460">
        <v>2395.5210000000002</v>
      </c>
      <c r="C670" s="460">
        <v>445.08269999999999</v>
      </c>
      <c r="D670" s="460">
        <v>445.04469999999998</v>
      </c>
      <c r="E670" s="460">
        <v>4.4908210000000004</v>
      </c>
      <c r="G670" s="299" t="s">
        <v>409</v>
      </c>
      <c r="H670" s="299">
        <v>2016</v>
      </c>
    </row>
    <row r="671" spans="1:8" x14ac:dyDescent="0.2">
      <c r="A671" s="299" t="str">
        <f t="shared" si="14"/>
        <v>TKM2017</v>
      </c>
      <c r="B671" s="460">
        <v>2629.7310000000002</v>
      </c>
      <c r="C671" s="460">
        <v>587.22739999999999</v>
      </c>
      <c r="D671" s="460">
        <v>587.19399999999996</v>
      </c>
      <c r="E671" s="460">
        <v>2.626169</v>
      </c>
      <c r="G671" s="299" t="s">
        <v>409</v>
      </c>
      <c r="H671" s="299">
        <v>2017</v>
      </c>
    </row>
    <row r="672" spans="1:8" x14ac:dyDescent="0.2">
      <c r="A672" s="299" t="str">
        <f t="shared" si="14"/>
        <v>TKM2018</v>
      </c>
      <c r="B672" s="460">
        <v>2692.4389999999999</v>
      </c>
      <c r="C672" s="460">
        <v>487.90789999999998</v>
      </c>
      <c r="D672" s="460">
        <v>487.88850000000002</v>
      </c>
      <c r="E672" s="460">
        <v>12.16337</v>
      </c>
      <c r="G672" s="299" t="s">
        <v>409</v>
      </c>
      <c r="H672" s="299">
        <v>2018</v>
      </c>
    </row>
    <row r="673" spans="1:8" x14ac:dyDescent="0.2">
      <c r="A673" s="299" t="str">
        <f t="shared" si="14"/>
        <v>TLS2015</v>
      </c>
      <c r="B673" s="460">
        <v>122.29430000000001</v>
      </c>
      <c r="C673" s="460">
        <v>93.4</v>
      </c>
      <c r="D673" s="460">
        <v>70.239999999999995</v>
      </c>
      <c r="E673" s="460">
        <v>38.254069999999999</v>
      </c>
      <c r="F673" s="460">
        <v>10.48</v>
      </c>
      <c r="G673" s="299" t="s">
        <v>439</v>
      </c>
      <c r="H673" s="299">
        <v>2015</v>
      </c>
    </row>
    <row r="674" spans="1:8" x14ac:dyDescent="0.2">
      <c r="A674" s="299" t="str">
        <f t="shared" si="14"/>
        <v>TLS2016</v>
      </c>
      <c r="B674" s="460">
        <v>113.8571</v>
      </c>
      <c r="C674" s="460">
        <v>86.22</v>
      </c>
      <c r="D674" s="460">
        <v>56.52</v>
      </c>
      <c r="E674" s="460">
        <v>44.577269999999999</v>
      </c>
      <c r="F674" s="460">
        <v>11.61</v>
      </c>
      <c r="G674" s="299" t="s">
        <v>439</v>
      </c>
      <c r="H674" s="299">
        <v>2016</v>
      </c>
    </row>
    <row r="675" spans="1:8" x14ac:dyDescent="0.2">
      <c r="A675" s="299" t="str">
        <f t="shared" si="14"/>
        <v>TLS2017</v>
      </c>
      <c r="B675" s="460">
        <v>107.8501</v>
      </c>
      <c r="C675" s="460">
        <v>93.43562</v>
      </c>
      <c r="D675" s="460">
        <v>71.169790000000006</v>
      </c>
      <c r="E675" s="460">
        <v>24.146350000000002</v>
      </c>
      <c r="F675" s="460">
        <v>7.91</v>
      </c>
      <c r="G675" s="299" t="s">
        <v>439</v>
      </c>
      <c r="H675" s="299">
        <v>2017</v>
      </c>
    </row>
    <row r="676" spans="1:8" x14ac:dyDescent="0.2">
      <c r="A676" s="299" t="str">
        <f t="shared" si="14"/>
        <v>TLS2018</v>
      </c>
      <c r="B676" s="460">
        <v>118.8018</v>
      </c>
      <c r="C676" s="460">
        <v>91.460669999999993</v>
      </c>
      <c r="D676" s="460">
        <v>72.046880000000002</v>
      </c>
      <c r="E676" s="460">
        <v>33.258609999999997</v>
      </c>
      <c r="G676" s="299" t="s">
        <v>439</v>
      </c>
      <c r="H676" s="299">
        <v>2018</v>
      </c>
    </row>
    <row r="677" spans="1:8" x14ac:dyDescent="0.2">
      <c r="A677" s="299" t="str">
        <f t="shared" si="14"/>
        <v>TON2015</v>
      </c>
      <c r="B677" s="460">
        <v>18.884720000000002</v>
      </c>
      <c r="C677" s="460">
        <v>15.030849999999999</v>
      </c>
      <c r="D677" s="460">
        <v>11.14852</v>
      </c>
      <c r="E677" s="460">
        <v>4.865856</v>
      </c>
      <c r="F677" s="460">
        <v>0</v>
      </c>
      <c r="G677" s="299" t="s">
        <v>486</v>
      </c>
      <c r="H677" s="299">
        <v>2015</v>
      </c>
    </row>
    <row r="678" spans="1:8" x14ac:dyDescent="0.2">
      <c r="A678" s="299" t="str">
        <f t="shared" si="14"/>
        <v>TON2016</v>
      </c>
      <c r="B678" s="460">
        <v>21.783439999999999</v>
      </c>
      <c r="C678" s="460">
        <v>17.049330000000001</v>
      </c>
      <c r="D678" s="460">
        <v>12.77711</v>
      </c>
      <c r="E678" s="460">
        <v>6.1508669999999999</v>
      </c>
      <c r="F678" s="460">
        <v>0</v>
      </c>
      <c r="G678" s="299" t="s">
        <v>486</v>
      </c>
      <c r="H678" s="299">
        <v>2016</v>
      </c>
    </row>
    <row r="679" spans="1:8" x14ac:dyDescent="0.2">
      <c r="A679" s="299" t="str">
        <f t="shared" si="14"/>
        <v>TON2017</v>
      </c>
      <c r="B679" s="460">
        <v>23.741019999999999</v>
      </c>
      <c r="C679" s="460">
        <v>18.528759999999998</v>
      </c>
      <c r="D679" s="460">
        <v>13.4542</v>
      </c>
      <c r="E679" s="460">
        <v>7.1078130000000002</v>
      </c>
      <c r="F679" s="460">
        <v>0.34314900999999998</v>
      </c>
      <c r="G679" s="299" t="s">
        <v>486</v>
      </c>
      <c r="H679" s="299">
        <v>2017</v>
      </c>
    </row>
    <row r="680" spans="1:8" x14ac:dyDescent="0.2">
      <c r="A680" s="299" t="str">
        <f t="shared" si="14"/>
        <v>TON2018</v>
      </c>
      <c r="B680" s="460">
        <v>24.45093</v>
      </c>
      <c r="C680" s="460">
        <v>19.57987</v>
      </c>
      <c r="D680" s="460">
        <v>15.464029999999999</v>
      </c>
      <c r="E680" s="460">
        <v>5.5582729999999998</v>
      </c>
      <c r="F680" s="460">
        <v>0.60519701000000004</v>
      </c>
      <c r="G680" s="299" t="s">
        <v>486</v>
      </c>
      <c r="H680" s="299">
        <v>2018</v>
      </c>
    </row>
    <row r="681" spans="1:8" x14ac:dyDescent="0.2">
      <c r="A681" s="299" t="str">
        <f t="shared" si="14"/>
        <v>TTO2015</v>
      </c>
      <c r="B681" s="460">
        <v>1517.2070000000001</v>
      </c>
      <c r="C681" s="460">
        <v>782.577</v>
      </c>
      <c r="D681" s="460">
        <v>781.00429999999994</v>
      </c>
      <c r="E681" s="460">
        <v>1.619772</v>
      </c>
      <c r="F681" s="460">
        <v>138.27959000000001</v>
      </c>
      <c r="G681" s="299" t="s">
        <v>253</v>
      </c>
      <c r="H681" s="299">
        <v>2015</v>
      </c>
    </row>
    <row r="682" spans="1:8" x14ac:dyDescent="0.2">
      <c r="A682" s="299" t="str">
        <f t="shared" si="14"/>
        <v>TTO2016</v>
      </c>
      <c r="B682" s="460">
        <v>1524.2819999999999</v>
      </c>
      <c r="C682" s="460">
        <v>767.70129999999995</v>
      </c>
      <c r="D682" s="460">
        <v>766.58749999999998</v>
      </c>
      <c r="E682" s="460">
        <v>1.1138189999999999</v>
      </c>
      <c r="F682" s="460">
        <v>65.417665</v>
      </c>
      <c r="G682" s="299" t="s">
        <v>253</v>
      </c>
      <c r="H682" s="299">
        <v>2016</v>
      </c>
    </row>
    <row r="683" spans="1:8" x14ac:dyDescent="0.2">
      <c r="A683" s="299" t="str">
        <f t="shared" si="14"/>
        <v>TTO2017</v>
      </c>
      <c r="B683" s="460">
        <v>1562.04</v>
      </c>
      <c r="C683" s="460">
        <v>818.75630000000001</v>
      </c>
      <c r="D683" s="460">
        <v>818.75630000000001</v>
      </c>
      <c r="E683" s="460">
        <v>0</v>
      </c>
      <c r="F683" s="460">
        <v>36.825885999999997</v>
      </c>
      <c r="G683" s="299" t="s">
        <v>253</v>
      </c>
      <c r="H683" s="299">
        <v>2017</v>
      </c>
    </row>
    <row r="684" spans="1:8" x14ac:dyDescent="0.2">
      <c r="A684" s="299" t="str">
        <f t="shared" si="14"/>
        <v>TTO2018</v>
      </c>
      <c r="B684" s="460">
        <v>1561.383</v>
      </c>
      <c r="C684" s="460">
        <v>769.75599999999997</v>
      </c>
      <c r="D684" s="460">
        <v>769.56439999999998</v>
      </c>
      <c r="E684" s="460">
        <v>0.1916321</v>
      </c>
      <c r="F684" s="460">
        <v>45.647098</v>
      </c>
      <c r="G684" s="299" t="s">
        <v>253</v>
      </c>
      <c r="H684" s="299">
        <v>2018</v>
      </c>
    </row>
    <row r="685" spans="1:8" x14ac:dyDescent="0.2">
      <c r="A685" s="299" t="str">
        <f t="shared" si="14"/>
        <v>TUN2015</v>
      </c>
      <c r="B685" s="460">
        <v>3023.837</v>
      </c>
      <c r="C685" s="460">
        <v>1725.798</v>
      </c>
      <c r="D685" s="460">
        <v>1723.9280000000001</v>
      </c>
      <c r="E685" s="460">
        <v>1.8698779999999999</v>
      </c>
      <c r="G685" s="299" t="s">
        <v>305</v>
      </c>
      <c r="H685" s="299">
        <v>2015</v>
      </c>
    </row>
    <row r="686" spans="1:8" x14ac:dyDescent="0.2">
      <c r="A686" s="299" t="str">
        <f t="shared" si="14"/>
        <v>TUN2016</v>
      </c>
      <c r="B686" s="460">
        <v>2924.9540000000002</v>
      </c>
      <c r="C686" s="460">
        <v>1658.4749999999999</v>
      </c>
      <c r="D686" s="460">
        <v>1656.576</v>
      </c>
      <c r="E686" s="460">
        <v>1.898946</v>
      </c>
      <c r="G686" s="299" t="s">
        <v>305</v>
      </c>
      <c r="H686" s="299">
        <v>2016</v>
      </c>
    </row>
    <row r="687" spans="1:8" x14ac:dyDescent="0.2">
      <c r="A687" s="299" t="str">
        <f t="shared" si="14"/>
        <v>TUN2017</v>
      </c>
      <c r="B687" s="460">
        <v>2889.5149999999999</v>
      </c>
      <c r="C687" s="460">
        <v>1662.0719999999999</v>
      </c>
      <c r="D687" s="460">
        <v>1650.539</v>
      </c>
      <c r="E687" s="460">
        <v>12.44684</v>
      </c>
      <c r="G687" s="299" t="s">
        <v>305</v>
      </c>
      <c r="H687" s="299">
        <v>2017</v>
      </c>
    </row>
    <row r="688" spans="1:8" x14ac:dyDescent="0.2">
      <c r="A688" s="299" t="str">
        <f t="shared" si="14"/>
        <v>TUN2018</v>
      </c>
      <c r="B688" s="460">
        <v>2909.1880000000001</v>
      </c>
      <c r="C688" s="460">
        <v>1679.9760000000001</v>
      </c>
      <c r="D688" s="460">
        <v>1668.9549999999999</v>
      </c>
      <c r="E688" s="460">
        <v>12.59294</v>
      </c>
      <c r="G688" s="299" t="s">
        <v>305</v>
      </c>
      <c r="H688" s="299">
        <v>2018</v>
      </c>
    </row>
    <row r="689" spans="1:8" x14ac:dyDescent="0.2">
      <c r="A689" s="299" t="str">
        <f t="shared" si="14"/>
        <v>TUR2015</v>
      </c>
      <c r="B689" s="460">
        <v>35582.97</v>
      </c>
      <c r="C689" s="460">
        <v>27802.11</v>
      </c>
      <c r="D689" s="460">
        <v>27802.11</v>
      </c>
      <c r="G689" s="299" t="s">
        <v>411</v>
      </c>
      <c r="H689" s="299">
        <v>2015</v>
      </c>
    </row>
    <row r="690" spans="1:8" x14ac:dyDescent="0.2">
      <c r="A690" s="299" t="str">
        <f t="shared" si="14"/>
        <v>TUR2016</v>
      </c>
      <c r="B690" s="460">
        <v>37263.230000000003</v>
      </c>
      <c r="C690" s="460">
        <v>29230.15</v>
      </c>
      <c r="D690" s="460">
        <v>29230.15</v>
      </c>
      <c r="F690" s="460">
        <v>2389.1770000000001</v>
      </c>
      <c r="G690" s="299" t="s">
        <v>411</v>
      </c>
      <c r="H690" s="299">
        <v>2016</v>
      </c>
    </row>
    <row r="691" spans="1:8" x14ac:dyDescent="0.2">
      <c r="A691" s="299" t="str">
        <f t="shared" si="14"/>
        <v>TUR2017</v>
      </c>
      <c r="B691" s="460">
        <v>35903.57</v>
      </c>
      <c r="C691" s="460">
        <v>27900.85</v>
      </c>
      <c r="D691" s="460">
        <v>27900.85</v>
      </c>
      <c r="F691" s="460">
        <v>2649.7051999999999</v>
      </c>
      <c r="G691" s="299" t="s">
        <v>411</v>
      </c>
      <c r="H691" s="299">
        <v>2017</v>
      </c>
    </row>
    <row r="692" spans="1:8" x14ac:dyDescent="0.2">
      <c r="A692" s="299" t="str">
        <f t="shared" si="14"/>
        <v>TUR2018</v>
      </c>
      <c r="B692" s="460">
        <v>32101.56</v>
      </c>
      <c r="C692" s="460">
        <v>24840.92</v>
      </c>
      <c r="D692" s="460">
        <v>24840.92</v>
      </c>
      <c r="F692" s="460">
        <v>2119.9310999999998</v>
      </c>
      <c r="G692" s="299" t="s">
        <v>411</v>
      </c>
      <c r="H692" s="299">
        <v>2018</v>
      </c>
    </row>
    <row r="693" spans="1:8" x14ac:dyDescent="0.2">
      <c r="A693" s="299" t="str">
        <f t="shared" si="14"/>
        <v>TUV2015</v>
      </c>
      <c r="B693" s="460">
        <v>5.8965259999999997</v>
      </c>
      <c r="C693" s="460">
        <v>5.5671569999999999</v>
      </c>
      <c r="D693" s="460">
        <v>4.6503230000000002</v>
      </c>
      <c r="E693" s="460">
        <v>1.182393</v>
      </c>
      <c r="G693" s="299" t="s">
        <v>488</v>
      </c>
      <c r="H693" s="299">
        <v>2015</v>
      </c>
    </row>
    <row r="694" spans="1:8" x14ac:dyDescent="0.2">
      <c r="A694" s="299" t="str">
        <f t="shared" si="14"/>
        <v>TUV2016</v>
      </c>
      <c r="B694" s="460">
        <v>6.1501599999999996</v>
      </c>
      <c r="C694" s="460">
        <v>5.2648099999999998</v>
      </c>
      <c r="D694" s="460">
        <v>4.7576070000000001</v>
      </c>
      <c r="E694" s="460">
        <v>1.191649</v>
      </c>
      <c r="F694" s="460">
        <v>0.89205137000000001</v>
      </c>
      <c r="G694" s="299" t="s">
        <v>488</v>
      </c>
      <c r="H694" s="299">
        <v>2016</v>
      </c>
    </row>
    <row r="695" spans="1:8" x14ac:dyDescent="0.2">
      <c r="A695" s="299" t="str">
        <f t="shared" si="14"/>
        <v>TUV2017</v>
      </c>
      <c r="B695" s="460">
        <v>7.2013150000000001</v>
      </c>
      <c r="C695" s="460">
        <v>6.3325129999999996</v>
      </c>
      <c r="D695" s="460">
        <v>5.0584090000000002</v>
      </c>
      <c r="E695" s="460">
        <v>1.8686309999999999</v>
      </c>
      <c r="G695" s="299" t="s">
        <v>488</v>
      </c>
      <c r="H695" s="299">
        <v>2017</v>
      </c>
    </row>
    <row r="696" spans="1:8" x14ac:dyDescent="0.2">
      <c r="A696" s="299" t="str">
        <f t="shared" si="14"/>
        <v>TUV2018</v>
      </c>
      <c r="B696" s="460">
        <v>7.9695330000000002</v>
      </c>
      <c r="C696" s="460">
        <v>7.3865730000000003</v>
      </c>
      <c r="D696" s="460">
        <v>6.3650609999999999</v>
      </c>
      <c r="E696" s="460">
        <v>1.2960339999999999</v>
      </c>
      <c r="F696" s="460">
        <v>0.21038287</v>
      </c>
      <c r="G696" s="299" t="s">
        <v>488</v>
      </c>
      <c r="H696" s="299">
        <v>2018</v>
      </c>
    </row>
    <row r="697" spans="1:8" x14ac:dyDescent="0.2">
      <c r="A697" s="299" t="str">
        <f t="shared" si="14"/>
        <v>TZA2015</v>
      </c>
      <c r="B697" s="460">
        <v>1729.1759999999999</v>
      </c>
      <c r="C697" s="460">
        <v>960.16869999999994</v>
      </c>
      <c r="D697" s="460">
        <v>595.67269999999996</v>
      </c>
      <c r="E697" s="460">
        <v>654.37810000000002</v>
      </c>
      <c r="F697" s="460">
        <v>18.685590999999999</v>
      </c>
      <c r="G697" s="299" t="s">
        <v>179</v>
      </c>
      <c r="H697" s="299">
        <v>2015</v>
      </c>
    </row>
    <row r="698" spans="1:8" x14ac:dyDescent="0.2">
      <c r="A698" s="299" t="str">
        <f t="shared" si="14"/>
        <v>TZA2016</v>
      </c>
      <c r="B698" s="460">
        <v>1972.7950000000001</v>
      </c>
      <c r="C698" s="460">
        <v>1200.1179999999999</v>
      </c>
      <c r="D698" s="460">
        <v>801.43010000000004</v>
      </c>
      <c r="E698" s="460">
        <v>718.39070000000004</v>
      </c>
      <c r="F698" s="460">
        <v>31.663153999999999</v>
      </c>
      <c r="G698" s="299" t="s">
        <v>179</v>
      </c>
      <c r="H698" s="299">
        <v>2016</v>
      </c>
    </row>
    <row r="699" spans="1:8" x14ac:dyDescent="0.2">
      <c r="A699" s="299" t="str">
        <f t="shared" si="14"/>
        <v>TZA2017</v>
      </c>
      <c r="B699" s="460">
        <v>1938.7850000000001</v>
      </c>
      <c r="C699" s="460">
        <v>1358.835</v>
      </c>
      <c r="D699" s="460">
        <v>840.66600000000005</v>
      </c>
      <c r="E699" s="460">
        <v>617.57929999999999</v>
      </c>
      <c r="G699" s="299" t="s">
        <v>179</v>
      </c>
      <c r="H699" s="299">
        <v>2017</v>
      </c>
    </row>
    <row r="700" spans="1:8" x14ac:dyDescent="0.2">
      <c r="A700" s="299" t="str">
        <f t="shared" si="14"/>
        <v>TZA2018</v>
      </c>
      <c r="B700" s="460">
        <v>2073.6190000000001</v>
      </c>
      <c r="C700" s="460">
        <v>1453.7370000000001</v>
      </c>
      <c r="D700" s="460">
        <v>890.57650000000001</v>
      </c>
      <c r="E700" s="460">
        <v>668.48379999999997</v>
      </c>
      <c r="G700" s="299" t="s">
        <v>179</v>
      </c>
      <c r="H700" s="299">
        <v>2018</v>
      </c>
    </row>
    <row r="701" spans="1:8" x14ac:dyDescent="0.2">
      <c r="A701" s="299" t="str">
        <f t="shared" si="14"/>
        <v>UGA2015</v>
      </c>
      <c r="B701" s="460">
        <v>1671.4860000000001</v>
      </c>
      <c r="C701" s="460">
        <v>319.73689999999999</v>
      </c>
      <c r="D701" s="460">
        <v>250.90289999999999</v>
      </c>
      <c r="E701" s="460">
        <v>732.67989999999998</v>
      </c>
      <c r="F701" s="460">
        <v>41.600825</v>
      </c>
      <c r="G701" s="299" t="s">
        <v>181</v>
      </c>
      <c r="H701" s="299">
        <v>2015</v>
      </c>
    </row>
    <row r="702" spans="1:8" x14ac:dyDescent="0.2">
      <c r="A702" s="299" t="str">
        <f t="shared" si="14"/>
        <v>UGA2016</v>
      </c>
      <c r="B702" s="460">
        <v>1673.192</v>
      </c>
      <c r="C702" s="460">
        <v>329.22710000000001</v>
      </c>
      <c r="D702" s="460">
        <v>258.35000000000002</v>
      </c>
      <c r="E702" s="460">
        <v>724.64369999999997</v>
      </c>
      <c r="G702" s="299" t="s">
        <v>181</v>
      </c>
      <c r="H702" s="299">
        <v>2016</v>
      </c>
    </row>
    <row r="703" spans="1:8" x14ac:dyDescent="0.2">
      <c r="A703" s="299" t="str">
        <f t="shared" si="14"/>
        <v>UGA2017</v>
      </c>
      <c r="B703" s="460">
        <v>1727.268</v>
      </c>
      <c r="C703" s="460">
        <v>329.50850000000003</v>
      </c>
      <c r="D703" s="460">
        <v>258.57080000000002</v>
      </c>
      <c r="E703" s="460">
        <v>749.73649999999998</v>
      </c>
      <c r="G703" s="299" t="s">
        <v>181</v>
      </c>
      <c r="H703" s="299">
        <v>2017</v>
      </c>
    </row>
    <row r="704" spans="1:8" x14ac:dyDescent="0.2">
      <c r="A704" s="299" t="str">
        <f t="shared" si="14"/>
        <v>UGA2018</v>
      </c>
      <c r="B704" s="460">
        <v>1843.24</v>
      </c>
      <c r="C704" s="460">
        <v>645.83749999999998</v>
      </c>
      <c r="D704" s="460">
        <v>291.79910000000001</v>
      </c>
      <c r="E704" s="460">
        <v>794.44820000000004</v>
      </c>
      <c r="G704" s="299" t="s">
        <v>181</v>
      </c>
      <c r="H704" s="299">
        <v>2018</v>
      </c>
    </row>
    <row r="705" spans="1:8" x14ac:dyDescent="0.2">
      <c r="A705" s="299" t="str">
        <f t="shared" si="14"/>
        <v>UKR2015</v>
      </c>
      <c r="B705" s="460">
        <v>7078.6390000000001</v>
      </c>
      <c r="C705" s="460">
        <v>3417.9459999999999</v>
      </c>
      <c r="D705" s="460">
        <v>3356.17</v>
      </c>
      <c r="E705" s="460">
        <v>117.6506</v>
      </c>
      <c r="F705" s="460">
        <v>323.09714000000002</v>
      </c>
      <c r="G705" s="299" t="s">
        <v>413</v>
      </c>
      <c r="H705" s="299">
        <v>2015</v>
      </c>
    </row>
    <row r="706" spans="1:8" x14ac:dyDescent="0.2">
      <c r="A706" s="299" t="str">
        <f t="shared" ref="A706:A753" si="15">CONCATENATE(G706,H706)</f>
        <v>UKR2016</v>
      </c>
      <c r="B706" s="460">
        <v>7044.0940000000001</v>
      </c>
      <c r="C706" s="460">
        <v>3409.3760000000002</v>
      </c>
      <c r="D706" s="460">
        <v>3397.7289999999998</v>
      </c>
      <c r="E706" s="460">
        <v>85.115080000000006</v>
      </c>
      <c r="F706" s="460">
        <v>251.22009</v>
      </c>
      <c r="G706" s="299" t="s">
        <v>413</v>
      </c>
      <c r="H706" s="299">
        <v>2016</v>
      </c>
    </row>
    <row r="707" spans="1:8" x14ac:dyDescent="0.2">
      <c r="A707" s="299" t="str">
        <f t="shared" si="15"/>
        <v>UKR2017</v>
      </c>
      <c r="B707" s="460">
        <v>8336.7839999999997</v>
      </c>
      <c r="C707" s="460">
        <v>3991.3</v>
      </c>
      <c r="D707" s="460">
        <v>3942.9340000000002</v>
      </c>
      <c r="E707" s="460">
        <v>131.85050000000001</v>
      </c>
      <c r="F707" s="460">
        <v>346.36005999999998</v>
      </c>
      <c r="G707" s="299" t="s">
        <v>413</v>
      </c>
      <c r="H707" s="299">
        <v>2017</v>
      </c>
    </row>
    <row r="708" spans="1:8" x14ac:dyDescent="0.2">
      <c r="A708" s="299" t="str">
        <f t="shared" si="15"/>
        <v>UKR2018</v>
      </c>
      <c r="B708" s="460">
        <v>10105.379999999999</v>
      </c>
      <c r="C708" s="460">
        <v>4893.9740000000002</v>
      </c>
      <c r="D708" s="460">
        <v>4844.8149999999996</v>
      </c>
      <c r="E708" s="460">
        <v>101.8569</v>
      </c>
      <c r="F708" s="460">
        <v>370.02996000000002</v>
      </c>
      <c r="G708" s="299" t="s">
        <v>413</v>
      </c>
      <c r="H708" s="299">
        <v>2018</v>
      </c>
    </row>
    <row r="709" spans="1:8" x14ac:dyDescent="0.2">
      <c r="A709" s="299" t="str">
        <f t="shared" si="15"/>
        <v>URY2015</v>
      </c>
      <c r="B709" s="460">
        <v>4799.067</v>
      </c>
      <c r="C709" s="460">
        <v>3283.6990000000001</v>
      </c>
      <c r="D709" s="460">
        <v>3282.7579999999998</v>
      </c>
      <c r="E709" s="460">
        <v>0.94844709999999999</v>
      </c>
      <c r="F709" s="460">
        <v>127.30882</v>
      </c>
      <c r="G709" s="299" t="s">
        <v>255</v>
      </c>
      <c r="H709" s="299">
        <v>2015</v>
      </c>
    </row>
    <row r="710" spans="1:8" x14ac:dyDescent="0.2">
      <c r="A710" s="299" t="str">
        <f t="shared" si="15"/>
        <v>URY2016</v>
      </c>
      <c r="B710" s="460">
        <v>4965.4830000000002</v>
      </c>
      <c r="C710" s="460">
        <v>3472.5790000000002</v>
      </c>
      <c r="D710" s="460">
        <v>3472.5520000000001</v>
      </c>
      <c r="E710" s="460">
        <v>0.87547580000000003</v>
      </c>
      <c r="F710" s="460">
        <v>114.36566000000001</v>
      </c>
      <c r="G710" s="299" t="s">
        <v>255</v>
      </c>
      <c r="H710" s="299">
        <v>2016</v>
      </c>
    </row>
    <row r="711" spans="1:8" x14ac:dyDescent="0.2">
      <c r="A711" s="299" t="str">
        <f t="shared" si="15"/>
        <v>URY2017</v>
      </c>
      <c r="B711" s="460">
        <v>5666.59</v>
      </c>
      <c r="C711" s="460">
        <v>3961.0210000000002</v>
      </c>
      <c r="D711" s="460">
        <v>3960.9810000000002</v>
      </c>
      <c r="E711" s="460">
        <v>0.37765500000000002</v>
      </c>
      <c r="F711" s="460">
        <v>113.25169</v>
      </c>
      <c r="G711" s="299" t="s">
        <v>255</v>
      </c>
      <c r="H711" s="299">
        <v>2017</v>
      </c>
    </row>
    <row r="712" spans="1:8" x14ac:dyDescent="0.2">
      <c r="A712" s="299" t="str">
        <f t="shared" si="15"/>
        <v>URY2018</v>
      </c>
      <c r="B712" s="460">
        <v>5484.5290000000005</v>
      </c>
      <c r="C712" s="460">
        <v>4002.31</v>
      </c>
      <c r="D712" s="460">
        <v>4001.8919999999998</v>
      </c>
      <c r="E712" s="460">
        <v>0.89257640000000005</v>
      </c>
      <c r="G712" s="299" t="s">
        <v>255</v>
      </c>
      <c r="H712" s="299">
        <v>2018</v>
      </c>
    </row>
    <row r="713" spans="1:8" x14ac:dyDescent="0.2">
      <c r="A713" s="299" t="str">
        <f t="shared" si="15"/>
        <v>USA2015</v>
      </c>
      <c r="B713" s="460">
        <v>3045485</v>
      </c>
      <c r="C713" s="460">
        <v>1544038</v>
      </c>
      <c r="D713" s="460">
        <v>1544038</v>
      </c>
      <c r="E713" s="460">
        <v>0</v>
      </c>
      <c r="F713" s="460">
        <v>107684.68</v>
      </c>
      <c r="G713" s="299" t="s">
        <v>257</v>
      </c>
      <c r="H713" s="299">
        <v>2015</v>
      </c>
    </row>
    <row r="714" spans="1:8" x14ac:dyDescent="0.2">
      <c r="A714" s="299" t="str">
        <f t="shared" si="15"/>
        <v>USA2016</v>
      </c>
      <c r="B714" s="460">
        <v>3190711</v>
      </c>
      <c r="C714" s="460">
        <v>1607712</v>
      </c>
      <c r="D714" s="460">
        <v>1607712</v>
      </c>
      <c r="E714" s="460">
        <v>0</v>
      </c>
      <c r="F714" s="460">
        <v>109330.63</v>
      </c>
      <c r="G714" s="299" t="s">
        <v>257</v>
      </c>
      <c r="H714" s="299">
        <v>2016</v>
      </c>
    </row>
    <row r="715" spans="1:8" x14ac:dyDescent="0.2">
      <c r="A715" s="299" t="str">
        <f t="shared" si="15"/>
        <v>USA2017</v>
      </c>
      <c r="B715" s="460">
        <v>3318996</v>
      </c>
      <c r="C715" s="460">
        <v>1667935</v>
      </c>
      <c r="D715" s="460">
        <v>1667935</v>
      </c>
      <c r="E715" s="460">
        <v>0</v>
      </c>
      <c r="F715" s="460">
        <v>118220.62</v>
      </c>
      <c r="G715" s="299" t="s">
        <v>257</v>
      </c>
      <c r="H715" s="299">
        <v>2017</v>
      </c>
    </row>
    <row r="716" spans="1:8" x14ac:dyDescent="0.2">
      <c r="A716" s="299" t="str">
        <f t="shared" si="15"/>
        <v>USA2018</v>
      </c>
      <c r="B716" s="460">
        <v>3475022</v>
      </c>
      <c r="C716" s="460">
        <v>1751858</v>
      </c>
      <c r="D716" s="460">
        <v>1751858</v>
      </c>
      <c r="E716" s="460">
        <v>0</v>
      </c>
      <c r="F716" s="460">
        <v>121802.24000000001</v>
      </c>
      <c r="G716" s="299" t="s">
        <v>257</v>
      </c>
      <c r="H716" s="299">
        <v>2018</v>
      </c>
    </row>
    <row r="717" spans="1:8" x14ac:dyDescent="0.2">
      <c r="A717" s="299" t="str">
        <f t="shared" si="15"/>
        <v>UZB2015</v>
      </c>
      <c r="B717" s="460">
        <v>4077.5369999999998</v>
      </c>
      <c r="C717" s="460">
        <v>2051.665</v>
      </c>
      <c r="D717" s="460">
        <v>2029.8019999999999</v>
      </c>
      <c r="E717" s="460">
        <v>56.12567</v>
      </c>
      <c r="F717" s="460">
        <v>9.6310000000000007E-3</v>
      </c>
      <c r="G717" s="299" t="s">
        <v>415</v>
      </c>
      <c r="H717" s="299">
        <v>2015</v>
      </c>
    </row>
    <row r="718" spans="1:8" x14ac:dyDescent="0.2">
      <c r="A718" s="299" t="str">
        <f t="shared" si="15"/>
        <v>UZB2016</v>
      </c>
      <c r="B718" s="460">
        <v>4061.4180000000001</v>
      </c>
      <c r="C718" s="460">
        <v>1796.8109999999999</v>
      </c>
      <c r="D718" s="460">
        <v>1770.4849999999999</v>
      </c>
      <c r="E718" s="460">
        <v>39.162979999999997</v>
      </c>
      <c r="G718" s="299" t="s">
        <v>415</v>
      </c>
      <c r="H718" s="299">
        <v>2016</v>
      </c>
    </row>
    <row r="719" spans="1:8" x14ac:dyDescent="0.2">
      <c r="A719" s="299" t="str">
        <f t="shared" si="15"/>
        <v>UZB2017</v>
      </c>
      <c r="B719" s="460">
        <v>2972.393</v>
      </c>
      <c r="C719" s="460">
        <v>1254.123</v>
      </c>
      <c r="D719" s="460">
        <v>1233.4829999999999</v>
      </c>
      <c r="E719" s="460">
        <v>31.35061</v>
      </c>
      <c r="G719" s="299" t="s">
        <v>415</v>
      </c>
      <c r="H719" s="299">
        <v>2017</v>
      </c>
    </row>
    <row r="720" spans="1:8" x14ac:dyDescent="0.2">
      <c r="A720" s="299" t="str">
        <f t="shared" si="15"/>
        <v>UZB2018</v>
      </c>
      <c r="B720" s="460">
        <v>2671.797</v>
      </c>
      <c r="C720" s="460">
        <v>1035.4000000000001</v>
      </c>
      <c r="D720" s="460">
        <v>1019.801</v>
      </c>
      <c r="E720" s="460">
        <v>21.654900000000001</v>
      </c>
      <c r="G720" s="299" t="s">
        <v>415</v>
      </c>
      <c r="H720" s="299">
        <v>2018</v>
      </c>
    </row>
    <row r="721" spans="1:8" x14ac:dyDescent="0.2">
      <c r="A721" s="299" t="str">
        <f t="shared" si="15"/>
        <v>VCT2015</v>
      </c>
      <c r="B721" s="460">
        <v>30.857610000000001</v>
      </c>
      <c r="C721" s="460">
        <v>20.341010000000001</v>
      </c>
      <c r="D721" s="460">
        <v>19.86646</v>
      </c>
      <c r="E721" s="460">
        <v>0.51060689999999997</v>
      </c>
      <c r="F721" s="460">
        <v>4.9850294000000002</v>
      </c>
      <c r="G721" s="299" t="s">
        <v>259</v>
      </c>
      <c r="H721" s="299">
        <v>2015</v>
      </c>
    </row>
    <row r="722" spans="1:8" x14ac:dyDescent="0.2">
      <c r="A722" s="299" t="str">
        <f t="shared" si="15"/>
        <v>VCT2016</v>
      </c>
      <c r="B722" s="460">
        <v>32.19894</v>
      </c>
      <c r="C722" s="460">
        <v>21.219989999999999</v>
      </c>
      <c r="D722" s="460">
        <v>21.05837</v>
      </c>
      <c r="E722" s="460">
        <v>0.16161929999999999</v>
      </c>
      <c r="F722" s="460">
        <v>4.2244541</v>
      </c>
      <c r="G722" s="299" t="s">
        <v>259</v>
      </c>
      <c r="H722" s="299">
        <v>2016</v>
      </c>
    </row>
    <row r="723" spans="1:8" x14ac:dyDescent="0.2">
      <c r="A723" s="299" t="str">
        <f t="shared" si="15"/>
        <v>VCT2017</v>
      </c>
      <c r="B723" s="460">
        <v>34.116880000000002</v>
      </c>
      <c r="C723" s="460">
        <v>23.011050000000001</v>
      </c>
      <c r="D723" s="460">
        <v>22.66845</v>
      </c>
      <c r="E723" s="460">
        <v>0.43438769999999999</v>
      </c>
      <c r="F723" s="460">
        <v>1.9716393000000001</v>
      </c>
      <c r="G723" s="299" t="s">
        <v>259</v>
      </c>
      <c r="H723" s="299">
        <v>2017</v>
      </c>
    </row>
    <row r="724" spans="1:8" x14ac:dyDescent="0.2">
      <c r="A724" s="299" t="str">
        <f t="shared" si="15"/>
        <v>VCT2018</v>
      </c>
      <c r="B724" s="460">
        <v>36.287700000000001</v>
      </c>
      <c r="C724" s="460">
        <v>24.886579999999999</v>
      </c>
      <c r="D724" s="460">
        <v>24.761669999999999</v>
      </c>
      <c r="E724" s="460">
        <v>0.14439289999999999</v>
      </c>
      <c r="F724" s="460">
        <v>0.70030104000000004</v>
      </c>
      <c r="G724" s="299" t="s">
        <v>259</v>
      </c>
      <c r="H724" s="299">
        <v>2018</v>
      </c>
    </row>
    <row r="725" spans="1:8" x14ac:dyDescent="0.2">
      <c r="A725" s="299" t="str">
        <f t="shared" si="15"/>
        <v>VEN2015</v>
      </c>
      <c r="B725" s="460">
        <v>19967.34</v>
      </c>
      <c r="C725" s="460">
        <v>9038.9639999999999</v>
      </c>
      <c r="D725" s="460">
        <v>9038.9079999999994</v>
      </c>
      <c r="E725" s="460">
        <v>1.0453269999999999</v>
      </c>
      <c r="F725" s="460">
        <v>20.725594999999998</v>
      </c>
      <c r="G725" s="299" t="s">
        <v>261</v>
      </c>
      <c r="H725" s="299">
        <v>2015</v>
      </c>
    </row>
    <row r="726" spans="1:8" x14ac:dyDescent="0.2">
      <c r="A726" s="299" t="str">
        <f t="shared" si="15"/>
        <v>VEN2016</v>
      </c>
      <c r="B726" s="460">
        <v>15087.01</v>
      </c>
      <c r="C726" s="460">
        <v>7132.8959999999997</v>
      </c>
      <c r="D726" s="460">
        <v>7132.884</v>
      </c>
      <c r="E726" s="460">
        <v>0.86604800000000004</v>
      </c>
      <c r="F726" s="460">
        <v>30.345438000000001</v>
      </c>
      <c r="G726" s="299" t="s">
        <v>261</v>
      </c>
      <c r="H726" s="299">
        <v>2016</v>
      </c>
    </row>
    <row r="727" spans="1:8" x14ac:dyDescent="0.2">
      <c r="A727" s="299" t="str">
        <f t="shared" si="15"/>
        <v>VEN2017</v>
      </c>
      <c r="B727" s="460">
        <v>15433.76</v>
      </c>
      <c r="C727" s="460">
        <v>9232.5840000000007</v>
      </c>
      <c r="D727" s="460">
        <v>9232.4279999999999</v>
      </c>
      <c r="E727" s="460">
        <v>0.55327990000000005</v>
      </c>
      <c r="F727" s="460">
        <v>14.66267</v>
      </c>
      <c r="G727" s="299" t="s">
        <v>261</v>
      </c>
      <c r="H727" s="299">
        <v>2017</v>
      </c>
    </row>
    <row r="728" spans="1:8" x14ac:dyDescent="0.2">
      <c r="A728" s="299" t="str">
        <f t="shared" si="15"/>
        <v>VEN2018</v>
      </c>
      <c r="B728" s="460">
        <v>7422.4549999999999</v>
      </c>
      <c r="C728" s="460">
        <v>3551.598</v>
      </c>
      <c r="D728" s="460">
        <v>3551.4520000000002</v>
      </c>
      <c r="E728" s="460">
        <v>2.192167</v>
      </c>
      <c r="G728" s="299" t="s">
        <v>261</v>
      </c>
      <c r="H728" s="299">
        <v>2018</v>
      </c>
    </row>
    <row r="729" spans="1:8" x14ac:dyDescent="0.2">
      <c r="A729" s="299" t="str">
        <f t="shared" si="15"/>
        <v>VNM2015</v>
      </c>
      <c r="B729" s="460">
        <v>10923.19</v>
      </c>
      <c r="C729" s="460">
        <v>4734.384</v>
      </c>
      <c r="D729" s="460">
        <v>4566.9189999999999</v>
      </c>
      <c r="E729" s="460">
        <v>236.04589999999999</v>
      </c>
      <c r="F729" s="460">
        <v>914.52534000000003</v>
      </c>
      <c r="G729" s="299" t="s">
        <v>490</v>
      </c>
      <c r="H729" s="299">
        <v>2015</v>
      </c>
    </row>
    <row r="730" spans="1:8" x14ac:dyDescent="0.2">
      <c r="A730" s="299" t="str">
        <f t="shared" si="15"/>
        <v>VNM2016</v>
      </c>
      <c r="B730" s="460">
        <v>11616.98</v>
      </c>
      <c r="C730" s="460">
        <v>5725.5910000000003</v>
      </c>
      <c r="D730" s="460">
        <v>5510.1210000000001</v>
      </c>
      <c r="E730" s="460">
        <v>266.9495</v>
      </c>
      <c r="F730" s="460">
        <v>572.93853000000001</v>
      </c>
      <c r="G730" s="299" t="s">
        <v>490</v>
      </c>
      <c r="H730" s="299">
        <v>2016</v>
      </c>
    </row>
    <row r="731" spans="1:8" x14ac:dyDescent="0.2">
      <c r="A731" s="299" t="str">
        <f t="shared" si="15"/>
        <v>VNM2017</v>
      </c>
      <c r="B731" s="460">
        <v>13259.73</v>
      </c>
      <c r="C731" s="460">
        <v>6174.43</v>
      </c>
      <c r="D731" s="460">
        <v>6113.826</v>
      </c>
      <c r="E731" s="460">
        <v>143.86089999999999</v>
      </c>
      <c r="F731" s="460">
        <v>898.96245999999996</v>
      </c>
      <c r="G731" s="299" t="s">
        <v>490</v>
      </c>
      <c r="H731" s="299">
        <v>2017</v>
      </c>
    </row>
    <row r="732" spans="1:8" x14ac:dyDescent="0.2">
      <c r="A732" s="299" t="str">
        <f t="shared" si="15"/>
        <v>VNM2018</v>
      </c>
      <c r="B732" s="460">
        <v>14493</v>
      </c>
      <c r="C732" s="460">
        <v>6826.2190000000001</v>
      </c>
      <c r="D732" s="460">
        <v>6603.049</v>
      </c>
      <c r="E732" s="460">
        <v>267.55619999999999</v>
      </c>
      <c r="G732" s="299" t="s">
        <v>490</v>
      </c>
      <c r="H732" s="299">
        <v>2018</v>
      </c>
    </row>
    <row r="733" spans="1:8" x14ac:dyDescent="0.2">
      <c r="A733" s="299" t="str">
        <f t="shared" si="15"/>
        <v>VUT2015</v>
      </c>
      <c r="B733" s="460">
        <v>31.585920000000002</v>
      </c>
      <c r="C733" s="460">
        <v>24.578589999999998</v>
      </c>
      <c r="D733" s="460">
        <v>15.34141</v>
      </c>
      <c r="E733" s="460">
        <v>12.943860000000001</v>
      </c>
      <c r="G733" s="299" t="s">
        <v>492</v>
      </c>
      <c r="H733" s="299">
        <v>2015</v>
      </c>
    </row>
    <row r="734" spans="1:8" x14ac:dyDescent="0.2">
      <c r="A734" s="299" t="str">
        <f t="shared" si="15"/>
        <v>VUT2016</v>
      </c>
      <c r="B734" s="460">
        <v>22.890219999999999</v>
      </c>
      <c r="C734" s="460">
        <v>15.02481</v>
      </c>
      <c r="D734" s="460">
        <v>10.41513</v>
      </c>
      <c r="E734" s="460">
        <v>9.0202880000000007</v>
      </c>
      <c r="F734" s="460">
        <v>0.23105434</v>
      </c>
      <c r="G734" s="299" t="s">
        <v>492</v>
      </c>
      <c r="H734" s="299">
        <v>2016</v>
      </c>
    </row>
    <row r="735" spans="1:8" x14ac:dyDescent="0.2">
      <c r="A735" s="299" t="str">
        <f t="shared" si="15"/>
        <v>VUT2017</v>
      </c>
      <c r="B735" s="460">
        <v>24.297550000000001</v>
      </c>
      <c r="C735" s="460">
        <v>18.26651</v>
      </c>
      <c r="D735" s="460">
        <v>12.710739999999999</v>
      </c>
      <c r="E735" s="460">
        <v>8.0094740000000009</v>
      </c>
      <c r="F735" s="460">
        <v>0.36014316000000002</v>
      </c>
      <c r="G735" s="299" t="s">
        <v>492</v>
      </c>
      <c r="H735" s="299">
        <v>2017</v>
      </c>
    </row>
    <row r="736" spans="1:8" x14ac:dyDescent="0.2">
      <c r="A736" s="299" t="str">
        <f t="shared" si="15"/>
        <v>VUT2018</v>
      </c>
      <c r="B736" s="460">
        <v>30.84601</v>
      </c>
      <c r="C736" s="460">
        <v>24.450859999999999</v>
      </c>
      <c r="D736" s="460">
        <v>19.578669999999999</v>
      </c>
      <c r="E736" s="460">
        <v>7.2105819999999996</v>
      </c>
      <c r="F736" s="460">
        <v>0.37956351999999999</v>
      </c>
      <c r="G736" s="299" t="s">
        <v>492</v>
      </c>
      <c r="H736" s="299">
        <v>2018</v>
      </c>
    </row>
    <row r="737" spans="1:8" x14ac:dyDescent="0.2">
      <c r="A737" s="299" t="str">
        <f t="shared" si="15"/>
        <v>WSM2015</v>
      </c>
      <c r="B737" s="460">
        <v>43.188420000000001</v>
      </c>
      <c r="C737" s="460">
        <v>34.21452</v>
      </c>
      <c r="D737" s="460">
        <v>34.166499999999999</v>
      </c>
      <c r="E737" s="460">
        <v>3.6722969999999999</v>
      </c>
      <c r="F737" s="460">
        <v>19.691981999999999</v>
      </c>
      <c r="G737" s="299" t="s">
        <v>494</v>
      </c>
      <c r="H737" s="299">
        <v>2015</v>
      </c>
    </row>
    <row r="738" spans="1:8" x14ac:dyDescent="0.2">
      <c r="A738" s="299" t="str">
        <f t="shared" si="15"/>
        <v>WSM2016</v>
      </c>
      <c r="B738" s="460">
        <v>44.172629999999998</v>
      </c>
      <c r="C738" s="460">
        <v>35.822029999999998</v>
      </c>
      <c r="D738" s="460">
        <v>33.853949999999998</v>
      </c>
      <c r="E738" s="460">
        <v>4.8002649999999996</v>
      </c>
      <c r="F738" s="460">
        <v>0.108288</v>
      </c>
      <c r="G738" s="299" t="s">
        <v>494</v>
      </c>
      <c r="H738" s="299">
        <v>2016</v>
      </c>
    </row>
    <row r="739" spans="1:8" x14ac:dyDescent="0.2">
      <c r="A739" s="299" t="str">
        <f t="shared" si="15"/>
        <v>WSM2017</v>
      </c>
      <c r="B739" s="460">
        <v>45.98724</v>
      </c>
      <c r="C739" s="460">
        <v>37.716009999999997</v>
      </c>
      <c r="D739" s="460">
        <v>34.458170000000003</v>
      </c>
      <c r="E739" s="460">
        <v>5.9774789999999998</v>
      </c>
      <c r="F739" s="460">
        <v>0</v>
      </c>
      <c r="G739" s="299" t="s">
        <v>494</v>
      </c>
      <c r="H739" s="299">
        <v>2017</v>
      </c>
    </row>
    <row r="740" spans="1:8" x14ac:dyDescent="0.2">
      <c r="A740" s="299" t="str">
        <f t="shared" si="15"/>
        <v>WSM2018</v>
      </c>
      <c r="B740" s="460">
        <v>44.585599999999999</v>
      </c>
      <c r="C740" s="460">
        <v>35.933250000000001</v>
      </c>
      <c r="D740" s="460">
        <v>32.192990000000002</v>
      </c>
      <c r="E740" s="460">
        <v>6.776275</v>
      </c>
      <c r="F740" s="460">
        <v>1.4211E-2</v>
      </c>
      <c r="G740" s="299" t="s">
        <v>494</v>
      </c>
      <c r="H740" s="299">
        <v>2018</v>
      </c>
    </row>
    <row r="741" spans="1:8" x14ac:dyDescent="0.2">
      <c r="A741" s="299" t="str">
        <f t="shared" si="15"/>
        <v>YEM2015</v>
      </c>
      <c r="B741" s="460">
        <v>1939.029</v>
      </c>
      <c r="C741" s="460">
        <v>281.09269999999998</v>
      </c>
      <c r="D741" s="460">
        <v>197.44059999999999</v>
      </c>
      <c r="E741" s="460">
        <v>150.93770000000001</v>
      </c>
      <c r="G741" s="299" t="s">
        <v>307</v>
      </c>
      <c r="H741" s="299">
        <v>2015</v>
      </c>
    </row>
    <row r="742" spans="1:8" x14ac:dyDescent="0.2">
      <c r="A742" s="299" t="str">
        <f t="shared" si="15"/>
        <v>ZAF2015</v>
      </c>
      <c r="B742" s="460">
        <v>26030.94</v>
      </c>
      <c r="C742" s="460">
        <v>13940.71</v>
      </c>
      <c r="D742" s="460">
        <v>13940.71</v>
      </c>
      <c r="E742" s="460">
        <v>632.93730000000005</v>
      </c>
      <c r="G742" s="299" t="s">
        <v>183</v>
      </c>
      <c r="H742" s="299">
        <v>2015</v>
      </c>
    </row>
    <row r="743" spans="1:8" x14ac:dyDescent="0.2">
      <c r="A743" s="299" t="str">
        <f t="shared" si="15"/>
        <v>ZAF2016</v>
      </c>
      <c r="B743" s="460">
        <v>23991.22</v>
      </c>
      <c r="C743" s="460">
        <v>12911.07</v>
      </c>
      <c r="D743" s="460">
        <v>12911.07</v>
      </c>
      <c r="E743" s="460">
        <v>462.48719999999997</v>
      </c>
      <c r="G743" s="299" t="s">
        <v>183</v>
      </c>
      <c r="H743" s="299">
        <v>2016</v>
      </c>
    </row>
    <row r="744" spans="1:8" x14ac:dyDescent="0.2">
      <c r="A744" s="299" t="str">
        <f t="shared" si="15"/>
        <v>ZAF2017</v>
      </c>
      <c r="B744" s="460">
        <v>28336.53</v>
      </c>
      <c r="C744" s="460">
        <v>15202.83</v>
      </c>
      <c r="D744" s="460">
        <v>15202.83</v>
      </c>
      <c r="E744" s="460">
        <v>555.40890000000002</v>
      </c>
      <c r="G744" s="299" t="s">
        <v>183</v>
      </c>
      <c r="H744" s="299">
        <v>2017</v>
      </c>
    </row>
    <row r="745" spans="1:8" x14ac:dyDescent="0.2">
      <c r="A745" s="299" t="str">
        <f t="shared" si="15"/>
        <v>ZAF2018</v>
      </c>
      <c r="B745" s="460">
        <v>30396.37</v>
      </c>
      <c r="C745" s="460">
        <v>16429.12</v>
      </c>
      <c r="D745" s="460">
        <v>16429.12</v>
      </c>
      <c r="E745" s="460">
        <v>572.50980000000004</v>
      </c>
      <c r="G745" s="299" t="s">
        <v>183</v>
      </c>
      <c r="H745" s="299">
        <v>2018</v>
      </c>
    </row>
    <row r="746" spans="1:8" x14ac:dyDescent="0.2">
      <c r="A746" s="299" t="str">
        <f t="shared" si="15"/>
        <v>ZMB2015</v>
      </c>
      <c r="B746" s="460">
        <v>942.24379999999996</v>
      </c>
      <c r="C746" s="460">
        <v>517.58150000000001</v>
      </c>
      <c r="D746" s="460">
        <v>444.13850000000002</v>
      </c>
      <c r="E746" s="460">
        <v>342.60169999999999</v>
      </c>
      <c r="F746" s="460">
        <v>0.59842664000000001</v>
      </c>
      <c r="G746" s="299" t="s">
        <v>185</v>
      </c>
      <c r="H746" s="299">
        <v>2015</v>
      </c>
    </row>
    <row r="747" spans="1:8" x14ac:dyDescent="0.2">
      <c r="A747" s="299" t="str">
        <f t="shared" si="15"/>
        <v>ZMB2016</v>
      </c>
      <c r="B747" s="460">
        <v>938.65200000000004</v>
      </c>
      <c r="C747" s="460">
        <v>503.70830000000001</v>
      </c>
      <c r="D747" s="460">
        <v>359.40660000000003</v>
      </c>
      <c r="E747" s="460">
        <v>398.88229999999999</v>
      </c>
      <c r="F747" s="460">
        <v>0.59652864999999999</v>
      </c>
      <c r="G747" s="299" t="s">
        <v>185</v>
      </c>
      <c r="H747" s="299">
        <v>2016</v>
      </c>
    </row>
    <row r="748" spans="1:8" x14ac:dyDescent="0.2">
      <c r="A748" s="299" t="str">
        <f t="shared" si="15"/>
        <v>ZMB2017</v>
      </c>
      <c r="B748" s="460">
        <v>1137.7529999999999</v>
      </c>
      <c r="C748" s="460">
        <v>666.75980000000004</v>
      </c>
      <c r="D748" s="460">
        <v>459.09160000000003</v>
      </c>
      <c r="E748" s="460">
        <v>459.62299999999999</v>
      </c>
      <c r="G748" s="299" t="s">
        <v>185</v>
      </c>
      <c r="H748" s="299">
        <v>2017</v>
      </c>
    </row>
    <row r="749" spans="1:8" x14ac:dyDescent="0.2">
      <c r="A749" s="299" t="str">
        <f t="shared" si="15"/>
        <v>ZMB2018</v>
      </c>
      <c r="B749" s="460">
        <v>1318.587</v>
      </c>
      <c r="C749" s="460">
        <v>786.52840000000003</v>
      </c>
      <c r="D749" s="460">
        <v>515.35270000000003</v>
      </c>
      <c r="E749" s="460">
        <v>587.57560000000001</v>
      </c>
      <c r="G749" s="299" t="s">
        <v>185</v>
      </c>
      <c r="H749" s="299">
        <v>2018</v>
      </c>
    </row>
    <row r="750" spans="1:8" x14ac:dyDescent="0.2">
      <c r="A750" s="299" t="str">
        <f t="shared" si="15"/>
        <v>ZWE2015</v>
      </c>
      <c r="B750" s="460">
        <v>1487.6559999999999</v>
      </c>
      <c r="C750" s="460">
        <v>451.33300000000003</v>
      </c>
      <c r="D750" s="460">
        <v>309.69959999999998</v>
      </c>
      <c r="E750" s="460">
        <v>360.84949999999998</v>
      </c>
      <c r="F750" s="460">
        <v>1.9585319999999999</v>
      </c>
      <c r="G750" s="299" t="s">
        <v>187</v>
      </c>
      <c r="H750" s="299">
        <v>2015</v>
      </c>
    </row>
    <row r="751" spans="1:8" x14ac:dyDescent="0.2">
      <c r="A751" s="299" t="str">
        <f t="shared" si="15"/>
        <v>ZWE2016</v>
      </c>
      <c r="B751" s="460">
        <v>1591.164</v>
      </c>
      <c r="C751" s="460">
        <v>433.68740000000003</v>
      </c>
      <c r="D751" s="460">
        <v>367.60289999999998</v>
      </c>
      <c r="E751" s="460">
        <v>440.17520000000002</v>
      </c>
      <c r="G751" s="299" t="s">
        <v>187</v>
      </c>
      <c r="H751" s="299">
        <v>2016</v>
      </c>
    </row>
    <row r="752" spans="1:8" x14ac:dyDescent="0.2">
      <c r="A752" s="299" t="str">
        <f t="shared" si="15"/>
        <v>ZWE2017</v>
      </c>
      <c r="B752" s="460">
        <v>1605.0609999999999</v>
      </c>
      <c r="C752" s="460">
        <v>524.12559999999996</v>
      </c>
      <c r="D752" s="460">
        <v>466.32580000000002</v>
      </c>
      <c r="E752" s="460">
        <v>337.68009999999998</v>
      </c>
      <c r="G752" s="299" t="s">
        <v>187</v>
      </c>
      <c r="H752" s="299">
        <v>2017</v>
      </c>
    </row>
    <row r="753" spans="1:8" x14ac:dyDescent="0.2">
      <c r="A753" s="299" t="str">
        <f t="shared" si="15"/>
        <v>ZWE2018</v>
      </c>
      <c r="B753" s="460">
        <v>2026.057</v>
      </c>
      <c r="C753" s="460">
        <v>632.3623</v>
      </c>
      <c r="D753" s="460">
        <v>566.71169999999995</v>
      </c>
      <c r="E753" s="460">
        <v>405.4384</v>
      </c>
      <c r="G753" s="299" t="s">
        <v>187</v>
      </c>
      <c r="H753" s="299">
        <v>2018</v>
      </c>
    </row>
  </sheetData>
  <pageMargins left="0.7" right="0.7" top="0.75" bottom="0.75" header="0.3" footer="0.3"/>
  <pageSetup paperSize="9" orientation="portrait" horizontalDpi="0" verticalDpi="0" r:id="rId1"/>
  <tableParts count="1">
    <tablePart r:id="rId2"/>
  </tableParts>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05276-80F4-4DA1-AE13-C8BB7EEE68B9}">
  <sheetPr>
    <tabColor rgb="FF7030A0"/>
  </sheetPr>
  <dimension ref="A1:S228"/>
  <sheetViews>
    <sheetView workbookViewId="0"/>
  </sheetViews>
  <sheetFormatPr defaultColWidth="8.85546875" defaultRowHeight="12.75" x14ac:dyDescent="0.2"/>
  <cols>
    <col min="1" max="1" width="13.28515625" style="465" customWidth="1"/>
    <col min="2" max="2" width="36.28515625" style="465" customWidth="1"/>
    <col min="3" max="3" width="10.5703125" style="465" customWidth="1"/>
    <col min="4" max="4" width="11" style="465" customWidth="1"/>
    <col min="5" max="5" width="9.85546875" style="465" customWidth="1"/>
    <col min="6" max="8" width="10.85546875" style="465" customWidth="1"/>
    <col min="9" max="16" width="12.28515625" style="465" customWidth="1"/>
    <col min="17" max="17" width="10.85546875" style="465" customWidth="1"/>
    <col min="18" max="18" width="12.28515625" style="465" customWidth="1"/>
    <col min="19" max="19" width="43.28515625" style="465" customWidth="1"/>
    <col min="20" max="16384" width="8.85546875" style="465"/>
  </cols>
  <sheetData>
    <row r="1" spans="1:19" s="463" customFormat="1" ht="18.75" x14ac:dyDescent="0.2">
      <c r="A1" s="461" t="s">
        <v>4292</v>
      </c>
      <c r="B1" s="462"/>
      <c r="C1" s="462"/>
      <c r="D1" s="462"/>
      <c r="E1" s="462"/>
      <c r="F1" s="462"/>
      <c r="G1" s="462"/>
      <c r="H1" s="462"/>
      <c r="I1" s="462"/>
      <c r="J1" s="462"/>
      <c r="K1" s="462"/>
      <c r="L1" s="462"/>
      <c r="M1" s="462"/>
      <c r="N1" s="462"/>
      <c r="O1" s="462"/>
      <c r="P1" s="462"/>
    </row>
    <row r="2" spans="1:19" s="463" customFormat="1" x14ac:dyDescent="0.2">
      <c r="A2" s="462"/>
      <c r="B2" s="462"/>
      <c r="C2" s="462"/>
      <c r="D2" s="462"/>
      <c r="E2" s="462"/>
      <c r="F2" s="462"/>
      <c r="G2" s="462"/>
      <c r="H2" s="462"/>
      <c r="I2" s="462"/>
      <c r="J2" s="462"/>
      <c r="K2" s="462"/>
      <c r="L2" s="462"/>
      <c r="M2" s="462"/>
      <c r="N2" s="462"/>
      <c r="O2" s="462"/>
      <c r="P2" s="462"/>
    </row>
    <row r="3" spans="1:19" s="464" customFormat="1" ht="15" x14ac:dyDescent="0.25">
      <c r="A3" s="472" t="s">
        <v>2615</v>
      </c>
      <c r="B3" s="472" t="s">
        <v>1649</v>
      </c>
      <c r="C3" s="472" t="s">
        <v>4293</v>
      </c>
      <c r="D3" s="472" t="s">
        <v>4294</v>
      </c>
      <c r="E3" s="472" t="s">
        <v>4316</v>
      </c>
      <c r="F3" s="472" t="s">
        <v>4317</v>
      </c>
      <c r="G3" s="472" t="s">
        <v>4318</v>
      </c>
      <c r="H3" s="472" t="s">
        <v>4319</v>
      </c>
      <c r="I3" s="472" t="s">
        <v>4320</v>
      </c>
      <c r="J3" s="472" t="s">
        <v>4321</v>
      </c>
      <c r="K3" s="472" t="s">
        <v>4322</v>
      </c>
      <c r="L3" s="472" t="s">
        <v>4323</v>
      </c>
      <c r="M3" s="472" t="s">
        <v>4324</v>
      </c>
      <c r="N3" s="472" t="s">
        <v>4325</v>
      </c>
      <c r="O3" s="472" t="s">
        <v>4326</v>
      </c>
      <c r="P3" s="472" t="s">
        <v>4327</v>
      </c>
      <c r="Q3" s="472" t="s">
        <v>4328</v>
      </c>
      <c r="R3" s="472" t="s">
        <v>4329</v>
      </c>
      <c r="S3" s="473" t="s">
        <v>4315</v>
      </c>
    </row>
    <row r="4" spans="1:19" x14ac:dyDescent="0.2">
      <c r="A4" s="465" t="s">
        <v>263</v>
      </c>
      <c r="B4" s="465" t="s">
        <v>264</v>
      </c>
      <c r="C4" s="465" t="s">
        <v>4295</v>
      </c>
      <c r="D4" s="465" t="s">
        <v>4278</v>
      </c>
      <c r="E4" s="466"/>
      <c r="F4" s="466"/>
      <c r="G4" s="466"/>
      <c r="H4" s="466">
        <v>14933333</v>
      </c>
      <c r="I4" s="466">
        <v>23204631</v>
      </c>
      <c r="J4" s="466">
        <v>18102315.5</v>
      </c>
      <c r="K4" s="466">
        <v>13000000</v>
      </c>
      <c r="L4" s="466">
        <v>13200000</v>
      </c>
      <c r="M4" s="466">
        <v>44721812</v>
      </c>
      <c r="N4" s="466">
        <v>29313173</v>
      </c>
      <c r="O4" s="466">
        <v>33419658</v>
      </c>
      <c r="P4" s="466">
        <v>36948770</v>
      </c>
      <c r="Q4" s="466">
        <v>35972385</v>
      </c>
      <c r="R4" s="466">
        <v>36691833</v>
      </c>
      <c r="S4" s="471">
        <f>IF(ISERROR(AVERAGE(N4:R4)),"",AVERAGE(N4:R4))</f>
        <v>34469163.799999997</v>
      </c>
    </row>
    <row r="5" spans="1:19" x14ac:dyDescent="0.2">
      <c r="A5" s="465" t="s">
        <v>85</v>
      </c>
      <c r="B5" s="465" t="s">
        <v>86</v>
      </c>
      <c r="C5" s="465" t="s">
        <v>4296</v>
      </c>
      <c r="D5" s="465" t="s">
        <v>4297</v>
      </c>
      <c r="E5" s="466">
        <v>1880597.01492537</v>
      </c>
      <c r="F5" s="466">
        <v>9944444.4444444403</v>
      </c>
      <c r="G5" s="466">
        <v>3900000</v>
      </c>
      <c r="H5" s="466">
        <v>2812000</v>
      </c>
      <c r="I5" s="466">
        <v>10993500</v>
      </c>
      <c r="J5" s="466">
        <v>11962750</v>
      </c>
      <c r="K5" s="466">
        <v>12932000</v>
      </c>
      <c r="L5" s="466">
        <v>26613380</v>
      </c>
      <c r="M5" s="466">
        <v>28071035</v>
      </c>
      <c r="N5" s="466">
        <v>28071035</v>
      </c>
      <c r="O5" s="466">
        <v>90319845</v>
      </c>
      <c r="P5" s="466">
        <v>22602044</v>
      </c>
      <c r="Q5" s="466">
        <v>19342289.510000002</v>
      </c>
      <c r="R5" s="467">
        <v>17448106.289999999</v>
      </c>
      <c r="S5" s="471">
        <f t="shared" ref="S5:S68" si="0">IF(ISERROR(AVERAGE(N5:R5)),"",AVERAGE(N5:R5))</f>
        <v>35556663.959999993</v>
      </c>
    </row>
    <row r="6" spans="1:19" x14ac:dyDescent="0.2">
      <c r="A6" s="465" t="s">
        <v>309</v>
      </c>
      <c r="B6" s="465" t="s">
        <v>310</v>
      </c>
      <c r="C6" s="465" t="s">
        <v>4298</v>
      </c>
      <c r="D6" s="465" t="s">
        <v>4299</v>
      </c>
      <c r="E6" s="466">
        <v>468750</v>
      </c>
      <c r="F6" s="466">
        <v>515625</v>
      </c>
      <c r="G6" s="466">
        <v>639409</v>
      </c>
      <c r="H6" s="466">
        <v>671337</v>
      </c>
      <c r="I6" s="466">
        <v>2868854</v>
      </c>
      <c r="J6" s="466">
        <v>1060651</v>
      </c>
      <c r="K6" s="466"/>
      <c r="L6" s="466"/>
      <c r="M6" s="466"/>
      <c r="N6" s="466">
        <v>22864234</v>
      </c>
      <c r="O6" s="466">
        <v>2645857</v>
      </c>
      <c r="P6" s="466">
        <v>2079174</v>
      </c>
      <c r="Q6" s="466"/>
      <c r="R6" s="466">
        <v>3136146.02</v>
      </c>
      <c r="S6" s="471">
        <f t="shared" si="0"/>
        <v>7681352.7549999999</v>
      </c>
    </row>
    <row r="7" spans="1:19" x14ac:dyDescent="0.2">
      <c r="A7" s="465" t="s">
        <v>313</v>
      </c>
      <c r="B7" s="465" t="s">
        <v>314</v>
      </c>
      <c r="C7" s="465" t="s">
        <v>4298</v>
      </c>
      <c r="D7" s="465" t="s">
        <v>4300</v>
      </c>
      <c r="E7" s="466"/>
      <c r="F7" s="466"/>
      <c r="G7" s="466"/>
      <c r="H7" s="466"/>
      <c r="I7" s="466">
        <v>493680.45917839301</v>
      </c>
      <c r="J7" s="466">
        <v>525571.29735296604</v>
      </c>
      <c r="K7" s="466">
        <v>485500.32461480098</v>
      </c>
      <c r="L7" s="466">
        <v>553916.48393681797</v>
      </c>
      <c r="M7" s="466">
        <v>419661.54398134298</v>
      </c>
      <c r="N7" s="466">
        <v>399662.67386443698</v>
      </c>
      <c r="O7" s="466">
        <v>390247.77777777798</v>
      </c>
      <c r="P7" s="466">
        <v>450084.69768467802</v>
      </c>
      <c r="Q7" s="466">
        <v>439689.55675125303</v>
      </c>
      <c r="R7" s="466"/>
      <c r="S7" s="471">
        <f t="shared" si="0"/>
        <v>419921.17651953653</v>
      </c>
    </row>
    <row r="8" spans="1:19" x14ac:dyDescent="0.2">
      <c r="A8" s="465" t="s">
        <v>267</v>
      </c>
      <c r="B8" s="465" t="s">
        <v>268</v>
      </c>
      <c r="C8" s="465" t="s">
        <v>4295</v>
      </c>
      <c r="D8" s="465" t="s">
        <v>4300</v>
      </c>
      <c r="E8" s="466"/>
      <c r="F8" s="466"/>
      <c r="G8" s="466"/>
      <c r="H8" s="466"/>
      <c r="I8" s="466"/>
      <c r="J8" s="466"/>
      <c r="K8" s="466"/>
      <c r="L8" s="466"/>
      <c r="M8" s="466"/>
      <c r="N8" s="466"/>
      <c r="O8" s="466"/>
      <c r="P8" s="466"/>
      <c r="Q8" s="466"/>
      <c r="R8" s="466"/>
      <c r="S8" s="471" t="str">
        <f t="shared" si="0"/>
        <v/>
      </c>
    </row>
    <row r="9" spans="1:19" x14ac:dyDescent="0.2">
      <c r="A9" s="465" t="s">
        <v>189</v>
      </c>
      <c r="B9" s="465" t="s">
        <v>190</v>
      </c>
      <c r="C9" s="465" t="s">
        <v>4301</v>
      </c>
      <c r="D9" s="465" t="s">
        <v>4299</v>
      </c>
      <c r="E9" s="466">
        <v>33115865</v>
      </c>
      <c r="F9" s="466"/>
      <c r="G9" s="466"/>
      <c r="H9" s="466"/>
      <c r="I9" s="466">
        <v>53853728</v>
      </c>
      <c r="J9" s="466">
        <v>181213432</v>
      </c>
      <c r="K9" s="466">
        <v>155137242</v>
      </c>
      <c r="L9" s="466">
        <v>189844036</v>
      </c>
      <c r="M9" s="466">
        <v>218837799</v>
      </c>
      <c r="N9" s="466">
        <v>254781634</v>
      </c>
      <c r="O9" s="466">
        <v>106938248.22554199</v>
      </c>
      <c r="P9" s="466">
        <v>234317182.48355901</v>
      </c>
      <c r="Q9" s="466"/>
      <c r="R9" s="466">
        <v>242486757.94215301</v>
      </c>
      <c r="S9" s="471">
        <f t="shared" si="0"/>
        <v>209630955.66281348</v>
      </c>
    </row>
    <row r="10" spans="1:19" x14ac:dyDescent="0.2">
      <c r="A10" s="465" t="s">
        <v>315</v>
      </c>
      <c r="B10" s="465" t="s">
        <v>316</v>
      </c>
      <c r="C10" s="465" t="s">
        <v>4298</v>
      </c>
      <c r="D10" s="465" t="s">
        <v>4299</v>
      </c>
      <c r="E10" s="466">
        <v>300000</v>
      </c>
      <c r="F10" s="466">
        <v>473928.879982215</v>
      </c>
      <c r="G10" s="466">
        <v>586964.43999110698</v>
      </c>
      <c r="H10" s="466">
        <v>700000</v>
      </c>
      <c r="I10" s="466">
        <v>1391646</v>
      </c>
      <c r="J10" s="466">
        <v>974785.775996443</v>
      </c>
      <c r="K10" s="466">
        <v>1583000</v>
      </c>
      <c r="L10" s="466">
        <v>2112117.5468225102</v>
      </c>
      <c r="M10" s="466">
        <v>2641235.0936450101</v>
      </c>
      <c r="N10" s="466">
        <v>4075327</v>
      </c>
      <c r="O10" s="466">
        <v>2000000</v>
      </c>
      <c r="P10" s="466">
        <v>1848545</v>
      </c>
      <c r="Q10" s="466">
        <v>3779154.3512609899</v>
      </c>
      <c r="R10" s="466">
        <v>4318845.5366893252</v>
      </c>
      <c r="S10" s="471">
        <f t="shared" si="0"/>
        <v>3204374.377590063</v>
      </c>
    </row>
    <row r="11" spans="1:19" x14ac:dyDescent="0.2">
      <c r="A11" s="465" t="s">
        <v>193</v>
      </c>
      <c r="B11" s="465" t="s">
        <v>194</v>
      </c>
      <c r="C11" s="465" t="s">
        <v>4301</v>
      </c>
      <c r="D11" s="465" t="s">
        <v>4300</v>
      </c>
      <c r="E11" s="466"/>
      <c r="F11" s="466"/>
      <c r="G11" s="466"/>
      <c r="H11" s="466"/>
      <c r="I11" s="466"/>
      <c r="J11" s="466"/>
      <c r="K11" s="466">
        <v>13006</v>
      </c>
      <c r="L11" s="466"/>
      <c r="M11" s="466"/>
      <c r="N11" s="466"/>
      <c r="O11" s="466"/>
      <c r="P11" s="466">
        <v>51687</v>
      </c>
      <c r="Q11" s="466"/>
      <c r="R11" s="466"/>
      <c r="S11" s="471">
        <f t="shared" si="0"/>
        <v>51687</v>
      </c>
    </row>
    <row r="12" spans="1:19" x14ac:dyDescent="0.2">
      <c r="A12" s="465" t="s">
        <v>441</v>
      </c>
      <c r="B12" s="465" t="s">
        <v>442</v>
      </c>
      <c r="C12" s="465" t="s">
        <v>4302</v>
      </c>
      <c r="D12" s="465" t="s">
        <v>4300</v>
      </c>
      <c r="E12" s="466"/>
      <c r="F12" s="466">
        <v>436532507.73993802</v>
      </c>
      <c r="G12" s="466">
        <v>346054353.29642701</v>
      </c>
      <c r="H12" s="466">
        <v>263413664.014974</v>
      </c>
      <c r="I12" s="466">
        <v>276480560.765899</v>
      </c>
      <c r="J12" s="466">
        <v>341052635.92786002</v>
      </c>
      <c r="K12" s="466">
        <v>329184933.13204402</v>
      </c>
      <c r="L12" s="466">
        <v>325780847.49505103</v>
      </c>
      <c r="M12" s="466">
        <v>262605089.42926499</v>
      </c>
      <c r="N12" s="466">
        <v>245274331.06316599</v>
      </c>
      <c r="O12" s="466">
        <v>313000000</v>
      </c>
      <c r="P12" s="466">
        <v>338197455.28536701</v>
      </c>
      <c r="Q12" s="466">
        <v>284590961.86355102</v>
      </c>
      <c r="R12" s="466">
        <v>276467285.88040799</v>
      </c>
      <c r="S12" s="471">
        <f t="shared" si="0"/>
        <v>291506006.81849843</v>
      </c>
    </row>
    <row r="13" spans="1:19" x14ac:dyDescent="0.2">
      <c r="A13" s="465" t="s">
        <v>317</v>
      </c>
      <c r="B13" s="465" t="s">
        <v>318</v>
      </c>
      <c r="C13" s="465" t="s">
        <v>4298</v>
      </c>
      <c r="D13" s="465" t="s">
        <v>4300</v>
      </c>
      <c r="E13" s="466">
        <v>14268754.851376699</v>
      </c>
      <c r="F13" s="466">
        <v>15575159.489633201</v>
      </c>
      <c r="G13" s="466">
        <v>17717930.5457123</v>
      </c>
      <c r="H13" s="466">
        <v>16787226.934769899</v>
      </c>
      <c r="I13" s="466"/>
      <c r="J13" s="466"/>
      <c r="K13" s="466"/>
      <c r="L13" s="466"/>
      <c r="M13" s="466"/>
      <c r="N13" s="466"/>
      <c r="O13" s="466"/>
      <c r="P13" s="466"/>
      <c r="Q13" s="466"/>
      <c r="R13" s="466"/>
      <c r="S13" s="471" t="str">
        <f t="shared" si="0"/>
        <v/>
      </c>
    </row>
    <row r="14" spans="1:19" x14ac:dyDescent="0.2">
      <c r="A14" s="465" t="s">
        <v>319</v>
      </c>
      <c r="B14" s="465" t="s">
        <v>320</v>
      </c>
      <c r="C14" s="465" t="s">
        <v>4298</v>
      </c>
      <c r="D14" s="465" t="s">
        <v>4299</v>
      </c>
      <c r="E14" s="466">
        <v>689654.28571428603</v>
      </c>
      <c r="F14" s="466"/>
      <c r="G14" s="466">
        <v>3667132.0955814598</v>
      </c>
      <c r="H14" s="466">
        <v>5505182.2592684701</v>
      </c>
      <c r="I14" s="466">
        <v>7106281</v>
      </c>
      <c r="J14" s="466">
        <v>6832175.20573097</v>
      </c>
      <c r="K14" s="466">
        <v>6364156</v>
      </c>
      <c r="L14" s="466">
        <v>6209731.3832329595</v>
      </c>
      <c r="M14" s="466">
        <v>4850481.2902403297</v>
      </c>
      <c r="N14" s="466">
        <v>3930601.0347624398</v>
      </c>
      <c r="O14" s="466">
        <v>3240031.3836963899</v>
      </c>
      <c r="P14" s="466">
        <v>3998363.1867942899</v>
      </c>
      <c r="Q14" s="466">
        <v>3486288.7611913001</v>
      </c>
      <c r="R14" s="466">
        <v>3280630.5882352898</v>
      </c>
      <c r="S14" s="471">
        <f t="shared" si="0"/>
        <v>3587182.9909359417</v>
      </c>
    </row>
    <row r="15" spans="1:19" x14ac:dyDescent="0.2">
      <c r="A15" s="465" t="s">
        <v>91</v>
      </c>
      <c r="B15" s="465" t="s">
        <v>92</v>
      </c>
      <c r="C15" s="465" t="s">
        <v>4296</v>
      </c>
      <c r="D15" s="465" t="s">
        <v>4278</v>
      </c>
      <c r="E15" s="466">
        <v>2300000</v>
      </c>
      <c r="F15" s="466"/>
      <c r="G15" s="466"/>
      <c r="H15" s="466">
        <v>2175000</v>
      </c>
      <c r="I15" s="466">
        <v>3328353</v>
      </c>
      <c r="J15" s="466">
        <v>11410685</v>
      </c>
      <c r="K15" s="466">
        <v>11517715</v>
      </c>
      <c r="L15" s="466">
        <v>9773702</v>
      </c>
      <c r="M15" s="466">
        <v>9072982</v>
      </c>
      <c r="N15" s="466">
        <v>10977118.5468901</v>
      </c>
      <c r="O15" s="466">
        <v>9598499.6764529701</v>
      </c>
      <c r="P15" s="466">
        <v>8750103.5195525903</v>
      </c>
      <c r="Q15" s="466">
        <v>18467932</v>
      </c>
      <c r="R15" s="468">
        <v>7648026.0700000003</v>
      </c>
      <c r="S15" s="471">
        <f t="shared" si="0"/>
        <v>11088335.962579133</v>
      </c>
    </row>
    <row r="16" spans="1:19" x14ac:dyDescent="0.2">
      <c r="A16" s="465" t="s">
        <v>321</v>
      </c>
      <c r="B16" s="465" t="s">
        <v>322</v>
      </c>
      <c r="C16" s="465" t="s">
        <v>4298</v>
      </c>
      <c r="D16" s="465" t="s">
        <v>4300</v>
      </c>
      <c r="E16" s="466"/>
      <c r="F16" s="466"/>
      <c r="G16" s="466"/>
      <c r="H16" s="466"/>
      <c r="I16" s="466"/>
      <c r="J16" s="466"/>
      <c r="K16" s="466"/>
      <c r="L16" s="466"/>
      <c r="M16" s="466"/>
      <c r="N16" s="466"/>
      <c r="O16" s="466"/>
      <c r="P16" s="466"/>
      <c r="Q16" s="466"/>
      <c r="R16" s="466"/>
      <c r="S16" s="471" t="str">
        <f t="shared" si="0"/>
        <v/>
      </c>
    </row>
    <row r="17" spans="1:19" x14ac:dyDescent="0.2">
      <c r="A17" s="465" t="s">
        <v>95</v>
      </c>
      <c r="B17" s="465" t="s">
        <v>96</v>
      </c>
      <c r="C17" s="465" t="s">
        <v>4296</v>
      </c>
      <c r="D17" s="465" t="s">
        <v>4278</v>
      </c>
      <c r="E17" s="466">
        <v>6017610.1858185902</v>
      </c>
      <c r="F17" s="466">
        <v>4830509.0909090899</v>
      </c>
      <c r="G17" s="466">
        <v>1117774.08606961</v>
      </c>
      <c r="H17" s="466">
        <v>1059722.45975185</v>
      </c>
      <c r="I17" s="466">
        <v>5580871</v>
      </c>
      <c r="J17" s="466">
        <v>7249463.1200554799</v>
      </c>
      <c r="K17" s="466">
        <v>6092659.0634196997</v>
      </c>
      <c r="L17" s="466">
        <v>5680818.6300704395</v>
      </c>
      <c r="M17" s="466">
        <v>5676509.8874427397</v>
      </c>
      <c r="N17" s="466">
        <v>4152092.2140502199</v>
      </c>
      <c r="O17" s="466"/>
      <c r="P17" s="466">
        <v>3632232.5873974799</v>
      </c>
      <c r="Q17" s="466">
        <v>2841827.4304124299</v>
      </c>
      <c r="R17" s="466">
        <v>8713248</v>
      </c>
      <c r="S17" s="471">
        <f t="shared" si="0"/>
        <v>4834850.0579650328</v>
      </c>
    </row>
    <row r="18" spans="1:19" x14ac:dyDescent="0.2">
      <c r="A18" s="465" t="s">
        <v>97</v>
      </c>
      <c r="B18" s="465" t="s">
        <v>98</v>
      </c>
      <c r="C18" s="465" t="s">
        <v>4296</v>
      </c>
      <c r="D18" s="465" t="s">
        <v>4278</v>
      </c>
      <c r="E18" s="466">
        <v>12778048.100816401</v>
      </c>
      <c r="F18" s="466">
        <v>10819554.485869899</v>
      </c>
      <c r="G18" s="466">
        <v>13296933.7643221</v>
      </c>
      <c r="H18" s="466">
        <v>8827302.0210829508</v>
      </c>
      <c r="I18" s="466">
        <v>9115228.5193358399</v>
      </c>
      <c r="J18" s="466">
        <v>9788995.5426751897</v>
      </c>
      <c r="K18" s="466">
        <v>8881658</v>
      </c>
      <c r="L18" s="466">
        <v>11425979.8032548</v>
      </c>
      <c r="M18" s="466">
        <v>32177530.839476999</v>
      </c>
      <c r="N18" s="466">
        <v>22655018.1925776</v>
      </c>
      <c r="O18" s="466">
        <v>24647290.562036801</v>
      </c>
      <c r="P18" s="466">
        <v>24991207</v>
      </c>
      <c r="Q18" s="466">
        <v>24103371.022590101</v>
      </c>
      <c r="R18" s="466">
        <v>28260587.280701801</v>
      </c>
      <c r="S18" s="471">
        <f t="shared" si="0"/>
        <v>24931494.811581261</v>
      </c>
    </row>
    <row r="19" spans="1:19" x14ac:dyDescent="0.2">
      <c r="A19" s="465" t="s">
        <v>417</v>
      </c>
      <c r="B19" s="465" t="s">
        <v>418</v>
      </c>
      <c r="C19" s="465" t="s">
        <v>4303</v>
      </c>
      <c r="D19" s="465" t="s">
        <v>4297</v>
      </c>
      <c r="E19" s="466">
        <v>12580942.5837321</v>
      </c>
      <c r="F19" s="466">
        <v>21405133.333333299</v>
      </c>
      <c r="G19" s="466">
        <v>23150631.641086198</v>
      </c>
      <c r="H19" s="466">
        <v>52336806.666666701</v>
      </c>
      <c r="I19" s="466">
        <v>57263778</v>
      </c>
      <c r="J19" s="466">
        <v>54560011</v>
      </c>
      <c r="K19" s="466">
        <v>36923785</v>
      </c>
      <c r="L19" s="466">
        <v>44249125</v>
      </c>
      <c r="M19" s="466">
        <v>30052747</v>
      </c>
      <c r="N19" s="466">
        <v>90465662</v>
      </c>
      <c r="O19" s="466">
        <v>90663357</v>
      </c>
      <c r="P19" s="466">
        <v>79777258</v>
      </c>
      <c r="Q19" s="466">
        <v>77971488</v>
      </c>
      <c r="R19" s="467">
        <v>81482691.189999998</v>
      </c>
      <c r="S19" s="471">
        <f t="shared" si="0"/>
        <v>84072091.238000005</v>
      </c>
    </row>
    <row r="20" spans="1:19" x14ac:dyDescent="0.2">
      <c r="A20" s="465" t="s">
        <v>323</v>
      </c>
      <c r="B20" s="465" t="s">
        <v>324</v>
      </c>
      <c r="C20" s="465" t="s">
        <v>4298</v>
      </c>
      <c r="D20" s="465" t="s">
        <v>4299</v>
      </c>
      <c r="E20" s="466">
        <v>2885910.3443852998</v>
      </c>
      <c r="F20" s="466">
        <v>7697152.0537401196</v>
      </c>
      <c r="G20" s="466">
        <v>7478872.1860743398</v>
      </c>
      <c r="H20" s="466">
        <v>10663254.425250599</v>
      </c>
      <c r="I20" s="466">
        <v>18465222.500189502</v>
      </c>
      <c r="J20" s="466">
        <v>31082438.295348998</v>
      </c>
      <c r="K20" s="466">
        <v>24359689.234913401</v>
      </c>
      <c r="L20" s="466">
        <v>14590446.175844099</v>
      </c>
      <c r="M20" s="466">
        <v>21258657.168072101</v>
      </c>
      <c r="N20" s="466">
        <v>16103674.903650001</v>
      </c>
      <c r="O20" s="466">
        <v>26111592.9372719</v>
      </c>
      <c r="P20" s="466">
        <v>26593818.539771002</v>
      </c>
      <c r="Q20" s="466">
        <v>19311524.047512099</v>
      </c>
      <c r="R20" s="466"/>
      <c r="S20" s="471">
        <f t="shared" si="0"/>
        <v>22030152.60705125</v>
      </c>
    </row>
    <row r="21" spans="1:19" x14ac:dyDescent="0.2">
      <c r="A21" s="465" t="s">
        <v>269</v>
      </c>
      <c r="B21" s="465" t="s">
        <v>270</v>
      </c>
      <c r="C21" s="465" t="s">
        <v>4295</v>
      </c>
      <c r="D21" s="465" t="s">
        <v>4300</v>
      </c>
      <c r="E21" s="466"/>
      <c r="F21" s="466"/>
      <c r="G21" s="466"/>
      <c r="H21" s="466"/>
      <c r="I21" s="466">
        <v>7381643.6170212803</v>
      </c>
      <c r="J21" s="466">
        <v>6444659.5744680902</v>
      </c>
      <c r="K21" s="466">
        <v>6427199.4680851102</v>
      </c>
      <c r="L21" s="466">
        <v>8098114.3617021302</v>
      </c>
      <c r="M21" s="466">
        <v>9769029.2553191502</v>
      </c>
      <c r="N21" s="466">
        <v>7563872.3404255304</v>
      </c>
      <c r="O21" s="466">
        <v>4468462.7659574496</v>
      </c>
      <c r="P21" s="466">
        <v>7381287.2340425504</v>
      </c>
      <c r="Q21" s="466">
        <v>4447681.7819148898</v>
      </c>
      <c r="R21" s="466">
        <v>4676896.2765957396</v>
      </c>
      <c r="S21" s="471">
        <f t="shared" si="0"/>
        <v>5707640.079787232</v>
      </c>
    </row>
    <row r="22" spans="1:19" x14ac:dyDescent="0.2">
      <c r="A22" s="465" t="s">
        <v>195</v>
      </c>
      <c r="B22" s="465" t="s">
        <v>196</v>
      </c>
      <c r="C22" s="465" t="s">
        <v>4301</v>
      </c>
      <c r="D22" s="465" t="s">
        <v>4300</v>
      </c>
      <c r="E22" s="466">
        <v>820557</v>
      </c>
      <c r="F22" s="466">
        <v>820557</v>
      </c>
      <c r="G22" s="466">
        <v>229349.38</v>
      </c>
      <c r="H22" s="466">
        <v>366315</v>
      </c>
      <c r="I22" s="466">
        <v>431663</v>
      </c>
      <c r="J22" s="466">
        <v>600000</v>
      </c>
      <c r="K22" s="466">
        <v>743440</v>
      </c>
      <c r="L22" s="466">
        <v>677631.64</v>
      </c>
      <c r="M22" s="466">
        <v>913430.11</v>
      </c>
      <c r="N22" s="466">
        <v>964729</v>
      </c>
      <c r="O22" s="466">
        <v>968289.5</v>
      </c>
      <c r="P22" s="466">
        <v>971850</v>
      </c>
      <c r="Q22" s="466"/>
      <c r="R22" s="466"/>
      <c r="S22" s="471">
        <f t="shared" si="0"/>
        <v>968289.5</v>
      </c>
    </row>
    <row r="23" spans="1:19" x14ac:dyDescent="0.2">
      <c r="A23" s="465" t="s">
        <v>325</v>
      </c>
      <c r="B23" s="465" t="s">
        <v>326</v>
      </c>
      <c r="C23" s="465" t="s">
        <v>4298</v>
      </c>
      <c r="D23" s="465" t="s">
        <v>4299</v>
      </c>
      <c r="E23" s="466">
        <v>2579835.9452390601</v>
      </c>
      <c r="F23" s="466">
        <v>1104931.67839122</v>
      </c>
      <c r="G23" s="466">
        <v>2261326.5209194901</v>
      </c>
      <c r="H23" s="466">
        <v>1548996.4972093599</v>
      </c>
      <c r="I23" s="466">
        <v>2489281</v>
      </c>
      <c r="J23" s="466">
        <v>2241668</v>
      </c>
      <c r="K23" s="466"/>
      <c r="L23" s="466"/>
      <c r="M23" s="466"/>
      <c r="N23" s="466">
        <v>2757914.4896477698</v>
      </c>
      <c r="O23" s="466">
        <v>2546074.0387014602</v>
      </c>
      <c r="P23" s="466"/>
      <c r="Q23" s="466"/>
      <c r="R23" s="466"/>
      <c r="S23" s="471">
        <f t="shared" si="0"/>
        <v>2651994.264174615</v>
      </c>
    </row>
    <row r="24" spans="1:19" x14ac:dyDescent="0.2">
      <c r="A24" s="465" t="s">
        <v>327</v>
      </c>
      <c r="B24" s="465" t="s">
        <v>328</v>
      </c>
      <c r="C24" s="465" t="s">
        <v>4298</v>
      </c>
      <c r="D24" s="465" t="s">
        <v>4299</v>
      </c>
      <c r="E24" s="466">
        <v>3278834</v>
      </c>
      <c r="F24" s="466">
        <v>3763634.93</v>
      </c>
      <c r="G24" s="466">
        <v>5921721.6833477896</v>
      </c>
      <c r="H24" s="466">
        <v>9655413.1600000001</v>
      </c>
      <c r="I24" s="466">
        <v>7500000</v>
      </c>
      <c r="J24" s="466">
        <v>8000000</v>
      </c>
      <c r="K24" s="466">
        <v>24404665</v>
      </c>
      <c r="L24" s="466">
        <v>13000000</v>
      </c>
      <c r="M24" s="466">
        <v>26847861</v>
      </c>
      <c r="N24" s="466">
        <v>12854524</v>
      </c>
      <c r="O24" s="466">
        <v>13433050</v>
      </c>
      <c r="P24" s="466">
        <v>14675892</v>
      </c>
      <c r="Q24" s="466"/>
      <c r="R24" s="466">
        <v>15469322.5</v>
      </c>
      <c r="S24" s="471">
        <f t="shared" si="0"/>
        <v>14108197.125</v>
      </c>
    </row>
    <row r="25" spans="1:19" x14ac:dyDescent="0.2">
      <c r="A25" s="465" t="s">
        <v>198</v>
      </c>
      <c r="B25" s="465" t="s">
        <v>199</v>
      </c>
      <c r="C25" s="465" t="s">
        <v>4301</v>
      </c>
      <c r="D25" s="465" t="s">
        <v>4299</v>
      </c>
      <c r="E25" s="466">
        <v>213171.91</v>
      </c>
      <c r="F25" s="466">
        <v>271408</v>
      </c>
      <c r="G25" s="466">
        <v>348185.57</v>
      </c>
      <c r="H25" s="466">
        <v>283649.15000000002</v>
      </c>
      <c r="I25" s="466">
        <v>324727</v>
      </c>
      <c r="J25" s="466">
        <v>453702</v>
      </c>
      <c r="K25" s="466">
        <v>248329</v>
      </c>
      <c r="L25" s="466">
        <v>280816</v>
      </c>
      <c r="M25" s="466">
        <v>228747</v>
      </c>
      <c r="N25" s="466">
        <v>389845</v>
      </c>
      <c r="O25" s="466">
        <v>407631</v>
      </c>
      <c r="P25" s="466">
        <v>348737</v>
      </c>
      <c r="Q25" s="466">
        <v>205655.19</v>
      </c>
      <c r="R25" s="466"/>
      <c r="S25" s="471">
        <f t="shared" si="0"/>
        <v>337967.04749999999</v>
      </c>
    </row>
    <row r="26" spans="1:19" x14ac:dyDescent="0.2">
      <c r="A26" s="465" t="s">
        <v>200</v>
      </c>
      <c r="B26" s="465" t="s">
        <v>4304</v>
      </c>
      <c r="C26" s="465" t="s">
        <v>4301</v>
      </c>
      <c r="D26" s="465" t="s">
        <v>4297</v>
      </c>
      <c r="E26" s="466">
        <v>7274532.9830706399</v>
      </c>
      <c r="F26" s="466">
        <v>6234709</v>
      </c>
      <c r="G26" s="466">
        <v>6492330</v>
      </c>
      <c r="H26" s="466">
        <v>8294595.0899999999</v>
      </c>
      <c r="I26" s="466">
        <v>10328560</v>
      </c>
      <c r="J26" s="466">
        <v>6733524</v>
      </c>
      <c r="K26" s="466">
        <v>9750105</v>
      </c>
      <c r="L26" s="466">
        <v>8044503.3285094099</v>
      </c>
      <c r="M26" s="466">
        <v>10384958.176555701</v>
      </c>
      <c r="N26" s="466">
        <v>15212199</v>
      </c>
      <c r="O26" s="466">
        <v>16170501</v>
      </c>
      <c r="P26" s="466">
        <v>23195004.630969599</v>
      </c>
      <c r="Q26" s="466"/>
      <c r="R26" s="466">
        <v>12438650.060781499</v>
      </c>
      <c r="S26" s="471">
        <f t="shared" si="0"/>
        <v>16754088.672937775</v>
      </c>
    </row>
    <row r="27" spans="1:19" x14ac:dyDescent="0.2">
      <c r="A27" s="465" t="s">
        <v>202</v>
      </c>
      <c r="B27" s="465" t="s">
        <v>203</v>
      </c>
      <c r="C27" s="465" t="s">
        <v>4301</v>
      </c>
      <c r="D27" s="465" t="s">
        <v>4299</v>
      </c>
      <c r="E27" s="466"/>
      <c r="F27" s="466">
        <v>433800503.10590899</v>
      </c>
      <c r="G27" s="466">
        <v>419146373.39916998</v>
      </c>
      <c r="H27" s="466">
        <v>404492243.69243097</v>
      </c>
      <c r="I27" s="466">
        <v>646275638.26142704</v>
      </c>
      <c r="J27" s="466">
        <v>554595723.97545695</v>
      </c>
      <c r="K27" s="466">
        <v>558682128.68183303</v>
      </c>
      <c r="L27" s="466">
        <v>562768533.38820803</v>
      </c>
      <c r="M27" s="466">
        <v>837536287.95823097</v>
      </c>
      <c r="N27" s="466">
        <v>668629874.89543104</v>
      </c>
      <c r="O27" s="466">
        <v>959340361.08245099</v>
      </c>
      <c r="P27" s="466">
        <v>1175866578.53686</v>
      </c>
      <c r="Q27" s="466"/>
      <c r="R27" s="466"/>
      <c r="S27" s="471">
        <f t="shared" si="0"/>
        <v>934612271.50491393</v>
      </c>
    </row>
    <row r="28" spans="1:19" x14ac:dyDescent="0.2">
      <c r="A28" s="465" t="s">
        <v>204</v>
      </c>
      <c r="B28" s="465" t="s">
        <v>205</v>
      </c>
      <c r="C28" s="465" t="s">
        <v>4301</v>
      </c>
      <c r="D28" s="465" t="s">
        <v>4300</v>
      </c>
      <c r="E28" s="466">
        <v>340000</v>
      </c>
      <c r="F28" s="466">
        <v>340000</v>
      </c>
      <c r="G28" s="466">
        <v>120000</v>
      </c>
      <c r="H28" s="466">
        <v>850000</v>
      </c>
      <c r="I28" s="466">
        <v>500000</v>
      </c>
      <c r="J28" s="466">
        <v>1020000</v>
      </c>
      <c r="K28" s="466"/>
      <c r="L28" s="466"/>
      <c r="M28" s="466">
        <v>390000</v>
      </c>
      <c r="N28" s="466">
        <v>253687</v>
      </c>
      <c r="O28" s="466">
        <v>420750</v>
      </c>
      <c r="P28" s="466">
        <v>384750</v>
      </c>
      <c r="Q28" s="466">
        <v>236186</v>
      </c>
      <c r="R28" s="466"/>
      <c r="S28" s="471">
        <f t="shared" si="0"/>
        <v>323843.25</v>
      </c>
    </row>
    <row r="29" spans="1:19" x14ac:dyDescent="0.2">
      <c r="A29" s="465" t="s">
        <v>444</v>
      </c>
      <c r="B29" s="465" t="s">
        <v>445</v>
      </c>
      <c r="C29" s="465" t="s">
        <v>4302</v>
      </c>
      <c r="D29" s="465" t="s">
        <v>4300</v>
      </c>
      <c r="E29" s="466"/>
      <c r="F29" s="466"/>
      <c r="G29" s="466"/>
      <c r="H29" s="466">
        <v>578605.12</v>
      </c>
      <c r="I29" s="466">
        <v>324317</v>
      </c>
      <c r="J29" s="466">
        <v>1538687.8925192801</v>
      </c>
      <c r="K29" s="466">
        <v>1093577.21514733</v>
      </c>
      <c r="L29" s="466">
        <v>2527912</v>
      </c>
      <c r="M29" s="466">
        <v>1696512.27306413</v>
      </c>
      <c r="N29" s="466">
        <v>1561083.59013783</v>
      </c>
      <c r="O29" s="466">
        <v>1802587.03816851</v>
      </c>
      <c r="P29" s="466">
        <v>963238.11363683303</v>
      </c>
      <c r="Q29" s="466"/>
      <c r="R29" s="466"/>
      <c r="S29" s="471">
        <f t="shared" si="0"/>
        <v>1442302.9139810577</v>
      </c>
    </row>
    <row r="30" spans="1:19" x14ac:dyDescent="0.2">
      <c r="A30" s="465" t="s">
        <v>420</v>
      </c>
      <c r="B30" s="465" t="s">
        <v>421</v>
      </c>
      <c r="C30" s="465" t="s">
        <v>4303</v>
      </c>
      <c r="D30" s="465" t="s">
        <v>4297</v>
      </c>
      <c r="E30" s="466"/>
      <c r="F30" s="466">
        <v>205634</v>
      </c>
      <c r="G30" s="466">
        <v>213155</v>
      </c>
      <c r="H30" s="466">
        <v>337469</v>
      </c>
      <c r="I30" s="466">
        <v>105500</v>
      </c>
      <c r="J30" s="466">
        <v>163521</v>
      </c>
      <c r="K30" s="466">
        <v>300000</v>
      </c>
      <c r="L30" s="466">
        <v>235000</v>
      </c>
      <c r="M30" s="466">
        <v>297500</v>
      </c>
      <c r="N30" s="466">
        <v>210400</v>
      </c>
      <c r="O30" s="466">
        <v>218898.80952380999</v>
      </c>
      <c r="P30" s="466">
        <v>609712</v>
      </c>
      <c r="Q30" s="466">
        <v>370862</v>
      </c>
      <c r="R30" s="466">
        <v>807453</v>
      </c>
      <c r="S30" s="471">
        <f t="shared" si="0"/>
        <v>443465.16190476192</v>
      </c>
    </row>
    <row r="31" spans="1:19" x14ac:dyDescent="0.2">
      <c r="A31" s="465" t="s">
        <v>99</v>
      </c>
      <c r="B31" s="465" t="s">
        <v>100</v>
      </c>
      <c r="C31" s="465" t="s">
        <v>4296</v>
      </c>
      <c r="D31" s="465" t="s">
        <v>4299</v>
      </c>
      <c r="E31" s="466"/>
      <c r="F31" s="466"/>
      <c r="G31" s="466"/>
      <c r="H31" s="466">
        <v>298757.27802546398</v>
      </c>
      <c r="I31" s="466">
        <v>459884.37689745898</v>
      </c>
      <c r="J31" s="466">
        <v>1672762.83215269</v>
      </c>
      <c r="K31" s="466">
        <v>5767735</v>
      </c>
      <c r="L31" s="466">
        <v>9862699.2937653307</v>
      </c>
      <c r="M31" s="466">
        <v>3444284</v>
      </c>
      <c r="N31" s="466">
        <v>9236875</v>
      </c>
      <c r="O31" s="466">
        <v>6529961</v>
      </c>
      <c r="P31" s="466">
        <v>5246887</v>
      </c>
      <c r="Q31" s="466"/>
      <c r="R31" s="466"/>
      <c r="S31" s="471">
        <f t="shared" si="0"/>
        <v>7004574.333333333</v>
      </c>
    </row>
    <row r="32" spans="1:19" x14ac:dyDescent="0.2">
      <c r="A32" s="465" t="s">
        <v>102</v>
      </c>
      <c r="B32" s="465" t="s">
        <v>103</v>
      </c>
      <c r="C32" s="465" t="s">
        <v>4296</v>
      </c>
      <c r="D32" s="465" t="s">
        <v>4278</v>
      </c>
      <c r="E32" s="466"/>
      <c r="F32" s="466">
        <v>6250000</v>
      </c>
      <c r="G32" s="466"/>
      <c r="H32" s="466">
        <v>465983.10810810799</v>
      </c>
      <c r="I32" s="466">
        <v>2242833</v>
      </c>
      <c r="J32" s="466">
        <v>2363942</v>
      </c>
      <c r="K32" s="466">
        <v>2296330</v>
      </c>
      <c r="L32" s="466">
        <v>2640267.9499635701</v>
      </c>
      <c r="M32" s="466">
        <v>3495031.1357867401</v>
      </c>
      <c r="N32" s="466">
        <v>4449284</v>
      </c>
      <c r="O32" s="466">
        <v>2806695</v>
      </c>
      <c r="P32" s="466">
        <v>2164449.0498598702</v>
      </c>
      <c r="Q32" s="466">
        <v>2435963.5531500098</v>
      </c>
      <c r="R32" s="466"/>
      <c r="S32" s="471">
        <f t="shared" si="0"/>
        <v>2964097.9007524699</v>
      </c>
    </row>
    <row r="33" spans="1:19" x14ac:dyDescent="0.2">
      <c r="A33" s="465" t="s">
        <v>206</v>
      </c>
      <c r="B33" s="465" t="s">
        <v>207</v>
      </c>
      <c r="C33" s="465" t="s">
        <v>4301</v>
      </c>
      <c r="D33" s="465" t="s">
        <v>4300</v>
      </c>
      <c r="E33" s="466"/>
      <c r="F33" s="466"/>
      <c r="G33" s="466"/>
      <c r="H33" s="466"/>
      <c r="I33" s="466"/>
      <c r="J33" s="466"/>
      <c r="K33" s="466"/>
      <c r="L33" s="466"/>
      <c r="M33" s="466"/>
      <c r="N33" s="466"/>
      <c r="O33" s="466"/>
      <c r="P33" s="466"/>
      <c r="Q33" s="466"/>
      <c r="R33" s="466"/>
      <c r="S33" s="471" t="str">
        <f t="shared" si="0"/>
        <v/>
      </c>
    </row>
    <row r="34" spans="1:19" x14ac:dyDescent="0.2">
      <c r="A34" s="465" t="s">
        <v>329</v>
      </c>
      <c r="B34" s="465" t="s">
        <v>330</v>
      </c>
      <c r="C34" s="465" t="s">
        <v>4298</v>
      </c>
      <c r="D34" s="465" t="s">
        <v>4300</v>
      </c>
      <c r="E34" s="466"/>
      <c r="F34" s="466"/>
      <c r="G34" s="466"/>
      <c r="H34" s="466"/>
      <c r="I34" s="466"/>
      <c r="J34" s="466"/>
      <c r="K34" s="466"/>
      <c r="L34" s="466"/>
      <c r="M34" s="466"/>
      <c r="N34" s="466"/>
      <c r="O34" s="466"/>
      <c r="P34" s="466"/>
      <c r="Q34" s="466"/>
      <c r="R34" s="466"/>
      <c r="S34" s="471" t="str">
        <f t="shared" si="0"/>
        <v/>
      </c>
    </row>
    <row r="35" spans="1:19" x14ac:dyDescent="0.2">
      <c r="A35" s="465" t="s">
        <v>209</v>
      </c>
      <c r="B35" s="465" t="s">
        <v>210</v>
      </c>
      <c r="C35" s="465" t="s">
        <v>4301</v>
      </c>
      <c r="D35" s="465" t="s">
        <v>4300</v>
      </c>
      <c r="E35" s="466">
        <v>21557974</v>
      </c>
      <c r="F35" s="466">
        <v>28000000</v>
      </c>
      <c r="G35" s="466">
        <v>37318693.669714503</v>
      </c>
      <c r="H35" s="466">
        <v>41978040.504571803</v>
      </c>
      <c r="I35" s="466">
        <v>46637387.339428999</v>
      </c>
      <c r="J35" s="466">
        <v>54469681.669714503</v>
      </c>
      <c r="K35" s="466">
        <v>62301976</v>
      </c>
      <c r="L35" s="466">
        <v>28635521</v>
      </c>
      <c r="M35" s="466">
        <v>39469024</v>
      </c>
      <c r="N35" s="466">
        <v>46047074</v>
      </c>
      <c r="O35" s="466">
        <v>43547528</v>
      </c>
      <c r="P35" s="466">
        <v>47616689</v>
      </c>
      <c r="Q35" s="466">
        <v>52041652</v>
      </c>
      <c r="R35" s="466"/>
      <c r="S35" s="471">
        <f t="shared" si="0"/>
        <v>47313235.75</v>
      </c>
    </row>
    <row r="36" spans="1:19" x14ac:dyDescent="0.2">
      <c r="A36" s="465" t="s">
        <v>446</v>
      </c>
      <c r="B36" s="465" t="s">
        <v>447</v>
      </c>
      <c r="C36" s="465" t="s">
        <v>4302</v>
      </c>
      <c r="D36" s="465" t="s">
        <v>4299</v>
      </c>
      <c r="E36" s="466"/>
      <c r="F36" s="466"/>
      <c r="G36" s="466">
        <v>292682189.73060101</v>
      </c>
      <c r="H36" s="466">
        <v>249872646.895219</v>
      </c>
      <c r="I36" s="466">
        <v>269830508.474576</v>
      </c>
      <c r="J36" s="466">
        <v>282463824.18943</v>
      </c>
      <c r="K36" s="466">
        <v>289142540.29862601</v>
      </c>
      <c r="L36" s="466">
        <v>279721871.13500297</v>
      </c>
      <c r="M36" s="466">
        <v>282108474.81133097</v>
      </c>
      <c r="N36" s="466">
        <v>326627057.40666401</v>
      </c>
      <c r="O36" s="466">
        <v>421395894.97188902</v>
      </c>
      <c r="P36" s="466">
        <v>492352505.37891501</v>
      </c>
      <c r="Q36" s="466">
        <v>557382688.75436497</v>
      </c>
      <c r="R36" s="466"/>
      <c r="S36" s="471">
        <f t="shared" si="0"/>
        <v>449439536.62795824</v>
      </c>
    </row>
    <row r="37" spans="1:19" x14ac:dyDescent="0.2">
      <c r="A37" s="465" t="s">
        <v>104</v>
      </c>
      <c r="B37" s="465" t="s">
        <v>520</v>
      </c>
      <c r="C37" s="465" t="s">
        <v>4296</v>
      </c>
      <c r="D37" s="465" t="s">
        <v>4297</v>
      </c>
      <c r="E37" s="466">
        <v>11555884.769528501</v>
      </c>
      <c r="F37" s="466">
        <v>12721499.8017435</v>
      </c>
      <c r="G37" s="466">
        <v>13615205.7056487</v>
      </c>
      <c r="H37" s="466">
        <v>8112477.9652663199</v>
      </c>
      <c r="I37" s="466">
        <v>7115064.0334930196</v>
      </c>
      <c r="J37" s="466">
        <v>6304025</v>
      </c>
      <c r="K37" s="466">
        <v>3134085</v>
      </c>
      <c r="L37" s="466">
        <v>8982291</v>
      </c>
      <c r="M37" s="466">
        <v>22159318</v>
      </c>
      <c r="N37" s="466">
        <v>15935500</v>
      </c>
      <c r="O37" s="466">
        <v>13696374.310544699</v>
      </c>
      <c r="P37" s="466">
        <v>34336613.166816004</v>
      </c>
      <c r="Q37" s="466">
        <v>20148140.643500201</v>
      </c>
      <c r="R37" s="466">
        <v>35379131.179803804</v>
      </c>
      <c r="S37" s="471">
        <f t="shared" si="0"/>
        <v>23899151.86013294</v>
      </c>
    </row>
    <row r="38" spans="1:19" x14ac:dyDescent="0.2">
      <c r="A38" s="465" t="s">
        <v>106</v>
      </c>
      <c r="B38" s="465" t="s">
        <v>107</v>
      </c>
      <c r="C38" s="465" t="s">
        <v>4296</v>
      </c>
      <c r="D38" s="465" t="s">
        <v>4297</v>
      </c>
      <c r="E38" s="466">
        <v>6109678.1608887697</v>
      </c>
      <c r="F38" s="466">
        <v>3626643.9393939399</v>
      </c>
      <c r="G38" s="466">
        <v>4905624.3854473904</v>
      </c>
      <c r="H38" s="466">
        <v>6265711.2553084102</v>
      </c>
      <c r="I38" s="466">
        <v>14417876.2345728</v>
      </c>
      <c r="J38" s="466">
        <v>21191104.816903699</v>
      </c>
      <c r="K38" s="466">
        <v>20844097.2856506</v>
      </c>
      <c r="L38" s="466">
        <v>23754161.606347699</v>
      </c>
      <c r="M38" s="466">
        <v>21214505.425604001</v>
      </c>
      <c r="N38" s="466">
        <v>35522063.572575897</v>
      </c>
      <c r="O38" s="466">
        <v>13252339.796378501</v>
      </c>
      <c r="P38" s="466">
        <v>16878764.065862201</v>
      </c>
      <c r="Q38" s="466">
        <v>14728432.629395099</v>
      </c>
      <c r="R38" s="466">
        <v>7193182.5700000003</v>
      </c>
      <c r="S38" s="471">
        <f t="shared" si="0"/>
        <v>17514956.526842337</v>
      </c>
    </row>
    <row r="39" spans="1:19" x14ac:dyDescent="0.2">
      <c r="A39" s="465" t="s">
        <v>109</v>
      </c>
      <c r="B39" s="465" t="s">
        <v>110</v>
      </c>
      <c r="C39" s="465" t="s">
        <v>4296</v>
      </c>
      <c r="D39" s="465" t="s">
        <v>4278</v>
      </c>
      <c r="E39" s="466"/>
      <c r="F39" s="466"/>
      <c r="G39" s="466"/>
      <c r="H39" s="466">
        <v>44632674</v>
      </c>
      <c r="I39" s="466">
        <v>3578187</v>
      </c>
      <c r="J39" s="466">
        <v>2146698</v>
      </c>
      <c r="K39" s="466">
        <v>42252617</v>
      </c>
      <c r="L39" s="466">
        <v>53946231</v>
      </c>
      <c r="M39" s="466">
        <v>59020935</v>
      </c>
      <c r="N39" s="466">
        <v>66955379</v>
      </c>
      <c r="O39" s="466">
        <v>58763460</v>
      </c>
      <c r="P39" s="466">
        <v>63639109</v>
      </c>
      <c r="Q39" s="466">
        <v>24490585</v>
      </c>
      <c r="R39" s="466">
        <v>56781650</v>
      </c>
      <c r="S39" s="471">
        <f t="shared" si="0"/>
        <v>54126036.600000001</v>
      </c>
    </row>
    <row r="40" spans="1:19" x14ac:dyDescent="0.2">
      <c r="A40" s="465" t="s">
        <v>111</v>
      </c>
      <c r="B40" s="465" t="s">
        <v>4305</v>
      </c>
      <c r="C40" s="465" t="s">
        <v>4296</v>
      </c>
      <c r="D40" s="465" t="s">
        <v>4297</v>
      </c>
      <c r="E40" s="466">
        <v>666666.66666666698</v>
      </c>
      <c r="F40" s="466">
        <v>140000</v>
      </c>
      <c r="G40" s="466">
        <v>360000</v>
      </c>
      <c r="H40" s="466">
        <v>360000</v>
      </c>
      <c r="I40" s="466">
        <v>2432500</v>
      </c>
      <c r="J40" s="466">
        <v>1834192</v>
      </c>
      <c r="K40" s="466">
        <v>3837734.6078320998</v>
      </c>
      <c r="L40" s="466">
        <v>4467307.75848109</v>
      </c>
      <c r="M40" s="466">
        <v>4656455.2046357803</v>
      </c>
      <c r="N40" s="466">
        <v>3297937.9998309198</v>
      </c>
      <c r="O40" s="466">
        <v>1336220.68342841</v>
      </c>
      <c r="P40" s="466">
        <v>993395.31670816604</v>
      </c>
      <c r="Q40" s="466">
        <v>1909376.0699314801</v>
      </c>
      <c r="R40" s="466">
        <v>4508363.7968532797</v>
      </c>
      <c r="S40" s="471">
        <f t="shared" si="0"/>
        <v>2409058.7733504511</v>
      </c>
    </row>
    <row r="41" spans="1:19" x14ac:dyDescent="0.2">
      <c r="A41" s="465" t="s">
        <v>448</v>
      </c>
      <c r="B41" s="465" t="s">
        <v>449</v>
      </c>
      <c r="C41" s="465" t="s">
        <v>4302</v>
      </c>
      <c r="D41" s="465" t="s">
        <v>4299</v>
      </c>
      <c r="E41" s="466">
        <v>2383.6327086440601</v>
      </c>
      <c r="F41" s="466">
        <v>20100</v>
      </c>
      <c r="G41" s="466">
        <v>3514.44436634568</v>
      </c>
      <c r="H41" s="466">
        <v>7169</v>
      </c>
      <c r="I41" s="466">
        <v>72077.266830041801</v>
      </c>
      <c r="J41" s="466"/>
      <c r="K41" s="466"/>
      <c r="L41" s="466"/>
      <c r="M41" s="466"/>
      <c r="N41" s="466"/>
      <c r="O41" s="466"/>
      <c r="P41" s="466"/>
      <c r="Q41" s="466">
        <v>10724.726262484701</v>
      </c>
      <c r="R41" s="466">
        <v>10211.644568887399</v>
      </c>
      <c r="S41" s="471">
        <f t="shared" si="0"/>
        <v>10468.18541568605</v>
      </c>
    </row>
    <row r="42" spans="1:19" x14ac:dyDescent="0.2">
      <c r="A42" s="465" t="s">
        <v>211</v>
      </c>
      <c r="B42" s="465" t="s">
        <v>212</v>
      </c>
      <c r="C42" s="465" t="s">
        <v>4301</v>
      </c>
      <c r="D42" s="465" t="s">
        <v>4299</v>
      </c>
      <c r="E42" s="466">
        <v>37608034.261922903</v>
      </c>
      <c r="F42" s="466">
        <v>37272939</v>
      </c>
      <c r="G42" s="466">
        <v>29544363</v>
      </c>
      <c r="H42" s="466">
        <v>45663084</v>
      </c>
      <c r="I42" s="466">
        <v>52123331</v>
      </c>
      <c r="J42" s="466">
        <v>90765128</v>
      </c>
      <c r="K42" s="466">
        <v>80216368</v>
      </c>
      <c r="L42" s="466">
        <v>100852017</v>
      </c>
      <c r="M42" s="466">
        <v>86202456</v>
      </c>
      <c r="N42" s="466">
        <v>58492329</v>
      </c>
      <c r="O42" s="466">
        <v>44578245.563136302</v>
      </c>
      <c r="P42" s="466">
        <v>88122436.717500001</v>
      </c>
      <c r="Q42" s="466"/>
      <c r="R42" s="466">
        <v>105568642.810487</v>
      </c>
      <c r="S42" s="471">
        <f t="shared" si="0"/>
        <v>74190413.522780836</v>
      </c>
    </row>
    <row r="43" spans="1:19" x14ac:dyDescent="0.2">
      <c r="A43" s="465" t="s">
        <v>113</v>
      </c>
      <c r="B43" s="465" t="s">
        <v>114</v>
      </c>
      <c r="C43" s="465" t="s">
        <v>4296</v>
      </c>
      <c r="D43" s="465" t="s">
        <v>4297</v>
      </c>
      <c r="E43" s="466"/>
      <c r="F43" s="466"/>
      <c r="G43" s="466"/>
      <c r="H43" s="466">
        <v>161911.81324132899</v>
      </c>
      <c r="I43" s="466">
        <v>344000</v>
      </c>
      <c r="J43" s="466">
        <v>165197</v>
      </c>
      <c r="K43" s="466">
        <v>249878</v>
      </c>
      <c r="L43" s="466">
        <v>274866</v>
      </c>
      <c r="M43" s="466">
        <v>204605</v>
      </c>
      <c r="N43" s="466">
        <v>170629</v>
      </c>
      <c r="O43" s="466">
        <v>158000</v>
      </c>
      <c r="P43" s="466">
        <v>150500</v>
      </c>
      <c r="Q43" s="466">
        <v>159510</v>
      </c>
      <c r="R43" s="466">
        <v>150326</v>
      </c>
      <c r="S43" s="471">
        <f t="shared" si="0"/>
        <v>157793</v>
      </c>
    </row>
    <row r="44" spans="1:19" x14ac:dyDescent="0.2">
      <c r="A44" s="465" t="s">
        <v>115</v>
      </c>
      <c r="B44" s="465" t="s">
        <v>116</v>
      </c>
      <c r="C44" s="465" t="s">
        <v>4296</v>
      </c>
      <c r="D44" s="465" t="s">
        <v>4297</v>
      </c>
      <c r="E44" s="466">
        <v>63202.631555329499</v>
      </c>
      <c r="F44" s="466">
        <v>43520</v>
      </c>
      <c r="G44" s="466">
        <v>46178.571428571398</v>
      </c>
      <c r="H44" s="466">
        <v>207559.52380952399</v>
      </c>
      <c r="I44" s="466">
        <v>323490.53999999998</v>
      </c>
      <c r="J44" s="466">
        <v>250890</v>
      </c>
      <c r="K44" s="466">
        <v>216367.935</v>
      </c>
      <c r="L44" s="466">
        <v>181845.87</v>
      </c>
      <c r="M44" s="466">
        <v>185350.338304456</v>
      </c>
      <c r="N44" s="466">
        <v>206540</v>
      </c>
      <c r="O44" s="466">
        <v>207000</v>
      </c>
      <c r="P44" s="466">
        <v>171716</v>
      </c>
      <c r="Q44" s="466"/>
      <c r="R44" s="466"/>
      <c r="S44" s="471">
        <f t="shared" si="0"/>
        <v>195085.33333333334</v>
      </c>
    </row>
    <row r="45" spans="1:19" x14ac:dyDescent="0.2">
      <c r="A45" s="465" t="s">
        <v>213</v>
      </c>
      <c r="B45" s="465" t="s">
        <v>214</v>
      </c>
      <c r="C45" s="465" t="s">
        <v>4301</v>
      </c>
      <c r="D45" s="465" t="s">
        <v>4299</v>
      </c>
      <c r="E45" s="466"/>
      <c r="F45" s="466"/>
      <c r="G45" s="466">
        <v>10215152.371134</v>
      </c>
      <c r="H45" s="466">
        <v>7982582.7800000003</v>
      </c>
      <c r="I45" s="466">
        <v>22839273.219999999</v>
      </c>
      <c r="J45" s="466">
        <v>6000654.0899999999</v>
      </c>
      <c r="K45" s="466">
        <v>8574990</v>
      </c>
      <c r="L45" s="466">
        <v>10683328.960000001</v>
      </c>
      <c r="M45" s="466">
        <v>12318004</v>
      </c>
      <c r="N45" s="466">
        <v>14054311.5</v>
      </c>
      <c r="O45" s="466">
        <v>15790619</v>
      </c>
      <c r="P45" s="466">
        <v>16982563.816702701</v>
      </c>
      <c r="Q45" s="466">
        <v>21485000</v>
      </c>
      <c r="R45" s="466"/>
      <c r="S45" s="471">
        <f t="shared" si="0"/>
        <v>17078123.579175673</v>
      </c>
    </row>
    <row r="46" spans="1:19" x14ac:dyDescent="0.2">
      <c r="A46" s="465" t="s">
        <v>215</v>
      </c>
      <c r="B46" s="465" t="s">
        <v>216</v>
      </c>
      <c r="C46" s="465" t="s">
        <v>4301</v>
      </c>
      <c r="D46" s="465" t="s">
        <v>4299</v>
      </c>
      <c r="E46" s="466">
        <v>13517706.447344599</v>
      </c>
      <c r="F46" s="466">
        <v>13812289.8722698</v>
      </c>
      <c r="G46" s="466">
        <v>14249279.3043641</v>
      </c>
      <c r="H46" s="466">
        <v>14511509.7705494</v>
      </c>
      <c r="I46" s="466">
        <v>21706331.823493499</v>
      </c>
      <c r="J46" s="466">
        <v>20638423.621308401</v>
      </c>
      <c r="K46" s="466">
        <v>17841840</v>
      </c>
      <c r="L46" s="466">
        <v>12605300</v>
      </c>
      <c r="M46" s="466">
        <v>12677050</v>
      </c>
      <c r="N46" s="466">
        <v>12677050</v>
      </c>
      <c r="O46" s="466">
        <v>12751300</v>
      </c>
      <c r="P46" s="466">
        <v>13030703</v>
      </c>
      <c r="Q46" s="466">
        <v>13036052</v>
      </c>
      <c r="R46" s="466">
        <v>13164283.25</v>
      </c>
      <c r="S46" s="471">
        <f t="shared" si="0"/>
        <v>12931877.65</v>
      </c>
    </row>
    <row r="47" spans="1:19" x14ac:dyDescent="0.2">
      <c r="A47" s="465" t="s">
        <v>331</v>
      </c>
      <c r="B47" s="465" t="s">
        <v>332</v>
      </c>
      <c r="C47" s="465" t="s">
        <v>4298</v>
      </c>
      <c r="D47" s="465" t="s">
        <v>4300</v>
      </c>
      <c r="E47" s="466"/>
      <c r="F47" s="466"/>
      <c r="G47" s="466">
        <v>13044117.6470588</v>
      </c>
      <c r="H47" s="466">
        <v>4549254.5631879596</v>
      </c>
      <c r="I47" s="466">
        <v>9685628.3849944398</v>
      </c>
      <c r="J47" s="466"/>
      <c r="K47" s="466"/>
      <c r="L47" s="466"/>
      <c r="M47" s="466"/>
      <c r="N47" s="466"/>
      <c r="O47" s="466">
        <v>9925239.3846875709</v>
      </c>
      <c r="P47" s="466"/>
      <c r="Q47" s="466"/>
      <c r="R47" s="466"/>
      <c r="S47" s="471">
        <f t="shared" si="0"/>
        <v>9925239.3846875709</v>
      </c>
    </row>
    <row r="48" spans="1:19" x14ac:dyDescent="0.2">
      <c r="A48" s="465" t="s">
        <v>333</v>
      </c>
      <c r="B48" s="465" t="s">
        <v>4279</v>
      </c>
      <c r="C48" s="465" t="s">
        <v>4298</v>
      </c>
      <c r="D48" s="465" t="s">
        <v>4300</v>
      </c>
      <c r="E48" s="466">
        <v>29565825.847430501</v>
      </c>
      <c r="F48" s="466">
        <v>29565825.847430501</v>
      </c>
      <c r="G48" s="466">
        <v>38074708.435598098</v>
      </c>
      <c r="H48" s="466">
        <v>47144465.9796464</v>
      </c>
      <c r="I48" s="466"/>
      <c r="J48" s="466"/>
      <c r="K48" s="466"/>
      <c r="L48" s="466"/>
      <c r="M48" s="466"/>
      <c r="N48" s="466"/>
      <c r="O48" s="466"/>
      <c r="P48" s="466"/>
      <c r="Q48" s="466"/>
      <c r="R48" s="466"/>
      <c r="S48" s="471" t="str">
        <f t="shared" si="0"/>
        <v/>
      </c>
    </row>
    <row r="49" spans="1:19" x14ac:dyDescent="0.2">
      <c r="A49" s="465" t="s">
        <v>335</v>
      </c>
      <c r="B49" s="465" t="s">
        <v>336</v>
      </c>
      <c r="C49" s="465" t="s">
        <v>4298</v>
      </c>
      <c r="D49" s="465" t="s">
        <v>4300</v>
      </c>
      <c r="E49" s="466"/>
      <c r="F49" s="466"/>
      <c r="G49" s="466"/>
      <c r="H49" s="466"/>
      <c r="I49" s="466">
        <v>1382523942.0772901</v>
      </c>
      <c r="J49" s="466">
        <v>1401452946.25212</v>
      </c>
      <c r="K49" s="466">
        <v>1322295722.97963</v>
      </c>
      <c r="L49" s="466">
        <v>1243138499.70715</v>
      </c>
      <c r="M49" s="466">
        <v>1441793404.9579101</v>
      </c>
      <c r="N49" s="466"/>
      <c r="O49" s="466">
        <v>1252668283.0366399</v>
      </c>
      <c r="P49" s="466">
        <v>1335365611.65222</v>
      </c>
      <c r="Q49" s="466"/>
      <c r="R49" s="466"/>
      <c r="S49" s="471">
        <f t="shared" si="0"/>
        <v>1294016947.34443</v>
      </c>
    </row>
    <row r="50" spans="1:19" x14ac:dyDescent="0.2">
      <c r="A50" s="465" t="s">
        <v>271</v>
      </c>
      <c r="B50" s="465" t="s">
        <v>272</v>
      </c>
      <c r="C50" s="465" t="s">
        <v>4295</v>
      </c>
      <c r="D50" s="465" t="s">
        <v>4297</v>
      </c>
      <c r="E50" s="466"/>
      <c r="F50" s="466"/>
      <c r="G50" s="466"/>
      <c r="H50" s="466"/>
      <c r="I50" s="466">
        <v>374727</v>
      </c>
      <c r="J50" s="466">
        <v>297962</v>
      </c>
      <c r="K50" s="466">
        <v>631772</v>
      </c>
      <c r="L50" s="466">
        <v>490886</v>
      </c>
      <c r="M50" s="466">
        <v>350000</v>
      </c>
      <c r="N50" s="466">
        <v>700000</v>
      </c>
      <c r="O50" s="466">
        <v>570000</v>
      </c>
      <c r="P50" s="466">
        <v>570000</v>
      </c>
      <c r="Q50" s="466"/>
      <c r="R50" s="466">
        <v>2248000</v>
      </c>
      <c r="S50" s="471">
        <f t="shared" si="0"/>
        <v>1022000</v>
      </c>
    </row>
    <row r="51" spans="1:19" x14ac:dyDescent="0.2">
      <c r="A51" s="465" t="s">
        <v>217</v>
      </c>
      <c r="B51" s="465" t="s">
        <v>218</v>
      </c>
      <c r="C51" s="465" t="s">
        <v>4301</v>
      </c>
      <c r="D51" s="465" t="s">
        <v>4299</v>
      </c>
      <c r="E51" s="466"/>
      <c r="F51" s="466"/>
      <c r="G51" s="466"/>
      <c r="H51" s="466">
        <v>4858</v>
      </c>
      <c r="I51" s="466">
        <v>16047.84</v>
      </c>
      <c r="J51" s="466">
        <v>54243.41</v>
      </c>
      <c r="K51" s="466">
        <v>53558</v>
      </c>
      <c r="L51" s="466">
        <v>23519.196296296301</v>
      </c>
      <c r="M51" s="466">
        <v>15908.8888888889</v>
      </c>
      <c r="N51" s="466">
        <v>64703</v>
      </c>
      <c r="O51" s="466">
        <v>22944</v>
      </c>
      <c r="P51" s="466">
        <v>52648</v>
      </c>
      <c r="Q51" s="466">
        <v>37110.58</v>
      </c>
      <c r="R51" s="466"/>
      <c r="S51" s="471">
        <f t="shared" si="0"/>
        <v>44351.395000000004</v>
      </c>
    </row>
    <row r="52" spans="1:19" x14ac:dyDescent="0.2">
      <c r="A52" s="465" t="s">
        <v>337</v>
      </c>
      <c r="B52" s="465" t="s">
        <v>338</v>
      </c>
      <c r="C52" s="465" t="s">
        <v>4298</v>
      </c>
      <c r="D52" s="465" t="s">
        <v>4300</v>
      </c>
      <c r="E52" s="466"/>
      <c r="F52" s="466"/>
      <c r="G52" s="466"/>
      <c r="H52" s="466"/>
      <c r="I52" s="466"/>
      <c r="J52" s="466"/>
      <c r="K52" s="466"/>
      <c r="L52" s="466"/>
      <c r="M52" s="466"/>
      <c r="N52" s="466"/>
      <c r="O52" s="466"/>
      <c r="P52" s="466"/>
      <c r="Q52" s="466"/>
      <c r="R52" s="466"/>
      <c r="S52" s="471" t="str">
        <f t="shared" si="0"/>
        <v/>
      </c>
    </row>
    <row r="53" spans="1:19" x14ac:dyDescent="0.2">
      <c r="A53" s="465" t="s">
        <v>219</v>
      </c>
      <c r="B53" s="465" t="s">
        <v>220</v>
      </c>
      <c r="C53" s="465" t="s">
        <v>4301</v>
      </c>
      <c r="D53" s="465" t="s">
        <v>4299</v>
      </c>
      <c r="E53" s="466">
        <v>10331353.3585895</v>
      </c>
      <c r="F53" s="466">
        <v>3009966.89361702</v>
      </c>
      <c r="G53" s="466">
        <v>3984395.1777777802</v>
      </c>
      <c r="H53" s="466">
        <v>3384649.6777777802</v>
      </c>
      <c r="I53" s="466">
        <v>2971280</v>
      </c>
      <c r="J53" s="466">
        <v>8286606</v>
      </c>
      <c r="K53" s="466">
        <v>5760261</v>
      </c>
      <c r="L53" s="466">
        <v>17736962</v>
      </c>
      <c r="M53" s="466">
        <v>8307899</v>
      </c>
      <c r="N53" s="466">
        <v>8307899</v>
      </c>
      <c r="O53" s="466">
        <v>11324153</v>
      </c>
      <c r="P53" s="466">
        <v>13174288.949761899</v>
      </c>
      <c r="Q53" s="466"/>
      <c r="R53" s="466">
        <v>19832480.800000001</v>
      </c>
      <c r="S53" s="471">
        <f t="shared" si="0"/>
        <v>13159705.437440474</v>
      </c>
    </row>
    <row r="54" spans="1:19" x14ac:dyDescent="0.2">
      <c r="A54" s="465" t="s">
        <v>117</v>
      </c>
      <c r="B54" s="465" t="s">
        <v>118</v>
      </c>
      <c r="C54" s="465" t="s">
        <v>4296</v>
      </c>
      <c r="D54" s="465" t="s">
        <v>4299</v>
      </c>
      <c r="E54" s="466"/>
      <c r="F54" s="466"/>
      <c r="G54" s="466"/>
      <c r="H54" s="466"/>
      <c r="I54" s="466"/>
      <c r="J54" s="466"/>
      <c r="K54" s="466">
        <v>15345431.3209348</v>
      </c>
      <c r="L54" s="466">
        <v>33852739.528578103</v>
      </c>
      <c r="M54" s="466">
        <v>41680179.885578103</v>
      </c>
      <c r="N54" s="466">
        <v>38984643.3412949</v>
      </c>
      <c r="O54" s="466">
        <v>91371695.002415106</v>
      </c>
      <c r="P54" s="466">
        <v>90111995.693847805</v>
      </c>
      <c r="Q54" s="466">
        <v>85767859.970883906</v>
      </c>
      <c r="R54" s="466"/>
      <c r="S54" s="471">
        <f t="shared" si="0"/>
        <v>76559048.502110422</v>
      </c>
    </row>
    <row r="55" spans="1:19" x14ac:dyDescent="0.2">
      <c r="A55" s="465" t="s">
        <v>221</v>
      </c>
      <c r="B55" s="465" t="s">
        <v>222</v>
      </c>
      <c r="C55" s="465" t="s">
        <v>4301</v>
      </c>
      <c r="D55" s="465" t="s">
        <v>4299</v>
      </c>
      <c r="E55" s="466">
        <v>6514494.2999999998</v>
      </c>
      <c r="F55" s="466">
        <v>10000000</v>
      </c>
      <c r="G55" s="466">
        <v>22712300</v>
      </c>
      <c r="H55" s="466">
        <v>31437338.579999998</v>
      </c>
      <c r="I55" s="466">
        <v>47692646.579999998</v>
      </c>
      <c r="J55" s="466">
        <v>44000000</v>
      </c>
      <c r="K55" s="466">
        <v>40078302.259999998</v>
      </c>
      <c r="L55" s="466">
        <v>30874909.449999999</v>
      </c>
      <c r="M55" s="466">
        <v>42786472.225000001</v>
      </c>
      <c r="N55" s="466">
        <v>54698035</v>
      </c>
      <c r="O55" s="466">
        <v>61823192</v>
      </c>
      <c r="P55" s="466">
        <v>38626052</v>
      </c>
      <c r="Q55" s="466">
        <v>39085039.240000002</v>
      </c>
      <c r="R55" s="466"/>
      <c r="S55" s="471">
        <f t="shared" si="0"/>
        <v>48558079.560000002</v>
      </c>
    </row>
    <row r="56" spans="1:19" x14ac:dyDescent="0.2">
      <c r="A56" s="465" t="s">
        <v>273</v>
      </c>
      <c r="B56" s="465" t="s">
        <v>274</v>
      </c>
      <c r="C56" s="465" t="s">
        <v>4295</v>
      </c>
      <c r="D56" s="465" t="s">
        <v>4297</v>
      </c>
      <c r="E56" s="466">
        <v>51695832.8967131</v>
      </c>
      <c r="F56" s="466">
        <v>53246246.139647201</v>
      </c>
      <c r="G56" s="466">
        <v>36684197.449064098</v>
      </c>
      <c r="H56" s="466">
        <v>57709648.331830502</v>
      </c>
      <c r="I56" s="466">
        <v>56872034.5454956</v>
      </c>
      <c r="J56" s="466">
        <v>55594555.978916503</v>
      </c>
      <c r="K56" s="466">
        <v>49498146.541902699</v>
      </c>
      <c r="L56" s="466">
        <v>65510126.628163204</v>
      </c>
      <c r="M56" s="466">
        <v>63559322.033898301</v>
      </c>
      <c r="N56" s="466">
        <v>58340538.389824502</v>
      </c>
      <c r="O56" s="466">
        <v>44687189.672293901</v>
      </c>
      <c r="P56" s="466">
        <v>35990372.207529098</v>
      </c>
      <c r="Q56" s="466">
        <v>56283202.241931997</v>
      </c>
      <c r="R56" s="466"/>
      <c r="S56" s="471">
        <f t="shared" si="0"/>
        <v>48825325.627894878</v>
      </c>
    </row>
    <row r="57" spans="1:19" x14ac:dyDescent="0.2">
      <c r="A57" s="465" t="s">
        <v>120</v>
      </c>
      <c r="B57" s="465" t="s">
        <v>121</v>
      </c>
      <c r="C57" s="465" t="s">
        <v>4296</v>
      </c>
      <c r="D57" s="465" t="s">
        <v>4278</v>
      </c>
      <c r="E57" s="466"/>
      <c r="F57" s="466"/>
      <c r="G57" s="466"/>
      <c r="H57" s="466"/>
      <c r="I57" s="466">
        <v>1866053.6585365899</v>
      </c>
      <c r="J57" s="466">
        <v>1227950</v>
      </c>
      <c r="K57" s="466">
        <v>1264789</v>
      </c>
      <c r="L57" s="466">
        <v>1086040</v>
      </c>
      <c r="M57" s="466">
        <v>1420000</v>
      </c>
      <c r="N57" s="466">
        <v>1721873</v>
      </c>
      <c r="O57" s="466">
        <v>2549207</v>
      </c>
      <c r="P57" s="466">
        <v>2721643.9024390201</v>
      </c>
      <c r="Q57" s="466">
        <v>1894527.36318408</v>
      </c>
      <c r="R57" s="466">
        <v>2227860.6965174102</v>
      </c>
      <c r="S57" s="471">
        <f t="shared" si="0"/>
        <v>2223022.392428102</v>
      </c>
    </row>
    <row r="58" spans="1:19" x14ac:dyDescent="0.2">
      <c r="A58" s="465" t="s">
        <v>339</v>
      </c>
      <c r="B58" s="465" t="s">
        <v>340</v>
      </c>
      <c r="C58" s="465" t="s">
        <v>4298</v>
      </c>
      <c r="D58" s="465" t="s">
        <v>4300</v>
      </c>
      <c r="E58" s="466"/>
      <c r="F58" s="466"/>
      <c r="G58" s="466"/>
      <c r="H58" s="466"/>
      <c r="I58" s="466"/>
      <c r="J58" s="466"/>
      <c r="K58" s="466"/>
      <c r="L58" s="466"/>
      <c r="M58" s="466"/>
      <c r="N58" s="466"/>
      <c r="O58" s="466"/>
      <c r="P58" s="466"/>
      <c r="Q58" s="466"/>
      <c r="R58" s="466"/>
      <c r="S58" s="471" t="str">
        <f t="shared" si="0"/>
        <v/>
      </c>
    </row>
    <row r="59" spans="1:19" x14ac:dyDescent="0.2">
      <c r="A59" s="465" t="s">
        <v>341</v>
      </c>
      <c r="B59" s="465" t="s">
        <v>342</v>
      </c>
      <c r="C59" s="465" t="s">
        <v>4298</v>
      </c>
      <c r="D59" s="465" t="s">
        <v>4300</v>
      </c>
      <c r="E59" s="466"/>
      <c r="F59" s="466"/>
      <c r="G59" s="466"/>
      <c r="H59" s="466"/>
      <c r="I59" s="466">
        <v>3333510</v>
      </c>
      <c r="J59" s="466">
        <v>3000074</v>
      </c>
      <c r="K59" s="466">
        <v>3011715</v>
      </c>
      <c r="L59" s="466">
        <v>3367663</v>
      </c>
      <c r="M59" s="466">
        <v>1675099.4970333599</v>
      </c>
      <c r="N59" s="466">
        <v>2663101.0702337399</v>
      </c>
      <c r="O59" s="466">
        <v>2102535.1040367601</v>
      </c>
      <c r="P59" s="466">
        <v>2817227.0288021499</v>
      </c>
      <c r="Q59" s="466">
        <v>4910371.7220320404</v>
      </c>
      <c r="R59" s="466">
        <v>3841463.8988253102</v>
      </c>
      <c r="S59" s="471">
        <f t="shared" si="0"/>
        <v>3266939.7647859999</v>
      </c>
    </row>
    <row r="60" spans="1:19" x14ac:dyDescent="0.2">
      <c r="A60" s="465" t="s">
        <v>122</v>
      </c>
      <c r="B60" s="465" t="s">
        <v>123</v>
      </c>
      <c r="C60" s="465" t="s">
        <v>4296</v>
      </c>
      <c r="D60" s="465" t="s">
        <v>4278</v>
      </c>
      <c r="E60" s="466"/>
      <c r="F60" s="466"/>
      <c r="G60" s="466"/>
      <c r="H60" s="466"/>
      <c r="I60" s="466">
        <v>20037005.52</v>
      </c>
      <c r="J60" s="466">
        <v>95068972</v>
      </c>
      <c r="K60" s="466">
        <v>66159005</v>
      </c>
      <c r="L60" s="466">
        <v>79412980</v>
      </c>
      <c r="M60" s="466">
        <v>72954161.767171696</v>
      </c>
      <c r="N60" s="466">
        <v>72933903</v>
      </c>
      <c r="O60" s="466">
        <v>80227293</v>
      </c>
      <c r="P60" s="466">
        <v>81831839</v>
      </c>
      <c r="Q60" s="466">
        <v>83468475.780000001</v>
      </c>
      <c r="R60" s="466">
        <v>50143647.829999998</v>
      </c>
      <c r="S60" s="471">
        <f t="shared" si="0"/>
        <v>73721031.721999988</v>
      </c>
    </row>
    <row r="61" spans="1:19" x14ac:dyDescent="0.2">
      <c r="A61" s="465" t="s">
        <v>343</v>
      </c>
      <c r="B61" s="465" t="s">
        <v>344</v>
      </c>
      <c r="C61" s="465" t="s">
        <v>4298</v>
      </c>
      <c r="D61" s="465" t="s">
        <v>4300</v>
      </c>
      <c r="E61" s="466">
        <v>12556504.269211501</v>
      </c>
      <c r="F61" s="466">
        <v>14528508.771929801</v>
      </c>
      <c r="G61" s="466">
        <v>15588235.2941176</v>
      </c>
      <c r="H61" s="466">
        <v>14769402.257210501</v>
      </c>
      <c r="I61" s="466">
        <v>22555572.951356899</v>
      </c>
      <c r="J61" s="466">
        <v>26986778.009742498</v>
      </c>
      <c r="K61" s="466">
        <v>24927845.5219227</v>
      </c>
      <c r="L61" s="466">
        <v>23574474.754061799</v>
      </c>
      <c r="M61" s="466">
        <v>22883491.8363382</v>
      </c>
      <c r="N61" s="466">
        <v>22192508.918614499</v>
      </c>
      <c r="O61" s="466">
        <v>22000000</v>
      </c>
      <c r="P61" s="466">
        <v>27608824.882261101</v>
      </c>
      <c r="Q61" s="466"/>
      <c r="R61" s="466"/>
      <c r="S61" s="471">
        <f t="shared" si="0"/>
        <v>23933777.933625203</v>
      </c>
    </row>
    <row r="62" spans="1:19" x14ac:dyDescent="0.2">
      <c r="A62" s="465" t="s">
        <v>450</v>
      </c>
      <c r="B62" s="465" t="s">
        <v>451</v>
      </c>
      <c r="C62" s="465" t="s">
        <v>4302</v>
      </c>
      <c r="D62" s="465" t="s">
        <v>4299</v>
      </c>
      <c r="E62" s="466">
        <v>150626.155268022</v>
      </c>
      <c r="F62" s="466">
        <v>150626.155268022</v>
      </c>
      <c r="G62" s="466"/>
      <c r="H62" s="466"/>
      <c r="I62" s="466">
        <v>625551</v>
      </c>
      <c r="J62" s="466">
        <v>647991.19569354202</v>
      </c>
      <c r="K62" s="466">
        <v>670431</v>
      </c>
      <c r="L62" s="466">
        <v>1900740</v>
      </c>
      <c r="M62" s="466">
        <v>3708904</v>
      </c>
      <c r="N62" s="466">
        <v>3194090.07524704</v>
      </c>
      <c r="O62" s="466">
        <v>3641657.7554434398</v>
      </c>
      <c r="P62" s="466"/>
      <c r="Q62" s="466">
        <v>3401389.15636303</v>
      </c>
      <c r="R62" s="466"/>
      <c r="S62" s="471">
        <f t="shared" si="0"/>
        <v>3412378.9956845031</v>
      </c>
    </row>
    <row r="63" spans="1:19" x14ac:dyDescent="0.2">
      <c r="A63" s="465" t="s">
        <v>345</v>
      </c>
      <c r="B63" s="465" t="s">
        <v>346</v>
      </c>
      <c r="C63" s="465" t="s">
        <v>4298</v>
      </c>
      <c r="D63" s="465" t="s">
        <v>4300</v>
      </c>
      <c r="E63" s="466"/>
      <c r="F63" s="466"/>
      <c r="G63" s="466"/>
      <c r="H63" s="466"/>
      <c r="I63" s="466"/>
      <c r="J63" s="466"/>
      <c r="K63" s="466"/>
      <c r="L63" s="466"/>
      <c r="M63" s="466"/>
      <c r="N63" s="466"/>
      <c r="O63" s="466"/>
      <c r="P63" s="466"/>
      <c r="Q63" s="466"/>
      <c r="R63" s="466"/>
      <c r="S63" s="471" t="str">
        <f t="shared" si="0"/>
        <v/>
      </c>
    </row>
    <row r="64" spans="1:19" x14ac:dyDescent="0.2">
      <c r="A64" s="465" t="s">
        <v>452</v>
      </c>
      <c r="B64" s="465" t="s">
        <v>4306</v>
      </c>
      <c r="C64" s="465" t="s">
        <v>4302</v>
      </c>
      <c r="D64" s="465" t="s">
        <v>4297</v>
      </c>
      <c r="E64" s="466"/>
      <c r="F64" s="466"/>
      <c r="G64" s="466"/>
      <c r="H64" s="466"/>
      <c r="I64" s="466">
        <v>2000000</v>
      </c>
      <c r="J64" s="466"/>
      <c r="K64" s="466"/>
      <c r="L64" s="466"/>
      <c r="M64" s="466"/>
      <c r="N64" s="466"/>
      <c r="O64" s="466"/>
      <c r="P64" s="466"/>
      <c r="Q64" s="466"/>
      <c r="R64" s="466"/>
      <c r="S64" s="471" t="str">
        <f t="shared" si="0"/>
        <v/>
      </c>
    </row>
    <row r="65" spans="1:19" x14ac:dyDescent="0.2">
      <c r="A65" s="465" t="s">
        <v>124</v>
      </c>
      <c r="B65" s="465" t="s">
        <v>125</v>
      </c>
      <c r="C65" s="465" t="s">
        <v>4296</v>
      </c>
      <c r="D65" s="465" t="s">
        <v>4299</v>
      </c>
      <c r="E65" s="466">
        <v>371636.72515742702</v>
      </c>
      <c r="F65" s="466">
        <v>199291</v>
      </c>
      <c r="G65" s="466">
        <v>187102.717127337</v>
      </c>
      <c r="H65" s="466">
        <v>1125764.7942822501</v>
      </c>
      <c r="I65" s="466">
        <v>989346.02142281004</v>
      </c>
      <c r="J65" s="466">
        <v>1500423.8474848701</v>
      </c>
      <c r="K65" s="466">
        <v>1482780.06571634</v>
      </c>
      <c r="L65" s="466">
        <v>1532264.59396</v>
      </c>
      <c r="M65" s="466">
        <v>774671</v>
      </c>
      <c r="N65" s="466">
        <v>520378</v>
      </c>
      <c r="O65" s="466">
        <v>421578.05096035497</v>
      </c>
      <c r="P65" s="466">
        <v>274869.43480035698</v>
      </c>
      <c r="Q65" s="466">
        <v>451668.07014151901</v>
      </c>
      <c r="R65" s="466">
        <v>904574.22386229003</v>
      </c>
      <c r="S65" s="471">
        <f t="shared" si="0"/>
        <v>514613.55595290416</v>
      </c>
    </row>
    <row r="66" spans="1:19" x14ac:dyDescent="0.2">
      <c r="A66" s="465" t="s">
        <v>347</v>
      </c>
      <c r="B66" s="465" t="s">
        <v>4280</v>
      </c>
      <c r="C66" s="465" t="s">
        <v>4298</v>
      </c>
      <c r="D66" s="465" t="s">
        <v>4300</v>
      </c>
      <c r="E66" s="466"/>
      <c r="F66" s="466"/>
      <c r="G66" s="466"/>
      <c r="H66" s="466"/>
      <c r="I66" s="466"/>
      <c r="J66" s="466"/>
      <c r="K66" s="466"/>
      <c r="L66" s="466"/>
      <c r="M66" s="466"/>
      <c r="N66" s="466"/>
      <c r="O66" s="466"/>
      <c r="P66" s="466"/>
      <c r="Q66" s="466"/>
      <c r="R66" s="466"/>
      <c r="S66" s="471" t="str">
        <f t="shared" si="0"/>
        <v/>
      </c>
    </row>
    <row r="67" spans="1:19" x14ac:dyDescent="0.2">
      <c r="A67" s="465" t="s">
        <v>349</v>
      </c>
      <c r="B67" s="465" t="s">
        <v>350</v>
      </c>
      <c r="C67" s="465" t="s">
        <v>4298</v>
      </c>
      <c r="D67" s="465" t="s">
        <v>4299</v>
      </c>
      <c r="E67" s="466">
        <v>481690.14084507001</v>
      </c>
      <c r="F67" s="466">
        <v>872093.02325581398</v>
      </c>
      <c r="G67" s="466">
        <v>865801.58730158699</v>
      </c>
      <c r="H67" s="466">
        <v>1081590.9090909101</v>
      </c>
      <c r="I67" s="466">
        <v>3731399</v>
      </c>
      <c r="J67" s="466">
        <v>1060927</v>
      </c>
      <c r="K67" s="466">
        <v>1574943</v>
      </c>
      <c r="L67" s="466">
        <v>3691853</v>
      </c>
      <c r="M67" s="466">
        <v>2509139</v>
      </c>
      <c r="N67" s="466">
        <v>3401671</v>
      </c>
      <c r="O67" s="466">
        <v>5748223.0907362401</v>
      </c>
      <c r="P67" s="466">
        <v>5856447.8905510604</v>
      </c>
      <c r="Q67" s="466"/>
      <c r="R67" s="466">
        <v>4513252.5118473303</v>
      </c>
      <c r="S67" s="471">
        <f t="shared" si="0"/>
        <v>4879898.6232836582</v>
      </c>
    </row>
    <row r="68" spans="1:19" x14ac:dyDescent="0.2">
      <c r="A68" s="465" t="s">
        <v>126</v>
      </c>
      <c r="B68" s="465" t="s">
        <v>127</v>
      </c>
      <c r="C68" s="465" t="s">
        <v>4296</v>
      </c>
      <c r="D68" s="465" t="s">
        <v>4297</v>
      </c>
      <c r="E68" s="466">
        <v>14338235</v>
      </c>
      <c r="F68" s="466">
        <v>6433419.5555555597</v>
      </c>
      <c r="G68" s="466">
        <v>14980451.050000001</v>
      </c>
      <c r="H68" s="466"/>
      <c r="I68" s="466">
        <v>4133894.91</v>
      </c>
      <c r="J68" s="466">
        <v>22211758.329999998</v>
      </c>
      <c r="K68" s="466">
        <v>33265939</v>
      </c>
      <c r="L68" s="466">
        <v>20059450</v>
      </c>
      <c r="M68" s="466">
        <v>22091850</v>
      </c>
      <c r="N68" s="466">
        <v>28390624</v>
      </c>
      <c r="O68" s="466">
        <v>19050289</v>
      </c>
      <c r="P68" s="466">
        <v>32739609</v>
      </c>
      <c r="Q68" s="466">
        <v>16190000</v>
      </c>
      <c r="R68" s="466">
        <v>26562120.600000001</v>
      </c>
      <c r="S68" s="471">
        <f t="shared" si="0"/>
        <v>24586528.52</v>
      </c>
    </row>
    <row r="69" spans="1:19" x14ac:dyDescent="0.2">
      <c r="A69" s="465" t="s">
        <v>128</v>
      </c>
      <c r="B69" s="465" t="s">
        <v>129</v>
      </c>
      <c r="C69" s="465" t="s">
        <v>4296</v>
      </c>
      <c r="D69" s="465" t="s">
        <v>4278</v>
      </c>
      <c r="E69" s="466">
        <v>1688402.5</v>
      </c>
      <c r="F69" s="466">
        <v>939205.71428571397</v>
      </c>
      <c r="G69" s="466">
        <v>898718.46153846197</v>
      </c>
      <c r="H69" s="466">
        <v>1183493.33333333</v>
      </c>
      <c r="I69" s="466">
        <v>1205778.6100000001</v>
      </c>
      <c r="J69" s="466">
        <v>784109</v>
      </c>
      <c r="K69" s="466">
        <v>705698</v>
      </c>
      <c r="L69" s="466">
        <v>420000</v>
      </c>
      <c r="M69" s="466">
        <v>3398666</v>
      </c>
      <c r="N69" s="466">
        <v>1076692</v>
      </c>
      <c r="O69" s="466">
        <v>1995683</v>
      </c>
      <c r="P69" s="466"/>
      <c r="Q69" s="466"/>
      <c r="R69" s="466">
        <v>1664343</v>
      </c>
      <c r="S69" s="471">
        <f t="shared" ref="S69:S132" si="1">IF(ISERROR(AVERAGE(N69:R69)),"",AVERAGE(N69:R69))</f>
        <v>1578906</v>
      </c>
    </row>
    <row r="70" spans="1:19" x14ac:dyDescent="0.2">
      <c r="A70" s="465" t="s">
        <v>130</v>
      </c>
      <c r="B70" s="465" t="s">
        <v>131</v>
      </c>
      <c r="C70" s="465" t="s">
        <v>4296</v>
      </c>
      <c r="D70" s="465" t="s">
        <v>4278</v>
      </c>
      <c r="E70" s="466">
        <v>814414.83721310797</v>
      </c>
      <c r="F70" s="466">
        <v>8718839.3726446405</v>
      </c>
      <c r="G70" s="466">
        <v>3154240.0872372701</v>
      </c>
      <c r="H70" s="466">
        <v>857142.85714285704</v>
      </c>
      <c r="I70" s="466">
        <v>1993278.14</v>
      </c>
      <c r="J70" s="466">
        <v>1851974.88</v>
      </c>
      <c r="K70" s="466">
        <v>1665000</v>
      </c>
      <c r="L70" s="466">
        <v>1720314.5</v>
      </c>
      <c r="M70" s="466">
        <v>1775629</v>
      </c>
      <c r="N70" s="466">
        <v>1896543</v>
      </c>
      <c r="O70" s="466">
        <v>2245403</v>
      </c>
      <c r="P70" s="466">
        <v>2250403</v>
      </c>
      <c r="Q70" s="466">
        <v>904431.22222222202</v>
      </c>
      <c r="R70" s="466"/>
      <c r="S70" s="471">
        <f t="shared" si="1"/>
        <v>1824195.0555555555</v>
      </c>
    </row>
    <row r="71" spans="1:19" x14ac:dyDescent="0.2">
      <c r="A71" s="465" t="s">
        <v>132</v>
      </c>
      <c r="B71" s="465" t="s">
        <v>133</v>
      </c>
      <c r="C71" s="465" t="s">
        <v>4296</v>
      </c>
      <c r="D71" s="465" t="s">
        <v>4278</v>
      </c>
      <c r="E71" s="466"/>
      <c r="F71" s="466"/>
      <c r="G71" s="466"/>
      <c r="H71" s="466"/>
      <c r="I71" s="466"/>
      <c r="J71" s="466">
        <v>142843.307230623</v>
      </c>
      <c r="K71" s="466">
        <v>253909</v>
      </c>
      <c r="L71" s="466">
        <v>364974.81</v>
      </c>
      <c r="M71" s="466">
        <v>1007680.32</v>
      </c>
      <c r="N71" s="466">
        <v>1817108</v>
      </c>
      <c r="O71" s="466">
        <v>2291405.85</v>
      </c>
      <c r="P71" s="466">
        <v>741500</v>
      </c>
      <c r="Q71" s="466">
        <v>1292706.79</v>
      </c>
      <c r="R71" s="466">
        <v>1805656</v>
      </c>
      <c r="S71" s="471">
        <f t="shared" si="1"/>
        <v>1589675.328</v>
      </c>
    </row>
    <row r="72" spans="1:19" x14ac:dyDescent="0.2">
      <c r="A72" s="465" t="s">
        <v>134</v>
      </c>
      <c r="B72" s="465" t="s">
        <v>135</v>
      </c>
      <c r="C72" s="465" t="s">
        <v>4296</v>
      </c>
      <c r="D72" s="465" t="s">
        <v>4299</v>
      </c>
      <c r="E72" s="466"/>
      <c r="F72" s="466"/>
      <c r="G72" s="466"/>
      <c r="H72" s="466">
        <v>145300</v>
      </c>
      <c r="I72" s="466">
        <v>62471</v>
      </c>
      <c r="J72" s="466">
        <v>67094.100000000006</v>
      </c>
      <c r="K72" s="466">
        <v>118350.3</v>
      </c>
      <c r="L72" s="466">
        <v>169606.5</v>
      </c>
      <c r="M72" s="466">
        <v>195019</v>
      </c>
      <c r="N72" s="466">
        <v>222635</v>
      </c>
      <c r="O72" s="466">
        <v>590805</v>
      </c>
      <c r="P72" s="466">
        <v>222635</v>
      </c>
      <c r="Q72" s="466">
        <v>367766.36</v>
      </c>
      <c r="R72" s="466">
        <v>592573.85</v>
      </c>
      <c r="S72" s="471">
        <f t="shared" si="1"/>
        <v>399283.04200000002</v>
      </c>
    </row>
    <row r="73" spans="1:19" x14ac:dyDescent="0.2">
      <c r="A73" s="465" t="s">
        <v>351</v>
      </c>
      <c r="B73" s="465" t="s">
        <v>352</v>
      </c>
      <c r="C73" s="465" t="s">
        <v>4298</v>
      </c>
      <c r="D73" s="465" t="s">
        <v>4300</v>
      </c>
      <c r="E73" s="466"/>
      <c r="F73" s="466"/>
      <c r="G73" s="466"/>
      <c r="H73" s="466"/>
      <c r="I73" s="466"/>
      <c r="J73" s="466"/>
      <c r="K73" s="466"/>
      <c r="L73" s="466"/>
      <c r="M73" s="466"/>
      <c r="N73" s="466"/>
      <c r="O73" s="466"/>
      <c r="P73" s="466"/>
      <c r="Q73" s="466"/>
      <c r="R73" s="466"/>
      <c r="S73" s="471" t="str">
        <f t="shared" si="1"/>
        <v/>
      </c>
    </row>
    <row r="74" spans="1:19" x14ac:dyDescent="0.2">
      <c r="A74" s="465" t="s">
        <v>223</v>
      </c>
      <c r="B74" s="465" t="s">
        <v>224</v>
      </c>
      <c r="C74" s="465" t="s">
        <v>4301</v>
      </c>
      <c r="D74" s="465" t="s">
        <v>4299</v>
      </c>
      <c r="E74" s="466">
        <v>34793</v>
      </c>
      <c r="F74" s="466">
        <v>60907</v>
      </c>
      <c r="G74" s="466">
        <v>60907</v>
      </c>
      <c r="H74" s="466">
        <v>53087.28</v>
      </c>
      <c r="I74" s="466">
        <v>81436</v>
      </c>
      <c r="J74" s="466">
        <v>41751</v>
      </c>
      <c r="K74" s="466">
        <v>76911</v>
      </c>
      <c r="L74" s="466">
        <v>51390</v>
      </c>
      <c r="M74" s="466">
        <v>55326</v>
      </c>
      <c r="N74" s="466">
        <v>69507</v>
      </c>
      <c r="O74" s="466">
        <v>63830</v>
      </c>
      <c r="P74" s="466">
        <v>132860</v>
      </c>
      <c r="Q74" s="466">
        <v>169043.14</v>
      </c>
      <c r="R74" s="466"/>
      <c r="S74" s="471">
        <f t="shared" si="1"/>
        <v>108810.035</v>
      </c>
    </row>
    <row r="75" spans="1:19" x14ac:dyDescent="0.2">
      <c r="A75" s="465" t="s">
        <v>225</v>
      </c>
      <c r="B75" s="465" t="s">
        <v>226</v>
      </c>
      <c r="C75" s="465" t="s">
        <v>4301</v>
      </c>
      <c r="D75" s="465" t="s">
        <v>4299</v>
      </c>
      <c r="E75" s="466">
        <v>5084933</v>
      </c>
      <c r="F75" s="466">
        <v>8382090.2599999998</v>
      </c>
      <c r="G75" s="466">
        <v>5651439.3057559701</v>
      </c>
      <c r="H75" s="466">
        <v>5802840.5734226098</v>
      </c>
      <c r="I75" s="466">
        <v>12404935</v>
      </c>
      <c r="J75" s="466">
        <v>12924080.524878601</v>
      </c>
      <c r="K75" s="466">
        <v>20665402</v>
      </c>
      <c r="L75" s="466">
        <v>20176191</v>
      </c>
      <c r="M75" s="466">
        <v>25918263</v>
      </c>
      <c r="N75" s="466">
        <v>38654604.549813099</v>
      </c>
      <c r="O75" s="466">
        <v>29365410.827639502</v>
      </c>
      <c r="P75" s="466">
        <v>26410739.610479198</v>
      </c>
      <c r="Q75" s="466"/>
      <c r="R75" s="466"/>
      <c r="S75" s="471">
        <f t="shared" si="1"/>
        <v>31476918.329310596</v>
      </c>
    </row>
    <row r="76" spans="1:19" x14ac:dyDescent="0.2">
      <c r="A76" s="465" t="s">
        <v>227</v>
      </c>
      <c r="B76" s="465" t="s">
        <v>228</v>
      </c>
      <c r="C76" s="465" t="s">
        <v>4301</v>
      </c>
      <c r="D76" s="465" t="s">
        <v>4299</v>
      </c>
      <c r="E76" s="466">
        <v>430760</v>
      </c>
      <c r="F76" s="466">
        <v>373010</v>
      </c>
      <c r="G76" s="466">
        <v>439175.25773195899</v>
      </c>
      <c r="H76" s="466">
        <v>624580</v>
      </c>
      <c r="I76" s="466">
        <v>1001379</v>
      </c>
      <c r="J76" s="466">
        <v>1378178</v>
      </c>
      <c r="K76" s="466">
        <v>1397904</v>
      </c>
      <c r="L76" s="466">
        <v>1183349</v>
      </c>
      <c r="M76" s="466">
        <v>974074</v>
      </c>
      <c r="N76" s="466">
        <v>974074</v>
      </c>
      <c r="O76" s="466">
        <v>819669</v>
      </c>
      <c r="P76" s="466">
        <v>1673392</v>
      </c>
      <c r="Q76" s="466"/>
      <c r="R76" s="466">
        <v>760648</v>
      </c>
      <c r="S76" s="471">
        <f t="shared" si="1"/>
        <v>1056945.75</v>
      </c>
    </row>
    <row r="77" spans="1:19" x14ac:dyDescent="0.2">
      <c r="A77" s="465" t="s">
        <v>229</v>
      </c>
      <c r="B77" s="465" t="s">
        <v>230</v>
      </c>
      <c r="C77" s="465" t="s">
        <v>4301</v>
      </c>
      <c r="D77" s="465" t="s">
        <v>4297</v>
      </c>
      <c r="E77" s="466">
        <v>5047679</v>
      </c>
      <c r="F77" s="466">
        <v>9551900</v>
      </c>
      <c r="G77" s="466">
        <v>9832725</v>
      </c>
      <c r="H77" s="466">
        <v>11293285.310734499</v>
      </c>
      <c r="I77" s="466">
        <v>12330033.300000001</v>
      </c>
      <c r="J77" s="466">
        <v>12974326.560000001</v>
      </c>
      <c r="K77" s="466">
        <v>10881141</v>
      </c>
      <c r="L77" s="466">
        <v>11465816</v>
      </c>
      <c r="M77" s="466">
        <v>9351634</v>
      </c>
      <c r="N77" s="466">
        <v>11664559</v>
      </c>
      <c r="O77" s="466">
        <v>10222887</v>
      </c>
      <c r="P77" s="466">
        <v>10254607</v>
      </c>
      <c r="Q77" s="466">
        <v>13978069</v>
      </c>
      <c r="R77" s="466">
        <v>12951522.52</v>
      </c>
      <c r="S77" s="471">
        <f t="shared" si="1"/>
        <v>11814328.903999999</v>
      </c>
    </row>
    <row r="78" spans="1:19" x14ac:dyDescent="0.2">
      <c r="A78" s="465" t="s">
        <v>353</v>
      </c>
      <c r="B78" s="465" t="s">
        <v>354</v>
      </c>
      <c r="C78" s="465" t="s">
        <v>4298</v>
      </c>
      <c r="D78" s="465" t="s">
        <v>4300</v>
      </c>
      <c r="E78" s="466">
        <v>5995409.2295042695</v>
      </c>
      <c r="F78" s="466"/>
      <c r="G78" s="466"/>
      <c r="H78" s="466"/>
      <c r="I78" s="466"/>
      <c r="J78" s="466"/>
      <c r="K78" s="466">
        <v>6495402.2807750497</v>
      </c>
      <c r="L78" s="466">
        <v>6660963.9466562001</v>
      </c>
      <c r="M78" s="466">
        <v>8872396.6691979095</v>
      </c>
      <c r="N78" s="466">
        <v>8748518.5841864105</v>
      </c>
      <c r="O78" s="466">
        <v>9630565.1345358994</v>
      </c>
      <c r="P78" s="466"/>
      <c r="Q78" s="466"/>
      <c r="R78" s="466"/>
      <c r="S78" s="471">
        <f t="shared" si="1"/>
        <v>9189541.859361155</v>
      </c>
    </row>
    <row r="79" spans="1:19" x14ac:dyDescent="0.2">
      <c r="A79" s="465" t="s">
        <v>231</v>
      </c>
      <c r="B79" s="465" t="s">
        <v>232</v>
      </c>
      <c r="C79" s="465" t="s">
        <v>4301</v>
      </c>
      <c r="D79" s="465" t="s">
        <v>4278</v>
      </c>
      <c r="E79" s="466"/>
      <c r="F79" s="466"/>
      <c r="G79" s="466"/>
      <c r="H79" s="466"/>
      <c r="I79" s="466"/>
      <c r="J79" s="466">
        <v>382737</v>
      </c>
      <c r="K79" s="466">
        <v>183819</v>
      </c>
      <c r="L79" s="466">
        <v>111164</v>
      </c>
      <c r="M79" s="466">
        <v>175824</v>
      </c>
      <c r="N79" s="466">
        <v>308522</v>
      </c>
      <c r="O79" s="466">
        <v>477104</v>
      </c>
      <c r="P79" s="466">
        <v>4452962</v>
      </c>
      <c r="Q79" s="466">
        <v>4351685.78</v>
      </c>
      <c r="R79" s="466"/>
      <c r="S79" s="471">
        <f t="shared" si="1"/>
        <v>2397568.4450000003</v>
      </c>
    </row>
    <row r="80" spans="1:19" x14ac:dyDescent="0.2">
      <c r="A80" s="465" t="s">
        <v>355</v>
      </c>
      <c r="B80" s="465" t="s">
        <v>356</v>
      </c>
      <c r="C80" s="465" t="s">
        <v>4298</v>
      </c>
      <c r="D80" s="465" t="s">
        <v>4300</v>
      </c>
      <c r="E80" s="466"/>
      <c r="F80" s="466"/>
      <c r="G80" s="466"/>
      <c r="H80" s="466"/>
      <c r="I80" s="466"/>
      <c r="J80" s="466">
        <v>27357059.3648188</v>
      </c>
      <c r="K80" s="466">
        <v>22211938.884276599</v>
      </c>
      <c r="L80" s="466">
        <v>22351863.027783401</v>
      </c>
      <c r="M80" s="466">
        <v>13384562.678134199</v>
      </c>
      <c r="N80" s="466">
        <v>25162025.335397799</v>
      </c>
      <c r="O80" s="466">
        <v>22441506.754255399</v>
      </c>
      <c r="P80" s="466">
        <v>25792392.487550098</v>
      </c>
      <c r="Q80" s="466">
        <v>35658028.084691897</v>
      </c>
      <c r="R80" s="466"/>
      <c r="S80" s="471">
        <f t="shared" si="1"/>
        <v>27263488.165473796</v>
      </c>
    </row>
    <row r="81" spans="1:19" x14ac:dyDescent="0.2">
      <c r="A81" s="465" t="s">
        <v>422</v>
      </c>
      <c r="B81" s="465" t="s">
        <v>423</v>
      </c>
      <c r="C81" s="465" t="s">
        <v>4303</v>
      </c>
      <c r="D81" s="465" t="s">
        <v>4297</v>
      </c>
      <c r="E81" s="466">
        <v>41899899.955932997</v>
      </c>
      <c r="F81" s="466">
        <v>36600505.1297784</v>
      </c>
      <c r="G81" s="466">
        <v>30930853.909889799</v>
      </c>
      <c r="H81" s="466">
        <v>35832492.355127297</v>
      </c>
      <c r="I81" s="466">
        <v>44002261.393854603</v>
      </c>
      <c r="J81" s="466">
        <v>59812707.9868448</v>
      </c>
      <c r="K81" s="466">
        <v>60093380.5308939</v>
      </c>
      <c r="L81" s="466">
        <v>56772874.191938102</v>
      </c>
      <c r="M81" s="466">
        <v>48451134.820869498</v>
      </c>
      <c r="N81" s="466">
        <v>45810959.944486201</v>
      </c>
      <c r="O81" s="466">
        <v>51744306.1378989</v>
      </c>
      <c r="P81" s="466">
        <v>57076372.835261099</v>
      </c>
      <c r="Q81" s="466"/>
      <c r="R81" s="466">
        <v>87820822</v>
      </c>
      <c r="S81" s="471">
        <f t="shared" si="1"/>
        <v>60613115.22941155</v>
      </c>
    </row>
    <row r="82" spans="1:19" x14ac:dyDescent="0.2">
      <c r="A82" s="465" t="s">
        <v>425</v>
      </c>
      <c r="B82" s="465" t="s">
        <v>426</v>
      </c>
      <c r="C82" s="465" t="s">
        <v>4303</v>
      </c>
      <c r="D82" s="465" t="s">
        <v>4297</v>
      </c>
      <c r="E82" s="466">
        <v>27000000</v>
      </c>
      <c r="F82" s="466">
        <v>32750000</v>
      </c>
      <c r="G82" s="466">
        <v>36317497.678438403</v>
      </c>
      <c r="H82" s="466">
        <v>44854592.3690174</v>
      </c>
      <c r="I82" s="466">
        <v>39365436.1672832</v>
      </c>
      <c r="J82" s="466">
        <v>42853630.083865397</v>
      </c>
      <c r="K82" s="466">
        <v>52398396.234800898</v>
      </c>
      <c r="L82" s="466">
        <v>72750119.364464</v>
      </c>
      <c r="M82" s="466">
        <v>114303706.51630799</v>
      </c>
      <c r="N82" s="466">
        <v>165041012.87174001</v>
      </c>
      <c r="O82" s="466">
        <v>221280331.06121001</v>
      </c>
      <c r="P82" s="466">
        <v>406722389.38775599</v>
      </c>
      <c r="Q82" s="466"/>
      <c r="R82" s="466">
        <v>223300539.02496001</v>
      </c>
      <c r="S82" s="471">
        <f t="shared" si="1"/>
        <v>254086068.08641651</v>
      </c>
    </row>
    <row r="83" spans="1:19" x14ac:dyDescent="0.2">
      <c r="A83" s="465" t="s">
        <v>357</v>
      </c>
      <c r="B83" s="465" t="s">
        <v>358</v>
      </c>
      <c r="C83" s="465" t="s">
        <v>4298</v>
      </c>
      <c r="D83" s="465" t="s">
        <v>4300</v>
      </c>
      <c r="E83" s="466">
        <v>15067805.1230537</v>
      </c>
      <c r="F83" s="466">
        <v>25769196.679173902</v>
      </c>
      <c r="G83" s="466">
        <v>36838978.0154486</v>
      </c>
      <c r="H83" s="466">
        <v>42780869.280178599</v>
      </c>
      <c r="I83" s="466">
        <v>49091150.325062998</v>
      </c>
      <c r="J83" s="466">
        <v>49405739.416038103</v>
      </c>
      <c r="K83" s="466">
        <v>45381733.659361899</v>
      </c>
      <c r="L83" s="466">
        <v>48875465.844283797</v>
      </c>
      <c r="M83" s="466">
        <v>45313567.227527298</v>
      </c>
      <c r="N83" s="466">
        <v>34065501.190073296</v>
      </c>
      <c r="O83" s="466">
        <v>38669054.176237203</v>
      </c>
      <c r="P83" s="466">
        <v>43272607.162401102</v>
      </c>
      <c r="Q83" s="466">
        <v>46979037.148287296</v>
      </c>
      <c r="R83" s="466">
        <v>54323886.094620399</v>
      </c>
      <c r="S83" s="471">
        <f t="shared" si="1"/>
        <v>43462017.154323861</v>
      </c>
    </row>
    <row r="84" spans="1:19" x14ac:dyDescent="0.2">
      <c r="A84" s="465" t="s">
        <v>275</v>
      </c>
      <c r="B84" s="465" t="s">
        <v>4307</v>
      </c>
      <c r="C84" s="465" t="s">
        <v>4295</v>
      </c>
      <c r="D84" s="465" t="s">
        <v>4299</v>
      </c>
      <c r="E84" s="466">
        <v>21600000</v>
      </c>
      <c r="F84" s="466">
        <v>21600000</v>
      </c>
      <c r="G84" s="466">
        <v>21600000</v>
      </c>
      <c r="H84" s="466">
        <v>31600000</v>
      </c>
      <c r="I84" s="466">
        <v>13000000</v>
      </c>
      <c r="J84" s="466">
        <v>13000000</v>
      </c>
      <c r="K84" s="466">
        <v>21000000</v>
      </c>
      <c r="L84" s="466">
        <v>21000000</v>
      </c>
      <c r="M84" s="466">
        <v>30000000</v>
      </c>
      <c r="N84" s="466">
        <v>33000000</v>
      </c>
      <c r="O84" s="466">
        <v>40700000</v>
      </c>
      <c r="P84" s="466">
        <v>44000000</v>
      </c>
      <c r="Q84" s="466">
        <v>68000000</v>
      </c>
      <c r="R84" s="466">
        <v>68000000</v>
      </c>
      <c r="S84" s="471">
        <f t="shared" si="1"/>
        <v>50740000</v>
      </c>
    </row>
    <row r="85" spans="1:19" x14ac:dyDescent="0.2">
      <c r="A85" s="465" t="s">
        <v>277</v>
      </c>
      <c r="B85" s="465" t="s">
        <v>278</v>
      </c>
      <c r="C85" s="465" t="s">
        <v>4295</v>
      </c>
      <c r="D85" s="465" t="s">
        <v>4299</v>
      </c>
      <c r="E85" s="466">
        <v>22000000</v>
      </c>
      <c r="F85" s="466">
        <v>24850000</v>
      </c>
      <c r="G85" s="466">
        <v>29000000</v>
      </c>
      <c r="H85" s="466"/>
      <c r="I85" s="466"/>
      <c r="J85" s="466"/>
      <c r="K85" s="466"/>
      <c r="L85" s="466">
        <v>48000000</v>
      </c>
      <c r="M85" s="466">
        <v>55000000</v>
      </c>
      <c r="N85" s="466">
        <v>231000000</v>
      </c>
      <c r="O85" s="466">
        <v>201192500</v>
      </c>
      <c r="P85" s="466"/>
      <c r="Q85" s="466"/>
      <c r="R85" s="466"/>
      <c r="S85" s="471">
        <f t="shared" si="1"/>
        <v>216096250</v>
      </c>
    </row>
    <row r="86" spans="1:19" x14ac:dyDescent="0.2">
      <c r="A86" s="465" t="s">
        <v>359</v>
      </c>
      <c r="B86" s="465" t="s">
        <v>360</v>
      </c>
      <c r="C86" s="465" t="s">
        <v>4298</v>
      </c>
      <c r="D86" s="465" t="s">
        <v>4300</v>
      </c>
      <c r="E86" s="466">
        <v>2137361</v>
      </c>
      <c r="F86" s="466">
        <v>1215509.9679962499</v>
      </c>
      <c r="G86" s="466">
        <v>909629.45107273699</v>
      </c>
      <c r="H86" s="466">
        <v>990595.85856821202</v>
      </c>
      <c r="I86" s="466">
        <v>1227609</v>
      </c>
      <c r="J86" s="466">
        <v>1743314.0457988</v>
      </c>
      <c r="K86" s="466">
        <v>1968328.7663566701</v>
      </c>
      <c r="L86" s="466">
        <v>1570414.31833621</v>
      </c>
      <c r="M86" s="466">
        <v>1425244.7042199201</v>
      </c>
      <c r="N86" s="466">
        <v>1071438.56404491</v>
      </c>
      <c r="O86" s="466">
        <v>1157586.39633089</v>
      </c>
      <c r="P86" s="466">
        <v>1084772.2015376801</v>
      </c>
      <c r="Q86" s="466">
        <v>1594088.09411144</v>
      </c>
      <c r="R86" s="466"/>
      <c r="S86" s="471">
        <f t="shared" si="1"/>
        <v>1226971.3140062299</v>
      </c>
    </row>
    <row r="87" spans="1:19" x14ac:dyDescent="0.2">
      <c r="A87" s="465" t="s">
        <v>361</v>
      </c>
      <c r="B87" s="465" t="s">
        <v>362</v>
      </c>
      <c r="C87" s="465" t="s">
        <v>4298</v>
      </c>
      <c r="D87" s="465" t="s">
        <v>4300</v>
      </c>
      <c r="E87" s="466"/>
      <c r="F87" s="466"/>
      <c r="G87" s="466"/>
      <c r="H87" s="466"/>
      <c r="I87" s="466"/>
      <c r="J87" s="466"/>
      <c r="K87" s="466"/>
      <c r="L87" s="466"/>
      <c r="M87" s="466"/>
      <c r="N87" s="466"/>
      <c r="O87" s="466"/>
      <c r="P87" s="466"/>
      <c r="Q87" s="466"/>
      <c r="R87" s="466"/>
      <c r="S87" s="471" t="str">
        <f t="shared" si="1"/>
        <v/>
      </c>
    </row>
    <row r="88" spans="1:19" x14ac:dyDescent="0.2">
      <c r="A88" s="465" t="s">
        <v>363</v>
      </c>
      <c r="B88" s="465" t="s">
        <v>364</v>
      </c>
      <c r="C88" s="465" t="s">
        <v>4298</v>
      </c>
      <c r="D88" s="465" t="s">
        <v>4300</v>
      </c>
      <c r="E88" s="466"/>
      <c r="F88" s="466"/>
      <c r="G88" s="466"/>
      <c r="H88" s="466"/>
      <c r="I88" s="466"/>
      <c r="J88" s="466"/>
      <c r="K88" s="466"/>
      <c r="L88" s="466"/>
      <c r="M88" s="466"/>
      <c r="N88" s="466"/>
      <c r="O88" s="466"/>
      <c r="P88" s="466"/>
      <c r="Q88" s="466"/>
      <c r="R88" s="466"/>
      <c r="S88" s="471" t="str">
        <f t="shared" si="1"/>
        <v/>
      </c>
    </row>
    <row r="89" spans="1:19" x14ac:dyDescent="0.2">
      <c r="A89" s="465" t="s">
        <v>233</v>
      </c>
      <c r="B89" s="465" t="s">
        <v>234</v>
      </c>
      <c r="C89" s="465" t="s">
        <v>4301</v>
      </c>
      <c r="D89" s="465" t="s">
        <v>4299</v>
      </c>
      <c r="E89" s="466">
        <v>963715</v>
      </c>
      <c r="F89" s="466">
        <v>910760.04231690895</v>
      </c>
      <c r="G89" s="466">
        <v>1117791.5211584501</v>
      </c>
      <c r="H89" s="466">
        <v>1324823</v>
      </c>
      <c r="I89" s="466">
        <v>965116</v>
      </c>
      <c r="J89" s="466">
        <v>1156060</v>
      </c>
      <c r="K89" s="466">
        <v>1018208</v>
      </c>
      <c r="L89" s="466">
        <v>1363098</v>
      </c>
      <c r="M89" s="466">
        <v>677253</v>
      </c>
      <c r="N89" s="466">
        <v>602440</v>
      </c>
      <c r="O89" s="466">
        <v>1060300</v>
      </c>
      <c r="P89" s="466">
        <v>784781</v>
      </c>
      <c r="Q89" s="466">
        <v>644786.31999999995</v>
      </c>
      <c r="R89" s="466"/>
      <c r="S89" s="471">
        <f t="shared" si="1"/>
        <v>773076.83</v>
      </c>
    </row>
    <row r="90" spans="1:19" x14ac:dyDescent="0.2">
      <c r="A90" s="465" t="s">
        <v>279</v>
      </c>
      <c r="B90" s="465" t="s">
        <v>280</v>
      </c>
      <c r="C90" s="465" t="s">
        <v>4295</v>
      </c>
      <c r="D90" s="465" t="s">
        <v>4299</v>
      </c>
      <c r="E90" s="466">
        <v>7500000</v>
      </c>
      <c r="F90" s="466">
        <v>9000000</v>
      </c>
      <c r="G90" s="466">
        <v>10000000</v>
      </c>
      <c r="H90" s="466">
        <v>14000000</v>
      </c>
      <c r="I90" s="466">
        <v>14084507.0422535</v>
      </c>
      <c r="J90" s="466">
        <v>14084507.0422535</v>
      </c>
      <c r="K90" s="466">
        <v>16901408.450704198</v>
      </c>
      <c r="L90" s="466">
        <v>19718309.859154899</v>
      </c>
      <c r="M90" s="466">
        <v>19718309.859154899</v>
      </c>
      <c r="N90" s="466">
        <v>28169014.084507</v>
      </c>
      <c r="O90" s="466">
        <v>32394366.197183099</v>
      </c>
      <c r="P90" s="466">
        <v>34872363.380281702</v>
      </c>
      <c r="Q90" s="466">
        <v>30000000</v>
      </c>
      <c r="R90" s="466">
        <v>29577464.788732398</v>
      </c>
      <c r="S90" s="471">
        <f t="shared" si="1"/>
        <v>31002641.690140843</v>
      </c>
    </row>
    <row r="91" spans="1:19" x14ac:dyDescent="0.2">
      <c r="A91" s="465" t="s">
        <v>454</v>
      </c>
      <c r="B91" s="465" t="s">
        <v>455</v>
      </c>
      <c r="C91" s="465" t="s">
        <v>4302</v>
      </c>
      <c r="D91" s="465" t="s">
        <v>4300</v>
      </c>
      <c r="E91" s="466"/>
      <c r="F91" s="466"/>
      <c r="G91" s="466"/>
      <c r="H91" s="466"/>
      <c r="I91" s="466"/>
      <c r="J91" s="466"/>
      <c r="K91" s="466"/>
      <c r="L91" s="466"/>
      <c r="M91" s="466"/>
      <c r="N91" s="466"/>
      <c r="O91" s="466"/>
      <c r="P91" s="466"/>
      <c r="Q91" s="466"/>
      <c r="R91" s="466"/>
      <c r="S91" s="471" t="str">
        <f t="shared" si="1"/>
        <v/>
      </c>
    </row>
    <row r="92" spans="1:19" x14ac:dyDescent="0.2">
      <c r="A92" s="465" t="s">
        <v>365</v>
      </c>
      <c r="B92" s="465" t="s">
        <v>366</v>
      </c>
      <c r="C92" s="465" t="s">
        <v>4298</v>
      </c>
      <c r="D92" s="465" t="s">
        <v>4299</v>
      </c>
      <c r="E92" s="466">
        <v>8248076.7705607098</v>
      </c>
      <c r="F92" s="466">
        <v>8486041.2780630905</v>
      </c>
      <c r="G92" s="466"/>
      <c r="H92" s="466"/>
      <c r="I92" s="466">
        <v>22645990.974178001</v>
      </c>
      <c r="J92" s="466">
        <v>43034457.456669897</v>
      </c>
      <c r="K92" s="466">
        <v>58871242.5053249</v>
      </c>
      <c r="L92" s="466">
        <v>74708027.553979799</v>
      </c>
      <c r="M92" s="466">
        <v>68912784.3204896</v>
      </c>
      <c r="N92" s="466">
        <v>71731996.469751999</v>
      </c>
      <c r="O92" s="466">
        <v>71112253.293680102</v>
      </c>
      <c r="P92" s="466">
        <v>94001666.7543917</v>
      </c>
      <c r="Q92" s="466">
        <v>76730825.082907006</v>
      </c>
      <c r="R92" s="466">
        <v>74698962.4949366</v>
      </c>
      <c r="S92" s="471">
        <f t="shared" si="1"/>
        <v>77655140.819133475</v>
      </c>
    </row>
    <row r="93" spans="1:19" x14ac:dyDescent="0.2">
      <c r="A93" s="465" t="s">
        <v>136</v>
      </c>
      <c r="B93" s="465" t="s">
        <v>137</v>
      </c>
      <c r="C93" s="465" t="s">
        <v>4296</v>
      </c>
      <c r="D93" s="465" t="s">
        <v>4297</v>
      </c>
      <c r="E93" s="466">
        <v>1230913.8998264901</v>
      </c>
      <c r="F93" s="466">
        <v>4713922.73127307</v>
      </c>
      <c r="G93" s="466">
        <v>2892178</v>
      </c>
      <c r="H93" s="466">
        <v>4311354</v>
      </c>
      <c r="I93" s="466">
        <v>7250750</v>
      </c>
      <c r="J93" s="466">
        <v>7850700</v>
      </c>
      <c r="K93" s="466">
        <v>17789119</v>
      </c>
      <c r="L93" s="466">
        <v>27727538</v>
      </c>
      <c r="M93" s="466">
        <v>34220900</v>
      </c>
      <c r="N93" s="466">
        <v>43139000</v>
      </c>
      <c r="O93" s="466">
        <v>33880000</v>
      </c>
      <c r="P93" s="466">
        <v>33880000</v>
      </c>
      <c r="Q93" s="466">
        <v>19664060</v>
      </c>
      <c r="R93" s="466">
        <v>28427000</v>
      </c>
      <c r="S93" s="471">
        <f t="shared" si="1"/>
        <v>31798012</v>
      </c>
    </row>
    <row r="94" spans="1:19" x14ac:dyDescent="0.2">
      <c r="A94" s="465" t="s">
        <v>367</v>
      </c>
      <c r="B94" s="465" t="s">
        <v>368</v>
      </c>
      <c r="C94" s="465" t="s">
        <v>4298</v>
      </c>
      <c r="D94" s="465" t="s">
        <v>4297</v>
      </c>
      <c r="E94" s="466">
        <v>725000</v>
      </c>
      <c r="F94" s="466">
        <v>560000</v>
      </c>
      <c r="G94" s="466">
        <v>531478.88741013897</v>
      </c>
      <c r="H94" s="466">
        <v>559897.75413484604</v>
      </c>
      <c r="I94" s="466">
        <v>810274.37706742296</v>
      </c>
      <c r="J94" s="466">
        <v>1060651</v>
      </c>
      <c r="K94" s="466">
        <v>2051000</v>
      </c>
      <c r="L94" s="466">
        <v>8555259.1081200205</v>
      </c>
      <c r="M94" s="466">
        <v>5721841.2072391603</v>
      </c>
      <c r="N94" s="466">
        <v>6483800</v>
      </c>
      <c r="O94" s="466">
        <v>2655640</v>
      </c>
      <c r="P94" s="466">
        <v>4406394.37</v>
      </c>
      <c r="Q94" s="466"/>
      <c r="R94" s="466">
        <v>1168048.2617609501</v>
      </c>
      <c r="S94" s="471">
        <f t="shared" si="1"/>
        <v>3678470.6579402378</v>
      </c>
    </row>
    <row r="95" spans="1:19" x14ac:dyDescent="0.2">
      <c r="A95" s="465" t="s">
        <v>456</v>
      </c>
      <c r="B95" s="465" t="s">
        <v>457</v>
      </c>
      <c r="C95" s="465" t="s">
        <v>4302</v>
      </c>
      <c r="D95" s="465" t="s">
        <v>4297</v>
      </c>
      <c r="E95" s="466">
        <v>1753500</v>
      </c>
      <c r="F95" s="466">
        <v>1753500</v>
      </c>
      <c r="G95" s="466">
        <v>1998252</v>
      </c>
      <c r="H95" s="466">
        <v>3489050</v>
      </c>
      <c r="I95" s="466">
        <v>2808589</v>
      </c>
      <c r="J95" s="466">
        <v>4695909</v>
      </c>
      <c r="K95" s="466">
        <v>4789135</v>
      </c>
      <c r="L95" s="466">
        <v>5228651</v>
      </c>
      <c r="M95" s="466">
        <v>4976806</v>
      </c>
      <c r="N95" s="466">
        <v>6389418</v>
      </c>
      <c r="O95" s="466">
        <v>7351240</v>
      </c>
      <c r="P95" s="466">
        <v>8127288</v>
      </c>
      <c r="Q95" s="466">
        <v>7313113.9800000004</v>
      </c>
      <c r="R95" s="466">
        <v>9540052.8300000001</v>
      </c>
      <c r="S95" s="471">
        <f t="shared" si="1"/>
        <v>7744222.5620000008</v>
      </c>
    </row>
    <row r="96" spans="1:19" x14ac:dyDescent="0.2">
      <c r="A96" s="465" t="s">
        <v>458</v>
      </c>
      <c r="B96" s="465" t="s">
        <v>459</v>
      </c>
      <c r="C96" s="465" t="s">
        <v>4302</v>
      </c>
      <c r="D96" s="465" t="s">
        <v>4297</v>
      </c>
      <c r="E96" s="466"/>
      <c r="F96" s="466">
        <v>33000</v>
      </c>
      <c r="G96" s="466">
        <v>30000</v>
      </c>
      <c r="H96" s="466"/>
      <c r="I96" s="466"/>
      <c r="J96" s="466">
        <v>61633</v>
      </c>
      <c r="K96" s="466"/>
      <c r="L96" s="466"/>
      <c r="M96" s="466"/>
      <c r="N96" s="466"/>
      <c r="O96" s="466"/>
      <c r="P96" s="466">
        <v>144357</v>
      </c>
      <c r="Q96" s="466">
        <v>148269</v>
      </c>
      <c r="R96" s="466">
        <v>148269</v>
      </c>
      <c r="S96" s="471">
        <f t="shared" si="1"/>
        <v>146965</v>
      </c>
    </row>
    <row r="97" spans="1:19" x14ac:dyDescent="0.2">
      <c r="A97" s="465" t="s">
        <v>235</v>
      </c>
      <c r="B97" s="465" t="s">
        <v>236</v>
      </c>
      <c r="C97" s="465" t="s">
        <v>4301</v>
      </c>
      <c r="D97" s="465" t="s">
        <v>4300</v>
      </c>
      <c r="E97" s="466"/>
      <c r="F97" s="466"/>
      <c r="G97" s="466">
        <v>20082.82</v>
      </c>
      <c r="H97" s="466">
        <v>18882.82</v>
      </c>
      <c r="I97" s="466">
        <v>27392</v>
      </c>
      <c r="J97" s="466">
        <v>21370</v>
      </c>
      <c r="K97" s="466">
        <v>20962.11</v>
      </c>
      <c r="L97" s="466">
        <v>28874.880000000001</v>
      </c>
      <c r="M97" s="466">
        <v>23675.119999999999</v>
      </c>
      <c r="N97" s="466">
        <v>6082</v>
      </c>
      <c r="O97" s="466">
        <v>30000</v>
      </c>
      <c r="P97" s="466">
        <v>38221</v>
      </c>
      <c r="Q97" s="466"/>
      <c r="R97" s="466"/>
      <c r="S97" s="471">
        <f t="shared" si="1"/>
        <v>24767.666666666668</v>
      </c>
    </row>
    <row r="98" spans="1:19" x14ac:dyDescent="0.2">
      <c r="A98" s="465" t="s">
        <v>460</v>
      </c>
      <c r="B98" s="465" t="s">
        <v>461</v>
      </c>
      <c r="C98" s="465" t="s">
        <v>4302</v>
      </c>
      <c r="D98" s="465" t="s">
        <v>4300</v>
      </c>
      <c r="E98" s="466"/>
      <c r="F98" s="466"/>
      <c r="G98" s="466"/>
      <c r="H98" s="466"/>
      <c r="I98" s="466">
        <v>62000000</v>
      </c>
      <c r="J98" s="466">
        <v>53000000</v>
      </c>
      <c r="K98" s="466">
        <v>89000000</v>
      </c>
      <c r="L98" s="466">
        <v>125000000</v>
      </c>
      <c r="M98" s="466">
        <v>189000000</v>
      </c>
      <c r="N98" s="466">
        <v>309440558.54290801</v>
      </c>
      <c r="O98" s="466">
        <v>263000000</v>
      </c>
      <c r="P98" s="466">
        <v>365200000</v>
      </c>
      <c r="Q98" s="466">
        <v>338000000</v>
      </c>
      <c r="R98" s="467">
        <v>213202094</v>
      </c>
      <c r="S98" s="471">
        <f t="shared" si="1"/>
        <v>297768530.50858158</v>
      </c>
    </row>
    <row r="99" spans="1:19" x14ac:dyDescent="0.2">
      <c r="A99" s="465" t="s">
        <v>281</v>
      </c>
      <c r="B99" s="465" t="s">
        <v>282</v>
      </c>
      <c r="C99" s="465" t="s">
        <v>4295</v>
      </c>
      <c r="D99" s="465" t="s">
        <v>4300</v>
      </c>
      <c r="E99" s="466"/>
      <c r="F99" s="466"/>
      <c r="G99" s="466"/>
      <c r="H99" s="466"/>
      <c r="I99" s="466"/>
      <c r="J99" s="466"/>
      <c r="K99" s="466"/>
      <c r="L99" s="466"/>
      <c r="M99" s="466"/>
      <c r="N99" s="466"/>
      <c r="O99" s="466"/>
      <c r="P99" s="466"/>
      <c r="Q99" s="466"/>
      <c r="R99" s="466"/>
      <c r="S99" s="471" t="str">
        <f t="shared" si="1"/>
        <v/>
      </c>
    </row>
    <row r="100" spans="1:19" x14ac:dyDescent="0.2">
      <c r="A100" s="465" t="s">
        <v>462</v>
      </c>
      <c r="B100" s="465" t="s">
        <v>2431</v>
      </c>
      <c r="C100" s="465" t="s">
        <v>4302</v>
      </c>
      <c r="D100" s="465" t="s">
        <v>4297</v>
      </c>
      <c r="E100" s="466">
        <v>446154</v>
      </c>
      <c r="F100" s="466">
        <v>446154</v>
      </c>
      <c r="G100" s="466">
        <v>1111111</v>
      </c>
      <c r="H100" s="466">
        <v>1392497</v>
      </c>
      <c r="I100" s="466">
        <v>2000000</v>
      </c>
      <c r="J100" s="466">
        <v>1954584</v>
      </c>
      <c r="K100" s="466">
        <v>2000000</v>
      </c>
      <c r="L100" s="466">
        <v>2460095</v>
      </c>
      <c r="M100" s="466">
        <v>4770776</v>
      </c>
      <c r="N100" s="466">
        <v>8465767</v>
      </c>
      <c r="O100" s="466">
        <v>6623210</v>
      </c>
      <c r="P100" s="466">
        <v>4780653</v>
      </c>
      <c r="Q100" s="466">
        <v>3929959.65</v>
      </c>
      <c r="R100" s="466">
        <v>6794250.0942528704</v>
      </c>
      <c r="S100" s="471">
        <f t="shared" si="1"/>
        <v>6118767.948850574</v>
      </c>
    </row>
    <row r="101" spans="1:19" x14ac:dyDescent="0.2">
      <c r="A101" s="465" t="s">
        <v>283</v>
      </c>
      <c r="B101" s="465" t="s">
        <v>284</v>
      </c>
      <c r="C101" s="465" t="s">
        <v>4295</v>
      </c>
      <c r="D101" s="465" t="s">
        <v>4299</v>
      </c>
      <c r="E101" s="466">
        <v>995024.875621891</v>
      </c>
      <c r="F101" s="466">
        <v>995024.875621891</v>
      </c>
      <c r="G101" s="466">
        <v>1492537.3134328399</v>
      </c>
      <c r="H101" s="466">
        <v>1857379.7678275299</v>
      </c>
      <c r="I101" s="466">
        <v>2514725.7048092899</v>
      </c>
      <c r="J101" s="466">
        <v>2520729.68490879</v>
      </c>
      <c r="K101" s="466">
        <v>3316749.5854063001</v>
      </c>
      <c r="L101" s="466">
        <v>3316749.5854063001</v>
      </c>
      <c r="M101" s="466">
        <v>4975124.3781094505</v>
      </c>
      <c r="N101" s="466">
        <v>11276948.590381401</v>
      </c>
      <c r="O101" s="466">
        <v>15257048.092869001</v>
      </c>
      <c r="P101" s="466">
        <v>6000000</v>
      </c>
      <c r="Q101" s="466">
        <v>21000000</v>
      </c>
      <c r="R101" s="466">
        <v>21000000</v>
      </c>
      <c r="S101" s="471">
        <f t="shared" si="1"/>
        <v>14906799.336650079</v>
      </c>
    </row>
    <row r="102" spans="1:19" x14ac:dyDescent="0.2">
      <c r="A102" s="465" t="s">
        <v>138</v>
      </c>
      <c r="B102" s="465" t="s">
        <v>139</v>
      </c>
      <c r="C102" s="465" t="s">
        <v>4296</v>
      </c>
      <c r="D102" s="465" t="s">
        <v>4278</v>
      </c>
      <c r="E102" s="466"/>
      <c r="F102" s="466"/>
      <c r="G102" s="466"/>
      <c r="H102" s="466"/>
      <c r="I102" s="466"/>
      <c r="J102" s="466"/>
      <c r="K102" s="466"/>
      <c r="L102" s="466"/>
      <c r="M102" s="466"/>
      <c r="N102" s="466"/>
      <c r="O102" s="466"/>
      <c r="P102" s="466"/>
      <c r="Q102" s="466"/>
      <c r="R102" s="466"/>
      <c r="S102" s="471" t="str">
        <f t="shared" si="1"/>
        <v/>
      </c>
    </row>
    <row r="103" spans="1:19" x14ac:dyDescent="0.2">
      <c r="A103" s="465" t="s">
        <v>285</v>
      </c>
      <c r="B103" s="465" t="s">
        <v>286</v>
      </c>
      <c r="C103" s="465" t="s">
        <v>4295</v>
      </c>
      <c r="D103" s="465" t="s">
        <v>4299</v>
      </c>
      <c r="E103" s="466"/>
      <c r="F103" s="466">
        <v>9504197.6873119008</v>
      </c>
      <c r="G103" s="466">
        <v>18388362.209872499</v>
      </c>
      <c r="H103" s="466">
        <v>17949740.725967299</v>
      </c>
      <c r="I103" s="466"/>
      <c r="J103" s="466"/>
      <c r="K103" s="466"/>
      <c r="L103" s="466"/>
      <c r="M103" s="466"/>
      <c r="N103" s="466"/>
      <c r="O103" s="466"/>
      <c r="P103" s="466"/>
      <c r="Q103" s="466"/>
      <c r="R103" s="466"/>
      <c r="S103" s="471" t="str">
        <f t="shared" si="1"/>
        <v/>
      </c>
    </row>
    <row r="104" spans="1:19" x14ac:dyDescent="0.2">
      <c r="A104" s="465" t="s">
        <v>237</v>
      </c>
      <c r="B104" s="465" t="s">
        <v>238</v>
      </c>
      <c r="C104" s="465" t="s">
        <v>4301</v>
      </c>
      <c r="D104" s="465" t="s">
        <v>4299</v>
      </c>
      <c r="E104" s="466"/>
      <c r="F104" s="466">
        <v>96000</v>
      </c>
      <c r="G104" s="466">
        <v>96000</v>
      </c>
      <c r="H104" s="466">
        <v>92000</v>
      </c>
      <c r="I104" s="466">
        <v>67434.06</v>
      </c>
      <c r="J104" s="466">
        <v>55615.5444444444</v>
      </c>
      <c r="K104" s="466">
        <v>63355.552222222199</v>
      </c>
      <c r="L104" s="466">
        <v>111781.95</v>
      </c>
      <c r="M104" s="466">
        <v>38221</v>
      </c>
      <c r="N104" s="466">
        <v>142022</v>
      </c>
      <c r="O104" s="466">
        <v>80638</v>
      </c>
      <c r="P104" s="466">
        <v>70870</v>
      </c>
      <c r="Q104" s="466">
        <v>80034.87</v>
      </c>
      <c r="R104" s="466"/>
      <c r="S104" s="471">
        <f t="shared" si="1"/>
        <v>93391.217499999999</v>
      </c>
    </row>
    <row r="105" spans="1:19" x14ac:dyDescent="0.2">
      <c r="A105" s="465" t="s">
        <v>427</v>
      </c>
      <c r="B105" s="465" t="s">
        <v>428</v>
      </c>
      <c r="C105" s="465" t="s">
        <v>4303</v>
      </c>
      <c r="D105" s="465" t="s">
        <v>4299</v>
      </c>
      <c r="E105" s="466">
        <v>2662376.4705882398</v>
      </c>
      <c r="F105" s="466">
        <v>4962380.1916932901</v>
      </c>
      <c r="G105" s="466">
        <v>4444444.4444444403</v>
      </c>
      <c r="H105" s="466">
        <v>2000000</v>
      </c>
      <c r="I105" s="466">
        <v>8050000</v>
      </c>
      <c r="J105" s="466">
        <v>5264025</v>
      </c>
      <c r="K105" s="466">
        <v>5218156</v>
      </c>
      <c r="L105" s="466">
        <v>4772203</v>
      </c>
      <c r="M105" s="466">
        <v>4812650</v>
      </c>
      <c r="N105" s="466">
        <v>4675414</v>
      </c>
      <c r="O105" s="466">
        <v>4624447.8527607396</v>
      </c>
      <c r="P105" s="466">
        <v>5073905</v>
      </c>
      <c r="Q105" s="466">
        <v>5288500</v>
      </c>
      <c r="R105" s="466"/>
      <c r="S105" s="471">
        <f t="shared" si="1"/>
        <v>4915566.7131901849</v>
      </c>
    </row>
    <row r="106" spans="1:19" x14ac:dyDescent="0.2">
      <c r="A106" s="465" t="s">
        <v>140</v>
      </c>
      <c r="B106" s="465" t="s">
        <v>141</v>
      </c>
      <c r="C106" s="465" t="s">
        <v>4296</v>
      </c>
      <c r="D106" s="465" t="s">
        <v>4297</v>
      </c>
      <c r="E106" s="466"/>
      <c r="F106" s="466"/>
      <c r="G106" s="466"/>
      <c r="H106" s="466"/>
      <c r="I106" s="466">
        <v>847929</v>
      </c>
      <c r="J106" s="466">
        <v>612657</v>
      </c>
      <c r="K106" s="466">
        <v>317379.75</v>
      </c>
      <c r="L106" s="466">
        <v>379429.20695038798</v>
      </c>
      <c r="M106" s="466">
        <v>1167803.3475694901</v>
      </c>
      <c r="N106" s="466">
        <v>276770</v>
      </c>
      <c r="O106" s="466">
        <v>849012</v>
      </c>
      <c r="P106" s="466">
        <v>1197271.0102627899</v>
      </c>
      <c r="Q106" s="466"/>
      <c r="R106" s="466">
        <v>582330.461420023</v>
      </c>
      <c r="S106" s="471">
        <f t="shared" si="1"/>
        <v>726345.86792070325</v>
      </c>
    </row>
    <row r="107" spans="1:19" x14ac:dyDescent="0.2">
      <c r="A107" s="465" t="s">
        <v>369</v>
      </c>
      <c r="B107" s="465" t="s">
        <v>370</v>
      </c>
      <c r="C107" s="465" t="s">
        <v>4298</v>
      </c>
      <c r="D107" s="465" t="s">
        <v>4300</v>
      </c>
      <c r="E107" s="466"/>
      <c r="F107" s="466"/>
      <c r="G107" s="466"/>
      <c r="H107" s="466"/>
      <c r="I107" s="466">
        <v>23617011.678479601</v>
      </c>
      <c r="J107" s="466">
        <v>19066718.623876199</v>
      </c>
      <c r="K107" s="466">
        <v>16713808.176909201</v>
      </c>
      <c r="L107" s="466">
        <v>18555435.8754365</v>
      </c>
      <c r="M107" s="466"/>
      <c r="N107" s="466">
        <v>7070089.4912922103</v>
      </c>
      <c r="O107" s="466">
        <v>9614782.3710177708</v>
      </c>
      <c r="P107" s="466"/>
      <c r="Q107" s="466"/>
      <c r="R107" s="466"/>
      <c r="S107" s="471">
        <f t="shared" si="1"/>
        <v>8342435.9311549906</v>
      </c>
    </row>
    <row r="108" spans="1:19" x14ac:dyDescent="0.2">
      <c r="A108" s="465" t="s">
        <v>371</v>
      </c>
      <c r="B108" s="465" t="s">
        <v>372</v>
      </c>
      <c r="C108" s="465" t="s">
        <v>4298</v>
      </c>
      <c r="D108" s="465" t="s">
        <v>4300</v>
      </c>
      <c r="E108" s="466"/>
      <c r="F108" s="466">
        <v>5216119.7916666698</v>
      </c>
      <c r="G108" s="466">
        <v>8309988.2352941204</v>
      </c>
      <c r="H108" s="466">
        <v>7738531.4198132902</v>
      </c>
      <c r="I108" s="466">
        <v>8308411.6365527697</v>
      </c>
      <c r="J108" s="466">
        <v>6993683.0239095902</v>
      </c>
      <c r="K108" s="466">
        <v>6688350.5068490496</v>
      </c>
      <c r="L108" s="466">
        <v>6909645.3469299404</v>
      </c>
      <c r="M108" s="466"/>
      <c r="N108" s="466"/>
      <c r="O108" s="466"/>
      <c r="P108" s="466"/>
      <c r="Q108" s="466"/>
      <c r="R108" s="466"/>
      <c r="S108" s="471" t="str">
        <f t="shared" si="1"/>
        <v/>
      </c>
    </row>
    <row r="109" spans="1:19" x14ac:dyDescent="0.2">
      <c r="A109" s="465" t="s">
        <v>373</v>
      </c>
      <c r="B109" s="465" t="s">
        <v>374</v>
      </c>
      <c r="C109" s="465" t="s">
        <v>4298</v>
      </c>
      <c r="D109" s="465" t="s">
        <v>4300</v>
      </c>
      <c r="E109" s="466"/>
      <c r="F109" s="466">
        <v>3670504.38596491</v>
      </c>
      <c r="G109" s="466">
        <v>5048448.5294117602</v>
      </c>
      <c r="H109" s="466">
        <v>5642200.5256287502</v>
      </c>
      <c r="I109" s="466">
        <v>6235952.5218457403</v>
      </c>
      <c r="J109" s="466">
        <v>8189914.2706042798</v>
      </c>
      <c r="K109" s="466">
        <v>6003431.2748683896</v>
      </c>
      <c r="L109" s="466">
        <v>6022183.9127784297</v>
      </c>
      <c r="M109" s="466">
        <v>10068602.789239001</v>
      </c>
      <c r="N109" s="466">
        <v>8750634.9831614308</v>
      </c>
      <c r="O109" s="466">
        <v>9326576.0731240399</v>
      </c>
      <c r="P109" s="466">
        <v>9869948.6743898392</v>
      </c>
      <c r="Q109" s="466"/>
      <c r="R109" s="466">
        <v>11144847.556546999</v>
      </c>
      <c r="S109" s="471">
        <f t="shared" si="1"/>
        <v>9773001.8218055777</v>
      </c>
    </row>
    <row r="110" spans="1:19" x14ac:dyDescent="0.2">
      <c r="A110" s="465" t="s">
        <v>287</v>
      </c>
      <c r="B110" s="465" t="s">
        <v>288</v>
      </c>
      <c r="C110" s="465" t="s">
        <v>4295</v>
      </c>
      <c r="D110" s="465" t="s">
        <v>4297</v>
      </c>
      <c r="E110" s="466">
        <v>4885200</v>
      </c>
      <c r="F110" s="466">
        <v>8125477.3598765898</v>
      </c>
      <c r="G110" s="466">
        <v>10740721.5694394</v>
      </c>
      <c r="H110" s="466">
        <v>10804896.359999999</v>
      </c>
      <c r="I110" s="466">
        <v>14292605.363300201</v>
      </c>
      <c r="J110" s="466">
        <v>14878015.1537544</v>
      </c>
      <c r="K110" s="466">
        <v>13949339.2546729</v>
      </c>
      <c r="L110" s="466">
        <v>52325572</v>
      </c>
      <c r="M110" s="466">
        <v>38346000</v>
      </c>
      <c r="N110" s="466">
        <v>41975000</v>
      </c>
      <c r="O110" s="466">
        <v>45183100</v>
      </c>
      <c r="P110" s="466">
        <v>42380000</v>
      </c>
      <c r="Q110" s="466">
        <v>57024998.920000002</v>
      </c>
      <c r="R110" s="466">
        <v>43815666.289999999</v>
      </c>
      <c r="S110" s="471">
        <f t="shared" si="1"/>
        <v>46075753.042000003</v>
      </c>
    </row>
    <row r="111" spans="1:19" x14ac:dyDescent="0.2">
      <c r="A111" s="465" t="s">
        <v>375</v>
      </c>
      <c r="B111" s="465" t="s">
        <v>376</v>
      </c>
      <c r="C111" s="465" t="s">
        <v>4298</v>
      </c>
      <c r="D111" s="465" t="s">
        <v>4300</v>
      </c>
      <c r="E111" s="466"/>
      <c r="F111" s="466"/>
      <c r="G111" s="466"/>
      <c r="H111" s="466"/>
      <c r="I111" s="466"/>
      <c r="J111" s="466"/>
      <c r="K111" s="466"/>
      <c r="L111" s="466"/>
      <c r="M111" s="466"/>
      <c r="N111" s="466"/>
      <c r="O111" s="466"/>
      <c r="P111" s="466"/>
      <c r="Q111" s="466"/>
      <c r="R111" s="466"/>
      <c r="S111" s="471" t="str">
        <f t="shared" si="1"/>
        <v/>
      </c>
    </row>
    <row r="112" spans="1:19" x14ac:dyDescent="0.2">
      <c r="A112" s="465" t="s">
        <v>377</v>
      </c>
      <c r="B112" s="465" t="s">
        <v>378</v>
      </c>
      <c r="C112" s="465" t="s">
        <v>4298</v>
      </c>
      <c r="D112" s="465" t="s">
        <v>4297</v>
      </c>
      <c r="E112" s="466">
        <v>421388.82282996399</v>
      </c>
      <c r="F112" s="466">
        <v>466069.14893616998</v>
      </c>
      <c r="G112" s="466">
        <v>702632.854578097</v>
      </c>
      <c r="H112" s="466">
        <v>1100448.5981308401</v>
      </c>
      <c r="I112" s="466">
        <v>1062365.06</v>
      </c>
      <c r="J112" s="466">
        <v>1435812.53</v>
      </c>
      <c r="K112" s="466">
        <v>1809260</v>
      </c>
      <c r="L112" s="466">
        <v>1512134</v>
      </c>
      <c r="M112" s="466">
        <v>2748777</v>
      </c>
      <c r="N112" s="466">
        <v>2367203.76124741</v>
      </c>
      <c r="O112" s="466">
        <v>999397.85682805104</v>
      </c>
      <c r="P112" s="466">
        <v>1549714.89997024</v>
      </c>
      <c r="Q112" s="466">
        <v>1253866.2278323199</v>
      </c>
      <c r="R112" s="466">
        <v>2625518.8062493298</v>
      </c>
      <c r="S112" s="471">
        <f t="shared" si="1"/>
        <v>1759140.3104254701</v>
      </c>
    </row>
    <row r="113" spans="1:19" x14ac:dyDescent="0.2">
      <c r="A113" s="465" t="s">
        <v>142</v>
      </c>
      <c r="B113" s="465" t="s">
        <v>143</v>
      </c>
      <c r="C113" s="465" t="s">
        <v>4296</v>
      </c>
      <c r="D113" s="465" t="s">
        <v>4278</v>
      </c>
      <c r="E113" s="466">
        <v>3659217.8770949701</v>
      </c>
      <c r="F113" s="466">
        <v>2962046.1538461498</v>
      </c>
      <c r="G113" s="466">
        <v>7831330</v>
      </c>
      <c r="H113" s="466">
        <v>8811134.6604215503</v>
      </c>
      <c r="I113" s="466">
        <v>8155704</v>
      </c>
      <c r="J113" s="466">
        <v>4214789.67</v>
      </c>
      <c r="K113" s="466">
        <v>14865201</v>
      </c>
      <c r="L113" s="466">
        <v>29839815</v>
      </c>
      <c r="M113" s="466">
        <v>19462461</v>
      </c>
      <c r="N113" s="466">
        <v>2205194</v>
      </c>
      <c r="O113" s="466">
        <v>30045065</v>
      </c>
      <c r="P113" s="466">
        <v>6474594</v>
      </c>
      <c r="Q113" s="466">
        <v>11246769</v>
      </c>
      <c r="R113" s="467">
        <v>14169685</v>
      </c>
      <c r="S113" s="471">
        <f t="shared" si="1"/>
        <v>12828261.4</v>
      </c>
    </row>
    <row r="114" spans="1:19" x14ac:dyDescent="0.2">
      <c r="A114" s="465" t="s">
        <v>429</v>
      </c>
      <c r="B114" s="465" t="s">
        <v>430</v>
      </c>
      <c r="C114" s="465" t="s">
        <v>4303</v>
      </c>
      <c r="D114" s="465" t="s">
        <v>4299</v>
      </c>
      <c r="E114" s="466">
        <v>281083.33333333302</v>
      </c>
      <c r="F114" s="466">
        <v>102002.734375</v>
      </c>
      <c r="G114" s="466"/>
      <c r="H114" s="466"/>
      <c r="I114" s="466">
        <v>160075</v>
      </c>
      <c r="J114" s="466">
        <v>146579</v>
      </c>
      <c r="K114" s="466">
        <v>149226</v>
      </c>
      <c r="L114" s="466">
        <v>234668</v>
      </c>
      <c r="M114" s="466">
        <v>225025</v>
      </c>
      <c r="N114" s="466">
        <v>226754</v>
      </c>
      <c r="O114" s="466">
        <v>124112</v>
      </c>
      <c r="P114" s="466">
        <v>196475</v>
      </c>
      <c r="Q114" s="466"/>
      <c r="R114" s="466"/>
      <c r="S114" s="471">
        <f t="shared" si="1"/>
        <v>182447</v>
      </c>
    </row>
    <row r="115" spans="1:19" x14ac:dyDescent="0.2">
      <c r="A115" s="465" t="s">
        <v>239</v>
      </c>
      <c r="B115" s="465" t="s">
        <v>240</v>
      </c>
      <c r="C115" s="465" t="s">
        <v>4301</v>
      </c>
      <c r="D115" s="465" t="s">
        <v>4299</v>
      </c>
      <c r="E115" s="466"/>
      <c r="F115" s="466">
        <v>71362963.870000005</v>
      </c>
      <c r="G115" s="466">
        <v>210557349.90000001</v>
      </c>
      <c r="H115" s="466">
        <v>188589518.92551899</v>
      </c>
      <c r="I115" s="466">
        <v>236303365.90480199</v>
      </c>
      <c r="J115" s="466">
        <v>41634041.852724597</v>
      </c>
      <c r="K115" s="466"/>
      <c r="L115" s="466"/>
      <c r="M115" s="466">
        <v>251000000</v>
      </c>
      <c r="N115" s="466">
        <v>200460680.14881399</v>
      </c>
      <c r="O115" s="466">
        <v>359334013.96416599</v>
      </c>
      <c r="P115" s="466">
        <v>276854962.92238998</v>
      </c>
      <c r="Q115" s="466"/>
      <c r="R115" s="466"/>
      <c r="S115" s="471">
        <f t="shared" si="1"/>
        <v>278883219.01178998</v>
      </c>
    </row>
    <row r="116" spans="1:19" x14ac:dyDescent="0.2">
      <c r="A116" s="465" t="s">
        <v>464</v>
      </c>
      <c r="B116" s="465" t="s">
        <v>465</v>
      </c>
      <c r="C116" s="465" t="s">
        <v>4302</v>
      </c>
      <c r="D116" s="465" t="s">
        <v>4299</v>
      </c>
      <c r="E116" s="466">
        <v>5000</v>
      </c>
      <c r="F116" s="466">
        <v>333333</v>
      </c>
      <c r="G116" s="466"/>
      <c r="H116" s="466">
        <v>1700000</v>
      </c>
      <c r="I116" s="466">
        <v>1700000</v>
      </c>
      <c r="J116" s="466">
        <v>1300000</v>
      </c>
      <c r="K116" s="466">
        <v>1300000</v>
      </c>
      <c r="L116" s="466">
        <v>1300000</v>
      </c>
      <c r="M116" s="466">
        <v>1300000</v>
      </c>
      <c r="N116" s="466">
        <v>1300000</v>
      </c>
      <c r="O116" s="466">
        <v>1300000</v>
      </c>
      <c r="P116" s="466">
        <v>1300000</v>
      </c>
      <c r="Q116" s="466">
        <v>1577222</v>
      </c>
      <c r="R116" s="466">
        <v>1577222</v>
      </c>
      <c r="S116" s="471">
        <f t="shared" si="1"/>
        <v>1410888.8</v>
      </c>
    </row>
    <row r="117" spans="1:19" x14ac:dyDescent="0.2">
      <c r="A117" s="465" t="s">
        <v>379</v>
      </c>
      <c r="B117" s="465" t="s">
        <v>4308</v>
      </c>
      <c r="C117" s="465" t="s">
        <v>4298</v>
      </c>
      <c r="D117" s="465" t="s">
        <v>4299</v>
      </c>
      <c r="E117" s="466">
        <v>1250000</v>
      </c>
      <c r="F117" s="466">
        <v>1250000</v>
      </c>
      <c r="G117" s="466">
        <v>2200000</v>
      </c>
      <c r="H117" s="466">
        <v>3854822.8368775002</v>
      </c>
      <c r="I117" s="466">
        <v>4267408.4680076903</v>
      </c>
      <c r="J117" s="466">
        <v>4679994.0991378697</v>
      </c>
      <c r="K117" s="466">
        <v>4021862.4876671098</v>
      </c>
      <c r="L117" s="466">
        <v>5819549.7297983104</v>
      </c>
      <c r="M117" s="466">
        <v>5771243.4572564997</v>
      </c>
      <c r="N117" s="466">
        <v>5401796.9077413604</v>
      </c>
      <c r="O117" s="466">
        <v>4342230.5697517898</v>
      </c>
      <c r="P117" s="466">
        <v>3292755.7087770998</v>
      </c>
      <c r="Q117" s="466"/>
      <c r="R117" s="466"/>
      <c r="S117" s="471">
        <f t="shared" si="1"/>
        <v>4345594.395423417</v>
      </c>
    </row>
    <row r="118" spans="1:19" x14ac:dyDescent="0.2">
      <c r="A118" s="465" t="s">
        <v>144</v>
      </c>
      <c r="B118" s="465" t="s">
        <v>145</v>
      </c>
      <c r="C118" s="465" t="s">
        <v>4296</v>
      </c>
      <c r="D118" s="465" t="s">
        <v>4278</v>
      </c>
      <c r="E118" s="466">
        <v>287363.02423568798</v>
      </c>
      <c r="F118" s="466">
        <v>1669216.7429950801</v>
      </c>
      <c r="G118" s="466">
        <v>11177369.740346</v>
      </c>
      <c r="H118" s="466">
        <v>3178964.72109072</v>
      </c>
      <c r="I118" s="466">
        <v>30541698</v>
      </c>
      <c r="J118" s="466">
        <v>20691967.789999999</v>
      </c>
      <c r="K118" s="466">
        <v>16676881</v>
      </c>
      <c r="L118" s="466">
        <v>19875721</v>
      </c>
      <c r="M118" s="466">
        <v>19811382</v>
      </c>
      <c r="N118" s="466">
        <v>20357826.185079198</v>
      </c>
      <c r="O118" s="466">
        <v>23389350</v>
      </c>
      <c r="P118" s="466">
        <v>26929159</v>
      </c>
      <c r="Q118" s="466">
        <v>22955720.545834798</v>
      </c>
      <c r="R118" s="466">
        <v>20260400</v>
      </c>
      <c r="S118" s="471">
        <f t="shared" si="1"/>
        <v>22778491.146182798</v>
      </c>
    </row>
    <row r="119" spans="1:19" x14ac:dyDescent="0.2">
      <c r="A119" s="465" t="s">
        <v>381</v>
      </c>
      <c r="B119" s="465" t="s">
        <v>382</v>
      </c>
      <c r="C119" s="465" t="s">
        <v>4298</v>
      </c>
      <c r="D119" s="465" t="s">
        <v>4300</v>
      </c>
      <c r="E119" s="466">
        <v>357606.65853483498</v>
      </c>
      <c r="F119" s="466">
        <v>925007.53837719304</v>
      </c>
      <c r="G119" s="466"/>
      <c r="H119" s="466"/>
      <c r="I119" s="466"/>
      <c r="J119" s="466"/>
      <c r="K119" s="466">
        <v>1601244.46387134</v>
      </c>
      <c r="L119" s="466"/>
      <c r="M119" s="466"/>
      <c r="N119" s="466"/>
      <c r="O119" s="466"/>
      <c r="P119" s="466">
        <v>1454515.1578267601</v>
      </c>
      <c r="Q119" s="466"/>
      <c r="R119" s="466"/>
      <c r="S119" s="471">
        <f t="shared" si="1"/>
        <v>1454515.1578267601</v>
      </c>
    </row>
    <row r="120" spans="1:19" x14ac:dyDescent="0.2">
      <c r="A120" s="465" t="s">
        <v>431</v>
      </c>
      <c r="B120" s="465" t="s">
        <v>432</v>
      </c>
      <c r="C120" s="465" t="s">
        <v>4303</v>
      </c>
      <c r="D120" s="465" t="s">
        <v>4297</v>
      </c>
      <c r="E120" s="466"/>
      <c r="F120" s="466"/>
      <c r="G120" s="466"/>
      <c r="H120" s="466"/>
      <c r="I120" s="466"/>
      <c r="J120" s="466"/>
      <c r="K120" s="466">
        <v>2431378</v>
      </c>
      <c r="L120" s="466">
        <v>2863307</v>
      </c>
      <c r="M120" s="466">
        <v>1434705</v>
      </c>
      <c r="N120" s="466">
        <v>8236586</v>
      </c>
      <c r="O120" s="466">
        <v>29052636</v>
      </c>
      <c r="P120" s="466">
        <v>27900000</v>
      </c>
      <c r="Q120" s="466">
        <v>20077524</v>
      </c>
      <c r="R120" s="466">
        <v>25922123</v>
      </c>
      <c r="S120" s="471">
        <f t="shared" si="1"/>
        <v>22237773.800000001</v>
      </c>
    </row>
    <row r="121" spans="1:19" x14ac:dyDescent="0.2">
      <c r="A121" s="465" t="s">
        <v>383</v>
      </c>
      <c r="B121" s="465" t="s">
        <v>384</v>
      </c>
      <c r="C121" s="465" t="s">
        <v>4298</v>
      </c>
      <c r="D121" s="465" t="s">
        <v>4299</v>
      </c>
      <c r="E121" s="466"/>
      <c r="F121" s="466"/>
      <c r="G121" s="466"/>
      <c r="H121" s="466"/>
      <c r="I121" s="466"/>
      <c r="J121" s="466"/>
      <c r="K121" s="466"/>
      <c r="L121" s="466"/>
      <c r="M121" s="466"/>
      <c r="N121" s="466"/>
      <c r="O121" s="466">
        <v>600000</v>
      </c>
      <c r="P121" s="466">
        <v>676134.48691251699</v>
      </c>
      <c r="Q121" s="466"/>
      <c r="R121" s="466"/>
      <c r="S121" s="471">
        <f t="shared" si="1"/>
        <v>638067.24345625844</v>
      </c>
    </row>
    <row r="122" spans="1:19" x14ac:dyDescent="0.2">
      <c r="A122" s="465" t="s">
        <v>466</v>
      </c>
      <c r="B122" s="465" t="s">
        <v>467</v>
      </c>
      <c r="C122" s="465" t="s">
        <v>4302</v>
      </c>
      <c r="D122" s="465" t="s">
        <v>4297</v>
      </c>
      <c r="E122" s="466">
        <v>2368421</v>
      </c>
      <c r="F122" s="466">
        <v>2948257.8947368399</v>
      </c>
      <c r="G122" s="466">
        <v>2083911.47540984</v>
      </c>
      <c r="H122" s="466">
        <v>1694035.16431925</v>
      </c>
      <c r="I122" s="466">
        <v>1639581.65870119</v>
      </c>
      <c r="J122" s="466">
        <v>2097127.1160739399</v>
      </c>
      <c r="K122" s="466">
        <v>1769001.71628928</v>
      </c>
      <c r="L122" s="466">
        <v>2660532.97220504</v>
      </c>
      <c r="M122" s="466">
        <v>2483233.5487054298</v>
      </c>
      <c r="N122" s="466">
        <v>2778168.4893312999</v>
      </c>
      <c r="O122" s="466">
        <v>2047185.4125817299</v>
      </c>
      <c r="P122" s="466">
        <v>1945242.2528109699</v>
      </c>
      <c r="Q122" s="466">
        <v>2541353.1890968699</v>
      </c>
      <c r="R122" s="466"/>
      <c r="S122" s="471">
        <f t="shared" si="1"/>
        <v>2327987.3359552175</v>
      </c>
    </row>
    <row r="123" spans="1:19" x14ac:dyDescent="0.2">
      <c r="A123" s="465" t="s">
        <v>146</v>
      </c>
      <c r="B123" s="465" t="s">
        <v>147</v>
      </c>
      <c r="C123" s="465" t="s">
        <v>4296</v>
      </c>
      <c r="D123" s="465" t="s">
        <v>4278</v>
      </c>
      <c r="E123" s="466">
        <v>2600000</v>
      </c>
      <c r="F123" s="466">
        <v>1616777</v>
      </c>
      <c r="G123" s="466">
        <v>2750000</v>
      </c>
      <c r="H123" s="466">
        <v>3466710</v>
      </c>
      <c r="I123" s="466">
        <v>8937500</v>
      </c>
      <c r="J123" s="466">
        <v>11279340</v>
      </c>
      <c r="K123" s="466">
        <v>8619896</v>
      </c>
      <c r="L123" s="466">
        <v>20444213</v>
      </c>
      <c r="M123" s="466">
        <v>20710047.5</v>
      </c>
      <c r="N123" s="466">
        <v>20975882</v>
      </c>
      <c r="O123" s="466">
        <v>21241716.5</v>
      </c>
      <c r="P123" s="466">
        <v>21507551</v>
      </c>
      <c r="Q123" s="466">
        <v>24110531</v>
      </c>
      <c r="R123" s="466">
        <v>17230259.038750269</v>
      </c>
      <c r="S123" s="471">
        <f t="shared" si="1"/>
        <v>21013187.907750051</v>
      </c>
    </row>
    <row r="124" spans="1:19" x14ac:dyDescent="0.2">
      <c r="A124" s="465" t="s">
        <v>148</v>
      </c>
      <c r="B124" s="465" t="s">
        <v>149</v>
      </c>
      <c r="C124" s="465" t="s">
        <v>4296</v>
      </c>
      <c r="D124" s="465" t="s">
        <v>4297</v>
      </c>
      <c r="E124" s="466">
        <v>521221.14668652299</v>
      </c>
      <c r="F124" s="466">
        <v>541404.48832055205</v>
      </c>
      <c r="G124" s="466">
        <v>394575.09649087698</v>
      </c>
      <c r="H124" s="466">
        <v>247745.70466120201</v>
      </c>
      <c r="I124" s="466">
        <v>1936363</v>
      </c>
      <c r="J124" s="466">
        <v>1267385</v>
      </c>
      <c r="K124" s="466">
        <v>1263922</v>
      </c>
      <c r="L124" s="466">
        <v>2235017</v>
      </c>
      <c r="M124" s="466">
        <v>4879429</v>
      </c>
      <c r="N124" s="466">
        <v>4953257</v>
      </c>
      <c r="O124" s="466">
        <v>5027085</v>
      </c>
      <c r="P124" s="466">
        <v>2726825</v>
      </c>
      <c r="Q124" s="466">
        <v>1976279.69</v>
      </c>
      <c r="R124" s="466">
        <v>3703210</v>
      </c>
      <c r="S124" s="471">
        <f t="shared" si="1"/>
        <v>3677331.3379999995</v>
      </c>
    </row>
    <row r="125" spans="1:19" x14ac:dyDescent="0.2">
      <c r="A125" s="465" t="s">
        <v>150</v>
      </c>
      <c r="B125" s="465" t="s">
        <v>151</v>
      </c>
      <c r="C125" s="465" t="s">
        <v>4296</v>
      </c>
      <c r="D125" s="465" t="s">
        <v>4299</v>
      </c>
      <c r="E125" s="466">
        <v>268070.30380249798</v>
      </c>
      <c r="F125" s="466">
        <v>479023.55837860098</v>
      </c>
      <c r="G125" s="466">
        <v>878648.14710678696</v>
      </c>
      <c r="H125" s="466">
        <v>794748.40268086805</v>
      </c>
      <c r="I125" s="466">
        <v>584711.73711360304</v>
      </c>
      <c r="J125" s="466">
        <v>1428272.8349474</v>
      </c>
      <c r="K125" s="466">
        <v>708818.63560732105</v>
      </c>
      <c r="L125" s="466">
        <v>377832.93270013703</v>
      </c>
      <c r="M125" s="466">
        <v>947043.91671238595</v>
      </c>
      <c r="N125" s="466">
        <v>1323570.1021487999</v>
      </c>
      <c r="O125" s="466">
        <v>2813731</v>
      </c>
      <c r="P125" s="466"/>
      <c r="Q125" s="466"/>
      <c r="R125" s="466"/>
      <c r="S125" s="471">
        <f t="shared" si="1"/>
        <v>2068650.5510744001</v>
      </c>
    </row>
    <row r="126" spans="1:19" x14ac:dyDescent="0.2">
      <c r="A126" s="465" t="s">
        <v>153</v>
      </c>
      <c r="B126" s="465" t="s">
        <v>154</v>
      </c>
      <c r="C126" s="465" t="s">
        <v>4296</v>
      </c>
      <c r="D126" s="465" t="s">
        <v>4278</v>
      </c>
      <c r="E126" s="466"/>
      <c r="F126" s="466">
        <v>7496448.4848484797</v>
      </c>
      <c r="G126" s="466">
        <v>4193353</v>
      </c>
      <c r="H126" s="466">
        <v>8993376.03975516</v>
      </c>
      <c r="I126" s="466">
        <v>9224885.6682364997</v>
      </c>
      <c r="J126" s="466">
        <v>18101866</v>
      </c>
      <c r="K126" s="466">
        <v>28878632.149999999</v>
      </c>
      <c r="L126" s="466">
        <v>16151641</v>
      </c>
      <c r="M126" s="466">
        <v>15782818</v>
      </c>
      <c r="N126" s="466">
        <v>17451283.109999999</v>
      </c>
      <c r="O126" s="466">
        <v>14943500</v>
      </c>
      <c r="P126" s="466">
        <v>19755478</v>
      </c>
      <c r="Q126" s="466">
        <v>9612816.0800000001</v>
      </c>
      <c r="R126" s="466">
        <v>17359268.691148601</v>
      </c>
      <c r="S126" s="471">
        <f t="shared" si="1"/>
        <v>15824469.176229721</v>
      </c>
    </row>
    <row r="127" spans="1:19" x14ac:dyDescent="0.2">
      <c r="A127" s="465" t="s">
        <v>468</v>
      </c>
      <c r="B127" s="465" t="s">
        <v>469</v>
      </c>
      <c r="C127" s="465" t="s">
        <v>4302</v>
      </c>
      <c r="D127" s="465" t="s">
        <v>4299</v>
      </c>
      <c r="E127" s="466">
        <v>13630663.540701199</v>
      </c>
      <c r="F127" s="466">
        <v>13381818.1818182</v>
      </c>
      <c r="G127" s="466">
        <v>17250172.501724999</v>
      </c>
      <c r="H127" s="466">
        <v>19860409.691879898</v>
      </c>
      <c r="I127" s="466">
        <v>49672657.189123698</v>
      </c>
      <c r="J127" s="466">
        <v>52287530.437061697</v>
      </c>
      <c r="K127" s="466"/>
      <c r="L127" s="466"/>
      <c r="M127" s="466"/>
      <c r="N127" s="466"/>
      <c r="O127" s="466"/>
      <c r="P127" s="466"/>
      <c r="Q127" s="466"/>
      <c r="R127" s="466"/>
      <c r="S127" s="471" t="str">
        <f t="shared" si="1"/>
        <v/>
      </c>
    </row>
    <row r="128" spans="1:19" x14ac:dyDescent="0.2">
      <c r="A128" s="465" t="s">
        <v>155</v>
      </c>
      <c r="B128" s="465" t="s">
        <v>156</v>
      </c>
      <c r="C128" s="465" t="s">
        <v>4296</v>
      </c>
      <c r="D128" s="465" t="s">
        <v>4299</v>
      </c>
      <c r="E128" s="466">
        <v>1277429</v>
      </c>
      <c r="F128" s="466">
        <v>1277429.2446135101</v>
      </c>
      <c r="G128" s="466">
        <v>605238.94833680301</v>
      </c>
      <c r="H128" s="466">
        <v>1201649.5269341799</v>
      </c>
      <c r="I128" s="466">
        <v>1798060.10553155</v>
      </c>
      <c r="J128" s="466">
        <v>2394588.7443465502</v>
      </c>
      <c r="K128" s="466">
        <v>6645212.0154426899</v>
      </c>
      <c r="L128" s="466">
        <v>1936954.9100585401</v>
      </c>
      <c r="M128" s="466"/>
      <c r="N128" s="466"/>
      <c r="O128" s="466">
        <v>7844830.8587589096</v>
      </c>
      <c r="P128" s="466">
        <v>4546417.8353326498</v>
      </c>
      <c r="Q128" s="466">
        <v>4149557.3714433601</v>
      </c>
      <c r="R128" s="466">
        <v>3413502.3526497702</v>
      </c>
      <c r="S128" s="471">
        <f t="shared" si="1"/>
        <v>4988577.1045461725</v>
      </c>
    </row>
    <row r="129" spans="1:19" x14ac:dyDescent="0.2">
      <c r="A129" s="465" t="s">
        <v>157</v>
      </c>
      <c r="B129" s="465" t="s">
        <v>158</v>
      </c>
      <c r="C129" s="465" t="s">
        <v>4296</v>
      </c>
      <c r="D129" s="465" t="s">
        <v>4278</v>
      </c>
      <c r="E129" s="466">
        <v>7649767.62874607</v>
      </c>
      <c r="F129" s="466">
        <v>4584894.4340346204</v>
      </c>
      <c r="G129" s="466">
        <v>3771135.4807154802</v>
      </c>
      <c r="H129" s="466">
        <v>9461299.6896551698</v>
      </c>
      <c r="I129" s="466">
        <v>9112478.9147395901</v>
      </c>
      <c r="J129" s="466">
        <v>8398500</v>
      </c>
      <c r="K129" s="466"/>
      <c r="L129" s="466">
        <v>4674500</v>
      </c>
      <c r="M129" s="466">
        <v>4022430.54923495</v>
      </c>
      <c r="N129" s="466">
        <v>31063631.752472699</v>
      </c>
      <c r="O129" s="466">
        <v>21726225.0512085</v>
      </c>
      <c r="P129" s="466">
        <v>12649925.267479399</v>
      </c>
      <c r="Q129" s="466">
        <v>12639598.040149501</v>
      </c>
      <c r="R129" s="466">
        <v>17360078.443974901</v>
      </c>
      <c r="S129" s="471">
        <f t="shared" si="1"/>
        <v>19087891.711057</v>
      </c>
    </row>
    <row r="130" spans="1:19" x14ac:dyDescent="0.2">
      <c r="A130" s="465" t="s">
        <v>159</v>
      </c>
      <c r="B130" s="465" t="s">
        <v>160</v>
      </c>
      <c r="C130" s="465" t="s">
        <v>4296</v>
      </c>
      <c r="D130" s="465" t="s">
        <v>4297</v>
      </c>
      <c r="E130" s="466">
        <v>27205279.378786899</v>
      </c>
      <c r="F130" s="466">
        <v>25269306.356060099</v>
      </c>
      <c r="G130" s="466">
        <v>23333333.333333299</v>
      </c>
      <c r="H130" s="466">
        <v>16029576.038227299</v>
      </c>
      <c r="I130" s="466">
        <v>20625687</v>
      </c>
      <c r="J130" s="466">
        <v>22799925.899999999</v>
      </c>
      <c r="K130" s="466">
        <v>38244453.240000002</v>
      </c>
      <c r="L130" s="466">
        <v>73764508</v>
      </c>
      <c r="M130" s="466">
        <v>90962051</v>
      </c>
      <c r="N130" s="466">
        <v>238997375</v>
      </c>
      <c r="O130" s="466">
        <v>422000000</v>
      </c>
      <c r="P130" s="466">
        <v>254161590</v>
      </c>
      <c r="Q130" s="466">
        <v>95177765.490608096</v>
      </c>
      <c r="R130" s="466">
        <v>201708721.8463923</v>
      </c>
      <c r="S130" s="471">
        <f t="shared" si="1"/>
        <v>242409090.46740007</v>
      </c>
    </row>
    <row r="131" spans="1:19" x14ac:dyDescent="0.2">
      <c r="A131" s="465" t="s">
        <v>241</v>
      </c>
      <c r="B131" s="465" t="s">
        <v>242</v>
      </c>
      <c r="C131" s="465" t="s">
        <v>4301</v>
      </c>
      <c r="D131" s="465" t="s">
        <v>4297</v>
      </c>
      <c r="E131" s="466">
        <v>4695298.7951807203</v>
      </c>
      <c r="F131" s="466">
        <v>5597969.6356275296</v>
      </c>
      <c r="G131" s="466">
        <v>11545281.776416499</v>
      </c>
      <c r="H131" s="466">
        <v>9534934.6140035894</v>
      </c>
      <c r="I131" s="466">
        <v>15959797</v>
      </c>
      <c r="J131" s="466">
        <v>29457325</v>
      </c>
      <c r="K131" s="466">
        <v>15379056</v>
      </c>
      <c r="L131" s="466">
        <v>8354651</v>
      </c>
      <c r="M131" s="466">
        <v>8167017</v>
      </c>
      <c r="N131" s="466">
        <v>8288035</v>
      </c>
      <c r="O131" s="466">
        <v>10936402</v>
      </c>
      <c r="P131" s="466">
        <v>13145391</v>
      </c>
      <c r="Q131" s="466">
        <v>9586885</v>
      </c>
      <c r="R131" s="466">
        <v>13246049</v>
      </c>
      <c r="S131" s="471">
        <f t="shared" si="1"/>
        <v>11040552.4</v>
      </c>
    </row>
    <row r="132" spans="1:19" x14ac:dyDescent="0.2">
      <c r="A132" s="465" t="s">
        <v>470</v>
      </c>
      <c r="B132" s="465" t="s">
        <v>471</v>
      </c>
      <c r="C132" s="465" t="s">
        <v>4302</v>
      </c>
      <c r="D132" s="465" t="s">
        <v>4299</v>
      </c>
      <c r="E132" s="466">
        <v>5000</v>
      </c>
      <c r="F132" s="466">
        <v>5750</v>
      </c>
      <c r="G132" s="466">
        <v>6500</v>
      </c>
      <c r="H132" s="466">
        <v>8000</v>
      </c>
      <c r="I132" s="466">
        <v>5054.1516245487401</v>
      </c>
      <c r="J132" s="466">
        <v>7917.6563737133802</v>
      </c>
      <c r="K132" s="466">
        <v>8107.6698556834799</v>
      </c>
      <c r="L132" s="466">
        <v>5743.8253877082097</v>
      </c>
      <c r="M132" s="466">
        <v>6621.9126938541103</v>
      </c>
      <c r="N132" s="466">
        <v>7500</v>
      </c>
      <c r="O132" s="466"/>
      <c r="P132" s="466"/>
      <c r="Q132" s="466"/>
      <c r="R132" s="466"/>
      <c r="S132" s="471">
        <f t="shared" si="1"/>
        <v>7500</v>
      </c>
    </row>
    <row r="133" spans="1:19" x14ac:dyDescent="0.2">
      <c r="A133" s="465" t="s">
        <v>385</v>
      </c>
      <c r="B133" s="465" t="s">
        <v>4309</v>
      </c>
      <c r="C133" s="465" t="s">
        <v>4298</v>
      </c>
      <c r="D133" s="465" t="s">
        <v>4300</v>
      </c>
      <c r="E133" s="466"/>
      <c r="F133" s="466"/>
      <c r="G133" s="466">
        <v>147058823.529412</v>
      </c>
      <c r="H133" s="466">
        <v>87780409.6419117</v>
      </c>
      <c r="I133" s="466">
        <v>83588299.760910898</v>
      </c>
      <c r="J133" s="466">
        <v>76544103.320622399</v>
      </c>
      <c r="K133" s="466">
        <v>68136968.162037402</v>
      </c>
      <c r="L133" s="466">
        <v>70391389.406494305</v>
      </c>
      <c r="M133" s="466">
        <v>58469041.307048798</v>
      </c>
      <c r="N133" s="466">
        <v>48823519.620951898</v>
      </c>
      <c r="O133" s="466">
        <v>44263896.927089602</v>
      </c>
      <c r="P133" s="466">
        <v>50710086.518438801</v>
      </c>
      <c r="Q133" s="466">
        <v>57484399.726673201</v>
      </c>
      <c r="R133" s="466">
        <v>61055324.154171199</v>
      </c>
      <c r="S133" s="471">
        <f t="shared" ref="S133:S196" si="2">IF(ISERROR(AVERAGE(N133:R133)),"",AVERAGE(N133:R133))</f>
        <v>52467445.38946493</v>
      </c>
    </row>
    <row r="134" spans="1:19" x14ac:dyDescent="0.2">
      <c r="A134" s="465" t="s">
        <v>387</v>
      </c>
      <c r="B134" s="465" t="s">
        <v>388</v>
      </c>
      <c r="C134" s="465" t="s">
        <v>4298</v>
      </c>
      <c r="D134" s="465" t="s">
        <v>4300</v>
      </c>
      <c r="E134" s="466">
        <v>17151321.4313557</v>
      </c>
      <c r="F134" s="466">
        <v>27484252.035712499</v>
      </c>
      <c r="G134" s="466">
        <v>29045055.2564466</v>
      </c>
      <c r="H134" s="466">
        <v>38402238.011221804</v>
      </c>
      <c r="I134" s="466">
        <v>41202810.862709701</v>
      </c>
      <c r="J134" s="466">
        <v>39561576.398612298</v>
      </c>
      <c r="K134" s="466">
        <v>31034051.145491801</v>
      </c>
      <c r="L134" s="466">
        <v>30411673.998427201</v>
      </c>
      <c r="M134" s="466">
        <v>20659724.343423001</v>
      </c>
      <c r="N134" s="466">
        <v>18525349.907776199</v>
      </c>
      <c r="O134" s="466">
        <v>16802003.570455499</v>
      </c>
      <c r="P134" s="466">
        <v>20480757.6062865</v>
      </c>
      <c r="Q134" s="466"/>
      <c r="R134" s="466"/>
      <c r="S134" s="471">
        <f t="shared" si="2"/>
        <v>18602703.694839399</v>
      </c>
    </row>
    <row r="135" spans="1:19" x14ac:dyDescent="0.2">
      <c r="A135" s="465" t="s">
        <v>433</v>
      </c>
      <c r="B135" s="465" t="s">
        <v>434</v>
      </c>
      <c r="C135" s="465" t="s">
        <v>4303</v>
      </c>
      <c r="D135" s="465" t="s">
        <v>4278</v>
      </c>
      <c r="E135" s="466">
        <v>4320400.5373240504</v>
      </c>
      <c r="F135" s="466">
        <v>6009422.4117094697</v>
      </c>
      <c r="G135" s="466">
        <v>7051274.9865980595</v>
      </c>
      <c r="H135" s="466">
        <v>12260834.8954864</v>
      </c>
      <c r="I135" s="466">
        <v>10042987</v>
      </c>
      <c r="J135" s="466">
        <v>8476654.9581194296</v>
      </c>
      <c r="K135" s="466">
        <v>4357095</v>
      </c>
      <c r="L135" s="466">
        <v>6142580</v>
      </c>
      <c r="M135" s="466">
        <v>6205926</v>
      </c>
      <c r="N135" s="466">
        <v>13208977.6233004</v>
      </c>
      <c r="O135" s="466">
        <v>27409010.752788201</v>
      </c>
      <c r="P135" s="466">
        <v>14314792.9685075</v>
      </c>
      <c r="Q135" s="466">
        <v>15151574.113411499</v>
      </c>
      <c r="R135" s="466">
        <v>14791782.709547</v>
      </c>
      <c r="S135" s="471">
        <f t="shared" si="2"/>
        <v>16975227.633510921</v>
      </c>
    </row>
    <row r="136" spans="1:19" x14ac:dyDescent="0.2">
      <c r="A136" s="465" t="s">
        <v>472</v>
      </c>
      <c r="B136" s="465" t="s">
        <v>473</v>
      </c>
      <c r="C136" s="465" t="s">
        <v>4302</v>
      </c>
      <c r="D136" s="465" t="s">
        <v>4299</v>
      </c>
      <c r="E136" s="466"/>
      <c r="F136" s="466">
        <v>4183.7503137812701</v>
      </c>
      <c r="G136" s="466">
        <v>4193.9271934239196</v>
      </c>
      <c r="H136" s="466">
        <v>15598.1906098893</v>
      </c>
      <c r="I136" s="466">
        <v>3899.5476524723099</v>
      </c>
      <c r="J136" s="466">
        <v>12577.95</v>
      </c>
      <c r="K136" s="466">
        <v>3195.39</v>
      </c>
      <c r="L136" s="466">
        <v>5546</v>
      </c>
      <c r="M136" s="466"/>
      <c r="N136" s="466"/>
      <c r="O136" s="466"/>
      <c r="P136" s="466"/>
      <c r="Q136" s="466">
        <v>6124.38</v>
      </c>
      <c r="R136" s="467">
        <v>5370.67</v>
      </c>
      <c r="S136" s="471">
        <f t="shared" si="2"/>
        <v>5747.5249999999996</v>
      </c>
    </row>
    <row r="137" spans="1:19" x14ac:dyDescent="0.2">
      <c r="A137" s="465" t="s">
        <v>474</v>
      </c>
      <c r="B137" s="465" t="s">
        <v>475</v>
      </c>
      <c r="C137" s="465" t="s">
        <v>4302</v>
      </c>
      <c r="D137" s="465" t="s">
        <v>4300</v>
      </c>
      <c r="E137" s="466">
        <v>10074093.3316002</v>
      </c>
      <c r="F137" s="466">
        <v>26299830</v>
      </c>
      <c r="G137" s="466">
        <v>26299830</v>
      </c>
      <c r="H137" s="466">
        <v>42526299.396365501</v>
      </c>
      <c r="I137" s="466">
        <v>33508098</v>
      </c>
      <c r="J137" s="466">
        <v>32696057</v>
      </c>
      <c r="K137" s="466">
        <v>33872537.514188401</v>
      </c>
      <c r="L137" s="466">
        <v>37500826.268613599</v>
      </c>
      <c r="M137" s="466">
        <v>43487177.804598302</v>
      </c>
      <c r="N137" s="466">
        <v>50736654.602397397</v>
      </c>
      <c r="O137" s="466">
        <v>58757716.666666701</v>
      </c>
      <c r="P137" s="466">
        <v>76957054.633516893</v>
      </c>
      <c r="Q137" s="466"/>
      <c r="R137" s="466"/>
      <c r="S137" s="471">
        <f t="shared" si="2"/>
        <v>62150475.300860323</v>
      </c>
    </row>
    <row r="138" spans="1:19" x14ac:dyDescent="0.2">
      <c r="A138" s="465" t="s">
        <v>289</v>
      </c>
      <c r="B138" s="465" t="s">
        <v>290</v>
      </c>
      <c r="C138" s="465" t="s">
        <v>4295</v>
      </c>
      <c r="D138" s="465" t="s">
        <v>4300</v>
      </c>
      <c r="E138" s="466"/>
      <c r="F138" s="466"/>
      <c r="G138" s="466"/>
      <c r="H138" s="466">
        <v>8578559.1677503306</v>
      </c>
      <c r="I138" s="466">
        <v>9904775.0325097498</v>
      </c>
      <c r="J138" s="466">
        <v>9904775.0325097498</v>
      </c>
      <c r="K138" s="466"/>
      <c r="L138" s="466"/>
      <c r="M138" s="466"/>
      <c r="N138" s="466"/>
      <c r="O138" s="466"/>
      <c r="P138" s="466"/>
      <c r="Q138" s="466"/>
      <c r="R138" s="466"/>
      <c r="S138" s="471" t="str">
        <f t="shared" si="2"/>
        <v/>
      </c>
    </row>
    <row r="139" spans="1:19" x14ac:dyDescent="0.2">
      <c r="A139" s="465" t="s">
        <v>291</v>
      </c>
      <c r="B139" s="465" t="s">
        <v>292</v>
      </c>
      <c r="C139" s="465" t="s">
        <v>4295</v>
      </c>
      <c r="D139" s="465" t="s">
        <v>4297</v>
      </c>
      <c r="E139" s="466">
        <v>10451475.2460956</v>
      </c>
      <c r="F139" s="466">
        <v>22077419.354838699</v>
      </c>
      <c r="G139" s="466">
        <v>28595855.5845927</v>
      </c>
      <c r="H139" s="466">
        <v>42076301.25</v>
      </c>
      <c r="I139" s="466">
        <v>38726239.710564896</v>
      </c>
      <c r="J139" s="466">
        <v>41252317</v>
      </c>
      <c r="K139" s="466">
        <v>49090208</v>
      </c>
      <c r="L139" s="466">
        <v>179028600</v>
      </c>
      <c r="M139" s="466">
        <v>83682518.153195202</v>
      </c>
      <c r="N139" s="466">
        <v>62179036.005419903</v>
      </c>
      <c r="O139" s="466">
        <v>118795007.893693</v>
      </c>
      <c r="P139" s="466">
        <v>140305466.51345399</v>
      </c>
      <c r="Q139" s="466">
        <v>170038772.05910701</v>
      </c>
      <c r="R139" s="466">
        <v>106407615.435665</v>
      </c>
      <c r="S139" s="471">
        <f t="shared" si="2"/>
        <v>119545179.58146778</v>
      </c>
    </row>
    <row r="140" spans="1:19" x14ac:dyDescent="0.2">
      <c r="A140" s="465" t="s">
        <v>243</v>
      </c>
      <c r="B140" s="465" t="s">
        <v>244</v>
      </c>
      <c r="C140" s="465" t="s">
        <v>4301</v>
      </c>
      <c r="D140" s="465" t="s">
        <v>4300</v>
      </c>
      <c r="E140" s="466">
        <v>8675605.5</v>
      </c>
      <c r="F140" s="466">
        <v>10837802.75</v>
      </c>
      <c r="G140" s="466">
        <v>13000000</v>
      </c>
      <c r="H140" s="466">
        <v>14808838</v>
      </c>
      <c r="I140" s="466">
        <v>17126920</v>
      </c>
      <c r="J140" s="466">
        <v>26165359</v>
      </c>
      <c r="K140" s="466">
        <v>17133140</v>
      </c>
      <c r="L140" s="466">
        <v>23996790</v>
      </c>
      <c r="M140" s="466">
        <v>24122318</v>
      </c>
      <c r="N140" s="466">
        <v>25136000</v>
      </c>
      <c r="O140" s="466">
        <v>46511459</v>
      </c>
      <c r="P140" s="466">
        <v>35818729.5</v>
      </c>
      <c r="Q140" s="466"/>
      <c r="R140" s="466"/>
      <c r="S140" s="471">
        <f t="shared" si="2"/>
        <v>35822062.833333336</v>
      </c>
    </row>
    <row r="141" spans="1:19" x14ac:dyDescent="0.2">
      <c r="A141" s="465" t="s">
        <v>245</v>
      </c>
      <c r="B141" s="465" t="s">
        <v>246</v>
      </c>
      <c r="C141" s="465" t="s">
        <v>4301</v>
      </c>
      <c r="D141" s="465" t="s">
        <v>4299</v>
      </c>
      <c r="E141" s="466">
        <v>24694173.475361399</v>
      </c>
      <c r="F141" s="466">
        <v>30490109.8785166</v>
      </c>
      <c r="G141" s="466">
        <v>21006256.489999998</v>
      </c>
      <c r="H141" s="466">
        <v>115367385.67</v>
      </c>
      <c r="I141" s="466">
        <v>103812805.28608701</v>
      </c>
      <c r="J141" s="466">
        <v>61974891.470054403</v>
      </c>
      <c r="K141" s="466">
        <v>86318470.412946403</v>
      </c>
      <c r="L141" s="466">
        <v>59908061</v>
      </c>
      <c r="M141" s="466">
        <v>54487656.6632597</v>
      </c>
      <c r="N141" s="466">
        <v>86710344</v>
      </c>
      <c r="O141" s="466">
        <v>84628854.601403996</v>
      </c>
      <c r="P141" s="466">
        <v>147393128.77542299</v>
      </c>
      <c r="Q141" s="466">
        <v>156111615.79774299</v>
      </c>
      <c r="R141" s="466"/>
      <c r="S141" s="471">
        <f t="shared" si="2"/>
        <v>118710985.79364249</v>
      </c>
    </row>
    <row r="142" spans="1:19" x14ac:dyDescent="0.2">
      <c r="A142" s="465" t="s">
        <v>476</v>
      </c>
      <c r="B142" s="465" t="s">
        <v>477</v>
      </c>
      <c r="C142" s="465" t="s">
        <v>4302</v>
      </c>
      <c r="D142" s="465" t="s">
        <v>4297</v>
      </c>
      <c r="E142" s="466">
        <v>6270000</v>
      </c>
      <c r="F142" s="466">
        <v>8039281.9686056301</v>
      </c>
      <c r="G142" s="466">
        <v>10897203.0512169</v>
      </c>
      <c r="H142" s="466">
        <v>32050419</v>
      </c>
      <c r="I142" s="466">
        <v>31035476</v>
      </c>
      <c r="J142" s="466">
        <v>38014233.282840103</v>
      </c>
      <c r="K142" s="466">
        <v>54465199.105823502</v>
      </c>
      <c r="L142" s="466">
        <v>36030825</v>
      </c>
      <c r="M142" s="466">
        <v>40544924</v>
      </c>
      <c r="N142" s="466">
        <v>67969031.843679696</v>
      </c>
      <c r="O142" s="466">
        <v>82118272.421051994</v>
      </c>
      <c r="P142" s="466">
        <v>77375241.667899594</v>
      </c>
      <c r="Q142" s="466">
        <v>140520301.23424301</v>
      </c>
      <c r="R142" s="466"/>
      <c r="S142" s="471">
        <f t="shared" si="2"/>
        <v>91995711.791718572</v>
      </c>
    </row>
    <row r="143" spans="1:19" x14ac:dyDescent="0.2">
      <c r="A143" s="465" t="s">
        <v>478</v>
      </c>
      <c r="B143" s="465" t="s">
        <v>479</v>
      </c>
      <c r="C143" s="465" t="s">
        <v>4302</v>
      </c>
      <c r="D143" s="465" t="s">
        <v>4300</v>
      </c>
      <c r="E143" s="466">
        <v>81000</v>
      </c>
      <c r="F143" s="466"/>
      <c r="G143" s="466"/>
      <c r="H143" s="466"/>
      <c r="I143" s="466">
        <v>217844</v>
      </c>
      <c r="J143" s="466">
        <v>233922</v>
      </c>
      <c r="K143" s="466">
        <v>250000</v>
      </c>
      <c r="L143" s="466">
        <v>250000</v>
      </c>
      <c r="M143" s="466">
        <v>267500</v>
      </c>
      <c r="N143" s="466">
        <v>285000</v>
      </c>
      <c r="O143" s="466"/>
      <c r="P143" s="466">
        <v>285000</v>
      </c>
      <c r="Q143" s="466">
        <v>335000</v>
      </c>
      <c r="R143" s="466">
        <v>340000</v>
      </c>
      <c r="S143" s="471">
        <f t="shared" si="2"/>
        <v>311250</v>
      </c>
    </row>
    <row r="144" spans="1:19" x14ac:dyDescent="0.2">
      <c r="A144" s="465" t="s">
        <v>480</v>
      </c>
      <c r="B144" s="465" t="s">
        <v>481</v>
      </c>
      <c r="C144" s="465" t="s">
        <v>4302</v>
      </c>
      <c r="D144" s="465" t="s">
        <v>4297</v>
      </c>
      <c r="E144" s="466">
        <v>1700000</v>
      </c>
      <c r="F144" s="466">
        <v>1538461</v>
      </c>
      <c r="G144" s="466">
        <v>1538461</v>
      </c>
      <c r="H144" s="466">
        <v>5901639</v>
      </c>
      <c r="I144" s="466">
        <v>1342341.5671002399</v>
      </c>
      <c r="J144" s="466">
        <v>2128075.4290438099</v>
      </c>
      <c r="K144" s="466">
        <v>2878449.3556979299</v>
      </c>
      <c r="L144" s="466">
        <v>2693907.8017028202</v>
      </c>
      <c r="M144" s="466">
        <v>3178475.0830834699</v>
      </c>
      <c r="N144" s="466">
        <v>972311.54344912805</v>
      </c>
      <c r="O144" s="466">
        <v>2552461.9804975102</v>
      </c>
      <c r="P144" s="466">
        <v>1626131.3193346499</v>
      </c>
      <c r="Q144" s="466"/>
      <c r="R144" s="466">
        <v>3807000</v>
      </c>
      <c r="S144" s="471">
        <f t="shared" si="2"/>
        <v>2239476.2108203219</v>
      </c>
    </row>
    <row r="145" spans="1:19" x14ac:dyDescent="0.2">
      <c r="A145" s="465" t="s">
        <v>389</v>
      </c>
      <c r="B145" s="465" t="s">
        <v>390</v>
      </c>
      <c r="C145" s="465" t="s">
        <v>4298</v>
      </c>
      <c r="D145" s="465" t="s">
        <v>4300</v>
      </c>
      <c r="E145" s="466"/>
      <c r="F145" s="466"/>
      <c r="G145" s="466"/>
      <c r="H145" s="466"/>
      <c r="I145" s="466">
        <v>27833352.568567</v>
      </c>
      <c r="J145" s="466">
        <v>29976693.320759598</v>
      </c>
      <c r="K145" s="466">
        <v>32120034.0729522</v>
      </c>
      <c r="L145" s="466"/>
      <c r="M145" s="466"/>
      <c r="N145" s="466"/>
      <c r="O145" s="466">
        <v>79829190.874129593</v>
      </c>
      <c r="P145" s="466"/>
      <c r="Q145" s="466"/>
      <c r="R145" s="466"/>
      <c r="S145" s="471">
        <f t="shared" si="2"/>
        <v>79829190.874129593</v>
      </c>
    </row>
    <row r="146" spans="1:19" x14ac:dyDescent="0.2">
      <c r="A146" s="465" t="s">
        <v>435</v>
      </c>
      <c r="B146" s="465" t="s">
        <v>4310</v>
      </c>
      <c r="C146" s="465" t="s">
        <v>4303</v>
      </c>
      <c r="D146" s="465" t="s">
        <v>4278</v>
      </c>
      <c r="E146" s="466"/>
      <c r="F146" s="466"/>
      <c r="G146" s="466"/>
      <c r="H146" s="466">
        <v>2105263</v>
      </c>
      <c r="I146" s="466">
        <v>1800000</v>
      </c>
      <c r="J146" s="466">
        <v>4038394</v>
      </c>
      <c r="K146" s="466">
        <v>6276787</v>
      </c>
      <c r="L146" s="466">
        <v>3500000</v>
      </c>
      <c r="M146" s="466">
        <v>3500000</v>
      </c>
      <c r="N146" s="466">
        <v>3324169</v>
      </c>
      <c r="O146" s="466">
        <v>1283289</v>
      </c>
      <c r="P146" s="466">
        <v>1787893.78</v>
      </c>
      <c r="Q146" s="466">
        <v>2100702</v>
      </c>
      <c r="R146" s="466">
        <v>2723536</v>
      </c>
      <c r="S146" s="471">
        <f t="shared" si="2"/>
        <v>2243917.9560000002</v>
      </c>
    </row>
    <row r="147" spans="1:19" x14ac:dyDescent="0.2">
      <c r="A147" s="465" t="s">
        <v>391</v>
      </c>
      <c r="B147" s="465" t="s">
        <v>392</v>
      </c>
      <c r="C147" s="465" t="s">
        <v>4298</v>
      </c>
      <c r="D147" s="465" t="s">
        <v>4300</v>
      </c>
      <c r="E147" s="466">
        <v>27624309.392265201</v>
      </c>
      <c r="F147" s="466">
        <v>42489035.087719299</v>
      </c>
      <c r="G147" s="466">
        <v>88235294.117647097</v>
      </c>
      <c r="H147" s="466">
        <v>66474229.911523499</v>
      </c>
      <c r="I147" s="466">
        <v>44713165.705399901</v>
      </c>
      <c r="J147" s="466">
        <v>41375567.122220099</v>
      </c>
      <c r="K147" s="466">
        <v>27646860.689648099</v>
      </c>
      <c r="L147" s="466">
        <v>35480342.234511897</v>
      </c>
      <c r="M147" s="466">
        <v>23814965.1710089</v>
      </c>
      <c r="N147" s="466">
        <v>35508014.269783199</v>
      </c>
      <c r="O147" s="466">
        <v>33997828.855855703</v>
      </c>
      <c r="P147" s="466">
        <v>45484792.9918079</v>
      </c>
      <c r="Q147" s="466"/>
      <c r="R147" s="466"/>
      <c r="S147" s="471">
        <f t="shared" si="2"/>
        <v>38330212.039148934</v>
      </c>
    </row>
    <row r="148" spans="1:19" x14ac:dyDescent="0.2">
      <c r="A148" s="465" t="s">
        <v>247</v>
      </c>
      <c r="B148" s="465" t="s">
        <v>248</v>
      </c>
      <c r="C148" s="465" t="s">
        <v>4301</v>
      </c>
      <c r="D148" s="465" t="s">
        <v>4299</v>
      </c>
      <c r="E148" s="466">
        <v>8074152</v>
      </c>
      <c r="F148" s="466">
        <v>9798728.1600000001</v>
      </c>
      <c r="G148" s="466">
        <v>8022367.5300000003</v>
      </c>
      <c r="H148" s="466">
        <v>6246006.9000000004</v>
      </c>
      <c r="I148" s="466">
        <v>6246007</v>
      </c>
      <c r="J148" s="466">
        <v>12334295</v>
      </c>
      <c r="K148" s="466">
        <v>30231454</v>
      </c>
      <c r="L148" s="466">
        <v>22168219</v>
      </c>
      <c r="M148" s="466">
        <v>14104984</v>
      </c>
      <c r="N148" s="466">
        <v>13310224</v>
      </c>
      <c r="O148" s="466">
        <v>22240168</v>
      </c>
      <c r="P148" s="466">
        <v>29697227</v>
      </c>
      <c r="Q148" s="466">
        <v>22990933.570647199</v>
      </c>
      <c r="R148" s="466">
        <v>14897319.504124001</v>
      </c>
      <c r="S148" s="471">
        <f t="shared" si="2"/>
        <v>20627174.414954238</v>
      </c>
    </row>
    <row r="149" spans="1:19" x14ac:dyDescent="0.2">
      <c r="A149" s="469" t="s">
        <v>293</v>
      </c>
      <c r="B149" s="469" t="s">
        <v>530</v>
      </c>
      <c r="C149" s="469" t="s">
        <v>4295</v>
      </c>
      <c r="D149" s="469"/>
      <c r="E149" s="467"/>
      <c r="F149" s="467"/>
      <c r="G149" s="467"/>
      <c r="H149" s="467"/>
      <c r="I149" s="467"/>
      <c r="J149" s="467"/>
      <c r="K149" s="467"/>
      <c r="L149" s="467"/>
      <c r="M149" s="467"/>
      <c r="N149" s="467"/>
      <c r="O149" s="467"/>
      <c r="P149" s="467"/>
      <c r="Q149" s="467"/>
      <c r="R149" s="467">
        <v>8940004</v>
      </c>
      <c r="S149" s="471">
        <f t="shared" si="2"/>
        <v>8940004</v>
      </c>
    </row>
    <row r="150" spans="1:19" x14ac:dyDescent="0.2">
      <c r="A150" s="465" t="s">
        <v>295</v>
      </c>
      <c r="B150" s="465" t="s">
        <v>296</v>
      </c>
      <c r="C150" s="465" t="s">
        <v>4295</v>
      </c>
      <c r="D150" s="465" t="s">
        <v>4300</v>
      </c>
      <c r="E150" s="466"/>
      <c r="F150" s="466"/>
      <c r="G150" s="466"/>
      <c r="H150" s="466"/>
      <c r="I150" s="466">
        <v>17857142.857142899</v>
      </c>
      <c r="J150" s="466"/>
      <c r="K150" s="466">
        <v>4727373.1318681296</v>
      </c>
      <c r="L150" s="466">
        <v>6593406.5934065897</v>
      </c>
      <c r="M150" s="466">
        <v>7206758.5164835202</v>
      </c>
      <c r="N150" s="466">
        <v>1040692.30769231</v>
      </c>
      <c r="O150" s="466">
        <v>686813.18681318697</v>
      </c>
      <c r="P150" s="466"/>
      <c r="Q150" s="466"/>
      <c r="R150" s="466"/>
      <c r="S150" s="471">
        <f t="shared" si="2"/>
        <v>863752.74725274846</v>
      </c>
    </row>
    <row r="151" spans="1:19" x14ac:dyDescent="0.2">
      <c r="A151" s="465" t="s">
        <v>393</v>
      </c>
      <c r="B151" s="465" t="s">
        <v>394</v>
      </c>
      <c r="C151" s="465" t="s">
        <v>4298</v>
      </c>
      <c r="D151" s="465" t="s">
        <v>4299</v>
      </c>
      <c r="E151" s="466"/>
      <c r="F151" s="466">
        <v>7792314.3173522502</v>
      </c>
      <c r="G151" s="466">
        <v>8733971.1778951101</v>
      </c>
      <c r="H151" s="466">
        <v>13117764.7328895</v>
      </c>
      <c r="I151" s="466">
        <v>22656471.254602101</v>
      </c>
      <c r="J151" s="466">
        <v>22961299.058455501</v>
      </c>
      <c r="K151" s="466">
        <v>21625050.4584511</v>
      </c>
      <c r="L151" s="466">
        <v>14122948.378820701</v>
      </c>
      <c r="M151" s="466">
        <v>14120821</v>
      </c>
      <c r="N151" s="466">
        <v>15437324</v>
      </c>
      <c r="O151" s="466">
        <v>15047623</v>
      </c>
      <c r="P151" s="466">
        <v>24880746</v>
      </c>
      <c r="Q151" s="466"/>
      <c r="R151" s="466"/>
      <c r="S151" s="471">
        <f t="shared" si="2"/>
        <v>18455231</v>
      </c>
    </row>
    <row r="152" spans="1:19" x14ac:dyDescent="0.2">
      <c r="A152" s="465" t="s">
        <v>395</v>
      </c>
      <c r="B152" s="465" t="s">
        <v>4311</v>
      </c>
      <c r="C152" s="465" t="s">
        <v>4298</v>
      </c>
      <c r="D152" s="465" t="s">
        <v>4299</v>
      </c>
      <c r="E152" s="467"/>
      <c r="F152" s="467"/>
      <c r="G152" s="467"/>
      <c r="H152" s="467"/>
      <c r="I152" s="467"/>
      <c r="J152" s="467"/>
      <c r="K152" s="467"/>
      <c r="L152" s="467"/>
      <c r="M152" s="467"/>
      <c r="N152" s="467"/>
      <c r="O152" s="467"/>
      <c r="P152" s="467"/>
      <c r="Q152" s="467"/>
      <c r="R152" s="467"/>
      <c r="S152" s="471" t="str">
        <f t="shared" si="2"/>
        <v/>
      </c>
    </row>
    <row r="153" spans="1:19" x14ac:dyDescent="0.2">
      <c r="A153" s="465" t="s">
        <v>161</v>
      </c>
      <c r="B153" s="465" t="s">
        <v>162</v>
      </c>
      <c r="C153" s="465" t="s">
        <v>4296</v>
      </c>
      <c r="D153" s="465" t="s">
        <v>4278</v>
      </c>
      <c r="E153" s="467">
        <v>5204460.4316546796</v>
      </c>
      <c r="F153" s="467">
        <v>4730830.50847458</v>
      </c>
      <c r="G153" s="467">
        <v>5800080</v>
      </c>
      <c r="H153" s="467">
        <v>5808058.4523002598</v>
      </c>
      <c r="I153" s="467">
        <v>5565730.7799921501</v>
      </c>
      <c r="J153" s="467">
        <v>11868568</v>
      </c>
      <c r="K153" s="467">
        <v>18701836</v>
      </c>
      <c r="L153" s="467">
        <v>13881742.6510606</v>
      </c>
      <c r="M153" s="467">
        <v>20052015</v>
      </c>
      <c r="N153" s="467">
        <v>12725186</v>
      </c>
      <c r="O153" s="467">
        <v>12685233</v>
      </c>
      <c r="P153" s="467">
        <v>9929355</v>
      </c>
      <c r="Q153" s="467">
        <v>8360797</v>
      </c>
      <c r="R153" s="467">
        <v>9227054</v>
      </c>
      <c r="S153" s="471">
        <f t="shared" si="2"/>
        <v>10585525</v>
      </c>
    </row>
    <row r="154" spans="1:19" x14ac:dyDescent="0.2">
      <c r="A154" s="465" t="s">
        <v>297</v>
      </c>
      <c r="B154" s="465" t="s">
        <v>298</v>
      </c>
      <c r="C154" s="465" t="s">
        <v>4295</v>
      </c>
      <c r="D154" s="465" t="s">
        <v>4300</v>
      </c>
      <c r="E154" s="466"/>
      <c r="F154" s="466"/>
      <c r="G154" s="466"/>
      <c r="H154" s="466"/>
      <c r="I154" s="466"/>
      <c r="J154" s="466"/>
      <c r="K154" s="466">
        <v>213333333.33333299</v>
      </c>
      <c r="L154" s="466"/>
      <c r="M154" s="466"/>
      <c r="N154" s="466"/>
      <c r="O154" s="466"/>
      <c r="P154" s="466"/>
      <c r="Q154" s="466"/>
      <c r="R154" s="466">
        <v>306666666.66666669</v>
      </c>
      <c r="S154" s="471">
        <f t="shared" si="2"/>
        <v>306666666.66666669</v>
      </c>
    </row>
    <row r="155" spans="1:19" x14ac:dyDescent="0.2">
      <c r="A155" s="465" t="s">
        <v>299</v>
      </c>
      <c r="B155" s="465" t="s">
        <v>300</v>
      </c>
      <c r="C155" s="465" t="s">
        <v>4295</v>
      </c>
      <c r="D155" s="465" t="s">
        <v>4297</v>
      </c>
      <c r="E155" s="466"/>
      <c r="F155" s="466"/>
      <c r="G155" s="466"/>
      <c r="H155" s="466">
        <v>14433898</v>
      </c>
      <c r="I155" s="466">
        <v>16166059.8438855</v>
      </c>
      <c r="J155" s="466">
        <v>36662904</v>
      </c>
      <c r="K155" s="466">
        <v>27453192</v>
      </c>
      <c r="L155" s="466">
        <v>48706699</v>
      </c>
      <c r="M155" s="466">
        <v>39637403</v>
      </c>
      <c r="N155" s="466">
        <v>40544280</v>
      </c>
      <c r="O155" s="466">
        <v>36849368</v>
      </c>
      <c r="P155" s="466">
        <v>29171500</v>
      </c>
      <c r="Q155" s="466">
        <v>30661573</v>
      </c>
      <c r="R155" s="466">
        <v>42770040</v>
      </c>
      <c r="S155" s="471">
        <f t="shared" si="2"/>
        <v>35999352.200000003</v>
      </c>
    </row>
    <row r="156" spans="1:19" x14ac:dyDescent="0.2">
      <c r="A156" s="465" t="s">
        <v>163</v>
      </c>
      <c r="B156" s="465" t="s">
        <v>164</v>
      </c>
      <c r="C156" s="465" t="s">
        <v>4296</v>
      </c>
      <c r="D156" s="465" t="s">
        <v>4297</v>
      </c>
      <c r="E156" s="466">
        <v>4362230.9374987297</v>
      </c>
      <c r="F156" s="466">
        <v>5000970.2764860503</v>
      </c>
      <c r="G156" s="466">
        <v>1547414.6978545401</v>
      </c>
      <c r="H156" s="466">
        <v>8548651.4708048701</v>
      </c>
      <c r="I156" s="466">
        <v>1817166.1617970001</v>
      </c>
      <c r="J156" s="466">
        <v>5663792.73406062</v>
      </c>
      <c r="K156" s="466">
        <v>3808483</v>
      </c>
      <c r="L156" s="466">
        <v>7547336</v>
      </c>
      <c r="M156" s="466">
        <v>26905649.4705864</v>
      </c>
      <c r="N156" s="466">
        <v>13804500</v>
      </c>
      <c r="O156" s="466">
        <v>14222354.9496057</v>
      </c>
      <c r="P156" s="466">
        <v>6433995.3484141203</v>
      </c>
      <c r="Q156" s="466">
        <v>10090334</v>
      </c>
      <c r="R156" s="466">
        <v>16916696.25</v>
      </c>
      <c r="S156" s="471">
        <f t="shared" si="2"/>
        <v>12293576.109603964</v>
      </c>
    </row>
    <row r="157" spans="1:19" x14ac:dyDescent="0.2">
      <c r="A157" s="465" t="s">
        <v>482</v>
      </c>
      <c r="B157" s="465" t="s">
        <v>483</v>
      </c>
      <c r="C157" s="465" t="s">
        <v>4302</v>
      </c>
      <c r="D157" s="465" t="s">
        <v>4300</v>
      </c>
      <c r="E157" s="466">
        <v>1195795.8335955699</v>
      </c>
      <c r="F157" s="466">
        <v>1481408</v>
      </c>
      <c r="G157" s="466">
        <v>1767034.2097823001</v>
      </c>
      <c r="H157" s="466">
        <v>1540048.12650395</v>
      </c>
      <c r="I157" s="466"/>
      <c r="J157" s="466"/>
      <c r="K157" s="466"/>
      <c r="L157" s="466"/>
      <c r="M157" s="466"/>
      <c r="N157" s="466"/>
      <c r="O157" s="466"/>
      <c r="P157" s="466"/>
      <c r="Q157" s="466"/>
      <c r="R157" s="466"/>
      <c r="S157" s="471" t="str">
        <f t="shared" si="2"/>
        <v/>
      </c>
    </row>
    <row r="158" spans="1:19" x14ac:dyDescent="0.2">
      <c r="A158" s="465" t="s">
        <v>484</v>
      </c>
      <c r="B158" s="465" t="s">
        <v>485</v>
      </c>
      <c r="C158" s="465" t="s">
        <v>4302</v>
      </c>
      <c r="D158" s="465" t="s">
        <v>4297</v>
      </c>
      <c r="E158" s="466"/>
      <c r="F158" s="466"/>
      <c r="G158" s="466">
        <v>356568</v>
      </c>
      <c r="H158" s="466">
        <v>567925</v>
      </c>
      <c r="I158" s="466">
        <v>773635</v>
      </c>
      <c r="J158" s="466">
        <v>317019.8</v>
      </c>
      <c r="K158" s="466">
        <v>361378.61</v>
      </c>
      <c r="L158" s="466">
        <v>271508</v>
      </c>
      <c r="M158" s="466">
        <v>281171.5</v>
      </c>
      <c r="N158" s="466">
        <v>648173</v>
      </c>
      <c r="O158" s="466">
        <v>601073</v>
      </c>
      <c r="P158" s="466">
        <v>378690</v>
      </c>
      <c r="Q158" s="466"/>
      <c r="R158" s="466">
        <v>421837.85</v>
      </c>
      <c r="S158" s="471">
        <f t="shared" si="2"/>
        <v>512443.46250000002</v>
      </c>
    </row>
    <row r="159" spans="1:19" x14ac:dyDescent="0.2">
      <c r="A159" s="465" t="s">
        <v>165</v>
      </c>
      <c r="B159" s="465" t="s">
        <v>166</v>
      </c>
      <c r="C159" s="465" t="s">
        <v>4296</v>
      </c>
      <c r="D159" s="465" t="s">
        <v>4278</v>
      </c>
      <c r="E159" s="466"/>
      <c r="F159" s="466"/>
      <c r="G159" s="466"/>
      <c r="H159" s="466"/>
      <c r="I159" s="466"/>
      <c r="J159" s="466">
        <v>3610500</v>
      </c>
      <c r="K159" s="466">
        <v>7190403.8399999999</v>
      </c>
      <c r="L159" s="466">
        <v>4985272</v>
      </c>
      <c r="M159" s="466">
        <v>5070999</v>
      </c>
      <c r="N159" s="466">
        <v>5163865</v>
      </c>
      <c r="O159" s="466">
        <v>6288812</v>
      </c>
      <c r="P159" s="466">
        <v>4513746</v>
      </c>
      <c r="Q159" s="466">
        <v>8055275.29</v>
      </c>
      <c r="R159" s="466">
        <v>4660722</v>
      </c>
      <c r="S159" s="471">
        <f t="shared" si="2"/>
        <v>5736484.0580000002</v>
      </c>
    </row>
    <row r="160" spans="1:19" x14ac:dyDescent="0.2">
      <c r="A160" s="465" t="s">
        <v>249</v>
      </c>
      <c r="B160" s="465" t="s">
        <v>250</v>
      </c>
      <c r="C160" s="465" t="s">
        <v>4301</v>
      </c>
      <c r="D160" s="465" t="s">
        <v>4297</v>
      </c>
      <c r="E160" s="466">
        <v>7249219.1399999997</v>
      </c>
      <c r="F160" s="466">
        <v>6309618.1699999999</v>
      </c>
      <c r="G160" s="466">
        <v>4919046.95</v>
      </c>
      <c r="H160" s="466">
        <v>6819666.0099999998</v>
      </c>
      <c r="I160" s="466">
        <v>12269249</v>
      </c>
      <c r="J160" s="466">
        <v>14987726</v>
      </c>
      <c r="K160" s="466">
        <v>9951285</v>
      </c>
      <c r="L160" s="466">
        <v>11023085</v>
      </c>
      <c r="M160" s="466">
        <v>9820720</v>
      </c>
      <c r="N160" s="466">
        <v>14636279</v>
      </c>
      <c r="O160" s="466">
        <v>9516309</v>
      </c>
      <c r="P160" s="466">
        <v>8898481</v>
      </c>
      <c r="Q160" s="466"/>
      <c r="R160" s="466">
        <v>14948095.91</v>
      </c>
      <c r="S160" s="471">
        <f t="shared" si="2"/>
        <v>11999791.227499999</v>
      </c>
    </row>
    <row r="161" spans="1:19" x14ac:dyDescent="0.2">
      <c r="A161" s="465" t="s">
        <v>397</v>
      </c>
      <c r="B161" s="465" t="s">
        <v>398</v>
      </c>
      <c r="C161" s="465" t="s">
        <v>4298</v>
      </c>
      <c r="D161" s="465" t="s">
        <v>4300</v>
      </c>
      <c r="E161" s="466"/>
      <c r="F161" s="466"/>
      <c r="G161" s="466"/>
      <c r="H161" s="466"/>
      <c r="I161" s="466"/>
      <c r="J161" s="466"/>
      <c r="K161" s="466"/>
      <c r="L161" s="466"/>
      <c r="M161" s="466"/>
      <c r="N161" s="466"/>
      <c r="O161" s="466"/>
      <c r="P161" s="466">
        <v>242388.57910408001</v>
      </c>
      <c r="Q161" s="466">
        <v>217108.87</v>
      </c>
      <c r="R161" s="466"/>
      <c r="S161" s="471">
        <f t="shared" si="2"/>
        <v>229748.72455203999</v>
      </c>
    </row>
    <row r="162" spans="1:19" x14ac:dyDescent="0.2">
      <c r="A162" s="465" t="s">
        <v>301</v>
      </c>
      <c r="B162" s="465" t="s">
        <v>302</v>
      </c>
      <c r="C162" s="465" t="s">
        <v>4295</v>
      </c>
      <c r="D162" s="465" t="s">
        <v>4278</v>
      </c>
      <c r="E162" s="466"/>
      <c r="F162" s="466"/>
      <c r="G162" s="466"/>
      <c r="H162" s="466"/>
      <c r="I162" s="466"/>
      <c r="J162" s="466">
        <v>787606</v>
      </c>
      <c r="K162" s="466">
        <v>609726</v>
      </c>
      <c r="L162" s="466"/>
      <c r="M162" s="466"/>
      <c r="N162" s="466"/>
      <c r="O162" s="466">
        <v>3003190</v>
      </c>
      <c r="P162" s="466">
        <v>2500726</v>
      </c>
      <c r="Q162" s="466"/>
      <c r="R162" s="466">
        <v>3178201.4</v>
      </c>
      <c r="S162" s="471">
        <f t="shared" si="2"/>
        <v>2894039.1333333333</v>
      </c>
    </row>
    <row r="163" spans="1:19" x14ac:dyDescent="0.2">
      <c r="A163" s="465" t="s">
        <v>399</v>
      </c>
      <c r="B163" s="465" t="s">
        <v>400</v>
      </c>
      <c r="C163" s="465" t="s">
        <v>4298</v>
      </c>
      <c r="D163" s="465" t="s">
        <v>4299</v>
      </c>
      <c r="E163" s="466"/>
      <c r="F163" s="466"/>
      <c r="G163" s="466"/>
      <c r="H163" s="466"/>
      <c r="I163" s="466"/>
      <c r="J163" s="466"/>
      <c r="K163" s="466"/>
      <c r="L163" s="466"/>
      <c r="M163" s="466"/>
      <c r="N163" s="466"/>
      <c r="O163" s="466"/>
      <c r="P163" s="466"/>
      <c r="Q163" s="466"/>
      <c r="R163" s="466"/>
      <c r="S163" s="471" t="str">
        <f t="shared" si="2"/>
        <v/>
      </c>
    </row>
    <row r="164" spans="1:19" x14ac:dyDescent="0.2">
      <c r="A164" s="465" t="s">
        <v>167</v>
      </c>
      <c r="B164" s="465" t="s">
        <v>168</v>
      </c>
      <c r="C164" s="465" t="s">
        <v>4296</v>
      </c>
      <c r="D164" s="465" t="s">
        <v>4278</v>
      </c>
      <c r="E164" s="466"/>
      <c r="F164" s="466"/>
      <c r="G164" s="466"/>
      <c r="H164" s="466"/>
      <c r="I164" s="466">
        <v>2933250</v>
      </c>
      <c r="J164" s="466">
        <v>1252594</v>
      </c>
      <c r="K164" s="466">
        <v>1345670</v>
      </c>
      <c r="L164" s="466">
        <v>1943003</v>
      </c>
      <c r="M164" s="466">
        <v>581995</v>
      </c>
      <c r="N164" s="466">
        <v>5391424</v>
      </c>
      <c r="O164" s="466">
        <v>3250000</v>
      </c>
      <c r="P164" s="466">
        <v>2657903</v>
      </c>
      <c r="Q164" s="466">
        <v>2759906</v>
      </c>
      <c r="R164" s="466">
        <v>3012795.75</v>
      </c>
      <c r="S164" s="471">
        <f t="shared" si="2"/>
        <v>3414405.75</v>
      </c>
    </row>
    <row r="165" spans="1:19" x14ac:dyDescent="0.2">
      <c r="A165" s="465" t="s">
        <v>169</v>
      </c>
      <c r="B165" s="465" t="s">
        <v>170</v>
      </c>
      <c r="C165" s="465" t="s">
        <v>4296</v>
      </c>
      <c r="D165" s="465" t="s">
        <v>4297</v>
      </c>
      <c r="E165" s="466"/>
      <c r="F165" s="466">
        <v>35114</v>
      </c>
      <c r="G165" s="466">
        <v>38168.608695652198</v>
      </c>
      <c r="H165" s="466">
        <v>72000</v>
      </c>
      <c r="I165" s="466">
        <v>72225</v>
      </c>
      <c r="J165" s="466">
        <v>70162</v>
      </c>
      <c r="K165" s="466">
        <v>214962</v>
      </c>
      <c r="L165" s="466">
        <v>187481</v>
      </c>
      <c r="M165" s="466">
        <v>186823</v>
      </c>
      <c r="N165" s="466">
        <v>141228</v>
      </c>
      <c r="O165" s="466">
        <v>235746</v>
      </c>
      <c r="P165" s="466">
        <v>166645</v>
      </c>
      <c r="Q165" s="466">
        <v>204410.94</v>
      </c>
      <c r="R165" s="466">
        <v>168340.01</v>
      </c>
      <c r="S165" s="471">
        <f t="shared" si="2"/>
        <v>183273.99</v>
      </c>
    </row>
    <row r="166" spans="1:19" x14ac:dyDescent="0.2">
      <c r="A166" s="465" t="s">
        <v>251</v>
      </c>
      <c r="B166" s="465" t="s">
        <v>252</v>
      </c>
      <c r="C166" s="465" t="s">
        <v>4301</v>
      </c>
      <c r="D166" s="465" t="s">
        <v>4299</v>
      </c>
      <c r="E166" s="466">
        <v>83797.874431301199</v>
      </c>
      <c r="F166" s="466">
        <v>181818.181818182</v>
      </c>
      <c r="G166" s="466">
        <v>338564.545454545</v>
      </c>
      <c r="H166" s="466">
        <v>615000</v>
      </c>
      <c r="I166" s="466">
        <v>600000</v>
      </c>
      <c r="J166" s="466">
        <v>600000</v>
      </c>
      <c r="K166" s="466">
        <v>254545.454545455</v>
      </c>
      <c r="L166" s="466">
        <v>1214006</v>
      </c>
      <c r="M166" s="466">
        <v>302192</v>
      </c>
      <c r="N166" s="466">
        <v>232250</v>
      </c>
      <c r="O166" s="466">
        <v>231563</v>
      </c>
      <c r="P166" s="466">
        <v>296917</v>
      </c>
      <c r="Q166" s="466"/>
      <c r="R166" s="466"/>
      <c r="S166" s="471">
        <f t="shared" si="2"/>
        <v>253576.66666666666</v>
      </c>
    </row>
    <row r="167" spans="1:19" x14ac:dyDescent="0.2">
      <c r="A167" s="465" t="s">
        <v>401</v>
      </c>
      <c r="B167" s="465" t="s">
        <v>402</v>
      </c>
      <c r="C167" s="465" t="s">
        <v>4298</v>
      </c>
      <c r="D167" s="465" t="s">
        <v>4300</v>
      </c>
      <c r="E167" s="466"/>
      <c r="F167" s="466"/>
      <c r="G167" s="466"/>
      <c r="H167" s="466">
        <v>22262218.197018299</v>
      </c>
      <c r="I167" s="466">
        <v>26372972.3203316</v>
      </c>
      <c r="J167" s="466">
        <v>20658632.783143599</v>
      </c>
      <c r="K167" s="466">
        <v>19137932.364417098</v>
      </c>
      <c r="L167" s="466">
        <v>19359969.61217</v>
      </c>
      <c r="M167" s="466">
        <v>22504369.896416798</v>
      </c>
      <c r="N167" s="466">
        <v>18522954.266787201</v>
      </c>
      <c r="O167" s="466">
        <v>20085177.016856801</v>
      </c>
      <c r="P167" s="466">
        <v>18828829.7923721</v>
      </c>
      <c r="Q167" s="466">
        <v>20563901.726995502</v>
      </c>
      <c r="R167" s="466">
        <v>20623700.802930702</v>
      </c>
      <c r="S167" s="471">
        <f t="shared" si="2"/>
        <v>19724912.721188463</v>
      </c>
    </row>
    <row r="168" spans="1:19" x14ac:dyDescent="0.2">
      <c r="A168" s="465" t="s">
        <v>403</v>
      </c>
      <c r="B168" s="465" t="s">
        <v>404</v>
      </c>
      <c r="C168" s="465" t="s">
        <v>4298</v>
      </c>
      <c r="D168" s="465" t="s">
        <v>4300</v>
      </c>
      <c r="E168" s="466">
        <v>7175145.2966922596</v>
      </c>
      <c r="F168" s="466">
        <v>9154799.5391024295</v>
      </c>
      <c r="G168" s="466">
        <v>11134453.781512599</v>
      </c>
      <c r="H168" s="466">
        <v>11883198.3120683</v>
      </c>
      <c r="I168" s="466">
        <v>9806935.6680941693</v>
      </c>
      <c r="J168" s="466">
        <v>9656623.1525036898</v>
      </c>
      <c r="K168" s="466">
        <v>7407379.17855467</v>
      </c>
      <c r="L168" s="466">
        <v>7232092.93333063</v>
      </c>
      <c r="M168" s="466">
        <v>3387809.20488748</v>
      </c>
      <c r="N168" s="466">
        <v>3163130.4753080602</v>
      </c>
      <c r="O168" s="466">
        <v>5234205.8116283501</v>
      </c>
      <c r="P168" s="466">
        <v>5298246.1839870596</v>
      </c>
      <c r="Q168" s="466">
        <v>6759185.6942679901</v>
      </c>
      <c r="R168" s="466"/>
      <c r="S168" s="471">
        <f t="shared" si="2"/>
        <v>5113692.0412978642</v>
      </c>
    </row>
    <row r="169" spans="1:19" x14ac:dyDescent="0.2">
      <c r="A169" s="465" t="s">
        <v>405</v>
      </c>
      <c r="B169" s="465" t="s">
        <v>406</v>
      </c>
      <c r="C169" s="465" t="s">
        <v>4298</v>
      </c>
      <c r="D169" s="465" t="s">
        <v>4300</v>
      </c>
      <c r="E169" s="466"/>
      <c r="F169" s="466"/>
      <c r="G169" s="466"/>
      <c r="H169" s="466"/>
      <c r="I169" s="466"/>
      <c r="J169" s="466"/>
      <c r="K169" s="466"/>
      <c r="L169" s="466"/>
      <c r="M169" s="466"/>
      <c r="N169" s="466"/>
      <c r="O169" s="466"/>
      <c r="P169" s="466"/>
      <c r="Q169" s="466"/>
      <c r="R169" s="466"/>
      <c r="S169" s="471" t="str">
        <f t="shared" si="2"/>
        <v/>
      </c>
    </row>
    <row r="170" spans="1:19" x14ac:dyDescent="0.2">
      <c r="A170" s="465" t="s">
        <v>171</v>
      </c>
      <c r="B170" s="465" t="s">
        <v>172</v>
      </c>
      <c r="C170" s="465" t="s">
        <v>4296</v>
      </c>
      <c r="D170" s="465" t="s">
        <v>4297</v>
      </c>
      <c r="E170" s="466">
        <v>370552.410235185</v>
      </c>
      <c r="F170" s="466">
        <v>276265.07733787398</v>
      </c>
      <c r="G170" s="466">
        <v>634573.066305032</v>
      </c>
      <c r="H170" s="466">
        <v>764684.533152516</v>
      </c>
      <c r="I170" s="466">
        <v>894796</v>
      </c>
      <c r="J170" s="466">
        <v>1352814</v>
      </c>
      <c r="K170" s="466">
        <v>1207448.9100688701</v>
      </c>
      <c r="L170" s="466">
        <v>1403247.4524777899</v>
      </c>
      <c r="M170" s="466">
        <v>1247648.89761926</v>
      </c>
      <c r="N170" s="466">
        <v>3276706.56934307</v>
      </c>
      <c r="O170" s="466">
        <v>3140136.7633827701</v>
      </c>
      <c r="P170" s="466">
        <v>3619254.75848431</v>
      </c>
      <c r="Q170" s="466">
        <v>2945416.64218541</v>
      </c>
      <c r="R170" s="466">
        <v>3246592.94824412</v>
      </c>
      <c r="S170" s="471">
        <f t="shared" si="2"/>
        <v>3245621.5363279358</v>
      </c>
    </row>
    <row r="171" spans="1:19" x14ac:dyDescent="0.2">
      <c r="A171" s="465" t="s">
        <v>173</v>
      </c>
      <c r="B171" s="465" t="s">
        <v>174</v>
      </c>
      <c r="C171" s="465" t="s">
        <v>4296</v>
      </c>
      <c r="D171" s="465" t="s">
        <v>4300</v>
      </c>
      <c r="E171" s="466"/>
      <c r="F171" s="466">
        <v>31250</v>
      </c>
      <c r="G171" s="466"/>
      <c r="H171" s="466">
        <v>60000</v>
      </c>
      <c r="I171" s="466">
        <v>47781</v>
      </c>
      <c r="J171" s="466">
        <v>31397</v>
      </c>
      <c r="K171" s="466">
        <v>127567.64</v>
      </c>
      <c r="L171" s="466">
        <v>314797</v>
      </c>
      <c r="M171" s="466">
        <v>266310</v>
      </c>
      <c r="N171" s="466">
        <v>78841</v>
      </c>
      <c r="O171" s="466">
        <v>40304</v>
      </c>
      <c r="P171" s="466">
        <v>344823</v>
      </c>
      <c r="Q171" s="466">
        <v>119859</v>
      </c>
      <c r="R171" s="466">
        <v>268321</v>
      </c>
      <c r="S171" s="471">
        <f t="shared" si="2"/>
        <v>170429.6</v>
      </c>
    </row>
    <row r="172" spans="1:19" x14ac:dyDescent="0.2">
      <c r="A172" s="465" t="s">
        <v>303</v>
      </c>
      <c r="B172" s="465" t="s">
        <v>525</v>
      </c>
      <c r="C172" s="465" t="s">
        <v>4295</v>
      </c>
      <c r="D172" s="465" t="s">
        <v>4278</v>
      </c>
      <c r="E172" s="466">
        <v>15874298.647580599</v>
      </c>
      <c r="F172" s="466">
        <v>26747500.715339102</v>
      </c>
      <c r="G172" s="466">
        <v>23123601.186860099</v>
      </c>
      <c r="H172" s="466">
        <v>19499701.658381201</v>
      </c>
      <c r="I172" s="466">
        <v>24659269</v>
      </c>
      <c r="J172" s="466">
        <v>24829634.5</v>
      </c>
      <c r="K172" s="466">
        <v>25000000</v>
      </c>
      <c r="L172" s="466">
        <v>23057221.567909501</v>
      </c>
      <c r="M172" s="466">
        <v>21001559.348059501</v>
      </c>
      <c r="N172" s="466">
        <v>23831652</v>
      </c>
      <c r="O172" s="466">
        <v>19000000</v>
      </c>
      <c r="P172" s="466">
        <v>10148324</v>
      </c>
      <c r="Q172" s="466">
        <v>19148324</v>
      </c>
      <c r="R172" s="466">
        <v>19148324</v>
      </c>
      <c r="S172" s="471">
        <f t="shared" si="2"/>
        <v>18255324.800000001</v>
      </c>
    </row>
    <row r="173" spans="1:19" x14ac:dyDescent="0.2">
      <c r="A173" s="465" t="s">
        <v>175</v>
      </c>
      <c r="B173" s="465" t="s">
        <v>176</v>
      </c>
      <c r="C173" s="465" t="s">
        <v>4296</v>
      </c>
      <c r="D173" s="465" t="s">
        <v>4278</v>
      </c>
      <c r="E173" s="466">
        <v>581818.181818182</v>
      </c>
      <c r="F173" s="466">
        <v>1057659.2913582399</v>
      </c>
      <c r="G173" s="466">
        <v>2324170.0311465501</v>
      </c>
      <c r="H173" s="466">
        <v>3590680.77093487</v>
      </c>
      <c r="I173" s="466">
        <v>3470966.2673015501</v>
      </c>
      <c r="J173" s="466">
        <v>3351251.7636682298</v>
      </c>
      <c r="K173" s="466">
        <v>6260481.5509448601</v>
      </c>
      <c r="L173" s="466">
        <v>4152497.7734596399</v>
      </c>
      <c r="M173" s="466">
        <v>1764724</v>
      </c>
      <c r="N173" s="466">
        <v>5842927.0741398297</v>
      </c>
      <c r="O173" s="466">
        <v>9809330</v>
      </c>
      <c r="P173" s="466">
        <v>3141815.5488764499</v>
      </c>
      <c r="Q173" s="466">
        <v>4522984</v>
      </c>
      <c r="R173" s="466">
        <v>3893500</v>
      </c>
      <c r="S173" s="471">
        <f t="shared" si="2"/>
        <v>5442111.3246032558</v>
      </c>
    </row>
    <row r="174" spans="1:19" x14ac:dyDescent="0.2">
      <c r="A174" s="465" t="s">
        <v>177</v>
      </c>
      <c r="B174" s="465" t="s">
        <v>178</v>
      </c>
      <c r="C174" s="465" t="s">
        <v>4296</v>
      </c>
      <c r="D174" s="465" t="s">
        <v>4278</v>
      </c>
      <c r="E174" s="466">
        <v>218800</v>
      </c>
      <c r="F174" s="466">
        <v>295175.87628865999</v>
      </c>
      <c r="G174" s="466">
        <v>1957020.10376135</v>
      </c>
      <c r="H174" s="466">
        <v>3499010.5263157901</v>
      </c>
      <c r="I174" s="466">
        <v>2722634</v>
      </c>
      <c r="J174" s="466">
        <v>3431629</v>
      </c>
      <c r="K174" s="466">
        <v>3431629</v>
      </c>
      <c r="L174" s="466">
        <v>2523752</v>
      </c>
      <c r="M174" s="466">
        <v>3092880</v>
      </c>
      <c r="N174" s="466">
        <v>4748738</v>
      </c>
      <c r="O174" s="466">
        <v>4737557</v>
      </c>
      <c r="P174" s="466">
        <v>3217982</v>
      </c>
      <c r="Q174" s="466">
        <v>5052876</v>
      </c>
      <c r="R174" s="466">
        <v>6395483</v>
      </c>
      <c r="S174" s="471">
        <f t="shared" si="2"/>
        <v>4830527.2</v>
      </c>
    </row>
    <row r="175" spans="1:19" x14ac:dyDescent="0.2">
      <c r="A175" s="465" t="s">
        <v>437</v>
      </c>
      <c r="B175" s="465" t="s">
        <v>438</v>
      </c>
      <c r="C175" s="465" t="s">
        <v>4303</v>
      </c>
      <c r="D175" s="465" t="s">
        <v>4299</v>
      </c>
      <c r="E175" s="466">
        <v>18557626.313288599</v>
      </c>
      <c r="F175" s="466">
        <v>25000000</v>
      </c>
      <c r="G175" s="466">
        <v>19105878</v>
      </c>
      <c r="H175" s="466">
        <v>34751245.180220403</v>
      </c>
      <c r="I175" s="466">
        <v>23919141.342691001</v>
      </c>
      <c r="J175" s="466">
        <v>24918229.475510601</v>
      </c>
      <c r="K175" s="466">
        <v>36515028.813735798</v>
      </c>
      <c r="L175" s="466">
        <v>24279138.228586901</v>
      </c>
      <c r="M175" s="466">
        <v>43011304.891869403</v>
      </c>
      <c r="N175" s="466">
        <v>33374487.414737701</v>
      </c>
      <c r="O175" s="466">
        <v>37922162.0078132</v>
      </c>
      <c r="P175" s="466"/>
      <c r="Q175" s="466"/>
      <c r="R175" s="466"/>
      <c r="S175" s="471">
        <f t="shared" si="2"/>
        <v>35648324.711275451</v>
      </c>
    </row>
    <row r="176" spans="1:19" x14ac:dyDescent="0.2">
      <c r="A176" s="465" t="s">
        <v>407</v>
      </c>
      <c r="B176" s="465" t="s">
        <v>408</v>
      </c>
      <c r="C176" s="465" t="s">
        <v>4298</v>
      </c>
      <c r="D176" s="465" t="s">
        <v>4278</v>
      </c>
      <c r="E176" s="466">
        <v>652173.91304347804</v>
      </c>
      <c r="F176" s="466">
        <v>1509510.41666667</v>
      </c>
      <c r="G176" s="466">
        <v>856466.16541353404</v>
      </c>
      <c r="H176" s="466">
        <v>4143950.66706802</v>
      </c>
      <c r="I176" s="466">
        <v>2857142.8571428601</v>
      </c>
      <c r="J176" s="466">
        <v>2777777.7777777798</v>
      </c>
      <c r="K176" s="466">
        <v>3173938</v>
      </c>
      <c r="L176" s="466">
        <v>2422500</v>
      </c>
      <c r="M176" s="466">
        <v>2678243</v>
      </c>
      <c r="N176" s="466">
        <v>3876255</v>
      </c>
      <c r="O176" s="466">
        <v>4754913</v>
      </c>
      <c r="P176" s="466">
        <v>3913778</v>
      </c>
      <c r="Q176" s="466">
        <v>4601909</v>
      </c>
      <c r="R176" s="467">
        <v>4975620</v>
      </c>
      <c r="S176" s="471">
        <f t="shared" si="2"/>
        <v>4424495</v>
      </c>
    </row>
    <row r="177" spans="1:19" x14ac:dyDescent="0.2">
      <c r="A177" s="465" t="s">
        <v>409</v>
      </c>
      <c r="B177" s="465" t="s">
        <v>410</v>
      </c>
      <c r="C177" s="465" t="s">
        <v>4298</v>
      </c>
      <c r="D177" s="465" t="s">
        <v>4299</v>
      </c>
      <c r="E177" s="466">
        <v>738430</v>
      </c>
      <c r="F177" s="466">
        <v>2301024.7718383302</v>
      </c>
      <c r="G177" s="466">
        <v>1816914</v>
      </c>
      <c r="H177" s="466">
        <v>1837859</v>
      </c>
      <c r="I177" s="466">
        <v>4077535</v>
      </c>
      <c r="J177" s="466">
        <v>3825026</v>
      </c>
      <c r="K177" s="466">
        <v>3572517</v>
      </c>
      <c r="L177" s="466">
        <v>3812365</v>
      </c>
      <c r="M177" s="466">
        <v>3557190</v>
      </c>
      <c r="N177" s="466">
        <v>3574780</v>
      </c>
      <c r="O177" s="466">
        <v>7482677</v>
      </c>
      <c r="P177" s="466">
        <v>6600902</v>
      </c>
      <c r="Q177" s="466"/>
      <c r="R177" s="466"/>
      <c r="S177" s="471">
        <f t="shared" si="2"/>
        <v>5886119.666666667</v>
      </c>
    </row>
    <row r="178" spans="1:19" x14ac:dyDescent="0.2">
      <c r="A178" s="465" t="s">
        <v>439</v>
      </c>
      <c r="B178" s="465" t="s">
        <v>440</v>
      </c>
      <c r="C178" s="465" t="s">
        <v>4303</v>
      </c>
      <c r="D178" s="465" t="s">
        <v>4297</v>
      </c>
      <c r="E178" s="466"/>
      <c r="F178" s="466"/>
      <c r="G178" s="466"/>
      <c r="H178" s="466"/>
      <c r="I178" s="466">
        <v>88159</v>
      </c>
      <c r="J178" s="466">
        <v>130178</v>
      </c>
      <c r="K178" s="466">
        <v>486051</v>
      </c>
      <c r="L178" s="466">
        <v>551459</v>
      </c>
      <c r="M178" s="466">
        <v>420087</v>
      </c>
      <c r="N178" s="466">
        <v>377402</v>
      </c>
      <c r="O178" s="466">
        <v>642300</v>
      </c>
      <c r="P178" s="466">
        <v>474073</v>
      </c>
      <c r="Q178" s="466">
        <v>423082</v>
      </c>
      <c r="R178" s="466">
        <v>598164</v>
      </c>
      <c r="S178" s="471">
        <f t="shared" si="2"/>
        <v>503004.2</v>
      </c>
    </row>
    <row r="179" spans="1:19" x14ac:dyDescent="0.2">
      <c r="A179" s="465" t="s">
        <v>486</v>
      </c>
      <c r="B179" s="465" t="s">
        <v>487</v>
      </c>
      <c r="C179" s="465" t="s">
        <v>4302</v>
      </c>
      <c r="D179" s="465" t="s">
        <v>4299</v>
      </c>
      <c r="E179" s="466">
        <v>72129</v>
      </c>
      <c r="F179" s="466"/>
      <c r="G179" s="466"/>
      <c r="H179" s="466"/>
      <c r="I179" s="466">
        <v>52465.897166841598</v>
      </c>
      <c r="J179" s="466">
        <v>55311.033710096497</v>
      </c>
      <c r="K179" s="466">
        <v>58156.170253351498</v>
      </c>
      <c r="L179" s="466">
        <v>50740.987554927102</v>
      </c>
      <c r="M179" s="466">
        <v>46741</v>
      </c>
      <c r="N179" s="466">
        <v>43949.4235639982</v>
      </c>
      <c r="O179" s="466">
        <v>41157.8471279964</v>
      </c>
      <c r="P179" s="466">
        <v>45331.476734914897</v>
      </c>
      <c r="Q179" s="466">
        <v>44711.291846950102</v>
      </c>
      <c r="R179" s="466">
        <v>43677.933014913498</v>
      </c>
      <c r="S179" s="471">
        <f t="shared" si="2"/>
        <v>43765.594457754618</v>
      </c>
    </row>
    <row r="180" spans="1:19" x14ac:dyDescent="0.2">
      <c r="A180" s="465" t="s">
        <v>253</v>
      </c>
      <c r="B180" s="465" t="s">
        <v>254</v>
      </c>
      <c r="C180" s="465" t="s">
        <v>4301</v>
      </c>
      <c r="D180" s="465" t="s">
        <v>4300</v>
      </c>
      <c r="E180" s="466"/>
      <c r="F180" s="466"/>
      <c r="G180" s="466"/>
      <c r="H180" s="466"/>
      <c r="I180" s="466"/>
      <c r="J180" s="466"/>
      <c r="K180" s="466">
        <v>2154741.59</v>
      </c>
      <c r="L180" s="466">
        <v>2087255</v>
      </c>
      <c r="M180" s="466">
        <v>2019768.1</v>
      </c>
      <c r="N180" s="466">
        <v>2639000</v>
      </c>
      <c r="O180" s="466">
        <v>841421</v>
      </c>
      <c r="P180" s="466">
        <v>1427385</v>
      </c>
      <c r="Q180" s="466"/>
      <c r="R180" s="466"/>
      <c r="S180" s="471">
        <f t="shared" si="2"/>
        <v>1635935.3333333333</v>
      </c>
    </row>
    <row r="181" spans="1:19" x14ac:dyDescent="0.2">
      <c r="A181" s="465" t="s">
        <v>305</v>
      </c>
      <c r="B181" s="465" t="s">
        <v>306</v>
      </c>
      <c r="C181" s="465" t="s">
        <v>4295</v>
      </c>
      <c r="D181" s="465" t="s">
        <v>4297</v>
      </c>
      <c r="E181" s="466">
        <v>2329075.8827948901</v>
      </c>
      <c r="F181" s="466">
        <v>2341189.3241766798</v>
      </c>
      <c r="G181" s="466">
        <v>1947103.6832711301</v>
      </c>
      <c r="H181" s="466">
        <v>1814814.8148148099</v>
      </c>
      <c r="I181" s="466">
        <v>2235742.2524544299</v>
      </c>
      <c r="J181" s="466">
        <v>5327366.6826487696</v>
      </c>
      <c r="K181" s="466">
        <v>5121993.0699433796</v>
      </c>
      <c r="L181" s="466">
        <v>5539170.5522922296</v>
      </c>
      <c r="M181" s="466">
        <v>5423433.6867862502</v>
      </c>
      <c r="N181" s="466">
        <v>5299220.55412535</v>
      </c>
      <c r="O181" s="466">
        <v>5170777.1714866599</v>
      </c>
      <c r="P181" s="466">
        <v>4959856.1641712403</v>
      </c>
      <c r="Q181" s="466"/>
      <c r="R181" s="466"/>
      <c r="S181" s="471">
        <f t="shared" si="2"/>
        <v>5143284.6299277507</v>
      </c>
    </row>
    <row r="182" spans="1:19" x14ac:dyDescent="0.2">
      <c r="A182" s="465" t="s">
        <v>411</v>
      </c>
      <c r="B182" s="465" t="s">
        <v>412</v>
      </c>
      <c r="C182" s="465" t="s">
        <v>4298</v>
      </c>
      <c r="D182" s="465" t="s">
        <v>4299</v>
      </c>
      <c r="E182" s="466"/>
      <c r="F182" s="466"/>
      <c r="G182" s="466">
        <v>200000000</v>
      </c>
      <c r="H182" s="466">
        <v>199568347.45161301</v>
      </c>
      <c r="I182" s="466">
        <v>169881402.510434</v>
      </c>
      <c r="J182" s="466">
        <v>237021434.618503</v>
      </c>
      <c r="K182" s="466">
        <v>226614573.15446901</v>
      </c>
      <c r="L182" s="466">
        <v>239758628.67744401</v>
      </c>
      <c r="M182" s="466">
        <v>200000000</v>
      </c>
      <c r="N182" s="466">
        <v>230000000</v>
      </c>
      <c r="O182" s="466">
        <v>225120685.66127801</v>
      </c>
      <c r="P182" s="466"/>
      <c r="Q182" s="466"/>
      <c r="R182" s="466"/>
      <c r="S182" s="471">
        <f t="shared" si="2"/>
        <v>227560342.830639</v>
      </c>
    </row>
    <row r="183" spans="1:19" x14ac:dyDescent="0.2">
      <c r="A183" s="465" t="s">
        <v>488</v>
      </c>
      <c r="B183" s="465" t="s">
        <v>489</v>
      </c>
      <c r="C183" s="465" t="s">
        <v>4302</v>
      </c>
      <c r="D183" s="465" t="s">
        <v>4299</v>
      </c>
      <c r="E183" s="466">
        <v>20000</v>
      </c>
      <c r="F183" s="466">
        <v>20000</v>
      </c>
      <c r="G183" s="466">
        <v>20000</v>
      </c>
      <c r="H183" s="466">
        <v>17703</v>
      </c>
      <c r="I183" s="466"/>
      <c r="J183" s="466"/>
      <c r="K183" s="466"/>
      <c r="L183" s="466"/>
      <c r="M183" s="466"/>
      <c r="N183" s="466"/>
      <c r="O183" s="466"/>
      <c r="P183" s="466"/>
      <c r="Q183" s="466"/>
      <c r="R183" s="466"/>
      <c r="S183" s="471" t="str">
        <f t="shared" si="2"/>
        <v/>
      </c>
    </row>
    <row r="184" spans="1:19" x14ac:dyDescent="0.2">
      <c r="A184" s="465" t="s">
        <v>179</v>
      </c>
      <c r="B184" s="465" t="s">
        <v>526</v>
      </c>
      <c r="C184" s="465" t="s">
        <v>4296</v>
      </c>
      <c r="D184" s="465" t="s">
        <v>4278</v>
      </c>
      <c r="E184" s="466">
        <v>6714266.2650602404</v>
      </c>
      <c r="F184" s="466">
        <v>5159398.3957219301</v>
      </c>
      <c r="G184" s="466">
        <v>6387665.0537634399</v>
      </c>
      <c r="H184" s="466">
        <v>27670819.857142899</v>
      </c>
      <c r="I184" s="466">
        <v>20165731.98</v>
      </c>
      <c r="J184" s="466">
        <v>20429889</v>
      </c>
      <c r="K184" s="466">
        <v>23537753.399999999</v>
      </c>
      <c r="L184" s="466">
        <v>68600130</v>
      </c>
      <c r="M184" s="466">
        <v>58769879</v>
      </c>
      <c r="N184" s="466">
        <v>41693227</v>
      </c>
      <c r="O184" s="466">
        <v>50971450</v>
      </c>
      <c r="P184" s="466">
        <v>51587818</v>
      </c>
      <c r="Q184" s="466">
        <v>62922870</v>
      </c>
      <c r="R184" s="466">
        <v>47993229</v>
      </c>
      <c r="S184" s="471">
        <f t="shared" si="2"/>
        <v>51033718.799999997</v>
      </c>
    </row>
    <row r="185" spans="1:19" x14ac:dyDescent="0.2">
      <c r="A185" s="465" t="s">
        <v>181</v>
      </c>
      <c r="B185" s="465" t="s">
        <v>182</v>
      </c>
      <c r="C185" s="465" t="s">
        <v>4296</v>
      </c>
      <c r="D185" s="465" t="s">
        <v>4278</v>
      </c>
      <c r="E185" s="466">
        <v>25000000</v>
      </c>
      <c r="F185" s="466">
        <v>19509912.751677901</v>
      </c>
      <c r="G185" s="466">
        <v>17528910.221992798</v>
      </c>
      <c r="H185" s="466">
        <v>15547907.692307699</v>
      </c>
      <c r="I185" s="466">
        <v>4575450</v>
      </c>
      <c r="J185" s="466">
        <v>15096699.41</v>
      </c>
      <c r="K185" s="466">
        <v>17023061.704999998</v>
      </c>
      <c r="L185" s="466">
        <v>18949424</v>
      </c>
      <c r="M185" s="466">
        <v>29851928</v>
      </c>
      <c r="N185" s="466">
        <v>40451462.369999997</v>
      </c>
      <c r="O185" s="466">
        <v>71279091</v>
      </c>
      <c r="P185" s="466">
        <v>26255111</v>
      </c>
      <c r="Q185" s="466">
        <v>27429268.37638</v>
      </c>
      <c r="R185" s="466">
        <v>42870984.374744304</v>
      </c>
      <c r="S185" s="471">
        <f t="shared" si="2"/>
        <v>41657183.424224861</v>
      </c>
    </row>
    <row r="186" spans="1:19" x14ac:dyDescent="0.2">
      <c r="A186" s="465" t="s">
        <v>413</v>
      </c>
      <c r="B186" s="465" t="s">
        <v>414</v>
      </c>
      <c r="C186" s="465" t="s">
        <v>4298</v>
      </c>
      <c r="D186" s="465" t="s">
        <v>4297</v>
      </c>
      <c r="E186" s="466">
        <v>35000763.457053304</v>
      </c>
      <c r="F186" s="466">
        <v>38920128.712871298</v>
      </c>
      <c r="G186" s="466">
        <v>43116000</v>
      </c>
      <c r="H186" s="466">
        <v>38716303.629700303</v>
      </c>
      <c r="I186" s="466">
        <v>38716303.629700303</v>
      </c>
      <c r="J186" s="466">
        <v>34316607.259400599</v>
      </c>
      <c r="K186" s="466"/>
      <c r="L186" s="466"/>
      <c r="M186" s="466"/>
      <c r="N186" s="466"/>
      <c r="O186" s="466">
        <v>23072168</v>
      </c>
      <c r="P186" s="466">
        <v>14953535.632100601</v>
      </c>
      <c r="Q186" s="466"/>
      <c r="R186" s="466"/>
      <c r="S186" s="471">
        <f t="shared" si="2"/>
        <v>19012851.816050299</v>
      </c>
    </row>
    <row r="187" spans="1:19" x14ac:dyDescent="0.2">
      <c r="A187" s="465" t="s">
        <v>255</v>
      </c>
      <c r="B187" s="465" t="s">
        <v>256</v>
      </c>
      <c r="C187" s="465" t="s">
        <v>4301</v>
      </c>
      <c r="D187" s="465" t="s">
        <v>4300</v>
      </c>
      <c r="E187" s="466">
        <v>3396774</v>
      </c>
      <c r="F187" s="466">
        <v>3808663.68</v>
      </c>
      <c r="G187" s="466">
        <v>3668677.24</v>
      </c>
      <c r="H187" s="466">
        <v>4919131</v>
      </c>
      <c r="I187" s="466">
        <v>7422761</v>
      </c>
      <c r="J187" s="466">
        <v>7568940</v>
      </c>
      <c r="K187" s="466">
        <v>7717813.3449999997</v>
      </c>
      <c r="L187" s="466">
        <v>7866686.6900000004</v>
      </c>
      <c r="M187" s="466">
        <v>10047746.289999999</v>
      </c>
      <c r="N187" s="466">
        <v>8946897</v>
      </c>
      <c r="O187" s="466">
        <v>10033987</v>
      </c>
      <c r="P187" s="466">
        <v>11121077</v>
      </c>
      <c r="Q187" s="466"/>
      <c r="R187" s="466"/>
      <c r="S187" s="471">
        <f t="shared" si="2"/>
        <v>10033987</v>
      </c>
    </row>
    <row r="188" spans="1:19" x14ac:dyDescent="0.2">
      <c r="A188" s="465" t="s">
        <v>257</v>
      </c>
      <c r="B188" s="465" t="s">
        <v>258</v>
      </c>
      <c r="C188" s="465" t="s">
        <v>4301</v>
      </c>
      <c r="D188" s="465" t="s">
        <v>4300</v>
      </c>
      <c r="E188" s="466"/>
      <c r="F188" s="466"/>
      <c r="G188" s="466"/>
      <c r="H188" s="466"/>
      <c r="I188" s="466"/>
      <c r="J188" s="466"/>
      <c r="K188" s="466"/>
      <c r="L188" s="466"/>
      <c r="M188" s="466"/>
      <c r="N188" s="466"/>
      <c r="O188" s="466"/>
      <c r="P188" s="466"/>
      <c r="Q188" s="466"/>
      <c r="R188" s="466"/>
      <c r="S188" s="471" t="str">
        <f t="shared" si="2"/>
        <v/>
      </c>
    </row>
    <row r="189" spans="1:19" x14ac:dyDescent="0.2">
      <c r="A189" s="465" t="s">
        <v>415</v>
      </c>
      <c r="B189" s="465" t="s">
        <v>416</v>
      </c>
      <c r="C189" s="465" t="s">
        <v>4298</v>
      </c>
      <c r="D189" s="465" t="s">
        <v>4297</v>
      </c>
      <c r="E189" s="466">
        <v>1370413.6065911199</v>
      </c>
      <c r="F189" s="466">
        <v>1611851.58255267</v>
      </c>
      <c r="G189" s="466">
        <v>2645059.6299882098</v>
      </c>
      <c r="H189" s="466">
        <v>4460583.8588673202</v>
      </c>
      <c r="I189" s="466">
        <v>13416970</v>
      </c>
      <c r="J189" s="466">
        <v>10808320</v>
      </c>
      <c r="K189" s="466">
        <v>6671642</v>
      </c>
      <c r="L189" s="466">
        <v>7280500</v>
      </c>
      <c r="M189" s="466">
        <v>5191582</v>
      </c>
      <c r="N189" s="466">
        <v>6786866</v>
      </c>
      <c r="O189" s="466">
        <v>16195575</v>
      </c>
      <c r="P189" s="466">
        <v>12184500</v>
      </c>
      <c r="Q189" s="466">
        <v>16870785</v>
      </c>
      <c r="R189" s="467">
        <v>20604107</v>
      </c>
      <c r="S189" s="471">
        <f t="shared" si="2"/>
        <v>14528366.6</v>
      </c>
    </row>
    <row r="190" spans="1:19" x14ac:dyDescent="0.2">
      <c r="A190" s="465" t="s">
        <v>259</v>
      </c>
      <c r="B190" s="465" t="s">
        <v>4312</v>
      </c>
      <c r="C190" s="465" t="s">
        <v>4301</v>
      </c>
      <c r="D190" s="465" t="s">
        <v>4299</v>
      </c>
      <c r="E190" s="466"/>
      <c r="F190" s="466">
        <v>26783.922222222202</v>
      </c>
      <c r="G190" s="466">
        <v>49236.29</v>
      </c>
      <c r="H190" s="466">
        <v>78036.070000000007</v>
      </c>
      <c r="I190" s="466">
        <v>43760.83</v>
      </c>
      <c r="J190" s="466">
        <v>27893.61</v>
      </c>
      <c r="K190" s="466">
        <v>39630.089999999997</v>
      </c>
      <c r="L190" s="466">
        <v>43524</v>
      </c>
      <c r="M190" s="466">
        <v>69384</v>
      </c>
      <c r="N190" s="466">
        <v>50730</v>
      </c>
      <c r="O190" s="466">
        <v>60700</v>
      </c>
      <c r="P190" s="466">
        <v>50000</v>
      </c>
      <c r="Q190" s="466">
        <v>63725.15</v>
      </c>
      <c r="R190" s="466"/>
      <c r="S190" s="471">
        <f t="shared" si="2"/>
        <v>56288.787499999999</v>
      </c>
    </row>
    <row r="191" spans="1:19" x14ac:dyDescent="0.2">
      <c r="A191" s="465" t="s">
        <v>261</v>
      </c>
      <c r="B191" s="465" t="s">
        <v>4313</v>
      </c>
      <c r="C191" s="465" t="s">
        <v>4301</v>
      </c>
      <c r="D191" s="465" t="s">
        <v>4299</v>
      </c>
      <c r="E191" s="466"/>
      <c r="F191" s="466"/>
      <c r="G191" s="466"/>
      <c r="H191" s="466">
        <v>28682613.414066099</v>
      </c>
      <c r="I191" s="466">
        <v>29180899</v>
      </c>
      <c r="J191" s="466">
        <v>38622525</v>
      </c>
      <c r="K191" s="466">
        <v>46239711</v>
      </c>
      <c r="L191" s="466">
        <v>35471747</v>
      </c>
      <c r="M191" s="466">
        <v>48247862</v>
      </c>
      <c r="N191" s="466">
        <v>33810706</v>
      </c>
      <c r="O191" s="466">
        <v>23535185</v>
      </c>
      <c r="P191" s="466"/>
      <c r="Q191" s="466"/>
      <c r="R191" s="466"/>
      <c r="S191" s="471">
        <f t="shared" si="2"/>
        <v>28672945.5</v>
      </c>
    </row>
    <row r="192" spans="1:19" x14ac:dyDescent="0.2">
      <c r="A192" s="465" t="s">
        <v>490</v>
      </c>
      <c r="B192" s="465" t="s">
        <v>4314</v>
      </c>
      <c r="C192" s="465" t="s">
        <v>4302</v>
      </c>
      <c r="D192" s="465" t="s">
        <v>4297</v>
      </c>
      <c r="E192" s="466">
        <v>4129240.5000263499</v>
      </c>
      <c r="F192" s="466">
        <v>5413951.7241379302</v>
      </c>
      <c r="G192" s="466">
        <v>4778581.8181818202</v>
      </c>
      <c r="H192" s="466">
        <v>4495000</v>
      </c>
      <c r="I192" s="466">
        <v>18634000</v>
      </c>
      <c r="J192" s="466">
        <v>20970492</v>
      </c>
      <c r="K192" s="466">
        <v>19901277</v>
      </c>
      <c r="L192" s="466">
        <v>16110000</v>
      </c>
      <c r="M192" s="466">
        <v>18391875</v>
      </c>
      <c r="N192" s="466">
        <v>21329630</v>
      </c>
      <c r="O192" s="466">
        <v>16320182.047155701</v>
      </c>
      <c r="P192" s="466">
        <v>12454509.3724187</v>
      </c>
      <c r="Q192" s="466">
        <v>16637034.6455299</v>
      </c>
      <c r="R192" s="466"/>
      <c r="S192" s="471">
        <f t="shared" si="2"/>
        <v>16685339.016276076</v>
      </c>
    </row>
    <row r="193" spans="1:19" x14ac:dyDescent="0.2">
      <c r="A193" s="465" t="s">
        <v>492</v>
      </c>
      <c r="B193" s="465" t="s">
        <v>493</v>
      </c>
      <c r="C193" s="465" t="s">
        <v>4302</v>
      </c>
      <c r="D193" s="465" t="s">
        <v>4297</v>
      </c>
      <c r="E193" s="466">
        <v>45191.285674000901</v>
      </c>
      <c r="F193" s="466">
        <v>45191.285674000901</v>
      </c>
      <c r="G193" s="466">
        <v>69078.356566687304</v>
      </c>
      <c r="H193" s="466">
        <v>74947.9112017148</v>
      </c>
      <c r="I193" s="466"/>
      <c r="J193" s="466">
        <v>558852</v>
      </c>
      <c r="K193" s="466">
        <v>134934.556739981</v>
      </c>
      <c r="L193" s="466">
        <v>160182.250910906</v>
      </c>
      <c r="M193" s="466">
        <v>185429.94508183101</v>
      </c>
      <c r="N193" s="466">
        <v>165154.02856505901</v>
      </c>
      <c r="O193" s="466">
        <v>530442.80442804401</v>
      </c>
      <c r="P193" s="466">
        <v>148814</v>
      </c>
      <c r="Q193" s="466">
        <v>104319</v>
      </c>
      <c r="R193" s="466">
        <v>104319</v>
      </c>
      <c r="S193" s="471">
        <f t="shared" si="2"/>
        <v>210609.7665986206</v>
      </c>
    </row>
    <row r="194" spans="1:19" x14ac:dyDescent="0.2">
      <c r="A194" s="465" t="s">
        <v>494</v>
      </c>
      <c r="B194" s="465" t="s">
        <v>495</v>
      </c>
      <c r="C194" s="465" t="s">
        <v>4302</v>
      </c>
      <c r="D194" s="465" t="s">
        <v>4299</v>
      </c>
      <c r="E194" s="466">
        <v>38000</v>
      </c>
      <c r="F194" s="466">
        <v>30769</v>
      </c>
      <c r="G194" s="466">
        <v>23593</v>
      </c>
      <c r="H194" s="466">
        <v>161476</v>
      </c>
      <c r="I194" s="466">
        <v>152174</v>
      </c>
      <c r="J194" s="466">
        <v>151087</v>
      </c>
      <c r="K194" s="466">
        <v>150000</v>
      </c>
      <c r="L194" s="466"/>
      <c r="M194" s="466"/>
      <c r="N194" s="466"/>
      <c r="O194" s="466"/>
      <c r="P194" s="466"/>
      <c r="Q194" s="466"/>
      <c r="R194" s="466"/>
      <c r="S194" s="471" t="str">
        <f t="shared" si="2"/>
        <v/>
      </c>
    </row>
    <row r="195" spans="1:19" x14ac:dyDescent="0.2">
      <c r="A195" s="465" t="s">
        <v>307</v>
      </c>
      <c r="B195" s="465" t="s">
        <v>308</v>
      </c>
      <c r="C195" s="465" t="s">
        <v>4295</v>
      </c>
      <c r="D195" s="465" t="s">
        <v>4278</v>
      </c>
      <c r="E195" s="466">
        <v>1522462.4104030901</v>
      </c>
      <c r="F195" s="466">
        <v>8064516.1290322598</v>
      </c>
      <c r="G195" s="466">
        <v>8343169.9306816095</v>
      </c>
      <c r="H195" s="466">
        <v>8569811.4285714291</v>
      </c>
      <c r="I195" s="466">
        <v>13640576.3012888</v>
      </c>
      <c r="J195" s="466">
        <v>22420290.108649399</v>
      </c>
      <c r="K195" s="466">
        <v>31200003.91601</v>
      </c>
      <c r="L195" s="466">
        <v>30303491.758574199</v>
      </c>
      <c r="M195" s="466">
        <v>24038366</v>
      </c>
      <c r="N195" s="466">
        <v>9805253.3114035092</v>
      </c>
      <c r="O195" s="466">
        <v>20625653.075954702</v>
      </c>
      <c r="P195" s="466">
        <v>31823009.376890499</v>
      </c>
      <c r="Q195" s="466">
        <v>35214767.5</v>
      </c>
      <c r="R195" s="466">
        <v>20515010</v>
      </c>
      <c r="S195" s="471">
        <f t="shared" si="2"/>
        <v>23596738.652849741</v>
      </c>
    </row>
    <row r="196" spans="1:19" x14ac:dyDescent="0.2">
      <c r="A196" s="465" t="s">
        <v>183</v>
      </c>
      <c r="B196" s="465" t="s">
        <v>184</v>
      </c>
      <c r="C196" s="465" t="s">
        <v>4296</v>
      </c>
      <c r="D196" s="465" t="s">
        <v>4299</v>
      </c>
      <c r="E196" s="466"/>
      <c r="F196" s="466"/>
      <c r="G196" s="466"/>
      <c r="H196" s="466">
        <v>79455219.151411504</v>
      </c>
      <c r="I196" s="466">
        <v>142835153.03541899</v>
      </c>
      <c r="J196" s="466">
        <v>168400689.315364</v>
      </c>
      <c r="K196" s="466">
        <v>123434695.621783</v>
      </c>
      <c r="L196" s="466">
        <v>122117907.752607</v>
      </c>
      <c r="M196" s="466">
        <v>136849397.152172</v>
      </c>
      <c r="N196" s="466">
        <v>117572135.403909</v>
      </c>
      <c r="O196" s="466">
        <v>167347849.83484301</v>
      </c>
      <c r="P196" s="466">
        <v>109837884.72336701</v>
      </c>
      <c r="Q196" s="466">
        <v>185692561.475564</v>
      </c>
      <c r="R196" s="466">
        <v>163147837.32851201</v>
      </c>
      <c r="S196" s="471">
        <f t="shared" si="2"/>
        <v>148719653.75323901</v>
      </c>
    </row>
    <row r="197" spans="1:19" x14ac:dyDescent="0.2">
      <c r="A197" s="465" t="s">
        <v>185</v>
      </c>
      <c r="B197" s="465" t="s">
        <v>186</v>
      </c>
      <c r="C197" s="465" t="s">
        <v>4296</v>
      </c>
      <c r="D197" s="465" t="s">
        <v>4297</v>
      </c>
      <c r="E197" s="466">
        <v>1567887.05986879</v>
      </c>
      <c r="F197" s="466">
        <v>7999788.1355932197</v>
      </c>
      <c r="G197" s="466">
        <v>2662979.4520547902</v>
      </c>
      <c r="H197" s="466">
        <v>2105263.1578947399</v>
      </c>
      <c r="I197" s="466">
        <v>6857695</v>
      </c>
      <c r="J197" s="466">
        <v>7939343.9900000002</v>
      </c>
      <c r="K197" s="466">
        <v>8172919.4900000002</v>
      </c>
      <c r="L197" s="466">
        <v>8406494.9900000002</v>
      </c>
      <c r="M197" s="466">
        <v>11948620</v>
      </c>
      <c r="N197" s="466">
        <v>23650532</v>
      </c>
      <c r="O197" s="466">
        <v>15110303</v>
      </c>
      <c r="P197" s="466">
        <v>15533394</v>
      </c>
      <c r="Q197" s="466"/>
      <c r="R197" s="466">
        <v>21457428</v>
      </c>
      <c r="S197" s="471">
        <f t="shared" ref="S197:S198" si="3">IF(ISERROR(AVERAGE(N197:R197)),"",AVERAGE(N197:R197))</f>
        <v>18937914.25</v>
      </c>
    </row>
    <row r="198" spans="1:19" x14ac:dyDescent="0.2">
      <c r="A198" s="465" t="s">
        <v>187</v>
      </c>
      <c r="B198" s="465" t="s">
        <v>188</v>
      </c>
      <c r="C198" s="465" t="s">
        <v>4296</v>
      </c>
      <c r="D198" s="465" t="s">
        <v>4297</v>
      </c>
      <c r="E198" s="466"/>
      <c r="F198" s="466"/>
      <c r="G198" s="466"/>
      <c r="H198" s="466"/>
      <c r="I198" s="466">
        <v>1366516</v>
      </c>
      <c r="J198" s="466">
        <v>5134846</v>
      </c>
      <c r="K198" s="466">
        <v>6553110</v>
      </c>
      <c r="L198" s="466">
        <v>12075100</v>
      </c>
      <c r="M198" s="466">
        <v>15469622</v>
      </c>
      <c r="N198" s="466">
        <v>18280823</v>
      </c>
      <c r="O198" s="466">
        <v>14034676</v>
      </c>
      <c r="P198" s="466">
        <v>9787568</v>
      </c>
      <c r="Q198" s="466">
        <v>23261316.32</v>
      </c>
      <c r="R198" s="466">
        <v>15451685</v>
      </c>
      <c r="S198" s="471">
        <f t="shared" si="3"/>
        <v>16163213.663999999</v>
      </c>
    </row>
    <row r="199" spans="1:19" x14ac:dyDescent="0.2">
      <c r="R199" s="470"/>
    </row>
    <row r="200" spans="1:19" x14ac:dyDescent="0.2">
      <c r="R200" s="470"/>
    </row>
    <row r="201" spans="1:19" x14ac:dyDescent="0.2">
      <c r="R201" s="470"/>
    </row>
    <row r="202" spans="1:19" x14ac:dyDescent="0.2">
      <c r="R202" s="470"/>
    </row>
    <row r="203" spans="1:19" x14ac:dyDescent="0.2">
      <c r="R203" s="470"/>
    </row>
    <row r="204" spans="1:19" x14ac:dyDescent="0.2">
      <c r="R204" s="470"/>
    </row>
    <row r="205" spans="1:19" x14ac:dyDescent="0.2">
      <c r="R205" s="470"/>
    </row>
    <row r="206" spans="1:19" x14ac:dyDescent="0.2">
      <c r="R206" s="470"/>
    </row>
    <row r="207" spans="1:19" x14ac:dyDescent="0.2">
      <c r="R207" s="470"/>
    </row>
    <row r="208" spans="1:19" x14ac:dyDescent="0.2">
      <c r="R208" s="470"/>
    </row>
    <row r="209" spans="18:18" x14ac:dyDescent="0.2">
      <c r="R209" s="470"/>
    </row>
    <row r="210" spans="18:18" x14ac:dyDescent="0.2">
      <c r="R210" s="470"/>
    </row>
    <row r="211" spans="18:18" x14ac:dyDescent="0.2">
      <c r="R211" s="470"/>
    </row>
    <row r="212" spans="18:18" x14ac:dyDescent="0.2">
      <c r="R212" s="470"/>
    </row>
    <row r="213" spans="18:18" x14ac:dyDescent="0.2">
      <c r="R213" s="470"/>
    </row>
    <row r="214" spans="18:18" x14ac:dyDescent="0.2">
      <c r="R214" s="470"/>
    </row>
    <row r="215" spans="18:18" x14ac:dyDescent="0.2">
      <c r="R215" s="470"/>
    </row>
    <row r="216" spans="18:18" x14ac:dyDescent="0.2">
      <c r="R216" s="470"/>
    </row>
    <row r="217" spans="18:18" x14ac:dyDescent="0.2">
      <c r="R217" s="470"/>
    </row>
    <row r="218" spans="18:18" x14ac:dyDescent="0.2">
      <c r="R218" s="470"/>
    </row>
    <row r="219" spans="18:18" x14ac:dyDescent="0.2">
      <c r="R219" s="470"/>
    </row>
    <row r="220" spans="18:18" x14ac:dyDescent="0.2">
      <c r="R220" s="470"/>
    </row>
    <row r="221" spans="18:18" x14ac:dyDescent="0.2">
      <c r="R221" s="470"/>
    </row>
    <row r="222" spans="18:18" x14ac:dyDescent="0.2">
      <c r="R222" s="470"/>
    </row>
    <row r="223" spans="18:18" x14ac:dyDescent="0.2">
      <c r="R223" s="470"/>
    </row>
    <row r="224" spans="18:18" x14ac:dyDescent="0.2">
      <c r="R224" s="470"/>
    </row>
    <row r="225" spans="18:18" x14ac:dyDescent="0.2">
      <c r="R225" s="470"/>
    </row>
    <row r="226" spans="18:18" x14ac:dyDescent="0.2">
      <c r="R226" s="470"/>
    </row>
    <row r="227" spans="18:18" x14ac:dyDescent="0.2">
      <c r="R227" s="470"/>
    </row>
    <row r="228" spans="18:18" x14ac:dyDescent="0.2">
      <c r="R228" s="470"/>
    </row>
  </sheetData>
  <pageMargins left="0.7" right="0.7" top="0.75" bottom="0.75" header="0.3" footer="0.3"/>
  <pageSetup paperSize="9" orientation="portrait" horizontalDpi="300" verticalDpi="300" r:id="rId1"/>
  <legacyDrawing r:id="rId2"/>
  <tableParts count="1">
    <tablePart r:id="rId3"/>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6E000-286A-4517-8B1B-4A6C7289EB3F}">
  <sheetPr codeName="Sheet33">
    <tabColor rgb="FF7030A0"/>
  </sheetPr>
  <dimension ref="A1:B265"/>
  <sheetViews>
    <sheetView workbookViewId="0"/>
  </sheetViews>
  <sheetFormatPr defaultRowHeight="12.75" x14ac:dyDescent="0.2"/>
  <cols>
    <col min="1" max="1" width="25.7109375" style="271" customWidth="1"/>
    <col min="2" max="2" width="26.85546875" style="271" customWidth="1"/>
    <col min="3" max="256" width="9.140625" style="271"/>
    <col min="257" max="257" width="25.7109375" style="271" bestFit="1" customWidth="1"/>
    <col min="258" max="258" width="11.42578125" style="271" bestFit="1" customWidth="1"/>
    <col min="259" max="512" width="9.140625" style="271"/>
    <col min="513" max="513" width="25.7109375" style="271" bestFit="1" customWidth="1"/>
    <col min="514" max="514" width="11.42578125" style="271" bestFit="1" customWidth="1"/>
    <col min="515" max="768" width="9.140625" style="271"/>
    <col min="769" max="769" width="25.7109375" style="271" bestFit="1" customWidth="1"/>
    <col min="770" max="770" width="11.42578125" style="271" bestFit="1" customWidth="1"/>
    <col min="771" max="1024" width="9.140625" style="271"/>
    <col min="1025" max="1025" width="25.7109375" style="271" bestFit="1" customWidth="1"/>
    <col min="1026" max="1026" width="11.42578125" style="271" bestFit="1" customWidth="1"/>
    <col min="1027" max="1280" width="9.140625" style="271"/>
    <col min="1281" max="1281" width="25.7109375" style="271" bestFit="1" customWidth="1"/>
    <col min="1282" max="1282" width="11.42578125" style="271" bestFit="1" customWidth="1"/>
    <col min="1283" max="1536" width="9.140625" style="271"/>
    <col min="1537" max="1537" width="25.7109375" style="271" bestFit="1" customWidth="1"/>
    <col min="1538" max="1538" width="11.42578125" style="271" bestFit="1" customWidth="1"/>
    <col min="1539" max="1792" width="9.140625" style="271"/>
    <col min="1793" max="1793" width="25.7109375" style="271" bestFit="1" customWidth="1"/>
    <col min="1794" max="1794" width="11.42578125" style="271" bestFit="1" customWidth="1"/>
    <col min="1795" max="2048" width="9.140625" style="271"/>
    <col min="2049" max="2049" width="25.7109375" style="271" bestFit="1" customWidth="1"/>
    <col min="2050" max="2050" width="11.42578125" style="271" bestFit="1" customWidth="1"/>
    <col min="2051" max="2304" width="9.140625" style="271"/>
    <col min="2305" max="2305" width="25.7109375" style="271" bestFit="1" customWidth="1"/>
    <col min="2306" max="2306" width="11.42578125" style="271" bestFit="1" customWidth="1"/>
    <col min="2307" max="2560" width="9.140625" style="271"/>
    <col min="2561" max="2561" width="25.7109375" style="271" bestFit="1" customWidth="1"/>
    <col min="2562" max="2562" width="11.42578125" style="271" bestFit="1" customWidth="1"/>
    <col min="2563" max="2816" width="9.140625" style="271"/>
    <col min="2817" max="2817" width="25.7109375" style="271" bestFit="1" customWidth="1"/>
    <col min="2818" max="2818" width="11.42578125" style="271" bestFit="1" customWidth="1"/>
    <col min="2819" max="3072" width="9.140625" style="271"/>
    <col min="3073" max="3073" width="25.7109375" style="271" bestFit="1" customWidth="1"/>
    <col min="3074" max="3074" width="11.42578125" style="271" bestFit="1" customWidth="1"/>
    <col min="3075" max="3328" width="9.140625" style="271"/>
    <col min="3329" max="3329" width="25.7109375" style="271" bestFit="1" customWidth="1"/>
    <col min="3330" max="3330" width="11.42578125" style="271" bestFit="1" customWidth="1"/>
    <col min="3331" max="3584" width="9.140625" style="271"/>
    <col min="3585" max="3585" width="25.7109375" style="271" bestFit="1" customWidth="1"/>
    <col min="3586" max="3586" width="11.42578125" style="271" bestFit="1" customWidth="1"/>
    <col min="3587" max="3840" width="9.140625" style="271"/>
    <col min="3841" max="3841" width="25.7109375" style="271" bestFit="1" customWidth="1"/>
    <col min="3842" max="3842" width="11.42578125" style="271" bestFit="1" customWidth="1"/>
    <col min="3843" max="4096" width="9.140625" style="271"/>
    <col min="4097" max="4097" width="25.7109375" style="271" bestFit="1" customWidth="1"/>
    <col min="4098" max="4098" width="11.42578125" style="271" bestFit="1" customWidth="1"/>
    <col min="4099" max="4352" width="9.140625" style="271"/>
    <col min="4353" max="4353" width="25.7109375" style="271" bestFit="1" customWidth="1"/>
    <col min="4354" max="4354" width="11.42578125" style="271" bestFit="1" customWidth="1"/>
    <col min="4355" max="4608" width="9.140625" style="271"/>
    <col min="4609" max="4609" width="25.7109375" style="271" bestFit="1" customWidth="1"/>
    <col min="4610" max="4610" width="11.42578125" style="271" bestFit="1" customWidth="1"/>
    <col min="4611" max="4864" width="9.140625" style="271"/>
    <col min="4865" max="4865" width="25.7109375" style="271" bestFit="1" customWidth="1"/>
    <col min="4866" max="4866" width="11.42578125" style="271" bestFit="1" customWidth="1"/>
    <col min="4867" max="5120" width="9.140625" style="271"/>
    <col min="5121" max="5121" width="25.7109375" style="271" bestFit="1" customWidth="1"/>
    <col min="5122" max="5122" width="11.42578125" style="271" bestFit="1" customWidth="1"/>
    <col min="5123" max="5376" width="9.140625" style="271"/>
    <col min="5377" max="5377" width="25.7109375" style="271" bestFit="1" customWidth="1"/>
    <col min="5378" max="5378" width="11.42578125" style="271" bestFit="1" customWidth="1"/>
    <col min="5379" max="5632" width="9.140625" style="271"/>
    <col min="5633" max="5633" width="25.7109375" style="271" bestFit="1" customWidth="1"/>
    <col min="5634" max="5634" width="11.42578125" style="271" bestFit="1" customWidth="1"/>
    <col min="5635" max="5888" width="9.140625" style="271"/>
    <col min="5889" max="5889" width="25.7109375" style="271" bestFit="1" customWidth="1"/>
    <col min="5890" max="5890" width="11.42578125" style="271" bestFit="1" customWidth="1"/>
    <col min="5891" max="6144" width="9.140625" style="271"/>
    <col min="6145" max="6145" width="25.7109375" style="271" bestFit="1" customWidth="1"/>
    <col min="6146" max="6146" width="11.42578125" style="271" bestFit="1" customWidth="1"/>
    <col min="6147" max="6400" width="9.140625" style="271"/>
    <col min="6401" max="6401" width="25.7109375" style="271" bestFit="1" customWidth="1"/>
    <col min="6402" max="6402" width="11.42578125" style="271" bestFit="1" customWidth="1"/>
    <col min="6403" max="6656" width="9.140625" style="271"/>
    <col min="6657" max="6657" width="25.7109375" style="271" bestFit="1" customWidth="1"/>
    <col min="6658" max="6658" width="11.42578125" style="271" bestFit="1" customWidth="1"/>
    <col min="6659" max="6912" width="9.140625" style="271"/>
    <col min="6913" max="6913" width="25.7109375" style="271" bestFit="1" customWidth="1"/>
    <col min="6914" max="6914" width="11.42578125" style="271" bestFit="1" customWidth="1"/>
    <col min="6915" max="7168" width="9.140625" style="271"/>
    <col min="7169" max="7169" width="25.7109375" style="271" bestFit="1" customWidth="1"/>
    <col min="7170" max="7170" width="11.42578125" style="271" bestFit="1" customWidth="1"/>
    <col min="7171" max="7424" width="9.140625" style="271"/>
    <col min="7425" max="7425" width="25.7109375" style="271" bestFit="1" customWidth="1"/>
    <col min="7426" max="7426" width="11.42578125" style="271" bestFit="1" customWidth="1"/>
    <col min="7427" max="7680" width="9.140625" style="271"/>
    <col min="7681" max="7681" width="25.7109375" style="271" bestFit="1" customWidth="1"/>
    <col min="7682" max="7682" width="11.42578125" style="271" bestFit="1" customWidth="1"/>
    <col min="7683" max="7936" width="9.140625" style="271"/>
    <col min="7937" max="7937" width="25.7109375" style="271" bestFit="1" customWidth="1"/>
    <col min="7938" max="7938" width="11.42578125" style="271" bestFit="1" customWidth="1"/>
    <col min="7939" max="8192" width="9.140625" style="271"/>
    <col min="8193" max="8193" width="25.7109375" style="271" bestFit="1" customWidth="1"/>
    <col min="8194" max="8194" width="11.42578125" style="271" bestFit="1" customWidth="1"/>
    <col min="8195" max="8448" width="9.140625" style="271"/>
    <col min="8449" max="8449" width="25.7109375" style="271" bestFit="1" customWidth="1"/>
    <col min="8450" max="8450" width="11.42578125" style="271" bestFit="1" customWidth="1"/>
    <col min="8451" max="8704" width="9.140625" style="271"/>
    <col min="8705" max="8705" width="25.7109375" style="271" bestFit="1" customWidth="1"/>
    <col min="8706" max="8706" width="11.42578125" style="271" bestFit="1" customWidth="1"/>
    <col min="8707" max="8960" width="9.140625" style="271"/>
    <col min="8961" max="8961" width="25.7109375" style="271" bestFit="1" customWidth="1"/>
    <col min="8962" max="8962" width="11.42578125" style="271" bestFit="1" customWidth="1"/>
    <col min="8963" max="9216" width="9.140625" style="271"/>
    <col min="9217" max="9217" width="25.7109375" style="271" bestFit="1" customWidth="1"/>
    <col min="9218" max="9218" width="11.42578125" style="271" bestFit="1" customWidth="1"/>
    <col min="9219" max="9472" width="9.140625" style="271"/>
    <col min="9473" max="9473" width="25.7109375" style="271" bestFit="1" customWidth="1"/>
    <col min="9474" max="9474" width="11.42578125" style="271" bestFit="1" customWidth="1"/>
    <col min="9475" max="9728" width="9.140625" style="271"/>
    <col min="9729" max="9729" width="25.7109375" style="271" bestFit="1" customWidth="1"/>
    <col min="9730" max="9730" width="11.42578125" style="271" bestFit="1" customWidth="1"/>
    <col min="9731" max="9984" width="9.140625" style="271"/>
    <col min="9985" max="9985" width="25.7109375" style="271" bestFit="1" customWidth="1"/>
    <col min="9986" max="9986" width="11.42578125" style="271" bestFit="1" customWidth="1"/>
    <col min="9987" max="10240" width="9.140625" style="271"/>
    <col min="10241" max="10241" width="25.7109375" style="271" bestFit="1" customWidth="1"/>
    <col min="10242" max="10242" width="11.42578125" style="271" bestFit="1" customWidth="1"/>
    <col min="10243" max="10496" width="9.140625" style="271"/>
    <col min="10497" max="10497" width="25.7109375" style="271" bestFit="1" customWidth="1"/>
    <col min="10498" max="10498" width="11.42578125" style="271" bestFit="1" customWidth="1"/>
    <col min="10499" max="10752" width="9.140625" style="271"/>
    <col min="10753" max="10753" width="25.7109375" style="271" bestFit="1" customWidth="1"/>
    <col min="10754" max="10754" width="11.42578125" style="271" bestFit="1" customWidth="1"/>
    <col min="10755" max="11008" width="9.140625" style="271"/>
    <col min="11009" max="11009" width="25.7109375" style="271" bestFit="1" customWidth="1"/>
    <col min="11010" max="11010" width="11.42578125" style="271" bestFit="1" customWidth="1"/>
    <col min="11011" max="11264" width="9.140625" style="271"/>
    <col min="11265" max="11265" width="25.7109375" style="271" bestFit="1" customWidth="1"/>
    <col min="11266" max="11266" width="11.42578125" style="271" bestFit="1" customWidth="1"/>
    <col min="11267" max="11520" width="9.140625" style="271"/>
    <col min="11521" max="11521" width="25.7109375" style="271" bestFit="1" customWidth="1"/>
    <col min="11522" max="11522" width="11.42578125" style="271" bestFit="1" customWidth="1"/>
    <col min="11523" max="11776" width="9.140625" style="271"/>
    <col min="11777" max="11777" width="25.7109375" style="271" bestFit="1" customWidth="1"/>
    <col min="11778" max="11778" width="11.42578125" style="271" bestFit="1" customWidth="1"/>
    <col min="11779" max="12032" width="9.140625" style="271"/>
    <col min="12033" max="12033" width="25.7109375" style="271" bestFit="1" customWidth="1"/>
    <col min="12034" max="12034" width="11.42578125" style="271" bestFit="1" customWidth="1"/>
    <col min="12035" max="12288" width="9.140625" style="271"/>
    <col min="12289" max="12289" width="25.7109375" style="271" bestFit="1" customWidth="1"/>
    <col min="12290" max="12290" width="11.42578125" style="271" bestFit="1" customWidth="1"/>
    <col min="12291" max="12544" width="9.140625" style="271"/>
    <col min="12545" max="12545" width="25.7109375" style="271" bestFit="1" customWidth="1"/>
    <col min="12546" max="12546" width="11.42578125" style="271" bestFit="1" customWidth="1"/>
    <col min="12547" max="12800" width="9.140625" style="271"/>
    <col min="12801" max="12801" width="25.7109375" style="271" bestFit="1" customWidth="1"/>
    <col min="12802" max="12802" width="11.42578125" style="271" bestFit="1" customWidth="1"/>
    <col min="12803" max="13056" width="9.140625" style="271"/>
    <col min="13057" max="13057" width="25.7109375" style="271" bestFit="1" customWidth="1"/>
    <col min="13058" max="13058" width="11.42578125" style="271" bestFit="1" customWidth="1"/>
    <col min="13059" max="13312" width="9.140625" style="271"/>
    <col min="13313" max="13313" width="25.7109375" style="271" bestFit="1" customWidth="1"/>
    <col min="13314" max="13314" width="11.42578125" style="271" bestFit="1" customWidth="1"/>
    <col min="13315" max="13568" width="9.140625" style="271"/>
    <col min="13569" max="13569" width="25.7109375" style="271" bestFit="1" customWidth="1"/>
    <col min="13570" max="13570" width="11.42578125" style="271" bestFit="1" customWidth="1"/>
    <col min="13571" max="13824" width="9.140625" style="271"/>
    <col min="13825" max="13825" width="25.7109375" style="271" bestFit="1" customWidth="1"/>
    <col min="13826" max="13826" width="11.42578125" style="271" bestFit="1" customWidth="1"/>
    <col min="13827" max="14080" width="9.140625" style="271"/>
    <col min="14081" max="14081" width="25.7109375" style="271" bestFit="1" customWidth="1"/>
    <col min="14082" max="14082" width="11.42578125" style="271" bestFit="1" customWidth="1"/>
    <col min="14083" max="14336" width="9.140625" style="271"/>
    <col min="14337" max="14337" width="25.7109375" style="271" bestFit="1" customWidth="1"/>
    <col min="14338" max="14338" width="11.42578125" style="271" bestFit="1" customWidth="1"/>
    <col min="14339" max="14592" width="9.140625" style="271"/>
    <col min="14593" max="14593" width="25.7109375" style="271" bestFit="1" customWidth="1"/>
    <col min="14594" max="14594" width="11.42578125" style="271" bestFit="1" customWidth="1"/>
    <col min="14595" max="14848" width="9.140625" style="271"/>
    <col min="14849" max="14849" width="25.7109375" style="271" bestFit="1" customWidth="1"/>
    <col min="14850" max="14850" width="11.42578125" style="271" bestFit="1" customWidth="1"/>
    <col min="14851" max="15104" width="9.140625" style="271"/>
    <col min="15105" max="15105" width="25.7109375" style="271" bestFit="1" customWidth="1"/>
    <col min="15106" max="15106" width="11.42578125" style="271" bestFit="1" customWidth="1"/>
    <col min="15107" max="15360" width="9.140625" style="271"/>
    <col min="15361" max="15361" width="25.7109375" style="271" bestFit="1" customWidth="1"/>
    <col min="15362" max="15362" width="11.42578125" style="271" bestFit="1" customWidth="1"/>
    <col min="15363" max="15616" width="9.140625" style="271"/>
    <col min="15617" max="15617" width="25.7109375" style="271" bestFit="1" customWidth="1"/>
    <col min="15618" max="15618" width="11.42578125" style="271" bestFit="1" customWidth="1"/>
    <col min="15619" max="15872" width="9.140625" style="271"/>
    <col min="15873" max="15873" width="25.7109375" style="271" bestFit="1" customWidth="1"/>
    <col min="15874" max="15874" width="11.42578125" style="271" bestFit="1" customWidth="1"/>
    <col min="15875" max="16128" width="9.140625" style="271"/>
    <col min="16129" max="16129" width="25.7109375" style="271" bestFit="1" customWidth="1"/>
    <col min="16130" max="16130" width="11.42578125" style="271" bestFit="1" customWidth="1"/>
    <col min="16131" max="16384" width="9.140625" style="271"/>
  </cols>
  <sheetData>
    <row r="1" spans="1:2" x14ac:dyDescent="0.2">
      <c r="A1" s="271" t="s">
        <v>2197</v>
      </c>
      <c r="B1" s="271" t="s">
        <v>3102</v>
      </c>
    </row>
    <row r="2" spans="1:2" x14ac:dyDescent="0.2">
      <c r="A2" s="271" t="s">
        <v>503</v>
      </c>
      <c r="B2" s="271">
        <v>11.651999999999999</v>
      </c>
    </row>
    <row r="3" spans="1:2" x14ac:dyDescent="0.2">
      <c r="A3" s="271" t="s">
        <v>263</v>
      </c>
      <c r="B3" s="271">
        <v>32.487000000000002</v>
      </c>
    </row>
    <row r="4" spans="1:2" x14ac:dyDescent="0.2">
      <c r="A4" s="271" t="s">
        <v>85</v>
      </c>
      <c r="B4" s="271">
        <v>40.728999999999999</v>
      </c>
    </row>
    <row r="5" spans="1:2" x14ac:dyDescent="0.2">
      <c r="A5" s="271" t="s">
        <v>309</v>
      </c>
      <c r="B5" s="271">
        <v>11.78</v>
      </c>
    </row>
    <row r="6" spans="1:2" x14ac:dyDescent="0.2">
      <c r="A6" s="271" t="s">
        <v>313</v>
      </c>
      <c r="B6" s="271">
        <v>7.2</v>
      </c>
    </row>
    <row r="7" spans="1:2" x14ac:dyDescent="0.2">
      <c r="A7" s="271" t="s">
        <v>2198</v>
      </c>
      <c r="B7" s="271">
        <v>25.147541991311567</v>
      </c>
    </row>
    <row r="8" spans="1:2" x14ac:dyDescent="0.2">
      <c r="A8" s="271" t="s">
        <v>267</v>
      </c>
      <c r="B8" s="271">
        <v>10.331</v>
      </c>
    </row>
    <row r="9" spans="1:2" x14ac:dyDescent="0.2">
      <c r="A9" s="271" t="s">
        <v>189</v>
      </c>
      <c r="B9" s="271">
        <v>17.021000000000001</v>
      </c>
    </row>
    <row r="10" spans="1:2" x14ac:dyDescent="0.2">
      <c r="A10" s="271" t="s">
        <v>315</v>
      </c>
      <c r="B10" s="271">
        <v>13.987</v>
      </c>
    </row>
    <row r="11" spans="1:2" x14ac:dyDescent="0.2">
      <c r="A11" s="271" t="s">
        <v>2199</v>
      </c>
    </row>
    <row r="12" spans="1:2" x14ac:dyDescent="0.2">
      <c r="A12" s="271" t="s">
        <v>193</v>
      </c>
      <c r="B12" s="271">
        <v>15.327</v>
      </c>
    </row>
    <row r="13" spans="1:2" x14ac:dyDescent="0.2">
      <c r="A13" s="271" t="s">
        <v>441</v>
      </c>
      <c r="B13" s="271">
        <v>12.6</v>
      </c>
    </row>
    <row r="14" spans="1:2" x14ac:dyDescent="0.2">
      <c r="A14" s="271" t="s">
        <v>317</v>
      </c>
      <c r="B14" s="271">
        <v>9.6999999999999993</v>
      </c>
    </row>
    <row r="15" spans="1:2" x14ac:dyDescent="0.2">
      <c r="A15" s="271" t="s">
        <v>319</v>
      </c>
      <c r="B15" s="271">
        <v>14</v>
      </c>
    </row>
    <row r="16" spans="1:2" x14ac:dyDescent="0.2">
      <c r="A16" s="271" t="s">
        <v>91</v>
      </c>
      <c r="B16" s="271">
        <v>39.008000000000003</v>
      </c>
    </row>
    <row r="17" spans="1:2" x14ac:dyDescent="0.2">
      <c r="A17" s="271" t="s">
        <v>321</v>
      </c>
      <c r="B17" s="271">
        <v>10.3</v>
      </c>
    </row>
    <row r="18" spans="1:2" x14ac:dyDescent="0.2">
      <c r="A18" s="271" t="s">
        <v>95</v>
      </c>
      <c r="B18" s="271">
        <v>36.220999999999997</v>
      </c>
    </row>
    <row r="19" spans="1:2" x14ac:dyDescent="0.2">
      <c r="A19" s="271" t="s">
        <v>97</v>
      </c>
      <c r="B19" s="271">
        <v>37.93</v>
      </c>
    </row>
    <row r="20" spans="1:2" x14ac:dyDescent="0.2">
      <c r="A20" s="271" t="s">
        <v>417</v>
      </c>
      <c r="B20" s="271">
        <v>18.184000000000001</v>
      </c>
    </row>
    <row r="21" spans="1:2" x14ac:dyDescent="0.2">
      <c r="A21" s="271" t="s">
        <v>323</v>
      </c>
      <c r="B21" s="271">
        <v>8.9</v>
      </c>
    </row>
    <row r="22" spans="1:2" x14ac:dyDescent="0.2">
      <c r="A22" s="271" t="s">
        <v>269</v>
      </c>
      <c r="B22" s="271">
        <v>13.99</v>
      </c>
    </row>
    <row r="23" spans="1:2" x14ac:dyDescent="0.2">
      <c r="A23" s="271" t="s">
        <v>195</v>
      </c>
      <c r="B23" s="271">
        <v>13.968</v>
      </c>
    </row>
    <row r="24" spans="1:2" x14ac:dyDescent="0.2">
      <c r="A24" s="271" t="s">
        <v>325</v>
      </c>
      <c r="B24" s="271">
        <v>8.1110000000000007</v>
      </c>
    </row>
    <row r="25" spans="1:2" x14ac:dyDescent="0.2">
      <c r="A25" s="271" t="s">
        <v>327</v>
      </c>
      <c r="B25" s="271">
        <v>9.9</v>
      </c>
    </row>
    <row r="26" spans="1:2" x14ac:dyDescent="0.2">
      <c r="A26" s="271" t="s">
        <v>198</v>
      </c>
      <c r="B26" s="271">
        <v>20.786000000000001</v>
      </c>
    </row>
    <row r="27" spans="1:2" x14ac:dyDescent="0.2">
      <c r="A27" s="271" t="s">
        <v>2200</v>
      </c>
      <c r="B27" s="271">
        <v>8.1999999999999993</v>
      </c>
    </row>
    <row r="28" spans="1:2" x14ac:dyDescent="0.2">
      <c r="A28" s="271" t="s">
        <v>200</v>
      </c>
      <c r="B28" s="271">
        <v>21.75</v>
      </c>
    </row>
    <row r="29" spans="1:2" x14ac:dyDescent="0.2">
      <c r="A29" s="271" t="s">
        <v>202</v>
      </c>
      <c r="B29" s="271">
        <v>13.923999999999999</v>
      </c>
    </row>
    <row r="30" spans="1:2" x14ac:dyDescent="0.2">
      <c r="A30" s="271" t="s">
        <v>204</v>
      </c>
      <c r="B30" s="271">
        <v>10.648</v>
      </c>
    </row>
    <row r="31" spans="1:2" x14ac:dyDescent="0.2">
      <c r="A31" s="271" t="s">
        <v>444</v>
      </c>
      <c r="B31" s="271">
        <v>14.896000000000001</v>
      </c>
    </row>
    <row r="32" spans="1:2" x14ac:dyDescent="0.2">
      <c r="A32" s="271" t="s">
        <v>420</v>
      </c>
      <c r="B32" s="271">
        <v>17.259</v>
      </c>
    </row>
    <row r="33" spans="1:2" x14ac:dyDescent="0.2">
      <c r="A33" s="271" t="s">
        <v>99</v>
      </c>
      <c r="B33" s="271">
        <v>24.821000000000002</v>
      </c>
    </row>
    <row r="34" spans="1:2" x14ac:dyDescent="0.2">
      <c r="A34" s="271" t="s">
        <v>102</v>
      </c>
      <c r="B34" s="271">
        <v>35.347999999999999</v>
      </c>
    </row>
    <row r="35" spans="1:2" x14ac:dyDescent="0.2">
      <c r="A35" s="271" t="s">
        <v>206</v>
      </c>
      <c r="B35" s="271">
        <v>10.1</v>
      </c>
    </row>
    <row r="36" spans="1:2" x14ac:dyDescent="0.2">
      <c r="A36" s="271" t="s">
        <v>2201</v>
      </c>
      <c r="B36" s="271">
        <v>9.948650527468974</v>
      </c>
    </row>
    <row r="37" spans="1:2" x14ac:dyDescent="0.2">
      <c r="A37" s="271" t="s">
        <v>329</v>
      </c>
      <c r="B37" s="271">
        <v>10</v>
      </c>
    </row>
    <row r="38" spans="1:2" x14ac:dyDescent="0.2">
      <c r="A38" s="271" t="s">
        <v>504</v>
      </c>
      <c r="B38" s="271">
        <v>9.8610000000000007</v>
      </c>
    </row>
    <row r="39" spans="1:2" x14ac:dyDescent="0.2">
      <c r="A39" s="271" t="s">
        <v>209</v>
      </c>
      <c r="B39" s="271">
        <v>12.428000000000001</v>
      </c>
    </row>
    <row r="40" spans="1:2" x14ac:dyDescent="0.2">
      <c r="A40" s="271" t="s">
        <v>446</v>
      </c>
      <c r="B40" s="271">
        <v>10.9</v>
      </c>
    </row>
    <row r="41" spans="1:2" x14ac:dyDescent="0.2">
      <c r="A41" s="271" t="s">
        <v>104</v>
      </c>
      <c r="B41" s="271">
        <v>35.74</v>
      </c>
    </row>
    <row r="42" spans="1:2" x14ac:dyDescent="0.2">
      <c r="A42" s="271" t="s">
        <v>106</v>
      </c>
      <c r="B42" s="271">
        <v>35.386000000000003</v>
      </c>
    </row>
    <row r="43" spans="1:2" x14ac:dyDescent="0.2">
      <c r="A43" s="271" t="s">
        <v>109</v>
      </c>
      <c r="B43" s="271">
        <v>41.183</v>
      </c>
    </row>
    <row r="44" spans="1:2" x14ac:dyDescent="0.2">
      <c r="A44" s="271" t="s">
        <v>111</v>
      </c>
      <c r="B44" s="271">
        <v>32.862000000000002</v>
      </c>
    </row>
    <row r="45" spans="1:2" x14ac:dyDescent="0.2">
      <c r="A45" s="271" t="s">
        <v>211</v>
      </c>
      <c r="B45" s="271">
        <v>14.882</v>
      </c>
    </row>
    <row r="46" spans="1:2" x14ac:dyDescent="0.2">
      <c r="A46" s="271" t="s">
        <v>113</v>
      </c>
      <c r="B46" s="271">
        <v>31.881</v>
      </c>
    </row>
    <row r="47" spans="1:2" x14ac:dyDescent="0.2">
      <c r="A47" s="271" t="s">
        <v>115</v>
      </c>
      <c r="B47" s="271">
        <v>19.489999999999998</v>
      </c>
    </row>
    <row r="48" spans="1:2" x14ac:dyDescent="0.2">
      <c r="A48" s="271" t="s">
        <v>213</v>
      </c>
      <c r="B48" s="271">
        <v>13.971</v>
      </c>
    </row>
    <row r="49" spans="1:2" x14ac:dyDescent="0.2">
      <c r="A49" s="271" t="s">
        <v>2202</v>
      </c>
      <c r="B49" s="271">
        <v>15.886769356006214</v>
      </c>
    </row>
    <row r="50" spans="1:2" x14ac:dyDescent="0.2">
      <c r="A50" s="271" t="s">
        <v>215</v>
      </c>
      <c r="B50" s="271">
        <v>10.166</v>
      </c>
    </row>
    <row r="51" spans="1:2" x14ac:dyDescent="0.2">
      <c r="A51" s="271" t="s">
        <v>505</v>
      </c>
      <c r="B51" s="271">
        <v>10.8</v>
      </c>
    </row>
    <row r="52" spans="1:2" x14ac:dyDescent="0.2">
      <c r="A52" s="271" t="s">
        <v>2203</v>
      </c>
      <c r="B52" s="271">
        <v>9.9</v>
      </c>
    </row>
    <row r="53" spans="1:2" x14ac:dyDescent="0.2">
      <c r="A53" s="271" t="s">
        <v>331</v>
      </c>
      <c r="B53" s="271">
        <v>10.462</v>
      </c>
    </row>
    <row r="54" spans="1:2" x14ac:dyDescent="0.2">
      <c r="A54" s="271" t="s">
        <v>333</v>
      </c>
      <c r="B54" s="271">
        <v>10.7</v>
      </c>
    </row>
    <row r="55" spans="1:2" x14ac:dyDescent="0.2">
      <c r="A55" s="271" t="s">
        <v>335</v>
      </c>
      <c r="B55" s="271">
        <v>9.5</v>
      </c>
    </row>
    <row r="56" spans="1:2" x14ac:dyDescent="0.2">
      <c r="A56" s="271" t="s">
        <v>271</v>
      </c>
      <c r="B56" s="271">
        <v>21.466000000000001</v>
      </c>
    </row>
    <row r="57" spans="1:2" x14ac:dyDescent="0.2">
      <c r="A57" s="271" t="s">
        <v>217</v>
      </c>
    </row>
    <row r="58" spans="1:2" x14ac:dyDescent="0.2">
      <c r="A58" s="271" t="s">
        <v>337</v>
      </c>
      <c r="B58" s="271">
        <v>10.6</v>
      </c>
    </row>
    <row r="59" spans="1:2" x14ac:dyDescent="0.2">
      <c r="A59" s="271" t="s">
        <v>219</v>
      </c>
      <c r="B59" s="271">
        <v>19.506</v>
      </c>
    </row>
    <row r="60" spans="1:2" x14ac:dyDescent="0.2">
      <c r="A60" s="271" t="s">
        <v>117</v>
      </c>
      <c r="B60" s="271">
        <v>24.282</v>
      </c>
    </row>
    <row r="61" spans="1:2" x14ac:dyDescent="0.2">
      <c r="A61" s="271" t="s">
        <v>2204</v>
      </c>
      <c r="B61" s="271">
        <v>13.112015500033861</v>
      </c>
    </row>
    <row r="62" spans="1:2" x14ac:dyDescent="0.2">
      <c r="A62" s="271" t="s">
        <v>2205</v>
      </c>
      <c r="B62" s="271">
        <v>20.203955737697203</v>
      </c>
    </row>
    <row r="63" spans="1:2" x14ac:dyDescent="0.2">
      <c r="A63" s="271" t="s">
        <v>2206</v>
      </c>
      <c r="B63" s="271">
        <v>12.561120647269998</v>
      </c>
    </row>
    <row r="64" spans="1:2" x14ac:dyDescent="0.2">
      <c r="A64" s="271" t="s">
        <v>2207</v>
      </c>
      <c r="B64" s="271">
        <v>14.401002854135138</v>
      </c>
    </row>
    <row r="65" spans="1:2" x14ac:dyDescent="0.2">
      <c r="A65" s="271" t="s">
        <v>2208</v>
      </c>
      <c r="B65" s="271">
        <v>11.72984008021832</v>
      </c>
    </row>
    <row r="66" spans="1:2" x14ac:dyDescent="0.2">
      <c r="A66" s="271" t="s">
        <v>221</v>
      </c>
      <c r="B66" s="271">
        <v>19.719000000000001</v>
      </c>
    </row>
    <row r="67" spans="1:2" x14ac:dyDescent="0.2">
      <c r="A67" s="271" t="s">
        <v>273</v>
      </c>
      <c r="B67" s="271">
        <v>26.379000000000001</v>
      </c>
    </row>
    <row r="68" spans="1:2" x14ac:dyDescent="0.2">
      <c r="A68" s="271" t="s">
        <v>2209</v>
      </c>
      <c r="B68" s="271">
        <v>9.2744661093346572</v>
      </c>
    </row>
    <row r="69" spans="1:2" x14ac:dyDescent="0.2">
      <c r="A69" s="271" t="s">
        <v>120</v>
      </c>
      <c r="B69" s="271">
        <v>30.302</v>
      </c>
    </row>
    <row r="70" spans="1:2" x14ac:dyDescent="0.2">
      <c r="A70" s="271" t="s">
        <v>339</v>
      </c>
      <c r="B70" s="271">
        <v>7.9</v>
      </c>
    </row>
    <row r="71" spans="1:2" x14ac:dyDescent="0.2">
      <c r="A71" s="271" t="s">
        <v>341</v>
      </c>
      <c r="B71" s="271">
        <v>10.9</v>
      </c>
    </row>
    <row r="72" spans="1:2" x14ac:dyDescent="0.2">
      <c r="A72" s="271" t="s">
        <v>122</v>
      </c>
      <c r="B72" s="271">
        <v>32.338999999999999</v>
      </c>
    </row>
    <row r="73" spans="1:2" x14ac:dyDescent="0.2">
      <c r="A73" s="271" t="s">
        <v>2210</v>
      </c>
      <c r="B73" s="271">
        <v>9.4655595928357847</v>
      </c>
    </row>
    <row r="74" spans="1:2" x14ac:dyDescent="0.2">
      <c r="A74" s="271" t="s">
        <v>2211</v>
      </c>
      <c r="B74" s="271">
        <v>33.733759298363609</v>
      </c>
    </row>
    <row r="75" spans="1:2" x14ac:dyDescent="0.2">
      <c r="A75" s="271" t="s">
        <v>343</v>
      </c>
      <c r="B75" s="271">
        <v>8.6</v>
      </c>
    </row>
    <row r="76" spans="1:2" x14ac:dyDescent="0.2">
      <c r="A76" s="271" t="s">
        <v>450</v>
      </c>
      <c r="B76" s="271">
        <v>21.277000000000001</v>
      </c>
    </row>
    <row r="77" spans="1:2" x14ac:dyDescent="0.2">
      <c r="A77" s="271" t="s">
        <v>345</v>
      </c>
      <c r="B77" s="271">
        <v>11.3</v>
      </c>
    </row>
    <row r="78" spans="1:2" x14ac:dyDescent="0.2">
      <c r="A78" s="271" t="s">
        <v>2212</v>
      </c>
      <c r="B78" s="271">
        <v>13.4</v>
      </c>
    </row>
    <row r="79" spans="1:2" x14ac:dyDescent="0.2">
      <c r="A79" s="271" t="s">
        <v>452</v>
      </c>
      <c r="B79" s="271">
        <v>22.82</v>
      </c>
    </row>
    <row r="80" spans="1:2" x14ac:dyDescent="0.2">
      <c r="A80" s="271" t="s">
        <v>124</v>
      </c>
      <c r="B80" s="271">
        <v>31.611000000000001</v>
      </c>
    </row>
    <row r="81" spans="1:2" x14ac:dyDescent="0.2">
      <c r="A81" s="271" t="s">
        <v>347</v>
      </c>
      <c r="B81" s="271">
        <v>11</v>
      </c>
    </row>
    <row r="82" spans="1:2" x14ac:dyDescent="0.2">
      <c r="A82" s="271" t="s">
        <v>349</v>
      </c>
      <c r="B82" s="271">
        <v>13.472</v>
      </c>
    </row>
    <row r="83" spans="1:2" x14ac:dyDescent="0.2">
      <c r="A83" s="271" t="s">
        <v>126</v>
      </c>
      <c r="B83" s="271">
        <v>29.407</v>
      </c>
    </row>
    <row r="84" spans="1:2" x14ac:dyDescent="0.2">
      <c r="A84" s="271" t="s">
        <v>2213</v>
      </c>
    </row>
    <row r="85" spans="1:2" x14ac:dyDescent="0.2">
      <c r="A85" s="271" t="s">
        <v>128</v>
      </c>
      <c r="B85" s="271">
        <v>36.363999999999997</v>
      </c>
    </row>
    <row r="86" spans="1:2" x14ac:dyDescent="0.2">
      <c r="A86" s="271" t="s">
        <v>130</v>
      </c>
      <c r="B86" s="271">
        <v>38.534999999999997</v>
      </c>
    </row>
    <row r="87" spans="1:2" x14ac:dyDescent="0.2">
      <c r="A87" s="271" t="s">
        <v>132</v>
      </c>
      <c r="B87" s="271">
        <v>35.125</v>
      </c>
    </row>
    <row r="88" spans="1:2" x14ac:dyDescent="0.2">
      <c r="A88" s="271" t="s">
        <v>134</v>
      </c>
      <c r="B88" s="271">
        <v>33.241</v>
      </c>
    </row>
    <row r="89" spans="1:2" x14ac:dyDescent="0.2">
      <c r="A89" s="271" t="s">
        <v>351</v>
      </c>
      <c r="B89" s="271">
        <v>8.1</v>
      </c>
    </row>
    <row r="90" spans="1:2" x14ac:dyDescent="0.2">
      <c r="A90" s="271" t="s">
        <v>223</v>
      </c>
      <c r="B90" s="271">
        <v>16.465</v>
      </c>
    </row>
    <row r="91" spans="1:2" x14ac:dyDescent="0.2">
      <c r="A91" s="271" t="s">
        <v>2214</v>
      </c>
      <c r="B91" s="271">
        <v>14.6</v>
      </c>
    </row>
    <row r="92" spans="1:2" x14ac:dyDescent="0.2">
      <c r="A92" s="271" t="s">
        <v>225</v>
      </c>
      <c r="B92" s="271">
        <v>24.561</v>
      </c>
    </row>
    <row r="93" spans="1:2" x14ac:dyDescent="0.2">
      <c r="A93" s="271" t="s">
        <v>509</v>
      </c>
      <c r="B93" s="271">
        <v>16.579000000000001</v>
      </c>
    </row>
    <row r="94" spans="1:2" x14ac:dyDescent="0.2">
      <c r="A94" s="271" t="s">
        <v>227</v>
      </c>
      <c r="B94" s="271">
        <v>19.966999999999999</v>
      </c>
    </row>
    <row r="95" spans="1:2" x14ac:dyDescent="0.2">
      <c r="A95" s="271" t="s">
        <v>2215</v>
      </c>
      <c r="B95" s="271">
        <v>10.300919928459029</v>
      </c>
    </row>
    <row r="96" spans="1:2" x14ac:dyDescent="0.2">
      <c r="A96" s="271" t="s">
        <v>510</v>
      </c>
      <c r="B96" s="271">
        <v>7.2</v>
      </c>
    </row>
    <row r="97" spans="1:2" x14ac:dyDescent="0.2">
      <c r="A97" s="271" t="s">
        <v>229</v>
      </c>
      <c r="B97" s="271">
        <v>21.599</v>
      </c>
    </row>
    <row r="98" spans="1:2" x14ac:dyDescent="0.2">
      <c r="A98" s="271" t="s">
        <v>2216</v>
      </c>
      <c r="B98" s="271">
        <v>35.298468898189036</v>
      </c>
    </row>
    <row r="99" spans="1:2" x14ac:dyDescent="0.2">
      <c r="A99" s="271" t="s">
        <v>353</v>
      </c>
      <c r="B99" s="271">
        <v>9</v>
      </c>
    </row>
    <row r="100" spans="1:2" x14ac:dyDescent="0.2">
      <c r="A100" s="271" t="s">
        <v>231</v>
      </c>
      <c r="B100" s="271">
        <v>24.349</v>
      </c>
    </row>
    <row r="101" spans="1:2" x14ac:dyDescent="0.2">
      <c r="A101" s="271" t="s">
        <v>355</v>
      </c>
      <c r="B101" s="271">
        <v>9.6</v>
      </c>
    </row>
    <row r="102" spans="1:2" x14ac:dyDescent="0.2">
      <c r="A102" s="271" t="s">
        <v>2217</v>
      </c>
      <c r="B102" s="271">
        <v>15.648280460851501</v>
      </c>
    </row>
    <row r="103" spans="1:2" x14ac:dyDescent="0.2">
      <c r="A103" s="271" t="s">
        <v>2218</v>
      </c>
      <c r="B103" s="271">
        <v>19.608665124522695</v>
      </c>
    </row>
    <row r="104" spans="1:2" x14ac:dyDescent="0.2">
      <c r="A104" s="271" t="s">
        <v>94</v>
      </c>
      <c r="B104" s="271">
        <v>31.191966701882627</v>
      </c>
    </row>
    <row r="105" spans="1:2" x14ac:dyDescent="0.2">
      <c r="A105" s="271" t="s">
        <v>2219</v>
      </c>
      <c r="B105" s="271">
        <v>31.833344967011353</v>
      </c>
    </row>
    <row r="106" spans="1:2" x14ac:dyDescent="0.2">
      <c r="A106" s="271" t="s">
        <v>422</v>
      </c>
      <c r="B106" s="271">
        <v>18.071999999999999</v>
      </c>
    </row>
    <row r="107" spans="1:2" x14ac:dyDescent="0.2">
      <c r="A107" s="271" t="s">
        <v>2220</v>
      </c>
      <c r="B107" s="271">
        <v>30.867198832978666</v>
      </c>
    </row>
    <row r="108" spans="1:2" x14ac:dyDescent="0.2">
      <c r="A108" s="271" t="s">
        <v>2221</v>
      </c>
    </row>
    <row r="109" spans="1:2" x14ac:dyDescent="0.2">
      <c r="A109" s="271" t="s">
        <v>425</v>
      </c>
      <c r="B109" s="271">
        <v>17.856999999999999</v>
      </c>
    </row>
    <row r="110" spans="1:2" x14ac:dyDescent="0.2">
      <c r="A110" s="271" t="s">
        <v>2222</v>
      </c>
    </row>
    <row r="111" spans="1:2" x14ac:dyDescent="0.2">
      <c r="A111" s="271" t="s">
        <v>357</v>
      </c>
      <c r="B111" s="271">
        <v>12.5</v>
      </c>
    </row>
    <row r="112" spans="1:2" x14ac:dyDescent="0.2">
      <c r="A112" s="271" t="s">
        <v>275</v>
      </c>
      <c r="B112" s="271">
        <v>18.783000000000001</v>
      </c>
    </row>
    <row r="113" spans="1:2" x14ac:dyDescent="0.2">
      <c r="A113" s="271" t="s">
        <v>277</v>
      </c>
      <c r="B113" s="271">
        <v>29.074999999999999</v>
      </c>
    </row>
    <row r="114" spans="1:2" x14ac:dyDescent="0.2">
      <c r="A114" s="271" t="s">
        <v>359</v>
      </c>
      <c r="B114" s="271">
        <v>12</v>
      </c>
    </row>
    <row r="115" spans="1:2" x14ac:dyDescent="0.2">
      <c r="A115" s="271" t="s">
        <v>361</v>
      </c>
      <c r="B115" s="271">
        <v>20.8</v>
      </c>
    </row>
    <row r="116" spans="1:2" x14ac:dyDescent="0.2">
      <c r="A116" s="271" t="s">
        <v>363</v>
      </c>
      <c r="B116" s="271">
        <v>7.3</v>
      </c>
    </row>
    <row r="117" spans="1:2" x14ac:dyDescent="0.2">
      <c r="A117" s="271" t="s">
        <v>233</v>
      </c>
      <c r="B117" s="271">
        <v>16.103000000000002</v>
      </c>
    </row>
    <row r="118" spans="1:2" x14ac:dyDescent="0.2">
      <c r="A118" s="271" t="s">
        <v>279</v>
      </c>
      <c r="B118" s="271">
        <v>21.978999999999999</v>
      </c>
    </row>
    <row r="119" spans="1:2" x14ac:dyDescent="0.2">
      <c r="A119" s="271" t="s">
        <v>454</v>
      </c>
      <c r="B119" s="271">
        <v>7.4</v>
      </c>
    </row>
    <row r="120" spans="1:2" x14ac:dyDescent="0.2">
      <c r="A120" s="271" t="s">
        <v>365</v>
      </c>
      <c r="B120" s="271">
        <v>21.77</v>
      </c>
    </row>
    <row r="121" spans="1:2" x14ac:dyDescent="0.2">
      <c r="A121" s="271" t="s">
        <v>136</v>
      </c>
      <c r="B121" s="271">
        <v>28.748000000000001</v>
      </c>
    </row>
    <row r="122" spans="1:2" x14ac:dyDescent="0.2">
      <c r="A122" s="271" t="s">
        <v>367</v>
      </c>
      <c r="B122" s="271">
        <v>27.1</v>
      </c>
    </row>
    <row r="123" spans="1:2" x14ac:dyDescent="0.2">
      <c r="A123" s="271" t="s">
        <v>456</v>
      </c>
      <c r="B123" s="271">
        <v>22.463999999999999</v>
      </c>
    </row>
    <row r="124" spans="1:2" x14ac:dyDescent="0.2">
      <c r="A124" s="271" t="s">
        <v>458</v>
      </c>
      <c r="B124" s="271">
        <v>27.887</v>
      </c>
    </row>
    <row r="125" spans="1:2" x14ac:dyDescent="0.2">
      <c r="A125" s="271" t="s">
        <v>235</v>
      </c>
    </row>
    <row r="126" spans="1:2" x14ac:dyDescent="0.2">
      <c r="A126" s="271" t="s">
        <v>460</v>
      </c>
      <c r="B126" s="271">
        <v>6.4</v>
      </c>
    </row>
    <row r="127" spans="1:2" x14ac:dyDescent="0.2">
      <c r="A127" s="271" t="s">
        <v>281</v>
      </c>
      <c r="B127" s="271">
        <v>13.939</v>
      </c>
    </row>
    <row r="128" spans="1:2" x14ac:dyDescent="0.2">
      <c r="A128" s="271" t="s">
        <v>2223</v>
      </c>
      <c r="B128" s="271">
        <v>16.546412793481718</v>
      </c>
    </row>
    <row r="129" spans="1:2" x14ac:dyDescent="0.2">
      <c r="A129" s="271" t="s">
        <v>462</v>
      </c>
      <c r="B129" s="271">
        <v>23.548999999999999</v>
      </c>
    </row>
    <row r="130" spans="1:2" x14ac:dyDescent="0.2">
      <c r="A130" s="271" t="s">
        <v>283</v>
      </c>
      <c r="B130" s="271">
        <v>17.545000000000002</v>
      </c>
    </row>
    <row r="131" spans="1:2" x14ac:dyDescent="0.2">
      <c r="A131" s="271" t="s">
        <v>138</v>
      </c>
      <c r="B131" s="271">
        <v>33.042000000000002</v>
      </c>
    </row>
    <row r="132" spans="1:2" x14ac:dyDescent="0.2">
      <c r="A132" s="271" t="s">
        <v>285</v>
      </c>
      <c r="B132" s="271">
        <v>18.829000000000001</v>
      </c>
    </row>
    <row r="133" spans="1:2" x14ac:dyDescent="0.2">
      <c r="A133" s="271" t="s">
        <v>237</v>
      </c>
      <c r="B133" s="271">
        <v>12</v>
      </c>
    </row>
    <row r="134" spans="1:2" x14ac:dyDescent="0.2">
      <c r="A134" s="271" t="s">
        <v>2224</v>
      </c>
      <c r="B134" s="271">
        <v>16.362274367969341</v>
      </c>
    </row>
    <row r="135" spans="1:2" x14ac:dyDescent="0.2">
      <c r="A135" s="271" t="s">
        <v>2225</v>
      </c>
      <c r="B135" s="271">
        <v>31.432905419713965</v>
      </c>
    </row>
    <row r="136" spans="1:2" x14ac:dyDescent="0.2">
      <c r="A136" s="271" t="s">
        <v>2226</v>
      </c>
      <c r="B136" s="271">
        <v>34.62114307081238</v>
      </c>
    </row>
    <row r="137" spans="1:2" x14ac:dyDescent="0.2">
      <c r="A137" s="271" t="s">
        <v>2227</v>
      </c>
      <c r="B137" s="271">
        <v>9.9</v>
      </c>
    </row>
    <row r="138" spans="1:2" x14ac:dyDescent="0.2">
      <c r="A138" s="271" t="s">
        <v>427</v>
      </c>
      <c r="B138" s="271">
        <v>15.831</v>
      </c>
    </row>
    <row r="139" spans="1:2" x14ac:dyDescent="0.2">
      <c r="A139" s="271" t="s">
        <v>2228</v>
      </c>
      <c r="B139" s="271">
        <v>22.19005790629976</v>
      </c>
    </row>
    <row r="140" spans="1:2" x14ac:dyDescent="0.2">
      <c r="A140" s="271" t="s">
        <v>2229</v>
      </c>
      <c r="B140" s="271">
        <v>19.697560047345682</v>
      </c>
    </row>
    <row r="141" spans="1:2" x14ac:dyDescent="0.2">
      <c r="A141" s="271" t="s">
        <v>140</v>
      </c>
      <c r="B141" s="271">
        <v>26.808</v>
      </c>
    </row>
    <row r="142" spans="1:2" x14ac:dyDescent="0.2">
      <c r="A142" s="271" t="s">
        <v>2230</v>
      </c>
      <c r="B142" s="271">
        <v>12.06975122033379</v>
      </c>
    </row>
    <row r="143" spans="1:2" x14ac:dyDescent="0.2">
      <c r="A143" s="271" t="s">
        <v>369</v>
      </c>
      <c r="B143" s="271">
        <v>10</v>
      </c>
    </row>
    <row r="144" spans="1:2" x14ac:dyDescent="0.2">
      <c r="A144" s="271" t="s">
        <v>371</v>
      </c>
      <c r="B144" s="271">
        <v>10.3</v>
      </c>
    </row>
    <row r="145" spans="1:2" x14ac:dyDescent="0.2">
      <c r="A145" s="271" t="s">
        <v>373</v>
      </c>
      <c r="B145" s="271">
        <v>10</v>
      </c>
    </row>
    <row r="146" spans="1:2" x14ac:dyDescent="0.2">
      <c r="A146" s="271" t="s">
        <v>511</v>
      </c>
      <c r="B146" s="271">
        <v>11.058</v>
      </c>
    </row>
    <row r="147" spans="1:2" x14ac:dyDescent="0.2">
      <c r="A147" s="271" t="s">
        <v>2231</v>
      </c>
      <c r="B147" s="271">
        <v>14.7</v>
      </c>
    </row>
    <row r="148" spans="1:2" x14ac:dyDescent="0.2">
      <c r="A148" s="271" t="s">
        <v>287</v>
      </c>
      <c r="B148" s="271">
        <v>18.937000000000001</v>
      </c>
    </row>
    <row r="149" spans="1:2" x14ac:dyDescent="0.2">
      <c r="A149" s="271" t="s">
        <v>375</v>
      </c>
      <c r="B149" s="271">
        <v>5.9</v>
      </c>
    </row>
    <row r="150" spans="1:2" x14ac:dyDescent="0.2">
      <c r="A150" s="271" t="s">
        <v>377</v>
      </c>
      <c r="B150" s="271">
        <v>10.1</v>
      </c>
    </row>
    <row r="151" spans="1:2" x14ac:dyDescent="0.2">
      <c r="A151" s="271" t="s">
        <v>142</v>
      </c>
      <c r="B151" s="271">
        <v>32.656999999999996</v>
      </c>
    </row>
    <row r="152" spans="1:2" x14ac:dyDescent="0.2">
      <c r="A152" s="271" t="s">
        <v>429</v>
      </c>
      <c r="B152" s="271">
        <v>14.199</v>
      </c>
    </row>
    <row r="153" spans="1:2" x14ac:dyDescent="0.2">
      <c r="A153" s="271" t="s">
        <v>2232</v>
      </c>
      <c r="B153" s="271">
        <v>22.578525442502148</v>
      </c>
    </row>
    <row r="154" spans="1:2" x14ac:dyDescent="0.2">
      <c r="A154" s="271" t="s">
        <v>239</v>
      </c>
      <c r="B154" s="271">
        <v>17.602</v>
      </c>
    </row>
    <row r="155" spans="1:2" x14ac:dyDescent="0.2">
      <c r="A155" s="271" t="s">
        <v>464</v>
      </c>
    </row>
    <row r="156" spans="1:2" x14ac:dyDescent="0.2">
      <c r="A156" s="271" t="s">
        <v>2233</v>
      </c>
      <c r="B156" s="271">
        <v>17.995226569526984</v>
      </c>
    </row>
    <row r="157" spans="1:2" x14ac:dyDescent="0.2">
      <c r="A157" s="271" t="s">
        <v>379</v>
      </c>
      <c r="B157" s="271">
        <v>10.811</v>
      </c>
    </row>
    <row r="158" spans="1:2" x14ac:dyDescent="0.2">
      <c r="A158" s="271" t="s">
        <v>144</v>
      </c>
      <c r="B158" s="271">
        <v>41.542999999999999</v>
      </c>
    </row>
    <row r="159" spans="1:2" x14ac:dyDescent="0.2">
      <c r="A159" s="271" t="s">
        <v>381</v>
      </c>
      <c r="B159" s="271">
        <v>9.1999999999999993</v>
      </c>
    </row>
    <row r="160" spans="1:2" x14ac:dyDescent="0.2">
      <c r="A160" s="271" t="s">
        <v>431</v>
      </c>
      <c r="B160" s="271">
        <v>17.552</v>
      </c>
    </row>
    <row r="161" spans="1:2" x14ac:dyDescent="0.2">
      <c r="A161" s="271" t="s">
        <v>2234</v>
      </c>
      <c r="B161" s="271">
        <v>23.631551476562024</v>
      </c>
    </row>
    <row r="162" spans="1:2" x14ac:dyDescent="0.2">
      <c r="A162" s="271" t="s">
        <v>383</v>
      </c>
      <c r="B162" s="271">
        <v>11.731999999999999</v>
      </c>
    </row>
    <row r="163" spans="1:2" x14ac:dyDescent="0.2">
      <c r="A163" s="271" t="s">
        <v>466</v>
      </c>
      <c r="B163" s="271">
        <v>24.131</v>
      </c>
    </row>
    <row r="164" spans="1:2" x14ac:dyDescent="0.2">
      <c r="A164" s="271" t="s">
        <v>2235</v>
      </c>
    </row>
    <row r="165" spans="1:2" x14ac:dyDescent="0.2">
      <c r="A165" s="271" t="s">
        <v>146</v>
      </c>
      <c r="B165" s="271">
        <v>37.520000000000003</v>
      </c>
    </row>
    <row r="166" spans="1:2" x14ac:dyDescent="0.2">
      <c r="A166" s="271" t="s">
        <v>148</v>
      </c>
      <c r="B166" s="271">
        <v>33.694000000000003</v>
      </c>
    </row>
    <row r="167" spans="1:2" x14ac:dyDescent="0.2">
      <c r="A167" s="271" t="s">
        <v>150</v>
      </c>
      <c r="B167" s="271">
        <v>10.199999999999999</v>
      </c>
    </row>
    <row r="168" spans="1:2" x14ac:dyDescent="0.2">
      <c r="A168" s="271" t="s">
        <v>153</v>
      </c>
      <c r="B168" s="271">
        <v>34.118000000000002</v>
      </c>
    </row>
    <row r="169" spans="1:2" x14ac:dyDescent="0.2">
      <c r="A169" s="271" t="s">
        <v>468</v>
      </c>
      <c r="B169" s="271">
        <v>16.751999999999999</v>
      </c>
    </row>
    <row r="170" spans="1:2" x14ac:dyDescent="0.2">
      <c r="A170" s="271" t="s">
        <v>2236</v>
      </c>
      <c r="B170" s="271">
        <v>11.44661196680174</v>
      </c>
    </row>
    <row r="171" spans="1:2" x14ac:dyDescent="0.2">
      <c r="A171" s="271" t="s">
        <v>155</v>
      </c>
      <c r="B171" s="271">
        <v>28.638999999999999</v>
      </c>
    </row>
    <row r="172" spans="1:2" x14ac:dyDescent="0.2">
      <c r="A172" s="271" t="s">
        <v>514</v>
      </c>
      <c r="B172" s="271">
        <v>14.5</v>
      </c>
    </row>
    <row r="173" spans="1:2" x14ac:dyDescent="0.2">
      <c r="A173" s="271" t="s">
        <v>157</v>
      </c>
      <c r="B173" s="271">
        <v>46.079000000000001</v>
      </c>
    </row>
    <row r="174" spans="1:2" x14ac:dyDescent="0.2">
      <c r="A174" s="271" t="s">
        <v>159</v>
      </c>
      <c r="B174" s="271">
        <v>37.905000000000001</v>
      </c>
    </row>
    <row r="175" spans="1:2" x14ac:dyDescent="0.2">
      <c r="A175" s="271" t="s">
        <v>241</v>
      </c>
      <c r="B175" s="271">
        <v>20.640999999999998</v>
      </c>
    </row>
    <row r="176" spans="1:2" x14ac:dyDescent="0.2">
      <c r="A176" s="271" t="s">
        <v>385</v>
      </c>
      <c r="B176" s="271">
        <v>9.6999999999999993</v>
      </c>
    </row>
    <row r="177" spans="1:2" x14ac:dyDescent="0.2">
      <c r="A177" s="271" t="s">
        <v>387</v>
      </c>
      <c r="B177" s="271">
        <v>10.4</v>
      </c>
    </row>
    <row r="178" spans="1:2" x14ac:dyDescent="0.2">
      <c r="A178" s="271" t="s">
        <v>433</v>
      </c>
      <c r="B178" s="271">
        <v>19.887</v>
      </c>
    </row>
    <row r="179" spans="1:2" x14ac:dyDescent="0.2">
      <c r="A179" s="271" t="s">
        <v>472</v>
      </c>
    </row>
    <row r="180" spans="1:2" x14ac:dyDescent="0.2">
      <c r="A180" s="271" t="s">
        <v>474</v>
      </c>
      <c r="B180" s="271">
        <v>11.98</v>
      </c>
    </row>
    <row r="181" spans="1:2" x14ac:dyDescent="0.2">
      <c r="A181" s="271" t="s">
        <v>2237</v>
      </c>
      <c r="B181" s="271">
        <v>11.312536206360591</v>
      </c>
    </row>
    <row r="182" spans="1:2" x14ac:dyDescent="0.2">
      <c r="A182" s="271" t="s">
        <v>289</v>
      </c>
      <c r="B182" s="271">
        <v>19.189</v>
      </c>
    </row>
    <row r="183" spans="1:2" x14ac:dyDescent="0.2">
      <c r="A183" s="271" t="s">
        <v>2238</v>
      </c>
      <c r="B183" s="271">
        <v>23.122601558552375</v>
      </c>
    </row>
    <row r="184" spans="1:2" x14ac:dyDescent="0.2">
      <c r="A184" s="271" t="s">
        <v>291</v>
      </c>
      <c r="B184" s="271">
        <v>28.25</v>
      </c>
    </row>
    <row r="185" spans="1:2" x14ac:dyDescent="0.2">
      <c r="A185" s="271" t="s">
        <v>243</v>
      </c>
      <c r="B185" s="271">
        <v>18.975999999999999</v>
      </c>
    </row>
    <row r="186" spans="1:2" x14ac:dyDescent="0.2">
      <c r="A186" s="271" t="s">
        <v>245</v>
      </c>
      <c r="B186" s="271">
        <v>17.949000000000002</v>
      </c>
    </row>
    <row r="187" spans="1:2" x14ac:dyDescent="0.2">
      <c r="A187" s="271" t="s">
        <v>476</v>
      </c>
      <c r="B187" s="271">
        <v>20.545999999999999</v>
      </c>
    </row>
    <row r="188" spans="1:2" x14ac:dyDescent="0.2">
      <c r="A188" s="271" t="s">
        <v>478</v>
      </c>
      <c r="B188" s="271">
        <v>14</v>
      </c>
    </row>
    <row r="189" spans="1:2" x14ac:dyDescent="0.2">
      <c r="A189" s="271" t="s">
        <v>480</v>
      </c>
      <c r="B189" s="271">
        <v>27.073</v>
      </c>
    </row>
    <row r="190" spans="1:2" x14ac:dyDescent="0.2">
      <c r="A190" s="271" t="s">
        <v>389</v>
      </c>
      <c r="B190" s="271">
        <v>10.199999999999999</v>
      </c>
    </row>
    <row r="191" spans="1:2" x14ac:dyDescent="0.2">
      <c r="A191" s="271" t="s">
        <v>2239</v>
      </c>
      <c r="B191" s="271">
        <v>36.544944102075583</v>
      </c>
    </row>
    <row r="192" spans="1:2" x14ac:dyDescent="0.2">
      <c r="A192" s="271" t="s">
        <v>515</v>
      </c>
      <c r="B192" s="271">
        <v>6.7</v>
      </c>
    </row>
    <row r="193" spans="1:2" x14ac:dyDescent="0.2">
      <c r="A193" s="271" t="s">
        <v>435</v>
      </c>
      <c r="B193" s="271">
        <v>13.89</v>
      </c>
    </row>
    <row r="194" spans="1:2" x14ac:dyDescent="0.2">
      <c r="A194" s="271" t="s">
        <v>391</v>
      </c>
      <c r="B194" s="271">
        <v>8.5</v>
      </c>
    </row>
    <row r="195" spans="1:2" x14ac:dyDescent="0.2">
      <c r="A195" s="271" t="s">
        <v>247</v>
      </c>
      <c r="B195" s="271">
        <v>20.571000000000002</v>
      </c>
    </row>
    <row r="196" spans="1:2" x14ac:dyDescent="0.2">
      <c r="A196" s="271" t="s">
        <v>293</v>
      </c>
      <c r="B196" s="271">
        <v>29.282</v>
      </c>
    </row>
    <row r="197" spans="1:2" x14ac:dyDescent="0.2">
      <c r="A197" s="271" t="s">
        <v>2240</v>
      </c>
      <c r="B197" s="271">
        <v>26.09917834147878</v>
      </c>
    </row>
    <row r="198" spans="1:2" x14ac:dyDescent="0.2">
      <c r="A198" s="271" t="s">
        <v>2241</v>
      </c>
      <c r="B198" s="271">
        <v>9.8281994071234795</v>
      </c>
    </row>
    <row r="199" spans="1:2" x14ac:dyDescent="0.2">
      <c r="A199" s="271" t="s">
        <v>516</v>
      </c>
      <c r="B199" s="271">
        <v>14.683999999999999</v>
      </c>
    </row>
    <row r="200" spans="1:2" x14ac:dyDescent="0.2">
      <c r="A200" s="271" t="s">
        <v>295</v>
      </c>
      <c r="B200" s="271">
        <v>9.5410000000000004</v>
      </c>
    </row>
    <row r="201" spans="1:2" x14ac:dyDescent="0.2">
      <c r="A201" s="271" t="s">
        <v>393</v>
      </c>
      <c r="B201" s="271">
        <v>9.6</v>
      </c>
    </row>
    <row r="202" spans="1:2" x14ac:dyDescent="0.2">
      <c r="A202" s="271" t="s">
        <v>395</v>
      </c>
      <c r="B202" s="271">
        <v>11.5</v>
      </c>
    </row>
    <row r="203" spans="1:2" x14ac:dyDescent="0.2">
      <c r="A203" s="271" t="s">
        <v>161</v>
      </c>
      <c r="B203" s="271">
        <v>31.696000000000002</v>
      </c>
    </row>
    <row r="204" spans="1:2" x14ac:dyDescent="0.2">
      <c r="A204" s="271" t="s">
        <v>2242</v>
      </c>
      <c r="B204" s="271">
        <v>19.407342319183279</v>
      </c>
    </row>
    <row r="205" spans="1:2" x14ac:dyDescent="0.2">
      <c r="A205" s="271" t="s">
        <v>297</v>
      </c>
      <c r="B205" s="271">
        <v>17.797999999999998</v>
      </c>
    </row>
    <row r="206" spans="1:2" x14ac:dyDescent="0.2">
      <c r="A206" s="271" t="s">
        <v>299</v>
      </c>
      <c r="B206" s="271">
        <v>32.177</v>
      </c>
    </row>
    <row r="207" spans="1:2" x14ac:dyDescent="0.2">
      <c r="A207" s="271" t="s">
        <v>163</v>
      </c>
      <c r="B207" s="271">
        <v>34.523000000000003</v>
      </c>
    </row>
    <row r="208" spans="1:2" x14ac:dyDescent="0.2">
      <c r="A208" s="271" t="s">
        <v>482</v>
      </c>
      <c r="B208" s="271">
        <v>8.8000000000000007</v>
      </c>
    </row>
    <row r="209" spans="1:2" x14ac:dyDescent="0.2">
      <c r="A209" s="271" t="s">
        <v>484</v>
      </c>
      <c r="B209" s="271">
        <v>32.439</v>
      </c>
    </row>
    <row r="210" spans="1:2" x14ac:dyDescent="0.2">
      <c r="A210" s="271" t="s">
        <v>165</v>
      </c>
      <c r="B210" s="271">
        <v>33.405999999999999</v>
      </c>
    </row>
    <row r="211" spans="1:2" x14ac:dyDescent="0.2">
      <c r="A211" s="271" t="s">
        <v>249</v>
      </c>
      <c r="B211" s="271">
        <v>18.253</v>
      </c>
    </row>
    <row r="212" spans="1:2" x14ac:dyDescent="0.2">
      <c r="A212" s="271" t="s">
        <v>397</v>
      </c>
      <c r="B212" s="271">
        <v>6.8</v>
      </c>
    </row>
    <row r="213" spans="1:2" x14ac:dyDescent="0.2">
      <c r="A213" s="271" t="s">
        <v>301</v>
      </c>
      <c r="B213" s="271">
        <v>41.753</v>
      </c>
    </row>
    <row r="214" spans="1:2" x14ac:dyDescent="0.2">
      <c r="A214" s="271" t="s">
        <v>399</v>
      </c>
      <c r="B214" s="271">
        <v>9.1999999999999993</v>
      </c>
    </row>
    <row r="215" spans="1:2" x14ac:dyDescent="0.2">
      <c r="A215" s="271" t="s">
        <v>2243</v>
      </c>
      <c r="B215" s="271">
        <v>35.250100844269632</v>
      </c>
    </row>
    <row r="216" spans="1:2" x14ac:dyDescent="0.2">
      <c r="A216" s="271" t="s">
        <v>167</v>
      </c>
      <c r="B216" s="271">
        <v>35.01</v>
      </c>
    </row>
    <row r="217" spans="1:2" x14ac:dyDescent="0.2">
      <c r="A217" s="271" t="s">
        <v>2244</v>
      </c>
      <c r="B217" s="271">
        <v>35.219077932707862</v>
      </c>
    </row>
    <row r="218" spans="1:2" x14ac:dyDescent="0.2">
      <c r="A218" s="271" t="s">
        <v>2245</v>
      </c>
      <c r="B218" s="271">
        <v>22.000925084144473</v>
      </c>
    </row>
    <row r="219" spans="1:2" x14ac:dyDescent="0.2">
      <c r="A219" s="271" t="s">
        <v>169</v>
      </c>
      <c r="B219" s="271">
        <v>31.538</v>
      </c>
    </row>
    <row r="220" spans="1:2" x14ac:dyDescent="0.2">
      <c r="A220" s="271" t="s">
        <v>251</v>
      </c>
      <c r="B220" s="271">
        <v>18.542000000000002</v>
      </c>
    </row>
    <row r="221" spans="1:2" x14ac:dyDescent="0.2">
      <c r="A221" s="271" t="s">
        <v>401</v>
      </c>
      <c r="B221" s="271">
        <v>10.6</v>
      </c>
    </row>
    <row r="222" spans="1:2" x14ac:dyDescent="0.2">
      <c r="A222" s="271" t="s">
        <v>403</v>
      </c>
      <c r="B222" s="271">
        <v>9.4</v>
      </c>
    </row>
    <row r="223" spans="1:2" x14ac:dyDescent="0.2">
      <c r="A223" s="271" t="s">
        <v>405</v>
      </c>
      <c r="B223" s="271">
        <v>11.4</v>
      </c>
    </row>
    <row r="224" spans="1:2" x14ac:dyDescent="0.2">
      <c r="A224" s="271" t="s">
        <v>171</v>
      </c>
      <c r="B224" s="271">
        <v>26.341999999999999</v>
      </c>
    </row>
    <row r="225" spans="1:2" x14ac:dyDescent="0.2">
      <c r="A225" s="271" t="s">
        <v>2246</v>
      </c>
    </row>
    <row r="226" spans="1:2" x14ac:dyDescent="0.2">
      <c r="A226" s="271" t="s">
        <v>173</v>
      </c>
      <c r="B226" s="271">
        <v>17.100000000000001</v>
      </c>
    </row>
    <row r="227" spans="1:2" x14ac:dyDescent="0.2">
      <c r="A227" s="271" t="s">
        <v>303</v>
      </c>
      <c r="B227" s="271">
        <v>23.684999999999999</v>
      </c>
    </row>
    <row r="228" spans="1:2" x14ac:dyDescent="0.2">
      <c r="A228" s="271" t="s">
        <v>2247</v>
      </c>
    </row>
    <row r="229" spans="1:2" x14ac:dyDescent="0.2">
      <c r="A229" s="271" t="s">
        <v>175</v>
      </c>
      <c r="B229" s="271">
        <v>42.171999999999997</v>
      </c>
    </row>
    <row r="230" spans="1:2" x14ac:dyDescent="0.2">
      <c r="A230" s="271" t="s">
        <v>2248</v>
      </c>
      <c r="B230" s="271">
        <v>13.102355170341173</v>
      </c>
    </row>
    <row r="231" spans="1:2" x14ac:dyDescent="0.2">
      <c r="A231" s="271" t="s">
        <v>2249</v>
      </c>
      <c r="B231" s="271">
        <v>13.801621450082092</v>
      </c>
    </row>
    <row r="232" spans="1:2" x14ac:dyDescent="0.2">
      <c r="A232" s="271" t="s">
        <v>177</v>
      </c>
      <c r="B232" s="271">
        <v>33.113</v>
      </c>
    </row>
    <row r="233" spans="1:2" x14ac:dyDescent="0.2">
      <c r="A233" s="271" t="s">
        <v>437</v>
      </c>
      <c r="B233" s="271">
        <v>10.343999999999999</v>
      </c>
    </row>
    <row r="234" spans="1:2" x14ac:dyDescent="0.2">
      <c r="A234" s="271" t="s">
        <v>407</v>
      </c>
      <c r="B234" s="271">
        <v>30.760999999999999</v>
      </c>
    </row>
    <row r="235" spans="1:2" x14ac:dyDescent="0.2">
      <c r="A235" s="271" t="s">
        <v>409</v>
      </c>
      <c r="B235" s="271">
        <v>23.831</v>
      </c>
    </row>
    <row r="236" spans="1:2" x14ac:dyDescent="0.2">
      <c r="A236" s="271" t="s">
        <v>2250</v>
      </c>
      <c r="B236" s="271">
        <v>16.531914383067708</v>
      </c>
    </row>
    <row r="237" spans="1:2" x14ac:dyDescent="0.2">
      <c r="A237" s="271" t="s">
        <v>439</v>
      </c>
      <c r="B237" s="271">
        <v>29.423999999999999</v>
      </c>
    </row>
    <row r="238" spans="1:2" x14ac:dyDescent="0.2">
      <c r="A238" s="271" t="s">
        <v>2251</v>
      </c>
      <c r="B238" s="271">
        <v>23.563310647762155</v>
      </c>
    </row>
    <row r="239" spans="1:2" x14ac:dyDescent="0.2">
      <c r="A239" s="271" t="s">
        <v>486</v>
      </c>
      <c r="B239" s="271">
        <v>24.303000000000001</v>
      </c>
    </row>
    <row r="240" spans="1:2" x14ac:dyDescent="0.2">
      <c r="A240" s="271" t="s">
        <v>2252</v>
      </c>
      <c r="B240" s="271">
        <v>19.407342319183282</v>
      </c>
    </row>
    <row r="241" spans="1:2" x14ac:dyDescent="0.2">
      <c r="A241" s="271" t="s">
        <v>2253</v>
      </c>
      <c r="B241" s="271">
        <v>35.219077932707854</v>
      </c>
    </row>
    <row r="242" spans="1:2" x14ac:dyDescent="0.2">
      <c r="A242" s="271" t="s">
        <v>253</v>
      </c>
      <c r="B242" s="271">
        <v>12.936999999999999</v>
      </c>
    </row>
    <row r="243" spans="1:2" x14ac:dyDescent="0.2">
      <c r="A243" s="271" t="s">
        <v>305</v>
      </c>
      <c r="B243" s="271">
        <v>17.564</v>
      </c>
    </row>
    <row r="244" spans="1:2" x14ac:dyDescent="0.2">
      <c r="A244" s="271" t="s">
        <v>411</v>
      </c>
      <c r="B244" s="271">
        <v>16.027000000000001</v>
      </c>
    </row>
    <row r="245" spans="1:2" x14ac:dyDescent="0.2">
      <c r="A245" s="271" t="s">
        <v>488</v>
      </c>
    </row>
    <row r="246" spans="1:2" x14ac:dyDescent="0.2">
      <c r="A246" s="271" t="s">
        <v>179</v>
      </c>
      <c r="B246" s="271">
        <v>36.700000000000003</v>
      </c>
    </row>
    <row r="247" spans="1:2" x14ac:dyDescent="0.2">
      <c r="A247" s="271" t="s">
        <v>181</v>
      </c>
      <c r="B247" s="271">
        <v>38.134999999999998</v>
      </c>
    </row>
    <row r="248" spans="1:2" x14ac:dyDescent="0.2">
      <c r="A248" s="271" t="s">
        <v>413</v>
      </c>
      <c r="B248" s="271">
        <v>8.6999999999999993</v>
      </c>
    </row>
    <row r="249" spans="1:2" x14ac:dyDescent="0.2">
      <c r="A249" s="271" t="s">
        <v>2254</v>
      </c>
      <c r="B249" s="271">
        <v>13.748796223017822</v>
      </c>
    </row>
    <row r="250" spans="1:2" x14ac:dyDescent="0.2">
      <c r="A250" s="271" t="s">
        <v>255</v>
      </c>
      <c r="B250" s="271">
        <v>13.856999999999999</v>
      </c>
    </row>
    <row r="251" spans="1:2" x14ac:dyDescent="0.2">
      <c r="A251" s="271" t="s">
        <v>257</v>
      </c>
      <c r="B251" s="271">
        <v>11.6</v>
      </c>
    </row>
    <row r="252" spans="1:2" x14ac:dyDescent="0.2">
      <c r="A252" s="271" t="s">
        <v>415</v>
      </c>
      <c r="B252" s="271">
        <v>23.3</v>
      </c>
    </row>
    <row r="253" spans="1:2" x14ac:dyDescent="0.2">
      <c r="A253" s="271" t="s">
        <v>259</v>
      </c>
      <c r="B253" s="271">
        <v>14.24</v>
      </c>
    </row>
    <row r="254" spans="1:2" x14ac:dyDescent="0.2">
      <c r="A254" s="271" t="s">
        <v>261</v>
      </c>
      <c r="B254" s="271">
        <v>17.881</v>
      </c>
    </row>
    <row r="255" spans="1:2" x14ac:dyDescent="0.2">
      <c r="A255" s="271" t="s">
        <v>2255</v>
      </c>
    </row>
    <row r="256" spans="1:2" x14ac:dyDescent="0.2">
      <c r="A256" s="271" t="s">
        <v>519</v>
      </c>
      <c r="B256" s="271">
        <v>12.5</v>
      </c>
    </row>
    <row r="257" spans="1:2" x14ac:dyDescent="0.2">
      <c r="A257" s="271" t="s">
        <v>490</v>
      </c>
      <c r="B257" s="271">
        <v>16.745000000000001</v>
      </c>
    </row>
    <row r="258" spans="1:2" x14ac:dyDescent="0.2">
      <c r="A258" s="271" t="s">
        <v>492</v>
      </c>
      <c r="B258" s="271">
        <v>29.594999999999999</v>
      </c>
    </row>
    <row r="259" spans="1:2" x14ac:dyDescent="0.2">
      <c r="A259" s="271" t="s">
        <v>2256</v>
      </c>
      <c r="B259" s="271">
        <v>18.174855122650513</v>
      </c>
    </row>
    <row r="260" spans="1:2" x14ac:dyDescent="0.2">
      <c r="A260" s="271" t="s">
        <v>494</v>
      </c>
      <c r="B260" s="271">
        <v>24.378</v>
      </c>
    </row>
    <row r="261" spans="1:2" x14ac:dyDescent="0.2">
      <c r="A261" s="271" t="s">
        <v>2257</v>
      </c>
      <c r="B261" s="271">
        <v>16</v>
      </c>
    </row>
    <row r="262" spans="1:2" x14ac:dyDescent="0.2">
      <c r="A262" s="271" t="s">
        <v>307</v>
      </c>
      <c r="B262" s="271">
        <v>30.452999999999999</v>
      </c>
    </row>
    <row r="263" spans="1:2" x14ac:dyDescent="0.2">
      <c r="A263" s="271" t="s">
        <v>183</v>
      </c>
      <c r="B263" s="271">
        <v>20.51</v>
      </c>
    </row>
    <row r="264" spans="1:2" x14ac:dyDescent="0.2">
      <c r="A264" s="271" t="s">
        <v>185</v>
      </c>
      <c r="B264" s="271">
        <v>36.192</v>
      </c>
    </row>
    <row r="265" spans="1:2" x14ac:dyDescent="0.2">
      <c r="A265" s="271" t="s">
        <v>187</v>
      </c>
      <c r="B265" s="271">
        <v>30.675999999999998</v>
      </c>
    </row>
  </sheetData>
  <pageMargins left="0.7" right="0.7" top="0.75" bottom="0.75" header="0.3" footer="0.3"/>
  <pageSetup paperSize="9" orientation="portrait" horizontalDpi="0" verticalDpi="0" r:id="rId1"/>
  <headerFooter alignWithMargins="0"/>
  <tableParts count="1">
    <tablePart r:id="rId2"/>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D566A-F4E9-4FF5-BC4B-911978ECB7C6}">
  <sheetPr codeName="Sheet25">
    <tabColor rgb="FF7030A0"/>
  </sheetPr>
  <dimension ref="A1:B265"/>
  <sheetViews>
    <sheetView workbookViewId="0"/>
  </sheetViews>
  <sheetFormatPr defaultRowHeight="12.75" x14ac:dyDescent="0.2"/>
  <cols>
    <col min="1" max="1" width="25.7109375" style="122" customWidth="1"/>
    <col min="2" max="2" width="26.7109375" style="125" customWidth="1"/>
    <col min="3" max="256" width="9.140625" style="122"/>
    <col min="257" max="257" width="25.7109375" style="122" bestFit="1" customWidth="1"/>
    <col min="258" max="258" width="11.42578125" style="122" bestFit="1" customWidth="1"/>
    <col min="259" max="512" width="9.140625" style="122"/>
    <col min="513" max="513" width="25.7109375" style="122" bestFit="1" customWidth="1"/>
    <col min="514" max="514" width="11.42578125" style="122" bestFit="1" customWidth="1"/>
    <col min="515" max="768" width="9.140625" style="122"/>
    <col min="769" max="769" width="25.7109375" style="122" bestFit="1" customWidth="1"/>
    <col min="770" max="770" width="11.42578125" style="122" bestFit="1" customWidth="1"/>
    <col min="771" max="1024" width="9.140625" style="122"/>
    <col min="1025" max="1025" width="25.7109375" style="122" bestFit="1" customWidth="1"/>
    <col min="1026" max="1026" width="11.42578125" style="122" bestFit="1" customWidth="1"/>
    <col min="1027" max="1280" width="9.140625" style="122"/>
    <col min="1281" max="1281" width="25.7109375" style="122" bestFit="1" customWidth="1"/>
    <col min="1282" max="1282" width="11.42578125" style="122" bestFit="1" customWidth="1"/>
    <col min="1283" max="1536" width="9.140625" style="122"/>
    <col min="1537" max="1537" width="25.7109375" style="122" bestFit="1" customWidth="1"/>
    <col min="1538" max="1538" width="11.42578125" style="122" bestFit="1" customWidth="1"/>
    <col min="1539" max="1792" width="9.140625" style="122"/>
    <col min="1793" max="1793" width="25.7109375" style="122" bestFit="1" customWidth="1"/>
    <col min="1794" max="1794" width="11.42578125" style="122" bestFit="1" customWidth="1"/>
    <col min="1795" max="2048" width="9.140625" style="122"/>
    <col min="2049" max="2049" width="25.7109375" style="122" bestFit="1" customWidth="1"/>
    <col min="2050" max="2050" width="11.42578125" style="122" bestFit="1" customWidth="1"/>
    <col min="2051" max="2304" width="9.140625" style="122"/>
    <col min="2305" max="2305" width="25.7109375" style="122" bestFit="1" customWidth="1"/>
    <col min="2306" max="2306" width="11.42578125" style="122" bestFit="1" customWidth="1"/>
    <col min="2307" max="2560" width="9.140625" style="122"/>
    <col min="2561" max="2561" width="25.7109375" style="122" bestFit="1" customWidth="1"/>
    <col min="2562" max="2562" width="11.42578125" style="122" bestFit="1" customWidth="1"/>
    <col min="2563" max="2816" width="9.140625" style="122"/>
    <col min="2817" max="2817" width="25.7109375" style="122" bestFit="1" customWidth="1"/>
    <col min="2818" max="2818" width="11.42578125" style="122" bestFit="1" customWidth="1"/>
    <col min="2819" max="3072" width="9.140625" style="122"/>
    <col min="3073" max="3073" width="25.7109375" style="122" bestFit="1" customWidth="1"/>
    <col min="3074" max="3074" width="11.42578125" style="122" bestFit="1" customWidth="1"/>
    <col min="3075" max="3328" width="9.140625" style="122"/>
    <col min="3329" max="3329" width="25.7109375" style="122" bestFit="1" customWidth="1"/>
    <col min="3330" max="3330" width="11.42578125" style="122" bestFit="1" customWidth="1"/>
    <col min="3331" max="3584" width="9.140625" style="122"/>
    <col min="3585" max="3585" width="25.7109375" style="122" bestFit="1" customWidth="1"/>
    <col min="3586" max="3586" width="11.42578125" style="122" bestFit="1" customWidth="1"/>
    <col min="3587" max="3840" width="9.140625" style="122"/>
    <col min="3841" max="3841" width="25.7109375" style="122" bestFit="1" customWidth="1"/>
    <col min="3842" max="3842" width="11.42578125" style="122" bestFit="1" customWidth="1"/>
    <col min="3843" max="4096" width="9.140625" style="122"/>
    <col min="4097" max="4097" width="25.7109375" style="122" bestFit="1" customWidth="1"/>
    <col min="4098" max="4098" width="11.42578125" style="122" bestFit="1" customWidth="1"/>
    <col min="4099" max="4352" width="9.140625" style="122"/>
    <col min="4353" max="4353" width="25.7109375" style="122" bestFit="1" customWidth="1"/>
    <col min="4354" max="4354" width="11.42578125" style="122" bestFit="1" customWidth="1"/>
    <col min="4355" max="4608" width="9.140625" style="122"/>
    <col min="4609" max="4609" width="25.7109375" style="122" bestFit="1" customWidth="1"/>
    <col min="4610" max="4610" width="11.42578125" style="122" bestFit="1" customWidth="1"/>
    <col min="4611" max="4864" width="9.140625" style="122"/>
    <col min="4865" max="4865" width="25.7109375" style="122" bestFit="1" customWidth="1"/>
    <col min="4866" max="4866" width="11.42578125" style="122" bestFit="1" customWidth="1"/>
    <col min="4867" max="5120" width="9.140625" style="122"/>
    <col min="5121" max="5121" width="25.7109375" style="122" bestFit="1" customWidth="1"/>
    <col min="5122" max="5122" width="11.42578125" style="122" bestFit="1" customWidth="1"/>
    <col min="5123" max="5376" width="9.140625" style="122"/>
    <col min="5377" max="5377" width="25.7109375" style="122" bestFit="1" customWidth="1"/>
    <col min="5378" max="5378" width="11.42578125" style="122" bestFit="1" customWidth="1"/>
    <col min="5379" max="5632" width="9.140625" style="122"/>
    <col min="5633" max="5633" width="25.7109375" style="122" bestFit="1" customWidth="1"/>
    <col min="5634" max="5634" width="11.42578125" style="122" bestFit="1" customWidth="1"/>
    <col min="5635" max="5888" width="9.140625" style="122"/>
    <col min="5889" max="5889" width="25.7109375" style="122" bestFit="1" customWidth="1"/>
    <col min="5890" max="5890" width="11.42578125" style="122" bestFit="1" customWidth="1"/>
    <col min="5891" max="6144" width="9.140625" style="122"/>
    <col min="6145" max="6145" width="25.7109375" style="122" bestFit="1" customWidth="1"/>
    <col min="6146" max="6146" width="11.42578125" style="122" bestFit="1" customWidth="1"/>
    <col min="6147" max="6400" width="9.140625" style="122"/>
    <col min="6401" max="6401" width="25.7109375" style="122" bestFit="1" customWidth="1"/>
    <col min="6402" max="6402" width="11.42578125" style="122" bestFit="1" customWidth="1"/>
    <col min="6403" max="6656" width="9.140625" style="122"/>
    <col min="6657" max="6657" width="25.7109375" style="122" bestFit="1" customWidth="1"/>
    <col min="6658" max="6658" width="11.42578125" style="122" bestFit="1" customWidth="1"/>
    <col min="6659" max="6912" width="9.140625" style="122"/>
    <col min="6913" max="6913" width="25.7109375" style="122" bestFit="1" customWidth="1"/>
    <col min="6914" max="6914" width="11.42578125" style="122" bestFit="1" customWidth="1"/>
    <col min="6915" max="7168" width="9.140625" style="122"/>
    <col min="7169" max="7169" width="25.7109375" style="122" bestFit="1" customWidth="1"/>
    <col min="7170" max="7170" width="11.42578125" style="122" bestFit="1" customWidth="1"/>
    <col min="7171" max="7424" width="9.140625" style="122"/>
    <col min="7425" max="7425" width="25.7109375" style="122" bestFit="1" customWidth="1"/>
    <col min="7426" max="7426" width="11.42578125" style="122" bestFit="1" customWidth="1"/>
    <col min="7427" max="7680" width="9.140625" style="122"/>
    <col min="7681" max="7681" width="25.7109375" style="122" bestFit="1" customWidth="1"/>
    <col min="7682" max="7682" width="11.42578125" style="122" bestFit="1" customWidth="1"/>
    <col min="7683" max="7936" width="9.140625" style="122"/>
    <col min="7937" max="7937" width="25.7109375" style="122" bestFit="1" customWidth="1"/>
    <col min="7938" max="7938" width="11.42578125" style="122" bestFit="1" customWidth="1"/>
    <col min="7939" max="8192" width="9.140625" style="122"/>
    <col min="8193" max="8193" width="25.7109375" style="122" bestFit="1" customWidth="1"/>
    <col min="8194" max="8194" width="11.42578125" style="122" bestFit="1" customWidth="1"/>
    <col min="8195" max="8448" width="9.140625" style="122"/>
    <col min="8449" max="8449" width="25.7109375" style="122" bestFit="1" customWidth="1"/>
    <col min="8450" max="8450" width="11.42578125" style="122" bestFit="1" customWidth="1"/>
    <col min="8451" max="8704" width="9.140625" style="122"/>
    <col min="8705" max="8705" width="25.7109375" style="122" bestFit="1" customWidth="1"/>
    <col min="8706" max="8706" width="11.42578125" style="122" bestFit="1" customWidth="1"/>
    <col min="8707" max="8960" width="9.140625" style="122"/>
    <col min="8961" max="8961" width="25.7109375" style="122" bestFit="1" customWidth="1"/>
    <col min="8962" max="8962" width="11.42578125" style="122" bestFit="1" customWidth="1"/>
    <col min="8963" max="9216" width="9.140625" style="122"/>
    <col min="9217" max="9217" width="25.7109375" style="122" bestFit="1" customWidth="1"/>
    <col min="9218" max="9218" width="11.42578125" style="122" bestFit="1" customWidth="1"/>
    <col min="9219" max="9472" width="9.140625" style="122"/>
    <col min="9473" max="9473" width="25.7109375" style="122" bestFit="1" customWidth="1"/>
    <col min="9474" max="9474" width="11.42578125" style="122" bestFit="1" customWidth="1"/>
    <col min="9475" max="9728" width="9.140625" style="122"/>
    <col min="9729" max="9729" width="25.7109375" style="122" bestFit="1" customWidth="1"/>
    <col min="9730" max="9730" width="11.42578125" style="122" bestFit="1" customWidth="1"/>
    <col min="9731" max="9984" width="9.140625" style="122"/>
    <col min="9985" max="9985" width="25.7109375" style="122" bestFit="1" customWidth="1"/>
    <col min="9986" max="9986" width="11.42578125" style="122" bestFit="1" customWidth="1"/>
    <col min="9987" max="10240" width="9.140625" style="122"/>
    <col min="10241" max="10241" width="25.7109375" style="122" bestFit="1" customWidth="1"/>
    <col min="10242" max="10242" width="11.42578125" style="122" bestFit="1" customWidth="1"/>
    <col min="10243" max="10496" width="9.140625" style="122"/>
    <col min="10497" max="10497" width="25.7109375" style="122" bestFit="1" customWidth="1"/>
    <col min="10498" max="10498" width="11.42578125" style="122" bestFit="1" customWidth="1"/>
    <col min="10499" max="10752" width="9.140625" style="122"/>
    <col min="10753" max="10753" width="25.7109375" style="122" bestFit="1" customWidth="1"/>
    <col min="10754" max="10754" width="11.42578125" style="122" bestFit="1" customWidth="1"/>
    <col min="10755" max="11008" width="9.140625" style="122"/>
    <col min="11009" max="11009" width="25.7109375" style="122" bestFit="1" customWidth="1"/>
    <col min="11010" max="11010" width="11.42578125" style="122" bestFit="1" customWidth="1"/>
    <col min="11011" max="11264" width="9.140625" style="122"/>
    <col min="11265" max="11265" width="25.7109375" style="122" bestFit="1" customWidth="1"/>
    <col min="11266" max="11266" width="11.42578125" style="122" bestFit="1" customWidth="1"/>
    <col min="11267" max="11520" width="9.140625" style="122"/>
    <col min="11521" max="11521" width="25.7109375" style="122" bestFit="1" customWidth="1"/>
    <col min="11522" max="11522" width="11.42578125" style="122" bestFit="1" customWidth="1"/>
    <col min="11523" max="11776" width="9.140625" style="122"/>
    <col min="11777" max="11777" width="25.7109375" style="122" bestFit="1" customWidth="1"/>
    <col min="11778" max="11778" width="11.42578125" style="122" bestFit="1" customWidth="1"/>
    <col min="11779" max="12032" width="9.140625" style="122"/>
    <col min="12033" max="12033" width="25.7109375" style="122" bestFit="1" customWidth="1"/>
    <col min="12034" max="12034" width="11.42578125" style="122" bestFit="1" customWidth="1"/>
    <col min="12035" max="12288" width="9.140625" style="122"/>
    <col min="12289" max="12289" width="25.7109375" style="122" bestFit="1" customWidth="1"/>
    <col min="12290" max="12290" width="11.42578125" style="122" bestFit="1" customWidth="1"/>
    <col min="12291" max="12544" width="9.140625" style="122"/>
    <col min="12545" max="12545" width="25.7109375" style="122" bestFit="1" customWidth="1"/>
    <col min="12546" max="12546" width="11.42578125" style="122" bestFit="1" customWidth="1"/>
    <col min="12547" max="12800" width="9.140625" style="122"/>
    <col min="12801" max="12801" width="25.7109375" style="122" bestFit="1" customWidth="1"/>
    <col min="12802" max="12802" width="11.42578125" style="122" bestFit="1" customWidth="1"/>
    <col min="12803" max="13056" width="9.140625" style="122"/>
    <col min="13057" max="13057" width="25.7109375" style="122" bestFit="1" customWidth="1"/>
    <col min="13058" max="13058" width="11.42578125" style="122" bestFit="1" customWidth="1"/>
    <col min="13059" max="13312" width="9.140625" style="122"/>
    <col min="13313" max="13313" width="25.7109375" style="122" bestFit="1" customWidth="1"/>
    <col min="13314" max="13314" width="11.42578125" style="122" bestFit="1" customWidth="1"/>
    <col min="13315" max="13568" width="9.140625" style="122"/>
    <col min="13569" max="13569" width="25.7109375" style="122" bestFit="1" customWidth="1"/>
    <col min="13570" max="13570" width="11.42578125" style="122" bestFit="1" customWidth="1"/>
    <col min="13571" max="13824" width="9.140625" style="122"/>
    <col min="13825" max="13825" width="25.7109375" style="122" bestFit="1" customWidth="1"/>
    <col min="13826" max="13826" width="11.42578125" style="122" bestFit="1" customWidth="1"/>
    <col min="13827" max="14080" width="9.140625" style="122"/>
    <col min="14081" max="14081" width="25.7109375" style="122" bestFit="1" customWidth="1"/>
    <col min="14082" max="14082" width="11.42578125" style="122" bestFit="1" customWidth="1"/>
    <col min="14083" max="14336" width="9.140625" style="122"/>
    <col min="14337" max="14337" width="25.7109375" style="122" bestFit="1" customWidth="1"/>
    <col min="14338" max="14338" width="11.42578125" style="122" bestFit="1" customWidth="1"/>
    <col min="14339" max="14592" width="9.140625" style="122"/>
    <col min="14593" max="14593" width="25.7109375" style="122" bestFit="1" customWidth="1"/>
    <col min="14594" max="14594" width="11.42578125" style="122" bestFit="1" customWidth="1"/>
    <col min="14595" max="14848" width="9.140625" style="122"/>
    <col min="14849" max="14849" width="25.7109375" style="122" bestFit="1" customWidth="1"/>
    <col min="14850" max="14850" width="11.42578125" style="122" bestFit="1" customWidth="1"/>
    <col min="14851" max="15104" width="9.140625" style="122"/>
    <col min="15105" max="15105" width="25.7109375" style="122" bestFit="1" customWidth="1"/>
    <col min="15106" max="15106" width="11.42578125" style="122" bestFit="1" customWidth="1"/>
    <col min="15107" max="15360" width="9.140625" style="122"/>
    <col min="15361" max="15361" width="25.7109375" style="122" bestFit="1" customWidth="1"/>
    <col min="15362" max="15362" width="11.42578125" style="122" bestFit="1" customWidth="1"/>
    <col min="15363" max="15616" width="9.140625" style="122"/>
    <col min="15617" max="15617" width="25.7109375" style="122" bestFit="1" customWidth="1"/>
    <col min="15618" max="15618" width="11.42578125" style="122" bestFit="1" customWidth="1"/>
    <col min="15619" max="15872" width="9.140625" style="122"/>
    <col min="15873" max="15873" width="25.7109375" style="122" bestFit="1" customWidth="1"/>
    <col min="15874" max="15874" width="11.42578125" style="122" bestFit="1" customWidth="1"/>
    <col min="15875" max="16128" width="9.140625" style="122"/>
    <col min="16129" max="16129" width="25.7109375" style="122" bestFit="1" customWidth="1"/>
    <col min="16130" max="16130" width="11.42578125" style="122" bestFit="1" customWidth="1"/>
    <col min="16131" max="16384" width="9.140625" style="122"/>
  </cols>
  <sheetData>
    <row r="1" spans="1:2" x14ac:dyDescent="0.2">
      <c r="A1" s="122" t="s">
        <v>2197</v>
      </c>
      <c r="B1" s="125" t="s">
        <v>2258</v>
      </c>
    </row>
    <row r="2" spans="1:2" x14ac:dyDescent="0.2">
      <c r="A2" s="122" t="s">
        <v>503</v>
      </c>
      <c r="B2" s="125">
        <v>11.6</v>
      </c>
    </row>
    <row r="3" spans="1:2" x14ac:dyDescent="0.2">
      <c r="A3" s="122" t="s">
        <v>263</v>
      </c>
      <c r="B3" s="125">
        <v>9.1999999999999993</v>
      </c>
    </row>
    <row r="4" spans="1:2" x14ac:dyDescent="0.2">
      <c r="A4" s="122" t="s">
        <v>85</v>
      </c>
      <c r="B4" s="125">
        <v>4.5</v>
      </c>
    </row>
    <row r="5" spans="1:2" x14ac:dyDescent="0.2">
      <c r="A5" s="122" t="s">
        <v>309</v>
      </c>
      <c r="B5" s="125">
        <v>9</v>
      </c>
    </row>
    <row r="6" spans="1:2" x14ac:dyDescent="0.2">
      <c r="A6" s="122" t="s">
        <v>313</v>
      </c>
      <c r="B6" s="125">
        <v>7.7</v>
      </c>
    </row>
    <row r="7" spans="1:2" x14ac:dyDescent="0.2">
      <c r="A7" s="122" t="s">
        <v>2198</v>
      </c>
      <c r="B7" s="125">
        <v>12.53600144871324</v>
      </c>
    </row>
    <row r="8" spans="1:2" x14ac:dyDescent="0.2">
      <c r="A8" s="122" t="s">
        <v>267</v>
      </c>
      <c r="B8" s="125">
        <v>16.3</v>
      </c>
    </row>
    <row r="9" spans="1:2" x14ac:dyDescent="0.2">
      <c r="A9" s="122" t="s">
        <v>189</v>
      </c>
      <c r="B9" s="125">
        <v>5.9</v>
      </c>
    </row>
    <row r="10" spans="1:2" x14ac:dyDescent="0.2">
      <c r="A10" s="122" t="s">
        <v>315</v>
      </c>
      <c r="B10" s="125">
        <v>6.1</v>
      </c>
    </row>
    <row r="11" spans="1:2" x14ac:dyDescent="0.2">
      <c r="A11" s="122" t="s">
        <v>2199</v>
      </c>
    </row>
    <row r="12" spans="1:2" x14ac:dyDescent="0.2">
      <c r="A12" s="122" t="s">
        <v>193</v>
      </c>
      <c r="B12" s="125">
        <v>13.1</v>
      </c>
    </row>
    <row r="13" spans="1:2" x14ac:dyDescent="0.2">
      <c r="A13" s="122" t="s">
        <v>441</v>
      </c>
      <c r="B13" s="125">
        <v>5.6</v>
      </c>
    </row>
    <row r="14" spans="1:2" x14ac:dyDescent="0.2">
      <c r="A14" s="122" t="s">
        <v>317</v>
      </c>
      <c r="B14" s="125">
        <v>6.6</v>
      </c>
    </row>
    <row r="15" spans="1:2" x14ac:dyDescent="0.2">
      <c r="A15" s="122" t="s">
        <v>319</v>
      </c>
      <c r="B15" s="125">
        <v>6.1</v>
      </c>
    </row>
    <row r="16" spans="1:2" x14ac:dyDescent="0.2">
      <c r="A16" s="122" t="s">
        <v>91</v>
      </c>
      <c r="B16" s="125">
        <v>5.0999999999999996</v>
      </c>
    </row>
    <row r="17" spans="1:2" x14ac:dyDescent="0.2">
      <c r="A17" s="122" t="s">
        <v>321</v>
      </c>
      <c r="B17" s="125">
        <v>4.5999999999999996</v>
      </c>
    </row>
    <row r="18" spans="1:2" x14ac:dyDescent="0.2">
      <c r="A18" s="122" t="s">
        <v>95</v>
      </c>
      <c r="B18" s="125">
        <v>1</v>
      </c>
    </row>
    <row r="19" spans="1:2" x14ac:dyDescent="0.2">
      <c r="A19" s="122" t="s">
        <v>97</v>
      </c>
      <c r="B19" s="125">
        <v>7.3</v>
      </c>
    </row>
    <row r="20" spans="1:2" x14ac:dyDescent="0.2">
      <c r="A20" s="122" t="s">
        <v>417</v>
      </c>
      <c r="B20" s="125">
        <v>9.1999999999999993</v>
      </c>
    </row>
    <row r="21" spans="1:2" x14ac:dyDescent="0.2">
      <c r="A21" s="122" t="s">
        <v>323</v>
      </c>
      <c r="B21" s="125">
        <v>6</v>
      </c>
    </row>
    <row r="22" spans="1:2" x14ac:dyDescent="0.2">
      <c r="A22" s="122" t="s">
        <v>269</v>
      </c>
      <c r="B22" s="125">
        <v>15.6</v>
      </c>
    </row>
    <row r="23" spans="1:2" x14ac:dyDescent="0.2">
      <c r="A23" s="122" t="s">
        <v>195</v>
      </c>
      <c r="B23" s="125">
        <v>8.8000000000000007</v>
      </c>
    </row>
    <row r="24" spans="1:2" x14ac:dyDescent="0.2">
      <c r="A24" s="122" t="s">
        <v>325</v>
      </c>
      <c r="B24" s="125">
        <v>9</v>
      </c>
    </row>
    <row r="25" spans="1:2" x14ac:dyDescent="0.2">
      <c r="A25" s="122" t="s">
        <v>327</v>
      </c>
      <c r="B25" s="125">
        <v>5</v>
      </c>
    </row>
    <row r="26" spans="1:2" x14ac:dyDescent="0.2">
      <c r="A26" s="122" t="s">
        <v>198</v>
      </c>
      <c r="B26" s="125">
        <v>17.100000000000001</v>
      </c>
    </row>
    <row r="27" spans="1:2" x14ac:dyDescent="0.2">
      <c r="A27" s="122" t="s">
        <v>2200</v>
      </c>
      <c r="B27" s="125">
        <v>6.7</v>
      </c>
    </row>
    <row r="28" spans="1:2" x14ac:dyDescent="0.2">
      <c r="A28" s="122" t="s">
        <v>200</v>
      </c>
      <c r="B28" s="125">
        <v>6.8</v>
      </c>
    </row>
    <row r="29" spans="1:2" x14ac:dyDescent="0.2">
      <c r="A29" s="122" t="s">
        <v>202</v>
      </c>
      <c r="B29" s="125">
        <v>10.4</v>
      </c>
    </row>
    <row r="30" spans="1:2" x14ac:dyDescent="0.2">
      <c r="A30" s="122" t="s">
        <v>204</v>
      </c>
      <c r="B30" s="125">
        <v>13.4</v>
      </c>
    </row>
    <row r="31" spans="1:2" x14ac:dyDescent="0.2">
      <c r="A31" s="122" t="s">
        <v>444</v>
      </c>
      <c r="B31" s="125">
        <v>13.3</v>
      </c>
    </row>
    <row r="32" spans="1:2" x14ac:dyDescent="0.2">
      <c r="A32" s="122" t="s">
        <v>420</v>
      </c>
      <c r="B32" s="125">
        <v>10.3</v>
      </c>
    </row>
    <row r="33" spans="1:2" x14ac:dyDescent="0.2">
      <c r="A33" s="122" t="s">
        <v>99</v>
      </c>
      <c r="B33" s="125">
        <v>5.8</v>
      </c>
    </row>
    <row r="34" spans="1:2" x14ac:dyDescent="0.2">
      <c r="A34" s="122" t="s">
        <v>102</v>
      </c>
      <c r="B34" s="125">
        <v>6</v>
      </c>
    </row>
    <row r="35" spans="1:2" x14ac:dyDescent="0.2">
      <c r="A35" s="122" t="s">
        <v>206</v>
      </c>
      <c r="B35" s="125">
        <v>7.6</v>
      </c>
    </row>
    <row r="36" spans="1:2" x14ac:dyDescent="0.2">
      <c r="A36" s="122" t="s">
        <v>2201</v>
      </c>
      <c r="B36" s="125">
        <v>6.2960015431364846</v>
      </c>
    </row>
    <row r="37" spans="1:2" x14ac:dyDescent="0.2">
      <c r="A37" s="122" t="s">
        <v>329</v>
      </c>
      <c r="B37" s="125">
        <v>5.7</v>
      </c>
    </row>
    <row r="38" spans="1:2" x14ac:dyDescent="0.2">
      <c r="A38" s="122" t="s">
        <v>504</v>
      </c>
      <c r="B38" s="125">
        <v>3.9</v>
      </c>
    </row>
    <row r="39" spans="1:2" x14ac:dyDescent="0.2">
      <c r="A39" s="122" t="s">
        <v>209</v>
      </c>
      <c r="B39" s="125">
        <v>8.6</v>
      </c>
    </row>
    <row r="40" spans="1:2" x14ac:dyDescent="0.2">
      <c r="A40" s="122" t="s">
        <v>446</v>
      </c>
      <c r="B40" s="125">
        <v>9.1999999999999993</v>
      </c>
    </row>
    <row r="41" spans="1:2" x14ac:dyDescent="0.2">
      <c r="A41" s="122" t="s">
        <v>104</v>
      </c>
      <c r="B41" s="125">
        <v>2.4</v>
      </c>
    </row>
    <row r="42" spans="1:2" x14ac:dyDescent="0.2">
      <c r="A42" s="122" t="s">
        <v>106</v>
      </c>
      <c r="B42" s="125">
        <v>6</v>
      </c>
    </row>
    <row r="43" spans="1:2" x14ac:dyDescent="0.2">
      <c r="A43" s="122" t="s">
        <v>109</v>
      </c>
      <c r="B43" s="125">
        <v>6</v>
      </c>
    </row>
    <row r="44" spans="1:2" x14ac:dyDescent="0.2">
      <c r="A44" s="122" t="s">
        <v>111</v>
      </c>
      <c r="B44" s="125">
        <v>6</v>
      </c>
    </row>
    <row r="45" spans="1:2" x14ac:dyDescent="0.2">
      <c r="A45" s="122" t="s">
        <v>211</v>
      </c>
      <c r="B45" s="125">
        <v>7.4</v>
      </c>
    </row>
    <row r="46" spans="1:2" x14ac:dyDescent="0.2">
      <c r="A46" s="122" t="s">
        <v>113</v>
      </c>
      <c r="B46" s="125">
        <v>12.3</v>
      </c>
    </row>
    <row r="47" spans="1:2" x14ac:dyDescent="0.2">
      <c r="A47" s="122" t="s">
        <v>115</v>
      </c>
      <c r="B47" s="125">
        <v>2.4</v>
      </c>
    </row>
    <row r="48" spans="1:2" x14ac:dyDescent="0.2">
      <c r="A48" s="122" t="s">
        <v>213</v>
      </c>
      <c r="B48" s="125">
        <v>9.1</v>
      </c>
    </row>
    <row r="49" spans="1:2" x14ac:dyDescent="0.2">
      <c r="A49" s="122" t="s">
        <v>2202</v>
      </c>
      <c r="B49" s="125">
        <v>11.629347050786976</v>
      </c>
    </row>
    <row r="50" spans="1:2" x14ac:dyDescent="0.2">
      <c r="A50" s="122" t="s">
        <v>215</v>
      </c>
      <c r="B50" s="125">
        <v>9.6</v>
      </c>
    </row>
    <row r="51" spans="1:2" x14ac:dyDescent="0.2">
      <c r="A51" s="122" t="s">
        <v>505</v>
      </c>
      <c r="B51" s="125">
        <v>11.6</v>
      </c>
    </row>
    <row r="52" spans="1:2" x14ac:dyDescent="0.2">
      <c r="A52" s="122" t="s">
        <v>2203</v>
      </c>
      <c r="B52" s="125">
        <v>6.8</v>
      </c>
    </row>
    <row r="53" spans="1:2" x14ac:dyDescent="0.2">
      <c r="A53" s="122" t="s">
        <v>331</v>
      </c>
      <c r="B53" s="125">
        <v>9</v>
      </c>
    </row>
    <row r="54" spans="1:2" x14ac:dyDescent="0.2">
      <c r="A54" s="122" t="s">
        <v>333</v>
      </c>
      <c r="B54" s="125">
        <v>7</v>
      </c>
    </row>
    <row r="55" spans="1:2" x14ac:dyDescent="0.2">
      <c r="A55" s="122" t="s">
        <v>335</v>
      </c>
      <c r="B55" s="125">
        <v>10.4</v>
      </c>
    </row>
    <row r="56" spans="1:2" x14ac:dyDescent="0.2">
      <c r="A56" s="122" t="s">
        <v>271</v>
      </c>
      <c r="B56" s="125">
        <v>5.0999999999999996</v>
      </c>
    </row>
    <row r="57" spans="1:2" x14ac:dyDescent="0.2">
      <c r="A57" s="122" t="s">
        <v>217</v>
      </c>
      <c r="B57" s="125">
        <v>11.6</v>
      </c>
    </row>
    <row r="58" spans="1:2" x14ac:dyDescent="0.2">
      <c r="A58" s="122" t="s">
        <v>337</v>
      </c>
      <c r="B58" s="125">
        <v>8.3000000000000007</v>
      </c>
    </row>
    <row r="59" spans="1:2" x14ac:dyDescent="0.2">
      <c r="A59" s="122" t="s">
        <v>219</v>
      </c>
      <c r="B59" s="125">
        <v>8.6</v>
      </c>
    </row>
    <row r="60" spans="1:2" x14ac:dyDescent="0.2">
      <c r="A60" s="122" t="s">
        <v>117</v>
      </c>
      <c r="B60" s="125">
        <v>6.7</v>
      </c>
    </row>
    <row r="61" spans="1:2" x14ac:dyDescent="0.2">
      <c r="A61" s="122" t="s">
        <v>2204</v>
      </c>
      <c r="B61" s="125">
        <v>8.4880617736044499</v>
      </c>
    </row>
    <row r="62" spans="1:2" x14ac:dyDescent="0.2">
      <c r="A62" s="122" t="s">
        <v>2205</v>
      </c>
      <c r="B62" s="125">
        <v>10.090910312008964</v>
      </c>
    </row>
    <row r="63" spans="1:2" x14ac:dyDescent="0.2">
      <c r="A63" s="122" t="s">
        <v>2206</v>
      </c>
      <c r="B63" s="125">
        <v>8.2026083003578005</v>
      </c>
    </row>
    <row r="64" spans="1:2" x14ac:dyDescent="0.2">
      <c r="A64" s="122" t="s">
        <v>2207</v>
      </c>
      <c r="B64" s="125">
        <v>7.2314159554228334</v>
      </c>
    </row>
    <row r="65" spans="1:2" x14ac:dyDescent="0.2">
      <c r="A65" s="122" t="s">
        <v>2208</v>
      </c>
      <c r="B65" s="125">
        <v>6.6869693783964363</v>
      </c>
    </row>
    <row r="66" spans="1:2" x14ac:dyDescent="0.2">
      <c r="A66" s="122" t="s">
        <v>221</v>
      </c>
      <c r="B66" s="125">
        <v>5.5</v>
      </c>
    </row>
    <row r="67" spans="1:2" x14ac:dyDescent="0.2">
      <c r="A67" s="122" t="s">
        <v>273</v>
      </c>
      <c r="B67" s="125">
        <v>17.2</v>
      </c>
    </row>
    <row r="68" spans="1:2" x14ac:dyDescent="0.2">
      <c r="A68" s="122" t="s">
        <v>2209</v>
      </c>
      <c r="B68" s="125">
        <v>6.760326847193026</v>
      </c>
    </row>
    <row r="69" spans="1:2" x14ac:dyDescent="0.2">
      <c r="A69" s="122" t="s">
        <v>120</v>
      </c>
      <c r="B69" s="125">
        <v>5.0999999999999996</v>
      </c>
    </row>
    <row r="70" spans="1:2" x14ac:dyDescent="0.2">
      <c r="A70" s="122" t="s">
        <v>339</v>
      </c>
      <c r="B70" s="125">
        <v>6.9</v>
      </c>
    </row>
    <row r="71" spans="1:2" x14ac:dyDescent="0.2">
      <c r="A71" s="122" t="s">
        <v>341</v>
      </c>
      <c r="B71" s="125">
        <v>4.2</v>
      </c>
    </row>
    <row r="72" spans="1:2" x14ac:dyDescent="0.2">
      <c r="A72" s="122" t="s">
        <v>122</v>
      </c>
      <c r="B72" s="125">
        <v>4.3</v>
      </c>
    </row>
    <row r="73" spans="1:2" x14ac:dyDescent="0.2">
      <c r="A73" s="122" t="s">
        <v>2210</v>
      </c>
      <c r="B73" s="125">
        <v>6.6707202061820583</v>
      </c>
    </row>
    <row r="74" spans="1:2" x14ac:dyDescent="0.2">
      <c r="A74" s="122" t="s">
        <v>2211</v>
      </c>
      <c r="B74" s="125">
        <v>6.4786452312946379</v>
      </c>
    </row>
    <row r="75" spans="1:2" x14ac:dyDescent="0.2">
      <c r="A75" s="122" t="s">
        <v>343</v>
      </c>
      <c r="B75" s="125">
        <v>5.6</v>
      </c>
    </row>
    <row r="76" spans="1:2" x14ac:dyDescent="0.2">
      <c r="A76" s="122" t="s">
        <v>450</v>
      </c>
      <c r="B76" s="125">
        <v>14.7</v>
      </c>
    </row>
    <row r="77" spans="1:2" x14ac:dyDescent="0.2">
      <c r="A77" s="122" t="s">
        <v>345</v>
      </c>
      <c r="B77" s="125">
        <v>4.8</v>
      </c>
    </row>
    <row r="78" spans="1:2" x14ac:dyDescent="0.2">
      <c r="A78" s="122" t="s">
        <v>2212</v>
      </c>
      <c r="B78" s="125">
        <v>4.7</v>
      </c>
    </row>
    <row r="79" spans="1:2" x14ac:dyDescent="0.2">
      <c r="A79" s="122" t="s">
        <v>452</v>
      </c>
      <c r="B79" s="125">
        <v>11.9</v>
      </c>
    </row>
    <row r="80" spans="1:2" x14ac:dyDescent="0.2">
      <c r="A80" s="122" t="s">
        <v>124</v>
      </c>
      <c r="B80" s="125">
        <v>6</v>
      </c>
    </row>
    <row r="81" spans="1:2" x14ac:dyDescent="0.2">
      <c r="A81" s="122" t="s">
        <v>347</v>
      </c>
      <c r="B81" s="125">
        <v>3.9</v>
      </c>
    </row>
    <row r="82" spans="1:2" x14ac:dyDescent="0.2">
      <c r="A82" s="122" t="s">
        <v>349</v>
      </c>
      <c r="B82" s="125">
        <v>5.8</v>
      </c>
    </row>
    <row r="83" spans="1:2" x14ac:dyDescent="0.2">
      <c r="A83" s="122" t="s">
        <v>126</v>
      </c>
      <c r="B83" s="125">
        <v>2.5</v>
      </c>
    </row>
    <row r="84" spans="1:2" x14ac:dyDescent="0.2">
      <c r="A84" s="122" t="s">
        <v>2213</v>
      </c>
    </row>
    <row r="85" spans="1:2" x14ac:dyDescent="0.2">
      <c r="A85" s="122" t="s">
        <v>128</v>
      </c>
      <c r="B85" s="125">
        <v>2.4</v>
      </c>
    </row>
    <row r="86" spans="1:2" x14ac:dyDescent="0.2">
      <c r="A86" s="122" t="s">
        <v>130</v>
      </c>
      <c r="B86" s="125">
        <v>1.9</v>
      </c>
    </row>
    <row r="87" spans="1:2" x14ac:dyDescent="0.2">
      <c r="A87" s="122" t="s">
        <v>132</v>
      </c>
      <c r="B87" s="125">
        <v>2.4</v>
      </c>
    </row>
    <row r="88" spans="1:2" x14ac:dyDescent="0.2">
      <c r="A88" s="122" t="s">
        <v>134</v>
      </c>
      <c r="B88" s="125">
        <v>6</v>
      </c>
    </row>
    <row r="89" spans="1:2" x14ac:dyDescent="0.2">
      <c r="A89" s="122" t="s">
        <v>351</v>
      </c>
      <c r="B89" s="125">
        <v>4.7</v>
      </c>
    </row>
    <row r="90" spans="1:2" x14ac:dyDescent="0.2">
      <c r="A90" s="122" t="s">
        <v>223</v>
      </c>
      <c r="B90" s="125">
        <v>10.7</v>
      </c>
    </row>
    <row r="91" spans="1:2" x14ac:dyDescent="0.2">
      <c r="A91" s="122" t="s">
        <v>2214</v>
      </c>
      <c r="B91" s="125">
        <v>2.1</v>
      </c>
    </row>
    <row r="92" spans="1:2" x14ac:dyDescent="0.2">
      <c r="A92" s="122" t="s">
        <v>225</v>
      </c>
      <c r="B92" s="125">
        <v>10</v>
      </c>
    </row>
    <row r="93" spans="1:2" x14ac:dyDescent="0.2">
      <c r="A93" s="122" t="s">
        <v>509</v>
      </c>
      <c r="B93" s="125">
        <v>18.7</v>
      </c>
    </row>
    <row r="94" spans="1:2" x14ac:dyDescent="0.2">
      <c r="A94" s="122" t="s">
        <v>227</v>
      </c>
      <c r="B94" s="125">
        <v>11.6</v>
      </c>
    </row>
    <row r="95" spans="1:2" x14ac:dyDescent="0.2">
      <c r="A95" s="122" t="s">
        <v>2215</v>
      </c>
      <c r="B95" s="125">
        <v>7.9317880782240264</v>
      </c>
    </row>
    <row r="96" spans="1:2" x14ac:dyDescent="0.2">
      <c r="A96" s="122" t="s">
        <v>510</v>
      </c>
      <c r="B96" s="125">
        <v>4.5</v>
      </c>
    </row>
    <row r="97" spans="1:2" x14ac:dyDescent="0.2">
      <c r="A97" s="122" t="s">
        <v>229</v>
      </c>
      <c r="B97" s="125">
        <v>7.3</v>
      </c>
    </row>
    <row r="98" spans="1:2" x14ac:dyDescent="0.2">
      <c r="A98" s="122" t="s">
        <v>2216</v>
      </c>
      <c r="B98" s="125">
        <v>5.7293189740334229</v>
      </c>
    </row>
    <row r="99" spans="1:2" x14ac:dyDescent="0.2">
      <c r="A99" s="122" t="s">
        <v>353</v>
      </c>
      <c r="B99" s="125">
        <v>5.4</v>
      </c>
    </row>
    <row r="100" spans="1:2" x14ac:dyDescent="0.2">
      <c r="A100" s="122" t="s">
        <v>231</v>
      </c>
      <c r="B100" s="125">
        <v>6.7</v>
      </c>
    </row>
    <row r="101" spans="1:2" x14ac:dyDescent="0.2">
      <c r="A101" s="122" t="s">
        <v>355</v>
      </c>
      <c r="B101" s="125">
        <v>6.9</v>
      </c>
    </row>
    <row r="102" spans="1:2" x14ac:dyDescent="0.2">
      <c r="A102" s="122" t="s">
        <v>2217</v>
      </c>
      <c r="B102" s="125">
        <v>9.3019768115954431</v>
      </c>
    </row>
    <row r="103" spans="1:2" x14ac:dyDescent="0.2">
      <c r="A103" s="122" t="s">
        <v>2218</v>
      </c>
      <c r="B103" s="125">
        <v>8.9868596305506134</v>
      </c>
    </row>
    <row r="104" spans="1:2" x14ac:dyDescent="0.2">
      <c r="A104" s="122" t="s">
        <v>94</v>
      </c>
      <c r="B104" s="125">
        <v>7.8512178246265929</v>
      </c>
    </row>
    <row r="105" spans="1:2" x14ac:dyDescent="0.2">
      <c r="A105" s="122" t="s">
        <v>2219</v>
      </c>
      <c r="B105" s="125">
        <v>10.60474113013157</v>
      </c>
    </row>
    <row r="106" spans="1:2" x14ac:dyDescent="0.2">
      <c r="A106" s="122" t="s">
        <v>422</v>
      </c>
      <c r="B106" s="125">
        <v>6.3</v>
      </c>
    </row>
    <row r="107" spans="1:2" x14ac:dyDescent="0.2">
      <c r="A107" s="122" t="s">
        <v>2220</v>
      </c>
      <c r="B107" s="125">
        <v>6.4577221489016212</v>
      </c>
    </row>
    <row r="108" spans="1:2" x14ac:dyDescent="0.2">
      <c r="A108" s="122" t="s">
        <v>2221</v>
      </c>
    </row>
    <row r="109" spans="1:2" x14ac:dyDescent="0.2">
      <c r="A109" s="122" t="s">
        <v>425</v>
      </c>
      <c r="B109" s="125">
        <v>10.4</v>
      </c>
    </row>
    <row r="110" spans="1:2" x14ac:dyDescent="0.2">
      <c r="A110" s="122" t="s">
        <v>2222</v>
      </c>
    </row>
    <row r="111" spans="1:2" x14ac:dyDescent="0.2">
      <c r="A111" s="122" t="s">
        <v>357</v>
      </c>
      <c r="B111" s="125">
        <v>3.2</v>
      </c>
    </row>
    <row r="112" spans="1:2" x14ac:dyDescent="0.2">
      <c r="A112" s="122" t="s">
        <v>275</v>
      </c>
      <c r="B112" s="125">
        <v>9.6</v>
      </c>
    </row>
    <row r="113" spans="1:2" x14ac:dyDescent="0.2">
      <c r="A113" s="122" t="s">
        <v>277</v>
      </c>
      <c r="B113" s="125">
        <v>8.8000000000000007</v>
      </c>
    </row>
    <row r="114" spans="1:2" x14ac:dyDescent="0.2">
      <c r="A114" s="122" t="s">
        <v>359</v>
      </c>
      <c r="B114" s="125">
        <v>5.8</v>
      </c>
    </row>
    <row r="115" spans="1:2" x14ac:dyDescent="0.2">
      <c r="A115" s="122" t="s">
        <v>361</v>
      </c>
      <c r="B115" s="125">
        <v>9.6999999999999993</v>
      </c>
    </row>
    <row r="116" spans="1:2" x14ac:dyDescent="0.2">
      <c r="A116" s="122" t="s">
        <v>363</v>
      </c>
      <c r="B116" s="125">
        <v>5</v>
      </c>
    </row>
    <row r="117" spans="1:2" x14ac:dyDescent="0.2">
      <c r="A117" s="122" t="s">
        <v>233</v>
      </c>
      <c r="B117" s="125">
        <v>11.3</v>
      </c>
    </row>
    <row r="118" spans="1:2" x14ac:dyDescent="0.2">
      <c r="A118" s="122" t="s">
        <v>279</v>
      </c>
      <c r="B118" s="125">
        <v>12.7</v>
      </c>
    </row>
    <row r="119" spans="1:2" x14ac:dyDescent="0.2">
      <c r="A119" s="122" t="s">
        <v>454</v>
      </c>
      <c r="B119" s="125">
        <v>5.6</v>
      </c>
    </row>
    <row r="120" spans="1:2" x14ac:dyDescent="0.2">
      <c r="A120" s="122" t="s">
        <v>365</v>
      </c>
      <c r="B120" s="125">
        <v>6.1</v>
      </c>
    </row>
    <row r="121" spans="1:2" x14ac:dyDescent="0.2">
      <c r="A121" s="122" t="s">
        <v>136</v>
      </c>
      <c r="B121" s="125">
        <v>3.1</v>
      </c>
    </row>
    <row r="122" spans="1:2" x14ac:dyDescent="0.2">
      <c r="A122" s="122" t="s">
        <v>367</v>
      </c>
      <c r="B122" s="125">
        <v>6.1</v>
      </c>
    </row>
    <row r="123" spans="1:2" x14ac:dyDescent="0.2">
      <c r="A123" s="122" t="s">
        <v>456</v>
      </c>
      <c r="B123" s="125">
        <v>6.4</v>
      </c>
    </row>
    <row r="124" spans="1:2" x14ac:dyDescent="0.2">
      <c r="A124" s="122" t="s">
        <v>458</v>
      </c>
      <c r="B124" s="125">
        <v>22.5</v>
      </c>
    </row>
    <row r="125" spans="1:2" x14ac:dyDescent="0.2">
      <c r="A125" s="122" t="s">
        <v>235</v>
      </c>
      <c r="B125" s="125">
        <v>13.3</v>
      </c>
    </row>
    <row r="126" spans="1:2" x14ac:dyDescent="0.2">
      <c r="A126" s="122" t="s">
        <v>460</v>
      </c>
      <c r="B126" s="125">
        <v>6.9</v>
      </c>
    </row>
    <row r="127" spans="1:2" x14ac:dyDescent="0.2">
      <c r="A127" s="122" t="s">
        <v>281</v>
      </c>
      <c r="B127" s="125">
        <v>12.2</v>
      </c>
    </row>
    <row r="128" spans="1:2" x14ac:dyDescent="0.2">
      <c r="A128" s="122" t="s">
        <v>2223</v>
      </c>
      <c r="B128" s="125">
        <v>9.7283713864229675</v>
      </c>
    </row>
    <row r="129" spans="1:2" x14ac:dyDescent="0.2">
      <c r="A129" s="122" t="s">
        <v>462</v>
      </c>
      <c r="B129" s="125">
        <v>6.4</v>
      </c>
    </row>
    <row r="130" spans="1:2" x14ac:dyDescent="0.2">
      <c r="A130" s="122" t="s">
        <v>283</v>
      </c>
      <c r="B130" s="125">
        <v>11.2</v>
      </c>
    </row>
    <row r="131" spans="1:2" x14ac:dyDescent="0.2">
      <c r="A131" s="122" t="s">
        <v>138</v>
      </c>
      <c r="B131" s="125">
        <v>2.4</v>
      </c>
    </row>
    <row r="132" spans="1:2" x14ac:dyDescent="0.2">
      <c r="A132" s="122" t="s">
        <v>285</v>
      </c>
      <c r="B132" s="125">
        <v>10.199999999999999</v>
      </c>
    </row>
    <row r="133" spans="1:2" x14ac:dyDescent="0.2">
      <c r="A133" s="122" t="s">
        <v>237</v>
      </c>
      <c r="B133" s="125">
        <v>11.6</v>
      </c>
    </row>
    <row r="134" spans="1:2" x14ac:dyDescent="0.2">
      <c r="A134" s="122" t="s">
        <v>2224</v>
      </c>
      <c r="B134" s="125">
        <v>9.6942713569129992</v>
      </c>
    </row>
    <row r="135" spans="1:2" x14ac:dyDescent="0.2">
      <c r="A135" s="122" t="s">
        <v>2225</v>
      </c>
      <c r="B135" s="125">
        <v>6.4420581881815231</v>
      </c>
    </row>
    <row r="136" spans="1:2" x14ac:dyDescent="0.2">
      <c r="A136" s="122" t="s">
        <v>2226</v>
      </c>
      <c r="B136" s="125">
        <v>6.393278832639643</v>
      </c>
    </row>
    <row r="137" spans="1:2" x14ac:dyDescent="0.2">
      <c r="A137" s="122" t="s">
        <v>2227</v>
      </c>
      <c r="B137" s="125">
        <v>9.4</v>
      </c>
    </row>
    <row r="138" spans="1:2" x14ac:dyDescent="0.2">
      <c r="A138" s="122" t="s">
        <v>427</v>
      </c>
      <c r="B138" s="125">
        <v>10.7</v>
      </c>
    </row>
    <row r="139" spans="1:2" x14ac:dyDescent="0.2">
      <c r="A139" s="122" t="s">
        <v>2228</v>
      </c>
      <c r="B139" s="125">
        <v>9.513246224987352</v>
      </c>
    </row>
    <row r="140" spans="1:2" x14ac:dyDescent="0.2">
      <c r="A140" s="122" t="s">
        <v>2229</v>
      </c>
      <c r="B140" s="125">
        <v>9.0065227457588755</v>
      </c>
    </row>
    <row r="141" spans="1:2" x14ac:dyDescent="0.2">
      <c r="A141" s="122" t="s">
        <v>140</v>
      </c>
      <c r="B141" s="125">
        <v>4.5</v>
      </c>
    </row>
    <row r="142" spans="1:2" x14ac:dyDescent="0.2">
      <c r="A142" s="122" t="s">
        <v>2230</v>
      </c>
      <c r="B142" s="125">
        <v>8.83093828874485</v>
      </c>
    </row>
    <row r="143" spans="1:2" x14ac:dyDescent="0.2">
      <c r="A143" s="122" t="s">
        <v>369</v>
      </c>
      <c r="B143" s="125">
        <v>3.8</v>
      </c>
    </row>
    <row r="144" spans="1:2" x14ac:dyDescent="0.2">
      <c r="A144" s="122" t="s">
        <v>371</v>
      </c>
      <c r="B144" s="125">
        <v>5</v>
      </c>
    </row>
    <row r="145" spans="1:2" x14ac:dyDescent="0.2">
      <c r="A145" s="122" t="s">
        <v>373</v>
      </c>
      <c r="B145" s="125">
        <v>5</v>
      </c>
    </row>
    <row r="146" spans="1:2" x14ac:dyDescent="0.2">
      <c r="A146" s="122" t="s">
        <v>511</v>
      </c>
      <c r="B146" s="125">
        <v>4.3</v>
      </c>
    </row>
    <row r="147" spans="1:2" x14ac:dyDescent="0.2">
      <c r="A147" s="122" t="s">
        <v>2231</v>
      </c>
    </row>
    <row r="148" spans="1:2" x14ac:dyDescent="0.2">
      <c r="A148" s="122" t="s">
        <v>287</v>
      </c>
      <c r="B148" s="125">
        <v>7</v>
      </c>
    </row>
    <row r="149" spans="1:2" x14ac:dyDescent="0.2">
      <c r="A149" s="122" t="s">
        <v>375</v>
      </c>
      <c r="B149" s="125">
        <v>2.9</v>
      </c>
    </row>
    <row r="150" spans="1:2" x14ac:dyDescent="0.2">
      <c r="A150" s="122" t="s">
        <v>377</v>
      </c>
      <c r="B150" s="125">
        <v>5.7</v>
      </c>
    </row>
    <row r="151" spans="1:2" x14ac:dyDescent="0.2">
      <c r="A151" s="122" t="s">
        <v>142</v>
      </c>
      <c r="B151" s="125">
        <v>4.5</v>
      </c>
    </row>
    <row r="152" spans="1:2" x14ac:dyDescent="0.2">
      <c r="A152" s="122" t="s">
        <v>429</v>
      </c>
      <c r="B152" s="125">
        <v>9.1999999999999993</v>
      </c>
    </row>
    <row r="153" spans="1:2" x14ac:dyDescent="0.2">
      <c r="A153" s="122" t="s">
        <v>2232</v>
      </c>
      <c r="B153" s="125">
        <v>11.373898186062805</v>
      </c>
    </row>
    <row r="154" spans="1:2" x14ac:dyDescent="0.2">
      <c r="A154" s="122" t="s">
        <v>239</v>
      </c>
      <c r="B154" s="125">
        <v>13.5</v>
      </c>
    </row>
    <row r="155" spans="1:2" x14ac:dyDescent="0.2">
      <c r="A155" s="122" t="s">
        <v>464</v>
      </c>
      <c r="B155" s="125">
        <v>30.5</v>
      </c>
    </row>
    <row r="156" spans="1:2" x14ac:dyDescent="0.2">
      <c r="A156" s="122" t="s">
        <v>2233</v>
      </c>
      <c r="B156" s="125">
        <v>9.2438984548233343</v>
      </c>
    </row>
    <row r="157" spans="1:2" x14ac:dyDescent="0.2">
      <c r="A157" s="122" t="s">
        <v>379</v>
      </c>
      <c r="B157" s="125">
        <v>9.3000000000000007</v>
      </c>
    </row>
    <row r="158" spans="1:2" x14ac:dyDescent="0.2">
      <c r="A158" s="122" t="s">
        <v>144</v>
      </c>
      <c r="B158" s="125">
        <v>2.4</v>
      </c>
    </row>
    <row r="159" spans="1:2" x14ac:dyDescent="0.2">
      <c r="A159" s="122" t="s">
        <v>381</v>
      </c>
      <c r="B159" s="125">
        <v>8.3000000000000007</v>
      </c>
    </row>
    <row r="160" spans="1:2" x14ac:dyDescent="0.2">
      <c r="A160" s="122" t="s">
        <v>431</v>
      </c>
      <c r="B160" s="125">
        <v>3.9</v>
      </c>
    </row>
    <row r="161" spans="1:2" x14ac:dyDescent="0.2">
      <c r="A161" s="122" t="s">
        <v>2234</v>
      </c>
      <c r="B161" s="125">
        <v>10.790643619589394</v>
      </c>
    </row>
    <row r="162" spans="1:2" x14ac:dyDescent="0.2">
      <c r="A162" s="122" t="s">
        <v>383</v>
      </c>
      <c r="B162" s="125">
        <v>9</v>
      </c>
    </row>
    <row r="163" spans="1:2" x14ac:dyDescent="0.2">
      <c r="A163" s="122" t="s">
        <v>466</v>
      </c>
      <c r="B163" s="125">
        <v>4.7</v>
      </c>
    </row>
    <row r="164" spans="1:2" x14ac:dyDescent="0.2">
      <c r="A164" s="122" t="s">
        <v>2235</v>
      </c>
    </row>
    <row r="165" spans="1:2" x14ac:dyDescent="0.2">
      <c r="A165" s="122" t="s">
        <v>146</v>
      </c>
      <c r="B165" s="125">
        <v>3.3</v>
      </c>
    </row>
    <row r="166" spans="1:2" x14ac:dyDescent="0.2">
      <c r="A166" s="122" t="s">
        <v>148</v>
      </c>
      <c r="B166" s="125">
        <v>7.1</v>
      </c>
    </row>
    <row r="167" spans="1:2" x14ac:dyDescent="0.2">
      <c r="A167" s="122" t="s">
        <v>150</v>
      </c>
      <c r="B167" s="125">
        <v>22</v>
      </c>
    </row>
    <row r="168" spans="1:2" x14ac:dyDescent="0.2">
      <c r="A168" s="122" t="s">
        <v>153</v>
      </c>
      <c r="B168" s="125">
        <v>4.5</v>
      </c>
    </row>
    <row r="169" spans="1:2" x14ac:dyDescent="0.2">
      <c r="A169" s="122" t="s">
        <v>468</v>
      </c>
      <c r="B169" s="125">
        <v>16.7</v>
      </c>
    </row>
    <row r="170" spans="1:2" x14ac:dyDescent="0.2">
      <c r="A170" s="122" t="s">
        <v>2236</v>
      </c>
      <c r="B170" s="125">
        <v>10.46143827663399</v>
      </c>
    </row>
    <row r="171" spans="1:2" x14ac:dyDescent="0.2">
      <c r="A171" s="122" t="s">
        <v>155</v>
      </c>
      <c r="B171" s="125">
        <v>4.5</v>
      </c>
    </row>
    <row r="172" spans="1:2" x14ac:dyDescent="0.2">
      <c r="A172" s="122" t="s">
        <v>514</v>
      </c>
      <c r="B172" s="125">
        <v>21.8</v>
      </c>
    </row>
    <row r="173" spans="1:2" x14ac:dyDescent="0.2">
      <c r="A173" s="122" t="s">
        <v>157</v>
      </c>
      <c r="B173" s="125">
        <v>2.4</v>
      </c>
    </row>
    <row r="174" spans="1:2" x14ac:dyDescent="0.2">
      <c r="A174" s="122" t="s">
        <v>159</v>
      </c>
      <c r="B174" s="125">
        <v>3.1</v>
      </c>
    </row>
    <row r="175" spans="1:2" x14ac:dyDescent="0.2">
      <c r="A175" s="122" t="s">
        <v>241</v>
      </c>
      <c r="B175" s="125">
        <v>11.4</v>
      </c>
    </row>
    <row r="176" spans="1:2" x14ac:dyDescent="0.2">
      <c r="A176" s="122" t="s">
        <v>385</v>
      </c>
      <c r="B176" s="125">
        <v>5.4</v>
      </c>
    </row>
    <row r="177" spans="1:2" x14ac:dyDescent="0.2">
      <c r="A177" s="122" t="s">
        <v>387</v>
      </c>
      <c r="B177" s="125">
        <v>5.3</v>
      </c>
    </row>
    <row r="178" spans="1:2" x14ac:dyDescent="0.2">
      <c r="A178" s="122" t="s">
        <v>433</v>
      </c>
      <c r="B178" s="125">
        <v>7.2</v>
      </c>
    </row>
    <row r="179" spans="1:2" x14ac:dyDescent="0.2">
      <c r="A179" s="122" t="s">
        <v>472</v>
      </c>
      <c r="B179" s="125">
        <v>12</v>
      </c>
    </row>
    <row r="180" spans="1:2" x14ac:dyDescent="0.2">
      <c r="A180" s="122" t="s">
        <v>474</v>
      </c>
      <c r="B180" s="125">
        <v>6.2</v>
      </c>
    </row>
    <row r="181" spans="1:2" x14ac:dyDescent="0.2">
      <c r="A181" s="122" t="s">
        <v>2237</v>
      </c>
      <c r="B181" s="125">
        <v>8.3168481321910246</v>
      </c>
    </row>
    <row r="182" spans="1:2" x14ac:dyDescent="0.2">
      <c r="A182" s="122" t="s">
        <v>289</v>
      </c>
      <c r="B182" s="125">
        <v>10.1</v>
      </c>
    </row>
    <row r="183" spans="1:2" x14ac:dyDescent="0.2">
      <c r="A183" s="122" t="s">
        <v>2238</v>
      </c>
      <c r="B183" s="125">
        <v>8.2417729316188009</v>
      </c>
    </row>
    <row r="184" spans="1:2" x14ac:dyDescent="0.2">
      <c r="A184" s="122" t="s">
        <v>291</v>
      </c>
      <c r="B184" s="125">
        <v>19.899999999999999</v>
      </c>
    </row>
    <row r="185" spans="1:2" x14ac:dyDescent="0.2">
      <c r="A185" s="122" t="s">
        <v>243</v>
      </c>
      <c r="B185" s="125">
        <v>7.7</v>
      </c>
    </row>
    <row r="186" spans="1:2" x14ac:dyDescent="0.2">
      <c r="A186" s="122" t="s">
        <v>245</v>
      </c>
      <c r="B186" s="125">
        <v>6.6</v>
      </c>
    </row>
    <row r="187" spans="1:2" x14ac:dyDescent="0.2">
      <c r="A187" s="122" t="s">
        <v>476</v>
      </c>
      <c r="B187" s="125">
        <v>7.1</v>
      </c>
    </row>
    <row r="188" spans="1:2" x14ac:dyDescent="0.2">
      <c r="A188" s="122" t="s">
        <v>478</v>
      </c>
      <c r="B188" s="125">
        <v>17.899999999999999</v>
      </c>
    </row>
    <row r="189" spans="1:2" x14ac:dyDescent="0.2">
      <c r="A189" s="122" t="s">
        <v>480</v>
      </c>
      <c r="B189" s="125">
        <v>17.899999999999999</v>
      </c>
    </row>
    <row r="190" spans="1:2" x14ac:dyDescent="0.2">
      <c r="A190" s="122" t="s">
        <v>389</v>
      </c>
      <c r="B190" s="125">
        <v>6.1</v>
      </c>
    </row>
    <row r="191" spans="1:2" x14ac:dyDescent="0.2">
      <c r="A191" s="122" t="s">
        <v>2239</v>
      </c>
      <c r="B191" s="125">
        <v>5.3712796396425864</v>
      </c>
    </row>
    <row r="192" spans="1:2" x14ac:dyDescent="0.2">
      <c r="A192" s="122" t="s">
        <v>515</v>
      </c>
      <c r="B192" s="125">
        <v>13.7</v>
      </c>
    </row>
    <row r="193" spans="1:2" x14ac:dyDescent="0.2">
      <c r="A193" s="122" t="s">
        <v>435</v>
      </c>
      <c r="B193" s="125">
        <v>6.4</v>
      </c>
    </row>
    <row r="194" spans="1:2" x14ac:dyDescent="0.2">
      <c r="A194" s="122" t="s">
        <v>391</v>
      </c>
      <c r="B194" s="125">
        <v>9.8000000000000007</v>
      </c>
    </row>
    <row r="195" spans="1:2" x14ac:dyDescent="0.2">
      <c r="A195" s="122" t="s">
        <v>247</v>
      </c>
      <c r="B195" s="125">
        <v>9.6</v>
      </c>
    </row>
    <row r="196" spans="1:2" x14ac:dyDescent="0.2">
      <c r="A196" s="122" t="s">
        <v>293</v>
      </c>
      <c r="B196" s="125">
        <v>9.5</v>
      </c>
    </row>
    <row r="197" spans="1:2" x14ac:dyDescent="0.2">
      <c r="A197" s="122" t="s">
        <v>2240</v>
      </c>
      <c r="B197" s="125">
        <v>15.325310861322246</v>
      </c>
    </row>
    <row r="198" spans="1:2" x14ac:dyDescent="0.2">
      <c r="A198" s="122" t="s">
        <v>2241</v>
      </c>
      <c r="B198" s="125">
        <v>7.578977928155112</v>
      </c>
    </row>
    <row r="199" spans="1:2" x14ac:dyDescent="0.2">
      <c r="A199" s="122" t="s">
        <v>516</v>
      </c>
      <c r="B199" s="125">
        <v>19.5</v>
      </c>
    </row>
    <row r="200" spans="1:2" x14ac:dyDescent="0.2">
      <c r="A200" s="122" t="s">
        <v>295</v>
      </c>
      <c r="B200" s="125">
        <v>15.6</v>
      </c>
    </row>
    <row r="201" spans="1:2" x14ac:dyDescent="0.2">
      <c r="A201" s="122" t="s">
        <v>393</v>
      </c>
      <c r="B201" s="125">
        <v>6.9</v>
      </c>
    </row>
    <row r="202" spans="1:2" x14ac:dyDescent="0.2">
      <c r="A202" s="122" t="s">
        <v>395</v>
      </c>
      <c r="B202" s="125">
        <v>6.1</v>
      </c>
    </row>
    <row r="203" spans="1:2" x14ac:dyDescent="0.2">
      <c r="A203" s="122" t="s">
        <v>161</v>
      </c>
      <c r="B203" s="125">
        <v>5.0999999999999996</v>
      </c>
    </row>
    <row r="204" spans="1:2" x14ac:dyDescent="0.2">
      <c r="A204" s="122" t="s">
        <v>2242</v>
      </c>
      <c r="B204" s="125">
        <v>11.237926446202165</v>
      </c>
    </row>
    <row r="205" spans="1:2" x14ac:dyDescent="0.2">
      <c r="A205" s="122" t="s">
        <v>297</v>
      </c>
      <c r="B205" s="125">
        <v>15.8</v>
      </c>
    </row>
    <row r="206" spans="1:2" x14ac:dyDescent="0.2">
      <c r="A206" s="122" t="s">
        <v>299</v>
      </c>
      <c r="B206" s="125">
        <v>22.1</v>
      </c>
    </row>
    <row r="207" spans="1:2" x14ac:dyDescent="0.2">
      <c r="A207" s="122" t="s">
        <v>163</v>
      </c>
      <c r="B207" s="125">
        <v>2.4</v>
      </c>
    </row>
    <row r="208" spans="1:2" x14ac:dyDescent="0.2">
      <c r="A208" s="122" t="s">
        <v>482</v>
      </c>
      <c r="B208" s="125">
        <v>5.5</v>
      </c>
    </row>
    <row r="209" spans="1:2" x14ac:dyDescent="0.2">
      <c r="A209" s="122" t="s">
        <v>484</v>
      </c>
      <c r="B209" s="125">
        <v>19</v>
      </c>
    </row>
    <row r="210" spans="1:2" x14ac:dyDescent="0.2">
      <c r="A210" s="122" t="s">
        <v>165</v>
      </c>
      <c r="B210" s="125">
        <v>2.4</v>
      </c>
    </row>
    <row r="211" spans="1:2" x14ac:dyDescent="0.2">
      <c r="A211" s="122" t="s">
        <v>249</v>
      </c>
      <c r="B211" s="125">
        <v>8.8000000000000007</v>
      </c>
    </row>
    <row r="212" spans="1:2" x14ac:dyDescent="0.2">
      <c r="A212" s="122" t="s">
        <v>397</v>
      </c>
      <c r="B212" s="125">
        <v>5.9</v>
      </c>
    </row>
    <row r="213" spans="1:2" x14ac:dyDescent="0.2">
      <c r="A213" s="122" t="s">
        <v>301</v>
      </c>
      <c r="B213" s="125">
        <v>5.0999999999999996</v>
      </c>
    </row>
    <row r="214" spans="1:2" x14ac:dyDescent="0.2">
      <c r="A214" s="122" t="s">
        <v>399</v>
      </c>
      <c r="B214" s="125">
        <v>9</v>
      </c>
    </row>
    <row r="215" spans="1:2" x14ac:dyDescent="0.2">
      <c r="A215" s="122" t="s">
        <v>2243</v>
      </c>
      <c r="B215" s="125">
        <v>5.331305559308646</v>
      </c>
    </row>
    <row r="216" spans="1:2" x14ac:dyDescent="0.2">
      <c r="A216" s="122" t="s">
        <v>167</v>
      </c>
      <c r="B216" s="125">
        <v>10.199999999999999</v>
      </c>
    </row>
    <row r="217" spans="1:2" x14ac:dyDescent="0.2">
      <c r="A217" s="122" t="s">
        <v>2244</v>
      </c>
      <c r="B217" s="125">
        <v>5.3594397823620303</v>
      </c>
    </row>
    <row r="218" spans="1:2" x14ac:dyDescent="0.2">
      <c r="A218" s="122" t="s">
        <v>2245</v>
      </c>
      <c r="B218" s="125">
        <v>9.2684522391453523</v>
      </c>
    </row>
    <row r="219" spans="1:2" x14ac:dyDescent="0.2">
      <c r="A219" s="122" t="s">
        <v>169</v>
      </c>
      <c r="B219" s="125">
        <v>2.4</v>
      </c>
    </row>
    <row r="220" spans="1:2" x14ac:dyDescent="0.2">
      <c r="A220" s="122" t="s">
        <v>251</v>
      </c>
      <c r="B220" s="125">
        <v>12.5</v>
      </c>
    </row>
    <row r="221" spans="1:2" x14ac:dyDescent="0.2">
      <c r="A221" s="122" t="s">
        <v>401</v>
      </c>
      <c r="B221" s="125">
        <v>6.5</v>
      </c>
    </row>
    <row r="222" spans="1:2" x14ac:dyDescent="0.2">
      <c r="A222" s="122" t="s">
        <v>403</v>
      </c>
      <c r="B222" s="125">
        <v>5.9</v>
      </c>
    </row>
    <row r="223" spans="1:2" x14ac:dyDescent="0.2">
      <c r="A223" s="122" t="s">
        <v>405</v>
      </c>
      <c r="B223" s="125">
        <v>4.8</v>
      </c>
    </row>
    <row r="224" spans="1:2" x14ac:dyDescent="0.2">
      <c r="A224" s="122" t="s">
        <v>171</v>
      </c>
      <c r="B224" s="125">
        <v>4.5</v>
      </c>
    </row>
    <row r="225" spans="1:2" x14ac:dyDescent="0.2">
      <c r="A225" s="122" t="s">
        <v>2246</v>
      </c>
      <c r="B225" s="125">
        <v>6.8</v>
      </c>
    </row>
    <row r="226" spans="1:2" x14ac:dyDescent="0.2">
      <c r="A226" s="122" t="s">
        <v>173</v>
      </c>
      <c r="B226" s="125">
        <v>12.3</v>
      </c>
    </row>
    <row r="227" spans="1:2" x14ac:dyDescent="0.2">
      <c r="A227" s="122" t="s">
        <v>303</v>
      </c>
      <c r="B227" s="125">
        <v>13.5</v>
      </c>
    </row>
    <row r="228" spans="1:2" x14ac:dyDescent="0.2">
      <c r="A228" s="122" t="s">
        <v>2247</v>
      </c>
    </row>
    <row r="229" spans="1:2" x14ac:dyDescent="0.2">
      <c r="A229" s="122" t="s">
        <v>175</v>
      </c>
      <c r="B229" s="125">
        <v>6</v>
      </c>
    </row>
    <row r="230" spans="1:2" x14ac:dyDescent="0.2">
      <c r="A230" s="122" t="s">
        <v>2248</v>
      </c>
      <c r="B230" s="125">
        <v>8.5141021443295237</v>
      </c>
    </row>
    <row r="231" spans="1:2" x14ac:dyDescent="0.2">
      <c r="A231" s="122" t="s">
        <v>2249</v>
      </c>
      <c r="B231" s="125">
        <v>7.0990946041614409</v>
      </c>
    </row>
    <row r="232" spans="1:2" x14ac:dyDescent="0.2">
      <c r="A232" s="122" t="s">
        <v>177</v>
      </c>
      <c r="B232" s="125">
        <v>2.4</v>
      </c>
    </row>
    <row r="233" spans="1:2" x14ac:dyDescent="0.2">
      <c r="A233" s="122" t="s">
        <v>437</v>
      </c>
      <c r="B233" s="125">
        <v>7</v>
      </c>
    </row>
    <row r="234" spans="1:2" x14ac:dyDescent="0.2">
      <c r="A234" s="122" t="s">
        <v>407</v>
      </c>
      <c r="B234" s="125">
        <v>6.1</v>
      </c>
    </row>
    <row r="235" spans="1:2" x14ac:dyDescent="0.2">
      <c r="A235" s="122" t="s">
        <v>409</v>
      </c>
      <c r="B235" s="125">
        <v>6.1</v>
      </c>
    </row>
    <row r="236" spans="1:2" x14ac:dyDescent="0.2">
      <c r="A236" s="122" t="s">
        <v>2250</v>
      </c>
      <c r="B236" s="125">
        <v>9.6710667716553012</v>
      </c>
    </row>
    <row r="237" spans="1:2" x14ac:dyDescent="0.2">
      <c r="A237" s="122" t="s">
        <v>439</v>
      </c>
      <c r="B237" s="125">
        <v>6.7</v>
      </c>
    </row>
    <row r="238" spans="1:2" x14ac:dyDescent="0.2">
      <c r="A238" s="122" t="s">
        <v>2251</v>
      </c>
      <c r="B238" s="125">
        <v>10.804615522617659</v>
      </c>
    </row>
    <row r="239" spans="1:2" x14ac:dyDescent="0.2">
      <c r="A239" s="122" t="s">
        <v>486</v>
      </c>
      <c r="B239" s="125">
        <v>15.7</v>
      </c>
    </row>
    <row r="240" spans="1:2" x14ac:dyDescent="0.2">
      <c r="A240" s="122" t="s">
        <v>2252</v>
      </c>
      <c r="B240" s="125">
        <v>11.237926446202165</v>
      </c>
    </row>
    <row r="241" spans="1:2" x14ac:dyDescent="0.2">
      <c r="A241" s="122" t="s">
        <v>2253</v>
      </c>
      <c r="B241" s="125">
        <v>5.3594397823620303</v>
      </c>
    </row>
    <row r="242" spans="1:2" x14ac:dyDescent="0.2">
      <c r="A242" s="122" t="s">
        <v>253</v>
      </c>
      <c r="B242" s="125">
        <v>11</v>
      </c>
    </row>
    <row r="243" spans="1:2" x14ac:dyDescent="0.2">
      <c r="A243" s="122" t="s">
        <v>305</v>
      </c>
      <c r="B243" s="125">
        <v>8.5</v>
      </c>
    </row>
    <row r="244" spans="1:2" x14ac:dyDescent="0.2">
      <c r="A244" s="122" t="s">
        <v>411</v>
      </c>
      <c r="B244" s="125">
        <v>11.1</v>
      </c>
    </row>
    <row r="245" spans="1:2" x14ac:dyDescent="0.2">
      <c r="A245" s="122" t="s">
        <v>488</v>
      </c>
      <c r="B245" s="125">
        <v>22.1</v>
      </c>
    </row>
    <row r="246" spans="1:2" x14ac:dyDescent="0.2">
      <c r="A246" s="122" t="s">
        <v>179</v>
      </c>
      <c r="B246" s="125">
        <v>5.7</v>
      </c>
    </row>
    <row r="247" spans="1:2" x14ac:dyDescent="0.2">
      <c r="A247" s="122" t="s">
        <v>181</v>
      </c>
      <c r="B247" s="125">
        <v>2.5</v>
      </c>
    </row>
    <row r="248" spans="1:2" x14ac:dyDescent="0.2">
      <c r="A248" s="122" t="s">
        <v>413</v>
      </c>
      <c r="B248" s="125">
        <v>6.1</v>
      </c>
    </row>
    <row r="249" spans="1:2" x14ac:dyDescent="0.2">
      <c r="A249" s="122" t="s">
        <v>2254</v>
      </c>
      <c r="B249" s="125">
        <v>9.001427552938555</v>
      </c>
    </row>
    <row r="250" spans="1:2" x14ac:dyDescent="0.2">
      <c r="A250" s="122" t="s">
        <v>255</v>
      </c>
      <c r="B250" s="125">
        <v>7.3</v>
      </c>
    </row>
    <row r="251" spans="1:2" x14ac:dyDescent="0.2">
      <c r="A251" s="122" t="s">
        <v>257</v>
      </c>
      <c r="B251" s="125">
        <v>10.8</v>
      </c>
    </row>
    <row r="252" spans="1:2" x14ac:dyDescent="0.2">
      <c r="A252" s="122" t="s">
        <v>415</v>
      </c>
      <c r="B252" s="125">
        <v>6.5</v>
      </c>
    </row>
    <row r="253" spans="1:2" x14ac:dyDescent="0.2">
      <c r="A253" s="122" t="s">
        <v>259</v>
      </c>
      <c r="B253" s="125">
        <v>11.6</v>
      </c>
    </row>
    <row r="254" spans="1:2" x14ac:dyDescent="0.2">
      <c r="A254" s="122" t="s">
        <v>261</v>
      </c>
      <c r="B254" s="125">
        <v>7</v>
      </c>
    </row>
    <row r="255" spans="1:2" x14ac:dyDescent="0.2">
      <c r="A255" s="122" t="s">
        <v>2255</v>
      </c>
      <c r="B255" s="125">
        <v>14.2</v>
      </c>
    </row>
    <row r="256" spans="1:2" x14ac:dyDescent="0.2">
      <c r="A256" s="122" t="s">
        <v>519</v>
      </c>
      <c r="B256" s="125">
        <v>12.3</v>
      </c>
    </row>
    <row r="257" spans="1:2" x14ac:dyDescent="0.2">
      <c r="A257" s="122" t="s">
        <v>490</v>
      </c>
      <c r="B257" s="125">
        <v>6</v>
      </c>
    </row>
    <row r="258" spans="1:2" x14ac:dyDescent="0.2">
      <c r="A258" s="122" t="s">
        <v>492</v>
      </c>
      <c r="B258" s="125">
        <v>11.9</v>
      </c>
    </row>
    <row r="259" spans="1:2" x14ac:dyDescent="0.2">
      <c r="A259" s="122" t="s">
        <v>2256</v>
      </c>
      <c r="B259" s="125">
        <v>8.8120444185640956</v>
      </c>
    </row>
    <row r="260" spans="1:2" x14ac:dyDescent="0.2">
      <c r="A260" s="122" t="s">
        <v>494</v>
      </c>
      <c r="B260" s="125">
        <v>9.1999999999999993</v>
      </c>
    </row>
    <row r="261" spans="1:2" x14ac:dyDescent="0.2">
      <c r="A261" s="122" t="s">
        <v>2257</v>
      </c>
    </row>
    <row r="262" spans="1:2" x14ac:dyDescent="0.2">
      <c r="A262" s="122" t="s">
        <v>307</v>
      </c>
      <c r="B262" s="125">
        <v>5.4</v>
      </c>
    </row>
    <row r="263" spans="1:2" x14ac:dyDescent="0.2">
      <c r="A263" s="122" t="s">
        <v>183</v>
      </c>
      <c r="B263" s="125">
        <v>12.7</v>
      </c>
    </row>
    <row r="264" spans="1:2" x14ac:dyDescent="0.2">
      <c r="A264" s="122" t="s">
        <v>185</v>
      </c>
      <c r="B264" s="125">
        <v>4.5</v>
      </c>
    </row>
    <row r="265" spans="1:2" x14ac:dyDescent="0.2">
      <c r="A265" s="122" t="s">
        <v>187</v>
      </c>
      <c r="B265" s="125">
        <v>1.8</v>
      </c>
    </row>
  </sheetData>
  <pageMargins left="0.7" right="0.7" top="0.75" bottom="0.75" header="0.3" footer="0.3"/>
  <pageSetup paperSize="9" orientation="portrait" horizontalDpi="0" verticalDpi="0" r:id="rId1"/>
  <headerFooter alignWithMargins="0"/>
  <tableParts count="1">
    <tablePart r:id="rId2"/>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D5A03-9C85-45DC-996F-18160238294B}">
  <sheetPr codeName="Sheet26">
    <tabColor rgb="FF7030A0"/>
  </sheetPr>
  <dimension ref="A1:B265"/>
  <sheetViews>
    <sheetView workbookViewId="0"/>
  </sheetViews>
  <sheetFormatPr defaultRowHeight="12.75" x14ac:dyDescent="0.2"/>
  <cols>
    <col min="1" max="1" width="25.7109375" style="122" customWidth="1"/>
    <col min="2" max="2" width="29.85546875" style="125" customWidth="1"/>
    <col min="3" max="256" width="9.140625" style="122"/>
    <col min="257" max="257" width="25.7109375" style="122" bestFit="1" customWidth="1"/>
    <col min="258" max="258" width="11.42578125" style="122" bestFit="1" customWidth="1"/>
    <col min="259" max="512" width="9.140625" style="122"/>
    <col min="513" max="513" width="25.7109375" style="122" bestFit="1" customWidth="1"/>
    <col min="514" max="514" width="11.42578125" style="122" bestFit="1" customWidth="1"/>
    <col min="515" max="768" width="9.140625" style="122"/>
    <col min="769" max="769" width="25.7109375" style="122" bestFit="1" customWidth="1"/>
    <col min="770" max="770" width="11.42578125" style="122" bestFit="1" customWidth="1"/>
    <col min="771" max="1024" width="9.140625" style="122"/>
    <col min="1025" max="1025" width="25.7109375" style="122" bestFit="1" customWidth="1"/>
    <col min="1026" max="1026" width="11.42578125" style="122" bestFit="1" customWidth="1"/>
    <col min="1027" max="1280" width="9.140625" style="122"/>
    <col min="1281" max="1281" width="25.7109375" style="122" bestFit="1" customWidth="1"/>
    <col min="1282" max="1282" width="11.42578125" style="122" bestFit="1" customWidth="1"/>
    <col min="1283" max="1536" width="9.140625" style="122"/>
    <col min="1537" max="1537" width="25.7109375" style="122" bestFit="1" customWidth="1"/>
    <col min="1538" max="1538" width="11.42578125" style="122" bestFit="1" customWidth="1"/>
    <col min="1539" max="1792" width="9.140625" style="122"/>
    <col min="1793" max="1793" width="25.7109375" style="122" bestFit="1" customWidth="1"/>
    <col min="1794" max="1794" width="11.42578125" style="122" bestFit="1" customWidth="1"/>
    <col min="1795" max="2048" width="9.140625" style="122"/>
    <col min="2049" max="2049" width="25.7109375" style="122" bestFit="1" customWidth="1"/>
    <col min="2050" max="2050" width="11.42578125" style="122" bestFit="1" customWidth="1"/>
    <col min="2051" max="2304" width="9.140625" style="122"/>
    <col min="2305" max="2305" width="25.7109375" style="122" bestFit="1" customWidth="1"/>
    <col min="2306" max="2306" width="11.42578125" style="122" bestFit="1" customWidth="1"/>
    <col min="2307" max="2560" width="9.140625" style="122"/>
    <col min="2561" max="2561" width="25.7109375" style="122" bestFit="1" customWidth="1"/>
    <col min="2562" max="2562" width="11.42578125" style="122" bestFit="1" customWidth="1"/>
    <col min="2563" max="2816" width="9.140625" style="122"/>
    <col min="2817" max="2817" width="25.7109375" style="122" bestFit="1" customWidth="1"/>
    <col min="2818" max="2818" width="11.42578125" style="122" bestFit="1" customWidth="1"/>
    <col min="2819" max="3072" width="9.140625" style="122"/>
    <col min="3073" max="3073" width="25.7109375" style="122" bestFit="1" customWidth="1"/>
    <col min="3074" max="3074" width="11.42578125" style="122" bestFit="1" customWidth="1"/>
    <col min="3075" max="3328" width="9.140625" style="122"/>
    <col min="3329" max="3329" width="25.7109375" style="122" bestFit="1" customWidth="1"/>
    <col min="3330" max="3330" width="11.42578125" style="122" bestFit="1" customWidth="1"/>
    <col min="3331" max="3584" width="9.140625" style="122"/>
    <col min="3585" max="3585" width="25.7109375" style="122" bestFit="1" customWidth="1"/>
    <col min="3586" max="3586" width="11.42578125" style="122" bestFit="1" customWidth="1"/>
    <col min="3587" max="3840" width="9.140625" style="122"/>
    <col min="3841" max="3841" width="25.7109375" style="122" bestFit="1" customWidth="1"/>
    <col min="3842" max="3842" width="11.42578125" style="122" bestFit="1" customWidth="1"/>
    <col min="3843" max="4096" width="9.140625" style="122"/>
    <col min="4097" max="4097" width="25.7109375" style="122" bestFit="1" customWidth="1"/>
    <col min="4098" max="4098" width="11.42578125" style="122" bestFit="1" customWidth="1"/>
    <col min="4099" max="4352" width="9.140625" style="122"/>
    <col min="4353" max="4353" width="25.7109375" style="122" bestFit="1" customWidth="1"/>
    <col min="4354" max="4354" width="11.42578125" style="122" bestFit="1" customWidth="1"/>
    <col min="4355" max="4608" width="9.140625" style="122"/>
    <col min="4609" max="4609" width="25.7109375" style="122" bestFit="1" customWidth="1"/>
    <col min="4610" max="4610" width="11.42578125" style="122" bestFit="1" customWidth="1"/>
    <col min="4611" max="4864" width="9.140625" style="122"/>
    <col min="4865" max="4865" width="25.7109375" style="122" bestFit="1" customWidth="1"/>
    <col min="4866" max="4866" width="11.42578125" style="122" bestFit="1" customWidth="1"/>
    <col min="4867" max="5120" width="9.140625" style="122"/>
    <col min="5121" max="5121" width="25.7109375" style="122" bestFit="1" customWidth="1"/>
    <col min="5122" max="5122" width="11.42578125" style="122" bestFit="1" customWidth="1"/>
    <col min="5123" max="5376" width="9.140625" style="122"/>
    <col min="5377" max="5377" width="25.7109375" style="122" bestFit="1" customWidth="1"/>
    <col min="5378" max="5378" width="11.42578125" style="122" bestFit="1" customWidth="1"/>
    <col min="5379" max="5632" width="9.140625" style="122"/>
    <col min="5633" max="5633" width="25.7109375" style="122" bestFit="1" customWidth="1"/>
    <col min="5634" max="5634" width="11.42578125" style="122" bestFit="1" customWidth="1"/>
    <col min="5635" max="5888" width="9.140625" style="122"/>
    <col min="5889" max="5889" width="25.7109375" style="122" bestFit="1" customWidth="1"/>
    <col min="5890" max="5890" width="11.42578125" style="122" bestFit="1" customWidth="1"/>
    <col min="5891" max="6144" width="9.140625" style="122"/>
    <col min="6145" max="6145" width="25.7109375" style="122" bestFit="1" customWidth="1"/>
    <col min="6146" max="6146" width="11.42578125" style="122" bestFit="1" customWidth="1"/>
    <col min="6147" max="6400" width="9.140625" style="122"/>
    <col min="6401" max="6401" width="25.7109375" style="122" bestFit="1" customWidth="1"/>
    <col min="6402" max="6402" width="11.42578125" style="122" bestFit="1" customWidth="1"/>
    <col min="6403" max="6656" width="9.140625" style="122"/>
    <col min="6657" max="6657" width="25.7109375" style="122" bestFit="1" customWidth="1"/>
    <col min="6658" max="6658" width="11.42578125" style="122" bestFit="1" customWidth="1"/>
    <col min="6659" max="6912" width="9.140625" style="122"/>
    <col min="6913" max="6913" width="25.7109375" style="122" bestFit="1" customWidth="1"/>
    <col min="6914" max="6914" width="11.42578125" style="122" bestFit="1" customWidth="1"/>
    <col min="6915" max="7168" width="9.140625" style="122"/>
    <col min="7169" max="7169" width="25.7109375" style="122" bestFit="1" customWidth="1"/>
    <col min="7170" max="7170" width="11.42578125" style="122" bestFit="1" customWidth="1"/>
    <col min="7171" max="7424" width="9.140625" style="122"/>
    <col min="7425" max="7425" width="25.7109375" style="122" bestFit="1" customWidth="1"/>
    <col min="7426" max="7426" width="11.42578125" style="122" bestFit="1" customWidth="1"/>
    <col min="7427" max="7680" width="9.140625" style="122"/>
    <col min="7681" max="7681" width="25.7109375" style="122" bestFit="1" customWidth="1"/>
    <col min="7682" max="7682" width="11.42578125" style="122" bestFit="1" customWidth="1"/>
    <col min="7683" max="7936" width="9.140625" style="122"/>
    <col min="7937" max="7937" width="25.7109375" style="122" bestFit="1" customWidth="1"/>
    <col min="7938" max="7938" width="11.42578125" style="122" bestFit="1" customWidth="1"/>
    <col min="7939" max="8192" width="9.140625" style="122"/>
    <col min="8193" max="8193" width="25.7109375" style="122" bestFit="1" customWidth="1"/>
    <col min="8194" max="8194" width="11.42578125" style="122" bestFit="1" customWidth="1"/>
    <col min="8195" max="8448" width="9.140625" style="122"/>
    <col min="8449" max="8449" width="25.7109375" style="122" bestFit="1" customWidth="1"/>
    <col min="8450" max="8450" width="11.42578125" style="122" bestFit="1" customWidth="1"/>
    <col min="8451" max="8704" width="9.140625" style="122"/>
    <col min="8705" max="8705" width="25.7109375" style="122" bestFit="1" customWidth="1"/>
    <col min="8706" max="8706" width="11.42578125" style="122" bestFit="1" customWidth="1"/>
    <col min="8707" max="8960" width="9.140625" style="122"/>
    <col min="8961" max="8961" width="25.7109375" style="122" bestFit="1" customWidth="1"/>
    <col min="8962" max="8962" width="11.42578125" style="122" bestFit="1" customWidth="1"/>
    <col min="8963" max="9216" width="9.140625" style="122"/>
    <col min="9217" max="9217" width="25.7109375" style="122" bestFit="1" customWidth="1"/>
    <col min="9218" max="9218" width="11.42578125" style="122" bestFit="1" customWidth="1"/>
    <col min="9219" max="9472" width="9.140625" style="122"/>
    <col min="9473" max="9473" width="25.7109375" style="122" bestFit="1" customWidth="1"/>
    <col min="9474" max="9474" width="11.42578125" style="122" bestFit="1" customWidth="1"/>
    <col min="9475" max="9728" width="9.140625" style="122"/>
    <col min="9729" max="9729" width="25.7109375" style="122" bestFit="1" customWidth="1"/>
    <col min="9730" max="9730" width="11.42578125" style="122" bestFit="1" customWidth="1"/>
    <col min="9731" max="9984" width="9.140625" style="122"/>
    <col min="9985" max="9985" width="25.7109375" style="122" bestFit="1" customWidth="1"/>
    <col min="9986" max="9986" width="11.42578125" style="122" bestFit="1" customWidth="1"/>
    <col min="9987" max="10240" width="9.140625" style="122"/>
    <col min="10241" max="10241" width="25.7109375" style="122" bestFit="1" customWidth="1"/>
    <col min="10242" max="10242" width="11.42578125" style="122" bestFit="1" customWidth="1"/>
    <col min="10243" max="10496" width="9.140625" style="122"/>
    <col min="10497" max="10497" width="25.7109375" style="122" bestFit="1" customWidth="1"/>
    <col min="10498" max="10498" width="11.42578125" style="122" bestFit="1" customWidth="1"/>
    <col min="10499" max="10752" width="9.140625" style="122"/>
    <col min="10753" max="10753" width="25.7109375" style="122" bestFit="1" customWidth="1"/>
    <col min="10754" max="10754" width="11.42578125" style="122" bestFit="1" customWidth="1"/>
    <col min="10755" max="11008" width="9.140625" style="122"/>
    <col min="11009" max="11009" width="25.7109375" style="122" bestFit="1" customWidth="1"/>
    <col min="11010" max="11010" width="11.42578125" style="122" bestFit="1" customWidth="1"/>
    <col min="11011" max="11264" width="9.140625" style="122"/>
    <col min="11265" max="11265" width="25.7109375" style="122" bestFit="1" customWidth="1"/>
    <col min="11266" max="11266" width="11.42578125" style="122" bestFit="1" customWidth="1"/>
    <col min="11267" max="11520" width="9.140625" style="122"/>
    <col min="11521" max="11521" width="25.7109375" style="122" bestFit="1" customWidth="1"/>
    <col min="11522" max="11522" width="11.42578125" style="122" bestFit="1" customWidth="1"/>
    <col min="11523" max="11776" width="9.140625" style="122"/>
    <col min="11777" max="11777" width="25.7109375" style="122" bestFit="1" customWidth="1"/>
    <col min="11778" max="11778" width="11.42578125" style="122" bestFit="1" customWidth="1"/>
    <col min="11779" max="12032" width="9.140625" style="122"/>
    <col min="12033" max="12033" width="25.7109375" style="122" bestFit="1" customWidth="1"/>
    <col min="12034" max="12034" width="11.42578125" style="122" bestFit="1" customWidth="1"/>
    <col min="12035" max="12288" width="9.140625" style="122"/>
    <col min="12289" max="12289" width="25.7109375" style="122" bestFit="1" customWidth="1"/>
    <col min="12290" max="12290" width="11.42578125" style="122" bestFit="1" customWidth="1"/>
    <col min="12291" max="12544" width="9.140625" style="122"/>
    <col min="12545" max="12545" width="25.7109375" style="122" bestFit="1" customWidth="1"/>
    <col min="12546" max="12546" width="11.42578125" style="122" bestFit="1" customWidth="1"/>
    <col min="12547" max="12800" width="9.140625" style="122"/>
    <col min="12801" max="12801" width="25.7109375" style="122" bestFit="1" customWidth="1"/>
    <col min="12802" max="12802" width="11.42578125" style="122" bestFit="1" customWidth="1"/>
    <col min="12803" max="13056" width="9.140625" style="122"/>
    <col min="13057" max="13057" width="25.7109375" style="122" bestFit="1" customWidth="1"/>
    <col min="13058" max="13058" width="11.42578125" style="122" bestFit="1" customWidth="1"/>
    <col min="13059" max="13312" width="9.140625" style="122"/>
    <col min="13313" max="13313" width="25.7109375" style="122" bestFit="1" customWidth="1"/>
    <col min="13314" max="13314" width="11.42578125" style="122" bestFit="1" customWidth="1"/>
    <col min="13315" max="13568" width="9.140625" style="122"/>
    <col min="13569" max="13569" width="25.7109375" style="122" bestFit="1" customWidth="1"/>
    <col min="13570" max="13570" width="11.42578125" style="122" bestFit="1" customWidth="1"/>
    <col min="13571" max="13824" width="9.140625" style="122"/>
    <col min="13825" max="13825" width="25.7109375" style="122" bestFit="1" customWidth="1"/>
    <col min="13826" max="13826" width="11.42578125" style="122" bestFit="1" customWidth="1"/>
    <col min="13827" max="14080" width="9.140625" style="122"/>
    <col min="14081" max="14081" width="25.7109375" style="122" bestFit="1" customWidth="1"/>
    <col min="14082" max="14082" width="11.42578125" style="122" bestFit="1" customWidth="1"/>
    <col min="14083" max="14336" width="9.140625" style="122"/>
    <col min="14337" max="14337" width="25.7109375" style="122" bestFit="1" customWidth="1"/>
    <col min="14338" max="14338" width="11.42578125" style="122" bestFit="1" customWidth="1"/>
    <col min="14339" max="14592" width="9.140625" style="122"/>
    <col min="14593" max="14593" width="25.7109375" style="122" bestFit="1" customWidth="1"/>
    <col min="14594" max="14594" width="11.42578125" style="122" bestFit="1" customWidth="1"/>
    <col min="14595" max="14848" width="9.140625" style="122"/>
    <col min="14849" max="14849" width="25.7109375" style="122" bestFit="1" customWidth="1"/>
    <col min="14850" max="14850" width="11.42578125" style="122" bestFit="1" customWidth="1"/>
    <col min="14851" max="15104" width="9.140625" style="122"/>
    <col min="15105" max="15105" width="25.7109375" style="122" bestFit="1" customWidth="1"/>
    <col min="15106" max="15106" width="11.42578125" style="122" bestFit="1" customWidth="1"/>
    <col min="15107" max="15360" width="9.140625" style="122"/>
    <col min="15361" max="15361" width="25.7109375" style="122" bestFit="1" customWidth="1"/>
    <col min="15362" max="15362" width="11.42578125" style="122" bestFit="1" customWidth="1"/>
    <col min="15363" max="15616" width="9.140625" style="122"/>
    <col min="15617" max="15617" width="25.7109375" style="122" bestFit="1" customWidth="1"/>
    <col min="15618" max="15618" width="11.42578125" style="122" bestFit="1" customWidth="1"/>
    <col min="15619" max="15872" width="9.140625" style="122"/>
    <col min="15873" max="15873" width="25.7109375" style="122" bestFit="1" customWidth="1"/>
    <col min="15874" max="15874" width="11.42578125" style="122" bestFit="1" customWidth="1"/>
    <col min="15875" max="16128" width="9.140625" style="122"/>
    <col min="16129" max="16129" width="25.7109375" style="122" bestFit="1" customWidth="1"/>
    <col min="16130" max="16130" width="11.42578125" style="122" bestFit="1" customWidth="1"/>
    <col min="16131" max="16384" width="9.140625" style="122"/>
  </cols>
  <sheetData>
    <row r="1" spans="1:2" x14ac:dyDescent="0.2">
      <c r="A1" s="122" t="s">
        <v>2197</v>
      </c>
      <c r="B1" s="125" t="s">
        <v>2259</v>
      </c>
    </row>
    <row r="2" spans="1:2" x14ac:dyDescent="0.2">
      <c r="A2" s="122" t="s">
        <v>503</v>
      </c>
      <c r="B2" s="125">
        <v>43.545999999999999</v>
      </c>
    </row>
    <row r="3" spans="1:2" x14ac:dyDescent="0.2">
      <c r="A3" s="122" t="s">
        <v>263</v>
      </c>
      <c r="B3" s="125">
        <v>25.754000000000001</v>
      </c>
    </row>
    <row r="4" spans="1:2" x14ac:dyDescent="0.2">
      <c r="A4" s="122" t="s">
        <v>85</v>
      </c>
      <c r="B4" s="125">
        <v>66.177000000000007</v>
      </c>
    </row>
    <row r="5" spans="1:2" x14ac:dyDescent="0.2">
      <c r="A5" s="122" t="s">
        <v>309</v>
      </c>
      <c r="B5" s="125">
        <v>61.228999999999999</v>
      </c>
    </row>
    <row r="6" spans="1:2" x14ac:dyDescent="0.2">
      <c r="A6" s="122" t="s">
        <v>313</v>
      </c>
      <c r="B6" s="125">
        <v>87.983999999999995</v>
      </c>
    </row>
    <row r="7" spans="1:2" x14ac:dyDescent="0.2">
      <c r="A7" s="122" t="s">
        <v>2198</v>
      </c>
      <c r="B7" s="125">
        <v>59.20164687327307</v>
      </c>
    </row>
    <row r="8" spans="1:2" x14ac:dyDescent="0.2">
      <c r="A8" s="122" t="s">
        <v>267</v>
      </c>
      <c r="B8" s="125">
        <v>86.789000000000001</v>
      </c>
    </row>
    <row r="9" spans="1:2" x14ac:dyDescent="0.2">
      <c r="A9" s="122" t="s">
        <v>189</v>
      </c>
      <c r="B9" s="125">
        <v>91.991</v>
      </c>
    </row>
    <row r="10" spans="1:2" x14ac:dyDescent="0.2">
      <c r="A10" s="122" t="s">
        <v>315</v>
      </c>
      <c r="B10" s="125">
        <v>63.219000000000001</v>
      </c>
    </row>
    <row r="11" spans="1:2" x14ac:dyDescent="0.2">
      <c r="A11" s="122" t="s">
        <v>2199</v>
      </c>
      <c r="B11" s="125">
        <v>87.147000000000006</v>
      </c>
    </row>
    <row r="12" spans="1:2" x14ac:dyDescent="0.2">
      <c r="A12" s="122" t="s">
        <v>193</v>
      </c>
      <c r="B12" s="125">
        <v>24.506</v>
      </c>
    </row>
    <row r="13" spans="1:2" x14ac:dyDescent="0.2">
      <c r="A13" s="122" t="s">
        <v>441</v>
      </c>
      <c r="B13" s="125">
        <v>86.123999999999995</v>
      </c>
    </row>
    <row r="14" spans="1:2" x14ac:dyDescent="0.2">
      <c r="A14" s="122" t="s">
        <v>317</v>
      </c>
      <c r="B14" s="125">
        <v>58.515000000000001</v>
      </c>
    </row>
    <row r="15" spans="1:2" x14ac:dyDescent="0.2">
      <c r="A15" s="122" t="s">
        <v>319</v>
      </c>
      <c r="B15" s="125">
        <v>56.030999999999999</v>
      </c>
    </row>
    <row r="16" spans="1:2" x14ac:dyDescent="0.2">
      <c r="A16" s="122" t="s">
        <v>91</v>
      </c>
      <c r="B16" s="125">
        <v>13.366</v>
      </c>
    </row>
    <row r="17" spans="1:2" x14ac:dyDescent="0.2">
      <c r="A17" s="122" t="s">
        <v>321</v>
      </c>
      <c r="B17" s="125">
        <v>98.040999999999997</v>
      </c>
    </row>
    <row r="18" spans="1:2" x14ac:dyDescent="0.2">
      <c r="A18" s="122" t="s">
        <v>95</v>
      </c>
      <c r="B18" s="125">
        <v>47.860999999999997</v>
      </c>
    </row>
    <row r="19" spans="1:2" x14ac:dyDescent="0.2">
      <c r="A19" s="122" t="s">
        <v>97</v>
      </c>
      <c r="B19" s="125">
        <v>29.98</v>
      </c>
    </row>
    <row r="20" spans="1:2" x14ac:dyDescent="0.2">
      <c r="A20" s="122" t="s">
        <v>417</v>
      </c>
      <c r="B20" s="125">
        <v>37.405000000000001</v>
      </c>
    </row>
    <row r="21" spans="1:2" x14ac:dyDescent="0.2">
      <c r="A21" s="122" t="s">
        <v>323</v>
      </c>
      <c r="B21" s="125">
        <v>75.346999999999994</v>
      </c>
    </row>
    <row r="22" spans="1:2" x14ac:dyDescent="0.2">
      <c r="A22" s="122" t="s">
        <v>269</v>
      </c>
      <c r="B22" s="125">
        <v>89.394000000000005</v>
      </c>
    </row>
    <row r="23" spans="1:2" x14ac:dyDescent="0.2">
      <c r="A23" s="122" t="s">
        <v>195</v>
      </c>
      <c r="B23" s="125">
        <v>83.132000000000005</v>
      </c>
    </row>
    <row r="24" spans="1:2" x14ac:dyDescent="0.2">
      <c r="A24" s="122" t="s">
        <v>325</v>
      </c>
      <c r="B24" s="125">
        <v>48.625999999999998</v>
      </c>
    </row>
    <row r="25" spans="1:2" x14ac:dyDescent="0.2">
      <c r="A25" s="122" t="s">
        <v>327</v>
      </c>
      <c r="B25" s="125">
        <v>79.043999999999997</v>
      </c>
    </row>
    <row r="26" spans="1:2" x14ac:dyDescent="0.2">
      <c r="A26" s="122" t="s">
        <v>198</v>
      </c>
      <c r="B26" s="125">
        <v>45.866</v>
      </c>
    </row>
    <row r="27" spans="1:2" x14ac:dyDescent="0.2">
      <c r="A27" s="122" t="s">
        <v>2200</v>
      </c>
      <c r="B27" s="125">
        <v>100</v>
      </c>
    </row>
    <row r="28" spans="1:2" x14ac:dyDescent="0.2">
      <c r="A28" s="122" t="s">
        <v>200</v>
      </c>
      <c r="B28" s="125">
        <v>69.772999999999996</v>
      </c>
    </row>
    <row r="29" spans="1:2" x14ac:dyDescent="0.2">
      <c r="A29" s="122" t="s">
        <v>202</v>
      </c>
      <c r="B29" s="125">
        <v>86.823999999999998</v>
      </c>
    </row>
    <row r="30" spans="1:2" x14ac:dyDescent="0.2">
      <c r="A30" s="122" t="s">
        <v>204</v>
      </c>
      <c r="B30" s="125">
        <v>31.158000000000001</v>
      </c>
    </row>
    <row r="31" spans="1:2" x14ac:dyDescent="0.2">
      <c r="A31" s="122" t="s">
        <v>444</v>
      </c>
      <c r="B31" s="125">
        <v>77.941999999999993</v>
      </c>
    </row>
    <row r="32" spans="1:2" x14ac:dyDescent="0.2">
      <c r="A32" s="122" t="s">
        <v>420</v>
      </c>
      <c r="B32" s="125">
        <v>41.612000000000002</v>
      </c>
    </row>
    <row r="33" spans="1:2" x14ac:dyDescent="0.2">
      <c r="A33" s="122" t="s">
        <v>99</v>
      </c>
      <c r="B33" s="125">
        <v>70.171999999999997</v>
      </c>
    </row>
    <row r="34" spans="1:2" x14ac:dyDescent="0.2">
      <c r="A34" s="122" t="s">
        <v>102</v>
      </c>
      <c r="B34" s="125">
        <v>41.77</v>
      </c>
    </row>
    <row r="35" spans="1:2" x14ac:dyDescent="0.2">
      <c r="A35" s="122" t="s">
        <v>206</v>
      </c>
      <c r="B35" s="125">
        <v>81.481999999999999</v>
      </c>
    </row>
    <row r="36" spans="1:2" x14ac:dyDescent="0.2">
      <c r="A36" s="122" t="s">
        <v>2201</v>
      </c>
      <c r="B36" s="125">
        <v>62.438356298567115</v>
      </c>
    </row>
    <row r="37" spans="1:2" x14ac:dyDescent="0.2">
      <c r="A37" s="122" t="s">
        <v>329</v>
      </c>
      <c r="B37" s="125">
        <v>73.849000000000004</v>
      </c>
    </row>
    <row r="38" spans="1:2" x14ac:dyDescent="0.2">
      <c r="A38" s="122" t="s">
        <v>504</v>
      </c>
      <c r="B38" s="125">
        <v>30.931000000000001</v>
      </c>
    </row>
    <row r="39" spans="1:2" x14ac:dyDescent="0.2">
      <c r="A39" s="122" t="s">
        <v>209</v>
      </c>
      <c r="B39" s="125">
        <v>87.643000000000001</v>
      </c>
    </row>
    <row r="40" spans="1:2" x14ac:dyDescent="0.2">
      <c r="A40" s="122" t="s">
        <v>446</v>
      </c>
      <c r="B40" s="125">
        <v>60.308</v>
      </c>
    </row>
    <row r="41" spans="1:2" x14ac:dyDescent="0.2">
      <c r="A41" s="122" t="s">
        <v>104</v>
      </c>
      <c r="B41" s="125">
        <v>51.238999999999997</v>
      </c>
    </row>
    <row r="42" spans="1:2" x14ac:dyDescent="0.2">
      <c r="A42" s="122" t="s">
        <v>106</v>
      </c>
      <c r="B42" s="125">
        <v>56.968000000000004</v>
      </c>
    </row>
    <row r="43" spans="1:2" x14ac:dyDescent="0.2">
      <c r="A43" s="122" t="s">
        <v>109</v>
      </c>
      <c r="B43" s="125">
        <v>45.045999999999999</v>
      </c>
    </row>
    <row r="44" spans="1:2" x14ac:dyDescent="0.2">
      <c r="A44" s="122" t="s">
        <v>111</v>
      </c>
      <c r="B44" s="125">
        <v>67.373000000000005</v>
      </c>
    </row>
    <row r="45" spans="1:2" x14ac:dyDescent="0.2">
      <c r="A45" s="122" t="s">
        <v>211</v>
      </c>
      <c r="B45" s="125">
        <v>81.103999999999999</v>
      </c>
    </row>
    <row r="46" spans="1:2" x14ac:dyDescent="0.2">
      <c r="A46" s="122" t="s">
        <v>113</v>
      </c>
      <c r="B46" s="125">
        <v>29.164000000000001</v>
      </c>
    </row>
    <row r="47" spans="1:2" x14ac:dyDescent="0.2">
      <c r="A47" s="122" t="s">
        <v>115</v>
      </c>
      <c r="B47" s="125">
        <v>66.194999999999993</v>
      </c>
    </row>
    <row r="48" spans="1:2" x14ac:dyDescent="0.2">
      <c r="A48" s="122" t="s">
        <v>213</v>
      </c>
      <c r="B48" s="125">
        <v>80.075999999999993</v>
      </c>
    </row>
    <row r="49" spans="1:2" x14ac:dyDescent="0.2">
      <c r="A49" s="122" t="s">
        <v>2202</v>
      </c>
      <c r="B49" s="125">
        <v>51.370039053387458</v>
      </c>
    </row>
    <row r="50" spans="1:2" x14ac:dyDescent="0.2">
      <c r="A50" s="122" t="s">
        <v>215</v>
      </c>
      <c r="B50" s="125">
        <v>77.108999999999995</v>
      </c>
    </row>
    <row r="51" spans="1:2" x14ac:dyDescent="0.2">
      <c r="A51" s="122" t="s">
        <v>505</v>
      </c>
      <c r="B51" s="125">
        <v>89.097999999999999</v>
      </c>
    </row>
    <row r="52" spans="1:2" x14ac:dyDescent="0.2">
      <c r="A52" s="122" t="s">
        <v>2203</v>
      </c>
      <c r="B52" s="125">
        <v>100</v>
      </c>
    </row>
    <row r="53" spans="1:2" x14ac:dyDescent="0.2">
      <c r="A53" s="122" t="s">
        <v>331</v>
      </c>
      <c r="B53" s="125">
        <v>66.805000000000007</v>
      </c>
    </row>
    <row r="54" spans="1:2" x14ac:dyDescent="0.2">
      <c r="A54" s="122" t="s">
        <v>333</v>
      </c>
      <c r="B54" s="125">
        <v>73.921000000000006</v>
      </c>
    </row>
    <row r="55" spans="1:2" x14ac:dyDescent="0.2">
      <c r="A55" s="122" t="s">
        <v>335</v>
      </c>
      <c r="B55" s="125">
        <v>77.376000000000005</v>
      </c>
    </row>
    <row r="56" spans="1:2" x14ac:dyDescent="0.2">
      <c r="A56" s="122" t="s">
        <v>271</v>
      </c>
      <c r="B56" s="125">
        <v>77.915000000000006</v>
      </c>
    </row>
    <row r="57" spans="1:2" x14ac:dyDescent="0.2">
      <c r="A57" s="122" t="s">
        <v>217</v>
      </c>
      <c r="B57" s="125">
        <v>70.786000000000001</v>
      </c>
    </row>
    <row r="58" spans="1:2" x14ac:dyDescent="0.2">
      <c r="A58" s="122" t="s">
        <v>337</v>
      </c>
      <c r="B58" s="125">
        <v>87.994</v>
      </c>
    </row>
    <row r="59" spans="1:2" x14ac:dyDescent="0.2">
      <c r="A59" s="122" t="s">
        <v>219</v>
      </c>
      <c r="B59" s="125">
        <v>81.828000000000003</v>
      </c>
    </row>
    <row r="60" spans="1:2" x14ac:dyDescent="0.2">
      <c r="A60" s="122" t="s">
        <v>117</v>
      </c>
      <c r="B60" s="125">
        <v>73.188999999999993</v>
      </c>
    </row>
    <row r="61" spans="1:2" x14ac:dyDescent="0.2">
      <c r="A61" s="122" t="s">
        <v>2204</v>
      </c>
      <c r="B61" s="125">
        <v>56.570003616061634</v>
      </c>
    </row>
    <row r="62" spans="1:2" x14ac:dyDescent="0.2">
      <c r="A62" s="122" t="s">
        <v>2205</v>
      </c>
      <c r="B62" s="125">
        <v>45.540796191108008</v>
      </c>
    </row>
    <row r="63" spans="1:2" x14ac:dyDescent="0.2">
      <c r="A63" s="122" t="s">
        <v>2206</v>
      </c>
      <c r="B63" s="125">
        <v>59.886532737078447</v>
      </c>
    </row>
    <row r="64" spans="1:2" x14ac:dyDescent="0.2">
      <c r="A64" s="122" t="s">
        <v>2207</v>
      </c>
      <c r="B64" s="125">
        <v>67.818758029058699</v>
      </c>
    </row>
    <row r="65" spans="1:2" x14ac:dyDescent="0.2">
      <c r="A65" s="122" t="s">
        <v>2208</v>
      </c>
      <c r="B65" s="125">
        <v>72.409148758917979</v>
      </c>
    </row>
    <row r="66" spans="1:2" x14ac:dyDescent="0.2">
      <c r="A66" s="122" t="s">
        <v>221</v>
      </c>
      <c r="B66" s="125">
        <v>63.985999999999997</v>
      </c>
    </row>
    <row r="67" spans="1:2" x14ac:dyDescent="0.2">
      <c r="A67" s="122" t="s">
        <v>273</v>
      </c>
      <c r="B67" s="125">
        <v>42.73</v>
      </c>
    </row>
    <row r="68" spans="1:2" x14ac:dyDescent="0.2">
      <c r="A68" s="122" t="s">
        <v>2209</v>
      </c>
      <c r="B68" s="125">
        <v>77.217685720964781</v>
      </c>
    </row>
    <row r="69" spans="1:2" x14ac:dyDescent="0.2">
      <c r="A69" s="122" t="s">
        <v>120</v>
      </c>
    </row>
    <row r="70" spans="1:2" x14ac:dyDescent="0.2">
      <c r="A70" s="122" t="s">
        <v>339</v>
      </c>
      <c r="B70" s="125">
        <v>80.564999999999998</v>
      </c>
    </row>
    <row r="71" spans="1:2" x14ac:dyDescent="0.2">
      <c r="A71" s="122" t="s">
        <v>341</v>
      </c>
      <c r="B71" s="125">
        <v>69.051000000000002</v>
      </c>
    </row>
    <row r="72" spans="1:2" x14ac:dyDescent="0.2">
      <c r="A72" s="122" t="s">
        <v>122</v>
      </c>
      <c r="B72" s="125">
        <v>21.225000000000001</v>
      </c>
    </row>
    <row r="73" spans="1:2" x14ac:dyDescent="0.2">
      <c r="A73" s="122" t="s">
        <v>2210</v>
      </c>
      <c r="B73" s="125">
        <v>74.729521321510106</v>
      </c>
    </row>
    <row r="74" spans="1:2" x14ac:dyDescent="0.2">
      <c r="A74" s="122" t="s">
        <v>2211</v>
      </c>
      <c r="B74" s="125">
        <v>44.950068569803697</v>
      </c>
    </row>
    <row r="75" spans="1:2" x14ac:dyDescent="0.2">
      <c r="A75" s="122" t="s">
        <v>343</v>
      </c>
      <c r="B75" s="125">
        <v>85.445999999999998</v>
      </c>
    </row>
    <row r="76" spans="1:2" x14ac:dyDescent="0.2">
      <c r="A76" s="122" t="s">
        <v>450</v>
      </c>
      <c r="B76" s="125">
        <v>56.75</v>
      </c>
    </row>
    <row r="77" spans="1:2" x14ac:dyDescent="0.2">
      <c r="A77" s="122" t="s">
        <v>345</v>
      </c>
      <c r="B77" s="125">
        <v>80.709000000000003</v>
      </c>
    </row>
    <row r="78" spans="1:2" x14ac:dyDescent="0.2">
      <c r="A78" s="122" t="s">
        <v>2212</v>
      </c>
      <c r="B78" s="125">
        <v>42.225000000000001</v>
      </c>
    </row>
    <row r="79" spans="1:2" x14ac:dyDescent="0.2">
      <c r="A79" s="122" t="s">
        <v>452</v>
      </c>
      <c r="B79" s="125">
        <v>22.812000000000001</v>
      </c>
    </row>
    <row r="80" spans="1:2" x14ac:dyDescent="0.2">
      <c r="A80" s="122" t="s">
        <v>124</v>
      </c>
      <c r="B80" s="125">
        <v>89.741</v>
      </c>
    </row>
    <row r="81" spans="1:2" x14ac:dyDescent="0.2">
      <c r="A81" s="122" t="s">
        <v>347</v>
      </c>
      <c r="B81" s="125">
        <v>83.652000000000001</v>
      </c>
    </row>
    <row r="82" spans="1:2" x14ac:dyDescent="0.2">
      <c r="A82" s="122" t="s">
        <v>349</v>
      </c>
      <c r="B82" s="125">
        <v>59.039000000000001</v>
      </c>
    </row>
    <row r="83" spans="1:2" x14ac:dyDescent="0.2">
      <c r="A83" s="122" t="s">
        <v>126</v>
      </c>
      <c r="B83" s="125">
        <v>56.707000000000001</v>
      </c>
    </row>
    <row r="84" spans="1:2" x14ac:dyDescent="0.2">
      <c r="A84" s="122" t="s">
        <v>2213</v>
      </c>
      <c r="B84" s="125">
        <v>100</v>
      </c>
    </row>
    <row r="85" spans="1:2" x14ac:dyDescent="0.2">
      <c r="A85" s="122" t="s">
        <v>128</v>
      </c>
      <c r="B85" s="125">
        <v>36.5</v>
      </c>
    </row>
    <row r="86" spans="1:2" x14ac:dyDescent="0.2">
      <c r="A86" s="122" t="s">
        <v>130</v>
      </c>
      <c r="B86" s="125">
        <v>61.930999999999997</v>
      </c>
    </row>
    <row r="87" spans="1:2" x14ac:dyDescent="0.2">
      <c r="A87" s="122" t="s">
        <v>132</v>
      </c>
      <c r="B87" s="125">
        <v>43.777000000000001</v>
      </c>
    </row>
    <row r="88" spans="1:2" x14ac:dyDescent="0.2">
      <c r="A88" s="122" t="s">
        <v>134</v>
      </c>
      <c r="B88" s="125">
        <v>72.626999999999995</v>
      </c>
    </row>
    <row r="89" spans="1:2" x14ac:dyDescent="0.2">
      <c r="A89" s="122" t="s">
        <v>351</v>
      </c>
      <c r="B89" s="125">
        <v>79.388000000000005</v>
      </c>
    </row>
    <row r="90" spans="1:2" x14ac:dyDescent="0.2">
      <c r="A90" s="122" t="s">
        <v>223</v>
      </c>
      <c r="B90" s="125">
        <v>36.396000000000001</v>
      </c>
    </row>
    <row r="91" spans="1:2" x14ac:dyDescent="0.2">
      <c r="A91" s="122" t="s">
        <v>2214</v>
      </c>
      <c r="B91" s="125">
        <v>87.052000000000007</v>
      </c>
    </row>
    <row r="92" spans="1:2" x14ac:dyDescent="0.2">
      <c r="A92" s="122" t="s">
        <v>225</v>
      </c>
      <c r="B92" s="125">
        <v>51.439</v>
      </c>
    </row>
    <row r="93" spans="1:2" x14ac:dyDescent="0.2">
      <c r="A93" s="122" t="s">
        <v>509</v>
      </c>
      <c r="B93" s="125">
        <v>94.858999999999995</v>
      </c>
    </row>
    <row r="94" spans="1:2" x14ac:dyDescent="0.2">
      <c r="A94" s="122" t="s">
        <v>227</v>
      </c>
      <c r="B94" s="125">
        <v>26.689</v>
      </c>
    </row>
    <row r="95" spans="1:2" x14ac:dyDescent="0.2">
      <c r="A95" s="122" t="s">
        <v>2215</v>
      </c>
      <c r="B95" s="125">
        <v>81.047440101991015</v>
      </c>
    </row>
    <row r="96" spans="1:2" x14ac:dyDescent="0.2">
      <c r="A96" s="122" t="s">
        <v>510</v>
      </c>
      <c r="B96" s="125">
        <v>100</v>
      </c>
    </row>
    <row r="97" spans="1:2" x14ac:dyDescent="0.2">
      <c r="A97" s="122" t="s">
        <v>229</v>
      </c>
      <c r="B97" s="125">
        <v>57.73</v>
      </c>
    </row>
    <row r="98" spans="1:2" x14ac:dyDescent="0.2">
      <c r="A98" s="122" t="s">
        <v>2216</v>
      </c>
      <c r="B98" s="125">
        <v>36.481281413996307</v>
      </c>
    </row>
    <row r="99" spans="1:2" x14ac:dyDescent="0.2">
      <c r="A99" s="122" t="s">
        <v>353</v>
      </c>
      <c r="B99" s="125">
        <v>57.241999999999997</v>
      </c>
    </row>
    <row r="100" spans="1:2" x14ac:dyDescent="0.2">
      <c r="A100" s="122" t="s">
        <v>231</v>
      </c>
      <c r="B100" s="125">
        <v>56.192</v>
      </c>
    </row>
    <row r="101" spans="1:2" x14ac:dyDescent="0.2">
      <c r="A101" s="122" t="s">
        <v>355</v>
      </c>
      <c r="B101" s="125">
        <v>71.644000000000005</v>
      </c>
    </row>
    <row r="102" spans="1:2" x14ac:dyDescent="0.2">
      <c r="A102" s="122" t="s">
        <v>2217</v>
      </c>
      <c r="B102" s="125">
        <v>55.616272451281333</v>
      </c>
    </row>
    <row r="103" spans="1:2" x14ac:dyDescent="0.2">
      <c r="A103" s="122" t="s">
        <v>2218</v>
      </c>
      <c r="B103" s="125">
        <v>50.948770256058232</v>
      </c>
    </row>
    <row r="104" spans="1:2" x14ac:dyDescent="0.2">
      <c r="A104" s="122" t="s">
        <v>94</v>
      </c>
      <c r="B104" s="125">
        <v>37.478982244463182</v>
      </c>
    </row>
    <row r="105" spans="1:2" x14ac:dyDescent="0.2">
      <c r="A105" s="122" t="s">
        <v>2219</v>
      </c>
      <c r="B105" s="125">
        <v>42.707186459763541</v>
      </c>
    </row>
    <row r="106" spans="1:2" x14ac:dyDescent="0.2">
      <c r="A106" s="122" t="s">
        <v>422</v>
      </c>
      <c r="B106" s="125">
        <v>55.984999999999999</v>
      </c>
    </row>
    <row r="107" spans="1:2" x14ac:dyDescent="0.2">
      <c r="A107" s="122" t="s">
        <v>2220</v>
      </c>
      <c r="B107" s="125">
        <v>34.827552537249318</v>
      </c>
    </row>
    <row r="108" spans="1:2" x14ac:dyDescent="0.2">
      <c r="A108" s="122" t="s">
        <v>2221</v>
      </c>
      <c r="B108" s="125">
        <v>52.734999999999999</v>
      </c>
    </row>
    <row r="109" spans="1:2" x14ac:dyDescent="0.2">
      <c r="A109" s="122" t="s">
        <v>425</v>
      </c>
      <c r="B109" s="125">
        <v>34.472000000000001</v>
      </c>
    </row>
    <row r="110" spans="1:2" x14ac:dyDescent="0.2">
      <c r="A110" s="122" t="s">
        <v>2222</v>
      </c>
    </row>
    <row r="111" spans="1:2" x14ac:dyDescent="0.2">
      <c r="A111" s="122" t="s">
        <v>357</v>
      </c>
      <c r="B111" s="125">
        <v>63.405000000000001</v>
      </c>
    </row>
    <row r="112" spans="1:2" x14ac:dyDescent="0.2">
      <c r="A112" s="122" t="s">
        <v>275</v>
      </c>
      <c r="B112" s="125">
        <v>75.391000000000005</v>
      </c>
    </row>
    <row r="113" spans="1:2" x14ac:dyDescent="0.2">
      <c r="A113" s="122" t="s">
        <v>277</v>
      </c>
      <c r="B113" s="125">
        <v>70.677999999999997</v>
      </c>
    </row>
    <row r="114" spans="1:2" x14ac:dyDescent="0.2">
      <c r="A114" s="122" t="s">
        <v>359</v>
      </c>
      <c r="B114" s="125">
        <v>93.855000000000004</v>
      </c>
    </row>
    <row r="115" spans="1:2" x14ac:dyDescent="0.2">
      <c r="A115" s="122" t="s">
        <v>361</v>
      </c>
      <c r="B115" s="125">
        <v>92.501000000000005</v>
      </c>
    </row>
    <row r="116" spans="1:2" x14ac:dyDescent="0.2">
      <c r="A116" s="122" t="s">
        <v>363</v>
      </c>
      <c r="B116" s="125">
        <v>70.736000000000004</v>
      </c>
    </row>
    <row r="117" spans="1:2" x14ac:dyDescent="0.2">
      <c r="A117" s="122" t="s">
        <v>233</v>
      </c>
      <c r="B117" s="125">
        <v>55.984999999999999</v>
      </c>
    </row>
    <row r="118" spans="1:2" x14ac:dyDescent="0.2">
      <c r="A118" s="122" t="s">
        <v>279</v>
      </c>
      <c r="B118" s="125">
        <v>91.203000000000003</v>
      </c>
    </row>
    <row r="119" spans="1:2" x14ac:dyDescent="0.2">
      <c r="A119" s="122" t="s">
        <v>454</v>
      </c>
      <c r="B119" s="125">
        <v>91.697999999999993</v>
      </c>
    </row>
    <row r="120" spans="1:2" x14ac:dyDescent="0.2">
      <c r="A120" s="122" t="s">
        <v>365</v>
      </c>
      <c r="B120" s="125">
        <v>57.54</v>
      </c>
    </row>
    <row r="121" spans="1:2" x14ac:dyDescent="0.2">
      <c r="A121" s="122" t="s">
        <v>136</v>
      </c>
      <c r="B121" s="125">
        <v>27.507000000000001</v>
      </c>
    </row>
    <row r="122" spans="1:2" x14ac:dyDescent="0.2">
      <c r="A122" s="122" t="s">
        <v>367</v>
      </c>
      <c r="B122" s="125">
        <v>36.591000000000001</v>
      </c>
    </row>
    <row r="123" spans="1:2" x14ac:dyDescent="0.2">
      <c r="A123" s="122" t="s">
        <v>456</v>
      </c>
      <c r="B123" s="125">
        <v>23.805</v>
      </c>
    </row>
    <row r="124" spans="1:2" x14ac:dyDescent="0.2">
      <c r="A124" s="122" t="s">
        <v>458</v>
      </c>
      <c r="B124" s="125">
        <v>54.835000000000001</v>
      </c>
    </row>
    <row r="125" spans="1:2" x14ac:dyDescent="0.2">
      <c r="A125" s="122" t="s">
        <v>235</v>
      </c>
      <c r="B125" s="125">
        <v>30.798999999999999</v>
      </c>
    </row>
    <row r="126" spans="1:2" x14ac:dyDescent="0.2">
      <c r="A126" s="122" t="s">
        <v>460</v>
      </c>
      <c r="B126" s="125">
        <v>81.430000000000007</v>
      </c>
    </row>
    <row r="127" spans="1:2" x14ac:dyDescent="0.2">
      <c r="A127" s="122" t="s">
        <v>281</v>
      </c>
      <c r="B127" s="125">
        <v>100</v>
      </c>
    </row>
    <row r="128" spans="1:2" x14ac:dyDescent="0.2">
      <c r="A128" s="122" t="s">
        <v>2223</v>
      </c>
      <c r="B128" s="125">
        <v>80.699117764329685</v>
      </c>
    </row>
    <row r="129" spans="1:2" x14ac:dyDescent="0.2">
      <c r="A129" s="122" t="s">
        <v>462</v>
      </c>
      <c r="B129" s="125">
        <v>35.645000000000003</v>
      </c>
    </row>
    <row r="130" spans="1:2" x14ac:dyDescent="0.2">
      <c r="A130" s="122" t="s">
        <v>283</v>
      </c>
      <c r="B130" s="125">
        <v>88.757999999999996</v>
      </c>
    </row>
    <row r="131" spans="1:2" x14ac:dyDescent="0.2">
      <c r="A131" s="122" t="s">
        <v>138</v>
      </c>
      <c r="B131" s="125">
        <v>51.615000000000002</v>
      </c>
    </row>
    <row r="132" spans="1:2" x14ac:dyDescent="0.2">
      <c r="A132" s="122" t="s">
        <v>285</v>
      </c>
      <c r="B132" s="125">
        <v>80.393000000000001</v>
      </c>
    </row>
    <row r="133" spans="1:2" x14ac:dyDescent="0.2">
      <c r="A133" s="122" t="s">
        <v>237</v>
      </c>
      <c r="B133" s="125">
        <v>18.754000000000001</v>
      </c>
    </row>
    <row r="134" spans="1:2" x14ac:dyDescent="0.2">
      <c r="A134" s="122" t="s">
        <v>2224</v>
      </c>
      <c r="B134" s="125">
        <v>80.8705590286188</v>
      </c>
    </row>
    <row r="135" spans="1:2" x14ac:dyDescent="0.2">
      <c r="A135" s="122" t="s">
        <v>2225</v>
      </c>
      <c r="B135" s="125">
        <v>34.1013508108868</v>
      </c>
    </row>
    <row r="136" spans="1:2" x14ac:dyDescent="0.2">
      <c r="A136" s="122" t="s">
        <v>2226</v>
      </c>
      <c r="B136" s="125">
        <v>33.318266174293427</v>
      </c>
    </row>
    <row r="137" spans="1:2" x14ac:dyDescent="0.2">
      <c r="A137" s="122" t="s">
        <v>2227</v>
      </c>
      <c r="B137" s="125">
        <v>14.371</v>
      </c>
    </row>
    <row r="138" spans="1:2" x14ac:dyDescent="0.2">
      <c r="A138" s="122" t="s">
        <v>427</v>
      </c>
      <c r="B138" s="125">
        <v>18.585000000000001</v>
      </c>
    </row>
    <row r="139" spans="1:2" x14ac:dyDescent="0.2">
      <c r="A139" s="122" t="s">
        <v>2228</v>
      </c>
      <c r="B139" s="125">
        <v>39.685850842257317</v>
      </c>
    </row>
    <row r="140" spans="1:2" x14ac:dyDescent="0.2">
      <c r="A140" s="122" t="s">
        <v>2229</v>
      </c>
      <c r="B140" s="125">
        <v>50.849828659622112</v>
      </c>
    </row>
    <row r="141" spans="1:2" x14ac:dyDescent="0.2">
      <c r="A141" s="122" t="s">
        <v>140</v>
      </c>
      <c r="B141" s="125">
        <v>28.585000000000001</v>
      </c>
    </row>
    <row r="142" spans="1:2" x14ac:dyDescent="0.2">
      <c r="A142" s="122" t="s">
        <v>2230</v>
      </c>
      <c r="B142" s="125">
        <v>63.293150242203737</v>
      </c>
    </row>
    <row r="143" spans="1:2" x14ac:dyDescent="0.2">
      <c r="A143" s="122" t="s">
        <v>369</v>
      </c>
      <c r="B143" s="125">
        <v>67.855000000000004</v>
      </c>
    </row>
    <row r="144" spans="1:2" x14ac:dyDescent="0.2">
      <c r="A144" s="122" t="s">
        <v>371</v>
      </c>
      <c r="B144" s="125">
        <v>91.222999999999999</v>
      </c>
    </row>
    <row r="145" spans="1:2" x14ac:dyDescent="0.2">
      <c r="A145" s="122" t="s">
        <v>373</v>
      </c>
      <c r="B145" s="125">
        <v>68.221999999999994</v>
      </c>
    </row>
    <row r="146" spans="1:2" x14ac:dyDescent="0.2">
      <c r="A146" s="122" t="s">
        <v>511</v>
      </c>
      <c r="B146" s="125">
        <v>100</v>
      </c>
    </row>
    <row r="147" spans="1:2" x14ac:dyDescent="0.2">
      <c r="A147" s="122" t="s">
        <v>2231</v>
      </c>
    </row>
    <row r="148" spans="1:2" x14ac:dyDescent="0.2">
      <c r="A148" s="122" t="s">
        <v>287</v>
      </c>
      <c r="B148" s="125">
        <v>62.994</v>
      </c>
    </row>
    <row r="149" spans="1:2" x14ac:dyDescent="0.2">
      <c r="A149" s="122" t="s">
        <v>375</v>
      </c>
      <c r="B149" s="125">
        <v>100</v>
      </c>
    </row>
    <row r="150" spans="1:2" x14ac:dyDescent="0.2">
      <c r="A150" s="122" t="s">
        <v>377</v>
      </c>
      <c r="B150" s="125">
        <v>42.725999999999999</v>
      </c>
    </row>
    <row r="151" spans="1:2" x14ac:dyDescent="0.2">
      <c r="A151" s="122" t="s">
        <v>142</v>
      </c>
      <c r="B151" s="125">
        <v>37.860999999999997</v>
      </c>
    </row>
    <row r="152" spans="1:2" x14ac:dyDescent="0.2">
      <c r="A152" s="122" t="s">
        <v>429</v>
      </c>
      <c r="B152" s="125">
        <v>40.238</v>
      </c>
    </row>
    <row r="153" spans="1:2" x14ac:dyDescent="0.2">
      <c r="A153" s="122" t="s">
        <v>2232</v>
      </c>
      <c r="B153" s="125">
        <v>65.678614825079563</v>
      </c>
    </row>
    <row r="154" spans="1:2" x14ac:dyDescent="0.2">
      <c r="A154" s="122" t="s">
        <v>239</v>
      </c>
      <c r="B154" s="125">
        <v>80.444000000000003</v>
      </c>
    </row>
    <row r="155" spans="1:2" x14ac:dyDescent="0.2">
      <c r="A155" s="122" t="s">
        <v>464</v>
      </c>
      <c r="B155" s="125">
        <v>77.417000000000002</v>
      </c>
    </row>
    <row r="156" spans="1:2" x14ac:dyDescent="0.2">
      <c r="A156" s="122" t="s">
        <v>2233</v>
      </c>
      <c r="B156" s="125">
        <v>52.881765945696294</v>
      </c>
    </row>
    <row r="157" spans="1:2" x14ac:dyDescent="0.2">
      <c r="A157" s="122" t="s">
        <v>379</v>
      </c>
      <c r="B157" s="125">
        <v>58.207999999999998</v>
      </c>
    </row>
    <row r="158" spans="1:2" x14ac:dyDescent="0.2">
      <c r="A158" s="122" t="s">
        <v>144</v>
      </c>
      <c r="B158" s="125">
        <v>43.136000000000003</v>
      </c>
    </row>
    <row r="159" spans="1:2" x14ac:dyDescent="0.2">
      <c r="A159" s="122" t="s">
        <v>381</v>
      </c>
      <c r="B159" s="125">
        <v>94.677999999999997</v>
      </c>
    </row>
    <row r="160" spans="1:2" x14ac:dyDescent="0.2">
      <c r="A160" s="122" t="s">
        <v>431</v>
      </c>
      <c r="B160" s="125">
        <v>30.852</v>
      </c>
    </row>
    <row r="161" spans="1:2" x14ac:dyDescent="0.2">
      <c r="A161" s="122" t="s">
        <v>2234</v>
      </c>
      <c r="B161" s="125">
        <v>61.903400374081265</v>
      </c>
    </row>
    <row r="162" spans="1:2" x14ac:dyDescent="0.2">
      <c r="A162" s="122" t="s">
        <v>383</v>
      </c>
      <c r="B162" s="125">
        <v>67.150000000000006</v>
      </c>
    </row>
    <row r="163" spans="1:2" x14ac:dyDescent="0.2">
      <c r="A163" s="122" t="s">
        <v>466</v>
      </c>
      <c r="B163" s="125">
        <v>68.543000000000006</v>
      </c>
    </row>
    <row r="164" spans="1:2" x14ac:dyDescent="0.2">
      <c r="A164" s="122" t="s">
        <v>2235</v>
      </c>
      <c r="B164" s="125">
        <v>91.707999999999998</v>
      </c>
    </row>
    <row r="165" spans="1:2" x14ac:dyDescent="0.2">
      <c r="A165" s="122" t="s">
        <v>146</v>
      </c>
      <c r="B165" s="125">
        <v>36.527999999999999</v>
      </c>
    </row>
    <row r="166" spans="1:2" x14ac:dyDescent="0.2">
      <c r="A166" s="122" t="s">
        <v>148</v>
      </c>
      <c r="B166" s="125">
        <v>54.506999999999998</v>
      </c>
    </row>
    <row r="167" spans="1:2" x14ac:dyDescent="0.2">
      <c r="A167" s="122" t="s">
        <v>150</v>
      </c>
      <c r="B167" s="125">
        <v>40.765999999999998</v>
      </c>
    </row>
    <row r="168" spans="1:2" x14ac:dyDescent="0.2">
      <c r="A168" s="122" t="s">
        <v>153</v>
      </c>
      <c r="B168" s="125">
        <v>17.173999999999999</v>
      </c>
    </row>
    <row r="169" spans="1:2" x14ac:dyDescent="0.2">
      <c r="A169" s="122" t="s">
        <v>468</v>
      </c>
      <c r="B169" s="125">
        <v>76.606999999999999</v>
      </c>
    </row>
    <row r="170" spans="1:2" x14ac:dyDescent="0.2">
      <c r="A170" s="122" t="s">
        <v>2236</v>
      </c>
      <c r="B170" s="125">
        <v>82.361694087517776</v>
      </c>
    </row>
    <row r="171" spans="1:2" x14ac:dyDescent="0.2">
      <c r="A171" s="122" t="s">
        <v>155</v>
      </c>
      <c r="B171" s="125">
        <v>51.042000000000002</v>
      </c>
    </row>
    <row r="172" spans="1:2" x14ac:dyDescent="0.2">
      <c r="A172" s="122" t="s">
        <v>514</v>
      </c>
      <c r="B172" s="125">
        <v>71.103999999999999</v>
      </c>
    </row>
    <row r="173" spans="1:2" x14ac:dyDescent="0.2">
      <c r="A173" s="122" t="s">
        <v>157</v>
      </c>
      <c r="B173" s="125">
        <v>16.516999999999999</v>
      </c>
    </row>
    <row r="174" spans="1:2" x14ac:dyDescent="0.2">
      <c r="A174" s="122" t="s">
        <v>159</v>
      </c>
      <c r="B174" s="125">
        <v>51.156999999999996</v>
      </c>
    </row>
    <row r="175" spans="1:2" x14ac:dyDescent="0.2">
      <c r="A175" s="122" t="s">
        <v>241</v>
      </c>
      <c r="B175" s="125">
        <v>58.76</v>
      </c>
    </row>
    <row r="176" spans="1:2" x14ac:dyDescent="0.2">
      <c r="A176" s="122" t="s">
        <v>385</v>
      </c>
      <c r="B176" s="125">
        <v>91.876000000000005</v>
      </c>
    </row>
    <row r="177" spans="1:2" x14ac:dyDescent="0.2">
      <c r="A177" s="122" t="s">
        <v>387</v>
      </c>
      <c r="B177" s="125">
        <v>82.616</v>
      </c>
    </row>
    <row r="178" spans="1:2" x14ac:dyDescent="0.2">
      <c r="A178" s="122" t="s">
        <v>433</v>
      </c>
      <c r="B178" s="125">
        <v>20.152999999999999</v>
      </c>
    </row>
    <row r="179" spans="1:2" x14ac:dyDescent="0.2">
      <c r="A179" s="122" t="s">
        <v>472</v>
      </c>
      <c r="B179" s="125">
        <v>100</v>
      </c>
    </row>
    <row r="180" spans="1:2" x14ac:dyDescent="0.2">
      <c r="A180" s="122" t="s">
        <v>474</v>
      </c>
      <c r="B180" s="125">
        <v>86.614999999999995</v>
      </c>
    </row>
    <row r="181" spans="1:2" x14ac:dyDescent="0.2">
      <c r="A181" s="122" t="s">
        <v>2237</v>
      </c>
      <c r="B181" s="125">
        <v>80.804572853365542</v>
      </c>
    </row>
    <row r="182" spans="1:2" x14ac:dyDescent="0.2">
      <c r="A182" s="122" t="s">
        <v>289</v>
      </c>
      <c r="B182" s="125">
        <v>85.442999999999998</v>
      </c>
    </row>
    <row r="183" spans="1:2" x14ac:dyDescent="0.2">
      <c r="A183" s="122" t="s">
        <v>2238</v>
      </c>
      <c r="B183" s="125">
        <v>62.596502873894458</v>
      </c>
    </row>
    <row r="184" spans="1:2" x14ac:dyDescent="0.2">
      <c r="A184" s="122" t="s">
        <v>291</v>
      </c>
      <c r="B184" s="125">
        <v>36.906999999999996</v>
      </c>
    </row>
    <row r="185" spans="1:2" x14ac:dyDescent="0.2">
      <c r="A185" s="122" t="s">
        <v>243</v>
      </c>
      <c r="B185" s="125">
        <v>68.058999999999997</v>
      </c>
    </row>
    <row r="186" spans="1:2" x14ac:dyDescent="0.2">
      <c r="A186" s="122" t="s">
        <v>245</v>
      </c>
      <c r="B186" s="125">
        <v>78.099000000000004</v>
      </c>
    </row>
    <row r="187" spans="1:2" x14ac:dyDescent="0.2">
      <c r="A187" s="122" t="s">
        <v>476</v>
      </c>
      <c r="B187" s="125">
        <v>47.149000000000001</v>
      </c>
    </row>
    <row r="188" spans="1:2" x14ac:dyDescent="0.2">
      <c r="A188" s="122" t="s">
        <v>478</v>
      </c>
      <c r="B188" s="125">
        <v>80.47</v>
      </c>
    </row>
    <row r="189" spans="1:2" x14ac:dyDescent="0.2">
      <c r="A189" s="122" t="s">
        <v>480</v>
      </c>
      <c r="B189" s="125">
        <v>13.25</v>
      </c>
    </row>
    <row r="190" spans="1:2" x14ac:dyDescent="0.2">
      <c r="A190" s="122" t="s">
        <v>389</v>
      </c>
      <c r="B190" s="125">
        <v>60.036999999999999</v>
      </c>
    </row>
    <row r="191" spans="1:2" x14ac:dyDescent="0.2">
      <c r="A191" s="122" t="s">
        <v>2239</v>
      </c>
      <c r="B191" s="125">
        <v>41.776453935974317</v>
      </c>
    </row>
    <row r="192" spans="1:2" x14ac:dyDescent="0.2">
      <c r="A192" s="122" t="s">
        <v>515</v>
      </c>
      <c r="B192" s="125">
        <v>93.575999999999993</v>
      </c>
    </row>
    <row r="193" spans="1:2" x14ac:dyDescent="0.2">
      <c r="A193" s="122" t="s">
        <v>435</v>
      </c>
      <c r="B193" s="125">
        <v>62.134</v>
      </c>
    </row>
    <row r="194" spans="1:2" x14ac:dyDescent="0.2">
      <c r="A194" s="122" t="s">
        <v>391</v>
      </c>
      <c r="B194" s="125">
        <v>65.763999999999996</v>
      </c>
    </row>
    <row r="195" spans="1:2" x14ac:dyDescent="0.2">
      <c r="A195" s="122" t="s">
        <v>247</v>
      </c>
      <c r="B195" s="125">
        <v>61.878999999999998</v>
      </c>
    </row>
    <row r="196" spans="1:2" x14ac:dyDescent="0.2">
      <c r="A196" s="122" t="s">
        <v>293</v>
      </c>
      <c r="B196" s="125">
        <v>76.44</v>
      </c>
    </row>
    <row r="197" spans="1:2" x14ac:dyDescent="0.2">
      <c r="A197" s="122" t="s">
        <v>2240</v>
      </c>
      <c r="B197" s="125">
        <v>39.038390671918314</v>
      </c>
    </row>
    <row r="198" spans="1:2" x14ac:dyDescent="0.2">
      <c r="A198" s="122" t="s">
        <v>2241</v>
      </c>
      <c r="B198" s="125">
        <v>81.465726803280262</v>
      </c>
    </row>
    <row r="199" spans="1:2" x14ac:dyDescent="0.2">
      <c r="A199" s="122" t="s">
        <v>516</v>
      </c>
      <c r="B199" s="125">
        <v>61.896999999999998</v>
      </c>
    </row>
    <row r="200" spans="1:2" x14ac:dyDescent="0.2">
      <c r="A200" s="122" t="s">
        <v>295</v>
      </c>
      <c r="B200" s="125">
        <v>99.188000000000002</v>
      </c>
    </row>
    <row r="201" spans="1:2" x14ac:dyDescent="0.2">
      <c r="A201" s="122" t="s">
        <v>393</v>
      </c>
      <c r="B201" s="125">
        <v>54.084000000000003</v>
      </c>
    </row>
    <row r="202" spans="1:2" x14ac:dyDescent="0.2">
      <c r="A202" s="122" t="s">
        <v>395</v>
      </c>
      <c r="B202" s="125">
        <v>74.587000000000003</v>
      </c>
    </row>
    <row r="203" spans="1:2" x14ac:dyDescent="0.2">
      <c r="A203" s="122" t="s">
        <v>161</v>
      </c>
      <c r="B203" s="125">
        <v>17.312999999999999</v>
      </c>
    </row>
    <row r="204" spans="1:2" x14ac:dyDescent="0.2">
      <c r="A204" s="122" t="s">
        <v>2242</v>
      </c>
      <c r="B204" s="125">
        <v>34.431897356929802</v>
      </c>
    </row>
    <row r="205" spans="1:2" x14ac:dyDescent="0.2">
      <c r="A205" s="122" t="s">
        <v>297</v>
      </c>
      <c r="B205" s="125">
        <v>84.064999999999998</v>
      </c>
    </row>
    <row r="206" spans="1:2" x14ac:dyDescent="0.2">
      <c r="A206" s="122" t="s">
        <v>299</v>
      </c>
      <c r="B206" s="125">
        <v>34.936</v>
      </c>
    </row>
    <row r="207" spans="1:2" x14ac:dyDescent="0.2">
      <c r="A207" s="122" t="s">
        <v>163</v>
      </c>
      <c r="B207" s="125">
        <v>47.652999999999999</v>
      </c>
    </row>
    <row r="208" spans="1:2" x14ac:dyDescent="0.2">
      <c r="A208" s="122" t="s">
        <v>482</v>
      </c>
      <c r="B208" s="125">
        <v>100</v>
      </c>
    </row>
    <row r="209" spans="1:2" x14ac:dyDescent="0.2">
      <c r="A209" s="122" t="s">
        <v>484</v>
      </c>
      <c r="B209" s="125">
        <v>24.21</v>
      </c>
    </row>
    <row r="210" spans="1:2" x14ac:dyDescent="0.2">
      <c r="A210" s="122" t="s">
        <v>165</v>
      </c>
      <c r="B210" s="125">
        <v>42.484000000000002</v>
      </c>
    </row>
    <row r="211" spans="1:2" x14ac:dyDescent="0.2">
      <c r="A211" s="122" t="s">
        <v>249</v>
      </c>
      <c r="B211" s="125">
        <v>72.745999999999995</v>
      </c>
    </row>
    <row r="212" spans="1:2" x14ac:dyDescent="0.2">
      <c r="A212" s="122" t="s">
        <v>397</v>
      </c>
      <c r="B212" s="125">
        <v>97.367999999999995</v>
      </c>
    </row>
    <row r="213" spans="1:2" x14ac:dyDescent="0.2">
      <c r="A213" s="122" t="s">
        <v>301</v>
      </c>
      <c r="B213" s="125">
        <v>45.554000000000002</v>
      </c>
    </row>
    <row r="214" spans="1:2" x14ac:dyDescent="0.2">
      <c r="A214" s="122" t="s">
        <v>399</v>
      </c>
      <c r="B214" s="125">
        <v>56.26</v>
      </c>
    </row>
    <row r="215" spans="1:2" x14ac:dyDescent="0.2">
      <c r="A215" s="122" t="s">
        <v>2243</v>
      </c>
      <c r="B215" s="125">
        <v>40.711269182227575</v>
      </c>
    </row>
    <row r="216" spans="1:2" x14ac:dyDescent="0.2">
      <c r="A216" s="122" t="s">
        <v>167</v>
      </c>
      <c r="B216" s="125">
        <v>19.899000000000001</v>
      </c>
    </row>
    <row r="217" spans="1:2" x14ac:dyDescent="0.2">
      <c r="A217" s="122" t="s">
        <v>2244</v>
      </c>
      <c r="B217" s="125">
        <v>40.712778795305184</v>
      </c>
    </row>
    <row r="218" spans="1:2" x14ac:dyDescent="0.2">
      <c r="A218" s="122" t="s">
        <v>2245</v>
      </c>
      <c r="B218" s="125">
        <v>59.158460402161325</v>
      </c>
    </row>
    <row r="219" spans="1:2" x14ac:dyDescent="0.2">
      <c r="A219" s="122" t="s">
        <v>169</v>
      </c>
      <c r="B219" s="125">
        <v>73.597999999999999</v>
      </c>
    </row>
    <row r="220" spans="1:2" x14ac:dyDescent="0.2">
      <c r="A220" s="122" t="s">
        <v>251</v>
      </c>
      <c r="B220" s="125">
        <v>66.094999999999999</v>
      </c>
    </row>
    <row r="221" spans="1:2" x14ac:dyDescent="0.2">
      <c r="A221" s="122" t="s">
        <v>401</v>
      </c>
      <c r="B221" s="125">
        <v>53.728999999999999</v>
      </c>
    </row>
    <row r="222" spans="1:2" x14ac:dyDescent="0.2">
      <c r="A222" s="122" t="s">
        <v>403</v>
      </c>
      <c r="B222" s="125">
        <v>54.822000000000003</v>
      </c>
    </row>
    <row r="223" spans="1:2" x14ac:dyDescent="0.2">
      <c r="A223" s="122" t="s">
        <v>405</v>
      </c>
      <c r="B223" s="125">
        <v>87.707999999999998</v>
      </c>
    </row>
    <row r="224" spans="1:2" x14ac:dyDescent="0.2">
      <c r="A224" s="122" t="s">
        <v>171</v>
      </c>
      <c r="B224" s="125">
        <v>23.981000000000002</v>
      </c>
    </row>
    <row r="225" spans="1:2" x14ac:dyDescent="0.2">
      <c r="A225" s="122" t="s">
        <v>2246</v>
      </c>
      <c r="B225" s="125">
        <v>100</v>
      </c>
    </row>
    <row r="226" spans="1:2" x14ac:dyDescent="0.2">
      <c r="A226" s="122" t="s">
        <v>173</v>
      </c>
      <c r="B226" s="125">
        <v>57.119</v>
      </c>
    </row>
    <row r="227" spans="1:2" x14ac:dyDescent="0.2">
      <c r="A227" s="122" t="s">
        <v>303</v>
      </c>
      <c r="B227" s="125">
        <v>54.820999999999998</v>
      </c>
    </row>
    <row r="228" spans="1:2" x14ac:dyDescent="0.2">
      <c r="A228" s="122" t="s">
        <v>2247</v>
      </c>
      <c r="B228" s="125">
        <v>93.36</v>
      </c>
    </row>
    <row r="229" spans="1:2" x14ac:dyDescent="0.2">
      <c r="A229" s="122" t="s">
        <v>175</v>
      </c>
      <c r="B229" s="125">
        <v>23.279</v>
      </c>
    </row>
    <row r="230" spans="1:2" x14ac:dyDescent="0.2">
      <c r="A230" s="122" t="s">
        <v>2248</v>
      </c>
      <c r="B230" s="125">
        <v>56.500602253637389</v>
      </c>
    </row>
    <row r="231" spans="1:2" x14ac:dyDescent="0.2">
      <c r="A231" s="122" t="s">
        <v>2249</v>
      </c>
      <c r="B231" s="125">
        <v>66.502087782247344</v>
      </c>
    </row>
    <row r="232" spans="1:2" x14ac:dyDescent="0.2">
      <c r="A232" s="122" t="s">
        <v>177</v>
      </c>
      <c r="B232" s="125">
        <v>42.247999999999998</v>
      </c>
    </row>
    <row r="233" spans="1:2" x14ac:dyDescent="0.2">
      <c r="A233" s="122" t="s">
        <v>437</v>
      </c>
      <c r="B233" s="125">
        <v>50.692</v>
      </c>
    </row>
    <row r="234" spans="1:2" x14ac:dyDescent="0.2">
      <c r="A234" s="122" t="s">
        <v>407</v>
      </c>
      <c r="B234" s="125">
        <v>27.309000000000001</v>
      </c>
    </row>
    <row r="235" spans="1:2" x14ac:dyDescent="0.2">
      <c r="A235" s="122" t="s">
        <v>409</v>
      </c>
      <c r="B235" s="125">
        <v>52.048000000000002</v>
      </c>
    </row>
    <row r="236" spans="1:2" x14ac:dyDescent="0.2">
      <c r="A236" s="122" t="s">
        <v>2250</v>
      </c>
      <c r="B236" s="125">
        <v>80.894350367261453</v>
      </c>
    </row>
    <row r="237" spans="1:2" x14ac:dyDescent="0.2">
      <c r="A237" s="122" t="s">
        <v>439</v>
      </c>
      <c r="B237" s="125">
        <v>30.946999999999999</v>
      </c>
    </row>
    <row r="238" spans="1:2" x14ac:dyDescent="0.2">
      <c r="A238" s="122" t="s">
        <v>2251</v>
      </c>
      <c r="B238" s="125">
        <v>61.726390465904231</v>
      </c>
    </row>
    <row r="239" spans="1:2" x14ac:dyDescent="0.2">
      <c r="A239" s="122" t="s">
        <v>486</v>
      </c>
      <c r="B239" s="125">
        <v>23.106999999999999</v>
      </c>
    </row>
    <row r="240" spans="1:2" x14ac:dyDescent="0.2">
      <c r="A240" s="122" t="s">
        <v>2252</v>
      </c>
      <c r="B240" s="125">
        <v>34.431897356929802</v>
      </c>
    </row>
    <row r="241" spans="1:2" x14ac:dyDescent="0.2">
      <c r="A241" s="122" t="s">
        <v>2253</v>
      </c>
      <c r="B241" s="125">
        <v>40.712778795305184</v>
      </c>
    </row>
    <row r="242" spans="1:2" x14ac:dyDescent="0.2">
      <c r="A242" s="122" t="s">
        <v>253</v>
      </c>
      <c r="B242" s="125">
        <v>53.186999999999998</v>
      </c>
    </row>
    <row r="243" spans="1:2" x14ac:dyDescent="0.2">
      <c r="A243" s="122" t="s">
        <v>305</v>
      </c>
      <c r="B243" s="125">
        <v>69.254000000000005</v>
      </c>
    </row>
    <row r="244" spans="1:2" x14ac:dyDescent="0.2">
      <c r="A244" s="122" t="s">
        <v>411</v>
      </c>
      <c r="B244" s="125">
        <v>75.63</v>
      </c>
    </row>
    <row r="245" spans="1:2" x14ac:dyDescent="0.2">
      <c r="A245" s="122" t="s">
        <v>488</v>
      </c>
      <c r="B245" s="125">
        <v>63.215000000000003</v>
      </c>
    </row>
    <row r="246" spans="1:2" x14ac:dyDescent="0.2">
      <c r="A246" s="122" t="s">
        <v>179</v>
      </c>
      <c r="B246" s="125">
        <v>34.5</v>
      </c>
    </row>
    <row r="247" spans="1:2" x14ac:dyDescent="0.2">
      <c r="A247" s="122" t="s">
        <v>181</v>
      </c>
      <c r="B247" s="125">
        <v>24.361000000000001</v>
      </c>
    </row>
    <row r="248" spans="1:2" x14ac:dyDescent="0.2">
      <c r="A248" s="122" t="s">
        <v>413</v>
      </c>
      <c r="B248" s="125">
        <v>69.472999999999999</v>
      </c>
    </row>
    <row r="249" spans="1:2" x14ac:dyDescent="0.2">
      <c r="A249" s="122" t="s">
        <v>2254</v>
      </c>
      <c r="B249" s="125">
        <v>66.351833472397331</v>
      </c>
    </row>
    <row r="250" spans="1:2" x14ac:dyDescent="0.2">
      <c r="A250" s="122" t="s">
        <v>255</v>
      </c>
      <c r="B250" s="125">
        <v>95.426000000000002</v>
      </c>
    </row>
    <row r="251" spans="1:2" x14ac:dyDescent="0.2">
      <c r="A251" s="122" t="s">
        <v>257</v>
      </c>
      <c r="B251" s="125">
        <v>82.459000000000003</v>
      </c>
    </row>
    <row r="252" spans="1:2" x14ac:dyDescent="0.2">
      <c r="A252" s="122" t="s">
        <v>415</v>
      </c>
      <c r="B252" s="125">
        <v>50.433</v>
      </c>
    </row>
    <row r="253" spans="1:2" x14ac:dyDescent="0.2">
      <c r="A253" s="122" t="s">
        <v>259</v>
      </c>
      <c r="B253" s="125">
        <v>52.613999999999997</v>
      </c>
    </row>
    <row r="254" spans="1:2" x14ac:dyDescent="0.2">
      <c r="A254" s="122" t="s">
        <v>261</v>
      </c>
      <c r="B254" s="125">
        <v>88.24</v>
      </c>
    </row>
    <row r="255" spans="1:2" x14ac:dyDescent="0.2">
      <c r="A255" s="122" t="s">
        <v>2255</v>
      </c>
      <c r="B255" s="125">
        <v>48.116</v>
      </c>
    </row>
    <row r="256" spans="1:2" x14ac:dyDescent="0.2">
      <c r="A256" s="122" t="s">
        <v>519</v>
      </c>
      <c r="B256" s="125">
        <v>95.831999999999994</v>
      </c>
    </row>
    <row r="257" spans="1:2" x14ac:dyDescent="0.2">
      <c r="A257" s="122" t="s">
        <v>490</v>
      </c>
      <c r="B257" s="125">
        <v>36.628</v>
      </c>
    </row>
    <row r="258" spans="1:2" x14ac:dyDescent="0.2">
      <c r="A258" s="122" t="s">
        <v>492</v>
      </c>
      <c r="B258" s="125">
        <v>25.393999999999998</v>
      </c>
    </row>
    <row r="259" spans="1:2" x14ac:dyDescent="0.2">
      <c r="A259" s="122" t="s">
        <v>2256</v>
      </c>
      <c r="B259" s="125">
        <v>55.714284715447512</v>
      </c>
    </row>
    <row r="260" spans="1:2" x14ac:dyDescent="0.2">
      <c r="A260" s="122" t="s">
        <v>494</v>
      </c>
      <c r="B260" s="125">
        <v>18.056000000000001</v>
      </c>
    </row>
    <row r="261" spans="1:2" x14ac:dyDescent="0.2">
      <c r="A261" s="122" t="s">
        <v>2257</v>
      </c>
    </row>
    <row r="262" spans="1:2" x14ac:dyDescent="0.2">
      <c r="A262" s="122" t="s">
        <v>307</v>
      </c>
      <c r="B262" s="125">
        <v>37.273000000000003</v>
      </c>
    </row>
    <row r="263" spans="1:2" x14ac:dyDescent="0.2">
      <c r="A263" s="122" t="s">
        <v>183</v>
      </c>
      <c r="B263" s="125">
        <v>66.855999999999995</v>
      </c>
    </row>
    <row r="264" spans="1:2" x14ac:dyDescent="0.2">
      <c r="A264" s="122" t="s">
        <v>185</v>
      </c>
      <c r="B264" s="125">
        <v>44.072000000000003</v>
      </c>
    </row>
    <row r="265" spans="1:2" x14ac:dyDescent="0.2">
      <c r="A265" s="122" t="s">
        <v>187</v>
      </c>
      <c r="B265" s="125">
        <v>32.21</v>
      </c>
    </row>
  </sheetData>
  <pageMargins left="0.7" right="0.7" top="0.75" bottom="0.75" header="0.3" footer="0.3"/>
  <pageSetup paperSize="9" orientation="portrait" horizontalDpi="0" verticalDpi="0" r:id="rId1"/>
  <headerFooter alignWithMargins="0"/>
  <tableParts count="1">
    <tablePart r:id="rId2"/>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B2C7B-BB79-4248-B6A0-298659D60DB5}">
  <sheetPr codeName="Sheet27">
    <tabColor rgb="FF7030A0"/>
  </sheetPr>
  <dimension ref="A1:B265"/>
  <sheetViews>
    <sheetView workbookViewId="0"/>
  </sheetViews>
  <sheetFormatPr defaultRowHeight="12.75" x14ac:dyDescent="0.2"/>
  <cols>
    <col min="1" max="1" width="25.7109375" style="9" customWidth="1"/>
    <col min="2" max="2" width="26.85546875" style="16" customWidth="1"/>
    <col min="3" max="256" width="9.140625" style="9"/>
    <col min="257" max="257" width="25.7109375" style="9" bestFit="1" customWidth="1"/>
    <col min="258" max="258" width="11.42578125" style="9" bestFit="1" customWidth="1"/>
    <col min="259" max="512" width="9.140625" style="9"/>
    <col min="513" max="513" width="25.7109375" style="9" bestFit="1" customWidth="1"/>
    <col min="514" max="514" width="11.42578125" style="9" bestFit="1" customWidth="1"/>
    <col min="515" max="768" width="9.140625" style="9"/>
    <col min="769" max="769" width="25.7109375" style="9" bestFit="1" customWidth="1"/>
    <col min="770" max="770" width="11.42578125" style="9" bestFit="1" customWidth="1"/>
    <col min="771" max="1024" width="9.140625" style="9"/>
    <col min="1025" max="1025" width="25.7109375" style="9" bestFit="1" customWidth="1"/>
    <col min="1026" max="1026" width="11.42578125" style="9" bestFit="1" customWidth="1"/>
    <col min="1027" max="1280" width="9.140625" style="9"/>
    <col min="1281" max="1281" width="25.7109375" style="9" bestFit="1" customWidth="1"/>
    <col min="1282" max="1282" width="11.42578125" style="9" bestFit="1" customWidth="1"/>
    <col min="1283" max="1536" width="9.140625" style="9"/>
    <col min="1537" max="1537" width="25.7109375" style="9" bestFit="1" customWidth="1"/>
    <col min="1538" max="1538" width="11.42578125" style="9" bestFit="1" customWidth="1"/>
    <col min="1539" max="1792" width="9.140625" style="9"/>
    <col min="1793" max="1793" width="25.7109375" style="9" bestFit="1" customWidth="1"/>
    <col min="1794" max="1794" width="11.42578125" style="9" bestFit="1" customWidth="1"/>
    <col min="1795" max="2048" width="9.140625" style="9"/>
    <col min="2049" max="2049" width="25.7109375" style="9" bestFit="1" customWidth="1"/>
    <col min="2050" max="2050" width="11.42578125" style="9" bestFit="1" customWidth="1"/>
    <col min="2051" max="2304" width="9.140625" style="9"/>
    <col min="2305" max="2305" width="25.7109375" style="9" bestFit="1" customWidth="1"/>
    <col min="2306" max="2306" width="11.42578125" style="9" bestFit="1" customWidth="1"/>
    <col min="2307" max="2560" width="9.140625" style="9"/>
    <col min="2561" max="2561" width="25.7109375" style="9" bestFit="1" customWidth="1"/>
    <col min="2562" max="2562" width="11.42578125" style="9" bestFit="1" customWidth="1"/>
    <col min="2563" max="2816" width="9.140625" style="9"/>
    <col min="2817" max="2817" width="25.7109375" style="9" bestFit="1" customWidth="1"/>
    <col min="2818" max="2818" width="11.42578125" style="9" bestFit="1" customWidth="1"/>
    <col min="2819" max="3072" width="9.140625" style="9"/>
    <col min="3073" max="3073" width="25.7109375" style="9" bestFit="1" customWidth="1"/>
    <col min="3074" max="3074" width="11.42578125" style="9" bestFit="1" customWidth="1"/>
    <col min="3075" max="3328" width="9.140625" style="9"/>
    <col min="3329" max="3329" width="25.7109375" style="9" bestFit="1" customWidth="1"/>
    <col min="3330" max="3330" width="11.42578125" style="9" bestFit="1" customWidth="1"/>
    <col min="3331" max="3584" width="9.140625" style="9"/>
    <col min="3585" max="3585" width="25.7109375" style="9" bestFit="1" customWidth="1"/>
    <col min="3586" max="3586" width="11.42578125" style="9" bestFit="1" customWidth="1"/>
    <col min="3587" max="3840" width="9.140625" style="9"/>
    <col min="3841" max="3841" width="25.7109375" style="9" bestFit="1" customWidth="1"/>
    <col min="3842" max="3842" width="11.42578125" style="9" bestFit="1" customWidth="1"/>
    <col min="3843" max="4096" width="9.140625" style="9"/>
    <col min="4097" max="4097" width="25.7109375" style="9" bestFit="1" customWidth="1"/>
    <col min="4098" max="4098" width="11.42578125" style="9" bestFit="1" customWidth="1"/>
    <col min="4099" max="4352" width="9.140625" style="9"/>
    <col min="4353" max="4353" width="25.7109375" style="9" bestFit="1" customWidth="1"/>
    <col min="4354" max="4354" width="11.42578125" style="9" bestFit="1" customWidth="1"/>
    <col min="4355" max="4608" width="9.140625" style="9"/>
    <col min="4609" max="4609" width="25.7109375" style="9" bestFit="1" customWidth="1"/>
    <col min="4610" max="4610" width="11.42578125" style="9" bestFit="1" customWidth="1"/>
    <col min="4611" max="4864" width="9.140625" style="9"/>
    <col min="4865" max="4865" width="25.7109375" style="9" bestFit="1" customWidth="1"/>
    <col min="4866" max="4866" width="11.42578125" style="9" bestFit="1" customWidth="1"/>
    <col min="4867" max="5120" width="9.140625" style="9"/>
    <col min="5121" max="5121" width="25.7109375" style="9" bestFit="1" customWidth="1"/>
    <col min="5122" max="5122" width="11.42578125" style="9" bestFit="1" customWidth="1"/>
    <col min="5123" max="5376" width="9.140625" style="9"/>
    <col min="5377" max="5377" width="25.7109375" style="9" bestFit="1" customWidth="1"/>
    <col min="5378" max="5378" width="11.42578125" style="9" bestFit="1" customWidth="1"/>
    <col min="5379" max="5632" width="9.140625" style="9"/>
    <col min="5633" max="5633" width="25.7109375" style="9" bestFit="1" customWidth="1"/>
    <col min="5634" max="5634" width="11.42578125" style="9" bestFit="1" customWidth="1"/>
    <col min="5635" max="5888" width="9.140625" style="9"/>
    <col min="5889" max="5889" width="25.7109375" style="9" bestFit="1" customWidth="1"/>
    <col min="5890" max="5890" width="11.42578125" style="9" bestFit="1" customWidth="1"/>
    <col min="5891" max="6144" width="9.140625" style="9"/>
    <col min="6145" max="6145" width="25.7109375" style="9" bestFit="1" customWidth="1"/>
    <col min="6146" max="6146" width="11.42578125" style="9" bestFit="1" customWidth="1"/>
    <col min="6147" max="6400" width="9.140625" style="9"/>
    <col min="6401" max="6401" width="25.7109375" style="9" bestFit="1" customWidth="1"/>
    <col min="6402" max="6402" width="11.42578125" style="9" bestFit="1" customWidth="1"/>
    <col min="6403" max="6656" width="9.140625" style="9"/>
    <col min="6657" max="6657" width="25.7109375" style="9" bestFit="1" customWidth="1"/>
    <col min="6658" max="6658" width="11.42578125" style="9" bestFit="1" customWidth="1"/>
    <col min="6659" max="6912" width="9.140625" style="9"/>
    <col min="6913" max="6913" width="25.7109375" style="9" bestFit="1" customWidth="1"/>
    <col min="6914" max="6914" width="11.42578125" style="9" bestFit="1" customWidth="1"/>
    <col min="6915" max="7168" width="9.140625" style="9"/>
    <col min="7169" max="7169" width="25.7109375" style="9" bestFit="1" customWidth="1"/>
    <col min="7170" max="7170" width="11.42578125" style="9" bestFit="1" customWidth="1"/>
    <col min="7171" max="7424" width="9.140625" style="9"/>
    <col min="7425" max="7425" width="25.7109375" style="9" bestFit="1" customWidth="1"/>
    <col min="7426" max="7426" width="11.42578125" style="9" bestFit="1" customWidth="1"/>
    <col min="7427" max="7680" width="9.140625" style="9"/>
    <col min="7681" max="7681" width="25.7109375" style="9" bestFit="1" customWidth="1"/>
    <col min="7682" max="7682" width="11.42578125" style="9" bestFit="1" customWidth="1"/>
    <col min="7683" max="7936" width="9.140625" style="9"/>
    <col min="7937" max="7937" width="25.7109375" style="9" bestFit="1" customWidth="1"/>
    <col min="7938" max="7938" width="11.42578125" style="9" bestFit="1" customWidth="1"/>
    <col min="7939" max="8192" width="9.140625" style="9"/>
    <col min="8193" max="8193" width="25.7109375" style="9" bestFit="1" customWidth="1"/>
    <col min="8194" max="8194" width="11.42578125" style="9" bestFit="1" customWidth="1"/>
    <col min="8195" max="8448" width="9.140625" style="9"/>
    <col min="8449" max="8449" width="25.7109375" style="9" bestFit="1" customWidth="1"/>
    <col min="8450" max="8450" width="11.42578125" style="9" bestFit="1" customWidth="1"/>
    <col min="8451" max="8704" width="9.140625" style="9"/>
    <col min="8705" max="8705" width="25.7109375" style="9" bestFit="1" customWidth="1"/>
    <col min="8706" max="8706" width="11.42578125" style="9" bestFit="1" customWidth="1"/>
    <col min="8707" max="8960" width="9.140625" style="9"/>
    <col min="8961" max="8961" width="25.7109375" style="9" bestFit="1" customWidth="1"/>
    <col min="8962" max="8962" width="11.42578125" style="9" bestFit="1" customWidth="1"/>
    <col min="8963" max="9216" width="9.140625" style="9"/>
    <col min="9217" max="9217" width="25.7109375" style="9" bestFit="1" customWidth="1"/>
    <col min="9218" max="9218" width="11.42578125" style="9" bestFit="1" customWidth="1"/>
    <col min="9219" max="9472" width="9.140625" style="9"/>
    <col min="9473" max="9473" width="25.7109375" style="9" bestFit="1" customWidth="1"/>
    <col min="9474" max="9474" width="11.42578125" style="9" bestFit="1" customWidth="1"/>
    <col min="9475" max="9728" width="9.140625" style="9"/>
    <col min="9729" max="9729" width="25.7109375" style="9" bestFit="1" customWidth="1"/>
    <col min="9730" max="9730" width="11.42578125" style="9" bestFit="1" customWidth="1"/>
    <col min="9731" max="9984" width="9.140625" style="9"/>
    <col min="9985" max="9985" width="25.7109375" style="9" bestFit="1" customWidth="1"/>
    <col min="9986" max="9986" width="11.42578125" style="9" bestFit="1" customWidth="1"/>
    <col min="9987" max="10240" width="9.140625" style="9"/>
    <col min="10241" max="10241" width="25.7109375" style="9" bestFit="1" customWidth="1"/>
    <col min="10242" max="10242" width="11.42578125" style="9" bestFit="1" customWidth="1"/>
    <col min="10243" max="10496" width="9.140625" style="9"/>
    <col min="10497" max="10497" width="25.7109375" style="9" bestFit="1" customWidth="1"/>
    <col min="10498" max="10498" width="11.42578125" style="9" bestFit="1" customWidth="1"/>
    <col min="10499" max="10752" width="9.140625" style="9"/>
    <col min="10753" max="10753" width="25.7109375" style="9" bestFit="1" customWidth="1"/>
    <col min="10754" max="10754" width="11.42578125" style="9" bestFit="1" customWidth="1"/>
    <col min="10755" max="11008" width="9.140625" style="9"/>
    <col min="11009" max="11009" width="25.7109375" style="9" bestFit="1" customWidth="1"/>
    <col min="11010" max="11010" width="11.42578125" style="9" bestFit="1" customWidth="1"/>
    <col min="11011" max="11264" width="9.140625" style="9"/>
    <col min="11265" max="11265" width="25.7109375" style="9" bestFit="1" customWidth="1"/>
    <col min="11266" max="11266" width="11.42578125" style="9" bestFit="1" customWidth="1"/>
    <col min="11267" max="11520" width="9.140625" style="9"/>
    <col min="11521" max="11521" width="25.7109375" style="9" bestFit="1" customWidth="1"/>
    <col min="11522" max="11522" width="11.42578125" style="9" bestFit="1" customWidth="1"/>
    <col min="11523" max="11776" width="9.140625" style="9"/>
    <col min="11777" max="11777" width="25.7109375" style="9" bestFit="1" customWidth="1"/>
    <col min="11778" max="11778" width="11.42578125" style="9" bestFit="1" customWidth="1"/>
    <col min="11779" max="12032" width="9.140625" style="9"/>
    <col min="12033" max="12033" width="25.7109375" style="9" bestFit="1" customWidth="1"/>
    <col min="12034" max="12034" width="11.42578125" style="9" bestFit="1" customWidth="1"/>
    <col min="12035" max="12288" width="9.140625" style="9"/>
    <col min="12289" max="12289" width="25.7109375" style="9" bestFit="1" customWidth="1"/>
    <col min="12290" max="12290" width="11.42578125" style="9" bestFit="1" customWidth="1"/>
    <col min="12291" max="12544" width="9.140625" style="9"/>
    <col min="12545" max="12545" width="25.7109375" style="9" bestFit="1" customWidth="1"/>
    <col min="12546" max="12546" width="11.42578125" style="9" bestFit="1" customWidth="1"/>
    <col min="12547" max="12800" width="9.140625" style="9"/>
    <col min="12801" max="12801" width="25.7109375" style="9" bestFit="1" customWidth="1"/>
    <col min="12802" max="12802" width="11.42578125" style="9" bestFit="1" customWidth="1"/>
    <col min="12803" max="13056" width="9.140625" style="9"/>
    <col min="13057" max="13057" width="25.7109375" style="9" bestFit="1" customWidth="1"/>
    <col min="13058" max="13058" width="11.42578125" style="9" bestFit="1" customWidth="1"/>
    <col min="13059" max="13312" width="9.140625" style="9"/>
    <col min="13313" max="13313" width="25.7109375" style="9" bestFit="1" customWidth="1"/>
    <col min="13314" max="13314" width="11.42578125" style="9" bestFit="1" customWidth="1"/>
    <col min="13315" max="13568" width="9.140625" style="9"/>
    <col min="13569" max="13569" width="25.7109375" style="9" bestFit="1" customWidth="1"/>
    <col min="13570" max="13570" width="11.42578125" style="9" bestFit="1" customWidth="1"/>
    <col min="13571" max="13824" width="9.140625" style="9"/>
    <col min="13825" max="13825" width="25.7109375" style="9" bestFit="1" customWidth="1"/>
    <col min="13826" max="13826" width="11.42578125" style="9" bestFit="1" customWidth="1"/>
    <col min="13827" max="14080" width="9.140625" style="9"/>
    <col min="14081" max="14081" width="25.7109375" style="9" bestFit="1" customWidth="1"/>
    <col min="14082" max="14082" width="11.42578125" style="9" bestFit="1" customWidth="1"/>
    <col min="14083" max="14336" width="9.140625" style="9"/>
    <col min="14337" max="14337" width="25.7109375" style="9" bestFit="1" customWidth="1"/>
    <col min="14338" max="14338" width="11.42578125" style="9" bestFit="1" customWidth="1"/>
    <col min="14339" max="14592" width="9.140625" style="9"/>
    <col min="14593" max="14593" width="25.7109375" style="9" bestFit="1" customWidth="1"/>
    <col min="14594" max="14594" width="11.42578125" style="9" bestFit="1" customWidth="1"/>
    <col min="14595" max="14848" width="9.140625" style="9"/>
    <col min="14849" max="14849" width="25.7109375" style="9" bestFit="1" customWidth="1"/>
    <col min="14850" max="14850" width="11.42578125" style="9" bestFit="1" customWidth="1"/>
    <col min="14851" max="15104" width="9.140625" style="9"/>
    <col min="15105" max="15105" width="25.7109375" style="9" bestFit="1" customWidth="1"/>
    <col min="15106" max="15106" width="11.42578125" style="9" bestFit="1" customWidth="1"/>
    <col min="15107" max="15360" width="9.140625" style="9"/>
    <col min="15361" max="15361" width="25.7109375" style="9" bestFit="1" customWidth="1"/>
    <col min="15362" max="15362" width="11.42578125" style="9" bestFit="1" customWidth="1"/>
    <col min="15363" max="15616" width="9.140625" style="9"/>
    <col min="15617" max="15617" width="25.7109375" style="9" bestFit="1" customWidth="1"/>
    <col min="15618" max="15618" width="11.42578125" style="9" bestFit="1" customWidth="1"/>
    <col min="15619" max="15872" width="9.140625" style="9"/>
    <col min="15873" max="15873" width="25.7109375" style="9" bestFit="1" customWidth="1"/>
    <col min="15874" max="15874" width="11.42578125" style="9" bestFit="1" customWidth="1"/>
    <col min="15875" max="16128" width="9.140625" style="9"/>
    <col min="16129" max="16129" width="25.7109375" style="9" bestFit="1" customWidth="1"/>
    <col min="16130" max="16130" width="11.42578125" style="9" bestFit="1" customWidth="1"/>
    <col min="16131" max="16384" width="9.140625" style="9"/>
  </cols>
  <sheetData>
    <row r="1" spans="1:2" x14ac:dyDescent="0.2">
      <c r="A1" s="9" t="s">
        <v>2197</v>
      </c>
      <c r="B1" s="16" t="s">
        <v>2260</v>
      </c>
    </row>
    <row r="2" spans="1:2" x14ac:dyDescent="0.2">
      <c r="A2" s="9" t="s">
        <v>503</v>
      </c>
      <c r="B2" s="16">
        <v>180</v>
      </c>
    </row>
    <row r="3" spans="1:2" x14ac:dyDescent="0.2">
      <c r="A3" s="9" t="s">
        <v>263</v>
      </c>
      <c r="B3" s="16">
        <v>652860</v>
      </c>
    </row>
    <row r="4" spans="1:2" x14ac:dyDescent="0.2">
      <c r="A4" s="9" t="s">
        <v>85</v>
      </c>
      <c r="B4" s="16">
        <v>1246700</v>
      </c>
    </row>
    <row r="5" spans="1:2" x14ac:dyDescent="0.2">
      <c r="A5" s="9" t="s">
        <v>309</v>
      </c>
      <c r="B5" s="16">
        <v>28750</v>
      </c>
    </row>
    <row r="6" spans="1:2" x14ac:dyDescent="0.2">
      <c r="A6" s="9" t="s">
        <v>313</v>
      </c>
      <c r="B6" s="16">
        <v>470</v>
      </c>
    </row>
    <row r="7" spans="1:2" x14ac:dyDescent="0.2">
      <c r="A7" s="9" t="s">
        <v>2198</v>
      </c>
      <c r="B7" s="16">
        <v>11273300.992279053</v>
      </c>
    </row>
    <row r="8" spans="1:2" x14ac:dyDescent="0.2">
      <c r="A8" s="9" t="s">
        <v>267</v>
      </c>
      <c r="B8" s="16">
        <v>83600</v>
      </c>
    </row>
    <row r="9" spans="1:2" x14ac:dyDescent="0.2">
      <c r="A9" s="9" t="s">
        <v>189</v>
      </c>
      <c r="B9" s="16">
        <v>2780400</v>
      </c>
    </row>
    <row r="10" spans="1:2" x14ac:dyDescent="0.2">
      <c r="A10" s="9" t="s">
        <v>315</v>
      </c>
      <c r="B10" s="16">
        <v>29740</v>
      </c>
    </row>
    <row r="11" spans="1:2" x14ac:dyDescent="0.2">
      <c r="A11" s="9" t="s">
        <v>2199</v>
      </c>
      <c r="B11" s="16">
        <v>200</v>
      </c>
    </row>
    <row r="12" spans="1:2" x14ac:dyDescent="0.2">
      <c r="A12" s="9" t="s">
        <v>193</v>
      </c>
      <c r="B12" s="16">
        <v>440</v>
      </c>
    </row>
    <row r="13" spans="1:2" x14ac:dyDescent="0.2">
      <c r="A13" s="9" t="s">
        <v>441</v>
      </c>
      <c r="B13" s="16">
        <v>7741220</v>
      </c>
    </row>
    <row r="14" spans="1:2" x14ac:dyDescent="0.2">
      <c r="A14" s="9" t="s">
        <v>317</v>
      </c>
      <c r="B14" s="16">
        <v>83879.00390625</v>
      </c>
    </row>
    <row r="15" spans="1:2" x14ac:dyDescent="0.2">
      <c r="A15" s="9" t="s">
        <v>319</v>
      </c>
      <c r="B15" s="16">
        <v>86600</v>
      </c>
    </row>
    <row r="16" spans="1:2" x14ac:dyDescent="0.2">
      <c r="A16" s="9" t="s">
        <v>91</v>
      </c>
      <c r="B16" s="16">
        <v>27830</v>
      </c>
    </row>
    <row r="17" spans="1:2" x14ac:dyDescent="0.2">
      <c r="A17" s="9" t="s">
        <v>321</v>
      </c>
      <c r="B17" s="16">
        <v>30530</v>
      </c>
    </row>
    <row r="18" spans="1:2" x14ac:dyDescent="0.2">
      <c r="A18" s="9" t="s">
        <v>95</v>
      </c>
      <c r="B18" s="16">
        <v>114760</v>
      </c>
    </row>
    <row r="19" spans="1:2" x14ac:dyDescent="0.2">
      <c r="A19" s="9" t="s">
        <v>97</v>
      </c>
      <c r="B19" s="16">
        <v>274220</v>
      </c>
    </row>
    <row r="20" spans="1:2" x14ac:dyDescent="0.2">
      <c r="A20" s="9" t="s">
        <v>417</v>
      </c>
      <c r="B20" s="16">
        <v>147630</v>
      </c>
    </row>
    <row r="21" spans="1:2" x14ac:dyDescent="0.2">
      <c r="A21" s="9" t="s">
        <v>323</v>
      </c>
      <c r="B21" s="16">
        <v>111000</v>
      </c>
    </row>
    <row r="22" spans="1:2" x14ac:dyDescent="0.2">
      <c r="A22" s="9" t="s">
        <v>269</v>
      </c>
      <c r="B22" s="16">
        <v>778.00003051757801</v>
      </c>
    </row>
    <row r="23" spans="1:2" x14ac:dyDescent="0.2">
      <c r="A23" s="9" t="s">
        <v>195</v>
      </c>
      <c r="B23" s="16">
        <v>13880</v>
      </c>
    </row>
    <row r="24" spans="1:2" x14ac:dyDescent="0.2">
      <c r="A24" s="9" t="s">
        <v>325</v>
      </c>
      <c r="B24" s="16">
        <v>51210</v>
      </c>
    </row>
    <row r="25" spans="1:2" x14ac:dyDescent="0.2">
      <c r="A25" s="9" t="s">
        <v>327</v>
      </c>
      <c r="B25" s="16">
        <v>207600</v>
      </c>
    </row>
    <row r="26" spans="1:2" x14ac:dyDescent="0.2">
      <c r="A26" s="9" t="s">
        <v>198</v>
      </c>
      <c r="B26" s="16">
        <v>22970</v>
      </c>
    </row>
    <row r="27" spans="1:2" x14ac:dyDescent="0.2">
      <c r="A27" s="9" t="s">
        <v>2200</v>
      </c>
      <c r="B27" s="16">
        <v>4290</v>
      </c>
    </row>
    <row r="28" spans="1:2" x14ac:dyDescent="0.2">
      <c r="A28" s="9" t="s">
        <v>200</v>
      </c>
      <c r="B28" s="16">
        <v>1098580</v>
      </c>
    </row>
    <row r="29" spans="1:2" x14ac:dyDescent="0.2">
      <c r="A29" s="9" t="s">
        <v>202</v>
      </c>
      <c r="B29" s="16">
        <v>8515770</v>
      </c>
    </row>
    <row r="30" spans="1:2" x14ac:dyDescent="0.2">
      <c r="A30" s="9" t="s">
        <v>204</v>
      </c>
      <c r="B30" s="16">
        <v>430</v>
      </c>
    </row>
    <row r="31" spans="1:2" x14ac:dyDescent="0.2">
      <c r="A31" s="9" t="s">
        <v>444</v>
      </c>
      <c r="B31" s="16">
        <v>5770</v>
      </c>
    </row>
    <row r="32" spans="1:2" x14ac:dyDescent="0.2">
      <c r="A32" s="9" t="s">
        <v>420</v>
      </c>
      <c r="B32" s="16">
        <v>38393.9990234375</v>
      </c>
    </row>
    <row r="33" spans="1:2" x14ac:dyDescent="0.2">
      <c r="A33" s="9" t="s">
        <v>99</v>
      </c>
      <c r="B33" s="16">
        <v>581730</v>
      </c>
    </row>
    <row r="34" spans="1:2" x14ac:dyDescent="0.2">
      <c r="A34" s="9" t="s">
        <v>102</v>
      </c>
      <c r="B34" s="16">
        <v>622980</v>
      </c>
    </row>
    <row r="35" spans="1:2" x14ac:dyDescent="0.2">
      <c r="A35" s="9" t="s">
        <v>206</v>
      </c>
      <c r="B35" s="16">
        <v>9984670</v>
      </c>
    </row>
    <row r="36" spans="1:2" x14ac:dyDescent="0.2">
      <c r="A36" s="9" t="s">
        <v>2201</v>
      </c>
      <c r="B36" s="16">
        <v>1135391.0009765625</v>
      </c>
    </row>
    <row r="37" spans="1:2" x14ac:dyDescent="0.2">
      <c r="A37" s="9" t="s">
        <v>329</v>
      </c>
      <c r="B37" s="16">
        <v>41290.400390625</v>
      </c>
    </row>
    <row r="38" spans="1:2" x14ac:dyDescent="0.2">
      <c r="A38" s="9" t="s">
        <v>504</v>
      </c>
      <c r="B38" s="16">
        <v>197.99999237060499</v>
      </c>
    </row>
    <row r="39" spans="1:2" x14ac:dyDescent="0.2">
      <c r="A39" s="9" t="s">
        <v>209</v>
      </c>
      <c r="B39" s="16">
        <v>756700</v>
      </c>
    </row>
    <row r="40" spans="1:2" x14ac:dyDescent="0.2">
      <c r="A40" s="9" t="s">
        <v>446</v>
      </c>
      <c r="B40" s="16">
        <v>9562910</v>
      </c>
    </row>
    <row r="41" spans="1:2" x14ac:dyDescent="0.2">
      <c r="A41" s="9" t="s">
        <v>104</v>
      </c>
      <c r="B41" s="16">
        <v>322460</v>
      </c>
    </row>
    <row r="42" spans="1:2" x14ac:dyDescent="0.2">
      <c r="A42" s="9" t="s">
        <v>106</v>
      </c>
      <c r="B42" s="16">
        <v>475440</v>
      </c>
    </row>
    <row r="43" spans="1:2" x14ac:dyDescent="0.2">
      <c r="A43" s="9" t="s">
        <v>109</v>
      </c>
      <c r="B43" s="16">
        <v>2344860</v>
      </c>
    </row>
    <row r="44" spans="1:2" x14ac:dyDescent="0.2">
      <c r="A44" s="9" t="s">
        <v>111</v>
      </c>
      <c r="B44" s="16">
        <v>342000</v>
      </c>
    </row>
    <row r="45" spans="1:2" x14ac:dyDescent="0.2">
      <c r="A45" s="9" t="s">
        <v>211</v>
      </c>
      <c r="B45" s="16">
        <v>1141748.984375</v>
      </c>
    </row>
    <row r="46" spans="1:2" x14ac:dyDescent="0.2">
      <c r="A46" s="9" t="s">
        <v>113</v>
      </c>
      <c r="B46" s="16">
        <v>1861.0000610351601</v>
      </c>
    </row>
    <row r="47" spans="1:2" x14ac:dyDescent="0.2">
      <c r="A47" s="9" t="s">
        <v>115</v>
      </c>
      <c r="B47" s="16">
        <v>4030</v>
      </c>
    </row>
    <row r="48" spans="1:2" x14ac:dyDescent="0.2">
      <c r="A48" s="9" t="s">
        <v>213</v>
      </c>
      <c r="B48" s="16">
        <v>51100</v>
      </c>
    </row>
    <row r="49" spans="1:2" x14ac:dyDescent="0.2">
      <c r="A49" s="9" t="s">
        <v>2202</v>
      </c>
      <c r="B49" s="16">
        <v>434990</v>
      </c>
    </row>
    <row r="50" spans="1:2" x14ac:dyDescent="0.2">
      <c r="A50" s="9" t="s">
        <v>215</v>
      </c>
      <c r="B50" s="16">
        <v>109880</v>
      </c>
    </row>
    <row r="51" spans="1:2" x14ac:dyDescent="0.2">
      <c r="A51" s="9" t="s">
        <v>505</v>
      </c>
    </row>
    <row r="52" spans="1:2" x14ac:dyDescent="0.2">
      <c r="A52" s="9" t="s">
        <v>2203</v>
      </c>
      <c r="B52" s="16">
        <v>260</v>
      </c>
    </row>
    <row r="53" spans="1:2" x14ac:dyDescent="0.2">
      <c r="A53" s="9" t="s">
        <v>331</v>
      </c>
      <c r="B53" s="16">
        <v>9250</v>
      </c>
    </row>
    <row r="54" spans="1:2" x14ac:dyDescent="0.2">
      <c r="A54" s="9" t="s">
        <v>333</v>
      </c>
      <c r="B54" s="16">
        <v>78870</v>
      </c>
    </row>
    <row r="55" spans="1:2" x14ac:dyDescent="0.2">
      <c r="A55" s="9" t="s">
        <v>335</v>
      </c>
      <c r="B55" s="16">
        <v>357580</v>
      </c>
    </row>
    <row r="56" spans="1:2" x14ac:dyDescent="0.2">
      <c r="A56" s="9" t="s">
        <v>271</v>
      </c>
      <c r="B56" s="16">
        <v>23200</v>
      </c>
    </row>
    <row r="57" spans="1:2" x14ac:dyDescent="0.2">
      <c r="A57" s="9" t="s">
        <v>217</v>
      </c>
      <c r="B57" s="16">
        <v>750</v>
      </c>
    </row>
    <row r="58" spans="1:2" x14ac:dyDescent="0.2">
      <c r="A58" s="9" t="s">
        <v>337</v>
      </c>
      <c r="B58" s="16">
        <v>42920</v>
      </c>
    </row>
    <row r="59" spans="1:2" x14ac:dyDescent="0.2">
      <c r="A59" s="9" t="s">
        <v>219</v>
      </c>
      <c r="B59" s="16">
        <v>48670</v>
      </c>
    </row>
    <row r="60" spans="1:2" x14ac:dyDescent="0.2">
      <c r="A60" s="9" t="s">
        <v>117</v>
      </c>
      <c r="B60" s="16">
        <v>2381740</v>
      </c>
    </row>
    <row r="61" spans="1:2" x14ac:dyDescent="0.2">
      <c r="A61" s="9" t="s">
        <v>2204</v>
      </c>
      <c r="B61" s="16">
        <v>16272855</v>
      </c>
    </row>
    <row r="62" spans="1:2" x14ac:dyDescent="0.2">
      <c r="A62" s="9" t="s">
        <v>2205</v>
      </c>
      <c r="B62" s="16">
        <v>34108218.053741455</v>
      </c>
    </row>
    <row r="63" spans="1:2" x14ac:dyDescent="0.2">
      <c r="A63" s="9" t="s">
        <v>2206</v>
      </c>
      <c r="B63" s="16">
        <v>24827743.403921127</v>
      </c>
    </row>
    <row r="64" spans="1:2" x14ac:dyDescent="0.2">
      <c r="A64" s="9" t="s">
        <v>2207</v>
      </c>
      <c r="B64" s="16">
        <v>23235211.875</v>
      </c>
    </row>
    <row r="65" spans="1:2" x14ac:dyDescent="0.2">
      <c r="A65" s="9" t="s">
        <v>2208</v>
      </c>
      <c r="B65" s="16">
        <v>28691030.977592468</v>
      </c>
    </row>
    <row r="66" spans="1:2" x14ac:dyDescent="0.2">
      <c r="A66" s="9" t="s">
        <v>221</v>
      </c>
      <c r="B66" s="16">
        <v>256370</v>
      </c>
    </row>
    <row r="67" spans="1:2" x14ac:dyDescent="0.2">
      <c r="A67" s="9" t="s">
        <v>273</v>
      </c>
      <c r="B67" s="16">
        <v>1001450</v>
      </c>
    </row>
    <row r="68" spans="1:2" x14ac:dyDescent="0.2">
      <c r="A68" s="9" t="s">
        <v>2209</v>
      </c>
      <c r="B68" s="16">
        <v>2759787.5927734375</v>
      </c>
    </row>
    <row r="69" spans="1:2" x14ac:dyDescent="0.2">
      <c r="A69" s="9" t="s">
        <v>120</v>
      </c>
      <c r="B69" s="16">
        <v>117600</v>
      </c>
    </row>
    <row r="70" spans="1:2" x14ac:dyDescent="0.2">
      <c r="A70" s="9" t="s">
        <v>339</v>
      </c>
      <c r="B70" s="16">
        <v>505935</v>
      </c>
    </row>
    <row r="71" spans="1:2" x14ac:dyDescent="0.2">
      <c r="A71" s="9" t="s">
        <v>341</v>
      </c>
      <c r="B71" s="16">
        <v>45340</v>
      </c>
    </row>
    <row r="72" spans="1:2" x14ac:dyDescent="0.2">
      <c r="A72" s="9" t="s">
        <v>122</v>
      </c>
      <c r="B72" s="16">
        <v>1104300</v>
      </c>
    </row>
    <row r="73" spans="1:2" x14ac:dyDescent="0.2">
      <c r="A73" s="9" t="s">
        <v>2210</v>
      </c>
      <c r="B73" s="16">
        <v>4140707.5927734375</v>
      </c>
    </row>
    <row r="74" spans="1:2" x14ac:dyDescent="0.2">
      <c r="A74" s="9" t="s">
        <v>2211</v>
      </c>
      <c r="B74" s="16">
        <v>16833942.992248535</v>
      </c>
    </row>
    <row r="75" spans="1:2" x14ac:dyDescent="0.2">
      <c r="A75" s="9" t="s">
        <v>343</v>
      </c>
      <c r="B75" s="16">
        <v>338450</v>
      </c>
    </row>
    <row r="76" spans="1:2" x14ac:dyDescent="0.2">
      <c r="A76" s="9" t="s">
        <v>450</v>
      </c>
      <c r="B76" s="16">
        <v>18270</v>
      </c>
    </row>
    <row r="77" spans="1:2" x14ac:dyDescent="0.2">
      <c r="A77" s="9" t="s">
        <v>345</v>
      </c>
      <c r="B77" s="16">
        <v>549086.9921875</v>
      </c>
    </row>
    <row r="78" spans="1:2" x14ac:dyDescent="0.2">
      <c r="A78" s="9" t="s">
        <v>2212</v>
      </c>
      <c r="B78" s="16">
        <v>1396.0000610351601</v>
      </c>
    </row>
    <row r="79" spans="1:2" x14ac:dyDescent="0.2">
      <c r="A79" s="9" t="s">
        <v>452</v>
      </c>
      <c r="B79" s="16">
        <v>700</v>
      </c>
    </row>
    <row r="80" spans="1:2" x14ac:dyDescent="0.2">
      <c r="A80" s="9" t="s">
        <v>124</v>
      </c>
      <c r="B80" s="16">
        <v>267670</v>
      </c>
    </row>
    <row r="81" spans="1:2" x14ac:dyDescent="0.2">
      <c r="A81" s="9" t="s">
        <v>347</v>
      </c>
      <c r="B81" s="16">
        <v>243610</v>
      </c>
    </row>
    <row r="82" spans="1:2" x14ac:dyDescent="0.2">
      <c r="A82" s="9" t="s">
        <v>349</v>
      </c>
      <c r="B82" s="16">
        <v>69700</v>
      </c>
    </row>
    <row r="83" spans="1:2" x14ac:dyDescent="0.2">
      <c r="A83" s="9" t="s">
        <v>126</v>
      </c>
      <c r="B83" s="16">
        <v>238540</v>
      </c>
    </row>
    <row r="84" spans="1:2" x14ac:dyDescent="0.2">
      <c r="A84" s="9" t="s">
        <v>2213</v>
      </c>
      <c r="B84" s="16">
        <v>10</v>
      </c>
    </row>
    <row r="85" spans="1:2" x14ac:dyDescent="0.2">
      <c r="A85" s="9" t="s">
        <v>128</v>
      </c>
      <c r="B85" s="16">
        <v>245860</v>
      </c>
    </row>
    <row r="86" spans="1:2" x14ac:dyDescent="0.2">
      <c r="A86" s="9" t="s">
        <v>130</v>
      </c>
      <c r="B86" s="16">
        <v>11300</v>
      </c>
    </row>
    <row r="87" spans="1:2" x14ac:dyDescent="0.2">
      <c r="A87" s="9" t="s">
        <v>132</v>
      </c>
      <c r="B87" s="16">
        <v>36130</v>
      </c>
    </row>
    <row r="88" spans="1:2" x14ac:dyDescent="0.2">
      <c r="A88" s="9" t="s">
        <v>134</v>
      </c>
      <c r="B88" s="16">
        <v>28050</v>
      </c>
    </row>
    <row r="89" spans="1:2" x14ac:dyDescent="0.2">
      <c r="A89" s="9" t="s">
        <v>351</v>
      </c>
      <c r="B89" s="16">
        <v>131960</v>
      </c>
    </row>
    <row r="90" spans="1:2" x14ac:dyDescent="0.2">
      <c r="A90" s="9" t="s">
        <v>223</v>
      </c>
      <c r="B90" s="16">
        <v>340</v>
      </c>
    </row>
    <row r="91" spans="1:2" x14ac:dyDescent="0.2">
      <c r="A91" s="9" t="s">
        <v>2214</v>
      </c>
      <c r="B91" s="16">
        <v>410450</v>
      </c>
    </row>
    <row r="92" spans="1:2" x14ac:dyDescent="0.2">
      <c r="A92" s="9" t="s">
        <v>225</v>
      </c>
      <c r="B92" s="16">
        <v>108890</v>
      </c>
    </row>
    <row r="93" spans="1:2" x14ac:dyDescent="0.2">
      <c r="A93" s="9" t="s">
        <v>509</v>
      </c>
      <c r="B93" s="16">
        <v>540</v>
      </c>
    </row>
    <row r="94" spans="1:2" x14ac:dyDescent="0.2">
      <c r="A94" s="9" t="s">
        <v>227</v>
      </c>
      <c r="B94" s="16">
        <v>214970</v>
      </c>
    </row>
    <row r="95" spans="1:2" x14ac:dyDescent="0.2">
      <c r="A95" s="9" t="s">
        <v>2215</v>
      </c>
      <c r="B95" s="16">
        <v>37468305.506544113</v>
      </c>
    </row>
    <row r="96" spans="1:2" x14ac:dyDescent="0.2">
      <c r="A96" s="9" t="s">
        <v>510</v>
      </c>
      <c r="B96" s="16">
        <v>1110</v>
      </c>
    </row>
    <row r="97" spans="1:2" x14ac:dyDescent="0.2">
      <c r="A97" s="9" t="s">
        <v>229</v>
      </c>
      <c r="B97" s="16">
        <v>112490</v>
      </c>
    </row>
    <row r="98" spans="1:2" x14ac:dyDescent="0.2">
      <c r="A98" s="9" t="s">
        <v>2216</v>
      </c>
      <c r="B98" s="16">
        <v>17874796.000061035</v>
      </c>
    </row>
    <row r="99" spans="1:2" x14ac:dyDescent="0.2">
      <c r="A99" s="9" t="s">
        <v>353</v>
      </c>
      <c r="B99" s="16">
        <v>56590</v>
      </c>
    </row>
    <row r="100" spans="1:2" x14ac:dyDescent="0.2">
      <c r="A100" s="9" t="s">
        <v>231</v>
      </c>
      <c r="B100" s="16">
        <v>27750</v>
      </c>
    </row>
    <row r="101" spans="1:2" x14ac:dyDescent="0.2">
      <c r="A101" s="9" t="s">
        <v>355</v>
      </c>
      <c r="B101" s="16">
        <v>93030</v>
      </c>
    </row>
    <row r="102" spans="1:2" x14ac:dyDescent="0.2">
      <c r="A102" s="9" t="s">
        <v>2217</v>
      </c>
      <c r="B102" s="16">
        <v>72945973.90625</v>
      </c>
    </row>
    <row r="103" spans="1:2" x14ac:dyDescent="0.2">
      <c r="A103" s="9" t="s">
        <v>2218</v>
      </c>
      <c r="B103" s="16">
        <v>95945073.905334473</v>
      </c>
    </row>
    <row r="104" spans="1:2" x14ac:dyDescent="0.2">
      <c r="A104" s="9" t="s">
        <v>94</v>
      </c>
      <c r="B104" s="16">
        <v>22999099.999084473</v>
      </c>
    </row>
    <row r="105" spans="1:2" x14ac:dyDescent="0.2">
      <c r="A105" s="9" t="s">
        <v>2219</v>
      </c>
      <c r="B105" s="16">
        <v>4457950</v>
      </c>
    </row>
    <row r="106" spans="1:2" x14ac:dyDescent="0.2">
      <c r="A106" s="9" t="s">
        <v>422</v>
      </c>
      <c r="B106" s="16">
        <v>1913580</v>
      </c>
    </row>
    <row r="107" spans="1:2" x14ac:dyDescent="0.2">
      <c r="A107" s="9" t="s">
        <v>2220</v>
      </c>
      <c r="B107" s="16">
        <v>18541149.999084473</v>
      </c>
    </row>
    <row r="108" spans="1:2" x14ac:dyDescent="0.2">
      <c r="A108" s="9" t="s">
        <v>2221</v>
      </c>
      <c r="B108" s="16">
        <v>570</v>
      </c>
    </row>
    <row r="109" spans="1:2" x14ac:dyDescent="0.2">
      <c r="A109" s="9" t="s">
        <v>425</v>
      </c>
      <c r="B109" s="16">
        <v>3287259.0625</v>
      </c>
    </row>
    <row r="110" spans="1:2" x14ac:dyDescent="0.2">
      <c r="A110" s="9" t="s">
        <v>2222</v>
      </c>
    </row>
    <row r="111" spans="1:2" x14ac:dyDescent="0.2">
      <c r="A111" s="9" t="s">
        <v>357</v>
      </c>
      <c r="B111" s="16">
        <v>70280</v>
      </c>
    </row>
    <row r="112" spans="1:2" x14ac:dyDescent="0.2">
      <c r="A112" s="9" t="s">
        <v>275</v>
      </c>
      <c r="B112" s="16">
        <v>1745150</v>
      </c>
    </row>
    <row r="113" spans="1:2" x14ac:dyDescent="0.2">
      <c r="A113" s="9" t="s">
        <v>277</v>
      </c>
      <c r="B113" s="16">
        <v>435051.9921875</v>
      </c>
    </row>
    <row r="114" spans="1:2" x14ac:dyDescent="0.2">
      <c r="A114" s="9" t="s">
        <v>359</v>
      </c>
      <c r="B114" s="16">
        <v>103000</v>
      </c>
    </row>
    <row r="115" spans="1:2" x14ac:dyDescent="0.2">
      <c r="A115" s="9" t="s">
        <v>361</v>
      </c>
      <c r="B115" s="16">
        <v>22070</v>
      </c>
    </row>
    <row r="116" spans="1:2" x14ac:dyDescent="0.2">
      <c r="A116" s="9" t="s">
        <v>363</v>
      </c>
      <c r="B116" s="16">
        <v>301340</v>
      </c>
    </row>
    <row r="117" spans="1:2" x14ac:dyDescent="0.2">
      <c r="A117" s="9" t="s">
        <v>233</v>
      </c>
      <c r="B117" s="16">
        <v>10990</v>
      </c>
    </row>
    <row r="118" spans="1:2" x14ac:dyDescent="0.2">
      <c r="A118" s="9" t="s">
        <v>279</v>
      </c>
      <c r="B118" s="16">
        <v>89320</v>
      </c>
    </row>
    <row r="119" spans="1:2" x14ac:dyDescent="0.2">
      <c r="A119" s="9" t="s">
        <v>454</v>
      </c>
      <c r="B119" s="16">
        <v>377970</v>
      </c>
    </row>
    <row r="120" spans="1:2" x14ac:dyDescent="0.2">
      <c r="A120" s="9" t="s">
        <v>365</v>
      </c>
      <c r="B120" s="16">
        <v>2724901.875</v>
      </c>
    </row>
    <row r="121" spans="1:2" x14ac:dyDescent="0.2">
      <c r="A121" s="9" t="s">
        <v>136</v>
      </c>
      <c r="B121" s="16">
        <v>580370</v>
      </c>
    </row>
    <row r="122" spans="1:2" x14ac:dyDescent="0.2">
      <c r="A122" s="9" t="s">
        <v>367</v>
      </c>
      <c r="B122" s="16">
        <v>199950</v>
      </c>
    </row>
    <row r="123" spans="1:2" x14ac:dyDescent="0.2">
      <c r="A123" s="9" t="s">
        <v>456</v>
      </c>
      <c r="B123" s="16">
        <v>181040</v>
      </c>
    </row>
    <row r="124" spans="1:2" x14ac:dyDescent="0.2">
      <c r="A124" s="9" t="s">
        <v>458</v>
      </c>
      <c r="B124" s="16">
        <v>810</v>
      </c>
    </row>
    <row r="125" spans="1:2" x14ac:dyDescent="0.2">
      <c r="A125" s="9" t="s">
        <v>235</v>
      </c>
      <c r="B125" s="16">
        <v>260</v>
      </c>
    </row>
    <row r="126" spans="1:2" x14ac:dyDescent="0.2">
      <c r="A126" s="9" t="s">
        <v>460</v>
      </c>
      <c r="B126" s="16">
        <v>100339.00390625</v>
      </c>
    </row>
    <row r="127" spans="1:2" x14ac:dyDescent="0.2">
      <c r="A127" s="9" t="s">
        <v>281</v>
      </c>
      <c r="B127" s="16">
        <v>17820</v>
      </c>
    </row>
    <row r="128" spans="1:2" x14ac:dyDescent="0.2">
      <c r="A128" s="9" t="s">
        <v>2223</v>
      </c>
      <c r="B128" s="16">
        <v>19386305.9765625</v>
      </c>
    </row>
    <row r="129" spans="1:2" x14ac:dyDescent="0.2">
      <c r="A129" s="9" t="s">
        <v>462</v>
      </c>
      <c r="B129" s="16">
        <v>236800</v>
      </c>
    </row>
    <row r="130" spans="1:2" x14ac:dyDescent="0.2">
      <c r="A130" s="9" t="s">
        <v>283</v>
      </c>
      <c r="B130" s="16">
        <v>10450</v>
      </c>
    </row>
    <row r="131" spans="1:2" x14ac:dyDescent="0.2">
      <c r="A131" s="9" t="s">
        <v>138</v>
      </c>
      <c r="B131" s="16">
        <v>111370</v>
      </c>
    </row>
    <row r="132" spans="1:2" x14ac:dyDescent="0.2">
      <c r="A132" s="9" t="s">
        <v>285</v>
      </c>
      <c r="B132" s="16">
        <v>1759540</v>
      </c>
    </row>
    <row r="133" spans="1:2" x14ac:dyDescent="0.2">
      <c r="A133" s="9" t="s">
        <v>237</v>
      </c>
      <c r="B133" s="16">
        <v>620</v>
      </c>
    </row>
    <row r="134" spans="1:2" x14ac:dyDescent="0.2">
      <c r="A134" s="9" t="s">
        <v>2224</v>
      </c>
      <c r="B134" s="16">
        <v>20425545.9765625</v>
      </c>
    </row>
    <row r="135" spans="1:2" x14ac:dyDescent="0.2">
      <c r="A135" s="9" t="s">
        <v>2225</v>
      </c>
      <c r="B135" s="16">
        <v>18252609.999084473</v>
      </c>
    </row>
    <row r="136" spans="1:2" x14ac:dyDescent="0.2">
      <c r="A136" s="9" t="s">
        <v>2226</v>
      </c>
      <c r="B136" s="16">
        <v>12870115</v>
      </c>
    </row>
    <row r="137" spans="1:2" x14ac:dyDescent="0.2">
      <c r="A137" s="9" t="s">
        <v>2227</v>
      </c>
      <c r="B137" s="16">
        <v>160</v>
      </c>
    </row>
    <row r="138" spans="1:2" x14ac:dyDescent="0.2">
      <c r="A138" s="9" t="s">
        <v>427</v>
      </c>
      <c r="B138" s="16">
        <v>65610</v>
      </c>
    </row>
    <row r="139" spans="1:2" x14ac:dyDescent="0.2">
      <c r="A139" s="9" t="s">
        <v>2228</v>
      </c>
      <c r="B139" s="16">
        <v>22578754.061584473</v>
      </c>
    </row>
    <row r="140" spans="1:2" x14ac:dyDescent="0.2">
      <c r="A140" s="9" t="s">
        <v>2229</v>
      </c>
      <c r="B140" s="16">
        <v>94556893.905334473</v>
      </c>
    </row>
    <row r="141" spans="1:2" x14ac:dyDescent="0.2">
      <c r="A141" s="9" t="s">
        <v>140</v>
      </c>
      <c r="B141" s="16">
        <v>30360</v>
      </c>
    </row>
    <row r="142" spans="1:2" x14ac:dyDescent="0.2">
      <c r="A142" s="9" t="s">
        <v>2230</v>
      </c>
      <c r="B142" s="16">
        <v>45769685.859375</v>
      </c>
    </row>
    <row r="143" spans="1:2" x14ac:dyDescent="0.2">
      <c r="A143" s="9" t="s">
        <v>369</v>
      </c>
      <c r="B143" s="16">
        <v>65286.0009765625</v>
      </c>
    </row>
    <row r="144" spans="1:2" x14ac:dyDescent="0.2">
      <c r="A144" s="9" t="s">
        <v>371</v>
      </c>
      <c r="B144" s="16">
        <v>2590</v>
      </c>
    </row>
    <row r="145" spans="1:2" x14ac:dyDescent="0.2">
      <c r="A145" s="9" t="s">
        <v>373</v>
      </c>
      <c r="B145" s="16">
        <v>64490</v>
      </c>
    </row>
    <row r="146" spans="1:2" x14ac:dyDescent="0.2">
      <c r="A146" s="9" t="s">
        <v>511</v>
      </c>
      <c r="B146" s="16">
        <v>30.399999618530302</v>
      </c>
    </row>
    <row r="147" spans="1:2" x14ac:dyDescent="0.2">
      <c r="A147" s="9" t="s">
        <v>2231</v>
      </c>
    </row>
    <row r="148" spans="1:2" x14ac:dyDescent="0.2">
      <c r="A148" s="9" t="s">
        <v>287</v>
      </c>
      <c r="B148" s="16">
        <v>446550</v>
      </c>
    </row>
    <row r="149" spans="1:2" x14ac:dyDescent="0.2">
      <c r="A149" s="9" t="s">
        <v>375</v>
      </c>
    </row>
    <row r="150" spans="1:2" x14ac:dyDescent="0.2">
      <c r="A150" s="9" t="s">
        <v>377</v>
      </c>
      <c r="B150" s="16">
        <v>33850</v>
      </c>
    </row>
    <row r="151" spans="1:2" x14ac:dyDescent="0.2">
      <c r="A151" s="9" t="s">
        <v>142</v>
      </c>
      <c r="B151" s="16">
        <v>587295</v>
      </c>
    </row>
    <row r="152" spans="1:2" x14ac:dyDescent="0.2">
      <c r="A152" s="9" t="s">
        <v>429</v>
      </c>
      <c r="B152" s="16">
        <v>300</v>
      </c>
    </row>
    <row r="153" spans="1:2" x14ac:dyDescent="0.2">
      <c r="A153" s="9" t="s">
        <v>2232</v>
      </c>
      <c r="B153" s="16">
        <v>11370619.992218018</v>
      </c>
    </row>
    <row r="154" spans="1:2" x14ac:dyDescent="0.2">
      <c r="A154" s="9" t="s">
        <v>239</v>
      </c>
      <c r="B154" s="16">
        <v>1964375</v>
      </c>
    </row>
    <row r="155" spans="1:2" x14ac:dyDescent="0.2">
      <c r="A155" s="9" t="s">
        <v>464</v>
      </c>
      <c r="B155" s="16">
        <v>180</v>
      </c>
    </row>
    <row r="156" spans="1:2" x14ac:dyDescent="0.2">
      <c r="A156" s="9" t="s">
        <v>2233</v>
      </c>
      <c r="B156" s="16">
        <v>81686778.905334473</v>
      </c>
    </row>
    <row r="157" spans="1:2" x14ac:dyDescent="0.2">
      <c r="A157" s="9" t="s">
        <v>379</v>
      </c>
      <c r="B157" s="16">
        <v>25710</v>
      </c>
    </row>
    <row r="158" spans="1:2" x14ac:dyDescent="0.2">
      <c r="A158" s="9" t="s">
        <v>144</v>
      </c>
      <c r="B158" s="16">
        <v>1240190</v>
      </c>
    </row>
    <row r="159" spans="1:2" x14ac:dyDescent="0.2">
      <c r="A159" s="9" t="s">
        <v>381</v>
      </c>
      <c r="B159" s="16">
        <v>320</v>
      </c>
    </row>
    <row r="160" spans="1:2" x14ac:dyDescent="0.2">
      <c r="A160" s="9" t="s">
        <v>431</v>
      </c>
      <c r="B160" s="16">
        <v>676590</v>
      </c>
    </row>
    <row r="161" spans="1:2" x14ac:dyDescent="0.2">
      <c r="A161" s="9" t="s">
        <v>2234</v>
      </c>
      <c r="B161" s="16">
        <v>8775231.9921875</v>
      </c>
    </row>
    <row r="162" spans="1:2" x14ac:dyDescent="0.2">
      <c r="A162" s="9" t="s">
        <v>383</v>
      </c>
      <c r="B162" s="16">
        <v>13810</v>
      </c>
    </row>
    <row r="163" spans="1:2" x14ac:dyDescent="0.2">
      <c r="A163" s="9" t="s">
        <v>466</v>
      </c>
      <c r="B163" s="16">
        <v>1564120</v>
      </c>
    </row>
    <row r="164" spans="1:2" x14ac:dyDescent="0.2">
      <c r="A164" s="9" t="s">
        <v>2235</v>
      </c>
      <c r="B164" s="16">
        <v>460</v>
      </c>
    </row>
    <row r="165" spans="1:2" x14ac:dyDescent="0.2">
      <c r="A165" s="9" t="s">
        <v>146</v>
      </c>
      <c r="B165" s="16">
        <v>786380</v>
      </c>
    </row>
    <row r="166" spans="1:2" x14ac:dyDescent="0.2">
      <c r="A166" s="9" t="s">
        <v>148</v>
      </c>
      <c r="B166" s="16">
        <v>1030700</v>
      </c>
    </row>
    <row r="167" spans="1:2" x14ac:dyDescent="0.2">
      <c r="A167" s="9" t="s">
        <v>150</v>
      </c>
      <c r="B167" s="16">
        <v>2040</v>
      </c>
    </row>
    <row r="168" spans="1:2" x14ac:dyDescent="0.2">
      <c r="A168" s="9" t="s">
        <v>153</v>
      </c>
      <c r="B168" s="16">
        <v>118480</v>
      </c>
    </row>
    <row r="169" spans="1:2" x14ac:dyDescent="0.2">
      <c r="A169" s="9" t="s">
        <v>468</v>
      </c>
      <c r="B169" s="16">
        <v>330345</v>
      </c>
    </row>
    <row r="170" spans="1:2" x14ac:dyDescent="0.2">
      <c r="A170" s="9" t="s">
        <v>2236</v>
      </c>
      <c r="B170" s="16">
        <v>19820470</v>
      </c>
    </row>
    <row r="171" spans="1:2" x14ac:dyDescent="0.2">
      <c r="A171" s="9" t="s">
        <v>155</v>
      </c>
      <c r="B171" s="16">
        <v>824290</v>
      </c>
    </row>
    <row r="172" spans="1:2" x14ac:dyDescent="0.2">
      <c r="A172" s="9" t="s">
        <v>514</v>
      </c>
      <c r="B172" s="16">
        <v>18580</v>
      </c>
    </row>
    <row r="173" spans="1:2" x14ac:dyDescent="0.2">
      <c r="A173" s="9" t="s">
        <v>157</v>
      </c>
      <c r="B173" s="16">
        <v>1267000</v>
      </c>
    </row>
    <row r="174" spans="1:2" x14ac:dyDescent="0.2">
      <c r="A174" s="9" t="s">
        <v>159</v>
      </c>
      <c r="B174" s="16">
        <v>923770</v>
      </c>
    </row>
    <row r="175" spans="1:2" x14ac:dyDescent="0.2">
      <c r="A175" s="9" t="s">
        <v>241</v>
      </c>
      <c r="B175" s="16">
        <v>130370</v>
      </c>
    </row>
    <row r="176" spans="1:2" x14ac:dyDescent="0.2">
      <c r="A176" s="9" t="s">
        <v>385</v>
      </c>
      <c r="B176" s="16">
        <v>41540</v>
      </c>
    </row>
    <row r="177" spans="1:2" x14ac:dyDescent="0.2">
      <c r="A177" s="9" t="s">
        <v>387</v>
      </c>
      <c r="B177" s="16">
        <v>625217.109375</v>
      </c>
    </row>
    <row r="178" spans="1:2" x14ac:dyDescent="0.2">
      <c r="A178" s="9" t="s">
        <v>433</v>
      </c>
      <c r="B178" s="16">
        <v>147180</v>
      </c>
    </row>
    <row r="179" spans="1:2" x14ac:dyDescent="0.2">
      <c r="A179" s="9" t="s">
        <v>472</v>
      </c>
      <c r="B179" s="16">
        <v>20</v>
      </c>
    </row>
    <row r="180" spans="1:2" x14ac:dyDescent="0.2">
      <c r="A180" s="9" t="s">
        <v>474</v>
      </c>
      <c r="B180" s="16">
        <v>267710</v>
      </c>
    </row>
    <row r="181" spans="1:2" x14ac:dyDescent="0.2">
      <c r="A181" s="9" t="s">
        <v>2237</v>
      </c>
      <c r="B181" s="16">
        <v>37711928.090820313</v>
      </c>
    </row>
    <row r="182" spans="1:2" x14ac:dyDescent="0.2">
      <c r="A182" s="9" t="s">
        <v>289</v>
      </c>
      <c r="B182" s="16">
        <v>309500</v>
      </c>
    </row>
    <row r="183" spans="1:2" x14ac:dyDescent="0.2">
      <c r="A183" s="9" t="s">
        <v>2238</v>
      </c>
      <c r="B183" s="16">
        <v>2072942.9991149902</v>
      </c>
    </row>
    <row r="184" spans="1:2" x14ac:dyDescent="0.2">
      <c r="A184" s="9" t="s">
        <v>291</v>
      </c>
      <c r="B184" s="16">
        <v>796100</v>
      </c>
    </row>
    <row r="185" spans="1:2" x14ac:dyDescent="0.2">
      <c r="A185" s="9" t="s">
        <v>243</v>
      </c>
      <c r="B185" s="16">
        <v>75420</v>
      </c>
    </row>
    <row r="186" spans="1:2" x14ac:dyDescent="0.2">
      <c r="A186" s="9" t="s">
        <v>245</v>
      </c>
      <c r="B186" s="16">
        <v>1285220</v>
      </c>
    </row>
    <row r="187" spans="1:2" x14ac:dyDescent="0.2">
      <c r="A187" s="9" t="s">
        <v>476</v>
      </c>
      <c r="B187" s="16">
        <v>300000</v>
      </c>
    </row>
    <row r="188" spans="1:2" x14ac:dyDescent="0.2">
      <c r="A188" s="9" t="s">
        <v>478</v>
      </c>
      <c r="B188" s="16">
        <v>460</v>
      </c>
    </row>
    <row r="189" spans="1:2" x14ac:dyDescent="0.2">
      <c r="A189" s="9" t="s">
        <v>480</v>
      </c>
      <c r="B189" s="16">
        <v>462840</v>
      </c>
    </row>
    <row r="190" spans="1:2" x14ac:dyDescent="0.2">
      <c r="A190" s="9" t="s">
        <v>389</v>
      </c>
      <c r="B190" s="16">
        <v>312680</v>
      </c>
    </row>
    <row r="191" spans="1:2" x14ac:dyDescent="0.2">
      <c r="A191" s="9" t="s">
        <v>2239</v>
      </c>
      <c r="B191" s="16">
        <v>18149307.992248535</v>
      </c>
    </row>
    <row r="192" spans="1:2" x14ac:dyDescent="0.2">
      <c r="A192" s="9" t="s">
        <v>515</v>
      </c>
      <c r="B192" s="16">
        <v>8870</v>
      </c>
    </row>
    <row r="193" spans="1:2" x14ac:dyDescent="0.2">
      <c r="A193" s="9" t="s">
        <v>435</v>
      </c>
      <c r="B193" s="16">
        <v>120540</v>
      </c>
    </row>
    <row r="194" spans="1:2" x14ac:dyDescent="0.2">
      <c r="A194" s="9" t="s">
        <v>391</v>
      </c>
      <c r="B194" s="16">
        <v>92225.595703125</v>
      </c>
    </row>
    <row r="195" spans="1:2" x14ac:dyDescent="0.2">
      <c r="A195" s="9" t="s">
        <v>247</v>
      </c>
      <c r="B195" s="16">
        <v>406751.9921875</v>
      </c>
    </row>
    <row r="196" spans="1:2" x14ac:dyDescent="0.2">
      <c r="A196" s="9" t="s">
        <v>293</v>
      </c>
      <c r="B196" s="16">
        <v>6020</v>
      </c>
    </row>
    <row r="197" spans="1:2" x14ac:dyDescent="0.2">
      <c r="A197" s="9" t="s">
        <v>2240</v>
      </c>
      <c r="B197" s="16">
        <v>65150</v>
      </c>
    </row>
    <row r="198" spans="1:2" x14ac:dyDescent="0.2">
      <c r="A198" s="9" t="s">
        <v>2241</v>
      </c>
      <c r="B198" s="16">
        <v>33539743.50646019</v>
      </c>
    </row>
    <row r="199" spans="1:2" x14ac:dyDescent="0.2">
      <c r="A199" s="9" t="s">
        <v>516</v>
      </c>
      <c r="B199" s="16">
        <v>4000</v>
      </c>
    </row>
    <row r="200" spans="1:2" x14ac:dyDescent="0.2">
      <c r="A200" s="9" t="s">
        <v>295</v>
      </c>
      <c r="B200" s="16">
        <v>11610</v>
      </c>
    </row>
    <row r="201" spans="1:2" x14ac:dyDescent="0.2">
      <c r="A201" s="9" t="s">
        <v>393</v>
      </c>
      <c r="B201" s="16">
        <v>238400</v>
      </c>
    </row>
    <row r="202" spans="1:2" x14ac:dyDescent="0.2">
      <c r="A202" s="9" t="s">
        <v>395</v>
      </c>
      <c r="B202" s="16">
        <v>17098250</v>
      </c>
    </row>
    <row r="203" spans="1:2" x14ac:dyDescent="0.2">
      <c r="A203" s="9" t="s">
        <v>161</v>
      </c>
      <c r="B203" s="16">
        <v>26340</v>
      </c>
    </row>
    <row r="204" spans="1:2" x14ac:dyDescent="0.2">
      <c r="A204" s="9" t="s">
        <v>2242</v>
      </c>
      <c r="B204" s="16">
        <v>5135333.0615234375</v>
      </c>
    </row>
    <row r="205" spans="1:2" x14ac:dyDescent="0.2">
      <c r="A205" s="9" t="s">
        <v>297</v>
      </c>
      <c r="B205" s="16">
        <v>2149690</v>
      </c>
    </row>
    <row r="206" spans="1:2" x14ac:dyDescent="0.2">
      <c r="A206" s="9" t="s">
        <v>299</v>
      </c>
    </row>
    <row r="207" spans="1:2" x14ac:dyDescent="0.2">
      <c r="A207" s="9" t="s">
        <v>163</v>
      </c>
      <c r="B207" s="16">
        <v>196710</v>
      </c>
    </row>
    <row r="208" spans="1:2" x14ac:dyDescent="0.2">
      <c r="A208" s="9" t="s">
        <v>482</v>
      </c>
      <c r="B208" s="16">
        <v>719.00001525878906</v>
      </c>
    </row>
    <row r="209" spans="1:2" x14ac:dyDescent="0.2">
      <c r="A209" s="9" t="s">
        <v>484</v>
      </c>
      <c r="B209" s="16">
        <v>28900</v>
      </c>
    </row>
    <row r="210" spans="1:2" x14ac:dyDescent="0.2">
      <c r="A210" s="9" t="s">
        <v>165</v>
      </c>
      <c r="B210" s="16">
        <v>72300</v>
      </c>
    </row>
    <row r="211" spans="1:2" x14ac:dyDescent="0.2">
      <c r="A211" s="9" t="s">
        <v>249</v>
      </c>
      <c r="B211" s="16">
        <v>21040</v>
      </c>
    </row>
    <row r="212" spans="1:2" x14ac:dyDescent="0.2">
      <c r="A212" s="9" t="s">
        <v>397</v>
      </c>
      <c r="B212" s="16">
        <v>60</v>
      </c>
    </row>
    <row r="213" spans="1:2" x14ac:dyDescent="0.2">
      <c r="A213" s="9" t="s">
        <v>301</v>
      </c>
      <c r="B213" s="16">
        <v>637660</v>
      </c>
    </row>
    <row r="214" spans="1:2" x14ac:dyDescent="0.2">
      <c r="A214" s="9" t="s">
        <v>399</v>
      </c>
      <c r="B214" s="16">
        <v>88360</v>
      </c>
    </row>
    <row r="215" spans="1:2" x14ac:dyDescent="0.2">
      <c r="A215" s="9" t="s">
        <v>2243</v>
      </c>
      <c r="B215" s="16">
        <v>21751956.000061035</v>
      </c>
    </row>
    <row r="216" spans="1:2" x14ac:dyDescent="0.2">
      <c r="A216" s="9" t="s">
        <v>167</v>
      </c>
    </row>
    <row r="217" spans="1:2" x14ac:dyDescent="0.2">
      <c r="A217" s="9" t="s">
        <v>2244</v>
      </c>
      <c r="B217" s="16">
        <v>21754456.000061035</v>
      </c>
    </row>
    <row r="218" spans="1:2" x14ac:dyDescent="0.2">
      <c r="A218" s="9" t="s">
        <v>2245</v>
      </c>
      <c r="B218" s="16">
        <v>2573082.9991149902</v>
      </c>
    </row>
    <row r="219" spans="1:2" x14ac:dyDescent="0.2">
      <c r="A219" s="9" t="s">
        <v>169</v>
      </c>
      <c r="B219" s="16">
        <v>960</v>
      </c>
    </row>
    <row r="220" spans="1:2" x14ac:dyDescent="0.2">
      <c r="A220" s="9" t="s">
        <v>251</v>
      </c>
      <c r="B220" s="16">
        <v>163820</v>
      </c>
    </row>
    <row r="221" spans="1:2" x14ac:dyDescent="0.2">
      <c r="A221" s="9" t="s">
        <v>401</v>
      </c>
      <c r="B221" s="16">
        <v>49030</v>
      </c>
    </row>
    <row r="222" spans="1:2" x14ac:dyDescent="0.2">
      <c r="A222" s="9" t="s">
        <v>403</v>
      </c>
      <c r="B222" s="16">
        <v>20675</v>
      </c>
    </row>
    <row r="223" spans="1:2" x14ac:dyDescent="0.2">
      <c r="A223" s="9" t="s">
        <v>405</v>
      </c>
      <c r="B223" s="16">
        <v>447430</v>
      </c>
    </row>
    <row r="224" spans="1:2" x14ac:dyDescent="0.2">
      <c r="A224" s="9" t="s">
        <v>171</v>
      </c>
      <c r="B224" s="16">
        <v>17360</v>
      </c>
    </row>
    <row r="225" spans="1:2" x14ac:dyDescent="0.2">
      <c r="A225" s="9" t="s">
        <v>2246</v>
      </c>
    </row>
    <row r="226" spans="1:2" x14ac:dyDescent="0.2">
      <c r="A226" s="9" t="s">
        <v>173</v>
      </c>
      <c r="B226" s="16">
        <v>460</v>
      </c>
    </row>
    <row r="227" spans="1:2" x14ac:dyDescent="0.2">
      <c r="A227" s="9" t="s">
        <v>303</v>
      </c>
      <c r="B227" s="16">
        <v>185180</v>
      </c>
    </row>
    <row r="228" spans="1:2" x14ac:dyDescent="0.2">
      <c r="A228" s="9" t="s">
        <v>2247</v>
      </c>
      <c r="B228" s="16">
        <v>950</v>
      </c>
    </row>
    <row r="229" spans="1:2" x14ac:dyDescent="0.2">
      <c r="A229" s="9" t="s">
        <v>175</v>
      </c>
      <c r="B229" s="16">
        <v>1284000</v>
      </c>
    </row>
    <row r="230" spans="1:2" x14ac:dyDescent="0.2">
      <c r="A230" s="9" t="s">
        <v>2248</v>
      </c>
      <c r="B230" s="16">
        <v>16152595</v>
      </c>
    </row>
    <row r="231" spans="1:2" x14ac:dyDescent="0.2">
      <c r="A231" s="9" t="s">
        <v>2249</v>
      </c>
      <c r="B231" s="16">
        <v>23842881.875</v>
      </c>
    </row>
    <row r="232" spans="1:2" x14ac:dyDescent="0.2">
      <c r="A232" s="9" t="s">
        <v>177</v>
      </c>
      <c r="B232" s="16">
        <v>56790</v>
      </c>
    </row>
    <row r="233" spans="1:2" x14ac:dyDescent="0.2">
      <c r="A233" s="9" t="s">
        <v>437</v>
      </c>
      <c r="B233" s="16">
        <v>513120</v>
      </c>
    </row>
    <row r="234" spans="1:2" x14ac:dyDescent="0.2">
      <c r="A234" s="9" t="s">
        <v>407</v>
      </c>
      <c r="B234" s="16">
        <v>141380</v>
      </c>
    </row>
    <row r="235" spans="1:2" x14ac:dyDescent="0.2">
      <c r="A235" s="9" t="s">
        <v>409</v>
      </c>
      <c r="B235" s="16">
        <v>488100</v>
      </c>
    </row>
    <row r="236" spans="1:2" x14ac:dyDescent="0.2">
      <c r="A236" s="9" t="s">
        <v>2250</v>
      </c>
      <c r="B236" s="16">
        <v>20290595.9765625</v>
      </c>
    </row>
    <row r="237" spans="1:2" x14ac:dyDescent="0.2">
      <c r="A237" s="9" t="s">
        <v>439</v>
      </c>
      <c r="B237" s="16">
        <v>14870</v>
      </c>
    </row>
    <row r="238" spans="1:2" x14ac:dyDescent="0.2">
      <c r="A238" s="9" t="s">
        <v>2251</v>
      </c>
      <c r="B238" s="16">
        <v>8769211.9921875</v>
      </c>
    </row>
    <row r="239" spans="1:2" x14ac:dyDescent="0.2">
      <c r="A239" s="9" t="s">
        <v>486</v>
      </c>
      <c r="B239" s="16">
        <v>750</v>
      </c>
    </row>
    <row r="240" spans="1:2" x14ac:dyDescent="0.2">
      <c r="A240" s="9" t="s">
        <v>2252</v>
      </c>
      <c r="B240" s="16">
        <v>5135333.0615234375</v>
      </c>
    </row>
    <row r="241" spans="1:2" x14ac:dyDescent="0.2">
      <c r="A241" s="9" t="s">
        <v>2253</v>
      </c>
      <c r="B241" s="16">
        <v>21754456.000061035</v>
      </c>
    </row>
    <row r="242" spans="1:2" x14ac:dyDescent="0.2">
      <c r="A242" s="9" t="s">
        <v>253</v>
      </c>
      <c r="B242" s="16">
        <v>5130</v>
      </c>
    </row>
    <row r="243" spans="1:2" x14ac:dyDescent="0.2">
      <c r="A243" s="9" t="s">
        <v>305</v>
      </c>
      <c r="B243" s="16">
        <v>163610</v>
      </c>
    </row>
    <row r="244" spans="1:2" x14ac:dyDescent="0.2">
      <c r="A244" s="9" t="s">
        <v>411</v>
      </c>
      <c r="B244" s="16">
        <v>785350</v>
      </c>
    </row>
    <row r="245" spans="1:2" x14ac:dyDescent="0.2">
      <c r="A245" s="9" t="s">
        <v>488</v>
      </c>
      <c r="B245" s="16">
        <v>30</v>
      </c>
    </row>
    <row r="246" spans="1:2" x14ac:dyDescent="0.2">
      <c r="A246" s="9" t="s">
        <v>179</v>
      </c>
      <c r="B246" s="16">
        <v>947300</v>
      </c>
    </row>
    <row r="247" spans="1:2" x14ac:dyDescent="0.2">
      <c r="A247" s="9" t="s">
        <v>181</v>
      </c>
      <c r="B247" s="16">
        <v>241550</v>
      </c>
    </row>
    <row r="248" spans="1:2" x14ac:dyDescent="0.2">
      <c r="A248" s="9" t="s">
        <v>413</v>
      </c>
      <c r="B248" s="16">
        <v>603550</v>
      </c>
    </row>
    <row r="249" spans="1:2" x14ac:dyDescent="0.2">
      <c r="A249" s="9" t="s">
        <v>2254</v>
      </c>
      <c r="B249" s="16">
        <v>59108024.84375</v>
      </c>
    </row>
    <row r="250" spans="1:2" x14ac:dyDescent="0.2">
      <c r="A250" s="9" t="s">
        <v>255</v>
      </c>
      <c r="B250" s="16">
        <v>176220</v>
      </c>
    </row>
    <row r="251" spans="1:2" x14ac:dyDescent="0.2">
      <c r="A251" s="9" t="s">
        <v>257</v>
      </c>
      <c r="B251" s="16">
        <v>9831510</v>
      </c>
    </row>
    <row r="252" spans="1:2" x14ac:dyDescent="0.2">
      <c r="A252" s="9" t="s">
        <v>415</v>
      </c>
      <c r="B252" s="16">
        <v>447400</v>
      </c>
    </row>
    <row r="253" spans="1:2" x14ac:dyDescent="0.2">
      <c r="A253" s="9" t="s">
        <v>259</v>
      </c>
      <c r="B253" s="16">
        <v>390</v>
      </c>
    </row>
    <row r="254" spans="1:2" x14ac:dyDescent="0.2">
      <c r="A254" s="9" t="s">
        <v>261</v>
      </c>
      <c r="B254" s="16">
        <v>912050</v>
      </c>
    </row>
    <row r="255" spans="1:2" x14ac:dyDescent="0.2">
      <c r="A255" s="9" t="s">
        <v>2255</v>
      </c>
      <c r="B255" s="16">
        <v>150</v>
      </c>
    </row>
    <row r="256" spans="1:2" x14ac:dyDescent="0.2">
      <c r="A256" s="9" t="s">
        <v>519</v>
      </c>
      <c r="B256" s="16">
        <v>350</v>
      </c>
    </row>
    <row r="257" spans="1:2" x14ac:dyDescent="0.2">
      <c r="A257" s="9" t="s">
        <v>490</v>
      </c>
      <c r="B257" s="16">
        <v>331230</v>
      </c>
    </row>
    <row r="258" spans="1:2" x14ac:dyDescent="0.2">
      <c r="A258" s="9" t="s">
        <v>492</v>
      </c>
      <c r="B258" s="16">
        <v>12190</v>
      </c>
    </row>
    <row r="259" spans="1:2" x14ac:dyDescent="0.2">
      <c r="A259" s="9" t="s">
        <v>2256</v>
      </c>
      <c r="B259" s="16">
        <v>132025199.41187859</v>
      </c>
    </row>
    <row r="260" spans="1:2" x14ac:dyDescent="0.2">
      <c r="A260" s="9" t="s">
        <v>494</v>
      </c>
      <c r="B260" s="16">
        <v>2840</v>
      </c>
    </row>
    <row r="261" spans="1:2" x14ac:dyDescent="0.2">
      <c r="A261" s="9" t="s">
        <v>2257</v>
      </c>
    </row>
    <row r="262" spans="1:2" x14ac:dyDescent="0.2">
      <c r="A262" s="9" t="s">
        <v>307</v>
      </c>
      <c r="B262" s="16">
        <v>527970</v>
      </c>
    </row>
    <row r="263" spans="1:2" x14ac:dyDescent="0.2">
      <c r="A263" s="9" t="s">
        <v>183</v>
      </c>
      <c r="B263" s="16">
        <v>1219090</v>
      </c>
    </row>
    <row r="264" spans="1:2" x14ac:dyDescent="0.2">
      <c r="A264" s="9" t="s">
        <v>185</v>
      </c>
      <c r="B264" s="16">
        <v>752610</v>
      </c>
    </row>
    <row r="265" spans="1:2" x14ac:dyDescent="0.2">
      <c r="A265" s="9" t="s">
        <v>187</v>
      </c>
      <c r="B265" s="16">
        <v>390760</v>
      </c>
    </row>
  </sheetData>
  <pageMargins left="0.7" right="0.7" top="0.75" bottom="0.75" header="0.3" footer="0.3"/>
  <pageSetup paperSize="9" orientation="portrait" horizontalDpi="0" verticalDpi="0" r:id="rId1"/>
  <headerFooter alignWithMargins="0"/>
  <tableParts count="1">
    <tablePart r:id="rId2"/>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2A92E-6AF8-4880-B623-6B5582CC9511}">
  <sheetPr codeName="Sheet28">
    <tabColor rgb="FF7030A0"/>
  </sheetPr>
  <dimension ref="A1:B265"/>
  <sheetViews>
    <sheetView workbookViewId="0"/>
  </sheetViews>
  <sheetFormatPr defaultRowHeight="12.75" x14ac:dyDescent="0.2"/>
  <cols>
    <col min="1" max="1" width="25.7109375" style="150" customWidth="1"/>
    <col min="2" max="2" width="30.5703125" style="150" customWidth="1"/>
    <col min="3" max="256" width="9.140625" style="150"/>
    <col min="257" max="257" width="25.7109375" style="150" bestFit="1" customWidth="1"/>
    <col min="258" max="258" width="11.42578125" style="150" bestFit="1" customWidth="1"/>
    <col min="259" max="512" width="9.140625" style="150"/>
    <col min="513" max="513" width="25.7109375" style="150" bestFit="1" customWidth="1"/>
    <col min="514" max="514" width="11.42578125" style="150" bestFit="1" customWidth="1"/>
    <col min="515" max="768" width="9.140625" style="150"/>
    <col min="769" max="769" width="25.7109375" style="150" bestFit="1" customWidth="1"/>
    <col min="770" max="770" width="11.42578125" style="150" bestFit="1" customWidth="1"/>
    <col min="771" max="1024" width="9.140625" style="150"/>
    <col min="1025" max="1025" width="25.7109375" style="150" bestFit="1" customWidth="1"/>
    <col min="1026" max="1026" width="11.42578125" style="150" bestFit="1" customWidth="1"/>
    <col min="1027" max="1280" width="9.140625" style="150"/>
    <col min="1281" max="1281" width="25.7109375" style="150" bestFit="1" customWidth="1"/>
    <col min="1282" max="1282" width="11.42578125" style="150" bestFit="1" customWidth="1"/>
    <col min="1283" max="1536" width="9.140625" style="150"/>
    <col min="1537" max="1537" width="25.7109375" style="150" bestFit="1" customWidth="1"/>
    <col min="1538" max="1538" width="11.42578125" style="150" bestFit="1" customWidth="1"/>
    <col min="1539" max="1792" width="9.140625" style="150"/>
    <col min="1793" max="1793" width="25.7109375" style="150" bestFit="1" customWidth="1"/>
    <col min="1794" max="1794" width="11.42578125" style="150" bestFit="1" customWidth="1"/>
    <col min="1795" max="2048" width="9.140625" style="150"/>
    <col min="2049" max="2049" width="25.7109375" style="150" bestFit="1" customWidth="1"/>
    <col min="2050" max="2050" width="11.42578125" style="150" bestFit="1" customWidth="1"/>
    <col min="2051" max="2304" width="9.140625" style="150"/>
    <col min="2305" max="2305" width="25.7109375" style="150" bestFit="1" customWidth="1"/>
    <col min="2306" max="2306" width="11.42578125" style="150" bestFit="1" customWidth="1"/>
    <col min="2307" max="2560" width="9.140625" style="150"/>
    <col min="2561" max="2561" width="25.7109375" style="150" bestFit="1" customWidth="1"/>
    <col min="2562" max="2562" width="11.42578125" style="150" bestFit="1" customWidth="1"/>
    <col min="2563" max="2816" width="9.140625" style="150"/>
    <col min="2817" max="2817" width="25.7109375" style="150" bestFit="1" customWidth="1"/>
    <col min="2818" max="2818" width="11.42578125" style="150" bestFit="1" customWidth="1"/>
    <col min="2819" max="3072" width="9.140625" style="150"/>
    <col min="3073" max="3073" width="25.7109375" style="150" bestFit="1" customWidth="1"/>
    <col min="3074" max="3074" width="11.42578125" style="150" bestFit="1" customWidth="1"/>
    <col min="3075" max="3328" width="9.140625" style="150"/>
    <col min="3329" max="3329" width="25.7109375" style="150" bestFit="1" customWidth="1"/>
    <col min="3330" max="3330" width="11.42578125" style="150" bestFit="1" customWidth="1"/>
    <col min="3331" max="3584" width="9.140625" style="150"/>
    <col min="3585" max="3585" width="25.7109375" style="150" bestFit="1" customWidth="1"/>
    <col min="3586" max="3586" width="11.42578125" style="150" bestFit="1" customWidth="1"/>
    <col min="3587" max="3840" width="9.140625" style="150"/>
    <col min="3841" max="3841" width="25.7109375" style="150" bestFit="1" customWidth="1"/>
    <col min="3842" max="3842" width="11.42578125" style="150" bestFit="1" customWidth="1"/>
    <col min="3843" max="4096" width="9.140625" style="150"/>
    <col min="4097" max="4097" width="25.7109375" style="150" bestFit="1" customWidth="1"/>
    <col min="4098" max="4098" width="11.42578125" style="150" bestFit="1" customWidth="1"/>
    <col min="4099" max="4352" width="9.140625" style="150"/>
    <col min="4353" max="4353" width="25.7109375" style="150" bestFit="1" customWidth="1"/>
    <col min="4354" max="4354" width="11.42578125" style="150" bestFit="1" customWidth="1"/>
    <col min="4355" max="4608" width="9.140625" style="150"/>
    <col min="4609" max="4609" width="25.7109375" style="150" bestFit="1" customWidth="1"/>
    <col min="4610" max="4610" width="11.42578125" style="150" bestFit="1" customWidth="1"/>
    <col min="4611" max="4864" width="9.140625" style="150"/>
    <col min="4865" max="4865" width="25.7109375" style="150" bestFit="1" customWidth="1"/>
    <col min="4866" max="4866" width="11.42578125" style="150" bestFit="1" customWidth="1"/>
    <col min="4867" max="5120" width="9.140625" style="150"/>
    <col min="5121" max="5121" width="25.7109375" style="150" bestFit="1" customWidth="1"/>
    <col min="5122" max="5122" width="11.42578125" style="150" bestFit="1" customWidth="1"/>
    <col min="5123" max="5376" width="9.140625" style="150"/>
    <col min="5377" max="5377" width="25.7109375" style="150" bestFit="1" customWidth="1"/>
    <col min="5378" max="5378" width="11.42578125" style="150" bestFit="1" customWidth="1"/>
    <col min="5379" max="5632" width="9.140625" style="150"/>
    <col min="5633" max="5633" width="25.7109375" style="150" bestFit="1" customWidth="1"/>
    <col min="5634" max="5634" width="11.42578125" style="150" bestFit="1" customWidth="1"/>
    <col min="5635" max="5888" width="9.140625" style="150"/>
    <col min="5889" max="5889" width="25.7109375" style="150" bestFit="1" customWidth="1"/>
    <col min="5890" max="5890" width="11.42578125" style="150" bestFit="1" customWidth="1"/>
    <col min="5891" max="6144" width="9.140625" style="150"/>
    <col min="6145" max="6145" width="25.7109375" style="150" bestFit="1" customWidth="1"/>
    <col min="6146" max="6146" width="11.42578125" style="150" bestFit="1" customWidth="1"/>
    <col min="6147" max="6400" width="9.140625" style="150"/>
    <col min="6401" max="6401" width="25.7109375" style="150" bestFit="1" customWidth="1"/>
    <col min="6402" max="6402" width="11.42578125" style="150" bestFit="1" customWidth="1"/>
    <col min="6403" max="6656" width="9.140625" style="150"/>
    <col min="6657" max="6657" width="25.7109375" style="150" bestFit="1" customWidth="1"/>
    <col min="6658" max="6658" width="11.42578125" style="150" bestFit="1" customWidth="1"/>
    <col min="6659" max="6912" width="9.140625" style="150"/>
    <col min="6913" max="6913" width="25.7109375" style="150" bestFit="1" customWidth="1"/>
    <col min="6914" max="6914" width="11.42578125" style="150" bestFit="1" customWidth="1"/>
    <col min="6915" max="7168" width="9.140625" style="150"/>
    <col min="7169" max="7169" width="25.7109375" style="150" bestFit="1" customWidth="1"/>
    <col min="7170" max="7170" width="11.42578125" style="150" bestFit="1" customWidth="1"/>
    <col min="7171" max="7424" width="9.140625" style="150"/>
    <col min="7425" max="7425" width="25.7109375" style="150" bestFit="1" customWidth="1"/>
    <col min="7426" max="7426" width="11.42578125" style="150" bestFit="1" customWidth="1"/>
    <col min="7427" max="7680" width="9.140625" style="150"/>
    <col min="7681" max="7681" width="25.7109375" style="150" bestFit="1" customWidth="1"/>
    <col min="7682" max="7682" width="11.42578125" style="150" bestFit="1" customWidth="1"/>
    <col min="7683" max="7936" width="9.140625" style="150"/>
    <col min="7937" max="7937" width="25.7109375" style="150" bestFit="1" customWidth="1"/>
    <col min="7938" max="7938" width="11.42578125" style="150" bestFit="1" customWidth="1"/>
    <col min="7939" max="8192" width="9.140625" style="150"/>
    <col min="8193" max="8193" width="25.7109375" style="150" bestFit="1" customWidth="1"/>
    <col min="8194" max="8194" width="11.42578125" style="150" bestFit="1" customWidth="1"/>
    <col min="8195" max="8448" width="9.140625" style="150"/>
    <col min="8449" max="8449" width="25.7109375" style="150" bestFit="1" customWidth="1"/>
    <col min="8450" max="8450" width="11.42578125" style="150" bestFit="1" customWidth="1"/>
    <col min="8451" max="8704" width="9.140625" style="150"/>
    <col min="8705" max="8705" width="25.7109375" style="150" bestFit="1" customWidth="1"/>
    <col min="8706" max="8706" width="11.42578125" style="150" bestFit="1" customWidth="1"/>
    <col min="8707" max="8960" width="9.140625" style="150"/>
    <col min="8961" max="8961" width="25.7109375" style="150" bestFit="1" customWidth="1"/>
    <col min="8962" max="8962" width="11.42578125" style="150" bestFit="1" customWidth="1"/>
    <col min="8963" max="9216" width="9.140625" style="150"/>
    <col min="9217" max="9217" width="25.7109375" style="150" bestFit="1" customWidth="1"/>
    <col min="9218" max="9218" width="11.42578125" style="150" bestFit="1" customWidth="1"/>
    <col min="9219" max="9472" width="9.140625" style="150"/>
    <col min="9473" max="9473" width="25.7109375" style="150" bestFit="1" customWidth="1"/>
    <col min="9474" max="9474" width="11.42578125" style="150" bestFit="1" customWidth="1"/>
    <col min="9475" max="9728" width="9.140625" style="150"/>
    <col min="9729" max="9729" width="25.7109375" style="150" bestFit="1" customWidth="1"/>
    <col min="9730" max="9730" width="11.42578125" style="150" bestFit="1" customWidth="1"/>
    <col min="9731" max="9984" width="9.140625" style="150"/>
    <col min="9985" max="9985" width="25.7109375" style="150" bestFit="1" customWidth="1"/>
    <col min="9986" max="9986" width="11.42578125" style="150" bestFit="1" customWidth="1"/>
    <col min="9987" max="10240" width="9.140625" style="150"/>
    <col min="10241" max="10241" width="25.7109375" style="150" bestFit="1" customWidth="1"/>
    <col min="10242" max="10242" width="11.42578125" style="150" bestFit="1" customWidth="1"/>
    <col min="10243" max="10496" width="9.140625" style="150"/>
    <col min="10497" max="10497" width="25.7109375" style="150" bestFit="1" customWidth="1"/>
    <col min="10498" max="10498" width="11.42578125" style="150" bestFit="1" customWidth="1"/>
    <col min="10499" max="10752" width="9.140625" style="150"/>
    <col min="10753" max="10753" width="25.7109375" style="150" bestFit="1" customWidth="1"/>
    <col min="10754" max="10754" width="11.42578125" style="150" bestFit="1" customWidth="1"/>
    <col min="10755" max="11008" width="9.140625" style="150"/>
    <col min="11009" max="11009" width="25.7109375" style="150" bestFit="1" customWidth="1"/>
    <col min="11010" max="11010" width="11.42578125" style="150" bestFit="1" customWidth="1"/>
    <col min="11011" max="11264" width="9.140625" style="150"/>
    <col min="11265" max="11265" width="25.7109375" style="150" bestFit="1" customWidth="1"/>
    <col min="11266" max="11266" width="11.42578125" style="150" bestFit="1" customWidth="1"/>
    <col min="11267" max="11520" width="9.140625" style="150"/>
    <col min="11521" max="11521" width="25.7109375" style="150" bestFit="1" customWidth="1"/>
    <col min="11522" max="11522" width="11.42578125" style="150" bestFit="1" customWidth="1"/>
    <col min="11523" max="11776" width="9.140625" style="150"/>
    <col min="11777" max="11777" width="25.7109375" style="150" bestFit="1" customWidth="1"/>
    <col min="11778" max="11778" width="11.42578125" style="150" bestFit="1" customWidth="1"/>
    <col min="11779" max="12032" width="9.140625" style="150"/>
    <col min="12033" max="12033" width="25.7109375" style="150" bestFit="1" customWidth="1"/>
    <col min="12034" max="12034" width="11.42578125" style="150" bestFit="1" customWidth="1"/>
    <col min="12035" max="12288" width="9.140625" style="150"/>
    <col min="12289" max="12289" width="25.7109375" style="150" bestFit="1" customWidth="1"/>
    <col min="12290" max="12290" width="11.42578125" style="150" bestFit="1" customWidth="1"/>
    <col min="12291" max="12544" width="9.140625" style="150"/>
    <col min="12545" max="12545" width="25.7109375" style="150" bestFit="1" customWidth="1"/>
    <col min="12546" max="12546" width="11.42578125" style="150" bestFit="1" customWidth="1"/>
    <col min="12547" max="12800" width="9.140625" style="150"/>
    <col min="12801" max="12801" width="25.7109375" style="150" bestFit="1" customWidth="1"/>
    <col min="12802" max="12802" width="11.42578125" style="150" bestFit="1" customWidth="1"/>
    <col min="12803" max="13056" width="9.140625" style="150"/>
    <col min="13057" max="13057" width="25.7109375" style="150" bestFit="1" customWidth="1"/>
    <col min="13058" max="13058" width="11.42578125" style="150" bestFit="1" customWidth="1"/>
    <col min="13059" max="13312" width="9.140625" style="150"/>
    <col min="13313" max="13313" width="25.7109375" style="150" bestFit="1" customWidth="1"/>
    <col min="13314" max="13314" width="11.42578125" style="150" bestFit="1" customWidth="1"/>
    <col min="13315" max="13568" width="9.140625" style="150"/>
    <col min="13569" max="13569" width="25.7109375" style="150" bestFit="1" customWidth="1"/>
    <col min="13570" max="13570" width="11.42578125" style="150" bestFit="1" customWidth="1"/>
    <col min="13571" max="13824" width="9.140625" style="150"/>
    <col min="13825" max="13825" width="25.7109375" style="150" bestFit="1" customWidth="1"/>
    <col min="13826" max="13826" width="11.42578125" style="150" bestFit="1" customWidth="1"/>
    <col min="13827" max="14080" width="9.140625" style="150"/>
    <col min="14081" max="14081" width="25.7109375" style="150" bestFit="1" customWidth="1"/>
    <col min="14082" max="14082" width="11.42578125" style="150" bestFit="1" customWidth="1"/>
    <col min="14083" max="14336" width="9.140625" style="150"/>
    <col min="14337" max="14337" width="25.7109375" style="150" bestFit="1" customWidth="1"/>
    <col min="14338" max="14338" width="11.42578125" style="150" bestFit="1" customWidth="1"/>
    <col min="14339" max="14592" width="9.140625" style="150"/>
    <col min="14593" max="14593" width="25.7109375" style="150" bestFit="1" customWidth="1"/>
    <col min="14594" max="14594" width="11.42578125" style="150" bestFit="1" customWidth="1"/>
    <col min="14595" max="14848" width="9.140625" style="150"/>
    <col min="14849" max="14849" width="25.7109375" style="150" bestFit="1" customWidth="1"/>
    <col min="14850" max="14850" width="11.42578125" style="150" bestFit="1" customWidth="1"/>
    <col min="14851" max="15104" width="9.140625" style="150"/>
    <col min="15105" max="15105" width="25.7109375" style="150" bestFit="1" customWidth="1"/>
    <col min="15106" max="15106" width="11.42578125" style="150" bestFit="1" customWidth="1"/>
    <col min="15107" max="15360" width="9.140625" style="150"/>
    <col min="15361" max="15361" width="25.7109375" style="150" bestFit="1" customWidth="1"/>
    <col min="15362" max="15362" width="11.42578125" style="150" bestFit="1" customWidth="1"/>
    <col min="15363" max="15616" width="9.140625" style="150"/>
    <col min="15617" max="15617" width="25.7109375" style="150" bestFit="1" customWidth="1"/>
    <col min="15618" max="15618" width="11.42578125" style="150" bestFit="1" customWidth="1"/>
    <col min="15619" max="15872" width="9.140625" style="150"/>
    <col min="15873" max="15873" width="25.7109375" style="150" bestFit="1" customWidth="1"/>
    <col min="15874" max="15874" width="11.42578125" style="150" bestFit="1" customWidth="1"/>
    <col min="15875" max="16128" width="9.140625" style="150"/>
    <col min="16129" max="16129" width="25.7109375" style="150" bestFit="1" customWidth="1"/>
    <col min="16130" max="16130" width="11.42578125" style="150" bestFit="1" customWidth="1"/>
    <col min="16131" max="16384" width="9.140625" style="150"/>
  </cols>
  <sheetData>
    <row r="1" spans="1:2" x14ac:dyDescent="0.2">
      <c r="A1" s="150" t="s">
        <v>2197</v>
      </c>
      <c r="B1" s="150" t="s">
        <v>2648</v>
      </c>
    </row>
    <row r="2" spans="1:2" x14ac:dyDescent="0.2">
      <c r="A2" s="150" t="s">
        <v>503</v>
      </c>
    </row>
    <row r="3" spans="1:2" x14ac:dyDescent="0.2">
      <c r="A3" s="150" t="s">
        <v>263</v>
      </c>
      <c r="B3" s="150">
        <v>41.991582759814897</v>
      </c>
    </row>
    <row r="4" spans="1:2" x14ac:dyDescent="0.2">
      <c r="A4" s="150" t="s">
        <v>85</v>
      </c>
      <c r="B4" s="150">
        <v>38.197262478915441</v>
      </c>
    </row>
    <row r="5" spans="1:2" x14ac:dyDescent="0.2">
      <c r="A5" s="150" t="s">
        <v>309</v>
      </c>
      <c r="B5" s="150">
        <v>27.730941929842935</v>
      </c>
    </row>
    <row r="6" spans="1:2" x14ac:dyDescent="0.2">
      <c r="A6" s="150" t="s">
        <v>313</v>
      </c>
    </row>
    <row r="7" spans="1:2" x14ac:dyDescent="0.2">
      <c r="A7" s="150" t="s">
        <v>2198</v>
      </c>
      <c r="B7" s="150">
        <v>28.961782190614301</v>
      </c>
    </row>
    <row r="8" spans="1:2" x14ac:dyDescent="0.2">
      <c r="A8" s="150" t="s">
        <v>267</v>
      </c>
      <c r="B8" s="150">
        <v>33.409959074236198</v>
      </c>
    </row>
    <row r="9" spans="1:2" x14ac:dyDescent="0.2">
      <c r="A9" s="150" t="s">
        <v>189</v>
      </c>
      <c r="B9" s="150">
        <v>36.42338958960169</v>
      </c>
    </row>
    <row r="10" spans="1:2" x14ac:dyDescent="0.2">
      <c r="A10" s="150" t="s">
        <v>315</v>
      </c>
      <c r="B10" s="150">
        <v>57.936420500489881</v>
      </c>
    </row>
    <row r="11" spans="1:2" x14ac:dyDescent="0.2">
      <c r="A11" s="150" t="s">
        <v>2199</v>
      </c>
    </row>
    <row r="12" spans="1:2" x14ac:dyDescent="0.2">
      <c r="A12" s="150" t="s">
        <v>193</v>
      </c>
    </row>
    <row r="13" spans="1:2" x14ac:dyDescent="0.2">
      <c r="A13" s="150" t="s">
        <v>441</v>
      </c>
      <c r="B13" s="150">
        <v>22.295456172639327</v>
      </c>
    </row>
    <row r="14" spans="1:2" x14ac:dyDescent="0.2">
      <c r="A14" s="150" t="s">
        <v>317</v>
      </c>
      <c r="B14" s="150">
        <v>36.873019026585474</v>
      </c>
    </row>
    <row r="15" spans="1:2" x14ac:dyDescent="0.2">
      <c r="A15" s="150" t="s">
        <v>319</v>
      </c>
      <c r="B15" s="150">
        <v>41.187144608465033</v>
      </c>
    </row>
    <row r="16" spans="1:2" x14ac:dyDescent="0.2">
      <c r="A16" s="150" t="s">
        <v>91</v>
      </c>
      <c r="B16" s="150">
        <v>61.928253536096115</v>
      </c>
    </row>
    <row r="17" spans="1:2" x14ac:dyDescent="0.2">
      <c r="A17" s="150" t="s">
        <v>321</v>
      </c>
      <c r="B17" s="150">
        <v>18.343271680586394</v>
      </c>
    </row>
    <row r="18" spans="1:2" x14ac:dyDescent="0.2">
      <c r="A18" s="150" t="s">
        <v>95</v>
      </c>
      <c r="B18" s="150">
        <v>17.54557112427452</v>
      </c>
    </row>
    <row r="19" spans="1:2" x14ac:dyDescent="0.2">
      <c r="A19" s="150" t="s">
        <v>97</v>
      </c>
      <c r="B19" s="150">
        <v>43.541825985346541</v>
      </c>
    </row>
    <row r="20" spans="1:2" x14ac:dyDescent="0.2">
      <c r="A20" s="150" t="s">
        <v>417</v>
      </c>
      <c r="B20" s="150">
        <v>33.258585127486221</v>
      </c>
    </row>
    <row r="21" spans="1:2" x14ac:dyDescent="0.2">
      <c r="A21" s="150" t="s">
        <v>323</v>
      </c>
      <c r="B21" s="150">
        <v>24.294719186183787</v>
      </c>
    </row>
    <row r="22" spans="1:2" x14ac:dyDescent="0.2">
      <c r="A22" s="150" t="s">
        <v>269</v>
      </c>
      <c r="B22" s="150">
        <v>40.926270645194052</v>
      </c>
    </row>
    <row r="23" spans="1:2" x14ac:dyDescent="0.2">
      <c r="A23" s="150" t="s">
        <v>195</v>
      </c>
    </row>
    <row r="24" spans="1:2" x14ac:dyDescent="0.2">
      <c r="A24" s="150" t="s">
        <v>325</v>
      </c>
      <c r="B24" s="150">
        <v>21.352788285661596</v>
      </c>
    </row>
    <row r="25" spans="1:2" x14ac:dyDescent="0.2">
      <c r="A25" s="150" t="s">
        <v>327</v>
      </c>
      <c r="B25" s="150">
        <v>26.950178418176069</v>
      </c>
    </row>
    <row r="26" spans="1:2" x14ac:dyDescent="0.2">
      <c r="A26" s="150" t="s">
        <v>198</v>
      </c>
    </row>
    <row r="27" spans="1:2" x14ac:dyDescent="0.2">
      <c r="A27" s="150" t="s">
        <v>2200</v>
      </c>
    </row>
    <row r="28" spans="1:2" x14ac:dyDescent="0.2">
      <c r="A28" s="150" t="s">
        <v>200</v>
      </c>
      <c r="B28" s="150">
        <v>22.847591227972988</v>
      </c>
    </row>
    <row r="29" spans="1:2" x14ac:dyDescent="0.2">
      <c r="A29" s="150" t="s">
        <v>202</v>
      </c>
      <c r="B29" s="150">
        <v>11.92223933423517</v>
      </c>
    </row>
    <row r="30" spans="1:2" x14ac:dyDescent="0.2">
      <c r="A30" s="150" t="s">
        <v>204</v>
      </c>
    </row>
    <row r="31" spans="1:2" x14ac:dyDescent="0.2">
      <c r="A31" s="150" t="s">
        <v>444</v>
      </c>
    </row>
    <row r="32" spans="1:2" x14ac:dyDescent="0.2">
      <c r="A32" s="150" t="s">
        <v>420</v>
      </c>
    </row>
    <row r="33" spans="1:2" x14ac:dyDescent="0.2">
      <c r="A33" s="150" t="s">
        <v>99</v>
      </c>
    </row>
    <row r="34" spans="1:2" x14ac:dyDescent="0.2">
      <c r="A34" s="150" t="s">
        <v>102</v>
      </c>
      <c r="B34" s="150">
        <v>43.873406711387723</v>
      </c>
    </row>
    <row r="35" spans="1:2" x14ac:dyDescent="0.2">
      <c r="A35" s="150" t="s">
        <v>206</v>
      </c>
      <c r="B35" s="150">
        <v>20.044754421717666</v>
      </c>
    </row>
    <row r="36" spans="1:2" x14ac:dyDescent="0.2">
      <c r="A36" s="150" t="s">
        <v>2201</v>
      </c>
      <c r="B36" s="150">
        <v>16.977568352678784</v>
      </c>
    </row>
    <row r="37" spans="1:2" x14ac:dyDescent="0.2">
      <c r="A37" s="150" t="s">
        <v>329</v>
      </c>
      <c r="B37" s="150">
        <v>21.841416909911963</v>
      </c>
    </row>
    <row r="38" spans="1:2" x14ac:dyDescent="0.2">
      <c r="A38" s="150" t="s">
        <v>504</v>
      </c>
    </row>
    <row r="39" spans="1:2" x14ac:dyDescent="0.2">
      <c r="A39" s="150" t="s">
        <v>209</v>
      </c>
      <c r="B39" s="150">
        <v>40.478394666870557</v>
      </c>
    </row>
    <row r="40" spans="1:2" x14ac:dyDescent="0.2">
      <c r="A40" s="150" t="s">
        <v>446</v>
      </c>
      <c r="B40" s="150">
        <v>3.122083720242844</v>
      </c>
    </row>
    <row r="41" spans="1:2" x14ac:dyDescent="0.2">
      <c r="A41" s="150" t="s">
        <v>104</v>
      </c>
      <c r="B41" s="150">
        <v>38.389530162633093</v>
      </c>
    </row>
    <row r="42" spans="1:2" x14ac:dyDescent="0.2">
      <c r="A42" s="150" t="s">
        <v>106</v>
      </c>
      <c r="B42" s="150">
        <v>25.930117487953535</v>
      </c>
    </row>
    <row r="43" spans="1:2" x14ac:dyDescent="0.2">
      <c r="A43" s="150" t="s">
        <v>109</v>
      </c>
      <c r="B43" s="150">
        <v>35.15293339706416</v>
      </c>
    </row>
    <row r="44" spans="1:2" x14ac:dyDescent="0.2">
      <c r="A44" s="150" t="s">
        <v>111</v>
      </c>
      <c r="B44" s="150">
        <v>63.670886425140893</v>
      </c>
    </row>
    <row r="45" spans="1:2" x14ac:dyDescent="0.2">
      <c r="A45" s="150" t="s">
        <v>211</v>
      </c>
      <c r="B45" s="150">
        <v>26.402371628671421</v>
      </c>
    </row>
    <row r="46" spans="1:2" x14ac:dyDescent="0.2">
      <c r="A46" s="150" t="s">
        <v>113</v>
      </c>
    </row>
    <row r="47" spans="1:2" x14ac:dyDescent="0.2">
      <c r="A47" s="150" t="s">
        <v>115</v>
      </c>
    </row>
    <row r="48" spans="1:2" x14ac:dyDescent="0.2">
      <c r="A48" s="150" t="s">
        <v>213</v>
      </c>
      <c r="B48" s="150">
        <v>34.106512184290253</v>
      </c>
    </row>
    <row r="49" spans="1:2" x14ac:dyDescent="0.2">
      <c r="A49" s="150" t="s">
        <v>2202</v>
      </c>
    </row>
    <row r="50" spans="1:2" x14ac:dyDescent="0.2">
      <c r="A50" s="150" t="s">
        <v>215</v>
      </c>
      <c r="B50" s="150">
        <v>24.469458361725732</v>
      </c>
    </row>
    <row r="51" spans="1:2" x14ac:dyDescent="0.2">
      <c r="A51" s="150" t="s">
        <v>505</v>
      </c>
    </row>
    <row r="52" spans="1:2" x14ac:dyDescent="0.2">
      <c r="A52" s="150" t="s">
        <v>2203</v>
      </c>
    </row>
    <row r="53" spans="1:2" x14ac:dyDescent="0.2">
      <c r="A53" s="150" t="s">
        <v>331</v>
      </c>
    </row>
    <row r="54" spans="1:2" x14ac:dyDescent="0.2">
      <c r="A54" s="150" t="s">
        <v>333</v>
      </c>
      <c r="B54" s="150">
        <v>16.467329922217843</v>
      </c>
    </row>
    <row r="55" spans="1:2" x14ac:dyDescent="0.2">
      <c r="A55" s="150" t="s">
        <v>335</v>
      </c>
      <c r="B55" s="150">
        <v>5.5294226561171902</v>
      </c>
    </row>
    <row r="56" spans="1:2" x14ac:dyDescent="0.2">
      <c r="A56" s="150" t="s">
        <v>271</v>
      </c>
      <c r="B56" s="150">
        <v>74.98579524856008</v>
      </c>
    </row>
    <row r="57" spans="1:2" x14ac:dyDescent="0.2">
      <c r="A57" s="150" t="s">
        <v>217</v>
      </c>
    </row>
    <row r="58" spans="1:2" x14ac:dyDescent="0.2">
      <c r="A58" s="150" t="s">
        <v>337</v>
      </c>
      <c r="B58" s="150">
        <v>26.052611944816949</v>
      </c>
    </row>
    <row r="59" spans="1:2" x14ac:dyDescent="0.2">
      <c r="A59" s="150" t="s">
        <v>219</v>
      </c>
      <c r="B59" s="150">
        <v>36.927797803123198</v>
      </c>
    </row>
    <row r="60" spans="1:2" x14ac:dyDescent="0.2">
      <c r="A60" s="150" t="s">
        <v>117</v>
      </c>
      <c r="B60" s="150">
        <v>8.6617465511058356</v>
      </c>
    </row>
    <row r="61" spans="1:2" x14ac:dyDescent="0.2">
      <c r="A61" s="150" t="s">
        <v>2204</v>
      </c>
      <c r="B61" s="150">
        <v>7.6141949015023602</v>
      </c>
    </row>
    <row r="62" spans="1:2" x14ac:dyDescent="0.2">
      <c r="A62" s="150" t="s">
        <v>2205</v>
      </c>
      <c r="B62" s="150">
        <v>17.548114102438397</v>
      </c>
    </row>
    <row r="63" spans="1:2" x14ac:dyDescent="0.2">
      <c r="A63" s="150" t="s">
        <v>2206</v>
      </c>
      <c r="B63" s="150">
        <v>11.585331509441071</v>
      </c>
    </row>
    <row r="64" spans="1:2" x14ac:dyDescent="0.2">
      <c r="A64" s="150" t="s">
        <v>2207</v>
      </c>
      <c r="B64" s="150">
        <v>18.048053558121172</v>
      </c>
    </row>
    <row r="65" spans="1:2" x14ac:dyDescent="0.2">
      <c r="A65" s="150" t="s">
        <v>2208</v>
      </c>
      <c r="B65" s="150">
        <v>16.846062548419919</v>
      </c>
    </row>
    <row r="66" spans="1:2" x14ac:dyDescent="0.2">
      <c r="A66" s="150" t="s">
        <v>221</v>
      </c>
      <c r="B66" s="150">
        <v>26.502065224147682</v>
      </c>
    </row>
    <row r="67" spans="1:2" x14ac:dyDescent="0.2">
      <c r="A67" s="150" t="s">
        <v>273</v>
      </c>
      <c r="B67" s="150">
        <v>47.755149778682423</v>
      </c>
    </row>
    <row r="68" spans="1:2" x14ac:dyDescent="0.2">
      <c r="A68" s="150" t="s">
        <v>2209</v>
      </c>
      <c r="B68" s="150">
        <v>15.704799888104899</v>
      </c>
    </row>
    <row r="69" spans="1:2" x14ac:dyDescent="0.2">
      <c r="A69" s="150" t="s">
        <v>120</v>
      </c>
    </row>
    <row r="70" spans="1:2" x14ac:dyDescent="0.2">
      <c r="A70" s="150" t="s">
        <v>339</v>
      </c>
      <c r="B70" s="150">
        <v>17.293670126530394</v>
      </c>
    </row>
    <row r="71" spans="1:2" x14ac:dyDescent="0.2">
      <c r="A71" s="150" t="s">
        <v>341</v>
      </c>
      <c r="B71" s="150">
        <v>48.177886168921333</v>
      </c>
    </row>
    <row r="72" spans="1:2" x14ac:dyDescent="0.2">
      <c r="A72" s="150" t="s">
        <v>122</v>
      </c>
      <c r="B72" s="150">
        <v>19.303203074063287</v>
      </c>
    </row>
    <row r="73" spans="1:2" x14ac:dyDescent="0.2">
      <c r="A73" s="150" t="s">
        <v>2210</v>
      </c>
      <c r="B73" s="150">
        <v>15.880066712073607</v>
      </c>
    </row>
    <row r="74" spans="1:2" x14ac:dyDescent="0.2">
      <c r="A74" s="150" t="s">
        <v>2211</v>
      </c>
      <c r="B74" s="150">
        <v>25.265282750786994</v>
      </c>
    </row>
    <row r="75" spans="1:2" x14ac:dyDescent="0.2">
      <c r="A75" s="150" t="s">
        <v>343</v>
      </c>
      <c r="B75" s="150">
        <v>27.395859303846095</v>
      </c>
    </row>
    <row r="76" spans="1:2" x14ac:dyDescent="0.2">
      <c r="A76" s="150" t="s">
        <v>450</v>
      </c>
    </row>
    <row r="77" spans="1:2" x14ac:dyDescent="0.2">
      <c r="A77" s="150" t="s">
        <v>345</v>
      </c>
      <c r="B77" s="150">
        <v>20.246684962154237</v>
      </c>
    </row>
    <row r="78" spans="1:2" x14ac:dyDescent="0.2">
      <c r="A78" s="150" t="s">
        <v>2212</v>
      </c>
    </row>
    <row r="79" spans="1:2" x14ac:dyDescent="0.2">
      <c r="A79" s="150" t="s">
        <v>452</v>
      </c>
    </row>
    <row r="80" spans="1:2" x14ac:dyDescent="0.2">
      <c r="A80" s="150" t="s">
        <v>124</v>
      </c>
      <c r="B80" s="150">
        <v>42.256374590063878</v>
      </c>
    </row>
    <row r="81" spans="1:2" x14ac:dyDescent="0.2">
      <c r="A81" s="150" t="s">
        <v>347</v>
      </c>
      <c r="B81" s="150">
        <v>16.413533185295726</v>
      </c>
    </row>
    <row r="82" spans="1:2" x14ac:dyDescent="0.2">
      <c r="A82" s="150" t="s">
        <v>349</v>
      </c>
      <c r="B82" s="150">
        <v>49.048840051063614</v>
      </c>
    </row>
    <row r="83" spans="1:2" x14ac:dyDescent="0.2">
      <c r="A83" s="150" t="s">
        <v>126</v>
      </c>
      <c r="B83" s="150">
        <v>18.584126410642579</v>
      </c>
    </row>
    <row r="84" spans="1:2" x14ac:dyDescent="0.2">
      <c r="A84" s="150" t="s">
        <v>2213</v>
      </c>
    </row>
    <row r="85" spans="1:2" x14ac:dyDescent="0.2">
      <c r="A85" s="150" t="s">
        <v>128</v>
      </c>
      <c r="B85" s="150">
        <v>40.528391581688744</v>
      </c>
    </row>
    <row r="86" spans="1:2" x14ac:dyDescent="0.2">
      <c r="A86" s="150" t="s">
        <v>130</v>
      </c>
      <c r="B86" s="150">
        <v>30.497992376671128</v>
      </c>
    </row>
    <row r="87" spans="1:2" x14ac:dyDescent="0.2">
      <c r="A87" s="150" t="s">
        <v>132</v>
      </c>
      <c r="B87" s="150">
        <v>68.832662244536351</v>
      </c>
    </row>
    <row r="88" spans="1:2" x14ac:dyDescent="0.2">
      <c r="A88" s="150" t="s">
        <v>134</v>
      </c>
      <c r="B88" s="150">
        <v>40.150099714463266</v>
      </c>
    </row>
    <row r="89" spans="1:2" x14ac:dyDescent="0.2">
      <c r="A89" s="150" t="s">
        <v>351</v>
      </c>
      <c r="B89" s="150">
        <v>37.075070696660376</v>
      </c>
    </row>
    <row r="90" spans="1:2" x14ac:dyDescent="0.2">
      <c r="A90" s="150" t="s">
        <v>223</v>
      </c>
    </row>
    <row r="91" spans="1:2" x14ac:dyDescent="0.2">
      <c r="A91" s="150" t="s">
        <v>2214</v>
      </c>
    </row>
    <row r="92" spans="1:2" x14ac:dyDescent="0.2">
      <c r="A92" s="150" t="s">
        <v>225</v>
      </c>
      <c r="B92" s="150">
        <v>33.851406372479858</v>
      </c>
    </row>
    <row r="93" spans="1:2" x14ac:dyDescent="0.2">
      <c r="A93" s="150" t="s">
        <v>509</v>
      </c>
    </row>
    <row r="94" spans="1:2" x14ac:dyDescent="0.2">
      <c r="A94" s="150" t="s">
        <v>227</v>
      </c>
    </row>
    <row r="95" spans="1:2" x14ac:dyDescent="0.2">
      <c r="A95" s="150" t="s">
        <v>2215</v>
      </c>
      <c r="B95" s="150">
        <v>19.397413859325443</v>
      </c>
    </row>
    <row r="96" spans="1:2" x14ac:dyDescent="0.2">
      <c r="A96" s="150" t="s">
        <v>510</v>
      </c>
      <c r="B96" s="150">
        <v>99.778565149052937</v>
      </c>
    </row>
    <row r="97" spans="1:2" x14ac:dyDescent="0.2">
      <c r="A97" s="150" t="s">
        <v>229</v>
      </c>
      <c r="B97" s="150">
        <v>24.938748937381821</v>
      </c>
    </row>
    <row r="98" spans="1:2" x14ac:dyDescent="0.2">
      <c r="A98" s="150" t="s">
        <v>2216</v>
      </c>
      <c r="B98" s="150">
        <v>32.079365177958543</v>
      </c>
    </row>
    <row r="99" spans="1:2" x14ac:dyDescent="0.2">
      <c r="A99" s="150" t="s">
        <v>353</v>
      </c>
      <c r="B99" s="150">
        <v>29.430387086300069</v>
      </c>
    </row>
    <row r="100" spans="1:2" x14ac:dyDescent="0.2">
      <c r="A100" s="150" t="s">
        <v>231</v>
      </c>
      <c r="B100" s="150">
        <v>42.727274738234541</v>
      </c>
    </row>
    <row r="101" spans="1:2" x14ac:dyDescent="0.2">
      <c r="A101" s="150" t="s">
        <v>355</v>
      </c>
      <c r="B101" s="150">
        <v>25.200261958499809</v>
      </c>
    </row>
    <row r="102" spans="1:2" x14ac:dyDescent="0.2">
      <c r="A102" s="150" t="s">
        <v>2217</v>
      </c>
      <c r="B102" s="150">
        <v>12.499283531210901</v>
      </c>
    </row>
    <row r="103" spans="1:2" x14ac:dyDescent="0.2">
      <c r="A103" s="150" t="s">
        <v>2218</v>
      </c>
      <c r="B103" s="150">
        <v>15.232040773891988</v>
      </c>
    </row>
    <row r="104" spans="1:2" x14ac:dyDescent="0.2">
      <c r="A104" s="150" t="s">
        <v>94</v>
      </c>
      <c r="B104" s="150">
        <v>27.015096644831853</v>
      </c>
    </row>
    <row r="105" spans="1:2" x14ac:dyDescent="0.2">
      <c r="A105" s="150" t="s">
        <v>2219</v>
      </c>
      <c r="B105" s="150">
        <v>18.759281961185682</v>
      </c>
    </row>
    <row r="106" spans="1:2" x14ac:dyDescent="0.2">
      <c r="A106" s="150" t="s">
        <v>422</v>
      </c>
      <c r="B106" s="150">
        <v>7.0217862716191073</v>
      </c>
    </row>
    <row r="107" spans="1:2" x14ac:dyDescent="0.2">
      <c r="A107" s="150" t="s">
        <v>2220</v>
      </c>
      <c r="B107" s="150">
        <v>32.166441571477328</v>
      </c>
    </row>
    <row r="108" spans="1:2" x14ac:dyDescent="0.2">
      <c r="A108" s="150" t="s">
        <v>2221</v>
      </c>
    </row>
    <row r="109" spans="1:2" x14ac:dyDescent="0.2">
      <c r="A109" s="150" t="s">
        <v>425</v>
      </c>
      <c r="B109" s="150">
        <v>6.241438046584431</v>
      </c>
    </row>
    <row r="110" spans="1:2" x14ac:dyDescent="0.2">
      <c r="A110" s="150" t="s">
        <v>2222</v>
      </c>
    </row>
    <row r="111" spans="1:2" x14ac:dyDescent="0.2">
      <c r="A111" s="150" t="s">
        <v>357</v>
      </c>
      <c r="B111" s="150">
        <v>38.768538611474881</v>
      </c>
    </row>
    <row r="112" spans="1:2" x14ac:dyDescent="0.2">
      <c r="A112" s="150" t="s">
        <v>275</v>
      </c>
      <c r="B112" s="150">
        <v>14.419640636770437</v>
      </c>
    </row>
    <row r="113" spans="1:2" x14ac:dyDescent="0.2">
      <c r="A113" s="150" t="s">
        <v>277</v>
      </c>
      <c r="B113" s="150">
        <v>25.102928485848082</v>
      </c>
    </row>
    <row r="114" spans="1:2" x14ac:dyDescent="0.2">
      <c r="A114" s="150" t="s">
        <v>359</v>
      </c>
    </row>
    <row r="115" spans="1:2" x14ac:dyDescent="0.2">
      <c r="A115" s="150" t="s">
        <v>361</v>
      </c>
      <c r="B115" s="150">
        <v>48.922506980505922</v>
      </c>
    </row>
    <row r="116" spans="1:2" x14ac:dyDescent="0.2">
      <c r="A116" s="150" t="s">
        <v>363</v>
      </c>
      <c r="B116" s="150">
        <v>9.9269023144208646</v>
      </c>
    </row>
    <row r="117" spans="1:2" x14ac:dyDescent="0.2">
      <c r="A117" s="150" t="s">
        <v>233</v>
      </c>
      <c r="B117" s="150">
        <v>35.735559441025472</v>
      </c>
    </row>
    <row r="118" spans="1:2" x14ac:dyDescent="0.2">
      <c r="A118" s="150" t="s">
        <v>279</v>
      </c>
      <c r="B118" s="150">
        <v>22.886117601905472</v>
      </c>
    </row>
    <row r="119" spans="1:2" x14ac:dyDescent="0.2">
      <c r="A119" s="150" t="s">
        <v>454</v>
      </c>
      <c r="B119" s="150">
        <v>32.332362972975105</v>
      </c>
    </row>
    <row r="120" spans="1:2" x14ac:dyDescent="0.2">
      <c r="A120" s="150" t="s">
        <v>365</v>
      </c>
      <c r="B120" s="150">
        <v>17.486378141569702</v>
      </c>
    </row>
    <row r="121" spans="1:2" x14ac:dyDescent="0.2">
      <c r="A121" s="150" t="s">
        <v>136</v>
      </c>
      <c r="B121" s="150">
        <v>31.506923579210849</v>
      </c>
    </row>
    <row r="122" spans="1:2" x14ac:dyDescent="0.2">
      <c r="A122" s="150" t="s">
        <v>367</v>
      </c>
      <c r="B122" s="150">
        <v>43.052021379437612</v>
      </c>
    </row>
    <row r="123" spans="1:2" x14ac:dyDescent="0.2">
      <c r="A123" s="150" t="s">
        <v>456</v>
      </c>
      <c r="B123" s="150">
        <v>51.317439314522339</v>
      </c>
    </row>
    <row r="124" spans="1:2" x14ac:dyDescent="0.2">
      <c r="A124" s="150" t="s">
        <v>458</v>
      </c>
    </row>
    <row r="125" spans="1:2" x14ac:dyDescent="0.2">
      <c r="A125" s="150" t="s">
        <v>235</v>
      </c>
    </row>
    <row r="126" spans="1:2" x14ac:dyDescent="0.2">
      <c r="A126" s="150" t="s">
        <v>460</v>
      </c>
      <c r="B126" s="150">
        <v>23.65986530558223</v>
      </c>
    </row>
    <row r="127" spans="1:2" x14ac:dyDescent="0.2">
      <c r="A127" s="150" t="s">
        <v>281</v>
      </c>
      <c r="B127" s="150">
        <v>72.556044175976567</v>
      </c>
    </row>
    <row r="128" spans="1:2" x14ac:dyDescent="0.2">
      <c r="A128" s="150" t="s">
        <v>2223</v>
      </c>
      <c r="B128" s="150">
        <v>21.728895753346247</v>
      </c>
    </row>
    <row r="129" spans="1:2" x14ac:dyDescent="0.2">
      <c r="A129" s="150" t="s">
        <v>462</v>
      </c>
      <c r="B129" s="150">
        <v>26.337206208286901</v>
      </c>
    </row>
    <row r="130" spans="1:2" x14ac:dyDescent="0.2">
      <c r="A130" s="150" t="s">
        <v>283</v>
      </c>
      <c r="B130" s="150">
        <v>39.554270719083704</v>
      </c>
    </row>
    <row r="131" spans="1:2" x14ac:dyDescent="0.2">
      <c r="A131" s="150" t="s">
        <v>138</v>
      </c>
      <c r="B131" s="150">
        <v>57.565964246166068</v>
      </c>
    </row>
    <row r="132" spans="1:2" x14ac:dyDescent="0.2">
      <c r="A132" s="150" t="s">
        <v>285</v>
      </c>
      <c r="B132" s="150">
        <v>21.306732724038866</v>
      </c>
    </row>
    <row r="133" spans="1:2" x14ac:dyDescent="0.2">
      <c r="A133" s="150" t="s">
        <v>237</v>
      </c>
    </row>
    <row r="134" spans="1:2" x14ac:dyDescent="0.2">
      <c r="A134" s="150" t="s">
        <v>2224</v>
      </c>
      <c r="B134" s="150">
        <v>23.17258202089689</v>
      </c>
    </row>
    <row r="135" spans="1:2" x14ac:dyDescent="0.2">
      <c r="A135" s="150" t="s">
        <v>2225</v>
      </c>
      <c r="B135" s="150">
        <v>33.228418552994292</v>
      </c>
    </row>
    <row r="136" spans="1:2" x14ac:dyDescent="0.2">
      <c r="A136" s="150" t="s">
        <v>2226</v>
      </c>
      <c r="B136" s="150">
        <v>31.508954939002418</v>
      </c>
    </row>
    <row r="137" spans="1:2" x14ac:dyDescent="0.2">
      <c r="A137" s="150" t="s">
        <v>2227</v>
      </c>
    </row>
    <row r="138" spans="1:2" x14ac:dyDescent="0.2">
      <c r="A138" s="150" t="s">
        <v>427</v>
      </c>
      <c r="B138" s="150">
        <v>14.959151923650227</v>
      </c>
    </row>
    <row r="139" spans="1:2" x14ac:dyDescent="0.2">
      <c r="A139" s="150" t="s">
        <v>2228</v>
      </c>
      <c r="B139" s="150">
        <v>17.250442436698378</v>
      </c>
    </row>
    <row r="140" spans="1:2" x14ac:dyDescent="0.2">
      <c r="A140" s="150" t="s">
        <v>2229</v>
      </c>
      <c r="B140" s="150">
        <v>15.093811389688701</v>
      </c>
    </row>
    <row r="141" spans="1:2" x14ac:dyDescent="0.2">
      <c r="A141" s="150" t="s">
        <v>140</v>
      </c>
    </row>
    <row r="142" spans="1:2" x14ac:dyDescent="0.2">
      <c r="A142" s="150" t="s">
        <v>2230</v>
      </c>
      <c r="B142" s="150">
        <v>10.325027034417955</v>
      </c>
    </row>
    <row r="143" spans="1:2" x14ac:dyDescent="0.2">
      <c r="A143" s="150" t="s">
        <v>369</v>
      </c>
      <c r="B143" s="150">
        <v>28.427250367924493</v>
      </c>
    </row>
    <row r="144" spans="1:2" x14ac:dyDescent="0.2">
      <c r="A144" s="150" t="s">
        <v>371</v>
      </c>
    </row>
    <row r="145" spans="1:2" x14ac:dyDescent="0.2">
      <c r="A145" s="150" t="s">
        <v>373</v>
      </c>
      <c r="B145" s="150">
        <v>48.570703854497857</v>
      </c>
    </row>
    <row r="146" spans="1:2" x14ac:dyDescent="0.2">
      <c r="A146" s="150" t="s">
        <v>511</v>
      </c>
      <c r="B146" s="150">
        <v>100</v>
      </c>
    </row>
    <row r="147" spans="1:2" x14ac:dyDescent="0.2">
      <c r="A147" s="150" t="s">
        <v>2231</v>
      </c>
    </row>
    <row r="148" spans="1:2" x14ac:dyDescent="0.2">
      <c r="A148" s="150" t="s">
        <v>287</v>
      </c>
      <c r="B148" s="150">
        <v>16.174488768804878</v>
      </c>
    </row>
    <row r="149" spans="1:2" x14ac:dyDescent="0.2">
      <c r="A149" s="150" t="s">
        <v>375</v>
      </c>
    </row>
    <row r="150" spans="1:2" x14ac:dyDescent="0.2">
      <c r="A150" s="150" t="s">
        <v>377</v>
      </c>
      <c r="B150" s="150">
        <v>44.415773816338501</v>
      </c>
    </row>
    <row r="151" spans="1:2" x14ac:dyDescent="0.2">
      <c r="A151" s="150" t="s">
        <v>142</v>
      </c>
      <c r="B151" s="150">
        <v>31.440931111604918</v>
      </c>
    </row>
    <row r="152" spans="1:2" x14ac:dyDescent="0.2">
      <c r="A152" s="150" t="s">
        <v>429</v>
      </c>
    </row>
    <row r="153" spans="1:2" x14ac:dyDescent="0.2">
      <c r="A153" s="150" t="s">
        <v>2232</v>
      </c>
      <c r="B153" s="150">
        <v>25.805792208140428</v>
      </c>
    </row>
    <row r="154" spans="1:2" x14ac:dyDescent="0.2">
      <c r="A154" s="150" t="s">
        <v>239</v>
      </c>
      <c r="B154" s="150">
        <v>21.117189214570036</v>
      </c>
    </row>
    <row r="155" spans="1:2" x14ac:dyDescent="0.2">
      <c r="A155" s="150" t="s">
        <v>464</v>
      </c>
    </row>
    <row r="156" spans="1:2" x14ac:dyDescent="0.2">
      <c r="A156" s="150" t="s">
        <v>2233</v>
      </c>
      <c r="B156" s="150">
        <v>13.900202217853566</v>
      </c>
    </row>
    <row r="157" spans="1:2" x14ac:dyDescent="0.2">
      <c r="A157" s="150" t="s">
        <v>379</v>
      </c>
      <c r="B157" s="150">
        <v>48.629632072826823</v>
      </c>
    </row>
    <row r="158" spans="1:2" x14ac:dyDescent="0.2">
      <c r="A158" s="150" t="s">
        <v>144</v>
      </c>
      <c r="B158" s="150">
        <v>29.828078580249652</v>
      </c>
    </row>
    <row r="159" spans="1:2" x14ac:dyDescent="0.2">
      <c r="A159" s="150" t="s">
        <v>381</v>
      </c>
    </row>
    <row r="160" spans="1:2" x14ac:dyDescent="0.2">
      <c r="A160" s="150" t="s">
        <v>431</v>
      </c>
      <c r="B160" s="150">
        <v>31.449920544403824</v>
      </c>
    </row>
    <row r="161" spans="1:2" x14ac:dyDescent="0.2">
      <c r="A161" s="150" t="s">
        <v>2234</v>
      </c>
      <c r="B161" s="150">
        <v>23.814101604241255</v>
      </c>
    </row>
    <row r="162" spans="1:2" x14ac:dyDescent="0.2">
      <c r="A162" s="150" t="s">
        <v>383</v>
      </c>
    </row>
    <row r="163" spans="1:2" x14ac:dyDescent="0.2">
      <c r="A163" s="150" t="s">
        <v>466</v>
      </c>
      <c r="B163" s="150">
        <v>70.235942217272395</v>
      </c>
    </row>
    <row r="164" spans="1:2" x14ac:dyDescent="0.2">
      <c r="A164" s="150" t="s">
        <v>2235</v>
      </c>
    </row>
    <row r="165" spans="1:2" x14ac:dyDescent="0.2">
      <c r="A165" s="150" t="s">
        <v>146</v>
      </c>
      <c r="B165" s="150">
        <v>15.044392832163703</v>
      </c>
    </row>
    <row r="166" spans="1:2" x14ac:dyDescent="0.2">
      <c r="A166" s="150" t="s">
        <v>148</v>
      </c>
      <c r="B166" s="150">
        <v>51.036252731754757</v>
      </c>
    </row>
    <row r="167" spans="1:2" x14ac:dyDescent="0.2">
      <c r="A167" s="150" t="s">
        <v>150</v>
      </c>
    </row>
    <row r="168" spans="1:2" x14ac:dyDescent="0.2">
      <c r="A168" s="150" t="s">
        <v>153</v>
      </c>
      <c r="B168" s="150">
        <v>33.591556405602347</v>
      </c>
    </row>
    <row r="169" spans="1:2" x14ac:dyDescent="0.2">
      <c r="A169" s="150" t="s">
        <v>468</v>
      </c>
      <c r="B169" s="150">
        <v>31.787773261110601</v>
      </c>
    </row>
    <row r="170" spans="1:2" x14ac:dyDescent="0.2">
      <c r="A170" s="150" t="s">
        <v>2236</v>
      </c>
      <c r="B170" s="150">
        <v>8.2790670072316335</v>
      </c>
    </row>
    <row r="171" spans="1:2" x14ac:dyDescent="0.2">
      <c r="A171" s="150" t="s">
        <v>155</v>
      </c>
      <c r="B171" s="150">
        <v>32.780473399735165</v>
      </c>
    </row>
    <row r="172" spans="1:2" x14ac:dyDescent="0.2">
      <c r="A172" s="150" t="s">
        <v>514</v>
      </c>
    </row>
    <row r="173" spans="1:2" x14ac:dyDescent="0.2">
      <c r="A173" s="150" t="s">
        <v>157</v>
      </c>
      <c r="B173" s="150">
        <v>32.504828931043356</v>
      </c>
    </row>
    <row r="174" spans="1:2" x14ac:dyDescent="0.2">
      <c r="A174" s="150" t="s">
        <v>159</v>
      </c>
      <c r="B174" s="150">
        <v>13.524008124431433</v>
      </c>
    </row>
    <row r="175" spans="1:2" x14ac:dyDescent="0.2">
      <c r="A175" s="150" t="s">
        <v>241</v>
      </c>
      <c r="B175" s="150">
        <v>27.44239219767783</v>
      </c>
    </row>
    <row r="176" spans="1:2" x14ac:dyDescent="0.2">
      <c r="A176" s="150" t="s">
        <v>385</v>
      </c>
      <c r="B176" s="150">
        <v>7.160806315762108</v>
      </c>
    </row>
    <row r="177" spans="1:2" x14ac:dyDescent="0.2">
      <c r="A177" s="150" t="s">
        <v>387</v>
      </c>
      <c r="B177" s="150">
        <v>23.239188288128833</v>
      </c>
    </row>
    <row r="178" spans="1:2" x14ac:dyDescent="0.2">
      <c r="A178" s="150" t="s">
        <v>433</v>
      </c>
      <c r="B178" s="150">
        <v>23.867919472213487</v>
      </c>
    </row>
    <row r="179" spans="1:2" x14ac:dyDescent="0.2">
      <c r="A179" s="150" t="s">
        <v>472</v>
      </c>
    </row>
    <row r="180" spans="1:2" x14ac:dyDescent="0.2">
      <c r="A180" s="150" t="s">
        <v>474</v>
      </c>
      <c r="B180" s="150">
        <v>37.146748190830408</v>
      </c>
    </row>
    <row r="181" spans="1:2" x14ac:dyDescent="0.2">
      <c r="A181" s="150" t="s">
        <v>2237</v>
      </c>
      <c r="B181" s="150">
        <v>18.003870051467089</v>
      </c>
    </row>
    <row r="182" spans="1:2" x14ac:dyDescent="0.2">
      <c r="A182" s="150" t="s">
        <v>289</v>
      </c>
      <c r="B182" s="150">
        <v>35.326129787565897</v>
      </c>
    </row>
    <row r="183" spans="1:2" x14ac:dyDescent="0.2">
      <c r="A183" s="150" t="s">
        <v>2238</v>
      </c>
    </row>
    <row r="184" spans="1:2" x14ac:dyDescent="0.2">
      <c r="A184" s="150" t="s">
        <v>291</v>
      </c>
      <c r="B184" s="150">
        <v>19.694541178320492</v>
      </c>
    </row>
    <row r="185" spans="1:2" x14ac:dyDescent="0.2">
      <c r="A185" s="150" t="s">
        <v>243</v>
      </c>
      <c r="B185" s="150">
        <v>63.032527774279224</v>
      </c>
    </row>
    <row r="186" spans="1:2" x14ac:dyDescent="0.2">
      <c r="A186" s="150" t="s">
        <v>245</v>
      </c>
      <c r="B186" s="150">
        <v>41.569795503715021</v>
      </c>
    </row>
    <row r="187" spans="1:2" x14ac:dyDescent="0.2">
      <c r="A187" s="150" t="s">
        <v>476</v>
      </c>
      <c r="B187" s="150">
        <v>26.873264020452957</v>
      </c>
    </row>
    <row r="188" spans="1:2" x14ac:dyDescent="0.2">
      <c r="A188" s="150" t="s">
        <v>478</v>
      </c>
    </row>
    <row r="189" spans="1:2" x14ac:dyDescent="0.2">
      <c r="A189" s="150" t="s">
        <v>480</v>
      </c>
      <c r="B189" s="150">
        <v>32.20726260154072</v>
      </c>
    </row>
    <row r="190" spans="1:2" x14ac:dyDescent="0.2">
      <c r="A190" s="150" t="s">
        <v>389</v>
      </c>
      <c r="B190" s="150">
        <v>7.790350427217704</v>
      </c>
    </row>
    <row r="191" spans="1:2" x14ac:dyDescent="0.2">
      <c r="A191" s="150" t="s">
        <v>2239</v>
      </c>
      <c r="B191" s="150">
        <v>28.405000625695898</v>
      </c>
    </row>
    <row r="192" spans="1:2" x14ac:dyDescent="0.2">
      <c r="A192" s="150" t="s">
        <v>515</v>
      </c>
      <c r="B192" s="150">
        <v>82.026085725729459</v>
      </c>
    </row>
    <row r="193" spans="1:2" x14ac:dyDescent="0.2">
      <c r="A193" s="150" t="s">
        <v>435</v>
      </c>
      <c r="B193" s="150">
        <v>19.193484184142228</v>
      </c>
    </row>
    <row r="194" spans="1:2" x14ac:dyDescent="0.2">
      <c r="A194" s="150" t="s">
        <v>391</v>
      </c>
      <c r="B194" s="150">
        <v>43.563523873786032</v>
      </c>
    </row>
    <row r="195" spans="1:2" x14ac:dyDescent="0.2">
      <c r="A195" s="150" t="s">
        <v>247</v>
      </c>
      <c r="B195" s="150">
        <v>75.224757120080753</v>
      </c>
    </row>
    <row r="196" spans="1:2" x14ac:dyDescent="0.2">
      <c r="A196" s="150" t="s">
        <v>293</v>
      </c>
      <c r="B196" s="150">
        <v>19.358734232634397</v>
      </c>
    </row>
    <row r="197" spans="1:2" x14ac:dyDescent="0.2">
      <c r="A197" s="150" t="s">
        <v>2240</v>
      </c>
    </row>
    <row r="198" spans="1:2" x14ac:dyDescent="0.2">
      <c r="A198" s="150" t="s">
        <v>2241</v>
      </c>
      <c r="B198" s="150">
        <v>17.472137263148383</v>
      </c>
    </row>
    <row r="199" spans="1:2" x14ac:dyDescent="0.2">
      <c r="A199" s="150" t="s">
        <v>516</v>
      </c>
    </row>
    <row r="200" spans="1:2" x14ac:dyDescent="0.2">
      <c r="A200" s="150" t="s">
        <v>295</v>
      </c>
      <c r="B200" s="150">
        <v>25.48874699144308</v>
      </c>
    </row>
    <row r="201" spans="1:2" x14ac:dyDescent="0.2">
      <c r="A201" s="150" t="s">
        <v>393</v>
      </c>
      <c r="B201" s="150">
        <v>17.311355759923806</v>
      </c>
    </row>
    <row r="202" spans="1:2" x14ac:dyDescent="0.2">
      <c r="A202" s="150" t="s">
        <v>395</v>
      </c>
      <c r="B202" s="150">
        <v>11.585921641444431</v>
      </c>
    </row>
    <row r="203" spans="1:2" x14ac:dyDescent="0.2">
      <c r="A203" s="150" t="s">
        <v>161</v>
      </c>
      <c r="B203" s="150">
        <v>50.079776625448744</v>
      </c>
    </row>
    <row r="204" spans="1:2" x14ac:dyDescent="0.2">
      <c r="A204" s="150" t="s">
        <v>2242</v>
      </c>
      <c r="B204" s="150">
        <v>11.324373925145393</v>
      </c>
    </row>
    <row r="205" spans="1:2" x14ac:dyDescent="0.2">
      <c r="A205" s="150" t="s">
        <v>297</v>
      </c>
      <c r="B205" s="150">
        <v>24.544240355697642</v>
      </c>
    </row>
    <row r="206" spans="1:2" x14ac:dyDescent="0.2">
      <c r="A206" s="150" t="s">
        <v>299</v>
      </c>
      <c r="B206" s="150">
        <v>37.961038649327719</v>
      </c>
    </row>
    <row r="207" spans="1:2" x14ac:dyDescent="0.2">
      <c r="A207" s="150" t="s">
        <v>163</v>
      </c>
      <c r="B207" s="150">
        <v>39.366221178087351</v>
      </c>
    </row>
    <row r="208" spans="1:2" x14ac:dyDescent="0.2">
      <c r="A208" s="150" t="s">
        <v>482</v>
      </c>
      <c r="B208" s="150">
        <v>100</v>
      </c>
    </row>
    <row r="209" spans="1:2" x14ac:dyDescent="0.2">
      <c r="A209" s="150" t="s">
        <v>484</v>
      </c>
    </row>
    <row r="210" spans="1:2" x14ac:dyDescent="0.2">
      <c r="A210" s="150" t="s">
        <v>165</v>
      </c>
      <c r="B210" s="150">
        <v>35.200215944852118</v>
      </c>
    </row>
    <row r="211" spans="1:2" x14ac:dyDescent="0.2">
      <c r="A211" s="150" t="s">
        <v>249</v>
      </c>
      <c r="B211" s="150">
        <v>23.551271198896117</v>
      </c>
    </row>
    <row r="212" spans="1:2" x14ac:dyDescent="0.2">
      <c r="A212" s="150" t="s">
        <v>397</v>
      </c>
    </row>
    <row r="213" spans="1:2" x14ac:dyDescent="0.2">
      <c r="A213" s="150" t="s">
        <v>301</v>
      </c>
      <c r="B213" s="150">
        <v>30.986468673652546</v>
      </c>
    </row>
    <row r="214" spans="1:2" x14ac:dyDescent="0.2">
      <c r="A214" s="150" t="s">
        <v>399</v>
      </c>
      <c r="B214" s="150">
        <v>35.670087578376872</v>
      </c>
    </row>
    <row r="215" spans="1:2" x14ac:dyDescent="0.2">
      <c r="A215" s="150" t="s">
        <v>2243</v>
      </c>
      <c r="B215" s="150">
        <v>26.434384375266987</v>
      </c>
    </row>
    <row r="216" spans="1:2" x14ac:dyDescent="0.2">
      <c r="A216" s="150" t="s">
        <v>167</v>
      </c>
      <c r="B216" s="150">
        <v>17.524815445769448</v>
      </c>
    </row>
    <row r="217" spans="1:2" x14ac:dyDescent="0.2">
      <c r="A217" s="150" t="s">
        <v>2244</v>
      </c>
      <c r="B217" s="150">
        <v>26.434384375266987</v>
      </c>
    </row>
    <row r="218" spans="1:2" x14ac:dyDescent="0.2">
      <c r="A218" s="150" t="s">
        <v>2245</v>
      </c>
    </row>
    <row r="219" spans="1:2" x14ac:dyDescent="0.2">
      <c r="A219" s="150" t="s">
        <v>169</v>
      </c>
    </row>
    <row r="220" spans="1:2" x14ac:dyDescent="0.2">
      <c r="A220" s="150" t="s">
        <v>251</v>
      </c>
    </row>
    <row r="221" spans="1:2" x14ac:dyDescent="0.2">
      <c r="A221" s="150" t="s">
        <v>401</v>
      </c>
      <c r="B221" s="150">
        <v>14.759254563937784</v>
      </c>
    </row>
    <row r="222" spans="1:2" x14ac:dyDescent="0.2">
      <c r="A222" s="150" t="s">
        <v>403</v>
      </c>
    </row>
    <row r="223" spans="1:2" x14ac:dyDescent="0.2">
      <c r="A223" s="150" t="s">
        <v>405</v>
      </c>
      <c r="B223" s="150">
        <v>17.82515894565724</v>
      </c>
    </row>
    <row r="224" spans="1:2" x14ac:dyDescent="0.2">
      <c r="A224" s="150" t="s">
        <v>171</v>
      </c>
    </row>
    <row r="225" spans="1:2" x14ac:dyDescent="0.2">
      <c r="A225" s="150" t="s">
        <v>2246</v>
      </c>
    </row>
    <row r="226" spans="1:2" x14ac:dyDescent="0.2">
      <c r="A226" s="150" t="s">
        <v>173</v>
      </c>
    </row>
    <row r="227" spans="1:2" x14ac:dyDescent="0.2">
      <c r="A227" s="150" t="s">
        <v>303</v>
      </c>
      <c r="B227" s="150">
        <v>25.151017539075308</v>
      </c>
    </row>
    <row r="228" spans="1:2" x14ac:dyDescent="0.2">
      <c r="A228" s="150" t="s">
        <v>2247</v>
      </c>
    </row>
    <row r="229" spans="1:2" x14ac:dyDescent="0.2">
      <c r="A229" s="150" t="s">
        <v>175</v>
      </c>
      <c r="B229" s="150">
        <v>36.945666442096261</v>
      </c>
    </row>
    <row r="230" spans="1:2" x14ac:dyDescent="0.2">
      <c r="A230" s="150" t="s">
        <v>2248</v>
      </c>
      <c r="B230" s="150">
        <v>7.4559671261883516</v>
      </c>
    </row>
    <row r="231" spans="1:2" x14ac:dyDescent="0.2">
      <c r="A231" s="150" t="s">
        <v>2249</v>
      </c>
      <c r="B231" s="150">
        <v>17.342575384415344</v>
      </c>
    </row>
    <row r="232" spans="1:2" x14ac:dyDescent="0.2">
      <c r="A232" s="150" t="s">
        <v>177</v>
      </c>
      <c r="B232" s="150">
        <v>52.284019565177921</v>
      </c>
    </row>
    <row r="233" spans="1:2" x14ac:dyDescent="0.2">
      <c r="A233" s="150" t="s">
        <v>437</v>
      </c>
      <c r="B233" s="150">
        <v>29.32517722257796</v>
      </c>
    </row>
    <row r="234" spans="1:2" x14ac:dyDescent="0.2">
      <c r="A234" s="150" t="s">
        <v>407</v>
      </c>
      <c r="B234" s="150">
        <v>35.114283099002662</v>
      </c>
    </row>
    <row r="235" spans="1:2" x14ac:dyDescent="0.2">
      <c r="A235" s="150" t="s">
        <v>409</v>
      </c>
      <c r="B235" s="150">
        <v>26.77449560874539</v>
      </c>
    </row>
    <row r="236" spans="1:2" x14ac:dyDescent="0.2">
      <c r="A236" s="150" t="s">
        <v>2250</v>
      </c>
      <c r="B236" s="150">
        <v>22.804879872924417</v>
      </c>
    </row>
    <row r="237" spans="1:2" x14ac:dyDescent="0.2">
      <c r="A237" s="150" t="s">
        <v>439</v>
      </c>
    </row>
    <row r="238" spans="1:2" x14ac:dyDescent="0.2">
      <c r="A238" s="150" t="s">
        <v>2251</v>
      </c>
      <c r="B238" s="150">
        <v>23.881285947237686</v>
      </c>
    </row>
    <row r="239" spans="1:2" x14ac:dyDescent="0.2">
      <c r="A239" s="150" t="s">
        <v>486</v>
      </c>
    </row>
    <row r="240" spans="1:2" x14ac:dyDescent="0.2">
      <c r="A240" s="150" t="s">
        <v>2252</v>
      </c>
      <c r="B240" s="150">
        <v>11.324373925145393</v>
      </c>
    </row>
    <row r="241" spans="1:2" x14ac:dyDescent="0.2">
      <c r="A241" s="150" t="s">
        <v>2253</v>
      </c>
      <c r="B241" s="150">
        <v>26.434384375266987</v>
      </c>
    </row>
    <row r="242" spans="1:2" x14ac:dyDescent="0.2">
      <c r="A242" s="150" t="s">
        <v>253</v>
      </c>
      <c r="B242" s="150">
        <v>73.355805829011359</v>
      </c>
    </row>
    <row r="243" spans="1:2" x14ac:dyDescent="0.2">
      <c r="A243" s="150" t="s">
        <v>305</v>
      </c>
      <c r="B243" s="150">
        <v>28.741875138364804</v>
      </c>
    </row>
    <row r="244" spans="1:2" x14ac:dyDescent="0.2">
      <c r="A244" s="150" t="s">
        <v>411</v>
      </c>
      <c r="B244" s="150">
        <v>23.721370206494306</v>
      </c>
    </row>
    <row r="245" spans="1:2" x14ac:dyDescent="0.2">
      <c r="A245" s="150" t="s">
        <v>488</v>
      </c>
    </row>
    <row r="246" spans="1:2" x14ac:dyDescent="0.2">
      <c r="A246" s="150" t="s">
        <v>179</v>
      </c>
      <c r="B246" s="150">
        <v>31.822449509379052</v>
      </c>
    </row>
    <row r="247" spans="1:2" x14ac:dyDescent="0.2">
      <c r="A247" s="150" t="s">
        <v>181</v>
      </c>
      <c r="B247" s="150">
        <v>29.094397931256253</v>
      </c>
    </row>
    <row r="248" spans="1:2" x14ac:dyDescent="0.2">
      <c r="A248" s="150" t="s">
        <v>413</v>
      </c>
      <c r="B248" s="150">
        <v>9.6425088336735936</v>
      </c>
    </row>
    <row r="249" spans="1:2" x14ac:dyDescent="0.2">
      <c r="A249" s="150" t="s">
        <v>2254</v>
      </c>
      <c r="B249" s="150">
        <v>11.855349038006118</v>
      </c>
    </row>
    <row r="250" spans="1:2" x14ac:dyDescent="0.2">
      <c r="A250" s="150" t="s">
        <v>255</v>
      </c>
      <c r="B250" s="150">
        <v>52.815377154526523</v>
      </c>
    </row>
    <row r="251" spans="1:2" x14ac:dyDescent="0.2">
      <c r="A251" s="150" t="s">
        <v>257</v>
      </c>
      <c r="B251" s="150">
        <v>6.9476507888620826</v>
      </c>
    </row>
    <row r="252" spans="1:2" x14ac:dyDescent="0.2">
      <c r="A252" s="150" t="s">
        <v>415</v>
      </c>
      <c r="B252" s="150">
        <v>14.704616494512873</v>
      </c>
    </row>
    <row r="253" spans="1:2" x14ac:dyDescent="0.2">
      <c r="A253" s="150" t="s">
        <v>259</v>
      </c>
    </row>
    <row r="254" spans="1:2" x14ac:dyDescent="0.2">
      <c r="A254" s="150" t="s">
        <v>261</v>
      </c>
      <c r="B254" s="150">
        <v>11.666235069767678</v>
      </c>
    </row>
    <row r="255" spans="1:2" x14ac:dyDescent="0.2">
      <c r="A255" s="150" t="s">
        <v>2255</v>
      </c>
    </row>
    <row r="256" spans="1:2" x14ac:dyDescent="0.2">
      <c r="A256" s="150" t="s">
        <v>519</v>
      </c>
    </row>
    <row r="257" spans="1:2" x14ac:dyDescent="0.2">
      <c r="A257" s="150" t="s">
        <v>490</v>
      </c>
      <c r="B257" s="150">
        <v>23.693520969859172</v>
      </c>
    </row>
    <row r="258" spans="1:2" x14ac:dyDescent="0.2">
      <c r="A258" s="150" t="s">
        <v>492</v>
      </c>
    </row>
    <row r="259" spans="1:2" x14ac:dyDescent="0.2">
      <c r="A259" s="150" t="s">
        <v>2256</v>
      </c>
      <c r="B259" s="150">
        <v>16.099417951236884</v>
      </c>
    </row>
    <row r="260" spans="1:2" x14ac:dyDescent="0.2">
      <c r="A260" s="150" t="s">
        <v>494</v>
      </c>
    </row>
    <row r="261" spans="1:2" x14ac:dyDescent="0.2">
      <c r="A261" s="150" t="s">
        <v>2257</v>
      </c>
    </row>
    <row r="262" spans="1:2" x14ac:dyDescent="0.2">
      <c r="A262" s="150" t="s">
        <v>307</v>
      </c>
      <c r="B262" s="150">
        <v>26.44433430979446</v>
      </c>
    </row>
    <row r="263" spans="1:2" x14ac:dyDescent="0.2">
      <c r="A263" s="150" t="s">
        <v>183</v>
      </c>
      <c r="B263" s="150">
        <v>14.393787316521342</v>
      </c>
    </row>
    <row r="264" spans="1:2" x14ac:dyDescent="0.2">
      <c r="A264" s="150" t="s">
        <v>185</v>
      </c>
      <c r="B264" s="150">
        <v>33.621893989275272</v>
      </c>
    </row>
    <row r="265" spans="1:2" x14ac:dyDescent="0.2">
      <c r="A265" s="150" t="s">
        <v>187</v>
      </c>
      <c r="B265" s="150">
        <v>32.249578943909711</v>
      </c>
    </row>
  </sheetData>
  <pageMargins left="0.7" right="0.7" top="0.75" bottom="0.75" header="0.3" footer="0.3"/>
  <pageSetup paperSize="9" orientation="portrait" horizontalDpi="0" verticalDpi="0" r:id="rId1"/>
  <headerFooter alignWithMargins="0"/>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51FE3-4411-4965-86C4-8A7CAE714A5A}">
  <sheetPr codeName="Sheet10">
    <tabColor rgb="FFC00000"/>
  </sheetPr>
  <dimension ref="A1:XER173"/>
  <sheetViews>
    <sheetView showGridLines="0" workbookViewId="0"/>
  </sheetViews>
  <sheetFormatPr defaultColWidth="9.28515625" defaultRowHeight="12.75" x14ac:dyDescent="0.2"/>
  <cols>
    <col min="1" max="1" width="3.5703125" style="15" customWidth="1"/>
    <col min="2" max="2" width="3.5703125" style="34" customWidth="1"/>
    <col min="3" max="3" width="80.28515625" style="5" customWidth="1"/>
    <col min="4" max="4" width="14.85546875" style="15" customWidth="1"/>
    <col min="5" max="5" width="13.5703125" style="15" customWidth="1"/>
    <col min="6" max="6" width="15.28515625" style="15" customWidth="1"/>
    <col min="7" max="7" width="17.7109375" style="299" customWidth="1"/>
    <col min="8" max="8" width="17.7109375" style="300" customWidth="1"/>
    <col min="9" max="9" width="16.42578125" style="299" customWidth="1"/>
    <col min="10" max="11" width="16.42578125" style="15" customWidth="1"/>
    <col min="12" max="12" width="10.7109375" style="299" customWidth="1"/>
    <col min="13" max="13" width="22.7109375" style="299" customWidth="1"/>
    <col min="14" max="14" width="35.5703125" style="299" customWidth="1"/>
    <col min="15" max="15" width="55.140625" style="15" customWidth="1"/>
    <col min="16" max="16" width="55.140625" style="567" customWidth="1"/>
    <col min="17" max="128" width="3.5703125" style="403" hidden="1" customWidth="1"/>
    <col min="129" max="130" width="9.28515625" style="564" hidden="1" customWidth="1"/>
    <col min="131" max="16384" width="9.28515625" style="15"/>
  </cols>
  <sheetData>
    <row r="1" spans="1:16372" s="194" customFormat="1" ht="45" customHeight="1" x14ac:dyDescent="0.2">
      <c r="A1" s="225" t="str">
        <f ca="1">IF(OFFSET(R1,0,Lang_Order*Lang__A4)="","",OFFSET(R1,0,Lang_Order*Lang__A4))</f>
        <v>NAVIGATION BAR:</v>
      </c>
      <c r="B1" s="224"/>
      <c r="C1" s="224"/>
      <c r="D1" s="224"/>
      <c r="E1" s="224"/>
      <c r="F1" s="224"/>
      <c r="G1" s="224"/>
      <c r="H1" s="371"/>
      <c r="I1" s="224"/>
      <c r="J1" s="224"/>
      <c r="K1" s="224"/>
      <c r="L1" s="224"/>
      <c r="M1" s="224"/>
      <c r="N1" s="224"/>
      <c r="O1" s="224"/>
      <c r="P1" s="224"/>
      <c r="Q1" s="403">
        <v>16</v>
      </c>
      <c r="R1" s="403" t="s">
        <v>2910</v>
      </c>
      <c r="S1" s="403"/>
      <c r="T1" s="403"/>
      <c r="U1" s="403"/>
      <c r="V1" s="403"/>
      <c r="W1" s="403"/>
      <c r="X1" s="403"/>
      <c r="Y1" s="403"/>
      <c r="Z1" s="403"/>
      <c r="AA1" s="403"/>
      <c r="AB1" s="403"/>
      <c r="AC1" s="403"/>
      <c r="AD1" s="403"/>
      <c r="AE1" s="403"/>
      <c r="AF1" s="403"/>
      <c r="AG1" s="403"/>
      <c r="AH1" s="403" t="s">
        <v>4634</v>
      </c>
      <c r="AI1" s="403"/>
      <c r="AJ1" s="403"/>
      <c r="AK1" s="403"/>
      <c r="AL1" s="403"/>
      <c r="AM1" s="403"/>
      <c r="AN1" s="403"/>
      <c r="AO1" s="403"/>
      <c r="AP1" s="403"/>
      <c r="AQ1" s="403"/>
      <c r="AR1" s="403"/>
      <c r="AS1" s="403"/>
      <c r="AT1" s="403"/>
      <c r="AU1" s="403"/>
      <c r="AV1" s="403"/>
      <c r="AW1" s="403"/>
      <c r="AX1" s="403" t="s">
        <v>4635</v>
      </c>
      <c r="AY1" s="403"/>
      <c r="AZ1" s="403"/>
      <c r="BA1" s="403"/>
      <c r="BB1" s="403"/>
      <c r="BC1" s="403"/>
      <c r="BD1" s="403"/>
      <c r="BE1" s="403"/>
      <c r="BF1" s="403"/>
      <c r="BG1" s="403"/>
      <c r="BH1" s="403"/>
      <c r="BI1" s="403"/>
      <c r="BJ1" s="403"/>
      <c r="BK1" s="403"/>
      <c r="BL1" s="403"/>
      <c r="BM1" s="403"/>
      <c r="BN1" s="403" t="s">
        <v>4636</v>
      </c>
      <c r="BO1" s="403"/>
      <c r="BP1" s="403"/>
      <c r="BQ1" s="403"/>
      <c r="BR1" s="403"/>
      <c r="BS1" s="403"/>
      <c r="BT1" s="403"/>
      <c r="BU1" s="403"/>
      <c r="BV1" s="403"/>
      <c r="BW1" s="403"/>
      <c r="BX1" s="403"/>
      <c r="BY1" s="403"/>
      <c r="BZ1" s="403"/>
      <c r="CA1" s="403"/>
      <c r="CB1" s="403"/>
      <c r="CC1" s="403"/>
      <c r="CD1" s="403" t="s">
        <v>4637</v>
      </c>
      <c r="CE1" s="403"/>
      <c r="CF1" s="403"/>
      <c r="CG1" s="403"/>
      <c r="CH1" s="403"/>
      <c r="CI1" s="403"/>
      <c r="CJ1" s="403"/>
      <c r="CK1" s="403"/>
      <c r="CL1" s="403"/>
      <c r="CM1" s="403"/>
      <c r="CN1" s="403"/>
      <c r="CO1" s="403"/>
      <c r="CP1" s="403"/>
      <c r="CQ1" s="403"/>
      <c r="CR1" s="403"/>
      <c r="CS1" s="403"/>
      <c r="CT1" s="403" t="s">
        <v>4638</v>
      </c>
      <c r="CU1" s="403"/>
      <c r="CV1" s="403"/>
      <c r="CW1" s="403"/>
      <c r="CX1" s="403"/>
      <c r="CY1" s="403"/>
      <c r="CZ1" s="403"/>
      <c r="DA1" s="403"/>
      <c r="DB1" s="403"/>
      <c r="DC1" s="403"/>
      <c r="DD1" s="403"/>
      <c r="DE1" s="403"/>
      <c r="DF1" s="403"/>
      <c r="DG1" s="403"/>
      <c r="DH1" s="403"/>
      <c r="DI1" s="403"/>
      <c r="DJ1" s="403" t="s">
        <v>4639</v>
      </c>
      <c r="DK1" s="403"/>
      <c r="DL1" s="403"/>
      <c r="DM1" s="403"/>
      <c r="DN1" s="403"/>
      <c r="DO1" s="403"/>
      <c r="DP1" s="403"/>
      <c r="DQ1" s="403"/>
      <c r="DR1" s="403"/>
      <c r="DS1" s="403"/>
      <c r="DT1" s="403"/>
      <c r="DU1" s="403"/>
      <c r="DV1" s="403"/>
      <c r="DW1" s="403"/>
      <c r="DX1" s="403"/>
      <c r="DY1" s="564"/>
      <c r="DZ1" s="564"/>
      <c r="EA1" s="224"/>
      <c r="EB1" s="224"/>
      <c r="EC1" s="224"/>
      <c r="ED1" s="224"/>
      <c r="EE1" s="224"/>
      <c r="EF1" s="224"/>
      <c r="EG1" s="224"/>
      <c r="EH1" s="224"/>
      <c r="EI1" s="224"/>
      <c r="EJ1" s="224"/>
      <c r="EK1" s="224"/>
      <c r="EL1" s="224"/>
      <c r="EM1" s="224"/>
      <c r="EN1" s="224"/>
      <c r="EO1" s="224"/>
      <c r="EP1" s="224"/>
      <c r="EQ1" s="224"/>
      <c r="ER1" s="224"/>
      <c r="ES1" s="224"/>
      <c r="ET1" s="224"/>
      <c r="EU1" s="224"/>
      <c r="EV1" s="224"/>
      <c r="EW1" s="224"/>
      <c r="EX1" s="224"/>
      <c r="EY1" s="224"/>
      <c r="EZ1" s="224"/>
      <c r="FA1" s="224"/>
      <c r="FB1" s="224"/>
      <c r="FC1" s="224"/>
      <c r="FD1" s="224"/>
      <c r="FE1" s="224"/>
      <c r="FF1" s="224"/>
      <c r="FG1" s="224"/>
      <c r="FH1" s="224"/>
      <c r="FI1" s="224"/>
      <c r="FJ1" s="224"/>
      <c r="FK1" s="224"/>
      <c r="FL1" s="224"/>
      <c r="FM1" s="224"/>
      <c r="FN1" s="224"/>
      <c r="FO1" s="224"/>
      <c r="FP1" s="224"/>
      <c r="FQ1" s="224"/>
      <c r="FR1" s="224"/>
      <c r="FS1" s="224"/>
      <c r="FT1" s="224"/>
      <c r="FU1" s="224"/>
      <c r="FV1" s="224"/>
      <c r="FW1" s="224"/>
      <c r="FX1" s="224"/>
      <c r="FY1" s="224"/>
      <c r="FZ1" s="224"/>
      <c r="GA1" s="224"/>
      <c r="GB1" s="224"/>
      <c r="GC1" s="224"/>
      <c r="GD1" s="224"/>
      <c r="GE1" s="224"/>
      <c r="GF1" s="224"/>
      <c r="GG1" s="224"/>
      <c r="GH1" s="224"/>
      <c r="GI1" s="224"/>
      <c r="GJ1" s="224"/>
      <c r="GK1" s="224"/>
      <c r="GL1" s="224"/>
      <c r="GM1" s="224"/>
      <c r="GN1" s="224"/>
      <c r="GO1" s="224"/>
      <c r="GP1" s="224"/>
      <c r="GQ1" s="224"/>
      <c r="GR1" s="224"/>
      <c r="GS1" s="224"/>
      <c r="GT1" s="224"/>
      <c r="GU1" s="224"/>
      <c r="GV1" s="224"/>
      <c r="GW1" s="224"/>
      <c r="GX1" s="224"/>
      <c r="GY1" s="224"/>
      <c r="GZ1" s="224"/>
      <c r="HA1" s="224"/>
      <c r="HB1" s="224"/>
      <c r="HC1" s="224"/>
      <c r="HD1" s="224"/>
      <c r="HE1" s="224"/>
      <c r="HF1" s="224"/>
      <c r="HG1" s="224"/>
      <c r="HH1" s="224"/>
      <c r="HI1" s="224"/>
      <c r="HJ1" s="224"/>
      <c r="HK1" s="224"/>
      <c r="HL1" s="224"/>
      <c r="HM1" s="224"/>
      <c r="HN1" s="224"/>
      <c r="HO1" s="224"/>
      <c r="HP1" s="224"/>
      <c r="HQ1" s="224"/>
      <c r="HR1" s="224"/>
      <c r="HS1" s="224"/>
      <c r="HT1" s="224"/>
      <c r="HU1" s="224"/>
      <c r="HV1" s="224"/>
      <c r="HW1" s="224"/>
      <c r="HX1" s="224"/>
      <c r="HY1" s="224"/>
      <c r="HZ1" s="224"/>
      <c r="IA1" s="224"/>
      <c r="IB1" s="224"/>
      <c r="IC1" s="224"/>
      <c r="ID1" s="224"/>
      <c r="IE1" s="224"/>
      <c r="IF1" s="224"/>
      <c r="IG1" s="224"/>
      <c r="IH1" s="224"/>
      <c r="II1" s="224"/>
      <c r="IJ1" s="224"/>
      <c r="IK1" s="224"/>
      <c r="IL1" s="224"/>
      <c r="IM1" s="224"/>
      <c r="IN1" s="224"/>
      <c r="IO1" s="224"/>
      <c r="IP1" s="224"/>
      <c r="IQ1" s="224"/>
      <c r="IR1" s="224"/>
      <c r="IS1" s="224"/>
      <c r="IT1" s="224"/>
      <c r="IU1" s="224"/>
      <c r="IV1" s="224"/>
      <c r="IW1" s="224"/>
      <c r="IX1" s="224"/>
      <c r="IY1" s="224"/>
      <c r="IZ1" s="224"/>
      <c r="JA1" s="224"/>
      <c r="JB1" s="224"/>
      <c r="JC1" s="224"/>
      <c r="JD1" s="224"/>
      <c r="JE1" s="224"/>
      <c r="JF1" s="224"/>
      <c r="JG1" s="224"/>
      <c r="JH1" s="224"/>
      <c r="JI1" s="224"/>
      <c r="JJ1" s="224"/>
      <c r="JK1" s="224"/>
      <c r="JL1" s="224"/>
      <c r="JM1" s="224"/>
      <c r="JN1" s="224"/>
      <c r="JO1" s="224"/>
      <c r="JP1" s="224"/>
      <c r="JQ1" s="224"/>
      <c r="JR1" s="224"/>
      <c r="JS1" s="224"/>
      <c r="JT1" s="224"/>
      <c r="JU1" s="224"/>
      <c r="JV1" s="224"/>
      <c r="JW1" s="224"/>
      <c r="JX1" s="224"/>
      <c r="JY1" s="224"/>
      <c r="JZ1" s="224"/>
      <c r="KA1" s="224"/>
      <c r="KB1" s="224"/>
      <c r="KC1" s="224"/>
      <c r="KD1" s="224"/>
      <c r="KE1" s="224"/>
      <c r="KF1" s="224"/>
      <c r="KG1" s="224"/>
      <c r="KH1" s="224"/>
      <c r="KI1" s="224"/>
      <c r="KJ1" s="224"/>
      <c r="KK1" s="224"/>
      <c r="KL1" s="224"/>
      <c r="KM1" s="224"/>
      <c r="KN1" s="224"/>
      <c r="KO1" s="224"/>
      <c r="KP1" s="224"/>
      <c r="KQ1" s="224"/>
      <c r="KR1" s="224"/>
      <c r="KS1" s="224"/>
      <c r="KT1" s="224"/>
      <c r="KU1" s="224"/>
      <c r="KV1" s="224"/>
      <c r="KW1" s="224"/>
      <c r="KX1" s="224"/>
      <c r="KY1" s="224"/>
      <c r="KZ1" s="224"/>
      <c r="LA1" s="224"/>
      <c r="LB1" s="224"/>
      <c r="LC1" s="224"/>
      <c r="LD1" s="224"/>
      <c r="LE1" s="224"/>
      <c r="LF1" s="224"/>
      <c r="LG1" s="224"/>
      <c r="LH1" s="224"/>
      <c r="LI1" s="224"/>
      <c r="LJ1" s="224"/>
      <c r="LK1" s="224"/>
      <c r="LL1" s="224"/>
      <c r="LM1" s="224"/>
      <c r="LN1" s="224"/>
      <c r="LO1" s="224"/>
      <c r="LP1" s="224"/>
      <c r="LQ1" s="224"/>
      <c r="LR1" s="224"/>
      <c r="LS1" s="224"/>
      <c r="LT1" s="224"/>
      <c r="LU1" s="224"/>
      <c r="LV1" s="224"/>
      <c r="LW1" s="224"/>
      <c r="LX1" s="224"/>
      <c r="LY1" s="224"/>
      <c r="LZ1" s="224"/>
      <c r="MA1" s="224"/>
      <c r="MB1" s="224"/>
      <c r="MC1" s="224"/>
      <c r="MD1" s="224"/>
      <c r="ME1" s="224"/>
      <c r="MF1" s="224"/>
      <c r="MG1" s="224"/>
      <c r="MH1" s="224"/>
      <c r="MI1" s="224"/>
      <c r="MJ1" s="224"/>
      <c r="MK1" s="224"/>
      <c r="ML1" s="224"/>
      <c r="MM1" s="224"/>
      <c r="MN1" s="224"/>
      <c r="MO1" s="224"/>
      <c r="MP1" s="224"/>
      <c r="MQ1" s="224"/>
      <c r="MR1" s="224"/>
      <c r="MS1" s="224"/>
      <c r="MT1" s="224"/>
      <c r="MU1" s="224"/>
      <c r="MV1" s="224"/>
      <c r="MW1" s="224"/>
      <c r="MX1" s="224"/>
      <c r="MY1" s="224"/>
      <c r="MZ1" s="224"/>
      <c r="NA1" s="224"/>
      <c r="NB1" s="224"/>
      <c r="NC1" s="224"/>
      <c r="ND1" s="224"/>
      <c r="NE1" s="224"/>
      <c r="NF1" s="224"/>
      <c r="NG1" s="224"/>
      <c r="NH1" s="224"/>
      <c r="NI1" s="224"/>
      <c r="NJ1" s="224"/>
      <c r="NK1" s="224"/>
      <c r="NL1" s="224"/>
      <c r="NM1" s="224"/>
      <c r="NN1" s="224"/>
      <c r="NO1" s="224"/>
      <c r="NP1" s="224"/>
      <c r="NQ1" s="224"/>
      <c r="NR1" s="224"/>
      <c r="NS1" s="224"/>
      <c r="NT1" s="224"/>
      <c r="NU1" s="224"/>
      <c r="NV1" s="224"/>
      <c r="NW1" s="224"/>
      <c r="NX1" s="224"/>
      <c r="NY1" s="224"/>
      <c r="NZ1" s="224"/>
      <c r="OA1" s="224"/>
      <c r="OB1" s="224"/>
      <c r="OC1" s="224"/>
      <c r="OD1" s="224"/>
      <c r="OE1" s="224"/>
      <c r="OF1" s="224"/>
      <c r="OG1" s="224"/>
      <c r="OH1" s="224"/>
      <c r="OI1" s="224"/>
      <c r="OJ1" s="224"/>
      <c r="OK1" s="224"/>
      <c r="OL1" s="224"/>
      <c r="OM1" s="224"/>
      <c r="ON1" s="224"/>
      <c r="OO1" s="224"/>
      <c r="OP1" s="224"/>
      <c r="OQ1" s="224"/>
      <c r="OR1" s="224"/>
      <c r="OS1" s="224"/>
      <c r="OT1" s="224"/>
      <c r="OU1" s="224"/>
      <c r="OV1" s="224"/>
      <c r="OW1" s="224"/>
      <c r="OX1" s="224"/>
      <c r="OY1" s="224"/>
      <c r="OZ1" s="224"/>
      <c r="PA1" s="224"/>
      <c r="PB1" s="224"/>
      <c r="PC1" s="224"/>
      <c r="PD1" s="224"/>
      <c r="PE1" s="224"/>
      <c r="PF1" s="224"/>
      <c r="PG1" s="224"/>
      <c r="PH1" s="224"/>
      <c r="PI1" s="224"/>
      <c r="PJ1" s="224"/>
      <c r="PK1" s="224"/>
      <c r="PL1" s="224"/>
      <c r="PM1" s="224"/>
      <c r="PN1" s="224"/>
      <c r="PO1" s="224"/>
      <c r="PP1" s="224"/>
      <c r="PQ1" s="224"/>
      <c r="PR1" s="224"/>
      <c r="PS1" s="224"/>
      <c r="PT1" s="224"/>
      <c r="PU1" s="224"/>
      <c r="PV1" s="224"/>
      <c r="PW1" s="224"/>
      <c r="PX1" s="224"/>
      <c r="PY1" s="224"/>
      <c r="PZ1" s="224"/>
      <c r="QA1" s="224"/>
      <c r="QB1" s="224"/>
      <c r="QC1" s="224"/>
      <c r="QD1" s="224"/>
      <c r="QE1" s="224"/>
      <c r="QF1" s="224"/>
      <c r="QG1" s="224"/>
      <c r="QH1" s="224"/>
      <c r="QI1" s="224"/>
      <c r="QJ1" s="224"/>
      <c r="QK1" s="224"/>
      <c r="QL1" s="224"/>
      <c r="QM1" s="224"/>
      <c r="QN1" s="224"/>
      <c r="QO1" s="224"/>
      <c r="QP1" s="224"/>
      <c r="QQ1" s="224"/>
      <c r="QR1" s="224"/>
      <c r="QS1" s="224"/>
      <c r="QT1" s="224"/>
      <c r="QU1" s="224"/>
      <c r="QV1" s="224"/>
      <c r="QW1" s="224"/>
      <c r="QX1" s="224"/>
      <c r="QY1" s="224"/>
      <c r="QZ1" s="224"/>
      <c r="RA1" s="224"/>
      <c r="RB1" s="224"/>
      <c r="RC1" s="224"/>
      <c r="RD1" s="224"/>
      <c r="RE1" s="224"/>
      <c r="RF1" s="224"/>
      <c r="RG1" s="224"/>
      <c r="RH1" s="224"/>
      <c r="RI1" s="224"/>
      <c r="RJ1" s="224"/>
      <c r="RK1" s="224"/>
      <c r="RL1" s="224"/>
      <c r="RM1" s="224"/>
      <c r="RN1" s="224"/>
      <c r="RO1" s="224"/>
      <c r="RP1" s="224"/>
      <c r="RQ1" s="224"/>
      <c r="RR1" s="224"/>
      <c r="RS1" s="224"/>
      <c r="RT1" s="224"/>
      <c r="RU1" s="224"/>
      <c r="RV1" s="224"/>
      <c r="RW1" s="224"/>
      <c r="RX1" s="224"/>
      <c r="RY1" s="224"/>
      <c r="RZ1" s="224"/>
      <c r="SA1" s="224"/>
      <c r="SB1" s="224"/>
      <c r="SC1" s="224"/>
      <c r="SD1" s="224"/>
      <c r="SE1" s="224"/>
      <c r="SF1" s="224"/>
      <c r="SG1" s="224"/>
      <c r="SH1" s="224"/>
      <c r="SI1" s="224"/>
      <c r="SJ1" s="224"/>
      <c r="SK1" s="224"/>
      <c r="SL1" s="224"/>
      <c r="SM1" s="224"/>
      <c r="SN1" s="224"/>
      <c r="SO1" s="224"/>
      <c r="SP1" s="224"/>
      <c r="SQ1" s="224"/>
      <c r="SR1" s="224"/>
      <c r="SS1" s="224"/>
      <c r="ST1" s="224"/>
      <c r="SU1" s="224"/>
      <c r="SV1" s="224"/>
      <c r="SW1" s="224"/>
      <c r="SX1" s="224"/>
      <c r="SY1" s="224"/>
      <c r="SZ1" s="224"/>
      <c r="TA1" s="224"/>
      <c r="TB1" s="224"/>
      <c r="TC1" s="224"/>
      <c r="TD1" s="224"/>
      <c r="TE1" s="224"/>
      <c r="TF1" s="224"/>
      <c r="TG1" s="224"/>
      <c r="TH1" s="224"/>
      <c r="TI1" s="224"/>
      <c r="TJ1" s="224"/>
      <c r="TK1" s="224"/>
      <c r="TL1" s="224"/>
      <c r="TM1" s="224"/>
      <c r="TN1" s="224"/>
      <c r="TO1" s="224"/>
      <c r="TP1" s="224"/>
      <c r="TQ1" s="224"/>
      <c r="TR1" s="224"/>
      <c r="TS1" s="224"/>
      <c r="TT1" s="224"/>
      <c r="TU1" s="224"/>
      <c r="TV1" s="224"/>
      <c r="TW1" s="224"/>
      <c r="TX1" s="224"/>
      <c r="TY1" s="224"/>
      <c r="TZ1" s="224"/>
      <c r="UA1" s="224"/>
      <c r="UB1" s="224"/>
      <c r="UC1" s="224"/>
      <c r="UD1" s="224"/>
      <c r="UE1" s="224"/>
      <c r="UF1" s="224"/>
      <c r="UG1" s="224"/>
      <c r="UH1" s="224"/>
      <c r="UI1" s="224"/>
      <c r="UJ1" s="224"/>
      <c r="UK1" s="224"/>
      <c r="UL1" s="224"/>
      <c r="UM1" s="224"/>
      <c r="UN1" s="224"/>
      <c r="UO1" s="224"/>
      <c r="UP1" s="224"/>
      <c r="UQ1" s="224"/>
      <c r="UR1" s="224"/>
      <c r="US1" s="224"/>
      <c r="UT1" s="224"/>
      <c r="UU1" s="224"/>
      <c r="UV1" s="224"/>
      <c r="UW1" s="224"/>
      <c r="UX1" s="224"/>
      <c r="UY1" s="224"/>
      <c r="UZ1" s="224"/>
      <c r="VA1" s="224"/>
      <c r="VB1" s="224"/>
      <c r="VC1" s="224"/>
      <c r="VD1" s="224"/>
      <c r="VE1" s="224"/>
      <c r="VF1" s="224"/>
      <c r="VG1" s="224"/>
      <c r="VH1" s="224"/>
      <c r="VI1" s="224"/>
      <c r="VJ1" s="224"/>
      <c r="VK1" s="224"/>
      <c r="VL1" s="224"/>
      <c r="VM1" s="224"/>
      <c r="VN1" s="224"/>
      <c r="VO1" s="224"/>
      <c r="VP1" s="224"/>
      <c r="VQ1" s="224"/>
      <c r="VR1" s="224"/>
      <c r="VS1" s="224"/>
      <c r="VT1" s="224"/>
      <c r="VU1" s="224"/>
      <c r="VV1" s="224"/>
      <c r="VW1" s="224"/>
      <c r="VX1" s="224"/>
      <c r="VY1" s="224"/>
      <c r="VZ1" s="224"/>
      <c r="WA1" s="224"/>
      <c r="WB1" s="224"/>
      <c r="WC1" s="224"/>
      <c r="WD1" s="224"/>
      <c r="WE1" s="224"/>
      <c r="WF1" s="224"/>
      <c r="WG1" s="224"/>
      <c r="WH1" s="224"/>
      <c r="WI1" s="224"/>
      <c r="WJ1" s="224"/>
      <c r="WK1" s="224"/>
      <c r="WL1" s="224"/>
      <c r="WM1" s="224"/>
      <c r="WN1" s="224"/>
      <c r="WO1" s="224"/>
      <c r="WP1" s="224"/>
      <c r="WQ1" s="224"/>
      <c r="WR1" s="224"/>
      <c r="WS1" s="224"/>
      <c r="WT1" s="224"/>
      <c r="WU1" s="224"/>
      <c r="WV1" s="224"/>
      <c r="WW1" s="224"/>
      <c r="WX1" s="224"/>
      <c r="WY1" s="224"/>
      <c r="WZ1" s="224"/>
      <c r="XA1" s="224"/>
      <c r="XB1" s="224"/>
      <c r="XC1" s="224"/>
      <c r="XD1" s="224"/>
      <c r="XE1" s="224"/>
      <c r="XF1" s="224"/>
      <c r="XG1" s="224"/>
      <c r="XH1" s="224"/>
      <c r="XI1" s="224"/>
      <c r="XJ1" s="224"/>
      <c r="XK1" s="224"/>
      <c r="XL1" s="224"/>
      <c r="XM1" s="224"/>
      <c r="XN1" s="224"/>
      <c r="XO1" s="224"/>
      <c r="XP1" s="224"/>
      <c r="XQ1" s="224"/>
      <c r="XR1" s="224"/>
      <c r="XS1" s="224"/>
      <c r="XT1" s="224"/>
      <c r="XU1" s="224"/>
      <c r="XV1" s="224"/>
      <c r="XW1" s="224"/>
      <c r="XX1" s="224"/>
      <c r="XY1" s="224"/>
      <c r="XZ1" s="224"/>
      <c r="YA1" s="224"/>
      <c r="YB1" s="224"/>
      <c r="YC1" s="224"/>
      <c r="YD1" s="224"/>
      <c r="YE1" s="224"/>
      <c r="YF1" s="224"/>
      <c r="YG1" s="224"/>
      <c r="YH1" s="224"/>
      <c r="YI1" s="224"/>
      <c r="YJ1" s="224"/>
      <c r="YK1" s="224"/>
      <c r="YL1" s="224"/>
      <c r="YM1" s="224"/>
      <c r="YN1" s="224"/>
      <c r="YO1" s="224"/>
      <c r="YP1" s="224"/>
      <c r="YQ1" s="224"/>
      <c r="YR1" s="224"/>
      <c r="YS1" s="224"/>
      <c r="YT1" s="224"/>
      <c r="YU1" s="224"/>
      <c r="YV1" s="224"/>
      <c r="YW1" s="224"/>
      <c r="YX1" s="224"/>
      <c r="YY1" s="224"/>
      <c r="YZ1" s="224"/>
      <c r="ZA1" s="224"/>
      <c r="ZB1" s="224"/>
      <c r="ZC1" s="224"/>
      <c r="ZD1" s="224"/>
      <c r="ZE1" s="224"/>
      <c r="ZF1" s="224"/>
      <c r="ZG1" s="224"/>
      <c r="ZH1" s="224"/>
      <c r="ZI1" s="224"/>
      <c r="ZJ1" s="224"/>
      <c r="ZK1" s="224"/>
      <c r="ZL1" s="224"/>
      <c r="ZM1" s="224"/>
      <c r="ZN1" s="224"/>
      <c r="ZO1" s="224"/>
      <c r="ZP1" s="224"/>
      <c r="ZQ1" s="224"/>
      <c r="ZR1" s="224"/>
      <c r="ZS1" s="224"/>
      <c r="ZT1" s="224"/>
      <c r="ZU1" s="224"/>
      <c r="ZV1" s="224"/>
      <c r="ZW1" s="224"/>
      <c r="ZX1" s="224"/>
      <c r="ZY1" s="224"/>
      <c r="ZZ1" s="224"/>
      <c r="AAA1" s="224"/>
      <c r="AAB1" s="224"/>
      <c r="AAC1" s="224"/>
      <c r="AAD1" s="224"/>
      <c r="AAE1" s="224"/>
      <c r="AAF1" s="224"/>
      <c r="AAG1" s="224"/>
      <c r="AAH1" s="224"/>
      <c r="AAI1" s="224"/>
      <c r="AAJ1" s="224"/>
      <c r="AAK1" s="224"/>
      <c r="AAL1" s="224"/>
      <c r="AAM1" s="224"/>
      <c r="AAN1" s="224"/>
      <c r="AAO1" s="224"/>
      <c r="AAP1" s="224"/>
      <c r="AAQ1" s="224"/>
      <c r="AAR1" s="224"/>
      <c r="AAS1" s="224"/>
      <c r="AAT1" s="224"/>
      <c r="AAU1" s="224"/>
      <c r="AAV1" s="224"/>
      <c r="AAW1" s="224"/>
      <c r="AAX1" s="224"/>
      <c r="AAY1" s="224"/>
      <c r="AAZ1" s="224"/>
      <c r="ABA1" s="224"/>
      <c r="ABB1" s="224"/>
      <c r="ABC1" s="224"/>
      <c r="ABD1" s="224"/>
      <c r="ABE1" s="224"/>
      <c r="ABF1" s="224"/>
      <c r="ABG1" s="224"/>
      <c r="ABH1" s="224"/>
      <c r="ABI1" s="224"/>
      <c r="ABJ1" s="224"/>
      <c r="ABK1" s="224"/>
      <c r="ABL1" s="224"/>
      <c r="ABM1" s="224"/>
      <c r="ABN1" s="224"/>
      <c r="ABO1" s="224"/>
      <c r="ABP1" s="224"/>
      <c r="ABQ1" s="224"/>
      <c r="ABR1" s="224"/>
      <c r="ABS1" s="224"/>
      <c r="ABT1" s="224"/>
      <c r="ABU1" s="224"/>
      <c r="ABV1" s="224"/>
      <c r="ABW1" s="224"/>
      <c r="ABX1" s="224"/>
      <c r="ABY1" s="224"/>
      <c r="ABZ1" s="224"/>
      <c r="ACA1" s="224"/>
      <c r="ACB1" s="224"/>
      <c r="ACC1" s="224"/>
      <c r="ACD1" s="224"/>
      <c r="ACE1" s="224"/>
      <c r="ACF1" s="224"/>
      <c r="ACG1" s="224"/>
      <c r="ACH1" s="224"/>
      <c r="ACI1" s="224"/>
      <c r="ACJ1" s="224"/>
      <c r="ACK1" s="224"/>
      <c r="ACL1" s="224"/>
      <c r="ACM1" s="224"/>
      <c r="ACN1" s="224"/>
      <c r="ACO1" s="224"/>
      <c r="ACP1" s="224"/>
      <c r="ACQ1" s="224"/>
      <c r="ACR1" s="224"/>
      <c r="ACS1" s="224"/>
      <c r="ACT1" s="224"/>
      <c r="ACU1" s="224"/>
      <c r="ACV1" s="224"/>
      <c r="ACW1" s="224"/>
      <c r="ACX1" s="224"/>
      <c r="ACY1" s="224"/>
      <c r="ACZ1" s="224"/>
      <c r="ADA1" s="224"/>
      <c r="ADB1" s="224"/>
      <c r="ADC1" s="224"/>
      <c r="ADD1" s="224"/>
      <c r="ADE1" s="224"/>
      <c r="ADF1" s="224"/>
      <c r="ADG1" s="224"/>
      <c r="ADH1" s="224"/>
      <c r="ADI1" s="224"/>
      <c r="ADJ1" s="224"/>
      <c r="ADK1" s="224"/>
      <c r="ADL1" s="224"/>
      <c r="ADM1" s="224"/>
      <c r="ADN1" s="224"/>
      <c r="ADO1" s="224"/>
      <c r="ADP1" s="224"/>
      <c r="ADQ1" s="224"/>
      <c r="ADR1" s="224"/>
      <c r="ADS1" s="224"/>
      <c r="ADT1" s="224"/>
      <c r="ADU1" s="224"/>
      <c r="ADV1" s="224"/>
      <c r="ADW1" s="224"/>
      <c r="ADX1" s="224"/>
      <c r="ADY1" s="224"/>
      <c r="ADZ1" s="224"/>
      <c r="AEA1" s="224"/>
      <c r="AEB1" s="224"/>
      <c r="AEC1" s="224"/>
      <c r="AED1" s="224"/>
      <c r="AEE1" s="224"/>
      <c r="AEF1" s="224"/>
      <c r="AEG1" s="224"/>
      <c r="AEH1" s="224"/>
      <c r="AEI1" s="224"/>
      <c r="AEJ1" s="224"/>
      <c r="AEK1" s="224"/>
      <c r="AEL1" s="224"/>
      <c r="AEM1" s="224"/>
      <c r="AEN1" s="224"/>
      <c r="AEO1" s="224"/>
      <c r="AEP1" s="224"/>
      <c r="AEQ1" s="224"/>
      <c r="AER1" s="224"/>
      <c r="AES1" s="224"/>
      <c r="AET1" s="224"/>
      <c r="AEU1" s="224"/>
      <c r="AEV1" s="224"/>
      <c r="AEW1" s="224"/>
      <c r="AEX1" s="224"/>
      <c r="AEY1" s="224"/>
      <c r="AEZ1" s="224"/>
      <c r="AFA1" s="224"/>
      <c r="AFB1" s="224"/>
      <c r="AFC1" s="224"/>
      <c r="AFD1" s="224"/>
      <c r="AFE1" s="224"/>
      <c r="AFF1" s="224"/>
      <c r="AFG1" s="224"/>
      <c r="AFH1" s="224"/>
      <c r="AFI1" s="224"/>
      <c r="AFJ1" s="224"/>
      <c r="AFK1" s="224"/>
      <c r="AFL1" s="224"/>
      <c r="AFM1" s="224"/>
      <c r="AFN1" s="224"/>
      <c r="AFO1" s="224"/>
      <c r="AFP1" s="224"/>
      <c r="AFQ1" s="224"/>
      <c r="AFR1" s="224"/>
      <c r="AFS1" s="224"/>
      <c r="AFT1" s="224"/>
      <c r="AFU1" s="224"/>
      <c r="AFV1" s="224"/>
      <c r="AFW1" s="224"/>
      <c r="AFX1" s="224"/>
      <c r="AFY1" s="224"/>
      <c r="AFZ1" s="224"/>
      <c r="AGA1" s="224"/>
      <c r="AGB1" s="224"/>
      <c r="AGC1" s="224"/>
      <c r="AGD1" s="224"/>
      <c r="AGE1" s="224"/>
      <c r="AGF1" s="224"/>
      <c r="AGG1" s="224"/>
      <c r="AGH1" s="224"/>
      <c r="AGI1" s="224"/>
      <c r="AGJ1" s="224"/>
      <c r="AGK1" s="224"/>
      <c r="AGL1" s="224"/>
      <c r="AGM1" s="224"/>
      <c r="AGN1" s="224"/>
      <c r="AGO1" s="224"/>
      <c r="AGP1" s="224"/>
      <c r="AGQ1" s="224"/>
      <c r="AGR1" s="224"/>
      <c r="AGS1" s="224"/>
      <c r="AGT1" s="224"/>
      <c r="AGU1" s="224"/>
      <c r="AGV1" s="224"/>
      <c r="AGW1" s="224"/>
      <c r="AGX1" s="224"/>
      <c r="AGY1" s="224"/>
      <c r="AGZ1" s="224"/>
      <c r="AHA1" s="224"/>
      <c r="AHB1" s="224"/>
      <c r="AHC1" s="224"/>
      <c r="AHD1" s="224"/>
      <c r="AHE1" s="224"/>
      <c r="AHF1" s="224"/>
      <c r="AHG1" s="224"/>
      <c r="AHH1" s="224"/>
      <c r="AHI1" s="224"/>
      <c r="AHJ1" s="224"/>
      <c r="AHK1" s="224"/>
      <c r="AHL1" s="224"/>
      <c r="AHM1" s="224"/>
      <c r="AHN1" s="224"/>
      <c r="AHO1" s="224"/>
      <c r="AHP1" s="224"/>
      <c r="AHQ1" s="224"/>
      <c r="AHR1" s="224"/>
      <c r="AHS1" s="224"/>
      <c r="AHT1" s="224"/>
      <c r="AHU1" s="224"/>
      <c r="AHV1" s="224"/>
      <c r="AHW1" s="224"/>
      <c r="AHX1" s="224"/>
      <c r="AHY1" s="224"/>
      <c r="AHZ1" s="224"/>
      <c r="AIA1" s="224"/>
      <c r="AIB1" s="224"/>
      <c r="AIC1" s="224"/>
      <c r="AID1" s="224"/>
      <c r="AIE1" s="224"/>
      <c r="AIF1" s="224"/>
      <c r="AIG1" s="224"/>
      <c r="AIH1" s="224"/>
      <c r="AII1" s="224"/>
      <c r="AIJ1" s="224"/>
      <c r="AIK1" s="224"/>
      <c r="AIL1" s="224"/>
      <c r="AIM1" s="224"/>
      <c r="AIN1" s="224"/>
      <c r="AIO1" s="224"/>
      <c r="AIP1" s="224"/>
      <c r="AIQ1" s="224"/>
      <c r="AIR1" s="224"/>
      <c r="AIS1" s="224"/>
      <c r="AIT1" s="224"/>
      <c r="AIU1" s="224"/>
      <c r="AIV1" s="224"/>
      <c r="AIW1" s="224"/>
      <c r="AIX1" s="224"/>
      <c r="AIY1" s="224"/>
      <c r="AIZ1" s="224"/>
      <c r="AJA1" s="224"/>
      <c r="AJB1" s="224"/>
      <c r="AJC1" s="224"/>
      <c r="AJD1" s="224"/>
      <c r="AJE1" s="224"/>
      <c r="AJF1" s="224"/>
      <c r="AJG1" s="224"/>
      <c r="AJH1" s="224"/>
      <c r="AJI1" s="224"/>
      <c r="AJJ1" s="224"/>
      <c r="AJK1" s="224"/>
      <c r="AJL1" s="224"/>
      <c r="AJM1" s="224"/>
      <c r="AJN1" s="224"/>
      <c r="AJO1" s="224"/>
      <c r="AJP1" s="224"/>
      <c r="AJQ1" s="224"/>
      <c r="AJR1" s="224"/>
      <c r="AJS1" s="224"/>
      <c r="AJT1" s="224"/>
      <c r="AJU1" s="224"/>
      <c r="AJV1" s="224"/>
      <c r="AJW1" s="224"/>
      <c r="AJX1" s="224"/>
      <c r="AJY1" s="224"/>
      <c r="AJZ1" s="224"/>
      <c r="AKA1" s="224"/>
      <c r="AKB1" s="224"/>
      <c r="AKC1" s="224"/>
      <c r="AKD1" s="224"/>
      <c r="AKE1" s="224"/>
      <c r="AKF1" s="224"/>
      <c r="AKG1" s="224"/>
      <c r="AKH1" s="224"/>
      <c r="AKI1" s="224"/>
      <c r="AKJ1" s="224"/>
      <c r="AKK1" s="224"/>
      <c r="AKL1" s="224"/>
      <c r="AKM1" s="224"/>
      <c r="AKN1" s="224"/>
      <c r="AKO1" s="224"/>
      <c r="AKP1" s="224"/>
      <c r="AKQ1" s="224"/>
      <c r="AKR1" s="224"/>
      <c r="AKS1" s="224"/>
      <c r="AKT1" s="224"/>
      <c r="AKU1" s="224"/>
      <c r="AKV1" s="224"/>
      <c r="AKW1" s="224"/>
      <c r="AKX1" s="224"/>
      <c r="AKY1" s="224"/>
      <c r="AKZ1" s="224"/>
      <c r="ALA1" s="224"/>
      <c r="ALB1" s="224"/>
      <c r="ALC1" s="224"/>
      <c r="ALD1" s="224"/>
      <c r="ALE1" s="224"/>
      <c r="ALF1" s="224"/>
      <c r="ALG1" s="224"/>
      <c r="ALH1" s="224"/>
      <c r="ALI1" s="224"/>
      <c r="ALJ1" s="224"/>
      <c r="ALK1" s="224"/>
      <c r="ALL1" s="224"/>
      <c r="ALM1" s="224"/>
      <c r="ALN1" s="224"/>
      <c r="ALO1" s="224"/>
      <c r="ALP1" s="224"/>
      <c r="ALQ1" s="224"/>
      <c r="ALR1" s="224"/>
      <c r="ALS1" s="224"/>
      <c r="ALT1" s="224"/>
      <c r="ALU1" s="224"/>
      <c r="ALV1" s="224"/>
      <c r="ALW1" s="224"/>
      <c r="ALX1" s="224"/>
      <c r="ALY1" s="224"/>
      <c r="ALZ1" s="224"/>
      <c r="AMA1" s="224"/>
      <c r="AMB1" s="224"/>
      <c r="AMC1" s="224"/>
      <c r="AMD1" s="224"/>
      <c r="AME1" s="224"/>
      <c r="AMF1" s="224"/>
      <c r="AMG1" s="224"/>
      <c r="AMH1" s="224"/>
      <c r="AMI1" s="224"/>
      <c r="AMJ1" s="224"/>
      <c r="AMK1" s="224"/>
      <c r="AML1" s="224"/>
      <c r="AMM1" s="224"/>
      <c r="AMN1" s="224"/>
      <c r="AMO1" s="224"/>
      <c r="AMP1" s="224"/>
      <c r="AMQ1" s="224"/>
      <c r="AMR1" s="224"/>
      <c r="AMS1" s="224"/>
      <c r="AMT1" s="224"/>
      <c r="AMU1" s="224"/>
      <c r="AMV1" s="224"/>
      <c r="AMW1" s="224"/>
      <c r="AMX1" s="224"/>
      <c r="AMY1" s="224"/>
      <c r="AMZ1" s="224"/>
      <c r="ANA1" s="224"/>
      <c r="ANB1" s="224"/>
      <c r="ANC1" s="224"/>
      <c r="AND1" s="224"/>
      <c r="ANE1" s="224"/>
      <c r="ANF1" s="224"/>
      <c r="ANG1" s="224"/>
      <c r="ANH1" s="224"/>
      <c r="ANI1" s="224"/>
      <c r="ANJ1" s="224"/>
      <c r="ANK1" s="224"/>
      <c r="ANL1" s="224"/>
      <c r="ANM1" s="224"/>
      <c r="ANN1" s="224"/>
      <c r="ANO1" s="224"/>
      <c r="ANP1" s="224"/>
      <c r="ANQ1" s="224"/>
      <c r="ANR1" s="224"/>
      <c r="ANS1" s="224"/>
      <c r="ANT1" s="224"/>
      <c r="ANU1" s="224"/>
      <c r="ANV1" s="224"/>
      <c r="ANW1" s="224"/>
      <c r="ANX1" s="224"/>
      <c r="ANY1" s="224"/>
      <c r="ANZ1" s="224"/>
      <c r="AOA1" s="224"/>
      <c r="AOB1" s="224"/>
      <c r="AOC1" s="224"/>
      <c r="AOD1" s="224"/>
      <c r="AOE1" s="224"/>
      <c r="AOF1" s="224"/>
      <c r="AOG1" s="224"/>
      <c r="AOH1" s="224"/>
      <c r="AOI1" s="224"/>
      <c r="AOJ1" s="224"/>
      <c r="AOK1" s="224"/>
      <c r="AOL1" s="224"/>
      <c r="AOM1" s="224"/>
      <c r="AON1" s="224"/>
      <c r="AOO1" s="224"/>
      <c r="AOP1" s="224"/>
      <c r="AOQ1" s="224"/>
      <c r="AOR1" s="224"/>
      <c r="AOS1" s="224"/>
      <c r="AOT1" s="224"/>
      <c r="AOU1" s="224"/>
      <c r="AOV1" s="224"/>
      <c r="AOW1" s="224"/>
      <c r="AOX1" s="224"/>
      <c r="AOY1" s="224"/>
      <c r="AOZ1" s="224"/>
      <c r="APA1" s="224"/>
      <c r="APB1" s="224"/>
      <c r="APC1" s="224"/>
      <c r="APD1" s="224"/>
      <c r="APE1" s="224"/>
      <c r="APF1" s="224"/>
      <c r="APG1" s="224"/>
      <c r="APH1" s="224"/>
      <c r="API1" s="224"/>
      <c r="APJ1" s="224"/>
      <c r="APK1" s="224"/>
      <c r="APL1" s="224"/>
      <c r="APM1" s="224"/>
      <c r="APN1" s="224"/>
      <c r="APO1" s="224"/>
      <c r="APP1" s="224"/>
      <c r="APQ1" s="224"/>
      <c r="APR1" s="224"/>
      <c r="APS1" s="224"/>
      <c r="APT1" s="224"/>
      <c r="APU1" s="224"/>
      <c r="APV1" s="224"/>
      <c r="APW1" s="224"/>
      <c r="APX1" s="224"/>
      <c r="APY1" s="224"/>
      <c r="APZ1" s="224"/>
      <c r="AQA1" s="224"/>
      <c r="AQB1" s="224"/>
      <c r="AQC1" s="224"/>
      <c r="AQD1" s="224"/>
      <c r="AQE1" s="224"/>
      <c r="AQF1" s="224"/>
      <c r="AQG1" s="224"/>
      <c r="AQH1" s="224"/>
      <c r="AQI1" s="224"/>
      <c r="AQJ1" s="224"/>
      <c r="AQK1" s="224"/>
      <c r="AQL1" s="224"/>
      <c r="AQM1" s="224"/>
      <c r="AQN1" s="224"/>
      <c r="AQO1" s="224"/>
      <c r="AQP1" s="224"/>
      <c r="AQQ1" s="224"/>
      <c r="AQR1" s="224"/>
      <c r="AQS1" s="224"/>
      <c r="AQT1" s="224"/>
      <c r="AQU1" s="224"/>
      <c r="AQV1" s="224"/>
      <c r="AQW1" s="224"/>
      <c r="AQX1" s="224"/>
      <c r="AQY1" s="224"/>
      <c r="AQZ1" s="224"/>
      <c r="ARA1" s="224"/>
      <c r="ARB1" s="224"/>
      <c r="ARC1" s="224"/>
      <c r="ARD1" s="224"/>
      <c r="ARE1" s="224"/>
      <c r="ARF1" s="224"/>
      <c r="ARG1" s="224"/>
      <c r="ARH1" s="224"/>
      <c r="ARI1" s="224"/>
      <c r="ARJ1" s="224"/>
      <c r="ARK1" s="224"/>
      <c r="ARL1" s="224"/>
      <c r="ARM1" s="224"/>
      <c r="ARN1" s="224"/>
      <c r="ARO1" s="224"/>
      <c r="ARP1" s="224"/>
      <c r="ARQ1" s="224"/>
      <c r="ARR1" s="224"/>
      <c r="ARS1" s="224"/>
      <c r="ART1" s="224"/>
      <c r="ARU1" s="224"/>
      <c r="ARV1" s="224"/>
      <c r="ARW1" s="224"/>
      <c r="ARX1" s="224"/>
      <c r="ARY1" s="224"/>
      <c r="ARZ1" s="224"/>
      <c r="ASA1" s="224"/>
      <c r="ASB1" s="224"/>
      <c r="ASC1" s="224"/>
      <c r="ASD1" s="224"/>
      <c r="ASE1" s="224"/>
      <c r="ASF1" s="224"/>
      <c r="ASG1" s="224"/>
      <c r="ASH1" s="224"/>
      <c r="ASI1" s="224"/>
      <c r="ASJ1" s="224"/>
      <c r="ASK1" s="224"/>
      <c r="ASL1" s="224"/>
      <c r="ASM1" s="224"/>
      <c r="ASN1" s="224"/>
      <c r="ASO1" s="224"/>
      <c r="ASP1" s="224"/>
      <c r="ASQ1" s="224"/>
      <c r="ASR1" s="224"/>
      <c r="ASS1" s="224"/>
      <c r="AST1" s="224"/>
      <c r="ASU1" s="224"/>
      <c r="ASV1" s="224"/>
      <c r="ASW1" s="224"/>
      <c r="ASX1" s="224"/>
      <c r="ASY1" s="224"/>
      <c r="ASZ1" s="224"/>
      <c r="ATA1" s="224"/>
      <c r="ATB1" s="224"/>
      <c r="ATC1" s="224"/>
      <c r="ATD1" s="224"/>
      <c r="ATE1" s="224"/>
      <c r="ATF1" s="224"/>
      <c r="ATG1" s="224"/>
      <c r="ATH1" s="224"/>
      <c r="ATI1" s="224"/>
      <c r="ATJ1" s="224"/>
      <c r="ATK1" s="224"/>
      <c r="ATL1" s="224"/>
      <c r="ATM1" s="224"/>
      <c r="ATN1" s="224"/>
      <c r="ATO1" s="224"/>
      <c r="ATP1" s="224"/>
      <c r="ATQ1" s="224"/>
      <c r="ATR1" s="224"/>
      <c r="ATS1" s="224"/>
      <c r="ATT1" s="224"/>
      <c r="ATU1" s="224"/>
      <c r="ATV1" s="224"/>
      <c r="ATW1" s="224"/>
      <c r="ATX1" s="224"/>
      <c r="ATY1" s="224"/>
      <c r="ATZ1" s="224"/>
      <c r="AUA1" s="224"/>
      <c r="AUB1" s="224"/>
      <c r="AUC1" s="224"/>
      <c r="AUD1" s="224"/>
      <c r="AUE1" s="224"/>
      <c r="AUF1" s="224"/>
      <c r="AUG1" s="224"/>
      <c r="AUH1" s="224"/>
      <c r="AUI1" s="224"/>
      <c r="AUJ1" s="224"/>
      <c r="AUK1" s="224"/>
      <c r="AUL1" s="224"/>
      <c r="AUM1" s="224"/>
      <c r="AUN1" s="224"/>
      <c r="AUO1" s="224"/>
      <c r="AUP1" s="224"/>
      <c r="AUQ1" s="224"/>
      <c r="AUR1" s="224"/>
      <c r="AUS1" s="224"/>
      <c r="AUT1" s="224"/>
      <c r="AUU1" s="224"/>
      <c r="AUV1" s="224"/>
      <c r="AUW1" s="224"/>
      <c r="AUX1" s="224"/>
      <c r="AUY1" s="224"/>
      <c r="AUZ1" s="224"/>
      <c r="AVA1" s="224"/>
      <c r="AVB1" s="224"/>
      <c r="AVC1" s="224"/>
      <c r="AVD1" s="224"/>
      <c r="AVE1" s="224"/>
      <c r="AVF1" s="224"/>
      <c r="AVG1" s="224"/>
      <c r="AVH1" s="224"/>
      <c r="AVI1" s="224"/>
      <c r="AVJ1" s="224"/>
      <c r="AVK1" s="224"/>
      <c r="AVL1" s="224"/>
      <c r="AVM1" s="224"/>
      <c r="AVN1" s="224"/>
      <c r="AVO1" s="224"/>
      <c r="AVP1" s="224"/>
      <c r="AVQ1" s="224"/>
      <c r="AVR1" s="224"/>
      <c r="AVS1" s="224"/>
      <c r="AVT1" s="224"/>
      <c r="AVU1" s="224"/>
      <c r="AVV1" s="224"/>
      <c r="AVW1" s="224"/>
      <c r="AVX1" s="224"/>
      <c r="AVY1" s="224"/>
      <c r="AVZ1" s="224"/>
      <c r="AWA1" s="224"/>
      <c r="AWB1" s="224"/>
      <c r="AWC1" s="224"/>
      <c r="AWD1" s="224"/>
      <c r="AWE1" s="224"/>
      <c r="AWF1" s="224"/>
      <c r="AWG1" s="224"/>
      <c r="AWH1" s="224"/>
      <c r="AWI1" s="224"/>
      <c r="AWJ1" s="224"/>
      <c r="AWK1" s="224"/>
      <c r="AWL1" s="224"/>
      <c r="AWM1" s="224"/>
      <c r="AWN1" s="224"/>
      <c r="AWO1" s="224"/>
      <c r="AWP1" s="224"/>
      <c r="AWQ1" s="224"/>
      <c r="AWR1" s="224"/>
      <c r="AWS1" s="224"/>
      <c r="AWT1" s="224"/>
      <c r="AWU1" s="224"/>
      <c r="AWV1" s="224"/>
      <c r="AWW1" s="224"/>
      <c r="AWX1" s="224"/>
      <c r="AWY1" s="224"/>
      <c r="AWZ1" s="224"/>
      <c r="AXA1" s="224"/>
      <c r="AXB1" s="224"/>
      <c r="AXC1" s="224"/>
      <c r="AXD1" s="224"/>
      <c r="AXE1" s="224"/>
      <c r="AXF1" s="224"/>
      <c r="AXG1" s="224"/>
      <c r="AXH1" s="224"/>
      <c r="AXI1" s="224"/>
      <c r="AXJ1" s="224"/>
      <c r="AXK1" s="224"/>
      <c r="AXL1" s="224"/>
      <c r="AXM1" s="224"/>
      <c r="AXN1" s="224"/>
      <c r="AXO1" s="224"/>
      <c r="AXP1" s="224"/>
      <c r="AXQ1" s="224"/>
      <c r="AXR1" s="224"/>
      <c r="AXS1" s="224"/>
      <c r="AXT1" s="224"/>
      <c r="AXU1" s="224"/>
      <c r="AXV1" s="224"/>
      <c r="AXW1" s="224"/>
      <c r="AXX1" s="224"/>
      <c r="AXY1" s="224"/>
      <c r="AXZ1" s="224"/>
      <c r="AYA1" s="224"/>
      <c r="AYB1" s="224"/>
      <c r="AYC1" s="224"/>
      <c r="AYD1" s="224"/>
      <c r="AYE1" s="224"/>
      <c r="AYF1" s="224"/>
      <c r="AYG1" s="224"/>
      <c r="AYH1" s="224"/>
      <c r="AYI1" s="224"/>
      <c r="AYJ1" s="224"/>
      <c r="AYK1" s="224"/>
      <c r="AYL1" s="224"/>
      <c r="AYM1" s="224"/>
      <c r="AYN1" s="224"/>
      <c r="AYO1" s="224"/>
      <c r="AYP1" s="224"/>
      <c r="AYQ1" s="224"/>
      <c r="AYR1" s="224"/>
      <c r="AYS1" s="224"/>
      <c r="AYT1" s="224"/>
      <c r="AYU1" s="224"/>
      <c r="AYV1" s="224"/>
      <c r="AYW1" s="224"/>
      <c r="AYX1" s="224"/>
      <c r="AYY1" s="224"/>
      <c r="AYZ1" s="224"/>
      <c r="AZA1" s="224"/>
      <c r="AZB1" s="224"/>
      <c r="AZC1" s="224"/>
      <c r="AZD1" s="224"/>
      <c r="AZE1" s="224"/>
      <c r="AZF1" s="224"/>
      <c r="AZG1" s="224"/>
      <c r="AZH1" s="224"/>
      <c r="AZI1" s="224"/>
      <c r="AZJ1" s="224"/>
      <c r="AZK1" s="224"/>
      <c r="AZL1" s="224"/>
      <c r="AZM1" s="224"/>
      <c r="AZN1" s="224"/>
      <c r="AZO1" s="224"/>
      <c r="AZP1" s="224"/>
      <c r="AZQ1" s="224"/>
      <c r="AZR1" s="224"/>
      <c r="AZS1" s="224"/>
      <c r="AZT1" s="224"/>
      <c r="AZU1" s="224"/>
      <c r="AZV1" s="224"/>
      <c r="AZW1" s="224"/>
      <c r="AZX1" s="224"/>
      <c r="AZY1" s="224"/>
      <c r="AZZ1" s="224"/>
      <c r="BAA1" s="224"/>
      <c r="BAB1" s="224"/>
      <c r="BAC1" s="224"/>
      <c r="BAD1" s="224"/>
      <c r="BAE1" s="224"/>
      <c r="BAF1" s="224"/>
      <c r="BAG1" s="224"/>
      <c r="BAH1" s="224"/>
      <c r="BAI1" s="224"/>
      <c r="BAJ1" s="224"/>
      <c r="BAK1" s="224"/>
      <c r="BAL1" s="224"/>
      <c r="BAM1" s="224"/>
      <c r="BAN1" s="224"/>
      <c r="BAO1" s="224"/>
      <c r="BAP1" s="224"/>
      <c r="BAQ1" s="224"/>
      <c r="BAR1" s="224"/>
      <c r="BAS1" s="224"/>
      <c r="BAT1" s="224"/>
      <c r="BAU1" s="224"/>
      <c r="BAV1" s="224"/>
      <c r="BAW1" s="224"/>
      <c r="BAX1" s="224"/>
      <c r="BAY1" s="224"/>
      <c r="BAZ1" s="224"/>
      <c r="BBA1" s="224"/>
      <c r="BBB1" s="224"/>
      <c r="BBC1" s="224"/>
      <c r="BBD1" s="224"/>
      <c r="BBE1" s="224"/>
      <c r="BBF1" s="224"/>
      <c r="BBG1" s="224"/>
      <c r="BBH1" s="224"/>
      <c r="BBI1" s="224"/>
      <c r="BBJ1" s="224"/>
      <c r="BBK1" s="224"/>
      <c r="BBL1" s="224"/>
      <c r="BBM1" s="224"/>
      <c r="BBN1" s="224"/>
      <c r="BBO1" s="224"/>
      <c r="BBP1" s="224"/>
      <c r="BBQ1" s="224"/>
      <c r="BBR1" s="224"/>
      <c r="BBS1" s="224"/>
      <c r="BBT1" s="224"/>
      <c r="BBU1" s="224"/>
      <c r="BBV1" s="224"/>
      <c r="BBW1" s="224"/>
      <c r="BBX1" s="224"/>
      <c r="BBY1" s="224"/>
      <c r="BBZ1" s="224"/>
      <c r="BCA1" s="224"/>
      <c r="BCB1" s="224"/>
      <c r="BCC1" s="224"/>
      <c r="BCD1" s="224"/>
      <c r="BCE1" s="224"/>
      <c r="BCF1" s="224"/>
      <c r="BCG1" s="224"/>
      <c r="BCH1" s="224"/>
      <c r="BCI1" s="224"/>
      <c r="BCJ1" s="224"/>
      <c r="BCK1" s="224"/>
      <c r="BCL1" s="224"/>
      <c r="BCM1" s="224"/>
      <c r="BCN1" s="224"/>
      <c r="BCO1" s="224"/>
      <c r="BCP1" s="224"/>
      <c r="BCQ1" s="224"/>
      <c r="BCR1" s="224"/>
      <c r="BCS1" s="224"/>
      <c r="BCT1" s="224"/>
      <c r="BCU1" s="224"/>
      <c r="BCV1" s="224"/>
      <c r="BCW1" s="224"/>
      <c r="BCX1" s="224"/>
      <c r="BCY1" s="224"/>
      <c r="BCZ1" s="224"/>
      <c r="BDA1" s="224"/>
      <c r="BDB1" s="224"/>
      <c r="BDC1" s="224"/>
      <c r="BDD1" s="224"/>
      <c r="BDE1" s="224"/>
      <c r="BDF1" s="224"/>
      <c r="BDG1" s="224"/>
      <c r="BDH1" s="224"/>
      <c r="BDI1" s="224"/>
      <c r="BDJ1" s="224"/>
      <c r="BDK1" s="224"/>
      <c r="BDL1" s="224"/>
      <c r="BDM1" s="224"/>
      <c r="BDN1" s="224"/>
      <c r="BDO1" s="224"/>
      <c r="BDP1" s="224"/>
      <c r="BDQ1" s="224"/>
      <c r="BDR1" s="224"/>
      <c r="BDS1" s="224"/>
      <c r="BDT1" s="224"/>
      <c r="BDU1" s="224"/>
      <c r="BDV1" s="224"/>
      <c r="BDW1" s="224"/>
      <c r="BDX1" s="224"/>
      <c r="BDY1" s="224"/>
      <c r="BDZ1" s="224"/>
      <c r="BEA1" s="224"/>
      <c r="BEB1" s="224"/>
      <c r="BEC1" s="224"/>
      <c r="BED1" s="224"/>
      <c r="BEE1" s="224"/>
      <c r="BEF1" s="224"/>
      <c r="BEG1" s="224"/>
      <c r="BEH1" s="224"/>
      <c r="BEI1" s="224"/>
      <c r="BEJ1" s="224"/>
      <c r="BEK1" s="224"/>
      <c r="BEL1" s="224"/>
      <c r="BEM1" s="224"/>
      <c r="BEN1" s="224"/>
      <c r="BEO1" s="224"/>
      <c r="BEP1" s="224"/>
      <c r="BEQ1" s="224"/>
      <c r="BER1" s="224"/>
      <c r="BES1" s="224"/>
      <c r="BET1" s="224"/>
      <c r="BEU1" s="224"/>
      <c r="BEV1" s="224"/>
      <c r="BEW1" s="224"/>
      <c r="BEX1" s="224"/>
      <c r="BEY1" s="224"/>
      <c r="BEZ1" s="224"/>
      <c r="BFA1" s="224"/>
      <c r="BFB1" s="224"/>
      <c r="BFC1" s="224"/>
      <c r="BFD1" s="224"/>
      <c r="BFE1" s="224"/>
      <c r="BFF1" s="224"/>
      <c r="BFG1" s="224"/>
      <c r="BFH1" s="224"/>
      <c r="BFI1" s="224"/>
      <c r="BFJ1" s="224"/>
      <c r="BFK1" s="224"/>
      <c r="BFL1" s="224"/>
      <c r="BFM1" s="224"/>
      <c r="BFN1" s="224"/>
      <c r="BFO1" s="224"/>
      <c r="BFP1" s="224"/>
      <c r="BFQ1" s="224"/>
      <c r="BFR1" s="224"/>
      <c r="BFS1" s="224"/>
      <c r="BFT1" s="224"/>
      <c r="BFU1" s="224"/>
      <c r="BFV1" s="224"/>
      <c r="BFW1" s="224"/>
      <c r="BFX1" s="224"/>
      <c r="BFY1" s="224"/>
      <c r="BFZ1" s="224"/>
      <c r="BGA1" s="224"/>
      <c r="BGB1" s="224"/>
      <c r="BGC1" s="224"/>
      <c r="BGD1" s="224"/>
      <c r="BGE1" s="224"/>
      <c r="BGF1" s="224"/>
      <c r="BGG1" s="224"/>
      <c r="BGH1" s="224"/>
      <c r="BGI1" s="224"/>
      <c r="BGJ1" s="224"/>
      <c r="BGK1" s="224"/>
      <c r="BGL1" s="224"/>
      <c r="BGM1" s="224"/>
      <c r="BGN1" s="224"/>
      <c r="BGO1" s="224"/>
      <c r="BGP1" s="224"/>
      <c r="BGQ1" s="224"/>
      <c r="BGR1" s="224"/>
      <c r="BGS1" s="224"/>
      <c r="BGT1" s="224"/>
      <c r="BGU1" s="224"/>
      <c r="BGV1" s="224"/>
      <c r="BGW1" s="224"/>
      <c r="BGX1" s="224"/>
      <c r="BGY1" s="224"/>
      <c r="BGZ1" s="224"/>
      <c r="BHA1" s="224"/>
      <c r="BHB1" s="224"/>
      <c r="BHC1" s="224"/>
      <c r="BHD1" s="224"/>
      <c r="BHE1" s="224"/>
      <c r="BHF1" s="224"/>
      <c r="BHG1" s="224"/>
      <c r="BHH1" s="224"/>
      <c r="BHI1" s="224"/>
      <c r="BHJ1" s="224"/>
      <c r="BHK1" s="224"/>
      <c r="BHL1" s="224"/>
      <c r="BHM1" s="224"/>
      <c r="BHN1" s="224"/>
      <c r="BHO1" s="224"/>
      <c r="BHP1" s="224"/>
      <c r="BHQ1" s="224"/>
      <c r="BHR1" s="224"/>
      <c r="BHS1" s="224"/>
      <c r="BHT1" s="224"/>
      <c r="BHU1" s="224"/>
      <c r="BHV1" s="224"/>
      <c r="BHW1" s="224"/>
      <c r="BHX1" s="224"/>
      <c r="BHY1" s="224"/>
      <c r="BHZ1" s="224"/>
      <c r="BIA1" s="224"/>
      <c r="BIB1" s="224"/>
      <c r="BIC1" s="224"/>
      <c r="BID1" s="224"/>
      <c r="BIE1" s="224"/>
      <c r="BIF1" s="224"/>
      <c r="BIG1" s="224"/>
      <c r="BIH1" s="224"/>
      <c r="BII1" s="224"/>
      <c r="BIJ1" s="224"/>
      <c r="BIK1" s="224"/>
      <c r="BIL1" s="224"/>
      <c r="BIM1" s="224"/>
      <c r="BIN1" s="224"/>
      <c r="BIO1" s="224"/>
      <c r="BIP1" s="224"/>
      <c r="BIQ1" s="224"/>
      <c r="BIR1" s="224"/>
      <c r="BIS1" s="224"/>
      <c r="BIT1" s="224"/>
      <c r="BIU1" s="224"/>
      <c r="BIV1" s="224"/>
      <c r="BIW1" s="224"/>
      <c r="BIX1" s="224"/>
      <c r="BIY1" s="224"/>
      <c r="BIZ1" s="224"/>
      <c r="BJA1" s="224"/>
      <c r="BJB1" s="224"/>
      <c r="BJC1" s="224"/>
      <c r="BJD1" s="224"/>
      <c r="BJE1" s="224"/>
      <c r="BJF1" s="224"/>
      <c r="BJG1" s="224"/>
      <c r="BJH1" s="224"/>
      <c r="BJI1" s="224"/>
      <c r="BJJ1" s="224"/>
      <c r="BJK1" s="224"/>
      <c r="BJL1" s="224"/>
      <c r="BJM1" s="224"/>
      <c r="BJN1" s="224"/>
      <c r="BJO1" s="224"/>
      <c r="BJP1" s="224"/>
      <c r="BJQ1" s="224"/>
      <c r="BJR1" s="224"/>
      <c r="BJS1" s="224"/>
      <c r="BJT1" s="224"/>
      <c r="BJU1" s="224"/>
      <c r="BJV1" s="224"/>
      <c r="BJW1" s="224"/>
      <c r="BJX1" s="224"/>
      <c r="BJY1" s="224"/>
      <c r="BJZ1" s="224"/>
      <c r="BKA1" s="224"/>
      <c r="BKB1" s="224"/>
      <c r="BKC1" s="224"/>
      <c r="BKD1" s="224"/>
      <c r="BKE1" s="224"/>
      <c r="BKF1" s="224"/>
      <c r="BKG1" s="224"/>
      <c r="BKH1" s="224"/>
      <c r="BKI1" s="224"/>
      <c r="BKJ1" s="224"/>
      <c r="BKK1" s="224"/>
      <c r="BKL1" s="224"/>
      <c r="BKM1" s="224"/>
      <c r="BKN1" s="224"/>
      <c r="BKO1" s="224"/>
      <c r="BKP1" s="224"/>
      <c r="BKQ1" s="224"/>
      <c r="BKR1" s="224"/>
      <c r="BKS1" s="224"/>
      <c r="BKT1" s="224"/>
      <c r="BKU1" s="224"/>
      <c r="BKV1" s="224"/>
      <c r="BKW1" s="224"/>
      <c r="BKX1" s="224"/>
      <c r="BKY1" s="224"/>
      <c r="BKZ1" s="224"/>
      <c r="BLA1" s="224"/>
      <c r="BLB1" s="224"/>
      <c r="BLC1" s="224"/>
      <c r="BLD1" s="224"/>
      <c r="BLE1" s="224"/>
      <c r="BLF1" s="224"/>
      <c r="BLG1" s="224"/>
      <c r="BLH1" s="224"/>
      <c r="BLI1" s="224"/>
      <c r="BLJ1" s="224"/>
      <c r="BLK1" s="224"/>
      <c r="BLL1" s="224"/>
      <c r="BLM1" s="224"/>
      <c r="BLN1" s="224"/>
      <c r="BLO1" s="224"/>
      <c r="BLP1" s="224"/>
      <c r="BLQ1" s="224"/>
      <c r="BLR1" s="224"/>
      <c r="BLS1" s="224"/>
      <c r="BLT1" s="224"/>
      <c r="BLU1" s="224"/>
      <c r="BLV1" s="224"/>
      <c r="BLW1" s="224"/>
      <c r="BLX1" s="224"/>
      <c r="BLY1" s="224"/>
      <c r="BLZ1" s="224"/>
      <c r="BMA1" s="224"/>
      <c r="BMB1" s="224"/>
      <c r="BMC1" s="224"/>
      <c r="BMD1" s="224"/>
      <c r="BME1" s="224"/>
      <c r="BMF1" s="224"/>
      <c r="BMG1" s="224"/>
      <c r="BMH1" s="224"/>
      <c r="BMI1" s="224"/>
      <c r="BMJ1" s="224"/>
      <c r="BMK1" s="224"/>
      <c r="BML1" s="224"/>
      <c r="BMM1" s="224"/>
      <c r="BMN1" s="224"/>
      <c r="BMO1" s="224"/>
      <c r="BMP1" s="224"/>
      <c r="BMQ1" s="224"/>
      <c r="BMR1" s="224"/>
      <c r="BMS1" s="224"/>
      <c r="BMT1" s="224"/>
      <c r="BMU1" s="224"/>
      <c r="BMV1" s="224"/>
      <c r="BMW1" s="224"/>
      <c r="BMX1" s="224"/>
      <c r="BMY1" s="224"/>
      <c r="BMZ1" s="224"/>
      <c r="BNA1" s="224"/>
      <c r="BNB1" s="224"/>
      <c r="BNC1" s="224"/>
      <c r="BND1" s="224"/>
      <c r="BNE1" s="224"/>
      <c r="BNF1" s="224"/>
      <c r="BNG1" s="224"/>
      <c r="BNH1" s="224"/>
      <c r="BNI1" s="224"/>
      <c r="BNJ1" s="224"/>
      <c r="BNK1" s="224"/>
      <c r="BNL1" s="224"/>
      <c r="BNM1" s="224"/>
      <c r="BNN1" s="224"/>
      <c r="BNO1" s="224"/>
      <c r="BNP1" s="224"/>
      <c r="BNQ1" s="224"/>
      <c r="BNR1" s="224"/>
      <c r="BNS1" s="224"/>
      <c r="BNT1" s="224"/>
      <c r="BNU1" s="224"/>
      <c r="BNV1" s="224"/>
      <c r="BNW1" s="224"/>
      <c r="BNX1" s="224"/>
      <c r="BNY1" s="224"/>
      <c r="BNZ1" s="224"/>
      <c r="BOA1" s="224"/>
      <c r="BOB1" s="224"/>
      <c r="BOC1" s="224"/>
      <c r="BOD1" s="224"/>
      <c r="BOE1" s="224"/>
      <c r="BOF1" s="224"/>
      <c r="BOG1" s="224"/>
      <c r="BOH1" s="224"/>
      <c r="BOI1" s="224"/>
      <c r="BOJ1" s="224"/>
      <c r="BOK1" s="224"/>
      <c r="BOL1" s="224"/>
      <c r="BOM1" s="224"/>
      <c r="BON1" s="224"/>
      <c r="BOO1" s="224"/>
      <c r="BOP1" s="224"/>
      <c r="BOQ1" s="224"/>
      <c r="BOR1" s="224"/>
      <c r="BOS1" s="224"/>
      <c r="BOT1" s="224"/>
      <c r="BOU1" s="224"/>
      <c r="BOV1" s="224"/>
      <c r="BOW1" s="224"/>
      <c r="BOX1" s="224"/>
      <c r="BOY1" s="224"/>
      <c r="BOZ1" s="224"/>
      <c r="BPA1" s="224"/>
      <c r="BPB1" s="224"/>
      <c r="BPC1" s="224"/>
      <c r="BPD1" s="224"/>
      <c r="BPE1" s="224"/>
      <c r="BPF1" s="224"/>
      <c r="BPG1" s="224"/>
      <c r="BPH1" s="224"/>
      <c r="BPI1" s="224"/>
      <c r="BPJ1" s="224"/>
      <c r="BPK1" s="224"/>
      <c r="BPL1" s="224"/>
      <c r="BPM1" s="224"/>
      <c r="BPN1" s="224"/>
      <c r="BPO1" s="224"/>
      <c r="BPP1" s="224"/>
      <c r="BPQ1" s="224"/>
      <c r="BPR1" s="224"/>
      <c r="BPS1" s="224"/>
      <c r="BPT1" s="224"/>
      <c r="BPU1" s="224"/>
      <c r="BPV1" s="224"/>
      <c r="BPW1" s="224"/>
      <c r="BPX1" s="224"/>
      <c r="BPY1" s="224"/>
      <c r="BPZ1" s="224"/>
      <c r="BQA1" s="224"/>
      <c r="BQB1" s="224"/>
      <c r="BQC1" s="224"/>
      <c r="BQD1" s="224"/>
      <c r="BQE1" s="224"/>
      <c r="BQF1" s="224"/>
      <c r="BQG1" s="224"/>
      <c r="BQH1" s="224"/>
      <c r="BQI1" s="224"/>
      <c r="BQJ1" s="224"/>
      <c r="BQK1" s="224"/>
      <c r="BQL1" s="224"/>
      <c r="BQM1" s="224"/>
      <c r="BQN1" s="224"/>
      <c r="BQO1" s="224"/>
      <c r="BQP1" s="224"/>
      <c r="BQQ1" s="224"/>
      <c r="BQR1" s="224"/>
      <c r="BQS1" s="224"/>
      <c r="BQT1" s="224"/>
      <c r="BQU1" s="224"/>
      <c r="BQV1" s="224"/>
      <c r="BQW1" s="224"/>
      <c r="BQX1" s="224"/>
      <c r="BQY1" s="224"/>
      <c r="BQZ1" s="224"/>
      <c r="BRA1" s="224"/>
      <c r="BRB1" s="224"/>
      <c r="BRC1" s="224"/>
      <c r="BRD1" s="224"/>
      <c r="BRE1" s="224"/>
      <c r="BRF1" s="224"/>
      <c r="BRG1" s="224"/>
      <c r="BRH1" s="224"/>
      <c r="BRI1" s="224"/>
      <c r="BRJ1" s="224"/>
      <c r="BRK1" s="224"/>
      <c r="BRL1" s="224"/>
      <c r="BRM1" s="224"/>
      <c r="BRN1" s="224"/>
      <c r="BRO1" s="224"/>
      <c r="BRP1" s="224"/>
      <c r="BRQ1" s="224"/>
      <c r="BRR1" s="224"/>
      <c r="BRS1" s="224"/>
      <c r="BRT1" s="224"/>
      <c r="BRU1" s="224"/>
      <c r="BRV1" s="224"/>
      <c r="BRW1" s="224"/>
      <c r="BRX1" s="224"/>
      <c r="BRY1" s="224"/>
      <c r="BRZ1" s="224"/>
      <c r="BSA1" s="224"/>
      <c r="BSB1" s="224"/>
      <c r="BSC1" s="224"/>
      <c r="BSD1" s="224"/>
      <c r="BSE1" s="224"/>
      <c r="BSF1" s="224"/>
      <c r="BSG1" s="224"/>
      <c r="BSH1" s="224"/>
      <c r="BSI1" s="224"/>
      <c r="BSJ1" s="224"/>
      <c r="BSK1" s="224"/>
      <c r="BSL1" s="224"/>
      <c r="BSM1" s="224"/>
      <c r="BSN1" s="224"/>
      <c r="BSO1" s="224"/>
      <c r="BSP1" s="224"/>
      <c r="BSQ1" s="224"/>
      <c r="BSR1" s="224"/>
      <c r="BSS1" s="224"/>
      <c r="BST1" s="224"/>
      <c r="BSU1" s="224"/>
      <c r="BSV1" s="224"/>
      <c r="BSW1" s="224"/>
      <c r="BSX1" s="224"/>
      <c r="BSY1" s="224"/>
      <c r="BSZ1" s="224"/>
      <c r="BTA1" s="224"/>
      <c r="BTB1" s="224"/>
      <c r="BTC1" s="224"/>
      <c r="BTD1" s="224"/>
      <c r="BTE1" s="224"/>
      <c r="BTF1" s="224"/>
      <c r="BTG1" s="224"/>
      <c r="BTH1" s="224"/>
      <c r="BTI1" s="224"/>
      <c r="BTJ1" s="224"/>
      <c r="BTK1" s="224"/>
      <c r="BTL1" s="224"/>
      <c r="BTM1" s="224"/>
      <c r="BTN1" s="224"/>
      <c r="BTO1" s="224"/>
      <c r="BTP1" s="224"/>
      <c r="BTQ1" s="224"/>
      <c r="BTR1" s="224"/>
      <c r="BTS1" s="224"/>
      <c r="BTT1" s="224"/>
      <c r="BTU1" s="224"/>
      <c r="BTV1" s="224"/>
      <c r="BTW1" s="224"/>
      <c r="BTX1" s="224"/>
      <c r="BTY1" s="224"/>
      <c r="BTZ1" s="224"/>
      <c r="BUA1" s="224"/>
      <c r="BUB1" s="224"/>
      <c r="BUC1" s="224"/>
      <c r="BUD1" s="224"/>
      <c r="BUE1" s="224"/>
      <c r="BUF1" s="224"/>
      <c r="BUG1" s="224"/>
      <c r="BUH1" s="224"/>
      <c r="BUI1" s="224"/>
      <c r="BUJ1" s="224"/>
      <c r="BUK1" s="224"/>
      <c r="BUL1" s="224"/>
      <c r="BUM1" s="224"/>
      <c r="BUN1" s="224"/>
      <c r="BUO1" s="224"/>
      <c r="BUP1" s="224"/>
      <c r="BUQ1" s="224"/>
      <c r="BUR1" s="224"/>
      <c r="BUS1" s="224"/>
      <c r="BUT1" s="224"/>
      <c r="BUU1" s="224"/>
      <c r="BUV1" s="224"/>
      <c r="BUW1" s="224"/>
      <c r="BUX1" s="224"/>
      <c r="BUY1" s="224"/>
      <c r="BUZ1" s="224"/>
      <c r="BVA1" s="224"/>
      <c r="BVB1" s="224"/>
      <c r="BVC1" s="224"/>
      <c r="BVD1" s="224"/>
      <c r="BVE1" s="224"/>
      <c r="BVF1" s="224"/>
      <c r="BVG1" s="224"/>
      <c r="BVH1" s="224"/>
      <c r="BVI1" s="224"/>
      <c r="BVJ1" s="224"/>
      <c r="BVK1" s="224"/>
      <c r="BVL1" s="224"/>
      <c r="BVM1" s="224"/>
      <c r="BVN1" s="224"/>
      <c r="BVO1" s="224"/>
      <c r="BVP1" s="224"/>
      <c r="BVQ1" s="224"/>
      <c r="BVR1" s="224"/>
      <c r="BVS1" s="224"/>
      <c r="BVT1" s="224"/>
      <c r="BVU1" s="224"/>
      <c r="BVV1" s="224"/>
      <c r="BVW1" s="224"/>
      <c r="BVX1" s="224"/>
      <c r="BVY1" s="224"/>
      <c r="BVZ1" s="224"/>
      <c r="BWA1" s="224"/>
      <c r="BWB1" s="224"/>
      <c r="BWC1" s="224"/>
      <c r="BWD1" s="224"/>
      <c r="BWE1" s="224"/>
      <c r="BWF1" s="224"/>
      <c r="BWG1" s="224"/>
      <c r="BWH1" s="224"/>
      <c r="BWI1" s="224"/>
      <c r="BWJ1" s="224"/>
      <c r="BWK1" s="224"/>
      <c r="BWL1" s="224"/>
      <c r="BWM1" s="224"/>
      <c r="BWN1" s="224"/>
      <c r="BWO1" s="224"/>
      <c r="BWP1" s="224"/>
      <c r="BWQ1" s="224"/>
      <c r="BWR1" s="224"/>
      <c r="BWS1" s="224"/>
      <c r="BWT1" s="224"/>
      <c r="BWU1" s="224"/>
      <c r="BWV1" s="224"/>
      <c r="BWW1" s="224"/>
      <c r="BWX1" s="224"/>
      <c r="BWY1" s="224"/>
      <c r="BWZ1" s="224"/>
      <c r="BXA1" s="224"/>
      <c r="BXB1" s="224"/>
      <c r="BXC1" s="224"/>
      <c r="BXD1" s="224"/>
      <c r="BXE1" s="224"/>
      <c r="BXF1" s="224"/>
      <c r="BXG1" s="224"/>
      <c r="BXH1" s="224"/>
      <c r="BXI1" s="224"/>
      <c r="BXJ1" s="224"/>
      <c r="BXK1" s="224"/>
      <c r="BXL1" s="224"/>
      <c r="BXM1" s="224"/>
      <c r="BXN1" s="224"/>
      <c r="BXO1" s="224"/>
      <c r="BXP1" s="224"/>
      <c r="BXQ1" s="224"/>
      <c r="BXR1" s="224"/>
      <c r="BXS1" s="224"/>
      <c r="BXT1" s="224"/>
      <c r="BXU1" s="224"/>
      <c r="BXV1" s="224"/>
      <c r="BXW1" s="224"/>
      <c r="BXX1" s="224"/>
      <c r="BXY1" s="224"/>
      <c r="BXZ1" s="224"/>
      <c r="BYA1" s="224"/>
      <c r="BYB1" s="224"/>
      <c r="BYC1" s="224"/>
      <c r="BYD1" s="224"/>
      <c r="BYE1" s="224"/>
      <c r="BYF1" s="224"/>
      <c r="BYG1" s="224"/>
      <c r="BYH1" s="224"/>
      <c r="BYI1" s="224"/>
      <c r="BYJ1" s="224"/>
      <c r="BYK1" s="224"/>
      <c r="BYL1" s="224"/>
      <c r="BYM1" s="224"/>
      <c r="BYN1" s="224"/>
      <c r="BYO1" s="224"/>
      <c r="BYP1" s="224"/>
      <c r="BYQ1" s="224"/>
      <c r="BYR1" s="224"/>
      <c r="BYS1" s="224"/>
      <c r="BYT1" s="224"/>
      <c r="BYU1" s="224"/>
      <c r="BYV1" s="224"/>
      <c r="BYW1" s="224"/>
      <c r="BYX1" s="224"/>
      <c r="BYY1" s="224"/>
      <c r="BYZ1" s="224"/>
      <c r="BZA1" s="224"/>
      <c r="BZB1" s="224"/>
      <c r="BZC1" s="224"/>
      <c r="BZD1" s="224"/>
      <c r="BZE1" s="224"/>
      <c r="BZF1" s="224"/>
      <c r="BZG1" s="224"/>
      <c r="BZH1" s="224"/>
      <c r="BZI1" s="224"/>
      <c r="BZJ1" s="224"/>
      <c r="BZK1" s="224"/>
      <c r="BZL1" s="224"/>
      <c r="BZM1" s="224"/>
      <c r="BZN1" s="224"/>
      <c r="BZO1" s="224"/>
      <c r="BZP1" s="224"/>
      <c r="BZQ1" s="224"/>
      <c r="BZR1" s="224"/>
      <c r="BZS1" s="224"/>
      <c r="BZT1" s="224"/>
      <c r="BZU1" s="224"/>
      <c r="BZV1" s="224"/>
      <c r="BZW1" s="224"/>
      <c r="BZX1" s="224"/>
      <c r="BZY1" s="224"/>
      <c r="BZZ1" s="224"/>
      <c r="CAA1" s="224"/>
      <c r="CAB1" s="224"/>
      <c r="CAC1" s="224"/>
      <c r="CAD1" s="224"/>
      <c r="CAE1" s="224"/>
      <c r="CAF1" s="224"/>
      <c r="CAG1" s="224"/>
      <c r="CAH1" s="224"/>
      <c r="CAI1" s="224"/>
      <c r="CAJ1" s="224"/>
      <c r="CAK1" s="224"/>
      <c r="CAL1" s="224"/>
      <c r="CAM1" s="224"/>
      <c r="CAN1" s="224"/>
      <c r="CAO1" s="224"/>
      <c r="CAP1" s="224"/>
      <c r="CAQ1" s="224"/>
      <c r="CAR1" s="224"/>
      <c r="CAS1" s="224"/>
      <c r="CAT1" s="224"/>
      <c r="CAU1" s="224"/>
      <c r="CAV1" s="224"/>
      <c r="CAW1" s="224"/>
      <c r="CAX1" s="224"/>
      <c r="CAY1" s="224"/>
      <c r="CAZ1" s="224"/>
      <c r="CBA1" s="224"/>
      <c r="CBB1" s="224"/>
      <c r="CBC1" s="224"/>
      <c r="CBD1" s="224"/>
      <c r="CBE1" s="224"/>
      <c r="CBF1" s="224"/>
      <c r="CBG1" s="224"/>
      <c r="CBH1" s="224"/>
      <c r="CBI1" s="224"/>
      <c r="CBJ1" s="224"/>
      <c r="CBK1" s="224"/>
      <c r="CBL1" s="224"/>
      <c r="CBM1" s="224"/>
      <c r="CBN1" s="224"/>
      <c r="CBO1" s="224"/>
      <c r="CBP1" s="224"/>
      <c r="CBQ1" s="224"/>
      <c r="CBR1" s="224"/>
      <c r="CBS1" s="224"/>
      <c r="CBT1" s="224"/>
      <c r="CBU1" s="224"/>
      <c r="CBV1" s="224"/>
      <c r="CBW1" s="224"/>
      <c r="CBX1" s="224"/>
      <c r="CBY1" s="224"/>
      <c r="CBZ1" s="224"/>
      <c r="CCA1" s="224"/>
      <c r="CCB1" s="224"/>
      <c r="CCC1" s="224"/>
      <c r="CCD1" s="224"/>
      <c r="CCE1" s="224"/>
      <c r="CCF1" s="224"/>
      <c r="CCG1" s="224"/>
      <c r="CCH1" s="224"/>
      <c r="CCI1" s="224"/>
      <c r="CCJ1" s="224"/>
      <c r="CCK1" s="224"/>
      <c r="CCL1" s="224"/>
      <c r="CCM1" s="224"/>
      <c r="CCN1" s="224"/>
      <c r="CCO1" s="224"/>
      <c r="CCP1" s="224"/>
      <c r="CCQ1" s="224"/>
      <c r="CCR1" s="224"/>
      <c r="CCS1" s="224"/>
      <c r="CCT1" s="224"/>
      <c r="CCU1" s="224"/>
      <c r="CCV1" s="224"/>
      <c r="CCW1" s="224"/>
      <c r="CCX1" s="224"/>
      <c r="CCY1" s="224"/>
      <c r="CCZ1" s="224"/>
      <c r="CDA1" s="224"/>
      <c r="CDB1" s="224"/>
      <c r="CDC1" s="224"/>
      <c r="CDD1" s="224"/>
      <c r="CDE1" s="224"/>
      <c r="CDF1" s="224"/>
      <c r="CDG1" s="224"/>
      <c r="CDH1" s="224"/>
      <c r="CDI1" s="224"/>
      <c r="CDJ1" s="224"/>
      <c r="CDK1" s="224"/>
      <c r="CDL1" s="224"/>
      <c r="CDM1" s="224"/>
      <c r="CDN1" s="224"/>
      <c r="CDO1" s="224"/>
      <c r="CDP1" s="224"/>
      <c r="CDQ1" s="224"/>
      <c r="CDR1" s="224"/>
      <c r="CDS1" s="224"/>
      <c r="CDT1" s="224"/>
      <c r="CDU1" s="224"/>
      <c r="CDV1" s="224"/>
      <c r="CDW1" s="224"/>
      <c r="CDX1" s="224"/>
      <c r="CDY1" s="224"/>
      <c r="CDZ1" s="224"/>
      <c r="CEA1" s="224"/>
      <c r="CEB1" s="224"/>
      <c r="CEC1" s="224"/>
      <c r="CED1" s="224"/>
      <c r="CEE1" s="224"/>
      <c r="CEF1" s="224"/>
      <c r="CEG1" s="224"/>
      <c r="CEH1" s="224"/>
      <c r="CEI1" s="224"/>
      <c r="CEJ1" s="224"/>
      <c r="CEK1" s="224"/>
      <c r="CEL1" s="224"/>
      <c r="CEM1" s="224"/>
      <c r="CEN1" s="224"/>
      <c r="CEO1" s="224"/>
      <c r="CEP1" s="224"/>
      <c r="CEQ1" s="224"/>
      <c r="CER1" s="224"/>
      <c r="CES1" s="224"/>
      <c r="CET1" s="224"/>
      <c r="CEU1" s="224"/>
      <c r="CEV1" s="224"/>
      <c r="CEW1" s="224"/>
      <c r="CEX1" s="224"/>
      <c r="CEY1" s="224"/>
      <c r="CEZ1" s="224"/>
      <c r="CFA1" s="224"/>
      <c r="CFB1" s="224"/>
      <c r="CFC1" s="224"/>
      <c r="CFD1" s="224"/>
      <c r="CFE1" s="224"/>
      <c r="CFF1" s="224"/>
      <c r="CFG1" s="224"/>
      <c r="CFH1" s="224"/>
      <c r="CFI1" s="224"/>
      <c r="CFJ1" s="224"/>
      <c r="CFK1" s="224"/>
      <c r="CFL1" s="224"/>
      <c r="CFM1" s="224"/>
      <c r="CFN1" s="224"/>
      <c r="CFO1" s="224"/>
      <c r="CFP1" s="224"/>
      <c r="CFQ1" s="224"/>
      <c r="CFR1" s="224"/>
      <c r="CFS1" s="224"/>
      <c r="CFT1" s="224"/>
      <c r="CFU1" s="224"/>
      <c r="CFV1" s="224"/>
      <c r="CFW1" s="224"/>
      <c r="CFX1" s="224"/>
      <c r="CFY1" s="224"/>
      <c r="CFZ1" s="224"/>
      <c r="CGA1" s="224"/>
      <c r="CGB1" s="224"/>
      <c r="CGC1" s="224"/>
      <c r="CGD1" s="224"/>
      <c r="CGE1" s="224"/>
      <c r="CGF1" s="224"/>
      <c r="CGG1" s="224"/>
      <c r="CGH1" s="224"/>
      <c r="CGI1" s="224"/>
      <c r="CGJ1" s="224"/>
      <c r="CGK1" s="224"/>
      <c r="CGL1" s="224"/>
      <c r="CGM1" s="224"/>
      <c r="CGN1" s="224"/>
      <c r="CGO1" s="224"/>
      <c r="CGP1" s="224"/>
      <c r="CGQ1" s="224"/>
      <c r="CGR1" s="224"/>
      <c r="CGS1" s="224"/>
      <c r="CGT1" s="224"/>
      <c r="CGU1" s="224"/>
      <c r="CGV1" s="224"/>
      <c r="CGW1" s="224"/>
      <c r="CGX1" s="224"/>
      <c r="CGY1" s="224"/>
      <c r="CGZ1" s="224"/>
      <c r="CHA1" s="224"/>
      <c r="CHB1" s="224"/>
      <c r="CHC1" s="224"/>
      <c r="CHD1" s="224"/>
      <c r="CHE1" s="224"/>
      <c r="CHF1" s="224"/>
      <c r="CHG1" s="224"/>
      <c r="CHH1" s="224"/>
      <c r="CHI1" s="224"/>
      <c r="CHJ1" s="224"/>
      <c r="CHK1" s="224"/>
      <c r="CHL1" s="224"/>
      <c r="CHM1" s="224"/>
      <c r="CHN1" s="224"/>
      <c r="CHO1" s="224"/>
      <c r="CHP1" s="224"/>
      <c r="CHQ1" s="224"/>
      <c r="CHR1" s="224"/>
      <c r="CHS1" s="224"/>
      <c r="CHT1" s="224"/>
      <c r="CHU1" s="224"/>
      <c r="CHV1" s="224"/>
      <c r="CHW1" s="224"/>
      <c r="CHX1" s="224"/>
      <c r="CHY1" s="224"/>
      <c r="CHZ1" s="224"/>
      <c r="CIA1" s="224"/>
      <c r="CIB1" s="224"/>
      <c r="CIC1" s="224"/>
      <c r="CID1" s="224"/>
      <c r="CIE1" s="224"/>
      <c r="CIF1" s="224"/>
      <c r="CIG1" s="224"/>
      <c r="CIH1" s="224"/>
      <c r="CII1" s="224"/>
      <c r="CIJ1" s="224"/>
      <c r="CIK1" s="224"/>
      <c r="CIL1" s="224"/>
      <c r="CIM1" s="224"/>
      <c r="CIN1" s="224"/>
      <c r="CIO1" s="224"/>
      <c r="CIP1" s="224"/>
      <c r="CIQ1" s="224"/>
      <c r="CIR1" s="224"/>
      <c r="CIS1" s="224"/>
      <c r="CIT1" s="224"/>
      <c r="CIU1" s="224"/>
      <c r="CIV1" s="224"/>
      <c r="CIW1" s="224"/>
      <c r="CIX1" s="224"/>
      <c r="CIY1" s="224"/>
      <c r="CIZ1" s="224"/>
      <c r="CJA1" s="224"/>
      <c r="CJB1" s="224"/>
      <c r="CJC1" s="224"/>
      <c r="CJD1" s="224"/>
      <c r="CJE1" s="224"/>
      <c r="CJF1" s="224"/>
      <c r="CJG1" s="224"/>
      <c r="CJH1" s="224"/>
      <c r="CJI1" s="224"/>
      <c r="CJJ1" s="224"/>
      <c r="CJK1" s="224"/>
      <c r="CJL1" s="224"/>
      <c r="CJM1" s="224"/>
      <c r="CJN1" s="224"/>
      <c r="CJO1" s="224"/>
      <c r="CJP1" s="224"/>
      <c r="CJQ1" s="224"/>
      <c r="CJR1" s="224"/>
      <c r="CJS1" s="224"/>
      <c r="CJT1" s="224"/>
      <c r="CJU1" s="224"/>
      <c r="CJV1" s="224"/>
      <c r="CJW1" s="224"/>
      <c r="CJX1" s="224"/>
      <c r="CJY1" s="224"/>
      <c r="CJZ1" s="224"/>
      <c r="CKA1" s="224"/>
      <c r="CKB1" s="224"/>
      <c r="CKC1" s="224"/>
      <c r="CKD1" s="224"/>
      <c r="CKE1" s="224"/>
      <c r="CKF1" s="224"/>
      <c r="CKG1" s="224"/>
      <c r="CKH1" s="224"/>
      <c r="CKI1" s="224"/>
      <c r="CKJ1" s="224"/>
      <c r="CKK1" s="224"/>
      <c r="CKL1" s="224"/>
      <c r="CKM1" s="224"/>
      <c r="CKN1" s="224"/>
      <c r="CKO1" s="224"/>
      <c r="CKP1" s="224"/>
      <c r="CKQ1" s="224"/>
      <c r="CKR1" s="224"/>
      <c r="CKS1" s="224"/>
      <c r="CKT1" s="224"/>
      <c r="CKU1" s="224"/>
      <c r="CKV1" s="224"/>
      <c r="CKW1" s="224"/>
      <c r="CKX1" s="224"/>
      <c r="CKY1" s="224"/>
      <c r="CKZ1" s="224"/>
      <c r="CLA1" s="224"/>
      <c r="CLB1" s="224"/>
      <c r="CLC1" s="224"/>
      <c r="CLD1" s="224"/>
      <c r="CLE1" s="224"/>
      <c r="CLF1" s="224"/>
      <c r="CLG1" s="224"/>
      <c r="CLH1" s="224"/>
      <c r="CLI1" s="224"/>
      <c r="CLJ1" s="224"/>
      <c r="CLK1" s="224"/>
      <c r="CLL1" s="224"/>
      <c r="CLM1" s="224"/>
      <c r="CLN1" s="224"/>
      <c r="CLO1" s="224"/>
      <c r="CLP1" s="224"/>
      <c r="CLQ1" s="224"/>
      <c r="CLR1" s="224"/>
      <c r="CLS1" s="224"/>
      <c r="CLT1" s="224"/>
      <c r="CLU1" s="224"/>
      <c r="CLV1" s="224"/>
      <c r="CLW1" s="224"/>
      <c r="CLX1" s="224"/>
      <c r="CLY1" s="224"/>
      <c r="CLZ1" s="224"/>
      <c r="CMA1" s="224"/>
      <c r="CMB1" s="224"/>
      <c r="CMC1" s="224"/>
      <c r="CMD1" s="224"/>
      <c r="CME1" s="224"/>
      <c r="CMF1" s="224"/>
      <c r="CMG1" s="224"/>
      <c r="CMH1" s="224"/>
      <c r="CMI1" s="224"/>
      <c r="CMJ1" s="224"/>
      <c r="CMK1" s="224"/>
      <c r="CML1" s="224"/>
      <c r="CMM1" s="224"/>
      <c r="CMN1" s="224"/>
      <c r="CMO1" s="224"/>
      <c r="CMP1" s="224"/>
      <c r="CMQ1" s="224"/>
      <c r="CMR1" s="224"/>
      <c r="CMS1" s="224"/>
      <c r="CMT1" s="224"/>
      <c r="CMU1" s="224"/>
      <c r="CMV1" s="224"/>
      <c r="CMW1" s="224"/>
      <c r="CMX1" s="224"/>
      <c r="CMY1" s="224"/>
      <c r="CMZ1" s="224"/>
      <c r="CNA1" s="224"/>
      <c r="CNB1" s="224"/>
      <c r="CNC1" s="224"/>
      <c r="CND1" s="224"/>
      <c r="CNE1" s="224"/>
      <c r="CNF1" s="224"/>
      <c r="CNG1" s="224"/>
      <c r="CNH1" s="224"/>
      <c r="CNI1" s="224"/>
      <c r="CNJ1" s="224"/>
      <c r="CNK1" s="224"/>
      <c r="CNL1" s="224"/>
      <c r="CNM1" s="224"/>
      <c r="CNN1" s="224"/>
      <c r="CNO1" s="224"/>
      <c r="CNP1" s="224"/>
      <c r="CNQ1" s="224"/>
      <c r="CNR1" s="224"/>
      <c r="CNS1" s="224"/>
      <c r="CNT1" s="224"/>
      <c r="CNU1" s="224"/>
      <c r="CNV1" s="224"/>
      <c r="CNW1" s="224"/>
      <c r="CNX1" s="224"/>
      <c r="CNY1" s="224"/>
      <c r="CNZ1" s="224"/>
      <c r="COA1" s="224"/>
      <c r="COB1" s="224"/>
      <c r="COC1" s="224"/>
      <c r="COD1" s="224"/>
      <c r="COE1" s="224"/>
      <c r="COF1" s="224"/>
      <c r="COG1" s="224"/>
      <c r="COH1" s="224"/>
      <c r="COI1" s="224"/>
      <c r="COJ1" s="224"/>
      <c r="COK1" s="224"/>
      <c r="COL1" s="224"/>
      <c r="COM1" s="224"/>
      <c r="CON1" s="224"/>
      <c r="COO1" s="224"/>
      <c r="COP1" s="224"/>
      <c r="COQ1" s="224"/>
      <c r="COR1" s="224"/>
      <c r="COS1" s="224"/>
      <c r="COT1" s="224"/>
      <c r="COU1" s="224"/>
      <c r="COV1" s="224"/>
      <c r="COW1" s="224"/>
      <c r="COX1" s="224"/>
      <c r="COY1" s="224"/>
      <c r="COZ1" s="224"/>
      <c r="CPA1" s="224"/>
      <c r="CPB1" s="224"/>
      <c r="CPC1" s="224"/>
      <c r="CPD1" s="224"/>
      <c r="CPE1" s="224"/>
      <c r="CPF1" s="224"/>
      <c r="CPG1" s="224"/>
      <c r="CPH1" s="224"/>
      <c r="CPI1" s="224"/>
      <c r="CPJ1" s="224"/>
      <c r="CPK1" s="224"/>
      <c r="CPL1" s="224"/>
      <c r="CPM1" s="224"/>
      <c r="CPN1" s="224"/>
      <c r="CPO1" s="224"/>
      <c r="CPP1" s="224"/>
      <c r="CPQ1" s="224"/>
      <c r="CPR1" s="224"/>
      <c r="CPS1" s="224"/>
      <c r="CPT1" s="224"/>
      <c r="CPU1" s="224"/>
      <c r="CPV1" s="224"/>
      <c r="CPW1" s="224"/>
      <c r="CPX1" s="224"/>
      <c r="CPY1" s="224"/>
      <c r="CPZ1" s="224"/>
      <c r="CQA1" s="224"/>
      <c r="CQB1" s="224"/>
      <c r="CQC1" s="224"/>
      <c r="CQD1" s="224"/>
      <c r="CQE1" s="224"/>
      <c r="CQF1" s="224"/>
      <c r="CQG1" s="224"/>
      <c r="CQH1" s="224"/>
      <c r="CQI1" s="224"/>
      <c r="CQJ1" s="224"/>
      <c r="CQK1" s="224"/>
      <c r="CQL1" s="224"/>
      <c r="CQM1" s="224"/>
      <c r="CQN1" s="224"/>
      <c r="CQO1" s="224"/>
      <c r="CQP1" s="224"/>
      <c r="CQQ1" s="224"/>
      <c r="CQR1" s="224"/>
      <c r="CQS1" s="224"/>
      <c r="CQT1" s="224"/>
      <c r="CQU1" s="224"/>
      <c r="CQV1" s="224"/>
      <c r="CQW1" s="224"/>
      <c r="CQX1" s="224"/>
      <c r="CQY1" s="224"/>
      <c r="CQZ1" s="224"/>
      <c r="CRA1" s="224"/>
      <c r="CRB1" s="224"/>
      <c r="CRC1" s="224"/>
      <c r="CRD1" s="224"/>
      <c r="CRE1" s="224"/>
      <c r="CRF1" s="224"/>
      <c r="CRG1" s="224"/>
      <c r="CRH1" s="224"/>
      <c r="CRI1" s="224"/>
      <c r="CRJ1" s="224"/>
      <c r="CRK1" s="224"/>
      <c r="CRL1" s="224"/>
      <c r="CRM1" s="224"/>
      <c r="CRN1" s="224"/>
      <c r="CRO1" s="224"/>
      <c r="CRP1" s="224"/>
      <c r="CRQ1" s="224"/>
      <c r="CRR1" s="224"/>
      <c r="CRS1" s="224"/>
      <c r="CRT1" s="224"/>
      <c r="CRU1" s="224"/>
      <c r="CRV1" s="224"/>
      <c r="CRW1" s="224"/>
      <c r="CRX1" s="224"/>
      <c r="CRY1" s="224"/>
      <c r="CRZ1" s="224"/>
      <c r="CSA1" s="224"/>
      <c r="CSB1" s="224"/>
      <c r="CSC1" s="224"/>
      <c r="CSD1" s="224"/>
      <c r="CSE1" s="224"/>
      <c r="CSF1" s="224"/>
      <c r="CSG1" s="224"/>
      <c r="CSH1" s="224"/>
      <c r="CSI1" s="224"/>
      <c r="CSJ1" s="224"/>
      <c r="CSK1" s="224"/>
      <c r="CSL1" s="224"/>
      <c r="CSM1" s="224"/>
      <c r="CSN1" s="224"/>
      <c r="CSO1" s="224"/>
      <c r="CSP1" s="224"/>
      <c r="CSQ1" s="224"/>
      <c r="CSR1" s="224"/>
      <c r="CSS1" s="224"/>
      <c r="CST1" s="224"/>
      <c r="CSU1" s="224"/>
      <c r="CSV1" s="224"/>
      <c r="CSW1" s="224"/>
      <c r="CSX1" s="224"/>
      <c r="CSY1" s="224"/>
      <c r="CSZ1" s="224"/>
      <c r="CTA1" s="224"/>
      <c r="CTB1" s="224"/>
      <c r="CTC1" s="224"/>
      <c r="CTD1" s="224"/>
      <c r="CTE1" s="224"/>
      <c r="CTF1" s="224"/>
      <c r="CTG1" s="224"/>
      <c r="CTH1" s="224"/>
      <c r="CTI1" s="224"/>
      <c r="CTJ1" s="224"/>
      <c r="CTK1" s="224"/>
      <c r="CTL1" s="224"/>
      <c r="CTM1" s="224"/>
      <c r="CTN1" s="224"/>
      <c r="CTO1" s="224"/>
      <c r="CTP1" s="224"/>
      <c r="CTQ1" s="224"/>
      <c r="CTR1" s="224"/>
      <c r="CTS1" s="224"/>
      <c r="CTT1" s="224"/>
      <c r="CTU1" s="224"/>
      <c r="CTV1" s="224"/>
      <c r="CTW1" s="224"/>
      <c r="CTX1" s="224"/>
      <c r="CTY1" s="224"/>
      <c r="CTZ1" s="224"/>
      <c r="CUA1" s="224"/>
      <c r="CUB1" s="224"/>
      <c r="CUC1" s="224"/>
      <c r="CUD1" s="224"/>
      <c r="CUE1" s="224"/>
      <c r="CUF1" s="224"/>
      <c r="CUG1" s="224"/>
      <c r="CUH1" s="224"/>
      <c r="CUI1" s="224"/>
      <c r="CUJ1" s="224"/>
      <c r="CUK1" s="224"/>
      <c r="CUL1" s="224"/>
      <c r="CUM1" s="224"/>
      <c r="CUN1" s="224"/>
      <c r="CUO1" s="224"/>
      <c r="CUP1" s="224"/>
      <c r="CUQ1" s="224"/>
      <c r="CUR1" s="224"/>
      <c r="CUS1" s="224"/>
      <c r="CUT1" s="224"/>
      <c r="CUU1" s="224"/>
      <c r="CUV1" s="224"/>
      <c r="CUW1" s="224"/>
      <c r="CUX1" s="224"/>
      <c r="CUY1" s="224"/>
      <c r="CUZ1" s="224"/>
      <c r="CVA1" s="224"/>
      <c r="CVB1" s="224"/>
      <c r="CVC1" s="224"/>
      <c r="CVD1" s="224"/>
      <c r="CVE1" s="224"/>
      <c r="CVF1" s="224"/>
      <c r="CVG1" s="224"/>
      <c r="CVH1" s="224"/>
      <c r="CVI1" s="224"/>
      <c r="CVJ1" s="224"/>
      <c r="CVK1" s="224"/>
      <c r="CVL1" s="224"/>
      <c r="CVM1" s="224"/>
      <c r="CVN1" s="224"/>
      <c r="CVO1" s="224"/>
      <c r="CVP1" s="224"/>
      <c r="CVQ1" s="224"/>
      <c r="CVR1" s="224"/>
      <c r="CVS1" s="224"/>
      <c r="CVT1" s="224"/>
      <c r="CVU1" s="224"/>
      <c r="CVV1" s="224"/>
      <c r="CVW1" s="224"/>
      <c r="CVX1" s="224"/>
      <c r="CVY1" s="224"/>
      <c r="CVZ1" s="224"/>
      <c r="CWA1" s="224"/>
      <c r="CWB1" s="224"/>
      <c r="CWC1" s="224"/>
      <c r="CWD1" s="224"/>
      <c r="CWE1" s="224"/>
      <c r="CWF1" s="224"/>
      <c r="CWG1" s="224"/>
      <c r="CWH1" s="224"/>
      <c r="CWI1" s="224"/>
      <c r="CWJ1" s="224"/>
      <c r="CWK1" s="224"/>
      <c r="CWL1" s="224"/>
      <c r="CWM1" s="224"/>
      <c r="CWN1" s="224"/>
      <c r="CWO1" s="224"/>
      <c r="CWP1" s="224"/>
      <c r="CWQ1" s="224"/>
      <c r="CWR1" s="224"/>
      <c r="CWS1" s="224"/>
      <c r="CWT1" s="224"/>
      <c r="CWU1" s="224"/>
      <c r="CWV1" s="224"/>
      <c r="CWW1" s="224"/>
      <c r="CWX1" s="224"/>
      <c r="CWY1" s="224"/>
      <c r="CWZ1" s="224"/>
      <c r="CXA1" s="224"/>
      <c r="CXB1" s="224"/>
      <c r="CXC1" s="224"/>
      <c r="CXD1" s="224"/>
      <c r="CXE1" s="224"/>
      <c r="CXF1" s="224"/>
      <c r="CXG1" s="224"/>
      <c r="CXH1" s="224"/>
      <c r="CXI1" s="224"/>
      <c r="CXJ1" s="224"/>
      <c r="CXK1" s="224"/>
      <c r="CXL1" s="224"/>
      <c r="CXM1" s="224"/>
      <c r="CXN1" s="224"/>
      <c r="CXO1" s="224"/>
      <c r="CXP1" s="224"/>
      <c r="CXQ1" s="224"/>
      <c r="CXR1" s="224"/>
      <c r="CXS1" s="224"/>
      <c r="CXT1" s="224"/>
      <c r="CXU1" s="224"/>
      <c r="CXV1" s="224"/>
      <c r="CXW1" s="224"/>
      <c r="CXX1" s="224"/>
      <c r="CXY1" s="224"/>
      <c r="CXZ1" s="224"/>
      <c r="CYA1" s="224"/>
      <c r="CYB1" s="224"/>
      <c r="CYC1" s="224"/>
      <c r="CYD1" s="224"/>
      <c r="CYE1" s="224"/>
      <c r="CYF1" s="224"/>
      <c r="CYG1" s="224"/>
      <c r="CYH1" s="224"/>
      <c r="CYI1" s="224"/>
      <c r="CYJ1" s="224"/>
      <c r="CYK1" s="224"/>
      <c r="CYL1" s="224"/>
      <c r="CYM1" s="224"/>
      <c r="CYN1" s="224"/>
      <c r="CYO1" s="224"/>
      <c r="CYP1" s="224"/>
      <c r="CYQ1" s="224"/>
      <c r="CYR1" s="224"/>
      <c r="CYS1" s="224"/>
      <c r="CYT1" s="224"/>
      <c r="CYU1" s="224"/>
      <c r="CYV1" s="224"/>
      <c r="CYW1" s="224"/>
      <c r="CYX1" s="224"/>
      <c r="CYY1" s="224"/>
      <c r="CYZ1" s="224"/>
      <c r="CZA1" s="224"/>
      <c r="CZB1" s="224"/>
      <c r="CZC1" s="224"/>
      <c r="CZD1" s="224"/>
      <c r="CZE1" s="224"/>
      <c r="CZF1" s="224"/>
      <c r="CZG1" s="224"/>
      <c r="CZH1" s="224"/>
      <c r="CZI1" s="224"/>
      <c r="CZJ1" s="224"/>
      <c r="CZK1" s="224"/>
      <c r="CZL1" s="224"/>
      <c r="CZM1" s="224"/>
      <c r="CZN1" s="224"/>
      <c r="CZO1" s="224"/>
      <c r="CZP1" s="224"/>
      <c r="CZQ1" s="224"/>
      <c r="CZR1" s="224"/>
      <c r="CZS1" s="224"/>
      <c r="CZT1" s="224"/>
      <c r="CZU1" s="224"/>
      <c r="CZV1" s="224"/>
      <c r="CZW1" s="224"/>
      <c r="CZX1" s="224"/>
      <c r="CZY1" s="224"/>
      <c r="CZZ1" s="224"/>
      <c r="DAA1" s="224"/>
      <c r="DAB1" s="224"/>
      <c r="DAC1" s="224"/>
      <c r="DAD1" s="224"/>
      <c r="DAE1" s="224"/>
      <c r="DAF1" s="224"/>
      <c r="DAG1" s="224"/>
      <c r="DAH1" s="224"/>
      <c r="DAI1" s="224"/>
      <c r="DAJ1" s="224"/>
      <c r="DAK1" s="224"/>
      <c r="DAL1" s="224"/>
      <c r="DAM1" s="224"/>
      <c r="DAN1" s="224"/>
      <c r="DAO1" s="224"/>
      <c r="DAP1" s="224"/>
      <c r="DAQ1" s="224"/>
      <c r="DAR1" s="224"/>
      <c r="DAS1" s="224"/>
      <c r="DAT1" s="224"/>
      <c r="DAU1" s="224"/>
      <c r="DAV1" s="224"/>
      <c r="DAW1" s="224"/>
      <c r="DAX1" s="224"/>
      <c r="DAY1" s="224"/>
      <c r="DAZ1" s="224"/>
      <c r="DBA1" s="224"/>
      <c r="DBB1" s="224"/>
      <c r="DBC1" s="224"/>
      <c r="DBD1" s="224"/>
      <c r="DBE1" s="224"/>
      <c r="DBF1" s="224"/>
      <c r="DBG1" s="224"/>
      <c r="DBH1" s="224"/>
      <c r="DBI1" s="224"/>
      <c r="DBJ1" s="224"/>
      <c r="DBK1" s="224"/>
      <c r="DBL1" s="224"/>
      <c r="DBM1" s="224"/>
      <c r="DBN1" s="224"/>
      <c r="DBO1" s="224"/>
      <c r="DBP1" s="224"/>
      <c r="DBQ1" s="224"/>
      <c r="DBR1" s="224"/>
      <c r="DBS1" s="224"/>
      <c r="DBT1" s="224"/>
      <c r="DBU1" s="224"/>
      <c r="DBV1" s="224"/>
      <c r="DBW1" s="224"/>
      <c r="DBX1" s="224"/>
      <c r="DBY1" s="224"/>
      <c r="DBZ1" s="224"/>
      <c r="DCA1" s="224"/>
      <c r="DCB1" s="224"/>
      <c r="DCC1" s="224"/>
      <c r="DCD1" s="224"/>
      <c r="DCE1" s="224"/>
      <c r="DCF1" s="224"/>
      <c r="DCG1" s="224"/>
      <c r="DCH1" s="224"/>
      <c r="DCI1" s="224"/>
      <c r="DCJ1" s="224"/>
      <c r="DCK1" s="224"/>
      <c r="DCL1" s="224"/>
      <c r="DCM1" s="224"/>
      <c r="DCN1" s="224"/>
      <c r="DCO1" s="224"/>
      <c r="DCP1" s="224"/>
      <c r="DCQ1" s="224"/>
      <c r="DCR1" s="224"/>
      <c r="DCS1" s="224"/>
      <c r="DCT1" s="224"/>
      <c r="DCU1" s="224"/>
      <c r="DCV1" s="224"/>
      <c r="DCW1" s="224"/>
      <c r="DCX1" s="224"/>
      <c r="DCY1" s="224"/>
      <c r="DCZ1" s="224"/>
      <c r="DDA1" s="224"/>
      <c r="DDB1" s="224"/>
      <c r="DDC1" s="224"/>
      <c r="DDD1" s="224"/>
      <c r="DDE1" s="224"/>
      <c r="DDF1" s="224"/>
      <c r="DDG1" s="224"/>
      <c r="DDH1" s="224"/>
      <c r="DDI1" s="224"/>
      <c r="DDJ1" s="224"/>
      <c r="DDK1" s="224"/>
      <c r="DDL1" s="224"/>
      <c r="DDM1" s="224"/>
      <c r="DDN1" s="224"/>
      <c r="DDO1" s="224"/>
      <c r="DDP1" s="224"/>
      <c r="DDQ1" s="224"/>
      <c r="DDR1" s="224"/>
      <c r="DDS1" s="224"/>
      <c r="DDT1" s="224"/>
      <c r="DDU1" s="224"/>
      <c r="DDV1" s="224"/>
      <c r="DDW1" s="224"/>
      <c r="DDX1" s="224"/>
      <c r="DDY1" s="224"/>
      <c r="DDZ1" s="224"/>
      <c r="DEA1" s="224"/>
      <c r="DEB1" s="224"/>
      <c r="DEC1" s="224"/>
      <c r="DED1" s="224"/>
      <c r="DEE1" s="224"/>
      <c r="DEF1" s="224"/>
      <c r="DEG1" s="224"/>
      <c r="DEH1" s="224"/>
      <c r="DEI1" s="224"/>
      <c r="DEJ1" s="224"/>
      <c r="DEK1" s="224"/>
      <c r="DEL1" s="224"/>
      <c r="DEM1" s="224"/>
      <c r="DEN1" s="224"/>
      <c r="DEO1" s="224"/>
      <c r="DEP1" s="224"/>
      <c r="DEQ1" s="224"/>
      <c r="DER1" s="224"/>
      <c r="DES1" s="224"/>
      <c r="DET1" s="224"/>
      <c r="DEU1" s="224"/>
      <c r="DEV1" s="224"/>
      <c r="DEW1" s="224"/>
      <c r="DEX1" s="224"/>
      <c r="DEY1" s="224"/>
      <c r="DEZ1" s="224"/>
      <c r="DFA1" s="224"/>
      <c r="DFB1" s="224"/>
      <c r="DFC1" s="224"/>
      <c r="DFD1" s="224"/>
      <c r="DFE1" s="224"/>
      <c r="DFF1" s="224"/>
      <c r="DFG1" s="224"/>
      <c r="DFH1" s="224"/>
      <c r="DFI1" s="224"/>
      <c r="DFJ1" s="224"/>
      <c r="DFK1" s="224"/>
      <c r="DFL1" s="224"/>
      <c r="DFM1" s="224"/>
      <c r="DFN1" s="224"/>
      <c r="DFO1" s="224"/>
      <c r="DFP1" s="224"/>
      <c r="DFQ1" s="224"/>
      <c r="DFR1" s="224"/>
      <c r="DFS1" s="224"/>
      <c r="DFT1" s="224"/>
      <c r="DFU1" s="224"/>
      <c r="DFV1" s="224"/>
      <c r="DFW1" s="224"/>
      <c r="DFX1" s="224"/>
      <c r="DFY1" s="224"/>
      <c r="DFZ1" s="224"/>
      <c r="DGA1" s="224"/>
      <c r="DGB1" s="224"/>
      <c r="DGC1" s="224"/>
      <c r="DGD1" s="224"/>
      <c r="DGE1" s="224"/>
      <c r="DGF1" s="224"/>
      <c r="DGG1" s="224"/>
      <c r="DGH1" s="224"/>
      <c r="DGI1" s="224"/>
      <c r="DGJ1" s="224"/>
      <c r="DGK1" s="224"/>
      <c r="DGL1" s="224"/>
      <c r="DGM1" s="224"/>
      <c r="DGN1" s="224"/>
      <c r="DGO1" s="224"/>
      <c r="DGP1" s="224"/>
      <c r="DGQ1" s="224"/>
      <c r="DGR1" s="224"/>
      <c r="DGS1" s="224"/>
      <c r="DGT1" s="224"/>
      <c r="DGU1" s="224"/>
      <c r="DGV1" s="224"/>
      <c r="DGW1" s="224"/>
      <c r="DGX1" s="224"/>
      <c r="DGY1" s="224"/>
      <c r="DGZ1" s="224"/>
      <c r="DHA1" s="224"/>
      <c r="DHB1" s="224"/>
      <c r="DHC1" s="224"/>
      <c r="DHD1" s="224"/>
      <c r="DHE1" s="224"/>
      <c r="DHF1" s="224"/>
      <c r="DHG1" s="224"/>
      <c r="DHH1" s="224"/>
      <c r="DHI1" s="224"/>
      <c r="DHJ1" s="224"/>
      <c r="DHK1" s="224"/>
      <c r="DHL1" s="224"/>
      <c r="DHM1" s="224"/>
      <c r="DHN1" s="224"/>
      <c r="DHO1" s="224"/>
      <c r="DHP1" s="224"/>
      <c r="DHQ1" s="224"/>
      <c r="DHR1" s="224"/>
      <c r="DHS1" s="224"/>
      <c r="DHT1" s="224"/>
      <c r="DHU1" s="224"/>
      <c r="DHV1" s="224"/>
      <c r="DHW1" s="224"/>
      <c r="DHX1" s="224"/>
      <c r="DHY1" s="224"/>
      <c r="DHZ1" s="224"/>
      <c r="DIA1" s="224"/>
      <c r="DIB1" s="224"/>
      <c r="DIC1" s="224"/>
      <c r="DID1" s="224"/>
      <c r="DIE1" s="224"/>
      <c r="DIF1" s="224"/>
      <c r="DIG1" s="224"/>
      <c r="DIH1" s="224"/>
      <c r="DII1" s="224"/>
      <c r="DIJ1" s="224"/>
      <c r="DIK1" s="224"/>
      <c r="DIL1" s="224"/>
      <c r="DIM1" s="224"/>
      <c r="DIN1" s="224"/>
      <c r="DIO1" s="224"/>
      <c r="DIP1" s="224"/>
      <c r="DIQ1" s="224"/>
      <c r="DIR1" s="224"/>
      <c r="DIS1" s="224"/>
      <c r="DIT1" s="224"/>
      <c r="DIU1" s="224"/>
      <c r="DIV1" s="224"/>
      <c r="DIW1" s="224"/>
      <c r="DIX1" s="224"/>
      <c r="DIY1" s="224"/>
      <c r="DIZ1" s="224"/>
      <c r="DJA1" s="224"/>
      <c r="DJB1" s="224"/>
      <c r="DJC1" s="224"/>
      <c r="DJD1" s="224"/>
      <c r="DJE1" s="224"/>
      <c r="DJF1" s="224"/>
      <c r="DJG1" s="224"/>
      <c r="DJH1" s="224"/>
      <c r="DJI1" s="224"/>
      <c r="DJJ1" s="224"/>
      <c r="DJK1" s="224"/>
      <c r="DJL1" s="224"/>
      <c r="DJM1" s="224"/>
      <c r="DJN1" s="224"/>
      <c r="DJO1" s="224"/>
      <c r="DJP1" s="224"/>
      <c r="DJQ1" s="224"/>
      <c r="DJR1" s="224"/>
      <c r="DJS1" s="224"/>
      <c r="DJT1" s="224"/>
      <c r="DJU1" s="224"/>
      <c r="DJV1" s="224"/>
      <c r="DJW1" s="224"/>
      <c r="DJX1" s="224"/>
      <c r="DJY1" s="224"/>
      <c r="DJZ1" s="224"/>
      <c r="DKA1" s="224"/>
      <c r="DKB1" s="224"/>
      <c r="DKC1" s="224"/>
      <c r="DKD1" s="224"/>
      <c r="DKE1" s="224"/>
      <c r="DKF1" s="224"/>
      <c r="DKG1" s="224"/>
      <c r="DKH1" s="224"/>
      <c r="DKI1" s="224"/>
      <c r="DKJ1" s="224"/>
      <c r="DKK1" s="224"/>
      <c r="DKL1" s="224"/>
      <c r="DKM1" s="224"/>
      <c r="DKN1" s="224"/>
      <c r="DKO1" s="224"/>
      <c r="DKP1" s="224"/>
      <c r="DKQ1" s="224"/>
      <c r="DKR1" s="224"/>
      <c r="DKS1" s="224"/>
      <c r="DKT1" s="224"/>
      <c r="DKU1" s="224"/>
      <c r="DKV1" s="224"/>
      <c r="DKW1" s="224"/>
      <c r="DKX1" s="224"/>
      <c r="DKY1" s="224"/>
      <c r="DKZ1" s="224"/>
      <c r="DLA1" s="224"/>
      <c r="DLB1" s="224"/>
      <c r="DLC1" s="224"/>
      <c r="DLD1" s="224"/>
      <c r="DLE1" s="224"/>
      <c r="DLF1" s="224"/>
      <c r="DLG1" s="224"/>
      <c r="DLH1" s="224"/>
      <c r="DLI1" s="224"/>
      <c r="DLJ1" s="224"/>
      <c r="DLK1" s="224"/>
      <c r="DLL1" s="224"/>
      <c r="DLM1" s="224"/>
      <c r="DLN1" s="224"/>
      <c r="DLO1" s="224"/>
      <c r="DLP1" s="224"/>
      <c r="DLQ1" s="224"/>
      <c r="DLR1" s="224"/>
      <c r="DLS1" s="224"/>
      <c r="DLT1" s="224"/>
      <c r="DLU1" s="224"/>
      <c r="DLV1" s="224"/>
      <c r="DLW1" s="224"/>
      <c r="DLX1" s="224"/>
      <c r="DLY1" s="224"/>
      <c r="DLZ1" s="224"/>
      <c r="DMA1" s="224"/>
      <c r="DMB1" s="224"/>
      <c r="DMC1" s="224"/>
      <c r="DMD1" s="224"/>
      <c r="DME1" s="224"/>
      <c r="DMF1" s="224"/>
      <c r="DMG1" s="224"/>
      <c r="DMH1" s="224"/>
      <c r="DMI1" s="224"/>
      <c r="DMJ1" s="224"/>
      <c r="DMK1" s="224"/>
      <c r="DML1" s="224"/>
      <c r="DMM1" s="224"/>
      <c r="DMN1" s="224"/>
      <c r="DMO1" s="224"/>
      <c r="DMP1" s="224"/>
      <c r="DMQ1" s="224"/>
      <c r="DMR1" s="224"/>
      <c r="DMS1" s="224"/>
      <c r="DMT1" s="224"/>
      <c r="DMU1" s="224"/>
      <c r="DMV1" s="224"/>
      <c r="DMW1" s="224"/>
      <c r="DMX1" s="224"/>
      <c r="DMY1" s="224"/>
      <c r="DMZ1" s="224"/>
      <c r="DNA1" s="224"/>
      <c r="DNB1" s="224"/>
      <c r="DNC1" s="224"/>
      <c r="DND1" s="224"/>
      <c r="DNE1" s="224"/>
      <c r="DNF1" s="224"/>
      <c r="DNG1" s="224"/>
      <c r="DNH1" s="224"/>
      <c r="DNI1" s="224"/>
      <c r="DNJ1" s="224"/>
      <c r="DNK1" s="224"/>
      <c r="DNL1" s="224"/>
      <c r="DNM1" s="224"/>
      <c r="DNN1" s="224"/>
      <c r="DNO1" s="224"/>
      <c r="DNP1" s="224"/>
      <c r="DNQ1" s="224"/>
      <c r="DNR1" s="224"/>
      <c r="DNS1" s="224"/>
      <c r="DNT1" s="224"/>
      <c r="DNU1" s="224"/>
      <c r="DNV1" s="224"/>
      <c r="DNW1" s="224"/>
      <c r="DNX1" s="224"/>
      <c r="DNY1" s="224"/>
      <c r="DNZ1" s="224"/>
      <c r="DOA1" s="224"/>
      <c r="DOB1" s="224"/>
      <c r="DOC1" s="224"/>
      <c r="DOD1" s="224"/>
      <c r="DOE1" s="224"/>
      <c r="DOF1" s="224"/>
      <c r="DOG1" s="224"/>
      <c r="DOH1" s="224"/>
      <c r="DOI1" s="224"/>
      <c r="DOJ1" s="224"/>
      <c r="DOK1" s="224"/>
      <c r="DOL1" s="224"/>
      <c r="DOM1" s="224"/>
      <c r="DON1" s="224"/>
      <c r="DOO1" s="224"/>
      <c r="DOP1" s="224"/>
      <c r="DOQ1" s="224"/>
      <c r="DOR1" s="224"/>
      <c r="DOS1" s="224"/>
      <c r="DOT1" s="224"/>
      <c r="DOU1" s="224"/>
      <c r="DOV1" s="224"/>
      <c r="DOW1" s="224"/>
      <c r="DOX1" s="224"/>
      <c r="DOY1" s="224"/>
      <c r="DOZ1" s="224"/>
      <c r="DPA1" s="224"/>
      <c r="DPB1" s="224"/>
      <c r="DPC1" s="224"/>
      <c r="DPD1" s="224"/>
      <c r="DPE1" s="224"/>
      <c r="DPF1" s="224"/>
      <c r="DPG1" s="224"/>
      <c r="DPH1" s="224"/>
      <c r="DPI1" s="224"/>
      <c r="DPJ1" s="224"/>
      <c r="DPK1" s="224"/>
      <c r="DPL1" s="224"/>
      <c r="DPM1" s="224"/>
      <c r="DPN1" s="224"/>
      <c r="DPO1" s="224"/>
      <c r="DPP1" s="224"/>
      <c r="DPQ1" s="224"/>
      <c r="DPR1" s="224"/>
      <c r="DPS1" s="224"/>
      <c r="DPT1" s="224"/>
      <c r="DPU1" s="224"/>
      <c r="DPV1" s="224"/>
      <c r="DPW1" s="224"/>
      <c r="DPX1" s="224"/>
      <c r="DPY1" s="224"/>
      <c r="DPZ1" s="224"/>
      <c r="DQA1" s="224"/>
      <c r="DQB1" s="224"/>
      <c r="DQC1" s="224"/>
      <c r="DQD1" s="224"/>
      <c r="DQE1" s="224"/>
      <c r="DQF1" s="224"/>
      <c r="DQG1" s="224"/>
      <c r="DQH1" s="224"/>
      <c r="DQI1" s="224"/>
      <c r="DQJ1" s="224"/>
      <c r="DQK1" s="224"/>
      <c r="DQL1" s="224"/>
      <c r="DQM1" s="224"/>
      <c r="DQN1" s="224"/>
      <c r="DQO1" s="224"/>
      <c r="DQP1" s="224"/>
      <c r="DQQ1" s="224"/>
      <c r="DQR1" s="224"/>
      <c r="DQS1" s="224"/>
      <c r="DQT1" s="224"/>
      <c r="DQU1" s="224"/>
      <c r="DQV1" s="224"/>
      <c r="DQW1" s="224"/>
      <c r="DQX1" s="224"/>
      <c r="DQY1" s="224"/>
      <c r="DQZ1" s="224"/>
      <c r="DRA1" s="224"/>
      <c r="DRB1" s="224"/>
      <c r="DRC1" s="224"/>
      <c r="DRD1" s="224"/>
      <c r="DRE1" s="224"/>
      <c r="DRF1" s="224"/>
      <c r="DRG1" s="224"/>
      <c r="DRH1" s="224"/>
      <c r="DRI1" s="224"/>
      <c r="DRJ1" s="224"/>
      <c r="DRK1" s="224"/>
      <c r="DRL1" s="224"/>
      <c r="DRM1" s="224"/>
      <c r="DRN1" s="224"/>
      <c r="DRO1" s="224"/>
      <c r="DRP1" s="224"/>
      <c r="DRQ1" s="224"/>
      <c r="DRR1" s="224"/>
      <c r="DRS1" s="224"/>
      <c r="DRT1" s="224"/>
      <c r="DRU1" s="224"/>
      <c r="DRV1" s="224"/>
      <c r="DRW1" s="224"/>
      <c r="DRX1" s="224"/>
      <c r="DRY1" s="224"/>
      <c r="DRZ1" s="224"/>
      <c r="DSA1" s="224"/>
      <c r="DSB1" s="224"/>
      <c r="DSC1" s="224"/>
      <c r="DSD1" s="224"/>
      <c r="DSE1" s="224"/>
      <c r="DSF1" s="224"/>
      <c r="DSG1" s="224"/>
      <c r="DSH1" s="224"/>
      <c r="DSI1" s="224"/>
      <c r="DSJ1" s="224"/>
      <c r="DSK1" s="224"/>
      <c r="DSL1" s="224"/>
      <c r="DSM1" s="224"/>
      <c r="DSN1" s="224"/>
      <c r="DSO1" s="224"/>
      <c r="DSP1" s="224"/>
      <c r="DSQ1" s="224"/>
      <c r="DSR1" s="224"/>
      <c r="DSS1" s="224"/>
      <c r="DST1" s="224"/>
      <c r="DSU1" s="224"/>
      <c r="DSV1" s="224"/>
      <c r="DSW1" s="224"/>
      <c r="DSX1" s="224"/>
      <c r="DSY1" s="224"/>
      <c r="DSZ1" s="224"/>
      <c r="DTA1" s="224"/>
      <c r="DTB1" s="224"/>
      <c r="DTC1" s="224"/>
      <c r="DTD1" s="224"/>
      <c r="DTE1" s="224"/>
      <c r="DTF1" s="224"/>
      <c r="DTG1" s="224"/>
      <c r="DTH1" s="224"/>
      <c r="DTI1" s="224"/>
      <c r="DTJ1" s="224"/>
      <c r="DTK1" s="224"/>
      <c r="DTL1" s="224"/>
      <c r="DTM1" s="224"/>
      <c r="DTN1" s="224"/>
      <c r="DTO1" s="224"/>
      <c r="DTP1" s="224"/>
      <c r="DTQ1" s="224"/>
      <c r="DTR1" s="224"/>
      <c r="DTS1" s="224"/>
      <c r="DTT1" s="224"/>
      <c r="DTU1" s="224"/>
      <c r="DTV1" s="224"/>
      <c r="DTW1" s="224"/>
      <c r="DTX1" s="224"/>
      <c r="DTY1" s="224"/>
      <c r="DTZ1" s="224"/>
      <c r="DUA1" s="224"/>
      <c r="DUB1" s="224"/>
      <c r="DUC1" s="224"/>
      <c r="DUD1" s="224"/>
      <c r="DUE1" s="224"/>
      <c r="DUF1" s="224"/>
      <c r="DUG1" s="224"/>
      <c r="DUH1" s="224"/>
      <c r="DUI1" s="224"/>
      <c r="DUJ1" s="224"/>
      <c r="DUK1" s="224"/>
      <c r="DUL1" s="224"/>
      <c r="DUM1" s="224"/>
      <c r="DUN1" s="224"/>
      <c r="DUO1" s="224"/>
      <c r="DUP1" s="224"/>
      <c r="DUQ1" s="224"/>
      <c r="DUR1" s="224"/>
      <c r="DUS1" s="224"/>
      <c r="DUT1" s="224"/>
      <c r="DUU1" s="224"/>
      <c r="DUV1" s="224"/>
      <c r="DUW1" s="224"/>
      <c r="DUX1" s="224"/>
      <c r="DUY1" s="224"/>
      <c r="DUZ1" s="224"/>
      <c r="DVA1" s="224"/>
      <c r="DVB1" s="224"/>
      <c r="DVC1" s="224"/>
      <c r="DVD1" s="224"/>
      <c r="DVE1" s="224"/>
      <c r="DVF1" s="224"/>
      <c r="DVG1" s="224"/>
      <c r="DVH1" s="224"/>
      <c r="DVI1" s="224"/>
      <c r="DVJ1" s="224"/>
      <c r="DVK1" s="224"/>
      <c r="DVL1" s="224"/>
      <c r="DVM1" s="224"/>
      <c r="DVN1" s="224"/>
      <c r="DVO1" s="224"/>
      <c r="DVP1" s="224"/>
      <c r="DVQ1" s="224"/>
      <c r="DVR1" s="224"/>
      <c r="DVS1" s="224"/>
      <c r="DVT1" s="224"/>
      <c r="DVU1" s="224"/>
      <c r="DVV1" s="224"/>
      <c r="DVW1" s="224"/>
      <c r="DVX1" s="224"/>
      <c r="DVY1" s="224"/>
      <c r="DVZ1" s="224"/>
      <c r="DWA1" s="224"/>
      <c r="DWB1" s="224"/>
      <c r="DWC1" s="224"/>
      <c r="DWD1" s="224"/>
      <c r="DWE1" s="224"/>
      <c r="DWF1" s="224"/>
      <c r="DWG1" s="224"/>
      <c r="DWH1" s="224"/>
      <c r="DWI1" s="224"/>
      <c r="DWJ1" s="224"/>
      <c r="DWK1" s="224"/>
      <c r="DWL1" s="224"/>
      <c r="DWM1" s="224"/>
      <c r="DWN1" s="224"/>
      <c r="DWO1" s="224"/>
      <c r="DWP1" s="224"/>
      <c r="DWQ1" s="224"/>
      <c r="DWR1" s="224"/>
      <c r="DWS1" s="224"/>
      <c r="DWT1" s="224"/>
      <c r="DWU1" s="224"/>
      <c r="DWV1" s="224"/>
      <c r="DWW1" s="224"/>
      <c r="DWX1" s="224"/>
      <c r="DWY1" s="224"/>
      <c r="DWZ1" s="224"/>
      <c r="DXA1" s="224"/>
      <c r="DXB1" s="224"/>
      <c r="DXC1" s="224"/>
      <c r="DXD1" s="224"/>
      <c r="DXE1" s="224"/>
      <c r="DXF1" s="224"/>
      <c r="DXG1" s="224"/>
      <c r="DXH1" s="224"/>
      <c r="DXI1" s="224"/>
      <c r="DXJ1" s="224"/>
      <c r="DXK1" s="224"/>
      <c r="DXL1" s="224"/>
      <c r="DXM1" s="224"/>
      <c r="DXN1" s="224"/>
      <c r="DXO1" s="224"/>
      <c r="DXP1" s="224"/>
      <c r="DXQ1" s="224"/>
      <c r="DXR1" s="224"/>
      <c r="DXS1" s="224"/>
      <c r="DXT1" s="224"/>
      <c r="DXU1" s="224"/>
      <c r="DXV1" s="224"/>
      <c r="DXW1" s="224"/>
      <c r="DXX1" s="224"/>
      <c r="DXY1" s="224"/>
      <c r="DXZ1" s="224"/>
      <c r="DYA1" s="224"/>
      <c r="DYB1" s="224"/>
      <c r="DYC1" s="224"/>
      <c r="DYD1" s="224"/>
      <c r="DYE1" s="224"/>
      <c r="DYF1" s="224"/>
      <c r="DYG1" s="224"/>
      <c r="DYH1" s="224"/>
      <c r="DYI1" s="224"/>
      <c r="DYJ1" s="224"/>
      <c r="DYK1" s="224"/>
      <c r="DYL1" s="224"/>
      <c r="DYM1" s="224"/>
      <c r="DYN1" s="224"/>
      <c r="DYO1" s="224"/>
      <c r="DYP1" s="224"/>
      <c r="DYQ1" s="224"/>
      <c r="DYR1" s="224"/>
      <c r="DYS1" s="224"/>
      <c r="DYT1" s="224"/>
      <c r="DYU1" s="224"/>
      <c r="DYV1" s="224"/>
      <c r="DYW1" s="224"/>
      <c r="DYX1" s="224"/>
      <c r="DYY1" s="224"/>
      <c r="DYZ1" s="224"/>
      <c r="DZA1" s="224"/>
      <c r="DZB1" s="224"/>
      <c r="DZC1" s="224"/>
      <c r="DZD1" s="224"/>
      <c r="DZE1" s="224"/>
      <c r="DZF1" s="224"/>
      <c r="DZG1" s="224"/>
      <c r="DZH1" s="224"/>
      <c r="DZI1" s="224"/>
      <c r="DZJ1" s="224"/>
      <c r="DZK1" s="224"/>
      <c r="DZL1" s="224"/>
      <c r="DZM1" s="224"/>
      <c r="DZN1" s="224"/>
      <c r="DZO1" s="224"/>
      <c r="DZP1" s="224"/>
      <c r="DZQ1" s="224"/>
      <c r="DZR1" s="224"/>
      <c r="DZS1" s="224"/>
      <c r="DZT1" s="224"/>
      <c r="DZU1" s="224"/>
      <c r="DZV1" s="224"/>
      <c r="DZW1" s="224"/>
      <c r="DZX1" s="224"/>
      <c r="DZY1" s="224"/>
      <c r="DZZ1" s="224"/>
      <c r="EAA1" s="224"/>
      <c r="EAB1" s="224"/>
      <c r="EAC1" s="224"/>
      <c r="EAD1" s="224"/>
      <c r="EAE1" s="224"/>
      <c r="EAF1" s="224"/>
      <c r="EAG1" s="224"/>
      <c r="EAH1" s="224"/>
      <c r="EAI1" s="224"/>
      <c r="EAJ1" s="224"/>
      <c r="EAK1" s="224"/>
      <c r="EAL1" s="224"/>
      <c r="EAM1" s="224"/>
      <c r="EAN1" s="224"/>
      <c r="EAO1" s="224"/>
      <c r="EAP1" s="224"/>
      <c r="EAQ1" s="224"/>
      <c r="EAR1" s="224"/>
      <c r="EAS1" s="224"/>
      <c r="EAT1" s="224"/>
      <c r="EAU1" s="224"/>
      <c r="EAV1" s="224"/>
      <c r="EAW1" s="224"/>
      <c r="EAX1" s="224"/>
      <c r="EAY1" s="224"/>
      <c r="EAZ1" s="224"/>
      <c r="EBA1" s="224"/>
      <c r="EBB1" s="224"/>
      <c r="EBC1" s="224"/>
      <c r="EBD1" s="224"/>
      <c r="EBE1" s="224"/>
      <c r="EBF1" s="224"/>
      <c r="EBG1" s="224"/>
      <c r="EBH1" s="224"/>
      <c r="EBI1" s="224"/>
      <c r="EBJ1" s="224"/>
      <c r="EBK1" s="224"/>
      <c r="EBL1" s="224"/>
      <c r="EBM1" s="224"/>
      <c r="EBN1" s="224"/>
      <c r="EBO1" s="224"/>
      <c r="EBP1" s="224"/>
      <c r="EBQ1" s="224"/>
      <c r="EBR1" s="224"/>
      <c r="EBS1" s="224"/>
      <c r="EBT1" s="224"/>
      <c r="EBU1" s="224"/>
      <c r="EBV1" s="224"/>
      <c r="EBW1" s="224"/>
      <c r="EBX1" s="224"/>
      <c r="EBY1" s="224"/>
      <c r="EBZ1" s="224"/>
      <c r="ECA1" s="224"/>
      <c r="ECB1" s="224"/>
      <c r="ECC1" s="224"/>
      <c r="ECD1" s="224"/>
      <c r="ECE1" s="224"/>
      <c r="ECF1" s="224"/>
      <c r="ECG1" s="224"/>
      <c r="ECH1" s="224"/>
      <c r="ECI1" s="224"/>
      <c r="ECJ1" s="224"/>
      <c r="ECK1" s="224"/>
      <c r="ECL1" s="224"/>
      <c r="ECM1" s="224"/>
      <c r="ECN1" s="224"/>
      <c r="ECO1" s="224"/>
      <c r="ECP1" s="224"/>
      <c r="ECQ1" s="224"/>
      <c r="ECR1" s="224"/>
      <c r="ECS1" s="224"/>
      <c r="ECT1" s="224"/>
      <c r="ECU1" s="224"/>
      <c r="ECV1" s="224"/>
      <c r="ECW1" s="224"/>
      <c r="ECX1" s="224"/>
      <c r="ECY1" s="224"/>
      <c r="ECZ1" s="224"/>
      <c r="EDA1" s="224"/>
      <c r="EDB1" s="224"/>
      <c r="EDC1" s="224"/>
      <c r="EDD1" s="224"/>
      <c r="EDE1" s="224"/>
      <c r="EDF1" s="224"/>
      <c r="EDG1" s="224"/>
      <c r="EDH1" s="224"/>
      <c r="EDI1" s="224"/>
      <c r="EDJ1" s="224"/>
      <c r="EDK1" s="224"/>
      <c r="EDL1" s="224"/>
      <c r="EDM1" s="224"/>
      <c r="EDN1" s="224"/>
      <c r="EDO1" s="224"/>
      <c r="EDP1" s="224"/>
      <c r="EDQ1" s="224"/>
      <c r="EDR1" s="224"/>
      <c r="EDS1" s="224"/>
      <c r="EDT1" s="224"/>
      <c r="EDU1" s="224"/>
      <c r="EDV1" s="224"/>
      <c r="EDW1" s="224"/>
      <c r="EDX1" s="224"/>
      <c r="EDY1" s="224"/>
      <c r="EDZ1" s="224"/>
      <c r="EEA1" s="224"/>
      <c r="EEB1" s="224"/>
      <c r="EEC1" s="224"/>
      <c r="EED1" s="224"/>
      <c r="EEE1" s="224"/>
      <c r="EEF1" s="224"/>
      <c r="EEG1" s="224"/>
      <c r="EEH1" s="224"/>
      <c r="EEI1" s="224"/>
      <c r="EEJ1" s="224"/>
      <c r="EEK1" s="224"/>
      <c r="EEL1" s="224"/>
      <c r="EEM1" s="224"/>
      <c r="EEN1" s="224"/>
      <c r="EEO1" s="224"/>
      <c r="EEP1" s="224"/>
      <c r="EEQ1" s="224"/>
      <c r="EER1" s="224"/>
      <c r="EES1" s="224"/>
      <c r="EET1" s="224"/>
      <c r="EEU1" s="224"/>
      <c r="EEV1" s="224"/>
      <c r="EEW1" s="224"/>
      <c r="EEX1" s="224"/>
      <c r="EEY1" s="224"/>
      <c r="EEZ1" s="224"/>
      <c r="EFA1" s="224"/>
      <c r="EFB1" s="224"/>
      <c r="EFC1" s="224"/>
      <c r="EFD1" s="224"/>
      <c r="EFE1" s="224"/>
      <c r="EFF1" s="224"/>
      <c r="EFG1" s="224"/>
      <c r="EFH1" s="224"/>
      <c r="EFI1" s="224"/>
      <c r="EFJ1" s="224"/>
      <c r="EFK1" s="224"/>
      <c r="EFL1" s="224"/>
      <c r="EFM1" s="224"/>
      <c r="EFN1" s="224"/>
      <c r="EFO1" s="224"/>
      <c r="EFP1" s="224"/>
      <c r="EFQ1" s="224"/>
      <c r="EFR1" s="224"/>
      <c r="EFS1" s="224"/>
      <c r="EFT1" s="224"/>
      <c r="EFU1" s="224"/>
      <c r="EFV1" s="224"/>
      <c r="EFW1" s="224"/>
      <c r="EFX1" s="224"/>
      <c r="EFY1" s="224"/>
      <c r="EFZ1" s="224"/>
      <c r="EGA1" s="224"/>
      <c r="EGB1" s="224"/>
      <c r="EGC1" s="224"/>
      <c r="EGD1" s="224"/>
      <c r="EGE1" s="224"/>
      <c r="EGF1" s="224"/>
      <c r="EGG1" s="224"/>
      <c r="EGH1" s="224"/>
      <c r="EGI1" s="224"/>
      <c r="EGJ1" s="224"/>
      <c r="EGK1" s="224"/>
      <c r="EGL1" s="224"/>
      <c r="EGM1" s="224"/>
      <c r="EGN1" s="224"/>
      <c r="EGO1" s="224"/>
      <c r="EGP1" s="224"/>
      <c r="EGQ1" s="224"/>
      <c r="EGR1" s="224"/>
      <c r="EGS1" s="224"/>
      <c r="EGT1" s="224"/>
      <c r="EGU1" s="224"/>
      <c r="EGV1" s="224"/>
      <c r="EGW1" s="224"/>
      <c r="EGX1" s="224"/>
      <c r="EGY1" s="224"/>
      <c r="EGZ1" s="224"/>
      <c r="EHA1" s="224"/>
      <c r="EHB1" s="224"/>
      <c r="EHC1" s="224"/>
      <c r="EHD1" s="224"/>
      <c r="EHE1" s="224"/>
      <c r="EHF1" s="224"/>
      <c r="EHG1" s="224"/>
      <c r="EHH1" s="224"/>
      <c r="EHI1" s="224"/>
      <c r="EHJ1" s="224"/>
      <c r="EHK1" s="224"/>
      <c r="EHL1" s="224"/>
      <c r="EHM1" s="224"/>
      <c r="EHN1" s="224"/>
      <c r="EHO1" s="224"/>
      <c r="EHP1" s="224"/>
      <c r="EHQ1" s="224"/>
      <c r="EHR1" s="224"/>
      <c r="EHS1" s="224"/>
      <c r="EHT1" s="224"/>
      <c r="EHU1" s="224"/>
      <c r="EHV1" s="224"/>
      <c r="EHW1" s="224"/>
      <c r="EHX1" s="224"/>
      <c r="EHY1" s="224"/>
      <c r="EHZ1" s="224"/>
      <c r="EIA1" s="224"/>
      <c r="EIB1" s="224"/>
      <c r="EIC1" s="224"/>
      <c r="EID1" s="224"/>
      <c r="EIE1" s="224"/>
      <c r="EIF1" s="224"/>
      <c r="EIG1" s="224"/>
      <c r="EIH1" s="224"/>
      <c r="EII1" s="224"/>
      <c r="EIJ1" s="224"/>
      <c r="EIK1" s="224"/>
      <c r="EIL1" s="224"/>
      <c r="EIM1" s="224"/>
      <c r="EIN1" s="224"/>
      <c r="EIO1" s="224"/>
      <c r="EIP1" s="224"/>
      <c r="EIQ1" s="224"/>
      <c r="EIR1" s="224"/>
      <c r="EIS1" s="224"/>
      <c r="EIT1" s="224"/>
      <c r="EIU1" s="224"/>
      <c r="EIV1" s="224"/>
      <c r="EIW1" s="224"/>
      <c r="EIX1" s="224"/>
      <c r="EIY1" s="224"/>
      <c r="EIZ1" s="224"/>
      <c r="EJA1" s="224"/>
      <c r="EJB1" s="224"/>
      <c r="EJC1" s="224"/>
      <c r="EJD1" s="224"/>
      <c r="EJE1" s="224"/>
      <c r="EJF1" s="224"/>
      <c r="EJG1" s="224"/>
      <c r="EJH1" s="224"/>
      <c r="EJI1" s="224"/>
      <c r="EJJ1" s="224"/>
      <c r="EJK1" s="224"/>
      <c r="EJL1" s="224"/>
      <c r="EJM1" s="224"/>
      <c r="EJN1" s="224"/>
      <c r="EJO1" s="224"/>
      <c r="EJP1" s="224"/>
      <c r="EJQ1" s="224"/>
      <c r="EJR1" s="224"/>
      <c r="EJS1" s="224"/>
      <c r="EJT1" s="224"/>
      <c r="EJU1" s="224"/>
      <c r="EJV1" s="224"/>
      <c r="EJW1" s="224"/>
      <c r="EJX1" s="224"/>
      <c r="EJY1" s="224"/>
      <c r="EJZ1" s="224"/>
      <c r="EKA1" s="224"/>
      <c r="EKB1" s="224"/>
      <c r="EKC1" s="224"/>
      <c r="EKD1" s="224"/>
      <c r="EKE1" s="224"/>
      <c r="EKF1" s="224"/>
      <c r="EKG1" s="224"/>
      <c r="EKH1" s="224"/>
      <c r="EKI1" s="224"/>
      <c r="EKJ1" s="224"/>
      <c r="EKK1" s="224"/>
      <c r="EKL1" s="224"/>
      <c r="EKM1" s="224"/>
      <c r="EKN1" s="224"/>
      <c r="EKO1" s="224"/>
      <c r="EKP1" s="224"/>
      <c r="EKQ1" s="224"/>
      <c r="EKR1" s="224"/>
      <c r="EKS1" s="224"/>
      <c r="EKT1" s="224"/>
      <c r="EKU1" s="224"/>
      <c r="EKV1" s="224"/>
      <c r="EKW1" s="224"/>
      <c r="EKX1" s="224"/>
      <c r="EKY1" s="224"/>
      <c r="EKZ1" s="224"/>
      <c r="ELA1" s="224"/>
      <c r="ELB1" s="224"/>
      <c r="ELC1" s="224"/>
      <c r="ELD1" s="224"/>
      <c r="ELE1" s="224"/>
      <c r="ELF1" s="224"/>
      <c r="ELG1" s="224"/>
      <c r="ELH1" s="224"/>
      <c r="ELI1" s="224"/>
      <c r="ELJ1" s="224"/>
      <c r="ELK1" s="224"/>
      <c r="ELL1" s="224"/>
      <c r="ELM1" s="224"/>
      <c r="ELN1" s="224"/>
      <c r="ELO1" s="224"/>
      <c r="ELP1" s="224"/>
      <c r="ELQ1" s="224"/>
      <c r="ELR1" s="224"/>
      <c r="ELS1" s="224"/>
      <c r="ELT1" s="224"/>
      <c r="ELU1" s="224"/>
      <c r="ELV1" s="224"/>
      <c r="ELW1" s="224"/>
      <c r="ELX1" s="224"/>
      <c r="ELY1" s="224"/>
      <c r="ELZ1" s="224"/>
      <c r="EMA1" s="224"/>
      <c r="EMB1" s="224"/>
      <c r="EMC1" s="224"/>
      <c r="EMD1" s="224"/>
      <c r="EME1" s="224"/>
      <c r="EMF1" s="224"/>
      <c r="EMG1" s="224"/>
      <c r="EMH1" s="224"/>
      <c r="EMI1" s="224"/>
      <c r="EMJ1" s="224"/>
      <c r="EMK1" s="224"/>
      <c r="EML1" s="224"/>
      <c r="EMM1" s="224"/>
      <c r="EMN1" s="224"/>
      <c r="EMO1" s="224"/>
      <c r="EMP1" s="224"/>
      <c r="EMQ1" s="224"/>
      <c r="EMR1" s="224"/>
      <c r="EMS1" s="224"/>
      <c r="EMT1" s="224"/>
      <c r="EMU1" s="224"/>
      <c r="EMV1" s="224"/>
      <c r="EMW1" s="224"/>
      <c r="EMX1" s="224"/>
      <c r="EMY1" s="224"/>
      <c r="EMZ1" s="224"/>
      <c r="ENA1" s="224"/>
      <c r="ENB1" s="224"/>
      <c r="ENC1" s="224"/>
      <c r="END1" s="224"/>
      <c r="ENE1" s="224"/>
      <c r="ENF1" s="224"/>
      <c r="ENG1" s="224"/>
      <c r="ENH1" s="224"/>
      <c r="ENI1" s="224"/>
      <c r="ENJ1" s="224"/>
      <c r="ENK1" s="224"/>
      <c r="ENL1" s="224"/>
      <c r="ENM1" s="224"/>
      <c r="ENN1" s="224"/>
      <c r="ENO1" s="224"/>
      <c r="ENP1" s="224"/>
      <c r="ENQ1" s="224"/>
      <c r="ENR1" s="224"/>
      <c r="ENS1" s="224"/>
      <c r="ENT1" s="224"/>
      <c r="ENU1" s="224"/>
      <c r="ENV1" s="224"/>
      <c r="ENW1" s="224"/>
      <c r="ENX1" s="224"/>
      <c r="ENY1" s="224"/>
      <c r="ENZ1" s="224"/>
      <c r="EOA1" s="224"/>
      <c r="EOB1" s="224"/>
      <c r="EOC1" s="224"/>
      <c r="EOD1" s="224"/>
      <c r="EOE1" s="224"/>
      <c r="EOF1" s="224"/>
      <c r="EOG1" s="224"/>
      <c r="EOH1" s="224"/>
      <c r="EOI1" s="224"/>
      <c r="EOJ1" s="224"/>
      <c r="EOK1" s="224"/>
      <c r="EOL1" s="224"/>
      <c r="EOM1" s="224"/>
      <c r="EON1" s="224"/>
      <c r="EOO1" s="224"/>
      <c r="EOP1" s="224"/>
      <c r="EOQ1" s="224"/>
      <c r="EOR1" s="224"/>
      <c r="EOS1" s="224"/>
      <c r="EOT1" s="224"/>
      <c r="EOU1" s="224"/>
      <c r="EOV1" s="224"/>
      <c r="EOW1" s="224"/>
      <c r="EOX1" s="224"/>
      <c r="EOY1" s="224"/>
      <c r="EOZ1" s="224"/>
      <c r="EPA1" s="224"/>
      <c r="EPB1" s="224"/>
      <c r="EPC1" s="224"/>
      <c r="EPD1" s="224"/>
      <c r="EPE1" s="224"/>
      <c r="EPF1" s="224"/>
      <c r="EPG1" s="224"/>
      <c r="EPH1" s="224"/>
      <c r="EPI1" s="224"/>
      <c r="EPJ1" s="224"/>
      <c r="EPK1" s="224"/>
      <c r="EPL1" s="224"/>
      <c r="EPM1" s="224"/>
      <c r="EPN1" s="224"/>
      <c r="EPO1" s="224"/>
      <c r="EPP1" s="224"/>
      <c r="EPQ1" s="224"/>
      <c r="EPR1" s="224"/>
      <c r="EPS1" s="224"/>
      <c r="EPT1" s="224"/>
      <c r="EPU1" s="224"/>
      <c r="EPV1" s="224"/>
      <c r="EPW1" s="224"/>
      <c r="EPX1" s="224"/>
      <c r="EPY1" s="224"/>
      <c r="EPZ1" s="224"/>
      <c r="EQA1" s="224"/>
      <c r="EQB1" s="224"/>
      <c r="EQC1" s="224"/>
      <c r="EQD1" s="224"/>
      <c r="EQE1" s="224"/>
      <c r="EQF1" s="224"/>
      <c r="EQG1" s="224"/>
      <c r="EQH1" s="224"/>
      <c r="EQI1" s="224"/>
      <c r="EQJ1" s="224"/>
      <c r="EQK1" s="224"/>
      <c r="EQL1" s="224"/>
      <c r="EQM1" s="224"/>
      <c r="EQN1" s="224"/>
      <c r="EQO1" s="224"/>
      <c r="EQP1" s="224"/>
      <c r="EQQ1" s="224"/>
      <c r="EQR1" s="224"/>
      <c r="EQS1" s="224"/>
      <c r="EQT1" s="224"/>
      <c r="EQU1" s="224"/>
      <c r="EQV1" s="224"/>
      <c r="EQW1" s="224"/>
      <c r="EQX1" s="224"/>
      <c r="EQY1" s="224"/>
      <c r="EQZ1" s="224"/>
      <c r="ERA1" s="224"/>
      <c r="ERB1" s="224"/>
      <c r="ERC1" s="224"/>
      <c r="ERD1" s="224"/>
      <c r="ERE1" s="224"/>
      <c r="ERF1" s="224"/>
      <c r="ERG1" s="224"/>
      <c r="ERH1" s="224"/>
      <c r="ERI1" s="224"/>
      <c r="ERJ1" s="224"/>
      <c r="ERK1" s="224"/>
      <c r="ERL1" s="224"/>
      <c r="ERM1" s="224"/>
      <c r="ERN1" s="224"/>
      <c r="ERO1" s="224"/>
      <c r="ERP1" s="224"/>
      <c r="ERQ1" s="224"/>
      <c r="ERR1" s="224"/>
      <c r="ERS1" s="224"/>
      <c r="ERT1" s="224"/>
      <c r="ERU1" s="224"/>
      <c r="ERV1" s="224"/>
      <c r="ERW1" s="224"/>
      <c r="ERX1" s="224"/>
      <c r="ERY1" s="224"/>
      <c r="ERZ1" s="224"/>
      <c r="ESA1" s="224"/>
      <c r="ESB1" s="224"/>
      <c r="ESC1" s="224"/>
      <c r="ESD1" s="224"/>
      <c r="ESE1" s="224"/>
      <c r="ESF1" s="224"/>
      <c r="ESG1" s="224"/>
      <c r="ESH1" s="224"/>
      <c r="ESI1" s="224"/>
      <c r="ESJ1" s="224"/>
      <c r="ESK1" s="224"/>
      <c r="ESL1" s="224"/>
      <c r="ESM1" s="224"/>
      <c r="ESN1" s="224"/>
      <c r="ESO1" s="224"/>
      <c r="ESP1" s="224"/>
      <c r="ESQ1" s="224"/>
      <c r="ESR1" s="224"/>
      <c r="ESS1" s="224"/>
      <c r="EST1" s="224"/>
      <c r="ESU1" s="224"/>
      <c r="ESV1" s="224"/>
      <c r="ESW1" s="224"/>
      <c r="ESX1" s="224"/>
      <c r="ESY1" s="224"/>
      <c r="ESZ1" s="224"/>
      <c r="ETA1" s="224"/>
      <c r="ETB1" s="224"/>
      <c r="ETC1" s="224"/>
      <c r="ETD1" s="224"/>
      <c r="ETE1" s="224"/>
      <c r="ETF1" s="224"/>
      <c r="ETG1" s="224"/>
      <c r="ETH1" s="224"/>
      <c r="ETI1" s="224"/>
      <c r="ETJ1" s="224"/>
      <c r="ETK1" s="224"/>
      <c r="ETL1" s="224"/>
      <c r="ETM1" s="224"/>
      <c r="ETN1" s="224"/>
      <c r="ETO1" s="224"/>
      <c r="ETP1" s="224"/>
      <c r="ETQ1" s="224"/>
      <c r="ETR1" s="224"/>
      <c r="ETS1" s="224"/>
      <c r="ETT1" s="224"/>
      <c r="ETU1" s="224"/>
      <c r="ETV1" s="224"/>
      <c r="ETW1" s="224"/>
      <c r="ETX1" s="224"/>
      <c r="ETY1" s="224"/>
      <c r="ETZ1" s="224"/>
      <c r="EUA1" s="224"/>
      <c r="EUB1" s="224"/>
      <c r="EUC1" s="224"/>
      <c r="EUD1" s="224"/>
      <c r="EUE1" s="224"/>
      <c r="EUF1" s="224"/>
      <c r="EUG1" s="224"/>
      <c r="EUH1" s="224"/>
      <c r="EUI1" s="224"/>
      <c r="EUJ1" s="224"/>
      <c r="EUK1" s="224"/>
      <c r="EUL1" s="224"/>
      <c r="EUM1" s="224"/>
      <c r="EUN1" s="224"/>
      <c r="EUO1" s="224"/>
      <c r="EUP1" s="224"/>
      <c r="EUQ1" s="224"/>
      <c r="EUR1" s="224"/>
      <c r="EUS1" s="224"/>
      <c r="EUT1" s="224"/>
      <c r="EUU1" s="224"/>
      <c r="EUV1" s="224"/>
      <c r="EUW1" s="224"/>
      <c r="EUX1" s="224"/>
      <c r="EUY1" s="224"/>
      <c r="EUZ1" s="224"/>
      <c r="EVA1" s="224"/>
      <c r="EVB1" s="224"/>
      <c r="EVC1" s="224"/>
      <c r="EVD1" s="224"/>
      <c r="EVE1" s="224"/>
      <c r="EVF1" s="224"/>
      <c r="EVG1" s="224"/>
      <c r="EVH1" s="224"/>
      <c r="EVI1" s="224"/>
      <c r="EVJ1" s="224"/>
      <c r="EVK1" s="224"/>
      <c r="EVL1" s="224"/>
      <c r="EVM1" s="224"/>
      <c r="EVN1" s="224"/>
      <c r="EVO1" s="224"/>
      <c r="EVP1" s="224"/>
      <c r="EVQ1" s="224"/>
      <c r="EVR1" s="224"/>
      <c r="EVS1" s="224"/>
      <c r="EVT1" s="224"/>
      <c r="EVU1" s="224"/>
      <c r="EVV1" s="224"/>
      <c r="EVW1" s="224"/>
      <c r="EVX1" s="224"/>
      <c r="EVY1" s="224"/>
      <c r="EVZ1" s="224"/>
      <c r="EWA1" s="224"/>
      <c r="EWB1" s="224"/>
      <c r="EWC1" s="224"/>
      <c r="EWD1" s="224"/>
      <c r="EWE1" s="224"/>
      <c r="EWF1" s="224"/>
      <c r="EWG1" s="224"/>
      <c r="EWH1" s="224"/>
      <c r="EWI1" s="224"/>
      <c r="EWJ1" s="224"/>
      <c r="EWK1" s="224"/>
      <c r="EWL1" s="224"/>
      <c r="EWM1" s="224"/>
      <c r="EWN1" s="224"/>
      <c r="EWO1" s="224"/>
      <c r="EWP1" s="224"/>
      <c r="EWQ1" s="224"/>
      <c r="EWR1" s="224"/>
      <c r="EWS1" s="224"/>
      <c r="EWT1" s="224"/>
      <c r="EWU1" s="224"/>
      <c r="EWV1" s="224"/>
      <c r="EWW1" s="224"/>
      <c r="EWX1" s="224"/>
      <c r="EWY1" s="224"/>
      <c r="EWZ1" s="224"/>
      <c r="EXA1" s="224"/>
      <c r="EXB1" s="224"/>
      <c r="EXC1" s="224"/>
      <c r="EXD1" s="224"/>
      <c r="EXE1" s="224"/>
      <c r="EXF1" s="224"/>
      <c r="EXG1" s="224"/>
      <c r="EXH1" s="224"/>
      <c r="EXI1" s="224"/>
      <c r="EXJ1" s="224"/>
      <c r="EXK1" s="224"/>
      <c r="EXL1" s="224"/>
      <c r="EXM1" s="224"/>
      <c r="EXN1" s="224"/>
      <c r="EXO1" s="224"/>
      <c r="EXP1" s="224"/>
      <c r="EXQ1" s="224"/>
      <c r="EXR1" s="224"/>
      <c r="EXS1" s="224"/>
      <c r="EXT1" s="224"/>
      <c r="EXU1" s="224"/>
      <c r="EXV1" s="224"/>
      <c r="EXW1" s="224"/>
      <c r="EXX1" s="224"/>
      <c r="EXY1" s="224"/>
      <c r="EXZ1" s="224"/>
      <c r="EYA1" s="224"/>
      <c r="EYB1" s="224"/>
      <c r="EYC1" s="224"/>
      <c r="EYD1" s="224"/>
      <c r="EYE1" s="224"/>
      <c r="EYF1" s="224"/>
      <c r="EYG1" s="224"/>
      <c r="EYH1" s="224"/>
      <c r="EYI1" s="224"/>
      <c r="EYJ1" s="224"/>
      <c r="EYK1" s="224"/>
      <c r="EYL1" s="224"/>
      <c r="EYM1" s="224"/>
      <c r="EYN1" s="224"/>
      <c r="EYO1" s="224"/>
      <c r="EYP1" s="224"/>
      <c r="EYQ1" s="224"/>
      <c r="EYR1" s="224"/>
      <c r="EYS1" s="224"/>
      <c r="EYT1" s="224"/>
      <c r="EYU1" s="224"/>
      <c r="EYV1" s="224"/>
      <c r="EYW1" s="224"/>
      <c r="EYX1" s="224"/>
      <c r="EYY1" s="224"/>
      <c r="EYZ1" s="224"/>
      <c r="EZA1" s="224"/>
      <c r="EZB1" s="224"/>
      <c r="EZC1" s="224"/>
      <c r="EZD1" s="224"/>
      <c r="EZE1" s="224"/>
      <c r="EZF1" s="224"/>
      <c r="EZG1" s="224"/>
      <c r="EZH1" s="224"/>
      <c r="EZI1" s="224"/>
      <c r="EZJ1" s="224"/>
      <c r="EZK1" s="224"/>
      <c r="EZL1" s="224"/>
      <c r="EZM1" s="224"/>
      <c r="EZN1" s="224"/>
      <c r="EZO1" s="224"/>
      <c r="EZP1" s="224"/>
      <c r="EZQ1" s="224"/>
      <c r="EZR1" s="224"/>
      <c r="EZS1" s="224"/>
      <c r="EZT1" s="224"/>
      <c r="EZU1" s="224"/>
      <c r="EZV1" s="224"/>
      <c r="EZW1" s="224"/>
      <c r="EZX1" s="224"/>
      <c r="EZY1" s="224"/>
      <c r="EZZ1" s="224"/>
      <c r="FAA1" s="224"/>
      <c r="FAB1" s="224"/>
      <c r="FAC1" s="224"/>
      <c r="FAD1" s="224"/>
      <c r="FAE1" s="224"/>
      <c r="FAF1" s="224"/>
      <c r="FAG1" s="224"/>
      <c r="FAH1" s="224"/>
      <c r="FAI1" s="224"/>
      <c r="FAJ1" s="224"/>
      <c r="FAK1" s="224"/>
      <c r="FAL1" s="224"/>
      <c r="FAM1" s="224"/>
      <c r="FAN1" s="224"/>
      <c r="FAO1" s="224"/>
      <c r="FAP1" s="224"/>
      <c r="FAQ1" s="224"/>
      <c r="FAR1" s="224"/>
      <c r="FAS1" s="224"/>
      <c r="FAT1" s="224"/>
      <c r="FAU1" s="224"/>
      <c r="FAV1" s="224"/>
      <c r="FAW1" s="224"/>
      <c r="FAX1" s="224"/>
      <c r="FAY1" s="224"/>
      <c r="FAZ1" s="224"/>
      <c r="FBA1" s="224"/>
      <c r="FBB1" s="224"/>
      <c r="FBC1" s="224"/>
      <c r="FBD1" s="224"/>
      <c r="FBE1" s="224"/>
      <c r="FBF1" s="224"/>
      <c r="FBG1" s="224"/>
      <c r="FBH1" s="224"/>
      <c r="FBI1" s="224"/>
      <c r="FBJ1" s="224"/>
      <c r="FBK1" s="224"/>
      <c r="FBL1" s="224"/>
      <c r="FBM1" s="224"/>
      <c r="FBN1" s="224"/>
      <c r="FBO1" s="224"/>
      <c r="FBP1" s="224"/>
      <c r="FBQ1" s="224"/>
      <c r="FBR1" s="224"/>
      <c r="FBS1" s="224"/>
      <c r="FBT1" s="224"/>
      <c r="FBU1" s="224"/>
      <c r="FBV1" s="224"/>
      <c r="FBW1" s="224"/>
      <c r="FBX1" s="224"/>
      <c r="FBY1" s="224"/>
      <c r="FBZ1" s="224"/>
      <c r="FCA1" s="224"/>
      <c r="FCB1" s="224"/>
      <c r="FCC1" s="224"/>
      <c r="FCD1" s="224"/>
      <c r="FCE1" s="224"/>
      <c r="FCF1" s="224"/>
      <c r="FCG1" s="224"/>
      <c r="FCH1" s="224"/>
      <c r="FCI1" s="224"/>
      <c r="FCJ1" s="224"/>
      <c r="FCK1" s="224"/>
      <c r="FCL1" s="224"/>
      <c r="FCM1" s="224"/>
      <c r="FCN1" s="224"/>
      <c r="FCO1" s="224"/>
      <c r="FCP1" s="224"/>
      <c r="FCQ1" s="224"/>
      <c r="FCR1" s="224"/>
      <c r="FCS1" s="224"/>
      <c r="FCT1" s="224"/>
      <c r="FCU1" s="224"/>
      <c r="FCV1" s="224"/>
      <c r="FCW1" s="224"/>
      <c r="FCX1" s="224"/>
      <c r="FCY1" s="224"/>
      <c r="FCZ1" s="224"/>
      <c r="FDA1" s="224"/>
      <c r="FDB1" s="224"/>
      <c r="FDC1" s="224"/>
      <c r="FDD1" s="224"/>
      <c r="FDE1" s="224"/>
      <c r="FDF1" s="224"/>
      <c r="FDG1" s="224"/>
      <c r="FDH1" s="224"/>
      <c r="FDI1" s="224"/>
      <c r="FDJ1" s="224"/>
      <c r="FDK1" s="224"/>
      <c r="FDL1" s="224"/>
      <c r="FDM1" s="224"/>
      <c r="FDN1" s="224"/>
      <c r="FDO1" s="224"/>
      <c r="FDP1" s="224"/>
      <c r="FDQ1" s="224"/>
      <c r="FDR1" s="224"/>
      <c r="FDS1" s="224"/>
      <c r="FDT1" s="224"/>
      <c r="FDU1" s="224"/>
      <c r="FDV1" s="224"/>
      <c r="FDW1" s="224"/>
      <c r="FDX1" s="224"/>
      <c r="FDY1" s="224"/>
      <c r="FDZ1" s="224"/>
      <c r="FEA1" s="224"/>
      <c r="FEB1" s="224"/>
      <c r="FEC1" s="224"/>
      <c r="FED1" s="224"/>
      <c r="FEE1" s="224"/>
      <c r="FEF1" s="224"/>
      <c r="FEG1" s="224"/>
      <c r="FEH1" s="224"/>
      <c r="FEI1" s="224"/>
      <c r="FEJ1" s="224"/>
      <c r="FEK1" s="224"/>
      <c r="FEL1" s="224"/>
      <c r="FEM1" s="224"/>
      <c r="FEN1" s="224"/>
      <c r="FEO1" s="224"/>
      <c r="FEP1" s="224"/>
      <c r="FEQ1" s="224"/>
      <c r="FER1" s="224"/>
      <c r="FES1" s="224"/>
      <c r="FET1" s="224"/>
      <c r="FEU1" s="224"/>
      <c r="FEV1" s="224"/>
      <c r="FEW1" s="224"/>
      <c r="FEX1" s="224"/>
      <c r="FEY1" s="224"/>
      <c r="FEZ1" s="224"/>
      <c r="FFA1" s="224"/>
      <c r="FFB1" s="224"/>
      <c r="FFC1" s="224"/>
      <c r="FFD1" s="224"/>
      <c r="FFE1" s="224"/>
      <c r="FFF1" s="224"/>
      <c r="FFG1" s="224"/>
      <c r="FFH1" s="224"/>
      <c r="FFI1" s="224"/>
      <c r="FFJ1" s="224"/>
      <c r="FFK1" s="224"/>
      <c r="FFL1" s="224"/>
      <c r="FFM1" s="224"/>
      <c r="FFN1" s="224"/>
      <c r="FFO1" s="224"/>
      <c r="FFP1" s="224"/>
      <c r="FFQ1" s="224"/>
      <c r="FFR1" s="224"/>
      <c r="FFS1" s="224"/>
      <c r="FFT1" s="224"/>
      <c r="FFU1" s="224"/>
      <c r="FFV1" s="224"/>
      <c r="FFW1" s="224"/>
      <c r="FFX1" s="224"/>
      <c r="FFY1" s="224"/>
      <c r="FFZ1" s="224"/>
      <c r="FGA1" s="224"/>
      <c r="FGB1" s="224"/>
      <c r="FGC1" s="224"/>
      <c r="FGD1" s="224"/>
      <c r="FGE1" s="224"/>
      <c r="FGF1" s="224"/>
      <c r="FGG1" s="224"/>
      <c r="FGH1" s="224"/>
      <c r="FGI1" s="224"/>
      <c r="FGJ1" s="224"/>
      <c r="FGK1" s="224"/>
      <c r="FGL1" s="224"/>
      <c r="FGM1" s="224"/>
      <c r="FGN1" s="224"/>
      <c r="FGO1" s="224"/>
      <c r="FGP1" s="224"/>
      <c r="FGQ1" s="224"/>
      <c r="FGR1" s="224"/>
      <c r="FGS1" s="224"/>
      <c r="FGT1" s="224"/>
      <c r="FGU1" s="224"/>
      <c r="FGV1" s="224"/>
      <c r="FGW1" s="224"/>
      <c r="FGX1" s="224"/>
      <c r="FGY1" s="224"/>
      <c r="FGZ1" s="224"/>
      <c r="FHA1" s="224"/>
      <c r="FHB1" s="224"/>
      <c r="FHC1" s="224"/>
      <c r="FHD1" s="224"/>
      <c r="FHE1" s="224"/>
      <c r="FHF1" s="224"/>
      <c r="FHG1" s="224"/>
      <c r="FHH1" s="224"/>
      <c r="FHI1" s="224"/>
      <c r="FHJ1" s="224"/>
      <c r="FHK1" s="224"/>
      <c r="FHL1" s="224"/>
      <c r="FHM1" s="224"/>
      <c r="FHN1" s="224"/>
      <c r="FHO1" s="224"/>
      <c r="FHP1" s="224"/>
      <c r="FHQ1" s="224"/>
      <c r="FHR1" s="224"/>
      <c r="FHS1" s="224"/>
      <c r="FHT1" s="224"/>
      <c r="FHU1" s="224"/>
      <c r="FHV1" s="224"/>
      <c r="FHW1" s="224"/>
      <c r="FHX1" s="224"/>
      <c r="FHY1" s="224"/>
      <c r="FHZ1" s="224"/>
      <c r="FIA1" s="224"/>
      <c r="FIB1" s="224"/>
      <c r="FIC1" s="224"/>
      <c r="FID1" s="224"/>
      <c r="FIE1" s="224"/>
      <c r="FIF1" s="224"/>
      <c r="FIG1" s="224"/>
      <c r="FIH1" s="224"/>
      <c r="FII1" s="224"/>
      <c r="FIJ1" s="224"/>
      <c r="FIK1" s="224"/>
      <c r="FIL1" s="224"/>
      <c r="FIM1" s="224"/>
      <c r="FIN1" s="224"/>
      <c r="FIO1" s="224"/>
      <c r="FIP1" s="224"/>
      <c r="FIQ1" s="224"/>
      <c r="FIR1" s="224"/>
      <c r="FIS1" s="224"/>
      <c r="FIT1" s="224"/>
      <c r="FIU1" s="224"/>
      <c r="FIV1" s="224"/>
      <c r="FIW1" s="224"/>
      <c r="FIX1" s="224"/>
      <c r="FIY1" s="224"/>
      <c r="FIZ1" s="224"/>
      <c r="FJA1" s="224"/>
      <c r="FJB1" s="224"/>
      <c r="FJC1" s="224"/>
      <c r="FJD1" s="224"/>
      <c r="FJE1" s="224"/>
      <c r="FJF1" s="224"/>
      <c r="FJG1" s="224"/>
      <c r="FJH1" s="224"/>
      <c r="FJI1" s="224"/>
      <c r="FJJ1" s="224"/>
      <c r="FJK1" s="224"/>
      <c r="FJL1" s="224"/>
      <c r="FJM1" s="224"/>
      <c r="FJN1" s="224"/>
      <c r="FJO1" s="224"/>
      <c r="FJP1" s="224"/>
      <c r="FJQ1" s="224"/>
      <c r="FJR1" s="224"/>
      <c r="FJS1" s="224"/>
      <c r="FJT1" s="224"/>
      <c r="FJU1" s="224"/>
      <c r="FJV1" s="224"/>
      <c r="FJW1" s="224"/>
      <c r="FJX1" s="224"/>
      <c r="FJY1" s="224"/>
      <c r="FJZ1" s="224"/>
      <c r="FKA1" s="224"/>
      <c r="FKB1" s="224"/>
      <c r="FKC1" s="224"/>
      <c r="FKD1" s="224"/>
      <c r="FKE1" s="224"/>
      <c r="FKF1" s="224"/>
      <c r="FKG1" s="224"/>
      <c r="FKH1" s="224"/>
      <c r="FKI1" s="224"/>
      <c r="FKJ1" s="224"/>
      <c r="FKK1" s="224"/>
      <c r="FKL1" s="224"/>
      <c r="FKM1" s="224"/>
      <c r="FKN1" s="224"/>
      <c r="FKO1" s="224"/>
      <c r="FKP1" s="224"/>
      <c r="FKQ1" s="224"/>
      <c r="FKR1" s="224"/>
      <c r="FKS1" s="224"/>
      <c r="FKT1" s="224"/>
      <c r="FKU1" s="224"/>
      <c r="FKV1" s="224"/>
      <c r="FKW1" s="224"/>
      <c r="FKX1" s="224"/>
      <c r="FKY1" s="224"/>
      <c r="FKZ1" s="224"/>
      <c r="FLA1" s="224"/>
      <c r="FLB1" s="224"/>
      <c r="FLC1" s="224"/>
      <c r="FLD1" s="224"/>
      <c r="FLE1" s="224"/>
      <c r="FLF1" s="224"/>
      <c r="FLG1" s="224"/>
      <c r="FLH1" s="224"/>
      <c r="FLI1" s="224"/>
      <c r="FLJ1" s="224"/>
      <c r="FLK1" s="224"/>
      <c r="FLL1" s="224"/>
      <c r="FLM1" s="224"/>
      <c r="FLN1" s="224"/>
      <c r="FLO1" s="224"/>
      <c r="FLP1" s="224"/>
      <c r="FLQ1" s="224"/>
      <c r="FLR1" s="224"/>
      <c r="FLS1" s="224"/>
      <c r="FLT1" s="224"/>
      <c r="FLU1" s="224"/>
      <c r="FLV1" s="224"/>
      <c r="FLW1" s="224"/>
      <c r="FLX1" s="224"/>
      <c r="FLY1" s="224"/>
      <c r="FLZ1" s="224"/>
      <c r="FMA1" s="224"/>
      <c r="FMB1" s="224"/>
      <c r="FMC1" s="224"/>
      <c r="FMD1" s="224"/>
      <c r="FME1" s="224"/>
      <c r="FMF1" s="224"/>
      <c r="FMG1" s="224"/>
      <c r="FMH1" s="224"/>
      <c r="FMI1" s="224"/>
      <c r="FMJ1" s="224"/>
      <c r="FMK1" s="224"/>
      <c r="FML1" s="224"/>
      <c r="FMM1" s="224"/>
      <c r="FMN1" s="224"/>
      <c r="FMO1" s="224"/>
      <c r="FMP1" s="224"/>
      <c r="FMQ1" s="224"/>
      <c r="FMR1" s="224"/>
      <c r="FMS1" s="224"/>
      <c r="FMT1" s="224"/>
      <c r="FMU1" s="224"/>
      <c r="FMV1" s="224"/>
      <c r="FMW1" s="224"/>
      <c r="FMX1" s="224"/>
      <c r="FMY1" s="224"/>
      <c r="FMZ1" s="224"/>
      <c r="FNA1" s="224"/>
      <c r="FNB1" s="224"/>
      <c r="FNC1" s="224"/>
      <c r="FND1" s="224"/>
      <c r="FNE1" s="224"/>
      <c r="FNF1" s="224"/>
      <c r="FNG1" s="224"/>
      <c r="FNH1" s="224"/>
      <c r="FNI1" s="224"/>
      <c r="FNJ1" s="224"/>
      <c r="FNK1" s="224"/>
      <c r="FNL1" s="224"/>
      <c r="FNM1" s="224"/>
      <c r="FNN1" s="224"/>
      <c r="FNO1" s="224"/>
      <c r="FNP1" s="224"/>
      <c r="FNQ1" s="224"/>
      <c r="FNR1" s="224"/>
      <c r="FNS1" s="224"/>
      <c r="FNT1" s="224"/>
      <c r="FNU1" s="224"/>
      <c r="FNV1" s="224"/>
      <c r="FNW1" s="224"/>
      <c r="FNX1" s="224"/>
      <c r="FNY1" s="224"/>
      <c r="FNZ1" s="224"/>
      <c r="FOA1" s="224"/>
      <c r="FOB1" s="224"/>
      <c r="FOC1" s="224"/>
      <c r="FOD1" s="224"/>
      <c r="FOE1" s="224"/>
      <c r="FOF1" s="224"/>
      <c r="FOG1" s="224"/>
      <c r="FOH1" s="224"/>
      <c r="FOI1" s="224"/>
      <c r="FOJ1" s="224"/>
      <c r="FOK1" s="224"/>
      <c r="FOL1" s="224"/>
      <c r="FOM1" s="224"/>
      <c r="FON1" s="224"/>
      <c r="FOO1" s="224"/>
      <c r="FOP1" s="224"/>
      <c r="FOQ1" s="224"/>
      <c r="FOR1" s="224"/>
      <c r="FOS1" s="224"/>
      <c r="FOT1" s="224"/>
      <c r="FOU1" s="224"/>
      <c r="FOV1" s="224"/>
      <c r="FOW1" s="224"/>
      <c r="FOX1" s="224"/>
      <c r="FOY1" s="224"/>
      <c r="FOZ1" s="224"/>
      <c r="FPA1" s="224"/>
      <c r="FPB1" s="224"/>
      <c r="FPC1" s="224"/>
      <c r="FPD1" s="224"/>
      <c r="FPE1" s="224"/>
      <c r="FPF1" s="224"/>
      <c r="FPG1" s="224"/>
      <c r="FPH1" s="224"/>
      <c r="FPI1" s="224"/>
      <c r="FPJ1" s="224"/>
      <c r="FPK1" s="224"/>
      <c r="FPL1" s="224"/>
      <c r="FPM1" s="224"/>
      <c r="FPN1" s="224"/>
      <c r="FPO1" s="224"/>
      <c r="FPP1" s="224"/>
      <c r="FPQ1" s="224"/>
      <c r="FPR1" s="224"/>
      <c r="FPS1" s="224"/>
      <c r="FPT1" s="224"/>
      <c r="FPU1" s="224"/>
      <c r="FPV1" s="224"/>
      <c r="FPW1" s="224"/>
      <c r="FPX1" s="224"/>
      <c r="FPY1" s="224"/>
      <c r="FPZ1" s="224"/>
      <c r="FQA1" s="224"/>
      <c r="FQB1" s="224"/>
      <c r="FQC1" s="224"/>
      <c r="FQD1" s="224"/>
      <c r="FQE1" s="224"/>
      <c r="FQF1" s="224"/>
      <c r="FQG1" s="224"/>
      <c r="FQH1" s="224"/>
      <c r="FQI1" s="224"/>
      <c r="FQJ1" s="224"/>
      <c r="FQK1" s="224"/>
      <c r="FQL1" s="224"/>
      <c r="FQM1" s="224"/>
      <c r="FQN1" s="224"/>
      <c r="FQO1" s="224"/>
      <c r="FQP1" s="224"/>
      <c r="FQQ1" s="224"/>
      <c r="FQR1" s="224"/>
      <c r="FQS1" s="224"/>
      <c r="FQT1" s="224"/>
      <c r="FQU1" s="224"/>
      <c r="FQV1" s="224"/>
      <c r="FQW1" s="224"/>
      <c r="FQX1" s="224"/>
      <c r="FQY1" s="224"/>
      <c r="FQZ1" s="224"/>
      <c r="FRA1" s="224"/>
      <c r="FRB1" s="224"/>
      <c r="FRC1" s="224"/>
      <c r="FRD1" s="224"/>
      <c r="FRE1" s="224"/>
      <c r="FRF1" s="224"/>
      <c r="FRG1" s="224"/>
      <c r="FRH1" s="224"/>
      <c r="FRI1" s="224"/>
      <c r="FRJ1" s="224"/>
      <c r="FRK1" s="224"/>
      <c r="FRL1" s="224"/>
      <c r="FRM1" s="224"/>
      <c r="FRN1" s="224"/>
      <c r="FRO1" s="224"/>
      <c r="FRP1" s="224"/>
      <c r="FRQ1" s="224"/>
      <c r="FRR1" s="224"/>
      <c r="FRS1" s="224"/>
      <c r="FRT1" s="224"/>
      <c r="FRU1" s="224"/>
      <c r="FRV1" s="224"/>
      <c r="FRW1" s="224"/>
      <c r="FRX1" s="224"/>
      <c r="FRY1" s="224"/>
      <c r="FRZ1" s="224"/>
      <c r="FSA1" s="224"/>
      <c r="FSB1" s="224"/>
      <c r="FSC1" s="224"/>
      <c r="FSD1" s="224"/>
      <c r="FSE1" s="224"/>
      <c r="FSF1" s="224"/>
      <c r="FSG1" s="224"/>
      <c r="FSH1" s="224"/>
      <c r="FSI1" s="224"/>
      <c r="FSJ1" s="224"/>
      <c r="FSK1" s="224"/>
      <c r="FSL1" s="224"/>
      <c r="FSM1" s="224"/>
      <c r="FSN1" s="224"/>
      <c r="FSO1" s="224"/>
      <c r="FSP1" s="224"/>
      <c r="FSQ1" s="224"/>
      <c r="FSR1" s="224"/>
      <c r="FSS1" s="224"/>
      <c r="FST1" s="224"/>
      <c r="FSU1" s="224"/>
      <c r="FSV1" s="224"/>
      <c r="FSW1" s="224"/>
      <c r="FSX1" s="224"/>
      <c r="FSY1" s="224"/>
      <c r="FSZ1" s="224"/>
      <c r="FTA1" s="224"/>
      <c r="FTB1" s="224"/>
      <c r="FTC1" s="224"/>
      <c r="FTD1" s="224"/>
      <c r="FTE1" s="224"/>
      <c r="FTF1" s="224"/>
      <c r="FTG1" s="224"/>
      <c r="FTH1" s="224"/>
      <c r="FTI1" s="224"/>
      <c r="FTJ1" s="224"/>
      <c r="FTK1" s="224"/>
      <c r="FTL1" s="224"/>
      <c r="FTM1" s="224"/>
      <c r="FTN1" s="224"/>
      <c r="FTO1" s="224"/>
      <c r="FTP1" s="224"/>
      <c r="FTQ1" s="224"/>
      <c r="FTR1" s="224"/>
      <c r="FTS1" s="224"/>
      <c r="FTT1" s="224"/>
      <c r="FTU1" s="224"/>
      <c r="FTV1" s="224"/>
      <c r="FTW1" s="224"/>
      <c r="FTX1" s="224"/>
      <c r="FTY1" s="224"/>
      <c r="FTZ1" s="224"/>
      <c r="FUA1" s="224"/>
      <c r="FUB1" s="224"/>
      <c r="FUC1" s="224"/>
      <c r="FUD1" s="224"/>
      <c r="FUE1" s="224"/>
      <c r="FUF1" s="224"/>
      <c r="FUG1" s="224"/>
      <c r="FUH1" s="224"/>
      <c r="FUI1" s="224"/>
      <c r="FUJ1" s="224"/>
      <c r="FUK1" s="224"/>
      <c r="FUL1" s="224"/>
      <c r="FUM1" s="224"/>
      <c r="FUN1" s="224"/>
      <c r="FUO1" s="224"/>
      <c r="FUP1" s="224"/>
      <c r="FUQ1" s="224"/>
      <c r="FUR1" s="224"/>
      <c r="FUS1" s="224"/>
      <c r="FUT1" s="224"/>
      <c r="FUU1" s="224"/>
      <c r="FUV1" s="224"/>
      <c r="FUW1" s="224"/>
      <c r="FUX1" s="224"/>
      <c r="FUY1" s="224"/>
      <c r="FUZ1" s="224"/>
      <c r="FVA1" s="224"/>
      <c r="FVB1" s="224"/>
      <c r="FVC1" s="224"/>
      <c r="FVD1" s="224"/>
      <c r="FVE1" s="224"/>
      <c r="FVF1" s="224"/>
      <c r="FVG1" s="224"/>
      <c r="FVH1" s="224"/>
      <c r="FVI1" s="224"/>
      <c r="FVJ1" s="224"/>
      <c r="FVK1" s="224"/>
      <c r="FVL1" s="224"/>
      <c r="FVM1" s="224"/>
      <c r="FVN1" s="224"/>
      <c r="FVO1" s="224"/>
      <c r="FVP1" s="224"/>
      <c r="FVQ1" s="224"/>
      <c r="FVR1" s="224"/>
      <c r="FVS1" s="224"/>
      <c r="FVT1" s="224"/>
      <c r="FVU1" s="224"/>
      <c r="FVV1" s="224"/>
      <c r="FVW1" s="224"/>
      <c r="FVX1" s="224"/>
      <c r="FVY1" s="224"/>
      <c r="FVZ1" s="224"/>
      <c r="FWA1" s="224"/>
      <c r="FWB1" s="224"/>
      <c r="FWC1" s="224"/>
      <c r="FWD1" s="224"/>
      <c r="FWE1" s="224"/>
      <c r="FWF1" s="224"/>
      <c r="FWG1" s="224"/>
      <c r="FWH1" s="224"/>
      <c r="FWI1" s="224"/>
      <c r="FWJ1" s="224"/>
      <c r="FWK1" s="224"/>
      <c r="FWL1" s="224"/>
      <c r="FWM1" s="224"/>
      <c r="FWN1" s="224"/>
      <c r="FWO1" s="224"/>
      <c r="FWP1" s="224"/>
      <c r="FWQ1" s="224"/>
      <c r="FWR1" s="224"/>
      <c r="FWS1" s="224"/>
      <c r="FWT1" s="224"/>
      <c r="FWU1" s="224"/>
      <c r="FWV1" s="224"/>
      <c r="FWW1" s="224"/>
      <c r="FWX1" s="224"/>
      <c r="FWY1" s="224"/>
      <c r="FWZ1" s="224"/>
      <c r="FXA1" s="224"/>
      <c r="FXB1" s="224"/>
      <c r="FXC1" s="224"/>
      <c r="FXD1" s="224"/>
      <c r="FXE1" s="224"/>
      <c r="FXF1" s="224"/>
      <c r="FXG1" s="224"/>
      <c r="FXH1" s="224"/>
      <c r="FXI1" s="224"/>
      <c r="FXJ1" s="224"/>
      <c r="FXK1" s="224"/>
      <c r="FXL1" s="224"/>
      <c r="FXM1" s="224"/>
      <c r="FXN1" s="224"/>
      <c r="FXO1" s="224"/>
      <c r="FXP1" s="224"/>
      <c r="FXQ1" s="224"/>
      <c r="FXR1" s="224"/>
      <c r="FXS1" s="224"/>
      <c r="FXT1" s="224"/>
      <c r="FXU1" s="224"/>
      <c r="FXV1" s="224"/>
      <c r="FXW1" s="224"/>
      <c r="FXX1" s="224"/>
      <c r="FXY1" s="224"/>
      <c r="FXZ1" s="224"/>
      <c r="FYA1" s="224"/>
      <c r="FYB1" s="224"/>
      <c r="FYC1" s="224"/>
      <c r="FYD1" s="224"/>
      <c r="FYE1" s="224"/>
      <c r="FYF1" s="224"/>
      <c r="FYG1" s="224"/>
      <c r="FYH1" s="224"/>
      <c r="FYI1" s="224"/>
      <c r="FYJ1" s="224"/>
      <c r="FYK1" s="224"/>
      <c r="FYL1" s="224"/>
      <c r="FYM1" s="224"/>
      <c r="FYN1" s="224"/>
      <c r="FYO1" s="224"/>
      <c r="FYP1" s="224"/>
      <c r="FYQ1" s="224"/>
      <c r="FYR1" s="224"/>
      <c r="FYS1" s="224"/>
      <c r="FYT1" s="224"/>
      <c r="FYU1" s="224"/>
      <c r="FYV1" s="224"/>
      <c r="FYW1" s="224"/>
      <c r="FYX1" s="224"/>
      <c r="FYY1" s="224"/>
      <c r="FYZ1" s="224"/>
      <c r="FZA1" s="224"/>
      <c r="FZB1" s="224"/>
      <c r="FZC1" s="224"/>
      <c r="FZD1" s="224"/>
      <c r="FZE1" s="224"/>
      <c r="FZF1" s="224"/>
      <c r="FZG1" s="224"/>
      <c r="FZH1" s="224"/>
      <c r="FZI1" s="224"/>
      <c r="FZJ1" s="224"/>
      <c r="FZK1" s="224"/>
      <c r="FZL1" s="224"/>
      <c r="FZM1" s="224"/>
      <c r="FZN1" s="224"/>
      <c r="FZO1" s="224"/>
      <c r="FZP1" s="224"/>
      <c r="FZQ1" s="224"/>
      <c r="FZR1" s="224"/>
      <c r="FZS1" s="224"/>
      <c r="FZT1" s="224"/>
      <c r="FZU1" s="224"/>
      <c r="FZV1" s="224"/>
      <c r="FZW1" s="224"/>
      <c r="FZX1" s="224"/>
      <c r="FZY1" s="224"/>
      <c r="FZZ1" s="224"/>
      <c r="GAA1" s="224"/>
      <c r="GAB1" s="224"/>
      <c r="GAC1" s="224"/>
      <c r="GAD1" s="224"/>
      <c r="GAE1" s="224"/>
      <c r="GAF1" s="224"/>
      <c r="GAG1" s="224"/>
      <c r="GAH1" s="224"/>
      <c r="GAI1" s="224"/>
      <c r="GAJ1" s="224"/>
      <c r="GAK1" s="224"/>
      <c r="GAL1" s="224"/>
      <c r="GAM1" s="224"/>
      <c r="GAN1" s="224"/>
      <c r="GAO1" s="224"/>
      <c r="GAP1" s="224"/>
      <c r="GAQ1" s="224"/>
      <c r="GAR1" s="224"/>
      <c r="GAS1" s="224"/>
      <c r="GAT1" s="224"/>
      <c r="GAU1" s="224"/>
      <c r="GAV1" s="224"/>
      <c r="GAW1" s="224"/>
      <c r="GAX1" s="224"/>
      <c r="GAY1" s="224"/>
      <c r="GAZ1" s="224"/>
      <c r="GBA1" s="224"/>
      <c r="GBB1" s="224"/>
      <c r="GBC1" s="224"/>
      <c r="GBD1" s="224"/>
      <c r="GBE1" s="224"/>
      <c r="GBF1" s="224"/>
      <c r="GBG1" s="224"/>
      <c r="GBH1" s="224"/>
      <c r="GBI1" s="224"/>
      <c r="GBJ1" s="224"/>
      <c r="GBK1" s="224"/>
      <c r="GBL1" s="224"/>
      <c r="GBM1" s="224"/>
      <c r="GBN1" s="224"/>
      <c r="GBO1" s="224"/>
      <c r="GBP1" s="224"/>
      <c r="GBQ1" s="224"/>
      <c r="GBR1" s="224"/>
      <c r="GBS1" s="224"/>
      <c r="GBT1" s="224"/>
      <c r="GBU1" s="224"/>
      <c r="GBV1" s="224"/>
      <c r="GBW1" s="224"/>
      <c r="GBX1" s="224"/>
      <c r="GBY1" s="224"/>
      <c r="GBZ1" s="224"/>
      <c r="GCA1" s="224"/>
      <c r="GCB1" s="224"/>
      <c r="GCC1" s="224"/>
      <c r="GCD1" s="224"/>
      <c r="GCE1" s="224"/>
      <c r="GCF1" s="224"/>
      <c r="GCG1" s="224"/>
      <c r="GCH1" s="224"/>
      <c r="GCI1" s="224"/>
      <c r="GCJ1" s="224"/>
      <c r="GCK1" s="224"/>
      <c r="GCL1" s="224"/>
      <c r="GCM1" s="224"/>
      <c r="GCN1" s="224"/>
      <c r="GCO1" s="224"/>
      <c r="GCP1" s="224"/>
      <c r="GCQ1" s="224"/>
      <c r="GCR1" s="224"/>
      <c r="GCS1" s="224"/>
      <c r="GCT1" s="224"/>
      <c r="GCU1" s="224"/>
      <c r="GCV1" s="224"/>
      <c r="GCW1" s="224"/>
      <c r="GCX1" s="224"/>
      <c r="GCY1" s="224"/>
      <c r="GCZ1" s="224"/>
      <c r="GDA1" s="224"/>
      <c r="GDB1" s="224"/>
      <c r="GDC1" s="224"/>
      <c r="GDD1" s="224"/>
      <c r="GDE1" s="224"/>
      <c r="GDF1" s="224"/>
      <c r="GDG1" s="224"/>
      <c r="GDH1" s="224"/>
      <c r="GDI1" s="224"/>
      <c r="GDJ1" s="224"/>
      <c r="GDK1" s="224"/>
      <c r="GDL1" s="224"/>
      <c r="GDM1" s="224"/>
      <c r="GDN1" s="224"/>
      <c r="GDO1" s="224"/>
      <c r="GDP1" s="224"/>
      <c r="GDQ1" s="224"/>
      <c r="GDR1" s="224"/>
      <c r="GDS1" s="224"/>
      <c r="GDT1" s="224"/>
      <c r="GDU1" s="224"/>
      <c r="GDV1" s="224"/>
      <c r="GDW1" s="224"/>
      <c r="GDX1" s="224"/>
      <c r="GDY1" s="224"/>
      <c r="GDZ1" s="224"/>
      <c r="GEA1" s="224"/>
      <c r="GEB1" s="224"/>
      <c r="GEC1" s="224"/>
      <c r="GED1" s="224"/>
      <c r="GEE1" s="224"/>
      <c r="GEF1" s="224"/>
      <c r="GEG1" s="224"/>
      <c r="GEH1" s="224"/>
      <c r="GEI1" s="224"/>
      <c r="GEJ1" s="224"/>
      <c r="GEK1" s="224"/>
      <c r="GEL1" s="224"/>
      <c r="GEM1" s="224"/>
      <c r="GEN1" s="224"/>
      <c r="GEO1" s="224"/>
      <c r="GEP1" s="224"/>
      <c r="GEQ1" s="224"/>
      <c r="GER1" s="224"/>
      <c r="GES1" s="224"/>
      <c r="GET1" s="224"/>
      <c r="GEU1" s="224"/>
      <c r="GEV1" s="224"/>
      <c r="GEW1" s="224"/>
      <c r="GEX1" s="224"/>
      <c r="GEY1" s="224"/>
      <c r="GEZ1" s="224"/>
      <c r="GFA1" s="224"/>
      <c r="GFB1" s="224"/>
      <c r="GFC1" s="224"/>
      <c r="GFD1" s="224"/>
      <c r="GFE1" s="224"/>
      <c r="GFF1" s="224"/>
      <c r="GFG1" s="224"/>
      <c r="GFH1" s="224"/>
      <c r="GFI1" s="224"/>
      <c r="GFJ1" s="224"/>
      <c r="GFK1" s="224"/>
      <c r="GFL1" s="224"/>
      <c r="GFM1" s="224"/>
      <c r="GFN1" s="224"/>
      <c r="GFO1" s="224"/>
      <c r="GFP1" s="224"/>
      <c r="GFQ1" s="224"/>
      <c r="GFR1" s="224"/>
      <c r="GFS1" s="224"/>
      <c r="GFT1" s="224"/>
      <c r="GFU1" s="224"/>
      <c r="GFV1" s="224"/>
      <c r="GFW1" s="224"/>
      <c r="GFX1" s="224"/>
      <c r="GFY1" s="224"/>
      <c r="GFZ1" s="224"/>
      <c r="GGA1" s="224"/>
      <c r="GGB1" s="224"/>
      <c r="GGC1" s="224"/>
      <c r="GGD1" s="224"/>
      <c r="GGE1" s="224"/>
      <c r="GGF1" s="224"/>
      <c r="GGG1" s="224"/>
      <c r="GGH1" s="224"/>
      <c r="GGI1" s="224"/>
      <c r="GGJ1" s="224"/>
      <c r="GGK1" s="224"/>
      <c r="GGL1" s="224"/>
      <c r="GGM1" s="224"/>
      <c r="GGN1" s="224"/>
      <c r="GGO1" s="224"/>
      <c r="GGP1" s="224"/>
      <c r="GGQ1" s="224"/>
      <c r="GGR1" s="224"/>
      <c r="GGS1" s="224"/>
      <c r="GGT1" s="224"/>
      <c r="GGU1" s="224"/>
      <c r="GGV1" s="224"/>
      <c r="GGW1" s="224"/>
      <c r="GGX1" s="224"/>
      <c r="GGY1" s="224"/>
      <c r="GGZ1" s="224"/>
      <c r="GHA1" s="224"/>
      <c r="GHB1" s="224"/>
      <c r="GHC1" s="224"/>
      <c r="GHD1" s="224"/>
      <c r="GHE1" s="224"/>
      <c r="GHF1" s="224"/>
      <c r="GHG1" s="224"/>
      <c r="GHH1" s="224"/>
      <c r="GHI1" s="224"/>
      <c r="GHJ1" s="224"/>
      <c r="GHK1" s="224"/>
      <c r="GHL1" s="224"/>
      <c r="GHM1" s="224"/>
      <c r="GHN1" s="224"/>
      <c r="GHO1" s="224"/>
      <c r="GHP1" s="224"/>
      <c r="GHQ1" s="224"/>
      <c r="GHR1" s="224"/>
      <c r="GHS1" s="224"/>
      <c r="GHT1" s="224"/>
      <c r="GHU1" s="224"/>
      <c r="GHV1" s="224"/>
      <c r="GHW1" s="224"/>
      <c r="GHX1" s="224"/>
      <c r="GHY1" s="224"/>
      <c r="GHZ1" s="224"/>
      <c r="GIA1" s="224"/>
      <c r="GIB1" s="224"/>
      <c r="GIC1" s="224"/>
      <c r="GID1" s="224"/>
      <c r="GIE1" s="224"/>
      <c r="GIF1" s="224"/>
      <c r="GIG1" s="224"/>
      <c r="GIH1" s="224"/>
      <c r="GII1" s="224"/>
      <c r="GIJ1" s="224"/>
      <c r="GIK1" s="224"/>
      <c r="GIL1" s="224"/>
      <c r="GIM1" s="224"/>
      <c r="GIN1" s="224"/>
      <c r="GIO1" s="224"/>
      <c r="GIP1" s="224"/>
      <c r="GIQ1" s="224"/>
      <c r="GIR1" s="224"/>
      <c r="GIS1" s="224"/>
      <c r="GIT1" s="224"/>
      <c r="GIU1" s="224"/>
      <c r="GIV1" s="224"/>
      <c r="GIW1" s="224"/>
      <c r="GIX1" s="224"/>
      <c r="GIY1" s="224"/>
      <c r="GIZ1" s="224"/>
      <c r="GJA1" s="224"/>
      <c r="GJB1" s="224"/>
      <c r="GJC1" s="224"/>
      <c r="GJD1" s="224"/>
      <c r="GJE1" s="224"/>
      <c r="GJF1" s="224"/>
      <c r="GJG1" s="224"/>
      <c r="GJH1" s="224"/>
      <c r="GJI1" s="224"/>
      <c r="GJJ1" s="224"/>
      <c r="GJK1" s="224"/>
      <c r="GJL1" s="224"/>
      <c r="GJM1" s="224"/>
      <c r="GJN1" s="224"/>
      <c r="GJO1" s="224"/>
      <c r="GJP1" s="224"/>
      <c r="GJQ1" s="224"/>
      <c r="GJR1" s="224"/>
      <c r="GJS1" s="224"/>
      <c r="GJT1" s="224"/>
      <c r="GJU1" s="224"/>
      <c r="GJV1" s="224"/>
      <c r="GJW1" s="224"/>
      <c r="GJX1" s="224"/>
      <c r="GJY1" s="224"/>
      <c r="GJZ1" s="224"/>
      <c r="GKA1" s="224"/>
      <c r="GKB1" s="224"/>
      <c r="GKC1" s="224"/>
      <c r="GKD1" s="224"/>
      <c r="GKE1" s="224"/>
      <c r="GKF1" s="224"/>
      <c r="GKG1" s="224"/>
      <c r="GKH1" s="224"/>
      <c r="GKI1" s="224"/>
      <c r="GKJ1" s="224"/>
      <c r="GKK1" s="224"/>
      <c r="GKL1" s="224"/>
      <c r="GKM1" s="224"/>
      <c r="GKN1" s="224"/>
      <c r="GKO1" s="224"/>
      <c r="GKP1" s="224"/>
      <c r="GKQ1" s="224"/>
      <c r="GKR1" s="224"/>
      <c r="GKS1" s="224"/>
      <c r="GKT1" s="224"/>
      <c r="GKU1" s="224"/>
      <c r="GKV1" s="224"/>
      <c r="GKW1" s="224"/>
      <c r="GKX1" s="224"/>
      <c r="GKY1" s="224"/>
      <c r="GKZ1" s="224"/>
      <c r="GLA1" s="224"/>
      <c r="GLB1" s="224"/>
      <c r="GLC1" s="224"/>
      <c r="GLD1" s="224"/>
      <c r="GLE1" s="224"/>
      <c r="GLF1" s="224"/>
      <c r="GLG1" s="224"/>
      <c r="GLH1" s="224"/>
      <c r="GLI1" s="224"/>
      <c r="GLJ1" s="224"/>
      <c r="GLK1" s="224"/>
      <c r="GLL1" s="224"/>
      <c r="GLM1" s="224"/>
      <c r="GLN1" s="224"/>
      <c r="GLO1" s="224"/>
      <c r="GLP1" s="224"/>
      <c r="GLQ1" s="224"/>
      <c r="GLR1" s="224"/>
      <c r="GLS1" s="224"/>
      <c r="GLT1" s="224"/>
      <c r="GLU1" s="224"/>
      <c r="GLV1" s="224"/>
      <c r="GLW1" s="224"/>
      <c r="GLX1" s="224"/>
      <c r="GLY1" s="224"/>
      <c r="GLZ1" s="224"/>
      <c r="GMA1" s="224"/>
      <c r="GMB1" s="224"/>
      <c r="GMC1" s="224"/>
      <c r="GMD1" s="224"/>
      <c r="GME1" s="224"/>
      <c r="GMF1" s="224"/>
      <c r="GMG1" s="224"/>
      <c r="GMH1" s="224"/>
      <c r="GMI1" s="224"/>
      <c r="GMJ1" s="224"/>
      <c r="GMK1" s="224"/>
      <c r="GML1" s="224"/>
      <c r="GMM1" s="224"/>
      <c r="GMN1" s="224"/>
      <c r="GMO1" s="224"/>
      <c r="GMP1" s="224"/>
      <c r="GMQ1" s="224"/>
      <c r="GMR1" s="224"/>
      <c r="GMS1" s="224"/>
      <c r="GMT1" s="224"/>
      <c r="GMU1" s="224"/>
      <c r="GMV1" s="224"/>
      <c r="GMW1" s="224"/>
      <c r="GMX1" s="224"/>
      <c r="GMY1" s="224"/>
      <c r="GMZ1" s="224"/>
      <c r="GNA1" s="224"/>
      <c r="GNB1" s="224"/>
      <c r="GNC1" s="224"/>
      <c r="GND1" s="224"/>
      <c r="GNE1" s="224"/>
      <c r="GNF1" s="224"/>
      <c r="GNG1" s="224"/>
      <c r="GNH1" s="224"/>
      <c r="GNI1" s="224"/>
      <c r="GNJ1" s="224"/>
      <c r="GNK1" s="224"/>
      <c r="GNL1" s="224"/>
      <c r="GNM1" s="224"/>
      <c r="GNN1" s="224"/>
      <c r="GNO1" s="224"/>
      <c r="GNP1" s="224"/>
      <c r="GNQ1" s="224"/>
      <c r="GNR1" s="224"/>
      <c r="GNS1" s="224"/>
      <c r="GNT1" s="224"/>
      <c r="GNU1" s="224"/>
      <c r="GNV1" s="224"/>
      <c r="GNW1" s="224"/>
      <c r="GNX1" s="224"/>
      <c r="GNY1" s="224"/>
      <c r="GNZ1" s="224"/>
      <c r="GOA1" s="224"/>
      <c r="GOB1" s="224"/>
      <c r="GOC1" s="224"/>
      <c r="GOD1" s="224"/>
      <c r="GOE1" s="224"/>
      <c r="GOF1" s="224"/>
      <c r="GOG1" s="224"/>
      <c r="GOH1" s="224"/>
      <c r="GOI1" s="224"/>
      <c r="GOJ1" s="224"/>
      <c r="GOK1" s="224"/>
      <c r="GOL1" s="224"/>
      <c r="GOM1" s="224"/>
      <c r="GON1" s="224"/>
      <c r="GOO1" s="224"/>
      <c r="GOP1" s="224"/>
      <c r="GOQ1" s="224"/>
      <c r="GOR1" s="224"/>
      <c r="GOS1" s="224"/>
      <c r="GOT1" s="224"/>
      <c r="GOU1" s="224"/>
      <c r="GOV1" s="224"/>
      <c r="GOW1" s="224"/>
      <c r="GOX1" s="224"/>
      <c r="GOY1" s="224"/>
      <c r="GOZ1" s="224"/>
      <c r="GPA1" s="224"/>
      <c r="GPB1" s="224"/>
      <c r="GPC1" s="224"/>
      <c r="GPD1" s="224"/>
      <c r="GPE1" s="224"/>
      <c r="GPF1" s="224"/>
      <c r="GPG1" s="224"/>
      <c r="GPH1" s="224"/>
      <c r="GPI1" s="224"/>
      <c r="GPJ1" s="224"/>
      <c r="GPK1" s="224"/>
      <c r="GPL1" s="224"/>
      <c r="GPM1" s="224"/>
      <c r="GPN1" s="224"/>
      <c r="GPO1" s="224"/>
      <c r="GPP1" s="224"/>
      <c r="GPQ1" s="224"/>
      <c r="GPR1" s="224"/>
      <c r="GPS1" s="224"/>
      <c r="GPT1" s="224"/>
      <c r="GPU1" s="224"/>
      <c r="GPV1" s="224"/>
      <c r="GPW1" s="224"/>
      <c r="GPX1" s="224"/>
      <c r="GPY1" s="224"/>
      <c r="GPZ1" s="224"/>
      <c r="GQA1" s="224"/>
      <c r="GQB1" s="224"/>
      <c r="GQC1" s="224"/>
      <c r="GQD1" s="224"/>
      <c r="GQE1" s="224"/>
      <c r="GQF1" s="224"/>
      <c r="GQG1" s="224"/>
      <c r="GQH1" s="224"/>
      <c r="GQI1" s="224"/>
      <c r="GQJ1" s="224"/>
      <c r="GQK1" s="224"/>
      <c r="GQL1" s="224"/>
      <c r="GQM1" s="224"/>
      <c r="GQN1" s="224"/>
      <c r="GQO1" s="224"/>
      <c r="GQP1" s="224"/>
      <c r="GQQ1" s="224"/>
      <c r="GQR1" s="224"/>
      <c r="GQS1" s="224"/>
      <c r="GQT1" s="224"/>
      <c r="GQU1" s="224"/>
      <c r="GQV1" s="224"/>
      <c r="GQW1" s="224"/>
      <c r="GQX1" s="224"/>
      <c r="GQY1" s="224"/>
      <c r="GQZ1" s="224"/>
      <c r="GRA1" s="224"/>
      <c r="GRB1" s="224"/>
      <c r="GRC1" s="224"/>
      <c r="GRD1" s="224"/>
      <c r="GRE1" s="224"/>
      <c r="GRF1" s="224"/>
      <c r="GRG1" s="224"/>
      <c r="GRH1" s="224"/>
      <c r="GRI1" s="224"/>
      <c r="GRJ1" s="224"/>
      <c r="GRK1" s="224"/>
      <c r="GRL1" s="224"/>
      <c r="GRM1" s="224"/>
      <c r="GRN1" s="224"/>
      <c r="GRO1" s="224"/>
      <c r="GRP1" s="224"/>
      <c r="GRQ1" s="224"/>
      <c r="GRR1" s="224"/>
      <c r="GRS1" s="224"/>
      <c r="GRT1" s="224"/>
      <c r="GRU1" s="224"/>
      <c r="GRV1" s="224"/>
      <c r="GRW1" s="224"/>
      <c r="GRX1" s="224"/>
      <c r="GRY1" s="224"/>
      <c r="GRZ1" s="224"/>
      <c r="GSA1" s="224"/>
      <c r="GSB1" s="224"/>
      <c r="GSC1" s="224"/>
      <c r="GSD1" s="224"/>
      <c r="GSE1" s="224"/>
      <c r="GSF1" s="224"/>
      <c r="GSG1" s="224"/>
      <c r="GSH1" s="224"/>
      <c r="GSI1" s="224"/>
      <c r="GSJ1" s="224"/>
      <c r="GSK1" s="224"/>
      <c r="GSL1" s="224"/>
      <c r="GSM1" s="224"/>
      <c r="GSN1" s="224"/>
      <c r="GSO1" s="224"/>
      <c r="GSP1" s="224"/>
      <c r="GSQ1" s="224"/>
      <c r="GSR1" s="224"/>
      <c r="GSS1" s="224"/>
      <c r="GST1" s="224"/>
      <c r="GSU1" s="224"/>
      <c r="GSV1" s="224"/>
      <c r="GSW1" s="224"/>
      <c r="GSX1" s="224"/>
      <c r="GSY1" s="224"/>
      <c r="GSZ1" s="224"/>
      <c r="GTA1" s="224"/>
      <c r="GTB1" s="224"/>
      <c r="GTC1" s="224"/>
      <c r="GTD1" s="224"/>
      <c r="GTE1" s="224"/>
      <c r="GTF1" s="224"/>
      <c r="GTG1" s="224"/>
      <c r="GTH1" s="224"/>
      <c r="GTI1" s="224"/>
      <c r="GTJ1" s="224"/>
      <c r="GTK1" s="224"/>
      <c r="GTL1" s="224"/>
      <c r="GTM1" s="224"/>
      <c r="GTN1" s="224"/>
      <c r="GTO1" s="224"/>
      <c r="GTP1" s="224"/>
      <c r="GTQ1" s="224"/>
      <c r="GTR1" s="224"/>
      <c r="GTS1" s="224"/>
      <c r="GTT1" s="224"/>
      <c r="GTU1" s="224"/>
      <c r="GTV1" s="224"/>
      <c r="GTW1" s="224"/>
      <c r="GTX1" s="224"/>
      <c r="GTY1" s="224"/>
      <c r="GTZ1" s="224"/>
      <c r="GUA1" s="224"/>
      <c r="GUB1" s="224"/>
      <c r="GUC1" s="224"/>
      <c r="GUD1" s="224"/>
      <c r="GUE1" s="224"/>
      <c r="GUF1" s="224"/>
      <c r="GUG1" s="224"/>
      <c r="GUH1" s="224"/>
      <c r="GUI1" s="224"/>
      <c r="GUJ1" s="224"/>
      <c r="GUK1" s="224"/>
      <c r="GUL1" s="224"/>
      <c r="GUM1" s="224"/>
      <c r="GUN1" s="224"/>
      <c r="GUO1" s="224"/>
      <c r="GUP1" s="224"/>
      <c r="GUQ1" s="224"/>
      <c r="GUR1" s="224"/>
      <c r="GUS1" s="224"/>
      <c r="GUT1" s="224"/>
      <c r="GUU1" s="224"/>
      <c r="GUV1" s="224"/>
      <c r="GUW1" s="224"/>
      <c r="GUX1" s="224"/>
      <c r="GUY1" s="224"/>
      <c r="GUZ1" s="224"/>
      <c r="GVA1" s="224"/>
      <c r="GVB1" s="224"/>
      <c r="GVC1" s="224"/>
      <c r="GVD1" s="224"/>
      <c r="GVE1" s="224"/>
      <c r="GVF1" s="224"/>
      <c r="GVG1" s="224"/>
      <c r="GVH1" s="224"/>
      <c r="GVI1" s="224"/>
      <c r="GVJ1" s="224"/>
      <c r="GVK1" s="224"/>
      <c r="GVL1" s="224"/>
      <c r="GVM1" s="224"/>
      <c r="GVN1" s="224"/>
      <c r="GVO1" s="224"/>
      <c r="GVP1" s="224"/>
      <c r="GVQ1" s="224"/>
      <c r="GVR1" s="224"/>
      <c r="GVS1" s="224"/>
      <c r="GVT1" s="224"/>
      <c r="GVU1" s="224"/>
      <c r="GVV1" s="224"/>
      <c r="GVW1" s="224"/>
      <c r="GVX1" s="224"/>
      <c r="GVY1" s="224"/>
      <c r="GVZ1" s="224"/>
      <c r="GWA1" s="224"/>
      <c r="GWB1" s="224"/>
      <c r="GWC1" s="224"/>
      <c r="GWD1" s="224"/>
      <c r="GWE1" s="224"/>
      <c r="GWF1" s="224"/>
      <c r="GWG1" s="224"/>
      <c r="GWH1" s="224"/>
      <c r="GWI1" s="224"/>
      <c r="GWJ1" s="224"/>
      <c r="GWK1" s="224"/>
      <c r="GWL1" s="224"/>
      <c r="GWM1" s="224"/>
      <c r="GWN1" s="224"/>
      <c r="GWO1" s="224"/>
      <c r="GWP1" s="224"/>
      <c r="GWQ1" s="224"/>
      <c r="GWR1" s="224"/>
      <c r="GWS1" s="224"/>
      <c r="GWT1" s="224"/>
      <c r="GWU1" s="224"/>
      <c r="GWV1" s="224"/>
      <c r="GWW1" s="224"/>
      <c r="GWX1" s="224"/>
      <c r="GWY1" s="224"/>
      <c r="GWZ1" s="224"/>
      <c r="GXA1" s="224"/>
      <c r="GXB1" s="224"/>
      <c r="GXC1" s="224"/>
      <c r="GXD1" s="224"/>
      <c r="GXE1" s="224"/>
      <c r="GXF1" s="224"/>
      <c r="GXG1" s="224"/>
      <c r="GXH1" s="224"/>
      <c r="GXI1" s="224"/>
      <c r="GXJ1" s="224"/>
      <c r="GXK1" s="224"/>
      <c r="GXL1" s="224"/>
      <c r="GXM1" s="224"/>
      <c r="GXN1" s="224"/>
      <c r="GXO1" s="224"/>
      <c r="GXP1" s="224"/>
      <c r="GXQ1" s="224"/>
      <c r="GXR1" s="224"/>
      <c r="GXS1" s="224"/>
      <c r="GXT1" s="224"/>
      <c r="GXU1" s="224"/>
      <c r="GXV1" s="224"/>
      <c r="GXW1" s="224"/>
      <c r="GXX1" s="224"/>
      <c r="GXY1" s="224"/>
      <c r="GXZ1" s="224"/>
      <c r="GYA1" s="224"/>
      <c r="GYB1" s="224"/>
      <c r="GYC1" s="224"/>
      <c r="GYD1" s="224"/>
      <c r="GYE1" s="224"/>
      <c r="GYF1" s="224"/>
      <c r="GYG1" s="224"/>
      <c r="GYH1" s="224"/>
      <c r="GYI1" s="224"/>
      <c r="GYJ1" s="224"/>
      <c r="GYK1" s="224"/>
      <c r="GYL1" s="224"/>
      <c r="GYM1" s="224"/>
      <c r="GYN1" s="224"/>
      <c r="GYO1" s="224"/>
      <c r="GYP1" s="224"/>
      <c r="GYQ1" s="224"/>
      <c r="GYR1" s="224"/>
      <c r="GYS1" s="224"/>
      <c r="GYT1" s="224"/>
      <c r="GYU1" s="224"/>
      <c r="GYV1" s="224"/>
      <c r="GYW1" s="224"/>
      <c r="GYX1" s="224"/>
      <c r="GYY1" s="224"/>
      <c r="GYZ1" s="224"/>
      <c r="GZA1" s="224"/>
      <c r="GZB1" s="224"/>
      <c r="GZC1" s="224"/>
      <c r="GZD1" s="224"/>
      <c r="GZE1" s="224"/>
      <c r="GZF1" s="224"/>
      <c r="GZG1" s="224"/>
      <c r="GZH1" s="224"/>
      <c r="GZI1" s="224"/>
      <c r="GZJ1" s="224"/>
      <c r="GZK1" s="224"/>
      <c r="GZL1" s="224"/>
      <c r="GZM1" s="224"/>
      <c r="GZN1" s="224"/>
      <c r="GZO1" s="224"/>
      <c r="GZP1" s="224"/>
      <c r="GZQ1" s="224"/>
      <c r="GZR1" s="224"/>
      <c r="GZS1" s="224"/>
      <c r="GZT1" s="224"/>
      <c r="GZU1" s="224"/>
      <c r="GZV1" s="224"/>
      <c r="GZW1" s="224"/>
      <c r="GZX1" s="224"/>
      <c r="GZY1" s="224"/>
      <c r="GZZ1" s="224"/>
      <c r="HAA1" s="224"/>
      <c r="HAB1" s="224"/>
      <c r="HAC1" s="224"/>
      <c r="HAD1" s="224"/>
      <c r="HAE1" s="224"/>
      <c r="HAF1" s="224"/>
      <c r="HAG1" s="224"/>
      <c r="HAH1" s="224"/>
      <c r="HAI1" s="224"/>
      <c r="HAJ1" s="224"/>
      <c r="HAK1" s="224"/>
      <c r="HAL1" s="224"/>
      <c r="HAM1" s="224"/>
      <c r="HAN1" s="224"/>
      <c r="HAO1" s="224"/>
      <c r="HAP1" s="224"/>
      <c r="HAQ1" s="224"/>
      <c r="HAR1" s="224"/>
      <c r="HAS1" s="224"/>
      <c r="HAT1" s="224"/>
      <c r="HAU1" s="224"/>
      <c r="HAV1" s="224"/>
      <c r="HAW1" s="224"/>
      <c r="HAX1" s="224"/>
      <c r="HAY1" s="224"/>
      <c r="HAZ1" s="224"/>
      <c r="HBA1" s="224"/>
      <c r="HBB1" s="224"/>
      <c r="HBC1" s="224"/>
      <c r="HBD1" s="224"/>
      <c r="HBE1" s="224"/>
      <c r="HBF1" s="224"/>
      <c r="HBG1" s="224"/>
      <c r="HBH1" s="224"/>
      <c r="HBI1" s="224"/>
      <c r="HBJ1" s="224"/>
      <c r="HBK1" s="224"/>
      <c r="HBL1" s="224"/>
      <c r="HBM1" s="224"/>
      <c r="HBN1" s="224"/>
      <c r="HBO1" s="224"/>
      <c r="HBP1" s="224"/>
      <c r="HBQ1" s="224"/>
      <c r="HBR1" s="224"/>
      <c r="HBS1" s="224"/>
      <c r="HBT1" s="224"/>
      <c r="HBU1" s="224"/>
      <c r="HBV1" s="224"/>
      <c r="HBW1" s="224"/>
      <c r="HBX1" s="224"/>
      <c r="HBY1" s="224"/>
      <c r="HBZ1" s="224"/>
      <c r="HCA1" s="224"/>
      <c r="HCB1" s="224"/>
      <c r="HCC1" s="224"/>
      <c r="HCD1" s="224"/>
      <c r="HCE1" s="224"/>
      <c r="HCF1" s="224"/>
      <c r="HCG1" s="224"/>
      <c r="HCH1" s="224"/>
      <c r="HCI1" s="224"/>
      <c r="HCJ1" s="224"/>
      <c r="HCK1" s="224"/>
      <c r="HCL1" s="224"/>
      <c r="HCM1" s="224"/>
      <c r="HCN1" s="224"/>
      <c r="HCO1" s="224"/>
      <c r="HCP1" s="224"/>
      <c r="HCQ1" s="224"/>
      <c r="HCR1" s="224"/>
      <c r="HCS1" s="224"/>
      <c r="HCT1" s="224"/>
      <c r="HCU1" s="224"/>
      <c r="HCV1" s="224"/>
      <c r="HCW1" s="224"/>
      <c r="HCX1" s="224"/>
      <c r="HCY1" s="224"/>
      <c r="HCZ1" s="224"/>
      <c r="HDA1" s="224"/>
      <c r="HDB1" s="224"/>
      <c r="HDC1" s="224"/>
      <c r="HDD1" s="224"/>
      <c r="HDE1" s="224"/>
      <c r="HDF1" s="224"/>
      <c r="HDG1" s="224"/>
      <c r="HDH1" s="224"/>
      <c r="HDI1" s="224"/>
      <c r="HDJ1" s="224"/>
      <c r="HDK1" s="224"/>
      <c r="HDL1" s="224"/>
      <c r="HDM1" s="224"/>
      <c r="HDN1" s="224"/>
      <c r="HDO1" s="224"/>
      <c r="HDP1" s="224"/>
      <c r="HDQ1" s="224"/>
      <c r="HDR1" s="224"/>
      <c r="HDS1" s="224"/>
      <c r="HDT1" s="224"/>
      <c r="HDU1" s="224"/>
      <c r="HDV1" s="224"/>
      <c r="HDW1" s="224"/>
      <c r="HDX1" s="224"/>
      <c r="HDY1" s="224"/>
      <c r="HDZ1" s="224"/>
      <c r="HEA1" s="224"/>
      <c r="HEB1" s="224"/>
      <c r="HEC1" s="224"/>
      <c r="HED1" s="224"/>
      <c r="HEE1" s="224"/>
      <c r="HEF1" s="224"/>
      <c r="HEG1" s="224"/>
      <c r="HEH1" s="224"/>
      <c r="HEI1" s="224"/>
      <c r="HEJ1" s="224"/>
      <c r="HEK1" s="224"/>
      <c r="HEL1" s="224"/>
      <c r="HEM1" s="224"/>
      <c r="HEN1" s="224"/>
      <c r="HEO1" s="224"/>
      <c r="HEP1" s="224"/>
      <c r="HEQ1" s="224"/>
      <c r="HER1" s="224"/>
      <c r="HES1" s="224"/>
      <c r="HET1" s="224"/>
      <c r="HEU1" s="224"/>
      <c r="HEV1" s="224"/>
      <c r="HEW1" s="224"/>
      <c r="HEX1" s="224"/>
      <c r="HEY1" s="224"/>
      <c r="HEZ1" s="224"/>
      <c r="HFA1" s="224"/>
      <c r="HFB1" s="224"/>
      <c r="HFC1" s="224"/>
      <c r="HFD1" s="224"/>
      <c r="HFE1" s="224"/>
      <c r="HFF1" s="224"/>
      <c r="HFG1" s="224"/>
      <c r="HFH1" s="224"/>
      <c r="HFI1" s="224"/>
      <c r="HFJ1" s="224"/>
      <c r="HFK1" s="224"/>
      <c r="HFL1" s="224"/>
      <c r="HFM1" s="224"/>
      <c r="HFN1" s="224"/>
      <c r="HFO1" s="224"/>
      <c r="HFP1" s="224"/>
      <c r="HFQ1" s="224"/>
      <c r="HFR1" s="224"/>
      <c r="HFS1" s="224"/>
      <c r="HFT1" s="224"/>
      <c r="HFU1" s="224"/>
      <c r="HFV1" s="224"/>
      <c r="HFW1" s="224"/>
      <c r="HFX1" s="224"/>
      <c r="HFY1" s="224"/>
      <c r="HFZ1" s="224"/>
      <c r="HGA1" s="224"/>
      <c r="HGB1" s="224"/>
      <c r="HGC1" s="224"/>
      <c r="HGD1" s="224"/>
      <c r="HGE1" s="224"/>
      <c r="HGF1" s="224"/>
      <c r="HGG1" s="224"/>
      <c r="HGH1" s="224"/>
      <c r="HGI1" s="224"/>
      <c r="HGJ1" s="224"/>
      <c r="HGK1" s="224"/>
      <c r="HGL1" s="224"/>
      <c r="HGM1" s="224"/>
      <c r="HGN1" s="224"/>
      <c r="HGO1" s="224"/>
      <c r="HGP1" s="224"/>
      <c r="HGQ1" s="224"/>
      <c r="HGR1" s="224"/>
      <c r="HGS1" s="224"/>
      <c r="HGT1" s="224"/>
      <c r="HGU1" s="224"/>
      <c r="HGV1" s="224"/>
      <c r="HGW1" s="224"/>
      <c r="HGX1" s="224"/>
      <c r="HGY1" s="224"/>
      <c r="HGZ1" s="224"/>
      <c r="HHA1" s="224"/>
      <c r="HHB1" s="224"/>
      <c r="HHC1" s="224"/>
      <c r="HHD1" s="224"/>
      <c r="HHE1" s="224"/>
      <c r="HHF1" s="224"/>
      <c r="HHG1" s="224"/>
      <c r="HHH1" s="224"/>
      <c r="HHI1" s="224"/>
      <c r="HHJ1" s="224"/>
      <c r="HHK1" s="224"/>
      <c r="HHL1" s="224"/>
      <c r="HHM1" s="224"/>
      <c r="HHN1" s="224"/>
      <c r="HHO1" s="224"/>
      <c r="HHP1" s="224"/>
      <c r="HHQ1" s="224"/>
      <c r="HHR1" s="224"/>
      <c r="HHS1" s="224"/>
      <c r="HHT1" s="224"/>
      <c r="HHU1" s="224"/>
      <c r="HHV1" s="224"/>
      <c r="HHW1" s="224"/>
      <c r="HHX1" s="224"/>
      <c r="HHY1" s="224"/>
      <c r="HHZ1" s="224"/>
      <c r="HIA1" s="224"/>
      <c r="HIB1" s="224"/>
      <c r="HIC1" s="224"/>
      <c r="HID1" s="224"/>
      <c r="HIE1" s="224"/>
      <c r="HIF1" s="224"/>
      <c r="HIG1" s="224"/>
      <c r="HIH1" s="224"/>
      <c r="HII1" s="224"/>
      <c r="HIJ1" s="224"/>
      <c r="HIK1" s="224"/>
      <c r="HIL1" s="224"/>
      <c r="HIM1" s="224"/>
      <c r="HIN1" s="224"/>
      <c r="HIO1" s="224"/>
      <c r="HIP1" s="224"/>
      <c r="HIQ1" s="224"/>
      <c r="HIR1" s="224"/>
      <c r="HIS1" s="224"/>
      <c r="HIT1" s="224"/>
      <c r="HIU1" s="224"/>
      <c r="HIV1" s="224"/>
      <c r="HIW1" s="224"/>
      <c r="HIX1" s="224"/>
      <c r="HIY1" s="224"/>
      <c r="HIZ1" s="224"/>
      <c r="HJA1" s="224"/>
      <c r="HJB1" s="224"/>
      <c r="HJC1" s="224"/>
      <c r="HJD1" s="224"/>
      <c r="HJE1" s="224"/>
      <c r="HJF1" s="224"/>
      <c r="HJG1" s="224"/>
      <c r="HJH1" s="224"/>
      <c r="HJI1" s="224"/>
      <c r="HJJ1" s="224"/>
      <c r="HJK1" s="224"/>
      <c r="HJL1" s="224"/>
      <c r="HJM1" s="224"/>
      <c r="HJN1" s="224"/>
      <c r="HJO1" s="224"/>
      <c r="HJP1" s="224"/>
      <c r="HJQ1" s="224"/>
      <c r="HJR1" s="224"/>
      <c r="HJS1" s="224"/>
      <c r="HJT1" s="224"/>
      <c r="HJU1" s="224"/>
      <c r="HJV1" s="224"/>
      <c r="HJW1" s="224"/>
      <c r="HJX1" s="224"/>
      <c r="HJY1" s="224"/>
      <c r="HJZ1" s="224"/>
      <c r="HKA1" s="224"/>
      <c r="HKB1" s="224"/>
      <c r="HKC1" s="224"/>
      <c r="HKD1" s="224"/>
      <c r="HKE1" s="224"/>
      <c r="HKF1" s="224"/>
      <c r="HKG1" s="224"/>
      <c r="HKH1" s="224"/>
      <c r="HKI1" s="224"/>
      <c r="HKJ1" s="224"/>
      <c r="HKK1" s="224"/>
      <c r="HKL1" s="224"/>
      <c r="HKM1" s="224"/>
      <c r="HKN1" s="224"/>
      <c r="HKO1" s="224"/>
      <c r="HKP1" s="224"/>
      <c r="HKQ1" s="224"/>
      <c r="HKR1" s="224"/>
      <c r="HKS1" s="224"/>
      <c r="HKT1" s="224"/>
      <c r="HKU1" s="224"/>
      <c r="HKV1" s="224"/>
      <c r="HKW1" s="224"/>
      <c r="HKX1" s="224"/>
      <c r="HKY1" s="224"/>
      <c r="HKZ1" s="224"/>
      <c r="HLA1" s="224"/>
      <c r="HLB1" s="224"/>
      <c r="HLC1" s="224"/>
      <c r="HLD1" s="224"/>
      <c r="HLE1" s="224"/>
      <c r="HLF1" s="224"/>
      <c r="HLG1" s="224"/>
      <c r="HLH1" s="224"/>
      <c r="HLI1" s="224"/>
      <c r="HLJ1" s="224"/>
      <c r="HLK1" s="224"/>
      <c r="HLL1" s="224"/>
      <c r="HLM1" s="224"/>
      <c r="HLN1" s="224"/>
      <c r="HLO1" s="224"/>
      <c r="HLP1" s="224"/>
      <c r="HLQ1" s="224"/>
      <c r="HLR1" s="224"/>
      <c r="HLS1" s="224"/>
      <c r="HLT1" s="224"/>
      <c r="HLU1" s="224"/>
      <c r="HLV1" s="224"/>
      <c r="HLW1" s="224"/>
      <c r="HLX1" s="224"/>
      <c r="HLY1" s="224"/>
      <c r="HLZ1" s="224"/>
      <c r="HMA1" s="224"/>
      <c r="HMB1" s="224"/>
      <c r="HMC1" s="224"/>
      <c r="HMD1" s="224"/>
      <c r="HME1" s="224"/>
      <c r="HMF1" s="224"/>
      <c r="HMG1" s="224"/>
      <c r="HMH1" s="224"/>
      <c r="HMI1" s="224"/>
      <c r="HMJ1" s="224"/>
      <c r="HMK1" s="224"/>
      <c r="HML1" s="224"/>
      <c r="HMM1" s="224"/>
      <c r="HMN1" s="224"/>
      <c r="HMO1" s="224"/>
      <c r="HMP1" s="224"/>
      <c r="HMQ1" s="224"/>
      <c r="HMR1" s="224"/>
      <c r="HMS1" s="224"/>
      <c r="HMT1" s="224"/>
      <c r="HMU1" s="224"/>
      <c r="HMV1" s="224"/>
      <c r="HMW1" s="224"/>
      <c r="HMX1" s="224"/>
      <c r="HMY1" s="224"/>
      <c r="HMZ1" s="224"/>
      <c r="HNA1" s="224"/>
      <c r="HNB1" s="224"/>
      <c r="HNC1" s="224"/>
      <c r="HND1" s="224"/>
      <c r="HNE1" s="224"/>
      <c r="HNF1" s="224"/>
      <c r="HNG1" s="224"/>
      <c r="HNH1" s="224"/>
      <c r="HNI1" s="224"/>
      <c r="HNJ1" s="224"/>
      <c r="HNK1" s="224"/>
      <c r="HNL1" s="224"/>
      <c r="HNM1" s="224"/>
      <c r="HNN1" s="224"/>
      <c r="HNO1" s="224"/>
      <c r="HNP1" s="224"/>
      <c r="HNQ1" s="224"/>
      <c r="HNR1" s="224"/>
      <c r="HNS1" s="224"/>
      <c r="HNT1" s="224"/>
      <c r="HNU1" s="224"/>
      <c r="HNV1" s="224"/>
      <c r="HNW1" s="224"/>
      <c r="HNX1" s="224"/>
      <c r="HNY1" s="224"/>
      <c r="HNZ1" s="224"/>
      <c r="HOA1" s="224"/>
      <c r="HOB1" s="224"/>
      <c r="HOC1" s="224"/>
      <c r="HOD1" s="224"/>
      <c r="HOE1" s="224"/>
      <c r="HOF1" s="224"/>
      <c r="HOG1" s="224"/>
      <c r="HOH1" s="224"/>
      <c r="HOI1" s="224"/>
      <c r="HOJ1" s="224"/>
      <c r="HOK1" s="224"/>
      <c r="HOL1" s="224"/>
      <c r="HOM1" s="224"/>
      <c r="HON1" s="224"/>
      <c r="HOO1" s="224"/>
      <c r="HOP1" s="224"/>
      <c r="HOQ1" s="224"/>
      <c r="HOR1" s="224"/>
      <c r="HOS1" s="224"/>
      <c r="HOT1" s="224"/>
      <c r="HOU1" s="224"/>
      <c r="HOV1" s="224"/>
      <c r="HOW1" s="224"/>
      <c r="HOX1" s="224"/>
      <c r="HOY1" s="224"/>
      <c r="HOZ1" s="224"/>
      <c r="HPA1" s="224"/>
      <c r="HPB1" s="224"/>
      <c r="HPC1" s="224"/>
      <c r="HPD1" s="224"/>
      <c r="HPE1" s="224"/>
      <c r="HPF1" s="224"/>
      <c r="HPG1" s="224"/>
      <c r="HPH1" s="224"/>
      <c r="HPI1" s="224"/>
      <c r="HPJ1" s="224"/>
      <c r="HPK1" s="224"/>
      <c r="HPL1" s="224"/>
      <c r="HPM1" s="224"/>
      <c r="HPN1" s="224"/>
      <c r="HPO1" s="224"/>
      <c r="HPP1" s="224"/>
      <c r="HPQ1" s="224"/>
      <c r="HPR1" s="224"/>
      <c r="HPS1" s="224"/>
      <c r="HPT1" s="224"/>
      <c r="HPU1" s="224"/>
      <c r="HPV1" s="224"/>
      <c r="HPW1" s="224"/>
      <c r="HPX1" s="224"/>
      <c r="HPY1" s="224"/>
      <c r="HPZ1" s="224"/>
      <c r="HQA1" s="224"/>
      <c r="HQB1" s="224"/>
      <c r="HQC1" s="224"/>
      <c r="HQD1" s="224"/>
      <c r="HQE1" s="224"/>
      <c r="HQF1" s="224"/>
      <c r="HQG1" s="224"/>
      <c r="HQH1" s="224"/>
      <c r="HQI1" s="224"/>
      <c r="HQJ1" s="224"/>
      <c r="HQK1" s="224"/>
      <c r="HQL1" s="224"/>
      <c r="HQM1" s="224"/>
      <c r="HQN1" s="224"/>
      <c r="HQO1" s="224"/>
      <c r="HQP1" s="224"/>
      <c r="HQQ1" s="224"/>
      <c r="HQR1" s="224"/>
      <c r="HQS1" s="224"/>
      <c r="HQT1" s="224"/>
      <c r="HQU1" s="224"/>
      <c r="HQV1" s="224"/>
      <c r="HQW1" s="224"/>
      <c r="HQX1" s="224"/>
      <c r="HQY1" s="224"/>
      <c r="HQZ1" s="224"/>
      <c r="HRA1" s="224"/>
      <c r="HRB1" s="224"/>
      <c r="HRC1" s="224"/>
      <c r="HRD1" s="224"/>
      <c r="HRE1" s="224"/>
      <c r="HRF1" s="224"/>
      <c r="HRG1" s="224"/>
      <c r="HRH1" s="224"/>
      <c r="HRI1" s="224"/>
      <c r="HRJ1" s="224"/>
      <c r="HRK1" s="224"/>
      <c r="HRL1" s="224"/>
      <c r="HRM1" s="224"/>
      <c r="HRN1" s="224"/>
      <c r="HRO1" s="224"/>
      <c r="HRP1" s="224"/>
      <c r="HRQ1" s="224"/>
      <c r="HRR1" s="224"/>
      <c r="HRS1" s="224"/>
      <c r="HRT1" s="224"/>
      <c r="HRU1" s="224"/>
      <c r="HRV1" s="224"/>
      <c r="HRW1" s="224"/>
      <c r="HRX1" s="224"/>
      <c r="HRY1" s="224"/>
      <c r="HRZ1" s="224"/>
      <c r="HSA1" s="224"/>
      <c r="HSB1" s="224"/>
      <c r="HSC1" s="224"/>
      <c r="HSD1" s="224"/>
      <c r="HSE1" s="224"/>
      <c r="HSF1" s="224"/>
      <c r="HSG1" s="224"/>
      <c r="HSH1" s="224"/>
      <c r="HSI1" s="224"/>
      <c r="HSJ1" s="224"/>
      <c r="HSK1" s="224"/>
      <c r="HSL1" s="224"/>
      <c r="HSM1" s="224"/>
      <c r="HSN1" s="224"/>
      <c r="HSO1" s="224"/>
      <c r="HSP1" s="224"/>
      <c r="HSQ1" s="224"/>
      <c r="HSR1" s="224"/>
      <c r="HSS1" s="224"/>
      <c r="HST1" s="224"/>
      <c r="HSU1" s="224"/>
      <c r="HSV1" s="224"/>
      <c r="HSW1" s="224"/>
      <c r="HSX1" s="224"/>
      <c r="HSY1" s="224"/>
      <c r="HSZ1" s="224"/>
      <c r="HTA1" s="224"/>
      <c r="HTB1" s="224"/>
      <c r="HTC1" s="224"/>
      <c r="HTD1" s="224"/>
      <c r="HTE1" s="224"/>
      <c r="HTF1" s="224"/>
      <c r="HTG1" s="224"/>
      <c r="HTH1" s="224"/>
      <c r="HTI1" s="224"/>
      <c r="HTJ1" s="224"/>
      <c r="HTK1" s="224"/>
      <c r="HTL1" s="224"/>
      <c r="HTM1" s="224"/>
      <c r="HTN1" s="224"/>
      <c r="HTO1" s="224"/>
      <c r="HTP1" s="224"/>
      <c r="HTQ1" s="224"/>
      <c r="HTR1" s="224"/>
      <c r="HTS1" s="224"/>
      <c r="HTT1" s="224"/>
      <c r="HTU1" s="224"/>
      <c r="HTV1" s="224"/>
      <c r="HTW1" s="224"/>
      <c r="HTX1" s="224"/>
      <c r="HTY1" s="224"/>
      <c r="HTZ1" s="224"/>
      <c r="HUA1" s="224"/>
      <c r="HUB1" s="224"/>
      <c r="HUC1" s="224"/>
      <c r="HUD1" s="224"/>
      <c r="HUE1" s="224"/>
      <c r="HUF1" s="224"/>
      <c r="HUG1" s="224"/>
      <c r="HUH1" s="224"/>
      <c r="HUI1" s="224"/>
      <c r="HUJ1" s="224"/>
      <c r="HUK1" s="224"/>
      <c r="HUL1" s="224"/>
      <c r="HUM1" s="224"/>
      <c r="HUN1" s="224"/>
      <c r="HUO1" s="224"/>
      <c r="HUP1" s="224"/>
      <c r="HUQ1" s="224"/>
      <c r="HUR1" s="224"/>
      <c r="HUS1" s="224"/>
      <c r="HUT1" s="224"/>
      <c r="HUU1" s="224"/>
      <c r="HUV1" s="224"/>
      <c r="HUW1" s="224"/>
      <c r="HUX1" s="224"/>
      <c r="HUY1" s="224"/>
      <c r="HUZ1" s="224"/>
      <c r="HVA1" s="224"/>
      <c r="HVB1" s="224"/>
      <c r="HVC1" s="224"/>
      <c r="HVD1" s="224"/>
      <c r="HVE1" s="224"/>
      <c r="HVF1" s="224"/>
      <c r="HVG1" s="224"/>
      <c r="HVH1" s="224"/>
      <c r="HVI1" s="224"/>
      <c r="HVJ1" s="224"/>
      <c r="HVK1" s="224"/>
      <c r="HVL1" s="224"/>
      <c r="HVM1" s="224"/>
      <c r="HVN1" s="224"/>
      <c r="HVO1" s="224"/>
      <c r="HVP1" s="224"/>
      <c r="HVQ1" s="224"/>
      <c r="HVR1" s="224"/>
      <c r="HVS1" s="224"/>
      <c r="HVT1" s="224"/>
      <c r="HVU1" s="224"/>
      <c r="HVV1" s="224"/>
      <c r="HVW1" s="224"/>
      <c r="HVX1" s="224"/>
      <c r="HVY1" s="224"/>
      <c r="HVZ1" s="224"/>
      <c r="HWA1" s="224"/>
      <c r="HWB1" s="224"/>
      <c r="HWC1" s="224"/>
      <c r="HWD1" s="224"/>
      <c r="HWE1" s="224"/>
      <c r="HWF1" s="224"/>
      <c r="HWG1" s="224"/>
      <c r="HWH1" s="224"/>
      <c r="HWI1" s="224"/>
      <c r="HWJ1" s="224"/>
      <c r="HWK1" s="224"/>
      <c r="HWL1" s="224"/>
      <c r="HWM1" s="224"/>
      <c r="HWN1" s="224"/>
      <c r="HWO1" s="224"/>
      <c r="HWP1" s="224"/>
      <c r="HWQ1" s="224"/>
      <c r="HWR1" s="224"/>
      <c r="HWS1" s="224"/>
      <c r="HWT1" s="224"/>
      <c r="HWU1" s="224"/>
      <c r="HWV1" s="224"/>
      <c r="HWW1" s="224"/>
      <c r="HWX1" s="224"/>
      <c r="HWY1" s="224"/>
      <c r="HWZ1" s="224"/>
      <c r="HXA1" s="224"/>
      <c r="HXB1" s="224"/>
      <c r="HXC1" s="224"/>
      <c r="HXD1" s="224"/>
      <c r="HXE1" s="224"/>
      <c r="HXF1" s="224"/>
      <c r="HXG1" s="224"/>
      <c r="HXH1" s="224"/>
      <c r="HXI1" s="224"/>
      <c r="HXJ1" s="224"/>
      <c r="HXK1" s="224"/>
      <c r="HXL1" s="224"/>
      <c r="HXM1" s="224"/>
      <c r="HXN1" s="224"/>
      <c r="HXO1" s="224"/>
      <c r="HXP1" s="224"/>
      <c r="HXQ1" s="224"/>
      <c r="HXR1" s="224"/>
      <c r="HXS1" s="224"/>
      <c r="HXT1" s="224"/>
      <c r="HXU1" s="224"/>
      <c r="HXV1" s="224"/>
      <c r="HXW1" s="224"/>
      <c r="HXX1" s="224"/>
      <c r="HXY1" s="224"/>
      <c r="HXZ1" s="224"/>
      <c r="HYA1" s="224"/>
      <c r="HYB1" s="224"/>
      <c r="HYC1" s="224"/>
      <c r="HYD1" s="224"/>
      <c r="HYE1" s="224"/>
      <c r="HYF1" s="224"/>
      <c r="HYG1" s="224"/>
      <c r="HYH1" s="224"/>
      <c r="HYI1" s="224"/>
      <c r="HYJ1" s="224"/>
      <c r="HYK1" s="224"/>
      <c r="HYL1" s="224"/>
      <c r="HYM1" s="224"/>
      <c r="HYN1" s="224"/>
      <c r="HYO1" s="224"/>
      <c r="HYP1" s="224"/>
      <c r="HYQ1" s="224"/>
      <c r="HYR1" s="224"/>
      <c r="HYS1" s="224"/>
      <c r="HYT1" s="224"/>
      <c r="HYU1" s="224"/>
      <c r="HYV1" s="224"/>
      <c r="HYW1" s="224"/>
      <c r="HYX1" s="224"/>
      <c r="HYY1" s="224"/>
      <c r="HYZ1" s="224"/>
      <c r="HZA1" s="224"/>
      <c r="HZB1" s="224"/>
      <c r="HZC1" s="224"/>
      <c r="HZD1" s="224"/>
      <c r="HZE1" s="224"/>
      <c r="HZF1" s="224"/>
      <c r="HZG1" s="224"/>
      <c r="HZH1" s="224"/>
      <c r="HZI1" s="224"/>
      <c r="HZJ1" s="224"/>
      <c r="HZK1" s="224"/>
      <c r="HZL1" s="224"/>
      <c r="HZM1" s="224"/>
      <c r="HZN1" s="224"/>
      <c r="HZO1" s="224"/>
      <c r="HZP1" s="224"/>
      <c r="HZQ1" s="224"/>
      <c r="HZR1" s="224"/>
      <c r="HZS1" s="224"/>
      <c r="HZT1" s="224"/>
      <c r="HZU1" s="224"/>
      <c r="HZV1" s="224"/>
      <c r="HZW1" s="224"/>
      <c r="HZX1" s="224"/>
      <c r="HZY1" s="224"/>
      <c r="HZZ1" s="224"/>
      <c r="IAA1" s="224"/>
      <c r="IAB1" s="224"/>
      <c r="IAC1" s="224"/>
      <c r="IAD1" s="224"/>
      <c r="IAE1" s="224"/>
      <c r="IAF1" s="224"/>
      <c r="IAG1" s="224"/>
      <c r="IAH1" s="224"/>
      <c r="IAI1" s="224"/>
      <c r="IAJ1" s="224"/>
      <c r="IAK1" s="224"/>
      <c r="IAL1" s="224"/>
      <c r="IAM1" s="224"/>
      <c r="IAN1" s="224"/>
      <c r="IAO1" s="224"/>
      <c r="IAP1" s="224"/>
      <c r="IAQ1" s="224"/>
      <c r="IAR1" s="224"/>
      <c r="IAS1" s="224"/>
      <c r="IAT1" s="224"/>
      <c r="IAU1" s="224"/>
      <c r="IAV1" s="224"/>
      <c r="IAW1" s="224"/>
      <c r="IAX1" s="224"/>
      <c r="IAY1" s="224"/>
      <c r="IAZ1" s="224"/>
      <c r="IBA1" s="224"/>
      <c r="IBB1" s="224"/>
      <c r="IBC1" s="224"/>
      <c r="IBD1" s="224"/>
      <c r="IBE1" s="224"/>
      <c r="IBF1" s="224"/>
      <c r="IBG1" s="224"/>
      <c r="IBH1" s="224"/>
      <c r="IBI1" s="224"/>
      <c r="IBJ1" s="224"/>
      <c r="IBK1" s="224"/>
      <c r="IBL1" s="224"/>
      <c r="IBM1" s="224"/>
      <c r="IBN1" s="224"/>
      <c r="IBO1" s="224"/>
      <c r="IBP1" s="224"/>
      <c r="IBQ1" s="224"/>
      <c r="IBR1" s="224"/>
      <c r="IBS1" s="224"/>
      <c r="IBT1" s="224"/>
      <c r="IBU1" s="224"/>
      <c r="IBV1" s="224"/>
      <c r="IBW1" s="224"/>
      <c r="IBX1" s="224"/>
      <c r="IBY1" s="224"/>
      <c r="IBZ1" s="224"/>
      <c r="ICA1" s="224"/>
      <c r="ICB1" s="224"/>
      <c r="ICC1" s="224"/>
      <c r="ICD1" s="224"/>
      <c r="ICE1" s="224"/>
      <c r="ICF1" s="224"/>
      <c r="ICG1" s="224"/>
      <c r="ICH1" s="224"/>
      <c r="ICI1" s="224"/>
      <c r="ICJ1" s="224"/>
      <c r="ICK1" s="224"/>
      <c r="ICL1" s="224"/>
      <c r="ICM1" s="224"/>
      <c r="ICN1" s="224"/>
      <c r="ICO1" s="224"/>
      <c r="ICP1" s="224"/>
      <c r="ICQ1" s="224"/>
      <c r="ICR1" s="224"/>
      <c r="ICS1" s="224"/>
      <c r="ICT1" s="224"/>
      <c r="ICU1" s="224"/>
      <c r="ICV1" s="224"/>
      <c r="ICW1" s="224"/>
      <c r="ICX1" s="224"/>
      <c r="ICY1" s="224"/>
      <c r="ICZ1" s="224"/>
      <c r="IDA1" s="224"/>
      <c r="IDB1" s="224"/>
      <c r="IDC1" s="224"/>
      <c r="IDD1" s="224"/>
      <c r="IDE1" s="224"/>
      <c r="IDF1" s="224"/>
      <c r="IDG1" s="224"/>
      <c r="IDH1" s="224"/>
      <c r="IDI1" s="224"/>
      <c r="IDJ1" s="224"/>
      <c r="IDK1" s="224"/>
      <c r="IDL1" s="224"/>
      <c r="IDM1" s="224"/>
      <c r="IDN1" s="224"/>
      <c r="IDO1" s="224"/>
      <c r="IDP1" s="224"/>
      <c r="IDQ1" s="224"/>
      <c r="IDR1" s="224"/>
      <c r="IDS1" s="224"/>
      <c r="IDT1" s="224"/>
      <c r="IDU1" s="224"/>
      <c r="IDV1" s="224"/>
      <c r="IDW1" s="224"/>
      <c r="IDX1" s="224"/>
      <c r="IDY1" s="224"/>
      <c r="IDZ1" s="224"/>
      <c r="IEA1" s="224"/>
      <c r="IEB1" s="224"/>
      <c r="IEC1" s="224"/>
      <c r="IED1" s="224"/>
      <c r="IEE1" s="224"/>
      <c r="IEF1" s="224"/>
      <c r="IEG1" s="224"/>
      <c r="IEH1" s="224"/>
      <c r="IEI1" s="224"/>
      <c r="IEJ1" s="224"/>
      <c r="IEK1" s="224"/>
      <c r="IEL1" s="224"/>
      <c r="IEM1" s="224"/>
      <c r="IEN1" s="224"/>
      <c r="IEO1" s="224"/>
      <c r="IEP1" s="224"/>
      <c r="IEQ1" s="224"/>
      <c r="IER1" s="224"/>
      <c r="IES1" s="224"/>
      <c r="IET1" s="224"/>
      <c r="IEU1" s="224"/>
      <c r="IEV1" s="224"/>
      <c r="IEW1" s="224"/>
      <c r="IEX1" s="224"/>
      <c r="IEY1" s="224"/>
      <c r="IEZ1" s="224"/>
      <c r="IFA1" s="224"/>
      <c r="IFB1" s="224"/>
      <c r="IFC1" s="224"/>
      <c r="IFD1" s="224"/>
      <c r="IFE1" s="224"/>
      <c r="IFF1" s="224"/>
      <c r="IFG1" s="224"/>
      <c r="IFH1" s="224"/>
      <c r="IFI1" s="224"/>
      <c r="IFJ1" s="224"/>
      <c r="IFK1" s="224"/>
      <c r="IFL1" s="224"/>
      <c r="IFM1" s="224"/>
      <c r="IFN1" s="224"/>
      <c r="IFO1" s="224"/>
      <c r="IFP1" s="224"/>
      <c r="IFQ1" s="224"/>
      <c r="IFR1" s="224"/>
      <c r="IFS1" s="224"/>
      <c r="IFT1" s="224"/>
      <c r="IFU1" s="224"/>
      <c r="IFV1" s="224"/>
      <c r="IFW1" s="224"/>
      <c r="IFX1" s="224"/>
      <c r="IFY1" s="224"/>
      <c r="IFZ1" s="224"/>
      <c r="IGA1" s="224"/>
      <c r="IGB1" s="224"/>
      <c r="IGC1" s="224"/>
      <c r="IGD1" s="224"/>
      <c r="IGE1" s="224"/>
      <c r="IGF1" s="224"/>
      <c r="IGG1" s="224"/>
      <c r="IGH1" s="224"/>
      <c r="IGI1" s="224"/>
      <c r="IGJ1" s="224"/>
      <c r="IGK1" s="224"/>
      <c r="IGL1" s="224"/>
      <c r="IGM1" s="224"/>
      <c r="IGN1" s="224"/>
      <c r="IGO1" s="224"/>
      <c r="IGP1" s="224"/>
      <c r="IGQ1" s="224"/>
      <c r="IGR1" s="224"/>
      <c r="IGS1" s="224"/>
      <c r="IGT1" s="224"/>
      <c r="IGU1" s="224"/>
      <c r="IGV1" s="224"/>
      <c r="IGW1" s="224"/>
      <c r="IGX1" s="224"/>
      <c r="IGY1" s="224"/>
      <c r="IGZ1" s="224"/>
      <c r="IHA1" s="224"/>
      <c r="IHB1" s="224"/>
      <c r="IHC1" s="224"/>
      <c r="IHD1" s="224"/>
      <c r="IHE1" s="224"/>
      <c r="IHF1" s="224"/>
      <c r="IHG1" s="224"/>
      <c r="IHH1" s="224"/>
      <c r="IHI1" s="224"/>
      <c r="IHJ1" s="224"/>
      <c r="IHK1" s="224"/>
      <c r="IHL1" s="224"/>
      <c r="IHM1" s="224"/>
      <c r="IHN1" s="224"/>
      <c r="IHO1" s="224"/>
      <c r="IHP1" s="224"/>
      <c r="IHQ1" s="224"/>
      <c r="IHR1" s="224"/>
      <c r="IHS1" s="224"/>
      <c r="IHT1" s="224"/>
      <c r="IHU1" s="224"/>
      <c r="IHV1" s="224"/>
      <c r="IHW1" s="224"/>
      <c r="IHX1" s="224"/>
      <c r="IHY1" s="224"/>
      <c r="IHZ1" s="224"/>
      <c r="IIA1" s="224"/>
      <c r="IIB1" s="224"/>
      <c r="IIC1" s="224"/>
      <c r="IID1" s="224"/>
      <c r="IIE1" s="224"/>
      <c r="IIF1" s="224"/>
      <c r="IIG1" s="224"/>
      <c r="IIH1" s="224"/>
      <c r="III1" s="224"/>
      <c r="IIJ1" s="224"/>
      <c r="IIK1" s="224"/>
      <c r="IIL1" s="224"/>
      <c r="IIM1" s="224"/>
      <c r="IIN1" s="224"/>
      <c r="IIO1" s="224"/>
      <c r="IIP1" s="224"/>
      <c r="IIQ1" s="224"/>
      <c r="IIR1" s="224"/>
      <c r="IIS1" s="224"/>
      <c r="IIT1" s="224"/>
      <c r="IIU1" s="224"/>
      <c r="IIV1" s="224"/>
      <c r="IIW1" s="224"/>
      <c r="IIX1" s="224"/>
      <c r="IIY1" s="224"/>
      <c r="IIZ1" s="224"/>
      <c r="IJA1" s="224"/>
      <c r="IJB1" s="224"/>
      <c r="IJC1" s="224"/>
      <c r="IJD1" s="224"/>
      <c r="IJE1" s="224"/>
      <c r="IJF1" s="224"/>
      <c r="IJG1" s="224"/>
      <c r="IJH1" s="224"/>
      <c r="IJI1" s="224"/>
      <c r="IJJ1" s="224"/>
      <c r="IJK1" s="224"/>
      <c r="IJL1" s="224"/>
      <c r="IJM1" s="224"/>
      <c r="IJN1" s="224"/>
      <c r="IJO1" s="224"/>
      <c r="IJP1" s="224"/>
      <c r="IJQ1" s="224"/>
      <c r="IJR1" s="224"/>
      <c r="IJS1" s="224"/>
      <c r="IJT1" s="224"/>
      <c r="IJU1" s="224"/>
      <c r="IJV1" s="224"/>
      <c r="IJW1" s="224"/>
      <c r="IJX1" s="224"/>
      <c r="IJY1" s="224"/>
      <c r="IJZ1" s="224"/>
      <c r="IKA1" s="224"/>
      <c r="IKB1" s="224"/>
      <c r="IKC1" s="224"/>
      <c r="IKD1" s="224"/>
      <c r="IKE1" s="224"/>
      <c r="IKF1" s="224"/>
      <c r="IKG1" s="224"/>
      <c r="IKH1" s="224"/>
      <c r="IKI1" s="224"/>
      <c r="IKJ1" s="224"/>
      <c r="IKK1" s="224"/>
      <c r="IKL1" s="224"/>
      <c r="IKM1" s="224"/>
      <c r="IKN1" s="224"/>
      <c r="IKO1" s="224"/>
      <c r="IKP1" s="224"/>
      <c r="IKQ1" s="224"/>
      <c r="IKR1" s="224"/>
      <c r="IKS1" s="224"/>
      <c r="IKT1" s="224"/>
      <c r="IKU1" s="224"/>
      <c r="IKV1" s="224"/>
      <c r="IKW1" s="224"/>
      <c r="IKX1" s="224"/>
      <c r="IKY1" s="224"/>
      <c r="IKZ1" s="224"/>
      <c r="ILA1" s="224"/>
      <c r="ILB1" s="224"/>
      <c r="ILC1" s="224"/>
      <c r="ILD1" s="224"/>
      <c r="ILE1" s="224"/>
      <c r="ILF1" s="224"/>
      <c r="ILG1" s="224"/>
      <c r="ILH1" s="224"/>
      <c r="ILI1" s="224"/>
      <c r="ILJ1" s="224"/>
      <c r="ILK1" s="224"/>
      <c r="ILL1" s="224"/>
      <c r="ILM1" s="224"/>
      <c r="ILN1" s="224"/>
      <c r="ILO1" s="224"/>
      <c r="ILP1" s="224"/>
      <c r="ILQ1" s="224"/>
      <c r="ILR1" s="224"/>
      <c r="ILS1" s="224"/>
      <c r="ILT1" s="224"/>
      <c r="ILU1" s="224"/>
      <c r="ILV1" s="224"/>
      <c r="ILW1" s="224"/>
      <c r="ILX1" s="224"/>
      <c r="ILY1" s="224"/>
      <c r="ILZ1" s="224"/>
      <c r="IMA1" s="224"/>
      <c r="IMB1" s="224"/>
      <c r="IMC1" s="224"/>
      <c r="IMD1" s="224"/>
      <c r="IME1" s="224"/>
      <c r="IMF1" s="224"/>
      <c r="IMG1" s="224"/>
      <c r="IMH1" s="224"/>
      <c r="IMI1" s="224"/>
      <c r="IMJ1" s="224"/>
      <c r="IMK1" s="224"/>
      <c r="IML1" s="224"/>
      <c r="IMM1" s="224"/>
      <c r="IMN1" s="224"/>
      <c r="IMO1" s="224"/>
      <c r="IMP1" s="224"/>
      <c r="IMQ1" s="224"/>
      <c r="IMR1" s="224"/>
      <c r="IMS1" s="224"/>
      <c r="IMT1" s="224"/>
      <c r="IMU1" s="224"/>
      <c r="IMV1" s="224"/>
      <c r="IMW1" s="224"/>
      <c r="IMX1" s="224"/>
      <c r="IMY1" s="224"/>
      <c r="IMZ1" s="224"/>
      <c r="INA1" s="224"/>
      <c r="INB1" s="224"/>
      <c r="INC1" s="224"/>
      <c r="IND1" s="224"/>
      <c r="INE1" s="224"/>
      <c r="INF1" s="224"/>
      <c r="ING1" s="224"/>
      <c r="INH1" s="224"/>
      <c r="INI1" s="224"/>
      <c r="INJ1" s="224"/>
      <c r="INK1" s="224"/>
      <c r="INL1" s="224"/>
      <c r="INM1" s="224"/>
      <c r="INN1" s="224"/>
      <c r="INO1" s="224"/>
      <c r="INP1" s="224"/>
      <c r="INQ1" s="224"/>
      <c r="INR1" s="224"/>
      <c r="INS1" s="224"/>
      <c r="INT1" s="224"/>
      <c r="INU1" s="224"/>
      <c r="INV1" s="224"/>
      <c r="INW1" s="224"/>
      <c r="INX1" s="224"/>
      <c r="INY1" s="224"/>
      <c r="INZ1" s="224"/>
      <c r="IOA1" s="224"/>
      <c r="IOB1" s="224"/>
      <c r="IOC1" s="224"/>
      <c r="IOD1" s="224"/>
      <c r="IOE1" s="224"/>
      <c r="IOF1" s="224"/>
      <c r="IOG1" s="224"/>
      <c r="IOH1" s="224"/>
      <c r="IOI1" s="224"/>
      <c r="IOJ1" s="224"/>
      <c r="IOK1" s="224"/>
      <c r="IOL1" s="224"/>
      <c r="IOM1" s="224"/>
      <c r="ION1" s="224"/>
      <c r="IOO1" s="224"/>
      <c r="IOP1" s="224"/>
      <c r="IOQ1" s="224"/>
      <c r="IOR1" s="224"/>
      <c r="IOS1" s="224"/>
      <c r="IOT1" s="224"/>
      <c r="IOU1" s="224"/>
      <c r="IOV1" s="224"/>
      <c r="IOW1" s="224"/>
      <c r="IOX1" s="224"/>
      <c r="IOY1" s="224"/>
      <c r="IOZ1" s="224"/>
      <c r="IPA1" s="224"/>
      <c r="IPB1" s="224"/>
      <c r="IPC1" s="224"/>
      <c r="IPD1" s="224"/>
      <c r="IPE1" s="224"/>
      <c r="IPF1" s="224"/>
      <c r="IPG1" s="224"/>
      <c r="IPH1" s="224"/>
      <c r="IPI1" s="224"/>
      <c r="IPJ1" s="224"/>
      <c r="IPK1" s="224"/>
      <c r="IPL1" s="224"/>
      <c r="IPM1" s="224"/>
      <c r="IPN1" s="224"/>
      <c r="IPO1" s="224"/>
      <c r="IPP1" s="224"/>
      <c r="IPQ1" s="224"/>
      <c r="IPR1" s="224"/>
      <c r="IPS1" s="224"/>
      <c r="IPT1" s="224"/>
      <c r="IPU1" s="224"/>
      <c r="IPV1" s="224"/>
      <c r="IPW1" s="224"/>
      <c r="IPX1" s="224"/>
      <c r="IPY1" s="224"/>
      <c r="IPZ1" s="224"/>
      <c r="IQA1" s="224"/>
      <c r="IQB1" s="224"/>
      <c r="IQC1" s="224"/>
      <c r="IQD1" s="224"/>
      <c r="IQE1" s="224"/>
      <c r="IQF1" s="224"/>
      <c r="IQG1" s="224"/>
      <c r="IQH1" s="224"/>
      <c r="IQI1" s="224"/>
      <c r="IQJ1" s="224"/>
      <c r="IQK1" s="224"/>
      <c r="IQL1" s="224"/>
      <c r="IQM1" s="224"/>
      <c r="IQN1" s="224"/>
      <c r="IQO1" s="224"/>
      <c r="IQP1" s="224"/>
      <c r="IQQ1" s="224"/>
      <c r="IQR1" s="224"/>
      <c r="IQS1" s="224"/>
      <c r="IQT1" s="224"/>
      <c r="IQU1" s="224"/>
      <c r="IQV1" s="224"/>
      <c r="IQW1" s="224"/>
      <c r="IQX1" s="224"/>
      <c r="IQY1" s="224"/>
      <c r="IQZ1" s="224"/>
      <c r="IRA1" s="224"/>
      <c r="IRB1" s="224"/>
      <c r="IRC1" s="224"/>
      <c r="IRD1" s="224"/>
      <c r="IRE1" s="224"/>
      <c r="IRF1" s="224"/>
      <c r="IRG1" s="224"/>
      <c r="IRH1" s="224"/>
      <c r="IRI1" s="224"/>
      <c r="IRJ1" s="224"/>
      <c r="IRK1" s="224"/>
      <c r="IRL1" s="224"/>
      <c r="IRM1" s="224"/>
      <c r="IRN1" s="224"/>
      <c r="IRO1" s="224"/>
      <c r="IRP1" s="224"/>
      <c r="IRQ1" s="224"/>
      <c r="IRR1" s="224"/>
      <c r="IRS1" s="224"/>
      <c r="IRT1" s="224"/>
      <c r="IRU1" s="224"/>
      <c r="IRV1" s="224"/>
      <c r="IRW1" s="224"/>
      <c r="IRX1" s="224"/>
      <c r="IRY1" s="224"/>
      <c r="IRZ1" s="224"/>
      <c r="ISA1" s="224"/>
      <c r="ISB1" s="224"/>
      <c r="ISC1" s="224"/>
      <c r="ISD1" s="224"/>
      <c r="ISE1" s="224"/>
      <c r="ISF1" s="224"/>
      <c r="ISG1" s="224"/>
      <c r="ISH1" s="224"/>
      <c r="ISI1" s="224"/>
      <c r="ISJ1" s="224"/>
      <c r="ISK1" s="224"/>
      <c r="ISL1" s="224"/>
      <c r="ISM1" s="224"/>
      <c r="ISN1" s="224"/>
      <c r="ISO1" s="224"/>
      <c r="ISP1" s="224"/>
      <c r="ISQ1" s="224"/>
      <c r="ISR1" s="224"/>
      <c r="ISS1" s="224"/>
      <c r="IST1" s="224"/>
      <c r="ISU1" s="224"/>
      <c r="ISV1" s="224"/>
      <c r="ISW1" s="224"/>
      <c r="ISX1" s="224"/>
      <c r="ISY1" s="224"/>
      <c r="ISZ1" s="224"/>
      <c r="ITA1" s="224"/>
      <c r="ITB1" s="224"/>
      <c r="ITC1" s="224"/>
      <c r="ITD1" s="224"/>
      <c r="ITE1" s="224"/>
      <c r="ITF1" s="224"/>
      <c r="ITG1" s="224"/>
      <c r="ITH1" s="224"/>
      <c r="ITI1" s="224"/>
      <c r="ITJ1" s="224"/>
      <c r="ITK1" s="224"/>
      <c r="ITL1" s="224"/>
      <c r="ITM1" s="224"/>
      <c r="ITN1" s="224"/>
      <c r="ITO1" s="224"/>
      <c r="ITP1" s="224"/>
      <c r="ITQ1" s="224"/>
      <c r="ITR1" s="224"/>
      <c r="ITS1" s="224"/>
      <c r="ITT1" s="224"/>
      <c r="ITU1" s="224"/>
      <c r="ITV1" s="224"/>
      <c r="ITW1" s="224"/>
      <c r="ITX1" s="224"/>
      <c r="ITY1" s="224"/>
      <c r="ITZ1" s="224"/>
      <c r="IUA1" s="224"/>
      <c r="IUB1" s="224"/>
      <c r="IUC1" s="224"/>
      <c r="IUD1" s="224"/>
      <c r="IUE1" s="224"/>
      <c r="IUF1" s="224"/>
      <c r="IUG1" s="224"/>
      <c r="IUH1" s="224"/>
      <c r="IUI1" s="224"/>
      <c r="IUJ1" s="224"/>
      <c r="IUK1" s="224"/>
      <c r="IUL1" s="224"/>
      <c r="IUM1" s="224"/>
      <c r="IUN1" s="224"/>
      <c r="IUO1" s="224"/>
      <c r="IUP1" s="224"/>
      <c r="IUQ1" s="224"/>
      <c r="IUR1" s="224"/>
      <c r="IUS1" s="224"/>
      <c r="IUT1" s="224"/>
      <c r="IUU1" s="224"/>
      <c r="IUV1" s="224"/>
      <c r="IUW1" s="224"/>
      <c r="IUX1" s="224"/>
      <c r="IUY1" s="224"/>
      <c r="IUZ1" s="224"/>
      <c r="IVA1" s="224"/>
      <c r="IVB1" s="224"/>
      <c r="IVC1" s="224"/>
      <c r="IVD1" s="224"/>
      <c r="IVE1" s="224"/>
      <c r="IVF1" s="224"/>
      <c r="IVG1" s="224"/>
      <c r="IVH1" s="224"/>
      <c r="IVI1" s="224"/>
      <c r="IVJ1" s="224"/>
      <c r="IVK1" s="224"/>
      <c r="IVL1" s="224"/>
      <c r="IVM1" s="224"/>
      <c r="IVN1" s="224"/>
      <c r="IVO1" s="224"/>
      <c r="IVP1" s="224"/>
      <c r="IVQ1" s="224"/>
      <c r="IVR1" s="224"/>
      <c r="IVS1" s="224"/>
      <c r="IVT1" s="224"/>
      <c r="IVU1" s="224"/>
      <c r="IVV1" s="224"/>
      <c r="IVW1" s="224"/>
      <c r="IVX1" s="224"/>
      <c r="IVY1" s="224"/>
      <c r="IVZ1" s="224"/>
      <c r="IWA1" s="224"/>
      <c r="IWB1" s="224"/>
      <c r="IWC1" s="224"/>
      <c r="IWD1" s="224"/>
      <c r="IWE1" s="224"/>
      <c r="IWF1" s="224"/>
      <c r="IWG1" s="224"/>
      <c r="IWH1" s="224"/>
      <c r="IWI1" s="224"/>
      <c r="IWJ1" s="224"/>
      <c r="IWK1" s="224"/>
      <c r="IWL1" s="224"/>
      <c r="IWM1" s="224"/>
      <c r="IWN1" s="224"/>
      <c r="IWO1" s="224"/>
      <c r="IWP1" s="224"/>
      <c r="IWQ1" s="224"/>
      <c r="IWR1" s="224"/>
      <c r="IWS1" s="224"/>
      <c r="IWT1" s="224"/>
      <c r="IWU1" s="224"/>
      <c r="IWV1" s="224"/>
      <c r="IWW1" s="224"/>
      <c r="IWX1" s="224"/>
      <c r="IWY1" s="224"/>
      <c r="IWZ1" s="224"/>
      <c r="IXA1" s="224"/>
      <c r="IXB1" s="224"/>
      <c r="IXC1" s="224"/>
      <c r="IXD1" s="224"/>
      <c r="IXE1" s="224"/>
      <c r="IXF1" s="224"/>
      <c r="IXG1" s="224"/>
      <c r="IXH1" s="224"/>
      <c r="IXI1" s="224"/>
      <c r="IXJ1" s="224"/>
      <c r="IXK1" s="224"/>
      <c r="IXL1" s="224"/>
      <c r="IXM1" s="224"/>
      <c r="IXN1" s="224"/>
      <c r="IXO1" s="224"/>
      <c r="IXP1" s="224"/>
      <c r="IXQ1" s="224"/>
      <c r="IXR1" s="224"/>
      <c r="IXS1" s="224"/>
      <c r="IXT1" s="224"/>
      <c r="IXU1" s="224"/>
      <c r="IXV1" s="224"/>
      <c r="IXW1" s="224"/>
      <c r="IXX1" s="224"/>
      <c r="IXY1" s="224"/>
      <c r="IXZ1" s="224"/>
      <c r="IYA1" s="224"/>
      <c r="IYB1" s="224"/>
      <c r="IYC1" s="224"/>
      <c r="IYD1" s="224"/>
      <c r="IYE1" s="224"/>
      <c r="IYF1" s="224"/>
      <c r="IYG1" s="224"/>
      <c r="IYH1" s="224"/>
      <c r="IYI1" s="224"/>
      <c r="IYJ1" s="224"/>
      <c r="IYK1" s="224"/>
      <c r="IYL1" s="224"/>
      <c r="IYM1" s="224"/>
      <c r="IYN1" s="224"/>
      <c r="IYO1" s="224"/>
      <c r="IYP1" s="224"/>
      <c r="IYQ1" s="224"/>
      <c r="IYR1" s="224"/>
      <c r="IYS1" s="224"/>
      <c r="IYT1" s="224"/>
      <c r="IYU1" s="224"/>
      <c r="IYV1" s="224"/>
      <c r="IYW1" s="224"/>
      <c r="IYX1" s="224"/>
      <c r="IYY1" s="224"/>
      <c r="IYZ1" s="224"/>
      <c r="IZA1" s="224"/>
      <c r="IZB1" s="224"/>
      <c r="IZC1" s="224"/>
      <c r="IZD1" s="224"/>
      <c r="IZE1" s="224"/>
      <c r="IZF1" s="224"/>
      <c r="IZG1" s="224"/>
      <c r="IZH1" s="224"/>
      <c r="IZI1" s="224"/>
      <c r="IZJ1" s="224"/>
      <c r="IZK1" s="224"/>
      <c r="IZL1" s="224"/>
      <c r="IZM1" s="224"/>
      <c r="IZN1" s="224"/>
      <c r="IZO1" s="224"/>
      <c r="IZP1" s="224"/>
      <c r="IZQ1" s="224"/>
      <c r="IZR1" s="224"/>
      <c r="IZS1" s="224"/>
      <c r="IZT1" s="224"/>
      <c r="IZU1" s="224"/>
      <c r="IZV1" s="224"/>
      <c r="IZW1" s="224"/>
      <c r="IZX1" s="224"/>
      <c r="IZY1" s="224"/>
      <c r="IZZ1" s="224"/>
      <c r="JAA1" s="224"/>
      <c r="JAB1" s="224"/>
      <c r="JAC1" s="224"/>
      <c r="JAD1" s="224"/>
      <c r="JAE1" s="224"/>
      <c r="JAF1" s="224"/>
      <c r="JAG1" s="224"/>
      <c r="JAH1" s="224"/>
      <c r="JAI1" s="224"/>
      <c r="JAJ1" s="224"/>
      <c r="JAK1" s="224"/>
      <c r="JAL1" s="224"/>
      <c r="JAM1" s="224"/>
      <c r="JAN1" s="224"/>
      <c r="JAO1" s="224"/>
      <c r="JAP1" s="224"/>
      <c r="JAQ1" s="224"/>
      <c r="JAR1" s="224"/>
      <c r="JAS1" s="224"/>
      <c r="JAT1" s="224"/>
      <c r="JAU1" s="224"/>
      <c r="JAV1" s="224"/>
      <c r="JAW1" s="224"/>
      <c r="JAX1" s="224"/>
      <c r="JAY1" s="224"/>
      <c r="JAZ1" s="224"/>
      <c r="JBA1" s="224"/>
      <c r="JBB1" s="224"/>
      <c r="JBC1" s="224"/>
      <c r="JBD1" s="224"/>
      <c r="JBE1" s="224"/>
      <c r="JBF1" s="224"/>
      <c r="JBG1" s="224"/>
      <c r="JBH1" s="224"/>
      <c r="JBI1" s="224"/>
      <c r="JBJ1" s="224"/>
      <c r="JBK1" s="224"/>
      <c r="JBL1" s="224"/>
      <c r="JBM1" s="224"/>
      <c r="JBN1" s="224"/>
      <c r="JBO1" s="224"/>
      <c r="JBP1" s="224"/>
      <c r="JBQ1" s="224"/>
      <c r="JBR1" s="224"/>
      <c r="JBS1" s="224"/>
      <c r="JBT1" s="224"/>
      <c r="JBU1" s="224"/>
      <c r="JBV1" s="224"/>
      <c r="JBW1" s="224"/>
      <c r="JBX1" s="224"/>
      <c r="JBY1" s="224"/>
      <c r="JBZ1" s="224"/>
      <c r="JCA1" s="224"/>
      <c r="JCB1" s="224"/>
      <c r="JCC1" s="224"/>
      <c r="JCD1" s="224"/>
      <c r="JCE1" s="224"/>
      <c r="JCF1" s="224"/>
      <c r="JCG1" s="224"/>
      <c r="JCH1" s="224"/>
      <c r="JCI1" s="224"/>
      <c r="JCJ1" s="224"/>
      <c r="JCK1" s="224"/>
      <c r="JCL1" s="224"/>
      <c r="JCM1" s="224"/>
      <c r="JCN1" s="224"/>
      <c r="JCO1" s="224"/>
      <c r="JCP1" s="224"/>
      <c r="JCQ1" s="224"/>
      <c r="JCR1" s="224"/>
      <c r="JCS1" s="224"/>
      <c r="JCT1" s="224"/>
      <c r="JCU1" s="224"/>
      <c r="JCV1" s="224"/>
      <c r="JCW1" s="224"/>
      <c r="JCX1" s="224"/>
      <c r="JCY1" s="224"/>
      <c r="JCZ1" s="224"/>
      <c r="JDA1" s="224"/>
      <c r="JDB1" s="224"/>
      <c r="JDC1" s="224"/>
      <c r="JDD1" s="224"/>
      <c r="JDE1" s="224"/>
      <c r="JDF1" s="224"/>
      <c r="JDG1" s="224"/>
      <c r="JDH1" s="224"/>
      <c r="JDI1" s="224"/>
      <c r="JDJ1" s="224"/>
      <c r="JDK1" s="224"/>
      <c r="JDL1" s="224"/>
      <c r="JDM1" s="224"/>
      <c r="JDN1" s="224"/>
      <c r="JDO1" s="224"/>
      <c r="JDP1" s="224"/>
      <c r="JDQ1" s="224"/>
      <c r="JDR1" s="224"/>
      <c r="JDS1" s="224"/>
      <c r="JDT1" s="224"/>
      <c r="JDU1" s="224"/>
      <c r="JDV1" s="224"/>
      <c r="JDW1" s="224"/>
      <c r="JDX1" s="224"/>
      <c r="JDY1" s="224"/>
      <c r="JDZ1" s="224"/>
      <c r="JEA1" s="224"/>
      <c r="JEB1" s="224"/>
      <c r="JEC1" s="224"/>
      <c r="JED1" s="224"/>
      <c r="JEE1" s="224"/>
      <c r="JEF1" s="224"/>
      <c r="JEG1" s="224"/>
      <c r="JEH1" s="224"/>
      <c r="JEI1" s="224"/>
      <c r="JEJ1" s="224"/>
      <c r="JEK1" s="224"/>
      <c r="JEL1" s="224"/>
      <c r="JEM1" s="224"/>
      <c r="JEN1" s="224"/>
      <c r="JEO1" s="224"/>
      <c r="JEP1" s="224"/>
      <c r="JEQ1" s="224"/>
      <c r="JER1" s="224"/>
      <c r="JES1" s="224"/>
      <c r="JET1" s="224"/>
      <c r="JEU1" s="224"/>
      <c r="JEV1" s="224"/>
      <c r="JEW1" s="224"/>
      <c r="JEX1" s="224"/>
      <c r="JEY1" s="224"/>
      <c r="JEZ1" s="224"/>
      <c r="JFA1" s="224"/>
      <c r="JFB1" s="224"/>
      <c r="JFC1" s="224"/>
      <c r="JFD1" s="224"/>
      <c r="JFE1" s="224"/>
      <c r="JFF1" s="224"/>
      <c r="JFG1" s="224"/>
      <c r="JFH1" s="224"/>
      <c r="JFI1" s="224"/>
      <c r="JFJ1" s="224"/>
      <c r="JFK1" s="224"/>
      <c r="JFL1" s="224"/>
      <c r="JFM1" s="224"/>
      <c r="JFN1" s="224"/>
      <c r="JFO1" s="224"/>
      <c r="JFP1" s="224"/>
      <c r="JFQ1" s="224"/>
      <c r="JFR1" s="224"/>
      <c r="JFS1" s="224"/>
      <c r="JFT1" s="224"/>
      <c r="JFU1" s="224"/>
      <c r="JFV1" s="224"/>
      <c r="JFW1" s="224"/>
      <c r="JFX1" s="224"/>
      <c r="JFY1" s="224"/>
      <c r="JFZ1" s="224"/>
      <c r="JGA1" s="224"/>
      <c r="JGB1" s="224"/>
      <c r="JGC1" s="224"/>
      <c r="JGD1" s="224"/>
      <c r="JGE1" s="224"/>
      <c r="JGF1" s="224"/>
      <c r="JGG1" s="224"/>
      <c r="JGH1" s="224"/>
      <c r="JGI1" s="224"/>
      <c r="JGJ1" s="224"/>
      <c r="JGK1" s="224"/>
      <c r="JGL1" s="224"/>
      <c r="JGM1" s="224"/>
      <c r="JGN1" s="224"/>
      <c r="JGO1" s="224"/>
      <c r="JGP1" s="224"/>
      <c r="JGQ1" s="224"/>
      <c r="JGR1" s="224"/>
      <c r="JGS1" s="224"/>
      <c r="JGT1" s="224"/>
      <c r="JGU1" s="224"/>
      <c r="JGV1" s="224"/>
      <c r="JGW1" s="224"/>
      <c r="JGX1" s="224"/>
      <c r="JGY1" s="224"/>
      <c r="JGZ1" s="224"/>
      <c r="JHA1" s="224"/>
      <c r="JHB1" s="224"/>
      <c r="JHC1" s="224"/>
      <c r="JHD1" s="224"/>
      <c r="JHE1" s="224"/>
      <c r="JHF1" s="224"/>
      <c r="JHG1" s="224"/>
      <c r="JHH1" s="224"/>
      <c r="JHI1" s="224"/>
      <c r="JHJ1" s="224"/>
      <c r="JHK1" s="224"/>
      <c r="JHL1" s="224"/>
      <c r="JHM1" s="224"/>
      <c r="JHN1" s="224"/>
      <c r="JHO1" s="224"/>
      <c r="JHP1" s="224"/>
      <c r="JHQ1" s="224"/>
      <c r="JHR1" s="224"/>
      <c r="JHS1" s="224"/>
      <c r="JHT1" s="224"/>
      <c r="JHU1" s="224"/>
      <c r="JHV1" s="224"/>
      <c r="JHW1" s="224"/>
      <c r="JHX1" s="224"/>
      <c r="JHY1" s="224"/>
      <c r="JHZ1" s="224"/>
      <c r="JIA1" s="224"/>
      <c r="JIB1" s="224"/>
      <c r="JIC1" s="224"/>
      <c r="JID1" s="224"/>
      <c r="JIE1" s="224"/>
      <c r="JIF1" s="224"/>
      <c r="JIG1" s="224"/>
      <c r="JIH1" s="224"/>
      <c r="JII1" s="224"/>
      <c r="JIJ1" s="224"/>
      <c r="JIK1" s="224"/>
      <c r="JIL1" s="224"/>
      <c r="JIM1" s="224"/>
      <c r="JIN1" s="224"/>
      <c r="JIO1" s="224"/>
      <c r="JIP1" s="224"/>
      <c r="JIQ1" s="224"/>
      <c r="JIR1" s="224"/>
      <c r="JIS1" s="224"/>
      <c r="JIT1" s="224"/>
      <c r="JIU1" s="224"/>
      <c r="JIV1" s="224"/>
      <c r="JIW1" s="224"/>
      <c r="JIX1" s="224"/>
      <c r="JIY1" s="224"/>
      <c r="JIZ1" s="224"/>
      <c r="JJA1" s="224"/>
      <c r="JJB1" s="224"/>
      <c r="JJC1" s="224"/>
      <c r="JJD1" s="224"/>
      <c r="JJE1" s="224"/>
      <c r="JJF1" s="224"/>
      <c r="JJG1" s="224"/>
      <c r="JJH1" s="224"/>
      <c r="JJI1" s="224"/>
      <c r="JJJ1" s="224"/>
      <c r="JJK1" s="224"/>
      <c r="JJL1" s="224"/>
      <c r="JJM1" s="224"/>
      <c r="JJN1" s="224"/>
      <c r="JJO1" s="224"/>
      <c r="JJP1" s="224"/>
      <c r="JJQ1" s="224"/>
      <c r="JJR1" s="224"/>
      <c r="JJS1" s="224"/>
      <c r="JJT1" s="224"/>
      <c r="JJU1" s="224"/>
      <c r="JJV1" s="224"/>
      <c r="JJW1" s="224"/>
      <c r="JJX1" s="224"/>
      <c r="JJY1" s="224"/>
      <c r="JJZ1" s="224"/>
      <c r="JKA1" s="224"/>
      <c r="JKB1" s="224"/>
      <c r="JKC1" s="224"/>
      <c r="JKD1" s="224"/>
      <c r="JKE1" s="224"/>
      <c r="JKF1" s="224"/>
      <c r="JKG1" s="224"/>
      <c r="JKH1" s="224"/>
      <c r="JKI1" s="224"/>
      <c r="JKJ1" s="224"/>
      <c r="JKK1" s="224"/>
      <c r="JKL1" s="224"/>
      <c r="JKM1" s="224"/>
      <c r="JKN1" s="224"/>
      <c r="JKO1" s="224"/>
      <c r="JKP1" s="224"/>
      <c r="JKQ1" s="224"/>
      <c r="JKR1" s="224"/>
      <c r="JKS1" s="224"/>
      <c r="JKT1" s="224"/>
      <c r="JKU1" s="224"/>
      <c r="JKV1" s="224"/>
      <c r="JKW1" s="224"/>
      <c r="JKX1" s="224"/>
      <c r="JKY1" s="224"/>
      <c r="JKZ1" s="224"/>
      <c r="JLA1" s="224"/>
      <c r="JLB1" s="224"/>
      <c r="JLC1" s="224"/>
      <c r="JLD1" s="224"/>
      <c r="JLE1" s="224"/>
      <c r="JLF1" s="224"/>
      <c r="JLG1" s="224"/>
      <c r="JLH1" s="224"/>
      <c r="JLI1" s="224"/>
      <c r="JLJ1" s="224"/>
      <c r="JLK1" s="224"/>
      <c r="JLL1" s="224"/>
      <c r="JLM1" s="224"/>
      <c r="JLN1" s="224"/>
      <c r="JLO1" s="224"/>
      <c r="JLP1" s="224"/>
      <c r="JLQ1" s="224"/>
      <c r="JLR1" s="224"/>
      <c r="JLS1" s="224"/>
      <c r="JLT1" s="224"/>
      <c r="JLU1" s="224"/>
      <c r="JLV1" s="224"/>
      <c r="JLW1" s="224"/>
      <c r="JLX1" s="224"/>
      <c r="JLY1" s="224"/>
      <c r="JLZ1" s="224"/>
      <c r="JMA1" s="224"/>
      <c r="JMB1" s="224"/>
      <c r="JMC1" s="224"/>
      <c r="JMD1" s="224"/>
      <c r="JME1" s="224"/>
      <c r="JMF1" s="224"/>
      <c r="JMG1" s="224"/>
      <c r="JMH1" s="224"/>
      <c r="JMI1" s="224"/>
      <c r="JMJ1" s="224"/>
      <c r="JMK1" s="224"/>
      <c r="JML1" s="224"/>
      <c r="JMM1" s="224"/>
      <c r="JMN1" s="224"/>
      <c r="JMO1" s="224"/>
      <c r="JMP1" s="224"/>
      <c r="JMQ1" s="224"/>
      <c r="JMR1" s="224"/>
      <c r="JMS1" s="224"/>
      <c r="JMT1" s="224"/>
      <c r="JMU1" s="224"/>
      <c r="JMV1" s="224"/>
      <c r="JMW1" s="224"/>
      <c r="JMX1" s="224"/>
      <c r="JMY1" s="224"/>
      <c r="JMZ1" s="224"/>
      <c r="JNA1" s="224"/>
      <c r="JNB1" s="224"/>
      <c r="JNC1" s="224"/>
      <c r="JND1" s="224"/>
      <c r="JNE1" s="224"/>
      <c r="JNF1" s="224"/>
      <c r="JNG1" s="224"/>
      <c r="JNH1" s="224"/>
      <c r="JNI1" s="224"/>
      <c r="JNJ1" s="224"/>
      <c r="JNK1" s="224"/>
      <c r="JNL1" s="224"/>
      <c r="JNM1" s="224"/>
      <c r="JNN1" s="224"/>
      <c r="JNO1" s="224"/>
      <c r="JNP1" s="224"/>
      <c r="JNQ1" s="224"/>
      <c r="JNR1" s="224"/>
      <c r="JNS1" s="224"/>
      <c r="JNT1" s="224"/>
      <c r="JNU1" s="224"/>
      <c r="JNV1" s="224"/>
      <c r="JNW1" s="224"/>
      <c r="JNX1" s="224"/>
      <c r="JNY1" s="224"/>
      <c r="JNZ1" s="224"/>
      <c r="JOA1" s="224"/>
      <c r="JOB1" s="224"/>
      <c r="JOC1" s="224"/>
      <c r="JOD1" s="224"/>
      <c r="JOE1" s="224"/>
      <c r="JOF1" s="224"/>
      <c r="JOG1" s="224"/>
      <c r="JOH1" s="224"/>
      <c r="JOI1" s="224"/>
      <c r="JOJ1" s="224"/>
      <c r="JOK1" s="224"/>
      <c r="JOL1" s="224"/>
      <c r="JOM1" s="224"/>
      <c r="JON1" s="224"/>
      <c r="JOO1" s="224"/>
      <c r="JOP1" s="224"/>
      <c r="JOQ1" s="224"/>
      <c r="JOR1" s="224"/>
      <c r="JOS1" s="224"/>
      <c r="JOT1" s="224"/>
      <c r="JOU1" s="224"/>
      <c r="JOV1" s="224"/>
      <c r="JOW1" s="224"/>
      <c r="JOX1" s="224"/>
      <c r="JOY1" s="224"/>
      <c r="JOZ1" s="224"/>
      <c r="JPA1" s="224"/>
      <c r="JPB1" s="224"/>
      <c r="JPC1" s="224"/>
      <c r="JPD1" s="224"/>
      <c r="JPE1" s="224"/>
      <c r="JPF1" s="224"/>
      <c r="JPG1" s="224"/>
      <c r="JPH1" s="224"/>
      <c r="JPI1" s="224"/>
      <c r="JPJ1" s="224"/>
      <c r="JPK1" s="224"/>
      <c r="JPL1" s="224"/>
      <c r="JPM1" s="224"/>
      <c r="JPN1" s="224"/>
      <c r="JPO1" s="224"/>
      <c r="JPP1" s="224"/>
      <c r="JPQ1" s="224"/>
      <c r="JPR1" s="224"/>
      <c r="JPS1" s="224"/>
      <c r="JPT1" s="224"/>
      <c r="JPU1" s="224"/>
      <c r="JPV1" s="224"/>
      <c r="JPW1" s="224"/>
      <c r="JPX1" s="224"/>
      <c r="JPY1" s="224"/>
      <c r="JPZ1" s="224"/>
      <c r="JQA1" s="224"/>
      <c r="JQB1" s="224"/>
      <c r="JQC1" s="224"/>
      <c r="JQD1" s="224"/>
      <c r="JQE1" s="224"/>
      <c r="JQF1" s="224"/>
      <c r="JQG1" s="224"/>
      <c r="JQH1" s="224"/>
      <c r="JQI1" s="224"/>
      <c r="JQJ1" s="224"/>
      <c r="JQK1" s="224"/>
      <c r="JQL1" s="224"/>
      <c r="JQM1" s="224"/>
      <c r="JQN1" s="224"/>
      <c r="JQO1" s="224"/>
      <c r="JQP1" s="224"/>
      <c r="JQQ1" s="224"/>
      <c r="JQR1" s="224"/>
      <c r="JQS1" s="224"/>
      <c r="JQT1" s="224"/>
      <c r="JQU1" s="224"/>
      <c r="JQV1" s="224"/>
      <c r="JQW1" s="224"/>
      <c r="JQX1" s="224"/>
      <c r="JQY1" s="224"/>
      <c r="JQZ1" s="224"/>
      <c r="JRA1" s="224"/>
      <c r="JRB1" s="224"/>
      <c r="JRC1" s="224"/>
      <c r="JRD1" s="224"/>
      <c r="JRE1" s="224"/>
      <c r="JRF1" s="224"/>
      <c r="JRG1" s="224"/>
      <c r="JRH1" s="224"/>
      <c r="JRI1" s="224"/>
      <c r="JRJ1" s="224"/>
      <c r="JRK1" s="224"/>
      <c r="JRL1" s="224"/>
      <c r="JRM1" s="224"/>
      <c r="JRN1" s="224"/>
      <c r="JRO1" s="224"/>
      <c r="JRP1" s="224"/>
      <c r="JRQ1" s="224"/>
      <c r="JRR1" s="224"/>
      <c r="JRS1" s="224"/>
      <c r="JRT1" s="224"/>
      <c r="JRU1" s="224"/>
      <c r="JRV1" s="224"/>
      <c r="JRW1" s="224"/>
      <c r="JRX1" s="224"/>
      <c r="JRY1" s="224"/>
      <c r="JRZ1" s="224"/>
      <c r="JSA1" s="224"/>
      <c r="JSB1" s="224"/>
      <c r="JSC1" s="224"/>
      <c r="JSD1" s="224"/>
      <c r="JSE1" s="224"/>
      <c r="JSF1" s="224"/>
      <c r="JSG1" s="224"/>
      <c r="JSH1" s="224"/>
      <c r="JSI1" s="224"/>
      <c r="JSJ1" s="224"/>
      <c r="JSK1" s="224"/>
      <c r="JSL1" s="224"/>
      <c r="JSM1" s="224"/>
      <c r="JSN1" s="224"/>
      <c r="JSO1" s="224"/>
      <c r="JSP1" s="224"/>
      <c r="JSQ1" s="224"/>
      <c r="JSR1" s="224"/>
      <c r="JSS1" s="224"/>
      <c r="JST1" s="224"/>
      <c r="JSU1" s="224"/>
      <c r="JSV1" s="224"/>
      <c r="JSW1" s="224"/>
      <c r="JSX1" s="224"/>
      <c r="JSY1" s="224"/>
      <c r="JSZ1" s="224"/>
      <c r="JTA1" s="224"/>
      <c r="JTB1" s="224"/>
      <c r="JTC1" s="224"/>
      <c r="JTD1" s="224"/>
      <c r="JTE1" s="224"/>
      <c r="JTF1" s="224"/>
      <c r="JTG1" s="224"/>
      <c r="JTH1" s="224"/>
      <c r="JTI1" s="224"/>
      <c r="JTJ1" s="224"/>
      <c r="JTK1" s="224"/>
      <c r="JTL1" s="224"/>
      <c r="JTM1" s="224"/>
      <c r="JTN1" s="224"/>
      <c r="JTO1" s="224"/>
      <c r="JTP1" s="224"/>
      <c r="JTQ1" s="224"/>
      <c r="JTR1" s="224"/>
      <c r="JTS1" s="224"/>
      <c r="JTT1" s="224"/>
      <c r="JTU1" s="224"/>
      <c r="JTV1" s="224"/>
      <c r="JTW1" s="224"/>
      <c r="JTX1" s="224"/>
      <c r="JTY1" s="224"/>
      <c r="JTZ1" s="224"/>
      <c r="JUA1" s="224"/>
      <c r="JUB1" s="224"/>
      <c r="JUC1" s="224"/>
      <c r="JUD1" s="224"/>
      <c r="JUE1" s="224"/>
      <c r="JUF1" s="224"/>
      <c r="JUG1" s="224"/>
      <c r="JUH1" s="224"/>
      <c r="JUI1" s="224"/>
      <c r="JUJ1" s="224"/>
      <c r="JUK1" s="224"/>
      <c r="JUL1" s="224"/>
      <c r="JUM1" s="224"/>
      <c r="JUN1" s="224"/>
      <c r="JUO1" s="224"/>
      <c r="JUP1" s="224"/>
      <c r="JUQ1" s="224"/>
      <c r="JUR1" s="224"/>
      <c r="JUS1" s="224"/>
      <c r="JUT1" s="224"/>
      <c r="JUU1" s="224"/>
      <c r="JUV1" s="224"/>
      <c r="JUW1" s="224"/>
      <c r="JUX1" s="224"/>
      <c r="JUY1" s="224"/>
      <c r="JUZ1" s="224"/>
      <c r="JVA1" s="224"/>
      <c r="JVB1" s="224"/>
      <c r="JVC1" s="224"/>
      <c r="JVD1" s="224"/>
      <c r="JVE1" s="224"/>
      <c r="JVF1" s="224"/>
      <c r="JVG1" s="224"/>
      <c r="JVH1" s="224"/>
      <c r="JVI1" s="224"/>
      <c r="JVJ1" s="224"/>
      <c r="JVK1" s="224"/>
      <c r="JVL1" s="224"/>
      <c r="JVM1" s="224"/>
      <c r="JVN1" s="224"/>
      <c r="JVO1" s="224"/>
      <c r="JVP1" s="224"/>
      <c r="JVQ1" s="224"/>
      <c r="JVR1" s="224"/>
      <c r="JVS1" s="224"/>
      <c r="JVT1" s="224"/>
      <c r="JVU1" s="224"/>
      <c r="JVV1" s="224"/>
      <c r="JVW1" s="224"/>
      <c r="JVX1" s="224"/>
      <c r="JVY1" s="224"/>
      <c r="JVZ1" s="224"/>
      <c r="JWA1" s="224"/>
      <c r="JWB1" s="224"/>
      <c r="JWC1" s="224"/>
      <c r="JWD1" s="224"/>
      <c r="JWE1" s="224"/>
      <c r="JWF1" s="224"/>
      <c r="JWG1" s="224"/>
      <c r="JWH1" s="224"/>
      <c r="JWI1" s="224"/>
      <c r="JWJ1" s="224"/>
      <c r="JWK1" s="224"/>
      <c r="JWL1" s="224"/>
      <c r="JWM1" s="224"/>
      <c r="JWN1" s="224"/>
      <c r="JWO1" s="224"/>
      <c r="JWP1" s="224"/>
      <c r="JWQ1" s="224"/>
      <c r="JWR1" s="224"/>
      <c r="JWS1" s="224"/>
      <c r="JWT1" s="224"/>
      <c r="JWU1" s="224"/>
      <c r="JWV1" s="224"/>
      <c r="JWW1" s="224"/>
      <c r="JWX1" s="224"/>
      <c r="JWY1" s="224"/>
      <c r="JWZ1" s="224"/>
      <c r="JXA1" s="224"/>
      <c r="JXB1" s="224"/>
      <c r="JXC1" s="224"/>
      <c r="JXD1" s="224"/>
      <c r="JXE1" s="224"/>
      <c r="JXF1" s="224"/>
      <c r="JXG1" s="224"/>
      <c r="JXH1" s="224"/>
      <c r="JXI1" s="224"/>
      <c r="JXJ1" s="224"/>
      <c r="JXK1" s="224"/>
      <c r="JXL1" s="224"/>
      <c r="JXM1" s="224"/>
      <c r="JXN1" s="224"/>
      <c r="JXO1" s="224"/>
      <c r="JXP1" s="224"/>
      <c r="JXQ1" s="224"/>
      <c r="JXR1" s="224"/>
      <c r="JXS1" s="224"/>
      <c r="JXT1" s="224"/>
      <c r="JXU1" s="224"/>
      <c r="JXV1" s="224"/>
      <c r="JXW1" s="224"/>
      <c r="JXX1" s="224"/>
      <c r="JXY1" s="224"/>
      <c r="JXZ1" s="224"/>
      <c r="JYA1" s="224"/>
      <c r="JYB1" s="224"/>
      <c r="JYC1" s="224"/>
      <c r="JYD1" s="224"/>
      <c r="JYE1" s="224"/>
      <c r="JYF1" s="224"/>
      <c r="JYG1" s="224"/>
      <c r="JYH1" s="224"/>
      <c r="JYI1" s="224"/>
      <c r="JYJ1" s="224"/>
      <c r="JYK1" s="224"/>
      <c r="JYL1" s="224"/>
      <c r="JYM1" s="224"/>
      <c r="JYN1" s="224"/>
      <c r="JYO1" s="224"/>
      <c r="JYP1" s="224"/>
      <c r="JYQ1" s="224"/>
      <c r="JYR1" s="224"/>
      <c r="JYS1" s="224"/>
      <c r="JYT1" s="224"/>
      <c r="JYU1" s="224"/>
      <c r="JYV1" s="224"/>
      <c r="JYW1" s="224"/>
      <c r="JYX1" s="224"/>
      <c r="JYY1" s="224"/>
      <c r="JYZ1" s="224"/>
      <c r="JZA1" s="224"/>
      <c r="JZB1" s="224"/>
      <c r="JZC1" s="224"/>
      <c r="JZD1" s="224"/>
      <c r="JZE1" s="224"/>
      <c r="JZF1" s="224"/>
      <c r="JZG1" s="224"/>
      <c r="JZH1" s="224"/>
      <c r="JZI1" s="224"/>
      <c r="JZJ1" s="224"/>
      <c r="JZK1" s="224"/>
      <c r="JZL1" s="224"/>
      <c r="JZM1" s="224"/>
      <c r="JZN1" s="224"/>
      <c r="JZO1" s="224"/>
      <c r="JZP1" s="224"/>
      <c r="JZQ1" s="224"/>
      <c r="JZR1" s="224"/>
      <c r="JZS1" s="224"/>
      <c r="JZT1" s="224"/>
      <c r="JZU1" s="224"/>
      <c r="JZV1" s="224"/>
      <c r="JZW1" s="224"/>
      <c r="JZX1" s="224"/>
      <c r="JZY1" s="224"/>
      <c r="JZZ1" s="224"/>
      <c r="KAA1" s="224"/>
      <c r="KAB1" s="224"/>
      <c r="KAC1" s="224"/>
      <c r="KAD1" s="224"/>
      <c r="KAE1" s="224"/>
      <c r="KAF1" s="224"/>
      <c r="KAG1" s="224"/>
      <c r="KAH1" s="224"/>
      <c r="KAI1" s="224"/>
      <c r="KAJ1" s="224"/>
      <c r="KAK1" s="224"/>
      <c r="KAL1" s="224"/>
      <c r="KAM1" s="224"/>
      <c r="KAN1" s="224"/>
      <c r="KAO1" s="224"/>
      <c r="KAP1" s="224"/>
      <c r="KAQ1" s="224"/>
      <c r="KAR1" s="224"/>
      <c r="KAS1" s="224"/>
      <c r="KAT1" s="224"/>
      <c r="KAU1" s="224"/>
      <c r="KAV1" s="224"/>
      <c r="KAW1" s="224"/>
      <c r="KAX1" s="224"/>
      <c r="KAY1" s="224"/>
      <c r="KAZ1" s="224"/>
      <c r="KBA1" s="224"/>
      <c r="KBB1" s="224"/>
      <c r="KBC1" s="224"/>
      <c r="KBD1" s="224"/>
      <c r="KBE1" s="224"/>
      <c r="KBF1" s="224"/>
      <c r="KBG1" s="224"/>
      <c r="KBH1" s="224"/>
      <c r="KBI1" s="224"/>
      <c r="KBJ1" s="224"/>
      <c r="KBK1" s="224"/>
      <c r="KBL1" s="224"/>
      <c r="KBM1" s="224"/>
      <c r="KBN1" s="224"/>
      <c r="KBO1" s="224"/>
      <c r="KBP1" s="224"/>
      <c r="KBQ1" s="224"/>
      <c r="KBR1" s="224"/>
      <c r="KBS1" s="224"/>
      <c r="KBT1" s="224"/>
      <c r="KBU1" s="224"/>
      <c r="KBV1" s="224"/>
      <c r="KBW1" s="224"/>
      <c r="KBX1" s="224"/>
      <c r="KBY1" s="224"/>
      <c r="KBZ1" s="224"/>
      <c r="KCA1" s="224"/>
      <c r="KCB1" s="224"/>
      <c r="KCC1" s="224"/>
      <c r="KCD1" s="224"/>
      <c r="KCE1" s="224"/>
      <c r="KCF1" s="224"/>
      <c r="KCG1" s="224"/>
      <c r="KCH1" s="224"/>
      <c r="KCI1" s="224"/>
      <c r="KCJ1" s="224"/>
      <c r="KCK1" s="224"/>
      <c r="KCL1" s="224"/>
      <c r="KCM1" s="224"/>
      <c r="KCN1" s="224"/>
      <c r="KCO1" s="224"/>
      <c r="KCP1" s="224"/>
      <c r="KCQ1" s="224"/>
      <c r="KCR1" s="224"/>
      <c r="KCS1" s="224"/>
      <c r="KCT1" s="224"/>
      <c r="KCU1" s="224"/>
      <c r="KCV1" s="224"/>
      <c r="KCW1" s="224"/>
      <c r="KCX1" s="224"/>
      <c r="KCY1" s="224"/>
      <c r="KCZ1" s="224"/>
      <c r="KDA1" s="224"/>
      <c r="KDB1" s="224"/>
      <c r="KDC1" s="224"/>
      <c r="KDD1" s="224"/>
      <c r="KDE1" s="224"/>
      <c r="KDF1" s="224"/>
      <c r="KDG1" s="224"/>
      <c r="KDH1" s="224"/>
      <c r="KDI1" s="224"/>
      <c r="KDJ1" s="224"/>
      <c r="KDK1" s="224"/>
      <c r="KDL1" s="224"/>
      <c r="KDM1" s="224"/>
      <c r="KDN1" s="224"/>
      <c r="KDO1" s="224"/>
      <c r="KDP1" s="224"/>
      <c r="KDQ1" s="224"/>
      <c r="KDR1" s="224"/>
      <c r="KDS1" s="224"/>
      <c r="KDT1" s="224"/>
      <c r="KDU1" s="224"/>
      <c r="KDV1" s="224"/>
      <c r="KDW1" s="224"/>
      <c r="KDX1" s="224"/>
      <c r="KDY1" s="224"/>
      <c r="KDZ1" s="224"/>
      <c r="KEA1" s="224"/>
      <c r="KEB1" s="224"/>
      <c r="KEC1" s="224"/>
      <c r="KED1" s="224"/>
      <c r="KEE1" s="224"/>
      <c r="KEF1" s="224"/>
      <c r="KEG1" s="224"/>
      <c r="KEH1" s="224"/>
      <c r="KEI1" s="224"/>
      <c r="KEJ1" s="224"/>
      <c r="KEK1" s="224"/>
      <c r="KEL1" s="224"/>
      <c r="KEM1" s="224"/>
      <c r="KEN1" s="224"/>
      <c r="KEO1" s="224"/>
      <c r="KEP1" s="224"/>
      <c r="KEQ1" s="224"/>
      <c r="KER1" s="224"/>
      <c r="KES1" s="224"/>
      <c r="KET1" s="224"/>
      <c r="KEU1" s="224"/>
      <c r="KEV1" s="224"/>
      <c r="KEW1" s="224"/>
      <c r="KEX1" s="224"/>
      <c r="KEY1" s="224"/>
      <c r="KEZ1" s="224"/>
      <c r="KFA1" s="224"/>
      <c r="KFB1" s="224"/>
      <c r="KFC1" s="224"/>
      <c r="KFD1" s="224"/>
      <c r="KFE1" s="224"/>
      <c r="KFF1" s="224"/>
      <c r="KFG1" s="224"/>
      <c r="KFH1" s="224"/>
      <c r="KFI1" s="224"/>
      <c r="KFJ1" s="224"/>
      <c r="KFK1" s="224"/>
      <c r="KFL1" s="224"/>
      <c r="KFM1" s="224"/>
      <c r="KFN1" s="224"/>
      <c r="KFO1" s="224"/>
      <c r="KFP1" s="224"/>
      <c r="KFQ1" s="224"/>
      <c r="KFR1" s="224"/>
      <c r="KFS1" s="224"/>
      <c r="KFT1" s="224"/>
      <c r="KFU1" s="224"/>
      <c r="KFV1" s="224"/>
      <c r="KFW1" s="224"/>
      <c r="KFX1" s="224"/>
      <c r="KFY1" s="224"/>
      <c r="KFZ1" s="224"/>
      <c r="KGA1" s="224"/>
      <c r="KGB1" s="224"/>
      <c r="KGC1" s="224"/>
      <c r="KGD1" s="224"/>
      <c r="KGE1" s="224"/>
      <c r="KGF1" s="224"/>
      <c r="KGG1" s="224"/>
      <c r="KGH1" s="224"/>
      <c r="KGI1" s="224"/>
      <c r="KGJ1" s="224"/>
      <c r="KGK1" s="224"/>
      <c r="KGL1" s="224"/>
      <c r="KGM1" s="224"/>
      <c r="KGN1" s="224"/>
      <c r="KGO1" s="224"/>
      <c r="KGP1" s="224"/>
      <c r="KGQ1" s="224"/>
      <c r="KGR1" s="224"/>
      <c r="KGS1" s="224"/>
      <c r="KGT1" s="224"/>
      <c r="KGU1" s="224"/>
      <c r="KGV1" s="224"/>
      <c r="KGW1" s="224"/>
      <c r="KGX1" s="224"/>
      <c r="KGY1" s="224"/>
      <c r="KGZ1" s="224"/>
      <c r="KHA1" s="224"/>
      <c r="KHB1" s="224"/>
      <c r="KHC1" s="224"/>
      <c r="KHD1" s="224"/>
      <c r="KHE1" s="224"/>
      <c r="KHF1" s="224"/>
      <c r="KHG1" s="224"/>
      <c r="KHH1" s="224"/>
      <c r="KHI1" s="224"/>
      <c r="KHJ1" s="224"/>
      <c r="KHK1" s="224"/>
      <c r="KHL1" s="224"/>
      <c r="KHM1" s="224"/>
      <c r="KHN1" s="224"/>
      <c r="KHO1" s="224"/>
      <c r="KHP1" s="224"/>
      <c r="KHQ1" s="224"/>
      <c r="KHR1" s="224"/>
      <c r="KHS1" s="224"/>
      <c r="KHT1" s="224"/>
      <c r="KHU1" s="224"/>
      <c r="KHV1" s="224"/>
      <c r="KHW1" s="224"/>
      <c r="KHX1" s="224"/>
      <c r="KHY1" s="224"/>
      <c r="KHZ1" s="224"/>
      <c r="KIA1" s="224"/>
      <c r="KIB1" s="224"/>
      <c r="KIC1" s="224"/>
      <c r="KID1" s="224"/>
      <c r="KIE1" s="224"/>
      <c r="KIF1" s="224"/>
      <c r="KIG1" s="224"/>
      <c r="KIH1" s="224"/>
      <c r="KII1" s="224"/>
      <c r="KIJ1" s="224"/>
      <c r="KIK1" s="224"/>
      <c r="KIL1" s="224"/>
      <c r="KIM1" s="224"/>
      <c r="KIN1" s="224"/>
      <c r="KIO1" s="224"/>
      <c r="KIP1" s="224"/>
      <c r="KIQ1" s="224"/>
      <c r="KIR1" s="224"/>
      <c r="KIS1" s="224"/>
      <c r="KIT1" s="224"/>
      <c r="KIU1" s="224"/>
      <c r="KIV1" s="224"/>
      <c r="KIW1" s="224"/>
      <c r="KIX1" s="224"/>
      <c r="KIY1" s="224"/>
      <c r="KIZ1" s="224"/>
      <c r="KJA1" s="224"/>
      <c r="KJB1" s="224"/>
      <c r="KJC1" s="224"/>
      <c r="KJD1" s="224"/>
      <c r="KJE1" s="224"/>
      <c r="KJF1" s="224"/>
      <c r="KJG1" s="224"/>
      <c r="KJH1" s="224"/>
      <c r="KJI1" s="224"/>
      <c r="KJJ1" s="224"/>
      <c r="KJK1" s="224"/>
      <c r="KJL1" s="224"/>
      <c r="KJM1" s="224"/>
      <c r="KJN1" s="224"/>
      <c r="KJO1" s="224"/>
      <c r="KJP1" s="224"/>
      <c r="KJQ1" s="224"/>
      <c r="KJR1" s="224"/>
      <c r="KJS1" s="224"/>
      <c r="KJT1" s="224"/>
      <c r="KJU1" s="224"/>
      <c r="KJV1" s="224"/>
      <c r="KJW1" s="224"/>
      <c r="KJX1" s="224"/>
      <c r="KJY1" s="224"/>
      <c r="KJZ1" s="224"/>
      <c r="KKA1" s="224"/>
      <c r="KKB1" s="224"/>
      <c r="KKC1" s="224"/>
      <c r="KKD1" s="224"/>
      <c r="KKE1" s="224"/>
      <c r="KKF1" s="224"/>
      <c r="KKG1" s="224"/>
      <c r="KKH1" s="224"/>
      <c r="KKI1" s="224"/>
      <c r="KKJ1" s="224"/>
      <c r="KKK1" s="224"/>
      <c r="KKL1" s="224"/>
      <c r="KKM1" s="224"/>
      <c r="KKN1" s="224"/>
      <c r="KKO1" s="224"/>
      <c r="KKP1" s="224"/>
      <c r="KKQ1" s="224"/>
      <c r="KKR1" s="224"/>
      <c r="KKS1" s="224"/>
      <c r="KKT1" s="224"/>
      <c r="KKU1" s="224"/>
      <c r="KKV1" s="224"/>
      <c r="KKW1" s="224"/>
      <c r="KKX1" s="224"/>
      <c r="KKY1" s="224"/>
      <c r="KKZ1" s="224"/>
      <c r="KLA1" s="224"/>
      <c r="KLB1" s="224"/>
      <c r="KLC1" s="224"/>
      <c r="KLD1" s="224"/>
      <c r="KLE1" s="224"/>
      <c r="KLF1" s="224"/>
      <c r="KLG1" s="224"/>
      <c r="KLH1" s="224"/>
      <c r="KLI1" s="224"/>
      <c r="KLJ1" s="224"/>
      <c r="KLK1" s="224"/>
      <c r="KLL1" s="224"/>
      <c r="KLM1" s="224"/>
      <c r="KLN1" s="224"/>
      <c r="KLO1" s="224"/>
      <c r="KLP1" s="224"/>
      <c r="KLQ1" s="224"/>
      <c r="KLR1" s="224"/>
      <c r="KLS1" s="224"/>
      <c r="KLT1" s="224"/>
      <c r="KLU1" s="224"/>
      <c r="KLV1" s="224"/>
      <c r="KLW1" s="224"/>
      <c r="KLX1" s="224"/>
      <c r="KLY1" s="224"/>
      <c r="KLZ1" s="224"/>
      <c r="KMA1" s="224"/>
      <c r="KMB1" s="224"/>
      <c r="KMC1" s="224"/>
      <c r="KMD1" s="224"/>
      <c r="KME1" s="224"/>
      <c r="KMF1" s="224"/>
      <c r="KMG1" s="224"/>
      <c r="KMH1" s="224"/>
      <c r="KMI1" s="224"/>
      <c r="KMJ1" s="224"/>
      <c r="KMK1" s="224"/>
      <c r="KML1" s="224"/>
      <c r="KMM1" s="224"/>
      <c r="KMN1" s="224"/>
      <c r="KMO1" s="224"/>
      <c r="KMP1" s="224"/>
      <c r="KMQ1" s="224"/>
      <c r="KMR1" s="224"/>
      <c r="KMS1" s="224"/>
      <c r="KMT1" s="224"/>
      <c r="KMU1" s="224"/>
      <c r="KMV1" s="224"/>
      <c r="KMW1" s="224"/>
      <c r="KMX1" s="224"/>
      <c r="KMY1" s="224"/>
      <c r="KMZ1" s="224"/>
      <c r="KNA1" s="224"/>
      <c r="KNB1" s="224"/>
      <c r="KNC1" s="224"/>
      <c r="KND1" s="224"/>
      <c r="KNE1" s="224"/>
      <c r="KNF1" s="224"/>
      <c r="KNG1" s="224"/>
      <c r="KNH1" s="224"/>
      <c r="KNI1" s="224"/>
      <c r="KNJ1" s="224"/>
      <c r="KNK1" s="224"/>
      <c r="KNL1" s="224"/>
      <c r="KNM1" s="224"/>
      <c r="KNN1" s="224"/>
      <c r="KNO1" s="224"/>
      <c r="KNP1" s="224"/>
      <c r="KNQ1" s="224"/>
      <c r="KNR1" s="224"/>
      <c r="KNS1" s="224"/>
      <c r="KNT1" s="224"/>
      <c r="KNU1" s="224"/>
      <c r="KNV1" s="224"/>
      <c r="KNW1" s="224"/>
      <c r="KNX1" s="224"/>
      <c r="KNY1" s="224"/>
      <c r="KNZ1" s="224"/>
      <c r="KOA1" s="224"/>
      <c r="KOB1" s="224"/>
      <c r="KOC1" s="224"/>
      <c r="KOD1" s="224"/>
      <c r="KOE1" s="224"/>
      <c r="KOF1" s="224"/>
      <c r="KOG1" s="224"/>
      <c r="KOH1" s="224"/>
      <c r="KOI1" s="224"/>
      <c r="KOJ1" s="224"/>
      <c r="KOK1" s="224"/>
      <c r="KOL1" s="224"/>
      <c r="KOM1" s="224"/>
      <c r="KON1" s="224"/>
      <c r="KOO1" s="224"/>
      <c r="KOP1" s="224"/>
      <c r="KOQ1" s="224"/>
      <c r="KOR1" s="224"/>
      <c r="KOS1" s="224"/>
      <c r="KOT1" s="224"/>
      <c r="KOU1" s="224"/>
      <c r="KOV1" s="224"/>
      <c r="KOW1" s="224"/>
      <c r="KOX1" s="224"/>
      <c r="KOY1" s="224"/>
      <c r="KOZ1" s="224"/>
      <c r="KPA1" s="224"/>
      <c r="KPB1" s="224"/>
      <c r="KPC1" s="224"/>
      <c r="KPD1" s="224"/>
      <c r="KPE1" s="224"/>
      <c r="KPF1" s="224"/>
      <c r="KPG1" s="224"/>
      <c r="KPH1" s="224"/>
      <c r="KPI1" s="224"/>
      <c r="KPJ1" s="224"/>
      <c r="KPK1" s="224"/>
      <c r="KPL1" s="224"/>
      <c r="KPM1" s="224"/>
      <c r="KPN1" s="224"/>
      <c r="KPO1" s="224"/>
      <c r="KPP1" s="224"/>
      <c r="KPQ1" s="224"/>
      <c r="KPR1" s="224"/>
      <c r="KPS1" s="224"/>
      <c r="KPT1" s="224"/>
      <c r="KPU1" s="224"/>
      <c r="KPV1" s="224"/>
      <c r="KPW1" s="224"/>
      <c r="KPX1" s="224"/>
      <c r="KPY1" s="224"/>
      <c r="KPZ1" s="224"/>
      <c r="KQA1" s="224"/>
      <c r="KQB1" s="224"/>
      <c r="KQC1" s="224"/>
      <c r="KQD1" s="224"/>
      <c r="KQE1" s="224"/>
      <c r="KQF1" s="224"/>
      <c r="KQG1" s="224"/>
      <c r="KQH1" s="224"/>
      <c r="KQI1" s="224"/>
      <c r="KQJ1" s="224"/>
      <c r="KQK1" s="224"/>
      <c r="KQL1" s="224"/>
      <c r="KQM1" s="224"/>
      <c r="KQN1" s="224"/>
      <c r="KQO1" s="224"/>
      <c r="KQP1" s="224"/>
      <c r="KQQ1" s="224"/>
      <c r="KQR1" s="224"/>
      <c r="KQS1" s="224"/>
      <c r="KQT1" s="224"/>
      <c r="KQU1" s="224"/>
      <c r="KQV1" s="224"/>
      <c r="KQW1" s="224"/>
      <c r="KQX1" s="224"/>
      <c r="KQY1" s="224"/>
      <c r="KQZ1" s="224"/>
      <c r="KRA1" s="224"/>
      <c r="KRB1" s="224"/>
      <c r="KRC1" s="224"/>
      <c r="KRD1" s="224"/>
      <c r="KRE1" s="224"/>
      <c r="KRF1" s="224"/>
      <c r="KRG1" s="224"/>
      <c r="KRH1" s="224"/>
      <c r="KRI1" s="224"/>
      <c r="KRJ1" s="224"/>
      <c r="KRK1" s="224"/>
      <c r="KRL1" s="224"/>
      <c r="KRM1" s="224"/>
      <c r="KRN1" s="224"/>
      <c r="KRO1" s="224"/>
      <c r="KRP1" s="224"/>
      <c r="KRQ1" s="224"/>
      <c r="KRR1" s="224"/>
      <c r="KRS1" s="224"/>
      <c r="KRT1" s="224"/>
      <c r="KRU1" s="224"/>
      <c r="KRV1" s="224"/>
      <c r="KRW1" s="224"/>
      <c r="KRX1" s="224"/>
      <c r="KRY1" s="224"/>
      <c r="KRZ1" s="224"/>
      <c r="KSA1" s="224"/>
      <c r="KSB1" s="224"/>
      <c r="KSC1" s="224"/>
      <c r="KSD1" s="224"/>
      <c r="KSE1" s="224"/>
      <c r="KSF1" s="224"/>
      <c r="KSG1" s="224"/>
      <c r="KSH1" s="224"/>
      <c r="KSI1" s="224"/>
      <c r="KSJ1" s="224"/>
      <c r="KSK1" s="224"/>
      <c r="KSL1" s="224"/>
      <c r="KSM1" s="224"/>
      <c r="KSN1" s="224"/>
      <c r="KSO1" s="224"/>
      <c r="KSP1" s="224"/>
      <c r="KSQ1" s="224"/>
      <c r="KSR1" s="224"/>
      <c r="KSS1" s="224"/>
      <c r="KST1" s="224"/>
      <c r="KSU1" s="224"/>
      <c r="KSV1" s="224"/>
      <c r="KSW1" s="224"/>
      <c r="KSX1" s="224"/>
      <c r="KSY1" s="224"/>
      <c r="KSZ1" s="224"/>
      <c r="KTA1" s="224"/>
      <c r="KTB1" s="224"/>
      <c r="KTC1" s="224"/>
      <c r="KTD1" s="224"/>
      <c r="KTE1" s="224"/>
      <c r="KTF1" s="224"/>
      <c r="KTG1" s="224"/>
      <c r="KTH1" s="224"/>
      <c r="KTI1" s="224"/>
      <c r="KTJ1" s="224"/>
      <c r="KTK1" s="224"/>
      <c r="KTL1" s="224"/>
      <c r="KTM1" s="224"/>
      <c r="KTN1" s="224"/>
      <c r="KTO1" s="224"/>
      <c r="KTP1" s="224"/>
      <c r="KTQ1" s="224"/>
      <c r="KTR1" s="224"/>
      <c r="KTS1" s="224"/>
      <c r="KTT1" s="224"/>
      <c r="KTU1" s="224"/>
      <c r="KTV1" s="224"/>
      <c r="KTW1" s="224"/>
      <c r="KTX1" s="224"/>
      <c r="KTY1" s="224"/>
      <c r="KTZ1" s="224"/>
      <c r="KUA1" s="224"/>
      <c r="KUB1" s="224"/>
      <c r="KUC1" s="224"/>
      <c r="KUD1" s="224"/>
      <c r="KUE1" s="224"/>
      <c r="KUF1" s="224"/>
      <c r="KUG1" s="224"/>
      <c r="KUH1" s="224"/>
      <c r="KUI1" s="224"/>
      <c r="KUJ1" s="224"/>
      <c r="KUK1" s="224"/>
      <c r="KUL1" s="224"/>
      <c r="KUM1" s="224"/>
      <c r="KUN1" s="224"/>
      <c r="KUO1" s="224"/>
      <c r="KUP1" s="224"/>
      <c r="KUQ1" s="224"/>
      <c r="KUR1" s="224"/>
      <c r="KUS1" s="224"/>
      <c r="KUT1" s="224"/>
      <c r="KUU1" s="224"/>
      <c r="KUV1" s="224"/>
      <c r="KUW1" s="224"/>
      <c r="KUX1" s="224"/>
      <c r="KUY1" s="224"/>
      <c r="KUZ1" s="224"/>
      <c r="KVA1" s="224"/>
      <c r="KVB1" s="224"/>
      <c r="KVC1" s="224"/>
      <c r="KVD1" s="224"/>
      <c r="KVE1" s="224"/>
      <c r="KVF1" s="224"/>
      <c r="KVG1" s="224"/>
      <c r="KVH1" s="224"/>
      <c r="KVI1" s="224"/>
      <c r="KVJ1" s="224"/>
      <c r="KVK1" s="224"/>
      <c r="KVL1" s="224"/>
      <c r="KVM1" s="224"/>
      <c r="KVN1" s="224"/>
      <c r="KVO1" s="224"/>
      <c r="KVP1" s="224"/>
      <c r="KVQ1" s="224"/>
      <c r="KVR1" s="224"/>
      <c r="KVS1" s="224"/>
      <c r="KVT1" s="224"/>
      <c r="KVU1" s="224"/>
      <c r="KVV1" s="224"/>
      <c r="KVW1" s="224"/>
      <c r="KVX1" s="224"/>
      <c r="KVY1" s="224"/>
      <c r="KVZ1" s="224"/>
      <c r="KWA1" s="224"/>
      <c r="KWB1" s="224"/>
      <c r="KWC1" s="224"/>
      <c r="KWD1" s="224"/>
      <c r="KWE1" s="224"/>
      <c r="KWF1" s="224"/>
      <c r="KWG1" s="224"/>
      <c r="KWH1" s="224"/>
      <c r="KWI1" s="224"/>
      <c r="KWJ1" s="224"/>
      <c r="KWK1" s="224"/>
      <c r="KWL1" s="224"/>
      <c r="KWM1" s="224"/>
      <c r="KWN1" s="224"/>
      <c r="KWO1" s="224"/>
      <c r="KWP1" s="224"/>
      <c r="KWQ1" s="224"/>
      <c r="KWR1" s="224"/>
      <c r="KWS1" s="224"/>
      <c r="KWT1" s="224"/>
      <c r="KWU1" s="224"/>
      <c r="KWV1" s="224"/>
      <c r="KWW1" s="224"/>
      <c r="KWX1" s="224"/>
      <c r="KWY1" s="224"/>
      <c r="KWZ1" s="224"/>
      <c r="KXA1" s="224"/>
      <c r="KXB1" s="224"/>
      <c r="KXC1" s="224"/>
      <c r="KXD1" s="224"/>
      <c r="KXE1" s="224"/>
      <c r="KXF1" s="224"/>
      <c r="KXG1" s="224"/>
      <c r="KXH1" s="224"/>
      <c r="KXI1" s="224"/>
      <c r="KXJ1" s="224"/>
      <c r="KXK1" s="224"/>
      <c r="KXL1" s="224"/>
      <c r="KXM1" s="224"/>
      <c r="KXN1" s="224"/>
      <c r="KXO1" s="224"/>
      <c r="KXP1" s="224"/>
      <c r="KXQ1" s="224"/>
      <c r="KXR1" s="224"/>
      <c r="KXS1" s="224"/>
      <c r="KXT1" s="224"/>
      <c r="KXU1" s="224"/>
      <c r="KXV1" s="224"/>
      <c r="KXW1" s="224"/>
      <c r="KXX1" s="224"/>
      <c r="KXY1" s="224"/>
      <c r="KXZ1" s="224"/>
      <c r="KYA1" s="224"/>
      <c r="KYB1" s="224"/>
      <c r="KYC1" s="224"/>
      <c r="KYD1" s="224"/>
      <c r="KYE1" s="224"/>
      <c r="KYF1" s="224"/>
      <c r="KYG1" s="224"/>
      <c r="KYH1" s="224"/>
      <c r="KYI1" s="224"/>
      <c r="KYJ1" s="224"/>
      <c r="KYK1" s="224"/>
      <c r="KYL1" s="224"/>
      <c r="KYM1" s="224"/>
      <c r="KYN1" s="224"/>
      <c r="KYO1" s="224"/>
      <c r="KYP1" s="224"/>
      <c r="KYQ1" s="224"/>
      <c r="KYR1" s="224"/>
      <c r="KYS1" s="224"/>
      <c r="KYT1" s="224"/>
      <c r="KYU1" s="224"/>
      <c r="KYV1" s="224"/>
      <c r="KYW1" s="224"/>
      <c r="KYX1" s="224"/>
      <c r="KYY1" s="224"/>
      <c r="KYZ1" s="224"/>
      <c r="KZA1" s="224"/>
      <c r="KZB1" s="224"/>
      <c r="KZC1" s="224"/>
      <c r="KZD1" s="224"/>
      <c r="KZE1" s="224"/>
      <c r="KZF1" s="224"/>
      <c r="KZG1" s="224"/>
      <c r="KZH1" s="224"/>
      <c r="KZI1" s="224"/>
      <c r="KZJ1" s="224"/>
      <c r="KZK1" s="224"/>
      <c r="KZL1" s="224"/>
      <c r="KZM1" s="224"/>
      <c r="KZN1" s="224"/>
      <c r="KZO1" s="224"/>
      <c r="KZP1" s="224"/>
      <c r="KZQ1" s="224"/>
      <c r="KZR1" s="224"/>
      <c r="KZS1" s="224"/>
      <c r="KZT1" s="224"/>
      <c r="KZU1" s="224"/>
      <c r="KZV1" s="224"/>
      <c r="KZW1" s="224"/>
      <c r="KZX1" s="224"/>
      <c r="KZY1" s="224"/>
      <c r="KZZ1" s="224"/>
      <c r="LAA1" s="224"/>
      <c r="LAB1" s="224"/>
      <c r="LAC1" s="224"/>
      <c r="LAD1" s="224"/>
      <c r="LAE1" s="224"/>
      <c r="LAF1" s="224"/>
      <c r="LAG1" s="224"/>
      <c r="LAH1" s="224"/>
      <c r="LAI1" s="224"/>
      <c r="LAJ1" s="224"/>
      <c r="LAK1" s="224"/>
      <c r="LAL1" s="224"/>
      <c r="LAM1" s="224"/>
      <c r="LAN1" s="224"/>
      <c r="LAO1" s="224"/>
      <c r="LAP1" s="224"/>
      <c r="LAQ1" s="224"/>
      <c r="LAR1" s="224"/>
      <c r="LAS1" s="224"/>
      <c r="LAT1" s="224"/>
      <c r="LAU1" s="224"/>
      <c r="LAV1" s="224"/>
      <c r="LAW1" s="224"/>
      <c r="LAX1" s="224"/>
      <c r="LAY1" s="224"/>
      <c r="LAZ1" s="224"/>
      <c r="LBA1" s="224"/>
      <c r="LBB1" s="224"/>
      <c r="LBC1" s="224"/>
      <c r="LBD1" s="224"/>
      <c r="LBE1" s="224"/>
      <c r="LBF1" s="224"/>
      <c r="LBG1" s="224"/>
      <c r="LBH1" s="224"/>
      <c r="LBI1" s="224"/>
      <c r="LBJ1" s="224"/>
      <c r="LBK1" s="224"/>
      <c r="LBL1" s="224"/>
      <c r="LBM1" s="224"/>
      <c r="LBN1" s="224"/>
      <c r="LBO1" s="224"/>
      <c r="LBP1" s="224"/>
      <c r="LBQ1" s="224"/>
      <c r="LBR1" s="224"/>
      <c r="LBS1" s="224"/>
      <c r="LBT1" s="224"/>
      <c r="LBU1" s="224"/>
      <c r="LBV1" s="224"/>
      <c r="LBW1" s="224"/>
      <c r="LBX1" s="224"/>
      <c r="LBY1" s="224"/>
      <c r="LBZ1" s="224"/>
      <c r="LCA1" s="224"/>
      <c r="LCB1" s="224"/>
      <c r="LCC1" s="224"/>
      <c r="LCD1" s="224"/>
      <c r="LCE1" s="224"/>
      <c r="LCF1" s="224"/>
      <c r="LCG1" s="224"/>
      <c r="LCH1" s="224"/>
      <c r="LCI1" s="224"/>
      <c r="LCJ1" s="224"/>
      <c r="LCK1" s="224"/>
      <c r="LCL1" s="224"/>
      <c r="LCM1" s="224"/>
      <c r="LCN1" s="224"/>
      <c r="LCO1" s="224"/>
      <c r="LCP1" s="224"/>
      <c r="LCQ1" s="224"/>
      <c r="LCR1" s="224"/>
      <c r="LCS1" s="224"/>
      <c r="LCT1" s="224"/>
      <c r="LCU1" s="224"/>
      <c r="LCV1" s="224"/>
      <c r="LCW1" s="224"/>
      <c r="LCX1" s="224"/>
      <c r="LCY1" s="224"/>
      <c r="LCZ1" s="224"/>
      <c r="LDA1" s="224"/>
      <c r="LDB1" s="224"/>
      <c r="LDC1" s="224"/>
      <c r="LDD1" s="224"/>
      <c r="LDE1" s="224"/>
      <c r="LDF1" s="224"/>
      <c r="LDG1" s="224"/>
      <c r="LDH1" s="224"/>
      <c r="LDI1" s="224"/>
      <c r="LDJ1" s="224"/>
      <c r="LDK1" s="224"/>
      <c r="LDL1" s="224"/>
      <c r="LDM1" s="224"/>
      <c r="LDN1" s="224"/>
      <c r="LDO1" s="224"/>
      <c r="LDP1" s="224"/>
      <c r="LDQ1" s="224"/>
      <c r="LDR1" s="224"/>
      <c r="LDS1" s="224"/>
      <c r="LDT1" s="224"/>
      <c r="LDU1" s="224"/>
      <c r="LDV1" s="224"/>
      <c r="LDW1" s="224"/>
      <c r="LDX1" s="224"/>
      <c r="LDY1" s="224"/>
      <c r="LDZ1" s="224"/>
      <c r="LEA1" s="224"/>
      <c r="LEB1" s="224"/>
      <c r="LEC1" s="224"/>
      <c r="LED1" s="224"/>
      <c r="LEE1" s="224"/>
      <c r="LEF1" s="224"/>
      <c r="LEG1" s="224"/>
      <c r="LEH1" s="224"/>
      <c r="LEI1" s="224"/>
      <c r="LEJ1" s="224"/>
      <c r="LEK1" s="224"/>
      <c r="LEL1" s="224"/>
      <c r="LEM1" s="224"/>
      <c r="LEN1" s="224"/>
      <c r="LEO1" s="224"/>
      <c r="LEP1" s="224"/>
      <c r="LEQ1" s="224"/>
      <c r="LER1" s="224"/>
      <c r="LES1" s="224"/>
      <c r="LET1" s="224"/>
      <c r="LEU1" s="224"/>
      <c r="LEV1" s="224"/>
      <c r="LEW1" s="224"/>
      <c r="LEX1" s="224"/>
      <c r="LEY1" s="224"/>
      <c r="LEZ1" s="224"/>
      <c r="LFA1" s="224"/>
      <c r="LFB1" s="224"/>
      <c r="LFC1" s="224"/>
      <c r="LFD1" s="224"/>
      <c r="LFE1" s="224"/>
      <c r="LFF1" s="224"/>
      <c r="LFG1" s="224"/>
      <c r="LFH1" s="224"/>
      <c r="LFI1" s="224"/>
      <c r="LFJ1" s="224"/>
      <c r="LFK1" s="224"/>
      <c r="LFL1" s="224"/>
      <c r="LFM1" s="224"/>
      <c r="LFN1" s="224"/>
      <c r="LFO1" s="224"/>
      <c r="LFP1" s="224"/>
      <c r="LFQ1" s="224"/>
      <c r="LFR1" s="224"/>
      <c r="LFS1" s="224"/>
      <c r="LFT1" s="224"/>
      <c r="LFU1" s="224"/>
      <c r="LFV1" s="224"/>
      <c r="LFW1" s="224"/>
      <c r="LFX1" s="224"/>
      <c r="LFY1" s="224"/>
      <c r="LFZ1" s="224"/>
      <c r="LGA1" s="224"/>
      <c r="LGB1" s="224"/>
      <c r="LGC1" s="224"/>
      <c r="LGD1" s="224"/>
      <c r="LGE1" s="224"/>
      <c r="LGF1" s="224"/>
      <c r="LGG1" s="224"/>
      <c r="LGH1" s="224"/>
      <c r="LGI1" s="224"/>
      <c r="LGJ1" s="224"/>
      <c r="LGK1" s="224"/>
      <c r="LGL1" s="224"/>
      <c r="LGM1" s="224"/>
      <c r="LGN1" s="224"/>
      <c r="LGO1" s="224"/>
      <c r="LGP1" s="224"/>
      <c r="LGQ1" s="224"/>
      <c r="LGR1" s="224"/>
      <c r="LGS1" s="224"/>
      <c r="LGT1" s="224"/>
      <c r="LGU1" s="224"/>
      <c r="LGV1" s="224"/>
      <c r="LGW1" s="224"/>
      <c r="LGX1" s="224"/>
      <c r="LGY1" s="224"/>
      <c r="LGZ1" s="224"/>
      <c r="LHA1" s="224"/>
      <c r="LHB1" s="224"/>
      <c r="LHC1" s="224"/>
      <c r="LHD1" s="224"/>
      <c r="LHE1" s="224"/>
      <c r="LHF1" s="224"/>
      <c r="LHG1" s="224"/>
      <c r="LHH1" s="224"/>
      <c r="LHI1" s="224"/>
      <c r="LHJ1" s="224"/>
      <c r="LHK1" s="224"/>
      <c r="LHL1" s="224"/>
      <c r="LHM1" s="224"/>
      <c r="LHN1" s="224"/>
      <c r="LHO1" s="224"/>
      <c r="LHP1" s="224"/>
      <c r="LHQ1" s="224"/>
      <c r="LHR1" s="224"/>
      <c r="LHS1" s="224"/>
      <c r="LHT1" s="224"/>
      <c r="LHU1" s="224"/>
      <c r="LHV1" s="224"/>
      <c r="LHW1" s="224"/>
      <c r="LHX1" s="224"/>
      <c r="LHY1" s="224"/>
      <c r="LHZ1" s="224"/>
      <c r="LIA1" s="224"/>
      <c r="LIB1" s="224"/>
      <c r="LIC1" s="224"/>
      <c r="LID1" s="224"/>
      <c r="LIE1" s="224"/>
      <c r="LIF1" s="224"/>
      <c r="LIG1" s="224"/>
      <c r="LIH1" s="224"/>
      <c r="LII1" s="224"/>
      <c r="LIJ1" s="224"/>
      <c r="LIK1" s="224"/>
      <c r="LIL1" s="224"/>
      <c r="LIM1" s="224"/>
      <c r="LIN1" s="224"/>
      <c r="LIO1" s="224"/>
      <c r="LIP1" s="224"/>
      <c r="LIQ1" s="224"/>
      <c r="LIR1" s="224"/>
      <c r="LIS1" s="224"/>
      <c r="LIT1" s="224"/>
      <c r="LIU1" s="224"/>
      <c r="LIV1" s="224"/>
      <c r="LIW1" s="224"/>
      <c r="LIX1" s="224"/>
      <c r="LIY1" s="224"/>
      <c r="LIZ1" s="224"/>
      <c r="LJA1" s="224"/>
      <c r="LJB1" s="224"/>
      <c r="LJC1" s="224"/>
      <c r="LJD1" s="224"/>
      <c r="LJE1" s="224"/>
      <c r="LJF1" s="224"/>
      <c r="LJG1" s="224"/>
      <c r="LJH1" s="224"/>
      <c r="LJI1" s="224"/>
      <c r="LJJ1" s="224"/>
      <c r="LJK1" s="224"/>
      <c r="LJL1" s="224"/>
      <c r="LJM1" s="224"/>
      <c r="LJN1" s="224"/>
      <c r="LJO1" s="224"/>
      <c r="LJP1" s="224"/>
      <c r="LJQ1" s="224"/>
      <c r="LJR1" s="224"/>
      <c r="LJS1" s="224"/>
      <c r="LJT1" s="224"/>
      <c r="LJU1" s="224"/>
      <c r="LJV1" s="224"/>
      <c r="LJW1" s="224"/>
      <c r="LJX1" s="224"/>
      <c r="LJY1" s="224"/>
      <c r="LJZ1" s="224"/>
      <c r="LKA1" s="224"/>
      <c r="LKB1" s="224"/>
      <c r="LKC1" s="224"/>
      <c r="LKD1" s="224"/>
      <c r="LKE1" s="224"/>
      <c r="LKF1" s="224"/>
      <c r="LKG1" s="224"/>
      <c r="LKH1" s="224"/>
      <c r="LKI1" s="224"/>
      <c r="LKJ1" s="224"/>
      <c r="LKK1" s="224"/>
      <c r="LKL1" s="224"/>
      <c r="LKM1" s="224"/>
      <c r="LKN1" s="224"/>
      <c r="LKO1" s="224"/>
      <c r="LKP1" s="224"/>
      <c r="LKQ1" s="224"/>
      <c r="LKR1" s="224"/>
      <c r="LKS1" s="224"/>
      <c r="LKT1" s="224"/>
      <c r="LKU1" s="224"/>
      <c r="LKV1" s="224"/>
      <c r="LKW1" s="224"/>
      <c r="LKX1" s="224"/>
      <c r="LKY1" s="224"/>
      <c r="LKZ1" s="224"/>
      <c r="LLA1" s="224"/>
      <c r="LLB1" s="224"/>
      <c r="LLC1" s="224"/>
      <c r="LLD1" s="224"/>
      <c r="LLE1" s="224"/>
      <c r="LLF1" s="224"/>
      <c r="LLG1" s="224"/>
      <c r="LLH1" s="224"/>
      <c r="LLI1" s="224"/>
      <c r="LLJ1" s="224"/>
      <c r="LLK1" s="224"/>
      <c r="LLL1" s="224"/>
      <c r="LLM1" s="224"/>
      <c r="LLN1" s="224"/>
      <c r="LLO1" s="224"/>
      <c r="LLP1" s="224"/>
      <c r="LLQ1" s="224"/>
      <c r="LLR1" s="224"/>
      <c r="LLS1" s="224"/>
      <c r="LLT1" s="224"/>
      <c r="LLU1" s="224"/>
      <c r="LLV1" s="224"/>
      <c r="LLW1" s="224"/>
      <c r="LLX1" s="224"/>
      <c r="LLY1" s="224"/>
      <c r="LLZ1" s="224"/>
      <c r="LMA1" s="224"/>
      <c r="LMB1" s="224"/>
      <c r="LMC1" s="224"/>
      <c r="LMD1" s="224"/>
      <c r="LME1" s="224"/>
      <c r="LMF1" s="224"/>
      <c r="LMG1" s="224"/>
      <c r="LMH1" s="224"/>
      <c r="LMI1" s="224"/>
      <c r="LMJ1" s="224"/>
      <c r="LMK1" s="224"/>
      <c r="LML1" s="224"/>
      <c r="LMM1" s="224"/>
      <c r="LMN1" s="224"/>
      <c r="LMO1" s="224"/>
      <c r="LMP1" s="224"/>
      <c r="LMQ1" s="224"/>
      <c r="LMR1" s="224"/>
      <c r="LMS1" s="224"/>
      <c r="LMT1" s="224"/>
      <c r="LMU1" s="224"/>
      <c r="LMV1" s="224"/>
      <c r="LMW1" s="224"/>
      <c r="LMX1" s="224"/>
      <c r="LMY1" s="224"/>
      <c r="LMZ1" s="224"/>
      <c r="LNA1" s="224"/>
      <c r="LNB1" s="224"/>
      <c r="LNC1" s="224"/>
      <c r="LND1" s="224"/>
      <c r="LNE1" s="224"/>
      <c r="LNF1" s="224"/>
      <c r="LNG1" s="224"/>
      <c r="LNH1" s="224"/>
      <c r="LNI1" s="224"/>
      <c r="LNJ1" s="224"/>
      <c r="LNK1" s="224"/>
      <c r="LNL1" s="224"/>
      <c r="LNM1" s="224"/>
      <c r="LNN1" s="224"/>
      <c r="LNO1" s="224"/>
      <c r="LNP1" s="224"/>
      <c r="LNQ1" s="224"/>
      <c r="LNR1" s="224"/>
      <c r="LNS1" s="224"/>
      <c r="LNT1" s="224"/>
      <c r="LNU1" s="224"/>
      <c r="LNV1" s="224"/>
      <c r="LNW1" s="224"/>
      <c r="LNX1" s="224"/>
      <c r="LNY1" s="224"/>
      <c r="LNZ1" s="224"/>
      <c r="LOA1" s="224"/>
      <c r="LOB1" s="224"/>
      <c r="LOC1" s="224"/>
      <c r="LOD1" s="224"/>
      <c r="LOE1" s="224"/>
      <c r="LOF1" s="224"/>
      <c r="LOG1" s="224"/>
      <c r="LOH1" s="224"/>
      <c r="LOI1" s="224"/>
      <c r="LOJ1" s="224"/>
      <c r="LOK1" s="224"/>
      <c r="LOL1" s="224"/>
      <c r="LOM1" s="224"/>
      <c r="LON1" s="224"/>
      <c r="LOO1" s="224"/>
      <c r="LOP1" s="224"/>
      <c r="LOQ1" s="224"/>
      <c r="LOR1" s="224"/>
      <c r="LOS1" s="224"/>
      <c r="LOT1" s="224"/>
      <c r="LOU1" s="224"/>
      <c r="LOV1" s="224"/>
      <c r="LOW1" s="224"/>
      <c r="LOX1" s="224"/>
      <c r="LOY1" s="224"/>
      <c r="LOZ1" s="224"/>
      <c r="LPA1" s="224"/>
      <c r="LPB1" s="224"/>
      <c r="LPC1" s="224"/>
      <c r="LPD1" s="224"/>
      <c r="LPE1" s="224"/>
      <c r="LPF1" s="224"/>
      <c r="LPG1" s="224"/>
      <c r="LPH1" s="224"/>
      <c r="LPI1" s="224"/>
      <c r="LPJ1" s="224"/>
      <c r="LPK1" s="224"/>
      <c r="LPL1" s="224"/>
      <c r="LPM1" s="224"/>
      <c r="LPN1" s="224"/>
      <c r="LPO1" s="224"/>
      <c r="LPP1" s="224"/>
      <c r="LPQ1" s="224"/>
      <c r="LPR1" s="224"/>
      <c r="LPS1" s="224"/>
      <c r="LPT1" s="224"/>
      <c r="LPU1" s="224"/>
      <c r="LPV1" s="224"/>
      <c r="LPW1" s="224"/>
      <c r="LPX1" s="224"/>
      <c r="LPY1" s="224"/>
      <c r="LPZ1" s="224"/>
      <c r="LQA1" s="224"/>
      <c r="LQB1" s="224"/>
      <c r="LQC1" s="224"/>
      <c r="LQD1" s="224"/>
      <c r="LQE1" s="224"/>
      <c r="LQF1" s="224"/>
      <c r="LQG1" s="224"/>
      <c r="LQH1" s="224"/>
      <c r="LQI1" s="224"/>
      <c r="LQJ1" s="224"/>
      <c r="LQK1" s="224"/>
      <c r="LQL1" s="224"/>
      <c r="LQM1" s="224"/>
      <c r="LQN1" s="224"/>
      <c r="LQO1" s="224"/>
      <c r="LQP1" s="224"/>
      <c r="LQQ1" s="224"/>
      <c r="LQR1" s="224"/>
      <c r="LQS1" s="224"/>
      <c r="LQT1" s="224"/>
      <c r="LQU1" s="224"/>
      <c r="LQV1" s="224"/>
      <c r="LQW1" s="224"/>
      <c r="LQX1" s="224"/>
      <c r="LQY1" s="224"/>
      <c r="LQZ1" s="224"/>
      <c r="LRA1" s="224"/>
      <c r="LRB1" s="224"/>
      <c r="LRC1" s="224"/>
      <c r="LRD1" s="224"/>
      <c r="LRE1" s="224"/>
      <c r="LRF1" s="224"/>
      <c r="LRG1" s="224"/>
      <c r="LRH1" s="224"/>
      <c r="LRI1" s="224"/>
      <c r="LRJ1" s="224"/>
      <c r="LRK1" s="224"/>
      <c r="LRL1" s="224"/>
      <c r="LRM1" s="224"/>
      <c r="LRN1" s="224"/>
      <c r="LRO1" s="224"/>
      <c r="LRP1" s="224"/>
      <c r="LRQ1" s="224"/>
      <c r="LRR1" s="224"/>
      <c r="LRS1" s="224"/>
      <c r="LRT1" s="224"/>
      <c r="LRU1" s="224"/>
      <c r="LRV1" s="224"/>
      <c r="LRW1" s="224"/>
      <c r="LRX1" s="224"/>
      <c r="LRY1" s="224"/>
      <c r="LRZ1" s="224"/>
      <c r="LSA1" s="224"/>
      <c r="LSB1" s="224"/>
      <c r="LSC1" s="224"/>
      <c r="LSD1" s="224"/>
      <c r="LSE1" s="224"/>
      <c r="LSF1" s="224"/>
      <c r="LSG1" s="224"/>
      <c r="LSH1" s="224"/>
      <c r="LSI1" s="224"/>
      <c r="LSJ1" s="224"/>
      <c r="LSK1" s="224"/>
      <c r="LSL1" s="224"/>
      <c r="LSM1" s="224"/>
      <c r="LSN1" s="224"/>
      <c r="LSO1" s="224"/>
      <c r="LSP1" s="224"/>
      <c r="LSQ1" s="224"/>
      <c r="LSR1" s="224"/>
      <c r="LSS1" s="224"/>
      <c r="LST1" s="224"/>
      <c r="LSU1" s="224"/>
      <c r="LSV1" s="224"/>
      <c r="LSW1" s="224"/>
      <c r="LSX1" s="224"/>
      <c r="LSY1" s="224"/>
      <c r="LSZ1" s="224"/>
      <c r="LTA1" s="224"/>
      <c r="LTB1" s="224"/>
      <c r="LTC1" s="224"/>
      <c r="LTD1" s="224"/>
      <c r="LTE1" s="224"/>
      <c r="LTF1" s="224"/>
      <c r="LTG1" s="224"/>
      <c r="LTH1" s="224"/>
      <c r="LTI1" s="224"/>
      <c r="LTJ1" s="224"/>
      <c r="LTK1" s="224"/>
      <c r="LTL1" s="224"/>
      <c r="LTM1" s="224"/>
      <c r="LTN1" s="224"/>
      <c r="LTO1" s="224"/>
      <c r="LTP1" s="224"/>
      <c r="LTQ1" s="224"/>
      <c r="LTR1" s="224"/>
      <c r="LTS1" s="224"/>
      <c r="LTT1" s="224"/>
      <c r="LTU1" s="224"/>
      <c r="LTV1" s="224"/>
      <c r="LTW1" s="224"/>
      <c r="LTX1" s="224"/>
      <c r="LTY1" s="224"/>
      <c r="LTZ1" s="224"/>
      <c r="LUA1" s="224"/>
      <c r="LUB1" s="224"/>
      <c r="LUC1" s="224"/>
      <c r="LUD1" s="224"/>
      <c r="LUE1" s="224"/>
      <c r="LUF1" s="224"/>
      <c r="LUG1" s="224"/>
      <c r="LUH1" s="224"/>
      <c r="LUI1" s="224"/>
      <c r="LUJ1" s="224"/>
      <c r="LUK1" s="224"/>
      <c r="LUL1" s="224"/>
      <c r="LUM1" s="224"/>
      <c r="LUN1" s="224"/>
      <c r="LUO1" s="224"/>
      <c r="LUP1" s="224"/>
      <c r="LUQ1" s="224"/>
      <c r="LUR1" s="224"/>
      <c r="LUS1" s="224"/>
      <c r="LUT1" s="224"/>
      <c r="LUU1" s="224"/>
      <c r="LUV1" s="224"/>
      <c r="LUW1" s="224"/>
      <c r="LUX1" s="224"/>
      <c r="LUY1" s="224"/>
      <c r="LUZ1" s="224"/>
      <c r="LVA1" s="224"/>
      <c r="LVB1" s="224"/>
      <c r="LVC1" s="224"/>
      <c r="LVD1" s="224"/>
      <c r="LVE1" s="224"/>
      <c r="LVF1" s="224"/>
      <c r="LVG1" s="224"/>
      <c r="LVH1" s="224"/>
      <c r="LVI1" s="224"/>
      <c r="LVJ1" s="224"/>
      <c r="LVK1" s="224"/>
      <c r="LVL1" s="224"/>
      <c r="LVM1" s="224"/>
      <c r="LVN1" s="224"/>
      <c r="LVO1" s="224"/>
      <c r="LVP1" s="224"/>
      <c r="LVQ1" s="224"/>
      <c r="LVR1" s="224"/>
      <c r="LVS1" s="224"/>
      <c r="LVT1" s="224"/>
      <c r="LVU1" s="224"/>
      <c r="LVV1" s="224"/>
      <c r="LVW1" s="224"/>
      <c r="LVX1" s="224"/>
      <c r="LVY1" s="224"/>
      <c r="LVZ1" s="224"/>
      <c r="LWA1" s="224"/>
      <c r="LWB1" s="224"/>
      <c r="LWC1" s="224"/>
      <c r="LWD1" s="224"/>
      <c r="LWE1" s="224"/>
      <c r="LWF1" s="224"/>
      <c r="LWG1" s="224"/>
      <c r="LWH1" s="224"/>
      <c r="LWI1" s="224"/>
      <c r="LWJ1" s="224"/>
      <c r="LWK1" s="224"/>
      <c r="LWL1" s="224"/>
      <c r="LWM1" s="224"/>
      <c r="LWN1" s="224"/>
      <c r="LWO1" s="224"/>
      <c r="LWP1" s="224"/>
      <c r="LWQ1" s="224"/>
      <c r="LWR1" s="224"/>
      <c r="LWS1" s="224"/>
      <c r="LWT1" s="224"/>
      <c r="LWU1" s="224"/>
      <c r="LWV1" s="224"/>
      <c r="LWW1" s="224"/>
      <c r="LWX1" s="224"/>
      <c r="LWY1" s="224"/>
      <c r="LWZ1" s="224"/>
      <c r="LXA1" s="224"/>
      <c r="LXB1" s="224"/>
      <c r="LXC1" s="224"/>
      <c r="LXD1" s="224"/>
      <c r="LXE1" s="224"/>
      <c r="LXF1" s="224"/>
      <c r="LXG1" s="224"/>
      <c r="LXH1" s="224"/>
      <c r="LXI1" s="224"/>
      <c r="LXJ1" s="224"/>
      <c r="LXK1" s="224"/>
      <c r="LXL1" s="224"/>
      <c r="LXM1" s="224"/>
      <c r="LXN1" s="224"/>
      <c r="LXO1" s="224"/>
      <c r="LXP1" s="224"/>
      <c r="LXQ1" s="224"/>
      <c r="LXR1" s="224"/>
      <c r="LXS1" s="224"/>
      <c r="LXT1" s="224"/>
      <c r="LXU1" s="224"/>
      <c r="LXV1" s="224"/>
      <c r="LXW1" s="224"/>
      <c r="LXX1" s="224"/>
      <c r="LXY1" s="224"/>
      <c r="LXZ1" s="224"/>
      <c r="LYA1" s="224"/>
      <c r="LYB1" s="224"/>
      <c r="LYC1" s="224"/>
      <c r="LYD1" s="224"/>
      <c r="LYE1" s="224"/>
      <c r="LYF1" s="224"/>
      <c r="LYG1" s="224"/>
      <c r="LYH1" s="224"/>
      <c r="LYI1" s="224"/>
      <c r="LYJ1" s="224"/>
      <c r="LYK1" s="224"/>
      <c r="LYL1" s="224"/>
      <c r="LYM1" s="224"/>
      <c r="LYN1" s="224"/>
      <c r="LYO1" s="224"/>
      <c r="LYP1" s="224"/>
      <c r="LYQ1" s="224"/>
      <c r="LYR1" s="224"/>
      <c r="LYS1" s="224"/>
      <c r="LYT1" s="224"/>
      <c r="LYU1" s="224"/>
      <c r="LYV1" s="224"/>
      <c r="LYW1" s="224"/>
      <c r="LYX1" s="224"/>
      <c r="LYY1" s="224"/>
      <c r="LYZ1" s="224"/>
      <c r="LZA1" s="224"/>
      <c r="LZB1" s="224"/>
      <c r="LZC1" s="224"/>
      <c r="LZD1" s="224"/>
      <c r="LZE1" s="224"/>
      <c r="LZF1" s="224"/>
      <c r="LZG1" s="224"/>
      <c r="LZH1" s="224"/>
      <c r="LZI1" s="224"/>
      <c r="LZJ1" s="224"/>
      <c r="LZK1" s="224"/>
      <c r="LZL1" s="224"/>
      <c r="LZM1" s="224"/>
      <c r="LZN1" s="224"/>
      <c r="LZO1" s="224"/>
      <c r="LZP1" s="224"/>
      <c r="LZQ1" s="224"/>
      <c r="LZR1" s="224"/>
      <c r="LZS1" s="224"/>
      <c r="LZT1" s="224"/>
      <c r="LZU1" s="224"/>
      <c r="LZV1" s="224"/>
      <c r="LZW1" s="224"/>
      <c r="LZX1" s="224"/>
      <c r="LZY1" s="224"/>
      <c r="LZZ1" s="224"/>
      <c r="MAA1" s="224"/>
      <c r="MAB1" s="224"/>
      <c r="MAC1" s="224"/>
      <c r="MAD1" s="224"/>
      <c r="MAE1" s="224"/>
      <c r="MAF1" s="224"/>
      <c r="MAG1" s="224"/>
      <c r="MAH1" s="224"/>
      <c r="MAI1" s="224"/>
      <c r="MAJ1" s="224"/>
      <c r="MAK1" s="224"/>
      <c r="MAL1" s="224"/>
      <c r="MAM1" s="224"/>
      <c r="MAN1" s="224"/>
      <c r="MAO1" s="224"/>
      <c r="MAP1" s="224"/>
      <c r="MAQ1" s="224"/>
      <c r="MAR1" s="224"/>
      <c r="MAS1" s="224"/>
      <c r="MAT1" s="224"/>
      <c r="MAU1" s="224"/>
      <c r="MAV1" s="224"/>
      <c r="MAW1" s="224"/>
      <c r="MAX1" s="224"/>
      <c r="MAY1" s="224"/>
      <c r="MAZ1" s="224"/>
      <c r="MBA1" s="224"/>
      <c r="MBB1" s="224"/>
      <c r="MBC1" s="224"/>
      <c r="MBD1" s="224"/>
      <c r="MBE1" s="224"/>
      <c r="MBF1" s="224"/>
      <c r="MBG1" s="224"/>
      <c r="MBH1" s="224"/>
      <c r="MBI1" s="224"/>
      <c r="MBJ1" s="224"/>
      <c r="MBK1" s="224"/>
      <c r="MBL1" s="224"/>
      <c r="MBM1" s="224"/>
      <c r="MBN1" s="224"/>
      <c r="MBO1" s="224"/>
      <c r="MBP1" s="224"/>
      <c r="MBQ1" s="224"/>
      <c r="MBR1" s="224"/>
      <c r="MBS1" s="224"/>
      <c r="MBT1" s="224"/>
      <c r="MBU1" s="224"/>
      <c r="MBV1" s="224"/>
      <c r="MBW1" s="224"/>
      <c r="MBX1" s="224"/>
      <c r="MBY1" s="224"/>
      <c r="MBZ1" s="224"/>
      <c r="MCA1" s="224"/>
      <c r="MCB1" s="224"/>
      <c r="MCC1" s="224"/>
      <c r="MCD1" s="224"/>
      <c r="MCE1" s="224"/>
      <c r="MCF1" s="224"/>
      <c r="MCG1" s="224"/>
      <c r="MCH1" s="224"/>
      <c r="MCI1" s="224"/>
      <c r="MCJ1" s="224"/>
      <c r="MCK1" s="224"/>
      <c r="MCL1" s="224"/>
      <c r="MCM1" s="224"/>
      <c r="MCN1" s="224"/>
      <c r="MCO1" s="224"/>
      <c r="MCP1" s="224"/>
      <c r="MCQ1" s="224"/>
      <c r="MCR1" s="224"/>
      <c r="MCS1" s="224"/>
      <c r="MCT1" s="224"/>
      <c r="MCU1" s="224"/>
      <c r="MCV1" s="224"/>
      <c r="MCW1" s="224"/>
      <c r="MCX1" s="224"/>
      <c r="MCY1" s="224"/>
      <c r="MCZ1" s="224"/>
      <c r="MDA1" s="224"/>
      <c r="MDB1" s="224"/>
      <c r="MDC1" s="224"/>
      <c r="MDD1" s="224"/>
      <c r="MDE1" s="224"/>
      <c r="MDF1" s="224"/>
      <c r="MDG1" s="224"/>
      <c r="MDH1" s="224"/>
      <c r="MDI1" s="224"/>
      <c r="MDJ1" s="224"/>
      <c r="MDK1" s="224"/>
      <c r="MDL1" s="224"/>
      <c r="MDM1" s="224"/>
      <c r="MDN1" s="224"/>
      <c r="MDO1" s="224"/>
      <c r="MDP1" s="224"/>
      <c r="MDQ1" s="224"/>
      <c r="MDR1" s="224"/>
      <c r="MDS1" s="224"/>
      <c r="MDT1" s="224"/>
      <c r="MDU1" s="224"/>
      <c r="MDV1" s="224"/>
      <c r="MDW1" s="224"/>
      <c r="MDX1" s="224"/>
      <c r="MDY1" s="224"/>
      <c r="MDZ1" s="224"/>
      <c r="MEA1" s="224"/>
      <c r="MEB1" s="224"/>
      <c r="MEC1" s="224"/>
      <c r="MED1" s="224"/>
      <c r="MEE1" s="224"/>
      <c r="MEF1" s="224"/>
      <c r="MEG1" s="224"/>
      <c r="MEH1" s="224"/>
      <c r="MEI1" s="224"/>
      <c r="MEJ1" s="224"/>
      <c r="MEK1" s="224"/>
      <c r="MEL1" s="224"/>
      <c r="MEM1" s="224"/>
      <c r="MEN1" s="224"/>
      <c r="MEO1" s="224"/>
      <c r="MEP1" s="224"/>
      <c r="MEQ1" s="224"/>
      <c r="MER1" s="224"/>
      <c r="MES1" s="224"/>
      <c r="MET1" s="224"/>
      <c r="MEU1" s="224"/>
      <c r="MEV1" s="224"/>
      <c r="MEW1" s="224"/>
      <c r="MEX1" s="224"/>
      <c r="MEY1" s="224"/>
      <c r="MEZ1" s="224"/>
      <c r="MFA1" s="224"/>
      <c r="MFB1" s="224"/>
      <c r="MFC1" s="224"/>
      <c r="MFD1" s="224"/>
      <c r="MFE1" s="224"/>
      <c r="MFF1" s="224"/>
      <c r="MFG1" s="224"/>
      <c r="MFH1" s="224"/>
      <c r="MFI1" s="224"/>
      <c r="MFJ1" s="224"/>
      <c r="MFK1" s="224"/>
      <c r="MFL1" s="224"/>
      <c r="MFM1" s="224"/>
      <c r="MFN1" s="224"/>
      <c r="MFO1" s="224"/>
      <c r="MFP1" s="224"/>
      <c r="MFQ1" s="224"/>
      <c r="MFR1" s="224"/>
      <c r="MFS1" s="224"/>
      <c r="MFT1" s="224"/>
      <c r="MFU1" s="224"/>
      <c r="MFV1" s="224"/>
      <c r="MFW1" s="224"/>
      <c r="MFX1" s="224"/>
      <c r="MFY1" s="224"/>
      <c r="MFZ1" s="224"/>
      <c r="MGA1" s="224"/>
      <c r="MGB1" s="224"/>
      <c r="MGC1" s="224"/>
      <c r="MGD1" s="224"/>
      <c r="MGE1" s="224"/>
      <c r="MGF1" s="224"/>
      <c r="MGG1" s="224"/>
      <c r="MGH1" s="224"/>
      <c r="MGI1" s="224"/>
      <c r="MGJ1" s="224"/>
      <c r="MGK1" s="224"/>
      <c r="MGL1" s="224"/>
      <c r="MGM1" s="224"/>
      <c r="MGN1" s="224"/>
      <c r="MGO1" s="224"/>
      <c r="MGP1" s="224"/>
      <c r="MGQ1" s="224"/>
      <c r="MGR1" s="224"/>
      <c r="MGS1" s="224"/>
      <c r="MGT1" s="224"/>
      <c r="MGU1" s="224"/>
      <c r="MGV1" s="224"/>
      <c r="MGW1" s="224"/>
      <c r="MGX1" s="224"/>
      <c r="MGY1" s="224"/>
      <c r="MGZ1" s="224"/>
      <c r="MHA1" s="224"/>
      <c r="MHB1" s="224"/>
      <c r="MHC1" s="224"/>
      <c r="MHD1" s="224"/>
      <c r="MHE1" s="224"/>
      <c r="MHF1" s="224"/>
      <c r="MHG1" s="224"/>
      <c r="MHH1" s="224"/>
      <c r="MHI1" s="224"/>
      <c r="MHJ1" s="224"/>
      <c r="MHK1" s="224"/>
      <c r="MHL1" s="224"/>
      <c r="MHM1" s="224"/>
      <c r="MHN1" s="224"/>
      <c r="MHO1" s="224"/>
      <c r="MHP1" s="224"/>
      <c r="MHQ1" s="224"/>
      <c r="MHR1" s="224"/>
      <c r="MHS1" s="224"/>
      <c r="MHT1" s="224"/>
      <c r="MHU1" s="224"/>
      <c r="MHV1" s="224"/>
      <c r="MHW1" s="224"/>
      <c r="MHX1" s="224"/>
      <c r="MHY1" s="224"/>
      <c r="MHZ1" s="224"/>
      <c r="MIA1" s="224"/>
      <c r="MIB1" s="224"/>
      <c r="MIC1" s="224"/>
      <c r="MID1" s="224"/>
      <c r="MIE1" s="224"/>
      <c r="MIF1" s="224"/>
      <c r="MIG1" s="224"/>
      <c r="MIH1" s="224"/>
      <c r="MII1" s="224"/>
      <c r="MIJ1" s="224"/>
      <c r="MIK1" s="224"/>
      <c r="MIL1" s="224"/>
      <c r="MIM1" s="224"/>
      <c r="MIN1" s="224"/>
      <c r="MIO1" s="224"/>
      <c r="MIP1" s="224"/>
      <c r="MIQ1" s="224"/>
      <c r="MIR1" s="224"/>
      <c r="MIS1" s="224"/>
      <c r="MIT1" s="224"/>
      <c r="MIU1" s="224"/>
      <c r="MIV1" s="224"/>
      <c r="MIW1" s="224"/>
      <c r="MIX1" s="224"/>
      <c r="MIY1" s="224"/>
      <c r="MIZ1" s="224"/>
      <c r="MJA1" s="224"/>
      <c r="MJB1" s="224"/>
      <c r="MJC1" s="224"/>
      <c r="MJD1" s="224"/>
      <c r="MJE1" s="224"/>
      <c r="MJF1" s="224"/>
      <c r="MJG1" s="224"/>
      <c r="MJH1" s="224"/>
      <c r="MJI1" s="224"/>
      <c r="MJJ1" s="224"/>
      <c r="MJK1" s="224"/>
      <c r="MJL1" s="224"/>
      <c r="MJM1" s="224"/>
      <c r="MJN1" s="224"/>
      <c r="MJO1" s="224"/>
      <c r="MJP1" s="224"/>
      <c r="MJQ1" s="224"/>
      <c r="MJR1" s="224"/>
      <c r="MJS1" s="224"/>
      <c r="MJT1" s="224"/>
      <c r="MJU1" s="224"/>
      <c r="MJV1" s="224"/>
      <c r="MJW1" s="224"/>
      <c r="MJX1" s="224"/>
      <c r="MJY1" s="224"/>
      <c r="MJZ1" s="224"/>
      <c r="MKA1" s="224"/>
      <c r="MKB1" s="224"/>
      <c r="MKC1" s="224"/>
      <c r="MKD1" s="224"/>
      <c r="MKE1" s="224"/>
      <c r="MKF1" s="224"/>
      <c r="MKG1" s="224"/>
      <c r="MKH1" s="224"/>
      <c r="MKI1" s="224"/>
      <c r="MKJ1" s="224"/>
      <c r="MKK1" s="224"/>
      <c r="MKL1" s="224"/>
      <c r="MKM1" s="224"/>
      <c r="MKN1" s="224"/>
      <c r="MKO1" s="224"/>
      <c r="MKP1" s="224"/>
      <c r="MKQ1" s="224"/>
      <c r="MKR1" s="224"/>
      <c r="MKS1" s="224"/>
      <c r="MKT1" s="224"/>
      <c r="MKU1" s="224"/>
      <c r="MKV1" s="224"/>
      <c r="MKW1" s="224"/>
      <c r="MKX1" s="224"/>
      <c r="MKY1" s="224"/>
      <c r="MKZ1" s="224"/>
      <c r="MLA1" s="224"/>
      <c r="MLB1" s="224"/>
      <c r="MLC1" s="224"/>
      <c r="MLD1" s="224"/>
      <c r="MLE1" s="224"/>
      <c r="MLF1" s="224"/>
      <c r="MLG1" s="224"/>
      <c r="MLH1" s="224"/>
      <c r="MLI1" s="224"/>
      <c r="MLJ1" s="224"/>
      <c r="MLK1" s="224"/>
      <c r="MLL1" s="224"/>
      <c r="MLM1" s="224"/>
      <c r="MLN1" s="224"/>
      <c r="MLO1" s="224"/>
      <c r="MLP1" s="224"/>
      <c r="MLQ1" s="224"/>
      <c r="MLR1" s="224"/>
      <c r="MLS1" s="224"/>
      <c r="MLT1" s="224"/>
      <c r="MLU1" s="224"/>
      <c r="MLV1" s="224"/>
      <c r="MLW1" s="224"/>
      <c r="MLX1" s="224"/>
      <c r="MLY1" s="224"/>
      <c r="MLZ1" s="224"/>
      <c r="MMA1" s="224"/>
      <c r="MMB1" s="224"/>
      <c r="MMC1" s="224"/>
      <c r="MMD1" s="224"/>
      <c r="MME1" s="224"/>
      <c r="MMF1" s="224"/>
      <c r="MMG1" s="224"/>
      <c r="MMH1" s="224"/>
      <c r="MMI1" s="224"/>
      <c r="MMJ1" s="224"/>
      <c r="MMK1" s="224"/>
      <c r="MML1" s="224"/>
      <c r="MMM1" s="224"/>
      <c r="MMN1" s="224"/>
      <c r="MMO1" s="224"/>
      <c r="MMP1" s="224"/>
      <c r="MMQ1" s="224"/>
      <c r="MMR1" s="224"/>
      <c r="MMS1" s="224"/>
      <c r="MMT1" s="224"/>
      <c r="MMU1" s="224"/>
      <c r="MMV1" s="224"/>
      <c r="MMW1" s="224"/>
      <c r="MMX1" s="224"/>
      <c r="MMY1" s="224"/>
      <c r="MMZ1" s="224"/>
      <c r="MNA1" s="224"/>
      <c r="MNB1" s="224"/>
      <c r="MNC1" s="224"/>
      <c r="MND1" s="224"/>
      <c r="MNE1" s="224"/>
      <c r="MNF1" s="224"/>
      <c r="MNG1" s="224"/>
      <c r="MNH1" s="224"/>
      <c r="MNI1" s="224"/>
      <c r="MNJ1" s="224"/>
      <c r="MNK1" s="224"/>
      <c r="MNL1" s="224"/>
      <c r="MNM1" s="224"/>
      <c r="MNN1" s="224"/>
      <c r="MNO1" s="224"/>
      <c r="MNP1" s="224"/>
      <c r="MNQ1" s="224"/>
      <c r="MNR1" s="224"/>
      <c r="MNS1" s="224"/>
      <c r="MNT1" s="224"/>
      <c r="MNU1" s="224"/>
      <c r="MNV1" s="224"/>
      <c r="MNW1" s="224"/>
      <c r="MNX1" s="224"/>
      <c r="MNY1" s="224"/>
      <c r="MNZ1" s="224"/>
      <c r="MOA1" s="224"/>
      <c r="MOB1" s="224"/>
      <c r="MOC1" s="224"/>
      <c r="MOD1" s="224"/>
      <c r="MOE1" s="224"/>
      <c r="MOF1" s="224"/>
      <c r="MOG1" s="224"/>
      <c r="MOH1" s="224"/>
      <c r="MOI1" s="224"/>
      <c r="MOJ1" s="224"/>
      <c r="MOK1" s="224"/>
      <c r="MOL1" s="224"/>
      <c r="MOM1" s="224"/>
      <c r="MON1" s="224"/>
      <c r="MOO1" s="224"/>
      <c r="MOP1" s="224"/>
      <c r="MOQ1" s="224"/>
      <c r="MOR1" s="224"/>
      <c r="MOS1" s="224"/>
      <c r="MOT1" s="224"/>
      <c r="MOU1" s="224"/>
      <c r="MOV1" s="224"/>
      <c r="MOW1" s="224"/>
      <c r="MOX1" s="224"/>
      <c r="MOY1" s="224"/>
      <c r="MOZ1" s="224"/>
      <c r="MPA1" s="224"/>
      <c r="MPB1" s="224"/>
      <c r="MPC1" s="224"/>
      <c r="MPD1" s="224"/>
      <c r="MPE1" s="224"/>
      <c r="MPF1" s="224"/>
      <c r="MPG1" s="224"/>
      <c r="MPH1" s="224"/>
      <c r="MPI1" s="224"/>
      <c r="MPJ1" s="224"/>
      <c r="MPK1" s="224"/>
      <c r="MPL1" s="224"/>
      <c r="MPM1" s="224"/>
      <c r="MPN1" s="224"/>
      <c r="MPO1" s="224"/>
      <c r="MPP1" s="224"/>
      <c r="MPQ1" s="224"/>
      <c r="MPR1" s="224"/>
      <c r="MPS1" s="224"/>
      <c r="MPT1" s="224"/>
      <c r="MPU1" s="224"/>
      <c r="MPV1" s="224"/>
      <c r="MPW1" s="224"/>
      <c r="MPX1" s="224"/>
      <c r="MPY1" s="224"/>
      <c r="MPZ1" s="224"/>
      <c r="MQA1" s="224"/>
      <c r="MQB1" s="224"/>
      <c r="MQC1" s="224"/>
      <c r="MQD1" s="224"/>
      <c r="MQE1" s="224"/>
      <c r="MQF1" s="224"/>
      <c r="MQG1" s="224"/>
      <c r="MQH1" s="224"/>
      <c r="MQI1" s="224"/>
      <c r="MQJ1" s="224"/>
      <c r="MQK1" s="224"/>
      <c r="MQL1" s="224"/>
      <c r="MQM1" s="224"/>
      <c r="MQN1" s="224"/>
      <c r="MQO1" s="224"/>
      <c r="MQP1" s="224"/>
      <c r="MQQ1" s="224"/>
      <c r="MQR1" s="224"/>
      <c r="MQS1" s="224"/>
      <c r="MQT1" s="224"/>
      <c r="MQU1" s="224"/>
      <c r="MQV1" s="224"/>
      <c r="MQW1" s="224"/>
      <c r="MQX1" s="224"/>
      <c r="MQY1" s="224"/>
      <c r="MQZ1" s="224"/>
      <c r="MRA1" s="224"/>
      <c r="MRB1" s="224"/>
      <c r="MRC1" s="224"/>
      <c r="MRD1" s="224"/>
      <c r="MRE1" s="224"/>
      <c r="MRF1" s="224"/>
      <c r="MRG1" s="224"/>
      <c r="MRH1" s="224"/>
      <c r="MRI1" s="224"/>
      <c r="MRJ1" s="224"/>
      <c r="MRK1" s="224"/>
      <c r="MRL1" s="224"/>
      <c r="MRM1" s="224"/>
      <c r="MRN1" s="224"/>
      <c r="MRO1" s="224"/>
      <c r="MRP1" s="224"/>
      <c r="MRQ1" s="224"/>
      <c r="MRR1" s="224"/>
      <c r="MRS1" s="224"/>
      <c r="MRT1" s="224"/>
      <c r="MRU1" s="224"/>
      <c r="MRV1" s="224"/>
      <c r="MRW1" s="224"/>
      <c r="MRX1" s="224"/>
      <c r="MRY1" s="224"/>
      <c r="MRZ1" s="224"/>
      <c r="MSA1" s="224"/>
      <c r="MSB1" s="224"/>
      <c r="MSC1" s="224"/>
      <c r="MSD1" s="224"/>
      <c r="MSE1" s="224"/>
      <c r="MSF1" s="224"/>
      <c r="MSG1" s="224"/>
      <c r="MSH1" s="224"/>
      <c r="MSI1" s="224"/>
      <c r="MSJ1" s="224"/>
      <c r="MSK1" s="224"/>
      <c r="MSL1" s="224"/>
      <c r="MSM1" s="224"/>
      <c r="MSN1" s="224"/>
      <c r="MSO1" s="224"/>
      <c r="MSP1" s="224"/>
      <c r="MSQ1" s="224"/>
      <c r="MSR1" s="224"/>
      <c r="MSS1" s="224"/>
      <c r="MST1" s="224"/>
      <c r="MSU1" s="224"/>
      <c r="MSV1" s="224"/>
      <c r="MSW1" s="224"/>
      <c r="MSX1" s="224"/>
      <c r="MSY1" s="224"/>
      <c r="MSZ1" s="224"/>
      <c r="MTA1" s="224"/>
      <c r="MTB1" s="224"/>
      <c r="MTC1" s="224"/>
      <c r="MTD1" s="224"/>
      <c r="MTE1" s="224"/>
      <c r="MTF1" s="224"/>
      <c r="MTG1" s="224"/>
      <c r="MTH1" s="224"/>
      <c r="MTI1" s="224"/>
      <c r="MTJ1" s="224"/>
      <c r="MTK1" s="224"/>
      <c r="MTL1" s="224"/>
      <c r="MTM1" s="224"/>
      <c r="MTN1" s="224"/>
      <c r="MTO1" s="224"/>
      <c r="MTP1" s="224"/>
      <c r="MTQ1" s="224"/>
      <c r="MTR1" s="224"/>
      <c r="MTS1" s="224"/>
      <c r="MTT1" s="224"/>
      <c r="MTU1" s="224"/>
      <c r="MTV1" s="224"/>
      <c r="MTW1" s="224"/>
      <c r="MTX1" s="224"/>
      <c r="MTY1" s="224"/>
      <c r="MTZ1" s="224"/>
      <c r="MUA1" s="224"/>
      <c r="MUB1" s="224"/>
      <c r="MUC1" s="224"/>
      <c r="MUD1" s="224"/>
      <c r="MUE1" s="224"/>
      <c r="MUF1" s="224"/>
      <c r="MUG1" s="224"/>
      <c r="MUH1" s="224"/>
      <c r="MUI1" s="224"/>
      <c r="MUJ1" s="224"/>
      <c r="MUK1" s="224"/>
      <c r="MUL1" s="224"/>
      <c r="MUM1" s="224"/>
      <c r="MUN1" s="224"/>
      <c r="MUO1" s="224"/>
      <c r="MUP1" s="224"/>
      <c r="MUQ1" s="224"/>
      <c r="MUR1" s="224"/>
      <c r="MUS1" s="224"/>
      <c r="MUT1" s="224"/>
      <c r="MUU1" s="224"/>
      <c r="MUV1" s="224"/>
      <c r="MUW1" s="224"/>
      <c r="MUX1" s="224"/>
      <c r="MUY1" s="224"/>
      <c r="MUZ1" s="224"/>
      <c r="MVA1" s="224"/>
      <c r="MVB1" s="224"/>
      <c r="MVC1" s="224"/>
      <c r="MVD1" s="224"/>
      <c r="MVE1" s="224"/>
      <c r="MVF1" s="224"/>
      <c r="MVG1" s="224"/>
      <c r="MVH1" s="224"/>
      <c r="MVI1" s="224"/>
      <c r="MVJ1" s="224"/>
      <c r="MVK1" s="224"/>
      <c r="MVL1" s="224"/>
      <c r="MVM1" s="224"/>
      <c r="MVN1" s="224"/>
      <c r="MVO1" s="224"/>
      <c r="MVP1" s="224"/>
      <c r="MVQ1" s="224"/>
      <c r="MVR1" s="224"/>
      <c r="MVS1" s="224"/>
      <c r="MVT1" s="224"/>
      <c r="MVU1" s="224"/>
      <c r="MVV1" s="224"/>
      <c r="MVW1" s="224"/>
      <c r="MVX1" s="224"/>
      <c r="MVY1" s="224"/>
      <c r="MVZ1" s="224"/>
      <c r="MWA1" s="224"/>
      <c r="MWB1" s="224"/>
      <c r="MWC1" s="224"/>
      <c r="MWD1" s="224"/>
      <c r="MWE1" s="224"/>
      <c r="MWF1" s="224"/>
      <c r="MWG1" s="224"/>
      <c r="MWH1" s="224"/>
      <c r="MWI1" s="224"/>
      <c r="MWJ1" s="224"/>
      <c r="MWK1" s="224"/>
      <c r="MWL1" s="224"/>
      <c r="MWM1" s="224"/>
      <c r="MWN1" s="224"/>
      <c r="MWO1" s="224"/>
      <c r="MWP1" s="224"/>
      <c r="MWQ1" s="224"/>
      <c r="MWR1" s="224"/>
      <c r="MWS1" s="224"/>
      <c r="MWT1" s="224"/>
      <c r="MWU1" s="224"/>
      <c r="MWV1" s="224"/>
      <c r="MWW1" s="224"/>
      <c r="MWX1" s="224"/>
      <c r="MWY1" s="224"/>
      <c r="MWZ1" s="224"/>
      <c r="MXA1" s="224"/>
      <c r="MXB1" s="224"/>
      <c r="MXC1" s="224"/>
      <c r="MXD1" s="224"/>
      <c r="MXE1" s="224"/>
      <c r="MXF1" s="224"/>
      <c r="MXG1" s="224"/>
      <c r="MXH1" s="224"/>
      <c r="MXI1" s="224"/>
      <c r="MXJ1" s="224"/>
      <c r="MXK1" s="224"/>
      <c r="MXL1" s="224"/>
      <c r="MXM1" s="224"/>
      <c r="MXN1" s="224"/>
      <c r="MXO1" s="224"/>
      <c r="MXP1" s="224"/>
      <c r="MXQ1" s="224"/>
      <c r="MXR1" s="224"/>
      <c r="MXS1" s="224"/>
      <c r="MXT1" s="224"/>
      <c r="MXU1" s="224"/>
      <c r="MXV1" s="224"/>
      <c r="MXW1" s="224"/>
      <c r="MXX1" s="224"/>
      <c r="MXY1" s="224"/>
      <c r="MXZ1" s="224"/>
      <c r="MYA1" s="224"/>
      <c r="MYB1" s="224"/>
      <c r="MYC1" s="224"/>
      <c r="MYD1" s="224"/>
      <c r="MYE1" s="224"/>
      <c r="MYF1" s="224"/>
      <c r="MYG1" s="224"/>
      <c r="MYH1" s="224"/>
      <c r="MYI1" s="224"/>
      <c r="MYJ1" s="224"/>
      <c r="MYK1" s="224"/>
      <c r="MYL1" s="224"/>
      <c r="MYM1" s="224"/>
      <c r="MYN1" s="224"/>
      <c r="MYO1" s="224"/>
      <c r="MYP1" s="224"/>
      <c r="MYQ1" s="224"/>
      <c r="MYR1" s="224"/>
      <c r="MYS1" s="224"/>
      <c r="MYT1" s="224"/>
      <c r="MYU1" s="224"/>
      <c r="MYV1" s="224"/>
      <c r="MYW1" s="224"/>
      <c r="MYX1" s="224"/>
      <c r="MYY1" s="224"/>
      <c r="MYZ1" s="224"/>
      <c r="MZA1" s="224"/>
      <c r="MZB1" s="224"/>
      <c r="MZC1" s="224"/>
      <c r="MZD1" s="224"/>
      <c r="MZE1" s="224"/>
      <c r="MZF1" s="224"/>
      <c r="MZG1" s="224"/>
      <c r="MZH1" s="224"/>
      <c r="MZI1" s="224"/>
      <c r="MZJ1" s="224"/>
      <c r="MZK1" s="224"/>
      <c r="MZL1" s="224"/>
      <c r="MZM1" s="224"/>
      <c r="MZN1" s="224"/>
      <c r="MZO1" s="224"/>
      <c r="MZP1" s="224"/>
      <c r="MZQ1" s="224"/>
      <c r="MZR1" s="224"/>
      <c r="MZS1" s="224"/>
      <c r="MZT1" s="224"/>
      <c r="MZU1" s="224"/>
      <c r="MZV1" s="224"/>
      <c r="MZW1" s="224"/>
      <c r="MZX1" s="224"/>
      <c r="MZY1" s="224"/>
      <c r="MZZ1" s="224"/>
      <c r="NAA1" s="224"/>
      <c r="NAB1" s="224"/>
      <c r="NAC1" s="224"/>
      <c r="NAD1" s="224"/>
      <c r="NAE1" s="224"/>
      <c r="NAF1" s="224"/>
      <c r="NAG1" s="224"/>
      <c r="NAH1" s="224"/>
      <c r="NAI1" s="224"/>
      <c r="NAJ1" s="224"/>
      <c r="NAK1" s="224"/>
      <c r="NAL1" s="224"/>
      <c r="NAM1" s="224"/>
      <c r="NAN1" s="224"/>
      <c r="NAO1" s="224"/>
      <c r="NAP1" s="224"/>
      <c r="NAQ1" s="224"/>
      <c r="NAR1" s="224"/>
      <c r="NAS1" s="224"/>
      <c r="NAT1" s="224"/>
      <c r="NAU1" s="224"/>
      <c r="NAV1" s="224"/>
      <c r="NAW1" s="224"/>
      <c r="NAX1" s="224"/>
      <c r="NAY1" s="224"/>
      <c r="NAZ1" s="224"/>
      <c r="NBA1" s="224"/>
      <c r="NBB1" s="224"/>
      <c r="NBC1" s="224"/>
      <c r="NBD1" s="224"/>
      <c r="NBE1" s="224"/>
      <c r="NBF1" s="224"/>
      <c r="NBG1" s="224"/>
      <c r="NBH1" s="224"/>
      <c r="NBI1" s="224"/>
      <c r="NBJ1" s="224"/>
      <c r="NBK1" s="224"/>
      <c r="NBL1" s="224"/>
      <c r="NBM1" s="224"/>
      <c r="NBN1" s="224"/>
      <c r="NBO1" s="224"/>
      <c r="NBP1" s="224"/>
      <c r="NBQ1" s="224"/>
      <c r="NBR1" s="224"/>
      <c r="NBS1" s="224"/>
      <c r="NBT1" s="224"/>
      <c r="NBU1" s="224"/>
      <c r="NBV1" s="224"/>
      <c r="NBW1" s="224"/>
      <c r="NBX1" s="224"/>
      <c r="NBY1" s="224"/>
      <c r="NBZ1" s="224"/>
      <c r="NCA1" s="224"/>
      <c r="NCB1" s="224"/>
      <c r="NCC1" s="224"/>
      <c r="NCD1" s="224"/>
      <c r="NCE1" s="224"/>
      <c r="NCF1" s="224"/>
      <c r="NCG1" s="224"/>
      <c r="NCH1" s="224"/>
      <c r="NCI1" s="224"/>
      <c r="NCJ1" s="224"/>
      <c r="NCK1" s="224"/>
      <c r="NCL1" s="224"/>
      <c r="NCM1" s="224"/>
      <c r="NCN1" s="224"/>
      <c r="NCO1" s="224"/>
      <c r="NCP1" s="224"/>
      <c r="NCQ1" s="224"/>
      <c r="NCR1" s="224"/>
      <c r="NCS1" s="224"/>
      <c r="NCT1" s="224"/>
      <c r="NCU1" s="224"/>
      <c r="NCV1" s="224"/>
      <c r="NCW1" s="224"/>
      <c r="NCX1" s="224"/>
      <c r="NCY1" s="224"/>
      <c r="NCZ1" s="224"/>
      <c r="NDA1" s="224"/>
      <c r="NDB1" s="224"/>
      <c r="NDC1" s="224"/>
      <c r="NDD1" s="224"/>
      <c r="NDE1" s="224"/>
      <c r="NDF1" s="224"/>
      <c r="NDG1" s="224"/>
      <c r="NDH1" s="224"/>
      <c r="NDI1" s="224"/>
      <c r="NDJ1" s="224"/>
      <c r="NDK1" s="224"/>
      <c r="NDL1" s="224"/>
      <c r="NDM1" s="224"/>
      <c r="NDN1" s="224"/>
      <c r="NDO1" s="224"/>
      <c r="NDP1" s="224"/>
      <c r="NDQ1" s="224"/>
      <c r="NDR1" s="224"/>
      <c r="NDS1" s="224"/>
      <c r="NDT1" s="224"/>
      <c r="NDU1" s="224"/>
      <c r="NDV1" s="224"/>
      <c r="NDW1" s="224"/>
      <c r="NDX1" s="224"/>
      <c r="NDY1" s="224"/>
      <c r="NDZ1" s="224"/>
      <c r="NEA1" s="224"/>
      <c r="NEB1" s="224"/>
      <c r="NEC1" s="224"/>
      <c r="NED1" s="224"/>
      <c r="NEE1" s="224"/>
      <c r="NEF1" s="224"/>
      <c r="NEG1" s="224"/>
      <c r="NEH1" s="224"/>
      <c r="NEI1" s="224"/>
      <c r="NEJ1" s="224"/>
      <c r="NEK1" s="224"/>
      <c r="NEL1" s="224"/>
      <c r="NEM1" s="224"/>
      <c r="NEN1" s="224"/>
      <c r="NEO1" s="224"/>
      <c r="NEP1" s="224"/>
      <c r="NEQ1" s="224"/>
      <c r="NER1" s="224"/>
      <c r="NES1" s="224"/>
      <c r="NET1" s="224"/>
      <c r="NEU1" s="224"/>
      <c r="NEV1" s="224"/>
      <c r="NEW1" s="224"/>
      <c r="NEX1" s="224"/>
      <c r="NEY1" s="224"/>
      <c r="NEZ1" s="224"/>
      <c r="NFA1" s="224"/>
      <c r="NFB1" s="224"/>
      <c r="NFC1" s="224"/>
      <c r="NFD1" s="224"/>
      <c r="NFE1" s="224"/>
      <c r="NFF1" s="224"/>
      <c r="NFG1" s="224"/>
      <c r="NFH1" s="224"/>
      <c r="NFI1" s="224"/>
      <c r="NFJ1" s="224"/>
      <c r="NFK1" s="224"/>
      <c r="NFL1" s="224"/>
      <c r="NFM1" s="224"/>
      <c r="NFN1" s="224"/>
      <c r="NFO1" s="224"/>
      <c r="NFP1" s="224"/>
      <c r="NFQ1" s="224"/>
      <c r="NFR1" s="224"/>
      <c r="NFS1" s="224"/>
      <c r="NFT1" s="224"/>
      <c r="NFU1" s="224"/>
      <c r="NFV1" s="224"/>
      <c r="NFW1" s="224"/>
      <c r="NFX1" s="224"/>
      <c r="NFY1" s="224"/>
      <c r="NFZ1" s="224"/>
      <c r="NGA1" s="224"/>
      <c r="NGB1" s="224"/>
      <c r="NGC1" s="224"/>
      <c r="NGD1" s="224"/>
      <c r="NGE1" s="224"/>
      <c r="NGF1" s="224"/>
      <c r="NGG1" s="224"/>
      <c r="NGH1" s="224"/>
      <c r="NGI1" s="224"/>
      <c r="NGJ1" s="224"/>
      <c r="NGK1" s="224"/>
      <c r="NGL1" s="224"/>
      <c r="NGM1" s="224"/>
      <c r="NGN1" s="224"/>
      <c r="NGO1" s="224"/>
      <c r="NGP1" s="224"/>
      <c r="NGQ1" s="224"/>
      <c r="NGR1" s="224"/>
      <c r="NGS1" s="224"/>
      <c r="NGT1" s="224"/>
      <c r="NGU1" s="224"/>
      <c r="NGV1" s="224"/>
      <c r="NGW1" s="224"/>
      <c r="NGX1" s="224"/>
      <c r="NGY1" s="224"/>
      <c r="NGZ1" s="224"/>
      <c r="NHA1" s="224"/>
      <c r="NHB1" s="224"/>
      <c r="NHC1" s="224"/>
      <c r="NHD1" s="224"/>
      <c r="NHE1" s="224"/>
      <c r="NHF1" s="224"/>
      <c r="NHG1" s="224"/>
      <c r="NHH1" s="224"/>
      <c r="NHI1" s="224"/>
      <c r="NHJ1" s="224"/>
      <c r="NHK1" s="224"/>
      <c r="NHL1" s="224"/>
      <c r="NHM1" s="224"/>
      <c r="NHN1" s="224"/>
      <c r="NHO1" s="224"/>
      <c r="NHP1" s="224"/>
      <c r="NHQ1" s="224"/>
      <c r="NHR1" s="224"/>
      <c r="NHS1" s="224"/>
      <c r="NHT1" s="224"/>
      <c r="NHU1" s="224"/>
      <c r="NHV1" s="224"/>
      <c r="NHW1" s="224"/>
      <c r="NHX1" s="224"/>
      <c r="NHY1" s="224"/>
      <c r="NHZ1" s="224"/>
      <c r="NIA1" s="224"/>
      <c r="NIB1" s="224"/>
      <c r="NIC1" s="224"/>
      <c r="NID1" s="224"/>
      <c r="NIE1" s="224"/>
      <c r="NIF1" s="224"/>
      <c r="NIG1" s="224"/>
      <c r="NIH1" s="224"/>
      <c r="NII1" s="224"/>
      <c r="NIJ1" s="224"/>
      <c r="NIK1" s="224"/>
      <c r="NIL1" s="224"/>
      <c r="NIM1" s="224"/>
      <c r="NIN1" s="224"/>
      <c r="NIO1" s="224"/>
      <c r="NIP1" s="224"/>
      <c r="NIQ1" s="224"/>
      <c r="NIR1" s="224"/>
      <c r="NIS1" s="224"/>
      <c r="NIT1" s="224"/>
      <c r="NIU1" s="224"/>
      <c r="NIV1" s="224"/>
      <c r="NIW1" s="224"/>
      <c r="NIX1" s="224"/>
      <c r="NIY1" s="224"/>
      <c r="NIZ1" s="224"/>
      <c r="NJA1" s="224"/>
      <c r="NJB1" s="224"/>
      <c r="NJC1" s="224"/>
      <c r="NJD1" s="224"/>
      <c r="NJE1" s="224"/>
      <c r="NJF1" s="224"/>
      <c r="NJG1" s="224"/>
      <c r="NJH1" s="224"/>
      <c r="NJI1" s="224"/>
      <c r="NJJ1" s="224"/>
      <c r="NJK1" s="224"/>
      <c r="NJL1" s="224"/>
      <c r="NJM1" s="224"/>
      <c r="NJN1" s="224"/>
      <c r="NJO1" s="224"/>
      <c r="NJP1" s="224"/>
      <c r="NJQ1" s="224"/>
      <c r="NJR1" s="224"/>
      <c r="NJS1" s="224"/>
      <c r="NJT1" s="224"/>
      <c r="NJU1" s="224"/>
      <c r="NJV1" s="224"/>
      <c r="NJW1" s="224"/>
      <c r="NJX1" s="224"/>
      <c r="NJY1" s="224"/>
      <c r="NJZ1" s="224"/>
      <c r="NKA1" s="224"/>
      <c r="NKB1" s="224"/>
      <c r="NKC1" s="224"/>
      <c r="NKD1" s="224"/>
      <c r="NKE1" s="224"/>
      <c r="NKF1" s="224"/>
      <c r="NKG1" s="224"/>
      <c r="NKH1" s="224"/>
      <c r="NKI1" s="224"/>
      <c r="NKJ1" s="224"/>
      <c r="NKK1" s="224"/>
      <c r="NKL1" s="224"/>
      <c r="NKM1" s="224"/>
      <c r="NKN1" s="224"/>
      <c r="NKO1" s="224"/>
      <c r="NKP1" s="224"/>
      <c r="NKQ1" s="224"/>
      <c r="NKR1" s="224"/>
      <c r="NKS1" s="224"/>
      <c r="NKT1" s="224"/>
      <c r="NKU1" s="224"/>
      <c r="NKV1" s="224"/>
      <c r="NKW1" s="224"/>
      <c r="NKX1" s="224"/>
      <c r="NKY1" s="224"/>
      <c r="NKZ1" s="224"/>
      <c r="NLA1" s="224"/>
      <c r="NLB1" s="224"/>
      <c r="NLC1" s="224"/>
      <c r="NLD1" s="224"/>
      <c r="NLE1" s="224"/>
      <c r="NLF1" s="224"/>
      <c r="NLG1" s="224"/>
      <c r="NLH1" s="224"/>
      <c r="NLI1" s="224"/>
      <c r="NLJ1" s="224"/>
      <c r="NLK1" s="224"/>
      <c r="NLL1" s="224"/>
      <c r="NLM1" s="224"/>
      <c r="NLN1" s="224"/>
      <c r="NLO1" s="224"/>
      <c r="NLP1" s="224"/>
      <c r="NLQ1" s="224"/>
      <c r="NLR1" s="224"/>
      <c r="NLS1" s="224"/>
      <c r="NLT1" s="224"/>
      <c r="NLU1" s="224"/>
      <c r="NLV1" s="224"/>
      <c r="NLW1" s="224"/>
      <c r="NLX1" s="224"/>
      <c r="NLY1" s="224"/>
      <c r="NLZ1" s="224"/>
      <c r="NMA1" s="224"/>
      <c r="NMB1" s="224"/>
      <c r="NMC1" s="224"/>
      <c r="NMD1" s="224"/>
      <c r="NME1" s="224"/>
      <c r="NMF1" s="224"/>
      <c r="NMG1" s="224"/>
      <c r="NMH1" s="224"/>
      <c r="NMI1" s="224"/>
      <c r="NMJ1" s="224"/>
      <c r="NMK1" s="224"/>
      <c r="NML1" s="224"/>
      <c r="NMM1" s="224"/>
      <c r="NMN1" s="224"/>
      <c r="NMO1" s="224"/>
      <c r="NMP1" s="224"/>
      <c r="NMQ1" s="224"/>
      <c r="NMR1" s="224"/>
      <c r="NMS1" s="224"/>
      <c r="NMT1" s="224"/>
      <c r="NMU1" s="224"/>
      <c r="NMV1" s="224"/>
      <c r="NMW1" s="224"/>
      <c r="NMX1" s="224"/>
      <c r="NMY1" s="224"/>
      <c r="NMZ1" s="224"/>
      <c r="NNA1" s="224"/>
      <c r="NNB1" s="224"/>
      <c r="NNC1" s="224"/>
      <c r="NND1" s="224"/>
      <c r="NNE1" s="224"/>
      <c r="NNF1" s="224"/>
      <c r="NNG1" s="224"/>
      <c r="NNH1" s="224"/>
      <c r="NNI1" s="224"/>
      <c r="NNJ1" s="224"/>
      <c r="NNK1" s="224"/>
      <c r="NNL1" s="224"/>
      <c r="NNM1" s="224"/>
      <c r="NNN1" s="224"/>
      <c r="NNO1" s="224"/>
      <c r="NNP1" s="224"/>
      <c r="NNQ1" s="224"/>
      <c r="NNR1" s="224"/>
      <c r="NNS1" s="224"/>
      <c r="NNT1" s="224"/>
      <c r="NNU1" s="224"/>
      <c r="NNV1" s="224"/>
      <c r="NNW1" s="224"/>
      <c r="NNX1" s="224"/>
      <c r="NNY1" s="224"/>
      <c r="NNZ1" s="224"/>
      <c r="NOA1" s="224"/>
      <c r="NOB1" s="224"/>
      <c r="NOC1" s="224"/>
      <c r="NOD1" s="224"/>
      <c r="NOE1" s="224"/>
      <c r="NOF1" s="224"/>
      <c r="NOG1" s="224"/>
      <c r="NOH1" s="224"/>
      <c r="NOI1" s="224"/>
      <c r="NOJ1" s="224"/>
      <c r="NOK1" s="224"/>
      <c r="NOL1" s="224"/>
      <c r="NOM1" s="224"/>
      <c r="NON1" s="224"/>
      <c r="NOO1" s="224"/>
      <c r="NOP1" s="224"/>
      <c r="NOQ1" s="224"/>
      <c r="NOR1" s="224"/>
      <c r="NOS1" s="224"/>
      <c r="NOT1" s="224"/>
      <c r="NOU1" s="224"/>
      <c r="NOV1" s="224"/>
      <c r="NOW1" s="224"/>
      <c r="NOX1" s="224"/>
      <c r="NOY1" s="224"/>
      <c r="NOZ1" s="224"/>
      <c r="NPA1" s="224"/>
      <c r="NPB1" s="224"/>
      <c r="NPC1" s="224"/>
      <c r="NPD1" s="224"/>
      <c r="NPE1" s="224"/>
      <c r="NPF1" s="224"/>
      <c r="NPG1" s="224"/>
      <c r="NPH1" s="224"/>
      <c r="NPI1" s="224"/>
      <c r="NPJ1" s="224"/>
      <c r="NPK1" s="224"/>
      <c r="NPL1" s="224"/>
      <c r="NPM1" s="224"/>
      <c r="NPN1" s="224"/>
      <c r="NPO1" s="224"/>
      <c r="NPP1" s="224"/>
      <c r="NPQ1" s="224"/>
      <c r="NPR1" s="224"/>
      <c r="NPS1" s="224"/>
      <c r="NPT1" s="224"/>
      <c r="NPU1" s="224"/>
      <c r="NPV1" s="224"/>
      <c r="NPW1" s="224"/>
      <c r="NPX1" s="224"/>
      <c r="NPY1" s="224"/>
      <c r="NPZ1" s="224"/>
      <c r="NQA1" s="224"/>
      <c r="NQB1" s="224"/>
      <c r="NQC1" s="224"/>
      <c r="NQD1" s="224"/>
      <c r="NQE1" s="224"/>
      <c r="NQF1" s="224"/>
      <c r="NQG1" s="224"/>
      <c r="NQH1" s="224"/>
      <c r="NQI1" s="224"/>
      <c r="NQJ1" s="224"/>
      <c r="NQK1" s="224"/>
      <c r="NQL1" s="224"/>
      <c r="NQM1" s="224"/>
      <c r="NQN1" s="224"/>
      <c r="NQO1" s="224"/>
      <c r="NQP1" s="224"/>
      <c r="NQQ1" s="224"/>
      <c r="NQR1" s="224"/>
      <c r="NQS1" s="224"/>
      <c r="NQT1" s="224"/>
      <c r="NQU1" s="224"/>
      <c r="NQV1" s="224"/>
      <c r="NQW1" s="224"/>
      <c r="NQX1" s="224"/>
      <c r="NQY1" s="224"/>
      <c r="NQZ1" s="224"/>
      <c r="NRA1" s="224"/>
      <c r="NRB1" s="224"/>
      <c r="NRC1" s="224"/>
      <c r="NRD1" s="224"/>
      <c r="NRE1" s="224"/>
      <c r="NRF1" s="224"/>
      <c r="NRG1" s="224"/>
      <c r="NRH1" s="224"/>
      <c r="NRI1" s="224"/>
      <c r="NRJ1" s="224"/>
      <c r="NRK1" s="224"/>
      <c r="NRL1" s="224"/>
      <c r="NRM1" s="224"/>
      <c r="NRN1" s="224"/>
      <c r="NRO1" s="224"/>
      <c r="NRP1" s="224"/>
      <c r="NRQ1" s="224"/>
      <c r="NRR1" s="224"/>
      <c r="NRS1" s="224"/>
      <c r="NRT1" s="224"/>
      <c r="NRU1" s="224"/>
      <c r="NRV1" s="224"/>
      <c r="NRW1" s="224"/>
      <c r="NRX1" s="224"/>
      <c r="NRY1" s="224"/>
      <c r="NRZ1" s="224"/>
      <c r="NSA1" s="224"/>
      <c r="NSB1" s="224"/>
      <c r="NSC1" s="224"/>
      <c r="NSD1" s="224"/>
      <c r="NSE1" s="224"/>
      <c r="NSF1" s="224"/>
      <c r="NSG1" s="224"/>
      <c r="NSH1" s="224"/>
      <c r="NSI1" s="224"/>
      <c r="NSJ1" s="224"/>
      <c r="NSK1" s="224"/>
      <c r="NSL1" s="224"/>
      <c r="NSM1" s="224"/>
      <c r="NSN1" s="224"/>
      <c r="NSO1" s="224"/>
      <c r="NSP1" s="224"/>
      <c r="NSQ1" s="224"/>
      <c r="NSR1" s="224"/>
      <c r="NSS1" s="224"/>
      <c r="NST1" s="224"/>
      <c r="NSU1" s="224"/>
      <c r="NSV1" s="224"/>
      <c r="NSW1" s="224"/>
      <c r="NSX1" s="224"/>
      <c r="NSY1" s="224"/>
      <c r="NSZ1" s="224"/>
      <c r="NTA1" s="224"/>
      <c r="NTB1" s="224"/>
      <c r="NTC1" s="224"/>
      <c r="NTD1" s="224"/>
      <c r="NTE1" s="224"/>
      <c r="NTF1" s="224"/>
      <c r="NTG1" s="224"/>
      <c r="NTH1" s="224"/>
      <c r="NTI1" s="224"/>
      <c r="NTJ1" s="224"/>
      <c r="NTK1" s="224"/>
      <c r="NTL1" s="224"/>
      <c r="NTM1" s="224"/>
      <c r="NTN1" s="224"/>
      <c r="NTO1" s="224"/>
      <c r="NTP1" s="224"/>
      <c r="NTQ1" s="224"/>
      <c r="NTR1" s="224"/>
      <c r="NTS1" s="224"/>
      <c r="NTT1" s="224"/>
      <c r="NTU1" s="224"/>
      <c r="NTV1" s="224"/>
      <c r="NTW1" s="224"/>
      <c r="NTX1" s="224"/>
      <c r="NTY1" s="224"/>
      <c r="NTZ1" s="224"/>
      <c r="NUA1" s="224"/>
      <c r="NUB1" s="224"/>
      <c r="NUC1" s="224"/>
      <c r="NUD1" s="224"/>
      <c r="NUE1" s="224"/>
      <c r="NUF1" s="224"/>
      <c r="NUG1" s="224"/>
      <c r="NUH1" s="224"/>
      <c r="NUI1" s="224"/>
      <c r="NUJ1" s="224"/>
      <c r="NUK1" s="224"/>
      <c r="NUL1" s="224"/>
      <c r="NUM1" s="224"/>
      <c r="NUN1" s="224"/>
      <c r="NUO1" s="224"/>
      <c r="NUP1" s="224"/>
      <c r="NUQ1" s="224"/>
      <c r="NUR1" s="224"/>
      <c r="NUS1" s="224"/>
      <c r="NUT1" s="224"/>
      <c r="NUU1" s="224"/>
      <c r="NUV1" s="224"/>
      <c r="NUW1" s="224"/>
      <c r="NUX1" s="224"/>
      <c r="NUY1" s="224"/>
      <c r="NUZ1" s="224"/>
      <c r="NVA1" s="224"/>
      <c r="NVB1" s="224"/>
      <c r="NVC1" s="224"/>
      <c r="NVD1" s="224"/>
      <c r="NVE1" s="224"/>
      <c r="NVF1" s="224"/>
      <c r="NVG1" s="224"/>
      <c r="NVH1" s="224"/>
      <c r="NVI1" s="224"/>
      <c r="NVJ1" s="224"/>
      <c r="NVK1" s="224"/>
      <c r="NVL1" s="224"/>
      <c r="NVM1" s="224"/>
      <c r="NVN1" s="224"/>
      <c r="NVO1" s="224"/>
      <c r="NVP1" s="224"/>
      <c r="NVQ1" s="224"/>
      <c r="NVR1" s="224"/>
      <c r="NVS1" s="224"/>
      <c r="NVT1" s="224"/>
      <c r="NVU1" s="224"/>
      <c r="NVV1" s="224"/>
      <c r="NVW1" s="224"/>
      <c r="NVX1" s="224"/>
      <c r="NVY1" s="224"/>
      <c r="NVZ1" s="224"/>
      <c r="NWA1" s="224"/>
      <c r="NWB1" s="224"/>
      <c r="NWC1" s="224"/>
      <c r="NWD1" s="224"/>
      <c r="NWE1" s="224"/>
      <c r="NWF1" s="224"/>
      <c r="NWG1" s="224"/>
      <c r="NWH1" s="224"/>
      <c r="NWI1" s="224"/>
      <c r="NWJ1" s="224"/>
      <c r="NWK1" s="224"/>
      <c r="NWL1" s="224"/>
      <c r="NWM1" s="224"/>
      <c r="NWN1" s="224"/>
      <c r="NWO1" s="224"/>
      <c r="NWP1" s="224"/>
      <c r="NWQ1" s="224"/>
      <c r="NWR1" s="224"/>
      <c r="NWS1" s="224"/>
      <c r="NWT1" s="224"/>
      <c r="NWU1" s="224"/>
      <c r="NWV1" s="224"/>
      <c r="NWW1" s="224"/>
      <c r="NWX1" s="224"/>
      <c r="NWY1" s="224"/>
      <c r="NWZ1" s="224"/>
      <c r="NXA1" s="224"/>
      <c r="NXB1" s="224"/>
      <c r="NXC1" s="224"/>
      <c r="NXD1" s="224"/>
      <c r="NXE1" s="224"/>
      <c r="NXF1" s="224"/>
      <c r="NXG1" s="224"/>
      <c r="NXH1" s="224"/>
      <c r="NXI1" s="224"/>
      <c r="NXJ1" s="224"/>
      <c r="NXK1" s="224"/>
      <c r="NXL1" s="224"/>
      <c r="NXM1" s="224"/>
      <c r="NXN1" s="224"/>
      <c r="NXO1" s="224"/>
      <c r="NXP1" s="224"/>
      <c r="NXQ1" s="224"/>
      <c r="NXR1" s="224"/>
      <c r="NXS1" s="224"/>
      <c r="NXT1" s="224"/>
      <c r="NXU1" s="224"/>
      <c r="NXV1" s="224"/>
      <c r="NXW1" s="224"/>
      <c r="NXX1" s="224"/>
      <c r="NXY1" s="224"/>
      <c r="NXZ1" s="224"/>
      <c r="NYA1" s="224"/>
      <c r="NYB1" s="224"/>
      <c r="NYC1" s="224"/>
      <c r="NYD1" s="224"/>
      <c r="NYE1" s="224"/>
      <c r="NYF1" s="224"/>
      <c r="NYG1" s="224"/>
      <c r="NYH1" s="224"/>
      <c r="NYI1" s="224"/>
      <c r="NYJ1" s="224"/>
      <c r="NYK1" s="224"/>
      <c r="NYL1" s="224"/>
      <c r="NYM1" s="224"/>
      <c r="NYN1" s="224"/>
      <c r="NYO1" s="224"/>
      <c r="NYP1" s="224"/>
      <c r="NYQ1" s="224"/>
      <c r="NYR1" s="224"/>
      <c r="NYS1" s="224"/>
      <c r="NYT1" s="224"/>
      <c r="NYU1" s="224"/>
      <c r="NYV1" s="224"/>
      <c r="NYW1" s="224"/>
      <c r="NYX1" s="224"/>
      <c r="NYY1" s="224"/>
      <c r="NYZ1" s="224"/>
      <c r="NZA1" s="224"/>
      <c r="NZB1" s="224"/>
      <c r="NZC1" s="224"/>
      <c r="NZD1" s="224"/>
      <c r="NZE1" s="224"/>
      <c r="NZF1" s="224"/>
      <c r="NZG1" s="224"/>
      <c r="NZH1" s="224"/>
      <c r="NZI1" s="224"/>
      <c r="NZJ1" s="224"/>
      <c r="NZK1" s="224"/>
      <c r="NZL1" s="224"/>
      <c r="NZM1" s="224"/>
      <c r="NZN1" s="224"/>
      <c r="NZO1" s="224"/>
      <c r="NZP1" s="224"/>
      <c r="NZQ1" s="224"/>
      <c r="NZR1" s="224"/>
      <c r="NZS1" s="224"/>
      <c r="NZT1" s="224"/>
      <c r="NZU1" s="224"/>
      <c r="NZV1" s="224"/>
      <c r="NZW1" s="224"/>
      <c r="NZX1" s="224"/>
      <c r="NZY1" s="224"/>
      <c r="NZZ1" s="224"/>
      <c r="OAA1" s="224"/>
      <c r="OAB1" s="224"/>
      <c r="OAC1" s="224"/>
      <c r="OAD1" s="224"/>
      <c r="OAE1" s="224"/>
      <c r="OAF1" s="224"/>
      <c r="OAG1" s="224"/>
      <c r="OAH1" s="224"/>
      <c r="OAI1" s="224"/>
      <c r="OAJ1" s="224"/>
      <c r="OAK1" s="224"/>
      <c r="OAL1" s="224"/>
      <c r="OAM1" s="224"/>
      <c r="OAN1" s="224"/>
      <c r="OAO1" s="224"/>
      <c r="OAP1" s="224"/>
      <c r="OAQ1" s="224"/>
      <c r="OAR1" s="224"/>
      <c r="OAS1" s="224"/>
      <c r="OAT1" s="224"/>
      <c r="OAU1" s="224"/>
      <c r="OAV1" s="224"/>
      <c r="OAW1" s="224"/>
      <c r="OAX1" s="224"/>
      <c r="OAY1" s="224"/>
      <c r="OAZ1" s="224"/>
      <c r="OBA1" s="224"/>
      <c r="OBB1" s="224"/>
      <c r="OBC1" s="224"/>
      <c r="OBD1" s="224"/>
      <c r="OBE1" s="224"/>
      <c r="OBF1" s="224"/>
      <c r="OBG1" s="224"/>
      <c r="OBH1" s="224"/>
      <c r="OBI1" s="224"/>
      <c r="OBJ1" s="224"/>
      <c r="OBK1" s="224"/>
      <c r="OBL1" s="224"/>
      <c r="OBM1" s="224"/>
      <c r="OBN1" s="224"/>
      <c r="OBO1" s="224"/>
      <c r="OBP1" s="224"/>
      <c r="OBQ1" s="224"/>
      <c r="OBR1" s="224"/>
      <c r="OBS1" s="224"/>
      <c r="OBT1" s="224"/>
      <c r="OBU1" s="224"/>
      <c r="OBV1" s="224"/>
      <c r="OBW1" s="224"/>
      <c r="OBX1" s="224"/>
      <c r="OBY1" s="224"/>
      <c r="OBZ1" s="224"/>
      <c r="OCA1" s="224"/>
      <c r="OCB1" s="224"/>
      <c r="OCC1" s="224"/>
      <c r="OCD1" s="224"/>
      <c r="OCE1" s="224"/>
      <c r="OCF1" s="224"/>
      <c r="OCG1" s="224"/>
      <c r="OCH1" s="224"/>
      <c r="OCI1" s="224"/>
      <c r="OCJ1" s="224"/>
      <c r="OCK1" s="224"/>
      <c r="OCL1" s="224"/>
      <c r="OCM1" s="224"/>
      <c r="OCN1" s="224"/>
      <c r="OCO1" s="224"/>
      <c r="OCP1" s="224"/>
      <c r="OCQ1" s="224"/>
      <c r="OCR1" s="224"/>
      <c r="OCS1" s="224"/>
      <c r="OCT1" s="224"/>
      <c r="OCU1" s="224"/>
      <c r="OCV1" s="224"/>
      <c r="OCW1" s="224"/>
      <c r="OCX1" s="224"/>
      <c r="OCY1" s="224"/>
      <c r="OCZ1" s="224"/>
      <c r="ODA1" s="224"/>
      <c r="ODB1" s="224"/>
      <c r="ODC1" s="224"/>
      <c r="ODD1" s="224"/>
      <c r="ODE1" s="224"/>
      <c r="ODF1" s="224"/>
      <c r="ODG1" s="224"/>
      <c r="ODH1" s="224"/>
      <c r="ODI1" s="224"/>
      <c r="ODJ1" s="224"/>
      <c r="ODK1" s="224"/>
      <c r="ODL1" s="224"/>
      <c r="ODM1" s="224"/>
      <c r="ODN1" s="224"/>
      <c r="ODO1" s="224"/>
      <c r="ODP1" s="224"/>
      <c r="ODQ1" s="224"/>
      <c r="ODR1" s="224"/>
      <c r="ODS1" s="224"/>
      <c r="ODT1" s="224"/>
      <c r="ODU1" s="224"/>
      <c r="ODV1" s="224"/>
      <c r="ODW1" s="224"/>
      <c r="ODX1" s="224"/>
      <c r="ODY1" s="224"/>
      <c r="ODZ1" s="224"/>
      <c r="OEA1" s="224"/>
      <c r="OEB1" s="224"/>
      <c r="OEC1" s="224"/>
      <c r="OED1" s="224"/>
      <c r="OEE1" s="224"/>
      <c r="OEF1" s="224"/>
      <c r="OEG1" s="224"/>
      <c r="OEH1" s="224"/>
      <c r="OEI1" s="224"/>
      <c r="OEJ1" s="224"/>
      <c r="OEK1" s="224"/>
      <c r="OEL1" s="224"/>
      <c r="OEM1" s="224"/>
      <c r="OEN1" s="224"/>
      <c r="OEO1" s="224"/>
      <c r="OEP1" s="224"/>
      <c r="OEQ1" s="224"/>
      <c r="OER1" s="224"/>
      <c r="OES1" s="224"/>
      <c r="OET1" s="224"/>
      <c r="OEU1" s="224"/>
      <c r="OEV1" s="224"/>
      <c r="OEW1" s="224"/>
      <c r="OEX1" s="224"/>
      <c r="OEY1" s="224"/>
      <c r="OEZ1" s="224"/>
      <c r="OFA1" s="224"/>
      <c r="OFB1" s="224"/>
      <c r="OFC1" s="224"/>
      <c r="OFD1" s="224"/>
      <c r="OFE1" s="224"/>
      <c r="OFF1" s="224"/>
      <c r="OFG1" s="224"/>
      <c r="OFH1" s="224"/>
      <c r="OFI1" s="224"/>
      <c r="OFJ1" s="224"/>
      <c r="OFK1" s="224"/>
      <c r="OFL1" s="224"/>
      <c r="OFM1" s="224"/>
      <c r="OFN1" s="224"/>
      <c r="OFO1" s="224"/>
      <c r="OFP1" s="224"/>
      <c r="OFQ1" s="224"/>
      <c r="OFR1" s="224"/>
      <c r="OFS1" s="224"/>
      <c r="OFT1" s="224"/>
      <c r="OFU1" s="224"/>
      <c r="OFV1" s="224"/>
      <c r="OFW1" s="224"/>
      <c r="OFX1" s="224"/>
      <c r="OFY1" s="224"/>
      <c r="OFZ1" s="224"/>
      <c r="OGA1" s="224"/>
      <c r="OGB1" s="224"/>
      <c r="OGC1" s="224"/>
      <c r="OGD1" s="224"/>
      <c r="OGE1" s="224"/>
      <c r="OGF1" s="224"/>
      <c r="OGG1" s="224"/>
      <c r="OGH1" s="224"/>
      <c r="OGI1" s="224"/>
      <c r="OGJ1" s="224"/>
      <c r="OGK1" s="224"/>
      <c r="OGL1" s="224"/>
      <c r="OGM1" s="224"/>
      <c r="OGN1" s="224"/>
      <c r="OGO1" s="224"/>
      <c r="OGP1" s="224"/>
      <c r="OGQ1" s="224"/>
      <c r="OGR1" s="224"/>
      <c r="OGS1" s="224"/>
      <c r="OGT1" s="224"/>
      <c r="OGU1" s="224"/>
      <c r="OGV1" s="224"/>
      <c r="OGW1" s="224"/>
      <c r="OGX1" s="224"/>
      <c r="OGY1" s="224"/>
      <c r="OGZ1" s="224"/>
      <c r="OHA1" s="224"/>
      <c r="OHB1" s="224"/>
      <c r="OHC1" s="224"/>
      <c r="OHD1" s="224"/>
      <c r="OHE1" s="224"/>
      <c r="OHF1" s="224"/>
      <c r="OHG1" s="224"/>
      <c r="OHH1" s="224"/>
      <c r="OHI1" s="224"/>
      <c r="OHJ1" s="224"/>
      <c r="OHK1" s="224"/>
      <c r="OHL1" s="224"/>
      <c r="OHM1" s="224"/>
      <c r="OHN1" s="224"/>
      <c r="OHO1" s="224"/>
      <c r="OHP1" s="224"/>
      <c r="OHQ1" s="224"/>
      <c r="OHR1" s="224"/>
      <c r="OHS1" s="224"/>
      <c r="OHT1" s="224"/>
      <c r="OHU1" s="224"/>
      <c r="OHV1" s="224"/>
      <c r="OHW1" s="224"/>
      <c r="OHX1" s="224"/>
      <c r="OHY1" s="224"/>
      <c r="OHZ1" s="224"/>
      <c r="OIA1" s="224"/>
      <c r="OIB1" s="224"/>
      <c r="OIC1" s="224"/>
      <c r="OID1" s="224"/>
      <c r="OIE1" s="224"/>
      <c r="OIF1" s="224"/>
      <c r="OIG1" s="224"/>
      <c r="OIH1" s="224"/>
      <c r="OII1" s="224"/>
      <c r="OIJ1" s="224"/>
      <c r="OIK1" s="224"/>
      <c r="OIL1" s="224"/>
      <c r="OIM1" s="224"/>
      <c r="OIN1" s="224"/>
      <c r="OIO1" s="224"/>
      <c r="OIP1" s="224"/>
      <c r="OIQ1" s="224"/>
      <c r="OIR1" s="224"/>
      <c r="OIS1" s="224"/>
      <c r="OIT1" s="224"/>
      <c r="OIU1" s="224"/>
      <c r="OIV1" s="224"/>
      <c r="OIW1" s="224"/>
      <c r="OIX1" s="224"/>
      <c r="OIY1" s="224"/>
      <c r="OIZ1" s="224"/>
      <c r="OJA1" s="224"/>
      <c r="OJB1" s="224"/>
      <c r="OJC1" s="224"/>
      <c r="OJD1" s="224"/>
      <c r="OJE1" s="224"/>
      <c r="OJF1" s="224"/>
      <c r="OJG1" s="224"/>
      <c r="OJH1" s="224"/>
      <c r="OJI1" s="224"/>
      <c r="OJJ1" s="224"/>
      <c r="OJK1" s="224"/>
      <c r="OJL1" s="224"/>
      <c r="OJM1" s="224"/>
      <c r="OJN1" s="224"/>
      <c r="OJO1" s="224"/>
      <c r="OJP1" s="224"/>
      <c r="OJQ1" s="224"/>
      <c r="OJR1" s="224"/>
      <c r="OJS1" s="224"/>
      <c r="OJT1" s="224"/>
      <c r="OJU1" s="224"/>
      <c r="OJV1" s="224"/>
      <c r="OJW1" s="224"/>
      <c r="OJX1" s="224"/>
      <c r="OJY1" s="224"/>
      <c r="OJZ1" s="224"/>
      <c r="OKA1" s="224"/>
      <c r="OKB1" s="224"/>
      <c r="OKC1" s="224"/>
      <c r="OKD1" s="224"/>
      <c r="OKE1" s="224"/>
      <c r="OKF1" s="224"/>
      <c r="OKG1" s="224"/>
      <c r="OKH1" s="224"/>
      <c r="OKI1" s="224"/>
      <c r="OKJ1" s="224"/>
      <c r="OKK1" s="224"/>
      <c r="OKL1" s="224"/>
      <c r="OKM1" s="224"/>
      <c r="OKN1" s="224"/>
      <c r="OKO1" s="224"/>
      <c r="OKP1" s="224"/>
      <c r="OKQ1" s="224"/>
      <c r="OKR1" s="224"/>
      <c r="OKS1" s="224"/>
      <c r="OKT1" s="224"/>
      <c r="OKU1" s="224"/>
      <c r="OKV1" s="224"/>
      <c r="OKW1" s="224"/>
      <c r="OKX1" s="224"/>
      <c r="OKY1" s="224"/>
      <c r="OKZ1" s="224"/>
      <c r="OLA1" s="224"/>
      <c r="OLB1" s="224"/>
      <c r="OLC1" s="224"/>
      <c r="OLD1" s="224"/>
      <c r="OLE1" s="224"/>
      <c r="OLF1" s="224"/>
      <c r="OLG1" s="224"/>
      <c r="OLH1" s="224"/>
      <c r="OLI1" s="224"/>
      <c r="OLJ1" s="224"/>
      <c r="OLK1" s="224"/>
      <c r="OLL1" s="224"/>
      <c r="OLM1" s="224"/>
      <c r="OLN1" s="224"/>
      <c r="OLO1" s="224"/>
      <c r="OLP1" s="224"/>
      <c r="OLQ1" s="224"/>
      <c r="OLR1" s="224"/>
      <c r="OLS1" s="224"/>
      <c r="OLT1" s="224"/>
      <c r="OLU1" s="224"/>
      <c r="OLV1" s="224"/>
      <c r="OLW1" s="224"/>
      <c r="OLX1" s="224"/>
      <c r="OLY1" s="224"/>
      <c r="OLZ1" s="224"/>
      <c r="OMA1" s="224"/>
      <c r="OMB1" s="224"/>
      <c r="OMC1" s="224"/>
      <c r="OMD1" s="224"/>
      <c r="OME1" s="224"/>
      <c r="OMF1" s="224"/>
      <c r="OMG1" s="224"/>
      <c r="OMH1" s="224"/>
      <c r="OMI1" s="224"/>
      <c r="OMJ1" s="224"/>
      <c r="OMK1" s="224"/>
      <c r="OML1" s="224"/>
      <c r="OMM1" s="224"/>
      <c r="OMN1" s="224"/>
      <c r="OMO1" s="224"/>
      <c r="OMP1" s="224"/>
      <c r="OMQ1" s="224"/>
      <c r="OMR1" s="224"/>
      <c r="OMS1" s="224"/>
      <c r="OMT1" s="224"/>
      <c r="OMU1" s="224"/>
      <c r="OMV1" s="224"/>
      <c r="OMW1" s="224"/>
      <c r="OMX1" s="224"/>
      <c r="OMY1" s="224"/>
      <c r="OMZ1" s="224"/>
      <c r="ONA1" s="224"/>
      <c r="ONB1" s="224"/>
      <c r="ONC1" s="224"/>
      <c r="OND1" s="224"/>
      <c r="ONE1" s="224"/>
      <c r="ONF1" s="224"/>
      <c r="ONG1" s="224"/>
      <c r="ONH1" s="224"/>
      <c r="ONI1" s="224"/>
      <c r="ONJ1" s="224"/>
      <c r="ONK1" s="224"/>
      <c r="ONL1" s="224"/>
      <c r="ONM1" s="224"/>
      <c r="ONN1" s="224"/>
      <c r="ONO1" s="224"/>
      <c r="ONP1" s="224"/>
      <c r="ONQ1" s="224"/>
      <c r="ONR1" s="224"/>
      <c r="ONS1" s="224"/>
      <c r="ONT1" s="224"/>
      <c r="ONU1" s="224"/>
      <c r="ONV1" s="224"/>
      <c r="ONW1" s="224"/>
      <c r="ONX1" s="224"/>
      <c r="ONY1" s="224"/>
      <c r="ONZ1" s="224"/>
      <c r="OOA1" s="224"/>
      <c r="OOB1" s="224"/>
      <c r="OOC1" s="224"/>
      <c r="OOD1" s="224"/>
      <c r="OOE1" s="224"/>
      <c r="OOF1" s="224"/>
      <c r="OOG1" s="224"/>
      <c r="OOH1" s="224"/>
      <c r="OOI1" s="224"/>
      <c r="OOJ1" s="224"/>
      <c r="OOK1" s="224"/>
      <c r="OOL1" s="224"/>
      <c r="OOM1" s="224"/>
      <c r="OON1" s="224"/>
      <c r="OOO1" s="224"/>
      <c r="OOP1" s="224"/>
      <c r="OOQ1" s="224"/>
      <c r="OOR1" s="224"/>
      <c r="OOS1" s="224"/>
      <c r="OOT1" s="224"/>
      <c r="OOU1" s="224"/>
      <c r="OOV1" s="224"/>
      <c r="OOW1" s="224"/>
      <c r="OOX1" s="224"/>
      <c r="OOY1" s="224"/>
      <c r="OOZ1" s="224"/>
      <c r="OPA1" s="224"/>
      <c r="OPB1" s="224"/>
      <c r="OPC1" s="224"/>
      <c r="OPD1" s="224"/>
      <c r="OPE1" s="224"/>
      <c r="OPF1" s="224"/>
      <c r="OPG1" s="224"/>
      <c r="OPH1" s="224"/>
      <c r="OPI1" s="224"/>
      <c r="OPJ1" s="224"/>
      <c r="OPK1" s="224"/>
      <c r="OPL1" s="224"/>
      <c r="OPM1" s="224"/>
      <c r="OPN1" s="224"/>
      <c r="OPO1" s="224"/>
      <c r="OPP1" s="224"/>
      <c r="OPQ1" s="224"/>
      <c r="OPR1" s="224"/>
      <c r="OPS1" s="224"/>
      <c r="OPT1" s="224"/>
      <c r="OPU1" s="224"/>
      <c r="OPV1" s="224"/>
      <c r="OPW1" s="224"/>
      <c r="OPX1" s="224"/>
      <c r="OPY1" s="224"/>
      <c r="OPZ1" s="224"/>
      <c r="OQA1" s="224"/>
      <c r="OQB1" s="224"/>
      <c r="OQC1" s="224"/>
      <c r="OQD1" s="224"/>
      <c r="OQE1" s="224"/>
      <c r="OQF1" s="224"/>
      <c r="OQG1" s="224"/>
      <c r="OQH1" s="224"/>
      <c r="OQI1" s="224"/>
      <c r="OQJ1" s="224"/>
      <c r="OQK1" s="224"/>
      <c r="OQL1" s="224"/>
      <c r="OQM1" s="224"/>
      <c r="OQN1" s="224"/>
      <c r="OQO1" s="224"/>
      <c r="OQP1" s="224"/>
      <c r="OQQ1" s="224"/>
      <c r="OQR1" s="224"/>
      <c r="OQS1" s="224"/>
      <c r="OQT1" s="224"/>
      <c r="OQU1" s="224"/>
      <c r="OQV1" s="224"/>
      <c r="OQW1" s="224"/>
      <c r="OQX1" s="224"/>
      <c r="OQY1" s="224"/>
      <c r="OQZ1" s="224"/>
      <c r="ORA1" s="224"/>
      <c r="ORB1" s="224"/>
      <c r="ORC1" s="224"/>
      <c r="ORD1" s="224"/>
      <c r="ORE1" s="224"/>
      <c r="ORF1" s="224"/>
      <c r="ORG1" s="224"/>
      <c r="ORH1" s="224"/>
      <c r="ORI1" s="224"/>
      <c r="ORJ1" s="224"/>
      <c r="ORK1" s="224"/>
      <c r="ORL1" s="224"/>
      <c r="ORM1" s="224"/>
      <c r="ORN1" s="224"/>
      <c r="ORO1" s="224"/>
      <c r="ORP1" s="224"/>
      <c r="ORQ1" s="224"/>
      <c r="ORR1" s="224"/>
      <c r="ORS1" s="224"/>
      <c r="ORT1" s="224"/>
      <c r="ORU1" s="224"/>
      <c r="ORV1" s="224"/>
      <c r="ORW1" s="224"/>
      <c r="ORX1" s="224"/>
      <c r="ORY1" s="224"/>
      <c r="ORZ1" s="224"/>
      <c r="OSA1" s="224"/>
      <c r="OSB1" s="224"/>
      <c r="OSC1" s="224"/>
      <c r="OSD1" s="224"/>
      <c r="OSE1" s="224"/>
      <c r="OSF1" s="224"/>
      <c r="OSG1" s="224"/>
      <c r="OSH1" s="224"/>
      <c r="OSI1" s="224"/>
      <c r="OSJ1" s="224"/>
      <c r="OSK1" s="224"/>
      <c r="OSL1" s="224"/>
      <c r="OSM1" s="224"/>
      <c r="OSN1" s="224"/>
      <c r="OSO1" s="224"/>
      <c r="OSP1" s="224"/>
      <c r="OSQ1" s="224"/>
      <c r="OSR1" s="224"/>
      <c r="OSS1" s="224"/>
      <c r="OST1" s="224"/>
      <c r="OSU1" s="224"/>
      <c r="OSV1" s="224"/>
      <c r="OSW1" s="224"/>
      <c r="OSX1" s="224"/>
      <c r="OSY1" s="224"/>
      <c r="OSZ1" s="224"/>
      <c r="OTA1" s="224"/>
      <c r="OTB1" s="224"/>
      <c r="OTC1" s="224"/>
      <c r="OTD1" s="224"/>
      <c r="OTE1" s="224"/>
      <c r="OTF1" s="224"/>
      <c r="OTG1" s="224"/>
      <c r="OTH1" s="224"/>
      <c r="OTI1" s="224"/>
      <c r="OTJ1" s="224"/>
      <c r="OTK1" s="224"/>
      <c r="OTL1" s="224"/>
      <c r="OTM1" s="224"/>
      <c r="OTN1" s="224"/>
      <c r="OTO1" s="224"/>
      <c r="OTP1" s="224"/>
      <c r="OTQ1" s="224"/>
      <c r="OTR1" s="224"/>
      <c r="OTS1" s="224"/>
      <c r="OTT1" s="224"/>
      <c r="OTU1" s="224"/>
      <c r="OTV1" s="224"/>
      <c r="OTW1" s="224"/>
      <c r="OTX1" s="224"/>
      <c r="OTY1" s="224"/>
      <c r="OTZ1" s="224"/>
      <c r="OUA1" s="224"/>
      <c r="OUB1" s="224"/>
      <c r="OUC1" s="224"/>
      <c r="OUD1" s="224"/>
      <c r="OUE1" s="224"/>
      <c r="OUF1" s="224"/>
      <c r="OUG1" s="224"/>
      <c r="OUH1" s="224"/>
      <c r="OUI1" s="224"/>
      <c r="OUJ1" s="224"/>
      <c r="OUK1" s="224"/>
      <c r="OUL1" s="224"/>
      <c r="OUM1" s="224"/>
      <c r="OUN1" s="224"/>
      <c r="OUO1" s="224"/>
      <c r="OUP1" s="224"/>
      <c r="OUQ1" s="224"/>
      <c r="OUR1" s="224"/>
      <c r="OUS1" s="224"/>
      <c r="OUT1" s="224"/>
      <c r="OUU1" s="224"/>
      <c r="OUV1" s="224"/>
      <c r="OUW1" s="224"/>
      <c r="OUX1" s="224"/>
      <c r="OUY1" s="224"/>
      <c r="OUZ1" s="224"/>
      <c r="OVA1" s="224"/>
      <c r="OVB1" s="224"/>
      <c r="OVC1" s="224"/>
      <c r="OVD1" s="224"/>
      <c r="OVE1" s="224"/>
      <c r="OVF1" s="224"/>
      <c r="OVG1" s="224"/>
      <c r="OVH1" s="224"/>
      <c r="OVI1" s="224"/>
      <c r="OVJ1" s="224"/>
      <c r="OVK1" s="224"/>
      <c r="OVL1" s="224"/>
      <c r="OVM1" s="224"/>
      <c r="OVN1" s="224"/>
      <c r="OVO1" s="224"/>
      <c r="OVP1" s="224"/>
      <c r="OVQ1" s="224"/>
      <c r="OVR1" s="224"/>
      <c r="OVS1" s="224"/>
      <c r="OVT1" s="224"/>
      <c r="OVU1" s="224"/>
      <c r="OVV1" s="224"/>
      <c r="OVW1" s="224"/>
      <c r="OVX1" s="224"/>
      <c r="OVY1" s="224"/>
      <c r="OVZ1" s="224"/>
      <c r="OWA1" s="224"/>
      <c r="OWB1" s="224"/>
      <c r="OWC1" s="224"/>
      <c r="OWD1" s="224"/>
      <c r="OWE1" s="224"/>
      <c r="OWF1" s="224"/>
      <c r="OWG1" s="224"/>
      <c r="OWH1" s="224"/>
      <c r="OWI1" s="224"/>
      <c r="OWJ1" s="224"/>
      <c r="OWK1" s="224"/>
      <c r="OWL1" s="224"/>
      <c r="OWM1" s="224"/>
      <c r="OWN1" s="224"/>
      <c r="OWO1" s="224"/>
      <c r="OWP1" s="224"/>
      <c r="OWQ1" s="224"/>
      <c r="OWR1" s="224"/>
      <c r="OWS1" s="224"/>
      <c r="OWT1" s="224"/>
      <c r="OWU1" s="224"/>
      <c r="OWV1" s="224"/>
      <c r="OWW1" s="224"/>
      <c r="OWX1" s="224"/>
      <c r="OWY1" s="224"/>
      <c r="OWZ1" s="224"/>
      <c r="OXA1" s="224"/>
      <c r="OXB1" s="224"/>
      <c r="OXC1" s="224"/>
      <c r="OXD1" s="224"/>
      <c r="OXE1" s="224"/>
      <c r="OXF1" s="224"/>
      <c r="OXG1" s="224"/>
      <c r="OXH1" s="224"/>
      <c r="OXI1" s="224"/>
      <c r="OXJ1" s="224"/>
      <c r="OXK1" s="224"/>
      <c r="OXL1" s="224"/>
      <c r="OXM1" s="224"/>
      <c r="OXN1" s="224"/>
      <c r="OXO1" s="224"/>
      <c r="OXP1" s="224"/>
      <c r="OXQ1" s="224"/>
      <c r="OXR1" s="224"/>
      <c r="OXS1" s="224"/>
      <c r="OXT1" s="224"/>
      <c r="OXU1" s="224"/>
      <c r="OXV1" s="224"/>
      <c r="OXW1" s="224"/>
      <c r="OXX1" s="224"/>
      <c r="OXY1" s="224"/>
      <c r="OXZ1" s="224"/>
      <c r="OYA1" s="224"/>
      <c r="OYB1" s="224"/>
      <c r="OYC1" s="224"/>
      <c r="OYD1" s="224"/>
      <c r="OYE1" s="224"/>
      <c r="OYF1" s="224"/>
      <c r="OYG1" s="224"/>
      <c r="OYH1" s="224"/>
      <c r="OYI1" s="224"/>
      <c r="OYJ1" s="224"/>
      <c r="OYK1" s="224"/>
      <c r="OYL1" s="224"/>
      <c r="OYM1" s="224"/>
      <c r="OYN1" s="224"/>
      <c r="OYO1" s="224"/>
      <c r="OYP1" s="224"/>
      <c r="OYQ1" s="224"/>
      <c r="OYR1" s="224"/>
      <c r="OYS1" s="224"/>
      <c r="OYT1" s="224"/>
      <c r="OYU1" s="224"/>
      <c r="OYV1" s="224"/>
      <c r="OYW1" s="224"/>
      <c r="OYX1" s="224"/>
      <c r="OYY1" s="224"/>
      <c r="OYZ1" s="224"/>
      <c r="OZA1" s="224"/>
      <c r="OZB1" s="224"/>
      <c r="OZC1" s="224"/>
      <c r="OZD1" s="224"/>
      <c r="OZE1" s="224"/>
      <c r="OZF1" s="224"/>
      <c r="OZG1" s="224"/>
      <c r="OZH1" s="224"/>
      <c r="OZI1" s="224"/>
      <c r="OZJ1" s="224"/>
      <c r="OZK1" s="224"/>
      <c r="OZL1" s="224"/>
      <c r="OZM1" s="224"/>
      <c r="OZN1" s="224"/>
      <c r="OZO1" s="224"/>
      <c r="OZP1" s="224"/>
      <c r="OZQ1" s="224"/>
      <c r="OZR1" s="224"/>
      <c r="OZS1" s="224"/>
      <c r="OZT1" s="224"/>
      <c r="OZU1" s="224"/>
      <c r="OZV1" s="224"/>
      <c r="OZW1" s="224"/>
      <c r="OZX1" s="224"/>
      <c r="OZY1" s="224"/>
      <c r="OZZ1" s="224"/>
      <c r="PAA1" s="224"/>
      <c r="PAB1" s="224"/>
      <c r="PAC1" s="224"/>
      <c r="PAD1" s="224"/>
      <c r="PAE1" s="224"/>
      <c r="PAF1" s="224"/>
      <c r="PAG1" s="224"/>
      <c r="PAH1" s="224"/>
      <c r="PAI1" s="224"/>
      <c r="PAJ1" s="224"/>
      <c r="PAK1" s="224"/>
      <c r="PAL1" s="224"/>
      <c r="PAM1" s="224"/>
      <c r="PAN1" s="224"/>
      <c r="PAO1" s="224"/>
      <c r="PAP1" s="224"/>
      <c r="PAQ1" s="224"/>
      <c r="PAR1" s="224"/>
      <c r="PAS1" s="224"/>
      <c r="PAT1" s="224"/>
      <c r="PAU1" s="224"/>
      <c r="PAV1" s="224"/>
      <c r="PAW1" s="224"/>
      <c r="PAX1" s="224"/>
      <c r="PAY1" s="224"/>
      <c r="PAZ1" s="224"/>
      <c r="PBA1" s="224"/>
      <c r="PBB1" s="224"/>
      <c r="PBC1" s="224"/>
      <c r="PBD1" s="224"/>
      <c r="PBE1" s="224"/>
      <c r="PBF1" s="224"/>
      <c r="PBG1" s="224"/>
      <c r="PBH1" s="224"/>
      <c r="PBI1" s="224"/>
      <c r="PBJ1" s="224"/>
      <c r="PBK1" s="224"/>
      <c r="PBL1" s="224"/>
      <c r="PBM1" s="224"/>
      <c r="PBN1" s="224"/>
      <c r="PBO1" s="224"/>
      <c r="PBP1" s="224"/>
      <c r="PBQ1" s="224"/>
      <c r="PBR1" s="224"/>
      <c r="PBS1" s="224"/>
      <c r="PBT1" s="224"/>
      <c r="PBU1" s="224"/>
      <c r="PBV1" s="224"/>
      <c r="PBW1" s="224"/>
      <c r="PBX1" s="224"/>
      <c r="PBY1" s="224"/>
      <c r="PBZ1" s="224"/>
      <c r="PCA1" s="224"/>
      <c r="PCB1" s="224"/>
      <c r="PCC1" s="224"/>
      <c r="PCD1" s="224"/>
      <c r="PCE1" s="224"/>
      <c r="PCF1" s="224"/>
      <c r="PCG1" s="224"/>
      <c r="PCH1" s="224"/>
      <c r="PCI1" s="224"/>
      <c r="PCJ1" s="224"/>
      <c r="PCK1" s="224"/>
      <c r="PCL1" s="224"/>
      <c r="PCM1" s="224"/>
      <c r="PCN1" s="224"/>
      <c r="PCO1" s="224"/>
      <c r="PCP1" s="224"/>
      <c r="PCQ1" s="224"/>
      <c r="PCR1" s="224"/>
      <c r="PCS1" s="224"/>
      <c r="PCT1" s="224"/>
      <c r="PCU1" s="224"/>
      <c r="PCV1" s="224"/>
      <c r="PCW1" s="224"/>
      <c r="PCX1" s="224"/>
      <c r="PCY1" s="224"/>
      <c r="PCZ1" s="224"/>
      <c r="PDA1" s="224"/>
      <c r="PDB1" s="224"/>
      <c r="PDC1" s="224"/>
      <c r="PDD1" s="224"/>
      <c r="PDE1" s="224"/>
      <c r="PDF1" s="224"/>
      <c r="PDG1" s="224"/>
      <c r="PDH1" s="224"/>
      <c r="PDI1" s="224"/>
      <c r="PDJ1" s="224"/>
      <c r="PDK1" s="224"/>
      <c r="PDL1" s="224"/>
      <c r="PDM1" s="224"/>
      <c r="PDN1" s="224"/>
      <c r="PDO1" s="224"/>
      <c r="PDP1" s="224"/>
      <c r="PDQ1" s="224"/>
      <c r="PDR1" s="224"/>
      <c r="PDS1" s="224"/>
      <c r="PDT1" s="224"/>
      <c r="PDU1" s="224"/>
      <c r="PDV1" s="224"/>
      <c r="PDW1" s="224"/>
      <c r="PDX1" s="224"/>
      <c r="PDY1" s="224"/>
      <c r="PDZ1" s="224"/>
      <c r="PEA1" s="224"/>
      <c r="PEB1" s="224"/>
      <c r="PEC1" s="224"/>
      <c r="PED1" s="224"/>
      <c r="PEE1" s="224"/>
      <c r="PEF1" s="224"/>
      <c r="PEG1" s="224"/>
      <c r="PEH1" s="224"/>
      <c r="PEI1" s="224"/>
      <c r="PEJ1" s="224"/>
      <c r="PEK1" s="224"/>
      <c r="PEL1" s="224"/>
      <c r="PEM1" s="224"/>
      <c r="PEN1" s="224"/>
      <c r="PEO1" s="224"/>
      <c r="PEP1" s="224"/>
      <c r="PEQ1" s="224"/>
      <c r="PER1" s="224"/>
      <c r="PES1" s="224"/>
      <c r="PET1" s="224"/>
      <c r="PEU1" s="224"/>
      <c r="PEV1" s="224"/>
      <c r="PEW1" s="224"/>
      <c r="PEX1" s="224"/>
      <c r="PEY1" s="224"/>
      <c r="PEZ1" s="224"/>
      <c r="PFA1" s="224"/>
      <c r="PFB1" s="224"/>
      <c r="PFC1" s="224"/>
      <c r="PFD1" s="224"/>
      <c r="PFE1" s="224"/>
      <c r="PFF1" s="224"/>
      <c r="PFG1" s="224"/>
      <c r="PFH1" s="224"/>
      <c r="PFI1" s="224"/>
      <c r="PFJ1" s="224"/>
      <c r="PFK1" s="224"/>
      <c r="PFL1" s="224"/>
      <c r="PFM1" s="224"/>
      <c r="PFN1" s="224"/>
      <c r="PFO1" s="224"/>
      <c r="PFP1" s="224"/>
      <c r="PFQ1" s="224"/>
      <c r="PFR1" s="224"/>
      <c r="PFS1" s="224"/>
      <c r="PFT1" s="224"/>
      <c r="PFU1" s="224"/>
      <c r="PFV1" s="224"/>
      <c r="PFW1" s="224"/>
      <c r="PFX1" s="224"/>
      <c r="PFY1" s="224"/>
      <c r="PFZ1" s="224"/>
      <c r="PGA1" s="224"/>
      <c r="PGB1" s="224"/>
      <c r="PGC1" s="224"/>
      <c r="PGD1" s="224"/>
      <c r="PGE1" s="224"/>
      <c r="PGF1" s="224"/>
      <c r="PGG1" s="224"/>
      <c r="PGH1" s="224"/>
      <c r="PGI1" s="224"/>
      <c r="PGJ1" s="224"/>
      <c r="PGK1" s="224"/>
      <c r="PGL1" s="224"/>
      <c r="PGM1" s="224"/>
      <c r="PGN1" s="224"/>
      <c r="PGO1" s="224"/>
      <c r="PGP1" s="224"/>
      <c r="PGQ1" s="224"/>
      <c r="PGR1" s="224"/>
      <c r="PGS1" s="224"/>
      <c r="PGT1" s="224"/>
      <c r="PGU1" s="224"/>
      <c r="PGV1" s="224"/>
      <c r="PGW1" s="224"/>
      <c r="PGX1" s="224"/>
      <c r="PGY1" s="224"/>
      <c r="PGZ1" s="224"/>
      <c r="PHA1" s="224"/>
      <c r="PHB1" s="224"/>
      <c r="PHC1" s="224"/>
      <c r="PHD1" s="224"/>
      <c r="PHE1" s="224"/>
      <c r="PHF1" s="224"/>
      <c r="PHG1" s="224"/>
      <c r="PHH1" s="224"/>
      <c r="PHI1" s="224"/>
      <c r="PHJ1" s="224"/>
      <c r="PHK1" s="224"/>
      <c r="PHL1" s="224"/>
      <c r="PHM1" s="224"/>
      <c r="PHN1" s="224"/>
      <c r="PHO1" s="224"/>
      <c r="PHP1" s="224"/>
      <c r="PHQ1" s="224"/>
      <c r="PHR1" s="224"/>
      <c r="PHS1" s="224"/>
      <c r="PHT1" s="224"/>
      <c r="PHU1" s="224"/>
      <c r="PHV1" s="224"/>
      <c r="PHW1" s="224"/>
      <c r="PHX1" s="224"/>
      <c r="PHY1" s="224"/>
      <c r="PHZ1" s="224"/>
      <c r="PIA1" s="224"/>
      <c r="PIB1" s="224"/>
      <c r="PIC1" s="224"/>
      <c r="PID1" s="224"/>
      <c r="PIE1" s="224"/>
      <c r="PIF1" s="224"/>
      <c r="PIG1" s="224"/>
      <c r="PIH1" s="224"/>
      <c r="PII1" s="224"/>
      <c r="PIJ1" s="224"/>
      <c r="PIK1" s="224"/>
      <c r="PIL1" s="224"/>
      <c r="PIM1" s="224"/>
      <c r="PIN1" s="224"/>
      <c r="PIO1" s="224"/>
      <c r="PIP1" s="224"/>
      <c r="PIQ1" s="224"/>
      <c r="PIR1" s="224"/>
      <c r="PIS1" s="224"/>
      <c r="PIT1" s="224"/>
      <c r="PIU1" s="224"/>
      <c r="PIV1" s="224"/>
      <c r="PIW1" s="224"/>
      <c r="PIX1" s="224"/>
      <c r="PIY1" s="224"/>
      <c r="PIZ1" s="224"/>
      <c r="PJA1" s="224"/>
      <c r="PJB1" s="224"/>
      <c r="PJC1" s="224"/>
      <c r="PJD1" s="224"/>
      <c r="PJE1" s="224"/>
      <c r="PJF1" s="224"/>
      <c r="PJG1" s="224"/>
      <c r="PJH1" s="224"/>
      <c r="PJI1" s="224"/>
      <c r="PJJ1" s="224"/>
      <c r="PJK1" s="224"/>
      <c r="PJL1" s="224"/>
      <c r="PJM1" s="224"/>
      <c r="PJN1" s="224"/>
      <c r="PJO1" s="224"/>
      <c r="PJP1" s="224"/>
      <c r="PJQ1" s="224"/>
      <c r="PJR1" s="224"/>
      <c r="PJS1" s="224"/>
      <c r="PJT1" s="224"/>
      <c r="PJU1" s="224"/>
      <c r="PJV1" s="224"/>
      <c r="PJW1" s="224"/>
      <c r="PJX1" s="224"/>
      <c r="PJY1" s="224"/>
      <c r="PJZ1" s="224"/>
      <c r="PKA1" s="224"/>
      <c r="PKB1" s="224"/>
      <c r="PKC1" s="224"/>
      <c r="PKD1" s="224"/>
      <c r="PKE1" s="224"/>
      <c r="PKF1" s="224"/>
      <c r="PKG1" s="224"/>
      <c r="PKH1" s="224"/>
      <c r="PKI1" s="224"/>
      <c r="PKJ1" s="224"/>
      <c r="PKK1" s="224"/>
      <c r="PKL1" s="224"/>
      <c r="PKM1" s="224"/>
      <c r="PKN1" s="224"/>
      <c r="PKO1" s="224"/>
      <c r="PKP1" s="224"/>
      <c r="PKQ1" s="224"/>
      <c r="PKR1" s="224"/>
      <c r="PKS1" s="224"/>
      <c r="PKT1" s="224"/>
      <c r="PKU1" s="224"/>
      <c r="PKV1" s="224"/>
      <c r="PKW1" s="224"/>
      <c r="PKX1" s="224"/>
      <c r="PKY1" s="224"/>
      <c r="PKZ1" s="224"/>
      <c r="PLA1" s="224"/>
      <c r="PLB1" s="224"/>
      <c r="PLC1" s="224"/>
      <c r="PLD1" s="224"/>
      <c r="PLE1" s="224"/>
      <c r="PLF1" s="224"/>
      <c r="PLG1" s="224"/>
      <c r="PLH1" s="224"/>
      <c r="PLI1" s="224"/>
      <c r="PLJ1" s="224"/>
      <c r="PLK1" s="224"/>
      <c r="PLL1" s="224"/>
      <c r="PLM1" s="224"/>
      <c r="PLN1" s="224"/>
      <c r="PLO1" s="224"/>
      <c r="PLP1" s="224"/>
      <c r="PLQ1" s="224"/>
      <c r="PLR1" s="224"/>
      <c r="PLS1" s="224"/>
      <c r="PLT1" s="224"/>
      <c r="PLU1" s="224"/>
      <c r="PLV1" s="224"/>
      <c r="PLW1" s="224"/>
      <c r="PLX1" s="224"/>
      <c r="PLY1" s="224"/>
      <c r="PLZ1" s="224"/>
      <c r="PMA1" s="224"/>
      <c r="PMB1" s="224"/>
      <c r="PMC1" s="224"/>
      <c r="PMD1" s="224"/>
      <c r="PME1" s="224"/>
      <c r="PMF1" s="224"/>
      <c r="PMG1" s="224"/>
      <c r="PMH1" s="224"/>
      <c r="PMI1" s="224"/>
      <c r="PMJ1" s="224"/>
      <c r="PMK1" s="224"/>
      <c r="PML1" s="224"/>
      <c r="PMM1" s="224"/>
      <c r="PMN1" s="224"/>
      <c r="PMO1" s="224"/>
      <c r="PMP1" s="224"/>
      <c r="PMQ1" s="224"/>
      <c r="PMR1" s="224"/>
      <c r="PMS1" s="224"/>
      <c r="PMT1" s="224"/>
      <c r="PMU1" s="224"/>
      <c r="PMV1" s="224"/>
      <c r="PMW1" s="224"/>
      <c r="PMX1" s="224"/>
      <c r="PMY1" s="224"/>
      <c r="PMZ1" s="224"/>
      <c r="PNA1" s="224"/>
      <c r="PNB1" s="224"/>
      <c r="PNC1" s="224"/>
      <c r="PND1" s="224"/>
      <c r="PNE1" s="224"/>
      <c r="PNF1" s="224"/>
      <c r="PNG1" s="224"/>
      <c r="PNH1" s="224"/>
      <c r="PNI1" s="224"/>
      <c r="PNJ1" s="224"/>
      <c r="PNK1" s="224"/>
      <c r="PNL1" s="224"/>
      <c r="PNM1" s="224"/>
      <c r="PNN1" s="224"/>
      <c r="PNO1" s="224"/>
      <c r="PNP1" s="224"/>
      <c r="PNQ1" s="224"/>
      <c r="PNR1" s="224"/>
      <c r="PNS1" s="224"/>
      <c r="PNT1" s="224"/>
      <c r="PNU1" s="224"/>
      <c r="PNV1" s="224"/>
      <c r="PNW1" s="224"/>
      <c r="PNX1" s="224"/>
      <c r="PNY1" s="224"/>
      <c r="PNZ1" s="224"/>
      <c r="POA1" s="224"/>
      <c r="POB1" s="224"/>
      <c r="POC1" s="224"/>
      <c r="POD1" s="224"/>
      <c r="POE1" s="224"/>
      <c r="POF1" s="224"/>
      <c r="POG1" s="224"/>
      <c r="POH1" s="224"/>
      <c r="POI1" s="224"/>
      <c r="POJ1" s="224"/>
      <c r="POK1" s="224"/>
      <c r="POL1" s="224"/>
      <c r="POM1" s="224"/>
      <c r="PON1" s="224"/>
      <c r="POO1" s="224"/>
      <c r="POP1" s="224"/>
      <c r="POQ1" s="224"/>
      <c r="POR1" s="224"/>
      <c r="POS1" s="224"/>
      <c r="POT1" s="224"/>
      <c r="POU1" s="224"/>
      <c r="POV1" s="224"/>
      <c r="POW1" s="224"/>
      <c r="POX1" s="224"/>
      <c r="POY1" s="224"/>
      <c r="POZ1" s="224"/>
      <c r="PPA1" s="224"/>
      <c r="PPB1" s="224"/>
      <c r="PPC1" s="224"/>
      <c r="PPD1" s="224"/>
      <c r="PPE1" s="224"/>
      <c r="PPF1" s="224"/>
      <c r="PPG1" s="224"/>
      <c r="PPH1" s="224"/>
      <c r="PPI1" s="224"/>
      <c r="PPJ1" s="224"/>
      <c r="PPK1" s="224"/>
      <c r="PPL1" s="224"/>
      <c r="PPM1" s="224"/>
      <c r="PPN1" s="224"/>
      <c r="PPO1" s="224"/>
      <c r="PPP1" s="224"/>
      <c r="PPQ1" s="224"/>
      <c r="PPR1" s="224"/>
      <c r="PPS1" s="224"/>
      <c r="PPT1" s="224"/>
      <c r="PPU1" s="224"/>
      <c r="PPV1" s="224"/>
      <c r="PPW1" s="224"/>
      <c r="PPX1" s="224"/>
      <c r="PPY1" s="224"/>
      <c r="PPZ1" s="224"/>
      <c r="PQA1" s="224"/>
      <c r="PQB1" s="224"/>
      <c r="PQC1" s="224"/>
      <c r="PQD1" s="224"/>
      <c r="PQE1" s="224"/>
      <c r="PQF1" s="224"/>
      <c r="PQG1" s="224"/>
      <c r="PQH1" s="224"/>
      <c r="PQI1" s="224"/>
      <c r="PQJ1" s="224"/>
      <c r="PQK1" s="224"/>
      <c r="PQL1" s="224"/>
      <c r="PQM1" s="224"/>
      <c r="PQN1" s="224"/>
      <c r="PQO1" s="224"/>
      <c r="PQP1" s="224"/>
      <c r="PQQ1" s="224"/>
      <c r="PQR1" s="224"/>
      <c r="PQS1" s="224"/>
      <c r="PQT1" s="224"/>
      <c r="PQU1" s="224"/>
      <c r="PQV1" s="224"/>
      <c r="PQW1" s="224"/>
      <c r="PQX1" s="224"/>
      <c r="PQY1" s="224"/>
      <c r="PQZ1" s="224"/>
      <c r="PRA1" s="224"/>
      <c r="PRB1" s="224"/>
      <c r="PRC1" s="224"/>
      <c r="PRD1" s="224"/>
      <c r="PRE1" s="224"/>
      <c r="PRF1" s="224"/>
      <c r="PRG1" s="224"/>
      <c r="PRH1" s="224"/>
      <c r="PRI1" s="224"/>
      <c r="PRJ1" s="224"/>
      <c r="PRK1" s="224"/>
      <c r="PRL1" s="224"/>
      <c r="PRM1" s="224"/>
      <c r="PRN1" s="224"/>
      <c r="PRO1" s="224"/>
      <c r="PRP1" s="224"/>
      <c r="PRQ1" s="224"/>
      <c r="PRR1" s="224"/>
      <c r="PRS1" s="224"/>
      <c r="PRT1" s="224"/>
      <c r="PRU1" s="224"/>
      <c r="PRV1" s="224"/>
      <c r="PRW1" s="224"/>
      <c r="PRX1" s="224"/>
      <c r="PRY1" s="224"/>
      <c r="PRZ1" s="224"/>
      <c r="PSA1" s="224"/>
      <c r="PSB1" s="224"/>
      <c r="PSC1" s="224"/>
      <c r="PSD1" s="224"/>
      <c r="PSE1" s="224"/>
      <c r="PSF1" s="224"/>
      <c r="PSG1" s="224"/>
      <c r="PSH1" s="224"/>
      <c r="PSI1" s="224"/>
      <c r="PSJ1" s="224"/>
      <c r="PSK1" s="224"/>
      <c r="PSL1" s="224"/>
      <c r="PSM1" s="224"/>
      <c r="PSN1" s="224"/>
      <c r="PSO1" s="224"/>
      <c r="PSP1" s="224"/>
      <c r="PSQ1" s="224"/>
      <c r="PSR1" s="224"/>
      <c r="PSS1" s="224"/>
      <c r="PST1" s="224"/>
      <c r="PSU1" s="224"/>
      <c r="PSV1" s="224"/>
      <c r="PSW1" s="224"/>
      <c r="PSX1" s="224"/>
      <c r="PSY1" s="224"/>
      <c r="PSZ1" s="224"/>
      <c r="PTA1" s="224"/>
      <c r="PTB1" s="224"/>
      <c r="PTC1" s="224"/>
      <c r="PTD1" s="224"/>
      <c r="PTE1" s="224"/>
      <c r="PTF1" s="224"/>
      <c r="PTG1" s="224"/>
      <c r="PTH1" s="224"/>
      <c r="PTI1" s="224"/>
      <c r="PTJ1" s="224"/>
      <c r="PTK1" s="224"/>
      <c r="PTL1" s="224"/>
      <c r="PTM1" s="224"/>
      <c r="PTN1" s="224"/>
      <c r="PTO1" s="224"/>
      <c r="PTP1" s="224"/>
      <c r="PTQ1" s="224"/>
      <c r="PTR1" s="224"/>
      <c r="PTS1" s="224"/>
      <c r="PTT1" s="224"/>
      <c r="PTU1" s="224"/>
      <c r="PTV1" s="224"/>
      <c r="PTW1" s="224"/>
      <c r="PTX1" s="224"/>
      <c r="PTY1" s="224"/>
      <c r="PTZ1" s="224"/>
      <c r="PUA1" s="224"/>
      <c r="PUB1" s="224"/>
      <c r="PUC1" s="224"/>
      <c r="PUD1" s="224"/>
      <c r="PUE1" s="224"/>
      <c r="PUF1" s="224"/>
      <c r="PUG1" s="224"/>
      <c r="PUH1" s="224"/>
      <c r="PUI1" s="224"/>
      <c r="PUJ1" s="224"/>
      <c r="PUK1" s="224"/>
      <c r="PUL1" s="224"/>
      <c r="PUM1" s="224"/>
      <c r="PUN1" s="224"/>
      <c r="PUO1" s="224"/>
      <c r="PUP1" s="224"/>
      <c r="PUQ1" s="224"/>
      <c r="PUR1" s="224"/>
      <c r="PUS1" s="224"/>
      <c r="PUT1" s="224"/>
      <c r="PUU1" s="224"/>
      <c r="PUV1" s="224"/>
      <c r="PUW1" s="224"/>
      <c r="PUX1" s="224"/>
      <c r="PUY1" s="224"/>
      <c r="PUZ1" s="224"/>
      <c r="PVA1" s="224"/>
      <c r="PVB1" s="224"/>
      <c r="PVC1" s="224"/>
      <c r="PVD1" s="224"/>
      <c r="PVE1" s="224"/>
      <c r="PVF1" s="224"/>
      <c r="PVG1" s="224"/>
      <c r="PVH1" s="224"/>
      <c r="PVI1" s="224"/>
      <c r="PVJ1" s="224"/>
      <c r="PVK1" s="224"/>
      <c r="PVL1" s="224"/>
      <c r="PVM1" s="224"/>
      <c r="PVN1" s="224"/>
      <c r="PVO1" s="224"/>
      <c r="PVP1" s="224"/>
      <c r="PVQ1" s="224"/>
      <c r="PVR1" s="224"/>
      <c r="PVS1" s="224"/>
      <c r="PVT1" s="224"/>
      <c r="PVU1" s="224"/>
      <c r="PVV1" s="224"/>
      <c r="PVW1" s="224"/>
      <c r="PVX1" s="224"/>
      <c r="PVY1" s="224"/>
      <c r="PVZ1" s="224"/>
      <c r="PWA1" s="224"/>
      <c r="PWB1" s="224"/>
      <c r="PWC1" s="224"/>
      <c r="PWD1" s="224"/>
      <c r="PWE1" s="224"/>
      <c r="PWF1" s="224"/>
      <c r="PWG1" s="224"/>
      <c r="PWH1" s="224"/>
      <c r="PWI1" s="224"/>
      <c r="PWJ1" s="224"/>
      <c r="PWK1" s="224"/>
      <c r="PWL1" s="224"/>
      <c r="PWM1" s="224"/>
      <c r="PWN1" s="224"/>
      <c r="PWO1" s="224"/>
      <c r="PWP1" s="224"/>
      <c r="PWQ1" s="224"/>
      <c r="PWR1" s="224"/>
      <c r="PWS1" s="224"/>
      <c r="PWT1" s="224"/>
      <c r="PWU1" s="224"/>
      <c r="PWV1" s="224"/>
      <c r="PWW1" s="224"/>
      <c r="PWX1" s="224"/>
      <c r="PWY1" s="224"/>
      <c r="PWZ1" s="224"/>
      <c r="PXA1" s="224"/>
      <c r="PXB1" s="224"/>
      <c r="PXC1" s="224"/>
      <c r="PXD1" s="224"/>
      <c r="PXE1" s="224"/>
      <c r="PXF1" s="224"/>
      <c r="PXG1" s="224"/>
      <c r="PXH1" s="224"/>
      <c r="PXI1" s="224"/>
      <c r="PXJ1" s="224"/>
      <c r="PXK1" s="224"/>
      <c r="PXL1" s="224"/>
      <c r="PXM1" s="224"/>
      <c r="PXN1" s="224"/>
      <c r="PXO1" s="224"/>
      <c r="PXP1" s="224"/>
      <c r="PXQ1" s="224"/>
      <c r="PXR1" s="224"/>
      <c r="PXS1" s="224"/>
      <c r="PXT1" s="224"/>
      <c r="PXU1" s="224"/>
      <c r="PXV1" s="224"/>
      <c r="PXW1" s="224"/>
      <c r="PXX1" s="224"/>
      <c r="PXY1" s="224"/>
      <c r="PXZ1" s="224"/>
      <c r="PYA1" s="224"/>
      <c r="PYB1" s="224"/>
      <c r="PYC1" s="224"/>
      <c r="PYD1" s="224"/>
      <c r="PYE1" s="224"/>
      <c r="PYF1" s="224"/>
      <c r="PYG1" s="224"/>
      <c r="PYH1" s="224"/>
      <c r="PYI1" s="224"/>
      <c r="PYJ1" s="224"/>
      <c r="PYK1" s="224"/>
      <c r="PYL1" s="224"/>
      <c r="PYM1" s="224"/>
      <c r="PYN1" s="224"/>
      <c r="PYO1" s="224"/>
      <c r="PYP1" s="224"/>
      <c r="PYQ1" s="224"/>
      <c r="PYR1" s="224"/>
      <c r="PYS1" s="224"/>
      <c r="PYT1" s="224"/>
      <c r="PYU1" s="224"/>
      <c r="PYV1" s="224"/>
      <c r="PYW1" s="224"/>
      <c r="PYX1" s="224"/>
      <c r="PYY1" s="224"/>
      <c r="PYZ1" s="224"/>
      <c r="PZA1" s="224"/>
      <c r="PZB1" s="224"/>
      <c r="PZC1" s="224"/>
      <c r="PZD1" s="224"/>
      <c r="PZE1" s="224"/>
      <c r="PZF1" s="224"/>
      <c r="PZG1" s="224"/>
      <c r="PZH1" s="224"/>
      <c r="PZI1" s="224"/>
      <c r="PZJ1" s="224"/>
      <c r="PZK1" s="224"/>
      <c r="PZL1" s="224"/>
      <c r="PZM1" s="224"/>
      <c r="PZN1" s="224"/>
      <c r="PZO1" s="224"/>
      <c r="PZP1" s="224"/>
      <c r="PZQ1" s="224"/>
      <c r="PZR1" s="224"/>
      <c r="PZS1" s="224"/>
      <c r="PZT1" s="224"/>
      <c r="PZU1" s="224"/>
      <c r="PZV1" s="224"/>
      <c r="PZW1" s="224"/>
      <c r="PZX1" s="224"/>
      <c r="PZY1" s="224"/>
      <c r="PZZ1" s="224"/>
      <c r="QAA1" s="224"/>
      <c r="QAB1" s="224"/>
      <c r="QAC1" s="224"/>
      <c r="QAD1" s="224"/>
      <c r="QAE1" s="224"/>
      <c r="QAF1" s="224"/>
      <c r="QAG1" s="224"/>
      <c r="QAH1" s="224"/>
      <c r="QAI1" s="224"/>
      <c r="QAJ1" s="224"/>
      <c r="QAK1" s="224"/>
      <c r="QAL1" s="224"/>
      <c r="QAM1" s="224"/>
      <c r="QAN1" s="224"/>
      <c r="QAO1" s="224"/>
      <c r="QAP1" s="224"/>
      <c r="QAQ1" s="224"/>
      <c r="QAR1" s="224"/>
      <c r="QAS1" s="224"/>
      <c r="QAT1" s="224"/>
      <c r="QAU1" s="224"/>
      <c r="QAV1" s="224"/>
      <c r="QAW1" s="224"/>
      <c r="QAX1" s="224"/>
      <c r="QAY1" s="224"/>
      <c r="QAZ1" s="224"/>
      <c r="QBA1" s="224"/>
      <c r="QBB1" s="224"/>
      <c r="QBC1" s="224"/>
      <c r="QBD1" s="224"/>
      <c r="QBE1" s="224"/>
      <c r="QBF1" s="224"/>
      <c r="QBG1" s="224"/>
      <c r="QBH1" s="224"/>
      <c r="QBI1" s="224"/>
      <c r="QBJ1" s="224"/>
      <c r="QBK1" s="224"/>
      <c r="QBL1" s="224"/>
      <c r="QBM1" s="224"/>
      <c r="QBN1" s="224"/>
      <c r="QBO1" s="224"/>
      <c r="QBP1" s="224"/>
      <c r="QBQ1" s="224"/>
      <c r="QBR1" s="224"/>
      <c r="QBS1" s="224"/>
      <c r="QBT1" s="224"/>
      <c r="QBU1" s="224"/>
      <c r="QBV1" s="224"/>
      <c r="QBW1" s="224"/>
      <c r="QBX1" s="224"/>
      <c r="QBY1" s="224"/>
      <c r="QBZ1" s="224"/>
      <c r="QCA1" s="224"/>
      <c r="QCB1" s="224"/>
      <c r="QCC1" s="224"/>
      <c r="QCD1" s="224"/>
      <c r="QCE1" s="224"/>
      <c r="QCF1" s="224"/>
      <c r="QCG1" s="224"/>
      <c r="QCH1" s="224"/>
      <c r="QCI1" s="224"/>
      <c r="QCJ1" s="224"/>
      <c r="QCK1" s="224"/>
      <c r="QCL1" s="224"/>
      <c r="QCM1" s="224"/>
      <c r="QCN1" s="224"/>
      <c r="QCO1" s="224"/>
      <c r="QCP1" s="224"/>
      <c r="QCQ1" s="224"/>
      <c r="QCR1" s="224"/>
      <c r="QCS1" s="224"/>
      <c r="QCT1" s="224"/>
      <c r="QCU1" s="224"/>
      <c r="QCV1" s="224"/>
      <c r="QCW1" s="224"/>
      <c r="QCX1" s="224"/>
      <c r="QCY1" s="224"/>
      <c r="QCZ1" s="224"/>
      <c r="QDA1" s="224"/>
      <c r="QDB1" s="224"/>
      <c r="QDC1" s="224"/>
      <c r="QDD1" s="224"/>
      <c r="QDE1" s="224"/>
      <c r="QDF1" s="224"/>
      <c r="QDG1" s="224"/>
      <c r="QDH1" s="224"/>
      <c r="QDI1" s="224"/>
      <c r="QDJ1" s="224"/>
      <c r="QDK1" s="224"/>
      <c r="QDL1" s="224"/>
      <c r="QDM1" s="224"/>
      <c r="QDN1" s="224"/>
      <c r="QDO1" s="224"/>
      <c r="QDP1" s="224"/>
      <c r="QDQ1" s="224"/>
      <c r="QDR1" s="224"/>
      <c r="QDS1" s="224"/>
      <c r="QDT1" s="224"/>
      <c r="QDU1" s="224"/>
      <c r="QDV1" s="224"/>
      <c r="QDW1" s="224"/>
      <c r="QDX1" s="224"/>
      <c r="QDY1" s="224"/>
      <c r="QDZ1" s="224"/>
      <c r="QEA1" s="224"/>
      <c r="QEB1" s="224"/>
      <c r="QEC1" s="224"/>
      <c r="QED1" s="224"/>
      <c r="QEE1" s="224"/>
      <c r="QEF1" s="224"/>
      <c r="QEG1" s="224"/>
      <c r="QEH1" s="224"/>
      <c r="QEI1" s="224"/>
      <c r="QEJ1" s="224"/>
      <c r="QEK1" s="224"/>
      <c r="QEL1" s="224"/>
      <c r="QEM1" s="224"/>
      <c r="QEN1" s="224"/>
      <c r="QEO1" s="224"/>
      <c r="QEP1" s="224"/>
      <c r="QEQ1" s="224"/>
      <c r="QER1" s="224"/>
      <c r="QES1" s="224"/>
      <c r="QET1" s="224"/>
      <c r="QEU1" s="224"/>
      <c r="QEV1" s="224"/>
      <c r="QEW1" s="224"/>
      <c r="QEX1" s="224"/>
      <c r="QEY1" s="224"/>
      <c r="QEZ1" s="224"/>
      <c r="QFA1" s="224"/>
      <c r="QFB1" s="224"/>
      <c r="QFC1" s="224"/>
      <c r="QFD1" s="224"/>
      <c r="QFE1" s="224"/>
      <c r="QFF1" s="224"/>
      <c r="QFG1" s="224"/>
      <c r="QFH1" s="224"/>
      <c r="QFI1" s="224"/>
      <c r="QFJ1" s="224"/>
      <c r="QFK1" s="224"/>
      <c r="QFL1" s="224"/>
      <c r="QFM1" s="224"/>
      <c r="QFN1" s="224"/>
      <c r="QFO1" s="224"/>
      <c r="QFP1" s="224"/>
      <c r="QFQ1" s="224"/>
      <c r="QFR1" s="224"/>
      <c r="QFS1" s="224"/>
      <c r="QFT1" s="224"/>
      <c r="QFU1" s="224"/>
      <c r="QFV1" s="224"/>
      <c r="QFW1" s="224"/>
      <c r="QFX1" s="224"/>
      <c r="QFY1" s="224"/>
      <c r="QFZ1" s="224"/>
      <c r="QGA1" s="224"/>
      <c r="QGB1" s="224"/>
      <c r="QGC1" s="224"/>
      <c r="QGD1" s="224"/>
      <c r="QGE1" s="224"/>
      <c r="QGF1" s="224"/>
      <c r="QGG1" s="224"/>
      <c r="QGH1" s="224"/>
      <c r="QGI1" s="224"/>
      <c r="QGJ1" s="224"/>
      <c r="QGK1" s="224"/>
      <c r="QGL1" s="224"/>
      <c r="QGM1" s="224"/>
      <c r="QGN1" s="224"/>
      <c r="QGO1" s="224"/>
      <c r="QGP1" s="224"/>
      <c r="QGQ1" s="224"/>
      <c r="QGR1" s="224"/>
      <c r="QGS1" s="224"/>
      <c r="QGT1" s="224"/>
      <c r="QGU1" s="224"/>
      <c r="QGV1" s="224"/>
      <c r="QGW1" s="224"/>
      <c r="QGX1" s="224"/>
      <c r="QGY1" s="224"/>
      <c r="QGZ1" s="224"/>
      <c r="QHA1" s="224"/>
      <c r="QHB1" s="224"/>
      <c r="QHC1" s="224"/>
      <c r="QHD1" s="224"/>
      <c r="QHE1" s="224"/>
      <c r="QHF1" s="224"/>
      <c r="QHG1" s="224"/>
      <c r="QHH1" s="224"/>
      <c r="QHI1" s="224"/>
      <c r="QHJ1" s="224"/>
      <c r="QHK1" s="224"/>
      <c r="QHL1" s="224"/>
      <c r="QHM1" s="224"/>
      <c r="QHN1" s="224"/>
      <c r="QHO1" s="224"/>
      <c r="QHP1" s="224"/>
      <c r="QHQ1" s="224"/>
      <c r="QHR1" s="224"/>
      <c r="QHS1" s="224"/>
      <c r="QHT1" s="224"/>
      <c r="QHU1" s="224"/>
      <c r="QHV1" s="224"/>
      <c r="QHW1" s="224"/>
      <c r="QHX1" s="224"/>
      <c r="QHY1" s="224"/>
      <c r="QHZ1" s="224"/>
      <c r="QIA1" s="224"/>
      <c r="QIB1" s="224"/>
      <c r="QIC1" s="224"/>
      <c r="QID1" s="224"/>
      <c r="QIE1" s="224"/>
      <c r="QIF1" s="224"/>
      <c r="QIG1" s="224"/>
      <c r="QIH1" s="224"/>
      <c r="QII1" s="224"/>
      <c r="QIJ1" s="224"/>
      <c r="QIK1" s="224"/>
      <c r="QIL1" s="224"/>
      <c r="QIM1" s="224"/>
      <c r="QIN1" s="224"/>
      <c r="QIO1" s="224"/>
      <c r="QIP1" s="224"/>
      <c r="QIQ1" s="224"/>
      <c r="QIR1" s="224"/>
      <c r="QIS1" s="224"/>
      <c r="QIT1" s="224"/>
      <c r="QIU1" s="224"/>
      <c r="QIV1" s="224"/>
      <c r="QIW1" s="224"/>
      <c r="QIX1" s="224"/>
      <c r="QIY1" s="224"/>
      <c r="QIZ1" s="224"/>
      <c r="QJA1" s="224"/>
      <c r="QJB1" s="224"/>
      <c r="QJC1" s="224"/>
      <c r="QJD1" s="224"/>
      <c r="QJE1" s="224"/>
      <c r="QJF1" s="224"/>
      <c r="QJG1" s="224"/>
      <c r="QJH1" s="224"/>
      <c r="QJI1" s="224"/>
      <c r="QJJ1" s="224"/>
      <c r="QJK1" s="224"/>
      <c r="QJL1" s="224"/>
      <c r="QJM1" s="224"/>
      <c r="QJN1" s="224"/>
      <c r="QJO1" s="224"/>
      <c r="QJP1" s="224"/>
      <c r="QJQ1" s="224"/>
      <c r="QJR1" s="224"/>
      <c r="QJS1" s="224"/>
      <c r="QJT1" s="224"/>
      <c r="QJU1" s="224"/>
      <c r="QJV1" s="224"/>
      <c r="QJW1" s="224"/>
      <c r="QJX1" s="224"/>
      <c r="QJY1" s="224"/>
      <c r="QJZ1" s="224"/>
      <c r="QKA1" s="224"/>
      <c r="QKB1" s="224"/>
      <c r="QKC1" s="224"/>
      <c r="QKD1" s="224"/>
      <c r="QKE1" s="224"/>
      <c r="QKF1" s="224"/>
      <c r="QKG1" s="224"/>
      <c r="QKH1" s="224"/>
      <c r="QKI1" s="224"/>
      <c r="QKJ1" s="224"/>
      <c r="QKK1" s="224"/>
      <c r="QKL1" s="224"/>
      <c r="QKM1" s="224"/>
      <c r="QKN1" s="224"/>
      <c r="QKO1" s="224"/>
      <c r="QKP1" s="224"/>
      <c r="QKQ1" s="224"/>
      <c r="QKR1" s="224"/>
      <c r="QKS1" s="224"/>
      <c r="QKT1" s="224"/>
      <c r="QKU1" s="224"/>
      <c r="QKV1" s="224"/>
      <c r="QKW1" s="224"/>
      <c r="QKX1" s="224"/>
      <c r="QKY1" s="224"/>
      <c r="QKZ1" s="224"/>
      <c r="QLA1" s="224"/>
      <c r="QLB1" s="224"/>
      <c r="QLC1" s="224"/>
      <c r="QLD1" s="224"/>
      <c r="QLE1" s="224"/>
      <c r="QLF1" s="224"/>
      <c r="QLG1" s="224"/>
      <c r="QLH1" s="224"/>
      <c r="QLI1" s="224"/>
      <c r="QLJ1" s="224"/>
      <c r="QLK1" s="224"/>
      <c r="QLL1" s="224"/>
      <c r="QLM1" s="224"/>
      <c r="QLN1" s="224"/>
      <c r="QLO1" s="224"/>
      <c r="QLP1" s="224"/>
      <c r="QLQ1" s="224"/>
      <c r="QLR1" s="224"/>
      <c r="QLS1" s="224"/>
      <c r="QLT1" s="224"/>
      <c r="QLU1" s="224"/>
      <c r="QLV1" s="224"/>
      <c r="QLW1" s="224"/>
      <c r="QLX1" s="224"/>
      <c r="QLY1" s="224"/>
      <c r="QLZ1" s="224"/>
      <c r="QMA1" s="224"/>
      <c r="QMB1" s="224"/>
      <c r="QMC1" s="224"/>
      <c r="QMD1" s="224"/>
      <c r="QME1" s="224"/>
      <c r="QMF1" s="224"/>
      <c r="QMG1" s="224"/>
      <c r="QMH1" s="224"/>
      <c r="QMI1" s="224"/>
      <c r="QMJ1" s="224"/>
      <c r="QMK1" s="224"/>
      <c r="QML1" s="224"/>
      <c r="QMM1" s="224"/>
      <c r="QMN1" s="224"/>
      <c r="QMO1" s="224"/>
      <c r="QMP1" s="224"/>
      <c r="QMQ1" s="224"/>
      <c r="QMR1" s="224"/>
      <c r="QMS1" s="224"/>
      <c r="QMT1" s="224"/>
      <c r="QMU1" s="224"/>
      <c r="QMV1" s="224"/>
      <c r="QMW1" s="224"/>
      <c r="QMX1" s="224"/>
      <c r="QMY1" s="224"/>
      <c r="QMZ1" s="224"/>
      <c r="QNA1" s="224"/>
      <c r="QNB1" s="224"/>
      <c r="QNC1" s="224"/>
      <c r="QND1" s="224"/>
      <c r="QNE1" s="224"/>
      <c r="QNF1" s="224"/>
      <c r="QNG1" s="224"/>
      <c r="QNH1" s="224"/>
      <c r="QNI1" s="224"/>
      <c r="QNJ1" s="224"/>
      <c r="QNK1" s="224"/>
      <c r="QNL1" s="224"/>
      <c r="QNM1" s="224"/>
      <c r="QNN1" s="224"/>
      <c r="QNO1" s="224"/>
      <c r="QNP1" s="224"/>
      <c r="QNQ1" s="224"/>
      <c r="QNR1" s="224"/>
      <c r="QNS1" s="224"/>
      <c r="QNT1" s="224"/>
      <c r="QNU1" s="224"/>
      <c r="QNV1" s="224"/>
      <c r="QNW1" s="224"/>
      <c r="QNX1" s="224"/>
      <c r="QNY1" s="224"/>
      <c r="QNZ1" s="224"/>
      <c r="QOA1" s="224"/>
      <c r="QOB1" s="224"/>
      <c r="QOC1" s="224"/>
      <c r="QOD1" s="224"/>
      <c r="QOE1" s="224"/>
      <c r="QOF1" s="224"/>
      <c r="QOG1" s="224"/>
      <c r="QOH1" s="224"/>
      <c r="QOI1" s="224"/>
      <c r="QOJ1" s="224"/>
      <c r="QOK1" s="224"/>
      <c r="QOL1" s="224"/>
      <c r="QOM1" s="224"/>
      <c r="QON1" s="224"/>
      <c r="QOO1" s="224"/>
      <c r="QOP1" s="224"/>
      <c r="QOQ1" s="224"/>
      <c r="QOR1" s="224"/>
      <c r="QOS1" s="224"/>
      <c r="QOT1" s="224"/>
      <c r="QOU1" s="224"/>
      <c r="QOV1" s="224"/>
      <c r="QOW1" s="224"/>
      <c r="QOX1" s="224"/>
      <c r="QOY1" s="224"/>
      <c r="QOZ1" s="224"/>
      <c r="QPA1" s="224"/>
      <c r="QPB1" s="224"/>
      <c r="QPC1" s="224"/>
      <c r="QPD1" s="224"/>
      <c r="QPE1" s="224"/>
      <c r="QPF1" s="224"/>
      <c r="QPG1" s="224"/>
      <c r="QPH1" s="224"/>
      <c r="QPI1" s="224"/>
      <c r="QPJ1" s="224"/>
      <c r="QPK1" s="224"/>
      <c r="QPL1" s="224"/>
      <c r="QPM1" s="224"/>
      <c r="QPN1" s="224"/>
      <c r="QPO1" s="224"/>
      <c r="QPP1" s="224"/>
      <c r="QPQ1" s="224"/>
      <c r="QPR1" s="224"/>
      <c r="QPS1" s="224"/>
      <c r="QPT1" s="224"/>
      <c r="QPU1" s="224"/>
      <c r="QPV1" s="224"/>
      <c r="QPW1" s="224"/>
      <c r="QPX1" s="224"/>
      <c r="QPY1" s="224"/>
      <c r="QPZ1" s="224"/>
      <c r="QQA1" s="224"/>
      <c r="QQB1" s="224"/>
      <c r="QQC1" s="224"/>
      <c r="QQD1" s="224"/>
      <c r="QQE1" s="224"/>
      <c r="QQF1" s="224"/>
      <c r="QQG1" s="224"/>
      <c r="QQH1" s="224"/>
      <c r="QQI1" s="224"/>
      <c r="QQJ1" s="224"/>
      <c r="QQK1" s="224"/>
      <c r="QQL1" s="224"/>
      <c r="QQM1" s="224"/>
      <c r="QQN1" s="224"/>
      <c r="QQO1" s="224"/>
      <c r="QQP1" s="224"/>
      <c r="QQQ1" s="224"/>
      <c r="QQR1" s="224"/>
      <c r="QQS1" s="224"/>
      <c r="QQT1" s="224"/>
      <c r="QQU1" s="224"/>
      <c r="QQV1" s="224"/>
      <c r="QQW1" s="224"/>
      <c r="QQX1" s="224"/>
      <c r="QQY1" s="224"/>
      <c r="QQZ1" s="224"/>
      <c r="QRA1" s="224"/>
      <c r="QRB1" s="224"/>
      <c r="QRC1" s="224"/>
      <c r="QRD1" s="224"/>
      <c r="QRE1" s="224"/>
      <c r="QRF1" s="224"/>
      <c r="QRG1" s="224"/>
      <c r="QRH1" s="224"/>
      <c r="QRI1" s="224"/>
      <c r="QRJ1" s="224"/>
      <c r="QRK1" s="224"/>
      <c r="QRL1" s="224"/>
      <c r="QRM1" s="224"/>
      <c r="QRN1" s="224"/>
      <c r="QRO1" s="224"/>
      <c r="QRP1" s="224"/>
      <c r="QRQ1" s="224"/>
      <c r="QRR1" s="224"/>
      <c r="QRS1" s="224"/>
      <c r="QRT1" s="224"/>
      <c r="QRU1" s="224"/>
      <c r="QRV1" s="224"/>
      <c r="QRW1" s="224"/>
      <c r="QRX1" s="224"/>
      <c r="QRY1" s="224"/>
      <c r="QRZ1" s="224"/>
      <c r="QSA1" s="224"/>
      <c r="QSB1" s="224"/>
      <c r="QSC1" s="224"/>
      <c r="QSD1" s="224"/>
      <c r="QSE1" s="224"/>
      <c r="QSF1" s="224"/>
      <c r="QSG1" s="224"/>
      <c r="QSH1" s="224"/>
      <c r="QSI1" s="224"/>
      <c r="QSJ1" s="224"/>
      <c r="QSK1" s="224"/>
      <c r="QSL1" s="224"/>
      <c r="QSM1" s="224"/>
      <c r="QSN1" s="224"/>
      <c r="QSO1" s="224"/>
      <c r="QSP1" s="224"/>
      <c r="QSQ1" s="224"/>
      <c r="QSR1" s="224"/>
      <c r="QSS1" s="224"/>
      <c r="QST1" s="224"/>
      <c r="QSU1" s="224"/>
      <c r="QSV1" s="224"/>
      <c r="QSW1" s="224"/>
      <c r="QSX1" s="224"/>
      <c r="QSY1" s="224"/>
      <c r="QSZ1" s="224"/>
      <c r="QTA1" s="224"/>
      <c r="QTB1" s="224"/>
      <c r="QTC1" s="224"/>
      <c r="QTD1" s="224"/>
      <c r="QTE1" s="224"/>
      <c r="QTF1" s="224"/>
      <c r="QTG1" s="224"/>
      <c r="QTH1" s="224"/>
      <c r="QTI1" s="224"/>
      <c r="QTJ1" s="224"/>
      <c r="QTK1" s="224"/>
      <c r="QTL1" s="224"/>
      <c r="QTM1" s="224"/>
      <c r="QTN1" s="224"/>
      <c r="QTO1" s="224"/>
      <c r="QTP1" s="224"/>
      <c r="QTQ1" s="224"/>
      <c r="QTR1" s="224"/>
      <c r="QTS1" s="224"/>
      <c r="QTT1" s="224"/>
      <c r="QTU1" s="224"/>
      <c r="QTV1" s="224"/>
      <c r="QTW1" s="224"/>
      <c r="QTX1" s="224"/>
      <c r="QTY1" s="224"/>
      <c r="QTZ1" s="224"/>
      <c r="QUA1" s="224"/>
      <c r="QUB1" s="224"/>
      <c r="QUC1" s="224"/>
      <c r="QUD1" s="224"/>
      <c r="QUE1" s="224"/>
      <c r="QUF1" s="224"/>
      <c r="QUG1" s="224"/>
      <c r="QUH1" s="224"/>
      <c r="QUI1" s="224"/>
      <c r="QUJ1" s="224"/>
      <c r="QUK1" s="224"/>
      <c r="QUL1" s="224"/>
      <c r="QUM1" s="224"/>
      <c r="QUN1" s="224"/>
      <c r="QUO1" s="224"/>
      <c r="QUP1" s="224"/>
      <c r="QUQ1" s="224"/>
      <c r="QUR1" s="224"/>
      <c r="QUS1" s="224"/>
      <c r="QUT1" s="224"/>
      <c r="QUU1" s="224"/>
      <c r="QUV1" s="224"/>
      <c r="QUW1" s="224"/>
      <c r="QUX1" s="224"/>
      <c r="QUY1" s="224"/>
      <c r="QUZ1" s="224"/>
      <c r="QVA1" s="224"/>
      <c r="QVB1" s="224"/>
      <c r="QVC1" s="224"/>
      <c r="QVD1" s="224"/>
      <c r="QVE1" s="224"/>
      <c r="QVF1" s="224"/>
      <c r="QVG1" s="224"/>
      <c r="QVH1" s="224"/>
      <c r="QVI1" s="224"/>
      <c r="QVJ1" s="224"/>
      <c r="QVK1" s="224"/>
      <c r="QVL1" s="224"/>
      <c r="QVM1" s="224"/>
      <c r="QVN1" s="224"/>
      <c r="QVO1" s="224"/>
      <c r="QVP1" s="224"/>
      <c r="QVQ1" s="224"/>
      <c r="QVR1" s="224"/>
      <c r="QVS1" s="224"/>
      <c r="QVT1" s="224"/>
      <c r="QVU1" s="224"/>
      <c r="QVV1" s="224"/>
      <c r="QVW1" s="224"/>
      <c r="QVX1" s="224"/>
      <c r="QVY1" s="224"/>
      <c r="QVZ1" s="224"/>
      <c r="QWA1" s="224"/>
      <c r="QWB1" s="224"/>
      <c r="QWC1" s="224"/>
      <c r="QWD1" s="224"/>
      <c r="QWE1" s="224"/>
      <c r="QWF1" s="224"/>
      <c r="QWG1" s="224"/>
      <c r="QWH1" s="224"/>
      <c r="QWI1" s="224"/>
      <c r="QWJ1" s="224"/>
      <c r="QWK1" s="224"/>
      <c r="QWL1" s="224"/>
      <c r="QWM1" s="224"/>
      <c r="QWN1" s="224"/>
      <c r="QWO1" s="224"/>
      <c r="QWP1" s="224"/>
      <c r="QWQ1" s="224"/>
      <c r="QWR1" s="224"/>
      <c r="QWS1" s="224"/>
      <c r="QWT1" s="224"/>
      <c r="QWU1" s="224"/>
      <c r="QWV1" s="224"/>
      <c r="QWW1" s="224"/>
      <c r="QWX1" s="224"/>
      <c r="QWY1" s="224"/>
      <c r="QWZ1" s="224"/>
      <c r="QXA1" s="224"/>
      <c r="QXB1" s="224"/>
      <c r="QXC1" s="224"/>
      <c r="QXD1" s="224"/>
      <c r="QXE1" s="224"/>
      <c r="QXF1" s="224"/>
      <c r="QXG1" s="224"/>
      <c r="QXH1" s="224"/>
      <c r="QXI1" s="224"/>
      <c r="QXJ1" s="224"/>
      <c r="QXK1" s="224"/>
      <c r="QXL1" s="224"/>
      <c r="QXM1" s="224"/>
      <c r="QXN1" s="224"/>
      <c r="QXO1" s="224"/>
      <c r="QXP1" s="224"/>
      <c r="QXQ1" s="224"/>
      <c r="QXR1" s="224"/>
      <c r="QXS1" s="224"/>
      <c r="QXT1" s="224"/>
      <c r="QXU1" s="224"/>
      <c r="QXV1" s="224"/>
      <c r="QXW1" s="224"/>
      <c r="QXX1" s="224"/>
      <c r="QXY1" s="224"/>
      <c r="QXZ1" s="224"/>
      <c r="QYA1" s="224"/>
      <c r="QYB1" s="224"/>
      <c r="QYC1" s="224"/>
      <c r="QYD1" s="224"/>
      <c r="QYE1" s="224"/>
      <c r="QYF1" s="224"/>
      <c r="QYG1" s="224"/>
      <c r="QYH1" s="224"/>
      <c r="QYI1" s="224"/>
      <c r="QYJ1" s="224"/>
      <c r="QYK1" s="224"/>
      <c r="QYL1" s="224"/>
      <c r="QYM1" s="224"/>
      <c r="QYN1" s="224"/>
      <c r="QYO1" s="224"/>
      <c r="QYP1" s="224"/>
      <c r="QYQ1" s="224"/>
      <c r="QYR1" s="224"/>
      <c r="QYS1" s="224"/>
      <c r="QYT1" s="224"/>
      <c r="QYU1" s="224"/>
      <c r="QYV1" s="224"/>
      <c r="QYW1" s="224"/>
      <c r="QYX1" s="224"/>
      <c r="QYY1" s="224"/>
      <c r="QYZ1" s="224"/>
      <c r="QZA1" s="224"/>
      <c r="QZB1" s="224"/>
      <c r="QZC1" s="224"/>
      <c r="QZD1" s="224"/>
      <c r="QZE1" s="224"/>
      <c r="QZF1" s="224"/>
      <c r="QZG1" s="224"/>
      <c r="QZH1" s="224"/>
      <c r="QZI1" s="224"/>
      <c r="QZJ1" s="224"/>
      <c r="QZK1" s="224"/>
      <c r="QZL1" s="224"/>
      <c r="QZM1" s="224"/>
      <c r="QZN1" s="224"/>
      <c r="QZO1" s="224"/>
      <c r="QZP1" s="224"/>
      <c r="QZQ1" s="224"/>
      <c r="QZR1" s="224"/>
      <c r="QZS1" s="224"/>
      <c r="QZT1" s="224"/>
      <c r="QZU1" s="224"/>
      <c r="QZV1" s="224"/>
      <c r="QZW1" s="224"/>
      <c r="QZX1" s="224"/>
      <c r="QZY1" s="224"/>
      <c r="QZZ1" s="224"/>
      <c r="RAA1" s="224"/>
      <c r="RAB1" s="224"/>
      <c r="RAC1" s="224"/>
      <c r="RAD1" s="224"/>
      <c r="RAE1" s="224"/>
      <c r="RAF1" s="224"/>
      <c r="RAG1" s="224"/>
      <c r="RAH1" s="224"/>
      <c r="RAI1" s="224"/>
      <c r="RAJ1" s="224"/>
      <c r="RAK1" s="224"/>
      <c r="RAL1" s="224"/>
      <c r="RAM1" s="224"/>
      <c r="RAN1" s="224"/>
      <c r="RAO1" s="224"/>
      <c r="RAP1" s="224"/>
      <c r="RAQ1" s="224"/>
      <c r="RAR1" s="224"/>
      <c r="RAS1" s="224"/>
      <c r="RAT1" s="224"/>
      <c r="RAU1" s="224"/>
      <c r="RAV1" s="224"/>
      <c r="RAW1" s="224"/>
      <c r="RAX1" s="224"/>
      <c r="RAY1" s="224"/>
      <c r="RAZ1" s="224"/>
      <c r="RBA1" s="224"/>
      <c r="RBB1" s="224"/>
      <c r="RBC1" s="224"/>
      <c r="RBD1" s="224"/>
      <c r="RBE1" s="224"/>
      <c r="RBF1" s="224"/>
      <c r="RBG1" s="224"/>
      <c r="RBH1" s="224"/>
      <c r="RBI1" s="224"/>
      <c r="RBJ1" s="224"/>
      <c r="RBK1" s="224"/>
      <c r="RBL1" s="224"/>
      <c r="RBM1" s="224"/>
      <c r="RBN1" s="224"/>
      <c r="RBO1" s="224"/>
      <c r="RBP1" s="224"/>
      <c r="RBQ1" s="224"/>
      <c r="RBR1" s="224"/>
      <c r="RBS1" s="224"/>
      <c r="RBT1" s="224"/>
      <c r="RBU1" s="224"/>
      <c r="RBV1" s="224"/>
      <c r="RBW1" s="224"/>
      <c r="RBX1" s="224"/>
      <c r="RBY1" s="224"/>
      <c r="RBZ1" s="224"/>
      <c r="RCA1" s="224"/>
      <c r="RCB1" s="224"/>
      <c r="RCC1" s="224"/>
      <c r="RCD1" s="224"/>
      <c r="RCE1" s="224"/>
      <c r="RCF1" s="224"/>
      <c r="RCG1" s="224"/>
      <c r="RCH1" s="224"/>
      <c r="RCI1" s="224"/>
      <c r="RCJ1" s="224"/>
      <c r="RCK1" s="224"/>
      <c r="RCL1" s="224"/>
      <c r="RCM1" s="224"/>
      <c r="RCN1" s="224"/>
      <c r="RCO1" s="224"/>
      <c r="RCP1" s="224"/>
      <c r="RCQ1" s="224"/>
      <c r="RCR1" s="224"/>
      <c r="RCS1" s="224"/>
      <c r="RCT1" s="224"/>
      <c r="RCU1" s="224"/>
      <c r="RCV1" s="224"/>
      <c r="RCW1" s="224"/>
      <c r="RCX1" s="224"/>
      <c r="RCY1" s="224"/>
      <c r="RCZ1" s="224"/>
      <c r="RDA1" s="224"/>
      <c r="RDB1" s="224"/>
      <c r="RDC1" s="224"/>
      <c r="RDD1" s="224"/>
      <c r="RDE1" s="224"/>
      <c r="RDF1" s="224"/>
      <c r="RDG1" s="224"/>
      <c r="RDH1" s="224"/>
      <c r="RDI1" s="224"/>
      <c r="RDJ1" s="224"/>
      <c r="RDK1" s="224"/>
      <c r="RDL1" s="224"/>
      <c r="RDM1" s="224"/>
      <c r="RDN1" s="224"/>
      <c r="RDO1" s="224"/>
      <c r="RDP1" s="224"/>
      <c r="RDQ1" s="224"/>
      <c r="RDR1" s="224"/>
      <c r="RDS1" s="224"/>
      <c r="RDT1" s="224"/>
      <c r="RDU1" s="224"/>
      <c r="RDV1" s="224"/>
      <c r="RDW1" s="224"/>
      <c r="RDX1" s="224"/>
      <c r="RDY1" s="224"/>
      <c r="RDZ1" s="224"/>
      <c r="REA1" s="224"/>
      <c r="REB1" s="224"/>
      <c r="REC1" s="224"/>
      <c r="RED1" s="224"/>
      <c r="REE1" s="224"/>
      <c r="REF1" s="224"/>
      <c r="REG1" s="224"/>
      <c r="REH1" s="224"/>
      <c r="REI1" s="224"/>
      <c r="REJ1" s="224"/>
      <c r="REK1" s="224"/>
      <c r="REL1" s="224"/>
      <c r="REM1" s="224"/>
      <c r="REN1" s="224"/>
      <c r="REO1" s="224"/>
      <c r="REP1" s="224"/>
      <c r="REQ1" s="224"/>
      <c r="RER1" s="224"/>
      <c r="RES1" s="224"/>
      <c r="RET1" s="224"/>
      <c r="REU1" s="224"/>
      <c r="REV1" s="224"/>
      <c r="REW1" s="224"/>
      <c r="REX1" s="224"/>
      <c r="REY1" s="224"/>
      <c r="REZ1" s="224"/>
      <c r="RFA1" s="224"/>
      <c r="RFB1" s="224"/>
      <c r="RFC1" s="224"/>
      <c r="RFD1" s="224"/>
      <c r="RFE1" s="224"/>
      <c r="RFF1" s="224"/>
      <c r="RFG1" s="224"/>
      <c r="RFH1" s="224"/>
      <c r="RFI1" s="224"/>
      <c r="RFJ1" s="224"/>
      <c r="RFK1" s="224"/>
      <c r="RFL1" s="224"/>
      <c r="RFM1" s="224"/>
      <c r="RFN1" s="224"/>
      <c r="RFO1" s="224"/>
      <c r="RFP1" s="224"/>
      <c r="RFQ1" s="224"/>
      <c r="RFR1" s="224"/>
      <c r="RFS1" s="224"/>
      <c r="RFT1" s="224"/>
      <c r="RFU1" s="224"/>
      <c r="RFV1" s="224"/>
      <c r="RFW1" s="224"/>
      <c r="RFX1" s="224"/>
      <c r="RFY1" s="224"/>
      <c r="RFZ1" s="224"/>
      <c r="RGA1" s="224"/>
      <c r="RGB1" s="224"/>
      <c r="RGC1" s="224"/>
      <c r="RGD1" s="224"/>
      <c r="RGE1" s="224"/>
      <c r="RGF1" s="224"/>
      <c r="RGG1" s="224"/>
      <c r="RGH1" s="224"/>
      <c r="RGI1" s="224"/>
      <c r="RGJ1" s="224"/>
      <c r="RGK1" s="224"/>
      <c r="RGL1" s="224"/>
      <c r="RGM1" s="224"/>
      <c r="RGN1" s="224"/>
      <c r="RGO1" s="224"/>
      <c r="RGP1" s="224"/>
      <c r="RGQ1" s="224"/>
      <c r="RGR1" s="224"/>
      <c r="RGS1" s="224"/>
      <c r="RGT1" s="224"/>
      <c r="RGU1" s="224"/>
      <c r="RGV1" s="224"/>
      <c r="RGW1" s="224"/>
      <c r="RGX1" s="224"/>
      <c r="RGY1" s="224"/>
      <c r="RGZ1" s="224"/>
      <c r="RHA1" s="224"/>
      <c r="RHB1" s="224"/>
      <c r="RHC1" s="224"/>
      <c r="RHD1" s="224"/>
      <c r="RHE1" s="224"/>
      <c r="RHF1" s="224"/>
      <c r="RHG1" s="224"/>
      <c r="RHH1" s="224"/>
      <c r="RHI1" s="224"/>
      <c r="RHJ1" s="224"/>
      <c r="RHK1" s="224"/>
      <c r="RHL1" s="224"/>
      <c r="RHM1" s="224"/>
      <c r="RHN1" s="224"/>
      <c r="RHO1" s="224"/>
      <c r="RHP1" s="224"/>
      <c r="RHQ1" s="224"/>
      <c r="RHR1" s="224"/>
      <c r="RHS1" s="224"/>
      <c r="RHT1" s="224"/>
      <c r="RHU1" s="224"/>
      <c r="RHV1" s="224"/>
      <c r="RHW1" s="224"/>
      <c r="RHX1" s="224"/>
      <c r="RHY1" s="224"/>
      <c r="RHZ1" s="224"/>
      <c r="RIA1" s="224"/>
      <c r="RIB1" s="224"/>
      <c r="RIC1" s="224"/>
      <c r="RID1" s="224"/>
      <c r="RIE1" s="224"/>
      <c r="RIF1" s="224"/>
      <c r="RIG1" s="224"/>
      <c r="RIH1" s="224"/>
      <c r="RII1" s="224"/>
      <c r="RIJ1" s="224"/>
      <c r="RIK1" s="224"/>
      <c r="RIL1" s="224"/>
      <c r="RIM1" s="224"/>
      <c r="RIN1" s="224"/>
      <c r="RIO1" s="224"/>
      <c r="RIP1" s="224"/>
      <c r="RIQ1" s="224"/>
      <c r="RIR1" s="224"/>
      <c r="RIS1" s="224"/>
      <c r="RIT1" s="224"/>
      <c r="RIU1" s="224"/>
      <c r="RIV1" s="224"/>
      <c r="RIW1" s="224"/>
      <c r="RIX1" s="224"/>
      <c r="RIY1" s="224"/>
      <c r="RIZ1" s="224"/>
      <c r="RJA1" s="224"/>
      <c r="RJB1" s="224"/>
      <c r="RJC1" s="224"/>
      <c r="RJD1" s="224"/>
      <c r="RJE1" s="224"/>
      <c r="RJF1" s="224"/>
      <c r="RJG1" s="224"/>
      <c r="RJH1" s="224"/>
      <c r="RJI1" s="224"/>
      <c r="RJJ1" s="224"/>
      <c r="RJK1" s="224"/>
      <c r="RJL1" s="224"/>
      <c r="RJM1" s="224"/>
      <c r="RJN1" s="224"/>
      <c r="RJO1" s="224"/>
      <c r="RJP1" s="224"/>
      <c r="RJQ1" s="224"/>
      <c r="RJR1" s="224"/>
      <c r="RJS1" s="224"/>
      <c r="RJT1" s="224"/>
      <c r="RJU1" s="224"/>
      <c r="RJV1" s="224"/>
      <c r="RJW1" s="224"/>
      <c r="RJX1" s="224"/>
      <c r="RJY1" s="224"/>
      <c r="RJZ1" s="224"/>
      <c r="RKA1" s="224"/>
      <c r="RKB1" s="224"/>
      <c r="RKC1" s="224"/>
      <c r="RKD1" s="224"/>
      <c r="RKE1" s="224"/>
      <c r="RKF1" s="224"/>
      <c r="RKG1" s="224"/>
      <c r="RKH1" s="224"/>
      <c r="RKI1" s="224"/>
      <c r="RKJ1" s="224"/>
      <c r="RKK1" s="224"/>
      <c r="RKL1" s="224"/>
      <c r="RKM1" s="224"/>
      <c r="RKN1" s="224"/>
      <c r="RKO1" s="224"/>
      <c r="RKP1" s="224"/>
      <c r="RKQ1" s="224"/>
      <c r="RKR1" s="224"/>
      <c r="RKS1" s="224"/>
      <c r="RKT1" s="224"/>
      <c r="RKU1" s="224"/>
      <c r="RKV1" s="224"/>
      <c r="RKW1" s="224"/>
      <c r="RKX1" s="224"/>
      <c r="RKY1" s="224"/>
      <c r="RKZ1" s="224"/>
      <c r="RLA1" s="224"/>
      <c r="RLB1" s="224"/>
      <c r="RLC1" s="224"/>
      <c r="RLD1" s="224"/>
      <c r="RLE1" s="224"/>
      <c r="RLF1" s="224"/>
      <c r="RLG1" s="224"/>
      <c r="RLH1" s="224"/>
      <c r="RLI1" s="224"/>
      <c r="RLJ1" s="224"/>
      <c r="RLK1" s="224"/>
      <c r="RLL1" s="224"/>
      <c r="RLM1" s="224"/>
      <c r="RLN1" s="224"/>
      <c r="RLO1" s="224"/>
      <c r="RLP1" s="224"/>
      <c r="RLQ1" s="224"/>
      <c r="RLR1" s="224"/>
      <c r="RLS1" s="224"/>
      <c r="RLT1" s="224"/>
      <c r="RLU1" s="224"/>
      <c r="RLV1" s="224"/>
      <c r="RLW1" s="224"/>
      <c r="RLX1" s="224"/>
      <c r="RLY1" s="224"/>
      <c r="RLZ1" s="224"/>
      <c r="RMA1" s="224"/>
      <c r="RMB1" s="224"/>
      <c r="RMC1" s="224"/>
      <c r="RMD1" s="224"/>
      <c r="RME1" s="224"/>
      <c r="RMF1" s="224"/>
      <c r="RMG1" s="224"/>
      <c r="RMH1" s="224"/>
      <c r="RMI1" s="224"/>
      <c r="RMJ1" s="224"/>
      <c r="RMK1" s="224"/>
      <c r="RML1" s="224"/>
      <c r="RMM1" s="224"/>
      <c r="RMN1" s="224"/>
      <c r="RMO1" s="224"/>
      <c r="RMP1" s="224"/>
      <c r="RMQ1" s="224"/>
      <c r="RMR1" s="224"/>
      <c r="RMS1" s="224"/>
      <c r="RMT1" s="224"/>
      <c r="RMU1" s="224"/>
      <c r="RMV1" s="224"/>
      <c r="RMW1" s="224"/>
      <c r="RMX1" s="224"/>
      <c r="RMY1" s="224"/>
      <c r="RMZ1" s="224"/>
      <c r="RNA1" s="224"/>
      <c r="RNB1" s="224"/>
      <c r="RNC1" s="224"/>
      <c r="RND1" s="224"/>
      <c r="RNE1" s="224"/>
      <c r="RNF1" s="224"/>
      <c r="RNG1" s="224"/>
      <c r="RNH1" s="224"/>
      <c r="RNI1" s="224"/>
      <c r="RNJ1" s="224"/>
      <c r="RNK1" s="224"/>
      <c r="RNL1" s="224"/>
      <c r="RNM1" s="224"/>
      <c r="RNN1" s="224"/>
      <c r="RNO1" s="224"/>
      <c r="RNP1" s="224"/>
      <c r="RNQ1" s="224"/>
      <c r="RNR1" s="224"/>
      <c r="RNS1" s="224"/>
      <c r="RNT1" s="224"/>
      <c r="RNU1" s="224"/>
      <c r="RNV1" s="224"/>
      <c r="RNW1" s="224"/>
      <c r="RNX1" s="224"/>
      <c r="RNY1" s="224"/>
      <c r="RNZ1" s="224"/>
      <c r="ROA1" s="224"/>
      <c r="ROB1" s="224"/>
      <c r="ROC1" s="224"/>
      <c r="ROD1" s="224"/>
      <c r="ROE1" s="224"/>
      <c r="ROF1" s="224"/>
      <c r="ROG1" s="224"/>
      <c r="ROH1" s="224"/>
      <c r="ROI1" s="224"/>
      <c r="ROJ1" s="224"/>
      <c r="ROK1" s="224"/>
      <c r="ROL1" s="224"/>
      <c r="ROM1" s="224"/>
      <c r="RON1" s="224"/>
      <c r="ROO1" s="224"/>
      <c r="ROP1" s="224"/>
      <c r="ROQ1" s="224"/>
      <c r="ROR1" s="224"/>
      <c r="ROS1" s="224"/>
      <c r="ROT1" s="224"/>
      <c r="ROU1" s="224"/>
      <c r="ROV1" s="224"/>
      <c r="ROW1" s="224"/>
      <c r="ROX1" s="224"/>
      <c r="ROY1" s="224"/>
      <c r="ROZ1" s="224"/>
      <c r="RPA1" s="224"/>
      <c r="RPB1" s="224"/>
      <c r="RPC1" s="224"/>
      <c r="RPD1" s="224"/>
      <c r="RPE1" s="224"/>
      <c r="RPF1" s="224"/>
      <c r="RPG1" s="224"/>
      <c r="RPH1" s="224"/>
      <c r="RPI1" s="224"/>
      <c r="RPJ1" s="224"/>
      <c r="RPK1" s="224"/>
      <c r="RPL1" s="224"/>
      <c r="RPM1" s="224"/>
      <c r="RPN1" s="224"/>
      <c r="RPO1" s="224"/>
      <c r="RPP1" s="224"/>
      <c r="RPQ1" s="224"/>
      <c r="RPR1" s="224"/>
      <c r="RPS1" s="224"/>
      <c r="RPT1" s="224"/>
      <c r="RPU1" s="224"/>
      <c r="RPV1" s="224"/>
      <c r="RPW1" s="224"/>
      <c r="RPX1" s="224"/>
      <c r="RPY1" s="224"/>
      <c r="RPZ1" s="224"/>
      <c r="RQA1" s="224"/>
      <c r="RQB1" s="224"/>
      <c r="RQC1" s="224"/>
      <c r="RQD1" s="224"/>
      <c r="RQE1" s="224"/>
      <c r="RQF1" s="224"/>
      <c r="RQG1" s="224"/>
      <c r="RQH1" s="224"/>
      <c r="RQI1" s="224"/>
      <c r="RQJ1" s="224"/>
      <c r="RQK1" s="224"/>
      <c r="RQL1" s="224"/>
      <c r="RQM1" s="224"/>
      <c r="RQN1" s="224"/>
      <c r="RQO1" s="224"/>
      <c r="RQP1" s="224"/>
      <c r="RQQ1" s="224"/>
      <c r="RQR1" s="224"/>
      <c r="RQS1" s="224"/>
      <c r="RQT1" s="224"/>
      <c r="RQU1" s="224"/>
      <c r="RQV1" s="224"/>
      <c r="RQW1" s="224"/>
      <c r="RQX1" s="224"/>
      <c r="RQY1" s="224"/>
      <c r="RQZ1" s="224"/>
      <c r="RRA1" s="224"/>
      <c r="RRB1" s="224"/>
      <c r="RRC1" s="224"/>
      <c r="RRD1" s="224"/>
      <c r="RRE1" s="224"/>
      <c r="RRF1" s="224"/>
      <c r="RRG1" s="224"/>
      <c r="RRH1" s="224"/>
      <c r="RRI1" s="224"/>
      <c r="RRJ1" s="224"/>
      <c r="RRK1" s="224"/>
      <c r="RRL1" s="224"/>
      <c r="RRM1" s="224"/>
      <c r="RRN1" s="224"/>
      <c r="RRO1" s="224"/>
      <c r="RRP1" s="224"/>
      <c r="RRQ1" s="224"/>
      <c r="RRR1" s="224"/>
      <c r="RRS1" s="224"/>
      <c r="RRT1" s="224"/>
      <c r="RRU1" s="224"/>
      <c r="RRV1" s="224"/>
      <c r="RRW1" s="224"/>
      <c r="RRX1" s="224"/>
      <c r="RRY1" s="224"/>
      <c r="RRZ1" s="224"/>
      <c r="RSA1" s="224"/>
      <c r="RSB1" s="224"/>
      <c r="RSC1" s="224"/>
      <c r="RSD1" s="224"/>
      <c r="RSE1" s="224"/>
      <c r="RSF1" s="224"/>
      <c r="RSG1" s="224"/>
      <c r="RSH1" s="224"/>
      <c r="RSI1" s="224"/>
      <c r="RSJ1" s="224"/>
      <c r="RSK1" s="224"/>
      <c r="RSL1" s="224"/>
      <c r="RSM1" s="224"/>
      <c r="RSN1" s="224"/>
      <c r="RSO1" s="224"/>
      <c r="RSP1" s="224"/>
      <c r="RSQ1" s="224"/>
      <c r="RSR1" s="224"/>
      <c r="RSS1" s="224"/>
      <c r="RST1" s="224"/>
      <c r="RSU1" s="224"/>
      <c r="RSV1" s="224"/>
      <c r="RSW1" s="224"/>
      <c r="RSX1" s="224"/>
      <c r="RSY1" s="224"/>
      <c r="RSZ1" s="224"/>
      <c r="RTA1" s="224"/>
      <c r="RTB1" s="224"/>
      <c r="RTC1" s="224"/>
      <c r="RTD1" s="224"/>
      <c r="RTE1" s="224"/>
      <c r="RTF1" s="224"/>
      <c r="RTG1" s="224"/>
      <c r="RTH1" s="224"/>
      <c r="RTI1" s="224"/>
      <c r="RTJ1" s="224"/>
      <c r="RTK1" s="224"/>
      <c r="RTL1" s="224"/>
      <c r="RTM1" s="224"/>
      <c r="RTN1" s="224"/>
      <c r="RTO1" s="224"/>
      <c r="RTP1" s="224"/>
      <c r="RTQ1" s="224"/>
      <c r="RTR1" s="224"/>
      <c r="RTS1" s="224"/>
      <c r="RTT1" s="224"/>
      <c r="RTU1" s="224"/>
      <c r="RTV1" s="224"/>
      <c r="RTW1" s="224"/>
      <c r="RTX1" s="224"/>
      <c r="RTY1" s="224"/>
      <c r="RTZ1" s="224"/>
      <c r="RUA1" s="224"/>
      <c r="RUB1" s="224"/>
      <c r="RUC1" s="224"/>
      <c r="RUD1" s="224"/>
      <c r="RUE1" s="224"/>
      <c r="RUF1" s="224"/>
      <c r="RUG1" s="224"/>
      <c r="RUH1" s="224"/>
      <c r="RUI1" s="224"/>
      <c r="RUJ1" s="224"/>
      <c r="RUK1" s="224"/>
      <c r="RUL1" s="224"/>
      <c r="RUM1" s="224"/>
      <c r="RUN1" s="224"/>
      <c r="RUO1" s="224"/>
      <c r="RUP1" s="224"/>
      <c r="RUQ1" s="224"/>
      <c r="RUR1" s="224"/>
      <c r="RUS1" s="224"/>
      <c r="RUT1" s="224"/>
      <c r="RUU1" s="224"/>
      <c r="RUV1" s="224"/>
      <c r="RUW1" s="224"/>
      <c r="RUX1" s="224"/>
      <c r="RUY1" s="224"/>
      <c r="RUZ1" s="224"/>
      <c r="RVA1" s="224"/>
      <c r="RVB1" s="224"/>
      <c r="RVC1" s="224"/>
      <c r="RVD1" s="224"/>
      <c r="RVE1" s="224"/>
      <c r="RVF1" s="224"/>
      <c r="RVG1" s="224"/>
      <c r="RVH1" s="224"/>
      <c r="RVI1" s="224"/>
      <c r="RVJ1" s="224"/>
      <c r="RVK1" s="224"/>
      <c r="RVL1" s="224"/>
      <c r="RVM1" s="224"/>
      <c r="RVN1" s="224"/>
      <c r="RVO1" s="224"/>
      <c r="RVP1" s="224"/>
      <c r="RVQ1" s="224"/>
      <c r="RVR1" s="224"/>
      <c r="RVS1" s="224"/>
      <c r="RVT1" s="224"/>
      <c r="RVU1" s="224"/>
      <c r="RVV1" s="224"/>
      <c r="RVW1" s="224"/>
      <c r="RVX1" s="224"/>
      <c r="RVY1" s="224"/>
      <c r="RVZ1" s="224"/>
      <c r="RWA1" s="224"/>
      <c r="RWB1" s="224"/>
      <c r="RWC1" s="224"/>
      <c r="RWD1" s="224"/>
      <c r="RWE1" s="224"/>
      <c r="RWF1" s="224"/>
      <c r="RWG1" s="224"/>
      <c r="RWH1" s="224"/>
      <c r="RWI1" s="224"/>
      <c r="RWJ1" s="224"/>
      <c r="RWK1" s="224"/>
      <c r="RWL1" s="224"/>
      <c r="RWM1" s="224"/>
      <c r="RWN1" s="224"/>
      <c r="RWO1" s="224"/>
      <c r="RWP1" s="224"/>
      <c r="RWQ1" s="224"/>
      <c r="RWR1" s="224"/>
      <c r="RWS1" s="224"/>
      <c r="RWT1" s="224"/>
      <c r="RWU1" s="224"/>
      <c r="RWV1" s="224"/>
      <c r="RWW1" s="224"/>
      <c r="RWX1" s="224"/>
      <c r="RWY1" s="224"/>
      <c r="RWZ1" s="224"/>
      <c r="RXA1" s="224"/>
      <c r="RXB1" s="224"/>
      <c r="RXC1" s="224"/>
      <c r="RXD1" s="224"/>
      <c r="RXE1" s="224"/>
      <c r="RXF1" s="224"/>
      <c r="RXG1" s="224"/>
      <c r="RXH1" s="224"/>
      <c r="RXI1" s="224"/>
      <c r="RXJ1" s="224"/>
      <c r="RXK1" s="224"/>
      <c r="RXL1" s="224"/>
      <c r="RXM1" s="224"/>
      <c r="RXN1" s="224"/>
      <c r="RXO1" s="224"/>
      <c r="RXP1" s="224"/>
      <c r="RXQ1" s="224"/>
      <c r="RXR1" s="224"/>
      <c r="RXS1" s="224"/>
      <c r="RXT1" s="224"/>
      <c r="RXU1" s="224"/>
      <c r="RXV1" s="224"/>
      <c r="RXW1" s="224"/>
      <c r="RXX1" s="224"/>
      <c r="RXY1" s="224"/>
      <c r="RXZ1" s="224"/>
      <c r="RYA1" s="224"/>
      <c r="RYB1" s="224"/>
      <c r="RYC1" s="224"/>
      <c r="RYD1" s="224"/>
      <c r="RYE1" s="224"/>
      <c r="RYF1" s="224"/>
      <c r="RYG1" s="224"/>
      <c r="RYH1" s="224"/>
      <c r="RYI1" s="224"/>
      <c r="RYJ1" s="224"/>
      <c r="RYK1" s="224"/>
      <c r="RYL1" s="224"/>
      <c r="RYM1" s="224"/>
      <c r="RYN1" s="224"/>
      <c r="RYO1" s="224"/>
      <c r="RYP1" s="224"/>
      <c r="RYQ1" s="224"/>
      <c r="RYR1" s="224"/>
      <c r="RYS1" s="224"/>
      <c r="RYT1" s="224"/>
      <c r="RYU1" s="224"/>
      <c r="RYV1" s="224"/>
      <c r="RYW1" s="224"/>
      <c r="RYX1" s="224"/>
      <c r="RYY1" s="224"/>
      <c r="RYZ1" s="224"/>
      <c r="RZA1" s="224"/>
      <c r="RZB1" s="224"/>
      <c r="RZC1" s="224"/>
      <c r="RZD1" s="224"/>
      <c r="RZE1" s="224"/>
      <c r="RZF1" s="224"/>
      <c r="RZG1" s="224"/>
      <c r="RZH1" s="224"/>
      <c r="RZI1" s="224"/>
      <c r="RZJ1" s="224"/>
      <c r="RZK1" s="224"/>
      <c r="RZL1" s="224"/>
      <c r="RZM1" s="224"/>
      <c r="RZN1" s="224"/>
      <c r="RZO1" s="224"/>
      <c r="RZP1" s="224"/>
      <c r="RZQ1" s="224"/>
      <c r="RZR1" s="224"/>
      <c r="RZS1" s="224"/>
      <c r="RZT1" s="224"/>
      <c r="RZU1" s="224"/>
      <c r="RZV1" s="224"/>
      <c r="RZW1" s="224"/>
      <c r="RZX1" s="224"/>
      <c r="RZY1" s="224"/>
      <c r="RZZ1" s="224"/>
      <c r="SAA1" s="224"/>
      <c r="SAB1" s="224"/>
      <c r="SAC1" s="224"/>
      <c r="SAD1" s="224"/>
      <c r="SAE1" s="224"/>
      <c r="SAF1" s="224"/>
      <c r="SAG1" s="224"/>
      <c r="SAH1" s="224"/>
      <c r="SAI1" s="224"/>
      <c r="SAJ1" s="224"/>
      <c r="SAK1" s="224"/>
      <c r="SAL1" s="224"/>
      <c r="SAM1" s="224"/>
      <c r="SAN1" s="224"/>
      <c r="SAO1" s="224"/>
      <c r="SAP1" s="224"/>
      <c r="SAQ1" s="224"/>
      <c r="SAR1" s="224"/>
      <c r="SAS1" s="224"/>
      <c r="SAT1" s="224"/>
      <c r="SAU1" s="224"/>
      <c r="SAV1" s="224"/>
      <c r="SAW1" s="224"/>
      <c r="SAX1" s="224"/>
      <c r="SAY1" s="224"/>
      <c r="SAZ1" s="224"/>
      <c r="SBA1" s="224"/>
      <c r="SBB1" s="224"/>
      <c r="SBC1" s="224"/>
      <c r="SBD1" s="224"/>
      <c r="SBE1" s="224"/>
      <c r="SBF1" s="224"/>
      <c r="SBG1" s="224"/>
      <c r="SBH1" s="224"/>
      <c r="SBI1" s="224"/>
      <c r="SBJ1" s="224"/>
      <c r="SBK1" s="224"/>
      <c r="SBL1" s="224"/>
      <c r="SBM1" s="224"/>
      <c r="SBN1" s="224"/>
      <c r="SBO1" s="224"/>
      <c r="SBP1" s="224"/>
      <c r="SBQ1" s="224"/>
      <c r="SBR1" s="224"/>
      <c r="SBS1" s="224"/>
      <c r="SBT1" s="224"/>
      <c r="SBU1" s="224"/>
      <c r="SBV1" s="224"/>
      <c r="SBW1" s="224"/>
      <c r="SBX1" s="224"/>
      <c r="SBY1" s="224"/>
      <c r="SBZ1" s="224"/>
      <c r="SCA1" s="224"/>
      <c r="SCB1" s="224"/>
      <c r="SCC1" s="224"/>
      <c r="SCD1" s="224"/>
      <c r="SCE1" s="224"/>
      <c r="SCF1" s="224"/>
      <c r="SCG1" s="224"/>
      <c r="SCH1" s="224"/>
      <c r="SCI1" s="224"/>
      <c r="SCJ1" s="224"/>
      <c r="SCK1" s="224"/>
      <c r="SCL1" s="224"/>
      <c r="SCM1" s="224"/>
      <c r="SCN1" s="224"/>
      <c r="SCO1" s="224"/>
      <c r="SCP1" s="224"/>
      <c r="SCQ1" s="224"/>
      <c r="SCR1" s="224"/>
      <c r="SCS1" s="224"/>
      <c r="SCT1" s="224"/>
      <c r="SCU1" s="224"/>
      <c r="SCV1" s="224"/>
      <c r="SCW1" s="224"/>
      <c r="SCX1" s="224"/>
      <c r="SCY1" s="224"/>
      <c r="SCZ1" s="224"/>
      <c r="SDA1" s="224"/>
      <c r="SDB1" s="224"/>
      <c r="SDC1" s="224"/>
      <c r="SDD1" s="224"/>
      <c r="SDE1" s="224"/>
      <c r="SDF1" s="224"/>
      <c r="SDG1" s="224"/>
      <c r="SDH1" s="224"/>
      <c r="SDI1" s="224"/>
      <c r="SDJ1" s="224"/>
      <c r="SDK1" s="224"/>
      <c r="SDL1" s="224"/>
      <c r="SDM1" s="224"/>
      <c r="SDN1" s="224"/>
      <c r="SDO1" s="224"/>
      <c r="SDP1" s="224"/>
      <c r="SDQ1" s="224"/>
      <c r="SDR1" s="224"/>
      <c r="SDS1" s="224"/>
      <c r="SDT1" s="224"/>
      <c r="SDU1" s="224"/>
      <c r="SDV1" s="224"/>
      <c r="SDW1" s="224"/>
      <c r="SDX1" s="224"/>
      <c r="SDY1" s="224"/>
      <c r="SDZ1" s="224"/>
      <c r="SEA1" s="224"/>
      <c r="SEB1" s="224"/>
      <c r="SEC1" s="224"/>
      <c r="SED1" s="224"/>
      <c r="SEE1" s="224"/>
      <c r="SEF1" s="224"/>
      <c r="SEG1" s="224"/>
      <c r="SEH1" s="224"/>
      <c r="SEI1" s="224"/>
      <c r="SEJ1" s="224"/>
      <c r="SEK1" s="224"/>
      <c r="SEL1" s="224"/>
      <c r="SEM1" s="224"/>
      <c r="SEN1" s="224"/>
      <c r="SEO1" s="224"/>
      <c r="SEP1" s="224"/>
      <c r="SEQ1" s="224"/>
      <c r="SER1" s="224"/>
      <c r="SES1" s="224"/>
      <c r="SET1" s="224"/>
      <c r="SEU1" s="224"/>
      <c r="SEV1" s="224"/>
      <c r="SEW1" s="224"/>
      <c r="SEX1" s="224"/>
      <c r="SEY1" s="224"/>
      <c r="SEZ1" s="224"/>
      <c r="SFA1" s="224"/>
      <c r="SFB1" s="224"/>
      <c r="SFC1" s="224"/>
      <c r="SFD1" s="224"/>
      <c r="SFE1" s="224"/>
      <c r="SFF1" s="224"/>
      <c r="SFG1" s="224"/>
      <c r="SFH1" s="224"/>
      <c r="SFI1" s="224"/>
      <c r="SFJ1" s="224"/>
      <c r="SFK1" s="224"/>
      <c r="SFL1" s="224"/>
      <c r="SFM1" s="224"/>
      <c r="SFN1" s="224"/>
      <c r="SFO1" s="224"/>
      <c r="SFP1" s="224"/>
      <c r="SFQ1" s="224"/>
      <c r="SFR1" s="224"/>
      <c r="SFS1" s="224"/>
      <c r="SFT1" s="224"/>
      <c r="SFU1" s="224"/>
      <c r="SFV1" s="224"/>
      <c r="SFW1" s="224"/>
      <c r="SFX1" s="224"/>
      <c r="SFY1" s="224"/>
      <c r="SFZ1" s="224"/>
      <c r="SGA1" s="224"/>
      <c r="SGB1" s="224"/>
      <c r="SGC1" s="224"/>
      <c r="SGD1" s="224"/>
      <c r="SGE1" s="224"/>
      <c r="SGF1" s="224"/>
      <c r="SGG1" s="224"/>
      <c r="SGH1" s="224"/>
      <c r="SGI1" s="224"/>
      <c r="SGJ1" s="224"/>
      <c r="SGK1" s="224"/>
      <c r="SGL1" s="224"/>
      <c r="SGM1" s="224"/>
      <c r="SGN1" s="224"/>
      <c r="SGO1" s="224"/>
      <c r="SGP1" s="224"/>
      <c r="SGQ1" s="224"/>
      <c r="SGR1" s="224"/>
      <c r="SGS1" s="224"/>
      <c r="SGT1" s="224"/>
      <c r="SGU1" s="224"/>
      <c r="SGV1" s="224"/>
      <c r="SGW1" s="224"/>
      <c r="SGX1" s="224"/>
      <c r="SGY1" s="224"/>
      <c r="SGZ1" s="224"/>
      <c r="SHA1" s="224"/>
      <c r="SHB1" s="224"/>
      <c r="SHC1" s="224"/>
      <c r="SHD1" s="224"/>
      <c r="SHE1" s="224"/>
      <c r="SHF1" s="224"/>
      <c r="SHG1" s="224"/>
      <c r="SHH1" s="224"/>
      <c r="SHI1" s="224"/>
      <c r="SHJ1" s="224"/>
      <c r="SHK1" s="224"/>
      <c r="SHL1" s="224"/>
      <c r="SHM1" s="224"/>
      <c r="SHN1" s="224"/>
      <c r="SHO1" s="224"/>
      <c r="SHP1" s="224"/>
      <c r="SHQ1" s="224"/>
      <c r="SHR1" s="224"/>
      <c r="SHS1" s="224"/>
      <c r="SHT1" s="224"/>
      <c r="SHU1" s="224"/>
      <c r="SHV1" s="224"/>
      <c r="SHW1" s="224"/>
      <c r="SHX1" s="224"/>
      <c r="SHY1" s="224"/>
      <c r="SHZ1" s="224"/>
      <c r="SIA1" s="224"/>
      <c r="SIB1" s="224"/>
      <c r="SIC1" s="224"/>
      <c r="SID1" s="224"/>
      <c r="SIE1" s="224"/>
      <c r="SIF1" s="224"/>
      <c r="SIG1" s="224"/>
      <c r="SIH1" s="224"/>
      <c r="SII1" s="224"/>
      <c r="SIJ1" s="224"/>
      <c r="SIK1" s="224"/>
      <c r="SIL1" s="224"/>
      <c r="SIM1" s="224"/>
      <c r="SIN1" s="224"/>
      <c r="SIO1" s="224"/>
      <c r="SIP1" s="224"/>
      <c r="SIQ1" s="224"/>
      <c r="SIR1" s="224"/>
      <c r="SIS1" s="224"/>
      <c r="SIT1" s="224"/>
      <c r="SIU1" s="224"/>
      <c r="SIV1" s="224"/>
      <c r="SIW1" s="224"/>
      <c r="SIX1" s="224"/>
      <c r="SIY1" s="224"/>
      <c r="SIZ1" s="224"/>
      <c r="SJA1" s="224"/>
      <c r="SJB1" s="224"/>
      <c r="SJC1" s="224"/>
      <c r="SJD1" s="224"/>
      <c r="SJE1" s="224"/>
      <c r="SJF1" s="224"/>
      <c r="SJG1" s="224"/>
      <c r="SJH1" s="224"/>
      <c r="SJI1" s="224"/>
      <c r="SJJ1" s="224"/>
      <c r="SJK1" s="224"/>
      <c r="SJL1" s="224"/>
      <c r="SJM1" s="224"/>
      <c r="SJN1" s="224"/>
      <c r="SJO1" s="224"/>
      <c r="SJP1" s="224"/>
      <c r="SJQ1" s="224"/>
      <c r="SJR1" s="224"/>
      <c r="SJS1" s="224"/>
      <c r="SJT1" s="224"/>
      <c r="SJU1" s="224"/>
      <c r="SJV1" s="224"/>
      <c r="SJW1" s="224"/>
      <c r="SJX1" s="224"/>
      <c r="SJY1" s="224"/>
      <c r="SJZ1" s="224"/>
      <c r="SKA1" s="224"/>
      <c r="SKB1" s="224"/>
      <c r="SKC1" s="224"/>
      <c r="SKD1" s="224"/>
      <c r="SKE1" s="224"/>
      <c r="SKF1" s="224"/>
      <c r="SKG1" s="224"/>
      <c r="SKH1" s="224"/>
      <c r="SKI1" s="224"/>
      <c r="SKJ1" s="224"/>
      <c r="SKK1" s="224"/>
      <c r="SKL1" s="224"/>
      <c r="SKM1" s="224"/>
      <c r="SKN1" s="224"/>
      <c r="SKO1" s="224"/>
      <c r="SKP1" s="224"/>
      <c r="SKQ1" s="224"/>
      <c r="SKR1" s="224"/>
      <c r="SKS1" s="224"/>
      <c r="SKT1" s="224"/>
      <c r="SKU1" s="224"/>
      <c r="SKV1" s="224"/>
      <c r="SKW1" s="224"/>
      <c r="SKX1" s="224"/>
      <c r="SKY1" s="224"/>
      <c r="SKZ1" s="224"/>
      <c r="SLA1" s="224"/>
      <c r="SLB1" s="224"/>
      <c r="SLC1" s="224"/>
      <c r="SLD1" s="224"/>
      <c r="SLE1" s="224"/>
      <c r="SLF1" s="224"/>
      <c r="SLG1" s="224"/>
      <c r="SLH1" s="224"/>
      <c r="SLI1" s="224"/>
      <c r="SLJ1" s="224"/>
      <c r="SLK1" s="224"/>
      <c r="SLL1" s="224"/>
      <c r="SLM1" s="224"/>
      <c r="SLN1" s="224"/>
      <c r="SLO1" s="224"/>
      <c r="SLP1" s="224"/>
      <c r="SLQ1" s="224"/>
      <c r="SLR1" s="224"/>
      <c r="SLS1" s="224"/>
      <c r="SLT1" s="224"/>
      <c r="SLU1" s="224"/>
      <c r="SLV1" s="224"/>
      <c r="SLW1" s="224"/>
      <c r="SLX1" s="224"/>
      <c r="SLY1" s="224"/>
      <c r="SLZ1" s="224"/>
      <c r="SMA1" s="224"/>
      <c r="SMB1" s="224"/>
      <c r="SMC1" s="224"/>
      <c r="SMD1" s="224"/>
      <c r="SME1" s="224"/>
      <c r="SMF1" s="224"/>
      <c r="SMG1" s="224"/>
      <c r="SMH1" s="224"/>
      <c r="SMI1" s="224"/>
      <c r="SMJ1" s="224"/>
      <c r="SMK1" s="224"/>
      <c r="SML1" s="224"/>
      <c r="SMM1" s="224"/>
      <c r="SMN1" s="224"/>
      <c r="SMO1" s="224"/>
      <c r="SMP1" s="224"/>
      <c r="SMQ1" s="224"/>
      <c r="SMR1" s="224"/>
      <c r="SMS1" s="224"/>
      <c r="SMT1" s="224"/>
      <c r="SMU1" s="224"/>
      <c r="SMV1" s="224"/>
      <c r="SMW1" s="224"/>
      <c r="SMX1" s="224"/>
      <c r="SMY1" s="224"/>
      <c r="SMZ1" s="224"/>
      <c r="SNA1" s="224"/>
      <c r="SNB1" s="224"/>
      <c r="SNC1" s="224"/>
      <c r="SND1" s="224"/>
      <c r="SNE1" s="224"/>
      <c r="SNF1" s="224"/>
      <c r="SNG1" s="224"/>
      <c r="SNH1" s="224"/>
      <c r="SNI1" s="224"/>
      <c r="SNJ1" s="224"/>
      <c r="SNK1" s="224"/>
      <c r="SNL1" s="224"/>
      <c r="SNM1" s="224"/>
      <c r="SNN1" s="224"/>
      <c r="SNO1" s="224"/>
      <c r="SNP1" s="224"/>
      <c r="SNQ1" s="224"/>
      <c r="SNR1" s="224"/>
      <c r="SNS1" s="224"/>
      <c r="SNT1" s="224"/>
      <c r="SNU1" s="224"/>
      <c r="SNV1" s="224"/>
      <c r="SNW1" s="224"/>
      <c r="SNX1" s="224"/>
      <c r="SNY1" s="224"/>
      <c r="SNZ1" s="224"/>
      <c r="SOA1" s="224"/>
      <c r="SOB1" s="224"/>
      <c r="SOC1" s="224"/>
      <c r="SOD1" s="224"/>
      <c r="SOE1" s="224"/>
      <c r="SOF1" s="224"/>
      <c r="SOG1" s="224"/>
      <c r="SOH1" s="224"/>
      <c r="SOI1" s="224"/>
      <c r="SOJ1" s="224"/>
      <c r="SOK1" s="224"/>
      <c r="SOL1" s="224"/>
      <c r="SOM1" s="224"/>
      <c r="SON1" s="224"/>
      <c r="SOO1" s="224"/>
      <c r="SOP1" s="224"/>
      <c r="SOQ1" s="224"/>
      <c r="SOR1" s="224"/>
      <c r="SOS1" s="224"/>
      <c r="SOT1" s="224"/>
      <c r="SOU1" s="224"/>
      <c r="SOV1" s="224"/>
      <c r="SOW1" s="224"/>
      <c r="SOX1" s="224"/>
      <c r="SOY1" s="224"/>
      <c r="SOZ1" s="224"/>
      <c r="SPA1" s="224"/>
      <c r="SPB1" s="224"/>
      <c r="SPC1" s="224"/>
      <c r="SPD1" s="224"/>
      <c r="SPE1" s="224"/>
      <c r="SPF1" s="224"/>
      <c r="SPG1" s="224"/>
      <c r="SPH1" s="224"/>
      <c r="SPI1" s="224"/>
      <c r="SPJ1" s="224"/>
      <c r="SPK1" s="224"/>
      <c r="SPL1" s="224"/>
      <c r="SPM1" s="224"/>
      <c r="SPN1" s="224"/>
      <c r="SPO1" s="224"/>
      <c r="SPP1" s="224"/>
      <c r="SPQ1" s="224"/>
      <c r="SPR1" s="224"/>
      <c r="SPS1" s="224"/>
      <c r="SPT1" s="224"/>
      <c r="SPU1" s="224"/>
      <c r="SPV1" s="224"/>
      <c r="SPW1" s="224"/>
      <c r="SPX1" s="224"/>
      <c r="SPY1" s="224"/>
      <c r="SPZ1" s="224"/>
      <c r="SQA1" s="224"/>
      <c r="SQB1" s="224"/>
      <c r="SQC1" s="224"/>
      <c r="SQD1" s="224"/>
      <c r="SQE1" s="224"/>
      <c r="SQF1" s="224"/>
      <c r="SQG1" s="224"/>
      <c r="SQH1" s="224"/>
      <c r="SQI1" s="224"/>
      <c r="SQJ1" s="224"/>
      <c r="SQK1" s="224"/>
      <c r="SQL1" s="224"/>
      <c r="SQM1" s="224"/>
      <c r="SQN1" s="224"/>
      <c r="SQO1" s="224"/>
      <c r="SQP1" s="224"/>
      <c r="SQQ1" s="224"/>
      <c r="SQR1" s="224"/>
      <c r="SQS1" s="224"/>
      <c r="SQT1" s="224"/>
      <c r="SQU1" s="224"/>
      <c r="SQV1" s="224"/>
      <c r="SQW1" s="224"/>
      <c r="SQX1" s="224"/>
      <c r="SQY1" s="224"/>
      <c r="SQZ1" s="224"/>
      <c r="SRA1" s="224"/>
      <c r="SRB1" s="224"/>
      <c r="SRC1" s="224"/>
      <c r="SRD1" s="224"/>
      <c r="SRE1" s="224"/>
      <c r="SRF1" s="224"/>
      <c r="SRG1" s="224"/>
      <c r="SRH1" s="224"/>
      <c r="SRI1" s="224"/>
      <c r="SRJ1" s="224"/>
      <c r="SRK1" s="224"/>
      <c r="SRL1" s="224"/>
      <c r="SRM1" s="224"/>
      <c r="SRN1" s="224"/>
      <c r="SRO1" s="224"/>
      <c r="SRP1" s="224"/>
      <c r="SRQ1" s="224"/>
      <c r="SRR1" s="224"/>
      <c r="SRS1" s="224"/>
      <c r="SRT1" s="224"/>
      <c r="SRU1" s="224"/>
      <c r="SRV1" s="224"/>
      <c r="SRW1" s="224"/>
      <c r="SRX1" s="224"/>
      <c r="SRY1" s="224"/>
      <c r="SRZ1" s="224"/>
      <c r="SSA1" s="224"/>
      <c r="SSB1" s="224"/>
      <c r="SSC1" s="224"/>
      <c r="SSD1" s="224"/>
      <c r="SSE1" s="224"/>
      <c r="SSF1" s="224"/>
      <c r="SSG1" s="224"/>
      <c r="SSH1" s="224"/>
      <c r="SSI1" s="224"/>
      <c r="SSJ1" s="224"/>
      <c r="SSK1" s="224"/>
      <c r="SSL1" s="224"/>
      <c r="SSM1" s="224"/>
      <c r="SSN1" s="224"/>
      <c r="SSO1" s="224"/>
      <c r="SSP1" s="224"/>
      <c r="SSQ1" s="224"/>
      <c r="SSR1" s="224"/>
      <c r="SSS1" s="224"/>
      <c r="SST1" s="224"/>
      <c r="SSU1" s="224"/>
      <c r="SSV1" s="224"/>
      <c r="SSW1" s="224"/>
      <c r="SSX1" s="224"/>
      <c r="SSY1" s="224"/>
      <c r="SSZ1" s="224"/>
      <c r="STA1" s="224"/>
      <c r="STB1" s="224"/>
      <c r="STC1" s="224"/>
      <c r="STD1" s="224"/>
      <c r="STE1" s="224"/>
      <c r="STF1" s="224"/>
      <c r="STG1" s="224"/>
      <c r="STH1" s="224"/>
      <c r="STI1" s="224"/>
      <c r="STJ1" s="224"/>
      <c r="STK1" s="224"/>
      <c r="STL1" s="224"/>
      <c r="STM1" s="224"/>
      <c r="STN1" s="224"/>
      <c r="STO1" s="224"/>
      <c r="STP1" s="224"/>
      <c r="STQ1" s="224"/>
      <c r="STR1" s="224"/>
      <c r="STS1" s="224"/>
      <c r="STT1" s="224"/>
      <c r="STU1" s="224"/>
      <c r="STV1" s="224"/>
      <c r="STW1" s="224"/>
      <c r="STX1" s="224"/>
      <c r="STY1" s="224"/>
      <c r="STZ1" s="224"/>
      <c r="SUA1" s="224"/>
      <c r="SUB1" s="224"/>
      <c r="SUC1" s="224"/>
      <c r="SUD1" s="224"/>
      <c r="SUE1" s="224"/>
      <c r="SUF1" s="224"/>
      <c r="SUG1" s="224"/>
      <c r="SUH1" s="224"/>
      <c r="SUI1" s="224"/>
      <c r="SUJ1" s="224"/>
      <c r="SUK1" s="224"/>
      <c r="SUL1" s="224"/>
      <c r="SUM1" s="224"/>
      <c r="SUN1" s="224"/>
      <c r="SUO1" s="224"/>
      <c r="SUP1" s="224"/>
      <c r="SUQ1" s="224"/>
      <c r="SUR1" s="224"/>
      <c r="SUS1" s="224"/>
      <c r="SUT1" s="224"/>
      <c r="SUU1" s="224"/>
      <c r="SUV1" s="224"/>
      <c r="SUW1" s="224"/>
      <c r="SUX1" s="224"/>
      <c r="SUY1" s="224"/>
      <c r="SUZ1" s="224"/>
      <c r="SVA1" s="224"/>
      <c r="SVB1" s="224"/>
      <c r="SVC1" s="224"/>
      <c r="SVD1" s="224"/>
      <c r="SVE1" s="224"/>
      <c r="SVF1" s="224"/>
      <c r="SVG1" s="224"/>
      <c r="SVH1" s="224"/>
      <c r="SVI1" s="224"/>
      <c r="SVJ1" s="224"/>
      <c r="SVK1" s="224"/>
      <c r="SVL1" s="224"/>
      <c r="SVM1" s="224"/>
      <c r="SVN1" s="224"/>
      <c r="SVO1" s="224"/>
      <c r="SVP1" s="224"/>
      <c r="SVQ1" s="224"/>
      <c r="SVR1" s="224"/>
      <c r="SVS1" s="224"/>
      <c r="SVT1" s="224"/>
      <c r="SVU1" s="224"/>
      <c r="SVV1" s="224"/>
      <c r="SVW1" s="224"/>
      <c r="SVX1" s="224"/>
      <c r="SVY1" s="224"/>
      <c r="SVZ1" s="224"/>
      <c r="SWA1" s="224"/>
      <c r="SWB1" s="224"/>
      <c r="SWC1" s="224"/>
      <c r="SWD1" s="224"/>
      <c r="SWE1" s="224"/>
      <c r="SWF1" s="224"/>
      <c r="SWG1" s="224"/>
      <c r="SWH1" s="224"/>
      <c r="SWI1" s="224"/>
      <c r="SWJ1" s="224"/>
      <c r="SWK1" s="224"/>
      <c r="SWL1" s="224"/>
      <c r="SWM1" s="224"/>
      <c r="SWN1" s="224"/>
      <c r="SWO1" s="224"/>
      <c r="SWP1" s="224"/>
      <c r="SWQ1" s="224"/>
      <c r="SWR1" s="224"/>
      <c r="SWS1" s="224"/>
      <c r="SWT1" s="224"/>
      <c r="SWU1" s="224"/>
      <c r="SWV1" s="224"/>
      <c r="SWW1" s="224"/>
      <c r="SWX1" s="224"/>
      <c r="SWY1" s="224"/>
      <c r="SWZ1" s="224"/>
      <c r="SXA1" s="224"/>
      <c r="SXB1" s="224"/>
      <c r="SXC1" s="224"/>
      <c r="SXD1" s="224"/>
      <c r="SXE1" s="224"/>
      <c r="SXF1" s="224"/>
      <c r="SXG1" s="224"/>
      <c r="SXH1" s="224"/>
      <c r="SXI1" s="224"/>
      <c r="SXJ1" s="224"/>
      <c r="SXK1" s="224"/>
      <c r="SXL1" s="224"/>
      <c r="SXM1" s="224"/>
      <c r="SXN1" s="224"/>
      <c r="SXO1" s="224"/>
      <c r="SXP1" s="224"/>
      <c r="SXQ1" s="224"/>
      <c r="SXR1" s="224"/>
      <c r="SXS1" s="224"/>
      <c r="SXT1" s="224"/>
      <c r="SXU1" s="224"/>
      <c r="SXV1" s="224"/>
      <c r="SXW1" s="224"/>
      <c r="SXX1" s="224"/>
      <c r="SXY1" s="224"/>
      <c r="SXZ1" s="224"/>
      <c r="SYA1" s="224"/>
      <c r="SYB1" s="224"/>
      <c r="SYC1" s="224"/>
      <c r="SYD1" s="224"/>
      <c r="SYE1" s="224"/>
      <c r="SYF1" s="224"/>
      <c r="SYG1" s="224"/>
      <c r="SYH1" s="224"/>
      <c r="SYI1" s="224"/>
      <c r="SYJ1" s="224"/>
      <c r="SYK1" s="224"/>
      <c r="SYL1" s="224"/>
      <c r="SYM1" s="224"/>
      <c r="SYN1" s="224"/>
      <c r="SYO1" s="224"/>
      <c r="SYP1" s="224"/>
      <c r="SYQ1" s="224"/>
      <c r="SYR1" s="224"/>
      <c r="SYS1" s="224"/>
      <c r="SYT1" s="224"/>
      <c r="SYU1" s="224"/>
      <c r="SYV1" s="224"/>
      <c r="SYW1" s="224"/>
      <c r="SYX1" s="224"/>
      <c r="SYY1" s="224"/>
      <c r="SYZ1" s="224"/>
      <c r="SZA1" s="224"/>
      <c r="SZB1" s="224"/>
      <c r="SZC1" s="224"/>
      <c r="SZD1" s="224"/>
      <c r="SZE1" s="224"/>
      <c r="SZF1" s="224"/>
      <c r="SZG1" s="224"/>
      <c r="SZH1" s="224"/>
      <c r="SZI1" s="224"/>
      <c r="SZJ1" s="224"/>
      <c r="SZK1" s="224"/>
      <c r="SZL1" s="224"/>
      <c r="SZM1" s="224"/>
      <c r="SZN1" s="224"/>
      <c r="SZO1" s="224"/>
      <c r="SZP1" s="224"/>
      <c r="SZQ1" s="224"/>
      <c r="SZR1" s="224"/>
      <c r="SZS1" s="224"/>
      <c r="SZT1" s="224"/>
      <c r="SZU1" s="224"/>
      <c r="SZV1" s="224"/>
      <c r="SZW1" s="224"/>
      <c r="SZX1" s="224"/>
      <c r="SZY1" s="224"/>
      <c r="SZZ1" s="224"/>
      <c r="TAA1" s="224"/>
      <c r="TAB1" s="224"/>
      <c r="TAC1" s="224"/>
      <c r="TAD1" s="224"/>
      <c r="TAE1" s="224"/>
      <c r="TAF1" s="224"/>
      <c r="TAG1" s="224"/>
      <c r="TAH1" s="224"/>
      <c r="TAI1" s="224"/>
      <c r="TAJ1" s="224"/>
      <c r="TAK1" s="224"/>
      <c r="TAL1" s="224"/>
      <c r="TAM1" s="224"/>
      <c r="TAN1" s="224"/>
      <c r="TAO1" s="224"/>
      <c r="TAP1" s="224"/>
      <c r="TAQ1" s="224"/>
      <c r="TAR1" s="224"/>
      <c r="TAS1" s="224"/>
      <c r="TAT1" s="224"/>
      <c r="TAU1" s="224"/>
      <c r="TAV1" s="224"/>
      <c r="TAW1" s="224"/>
      <c r="TAX1" s="224"/>
      <c r="TAY1" s="224"/>
      <c r="TAZ1" s="224"/>
      <c r="TBA1" s="224"/>
      <c r="TBB1" s="224"/>
      <c r="TBC1" s="224"/>
      <c r="TBD1" s="224"/>
      <c r="TBE1" s="224"/>
      <c r="TBF1" s="224"/>
      <c r="TBG1" s="224"/>
      <c r="TBH1" s="224"/>
      <c r="TBI1" s="224"/>
      <c r="TBJ1" s="224"/>
      <c r="TBK1" s="224"/>
      <c r="TBL1" s="224"/>
      <c r="TBM1" s="224"/>
      <c r="TBN1" s="224"/>
      <c r="TBO1" s="224"/>
      <c r="TBP1" s="224"/>
      <c r="TBQ1" s="224"/>
      <c r="TBR1" s="224"/>
      <c r="TBS1" s="224"/>
      <c r="TBT1" s="224"/>
      <c r="TBU1" s="224"/>
      <c r="TBV1" s="224"/>
      <c r="TBW1" s="224"/>
      <c r="TBX1" s="224"/>
      <c r="TBY1" s="224"/>
      <c r="TBZ1" s="224"/>
      <c r="TCA1" s="224"/>
      <c r="TCB1" s="224"/>
      <c r="TCC1" s="224"/>
      <c r="TCD1" s="224"/>
      <c r="TCE1" s="224"/>
      <c r="TCF1" s="224"/>
      <c r="TCG1" s="224"/>
      <c r="TCH1" s="224"/>
      <c r="TCI1" s="224"/>
      <c r="TCJ1" s="224"/>
      <c r="TCK1" s="224"/>
      <c r="TCL1" s="224"/>
      <c r="TCM1" s="224"/>
      <c r="TCN1" s="224"/>
      <c r="TCO1" s="224"/>
      <c r="TCP1" s="224"/>
      <c r="TCQ1" s="224"/>
      <c r="TCR1" s="224"/>
      <c r="TCS1" s="224"/>
      <c r="TCT1" s="224"/>
      <c r="TCU1" s="224"/>
      <c r="TCV1" s="224"/>
      <c r="TCW1" s="224"/>
      <c r="TCX1" s="224"/>
      <c r="TCY1" s="224"/>
      <c r="TCZ1" s="224"/>
      <c r="TDA1" s="224"/>
      <c r="TDB1" s="224"/>
      <c r="TDC1" s="224"/>
      <c r="TDD1" s="224"/>
      <c r="TDE1" s="224"/>
      <c r="TDF1" s="224"/>
      <c r="TDG1" s="224"/>
      <c r="TDH1" s="224"/>
      <c r="TDI1" s="224"/>
      <c r="TDJ1" s="224"/>
      <c r="TDK1" s="224"/>
      <c r="TDL1" s="224"/>
      <c r="TDM1" s="224"/>
      <c r="TDN1" s="224"/>
      <c r="TDO1" s="224"/>
      <c r="TDP1" s="224"/>
      <c r="TDQ1" s="224"/>
      <c r="TDR1" s="224"/>
      <c r="TDS1" s="224"/>
      <c r="TDT1" s="224"/>
      <c r="TDU1" s="224"/>
      <c r="TDV1" s="224"/>
      <c r="TDW1" s="224"/>
      <c r="TDX1" s="224"/>
      <c r="TDY1" s="224"/>
      <c r="TDZ1" s="224"/>
      <c r="TEA1" s="224"/>
      <c r="TEB1" s="224"/>
      <c r="TEC1" s="224"/>
      <c r="TED1" s="224"/>
      <c r="TEE1" s="224"/>
      <c r="TEF1" s="224"/>
      <c r="TEG1" s="224"/>
      <c r="TEH1" s="224"/>
      <c r="TEI1" s="224"/>
      <c r="TEJ1" s="224"/>
      <c r="TEK1" s="224"/>
      <c r="TEL1" s="224"/>
      <c r="TEM1" s="224"/>
      <c r="TEN1" s="224"/>
      <c r="TEO1" s="224"/>
      <c r="TEP1" s="224"/>
      <c r="TEQ1" s="224"/>
      <c r="TER1" s="224"/>
      <c r="TES1" s="224"/>
      <c r="TET1" s="224"/>
      <c r="TEU1" s="224"/>
      <c r="TEV1" s="224"/>
      <c r="TEW1" s="224"/>
      <c r="TEX1" s="224"/>
      <c r="TEY1" s="224"/>
      <c r="TEZ1" s="224"/>
      <c r="TFA1" s="224"/>
      <c r="TFB1" s="224"/>
      <c r="TFC1" s="224"/>
      <c r="TFD1" s="224"/>
      <c r="TFE1" s="224"/>
      <c r="TFF1" s="224"/>
      <c r="TFG1" s="224"/>
      <c r="TFH1" s="224"/>
      <c r="TFI1" s="224"/>
      <c r="TFJ1" s="224"/>
      <c r="TFK1" s="224"/>
      <c r="TFL1" s="224"/>
      <c r="TFM1" s="224"/>
      <c r="TFN1" s="224"/>
      <c r="TFO1" s="224"/>
      <c r="TFP1" s="224"/>
      <c r="TFQ1" s="224"/>
      <c r="TFR1" s="224"/>
      <c r="TFS1" s="224"/>
      <c r="TFT1" s="224"/>
      <c r="TFU1" s="224"/>
      <c r="TFV1" s="224"/>
      <c r="TFW1" s="224"/>
      <c r="TFX1" s="224"/>
      <c r="TFY1" s="224"/>
      <c r="TFZ1" s="224"/>
      <c r="TGA1" s="224"/>
      <c r="TGB1" s="224"/>
      <c r="TGC1" s="224"/>
      <c r="TGD1" s="224"/>
      <c r="TGE1" s="224"/>
      <c r="TGF1" s="224"/>
      <c r="TGG1" s="224"/>
      <c r="TGH1" s="224"/>
      <c r="TGI1" s="224"/>
      <c r="TGJ1" s="224"/>
      <c r="TGK1" s="224"/>
      <c r="TGL1" s="224"/>
      <c r="TGM1" s="224"/>
      <c r="TGN1" s="224"/>
      <c r="TGO1" s="224"/>
      <c r="TGP1" s="224"/>
      <c r="TGQ1" s="224"/>
      <c r="TGR1" s="224"/>
      <c r="TGS1" s="224"/>
      <c r="TGT1" s="224"/>
      <c r="TGU1" s="224"/>
      <c r="TGV1" s="224"/>
      <c r="TGW1" s="224"/>
      <c r="TGX1" s="224"/>
      <c r="TGY1" s="224"/>
      <c r="TGZ1" s="224"/>
      <c r="THA1" s="224"/>
      <c r="THB1" s="224"/>
      <c r="THC1" s="224"/>
      <c r="THD1" s="224"/>
      <c r="THE1" s="224"/>
      <c r="THF1" s="224"/>
      <c r="THG1" s="224"/>
      <c r="THH1" s="224"/>
      <c r="THI1" s="224"/>
      <c r="THJ1" s="224"/>
      <c r="THK1" s="224"/>
      <c r="THL1" s="224"/>
      <c r="THM1" s="224"/>
      <c r="THN1" s="224"/>
      <c r="THO1" s="224"/>
      <c r="THP1" s="224"/>
      <c r="THQ1" s="224"/>
      <c r="THR1" s="224"/>
      <c r="THS1" s="224"/>
      <c r="THT1" s="224"/>
      <c r="THU1" s="224"/>
      <c r="THV1" s="224"/>
      <c r="THW1" s="224"/>
      <c r="THX1" s="224"/>
      <c r="THY1" s="224"/>
      <c r="THZ1" s="224"/>
      <c r="TIA1" s="224"/>
      <c r="TIB1" s="224"/>
      <c r="TIC1" s="224"/>
      <c r="TID1" s="224"/>
      <c r="TIE1" s="224"/>
      <c r="TIF1" s="224"/>
      <c r="TIG1" s="224"/>
      <c r="TIH1" s="224"/>
      <c r="TII1" s="224"/>
      <c r="TIJ1" s="224"/>
      <c r="TIK1" s="224"/>
      <c r="TIL1" s="224"/>
      <c r="TIM1" s="224"/>
      <c r="TIN1" s="224"/>
      <c r="TIO1" s="224"/>
      <c r="TIP1" s="224"/>
      <c r="TIQ1" s="224"/>
      <c r="TIR1" s="224"/>
      <c r="TIS1" s="224"/>
      <c r="TIT1" s="224"/>
      <c r="TIU1" s="224"/>
      <c r="TIV1" s="224"/>
      <c r="TIW1" s="224"/>
      <c r="TIX1" s="224"/>
      <c r="TIY1" s="224"/>
      <c r="TIZ1" s="224"/>
      <c r="TJA1" s="224"/>
      <c r="TJB1" s="224"/>
      <c r="TJC1" s="224"/>
      <c r="TJD1" s="224"/>
      <c r="TJE1" s="224"/>
      <c r="TJF1" s="224"/>
      <c r="TJG1" s="224"/>
      <c r="TJH1" s="224"/>
      <c r="TJI1" s="224"/>
      <c r="TJJ1" s="224"/>
      <c r="TJK1" s="224"/>
      <c r="TJL1" s="224"/>
      <c r="TJM1" s="224"/>
      <c r="TJN1" s="224"/>
      <c r="TJO1" s="224"/>
      <c r="TJP1" s="224"/>
      <c r="TJQ1" s="224"/>
      <c r="TJR1" s="224"/>
      <c r="TJS1" s="224"/>
      <c r="TJT1" s="224"/>
      <c r="TJU1" s="224"/>
      <c r="TJV1" s="224"/>
      <c r="TJW1" s="224"/>
      <c r="TJX1" s="224"/>
      <c r="TJY1" s="224"/>
      <c r="TJZ1" s="224"/>
      <c r="TKA1" s="224"/>
      <c r="TKB1" s="224"/>
      <c r="TKC1" s="224"/>
      <c r="TKD1" s="224"/>
      <c r="TKE1" s="224"/>
      <c r="TKF1" s="224"/>
      <c r="TKG1" s="224"/>
      <c r="TKH1" s="224"/>
      <c r="TKI1" s="224"/>
      <c r="TKJ1" s="224"/>
      <c r="TKK1" s="224"/>
      <c r="TKL1" s="224"/>
      <c r="TKM1" s="224"/>
      <c r="TKN1" s="224"/>
      <c r="TKO1" s="224"/>
      <c r="TKP1" s="224"/>
      <c r="TKQ1" s="224"/>
      <c r="TKR1" s="224"/>
      <c r="TKS1" s="224"/>
      <c r="TKT1" s="224"/>
      <c r="TKU1" s="224"/>
      <c r="TKV1" s="224"/>
      <c r="TKW1" s="224"/>
      <c r="TKX1" s="224"/>
      <c r="TKY1" s="224"/>
      <c r="TKZ1" s="224"/>
      <c r="TLA1" s="224"/>
      <c r="TLB1" s="224"/>
      <c r="TLC1" s="224"/>
      <c r="TLD1" s="224"/>
      <c r="TLE1" s="224"/>
      <c r="TLF1" s="224"/>
      <c r="TLG1" s="224"/>
      <c r="TLH1" s="224"/>
      <c r="TLI1" s="224"/>
      <c r="TLJ1" s="224"/>
      <c r="TLK1" s="224"/>
      <c r="TLL1" s="224"/>
      <c r="TLM1" s="224"/>
      <c r="TLN1" s="224"/>
      <c r="TLO1" s="224"/>
      <c r="TLP1" s="224"/>
      <c r="TLQ1" s="224"/>
      <c r="TLR1" s="224"/>
      <c r="TLS1" s="224"/>
      <c r="TLT1" s="224"/>
      <c r="TLU1" s="224"/>
      <c r="TLV1" s="224"/>
      <c r="TLW1" s="224"/>
      <c r="TLX1" s="224"/>
      <c r="TLY1" s="224"/>
      <c r="TLZ1" s="224"/>
      <c r="TMA1" s="224"/>
      <c r="TMB1" s="224"/>
      <c r="TMC1" s="224"/>
      <c r="TMD1" s="224"/>
      <c r="TME1" s="224"/>
      <c r="TMF1" s="224"/>
      <c r="TMG1" s="224"/>
      <c r="TMH1" s="224"/>
      <c r="TMI1" s="224"/>
      <c r="TMJ1" s="224"/>
      <c r="TMK1" s="224"/>
      <c r="TML1" s="224"/>
      <c r="TMM1" s="224"/>
      <c r="TMN1" s="224"/>
      <c r="TMO1" s="224"/>
      <c r="TMP1" s="224"/>
      <c r="TMQ1" s="224"/>
      <c r="TMR1" s="224"/>
      <c r="TMS1" s="224"/>
      <c r="TMT1" s="224"/>
      <c r="TMU1" s="224"/>
      <c r="TMV1" s="224"/>
      <c r="TMW1" s="224"/>
      <c r="TMX1" s="224"/>
      <c r="TMY1" s="224"/>
      <c r="TMZ1" s="224"/>
      <c r="TNA1" s="224"/>
      <c r="TNB1" s="224"/>
      <c r="TNC1" s="224"/>
      <c r="TND1" s="224"/>
      <c r="TNE1" s="224"/>
      <c r="TNF1" s="224"/>
      <c r="TNG1" s="224"/>
      <c r="TNH1" s="224"/>
      <c r="TNI1" s="224"/>
      <c r="TNJ1" s="224"/>
      <c r="TNK1" s="224"/>
      <c r="TNL1" s="224"/>
      <c r="TNM1" s="224"/>
      <c r="TNN1" s="224"/>
      <c r="TNO1" s="224"/>
      <c r="TNP1" s="224"/>
      <c r="TNQ1" s="224"/>
      <c r="TNR1" s="224"/>
      <c r="TNS1" s="224"/>
      <c r="TNT1" s="224"/>
      <c r="TNU1" s="224"/>
      <c r="TNV1" s="224"/>
      <c r="TNW1" s="224"/>
      <c r="TNX1" s="224"/>
      <c r="TNY1" s="224"/>
      <c r="TNZ1" s="224"/>
      <c r="TOA1" s="224"/>
      <c r="TOB1" s="224"/>
      <c r="TOC1" s="224"/>
      <c r="TOD1" s="224"/>
      <c r="TOE1" s="224"/>
      <c r="TOF1" s="224"/>
      <c r="TOG1" s="224"/>
      <c r="TOH1" s="224"/>
      <c r="TOI1" s="224"/>
      <c r="TOJ1" s="224"/>
      <c r="TOK1" s="224"/>
      <c r="TOL1" s="224"/>
      <c r="TOM1" s="224"/>
      <c r="TON1" s="224"/>
      <c r="TOO1" s="224"/>
      <c r="TOP1" s="224"/>
      <c r="TOQ1" s="224"/>
      <c r="TOR1" s="224"/>
      <c r="TOS1" s="224"/>
      <c r="TOT1" s="224"/>
      <c r="TOU1" s="224"/>
      <c r="TOV1" s="224"/>
      <c r="TOW1" s="224"/>
      <c r="TOX1" s="224"/>
      <c r="TOY1" s="224"/>
      <c r="TOZ1" s="224"/>
      <c r="TPA1" s="224"/>
      <c r="TPB1" s="224"/>
      <c r="TPC1" s="224"/>
      <c r="TPD1" s="224"/>
      <c r="TPE1" s="224"/>
      <c r="TPF1" s="224"/>
      <c r="TPG1" s="224"/>
      <c r="TPH1" s="224"/>
      <c r="TPI1" s="224"/>
      <c r="TPJ1" s="224"/>
      <c r="TPK1" s="224"/>
      <c r="TPL1" s="224"/>
      <c r="TPM1" s="224"/>
      <c r="TPN1" s="224"/>
      <c r="TPO1" s="224"/>
      <c r="TPP1" s="224"/>
      <c r="TPQ1" s="224"/>
      <c r="TPR1" s="224"/>
      <c r="TPS1" s="224"/>
      <c r="TPT1" s="224"/>
      <c r="TPU1" s="224"/>
      <c r="TPV1" s="224"/>
      <c r="TPW1" s="224"/>
      <c r="TPX1" s="224"/>
      <c r="TPY1" s="224"/>
      <c r="TPZ1" s="224"/>
      <c r="TQA1" s="224"/>
      <c r="TQB1" s="224"/>
      <c r="TQC1" s="224"/>
      <c r="TQD1" s="224"/>
      <c r="TQE1" s="224"/>
      <c r="TQF1" s="224"/>
      <c r="TQG1" s="224"/>
      <c r="TQH1" s="224"/>
      <c r="TQI1" s="224"/>
      <c r="TQJ1" s="224"/>
      <c r="TQK1" s="224"/>
      <c r="TQL1" s="224"/>
      <c r="TQM1" s="224"/>
      <c r="TQN1" s="224"/>
      <c r="TQO1" s="224"/>
      <c r="TQP1" s="224"/>
      <c r="TQQ1" s="224"/>
      <c r="TQR1" s="224"/>
      <c r="TQS1" s="224"/>
      <c r="TQT1" s="224"/>
      <c r="TQU1" s="224"/>
      <c r="TQV1" s="224"/>
      <c r="TQW1" s="224"/>
      <c r="TQX1" s="224"/>
      <c r="TQY1" s="224"/>
      <c r="TQZ1" s="224"/>
      <c r="TRA1" s="224"/>
      <c r="TRB1" s="224"/>
      <c r="TRC1" s="224"/>
      <c r="TRD1" s="224"/>
      <c r="TRE1" s="224"/>
      <c r="TRF1" s="224"/>
      <c r="TRG1" s="224"/>
      <c r="TRH1" s="224"/>
      <c r="TRI1" s="224"/>
      <c r="TRJ1" s="224"/>
      <c r="TRK1" s="224"/>
      <c r="TRL1" s="224"/>
      <c r="TRM1" s="224"/>
      <c r="TRN1" s="224"/>
      <c r="TRO1" s="224"/>
      <c r="TRP1" s="224"/>
      <c r="TRQ1" s="224"/>
      <c r="TRR1" s="224"/>
      <c r="TRS1" s="224"/>
      <c r="TRT1" s="224"/>
      <c r="TRU1" s="224"/>
      <c r="TRV1" s="224"/>
      <c r="TRW1" s="224"/>
      <c r="TRX1" s="224"/>
      <c r="TRY1" s="224"/>
      <c r="TRZ1" s="224"/>
      <c r="TSA1" s="224"/>
      <c r="TSB1" s="224"/>
      <c r="TSC1" s="224"/>
      <c r="TSD1" s="224"/>
      <c r="TSE1" s="224"/>
      <c r="TSF1" s="224"/>
      <c r="TSG1" s="224"/>
      <c r="TSH1" s="224"/>
      <c r="TSI1" s="224"/>
      <c r="TSJ1" s="224"/>
      <c r="TSK1" s="224"/>
      <c r="TSL1" s="224"/>
      <c r="TSM1" s="224"/>
      <c r="TSN1" s="224"/>
      <c r="TSO1" s="224"/>
      <c r="TSP1" s="224"/>
      <c r="TSQ1" s="224"/>
      <c r="TSR1" s="224"/>
      <c r="TSS1" s="224"/>
      <c r="TST1" s="224"/>
      <c r="TSU1" s="224"/>
      <c r="TSV1" s="224"/>
      <c r="TSW1" s="224"/>
      <c r="TSX1" s="224"/>
      <c r="TSY1" s="224"/>
      <c r="TSZ1" s="224"/>
      <c r="TTA1" s="224"/>
      <c r="TTB1" s="224"/>
      <c r="TTC1" s="224"/>
      <c r="TTD1" s="224"/>
      <c r="TTE1" s="224"/>
      <c r="TTF1" s="224"/>
      <c r="TTG1" s="224"/>
      <c r="TTH1" s="224"/>
      <c r="TTI1" s="224"/>
      <c r="TTJ1" s="224"/>
      <c r="TTK1" s="224"/>
      <c r="TTL1" s="224"/>
      <c r="TTM1" s="224"/>
      <c r="TTN1" s="224"/>
      <c r="TTO1" s="224"/>
      <c r="TTP1" s="224"/>
      <c r="TTQ1" s="224"/>
      <c r="TTR1" s="224"/>
      <c r="TTS1" s="224"/>
      <c r="TTT1" s="224"/>
      <c r="TTU1" s="224"/>
      <c r="TTV1" s="224"/>
      <c r="TTW1" s="224"/>
      <c r="TTX1" s="224"/>
      <c r="TTY1" s="224"/>
      <c r="TTZ1" s="224"/>
      <c r="TUA1" s="224"/>
      <c r="TUB1" s="224"/>
      <c r="TUC1" s="224"/>
      <c r="TUD1" s="224"/>
      <c r="TUE1" s="224"/>
      <c r="TUF1" s="224"/>
      <c r="TUG1" s="224"/>
      <c r="TUH1" s="224"/>
      <c r="TUI1" s="224"/>
      <c r="TUJ1" s="224"/>
      <c r="TUK1" s="224"/>
      <c r="TUL1" s="224"/>
      <c r="TUM1" s="224"/>
      <c r="TUN1" s="224"/>
      <c r="TUO1" s="224"/>
      <c r="TUP1" s="224"/>
      <c r="TUQ1" s="224"/>
      <c r="TUR1" s="224"/>
      <c r="TUS1" s="224"/>
      <c r="TUT1" s="224"/>
      <c r="TUU1" s="224"/>
      <c r="TUV1" s="224"/>
      <c r="TUW1" s="224"/>
      <c r="TUX1" s="224"/>
      <c r="TUY1" s="224"/>
      <c r="TUZ1" s="224"/>
      <c r="TVA1" s="224"/>
      <c r="TVB1" s="224"/>
      <c r="TVC1" s="224"/>
      <c r="TVD1" s="224"/>
      <c r="TVE1" s="224"/>
      <c r="TVF1" s="224"/>
      <c r="TVG1" s="224"/>
      <c r="TVH1" s="224"/>
      <c r="TVI1" s="224"/>
      <c r="TVJ1" s="224"/>
      <c r="TVK1" s="224"/>
      <c r="TVL1" s="224"/>
      <c r="TVM1" s="224"/>
      <c r="TVN1" s="224"/>
      <c r="TVO1" s="224"/>
      <c r="TVP1" s="224"/>
      <c r="TVQ1" s="224"/>
      <c r="TVR1" s="224"/>
      <c r="TVS1" s="224"/>
      <c r="TVT1" s="224"/>
      <c r="TVU1" s="224"/>
      <c r="TVV1" s="224"/>
      <c r="TVW1" s="224"/>
      <c r="TVX1" s="224"/>
      <c r="TVY1" s="224"/>
      <c r="TVZ1" s="224"/>
      <c r="TWA1" s="224"/>
      <c r="TWB1" s="224"/>
      <c r="TWC1" s="224"/>
      <c r="TWD1" s="224"/>
      <c r="TWE1" s="224"/>
      <c r="TWF1" s="224"/>
      <c r="TWG1" s="224"/>
      <c r="TWH1" s="224"/>
      <c r="TWI1" s="224"/>
      <c r="TWJ1" s="224"/>
      <c r="TWK1" s="224"/>
      <c r="TWL1" s="224"/>
      <c r="TWM1" s="224"/>
      <c r="TWN1" s="224"/>
      <c r="TWO1" s="224"/>
      <c r="TWP1" s="224"/>
      <c r="TWQ1" s="224"/>
      <c r="TWR1" s="224"/>
      <c r="TWS1" s="224"/>
      <c r="TWT1" s="224"/>
      <c r="TWU1" s="224"/>
      <c r="TWV1" s="224"/>
      <c r="TWW1" s="224"/>
      <c r="TWX1" s="224"/>
      <c r="TWY1" s="224"/>
      <c r="TWZ1" s="224"/>
      <c r="TXA1" s="224"/>
      <c r="TXB1" s="224"/>
      <c r="TXC1" s="224"/>
      <c r="TXD1" s="224"/>
      <c r="TXE1" s="224"/>
      <c r="TXF1" s="224"/>
      <c r="TXG1" s="224"/>
      <c r="TXH1" s="224"/>
      <c r="TXI1" s="224"/>
      <c r="TXJ1" s="224"/>
      <c r="TXK1" s="224"/>
      <c r="TXL1" s="224"/>
      <c r="TXM1" s="224"/>
      <c r="TXN1" s="224"/>
      <c r="TXO1" s="224"/>
      <c r="TXP1" s="224"/>
      <c r="TXQ1" s="224"/>
      <c r="TXR1" s="224"/>
      <c r="TXS1" s="224"/>
      <c r="TXT1" s="224"/>
      <c r="TXU1" s="224"/>
      <c r="TXV1" s="224"/>
      <c r="TXW1" s="224"/>
      <c r="TXX1" s="224"/>
      <c r="TXY1" s="224"/>
      <c r="TXZ1" s="224"/>
      <c r="TYA1" s="224"/>
      <c r="TYB1" s="224"/>
      <c r="TYC1" s="224"/>
      <c r="TYD1" s="224"/>
      <c r="TYE1" s="224"/>
      <c r="TYF1" s="224"/>
      <c r="TYG1" s="224"/>
      <c r="TYH1" s="224"/>
      <c r="TYI1" s="224"/>
      <c r="TYJ1" s="224"/>
      <c r="TYK1" s="224"/>
      <c r="TYL1" s="224"/>
      <c r="TYM1" s="224"/>
      <c r="TYN1" s="224"/>
      <c r="TYO1" s="224"/>
      <c r="TYP1" s="224"/>
      <c r="TYQ1" s="224"/>
      <c r="TYR1" s="224"/>
      <c r="TYS1" s="224"/>
      <c r="TYT1" s="224"/>
      <c r="TYU1" s="224"/>
      <c r="TYV1" s="224"/>
      <c r="TYW1" s="224"/>
      <c r="TYX1" s="224"/>
      <c r="TYY1" s="224"/>
      <c r="TYZ1" s="224"/>
      <c r="TZA1" s="224"/>
      <c r="TZB1" s="224"/>
      <c r="TZC1" s="224"/>
      <c r="TZD1" s="224"/>
      <c r="TZE1" s="224"/>
      <c r="TZF1" s="224"/>
      <c r="TZG1" s="224"/>
      <c r="TZH1" s="224"/>
      <c r="TZI1" s="224"/>
      <c r="TZJ1" s="224"/>
      <c r="TZK1" s="224"/>
      <c r="TZL1" s="224"/>
      <c r="TZM1" s="224"/>
      <c r="TZN1" s="224"/>
      <c r="TZO1" s="224"/>
      <c r="TZP1" s="224"/>
      <c r="TZQ1" s="224"/>
      <c r="TZR1" s="224"/>
      <c r="TZS1" s="224"/>
      <c r="TZT1" s="224"/>
      <c r="TZU1" s="224"/>
      <c r="TZV1" s="224"/>
      <c r="TZW1" s="224"/>
      <c r="TZX1" s="224"/>
      <c r="TZY1" s="224"/>
      <c r="TZZ1" s="224"/>
      <c r="UAA1" s="224"/>
      <c r="UAB1" s="224"/>
      <c r="UAC1" s="224"/>
      <c r="UAD1" s="224"/>
      <c r="UAE1" s="224"/>
      <c r="UAF1" s="224"/>
      <c r="UAG1" s="224"/>
      <c r="UAH1" s="224"/>
      <c r="UAI1" s="224"/>
      <c r="UAJ1" s="224"/>
      <c r="UAK1" s="224"/>
      <c r="UAL1" s="224"/>
      <c r="UAM1" s="224"/>
      <c r="UAN1" s="224"/>
      <c r="UAO1" s="224"/>
      <c r="UAP1" s="224"/>
      <c r="UAQ1" s="224"/>
      <c r="UAR1" s="224"/>
      <c r="UAS1" s="224"/>
      <c r="UAT1" s="224"/>
      <c r="UAU1" s="224"/>
      <c r="UAV1" s="224"/>
      <c r="UAW1" s="224"/>
      <c r="UAX1" s="224"/>
      <c r="UAY1" s="224"/>
      <c r="UAZ1" s="224"/>
      <c r="UBA1" s="224"/>
      <c r="UBB1" s="224"/>
      <c r="UBC1" s="224"/>
      <c r="UBD1" s="224"/>
      <c r="UBE1" s="224"/>
      <c r="UBF1" s="224"/>
      <c r="UBG1" s="224"/>
      <c r="UBH1" s="224"/>
      <c r="UBI1" s="224"/>
      <c r="UBJ1" s="224"/>
      <c r="UBK1" s="224"/>
      <c r="UBL1" s="224"/>
      <c r="UBM1" s="224"/>
      <c r="UBN1" s="224"/>
      <c r="UBO1" s="224"/>
      <c r="UBP1" s="224"/>
      <c r="UBQ1" s="224"/>
      <c r="UBR1" s="224"/>
      <c r="UBS1" s="224"/>
      <c r="UBT1" s="224"/>
      <c r="UBU1" s="224"/>
      <c r="UBV1" s="224"/>
      <c r="UBW1" s="224"/>
      <c r="UBX1" s="224"/>
      <c r="UBY1" s="224"/>
      <c r="UBZ1" s="224"/>
      <c r="UCA1" s="224"/>
      <c r="UCB1" s="224"/>
      <c r="UCC1" s="224"/>
      <c r="UCD1" s="224"/>
      <c r="UCE1" s="224"/>
      <c r="UCF1" s="224"/>
      <c r="UCG1" s="224"/>
      <c r="UCH1" s="224"/>
      <c r="UCI1" s="224"/>
      <c r="UCJ1" s="224"/>
      <c r="UCK1" s="224"/>
      <c r="UCL1" s="224"/>
      <c r="UCM1" s="224"/>
      <c r="UCN1" s="224"/>
      <c r="UCO1" s="224"/>
      <c r="UCP1" s="224"/>
      <c r="UCQ1" s="224"/>
      <c r="UCR1" s="224"/>
      <c r="UCS1" s="224"/>
      <c r="UCT1" s="224"/>
      <c r="UCU1" s="224"/>
      <c r="UCV1" s="224"/>
      <c r="UCW1" s="224"/>
      <c r="UCX1" s="224"/>
      <c r="UCY1" s="224"/>
      <c r="UCZ1" s="224"/>
      <c r="UDA1" s="224"/>
      <c r="UDB1" s="224"/>
      <c r="UDC1" s="224"/>
      <c r="UDD1" s="224"/>
      <c r="UDE1" s="224"/>
      <c r="UDF1" s="224"/>
      <c r="UDG1" s="224"/>
      <c r="UDH1" s="224"/>
      <c r="UDI1" s="224"/>
      <c r="UDJ1" s="224"/>
      <c r="UDK1" s="224"/>
      <c r="UDL1" s="224"/>
      <c r="UDM1" s="224"/>
      <c r="UDN1" s="224"/>
      <c r="UDO1" s="224"/>
      <c r="UDP1" s="224"/>
      <c r="UDQ1" s="224"/>
      <c r="UDR1" s="224"/>
      <c r="UDS1" s="224"/>
      <c r="UDT1" s="224"/>
      <c r="UDU1" s="224"/>
      <c r="UDV1" s="224"/>
      <c r="UDW1" s="224"/>
      <c r="UDX1" s="224"/>
      <c r="UDY1" s="224"/>
      <c r="UDZ1" s="224"/>
      <c r="UEA1" s="224"/>
      <c r="UEB1" s="224"/>
      <c r="UEC1" s="224"/>
      <c r="UED1" s="224"/>
      <c r="UEE1" s="224"/>
      <c r="UEF1" s="224"/>
      <c r="UEG1" s="224"/>
      <c r="UEH1" s="224"/>
      <c r="UEI1" s="224"/>
      <c r="UEJ1" s="224"/>
      <c r="UEK1" s="224"/>
      <c r="UEL1" s="224"/>
      <c r="UEM1" s="224"/>
      <c r="UEN1" s="224"/>
      <c r="UEO1" s="224"/>
      <c r="UEP1" s="224"/>
      <c r="UEQ1" s="224"/>
      <c r="UER1" s="224"/>
      <c r="UES1" s="224"/>
      <c r="UET1" s="224"/>
      <c r="UEU1" s="224"/>
      <c r="UEV1" s="224"/>
      <c r="UEW1" s="224"/>
      <c r="UEX1" s="224"/>
      <c r="UEY1" s="224"/>
      <c r="UEZ1" s="224"/>
      <c r="UFA1" s="224"/>
      <c r="UFB1" s="224"/>
      <c r="UFC1" s="224"/>
      <c r="UFD1" s="224"/>
      <c r="UFE1" s="224"/>
      <c r="UFF1" s="224"/>
      <c r="UFG1" s="224"/>
      <c r="UFH1" s="224"/>
      <c r="UFI1" s="224"/>
      <c r="UFJ1" s="224"/>
      <c r="UFK1" s="224"/>
      <c r="UFL1" s="224"/>
      <c r="UFM1" s="224"/>
      <c r="UFN1" s="224"/>
      <c r="UFO1" s="224"/>
      <c r="UFP1" s="224"/>
      <c r="UFQ1" s="224"/>
      <c r="UFR1" s="224"/>
      <c r="UFS1" s="224"/>
      <c r="UFT1" s="224"/>
      <c r="UFU1" s="224"/>
      <c r="UFV1" s="224"/>
      <c r="UFW1" s="224"/>
      <c r="UFX1" s="224"/>
      <c r="UFY1" s="224"/>
      <c r="UFZ1" s="224"/>
      <c r="UGA1" s="224"/>
      <c r="UGB1" s="224"/>
      <c r="UGC1" s="224"/>
      <c r="UGD1" s="224"/>
      <c r="UGE1" s="224"/>
      <c r="UGF1" s="224"/>
      <c r="UGG1" s="224"/>
      <c r="UGH1" s="224"/>
      <c r="UGI1" s="224"/>
      <c r="UGJ1" s="224"/>
      <c r="UGK1" s="224"/>
      <c r="UGL1" s="224"/>
      <c r="UGM1" s="224"/>
      <c r="UGN1" s="224"/>
      <c r="UGO1" s="224"/>
      <c r="UGP1" s="224"/>
      <c r="UGQ1" s="224"/>
      <c r="UGR1" s="224"/>
      <c r="UGS1" s="224"/>
      <c r="UGT1" s="224"/>
      <c r="UGU1" s="224"/>
      <c r="UGV1" s="224"/>
      <c r="UGW1" s="224"/>
      <c r="UGX1" s="224"/>
      <c r="UGY1" s="224"/>
      <c r="UGZ1" s="224"/>
      <c r="UHA1" s="224"/>
      <c r="UHB1" s="224"/>
      <c r="UHC1" s="224"/>
      <c r="UHD1" s="224"/>
      <c r="UHE1" s="224"/>
      <c r="UHF1" s="224"/>
      <c r="UHG1" s="224"/>
      <c r="UHH1" s="224"/>
      <c r="UHI1" s="224"/>
      <c r="UHJ1" s="224"/>
      <c r="UHK1" s="224"/>
      <c r="UHL1" s="224"/>
      <c r="UHM1" s="224"/>
      <c r="UHN1" s="224"/>
      <c r="UHO1" s="224"/>
      <c r="UHP1" s="224"/>
      <c r="UHQ1" s="224"/>
      <c r="UHR1" s="224"/>
      <c r="UHS1" s="224"/>
      <c r="UHT1" s="224"/>
      <c r="UHU1" s="224"/>
      <c r="UHV1" s="224"/>
      <c r="UHW1" s="224"/>
      <c r="UHX1" s="224"/>
      <c r="UHY1" s="224"/>
      <c r="UHZ1" s="224"/>
      <c r="UIA1" s="224"/>
      <c r="UIB1" s="224"/>
      <c r="UIC1" s="224"/>
      <c r="UID1" s="224"/>
      <c r="UIE1" s="224"/>
      <c r="UIF1" s="224"/>
      <c r="UIG1" s="224"/>
      <c r="UIH1" s="224"/>
      <c r="UII1" s="224"/>
      <c r="UIJ1" s="224"/>
      <c r="UIK1" s="224"/>
      <c r="UIL1" s="224"/>
      <c r="UIM1" s="224"/>
      <c r="UIN1" s="224"/>
      <c r="UIO1" s="224"/>
      <c r="UIP1" s="224"/>
      <c r="UIQ1" s="224"/>
      <c r="UIR1" s="224"/>
      <c r="UIS1" s="224"/>
      <c r="UIT1" s="224"/>
      <c r="UIU1" s="224"/>
      <c r="UIV1" s="224"/>
      <c r="UIW1" s="224"/>
      <c r="UIX1" s="224"/>
      <c r="UIY1" s="224"/>
      <c r="UIZ1" s="224"/>
      <c r="UJA1" s="224"/>
      <c r="UJB1" s="224"/>
      <c r="UJC1" s="224"/>
      <c r="UJD1" s="224"/>
      <c r="UJE1" s="224"/>
      <c r="UJF1" s="224"/>
      <c r="UJG1" s="224"/>
      <c r="UJH1" s="224"/>
      <c r="UJI1" s="224"/>
      <c r="UJJ1" s="224"/>
      <c r="UJK1" s="224"/>
      <c r="UJL1" s="224"/>
      <c r="UJM1" s="224"/>
      <c r="UJN1" s="224"/>
      <c r="UJO1" s="224"/>
      <c r="UJP1" s="224"/>
      <c r="UJQ1" s="224"/>
      <c r="UJR1" s="224"/>
      <c r="UJS1" s="224"/>
      <c r="UJT1" s="224"/>
      <c r="UJU1" s="224"/>
      <c r="UJV1" s="224"/>
      <c r="UJW1" s="224"/>
      <c r="UJX1" s="224"/>
      <c r="UJY1" s="224"/>
      <c r="UJZ1" s="224"/>
      <c r="UKA1" s="224"/>
      <c r="UKB1" s="224"/>
      <c r="UKC1" s="224"/>
      <c r="UKD1" s="224"/>
      <c r="UKE1" s="224"/>
      <c r="UKF1" s="224"/>
      <c r="UKG1" s="224"/>
      <c r="UKH1" s="224"/>
      <c r="UKI1" s="224"/>
      <c r="UKJ1" s="224"/>
      <c r="UKK1" s="224"/>
      <c r="UKL1" s="224"/>
      <c r="UKM1" s="224"/>
      <c r="UKN1" s="224"/>
      <c r="UKO1" s="224"/>
      <c r="UKP1" s="224"/>
      <c r="UKQ1" s="224"/>
      <c r="UKR1" s="224"/>
      <c r="UKS1" s="224"/>
      <c r="UKT1" s="224"/>
      <c r="UKU1" s="224"/>
      <c r="UKV1" s="224"/>
      <c r="UKW1" s="224"/>
      <c r="UKX1" s="224"/>
      <c r="UKY1" s="224"/>
      <c r="UKZ1" s="224"/>
      <c r="ULA1" s="224"/>
      <c r="ULB1" s="224"/>
      <c r="ULC1" s="224"/>
      <c r="ULD1" s="224"/>
      <c r="ULE1" s="224"/>
      <c r="ULF1" s="224"/>
      <c r="ULG1" s="224"/>
      <c r="ULH1" s="224"/>
      <c r="ULI1" s="224"/>
      <c r="ULJ1" s="224"/>
      <c r="ULK1" s="224"/>
      <c r="ULL1" s="224"/>
      <c r="ULM1" s="224"/>
      <c r="ULN1" s="224"/>
      <c r="ULO1" s="224"/>
      <c r="ULP1" s="224"/>
      <c r="ULQ1" s="224"/>
      <c r="ULR1" s="224"/>
      <c r="ULS1" s="224"/>
      <c r="ULT1" s="224"/>
      <c r="ULU1" s="224"/>
      <c r="ULV1" s="224"/>
      <c r="ULW1" s="224"/>
      <c r="ULX1" s="224"/>
      <c r="ULY1" s="224"/>
      <c r="ULZ1" s="224"/>
      <c r="UMA1" s="224"/>
      <c r="UMB1" s="224"/>
      <c r="UMC1" s="224"/>
      <c r="UMD1" s="224"/>
      <c r="UME1" s="224"/>
      <c r="UMF1" s="224"/>
      <c r="UMG1" s="224"/>
      <c r="UMH1" s="224"/>
      <c r="UMI1" s="224"/>
      <c r="UMJ1" s="224"/>
      <c r="UMK1" s="224"/>
      <c r="UML1" s="224"/>
      <c r="UMM1" s="224"/>
      <c r="UMN1" s="224"/>
      <c r="UMO1" s="224"/>
      <c r="UMP1" s="224"/>
      <c r="UMQ1" s="224"/>
      <c r="UMR1" s="224"/>
      <c r="UMS1" s="224"/>
      <c r="UMT1" s="224"/>
      <c r="UMU1" s="224"/>
      <c r="UMV1" s="224"/>
      <c r="UMW1" s="224"/>
      <c r="UMX1" s="224"/>
      <c r="UMY1" s="224"/>
      <c r="UMZ1" s="224"/>
      <c r="UNA1" s="224"/>
      <c r="UNB1" s="224"/>
      <c r="UNC1" s="224"/>
      <c r="UND1" s="224"/>
      <c r="UNE1" s="224"/>
      <c r="UNF1" s="224"/>
      <c r="UNG1" s="224"/>
      <c r="UNH1" s="224"/>
      <c r="UNI1" s="224"/>
      <c r="UNJ1" s="224"/>
      <c r="UNK1" s="224"/>
      <c r="UNL1" s="224"/>
      <c r="UNM1" s="224"/>
      <c r="UNN1" s="224"/>
      <c r="UNO1" s="224"/>
      <c r="UNP1" s="224"/>
      <c r="UNQ1" s="224"/>
      <c r="UNR1" s="224"/>
      <c r="UNS1" s="224"/>
      <c r="UNT1" s="224"/>
      <c r="UNU1" s="224"/>
      <c r="UNV1" s="224"/>
      <c r="UNW1" s="224"/>
      <c r="UNX1" s="224"/>
      <c r="UNY1" s="224"/>
      <c r="UNZ1" s="224"/>
      <c r="UOA1" s="224"/>
      <c r="UOB1" s="224"/>
      <c r="UOC1" s="224"/>
      <c r="UOD1" s="224"/>
      <c r="UOE1" s="224"/>
      <c r="UOF1" s="224"/>
      <c r="UOG1" s="224"/>
      <c r="UOH1" s="224"/>
      <c r="UOI1" s="224"/>
      <c r="UOJ1" s="224"/>
      <c r="UOK1" s="224"/>
      <c r="UOL1" s="224"/>
      <c r="UOM1" s="224"/>
      <c r="UON1" s="224"/>
      <c r="UOO1" s="224"/>
      <c r="UOP1" s="224"/>
      <c r="UOQ1" s="224"/>
      <c r="UOR1" s="224"/>
      <c r="UOS1" s="224"/>
      <c r="UOT1" s="224"/>
      <c r="UOU1" s="224"/>
      <c r="UOV1" s="224"/>
      <c r="UOW1" s="224"/>
      <c r="UOX1" s="224"/>
      <c r="UOY1" s="224"/>
      <c r="UOZ1" s="224"/>
      <c r="UPA1" s="224"/>
      <c r="UPB1" s="224"/>
      <c r="UPC1" s="224"/>
      <c r="UPD1" s="224"/>
      <c r="UPE1" s="224"/>
      <c r="UPF1" s="224"/>
      <c r="UPG1" s="224"/>
      <c r="UPH1" s="224"/>
      <c r="UPI1" s="224"/>
      <c r="UPJ1" s="224"/>
      <c r="UPK1" s="224"/>
      <c r="UPL1" s="224"/>
      <c r="UPM1" s="224"/>
      <c r="UPN1" s="224"/>
      <c r="UPO1" s="224"/>
      <c r="UPP1" s="224"/>
      <c r="UPQ1" s="224"/>
      <c r="UPR1" s="224"/>
      <c r="UPS1" s="224"/>
      <c r="UPT1" s="224"/>
      <c r="UPU1" s="224"/>
      <c r="UPV1" s="224"/>
      <c r="UPW1" s="224"/>
      <c r="UPX1" s="224"/>
      <c r="UPY1" s="224"/>
      <c r="UPZ1" s="224"/>
      <c r="UQA1" s="224"/>
      <c r="UQB1" s="224"/>
      <c r="UQC1" s="224"/>
      <c r="UQD1" s="224"/>
      <c r="UQE1" s="224"/>
      <c r="UQF1" s="224"/>
      <c r="UQG1" s="224"/>
      <c r="UQH1" s="224"/>
      <c r="UQI1" s="224"/>
      <c r="UQJ1" s="224"/>
      <c r="UQK1" s="224"/>
      <c r="UQL1" s="224"/>
      <c r="UQM1" s="224"/>
      <c r="UQN1" s="224"/>
      <c r="UQO1" s="224"/>
      <c r="UQP1" s="224"/>
      <c r="UQQ1" s="224"/>
      <c r="UQR1" s="224"/>
      <c r="UQS1" s="224"/>
      <c r="UQT1" s="224"/>
      <c r="UQU1" s="224"/>
      <c r="UQV1" s="224"/>
      <c r="UQW1" s="224"/>
      <c r="UQX1" s="224"/>
      <c r="UQY1" s="224"/>
      <c r="UQZ1" s="224"/>
      <c r="URA1" s="224"/>
      <c r="URB1" s="224"/>
      <c r="URC1" s="224"/>
      <c r="URD1" s="224"/>
      <c r="URE1" s="224"/>
      <c r="URF1" s="224"/>
      <c r="URG1" s="224"/>
      <c r="URH1" s="224"/>
      <c r="URI1" s="224"/>
      <c r="URJ1" s="224"/>
      <c r="URK1" s="224"/>
      <c r="URL1" s="224"/>
      <c r="URM1" s="224"/>
      <c r="URN1" s="224"/>
      <c r="URO1" s="224"/>
      <c r="URP1" s="224"/>
      <c r="URQ1" s="224"/>
      <c r="URR1" s="224"/>
      <c r="URS1" s="224"/>
      <c r="URT1" s="224"/>
      <c r="URU1" s="224"/>
      <c r="URV1" s="224"/>
      <c r="URW1" s="224"/>
      <c r="URX1" s="224"/>
      <c r="URY1" s="224"/>
      <c r="URZ1" s="224"/>
      <c r="USA1" s="224"/>
      <c r="USB1" s="224"/>
      <c r="USC1" s="224"/>
      <c r="USD1" s="224"/>
      <c r="USE1" s="224"/>
      <c r="USF1" s="224"/>
      <c r="USG1" s="224"/>
      <c r="USH1" s="224"/>
      <c r="USI1" s="224"/>
      <c r="USJ1" s="224"/>
      <c r="USK1" s="224"/>
      <c r="USL1" s="224"/>
      <c r="USM1" s="224"/>
      <c r="USN1" s="224"/>
      <c r="USO1" s="224"/>
      <c r="USP1" s="224"/>
      <c r="USQ1" s="224"/>
      <c r="USR1" s="224"/>
      <c r="USS1" s="224"/>
      <c r="UST1" s="224"/>
      <c r="USU1" s="224"/>
      <c r="USV1" s="224"/>
      <c r="USW1" s="224"/>
      <c r="USX1" s="224"/>
      <c r="USY1" s="224"/>
      <c r="USZ1" s="224"/>
      <c r="UTA1" s="224"/>
      <c r="UTB1" s="224"/>
      <c r="UTC1" s="224"/>
      <c r="UTD1" s="224"/>
      <c r="UTE1" s="224"/>
      <c r="UTF1" s="224"/>
      <c r="UTG1" s="224"/>
      <c r="UTH1" s="224"/>
      <c r="UTI1" s="224"/>
      <c r="UTJ1" s="224"/>
      <c r="UTK1" s="224"/>
      <c r="UTL1" s="224"/>
      <c r="UTM1" s="224"/>
      <c r="UTN1" s="224"/>
      <c r="UTO1" s="224"/>
      <c r="UTP1" s="224"/>
      <c r="UTQ1" s="224"/>
      <c r="UTR1" s="224"/>
      <c r="UTS1" s="224"/>
      <c r="UTT1" s="224"/>
      <c r="UTU1" s="224"/>
      <c r="UTV1" s="224"/>
      <c r="UTW1" s="224"/>
      <c r="UTX1" s="224"/>
      <c r="UTY1" s="224"/>
      <c r="UTZ1" s="224"/>
      <c r="UUA1" s="224"/>
      <c r="UUB1" s="224"/>
      <c r="UUC1" s="224"/>
      <c r="UUD1" s="224"/>
      <c r="UUE1" s="224"/>
      <c r="UUF1" s="224"/>
      <c r="UUG1" s="224"/>
      <c r="UUH1" s="224"/>
      <c r="UUI1" s="224"/>
      <c r="UUJ1" s="224"/>
      <c r="UUK1" s="224"/>
      <c r="UUL1" s="224"/>
      <c r="UUM1" s="224"/>
      <c r="UUN1" s="224"/>
      <c r="UUO1" s="224"/>
      <c r="UUP1" s="224"/>
      <c r="UUQ1" s="224"/>
      <c r="UUR1" s="224"/>
      <c r="UUS1" s="224"/>
      <c r="UUT1" s="224"/>
      <c r="UUU1" s="224"/>
      <c r="UUV1" s="224"/>
      <c r="UUW1" s="224"/>
      <c r="UUX1" s="224"/>
      <c r="UUY1" s="224"/>
      <c r="UUZ1" s="224"/>
      <c r="UVA1" s="224"/>
      <c r="UVB1" s="224"/>
      <c r="UVC1" s="224"/>
      <c r="UVD1" s="224"/>
      <c r="UVE1" s="224"/>
      <c r="UVF1" s="224"/>
      <c r="UVG1" s="224"/>
      <c r="UVH1" s="224"/>
      <c r="UVI1" s="224"/>
      <c r="UVJ1" s="224"/>
      <c r="UVK1" s="224"/>
      <c r="UVL1" s="224"/>
      <c r="UVM1" s="224"/>
      <c r="UVN1" s="224"/>
      <c r="UVO1" s="224"/>
      <c r="UVP1" s="224"/>
      <c r="UVQ1" s="224"/>
      <c r="UVR1" s="224"/>
      <c r="UVS1" s="224"/>
      <c r="UVT1" s="224"/>
      <c r="UVU1" s="224"/>
      <c r="UVV1" s="224"/>
      <c r="UVW1" s="224"/>
      <c r="UVX1" s="224"/>
      <c r="UVY1" s="224"/>
      <c r="UVZ1" s="224"/>
      <c r="UWA1" s="224"/>
      <c r="UWB1" s="224"/>
      <c r="UWC1" s="224"/>
      <c r="UWD1" s="224"/>
      <c r="UWE1" s="224"/>
      <c r="UWF1" s="224"/>
      <c r="UWG1" s="224"/>
      <c r="UWH1" s="224"/>
      <c r="UWI1" s="224"/>
      <c r="UWJ1" s="224"/>
      <c r="UWK1" s="224"/>
      <c r="UWL1" s="224"/>
      <c r="UWM1" s="224"/>
      <c r="UWN1" s="224"/>
      <c r="UWO1" s="224"/>
      <c r="UWP1" s="224"/>
      <c r="UWQ1" s="224"/>
      <c r="UWR1" s="224"/>
      <c r="UWS1" s="224"/>
      <c r="UWT1" s="224"/>
      <c r="UWU1" s="224"/>
      <c r="UWV1" s="224"/>
      <c r="UWW1" s="224"/>
      <c r="UWX1" s="224"/>
      <c r="UWY1" s="224"/>
      <c r="UWZ1" s="224"/>
      <c r="UXA1" s="224"/>
      <c r="UXB1" s="224"/>
      <c r="UXC1" s="224"/>
      <c r="UXD1" s="224"/>
      <c r="UXE1" s="224"/>
      <c r="UXF1" s="224"/>
      <c r="UXG1" s="224"/>
      <c r="UXH1" s="224"/>
      <c r="UXI1" s="224"/>
      <c r="UXJ1" s="224"/>
      <c r="UXK1" s="224"/>
      <c r="UXL1" s="224"/>
      <c r="UXM1" s="224"/>
      <c r="UXN1" s="224"/>
      <c r="UXO1" s="224"/>
      <c r="UXP1" s="224"/>
      <c r="UXQ1" s="224"/>
      <c r="UXR1" s="224"/>
      <c r="UXS1" s="224"/>
      <c r="UXT1" s="224"/>
      <c r="UXU1" s="224"/>
      <c r="UXV1" s="224"/>
      <c r="UXW1" s="224"/>
      <c r="UXX1" s="224"/>
      <c r="UXY1" s="224"/>
      <c r="UXZ1" s="224"/>
      <c r="UYA1" s="224"/>
      <c r="UYB1" s="224"/>
      <c r="UYC1" s="224"/>
      <c r="UYD1" s="224"/>
      <c r="UYE1" s="224"/>
      <c r="UYF1" s="224"/>
      <c r="UYG1" s="224"/>
      <c r="UYH1" s="224"/>
      <c r="UYI1" s="224"/>
      <c r="UYJ1" s="224"/>
      <c r="UYK1" s="224"/>
      <c r="UYL1" s="224"/>
      <c r="UYM1" s="224"/>
      <c r="UYN1" s="224"/>
      <c r="UYO1" s="224"/>
      <c r="UYP1" s="224"/>
      <c r="UYQ1" s="224"/>
      <c r="UYR1" s="224"/>
      <c r="UYS1" s="224"/>
      <c r="UYT1" s="224"/>
      <c r="UYU1" s="224"/>
      <c r="UYV1" s="224"/>
      <c r="UYW1" s="224"/>
      <c r="UYX1" s="224"/>
      <c r="UYY1" s="224"/>
      <c r="UYZ1" s="224"/>
      <c r="UZA1" s="224"/>
      <c r="UZB1" s="224"/>
      <c r="UZC1" s="224"/>
      <c r="UZD1" s="224"/>
      <c r="UZE1" s="224"/>
      <c r="UZF1" s="224"/>
      <c r="UZG1" s="224"/>
      <c r="UZH1" s="224"/>
      <c r="UZI1" s="224"/>
      <c r="UZJ1" s="224"/>
      <c r="UZK1" s="224"/>
      <c r="UZL1" s="224"/>
      <c r="UZM1" s="224"/>
      <c r="UZN1" s="224"/>
      <c r="UZO1" s="224"/>
      <c r="UZP1" s="224"/>
      <c r="UZQ1" s="224"/>
      <c r="UZR1" s="224"/>
      <c r="UZS1" s="224"/>
      <c r="UZT1" s="224"/>
      <c r="UZU1" s="224"/>
      <c r="UZV1" s="224"/>
      <c r="UZW1" s="224"/>
      <c r="UZX1" s="224"/>
      <c r="UZY1" s="224"/>
      <c r="UZZ1" s="224"/>
      <c r="VAA1" s="224"/>
      <c r="VAB1" s="224"/>
      <c r="VAC1" s="224"/>
      <c r="VAD1" s="224"/>
      <c r="VAE1" s="224"/>
      <c r="VAF1" s="224"/>
      <c r="VAG1" s="224"/>
      <c r="VAH1" s="224"/>
      <c r="VAI1" s="224"/>
      <c r="VAJ1" s="224"/>
      <c r="VAK1" s="224"/>
      <c r="VAL1" s="224"/>
      <c r="VAM1" s="224"/>
      <c r="VAN1" s="224"/>
      <c r="VAO1" s="224"/>
      <c r="VAP1" s="224"/>
      <c r="VAQ1" s="224"/>
      <c r="VAR1" s="224"/>
      <c r="VAS1" s="224"/>
      <c r="VAT1" s="224"/>
      <c r="VAU1" s="224"/>
      <c r="VAV1" s="224"/>
      <c r="VAW1" s="224"/>
      <c r="VAX1" s="224"/>
      <c r="VAY1" s="224"/>
      <c r="VAZ1" s="224"/>
      <c r="VBA1" s="224"/>
      <c r="VBB1" s="224"/>
      <c r="VBC1" s="224"/>
      <c r="VBD1" s="224"/>
      <c r="VBE1" s="224"/>
      <c r="VBF1" s="224"/>
      <c r="VBG1" s="224"/>
      <c r="VBH1" s="224"/>
      <c r="VBI1" s="224"/>
      <c r="VBJ1" s="224"/>
      <c r="VBK1" s="224"/>
      <c r="VBL1" s="224"/>
      <c r="VBM1" s="224"/>
      <c r="VBN1" s="224"/>
      <c r="VBO1" s="224"/>
      <c r="VBP1" s="224"/>
      <c r="VBQ1" s="224"/>
      <c r="VBR1" s="224"/>
      <c r="VBS1" s="224"/>
      <c r="VBT1" s="224"/>
      <c r="VBU1" s="224"/>
      <c r="VBV1" s="224"/>
      <c r="VBW1" s="224"/>
      <c r="VBX1" s="224"/>
      <c r="VBY1" s="224"/>
      <c r="VBZ1" s="224"/>
      <c r="VCA1" s="224"/>
      <c r="VCB1" s="224"/>
      <c r="VCC1" s="224"/>
      <c r="VCD1" s="224"/>
      <c r="VCE1" s="224"/>
      <c r="VCF1" s="224"/>
      <c r="VCG1" s="224"/>
      <c r="VCH1" s="224"/>
      <c r="VCI1" s="224"/>
      <c r="VCJ1" s="224"/>
      <c r="VCK1" s="224"/>
      <c r="VCL1" s="224"/>
      <c r="VCM1" s="224"/>
      <c r="VCN1" s="224"/>
      <c r="VCO1" s="224"/>
      <c r="VCP1" s="224"/>
      <c r="VCQ1" s="224"/>
      <c r="VCR1" s="224"/>
      <c r="VCS1" s="224"/>
      <c r="VCT1" s="224"/>
      <c r="VCU1" s="224"/>
      <c r="VCV1" s="224"/>
      <c r="VCW1" s="224"/>
      <c r="VCX1" s="224"/>
      <c r="VCY1" s="224"/>
      <c r="VCZ1" s="224"/>
      <c r="VDA1" s="224"/>
      <c r="VDB1" s="224"/>
      <c r="VDC1" s="224"/>
      <c r="VDD1" s="224"/>
      <c r="VDE1" s="224"/>
      <c r="VDF1" s="224"/>
      <c r="VDG1" s="224"/>
      <c r="VDH1" s="224"/>
      <c r="VDI1" s="224"/>
      <c r="VDJ1" s="224"/>
      <c r="VDK1" s="224"/>
      <c r="VDL1" s="224"/>
      <c r="VDM1" s="224"/>
      <c r="VDN1" s="224"/>
      <c r="VDO1" s="224"/>
      <c r="VDP1" s="224"/>
      <c r="VDQ1" s="224"/>
      <c r="VDR1" s="224"/>
      <c r="VDS1" s="224"/>
      <c r="VDT1" s="224"/>
      <c r="VDU1" s="224"/>
      <c r="VDV1" s="224"/>
      <c r="VDW1" s="224"/>
      <c r="VDX1" s="224"/>
      <c r="VDY1" s="224"/>
      <c r="VDZ1" s="224"/>
      <c r="VEA1" s="224"/>
      <c r="VEB1" s="224"/>
      <c r="VEC1" s="224"/>
      <c r="VED1" s="224"/>
      <c r="VEE1" s="224"/>
      <c r="VEF1" s="224"/>
      <c r="VEG1" s="224"/>
      <c r="VEH1" s="224"/>
      <c r="VEI1" s="224"/>
      <c r="VEJ1" s="224"/>
      <c r="VEK1" s="224"/>
      <c r="VEL1" s="224"/>
      <c r="VEM1" s="224"/>
      <c r="VEN1" s="224"/>
      <c r="VEO1" s="224"/>
      <c r="VEP1" s="224"/>
      <c r="VEQ1" s="224"/>
      <c r="VER1" s="224"/>
      <c r="VES1" s="224"/>
      <c r="VET1" s="224"/>
      <c r="VEU1" s="224"/>
      <c r="VEV1" s="224"/>
      <c r="VEW1" s="224"/>
      <c r="VEX1" s="224"/>
      <c r="VEY1" s="224"/>
      <c r="VEZ1" s="224"/>
      <c r="VFA1" s="224"/>
      <c r="VFB1" s="224"/>
      <c r="VFC1" s="224"/>
      <c r="VFD1" s="224"/>
      <c r="VFE1" s="224"/>
      <c r="VFF1" s="224"/>
      <c r="VFG1" s="224"/>
      <c r="VFH1" s="224"/>
      <c r="VFI1" s="224"/>
      <c r="VFJ1" s="224"/>
      <c r="VFK1" s="224"/>
      <c r="VFL1" s="224"/>
      <c r="VFM1" s="224"/>
      <c r="VFN1" s="224"/>
      <c r="VFO1" s="224"/>
      <c r="VFP1" s="224"/>
      <c r="VFQ1" s="224"/>
      <c r="VFR1" s="224"/>
      <c r="VFS1" s="224"/>
      <c r="VFT1" s="224"/>
      <c r="VFU1" s="224"/>
      <c r="VFV1" s="224"/>
      <c r="VFW1" s="224"/>
      <c r="VFX1" s="224"/>
      <c r="VFY1" s="224"/>
      <c r="VFZ1" s="224"/>
      <c r="VGA1" s="224"/>
      <c r="VGB1" s="224"/>
      <c r="VGC1" s="224"/>
      <c r="VGD1" s="224"/>
      <c r="VGE1" s="224"/>
      <c r="VGF1" s="224"/>
      <c r="VGG1" s="224"/>
      <c r="VGH1" s="224"/>
      <c r="VGI1" s="224"/>
      <c r="VGJ1" s="224"/>
      <c r="VGK1" s="224"/>
      <c r="VGL1" s="224"/>
      <c r="VGM1" s="224"/>
      <c r="VGN1" s="224"/>
      <c r="VGO1" s="224"/>
      <c r="VGP1" s="224"/>
      <c r="VGQ1" s="224"/>
      <c r="VGR1" s="224"/>
      <c r="VGS1" s="224"/>
      <c r="VGT1" s="224"/>
      <c r="VGU1" s="224"/>
      <c r="VGV1" s="224"/>
      <c r="VGW1" s="224"/>
      <c r="VGX1" s="224"/>
      <c r="VGY1" s="224"/>
      <c r="VGZ1" s="224"/>
      <c r="VHA1" s="224"/>
      <c r="VHB1" s="224"/>
      <c r="VHC1" s="224"/>
      <c r="VHD1" s="224"/>
      <c r="VHE1" s="224"/>
      <c r="VHF1" s="224"/>
      <c r="VHG1" s="224"/>
      <c r="VHH1" s="224"/>
      <c r="VHI1" s="224"/>
      <c r="VHJ1" s="224"/>
      <c r="VHK1" s="224"/>
      <c r="VHL1" s="224"/>
      <c r="VHM1" s="224"/>
      <c r="VHN1" s="224"/>
      <c r="VHO1" s="224"/>
      <c r="VHP1" s="224"/>
      <c r="VHQ1" s="224"/>
      <c r="VHR1" s="224"/>
      <c r="VHS1" s="224"/>
      <c r="VHT1" s="224"/>
      <c r="VHU1" s="224"/>
      <c r="VHV1" s="224"/>
      <c r="VHW1" s="224"/>
      <c r="VHX1" s="224"/>
      <c r="VHY1" s="224"/>
      <c r="VHZ1" s="224"/>
      <c r="VIA1" s="224"/>
      <c r="VIB1" s="224"/>
      <c r="VIC1" s="224"/>
      <c r="VID1" s="224"/>
      <c r="VIE1" s="224"/>
      <c r="VIF1" s="224"/>
      <c r="VIG1" s="224"/>
      <c r="VIH1" s="224"/>
      <c r="VII1" s="224"/>
      <c r="VIJ1" s="224"/>
      <c r="VIK1" s="224"/>
      <c r="VIL1" s="224"/>
      <c r="VIM1" s="224"/>
      <c r="VIN1" s="224"/>
      <c r="VIO1" s="224"/>
      <c r="VIP1" s="224"/>
      <c r="VIQ1" s="224"/>
      <c r="VIR1" s="224"/>
      <c r="VIS1" s="224"/>
      <c r="VIT1" s="224"/>
      <c r="VIU1" s="224"/>
      <c r="VIV1" s="224"/>
      <c r="VIW1" s="224"/>
      <c r="VIX1" s="224"/>
      <c r="VIY1" s="224"/>
      <c r="VIZ1" s="224"/>
      <c r="VJA1" s="224"/>
      <c r="VJB1" s="224"/>
      <c r="VJC1" s="224"/>
      <c r="VJD1" s="224"/>
      <c r="VJE1" s="224"/>
      <c r="VJF1" s="224"/>
      <c r="VJG1" s="224"/>
      <c r="VJH1" s="224"/>
      <c r="VJI1" s="224"/>
      <c r="VJJ1" s="224"/>
      <c r="VJK1" s="224"/>
      <c r="VJL1" s="224"/>
      <c r="VJM1" s="224"/>
      <c r="VJN1" s="224"/>
      <c r="VJO1" s="224"/>
      <c r="VJP1" s="224"/>
      <c r="VJQ1" s="224"/>
      <c r="VJR1" s="224"/>
      <c r="VJS1" s="224"/>
      <c r="VJT1" s="224"/>
      <c r="VJU1" s="224"/>
      <c r="VJV1" s="224"/>
      <c r="VJW1" s="224"/>
      <c r="VJX1" s="224"/>
      <c r="VJY1" s="224"/>
      <c r="VJZ1" s="224"/>
      <c r="VKA1" s="224"/>
      <c r="VKB1" s="224"/>
      <c r="VKC1" s="224"/>
      <c r="VKD1" s="224"/>
      <c r="VKE1" s="224"/>
      <c r="VKF1" s="224"/>
      <c r="VKG1" s="224"/>
      <c r="VKH1" s="224"/>
      <c r="VKI1" s="224"/>
      <c r="VKJ1" s="224"/>
      <c r="VKK1" s="224"/>
      <c r="VKL1" s="224"/>
      <c r="VKM1" s="224"/>
      <c r="VKN1" s="224"/>
      <c r="VKO1" s="224"/>
      <c r="VKP1" s="224"/>
      <c r="VKQ1" s="224"/>
      <c r="VKR1" s="224"/>
      <c r="VKS1" s="224"/>
      <c r="VKT1" s="224"/>
      <c r="VKU1" s="224"/>
      <c r="VKV1" s="224"/>
      <c r="VKW1" s="224"/>
      <c r="VKX1" s="224"/>
      <c r="VKY1" s="224"/>
      <c r="VKZ1" s="224"/>
      <c r="VLA1" s="224"/>
      <c r="VLB1" s="224"/>
      <c r="VLC1" s="224"/>
      <c r="VLD1" s="224"/>
      <c r="VLE1" s="224"/>
      <c r="VLF1" s="224"/>
      <c r="VLG1" s="224"/>
      <c r="VLH1" s="224"/>
      <c r="VLI1" s="224"/>
      <c r="VLJ1" s="224"/>
      <c r="VLK1" s="224"/>
      <c r="VLL1" s="224"/>
      <c r="VLM1" s="224"/>
      <c r="VLN1" s="224"/>
      <c r="VLO1" s="224"/>
      <c r="VLP1" s="224"/>
      <c r="VLQ1" s="224"/>
      <c r="VLR1" s="224"/>
      <c r="VLS1" s="224"/>
      <c r="VLT1" s="224"/>
      <c r="VLU1" s="224"/>
      <c r="VLV1" s="224"/>
      <c r="VLW1" s="224"/>
      <c r="VLX1" s="224"/>
      <c r="VLY1" s="224"/>
      <c r="VLZ1" s="224"/>
      <c r="VMA1" s="224"/>
      <c r="VMB1" s="224"/>
      <c r="VMC1" s="224"/>
      <c r="VMD1" s="224"/>
      <c r="VME1" s="224"/>
      <c r="VMF1" s="224"/>
      <c r="VMG1" s="224"/>
      <c r="VMH1" s="224"/>
      <c r="VMI1" s="224"/>
      <c r="VMJ1" s="224"/>
      <c r="VMK1" s="224"/>
      <c r="VML1" s="224"/>
      <c r="VMM1" s="224"/>
      <c r="VMN1" s="224"/>
      <c r="VMO1" s="224"/>
      <c r="VMP1" s="224"/>
      <c r="VMQ1" s="224"/>
      <c r="VMR1" s="224"/>
      <c r="VMS1" s="224"/>
      <c r="VMT1" s="224"/>
      <c r="VMU1" s="224"/>
      <c r="VMV1" s="224"/>
      <c r="VMW1" s="224"/>
      <c r="VMX1" s="224"/>
      <c r="VMY1" s="224"/>
      <c r="VMZ1" s="224"/>
      <c r="VNA1" s="224"/>
      <c r="VNB1" s="224"/>
      <c r="VNC1" s="224"/>
      <c r="VND1" s="224"/>
      <c r="VNE1" s="224"/>
      <c r="VNF1" s="224"/>
      <c r="VNG1" s="224"/>
      <c r="VNH1" s="224"/>
      <c r="VNI1" s="224"/>
      <c r="VNJ1" s="224"/>
      <c r="VNK1" s="224"/>
      <c r="VNL1" s="224"/>
      <c r="VNM1" s="224"/>
      <c r="VNN1" s="224"/>
      <c r="VNO1" s="224"/>
      <c r="VNP1" s="224"/>
      <c r="VNQ1" s="224"/>
      <c r="VNR1" s="224"/>
      <c r="VNS1" s="224"/>
      <c r="VNT1" s="224"/>
      <c r="VNU1" s="224"/>
      <c r="VNV1" s="224"/>
      <c r="VNW1" s="224"/>
      <c r="VNX1" s="224"/>
      <c r="VNY1" s="224"/>
      <c r="VNZ1" s="224"/>
      <c r="VOA1" s="224"/>
      <c r="VOB1" s="224"/>
      <c r="VOC1" s="224"/>
      <c r="VOD1" s="224"/>
      <c r="VOE1" s="224"/>
      <c r="VOF1" s="224"/>
      <c r="VOG1" s="224"/>
      <c r="VOH1" s="224"/>
      <c r="VOI1" s="224"/>
      <c r="VOJ1" s="224"/>
      <c r="VOK1" s="224"/>
      <c r="VOL1" s="224"/>
      <c r="VOM1" s="224"/>
      <c r="VON1" s="224"/>
      <c r="VOO1" s="224"/>
      <c r="VOP1" s="224"/>
      <c r="VOQ1" s="224"/>
      <c r="VOR1" s="224"/>
      <c r="VOS1" s="224"/>
      <c r="VOT1" s="224"/>
      <c r="VOU1" s="224"/>
      <c r="VOV1" s="224"/>
      <c r="VOW1" s="224"/>
      <c r="VOX1" s="224"/>
      <c r="VOY1" s="224"/>
      <c r="VOZ1" s="224"/>
      <c r="VPA1" s="224"/>
      <c r="VPB1" s="224"/>
      <c r="VPC1" s="224"/>
      <c r="VPD1" s="224"/>
      <c r="VPE1" s="224"/>
      <c r="VPF1" s="224"/>
      <c r="VPG1" s="224"/>
      <c r="VPH1" s="224"/>
      <c r="VPI1" s="224"/>
      <c r="VPJ1" s="224"/>
      <c r="VPK1" s="224"/>
      <c r="VPL1" s="224"/>
      <c r="VPM1" s="224"/>
      <c r="VPN1" s="224"/>
      <c r="VPO1" s="224"/>
      <c r="VPP1" s="224"/>
      <c r="VPQ1" s="224"/>
      <c r="VPR1" s="224"/>
      <c r="VPS1" s="224"/>
      <c r="VPT1" s="224"/>
      <c r="VPU1" s="224"/>
      <c r="VPV1" s="224"/>
      <c r="VPW1" s="224"/>
      <c r="VPX1" s="224"/>
      <c r="VPY1" s="224"/>
      <c r="VPZ1" s="224"/>
      <c r="VQA1" s="224"/>
      <c r="VQB1" s="224"/>
      <c r="VQC1" s="224"/>
      <c r="VQD1" s="224"/>
      <c r="VQE1" s="224"/>
      <c r="VQF1" s="224"/>
      <c r="VQG1" s="224"/>
      <c r="VQH1" s="224"/>
      <c r="VQI1" s="224"/>
      <c r="VQJ1" s="224"/>
      <c r="VQK1" s="224"/>
      <c r="VQL1" s="224"/>
      <c r="VQM1" s="224"/>
      <c r="VQN1" s="224"/>
      <c r="VQO1" s="224"/>
      <c r="VQP1" s="224"/>
      <c r="VQQ1" s="224"/>
      <c r="VQR1" s="224"/>
      <c r="VQS1" s="224"/>
      <c r="VQT1" s="224"/>
      <c r="VQU1" s="224"/>
      <c r="VQV1" s="224"/>
      <c r="VQW1" s="224"/>
      <c r="VQX1" s="224"/>
      <c r="VQY1" s="224"/>
      <c r="VQZ1" s="224"/>
      <c r="VRA1" s="224"/>
      <c r="VRB1" s="224"/>
      <c r="VRC1" s="224"/>
      <c r="VRD1" s="224"/>
      <c r="VRE1" s="224"/>
      <c r="VRF1" s="224"/>
      <c r="VRG1" s="224"/>
      <c r="VRH1" s="224"/>
      <c r="VRI1" s="224"/>
      <c r="VRJ1" s="224"/>
      <c r="VRK1" s="224"/>
      <c r="VRL1" s="224"/>
      <c r="VRM1" s="224"/>
      <c r="VRN1" s="224"/>
      <c r="VRO1" s="224"/>
      <c r="VRP1" s="224"/>
      <c r="VRQ1" s="224"/>
      <c r="VRR1" s="224"/>
      <c r="VRS1" s="224"/>
      <c r="VRT1" s="224"/>
      <c r="VRU1" s="224"/>
      <c r="VRV1" s="224"/>
      <c r="VRW1" s="224"/>
      <c r="VRX1" s="224"/>
      <c r="VRY1" s="224"/>
      <c r="VRZ1" s="224"/>
      <c r="VSA1" s="224"/>
      <c r="VSB1" s="224"/>
      <c r="VSC1" s="224"/>
      <c r="VSD1" s="224"/>
      <c r="VSE1" s="224"/>
      <c r="VSF1" s="224"/>
      <c r="VSG1" s="224"/>
      <c r="VSH1" s="224"/>
      <c r="VSI1" s="224"/>
      <c r="VSJ1" s="224"/>
      <c r="VSK1" s="224"/>
      <c r="VSL1" s="224"/>
      <c r="VSM1" s="224"/>
      <c r="VSN1" s="224"/>
      <c r="VSO1" s="224"/>
      <c r="VSP1" s="224"/>
      <c r="VSQ1" s="224"/>
      <c r="VSR1" s="224"/>
      <c r="VSS1" s="224"/>
      <c r="VST1" s="224"/>
      <c r="VSU1" s="224"/>
      <c r="VSV1" s="224"/>
      <c r="VSW1" s="224"/>
      <c r="VSX1" s="224"/>
      <c r="VSY1" s="224"/>
      <c r="VSZ1" s="224"/>
      <c r="VTA1" s="224"/>
      <c r="VTB1" s="224"/>
      <c r="VTC1" s="224"/>
      <c r="VTD1" s="224"/>
      <c r="VTE1" s="224"/>
      <c r="VTF1" s="224"/>
      <c r="VTG1" s="224"/>
      <c r="VTH1" s="224"/>
      <c r="VTI1" s="224"/>
      <c r="VTJ1" s="224"/>
      <c r="VTK1" s="224"/>
      <c r="VTL1" s="224"/>
      <c r="VTM1" s="224"/>
      <c r="VTN1" s="224"/>
      <c r="VTO1" s="224"/>
      <c r="VTP1" s="224"/>
      <c r="VTQ1" s="224"/>
      <c r="VTR1" s="224"/>
      <c r="VTS1" s="224"/>
      <c r="VTT1" s="224"/>
      <c r="VTU1" s="224"/>
      <c r="VTV1" s="224"/>
      <c r="VTW1" s="224"/>
      <c r="VTX1" s="224"/>
      <c r="VTY1" s="224"/>
      <c r="VTZ1" s="224"/>
      <c r="VUA1" s="224"/>
      <c r="VUB1" s="224"/>
      <c r="VUC1" s="224"/>
      <c r="VUD1" s="224"/>
      <c r="VUE1" s="224"/>
      <c r="VUF1" s="224"/>
      <c r="VUG1" s="224"/>
      <c r="VUH1" s="224"/>
      <c r="VUI1" s="224"/>
      <c r="VUJ1" s="224"/>
      <c r="VUK1" s="224"/>
      <c r="VUL1" s="224"/>
      <c r="VUM1" s="224"/>
      <c r="VUN1" s="224"/>
      <c r="VUO1" s="224"/>
      <c r="VUP1" s="224"/>
      <c r="VUQ1" s="224"/>
      <c r="VUR1" s="224"/>
      <c r="VUS1" s="224"/>
      <c r="VUT1" s="224"/>
      <c r="VUU1" s="224"/>
      <c r="VUV1" s="224"/>
      <c r="VUW1" s="224"/>
      <c r="VUX1" s="224"/>
      <c r="VUY1" s="224"/>
      <c r="VUZ1" s="224"/>
      <c r="VVA1" s="224"/>
      <c r="VVB1" s="224"/>
      <c r="VVC1" s="224"/>
      <c r="VVD1" s="224"/>
      <c r="VVE1" s="224"/>
      <c r="VVF1" s="224"/>
      <c r="VVG1" s="224"/>
      <c r="VVH1" s="224"/>
      <c r="VVI1" s="224"/>
      <c r="VVJ1" s="224"/>
      <c r="VVK1" s="224"/>
      <c r="VVL1" s="224"/>
      <c r="VVM1" s="224"/>
      <c r="VVN1" s="224"/>
      <c r="VVO1" s="224"/>
      <c r="VVP1" s="224"/>
      <c r="VVQ1" s="224"/>
      <c r="VVR1" s="224"/>
      <c r="VVS1" s="224"/>
      <c r="VVT1" s="224"/>
      <c r="VVU1" s="224"/>
      <c r="VVV1" s="224"/>
      <c r="VVW1" s="224"/>
      <c r="VVX1" s="224"/>
      <c r="VVY1" s="224"/>
      <c r="VVZ1" s="224"/>
      <c r="VWA1" s="224"/>
      <c r="VWB1" s="224"/>
      <c r="VWC1" s="224"/>
      <c r="VWD1" s="224"/>
      <c r="VWE1" s="224"/>
      <c r="VWF1" s="224"/>
      <c r="VWG1" s="224"/>
      <c r="VWH1" s="224"/>
      <c r="VWI1" s="224"/>
      <c r="VWJ1" s="224"/>
      <c r="VWK1" s="224"/>
      <c r="VWL1" s="224"/>
      <c r="VWM1" s="224"/>
      <c r="VWN1" s="224"/>
      <c r="VWO1" s="224"/>
      <c r="VWP1" s="224"/>
      <c r="VWQ1" s="224"/>
      <c r="VWR1" s="224"/>
      <c r="VWS1" s="224"/>
      <c r="VWT1" s="224"/>
      <c r="VWU1" s="224"/>
      <c r="VWV1" s="224"/>
      <c r="VWW1" s="224"/>
      <c r="VWX1" s="224"/>
      <c r="VWY1" s="224"/>
      <c r="VWZ1" s="224"/>
      <c r="VXA1" s="224"/>
      <c r="VXB1" s="224"/>
      <c r="VXC1" s="224"/>
      <c r="VXD1" s="224"/>
      <c r="VXE1" s="224"/>
      <c r="VXF1" s="224"/>
      <c r="VXG1" s="224"/>
      <c r="VXH1" s="224"/>
      <c r="VXI1" s="224"/>
      <c r="VXJ1" s="224"/>
      <c r="VXK1" s="224"/>
      <c r="VXL1" s="224"/>
      <c r="VXM1" s="224"/>
      <c r="VXN1" s="224"/>
      <c r="VXO1" s="224"/>
      <c r="VXP1" s="224"/>
      <c r="VXQ1" s="224"/>
      <c r="VXR1" s="224"/>
      <c r="VXS1" s="224"/>
      <c r="VXT1" s="224"/>
      <c r="VXU1" s="224"/>
      <c r="VXV1" s="224"/>
      <c r="VXW1" s="224"/>
      <c r="VXX1" s="224"/>
      <c r="VXY1" s="224"/>
      <c r="VXZ1" s="224"/>
      <c r="VYA1" s="224"/>
      <c r="VYB1" s="224"/>
      <c r="VYC1" s="224"/>
      <c r="VYD1" s="224"/>
      <c r="VYE1" s="224"/>
      <c r="VYF1" s="224"/>
      <c r="VYG1" s="224"/>
      <c r="VYH1" s="224"/>
      <c r="VYI1" s="224"/>
      <c r="VYJ1" s="224"/>
      <c r="VYK1" s="224"/>
      <c r="VYL1" s="224"/>
      <c r="VYM1" s="224"/>
      <c r="VYN1" s="224"/>
      <c r="VYO1" s="224"/>
      <c r="VYP1" s="224"/>
      <c r="VYQ1" s="224"/>
      <c r="VYR1" s="224"/>
      <c r="VYS1" s="224"/>
      <c r="VYT1" s="224"/>
      <c r="VYU1" s="224"/>
      <c r="VYV1" s="224"/>
      <c r="VYW1" s="224"/>
      <c r="VYX1" s="224"/>
      <c r="VYY1" s="224"/>
      <c r="VYZ1" s="224"/>
      <c r="VZA1" s="224"/>
      <c r="VZB1" s="224"/>
      <c r="VZC1" s="224"/>
      <c r="VZD1" s="224"/>
      <c r="VZE1" s="224"/>
      <c r="VZF1" s="224"/>
      <c r="VZG1" s="224"/>
      <c r="VZH1" s="224"/>
      <c r="VZI1" s="224"/>
      <c r="VZJ1" s="224"/>
      <c r="VZK1" s="224"/>
      <c r="VZL1" s="224"/>
      <c r="VZM1" s="224"/>
      <c r="VZN1" s="224"/>
      <c r="VZO1" s="224"/>
      <c r="VZP1" s="224"/>
      <c r="VZQ1" s="224"/>
      <c r="VZR1" s="224"/>
      <c r="VZS1" s="224"/>
      <c r="VZT1" s="224"/>
      <c r="VZU1" s="224"/>
      <c r="VZV1" s="224"/>
      <c r="VZW1" s="224"/>
      <c r="VZX1" s="224"/>
      <c r="VZY1" s="224"/>
      <c r="VZZ1" s="224"/>
      <c r="WAA1" s="224"/>
      <c r="WAB1" s="224"/>
      <c r="WAC1" s="224"/>
      <c r="WAD1" s="224"/>
      <c r="WAE1" s="224"/>
      <c r="WAF1" s="224"/>
      <c r="WAG1" s="224"/>
      <c r="WAH1" s="224"/>
      <c r="WAI1" s="224"/>
      <c r="WAJ1" s="224"/>
      <c r="WAK1" s="224"/>
      <c r="WAL1" s="224"/>
      <c r="WAM1" s="224"/>
      <c r="WAN1" s="224"/>
      <c r="WAO1" s="224"/>
      <c r="WAP1" s="224"/>
      <c r="WAQ1" s="224"/>
      <c r="WAR1" s="224"/>
      <c r="WAS1" s="224"/>
      <c r="WAT1" s="224"/>
      <c r="WAU1" s="224"/>
      <c r="WAV1" s="224"/>
      <c r="WAW1" s="224"/>
      <c r="WAX1" s="224"/>
      <c r="WAY1" s="224"/>
      <c r="WAZ1" s="224"/>
      <c r="WBA1" s="224"/>
      <c r="WBB1" s="224"/>
      <c r="WBC1" s="224"/>
      <c r="WBD1" s="224"/>
      <c r="WBE1" s="224"/>
      <c r="WBF1" s="224"/>
      <c r="WBG1" s="224"/>
      <c r="WBH1" s="224"/>
      <c r="WBI1" s="224"/>
      <c r="WBJ1" s="224"/>
      <c r="WBK1" s="224"/>
      <c r="WBL1" s="224"/>
      <c r="WBM1" s="224"/>
      <c r="WBN1" s="224"/>
      <c r="WBO1" s="224"/>
      <c r="WBP1" s="224"/>
      <c r="WBQ1" s="224"/>
      <c r="WBR1" s="224"/>
      <c r="WBS1" s="224"/>
      <c r="WBT1" s="224"/>
      <c r="WBU1" s="224"/>
      <c r="WBV1" s="224"/>
      <c r="WBW1" s="224"/>
      <c r="WBX1" s="224"/>
      <c r="WBY1" s="224"/>
      <c r="WBZ1" s="224"/>
      <c r="WCA1" s="224"/>
      <c r="WCB1" s="224"/>
      <c r="WCC1" s="224"/>
      <c r="WCD1" s="224"/>
      <c r="WCE1" s="224"/>
      <c r="WCF1" s="224"/>
      <c r="WCG1" s="224"/>
      <c r="WCH1" s="224"/>
      <c r="WCI1" s="224"/>
      <c r="WCJ1" s="224"/>
      <c r="WCK1" s="224"/>
      <c r="WCL1" s="224"/>
      <c r="WCM1" s="224"/>
      <c r="WCN1" s="224"/>
      <c r="WCO1" s="224"/>
      <c r="WCP1" s="224"/>
      <c r="WCQ1" s="224"/>
      <c r="WCR1" s="224"/>
      <c r="WCS1" s="224"/>
      <c r="WCT1" s="224"/>
      <c r="WCU1" s="224"/>
      <c r="WCV1" s="224"/>
      <c r="WCW1" s="224"/>
      <c r="WCX1" s="224"/>
      <c r="WCY1" s="224"/>
      <c r="WCZ1" s="224"/>
      <c r="WDA1" s="224"/>
      <c r="WDB1" s="224"/>
      <c r="WDC1" s="224"/>
      <c r="WDD1" s="224"/>
      <c r="WDE1" s="224"/>
      <c r="WDF1" s="224"/>
      <c r="WDG1" s="224"/>
      <c r="WDH1" s="224"/>
      <c r="WDI1" s="224"/>
      <c r="WDJ1" s="224"/>
      <c r="WDK1" s="224"/>
      <c r="WDL1" s="224"/>
      <c r="WDM1" s="224"/>
      <c r="WDN1" s="224"/>
      <c r="WDO1" s="224"/>
      <c r="WDP1" s="224"/>
      <c r="WDQ1" s="224"/>
      <c r="WDR1" s="224"/>
      <c r="WDS1" s="224"/>
      <c r="WDT1" s="224"/>
      <c r="WDU1" s="224"/>
      <c r="WDV1" s="224"/>
      <c r="WDW1" s="224"/>
      <c r="WDX1" s="224"/>
      <c r="WDY1" s="224"/>
      <c r="WDZ1" s="224"/>
      <c r="WEA1" s="224"/>
      <c r="WEB1" s="224"/>
      <c r="WEC1" s="224"/>
      <c r="WED1" s="224"/>
      <c r="WEE1" s="224"/>
      <c r="WEF1" s="224"/>
      <c r="WEG1" s="224"/>
      <c r="WEH1" s="224"/>
      <c r="WEI1" s="224"/>
      <c r="WEJ1" s="224"/>
      <c r="WEK1" s="224"/>
      <c r="WEL1" s="224"/>
      <c r="WEM1" s="224"/>
      <c r="WEN1" s="224"/>
      <c r="WEO1" s="224"/>
      <c r="WEP1" s="224"/>
      <c r="WEQ1" s="224"/>
      <c r="WER1" s="224"/>
      <c r="WES1" s="224"/>
      <c r="WET1" s="224"/>
      <c r="WEU1" s="224"/>
      <c r="WEV1" s="224"/>
      <c r="WEW1" s="224"/>
      <c r="WEX1" s="224"/>
      <c r="WEY1" s="224"/>
      <c r="WEZ1" s="224"/>
      <c r="WFA1" s="224"/>
      <c r="WFB1" s="224"/>
      <c r="WFC1" s="224"/>
      <c r="WFD1" s="224"/>
      <c r="WFE1" s="224"/>
      <c r="WFF1" s="224"/>
      <c r="WFG1" s="224"/>
      <c r="WFH1" s="224"/>
      <c r="WFI1" s="224"/>
      <c r="WFJ1" s="224"/>
      <c r="WFK1" s="224"/>
      <c r="WFL1" s="224"/>
      <c r="WFM1" s="224"/>
      <c r="WFN1" s="224"/>
      <c r="WFO1" s="224"/>
      <c r="WFP1" s="224"/>
      <c r="WFQ1" s="224"/>
      <c r="WFR1" s="224"/>
      <c r="WFS1" s="224"/>
      <c r="WFT1" s="224"/>
      <c r="WFU1" s="224"/>
      <c r="WFV1" s="224"/>
      <c r="WFW1" s="224"/>
      <c r="WFX1" s="224"/>
      <c r="WFY1" s="224"/>
      <c r="WFZ1" s="224"/>
      <c r="WGA1" s="224"/>
      <c r="WGB1" s="224"/>
      <c r="WGC1" s="224"/>
      <c r="WGD1" s="224"/>
      <c r="WGE1" s="224"/>
      <c r="WGF1" s="224"/>
      <c r="WGG1" s="224"/>
      <c r="WGH1" s="224"/>
      <c r="WGI1" s="224"/>
      <c r="WGJ1" s="224"/>
      <c r="WGK1" s="224"/>
      <c r="WGL1" s="224"/>
      <c r="WGM1" s="224"/>
      <c r="WGN1" s="224"/>
      <c r="WGO1" s="224"/>
      <c r="WGP1" s="224"/>
      <c r="WGQ1" s="224"/>
      <c r="WGR1" s="224"/>
      <c r="WGS1" s="224"/>
      <c r="WGT1" s="224"/>
      <c r="WGU1" s="224"/>
      <c r="WGV1" s="224"/>
      <c r="WGW1" s="224"/>
      <c r="WGX1" s="224"/>
      <c r="WGY1" s="224"/>
      <c r="WGZ1" s="224"/>
      <c r="WHA1" s="224"/>
      <c r="WHB1" s="224"/>
      <c r="WHC1" s="224"/>
      <c r="WHD1" s="224"/>
      <c r="WHE1" s="224"/>
      <c r="WHF1" s="224"/>
      <c r="WHG1" s="224"/>
      <c r="WHH1" s="224"/>
      <c r="WHI1" s="224"/>
      <c r="WHJ1" s="224"/>
      <c r="WHK1" s="224"/>
      <c r="WHL1" s="224"/>
      <c r="WHM1" s="224"/>
      <c r="WHN1" s="224"/>
      <c r="WHO1" s="224"/>
      <c r="WHP1" s="224"/>
      <c r="WHQ1" s="224"/>
      <c r="WHR1" s="224"/>
      <c r="WHS1" s="224"/>
      <c r="WHT1" s="224"/>
      <c r="WHU1" s="224"/>
      <c r="WHV1" s="224"/>
      <c r="WHW1" s="224"/>
      <c r="WHX1" s="224"/>
      <c r="WHY1" s="224"/>
      <c r="WHZ1" s="224"/>
      <c r="WIA1" s="224"/>
      <c r="WIB1" s="224"/>
      <c r="WIC1" s="224"/>
      <c r="WID1" s="224"/>
      <c r="WIE1" s="224"/>
      <c r="WIF1" s="224"/>
      <c r="WIG1" s="224"/>
      <c r="WIH1" s="224"/>
      <c r="WII1" s="224"/>
      <c r="WIJ1" s="224"/>
      <c r="WIK1" s="224"/>
      <c r="WIL1" s="224"/>
      <c r="WIM1" s="224"/>
      <c r="WIN1" s="224"/>
      <c r="WIO1" s="224"/>
      <c r="WIP1" s="224"/>
      <c r="WIQ1" s="224"/>
      <c r="WIR1" s="224"/>
      <c r="WIS1" s="224"/>
      <c r="WIT1" s="224"/>
      <c r="WIU1" s="224"/>
      <c r="WIV1" s="224"/>
      <c r="WIW1" s="224"/>
      <c r="WIX1" s="224"/>
      <c r="WIY1" s="224"/>
      <c r="WIZ1" s="224"/>
      <c r="WJA1" s="224"/>
      <c r="WJB1" s="224"/>
      <c r="WJC1" s="224"/>
      <c r="WJD1" s="224"/>
      <c r="WJE1" s="224"/>
      <c r="WJF1" s="224"/>
      <c r="WJG1" s="224"/>
      <c r="WJH1" s="224"/>
      <c r="WJI1" s="224"/>
      <c r="WJJ1" s="224"/>
      <c r="WJK1" s="224"/>
      <c r="WJL1" s="224"/>
      <c r="WJM1" s="224"/>
      <c r="WJN1" s="224"/>
      <c r="WJO1" s="224"/>
      <c r="WJP1" s="224"/>
      <c r="WJQ1" s="224"/>
      <c r="WJR1" s="224"/>
      <c r="WJS1" s="224"/>
      <c r="WJT1" s="224"/>
      <c r="WJU1" s="224"/>
      <c r="WJV1" s="224"/>
      <c r="WJW1" s="224"/>
      <c r="WJX1" s="224"/>
      <c r="WJY1" s="224"/>
      <c r="WJZ1" s="224"/>
      <c r="WKA1" s="224"/>
      <c r="WKB1" s="224"/>
      <c r="WKC1" s="224"/>
      <c r="WKD1" s="224"/>
      <c r="WKE1" s="224"/>
      <c r="WKF1" s="224"/>
      <c r="WKG1" s="224"/>
      <c r="WKH1" s="224"/>
      <c r="WKI1" s="224"/>
      <c r="WKJ1" s="224"/>
      <c r="WKK1" s="224"/>
      <c r="WKL1" s="224"/>
      <c r="WKM1" s="224"/>
      <c r="WKN1" s="224"/>
      <c r="WKO1" s="224"/>
      <c r="WKP1" s="224"/>
      <c r="WKQ1" s="224"/>
      <c r="WKR1" s="224"/>
      <c r="WKS1" s="224"/>
      <c r="WKT1" s="224"/>
      <c r="WKU1" s="224"/>
      <c r="WKV1" s="224"/>
      <c r="WKW1" s="224"/>
      <c r="WKX1" s="224"/>
      <c r="WKY1" s="224"/>
      <c r="WKZ1" s="224"/>
      <c r="WLA1" s="224"/>
      <c r="WLB1" s="224"/>
      <c r="WLC1" s="224"/>
      <c r="WLD1" s="224"/>
      <c r="WLE1" s="224"/>
      <c r="WLF1" s="224"/>
      <c r="WLG1" s="224"/>
      <c r="WLH1" s="224"/>
      <c r="WLI1" s="224"/>
      <c r="WLJ1" s="224"/>
      <c r="WLK1" s="224"/>
      <c r="WLL1" s="224"/>
      <c r="WLM1" s="224"/>
      <c r="WLN1" s="224"/>
      <c r="WLO1" s="224"/>
      <c r="WLP1" s="224"/>
      <c r="WLQ1" s="224"/>
      <c r="WLR1" s="224"/>
      <c r="WLS1" s="224"/>
      <c r="WLT1" s="224"/>
      <c r="WLU1" s="224"/>
      <c r="WLV1" s="224"/>
      <c r="WLW1" s="224"/>
      <c r="WLX1" s="224"/>
      <c r="WLY1" s="224"/>
      <c r="WLZ1" s="224"/>
      <c r="WMA1" s="224"/>
      <c r="WMB1" s="224"/>
      <c r="WMC1" s="224"/>
      <c r="WMD1" s="224"/>
      <c r="WME1" s="224"/>
      <c r="WMF1" s="224"/>
      <c r="WMG1" s="224"/>
      <c r="WMH1" s="224"/>
      <c r="WMI1" s="224"/>
      <c r="WMJ1" s="224"/>
      <c r="WMK1" s="224"/>
      <c r="WML1" s="224"/>
      <c r="WMM1" s="224"/>
      <c r="WMN1" s="224"/>
      <c r="WMO1" s="224"/>
      <c r="WMP1" s="224"/>
      <c r="WMQ1" s="224"/>
      <c r="WMR1" s="224"/>
      <c r="WMS1" s="224"/>
      <c r="WMT1" s="224"/>
      <c r="WMU1" s="224"/>
      <c r="WMV1" s="224"/>
      <c r="WMW1" s="224"/>
      <c r="WMX1" s="224"/>
      <c r="WMY1" s="224"/>
      <c r="WMZ1" s="224"/>
      <c r="WNA1" s="224"/>
      <c r="WNB1" s="224"/>
      <c r="WNC1" s="224"/>
      <c r="WND1" s="224"/>
      <c r="WNE1" s="224"/>
      <c r="WNF1" s="224"/>
      <c r="WNG1" s="224"/>
      <c r="WNH1" s="224"/>
      <c r="WNI1" s="224"/>
      <c r="WNJ1" s="224"/>
      <c r="WNK1" s="224"/>
      <c r="WNL1" s="224"/>
      <c r="WNM1" s="224"/>
      <c r="WNN1" s="224"/>
      <c r="WNO1" s="224"/>
      <c r="WNP1" s="224"/>
      <c r="WNQ1" s="224"/>
      <c r="WNR1" s="224"/>
      <c r="WNS1" s="224"/>
      <c r="WNT1" s="224"/>
      <c r="WNU1" s="224"/>
      <c r="WNV1" s="224"/>
      <c r="WNW1" s="224"/>
      <c r="WNX1" s="224"/>
      <c r="WNY1" s="224"/>
      <c r="WNZ1" s="224"/>
      <c r="WOA1" s="224"/>
      <c r="WOB1" s="224"/>
      <c r="WOC1" s="224"/>
      <c r="WOD1" s="224"/>
      <c r="WOE1" s="224"/>
      <c r="WOF1" s="224"/>
      <c r="WOG1" s="224"/>
      <c r="WOH1" s="224"/>
      <c r="WOI1" s="224"/>
      <c r="WOJ1" s="224"/>
      <c r="WOK1" s="224"/>
      <c r="WOL1" s="224"/>
      <c r="WOM1" s="224"/>
      <c r="WON1" s="224"/>
      <c r="WOO1" s="224"/>
      <c r="WOP1" s="224"/>
      <c r="WOQ1" s="224"/>
      <c r="WOR1" s="224"/>
      <c r="WOS1" s="224"/>
      <c r="WOT1" s="224"/>
      <c r="WOU1" s="224"/>
      <c r="WOV1" s="224"/>
      <c r="WOW1" s="224"/>
      <c r="WOX1" s="224"/>
      <c r="WOY1" s="224"/>
      <c r="WOZ1" s="224"/>
      <c r="WPA1" s="224"/>
      <c r="WPB1" s="224"/>
      <c r="WPC1" s="224"/>
      <c r="WPD1" s="224"/>
      <c r="WPE1" s="224"/>
      <c r="WPF1" s="224"/>
      <c r="WPG1" s="224"/>
      <c r="WPH1" s="224"/>
      <c r="WPI1" s="224"/>
      <c r="WPJ1" s="224"/>
      <c r="WPK1" s="224"/>
      <c r="WPL1" s="224"/>
      <c r="WPM1" s="224"/>
      <c r="WPN1" s="224"/>
      <c r="WPO1" s="224"/>
      <c r="WPP1" s="224"/>
      <c r="WPQ1" s="224"/>
      <c r="WPR1" s="224"/>
      <c r="WPS1" s="224"/>
      <c r="WPT1" s="224"/>
      <c r="WPU1" s="224"/>
      <c r="WPV1" s="224"/>
      <c r="WPW1" s="224"/>
      <c r="WPX1" s="224"/>
      <c r="WPY1" s="224"/>
      <c r="WPZ1" s="224"/>
      <c r="WQA1" s="224"/>
      <c r="WQB1" s="224"/>
      <c r="WQC1" s="224"/>
      <c r="WQD1" s="224"/>
      <c r="WQE1" s="224"/>
      <c r="WQF1" s="224"/>
      <c r="WQG1" s="224"/>
      <c r="WQH1" s="224"/>
      <c r="WQI1" s="224"/>
      <c r="WQJ1" s="224"/>
      <c r="WQK1" s="224"/>
      <c r="WQL1" s="224"/>
      <c r="WQM1" s="224"/>
      <c r="WQN1" s="224"/>
      <c r="WQO1" s="224"/>
      <c r="WQP1" s="224"/>
      <c r="WQQ1" s="224"/>
      <c r="WQR1" s="224"/>
      <c r="WQS1" s="224"/>
      <c r="WQT1" s="224"/>
      <c r="WQU1" s="224"/>
      <c r="WQV1" s="224"/>
      <c r="WQW1" s="224"/>
      <c r="WQX1" s="224"/>
      <c r="WQY1" s="224"/>
      <c r="WQZ1" s="224"/>
      <c r="WRA1" s="224"/>
      <c r="WRB1" s="224"/>
      <c r="WRC1" s="224"/>
      <c r="WRD1" s="224"/>
      <c r="WRE1" s="224"/>
      <c r="WRF1" s="224"/>
      <c r="WRG1" s="224"/>
      <c r="WRH1" s="224"/>
      <c r="WRI1" s="224"/>
      <c r="WRJ1" s="224"/>
      <c r="WRK1" s="224"/>
      <c r="WRL1" s="224"/>
      <c r="WRM1" s="224"/>
      <c r="WRN1" s="224"/>
      <c r="WRO1" s="224"/>
      <c r="WRP1" s="224"/>
      <c r="WRQ1" s="224"/>
      <c r="WRR1" s="224"/>
      <c r="WRS1" s="224"/>
      <c r="WRT1" s="224"/>
      <c r="WRU1" s="224"/>
      <c r="WRV1" s="224"/>
      <c r="WRW1" s="224"/>
      <c r="WRX1" s="224"/>
      <c r="WRY1" s="224"/>
      <c r="WRZ1" s="224"/>
      <c r="WSA1" s="224"/>
      <c r="WSB1" s="224"/>
      <c r="WSC1" s="224"/>
      <c r="WSD1" s="224"/>
      <c r="WSE1" s="224"/>
      <c r="WSF1" s="224"/>
      <c r="WSG1" s="224"/>
      <c r="WSH1" s="224"/>
      <c r="WSI1" s="224"/>
      <c r="WSJ1" s="224"/>
      <c r="WSK1" s="224"/>
      <c r="WSL1" s="224"/>
      <c r="WSM1" s="224"/>
      <c r="WSN1" s="224"/>
      <c r="WSO1" s="224"/>
      <c r="WSP1" s="224"/>
      <c r="WSQ1" s="224"/>
      <c r="WSR1" s="224"/>
      <c r="WSS1" s="224"/>
      <c r="WST1" s="224"/>
      <c r="WSU1" s="224"/>
      <c r="WSV1" s="224"/>
      <c r="WSW1" s="224"/>
      <c r="WSX1" s="224"/>
      <c r="WSY1" s="224"/>
      <c r="WSZ1" s="224"/>
      <c r="WTA1" s="224"/>
      <c r="WTB1" s="224"/>
      <c r="WTC1" s="224"/>
      <c r="WTD1" s="224"/>
      <c r="WTE1" s="224"/>
      <c r="WTF1" s="224"/>
      <c r="WTG1" s="224"/>
      <c r="WTH1" s="224"/>
      <c r="WTI1" s="224"/>
      <c r="WTJ1" s="224"/>
      <c r="WTK1" s="224"/>
      <c r="WTL1" s="224"/>
      <c r="WTM1" s="224"/>
      <c r="WTN1" s="224"/>
      <c r="WTO1" s="224"/>
      <c r="WTP1" s="224"/>
      <c r="WTQ1" s="224"/>
      <c r="WTR1" s="224"/>
      <c r="WTS1" s="224"/>
      <c r="WTT1" s="224"/>
      <c r="WTU1" s="224"/>
      <c r="WTV1" s="224"/>
      <c r="WTW1" s="224"/>
      <c r="WTX1" s="224"/>
      <c r="WTY1" s="224"/>
      <c r="WTZ1" s="224"/>
      <c r="WUA1" s="224"/>
      <c r="WUB1" s="224"/>
      <c r="WUC1" s="224"/>
      <c r="WUD1" s="224"/>
      <c r="WUE1" s="224"/>
      <c r="WUF1" s="224"/>
      <c r="WUG1" s="224"/>
      <c r="WUH1" s="224"/>
      <c r="WUI1" s="224"/>
      <c r="WUJ1" s="224"/>
      <c r="WUK1" s="224"/>
      <c r="WUL1" s="224"/>
      <c r="WUM1" s="224"/>
      <c r="WUN1" s="224"/>
      <c r="WUO1" s="224"/>
      <c r="WUP1" s="224"/>
      <c r="WUQ1" s="224"/>
      <c r="WUR1" s="224"/>
      <c r="WUS1" s="224"/>
      <c r="WUT1" s="224"/>
      <c r="WUU1" s="224"/>
      <c r="WUV1" s="224"/>
      <c r="WUW1" s="224"/>
      <c r="WUX1" s="224"/>
      <c r="WUY1" s="224"/>
      <c r="WUZ1" s="224"/>
      <c r="WVA1" s="224"/>
      <c r="WVB1" s="224"/>
      <c r="WVC1" s="224"/>
      <c r="WVD1" s="224"/>
      <c r="WVE1" s="224"/>
      <c r="WVF1" s="224"/>
      <c r="WVG1" s="224"/>
      <c r="WVH1" s="224"/>
      <c r="WVI1" s="224"/>
      <c r="WVJ1" s="224"/>
      <c r="WVK1" s="224"/>
      <c r="WVL1" s="224"/>
      <c r="WVM1" s="224"/>
      <c r="WVN1" s="224"/>
      <c r="WVO1" s="224"/>
      <c r="WVP1" s="224"/>
      <c r="WVQ1" s="224"/>
      <c r="WVR1" s="224"/>
      <c r="WVS1" s="224"/>
      <c r="WVT1" s="224"/>
      <c r="WVU1" s="224"/>
      <c r="WVV1" s="224"/>
      <c r="WVW1" s="224"/>
      <c r="WVX1" s="224"/>
      <c r="WVY1" s="224"/>
      <c r="WVZ1" s="224"/>
      <c r="WWA1" s="224"/>
      <c r="WWB1" s="224"/>
      <c r="WWC1" s="224"/>
      <c r="WWD1" s="224"/>
      <c r="WWE1" s="224"/>
      <c r="WWF1" s="224"/>
      <c r="WWG1" s="224"/>
      <c r="WWH1" s="224"/>
      <c r="WWI1" s="224"/>
      <c r="WWJ1" s="224"/>
      <c r="WWK1" s="224"/>
      <c r="WWL1" s="224"/>
      <c r="WWM1" s="224"/>
      <c r="WWN1" s="224"/>
      <c r="WWO1" s="224"/>
      <c r="WWP1" s="224"/>
      <c r="WWQ1" s="224"/>
      <c r="WWR1" s="224"/>
      <c r="WWS1" s="224"/>
      <c r="WWT1" s="224"/>
      <c r="WWU1" s="224"/>
      <c r="WWV1" s="224"/>
      <c r="WWW1" s="224"/>
      <c r="WWX1" s="224"/>
      <c r="WWY1" s="224"/>
      <c r="WWZ1" s="224"/>
      <c r="WXA1" s="224"/>
      <c r="WXB1" s="224"/>
      <c r="WXC1" s="224"/>
      <c r="WXD1" s="224"/>
      <c r="WXE1" s="224"/>
      <c r="WXF1" s="224"/>
      <c r="WXG1" s="224"/>
      <c r="WXH1" s="224"/>
      <c r="WXI1" s="224"/>
      <c r="WXJ1" s="224"/>
      <c r="WXK1" s="224"/>
      <c r="WXL1" s="224"/>
      <c r="WXM1" s="224"/>
      <c r="WXN1" s="224"/>
      <c r="WXO1" s="224"/>
      <c r="WXP1" s="224"/>
      <c r="WXQ1" s="224"/>
      <c r="WXR1" s="224"/>
      <c r="WXS1" s="224"/>
      <c r="WXT1" s="224"/>
      <c r="WXU1" s="224"/>
      <c r="WXV1" s="224"/>
      <c r="WXW1" s="224"/>
      <c r="WXX1" s="224"/>
      <c r="WXY1" s="224"/>
      <c r="WXZ1" s="224"/>
      <c r="WYA1" s="224"/>
      <c r="WYB1" s="224"/>
      <c r="WYC1" s="224"/>
      <c r="WYD1" s="224"/>
      <c r="WYE1" s="224"/>
      <c r="WYF1" s="224"/>
      <c r="WYG1" s="224"/>
      <c r="WYH1" s="224"/>
      <c r="WYI1" s="224"/>
      <c r="WYJ1" s="224"/>
      <c r="WYK1" s="224"/>
      <c r="WYL1" s="224"/>
      <c r="WYM1" s="224"/>
      <c r="WYN1" s="224"/>
      <c r="WYO1" s="224"/>
      <c r="WYP1" s="224"/>
      <c r="WYQ1" s="224"/>
      <c r="WYR1" s="224"/>
      <c r="WYS1" s="224"/>
      <c r="WYT1" s="224"/>
      <c r="WYU1" s="224"/>
      <c r="WYV1" s="224"/>
      <c r="WYW1" s="224"/>
      <c r="WYX1" s="224"/>
      <c r="WYY1" s="224"/>
      <c r="WYZ1" s="224"/>
      <c r="WZA1" s="224"/>
      <c r="WZB1" s="224"/>
      <c r="WZC1" s="224"/>
      <c r="WZD1" s="224"/>
      <c r="WZE1" s="224"/>
      <c r="WZF1" s="224"/>
      <c r="WZG1" s="224"/>
      <c r="WZH1" s="224"/>
      <c r="WZI1" s="224"/>
      <c r="WZJ1" s="224"/>
      <c r="WZK1" s="224"/>
      <c r="WZL1" s="224"/>
      <c r="WZM1" s="224"/>
      <c r="WZN1" s="224"/>
      <c r="WZO1" s="224"/>
      <c r="WZP1" s="224"/>
      <c r="WZQ1" s="224"/>
      <c r="WZR1" s="224"/>
      <c r="WZS1" s="224"/>
      <c r="WZT1" s="224"/>
      <c r="WZU1" s="224"/>
      <c r="WZV1" s="224"/>
      <c r="WZW1" s="224"/>
      <c r="WZX1" s="224"/>
      <c r="WZY1" s="224"/>
      <c r="WZZ1" s="224"/>
      <c r="XAA1" s="224"/>
      <c r="XAB1" s="224"/>
      <c r="XAC1" s="224"/>
      <c r="XAD1" s="224"/>
      <c r="XAE1" s="224"/>
      <c r="XAF1" s="224"/>
      <c r="XAG1" s="224"/>
      <c r="XAH1" s="224"/>
      <c r="XAI1" s="224"/>
      <c r="XAJ1" s="224"/>
      <c r="XAK1" s="224"/>
      <c r="XAL1" s="224"/>
      <c r="XAM1" s="224"/>
      <c r="XAN1" s="224"/>
      <c r="XAO1" s="224"/>
      <c r="XAP1" s="224"/>
      <c r="XAQ1" s="224"/>
      <c r="XAR1" s="224"/>
      <c r="XAS1" s="224"/>
      <c r="XAT1" s="224"/>
      <c r="XAU1" s="224"/>
      <c r="XAV1" s="224"/>
      <c r="XAW1" s="224"/>
      <c r="XAX1" s="224"/>
      <c r="XAY1" s="224"/>
      <c r="XAZ1" s="224"/>
      <c r="XBA1" s="224"/>
      <c r="XBB1" s="224"/>
      <c r="XBC1" s="224"/>
      <c r="XBD1" s="224"/>
      <c r="XBE1" s="224"/>
      <c r="XBF1" s="224"/>
      <c r="XBG1" s="224"/>
      <c r="XBH1" s="224"/>
      <c r="XBI1" s="224"/>
      <c r="XBJ1" s="224"/>
      <c r="XBK1" s="224"/>
      <c r="XBL1" s="224"/>
      <c r="XBM1" s="224"/>
      <c r="XBN1" s="224"/>
      <c r="XBO1" s="224"/>
      <c r="XBP1" s="224"/>
      <c r="XBQ1" s="224"/>
      <c r="XBR1" s="224"/>
      <c r="XBS1" s="224"/>
      <c r="XBT1" s="224"/>
      <c r="XBU1" s="224"/>
      <c r="XBV1" s="224"/>
      <c r="XBW1" s="224"/>
      <c r="XBX1" s="224"/>
      <c r="XBY1" s="224"/>
      <c r="XBZ1" s="224"/>
      <c r="XCA1" s="224"/>
      <c r="XCB1" s="224"/>
      <c r="XCC1" s="224"/>
      <c r="XCD1" s="224"/>
      <c r="XCE1" s="224"/>
      <c r="XCF1" s="224"/>
      <c r="XCG1" s="224"/>
      <c r="XCH1" s="224"/>
      <c r="XCI1" s="224"/>
      <c r="XCJ1" s="224"/>
      <c r="XCK1" s="224"/>
      <c r="XCL1" s="224"/>
      <c r="XCM1" s="224"/>
      <c r="XCN1" s="224"/>
      <c r="XCO1" s="224"/>
      <c r="XCP1" s="224"/>
      <c r="XCQ1" s="224"/>
      <c r="XCR1" s="224"/>
      <c r="XCS1" s="224"/>
      <c r="XCT1" s="224"/>
      <c r="XCU1" s="224"/>
      <c r="XCV1" s="224"/>
      <c r="XCW1" s="224"/>
      <c r="XCX1" s="224"/>
      <c r="XCY1" s="224"/>
      <c r="XCZ1" s="224"/>
      <c r="XDA1" s="224"/>
      <c r="XDB1" s="224"/>
      <c r="XDC1" s="224"/>
      <c r="XDD1" s="224"/>
      <c r="XDE1" s="224"/>
      <c r="XDF1" s="224"/>
      <c r="XDG1" s="224"/>
      <c r="XDH1" s="224"/>
      <c r="XDI1" s="224"/>
      <c r="XDJ1" s="224"/>
      <c r="XDK1" s="224"/>
      <c r="XDL1" s="224"/>
      <c r="XDM1" s="224"/>
      <c r="XDN1" s="224"/>
      <c r="XDO1" s="224"/>
      <c r="XDP1" s="224"/>
      <c r="XDQ1" s="224"/>
      <c r="XDR1" s="224"/>
      <c r="XDS1" s="224"/>
      <c r="XDT1" s="224"/>
      <c r="XDU1" s="224"/>
      <c r="XDV1" s="224"/>
      <c r="XDW1" s="224"/>
      <c r="XDX1" s="224"/>
      <c r="XDY1" s="224"/>
      <c r="XDZ1" s="224"/>
      <c r="XEA1" s="224"/>
      <c r="XEB1" s="224"/>
      <c r="XEC1" s="224"/>
      <c r="XED1" s="224"/>
      <c r="XEE1" s="224"/>
      <c r="XEF1" s="224"/>
      <c r="XEG1" s="224"/>
      <c r="XEH1" s="224"/>
      <c r="XEI1" s="224"/>
      <c r="XEJ1" s="224"/>
      <c r="XEK1" s="224"/>
      <c r="XEL1" s="224"/>
      <c r="XEM1" s="224"/>
      <c r="XEN1" s="224"/>
      <c r="XEO1" s="224"/>
      <c r="XEP1" s="224"/>
      <c r="XEQ1" s="224"/>
      <c r="XER1" s="224"/>
    </row>
    <row r="2" spans="1:16372" s="299" customFormat="1" ht="99.95" customHeight="1" x14ac:dyDescent="0.2">
      <c r="P2" s="567"/>
      <c r="Q2" s="403"/>
      <c r="R2" s="403"/>
      <c r="S2" s="403"/>
      <c r="T2" s="403"/>
      <c r="U2" s="403"/>
      <c r="V2" s="403"/>
      <c r="W2" s="403"/>
      <c r="X2" s="403"/>
      <c r="Y2" s="403"/>
      <c r="Z2" s="403"/>
      <c r="AA2" s="403"/>
      <c r="AB2" s="403"/>
      <c r="AC2" s="403"/>
      <c r="AD2" s="403"/>
      <c r="AE2" s="403"/>
      <c r="AF2" s="403"/>
      <c r="AG2" s="403"/>
      <c r="AH2" s="403"/>
      <c r="AI2" s="403"/>
      <c r="AJ2" s="403"/>
      <c r="AK2" s="403"/>
      <c r="AL2" s="403"/>
      <c r="AM2" s="403"/>
      <c r="AN2" s="403"/>
      <c r="AO2" s="403"/>
      <c r="AP2" s="403"/>
      <c r="AQ2" s="403"/>
      <c r="AR2" s="403"/>
      <c r="AS2" s="403"/>
      <c r="AT2" s="403"/>
      <c r="AU2" s="403"/>
      <c r="AV2" s="403"/>
      <c r="AW2" s="403"/>
      <c r="AX2" s="403"/>
      <c r="AY2" s="403"/>
      <c r="AZ2" s="403"/>
      <c r="BA2" s="403"/>
      <c r="BB2" s="403"/>
      <c r="BC2" s="403"/>
      <c r="BD2" s="403"/>
      <c r="BE2" s="403"/>
      <c r="BF2" s="403"/>
      <c r="BG2" s="403"/>
      <c r="BH2" s="403"/>
      <c r="BI2" s="403"/>
      <c r="BJ2" s="403"/>
      <c r="BK2" s="403"/>
      <c r="BL2" s="403"/>
      <c r="BM2" s="403"/>
      <c r="BN2" s="403"/>
      <c r="BO2" s="403"/>
      <c r="BP2" s="403"/>
      <c r="BQ2" s="403"/>
      <c r="BR2" s="403"/>
      <c r="BS2" s="403"/>
      <c r="BT2" s="403"/>
      <c r="BU2" s="403"/>
      <c r="BV2" s="403"/>
      <c r="BW2" s="403"/>
      <c r="BX2" s="403"/>
      <c r="BY2" s="403"/>
      <c r="BZ2" s="403"/>
      <c r="CA2" s="403"/>
      <c r="CB2" s="403"/>
      <c r="CC2" s="403"/>
      <c r="CD2" s="403"/>
      <c r="CE2" s="403"/>
      <c r="CF2" s="403"/>
      <c r="CG2" s="403"/>
      <c r="CH2" s="403"/>
      <c r="CI2" s="403"/>
      <c r="CJ2" s="403"/>
      <c r="CK2" s="403"/>
      <c r="CL2" s="403"/>
      <c r="CM2" s="403"/>
      <c r="CN2" s="403"/>
      <c r="CO2" s="403"/>
      <c r="CP2" s="403"/>
      <c r="CQ2" s="403"/>
      <c r="CR2" s="403"/>
      <c r="CS2" s="403"/>
      <c r="CT2" s="403"/>
      <c r="CU2" s="403"/>
      <c r="CV2" s="403"/>
      <c r="CW2" s="403"/>
      <c r="CX2" s="403"/>
      <c r="CY2" s="403"/>
      <c r="CZ2" s="403"/>
      <c r="DA2" s="403"/>
      <c r="DB2" s="403"/>
      <c r="DC2" s="403"/>
      <c r="DD2" s="403"/>
      <c r="DE2" s="403"/>
      <c r="DF2" s="403"/>
      <c r="DG2" s="403"/>
      <c r="DH2" s="403"/>
      <c r="DI2" s="403"/>
      <c r="DJ2" s="403"/>
      <c r="DK2" s="403"/>
      <c r="DL2" s="403"/>
      <c r="DM2" s="403"/>
      <c r="DN2" s="403"/>
      <c r="DO2" s="403"/>
      <c r="DP2" s="403"/>
      <c r="DQ2" s="403"/>
      <c r="DR2" s="403"/>
      <c r="DS2" s="403"/>
      <c r="DT2" s="403"/>
      <c r="DU2" s="403"/>
      <c r="DV2" s="403"/>
      <c r="DW2" s="403"/>
      <c r="DX2" s="403"/>
      <c r="DY2" s="564"/>
      <c r="DZ2" s="564"/>
    </row>
    <row r="3" spans="1:16372" s="27" customFormat="1" ht="19.5" x14ac:dyDescent="0.3">
      <c r="A3" s="27" t="str">
        <f ca="1">IF(OFFSET(R3,0,Lang_Order*Lang__A4)="","",OFFSET(R3,0,Lang_Order*Lang__A4))</f>
        <v>A4. Central-level Costs</v>
      </c>
      <c r="B3" s="115"/>
      <c r="C3" s="28"/>
      <c r="H3" s="75"/>
      <c r="J3" s="75" t="e">
        <f>SUM(J10:J167)</f>
        <v>#N/A</v>
      </c>
      <c r="Q3" s="403"/>
      <c r="R3" s="403" t="s">
        <v>3884</v>
      </c>
      <c r="S3" s="403"/>
      <c r="T3" s="403"/>
      <c r="U3" s="403"/>
      <c r="V3" s="403"/>
      <c r="W3" s="403"/>
      <c r="X3" s="403"/>
      <c r="Y3" s="403"/>
      <c r="Z3" s="403"/>
      <c r="AA3" s="403"/>
      <c r="AB3" s="403"/>
      <c r="AC3" s="403"/>
      <c r="AD3" s="403"/>
      <c r="AE3" s="403"/>
      <c r="AF3" s="403"/>
      <c r="AG3" s="403"/>
      <c r="AH3" s="403" t="s">
        <v>8596</v>
      </c>
      <c r="AI3" s="403"/>
      <c r="AJ3" s="403"/>
      <c r="AK3" s="403"/>
      <c r="AL3" s="403"/>
      <c r="AM3" s="403"/>
      <c r="AN3" s="403"/>
      <c r="AO3" s="403"/>
      <c r="AP3" s="403"/>
      <c r="AQ3" s="403"/>
      <c r="AR3" s="403"/>
      <c r="AS3" s="403"/>
      <c r="AT3" s="403"/>
      <c r="AU3" s="403"/>
      <c r="AV3" s="403"/>
      <c r="AW3" s="403"/>
      <c r="AX3" s="403" t="s">
        <v>8597</v>
      </c>
      <c r="AY3" s="403"/>
      <c r="AZ3" s="403"/>
      <c r="BA3" s="403"/>
      <c r="BB3" s="403"/>
      <c r="BC3" s="403"/>
      <c r="BD3" s="403"/>
      <c r="BE3" s="403"/>
      <c r="BF3" s="403"/>
      <c r="BG3" s="403"/>
      <c r="BH3" s="403"/>
      <c r="BI3" s="403"/>
      <c r="BJ3" s="403"/>
      <c r="BK3" s="403"/>
      <c r="BL3" s="403"/>
      <c r="BM3" s="403"/>
      <c r="BN3" s="403" t="s">
        <v>8598</v>
      </c>
      <c r="BO3" s="403"/>
      <c r="BP3" s="403"/>
      <c r="BQ3" s="403"/>
      <c r="BR3" s="403"/>
      <c r="BS3" s="403"/>
      <c r="BT3" s="403"/>
      <c r="BU3" s="403"/>
      <c r="BV3" s="403"/>
      <c r="BW3" s="403"/>
      <c r="BX3" s="403"/>
      <c r="BY3" s="403"/>
      <c r="BZ3" s="403"/>
      <c r="CA3" s="403"/>
      <c r="CB3" s="403"/>
      <c r="CC3" s="403"/>
      <c r="CD3" s="403" t="s">
        <v>8599</v>
      </c>
      <c r="CE3" s="403"/>
      <c r="CF3" s="403"/>
      <c r="CG3" s="403"/>
      <c r="CH3" s="403"/>
      <c r="CI3" s="403"/>
      <c r="CJ3" s="403"/>
      <c r="CK3" s="403"/>
      <c r="CL3" s="403"/>
      <c r="CM3" s="403"/>
      <c r="CN3" s="403"/>
      <c r="CO3" s="403"/>
      <c r="CP3" s="403"/>
      <c r="CQ3" s="403"/>
      <c r="CR3" s="403"/>
      <c r="CS3" s="403"/>
      <c r="CT3" s="403" t="s">
        <v>8600</v>
      </c>
      <c r="CU3" s="403"/>
      <c r="CV3" s="403"/>
      <c r="CW3" s="403"/>
      <c r="CX3" s="403"/>
      <c r="CY3" s="403"/>
      <c r="CZ3" s="403"/>
      <c r="DA3" s="403"/>
      <c r="DB3" s="403"/>
      <c r="DC3" s="403"/>
      <c r="DD3" s="403"/>
      <c r="DE3" s="403"/>
      <c r="DF3" s="403"/>
      <c r="DG3" s="403"/>
      <c r="DH3" s="403"/>
      <c r="DI3" s="403"/>
      <c r="DJ3" s="403" t="s">
        <v>8601</v>
      </c>
      <c r="DK3" s="403"/>
      <c r="DL3" s="403"/>
      <c r="DM3" s="403"/>
      <c r="DN3" s="403"/>
      <c r="DO3" s="403"/>
      <c r="DP3" s="403"/>
      <c r="DQ3" s="403"/>
      <c r="DR3" s="403"/>
      <c r="DS3" s="403"/>
      <c r="DT3" s="403"/>
      <c r="DU3" s="403"/>
      <c r="DV3" s="403"/>
      <c r="DW3" s="403"/>
      <c r="DX3" s="403"/>
      <c r="DY3" s="564"/>
      <c r="DZ3" s="564"/>
    </row>
    <row r="5" spans="1:16372" s="17" customFormat="1" ht="17.25" x14ac:dyDescent="0.3">
      <c r="A5" s="17" t="str">
        <f ca="1">IF(OFFSET(R5,0,Lang_Order*Lang__A4)="","",OFFSET(R5,0,Lang_Order*Lang__A4))</f>
        <v>A4.1 Central-level costs based on WHO-UNICEF-WB VIRAT-VRAF 2.0 (2 December 2020) + NDVP activities</v>
      </c>
      <c r="C5" s="18"/>
      <c r="H5" s="390"/>
      <c r="J5" s="390"/>
      <c r="Q5" s="403"/>
      <c r="R5" s="403" t="s">
        <v>4146</v>
      </c>
      <c r="S5" s="403"/>
      <c r="T5" s="403"/>
      <c r="U5" s="403"/>
      <c r="V5" s="403"/>
      <c r="W5" s="403"/>
      <c r="X5" s="403"/>
      <c r="Y5" s="403"/>
      <c r="Z5" s="403"/>
      <c r="AA5" s="403"/>
      <c r="AB5" s="403"/>
      <c r="AC5" s="403"/>
      <c r="AD5" s="403"/>
      <c r="AE5" s="403"/>
      <c r="AF5" s="403"/>
      <c r="AG5" s="403"/>
      <c r="AH5" s="403" t="s">
        <v>8602</v>
      </c>
      <c r="AI5" s="403"/>
      <c r="AJ5" s="403"/>
      <c r="AK5" s="403"/>
      <c r="AL5" s="403"/>
      <c r="AM5" s="403"/>
      <c r="AN5" s="403"/>
      <c r="AO5" s="403"/>
      <c r="AP5" s="403"/>
      <c r="AQ5" s="403"/>
      <c r="AR5" s="403"/>
      <c r="AS5" s="403"/>
      <c r="AT5" s="403"/>
      <c r="AU5" s="403"/>
      <c r="AV5" s="403"/>
      <c r="AW5" s="403"/>
      <c r="AX5" s="403" t="s">
        <v>8603</v>
      </c>
      <c r="AY5" s="403"/>
      <c r="AZ5" s="403"/>
      <c r="BA5" s="403"/>
      <c r="BB5" s="403"/>
      <c r="BC5" s="403"/>
      <c r="BD5" s="403"/>
      <c r="BE5" s="403"/>
      <c r="BF5" s="403"/>
      <c r="BG5" s="403"/>
      <c r="BH5" s="403"/>
      <c r="BI5" s="403"/>
      <c r="BJ5" s="403"/>
      <c r="BK5" s="403"/>
      <c r="BL5" s="403"/>
      <c r="BM5" s="403"/>
      <c r="BN5" s="403" t="s">
        <v>8604</v>
      </c>
      <c r="BO5" s="403"/>
      <c r="BP5" s="403"/>
      <c r="BQ5" s="403"/>
      <c r="BR5" s="403"/>
      <c r="BS5" s="403"/>
      <c r="BT5" s="403"/>
      <c r="BU5" s="403"/>
      <c r="BV5" s="403"/>
      <c r="BW5" s="403"/>
      <c r="BX5" s="403"/>
      <c r="BY5" s="403"/>
      <c r="BZ5" s="403"/>
      <c r="CA5" s="403"/>
      <c r="CB5" s="403"/>
      <c r="CC5" s="403"/>
      <c r="CD5" s="403" t="s">
        <v>8605</v>
      </c>
      <c r="CE5" s="403"/>
      <c r="CF5" s="403"/>
      <c r="CG5" s="403"/>
      <c r="CH5" s="403"/>
      <c r="CI5" s="403"/>
      <c r="CJ5" s="403"/>
      <c r="CK5" s="403"/>
      <c r="CL5" s="403"/>
      <c r="CM5" s="403"/>
      <c r="CN5" s="403"/>
      <c r="CO5" s="403"/>
      <c r="CP5" s="403"/>
      <c r="CQ5" s="403"/>
      <c r="CR5" s="403"/>
      <c r="CS5" s="403"/>
      <c r="CT5" s="403" t="s">
        <v>8606</v>
      </c>
      <c r="CU5" s="403"/>
      <c r="CV5" s="403"/>
      <c r="CW5" s="403"/>
      <c r="CX5" s="403"/>
      <c r="CY5" s="403"/>
      <c r="CZ5" s="403"/>
      <c r="DA5" s="403"/>
      <c r="DB5" s="403"/>
      <c r="DC5" s="403"/>
      <c r="DD5" s="403"/>
      <c r="DE5" s="403"/>
      <c r="DF5" s="403"/>
      <c r="DG5" s="403"/>
      <c r="DH5" s="403"/>
      <c r="DI5" s="403"/>
      <c r="DJ5" s="403" t="s">
        <v>8607</v>
      </c>
      <c r="DK5" s="403"/>
      <c r="DL5" s="403"/>
      <c r="DM5" s="403"/>
      <c r="DN5" s="403"/>
      <c r="DO5" s="403"/>
      <c r="DP5" s="403"/>
      <c r="DQ5" s="403"/>
      <c r="DR5" s="403"/>
      <c r="DS5" s="403"/>
      <c r="DT5" s="403"/>
      <c r="DU5" s="403"/>
      <c r="DV5" s="403"/>
      <c r="DW5" s="403"/>
      <c r="DX5" s="403"/>
      <c r="DY5" s="564"/>
      <c r="DZ5" s="564"/>
    </row>
    <row r="6" spans="1:16372" x14ac:dyDescent="0.2">
      <c r="B6" s="299"/>
      <c r="H6" s="199"/>
    </row>
    <row r="7" spans="1:16372" s="120" customFormat="1" ht="30" x14ac:dyDescent="0.25">
      <c r="B7" s="372"/>
      <c r="C7" s="506" t="str">
        <f ca="1">IF(OFFSET(T7,0,Lang_Order*Lang__A4)="","",OFFSET(T7,0,Lang_Order*Lang__A4))</f>
        <v>Item</v>
      </c>
      <c r="D7" s="506" t="str">
        <f ca="1">IF(OFFSET(U7,0,Lang_Order*Lang__A4)="","",OFFSET(U7,0,Lang_Order*Lang__A4))</f>
        <v>Quantity</v>
      </c>
      <c r="E7" s="506" t="str">
        <f ca="1">IF(OFFSET(V7,0,Lang_Order*Lang__A4)="","",OFFSET(V7,0,Lang_Order*Lang__A4))</f>
        <v>Suggestion</v>
      </c>
      <c r="F7" s="506" t="str">
        <f ca="1">IF(OFFSET(W7,0,Lang_Order*Lang__A4)="","",OFFSET(W7,0,Lang_Order*Lang__A4))</f>
        <v>Unit</v>
      </c>
      <c r="G7" s="690" t="str">
        <f ca="1">IF(OFFSET(X7,0,Lang_Order*Lang__A4)="","",OFFSET(X7,0,Lang_Order*Lang__A4))</f>
        <v>Unit Price</v>
      </c>
      <c r="H7" s="690" t="str">
        <f ca="1">IF(OFFSET(Y7,0,Lang_Order*Lang__A3)="","",OFFSET(Y7,0,Lang_Order*Lang__A3))</f>
        <v/>
      </c>
      <c r="I7" s="690" t="str">
        <f ca="1">IF(OFFSET(Z7,0,Lang_Order*Lang__A3)="","",OFFSET(Z7,0,Lang_Order*Lang__A3))</f>
        <v/>
      </c>
      <c r="J7" s="506" t="str">
        <f ca="1">IF(OFFSET(AA7,0,Lang_Order*Lang__A4)="","",OFFSET(AA7,0,Lang_Order*Lang__A4))</f>
        <v>Sub-Total</v>
      </c>
      <c r="K7" s="506" t="str">
        <f ca="1">IF(OFFSET(AB7,0,Lang_Order*Lang__A4)="","",OFFSET(AB7,0,Lang_Order*Lang__A4))</f>
        <v>Category
Total</v>
      </c>
      <c r="L7" s="691" t="str">
        <f ca="1">IF(OFFSET(AC7,0,Lang_Order*Lang__A4)="","",OFFSET(AC7,0,Lang_Order*Lang__A4))</f>
        <v>WHO/UNICEF/WB VIRAT-VRAF 2.0</v>
      </c>
      <c r="M7" s="691" t="str">
        <f ca="1">IF(OFFSET(AD7,0,Lang_Order*Lang__A3)="","",OFFSET(AD7,0,Lang_Order*Lang__A3))</f>
        <v/>
      </c>
      <c r="N7" s="691" t="str">
        <f ca="1">IF(OFFSET(AE7,0,Lang_Order*Lang__A3)="","",OFFSET(AE7,0,Lang_Order*Lang__A3))</f>
        <v/>
      </c>
      <c r="O7" s="373" t="str">
        <f ca="1">IF(OFFSET(AF7,0,Lang_Order*Lang__A4)="","",OFFSET(AF7,0,Lang_Order*Lang__A4))</f>
        <v>Comments</v>
      </c>
      <c r="P7" s="373" t="str">
        <f ca="1">IF(OFFSET(AG7,0,Lang_Order*Lang__A4)="","",OFFSET(AG7,0,Lang_Order*Lang__A4))</f>
        <v>User Notes</v>
      </c>
      <c r="Q7" s="403"/>
      <c r="R7" s="403"/>
      <c r="S7" s="403"/>
      <c r="T7" s="403" t="s">
        <v>1635</v>
      </c>
      <c r="U7" s="403" t="s">
        <v>1596</v>
      </c>
      <c r="V7" s="403" t="s">
        <v>1638</v>
      </c>
      <c r="W7" s="403" t="s">
        <v>1705</v>
      </c>
      <c r="X7" s="403" t="s">
        <v>3881</v>
      </c>
      <c r="Y7" s="403"/>
      <c r="Z7" s="403"/>
      <c r="AA7" s="403" t="s">
        <v>2181</v>
      </c>
      <c r="AB7" s="403" t="s">
        <v>2656</v>
      </c>
      <c r="AC7" s="403" t="s">
        <v>3967</v>
      </c>
      <c r="AD7" s="403"/>
      <c r="AE7" s="403"/>
      <c r="AF7" s="403" t="s">
        <v>13980</v>
      </c>
      <c r="AG7" s="403" t="s">
        <v>13981</v>
      </c>
      <c r="AH7" s="403"/>
      <c r="AI7" s="403"/>
      <c r="AJ7" s="403" t="s">
        <v>8608</v>
      </c>
      <c r="AK7" s="403" t="s">
        <v>8112</v>
      </c>
      <c r="AL7" s="403" t="s">
        <v>1638</v>
      </c>
      <c r="AM7" s="403" t="s">
        <v>8609</v>
      </c>
      <c r="AN7" s="403" t="s">
        <v>8610</v>
      </c>
      <c r="AO7" s="403" t="s">
        <v>8610</v>
      </c>
      <c r="AP7" s="403"/>
      <c r="AQ7" s="403" t="s">
        <v>8611</v>
      </c>
      <c r="AR7" s="403" t="s">
        <v>8612</v>
      </c>
      <c r="AS7" s="403" t="s">
        <v>8613</v>
      </c>
      <c r="AT7" s="403"/>
      <c r="AU7" s="403"/>
      <c r="AV7" s="403" t="s">
        <v>14071</v>
      </c>
      <c r="AW7" s="403" t="s">
        <v>14076</v>
      </c>
      <c r="AX7" s="403"/>
      <c r="AY7" s="403"/>
      <c r="AZ7" s="403" t="s">
        <v>8614</v>
      </c>
      <c r="BA7" s="403" t="s">
        <v>6056</v>
      </c>
      <c r="BB7" s="403" t="s">
        <v>8615</v>
      </c>
      <c r="BC7" s="403" t="s">
        <v>8155</v>
      </c>
      <c r="BD7" s="403" t="s">
        <v>8616</v>
      </c>
      <c r="BE7" s="403"/>
      <c r="BF7" s="403"/>
      <c r="BG7" s="403" t="s">
        <v>8617</v>
      </c>
      <c r="BH7" s="403" t="s">
        <v>8618</v>
      </c>
      <c r="BI7" s="403" t="s">
        <v>8619</v>
      </c>
      <c r="BJ7" s="403"/>
      <c r="BK7" s="403"/>
      <c r="BL7" s="403" t="s">
        <v>14072</v>
      </c>
      <c r="BM7" s="403" t="s">
        <v>14077</v>
      </c>
      <c r="BN7" s="403"/>
      <c r="BO7" s="403"/>
      <c r="BP7" s="403" t="s">
        <v>8620</v>
      </c>
      <c r="BQ7" s="403" t="s">
        <v>8116</v>
      </c>
      <c r="BR7" s="403" t="s">
        <v>6037</v>
      </c>
      <c r="BS7" s="403" t="s">
        <v>8621</v>
      </c>
      <c r="BT7" s="403" t="s">
        <v>8622</v>
      </c>
      <c r="BU7" s="403"/>
      <c r="BV7" s="403"/>
      <c r="BW7" s="403" t="s">
        <v>8623</v>
      </c>
      <c r="BX7" s="403" t="s">
        <v>8624</v>
      </c>
      <c r="BY7" s="403" t="s">
        <v>8625</v>
      </c>
      <c r="BZ7" s="403"/>
      <c r="CA7" s="403"/>
      <c r="CB7" s="403" t="s">
        <v>14073</v>
      </c>
      <c r="CC7" s="403" t="s">
        <v>14078</v>
      </c>
      <c r="CD7" s="403"/>
      <c r="CE7" s="403"/>
      <c r="CF7" s="403" t="s">
        <v>1635</v>
      </c>
      <c r="CG7" s="403" t="s">
        <v>8117</v>
      </c>
      <c r="CH7" s="403" t="s">
        <v>5863</v>
      </c>
      <c r="CI7" s="403" t="s">
        <v>8626</v>
      </c>
      <c r="CJ7" s="403" t="s">
        <v>8627</v>
      </c>
      <c r="CK7" s="403"/>
      <c r="CL7" s="403"/>
      <c r="CM7" s="403" t="s">
        <v>8623</v>
      </c>
      <c r="CN7" s="403" t="s">
        <v>8628</v>
      </c>
      <c r="CO7" s="403" t="s">
        <v>3967</v>
      </c>
      <c r="CP7" s="403"/>
      <c r="CQ7" s="403"/>
      <c r="CR7" s="403" t="s">
        <v>14074</v>
      </c>
      <c r="CS7" s="403" t="s">
        <v>14079</v>
      </c>
      <c r="CT7" s="403"/>
      <c r="CU7" s="403"/>
      <c r="CV7" s="403" t="s">
        <v>8629</v>
      </c>
      <c r="CW7" s="403" t="s">
        <v>8119</v>
      </c>
      <c r="CX7" s="403" t="s">
        <v>8630</v>
      </c>
      <c r="CY7" s="403" t="s">
        <v>8631</v>
      </c>
      <c r="CZ7" s="403" t="s">
        <v>8632</v>
      </c>
      <c r="DA7" s="403"/>
      <c r="DB7" s="403"/>
      <c r="DC7" s="403" t="s">
        <v>8633</v>
      </c>
      <c r="DD7" s="403" t="s">
        <v>8634</v>
      </c>
      <c r="DE7" s="403" t="s">
        <v>8635</v>
      </c>
      <c r="DF7" s="403"/>
      <c r="DG7" s="403"/>
      <c r="DH7" s="403" t="s">
        <v>8636</v>
      </c>
      <c r="DI7" s="403" t="s">
        <v>14075</v>
      </c>
      <c r="DJ7" s="403" t="s">
        <v>14080</v>
      </c>
      <c r="DK7" s="403"/>
      <c r="DL7" s="403" t="s">
        <v>8637</v>
      </c>
      <c r="DM7" s="403" t="s">
        <v>8121</v>
      </c>
      <c r="DN7" s="403" t="s">
        <v>5874</v>
      </c>
      <c r="DO7" s="403" t="s">
        <v>8162</v>
      </c>
      <c r="DP7" s="403" t="s">
        <v>8638</v>
      </c>
      <c r="DQ7" s="403"/>
      <c r="DR7" s="403"/>
      <c r="DS7" s="403" t="s">
        <v>8639</v>
      </c>
      <c r="DT7" s="403" t="s">
        <v>8640</v>
      </c>
      <c r="DU7" s="403" t="s">
        <v>3967</v>
      </c>
      <c r="DV7" s="403"/>
      <c r="DW7" s="403"/>
      <c r="DX7" s="403" t="s">
        <v>5455</v>
      </c>
      <c r="DY7" s="564" t="s">
        <v>5455</v>
      </c>
      <c r="DZ7" s="564" t="s">
        <v>14081</v>
      </c>
    </row>
    <row r="8" spans="1:16372" s="185" customFormat="1" ht="180" customHeight="1" x14ac:dyDescent="0.2">
      <c r="C8" s="334" t="str">
        <f ca="1">IF(OFFSET(T8,0,Lang_Order*Lang__A4)="","",OFFSET(T8,0,Lang_Order*Lang__A4))</f>
        <v>General Instructions:The purpose of this section is to assist countries to tabulate and consider central costs for activities specified in the VIRAT-VRAF and NDVP, based on their best assumptions for reasonable costs for technical assistance (TA), training, supervision, gap analyses, surveys. The reference to each VIRAT-VRAF 2.0 is provided in column L and can be used if further clarification is needed on each of the activities costed.
Central costs can be inputed as LCUs (in the current selected in A1.1) [Column G] or in USD [Column H]. Column H takes precedence if values are inputed in both currencies. Some names [Column C] for items can also be updated by the end-user to allow for more customization.
Additional rows are included to cost additional items per category (if desired).
Please start by inputing the desired duration for central-level activities in months below.</v>
      </c>
      <c r="L8" s="279" t="str">
        <f ca="1">IF(OFFSET(AC8,0,Lang_Order*Lang__A4)="","",OFFSET(AC8,0,Lang_Order*Lang__A4))</f>
        <v>Reference</v>
      </c>
      <c r="M8" s="279" t="str">
        <f ca="1">IF(OFFSET(AD8,0,Lang_Order*Lang__A4)="","",OFFSET(AD8,0,Lang_Order*Lang__A4))</f>
        <v>Link to supplementary data on:
Medical supplies, equipment and contract services requirements</v>
      </c>
      <c r="N8" s="279" t="str">
        <f ca="1">IF(OFFSET(AE8,0,Lang_Order*Lang__A4)="","",OFFSET(AE8,0,Lang_Order*Lang__A4))</f>
        <v>Link to supplementary data on:
Staffing and training requirements</v>
      </c>
      <c r="P8" s="574"/>
      <c r="Q8" s="403"/>
      <c r="R8" s="403"/>
      <c r="S8" s="403"/>
      <c r="T8" s="403" t="s">
        <v>4147</v>
      </c>
      <c r="U8" s="403"/>
      <c r="V8" s="403"/>
      <c r="W8" s="403"/>
      <c r="X8" s="403"/>
      <c r="Y8" s="403"/>
      <c r="Z8" s="403"/>
      <c r="AA8" s="403"/>
      <c r="AB8" s="403"/>
      <c r="AC8" s="403" t="s">
        <v>3977</v>
      </c>
      <c r="AD8" s="403" t="s">
        <v>4148</v>
      </c>
      <c r="AE8" s="403" t="s">
        <v>4149</v>
      </c>
      <c r="AF8" s="403"/>
      <c r="AG8" s="403"/>
      <c r="AH8" s="403"/>
      <c r="AI8" s="403"/>
      <c r="AJ8" s="403" t="s">
        <v>8641</v>
      </c>
      <c r="AK8" s="403"/>
      <c r="AL8" s="403"/>
      <c r="AM8" s="403"/>
      <c r="AN8" s="403"/>
      <c r="AO8" s="403"/>
      <c r="AP8" s="403"/>
      <c r="AQ8" s="403"/>
      <c r="AR8" s="403"/>
      <c r="AS8" s="403" t="s">
        <v>8642</v>
      </c>
      <c r="AT8" s="403" t="s">
        <v>8643</v>
      </c>
      <c r="AU8" s="403" t="s">
        <v>8644</v>
      </c>
      <c r="AV8" s="403"/>
      <c r="AW8" s="403"/>
      <c r="AX8" s="403"/>
      <c r="AY8" s="403"/>
      <c r="AZ8" s="403" t="s">
        <v>8645</v>
      </c>
      <c r="BA8" s="403"/>
      <c r="BB8" s="403"/>
      <c r="BC8" s="403"/>
      <c r="BD8" s="403"/>
      <c r="BE8" s="403"/>
      <c r="BF8" s="403"/>
      <c r="BG8" s="403"/>
      <c r="BH8" s="403"/>
      <c r="BI8" s="403" t="s">
        <v>8646</v>
      </c>
      <c r="BJ8" s="403" t="s">
        <v>8647</v>
      </c>
      <c r="BK8" s="403" t="s">
        <v>8648</v>
      </c>
      <c r="BL8" s="403"/>
      <c r="BM8" s="403"/>
      <c r="BN8" s="403"/>
      <c r="BO8" s="403"/>
      <c r="BP8" s="403" t="s">
        <v>8649</v>
      </c>
      <c r="BQ8" s="403"/>
      <c r="BR8" s="403"/>
      <c r="BS8" s="403"/>
      <c r="BT8" s="403"/>
      <c r="BU8" s="403"/>
      <c r="BV8" s="403"/>
      <c r="BW8" s="403"/>
      <c r="BX8" s="403"/>
      <c r="BY8" s="403" t="s">
        <v>8650</v>
      </c>
      <c r="BZ8" s="403" t="s">
        <v>8651</v>
      </c>
      <c r="CA8" s="403" t="s">
        <v>8652</v>
      </c>
      <c r="CB8" s="403"/>
      <c r="CC8" s="403"/>
      <c r="CD8" s="403"/>
      <c r="CE8" s="403"/>
      <c r="CF8" s="403" t="s">
        <v>8653</v>
      </c>
      <c r="CG8" s="403"/>
      <c r="CH8" s="403"/>
      <c r="CI8" s="403"/>
      <c r="CJ8" s="403"/>
      <c r="CK8" s="403"/>
      <c r="CL8" s="403"/>
      <c r="CM8" s="403"/>
      <c r="CN8" s="403"/>
      <c r="CO8" s="403" t="s">
        <v>8654</v>
      </c>
      <c r="CP8" s="403" t="s">
        <v>8655</v>
      </c>
      <c r="CQ8" s="403" t="s">
        <v>8656</v>
      </c>
      <c r="CR8" s="403"/>
      <c r="CS8" s="403"/>
      <c r="CT8" s="403"/>
      <c r="CU8" s="403"/>
      <c r="CV8" s="403" t="s">
        <v>8657</v>
      </c>
      <c r="CW8" s="403"/>
      <c r="CX8" s="403"/>
      <c r="CY8" s="403"/>
      <c r="CZ8" s="403"/>
      <c r="DA8" s="403"/>
      <c r="DB8" s="403"/>
      <c r="DC8" s="403"/>
      <c r="DD8" s="403"/>
      <c r="DE8" s="403" t="s">
        <v>8658</v>
      </c>
      <c r="DF8" s="403" t="s">
        <v>8659</v>
      </c>
      <c r="DG8" s="403" t="s">
        <v>8660</v>
      </c>
      <c r="DH8" s="403"/>
      <c r="DI8" s="403"/>
      <c r="DJ8" s="403"/>
      <c r="DK8" s="403"/>
      <c r="DL8" s="403" t="s">
        <v>8661</v>
      </c>
      <c r="DM8" s="403"/>
      <c r="DN8" s="403"/>
      <c r="DO8" s="403"/>
      <c r="DP8" s="403"/>
      <c r="DQ8" s="403"/>
      <c r="DR8" s="403"/>
      <c r="DS8" s="403"/>
      <c r="DT8" s="403"/>
      <c r="DU8" s="403" t="s">
        <v>5494</v>
      </c>
      <c r="DV8" s="403" t="s">
        <v>8662</v>
      </c>
      <c r="DW8" s="403" t="s">
        <v>8663</v>
      </c>
      <c r="DX8" s="403"/>
      <c r="DY8" s="564"/>
      <c r="DZ8" s="564"/>
    </row>
    <row r="9" spans="1:16372" s="299" customFormat="1" x14ac:dyDescent="0.2">
      <c r="A9" s="354">
        <v>1</v>
      </c>
      <c r="C9" s="5" t="str">
        <f ca="1">IF(OFFSET(T9,0,Lang_Order*Lang__A4)="","",OFFSET(T9,0,Lang_Order*Lang__A4))</f>
        <v>Duration of central-level initiatives</v>
      </c>
      <c r="D9" s="35">
        <v>36</v>
      </c>
      <c r="F9" s="2" t="str">
        <f ca="1">IF(OFFSET(W9,0,Lang_Order*Lang__A4)="","",OFFSET(W9,0,Lang_Order*Lang__A4))</f>
        <v>Months</v>
      </c>
      <c r="O9" s="574"/>
      <c r="P9" s="587"/>
      <c r="Q9" s="403"/>
      <c r="R9" s="403"/>
      <c r="S9" s="403"/>
      <c r="T9" s="403" t="s">
        <v>2898</v>
      </c>
      <c r="U9" s="403"/>
      <c r="V9" s="403"/>
      <c r="W9" s="403" t="s">
        <v>14</v>
      </c>
      <c r="X9" s="403"/>
      <c r="Y9" s="403"/>
      <c r="Z9" s="403"/>
      <c r="AA9" s="403"/>
      <c r="AB9" s="403"/>
      <c r="AC9" s="403"/>
      <c r="AD9" s="403"/>
      <c r="AE9" s="403"/>
      <c r="AF9" s="403"/>
      <c r="AG9" s="403"/>
      <c r="AH9" s="403"/>
      <c r="AI9" s="403"/>
      <c r="AJ9" s="403" t="s">
        <v>8664</v>
      </c>
      <c r="AK9" s="403"/>
      <c r="AL9" s="403"/>
      <c r="AM9" s="403" t="s">
        <v>5675</v>
      </c>
      <c r="AN9" s="403"/>
      <c r="AO9" s="403"/>
      <c r="AP9" s="403"/>
      <c r="AQ9" s="403"/>
      <c r="AR9" s="403"/>
      <c r="AS9" s="403"/>
      <c r="AT9" s="403"/>
      <c r="AU9" s="403"/>
      <c r="AV9" s="403"/>
      <c r="AW9" s="403"/>
      <c r="AX9" s="403"/>
      <c r="AY9" s="403"/>
      <c r="AZ9" s="403" t="s">
        <v>8665</v>
      </c>
      <c r="BA9" s="403"/>
      <c r="BB9" s="403"/>
      <c r="BC9" s="403" t="s">
        <v>8666</v>
      </c>
      <c r="BD9" s="403"/>
      <c r="BE9" s="403"/>
      <c r="BF9" s="403"/>
      <c r="BG9" s="403"/>
      <c r="BH9" s="403"/>
      <c r="BI9" s="403"/>
      <c r="BJ9" s="403"/>
      <c r="BK9" s="403"/>
      <c r="BL9" s="403"/>
      <c r="BM9" s="403"/>
      <c r="BN9" s="403"/>
      <c r="BO9" s="403"/>
      <c r="BP9" s="403" t="s">
        <v>8667</v>
      </c>
      <c r="BQ9" s="403"/>
      <c r="BR9" s="403"/>
      <c r="BS9" s="403" t="s">
        <v>5694</v>
      </c>
      <c r="BT9" s="403"/>
      <c r="BU9" s="403"/>
      <c r="BV9" s="403"/>
      <c r="BW9" s="403"/>
      <c r="BX9" s="403"/>
      <c r="BY9" s="403"/>
      <c r="BZ9" s="403"/>
      <c r="CA9" s="403"/>
      <c r="CB9" s="403"/>
      <c r="CC9" s="403"/>
      <c r="CD9" s="403"/>
      <c r="CE9" s="403"/>
      <c r="CF9" s="403" t="s">
        <v>8668</v>
      </c>
      <c r="CG9" s="403"/>
      <c r="CH9" s="403"/>
      <c r="CI9" s="403" t="s">
        <v>5694</v>
      </c>
      <c r="CJ9" s="403"/>
      <c r="CK9" s="403"/>
      <c r="CL9" s="403"/>
      <c r="CM9" s="403"/>
      <c r="CN9" s="403"/>
      <c r="CO9" s="403"/>
      <c r="CP9" s="403"/>
      <c r="CQ9" s="403"/>
      <c r="CR9" s="403"/>
      <c r="CS9" s="403"/>
      <c r="CT9" s="403"/>
      <c r="CU9" s="403"/>
      <c r="CV9" s="403" t="s">
        <v>8669</v>
      </c>
      <c r="CW9" s="403"/>
      <c r="CX9" s="403"/>
      <c r="CY9" s="403" t="s">
        <v>8670</v>
      </c>
      <c r="CZ9" s="403"/>
      <c r="DA9" s="403"/>
      <c r="DB9" s="403"/>
      <c r="DC9" s="403"/>
      <c r="DD9" s="403"/>
      <c r="DE9" s="403"/>
      <c r="DF9" s="403"/>
      <c r="DG9" s="403"/>
      <c r="DH9" s="403"/>
      <c r="DI9" s="403"/>
      <c r="DJ9" s="403"/>
      <c r="DK9" s="403"/>
      <c r="DL9" s="403" t="s">
        <v>8671</v>
      </c>
      <c r="DM9" s="403"/>
      <c r="DN9" s="403"/>
      <c r="DO9" s="403" t="s">
        <v>8672</v>
      </c>
      <c r="DP9" s="403"/>
      <c r="DQ9" s="403"/>
      <c r="DR9" s="403"/>
      <c r="DS9" s="403"/>
      <c r="DT9" s="403"/>
      <c r="DU9" s="403"/>
      <c r="DV9" s="403"/>
      <c r="DW9" s="403"/>
      <c r="DX9" s="403"/>
      <c r="DY9" s="564"/>
      <c r="DZ9" s="564"/>
    </row>
    <row r="10" spans="1:16372" ht="15" x14ac:dyDescent="0.25">
      <c r="B10" s="8" t="str">
        <f ca="1">IF(OFFSET(S10,0,Lang_Order*Lang__A4)="","",OFFSET(S10,0,Lang_Order*Lang__A4))</f>
        <v>A4.1.01 Planning and Coordination</v>
      </c>
      <c r="C10" s="19"/>
      <c r="D10" s="8"/>
      <c r="E10" s="8"/>
      <c r="F10" s="8"/>
      <c r="G10" s="375" t="str">
        <f>CONCATENATE(Lang_LCU,": ",LCU)</f>
        <v xml:space="preserve">LCU: </v>
      </c>
      <c r="H10" s="219" t="str">
        <f ca="1">IF(OFFSET(Y10,0,Lang_Order*Lang__A4)="","",OFFSET(Y10,0,Lang_Order*Lang__A4))</f>
        <v>Override in USD</v>
      </c>
      <c r="I10" s="375" t="str">
        <f ca="1">IF(OFFSET(Z10,0,Lang_Order*Lang__A4)="","",OFFSET(Z10,0,Lang_Order*Lang__A4))</f>
        <v>USD</v>
      </c>
      <c r="J10" s="8"/>
      <c r="K10" s="188" t="e">
        <f>SUM(J12:J22)</f>
        <v>#N/A</v>
      </c>
      <c r="L10" s="222"/>
      <c r="M10" s="222"/>
      <c r="N10" s="222"/>
      <c r="O10" s="8"/>
      <c r="P10" s="8"/>
      <c r="S10" s="403" t="s">
        <v>14465</v>
      </c>
      <c r="Y10" s="403" t="s">
        <v>2977</v>
      </c>
      <c r="Z10" s="403" t="s">
        <v>26</v>
      </c>
      <c r="AI10" s="403" t="s">
        <v>14466</v>
      </c>
      <c r="AO10" s="403" t="s">
        <v>7897</v>
      </c>
      <c r="AP10" s="403" t="s">
        <v>26</v>
      </c>
      <c r="AY10" s="403" t="s">
        <v>14467</v>
      </c>
      <c r="BE10" s="403" t="s">
        <v>8114</v>
      </c>
      <c r="BF10" s="403" t="s">
        <v>5683</v>
      </c>
      <c r="BO10" s="403" t="s">
        <v>14468</v>
      </c>
      <c r="BU10" s="403" t="s">
        <v>7903</v>
      </c>
      <c r="BV10" s="403" t="s">
        <v>26</v>
      </c>
      <c r="CE10" s="403" t="s">
        <v>14469</v>
      </c>
      <c r="CK10" s="403" t="s">
        <v>7906</v>
      </c>
      <c r="CL10" s="403" t="s">
        <v>26</v>
      </c>
      <c r="CU10" s="403" t="s">
        <v>14470</v>
      </c>
      <c r="DA10" s="403" t="s">
        <v>7908</v>
      </c>
      <c r="DB10" s="403" t="s">
        <v>5710</v>
      </c>
      <c r="DK10" s="403" t="s">
        <v>14471</v>
      </c>
      <c r="DQ10" s="403" t="s">
        <v>7911</v>
      </c>
      <c r="DR10" s="403" t="s">
        <v>5720</v>
      </c>
    </row>
    <row r="11" spans="1:16372" s="185" customFormat="1" x14ac:dyDescent="0.2">
      <c r="C11" s="299"/>
      <c r="P11" s="574"/>
      <c r="Q11" s="403"/>
      <c r="R11" s="403"/>
      <c r="S11" s="403"/>
      <c r="T11" s="403"/>
      <c r="U11" s="403"/>
      <c r="V11" s="403"/>
      <c r="W11" s="403"/>
      <c r="X11" s="403"/>
      <c r="Y11" s="403"/>
      <c r="Z11" s="403"/>
      <c r="AA11" s="403"/>
      <c r="AB11" s="403"/>
      <c r="AC11" s="403"/>
      <c r="AD11" s="403"/>
      <c r="AE11" s="403"/>
      <c r="AF11" s="403"/>
      <c r="AG11" s="403"/>
      <c r="AH11" s="403"/>
      <c r="AI11" s="403"/>
      <c r="AJ11" s="403"/>
      <c r="AK11" s="403"/>
      <c r="AL11" s="403"/>
      <c r="AM11" s="403"/>
      <c r="AN11" s="403"/>
      <c r="AO11" s="403"/>
      <c r="AP11" s="403"/>
      <c r="AQ11" s="403"/>
      <c r="AR11" s="403"/>
      <c r="AS11" s="403"/>
      <c r="AT11" s="403"/>
      <c r="AU11" s="403"/>
      <c r="AV11" s="403"/>
      <c r="AW11" s="403"/>
      <c r="AX11" s="403"/>
      <c r="AY11" s="403"/>
      <c r="AZ11" s="403"/>
      <c r="BA11" s="403"/>
      <c r="BB11" s="403"/>
      <c r="BC11" s="403"/>
      <c r="BD11" s="403"/>
      <c r="BE11" s="403"/>
      <c r="BF11" s="403"/>
      <c r="BG11" s="403"/>
      <c r="BH11" s="403"/>
      <c r="BI11" s="403"/>
      <c r="BJ11" s="403"/>
      <c r="BK11" s="403"/>
      <c r="BL11" s="403"/>
      <c r="BM11" s="403"/>
      <c r="BN11" s="403"/>
      <c r="BO11" s="403"/>
      <c r="BP11" s="403"/>
      <c r="BQ11" s="403"/>
      <c r="BR11" s="403"/>
      <c r="BS11" s="403"/>
      <c r="BT11" s="403"/>
      <c r="BU11" s="403"/>
      <c r="BV11" s="403"/>
      <c r="BW11" s="403"/>
      <c r="BX11" s="403"/>
      <c r="BY11" s="403"/>
      <c r="BZ11" s="403"/>
      <c r="CA11" s="403"/>
      <c r="CB11" s="403"/>
      <c r="CC11" s="403"/>
      <c r="CD11" s="403"/>
      <c r="CE11" s="403"/>
      <c r="CF11" s="403"/>
      <c r="CG11" s="403"/>
      <c r="CH11" s="403"/>
      <c r="CI11" s="403"/>
      <c r="CJ11" s="403"/>
      <c r="CK11" s="403"/>
      <c r="CL11" s="403"/>
      <c r="CM11" s="403"/>
      <c r="CN11" s="403"/>
      <c r="CO11" s="403"/>
      <c r="CP11" s="403"/>
      <c r="CQ11" s="403"/>
      <c r="CR11" s="403"/>
      <c r="CS11" s="403"/>
      <c r="CT11" s="403"/>
      <c r="CU11" s="403"/>
      <c r="CV11" s="403"/>
      <c r="CW11" s="403"/>
      <c r="CX11" s="403"/>
      <c r="CY11" s="403"/>
      <c r="CZ11" s="403"/>
      <c r="DA11" s="403"/>
      <c r="DB11" s="403"/>
      <c r="DC11" s="403"/>
      <c r="DD11" s="403"/>
      <c r="DE11" s="403"/>
      <c r="DF11" s="403"/>
      <c r="DG11" s="403"/>
      <c r="DH11" s="403"/>
      <c r="DI11" s="403"/>
      <c r="DJ11" s="403"/>
      <c r="DK11" s="403"/>
      <c r="DL11" s="403"/>
      <c r="DM11" s="403"/>
      <c r="DN11" s="403"/>
      <c r="DO11" s="403"/>
      <c r="DP11" s="403"/>
      <c r="DQ11" s="403"/>
      <c r="DR11" s="403"/>
      <c r="DS11" s="403"/>
      <c r="DT11" s="403"/>
      <c r="DU11" s="403"/>
      <c r="DV11" s="403"/>
      <c r="DW11" s="403"/>
      <c r="DX11" s="403"/>
      <c r="DY11" s="564"/>
      <c r="DZ11" s="564"/>
    </row>
    <row r="12" spans="1:16372" x14ac:dyDescent="0.2">
      <c r="A12" s="354">
        <v>1</v>
      </c>
      <c r="C12" s="5" t="str">
        <f t="shared" ref="C12:C19" ca="1" si="0">IF(OFFSET(T12,0,Lang_Order*Lang__A4)="","",OFFSET(T12,0,Lang_Order*Lang__A4))</f>
        <v>Central-level committees</v>
      </c>
      <c r="D12" s="35">
        <v>2</v>
      </c>
      <c r="F12" s="2" t="str">
        <f ca="1">IF(OFFSET(W12,0,Lang_Order*Lang__A4)="","",OFFSET(W12,0,Lang_Order*Lang__A4))</f>
        <v>Committees</v>
      </c>
      <c r="G12" s="523"/>
      <c r="H12" s="284"/>
      <c r="I12" s="300" t="e">
        <f t="shared" ref="I12:I22" si="1">IF(ISBLANK(H12),G12/USD2LCU,H12)</f>
        <v>#N/A</v>
      </c>
      <c r="J12" s="300" t="e">
        <f t="shared" ref="J12:J22" si="2">D12*I12</f>
        <v>#N/A</v>
      </c>
      <c r="K12" s="152"/>
      <c r="L12" s="299" t="s">
        <v>2847</v>
      </c>
      <c r="O12" s="12" t="str">
        <f t="shared" ref="M12:O19" ca="1" si="3">IF(OFFSET(AF12,0,Lang_Order*Lang__A4)="","",OFFSET(AF12,0,Lang_Order*Lang__A4))</f>
        <v>National Coordination Committee, National Technical Working Group (NTWG)</v>
      </c>
      <c r="P12" s="587"/>
      <c r="T12" s="403" t="s">
        <v>2183</v>
      </c>
      <c r="W12" s="403" t="s">
        <v>2184</v>
      </c>
      <c r="AF12" s="403" t="s">
        <v>3849</v>
      </c>
      <c r="AJ12" s="403" t="s">
        <v>8673</v>
      </c>
      <c r="AM12" s="403" t="s">
        <v>8674</v>
      </c>
      <c r="AV12" s="403" t="s">
        <v>8675</v>
      </c>
      <c r="AZ12" s="403" t="s">
        <v>8676</v>
      </c>
      <c r="BC12" s="403" t="s">
        <v>8677</v>
      </c>
      <c r="BL12" s="403" t="s">
        <v>8678</v>
      </c>
      <c r="BP12" s="403" t="s">
        <v>8679</v>
      </c>
      <c r="BS12" s="403" t="s">
        <v>8674</v>
      </c>
      <c r="CB12" s="403" t="s">
        <v>8680</v>
      </c>
      <c r="CF12" s="403" t="s">
        <v>8681</v>
      </c>
      <c r="CI12" s="403" t="s">
        <v>8674</v>
      </c>
      <c r="CR12" s="403" t="s">
        <v>8682</v>
      </c>
      <c r="CV12" s="403" t="s">
        <v>8683</v>
      </c>
      <c r="CY12" s="403" t="s">
        <v>8684</v>
      </c>
      <c r="DH12" s="403" t="s">
        <v>8685</v>
      </c>
      <c r="DL12" s="403" t="s">
        <v>8686</v>
      </c>
      <c r="DO12" s="403" t="s">
        <v>8687</v>
      </c>
      <c r="DX12" s="403" t="s">
        <v>8688</v>
      </c>
    </row>
    <row r="13" spans="1:16372" x14ac:dyDescent="0.2">
      <c r="A13" s="354">
        <v>1</v>
      </c>
      <c r="C13" s="5" t="str">
        <f t="shared" ca="1" si="0"/>
        <v>Central-level sub-committees</v>
      </c>
      <c r="D13" s="35">
        <v>6</v>
      </c>
      <c r="F13" s="2" t="str">
        <f ca="1">IF(OFFSET(W13,0,Lang_Order*Lang__A4)="","",OFFSET(W13,0,Lang_Order*Lang__A4))</f>
        <v>Committees</v>
      </c>
      <c r="G13" s="523"/>
      <c r="H13" s="401"/>
      <c r="I13" s="300" t="e">
        <f t="shared" si="1"/>
        <v>#N/A</v>
      </c>
      <c r="J13" s="300" t="e">
        <f t="shared" si="2"/>
        <v>#N/A</v>
      </c>
      <c r="K13" s="152"/>
      <c r="L13" s="299" t="s">
        <v>2916</v>
      </c>
      <c r="O13" s="12" t="str">
        <f t="shared" ca="1" si="3"/>
        <v>6 sub-committees described</v>
      </c>
      <c r="P13" s="587"/>
      <c r="T13" s="403" t="s">
        <v>2185</v>
      </c>
      <c r="W13" s="403" t="s">
        <v>2184</v>
      </c>
      <c r="AF13" s="403" t="s">
        <v>3850</v>
      </c>
      <c r="AJ13" s="403" t="s">
        <v>8689</v>
      </c>
      <c r="AM13" s="403" t="s">
        <v>8674</v>
      </c>
      <c r="AV13" s="403" t="s">
        <v>8690</v>
      </c>
      <c r="AZ13" s="403" t="s">
        <v>8691</v>
      </c>
      <c r="BC13" s="403" t="s">
        <v>8677</v>
      </c>
      <c r="BL13" s="403" t="s">
        <v>8692</v>
      </c>
      <c r="BP13" s="403" t="s">
        <v>8693</v>
      </c>
      <c r="BS13" s="403" t="s">
        <v>8674</v>
      </c>
      <c r="CB13" s="403" t="s">
        <v>8694</v>
      </c>
      <c r="CF13" s="403" t="s">
        <v>8695</v>
      </c>
      <c r="CI13" s="403" t="s">
        <v>8674</v>
      </c>
      <c r="CR13" s="403" t="s">
        <v>8696</v>
      </c>
      <c r="CV13" s="403" t="s">
        <v>8697</v>
      </c>
      <c r="CY13" s="403" t="s">
        <v>8684</v>
      </c>
      <c r="DH13" s="403" t="s">
        <v>8698</v>
      </c>
      <c r="DL13" s="403" t="s">
        <v>8699</v>
      </c>
      <c r="DO13" s="403" t="s">
        <v>8687</v>
      </c>
      <c r="DX13" s="403" t="s">
        <v>8700</v>
      </c>
    </row>
    <row r="14" spans="1:16372" x14ac:dyDescent="0.2">
      <c r="A14" s="354">
        <v>1</v>
      </c>
      <c r="C14" s="5" t="str">
        <f t="shared" ca="1" si="0"/>
        <v>Central-level workshops / stakeholder engagement / training</v>
      </c>
      <c r="D14" s="35">
        <v>5</v>
      </c>
      <c r="F14" s="2" t="str">
        <f ca="1">IF(OFFSET(W14,0,Lang_Order*Lang__A4)="","",OFFSET(W14,0,Lang_Order*Lang__A4))</f>
        <v>Workshops</v>
      </c>
      <c r="G14" s="523"/>
      <c r="H14" s="401"/>
      <c r="I14" s="300" t="e">
        <f t="shared" si="1"/>
        <v>#N/A</v>
      </c>
      <c r="J14" s="300" t="e">
        <f t="shared" si="2"/>
        <v>#N/A</v>
      </c>
      <c r="K14" s="152"/>
      <c r="L14" s="299" t="s">
        <v>3852</v>
      </c>
      <c r="O14" s="574"/>
      <c r="P14" s="587"/>
      <c r="T14" s="403" t="s">
        <v>2856</v>
      </c>
      <c r="W14" s="403" t="s">
        <v>2182</v>
      </c>
      <c r="AJ14" s="403" t="s">
        <v>8701</v>
      </c>
      <c r="AM14" s="403" t="s">
        <v>8702</v>
      </c>
      <c r="AZ14" s="403" t="s">
        <v>8703</v>
      </c>
      <c r="BC14" s="403" t="s">
        <v>8704</v>
      </c>
      <c r="BP14" s="403" t="s">
        <v>8705</v>
      </c>
      <c r="BS14" s="403" t="s">
        <v>8706</v>
      </c>
      <c r="CF14" s="403" t="s">
        <v>8707</v>
      </c>
      <c r="CI14" s="403" t="s">
        <v>2182</v>
      </c>
      <c r="CV14" s="403" t="s">
        <v>8708</v>
      </c>
      <c r="CY14" s="403" t="s">
        <v>8709</v>
      </c>
      <c r="DL14" s="403" t="s">
        <v>8710</v>
      </c>
      <c r="DO14" s="403" t="s">
        <v>8711</v>
      </c>
    </row>
    <row r="15" spans="1:16372" s="299" customFormat="1" x14ac:dyDescent="0.2">
      <c r="A15" s="354">
        <v>1</v>
      </c>
      <c r="B15" s="34"/>
      <c r="C15" s="370" t="str">
        <f t="shared" ca="1" si="0"/>
        <v>TA: Vaccine procurement approach, incl. costs, due diligence, procurement, monitoring</v>
      </c>
      <c r="D15" s="2">
        <v>1</v>
      </c>
      <c r="F15" s="2"/>
      <c r="G15" s="523"/>
      <c r="H15" s="401"/>
      <c r="I15" s="300" t="e">
        <f t="shared" si="1"/>
        <v>#N/A</v>
      </c>
      <c r="J15" s="300" t="e">
        <f t="shared" si="2"/>
        <v>#N/A</v>
      </c>
      <c r="K15" s="152"/>
      <c r="L15" s="299" t="s">
        <v>3136</v>
      </c>
      <c r="M15" s="571" t="str">
        <f t="shared" ca="1" si="3"/>
        <v>More info on vaccine doses, ancilliary supplies, PPE @ B2</v>
      </c>
      <c r="O15" s="574"/>
      <c r="P15" s="587"/>
      <c r="Q15" s="403"/>
      <c r="R15" s="403"/>
      <c r="S15" s="403"/>
      <c r="T15" s="403" t="s">
        <v>3854</v>
      </c>
      <c r="U15" s="403"/>
      <c r="V15" s="403"/>
      <c r="W15" s="403"/>
      <c r="X15" s="403"/>
      <c r="Y15" s="403"/>
      <c r="Z15" s="403"/>
      <c r="AA15" s="403"/>
      <c r="AB15" s="403"/>
      <c r="AC15" s="403"/>
      <c r="AD15" s="403" t="s">
        <v>13696</v>
      </c>
      <c r="AE15" s="403"/>
      <c r="AF15" s="403"/>
      <c r="AG15" s="403"/>
      <c r="AH15" s="403"/>
      <c r="AI15" s="403"/>
      <c r="AJ15" s="403" t="s">
        <v>8712</v>
      </c>
      <c r="AK15" s="403"/>
      <c r="AL15" s="403"/>
      <c r="AM15" s="403"/>
      <c r="AN15" s="403"/>
      <c r="AO15" s="403"/>
      <c r="AP15" s="403"/>
      <c r="AQ15" s="403"/>
      <c r="AR15" s="403"/>
      <c r="AS15" s="403"/>
      <c r="AT15" s="403" t="s">
        <v>13697</v>
      </c>
      <c r="AU15" s="403"/>
      <c r="AV15" s="403"/>
      <c r="AW15" s="403"/>
      <c r="AX15" s="403"/>
      <c r="AY15" s="403"/>
      <c r="AZ15" s="403" t="s">
        <v>8713</v>
      </c>
      <c r="BA15" s="403"/>
      <c r="BB15" s="403"/>
      <c r="BC15" s="403"/>
      <c r="BD15" s="403"/>
      <c r="BE15" s="403"/>
      <c r="BF15" s="403"/>
      <c r="BG15" s="403"/>
      <c r="BH15" s="403"/>
      <c r="BI15" s="403"/>
      <c r="BJ15" s="403" t="s">
        <v>13700</v>
      </c>
      <c r="BK15" s="403"/>
      <c r="BL15" s="403"/>
      <c r="BM15" s="403"/>
      <c r="BN15" s="403"/>
      <c r="BO15" s="403"/>
      <c r="BP15" s="403" t="s">
        <v>8714</v>
      </c>
      <c r="BQ15" s="403"/>
      <c r="BR15" s="403"/>
      <c r="BS15" s="403"/>
      <c r="BT15" s="403"/>
      <c r="BU15" s="403"/>
      <c r="BV15" s="403"/>
      <c r="BW15" s="403"/>
      <c r="BX15" s="403"/>
      <c r="BY15" s="403"/>
      <c r="BZ15" s="403" t="s">
        <v>13702</v>
      </c>
      <c r="CA15" s="403"/>
      <c r="CB15" s="403"/>
      <c r="CC15" s="403"/>
      <c r="CD15" s="403"/>
      <c r="CE15" s="403"/>
      <c r="CF15" s="403" t="s">
        <v>8715</v>
      </c>
      <c r="CG15" s="403"/>
      <c r="CH15" s="403"/>
      <c r="CI15" s="403"/>
      <c r="CJ15" s="403"/>
      <c r="CK15" s="403"/>
      <c r="CL15" s="403"/>
      <c r="CM15" s="403"/>
      <c r="CN15" s="403"/>
      <c r="CO15" s="403"/>
      <c r="CP15" s="403" t="s">
        <v>13704</v>
      </c>
      <c r="CQ15" s="403"/>
      <c r="CR15" s="403"/>
      <c r="CS15" s="403"/>
      <c r="CT15" s="403"/>
      <c r="CU15" s="403"/>
      <c r="CV15" s="403" t="s">
        <v>8716</v>
      </c>
      <c r="CW15" s="403"/>
      <c r="CX15" s="403"/>
      <c r="CY15" s="403"/>
      <c r="CZ15" s="403"/>
      <c r="DA15" s="403"/>
      <c r="DB15" s="403"/>
      <c r="DC15" s="403"/>
      <c r="DD15" s="403"/>
      <c r="DE15" s="403"/>
      <c r="DF15" s="403" t="s">
        <v>13706</v>
      </c>
      <c r="DG15" s="403"/>
      <c r="DH15" s="403"/>
      <c r="DI15" s="403"/>
      <c r="DJ15" s="403"/>
      <c r="DK15" s="403"/>
      <c r="DL15" s="403" t="s">
        <v>8717</v>
      </c>
      <c r="DM15" s="403"/>
      <c r="DN15" s="403"/>
      <c r="DO15" s="403"/>
      <c r="DP15" s="403"/>
      <c r="DQ15" s="403"/>
      <c r="DR15" s="403"/>
      <c r="DS15" s="403"/>
      <c r="DT15" s="403"/>
      <c r="DU15" s="403"/>
      <c r="DV15" s="403" t="s">
        <v>13698</v>
      </c>
      <c r="DW15" s="403"/>
      <c r="DX15" s="403"/>
      <c r="DY15" s="564"/>
      <c r="DZ15" s="564"/>
    </row>
    <row r="16" spans="1:16372" s="299" customFormat="1" x14ac:dyDescent="0.2">
      <c r="A16" s="354">
        <v>1</v>
      </c>
      <c r="B16" s="34"/>
      <c r="C16" s="5" t="str">
        <f t="shared" ca="1" si="0"/>
        <v>TA: Medical waste management planning, protocols, SOPs (combine A6/H6)</v>
      </c>
      <c r="D16" s="2">
        <v>1</v>
      </c>
      <c r="F16" s="2"/>
      <c r="G16" s="523"/>
      <c r="H16" s="401"/>
      <c r="I16" s="300" t="e">
        <f t="shared" si="1"/>
        <v>#N/A</v>
      </c>
      <c r="J16" s="300" t="e">
        <f t="shared" si="2"/>
        <v>#N/A</v>
      </c>
      <c r="K16" s="152"/>
      <c r="L16" s="299" t="s">
        <v>3968</v>
      </c>
      <c r="M16" s="85"/>
      <c r="O16" s="574"/>
      <c r="P16" s="587"/>
      <c r="Q16" s="403"/>
      <c r="R16" s="403"/>
      <c r="S16" s="403"/>
      <c r="T16" s="403" t="s">
        <v>3889</v>
      </c>
      <c r="U16" s="403"/>
      <c r="V16" s="403"/>
      <c r="W16" s="403"/>
      <c r="X16" s="403"/>
      <c r="Y16" s="403"/>
      <c r="Z16" s="403"/>
      <c r="AA16" s="403"/>
      <c r="AB16" s="403"/>
      <c r="AC16" s="403"/>
      <c r="AD16" s="403"/>
      <c r="AE16" s="403"/>
      <c r="AF16" s="403"/>
      <c r="AG16" s="403"/>
      <c r="AH16" s="403"/>
      <c r="AI16" s="403"/>
      <c r="AJ16" s="403" t="s">
        <v>8718</v>
      </c>
      <c r="AK16" s="403"/>
      <c r="AL16" s="403"/>
      <c r="AM16" s="403"/>
      <c r="AN16" s="403"/>
      <c r="AO16" s="403"/>
      <c r="AP16" s="403"/>
      <c r="AQ16" s="403"/>
      <c r="AR16" s="403"/>
      <c r="AS16" s="403"/>
      <c r="AT16" s="403"/>
      <c r="AU16" s="403"/>
      <c r="AV16" s="403"/>
      <c r="AW16" s="403"/>
      <c r="AX16" s="403"/>
      <c r="AY16" s="403"/>
      <c r="AZ16" s="403" t="s">
        <v>8719</v>
      </c>
      <c r="BA16" s="403"/>
      <c r="BB16" s="403"/>
      <c r="BC16" s="403"/>
      <c r="BD16" s="403"/>
      <c r="BE16" s="403"/>
      <c r="BF16" s="403"/>
      <c r="BG16" s="403"/>
      <c r="BH16" s="403"/>
      <c r="BI16" s="403"/>
      <c r="BJ16" s="403"/>
      <c r="BK16" s="403"/>
      <c r="BL16" s="403"/>
      <c r="BM16" s="403"/>
      <c r="BN16" s="403"/>
      <c r="BO16" s="403"/>
      <c r="BP16" s="403" t="s">
        <v>8720</v>
      </c>
      <c r="BQ16" s="403"/>
      <c r="BR16" s="403"/>
      <c r="BS16" s="403"/>
      <c r="BT16" s="403"/>
      <c r="BU16" s="403"/>
      <c r="BV16" s="403"/>
      <c r="BW16" s="403"/>
      <c r="BX16" s="403"/>
      <c r="BY16" s="403"/>
      <c r="BZ16" s="403"/>
      <c r="CA16" s="403"/>
      <c r="CB16" s="403"/>
      <c r="CC16" s="403"/>
      <c r="CD16" s="403"/>
      <c r="CE16" s="403"/>
      <c r="CF16" s="403" t="s">
        <v>8721</v>
      </c>
      <c r="CG16" s="403"/>
      <c r="CH16" s="403"/>
      <c r="CI16" s="403"/>
      <c r="CJ16" s="403"/>
      <c r="CK16" s="403"/>
      <c r="CL16" s="403"/>
      <c r="CM16" s="403"/>
      <c r="CN16" s="403"/>
      <c r="CO16" s="403"/>
      <c r="CP16" s="403"/>
      <c r="CQ16" s="403"/>
      <c r="CR16" s="403"/>
      <c r="CS16" s="403"/>
      <c r="CT16" s="403"/>
      <c r="CU16" s="403"/>
      <c r="CV16" s="403" t="s">
        <v>8722</v>
      </c>
      <c r="CW16" s="403"/>
      <c r="CX16" s="403"/>
      <c r="CY16" s="403"/>
      <c r="CZ16" s="403"/>
      <c r="DA16" s="403"/>
      <c r="DB16" s="403"/>
      <c r="DC16" s="403"/>
      <c r="DD16" s="403"/>
      <c r="DE16" s="403"/>
      <c r="DF16" s="403"/>
      <c r="DG16" s="403"/>
      <c r="DH16" s="403"/>
      <c r="DI16" s="403"/>
      <c r="DJ16" s="403"/>
      <c r="DK16" s="403"/>
      <c r="DL16" s="403" t="s">
        <v>8723</v>
      </c>
      <c r="DM16" s="403"/>
      <c r="DN16" s="403"/>
      <c r="DO16" s="403"/>
      <c r="DP16" s="403"/>
      <c r="DQ16" s="403"/>
      <c r="DR16" s="403"/>
      <c r="DS16" s="403"/>
      <c r="DT16" s="403"/>
      <c r="DU16" s="403"/>
      <c r="DV16" s="403"/>
      <c r="DW16" s="403"/>
      <c r="DX16" s="403"/>
      <c r="DY16" s="564"/>
      <c r="DZ16" s="564"/>
    </row>
    <row r="17" spans="1:130" s="299" customFormat="1" x14ac:dyDescent="0.2">
      <c r="A17" s="354">
        <v>1</v>
      </c>
      <c r="B17" s="34"/>
      <c r="C17" s="370" t="str">
        <f t="shared" ca="1" si="0"/>
        <v>Procure waste management equipment [incl. capital investments but excluding supplies]</v>
      </c>
      <c r="D17" s="2">
        <v>1</v>
      </c>
      <c r="F17" s="2"/>
      <c r="G17" s="523"/>
      <c r="H17" s="401"/>
      <c r="I17" s="300" t="e">
        <f t="shared" si="1"/>
        <v>#N/A</v>
      </c>
      <c r="J17" s="300" t="e">
        <f t="shared" si="2"/>
        <v>#N/A</v>
      </c>
      <c r="K17" s="152"/>
      <c r="L17" s="299" t="s">
        <v>2848</v>
      </c>
      <c r="M17" s="571" t="str">
        <f t="shared" ca="1" si="3"/>
        <v>More info on waste management supples @ B2</v>
      </c>
      <c r="O17" s="12" t="str">
        <f t="shared" ca="1" si="3"/>
        <v>The actual equpment, not TA. Central, regional, and district-level waste management equipment EXCLUDING safe boxes (which are costed under B2 Vaccines and Supples)</v>
      </c>
      <c r="P17" s="587"/>
      <c r="Q17" s="403"/>
      <c r="R17" s="403"/>
      <c r="S17" s="403"/>
      <c r="T17" s="403" t="s">
        <v>4150</v>
      </c>
      <c r="U17" s="403"/>
      <c r="V17" s="403"/>
      <c r="W17" s="403"/>
      <c r="X17" s="403"/>
      <c r="Y17" s="403"/>
      <c r="Z17" s="403"/>
      <c r="AA17" s="403"/>
      <c r="AB17" s="403"/>
      <c r="AC17" s="403"/>
      <c r="AD17" s="403" t="s">
        <v>4619</v>
      </c>
      <c r="AE17" s="403"/>
      <c r="AF17" s="403" t="s">
        <v>3930</v>
      </c>
      <c r="AG17" s="403"/>
      <c r="AH17" s="403"/>
      <c r="AI17" s="403"/>
      <c r="AJ17" s="403" t="s">
        <v>8724</v>
      </c>
      <c r="AK17" s="403"/>
      <c r="AL17" s="403"/>
      <c r="AM17" s="403"/>
      <c r="AN17" s="403"/>
      <c r="AO17" s="403"/>
      <c r="AP17" s="403"/>
      <c r="AQ17" s="403"/>
      <c r="AR17" s="403"/>
      <c r="AS17" s="403"/>
      <c r="AT17" s="403" t="s">
        <v>13699</v>
      </c>
      <c r="AU17" s="403"/>
      <c r="AV17" s="403" t="s">
        <v>8725</v>
      </c>
      <c r="AW17" s="403"/>
      <c r="AX17" s="403"/>
      <c r="AY17" s="403"/>
      <c r="AZ17" s="403" t="s">
        <v>8726</v>
      </c>
      <c r="BA17" s="403"/>
      <c r="BB17" s="403"/>
      <c r="BC17" s="403"/>
      <c r="BD17" s="403"/>
      <c r="BE17" s="403"/>
      <c r="BF17" s="403"/>
      <c r="BG17" s="403"/>
      <c r="BH17" s="403"/>
      <c r="BI17" s="403"/>
      <c r="BJ17" s="403" t="s">
        <v>13701</v>
      </c>
      <c r="BK17" s="403"/>
      <c r="BL17" s="403" t="s">
        <v>8727</v>
      </c>
      <c r="BM17" s="403"/>
      <c r="BN17" s="403"/>
      <c r="BO17" s="403"/>
      <c r="BP17" s="403" t="s">
        <v>8728</v>
      </c>
      <c r="BQ17" s="403"/>
      <c r="BR17" s="403"/>
      <c r="BS17" s="403"/>
      <c r="BT17" s="403"/>
      <c r="BU17" s="403"/>
      <c r="BV17" s="403"/>
      <c r="BW17" s="403"/>
      <c r="BX17" s="403"/>
      <c r="BY17" s="403"/>
      <c r="BZ17" s="403" t="s">
        <v>13703</v>
      </c>
      <c r="CA17" s="403"/>
      <c r="CB17" s="403" t="s">
        <v>8729</v>
      </c>
      <c r="CC17" s="403"/>
      <c r="CD17" s="403"/>
      <c r="CE17" s="403"/>
      <c r="CF17" s="403" t="s">
        <v>8730</v>
      </c>
      <c r="CG17" s="403"/>
      <c r="CH17" s="403"/>
      <c r="CI17" s="403"/>
      <c r="CJ17" s="403"/>
      <c r="CK17" s="403"/>
      <c r="CL17" s="403"/>
      <c r="CM17" s="403"/>
      <c r="CN17" s="403"/>
      <c r="CO17" s="403"/>
      <c r="CP17" s="403" t="s">
        <v>13705</v>
      </c>
      <c r="CQ17" s="403"/>
      <c r="CR17" s="403" t="s">
        <v>8731</v>
      </c>
      <c r="CS17" s="403"/>
      <c r="CT17" s="403"/>
      <c r="CU17" s="403"/>
      <c r="CV17" s="403" t="s">
        <v>8732</v>
      </c>
      <c r="CW17" s="403"/>
      <c r="CX17" s="403"/>
      <c r="CY17" s="403"/>
      <c r="CZ17" s="403"/>
      <c r="DA17" s="403"/>
      <c r="DB17" s="403"/>
      <c r="DC17" s="403"/>
      <c r="DD17" s="403"/>
      <c r="DE17" s="403"/>
      <c r="DF17" s="403" t="s">
        <v>13707</v>
      </c>
      <c r="DG17" s="403"/>
      <c r="DH17" s="403"/>
      <c r="DI17" s="403"/>
      <c r="DJ17" s="403"/>
      <c r="DK17" s="403"/>
      <c r="DL17" s="403" t="s">
        <v>8733</v>
      </c>
      <c r="DM17" s="403"/>
      <c r="DN17" s="403"/>
      <c r="DO17" s="403"/>
      <c r="DP17" s="403"/>
      <c r="DQ17" s="403"/>
      <c r="DR17" s="403"/>
      <c r="DS17" s="403"/>
      <c r="DT17" s="403"/>
      <c r="DU17" s="403"/>
      <c r="DV17" s="86" t="s">
        <v>13708</v>
      </c>
      <c r="DW17" s="403"/>
      <c r="DX17" s="403" t="s">
        <v>8734</v>
      </c>
      <c r="DY17" s="564"/>
      <c r="DZ17" s="564"/>
    </row>
    <row r="18" spans="1:130" x14ac:dyDescent="0.2">
      <c r="A18" s="354">
        <v>1</v>
      </c>
      <c r="C18" s="5" t="str">
        <f t="shared" ca="1" si="0"/>
        <v>TA: National Deployment and Vaccination Plan (NDVP)</v>
      </c>
      <c r="D18" s="2">
        <v>1</v>
      </c>
      <c r="F18" s="2"/>
      <c r="G18" s="523"/>
      <c r="H18" s="401"/>
      <c r="I18" s="300" t="e">
        <f t="shared" si="1"/>
        <v>#N/A</v>
      </c>
      <c r="J18" s="300" t="e">
        <f t="shared" si="2"/>
        <v>#N/A</v>
      </c>
      <c r="K18" s="152"/>
      <c r="L18" s="299" t="s">
        <v>3851</v>
      </c>
      <c r="O18" s="574"/>
      <c r="P18" s="587"/>
      <c r="T18" s="403" t="s">
        <v>3853</v>
      </c>
      <c r="AJ18" s="403" t="s">
        <v>8735</v>
      </c>
      <c r="AZ18" s="403" t="s">
        <v>8736</v>
      </c>
      <c r="BP18" s="403" t="s">
        <v>8737</v>
      </c>
      <c r="CF18" s="403" t="s">
        <v>8738</v>
      </c>
      <c r="CV18" s="403" t="s">
        <v>8739</v>
      </c>
      <c r="DF18" s="403" t="s">
        <v>8740</v>
      </c>
      <c r="DL18" s="403" t="s">
        <v>8741</v>
      </c>
    </row>
    <row r="19" spans="1:130" x14ac:dyDescent="0.2">
      <c r="A19" s="354">
        <v>1</v>
      </c>
      <c r="C19" s="270" t="str">
        <f t="shared" ca="1" si="0"/>
        <v>Secretariat support (staffing and office expenditures)</v>
      </c>
      <c r="D19" s="2">
        <f>Central_Level_Activities_Duration_Months</f>
        <v>36</v>
      </c>
      <c r="E19" s="194"/>
      <c r="F19" s="2" t="str">
        <f ca="1">IF(OFFSET(W19,0,Lang_Order*Lang__A4)="","",OFFSET(W19,0,Lang_Order*Lang__A4))</f>
        <v>Months</v>
      </c>
      <c r="G19" s="523"/>
      <c r="H19" s="401"/>
      <c r="I19" s="300" t="e">
        <f t="shared" si="1"/>
        <v>#N/A</v>
      </c>
      <c r="J19" s="300" t="e">
        <f t="shared" si="2"/>
        <v>#N/A</v>
      </c>
      <c r="K19" s="152"/>
      <c r="L19" s="68" t="s">
        <v>3241</v>
      </c>
      <c r="M19" s="68"/>
      <c r="N19" s="68"/>
      <c r="O19" s="12" t="str">
        <f t="shared" ca="1" si="3"/>
        <v>Unit price per staff per month (incl. office expenses associated with the staff)</v>
      </c>
      <c r="P19" s="587"/>
      <c r="T19" s="403" t="s">
        <v>2186</v>
      </c>
      <c r="W19" s="403" t="s">
        <v>14</v>
      </c>
      <c r="AF19" s="403" t="s">
        <v>2892</v>
      </c>
      <c r="AJ19" s="403" t="s">
        <v>8742</v>
      </c>
      <c r="AM19" s="403" t="s">
        <v>5675</v>
      </c>
      <c r="AV19" s="403" t="s">
        <v>8743</v>
      </c>
      <c r="AZ19" s="403" t="s">
        <v>8744</v>
      </c>
      <c r="BC19" s="403" t="s">
        <v>5685</v>
      </c>
      <c r="BL19" s="403" t="s">
        <v>8745</v>
      </c>
      <c r="BP19" s="403" t="s">
        <v>8746</v>
      </c>
      <c r="BS19" s="403" t="s">
        <v>5694</v>
      </c>
      <c r="CB19" s="403" t="s">
        <v>8747</v>
      </c>
      <c r="CF19" s="403" t="s">
        <v>8748</v>
      </c>
      <c r="CI19" s="403" t="s">
        <v>5694</v>
      </c>
      <c r="CR19" s="403" t="s">
        <v>8749</v>
      </c>
      <c r="CV19" s="403" t="s">
        <v>8750</v>
      </c>
      <c r="CY19" s="403" t="s">
        <v>8670</v>
      </c>
      <c r="DL19" s="403" t="s">
        <v>8751</v>
      </c>
      <c r="DO19" s="403" t="s">
        <v>8672</v>
      </c>
      <c r="DX19" s="403" t="s">
        <v>8752</v>
      </c>
    </row>
    <row r="20" spans="1:130" s="194" customFormat="1" x14ac:dyDescent="0.2">
      <c r="A20" s="350">
        <v>2</v>
      </c>
      <c r="B20" s="230"/>
      <c r="C20" s="374" t="s">
        <v>2974</v>
      </c>
      <c r="D20" s="35">
        <v>1</v>
      </c>
      <c r="F20" s="2"/>
      <c r="G20" s="523"/>
      <c r="H20" s="401"/>
      <c r="I20" s="300" t="e">
        <f t="shared" si="1"/>
        <v>#N/A</v>
      </c>
      <c r="J20" s="300" t="e">
        <f t="shared" si="2"/>
        <v>#N/A</v>
      </c>
      <c r="K20" s="152"/>
      <c r="L20" s="299"/>
      <c r="M20" s="299"/>
      <c r="N20" s="299"/>
      <c r="O20" s="574"/>
      <c r="P20" s="587"/>
      <c r="Q20" s="403"/>
      <c r="R20" s="403"/>
      <c r="S20" s="403"/>
      <c r="T20" s="403" t="s">
        <v>2974</v>
      </c>
      <c r="U20" s="403"/>
      <c r="V20" s="403"/>
      <c r="W20" s="403"/>
      <c r="X20" s="403"/>
      <c r="Y20" s="403"/>
      <c r="Z20" s="403"/>
      <c r="AA20" s="403"/>
      <c r="AB20" s="403"/>
      <c r="AC20" s="403"/>
      <c r="AD20" s="403"/>
      <c r="AE20" s="403"/>
      <c r="AF20" s="403"/>
      <c r="AG20" s="403"/>
      <c r="AH20" s="403"/>
      <c r="AI20" s="403"/>
      <c r="AJ20" s="403" t="s">
        <v>8753</v>
      </c>
      <c r="AK20" s="403"/>
      <c r="AL20" s="403"/>
      <c r="AM20" s="403"/>
      <c r="AN20" s="403"/>
      <c r="AO20" s="403"/>
      <c r="AP20" s="403"/>
      <c r="AQ20" s="403"/>
      <c r="AR20" s="403"/>
      <c r="AS20" s="403"/>
      <c r="AT20" s="403"/>
      <c r="AU20" s="403"/>
      <c r="AV20" s="403"/>
      <c r="AW20" s="403"/>
      <c r="AX20" s="403"/>
      <c r="AY20" s="403"/>
      <c r="AZ20" s="403" t="s">
        <v>8754</v>
      </c>
      <c r="BA20" s="403"/>
      <c r="BB20" s="403"/>
      <c r="BC20" s="403"/>
      <c r="BD20" s="403"/>
      <c r="BE20" s="403"/>
      <c r="BF20" s="403"/>
      <c r="BG20" s="403"/>
      <c r="BH20" s="403"/>
      <c r="BI20" s="403"/>
      <c r="BJ20" s="403"/>
      <c r="BK20" s="403"/>
      <c r="BL20" s="403"/>
      <c r="BM20" s="403"/>
      <c r="BN20" s="403"/>
      <c r="BO20" s="403"/>
      <c r="BP20" s="403" t="s">
        <v>8755</v>
      </c>
      <c r="BQ20" s="403"/>
      <c r="BR20" s="403"/>
      <c r="BS20" s="403"/>
      <c r="BT20" s="403"/>
      <c r="BU20" s="403"/>
      <c r="BV20" s="403"/>
      <c r="BW20" s="403"/>
      <c r="BX20" s="403"/>
      <c r="BY20" s="403"/>
      <c r="BZ20" s="403"/>
      <c r="CA20" s="403"/>
      <c r="CB20" s="403"/>
      <c r="CC20" s="403"/>
      <c r="CD20" s="403"/>
      <c r="CE20" s="403"/>
      <c r="CF20" s="403" t="s">
        <v>8756</v>
      </c>
      <c r="CG20" s="403"/>
      <c r="CH20" s="403"/>
      <c r="CI20" s="403"/>
      <c r="CJ20" s="403"/>
      <c r="CK20" s="403"/>
      <c r="CL20" s="403"/>
      <c r="CM20" s="403"/>
      <c r="CN20" s="403"/>
      <c r="CO20" s="403"/>
      <c r="CP20" s="403"/>
      <c r="CQ20" s="403"/>
      <c r="CR20" s="403"/>
      <c r="CS20" s="403"/>
      <c r="CT20" s="403"/>
      <c r="CU20" s="403"/>
      <c r="CV20" s="403" t="s">
        <v>8757</v>
      </c>
      <c r="CW20" s="403"/>
      <c r="CX20" s="403"/>
      <c r="CY20" s="403"/>
      <c r="CZ20" s="403"/>
      <c r="DA20" s="403"/>
      <c r="DB20" s="403"/>
      <c r="DC20" s="403"/>
      <c r="DD20" s="403"/>
      <c r="DE20" s="403"/>
      <c r="DF20" s="403"/>
      <c r="DG20" s="403"/>
      <c r="DH20" s="403"/>
      <c r="DI20" s="403"/>
      <c r="DJ20" s="403"/>
      <c r="DK20" s="403"/>
      <c r="DL20" s="403" t="s">
        <v>8758</v>
      </c>
      <c r="DM20" s="403"/>
      <c r="DN20" s="403"/>
      <c r="DO20" s="403"/>
      <c r="DP20" s="403"/>
      <c r="DQ20" s="403"/>
      <c r="DR20" s="403"/>
      <c r="DS20" s="403"/>
      <c r="DT20" s="403"/>
      <c r="DU20" s="403"/>
      <c r="DV20" s="403"/>
      <c r="DW20" s="403"/>
      <c r="DX20" s="403"/>
      <c r="DY20" s="564"/>
      <c r="DZ20" s="564"/>
    </row>
    <row r="21" spans="1:130" s="194" customFormat="1" x14ac:dyDescent="0.2">
      <c r="A21" s="350">
        <v>2</v>
      </c>
      <c r="B21" s="230"/>
      <c r="C21" s="374"/>
      <c r="D21" s="35">
        <v>1</v>
      </c>
      <c r="F21" s="2"/>
      <c r="G21" s="523"/>
      <c r="H21" s="401"/>
      <c r="I21" s="300" t="e">
        <f t="shared" si="1"/>
        <v>#N/A</v>
      </c>
      <c r="J21" s="300" t="e">
        <f t="shared" si="2"/>
        <v>#N/A</v>
      </c>
      <c r="K21" s="152"/>
      <c r="L21" s="299"/>
      <c r="M21" s="299"/>
      <c r="N21" s="299"/>
      <c r="O21" s="574"/>
      <c r="P21" s="587"/>
      <c r="Q21" s="403"/>
      <c r="R21" s="403"/>
      <c r="S21" s="403"/>
      <c r="T21" s="403"/>
      <c r="U21" s="403"/>
      <c r="V21" s="403"/>
      <c r="W21" s="403"/>
      <c r="X21" s="403"/>
      <c r="Y21" s="403"/>
      <c r="Z21" s="403"/>
      <c r="AA21" s="403"/>
      <c r="AB21" s="403"/>
      <c r="AC21" s="403"/>
      <c r="AD21" s="403"/>
      <c r="AE21" s="403"/>
      <c r="AF21" s="403"/>
      <c r="AG21" s="403"/>
      <c r="AH21" s="403"/>
      <c r="AI21" s="403"/>
      <c r="AJ21" s="403"/>
      <c r="AK21" s="403"/>
      <c r="AL21" s="403"/>
      <c r="AM21" s="403"/>
      <c r="AN21" s="403"/>
      <c r="AO21" s="403"/>
      <c r="AP21" s="403"/>
      <c r="AQ21" s="403"/>
      <c r="AR21" s="403"/>
      <c r="AS21" s="403"/>
      <c r="AT21" s="403"/>
      <c r="AU21" s="403"/>
      <c r="AV21" s="403"/>
      <c r="AW21" s="403"/>
      <c r="AX21" s="403"/>
      <c r="AY21" s="403"/>
      <c r="AZ21" s="403"/>
      <c r="BA21" s="403"/>
      <c r="BB21" s="403"/>
      <c r="BC21" s="403"/>
      <c r="BD21" s="403"/>
      <c r="BE21" s="403"/>
      <c r="BF21" s="403"/>
      <c r="BG21" s="403"/>
      <c r="BH21" s="403"/>
      <c r="BI21" s="403"/>
      <c r="BJ21" s="403"/>
      <c r="BK21" s="403"/>
      <c r="BL21" s="403"/>
      <c r="BM21" s="403"/>
      <c r="BN21" s="403"/>
      <c r="BO21" s="403"/>
      <c r="BP21" s="403"/>
      <c r="BQ21" s="403"/>
      <c r="BR21" s="403"/>
      <c r="BS21" s="403"/>
      <c r="BT21" s="403"/>
      <c r="BU21" s="403"/>
      <c r="BV21" s="403"/>
      <c r="BW21" s="403"/>
      <c r="BX21" s="403"/>
      <c r="BY21" s="403"/>
      <c r="BZ21" s="403"/>
      <c r="CA21" s="403"/>
      <c r="CB21" s="403"/>
      <c r="CC21" s="403"/>
      <c r="CD21" s="403"/>
      <c r="CE21" s="403"/>
      <c r="CF21" s="403"/>
      <c r="CG21" s="403"/>
      <c r="CH21" s="403"/>
      <c r="CI21" s="403"/>
      <c r="CJ21" s="403"/>
      <c r="CK21" s="403"/>
      <c r="CL21" s="403"/>
      <c r="CM21" s="403"/>
      <c r="CN21" s="403"/>
      <c r="CO21" s="403"/>
      <c r="CP21" s="403"/>
      <c r="CQ21" s="403"/>
      <c r="CR21" s="403"/>
      <c r="CS21" s="403"/>
      <c r="CT21" s="403"/>
      <c r="CU21" s="403"/>
      <c r="CV21" s="403"/>
      <c r="CW21" s="403"/>
      <c r="CX21" s="403"/>
      <c r="CY21" s="403"/>
      <c r="CZ21" s="403"/>
      <c r="DA21" s="403"/>
      <c r="DB21" s="403"/>
      <c r="DC21" s="403"/>
      <c r="DD21" s="403"/>
      <c r="DE21" s="403"/>
      <c r="DF21" s="403"/>
      <c r="DG21" s="403"/>
      <c r="DH21" s="403"/>
      <c r="DI21" s="403"/>
      <c r="DJ21" s="403"/>
      <c r="DK21" s="403"/>
      <c r="DL21" s="403"/>
      <c r="DM21" s="403"/>
      <c r="DN21" s="403"/>
      <c r="DO21" s="403"/>
      <c r="DP21" s="403"/>
      <c r="DQ21" s="403"/>
      <c r="DR21" s="403"/>
      <c r="DS21" s="403"/>
      <c r="DT21" s="403"/>
      <c r="DU21" s="403"/>
      <c r="DV21" s="403"/>
      <c r="DW21" s="403"/>
      <c r="DX21" s="403"/>
      <c r="DY21" s="564"/>
      <c r="DZ21" s="564"/>
    </row>
    <row r="22" spans="1:130" s="194" customFormat="1" x14ac:dyDescent="0.2">
      <c r="A22" s="350">
        <v>2</v>
      </c>
      <c r="B22" s="230"/>
      <c r="C22" s="374"/>
      <c r="D22" s="35">
        <v>1</v>
      </c>
      <c r="F22" s="2"/>
      <c r="G22" s="32"/>
      <c r="H22" s="401"/>
      <c r="I22" s="300" t="e">
        <f t="shared" si="1"/>
        <v>#N/A</v>
      </c>
      <c r="J22" s="300" t="e">
        <f t="shared" si="2"/>
        <v>#N/A</v>
      </c>
      <c r="K22" s="152"/>
      <c r="L22" s="299"/>
      <c r="M22" s="299"/>
      <c r="N22" s="299"/>
      <c r="O22" s="574"/>
      <c r="P22" s="587"/>
      <c r="Q22" s="403"/>
      <c r="R22" s="403"/>
      <c r="S22" s="403"/>
      <c r="T22" s="403"/>
      <c r="U22" s="403"/>
      <c r="V22" s="403"/>
      <c r="W22" s="403"/>
      <c r="X22" s="403"/>
      <c r="Y22" s="403"/>
      <c r="Z22" s="403"/>
      <c r="AA22" s="403"/>
      <c r="AB22" s="403"/>
      <c r="AC22" s="403"/>
      <c r="AD22" s="403"/>
      <c r="AE22" s="403"/>
      <c r="AF22" s="403"/>
      <c r="AG22" s="403"/>
      <c r="AH22" s="403"/>
      <c r="AI22" s="403"/>
      <c r="AJ22" s="403"/>
      <c r="AK22" s="403"/>
      <c r="AL22" s="403"/>
      <c r="AM22" s="403"/>
      <c r="AN22" s="403"/>
      <c r="AO22" s="403"/>
      <c r="AP22" s="403"/>
      <c r="AQ22" s="403"/>
      <c r="AR22" s="403"/>
      <c r="AS22" s="403"/>
      <c r="AT22" s="403"/>
      <c r="AU22" s="403"/>
      <c r="AV22" s="403"/>
      <c r="AW22" s="403"/>
      <c r="AX22" s="403"/>
      <c r="AY22" s="403"/>
      <c r="AZ22" s="403"/>
      <c r="BA22" s="403"/>
      <c r="BB22" s="403"/>
      <c r="BC22" s="403"/>
      <c r="BD22" s="403"/>
      <c r="BE22" s="403"/>
      <c r="BF22" s="403"/>
      <c r="BG22" s="403"/>
      <c r="BH22" s="403"/>
      <c r="BI22" s="403"/>
      <c r="BJ22" s="403"/>
      <c r="BK22" s="403"/>
      <c r="BL22" s="403"/>
      <c r="BM22" s="403"/>
      <c r="BN22" s="403"/>
      <c r="BO22" s="403"/>
      <c r="BP22" s="403"/>
      <c r="BQ22" s="403"/>
      <c r="BR22" s="403"/>
      <c r="BS22" s="403"/>
      <c r="BT22" s="403"/>
      <c r="BU22" s="403"/>
      <c r="BV22" s="403"/>
      <c r="BW22" s="403"/>
      <c r="BX22" s="403"/>
      <c r="BY22" s="403"/>
      <c r="BZ22" s="403"/>
      <c r="CA22" s="403"/>
      <c r="CB22" s="403"/>
      <c r="CC22" s="403"/>
      <c r="CD22" s="403"/>
      <c r="CE22" s="403"/>
      <c r="CF22" s="403"/>
      <c r="CG22" s="403"/>
      <c r="CH22" s="403"/>
      <c r="CI22" s="403"/>
      <c r="CJ22" s="403"/>
      <c r="CK22" s="403"/>
      <c r="CL22" s="403"/>
      <c r="CM22" s="403"/>
      <c r="CN22" s="403"/>
      <c r="CO22" s="403"/>
      <c r="CP22" s="403"/>
      <c r="CQ22" s="403"/>
      <c r="CR22" s="403"/>
      <c r="CS22" s="403"/>
      <c r="CT22" s="403"/>
      <c r="CU22" s="403"/>
      <c r="CV22" s="403"/>
      <c r="CW22" s="403"/>
      <c r="CX22" s="403"/>
      <c r="CY22" s="403"/>
      <c r="CZ22" s="403"/>
      <c r="DA22" s="403"/>
      <c r="DB22" s="403"/>
      <c r="DC22" s="403"/>
      <c r="DD22" s="403"/>
      <c r="DE22" s="403"/>
      <c r="DF22" s="403"/>
      <c r="DG22" s="403"/>
      <c r="DH22" s="403"/>
      <c r="DI22" s="403"/>
      <c r="DJ22" s="403"/>
      <c r="DK22" s="403"/>
      <c r="DL22" s="403"/>
      <c r="DM22" s="403"/>
      <c r="DN22" s="403"/>
      <c r="DO22" s="403"/>
      <c r="DP22" s="403"/>
      <c r="DQ22" s="403"/>
      <c r="DR22" s="403"/>
      <c r="DS22" s="403"/>
      <c r="DT22" s="403"/>
      <c r="DU22" s="403"/>
      <c r="DV22" s="403"/>
      <c r="DW22" s="403"/>
      <c r="DX22" s="403"/>
      <c r="DY22" s="564"/>
      <c r="DZ22" s="564"/>
    </row>
    <row r="23" spans="1:130" x14ac:dyDescent="0.2">
      <c r="K23" s="34"/>
    </row>
    <row r="24" spans="1:130" s="194" customFormat="1" ht="15" x14ac:dyDescent="0.25">
      <c r="B24" s="8" t="str">
        <f ca="1">IF(OFFSET(S24,0,Lang_Order*Lang__A4)="","",OFFSET(S24,0,Lang_Order*Lang__A4))</f>
        <v>A4.1.02 Budgeting</v>
      </c>
      <c r="C24" s="19"/>
      <c r="D24" s="8"/>
      <c r="E24" s="8"/>
      <c r="F24" s="8"/>
      <c r="G24" s="408" t="str">
        <f>CONCATENATE(Lang_LCU,": ",LCU)</f>
        <v xml:space="preserve">LCU: </v>
      </c>
      <c r="H24" s="219" t="str">
        <f ca="1">IF(OFFSET(Y24,0,Lang_Order*Lang__A4)="","",OFFSET(Y24,0,Lang_Order*Lang__A4))</f>
        <v>Override in USD</v>
      </c>
      <c r="I24" s="8"/>
      <c r="J24" s="8"/>
      <c r="K24" s="188" t="e">
        <f>SUM(J26:J29)</f>
        <v>#N/A</v>
      </c>
      <c r="L24" s="8"/>
      <c r="M24" s="8"/>
      <c r="N24" s="8"/>
      <c r="O24" s="8"/>
      <c r="P24" s="8"/>
      <c r="Q24" s="403"/>
      <c r="R24" s="403"/>
      <c r="S24" s="403" t="s">
        <v>14472</v>
      </c>
      <c r="T24" s="403"/>
      <c r="U24" s="403"/>
      <c r="V24" s="403"/>
      <c r="W24" s="403"/>
      <c r="X24" s="403"/>
      <c r="Y24" s="403" t="s">
        <v>2977</v>
      </c>
      <c r="Z24" s="403"/>
      <c r="AA24" s="403"/>
      <c r="AB24" s="403"/>
      <c r="AC24" s="403"/>
      <c r="AD24" s="403"/>
      <c r="AE24" s="403"/>
      <c r="AF24" s="403"/>
      <c r="AG24" s="403"/>
      <c r="AH24" s="403"/>
      <c r="AI24" s="403" t="s">
        <v>14473</v>
      </c>
      <c r="AJ24" s="403"/>
      <c r="AK24" s="403"/>
      <c r="AL24" s="403"/>
      <c r="AM24" s="403"/>
      <c r="AN24" s="403"/>
      <c r="AO24" s="403" t="s">
        <v>7897</v>
      </c>
      <c r="AP24" s="403"/>
      <c r="AQ24" s="403"/>
      <c r="AR24" s="403"/>
      <c r="AS24" s="403"/>
      <c r="AT24" s="403"/>
      <c r="AU24" s="403"/>
      <c r="AV24" s="403"/>
      <c r="AW24" s="403"/>
      <c r="AX24" s="403"/>
      <c r="AY24" s="403" t="s">
        <v>14474</v>
      </c>
      <c r="AZ24" s="403"/>
      <c r="BA24" s="403"/>
      <c r="BB24" s="403"/>
      <c r="BC24" s="403"/>
      <c r="BD24" s="403"/>
      <c r="BE24" s="403" t="s">
        <v>8114</v>
      </c>
      <c r="BF24" s="403"/>
      <c r="BG24" s="403"/>
      <c r="BH24" s="403"/>
      <c r="BI24" s="403"/>
      <c r="BJ24" s="403"/>
      <c r="BK24" s="403"/>
      <c r="BL24" s="403"/>
      <c r="BM24" s="403"/>
      <c r="BN24" s="403"/>
      <c r="BO24" s="403" t="s">
        <v>14475</v>
      </c>
      <c r="BP24" s="403"/>
      <c r="BQ24" s="403"/>
      <c r="BR24" s="403"/>
      <c r="BS24" s="403"/>
      <c r="BT24" s="403"/>
      <c r="BU24" s="403" t="s">
        <v>7903</v>
      </c>
      <c r="BV24" s="403"/>
      <c r="BW24" s="403"/>
      <c r="BX24" s="403"/>
      <c r="BY24" s="403"/>
      <c r="BZ24" s="403"/>
      <c r="CA24" s="403"/>
      <c r="CB24" s="403"/>
      <c r="CC24" s="403"/>
      <c r="CD24" s="403"/>
      <c r="CE24" s="403" t="s">
        <v>14476</v>
      </c>
      <c r="CF24" s="403"/>
      <c r="CG24" s="403"/>
      <c r="CH24" s="403"/>
      <c r="CI24" s="403"/>
      <c r="CJ24" s="403"/>
      <c r="CK24" s="403" t="s">
        <v>7906</v>
      </c>
      <c r="CL24" s="403"/>
      <c r="CM24" s="403"/>
      <c r="CN24" s="403"/>
      <c r="CO24" s="403"/>
      <c r="CP24" s="403"/>
      <c r="CQ24" s="403"/>
      <c r="CR24" s="403"/>
      <c r="CS24" s="403"/>
      <c r="CT24" s="403"/>
      <c r="CU24" s="403" t="s">
        <v>14477</v>
      </c>
      <c r="CV24" s="403"/>
      <c r="CW24" s="403"/>
      <c r="CX24" s="403"/>
      <c r="CY24" s="403"/>
      <c r="CZ24" s="403"/>
      <c r="DA24" s="403" t="s">
        <v>7908</v>
      </c>
      <c r="DB24" s="403"/>
      <c r="DC24" s="403"/>
      <c r="DD24" s="403"/>
      <c r="DE24" s="403"/>
      <c r="DF24" s="403"/>
      <c r="DG24" s="403"/>
      <c r="DH24" s="403"/>
      <c r="DI24" s="403"/>
      <c r="DJ24" s="403"/>
      <c r="DK24" s="403" t="s">
        <v>14478</v>
      </c>
      <c r="DL24" s="403"/>
      <c r="DM24" s="403"/>
      <c r="DN24" s="403"/>
      <c r="DO24" s="403"/>
      <c r="DP24" s="403"/>
      <c r="DQ24" s="403" t="s">
        <v>7911</v>
      </c>
      <c r="DR24" s="403"/>
      <c r="DS24" s="403"/>
      <c r="DT24" s="403"/>
      <c r="DU24" s="403"/>
      <c r="DV24" s="403"/>
      <c r="DW24" s="403"/>
      <c r="DX24" s="403"/>
      <c r="DY24" s="564"/>
      <c r="DZ24" s="564"/>
    </row>
    <row r="25" spans="1:130" s="185" customFormat="1" x14ac:dyDescent="0.2">
      <c r="C25" s="299"/>
      <c r="O25" s="574"/>
      <c r="P25" s="574"/>
      <c r="Q25" s="403"/>
      <c r="R25" s="403"/>
      <c r="S25" s="403"/>
      <c r="T25" s="403"/>
      <c r="U25" s="403"/>
      <c r="V25" s="403"/>
      <c r="W25" s="403"/>
      <c r="X25" s="403"/>
      <c r="Y25" s="403"/>
      <c r="Z25" s="403"/>
      <c r="AA25" s="403"/>
      <c r="AB25" s="403"/>
      <c r="AC25" s="403"/>
      <c r="AD25" s="403"/>
      <c r="AE25" s="403"/>
      <c r="AF25" s="403"/>
      <c r="AG25" s="403"/>
      <c r="AH25" s="403"/>
      <c r="AI25" s="403"/>
      <c r="AJ25" s="403"/>
      <c r="AK25" s="403"/>
      <c r="AL25" s="403"/>
      <c r="AM25" s="403"/>
      <c r="AN25" s="403"/>
      <c r="AO25" s="403"/>
      <c r="AP25" s="403"/>
      <c r="AQ25" s="403"/>
      <c r="AR25" s="403"/>
      <c r="AS25" s="403"/>
      <c r="AT25" s="403"/>
      <c r="AU25" s="403"/>
      <c r="AV25" s="403"/>
      <c r="AW25" s="403"/>
      <c r="AX25" s="403"/>
      <c r="AY25" s="403"/>
      <c r="AZ25" s="403"/>
      <c r="BA25" s="403"/>
      <c r="BB25" s="403"/>
      <c r="BC25" s="403"/>
      <c r="BD25" s="403"/>
      <c r="BE25" s="403"/>
      <c r="BF25" s="403"/>
      <c r="BG25" s="403"/>
      <c r="BH25" s="403"/>
      <c r="BI25" s="403"/>
      <c r="BJ25" s="403"/>
      <c r="BK25" s="403"/>
      <c r="BL25" s="403"/>
      <c r="BM25" s="403"/>
      <c r="BN25" s="403"/>
      <c r="BO25" s="403"/>
      <c r="BP25" s="403"/>
      <c r="BQ25" s="403"/>
      <c r="BR25" s="403"/>
      <c r="BS25" s="403"/>
      <c r="BT25" s="403"/>
      <c r="BU25" s="403"/>
      <c r="BV25" s="403"/>
      <c r="BW25" s="403"/>
      <c r="BX25" s="403"/>
      <c r="BY25" s="403"/>
      <c r="BZ25" s="403"/>
      <c r="CA25" s="403"/>
      <c r="CB25" s="403"/>
      <c r="CC25" s="403"/>
      <c r="CD25" s="403"/>
      <c r="CE25" s="403"/>
      <c r="CF25" s="403"/>
      <c r="CG25" s="403"/>
      <c r="CH25" s="403"/>
      <c r="CI25" s="403"/>
      <c r="CJ25" s="403"/>
      <c r="CK25" s="403"/>
      <c r="CL25" s="403"/>
      <c r="CM25" s="403"/>
      <c r="CN25" s="403"/>
      <c r="CO25" s="403"/>
      <c r="CP25" s="403"/>
      <c r="CQ25" s="403"/>
      <c r="CR25" s="403"/>
      <c r="CS25" s="403"/>
      <c r="CT25" s="403"/>
      <c r="CU25" s="403"/>
      <c r="CV25" s="403"/>
      <c r="CW25" s="403"/>
      <c r="CX25" s="403"/>
      <c r="CY25" s="403"/>
      <c r="CZ25" s="403"/>
      <c r="DA25" s="403"/>
      <c r="DB25" s="403"/>
      <c r="DC25" s="403"/>
      <c r="DD25" s="403"/>
      <c r="DE25" s="403"/>
      <c r="DF25" s="403"/>
      <c r="DG25" s="403"/>
      <c r="DH25" s="403"/>
      <c r="DI25" s="403"/>
      <c r="DJ25" s="403"/>
      <c r="DK25" s="403"/>
      <c r="DL25" s="403"/>
      <c r="DM25" s="403"/>
      <c r="DN25" s="403"/>
      <c r="DO25" s="403"/>
      <c r="DP25" s="403"/>
      <c r="DQ25" s="403"/>
      <c r="DR25" s="403"/>
      <c r="DS25" s="403"/>
      <c r="DT25" s="403"/>
      <c r="DU25" s="403"/>
      <c r="DV25" s="403"/>
      <c r="DW25" s="403"/>
      <c r="DX25" s="403"/>
      <c r="DY25" s="564"/>
      <c r="DZ25" s="564"/>
    </row>
    <row r="26" spans="1:130" x14ac:dyDescent="0.2">
      <c r="A26" s="354">
        <v>1</v>
      </c>
      <c r="B26" s="230"/>
      <c r="C26" s="5" t="str">
        <f ca="1">IF(OFFSET(T26,0,Lang_Order*Lang__A4)="","",OFFSET(T26,0,Lang_Order*Lang__A4))</f>
        <v>TA: Integrated into government budget planning + PFM</v>
      </c>
      <c r="D26" s="2">
        <v>1</v>
      </c>
      <c r="E26" s="299"/>
      <c r="F26" s="2"/>
      <c r="G26" s="523"/>
      <c r="H26" s="401"/>
      <c r="I26" s="300" t="e">
        <f>IF(ISBLANK(H26),G26/USD2LCU,H26)</f>
        <v>#N/A</v>
      </c>
      <c r="J26" s="300" t="e">
        <f>D26*I26</f>
        <v>#N/A</v>
      </c>
      <c r="K26" s="152"/>
      <c r="L26" s="299" t="s">
        <v>3855</v>
      </c>
      <c r="O26" s="574"/>
      <c r="P26" s="587"/>
      <c r="T26" s="403" t="s">
        <v>3883</v>
      </c>
      <c r="AJ26" s="403" t="s">
        <v>8759</v>
      </c>
      <c r="AZ26" s="403" t="s">
        <v>8760</v>
      </c>
      <c r="BP26" s="403" t="s">
        <v>8761</v>
      </c>
      <c r="CF26" s="403" t="s">
        <v>8762</v>
      </c>
      <c r="CV26" s="403" t="s">
        <v>8763</v>
      </c>
      <c r="DL26" s="403" t="s">
        <v>8764</v>
      </c>
    </row>
    <row r="27" spans="1:130" s="194" customFormat="1" x14ac:dyDescent="0.2">
      <c r="A27" s="350">
        <v>2</v>
      </c>
      <c r="B27" s="230"/>
      <c r="C27" s="374" t="s">
        <v>2974</v>
      </c>
      <c r="D27" s="35">
        <v>1</v>
      </c>
      <c r="E27" s="299"/>
      <c r="F27" s="2"/>
      <c r="G27" s="523"/>
      <c r="H27" s="401"/>
      <c r="I27" s="300" t="e">
        <f>IF(ISBLANK(H27),G27/USD2LCU,H27)</f>
        <v>#N/A</v>
      </c>
      <c r="J27" s="300" t="e">
        <f>D27*I27</f>
        <v>#N/A</v>
      </c>
      <c r="K27" s="152"/>
      <c r="L27" s="299"/>
      <c r="M27" s="299"/>
      <c r="N27" s="299"/>
      <c r="O27" s="574"/>
      <c r="P27" s="587"/>
      <c r="Q27" s="403"/>
      <c r="R27" s="403"/>
      <c r="S27" s="403"/>
      <c r="T27" s="403" t="s">
        <v>2974</v>
      </c>
      <c r="U27" s="403"/>
      <c r="V27" s="403"/>
      <c r="W27" s="403"/>
      <c r="X27" s="403"/>
      <c r="Y27" s="403"/>
      <c r="Z27" s="403"/>
      <c r="AA27" s="403"/>
      <c r="AB27" s="403"/>
      <c r="AC27" s="403"/>
      <c r="AD27" s="403"/>
      <c r="AE27" s="403"/>
      <c r="AF27" s="403"/>
      <c r="AG27" s="403"/>
      <c r="AH27" s="403"/>
      <c r="AI27" s="403"/>
      <c r="AJ27" s="403" t="s">
        <v>8753</v>
      </c>
      <c r="AK27" s="403"/>
      <c r="AL27" s="403"/>
      <c r="AM27" s="403"/>
      <c r="AN27" s="403"/>
      <c r="AO27" s="403"/>
      <c r="AP27" s="403"/>
      <c r="AQ27" s="403"/>
      <c r="AR27" s="403"/>
      <c r="AS27" s="403"/>
      <c r="AT27" s="403"/>
      <c r="AU27" s="403"/>
      <c r="AV27" s="403"/>
      <c r="AW27" s="403"/>
      <c r="AX27" s="403"/>
      <c r="AY27" s="403"/>
      <c r="AZ27" s="403" t="s">
        <v>8754</v>
      </c>
      <c r="BA27" s="403"/>
      <c r="BB27" s="403"/>
      <c r="BC27" s="403"/>
      <c r="BD27" s="403"/>
      <c r="BE27" s="403"/>
      <c r="BF27" s="403"/>
      <c r="BG27" s="403"/>
      <c r="BH27" s="403"/>
      <c r="BI27" s="403"/>
      <c r="BJ27" s="403"/>
      <c r="BK27" s="403"/>
      <c r="BL27" s="403"/>
      <c r="BM27" s="403"/>
      <c r="BN27" s="403"/>
      <c r="BO27" s="403"/>
      <c r="BP27" s="403" t="s">
        <v>8755</v>
      </c>
      <c r="BQ27" s="403"/>
      <c r="BR27" s="403"/>
      <c r="BS27" s="403"/>
      <c r="BT27" s="403"/>
      <c r="BU27" s="403"/>
      <c r="BV27" s="403"/>
      <c r="BW27" s="403"/>
      <c r="BX27" s="403"/>
      <c r="BY27" s="403"/>
      <c r="BZ27" s="403"/>
      <c r="CA27" s="403"/>
      <c r="CB27" s="403"/>
      <c r="CC27" s="403"/>
      <c r="CD27" s="403"/>
      <c r="CE27" s="403"/>
      <c r="CF27" s="403" t="s">
        <v>8756</v>
      </c>
      <c r="CG27" s="403"/>
      <c r="CH27" s="403"/>
      <c r="CI27" s="403"/>
      <c r="CJ27" s="403"/>
      <c r="CK27" s="403"/>
      <c r="CL27" s="403"/>
      <c r="CM27" s="403"/>
      <c r="CN27" s="403"/>
      <c r="CO27" s="403"/>
      <c r="CP27" s="403"/>
      <c r="CQ27" s="403"/>
      <c r="CR27" s="403"/>
      <c r="CS27" s="403"/>
      <c r="CT27" s="403"/>
      <c r="CU27" s="403"/>
      <c r="CV27" s="403" t="s">
        <v>8765</v>
      </c>
      <c r="CW27" s="403"/>
      <c r="CX27" s="403"/>
      <c r="CY27" s="403"/>
      <c r="CZ27" s="403"/>
      <c r="DA27" s="403"/>
      <c r="DB27" s="403"/>
      <c r="DC27" s="403"/>
      <c r="DD27" s="403"/>
      <c r="DE27" s="403"/>
      <c r="DF27" s="403"/>
      <c r="DG27" s="403"/>
      <c r="DH27" s="403"/>
      <c r="DI27" s="403"/>
      <c r="DJ27" s="403"/>
      <c r="DK27" s="403"/>
      <c r="DL27" s="403" t="s">
        <v>8758</v>
      </c>
      <c r="DM27" s="403"/>
      <c r="DN27" s="403"/>
      <c r="DO27" s="403"/>
      <c r="DP27" s="403"/>
      <c r="DQ27" s="403"/>
      <c r="DR27" s="403"/>
      <c r="DS27" s="403"/>
      <c r="DT27" s="403"/>
      <c r="DU27" s="403"/>
      <c r="DV27" s="403"/>
      <c r="DW27" s="403"/>
      <c r="DX27" s="403"/>
      <c r="DY27" s="564"/>
      <c r="DZ27" s="564"/>
    </row>
    <row r="28" spans="1:130" s="194" customFormat="1" x14ac:dyDescent="0.2">
      <c r="A28" s="350">
        <v>2</v>
      </c>
      <c r="B28" s="230"/>
      <c r="C28" s="374"/>
      <c r="D28" s="35">
        <v>1</v>
      </c>
      <c r="E28" s="299"/>
      <c r="F28" s="2"/>
      <c r="G28" s="523"/>
      <c r="H28" s="401"/>
      <c r="I28" s="300" t="e">
        <f>IF(ISBLANK(H28),G28/USD2LCU,H28)</f>
        <v>#N/A</v>
      </c>
      <c r="J28" s="300" t="e">
        <f>D28*I28</f>
        <v>#N/A</v>
      </c>
      <c r="K28" s="152"/>
      <c r="L28" s="299"/>
      <c r="M28" s="299"/>
      <c r="N28" s="299"/>
      <c r="O28" s="574"/>
      <c r="P28" s="587"/>
      <c r="Q28" s="403"/>
      <c r="R28" s="403"/>
      <c r="S28" s="403"/>
      <c r="T28" s="403"/>
      <c r="U28" s="403"/>
      <c r="V28" s="403"/>
      <c r="W28" s="403"/>
      <c r="X28" s="403"/>
      <c r="Y28" s="403"/>
      <c r="Z28" s="403"/>
      <c r="AA28" s="403"/>
      <c r="AB28" s="403"/>
      <c r="AC28" s="403"/>
      <c r="AD28" s="403"/>
      <c r="AE28" s="403"/>
      <c r="AF28" s="403"/>
      <c r="AG28" s="403"/>
      <c r="AH28" s="403"/>
      <c r="AI28" s="403"/>
      <c r="AJ28" s="403"/>
      <c r="AK28" s="403"/>
      <c r="AL28" s="403"/>
      <c r="AM28" s="403"/>
      <c r="AN28" s="403"/>
      <c r="AO28" s="403"/>
      <c r="AP28" s="403"/>
      <c r="AQ28" s="403"/>
      <c r="AR28" s="403"/>
      <c r="AS28" s="403"/>
      <c r="AT28" s="403"/>
      <c r="AU28" s="403"/>
      <c r="AV28" s="403"/>
      <c r="AW28" s="403"/>
      <c r="AX28" s="403"/>
      <c r="AY28" s="403"/>
      <c r="AZ28" s="403"/>
      <c r="BA28" s="403"/>
      <c r="BB28" s="403"/>
      <c r="BC28" s="403"/>
      <c r="BD28" s="403"/>
      <c r="BE28" s="403"/>
      <c r="BF28" s="403"/>
      <c r="BG28" s="403"/>
      <c r="BH28" s="403"/>
      <c r="BI28" s="403"/>
      <c r="BJ28" s="403"/>
      <c r="BK28" s="403"/>
      <c r="BL28" s="403"/>
      <c r="BM28" s="403"/>
      <c r="BN28" s="403"/>
      <c r="BO28" s="403"/>
      <c r="BP28" s="403"/>
      <c r="BQ28" s="403"/>
      <c r="BR28" s="403"/>
      <c r="BS28" s="403"/>
      <c r="BT28" s="403"/>
      <c r="BU28" s="403"/>
      <c r="BV28" s="403"/>
      <c r="BW28" s="403"/>
      <c r="BX28" s="403"/>
      <c r="BY28" s="403"/>
      <c r="BZ28" s="403"/>
      <c r="CA28" s="403"/>
      <c r="CB28" s="403"/>
      <c r="CC28" s="403"/>
      <c r="CD28" s="403"/>
      <c r="CE28" s="403"/>
      <c r="CF28" s="403"/>
      <c r="CG28" s="403"/>
      <c r="CH28" s="403"/>
      <c r="CI28" s="403"/>
      <c r="CJ28" s="403"/>
      <c r="CK28" s="403"/>
      <c r="CL28" s="403"/>
      <c r="CM28" s="403"/>
      <c r="CN28" s="403"/>
      <c r="CO28" s="403"/>
      <c r="CP28" s="403"/>
      <c r="CQ28" s="403"/>
      <c r="CR28" s="403"/>
      <c r="CS28" s="403"/>
      <c r="CT28" s="403"/>
      <c r="CU28" s="403"/>
      <c r="CV28" s="403"/>
      <c r="CW28" s="403"/>
      <c r="CX28" s="403"/>
      <c r="CY28" s="403"/>
      <c r="CZ28" s="403"/>
      <c r="DA28" s="403"/>
      <c r="DB28" s="403"/>
      <c r="DC28" s="403"/>
      <c r="DD28" s="403"/>
      <c r="DE28" s="403"/>
      <c r="DF28" s="403"/>
      <c r="DG28" s="403"/>
      <c r="DH28" s="403"/>
      <c r="DI28" s="403"/>
      <c r="DJ28" s="403"/>
      <c r="DK28" s="403"/>
      <c r="DL28" s="403"/>
      <c r="DM28" s="403"/>
      <c r="DN28" s="403"/>
      <c r="DO28" s="403"/>
      <c r="DP28" s="403"/>
      <c r="DQ28" s="403"/>
      <c r="DR28" s="403"/>
      <c r="DS28" s="403"/>
      <c r="DT28" s="403"/>
      <c r="DU28" s="403"/>
      <c r="DV28" s="403"/>
      <c r="DW28" s="403"/>
      <c r="DX28" s="403"/>
      <c r="DY28" s="564"/>
      <c r="DZ28" s="564"/>
    </row>
    <row r="29" spans="1:130" s="194" customFormat="1" x14ac:dyDescent="0.2">
      <c r="A29" s="350">
        <v>2</v>
      </c>
      <c r="B29" s="230"/>
      <c r="C29" s="374"/>
      <c r="D29" s="35">
        <v>1</v>
      </c>
      <c r="E29" s="299"/>
      <c r="F29" s="2"/>
      <c r="G29" s="523"/>
      <c r="H29" s="401"/>
      <c r="I29" s="300" t="e">
        <f>IF(ISBLANK(H29),G29/USD2LCU,H29)</f>
        <v>#N/A</v>
      </c>
      <c r="J29" s="300" t="e">
        <f>D29*I29</f>
        <v>#N/A</v>
      </c>
      <c r="K29" s="152"/>
      <c r="L29" s="299"/>
      <c r="M29" s="299"/>
      <c r="N29" s="299"/>
      <c r="O29" s="574"/>
      <c r="P29" s="587"/>
      <c r="Q29" s="403"/>
      <c r="R29" s="403"/>
      <c r="S29" s="403"/>
      <c r="T29" s="403"/>
      <c r="U29" s="403"/>
      <c r="V29" s="403"/>
      <c r="W29" s="403"/>
      <c r="X29" s="403"/>
      <c r="Y29" s="403"/>
      <c r="Z29" s="403"/>
      <c r="AA29" s="403"/>
      <c r="AB29" s="403"/>
      <c r="AC29" s="403"/>
      <c r="AD29" s="403"/>
      <c r="AE29" s="403"/>
      <c r="AF29" s="403"/>
      <c r="AG29" s="403"/>
      <c r="AH29" s="403"/>
      <c r="AI29" s="403"/>
      <c r="AJ29" s="403"/>
      <c r="AK29" s="403"/>
      <c r="AL29" s="403"/>
      <c r="AM29" s="403"/>
      <c r="AN29" s="403"/>
      <c r="AO29" s="403"/>
      <c r="AP29" s="403"/>
      <c r="AQ29" s="403"/>
      <c r="AR29" s="403"/>
      <c r="AS29" s="403"/>
      <c r="AT29" s="403"/>
      <c r="AU29" s="403"/>
      <c r="AV29" s="403"/>
      <c r="AW29" s="403"/>
      <c r="AX29" s="403"/>
      <c r="AY29" s="403"/>
      <c r="AZ29" s="403"/>
      <c r="BA29" s="403"/>
      <c r="BB29" s="403"/>
      <c r="BC29" s="403"/>
      <c r="BD29" s="403"/>
      <c r="BE29" s="403"/>
      <c r="BF29" s="403"/>
      <c r="BG29" s="403"/>
      <c r="BH29" s="403"/>
      <c r="BI29" s="403"/>
      <c r="BJ29" s="403"/>
      <c r="BK29" s="403"/>
      <c r="BL29" s="403"/>
      <c r="BM29" s="403"/>
      <c r="BN29" s="403"/>
      <c r="BO29" s="403"/>
      <c r="BP29" s="403"/>
      <c r="BQ29" s="403"/>
      <c r="BR29" s="403"/>
      <c r="BS29" s="403"/>
      <c r="BT29" s="403"/>
      <c r="BU29" s="403"/>
      <c r="BV29" s="403"/>
      <c r="BW29" s="403"/>
      <c r="BX29" s="403"/>
      <c r="BY29" s="403"/>
      <c r="BZ29" s="403"/>
      <c r="CA29" s="403"/>
      <c r="CB29" s="403"/>
      <c r="CC29" s="403"/>
      <c r="CD29" s="403"/>
      <c r="CE29" s="403"/>
      <c r="CF29" s="403"/>
      <c r="CG29" s="403"/>
      <c r="CH29" s="403"/>
      <c r="CI29" s="403"/>
      <c r="CJ29" s="403"/>
      <c r="CK29" s="403"/>
      <c r="CL29" s="403"/>
      <c r="CM29" s="403"/>
      <c r="CN29" s="403"/>
      <c r="CO29" s="403"/>
      <c r="CP29" s="403"/>
      <c r="CQ29" s="403"/>
      <c r="CR29" s="403"/>
      <c r="CS29" s="403"/>
      <c r="CT29" s="403"/>
      <c r="CU29" s="403"/>
      <c r="CV29" s="403"/>
      <c r="CW29" s="403"/>
      <c r="CX29" s="403"/>
      <c r="CY29" s="403"/>
      <c r="CZ29" s="403"/>
      <c r="DA29" s="403"/>
      <c r="DB29" s="403"/>
      <c r="DC29" s="403"/>
      <c r="DD29" s="403"/>
      <c r="DE29" s="403"/>
      <c r="DF29" s="403"/>
      <c r="DG29" s="403"/>
      <c r="DH29" s="403"/>
      <c r="DI29" s="403"/>
      <c r="DJ29" s="403"/>
      <c r="DK29" s="403"/>
      <c r="DL29" s="403"/>
      <c r="DM29" s="403"/>
      <c r="DN29" s="403"/>
      <c r="DO29" s="403"/>
      <c r="DP29" s="403"/>
      <c r="DQ29" s="403"/>
      <c r="DR29" s="403"/>
      <c r="DS29" s="403"/>
      <c r="DT29" s="403"/>
      <c r="DU29" s="403"/>
      <c r="DV29" s="403"/>
      <c r="DW29" s="403"/>
      <c r="DX29" s="403"/>
      <c r="DY29" s="564"/>
      <c r="DZ29" s="564"/>
    </row>
    <row r="30" spans="1:130" s="194" customFormat="1" x14ac:dyDescent="0.2">
      <c r="B30" s="230"/>
      <c r="C30" s="5"/>
      <c r="G30" s="299"/>
      <c r="H30" s="300"/>
      <c r="I30" s="299"/>
      <c r="K30" s="34"/>
      <c r="L30" s="299"/>
      <c r="M30" s="299"/>
      <c r="N30" s="299"/>
      <c r="P30" s="567"/>
      <c r="Q30" s="403"/>
      <c r="R30" s="403"/>
      <c r="S30" s="403"/>
      <c r="T30" s="403"/>
      <c r="U30" s="403"/>
      <c r="V30" s="403"/>
      <c r="W30" s="403"/>
      <c r="X30" s="403"/>
      <c r="Y30" s="403"/>
      <c r="Z30" s="403"/>
      <c r="AA30" s="403"/>
      <c r="AB30" s="403"/>
      <c r="AC30" s="403"/>
      <c r="AD30" s="403"/>
      <c r="AE30" s="403"/>
      <c r="AF30" s="403"/>
      <c r="AG30" s="403"/>
      <c r="AH30" s="403"/>
      <c r="AI30" s="403"/>
      <c r="AJ30" s="403"/>
      <c r="AK30" s="403"/>
      <c r="AL30" s="403"/>
      <c r="AM30" s="403"/>
      <c r="AN30" s="403"/>
      <c r="AO30" s="403"/>
      <c r="AP30" s="403"/>
      <c r="AQ30" s="403"/>
      <c r="AR30" s="403"/>
      <c r="AS30" s="403"/>
      <c r="AT30" s="403"/>
      <c r="AU30" s="403"/>
      <c r="AV30" s="403"/>
      <c r="AW30" s="403"/>
      <c r="AX30" s="403"/>
      <c r="AY30" s="403"/>
      <c r="AZ30" s="403"/>
      <c r="BA30" s="403"/>
      <c r="BB30" s="403"/>
      <c r="BC30" s="403"/>
      <c r="BD30" s="403"/>
      <c r="BE30" s="403"/>
      <c r="BF30" s="403"/>
      <c r="BG30" s="403"/>
      <c r="BH30" s="403"/>
      <c r="BI30" s="403"/>
      <c r="BJ30" s="403"/>
      <c r="BK30" s="403"/>
      <c r="BL30" s="403"/>
      <c r="BM30" s="403"/>
      <c r="BN30" s="403"/>
      <c r="BO30" s="403"/>
      <c r="BP30" s="403"/>
      <c r="BQ30" s="403"/>
      <c r="BR30" s="403"/>
      <c r="BS30" s="403"/>
      <c r="BT30" s="403"/>
      <c r="BU30" s="403"/>
      <c r="BV30" s="403"/>
      <c r="BW30" s="403"/>
      <c r="BX30" s="403"/>
      <c r="BY30" s="403"/>
      <c r="BZ30" s="403"/>
      <c r="CA30" s="403"/>
      <c r="CB30" s="403"/>
      <c r="CC30" s="403"/>
      <c r="CD30" s="403"/>
      <c r="CE30" s="403"/>
      <c r="CF30" s="403"/>
      <c r="CG30" s="403"/>
      <c r="CH30" s="403"/>
      <c r="CI30" s="403"/>
      <c r="CJ30" s="403"/>
      <c r="CK30" s="403"/>
      <c r="CL30" s="403"/>
      <c r="CM30" s="403"/>
      <c r="CN30" s="403"/>
      <c r="CO30" s="403"/>
      <c r="CP30" s="403"/>
      <c r="CQ30" s="403"/>
      <c r="CR30" s="403"/>
      <c r="CS30" s="403"/>
      <c r="CT30" s="403"/>
      <c r="CU30" s="403"/>
      <c r="CV30" s="403"/>
      <c r="CW30" s="403"/>
      <c r="CX30" s="403"/>
      <c r="CY30" s="403"/>
      <c r="CZ30" s="403"/>
      <c r="DA30" s="403"/>
      <c r="DB30" s="403"/>
      <c r="DC30" s="403"/>
      <c r="DD30" s="403"/>
      <c r="DE30" s="403"/>
      <c r="DF30" s="403"/>
      <c r="DG30" s="403"/>
      <c r="DH30" s="403"/>
      <c r="DI30" s="403"/>
      <c r="DJ30" s="403"/>
      <c r="DK30" s="403"/>
      <c r="DL30" s="403"/>
      <c r="DM30" s="403"/>
      <c r="DN30" s="403"/>
      <c r="DO30" s="403"/>
      <c r="DP30" s="403"/>
      <c r="DQ30" s="403"/>
      <c r="DR30" s="403"/>
      <c r="DS30" s="403"/>
      <c r="DT30" s="403"/>
      <c r="DU30" s="403"/>
      <c r="DV30" s="403"/>
      <c r="DW30" s="403"/>
      <c r="DX30" s="403"/>
      <c r="DY30" s="564"/>
      <c r="DZ30" s="564"/>
    </row>
    <row r="31" spans="1:130" ht="15" x14ac:dyDescent="0.25">
      <c r="B31" s="8" t="str">
        <f ca="1">IF(OFFSET(S31,0,Lang_Order*Lang__A4)="","",OFFSET(S31,0,Lang_Order*Lang__A4))</f>
        <v>A4.1.03 Regulatory</v>
      </c>
      <c r="C31" s="19"/>
      <c r="D31" s="8"/>
      <c r="E31" s="8"/>
      <c r="F31" s="8"/>
      <c r="G31" s="408" t="str">
        <f>CONCATENATE(Lang_LCU,": ",LCU)</f>
        <v xml:space="preserve">LCU: </v>
      </c>
      <c r="H31" s="219" t="str">
        <f ca="1">IF(OFFSET(Y31,0,Lang_Order*Lang__A4)="","",OFFSET(Y31,0,Lang_Order*Lang__A4))</f>
        <v>Override in USD</v>
      </c>
      <c r="I31" s="8"/>
      <c r="J31" s="8"/>
      <c r="K31" s="188" t="e">
        <f>SUM(J33:J36)</f>
        <v>#N/A</v>
      </c>
      <c r="L31" s="8"/>
      <c r="M31" s="8"/>
      <c r="N31" s="8"/>
      <c r="O31" s="8"/>
      <c r="P31" s="8"/>
      <c r="S31" s="403" t="s">
        <v>14479</v>
      </c>
      <c r="Y31" s="403" t="s">
        <v>2977</v>
      </c>
      <c r="AI31" s="403" t="s">
        <v>14480</v>
      </c>
      <c r="AO31" s="403" t="s">
        <v>7897</v>
      </c>
      <c r="AY31" s="403" t="s">
        <v>14481</v>
      </c>
      <c r="BE31" s="403" t="s">
        <v>8114</v>
      </c>
      <c r="BO31" s="403" t="s">
        <v>14482</v>
      </c>
      <c r="BU31" s="403" t="s">
        <v>7903</v>
      </c>
      <c r="CE31" s="403" t="s">
        <v>14483</v>
      </c>
      <c r="CK31" s="403" t="s">
        <v>7906</v>
      </c>
      <c r="CU31" s="403" t="s">
        <v>14484</v>
      </c>
      <c r="DA31" s="403" t="s">
        <v>7908</v>
      </c>
      <c r="DK31" s="403" t="s">
        <v>14485</v>
      </c>
      <c r="DQ31" s="403" t="s">
        <v>7911</v>
      </c>
    </row>
    <row r="32" spans="1:130" s="185" customFormat="1" x14ac:dyDescent="0.2">
      <c r="C32" s="334" t="str">
        <f ca="1">IF(OFFSET(T32,0,Lang_Order*Lang__A4)="","",OFFSET(T32,0,Lang_Order*Lang__A4))</f>
        <v>Instructions: Please consider adding regulatory capacity building if desired.</v>
      </c>
      <c r="O32" s="574"/>
      <c r="P32" s="574"/>
      <c r="Q32" s="403"/>
      <c r="R32" s="403"/>
      <c r="S32" s="403"/>
      <c r="T32" s="403" t="s">
        <v>14250</v>
      </c>
      <c r="U32" s="403"/>
      <c r="V32" s="403"/>
      <c r="W32" s="403"/>
      <c r="X32" s="403"/>
      <c r="Y32" s="403"/>
      <c r="Z32" s="403"/>
      <c r="AA32" s="403"/>
      <c r="AB32" s="403"/>
      <c r="AC32" s="403"/>
      <c r="AD32" s="403"/>
      <c r="AE32" s="403"/>
      <c r="AF32" s="403"/>
      <c r="AG32" s="403"/>
      <c r="AH32" s="403"/>
      <c r="AI32" s="403"/>
      <c r="AJ32" s="403" t="s">
        <v>8766</v>
      </c>
      <c r="AK32" s="403"/>
      <c r="AL32" s="403"/>
      <c r="AM32" s="403"/>
      <c r="AN32" s="403"/>
      <c r="AO32" s="403"/>
      <c r="AP32" s="403"/>
      <c r="AQ32" s="403"/>
      <c r="AR32" s="403"/>
      <c r="AS32" s="403"/>
      <c r="AT32" s="403"/>
      <c r="AU32" s="403"/>
      <c r="AV32" s="403"/>
      <c r="AW32" s="403"/>
      <c r="AX32" s="403"/>
      <c r="AY32" s="403"/>
      <c r="AZ32" s="403" t="s">
        <v>8767</v>
      </c>
      <c r="BA32" s="403"/>
      <c r="BB32" s="403"/>
      <c r="BC32" s="403"/>
      <c r="BD32" s="403"/>
      <c r="BE32" s="403"/>
      <c r="BF32" s="403"/>
      <c r="BG32" s="403"/>
      <c r="BH32" s="403"/>
      <c r="BI32" s="403"/>
      <c r="BJ32" s="403"/>
      <c r="BK32" s="403"/>
      <c r="BL32" s="403"/>
      <c r="BM32" s="403"/>
      <c r="BN32" s="403"/>
      <c r="BO32" s="403"/>
      <c r="BP32" s="403" t="s">
        <v>8768</v>
      </c>
      <c r="BQ32" s="403"/>
      <c r="BR32" s="403"/>
      <c r="BS32" s="403"/>
      <c r="BT32" s="403"/>
      <c r="BU32" s="403"/>
      <c r="BV32" s="403"/>
      <c r="BW32" s="403"/>
      <c r="BX32" s="403"/>
      <c r="BY32" s="403"/>
      <c r="BZ32" s="403"/>
      <c r="CA32" s="403"/>
      <c r="CB32" s="403"/>
      <c r="CC32" s="403"/>
      <c r="CD32" s="403"/>
      <c r="CE32" s="403"/>
      <c r="CF32" s="403" t="s">
        <v>8769</v>
      </c>
      <c r="CG32" s="403"/>
      <c r="CH32" s="403"/>
      <c r="CI32" s="403"/>
      <c r="CJ32" s="403"/>
      <c r="CK32" s="403"/>
      <c r="CL32" s="403"/>
      <c r="CM32" s="403"/>
      <c r="CN32" s="403"/>
      <c r="CO32" s="403"/>
      <c r="CP32" s="403"/>
      <c r="CQ32" s="403"/>
      <c r="CR32" s="403"/>
      <c r="CS32" s="403"/>
      <c r="CT32" s="403"/>
      <c r="CU32" s="403"/>
      <c r="CV32" s="403" t="s">
        <v>8770</v>
      </c>
      <c r="CW32" s="403"/>
      <c r="CX32" s="403"/>
      <c r="CY32" s="403"/>
      <c r="CZ32" s="403"/>
      <c r="DA32" s="403"/>
      <c r="DB32" s="403"/>
      <c r="DC32" s="403"/>
      <c r="DD32" s="403"/>
      <c r="DE32" s="403"/>
      <c r="DF32" s="403"/>
      <c r="DG32" s="403"/>
      <c r="DH32" s="403"/>
      <c r="DI32" s="403"/>
      <c r="DJ32" s="403"/>
      <c r="DK32" s="403"/>
      <c r="DL32" s="403" t="s">
        <v>8771</v>
      </c>
      <c r="DM32" s="403"/>
      <c r="DN32" s="403"/>
      <c r="DO32" s="403"/>
      <c r="DP32" s="403"/>
      <c r="DQ32" s="403"/>
      <c r="DR32" s="403"/>
      <c r="DS32" s="403"/>
      <c r="DT32" s="403"/>
      <c r="DU32" s="403"/>
      <c r="DV32" s="403"/>
      <c r="DW32" s="403"/>
      <c r="DX32" s="403"/>
      <c r="DY32" s="564"/>
      <c r="DZ32" s="564"/>
    </row>
    <row r="33" spans="1:130" s="194" customFormat="1" x14ac:dyDescent="0.2">
      <c r="A33" s="354">
        <v>1</v>
      </c>
      <c r="B33" s="34"/>
      <c r="C33" s="5" t="str">
        <f ca="1">IF(OFFSET(T33,0,Lang_Order*Lang__A4)="","",OFFSET(T33,0,Lang_Order*Lang__A4))</f>
        <v>TA: Expedited regulatory pathways, documentation, importation and lot release processes</v>
      </c>
      <c r="D33" s="2">
        <v>1</v>
      </c>
      <c r="E33" s="299"/>
      <c r="F33" s="2"/>
      <c r="G33" s="523"/>
      <c r="H33" s="401"/>
      <c r="I33" s="300" t="e">
        <f>IF(ISBLANK(H33),G33/USD2LCU,H33)</f>
        <v>#N/A</v>
      </c>
      <c r="J33" s="300" t="e">
        <f>D33*I33</f>
        <v>#N/A</v>
      </c>
      <c r="K33" s="152"/>
      <c r="L33" s="299" t="s">
        <v>3857</v>
      </c>
      <c r="M33" s="299"/>
      <c r="N33" s="299"/>
      <c r="O33" s="574"/>
      <c r="P33" s="587"/>
      <c r="Q33" s="403"/>
      <c r="R33" s="403"/>
      <c r="S33" s="403"/>
      <c r="T33" s="403" t="s">
        <v>3856</v>
      </c>
      <c r="U33" s="403"/>
      <c r="V33" s="403"/>
      <c r="W33" s="403"/>
      <c r="X33" s="403"/>
      <c r="Y33" s="403"/>
      <c r="Z33" s="403"/>
      <c r="AA33" s="403"/>
      <c r="AB33" s="403"/>
      <c r="AC33" s="403"/>
      <c r="AD33" s="403"/>
      <c r="AE33" s="403"/>
      <c r="AF33" s="403"/>
      <c r="AG33" s="403"/>
      <c r="AH33" s="403"/>
      <c r="AI33" s="403"/>
      <c r="AJ33" s="403" t="s">
        <v>8772</v>
      </c>
      <c r="AK33" s="403"/>
      <c r="AL33" s="403"/>
      <c r="AM33" s="403"/>
      <c r="AN33" s="403"/>
      <c r="AO33" s="403"/>
      <c r="AP33" s="403"/>
      <c r="AQ33" s="403"/>
      <c r="AR33" s="403"/>
      <c r="AS33" s="403"/>
      <c r="AT33" s="403"/>
      <c r="AU33" s="403"/>
      <c r="AV33" s="403"/>
      <c r="AW33" s="403"/>
      <c r="AX33" s="403"/>
      <c r="AY33" s="403"/>
      <c r="AZ33" s="403" t="s">
        <v>8773</v>
      </c>
      <c r="BA33" s="403"/>
      <c r="BB33" s="403"/>
      <c r="BC33" s="403"/>
      <c r="BD33" s="403"/>
      <c r="BE33" s="403"/>
      <c r="BF33" s="403"/>
      <c r="BG33" s="403"/>
      <c r="BH33" s="403"/>
      <c r="BI33" s="403"/>
      <c r="BJ33" s="403"/>
      <c r="BK33" s="403"/>
      <c r="BL33" s="403"/>
      <c r="BM33" s="403"/>
      <c r="BN33" s="403"/>
      <c r="BO33" s="403"/>
      <c r="BP33" s="403" t="s">
        <v>8774</v>
      </c>
      <c r="BQ33" s="403"/>
      <c r="BR33" s="403"/>
      <c r="BS33" s="403"/>
      <c r="BT33" s="403"/>
      <c r="BU33" s="403"/>
      <c r="BV33" s="403"/>
      <c r="BW33" s="403"/>
      <c r="BX33" s="403"/>
      <c r="BY33" s="403"/>
      <c r="BZ33" s="403"/>
      <c r="CA33" s="403"/>
      <c r="CB33" s="403"/>
      <c r="CC33" s="403"/>
      <c r="CD33" s="403"/>
      <c r="CE33" s="403"/>
      <c r="CF33" s="403" t="s">
        <v>8775</v>
      </c>
      <c r="CG33" s="403"/>
      <c r="CH33" s="403"/>
      <c r="CI33" s="403"/>
      <c r="CJ33" s="403"/>
      <c r="CK33" s="403"/>
      <c r="CL33" s="403"/>
      <c r="CM33" s="403"/>
      <c r="CN33" s="403"/>
      <c r="CO33" s="403"/>
      <c r="CP33" s="403"/>
      <c r="CQ33" s="403"/>
      <c r="CR33" s="403"/>
      <c r="CS33" s="403"/>
      <c r="CT33" s="403"/>
      <c r="CU33" s="403"/>
      <c r="CV33" s="403" t="s">
        <v>8776</v>
      </c>
      <c r="CW33" s="403"/>
      <c r="CX33" s="403"/>
      <c r="CY33" s="403"/>
      <c r="CZ33" s="403"/>
      <c r="DA33" s="403"/>
      <c r="DB33" s="403"/>
      <c r="DC33" s="403"/>
      <c r="DD33" s="403"/>
      <c r="DE33" s="403"/>
      <c r="DF33" s="403"/>
      <c r="DG33" s="403"/>
      <c r="DH33" s="403"/>
      <c r="DI33" s="403"/>
      <c r="DJ33" s="403"/>
      <c r="DK33" s="403"/>
      <c r="DL33" s="403" t="s">
        <v>8777</v>
      </c>
      <c r="DM33" s="403"/>
      <c r="DN33" s="403"/>
      <c r="DO33" s="403"/>
      <c r="DP33" s="403"/>
      <c r="DQ33" s="403"/>
      <c r="DR33" s="403"/>
      <c r="DS33" s="403"/>
      <c r="DT33" s="403"/>
      <c r="DU33" s="403"/>
      <c r="DV33" s="403"/>
      <c r="DW33" s="403"/>
      <c r="DX33" s="403"/>
      <c r="DY33" s="564"/>
      <c r="DZ33" s="564"/>
    </row>
    <row r="34" spans="1:130" s="194" customFormat="1" x14ac:dyDescent="0.2">
      <c r="A34" s="350">
        <v>2</v>
      </c>
      <c r="B34" s="34"/>
      <c r="C34" s="374" t="s">
        <v>2974</v>
      </c>
      <c r="D34" s="35">
        <v>1</v>
      </c>
      <c r="E34" s="299"/>
      <c r="F34" s="2"/>
      <c r="G34" s="523"/>
      <c r="H34" s="401"/>
      <c r="I34" s="300" t="e">
        <f>IF(ISBLANK(H34),G34/USD2LCU,H34)</f>
        <v>#N/A</v>
      </c>
      <c r="J34" s="300" t="e">
        <f>D34*I34</f>
        <v>#N/A</v>
      </c>
      <c r="K34" s="152"/>
      <c r="L34" s="299"/>
      <c r="M34" s="299"/>
      <c r="N34" s="299"/>
      <c r="O34" s="574"/>
      <c r="P34" s="587"/>
      <c r="Q34" s="403"/>
      <c r="R34" s="403"/>
      <c r="S34" s="403"/>
      <c r="T34" s="403" t="s">
        <v>2974</v>
      </c>
      <c r="U34" s="403"/>
      <c r="V34" s="403"/>
      <c r="W34" s="403"/>
      <c r="X34" s="403"/>
      <c r="Y34" s="403"/>
      <c r="Z34" s="403"/>
      <c r="AA34" s="403"/>
      <c r="AB34" s="403"/>
      <c r="AC34" s="403"/>
      <c r="AD34" s="403"/>
      <c r="AE34" s="403"/>
      <c r="AF34" s="403"/>
      <c r="AG34" s="403"/>
      <c r="AH34" s="403"/>
      <c r="AI34" s="403"/>
      <c r="AJ34" s="403" t="s">
        <v>8753</v>
      </c>
      <c r="AK34" s="403"/>
      <c r="AL34" s="403"/>
      <c r="AM34" s="403"/>
      <c r="AN34" s="403"/>
      <c r="AO34" s="403"/>
      <c r="AP34" s="403"/>
      <c r="AQ34" s="403"/>
      <c r="AR34" s="403"/>
      <c r="AS34" s="403"/>
      <c r="AT34" s="403"/>
      <c r="AU34" s="403"/>
      <c r="AV34" s="403"/>
      <c r="AW34" s="403"/>
      <c r="AX34" s="403"/>
      <c r="AY34" s="403"/>
      <c r="AZ34" s="403" t="s">
        <v>8754</v>
      </c>
      <c r="BA34" s="403"/>
      <c r="BB34" s="403"/>
      <c r="BC34" s="403"/>
      <c r="BD34" s="403"/>
      <c r="BE34" s="403"/>
      <c r="BF34" s="403"/>
      <c r="BG34" s="403"/>
      <c r="BH34" s="403"/>
      <c r="BI34" s="403"/>
      <c r="BJ34" s="403"/>
      <c r="BK34" s="403"/>
      <c r="BL34" s="403"/>
      <c r="BM34" s="403"/>
      <c r="BN34" s="403"/>
      <c r="BO34" s="403"/>
      <c r="BP34" s="403" t="s">
        <v>8755</v>
      </c>
      <c r="BQ34" s="403"/>
      <c r="BR34" s="403"/>
      <c r="BS34" s="403"/>
      <c r="BT34" s="403"/>
      <c r="BU34" s="403"/>
      <c r="BV34" s="403"/>
      <c r="BW34" s="403"/>
      <c r="BX34" s="403"/>
      <c r="BY34" s="403"/>
      <c r="BZ34" s="403"/>
      <c r="CA34" s="403"/>
      <c r="CB34" s="403"/>
      <c r="CC34" s="403"/>
      <c r="CD34" s="403"/>
      <c r="CE34" s="403"/>
      <c r="CF34" s="403" t="s">
        <v>8756</v>
      </c>
      <c r="CG34" s="403"/>
      <c r="CH34" s="403"/>
      <c r="CI34" s="403"/>
      <c r="CJ34" s="403"/>
      <c r="CK34" s="403"/>
      <c r="CL34" s="403"/>
      <c r="CM34" s="403"/>
      <c r="CN34" s="403"/>
      <c r="CO34" s="403"/>
      <c r="CP34" s="403"/>
      <c r="CQ34" s="403"/>
      <c r="CR34" s="403"/>
      <c r="CS34" s="403"/>
      <c r="CT34" s="403"/>
      <c r="CU34" s="403"/>
      <c r="CV34" s="403" t="s">
        <v>8765</v>
      </c>
      <c r="CW34" s="403"/>
      <c r="CX34" s="403"/>
      <c r="CY34" s="403"/>
      <c r="CZ34" s="403"/>
      <c r="DA34" s="403"/>
      <c r="DB34" s="403"/>
      <c r="DC34" s="403"/>
      <c r="DD34" s="403"/>
      <c r="DE34" s="403"/>
      <c r="DF34" s="403"/>
      <c r="DG34" s="403"/>
      <c r="DH34" s="403"/>
      <c r="DI34" s="403"/>
      <c r="DJ34" s="403"/>
      <c r="DK34" s="403"/>
      <c r="DL34" s="403" t="s">
        <v>8758</v>
      </c>
      <c r="DM34" s="403"/>
      <c r="DN34" s="403"/>
      <c r="DO34" s="403"/>
      <c r="DP34" s="403"/>
      <c r="DQ34" s="403"/>
      <c r="DR34" s="403"/>
      <c r="DS34" s="403"/>
      <c r="DT34" s="403"/>
      <c r="DU34" s="403"/>
      <c r="DV34" s="403"/>
      <c r="DW34" s="403"/>
      <c r="DX34" s="403"/>
      <c r="DY34" s="564"/>
      <c r="DZ34" s="564"/>
    </row>
    <row r="35" spans="1:130" s="194" customFormat="1" x14ac:dyDescent="0.2">
      <c r="A35" s="350">
        <v>2</v>
      </c>
      <c r="B35" s="34"/>
      <c r="C35" s="374"/>
      <c r="D35" s="35">
        <v>1</v>
      </c>
      <c r="E35" s="299"/>
      <c r="F35" s="2"/>
      <c r="G35" s="523"/>
      <c r="H35" s="401"/>
      <c r="I35" s="300" t="e">
        <f>IF(ISBLANK(H35),G35/USD2LCU,H35)</f>
        <v>#N/A</v>
      </c>
      <c r="J35" s="300" t="e">
        <f>D35*I35</f>
        <v>#N/A</v>
      </c>
      <c r="K35" s="152"/>
      <c r="L35" s="299"/>
      <c r="M35" s="299"/>
      <c r="N35" s="299"/>
      <c r="O35" s="574"/>
      <c r="P35" s="587"/>
      <c r="Q35" s="403"/>
      <c r="R35" s="403"/>
      <c r="S35" s="403"/>
      <c r="T35" s="403"/>
      <c r="U35" s="403"/>
      <c r="V35" s="403"/>
      <c r="W35" s="403"/>
      <c r="X35" s="403"/>
      <c r="Y35" s="403"/>
      <c r="Z35" s="403"/>
      <c r="AA35" s="403"/>
      <c r="AB35" s="403"/>
      <c r="AC35" s="403"/>
      <c r="AD35" s="403"/>
      <c r="AE35" s="403"/>
      <c r="AF35" s="403"/>
      <c r="AG35" s="403"/>
      <c r="AH35" s="403"/>
      <c r="AI35" s="403"/>
      <c r="AJ35" s="403"/>
      <c r="AK35" s="403"/>
      <c r="AL35" s="403"/>
      <c r="AM35" s="403"/>
      <c r="AN35" s="403"/>
      <c r="AO35" s="403"/>
      <c r="AP35" s="403"/>
      <c r="AQ35" s="403"/>
      <c r="AR35" s="403"/>
      <c r="AS35" s="403"/>
      <c r="AT35" s="403"/>
      <c r="AU35" s="403"/>
      <c r="AV35" s="403"/>
      <c r="AW35" s="403"/>
      <c r="AX35" s="403"/>
      <c r="AY35" s="403"/>
      <c r="AZ35" s="403"/>
      <c r="BA35" s="403"/>
      <c r="BB35" s="403"/>
      <c r="BC35" s="403"/>
      <c r="BD35" s="403"/>
      <c r="BE35" s="403"/>
      <c r="BF35" s="403"/>
      <c r="BG35" s="403"/>
      <c r="BH35" s="403"/>
      <c r="BI35" s="403"/>
      <c r="BJ35" s="403"/>
      <c r="BK35" s="403"/>
      <c r="BL35" s="403"/>
      <c r="BM35" s="403"/>
      <c r="BN35" s="403"/>
      <c r="BO35" s="403"/>
      <c r="BP35" s="403"/>
      <c r="BQ35" s="403"/>
      <c r="BR35" s="403"/>
      <c r="BS35" s="403"/>
      <c r="BT35" s="403"/>
      <c r="BU35" s="403"/>
      <c r="BV35" s="403"/>
      <c r="BW35" s="403"/>
      <c r="BX35" s="403"/>
      <c r="BY35" s="403"/>
      <c r="BZ35" s="403"/>
      <c r="CA35" s="403"/>
      <c r="CB35" s="403"/>
      <c r="CC35" s="403"/>
      <c r="CD35" s="403"/>
      <c r="CE35" s="403"/>
      <c r="CF35" s="403"/>
      <c r="CG35" s="403"/>
      <c r="CH35" s="403"/>
      <c r="CI35" s="403"/>
      <c r="CJ35" s="403"/>
      <c r="CK35" s="403"/>
      <c r="CL35" s="403"/>
      <c r="CM35" s="403"/>
      <c r="CN35" s="403"/>
      <c r="CO35" s="403"/>
      <c r="CP35" s="403"/>
      <c r="CQ35" s="403"/>
      <c r="CR35" s="403"/>
      <c r="CS35" s="403"/>
      <c r="CT35" s="403"/>
      <c r="CU35" s="403"/>
      <c r="CV35" s="403"/>
      <c r="CW35" s="403"/>
      <c r="CX35" s="403"/>
      <c r="CY35" s="403"/>
      <c r="CZ35" s="403"/>
      <c r="DA35" s="403"/>
      <c r="DB35" s="403"/>
      <c r="DC35" s="403"/>
      <c r="DD35" s="403"/>
      <c r="DE35" s="403"/>
      <c r="DF35" s="403"/>
      <c r="DG35" s="403"/>
      <c r="DH35" s="403"/>
      <c r="DI35" s="403"/>
      <c r="DJ35" s="403"/>
      <c r="DK35" s="403"/>
      <c r="DL35" s="403"/>
      <c r="DM35" s="403"/>
      <c r="DN35" s="403"/>
      <c r="DO35" s="403"/>
      <c r="DP35" s="403"/>
      <c r="DQ35" s="403"/>
      <c r="DR35" s="403"/>
      <c r="DS35" s="403"/>
      <c r="DT35" s="403"/>
      <c r="DU35" s="403"/>
      <c r="DV35" s="403"/>
      <c r="DW35" s="403"/>
      <c r="DX35" s="403"/>
      <c r="DY35" s="564"/>
      <c r="DZ35" s="564"/>
    </row>
    <row r="36" spans="1:130" s="194" customFormat="1" x14ac:dyDescent="0.2">
      <c r="A36" s="350">
        <v>2</v>
      </c>
      <c r="B36" s="34"/>
      <c r="C36" s="374"/>
      <c r="D36" s="35">
        <v>1</v>
      </c>
      <c r="E36" s="299"/>
      <c r="F36" s="2"/>
      <c r="G36" s="523"/>
      <c r="H36" s="401"/>
      <c r="I36" s="300" t="e">
        <f>IF(ISBLANK(H36),G36/USD2LCU,H36)</f>
        <v>#N/A</v>
      </c>
      <c r="J36" s="300" t="e">
        <f>D36*I36</f>
        <v>#N/A</v>
      </c>
      <c r="K36" s="152"/>
      <c r="L36" s="299"/>
      <c r="M36" s="299"/>
      <c r="N36" s="299"/>
      <c r="O36" s="574"/>
      <c r="P36" s="587"/>
      <c r="Q36" s="403"/>
      <c r="R36" s="403"/>
      <c r="S36" s="403"/>
      <c r="T36" s="403"/>
      <c r="U36" s="403"/>
      <c r="V36" s="403"/>
      <c r="W36" s="403"/>
      <c r="X36" s="403"/>
      <c r="Y36" s="403"/>
      <c r="Z36" s="403"/>
      <c r="AA36" s="403"/>
      <c r="AB36" s="403"/>
      <c r="AC36" s="403"/>
      <c r="AD36" s="403"/>
      <c r="AE36" s="403"/>
      <c r="AF36" s="403"/>
      <c r="AG36" s="403"/>
      <c r="AH36" s="403"/>
      <c r="AI36" s="403"/>
      <c r="AJ36" s="403"/>
      <c r="AK36" s="403"/>
      <c r="AL36" s="403"/>
      <c r="AM36" s="403"/>
      <c r="AN36" s="403"/>
      <c r="AO36" s="403"/>
      <c r="AP36" s="403"/>
      <c r="AQ36" s="403"/>
      <c r="AR36" s="403"/>
      <c r="AS36" s="403"/>
      <c r="AT36" s="403"/>
      <c r="AU36" s="403"/>
      <c r="AV36" s="403"/>
      <c r="AW36" s="403"/>
      <c r="AX36" s="403"/>
      <c r="AY36" s="403"/>
      <c r="AZ36" s="403"/>
      <c r="BA36" s="403"/>
      <c r="BB36" s="403"/>
      <c r="BC36" s="403"/>
      <c r="BD36" s="403"/>
      <c r="BE36" s="403"/>
      <c r="BF36" s="403"/>
      <c r="BG36" s="403"/>
      <c r="BH36" s="403"/>
      <c r="BI36" s="403"/>
      <c r="BJ36" s="403"/>
      <c r="BK36" s="403"/>
      <c r="BL36" s="403"/>
      <c r="BM36" s="403"/>
      <c r="BN36" s="403"/>
      <c r="BO36" s="403"/>
      <c r="BP36" s="403"/>
      <c r="BQ36" s="403"/>
      <c r="BR36" s="403"/>
      <c r="BS36" s="403"/>
      <c r="BT36" s="403"/>
      <c r="BU36" s="403"/>
      <c r="BV36" s="403"/>
      <c r="BW36" s="403"/>
      <c r="BX36" s="403"/>
      <c r="BY36" s="403"/>
      <c r="BZ36" s="403"/>
      <c r="CA36" s="403"/>
      <c r="CB36" s="403"/>
      <c r="CC36" s="403"/>
      <c r="CD36" s="403"/>
      <c r="CE36" s="403"/>
      <c r="CF36" s="403"/>
      <c r="CG36" s="403"/>
      <c r="CH36" s="403"/>
      <c r="CI36" s="403"/>
      <c r="CJ36" s="403"/>
      <c r="CK36" s="403"/>
      <c r="CL36" s="403"/>
      <c r="CM36" s="403"/>
      <c r="CN36" s="403"/>
      <c r="CO36" s="403"/>
      <c r="CP36" s="403"/>
      <c r="CQ36" s="403"/>
      <c r="CR36" s="403"/>
      <c r="CS36" s="403"/>
      <c r="CT36" s="403"/>
      <c r="CU36" s="403"/>
      <c r="CV36" s="403"/>
      <c r="CW36" s="403"/>
      <c r="CX36" s="403"/>
      <c r="CY36" s="403"/>
      <c r="CZ36" s="403"/>
      <c r="DA36" s="403"/>
      <c r="DB36" s="403"/>
      <c r="DC36" s="403"/>
      <c r="DD36" s="403"/>
      <c r="DE36" s="403"/>
      <c r="DF36" s="403"/>
      <c r="DG36" s="403"/>
      <c r="DH36" s="403"/>
      <c r="DI36" s="403"/>
      <c r="DJ36" s="403"/>
      <c r="DK36" s="403"/>
      <c r="DL36" s="403"/>
      <c r="DM36" s="403"/>
      <c r="DN36" s="403"/>
      <c r="DO36" s="403"/>
      <c r="DP36" s="403"/>
      <c r="DQ36" s="403"/>
      <c r="DR36" s="403"/>
      <c r="DS36" s="403"/>
      <c r="DT36" s="403"/>
      <c r="DU36" s="403"/>
      <c r="DV36" s="403"/>
      <c r="DW36" s="403"/>
      <c r="DX36" s="403"/>
      <c r="DY36" s="564"/>
      <c r="DZ36" s="564"/>
    </row>
    <row r="37" spans="1:130" s="194" customFormat="1" x14ac:dyDescent="0.2">
      <c r="B37" s="34"/>
      <c r="C37" s="5"/>
      <c r="G37" s="299"/>
      <c r="H37" s="300"/>
      <c r="I37" s="299"/>
      <c r="K37" s="34"/>
      <c r="L37" s="299"/>
      <c r="M37" s="299"/>
      <c r="N37" s="299"/>
      <c r="P37" s="567"/>
      <c r="Q37" s="403"/>
      <c r="R37" s="403"/>
      <c r="S37" s="403"/>
      <c r="T37" s="403"/>
      <c r="U37" s="403"/>
      <c r="V37" s="403"/>
      <c r="W37" s="403"/>
      <c r="X37" s="403"/>
      <c r="Y37" s="403"/>
      <c r="Z37" s="403"/>
      <c r="AA37" s="403"/>
      <c r="AB37" s="403"/>
      <c r="AC37" s="403"/>
      <c r="AD37" s="403"/>
      <c r="AE37" s="403"/>
      <c r="AF37" s="403"/>
      <c r="AG37" s="403"/>
      <c r="AH37" s="403"/>
      <c r="AI37" s="403"/>
      <c r="AJ37" s="403"/>
      <c r="AK37" s="403"/>
      <c r="AL37" s="403"/>
      <c r="AM37" s="403"/>
      <c r="AN37" s="403"/>
      <c r="AO37" s="403"/>
      <c r="AP37" s="403"/>
      <c r="AQ37" s="403"/>
      <c r="AR37" s="403"/>
      <c r="AS37" s="403"/>
      <c r="AT37" s="403"/>
      <c r="AU37" s="403"/>
      <c r="AV37" s="403"/>
      <c r="AW37" s="403"/>
      <c r="AX37" s="403"/>
      <c r="AY37" s="403"/>
      <c r="AZ37" s="403"/>
      <c r="BA37" s="403"/>
      <c r="BB37" s="403"/>
      <c r="BC37" s="403"/>
      <c r="BD37" s="403"/>
      <c r="BE37" s="403"/>
      <c r="BF37" s="403"/>
      <c r="BG37" s="403"/>
      <c r="BH37" s="403"/>
      <c r="BI37" s="403"/>
      <c r="BJ37" s="403"/>
      <c r="BK37" s="403"/>
      <c r="BL37" s="403"/>
      <c r="BM37" s="403"/>
      <c r="BN37" s="403"/>
      <c r="BO37" s="403"/>
      <c r="BP37" s="403"/>
      <c r="BQ37" s="403"/>
      <c r="BR37" s="403"/>
      <c r="BS37" s="403"/>
      <c r="BT37" s="403"/>
      <c r="BU37" s="403"/>
      <c r="BV37" s="403"/>
      <c r="BW37" s="403"/>
      <c r="BX37" s="403"/>
      <c r="BY37" s="403"/>
      <c r="BZ37" s="403"/>
      <c r="CA37" s="403"/>
      <c r="CB37" s="403"/>
      <c r="CC37" s="403"/>
      <c r="CD37" s="403"/>
      <c r="CE37" s="403"/>
      <c r="CF37" s="403"/>
      <c r="CG37" s="403"/>
      <c r="CH37" s="403"/>
      <c r="CI37" s="403"/>
      <c r="CJ37" s="403"/>
      <c r="CK37" s="403"/>
      <c r="CL37" s="403"/>
      <c r="CM37" s="403"/>
      <c r="CN37" s="403"/>
      <c r="CO37" s="403"/>
      <c r="CP37" s="403"/>
      <c r="CQ37" s="403"/>
      <c r="CR37" s="403"/>
      <c r="CS37" s="403"/>
      <c r="CT37" s="403"/>
      <c r="CU37" s="403"/>
      <c r="CV37" s="403"/>
      <c r="CW37" s="403"/>
      <c r="CX37" s="403"/>
      <c r="CY37" s="403"/>
      <c r="CZ37" s="403"/>
      <c r="DA37" s="403"/>
      <c r="DB37" s="403"/>
      <c r="DC37" s="403"/>
      <c r="DD37" s="403"/>
      <c r="DE37" s="403"/>
      <c r="DF37" s="403"/>
      <c r="DG37" s="403"/>
      <c r="DH37" s="403"/>
      <c r="DI37" s="403"/>
      <c r="DJ37" s="403"/>
      <c r="DK37" s="403"/>
      <c r="DL37" s="403"/>
      <c r="DM37" s="403"/>
      <c r="DN37" s="403"/>
      <c r="DO37" s="403"/>
      <c r="DP37" s="403"/>
      <c r="DQ37" s="403"/>
      <c r="DR37" s="403"/>
      <c r="DS37" s="403"/>
      <c r="DT37" s="403"/>
      <c r="DU37" s="403"/>
      <c r="DV37" s="403"/>
      <c r="DW37" s="403"/>
      <c r="DX37" s="403"/>
      <c r="DY37" s="564"/>
      <c r="DZ37" s="564"/>
    </row>
    <row r="38" spans="1:130" s="299" customFormat="1" ht="15" x14ac:dyDescent="0.25">
      <c r="B38" s="8" t="str">
        <f ca="1">IF(OFFSET(S38,0,Lang_Order*Lang__A4)="","",OFFSET(S38,0,Lang_Order*Lang__A4))</f>
        <v>A4.1.04 Prioritization, Targeting, and Covid-19 Surveillance</v>
      </c>
      <c r="C38" s="19"/>
      <c r="D38" s="19"/>
      <c r="E38" s="19"/>
      <c r="F38" s="19"/>
      <c r="G38" s="408" t="str">
        <f>CONCATENATE(Lang_LCU,": ",LCU)</f>
        <v xml:space="preserve">LCU: </v>
      </c>
      <c r="H38" s="219" t="str">
        <f ca="1">IF(OFFSET(Y38,0,Lang_Order*Lang__A4)="","",OFFSET(Y38,0,Lang_Order*Lang__A4))</f>
        <v>Override in USD</v>
      </c>
      <c r="I38" s="19"/>
      <c r="J38" s="19"/>
      <c r="K38" s="188" t="e">
        <f>SUM(J40:J43)</f>
        <v>#N/A</v>
      </c>
      <c r="L38" s="8"/>
      <c r="M38" s="8"/>
      <c r="N38" s="8"/>
      <c r="O38" s="8"/>
      <c r="P38" s="8"/>
      <c r="Q38" s="403"/>
      <c r="R38" s="403"/>
      <c r="S38" s="403" t="s">
        <v>14486</v>
      </c>
      <c r="T38" s="403"/>
      <c r="U38" s="403"/>
      <c r="V38" s="403"/>
      <c r="W38" s="403"/>
      <c r="X38" s="403"/>
      <c r="Y38" s="403" t="s">
        <v>2977</v>
      </c>
      <c r="Z38" s="403"/>
      <c r="AA38" s="403"/>
      <c r="AB38" s="403"/>
      <c r="AC38" s="403"/>
      <c r="AD38" s="403"/>
      <c r="AE38" s="403"/>
      <c r="AF38" s="403"/>
      <c r="AG38" s="403"/>
      <c r="AH38" s="403"/>
      <c r="AI38" s="403" t="s">
        <v>14487</v>
      </c>
      <c r="AJ38" s="403"/>
      <c r="AK38" s="403"/>
      <c r="AL38" s="403"/>
      <c r="AM38" s="403"/>
      <c r="AN38" s="403"/>
      <c r="AO38" s="403" t="s">
        <v>7897</v>
      </c>
      <c r="AP38" s="403"/>
      <c r="AQ38" s="403"/>
      <c r="AR38" s="403"/>
      <c r="AS38" s="403"/>
      <c r="AT38" s="403"/>
      <c r="AU38" s="403"/>
      <c r="AV38" s="403"/>
      <c r="AW38" s="403"/>
      <c r="AX38" s="403"/>
      <c r="AY38" s="403" t="s">
        <v>14488</v>
      </c>
      <c r="AZ38" s="403"/>
      <c r="BA38" s="403"/>
      <c r="BB38" s="403"/>
      <c r="BC38" s="403"/>
      <c r="BD38" s="403"/>
      <c r="BE38" s="403" t="s">
        <v>8114</v>
      </c>
      <c r="BF38" s="403"/>
      <c r="BG38" s="403"/>
      <c r="BH38" s="403"/>
      <c r="BI38" s="403"/>
      <c r="BJ38" s="403"/>
      <c r="BK38" s="403"/>
      <c r="BL38" s="403"/>
      <c r="BM38" s="403"/>
      <c r="BN38" s="403"/>
      <c r="BO38" s="403" t="s">
        <v>14489</v>
      </c>
      <c r="BP38" s="403"/>
      <c r="BQ38" s="403"/>
      <c r="BR38" s="403"/>
      <c r="BS38" s="403"/>
      <c r="BT38" s="403"/>
      <c r="BU38" s="403" t="s">
        <v>7903</v>
      </c>
      <c r="BV38" s="403"/>
      <c r="BW38" s="403"/>
      <c r="BX38" s="403"/>
      <c r="BY38" s="403"/>
      <c r="BZ38" s="403"/>
      <c r="CA38" s="403"/>
      <c r="CB38" s="403"/>
      <c r="CC38" s="403"/>
      <c r="CD38" s="403"/>
      <c r="CE38" s="403" t="s">
        <v>14490</v>
      </c>
      <c r="CF38" s="403"/>
      <c r="CG38" s="403"/>
      <c r="CH38" s="403"/>
      <c r="CI38" s="403"/>
      <c r="CJ38" s="403"/>
      <c r="CK38" s="403" t="s">
        <v>7906</v>
      </c>
      <c r="CL38" s="403"/>
      <c r="CM38" s="403"/>
      <c r="CN38" s="403"/>
      <c r="CO38" s="403"/>
      <c r="CP38" s="403"/>
      <c r="CQ38" s="403"/>
      <c r="CR38" s="403"/>
      <c r="CS38" s="403"/>
      <c r="CT38" s="403"/>
      <c r="CU38" s="403" t="s">
        <v>14491</v>
      </c>
      <c r="CV38" s="403"/>
      <c r="CW38" s="403"/>
      <c r="CX38" s="403"/>
      <c r="CY38" s="403"/>
      <c r="CZ38" s="403"/>
      <c r="DA38" s="403" t="s">
        <v>7908</v>
      </c>
      <c r="DB38" s="403"/>
      <c r="DC38" s="403"/>
      <c r="DD38" s="403"/>
      <c r="DE38" s="403"/>
      <c r="DF38" s="403"/>
      <c r="DG38" s="403"/>
      <c r="DH38" s="403"/>
      <c r="DI38" s="403"/>
      <c r="DJ38" s="403"/>
      <c r="DK38" s="403" t="s">
        <v>14492</v>
      </c>
      <c r="DL38" s="403"/>
      <c r="DM38" s="403"/>
      <c r="DN38" s="403"/>
      <c r="DO38" s="403"/>
      <c r="DP38" s="403"/>
      <c r="DQ38" s="403" t="s">
        <v>7911</v>
      </c>
      <c r="DR38" s="403"/>
      <c r="DS38" s="403"/>
      <c r="DT38" s="403"/>
      <c r="DU38" s="403"/>
      <c r="DV38" s="403"/>
      <c r="DW38" s="403"/>
      <c r="DX38" s="403"/>
      <c r="DY38" s="564"/>
      <c r="DZ38" s="564"/>
    </row>
    <row r="39" spans="1:130" s="185" customFormat="1" x14ac:dyDescent="0.2">
      <c r="C39" s="299"/>
      <c r="P39" s="574"/>
      <c r="Q39" s="403"/>
      <c r="R39" s="403"/>
      <c r="S39" s="403"/>
      <c r="T39" s="403"/>
      <c r="U39" s="403"/>
      <c r="V39" s="403"/>
      <c r="W39" s="403"/>
      <c r="X39" s="403"/>
      <c r="Y39" s="403"/>
      <c r="Z39" s="403"/>
      <c r="AA39" s="403"/>
      <c r="AB39" s="403"/>
      <c r="AC39" s="403"/>
      <c r="AD39" s="403"/>
      <c r="AE39" s="403"/>
      <c r="AF39" s="403"/>
      <c r="AG39" s="403"/>
      <c r="AH39" s="403"/>
      <c r="AI39" s="403"/>
      <c r="AJ39" s="403"/>
      <c r="AK39" s="403"/>
      <c r="AL39" s="403"/>
      <c r="AM39" s="403"/>
      <c r="AN39" s="403"/>
      <c r="AO39" s="403"/>
      <c r="AP39" s="403"/>
      <c r="AQ39" s="403"/>
      <c r="AR39" s="403"/>
      <c r="AS39" s="403"/>
      <c r="AT39" s="403"/>
      <c r="AU39" s="403"/>
      <c r="AV39" s="403"/>
      <c r="AW39" s="403"/>
      <c r="AX39" s="403"/>
      <c r="AY39" s="403"/>
      <c r="AZ39" s="403"/>
      <c r="BA39" s="403"/>
      <c r="BB39" s="403"/>
      <c r="BC39" s="403"/>
      <c r="BD39" s="403"/>
      <c r="BE39" s="403"/>
      <c r="BF39" s="403"/>
      <c r="BG39" s="403"/>
      <c r="BH39" s="403"/>
      <c r="BI39" s="403"/>
      <c r="BJ39" s="403"/>
      <c r="BK39" s="403"/>
      <c r="BL39" s="403"/>
      <c r="BM39" s="403"/>
      <c r="BN39" s="403"/>
      <c r="BO39" s="403"/>
      <c r="BP39" s="403"/>
      <c r="BQ39" s="403"/>
      <c r="BR39" s="403"/>
      <c r="BS39" s="403"/>
      <c r="BT39" s="403"/>
      <c r="BU39" s="403"/>
      <c r="BV39" s="403"/>
      <c r="BW39" s="403"/>
      <c r="BX39" s="403"/>
      <c r="BY39" s="403"/>
      <c r="BZ39" s="403"/>
      <c r="CA39" s="403"/>
      <c r="CB39" s="403"/>
      <c r="CC39" s="403"/>
      <c r="CD39" s="403"/>
      <c r="CE39" s="403"/>
      <c r="CF39" s="403"/>
      <c r="CG39" s="403"/>
      <c r="CH39" s="403"/>
      <c r="CI39" s="403"/>
      <c r="CJ39" s="403"/>
      <c r="CK39" s="403"/>
      <c r="CL39" s="403"/>
      <c r="CM39" s="403"/>
      <c r="CN39" s="403"/>
      <c r="CO39" s="403"/>
      <c r="CP39" s="403"/>
      <c r="CQ39" s="403"/>
      <c r="CR39" s="403"/>
      <c r="CS39" s="403"/>
      <c r="CT39" s="403"/>
      <c r="CU39" s="403"/>
      <c r="CV39" s="403"/>
      <c r="CW39" s="403"/>
      <c r="CX39" s="403"/>
      <c r="CY39" s="403"/>
      <c r="CZ39" s="403"/>
      <c r="DA39" s="403"/>
      <c r="DB39" s="403"/>
      <c r="DC39" s="403"/>
      <c r="DD39" s="403"/>
      <c r="DE39" s="403"/>
      <c r="DF39" s="403"/>
      <c r="DG39" s="403"/>
      <c r="DH39" s="403"/>
      <c r="DI39" s="403"/>
      <c r="DJ39" s="403"/>
      <c r="DK39" s="403"/>
      <c r="DL39" s="403"/>
      <c r="DM39" s="403"/>
      <c r="DN39" s="403"/>
      <c r="DO39" s="403"/>
      <c r="DP39" s="403"/>
      <c r="DQ39" s="403"/>
      <c r="DR39" s="403"/>
      <c r="DS39" s="403"/>
      <c r="DT39" s="403"/>
      <c r="DU39" s="403"/>
      <c r="DV39" s="403"/>
      <c r="DW39" s="403"/>
      <c r="DX39" s="403"/>
      <c r="DY39" s="564"/>
      <c r="DZ39" s="564"/>
    </row>
    <row r="40" spans="1:130" s="166" customFormat="1" ht="25.5" x14ac:dyDescent="0.2">
      <c r="A40" s="354">
        <v>1</v>
      </c>
      <c r="B40" s="589"/>
      <c r="C40" s="370" t="str">
        <f ca="1">IF(OFFSET(T40,0,Lang_Order*Lang__A4)="","",OFFSET(T40,0,Lang_Order*Lang__A4))</f>
        <v>TA: Identify target populations and their geographic location, estimate numbers, and delivery modalities</v>
      </c>
      <c r="D40" s="590">
        <v>1</v>
      </c>
      <c r="F40" s="590"/>
      <c r="G40" s="591"/>
      <c r="H40" s="592"/>
      <c r="I40" s="593" t="e">
        <f>IF(ISBLANK(H40),G40/USD2LCU,H40)</f>
        <v>#N/A</v>
      </c>
      <c r="J40" s="593" t="e">
        <f>D40*I40</f>
        <v>#N/A</v>
      </c>
      <c r="K40" s="594"/>
      <c r="L40" s="166" t="s">
        <v>3858</v>
      </c>
      <c r="O40" s="369"/>
      <c r="P40" s="595"/>
      <c r="Q40" s="566"/>
      <c r="R40" s="566"/>
      <c r="S40" s="566"/>
      <c r="T40" s="566" t="s">
        <v>3882</v>
      </c>
      <c r="U40" s="566"/>
      <c r="V40" s="566"/>
      <c r="W40" s="566"/>
      <c r="X40" s="566"/>
      <c r="Y40" s="566"/>
      <c r="Z40" s="566"/>
      <c r="AA40" s="566"/>
      <c r="AB40" s="566"/>
      <c r="AC40" s="566"/>
      <c r="AD40" s="566"/>
      <c r="AE40" s="566"/>
      <c r="AF40" s="566"/>
      <c r="AG40" s="566"/>
      <c r="AH40" s="566"/>
      <c r="AI40" s="566"/>
      <c r="AJ40" s="566" t="s">
        <v>8778</v>
      </c>
      <c r="AK40" s="566"/>
      <c r="AL40" s="566"/>
      <c r="AM40" s="566"/>
      <c r="AN40" s="566"/>
      <c r="AO40" s="566"/>
      <c r="AP40" s="566"/>
      <c r="AQ40" s="566"/>
      <c r="AR40" s="566"/>
      <c r="AS40" s="566"/>
      <c r="AT40" s="566"/>
      <c r="AU40" s="566"/>
      <c r="AV40" s="566"/>
      <c r="AW40" s="566"/>
      <c r="AX40" s="566"/>
      <c r="AY40" s="566"/>
      <c r="AZ40" s="566" t="s">
        <v>8779</v>
      </c>
      <c r="BA40" s="566"/>
      <c r="BB40" s="566"/>
      <c r="BC40" s="566"/>
      <c r="BD40" s="566"/>
      <c r="BE40" s="566"/>
      <c r="BF40" s="566"/>
      <c r="BG40" s="566"/>
      <c r="BH40" s="566"/>
      <c r="BI40" s="566"/>
      <c r="BJ40" s="566"/>
      <c r="BK40" s="566"/>
      <c r="BL40" s="566"/>
      <c r="BM40" s="566"/>
      <c r="BN40" s="566"/>
      <c r="BO40" s="566"/>
      <c r="BP40" s="566" t="s">
        <v>8780</v>
      </c>
      <c r="BQ40" s="566"/>
      <c r="BR40" s="566"/>
      <c r="BS40" s="566"/>
      <c r="BT40" s="566"/>
      <c r="BU40" s="566"/>
      <c r="BV40" s="566"/>
      <c r="BW40" s="566"/>
      <c r="BX40" s="566"/>
      <c r="BY40" s="566"/>
      <c r="BZ40" s="566"/>
      <c r="CA40" s="566"/>
      <c r="CB40" s="566"/>
      <c r="CC40" s="566"/>
      <c r="CD40" s="566"/>
      <c r="CE40" s="566"/>
      <c r="CF40" s="566" t="s">
        <v>8781</v>
      </c>
      <c r="CG40" s="566"/>
      <c r="CH40" s="566"/>
      <c r="CI40" s="566"/>
      <c r="CJ40" s="566"/>
      <c r="CK40" s="566"/>
      <c r="CL40" s="566"/>
      <c r="CM40" s="566"/>
      <c r="CN40" s="566"/>
      <c r="CO40" s="566"/>
      <c r="CP40" s="566"/>
      <c r="CQ40" s="566"/>
      <c r="CR40" s="566"/>
      <c r="CS40" s="566"/>
      <c r="CT40" s="566"/>
      <c r="CU40" s="566"/>
      <c r="CV40" s="566" t="s">
        <v>8782</v>
      </c>
      <c r="CW40" s="566"/>
      <c r="CX40" s="566"/>
      <c r="CY40" s="566"/>
      <c r="CZ40" s="566"/>
      <c r="DA40" s="566"/>
      <c r="DB40" s="566"/>
      <c r="DC40" s="566"/>
      <c r="DD40" s="566"/>
      <c r="DE40" s="566"/>
      <c r="DF40" s="566"/>
      <c r="DG40" s="566"/>
      <c r="DH40" s="566"/>
      <c r="DI40" s="566"/>
      <c r="DJ40" s="566"/>
      <c r="DK40" s="566"/>
      <c r="DL40" s="566" t="s">
        <v>8783</v>
      </c>
      <c r="DM40" s="566"/>
      <c r="DN40" s="566"/>
      <c r="DO40" s="566"/>
      <c r="DP40" s="566"/>
      <c r="DQ40" s="566"/>
      <c r="DR40" s="566"/>
      <c r="DS40" s="566"/>
      <c r="DT40" s="566"/>
      <c r="DU40" s="566"/>
      <c r="DV40" s="566"/>
      <c r="DW40" s="566"/>
      <c r="DX40" s="566"/>
      <c r="DY40" s="564"/>
      <c r="DZ40" s="564"/>
    </row>
    <row r="41" spans="1:130" s="299" customFormat="1" x14ac:dyDescent="0.2">
      <c r="A41" s="350">
        <v>2</v>
      </c>
      <c r="B41" s="34"/>
      <c r="C41" s="374" t="s">
        <v>2974</v>
      </c>
      <c r="D41" s="35">
        <v>1</v>
      </c>
      <c r="F41" s="2"/>
      <c r="G41" s="32"/>
      <c r="H41" s="401"/>
      <c r="I41" s="300" t="e">
        <f>IF(ISBLANK(H41),G41/USD2LCU,H41)</f>
        <v>#N/A</v>
      </c>
      <c r="J41" s="300" t="e">
        <f>D41*I41</f>
        <v>#N/A</v>
      </c>
      <c r="K41" s="152"/>
      <c r="O41" s="574"/>
      <c r="P41" s="587"/>
      <c r="Q41" s="403"/>
      <c r="R41" s="403"/>
      <c r="S41" s="403"/>
      <c r="T41" s="403" t="s">
        <v>2974</v>
      </c>
      <c r="U41" s="403"/>
      <c r="V41" s="403"/>
      <c r="W41" s="403"/>
      <c r="X41" s="403"/>
      <c r="Y41" s="403"/>
      <c r="Z41" s="403"/>
      <c r="AA41" s="403"/>
      <c r="AB41" s="403"/>
      <c r="AC41" s="403"/>
      <c r="AD41" s="403"/>
      <c r="AE41" s="403"/>
      <c r="AF41" s="403"/>
      <c r="AG41" s="403"/>
      <c r="AH41" s="403"/>
      <c r="AI41" s="403"/>
      <c r="AJ41" s="403" t="s">
        <v>8784</v>
      </c>
      <c r="AK41" s="403"/>
      <c r="AL41" s="403"/>
      <c r="AM41" s="403"/>
      <c r="AN41" s="403"/>
      <c r="AO41" s="403"/>
      <c r="AP41" s="403"/>
      <c r="AQ41" s="403"/>
      <c r="AR41" s="403"/>
      <c r="AS41" s="403"/>
      <c r="AT41" s="403"/>
      <c r="AU41" s="403"/>
      <c r="AV41" s="403"/>
      <c r="AW41" s="403"/>
      <c r="AX41" s="403"/>
      <c r="AY41" s="403"/>
      <c r="AZ41" s="403" t="s">
        <v>8785</v>
      </c>
      <c r="BA41" s="403"/>
      <c r="BB41" s="403"/>
      <c r="BC41" s="403"/>
      <c r="BD41" s="403"/>
      <c r="BE41" s="403"/>
      <c r="BF41" s="403"/>
      <c r="BG41" s="403"/>
      <c r="BH41" s="403"/>
      <c r="BI41" s="403"/>
      <c r="BJ41" s="403"/>
      <c r="BK41" s="403"/>
      <c r="BL41" s="403"/>
      <c r="BM41" s="403"/>
      <c r="BN41" s="403"/>
      <c r="BO41" s="403"/>
      <c r="BP41" s="403" t="s">
        <v>8786</v>
      </c>
      <c r="BQ41" s="403"/>
      <c r="BR41" s="403"/>
      <c r="BS41" s="403"/>
      <c r="BT41" s="403"/>
      <c r="BU41" s="403"/>
      <c r="BV41" s="403"/>
      <c r="BW41" s="403"/>
      <c r="BX41" s="403"/>
      <c r="BY41" s="403"/>
      <c r="BZ41" s="403"/>
      <c r="CA41" s="403"/>
      <c r="CB41" s="403"/>
      <c r="CC41" s="403"/>
      <c r="CD41" s="403"/>
      <c r="CE41" s="403"/>
      <c r="CF41" s="403" t="s">
        <v>8787</v>
      </c>
      <c r="CG41" s="403"/>
      <c r="CH41" s="403"/>
      <c r="CI41" s="403"/>
      <c r="CJ41" s="403"/>
      <c r="CK41" s="403"/>
      <c r="CL41" s="403"/>
      <c r="CM41" s="403"/>
      <c r="CN41" s="403"/>
      <c r="CO41" s="403"/>
      <c r="CP41" s="403"/>
      <c r="CQ41" s="403"/>
      <c r="CR41" s="403"/>
      <c r="CS41" s="403"/>
      <c r="CT41" s="403"/>
      <c r="CU41" s="403"/>
      <c r="CV41" s="403" t="s">
        <v>8788</v>
      </c>
      <c r="CW41" s="403"/>
      <c r="CX41" s="403"/>
      <c r="CY41" s="403"/>
      <c r="CZ41" s="403"/>
      <c r="DA41" s="403"/>
      <c r="DB41" s="403"/>
      <c r="DC41" s="403"/>
      <c r="DD41" s="403"/>
      <c r="DE41" s="403"/>
      <c r="DF41" s="403"/>
      <c r="DG41" s="403"/>
      <c r="DH41" s="403"/>
      <c r="DI41" s="403"/>
      <c r="DJ41" s="403"/>
      <c r="DK41" s="403"/>
      <c r="DL41" s="403" t="s">
        <v>8789</v>
      </c>
      <c r="DM41" s="403"/>
      <c r="DN41" s="403"/>
      <c r="DO41" s="403"/>
      <c r="DP41" s="403"/>
      <c r="DQ41" s="403"/>
      <c r="DR41" s="403"/>
      <c r="DS41" s="403"/>
      <c r="DT41" s="403"/>
      <c r="DU41" s="403"/>
      <c r="DV41" s="403"/>
      <c r="DW41" s="403"/>
      <c r="DX41" s="403"/>
      <c r="DY41" s="564"/>
      <c r="DZ41" s="564"/>
    </row>
    <row r="42" spans="1:130" s="299" customFormat="1" x14ac:dyDescent="0.2">
      <c r="A42" s="350">
        <v>2</v>
      </c>
      <c r="B42" s="34"/>
      <c r="C42" s="374"/>
      <c r="D42" s="35">
        <v>1</v>
      </c>
      <c r="F42" s="2"/>
      <c r="G42" s="32"/>
      <c r="H42" s="401"/>
      <c r="I42" s="300" t="e">
        <f>IF(ISBLANK(H42),G42/USD2LCU,H42)</f>
        <v>#N/A</v>
      </c>
      <c r="J42" s="300" t="e">
        <f>D42*I42</f>
        <v>#N/A</v>
      </c>
      <c r="K42" s="152"/>
      <c r="O42" s="574"/>
      <c r="P42" s="587"/>
      <c r="Q42" s="403"/>
      <c r="R42" s="403"/>
      <c r="S42" s="403"/>
      <c r="T42" s="403"/>
      <c r="U42" s="403"/>
      <c r="V42" s="403"/>
      <c r="W42" s="403"/>
      <c r="X42" s="403"/>
      <c r="Y42" s="403"/>
      <c r="Z42" s="403"/>
      <c r="AA42" s="403"/>
      <c r="AB42" s="403"/>
      <c r="AC42" s="403"/>
      <c r="AD42" s="403"/>
      <c r="AE42" s="403"/>
      <c r="AF42" s="403"/>
      <c r="AG42" s="403"/>
      <c r="AH42" s="403"/>
      <c r="AI42" s="403"/>
      <c r="AJ42" s="403" t="s">
        <v>8753</v>
      </c>
      <c r="AK42" s="403"/>
      <c r="AL42" s="403"/>
      <c r="AM42" s="403"/>
      <c r="AN42" s="403"/>
      <c r="AO42" s="403"/>
      <c r="AP42" s="403"/>
      <c r="AQ42" s="403"/>
      <c r="AR42" s="403"/>
      <c r="AS42" s="403"/>
      <c r="AT42" s="403"/>
      <c r="AU42" s="403"/>
      <c r="AV42" s="403"/>
      <c r="AW42" s="403"/>
      <c r="AX42" s="403"/>
      <c r="AY42" s="403"/>
      <c r="AZ42" s="403" t="s">
        <v>8754</v>
      </c>
      <c r="BA42" s="403"/>
      <c r="BB42" s="403"/>
      <c r="BC42" s="403"/>
      <c r="BD42" s="403"/>
      <c r="BE42" s="403"/>
      <c r="BF42" s="403"/>
      <c r="BG42" s="403"/>
      <c r="BH42" s="403"/>
      <c r="BI42" s="403"/>
      <c r="BJ42" s="403"/>
      <c r="BK42" s="403"/>
      <c r="BL42" s="403"/>
      <c r="BM42" s="403"/>
      <c r="BN42" s="403"/>
      <c r="BO42" s="403"/>
      <c r="BP42" s="403" t="s">
        <v>8755</v>
      </c>
      <c r="BQ42" s="403"/>
      <c r="BR42" s="403"/>
      <c r="BS42" s="403"/>
      <c r="BT42" s="403"/>
      <c r="BU42" s="403"/>
      <c r="BV42" s="403"/>
      <c r="BW42" s="403"/>
      <c r="BX42" s="403"/>
      <c r="BY42" s="403"/>
      <c r="BZ42" s="403"/>
      <c r="CA42" s="403"/>
      <c r="CB42" s="403"/>
      <c r="CC42" s="403"/>
      <c r="CD42" s="403"/>
      <c r="CE42" s="403"/>
      <c r="CF42" s="403" t="s">
        <v>8756</v>
      </c>
      <c r="CG42" s="403"/>
      <c r="CH42" s="403"/>
      <c r="CI42" s="403"/>
      <c r="CJ42" s="403"/>
      <c r="CK42" s="403"/>
      <c r="CL42" s="403"/>
      <c r="CM42" s="403"/>
      <c r="CN42" s="403"/>
      <c r="CO42" s="403"/>
      <c r="CP42" s="403"/>
      <c r="CQ42" s="403"/>
      <c r="CR42" s="403"/>
      <c r="CS42" s="403"/>
      <c r="CT42" s="403"/>
      <c r="CU42" s="403"/>
      <c r="CV42" s="403" t="s">
        <v>8765</v>
      </c>
      <c r="CW42" s="403"/>
      <c r="CX42" s="403"/>
      <c r="CY42" s="403"/>
      <c r="CZ42" s="403"/>
      <c r="DA42" s="403"/>
      <c r="DB42" s="403"/>
      <c r="DC42" s="403"/>
      <c r="DD42" s="403"/>
      <c r="DE42" s="403"/>
      <c r="DF42" s="403"/>
      <c r="DG42" s="403"/>
      <c r="DH42" s="403"/>
      <c r="DI42" s="403"/>
      <c r="DJ42" s="403"/>
      <c r="DK42" s="403"/>
      <c r="DL42" s="403" t="s">
        <v>8758</v>
      </c>
      <c r="DM42" s="403"/>
      <c r="DN42" s="403"/>
      <c r="DO42" s="403"/>
      <c r="DP42" s="403"/>
      <c r="DQ42" s="403"/>
      <c r="DR42" s="403"/>
      <c r="DS42" s="403"/>
      <c r="DT42" s="403"/>
      <c r="DU42" s="403"/>
      <c r="DV42" s="403"/>
      <c r="DW42" s="403"/>
      <c r="DX42" s="403"/>
      <c r="DY42" s="564"/>
      <c r="DZ42" s="564"/>
    </row>
    <row r="43" spans="1:130" s="299" customFormat="1" x14ac:dyDescent="0.2">
      <c r="A43" s="350">
        <v>2</v>
      </c>
      <c r="B43" s="34"/>
      <c r="C43" s="374"/>
      <c r="D43" s="35">
        <v>1</v>
      </c>
      <c r="F43" s="2"/>
      <c r="G43" s="32"/>
      <c r="H43" s="401"/>
      <c r="I43" s="300" t="e">
        <f>IF(ISBLANK(H43),G43/USD2LCU,H43)</f>
        <v>#N/A</v>
      </c>
      <c r="J43" s="300" t="e">
        <f>D43*I43</f>
        <v>#N/A</v>
      </c>
      <c r="K43" s="152"/>
      <c r="O43" s="574"/>
      <c r="P43" s="587"/>
      <c r="Q43" s="403"/>
      <c r="R43" s="403"/>
      <c r="S43" s="403"/>
      <c r="T43" s="403"/>
      <c r="U43" s="403"/>
      <c r="V43" s="403"/>
      <c r="W43" s="403"/>
      <c r="X43" s="403"/>
      <c r="Y43" s="403"/>
      <c r="Z43" s="403"/>
      <c r="AA43" s="403"/>
      <c r="AB43" s="403"/>
      <c r="AC43" s="403"/>
      <c r="AD43" s="403"/>
      <c r="AE43" s="403"/>
      <c r="AF43" s="403"/>
      <c r="AG43" s="403"/>
      <c r="AH43" s="403"/>
      <c r="AI43" s="403"/>
      <c r="AJ43" s="403"/>
      <c r="AK43" s="403"/>
      <c r="AL43" s="403"/>
      <c r="AM43" s="403"/>
      <c r="AN43" s="403"/>
      <c r="AO43" s="403"/>
      <c r="AP43" s="403"/>
      <c r="AQ43" s="403"/>
      <c r="AR43" s="403"/>
      <c r="AS43" s="403"/>
      <c r="AT43" s="403"/>
      <c r="AU43" s="403"/>
      <c r="AV43" s="403"/>
      <c r="AW43" s="403"/>
      <c r="AX43" s="403"/>
      <c r="AY43" s="403"/>
      <c r="AZ43" s="403"/>
      <c r="BA43" s="403"/>
      <c r="BB43" s="403"/>
      <c r="BC43" s="403"/>
      <c r="BD43" s="403"/>
      <c r="BE43" s="403"/>
      <c r="BF43" s="403"/>
      <c r="BG43" s="403"/>
      <c r="BH43" s="403"/>
      <c r="BI43" s="403"/>
      <c r="BJ43" s="403"/>
      <c r="BK43" s="403"/>
      <c r="BL43" s="403"/>
      <c r="BM43" s="403"/>
      <c r="BN43" s="403"/>
      <c r="BO43" s="403"/>
      <c r="BP43" s="403"/>
      <c r="BQ43" s="403"/>
      <c r="BR43" s="403"/>
      <c r="BS43" s="403"/>
      <c r="BT43" s="403"/>
      <c r="BU43" s="403"/>
      <c r="BV43" s="403"/>
      <c r="BW43" s="403"/>
      <c r="BX43" s="403"/>
      <c r="BY43" s="403"/>
      <c r="BZ43" s="403"/>
      <c r="CA43" s="403"/>
      <c r="CB43" s="403"/>
      <c r="CC43" s="403"/>
      <c r="CD43" s="403"/>
      <c r="CE43" s="403"/>
      <c r="CF43" s="403"/>
      <c r="CG43" s="403"/>
      <c r="CH43" s="403"/>
      <c r="CI43" s="403"/>
      <c r="CJ43" s="403"/>
      <c r="CK43" s="403"/>
      <c r="CL43" s="403"/>
      <c r="CM43" s="403"/>
      <c r="CN43" s="403"/>
      <c r="CO43" s="403"/>
      <c r="CP43" s="403"/>
      <c r="CQ43" s="403"/>
      <c r="CR43" s="403"/>
      <c r="CS43" s="403"/>
      <c r="CT43" s="403"/>
      <c r="CU43" s="403"/>
      <c r="CV43" s="403"/>
      <c r="CW43" s="403"/>
      <c r="CX43" s="403"/>
      <c r="CY43" s="403"/>
      <c r="CZ43" s="403"/>
      <c r="DA43" s="403"/>
      <c r="DB43" s="403"/>
      <c r="DC43" s="403"/>
      <c r="DD43" s="403"/>
      <c r="DE43" s="403"/>
      <c r="DF43" s="403"/>
      <c r="DG43" s="403"/>
      <c r="DH43" s="403"/>
      <c r="DI43" s="403"/>
      <c r="DJ43" s="403"/>
      <c r="DK43" s="403"/>
      <c r="DL43" s="403"/>
      <c r="DM43" s="403"/>
      <c r="DN43" s="403"/>
      <c r="DO43" s="403"/>
      <c r="DP43" s="403"/>
      <c r="DQ43" s="403"/>
      <c r="DR43" s="403"/>
      <c r="DS43" s="403"/>
      <c r="DT43" s="403"/>
      <c r="DU43" s="403"/>
      <c r="DV43" s="403"/>
      <c r="DW43" s="403"/>
      <c r="DX43" s="403"/>
      <c r="DY43" s="564"/>
      <c r="DZ43" s="564"/>
    </row>
    <row r="44" spans="1:130" s="299" customFormat="1" x14ac:dyDescent="0.2">
      <c r="A44" s="354">
        <v>1</v>
      </c>
      <c r="B44" s="34"/>
      <c r="C44" s="5" t="str">
        <f ca="1">IF(OFFSET(T44,0,Lang_Order*Lang__A4)="","",OFFSET(T44,0,Lang_Order*Lang__A4))</f>
        <v>TA: Link with Covid-19 disease surveillance</v>
      </c>
      <c r="D44" s="2">
        <v>1</v>
      </c>
      <c r="F44" s="2"/>
      <c r="G44" s="32"/>
      <c r="H44" s="401"/>
      <c r="I44" s="300" t="e">
        <f>IF(ISBLANK(H44),G44/USD2LCU,H44)</f>
        <v>#N/A</v>
      </c>
      <c r="J44" s="300" t="e">
        <f>D44*I44</f>
        <v>#N/A</v>
      </c>
      <c r="K44" s="152"/>
      <c r="L44" s="299" t="s">
        <v>2850</v>
      </c>
      <c r="O44" s="574"/>
      <c r="P44" s="587"/>
      <c r="Q44" s="403"/>
      <c r="R44" s="403"/>
      <c r="S44" s="403"/>
      <c r="T44" s="403" t="s">
        <v>3862</v>
      </c>
      <c r="U44" s="403"/>
      <c r="V44" s="403"/>
      <c r="W44" s="403"/>
      <c r="X44" s="403"/>
      <c r="Y44" s="403"/>
      <c r="Z44" s="403"/>
      <c r="AA44" s="403"/>
      <c r="AB44" s="403"/>
      <c r="AC44" s="403"/>
      <c r="AD44" s="403"/>
      <c r="AE44" s="403"/>
      <c r="AF44" s="403"/>
      <c r="AG44" s="403"/>
      <c r="AH44" s="403"/>
      <c r="AI44" s="403"/>
      <c r="AJ44" s="403"/>
      <c r="AK44" s="403"/>
      <c r="AL44" s="403"/>
      <c r="AM44" s="403"/>
      <c r="AN44" s="403"/>
      <c r="AO44" s="403"/>
      <c r="AP44" s="403"/>
      <c r="AQ44" s="403"/>
      <c r="AR44" s="403"/>
      <c r="AS44" s="403"/>
      <c r="AT44" s="403"/>
      <c r="AU44" s="403"/>
      <c r="AV44" s="403"/>
      <c r="AW44" s="403"/>
      <c r="AX44" s="403"/>
      <c r="AY44" s="403"/>
      <c r="AZ44" s="403"/>
      <c r="BA44" s="403"/>
      <c r="BB44" s="403"/>
      <c r="BC44" s="403"/>
      <c r="BD44" s="403"/>
      <c r="BE44" s="403"/>
      <c r="BF44" s="403"/>
      <c r="BG44" s="403"/>
      <c r="BH44" s="403"/>
      <c r="BI44" s="403"/>
      <c r="BJ44" s="403"/>
      <c r="BK44" s="403"/>
      <c r="BL44" s="403"/>
      <c r="BM44" s="403"/>
      <c r="BN44" s="403"/>
      <c r="BO44" s="403"/>
      <c r="BP44" s="403"/>
      <c r="BQ44" s="403"/>
      <c r="BR44" s="403"/>
      <c r="BS44" s="403"/>
      <c r="BT44" s="403"/>
      <c r="BU44" s="403"/>
      <c r="BV44" s="403"/>
      <c r="BW44" s="403"/>
      <c r="BX44" s="403"/>
      <c r="BY44" s="403"/>
      <c r="BZ44" s="403"/>
      <c r="CA44" s="403"/>
      <c r="CB44" s="403"/>
      <c r="CC44" s="403"/>
      <c r="CD44" s="403"/>
      <c r="CE44" s="403"/>
      <c r="CF44" s="403"/>
      <c r="CG44" s="403"/>
      <c r="CH44" s="403"/>
      <c r="CI44" s="403"/>
      <c r="CJ44" s="403"/>
      <c r="CK44" s="403"/>
      <c r="CL44" s="403"/>
      <c r="CM44" s="403"/>
      <c r="CN44" s="403"/>
      <c r="CO44" s="403"/>
      <c r="CP44" s="403"/>
      <c r="CQ44" s="403"/>
      <c r="CR44" s="403"/>
      <c r="CS44" s="403"/>
      <c r="CT44" s="403"/>
      <c r="CU44" s="403"/>
      <c r="CV44" s="403"/>
      <c r="CW44" s="403"/>
      <c r="CX44" s="403"/>
      <c r="CY44" s="403"/>
      <c r="CZ44" s="403"/>
      <c r="DA44" s="403"/>
      <c r="DB44" s="403"/>
      <c r="DC44" s="403"/>
      <c r="DD44" s="403"/>
      <c r="DE44" s="403"/>
      <c r="DF44" s="403"/>
      <c r="DG44" s="403"/>
      <c r="DH44" s="403"/>
      <c r="DI44" s="403"/>
      <c r="DJ44" s="403"/>
      <c r="DK44" s="403"/>
      <c r="DL44" s="403"/>
      <c r="DM44" s="403"/>
      <c r="DN44" s="403"/>
      <c r="DO44" s="403"/>
      <c r="DP44" s="403"/>
      <c r="DQ44" s="403"/>
      <c r="DR44" s="403"/>
      <c r="DS44" s="403"/>
      <c r="DT44" s="403"/>
      <c r="DU44" s="403"/>
      <c r="DV44" s="403"/>
      <c r="DW44" s="403"/>
      <c r="DX44" s="403"/>
      <c r="DY44" s="564"/>
      <c r="DZ44" s="564"/>
    </row>
    <row r="45" spans="1:130" s="299" customFormat="1" x14ac:dyDescent="0.2">
      <c r="B45" s="34"/>
      <c r="C45" s="5"/>
      <c r="H45" s="300"/>
      <c r="K45" s="34"/>
      <c r="P45" s="567"/>
      <c r="Q45" s="403"/>
      <c r="R45" s="403"/>
      <c r="S45" s="403"/>
      <c r="T45" s="403"/>
      <c r="U45" s="403"/>
      <c r="V45" s="403"/>
      <c r="W45" s="403"/>
      <c r="X45" s="403"/>
      <c r="Y45" s="403"/>
      <c r="Z45" s="403"/>
      <c r="AA45" s="403"/>
      <c r="AB45" s="403"/>
      <c r="AC45" s="403"/>
      <c r="AD45" s="403"/>
      <c r="AE45" s="403"/>
      <c r="AF45" s="403"/>
      <c r="AG45" s="403"/>
      <c r="AH45" s="403"/>
      <c r="AI45" s="403"/>
      <c r="AJ45" s="403"/>
      <c r="AK45" s="403"/>
      <c r="AL45" s="403"/>
      <c r="AM45" s="403"/>
      <c r="AN45" s="403"/>
      <c r="AO45" s="403"/>
      <c r="AP45" s="403"/>
      <c r="AQ45" s="403"/>
      <c r="AR45" s="403"/>
      <c r="AS45" s="403"/>
      <c r="AT45" s="403"/>
      <c r="AU45" s="403"/>
      <c r="AV45" s="403"/>
      <c r="AW45" s="403"/>
      <c r="AX45" s="403"/>
      <c r="AY45" s="403"/>
      <c r="AZ45" s="403"/>
      <c r="BA45" s="403"/>
      <c r="BB45" s="403"/>
      <c r="BC45" s="403"/>
      <c r="BD45" s="403"/>
      <c r="BE45" s="403"/>
      <c r="BF45" s="403"/>
      <c r="BG45" s="403"/>
      <c r="BH45" s="403"/>
      <c r="BI45" s="403"/>
      <c r="BJ45" s="403"/>
      <c r="BK45" s="403"/>
      <c r="BL45" s="403"/>
      <c r="BM45" s="403"/>
      <c r="BN45" s="403"/>
      <c r="BO45" s="403"/>
      <c r="BP45" s="403"/>
      <c r="BQ45" s="403"/>
      <c r="BR45" s="403"/>
      <c r="BS45" s="403"/>
      <c r="BT45" s="403"/>
      <c r="BU45" s="403"/>
      <c r="BV45" s="403"/>
      <c r="BW45" s="403"/>
      <c r="BX45" s="403"/>
      <c r="BY45" s="403"/>
      <c r="BZ45" s="403"/>
      <c r="CA45" s="403"/>
      <c r="CB45" s="403"/>
      <c r="CC45" s="403"/>
      <c r="CD45" s="403"/>
      <c r="CE45" s="403"/>
      <c r="CF45" s="403"/>
      <c r="CG45" s="403"/>
      <c r="CH45" s="403"/>
      <c r="CI45" s="403"/>
      <c r="CJ45" s="403"/>
      <c r="CK45" s="403"/>
      <c r="CL45" s="403"/>
      <c r="CM45" s="403"/>
      <c r="CN45" s="403"/>
      <c r="CO45" s="403"/>
      <c r="CP45" s="403"/>
      <c r="CQ45" s="403"/>
      <c r="CR45" s="403"/>
      <c r="CS45" s="403"/>
      <c r="CT45" s="403"/>
      <c r="CU45" s="403"/>
      <c r="CV45" s="403"/>
      <c r="CW45" s="403"/>
      <c r="CX45" s="403"/>
      <c r="CY45" s="403"/>
      <c r="CZ45" s="403"/>
      <c r="DA45" s="403"/>
      <c r="DB45" s="403"/>
      <c r="DC45" s="403"/>
      <c r="DD45" s="403"/>
      <c r="DE45" s="403"/>
      <c r="DF45" s="403"/>
      <c r="DG45" s="403"/>
      <c r="DH45" s="403"/>
      <c r="DI45" s="403"/>
      <c r="DJ45" s="403"/>
      <c r="DK45" s="403"/>
      <c r="DL45" s="403"/>
      <c r="DM45" s="403"/>
      <c r="DN45" s="403"/>
      <c r="DO45" s="403"/>
      <c r="DP45" s="403"/>
      <c r="DQ45" s="403"/>
      <c r="DR45" s="403"/>
      <c r="DS45" s="403"/>
      <c r="DT45" s="403"/>
      <c r="DU45" s="403"/>
      <c r="DV45" s="403"/>
      <c r="DW45" s="403"/>
      <c r="DX45" s="403"/>
      <c r="DY45" s="564"/>
      <c r="DZ45" s="564"/>
    </row>
    <row r="46" spans="1:130" s="194" customFormat="1" ht="15" x14ac:dyDescent="0.25">
      <c r="B46" s="8" t="str">
        <f ca="1">IF(OFFSET(S46,0,Lang_Order*Lang__A4)="","",OFFSET(S46,0,Lang_Order*Lang__A4))</f>
        <v>A4.1.05 Service Delivery</v>
      </c>
      <c r="C46" s="19"/>
      <c r="D46" s="8"/>
      <c r="E46" s="8"/>
      <c r="F46" s="8"/>
      <c r="G46" s="408" t="str">
        <f>CONCATENATE(Lang_LCU,": ",LCU)</f>
        <v xml:space="preserve">LCU: </v>
      </c>
      <c r="H46" s="219" t="str">
        <f ca="1">IF(OFFSET(Y46,0,Lang_Order*Lang__A4)="","",OFFSET(Y46,0,Lang_Order*Lang__A4))</f>
        <v>Override in USD</v>
      </c>
      <c r="I46" s="8"/>
      <c r="J46" s="8"/>
      <c r="K46" s="188" t="e">
        <f>SUM(J48:J55)</f>
        <v>#N/A</v>
      </c>
      <c r="L46" s="8"/>
      <c r="M46" s="8"/>
      <c r="N46" s="8"/>
      <c r="O46" s="8"/>
      <c r="P46" s="8"/>
      <c r="Q46" s="403"/>
      <c r="R46" s="403"/>
      <c r="S46" s="403" t="s">
        <v>14493</v>
      </c>
      <c r="T46" s="403"/>
      <c r="U46" s="403"/>
      <c r="V46" s="403"/>
      <c r="W46" s="403"/>
      <c r="X46" s="403"/>
      <c r="Y46" s="403" t="s">
        <v>2977</v>
      </c>
      <c r="Z46" s="403"/>
      <c r="AA46" s="403"/>
      <c r="AB46" s="403"/>
      <c r="AC46" s="403"/>
      <c r="AD46" s="403"/>
      <c r="AE46" s="403"/>
      <c r="AF46" s="403"/>
      <c r="AG46" s="403"/>
      <c r="AH46" s="403"/>
      <c r="AI46" s="403" t="s">
        <v>14494</v>
      </c>
      <c r="AJ46" s="403"/>
      <c r="AK46" s="403"/>
      <c r="AL46" s="403"/>
      <c r="AM46" s="403"/>
      <c r="AN46" s="403"/>
      <c r="AO46" s="403" t="s">
        <v>7897</v>
      </c>
      <c r="AP46" s="403"/>
      <c r="AQ46" s="403"/>
      <c r="AR46" s="403"/>
      <c r="AS46" s="403"/>
      <c r="AT46" s="403"/>
      <c r="AU46" s="403"/>
      <c r="AV46" s="403"/>
      <c r="AW46" s="403"/>
      <c r="AX46" s="403"/>
      <c r="AY46" s="403" t="s">
        <v>14495</v>
      </c>
      <c r="AZ46" s="403"/>
      <c r="BA46" s="403"/>
      <c r="BB46" s="403"/>
      <c r="BC46" s="403"/>
      <c r="BD46" s="403"/>
      <c r="BE46" s="403" t="s">
        <v>8114</v>
      </c>
      <c r="BF46" s="403"/>
      <c r="BG46" s="403"/>
      <c r="BH46" s="403"/>
      <c r="BI46" s="403"/>
      <c r="BJ46" s="403"/>
      <c r="BK46" s="403"/>
      <c r="BL46" s="403"/>
      <c r="BM46" s="403"/>
      <c r="BN46" s="403"/>
      <c r="BO46" s="403" t="s">
        <v>14496</v>
      </c>
      <c r="BP46" s="403"/>
      <c r="BQ46" s="403"/>
      <c r="BR46" s="403"/>
      <c r="BS46" s="403"/>
      <c r="BT46" s="403"/>
      <c r="BU46" s="403" t="s">
        <v>7903</v>
      </c>
      <c r="BV46" s="403"/>
      <c r="BW46" s="403"/>
      <c r="BX46" s="403"/>
      <c r="BY46" s="403"/>
      <c r="BZ46" s="403"/>
      <c r="CA46" s="403"/>
      <c r="CB46" s="403"/>
      <c r="CC46" s="403"/>
      <c r="CD46" s="403"/>
      <c r="CE46" s="403" t="s">
        <v>14497</v>
      </c>
      <c r="CF46" s="403"/>
      <c r="CG46" s="403"/>
      <c r="CH46" s="403"/>
      <c r="CI46" s="403"/>
      <c r="CJ46" s="403"/>
      <c r="CK46" s="403" t="s">
        <v>7906</v>
      </c>
      <c r="CL46" s="403"/>
      <c r="CM46" s="403"/>
      <c r="CN46" s="403"/>
      <c r="CO46" s="403"/>
      <c r="CP46" s="403"/>
      <c r="CQ46" s="403"/>
      <c r="CR46" s="403"/>
      <c r="CS46" s="403"/>
      <c r="CT46" s="403"/>
      <c r="CU46" s="403" t="s">
        <v>14498</v>
      </c>
      <c r="CV46" s="403"/>
      <c r="CW46" s="403"/>
      <c r="CX46" s="403"/>
      <c r="CY46" s="403"/>
      <c r="CZ46" s="403"/>
      <c r="DA46" s="403" t="s">
        <v>7908</v>
      </c>
      <c r="DB46" s="403"/>
      <c r="DC46" s="403"/>
      <c r="DD46" s="403"/>
      <c r="DE46" s="403"/>
      <c r="DF46" s="403"/>
      <c r="DG46" s="403"/>
      <c r="DH46" s="403"/>
      <c r="DI46" s="403"/>
      <c r="DJ46" s="403"/>
      <c r="DK46" s="403" t="s">
        <v>14499</v>
      </c>
      <c r="DL46" s="403"/>
      <c r="DM46" s="403"/>
      <c r="DN46" s="403"/>
      <c r="DO46" s="403"/>
      <c r="DP46" s="403"/>
      <c r="DQ46" s="403" t="s">
        <v>7911</v>
      </c>
      <c r="DR46" s="403"/>
      <c r="DS46" s="403"/>
      <c r="DT46" s="403"/>
      <c r="DU46" s="403"/>
      <c r="DV46" s="403"/>
      <c r="DW46" s="403"/>
      <c r="DX46" s="403"/>
      <c r="DY46" s="564"/>
      <c r="DZ46" s="564"/>
    </row>
    <row r="47" spans="1:130" s="185" customFormat="1" ht="30" customHeight="1" x14ac:dyDescent="0.2">
      <c r="C47" s="679" t="str">
        <f t="shared" ref="C47:C52" ca="1" si="4">IF(OFFSET(T47,0,Lang_Order*Lang__A4)="","",OFFSET(T47,0,Lang_Order*Lang__A4))</f>
        <v>Instructions: This section pertains mainly to technical assistance (TA) related to planning and arrangements for service delivery. Staffing and implementation teams should also be included here but not vaccinators or their local supervisors. Do not include the costs of 'delivery' itself (this is costed elsewhere in the tool.</v>
      </c>
      <c r="D47" s="679"/>
      <c r="E47" s="679"/>
      <c r="F47" s="679"/>
      <c r="G47" s="679"/>
      <c r="H47" s="679"/>
      <c r="P47" s="574"/>
      <c r="Q47" s="403"/>
      <c r="R47" s="403"/>
      <c r="S47" s="403"/>
      <c r="T47" s="403" t="s">
        <v>4151</v>
      </c>
      <c r="U47" s="403"/>
      <c r="V47" s="403"/>
      <c r="W47" s="403"/>
      <c r="X47" s="403"/>
      <c r="Y47" s="403"/>
      <c r="Z47" s="403"/>
      <c r="AA47" s="403"/>
      <c r="AB47" s="403"/>
      <c r="AC47" s="403"/>
      <c r="AD47" s="403"/>
      <c r="AE47" s="403"/>
      <c r="AF47" s="403"/>
      <c r="AG47" s="403"/>
      <c r="AH47" s="403"/>
      <c r="AI47" s="403"/>
      <c r="AJ47" s="403" t="s">
        <v>8790</v>
      </c>
      <c r="AK47" s="403"/>
      <c r="AL47" s="403"/>
      <c r="AM47" s="403"/>
      <c r="AN47" s="403"/>
      <c r="AO47" s="403"/>
      <c r="AP47" s="403"/>
      <c r="AQ47" s="403"/>
      <c r="AR47" s="403"/>
      <c r="AS47" s="403"/>
      <c r="AT47" s="403"/>
      <c r="AU47" s="403"/>
      <c r="AV47" s="403"/>
      <c r="AW47" s="403"/>
      <c r="AX47" s="403"/>
      <c r="AY47" s="403"/>
      <c r="AZ47" s="403" t="s">
        <v>8791</v>
      </c>
      <c r="BA47" s="403"/>
      <c r="BB47" s="403"/>
      <c r="BC47" s="403"/>
      <c r="BD47" s="403"/>
      <c r="BE47" s="403"/>
      <c r="BF47" s="403"/>
      <c r="BG47" s="403"/>
      <c r="BH47" s="403"/>
      <c r="BI47" s="403"/>
      <c r="BJ47" s="403"/>
      <c r="BK47" s="403"/>
      <c r="BL47" s="403"/>
      <c r="BM47" s="403"/>
      <c r="BN47" s="403"/>
      <c r="BO47" s="403"/>
      <c r="BP47" s="403" t="s">
        <v>8792</v>
      </c>
      <c r="BQ47" s="403"/>
      <c r="BR47" s="403"/>
      <c r="BS47" s="403"/>
      <c r="BT47" s="403"/>
      <c r="BU47" s="403"/>
      <c r="BV47" s="403"/>
      <c r="BW47" s="403"/>
      <c r="BX47" s="403"/>
      <c r="BY47" s="403"/>
      <c r="BZ47" s="403"/>
      <c r="CA47" s="403"/>
      <c r="CB47" s="403"/>
      <c r="CC47" s="403"/>
      <c r="CD47" s="403"/>
      <c r="CE47" s="403"/>
      <c r="CF47" s="403" t="s">
        <v>8793</v>
      </c>
      <c r="CG47" s="403"/>
      <c r="CH47" s="403"/>
      <c r="CI47" s="403"/>
      <c r="CJ47" s="403"/>
      <c r="CK47" s="403"/>
      <c r="CL47" s="403"/>
      <c r="CM47" s="403"/>
      <c r="CN47" s="403"/>
      <c r="CO47" s="403"/>
      <c r="CP47" s="403"/>
      <c r="CQ47" s="403"/>
      <c r="CR47" s="403"/>
      <c r="CS47" s="403"/>
      <c r="CT47" s="403"/>
      <c r="CU47" s="403"/>
      <c r="CV47" s="403" t="s">
        <v>8794</v>
      </c>
      <c r="CW47" s="403"/>
      <c r="CX47" s="403"/>
      <c r="CY47" s="403"/>
      <c r="CZ47" s="403"/>
      <c r="DA47" s="403"/>
      <c r="DB47" s="403"/>
      <c r="DC47" s="403"/>
      <c r="DD47" s="403"/>
      <c r="DE47" s="403"/>
      <c r="DF47" s="403"/>
      <c r="DG47" s="403"/>
      <c r="DH47" s="403"/>
      <c r="DI47" s="403"/>
      <c r="DJ47" s="403"/>
      <c r="DK47" s="403"/>
      <c r="DL47" s="403" t="s">
        <v>8795</v>
      </c>
      <c r="DM47" s="403"/>
      <c r="DN47" s="403"/>
      <c r="DO47" s="403"/>
      <c r="DP47" s="403"/>
      <c r="DQ47" s="403"/>
      <c r="DR47" s="403"/>
      <c r="DS47" s="403"/>
      <c r="DT47" s="403"/>
      <c r="DU47" s="403"/>
      <c r="DV47" s="403"/>
      <c r="DW47" s="403"/>
      <c r="DX47" s="403"/>
      <c r="DY47" s="564"/>
      <c r="DZ47" s="564"/>
    </row>
    <row r="48" spans="1:130" s="194" customFormat="1" x14ac:dyDescent="0.2">
      <c r="A48" s="354">
        <v>1</v>
      </c>
      <c r="B48" s="230"/>
      <c r="C48" s="5" t="str">
        <f t="shared" ca="1" si="4"/>
        <v>TA: Protocols for PPE and IPC equipment</v>
      </c>
      <c r="D48" s="2">
        <v>1</v>
      </c>
      <c r="E48" s="299"/>
      <c r="F48" s="2"/>
      <c r="G48" s="32"/>
      <c r="H48" s="401"/>
      <c r="I48" s="300" t="e">
        <f t="shared" ref="I48:I55" si="5">IF(ISBLANK(H48),G48/USD2LCU,H48)</f>
        <v>#N/A</v>
      </c>
      <c r="J48" s="300" t="e">
        <f t="shared" ref="J48:J55" si="6">D48*I48</f>
        <v>#N/A</v>
      </c>
      <c r="K48" s="152"/>
      <c r="L48" s="299" t="s">
        <v>2851</v>
      </c>
      <c r="M48" s="185"/>
      <c r="N48" s="299"/>
      <c r="O48" s="574"/>
      <c r="P48" s="587"/>
      <c r="Q48" s="403"/>
      <c r="R48" s="403"/>
      <c r="S48" s="403"/>
      <c r="T48" s="403" t="s">
        <v>14247</v>
      </c>
      <c r="U48" s="403"/>
      <c r="V48" s="403"/>
      <c r="W48" s="403"/>
      <c r="X48" s="403"/>
      <c r="Y48" s="403"/>
      <c r="Z48" s="403"/>
      <c r="AA48" s="403"/>
      <c r="AB48" s="403"/>
      <c r="AC48" s="403"/>
      <c r="AD48" s="403"/>
      <c r="AE48" s="403"/>
      <c r="AF48" s="403"/>
      <c r="AG48" s="403"/>
      <c r="AH48" s="403"/>
      <c r="AI48" s="403"/>
      <c r="AJ48" s="403" t="s">
        <v>8796</v>
      </c>
      <c r="AK48" s="403"/>
      <c r="AL48" s="403"/>
      <c r="AM48" s="403"/>
      <c r="AN48" s="403"/>
      <c r="AO48" s="403"/>
      <c r="AP48" s="403"/>
      <c r="AQ48" s="403"/>
      <c r="AR48" s="403"/>
      <c r="AS48" s="403"/>
      <c r="AT48" s="403"/>
      <c r="AU48" s="403"/>
      <c r="AV48" s="403"/>
      <c r="AW48" s="403"/>
      <c r="AX48" s="403"/>
      <c r="AY48" s="403"/>
      <c r="AZ48" s="403" t="s">
        <v>8797</v>
      </c>
      <c r="BA48" s="403"/>
      <c r="BB48" s="403"/>
      <c r="BC48" s="403"/>
      <c r="BD48" s="403"/>
      <c r="BE48" s="403"/>
      <c r="BF48" s="403"/>
      <c r="BG48" s="403"/>
      <c r="BH48" s="403"/>
      <c r="BI48" s="403"/>
      <c r="BJ48" s="403"/>
      <c r="BK48" s="403"/>
      <c r="BL48" s="403"/>
      <c r="BM48" s="403"/>
      <c r="BN48" s="403"/>
      <c r="BO48" s="403"/>
      <c r="BP48" s="403" t="s">
        <v>8798</v>
      </c>
      <c r="BQ48" s="403"/>
      <c r="BR48" s="403"/>
      <c r="BS48" s="403"/>
      <c r="BT48" s="403"/>
      <c r="BU48" s="403"/>
      <c r="BV48" s="403"/>
      <c r="BW48" s="403"/>
      <c r="BX48" s="403"/>
      <c r="BY48" s="403"/>
      <c r="BZ48" s="403"/>
      <c r="CA48" s="403"/>
      <c r="CB48" s="403"/>
      <c r="CC48" s="403"/>
      <c r="CD48" s="403"/>
      <c r="CE48" s="403"/>
      <c r="CF48" s="403" t="s">
        <v>8799</v>
      </c>
      <c r="CG48" s="403"/>
      <c r="CH48" s="403"/>
      <c r="CI48" s="403"/>
      <c r="CJ48" s="403"/>
      <c r="CK48" s="403"/>
      <c r="CL48" s="403"/>
      <c r="CM48" s="403"/>
      <c r="CN48" s="403"/>
      <c r="CO48" s="403"/>
      <c r="CP48" s="403"/>
      <c r="CQ48" s="403"/>
      <c r="CR48" s="403"/>
      <c r="CS48" s="403"/>
      <c r="CT48" s="403"/>
      <c r="CU48" s="403"/>
      <c r="CV48" s="403" t="s">
        <v>8800</v>
      </c>
      <c r="CW48" s="403"/>
      <c r="CX48" s="403"/>
      <c r="CY48" s="403"/>
      <c r="CZ48" s="403"/>
      <c r="DA48" s="403"/>
      <c r="DB48" s="403"/>
      <c r="DC48" s="403"/>
      <c r="DD48" s="403"/>
      <c r="DE48" s="403"/>
      <c r="DF48" s="403"/>
      <c r="DG48" s="403"/>
      <c r="DH48" s="403"/>
      <c r="DI48" s="403"/>
      <c r="DJ48" s="403"/>
      <c r="DK48" s="403"/>
      <c r="DL48" s="403" t="s">
        <v>8801</v>
      </c>
      <c r="DM48" s="403"/>
      <c r="DN48" s="403"/>
      <c r="DO48" s="403"/>
      <c r="DP48" s="403"/>
      <c r="DQ48" s="403"/>
      <c r="DR48" s="403"/>
      <c r="DS48" s="403"/>
      <c r="DT48" s="403"/>
      <c r="DU48" s="403"/>
      <c r="DV48" s="403"/>
      <c r="DW48" s="403"/>
      <c r="DX48" s="403"/>
      <c r="DY48" s="564"/>
      <c r="DZ48" s="564"/>
    </row>
    <row r="49" spans="1:130" s="194" customFormat="1" x14ac:dyDescent="0.2">
      <c r="A49" s="354">
        <v>1</v>
      </c>
      <c r="B49" s="230"/>
      <c r="C49" s="370" t="str">
        <f t="shared" ca="1" si="4"/>
        <v>TA: Micro-planning, incl outreach modalities, master lists of providers, logistics, supplies</v>
      </c>
      <c r="D49" s="2">
        <v>1</v>
      </c>
      <c r="E49" s="299"/>
      <c r="F49" s="2"/>
      <c r="G49" s="32"/>
      <c r="H49" s="401"/>
      <c r="I49" s="300" t="e">
        <f t="shared" si="5"/>
        <v>#N/A</v>
      </c>
      <c r="J49" s="300" t="e">
        <f t="shared" si="6"/>
        <v>#N/A</v>
      </c>
      <c r="K49" s="152"/>
      <c r="L49" s="299" t="s">
        <v>3860</v>
      </c>
      <c r="M49" s="299"/>
      <c r="N49" s="299"/>
      <c r="O49" s="12" t="str">
        <f t="shared" ref="O49" ca="1" si="7">IF(OFFSET(AF49,0,Lang_Order*Lang__A4)="","",OFFSET(AF49,0,Lang_Order*Lang__A4))</f>
        <v>Financial, human resources (surge capacity), demand generation, risk communications, safety surveillance, security planning; gap analysis</v>
      </c>
      <c r="P49" s="587"/>
      <c r="Q49" s="403"/>
      <c r="R49" s="403"/>
      <c r="S49" s="403"/>
      <c r="T49" s="403" t="s">
        <v>3859</v>
      </c>
      <c r="U49" s="403"/>
      <c r="V49" s="403"/>
      <c r="W49" s="403"/>
      <c r="X49" s="403"/>
      <c r="Y49" s="403"/>
      <c r="Z49" s="403"/>
      <c r="AA49" s="403"/>
      <c r="AB49" s="403"/>
      <c r="AC49" s="403"/>
      <c r="AD49" s="403"/>
      <c r="AE49" s="403"/>
      <c r="AF49" s="403" t="s">
        <v>2865</v>
      </c>
      <c r="AG49" s="403"/>
      <c r="AH49" s="403"/>
      <c r="AI49" s="403"/>
      <c r="AJ49" s="403" t="s">
        <v>8802</v>
      </c>
      <c r="AK49" s="403"/>
      <c r="AL49" s="403"/>
      <c r="AM49" s="403"/>
      <c r="AN49" s="403"/>
      <c r="AO49" s="403"/>
      <c r="AP49" s="403"/>
      <c r="AQ49" s="403"/>
      <c r="AR49" s="403"/>
      <c r="AS49" s="403"/>
      <c r="AT49" s="403"/>
      <c r="AU49" s="403"/>
      <c r="AV49" s="403" t="s">
        <v>8803</v>
      </c>
      <c r="AW49" s="403"/>
      <c r="AX49" s="403"/>
      <c r="AY49" s="403"/>
      <c r="AZ49" s="403" t="s">
        <v>8804</v>
      </c>
      <c r="BA49" s="403"/>
      <c r="BB49" s="403"/>
      <c r="BC49" s="403"/>
      <c r="BD49" s="403"/>
      <c r="BE49" s="403"/>
      <c r="BF49" s="403"/>
      <c r="BG49" s="403"/>
      <c r="BH49" s="403"/>
      <c r="BI49" s="403"/>
      <c r="BJ49" s="403"/>
      <c r="BK49" s="403"/>
      <c r="BL49" s="403" t="s">
        <v>8805</v>
      </c>
      <c r="BM49" s="403"/>
      <c r="BN49" s="403"/>
      <c r="BO49" s="403"/>
      <c r="BP49" s="403" t="s">
        <v>8806</v>
      </c>
      <c r="BQ49" s="403"/>
      <c r="BR49" s="403"/>
      <c r="BS49" s="403"/>
      <c r="BT49" s="403"/>
      <c r="BU49" s="403"/>
      <c r="BV49" s="403"/>
      <c r="BW49" s="403"/>
      <c r="BX49" s="403"/>
      <c r="BY49" s="403"/>
      <c r="BZ49" s="403"/>
      <c r="CA49" s="403"/>
      <c r="CB49" s="403" t="s">
        <v>8807</v>
      </c>
      <c r="CC49" s="403"/>
      <c r="CD49" s="403"/>
      <c r="CE49" s="403"/>
      <c r="CF49" s="403" t="s">
        <v>8808</v>
      </c>
      <c r="CG49" s="403"/>
      <c r="CH49" s="403"/>
      <c r="CI49" s="403"/>
      <c r="CJ49" s="403"/>
      <c r="CK49" s="403"/>
      <c r="CL49" s="403"/>
      <c r="CM49" s="403"/>
      <c r="CN49" s="403"/>
      <c r="CO49" s="403"/>
      <c r="CP49" s="403"/>
      <c r="CQ49" s="403"/>
      <c r="CR49" s="403" t="s">
        <v>8809</v>
      </c>
      <c r="CS49" s="403"/>
      <c r="CT49" s="403"/>
      <c r="CU49" s="403"/>
      <c r="CV49" s="403"/>
      <c r="CW49" s="403"/>
      <c r="CX49" s="403"/>
      <c r="CY49" s="403"/>
      <c r="CZ49" s="403"/>
      <c r="DA49" s="403"/>
      <c r="DB49" s="403"/>
      <c r="DC49" s="403"/>
      <c r="DD49" s="403"/>
      <c r="DE49" s="403"/>
      <c r="DF49" s="403"/>
      <c r="DG49" s="403"/>
      <c r="DH49" s="403" t="s">
        <v>8810</v>
      </c>
      <c r="DI49" s="403"/>
      <c r="DJ49" s="403"/>
      <c r="DK49" s="403"/>
      <c r="DL49" s="403" t="s">
        <v>8811</v>
      </c>
      <c r="DM49" s="403"/>
      <c r="DN49" s="403"/>
      <c r="DO49" s="403"/>
      <c r="DP49" s="403"/>
      <c r="DQ49" s="403"/>
      <c r="DR49" s="403"/>
      <c r="DS49" s="403"/>
      <c r="DT49" s="403"/>
      <c r="DU49" s="403"/>
      <c r="DV49" s="403"/>
      <c r="DW49" s="403"/>
      <c r="DX49" s="403" t="s">
        <v>8812</v>
      </c>
      <c r="DY49" s="564"/>
      <c r="DZ49" s="564"/>
    </row>
    <row r="50" spans="1:130" s="299" customFormat="1" x14ac:dyDescent="0.2">
      <c r="A50" s="354">
        <v>1</v>
      </c>
      <c r="B50" s="230"/>
      <c r="C50" s="5" t="str">
        <f t="shared" ca="1" si="4"/>
        <v>TA: Implementing agencies and contracts: Vaccine logistics and waste management</v>
      </c>
      <c r="D50" s="2">
        <v>1</v>
      </c>
      <c r="F50" s="2"/>
      <c r="G50" s="32"/>
      <c r="H50" s="401"/>
      <c r="I50" s="300" t="e">
        <f t="shared" si="5"/>
        <v>#N/A</v>
      </c>
      <c r="J50" s="300" t="e">
        <f t="shared" si="6"/>
        <v>#N/A</v>
      </c>
      <c r="K50" s="152"/>
      <c r="L50" s="299" t="s">
        <v>3968</v>
      </c>
      <c r="O50" s="574"/>
      <c r="P50" s="587"/>
      <c r="Q50" s="403"/>
      <c r="R50" s="403"/>
      <c r="S50" s="403"/>
      <c r="T50" s="403" t="s">
        <v>3904</v>
      </c>
      <c r="U50" s="403"/>
      <c r="V50" s="403"/>
      <c r="W50" s="403"/>
      <c r="X50" s="403"/>
      <c r="Y50" s="403"/>
      <c r="Z50" s="403"/>
      <c r="AA50" s="403"/>
      <c r="AB50" s="403"/>
      <c r="AC50" s="403"/>
      <c r="AD50" s="403"/>
      <c r="AE50" s="403"/>
      <c r="AF50" s="403"/>
      <c r="AG50" s="403"/>
      <c r="AH50" s="403"/>
      <c r="AI50" s="403"/>
      <c r="AJ50" s="403" t="s">
        <v>8813</v>
      </c>
      <c r="AK50" s="403"/>
      <c r="AL50" s="403"/>
      <c r="AM50" s="403"/>
      <c r="AN50" s="403"/>
      <c r="AO50" s="403"/>
      <c r="AP50" s="403"/>
      <c r="AQ50" s="403"/>
      <c r="AR50" s="403"/>
      <c r="AS50" s="403"/>
      <c r="AT50" s="403"/>
      <c r="AU50" s="403"/>
      <c r="AV50" s="403"/>
      <c r="AW50" s="403"/>
      <c r="AX50" s="403"/>
      <c r="AY50" s="403"/>
      <c r="AZ50" s="403" t="s">
        <v>8814</v>
      </c>
      <c r="BA50" s="403"/>
      <c r="BB50" s="403"/>
      <c r="BC50" s="403"/>
      <c r="BD50" s="403"/>
      <c r="BE50" s="403"/>
      <c r="BF50" s="403"/>
      <c r="BG50" s="403"/>
      <c r="BH50" s="403"/>
      <c r="BI50" s="403"/>
      <c r="BJ50" s="403"/>
      <c r="BK50" s="403"/>
      <c r="BL50" s="403"/>
      <c r="BM50" s="403"/>
      <c r="BN50" s="403"/>
      <c r="BO50" s="403"/>
      <c r="BP50" s="403" t="s">
        <v>8815</v>
      </c>
      <c r="BQ50" s="403"/>
      <c r="BR50" s="403"/>
      <c r="BS50" s="403"/>
      <c r="BT50" s="403"/>
      <c r="BU50" s="403"/>
      <c r="BV50" s="403"/>
      <c r="BW50" s="403"/>
      <c r="BX50" s="403"/>
      <c r="BY50" s="403"/>
      <c r="BZ50" s="403"/>
      <c r="CA50" s="403"/>
      <c r="CB50" s="403"/>
      <c r="CC50" s="403"/>
      <c r="CD50" s="403"/>
      <c r="CE50" s="403"/>
      <c r="CF50" s="403" t="s">
        <v>8816</v>
      </c>
      <c r="CG50" s="403"/>
      <c r="CH50" s="403"/>
      <c r="CI50" s="403"/>
      <c r="CJ50" s="403"/>
      <c r="CK50" s="403"/>
      <c r="CL50" s="403"/>
      <c r="CM50" s="403"/>
      <c r="CN50" s="403"/>
      <c r="CO50" s="403"/>
      <c r="CP50" s="403"/>
      <c r="CQ50" s="403"/>
      <c r="CR50" s="403"/>
      <c r="CS50" s="403"/>
      <c r="CT50" s="403"/>
      <c r="CU50" s="403"/>
      <c r="CV50" s="403" t="s">
        <v>8817</v>
      </c>
      <c r="CW50" s="403"/>
      <c r="CX50" s="403"/>
      <c r="CY50" s="403"/>
      <c r="CZ50" s="403"/>
      <c r="DA50" s="403"/>
      <c r="DB50" s="403"/>
      <c r="DC50" s="403"/>
      <c r="DD50" s="403"/>
      <c r="DE50" s="403"/>
      <c r="DF50" s="403"/>
      <c r="DG50" s="403"/>
      <c r="DH50" s="403"/>
      <c r="DI50" s="403"/>
      <c r="DJ50" s="403"/>
      <c r="DK50" s="403"/>
      <c r="DL50" s="403" t="s">
        <v>8818</v>
      </c>
      <c r="DM50" s="403"/>
      <c r="DN50" s="403"/>
      <c r="DO50" s="403"/>
      <c r="DP50" s="403"/>
      <c r="DQ50" s="403"/>
      <c r="DR50" s="403"/>
      <c r="DS50" s="403"/>
      <c r="DT50" s="403"/>
      <c r="DU50" s="403"/>
      <c r="DV50" s="403"/>
      <c r="DW50" s="403"/>
      <c r="DX50" s="403"/>
      <c r="DY50" s="564"/>
      <c r="DZ50" s="564"/>
    </row>
    <row r="51" spans="1:130" x14ac:dyDescent="0.2">
      <c r="A51" s="354">
        <v>1</v>
      </c>
      <c r="B51" s="230"/>
      <c r="C51" s="370" t="str">
        <f t="shared" ca="1" si="4"/>
        <v>TA: Private provider enrollment, accredditation, SOPs, complaints, monitoring</v>
      </c>
      <c r="D51" s="2">
        <v>1</v>
      </c>
      <c r="E51" s="299"/>
      <c r="F51" s="2"/>
      <c r="G51" s="32"/>
      <c r="H51" s="401"/>
      <c r="I51" s="300" t="e">
        <f t="shared" si="5"/>
        <v>#N/A</v>
      </c>
      <c r="J51" s="300" t="e">
        <f t="shared" si="6"/>
        <v>#N/A</v>
      </c>
      <c r="K51" s="152"/>
      <c r="L51" s="299" t="s">
        <v>2852</v>
      </c>
      <c r="O51" s="574"/>
      <c r="P51" s="587"/>
      <c r="T51" s="403" t="s">
        <v>3861</v>
      </c>
      <c r="AJ51" s="403" t="s">
        <v>8819</v>
      </c>
      <c r="AZ51" s="403" t="s">
        <v>8820</v>
      </c>
      <c r="BP51" s="403" t="s">
        <v>8821</v>
      </c>
      <c r="CF51" s="403" t="s">
        <v>8822</v>
      </c>
      <c r="CV51" s="403" t="s">
        <v>8823</v>
      </c>
      <c r="DL51" s="403" t="s">
        <v>8824</v>
      </c>
    </row>
    <row r="52" spans="1:130" s="299" customFormat="1" x14ac:dyDescent="0.2">
      <c r="A52" s="354">
        <v>1</v>
      </c>
      <c r="B52" s="230"/>
      <c r="C52" s="5" t="str">
        <f t="shared" ca="1" si="4"/>
        <v>TA: Consent protocols</v>
      </c>
      <c r="D52" s="2">
        <v>1</v>
      </c>
      <c r="F52" s="2"/>
      <c r="G52" s="32"/>
      <c r="H52" s="401"/>
      <c r="I52" s="300" t="e">
        <f t="shared" si="5"/>
        <v>#N/A</v>
      </c>
      <c r="J52" s="300" t="e">
        <f t="shared" si="6"/>
        <v>#N/A</v>
      </c>
      <c r="K52" s="152"/>
      <c r="L52" s="299" t="s">
        <v>3893</v>
      </c>
      <c r="O52" s="574"/>
      <c r="P52" s="587"/>
      <c r="Q52" s="403"/>
      <c r="R52" s="403"/>
      <c r="S52" s="403"/>
      <c r="T52" s="403" t="s">
        <v>14314</v>
      </c>
      <c r="U52" s="403"/>
      <c r="V52" s="403"/>
      <c r="W52" s="403"/>
      <c r="X52" s="403"/>
      <c r="Y52" s="403"/>
      <c r="Z52" s="403"/>
      <c r="AA52" s="403"/>
      <c r="AB52" s="403"/>
      <c r="AC52" s="403"/>
      <c r="AD52" s="403"/>
      <c r="AE52" s="403"/>
      <c r="AF52" s="403"/>
      <c r="AG52" s="403"/>
      <c r="AH52" s="403"/>
      <c r="AI52" s="403"/>
      <c r="AJ52" s="403" t="s">
        <v>14315</v>
      </c>
      <c r="AK52" s="403"/>
      <c r="AL52" s="403"/>
      <c r="AM52" s="403"/>
      <c r="AN52" s="403"/>
      <c r="AO52" s="403"/>
      <c r="AP52" s="403"/>
      <c r="AQ52" s="403"/>
      <c r="AR52" s="403"/>
      <c r="AS52" s="403"/>
      <c r="AT52" s="403"/>
      <c r="AU52" s="403"/>
      <c r="AV52" s="403"/>
      <c r="AW52" s="403"/>
      <c r="AX52" s="403"/>
      <c r="AY52" s="403"/>
      <c r="AZ52" s="403" t="s">
        <v>14316</v>
      </c>
      <c r="BA52" s="403"/>
      <c r="BB52" s="403"/>
      <c r="BC52" s="403"/>
      <c r="BD52" s="403"/>
      <c r="BE52" s="403"/>
      <c r="BF52" s="403"/>
      <c r="BG52" s="403"/>
      <c r="BH52" s="403"/>
      <c r="BI52" s="403"/>
      <c r="BJ52" s="403"/>
      <c r="BK52" s="403"/>
      <c r="BL52" s="403"/>
      <c r="BM52" s="403"/>
      <c r="BN52" s="403"/>
      <c r="BO52" s="403"/>
      <c r="BP52" s="403" t="s">
        <v>14317</v>
      </c>
      <c r="BQ52" s="403"/>
      <c r="BR52" s="403"/>
      <c r="BS52" s="403"/>
      <c r="BT52" s="403"/>
      <c r="BU52" s="403"/>
      <c r="BV52" s="403"/>
      <c r="BW52" s="403"/>
      <c r="BX52" s="403"/>
      <c r="BY52" s="403"/>
      <c r="BZ52" s="403"/>
      <c r="CA52" s="403"/>
      <c r="CB52" s="403"/>
      <c r="CC52" s="403"/>
      <c r="CD52" s="403"/>
      <c r="CE52" s="403"/>
      <c r="CF52" s="403" t="s">
        <v>14318</v>
      </c>
      <c r="CG52" s="403"/>
      <c r="CH52" s="403"/>
      <c r="CI52" s="403"/>
      <c r="CJ52" s="403"/>
      <c r="CK52" s="403"/>
      <c r="CL52" s="403"/>
      <c r="CM52" s="403"/>
      <c r="CN52" s="403"/>
      <c r="CO52" s="403"/>
      <c r="CP52" s="403"/>
      <c r="CQ52" s="403"/>
      <c r="CR52" s="403"/>
      <c r="CS52" s="403"/>
      <c r="CT52" s="403"/>
      <c r="CU52" s="403"/>
      <c r="CV52" s="403" t="s">
        <v>14319</v>
      </c>
      <c r="CW52" s="403"/>
      <c r="CX52" s="403"/>
      <c r="CY52" s="403"/>
      <c r="CZ52" s="403"/>
      <c r="DA52" s="403"/>
      <c r="DB52" s="403"/>
      <c r="DC52" s="403"/>
      <c r="DD52" s="403"/>
      <c r="DE52" s="403"/>
      <c r="DF52" s="403"/>
      <c r="DG52" s="403"/>
      <c r="DH52" s="403"/>
      <c r="DI52" s="403"/>
      <c r="DJ52" s="403"/>
      <c r="DK52" s="403"/>
      <c r="DL52" s="403" t="s">
        <v>14320</v>
      </c>
      <c r="DM52" s="403"/>
      <c r="DN52" s="403"/>
      <c r="DO52" s="403"/>
      <c r="DP52" s="403"/>
      <c r="DQ52" s="403"/>
      <c r="DR52" s="403"/>
      <c r="DS52" s="403"/>
      <c r="DT52" s="403"/>
      <c r="DU52" s="403"/>
      <c r="DV52" s="403"/>
      <c r="DW52" s="403"/>
      <c r="DX52" s="403"/>
      <c r="DY52" s="564"/>
      <c r="DZ52" s="564"/>
    </row>
    <row r="53" spans="1:130" s="194" customFormat="1" x14ac:dyDescent="0.2">
      <c r="A53" s="350">
        <v>2</v>
      </c>
      <c r="B53" s="230"/>
      <c r="C53" s="374" t="s">
        <v>2974</v>
      </c>
      <c r="D53" s="35">
        <v>1</v>
      </c>
      <c r="E53" s="299"/>
      <c r="F53" s="2"/>
      <c r="G53" s="32"/>
      <c r="H53" s="401"/>
      <c r="I53" s="300" t="e">
        <f t="shared" si="5"/>
        <v>#N/A</v>
      </c>
      <c r="J53" s="300" t="e">
        <f t="shared" si="6"/>
        <v>#N/A</v>
      </c>
      <c r="K53" s="152"/>
      <c r="L53" s="299"/>
      <c r="M53" s="299"/>
      <c r="N53" s="299"/>
      <c r="O53" s="574"/>
      <c r="P53" s="587"/>
      <c r="Q53" s="403"/>
      <c r="R53" s="403"/>
      <c r="S53" s="403"/>
      <c r="T53" s="403" t="s">
        <v>2974</v>
      </c>
      <c r="U53" s="403"/>
      <c r="V53" s="403"/>
      <c r="W53" s="403"/>
      <c r="X53" s="403"/>
      <c r="Y53" s="403"/>
      <c r="Z53" s="403"/>
      <c r="AA53" s="403"/>
      <c r="AB53" s="403"/>
      <c r="AC53" s="403"/>
      <c r="AD53" s="403"/>
      <c r="AE53" s="403"/>
      <c r="AF53" s="403"/>
      <c r="AG53" s="403"/>
      <c r="AH53" s="403"/>
      <c r="AI53" s="403"/>
      <c r="AJ53" s="403" t="s">
        <v>8753</v>
      </c>
      <c r="AK53" s="403"/>
      <c r="AL53" s="403"/>
      <c r="AM53" s="403"/>
      <c r="AN53" s="403"/>
      <c r="AO53" s="403"/>
      <c r="AP53" s="403"/>
      <c r="AQ53" s="403"/>
      <c r="AR53" s="403"/>
      <c r="AS53" s="403"/>
      <c r="AT53" s="403"/>
      <c r="AU53" s="403"/>
      <c r="AV53" s="403"/>
      <c r="AW53" s="403"/>
      <c r="AX53" s="403"/>
      <c r="AY53" s="403"/>
      <c r="AZ53" s="403" t="s">
        <v>8754</v>
      </c>
      <c r="BA53" s="403"/>
      <c r="BB53" s="403"/>
      <c r="BC53" s="403"/>
      <c r="BD53" s="403"/>
      <c r="BE53" s="403"/>
      <c r="BF53" s="403"/>
      <c r="BG53" s="403"/>
      <c r="BH53" s="403"/>
      <c r="BI53" s="403"/>
      <c r="BJ53" s="403"/>
      <c r="BK53" s="403"/>
      <c r="BL53" s="403"/>
      <c r="BM53" s="403"/>
      <c r="BN53" s="403"/>
      <c r="BO53" s="403"/>
      <c r="BP53" s="403" t="s">
        <v>8755</v>
      </c>
      <c r="BQ53" s="403"/>
      <c r="BR53" s="403"/>
      <c r="BS53" s="403"/>
      <c r="BT53" s="403"/>
      <c r="BU53" s="403"/>
      <c r="BV53" s="403"/>
      <c r="BW53" s="403"/>
      <c r="BX53" s="403"/>
      <c r="BY53" s="403"/>
      <c r="BZ53" s="403"/>
      <c r="CA53" s="403"/>
      <c r="CB53" s="403"/>
      <c r="CC53" s="403"/>
      <c r="CD53" s="403"/>
      <c r="CE53" s="403"/>
      <c r="CF53" s="403" t="s">
        <v>8756</v>
      </c>
      <c r="CG53" s="403"/>
      <c r="CH53" s="403"/>
      <c r="CI53" s="403"/>
      <c r="CJ53" s="403"/>
      <c r="CK53" s="403"/>
      <c r="CL53" s="403"/>
      <c r="CM53" s="403"/>
      <c r="CN53" s="403"/>
      <c r="CO53" s="403"/>
      <c r="CP53" s="403"/>
      <c r="CQ53" s="403"/>
      <c r="CR53" s="403"/>
      <c r="CS53" s="403"/>
      <c r="CT53" s="403"/>
      <c r="CU53" s="403"/>
      <c r="CV53" s="403" t="s">
        <v>8827</v>
      </c>
      <c r="CW53" s="403"/>
      <c r="CX53" s="403"/>
      <c r="CY53" s="403"/>
      <c r="CZ53" s="403"/>
      <c r="DA53" s="403"/>
      <c r="DB53" s="403"/>
      <c r="DC53" s="403"/>
      <c r="DD53" s="403"/>
      <c r="DE53" s="403"/>
      <c r="DF53" s="403"/>
      <c r="DG53" s="403"/>
      <c r="DH53" s="403"/>
      <c r="DI53" s="403"/>
      <c r="DJ53" s="403"/>
      <c r="DK53" s="403"/>
      <c r="DL53" s="403" t="s">
        <v>8758</v>
      </c>
      <c r="DM53" s="403"/>
      <c r="DN53" s="403"/>
      <c r="DO53" s="403"/>
      <c r="DP53" s="403"/>
      <c r="DQ53" s="403"/>
      <c r="DR53" s="403"/>
      <c r="DS53" s="403"/>
      <c r="DT53" s="403"/>
      <c r="DU53" s="403"/>
      <c r="DV53" s="403"/>
      <c r="DW53" s="403"/>
      <c r="DX53" s="403"/>
      <c r="DY53" s="564"/>
      <c r="DZ53" s="564"/>
    </row>
    <row r="54" spans="1:130" s="194" customFormat="1" x14ac:dyDescent="0.2">
      <c r="A54" s="350">
        <v>2</v>
      </c>
      <c r="B54" s="230"/>
      <c r="C54" s="36"/>
      <c r="D54" s="35">
        <v>1</v>
      </c>
      <c r="E54" s="299"/>
      <c r="F54" s="2"/>
      <c r="G54" s="32"/>
      <c r="H54" s="401"/>
      <c r="I54" s="300" t="e">
        <f t="shared" si="5"/>
        <v>#N/A</v>
      </c>
      <c r="J54" s="300" t="e">
        <f t="shared" si="6"/>
        <v>#N/A</v>
      </c>
      <c r="K54" s="152"/>
      <c r="L54" s="299"/>
      <c r="M54" s="299"/>
      <c r="N54" s="299"/>
      <c r="O54" s="574"/>
      <c r="P54" s="587"/>
      <c r="Q54" s="403"/>
      <c r="R54" s="403"/>
      <c r="S54" s="403"/>
      <c r="T54" s="403"/>
      <c r="U54" s="403"/>
      <c r="V54" s="403"/>
      <c r="W54" s="403"/>
      <c r="X54" s="403"/>
      <c r="Y54" s="403"/>
      <c r="Z54" s="403"/>
      <c r="AA54" s="403"/>
      <c r="AB54" s="403"/>
      <c r="AC54" s="403"/>
      <c r="AD54" s="403"/>
      <c r="AE54" s="403"/>
      <c r="AF54" s="403"/>
      <c r="AG54" s="403"/>
      <c r="AH54" s="403"/>
      <c r="AI54" s="403"/>
      <c r="AJ54" s="403"/>
      <c r="AK54" s="403"/>
      <c r="AL54" s="403"/>
      <c r="AM54" s="403"/>
      <c r="AN54" s="403"/>
      <c r="AO54" s="403"/>
      <c r="AP54" s="403"/>
      <c r="AQ54" s="403"/>
      <c r="AR54" s="403"/>
      <c r="AS54" s="403"/>
      <c r="AT54" s="403"/>
      <c r="AU54" s="403"/>
      <c r="AV54" s="403"/>
      <c r="AW54" s="403"/>
      <c r="AX54" s="403"/>
      <c r="AY54" s="403"/>
      <c r="AZ54" s="403"/>
      <c r="BA54" s="403"/>
      <c r="BB54" s="403"/>
      <c r="BC54" s="403"/>
      <c r="BD54" s="403"/>
      <c r="BE54" s="403"/>
      <c r="BF54" s="403"/>
      <c r="BG54" s="403"/>
      <c r="BH54" s="403"/>
      <c r="BI54" s="403"/>
      <c r="BJ54" s="403"/>
      <c r="BK54" s="403"/>
      <c r="BL54" s="403"/>
      <c r="BM54" s="403"/>
      <c r="BN54" s="403"/>
      <c r="BO54" s="403"/>
      <c r="BP54" s="403"/>
      <c r="BQ54" s="403"/>
      <c r="BR54" s="403"/>
      <c r="BS54" s="403"/>
      <c r="BT54" s="403"/>
      <c r="BU54" s="403"/>
      <c r="BV54" s="403"/>
      <c r="BW54" s="403"/>
      <c r="BX54" s="403"/>
      <c r="BY54" s="403"/>
      <c r="BZ54" s="403"/>
      <c r="CA54" s="403"/>
      <c r="CB54" s="403"/>
      <c r="CC54" s="403"/>
      <c r="CD54" s="403"/>
      <c r="CE54" s="403"/>
      <c r="CF54" s="403"/>
      <c r="CG54" s="403"/>
      <c r="CH54" s="403"/>
      <c r="CI54" s="403"/>
      <c r="CJ54" s="403"/>
      <c r="CK54" s="403"/>
      <c r="CL54" s="403"/>
      <c r="CM54" s="403"/>
      <c r="CN54" s="403"/>
      <c r="CO54" s="403"/>
      <c r="CP54" s="403"/>
      <c r="CQ54" s="403"/>
      <c r="CR54" s="403"/>
      <c r="CS54" s="403"/>
      <c r="CT54" s="403"/>
      <c r="CU54" s="403"/>
      <c r="CV54" s="403"/>
      <c r="CW54" s="403"/>
      <c r="CX54" s="403"/>
      <c r="CY54" s="403"/>
      <c r="CZ54" s="403"/>
      <c r="DA54" s="403"/>
      <c r="DB54" s="403"/>
      <c r="DC54" s="403"/>
      <c r="DD54" s="403"/>
      <c r="DE54" s="403"/>
      <c r="DF54" s="403"/>
      <c r="DG54" s="403"/>
      <c r="DH54" s="403"/>
      <c r="DI54" s="403"/>
      <c r="DJ54" s="403"/>
      <c r="DK54" s="403"/>
      <c r="DL54" s="403"/>
      <c r="DM54" s="403"/>
      <c r="DN54" s="403"/>
      <c r="DO54" s="403"/>
      <c r="DP54" s="403"/>
      <c r="DQ54" s="403"/>
      <c r="DR54" s="403"/>
      <c r="DS54" s="403"/>
      <c r="DT54" s="403"/>
      <c r="DU54" s="403"/>
      <c r="DV54" s="403"/>
      <c r="DW54" s="403"/>
      <c r="DX54" s="403"/>
      <c r="DY54" s="564"/>
      <c r="DZ54" s="564"/>
    </row>
    <row r="55" spans="1:130" s="194" customFormat="1" x14ac:dyDescent="0.2">
      <c r="A55" s="350">
        <v>2</v>
      </c>
      <c r="B55" s="230"/>
      <c r="C55" s="36"/>
      <c r="D55" s="35">
        <v>1</v>
      </c>
      <c r="E55" s="299"/>
      <c r="F55" s="2"/>
      <c r="G55" s="32"/>
      <c r="H55" s="401"/>
      <c r="I55" s="300" t="e">
        <f t="shared" si="5"/>
        <v>#N/A</v>
      </c>
      <c r="J55" s="300" t="e">
        <f t="shared" si="6"/>
        <v>#N/A</v>
      </c>
      <c r="K55" s="152"/>
      <c r="L55" s="299"/>
      <c r="M55" s="299"/>
      <c r="N55" s="299"/>
      <c r="O55" s="574"/>
      <c r="P55" s="587"/>
      <c r="Q55" s="403"/>
      <c r="R55" s="403"/>
      <c r="S55" s="403"/>
      <c r="T55" s="403"/>
      <c r="U55" s="403"/>
      <c r="V55" s="403"/>
      <c r="W55" s="403"/>
      <c r="X55" s="403"/>
      <c r="Y55" s="403"/>
      <c r="Z55" s="403"/>
      <c r="AA55" s="403"/>
      <c r="AB55" s="403"/>
      <c r="AC55" s="403"/>
      <c r="AD55" s="403"/>
      <c r="AE55" s="403"/>
      <c r="AF55" s="403"/>
      <c r="AG55" s="403"/>
      <c r="AH55" s="403"/>
      <c r="AI55" s="403"/>
      <c r="AJ55" s="403"/>
      <c r="AK55" s="403"/>
      <c r="AL55" s="403"/>
      <c r="AM55" s="403"/>
      <c r="AN55" s="403"/>
      <c r="AO55" s="403"/>
      <c r="AP55" s="403"/>
      <c r="AQ55" s="403"/>
      <c r="AR55" s="403"/>
      <c r="AS55" s="403"/>
      <c r="AT55" s="403"/>
      <c r="AU55" s="403"/>
      <c r="AV55" s="403"/>
      <c r="AW55" s="403"/>
      <c r="AX55" s="403"/>
      <c r="AY55" s="403"/>
      <c r="AZ55" s="403"/>
      <c r="BA55" s="403"/>
      <c r="BB55" s="403"/>
      <c r="BC55" s="403"/>
      <c r="BD55" s="403"/>
      <c r="BE55" s="403"/>
      <c r="BF55" s="403"/>
      <c r="BG55" s="403"/>
      <c r="BH55" s="403"/>
      <c r="BI55" s="403"/>
      <c r="BJ55" s="403"/>
      <c r="BK55" s="403"/>
      <c r="BL55" s="403"/>
      <c r="BM55" s="403"/>
      <c r="BN55" s="403"/>
      <c r="BO55" s="403"/>
      <c r="BP55" s="403"/>
      <c r="BQ55" s="403"/>
      <c r="BR55" s="403"/>
      <c r="BS55" s="403"/>
      <c r="BT55" s="403"/>
      <c r="BU55" s="403"/>
      <c r="BV55" s="403"/>
      <c r="BW55" s="403"/>
      <c r="BX55" s="403"/>
      <c r="BY55" s="403"/>
      <c r="BZ55" s="403"/>
      <c r="CA55" s="403"/>
      <c r="CB55" s="403"/>
      <c r="CC55" s="403"/>
      <c r="CD55" s="403"/>
      <c r="CE55" s="403"/>
      <c r="CF55" s="403"/>
      <c r="CG55" s="403"/>
      <c r="CH55" s="403"/>
      <c r="CI55" s="403"/>
      <c r="CJ55" s="403"/>
      <c r="CK55" s="403"/>
      <c r="CL55" s="403"/>
      <c r="CM55" s="403"/>
      <c r="CN55" s="403"/>
      <c r="CO55" s="403"/>
      <c r="CP55" s="403"/>
      <c r="CQ55" s="403"/>
      <c r="CR55" s="403"/>
      <c r="CS55" s="403"/>
      <c r="CT55" s="403"/>
      <c r="CU55" s="403"/>
      <c r="CV55" s="403"/>
      <c r="CW55" s="403"/>
      <c r="CX55" s="403"/>
      <c r="CY55" s="403"/>
      <c r="CZ55" s="403"/>
      <c r="DA55" s="403"/>
      <c r="DB55" s="403"/>
      <c r="DC55" s="403"/>
      <c r="DD55" s="403"/>
      <c r="DE55" s="403"/>
      <c r="DF55" s="403"/>
      <c r="DG55" s="403"/>
      <c r="DH55" s="403"/>
      <c r="DI55" s="403"/>
      <c r="DJ55" s="403"/>
      <c r="DK55" s="403"/>
      <c r="DL55" s="403"/>
      <c r="DM55" s="403"/>
      <c r="DN55" s="403"/>
      <c r="DO55" s="403"/>
      <c r="DP55" s="403"/>
      <c r="DQ55" s="403"/>
      <c r="DR55" s="403"/>
      <c r="DS55" s="403"/>
      <c r="DT55" s="403"/>
      <c r="DU55" s="403"/>
      <c r="DV55" s="403"/>
      <c r="DW55" s="403"/>
      <c r="DX55" s="403"/>
      <c r="DY55" s="564"/>
      <c r="DZ55" s="564"/>
    </row>
    <row r="56" spans="1:130" s="194" customFormat="1" x14ac:dyDescent="0.2">
      <c r="B56" s="230"/>
      <c r="C56" s="5"/>
      <c r="G56" s="299"/>
      <c r="H56" s="300"/>
      <c r="I56" s="299"/>
      <c r="K56" s="34"/>
      <c r="L56" s="299"/>
      <c r="M56" s="299"/>
      <c r="N56" s="299"/>
      <c r="P56" s="567"/>
      <c r="Q56" s="403"/>
      <c r="R56" s="403"/>
      <c r="S56" s="403"/>
      <c r="T56" s="403"/>
      <c r="U56" s="403"/>
      <c r="V56" s="403"/>
      <c r="W56" s="403"/>
      <c r="X56" s="403"/>
      <c r="Y56" s="403"/>
      <c r="Z56" s="403"/>
      <c r="AA56" s="403"/>
      <c r="AB56" s="403"/>
      <c r="AC56" s="403"/>
      <c r="AD56" s="403"/>
      <c r="AE56" s="403"/>
      <c r="AF56" s="403"/>
      <c r="AG56" s="403"/>
      <c r="AH56" s="403"/>
      <c r="AI56" s="403"/>
      <c r="AJ56" s="403"/>
      <c r="AK56" s="403"/>
      <c r="AL56" s="403"/>
      <c r="AM56" s="403"/>
      <c r="AN56" s="403"/>
      <c r="AO56" s="403"/>
      <c r="AP56" s="403"/>
      <c r="AQ56" s="403"/>
      <c r="AR56" s="403"/>
      <c r="AS56" s="403"/>
      <c r="AT56" s="403"/>
      <c r="AU56" s="403"/>
      <c r="AV56" s="403"/>
      <c r="AW56" s="403"/>
      <c r="AX56" s="403"/>
      <c r="AY56" s="403"/>
      <c r="AZ56" s="403"/>
      <c r="BA56" s="403"/>
      <c r="BB56" s="403"/>
      <c r="BC56" s="403"/>
      <c r="BD56" s="403"/>
      <c r="BE56" s="403"/>
      <c r="BF56" s="403"/>
      <c r="BG56" s="403"/>
      <c r="BH56" s="403"/>
      <c r="BI56" s="403"/>
      <c r="BJ56" s="403"/>
      <c r="BK56" s="403"/>
      <c r="BL56" s="403"/>
      <c r="BM56" s="403"/>
      <c r="BN56" s="403"/>
      <c r="BO56" s="403"/>
      <c r="BP56" s="403"/>
      <c r="BQ56" s="403"/>
      <c r="BR56" s="403"/>
      <c r="BS56" s="403"/>
      <c r="BT56" s="403"/>
      <c r="BU56" s="403"/>
      <c r="BV56" s="403"/>
      <c r="BW56" s="403"/>
      <c r="BX56" s="403"/>
      <c r="BY56" s="403"/>
      <c r="BZ56" s="403"/>
      <c r="CA56" s="403"/>
      <c r="CB56" s="403"/>
      <c r="CC56" s="403"/>
      <c r="CD56" s="403"/>
      <c r="CE56" s="403"/>
      <c r="CF56" s="403"/>
      <c r="CG56" s="403"/>
      <c r="CH56" s="403"/>
      <c r="CI56" s="403"/>
      <c r="CJ56" s="403"/>
      <c r="CK56" s="403"/>
      <c r="CL56" s="403"/>
      <c r="CM56" s="403"/>
      <c r="CN56" s="403"/>
      <c r="CO56" s="403"/>
      <c r="CP56" s="403"/>
      <c r="CQ56" s="403"/>
      <c r="CR56" s="403"/>
      <c r="CS56" s="403"/>
      <c r="CT56" s="403"/>
      <c r="CU56" s="403"/>
      <c r="CV56" s="403"/>
      <c r="CW56" s="403"/>
      <c r="CX56" s="403"/>
      <c r="CY56" s="403"/>
      <c r="CZ56" s="403"/>
      <c r="DA56" s="403"/>
      <c r="DB56" s="403"/>
      <c r="DC56" s="403"/>
      <c r="DD56" s="403"/>
      <c r="DE56" s="403"/>
      <c r="DF56" s="403"/>
      <c r="DG56" s="403"/>
      <c r="DH56" s="403"/>
      <c r="DI56" s="403"/>
      <c r="DJ56" s="403"/>
      <c r="DK56" s="403"/>
      <c r="DL56" s="403"/>
      <c r="DM56" s="403"/>
      <c r="DN56" s="403"/>
      <c r="DO56" s="403"/>
      <c r="DP56" s="403"/>
      <c r="DQ56" s="403"/>
      <c r="DR56" s="403"/>
      <c r="DS56" s="403"/>
      <c r="DT56" s="403"/>
      <c r="DU56" s="403"/>
      <c r="DV56" s="403"/>
      <c r="DW56" s="403"/>
      <c r="DX56" s="403"/>
      <c r="DY56" s="564"/>
      <c r="DZ56" s="564"/>
    </row>
    <row r="57" spans="1:130" ht="15" x14ac:dyDescent="0.25">
      <c r="B57" s="8" t="str">
        <f ca="1">IF(OFFSET(S57,0,Lang_Order*Lang__A4)="","",OFFSET(S57,0,Lang_Order*Lang__A4))</f>
        <v>A4.1.06 Training &amp; Supervision</v>
      </c>
      <c r="C57" s="19"/>
      <c r="D57" s="8"/>
      <c r="E57" s="8"/>
      <c r="F57" s="8"/>
      <c r="G57" s="408" t="str">
        <f>CONCATENATE(Lang_LCU,": ",LCU)</f>
        <v xml:space="preserve">LCU: </v>
      </c>
      <c r="H57" s="219" t="str">
        <f ca="1">IF(OFFSET(Y57,0,Lang_Order*Lang__A4)="","",OFFSET(Y57,0,Lang_Order*Lang__A4))</f>
        <v>Override in USD</v>
      </c>
      <c r="I57" s="8"/>
      <c r="J57" s="8"/>
      <c r="K57" s="188" t="e">
        <f>SUM(J59:J77)</f>
        <v>#N/A</v>
      </c>
      <c r="L57" s="8"/>
      <c r="M57" s="8"/>
      <c r="N57" s="8"/>
      <c r="O57" s="8"/>
      <c r="P57" s="8"/>
      <c r="S57" s="403" t="s">
        <v>14500</v>
      </c>
      <c r="Y57" s="403" t="s">
        <v>2977</v>
      </c>
      <c r="AI57" s="403" t="s">
        <v>14501</v>
      </c>
      <c r="AO57" s="403" t="s">
        <v>7897</v>
      </c>
      <c r="AY57" s="403" t="s">
        <v>14502</v>
      </c>
      <c r="BE57" s="403" t="s">
        <v>8114</v>
      </c>
      <c r="BO57" s="403" t="s">
        <v>14503</v>
      </c>
      <c r="BU57" s="403" t="s">
        <v>7903</v>
      </c>
      <c r="CE57" s="403" t="s">
        <v>14504</v>
      </c>
      <c r="CK57" s="403" t="s">
        <v>7906</v>
      </c>
      <c r="CU57" s="403" t="s">
        <v>14505</v>
      </c>
      <c r="DA57" s="403" t="s">
        <v>7908</v>
      </c>
      <c r="DK57" s="403" t="s">
        <v>14506</v>
      </c>
      <c r="DQ57" s="403" t="s">
        <v>7911</v>
      </c>
    </row>
    <row r="58" spans="1:130" s="185" customFormat="1" ht="79.5" customHeight="1" x14ac:dyDescent="0.2">
      <c r="C58" s="679" t="str">
        <f t="shared" ref="C58:C69" ca="1" si="8">IF(OFFSET(T58,0,Lang_Order*Lang__A4)="","",OFFSET(T58,0,Lang_Order*Lang__A4))</f>
        <v>Instructions: This section includes technical assistance (TA) for developing training plans and materials. Please also include the costs of training where these originate at the central level (e.g., ToT and/or digital learning) but exclude local level training (which should be costed under A3.1).
Technical assistance for security planning also is to be included here if desired but security costs at the central stores and at the local level are covered under B4.2 and B5.</v>
      </c>
      <c r="D58" s="679"/>
      <c r="E58" s="679"/>
      <c r="F58" s="679"/>
      <c r="G58" s="679"/>
      <c r="H58" s="679"/>
      <c r="P58" s="574"/>
      <c r="Q58" s="403"/>
      <c r="R58" s="403"/>
      <c r="S58" s="403"/>
      <c r="T58" s="403" t="s">
        <v>4152</v>
      </c>
      <c r="U58" s="403"/>
      <c r="V58" s="403"/>
      <c r="W58" s="403"/>
      <c r="X58" s="403"/>
      <c r="Y58" s="403"/>
      <c r="Z58" s="403"/>
      <c r="AA58" s="403"/>
      <c r="AB58" s="403"/>
      <c r="AC58" s="403"/>
      <c r="AD58" s="403"/>
      <c r="AE58" s="403"/>
      <c r="AF58" s="403"/>
      <c r="AG58" s="403"/>
      <c r="AH58" s="403"/>
      <c r="AI58" s="403"/>
      <c r="AJ58" s="403" t="s">
        <v>8828</v>
      </c>
      <c r="AK58" s="403"/>
      <c r="AL58" s="403"/>
      <c r="AM58" s="403"/>
      <c r="AN58" s="403"/>
      <c r="AO58" s="403"/>
      <c r="AP58" s="403"/>
      <c r="AQ58" s="403"/>
      <c r="AR58" s="403"/>
      <c r="AS58" s="403"/>
      <c r="AT58" s="403"/>
      <c r="AU58" s="403"/>
      <c r="AV58" s="403"/>
      <c r="AW58" s="403"/>
      <c r="AX58" s="403"/>
      <c r="AY58" s="403"/>
      <c r="AZ58" s="403" t="s">
        <v>8829</v>
      </c>
      <c r="BA58" s="403"/>
      <c r="BB58" s="403"/>
      <c r="BC58" s="403"/>
      <c r="BD58" s="403"/>
      <c r="BE58" s="403"/>
      <c r="BF58" s="403"/>
      <c r="BG58" s="403"/>
      <c r="BH58" s="403"/>
      <c r="BI58" s="403"/>
      <c r="BJ58" s="403"/>
      <c r="BK58" s="403"/>
      <c r="BL58" s="403"/>
      <c r="BM58" s="403"/>
      <c r="BN58" s="403"/>
      <c r="BO58" s="403"/>
      <c r="BP58" s="403" t="s">
        <v>8830</v>
      </c>
      <c r="BQ58" s="403"/>
      <c r="BR58" s="403"/>
      <c r="BS58" s="403"/>
      <c r="BT58" s="403"/>
      <c r="BU58" s="403"/>
      <c r="BV58" s="403"/>
      <c r="BW58" s="403"/>
      <c r="BX58" s="403"/>
      <c r="BY58" s="403"/>
      <c r="BZ58" s="403"/>
      <c r="CA58" s="403"/>
      <c r="CB58" s="403"/>
      <c r="CC58" s="403"/>
      <c r="CD58" s="403"/>
      <c r="CE58" s="403"/>
      <c r="CF58" s="403" t="s">
        <v>8831</v>
      </c>
      <c r="CG58" s="403"/>
      <c r="CH58" s="403"/>
      <c r="CI58" s="403"/>
      <c r="CJ58" s="403"/>
      <c r="CK58" s="403"/>
      <c r="CL58" s="403"/>
      <c r="CM58" s="403"/>
      <c r="CN58" s="403"/>
      <c r="CO58" s="403"/>
      <c r="CP58" s="403"/>
      <c r="CQ58" s="403"/>
      <c r="CR58" s="403"/>
      <c r="CS58" s="403"/>
      <c r="CT58" s="403"/>
      <c r="CU58" s="403"/>
      <c r="CV58" s="403" t="s">
        <v>8832</v>
      </c>
      <c r="CW58" s="403"/>
      <c r="CX58" s="403"/>
      <c r="CY58" s="403"/>
      <c r="CZ58" s="403"/>
      <c r="DA58" s="403"/>
      <c r="DB58" s="403"/>
      <c r="DC58" s="403"/>
      <c r="DD58" s="403"/>
      <c r="DE58" s="403"/>
      <c r="DF58" s="403"/>
      <c r="DG58" s="403"/>
      <c r="DH58" s="403"/>
      <c r="DI58" s="403"/>
      <c r="DJ58" s="403"/>
      <c r="DK58" s="403"/>
      <c r="DL58" s="403" t="s">
        <v>8833</v>
      </c>
      <c r="DM58" s="403"/>
      <c r="DN58" s="403"/>
      <c r="DO58" s="403"/>
      <c r="DP58" s="403"/>
      <c r="DQ58" s="403"/>
      <c r="DR58" s="403"/>
      <c r="DS58" s="403"/>
      <c r="DT58" s="403"/>
      <c r="DU58" s="403"/>
      <c r="DV58" s="403"/>
      <c r="DW58" s="403"/>
      <c r="DX58" s="403"/>
      <c r="DY58" s="564"/>
      <c r="DZ58" s="564"/>
    </row>
    <row r="59" spans="1:130" x14ac:dyDescent="0.2">
      <c r="A59" s="354">
        <v>1</v>
      </c>
      <c r="B59" s="230"/>
      <c r="C59" s="5" t="str">
        <f t="shared" ca="1" si="8"/>
        <v>TA: Development of training plans</v>
      </c>
      <c r="D59" s="2">
        <v>1</v>
      </c>
      <c r="E59" s="299"/>
      <c r="F59" s="2"/>
      <c r="G59" s="32"/>
      <c r="H59" s="401"/>
      <c r="I59" s="300" t="e">
        <f>IF(ISBLANK(H59),G59/USD2LCU,H59)</f>
        <v>#N/A</v>
      </c>
      <c r="J59" s="300" t="e">
        <f>D59*I59</f>
        <v>#N/A</v>
      </c>
      <c r="K59" s="152"/>
      <c r="L59" s="299" t="s">
        <v>3863</v>
      </c>
      <c r="N59" s="185"/>
      <c r="O59" s="12" t="str">
        <f ca="1">IF(OFFSET(AF59,0,Lang_Order*Lang__A4)="","",OFFSET(AF59,0,Lang_Order*Lang__A4))</f>
        <v>Virtual and/or in-person</v>
      </c>
      <c r="P59" s="587"/>
      <c r="T59" s="403" t="s">
        <v>3864</v>
      </c>
      <c r="AF59" s="403" t="s">
        <v>2187</v>
      </c>
      <c r="AJ59" s="403" t="s">
        <v>8834</v>
      </c>
      <c r="AV59" s="403" t="s">
        <v>8835</v>
      </c>
      <c r="AZ59" s="403" t="s">
        <v>8836</v>
      </c>
      <c r="BL59" s="403" t="s">
        <v>8837</v>
      </c>
      <c r="BP59" s="403" t="s">
        <v>8838</v>
      </c>
      <c r="CB59" s="403" t="s">
        <v>8839</v>
      </c>
      <c r="CF59" s="403" t="s">
        <v>8840</v>
      </c>
      <c r="CR59" s="403" t="s">
        <v>8841</v>
      </c>
      <c r="CV59" s="403" t="s">
        <v>8842</v>
      </c>
      <c r="DH59" s="403" t="s">
        <v>8843</v>
      </c>
      <c r="DL59" s="403" t="s">
        <v>8844</v>
      </c>
      <c r="DX59" s="403" t="s">
        <v>8845</v>
      </c>
    </row>
    <row r="60" spans="1:130" s="299" customFormat="1" x14ac:dyDescent="0.2">
      <c r="A60" s="354">
        <v>1</v>
      </c>
      <c r="B60" s="230"/>
      <c r="C60" s="5" t="str">
        <f t="shared" ca="1" si="8"/>
        <v>TA: Translate and adapt WHO and additional training materials</v>
      </c>
      <c r="D60" s="2">
        <v>1</v>
      </c>
      <c r="F60" s="2"/>
      <c r="G60" s="32"/>
      <c r="H60" s="401"/>
      <c r="I60" s="300" t="e">
        <f>IF(ISBLANK(H60),G60/USD2LCU,H60)</f>
        <v>#N/A</v>
      </c>
      <c r="J60" s="300" t="e">
        <f>D60*I60</f>
        <v>#N/A</v>
      </c>
      <c r="K60" s="152"/>
      <c r="L60" s="299" t="s">
        <v>3865</v>
      </c>
      <c r="N60" s="185"/>
      <c r="O60" s="574"/>
      <c r="P60" s="587"/>
      <c r="Q60" s="403"/>
      <c r="R60" s="403"/>
      <c r="S60" s="403"/>
      <c r="T60" s="403" t="s">
        <v>3866</v>
      </c>
      <c r="U60" s="403"/>
      <c r="V60" s="403"/>
      <c r="W60" s="403"/>
      <c r="X60" s="403"/>
      <c r="Y60" s="403"/>
      <c r="Z60" s="403"/>
      <c r="AA60" s="403"/>
      <c r="AB60" s="403"/>
      <c r="AC60" s="403"/>
      <c r="AD60" s="403"/>
      <c r="AE60" s="403"/>
      <c r="AF60" s="403"/>
      <c r="AG60" s="403"/>
      <c r="AH60" s="403"/>
      <c r="AI60" s="403"/>
      <c r="AJ60" s="403" t="s">
        <v>8846</v>
      </c>
      <c r="AK60" s="403"/>
      <c r="AL60" s="403"/>
      <c r="AM60" s="403"/>
      <c r="AN60" s="403"/>
      <c r="AO60" s="403"/>
      <c r="AP60" s="403"/>
      <c r="AQ60" s="403"/>
      <c r="AR60" s="403"/>
      <c r="AS60" s="403"/>
      <c r="AT60" s="403"/>
      <c r="AU60" s="403"/>
      <c r="AV60" s="403"/>
      <c r="AW60" s="403"/>
      <c r="AX60" s="403"/>
      <c r="AY60" s="403"/>
      <c r="AZ60" s="403" t="s">
        <v>8847</v>
      </c>
      <c r="BA60" s="403"/>
      <c r="BB60" s="403"/>
      <c r="BC60" s="403"/>
      <c r="BD60" s="403"/>
      <c r="BE60" s="403"/>
      <c r="BF60" s="403"/>
      <c r="BG60" s="403"/>
      <c r="BH60" s="403"/>
      <c r="BI60" s="403"/>
      <c r="BJ60" s="403"/>
      <c r="BK60" s="403"/>
      <c r="BL60" s="403"/>
      <c r="BM60" s="403"/>
      <c r="BN60" s="403"/>
      <c r="BO60" s="403"/>
      <c r="BP60" s="403" t="s">
        <v>8848</v>
      </c>
      <c r="BQ60" s="403"/>
      <c r="BR60" s="403"/>
      <c r="BS60" s="403"/>
      <c r="BT60" s="403"/>
      <c r="BU60" s="403"/>
      <c r="BV60" s="403"/>
      <c r="BW60" s="403"/>
      <c r="BX60" s="403"/>
      <c r="BY60" s="403"/>
      <c r="BZ60" s="403"/>
      <c r="CA60" s="403"/>
      <c r="CB60" s="403"/>
      <c r="CC60" s="403"/>
      <c r="CD60" s="403"/>
      <c r="CE60" s="403"/>
      <c r="CF60" s="403" t="s">
        <v>8849</v>
      </c>
      <c r="CG60" s="403"/>
      <c r="CH60" s="403"/>
      <c r="CI60" s="403"/>
      <c r="CJ60" s="403"/>
      <c r="CK60" s="403"/>
      <c r="CL60" s="403"/>
      <c r="CM60" s="403"/>
      <c r="CN60" s="403"/>
      <c r="CO60" s="403"/>
      <c r="CP60" s="403"/>
      <c r="CQ60" s="403"/>
      <c r="CR60" s="403"/>
      <c r="CS60" s="403"/>
      <c r="CT60" s="403"/>
      <c r="CU60" s="403"/>
      <c r="CV60" s="403" t="s">
        <v>8850</v>
      </c>
      <c r="CW60" s="403"/>
      <c r="CX60" s="403"/>
      <c r="CY60" s="403"/>
      <c r="CZ60" s="403"/>
      <c r="DA60" s="403"/>
      <c r="DB60" s="403"/>
      <c r="DC60" s="403"/>
      <c r="DD60" s="403"/>
      <c r="DE60" s="403"/>
      <c r="DF60" s="403"/>
      <c r="DG60" s="403"/>
      <c r="DH60" s="403"/>
      <c r="DI60" s="403"/>
      <c r="DJ60" s="403"/>
      <c r="DK60" s="403"/>
      <c r="DL60" s="403" t="s">
        <v>8851</v>
      </c>
      <c r="DM60" s="403"/>
      <c r="DN60" s="403"/>
      <c r="DO60" s="403"/>
      <c r="DP60" s="403"/>
      <c r="DQ60" s="403"/>
      <c r="DR60" s="403"/>
      <c r="DS60" s="403"/>
      <c r="DT60" s="403"/>
      <c r="DU60" s="403"/>
      <c r="DV60" s="403"/>
      <c r="DW60" s="403"/>
      <c r="DX60" s="403"/>
      <c r="DY60" s="564"/>
      <c r="DZ60" s="564"/>
    </row>
    <row r="61" spans="1:130" s="532" customFormat="1" x14ac:dyDescent="0.2">
      <c r="C61" s="159" t="str">
        <f t="shared" ca="1" si="8"/>
        <v>Other TA for HR and training</v>
      </c>
      <c r="O61" s="574"/>
      <c r="P61" s="567"/>
      <c r="T61" s="564" t="s">
        <v>4582</v>
      </c>
      <c r="U61" s="564"/>
      <c r="V61" s="564"/>
      <c r="W61" s="564"/>
      <c r="X61" s="564"/>
      <c r="Y61" s="564"/>
      <c r="Z61" s="564"/>
      <c r="AA61" s="564"/>
      <c r="AB61" s="564"/>
      <c r="AC61" s="564"/>
      <c r="AD61" s="564"/>
      <c r="AE61" s="564"/>
      <c r="AF61" s="564"/>
      <c r="AG61" s="564"/>
      <c r="AH61" s="564"/>
      <c r="AI61" s="564"/>
      <c r="AJ61" s="564" t="s">
        <v>13642</v>
      </c>
      <c r="AK61" s="564"/>
      <c r="AL61" s="564"/>
      <c r="AM61" s="564"/>
      <c r="AN61" s="564"/>
      <c r="AO61" s="564"/>
      <c r="AP61" s="564"/>
      <c r="AQ61" s="564"/>
      <c r="AR61" s="564"/>
      <c r="AS61" s="564"/>
      <c r="AT61" s="564"/>
      <c r="AU61" s="564"/>
      <c r="AV61" s="564"/>
      <c r="AW61" s="564"/>
      <c r="AX61" s="564"/>
      <c r="AY61" s="564"/>
      <c r="AZ61" s="564" t="s">
        <v>13643</v>
      </c>
      <c r="BA61" s="564"/>
      <c r="BB61" s="564"/>
      <c r="BC61" s="564"/>
      <c r="BD61" s="564"/>
      <c r="BE61" s="564"/>
      <c r="BF61" s="564"/>
      <c r="BG61" s="564"/>
      <c r="BH61" s="564"/>
      <c r="BI61" s="564"/>
      <c r="BJ61" s="564"/>
      <c r="BK61" s="564"/>
      <c r="BL61" s="564"/>
      <c r="BM61" s="564"/>
      <c r="BN61" s="564"/>
      <c r="BO61" s="564"/>
      <c r="BP61" s="564" t="s">
        <v>13644</v>
      </c>
      <c r="BQ61" s="564"/>
      <c r="BR61" s="564"/>
      <c r="BS61" s="564"/>
      <c r="BT61" s="564"/>
      <c r="BU61" s="564"/>
      <c r="BV61" s="564"/>
      <c r="BW61" s="564"/>
      <c r="BX61" s="564"/>
      <c r="BY61" s="564"/>
      <c r="BZ61" s="564"/>
      <c r="CA61" s="564"/>
      <c r="CB61" s="564"/>
      <c r="CC61" s="564"/>
      <c r="CD61" s="564"/>
      <c r="CE61" s="564"/>
      <c r="CF61" s="564" t="s">
        <v>13645</v>
      </c>
      <c r="CG61" s="564"/>
      <c r="CH61" s="564"/>
      <c r="CI61" s="564"/>
      <c r="CJ61" s="564"/>
      <c r="CK61" s="564"/>
      <c r="CL61" s="564"/>
      <c r="CM61" s="564"/>
      <c r="CN61" s="564"/>
      <c r="CO61" s="564"/>
      <c r="CP61" s="564"/>
      <c r="CQ61" s="564"/>
      <c r="CR61" s="564"/>
      <c r="CS61" s="564"/>
      <c r="CT61" s="564"/>
      <c r="CU61" s="564"/>
      <c r="CV61" s="564" t="s">
        <v>13646</v>
      </c>
      <c r="CW61" s="564"/>
      <c r="CX61" s="564"/>
      <c r="CY61" s="564"/>
      <c r="CZ61" s="564"/>
      <c r="DA61" s="564"/>
      <c r="DB61" s="564"/>
      <c r="DC61" s="564"/>
      <c r="DD61" s="564"/>
      <c r="DE61" s="564"/>
      <c r="DF61" s="564"/>
      <c r="DG61" s="564"/>
      <c r="DH61" s="564"/>
      <c r="DI61" s="564"/>
      <c r="DJ61" s="564"/>
      <c r="DK61" s="564"/>
      <c r="DL61" s="564" t="s">
        <v>13647</v>
      </c>
      <c r="DY61" s="564"/>
      <c r="DZ61" s="564"/>
    </row>
    <row r="62" spans="1:130" s="532" customFormat="1" x14ac:dyDescent="0.2">
      <c r="A62" s="350">
        <v>2</v>
      </c>
      <c r="B62" s="230"/>
      <c r="C62" s="374" t="s">
        <v>2974</v>
      </c>
      <c r="D62" s="35">
        <v>1</v>
      </c>
      <c r="F62" s="2"/>
      <c r="G62" s="32"/>
      <c r="H62" s="401"/>
      <c r="I62" s="300" t="e">
        <f>IF(ISBLANK(H62),G62/USD2LCU,H62)</f>
        <v>#N/A</v>
      </c>
      <c r="J62" s="300" t="e">
        <f>D62*I62</f>
        <v>#N/A</v>
      </c>
      <c r="K62" s="152"/>
      <c r="O62" s="574"/>
      <c r="P62" s="587"/>
      <c r="Q62" s="531"/>
      <c r="R62" s="531"/>
      <c r="S62" s="531"/>
      <c r="T62" s="531" t="s">
        <v>2974</v>
      </c>
      <c r="U62" s="531"/>
      <c r="V62" s="531"/>
      <c r="W62" s="531"/>
      <c r="X62" s="531"/>
      <c r="Y62" s="531"/>
      <c r="Z62" s="531"/>
      <c r="AA62" s="531"/>
      <c r="AB62" s="531"/>
      <c r="AC62" s="531"/>
      <c r="AD62" s="531"/>
      <c r="AE62" s="531"/>
      <c r="AF62" s="531"/>
      <c r="AG62" s="531"/>
      <c r="AH62" s="531"/>
      <c r="AI62" s="531"/>
      <c r="AJ62" s="531" t="s">
        <v>8753</v>
      </c>
      <c r="AK62" s="531"/>
      <c r="AL62" s="531"/>
      <c r="AM62" s="531"/>
      <c r="AN62" s="531"/>
      <c r="AO62" s="531"/>
      <c r="AP62" s="531"/>
      <c r="AQ62" s="531"/>
      <c r="AR62" s="531"/>
      <c r="AS62" s="531"/>
      <c r="AT62" s="531"/>
      <c r="AU62" s="531"/>
      <c r="AV62" s="531"/>
      <c r="AW62" s="531"/>
      <c r="AX62" s="531"/>
      <c r="AY62" s="531"/>
      <c r="AZ62" s="531" t="s">
        <v>8754</v>
      </c>
      <c r="BA62" s="531"/>
      <c r="BB62" s="531"/>
      <c r="BC62" s="531"/>
      <c r="BD62" s="531"/>
      <c r="BE62" s="531"/>
      <c r="BF62" s="531"/>
      <c r="BG62" s="531"/>
      <c r="BH62" s="531"/>
      <c r="BI62" s="531"/>
      <c r="BJ62" s="531"/>
      <c r="BK62" s="531"/>
      <c r="BL62" s="531"/>
      <c r="BM62" s="531"/>
      <c r="BN62" s="531"/>
      <c r="BO62" s="531"/>
      <c r="BP62" s="531" t="s">
        <v>8755</v>
      </c>
      <c r="BQ62" s="531"/>
      <c r="BR62" s="531"/>
      <c r="BS62" s="531"/>
      <c r="BT62" s="531"/>
      <c r="BU62" s="531"/>
      <c r="BV62" s="531"/>
      <c r="BW62" s="531"/>
      <c r="BX62" s="531"/>
      <c r="BY62" s="531"/>
      <c r="BZ62" s="531"/>
      <c r="CA62" s="531"/>
      <c r="CB62" s="531"/>
      <c r="CC62" s="531"/>
      <c r="CD62" s="531"/>
      <c r="CE62" s="531"/>
      <c r="CF62" s="531" t="s">
        <v>8756</v>
      </c>
      <c r="CG62" s="531"/>
      <c r="CH62" s="531"/>
      <c r="CI62" s="531"/>
      <c r="CJ62" s="531"/>
      <c r="CK62" s="531"/>
      <c r="CL62" s="531"/>
      <c r="CM62" s="531"/>
      <c r="CN62" s="531"/>
      <c r="CO62" s="531"/>
      <c r="CP62" s="531"/>
      <c r="CQ62" s="531"/>
      <c r="CR62" s="531"/>
      <c r="CS62" s="531"/>
      <c r="CT62" s="531"/>
      <c r="CU62" s="531"/>
      <c r="CV62" s="531" t="s">
        <v>8757</v>
      </c>
      <c r="CW62" s="531"/>
      <c r="CX62" s="531"/>
      <c r="CY62" s="531"/>
      <c r="CZ62" s="531"/>
      <c r="DA62" s="531"/>
      <c r="DB62" s="531"/>
      <c r="DC62" s="531"/>
      <c r="DD62" s="531"/>
      <c r="DE62" s="531"/>
      <c r="DF62" s="531"/>
      <c r="DG62" s="531"/>
      <c r="DH62" s="531"/>
      <c r="DI62" s="531"/>
      <c r="DJ62" s="531"/>
      <c r="DK62" s="531"/>
      <c r="DL62" s="531" t="s">
        <v>8758</v>
      </c>
      <c r="DM62" s="531"/>
      <c r="DN62" s="531"/>
      <c r="DO62" s="531"/>
      <c r="DP62" s="531"/>
      <c r="DQ62" s="531"/>
      <c r="DR62" s="531"/>
      <c r="DS62" s="531"/>
      <c r="DT62" s="531"/>
      <c r="DU62" s="531"/>
      <c r="DV62" s="531"/>
      <c r="DW62" s="531"/>
      <c r="DX62" s="531"/>
      <c r="DY62" s="564"/>
      <c r="DZ62" s="564"/>
    </row>
    <row r="63" spans="1:130" s="532" customFormat="1" x14ac:dyDescent="0.2">
      <c r="A63" s="350">
        <v>2</v>
      </c>
      <c r="B63" s="230"/>
      <c r="C63" s="374"/>
      <c r="D63" s="35">
        <v>1</v>
      </c>
      <c r="F63" s="2"/>
      <c r="G63" s="32"/>
      <c r="H63" s="401"/>
      <c r="I63" s="300" t="e">
        <f>IF(ISBLANK(H63),G63/USD2LCU,H63)</f>
        <v>#N/A</v>
      </c>
      <c r="J63" s="300" t="e">
        <f>D63*I63</f>
        <v>#N/A</v>
      </c>
      <c r="K63" s="152"/>
      <c r="O63" s="574"/>
      <c r="P63" s="587"/>
      <c r="Q63" s="531"/>
      <c r="R63" s="531"/>
      <c r="S63" s="531"/>
      <c r="T63" s="531"/>
      <c r="U63" s="531"/>
      <c r="V63" s="531"/>
      <c r="W63" s="531"/>
      <c r="X63" s="531"/>
      <c r="Y63" s="531"/>
      <c r="Z63" s="531"/>
      <c r="AA63" s="531"/>
      <c r="AB63" s="531"/>
      <c r="AC63" s="531"/>
      <c r="AD63" s="531"/>
      <c r="AE63" s="531"/>
      <c r="AF63" s="531"/>
      <c r="AG63" s="531"/>
      <c r="AH63" s="531"/>
      <c r="AI63" s="531"/>
      <c r="AJ63" s="531"/>
      <c r="AK63" s="531"/>
      <c r="AL63" s="531"/>
      <c r="AM63" s="531"/>
      <c r="AN63" s="531"/>
      <c r="AO63" s="531"/>
      <c r="AP63" s="531"/>
      <c r="AQ63" s="531"/>
      <c r="AR63" s="531"/>
      <c r="AS63" s="531"/>
      <c r="AT63" s="531"/>
      <c r="AU63" s="531"/>
      <c r="AV63" s="531"/>
      <c r="AW63" s="531"/>
      <c r="AX63" s="531"/>
      <c r="AY63" s="531"/>
      <c r="AZ63" s="531"/>
      <c r="BA63" s="531"/>
      <c r="BB63" s="531"/>
      <c r="BC63" s="531"/>
      <c r="BD63" s="531"/>
      <c r="BE63" s="531"/>
      <c r="BF63" s="531"/>
      <c r="BG63" s="531"/>
      <c r="BH63" s="531"/>
      <c r="BI63" s="531"/>
      <c r="BJ63" s="531"/>
      <c r="BK63" s="531"/>
      <c r="BL63" s="531"/>
      <c r="BM63" s="531"/>
      <c r="BN63" s="531"/>
      <c r="BO63" s="531"/>
      <c r="BP63" s="531"/>
      <c r="BQ63" s="531"/>
      <c r="BR63" s="531"/>
      <c r="BS63" s="531"/>
      <c r="BT63" s="531"/>
      <c r="BU63" s="531"/>
      <c r="BV63" s="531"/>
      <c r="BW63" s="531"/>
      <c r="BX63" s="531"/>
      <c r="BY63" s="531"/>
      <c r="BZ63" s="531"/>
      <c r="CA63" s="531"/>
      <c r="CB63" s="531"/>
      <c r="CC63" s="531"/>
      <c r="CD63" s="531"/>
      <c r="CE63" s="531"/>
      <c r="CF63" s="531"/>
      <c r="CG63" s="531"/>
      <c r="CH63" s="531"/>
      <c r="CI63" s="531"/>
      <c r="CJ63" s="531"/>
      <c r="CK63" s="531"/>
      <c r="CL63" s="531"/>
      <c r="CM63" s="531"/>
      <c r="CN63" s="531"/>
      <c r="CO63" s="531"/>
      <c r="CP63" s="531"/>
      <c r="CQ63" s="531"/>
      <c r="CR63" s="531"/>
      <c r="CS63" s="531"/>
      <c r="CT63" s="531"/>
      <c r="CU63" s="531"/>
      <c r="CV63" s="531"/>
      <c r="CW63" s="531"/>
      <c r="CX63" s="531"/>
      <c r="CY63" s="531"/>
      <c r="CZ63" s="531"/>
      <c r="DA63" s="531"/>
      <c r="DB63" s="531"/>
      <c r="DC63" s="531"/>
      <c r="DD63" s="531"/>
      <c r="DE63" s="531"/>
      <c r="DF63" s="531"/>
      <c r="DG63" s="531"/>
      <c r="DH63" s="531"/>
      <c r="DI63" s="531"/>
      <c r="DJ63" s="531"/>
      <c r="DK63" s="531"/>
      <c r="DL63" s="531"/>
      <c r="DM63" s="531"/>
      <c r="DN63" s="531"/>
      <c r="DO63" s="531"/>
      <c r="DP63" s="531"/>
      <c r="DQ63" s="531"/>
      <c r="DR63" s="531"/>
      <c r="DS63" s="531"/>
      <c r="DT63" s="531"/>
      <c r="DU63" s="531"/>
      <c r="DV63" s="531"/>
      <c r="DW63" s="531"/>
      <c r="DX63" s="531"/>
      <c r="DY63" s="564"/>
      <c r="DZ63" s="564"/>
    </row>
    <row r="64" spans="1:130" s="532" customFormat="1" x14ac:dyDescent="0.2">
      <c r="A64" s="350">
        <v>2</v>
      </c>
      <c r="B64" s="230"/>
      <c r="C64" s="374"/>
      <c r="D64" s="35">
        <v>1</v>
      </c>
      <c r="F64" s="2"/>
      <c r="G64" s="32"/>
      <c r="H64" s="401"/>
      <c r="I64" s="300" t="e">
        <f>IF(ISBLANK(H64),G64/USD2LCU,H64)</f>
        <v>#N/A</v>
      </c>
      <c r="J64" s="300" t="e">
        <f>D64*I64</f>
        <v>#N/A</v>
      </c>
      <c r="K64" s="152"/>
      <c r="O64" s="574"/>
      <c r="P64" s="587"/>
      <c r="Q64" s="531"/>
      <c r="R64" s="531"/>
      <c r="S64" s="531"/>
      <c r="T64" s="531"/>
      <c r="U64" s="531"/>
      <c r="V64" s="531"/>
      <c r="W64" s="531"/>
      <c r="X64" s="531"/>
      <c r="Y64" s="531"/>
      <c r="Z64" s="531"/>
      <c r="AA64" s="531"/>
      <c r="AB64" s="531"/>
      <c r="AC64" s="531"/>
      <c r="AD64" s="531"/>
      <c r="AE64" s="531"/>
      <c r="AF64" s="531"/>
      <c r="AG64" s="531"/>
      <c r="AH64" s="531"/>
      <c r="AI64" s="531"/>
      <c r="AJ64" s="531"/>
      <c r="AK64" s="531"/>
      <c r="AL64" s="531"/>
      <c r="AM64" s="531"/>
      <c r="AN64" s="531"/>
      <c r="AO64" s="531"/>
      <c r="AP64" s="531"/>
      <c r="AQ64" s="531"/>
      <c r="AR64" s="531"/>
      <c r="AS64" s="531"/>
      <c r="AT64" s="531"/>
      <c r="AU64" s="531"/>
      <c r="AV64" s="531"/>
      <c r="AW64" s="531"/>
      <c r="AX64" s="531"/>
      <c r="AY64" s="531"/>
      <c r="AZ64" s="531"/>
      <c r="BA64" s="531"/>
      <c r="BB64" s="531"/>
      <c r="BC64" s="531"/>
      <c r="BD64" s="531"/>
      <c r="BE64" s="531"/>
      <c r="BF64" s="531"/>
      <c r="BG64" s="531"/>
      <c r="BH64" s="531"/>
      <c r="BI64" s="531"/>
      <c r="BJ64" s="531"/>
      <c r="BK64" s="531"/>
      <c r="BL64" s="531"/>
      <c r="BM64" s="531"/>
      <c r="BN64" s="531"/>
      <c r="BO64" s="531"/>
      <c r="BP64" s="531"/>
      <c r="BQ64" s="531"/>
      <c r="BR64" s="531"/>
      <c r="BS64" s="531"/>
      <c r="BT64" s="531"/>
      <c r="BU64" s="531"/>
      <c r="BV64" s="531"/>
      <c r="BW64" s="531"/>
      <c r="BX64" s="531"/>
      <c r="BY64" s="531"/>
      <c r="BZ64" s="531"/>
      <c r="CA64" s="531"/>
      <c r="CB64" s="531"/>
      <c r="CC64" s="531"/>
      <c r="CD64" s="531"/>
      <c r="CE64" s="531"/>
      <c r="CF64" s="531"/>
      <c r="CG64" s="531"/>
      <c r="CH64" s="531"/>
      <c r="CI64" s="531"/>
      <c r="CJ64" s="531"/>
      <c r="CK64" s="531"/>
      <c r="CL64" s="531"/>
      <c r="CM64" s="531"/>
      <c r="CN64" s="531"/>
      <c r="CO64" s="531"/>
      <c r="CP64" s="531"/>
      <c r="CQ64" s="531"/>
      <c r="CR64" s="531"/>
      <c r="CS64" s="531"/>
      <c r="CT64" s="531"/>
      <c r="CU64" s="531"/>
      <c r="CV64" s="531"/>
      <c r="CW64" s="531"/>
      <c r="CX64" s="531"/>
      <c r="CY64" s="531"/>
      <c r="CZ64" s="531"/>
      <c r="DA64" s="531"/>
      <c r="DB64" s="531"/>
      <c r="DC64" s="531"/>
      <c r="DD64" s="531"/>
      <c r="DE64" s="531"/>
      <c r="DF64" s="531"/>
      <c r="DG64" s="531"/>
      <c r="DH64" s="531"/>
      <c r="DI64" s="531"/>
      <c r="DJ64" s="531"/>
      <c r="DK64" s="531"/>
      <c r="DL64" s="531"/>
      <c r="DM64" s="531"/>
      <c r="DN64" s="531"/>
      <c r="DO64" s="531"/>
      <c r="DP64" s="531"/>
      <c r="DQ64" s="531"/>
      <c r="DR64" s="531"/>
      <c r="DS64" s="531"/>
      <c r="DT64" s="531"/>
      <c r="DU64" s="531"/>
      <c r="DV64" s="531"/>
      <c r="DW64" s="531"/>
      <c r="DX64" s="531"/>
      <c r="DY64" s="564"/>
      <c r="DZ64" s="564"/>
    </row>
    <row r="65" spans="1:130" s="299" customFormat="1" x14ac:dyDescent="0.2">
      <c r="A65" s="354">
        <v>1</v>
      </c>
      <c r="B65" s="230"/>
      <c r="C65" s="370" t="str">
        <f t="shared" ca="1" si="8"/>
        <v>TA: Security plans for central, regional storage and for vaccinators</v>
      </c>
      <c r="D65" s="2">
        <v>1</v>
      </c>
      <c r="F65" s="2"/>
      <c r="G65" s="32"/>
      <c r="H65" s="401"/>
      <c r="I65" s="300" t="e">
        <f>IF(ISBLANK(H65),G65/USD2LCU,H65)</f>
        <v>#N/A</v>
      </c>
      <c r="J65" s="300" t="e">
        <f>D65*I65</f>
        <v>#N/A</v>
      </c>
      <c r="K65" s="152"/>
      <c r="L65" s="299" t="s">
        <v>2853</v>
      </c>
      <c r="N65" s="185"/>
      <c r="O65" s="574"/>
      <c r="P65" s="587"/>
      <c r="Q65" s="403"/>
      <c r="R65" s="403"/>
      <c r="S65" s="403"/>
      <c r="T65" s="403" t="s">
        <v>3867</v>
      </c>
      <c r="U65" s="403"/>
      <c r="V65" s="403"/>
      <c r="W65" s="403"/>
      <c r="X65" s="403"/>
      <c r="Y65" s="403"/>
      <c r="Z65" s="403"/>
      <c r="AA65" s="403"/>
      <c r="AB65" s="403"/>
      <c r="AC65" s="403"/>
      <c r="AD65" s="403"/>
      <c r="AE65" s="403"/>
      <c r="AF65" s="403"/>
      <c r="AG65" s="403"/>
      <c r="AH65" s="403"/>
      <c r="AI65" s="403"/>
      <c r="AJ65" s="403" t="s">
        <v>8852</v>
      </c>
      <c r="AK65" s="403"/>
      <c r="AL65" s="403"/>
      <c r="AM65" s="403"/>
      <c r="AN65" s="403"/>
      <c r="AO65" s="403"/>
      <c r="AP65" s="403"/>
      <c r="AQ65" s="403"/>
      <c r="AR65" s="403"/>
      <c r="AS65" s="403"/>
      <c r="AT65" s="403"/>
      <c r="AU65" s="403"/>
      <c r="AV65" s="403"/>
      <c r="AW65" s="403"/>
      <c r="AX65" s="403"/>
      <c r="AY65" s="403"/>
      <c r="AZ65" s="403" t="s">
        <v>8853</v>
      </c>
      <c r="BA65" s="403"/>
      <c r="BB65" s="403"/>
      <c r="BC65" s="403"/>
      <c r="BD65" s="403"/>
      <c r="BE65" s="403"/>
      <c r="BF65" s="403"/>
      <c r="BG65" s="403"/>
      <c r="BH65" s="403"/>
      <c r="BI65" s="403"/>
      <c r="BJ65" s="403"/>
      <c r="BK65" s="403"/>
      <c r="BL65" s="403"/>
      <c r="BM65" s="403"/>
      <c r="BN65" s="403"/>
      <c r="BO65" s="403"/>
      <c r="BP65" s="403" t="s">
        <v>8854</v>
      </c>
      <c r="BQ65" s="403"/>
      <c r="BR65" s="403"/>
      <c r="BS65" s="403"/>
      <c r="BT65" s="403"/>
      <c r="BU65" s="403"/>
      <c r="BV65" s="403"/>
      <c r="BW65" s="403"/>
      <c r="BX65" s="403"/>
      <c r="BY65" s="403"/>
      <c r="BZ65" s="403"/>
      <c r="CA65" s="403"/>
      <c r="CB65" s="403"/>
      <c r="CC65" s="403"/>
      <c r="CD65" s="403"/>
      <c r="CE65" s="403"/>
      <c r="CF65" s="403" t="s">
        <v>8855</v>
      </c>
      <c r="CG65" s="403"/>
      <c r="CH65" s="403"/>
      <c r="CI65" s="403"/>
      <c r="CJ65" s="403"/>
      <c r="CK65" s="403"/>
      <c r="CL65" s="403"/>
      <c r="CM65" s="403"/>
      <c r="CN65" s="403"/>
      <c r="CO65" s="403"/>
      <c r="CP65" s="403"/>
      <c r="CQ65" s="403"/>
      <c r="CR65" s="403"/>
      <c r="CS65" s="403"/>
      <c r="CT65" s="403"/>
      <c r="CU65" s="403"/>
      <c r="CV65" s="403" t="s">
        <v>8856</v>
      </c>
      <c r="CW65" s="403"/>
      <c r="CX65" s="403"/>
      <c r="CY65" s="403"/>
      <c r="CZ65" s="403"/>
      <c r="DA65" s="403"/>
      <c r="DB65" s="403"/>
      <c r="DC65" s="403"/>
      <c r="DD65" s="403"/>
      <c r="DE65" s="403"/>
      <c r="DF65" s="403"/>
      <c r="DG65" s="403"/>
      <c r="DH65" s="403"/>
      <c r="DI65" s="403"/>
      <c r="DJ65" s="403"/>
      <c r="DK65" s="403"/>
      <c r="DL65" s="403" t="s">
        <v>8857</v>
      </c>
      <c r="DM65" s="403"/>
      <c r="DN65" s="403"/>
      <c r="DO65" s="403"/>
      <c r="DP65" s="403"/>
      <c r="DQ65" s="403"/>
      <c r="DR65" s="403"/>
      <c r="DS65" s="403"/>
      <c r="DT65" s="403"/>
      <c r="DU65" s="403"/>
      <c r="DV65" s="403"/>
      <c r="DW65" s="403"/>
      <c r="DX65" s="403"/>
      <c r="DY65" s="564"/>
      <c r="DZ65" s="564"/>
    </row>
    <row r="66" spans="1:130" s="532" customFormat="1" x14ac:dyDescent="0.2">
      <c r="P66" s="567"/>
      <c r="DY66" s="564"/>
      <c r="DZ66" s="564"/>
    </row>
    <row r="67" spans="1:130" s="5" customFormat="1" x14ac:dyDescent="0.2">
      <c r="A67" s="354">
        <v>1</v>
      </c>
      <c r="B67" s="365"/>
      <c r="C67" s="5" t="str">
        <f t="shared" ca="1" si="8"/>
        <v>Conduct the vaccinator Training of Trainers (and Supervision) training [Instructor-led]</v>
      </c>
      <c r="D67" s="36"/>
      <c r="E67" s="366">
        <f>Pop_HCW_CS_Sites+District_Stores+Regional_Stores</f>
        <v>0</v>
      </c>
      <c r="F67" s="72" t="str">
        <f ca="1">IF(OFFSET(W67,0,Lang_Order*Lang__A4)="","",OFFSET(W67,0,Lang_Order*Lang__A4))</f>
        <v>Per trainer</v>
      </c>
      <c r="G67" s="367"/>
      <c r="H67" s="401"/>
      <c r="I67" s="300" t="e">
        <f>IF(ISBLANK(H67),G67/USD2LCU,H67)</f>
        <v>#N/A</v>
      </c>
      <c r="J67" s="300" t="e">
        <f>D67*I67</f>
        <v>#N/A</v>
      </c>
      <c r="K67" s="368"/>
      <c r="L67" s="369" t="s">
        <v>3917</v>
      </c>
      <c r="M67" s="369"/>
      <c r="N67" s="86" t="str">
        <f ca="1">IF(OFFSET(AE67,0,Lang_Order*Lang__A4)="","",OFFSET(AE67,0,Lang_Order*Lang__A4))</f>
        <v>More info on vaccinator training @ R2.1.3</v>
      </c>
      <c r="O67" s="12" t="str">
        <f ca="1">IF(OFFSET(AF67,0,Lang_Order*Lang__A4)="","",OFFSET(AF67,0,Lang_Order*Lang__A4))</f>
        <v>Train a supervisor for each region, district, and fixed site. NOTE: Local-level training specified under A3.1.</v>
      </c>
      <c r="P67" s="587"/>
      <c r="Q67" s="403"/>
      <c r="R67" s="403"/>
      <c r="S67" s="403"/>
      <c r="T67" s="403" t="s">
        <v>3908</v>
      </c>
      <c r="U67" s="403"/>
      <c r="V67" s="403"/>
      <c r="W67" s="403" t="s">
        <v>3914</v>
      </c>
      <c r="X67" s="403"/>
      <c r="Y67" s="403"/>
      <c r="Z67" s="403"/>
      <c r="AA67" s="403"/>
      <c r="AB67" s="403"/>
      <c r="AC67" s="403"/>
      <c r="AD67" s="403"/>
      <c r="AE67" s="403" t="s">
        <v>14642</v>
      </c>
      <c r="AF67" s="403" t="s">
        <v>3907</v>
      </c>
      <c r="AG67" s="403"/>
      <c r="AH67" s="403"/>
      <c r="AI67" s="403"/>
      <c r="AJ67" s="403" t="s">
        <v>8858</v>
      </c>
      <c r="AK67" s="403"/>
      <c r="AL67" s="403"/>
      <c r="AM67" s="403" t="s">
        <v>8859</v>
      </c>
      <c r="AN67" s="403"/>
      <c r="AO67" s="403"/>
      <c r="AP67" s="403"/>
      <c r="AQ67" s="403"/>
      <c r="AR67" s="403"/>
      <c r="AS67" s="403"/>
      <c r="AT67" s="403"/>
      <c r="AU67" s="403" t="s">
        <v>14643</v>
      </c>
      <c r="AV67" s="403" t="s">
        <v>8860</v>
      </c>
      <c r="AW67" s="403"/>
      <c r="AX67" s="403"/>
      <c r="AY67" s="403"/>
      <c r="AZ67" s="403" t="s">
        <v>8861</v>
      </c>
      <c r="BA67" s="403"/>
      <c r="BB67" s="403"/>
      <c r="BC67" s="403" t="s">
        <v>8862</v>
      </c>
      <c r="BD67" s="403"/>
      <c r="BE67" s="403"/>
      <c r="BF67" s="403"/>
      <c r="BG67" s="403"/>
      <c r="BH67" s="403"/>
      <c r="BI67" s="403"/>
      <c r="BJ67" s="403"/>
      <c r="BK67" s="403" t="s">
        <v>14644</v>
      </c>
      <c r="BL67" s="403" t="s">
        <v>8863</v>
      </c>
      <c r="BM67" s="403"/>
      <c r="BN67" s="403"/>
      <c r="BO67" s="403"/>
      <c r="BP67" s="403" t="s">
        <v>8864</v>
      </c>
      <c r="BQ67" s="403"/>
      <c r="BR67" s="403"/>
      <c r="BS67" s="403" t="s">
        <v>8865</v>
      </c>
      <c r="BT67" s="403"/>
      <c r="BU67" s="403"/>
      <c r="BV67" s="403"/>
      <c r="BW67" s="403"/>
      <c r="BX67" s="403"/>
      <c r="BY67" s="403"/>
      <c r="BZ67" s="403"/>
      <c r="CA67" s="403" t="s">
        <v>14645</v>
      </c>
      <c r="CB67" s="403" t="s">
        <v>8866</v>
      </c>
      <c r="CC67" s="403"/>
      <c r="CD67" s="403"/>
      <c r="CE67" s="403"/>
      <c r="CF67" s="403" t="s">
        <v>8867</v>
      </c>
      <c r="CG67" s="403"/>
      <c r="CH67" s="403"/>
      <c r="CI67" s="403" t="s">
        <v>8868</v>
      </c>
      <c r="CJ67" s="403"/>
      <c r="CK67" s="403"/>
      <c r="CL67" s="403"/>
      <c r="CM67" s="403"/>
      <c r="CN67" s="403"/>
      <c r="CO67" s="403"/>
      <c r="CP67" s="403"/>
      <c r="CQ67" s="403" t="s">
        <v>14646</v>
      </c>
      <c r="CR67" s="403" t="s">
        <v>8869</v>
      </c>
      <c r="CS67" s="403"/>
      <c r="CT67" s="403"/>
      <c r="CU67" s="403"/>
      <c r="CV67" s="403" t="s">
        <v>8870</v>
      </c>
      <c r="CW67" s="403"/>
      <c r="CX67" s="403"/>
      <c r="CY67" s="403" t="s">
        <v>8871</v>
      </c>
      <c r="CZ67" s="403"/>
      <c r="DA67" s="403"/>
      <c r="DB67" s="403"/>
      <c r="DC67" s="403"/>
      <c r="DD67" s="403"/>
      <c r="DE67" s="403"/>
      <c r="DF67" s="403"/>
      <c r="DG67" s="403" t="s">
        <v>8872</v>
      </c>
      <c r="DH67" s="403" t="s">
        <v>8873</v>
      </c>
      <c r="DI67" s="403"/>
      <c r="DJ67" s="403"/>
      <c r="DK67" s="403"/>
      <c r="DL67" s="403" t="s">
        <v>8874</v>
      </c>
      <c r="DM67" s="403"/>
      <c r="DN67" s="403"/>
      <c r="DO67" s="403" t="s">
        <v>8875</v>
      </c>
      <c r="DP67" s="403"/>
      <c r="DQ67" s="403"/>
      <c r="DR67" s="403"/>
      <c r="DS67" s="403"/>
      <c r="DT67" s="403"/>
      <c r="DU67" s="403"/>
      <c r="DV67" s="403"/>
      <c r="DW67" s="403" t="s">
        <v>14647</v>
      </c>
      <c r="DX67" s="403" t="s">
        <v>8876</v>
      </c>
      <c r="DY67" s="564"/>
      <c r="DZ67" s="564"/>
    </row>
    <row r="68" spans="1:130" s="5" customFormat="1" ht="25.5" x14ac:dyDescent="0.2">
      <c r="A68" s="354">
        <v>1</v>
      </c>
      <c r="B68" s="365"/>
      <c r="C68" s="370" t="str">
        <f t="shared" ca="1" si="8"/>
        <v>[and/or] Conduct the vaccinator Training of Trainers (and Supervision) training [Digital learning - self-paced]</v>
      </c>
      <c r="D68" s="36"/>
      <c r="E68" s="366" t="e">
        <f>Vaccinators_Maximum</f>
        <v>#N/A</v>
      </c>
      <c r="F68" s="72" t="str">
        <f t="shared" ref="F68:F73" ca="1" si="9">IF(OFFSET(W68,0,Lang_Order*Lang__A4)="","",OFFSET(W68,0,Lang_Order*Lang__A4))</f>
        <v>Per vaccinator</v>
      </c>
      <c r="G68" s="367"/>
      <c r="H68" s="401"/>
      <c r="I68" s="300" t="e">
        <f t="shared" ref="I68:I73" si="10">IF(ISBLANK(H68),G68/USD2LCU,H68)</f>
        <v>#N/A</v>
      </c>
      <c r="J68" s="300" t="e">
        <f t="shared" ref="J68:J73" si="11">D68*I68</f>
        <v>#N/A</v>
      </c>
      <c r="K68" s="368"/>
      <c r="L68" s="299" t="s">
        <v>3917</v>
      </c>
      <c r="M68" s="299"/>
      <c r="N68" s="86" t="str">
        <f ca="1">IF(OFFSET(AE68,0,Lang_Order*Lang__A4)="","",OFFSET(AE68,0,Lang_Order*Lang__A4))</f>
        <v>More info on vaccinator training @ R2.1.3</v>
      </c>
      <c r="O68" s="12" t="str">
        <f ca="1">IF(OFFSET(AF68,0,Lang_Order*Lang__A4)="","",OFFSET(AF68,0,Lang_Order*Lang__A4))</f>
        <v>NOTE: Local-level training also specified under A3.1 - do not double count</v>
      </c>
      <c r="P68" s="587"/>
      <c r="Q68" s="403"/>
      <c r="R68" s="403"/>
      <c r="S68" s="403"/>
      <c r="T68" s="403" t="s">
        <v>4153</v>
      </c>
      <c r="U68" s="403"/>
      <c r="V68" s="403"/>
      <c r="W68" s="403" t="s">
        <v>3909</v>
      </c>
      <c r="X68" s="403"/>
      <c r="Y68" s="403"/>
      <c r="Z68" s="403"/>
      <c r="AA68" s="403"/>
      <c r="AB68" s="403"/>
      <c r="AC68" s="403"/>
      <c r="AD68" s="403"/>
      <c r="AE68" s="403" t="s">
        <v>14642</v>
      </c>
      <c r="AF68" s="403" t="s">
        <v>3910</v>
      </c>
      <c r="AG68" s="403"/>
      <c r="AH68" s="403"/>
      <c r="AI68" s="403"/>
      <c r="AJ68" s="403" t="s">
        <v>8877</v>
      </c>
      <c r="AK68" s="403"/>
      <c r="AL68" s="403"/>
      <c r="AM68" s="403" t="s">
        <v>8878</v>
      </c>
      <c r="AN68" s="403"/>
      <c r="AO68" s="403"/>
      <c r="AP68" s="403"/>
      <c r="AQ68" s="403"/>
      <c r="AR68" s="403"/>
      <c r="AS68" s="403"/>
      <c r="AT68" s="403"/>
      <c r="AU68" s="403" t="s">
        <v>14643</v>
      </c>
      <c r="AV68" s="403" t="s">
        <v>8879</v>
      </c>
      <c r="AW68" s="403"/>
      <c r="AX68" s="403"/>
      <c r="AY68" s="403"/>
      <c r="AZ68" s="403" t="s">
        <v>8880</v>
      </c>
      <c r="BA68" s="403"/>
      <c r="BB68" s="403"/>
      <c r="BC68" s="403" t="s">
        <v>8881</v>
      </c>
      <c r="BD68" s="403"/>
      <c r="BE68" s="403"/>
      <c r="BF68" s="403"/>
      <c r="BG68" s="403"/>
      <c r="BH68" s="403"/>
      <c r="BI68" s="403"/>
      <c r="BJ68" s="403"/>
      <c r="BK68" s="403" t="s">
        <v>14644</v>
      </c>
      <c r="BL68" s="403" t="s">
        <v>8882</v>
      </c>
      <c r="BM68" s="403"/>
      <c r="BN68" s="403"/>
      <c r="BO68" s="403"/>
      <c r="BP68" s="403" t="s">
        <v>8883</v>
      </c>
      <c r="BQ68" s="403"/>
      <c r="BR68" s="403"/>
      <c r="BS68" s="403" t="s">
        <v>8884</v>
      </c>
      <c r="BT68" s="403"/>
      <c r="BU68" s="403"/>
      <c r="BV68" s="403"/>
      <c r="BW68" s="403"/>
      <c r="BX68" s="403"/>
      <c r="BY68" s="403"/>
      <c r="BZ68" s="403"/>
      <c r="CA68" s="403" t="s">
        <v>14645</v>
      </c>
      <c r="CB68" s="403" t="s">
        <v>8885</v>
      </c>
      <c r="CC68" s="403"/>
      <c r="CD68" s="403"/>
      <c r="CE68" s="403"/>
      <c r="CF68" s="403" t="s">
        <v>8886</v>
      </c>
      <c r="CG68" s="403"/>
      <c r="CH68" s="403"/>
      <c r="CI68" s="403" t="s">
        <v>8887</v>
      </c>
      <c r="CJ68" s="403"/>
      <c r="CK68" s="403"/>
      <c r="CL68" s="403"/>
      <c r="CM68" s="403"/>
      <c r="CN68" s="403"/>
      <c r="CO68" s="403"/>
      <c r="CP68" s="403"/>
      <c r="CQ68" s="403" t="s">
        <v>14646</v>
      </c>
      <c r="CR68" s="403" t="s">
        <v>8888</v>
      </c>
      <c r="CS68" s="403"/>
      <c r="CT68" s="403"/>
      <c r="CU68" s="403"/>
      <c r="CV68" s="403" t="s">
        <v>8889</v>
      </c>
      <c r="CW68" s="403"/>
      <c r="CX68" s="403"/>
      <c r="CY68" s="403" t="s">
        <v>8890</v>
      </c>
      <c r="CZ68" s="403"/>
      <c r="DA68" s="403"/>
      <c r="DB68" s="403"/>
      <c r="DC68" s="403"/>
      <c r="DD68" s="403"/>
      <c r="DE68" s="403"/>
      <c r="DF68" s="403"/>
      <c r="DG68" s="403" t="s">
        <v>8891</v>
      </c>
      <c r="DH68" s="403" t="s">
        <v>8892</v>
      </c>
      <c r="DI68" s="403"/>
      <c r="DJ68" s="403"/>
      <c r="DK68" s="403"/>
      <c r="DL68" s="403" t="s">
        <v>8893</v>
      </c>
      <c r="DM68" s="403"/>
      <c r="DN68" s="403"/>
      <c r="DO68" s="403" t="s">
        <v>8894</v>
      </c>
      <c r="DP68" s="403"/>
      <c r="DQ68" s="403"/>
      <c r="DR68" s="403"/>
      <c r="DS68" s="403"/>
      <c r="DT68" s="403"/>
      <c r="DU68" s="403"/>
      <c r="DV68" s="403"/>
      <c r="DW68" s="403" t="s">
        <v>14648</v>
      </c>
      <c r="DX68" s="403" t="s">
        <v>8895</v>
      </c>
      <c r="DY68" s="564"/>
      <c r="DZ68" s="564"/>
    </row>
    <row r="69" spans="1:130" s="5" customFormat="1" x14ac:dyDescent="0.2">
      <c r="A69" s="354">
        <v>1</v>
      </c>
      <c r="B69" s="365"/>
      <c r="C69" s="370" t="str">
        <f t="shared" ca="1" si="8"/>
        <v>Supplementary operational costs / per diems for supervisors at local level</v>
      </c>
      <c r="D69" s="2">
        <f>D67</f>
        <v>0</v>
      </c>
      <c r="E69" s="299"/>
      <c r="F69" s="72" t="str">
        <f t="shared" ca="1" si="9"/>
        <v>Per supervisor</v>
      </c>
      <c r="G69" s="367"/>
      <c r="H69" s="401"/>
      <c r="I69" s="300" t="e">
        <f t="shared" si="10"/>
        <v>#N/A</v>
      </c>
      <c r="J69" s="300" t="e">
        <f t="shared" si="11"/>
        <v>#N/A</v>
      </c>
      <c r="K69" s="368"/>
      <c r="L69" s="299" t="s">
        <v>3916</v>
      </c>
      <c r="M69" s="299"/>
      <c r="N69" s="299"/>
      <c r="O69" s="574"/>
      <c r="P69" s="587"/>
      <c r="Q69" s="403"/>
      <c r="R69" s="403"/>
      <c r="S69" s="403"/>
      <c r="T69" s="403" t="s">
        <v>3912</v>
      </c>
      <c r="U69" s="403"/>
      <c r="V69" s="403"/>
      <c r="W69" s="403" t="s">
        <v>3913</v>
      </c>
      <c r="X69" s="403"/>
      <c r="Y69" s="403"/>
      <c r="Z69" s="403"/>
      <c r="AA69" s="403"/>
      <c r="AB69" s="403"/>
      <c r="AC69" s="403"/>
      <c r="AD69" s="403"/>
      <c r="AE69" s="403"/>
      <c r="AF69" s="403"/>
      <c r="AG69" s="403"/>
      <c r="AH69" s="403"/>
      <c r="AI69" s="403"/>
      <c r="AJ69" s="403" t="s">
        <v>8896</v>
      </c>
      <c r="AK69" s="403"/>
      <c r="AL69" s="403"/>
      <c r="AM69" s="403" t="s">
        <v>8897</v>
      </c>
      <c r="AN69" s="403"/>
      <c r="AO69" s="403"/>
      <c r="AP69" s="403"/>
      <c r="AQ69" s="403"/>
      <c r="AR69" s="403"/>
      <c r="AS69" s="403"/>
      <c r="AT69" s="403"/>
      <c r="AU69" s="403"/>
      <c r="AV69" s="403"/>
      <c r="AW69" s="403"/>
      <c r="AX69" s="403"/>
      <c r="AY69" s="403"/>
      <c r="AZ69" s="403" t="s">
        <v>8898</v>
      </c>
      <c r="BA69" s="403"/>
      <c r="BB69" s="403"/>
      <c r="BC69" s="403" t="s">
        <v>8899</v>
      </c>
      <c r="BD69" s="403"/>
      <c r="BE69" s="403"/>
      <c r="BF69" s="403"/>
      <c r="BG69" s="403"/>
      <c r="BH69" s="403"/>
      <c r="BI69" s="403"/>
      <c r="BJ69" s="403"/>
      <c r="BK69" s="403"/>
      <c r="BL69" s="403"/>
      <c r="BM69" s="403"/>
      <c r="BN69" s="403"/>
      <c r="BO69" s="403"/>
      <c r="BP69" s="403" t="s">
        <v>8900</v>
      </c>
      <c r="BQ69" s="403"/>
      <c r="BR69" s="403"/>
      <c r="BS69" s="403" t="s">
        <v>8901</v>
      </c>
      <c r="BT69" s="403"/>
      <c r="BU69" s="403"/>
      <c r="BV69" s="403"/>
      <c r="BW69" s="403"/>
      <c r="BX69" s="403"/>
      <c r="BY69" s="403"/>
      <c r="BZ69" s="403"/>
      <c r="CA69" s="403"/>
      <c r="CB69" s="403"/>
      <c r="CC69" s="403"/>
      <c r="CD69" s="403"/>
      <c r="CE69" s="403"/>
      <c r="CF69" s="403" t="s">
        <v>8902</v>
      </c>
      <c r="CG69" s="403"/>
      <c r="CH69" s="403"/>
      <c r="CI69" s="403" t="s">
        <v>8901</v>
      </c>
      <c r="CJ69" s="403"/>
      <c r="CK69" s="403"/>
      <c r="CL69" s="403"/>
      <c r="CM69" s="403"/>
      <c r="CN69" s="403"/>
      <c r="CO69" s="403"/>
      <c r="CP69" s="403"/>
      <c r="CQ69" s="403"/>
      <c r="CR69" s="403"/>
      <c r="CS69" s="403"/>
      <c r="CT69" s="403"/>
      <c r="CU69" s="403"/>
      <c r="CV69" s="403" t="s">
        <v>8903</v>
      </c>
      <c r="CW69" s="403"/>
      <c r="CX69" s="403"/>
      <c r="CY69" s="403" t="s">
        <v>8904</v>
      </c>
      <c r="CZ69" s="403"/>
      <c r="DA69" s="403"/>
      <c r="DB69" s="403"/>
      <c r="DC69" s="403"/>
      <c r="DD69" s="403"/>
      <c r="DE69" s="403"/>
      <c r="DF69" s="403"/>
      <c r="DG69" s="403"/>
      <c r="DH69" s="403"/>
      <c r="DI69" s="403"/>
      <c r="DJ69" s="403"/>
      <c r="DK69" s="403"/>
      <c r="DL69" s="403" t="s">
        <v>8905</v>
      </c>
      <c r="DM69" s="403"/>
      <c r="DN69" s="403"/>
      <c r="DO69" s="403" t="s">
        <v>8906</v>
      </c>
      <c r="DP69" s="403"/>
      <c r="DQ69" s="403"/>
      <c r="DR69" s="403"/>
      <c r="DS69" s="403"/>
      <c r="DT69" s="403"/>
      <c r="DU69" s="403"/>
      <c r="DV69" s="403"/>
      <c r="DW69" s="403"/>
      <c r="DX69" s="403"/>
      <c r="DY69" s="564"/>
      <c r="DZ69" s="564"/>
    </row>
    <row r="70" spans="1:130" s="194" customFormat="1" x14ac:dyDescent="0.2">
      <c r="A70" s="354">
        <v>1</v>
      </c>
      <c r="B70" s="230"/>
      <c r="C70" s="5" t="str">
        <f ca="1">IF(OFFSET(T70,0,Lang_Order*Lang__A4)="","",OFFSET(T70,0,Lang_Order*Lang__A4))</f>
        <v>Central-level Implementation team</v>
      </c>
      <c r="D70" s="35"/>
      <c r="F70" s="2" t="str">
        <f t="shared" ca="1" si="9"/>
        <v>Staff</v>
      </c>
      <c r="G70" s="32"/>
      <c r="H70" s="401"/>
      <c r="I70" s="300" t="e">
        <f t="shared" si="10"/>
        <v>#N/A</v>
      </c>
      <c r="J70" s="300" t="e">
        <f t="shared" si="11"/>
        <v>#N/A</v>
      </c>
      <c r="K70" s="152"/>
      <c r="L70" s="68" t="s">
        <v>3241</v>
      </c>
      <c r="M70" s="68"/>
      <c r="N70" s="68"/>
      <c r="O70" s="574"/>
      <c r="P70" s="587"/>
      <c r="Q70" s="403"/>
      <c r="R70" s="403"/>
      <c r="S70" s="403"/>
      <c r="T70" s="403" t="s">
        <v>3905</v>
      </c>
      <c r="U70" s="403"/>
      <c r="V70" s="403"/>
      <c r="W70" s="403" t="s">
        <v>2891</v>
      </c>
      <c r="X70" s="403"/>
      <c r="Y70" s="403"/>
      <c r="Z70" s="403"/>
      <c r="AA70" s="403"/>
      <c r="AB70" s="403"/>
      <c r="AC70" s="403"/>
      <c r="AD70" s="403"/>
      <c r="AE70" s="403"/>
      <c r="AF70" s="403"/>
      <c r="AG70" s="403"/>
      <c r="AH70" s="403"/>
      <c r="AI70" s="403"/>
      <c r="AJ70" s="403" t="s">
        <v>8907</v>
      </c>
      <c r="AK70" s="403"/>
      <c r="AL70" s="403"/>
      <c r="AM70" s="403" t="s">
        <v>8908</v>
      </c>
      <c r="AN70" s="403"/>
      <c r="AO70" s="403"/>
      <c r="AP70" s="403"/>
      <c r="AQ70" s="403"/>
      <c r="AR70" s="403"/>
      <c r="AS70" s="403"/>
      <c r="AT70" s="403"/>
      <c r="AU70" s="403"/>
      <c r="AV70" s="403"/>
      <c r="AW70" s="403"/>
      <c r="AX70" s="403"/>
      <c r="AY70" s="403"/>
      <c r="AZ70" s="403" t="s">
        <v>8909</v>
      </c>
      <c r="BA70" s="403"/>
      <c r="BB70" s="403"/>
      <c r="BC70" s="403" t="s">
        <v>8910</v>
      </c>
      <c r="BD70" s="403"/>
      <c r="BE70" s="403"/>
      <c r="BF70" s="403"/>
      <c r="BG70" s="403"/>
      <c r="BH70" s="403"/>
      <c r="BI70" s="403"/>
      <c r="BJ70" s="403"/>
      <c r="BK70" s="403"/>
      <c r="BL70" s="403"/>
      <c r="BM70" s="403"/>
      <c r="BN70" s="403"/>
      <c r="BO70" s="403"/>
      <c r="BP70" s="403" t="s">
        <v>8911</v>
      </c>
      <c r="BQ70" s="403"/>
      <c r="BR70" s="403"/>
      <c r="BS70" s="403" t="s">
        <v>8912</v>
      </c>
      <c r="BT70" s="403"/>
      <c r="BU70" s="403"/>
      <c r="BV70" s="403"/>
      <c r="BW70" s="403"/>
      <c r="BX70" s="403"/>
      <c r="BY70" s="403"/>
      <c r="BZ70" s="403"/>
      <c r="CA70" s="403"/>
      <c r="CB70" s="403"/>
      <c r="CC70" s="403"/>
      <c r="CD70" s="403"/>
      <c r="CE70" s="403"/>
      <c r="CF70" s="403" t="s">
        <v>8913</v>
      </c>
      <c r="CG70" s="403"/>
      <c r="CH70" s="403"/>
      <c r="CI70" s="403" t="s">
        <v>8914</v>
      </c>
      <c r="CJ70" s="403"/>
      <c r="CK70" s="403"/>
      <c r="CL70" s="403"/>
      <c r="CM70" s="403"/>
      <c r="CN70" s="403"/>
      <c r="CO70" s="403"/>
      <c r="CP70" s="403"/>
      <c r="CQ70" s="403"/>
      <c r="CR70" s="403"/>
      <c r="CS70" s="403"/>
      <c r="CT70" s="403"/>
      <c r="CU70" s="403"/>
      <c r="CV70" s="403" t="s">
        <v>8915</v>
      </c>
      <c r="CW70" s="403"/>
      <c r="CX70" s="403"/>
      <c r="CY70" s="403" t="s">
        <v>8916</v>
      </c>
      <c r="CZ70" s="403"/>
      <c r="DA70" s="403"/>
      <c r="DB70" s="403"/>
      <c r="DC70" s="403"/>
      <c r="DD70" s="403"/>
      <c r="DE70" s="403"/>
      <c r="DF70" s="403"/>
      <c r="DG70" s="403"/>
      <c r="DH70" s="403"/>
      <c r="DI70" s="403"/>
      <c r="DJ70" s="403"/>
      <c r="DK70" s="403"/>
      <c r="DL70" s="403" t="s">
        <v>8917</v>
      </c>
      <c r="DM70" s="403"/>
      <c r="DN70" s="403"/>
      <c r="DO70" s="403" t="s">
        <v>8918</v>
      </c>
      <c r="DP70" s="403"/>
      <c r="DQ70" s="403"/>
      <c r="DR70" s="403"/>
      <c r="DS70" s="403"/>
      <c r="DT70" s="403"/>
      <c r="DU70" s="403"/>
      <c r="DV70" s="403"/>
      <c r="DW70" s="403"/>
      <c r="DX70" s="403"/>
      <c r="DY70" s="564"/>
      <c r="DZ70" s="564"/>
    </row>
    <row r="71" spans="1:130" s="194" customFormat="1" x14ac:dyDescent="0.2">
      <c r="A71" s="354">
        <v>1</v>
      </c>
      <c r="B71" s="230"/>
      <c r="C71" s="370" t="str">
        <f ca="1">IF(OFFSET(T71,0,Lang_Order*Lang__A4)="","",OFFSET(T71,0,Lang_Order*Lang__A4))</f>
        <v>Sub-national level 1 implementation team size per admin unit</v>
      </c>
      <c r="D71" s="35"/>
      <c r="E71" s="81">
        <f>Regional_Stores</f>
        <v>0</v>
      </c>
      <c r="F71" s="2" t="str">
        <f t="shared" ca="1" si="9"/>
        <v>Per team</v>
      </c>
      <c r="G71" s="32"/>
      <c r="H71" s="401"/>
      <c r="I71" s="300" t="e">
        <f t="shared" si="10"/>
        <v>#N/A</v>
      </c>
      <c r="J71" s="300" t="e">
        <f t="shared" si="11"/>
        <v>#N/A</v>
      </c>
      <c r="K71" s="152"/>
      <c r="L71" s="68" t="s">
        <v>3241</v>
      </c>
      <c r="M71" s="68"/>
      <c r="N71" s="68"/>
      <c r="O71" s="12" t="str">
        <f ca="1">IF(OFFSET(AF71,0,Lang_Order*Lang__A4)="","",OFFSET(AF71,0,Lang_Order*Lang__A4))</f>
        <v>Say a provincial team | Unit price per staff per month (incl. office expenses associated with the staff)</v>
      </c>
      <c r="P71" s="587"/>
      <c r="Q71" s="403"/>
      <c r="R71" s="403"/>
      <c r="S71" s="403"/>
      <c r="T71" s="403" t="s">
        <v>2896</v>
      </c>
      <c r="U71" s="403"/>
      <c r="V71" s="403"/>
      <c r="W71" s="403" t="s">
        <v>3906</v>
      </c>
      <c r="X71" s="403"/>
      <c r="Y71" s="403"/>
      <c r="Z71" s="403"/>
      <c r="AA71" s="403"/>
      <c r="AB71" s="403"/>
      <c r="AC71" s="403"/>
      <c r="AD71" s="403"/>
      <c r="AE71" s="403"/>
      <c r="AF71" s="403" t="s">
        <v>2893</v>
      </c>
      <c r="AG71" s="403"/>
      <c r="AH71" s="403"/>
      <c r="AI71" s="403"/>
      <c r="AJ71" s="403" t="s">
        <v>8919</v>
      </c>
      <c r="AK71" s="403"/>
      <c r="AL71" s="403"/>
      <c r="AM71" s="403" t="s">
        <v>8920</v>
      </c>
      <c r="AN71" s="403"/>
      <c r="AO71" s="403"/>
      <c r="AP71" s="403"/>
      <c r="AQ71" s="403"/>
      <c r="AR71" s="403"/>
      <c r="AS71" s="403"/>
      <c r="AT71" s="403"/>
      <c r="AU71" s="403"/>
      <c r="AV71" s="403" t="s">
        <v>8921</v>
      </c>
      <c r="AW71" s="403"/>
      <c r="AX71" s="403"/>
      <c r="AY71" s="403"/>
      <c r="AZ71" s="403" t="s">
        <v>8922</v>
      </c>
      <c r="BA71" s="403"/>
      <c r="BB71" s="403"/>
      <c r="BC71" s="403" t="s">
        <v>8923</v>
      </c>
      <c r="BD71" s="403"/>
      <c r="BE71" s="403"/>
      <c r="BF71" s="403"/>
      <c r="BG71" s="403"/>
      <c r="BH71" s="403"/>
      <c r="BI71" s="403"/>
      <c r="BJ71" s="403"/>
      <c r="BK71" s="403"/>
      <c r="BL71" s="403" t="s">
        <v>8924</v>
      </c>
      <c r="BM71" s="403"/>
      <c r="BN71" s="403"/>
      <c r="BO71" s="403"/>
      <c r="BP71" s="403" t="s">
        <v>8925</v>
      </c>
      <c r="BQ71" s="403"/>
      <c r="BR71" s="403"/>
      <c r="BS71" s="403" t="s">
        <v>8926</v>
      </c>
      <c r="BT71" s="403"/>
      <c r="BU71" s="403"/>
      <c r="BV71" s="403"/>
      <c r="BW71" s="403"/>
      <c r="BX71" s="403"/>
      <c r="BY71" s="403"/>
      <c r="BZ71" s="403"/>
      <c r="CA71" s="403"/>
      <c r="CB71" s="403" t="s">
        <v>8927</v>
      </c>
      <c r="CC71" s="403"/>
      <c r="CD71" s="403"/>
      <c r="CE71" s="403"/>
      <c r="CF71" s="403" t="s">
        <v>8928</v>
      </c>
      <c r="CG71" s="403"/>
      <c r="CH71" s="403"/>
      <c r="CI71" s="403" t="s">
        <v>8929</v>
      </c>
      <c r="CJ71" s="403"/>
      <c r="CK71" s="403"/>
      <c r="CL71" s="403"/>
      <c r="CM71" s="403"/>
      <c r="CN71" s="403"/>
      <c r="CO71" s="403"/>
      <c r="CP71" s="403"/>
      <c r="CQ71" s="403"/>
      <c r="CR71" s="403" t="s">
        <v>8930</v>
      </c>
      <c r="CS71" s="403"/>
      <c r="CT71" s="403"/>
      <c r="CU71" s="403"/>
      <c r="CV71" s="403" t="s">
        <v>8931</v>
      </c>
      <c r="CW71" s="403"/>
      <c r="CX71" s="403"/>
      <c r="CY71" s="403" t="s">
        <v>8932</v>
      </c>
      <c r="CZ71" s="403"/>
      <c r="DA71" s="403"/>
      <c r="DB71" s="403"/>
      <c r="DC71" s="403"/>
      <c r="DD71" s="403"/>
      <c r="DE71" s="403"/>
      <c r="DF71" s="403"/>
      <c r="DG71" s="403"/>
      <c r="DH71" s="403" t="s">
        <v>8933</v>
      </c>
      <c r="DI71" s="403"/>
      <c r="DJ71" s="403"/>
      <c r="DK71" s="403"/>
      <c r="DL71" s="403" t="s">
        <v>8934</v>
      </c>
      <c r="DM71" s="403"/>
      <c r="DN71" s="403"/>
      <c r="DO71" s="403" t="s">
        <v>8935</v>
      </c>
      <c r="DP71" s="403"/>
      <c r="DQ71" s="403"/>
      <c r="DR71" s="403"/>
      <c r="DS71" s="403"/>
      <c r="DT71" s="403"/>
      <c r="DU71" s="403"/>
      <c r="DV71" s="403"/>
      <c r="DW71" s="403"/>
      <c r="DX71" s="403" t="s">
        <v>8936</v>
      </c>
      <c r="DY71" s="564"/>
      <c r="DZ71" s="564"/>
    </row>
    <row r="72" spans="1:130" s="194" customFormat="1" x14ac:dyDescent="0.2">
      <c r="A72" s="354">
        <v>1</v>
      </c>
      <c r="B72" s="230"/>
      <c r="C72" s="370" t="str">
        <f ca="1">IF(OFFSET(T72,0,Lang_Order*Lang__A4)="","",OFFSET(T72,0,Lang_Order*Lang__A4))</f>
        <v>Sub-national level 2 implementation team size per admin unit</v>
      </c>
      <c r="D72" s="35"/>
      <c r="E72" s="81">
        <f>District_Stores</f>
        <v>0</v>
      </c>
      <c r="F72" s="2" t="str">
        <f t="shared" ca="1" si="9"/>
        <v>Per team</v>
      </c>
      <c r="G72" s="32"/>
      <c r="H72" s="401"/>
      <c r="I72" s="300" t="e">
        <f t="shared" si="10"/>
        <v>#N/A</v>
      </c>
      <c r="J72" s="300" t="e">
        <f t="shared" si="11"/>
        <v>#N/A</v>
      </c>
      <c r="K72" s="152"/>
      <c r="L72" s="68" t="s">
        <v>3241</v>
      </c>
      <c r="M72" s="68"/>
      <c r="N72" s="68"/>
      <c r="O72" s="12" t="str">
        <f ca="1">IF(OFFSET(AF72,0,Lang_Order*Lang__A4)="","",OFFSET(AF72,0,Lang_Order*Lang__A4))</f>
        <v>Say a district team | Unit price per staff per month (incl. office expenses associated with the staff)</v>
      </c>
      <c r="P72" s="587"/>
      <c r="Q72" s="403"/>
      <c r="R72" s="403"/>
      <c r="S72" s="403"/>
      <c r="T72" s="403" t="s">
        <v>2895</v>
      </c>
      <c r="U72" s="403"/>
      <c r="V72" s="403"/>
      <c r="W72" s="403" t="s">
        <v>3906</v>
      </c>
      <c r="X72" s="403"/>
      <c r="Y72" s="403"/>
      <c r="Z72" s="403"/>
      <c r="AA72" s="403"/>
      <c r="AB72" s="403"/>
      <c r="AC72" s="403"/>
      <c r="AD72" s="403"/>
      <c r="AE72" s="403"/>
      <c r="AF72" s="403" t="s">
        <v>2894</v>
      </c>
      <c r="AG72" s="403"/>
      <c r="AH72" s="403"/>
      <c r="AI72" s="403"/>
      <c r="AJ72" s="403" t="s">
        <v>8937</v>
      </c>
      <c r="AK72" s="403"/>
      <c r="AL72" s="403"/>
      <c r="AM72" s="403" t="s">
        <v>8920</v>
      </c>
      <c r="AN72" s="403"/>
      <c r="AO72" s="403"/>
      <c r="AP72" s="403"/>
      <c r="AQ72" s="403"/>
      <c r="AR72" s="403"/>
      <c r="AS72" s="403"/>
      <c r="AT72" s="403"/>
      <c r="AU72" s="403"/>
      <c r="AV72" s="403" t="s">
        <v>8938</v>
      </c>
      <c r="AW72" s="403"/>
      <c r="AX72" s="403"/>
      <c r="AY72" s="403"/>
      <c r="AZ72" s="403" t="s">
        <v>8939</v>
      </c>
      <c r="BA72" s="403"/>
      <c r="BB72" s="403"/>
      <c r="BC72" s="403" t="s">
        <v>8923</v>
      </c>
      <c r="BD72" s="403"/>
      <c r="BE72" s="403"/>
      <c r="BF72" s="403"/>
      <c r="BG72" s="403"/>
      <c r="BH72" s="403"/>
      <c r="BI72" s="403"/>
      <c r="BJ72" s="403"/>
      <c r="BK72" s="403"/>
      <c r="BL72" s="403" t="s">
        <v>8940</v>
      </c>
      <c r="BM72" s="403"/>
      <c r="BN72" s="403"/>
      <c r="BO72" s="403"/>
      <c r="BP72" s="403" t="s">
        <v>8941</v>
      </c>
      <c r="BQ72" s="403"/>
      <c r="BR72" s="403"/>
      <c r="BS72" s="403" t="s">
        <v>8926</v>
      </c>
      <c r="BT72" s="403"/>
      <c r="BU72" s="403"/>
      <c r="BV72" s="403"/>
      <c r="BW72" s="403"/>
      <c r="BX72" s="403"/>
      <c r="BY72" s="403"/>
      <c r="BZ72" s="403"/>
      <c r="CA72" s="403"/>
      <c r="CB72" s="403" t="s">
        <v>8942</v>
      </c>
      <c r="CC72" s="403"/>
      <c r="CD72" s="403"/>
      <c r="CE72" s="403"/>
      <c r="CF72" s="403" t="s">
        <v>8943</v>
      </c>
      <c r="CG72" s="403"/>
      <c r="CH72" s="403"/>
      <c r="CI72" s="403" t="s">
        <v>8929</v>
      </c>
      <c r="CJ72" s="403"/>
      <c r="CK72" s="403"/>
      <c r="CL72" s="403"/>
      <c r="CM72" s="403"/>
      <c r="CN72" s="403"/>
      <c r="CO72" s="403"/>
      <c r="CP72" s="403"/>
      <c r="CQ72" s="403"/>
      <c r="CR72" s="403" t="s">
        <v>8944</v>
      </c>
      <c r="CS72" s="403"/>
      <c r="CT72" s="403"/>
      <c r="CU72" s="403"/>
      <c r="CV72" s="403" t="s">
        <v>8916</v>
      </c>
      <c r="CW72" s="403"/>
      <c r="CX72" s="403"/>
      <c r="CY72" s="403" t="s">
        <v>8932</v>
      </c>
      <c r="CZ72" s="403"/>
      <c r="DA72" s="403"/>
      <c r="DB72" s="403"/>
      <c r="DC72" s="403"/>
      <c r="DD72" s="403"/>
      <c r="DE72" s="403"/>
      <c r="DF72" s="403"/>
      <c r="DG72" s="403"/>
      <c r="DH72" s="403" t="s">
        <v>8945</v>
      </c>
      <c r="DI72" s="403"/>
      <c r="DJ72" s="403"/>
      <c r="DK72" s="403"/>
      <c r="DL72" s="403" t="s">
        <v>8946</v>
      </c>
      <c r="DM72" s="403"/>
      <c r="DN72" s="403"/>
      <c r="DO72" s="403" t="s">
        <v>8935</v>
      </c>
      <c r="DP72" s="403"/>
      <c r="DQ72" s="403"/>
      <c r="DR72" s="403"/>
      <c r="DS72" s="403"/>
      <c r="DT72" s="403"/>
      <c r="DU72" s="403"/>
      <c r="DV72" s="403"/>
      <c r="DW72" s="403"/>
      <c r="DX72" s="403" t="s">
        <v>8947</v>
      </c>
      <c r="DY72" s="564"/>
      <c r="DZ72" s="564"/>
    </row>
    <row r="73" spans="1:130" s="194" customFormat="1" x14ac:dyDescent="0.2">
      <c r="A73" s="354">
        <v>1</v>
      </c>
      <c r="B73" s="230"/>
      <c r="C73" s="5" t="str">
        <f ca="1">IF(OFFSET(T73,0,Lang_Order*Lang__A4)="","",OFFSET(T73,0,Lang_Order*Lang__A4))</f>
        <v>Training of logistics manpower</v>
      </c>
      <c r="D73" s="35"/>
      <c r="E73" s="81">
        <f>Regional_Stores + District_Stores</f>
        <v>0</v>
      </c>
      <c r="F73" s="2" t="str">
        <f t="shared" ca="1" si="9"/>
        <v>Per person</v>
      </c>
      <c r="G73" s="32"/>
      <c r="H73" s="401"/>
      <c r="I73" s="300" t="e">
        <f t="shared" si="10"/>
        <v>#N/A</v>
      </c>
      <c r="J73" s="300" t="e">
        <f t="shared" si="11"/>
        <v>#N/A</v>
      </c>
      <c r="K73" s="152"/>
      <c r="L73" s="299" t="s">
        <v>3888</v>
      </c>
      <c r="M73" s="299"/>
      <c r="N73" s="299"/>
      <c r="O73" s="574"/>
      <c r="P73" s="587"/>
      <c r="Q73" s="403"/>
      <c r="R73" s="403"/>
      <c r="S73" s="403"/>
      <c r="T73" s="403" t="s">
        <v>2867</v>
      </c>
      <c r="U73" s="403"/>
      <c r="V73" s="403"/>
      <c r="W73" s="403" t="s">
        <v>3925</v>
      </c>
      <c r="X73" s="403"/>
      <c r="Y73" s="403"/>
      <c r="Z73" s="403"/>
      <c r="AA73" s="403"/>
      <c r="AB73" s="403"/>
      <c r="AC73" s="403"/>
      <c r="AD73" s="403"/>
      <c r="AE73" s="403"/>
      <c r="AF73" s="403"/>
      <c r="AG73" s="403"/>
      <c r="AH73" s="403"/>
      <c r="AI73" s="403"/>
      <c r="AJ73" s="403" t="s">
        <v>8948</v>
      </c>
      <c r="AK73" s="403"/>
      <c r="AL73" s="403"/>
      <c r="AM73" s="403" t="s">
        <v>8949</v>
      </c>
      <c r="AN73" s="403"/>
      <c r="AO73" s="403"/>
      <c r="AP73" s="403"/>
      <c r="AQ73" s="403"/>
      <c r="AR73" s="403"/>
      <c r="AS73" s="403"/>
      <c r="AT73" s="403"/>
      <c r="AU73" s="403"/>
      <c r="AV73" s="403"/>
      <c r="AW73" s="403"/>
      <c r="AX73" s="403"/>
      <c r="AY73" s="403"/>
      <c r="AZ73" s="403" t="s">
        <v>8950</v>
      </c>
      <c r="BA73" s="403"/>
      <c r="BB73" s="403"/>
      <c r="BC73" s="403" t="s">
        <v>8951</v>
      </c>
      <c r="BD73" s="403"/>
      <c r="BE73" s="403"/>
      <c r="BF73" s="403"/>
      <c r="BG73" s="403"/>
      <c r="BH73" s="403"/>
      <c r="BI73" s="403"/>
      <c r="BJ73" s="403"/>
      <c r="BK73" s="403"/>
      <c r="BL73" s="403"/>
      <c r="BM73" s="403"/>
      <c r="BN73" s="403"/>
      <c r="BO73" s="403"/>
      <c r="BP73" s="403" t="s">
        <v>8952</v>
      </c>
      <c r="BQ73" s="403"/>
      <c r="BR73" s="403"/>
      <c r="BS73" s="403" t="s">
        <v>8953</v>
      </c>
      <c r="BT73" s="403"/>
      <c r="BU73" s="403"/>
      <c r="BV73" s="403"/>
      <c r="BW73" s="403"/>
      <c r="BX73" s="403"/>
      <c r="BY73" s="403"/>
      <c r="BZ73" s="403"/>
      <c r="CA73" s="403"/>
      <c r="CB73" s="403"/>
      <c r="CC73" s="403"/>
      <c r="CD73" s="403"/>
      <c r="CE73" s="403"/>
      <c r="CF73" s="403" t="s">
        <v>8954</v>
      </c>
      <c r="CG73" s="403"/>
      <c r="CH73" s="403"/>
      <c r="CI73" s="403" t="s">
        <v>8955</v>
      </c>
      <c r="CJ73" s="403"/>
      <c r="CK73" s="403"/>
      <c r="CL73" s="403"/>
      <c r="CM73" s="403"/>
      <c r="CN73" s="403"/>
      <c r="CO73" s="403"/>
      <c r="CP73" s="403"/>
      <c r="CQ73" s="403"/>
      <c r="CR73" s="403"/>
      <c r="CS73" s="403"/>
      <c r="CT73" s="403"/>
      <c r="CU73" s="403"/>
      <c r="CV73" s="403" t="s">
        <v>8956</v>
      </c>
      <c r="CW73" s="403"/>
      <c r="CX73" s="403"/>
      <c r="CY73" s="403" t="s">
        <v>8957</v>
      </c>
      <c r="CZ73" s="403"/>
      <c r="DA73" s="403"/>
      <c r="DB73" s="403"/>
      <c r="DC73" s="403"/>
      <c r="DD73" s="403"/>
      <c r="DE73" s="403"/>
      <c r="DF73" s="403"/>
      <c r="DG73" s="403"/>
      <c r="DH73" s="403"/>
      <c r="DI73" s="403"/>
      <c r="DJ73" s="403"/>
      <c r="DK73" s="403"/>
      <c r="DL73" s="403" t="s">
        <v>8958</v>
      </c>
      <c r="DM73" s="403"/>
      <c r="DN73" s="403"/>
      <c r="DO73" s="403" t="s">
        <v>8959</v>
      </c>
      <c r="DP73" s="403"/>
      <c r="DQ73" s="403"/>
      <c r="DR73" s="403"/>
      <c r="DS73" s="403"/>
      <c r="DT73" s="403"/>
      <c r="DU73" s="403"/>
      <c r="DV73" s="403"/>
      <c r="DW73" s="403"/>
      <c r="DX73" s="403"/>
      <c r="DY73" s="564"/>
      <c r="DZ73" s="564"/>
    </row>
    <row r="74" spans="1:130" s="532" customFormat="1" x14ac:dyDescent="0.2">
      <c r="C74" s="159" t="str">
        <f t="shared" ref="C74" ca="1" si="12">IF(OFFSET(T74,0,Lang_Order*Lang__A4)="","",OFFSET(T74,0,Lang_Order*Lang__A4))</f>
        <v>Other Vaccinator Training and Supervision</v>
      </c>
      <c r="O74" s="574"/>
      <c r="P74" s="567"/>
      <c r="T74" s="564" t="s">
        <v>4583</v>
      </c>
      <c r="U74" s="564"/>
      <c r="V74" s="564"/>
      <c r="W74" s="564"/>
      <c r="X74" s="564"/>
      <c r="Y74" s="564"/>
      <c r="Z74" s="564"/>
      <c r="AA74" s="564"/>
      <c r="AB74" s="564"/>
      <c r="AC74" s="564"/>
      <c r="AD74" s="564"/>
      <c r="AE74" s="564"/>
      <c r="AF74" s="564"/>
      <c r="AG74" s="564"/>
      <c r="AH74" s="564"/>
      <c r="AI74" s="564"/>
      <c r="AJ74" s="564" t="s">
        <v>13648</v>
      </c>
      <c r="AK74" s="564"/>
      <c r="AL74" s="564"/>
      <c r="AM74" s="564"/>
      <c r="AN74" s="564"/>
      <c r="AO74" s="564"/>
      <c r="AP74" s="564"/>
      <c r="AQ74" s="564"/>
      <c r="AR74" s="564"/>
      <c r="AS74" s="564"/>
      <c r="AT74" s="564"/>
      <c r="AU74" s="564"/>
      <c r="AV74" s="564"/>
      <c r="AW74" s="564"/>
      <c r="AX74" s="564"/>
      <c r="AY74" s="564"/>
      <c r="AZ74" s="564" t="s">
        <v>13649</v>
      </c>
      <c r="BA74" s="564"/>
      <c r="BB74" s="564"/>
      <c r="BC74" s="564"/>
      <c r="BD74" s="564"/>
      <c r="BE74" s="564"/>
      <c r="BF74" s="564"/>
      <c r="BG74" s="564"/>
      <c r="BH74" s="564"/>
      <c r="BI74" s="564"/>
      <c r="BJ74" s="564"/>
      <c r="BK74" s="564"/>
      <c r="BL74" s="564"/>
      <c r="BM74" s="564"/>
      <c r="BN74" s="564"/>
      <c r="BO74" s="564"/>
      <c r="BP74" s="564" t="s">
        <v>13650</v>
      </c>
      <c r="BQ74" s="564"/>
      <c r="BR74" s="564"/>
      <c r="BS74" s="564"/>
      <c r="BT74" s="564"/>
      <c r="BU74" s="564"/>
      <c r="BV74" s="564"/>
      <c r="BW74" s="564"/>
      <c r="BX74" s="564"/>
      <c r="BY74" s="564"/>
      <c r="BZ74" s="564"/>
      <c r="CA74" s="564"/>
      <c r="CB74" s="564"/>
      <c r="CC74" s="564"/>
      <c r="CD74" s="564"/>
      <c r="CE74" s="564"/>
      <c r="CF74" s="564" t="s">
        <v>13651</v>
      </c>
      <c r="CG74" s="564"/>
      <c r="CH74" s="564"/>
      <c r="CI74" s="564"/>
      <c r="CJ74" s="564"/>
      <c r="CK74" s="564"/>
      <c r="CL74" s="564"/>
      <c r="CM74" s="564"/>
      <c r="CN74" s="564"/>
      <c r="CO74" s="564"/>
      <c r="CP74" s="564"/>
      <c r="CQ74" s="564"/>
      <c r="CR74" s="564"/>
      <c r="CS74" s="564"/>
      <c r="CT74" s="564"/>
      <c r="CU74" s="564"/>
      <c r="CV74" s="564" t="s">
        <v>13652</v>
      </c>
      <c r="CW74" s="564"/>
      <c r="CX74" s="564"/>
      <c r="CY74" s="564"/>
      <c r="CZ74" s="564"/>
      <c r="DA74" s="564"/>
      <c r="DB74" s="564"/>
      <c r="DC74" s="564"/>
      <c r="DD74" s="564"/>
      <c r="DE74" s="564"/>
      <c r="DF74" s="564"/>
      <c r="DG74" s="564"/>
      <c r="DH74" s="564"/>
      <c r="DI74" s="564"/>
      <c r="DJ74" s="564"/>
      <c r="DK74" s="564"/>
      <c r="DL74" s="564" t="s">
        <v>13653</v>
      </c>
      <c r="DY74" s="564"/>
      <c r="DZ74" s="564"/>
    </row>
    <row r="75" spans="1:130" s="194" customFormat="1" x14ac:dyDescent="0.2">
      <c r="A75" s="350">
        <v>2</v>
      </c>
      <c r="B75" s="230"/>
      <c r="C75" s="374" t="s">
        <v>2974</v>
      </c>
      <c r="D75" s="35">
        <v>1</v>
      </c>
      <c r="E75" s="299"/>
      <c r="F75" s="2"/>
      <c r="G75" s="32"/>
      <c r="H75" s="401"/>
      <c r="I75" s="300" t="e">
        <f>IF(ISBLANK(H75),G75/USD2LCU,H75)</f>
        <v>#N/A</v>
      </c>
      <c r="J75" s="300" t="e">
        <f>D75*I75</f>
        <v>#N/A</v>
      </c>
      <c r="K75" s="152"/>
      <c r="L75" s="299"/>
      <c r="M75" s="299"/>
      <c r="N75" s="299"/>
      <c r="O75" s="574"/>
      <c r="P75" s="587"/>
      <c r="Q75" s="403"/>
      <c r="R75" s="403"/>
      <c r="S75" s="403"/>
      <c r="T75" s="403" t="s">
        <v>2974</v>
      </c>
      <c r="U75" s="403"/>
      <c r="V75" s="403"/>
      <c r="W75" s="403"/>
      <c r="X75" s="403"/>
      <c r="Y75" s="403"/>
      <c r="Z75" s="403"/>
      <c r="AA75" s="403"/>
      <c r="AB75" s="403"/>
      <c r="AC75" s="403"/>
      <c r="AD75" s="403"/>
      <c r="AE75" s="403"/>
      <c r="AF75" s="403"/>
      <c r="AG75" s="403"/>
      <c r="AH75" s="403"/>
      <c r="AI75" s="403"/>
      <c r="AJ75" s="403" t="s">
        <v>8753</v>
      </c>
      <c r="AK75" s="403"/>
      <c r="AL75" s="403"/>
      <c r="AM75" s="403"/>
      <c r="AN75" s="403"/>
      <c r="AO75" s="403"/>
      <c r="AP75" s="403"/>
      <c r="AQ75" s="403"/>
      <c r="AR75" s="403"/>
      <c r="AS75" s="403"/>
      <c r="AT75" s="403"/>
      <c r="AU75" s="403"/>
      <c r="AV75" s="403"/>
      <c r="AW75" s="403"/>
      <c r="AX75" s="403"/>
      <c r="AY75" s="403"/>
      <c r="AZ75" s="403" t="s">
        <v>8754</v>
      </c>
      <c r="BA75" s="403"/>
      <c r="BB75" s="403"/>
      <c r="BC75" s="403"/>
      <c r="BD75" s="403"/>
      <c r="BE75" s="403"/>
      <c r="BF75" s="403"/>
      <c r="BG75" s="403"/>
      <c r="BH75" s="403"/>
      <c r="BI75" s="403"/>
      <c r="BJ75" s="403"/>
      <c r="BK75" s="403"/>
      <c r="BL75" s="403"/>
      <c r="BM75" s="403"/>
      <c r="BN75" s="403"/>
      <c r="BO75" s="403"/>
      <c r="BP75" s="403" t="s">
        <v>8755</v>
      </c>
      <c r="BQ75" s="403"/>
      <c r="BR75" s="403"/>
      <c r="BS75" s="403"/>
      <c r="BT75" s="403"/>
      <c r="BU75" s="403"/>
      <c r="BV75" s="403"/>
      <c r="BW75" s="403"/>
      <c r="BX75" s="403"/>
      <c r="BY75" s="403"/>
      <c r="BZ75" s="403"/>
      <c r="CA75" s="403"/>
      <c r="CB75" s="403"/>
      <c r="CC75" s="403"/>
      <c r="CD75" s="403"/>
      <c r="CE75" s="403"/>
      <c r="CF75" s="403" t="s">
        <v>8756</v>
      </c>
      <c r="CG75" s="403"/>
      <c r="CH75" s="403"/>
      <c r="CI75" s="403"/>
      <c r="CJ75" s="403"/>
      <c r="CK75" s="403"/>
      <c r="CL75" s="403"/>
      <c r="CM75" s="403"/>
      <c r="CN75" s="403"/>
      <c r="CO75" s="403"/>
      <c r="CP75" s="403"/>
      <c r="CQ75" s="403"/>
      <c r="CR75" s="403"/>
      <c r="CS75" s="403"/>
      <c r="CT75" s="403"/>
      <c r="CU75" s="403"/>
      <c r="CV75" s="403" t="s">
        <v>8757</v>
      </c>
      <c r="CW75" s="403"/>
      <c r="CX75" s="403"/>
      <c r="CY75" s="403"/>
      <c r="CZ75" s="403"/>
      <c r="DA75" s="403"/>
      <c r="DB75" s="403"/>
      <c r="DC75" s="403"/>
      <c r="DD75" s="403"/>
      <c r="DE75" s="403"/>
      <c r="DF75" s="403"/>
      <c r="DG75" s="403"/>
      <c r="DH75" s="403"/>
      <c r="DI75" s="403"/>
      <c r="DJ75" s="403"/>
      <c r="DK75" s="403"/>
      <c r="DL75" s="403" t="s">
        <v>8758</v>
      </c>
      <c r="DM75" s="403"/>
      <c r="DN75" s="403"/>
      <c r="DO75" s="403"/>
      <c r="DP75" s="403"/>
      <c r="DQ75" s="403"/>
      <c r="DR75" s="403"/>
      <c r="DS75" s="403"/>
      <c r="DT75" s="403"/>
      <c r="DU75" s="403"/>
      <c r="DV75" s="403"/>
      <c r="DW75" s="403"/>
      <c r="DX75" s="403"/>
      <c r="DY75" s="564"/>
      <c r="DZ75" s="564"/>
    </row>
    <row r="76" spans="1:130" s="194" customFormat="1" x14ac:dyDescent="0.2">
      <c r="A76" s="350">
        <v>2</v>
      </c>
      <c r="B76" s="230"/>
      <c r="C76" s="374"/>
      <c r="D76" s="35">
        <v>1</v>
      </c>
      <c r="E76" s="299"/>
      <c r="F76" s="2"/>
      <c r="G76" s="32"/>
      <c r="H76" s="401"/>
      <c r="I76" s="300" t="e">
        <f>IF(ISBLANK(H76),G76/USD2LCU,H76)</f>
        <v>#N/A</v>
      </c>
      <c r="J76" s="300" t="e">
        <f>D76*I76</f>
        <v>#N/A</v>
      </c>
      <c r="K76" s="152"/>
      <c r="L76" s="299"/>
      <c r="M76" s="299"/>
      <c r="N76" s="299"/>
      <c r="O76" s="574"/>
      <c r="P76" s="587"/>
      <c r="Q76" s="403"/>
      <c r="R76" s="403"/>
      <c r="S76" s="403"/>
      <c r="T76" s="403"/>
      <c r="U76" s="403"/>
      <c r="V76" s="403"/>
      <c r="W76" s="403"/>
      <c r="X76" s="403"/>
      <c r="Y76" s="403"/>
      <c r="Z76" s="403"/>
      <c r="AA76" s="403"/>
      <c r="AB76" s="403"/>
      <c r="AC76" s="403"/>
      <c r="AD76" s="403"/>
      <c r="AE76" s="403"/>
      <c r="AF76" s="403"/>
      <c r="AG76" s="403"/>
      <c r="AH76" s="403"/>
      <c r="AI76" s="403"/>
      <c r="AJ76" s="403"/>
      <c r="AK76" s="403"/>
      <c r="AL76" s="403"/>
      <c r="AM76" s="403"/>
      <c r="AN76" s="403"/>
      <c r="AO76" s="403"/>
      <c r="AP76" s="403"/>
      <c r="AQ76" s="403"/>
      <c r="AR76" s="403"/>
      <c r="AS76" s="403"/>
      <c r="AT76" s="403"/>
      <c r="AU76" s="403"/>
      <c r="AV76" s="403"/>
      <c r="AW76" s="403"/>
      <c r="AX76" s="403"/>
      <c r="AY76" s="403"/>
      <c r="AZ76" s="403"/>
      <c r="BA76" s="403"/>
      <c r="BB76" s="403"/>
      <c r="BC76" s="403"/>
      <c r="BD76" s="403"/>
      <c r="BE76" s="403"/>
      <c r="BF76" s="403"/>
      <c r="BG76" s="403"/>
      <c r="BH76" s="403"/>
      <c r="BI76" s="403"/>
      <c r="BJ76" s="403"/>
      <c r="BK76" s="403"/>
      <c r="BL76" s="403"/>
      <c r="BM76" s="403"/>
      <c r="BN76" s="403"/>
      <c r="BO76" s="403"/>
      <c r="BP76" s="403"/>
      <c r="BQ76" s="403"/>
      <c r="BR76" s="403"/>
      <c r="BS76" s="403"/>
      <c r="BT76" s="403"/>
      <c r="BU76" s="403"/>
      <c r="BV76" s="403"/>
      <c r="BW76" s="403"/>
      <c r="BX76" s="403"/>
      <c r="BY76" s="403"/>
      <c r="BZ76" s="403"/>
      <c r="CA76" s="403"/>
      <c r="CB76" s="403"/>
      <c r="CC76" s="403"/>
      <c r="CD76" s="403"/>
      <c r="CE76" s="403"/>
      <c r="CF76" s="403"/>
      <c r="CG76" s="403"/>
      <c r="CH76" s="403"/>
      <c r="CI76" s="403"/>
      <c r="CJ76" s="403"/>
      <c r="CK76" s="403"/>
      <c r="CL76" s="403"/>
      <c r="CM76" s="403"/>
      <c r="CN76" s="403"/>
      <c r="CO76" s="403"/>
      <c r="CP76" s="403"/>
      <c r="CQ76" s="403"/>
      <c r="CR76" s="403"/>
      <c r="CS76" s="403"/>
      <c r="CT76" s="403"/>
      <c r="CU76" s="403"/>
      <c r="CV76" s="403"/>
      <c r="CW76" s="403"/>
      <c r="CX76" s="403"/>
      <c r="CY76" s="403"/>
      <c r="CZ76" s="403"/>
      <c r="DA76" s="403"/>
      <c r="DB76" s="403"/>
      <c r="DC76" s="403"/>
      <c r="DD76" s="403"/>
      <c r="DE76" s="403"/>
      <c r="DF76" s="403"/>
      <c r="DG76" s="403"/>
      <c r="DH76" s="403"/>
      <c r="DI76" s="403"/>
      <c r="DJ76" s="403"/>
      <c r="DK76" s="403"/>
      <c r="DL76" s="403"/>
      <c r="DM76" s="403"/>
      <c r="DN76" s="403"/>
      <c r="DO76" s="403"/>
      <c r="DP76" s="403"/>
      <c r="DQ76" s="403"/>
      <c r="DR76" s="403"/>
      <c r="DS76" s="403"/>
      <c r="DT76" s="403"/>
      <c r="DU76" s="403"/>
      <c r="DV76" s="403"/>
      <c r="DW76" s="403"/>
      <c r="DX76" s="403"/>
      <c r="DY76" s="564"/>
      <c r="DZ76" s="564"/>
    </row>
    <row r="77" spans="1:130" s="194" customFormat="1" x14ac:dyDescent="0.2">
      <c r="A77" s="350">
        <v>2</v>
      </c>
      <c r="B77" s="230"/>
      <c r="C77" s="374"/>
      <c r="D77" s="35">
        <v>1</v>
      </c>
      <c r="E77" s="299"/>
      <c r="F77" s="2"/>
      <c r="G77" s="32"/>
      <c r="H77" s="401"/>
      <c r="I77" s="300" t="e">
        <f>IF(ISBLANK(H77),G77/USD2LCU,H77)</f>
        <v>#N/A</v>
      </c>
      <c r="J77" s="300" t="e">
        <f>D77*I77</f>
        <v>#N/A</v>
      </c>
      <c r="K77" s="152"/>
      <c r="L77" s="299"/>
      <c r="M77" s="299"/>
      <c r="N77" s="299"/>
      <c r="O77" s="574"/>
      <c r="P77" s="587"/>
      <c r="Q77" s="403"/>
      <c r="R77" s="403"/>
      <c r="S77" s="403"/>
      <c r="T77" s="403"/>
      <c r="U77" s="403"/>
      <c r="V77" s="403"/>
      <c r="W77" s="403"/>
      <c r="X77" s="403"/>
      <c r="Y77" s="403"/>
      <c r="Z77" s="403"/>
      <c r="AA77" s="403"/>
      <c r="AB77" s="403"/>
      <c r="AC77" s="403"/>
      <c r="AD77" s="403"/>
      <c r="AE77" s="403"/>
      <c r="AF77" s="403"/>
      <c r="AG77" s="403"/>
      <c r="AH77" s="403"/>
      <c r="AI77" s="403"/>
      <c r="AJ77" s="403"/>
      <c r="AK77" s="403"/>
      <c r="AL77" s="403"/>
      <c r="AM77" s="403"/>
      <c r="AN77" s="403"/>
      <c r="AO77" s="403"/>
      <c r="AP77" s="403"/>
      <c r="AQ77" s="403"/>
      <c r="AR77" s="403"/>
      <c r="AS77" s="403"/>
      <c r="AT77" s="403"/>
      <c r="AU77" s="403"/>
      <c r="AV77" s="403"/>
      <c r="AW77" s="403"/>
      <c r="AX77" s="403"/>
      <c r="AY77" s="403"/>
      <c r="AZ77" s="403"/>
      <c r="BA77" s="403"/>
      <c r="BB77" s="403"/>
      <c r="BC77" s="403"/>
      <c r="BD77" s="403"/>
      <c r="BE77" s="403"/>
      <c r="BF77" s="403"/>
      <c r="BG77" s="403"/>
      <c r="BH77" s="403"/>
      <c r="BI77" s="403"/>
      <c r="BJ77" s="403"/>
      <c r="BK77" s="403"/>
      <c r="BL77" s="403"/>
      <c r="BM77" s="403"/>
      <c r="BN77" s="403"/>
      <c r="BO77" s="403"/>
      <c r="BP77" s="403"/>
      <c r="BQ77" s="403"/>
      <c r="BR77" s="403"/>
      <c r="BS77" s="403"/>
      <c r="BT77" s="403"/>
      <c r="BU77" s="403"/>
      <c r="BV77" s="403"/>
      <c r="BW77" s="403"/>
      <c r="BX77" s="403"/>
      <c r="BY77" s="403"/>
      <c r="BZ77" s="403"/>
      <c r="CA77" s="403"/>
      <c r="CB77" s="403"/>
      <c r="CC77" s="403"/>
      <c r="CD77" s="403"/>
      <c r="CE77" s="403"/>
      <c r="CF77" s="403"/>
      <c r="CG77" s="403"/>
      <c r="CH77" s="403"/>
      <c r="CI77" s="403"/>
      <c r="CJ77" s="403"/>
      <c r="CK77" s="403"/>
      <c r="CL77" s="403"/>
      <c r="CM77" s="403"/>
      <c r="CN77" s="403"/>
      <c r="CO77" s="403"/>
      <c r="CP77" s="403"/>
      <c r="CQ77" s="403"/>
      <c r="CR77" s="403"/>
      <c r="CS77" s="403"/>
      <c r="CT77" s="403"/>
      <c r="CU77" s="403"/>
      <c r="CV77" s="403"/>
      <c r="CW77" s="403"/>
      <c r="CX77" s="403"/>
      <c r="CY77" s="403"/>
      <c r="CZ77" s="403"/>
      <c r="DA77" s="403"/>
      <c r="DB77" s="403"/>
      <c r="DC77" s="403"/>
      <c r="DD77" s="403"/>
      <c r="DE77" s="403"/>
      <c r="DF77" s="403"/>
      <c r="DG77" s="403"/>
      <c r="DH77" s="403"/>
      <c r="DI77" s="403"/>
      <c r="DJ77" s="403"/>
      <c r="DK77" s="403"/>
      <c r="DL77" s="403"/>
      <c r="DM77" s="403"/>
      <c r="DN77" s="403"/>
      <c r="DO77" s="403"/>
      <c r="DP77" s="403"/>
      <c r="DQ77" s="403"/>
      <c r="DR77" s="403"/>
      <c r="DS77" s="403"/>
      <c r="DT77" s="403"/>
      <c r="DU77" s="403"/>
      <c r="DV77" s="403"/>
      <c r="DW77" s="403"/>
      <c r="DX77" s="403"/>
      <c r="DY77" s="564"/>
      <c r="DZ77" s="564"/>
    </row>
    <row r="78" spans="1:130" x14ac:dyDescent="0.2">
      <c r="B78" s="230"/>
      <c r="K78" s="34"/>
    </row>
    <row r="79" spans="1:130" ht="15" x14ac:dyDescent="0.25">
      <c r="B79" s="8" t="str">
        <f ca="1">IF(OFFSET(S79,0,Lang_Order*Lang__A4)="","",OFFSET(S79,0,Lang_Order*Lang__A4))</f>
        <v>A4.1.07 Monitoring and Evaluation</v>
      </c>
      <c r="C79" s="19"/>
      <c r="D79" s="8"/>
      <c r="E79" s="8"/>
      <c r="F79" s="8"/>
      <c r="G79" s="408" t="str">
        <f>CONCATENATE(Lang_LCU,": ",LCU)</f>
        <v xml:space="preserve">LCU: </v>
      </c>
      <c r="H79" s="219" t="str">
        <f ca="1">IF(OFFSET(Y79,0,Lang_Order*Lang__A4)="","",OFFSET(Y79,0,Lang_Order*Lang__A4))</f>
        <v>Override in USD</v>
      </c>
      <c r="I79" s="8"/>
      <c r="J79" s="8"/>
      <c r="K79" s="188" t="e">
        <f>SUM(J81:J100)</f>
        <v>#N/A</v>
      </c>
      <c r="L79" s="8"/>
      <c r="M79" s="8"/>
      <c r="N79" s="8"/>
      <c r="O79" s="8"/>
      <c r="P79" s="8"/>
      <c r="S79" s="403" t="s">
        <v>14507</v>
      </c>
      <c r="Y79" s="403" t="s">
        <v>2977</v>
      </c>
      <c r="AI79" s="403" t="s">
        <v>14508</v>
      </c>
      <c r="AO79" s="403" t="s">
        <v>7897</v>
      </c>
      <c r="AY79" s="403" t="s">
        <v>14509</v>
      </c>
      <c r="BE79" s="403" t="s">
        <v>8114</v>
      </c>
      <c r="BO79" s="403" t="s">
        <v>14510</v>
      </c>
      <c r="BU79" s="403" t="s">
        <v>7903</v>
      </c>
      <c r="CE79" s="403" t="s">
        <v>14511</v>
      </c>
      <c r="CK79" s="403" t="s">
        <v>7906</v>
      </c>
      <c r="CU79" s="403" t="s">
        <v>14512</v>
      </c>
      <c r="DA79" s="403" t="s">
        <v>7908</v>
      </c>
      <c r="DK79" s="403" t="s">
        <v>14513</v>
      </c>
      <c r="DQ79" s="403" t="s">
        <v>7911</v>
      </c>
    </row>
    <row r="80" spans="1:130" s="185" customFormat="1" ht="52.5" customHeight="1" x14ac:dyDescent="0.2">
      <c r="C80" s="679" t="str">
        <f t="shared" ref="C80:C89" ca="1" si="13">IF(OFFSET(T80,0,Lang_Order*Lang__A4)="","",OFFSET(T80,0,Lang_Order*Lang__A4))</f>
        <v>Instructions: This section may include the development of an electronic vaccination records and related information systems. If this is desired, please include technical costs and development costs here, equipment costs per site/vaccination team in A3.5, operational costs such as telecommunications in A3.5, and any per-dose delivered costs in A3.2 (Electronic Records).
Oversight and assurance costs - can be added under this section (specified as a percent above vaccine and vaccine delivery costs, excluding central costs).</v>
      </c>
      <c r="D80" s="679"/>
      <c r="E80" s="679"/>
      <c r="F80" s="679"/>
      <c r="G80" s="679"/>
      <c r="H80" s="679"/>
      <c r="O80" s="574"/>
      <c r="P80" s="574"/>
      <c r="Q80" s="403"/>
      <c r="R80" s="403"/>
      <c r="S80" s="403"/>
      <c r="T80" s="403" t="s">
        <v>4154</v>
      </c>
      <c r="U80" s="403"/>
      <c r="V80" s="403"/>
      <c r="W80" s="403"/>
      <c r="X80" s="403"/>
      <c r="Y80" s="403"/>
      <c r="Z80" s="403"/>
      <c r="AA80" s="403"/>
      <c r="AB80" s="403"/>
      <c r="AC80" s="403"/>
      <c r="AD80" s="403"/>
      <c r="AE80" s="403"/>
      <c r="AF80" s="403"/>
      <c r="AG80" s="403"/>
      <c r="AH80" s="403"/>
      <c r="AI80" s="403"/>
      <c r="AJ80" s="403" t="s">
        <v>8960</v>
      </c>
      <c r="AK80" s="403"/>
      <c r="AL80" s="403"/>
      <c r="AM80" s="403"/>
      <c r="AN80" s="403"/>
      <c r="AO80" s="403"/>
      <c r="AP80" s="403"/>
      <c r="AQ80" s="403"/>
      <c r="AR80" s="403"/>
      <c r="AS80" s="403"/>
      <c r="AT80" s="403"/>
      <c r="AU80" s="403"/>
      <c r="AV80" s="403"/>
      <c r="AW80" s="403"/>
      <c r="AX80" s="403"/>
      <c r="AY80" s="403"/>
      <c r="AZ80" s="403" t="s">
        <v>8961</v>
      </c>
      <c r="BA80" s="403"/>
      <c r="BB80" s="403"/>
      <c r="BC80" s="403"/>
      <c r="BD80" s="403"/>
      <c r="BE80" s="403"/>
      <c r="BF80" s="403"/>
      <c r="BG80" s="403"/>
      <c r="BH80" s="403"/>
      <c r="BI80" s="403"/>
      <c r="BJ80" s="403"/>
      <c r="BK80" s="403"/>
      <c r="BL80" s="403"/>
      <c r="BM80" s="403"/>
      <c r="BN80" s="403"/>
      <c r="BO80" s="403"/>
      <c r="BP80" s="403" t="s">
        <v>8962</v>
      </c>
      <c r="BQ80" s="403"/>
      <c r="BR80" s="403"/>
      <c r="BS80" s="403"/>
      <c r="BT80" s="403"/>
      <c r="BU80" s="403"/>
      <c r="BV80" s="403"/>
      <c r="BW80" s="403"/>
      <c r="BX80" s="403"/>
      <c r="BY80" s="403"/>
      <c r="BZ80" s="403"/>
      <c r="CA80" s="403"/>
      <c r="CB80" s="403"/>
      <c r="CC80" s="403"/>
      <c r="CD80" s="403"/>
      <c r="CE80" s="403"/>
      <c r="CF80" s="403" t="s">
        <v>8963</v>
      </c>
      <c r="CG80" s="403"/>
      <c r="CH80" s="403"/>
      <c r="CI80" s="403"/>
      <c r="CJ80" s="403"/>
      <c r="CK80" s="403"/>
      <c r="CL80" s="403"/>
      <c r="CM80" s="403"/>
      <c r="CN80" s="403"/>
      <c r="CO80" s="403"/>
      <c r="CP80" s="403"/>
      <c r="CQ80" s="403"/>
      <c r="CR80" s="403"/>
      <c r="CS80" s="403"/>
      <c r="CT80" s="403"/>
      <c r="CU80" s="403"/>
      <c r="CV80" s="403" t="s">
        <v>8964</v>
      </c>
      <c r="CW80" s="403"/>
      <c r="CX80" s="403"/>
      <c r="CY80" s="403"/>
      <c r="CZ80" s="403"/>
      <c r="DA80" s="403"/>
      <c r="DB80" s="403"/>
      <c r="DC80" s="403"/>
      <c r="DD80" s="403"/>
      <c r="DE80" s="403"/>
      <c r="DF80" s="403"/>
      <c r="DG80" s="403"/>
      <c r="DH80" s="403"/>
      <c r="DI80" s="403"/>
      <c r="DJ80" s="403"/>
      <c r="DK80" s="403"/>
      <c r="DL80" s="403" t="s">
        <v>8965</v>
      </c>
      <c r="DM80" s="403"/>
      <c r="DN80" s="403"/>
      <c r="DO80" s="403"/>
      <c r="DP80" s="403"/>
      <c r="DQ80" s="403"/>
      <c r="DR80" s="403"/>
      <c r="DS80" s="403"/>
      <c r="DT80" s="403"/>
      <c r="DU80" s="403"/>
      <c r="DV80" s="403"/>
      <c r="DW80" s="403"/>
      <c r="DX80" s="403"/>
      <c r="DY80" s="564"/>
      <c r="DZ80" s="564"/>
    </row>
    <row r="81" spans="1:130" x14ac:dyDescent="0.2">
      <c r="A81" s="354">
        <v>1</v>
      </c>
      <c r="B81" s="230"/>
      <c r="C81" s="370" t="str">
        <f t="shared" ca="1" si="13"/>
        <v>TA: Adapt/develop surveillance and M&amp;E framework (incl. indicators and instruments)</v>
      </c>
      <c r="D81" s="2">
        <v>1</v>
      </c>
      <c r="E81" s="299"/>
      <c r="F81" s="2"/>
      <c r="G81" s="32"/>
      <c r="H81" s="401"/>
      <c r="I81" s="300" t="e">
        <f t="shared" ref="I81:I92" si="14">IF(ISBLANK(H81),G81/USD2LCU,H81)</f>
        <v>#N/A</v>
      </c>
      <c r="J81" s="300" t="e">
        <f t="shared" ref="J81:J92" si="15">D81*I81</f>
        <v>#N/A</v>
      </c>
      <c r="K81" s="152"/>
      <c r="L81" s="299" t="s">
        <v>2854</v>
      </c>
      <c r="O81" s="574"/>
      <c r="P81" s="587"/>
      <c r="T81" s="403" t="s">
        <v>3868</v>
      </c>
      <c r="AJ81" s="403" t="s">
        <v>8966</v>
      </c>
      <c r="AZ81" s="403" t="s">
        <v>8967</v>
      </c>
      <c r="BP81" s="403" t="s">
        <v>8968</v>
      </c>
      <c r="CF81" s="403" t="s">
        <v>8969</v>
      </c>
      <c r="CV81" s="403" t="s">
        <v>8970</v>
      </c>
      <c r="DL81" s="403" t="s">
        <v>8971</v>
      </c>
    </row>
    <row r="82" spans="1:130" s="299" customFormat="1" ht="25.5" x14ac:dyDescent="0.2">
      <c r="A82" s="354">
        <v>1</v>
      </c>
      <c r="B82" s="230"/>
      <c r="C82" s="370" t="str">
        <f t="shared" ca="1" si="13"/>
        <v>TA: Adapt/develop paper-based or electronic vaccination records system, ensure data protection measures and grievance mechanism</v>
      </c>
      <c r="D82" s="2">
        <v>1</v>
      </c>
      <c r="F82" s="2"/>
      <c r="G82" s="32"/>
      <c r="H82" s="401"/>
      <c r="I82" s="300" t="e">
        <f t="shared" si="14"/>
        <v>#N/A</v>
      </c>
      <c r="J82" s="300" t="e">
        <f t="shared" si="15"/>
        <v>#N/A</v>
      </c>
      <c r="K82" s="152"/>
      <c r="L82" s="299" t="s">
        <v>3872</v>
      </c>
      <c r="O82" s="574"/>
      <c r="P82" s="587"/>
      <c r="Q82" s="403"/>
      <c r="R82" s="403"/>
      <c r="S82" s="403"/>
      <c r="T82" s="403" t="s">
        <v>3871</v>
      </c>
      <c r="U82" s="403"/>
      <c r="V82" s="403"/>
      <c r="W82" s="403"/>
      <c r="X82" s="403"/>
      <c r="Y82" s="403"/>
      <c r="Z82" s="403"/>
      <c r="AA82" s="403"/>
      <c r="AB82" s="403"/>
      <c r="AC82" s="403"/>
      <c r="AD82" s="403"/>
      <c r="AE82" s="403"/>
      <c r="AF82" s="403"/>
      <c r="AG82" s="403"/>
      <c r="AH82" s="403"/>
      <c r="AI82" s="403"/>
      <c r="AJ82" s="403" t="s">
        <v>8972</v>
      </c>
      <c r="AK82" s="403"/>
      <c r="AL82" s="403"/>
      <c r="AM82" s="403"/>
      <c r="AN82" s="403"/>
      <c r="AO82" s="403"/>
      <c r="AP82" s="403"/>
      <c r="AQ82" s="403"/>
      <c r="AR82" s="403"/>
      <c r="AS82" s="403"/>
      <c r="AT82" s="403"/>
      <c r="AU82" s="403"/>
      <c r="AV82" s="403"/>
      <c r="AW82" s="403"/>
      <c r="AX82" s="403"/>
      <c r="AY82" s="403"/>
      <c r="AZ82" s="403" t="s">
        <v>8973</v>
      </c>
      <c r="BA82" s="403"/>
      <c r="BB82" s="403"/>
      <c r="BC82" s="403"/>
      <c r="BD82" s="403"/>
      <c r="BE82" s="403"/>
      <c r="BF82" s="403"/>
      <c r="BG82" s="403"/>
      <c r="BH82" s="403"/>
      <c r="BI82" s="403"/>
      <c r="BJ82" s="403"/>
      <c r="BK82" s="403"/>
      <c r="BL82" s="403"/>
      <c r="BM82" s="403"/>
      <c r="BN82" s="403"/>
      <c r="BO82" s="403"/>
      <c r="BP82" s="403" t="s">
        <v>8974</v>
      </c>
      <c r="BQ82" s="403"/>
      <c r="BR82" s="403"/>
      <c r="BS82" s="403"/>
      <c r="BT82" s="403"/>
      <c r="BU82" s="403"/>
      <c r="BV82" s="403"/>
      <c r="BW82" s="403"/>
      <c r="BX82" s="403"/>
      <c r="BY82" s="403"/>
      <c r="BZ82" s="403"/>
      <c r="CA82" s="403"/>
      <c r="CB82" s="403"/>
      <c r="CC82" s="403"/>
      <c r="CD82" s="403"/>
      <c r="CE82" s="403"/>
      <c r="CF82" s="403" t="s">
        <v>8975</v>
      </c>
      <c r="CG82" s="403"/>
      <c r="CH82" s="403"/>
      <c r="CI82" s="403"/>
      <c r="CJ82" s="403"/>
      <c r="CK82" s="403"/>
      <c r="CL82" s="403"/>
      <c r="CM82" s="403"/>
      <c r="CN82" s="403"/>
      <c r="CO82" s="403"/>
      <c r="CP82" s="403"/>
      <c r="CQ82" s="403"/>
      <c r="CR82" s="403"/>
      <c r="CS82" s="403"/>
      <c r="CT82" s="403"/>
      <c r="CU82" s="403"/>
      <c r="CV82" s="403" t="s">
        <v>8976</v>
      </c>
      <c r="CW82" s="403"/>
      <c r="CX82" s="403"/>
      <c r="CY82" s="403"/>
      <c r="CZ82" s="403"/>
      <c r="DA82" s="403"/>
      <c r="DB82" s="403"/>
      <c r="DC82" s="403"/>
      <c r="DD82" s="403"/>
      <c r="DE82" s="403"/>
      <c r="DF82" s="403"/>
      <c r="DG82" s="403"/>
      <c r="DH82" s="403"/>
      <c r="DI82" s="403"/>
      <c r="DJ82" s="403"/>
      <c r="DK82" s="403"/>
      <c r="DL82" s="403" t="s">
        <v>8977</v>
      </c>
      <c r="DM82" s="403"/>
      <c r="DN82" s="403"/>
      <c r="DO82" s="403"/>
      <c r="DP82" s="403"/>
      <c r="DQ82" s="403"/>
      <c r="DR82" s="403"/>
      <c r="DS82" s="403"/>
      <c r="DT82" s="403"/>
      <c r="DU82" s="403"/>
      <c r="DV82" s="403"/>
      <c r="DW82" s="403"/>
      <c r="DX82" s="403"/>
      <c r="DY82" s="564"/>
      <c r="DZ82" s="564"/>
    </row>
    <row r="83" spans="1:130" s="536" customFormat="1" x14ac:dyDescent="0.2">
      <c r="C83" s="159" t="str">
        <f t="shared" ca="1" si="13"/>
        <v>Other Technical Assistance (6.1)</v>
      </c>
      <c r="O83" s="574"/>
      <c r="P83" s="574"/>
      <c r="T83" s="564" t="s">
        <v>4588</v>
      </c>
      <c r="U83" s="564"/>
      <c r="V83" s="564"/>
      <c r="W83" s="564"/>
      <c r="X83" s="564"/>
      <c r="Y83" s="564"/>
      <c r="Z83" s="564"/>
      <c r="AA83" s="564"/>
      <c r="AB83" s="564"/>
      <c r="AC83" s="564"/>
      <c r="AD83" s="564"/>
      <c r="AE83" s="564"/>
      <c r="AF83" s="564"/>
      <c r="AG83" s="564"/>
      <c r="AH83" s="564"/>
      <c r="AI83" s="564"/>
      <c r="AJ83" s="564" t="s">
        <v>13654</v>
      </c>
      <c r="AK83" s="564"/>
      <c r="AL83" s="564"/>
      <c r="AM83" s="564"/>
      <c r="AN83" s="564"/>
      <c r="AO83" s="564"/>
      <c r="AP83" s="564"/>
      <c r="AQ83" s="564"/>
      <c r="AR83" s="564"/>
      <c r="AS83" s="564"/>
      <c r="AT83" s="564"/>
      <c r="AU83" s="564"/>
      <c r="AV83" s="564"/>
      <c r="AW83" s="564"/>
      <c r="AX83" s="564"/>
      <c r="AY83" s="564"/>
      <c r="AZ83" s="564" t="s">
        <v>13655</v>
      </c>
      <c r="BA83" s="564"/>
      <c r="BB83" s="564"/>
      <c r="BC83" s="564"/>
      <c r="BD83" s="564"/>
      <c r="BE83" s="564"/>
      <c r="BF83" s="564"/>
      <c r="BG83" s="564"/>
      <c r="BH83" s="564"/>
      <c r="BI83" s="564"/>
      <c r="BJ83" s="564"/>
      <c r="BK83" s="564"/>
      <c r="BL83" s="564"/>
      <c r="BM83" s="564"/>
      <c r="BN83" s="564"/>
      <c r="BO83" s="564"/>
      <c r="BP83" s="564" t="s">
        <v>13656</v>
      </c>
      <c r="BQ83" s="564"/>
      <c r="BR83" s="564"/>
      <c r="BS83" s="564"/>
      <c r="BT83" s="564"/>
      <c r="BU83" s="564"/>
      <c r="BV83" s="564"/>
      <c r="BW83" s="564"/>
      <c r="BX83" s="564"/>
      <c r="BY83" s="564"/>
      <c r="BZ83" s="564"/>
      <c r="CA83" s="564"/>
      <c r="CB83" s="564"/>
      <c r="CC83" s="564"/>
      <c r="CD83" s="564"/>
      <c r="CE83" s="564"/>
      <c r="CF83" s="564" t="s">
        <v>13657</v>
      </c>
      <c r="CG83" s="564"/>
      <c r="CH83" s="564"/>
      <c r="CI83" s="564"/>
      <c r="CJ83" s="564"/>
      <c r="CK83" s="564"/>
      <c r="CL83" s="564"/>
      <c r="CM83" s="564"/>
      <c r="CN83" s="564"/>
      <c r="CO83" s="564"/>
      <c r="CP83" s="564"/>
      <c r="CQ83" s="564"/>
      <c r="CR83" s="564"/>
      <c r="CS83" s="564"/>
      <c r="CT83" s="564"/>
      <c r="CU83" s="564"/>
      <c r="CV83" s="564" t="s">
        <v>13658</v>
      </c>
      <c r="CW83" s="564"/>
      <c r="CX83" s="564"/>
      <c r="CY83" s="564"/>
      <c r="CZ83" s="564"/>
      <c r="DA83" s="564"/>
      <c r="DB83" s="564"/>
      <c r="DC83" s="564"/>
      <c r="DD83" s="564"/>
      <c r="DE83" s="564"/>
      <c r="DF83" s="564"/>
      <c r="DG83" s="564"/>
      <c r="DH83" s="564"/>
      <c r="DI83" s="564"/>
      <c r="DJ83" s="564"/>
      <c r="DK83" s="564"/>
      <c r="DL83" s="564" t="s">
        <v>13659</v>
      </c>
      <c r="DY83" s="564"/>
      <c r="DZ83" s="564"/>
    </row>
    <row r="84" spans="1:130" s="536" customFormat="1" x14ac:dyDescent="0.2">
      <c r="A84" s="350">
        <v>2</v>
      </c>
      <c r="B84" s="230"/>
      <c r="C84" s="374" t="s">
        <v>2974</v>
      </c>
      <c r="D84" s="35">
        <v>1</v>
      </c>
      <c r="F84" s="2"/>
      <c r="G84" s="32"/>
      <c r="H84" s="401"/>
      <c r="I84" s="300" t="e">
        <f t="shared" ref="I84:I86" si="16">IF(ISBLANK(H84),G84/USD2LCU,H84)</f>
        <v>#N/A</v>
      </c>
      <c r="J84" s="300" t="e">
        <f t="shared" ref="J84:J86" si="17">D84*I84</f>
        <v>#N/A</v>
      </c>
      <c r="K84" s="152"/>
      <c r="O84" s="574"/>
      <c r="P84" s="587"/>
      <c r="Q84" s="535"/>
      <c r="R84" s="535"/>
      <c r="S84" s="535"/>
      <c r="T84" s="535" t="s">
        <v>2974</v>
      </c>
      <c r="U84" s="535"/>
      <c r="V84" s="535"/>
      <c r="W84" s="535"/>
      <c r="X84" s="535"/>
      <c r="Y84" s="535"/>
      <c r="Z84" s="535"/>
      <c r="AA84" s="535"/>
      <c r="AB84" s="535"/>
      <c r="AC84" s="535"/>
      <c r="AD84" s="535"/>
      <c r="AE84" s="535"/>
      <c r="AF84" s="535"/>
      <c r="AG84" s="535"/>
      <c r="AH84" s="535"/>
      <c r="AI84" s="535"/>
      <c r="AJ84" s="535" t="s">
        <v>8753</v>
      </c>
      <c r="AK84" s="535"/>
      <c r="AL84" s="535"/>
      <c r="AM84" s="535"/>
      <c r="AN84" s="535"/>
      <c r="AO84" s="535"/>
      <c r="AP84" s="535"/>
      <c r="AQ84" s="535"/>
      <c r="AR84" s="535"/>
      <c r="AS84" s="535"/>
      <c r="AT84" s="535"/>
      <c r="AU84" s="535"/>
      <c r="AV84" s="535"/>
      <c r="AW84" s="535"/>
      <c r="AX84" s="535"/>
      <c r="AY84" s="535"/>
      <c r="AZ84" s="535" t="s">
        <v>8754</v>
      </c>
      <c r="BA84" s="535"/>
      <c r="BB84" s="535"/>
      <c r="BC84" s="535"/>
      <c r="BD84" s="535"/>
      <c r="BE84" s="535"/>
      <c r="BF84" s="535"/>
      <c r="BG84" s="535"/>
      <c r="BH84" s="535"/>
      <c r="BI84" s="535"/>
      <c r="BJ84" s="535"/>
      <c r="BK84" s="535"/>
      <c r="BL84" s="535"/>
      <c r="BM84" s="535"/>
      <c r="BN84" s="535"/>
      <c r="BO84" s="535"/>
      <c r="BP84" s="535" t="s">
        <v>8755</v>
      </c>
      <c r="BQ84" s="535"/>
      <c r="BR84" s="535"/>
      <c r="BS84" s="535"/>
      <c r="BT84" s="535"/>
      <c r="BU84" s="535"/>
      <c r="BV84" s="535"/>
      <c r="BW84" s="535"/>
      <c r="BX84" s="535"/>
      <c r="BY84" s="535"/>
      <c r="BZ84" s="535"/>
      <c r="CA84" s="535"/>
      <c r="CB84" s="535"/>
      <c r="CC84" s="535"/>
      <c r="CD84" s="535"/>
      <c r="CE84" s="535"/>
      <c r="CF84" s="535" t="s">
        <v>8756</v>
      </c>
      <c r="CG84" s="535"/>
      <c r="CH84" s="535"/>
      <c r="CI84" s="535"/>
      <c r="CJ84" s="535"/>
      <c r="CK84" s="535"/>
      <c r="CL84" s="535"/>
      <c r="CM84" s="535"/>
      <c r="CN84" s="535"/>
      <c r="CO84" s="535"/>
      <c r="CP84" s="535"/>
      <c r="CQ84" s="535"/>
      <c r="CR84" s="535"/>
      <c r="CS84" s="535"/>
      <c r="CT84" s="535"/>
      <c r="CU84" s="535"/>
      <c r="CV84" s="535" t="s">
        <v>8757</v>
      </c>
      <c r="CW84" s="535"/>
      <c r="CX84" s="535"/>
      <c r="CY84" s="535"/>
      <c r="CZ84" s="535"/>
      <c r="DA84" s="535"/>
      <c r="DB84" s="535"/>
      <c r="DC84" s="535"/>
      <c r="DD84" s="535"/>
      <c r="DE84" s="535"/>
      <c r="DF84" s="535"/>
      <c r="DG84" s="535"/>
      <c r="DH84" s="535"/>
      <c r="DI84" s="535"/>
      <c r="DJ84" s="535"/>
      <c r="DK84" s="535"/>
      <c r="DL84" s="535" t="s">
        <v>8758</v>
      </c>
      <c r="DM84" s="535"/>
      <c r="DN84" s="535"/>
      <c r="DO84" s="535"/>
      <c r="DP84" s="535"/>
      <c r="DQ84" s="535"/>
      <c r="DR84" s="535"/>
      <c r="DS84" s="535"/>
      <c r="DT84" s="535"/>
      <c r="DU84" s="535"/>
      <c r="DV84" s="535"/>
      <c r="DW84" s="535"/>
      <c r="DX84" s="535"/>
      <c r="DY84" s="564"/>
      <c r="DZ84" s="564"/>
    </row>
    <row r="85" spans="1:130" s="536" customFormat="1" x14ac:dyDescent="0.2">
      <c r="A85" s="350">
        <v>2</v>
      </c>
      <c r="B85" s="230"/>
      <c r="C85" s="374"/>
      <c r="D85" s="35">
        <v>1</v>
      </c>
      <c r="F85" s="2"/>
      <c r="G85" s="32"/>
      <c r="H85" s="401"/>
      <c r="I85" s="300" t="e">
        <f t="shared" si="16"/>
        <v>#N/A</v>
      </c>
      <c r="J85" s="300" t="e">
        <f t="shared" si="17"/>
        <v>#N/A</v>
      </c>
      <c r="K85" s="152"/>
      <c r="O85" s="574"/>
      <c r="P85" s="587"/>
      <c r="Q85" s="535"/>
      <c r="R85" s="535"/>
      <c r="S85" s="535"/>
      <c r="T85" s="535"/>
      <c r="U85" s="535"/>
      <c r="V85" s="535"/>
      <c r="W85" s="535"/>
      <c r="X85" s="535"/>
      <c r="Y85" s="535"/>
      <c r="Z85" s="535"/>
      <c r="AA85" s="535"/>
      <c r="AB85" s="535"/>
      <c r="AC85" s="535"/>
      <c r="AD85" s="535"/>
      <c r="AE85" s="535"/>
      <c r="AF85" s="535"/>
      <c r="AG85" s="535"/>
      <c r="AH85" s="535"/>
      <c r="AI85" s="535"/>
      <c r="AJ85" s="535"/>
      <c r="AK85" s="535"/>
      <c r="AL85" s="535"/>
      <c r="AM85" s="535"/>
      <c r="AN85" s="535"/>
      <c r="AO85" s="535"/>
      <c r="AP85" s="535"/>
      <c r="AQ85" s="535"/>
      <c r="AR85" s="535"/>
      <c r="AS85" s="535"/>
      <c r="AT85" s="535"/>
      <c r="AU85" s="535"/>
      <c r="AV85" s="535"/>
      <c r="AW85" s="535"/>
      <c r="AX85" s="535"/>
      <c r="AY85" s="535"/>
      <c r="AZ85" s="535"/>
      <c r="BA85" s="535"/>
      <c r="BB85" s="535"/>
      <c r="BC85" s="535"/>
      <c r="BD85" s="535"/>
      <c r="BE85" s="535"/>
      <c r="BF85" s="535"/>
      <c r="BG85" s="535"/>
      <c r="BH85" s="535"/>
      <c r="BI85" s="535"/>
      <c r="BJ85" s="535"/>
      <c r="BK85" s="535"/>
      <c r="BL85" s="535"/>
      <c r="BM85" s="535"/>
      <c r="BN85" s="535"/>
      <c r="BO85" s="535"/>
      <c r="BP85" s="535"/>
      <c r="BQ85" s="535"/>
      <c r="BR85" s="535"/>
      <c r="BS85" s="535"/>
      <c r="BT85" s="535"/>
      <c r="BU85" s="535"/>
      <c r="BV85" s="535"/>
      <c r="BW85" s="535"/>
      <c r="BX85" s="535"/>
      <c r="BY85" s="535"/>
      <c r="BZ85" s="535"/>
      <c r="CA85" s="535"/>
      <c r="CB85" s="535"/>
      <c r="CC85" s="535"/>
      <c r="CD85" s="535"/>
      <c r="CE85" s="535"/>
      <c r="CF85" s="535"/>
      <c r="CG85" s="535"/>
      <c r="CH85" s="535"/>
      <c r="CI85" s="535"/>
      <c r="CJ85" s="535"/>
      <c r="CK85" s="535"/>
      <c r="CL85" s="535"/>
      <c r="CM85" s="535"/>
      <c r="CN85" s="535"/>
      <c r="CO85" s="535"/>
      <c r="CP85" s="535"/>
      <c r="CQ85" s="535"/>
      <c r="CR85" s="535"/>
      <c r="CS85" s="535"/>
      <c r="CT85" s="535"/>
      <c r="CU85" s="535"/>
      <c r="CV85" s="535"/>
      <c r="CW85" s="535"/>
      <c r="CX85" s="535"/>
      <c r="CY85" s="535"/>
      <c r="CZ85" s="535"/>
      <c r="DA85" s="535"/>
      <c r="DB85" s="535"/>
      <c r="DC85" s="535"/>
      <c r="DD85" s="535"/>
      <c r="DE85" s="535"/>
      <c r="DF85" s="535"/>
      <c r="DG85" s="535"/>
      <c r="DH85" s="535"/>
      <c r="DI85" s="535"/>
      <c r="DJ85" s="535"/>
      <c r="DK85" s="535"/>
      <c r="DL85" s="535"/>
      <c r="DM85" s="535"/>
      <c r="DN85" s="535"/>
      <c r="DO85" s="535"/>
      <c r="DP85" s="535"/>
      <c r="DQ85" s="535"/>
      <c r="DR85" s="535"/>
      <c r="DS85" s="535"/>
      <c r="DT85" s="535"/>
      <c r="DU85" s="535"/>
      <c r="DV85" s="535"/>
      <c r="DW85" s="535"/>
      <c r="DX85" s="535"/>
      <c r="DY85" s="564"/>
      <c r="DZ85" s="564"/>
    </row>
    <row r="86" spans="1:130" s="536" customFormat="1" x14ac:dyDescent="0.2">
      <c r="A86" s="350">
        <v>2</v>
      </c>
      <c r="B86" s="230"/>
      <c r="C86" s="374"/>
      <c r="D86" s="35">
        <v>1</v>
      </c>
      <c r="F86" s="2"/>
      <c r="G86" s="32"/>
      <c r="H86" s="401"/>
      <c r="I86" s="300" t="e">
        <f t="shared" si="16"/>
        <v>#N/A</v>
      </c>
      <c r="J86" s="300" t="e">
        <f t="shared" si="17"/>
        <v>#N/A</v>
      </c>
      <c r="K86" s="152"/>
      <c r="O86" s="574"/>
      <c r="P86" s="587"/>
      <c r="Q86" s="535"/>
      <c r="R86" s="535"/>
      <c r="S86" s="535"/>
      <c r="T86" s="535"/>
      <c r="U86" s="535"/>
      <c r="V86" s="535"/>
      <c r="W86" s="535"/>
      <c r="X86" s="535"/>
      <c r="Y86" s="535"/>
      <c r="Z86" s="535"/>
      <c r="AA86" s="535"/>
      <c r="AB86" s="535"/>
      <c r="AC86" s="535"/>
      <c r="AD86" s="535"/>
      <c r="AE86" s="535"/>
      <c r="AF86" s="535"/>
      <c r="AG86" s="535"/>
      <c r="AH86" s="535"/>
      <c r="AI86" s="535"/>
      <c r="AJ86" s="535"/>
      <c r="AK86" s="535"/>
      <c r="AL86" s="535"/>
      <c r="AM86" s="535"/>
      <c r="AN86" s="535"/>
      <c r="AO86" s="535"/>
      <c r="AP86" s="535"/>
      <c r="AQ86" s="535"/>
      <c r="AR86" s="535"/>
      <c r="AS86" s="535"/>
      <c r="AT86" s="535"/>
      <c r="AU86" s="535"/>
      <c r="AV86" s="535"/>
      <c r="AW86" s="535"/>
      <c r="AX86" s="535"/>
      <c r="AY86" s="535"/>
      <c r="AZ86" s="535"/>
      <c r="BA86" s="535"/>
      <c r="BB86" s="535"/>
      <c r="BC86" s="535"/>
      <c r="BD86" s="535"/>
      <c r="BE86" s="535"/>
      <c r="BF86" s="535"/>
      <c r="BG86" s="535"/>
      <c r="BH86" s="535"/>
      <c r="BI86" s="535"/>
      <c r="BJ86" s="535"/>
      <c r="BK86" s="535"/>
      <c r="BL86" s="535"/>
      <c r="BM86" s="535"/>
      <c r="BN86" s="535"/>
      <c r="BO86" s="535"/>
      <c r="BP86" s="535"/>
      <c r="BQ86" s="535"/>
      <c r="BR86" s="535"/>
      <c r="BS86" s="535"/>
      <c r="BT86" s="535"/>
      <c r="BU86" s="535"/>
      <c r="BV86" s="535"/>
      <c r="BW86" s="535"/>
      <c r="BX86" s="535"/>
      <c r="BY86" s="535"/>
      <c r="BZ86" s="535"/>
      <c r="CA86" s="535"/>
      <c r="CB86" s="535"/>
      <c r="CC86" s="535"/>
      <c r="CD86" s="535"/>
      <c r="CE86" s="535"/>
      <c r="CF86" s="535"/>
      <c r="CG86" s="535"/>
      <c r="CH86" s="535"/>
      <c r="CI86" s="535"/>
      <c r="CJ86" s="535"/>
      <c r="CK86" s="535"/>
      <c r="CL86" s="535"/>
      <c r="CM86" s="535"/>
      <c r="CN86" s="535"/>
      <c r="CO86" s="535"/>
      <c r="CP86" s="535"/>
      <c r="CQ86" s="535"/>
      <c r="CR86" s="535"/>
      <c r="CS86" s="535"/>
      <c r="CT86" s="535"/>
      <c r="CU86" s="535"/>
      <c r="CV86" s="535"/>
      <c r="CW86" s="535"/>
      <c r="CX86" s="535"/>
      <c r="CY86" s="535"/>
      <c r="CZ86" s="535"/>
      <c r="DA86" s="535"/>
      <c r="DB86" s="535"/>
      <c r="DC86" s="535"/>
      <c r="DD86" s="535"/>
      <c r="DE86" s="535"/>
      <c r="DF86" s="535"/>
      <c r="DG86" s="535"/>
      <c r="DH86" s="535"/>
      <c r="DI86" s="535"/>
      <c r="DJ86" s="535"/>
      <c r="DK86" s="535"/>
      <c r="DL86" s="535"/>
      <c r="DM86" s="535"/>
      <c r="DN86" s="535"/>
      <c r="DO86" s="535"/>
      <c r="DP86" s="535"/>
      <c r="DQ86" s="535"/>
      <c r="DR86" s="535"/>
      <c r="DS86" s="535"/>
      <c r="DT86" s="535"/>
      <c r="DU86" s="535"/>
      <c r="DV86" s="535"/>
      <c r="DW86" s="535"/>
      <c r="DX86" s="535"/>
      <c r="DY86" s="564"/>
      <c r="DZ86" s="564"/>
    </row>
    <row r="87" spans="1:130" s="536" customFormat="1" x14ac:dyDescent="0.2">
      <c r="O87" s="574"/>
      <c r="P87" s="574"/>
      <c r="Q87" s="535"/>
      <c r="R87" s="535"/>
      <c r="S87" s="535"/>
      <c r="T87" s="535"/>
      <c r="U87" s="535"/>
      <c r="V87" s="535"/>
      <c r="W87" s="535"/>
      <c r="X87" s="535"/>
      <c r="Y87" s="535"/>
      <c r="Z87" s="535"/>
      <c r="AA87" s="535"/>
      <c r="AB87" s="535"/>
      <c r="AC87" s="535"/>
      <c r="AD87" s="535"/>
      <c r="AE87" s="535"/>
      <c r="AF87" s="535"/>
      <c r="AG87" s="535"/>
      <c r="AH87" s="535"/>
      <c r="AI87" s="535"/>
      <c r="AJ87" s="535"/>
      <c r="AK87" s="535"/>
      <c r="AL87" s="535"/>
      <c r="AM87" s="535"/>
      <c r="AN87" s="535"/>
      <c r="AO87" s="535"/>
      <c r="AP87" s="535"/>
      <c r="AQ87" s="535"/>
      <c r="AR87" s="535"/>
      <c r="AS87" s="535"/>
      <c r="AT87" s="535"/>
      <c r="AU87" s="535"/>
      <c r="AV87" s="535"/>
      <c r="AW87" s="535"/>
      <c r="AX87" s="535"/>
      <c r="AY87" s="535"/>
      <c r="AZ87" s="535"/>
      <c r="BA87" s="535"/>
      <c r="BB87" s="535"/>
      <c r="BC87" s="535"/>
      <c r="BD87" s="535"/>
      <c r="BE87" s="535"/>
      <c r="BF87" s="535"/>
      <c r="BG87" s="535"/>
      <c r="BH87" s="535"/>
      <c r="BI87" s="535"/>
      <c r="BJ87" s="535"/>
      <c r="BK87" s="535"/>
      <c r="BL87" s="535"/>
      <c r="BM87" s="535"/>
      <c r="BN87" s="535"/>
      <c r="BO87" s="535"/>
      <c r="BP87" s="535"/>
      <c r="BQ87" s="535"/>
      <c r="BR87" s="535"/>
      <c r="BS87" s="535"/>
      <c r="BT87" s="535"/>
      <c r="BU87" s="535"/>
      <c r="BV87" s="535"/>
      <c r="BW87" s="535"/>
      <c r="BX87" s="535"/>
      <c r="BY87" s="535"/>
      <c r="BZ87" s="535"/>
      <c r="CA87" s="535"/>
      <c r="CB87" s="535"/>
      <c r="CC87" s="535"/>
      <c r="CD87" s="535"/>
      <c r="CE87" s="535"/>
      <c r="CF87" s="535"/>
      <c r="CG87" s="535"/>
      <c r="CH87" s="535"/>
      <c r="CI87" s="535"/>
      <c r="CJ87" s="535"/>
      <c r="CK87" s="535"/>
      <c r="CL87" s="535"/>
      <c r="CM87" s="535"/>
      <c r="CN87" s="535"/>
      <c r="CO87" s="535"/>
      <c r="CP87" s="535"/>
      <c r="CQ87" s="535"/>
      <c r="CR87" s="535"/>
      <c r="CS87" s="535"/>
      <c r="CT87" s="535"/>
      <c r="CU87" s="535"/>
      <c r="CV87" s="535"/>
      <c r="CW87" s="535"/>
      <c r="CX87" s="535"/>
      <c r="CY87" s="535"/>
      <c r="CZ87" s="535"/>
      <c r="DA87" s="535"/>
      <c r="DB87" s="535"/>
      <c r="DC87" s="535"/>
      <c r="DD87" s="535"/>
      <c r="DE87" s="535"/>
      <c r="DF87" s="535"/>
      <c r="DG87" s="535"/>
      <c r="DH87" s="535"/>
      <c r="DI87" s="535"/>
      <c r="DJ87" s="535"/>
      <c r="DK87" s="535"/>
      <c r="DL87" s="535"/>
      <c r="DM87" s="535"/>
      <c r="DN87" s="535"/>
      <c r="DO87" s="535"/>
      <c r="DP87" s="535"/>
      <c r="DQ87" s="535"/>
      <c r="DR87" s="535"/>
      <c r="DS87" s="535"/>
      <c r="DT87" s="535"/>
      <c r="DU87" s="535"/>
      <c r="DV87" s="535"/>
      <c r="DW87" s="535"/>
      <c r="DX87" s="535"/>
      <c r="DY87" s="564"/>
      <c r="DZ87" s="564"/>
    </row>
    <row r="88" spans="1:130" s="299" customFormat="1" x14ac:dyDescent="0.2">
      <c r="A88" s="354">
        <v>1</v>
      </c>
      <c r="B88" s="230"/>
      <c r="C88" s="370" t="str">
        <f t="shared" ca="1" si="13"/>
        <v>Deploy / distribute / pilot /provide training for vaccination records system</v>
      </c>
      <c r="D88" s="2">
        <v>1</v>
      </c>
      <c r="F88" s="2"/>
      <c r="G88" s="32"/>
      <c r="H88" s="401"/>
      <c r="I88" s="300" t="e">
        <f t="shared" si="14"/>
        <v>#N/A</v>
      </c>
      <c r="J88" s="300" t="e">
        <f t="shared" si="15"/>
        <v>#N/A</v>
      </c>
      <c r="K88" s="152"/>
      <c r="L88" s="299" t="s">
        <v>3870</v>
      </c>
      <c r="O88" s="574"/>
      <c r="P88" s="587"/>
      <c r="Q88" s="403"/>
      <c r="R88" s="403"/>
      <c r="S88" s="403"/>
      <c r="T88" s="403" t="s">
        <v>3869</v>
      </c>
      <c r="U88" s="403"/>
      <c r="V88" s="403"/>
      <c r="W88" s="403"/>
      <c r="X88" s="403"/>
      <c r="Y88" s="403"/>
      <c r="Z88" s="403"/>
      <c r="AA88" s="403"/>
      <c r="AB88" s="403"/>
      <c r="AC88" s="403"/>
      <c r="AD88" s="403"/>
      <c r="AE88" s="403"/>
      <c r="AF88" s="403"/>
      <c r="AG88" s="403"/>
      <c r="AH88" s="403"/>
      <c r="AI88" s="403"/>
      <c r="AJ88" s="403" t="s">
        <v>8978</v>
      </c>
      <c r="AK88" s="403"/>
      <c r="AL88" s="403"/>
      <c r="AM88" s="403"/>
      <c r="AN88" s="403"/>
      <c r="AO88" s="403"/>
      <c r="AP88" s="403"/>
      <c r="AQ88" s="403"/>
      <c r="AR88" s="403"/>
      <c r="AS88" s="403"/>
      <c r="AT88" s="403"/>
      <c r="AU88" s="403"/>
      <c r="AV88" s="403"/>
      <c r="AW88" s="403"/>
      <c r="AX88" s="403"/>
      <c r="AY88" s="403"/>
      <c r="AZ88" s="403" t="s">
        <v>8979</v>
      </c>
      <c r="BA88" s="403"/>
      <c r="BB88" s="403"/>
      <c r="BC88" s="403"/>
      <c r="BD88" s="403"/>
      <c r="BE88" s="403"/>
      <c r="BF88" s="403"/>
      <c r="BG88" s="403"/>
      <c r="BH88" s="403"/>
      <c r="BI88" s="403"/>
      <c r="BJ88" s="403"/>
      <c r="BK88" s="403"/>
      <c r="BL88" s="403"/>
      <c r="BM88" s="403"/>
      <c r="BN88" s="403"/>
      <c r="BO88" s="403"/>
      <c r="BP88" s="403" t="s">
        <v>8980</v>
      </c>
      <c r="BQ88" s="403"/>
      <c r="BR88" s="403"/>
      <c r="BS88" s="403"/>
      <c r="BT88" s="403"/>
      <c r="BU88" s="403"/>
      <c r="BV88" s="403"/>
      <c r="BW88" s="403"/>
      <c r="BX88" s="403"/>
      <c r="BY88" s="403"/>
      <c r="BZ88" s="403"/>
      <c r="CA88" s="403"/>
      <c r="CB88" s="403"/>
      <c r="CC88" s="403"/>
      <c r="CD88" s="403"/>
      <c r="CE88" s="403"/>
      <c r="CF88" s="403" t="s">
        <v>8981</v>
      </c>
      <c r="CG88" s="403"/>
      <c r="CH88" s="403"/>
      <c r="CI88" s="403"/>
      <c r="CJ88" s="403"/>
      <c r="CK88" s="403"/>
      <c r="CL88" s="403"/>
      <c r="CM88" s="403"/>
      <c r="CN88" s="403"/>
      <c r="CO88" s="403"/>
      <c r="CP88" s="403"/>
      <c r="CQ88" s="403"/>
      <c r="CR88" s="403"/>
      <c r="CS88" s="403"/>
      <c r="CT88" s="403"/>
      <c r="CU88" s="403"/>
      <c r="CV88" s="403" t="s">
        <v>8982</v>
      </c>
      <c r="CW88" s="403"/>
      <c r="CX88" s="403"/>
      <c r="CY88" s="403"/>
      <c r="CZ88" s="403"/>
      <c r="DA88" s="403"/>
      <c r="DB88" s="403"/>
      <c r="DC88" s="403"/>
      <c r="DD88" s="403"/>
      <c r="DE88" s="403"/>
      <c r="DF88" s="403"/>
      <c r="DG88" s="403"/>
      <c r="DH88" s="403"/>
      <c r="DI88" s="403"/>
      <c r="DJ88" s="403"/>
      <c r="DK88" s="403"/>
      <c r="DL88" s="403" t="s">
        <v>8983</v>
      </c>
      <c r="DM88" s="403"/>
      <c r="DN88" s="403"/>
      <c r="DO88" s="403"/>
      <c r="DP88" s="403"/>
      <c r="DQ88" s="403"/>
      <c r="DR88" s="403"/>
      <c r="DS88" s="403"/>
      <c r="DT88" s="403"/>
      <c r="DU88" s="403"/>
      <c r="DV88" s="403"/>
      <c r="DW88" s="403"/>
      <c r="DX88" s="403"/>
      <c r="DY88" s="564"/>
      <c r="DZ88" s="564"/>
    </row>
    <row r="89" spans="1:130" s="536" customFormat="1" x14ac:dyDescent="0.2">
      <c r="C89" s="159" t="str">
        <f t="shared" ca="1" si="13"/>
        <v>Other Operational Expenditure (6.2)</v>
      </c>
      <c r="O89" s="574"/>
      <c r="P89" s="574"/>
      <c r="T89" s="564" t="s">
        <v>4587</v>
      </c>
      <c r="U89" s="564"/>
      <c r="V89" s="564"/>
      <c r="W89" s="564"/>
      <c r="X89" s="564"/>
      <c r="Y89" s="564"/>
      <c r="Z89" s="564"/>
      <c r="AA89" s="564"/>
      <c r="AB89" s="564"/>
      <c r="AC89" s="564"/>
      <c r="AD89" s="564"/>
      <c r="AE89" s="564"/>
      <c r="AF89" s="564"/>
      <c r="AG89" s="564"/>
      <c r="AH89" s="564"/>
      <c r="AI89" s="564"/>
      <c r="AJ89" s="564" t="s">
        <v>13660</v>
      </c>
      <c r="AK89" s="564"/>
      <c r="AL89" s="564"/>
      <c r="AM89" s="564"/>
      <c r="AN89" s="564"/>
      <c r="AO89" s="564"/>
      <c r="AP89" s="564"/>
      <c r="AQ89" s="564"/>
      <c r="AR89" s="564"/>
      <c r="AS89" s="564"/>
      <c r="AT89" s="564"/>
      <c r="AU89" s="564"/>
      <c r="AV89" s="564"/>
      <c r="AW89" s="564"/>
      <c r="AX89" s="564"/>
      <c r="AY89" s="564"/>
      <c r="AZ89" s="564" t="s">
        <v>13661</v>
      </c>
      <c r="BA89" s="564"/>
      <c r="BB89" s="564"/>
      <c r="BC89" s="564"/>
      <c r="BD89" s="564"/>
      <c r="BE89" s="564"/>
      <c r="BF89" s="564"/>
      <c r="BG89" s="564"/>
      <c r="BH89" s="564"/>
      <c r="BI89" s="564"/>
      <c r="BJ89" s="564"/>
      <c r="BK89" s="564"/>
      <c r="BL89" s="564"/>
      <c r="BM89" s="564"/>
      <c r="BN89" s="564"/>
      <c r="BO89" s="564"/>
      <c r="BP89" s="564" t="s">
        <v>13662</v>
      </c>
      <c r="BQ89" s="564"/>
      <c r="BR89" s="564"/>
      <c r="BS89" s="564"/>
      <c r="BT89" s="564"/>
      <c r="BU89" s="564"/>
      <c r="BV89" s="564"/>
      <c r="BW89" s="564"/>
      <c r="BX89" s="564"/>
      <c r="BY89" s="564"/>
      <c r="BZ89" s="564"/>
      <c r="CA89" s="564"/>
      <c r="CB89" s="564"/>
      <c r="CC89" s="564"/>
      <c r="CD89" s="564"/>
      <c r="CE89" s="564"/>
      <c r="CF89" s="564" t="s">
        <v>13663</v>
      </c>
      <c r="CG89" s="564"/>
      <c r="CH89" s="564"/>
      <c r="CI89" s="564"/>
      <c r="CJ89" s="564"/>
      <c r="CK89" s="564"/>
      <c r="CL89" s="564"/>
      <c r="CM89" s="564"/>
      <c r="CN89" s="564"/>
      <c r="CO89" s="564"/>
      <c r="CP89" s="564"/>
      <c r="CQ89" s="564"/>
      <c r="CR89" s="564"/>
      <c r="CS89" s="564"/>
      <c r="CT89" s="564"/>
      <c r="CU89" s="564"/>
      <c r="CV89" s="564" t="s">
        <v>13664</v>
      </c>
      <c r="CW89" s="564"/>
      <c r="CX89" s="564"/>
      <c r="CY89" s="564"/>
      <c r="CZ89" s="564"/>
      <c r="DA89" s="564"/>
      <c r="DB89" s="564"/>
      <c r="DC89" s="564"/>
      <c r="DD89" s="564"/>
      <c r="DE89" s="564"/>
      <c r="DF89" s="564"/>
      <c r="DG89" s="564"/>
      <c r="DH89" s="564"/>
      <c r="DI89" s="564"/>
      <c r="DJ89" s="564"/>
      <c r="DK89" s="564"/>
      <c r="DL89" s="564" t="s">
        <v>13665</v>
      </c>
      <c r="DY89" s="564"/>
      <c r="DZ89" s="564"/>
    </row>
    <row r="90" spans="1:130" s="194" customFormat="1" x14ac:dyDescent="0.2">
      <c r="A90" s="350">
        <v>2</v>
      </c>
      <c r="B90" s="230"/>
      <c r="C90" s="374" t="s">
        <v>2974</v>
      </c>
      <c r="D90" s="35">
        <v>1</v>
      </c>
      <c r="E90" s="299"/>
      <c r="F90" s="2"/>
      <c r="G90" s="32"/>
      <c r="H90" s="401"/>
      <c r="I90" s="300" t="e">
        <f t="shared" si="14"/>
        <v>#N/A</v>
      </c>
      <c r="J90" s="300" t="e">
        <f t="shared" si="15"/>
        <v>#N/A</v>
      </c>
      <c r="K90" s="152"/>
      <c r="L90" s="299"/>
      <c r="M90" s="299"/>
      <c r="N90" s="299"/>
      <c r="O90" s="574"/>
      <c r="P90" s="587"/>
      <c r="Q90" s="403"/>
      <c r="R90" s="403"/>
      <c r="S90" s="403"/>
      <c r="T90" s="403" t="s">
        <v>2974</v>
      </c>
      <c r="U90" s="403"/>
      <c r="V90" s="403"/>
      <c r="W90" s="403"/>
      <c r="X90" s="403"/>
      <c r="Y90" s="403"/>
      <c r="Z90" s="403"/>
      <c r="AA90" s="403"/>
      <c r="AB90" s="403"/>
      <c r="AC90" s="403"/>
      <c r="AD90" s="403"/>
      <c r="AE90" s="403"/>
      <c r="AF90" s="403"/>
      <c r="AG90" s="403"/>
      <c r="AH90" s="403"/>
      <c r="AI90" s="403"/>
      <c r="AJ90" s="403" t="s">
        <v>8753</v>
      </c>
      <c r="AK90" s="403"/>
      <c r="AL90" s="403"/>
      <c r="AM90" s="403"/>
      <c r="AN90" s="403"/>
      <c r="AO90" s="403"/>
      <c r="AP90" s="403"/>
      <c r="AQ90" s="403"/>
      <c r="AR90" s="403"/>
      <c r="AS90" s="403"/>
      <c r="AT90" s="403"/>
      <c r="AU90" s="403"/>
      <c r="AV90" s="403"/>
      <c r="AW90" s="403"/>
      <c r="AX90" s="403"/>
      <c r="AY90" s="403"/>
      <c r="AZ90" s="403" t="s">
        <v>8754</v>
      </c>
      <c r="BA90" s="403"/>
      <c r="BB90" s="403"/>
      <c r="BC90" s="403"/>
      <c r="BD90" s="403"/>
      <c r="BE90" s="403"/>
      <c r="BF90" s="403"/>
      <c r="BG90" s="403"/>
      <c r="BH90" s="403"/>
      <c r="BI90" s="403"/>
      <c r="BJ90" s="403"/>
      <c r="BK90" s="403"/>
      <c r="BL90" s="403"/>
      <c r="BM90" s="403"/>
      <c r="BN90" s="403"/>
      <c r="BO90" s="403"/>
      <c r="BP90" s="403" t="s">
        <v>8755</v>
      </c>
      <c r="BQ90" s="403"/>
      <c r="BR90" s="403"/>
      <c r="BS90" s="403"/>
      <c r="BT90" s="403"/>
      <c r="BU90" s="403"/>
      <c r="BV90" s="403"/>
      <c r="BW90" s="403"/>
      <c r="BX90" s="403"/>
      <c r="BY90" s="403"/>
      <c r="BZ90" s="403"/>
      <c r="CA90" s="403"/>
      <c r="CB90" s="403"/>
      <c r="CC90" s="403"/>
      <c r="CD90" s="403"/>
      <c r="CE90" s="403"/>
      <c r="CF90" s="403" t="s">
        <v>8756</v>
      </c>
      <c r="CG90" s="403"/>
      <c r="CH90" s="403"/>
      <c r="CI90" s="403"/>
      <c r="CJ90" s="403"/>
      <c r="CK90" s="403"/>
      <c r="CL90" s="403"/>
      <c r="CM90" s="403"/>
      <c r="CN90" s="403"/>
      <c r="CO90" s="403"/>
      <c r="CP90" s="403"/>
      <c r="CQ90" s="403"/>
      <c r="CR90" s="403"/>
      <c r="CS90" s="403"/>
      <c r="CT90" s="403"/>
      <c r="CU90" s="403"/>
      <c r="CV90" s="403" t="s">
        <v>8757</v>
      </c>
      <c r="CW90" s="403"/>
      <c r="CX90" s="403"/>
      <c r="CY90" s="403"/>
      <c r="CZ90" s="403"/>
      <c r="DA90" s="403"/>
      <c r="DB90" s="403"/>
      <c r="DC90" s="403"/>
      <c r="DD90" s="403"/>
      <c r="DE90" s="403"/>
      <c r="DF90" s="403"/>
      <c r="DG90" s="403"/>
      <c r="DH90" s="403"/>
      <c r="DI90" s="403"/>
      <c r="DJ90" s="403"/>
      <c r="DK90" s="403"/>
      <c r="DL90" s="403" t="s">
        <v>8758</v>
      </c>
      <c r="DM90" s="403"/>
      <c r="DN90" s="403"/>
      <c r="DO90" s="403"/>
      <c r="DP90" s="403"/>
      <c r="DQ90" s="403"/>
      <c r="DR90" s="403"/>
      <c r="DS90" s="403"/>
      <c r="DT90" s="403"/>
      <c r="DU90" s="403"/>
      <c r="DV90" s="403"/>
      <c r="DW90" s="403"/>
      <c r="DX90" s="403"/>
      <c r="DY90" s="564"/>
      <c r="DZ90" s="564"/>
    </row>
    <row r="91" spans="1:130" s="194" customFormat="1" x14ac:dyDescent="0.2">
      <c r="A91" s="350">
        <v>2</v>
      </c>
      <c r="B91" s="230"/>
      <c r="C91" s="374"/>
      <c r="D91" s="35">
        <v>1</v>
      </c>
      <c r="E91" s="299"/>
      <c r="F91" s="2"/>
      <c r="G91" s="32"/>
      <c r="H91" s="401"/>
      <c r="I91" s="300" t="e">
        <f t="shared" si="14"/>
        <v>#N/A</v>
      </c>
      <c r="J91" s="300" t="e">
        <f t="shared" si="15"/>
        <v>#N/A</v>
      </c>
      <c r="K91" s="152"/>
      <c r="L91" s="299"/>
      <c r="M91" s="299"/>
      <c r="N91" s="299"/>
      <c r="O91" s="574"/>
      <c r="P91" s="587"/>
      <c r="Q91" s="403"/>
      <c r="R91" s="403"/>
      <c r="S91" s="403"/>
      <c r="T91" s="403"/>
      <c r="U91" s="403"/>
      <c r="V91" s="403"/>
      <c r="W91" s="403"/>
      <c r="X91" s="403"/>
      <c r="Y91" s="403"/>
      <c r="Z91" s="403"/>
      <c r="AA91" s="403"/>
      <c r="AB91" s="403"/>
      <c r="AC91" s="403"/>
      <c r="AD91" s="403"/>
      <c r="AE91" s="403"/>
      <c r="AF91" s="403"/>
      <c r="AG91" s="403"/>
      <c r="AH91" s="403"/>
      <c r="AI91" s="403"/>
      <c r="AJ91" s="403"/>
      <c r="AK91" s="403"/>
      <c r="AL91" s="403"/>
      <c r="AM91" s="403"/>
      <c r="AN91" s="403"/>
      <c r="AO91" s="403"/>
      <c r="AP91" s="403"/>
      <c r="AQ91" s="403"/>
      <c r="AR91" s="403"/>
      <c r="AS91" s="403"/>
      <c r="AT91" s="403"/>
      <c r="AU91" s="403"/>
      <c r="AV91" s="403"/>
      <c r="AW91" s="403"/>
      <c r="AX91" s="403"/>
      <c r="AY91" s="403"/>
      <c r="AZ91" s="403"/>
      <c r="BA91" s="403"/>
      <c r="BB91" s="403"/>
      <c r="BC91" s="403"/>
      <c r="BD91" s="403"/>
      <c r="BE91" s="403"/>
      <c r="BF91" s="403"/>
      <c r="BG91" s="403"/>
      <c r="BH91" s="403"/>
      <c r="BI91" s="403"/>
      <c r="BJ91" s="403"/>
      <c r="BK91" s="403"/>
      <c r="BL91" s="403"/>
      <c r="BM91" s="403"/>
      <c r="BN91" s="403"/>
      <c r="BO91" s="403"/>
      <c r="BP91" s="403"/>
      <c r="BQ91" s="403"/>
      <c r="BR91" s="403"/>
      <c r="BS91" s="403"/>
      <c r="BT91" s="403"/>
      <c r="BU91" s="403"/>
      <c r="BV91" s="403"/>
      <c r="BW91" s="403"/>
      <c r="BX91" s="403"/>
      <c r="BY91" s="403"/>
      <c r="BZ91" s="403"/>
      <c r="CA91" s="403"/>
      <c r="CB91" s="403"/>
      <c r="CC91" s="403"/>
      <c r="CD91" s="403"/>
      <c r="CE91" s="403"/>
      <c r="CF91" s="403"/>
      <c r="CG91" s="403"/>
      <c r="CH91" s="403"/>
      <c r="CI91" s="403"/>
      <c r="CJ91" s="403"/>
      <c r="CK91" s="403"/>
      <c r="CL91" s="403"/>
      <c r="CM91" s="403"/>
      <c r="CN91" s="403"/>
      <c r="CO91" s="403"/>
      <c r="CP91" s="403"/>
      <c r="CQ91" s="403"/>
      <c r="CR91" s="403"/>
      <c r="CS91" s="403"/>
      <c r="CT91" s="403"/>
      <c r="CU91" s="403"/>
      <c r="CV91" s="403"/>
      <c r="CW91" s="403"/>
      <c r="CX91" s="403"/>
      <c r="CY91" s="403"/>
      <c r="CZ91" s="403"/>
      <c r="DA91" s="403"/>
      <c r="DB91" s="403"/>
      <c r="DC91" s="403"/>
      <c r="DD91" s="403"/>
      <c r="DE91" s="403"/>
      <c r="DF91" s="403"/>
      <c r="DG91" s="403"/>
      <c r="DH91" s="403"/>
      <c r="DI91" s="403"/>
      <c r="DJ91" s="403"/>
      <c r="DK91" s="403"/>
      <c r="DL91" s="403"/>
      <c r="DM91" s="403"/>
      <c r="DN91" s="403"/>
      <c r="DO91" s="403"/>
      <c r="DP91" s="403"/>
      <c r="DQ91" s="403"/>
      <c r="DR91" s="403"/>
      <c r="DS91" s="403"/>
      <c r="DT91" s="403"/>
      <c r="DU91" s="403"/>
      <c r="DV91" s="403"/>
      <c r="DW91" s="403"/>
      <c r="DX91" s="403"/>
      <c r="DY91" s="564"/>
      <c r="DZ91" s="564"/>
    </row>
    <row r="92" spans="1:130" s="194" customFormat="1" x14ac:dyDescent="0.2">
      <c r="A92" s="350">
        <v>2</v>
      </c>
      <c r="B92" s="230"/>
      <c r="C92" s="374"/>
      <c r="D92" s="35">
        <v>1</v>
      </c>
      <c r="E92" s="299"/>
      <c r="F92" s="2"/>
      <c r="G92" s="32"/>
      <c r="H92" s="401"/>
      <c r="I92" s="300" t="e">
        <f t="shared" si="14"/>
        <v>#N/A</v>
      </c>
      <c r="J92" s="300" t="e">
        <f t="shared" si="15"/>
        <v>#N/A</v>
      </c>
      <c r="K92" s="152"/>
      <c r="L92" s="299"/>
      <c r="M92" s="299"/>
      <c r="N92" s="299"/>
      <c r="O92" s="574"/>
      <c r="P92" s="587"/>
      <c r="Q92" s="403"/>
      <c r="R92" s="403"/>
      <c r="S92" s="403"/>
      <c r="T92" s="403"/>
      <c r="U92" s="403"/>
      <c r="V92" s="403"/>
      <c r="W92" s="403"/>
      <c r="X92" s="403"/>
      <c r="Y92" s="403"/>
      <c r="Z92" s="403"/>
      <c r="AA92" s="403"/>
      <c r="AB92" s="403"/>
      <c r="AC92" s="403"/>
      <c r="AD92" s="403"/>
      <c r="AE92" s="403"/>
      <c r="AF92" s="403"/>
      <c r="AG92" s="403"/>
      <c r="AH92" s="403"/>
      <c r="AI92" s="403"/>
      <c r="AJ92" s="403"/>
      <c r="AK92" s="403"/>
      <c r="AL92" s="403"/>
      <c r="AM92" s="403"/>
      <c r="AN92" s="403"/>
      <c r="AO92" s="403"/>
      <c r="AP92" s="403"/>
      <c r="AQ92" s="403"/>
      <c r="AR92" s="403"/>
      <c r="AS92" s="403"/>
      <c r="AT92" s="403"/>
      <c r="AU92" s="403"/>
      <c r="AV92" s="403"/>
      <c r="AW92" s="403"/>
      <c r="AX92" s="403"/>
      <c r="AY92" s="403"/>
      <c r="AZ92" s="403"/>
      <c r="BA92" s="403"/>
      <c r="BB92" s="403"/>
      <c r="BC92" s="403"/>
      <c r="BD92" s="403"/>
      <c r="BE92" s="403"/>
      <c r="BF92" s="403"/>
      <c r="BG92" s="403"/>
      <c r="BH92" s="403"/>
      <c r="BI92" s="403"/>
      <c r="BJ92" s="403"/>
      <c r="BK92" s="403"/>
      <c r="BL92" s="403"/>
      <c r="BM92" s="403"/>
      <c r="BN92" s="403"/>
      <c r="BO92" s="403"/>
      <c r="BP92" s="403"/>
      <c r="BQ92" s="403"/>
      <c r="BR92" s="403"/>
      <c r="BS92" s="403"/>
      <c r="BT92" s="403"/>
      <c r="BU92" s="403"/>
      <c r="BV92" s="403"/>
      <c r="BW92" s="403"/>
      <c r="BX92" s="403"/>
      <c r="BY92" s="403"/>
      <c r="BZ92" s="403"/>
      <c r="CA92" s="403"/>
      <c r="CB92" s="403"/>
      <c r="CC92" s="403"/>
      <c r="CD92" s="403"/>
      <c r="CE92" s="403"/>
      <c r="CF92" s="403"/>
      <c r="CG92" s="403"/>
      <c r="CH92" s="403"/>
      <c r="CI92" s="403"/>
      <c r="CJ92" s="403"/>
      <c r="CK92" s="403"/>
      <c r="CL92" s="403"/>
      <c r="CM92" s="403"/>
      <c r="CN92" s="403"/>
      <c r="CO92" s="403"/>
      <c r="CP92" s="403"/>
      <c r="CQ92" s="403"/>
      <c r="CR92" s="403"/>
      <c r="CS92" s="403"/>
      <c r="CT92" s="403"/>
      <c r="CU92" s="403"/>
      <c r="CV92" s="403"/>
      <c r="CW92" s="403"/>
      <c r="CX92" s="403"/>
      <c r="CY92" s="403"/>
      <c r="CZ92" s="403"/>
      <c r="DA92" s="403"/>
      <c r="DB92" s="403"/>
      <c r="DC92" s="403"/>
      <c r="DD92" s="403"/>
      <c r="DE92" s="403"/>
      <c r="DF92" s="403"/>
      <c r="DG92" s="403"/>
      <c r="DH92" s="403"/>
      <c r="DI92" s="403"/>
      <c r="DJ92" s="403"/>
      <c r="DK92" s="403"/>
      <c r="DL92" s="403"/>
      <c r="DM92" s="403"/>
      <c r="DN92" s="403"/>
      <c r="DO92" s="403"/>
      <c r="DP92" s="403"/>
      <c r="DQ92" s="403"/>
      <c r="DR92" s="403"/>
      <c r="DS92" s="403"/>
      <c r="DT92" s="403"/>
      <c r="DU92" s="403"/>
      <c r="DV92" s="403"/>
      <c r="DW92" s="403"/>
      <c r="DX92" s="403"/>
      <c r="DY92" s="564"/>
      <c r="DZ92" s="564"/>
    </row>
    <row r="93" spans="1:130" s="299" customFormat="1" x14ac:dyDescent="0.2">
      <c r="O93" s="574"/>
      <c r="P93" s="574"/>
      <c r="Q93" s="403"/>
      <c r="R93" s="403"/>
      <c r="S93" s="403"/>
      <c r="T93" s="403"/>
      <c r="U93" s="403"/>
      <c r="V93" s="403"/>
      <c r="W93" s="403"/>
      <c r="X93" s="403"/>
      <c r="Y93" s="403"/>
      <c r="Z93" s="403"/>
      <c r="AA93" s="403"/>
      <c r="AB93" s="403"/>
      <c r="AC93" s="403"/>
      <c r="AD93" s="403"/>
      <c r="AE93" s="403"/>
      <c r="AF93" s="403"/>
      <c r="AG93" s="403"/>
      <c r="AH93" s="403"/>
      <c r="AI93" s="403"/>
      <c r="AJ93" s="403"/>
      <c r="AK93" s="403"/>
      <c r="AL93" s="403"/>
      <c r="AM93" s="403"/>
      <c r="AN93" s="403"/>
      <c r="AO93" s="403"/>
      <c r="AP93" s="403"/>
      <c r="AQ93" s="403"/>
      <c r="AR93" s="403"/>
      <c r="AS93" s="403"/>
      <c r="AT93" s="403"/>
      <c r="AU93" s="403"/>
      <c r="AV93" s="403"/>
      <c r="AW93" s="403"/>
      <c r="AX93" s="403"/>
      <c r="AY93" s="403"/>
      <c r="AZ93" s="403"/>
      <c r="BA93" s="403"/>
      <c r="BB93" s="403"/>
      <c r="BC93" s="403"/>
      <c r="BD93" s="403"/>
      <c r="BE93" s="403"/>
      <c r="BF93" s="403"/>
      <c r="BG93" s="403"/>
      <c r="BH93" s="403"/>
      <c r="BI93" s="403"/>
      <c r="BJ93" s="403"/>
      <c r="BK93" s="403"/>
      <c r="BL93" s="403"/>
      <c r="BM93" s="403"/>
      <c r="BN93" s="403"/>
      <c r="BO93" s="403"/>
      <c r="BP93" s="403"/>
      <c r="BQ93" s="403"/>
      <c r="BR93" s="403"/>
      <c r="BS93" s="403"/>
      <c r="BT93" s="403"/>
      <c r="BU93" s="403"/>
      <c r="BV93" s="403"/>
      <c r="BW93" s="403"/>
      <c r="BX93" s="403"/>
      <c r="BY93" s="403"/>
      <c r="BZ93" s="403"/>
      <c r="CA93" s="403"/>
      <c r="CB93" s="403"/>
      <c r="CC93" s="403"/>
      <c r="CD93" s="403"/>
      <c r="CE93" s="403"/>
      <c r="CF93" s="403"/>
      <c r="CG93" s="403"/>
      <c r="CH93" s="403"/>
      <c r="CI93" s="403"/>
      <c r="CJ93" s="403"/>
      <c r="CK93" s="403"/>
      <c r="CL93" s="403"/>
      <c r="CM93" s="403"/>
      <c r="CN93" s="403"/>
      <c r="CO93" s="403"/>
      <c r="CP93" s="403"/>
      <c r="CQ93" s="403"/>
      <c r="CR93" s="403"/>
      <c r="CS93" s="403"/>
      <c r="CT93" s="403"/>
      <c r="CU93" s="403"/>
      <c r="CV93" s="403"/>
      <c r="CW93" s="403"/>
      <c r="CX93" s="403"/>
      <c r="CY93" s="403"/>
      <c r="CZ93" s="403"/>
      <c r="DA93" s="403"/>
      <c r="DB93" s="403"/>
      <c r="DC93" s="403"/>
      <c r="DD93" s="403"/>
      <c r="DE93" s="403"/>
      <c r="DF93" s="403"/>
      <c r="DG93" s="403"/>
      <c r="DH93" s="403"/>
      <c r="DI93" s="403"/>
      <c r="DJ93" s="403"/>
      <c r="DK93" s="403"/>
      <c r="DL93" s="403"/>
      <c r="DM93" s="403"/>
      <c r="DN93" s="403"/>
      <c r="DO93" s="403"/>
      <c r="DP93" s="403"/>
      <c r="DQ93" s="403"/>
      <c r="DR93" s="403"/>
      <c r="DS93" s="403"/>
      <c r="DT93" s="403"/>
      <c r="DU93" s="403"/>
      <c r="DV93" s="403"/>
      <c r="DW93" s="403"/>
      <c r="DX93" s="403"/>
      <c r="DY93" s="564"/>
      <c r="DZ93" s="564"/>
    </row>
    <row r="94" spans="1:130" s="299" customFormat="1" x14ac:dyDescent="0.2">
      <c r="A94" s="354">
        <v>1</v>
      </c>
      <c r="B94" s="230"/>
      <c r="C94" s="5" t="str">
        <f ca="1">IF(OFFSET(T94,0,Lang_Order*Lang__A4)="","",OFFSET(T94,0,Lang_Order*Lang__A4))</f>
        <v>Vaccination coverage survey</v>
      </c>
      <c r="D94" s="2">
        <v>1</v>
      </c>
      <c r="F94" s="2"/>
      <c r="G94" s="32"/>
      <c r="H94" s="401"/>
      <c r="I94" s="300" t="e">
        <f>IF(ISBLANK(H94),G94/USD2LCU,H94)</f>
        <v>#N/A</v>
      </c>
      <c r="J94" s="300" t="e">
        <f>D94*I94</f>
        <v>#N/A</v>
      </c>
      <c r="K94" s="152"/>
      <c r="L94" s="299" t="s">
        <v>3916</v>
      </c>
      <c r="O94" s="574"/>
      <c r="P94" s="587"/>
      <c r="Q94" s="403"/>
      <c r="R94" s="403"/>
      <c r="S94" s="403"/>
      <c r="T94" s="403" t="s">
        <v>3922</v>
      </c>
      <c r="U94" s="403"/>
      <c r="V94" s="403"/>
      <c r="W94" s="403"/>
      <c r="X94" s="403"/>
      <c r="Y94" s="403"/>
      <c r="Z94" s="403"/>
      <c r="AA94" s="403"/>
      <c r="AB94" s="403"/>
      <c r="AC94" s="403"/>
      <c r="AD94" s="403"/>
      <c r="AE94" s="403"/>
      <c r="AF94" s="403"/>
      <c r="AG94" s="403"/>
      <c r="AH94" s="403"/>
      <c r="AI94" s="403"/>
      <c r="AJ94" s="403" t="s">
        <v>8984</v>
      </c>
      <c r="AK94" s="403"/>
      <c r="AL94" s="403"/>
      <c r="AM94" s="403"/>
      <c r="AN94" s="403"/>
      <c r="AO94" s="403"/>
      <c r="AP94" s="403"/>
      <c r="AQ94" s="403"/>
      <c r="AR94" s="403"/>
      <c r="AS94" s="403"/>
      <c r="AT94" s="403"/>
      <c r="AU94" s="403"/>
      <c r="AV94" s="403"/>
      <c r="AW94" s="403"/>
      <c r="AX94" s="403"/>
      <c r="AY94" s="403"/>
      <c r="AZ94" s="403" t="s">
        <v>8985</v>
      </c>
      <c r="BA94" s="403"/>
      <c r="BB94" s="403"/>
      <c r="BC94" s="403"/>
      <c r="BD94" s="403"/>
      <c r="BE94" s="403"/>
      <c r="BF94" s="403"/>
      <c r="BG94" s="403"/>
      <c r="BH94" s="403"/>
      <c r="BI94" s="403"/>
      <c r="BJ94" s="403"/>
      <c r="BK94" s="403"/>
      <c r="BL94" s="403"/>
      <c r="BM94" s="403"/>
      <c r="BN94" s="403"/>
      <c r="BO94" s="403"/>
      <c r="BP94" s="403" t="s">
        <v>8986</v>
      </c>
      <c r="BQ94" s="403"/>
      <c r="BR94" s="403"/>
      <c r="BS94" s="403"/>
      <c r="BT94" s="403"/>
      <c r="BU94" s="403"/>
      <c r="BV94" s="403"/>
      <c r="BW94" s="403"/>
      <c r="BX94" s="403"/>
      <c r="BY94" s="403"/>
      <c r="BZ94" s="403"/>
      <c r="CA94" s="403"/>
      <c r="CB94" s="403"/>
      <c r="CC94" s="403"/>
      <c r="CD94" s="403"/>
      <c r="CE94" s="403"/>
      <c r="CF94" s="403" t="s">
        <v>8987</v>
      </c>
      <c r="CG94" s="403"/>
      <c r="CH94" s="403"/>
      <c r="CI94" s="403"/>
      <c r="CJ94" s="403"/>
      <c r="CK94" s="403"/>
      <c r="CL94" s="403"/>
      <c r="CM94" s="403"/>
      <c r="CN94" s="403"/>
      <c r="CO94" s="403"/>
      <c r="CP94" s="403"/>
      <c r="CQ94" s="403"/>
      <c r="CR94" s="403"/>
      <c r="CS94" s="403"/>
      <c r="CT94" s="403"/>
      <c r="CU94" s="403"/>
      <c r="CV94" s="403" t="s">
        <v>8988</v>
      </c>
      <c r="CW94" s="403"/>
      <c r="CX94" s="403"/>
      <c r="CY94" s="403"/>
      <c r="CZ94" s="403"/>
      <c r="DA94" s="403"/>
      <c r="DB94" s="403"/>
      <c r="DC94" s="403"/>
      <c r="DD94" s="403"/>
      <c r="DE94" s="403"/>
      <c r="DF94" s="403"/>
      <c r="DG94" s="403"/>
      <c r="DH94" s="403"/>
      <c r="DI94" s="403"/>
      <c r="DJ94" s="403"/>
      <c r="DK94" s="403"/>
      <c r="DL94" s="403" t="s">
        <v>8989</v>
      </c>
      <c r="DM94" s="403"/>
      <c r="DN94" s="403"/>
      <c r="DO94" s="403"/>
      <c r="DP94" s="403"/>
      <c r="DQ94" s="403"/>
      <c r="DR94" s="403"/>
      <c r="DS94" s="403"/>
      <c r="DT94" s="403"/>
      <c r="DU94" s="403"/>
      <c r="DV94" s="403"/>
      <c r="DW94" s="403"/>
      <c r="DX94" s="403"/>
      <c r="DY94" s="564"/>
      <c r="DZ94" s="564"/>
    </row>
    <row r="95" spans="1:130" s="299" customFormat="1" x14ac:dyDescent="0.2">
      <c r="A95" s="354">
        <v>1</v>
      </c>
      <c r="B95" s="230"/>
      <c r="C95" s="5" t="str">
        <f ca="1">IF(OFFSET(T95,0,Lang_Order*Lang__A4)="","",OFFSET(T95,0,Lang_Order*Lang__A4))</f>
        <v xml:space="preserve">Post-introduction evaluation for COVID-19 vaccines </v>
      </c>
      <c r="D95" s="2">
        <v>1</v>
      </c>
      <c r="F95" s="2"/>
      <c r="G95" s="32"/>
      <c r="H95" s="401"/>
      <c r="I95" s="300" t="e">
        <f>IF(ISBLANK(H95),G95/USD2LCU,H95)</f>
        <v>#N/A</v>
      </c>
      <c r="J95" s="300" t="e">
        <f>D95*I95</f>
        <v>#N/A</v>
      </c>
      <c r="K95" s="152"/>
      <c r="L95" s="299" t="s">
        <v>3916</v>
      </c>
      <c r="O95" s="574"/>
      <c r="P95" s="587"/>
      <c r="Q95" s="403"/>
      <c r="R95" s="403"/>
      <c r="S95" s="403"/>
      <c r="T95" s="403" t="s">
        <v>3903</v>
      </c>
      <c r="U95" s="403"/>
      <c r="V95" s="403"/>
      <c r="W95" s="403"/>
      <c r="X95" s="403"/>
      <c r="Y95" s="403"/>
      <c r="Z95" s="403"/>
      <c r="AA95" s="403"/>
      <c r="AB95" s="403"/>
      <c r="AC95" s="403"/>
      <c r="AD95" s="403"/>
      <c r="AE95" s="403"/>
      <c r="AF95" s="403"/>
      <c r="AG95" s="403"/>
      <c r="AH95" s="403"/>
      <c r="AI95" s="403"/>
      <c r="AJ95" s="403" t="s">
        <v>8990</v>
      </c>
      <c r="AK95" s="403"/>
      <c r="AL95" s="403"/>
      <c r="AM95" s="403"/>
      <c r="AN95" s="403"/>
      <c r="AO95" s="403"/>
      <c r="AP95" s="403"/>
      <c r="AQ95" s="403"/>
      <c r="AR95" s="403"/>
      <c r="AS95" s="403"/>
      <c r="AT95" s="403"/>
      <c r="AU95" s="403"/>
      <c r="AV95" s="403"/>
      <c r="AW95" s="403"/>
      <c r="AX95" s="403"/>
      <c r="AY95" s="403"/>
      <c r="AZ95" s="403" t="s">
        <v>8991</v>
      </c>
      <c r="BA95" s="403"/>
      <c r="BB95" s="403"/>
      <c r="BC95" s="403"/>
      <c r="BD95" s="403"/>
      <c r="BE95" s="403"/>
      <c r="BF95" s="403"/>
      <c r="BG95" s="403"/>
      <c r="BH95" s="403"/>
      <c r="BI95" s="403"/>
      <c r="BJ95" s="403"/>
      <c r="BK95" s="403"/>
      <c r="BL95" s="403"/>
      <c r="BM95" s="403"/>
      <c r="BN95" s="403"/>
      <c r="BO95" s="403"/>
      <c r="BP95" s="403" t="s">
        <v>8992</v>
      </c>
      <c r="BQ95" s="403"/>
      <c r="BR95" s="403"/>
      <c r="BS95" s="403"/>
      <c r="BT95" s="403"/>
      <c r="BU95" s="403"/>
      <c r="BV95" s="403"/>
      <c r="BW95" s="403"/>
      <c r="BX95" s="403"/>
      <c r="BY95" s="403"/>
      <c r="BZ95" s="403"/>
      <c r="CA95" s="403"/>
      <c r="CB95" s="403"/>
      <c r="CC95" s="403"/>
      <c r="CD95" s="403"/>
      <c r="CE95" s="403"/>
      <c r="CF95" s="403" t="s">
        <v>8993</v>
      </c>
      <c r="CG95" s="403"/>
      <c r="CH95" s="403"/>
      <c r="CI95" s="403"/>
      <c r="CJ95" s="403"/>
      <c r="CK95" s="403"/>
      <c r="CL95" s="403"/>
      <c r="CM95" s="403"/>
      <c r="CN95" s="403"/>
      <c r="CO95" s="403"/>
      <c r="CP95" s="403"/>
      <c r="CQ95" s="403"/>
      <c r="CR95" s="403"/>
      <c r="CS95" s="403"/>
      <c r="CT95" s="403"/>
      <c r="CU95" s="403"/>
      <c r="CV95" s="403" t="s">
        <v>8994</v>
      </c>
      <c r="CW95" s="403"/>
      <c r="CX95" s="403"/>
      <c r="CY95" s="403"/>
      <c r="CZ95" s="403"/>
      <c r="DA95" s="403"/>
      <c r="DB95" s="403"/>
      <c r="DC95" s="403"/>
      <c r="DD95" s="403"/>
      <c r="DE95" s="403"/>
      <c r="DF95" s="403"/>
      <c r="DG95" s="403"/>
      <c r="DH95" s="403"/>
      <c r="DI95" s="403"/>
      <c r="DJ95" s="403"/>
      <c r="DK95" s="403"/>
      <c r="DL95" s="403" t="s">
        <v>8995</v>
      </c>
      <c r="DM95" s="403"/>
      <c r="DN95" s="403"/>
      <c r="DO95" s="403"/>
      <c r="DP95" s="403"/>
      <c r="DQ95" s="403"/>
      <c r="DR95" s="403"/>
      <c r="DS95" s="403"/>
      <c r="DT95" s="403"/>
      <c r="DU95" s="403"/>
      <c r="DV95" s="403"/>
      <c r="DW95" s="403"/>
      <c r="DX95" s="403"/>
      <c r="DY95" s="564"/>
      <c r="DZ95" s="564"/>
    </row>
    <row r="96" spans="1:130" s="299" customFormat="1" x14ac:dyDescent="0.2">
      <c r="A96" s="354">
        <v>1</v>
      </c>
      <c r="B96" s="230"/>
      <c r="C96" s="5" t="str">
        <f ca="1">IF(OFFSET(T96,0,Lang_Order*Lang__A4)="","",OFFSET(T96,0,Lang_Order*Lang__A4))</f>
        <v>Vaccine effectiveness and impact study</v>
      </c>
      <c r="D96" s="2">
        <v>1</v>
      </c>
      <c r="F96" s="2"/>
      <c r="G96" s="32"/>
      <c r="H96" s="401"/>
      <c r="I96" s="300" t="e">
        <f>IF(ISBLANK(H96),G96/USD2LCU,H96)</f>
        <v>#N/A</v>
      </c>
      <c r="J96" s="300" t="e">
        <f>D96*I96</f>
        <v>#N/A</v>
      </c>
      <c r="K96" s="152"/>
      <c r="L96" s="299" t="s">
        <v>3916</v>
      </c>
      <c r="O96" s="574"/>
      <c r="P96" s="587"/>
      <c r="Q96" s="403"/>
      <c r="R96" s="403"/>
      <c r="S96" s="403"/>
      <c r="T96" s="403" t="s">
        <v>3915</v>
      </c>
      <c r="U96" s="403"/>
      <c r="V96" s="403"/>
      <c r="W96" s="403"/>
      <c r="X96" s="403"/>
      <c r="Y96" s="403"/>
      <c r="Z96" s="403"/>
      <c r="AA96" s="403"/>
      <c r="AB96" s="403"/>
      <c r="AC96" s="403"/>
      <c r="AD96" s="403"/>
      <c r="AE96" s="403"/>
      <c r="AF96" s="403"/>
      <c r="AG96" s="403"/>
      <c r="AH96" s="403"/>
      <c r="AI96" s="403"/>
      <c r="AJ96" s="403" t="s">
        <v>8996</v>
      </c>
      <c r="AK96" s="403"/>
      <c r="AL96" s="403"/>
      <c r="AM96" s="403"/>
      <c r="AN96" s="403"/>
      <c r="AO96" s="403"/>
      <c r="AP96" s="403"/>
      <c r="AQ96" s="403"/>
      <c r="AR96" s="403"/>
      <c r="AS96" s="403"/>
      <c r="AT96" s="403"/>
      <c r="AU96" s="403"/>
      <c r="AV96" s="403"/>
      <c r="AW96" s="403"/>
      <c r="AX96" s="403"/>
      <c r="AY96" s="403"/>
      <c r="AZ96" s="403" t="s">
        <v>8997</v>
      </c>
      <c r="BA96" s="403"/>
      <c r="BB96" s="403"/>
      <c r="BC96" s="403"/>
      <c r="BD96" s="403"/>
      <c r="BE96" s="403"/>
      <c r="BF96" s="403"/>
      <c r="BG96" s="403"/>
      <c r="BH96" s="403"/>
      <c r="BI96" s="403"/>
      <c r="BJ96" s="403"/>
      <c r="BK96" s="403"/>
      <c r="BL96" s="403"/>
      <c r="BM96" s="403"/>
      <c r="BN96" s="403"/>
      <c r="BO96" s="403"/>
      <c r="BP96" s="403" t="s">
        <v>8998</v>
      </c>
      <c r="BQ96" s="403"/>
      <c r="BR96" s="403"/>
      <c r="BS96" s="403"/>
      <c r="BT96" s="403"/>
      <c r="BU96" s="403"/>
      <c r="BV96" s="403"/>
      <c r="BW96" s="403"/>
      <c r="BX96" s="403"/>
      <c r="BY96" s="403"/>
      <c r="BZ96" s="403"/>
      <c r="CA96" s="403"/>
      <c r="CB96" s="403"/>
      <c r="CC96" s="403"/>
      <c r="CD96" s="403"/>
      <c r="CE96" s="403"/>
      <c r="CF96" s="403" t="s">
        <v>8999</v>
      </c>
      <c r="CG96" s="403"/>
      <c r="CH96" s="403"/>
      <c r="CI96" s="403"/>
      <c r="CJ96" s="403"/>
      <c r="CK96" s="403"/>
      <c r="CL96" s="403"/>
      <c r="CM96" s="403"/>
      <c r="CN96" s="403"/>
      <c r="CO96" s="403"/>
      <c r="CP96" s="403"/>
      <c r="CQ96" s="403"/>
      <c r="CR96" s="403"/>
      <c r="CS96" s="403"/>
      <c r="CT96" s="403"/>
      <c r="CU96" s="403"/>
      <c r="CV96" s="403" t="s">
        <v>9000</v>
      </c>
      <c r="CW96" s="403"/>
      <c r="CX96" s="403"/>
      <c r="CY96" s="403"/>
      <c r="CZ96" s="403"/>
      <c r="DA96" s="403"/>
      <c r="DB96" s="403"/>
      <c r="DC96" s="403"/>
      <c r="DD96" s="403"/>
      <c r="DE96" s="403"/>
      <c r="DF96" s="403"/>
      <c r="DG96" s="403"/>
      <c r="DH96" s="403"/>
      <c r="DI96" s="403"/>
      <c r="DJ96" s="403"/>
      <c r="DK96" s="403"/>
      <c r="DL96" s="403" t="s">
        <v>9001</v>
      </c>
      <c r="DM96" s="403"/>
      <c r="DN96" s="403"/>
      <c r="DO96" s="403"/>
      <c r="DP96" s="403"/>
      <c r="DQ96" s="403"/>
      <c r="DR96" s="403"/>
      <c r="DS96" s="403"/>
      <c r="DT96" s="403"/>
      <c r="DU96" s="403"/>
      <c r="DV96" s="403"/>
      <c r="DW96" s="403"/>
      <c r="DX96" s="403"/>
      <c r="DY96" s="564"/>
      <c r="DZ96" s="564"/>
    </row>
    <row r="97" spans="1:130" s="536" customFormat="1" x14ac:dyDescent="0.2">
      <c r="C97" s="159" t="str">
        <f t="shared" ref="C97" ca="1" si="18">IF(OFFSET(T97,0,Lang_Order*Lang__A4)="","",OFFSET(T97,0,Lang_Order*Lang__A4))</f>
        <v>Other Evaluations (6.3)</v>
      </c>
      <c r="O97" s="574"/>
      <c r="P97" s="574"/>
      <c r="T97" s="564" t="s">
        <v>4589</v>
      </c>
      <c r="U97" s="564"/>
      <c r="V97" s="564"/>
      <c r="W97" s="564"/>
      <c r="X97" s="564"/>
      <c r="Y97" s="564"/>
      <c r="Z97" s="564"/>
      <c r="AA97" s="564"/>
      <c r="AB97" s="564"/>
      <c r="AC97" s="564"/>
      <c r="AD97" s="564"/>
      <c r="AE97" s="564"/>
      <c r="AF97" s="564"/>
      <c r="AG97" s="564"/>
      <c r="AH97" s="564"/>
      <c r="AI97" s="564"/>
      <c r="AJ97" s="564" t="s">
        <v>13666</v>
      </c>
      <c r="AK97" s="564"/>
      <c r="AL97" s="564"/>
      <c r="AM97" s="564"/>
      <c r="AN97" s="564"/>
      <c r="AO97" s="564"/>
      <c r="AP97" s="564"/>
      <c r="AQ97" s="564"/>
      <c r="AR97" s="564"/>
      <c r="AS97" s="564"/>
      <c r="AT97" s="564"/>
      <c r="AU97" s="564"/>
      <c r="AV97" s="564"/>
      <c r="AW97" s="564"/>
      <c r="AX97" s="564"/>
      <c r="AY97" s="564"/>
      <c r="AZ97" s="564" t="s">
        <v>13667</v>
      </c>
      <c r="BA97" s="564"/>
      <c r="BB97" s="564"/>
      <c r="BC97" s="564"/>
      <c r="BD97" s="564"/>
      <c r="BE97" s="564"/>
      <c r="BF97" s="564"/>
      <c r="BG97" s="564"/>
      <c r="BH97" s="564"/>
      <c r="BI97" s="564"/>
      <c r="BJ97" s="564"/>
      <c r="BK97" s="564"/>
      <c r="BL97" s="564"/>
      <c r="BM97" s="564"/>
      <c r="BN97" s="564"/>
      <c r="BO97" s="564"/>
      <c r="BP97" s="564" t="s">
        <v>13668</v>
      </c>
      <c r="BQ97" s="564"/>
      <c r="BR97" s="564"/>
      <c r="BS97" s="564"/>
      <c r="BT97" s="564"/>
      <c r="BU97" s="564"/>
      <c r="BV97" s="564"/>
      <c r="BW97" s="564"/>
      <c r="BX97" s="564"/>
      <c r="BY97" s="564"/>
      <c r="BZ97" s="564"/>
      <c r="CA97" s="564"/>
      <c r="CB97" s="564"/>
      <c r="CC97" s="564"/>
      <c r="CD97" s="564"/>
      <c r="CE97" s="564"/>
      <c r="CF97" s="564" t="s">
        <v>13669</v>
      </c>
      <c r="CG97" s="564"/>
      <c r="CH97" s="564"/>
      <c r="CI97" s="564"/>
      <c r="CJ97" s="564"/>
      <c r="CK97" s="564"/>
      <c r="CL97" s="564"/>
      <c r="CM97" s="564"/>
      <c r="CN97" s="564"/>
      <c r="CO97" s="564"/>
      <c r="CP97" s="564"/>
      <c r="CQ97" s="564"/>
      <c r="CR97" s="564"/>
      <c r="CS97" s="564"/>
      <c r="CT97" s="564"/>
      <c r="CU97" s="564"/>
      <c r="CV97" s="564" t="s">
        <v>13670</v>
      </c>
      <c r="CW97" s="564"/>
      <c r="CX97" s="564"/>
      <c r="CY97" s="564"/>
      <c r="CZ97" s="564"/>
      <c r="DA97" s="564"/>
      <c r="DB97" s="564"/>
      <c r="DC97" s="564"/>
      <c r="DD97" s="564"/>
      <c r="DE97" s="564"/>
      <c r="DF97" s="564"/>
      <c r="DG97" s="564"/>
      <c r="DH97" s="564"/>
      <c r="DI97" s="564"/>
      <c r="DJ97" s="564"/>
      <c r="DK97" s="564"/>
      <c r="DL97" s="564" t="s">
        <v>13671</v>
      </c>
      <c r="DY97" s="564"/>
      <c r="DZ97" s="564"/>
    </row>
    <row r="98" spans="1:130" s="536" customFormat="1" x14ac:dyDescent="0.2">
      <c r="A98" s="350">
        <v>2</v>
      </c>
      <c r="B98" s="230"/>
      <c r="C98" s="374" t="s">
        <v>2974</v>
      </c>
      <c r="D98" s="35">
        <v>1</v>
      </c>
      <c r="F98" s="2"/>
      <c r="G98" s="32"/>
      <c r="H98" s="401"/>
      <c r="I98" s="300" t="e">
        <f t="shared" ref="I98:I100" si="19">IF(ISBLANK(H98),G98/USD2LCU,H98)</f>
        <v>#N/A</v>
      </c>
      <c r="J98" s="300" t="e">
        <f t="shared" ref="J98:J100" si="20">D98*I98</f>
        <v>#N/A</v>
      </c>
      <c r="K98" s="152"/>
      <c r="O98" s="574"/>
      <c r="P98" s="587"/>
      <c r="Q98" s="535"/>
      <c r="R98" s="535"/>
      <c r="S98" s="535"/>
      <c r="T98" s="535" t="s">
        <v>2974</v>
      </c>
      <c r="U98" s="535"/>
      <c r="V98" s="535"/>
      <c r="W98" s="535"/>
      <c r="X98" s="535"/>
      <c r="Y98" s="535"/>
      <c r="Z98" s="535"/>
      <c r="AA98" s="535"/>
      <c r="AB98" s="535"/>
      <c r="AC98" s="535"/>
      <c r="AD98" s="535"/>
      <c r="AE98" s="535"/>
      <c r="AF98" s="535"/>
      <c r="AG98" s="535"/>
      <c r="AH98" s="535"/>
      <c r="AI98" s="535"/>
      <c r="AJ98" s="535" t="s">
        <v>8753</v>
      </c>
      <c r="AK98" s="535"/>
      <c r="AL98" s="535"/>
      <c r="AM98" s="535"/>
      <c r="AN98" s="535"/>
      <c r="AO98" s="535"/>
      <c r="AP98" s="535"/>
      <c r="AQ98" s="535"/>
      <c r="AR98" s="535"/>
      <c r="AS98" s="535"/>
      <c r="AT98" s="535"/>
      <c r="AU98" s="535"/>
      <c r="AV98" s="535"/>
      <c r="AW98" s="535"/>
      <c r="AX98" s="535"/>
      <c r="AY98" s="535"/>
      <c r="AZ98" s="535" t="s">
        <v>9002</v>
      </c>
      <c r="BA98" s="535"/>
      <c r="BB98" s="535"/>
      <c r="BC98" s="535"/>
      <c r="BD98" s="535"/>
      <c r="BE98" s="535"/>
      <c r="BF98" s="535"/>
      <c r="BG98" s="535"/>
      <c r="BH98" s="535"/>
      <c r="BI98" s="535"/>
      <c r="BJ98" s="535"/>
      <c r="BK98" s="535"/>
      <c r="BL98" s="535"/>
      <c r="BM98" s="535"/>
      <c r="BN98" s="535"/>
      <c r="BO98" s="535"/>
      <c r="BP98" s="535" t="s">
        <v>8755</v>
      </c>
      <c r="BQ98" s="535"/>
      <c r="BR98" s="535"/>
      <c r="BS98" s="535"/>
      <c r="BT98" s="535"/>
      <c r="BU98" s="535"/>
      <c r="BV98" s="535"/>
      <c r="BW98" s="535"/>
      <c r="BX98" s="535"/>
      <c r="BY98" s="535"/>
      <c r="BZ98" s="535"/>
      <c r="CA98" s="535"/>
      <c r="CB98" s="535"/>
      <c r="CC98" s="535"/>
      <c r="CD98" s="535"/>
      <c r="CE98" s="535"/>
      <c r="CF98" s="535" t="s">
        <v>8756</v>
      </c>
      <c r="CG98" s="535"/>
      <c r="CH98" s="535"/>
      <c r="CI98" s="535"/>
      <c r="CJ98" s="535"/>
      <c r="CK98" s="535"/>
      <c r="CL98" s="535"/>
      <c r="CM98" s="535"/>
      <c r="CN98" s="535"/>
      <c r="CO98" s="535"/>
      <c r="CP98" s="535"/>
      <c r="CQ98" s="535"/>
      <c r="CR98" s="535"/>
      <c r="CS98" s="535"/>
      <c r="CT98" s="535"/>
      <c r="CU98" s="535"/>
      <c r="CV98" s="535" t="s">
        <v>8765</v>
      </c>
      <c r="CW98" s="535"/>
      <c r="CX98" s="535"/>
      <c r="CY98" s="535"/>
      <c r="CZ98" s="535"/>
      <c r="DA98" s="535"/>
      <c r="DB98" s="535"/>
      <c r="DC98" s="535"/>
      <c r="DD98" s="535"/>
      <c r="DE98" s="535"/>
      <c r="DF98" s="535"/>
      <c r="DG98" s="535"/>
      <c r="DH98" s="535"/>
      <c r="DI98" s="535"/>
      <c r="DJ98" s="535"/>
      <c r="DK98" s="535"/>
      <c r="DL98" s="535" t="s">
        <v>8758</v>
      </c>
      <c r="DM98" s="535"/>
      <c r="DN98" s="535"/>
      <c r="DO98" s="535"/>
      <c r="DP98" s="535"/>
      <c r="DQ98" s="535"/>
      <c r="DR98" s="535"/>
      <c r="DS98" s="535"/>
      <c r="DT98" s="535"/>
      <c r="DU98" s="535"/>
      <c r="DV98" s="535"/>
      <c r="DW98" s="535"/>
      <c r="DX98" s="535"/>
      <c r="DY98" s="564"/>
      <c r="DZ98" s="564"/>
    </row>
    <row r="99" spans="1:130" s="536" customFormat="1" x14ac:dyDescent="0.2">
      <c r="A99" s="350">
        <v>2</v>
      </c>
      <c r="B99" s="230"/>
      <c r="C99" s="374"/>
      <c r="D99" s="35">
        <v>1</v>
      </c>
      <c r="F99" s="2"/>
      <c r="G99" s="32"/>
      <c r="H99" s="401"/>
      <c r="I99" s="300" t="e">
        <f t="shared" si="19"/>
        <v>#N/A</v>
      </c>
      <c r="J99" s="300" t="e">
        <f t="shared" si="20"/>
        <v>#N/A</v>
      </c>
      <c r="K99" s="152"/>
      <c r="O99" s="574"/>
      <c r="P99" s="587"/>
      <c r="Q99" s="535"/>
      <c r="R99" s="535"/>
      <c r="S99" s="535"/>
      <c r="T99" s="535"/>
      <c r="U99" s="535"/>
      <c r="V99" s="535"/>
      <c r="W99" s="535"/>
      <c r="X99" s="535"/>
      <c r="Y99" s="535"/>
      <c r="Z99" s="535"/>
      <c r="AA99" s="535"/>
      <c r="AB99" s="535"/>
      <c r="AC99" s="535"/>
      <c r="AD99" s="535"/>
      <c r="AE99" s="535"/>
      <c r="AF99" s="535"/>
      <c r="AG99" s="535"/>
      <c r="AH99" s="535"/>
      <c r="AI99" s="535"/>
      <c r="AJ99" s="535"/>
      <c r="AK99" s="535"/>
      <c r="AL99" s="535"/>
      <c r="AM99" s="535"/>
      <c r="AN99" s="535"/>
      <c r="AO99" s="535"/>
      <c r="AP99" s="535"/>
      <c r="AQ99" s="535"/>
      <c r="AR99" s="535"/>
      <c r="AS99" s="535"/>
      <c r="AT99" s="535"/>
      <c r="AU99" s="535"/>
      <c r="AV99" s="535"/>
      <c r="AW99" s="535"/>
      <c r="AX99" s="535"/>
      <c r="AY99" s="535"/>
      <c r="AZ99" s="535"/>
      <c r="BA99" s="535"/>
      <c r="BB99" s="535"/>
      <c r="BC99" s="535"/>
      <c r="BD99" s="535"/>
      <c r="BE99" s="535"/>
      <c r="BF99" s="535"/>
      <c r="BG99" s="535"/>
      <c r="BH99" s="535"/>
      <c r="BI99" s="535"/>
      <c r="BJ99" s="535"/>
      <c r="BK99" s="535"/>
      <c r="BL99" s="535"/>
      <c r="BM99" s="535"/>
      <c r="BN99" s="535"/>
      <c r="BO99" s="535"/>
      <c r="BP99" s="535"/>
      <c r="BQ99" s="535"/>
      <c r="BR99" s="535"/>
      <c r="BS99" s="535"/>
      <c r="BT99" s="535"/>
      <c r="BU99" s="535"/>
      <c r="BV99" s="535"/>
      <c r="BW99" s="535"/>
      <c r="BX99" s="535"/>
      <c r="BY99" s="535"/>
      <c r="BZ99" s="535"/>
      <c r="CA99" s="535"/>
      <c r="CB99" s="535"/>
      <c r="CC99" s="535"/>
      <c r="CD99" s="535"/>
      <c r="CE99" s="535"/>
      <c r="CF99" s="535"/>
      <c r="CG99" s="535"/>
      <c r="CH99" s="535"/>
      <c r="CI99" s="535"/>
      <c r="CJ99" s="535"/>
      <c r="CK99" s="535"/>
      <c r="CL99" s="535"/>
      <c r="CM99" s="535"/>
      <c r="CN99" s="535"/>
      <c r="CO99" s="535"/>
      <c r="CP99" s="535"/>
      <c r="CQ99" s="535"/>
      <c r="CR99" s="535"/>
      <c r="CS99" s="535"/>
      <c r="CT99" s="535"/>
      <c r="CU99" s="535"/>
      <c r="CV99" s="535"/>
      <c r="CW99" s="535"/>
      <c r="CX99" s="535"/>
      <c r="CY99" s="535"/>
      <c r="CZ99" s="535"/>
      <c r="DA99" s="535"/>
      <c r="DB99" s="535"/>
      <c r="DC99" s="535"/>
      <c r="DD99" s="535"/>
      <c r="DE99" s="535"/>
      <c r="DF99" s="535"/>
      <c r="DG99" s="535"/>
      <c r="DH99" s="535"/>
      <c r="DI99" s="535"/>
      <c r="DJ99" s="535"/>
      <c r="DK99" s="535"/>
      <c r="DL99" s="535"/>
      <c r="DM99" s="535"/>
      <c r="DN99" s="535"/>
      <c r="DO99" s="535"/>
      <c r="DP99" s="535"/>
      <c r="DQ99" s="535"/>
      <c r="DR99" s="535"/>
      <c r="DS99" s="535"/>
      <c r="DT99" s="535"/>
      <c r="DU99" s="535"/>
      <c r="DV99" s="535"/>
      <c r="DW99" s="535"/>
      <c r="DX99" s="535"/>
      <c r="DY99" s="564"/>
      <c r="DZ99" s="564"/>
    </row>
    <row r="100" spans="1:130" s="536" customFormat="1" x14ac:dyDescent="0.2">
      <c r="A100" s="350">
        <v>2</v>
      </c>
      <c r="B100" s="230"/>
      <c r="C100" s="374"/>
      <c r="D100" s="35">
        <v>1</v>
      </c>
      <c r="F100" s="2"/>
      <c r="G100" s="32"/>
      <c r="H100" s="401"/>
      <c r="I100" s="300" t="e">
        <f t="shared" si="19"/>
        <v>#N/A</v>
      </c>
      <c r="J100" s="300" t="e">
        <f t="shared" si="20"/>
        <v>#N/A</v>
      </c>
      <c r="K100" s="152"/>
      <c r="O100" s="574"/>
      <c r="P100" s="587"/>
      <c r="Q100" s="535"/>
      <c r="R100" s="535"/>
      <c r="S100" s="535"/>
      <c r="T100" s="535"/>
      <c r="U100" s="535"/>
      <c r="V100" s="535"/>
      <c r="W100" s="535"/>
      <c r="X100" s="535"/>
      <c r="Y100" s="535"/>
      <c r="Z100" s="535"/>
      <c r="AA100" s="535"/>
      <c r="AB100" s="535"/>
      <c r="AC100" s="535"/>
      <c r="AD100" s="535"/>
      <c r="AE100" s="535"/>
      <c r="AF100" s="535"/>
      <c r="AG100" s="535"/>
      <c r="AH100" s="535"/>
      <c r="AI100" s="535"/>
      <c r="AJ100" s="535"/>
      <c r="AK100" s="535"/>
      <c r="AL100" s="535"/>
      <c r="AM100" s="535"/>
      <c r="AN100" s="535"/>
      <c r="AO100" s="535"/>
      <c r="AP100" s="535"/>
      <c r="AQ100" s="535"/>
      <c r="AR100" s="535"/>
      <c r="AS100" s="535"/>
      <c r="AT100" s="535"/>
      <c r="AU100" s="535"/>
      <c r="AV100" s="535"/>
      <c r="AW100" s="535"/>
      <c r="AX100" s="535"/>
      <c r="AY100" s="535"/>
      <c r="AZ100" s="535"/>
      <c r="BA100" s="535"/>
      <c r="BB100" s="535"/>
      <c r="BC100" s="535"/>
      <c r="BD100" s="535"/>
      <c r="BE100" s="535"/>
      <c r="BF100" s="535"/>
      <c r="BG100" s="535"/>
      <c r="BH100" s="535"/>
      <c r="BI100" s="535"/>
      <c r="BJ100" s="535"/>
      <c r="BK100" s="535"/>
      <c r="BL100" s="535"/>
      <c r="BM100" s="535"/>
      <c r="BN100" s="535"/>
      <c r="BO100" s="535"/>
      <c r="BP100" s="535"/>
      <c r="BQ100" s="535"/>
      <c r="BR100" s="535"/>
      <c r="BS100" s="535"/>
      <c r="BT100" s="535"/>
      <c r="BU100" s="535"/>
      <c r="BV100" s="535"/>
      <c r="BW100" s="535"/>
      <c r="BX100" s="535"/>
      <c r="BY100" s="535"/>
      <c r="BZ100" s="535"/>
      <c r="CA100" s="535"/>
      <c r="CB100" s="535"/>
      <c r="CC100" s="535"/>
      <c r="CD100" s="535"/>
      <c r="CE100" s="535"/>
      <c r="CF100" s="535"/>
      <c r="CG100" s="535"/>
      <c r="CH100" s="535"/>
      <c r="CI100" s="535"/>
      <c r="CJ100" s="535"/>
      <c r="CK100" s="535"/>
      <c r="CL100" s="535"/>
      <c r="CM100" s="535"/>
      <c r="CN100" s="535"/>
      <c r="CO100" s="535"/>
      <c r="CP100" s="535"/>
      <c r="CQ100" s="535"/>
      <c r="CR100" s="535"/>
      <c r="CS100" s="535"/>
      <c r="CT100" s="535"/>
      <c r="CU100" s="535"/>
      <c r="CV100" s="535"/>
      <c r="CW100" s="535"/>
      <c r="CX100" s="535"/>
      <c r="CY100" s="535"/>
      <c r="CZ100" s="535"/>
      <c r="DA100" s="535"/>
      <c r="DB100" s="535"/>
      <c r="DC100" s="535"/>
      <c r="DD100" s="535"/>
      <c r="DE100" s="535"/>
      <c r="DF100" s="535"/>
      <c r="DG100" s="535"/>
      <c r="DH100" s="535"/>
      <c r="DI100" s="535"/>
      <c r="DJ100" s="535"/>
      <c r="DK100" s="535"/>
      <c r="DL100" s="535"/>
      <c r="DM100" s="535"/>
      <c r="DN100" s="535"/>
      <c r="DO100" s="535"/>
      <c r="DP100" s="535"/>
      <c r="DQ100" s="535"/>
      <c r="DR100" s="535"/>
      <c r="DS100" s="535"/>
      <c r="DT100" s="535"/>
      <c r="DU100" s="535"/>
      <c r="DV100" s="535"/>
      <c r="DW100" s="535"/>
      <c r="DX100" s="535"/>
      <c r="DY100" s="564"/>
      <c r="DZ100" s="564"/>
    </row>
    <row r="101" spans="1:130" s="536" customFormat="1" x14ac:dyDescent="0.2">
      <c r="P101" s="567"/>
      <c r="Q101" s="535"/>
      <c r="R101" s="535"/>
      <c r="S101" s="535"/>
      <c r="T101" s="535"/>
      <c r="U101" s="535"/>
      <c r="V101" s="535"/>
      <c r="W101" s="535"/>
      <c r="X101" s="535"/>
      <c r="Y101" s="535"/>
      <c r="Z101" s="535"/>
      <c r="AA101" s="535"/>
      <c r="AB101" s="535"/>
      <c r="AC101" s="535"/>
      <c r="AD101" s="535"/>
      <c r="AE101" s="535"/>
      <c r="AF101" s="535"/>
      <c r="AG101" s="535"/>
      <c r="AH101" s="535"/>
      <c r="AI101" s="535"/>
      <c r="AJ101" s="535"/>
      <c r="AK101" s="535"/>
      <c r="AL101" s="535"/>
      <c r="AM101" s="535"/>
      <c r="AN101" s="535"/>
      <c r="AO101" s="535"/>
      <c r="AP101" s="535"/>
      <c r="AQ101" s="535"/>
      <c r="AR101" s="535"/>
      <c r="AS101" s="535"/>
      <c r="AT101" s="535"/>
      <c r="AU101" s="535"/>
      <c r="AV101" s="535"/>
      <c r="AW101" s="535"/>
      <c r="AX101" s="535"/>
      <c r="AY101" s="535"/>
      <c r="AZ101" s="535"/>
      <c r="BA101" s="535"/>
      <c r="BB101" s="535"/>
      <c r="BC101" s="535"/>
      <c r="BD101" s="535"/>
      <c r="BE101" s="535"/>
      <c r="BF101" s="535"/>
      <c r="BG101" s="535"/>
      <c r="BH101" s="535"/>
      <c r="BI101" s="535"/>
      <c r="BJ101" s="535"/>
      <c r="BK101" s="535"/>
      <c r="BL101" s="535"/>
      <c r="BM101" s="535"/>
      <c r="BN101" s="535"/>
      <c r="BO101" s="535"/>
      <c r="BP101" s="535"/>
      <c r="BQ101" s="535"/>
      <c r="BR101" s="535"/>
      <c r="BS101" s="535"/>
      <c r="BT101" s="535"/>
      <c r="BU101" s="535"/>
      <c r="BV101" s="535"/>
      <c r="BW101" s="535"/>
      <c r="BX101" s="535"/>
      <c r="BY101" s="535"/>
      <c r="BZ101" s="535"/>
      <c r="CA101" s="535"/>
      <c r="CB101" s="535"/>
      <c r="CC101" s="535"/>
      <c r="CD101" s="535"/>
      <c r="CE101" s="535"/>
      <c r="CF101" s="535"/>
      <c r="CG101" s="535"/>
      <c r="CH101" s="535"/>
      <c r="CI101" s="535"/>
      <c r="CJ101" s="535"/>
      <c r="CK101" s="535"/>
      <c r="CL101" s="535"/>
      <c r="CM101" s="535"/>
      <c r="CN101" s="535"/>
      <c r="CO101" s="535"/>
      <c r="CP101" s="535"/>
      <c r="CQ101" s="535"/>
      <c r="CR101" s="535"/>
      <c r="CS101" s="535"/>
      <c r="CT101" s="535"/>
      <c r="CU101" s="535"/>
      <c r="CV101" s="535"/>
      <c r="CW101" s="535"/>
      <c r="CX101" s="535"/>
      <c r="CY101" s="535"/>
      <c r="CZ101" s="535"/>
      <c r="DA101" s="535"/>
      <c r="DB101" s="535"/>
      <c r="DC101" s="535"/>
      <c r="DD101" s="535"/>
      <c r="DE101" s="535"/>
      <c r="DF101" s="535"/>
      <c r="DG101" s="535"/>
      <c r="DH101" s="535"/>
      <c r="DI101" s="535"/>
      <c r="DJ101" s="535"/>
      <c r="DK101" s="535"/>
      <c r="DL101" s="535"/>
      <c r="DM101" s="535"/>
      <c r="DN101" s="535"/>
      <c r="DO101" s="535"/>
      <c r="DP101" s="535"/>
      <c r="DQ101" s="535"/>
      <c r="DR101" s="535"/>
      <c r="DS101" s="535"/>
      <c r="DT101" s="535"/>
      <c r="DU101" s="535"/>
      <c r="DV101" s="535"/>
      <c r="DW101" s="535"/>
      <c r="DX101" s="535"/>
      <c r="DY101" s="564"/>
      <c r="DZ101" s="564"/>
    </row>
    <row r="102" spans="1:130" s="299" customFormat="1" x14ac:dyDescent="0.2">
      <c r="A102" s="350">
        <v>2</v>
      </c>
      <c r="B102" s="230"/>
      <c r="C102" s="5" t="str">
        <f ca="1">IF(OFFSET(T102,0,Lang_Order*Lang__A4)="","",OFFSET(T102,0,Lang_Order*Lang__A4))</f>
        <v>Oversight &amp; Assurance Costs</v>
      </c>
      <c r="D102" s="377">
        <v>0</v>
      </c>
      <c r="F102" s="2" t="str">
        <f ca="1">IF(OFFSET(W102,0,Lang_Order*Lang__A4)="","",OFFSET(W102,0,Lang_Order*Lang__A4))</f>
        <v>Percent of vaccine and vaccine delivery costs</v>
      </c>
      <c r="J102" s="152"/>
      <c r="K102" s="152"/>
      <c r="L102" s="299" t="str">
        <f ca="1">IF(OFFSET(AC102,0,Lang_Order*Lang__A4)="","",OFFSET(AC102,0,Lang_Order*Lang__A4))</f>
        <v/>
      </c>
      <c r="O102" s="12" t="str">
        <f t="shared" ref="O102" ca="1" si="21">IF(OFFSET(AF102,0,Lang_Order*Lang__A4)="","",OFFSET(AF102,0,Lang_Order*Lang__A4))</f>
        <v>3rd party oversight over delivery to ensure fairness and quality. Percent of delivery costs (Categories 3 [Human Resources] and 4 [Vaccination Delivery])</v>
      </c>
      <c r="P102" s="587"/>
      <c r="Q102" s="403"/>
      <c r="R102" s="403"/>
      <c r="S102" s="403"/>
      <c r="T102" s="403" t="s">
        <v>3899</v>
      </c>
      <c r="U102" s="403"/>
      <c r="V102" s="403"/>
      <c r="W102" s="403" t="s">
        <v>3978</v>
      </c>
      <c r="X102" s="403"/>
      <c r="Y102" s="403"/>
      <c r="Z102" s="403"/>
      <c r="AA102" s="403"/>
      <c r="AB102" s="403"/>
      <c r="AC102" s="403"/>
      <c r="AD102" s="403"/>
      <c r="AE102" s="403"/>
      <c r="AF102" s="403" t="s">
        <v>4592</v>
      </c>
      <c r="AG102" s="403"/>
      <c r="AH102" s="403"/>
      <c r="AI102" s="403"/>
      <c r="AJ102" s="403" t="s">
        <v>9003</v>
      </c>
      <c r="AK102" s="403"/>
      <c r="AL102" s="403"/>
      <c r="AM102" s="403" t="s">
        <v>9004</v>
      </c>
      <c r="AN102" s="403"/>
      <c r="AO102" s="403"/>
      <c r="AP102" s="403"/>
      <c r="AQ102" s="403"/>
      <c r="AR102" s="403"/>
      <c r="AS102" s="403"/>
      <c r="AT102" s="403"/>
      <c r="AU102" s="403"/>
      <c r="AV102" s="403" t="s">
        <v>13672</v>
      </c>
      <c r="AW102" s="403"/>
      <c r="AX102" s="403"/>
      <c r="AY102" s="403"/>
      <c r="AZ102" s="403" t="s">
        <v>9005</v>
      </c>
      <c r="BA102" s="403"/>
      <c r="BB102" s="403"/>
      <c r="BC102" s="403" t="s">
        <v>9006</v>
      </c>
      <c r="BD102" s="403"/>
      <c r="BE102" s="403"/>
      <c r="BF102" s="403"/>
      <c r="BG102" s="403"/>
      <c r="BH102" s="403"/>
      <c r="BI102" s="403"/>
      <c r="BJ102" s="403"/>
      <c r="BK102" s="403"/>
      <c r="BL102" s="403" t="s">
        <v>13673</v>
      </c>
      <c r="BM102" s="403"/>
      <c r="BN102" s="403"/>
      <c r="BO102" s="403"/>
      <c r="BP102" s="403" t="s">
        <v>9007</v>
      </c>
      <c r="BQ102" s="403"/>
      <c r="BR102" s="403"/>
      <c r="BS102" s="403" t="s">
        <v>9008</v>
      </c>
      <c r="BT102" s="403"/>
      <c r="BU102" s="403"/>
      <c r="BV102" s="403"/>
      <c r="BW102" s="403"/>
      <c r="BX102" s="403"/>
      <c r="BY102" s="403"/>
      <c r="BZ102" s="403"/>
      <c r="CA102" s="403"/>
      <c r="CB102" s="403" t="s">
        <v>13674</v>
      </c>
      <c r="CC102" s="403"/>
      <c r="CD102" s="403"/>
      <c r="CE102" s="403"/>
      <c r="CF102" s="403" t="s">
        <v>9009</v>
      </c>
      <c r="CG102" s="403"/>
      <c r="CH102" s="403"/>
      <c r="CI102" s="403" t="s">
        <v>9010</v>
      </c>
      <c r="CJ102" s="403"/>
      <c r="CK102" s="403"/>
      <c r="CL102" s="403"/>
      <c r="CM102" s="403"/>
      <c r="CN102" s="403"/>
      <c r="CO102" s="403"/>
      <c r="CP102" s="403"/>
      <c r="CQ102" s="403"/>
      <c r="CR102" s="403" t="s">
        <v>13675</v>
      </c>
      <c r="CS102" s="403"/>
      <c r="CT102" s="403"/>
      <c r="CU102" s="403"/>
      <c r="CV102" s="403" t="s">
        <v>9011</v>
      </c>
      <c r="CW102" s="403"/>
      <c r="CX102" s="403"/>
      <c r="CY102" s="403" t="s">
        <v>9012</v>
      </c>
      <c r="CZ102" s="403"/>
      <c r="DA102" s="403"/>
      <c r="DB102" s="403"/>
      <c r="DC102" s="403"/>
      <c r="DD102" s="403"/>
      <c r="DE102" s="403"/>
      <c r="DF102" s="403"/>
      <c r="DG102" s="403"/>
      <c r="DH102" s="403" t="s">
        <v>13676</v>
      </c>
      <c r="DI102" s="403"/>
      <c r="DJ102" s="403"/>
      <c r="DK102" s="403"/>
      <c r="DL102" s="403" t="s">
        <v>9013</v>
      </c>
      <c r="DM102" s="403"/>
      <c r="DN102" s="403"/>
      <c r="DO102" s="403" t="s">
        <v>9014</v>
      </c>
      <c r="DP102" s="403"/>
      <c r="DQ102" s="403"/>
      <c r="DR102" s="403"/>
      <c r="DS102" s="403"/>
      <c r="DT102" s="403"/>
      <c r="DU102" s="403"/>
      <c r="DV102" s="403"/>
      <c r="DW102" s="403"/>
      <c r="DX102" s="403" t="s">
        <v>13677</v>
      </c>
      <c r="DY102" s="564"/>
      <c r="DZ102" s="564"/>
    </row>
    <row r="103" spans="1:130" x14ac:dyDescent="0.2">
      <c r="B103" s="85"/>
      <c r="C103" s="15"/>
      <c r="K103" s="34"/>
    </row>
    <row r="104" spans="1:130" ht="15" x14ac:dyDescent="0.25">
      <c r="B104" s="8" t="str">
        <f ca="1">IF(OFFSET(S104,0,Lang_Order*Lang__A4)="","",OFFSET(S104,0,Lang_Order*Lang__A4))</f>
        <v>A4.1.08 Vaccine Procurement, Cold chain, Logistics, and Infrastructure</v>
      </c>
      <c r="C104" s="19"/>
      <c r="D104" s="8"/>
      <c r="E104" s="8"/>
      <c r="F104" s="8"/>
      <c r="G104" s="408" t="str">
        <f>CONCATENATE(Lang_LCU,": ",LCU)</f>
        <v xml:space="preserve">LCU: </v>
      </c>
      <c r="H104" s="219" t="str">
        <f ca="1">IF(OFFSET(Y104,0,Lang_Order*Lang__A4)="","",OFFSET(Y104,0,Lang_Order*Lang__A4))</f>
        <v>Override in USD</v>
      </c>
      <c r="I104" s="8"/>
      <c r="J104" s="8"/>
      <c r="K104" s="188" t="e">
        <f>SUM(J106:J115)</f>
        <v>#N/A</v>
      </c>
      <c r="L104" s="8"/>
      <c r="M104" s="8"/>
      <c r="N104" s="8"/>
      <c r="O104" s="8"/>
      <c r="P104" s="8"/>
      <c r="S104" s="403" t="s">
        <v>14514</v>
      </c>
      <c r="Y104" s="403" t="s">
        <v>2977</v>
      </c>
      <c r="AI104" s="403" t="s">
        <v>14515</v>
      </c>
      <c r="AO104" s="403" t="s">
        <v>7897</v>
      </c>
      <c r="AY104" s="403" t="s">
        <v>14516</v>
      </c>
      <c r="BE104" s="403" t="s">
        <v>8114</v>
      </c>
      <c r="BO104" s="403" t="s">
        <v>14517</v>
      </c>
      <c r="BU104" s="403" t="s">
        <v>7903</v>
      </c>
      <c r="CE104" s="403" t="s">
        <v>14518</v>
      </c>
      <c r="CK104" s="403" t="s">
        <v>7906</v>
      </c>
      <c r="CU104" s="403" t="s">
        <v>14519</v>
      </c>
      <c r="DA104" s="403" t="s">
        <v>7908</v>
      </c>
      <c r="DK104" s="403" t="s">
        <v>14520</v>
      </c>
      <c r="DQ104" s="403" t="s">
        <v>7911</v>
      </c>
    </row>
    <row r="105" spans="1:130" s="185" customFormat="1" x14ac:dyDescent="0.2">
      <c r="C105" s="679" t="str">
        <f t="shared" ref="C105:C111" ca="1" si="22">IF(OFFSET(T105,0,Lang_Order*Lang__A4)="","",OFFSET(T105,0,Lang_Order*Lang__A4))</f>
        <v>Instructions:: This section includes technical assistance (TA) for various aspects of vaccine-related logistics and infrasturcure.</v>
      </c>
      <c r="D105" s="679"/>
      <c r="E105" s="679"/>
      <c r="F105" s="679"/>
      <c r="G105" s="679"/>
      <c r="H105" s="679"/>
      <c r="O105" s="574"/>
      <c r="P105" s="574"/>
      <c r="Q105" s="403"/>
      <c r="R105" s="403"/>
      <c r="S105" s="403"/>
      <c r="T105" s="403" t="s">
        <v>4155</v>
      </c>
      <c r="U105" s="403"/>
      <c r="V105" s="403"/>
      <c r="W105" s="403"/>
      <c r="X105" s="403"/>
      <c r="Y105" s="403"/>
      <c r="Z105" s="403"/>
      <c r="AA105" s="403"/>
      <c r="AB105" s="403"/>
      <c r="AC105" s="403"/>
      <c r="AD105" s="403"/>
      <c r="AE105" s="403"/>
      <c r="AF105" s="403"/>
      <c r="AG105" s="403"/>
      <c r="AH105" s="403"/>
      <c r="AI105" s="403"/>
      <c r="AJ105" s="403" t="s">
        <v>9015</v>
      </c>
      <c r="AK105" s="403"/>
      <c r="AL105" s="403"/>
      <c r="AM105" s="403"/>
      <c r="AN105" s="403"/>
      <c r="AO105" s="403"/>
      <c r="AP105" s="403"/>
      <c r="AQ105" s="403"/>
      <c r="AR105" s="403"/>
      <c r="AS105" s="403"/>
      <c r="AT105" s="403"/>
      <c r="AU105" s="403"/>
      <c r="AV105" s="403"/>
      <c r="AW105" s="403"/>
      <c r="AX105" s="403"/>
      <c r="AY105" s="403"/>
      <c r="AZ105" s="403" t="s">
        <v>9016</v>
      </c>
      <c r="BA105" s="403"/>
      <c r="BB105" s="403"/>
      <c r="BC105" s="403"/>
      <c r="BD105" s="403"/>
      <c r="BE105" s="403"/>
      <c r="BF105" s="403"/>
      <c r="BG105" s="403"/>
      <c r="BH105" s="403"/>
      <c r="BI105" s="403"/>
      <c r="BJ105" s="403"/>
      <c r="BK105" s="403"/>
      <c r="BL105" s="403"/>
      <c r="BM105" s="403"/>
      <c r="BN105" s="403"/>
      <c r="BO105" s="403"/>
      <c r="BP105" s="403" t="s">
        <v>9017</v>
      </c>
      <c r="BQ105" s="403"/>
      <c r="BR105" s="403"/>
      <c r="BS105" s="403"/>
      <c r="BT105" s="403"/>
      <c r="BU105" s="403"/>
      <c r="BV105" s="403"/>
      <c r="BW105" s="403"/>
      <c r="BX105" s="403"/>
      <c r="BY105" s="403"/>
      <c r="BZ105" s="403"/>
      <c r="CA105" s="403"/>
      <c r="CB105" s="403"/>
      <c r="CC105" s="403"/>
      <c r="CD105" s="403"/>
      <c r="CE105" s="403"/>
      <c r="CF105" s="403" t="s">
        <v>9018</v>
      </c>
      <c r="CG105" s="403"/>
      <c r="CH105" s="403"/>
      <c r="CI105" s="403"/>
      <c r="CJ105" s="403"/>
      <c r="CK105" s="403"/>
      <c r="CL105" s="403"/>
      <c r="CM105" s="403"/>
      <c r="CN105" s="403"/>
      <c r="CO105" s="403"/>
      <c r="CP105" s="403"/>
      <c r="CQ105" s="403"/>
      <c r="CR105" s="403"/>
      <c r="CS105" s="403"/>
      <c r="CT105" s="403"/>
      <c r="CU105" s="403"/>
      <c r="CV105" s="403" t="s">
        <v>9019</v>
      </c>
      <c r="CW105" s="403"/>
      <c r="CX105" s="403"/>
      <c r="CY105" s="403"/>
      <c r="CZ105" s="403"/>
      <c r="DA105" s="403"/>
      <c r="DB105" s="403"/>
      <c r="DC105" s="403"/>
      <c r="DD105" s="403"/>
      <c r="DE105" s="403"/>
      <c r="DF105" s="403"/>
      <c r="DG105" s="403"/>
      <c r="DH105" s="403"/>
      <c r="DI105" s="403"/>
      <c r="DJ105" s="403"/>
      <c r="DK105" s="403"/>
      <c r="DL105" s="403" t="s">
        <v>9020</v>
      </c>
      <c r="DM105" s="403"/>
      <c r="DN105" s="403"/>
      <c r="DO105" s="403"/>
      <c r="DP105" s="403"/>
      <c r="DQ105" s="403"/>
      <c r="DR105" s="403"/>
      <c r="DS105" s="403"/>
      <c r="DT105" s="403"/>
      <c r="DU105" s="403"/>
      <c r="DV105" s="403"/>
      <c r="DW105" s="403"/>
      <c r="DX105" s="403"/>
      <c r="DY105" s="564"/>
      <c r="DZ105" s="564"/>
    </row>
    <row r="106" spans="1:130" s="299" customFormat="1" x14ac:dyDescent="0.2">
      <c r="A106" s="354">
        <v>1</v>
      </c>
      <c r="C106" s="5" t="str">
        <f t="shared" ca="1" si="22"/>
        <v>TA: Establish National Logistics Working Group - TORs, SOPs, Key Roles and Responsibilities</v>
      </c>
      <c r="D106" s="2">
        <v>1</v>
      </c>
      <c r="F106" s="2"/>
      <c r="G106" s="32"/>
      <c r="H106" s="401"/>
      <c r="I106" s="300" t="e">
        <f t="shared" ref="I106:I115" si="23">IF(ISBLANK(H106),G106/USD2LCU,H106)</f>
        <v>#N/A</v>
      </c>
      <c r="J106" s="300" t="e">
        <f t="shared" ref="J106:J115" si="24">D106*I106</f>
        <v>#N/A</v>
      </c>
      <c r="L106" s="299" t="s">
        <v>3887</v>
      </c>
      <c r="O106" s="574"/>
      <c r="P106" s="587"/>
      <c r="Q106" s="403"/>
      <c r="R106" s="403"/>
      <c r="S106" s="403"/>
      <c r="T106" s="403" t="s">
        <v>3923</v>
      </c>
      <c r="U106" s="403"/>
      <c r="V106" s="403"/>
      <c r="W106" s="403"/>
      <c r="X106" s="403"/>
      <c r="Y106" s="403"/>
      <c r="Z106" s="403"/>
      <c r="AA106" s="403"/>
      <c r="AB106" s="403"/>
      <c r="AC106" s="403"/>
      <c r="AD106" s="403"/>
      <c r="AE106" s="403"/>
      <c r="AF106" s="403"/>
      <c r="AG106" s="403"/>
      <c r="AH106" s="403"/>
      <c r="AI106" s="403"/>
      <c r="AJ106" s="403" t="s">
        <v>9021</v>
      </c>
      <c r="AK106" s="403"/>
      <c r="AL106" s="403"/>
      <c r="AM106" s="403"/>
      <c r="AN106" s="403"/>
      <c r="AO106" s="403"/>
      <c r="AP106" s="403"/>
      <c r="AQ106" s="403"/>
      <c r="AR106" s="403"/>
      <c r="AS106" s="403"/>
      <c r="AT106" s="403"/>
      <c r="AU106" s="403"/>
      <c r="AV106" s="403"/>
      <c r="AW106" s="403"/>
      <c r="AX106" s="403"/>
      <c r="AY106" s="403"/>
      <c r="AZ106" s="403" t="s">
        <v>9022</v>
      </c>
      <c r="BA106" s="403"/>
      <c r="BB106" s="403"/>
      <c r="BC106" s="403"/>
      <c r="BD106" s="403"/>
      <c r="BE106" s="403"/>
      <c r="BF106" s="403"/>
      <c r="BG106" s="403"/>
      <c r="BH106" s="403"/>
      <c r="BI106" s="403"/>
      <c r="BJ106" s="403"/>
      <c r="BK106" s="403"/>
      <c r="BL106" s="403"/>
      <c r="BM106" s="403"/>
      <c r="BN106" s="403"/>
      <c r="BO106" s="403"/>
      <c r="BP106" s="403" t="s">
        <v>9023</v>
      </c>
      <c r="BQ106" s="403"/>
      <c r="BR106" s="403"/>
      <c r="BS106" s="403"/>
      <c r="BT106" s="403"/>
      <c r="BU106" s="403"/>
      <c r="BV106" s="403"/>
      <c r="BW106" s="403"/>
      <c r="BX106" s="403"/>
      <c r="BY106" s="403"/>
      <c r="BZ106" s="403"/>
      <c r="CA106" s="403"/>
      <c r="CB106" s="403"/>
      <c r="CC106" s="403"/>
      <c r="CD106" s="403"/>
      <c r="CE106" s="403"/>
      <c r="CF106" s="403" t="s">
        <v>9024</v>
      </c>
      <c r="CG106" s="403"/>
      <c r="CH106" s="403"/>
      <c r="CI106" s="403"/>
      <c r="CJ106" s="403"/>
      <c r="CK106" s="403"/>
      <c r="CL106" s="403"/>
      <c r="CM106" s="403"/>
      <c r="CN106" s="403"/>
      <c r="CO106" s="403"/>
      <c r="CP106" s="403"/>
      <c r="CQ106" s="403"/>
      <c r="CR106" s="403"/>
      <c r="CS106" s="403"/>
      <c r="CT106" s="403"/>
      <c r="CU106" s="403"/>
      <c r="CV106" s="403" t="s">
        <v>9025</v>
      </c>
      <c r="CW106" s="403"/>
      <c r="CX106" s="403"/>
      <c r="CY106" s="403"/>
      <c r="CZ106" s="403"/>
      <c r="DA106" s="403"/>
      <c r="DB106" s="403"/>
      <c r="DC106" s="403"/>
      <c r="DD106" s="403"/>
      <c r="DE106" s="403"/>
      <c r="DF106" s="403"/>
      <c r="DG106" s="403"/>
      <c r="DH106" s="403"/>
      <c r="DI106" s="403"/>
      <c r="DJ106" s="403"/>
      <c r="DK106" s="403"/>
      <c r="DL106" s="403" t="s">
        <v>9026</v>
      </c>
      <c r="DM106" s="403"/>
      <c r="DN106" s="403"/>
      <c r="DO106" s="403"/>
      <c r="DP106" s="403"/>
      <c r="DQ106" s="403"/>
      <c r="DR106" s="403"/>
      <c r="DS106" s="403"/>
      <c r="DT106" s="403"/>
      <c r="DU106" s="403"/>
      <c r="DV106" s="403"/>
      <c r="DW106" s="403"/>
      <c r="DX106" s="403"/>
      <c r="DY106" s="564"/>
      <c r="DZ106" s="564"/>
    </row>
    <row r="107" spans="1:130" s="299" customFormat="1" x14ac:dyDescent="0.2">
      <c r="A107" s="354">
        <v>1</v>
      </c>
      <c r="C107" s="5" t="str">
        <f t="shared" ca="1" si="22"/>
        <v>TA: Distribution strategy for vaccines from point of entry</v>
      </c>
      <c r="D107" s="2">
        <v>1</v>
      </c>
      <c r="F107" s="2"/>
      <c r="G107" s="32"/>
      <c r="H107" s="401"/>
      <c r="I107" s="300" t="e">
        <f t="shared" si="23"/>
        <v>#N/A</v>
      </c>
      <c r="J107" s="300" t="e">
        <f t="shared" si="24"/>
        <v>#N/A</v>
      </c>
      <c r="L107" s="299" t="s">
        <v>3888</v>
      </c>
      <c r="O107" s="574"/>
      <c r="P107" s="587"/>
      <c r="Q107" s="403"/>
      <c r="R107" s="403"/>
      <c r="S107" s="403"/>
      <c r="T107" s="403" t="s">
        <v>3924</v>
      </c>
      <c r="U107" s="403"/>
      <c r="V107" s="403"/>
      <c r="W107" s="403"/>
      <c r="X107" s="403"/>
      <c r="Y107" s="403"/>
      <c r="Z107" s="403"/>
      <c r="AA107" s="403"/>
      <c r="AB107" s="403"/>
      <c r="AC107" s="403"/>
      <c r="AD107" s="403"/>
      <c r="AE107" s="403"/>
      <c r="AF107" s="403"/>
      <c r="AG107" s="403"/>
      <c r="AH107" s="403"/>
      <c r="AI107" s="403"/>
      <c r="AJ107" s="403" t="s">
        <v>9027</v>
      </c>
      <c r="AK107" s="403"/>
      <c r="AL107" s="403"/>
      <c r="AM107" s="403"/>
      <c r="AN107" s="403"/>
      <c r="AO107" s="403"/>
      <c r="AP107" s="403"/>
      <c r="AQ107" s="403"/>
      <c r="AR107" s="403"/>
      <c r="AS107" s="403"/>
      <c r="AT107" s="403"/>
      <c r="AU107" s="403"/>
      <c r="AV107" s="403"/>
      <c r="AW107" s="403"/>
      <c r="AX107" s="403"/>
      <c r="AY107" s="403"/>
      <c r="AZ107" s="403" t="s">
        <v>9028</v>
      </c>
      <c r="BA107" s="403"/>
      <c r="BB107" s="403"/>
      <c r="BC107" s="403"/>
      <c r="BD107" s="403"/>
      <c r="BE107" s="403"/>
      <c r="BF107" s="403"/>
      <c r="BG107" s="403"/>
      <c r="BH107" s="403"/>
      <c r="BI107" s="403"/>
      <c r="BJ107" s="403"/>
      <c r="BK107" s="403"/>
      <c r="BL107" s="403"/>
      <c r="BM107" s="403"/>
      <c r="BN107" s="403"/>
      <c r="BO107" s="403"/>
      <c r="BP107" s="403" t="s">
        <v>9029</v>
      </c>
      <c r="BQ107" s="403"/>
      <c r="BR107" s="403"/>
      <c r="BS107" s="403"/>
      <c r="BT107" s="403"/>
      <c r="BU107" s="403"/>
      <c r="BV107" s="403"/>
      <c r="BW107" s="403"/>
      <c r="BX107" s="403"/>
      <c r="BY107" s="403"/>
      <c r="BZ107" s="403"/>
      <c r="CA107" s="403"/>
      <c r="CB107" s="403"/>
      <c r="CC107" s="403"/>
      <c r="CD107" s="403"/>
      <c r="CE107" s="403"/>
      <c r="CF107" s="403" t="s">
        <v>9030</v>
      </c>
      <c r="CG107" s="403"/>
      <c r="CH107" s="403"/>
      <c r="CI107" s="403"/>
      <c r="CJ107" s="403"/>
      <c r="CK107" s="403"/>
      <c r="CL107" s="403"/>
      <c r="CM107" s="403"/>
      <c r="CN107" s="403"/>
      <c r="CO107" s="403"/>
      <c r="CP107" s="403"/>
      <c r="CQ107" s="403"/>
      <c r="CR107" s="403"/>
      <c r="CS107" s="403"/>
      <c r="CT107" s="403"/>
      <c r="CU107" s="403"/>
      <c r="CV107" s="403" t="s">
        <v>9031</v>
      </c>
      <c r="CW107" s="403"/>
      <c r="CX107" s="403"/>
      <c r="CY107" s="403"/>
      <c r="CZ107" s="403"/>
      <c r="DA107" s="403"/>
      <c r="DB107" s="403"/>
      <c r="DC107" s="403"/>
      <c r="DD107" s="403"/>
      <c r="DE107" s="403"/>
      <c r="DF107" s="403"/>
      <c r="DG107" s="403"/>
      <c r="DH107" s="403"/>
      <c r="DI107" s="403"/>
      <c r="DJ107" s="403"/>
      <c r="DK107" s="403"/>
      <c r="DL107" s="403" t="s">
        <v>9032</v>
      </c>
      <c r="DM107" s="403"/>
      <c r="DN107" s="403"/>
      <c r="DO107" s="403"/>
      <c r="DP107" s="403"/>
      <c r="DQ107" s="403"/>
      <c r="DR107" s="403"/>
      <c r="DS107" s="403"/>
      <c r="DT107" s="403"/>
      <c r="DU107" s="403"/>
      <c r="DV107" s="403"/>
      <c r="DW107" s="403"/>
      <c r="DX107" s="403"/>
      <c r="DY107" s="564"/>
      <c r="DZ107" s="564"/>
    </row>
    <row r="108" spans="1:130" s="299" customFormat="1" x14ac:dyDescent="0.2">
      <c r="A108" s="354">
        <v>1</v>
      </c>
      <c r="C108" s="611" t="str">
        <f t="shared" ca="1" si="22"/>
        <v>TA: Map, plan, gap assessment - infrastructure needs, incl energy, communications, water</v>
      </c>
      <c r="D108" s="2">
        <v>1</v>
      </c>
      <c r="F108" s="2"/>
      <c r="G108" s="32"/>
      <c r="H108" s="401"/>
      <c r="I108" s="300" t="e">
        <f t="shared" si="23"/>
        <v>#N/A</v>
      </c>
      <c r="J108" s="300" t="e">
        <f t="shared" si="24"/>
        <v>#N/A</v>
      </c>
      <c r="L108" s="299" t="s">
        <v>3892</v>
      </c>
      <c r="O108" s="12" t="str">
        <f t="shared" ref="O108:O111" ca="1" si="25">IF(OFFSET(AF108,0,Lang_Order*Lang__A4)="","",OFFSET(AF108,0,Lang_Order*Lang__A4))</f>
        <v>NOT the actual costs of the upgrades required</v>
      </c>
      <c r="P108" s="587"/>
      <c r="Q108" s="403"/>
      <c r="R108" s="403"/>
      <c r="S108" s="403"/>
      <c r="T108" s="403" t="s">
        <v>3926</v>
      </c>
      <c r="U108" s="403"/>
      <c r="V108" s="403"/>
      <c r="W108" s="403"/>
      <c r="X108" s="403"/>
      <c r="Y108" s="403"/>
      <c r="Z108" s="403"/>
      <c r="AA108" s="403"/>
      <c r="AB108" s="403"/>
      <c r="AC108" s="403"/>
      <c r="AD108" s="403"/>
      <c r="AE108" s="403"/>
      <c r="AF108" s="403" t="s">
        <v>3927</v>
      </c>
      <c r="AG108" s="403"/>
      <c r="AH108" s="403"/>
      <c r="AI108" s="403"/>
      <c r="AJ108" s="403" t="s">
        <v>9033</v>
      </c>
      <c r="AK108" s="403"/>
      <c r="AL108" s="403"/>
      <c r="AM108" s="403"/>
      <c r="AN108" s="403"/>
      <c r="AO108" s="403"/>
      <c r="AP108" s="403"/>
      <c r="AQ108" s="403"/>
      <c r="AR108" s="403"/>
      <c r="AS108" s="403"/>
      <c r="AT108" s="403"/>
      <c r="AU108" s="403"/>
      <c r="AV108" s="403" t="s">
        <v>9034</v>
      </c>
      <c r="AW108" s="403"/>
      <c r="AX108" s="403"/>
      <c r="AY108" s="403"/>
      <c r="AZ108" s="403" t="s">
        <v>9035</v>
      </c>
      <c r="BA108" s="403"/>
      <c r="BB108" s="403"/>
      <c r="BC108" s="403"/>
      <c r="BD108" s="403"/>
      <c r="BE108" s="403"/>
      <c r="BF108" s="403"/>
      <c r="BG108" s="403"/>
      <c r="BH108" s="403"/>
      <c r="BI108" s="403"/>
      <c r="BJ108" s="403"/>
      <c r="BK108" s="403"/>
      <c r="BL108" s="403" t="s">
        <v>9036</v>
      </c>
      <c r="BM108" s="403"/>
      <c r="BN108" s="403"/>
      <c r="BO108" s="403"/>
      <c r="BP108" s="403" t="s">
        <v>9037</v>
      </c>
      <c r="BQ108" s="403"/>
      <c r="BR108" s="403"/>
      <c r="BS108" s="403"/>
      <c r="BT108" s="403"/>
      <c r="BU108" s="403"/>
      <c r="BV108" s="403"/>
      <c r="BW108" s="403"/>
      <c r="BX108" s="403"/>
      <c r="BY108" s="403"/>
      <c r="BZ108" s="403"/>
      <c r="CA108" s="403"/>
      <c r="CB108" s="403" t="s">
        <v>9038</v>
      </c>
      <c r="CC108" s="403"/>
      <c r="CD108" s="403"/>
      <c r="CE108" s="403"/>
      <c r="CF108" s="403" t="s">
        <v>9039</v>
      </c>
      <c r="CG108" s="403"/>
      <c r="CH108" s="403"/>
      <c r="CI108" s="403"/>
      <c r="CJ108" s="403"/>
      <c r="CK108" s="403"/>
      <c r="CL108" s="403"/>
      <c r="CM108" s="403"/>
      <c r="CN108" s="403"/>
      <c r="CO108" s="403"/>
      <c r="CP108" s="403"/>
      <c r="CQ108" s="403"/>
      <c r="CR108" s="403" t="s">
        <v>9040</v>
      </c>
      <c r="CS108" s="403"/>
      <c r="CT108" s="403"/>
      <c r="CU108" s="403"/>
      <c r="CV108" s="403" t="s">
        <v>9041</v>
      </c>
      <c r="CW108" s="403"/>
      <c r="CX108" s="403"/>
      <c r="CY108" s="403"/>
      <c r="CZ108" s="403"/>
      <c r="DA108" s="403"/>
      <c r="DB108" s="403"/>
      <c r="DC108" s="403"/>
      <c r="DD108" s="403"/>
      <c r="DE108" s="403"/>
      <c r="DF108" s="403"/>
      <c r="DG108" s="403"/>
      <c r="DH108" s="403" t="s">
        <v>9042</v>
      </c>
      <c r="DI108" s="403"/>
      <c r="DJ108" s="403"/>
      <c r="DK108" s="403"/>
      <c r="DL108" s="403" t="s">
        <v>9043</v>
      </c>
      <c r="DM108" s="403"/>
      <c r="DN108" s="403"/>
      <c r="DO108" s="403"/>
      <c r="DP108" s="403"/>
      <c r="DQ108" s="403"/>
      <c r="DR108" s="403"/>
      <c r="DS108" s="403"/>
      <c r="DT108" s="403"/>
      <c r="DU108" s="403"/>
      <c r="DV108" s="403"/>
      <c r="DW108" s="403"/>
      <c r="DX108" s="403" t="s">
        <v>9044</v>
      </c>
      <c r="DY108" s="564"/>
      <c r="DZ108" s="564"/>
    </row>
    <row r="109" spans="1:130" s="299" customFormat="1" x14ac:dyDescent="0.2">
      <c r="A109" s="354">
        <v>1</v>
      </c>
      <c r="C109" s="6" t="str">
        <f t="shared" ca="1" si="22"/>
        <v>TA: Gap assessment: Dry storage and cold chain capacity needs at all levels</v>
      </c>
      <c r="D109" s="2">
        <v>1</v>
      </c>
      <c r="F109" s="2"/>
      <c r="G109" s="32"/>
      <c r="H109" s="401"/>
      <c r="I109" s="300" t="e">
        <f t="shared" si="23"/>
        <v>#N/A</v>
      </c>
      <c r="J109" s="300" t="e">
        <f t="shared" si="24"/>
        <v>#N/A</v>
      </c>
      <c r="L109" s="299" t="s">
        <v>3891</v>
      </c>
      <c r="M109" s="86" t="str">
        <f ca="1">IF(OFFSET(AD109,0,Lang_Order*Lang__A4)="","",OFFSET(AD109,0,Lang_Order*Lang__A4))</f>
        <v>More info on cold chain @ R2.1.5</v>
      </c>
      <c r="O109" s="12" t="str">
        <f t="shared" ca="1" si="25"/>
        <v>NOT the actual costs of the upgrades required. Cold chain capacity needs costed separately in this tool.</v>
      </c>
      <c r="P109" s="587"/>
      <c r="Q109" s="403"/>
      <c r="R109" s="403"/>
      <c r="S109" s="403"/>
      <c r="T109" s="403" t="s">
        <v>3928</v>
      </c>
      <c r="U109" s="403"/>
      <c r="V109" s="403"/>
      <c r="W109" s="403"/>
      <c r="X109" s="403"/>
      <c r="Y109" s="403"/>
      <c r="Z109" s="403"/>
      <c r="AA109" s="403"/>
      <c r="AB109" s="403"/>
      <c r="AC109" s="403"/>
      <c r="AD109" s="403" t="s">
        <v>14649</v>
      </c>
      <c r="AE109" s="403"/>
      <c r="AF109" s="403" t="s">
        <v>3929</v>
      </c>
      <c r="AG109" s="403"/>
      <c r="AH109" s="403"/>
      <c r="AI109" s="403"/>
      <c r="AJ109" s="403" t="s">
        <v>9045</v>
      </c>
      <c r="AK109" s="403"/>
      <c r="AL109" s="403"/>
      <c r="AM109" s="403"/>
      <c r="AN109" s="403"/>
      <c r="AO109" s="403"/>
      <c r="AP109" s="403"/>
      <c r="AQ109" s="403"/>
      <c r="AR109" s="403"/>
      <c r="AS109" s="403"/>
      <c r="AT109" s="403" t="s">
        <v>14650</v>
      </c>
      <c r="AU109" s="403"/>
      <c r="AV109" s="403" t="s">
        <v>9046</v>
      </c>
      <c r="AW109" s="403"/>
      <c r="AX109" s="403"/>
      <c r="AY109" s="403"/>
      <c r="AZ109" s="403" t="s">
        <v>9047</v>
      </c>
      <c r="BA109" s="403"/>
      <c r="BB109" s="403"/>
      <c r="BC109" s="403"/>
      <c r="BD109" s="403"/>
      <c r="BE109" s="403"/>
      <c r="BF109" s="403"/>
      <c r="BG109" s="403"/>
      <c r="BH109" s="403"/>
      <c r="BI109" s="403"/>
      <c r="BJ109" s="403" t="s">
        <v>14651</v>
      </c>
      <c r="BK109" s="403"/>
      <c r="BL109" s="403" t="s">
        <v>9048</v>
      </c>
      <c r="BM109" s="403"/>
      <c r="BN109" s="403"/>
      <c r="BO109" s="403"/>
      <c r="BP109" s="403" t="s">
        <v>9049</v>
      </c>
      <c r="BQ109" s="403"/>
      <c r="BR109" s="403"/>
      <c r="BS109" s="403"/>
      <c r="BT109" s="403"/>
      <c r="BU109" s="403"/>
      <c r="BV109" s="403"/>
      <c r="BW109" s="403"/>
      <c r="BX109" s="403"/>
      <c r="BY109" s="403"/>
      <c r="BZ109" s="403" t="s">
        <v>14652</v>
      </c>
      <c r="CA109" s="403"/>
      <c r="CB109" s="403" t="s">
        <v>9050</v>
      </c>
      <c r="CC109" s="403"/>
      <c r="CD109" s="403"/>
      <c r="CE109" s="403"/>
      <c r="CF109" s="403" t="s">
        <v>9051</v>
      </c>
      <c r="CG109" s="403"/>
      <c r="CH109" s="403"/>
      <c r="CI109" s="403"/>
      <c r="CJ109" s="403"/>
      <c r="CK109" s="403"/>
      <c r="CL109" s="403"/>
      <c r="CM109" s="403"/>
      <c r="CN109" s="403"/>
      <c r="CO109" s="403"/>
      <c r="CP109" s="403" t="s">
        <v>14653</v>
      </c>
      <c r="CQ109" s="403"/>
      <c r="CR109" s="403" t="s">
        <v>9052</v>
      </c>
      <c r="CS109" s="403"/>
      <c r="CT109" s="403"/>
      <c r="CU109" s="403"/>
      <c r="CV109" s="403" t="s">
        <v>9053</v>
      </c>
      <c r="CW109" s="403"/>
      <c r="CX109" s="403"/>
      <c r="CY109" s="403"/>
      <c r="CZ109" s="403"/>
      <c r="DA109" s="403"/>
      <c r="DB109" s="403"/>
      <c r="DC109" s="403"/>
      <c r="DD109" s="403"/>
      <c r="DE109" s="403"/>
      <c r="DF109" s="403" t="s">
        <v>14654</v>
      </c>
      <c r="DG109" s="403"/>
      <c r="DH109" s="403" t="s">
        <v>9054</v>
      </c>
      <c r="DI109" s="403"/>
      <c r="DJ109" s="403"/>
      <c r="DK109" s="403"/>
      <c r="DL109" s="403" t="s">
        <v>9055</v>
      </c>
      <c r="DM109" s="403"/>
      <c r="DN109" s="403"/>
      <c r="DO109" s="403"/>
      <c r="DP109" s="403"/>
      <c r="DQ109" s="403"/>
      <c r="DR109" s="403"/>
      <c r="DS109" s="403"/>
      <c r="DT109" s="403"/>
      <c r="DU109" s="403"/>
      <c r="DV109" s="403" t="s">
        <v>14655</v>
      </c>
      <c r="DW109" s="403"/>
      <c r="DX109" s="403" t="s">
        <v>9056</v>
      </c>
      <c r="DY109" s="564"/>
      <c r="DZ109" s="564"/>
    </row>
    <row r="110" spans="1:130" x14ac:dyDescent="0.2">
      <c r="A110" s="354">
        <v>1</v>
      </c>
      <c r="B110" s="230"/>
      <c r="C110" s="370" t="str">
        <f t="shared" ca="1" si="22"/>
        <v>TA: Medical waste management planning, protocols, SOPs (combine A6/H6)</v>
      </c>
      <c r="D110" s="2">
        <v>1</v>
      </c>
      <c r="E110" s="567"/>
      <c r="F110" s="2"/>
      <c r="G110" s="32"/>
      <c r="H110" s="401"/>
      <c r="I110" s="300" t="e">
        <f t="shared" si="23"/>
        <v>#N/A</v>
      </c>
      <c r="J110" s="300" t="e">
        <f t="shared" si="24"/>
        <v>#N/A</v>
      </c>
      <c r="K110" s="567"/>
      <c r="L110" s="299" t="s">
        <v>3968</v>
      </c>
      <c r="O110" s="574"/>
      <c r="P110" s="587"/>
      <c r="T110" s="403" t="s">
        <v>3889</v>
      </c>
      <c r="AJ110" s="403" t="s">
        <v>9057</v>
      </c>
      <c r="AZ110" s="403" t="s">
        <v>9058</v>
      </c>
      <c r="BP110" s="403" t="s">
        <v>9059</v>
      </c>
      <c r="CF110" s="403" t="s">
        <v>8721</v>
      </c>
      <c r="CV110" s="403" t="s">
        <v>9060</v>
      </c>
      <c r="DL110" s="403" t="s">
        <v>9061</v>
      </c>
    </row>
    <row r="111" spans="1:130" ht="25.5" x14ac:dyDescent="0.2">
      <c r="A111" s="354">
        <v>1</v>
      </c>
      <c r="B111" s="230"/>
      <c r="C111" s="376" t="str">
        <f t="shared" ca="1" si="22"/>
        <v>TA: Supply-chain and logistics integrate existing Vaccine Logistics Management Information System (VLMIS)</v>
      </c>
      <c r="D111" s="2">
        <v>1</v>
      </c>
      <c r="E111" s="299"/>
      <c r="F111" s="2"/>
      <c r="G111" s="32"/>
      <c r="H111" s="401"/>
      <c r="I111" s="300" t="e">
        <f t="shared" si="23"/>
        <v>#N/A</v>
      </c>
      <c r="J111" s="300" t="e">
        <f t="shared" si="24"/>
        <v>#N/A</v>
      </c>
      <c r="K111" s="152"/>
      <c r="L111" s="299" t="s">
        <v>3890</v>
      </c>
      <c r="O111" s="12" t="str">
        <f t="shared" ca="1" si="25"/>
        <v>Cold-chain logistics, stock keeping</v>
      </c>
      <c r="P111" s="587"/>
      <c r="T111" s="403" t="s">
        <v>13709</v>
      </c>
      <c r="AF111" s="403" t="s">
        <v>2192</v>
      </c>
      <c r="AJ111" s="403" t="s">
        <v>9062</v>
      </c>
      <c r="AV111" s="403" t="s">
        <v>9063</v>
      </c>
      <c r="AZ111" s="403" t="s">
        <v>9064</v>
      </c>
      <c r="BL111" s="403" t="s">
        <v>9065</v>
      </c>
      <c r="BP111" s="403" t="s">
        <v>9066</v>
      </c>
      <c r="CB111" s="403" t="s">
        <v>9067</v>
      </c>
      <c r="CF111" s="403" t="s">
        <v>9068</v>
      </c>
      <c r="CR111" s="403" t="s">
        <v>9069</v>
      </c>
      <c r="CV111" s="403" t="s">
        <v>9070</v>
      </c>
      <c r="DH111" s="403" t="s">
        <v>9071</v>
      </c>
      <c r="DL111" s="403" t="s">
        <v>9072</v>
      </c>
      <c r="DX111" s="403" t="s">
        <v>9073</v>
      </c>
    </row>
    <row r="112" spans="1:130" s="299" customFormat="1" hidden="1" x14ac:dyDescent="0.2">
      <c r="A112" s="354">
        <v>1</v>
      </c>
      <c r="C112" s="5"/>
      <c r="D112" s="2">
        <v>1</v>
      </c>
      <c r="F112" s="2"/>
      <c r="G112" s="32"/>
      <c r="H112" s="401"/>
      <c r="I112" s="300" t="e">
        <f t="shared" si="23"/>
        <v>#N/A</v>
      </c>
      <c r="J112" s="300" t="e">
        <f t="shared" si="24"/>
        <v>#N/A</v>
      </c>
      <c r="L112" s="299" t="s">
        <v>3893</v>
      </c>
      <c r="O112" s="574"/>
      <c r="P112" s="587"/>
      <c r="Q112" s="403"/>
      <c r="R112" s="403"/>
      <c r="S112" s="403"/>
      <c r="T112" s="403" t="s">
        <v>3894</v>
      </c>
      <c r="U112" s="403"/>
      <c r="V112" s="403"/>
      <c r="W112" s="403"/>
      <c r="X112" s="403"/>
      <c r="Y112" s="403"/>
      <c r="Z112" s="403"/>
      <c r="AA112" s="403"/>
      <c r="AB112" s="403"/>
      <c r="AC112" s="403"/>
      <c r="AD112" s="403"/>
      <c r="AE112" s="403"/>
      <c r="AF112" s="403"/>
      <c r="AG112" s="403"/>
      <c r="AH112" s="403"/>
      <c r="AI112" s="403"/>
      <c r="AJ112" s="403" t="s">
        <v>9074</v>
      </c>
      <c r="AK112" s="403"/>
      <c r="AL112" s="403"/>
      <c r="AM112" s="403"/>
      <c r="AN112" s="403"/>
      <c r="AO112" s="403"/>
      <c r="AP112" s="403"/>
      <c r="AQ112" s="403"/>
      <c r="AR112" s="403"/>
      <c r="AS112" s="403"/>
      <c r="AT112" s="403"/>
      <c r="AU112" s="403"/>
      <c r="AV112" s="403"/>
      <c r="AW112" s="403"/>
      <c r="AX112" s="403"/>
      <c r="AY112" s="403"/>
      <c r="AZ112" s="403" t="s">
        <v>8825</v>
      </c>
      <c r="BA112" s="403"/>
      <c r="BB112" s="403"/>
      <c r="BC112" s="403"/>
      <c r="BD112" s="403"/>
      <c r="BE112" s="403"/>
      <c r="BF112" s="403"/>
      <c r="BG112" s="403"/>
      <c r="BH112" s="403"/>
      <c r="BI112" s="403"/>
      <c r="BJ112" s="403"/>
      <c r="BK112" s="403"/>
      <c r="BL112" s="403"/>
      <c r="BM112" s="403"/>
      <c r="BN112" s="403"/>
      <c r="BO112" s="403"/>
      <c r="BP112" s="403" t="s">
        <v>9075</v>
      </c>
      <c r="BQ112" s="403"/>
      <c r="BR112" s="403"/>
      <c r="BS112" s="403"/>
      <c r="BT112" s="403"/>
      <c r="BU112" s="403"/>
      <c r="BV112" s="403"/>
      <c r="BW112" s="403"/>
      <c r="BX112" s="403"/>
      <c r="BY112" s="403"/>
      <c r="BZ112" s="403"/>
      <c r="CA112" s="403"/>
      <c r="CB112" s="403"/>
      <c r="CC112" s="403"/>
      <c r="CD112" s="403"/>
      <c r="CE112" s="403"/>
      <c r="CF112" s="403" t="s">
        <v>8826</v>
      </c>
      <c r="CG112" s="403"/>
      <c r="CH112" s="403"/>
      <c r="CI112" s="403"/>
      <c r="CJ112" s="403"/>
      <c r="CK112" s="403"/>
      <c r="CL112" s="403"/>
      <c r="CM112" s="403"/>
      <c r="CN112" s="403"/>
      <c r="CO112" s="403"/>
      <c r="CP112" s="403"/>
      <c r="CQ112" s="403"/>
      <c r="CR112" s="403"/>
      <c r="CS112" s="403"/>
      <c r="CT112" s="403"/>
      <c r="CU112" s="403"/>
      <c r="CV112" s="403" t="s">
        <v>9076</v>
      </c>
      <c r="CW112" s="403"/>
      <c r="CX112" s="403"/>
      <c r="CY112" s="403"/>
      <c r="CZ112" s="403"/>
      <c r="DA112" s="403"/>
      <c r="DB112" s="403"/>
      <c r="DC112" s="403"/>
      <c r="DD112" s="403"/>
      <c r="DE112" s="403"/>
      <c r="DF112" s="403"/>
      <c r="DG112" s="403"/>
      <c r="DH112" s="403"/>
      <c r="DI112" s="403"/>
      <c r="DJ112" s="403"/>
      <c r="DK112" s="403"/>
      <c r="DL112" s="403" t="s">
        <v>9077</v>
      </c>
      <c r="DM112" s="403"/>
      <c r="DN112" s="403"/>
      <c r="DO112" s="403"/>
      <c r="DP112" s="403"/>
      <c r="DQ112" s="403"/>
      <c r="DR112" s="403"/>
      <c r="DS112" s="403"/>
      <c r="DT112" s="403"/>
      <c r="DU112" s="403"/>
      <c r="DV112" s="403"/>
      <c r="DW112" s="403"/>
      <c r="DX112" s="403"/>
      <c r="DY112" s="564"/>
      <c r="DZ112" s="564"/>
    </row>
    <row r="113" spans="1:130" s="194" customFormat="1" x14ac:dyDescent="0.2">
      <c r="A113" s="350">
        <v>2</v>
      </c>
      <c r="B113" s="230"/>
      <c r="C113" s="374" t="s">
        <v>2974</v>
      </c>
      <c r="D113" s="35">
        <v>1</v>
      </c>
      <c r="E113" s="299"/>
      <c r="F113" s="2"/>
      <c r="G113" s="32"/>
      <c r="H113" s="401"/>
      <c r="I113" s="300" t="e">
        <f t="shared" si="23"/>
        <v>#N/A</v>
      </c>
      <c r="J113" s="300" t="e">
        <f t="shared" si="24"/>
        <v>#N/A</v>
      </c>
      <c r="K113" s="152"/>
      <c r="L113" s="299"/>
      <c r="M113" s="299"/>
      <c r="N113" s="299"/>
      <c r="O113" s="574"/>
      <c r="P113" s="587"/>
      <c r="Q113" s="403"/>
      <c r="R113" s="403"/>
      <c r="S113" s="403"/>
      <c r="T113" s="403" t="s">
        <v>2974</v>
      </c>
      <c r="U113" s="403"/>
      <c r="V113" s="403"/>
      <c r="W113" s="403"/>
      <c r="X113" s="403"/>
      <c r="Y113" s="403"/>
      <c r="Z113" s="403"/>
      <c r="AA113" s="403"/>
      <c r="AB113" s="403"/>
      <c r="AC113" s="403"/>
      <c r="AD113" s="403"/>
      <c r="AE113" s="403"/>
      <c r="AF113" s="403"/>
      <c r="AG113" s="403"/>
      <c r="AH113" s="403"/>
      <c r="AI113" s="403"/>
      <c r="AJ113" s="403" t="s">
        <v>8753</v>
      </c>
      <c r="AK113" s="403"/>
      <c r="AL113" s="403"/>
      <c r="AM113" s="403"/>
      <c r="AN113" s="403"/>
      <c r="AO113" s="403"/>
      <c r="AP113" s="403"/>
      <c r="AQ113" s="403"/>
      <c r="AR113" s="403"/>
      <c r="AS113" s="403"/>
      <c r="AT113" s="403"/>
      <c r="AU113" s="403"/>
      <c r="AV113" s="403"/>
      <c r="AW113" s="403"/>
      <c r="AX113" s="403"/>
      <c r="AY113" s="403"/>
      <c r="AZ113" s="403" t="s">
        <v>8754</v>
      </c>
      <c r="BA113" s="403"/>
      <c r="BB113" s="403"/>
      <c r="BC113" s="403"/>
      <c r="BD113" s="403"/>
      <c r="BE113" s="403"/>
      <c r="BF113" s="403"/>
      <c r="BG113" s="403"/>
      <c r="BH113" s="403"/>
      <c r="BI113" s="403"/>
      <c r="BJ113" s="403"/>
      <c r="BK113" s="403"/>
      <c r="BL113" s="403"/>
      <c r="BM113" s="403"/>
      <c r="BN113" s="403"/>
      <c r="BO113" s="403"/>
      <c r="BP113" s="403" t="s">
        <v>8755</v>
      </c>
      <c r="BQ113" s="403"/>
      <c r="BR113" s="403"/>
      <c r="BS113" s="403"/>
      <c r="BT113" s="403"/>
      <c r="BU113" s="403"/>
      <c r="BV113" s="403"/>
      <c r="BW113" s="403"/>
      <c r="BX113" s="403"/>
      <c r="BY113" s="403"/>
      <c r="BZ113" s="403"/>
      <c r="CA113" s="403"/>
      <c r="CB113" s="403"/>
      <c r="CC113" s="403"/>
      <c r="CD113" s="403"/>
      <c r="CE113" s="403"/>
      <c r="CF113" s="403" t="s">
        <v>8756</v>
      </c>
      <c r="CG113" s="403"/>
      <c r="CH113" s="403"/>
      <c r="CI113" s="403"/>
      <c r="CJ113" s="403"/>
      <c r="CK113" s="403"/>
      <c r="CL113" s="403"/>
      <c r="CM113" s="403"/>
      <c r="CN113" s="403"/>
      <c r="CO113" s="403"/>
      <c r="CP113" s="403"/>
      <c r="CQ113" s="403"/>
      <c r="CR113" s="403"/>
      <c r="CS113" s="403"/>
      <c r="CT113" s="403"/>
      <c r="CU113" s="403"/>
      <c r="CV113" s="403" t="s">
        <v>8915</v>
      </c>
      <c r="CW113" s="403"/>
      <c r="CX113" s="403"/>
      <c r="CY113" s="403"/>
      <c r="CZ113" s="403"/>
      <c r="DA113" s="403"/>
      <c r="DB113" s="403"/>
      <c r="DC113" s="403"/>
      <c r="DD113" s="403"/>
      <c r="DE113" s="403"/>
      <c r="DF113" s="403"/>
      <c r="DG113" s="403"/>
      <c r="DH113" s="403"/>
      <c r="DI113" s="403"/>
      <c r="DJ113" s="403"/>
      <c r="DK113" s="403"/>
      <c r="DL113" s="403" t="s">
        <v>8758</v>
      </c>
      <c r="DM113" s="403"/>
      <c r="DN113" s="403"/>
      <c r="DO113" s="403"/>
      <c r="DP113" s="403"/>
      <c r="DQ113" s="403"/>
      <c r="DR113" s="403"/>
      <c r="DS113" s="403"/>
      <c r="DT113" s="403"/>
      <c r="DU113" s="403"/>
      <c r="DV113" s="403"/>
      <c r="DW113" s="403"/>
      <c r="DX113" s="403"/>
      <c r="DY113" s="564"/>
      <c r="DZ113" s="564"/>
    </row>
    <row r="114" spans="1:130" s="194" customFormat="1" x14ac:dyDescent="0.2">
      <c r="A114" s="350">
        <v>2</v>
      </c>
      <c r="B114" s="230"/>
      <c r="C114" s="374"/>
      <c r="D114" s="35">
        <v>1</v>
      </c>
      <c r="E114" s="299"/>
      <c r="F114" s="2"/>
      <c r="G114" s="32"/>
      <c r="H114" s="401"/>
      <c r="I114" s="300" t="e">
        <f t="shared" si="23"/>
        <v>#N/A</v>
      </c>
      <c r="J114" s="300" t="e">
        <f t="shared" si="24"/>
        <v>#N/A</v>
      </c>
      <c r="K114" s="152"/>
      <c r="L114" s="299"/>
      <c r="M114" s="299"/>
      <c r="N114" s="299"/>
      <c r="O114" s="574"/>
      <c r="P114" s="587"/>
      <c r="Q114" s="403"/>
      <c r="R114" s="403"/>
      <c r="S114" s="403"/>
      <c r="T114" s="403"/>
      <c r="U114" s="403"/>
      <c r="V114" s="403"/>
      <c r="W114" s="403"/>
      <c r="X114" s="403"/>
      <c r="Y114" s="403"/>
      <c r="Z114" s="403"/>
      <c r="AA114" s="403"/>
      <c r="AB114" s="403"/>
      <c r="AC114" s="403"/>
      <c r="AD114" s="403"/>
      <c r="AE114" s="403"/>
      <c r="AF114" s="403"/>
      <c r="AG114" s="403"/>
      <c r="AH114" s="403"/>
      <c r="AI114" s="403"/>
      <c r="AJ114" s="403"/>
      <c r="AK114" s="403"/>
      <c r="AL114" s="403"/>
      <c r="AM114" s="403"/>
      <c r="AN114" s="403"/>
      <c r="AO114" s="403"/>
      <c r="AP114" s="403"/>
      <c r="AQ114" s="403"/>
      <c r="AR114" s="403"/>
      <c r="AS114" s="403"/>
      <c r="AT114" s="403"/>
      <c r="AU114" s="403"/>
      <c r="AV114" s="403"/>
      <c r="AW114" s="403"/>
      <c r="AX114" s="403"/>
      <c r="AY114" s="403"/>
      <c r="AZ114" s="403"/>
      <c r="BA114" s="403"/>
      <c r="BB114" s="403"/>
      <c r="BC114" s="403"/>
      <c r="BD114" s="403"/>
      <c r="BE114" s="403"/>
      <c r="BF114" s="403"/>
      <c r="BG114" s="403"/>
      <c r="BH114" s="403"/>
      <c r="BI114" s="403"/>
      <c r="BJ114" s="403"/>
      <c r="BK114" s="403"/>
      <c r="BL114" s="403"/>
      <c r="BM114" s="403"/>
      <c r="BN114" s="403"/>
      <c r="BO114" s="403"/>
      <c r="BP114" s="403"/>
      <c r="BQ114" s="403"/>
      <c r="BR114" s="403"/>
      <c r="BS114" s="403"/>
      <c r="BT114" s="403"/>
      <c r="BU114" s="403"/>
      <c r="BV114" s="403"/>
      <c r="BW114" s="403"/>
      <c r="BX114" s="403"/>
      <c r="BY114" s="403"/>
      <c r="BZ114" s="403"/>
      <c r="CA114" s="403"/>
      <c r="CB114" s="403"/>
      <c r="CC114" s="403"/>
      <c r="CD114" s="403"/>
      <c r="CE114" s="403"/>
      <c r="CF114" s="403"/>
      <c r="CG114" s="403"/>
      <c r="CH114" s="403"/>
      <c r="CI114" s="403"/>
      <c r="CJ114" s="403"/>
      <c r="CK114" s="403"/>
      <c r="CL114" s="403"/>
      <c r="CM114" s="403"/>
      <c r="CN114" s="403"/>
      <c r="CO114" s="403"/>
      <c r="CP114" s="403"/>
      <c r="CQ114" s="403"/>
      <c r="CR114" s="403"/>
      <c r="CS114" s="403"/>
      <c r="CT114" s="403"/>
      <c r="CU114" s="403"/>
      <c r="CV114" s="403" t="s">
        <v>8757</v>
      </c>
      <c r="CW114" s="403"/>
      <c r="CX114" s="403"/>
      <c r="CY114" s="403"/>
      <c r="CZ114" s="403"/>
      <c r="DA114" s="403"/>
      <c r="DB114" s="403"/>
      <c r="DC114" s="403"/>
      <c r="DD114" s="403"/>
      <c r="DE114" s="403"/>
      <c r="DF114" s="403"/>
      <c r="DG114" s="403"/>
      <c r="DH114" s="403"/>
      <c r="DI114" s="403"/>
      <c r="DJ114" s="403"/>
      <c r="DK114" s="403"/>
      <c r="DL114" s="403"/>
      <c r="DM114" s="403"/>
      <c r="DN114" s="403"/>
      <c r="DO114" s="403"/>
      <c r="DP114" s="403"/>
      <c r="DQ114" s="403"/>
      <c r="DR114" s="403"/>
      <c r="DS114" s="403"/>
      <c r="DT114" s="403"/>
      <c r="DU114" s="403"/>
      <c r="DV114" s="403"/>
      <c r="DW114" s="403"/>
      <c r="DX114" s="403"/>
      <c r="DY114" s="564"/>
      <c r="DZ114" s="564"/>
    </row>
    <row r="115" spans="1:130" s="194" customFormat="1" x14ac:dyDescent="0.2">
      <c r="A115" s="350">
        <v>2</v>
      </c>
      <c r="B115" s="230"/>
      <c r="C115" s="374"/>
      <c r="D115" s="35">
        <v>1</v>
      </c>
      <c r="E115" s="299"/>
      <c r="F115" s="2"/>
      <c r="G115" s="32"/>
      <c r="H115" s="401"/>
      <c r="I115" s="300" t="e">
        <f t="shared" si="23"/>
        <v>#N/A</v>
      </c>
      <c r="J115" s="300" t="e">
        <f t="shared" si="24"/>
        <v>#N/A</v>
      </c>
      <c r="K115" s="152"/>
      <c r="L115" s="299"/>
      <c r="M115" s="299"/>
      <c r="N115" s="299"/>
      <c r="O115" s="574"/>
      <c r="P115" s="587"/>
      <c r="Q115" s="403"/>
      <c r="R115" s="403"/>
      <c r="S115" s="403"/>
      <c r="T115" s="403"/>
      <c r="U115" s="403"/>
      <c r="V115" s="403"/>
      <c r="W115" s="403"/>
      <c r="X115" s="403"/>
      <c r="Y115" s="403"/>
      <c r="Z115" s="403"/>
      <c r="AA115" s="403"/>
      <c r="AB115" s="403"/>
      <c r="AC115" s="403"/>
      <c r="AD115" s="403"/>
      <c r="AE115" s="403"/>
      <c r="AF115" s="403"/>
      <c r="AG115" s="403"/>
      <c r="AH115" s="403"/>
      <c r="AI115" s="403"/>
      <c r="AJ115" s="403"/>
      <c r="AK115" s="403"/>
      <c r="AL115" s="403"/>
      <c r="AM115" s="403"/>
      <c r="AN115" s="403"/>
      <c r="AO115" s="403"/>
      <c r="AP115" s="403"/>
      <c r="AQ115" s="403"/>
      <c r="AR115" s="403"/>
      <c r="AS115" s="403"/>
      <c r="AT115" s="403"/>
      <c r="AU115" s="403"/>
      <c r="AV115" s="403"/>
      <c r="AW115" s="403"/>
      <c r="AX115" s="403"/>
      <c r="AY115" s="403"/>
      <c r="AZ115" s="403"/>
      <c r="BA115" s="403"/>
      <c r="BB115" s="403"/>
      <c r="BC115" s="403"/>
      <c r="BD115" s="403"/>
      <c r="BE115" s="403"/>
      <c r="BF115" s="403"/>
      <c r="BG115" s="403"/>
      <c r="BH115" s="403"/>
      <c r="BI115" s="403"/>
      <c r="BJ115" s="403"/>
      <c r="BK115" s="403"/>
      <c r="BL115" s="403"/>
      <c r="BM115" s="403"/>
      <c r="BN115" s="403"/>
      <c r="BO115" s="403"/>
      <c r="BP115" s="403"/>
      <c r="BQ115" s="403"/>
      <c r="BR115" s="403"/>
      <c r="BS115" s="403"/>
      <c r="BT115" s="403"/>
      <c r="BU115" s="403"/>
      <c r="BV115" s="403"/>
      <c r="BW115" s="403"/>
      <c r="BX115" s="403"/>
      <c r="BY115" s="403"/>
      <c r="BZ115" s="403"/>
      <c r="CA115" s="403"/>
      <c r="CB115" s="403"/>
      <c r="CC115" s="403"/>
      <c r="CD115" s="403"/>
      <c r="CE115" s="403"/>
      <c r="CF115" s="403"/>
      <c r="CG115" s="403"/>
      <c r="CH115" s="403"/>
      <c r="CI115" s="403"/>
      <c r="CJ115" s="403"/>
      <c r="CK115" s="403"/>
      <c r="CL115" s="403"/>
      <c r="CM115" s="403"/>
      <c r="CN115" s="403"/>
      <c r="CO115" s="403"/>
      <c r="CP115" s="403"/>
      <c r="CQ115" s="403"/>
      <c r="CR115" s="403"/>
      <c r="CS115" s="403"/>
      <c r="CT115" s="403"/>
      <c r="CU115" s="403"/>
      <c r="CV115" s="403"/>
      <c r="CW115" s="403"/>
      <c r="CX115" s="403"/>
      <c r="CY115" s="403"/>
      <c r="CZ115" s="403"/>
      <c r="DA115" s="403"/>
      <c r="DB115" s="403"/>
      <c r="DC115" s="403"/>
      <c r="DD115" s="403"/>
      <c r="DE115" s="403"/>
      <c r="DF115" s="403"/>
      <c r="DG115" s="403"/>
      <c r="DH115" s="403"/>
      <c r="DI115" s="403"/>
      <c r="DJ115" s="403"/>
      <c r="DK115" s="403"/>
      <c r="DL115" s="403"/>
      <c r="DM115" s="403"/>
      <c r="DN115" s="403"/>
      <c r="DO115" s="403"/>
      <c r="DP115" s="403"/>
      <c r="DQ115" s="403"/>
      <c r="DR115" s="403"/>
      <c r="DS115" s="403"/>
      <c r="DT115" s="403"/>
      <c r="DU115" s="403"/>
      <c r="DV115" s="403"/>
      <c r="DW115" s="403"/>
      <c r="DX115" s="403"/>
      <c r="DY115" s="564"/>
      <c r="DZ115" s="564"/>
    </row>
    <row r="116" spans="1:130" s="194" customFormat="1" x14ac:dyDescent="0.2">
      <c r="B116" s="230"/>
      <c r="C116" s="5"/>
      <c r="G116" s="299"/>
      <c r="H116" s="300"/>
      <c r="I116" s="299"/>
      <c r="K116" s="34"/>
      <c r="L116" s="299"/>
      <c r="M116" s="299"/>
      <c r="N116" s="299"/>
      <c r="O116" s="574"/>
      <c r="P116" s="574"/>
      <c r="Q116" s="403"/>
      <c r="R116" s="403"/>
      <c r="S116" s="403"/>
      <c r="T116" s="403"/>
      <c r="U116" s="403"/>
      <c r="V116" s="403"/>
      <c r="W116" s="403"/>
      <c r="X116" s="403"/>
      <c r="Y116" s="403"/>
      <c r="Z116" s="403"/>
      <c r="AA116" s="403"/>
      <c r="AB116" s="403"/>
      <c r="AC116" s="403"/>
      <c r="AD116" s="403"/>
      <c r="AE116" s="403"/>
      <c r="AF116" s="403"/>
      <c r="AG116" s="403"/>
      <c r="AH116" s="403"/>
      <c r="AI116" s="403"/>
      <c r="AJ116" s="403"/>
      <c r="AK116" s="403"/>
      <c r="AL116" s="403"/>
      <c r="AM116" s="403"/>
      <c r="AN116" s="403"/>
      <c r="AO116" s="403"/>
      <c r="AP116" s="403"/>
      <c r="AQ116" s="403"/>
      <c r="AR116" s="403"/>
      <c r="AS116" s="403"/>
      <c r="AT116" s="403"/>
      <c r="AU116" s="403"/>
      <c r="AV116" s="403"/>
      <c r="AW116" s="403"/>
      <c r="AX116" s="403"/>
      <c r="AY116" s="403"/>
      <c r="AZ116" s="403"/>
      <c r="BA116" s="403"/>
      <c r="BB116" s="403"/>
      <c r="BC116" s="403"/>
      <c r="BD116" s="403"/>
      <c r="BE116" s="403"/>
      <c r="BF116" s="403"/>
      <c r="BG116" s="403"/>
      <c r="BH116" s="403"/>
      <c r="BI116" s="403"/>
      <c r="BJ116" s="403"/>
      <c r="BK116" s="403"/>
      <c r="BL116" s="403"/>
      <c r="BM116" s="403"/>
      <c r="BN116" s="403"/>
      <c r="BO116" s="403"/>
      <c r="BP116" s="403"/>
      <c r="BQ116" s="403"/>
      <c r="BR116" s="403"/>
      <c r="BS116" s="403"/>
      <c r="BT116" s="403"/>
      <c r="BU116" s="403"/>
      <c r="BV116" s="403"/>
      <c r="BW116" s="403"/>
      <c r="BX116" s="403"/>
      <c r="BY116" s="403"/>
      <c r="BZ116" s="403"/>
      <c r="CA116" s="403"/>
      <c r="CB116" s="403"/>
      <c r="CC116" s="403"/>
      <c r="CD116" s="403"/>
      <c r="CE116" s="403"/>
      <c r="CF116" s="403"/>
      <c r="CG116" s="403"/>
      <c r="CH116" s="403"/>
      <c r="CI116" s="403"/>
      <c r="CJ116" s="403"/>
      <c r="CK116" s="403"/>
      <c r="CL116" s="403"/>
      <c r="CM116" s="403"/>
      <c r="CN116" s="403"/>
      <c r="CO116" s="403"/>
      <c r="CP116" s="403"/>
      <c r="CQ116" s="403"/>
      <c r="CR116" s="403"/>
      <c r="CS116" s="403"/>
      <c r="CT116" s="403"/>
      <c r="CU116" s="403"/>
      <c r="CV116" s="403"/>
      <c r="CW116" s="403"/>
      <c r="CX116" s="403"/>
      <c r="CY116" s="403"/>
      <c r="CZ116" s="403"/>
      <c r="DA116" s="403"/>
      <c r="DB116" s="403"/>
      <c r="DC116" s="403"/>
      <c r="DD116" s="403"/>
      <c r="DE116" s="403"/>
      <c r="DF116" s="403"/>
      <c r="DG116" s="403"/>
      <c r="DH116" s="403"/>
      <c r="DI116" s="403"/>
      <c r="DJ116" s="403"/>
      <c r="DK116" s="403"/>
      <c r="DL116" s="403"/>
      <c r="DM116" s="403"/>
      <c r="DN116" s="403"/>
      <c r="DO116" s="403"/>
      <c r="DP116" s="403"/>
      <c r="DQ116" s="403"/>
      <c r="DR116" s="403"/>
      <c r="DS116" s="403"/>
      <c r="DT116" s="403"/>
      <c r="DU116" s="403"/>
      <c r="DV116" s="403"/>
      <c r="DW116" s="403"/>
      <c r="DX116" s="403"/>
      <c r="DY116" s="564"/>
      <c r="DZ116" s="564"/>
    </row>
    <row r="117" spans="1:130" ht="15" x14ac:dyDescent="0.25">
      <c r="A117" s="15" t="str">
        <f ca="1">IF(OFFSET(R117,0,Lang_Order*Lang__A4)="","",OFFSET(R117,0,Lang_Order*Lang__A4))</f>
        <v/>
      </c>
      <c r="B117" s="8" t="str">
        <f ca="1">IF(OFFSET(S117,0,Lang_Order*Lang__A4)="","",OFFSET(S117,0,Lang_Order*Lang__A4))</f>
        <v>A4.1.09 Vaccine Safety Surveillance</v>
      </c>
      <c r="C117" s="8"/>
      <c r="D117" s="8"/>
      <c r="E117" s="8"/>
      <c r="F117" s="8"/>
      <c r="G117" s="408" t="str">
        <f>CONCATENATE(Lang_LCU,": ",LCU)</f>
        <v xml:space="preserve">LCU: </v>
      </c>
      <c r="H117" s="219" t="str">
        <f ca="1">IF(OFFSET(Y117,0,Lang_Order*Lang__A4)="","",OFFSET(Y117,0,Lang_Order*Lang__A4))</f>
        <v>Override in USD</v>
      </c>
      <c r="I117" s="8"/>
      <c r="J117" s="8"/>
      <c r="K117" s="188" t="e">
        <f>SUM(J119:J136)</f>
        <v>#N/A</v>
      </c>
      <c r="L117" s="8"/>
      <c r="M117" s="8"/>
      <c r="N117" s="8"/>
      <c r="O117" s="8"/>
      <c r="P117" s="8"/>
      <c r="S117" s="403" t="s">
        <v>14521</v>
      </c>
      <c r="Y117" s="403" t="s">
        <v>2977</v>
      </c>
      <c r="AI117" s="403" t="s">
        <v>14522</v>
      </c>
      <c r="AO117" s="403" t="s">
        <v>7897</v>
      </c>
      <c r="AY117" s="403" t="s">
        <v>14523</v>
      </c>
      <c r="BE117" s="403" t="s">
        <v>8114</v>
      </c>
      <c r="BO117" s="403" t="s">
        <v>14524</v>
      </c>
      <c r="BU117" s="403" t="s">
        <v>7903</v>
      </c>
      <c r="CE117" s="403" t="s">
        <v>14525</v>
      </c>
      <c r="CK117" s="403" t="s">
        <v>7906</v>
      </c>
      <c r="CU117" s="403" t="s">
        <v>14526</v>
      </c>
      <c r="DA117" s="403" t="s">
        <v>7908</v>
      </c>
      <c r="DK117" s="403" t="s">
        <v>14527</v>
      </c>
      <c r="DQ117" s="403" t="s">
        <v>7911</v>
      </c>
    </row>
    <row r="118" spans="1:130" s="185" customFormat="1" ht="52.5" customHeight="1" x14ac:dyDescent="0.2">
      <c r="C118" s="679" t="str">
        <f t="shared" ref="C118:C133" ca="1" si="26">IF(OFFSET(T118,0,Lang_Order*Lang__A4)="","",OFFSET(T118,0,Lang_Order*Lang__A4))</f>
        <v>Instructions:: This section includes technical assistance (TA), training, and the establishment of a compensation scheme. Funds for such a scheme are costed as a fixed amount per dose (under section T1) and are tabulated in R2.1.13.
Note: At time of development of this costing platform, specific details of the vaccine candidates and related AEFI, SAR, AESI surveillance and investigation activities are not available and hence the estimation of such cost may need further adaptation.</v>
      </c>
      <c r="D118" s="679"/>
      <c r="E118" s="679"/>
      <c r="F118" s="679"/>
      <c r="G118" s="679"/>
      <c r="H118" s="679"/>
      <c r="P118" s="574"/>
      <c r="Q118" s="403"/>
      <c r="R118" s="403"/>
      <c r="S118" s="403"/>
      <c r="T118" s="403" t="s">
        <v>4156</v>
      </c>
      <c r="U118" s="403"/>
      <c r="V118" s="403"/>
      <c r="W118" s="403"/>
      <c r="X118" s="403"/>
      <c r="Y118" s="403"/>
      <c r="Z118" s="403"/>
      <c r="AA118" s="403"/>
      <c r="AB118" s="403"/>
      <c r="AC118" s="403"/>
      <c r="AD118" s="403"/>
      <c r="AE118" s="403"/>
      <c r="AF118" s="403"/>
      <c r="AG118" s="403"/>
      <c r="AH118" s="403"/>
      <c r="AI118" s="403"/>
      <c r="AJ118" s="403" t="s">
        <v>9078</v>
      </c>
      <c r="AK118" s="403"/>
      <c r="AL118" s="403"/>
      <c r="AM118" s="403"/>
      <c r="AN118" s="403"/>
      <c r="AO118" s="403"/>
      <c r="AP118" s="403"/>
      <c r="AQ118" s="403"/>
      <c r="AR118" s="403"/>
      <c r="AS118" s="403"/>
      <c r="AT118" s="403"/>
      <c r="AU118" s="403"/>
      <c r="AV118" s="403"/>
      <c r="AW118" s="403"/>
      <c r="AX118" s="403"/>
      <c r="AY118" s="403"/>
      <c r="AZ118" s="403" t="s">
        <v>9079</v>
      </c>
      <c r="BA118" s="403"/>
      <c r="BB118" s="403"/>
      <c r="BC118" s="403"/>
      <c r="BD118" s="403"/>
      <c r="BE118" s="403"/>
      <c r="BF118" s="403"/>
      <c r="BG118" s="403"/>
      <c r="BH118" s="403"/>
      <c r="BI118" s="403"/>
      <c r="BJ118" s="403"/>
      <c r="BK118" s="403"/>
      <c r="BL118" s="403"/>
      <c r="BM118" s="403"/>
      <c r="BN118" s="403"/>
      <c r="BO118" s="403"/>
      <c r="BP118" s="403" t="s">
        <v>9080</v>
      </c>
      <c r="BQ118" s="403"/>
      <c r="BR118" s="403"/>
      <c r="BS118" s="403"/>
      <c r="BT118" s="403"/>
      <c r="BU118" s="403"/>
      <c r="BV118" s="403"/>
      <c r="BW118" s="403"/>
      <c r="BX118" s="403"/>
      <c r="BY118" s="403"/>
      <c r="BZ118" s="403"/>
      <c r="CA118" s="403"/>
      <c r="CB118" s="403"/>
      <c r="CC118" s="403"/>
      <c r="CD118" s="403"/>
      <c r="CE118" s="403"/>
      <c r="CF118" s="403" t="s">
        <v>9081</v>
      </c>
      <c r="CG118" s="403"/>
      <c r="CH118" s="403"/>
      <c r="CI118" s="403"/>
      <c r="CJ118" s="403"/>
      <c r="CK118" s="403"/>
      <c r="CL118" s="403"/>
      <c r="CM118" s="403"/>
      <c r="CN118" s="403"/>
      <c r="CO118" s="403"/>
      <c r="CP118" s="403"/>
      <c r="CQ118" s="403"/>
      <c r="CR118" s="403"/>
      <c r="CS118" s="403"/>
      <c r="CT118" s="403"/>
      <c r="CU118" s="403"/>
      <c r="CV118" s="403" t="s">
        <v>9082</v>
      </c>
      <c r="CW118" s="403"/>
      <c r="CX118" s="403"/>
      <c r="CY118" s="403"/>
      <c r="CZ118" s="403"/>
      <c r="DA118" s="403"/>
      <c r="DB118" s="403"/>
      <c r="DC118" s="403"/>
      <c r="DD118" s="403"/>
      <c r="DE118" s="403"/>
      <c r="DF118" s="403"/>
      <c r="DG118" s="403"/>
      <c r="DH118" s="403"/>
      <c r="DI118" s="403"/>
      <c r="DJ118" s="403"/>
      <c r="DK118" s="403"/>
      <c r="DL118" s="403" t="s">
        <v>9083</v>
      </c>
      <c r="DM118" s="403"/>
      <c r="DN118" s="403"/>
      <c r="DO118" s="403"/>
      <c r="DP118" s="403"/>
      <c r="DQ118" s="403"/>
      <c r="DR118" s="403"/>
      <c r="DS118" s="403"/>
      <c r="DT118" s="403"/>
      <c r="DU118" s="403"/>
      <c r="DV118" s="403"/>
      <c r="DW118" s="403"/>
      <c r="DX118" s="403"/>
      <c r="DY118" s="564"/>
      <c r="DZ118" s="564"/>
    </row>
    <row r="119" spans="1:130" ht="25.5" x14ac:dyDescent="0.2">
      <c r="A119" s="354">
        <v>1</v>
      </c>
      <c r="B119" s="230"/>
      <c r="C119" s="370" t="str">
        <f t="shared" ca="1" si="26"/>
        <v>TA: Develop and disseminate guidelines, procedures, tools for vaccine pharmacovigilance and active surveillance of specific Covid-19 vaccine related adverse events</v>
      </c>
      <c r="D119" s="2">
        <v>1</v>
      </c>
      <c r="E119" s="299"/>
      <c r="F119" s="2"/>
      <c r="G119" s="32"/>
      <c r="H119" s="401"/>
      <c r="I119" s="300" t="e">
        <f t="shared" ref="I119:I136" si="27">IF(ISBLANK(H119),G119/USD2LCU,H119)</f>
        <v>#N/A</v>
      </c>
      <c r="J119" s="300" t="e">
        <f t="shared" ref="J119:J136" si="28">D119*I119</f>
        <v>#N/A</v>
      </c>
      <c r="K119" s="152"/>
      <c r="L119" s="299" t="s">
        <v>3935</v>
      </c>
      <c r="O119" s="12" t="str">
        <f t="shared" ref="O119" ca="1" si="29">IF(OFFSET(AF119,0,Lang_Order*Lang__A4)="","",OFFSET(AF119,0,Lang_Order*Lang__A4))</f>
        <v>Reporting, investigation, causality assessment, risk communication and response</v>
      </c>
      <c r="P119" s="587"/>
      <c r="T119" s="403" t="s">
        <v>14181</v>
      </c>
      <c r="AF119" s="403" t="s">
        <v>2193</v>
      </c>
      <c r="AJ119" s="403" t="s">
        <v>9084</v>
      </c>
      <c r="AV119" s="403" t="s">
        <v>9085</v>
      </c>
      <c r="AZ119" s="403" t="s">
        <v>9086</v>
      </c>
      <c r="BL119" s="403" t="s">
        <v>9087</v>
      </c>
      <c r="BP119" s="403" t="s">
        <v>9088</v>
      </c>
      <c r="CB119" s="403" t="s">
        <v>9089</v>
      </c>
      <c r="CF119" s="403" t="s">
        <v>9090</v>
      </c>
      <c r="CR119" s="403" t="s">
        <v>9091</v>
      </c>
      <c r="CV119" s="403" t="s">
        <v>9092</v>
      </c>
      <c r="DH119" s="403" t="s">
        <v>9093</v>
      </c>
      <c r="DL119" s="403" t="s">
        <v>9094</v>
      </c>
      <c r="DX119" s="403" t="s">
        <v>9095</v>
      </c>
    </row>
    <row r="120" spans="1:130" s="299" customFormat="1" x14ac:dyDescent="0.2">
      <c r="A120" s="354">
        <v>1</v>
      </c>
      <c r="B120" s="230"/>
      <c r="C120" s="5" t="str">
        <f ca="1">IF(OFFSET(T120,0,Lang_Order*Lang__A4)="","",OFFSET(T120,0,Lang_Order*Lang__A4))</f>
        <v>TA: AEFI Committee  - TORs</v>
      </c>
      <c r="D120" s="2">
        <v>1</v>
      </c>
      <c r="F120" s="2"/>
      <c r="G120" s="32"/>
      <c r="H120" s="401"/>
      <c r="I120" s="300" t="e">
        <f>IF(ISBLANK(H120),G120/USD2LCU,H120)</f>
        <v>#N/A</v>
      </c>
      <c r="J120" s="300" t="e">
        <f>D120*I120</f>
        <v>#N/A</v>
      </c>
      <c r="K120" s="152"/>
      <c r="L120" s="299" t="s">
        <v>2859</v>
      </c>
      <c r="O120" s="574"/>
      <c r="P120" s="587"/>
      <c r="Q120" s="403"/>
      <c r="R120" s="403"/>
      <c r="S120" s="403"/>
      <c r="T120" s="403" t="s">
        <v>3931</v>
      </c>
      <c r="U120" s="403"/>
      <c r="V120" s="403"/>
      <c r="W120" s="403"/>
      <c r="X120" s="403"/>
      <c r="Y120" s="403"/>
      <c r="Z120" s="403"/>
      <c r="AA120" s="403"/>
      <c r="AB120" s="403"/>
      <c r="AC120" s="403"/>
      <c r="AD120" s="403"/>
      <c r="AE120" s="403"/>
      <c r="AF120" s="403"/>
      <c r="AG120" s="403"/>
      <c r="AH120" s="403"/>
      <c r="AI120" s="403"/>
      <c r="AJ120" s="403" t="s">
        <v>9096</v>
      </c>
      <c r="AK120" s="403"/>
      <c r="AL120" s="403"/>
      <c r="AM120" s="403"/>
      <c r="AN120" s="403"/>
      <c r="AO120" s="403"/>
      <c r="AP120" s="403"/>
      <c r="AQ120" s="403"/>
      <c r="AR120" s="403"/>
      <c r="AS120" s="403"/>
      <c r="AT120" s="403"/>
      <c r="AU120" s="403"/>
      <c r="AV120" s="403"/>
      <c r="AW120" s="403"/>
      <c r="AX120" s="403"/>
      <c r="AY120" s="403"/>
      <c r="AZ120" s="403" t="s">
        <v>9097</v>
      </c>
      <c r="BA120" s="403"/>
      <c r="BB120" s="403"/>
      <c r="BC120" s="403"/>
      <c r="BD120" s="403"/>
      <c r="BE120" s="403"/>
      <c r="BF120" s="403"/>
      <c r="BG120" s="403"/>
      <c r="BH120" s="403"/>
      <c r="BI120" s="403"/>
      <c r="BJ120" s="403"/>
      <c r="BK120" s="403"/>
      <c r="BL120" s="403"/>
      <c r="BM120" s="403"/>
      <c r="BN120" s="403"/>
      <c r="BO120" s="403"/>
      <c r="BP120" s="403" t="s">
        <v>9098</v>
      </c>
      <c r="BQ120" s="403"/>
      <c r="BR120" s="403"/>
      <c r="BS120" s="403"/>
      <c r="BT120" s="403"/>
      <c r="BU120" s="403"/>
      <c r="BV120" s="403"/>
      <c r="BW120" s="403"/>
      <c r="BX120" s="403"/>
      <c r="BY120" s="403"/>
      <c r="BZ120" s="403"/>
      <c r="CA120" s="403"/>
      <c r="CB120" s="403"/>
      <c r="CC120" s="403"/>
      <c r="CD120" s="403"/>
      <c r="CE120" s="403"/>
      <c r="CF120" s="403" t="s">
        <v>9099</v>
      </c>
      <c r="CG120" s="403"/>
      <c r="CH120" s="403"/>
      <c r="CI120" s="403"/>
      <c r="CJ120" s="403"/>
      <c r="CK120" s="403"/>
      <c r="CL120" s="403"/>
      <c r="CM120" s="403"/>
      <c r="CN120" s="403"/>
      <c r="CO120" s="403"/>
      <c r="CP120" s="403"/>
      <c r="CQ120" s="403"/>
      <c r="CR120" s="403"/>
      <c r="CS120" s="403"/>
      <c r="CT120" s="403"/>
      <c r="CU120" s="403"/>
      <c r="CV120" s="403"/>
      <c r="CW120" s="403"/>
      <c r="CX120" s="403"/>
      <c r="CY120" s="403"/>
      <c r="CZ120" s="403"/>
      <c r="DA120" s="403"/>
      <c r="DB120" s="403"/>
      <c r="DC120" s="403"/>
      <c r="DD120" s="403"/>
      <c r="DE120" s="403"/>
      <c r="DF120" s="403"/>
      <c r="DG120" s="403"/>
      <c r="DH120" s="403"/>
      <c r="DI120" s="403"/>
      <c r="DJ120" s="403"/>
      <c r="DK120" s="403"/>
      <c r="DL120" s="403" t="s">
        <v>9100</v>
      </c>
      <c r="DM120" s="403"/>
      <c r="DN120" s="403"/>
      <c r="DO120" s="403"/>
      <c r="DP120" s="403"/>
      <c r="DQ120" s="403"/>
      <c r="DR120" s="403"/>
      <c r="DS120" s="403"/>
      <c r="DT120" s="403"/>
      <c r="DU120" s="403"/>
      <c r="DV120" s="403"/>
      <c r="DW120" s="403"/>
      <c r="DX120" s="403"/>
      <c r="DY120" s="564"/>
      <c r="DZ120" s="564"/>
    </row>
    <row r="121" spans="1:130" s="299" customFormat="1" ht="25.5" x14ac:dyDescent="0.2">
      <c r="A121" s="354">
        <v>1</v>
      </c>
      <c r="C121" s="370" t="str">
        <f ca="1">IF(OFFSET(T121,0,Lang_Order*Lang__A4)="","",OFFSET(T121,0,Lang_Order*Lang__A4))</f>
        <v>TA: Identify provisions that require manufacturers to implement risk management plans and collect and report COVID-19 vaccine safety data to the NRA.</v>
      </c>
      <c r="D121" s="2">
        <v>1</v>
      </c>
      <c r="F121" s="2"/>
      <c r="G121" s="32"/>
      <c r="H121" s="401"/>
      <c r="I121" s="300" t="e">
        <f>IF(ISBLANK(H121),G121/USD2LCU,H121)</f>
        <v>#N/A</v>
      </c>
      <c r="J121" s="300" t="e">
        <f>D121*I121</f>
        <v>#N/A</v>
      </c>
      <c r="L121" s="299" t="s">
        <v>3885</v>
      </c>
      <c r="O121" s="574"/>
      <c r="P121" s="587"/>
      <c r="Q121" s="403"/>
      <c r="R121" s="403"/>
      <c r="S121" s="403"/>
      <c r="T121" s="403" t="s">
        <v>3933</v>
      </c>
      <c r="U121" s="403"/>
      <c r="V121" s="403"/>
      <c r="W121" s="403"/>
      <c r="X121" s="403"/>
      <c r="Y121" s="403"/>
      <c r="Z121" s="403"/>
      <c r="AA121" s="403"/>
      <c r="AB121" s="403"/>
      <c r="AC121" s="403"/>
      <c r="AD121" s="403"/>
      <c r="AE121" s="403"/>
      <c r="AF121" s="403"/>
      <c r="AG121" s="403"/>
      <c r="AH121" s="403"/>
      <c r="AI121" s="403"/>
      <c r="AJ121" s="403" t="s">
        <v>9101</v>
      </c>
      <c r="AK121" s="403"/>
      <c r="AL121" s="403"/>
      <c r="AM121" s="403"/>
      <c r="AN121" s="403"/>
      <c r="AO121" s="403"/>
      <c r="AP121" s="403"/>
      <c r="AQ121" s="403"/>
      <c r="AR121" s="403"/>
      <c r="AS121" s="403"/>
      <c r="AT121" s="403"/>
      <c r="AU121" s="403"/>
      <c r="AV121" s="403"/>
      <c r="AW121" s="403"/>
      <c r="AX121" s="403"/>
      <c r="AY121" s="403"/>
      <c r="AZ121" s="403" t="s">
        <v>9102</v>
      </c>
      <c r="BA121" s="403"/>
      <c r="BB121" s="403"/>
      <c r="BC121" s="403"/>
      <c r="BD121" s="403"/>
      <c r="BE121" s="403"/>
      <c r="BF121" s="403"/>
      <c r="BG121" s="403"/>
      <c r="BH121" s="403"/>
      <c r="BI121" s="403"/>
      <c r="BJ121" s="403"/>
      <c r="BK121" s="403"/>
      <c r="BL121" s="403"/>
      <c r="BM121" s="403"/>
      <c r="BN121" s="403"/>
      <c r="BO121" s="403"/>
      <c r="BP121" s="403" t="s">
        <v>9103</v>
      </c>
      <c r="BQ121" s="403"/>
      <c r="BR121" s="403"/>
      <c r="BS121" s="403"/>
      <c r="BT121" s="403"/>
      <c r="BU121" s="403"/>
      <c r="BV121" s="403"/>
      <c r="BW121" s="403"/>
      <c r="BX121" s="403"/>
      <c r="BY121" s="403"/>
      <c r="BZ121" s="403"/>
      <c r="CA121" s="403"/>
      <c r="CB121" s="403"/>
      <c r="CC121" s="403"/>
      <c r="CD121" s="403"/>
      <c r="CE121" s="403"/>
      <c r="CF121" s="403" t="s">
        <v>9104</v>
      </c>
      <c r="CG121" s="403"/>
      <c r="CH121" s="403"/>
      <c r="CI121" s="403"/>
      <c r="CJ121" s="403"/>
      <c r="CK121" s="403"/>
      <c r="CL121" s="403"/>
      <c r="CM121" s="403"/>
      <c r="CN121" s="403"/>
      <c r="CO121" s="403"/>
      <c r="CP121" s="403"/>
      <c r="CQ121" s="403"/>
      <c r="CR121" s="403"/>
      <c r="CS121" s="403"/>
      <c r="CT121" s="403"/>
      <c r="CU121" s="403" t="s">
        <v>9105</v>
      </c>
      <c r="CV121" s="403" t="e">
        <v>#NAME?</v>
      </c>
      <c r="CW121" s="403"/>
      <c r="CX121" s="403"/>
      <c r="CY121" s="403"/>
      <c r="CZ121" s="403"/>
      <c r="DA121" s="403"/>
      <c r="DB121" s="403"/>
      <c r="DC121" s="403"/>
      <c r="DD121" s="403"/>
      <c r="DE121" s="403"/>
      <c r="DF121" s="403"/>
      <c r="DG121" s="403"/>
      <c r="DH121" s="403"/>
      <c r="DI121" s="403"/>
      <c r="DJ121" s="403"/>
      <c r="DK121" s="403"/>
      <c r="DL121" s="403" t="s">
        <v>9106</v>
      </c>
      <c r="DM121" s="403"/>
      <c r="DN121" s="403"/>
      <c r="DO121" s="403"/>
      <c r="DP121" s="403"/>
      <c r="DQ121" s="403"/>
      <c r="DR121" s="403"/>
      <c r="DS121" s="403"/>
      <c r="DT121" s="403"/>
      <c r="DU121" s="403"/>
      <c r="DV121" s="403"/>
      <c r="DW121" s="403"/>
      <c r="DX121" s="403"/>
      <c r="DY121" s="564"/>
      <c r="DZ121" s="564"/>
    </row>
    <row r="122" spans="1:130" x14ac:dyDescent="0.2">
      <c r="A122" s="354">
        <v>1</v>
      </c>
      <c r="B122" s="230"/>
      <c r="C122" s="370" t="str">
        <f ca="1">IF(OFFSET(T122,0,Lang_Order*Lang__A4)="","",OFFSET(T122,0,Lang_Order*Lang__A4))</f>
        <v>TA: Institutional and global linkages and coordination mechanisms, for vaccine pharmacovigilance</v>
      </c>
      <c r="D122" s="2">
        <v>1</v>
      </c>
      <c r="E122" s="299"/>
      <c r="F122" s="2"/>
      <c r="G122" s="32"/>
      <c r="H122" s="401"/>
      <c r="I122" s="300" t="e">
        <f>IF(ISBLANK(H122),G122/USD2LCU,H122)</f>
        <v>#N/A</v>
      </c>
      <c r="J122" s="300" t="e">
        <f>D122*I122</f>
        <v>#N/A</v>
      </c>
      <c r="K122" s="152"/>
      <c r="L122" s="299" t="s">
        <v>3880</v>
      </c>
      <c r="O122" s="574"/>
      <c r="P122" s="587"/>
      <c r="T122" s="403" t="s">
        <v>14183</v>
      </c>
      <c r="AJ122" s="403" t="s">
        <v>9107</v>
      </c>
      <c r="AZ122" s="403" t="s">
        <v>9108</v>
      </c>
      <c r="BP122" s="403" t="s">
        <v>9109</v>
      </c>
      <c r="CF122" s="403" t="s">
        <v>9110</v>
      </c>
      <c r="DL122" s="403" t="s">
        <v>9111</v>
      </c>
    </row>
    <row r="123" spans="1:130" ht="25.5" x14ac:dyDescent="0.2">
      <c r="A123" s="354">
        <v>1</v>
      </c>
      <c r="B123" s="230"/>
      <c r="C123" s="370" t="str">
        <f ca="1">IF(OFFSET(T123,0,Lang_Order*Lang__A4)="","",OFFSET(T123,0,Lang_Order*Lang__A4))</f>
        <v>TA: Establishment of compensation schemes and policies (excluding the actual funds for no-fault liability)</v>
      </c>
      <c r="D123" s="2">
        <v>1</v>
      </c>
      <c r="E123" s="299"/>
      <c r="F123" s="2"/>
      <c r="G123" s="32"/>
      <c r="H123" s="401"/>
      <c r="I123" s="300" t="e">
        <f>IF(ISBLANK(H123),G123/USD2LCU,H123)</f>
        <v>#N/A</v>
      </c>
      <c r="J123" s="300" t="e">
        <f>D123*I123</f>
        <v>#N/A</v>
      </c>
      <c r="K123" s="152"/>
      <c r="L123" s="299" t="s">
        <v>3878</v>
      </c>
      <c r="N123" s="86" t="str">
        <f ca="1">IF(OFFSET(AE123,0,Lang_Order*Lang__A4)="","",OFFSET(AE123,0,Lang_Order*Lang__A4))</f>
        <v>More info on the no fault compensation fund @ R2.1.7</v>
      </c>
      <c r="O123" s="574"/>
      <c r="P123" s="587"/>
      <c r="T123" s="403" t="s">
        <v>3879</v>
      </c>
      <c r="AE123" s="403" t="s">
        <v>14656</v>
      </c>
      <c r="AJ123" s="403" t="s">
        <v>9112</v>
      </c>
      <c r="AU123" s="403" t="s">
        <v>14657</v>
      </c>
      <c r="AZ123" s="403" t="s">
        <v>9113</v>
      </c>
      <c r="BK123" s="403" t="s">
        <v>14658</v>
      </c>
      <c r="BP123" s="403" t="s">
        <v>9114</v>
      </c>
      <c r="CA123" s="403" t="s">
        <v>14659</v>
      </c>
      <c r="CF123" s="403" t="s">
        <v>9115</v>
      </c>
      <c r="CQ123" s="403" t="s">
        <v>14660</v>
      </c>
      <c r="CV123" s="403" t="s">
        <v>9116</v>
      </c>
      <c r="DG123" s="403" t="s">
        <v>14661</v>
      </c>
      <c r="DL123" s="403" t="s">
        <v>9117</v>
      </c>
      <c r="DW123" s="403" t="s">
        <v>14662</v>
      </c>
    </row>
    <row r="124" spans="1:130" s="532" customFormat="1" x14ac:dyDescent="0.2">
      <c r="C124" s="159" t="str">
        <f t="shared" ref="C124" ca="1" si="30">IF(OFFSET(T124,0,Lang_Order*Lang__A4)="","",OFFSET(T124,0,Lang_Order*Lang__A4))</f>
        <v>Other Technical Assistance (7.1)</v>
      </c>
      <c r="O124" s="574"/>
      <c r="P124" s="574"/>
      <c r="T124" s="564" t="s">
        <v>4585</v>
      </c>
      <c r="U124" s="564"/>
      <c r="V124" s="564"/>
      <c r="W124" s="564"/>
      <c r="X124" s="564"/>
      <c r="Y124" s="564"/>
      <c r="Z124" s="564"/>
      <c r="AA124" s="564"/>
      <c r="AB124" s="564"/>
      <c r="AC124" s="564"/>
      <c r="AD124" s="564"/>
      <c r="AE124" s="564"/>
      <c r="AF124" s="564"/>
      <c r="AG124" s="564"/>
      <c r="AH124" s="564"/>
      <c r="AI124" s="564"/>
      <c r="AJ124" s="564" t="s">
        <v>13678</v>
      </c>
      <c r="AK124" s="564"/>
      <c r="AL124" s="564"/>
      <c r="AM124" s="564"/>
      <c r="AN124" s="564"/>
      <c r="AO124" s="564"/>
      <c r="AP124" s="564"/>
      <c r="AQ124" s="564"/>
      <c r="AR124" s="564"/>
      <c r="AS124" s="564"/>
      <c r="AT124" s="564"/>
      <c r="AU124" s="564"/>
      <c r="AV124" s="564"/>
      <c r="AW124" s="564"/>
      <c r="AX124" s="564"/>
      <c r="AY124" s="564"/>
      <c r="AZ124" s="564" t="s">
        <v>13679</v>
      </c>
      <c r="BA124" s="564"/>
      <c r="BB124" s="564"/>
      <c r="BC124" s="564"/>
      <c r="BD124" s="564"/>
      <c r="BE124" s="564"/>
      <c r="BF124" s="564"/>
      <c r="BG124" s="564"/>
      <c r="BH124" s="564"/>
      <c r="BI124" s="564"/>
      <c r="BJ124" s="564"/>
      <c r="BK124" s="564"/>
      <c r="BL124" s="564"/>
      <c r="BM124" s="564"/>
      <c r="BN124" s="564"/>
      <c r="BO124" s="564"/>
      <c r="BP124" s="564" t="s">
        <v>13680</v>
      </c>
      <c r="BQ124" s="564"/>
      <c r="BR124" s="564"/>
      <c r="BS124" s="564"/>
      <c r="BT124" s="564"/>
      <c r="BU124" s="564"/>
      <c r="BV124" s="564"/>
      <c r="BW124" s="564"/>
      <c r="BX124" s="564"/>
      <c r="BY124" s="564"/>
      <c r="BZ124" s="564"/>
      <c r="CA124" s="564"/>
      <c r="CB124" s="564"/>
      <c r="CC124" s="564"/>
      <c r="CD124" s="564"/>
      <c r="CE124" s="564"/>
      <c r="CF124" s="564" t="s">
        <v>13681</v>
      </c>
      <c r="CG124" s="564"/>
      <c r="CH124" s="564"/>
      <c r="CI124" s="564"/>
      <c r="CJ124" s="564"/>
      <c r="CK124" s="564"/>
      <c r="CL124" s="564"/>
      <c r="CM124" s="564"/>
      <c r="CN124" s="564"/>
      <c r="CO124" s="564"/>
      <c r="CP124" s="564"/>
      <c r="CQ124" s="564"/>
      <c r="CR124" s="564"/>
      <c r="CS124" s="564"/>
      <c r="CT124" s="564"/>
      <c r="CU124" s="564"/>
      <c r="CV124" s="564" t="s">
        <v>13682</v>
      </c>
      <c r="CW124" s="564"/>
      <c r="CX124" s="564"/>
      <c r="CY124" s="564"/>
      <c r="CZ124" s="564"/>
      <c r="DA124" s="564"/>
      <c r="DB124" s="564"/>
      <c r="DC124" s="564"/>
      <c r="DD124" s="564"/>
      <c r="DE124" s="564"/>
      <c r="DF124" s="564"/>
      <c r="DG124" s="564"/>
      <c r="DH124" s="564"/>
      <c r="DI124" s="564"/>
      <c r="DJ124" s="564"/>
      <c r="DK124" s="564"/>
      <c r="DL124" s="564" t="s">
        <v>13683</v>
      </c>
      <c r="DY124" s="564"/>
      <c r="DZ124" s="564"/>
    </row>
    <row r="125" spans="1:130" s="532" customFormat="1" x14ac:dyDescent="0.2">
      <c r="A125" s="350">
        <v>2</v>
      </c>
      <c r="B125" s="230"/>
      <c r="C125" s="374" t="s">
        <v>2974</v>
      </c>
      <c r="D125" s="35">
        <v>1</v>
      </c>
      <c r="F125" s="2"/>
      <c r="G125" s="32"/>
      <c r="H125" s="401"/>
      <c r="I125" s="300" t="e">
        <f t="shared" ref="I125:I127" si="31">IF(ISBLANK(H125),G125/USD2LCU,H125)</f>
        <v>#N/A</v>
      </c>
      <c r="J125" s="300" t="e">
        <f t="shared" ref="J125:J127" si="32">D125*I125</f>
        <v>#N/A</v>
      </c>
      <c r="K125" s="152"/>
      <c r="O125" s="574"/>
      <c r="P125" s="587"/>
      <c r="Q125" s="531"/>
      <c r="R125" s="531"/>
      <c r="S125" s="531"/>
      <c r="T125" s="531" t="s">
        <v>2974</v>
      </c>
      <c r="U125" s="531"/>
      <c r="V125" s="531"/>
      <c r="W125" s="531"/>
      <c r="X125" s="531"/>
      <c r="Y125" s="531"/>
      <c r="Z125" s="531"/>
      <c r="AA125" s="531"/>
      <c r="AB125" s="531"/>
      <c r="AC125" s="531"/>
      <c r="AD125" s="531"/>
      <c r="AE125" s="531"/>
      <c r="AF125" s="531"/>
      <c r="AG125" s="531"/>
      <c r="AH125" s="531"/>
      <c r="AI125" s="531"/>
      <c r="AJ125" s="531" t="s">
        <v>8753</v>
      </c>
      <c r="AK125" s="531"/>
      <c r="AL125" s="531"/>
      <c r="AM125" s="531"/>
      <c r="AN125" s="531"/>
      <c r="AO125" s="531"/>
      <c r="AP125" s="531"/>
      <c r="AQ125" s="531"/>
      <c r="AR125" s="531"/>
      <c r="AS125" s="531"/>
      <c r="AT125" s="531"/>
      <c r="AU125" s="531"/>
      <c r="AV125" s="531"/>
      <c r="AW125" s="531"/>
      <c r="AX125" s="531"/>
      <c r="AY125" s="531"/>
      <c r="AZ125" s="531" t="s">
        <v>8754</v>
      </c>
      <c r="BA125" s="531"/>
      <c r="BB125" s="531"/>
      <c r="BC125" s="531"/>
      <c r="BD125" s="531"/>
      <c r="BE125" s="531"/>
      <c r="BF125" s="531"/>
      <c r="BG125" s="531"/>
      <c r="BH125" s="531"/>
      <c r="BI125" s="531"/>
      <c r="BJ125" s="531"/>
      <c r="BK125" s="531"/>
      <c r="BL125" s="531"/>
      <c r="BM125" s="531"/>
      <c r="BN125" s="531"/>
      <c r="BO125" s="531"/>
      <c r="BP125" s="531" t="s">
        <v>8755</v>
      </c>
      <c r="BQ125" s="531"/>
      <c r="BR125" s="531"/>
      <c r="BS125" s="531"/>
      <c r="BT125" s="531"/>
      <c r="BU125" s="531"/>
      <c r="BV125" s="531"/>
      <c r="BW125" s="531"/>
      <c r="BX125" s="531"/>
      <c r="BY125" s="531"/>
      <c r="BZ125" s="531"/>
      <c r="CA125" s="531"/>
      <c r="CB125" s="531"/>
      <c r="CC125" s="531"/>
      <c r="CD125" s="531"/>
      <c r="CE125" s="531"/>
      <c r="CF125" s="531" t="s">
        <v>8756</v>
      </c>
      <c r="CG125" s="531"/>
      <c r="CH125" s="531"/>
      <c r="CI125" s="531"/>
      <c r="CJ125" s="531"/>
      <c r="CK125" s="531"/>
      <c r="CL125" s="531"/>
      <c r="CM125" s="531"/>
      <c r="CN125" s="531"/>
      <c r="CO125" s="531"/>
      <c r="CP125" s="531"/>
      <c r="CQ125" s="531"/>
      <c r="CR125" s="531"/>
      <c r="CS125" s="531"/>
      <c r="CT125" s="531"/>
      <c r="CU125" s="531"/>
      <c r="CV125" s="531" t="s">
        <v>9118</v>
      </c>
      <c r="CW125" s="531"/>
      <c r="CX125" s="531"/>
      <c r="CY125" s="531"/>
      <c r="CZ125" s="531"/>
      <c r="DA125" s="531"/>
      <c r="DB125" s="531"/>
      <c r="DC125" s="531"/>
      <c r="DD125" s="531"/>
      <c r="DE125" s="531"/>
      <c r="DF125" s="531"/>
      <c r="DG125" s="531"/>
      <c r="DH125" s="531"/>
      <c r="DI125" s="531"/>
      <c r="DJ125" s="531"/>
      <c r="DK125" s="531"/>
      <c r="DL125" s="531" t="s">
        <v>8758</v>
      </c>
      <c r="DM125" s="531"/>
      <c r="DN125" s="531"/>
      <c r="DO125" s="531"/>
      <c r="DP125" s="531"/>
      <c r="DQ125" s="531"/>
      <c r="DR125" s="531"/>
      <c r="DS125" s="531"/>
      <c r="DT125" s="531"/>
      <c r="DU125" s="531"/>
      <c r="DV125" s="531"/>
      <c r="DW125" s="531"/>
      <c r="DX125" s="531"/>
      <c r="DY125" s="564"/>
      <c r="DZ125" s="564"/>
    </row>
    <row r="126" spans="1:130" s="532" customFormat="1" x14ac:dyDescent="0.2">
      <c r="A126" s="350">
        <v>2</v>
      </c>
      <c r="B126" s="230"/>
      <c r="C126" s="374"/>
      <c r="D126" s="35">
        <v>1</v>
      </c>
      <c r="F126" s="2"/>
      <c r="G126" s="32"/>
      <c r="H126" s="401"/>
      <c r="I126" s="300" t="e">
        <f t="shared" si="31"/>
        <v>#N/A</v>
      </c>
      <c r="J126" s="300" t="e">
        <f t="shared" si="32"/>
        <v>#N/A</v>
      </c>
      <c r="K126" s="152"/>
      <c r="O126" s="574"/>
      <c r="P126" s="587"/>
      <c r="Q126" s="531"/>
      <c r="R126" s="531"/>
      <c r="S126" s="531"/>
      <c r="T126" s="531"/>
      <c r="U126" s="531"/>
      <c r="V126" s="531"/>
      <c r="W126" s="531"/>
      <c r="X126" s="531"/>
      <c r="Y126" s="531"/>
      <c r="Z126" s="531"/>
      <c r="AA126" s="531"/>
      <c r="AB126" s="531"/>
      <c r="AC126" s="531"/>
      <c r="AD126" s="531"/>
      <c r="AE126" s="531"/>
      <c r="AF126" s="531"/>
      <c r="AG126" s="531"/>
      <c r="AH126" s="531"/>
      <c r="AI126" s="531"/>
      <c r="AJ126" s="531"/>
      <c r="AK126" s="531"/>
      <c r="AL126" s="531"/>
      <c r="AM126" s="531"/>
      <c r="AN126" s="531"/>
      <c r="AO126" s="531"/>
      <c r="AP126" s="531"/>
      <c r="AQ126" s="531"/>
      <c r="AR126" s="531"/>
      <c r="AS126" s="531"/>
      <c r="AT126" s="531"/>
      <c r="AU126" s="531"/>
      <c r="AV126" s="531"/>
      <c r="AW126" s="531"/>
      <c r="AX126" s="531"/>
      <c r="AY126" s="531"/>
      <c r="AZ126" s="531"/>
      <c r="BA126" s="531"/>
      <c r="BB126" s="531"/>
      <c r="BC126" s="531"/>
      <c r="BD126" s="531"/>
      <c r="BE126" s="531"/>
      <c r="BF126" s="531"/>
      <c r="BG126" s="531"/>
      <c r="BH126" s="531"/>
      <c r="BI126" s="531"/>
      <c r="BJ126" s="531"/>
      <c r="BK126" s="531"/>
      <c r="BL126" s="531"/>
      <c r="BM126" s="531"/>
      <c r="BN126" s="531"/>
      <c r="BO126" s="531"/>
      <c r="BP126" s="531"/>
      <c r="BQ126" s="531"/>
      <c r="BR126" s="531"/>
      <c r="BS126" s="531"/>
      <c r="BT126" s="531"/>
      <c r="BU126" s="531"/>
      <c r="BV126" s="531"/>
      <c r="BW126" s="531"/>
      <c r="BX126" s="531"/>
      <c r="BY126" s="531"/>
      <c r="BZ126" s="531"/>
      <c r="CA126" s="531"/>
      <c r="CB126" s="531"/>
      <c r="CC126" s="531"/>
      <c r="CD126" s="531"/>
      <c r="CE126" s="531"/>
      <c r="CF126" s="531"/>
      <c r="CG126" s="531"/>
      <c r="CH126" s="531"/>
      <c r="CI126" s="531"/>
      <c r="CJ126" s="531"/>
      <c r="CK126" s="531"/>
      <c r="CL126" s="531"/>
      <c r="CM126" s="531"/>
      <c r="CN126" s="531"/>
      <c r="CO126" s="531"/>
      <c r="CP126" s="531"/>
      <c r="CQ126" s="531"/>
      <c r="CR126" s="531"/>
      <c r="CS126" s="531"/>
      <c r="CT126" s="531"/>
      <c r="CU126" s="531"/>
      <c r="CV126" s="531"/>
      <c r="CW126" s="531"/>
      <c r="CX126" s="531"/>
      <c r="CY126" s="531"/>
      <c r="CZ126" s="531"/>
      <c r="DA126" s="531"/>
      <c r="DB126" s="531"/>
      <c r="DC126" s="531"/>
      <c r="DD126" s="531"/>
      <c r="DE126" s="531"/>
      <c r="DF126" s="531"/>
      <c r="DG126" s="531"/>
      <c r="DH126" s="531"/>
      <c r="DI126" s="531"/>
      <c r="DJ126" s="531"/>
      <c r="DK126" s="531"/>
      <c r="DL126" s="531"/>
      <c r="DM126" s="531"/>
      <c r="DN126" s="531"/>
      <c r="DO126" s="531"/>
      <c r="DP126" s="531"/>
      <c r="DQ126" s="531"/>
      <c r="DR126" s="531"/>
      <c r="DS126" s="531"/>
      <c r="DT126" s="531"/>
      <c r="DU126" s="531"/>
      <c r="DV126" s="531"/>
      <c r="DW126" s="531"/>
      <c r="DX126" s="531"/>
      <c r="DY126" s="564"/>
      <c r="DZ126" s="564"/>
    </row>
    <row r="127" spans="1:130" s="532" customFormat="1" x14ac:dyDescent="0.2">
      <c r="A127" s="350">
        <v>2</v>
      </c>
      <c r="B127" s="230"/>
      <c r="C127" s="374"/>
      <c r="D127" s="35">
        <v>1</v>
      </c>
      <c r="F127" s="2"/>
      <c r="G127" s="32"/>
      <c r="H127" s="401"/>
      <c r="I127" s="300" t="e">
        <f t="shared" si="31"/>
        <v>#N/A</v>
      </c>
      <c r="J127" s="300" t="e">
        <f t="shared" si="32"/>
        <v>#N/A</v>
      </c>
      <c r="K127" s="152"/>
      <c r="O127" s="574"/>
      <c r="P127" s="587"/>
      <c r="Q127" s="531"/>
      <c r="R127" s="531"/>
      <c r="S127" s="531"/>
      <c r="T127" s="531"/>
      <c r="U127" s="531"/>
      <c r="V127" s="531"/>
      <c r="W127" s="531"/>
      <c r="X127" s="531"/>
      <c r="Y127" s="531"/>
      <c r="Z127" s="531"/>
      <c r="AA127" s="531"/>
      <c r="AB127" s="531"/>
      <c r="AC127" s="531"/>
      <c r="AD127" s="531"/>
      <c r="AE127" s="531"/>
      <c r="AF127" s="531"/>
      <c r="AG127" s="531"/>
      <c r="AH127" s="531"/>
      <c r="AI127" s="531"/>
      <c r="AJ127" s="531"/>
      <c r="AK127" s="531"/>
      <c r="AL127" s="531"/>
      <c r="AM127" s="531"/>
      <c r="AN127" s="531"/>
      <c r="AO127" s="531"/>
      <c r="AP127" s="531"/>
      <c r="AQ127" s="531"/>
      <c r="AR127" s="531"/>
      <c r="AS127" s="531"/>
      <c r="AT127" s="531"/>
      <c r="AU127" s="531"/>
      <c r="AV127" s="531"/>
      <c r="AW127" s="531"/>
      <c r="AX127" s="531"/>
      <c r="AY127" s="531"/>
      <c r="AZ127" s="531"/>
      <c r="BA127" s="531"/>
      <c r="BB127" s="531"/>
      <c r="BC127" s="531"/>
      <c r="BD127" s="531"/>
      <c r="BE127" s="531"/>
      <c r="BF127" s="531"/>
      <c r="BG127" s="531"/>
      <c r="BH127" s="531"/>
      <c r="BI127" s="531"/>
      <c r="BJ127" s="531"/>
      <c r="BK127" s="531"/>
      <c r="BL127" s="531"/>
      <c r="BM127" s="531"/>
      <c r="BN127" s="531"/>
      <c r="BO127" s="531"/>
      <c r="BP127" s="531"/>
      <c r="BQ127" s="531"/>
      <c r="BR127" s="531"/>
      <c r="BS127" s="531"/>
      <c r="BT127" s="531"/>
      <c r="BU127" s="531"/>
      <c r="BV127" s="531"/>
      <c r="BW127" s="531"/>
      <c r="BX127" s="531"/>
      <c r="BY127" s="531"/>
      <c r="BZ127" s="531"/>
      <c r="CA127" s="531"/>
      <c r="CB127" s="531"/>
      <c r="CC127" s="531"/>
      <c r="CD127" s="531"/>
      <c r="CE127" s="531"/>
      <c r="CF127" s="531"/>
      <c r="CG127" s="531"/>
      <c r="CH127" s="531"/>
      <c r="CI127" s="531"/>
      <c r="CJ127" s="531"/>
      <c r="CK127" s="531"/>
      <c r="CL127" s="531"/>
      <c r="CM127" s="531"/>
      <c r="CN127" s="531"/>
      <c r="CO127" s="531"/>
      <c r="CP127" s="531"/>
      <c r="CQ127" s="531"/>
      <c r="CR127" s="531"/>
      <c r="CS127" s="531"/>
      <c r="CT127" s="531"/>
      <c r="CU127" s="531"/>
      <c r="CV127" s="531"/>
      <c r="CW127" s="531"/>
      <c r="CX127" s="531"/>
      <c r="CY127" s="531"/>
      <c r="CZ127" s="531"/>
      <c r="DA127" s="531"/>
      <c r="DB127" s="531"/>
      <c r="DC127" s="531"/>
      <c r="DD127" s="531"/>
      <c r="DE127" s="531"/>
      <c r="DF127" s="531"/>
      <c r="DG127" s="531"/>
      <c r="DH127" s="531"/>
      <c r="DI127" s="531"/>
      <c r="DJ127" s="531"/>
      <c r="DK127" s="531"/>
      <c r="DL127" s="531"/>
      <c r="DM127" s="531"/>
      <c r="DN127" s="531"/>
      <c r="DO127" s="531"/>
      <c r="DP127" s="531"/>
      <c r="DQ127" s="531"/>
      <c r="DR127" s="531"/>
      <c r="DS127" s="531"/>
      <c r="DT127" s="531"/>
      <c r="DU127" s="531"/>
      <c r="DV127" s="531"/>
      <c r="DW127" s="531"/>
      <c r="DX127" s="531"/>
      <c r="DY127" s="564"/>
      <c r="DZ127" s="564"/>
    </row>
    <row r="128" spans="1:130" s="532" customFormat="1" x14ac:dyDescent="0.2">
      <c r="B128" s="34"/>
      <c r="C128" s="5"/>
      <c r="H128" s="300"/>
      <c r="K128" s="34"/>
      <c r="O128" s="574"/>
      <c r="P128" s="574"/>
      <c r="Q128" s="531"/>
      <c r="R128" s="531"/>
      <c r="S128" s="531"/>
      <c r="T128" s="531"/>
      <c r="U128" s="531"/>
      <c r="V128" s="531"/>
      <c r="W128" s="531"/>
      <c r="X128" s="531"/>
      <c r="Y128" s="531"/>
      <c r="Z128" s="531"/>
      <c r="AA128" s="531"/>
      <c r="AB128" s="531"/>
      <c r="AC128" s="531"/>
      <c r="AD128" s="531"/>
      <c r="AE128" s="531"/>
      <c r="AF128" s="531"/>
      <c r="AG128" s="531"/>
      <c r="AH128" s="531"/>
      <c r="AI128" s="531"/>
      <c r="AJ128" s="531"/>
      <c r="AK128" s="531"/>
      <c r="AL128" s="531"/>
      <c r="AM128" s="531"/>
      <c r="AN128" s="531"/>
      <c r="AO128" s="531"/>
      <c r="AP128" s="531"/>
      <c r="AQ128" s="531"/>
      <c r="AR128" s="531"/>
      <c r="AS128" s="531"/>
      <c r="AT128" s="531"/>
      <c r="AU128" s="531"/>
      <c r="AV128" s="531"/>
      <c r="AW128" s="531"/>
      <c r="AX128" s="531"/>
      <c r="AY128" s="531"/>
      <c r="AZ128" s="531"/>
      <c r="BA128" s="531"/>
      <c r="BB128" s="531"/>
      <c r="BC128" s="531"/>
      <c r="BD128" s="531"/>
      <c r="BE128" s="531"/>
      <c r="BF128" s="531"/>
      <c r="BG128" s="531"/>
      <c r="BH128" s="531"/>
      <c r="BI128" s="531"/>
      <c r="BJ128" s="531"/>
      <c r="BK128" s="531"/>
      <c r="BL128" s="531"/>
      <c r="BM128" s="531"/>
      <c r="BN128" s="531"/>
      <c r="BO128" s="531"/>
      <c r="BP128" s="531"/>
      <c r="BQ128" s="531"/>
      <c r="BR128" s="531"/>
      <c r="BS128" s="531"/>
      <c r="BT128" s="531"/>
      <c r="BU128" s="531"/>
      <c r="BV128" s="531"/>
      <c r="BW128" s="531"/>
      <c r="BX128" s="531"/>
      <c r="BY128" s="531"/>
      <c r="BZ128" s="531"/>
      <c r="CA128" s="531"/>
      <c r="CB128" s="531"/>
      <c r="CC128" s="531"/>
      <c r="CD128" s="531"/>
      <c r="CE128" s="531"/>
      <c r="CF128" s="531"/>
      <c r="CG128" s="531"/>
      <c r="CH128" s="531"/>
      <c r="CI128" s="531"/>
      <c r="CJ128" s="531"/>
      <c r="CK128" s="531"/>
      <c r="CL128" s="531"/>
      <c r="CM128" s="531"/>
      <c r="CN128" s="531"/>
      <c r="CO128" s="531"/>
      <c r="CP128" s="531"/>
      <c r="CQ128" s="531"/>
      <c r="CR128" s="531"/>
      <c r="CS128" s="531"/>
      <c r="CT128" s="531"/>
      <c r="CU128" s="531"/>
      <c r="CV128" s="531"/>
      <c r="CW128" s="531"/>
      <c r="CX128" s="531"/>
      <c r="CY128" s="531"/>
      <c r="CZ128" s="531"/>
      <c r="DA128" s="531"/>
      <c r="DB128" s="531"/>
      <c r="DC128" s="531"/>
      <c r="DD128" s="531"/>
      <c r="DE128" s="531"/>
      <c r="DF128" s="531"/>
      <c r="DG128" s="531"/>
      <c r="DH128" s="531"/>
      <c r="DI128" s="531"/>
      <c r="DJ128" s="531"/>
      <c r="DK128" s="531"/>
      <c r="DL128" s="531"/>
      <c r="DM128" s="531"/>
      <c r="DN128" s="531"/>
      <c r="DO128" s="531"/>
      <c r="DP128" s="531"/>
      <c r="DQ128" s="531"/>
      <c r="DR128" s="531"/>
      <c r="DS128" s="531"/>
      <c r="DT128" s="531"/>
      <c r="DU128" s="531"/>
      <c r="DV128" s="531"/>
      <c r="DW128" s="531"/>
      <c r="DX128" s="531"/>
      <c r="DY128" s="564"/>
      <c r="DZ128" s="564"/>
    </row>
    <row r="129" spans="1:130" s="194" customFormat="1" x14ac:dyDescent="0.2">
      <c r="A129" s="354">
        <v>1</v>
      </c>
      <c r="B129" s="230"/>
      <c r="C129" s="5" t="str">
        <f t="shared" ca="1" si="26"/>
        <v>Training of AEFI investigators</v>
      </c>
      <c r="D129" s="35"/>
      <c r="E129" s="81">
        <f>Regional_Stores + District_Stores</f>
        <v>0</v>
      </c>
      <c r="F129" s="2" t="str">
        <f ca="1">IF(OFFSET(W129,0,Lang_Order*Lang__A4)="","",OFFSET(W129,0,Lang_Order*Lang__A4))</f>
        <v>Per person</v>
      </c>
      <c r="G129" s="32"/>
      <c r="H129" s="401"/>
      <c r="I129" s="300" t="e">
        <f t="shared" si="27"/>
        <v>#N/A</v>
      </c>
      <c r="J129" s="300" t="e">
        <f t="shared" si="28"/>
        <v>#N/A</v>
      </c>
      <c r="K129" s="152"/>
      <c r="L129" s="299" t="s">
        <v>2855</v>
      </c>
      <c r="M129" s="299"/>
      <c r="N129" s="299"/>
      <c r="O129" s="574"/>
      <c r="P129" s="587"/>
      <c r="Q129" s="403"/>
      <c r="R129" s="403"/>
      <c r="S129" s="403"/>
      <c r="T129" s="403" t="s">
        <v>2868</v>
      </c>
      <c r="U129" s="403"/>
      <c r="V129" s="403"/>
      <c r="W129" s="403" t="s">
        <v>3925</v>
      </c>
      <c r="X129" s="403"/>
      <c r="Y129" s="403"/>
      <c r="Z129" s="403"/>
      <c r="AA129" s="403"/>
      <c r="AB129" s="403"/>
      <c r="AC129" s="403"/>
      <c r="AD129" s="403"/>
      <c r="AE129" s="403"/>
      <c r="AF129" s="403"/>
      <c r="AG129" s="403"/>
      <c r="AH129" s="403"/>
      <c r="AI129" s="403"/>
      <c r="AJ129" s="403" t="s">
        <v>9119</v>
      </c>
      <c r="AK129" s="403"/>
      <c r="AL129" s="403"/>
      <c r="AM129" s="403" t="s">
        <v>8949</v>
      </c>
      <c r="AN129" s="403"/>
      <c r="AO129" s="403"/>
      <c r="AP129" s="403"/>
      <c r="AQ129" s="403"/>
      <c r="AR129" s="403"/>
      <c r="AS129" s="403"/>
      <c r="AT129" s="403"/>
      <c r="AU129" s="403"/>
      <c r="AV129" s="403"/>
      <c r="AW129" s="403"/>
      <c r="AX129" s="403"/>
      <c r="AY129" s="403"/>
      <c r="AZ129" s="403" t="s">
        <v>9120</v>
      </c>
      <c r="BA129" s="403"/>
      <c r="BB129" s="403"/>
      <c r="BC129" s="403" t="s">
        <v>9121</v>
      </c>
      <c r="BD129" s="403"/>
      <c r="BE129" s="403"/>
      <c r="BF129" s="403"/>
      <c r="BG129" s="403"/>
      <c r="BH129" s="403"/>
      <c r="BI129" s="403"/>
      <c r="BJ129" s="403"/>
      <c r="BK129" s="403"/>
      <c r="BL129" s="403"/>
      <c r="BM129" s="403"/>
      <c r="BN129" s="403"/>
      <c r="BO129" s="403"/>
      <c r="BP129" s="403" t="s">
        <v>9122</v>
      </c>
      <c r="BQ129" s="403"/>
      <c r="BR129" s="403"/>
      <c r="BS129" s="403" t="s">
        <v>8953</v>
      </c>
      <c r="BT129" s="403"/>
      <c r="BU129" s="403"/>
      <c r="BV129" s="403"/>
      <c r="BW129" s="403"/>
      <c r="BX129" s="403"/>
      <c r="BY129" s="403"/>
      <c r="BZ129" s="403"/>
      <c r="CA129" s="403"/>
      <c r="CB129" s="403"/>
      <c r="CC129" s="403"/>
      <c r="CD129" s="403"/>
      <c r="CE129" s="403"/>
      <c r="CF129" s="403" t="s">
        <v>9123</v>
      </c>
      <c r="CG129" s="403"/>
      <c r="CH129" s="403"/>
      <c r="CI129" s="403" t="s">
        <v>8955</v>
      </c>
      <c r="CJ129" s="403"/>
      <c r="CK129" s="403"/>
      <c r="CL129" s="403"/>
      <c r="CM129" s="403"/>
      <c r="CN129" s="403"/>
      <c r="CO129" s="403"/>
      <c r="CP129" s="403"/>
      <c r="CQ129" s="403"/>
      <c r="CR129" s="403"/>
      <c r="CS129" s="403"/>
      <c r="CT129" s="403"/>
      <c r="CU129" s="403"/>
      <c r="CV129" s="403" t="s">
        <v>9124</v>
      </c>
      <c r="CW129" s="403"/>
      <c r="CX129" s="403"/>
      <c r="CY129" s="403" t="s">
        <v>8957</v>
      </c>
      <c r="CZ129" s="403"/>
      <c r="DA129" s="403"/>
      <c r="DB129" s="403"/>
      <c r="DC129" s="403"/>
      <c r="DD129" s="403"/>
      <c r="DE129" s="403"/>
      <c r="DF129" s="403"/>
      <c r="DG129" s="403"/>
      <c r="DH129" s="403"/>
      <c r="DI129" s="403"/>
      <c r="DJ129" s="403"/>
      <c r="DK129" s="403"/>
      <c r="DL129" s="403" t="s">
        <v>9125</v>
      </c>
      <c r="DM129" s="403"/>
      <c r="DN129" s="403"/>
      <c r="DO129" s="403" t="s">
        <v>8959</v>
      </c>
      <c r="DP129" s="403"/>
      <c r="DQ129" s="403"/>
      <c r="DR129" s="403"/>
      <c r="DS129" s="403"/>
      <c r="DT129" s="403"/>
      <c r="DU129" s="403"/>
      <c r="DV129" s="403"/>
      <c r="DW129" s="403"/>
      <c r="DX129" s="403"/>
      <c r="DY129" s="564"/>
      <c r="DZ129" s="564"/>
    </row>
    <row r="130" spans="1:130" s="194" customFormat="1" x14ac:dyDescent="0.2">
      <c r="A130" s="354">
        <v>1</v>
      </c>
      <c r="B130" s="230"/>
      <c r="C130" s="5" t="str">
        <f t="shared" ca="1" si="26"/>
        <v>Training of AEFI Committee</v>
      </c>
      <c r="D130" s="35"/>
      <c r="E130" s="299"/>
      <c r="F130" s="2" t="str">
        <f ca="1">IF(OFFSET(W130,0,Lang_Order*Lang__A4)="","",OFFSET(W130,0,Lang_Order*Lang__A4))</f>
        <v>Per person</v>
      </c>
      <c r="G130" s="32"/>
      <c r="H130" s="401"/>
      <c r="I130" s="300" t="e">
        <f t="shared" si="27"/>
        <v>#N/A</v>
      </c>
      <c r="J130" s="300" t="e">
        <f t="shared" si="28"/>
        <v>#N/A</v>
      </c>
      <c r="K130" s="152"/>
      <c r="L130" s="299" t="s">
        <v>2859</v>
      </c>
      <c r="M130" s="299"/>
      <c r="N130" s="299"/>
      <c r="O130" s="574"/>
      <c r="P130" s="587"/>
      <c r="Q130" s="403"/>
      <c r="R130" s="403"/>
      <c r="S130" s="403"/>
      <c r="T130" s="403" t="s">
        <v>3932</v>
      </c>
      <c r="U130" s="403"/>
      <c r="V130" s="403"/>
      <c r="W130" s="403" t="s">
        <v>3925</v>
      </c>
      <c r="X130" s="403"/>
      <c r="Y130" s="403"/>
      <c r="Z130" s="403"/>
      <c r="AA130" s="403"/>
      <c r="AB130" s="403"/>
      <c r="AC130" s="403"/>
      <c r="AD130" s="403"/>
      <c r="AE130" s="403"/>
      <c r="AF130" s="403"/>
      <c r="AG130" s="403"/>
      <c r="AH130" s="403"/>
      <c r="AI130" s="403"/>
      <c r="AJ130" s="403" t="s">
        <v>9126</v>
      </c>
      <c r="AK130" s="403"/>
      <c r="AL130" s="403"/>
      <c r="AM130" s="403" t="s">
        <v>8949</v>
      </c>
      <c r="AN130" s="403"/>
      <c r="AO130" s="403"/>
      <c r="AP130" s="403"/>
      <c r="AQ130" s="403"/>
      <c r="AR130" s="403"/>
      <c r="AS130" s="403"/>
      <c r="AT130" s="403"/>
      <c r="AU130" s="403"/>
      <c r="AV130" s="403"/>
      <c r="AW130" s="403"/>
      <c r="AX130" s="403"/>
      <c r="AY130" s="403"/>
      <c r="AZ130" s="403" t="s">
        <v>9127</v>
      </c>
      <c r="BA130" s="403"/>
      <c r="BB130" s="403"/>
      <c r="BC130" s="403" t="s">
        <v>9128</v>
      </c>
      <c r="BD130" s="403"/>
      <c r="BE130" s="403"/>
      <c r="BF130" s="403"/>
      <c r="BG130" s="403"/>
      <c r="BH130" s="403"/>
      <c r="BI130" s="403"/>
      <c r="BJ130" s="403"/>
      <c r="BK130" s="403"/>
      <c r="BL130" s="403"/>
      <c r="BM130" s="403"/>
      <c r="BN130" s="403"/>
      <c r="BO130" s="403"/>
      <c r="BP130" s="403" t="s">
        <v>9129</v>
      </c>
      <c r="BQ130" s="403"/>
      <c r="BR130" s="403"/>
      <c r="BS130" s="403" t="s">
        <v>8953</v>
      </c>
      <c r="BT130" s="403"/>
      <c r="BU130" s="403"/>
      <c r="BV130" s="403"/>
      <c r="BW130" s="403"/>
      <c r="BX130" s="403"/>
      <c r="BY130" s="403"/>
      <c r="BZ130" s="403"/>
      <c r="CA130" s="403"/>
      <c r="CB130" s="403"/>
      <c r="CC130" s="403"/>
      <c r="CD130" s="403"/>
      <c r="CE130" s="403"/>
      <c r="CF130" s="403" t="s">
        <v>9130</v>
      </c>
      <c r="CG130" s="403"/>
      <c r="CH130" s="403"/>
      <c r="CI130" s="403" t="s">
        <v>8955</v>
      </c>
      <c r="CJ130" s="403"/>
      <c r="CK130" s="403"/>
      <c r="CL130" s="403"/>
      <c r="CM130" s="403"/>
      <c r="CN130" s="403"/>
      <c r="CO130" s="403"/>
      <c r="CP130" s="403"/>
      <c r="CQ130" s="403"/>
      <c r="CR130" s="403"/>
      <c r="CS130" s="403"/>
      <c r="CT130" s="403"/>
      <c r="CU130" s="403"/>
      <c r="CV130" s="403" t="s">
        <v>9131</v>
      </c>
      <c r="CW130" s="403"/>
      <c r="CX130" s="403"/>
      <c r="CY130" s="403" t="s">
        <v>8957</v>
      </c>
      <c r="CZ130" s="403"/>
      <c r="DA130" s="403"/>
      <c r="DB130" s="403"/>
      <c r="DC130" s="403"/>
      <c r="DD130" s="403"/>
      <c r="DE130" s="403"/>
      <c r="DF130" s="403"/>
      <c r="DG130" s="403"/>
      <c r="DH130" s="403"/>
      <c r="DI130" s="403"/>
      <c r="DJ130" s="403"/>
      <c r="DK130" s="403"/>
      <c r="DL130" s="403" t="s">
        <v>9132</v>
      </c>
      <c r="DM130" s="403"/>
      <c r="DN130" s="403"/>
      <c r="DO130" s="403" t="s">
        <v>8959</v>
      </c>
      <c r="DP130" s="403"/>
      <c r="DQ130" s="403"/>
      <c r="DR130" s="403"/>
      <c r="DS130" s="403"/>
      <c r="DT130" s="403"/>
      <c r="DU130" s="403"/>
      <c r="DV130" s="403"/>
      <c r="DW130" s="403"/>
      <c r="DX130" s="403"/>
      <c r="DY130" s="564"/>
      <c r="DZ130" s="564"/>
    </row>
    <row r="131" spans="1:130" s="299" customFormat="1" x14ac:dyDescent="0.2">
      <c r="A131" s="354">
        <v>1</v>
      </c>
      <c r="B131" s="230"/>
      <c r="C131" s="376" t="str">
        <f t="shared" ca="1" si="26"/>
        <v>Active surveillance of specific Covid-19 vaccine related adverse events</v>
      </c>
      <c r="D131" s="35"/>
      <c r="E131" s="366">
        <f>Pop_HCW_CS_Sites+District_Stores+Regional_Stores</f>
        <v>0</v>
      </c>
      <c r="F131" s="2" t="str">
        <f ca="1">IF(OFFSET(W131,0,Lang_Order*Lang__A4)="","",OFFSET(W131,0,Lang_Order*Lang__A4))</f>
        <v>Per service point / distribution point</v>
      </c>
      <c r="G131" s="32"/>
      <c r="H131" s="401"/>
      <c r="I131" s="300" t="e">
        <f t="shared" si="27"/>
        <v>#N/A</v>
      </c>
      <c r="J131" s="300" t="e">
        <f t="shared" si="28"/>
        <v>#N/A</v>
      </c>
      <c r="K131" s="152"/>
      <c r="L131" s="299" t="s">
        <v>2857</v>
      </c>
      <c r="O131" s="574"/>
      <c r="P131" s="587"/>
      <c r="Q131" s="403"/>
      <c r="R131" s="403"/>
      <c r="S131" s="403"/>
      <c r="T131" s="403" t="s">
        <v>3934</v>
      </c>
      <c r="U131" s="403"/>
      <c r="V131" s="403"/>
      <c r="W131" s="403" t="s">
        <v>3937</v>
      </c>
      <c r="X131" s="403"/>
      <c r="Y131" s="403"/>
      <c r="Z131" s="403"/>
      <c r="AA131" s="403"/>
      <c r="AB131" s="403"/>
      <c r="AC131" s="403"/>
      <c r="AD131" s="403"/>
      <c r="AE131" s="403"/>
      <c r="AF131" s="403"/>
      <c r="AG131" s="403"/>
      <c r="AH131" s="403"/>
      <c r="AI131" s="403"/>
      <c r="AJ131" s="403" t="s">
        <v>9133</v>
      </c>
      <c r="AK131" s="403"/>
      <c r="AL131" s="403"/>
      <c r="AM131" s="403" t="s">
        <v>9134</v>
      </c>
      <c r="AN131" s="403"/>
      <c r="AO131" s="403"/>
      <c r="AP131" s="403"/>
      <c r="AQ131" s="403"/>
      <c r="AR131" s="403"/>
      <c r="AS131" s="403"/>
      <c r="AT131" s="403"/>
      <c r="AU131" s="403"/>
      <c r="AV131" s="403"/>
      <c r="AW131" s="403"/>
      <c r="AX131" s="403"/>
      <c r="AY131" s="403"/>
      <c r="AZ131" s="403" t="s">
        <v>9135</v>
      </c>
      <c r="BA131" s="403"/>
      <c r="BB131" s="403"/>
      <c r="BC131" s="403" t="s">
        <v>9136</v>
      </c>
      <c r="BD131" s="403"/>
      <c r="BE131" s="403"/>
      <c r="BF131" s="403"/>
      <c r="BG131" s="403"/>
      <c r="BH131" s="403"/>
      <c r="BI131" s="403"/>
      <c r="BJ131" s="403"/>
      <c r="BK131" s="403"/>
      <c r="BL131" s="403"/>
      <c r="BM131" s="403"/>
      <c r="BN131" s="403"/>
      <c r="BO131" s="403"/>
      <c r="BP131" s="403" t="s">
        <v>9137</v>
      </c>
      <c r="BQ131" s="403"/>
      <c r="BR131" s="403"/>
      <c r="BS131" s="403" t="s">
        <v>9138</v>
      </c>
      <c r="BT131" s="403"/>
      <c r="BU131" s="403"/>
      <c r="BV131" s="403"/>
      <c r="BW131" s="403"/>
      <c r="BX131" s="403"/>
      <c r="BY131" s="403"/>
      <c r="BZ131" s="403"/>
      <c r="CA131" s="403"/>
      <c r="CB131" s="403"/>
      <c r="CC131" s="403"/>
      <c r="CD131" s="403"/>
      <c r="CE131" s="403"/>
      <c r="CF131" s="403" t="s">
        <v>9139</v>
      </c>
      <c r="CG131" s="403"/>
      <c r="CH131" s="403"/>
      <c r="CI131" s="403" t="s">
        <v>9140</v>
      </c>
      <c r="CJ131" s="403"/>
      <c r="CK131" s="403"/>
      <c r="CL131" s="403"/>
      <c r="CM131" s="403"/>
      <c r="CN131" s="403"/>
      <c r="CO131" s="403"/>
      <c r="CP131" s="403"/>
      <c r="CQ131" s="403"/>
      <c r="CR131" s="403"/>
      <c r="CS131" s="403"/>
      <c r="CT131" s="403"/>
      <c r="CU131" s="403"/>
      <c r="CV131" s="403" t="s">
        <v>9141</v>
      </c>
      <c r="CW131" s="403"/>
      <c r="CX131" s="403"/>
      <c r="CY131" s="403" t="s">
        <v>9142</v>
      </c>
      <c r="CZ131" s="403"/>
      <c r="DA131" s="403"/>
      <c r="DB131" s="403"/>
      <c r="DC131" s="403"/>
      <c r="DD131" s="403"/>
      <c r="DE131" s="403"/>
      <c r="DF131" s="403"/>
      <c r="DG131" s="403"/>
      <c r="DH131" s="403"/>
      <c r="DI131" s="403"/>
      <c r="DJ131" s="403"/>
      <c r="DK131" s="403"/>
      <c r="DL131" s="403" t="s">
        <v>9143</v>
      </c>
      <c r="DM131" s="403"/>
      <c r="DN131" s="403"/>
      <c r="DO131" s="403" t="s">
        <v>9144</v>
      </c>
      <c r="DP131" s="403"/>
      <c r="DQ131" s="403"/>
      <c r="DR131" s="403"/>
      <c r="DS131" s="403"/>
      <c r="DT131" s="403"/>
      <c r="DU131" s="403"/>
      <c r="DV131" s="403"/>
      <c r="DW131" s="403"/>
      <c r="DX131" s="403"/>
      <c r="DY131" s="564"/>
      <c r="DZ131" s="564"/>
    </row>
    <row r="132" spans="1:130" s="299" customFormat="1" x14ac:dyDescent="0.2">
      <c r="A132" s="354">
        <v>1</v>
      </c>
      <c r="B132" s="230"/>
      <c r="C132" s="370" t="str">
        <f t="shared" ca="1" si="26"/>
        <v>Establish high-quality sentinel site surveillance</v>
      </c>
      <c r="D132" s="35"/>
      <c r="F132" s="2" t="str">
        <f ca="1">IF(OFFSET(W132,0,Lang_Order*Lang__A4)="","",OFFSET(W132,0,Lang_Order*Lang__A4))</f>
        <v>Per site</v>
      </c>
      <c r="G132" s="32"/>
      <c r="H132" s="401"/>
      <c r="I132" s="300" t="e">
        <f t="shared" si="27"/>
        <v>#N/A</v>
      </c>
      <c r="J132" s="300" t="e">
        <f t="shared" si="28"/>
        <v>#N/A</v>
      </c>
      <c r="K132" s="152"/>
      <c r="L132" s="299" t="s">
        <v>3916</v>
      </c>
      <c r="O132" s="574"/>
      <c r="P132" s="587"/>
      <c r="Q132" s="403"/>
      <c r="R132" s="403"/>
      <c r="S132" s="403"/>
      <c r="T132" s="403" t="s">
        <v>3902</v>
      </c>
      <c r="U132" s="403"/>
      <c r="V132" s="403"/>
      <c r="W132" s="403" t="s">
        <v>3936</v>
      </c>
      <c r="X132" s="403"/>
      <c r="Y132" s="403"/>
      <c r="Z132" s="403"/>
      <c r="AA132" s="403"/>
      <c r="AB132" s="403"/>
      <c r="AC132" s="403"/>
      <c r="AD132" s="403"/>
      <c r="AE132" s="403"/>
      <c r="AF132" s="403"/>
      <c r="AG132" s="403"/>
      <c r="AH132" s="403"/>
      <c r="AI132" s="403"/>
      <c r="AJ132" s="403" t="s">
        <v>9145</v>
      </c>
      <c r="AK132" s="403"/>
      <c r="AL132" s="403"/>
      <c r="AM132" s="403" t="s">
        <v>8457</v>
      </c>
      <c r="AN132" s="403"/>
      <c r="AO132" s="403"/>
      <c r="AP132" s="403"/>
      <c r="AQ132" s="403"/>
      <c r="AR132" s="403"/>
      <c r="AS132" s="403"/>
      <c r="AT132" s="403"/>
      <c r="AU132" s="403"/>
      <c r="AV132" s="403"/>
      <c r="AW132" s="403"/>
      <c r="AX132" s="403"/>
      <c r="AY132" s="403"/>
      <c r="AZ132" s="403" t="s">
        <v>9146</v>
      </c>
      <c r="BA132" s="403"/>
      <c r="BB132" s="403"/>
      <c r="BC132" s="403" t="s">
        <v>9147</v>
      </c>
      <c r="BD132" s="403"/>
      <c r="BE132" s="403"/>
      <c r="BF132" s="403"/>
      <c r="BG132" s="403"/>
      <c r="BH132" s="403"/>
      <c r="BI132" s="403"/>
      <c r="BJ132" s="403"/>
      <c r="BK132" s="403"/>
      <c r="BL132" s="403"/>
      <c r="BM132" s="403"/>
      <c r="BN132" s="403"/>
      <c r="BO132" s="403"/>
      <c r="BP132" s="403" t="s">
        <v>9148</v>
      </c>
      <c r="BQ132" s="403"/>
      <c r="BR132" s="403"/>
      <c r="BS132" s="403" t="s">
        <v>8579</v>
      </c>
      <c r="BT132" s="403"/>
      <c r="BU132" s="403"/>
      <c r="BV132" s="403"/>
      <c r="BW132" s="403"/>
      <c r="BX132" s="403"/>
      <c r="BY132" s="403"/>
      <c r="BZ132" s="403"/>
      <c r="CA132" s="403"/>
      <c r="CB132" s="403"/>
      <c r="CC132" s="403"/>
      <c r="CD132" s="403"/>
      <c r="CE132" s="403"/>
      <c r="CF132" s="403" t="s">
        <v>9149</v>
      </c>
      <c r="CG132" s="403"/>
      <c r="CH132" s="403"/>
      <c r="CI132" s="403" t="s">
        <v>8463</v>
      </c>
      <c r="CJ132" s="403"/>
      <c r="CK132" s="403"/>
      <c r="CL132" s="403"/>
      <c r="CM132" s="403"/>
      <c r="CN132" s="403"/>
      <c r="CO132" s="403"/>
      <c r="CP132" s="403"/>
      <c r="CQ132" s="403"/>
      <c r="CR132" s="403"/>
      <c r="CS132" s="403"/>
      <c r="CT132" s="403"/>
      <c r="CU132" s="403"/>
      <c r="CV132" s="403" t="s">
        <v>9150</v>
      </c>
      <c r="CW132" s="403"/>
      <c r="CX132" s="403"/>
      <c r="CY132" s="403" t="s">
        <v>8465</v>
      </c>
      <c r="CZ132" s="403"/>
      <c r="DA132" s="403"/>
      <c r="DB132" s="403"/>
      <c r="DC132" s="403"/>
      <c r="DD132" s="403"/>
      <c r="DE132" s="403"/>
      <c r="DF132" s="403"/>
      <c r="DG132" s="403"/>
      <c r="DH132" s="403"/>
      <c r="DI132" s="403"/>
      <c r="DJ132" s="403"/>
      <c r="DK132" s="403"/>
      <c r="DL132" s="403" t="s">
        <v>9151</v>
      </c>
      <c r="DM132" s="403"/>
      <c r="DN132" s="403"/>
      <c r="DO132" s="403" t="s">
        <v>8467</v>
      </c>
      <c r="DP132" s="403"/>
      <c r="DQ132" s="403"/>
      <c r="DR132" s="403"/>
      <c r="DS132" s="403"/>
      <c r="DT132" s="403"/>
      <c r="DU132" s="403"/>
      <c r="DV132" s="403"/>
      <c r="DW132" s="403"/>
      <c r="DX132" s="403"/>
      <c r="DY132" s="564"/>
      <c r="DZ132" s="564"/>
    </row>
    <row r="133" spans="1:130" s="532" customFormat="1" x14ac:dyDescent="0.2">
      <c r="C133" s="159" t="str">
        <f t="shared" ca="1" si="26"/>
        <v>Other Operational Expenditure (7.2)</v>
      </c>
      <c r="O133" s="574"/>
      <c r="P133" s="574"/>
      <c r="T133" s="564" t="s">
        <v>4584</v>
      </c>
      <c r="U133" s="564"/>
      <c r="V133" s="564"/>
      <c r="W133" s="564"/>
      <c r="X133" s="564"/>
      <c r="Y133" s="564"/>
      <c r="Z133" s="564"/>
      <c r="AA133" s="564"/>
      <c r="AB133" s="564"/>
      <c r="AC133" s="564"/>
      <c r="AD133" s="564"/>
      <c r="AE133" s="564"/>
      <c r="AF133" s="564"/>
      <c r="AG133" s="564"/>
      <c r="AH133" s="564"/>
      <c r="AI133" s="564"/>
      <c r="AJ133" s="564" t="s">
        <v>13684</v>
      </c>
      <c r="AK133" s="564"/>
      <c r="AL133" s="564"/>
      <c r="AM133" s="564"/>
      <c r="AN133" s="564"/>
      <c r="AO133" s="564"/>
      <c r="AP133" s="564"/>
      <c r="AQ133" s="564"/>
      <c r="AR133" s="564"/>
      <c r="AS133" s="564"/>
      <c r="AT133" s="564"/>
      <c r="AU133" s="564"/>
      <c r="AV133" s="564"/>
      <c r="AW133" s="564"/>
      <c r="AX133" s="564"/>
      <c r="AY133" s="564"/>
      <c r="AZ133" s="564" t="s">
        <v>13685</v>
      </c>
      <c r="BA133" s="564"/>
      <c r="BB133" s="564"/>
      <c r="BC133" s="564"/>
      <c r="BD133" s="564"/>
      <c r="BE133" s="564"/>
      <c r="BF133" s="564"/>
      <c r="BG133" s="564"/>
      <c r="BH133" s="564"/>
      <c r="BI133" s="564"/>
      <c r="BJ133" s="564"/>
      <c r="BK133" s="564"/>
      <c r="BL133" s="564"/>
      <c r="BM133" s="564"/>
      <c r="BN133" s="564"/>
      <c r="BO133" s="564"/>
      <c r="BP133" s="564" t="s">
        <v>13686</v>
      </c>
      <c r="BQ133" s="564"/>
      <c r="BR133" s="564"/>
      <c r="BS133" s="564"/>
      <c r="BT133" s="564"/>
      <c r="BU133" s="564"/>
      <c r="BV133" s="564"/>
      <c r="BW133" s="564"/>
      <c r="BX133" s="564"/>
      <c r="BY133" s="564"/>
      <c r="BZ133" s="564"/>
      <c r="CA133" s="564"/>
      <c r="CB133" s="564"/>
      <c r="CC133" s="564"/>
      <c r="CD133" s="564"/>
      <c r="CE133" s="564"/>
      <c r="CF133" s="564" t="s">
        <v>13687</v>
      </c>
      <c r="CG133" s="564"/>
      <c r="CH133" s="564"/>
      <c r="CI133" s="564"/>
      <c r="CJ133" s="564"/>
      <c r="CK133" s="564"/>
      <c r="CL133" s="564"/>
      <c r="CM133" s="564"/>
      <c r="CN133" s="564"/>
      <c r="CO133" s="564"/>
      <c r="CP133" s="564"/>
      <c r="CQ133" s="564"/>
      <c r="CR133" s="564"/>
      <c r="CS133" s="564"/>
      <c r="CT133" s="564"/>
      <c r="CU133" s="564"/>
      <c r="CV133" s="564" t="s">
        <v>13688</v>
      </c>
      <c r="CW133" s="564"/>
      <c r="CX133" s="564"/>
      <c r="CY133" s="564"/>
      <c r="CZ133" s="564"/>
      <c r="DA133" s="564"/>
      <c r="DB133" s="564"/>
      <c r="DC133" s="564"/>
      <c r="DD133" s="564"/>
      <c r="DE133" s="564"/>
      <c r="DF133" s="564"/>
      <c r="DG133" s="564"/>
      <c r="DH133" s="564"/>
      <c r="DI133" s="564"/>
      <c r="DJ133" s="564"/>
      <c r="DK133" s="564"/>
      <c r="DL133" s="564" t="s">
        <v>13689</v>
      </c>
      <c r="DY133" s="564"/>
      <c r="DZ133" s="564"/>
    </row>
    <row r="134" spans="1:130" s="194" customFormat="1" x14ac:dyDescent="0.2">
      <c r="A134" s="350">
        <v>2</v>
      </c>
      <c r="B134" s="230"/>
      <c r="C134" s="374" t="s">
        <v>2974</v>
      </c>
      <c r="D134" s="35">
        <v>1</v>
      </c>
      <c r="E134" s="299"/>
      <c r="F134" s="2"/>
      <c r="G134" s="32"/>
      <c r="H134" s="401"/>
      <c r="I134" s="300" t="e">
        <f t="shared" si="27"/>
        <v>#N/A</v>
      </c>
      <c r="J134" s="300" t="e">
        <f t="shared" si="28"/>
        <v>#N/A</v>
      </c>
      <c r="K134" s="152"/>
      <c r="L134" s="299"/>
      <c r="M134" s="299"/>
      <c r="N134" s="299"/>
      <c r="O134" s="574"/>
      <c r="P134" s="587"/>
      <c r="Q134" s="403"/>
      <c r="R134" s="403"/>
      <c r="S134" s="403"/>
      <c r="T134" s="403" t="s">
        <v>2974</v>
      </c>
      <c r="U134" s="403"/>
      <c r="V134" s="403"/>
      <c r="W134" s="403"/>
      <c r="X134" s="403"/>
      <c r="Y134" s="403"/>
      <c r="Z134" s="403"/>
      <c r="AA134" s="403"/>
      <c r="AB134" s="403"/>
      <c r="AC134" s="403"/>
      <c r="AD134" s="403"/>
      <c r="AE134" s="403"/>
      <c r="AF134" s="403"/>
      <c r="AG134" s="403"/>
      <c r="AH134" s="403"/>
      <c r="AI134" s="403"/>
      <c r="AJ134" s="403" t="s">
        <v>8753</v>
      </c>
      <c r="AK134" s="403"/>
      <c r="AL134" s="403"/>
      <c r="AM134" s="403"/>
      <c r="AN134" s="403"/>
      <c r="AO134" s="403"/>
      <c r="AP134" s="403"/>
      <c r="AQ134" s="403"/>
      <c r="AR134" s="403"/>
      <c r="AS134" s="403"/>
      <c r="AT134" s="403"/>
      <c r="AU134" s="403"/>
      <c r="AV134" s="403"/>
      <c r="AW134" s="403"/>
      <c r="AX134" s="403"/>
      <c r="AY134" s="403"/>
      <c r="AZ134" s="403" t="s">
        <v>8754</v>
      </c>
      <c r="BA134" s="403"/>
      <c r="BB134" s="403"/>
      <c r="BC134" s="403"/>
      <c r="BD134" s="403"/>
      <c r="BE134" s="403"/>
      <c r="BF134" s="403"/>
      <c r="BG134" s="403"/>
      <c r="BH134" s="403"/>
      <c r="BI134" s="403"/>
      <c r="BJ134" s="403"/>
      <c r="BK134" s="403"/>
      <c r="BL134" s="403"/>
      <c r="BM134" s="403"/>
      <c r="BN134" s="403"/>
      <c r="BO134" s="403"/>
      <c r="BP134" s="403" t="s">
        <v>8755</v>
      </c>
      <c r="BQ134" s="403"/>
      <c r="BR134" s="403"/>
      <c r="BS134" s="403"/>
      <c r="BT134" s="403"/>
      <c r="BU134" s="403"/>
      <c r="BV134" s="403"/>
      <c r="BW134" s="403"/>
      <c r="BX134" s="403"/>
      <c r="BY134" s="403"/>
      <c r="BZ134" s="403"/>
      <c r="CA134" s="403"/>
      <c r="CB134" s="403"/>
      <c r="CC134" s="403"/>
      <c r="CD134" s="403"/>
      <c r="CE134" s="403"/>
      <c r="CF134" s="403" t="s">
        <v>8756</v>
      </c>
      <c r="CG134" s="403"/>
      <c r="CH134" s="403"/>
      <c r="CI134" s="403"/>
      <c r="CJ134" s="403"/>
      <c r="CK134" s="403"/>
      <c r="CL134" s="403"/>
      <c r="CM134" s="403"/>
      <c r="CN134" s="403"/>
      <c r="CO134" s="403"/>
      <c r="CP134" s="403"/>
      <c r="CQ134" s="403"/>
      <c r="CR134" s="403"/>
      <c r="CS134" s="403"/>
      <c r="CT134" s="403"/>
      <c r="CU134" s="403"/>
      <c r="CV134" s="403" t="s">
        <v>9118</v>
      </c>
      <c r="CW134" s="403"/>
      <c r="CX134" s="403"/>
      <c r="CY134" s="403"/>
      <c r="CZ134" s="403"/>
      <c r="DA134" s="403"/>
      <c r="DB134" s="403"/>
      <c r="DC134" s="403"/>
      <c r="DD134" s="403"/>
      <c r="DE134" s="403"/>
      <c r="DF134" s="403"/>
      <c r="DG134" s="403"/>
      <c r="DH134" s="403"/>
      <c r="DI134" s="403"/>
      <c r="DJ134" s="403"/>
      <c r="DK134" s="403"/>
      <c r="DL134" s="403" t="s">
        <v>8758</v>
      </c>
      <c r="DM134" s="403"/>
      <c r="DN134" s="403"/>
      <c r="DO134" s="403"/>
      <c r="DP134" s="403"/>
      <c r="DQ134" s="403"/>
      <c r="DR134" s="403"/>
      <c r="DS134" s="403"/>
      <c r="DT134" s="403"/>
      <c r="DU134" s="403"/>
      <c r="DV134" s="403"/>
      <c r="DW134" s="403"/>
      <c r="DX134" s="403"/>
      <c r="DY134" s="564"/>
      <c r="DZ134" s="564"/>
    </row>
    <row r="135" spans="1:130" s="194" customFormat="1" x14ac:dyDescent="0.2">
      <c r="A135" s="350">
        <v>2</v>
      </c>
      <c r="B135" s="230"/>
      <c r="C135" s="374"/>
      <c r="D135" s="35">
        <v>1</v>
      </c>
      <c r="E135" s="299"/>
      <c r="F135" s="2"/>
      <c r="G135" s="32"/>
      <c r="H135" s="401"/>
      <c r="I135" s="300" t="e">
        <f t="shared" si="27"/>
        <v>#N/A</v>
      </c>
      <c r="J135" s="300" t="e">
        <f t="shared" si="28"/>
        <v>#N/A</v>
      </c>
      <c r="K135" s="152"/>
      <c r="L135" s="299"/>
      <c r="M135" s="299"/>
      <c r="N135" s="299"/>
      <c r="O135" s="574"/>
      <c r="P135" s="587"/>
      <c r="Q135" s="403"/>
      <c r="R135" s="403"/>
      <c r="S135" s="403"/>
      <c r="T135" s="403"/>
      <c r="U135" s="403"/>
      <c r="V135" s="403"/>
      <c r="W135" s="403"/>
      <c r="X135" s="403"/>
      <c r="Y135" s="403"/>
      <c r="Z135" s="403"/>
      <c r="AA135" s="403"/>
      <c r="AB135" s="403"/>
      <c r="AC135" s="403"/>
      <c r="AD135" s="403"/>
      <c r="AE135" s="403"/>
      <c r="AF135" s="403"/>
      <c r="AG135" s="403"/>
      <c r="AH135" s="403"/>
      <c r="AI135" s="403"/>
      <c r="AJ135" s="403"/>
      <c r="AK135" s="403"/>
      <c r="AL135" s="403"/>
      <c r="AM135" s="403"/>
      <c r="AN135" s="403"/>
      <c r="AO135" s="403"/>
      <c r="AP135" s="403"/>
      <c r="AQ135" s="403"/>
      <c r="AR135" s="403"/>
      <c r="AS135" s="403"/>
      <c r="AT135" s="403"/>
      <c r="AU135" s="403"/>
      <c r="AV135" s="403"/>
      <c r="AW135" s="403"/>
      <c r="AX135" s="403"/>
      <c r="AY135" s="403"/>
      <c r="AZ135" s="403"/>
      <c r="BA135" s="403"/>
      <c r="BB135" s="403"/>
      <c r="BC135" s="403"/>
      <c r="BD135" s="403"/>
      <c r="BE135" s="403"/>
      <c r="BF135" s="403"/>
      <c r="BG135" s="403"/>
      <c r="BH135" s="403"/>
      <c r="BI135" s="403"/>
      <c r="BJ135" s="403"/>
      <c r="BK135" s="403"/>
      <c r="BL135" s="403"/>
      <c r="BM135" s="403"/>
      <c r="BN135" s="403"/>
      <c r="BO135" s="403"/>
      <c r="BP135" s="403"/>
      <c r="BQ135" s="403"/>
      <c r="BR135" s="403"/>
      <c r="BS135" s="403"/>
      <c r="BT135" s="403"/>
      <c r="BU135" s="403"/>
      <c r="BV135" s="403"/>
      <c r="BW135" s="403"/>
      <c r="BX135" s="403"/>
      <c r="BY135" s="403"/>
      <c r="BZ135" s="403"/>
      <c r="CA135" s="403"/>
      <c r="CB135" s="403"/>
      <c r="CC135" s="403"/>
      <c r="CD135" s="403"/>
      <c r="CE135" s="403"/>
      <c r="CF135" s="403"/>
      <c r="CG135" s="403"/>
      <c r="CH135" s="403"/>
      <c r="CI135" s="403"/>
      <c r="CJ135" s="403"/>
      <c r="CK135" s="403"/>
      <c r="CL135" s="403"/>
      <c r="CM135" s="403"/>
      <c r="CN135" s="403"/>
      <c r="CO135" s="403"/>
      <c r="CP135" s="403"/>
      <c r="CQ135" s="403"/>
      <c r="CR135" s="403"/>
      <c r="CS135" s="403"/>
      <c r="CT135" s="403"/>
      <c r="CU135" s="403"/>
      <c r="CV135" s="403"/>
      <c r="CW135" s="403"/>
      <c r="CX135" s="403"/>
      <c r="CY135" s="403"/>
      <c r="CZ135" s="403"/>
      <c r="DA135" s="403"/>
      <c r="DB135" s="403"/>
      <c r="DC135" s="403"/>
      <c r="DD135" s="403"/>
      <c r="DE135" s="403"/>
      <c r="DF135" s="403"/>
      <c r="DG135" s="403"/>
      <c r="DH135" s="403"/>
      <c r="DI135" s="403"/>
      <c r="DJ135" s="403"/>
      <c r="DK135" s="403"/>
      <c r="DL135" s="403"/>
      <c r="DM135" s="403"/>
      <c r="DN135" s="403"/>
      <c r="DO135" s="403"/>
      <c r="DP135" s="403"/>
      <c r="DQ135" s="403"/>
      <c r="DR135" s="403"/>
      <c r="DS135" s="403"/>
      <c r="DT135" s="403"/>
      <c r="DU135" s="403"/>
      <c r="DV135" s="403"/>
      <c r="DW135" s="403"/>
      <c r="DX135" s="403"/>
      <c r="DY135" s="564"/>
      <c r="DZ135" s="564"/>
    </row>
    <row r="136" spans="1:130" s="194" customFormat="1" x14ac:dyDescent="0.2">
      <c r="A136" s="350">
        <v>2</v>
      </c>
      <c r="B136" s="230"/>
      <c r="C136" s="374"/>
      <c r="D136" s="35">
        <v>1</v>
      </c>
      <c r="E136" s="299"/>
      <c r="F136" s="2"/>
      <c r="G136" s="32"/>
      <c r="H136" s="401"/>
      <c r="I136" s="300" t="e">
        <f t="shared" si="27"/>
        <v>#N/A</v>
      </c>
      <c r="J136" s="300" t="e">
        <f t="shared" si="28"/>
        <v>#N/A</v>
      </c>
      <c r="K136" s="152"/>
      <c r="L136" s="299"/>
      <c r="M136" s="299"/>
      <c r="N136" s="299"/>
      <c r="O136" s="574"/>
      <c r="P136" s="587"/>
      <c r="Q136" s="403"/>
      <c r="R136" s="403"/>
      <c r="S136" s="403"/>
      <c r="T136" s="403"/>
      <c r="U136" s="403"/>
      <c r="V136" s="403"/>
      <c r="W136" s="403"/>
      <c r="X136" s="403"/>
      <c r="Y136" s="403"/>
      <c r="Z136" s="403"/>
      <c r="AA136" s="403"/>
      <c r="AB136" s="403"/>
      <c r="AC136" s="403"/>
      <c r="AD136" s="403"/>
      <c r="AE136" s="403"/>
      <c r="AF136" s="403"/>
      <c r="AG136" s="403"/>
      <c r="AH136" s="403"/>
      <c r="AI136" s="403"/>
      <c r="AJ136" s="403"/>
      <c r="AK136" s="403"/>
      <c r="AL136" s="403"/>
      <c r="AM136" s="403"/>
      <c r="AN136" s="403"/>
      <c r="AO136" s="403"/>
      <c r="AP136" s="403"/>
      <c r="AQ136" s="403"/>
      <c r="AR136" s="403"/>
      <c r="AS136" s="403"/>
      <c r="AT136" s="403"/>
      <c r="AU136" s="403"/>
      <c r="AV136" s="403"/>
      <c r="AW136" s="403"/>
      <c r="AX136" s="403"/>
      <c r="AY136" s="403"/>
      <c r="AZ136" s="403"/>
      <c r="BA136" s="403"/>
      <c r="BB136" s="403"/>
      <c r="BC136" s="403"/>
      <c r="BD136" s="403"/>
      <c r="BE136" s="403"/>
      <c r="BF136" s="403"/>
      <c r="BG136" s="403"/>
      <c r="BH136" s="403"/>
      <c r="BI136" s="403"/>
      <c r="BJ136" s="403"/>
      <c r="BK136" s="403"/>
      <c r="BL136" s="403"/>
      <c r="BM136" s="403"/>
      <c r="BN136" s="403"/>
      <c r="BO136" s="403"/>
      <c r="BP136" s="403"/>
      <c r="BQ136" s="403"/>
      <c r="BR136" s="403"/>
      <c r="BS136" s="403"/>
      <c r="BT136" s="403"/>
      <c r="BU136" s="403"/>
      <c r="BV136" s="403"/>
      <c r="BW136" s="403"/>
      <c r="BX136" s="403"/>
      <c r="BY136" s="403"/>
      <c r="BZ136" s="403"/>
      <c r="CA136" s="403"/>
      <c r="CB136" s="403"/>
      <c r="CC136" s="403"/>
      <c r="CD136" s="403"/>
      <c r="CE136" s="403"/>
      <c r="CF136" s="403"/>
      <c r="CG136" s="403"/>
      <c r="CH136" s="403"/>
      <c r="CI136" s="403"/>
      <c r="CJ136" s="403"/>
      <c r="CK136" s="403"/>
      <c r="CL136" s="403"/>
      <c r="CM136" s="403"/>
      <c r="CN136" s="403"/>
      <c r="CO136" s="403"/>
      <c r="CP136" s="403"/>
      <c r="CQ136" s="403"/>
      <c r="CR136" s="403"/>
      <c r="CS136" s="403"/>
      <c r="CT136" s="403"/>
      <c r="CU136" s="403"/>
      <c r="CV136" s="403"/>
      <c r="CW136" s="403"/>
      <c r="CX136" s="403"/>
      <c r="CY136" s="403"/>
      <c r="CZ136" s="403"/>
      <c r="DA136" s="403"/>
      <c r="DB136" s="403"/>
      <c r="DC136" s="403"/>
      <c r="DD136" s="403"/>
      <c r="DE136" s="403"/>
      <c r="DF136" s="403"/>
      <c r="DG136" s="403"/>
      <c r="DH136" s="403"/>
      <c r="DI136" s="403"/>
      <c r="DJ136" s="403"/>
      <c r="DK136" s="403"/>
      <c r="DL136" s="403"/>
      <c r="DM136" s="403"/>
      <c r="DN136" s="403"/>
      <c r="DO136" s="403"/>
      <c r="DP136" s="403"/>
      <c r="DQ136" s="403"/>
      <c r="DR136" s="403"/>
      <c r="DS136" s="403"/>
      <c r="DT136" s="403"/>
      <c r="DU136" s="403"/>
      <c r="DV136" s="403"/>
      <c r="DW136" s="403"/>
      <c r="DX136" s="403"/>
      <c r="DY136" s="564"/>
      <c r="DZ136" s="564"/>
    </row>
    <row r="137" spans="1:130" x14ac:dyDescent="0.2">
      <c r="K137" s="34"/>
    </row>
    <row r="138" spans="1:130" ht="15" x14ac:dyDescent="0.25">
      <c r="B138" s="8" t="str">
        <f ca="1">IF(OFFSET(S138,0,Lang_Order*Lang__A4)="","",OFFSET(S138,0,Lang_Order*Lang__A4))</f>
        <v>A4.1.10 Demand Generation and Communications</v>
      </c>
      <c r="C138" s="19"/>
      <c r="D138" s="8"/>
      <c r="E138" s="8"/>
      <c r="F138" s="8"/>
      <c r="G138" s="408" t="str">
        <f>CONCATENATE(Lang_LCU,": ",LCU)</f>
        <v xml:space="preserve">LCU: </v>
      </c>
      <c r="H138" s="219" t="str">
        <f ca="1">IF(OFFSET(Y138,0,Lang_Order*Lang__A4)="","",OFFSET(Y138,0,Lang_Order*Lang__A4))</f>
        <v>Override in USD</v>
      </c>
      <c r="I138" s="8"/>
      <c r="J138" s="8"/>
      <c r="K138" s="188" t="e">
        <f>SUM(J140:J158)</f>
        <v>#N/A</v>
      </c>
      <c r="L138" s="8"/>
      <c r="M138" s="8"/>
      <c r="N138" s="8"/>
      <c r="O138" s="8"/>
      <c r="P138" s="8"/>
      <c r="S138" s="403" t="s">
        <v>14536</v>
      </c>
      <c r="Y138" s="403" t="s">
        <v>2977</v>
      </c>
      <c r="AI138" s="403" t="s">
        <v>14537</v>
      </c>
      <c r="AO138" s="403" t="s">
        <v>7897</v>
      </c>
      <c r="AY138" s="403" t="s">
        <v>14538</v>
      </c>
      <c r="BE138" s="403" t="s">
        <v>8114</v>
      </c>
      <c r="BO138" s="403" t="s">
        <v>14539</v>
      </c>
      <c r="BU138" s="403" t="s">
        <v>7903</v>
      </c>
      <c r="CE138" s="403" t="s">
        <v>14540</v>
      </c>
      <c r="CK138" s="403" t="s">
        <v>7906</v>
      </c>
      <c r="CU138" s="403" t="s">
        <v>14541</v>
      </c>
      <c r="DA138" s="403" t="s">
        <v>7908</v>
      </c>
      <c r="DK138" s="403" t="s">
        <v>14542</v>
      </c>
      <c r="DQ138" s="403" t="s">
        <v>7911</v>
      </c>
    </row>
    <row r="139" spans="1:130" s="185" customFormat="1" ht="52.5" customHeight="1" x14ac:dyDescent="0.2">
      <c r="C139" s="679" t="str">
        <f t="shared" ref="C139:C155" ca="1" si="33">IF(OFFSET(T139,0,Lang_Order*Lang__A4)="","",OFFSET(T139,0,Lang_Order*Lang__A4))</f>
        <v>Instructions:: Demand generation and communications may be a large driver of vaccination costs. Technical assistance (TA), development costs for communications activities, and central-level operational costs for these are costed here. Some sub-national costs such as those related to local RCCE focal points and community engagement can also be included here. However, many aspects of local demand generation are costed under section A3.6 (for activities originating at vaccination service points - these should be reviewed together to ensure alignment.</v>
      </c>
      <c r="D139" s="679"/>
      <c r="E139" s="679"/>
      <c r="F139" s="679"/>
      <c r="G139" s="679"/>
      <c r="H139" s="679"/>
      <c r="P139" s="574"/>
      <c r="Q139" s="403"/>
      <c r="R139" s="403"/>
      <c r="S139" s="403"/>
      <c r="T139" s="403" t="s">
        <v>4157</v>
      </c>
      <c r="U139" s="403"/>
      <c r="V139" s="403"/>
      <c r="W139" s="403"/>
      <c r="X139" s="403"/>
      <c r="Y139" s="403"/>
      <c r="Z139" s="403"/>
      <c r="AA139" s="403"/>
      <c r="AB139" s="403"/>
      <c r="AC139" s="403"/>
      <c r="AD139" s="403"/>
      <c r="AE139" s="403"/>
      <c r="AF139" s="403"/>
      <c r="AG139" s="403"/>
      <c r="AH139" s="403"/>
      <c r="AI139" s="403"/>
      <c r="AJ139" s="403" t="s">
        <v>9152</v>
      </c>
      <c r="AK139" s="403"/>
      <c r="AL139" s="403"/>
      <c r="AM139" s="403"/>
      <c r="AN139" s="403"/>
      <c r="AO139" s="403"/>
      <c r="AP139" s="403"/>
      <c r="AQ139" s="403"/>
      <c r="AR139" s="403"/>
      <c r="AS139" s="403"/>
      <c r="AT139" s="403"/>
      <c r="AU139" s="403"/>
      <c r="AV139" s="403"/>
      <c r="AW139" s="403"/>
      <c r="AX139" s="403"/>
      <c r="AY139" s="403"/>
      <c r="AZ139" s="403" t="s">
        <v>9153</v>
      </c>
      <c r="BA139" s="403"/>
      <c r="BB139" s="403"/>
      <c r="BC139" s="403"/>
      <c r="BD139" s="403"/>
      <c r="BE139" s="403"/>
      <c r="BF139" s="403"/>
      <c r="BG139" s="403"/>
      <c r="BH139" s="403"/>
      <c r="BI139" s="403"/>
      <c r="BJ139" s="403"/>
      <c r="BK139" s="403"/>
      <c r="BL139" s="403"/>
      <c r="BM139" s="403"/>
      <c r="BN139" s="403"/>
      <c r="BO139" s="403"/>
      <c r="BP139" s="403" t="s">
        <v>9154</v>
      </c>
      <c r="BQ139" s="403"/>
      <c r="BR139" s="403"/>
      <c r="BS139" s="403"/>
      <c r="BT139" s="403"/>
      <c r="BU139" s="403"/>
      <c r="BV139" s="403"/>
      <c r="BW139" s="403"/>
      <c r="BX139" s="403"/>
      <c r="BY139" s="403"/>
      <c r="BZ139" s="403"/>
      <c r="CA139" s="403"/>
      <c r="CB139" s="403"/>
      <c r="CC139" s="403"/>
      <c r="CD139" s="403"/>
      <c r="CE139" s="403"/>
      <c r="CF139" s="403" t="s">
        <v>9155</v>
      </c>
      <c r="CG139" s="403"/>
      <c r="CH139" s="403"/>
      <c r="CI139" s="403"/>
      <c r="CJ139" s="403"/>
      <c r="CK139" s="403"/>
      <c r="CL139" s="403"/>
      <c r="CM139" s="403"/>
      <c r="CN139" s="403"/>
      <c r="CO139" s="403"/>
      <c r="CP139" s="403"/>
      <c r="CQ139" s="403"/>
      <c r="CR139" s="403"/>
      <c r="CS139" s="403"/>
      <c r="CT139" s="403"/>
      <c r="CU139" s="403"/>
      <c r="CV139" s="403" t="s">
        <v>9156</v>
      </c>
      <c r="CW139" s="403"/>
      <c r="CX139" s="403"/>
      <c r="CY139" s="403"/>
      <c r="CZ139" s="403"/>
      <c r="DA139" s="403"/>
      <c r="DB139" s="403"/>
      <c r="DC139" s="403"/>
      <c r="DD139" s="403"/>
      <c r="DE139" s="403"/>
      <c r="DF139" s="403"/>
      <c r="DG139" s="403"/>
      <c r="DH139" s="403"/>
      <c r="DI139" s="403"/>
      <c r="DJ139" s="403"/>
      <c r="DK139" s="403"/>
      <c r="DL139" s="403" t="s">
        <v>9157</v>
      </c>
      <c r="DM139" s="403"/>
      <c r="DN139" s="403"/>
      <c r="DO139" s="403"/>
      <c r="DP139" s="403"/>
      <c r="DQ139" s="403"/>
      <c r="DR139" s="403"/>
      <c r="DS139" s="403"/>
      <c r="DT139" s="403"/>
      <c r="DU139" s="403"/>
      <c r="DV139" s="403"/>
      <c r="DW139" s="403"/>
      <c r="DX139" s="403"/>
      <c r="DY139" s="564"/>
      <c r="DZ139" s="564"/>
    </row>
    <row r="140" spans="1:130" ht="25.5" x14ac:dyDescent="0.2">
      <c r="A140" s="354">
        <v>1</v>
      </c>
      <c r="B140" s="230"/>
      <c r="C140" s="370" t="str">
        <f t="shared" ca="1" si="33"/>
        <v>TA: Design social mobilization and engagement strategy, including crisis communications, key messages, communications materials, complaints handling</v>
      </c>
      <c r="D140" s="2">
        <v>1</v>
      </c>
      <c r="E140" s="299"/>
      <c r="F140" s="2"/>
      <c r="G140" s="32"/>
      <c r="H140" s="401"/>
      <c r="I140" s="300" t="e">
        <f t="shared" ref="I140:I158" si="34">IF(ISBLANK(H140),G140/USD2LCU,H140)</f>
        <v>#N/A</v>
      </c>
      <c r="J140" s="300" t="e">
        <f t="shared" ref="J140:J158" si="35">D140*I140</f>
        <v>#N/A</v>
      </c>
      <c r="K140" s="152"/>
      <c r="L140" s="299" t="s">
        <v>3873</v>
      </c>
      <c r="N140" s="68"/>
      <c r="O140" s="12" t="str">
        <f t="shared" ref="O140:O153" ca="1" si="36">IF(OFFSET(AF140,0,Lang_Order*Lang__A4)="","",OFFSET(AF140,0,Lang_Order*Lang__A4))</f>
        <v>incl. translation</v>
      </c>
      <c r="P140" s="587"/>
      <c r="T140" s="403" t="s">
        <v>3874</v>
      </c>
      <c r="AF140" s="403" t="s">
        <v>2190</v>
      </c>
      <c r="AJ140" s="403" t="s">
        <v>9158</v>
      </c>
      <c r="AV140" s="403" t="s">
        <v>9159</v>
      </c>
      <c r="AZ140" s="403" t="s">
        <v>9160</v>
      </c>
      <c r="BL140" s="403" t="s">
        <v>9161</v>
      </c>
      <c r="BP140" s="403" t="s">
        <v>9162</v>
      </c>
      <c r="CB140" s="403" t="s">
        <v>9163</v>
      </c>
      <c r="CF140" s="403" t="s">
        <v>9164</v>
      </c>
      <c r="CR140" s="403" t="s">
        <v>9165</v>
      </c>
      <c r="CV140" s="403" t="s">
        <v>9166</v>
      </c>
      <c r="DH140" s="403" t="s">
        <v>9167</v>
      </c>
      <c r="DL140" s="403" t="s">
        <v>9168</v>
      </c>
      <c r="DX140" s="403" t="s">
        <v>9169</v>
      </c>
    </row>
    <row r="141" spans="1:130" x14ac:dyDescent="0.2">
      <c r="A141" s="354">
        <v>1</v>
      </c>
      <c r="B141" s="230"/>
      <c r="C141" s="370" t="str">
        <f t="shared" ca="1" si="33"/>
        <v>TA: Data collection systems - social media, rumor management, assess behavioural and social data</v>
      </c>
      <c r="D141" s="2">
        <v>1</v>
      </c>
      <c r="E141" s="299"/>
      <c r="F141" s="2"/>
      <c r="G141" s="32"/>
      <c r="H141" s="401"/>
      <c r="I141" s="300" t="e">
        <f t="shared" si="34"/>
        <v>#N/A</v>
      </c>
      <c r="J141" s="300" t="e">
        <f t="shared" si="35"/>
        <v>#N/A</v>
      </c>
      <c r="K141" s="152"/>
      <c r="L141" s="299" t="s">
        <v>2858</v>
      </c>
      <c r="M141" s="68"/>
      <c r="N141" s="68"/>
      <c r="O141" s="12" t="str">
        <f t="shared" ca="1" si="36"/>
        <v>Price per month</v>
      </c>
      <c r="P141" s="587"/>
      <c r="T141" s="403" t="s">
        <v>3875</v>
      </c>
      <c r="AF141" s="403" t="s">
        <v>2897</v>
      </c>
      <c r="AJ141" s="403" t="s">
        <v>9170</v>
      </c>
      <c r="AV141" s="403" t="s">
        <v>9171</v>
      </c>
      <c r="AZ141" s="403" t="s">
        <v>9172</v>
      </c>
      <c r="BL141" s="403" t="s">
        <v>9173</v>
      </c>
      <c r="BP141" s="403" t="s">
        <v>9174</v>
      </c>
      <c r="CB141" s="403" t="s">
        <v>9175</v>
      </c>
      <c r="CF141" s="403" t="s">
        <v>9176</v>
      </c>
      <c r="CR141" s="403" t="s">
        <v>9177</v>
      </c>
      <c r="CV141" s="403" t="s">
        <v>9178</v>
      </c>
      <c r="DH141" s="403" t="s">
        <v>9179</v>
      </c>
      <c r="DL141" s="403" t="s">
        <v>9180</v>
      </c>
      <c r="DX141" s="403" t="s">
        <v>9181</v>
      </c>
    </row>
    <row r="142" spans="1:130" s="299" customFormat="1" x14ac:dyDescent="0.2">
      <c r="A142" s="354">
        <v>1</v>
      </c>
      <c r="B142" s="230"/>
      <c r="C142" s="5" t="str">
        <f ca="1">IF(OFFSET(T142,0,Lang_Order*Lang__A4)="","",OFFSET(T142,0,Lang_Order*Lang__A4))</f>
        <v>TA: Public messages and materials</v>
      </c>
      <c r="D142" s="2">
        <v>1</v>
      </c>
      <c r="F142" s="2"/>
      <c r="G142" s="32"/>
      <c r="H142" s="401"/>
      <c r="I142" s="300" t="e">
        <f>IF(ISBLANK(H142),G142/USD2LCU,H142)</f>
        <v>#N/A</v>
      </c>
      <c r="J142" s="300" t="e">
        <f>D142*I142</f>
        <v>#N/A</v>
      </c>
      <c r="K142" s="152"/>
      <c r="L142" s="299" t="s">
        <v>3877</v>
      </c>
      <c r="M142" s="68"/>
      <c r="N142" s="68"/>
      <c r="O142" s="574"/>
      <c r="P142" s="587"/>
      <c r="Q142" s="403"/>
      <c r="R142" s="403"/>
      <c r="S142" s="403"/>
      <c r="T142" s="403" t="s">
        <v>3876</v>
      </c>
      <c r="U142" s="403"/>
      <c r="V142" s="403"/>
      <c r="W142" s="403"/>
      <c r="X142" s="403"/>
      <c r="Y142" s="403"/>
      <c r="Z142" s="403"/>
      <c r="AA142" s="403"/>
      <c r="AB142" s="403"/>
      <c r="AC142" s="403"/>
      <c r="AD142" s="403"/>
      <c r="AE142" s="403"/>
      <c r="AF142" s="403"/>
      <c r="AG142" s="403"/>
      <c r="AH142" s="403"/>
      <c r="AI142" s="403"/>
      <c r="AJ142" s="403" t="s">
        <v>9182</v>
      </c>
      <c r="AK142" s="403"/>
      <c r="AL142" s="403"/>
      <c r="AM142" s="403"/>
      <c r="AN142" s="403"/>
      <c r="AO142" s="403"/>
      <c r="AP142" s="403"/>
      <c r="AQ142" s="403"/>
      <c r="AR142" s="403"/>
      <c r="AS142" s="403"/>
      <c r="AT142" s="403"/>
      <c r="AU142" s="403"/>
      <c r="AV142" s="403"/>
      <c r="AW142" s="403"/>
      <c r="AX142" s="403"/>
      <c r="AY142" s="403"/>
      <c r="AZ142" s="403" t="s">
        <v>9183</v>
      </c>
      <c r="BA142" s="403"/>
      <c r="BB142" s="403"/>
      <c r="BC142" s="403"/>
      <c r="BD142" s="403"/>
      <c r="BE142" s="403"/>
      <c r="BF142" s="403"/>
      <c r="BG142" s="403"/>
      <c r="BH142" s="403"/>
      <c r="BI142" s="403"/>
      <c r="BJ142" s="403"/>
      <c r="BK142" s="403"/>
      <c r="BL142" s="403"/>
      <c r="BM142" s="403"/>
      <c r="BN142" s="403"/>
      <c r="BO142" s="403"/>
      <c r="BP142" s="403" t="s">
        <v>9184</v>
      </c>
      <c r="BQ142" s="403"/>
      <c r="BR142" s="403"/>
      <c r="BS142" s="403"/>
      <c r="BT142" s="403"/>
      <c r="BU142" s="403"/>
      <c r="BV142" s="403"/>
      <c r="BW142" s="403"/>
      <c r="BX142" s="403"/>
      <c r="BY142" s="403"/>
      <c r="BZ142" s="403"/>
      <c r="CA142" s="403"/>
      <c r="CB142" s="403"/>
      <c r="CC142" s="403"/>
      <c r="CD142" s="403"/>
      <c r="CE142" s="403"/>
      <c r="CF142" s="403" t="s">
        <v>9185</v>
      </c>
      <c r="CG142" s="403"/>
      <c r="CH142" s="403"/>
      <c r="CI142" s="403"/>
      <c r="CJ142" s="403"/>
      <c r="CK142" s="403"/>
      <c r="CL142" s="403"/>
      <c r="CM142" s="403"/>
      <c r="CN142" s="403"/>
      <c r="CO142" s="403"/>
      <c r="CP142" s="403"/>
      <c r="CQ142" s="403"/>
      <c r="CR142" s="403"/>
      <c r="CS142" s="403"/>
      <c r="CT142" s="403"/>
      <c r="CU142" s="403"/>
      <c r="CV142" s="403" t="s">
        <v>9186</v>
      </c>
      <c r="CW142" s="403"/>
      <c r="CX142" s="403"/>
      <c r="CY142" s="403"/>
      <c r="CZ142" s="403"/>
      <c r="DA142" s="403"/>
      <c r="DB142" s="403"/>
      <c r="DC142" s="403"/>
      <c r="DD142" s="403"/>
      <c r="DE142" s="403"/>
      <c r="DF142" s="403"/>
      <c r="DG142" s="403"/>
      <c r="DH142" s="403"/>
      <c r="DI142" s="403"/>
      <c r="DJ142" s="403"/>
      <c r="DK142" s="403"/>
      <c r="DL142" s="403" t="s">
        <v>9187</v>
      </c>
      <c r="DM142" s="403"/>
      <c r="DN142" s="403"/>
      <c r="DO142" s="403"/>
      <c r="DP142" s="403"/>
      <c r="DQ142" s="403"/>
      <c r="DR142" s="403"/>
      <c r="DS142" s="403"/>
      <c r="DT142" s="403"/>
      <c r="DU142" s="403"/>
      <c r="DV142" s="403"/>
      <c r="DW142" s="403"/>
      <c r="DX142" s="403"/>
      <c r="DY142" s="564"/>
      <c r="DZ142" s="564"/>
    </row>
    <row r="143" spans="1:130" s="532" customFormat="1" x14ac:dyDescent="0.2">
      <c r="B143" s="230"/>
      <c r="C143" s="553" t="str">
        <f t="shared" ca="1" si="33"/>
        <v>Other Technical Assistance (8.1)</v>
      </c>
      <c r="O143" s="574"/>
      <c r="P143" s="574"/>
      <c r="T143" s="564" t="s">
        <v>14267</v>
      </c>
      <c r="U143" s="564"/>
      <c r="V143" s="564"/>
      <c r="W143" s="564"/>
      <c r="X143" s="564"/>
      <c r="Y143" s="564"/>
      <c r="Z143" s="564"/>
      <c r="AA143" s="564"/>
      <c r="AB143" s="564"/>
      <c r="AC143" s="564"/>
      <c r="AD143" s="564"/>
      <c r="AE143" s="564"/>
      <c r="AF143" s="564"/>
      <c r="AG143" s="564"/>
      <c r="AH143" s="564"/>
      <c r="AI143" s="564"/>
      <c r="AJ143" s="564" t="s">
        <v>14268</v>
      </c>
      <c r="AK143" s="564"/>
      <c r="AL143" s="564"/>
      <c r="AM143" s="564"/>
      <c r="AN143" s="564"/>
      <c r="AO143" s="564"/>
      <c r="AP143" s="564"/>
      <c r="AQ143" s="564"/>
      <c r="AR143" s="564"/>
      <c r="AS143" s="564"/>
      <c r="AT143" s="564"/>
      <c r="AU143" s="564"/>
      <c r="AV143" s="564"/>
      <c r="AW143" s="564"/>
      <c r="AX143" s="564"/>
      <c r="AY143" s="564"/>
      <c r="AZ143" s="564" t="s">
        <v>14269</v>
      </c>
      <c r="BA143" s="564"/>
      <c r="BB143" s="564"/>
      <c r="BC143" s="564"/>
      <c r="BD143" s="564"/>
      <c r="BE143" s="564"/>
      <c r="BF143" s="564"/>
      <c r="BG143" s="564"/>
      <c r="BH143" s="564"/>
      <c r="BI143" s="564"/>
      <c r="BJ143" s="564"/>
      <c r="BK143" s="564"/>
      <c r="BL143" s="564"/>
      <c r="BM143" s="564"/>
      <c r="BN143" s="564"/>
      <c r="BO143" s="564"/>
      <c r="BP143" s="564" t="s">
        <v>14270</v>
      </c>
      <c r="BQ143" s="564"/>
      <c r="BR143" s="564"/>
      <c r="BS143" s="564"/>
      <c r="BT143" s="564"/>
      <c r="BU143" s="564"/>
      <c r="BV143" s="564"/>
      <c r="BW143" s="564"/>
      <c r="BX143" s="564"/>
      <c r="BY143" s="564"/>
      <c r="BZ143" s="564"/>
      <c r="CA143" s="564"/>
      <c r="CB143" s="564"/>
      <c r="CC143" s="564"/>
      <c r="CD143" s="564"/>
      <c r="CE143" s="564"/>
      <c r="CF143" s="564" t="s">
        <v>14271</v>
      </c>
      <c r="CG143" s="564"/>
      <c r="CH143" s="564"/>
      <c r="CI143" s="564"/>
      <c r="CJ143" s="564"/>
      <c r="CK143" s="564"/>
      <c r="CL143" s="564"/>
      <c r="CM143" s="564"/>
      <c r="CN143" s="564"/>
      <c r="CO143" s="564"/>
      <c r="CP143" s="564"/>
      <c r="CQ143" s="564"/>
      <c r="CR143" s="564"/>
      <c r="CS143" s="564"/>
      <c r="CT143" s="564"/>
      <c r="CU143" s="564"/>
      <c r="CV143" s="564" t="s">
        <v>14272</v>
      </c>
      <c r="CW143" s="564"/>
      <c r="CX143" s="564"/>
      <c r="CY143" s="564"/>
      <c r="CZ143" s="564"/>
      <c r="DA143" s="564"/>
      <c r="DB143" s="564"/>
      <c r="DC143" s="564"/>
      <c r="DD143" s="564"/>
      <c r="DE143" s="564"/>
      <c r="DF143" s="564"/>
      <c r="DG143" s="564"/>
      <c r="DH143" s="564"/>
      <c r="DI143" s="564"/>
      <c r="DJ143" s="564"/>
      <c r="DK143" s="564"/>
      <c r="DL143" s="564" t="s">
        <v>14273</v>
      </c>
      <c r="DY143" s="564"/>
      <c r="DZ143" s="564"/>
    </row>
    <row r="144" spans="1:130" s="532" customFormat="1" x14ac:dyDescent="0.2">
      <c r="A144" s="350">
        <v>2</v>
      </c>
      <c r="B144" s="230"/>
      <c r="C144" s="374" t="s">
        <v>2974</v>
      </c>
      <c r="D144" s="35">
        <v>1</v>
      </c>
      <c r="F144" s="2"/>
      <c r="G144" s="32"/>
      <c r="H144" s="401"/>
      <c r="I144" s="300" t="e">
        <f t="shared" ref="I144:I146" si="37">IF(ISBLANK(H144),G144/USD2LCU,H144)</f>
        <v>#N/A</v>
      </c>
      <c r="J144" s="300" t="e">
        <f t="shared" ref="J144:J146" si="38">D144*I144</f>
        <v>#N/A</v>
      </c>
      <c r="K144" s="152"/>
      <c r="O144" s="574"/>
      <c r="P144" s="587"/>
      <c r="Q144" s="531"/>
      <c r="R144" s="531"/>
      <c r="S144" s="531"/>
      <c r="T144" s="531" t="s">
        <v>2974</v>
      </c>
      <c r="U144" s="531"/>
      <c r="V144" s="531"/>
      <c r="W144" s="531"/>
      <c r="X144" s="531"/>
      <c r="Y144" s="531"/>
      <c r="Z144" s="531"/>
      <c r="AA144" s="531"/>
      <c r="AB144" s="531"/>
      <c r="AC144" s="531"/>
      <c r="AD144" s="531"/>
      <c r="AE144" s="531"/>
      <c r="AF144" s="531"/>
      <c r="AG144" s="531"/>
      <c r="AH144" s="531"/>
      <c r="AI144" s="531"/>
      <c r="AJ144" s="531" t="s">
        <v>8753</v>
      </c>
      <c r="AK144" s="531"/>
      <c r="AL144" s="531"/>
      <c r="AM144" s="531"/>
      <c r="AN144" s="531"/>
      <c r="AO144" s="531"/>
      <c r="AP144" s="531"/>
      <c r="AQ144" s="531"/>
      <c r="AR144" s="531"/>
      <c r="AS144" s="531"/>
      <c r="AT144" s="531"/>
      <c r="AU144" s="531"/>
      <c r="AV144" s="531"/>
      <c r="AW144" s="531"/>
      <c r="AX144" s="531"/>
      <c r="AY144" s="531"/>
      <c r="AZ144" s="531" t="s">
        <v>8754</v>
      </c>
      <c r="BA144" s="531"/>
      <c r="BB144" s="531"/>
      <c r="BC144" s="531"/>
      <c r="BD144" s="531"/>
      <c r="BE144" s="531"/>
      <c r="BF144" s="531"/>
      <c r="BG144" s="531"/>
      <c r="BH144" s="531"/>
      <c r="BI144" s="531"/>
      <c r="BJ144" s="531"/>
      <c r="BK144" s="531"/>
      <c r="BL144" s="531"/>
      <c r="BM144" s="531"/>
      <c r="BN144" s="531"/>
      <c r="BO144" s="531"/>
      <c r="BP144" s="531" t="s">
        <v>8755</v>
      </c>
      <c r="BQ144" s="531"/>
      <c r="BR144" s="531"/>
      <c r="BS144" s="531"/>
      <c r="BT144" s="531"/>
      <c r="BU144" s="531"/>
      <c r="BV144" s="531"/>
      <c r="BW144" s="531"/>
      <c r="BX144" s="531"/>
      <c r="BY144" s="531"/>
      <c r="BZ144" s="531"/>
      <c r="CA144" s="531"/>
      <c r="CB144" s="531"/>
      <c r="CC144" s="531"/>
      <c r="CD144" s="531"/>
      <c r="CE144" s="531"/>
      <c r="CF144" s="531" t="s">
        <v>8756</v>
      </c>
      <c r="CG144" s="531"/>
      <c r="CH144" s="531"/>
      <c r="CI144" s="531"/>
      <c r="CJ144" s="531"/>
      <c r="CK144" s="531"/>
      <c r="CL144" s="531"/>
      <c r="CM144" s="531"/>
      <c r="CN144" s="531"/>
      <c r="CO144" s="531"/>
      <c r="CP144" s="531"/>
      <c r="CQ144" s="531"/>
      <c r="CR144" s="531"/>
      <c r="CS144" s="531"/>
      <c r="CT144" s="531"/>
      <c r="CU144" s="531"/>
      <c r="CV144" s="531" t="s">
        <v>9188</v>
      </c>
      <c r="CW144" s="531"/>
      <c r="CX144" s="531"/>
      <c r="CY144" s="531"/>
      <c r="CZ144" s="531"/>
      <c r="DA144" s="531"/>
      <c r="DB144" s="531"/>
      <c r="DC144" s="531"/>
      <c r="DD144" s="531"/>
      <c r="DE144" s="531"/>
      <c r="DF144" s="531"/>
      <c r="DG144" s="531"/>
      <c r="DH144" s="531"/>
      <c r="DI144" s="531"/>
      <c r="DJ144" s="531"/>
      <c r="DK144" s="531"/>
      <c r="DL144" s="531" t="s">
        <v>8758</v>
      </c>
      <c r="DM144" s="531"/>
      <c r="DN144" s="531"/>
      <c r="DO144" s="531"/>
      <c r="DP144" s="531"/>
      <c r="DQ144" s="531"/>
      <c r="DR144" s="531"/>
      <c r="DS144" s="531"/>
      <c r="DT144" s="531"/>
      <c r="DU144" s="531"/>
      <c r="DV144" s="531"/>
      <c r="DW144" s="531"/>
      <c r="DX144" s="531"/>
      <c r="DY144" s="564"/>
      <c r="DZ144" s="564"/>
    </row>
    <row r="145" spans="1:130" s="532" customFormat="1" x14ac:dyDescent="0.2">
      <c r="A145" s="350">
        <v>2</v>
      </c>
      <c r="B145" s="230"/>
      <c r="C145" s="374"/>
      <c r="D145" s="35">
        <v>1</v>
      </c>
      <c r="F145" s="2"/>
      <c r="G145" s="32"/>
      <c r="H145" s="401"/>
      <c r="I145" s="300" t="e">
        <f t="shared" si="37"/>
        <v>#N/A</v>
      </c>
      <c r="J145" s="300" t="e">
        <f t="shared" si="38"/>
        <v>#N/A</v>
      </c>
      <c r="K145" s="152"/>
      <c r="O145" s="574"/>
      <c r="P145" s="587"/>
      <c r="Q145" s="531"/>
      <c r="R145" s="531"/>
      <c r="S145" s="531"/>
      <c r="T145" s="531"/>
      <c r="U145" s="531"/>
      <c r="V145" s="531"/>
      <c r="W145" s="531"/>
      <c r="X145" s="531"/>
      <c r="Y145" s="531"/>
      <c r="Z145" s="531"/>
      <c r="AA145" s="531"/>
      <c r="AB145" s="531"/>
      <c r="AC145" s="531"/>
      <c r="AD145" s="531"/>
      <c r="AE145" s="531"/>
      <c r="AF145" s="531"/>
      <c r="AG145" s="531"/>
      <c r="AH145" s="531"/>
      <c r="AI145" s="531"/>
      <c r="AJ145" s="531"/>
      <c r="AK145" s="531"/>
      <c r="AL145" s="531"/>
      <c r="AM145" s="531"/>
      <c r="AN145" s="531"/>
      <c r="AO145" s="531"/>
      <c r="AP145" s="531"/>
      <c r="AQ145" s="531"/>
      <c r="AR145" s="531"/>
      <c r="AS145" s="531"/>
      <c r="AT145" s="531"/>
      <c r="AU145" s="531"/>
      <c r="AV145" s="531"/>
      <c r="AW145" s="531"/>
      <c r="AX145" s="531"/>
      <c r="AY145" s="531"/>
      <c r="AZ145" s="531"/>
      <c r="BA145" s="531"/>
      <c r="BB145" s="531"/>
      <c r="BC145" s="531"/>
      <c r="BD145" s="531"/>
      <c r="BE145" s="531"/>
      <c r="BF145" s="531"/>
      <c r="BG145" s="531"/>
      <c r="BH145" s="531"/>
      <c r="BI145" s="531"/>
      <c r="BJ145" s="531"/>
      <c r="BK145" s="531"/>
      <c r="BL145" s="531"/>
      <c r="BM145" s="531"/>
      <c r="BN145" s="531"/>
      <c r="BO145" s="531"/>
      <c r="BP145" s="531"/>
      <c r="BQ145" s="531"/>
      <c r="BR145" s="531"/>
      <c r="BS145" s="531"/>
      <c r="BT145" s="531"/>
      <c r="BU145" s="531"/>
      <c r="BV145" s="531"/>
      <c r="BW145" s="531"/>
      <c r="BX145" s="531"/>
      <c r="BY145" s="531"/>
      <c r="BZ145" s="531"/>
      <c r="CA145" s="531"/>
      <c r="CB145" s="531"/>
      <c r="CC145" s="531"/>
      <c r="CD145" s="531"/>
      <c r="CE145" s="531"/>
      <c r="CF145" s="531"/>
      <c r="CG145" s="531"/>
      <c r="CH145" s="531"/>
      <c r="CI145" s="531"/>
      <c r="CJ145" s="531"/>
      <c r="CK145" s="531"/>
      <c r="CL145" s="531"/>
      <c r="CM145" s="531"/>
      <c r="CN145" s="531"/>
      <c r="CO145" s="531"/>
      <c r="CP145" s="531"/>
      <c r="CQ145" s="531"/>
      <c r="CR145" s="531"/>
      <c r="CS145" s="531"/>
      <c r="CT145" s="531"/>
      <c r="CU145" s="531"/>
      <c r="CV145" s="531"/>
      <c r="CW145" s="531"/>
      <c r="CX145" s="531"/>
      <c r="CY145" s="531"/>
      <c r="CZ145" s="531"/>
      <c r="DA145" s="531"/>
      <c r="DB145" s="531"/>
      <c r="DC145" s="531"/>
      <c r="DD145" s="531"/>
      <c r="DE145" s="531"/>
      <c r="DF145" s="531"/>
      <c r="DG145" s="531"/>
      <c r="DH145" s="531"/>
      <c r="DI145" s="531"/>
      <c r="DJ145" s="531"/>
      <c r="DK145" s="531"/>
      <c r="DL145" s="531"/>
      <c r="DM145" s="531"/>
      <c r="DN145" s="531"/>
      <c r="DO145" s="531"/>
      <c r="DP145" s="531"/>
      <c r="DQ145" s="531"/>
      <c r="DR145" s="531"/>
      <c r="DS145" s="531"/>
      <c r="DT145" s="531"/>
      <c r="DU145" s="531"/>
      <c r="DV145" s="531"/>
      <c r="DW145" s="531"/>
      <c r="DX145" s="531"/>
      <c r="DY145" s="564"/>
      <c r="DZ145" s="564"/>
    </row>
    <row r="146" spans="1:130" s="532" customFormat="1" x14ac:dyDescent="0.2">
      <c r="A146" s="350">
        <v>2</v>
      </c>
      <c r="B146" s="230"/>
      <c r="C146" s="374"/>
      <c r="D146" s="35">
        <v>1</v>
      </c>
      <c r="F146" s="2"/>
      <c r="G146" s="32"/>
      <c r="H146" s="401"/>
      <c r="I146" s="300" t="e">
        <f t="shared" si="37"/>
        <v>#N/A</v>
      </c>
      <c r="J146" s="300" t="e">
        <f t="shared" si="38"/>
        <v>#N/A</v>
      </c>
      <c r="K146" s="152"/>
      <c r="O146" s="574"/>
      <c r="P146" s="587"/>
      <c r="Q146" s="531"/>
      <c r="R146" s="531"/>
      <c r="S146" s="531"/>
      <c r="T146" s="531"/>
      <c r="U146" s="531"/>
      <c r="V146" s="531"/>
      <c r="W146" s="531"/>
      <c r="X146" s="531"/>
      <c r="Y146" s="531"/>
      <c r="Z146" s="531"/>
      <c r="AA146" s="531"/>
      <c r="AB146" s="531"/>
      <c r="AC146" s="531"/>
      <c r="AD146" s="531"/>
      <c r="AE146" s="531"/>
      <c r="AF146" s="531"/>
      <c r="AG146" s="531"/>
      <c r="AH146" s="531"/>
      <c r="AI146" s="531"/>
      <c r="AJ146" s="531"/>
      <c r="AK146" s="531"/>
      <c r="AL146" s="531"/>
      <c r="AM146" s="531"/>
      <c r="AN146" s="531"/>
      <c r="AO146" s="531"/>
      <c r="AP146" s="531"/>
      <c r="AQ146" s="531"/>
      <c r="AR146" s="531"/>
      <c r="AS146" s="531"/>
      <c r="AT146" s="531"/>
      <c r="AU146" s="531"/>
      <c r="AV146" s="531"/>
      <c r="AW146" s="531"/>
      <c r="AX146" s="531"/>
      <c r="AY146" s="531"/>
      <c r="AZ146" s="531"/>
      <c r="BA146" s="531"/>
      <c r="BB146" s="531"/>
      <c r="BC146" s="531"/>
      <c r="BD146" s="531"/>
      <c r="BE146" s="531"/>
      <c r="BF146" s="531"/>
      <c r="BG146" s="531"/>
      <c r="BH146" s="531"/>
      <c r="BI146" s="531"/>
      <c r="BJ146" s="531"/>
      <c r="BK146" s="531"/>
      <c r="BL146" s="531"/>
      <c r="BM146" s="531"/>
      <c r="BN146" s="531"/>
      <c r="BO146" s="531"/>
      <c r="BP146" s="531"/>
      <c r="BQ146" s="531"/>
      <c r="BR146" s="531"/>
      <c r="BS146" s="531"/>
      <c r="BT146" s="531"/>
      <c r="BU146" s="531"/>
      <c r="BV146" s="531"/>
      <c r="BW146" s="531"/>
      <c r="BX146" s="531"/>
      <c r="BY146" s="531"/>
      <c r="BZ146" s="531"/>
      <c r="CA146" s="531"/>
      <c r="CB146" s="531"/>
      <c r="CC146" s="531"/>
      <c r="CD146" s="531"/>
      <c r="CE146" s="531"/>
      <c r="CF146" s="531"/>
      <c r="CG146" s="531"/>
      <c r="CH146" s="531"/>
      <c r="CI146" s="531"/>
      <c r="CJ146" s="531"/>
      <c r="CK146" s="531"/>
      <c r="CL146" s="531"/>
      <c r="CM146" s="531"/>
      <c r="CN146" s="531"/>
      <c r="CO146" s="531"/>
      <c r="CP146" s="531"/>
      <c r="CQ146" s="531"/>
      <c r="CR146" s="531"/>
      <c r="CS146" s="531"/>
      <c r="CT146" s="531"/>
      <c r="CU146" s="531"/>
      <c r="CV146" s="531"/>
      <c r="CW146" s="531"/>
      <c r="CX146" s="531"/>
      <c r="CY146" s="531"/>
      <c r="CZ146" s="531"/>
      <c r="DA146" s="531"/>
      <c r="DB146" s="531"/>
      <c r="DC146" s="531"/>
      <c r="DD146" s="531"/>
      <c r="DE146" s="531"/>
      <c r="DF146" s="531"/>
      <c r="DG146" s="531"/>
      <c r="DH146" s="531"/>
      <c r="DI146" s="531"/>
      <c r="DJ146" s="531"/>
      <c r="DK146" s="531"/>
      <c r="DL146" s="531"/>
      <c r="DM146" s="531"/>
      <c r="DN146" s="531"/>
      <c r="DO146" s="531"/>
      <c r="DP146" s="531"/>
      <c r="DQ146" s="531"/>
      <c r="DR146" s="531"/>
      <c r="DS146" s="531"/>
      <c r="DT146" s="531"/>
      <c r="DU146" s="531"/>
      <c r="DV146" s="531"/>
      <c r="DW146" s="531"/>
      <c r="DX146" s="531"/>
      <c r="DY146" s="564"/>
      <c r="DZ146" s="564"/>
    </row>
    <row r="147" spans="1:130" s="532" customFormat="1" x14ac:dyDescent="0.2">
      <c r="M147" s="68"/>
      <c r="N147" s="68"/>
      <c r="O147" s="574"/>
      <c r="P147" s="574"/>
      <c r="DY147" s="564"/>
      <c r="DZ147" s="564"/>
    </row>
    <row r="148" spans="1:130" s="299" customFormat="1" ht="25.5" x14ac:dyDescent="0.2">
      <c r="A148" s="354">
        <v>1</v>
      </c>
      <c r="B148" s="230"/>
      <c r="C148" s="376" t="str">
        <f t="shared" ca="1" si="33"/>
        <v>Operational costs: Data collection systems - social media, rumor management, assess behavioural and social data</v>
      </c>
      <c r="D148" s="2">
        <f>Central_Level_Activities_Duration_Months</f>
        <v>36</v>
      </c>
      <c r="F148" s="2" t="str">
        <f t="shared" ref="F148:F153" ca="1" si="39">IF(OFFSET(W148,0,Lang_Order*Lang__A4)="","",OFFSET(W148,0,Lang_Order*Lang__A4))</f>
        <v>Months</v>
      </c>
      <c r="G148" s="32"/>
      <c r="H148" s="401"/>
      <c r="I148" s="300" t="e">
        <f t="shared" si="34"/>
        <v>#N/A</v>
      </c>
      <c r="J148" s="300" t="e">
        <f t="shared" si="35"/>
        <v>#N/A</v>
      </c>
      <c r="K148" s="152"/>
      <c r="L148" s="299" t="s">
        <v>2858</v>
      </c>
      <c r="M148" s="68"/>
      <c r="N148" s="86" t="str">
        <f ca="1">IF(OFFSET(AE148,0,Lang_Order*Lang__A4)="","",OFFSET(AE148,0,Lang_Order*Lang__A4))</f>
        <v>More info @ R2.1.8</v>
      </c>
      <c r="O148" s="574"/>
      <c r="P148" s="587"/>
      <c r="Q148" s="403"/>
      <c r="R148" s="403"/>
      <c r="S148" s="403"/>
      <c r="T148" s="403" t="s">
        <v>3886</v>
      </c>
      <c r="U148" s="403"/>
      <c r="V148" s="403"/>
      <c r="W148" s="403" t="s">
        <v>14</v>
      </c>
      <c r="X148" s="403"/>
      <c r="Y148" s="403"/>
      <c r="Z148" s="403"/>
      <c r="AA148" s="403"/>
      <c r="AB148" s="403"/>
      <c r="AC148" s="403"/>
      <c r="AD148" s="403"/>
      <c r="AE148" s="403" t="s">
        <v>14663</v>
      </c>
      <c r="AF148" s="403"/>
      <c r="AG148" s="403"/>
      <c r="AH148" s="403"/>
      <c r="AI148" s="403"/>
      <c r="AJ148" s="403" t="s">
        <v>9189</v>
      </c>
      <c r="AK148" s="403"/>
      <c r="AL148" s="403"/>
      <c r="AM148" s="403" t="s">
        <v>5675</v>
      </c>
      <c r="AN148" s="403"/>
      <c r="AO148" s="403"/>
      <c r="AP148" s="403"/>
      <c r="AQ148" s="403"/>
      <c r="AR148" s="403"/>
      <c r="AS148" s="403"/>
      <c r="AT148" s="403"/>
      <c r="AU148" s="403" t="s">
        <v>14664</v>
      </c>
      <c r="AV148" s="403"/>
      <c r="AW148" s="403"/>
      <c r="AX148" s="403"/>
      <c r="AY148" s="403"/>
      <c r="AZ148" s="403" t="s">
        <v>9190</v>
      </c>
      <c r="BA148" s="403"/>
      <c r="BB148" s="403"/>
      <c r="BC148" s="403" t="s">
        <v>5685</v>
      </c>
      <c r="BD148" s="403"/>
      <c r="BE148" s="403"/>
      <c r="BF148" s="403"/>
      <c r="BG148" s="403"/>
      <c r="BH148" s="403"/>
      <c r="BI148" s="403"/>
      <c r="BJ148" s="403"/>
      <c r="BK148" s="403" t="s">
        <v>14665</v>
      </c>
      <c r="BL148" s="403"/>
      <c r="BM148" s="403"/>
      <c r="BN148" s="403"/>
      <c r="BO148" s="403"/>
      <c r="BP148" s="403" t="s">
        <v>9191</v>
      </c>
      <c r="BQ148" s="403"/>
      <c r="BR148" s="403"/>
      <c r="BS148" s="403" t="s">
        <v>5694</v>
      </c>
      <c r="BT148" s="403"/>
      <c r="BU148" s="403"/>
      <c r="BV148" s="403"/>
      <c r="BW148" s="403"/>
      <c r="BX148" s="403"/>
      <c r="BY148" s="403"/>
      <c r="BZ148" s="403"/>
      <c r="CA148" s="403" t="s">
        <v>14666</v>
      </c>
      <c r="CB148" s="403"/>
      <c r="CC148" s="403"/>
      <c r="CD148" s="403"/>
      <c r="CE148" s="403"/>
      <c r="CF148" s="403" t="s">
        <v>9192</v>
      </c>
      <c r="CG148" s="403"/>
      <c r="CH148" s="403"/>
      <c r="CI148" s="403" t="s">
        <v>5694</v>
      </c>
      <c r="CJ148" s="403"/>
      <c r="CK148" s="403"/>
      <c r="CL148" s="403"/>
      <c r="CM148" s="403"/>
      <c r="CN148" s="403"/>
      <c r="CO148" s="403"/>
      <c r="CP148" s="403"/>
      <c r="CQ148" s="403" t="s">
        <v>14667</v>
      </c>
      <c r="CR148" s="403"/>
      <c r="CS148" s="403"/>
      <c r="CT148" s="403"/>
      <c r="CU148" s="403"/>
      <c r="CV148" s="403" t="s">
        <v>9193</v>
      </c>
      <c r="CW148" s="403"/>
      <c r="CX148" s="403"/>
      <c r="CY148" s="403" t="s">
        <v>8670</v>
      </c>
      <c r="CZ148" s="403"/>
      <c r="DA148" s="403"/>
      <c r="DB148" s="403"/>
      <c r="DC148" s="403"/>
      <c r="DD148" s="403"/>
      <c r="DE148" s="403"/>
      <c r="DF148" s="403"/>
      <c r="DG148" s="403" t="s">
        <v>14668</v>
      </c>
      <c r="DH148" s="403"/>
      <c r="DI148" s="403"/>
      <c r="DJ148" s="403"/>
      <c r="DK148" s="403"/>
      <c r="DL148" s="403" t="s">
        <v>9194</v>
      </c>
      <c r="DM148" s="403"/>
      <c r="DN148" s="403"/>
      <c r="DO148" s="403" t="s">
        <v>8672</v>
      </c>
      <c r="DP148" s="403"/>
      <c r="DQ148" s="403"/>
      <c r="DR148" s="403"/>
      <c r="DS148" s="403"/>
      <c r="DT148" s="403"/>
      <c r="DU148" s="403"/>
      <c r="DV148" s="403"/>
      <c r="DW148" s="403" t="s">
        <v>14669</v>
      </c>
      <c r="DX148" s="403"/>
      <c r="DY148" s="564"/>
      <c r="DZ148" s="564"/>
    </row>
    <row r="149" spans="1:130" s="299" customFormat="1" x14ac:dyDescent="0.2">
      <c r="A149" s="354">
        <v>1</v>
      </c>
      <c r="B149" s="230"/>
      <c r="C149" s="376" t="str">
        <f t="shared" ca="1" si="33"/>
        <v>Operational costs: Central RCCE team, crisis communications</v>
      </c>
      <c r="D149" s="2">
        <f>Central_Level_Activities_Duration_Months</f>
        <v>36</v>
      </c>
      <c r="F149" s="2" t="str">
        <f t="shared" ca="1" si="39"/>
        <v>Months</v>
      </c>
      <c r="G149" s="32"/>
      <c r="H149" s="401"/>
      <c r="I149" s="300" t="e">
        <f t="shared" si="34"/>
        <v>#N/A</v>
      </c>
      <c r="J149" s="300" t="e">
        <f t="shared" si="35"/>
        <v>#N/A</v>
      </c>
      <c r="K149" s="152"/>
      <c r="L149" s="68" t="s">
        <v>3241</v>
      </c>
      <c r="M149" s="68"/>
      <c r="N149" s="68"/>
      <c r="O149" s="574"/>
      <c r="P149" s="587"/>
      <c r="Q149" s="403"/>
      <c r="R149" s="403"/>
      <c r="S149" s="403"/>
      <c r="T149" s="403" t="s">
        <v>3897</v>
      </c>
      <c r="U149" s="403"/>
      <c r="V149" s="403"/>
      <c r="W149" s="403" t="s">
        <v>14</v>
      </c>
      <c r="X149" s="403"/>
      <c r="Y149" s="403"/>
      <c r="Z149" s="403"/>
      <c r="AA149" s="403"/>
      <c r="AB149" s="403"/>
      <c r="AC149" s="403"/>
      <c r="AD149" s="403"/>
      <c r="AE149" s="403"/>
      <c r="AF149" s="403"/>
      <c r="AG149" s="403"/>
      <c r="AH149" s="403"/>
      <c r="AI149" s="403"/>
      <c r="AJ149" s="403" t="s">
        <v>9195</v>
      </c>
      <c r="AK149" s="403"/>
      <c r="AL149" s="403"/>
      <c r="AM149" s="403" t="s">
        <v>5675</v>
      </c>
      <c r="AN149" s="403"/>
      <c r="AO149" s="403"/>
      <c r="AP149" s="403"/>
      <c r="AQ149" s="403"/>
      <c r="AR149" s="403"/>
      <c r="AS149" s="403"/>
      <c r="AT149" s="403"/>
      <c r="AU149" s="403"/>
      <c r="AV149" s="403"/>
      <c r="AW149" s="403"/>
      <c r="AX149" s="403"/>
      <c r="AY149" s="403"/>
      <c r="AZ149" s="403" t="s">
        <v>9196</v>
      </c>
      <c r="BA149" s="403"/>
      <c r="BB149" s="403"/>
      <c r="BC149" s="403" t="s">
        <v>5685</v>
      </c>
      <c r="BD149" s="403"/>
      <c r="BE149" s="403"/>
      <c r="BF149" s="403"/>
      <c r="BG149" s="403"/>
      <c r="BH149" s="403"/>
      <c r="BI149" s="403"/>
      <c r="BJ149" s="403"/>
      <c r="BK149" s="403"/>
      <c r="BL149" s="403"/>
      <c r="BM149" s="403"/>
      <c r="BN149" s="403"/>
      <c r="BO149" s="403"/>
      <c r="BP149" s="403" t="s">
        <v>9197</v>
      </c>
      <c r="BQ149" s="403"/>
      <c r="BR149" s="403"/>
      <c r="BS149" s="403" t="s">
        <v>5694</v>
      </c>
      <c r="BT149" s="403"/>
      <c r="BU149" s="403"/>
      <c r="BV149" s="403"/>
      <c r="BW149" s="403"/>
      <c r="BX149" s="403"/>
      <c r="BY149" s="403"/>
      <c r="BZ149" s="403"/>
      <c r="CA149" s="403"/>
      <c r="CB149" s="403"/>
      <c r="CC149" s="403"/>
      <c r="CD149" s="403"/>
      <c r="CE149" s="403"/>
      <c r="CF149" s="403" t="s">
        <v>9198</v>
      </c>
      <c r="CG149" s="403"/>
      <c r="CH149" s="403"/>
      <c r="CI149" s="403" t="s">
        <v>5694</v>
      </c>
      <c r="CJ149" s="403"/>
      <c r="CK149" s="403"/>
      <c r="CL149" s="403"/>
      <c r="CM149" s="403"/>
      <c r="CN149" s="403"/>
      <c r="CO149" s="403"/>
      <c r="CP149" s="403"/>
      <c r="CQ149" s="403"/>
      <c r="CR149" s="403"/>
      <c r="CS149" s="403"/>
      <c r="CT149" s="403"/>
      <c r="CU149" s="403"/>
      <c r="CV149" s="403" t="s">
        <v>9199</v>
      </c>
      <c r="CW149" s="403"/>
      <c r="CX149" s="403"/>
      <c r="CY149" s="403" t="s">
        <v>8670</v>
      </c>
      <c r="CZ149" s="403"/>
      <c r="DA149" s="403"/>
      <c r="DB149" s="403"/>
      <c r="DC149" s="403"/>
      <c r="DD149" s="403"/>
      <c r="DE149" s="403"/>
      <c r="DF149" s="403"/>
      <c r="DG149" s="403"/>
      <c r="DH149" s="403"/>
      <c r="DI149" s="403"/>
      <c r="DJ149" s="403"/>
      <c r="DK149" s="403"/>
      <c r="DL149" s="403" t="s">
        <v>9200</v>
      </c>
      <c r="DM149" s="403"/>
      <c r="DN149" s="403"/>
      <c r="DO149" s="403" t="s">
        <v>8672</v>
      </c>
      <c r="DP149" s="403"/>
      <c r="DQ149" s="403"/>
      <c r="DR149" s="403"/>
      <c r="DS149" s="403"/>
      <c r="DT149" s="403"/>
      <c r="DU149" s="403"/>
      <c r="DV149" s="403"/>
      <c r="DW149" s="403"/>
      <c r="DX149" s="403"/>
      <c r="DY149" s="564"/>
      <c r="DZ149" s="564"/>
    </row>
    <row r="150" spans="1:130" x14ac:dyDescent="0.2">
      <c r="A150" s="354">
        <v>1</v>
      </c>
      <c r="B150" s="230"/>
      <c r="C150" s="5" t="str">
        <f t="shared" ca="1" si="33"/>
        <v>Mass media and social media communications at central-level</v>
      </c>
      <c r="D150" s="250" t="e">
        <f>Pop_Total_2021</f>
        <v>#N/A</v>
      </c>
      <c r="E150" s="193"/>
      <c r="F150" s="2" t="str">
        <f t="shared" ca="1" si="39"/>
        <v>Per capita</v>
      </c>
      <c r="G150" s="116"/>
      <c r="H150" s="401"/>
      <c r="I150" s="300" t="e">
        <f t="shared" si="34"/>
        <v>#N/A</v>
      </c>
      <c r="J150" s="300" t="e">
        <f t="shared" si="35"/>
        <v>#N/A</v>
      </c>
      <c r="K150" s="152"/>
      <c r="L150" s="68" t="s">
        <v>3241</v>
      </c>
      <c r="M150" s="68"/>
      <c r="N150" s="68"/>
      <c r="O150" s="12" t="str">
        <f t="shared" ca="1" si="36"/>
        <v>NOTE: Local-level demand generation and communications under "Last Mile Delivery"</v>
      </c>
      <c r="P150" s="587"/>
      <c r="T150" s="403" t="s">
        <v>2189</v>
      </c>
      <c r="W150" s="403" t="s">
        <v>2191</v>
      </c>
      <c r="AF150" s="403" t="s">
        <v>2195</v>
      </c>
      <c r="AJ150" s="403" t="s">
        <v>9201</v>
      </c>
      <c r="AM150" s="403" t="s">
        <v>9202</v>
      </c>
      <c r="AV150" s="403" t="s">
        <v>9203</v>
      </c>
      <c r="AZ150" s="403" t="s">
        <v>9204</v>
      </c>
      <c r="BC150" s="403" t="s">
        <v>9205</v>
      </c>
      <c r="BL150" s="403" t="s">
        <v>9206</v>
      </c>
      <c r="BP150" s="403" t="s">
        <v>9207</v>
      </c>
      <c r="BS150" s="403" t="s">
        <v>9208</v>
      </c>
      <c r="CB150" s="403" t="s">
        <v>9209</v>
      </c>
      <c r="CF150" s="403" t="s">
        <v>9210</v>
      </c>
      <c r="CI150" s="403" t="s">
        <v>2191</v>
      </c>
      <c r="CR150" s="403" t="s">
        <v>9211</v>
      </c>
      <c r="CV150" s="403" t="s">
        <v>9212</v>
      </c>
      <c r="CY150" s="403" t="s">
        <v>9213</v>
      </c>
      <c r="DH150" s="403" t="s">
        <v>9214</v>
      </c>
      <c r="DL150" s="403" t="s">
        <v>9215</v>
      </c>
      <c r="DO150" s="403" t="s">
        <v>9216</v>
      </c>
      <c r="DX150" s="403" t="s">
        <v>9217</v>
      </c>
    </row>
    <row r="151" spans="1:130" s="194" customFormat="1" x14ac:dyDescent="0.2">
      <c r="A151" s="354">
        <v>1</v>
      </c>
      <c r="B151" s="230"/>
      <c r="C151" s="5" t="str">
        <f t="shared" ca="1" si="33"/>
        <v>Training of RCCE focal points</v>
      </c>
      <c r="D151" s="35"/>
      <c r="E151" s="366">
        <f>Pop_HCW_CS_Sites+District_Stores+Regional_Stores</f>
        <v>0</v>
      </c>
      <c r="F151" s="2" t="str">
        <f t="shared" ca="1" si="39"/>
        <v>Per person</v>
      </c>
      <c r="G151" s="32"/>
      <c r="H151" s="401"/>
      <c r="I151" s="300" t="e">
        <f t="shared" si="34"/>
        <v>#N/A</v>
      </c>
      <c r="J151" s="300" t="e">
        <f t="shared" si="35"/>
        <v>#N/A</v>
      </c>
      <c r="K151" s="152"/>
      <c r="L151" s="68" t="s">
        <v>3241</v>
      </c>
      <c r="M151" s="68"/>
      <c r="N151" s="68"/>
      <c r="O151" s="574"/>
      <c r="P151" s="587"/>
      <c r="Q151" s="403"/>
      <c r="R151" s="403"/>
      <c r="S151" s="403"/>
      <c r="T151" s="403" t="s">
        <v>3896</v>
      </c>
      <c r="U151" s="403"/>
      <c r="V151" s="403"/>
      <c r="W151" s="403" t="s">
        <v>3925</v>
      </c>
      <c r="X151" s="403"/>
      <c r="Y151" s="403"/>
      <c r="Z151" s="403"/>
      <c r="AA151" s="403"/>
      <c r="AB151" s="403"/>
      <c r="AC151" s="403"/>
      <c r="AD151" s="403"/>
      <c r="AE151" s="403"/>
      <c r="AF151" s="403"/>
      <c r="AG151" s="403"/>
      <c r="AH151" s="403"/>
      <c r="AI151" s="403"/>
      <c r="AJ151" s="403" t="s">
        <v>9218</v>
      </c>
      <c r="AK151" s="403"/>
      <c r="AL151" s="403"/>
      <c r="AM151" s="403" t="s">
        <v>8949</v>
      </c>
      <c r="AN151" s="403"/>
      <c r="AO151" s="403"/>
      <c r="AP151" s="403"/>
      <c r="AQ151" s="403"/>
      <c r="AR151" s="403"/>
      <c r="AS151" s="403"/>
      <c r="AT151" s="403"/>
      <c r="AU151" s="403"/>
      <c r="AV151" s="403"/>
      <c r="AW151" s="403"/>
      <c r="AX151" s="403"/>
      <c r="AY151" s="403"/>
      <c r="AZ151" s="403" t="s">
        <v>9219</v>
      </c>
      <c r="BA151" s="403"/>
      <c r="BB151" s="403"/>
      <c r="BC151" s="403" t="s">
        <v>9220</v>
      </c>
      <c r="BD151" s="403"/>
      <c r="BE151" s="403"/>
      <c r="BF151" s="403"/>
      <c r="BG151" s="403"/>
      <c r="BH151" s="403"/>
      <c r="BI151" s="403"/>
      <c r="BJ151" s="403"/>
      <c r="BK151" s="403"/>
      <c r="BL151" s="403"/>
      <c r="BM151" s="403"/>
      <c r="BN151" s="403"/>
      <c r="BO151" s="403"/>
      <c r="BP151" s="403" t="s">
        <v>9221</v>
      </c>
      <c r="BQ151" s="403"/>
      <c r="BR151" s="403"/>
      <c r="BS151" s="403" t="s">
        <v>8953</v>
      </c>
      <c r="BT151" s="403"/>
      <c r="BU151" s="403"/>
      <c r="BV151" s="403"/>
      <c r="BW151" s="403"/>
      <c r="BX151" s="403"/>
      <c r="BY151" s="403"/>
      <c r="BZ151" s="403"/>
      <c r="CA151" s="403"/>
      <c r="CB151" s="403"/>
      <c r="CC151" s="403"/>
      <c r="CD151" s="403"/>
      <c r="CE151" s="403"/>
      <c r="CF151" s="403" t="s">
        <v>9222</v>
      </c>
      <c r="CG151" s="403"/>
      <c r="CH151" s="403"/>
      <c r="CI151" s="403" t="s">
        <v>8955</v>
      </c>
      <c r="CJ151" s="403"/>
      <c r="CK151" s="403"/>
      <c r="CL151" s="403"/>
      <c r="CM151" s="403"/>
      <c r="CN151" s="403"/>
      <c r="CO151" s="403"/>
      <c r="CP151" s="403"/>
      <c r="CQ151" s="403"/>
      <c r="CR151" s="403"/>
      <c r="CS151" s="403"/>
      <c r="CT151" s="403"/>
      <c r="CU151" s="403"/>
      <c r="CV151" s="403" t="s">
        <v>9223</v>
      </c>
      <c r="CW151" s="403"/>
      <c r="CX151" s="403"/>
      <c r="CY151" s="403" t="s">
        <v>8957</v>
      </c>
      <c r="CZ151" s="403"/>
      <c r="DA151" s="403"/>
      <c r="DB151" s="403"/>
      <c r="DC151" s="403"/>
      <c r="DD151" s="403"/>
      <c r="DE151" s="403"/>
      <c r="DF151" s="403"/>
      <c r="DG151" s="403"/>
      <c r="DH151" s="403"/>
      <c r="DI151" s="403"/>
      <c r="DJ151" s="403"/>
      <c r="DK151" s="403"/>
      <c r="DL151" s="403" t="s">
        <v>9224</v>
      </c>
      <c r="DM151" s="403"/>
      <c r="DN151" s="403"/>
      <c r="DO151" s="403" t="s">
        <v>8959</v>
      </c>
      <c r="DP151" s="403"/>
      <c r="DQ151" s="403"/>
      <c r="DR151" s="403"/>
      <c r="DS151" s="403"/>
      <c r="DT151" s="403"/>
      <c r="DU151" s="403"/>
      <c r="DV151" s="403"/>
      <c r="DW151" s="403"/>
      <c r="DX151" s="403"/>
      <c r="DY151" s="564"/>
      <c r="DZ151" s="564"/>
    </row>
    <row r="152" spans="1:130" s="299" customFormat="1" x14ac:dyDescent="0.2">
      <c r="A152" s="354">
        <v>1</v>
      </c>
      <c r="B152" s="230"/>
      <c r="C152" s="270" t="str">
        <f t="shared" ca="1" si="33"/>
        <v>Operational costs for RCCE focal points</v>
      </c>
      <c r="D152" s="35"/>
      <c r="E152" s="366">
        <f>Pop_HCW_CS_Sites+District_Stores+Regional_Stores</f>
        <v>0</v>
      </c>
      <c r="F152" s="2" t="str">
        <f t="shared" ca="1" si="39"/>
        <v>Per person</v>
      </c>
      <c r="G152" s="32"/>
      <c r="H152" s="401"/>
      <c r="I152" s="300" t="e">
        <f t="shared" si="34"/>
        <v>#N/A</v>
      </c>
      <c r="J152" s="300" t="e">
        <f t="shared" si="35"/>
        <v>#N/A</v>
      </c>
      <c r="K152" s="152"/>
      <c r="L152" s="68" t="s">
        <v>3241</v>
      </c>
      <c r="M152" s="68"/>
      <c r="N152" s="68"/>
      <c r="O152" s="12" t="str">
        <f t="shared" ca="1" si="36"/>
        <v>e.g. engaging with local community leaders and religious leaders</v>
      </c>
      <c r="P152" s="587"/>
      <c r="Q152" s="403"/>
      <c r="R152" s="403"/>
      <c r="S152" s="403"/>
      <c r="T152" s="403" t="s">
        <v>3900</v>
      </c>
      <c r="U152" s="403"/>
      <c r="V152" s="403"/>
      <c r="W152" s="403" t="s">
        <v>3925</v>
      </c>
      <c r="X152" s="403"/>
      <c r="Y152" s="403"/>
      <c r="Z152" s="403"/>
      <c r="AA152" s="403"/>
      <c r="AB152" s="403"/>
      <c r="AC152" s="403"/>
      <c r="AD152" s="403"/>
      <c r="AE152" s="403"/>
      <c r="AF152" s="403" t="s">
        <v>3901</v>
      </c>
      <c r="AG152" s="403"/>
      <c r="AH152" s="403"/>
      <c r="AI152" s="403"/>
      <c r="AJ152" s="403" t="s">
        <v>9225</v>
      </c>
      <c r="AK152" s="403"/>
      <c r="AL152" s="403"/>
      <c r="AM152" s="403" t="s">
        <v>8949</v>
      </c>
      <c r="AN152" s="403"/>
      <c r="AO152" s="403"/>
      <c r="AP152" s="403"/>
      <c r="AQ152" s="403"/>
      <c r="AR152" s="403"/>
      <c r="AS152" s="403"/>
      <c r="AT152" s="403"/>
      <c r="AU152" s="403"/>
      <c r="AV152" s="403" t="s">
        <v>9226</v>
      </c>
      <c r="AW152" s="403"/>
      <c r="AX152" s="403"/>
      <c r="AY152" s="403"/>
      <c r="AZ152" s="403" t="s">
        <v>9227</v>
      </c>
      <c r="BA152" s="403"/>
      <c r="BB152" s="403"/>
      <c r="BC152" s="403" t="s">
        <v>9220</v>
      </c>
      <c r="BD152" s="403"/>
      <c r="BE152" s="403"/>
      <c r="BF152" s="403"/>
      <c r="BG152" s="403"/>
      <c r="BH152" s="403"/>
      <c r="BI152" s="403"/>
      <c r="BJ152" s="403"/>
      <c r="BK152" s="403"/>
      <c r="BL152" s="403" t="s">
        <v>9228</v>
      </c>
      <c r="BM152" s="403"/>
      <c r="BN152" s="403"/>
      <c r="BO152" s="403"/>
      <c r="BP152" s="403" t="s">
        <v>9229</v>
      </c>
      <c r="BQ152" s="403"/>
      <c r="BR152" s="403"/>
      <c r="BS152" s="403" t="s">
        <v>8953</v>
      </c>
      <c r="BT152" s="403"/>
      <c r="BU152" s="403"/>
      <c r="BV152" s="403"/>
      <c r="BW152" s="403"/>
      <c r="BX152" s="403"/>
      <c r="BY152" s="403"/>
      <c r="BZ152" s="403"/>
      <c r="CA152" s="403"/>
      <c r="CB152" s="403" t="s">
        <v>9230</v>
      </c>
      <c r="CC152" s="403"/>
      <c r="CD152" s="403"/>
      <c r="CE152" s="403"/>
      <c r="CF152" s="403" t="s">
        <v>9231</v>
      </c>
      <c r="CG152" s="403"/>
      <c r="CH152" s="403"/>
      <c r="CI152" s="403" t="s">
        <v>8955</v>
      </c>
      <c r="CJ152" s="403"/>
      <c r="CK152" s="403"/>
      <c r="CL152" s="403"/>
      <c r="CM152" s="403"/>
      <c r="CN152" s="403"/>
      <c r="CO152" s="403"/>
      <c r="CP152" s="403"/>
      <c r="CQ152" s="403"/>
      <c r="CR152" s="403" t="s">
        <v>9232</v>
      </c>
      <c r="CS152" s="403"/>
      <c r="CT152" s="403"/>
      <c r="CU152" s="403"/>
      <c r="CV152" s="403" t="s">
        <v>9233</v>
      </c>
      <c r="CW152" s="403"/>
      <c r="CX152" s="403"/>
      <c r="CY152" s="403" t="s">
        <v>8957</v>
      </c>
      <c r="CZ152" s="403"/>
      <c r="DA152" s="403"/>
      <c r="DB152" s="403"/>
      <c r="DC152" s="403"/>
      <c r="DD152" s="403"/>
      <c r="DE152" s="403"/>
      <c r="DF152" s="403"/>
      <c r="DG152" s="403"/>
      <c r="DH152" s="403" t="s">
        <v>9234</v>
      </c>
      <c r="DI152" s="403"/>
      <c r="DJ152" s="403"/>
      <c r="DK152" s="403"/>
      <c r="DL152" s="403" t="s">
        <v>9235</v>
      </c>
      <c r="DM152" s="403"/>
      <c r="DN152" s="403"/>
      <c r="DO152" s="403" t="s">
        <v>8959</v>
      </c>
      <c r="DP152" s="403"/>
      <c r="DQ152" s="403"/>
      <c r="DR152" s="403"/>
      <c r="DS152" s="403"/>
      <c r="DT152" s="403"/>
      <c r="DU152" s="403"/>
      <c r="DV152" s="403"/>
      <c r="DW152" s="403"/>
      <c r="DX152" s="403" t="s">
        <v>9236</v>
      </c>
      <c r="DY152" s="564"/>
      <c r="DZ152" s="564"/>
    </row>
    <row r="153" spans="1:130" x14ac:dyDescent="0.2">
      <c r="A153" s="354">
        <v>1</v>
      </c>
      <c r="B153" s="230"/>
      <c r="C153" s="5" t="str">
        <f t="shared" ca="1" si="33"/>
        <v>Community engagement grants</v>
      </c>
      <c r="D153" s="35"/>
      <c r="E153" s="81">
        <f>Critical_Sites</f>
        <v>0</v>
      </c>
      <c r="F153" s="2" t="str">
        <f t="shared" ca="1" si="39"/>
        <v>Communities</v>
      </c>
      <c r="G153" s="32"/>
      <c r="H153" s="401"/>
      <c r="I153" s="300" t="e">
        <f t="shared" si="34"/>
        <v>#N/A</v>
      </c>
      <c r="J153" s="300" t="e">
        <f t="shared" si="35"/>
        <v>#N/A</v>
      </c>
      <c r="K153" s="152"/>
      <c r="L153" s="68" t="s">
        <v>3241</v>
      </c>
      <c r="M153" s="68"/>
      <c r="N153" s="68"/>
      <c r="O153" s="12" t="str">
        <f t="shared" ca="1" si="36"/>
        <v>NOTE: Local-level demand generation and communications under "Last Mile Delivery"</v>
      </c>
      <c r="P153" s="587"/>
      <c r="T153" s="403" t="s">
        <v>3895</v>
      </c>
      <c r="W153" s="403" t="s">
        <v>2188</v>
      </c>
      <c r="AF153" s="403" t="s">
        <v>2195</v>
      </c>
      <c r="AJ153" s="403" t="s">
        <v>9237</v>
      </c>
      <c r="AM153" s="403" t="s">
        <v>9238</v>
      </c>
      <c r="AV153" s="403" t="s">
        <v>9203</v>
      </c>
      <c r="AZ153" s="403" t="s">
        <v>9239</v>
      </c>
      <c r="BC153" s="403" t="s">
        <v>9240</v>
      </c>
      <c r="BL153" s="403" t="s">
        <v>9241</v>
      </c>
      <c r="BP153" s="403" t="s">
        <v>9242</v>
      </c>
      <c r="BS153" s="403" t="s">
        <v>9243</v>
      </c>
      <c r="CB153" s="403" t="s">
        <v>9209</v>
      </c>
      <c r="CF153" s="403" t="s">
        <v>9244</v>
      </c>
      <c r="CI153" s="403" t="s">
        <v>9243</v>
      </c>
      <c r="CR153" s="403" t="s">
        <v>9211</v>
      </c>
      <c r="CY153" s="403" t="s">
        <v>9245</v>
      </c>
      <c r="DH153" s="403" t="s">
        <v>9246</v>
      </c>
      <c r="DL153" s="403" t="s">
        <v>9247</v>
      </c>
      <c r="DO153" s="403" t="s">
        <v>9248</v>
      </c>
      <c r="DX153" s="403" t="s">
        <v>9217</v>
      </c>
    </row>
    <row r="154" spans="1:130" s="299" customFormat="1" x14ac:dyDescent="0.2">
      <c r="A154" s="354">
        <v>1</v>
      </c>
      <c r="B154" s="230"/>
      <c r="C154" s="370" t="str">
        <f t="shared" ca="1" si="33"/>
        <v>Survey / interviews to obtain local behavioural and social data</v>
      </c>
      <c r="D154" s="2">
        <v>1</v>
      </c>
      <c r="F154" s="2"/>
      <c r="G154" s="32"/>
      <c r="H154" s="401"/>
      <c r="I154" s="300" t="e">
        <f t="shared" si="34"/>
        <v>#N/A</v>
      </c>
      <c r="J154" s="300" t="e">
        <f t="shared" si="35"/>
        <v>#N/A</v>
      </c>
      <c r="K154" s="152"/>
      <c r="L154" s="299" t="s">
        <v>3916</v>
      </c>
      <c r="O154" s="574"/>
      <c r="P154" s="587"/>
      <c r="Q154" s="403"/>
      <c r="R154" s="403"/>
      <c r="S154" s="403"/>
      <c r="T154" s="403" t="s">
        <v>3938</v>
      </c>
      <c r="U154" s="403"/>
      <c r="V154" s="403"/>
      <c r="W154" s="403"/>
      <c r="X154" s="403"/>
      <c r="Y154" s="403"/>
      <c r="Z154" s="403"/>
      <c r="AA154" s="403"/>
      <c r="AB154" s="403"/>
      <c r="AC154" s="403"/>
      <c r="AD154" s="403"/>
      <c r="AE154" s="403"/>
      <c r="AF154" s="403"/>
      <c r="AG154" s="403"/>
      <c r="AH154" s="403"/>
      <c r="AI154" s="403"/>
      <c r="AJ154" s="403" t="s">
        <v>9249</v>
      </c>
      <c r="AK154" s="403"/>
      <c r="AL154" s="403"/>
      <c r="AM154" s="403"/>
      <c r="AN154" s="403"/>
      <c r="AO154" s="403"/>
      <c r="AP154" s="403"/>
      <c r="AQ154" s="403"/>
      <c r="AR154" s="403"/>
      <c r="AS154" s="403"/>
      <c r="AT154" s="403"/>
      <c r="AU154" s="403"/>
      <c r="AV154" s="403"/>
      <c r="AW154" s="403"/>
      <c r="AX154" s="403"/>
      <c r="AY154" s="403"/>
      <c r="AZ154" s="403" t="s">
        <v>9250</v>
      </c>
      <c r="BA154" s="403"/>
      <c r="BB154" s="403"/>
      <c r="BC154" s="403"/>
      <c r="BD154" s="403"/>
      <c r="BE154" s="403"/>
      <c r="BF154" s="403"/>
      <c r="BG154" s="403"/>
      <c r="BH154" s="403"/>
      <c r="BI154" s="403"/>
      <c r="BJ154" s="403"/>
      <c r="BK154" s="403"/>
      <c r="BL154" s="403"/>
      <c r="BM154" s="403"/>
      <c r="BN154" s="403"/>
      <c r="BO154" s="403"/>
      <c r="BP154" s="403" t="s">
        <v>9251</v>
      </c>
      <c r="BQ154" s="403"/>
      <c r="BR154" s="403"/>
      <c r="BS154" s="403"/>
      <c r="BT154" s="403"/>
      <c r="BU154" s="403"/>
      <c r="BV154" s="403"/>
      <c r="BW154" s="403"/>
      <c r="BX154" s="403"/>
      <c r="BY154" s="403"/>
      <c r="BZ154" s="403"/>
      <c r="CA154" s="403"/>
      <c r="CB154" s="403"/>
      <c r="CC154" s="403"/>
      <c r="CD154" s="403"/>
      <c r="CE154" s="403"/>
      <c r="CF154" s="403" t="s">
        <v>9252</v>
      </c>
      <c r="CG154" s="403"/>
      <c r="CH154" s="403"/>
      <c r="CI154" s="403"/>
      <c r="CJ154" s="403"/>
      <c r="CK154" s="403"/>
      <c r="CL154" s="403"/>
      <c r="CM154" s="403"/>
      <c r="CN154" s="403"/>
      <c r="CO154" s="403"/>
      <c r="CP154" s="403"/>
      <c r="CQ154" s="403"/>
      <c r="CR154" s="403"/>
      <c r="CS154" s="403"/>
      <c r="CT154" s="403"/>
      <c r="CU154" s="403"/>
      <c r="CV154" s="403" t="s">
        <v>9253</v>
      </c>
      <c r="CW154" s="403"/>
      <c r="CX154" s="403"/>
      <c r="CY154" s="403"/>
      <c r="CZ154" s="403"/>
      <c r="DA154" s="403"/>
      <c r="DB154" s="403"/>
      <c r="DC154" s="403"/>
      <c r="DD154" s="403"/>
      <c r="DE154" s="403"/>
      <c r="DF154" s="403"/>
      <c r="DG154" s="403"/>
      <c r="DH154" s="403"/>
      <c r="DI154" s="403"/>
      <c r="DJ154" s="403"/>
      <c r="DK154" s="403"/>
      <c r="DL154" s="403" t="s">
        <v>9254</v>
      </c>
      <c r="DM154" s="403"/>
      <c r="DN154" s="403"/>
      <c r="DO154" s="403"/>
      <c r="DP154" s="403"/>
      <c r="DQ154" s="403"/>
      <c r="DR154" s="403"/>
      <c r="DS154" s="403"/>
      <c r="DT154" s="403"/>
      <c r="DU154" s="403"/>
      <c r="DV154" s="403"/>
      <c r="DW154" s="403"/>
      <c r="DX154" s="403"/>
      <c r="DY154" s="564"/>
      <c r="DZ154" s="564"/>
    </row>
    <row r="155" spans="1:130" s="532" customFormat="1" x14ac:dyDescent="0.2">
      <c r="C155" s="159" t="str">
        <f t="shared" ca="1" si="33"/>
        <v>Other Operational Expenditure (8.2)</v>
      </c>
      <c r="O155" s="574"/>
      <c r="P155" s="574"/>
      <c r="T155" s="564" t="s">
        <v>4586</v>
      </c>
      <c r="U155" s="564"/>
      <c r="V155" s="564"/>
      <c r="W155" s="564"/>
      <c r="X155" s="564"/>
      <c r="Y155" s="564"/>
      <c r="Z155" s="564"/>
      <c r="AA155" s="564"/>
      <c r="AB155" s="564"/>
      <c r="AC155" s="564"/>
      <c r="AD155" s="564"/>
      <c r="AE155" s="564"/>
      <c r="AF155" s="564"/>
      <c r="AG155" s="564"/>
      <c r="AH155" s="564"/>
      <c r="AI155" s="564"/>
      <c r="AJ155" s="564" t="s">
        <v>13690</v>
      </c>
      <c r="AK155" s="564"/>
      <c r="AL155" s="564"/>
      <c r="AM155" s="564"/>
      <c r="AN155" s="564"/>
      <c r="AO155" s="564"/>
      <c r="AP155" s="564"/>
      <c r="AQ155" s="564"/>
      <c r="AR155" s="564"/>
      <c r="AS155" s="564"/>
      <c r="AT155" s="564"/>
      <c r="AU155" s="564"/>
      <c r="AV155" s="564"/>
      <c r="AW155" s="564"/>
      <c r="AX155" s="564"/>
      <c r="AY155" s="564"/>
      <c r="AZ155" s="564" t="s">
        <v>13691</v>
      </c>
      <c r="BA155" s="564"/>
      <c r="BB155" s="564"/>
      <c r="BC155" s="564"/>
      <c r="BD155" s="564"/>
      <c r="BE155" s="564"/>
      <c r="BF155" s="564"/>
      <c r="BG155" s="564"/>
      <c r="BH155" s="564"/>
      <c r="BI155" s="564"/>
      <c r="BJ155" s="564"/>
      <c r="BK155" s="564"/>
      <c r="BL155" s="564"/>
      <c r="BM155" s="564"/>
      <c r="BN155" s="564"/>
      <c r="BO155" s="564"/>
      <c r="BP155" s="564" t="s">
        <v>13692</v>
      </c>
      <c r="BQ155" s="564"/>
      <c r="BR155" s="564"/>
      <c r="BS155" s="564"/>
      <c r="BT155" s="564"/>
      <c r="BU155" s="564"/>
      <c r="BV155" s="564"/>
      <c r="BW155" s="564"/>
      <c r="BX155" s="564"/>
      <c r="BY155" s="564"/>
      <c r="BZ155" s="564"/>
      <c r="CA155" s="564"/>
      <c r="CB155" s="564"/>
      <c r="CC155" s="564"/>
      <c r="CD155" s="564"/>
      <c r="CE155" s="564"/>
      <c r="CF155" s="564" t="s">
        <v>13693</v>
      </c>
      <c r="CG155" s="564"/>
      <c r="CH155" s="564"/>
      <c r="CI155" s="564"/>
      <c r="CJ155" s="564"/>
      <c r="CK155" s="564"/>
      <c r="CL155" s="564"/>
      <c r="CM155" s="564"/>
      <c r="CN155" s="564"/>
      <c r="CO155" s="564"/>
      <c r="CP155" s="564"/>
      <c r="CQ155" s="564"/>
      <c r="CR155" s="564"/>
      <c r="CS155" s="564"/>
      <c r="CT155" s="564"/>
      <c r="CU155" s="564"/>
      <c r="CV155" s="564" t="s">
        <v>13694</v>
      </c>
      <c r="CW155" s="564"/>
      <c r="CX155" s="564"/>
      <c r="CY155" s="564"/>
      <c r="CZ155" s="564"/>
      <c r="DA155" s="564"/>
      <c r="DB155" s="564"/>
      <c r="DC155" s="564"/>
      <c r="DD155" s="564"/>
      <c r="DE155" s="564"/>
      <c r="DF155" s="564"/>
      <c r="DG155" s="564"/>
      <c r="DH155" s="564"/>
      <c r="DI155" s="564"/>
      <c r="DJ155" s="564"/>
      <c r="DK155" s="564"/>
      <c r="DL155" s="564" t="s">
        <v>13695</v>
      </c>
      <c r="DY155" s="564"/>
      <c r="DZ155" s="564"/>
    </row>
    <row r="156" spans="1:130" s="194" customFormat="1" x14ac:dyDescent="0.2">
      <c r="A156" s="350">
        <v>2</v>
      </c>
      <c r="B156" s="230"/>
      <c r="C156" s="374" t="s">
        <v>2974</v>
      </c>
      <c r="D156" s="35">
        <v>1</v>
      </c>
      <c r="E156" s="299"/>
      <c r="F156" s="2"/>
      <c r="G156" s="32"/>
      <c r="H156" s="401"/>
      <c r="I156" s="300" t="e">
        <f t="shared" si="34"/>
        <v>#N/A</v>
      </c>
      <c r="J156" s="300" t="e">
        <f t="shared" si="35"/>
        <v>#N/A</v>
      </c>
      <c r="K156" s="152"/>
      <c r="L156" s="299"/>
      <c r="M156" s="299"/>
      <c r="N156" s="299"/>
      <c r="O156" s="574"/>
      <c r="P156" s="587"/>
      <c r="Q156" s="403"/>
      <c r="R156" s="403"/>
      <c r="S156" s="403"/>
      <c r="T156" s="403" t="s">
        <v>2974</v>
      </c>
      <c r="U156" s="403"/>
      <c r="V156" s="403"/>
      <c r="W156" s="403"/>
      <c r="X156" s="403"/>
      <c r="Y156" s="403"/>
      <c r="Z156" s="403"/>
      <c r="AA156" s="403"/>
      <c r="AB156" s="403"/>
      <c r="AC156" s="403"/>
      <c r="AD156" s="403"/>
      <c r="AE156" s="403"/>
      <c r="AF156" s="403"/>
      <c r="AG156" s="403"/>
      <c r="AH156" s="403"/>
      <c r="AI156" s="403"/>
      <c r="AJ156" s="403" t="s">
        <v>8753</v>
      </c>
      <c r="AK156" s="403"/>
      <c r="AL156" s="403"/>
      <c r="AM156" s="403"/>
      <c r="AN156" s="403"/>
      <c r="AO156" s="403"/>
      <c r="AP156" s="403"/>
      <c r="AQ156" s="403"/>
      <c r="AR156" s="403"/>
      <c r="AS156" s="403"/>
      <c r="AT156" s="403"/>
      <c r="AU156" s="403"/>
      <c r="AV156" s="403"/>
      <c r="AW156" s="403"/>
      <c r="AX156" s="403"/>
      <c r="AY156" s="403"/>
      <c r="AZ156" s="403" t="s">
        <v>8754</v>
      </c>
      <c r="BA156" s="403"/>
      <c r="BB156" s="403"/>
      <c r="BC156" s="403"/>
      <c r="BD156" s="403"/>
      <c r="BE156" s="403"/>
      <c r="BF156" s="403"/>
      <c r="BG156" s="403"/>
      <c r="BH156" s="403"/>
      <c r="BI156" s="403"/>
      <c r="BJ156" s="403"/>
      <c r="BK156" s="403"/>
      <c r="BL156" s="403"/>
      <c r="BM156" s="403"/>
      <c r="BN156" s="403"/>
      <c r="BO156" s="403"/>
      <c r="BP156" s="403" t="s">
        <v>8755</v>
      </c>
      <c r="BQ156" s="403"/>
      <c r="BR156" s="403"/>
      <c r="BS156" s="403"/>
      <c r="BT156" s="403"/>
      <c r="BU156" s="403"/>
      <c r="BV156" s="403"/>
      <c r="BW156" s="403"/>
      <c r="BX156" s="403"/>
      <c r="BY156" s="403"/>
      <c r="BZ156" s="403"/>
      <c r="CA156" s="403"/>
      <c r="CB156" s="403"/>
      <c r="CC156" s="403"/>
      <c r="CD156" s="403"/>
      <c r="CE156" s="403"/>
      <c r="CF156" s="403" t="s">
        <v>8756</v>
      </c>
      <c r="CG156" s="403"/>
      <c r="CH156" s="403"/>
      <c r="CI156" s="403"/>
      <c r="CJ156" s="403"/>
      <c r="CK156" s="403"/>
      <c r="CL156" s="403"/>
      <c r="CM156" s="403"/>
      <c r="CN156" s="403"/>
      <c r="CO156" s="403"/>
      <c r="CP156" s="403"/>
      <c r="CQ156" s="403"/>
      <c r="CR156" s="403"/>
      <c r="CS156" s="403"/>
      <c r="CT156" s="403"/>
      <c r="CU156" s="403"/>
      <c r="CV156" s="403" t="s">
        <v>9188</v>
      </c>
      <c r="CW156" s="403"/>
      <c r="CX156" s="403"/>
      <c r="CY156" s="403"/>
      <c r="CZ156" s="403"/>
      <c r="DA156" s="403"/>
      <c r="DB156" s="403"/>
      <c r="DC156" s="403"/>
      <c r="DD156" s="403"/>
      <c r="DE156" s="403"/>
      <c r="DF156" s="403"/>
      <c r="DG156" s="403"/>
      <c r="DH156" s="403"/>
      <c r="DI156" s="403"/>
      <c r="DJ156" s="403"/>
      <c r="DK156" s="403"/>
      <c r="DL156" s="403" t="s">
        <v>8758</v>
      </c>
      <c r="DM156" s="403"/>
      <c r="DN156" s="403"/>
      <c r="DO156" s="403"/>
      <c r="DP156" s="403"/>
      <c r="DQ156" s="403"/>
      <c r="DR156" s="403"/>
      <c r="DS156" s="403"/>
      <c r="DT156" s="403"/>
      <c r="DU156" s="403"/>
      <c r="DV156" s="403"/>
      <c r="DW156" s="403"/>
      <c r="DX156" s="403"/>
      <c r="DY156" s="564"/>
      <c r="DZ156" s="564"/>
    </row>
    <row r="157" spans="1:130" s="194" customFormat="1" x14ac:dyDescent="0.2">
      <c r="A157" s="350">
        <v>2</v>
      </c>
      <c r="B157" s="230"/>
      <c r="C157" s="374"/>
      <c r="D157" s="35">
        <v>1</v>
      </c>
      <c r="E157" s="299"/>
      <c r="F157" s="2"/>
      <c r="G157" s="32"/>
      <c r="H157" s="401"/>
      <c r="I157" s="300" t="e">
        <f t="shared" si="34"/>
        <v>#N/A</v>
      </c>
      <c r="J157" s="300" t="e">
        <f t="shared" si="35"/>
        <v>#N/A</v>
      </c>
      <c r="K157" s="152"/>
      <c r="L157" s="299"/>
      <c r="M157" s="299"/>
      <c r="N157" s="299"/>
      <c r="O157" s="574"/>
      <c r="P157" s="587"/>
      <c r="Q157" s="403"/>
      <c r="R157" s="403"/>
      <c r="S157" s="403"/>
      <c r="T157" s="403"/>
      <c r="U157" s="403"/>
      <c r="V157" s="403"/>
      <c r="W157" s="403"/>
      <c r="X157" s="403"/>
      <c r="Y157" s="403"/>
      <c r="Z157" s="403"/>
      <c r="AA157" s="403"/>
      <c r="AB157" s="403"/>
      <c r="AC157" s="403"/>
      <c r="AD157" s="403"/>
      <c r="AE157" s="403"/>
      <c r="AF157" s="403"/>
      <c r="AG157" s="403"/>
      <c r="AH157" s="403"/>
      <c r="AI157" s="403"/>
      <c r="AJ157" s="403"/>
      <c r="AK157" s="403"/>
      <c r="AL157" s="403"/>
      <c r="AM157" s="403"/>
      <c r="AN157" s="403"/>
      <c r="AO157" s="403"/>
      <c r="AP157" s="403"/>
      <c r="AQ157" s="403"/>
      <c r="AR157" s="403"/>
      <c r="AS157" s="403"/>
      <c r="AT157" s="403"/>
      <c r="AU157" s="403"/>
      <c r="AV157" s="403"/>
      <c r="AW157" s="403"/>
      <c r="AX157" s="403"/>
      <c r="AY157" s="403"/>
      <c r="AZ157" s="403"/>
      <c r="BA157" s="403"/>
      <c r="BB157" s="403"/>
      <c r="BC157" s="403"/>
      <c r="BD157" s="403"/>
      <c r="BE157" s="403"/>
      <c r="BF157" s="403"/>
      <c r="BG157" s="403"/>
      <c r="BH157" s="403"/>
      <c r="BI157" s="403"/>
      <c r="BJ157" s="403"/>
      <c r="BK157" s="403"/>
      <c r="BL157" s="403"/>
      <c r="BM157" s="403"/>
      <c r="BN157" s="403"/>
      <c r="BO157" s="403"/>
      <c r="BP157" s="403"/>
      <c r="BQ157" s="403"/>
      <c r="BR157" s="403"/>
      <c r="BS157" s="403"/>
      <c r="BT157" s="403"/>
      <c r="BU157" s="403"/>
      <c r="BV157" s="403"/>
      <c r="BW157" s="403"/>
      <c r="BX157" s="403"/>
      <c r="BY157" s="403"/>
      <c r="BZ157" s="403"/>
      <c r="CA157" s="403"/>
      <c r="CB157" s="403"/>
      <c r="CC157" s="403"/>
      <c r="CD157" s="403"/>
      <c r="CE157" s="403"/>
      <c r="CF157" s="403"/>
      <c r="CG157" s="403"/>
      <c r="CH157" s="403"/>
      <c r="CI157" s="403"/>
      <c r="CJ157" s="403"/>
      <c r="CK157" s="403"/>
      <c r="CL157" s="403"/>
      <c r="CM157" s="403"/>
      <c r="CN157" s="403"/>
      <c r="CO157" s="403"/>
      <c r="CP157" s="403"/>
      <c r="CQ157" s="403"/>
      <c r="CR157" s="403"/>
      <c r="CS157" s="403"/>
      <c r="CT157" s="403"/>
      <c r="CU157" s="403"/>
      <c r="CV157" s="403"/>
      <c r="CW157" s="403"/>
      <c r="CX157" s="403"/>
      <c r="CY157" s="403"/>
      <c r="CZ157" s="403"/>
      <c r="DA157" s="403"/>
      <c r="DB157" s="403"/>
      <c r="DC157" s="403"/>
      <c r="DD157" s="403"/>
      <c r="DE157" s="403"/>
      <c r="DF157" s="403"/>
      <c r="DG157" s="403"/>
      <c r="DH157" s="403"/>
      <c r="DI157" s="403"/>
      <c r="DJ157" s="403"/>
      <c r="DK157" s="403"/>
      <c r="DL157" s="403"/>
      <c r="DM157" s="403"/>
      <c r="DN157" s="403"/>
      <c r="DO157" s="403"/>
      <c r="DP157" s="403"/>
      <c r="DQ157" s="403"/>
      <c r="DR157" s="403"/>
      <c r="DS157" s="403"/>
      <c r="DT157" s="403"/>
      <c r="DU157" s="403"/>
      <c r="DV157" s="403"/>
      <c r="DW157" s="403"/>
      <c r="DX157" s="403"/>
      <c r="DY157" s="564"/>
      <c r="DZ157" s="564"/>
    </row>
    <row r="158" spans="1:130" s="194" customFormat="1" x14ac:dyDescent="0.2">
      <c r="A158" s="350">
        <v>2</v>
      </c>
      <c r="B158" s="230"/>
      <c r="C158" s="374"/>
      <c r="D158" s="35">
        <v>1</v>
      </c>
      <c r="E158" s="299"/>
      <c r="F158" s="2"/>
      <c r="G158" s="32"/>
      <c r="H158" s="401"/>
      <c r="I158" s="300" t="e">
        <f t="shared" si="34"/>
        <v>#N/A</v>
      </c>
      <c r="J158" s="300" t="e">
        <f t="shared" si="35"/>
        <v>#N/A</v>
      </c>
      <c r="K158" s="152"/>
      <c r="L158" s="299"/>
      <c r="M158" s="299"/>
      <c r="N158" s="299"/>
      <c r="O158" s="574"/>
      <c r="P158" s="587"/>
      <c r="Q158" s="403"/>
      <c r="R158" s="403"/>
      <c r="S158" s="403"/>
      <c r="T158" s="403"/>
      <c r="U158" s="403"/>
      <c r="V158" s="403"/>
      <c r="W158" s="403"/>
      <c r="X158" s="403"/>
      <c r="Y158" s="403"/>
      <c r="Z158" s="403"/>
      <c r="AA158" s="403"/>
      <c r="AB158" s="403"/>
      <c r="AC158" s="403"/>
      <c r="AD158" s="403"/>
      <c r="AE158" s="403"/>
      <c r="AF158" s="403"/>
      <c r="AG158" s="403"/>
      <c r="AH158" s="403"/>
      <c r="AI158" s="403"/>
      <c r="AJ158" s="403"/>
      <c r="AK158" s="403"/>
      <c r="AL158" s="403"/>
      <c r="AM158" s="403"/>
      <c r="AN158" s="403"/>
      <c r="AO158" s="403"/>
      <c r="AP158" s="403"/>
      <c r="AQ158" s="403"/>
      <c r="AR158" s="403"/>
      <c r="AS158" s="403"/>
      <c r="AT158" s="403"/>
      <c r="AU158" s="403"/>
      <c r="AV158" s="403"/>
      <c r="AW158" s="403"/>
      <c r="AX158" s="403"/>
      <c r="AY158" s="403"/>
      <c r="AZ158" s="403"/>
      <c r="BA158" s="403"/>
      <c r="BB158" s="403"/>
      <c r="BC158" s="403"/>
      <c r="BD158" s="403"/>
      <c r="BE158" s="403"/>
      <c r="BF158" s="403"/>
      <c r="BG158" s="403"/>
      <c r="BH158" s="403"/>
      <c r="BI158" s="403"/>
      <c r="BJ158" s="403"/>
      <c r="BK158" s="403"/>
      <c r="BL158" s="403"/>
      <c r="BM158" s="403"/>
      <c r="BN158" s="403"/>
      <c r="BO158" s="403"/>
      <c r="BP158" s="403"/>
      <c r="BQ158" s="403"/>
      <c r="BR158" s="403"/>
      <c r="BS158" s="403"/>
      <c r="BT158" s="403"/>
      <c r="BU158" s="403"/>
      <c r="BV158" s="403"/>
      <c r="BW158" s="403"/>
      <c r="BX158" s="403"/>
      <c r="BY158" s="403"/>
      <c r="BZ158" s="403"/>
      <c r="CA158" s="403"/>
      <c r="CB158" s="403"/>
      <c r="CC158" s="403"/>
      <c r="CD158" s="403"/>
      <c r="CE158" s="403"/>
      <c r="CF158" s="403"/>
      <c r="CG158" s="403"/>
      <c r="CH158" s="403"/>
      <c r="CI158" s="403"/>
      <c r="CJ158" s="403"/>
      <c r="CK158" s="403"/>
      <c r="CL158" s="403"/>
      <c r="CM158" s="403"/>
      <c r="CN158" s="403"/>
      <c r="CO158" s="403"/>
      <c r="CP158" s="403"/>
      <c r="CQ158" s="403"/>
      <c r="CR158" s="403"/>
      <c r="CS158" s="403"/>
      <c r="CT158" s="403"/>
      <c r="CU158" s="403"/>
      <c r="CV158" s="403"/>
      <c r="CW158" s="403"/>
      <c r="CX158" s="403"/>
      <c r="CY158" s="403"/>
      <c r="CZ158" s="403"/>
      <c r="DA158" s="403"/>
      <c r="DB158" s="403"/>
      <c r="DC158" s="403"/>
      <c r="DD158" s="403"/>
      <c r="DE158" s="403"/>
      <c r="DF158" s="403"/>
      <c r="DG158" s="403"/>
      <c r="DH158" s="403"/>
      <c r="DI158" s="403"/>
      <c r="DJ158" s="403"/>
      <c r="DK158" s="403"/>
      <c r="DL158" s="403"/>
      <c r="DM158" s="403"/>
      <c r="DN158" s="403"/>
      <c r="DO158" s="403"/>
      <c r="DP158" s="403"/>
      <c r="DQ158" s="403"/>
      <c r="DR158" s="403"/>
      <c r="DS158" s="403"/>
      <c r="DT158" s="403"/>
      <c r="DU158" s="403"/>
      <c r="DV158" s="403"/>
      <c r="DW158" s="403"/>
      <c r="DX158" s="403"/>
      <c r="DY158" s="564"/>
      <c r="DZ158" s="564"/>
    </row>
    <row r="159" spans="1:130" x14ac:dyDescent="0.2">
      <c r="B159" s="85"/>
      <c r="C159" s="15"/>
      <c r="P159" s="574"/>
    </row>
    <row r="160" spans="1:130" s="194" customFormat="1" ht="15" x14ac:dyDescent="0.25">
      <c r="B160" s="8" t="str">
        <f ca="1">IF(OFFSET(S160,0,Lang_Order*Lang__A4)="","",OFFSET(S160,0,Lang_Order*Lang__A4))</f>
        <v>A4.1.11 Opportunistic co-delivery of essential health services</v>
      </c>
      <c r="C160" s="8"/>
      <c r="D160" s="8"/>
      <c r="E160" s="8"/>
      <c r="F160" s="8"/>
      <c r="G160" s="408" t="str">
        <f>CONCATENATE(Lang_LCU,": ",LCU)</f>
        <v xml:space="preserve">LCU: </v>
      </c>
      <c r="H160" s="219" t="str">
        <f ca="1">IF(OFFSET(Y160,0,Lang_Order*Lang__A4)="","",OFFSET(Y160,0,Lang_Order*Lang__A4))</f>
        <v>Override in USD</v>
      </c>
      <c r="I160" s="8"/>
      <c r="J160" s="8"/>
      <c r="K160" s="188" t="e">
        <f>SUM(J162:J165)</f>
        <v>#N/A</v>
      </c>
      <c r="L160" s="8"/>
      <c r="M160" s="8"/>
      <c r="N160" s="8"/>
      <c r="O160" s="8"/>
      <c r="P160" s="8"/>
      <c r="Q160" s="403"/>
      <c r="R160" s="403"/>
      <c r="S160" s="403" t="s">
        <v>14550</v>
      </c>
      <c r="T160" s="403"/>
      <c r="U160" s="403"/>
      <c r="V160" s="403"/>
      <c r="W160" s="403"/>
      <c r="X160" s="403"/>
      <c r="Y160" s="403" t="s">
        <v>2977</v>
      </c>
      <c r="Z160" s="403"/>
      <c r="AA160" s="403"/>
      <c r="AB160" s="403"/>
      <c r="AC160" s="403"/>
      <c r="AD160" s="403"/>
      <c r="AE160" s="403"/>
      <c r="AF160" s="403"/>
      <c r="AG160" s="403"/>
      <c r="AH160" s="403"/>
      <c r="AI160" s="403" t="s">
        <v>14551</v>
      </c>
      <c r="AJ160" s="403"/>
      <c r="AK160" s="403"/>
      <c r="AL160" s="403"/>
      <c r="AM160" s="403"/>
      <c r="AN160" s="403"/>
      <c r="AO160" s="403" t="s">
        <v>7897</v>
      </c>
      <c r="AP160" s="403"/>
      <c r="AQ160" s="403"/>
      <c r="AR160" s="403"/>
      <c r="AS160" s="403"/>
      <c r="AT160" s="403"/>
      <c r="AU160" s="403"/>
      <c r="AV160" s="403"/>
      <c r="AW160" s="403"/>
      <c r="AX160" s="403"/>
      <c r="AY160" s="403" t="s">
        <v>14552</v>
      </c>
      <c r="AZ160" s="403"/>
      <c r="BA160" s="403"/>
      <c r="BB160" s="403"/>
      <c r="BC160" s="403"/>
      <c r="BD160" s="403"/>
      <c r="BE160" s="403" t="s">
        <v>8114</v>
      </c>
      <c r="BF160" s="403"/>
      <c r="BG160" s="403"/>
      <c r="BH160" s="403"/>
      <c r="BI160" s="403"/>
      <c r="BJ160" s="403"/>
      <c r="BK160" s="403"/>
      <c r="BL160" s="403"/>
      <c r="BM160" s="403"/>
      <c r="BN160" s="403"/>
      <c r="BO160" s="403" t="s">
        <v>14553</v>
      </c>
      <c r="BP160" s="403"/>
      <c r="BQ160" s="403"/>
      <c r="BR160" s="403"/>
      <c r="BS160" s="403"/>
      <c r="BT160" s="403"/>
      <c r="BU160" s="403" t="s">
        <v>7903</v>
      </c>
      <c r="BV160" s="403"/>
      <c r="BW160" s="403"/>
      <c r="BX160" s="403"/>
      <c r="BY160" s="403"/>
      <c r="BZ160" s="403"/>
      <c r="CA160" s="403"/>
      <c r="CB160" s="403"/>
      <c r="CC160" s="403"/>
      <c r="CD160" s="403"/>
      <c r="CE160" s="403" t="s">
        <v>14554</v>
      </c>
      <c r="CF160" s="403"/>
      <c r="CG160" s="403"/>
      <c r="CH160" s="403"/>
      <c r="CI160" s="403"/>
      <c r="CJ160" s="403"/>
      <c r="CK160" s="403" t="s">
        <v>7906</v>
      </c>
      <c r="CL160" s="403"/>
      <c r="CM160" s="403"/>
      <c r="CN160" s="403"/>
      <c r="CO160" s="403"/>
      <c r="CP160" s="403"/>
      <c r="CQ160" s="403"/>
      <c r="CR160" s="403"/>
      <c r="CS160" s="403"/>
      <c r="CT160" s="403"/>
      <c r="CU160" s="403" t="s">
        <v>14555</v>
      </c>
      <c r="CV160" s="403"/>
      <c r="CW160" s="403"/>
      <c r="CX160" s="403"/>
      <c r="CY160" s="403"/>
      <c r="CZ160" s="403"/>
      <c r="DA160" s="403" t="s">
        <v>7908</v>
      </c>
      <c r="DB160" s="403"/>
      <c r="DC160" s="403"/>
      <c r="DD160" s="403"/>
      <c r="DE160" s="403"/>
      <c r="DF160" s="403"/>
      <c r="DG160" s="403"/>
      <c r="DH160" s="403"/>
      <c r="DI160" s="403"/>
      <c r="DJ160" s="403"/>
      <c r="DK160" s="403" t="s">
        <v>14556</v>
      </c>
      <c r="DL160" s="403"/>
      <c r="DM160" s="403"/>
      <c r="DN160" s="403"/>
      <c r="DO160" s="403"/>
      <c r="DP160" s="403"/>
      <c r="DQ160" s="403" t="s">
        <v>7911</v>
      </c>
      <c r="DR160" s="403"/>
      <c r="DS160" s="403"/>
      <c r="DT160" s="403"/>
      <c r="DU160" s="403"/>
      <c r="DV160" s="403"/>
      <c r="DW160" s="403"/>
      <c r="DX160" s="403"/>
      <c r="DY160" s="564"/>
      <c r="DZ160" s="564"/>
    </row>
    <row r="161" spans="1:130" s="185" customFormat="1" ht="42" customHeight="1" x14ac:dyDescent="0.2">
      <c r="C161" s="679" t="str">
        <f ca="1">IF(OFFSET(T161,0,Lang_Order*Lang__A4)="","",OFFSET(T161,0,Lang_Order*Lang__A4))</f>
        <v>Instructions:: This section allows activities related to the development of co-delivery of essential health services at the same time, opportunistically, as the Covid-19 vaccination. This can be the opportunity to address pre-existing health considerations in the country - for example screening of NCDs, health education, and delivery of other vaccines or health commodities where target populations overlap.</v>
      </c>
      <c r="D161" s="679"/>
      <c r="E161" s="679"/>
      <c r="F161" s="679"/>
      <c r="G161" s="679"/>
      <c r="H161" s="679"/>
      <c r="O161" s="574"/>
      <c r="P161" s="574"/>
      <c r="Q161" s="403"/>
      <c r="R161" s="403"/>
      <c r="S161" s="403"/>
      <c r="T161" s="403" t="s">
        <v>4158</v>
      </c>
      <c r="U161" s="403"/>
      <c r="V161" s="403"/>
      <c r="W161" s="403"/>
      <c r="X161" s="403"/>
      <c r="Y161" s="403"/>
      <c r="Z161" s="403"/>
      <c r="AA161" s="403"/>
      <c r="AB161" s="403"/>
      <c r="AC161" s="403"/>
      <c r="AD161" s="403"/>
      <c r="AE161" s="403"/>
      <c r="AF161" s="403"/>
      <c r="AG161" s="403"/>
      <c r="AH161" s="403"/>
      <c r="AI161" s="403"/>
      <c r="AJ161" s="403" t="s">
        <v>9255</v>
      </c>
      <c r="AK161" s="403"/>
      <c r="AL161" s="403"/>
      <c r="AM161" s="403"/>
      <c r="AN161" s="403"/>
      <c r="AO161" s="403"/>
      <c r="AP161" s="403"/>
      <c r="AQ161" s="403"/>
      <c r="AR161" s="403"/>
      <c r="AS161" s="403"/>
      <c r="AT161" s="403"/>
      <c r="AU161" s="403"/>
      <c r="AV161" s="403"/>
      <c r="AW161" s="403"/>
      <c r="AX161" s="403"/>
      <c r="AY161" s="403"/>
      <c r="AZ161" s="403" t="s">
        <v>9256</v>
      </c>
      <c r="BA161" s="403"/>
      <c r="BB161" s="403"/>
      <c r="BC161" s="403"/>
      <c r="BD161" s="403"/>
      <c r="BE161" s="403"/>
      <c r="BF161" s="403"/>
      <c r="BG161" s="403"/>
      <c r="BH161" s="403"/>
      <c r="BI161" s="403"/>
      <c r="BJ161" s="403"/>
      <c r="BK161" s="403"/>
      <c r="BL161" s="403"/>
      <c r="BM161" s="403"/>
      <c r="BN161" s="403"/>
      <c r="BO161" s="403"/>
      <c r="BP161" s="403" t="s">
        <v>9257</v>
      </c>
      <c r="BQ161" s="403"/>
      <c r="BR161" s="403"/>
      <c r="BS161" s="403"/>
      <c r="BT161" s="403"/>
      <c r="BU161" s="403"/>
      <c r="BV161" s="403"/>
      <c r="BW161" s="403"/>
      <c r="BX161" s="403"/>
      <c r="BY161" s="403"/>
      <c r="BZ161" s="403"/>
      <c r="CA161" s="403"/>
      <c r="CB161" s="403"/>
      <c r="CC161" s="403"/>
      <c r="CD161" s="403"/>
      <c r="CE161" s="403"/>
      <c r="CF161" s="403" t="s">
        <v>9258</v>
      </c>
      <c r="CG161" s="403"/>
      <c r="CH161" s="403"/>
      <c r="CI161" s="403"/>
      <c r="CJ161" s="403"/>
      <c r="CK161" s="403"/>
      <c r="CL161" s="403"/>
      <c r="CM161" s="403"/>
      <c r="CN161" s="403"/>
      <c r="CO161" s="403"/>
      <c r="CP161" s="403"/>
      <c r="CQ161" s="403"/>
      <c r="CR161" s="403"/>
      <c r="CS161" s="403"/>
      <c r="CT161" s="403"/>
      <c r="CU161" s="403"/>
      <c r="CV161" s="403" t="s">
        <v>9259</v>
      </c>
      <c r="CW161" s="403"/>
      <c r="CX161" s="403"/>
      <c r="CY161" s="403"/>
      <c r="CZ161" s="403"/>
      <c r="DA161" s="403"/>
      <c r="DB161" s="403"/>
      <c r="DC161" s="403"/>
      <c r="DD161" s="403"/>
      <c r="DE161" s="403"/>
      <c r="DF161" s="403"/>
      <c r="DG161" s="403"/>
      <c r="DH161" s="403"/>
      <c r="DI161" s="403"/>
      <c r="DJ161" s="403"/>
      <c r="DK161" s="403"/>
      <c r="DL161" s="403" t="s">
        <v>9260</v>
      </c>
      <c r="DM161" s="403"/>
      <c r="DN161" s="403"/>
      <c r="DO161" s="403"/>
      <c r="DP161" s="403"/>
      <c r="DQ161" s="403"/>
      <c r="DR161" s="403"/>
      <c r="DS161" s="403"/>
      <c r="DT161" s="403"/>
      <c r="DU161" s="403"/>
      <c r="DV161" s="403"/>
      <c r="DW161" s="403"/>
      <c r="DX161" s="403"/>
      <c r="DY161" s="564"/>
      <c r="DZ161" s="564"/>
    </row>
    <row r="162" spans="1:130" x14ac:dyDescent="0.2">
      <c r="A162" s="350">
        <v>2</v>
      </c>
      <c r="C162" s="370" t="str">
        <f ca="1">IF(OFFSET(T162,0,Lang_Order*Lang__A4)="","",OFFSET(T162,0,Lang_Order*Lang__A4))</f>
        <v>Development of co-delivered / additional interventions</v>
      </c>
      <c r="D162" s="2">
        <v>1</v>
      </c>
      <c r="E162" s="299"/>
      <c r="F162" s="2"/>
      <c r="G162" s="32"/>
      <c r="H162" s="401"/>
      <c r="I162" s="300" t="e">
        <f>IF(ISBLANK(H162),G162/USD2LCU,H162)</f>
        <v>#N/A</v>
      </c>
      <c r="J162" s="300" t="e">
        <f>D162*I162</f>
        <v>#N/A</v>
      </c>
      <c r="K162" s="152"/>
      <c r="L162" s="68" t="s">
        <v>3241</v>
      </c>
      <c r="M162" s="68"/>
      <c r="N162" s="68"/>
      <c r="O162" s="574"/>
      <c r="P162" s="587"/>
      <c r="T162" s="403" t="s">
        <v>2194</v>
      </c>
      <c r="AJ162" s="403" t="s">
        <v>9261</v>
      </c>
      <c r="AZ162" s="403" t="s">
        <v>9262</v>
      </c>
      <c r="BP162" s="403" t="s">
        <v>9263</v>
      </c>
      <c r="CF162" s="403" t="s">
        <v>9264</v>
      </c>
      <c r="CV162" s="403" t="s">
        <v>9265</v>
      </c>
      <c r="DL162" s="403" t="s">
        <v>9266</v>
      </c>
    </row>
    <row r="163" spans="1:130" s="194" customFormat="1" x14ac:dyDescent="0.2">
      <c r="A163" s="350">
        <v>2</v>
      </c>
      <c r="B163" s="34"/>
      <c r="C163" s="374" t="s">
        <v>2974</v>
      </c>
      <c r="D163" s="35">
        <v>1</v>
      </c>
      <c r="E163" s="299"/>
      <c r="F163" s="2"/>
      <c r="G163" s="32"/>
      <c r="H163" s="401"/>
      <c r="I163" s="300" t="e">
        <f>IF(ISBLANK(H163),G163/USD2LCU,H163)</f>
        <v>#N/A</v>
      </c>
      <c r="J163" s="300" t="e">
        <f>D163*I163</f>
        <v>#N/A</v>
      </c>
      <c r="K163" s="152"/>
      <c r="L163" s="299"/>
      <c r="M163" s="299"/>
      <c r="N163" s="299"/>
      <c r="O163" s="574"/>
      <c r="P163" s="587"/>
      <c r="Q163" s="403"/>
      <c r="R163" s="403"/>
      <c r="S163" s="403"/>
      <c r="T163" s="403" t="s">
        <v>2974</v>
      </c>
      <c r="U163" s="403"/>
      <c r="V163" s="403"/>
      <c r="W163" s="403"/>
      <c r="X163" s="403"/>
      <c r="Y163" s="403"/>
      <c r="Z163" s="403"/>
      <c r="AA163" s="403"/>
      <c r="AB163" s="403"/>
      <c r="AC163" s="403"/>
      <c r="AD163" s="403"/>
      <c r="AE163" s="403"/>
      <c r="AF163" s="403"/>
      <c r="AG163" s="403"/>
      <c r="AH163" s="403"/>
      <c r="AI163" s="403"/>
      <c r="AJ163" s="403" t="s">
        <v>8753</v>
      </c>
      <c r="AK163" s="403"/>
      <c r="AL163" s="403"/>
      <c r="AM163" s="403"/>
      <c r="AN163" s="403"/>
      <c r="AO163" s="403"/>
      <c r="AP163" s="403"/>
      <c r="AQ163" s="403"/>
      <c r="AR163" s="403"/>
      <c r="AS163" s="403"/>
      <c r="AT163" s="403"/>
      <c r="AU163" s="403"/>
      <c r="AV163" s="403"/>
      <c r="AW163" s="403"/>
      <c r="AX163" s="403"/>
      <c r="AY163" s="403"/>
      <c r="AZ163" s="403" t="s">
        <v>8754</v>
      </c>
      <c r="BA163" s="403"/>
      <c r="BB163" s="403"/>
      <c r="BC163" s="403"/>
      <c r="BD163" s="403"/>
      <c r="BE163" s="403"/>
      <c r="BF163" s="403"/>
      <c r="BG163" s="403"/>
      <c r="BH163" s="403"/>
      <c r="BI163" s="403"/>
      <c r="BJ163" s="403"/>
      <c r="BK163" s="403"/>
      <c r="BL163" s="403"/>
      <c r="BM163" s="403"/>
      <c r="BN163" s="403"/>
      <c r="BO163" s="403"/>
      <c r="BP163" s="403" t="s">
        <v>8755</v>
      </c>
      <c r="BQ163" s="403"/>
      <c r="BR163" s="403"/>
      <c r="BS163" s="403"/>
      <c r="BT163" s="403"/>
      <c r="BU163" s="403"/>
      <c r="BV163" s="403"/>
      <c r="BW163" s="403"/>
      <c r="BX163" s="403"/>
      <c r="BY163" s="403"/>
      <c r="BZ163" s="403"/>
      <c r="CA163" s="403"/>
      <c r="CB163" s="403"/>
      <c r="CC163" s="403"/>
      <c r="CD163" s="403"/>
      <c r="CE163" s="403"/>
      <c r="CF163" s="403" t="s">
        <v>8756</v>
      </c>
      <c r="CG163" s="403"/>
      <c r="CH163" s="403"/>
      <c r="CI163" s="403"/>
      <c r="CJ163" s="403"/>
      <c r="CK163" s="403"/>
      <c r="CL163" s="403"/>
      <c r="CM163" s="403"/>
      <c r="CN163" s="403"/>
      <c r="CO163" s="403"/>
      <c r="CP163" s="403"/>
      <c r="CQ163" s="403"/>
      <c r="CR163" s="403"/>
      <c r="CS163" s="403"/>
      <c r="CT163" s="403"/>
      <c r="CU163" s="403"/>
      <c r="CV163" s="403" t="s">
        <v>8765</v>
      </c>
      <c r="CW163" s="403"/>
      <c r="CX163" s="403"/>
      <c r="CY163" s="403"/>
      <c r="CZ163" s="403"/>
      <c r="DA163" s="403"/>
      <c r="DB163" s="403"/>
      <c r="DC163" s="403"/>
      <c r="DD163" s="403"/>
      <c r="DE163" s="403"/>
      <c r="DF163" s="403"/>
      <c r="DG163" s="403"/>
      <c r="DH163" s="403"/>
      <c r="DI163" s="403"/>
      <c r="DJ163" s="403"/>
      <c r="DK163" s="403"/>
      <c r="DL163" s="403" t="s">
        <v>8758</v>
      </c>
      <c r="DM163" s="403"/>
      <c r="DN163" s="403"/>
      <c r="DO163" s="403"/>
      <c r="DP163" s="403"/>
      <c r="DQ163" s="403"/>
      <c r="DR163" s="403"/>
      <c r="DS163" s="403"/>
      <c r="DT163" s="403"/>
      <c r="DU163" s="403"/>
      <c r="DV163" s="403"/>
      <c r="DW163" s="403"/>
      <c r="DX163" s="403"/>
      <c r="DY163" s="564"/>
      <c r="DZ163" s="564"/>
    </row>
    <row r="164" spans="1:130" s="194" customFormat="1" x14ac:dyDescent="0.2">
      <c r="A164" s="350">
        <v>2</v>
      </c>
      <c r="B164" s="34"/>
      <c r="C164" s="374"/>
      <c r="D164" s="35">
        <v>1</v>
      </c>
      <c r="E164" s="299"/>
      <c r="F164" s="2"/>
      <c r="G164" s="32"/>
      <c r="H164" s="401"/>
      <c r="I164" s="300" t="e">
        <f>IF(ISBLANK(H164),G164/USD2LCU,H164)</f>
        <v>#N/A</v>
      </c>
      <c r="J164" s="300" t="e">
        <f>D164*I164</f>
        <v>#N/A</v>
      </c>
      <c r="K164" s="152"/>
      <c r="L164" s="299"/>
      <c r="M164" s="299"/>
      <c r="N164" s="299"/>
      <c r="O164" s="574"/>
      <c r="P164" s="587"/>
      <c r="Q164" s="403"/>
      <c r="R164" s="403"/>
      <c r="S164" s="403"/>
      <c r="T164" s="403"/>
      <c r="U164" s="403"/>
      <c r="V164" s="403"/>
      <c r="W164" s="403"/>
      <c r="X164" s="403"/>
      <c r="Y164" s="403"/>
      <c r="Z164" s="403"/>
      <c r="AA164" s="403"/>
      <c r="AB164" s="403"/>
      <c r="AC164" s="403"/>
      <c r="AD164" s="403"/>
      <c r="AE164" s="403"/>
      <c r="AF164" s="403"/>
      <c r="AG164" s="403"/>
      <c r="AH164" s="403"/>
      <c r="AI164" s="403"/>
      <c r="AJ164" s="403"/>
      <c r="AK164" s="403"/>
      <c r="AL164" s="403"/>
      <c r="AM164" s="403"/>
      <c r="AN164" s="403"/>
      <c r="AO164" s="403"/>
      <c r="AP164" s="403"/>
      <c r="AQ164" s="403"/>
      <c r="AR164" s="403"/>
      <c r="AS164" s="403"/>
      <c r="AT164" s="403"/>
      <c r="AU164" s="403"/>
      <c r="AV164" s="403"/>
      <c r="AW164" s="403"/>
      <c r="AX164" s="403"/>
      <c r="AY164" s="403"/>
      <c r="AZ164" s="403"/>
      <c r="BA164" s="403"/>
      <c r="BB164" s="403"/>
      <c r="BC164" s="403"/>
      <c r="BD164" s="403"/>
      <c r="BE164" s="403"/>
      <c r="BF164" s="403"/>
      <c r="BG164" s="403"/>
      <c r="BH164" s="403"/>
      <c r="BI164" s="403"/>
      <c r="BJ164" s="403"/>
      <c r="BK164" s="403"/>
      <c r="BL164" s="403"/>
      <c r="BM164" s="403"/>
      <c r="BN164" s="403"/>
      <c r="BO164" s="403"/>
      <c r="BP164" s="403"/>
      <c r="BQ164" s="403"/>
      <c r="BR164" s="403"/>
      <c r="BS164" s="403"/>
      <c r="BT164" s="403"/>
      <c r="BU164" s="403"/>
      <c r="BV164" s="403"/>
      <c r="BW164" s="403"/>
      <c r="BX164" s="403"/>
      <c r="BY164" s="403"/>
      <c r="BZ164" s="403"/>
      <c r="CA164" s="403"/>
      <c r="CB164" s="403"/>
      <c r="CC164" s="403"/>
      <c r="CD164" s="403"/>
      <c r="CE164" s="403"/>
      <c r="CF164" s="403"/>
      <c r="CG164" s="403"/>
      <c r="CH164" s="403"/>
      <c r="CI164" s="403"/>
      <c r="CJ164" s="403"/>
      <c r="CK164" s="403"/>
      <c r="CL164" s="403"/>
      <c r="CM164" s="403"/>
      <c r="CN164" s="403"/>
      <c r="CO164" s="403"/>
      <c r="CP164" s="403"/>
      <c r="CQ164" s="403"/>
      <c r="CR164" s="403"/>
      <c r="CS164" s="403"/>
      <c r="CT164" s="403"/>
      <c r="CU164" s="403"/>
      <c r="CV164" s="403"/>
      <c r="CW164" s="403"/>
      <c r="CX164" s="403"/>
      <c r="CY164" s="403"/>
      <c r="CZ164" s="403"/>
      <c r="DA164" s="403"/>
      <c r="DB164" s="403"/>
      <c r="DC164" s="403"/>
      <c r="DD164" s="403"/>
      <c r="DE164" s="403"/>
      <c r="DF164" s="403"/>
      <c r="DG164" s="403"/>
      <c r="DH164" s="403"/>
      <c r="DI164" s="403"/>
      <c r="DJ164" s="403"/>
      <c r="DK164" s="403"/>
      <c r="DL164" s="403"/>
      <c r="DM164" s="403"/>
      <c r="DN164" s="403"/>
      <c r="DO164" s="403"/>
      <c r="DP164" s="403"/>
      <c r="DQ164" s="403"/>
      <c r="DR164" s="403"/>
      <c r="DS164" s="403"/>
      <c r="DT164" s="403"/>
      <c r="DU164" s="403"/>
      <c r="DV164" s="403"/>
      <c r="DW164" s="403"/>
      <c r="DX164" s="403"/>
      <c r="DY164" s="564"/>
      <c r="DZ164" s="564"/>
    </row>
    <row r="165" spans="1:130" s="194" customFormat="1" x14ac:dyDescent="0.2">
      <c r="A165" s="350">
        <v>2</v>
      </c>
      <c r="B165" s="34"/>
      <c r="C165" s="374"/>
      <c r="D165" s="35">
        <v>1</v>
      </c>
      <c r="E165" s="299"/>
      <c r="F165" s="2"/>
      <c r="G165" s="32"/>
      <c r="H165" s="401"/>
      <c r="I165" s="300" t="e">
        <f>IF(ISBLANK(H165),G165/USD2LCU,H165)</f>
        <v>#N/A</v>
      </c>
      <c r="J165" s="300" t="e">
        <f>D165*I165</f>
        <v>#N/A</v>
      </c>
      <c r="K165" s="152"/>
      <c r="L165" s="299"/>
      <c r="M165" s="299"/>
      <c r="N165" s="299"/>
      <c r="O165" s="574"/>
      <c r="P165" s="587"/>
      <c r="Q165" s="403"/>
      <c r="R165" s="403"/>
      <c r="S165" s="403"/>
      <c r="T165" s="403"/>
      <c r="U165" s="403"/>
      <c r="V165" s="403"/>
      <c r="W165" s="403"/>
      <c r="X165" s="403"/>
      <c r="Y165" s="403"/>
      <c r="Z165" s="403"/>
      <c r="AA165" s="403"/>
      <c r="AB165" s="403"/>
      <c r="AC165" s="403"/>
      <c r="AD165" s="403"/>
      <c r="AE165" s="403"/>
      <c r="AF165" s="403"/>
      <c r="AG165" s="403"/>
      <c r="AH165" s="403"/>
      <c r="AI165" s="403"/>
      <c r="AJ165" s="403"/>
      <c r="AK165" s="403"/>
      <c r="AL165" s="403"/>
      <c r="AM165" s="403"/>
      <c r="AN165" s="403"/>
      <c r="AO165" s="403"/>
      <c r="AP165" s="403"/>
      <c r="AQ165" s="403"/>
      <c r="AR165" s="403"/>
      <c r="AS165" s="403"/>
      <c r="AT165" s="403"/>
      <c r="AU165" s="403"/>
      <c r="AV165" s="403"/>
      <c r="AW165" s="403"/>
      <c r="AX165" s="403"/>
      <c r="AY165" s="403"/>
      <c r="AZ165" s="403"/>
      <c r="BA165" s="403"/>
      <c r="BB165" s="403"/>
      <c r="BC165" s="403"/>
      <c r="BD165" s="403"/>
      <c r="BE165" s="403"/>
      <c r="BF165" s="403"/>
      <c r="BG165" s="403"/>
      <c r="BH165" s="403"/>
      <c r="BI165" s="403"/>
      <c r="BJ165" s="403"/>
      <c r="BK165" s="403"/>
      <c r="BL165" s="403"/>
      <c r="BM165" s="403"/>
      <c r="BN165" s="403"/>
      <c r="BO165" s="403"/>
      <c r="BP165" s="403"/>
      <c r="BQ165" s="403"/>
      <c r="BR165" s="403"/>
      <c r="BS165" s="403"/>
      <c r="BT165" s="403"/>
      <c r="BU165" s="403"/>
      <c r="BV165" s="403"/>
      <c r="BW165" s="403"/>
      <c r="BX165" s="403"/>
      <c r="BY165" s="403"/>
      <c r="BZ165" s="403"/>
      <c r="CA165" s="403"/>
      <c r="CB165" s="403"/>
      <c r="CC165" s="403"/>
      <c r="CD165" s="403"/>
      <c r="CE165" s="403"/>
      <c r="CF165" s="403"/>
      <c r="CG165" s="403"/>
      <c r="CH165" s="403"/>
      <c r="CI165" s="403"/>
      <c r="CJ165" s="403"/>
      <c r="CK165" s="403"/>
      <c r="CL165" s="403"/>
      <c r="CM165" s="403"/>
      <c r="CN165" s="403"/>
      <c r="CO165" s="403"/>
      <c r="CP165" s="403"/>
      <c r="CQ165" s="403"/>
      <c r="CR165" s="403"/>
      <c r="CS165" s="403"/>
      <c r="CT165" s="403"/>
      <c r="CU165" s="403"/>
      <c r="CV165" s="403"/>
      <c r="CW165" s="403"/>
      <c r="CX165" s="403"/>
      <c r="CY165" s="403"/>
      <c r="CZ165" s="403"/>
      <c r="DA165" s="403"/>
      <c r="DB165" s="403"/>
      <c r="DC165" s="403"/>
      <c r="DD165" s="403"/>
      <c r="DE165" s="403"/>
      <c r="DF165" s="403"/>
      <c r="DG165" s="403"/>
      <c r="DH165" s="403"/>
      <c r="DI165" s="403"/>
      <c r="DJ165" s="403"/>
      <c r="DK165" s="403"/>
      <c r="DL165" s="403"/>
      <c r="DM165" s="403"/>
      <c r="DN165" s="403"/>
      <c r="DO165" s="403"/>
      <c r="DP165" s="403"/>
      <c r="DQ165" s="403"/>
      <c r="DR165" s="403"/>
      <c r="DS165" s="403"/>
      <c r="DT165" s="403"/>
      <c r="DU165" s="403"/>
      <c r="DV165" s="403"/>
      <c r="DW165" s="403"/>
      <c r="DX165" s="403"/>
      <c r="DY165" s="564"/>
      <c r="DZ165" s="564"/>
    </row>
    <row r="166" spans="1:130" s="194" customFormat="1" x14ac:dyDescent="0.2">
      <c r="G166" s="299"/>
      <c r="H166" s="300"/>
      <c r="I166" s="299"/>
      <c r="L166" s="299"/>
      <c r="M166" s="299"/>
      <c r="N166" s="299"/>
      <c r="P166" s="567"/>
      <c r="Q166" s="403"/>
      <c r="R166" s="403"/>
      <c r="S166" s="403"/>
      <c r="T166" s="403"/>
      <c r="U166" s="403"/>
      <c r="V166" s="403"/>
      <c r="W166" s="403"/>
      <c r="X166" s="403"/>
      <c r="Y166" s="403"/>
      <c r="Z166" s="403"/>
      <c r="AA166" s="403"/>
      <c r="AB166" s="403"/>
      <c r="AC166" s="403"/>
      <c r="AD166" s="403"/>
      <c r="AE166" s="403"/>
      <c r="AF166" s="403"/>
      <c r="AG166" s="403"/>
      <c r="AH166" s="403"/>
      <c r="AI166" s="403"/>
      <c r="AJ166" s="403"/>
      <c r="AK166" s="403"/>
      <c r="AL166" s="403"/>
      <c r="AM166" s="403"/>
      <c r="AN166" s="403"/>
      <c r="AO166" s="403"/>
      <c r="AP166" s="403"/>
      <c r="AQ166" s="403"/>
      <c r="AR166" s="403"/>
      <c r="AS166" s="403"/>
      <c r="AT166" s="403"/>
      <c r="AU166" s="403"/>
      <c r="AV166" s="403"/>
      <c r="AW166" s="403"/>
      <c r="AX166" s="403"/>
      <c r="AY166" s="403"/>
      <c r="AZ166" s="403"/>
      <c r="BA166" s="403"/>
      <c r="BB166" s="403"/>
      <c r="BC166" s="403"/>
      <c r="BD166" s="403"/>
      <c r="BE166" s="403"/>
      <c r="BF166" s="403"/>
      <c r="BG166" s="403"/>
      <c r="BH166" s="403"/>
      <c r="BI166" s="403"/>
      <c r="BJ166" s="403"/>
      <c r="BK166" s="403"/>
      <c r="BL166" s="403"/>
      <c r="BM166" s="403"/>
      <c r="BN166" s="403"/>
      <c r="BO166" s="403"/>
      <c r="BP166" s="403"/>
      <c r="BQ166" s="403"/>
      <c r="BR166" s="403"/>
      <c r="BS166" s="403"/>
      <c r="BT166" s="403"/>
      <c r="BU166" s="403"/>
      <c r="BV166" s="403"/>
      <c r="BW166" s="403"/>
      <c r="BX166" s="403"/>
      <c r="BY166" s="403"/>
      <c r="BZ166" s="403"/>
      <c r="CA166" s="403"/>
      <c r="CB166" s="403"/>
      <c r="CC166" s="403"/>
      <c r="CD166" s="403"/>
      <c r="CE166" s="403"/>
      <c r="CF166" s="403"/>
      <c r="CG166" s="403"/>
      <c r="CH166" s="403"/>
      <c r="CI166" s="403"/>
      <c r="CJ166" s="403"/>
      <c r="CK166" s="403"/>
      <c r="CL166" s="403"/>
      <c r="CM166" s="403"/>
      <c r="CN166" s="403"/>
      <c r="CO166" s="403"/>
      <c r="CP166" s="403"/>
      <c r="CQ166" s="403"/>
      <c r="CR166" s="403"/>
      <c r="CS166" s="403"/>
      <c r="CT166" s="403"/>
      <c r="CU166" s="403"/>
      <c r="CV166" s="403"/>
      <c r="CW166" s="403"/>
      <c r="CX166" s="403"/>
      <c r="CY166" s="403"/>
      <c r="CZ166" s="403"/>
      <c r="DA166" s="403"/>
      <c r="DB166" s="403"/>
      <c r="DC166" s="403"/>
      <c r="DD166" s="403"/>
      <c r="DE166" s="403"/>
      <c r="DF166" s="403"/>
      <c r="DG166" s="403"/>
      <c r="DH166" s="403"/>
      <c r="DI166" s="403"/>
      <c r="DJ166" s="403"/>
      <c r="DK166" s="403"/>
      <c r="DL166" s="403"/>
      <c r="DM166" s="403"/>
      <c r="DN166" s="403"/>
      <c r="DO166" s="403"/>
      <c r="DP166" s="403"/>
      <c r="DQ166" s="403"/>
      <c r="DR166" s="403"/>
      <c r="DS166" s="403"/>
      <c r="DT166" s="403"/>
      <c r="DU166" s="403"/>
      <c r="DV166" s="403"/>
      <c r="DW166" s="403"/>
      <c r="DX166" s="403"/>
      <c r="DY166" s="564"/>
      <c r="DZ166" s="564"/>
    </row>
    <row r="167" spans="1:130" s="27" customFormat="1" ht="19.5" x14ac:dyDescent="0.3">
      <c r="H167" s="75"/>
      <c r="Q167" s="403"/>
      <c r="R167" s="403"/>
      <c r="S167" s="403"/>
      <c r="T167" s="403"/>
      <c r="U167" s="403"/>
      <c r="V167" s="403"/>
      <c r="W167" s="403"/>
      <c r="X167" s="403"/>
      <c r="Y167" s="403"/>
      <c r="Z167" s="403"/>
      <c r="AA167" s="403"/>
      <c r="AB167" s="403"/>
      <c r="AC167" s="403"/>
      <c r="AD167" s="403"/>
      <c r="AE167" s="403"/>
      <c r="AF167" s="403"/>
      <c r="AG167" s="403"/>
      <c r="AH167" s="403"/>
      <c r="AI167" s="403"/>
      <c r="AJ167" s="403"/>
      <c r="AK167" s="403"/>
      <c r="AL167" s="403"/>
      <c r="AM167" s="403"/>
      <c r="AN167" s="403"/>
      <c r="AO167" s="403"/>
      <c r="AP167" s="403"/>
      <c r="AQ167" s="403"/>
      <c r="AR167" s="403"/>
      <c r="AS167" s="403"/>
      <c r="AT167" s="403"/>
      <c r="AU167" s="403"/>
      <c r="AV167" s="403"/>
      <c r="AW167" s="403"/>
      <c r="AX167" s="403"/>
      <c r="AY167" s="403"/>
      <c r="AZ167" s="403"/>
      <c r="BA167" s="403"/>
      <c r="BB167" s="403"/>
      <c r="BC167" s="403"/>
      <c r="BD167" s="403"/>
      <c r="BE167" s="403"/>
      <c r="BF167" s="403"/>
      <c r="BG167" s="403"/>
      <c r="BH167" s="403"/>
      <c r="BI167" s="403"/>
      <c r="BJ167" s="403"/>
      <c r="BK167" s="403"/>
      <c r="BL167" s="403"/>
      <c r="BM167" s="403"/>
      <c r="BN167" s="403"/>
      <c r="BO167" s="403"/>
      <c r="BP167" s="403"/>
      <c r="BQ167" s="403"/>
      <c r="BR167" s="403"/>
      <c r="BS167" s="403"/>
      <c r="BT167" s="403"/>
      <c r="BU167" s="403"/>
      <c r="BV167" s="403"/>
      <c r="BW167" s="403"/>
      <c r="BX167" s="403"/>
      <c r="BY167" s="403"/>
      <c r="BZ167" s="403"/>
      <c r="CA167" s="403"/>
      <c r="CB167" s="403"/>
      <c r="CC167" s="403"/>
      <c r="CD167" s="403"/>
      <c r="CE167" s="403"/>
      <c r="CF167" s="403"/>
      <c r="CG167" s="403"/>
      <c r="CH167" s="403"/>
      <c r="CI167" s="403"/>
      <c r="CJ167" s="403"/>
      <c r="CK167" s="403"/>
      <c r="CL167" s="403"/>
      <c r="CM167" s="403"/>
      <c r="CN167" s="403"/>
      <c r="CO167" s="403"/>
      <c r="CP167" s="403"/>
      <c r="CQ167" s="403"/>
      <c r="CR167" s="403"/>
      <c r="CS167" s="403"/>
      <c r="CT167" s="403"/>
      <c r="CU167" s="403"/>
      <c r="CV167" s="403"/>
      <c r="CW167" s="403"/>
      <c r="CX167" s="403"/>
      <c r="CY167" s="403"/>
      <c r="CZ167" s="403"/>
      <c r="DA167" s="403"/>
      <c r="DB167" s="403"/>
      <c r="DC167" s="403"/>
      <c r="DD167" s="403"/>
      <c r="DE167" s="403"/>
      <c r="DF167" s="403"/>
      <c r="DG167" s="403"/>
      <c r="DH167" s="403"/>
      <c r="DI167" s="403"/>
      <c r="DJ167" s="403"/>
      <c r="DK167" s="403"/>
      <c r="DL167" s="403"/>
      <c r="DM167" s="403"/>
      <c r="DN167" s="403"/>
      <c r="DO167" s="403"/>
      <c r="DP167" s="403"/>
      <c r="DQ167" s="403"/>
      <c r="DR167" s="403"/>
      <c r="DS167" s="403"/>
      <c r="DT167" s="403"/>
      <c r="DU167" s="403"/>
      <c r="DV167" s="403"/>
      <c r="DW167" s="403"/>
      <c r="DX167" s="403"/>
      <c r="DY167" s="564"/>
      <c r="DZ167" s="564"/>
    </row>
    <row r="168" spans="1:130" x14ac:dyDescent="0.2">
      <c r="B168" s="15"/>
      <c r="C168" s="15"/>
    </row>
    <row r="172" spans="1:130" x14ac:dyDescent="0.2">
      <c r="A172" s="684" t="str">
        <f>WHO_Copyright</f>
        <v>© World Health Organization and the United Nations Children’s Fund (UNICEF), 2022. Some rights reserved. This work is available under the CC BY-NC-SA 3.0 IGO licence.</v>
      </c>
      <c r="B172" s="684"/>
      <c r="C172" s="684"/>
      <c r="D172" s="684"/>
      <c r="E172" s="684"/>
      <c r="F172" s="684"/>
      <c r="G172" s="684"/>
      <c r="H172" s="684"/>
    </row>
    <row r="173" spans="1:130" x14ac:dyDescent="0.2">
      <c r="A173" s="671" t="str">
        <f>WHO_Reference</f>
        <v>WHO reference number: WHO/2019-nCoV/Vaccine_deployment_tool/2022.1</v>
      </c>
      <c r="B173" s="671"/>
      <c r="C173" s="671"/>
      <c r="D173" s="671"/>
      <c r="E173" s="671"/>
      <c r="F173" s="671"/>
      <c r="G173" s="671"/>
      <c r="H173" s="671"/>
    </row>
  </sheetData>
  <sheetProtection algorithmName="SHA-512" hashValue="7NEYvBRxA9X9mtEbUWOCz0RuIIERo5UZDRzz5LK9jPR21/DoE2GB66AYR0T582H/HPfeXNEWVAhZAZ7LFz+eGA==" saltValue="kmBTVAW5CLsUNG/fQefRdQ==" spinCount="100000" sheet="1" objects="1" scenarios="1"/>
  <mergeCells count="11">
    <mergeCell ref="A172:H172"/>
    <mergeCell ref="A173:H173"/>
    <mergeCell ref="C118:H118"/>
    <mergeCell ref="C139:H139"/>
    <mergeCell ref="C161:H161"/>
    <mergeCell ref="C105:H105"/>
    <mergeCell ref="G7:I7"/>
    <mergeCell ref="L7:N7"/>
    <mergeCell ref="C47:H47"/>
    <mergeCell ref="C58:H58"/>
    <mergeCell ref="C80:H80"/>
  </mergeCells>
  <hyperlinks>
    <hyperlink ref="M15" location="'B2. Vaccines and Supplies'!F17" display="More info on vaccine doses, ancilliary supplies @ B2" xr:uid="{508B59F9-D0FF-4D80-A8BE-9B178A553DFA}"/>
    <hyperlink ref="M17" location="'B2. Vaccines and Supplies'!B132" display="More info on waste management supples @ B2" xr:uid="{CE300992-887D-48BB-BC0F-029AE632A719}"/>
    <hyperlink ref="N67" location="'R2. Resource Mapping'!B129" display="'R2. Resource Mapping'!B129" xr:uid="{85C0081B-E32E-4238-8417-29372655FA4D}"/>
    <hyperlink ref="N68" location="'R2. Resource Mapping'!B129" display="'R2. Resource Mapping'!B129" xr:uid="{FBFEDCA3-8766-4CD4-AA19-F78F37E24282}"/>
    <hyperlink ref="M109" location="'R2. Resource Mapping'!B177" display="'R2. Resource Mapping'!B177" xr:uid="{A5E35875-F699-4793-B35F-AAE12EA31C62}"/>
    <hyperlink ref="N123" location="'R2. Resource Mapping'!B232" display="'R2. Resource Mapping'!B232" xr:uid="{611EB74E-5DA3-471F-A30E-05879CFD2B0E}"/>
    <hyperlink ref="N148" location="'R2. Resource Mapping'!B236" display="'R2. Resource Mapping'!B236" xr:uid="{CF8D93CD-10B8-4724-9E88-E5E00E0B0B47}"/>
    <hyperlink ref="DV17" r:id="rId1" xr:uid="{5F470BE1-6BCB-433C-BFCE-AA05A77F4EAC}"/>
  </hyperlinks>
  <pageMargins left="0.7" right="0.7" top="0.75" bottom="0.75"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05DAB-54EE-414A-A5E9-6B557A36089D}">
  <sheetPr codeName="Sheet7">
    <tabColor rgb="FFC00000"/>
  </sheetPr>
  <dimension ref="A1:XEN280"/>
  <sheetViews>
    <sheetView showGridLines="0" topLeftCell="A79" workbookViewId="0"/>
  </sheetViews>
  <sheetFormatPr defaultColWidth="9.28515625" defaultRowHeight="15" x14ac:dyDescent="0.2"/>
  <cols>
    <col min="1" max="1" width="2.7109375" style="15" customWidth="1"/>
    <col min="2" max="2" width="9.28515625" style="10"/>
    <col min="3" max="3" width="60.28515625" style="5" customWidth="1"/>
    <col min="4" max="4" width="22.42578125" style="2" customWidth="1"/>
    <col min="5" max="9" width="22.42578125" style="15" customWidth="1"/>
    <col min="10" max="10" width="16" style="44" bestFit="1" customWidth="1"/>
    <col min="11" max="11" width="20.42578125" style="44" customWidth="1"/>
    <col min="12" max="12" width="15.85546875" style="12" bestFit="1" customWidth="1"/>
    <col min="13" max="13" width="73.28515625" style="12" customWidth="1"/>
    <col min="14" max="14" width="9.140625" style="15" hidden="1" customWidth="1"/>
    <col min="15" max="112" width="3.28515625" style="564" hidden="1" customWidth="1"/>
    <col min="113" max="16384" width="9.28515625" style="15"/>
  </cols>
  <sheetData>
    <row r="1" spans="1:16368" s="194" customFormat="1" ht="45" customHeight="1" x14ac:dyDescent="0.2">
      <c r="A1" s="225" t="str">
        <f ca="1">IF(OFFSET(P1,0,Lang_Order*Lang__B1)="","",OFFSET(P1,0,Lang_Order*Lang__B1))</f>
        <v>NAVIGATION BAR:</v>
      </c>
      <c r="B1" s="224"/>
      <c r="C1" s="224"/>
      <c r="D1" s="224"/>
      <c r="E1" s="224"/>
      <c r="F1" s="224"/>
      <c r="G1" s="224"/>
      <c r="H1" s="224"/>
      <c r="I1" s="224"/>
      <c r="J1" s="224"/>
      <c r="K1" s="224"/>
      <c r="L1" s="396" t="str">
        <f>IF(COUNTIF(N:N,Lang_CHECK)=0,Lang_LogicPassed,CONCATENATE(Lang_LogicFailed,COUNTIF(N:N,Lang_CHECK)))</f>
        <v>Logic checks failed - Errors = 1</v>
      </c>
      <c r="M1" s="224"/>
      <c r="N1" s="415" t="s">
        <v>3031</v>
      </c>
      <c r="O1" s="564">
        <v>14</v>
      </c>
      <c r="P1" s="564" t="s">
        <v>2910</v>
      </c>
      <c r="Q1" s="564"/>
      <c r="R1" s="564"/>
      <c r="S1" s="564"/>
      <c r="T1" s="564"/>
      <c r="U1" s="564"/>
      <c r="V1" s="564"/>
      <c r="W1" s="564"/>
      <c r="X1" s="564"/>
      <c r="Y1" s="564"/>
      <c r="Z1" s="564"/>
      <c r="AA1" s="564"/>
      <c r="AB1" s="564"/>
      <c r="AC1" s="564"/>
      <c r="AD1" s="564" t="s">
        <v>4634</v>
      </c>
      <c r="AE1" s="564"/>
      <c r="AF1" s="564"/>
      <c r="AG1" s="564"/>
      <c r="AH1" s="564"/>
      <c r="AI1" s="564"/>
      <c r="AJ1" s="564"/>
      <c r="AK1" s="564"/>
      <c r="AL1" s="564"/>
      <c r="AM1" s="564"/>
      <c r="AN1" s="564"/>
      <c r="AO1" s="564"/>
      <c r="AP1" s="564"/>
      <c r="AQ1" s="564"/>
      <c r="AR1" s="564" t="s">
        <v>4635</v>
      </c>
      <c r="AS1" s="564"/>
      <c r="AT1" s="564"/>
      <c r="AU1" s="564"/>
      <c r="AV1" s="564"/>
      <c r="AW1" s="564"/>
      <c r="AX1" s="564"/>
      <c r="AY1" s="564"/>
      <c r="AZ1" s="564"/>
      <c r="BA1" s="564"/>
      <c r="BB1" s="564"/>
      <c r="BC1" s="564"/>
      <c r="BD1" s="564"/>
      <c r="BE1" s="564"/>
      <c r="BF1" s="564" t="s">
        <v>9267</v>
      </c>
      <c r="BG1" s="564"/>
      <c r="BH1" s="564"/>
      <c r="BI1" s="564"/>
      <c r="BJ1" s="564"/>
      <c r="BK1" s="564"/>
      <c r="BL1" s="564"/>
      <c r="BM1" s="564"/>
      <c r="BN1" s="564"/>
      <c r="BO1" s="564"/>
      <c r="BP1" s="564"/>
      <c r="BQ1" s="564"/>
      <c r="BR1" s="564"/>
      <c r="BS1" s="564"/>
      <c r="BT1" s="564" t="s">
        <v>4637</v>
      </c>
      <c r="BU1" s="564"/>
      <c r="BV1" s="564"/>
      <c r="BW1" s="564"/>
      <c r="BX1" s="564"/>
      <c r="BY1" s="564"/>
      <c r="BZ1" s="564"/>
      <c r="CA1" s="564"/>
      <c r="CB1" s="564"/>
      <c r="CC1" s="564"/>
      <c r="CD1" s="564"/>
      <c r="CE1" s="564"/>
      <c r="CF1" s="564"/>
      <c r="CG1" s="564"/>
      <c r="CH1" s="564" t="s">
        <v>4638</v>
      </c>
      <c r="CI1" s="564"/>
      <c r="CJ1" s="564"/>
      <c r="CK1" s="564"/>
      <c r="CL1" s="564"/>
      <c r="CM1" s="564"/>
      <c r="CN1" s="564"/>
      <c r="CO1" s="564"/>
      <c r="CP1" s="564"/>
      <c r="CQ1" s="564"/>
      <c r="CR1" s="564"/>
      <c r="CS1" s="564"/>
      <c r="CT1" s="564"/>
      <c r="CU1" s="564"/>
      <c r="CV1" s="564" t="s">
        <v>4639</v>
      </c>
      <c r="CW1" s="564"/>
      <c r="CX1" s="564"/>
      <c r="CY1" s="564"/>
      <c r="CZ1" s="564"/>
      <c r="DA1" s="564"/>
      <c r="DB1" s="564"/>
      <c r="DC1" s="564"/>
      <c r="DD1" s="564"/>
      <c r="DE1" s="564"/>
      <c r="DF1" s="564"/>
      <c r="DG1" s="564"/>
      <c r="DH1" s="564"/>
      <c r="DI1" s="224"/>
      <c r="DJ1" s="224"/>
      <c r="DK1" s="224"/>
      <c r="DL1" s="224"/>
      <c r="DM1" s="224"/>
      <c r="DN1" s="224"/>
      <c r="DO1" s="224"/>
      <c r="DP1" s="224"/>
      <c r="DQ1" s="224"/>
      <c r="DR1" s="224"/>
      <c r="DS1" s="224"/>
      <c r="DT1" s="224"/>
      <c r="DU1" s="224"/>
      <c r="DV1" s="224"/>
      <c r="DW1" s="224"/>
      <c r="DX1" s="224"/>
      <c r="DY1" s="224"/>
      <c r="DZ1" s="224"/>
      <c r="EA1" s="224"/>
      <c r="EB1" s="224"/>
      <c r="EC1" s="224"/>
      <c r="ED1" s="224"/>
      <c r="EE1" s="224"/>
      <c r="EF1" s="224"/>
      <c r="EG1" s="224"/>
      <c r="EH1" s="224"/>
      <c r="EI1" s="224"/>
      <c r="EJ1" s="224"/>
      <c r="EK1" s="224"/>
      <c r="EL1" s="224"/>
      <c r="EM1" s="224"/>
      <c r="EN1" s="224"/>
      <c r="EO1" s="224"/>
      <c r="EP1" s="224"/>
      <c r="EQ1" s="224"/>
      <c r="ER1" s="224"/>
      <c r="ES1" s="224"/>
      <c r="ET1" s="224"/>
      <c r="EU1" s="224"/>
      <c r="EV1" s="224"/>
      <c r="EW1" s="224"/>
      <c r="EX1" s="224"/>
      <c r="EY1" s="224"/>
      <c r="EZ1" s="224"/>
      <c r="FA1" s="224"/>
      <c r="FB1" s="224"/>
      <c r="FC1" s="224"/>
      <c r="FD1" s="224"/>
      <c r="FE1" s="224"/>
      <c r="FF1" s="224"/>
      <c r="FG1" s="224"/>
      <c r="FH1" s="224"/>
      <c r="FI1" s="224"/>
      <c r="FJ1" s="224"/>
      <c r="FK1" s="224"/>
      <c r="FL1" s="224"/>
      <c r="FM1" s="224"/>
      <c r="FN1" s="224"/>
      <c r="FO1" s="224"/>
      <c r="FP1" s="224"/>
      <c r="FQ1" s="224"/>
      <c r="FR1" s="224"/>
      <c r="FS1" s="224"/>
      <c r="FT1" s="224"/>
      <c r="FU1" s="224"/>
      <c r="FV1" s="224"/>
      <c r="FW1" s="224"/>
      <c r="FX1" s="224"/>
      <c r="FY1" s="224"/>
      <c r="FZ1" s="224"/>
      <c r="GA1" s="224"/>
      <c r="GB1" s="224"/>
      <c r="GC1" s="224"/>
      <c r="GD1" s="224"/>
      <c r="GE1" s="224"/>
      <c r="GF1" s="224"/>
      <c r="GG1" s="224"/>
      <c r="GH1" s="224"/>
      <c r="GI1" s="224"/>
      <c r="GJ1" s="224"/>
      <c r="GK1" s="224"/>
      <c r="GL1" s="224"/>
      <c r="GM1" s="224"/>
      <c r="GN1" s="224"/>
      <c r="GO1" s="224"/>
      <c r="GP1" s="224"/>
      <c r="GQ1" s="224"/>
      <c r="GR1" s="224"/>
      <c r="GS1" s="224"/>
      <c r="GT1" s="224"/>
      <c r="GU1" s="224"/>
      <c r="GV1" s="224"/>
      <c r="GW1" s="224"/>
      <c r="GX1" s="224"/>
      <c r="GY1" s="224"/>
      <c r="GZ1" s="224"/>
      <c r="HA1" s="224"/>
      <c r="HB1" s="224"/>
      <c r="HC1" s="224"/>
      <c r="HD1" s="224"/>
      <c r="HE1" s="224"/>
      <c r="HF1" s="224"/>
      <c r="HG1" s="224"/>
      <c r="HH1" s="224"/>
      <c r="HI1" s="224"/>
      <c r="HJ1" s="224"/>
      <c r="HK1" s="224"/>
      <c r="HL1" s="224"/>
      <c r="HM1" s="224"/>
      <c r="HN1" s="224"/>
      <c r="HO1" s="224"/>
      <c r="HP1" s="224"/>
      <c r="HQ1" s="224"/>
      <c r="HR1" s="224"/>
      <c r="HS1" s="224"/>
      <c r="HT1" s="224"/>
      <c r="HU1" s="224"/>
      <c r="HV1" s="224"/>
      <c r="HW1" s="224"/>
      <c r="HX1" s="224"/>
      <c r="HY1" s="224"/>
      <c r="HZ1" s="224"/>
      <c r="IA1" s="224"/>
      <c r="IB1" s="224"/>
      <c r="IC1" s="224"/>
      <c r="ID1" s="224"/>
      <c r="IE1" s="224"/>
      <c r="IF1" s="224"/>
      <c r="IG1" s="224"/>
      <c r="IH1" s="224"/>
      <c r="II1" s="224"/>
      <c r="IJ1" s="224"/>
      <c r="IK1" s="224"/>
      <c r="IL1" s="224"/>
      <c r="IM1" s="224"/>
      <c r="IN1" s="224"/>
      <c r="IO1" s="224"/>
      <c r="IP1" s="224"/>
      <c r="IQ1" s="224"/>
      <c r="IR1" s="224"/>
      <c r="IS1" s="224"/>
      <c r="IT1" s="224"/>
      <c r="IU1" s="224"/>
      <c r="IV1" s="224"/>
      <c r="IW1" s="224"/>
      <c r="IX1" s="224"/>
      <c r="IY1" s="224"/>
      <c r="IZ1" s="224"/>
      <c r="JA1" s="224"/>
      <c r="JB1" s="224"/>
      <c r="JC1" s="224"/>
      <c r="JD1" s="224"/>
      <c r="JE1" s="224"/>
      <c r="JF1" s="224"/>
      <c r="JG1" s="224"/>
      <c r="JH1" s="224"/>
      <c r="JI1" s="224"/>
      <c r="JJ1" s="224"/>
      <c r="JK1" s="224"/>
      <c r="JL1" s="224"/>
      <c r="JM1" s="224"/>
      <c r="JN1" s="224"/>
      <c r="JO1" s="224"/>
      <c r="JP1" s="224"/>
      <c r="JQ1" s="224"/>
      <c r="JR1" s="224"/>
      <c r="JS1" s="224"/>
      <c r="JT1" s="224"/>
      <c r="JU1" s="224"/>
      <c r="JV1" s="224"/>
      <c r="JW1" s="224"/>
      <c r="JX1" s="224"/>
      <c r="JY1" s="224"/>
      <c r="JZ1" s="224"/>
      <c r="KA1" s="224"/>
      <c r="KB1" s="224"/>
      <c r="KC1" s="224"/>
      <c r="KD1" s="224"/>
      <c r="KE1" s="224"/>
      <c r="KF1" s="224"/>
      <c r="KG1" s="224"/>
      <c r="KH1" s="224"/>
      <c r="KI1" s="224"/>
      <c r="KJ1" s="224"/>
      <c r="KK1" s="224"/>
      <c r="KL1" s="224"/>
      <c r="KM1" s="224"/>
      <c r="KN1" s="224"/>
      <c r="KO1" s="224"/>
      <c r="KP1" s="224"/>
      <c r="KQ1" s="224"/>
      <c r="KR1" s="224"/>
      <c r="KS1" s="224"/>
      <c r="KT1" s="224"/>
      <c r="KU1" s="224"/>
      <c r="KV1" s="224"/>
      <c r="KW1" s="224"/>
      <c r="KX1" s="224"/>
      <c r="KY1" s="224"/>
      <c r="KZ1" s="224"/>
      <c r="LA1" s="224"/>
      <c r="LB1" s="224"/>
      <c r="LC1" s="224"/>
      <c r="LD1" s="224"/>
      <c r="LE1" s="224"/>
      <c r="LF1" s="224"/>
      <c r="LG1" s="224"/>
      <c r="LH1" s="224"/>
      <c r="LI1" s="224"/>
      <c r="LJ1" s="224"/>
      <c r="LK1" s="224"/>
      <c r="LL1" s="224"/>
      <c r="LM1" s="224"/>
      <c r="LN1" s="224"/>
      <c r="LO1" s="224"/>
      <c r="LP1" s="224"/>
      <c r="LQ1" s="224"/>
      <c r="LR1" s="224"/>
      <c r="LS1" s="224"/>
      <c r="LT1" s="224"/>
      <c r="LU1" s="224"/>
      <c r="LV1" s="224"/>
      <c r="LW1" s="224"/>
      <c r="LX1" s="224"/>
      <c r="LY1" s="224"/>
      <c r="LZ1" s="224"/>
      <c r="MA1" s="224"/>
      <c r="MB1" s="224"/>
      <c r="MC1" s="224"/>
      <c r="MD1" s="224"/>
      <c r="ME1" s="224"/>
      <c r="MF1" s="224"/>
      <c r="MG1" s="224"/>
      <c r="MH1" s="224"/>
      <c r="MI1" s="224"/>
      <c r="MJ1" s="224"/>
      <c r="MK1" s="224"/>
      <c r="ML1" s="224"/>
      <c r="MM1" s="224"/>
      <c r="MN1" s="224"/>
      <c r="MO1" s="224"/>
      <c r="MP1" s="224"/>
      <c r="MQ1" s="224"/>
      <c r="MR1" s="224"/>
      <c r="MS1" s="224"/>
      <c r="MT1" s="224"/>
      <c r="MU1" s="224"/>
      <c r="MV1" s="224"/>
      <c r="MW1" s="224"/>
      <c r="MX1" s="224"/>
      <c r="MY1" s="224"/>
      <c r="MZ1" s="224"/>
      <c r="NA1" s="224"/>
      <c r="NB1" s="224"/>
      <c r="NC1" s="224"/>
      <c r="ND1" s="224"/>
      <c r="NE1" s="224"/>
      <c r="NF1" s="224"/>
      <c r="NG1" s="224"/>
      <c r="NH1" s="224"/>
      <c r="NI1" s="224"/>
      <c r="NJ1" s="224"/>
      <c r="NK1" s="224"/>
      <c r="NL1" s="224"/>
      <c r="NM1" s="224"/>
      <c r="NN1" s="224"/>
      <c r="NO1" s="224"/>
      <c r="NP1" s="224"/>
      <c r="NQ1" s="224"/>
      <c r="NR1" s="224"/>
      <c r="NS1" s="224"/>
      <c r="NT1" s="224"/>
      <c r="NU1" s="224"/>
      <c r="NV1" s="224"/>
      <c r="NW1" s="224"/>
      <c r="NX1" s="224"/>
      <c r="NY1" s="224"/>
      <c r="NZ1" s="224"/>
      <c r="OA1" s="224"/>
      <c r="OB1" s="224"/>
      <c r="OC1" s="224"/>
      <c r="OD1" s="224"/>
      <c r="OE1" s="224"/>
      <c r="OF1" s="224"/>
      <c r="OG1" s="224"/>
      <c r="OH1" s="224"/>
      <c r="OI1" s="224"/>
      <c r="OJ1" s="224"/>
      <c r="OK1" s="224"/>
      <c r="OL1" s="224"/>
      <c r="OM1" s="224"/>
      <c r="ON1" s="224"/>
      <c r="OO1" s="224"/>
      <c r="OP1" s="224"/>
      <c r="OQ1" s="224"/>
      <c r="OR1" s="224"/>
      <c r="OS1" s="224"/>
      <c r="OT1" s="224"/>
      <c r="OU1" s="224"/>
      <c r="OV1" s="224"/>
      <c r="OW1" s="224"/>
      <c r="OX1" s="224"/>
      <c r="OY1" s="224"/>
      <c r="OZ1" s="224"/>
      <c r="PA1" s="224"/>
      <c r="PB1" s="224"/>
      <c r="PC1" s="224"/>
      <c r="PD1" s="224"/>
      <c r="PE1" s="224"/>
      <c r="PF1" s="224"/>
      <c r="PG1" s="224"/>
      <c r="PH1" s="224"/>
      <c r="PI1" s="224"/>
      <c r="PJ1" s="224"/>
      <c r="PK1" s="224"/>
      <c r="PL1" s="224"/>
      <c r="PM1" s="224"/>
      <c r="PN1" s="224"/>
      <c r="PO1" s="224"/>
      <c r="PP1" s="224"/>
      <c r="PQ1" s="224"/>
      <c r="PR1" s="224"/>
      <c r="PS1" s="224"/>
      <c r="PT1" s="224"/>
      <c r="PU1" s="224"/>
      <c r="PV1" s="224"/>
      <c r="PW1" s="224"/>
      <c r="PX1" s="224"/>
      <c r="PY1" s="224"/>
      <c r="PZ1" s="224"/>
      <c r="QA1" s="224"/>
      <c r="QB1" s="224"/>
      <c r="QC1" s="224"/>
      <c r="QD1" s="224"/>
      <c r="QE1" s="224"/>
      <c r="QF1" s="224"/>
      <c r="QG1" s="224"/>
      <c r="QH1" s="224"/>
      <c r="QI1" s="224"/>
      <c r="QJ1" s="224"/>
      <c r="QK1" s="224"/>
      <c r="QL1" s="224"/>
      <c r="QM1" s="224"/>
      <c r="QN1" s="224"/>
      <c r="QO1" s="224"/>
      <c r="QP1" s="224"/>
      <c r="QQ1" s="224"/>
      <c r="QR1" s="224"/>
      <c r="QS1" s="224"/>
      <c r="QT1" s="224"/>
      <c r="QU1" s="224"/>
      <c r="QV1" s="224"/>
      <c r="QW1" s="224"/>
      <c r="QX1" s="224"/>
      <c r="QY1" s="224"/>
      <c r="QZ1" s="224"/>
      <c r="RA1" s="224"/>
      <c r="RB1" s="224"/>
      <c r="RC1" s="224"/>
      <c r="RD1" s="224"/>
      <c r="RE1" s="224"/>
      <c r="RF1" s="224"/>
      <c r="RG1" s="224"/>
      <c r="RH1" s="224"/>
      <c r="RI1" s="224"/>
      <c r="RJ1" s="224"/>
      <c r="RK1" s="224"/>
      <c r="RL1" s="224"/>
      <c r="RM1" s="224"/>
      <c r="RN1" s="224"/>
      <c r="RO1" s="224"/>
      <c r="RP1" s="224"/>
      <c r="RQ1" s="224"/>
      <c r="RR1" s="224"/>
      <c r="RS1" s="224"/>
      <c r="RT1" s="224"/>
      <c r="RU1" s="224"/>
      <c r="RV1" s="224"/>
      <c r="RW1" s="224"/>
      <c r="RX1" s="224"/>
      <c r="RY1" s="224"/>
      <c r="RZ1" s="224"/>
      <c r="SA1" s="224"/>
      <c r="SB1" s="224"/>
      <c r="SC1" s="224"/>
      <c r="SD1" s="224"/>
      <c r="SE1" s="224"/>
      <c r="SF1" s="224"/>
      <c r="SG1" s="224"/>
      <c r="SH1" s="224"/>
      <c r="SI1" s="224"/>
      <c r="SJ1" s="224"/>
      <c r="SK1" s="224"/>
      <c r="SL1" s="224"/>
      <c r="SM1" s="224"/>
      <c r="SN1" s="224"/>
      <c r="SO1" s="224"/>
      <c r="SP1" s="224"/>
      <c r="SQ1" s="224"/>
      <c r="SR1" s="224"/>
      <c r="SS1" s="224"/>
      <c r="ST1" s="224"/>
      <c r="SU1" s="224"/>
      <c r="SV1" s="224"/>
      <c r="SW1" s="224"/>
      <c r="SX1" s="224"/>
      <c r="SY1" s="224"/>
      <c r="SZ1" s="224"/>
      <c r="TA1" s="224"/>
      <c r="TB1" s="224"/>
      <c r="TC1" s="224"/>
      <c r="TD1" s="224"/>
      <c r="TE1" s="224"/>
      <c r="TF1" s="224"/>
      <c r="TG1" s="224"/>
      <c r="TH1" s="224"/>
      <c r="TI1" s="224"/>
      <c r="TJ1" s="224"/>
      <c r="TK1" s="224"/>
      <c r="TL1" s="224"/>
      <c r="TM1" s="224"/>
      <c r="TN1" s="224"/>
      <c r="TO1" s="224"/>
      <c r="TP1" s="224"/>
      <c r="TQ1" s="224"/>
      <c r="TR1" s="224"/>
      <c r="TS1" s="224"/>
      <c r="TT1" s="224"/>
      <c r="TU1" s="224"/>
      <c r="TV1" s="224"/>
      <c r="TW1" s="224"/>
      <c r="TX1" s="224"/>
      <c r="TY1" s="224"/>
      <c r="TZ1" s="224"/>
      <c r="UA1" s="224"/>
      <c r="UB1" s="224"/>
      <c r="UC1" s="224"/>
      <c r="UD1" s="224"/>
      <c r="UE1" s="224"/>
      <c r="UF1" s="224"/>
      <c r="UG1" s="224"/>
      <c r="UH1" s="224"/>
      <c r="UI1" s="224"/>
      <c r="UJ1" s="224"/>
      <c r="UK1" s="224"/>
      <c r="UL1" s="224"/>
      <c r="UM1" s="224"/>
      <c r="UN1" s="224"/>
      <c r="UO1" s="224"/>
      <c r="UP1" s="224"/>
      <c r="UQ1" s="224"/>
      <c r="UR1" s="224"/>
      <c r="US1" s="224"/>
      <c r="UT1" s="224"/>
      <c r="UU1" s="224"/>
      <c r="UV1" s="224"/>
      <c r="UW1" s="224"/>
      <c r="UX1" s="224"/>
      <c r="UY1" s="224"/>
      <c r="UZ1" s="224"/>
      <c r="VA1" s="224"/>
      <c r="VB1" s="224"/>
      <c r="VC1" s="224"/>
      <c r="VD1" s="224"/>
      <c r="VE1" s="224"/>
      <c r="VF1" s="224"/>
      <c r="VG1" s="224"/>
      <c r="VH1" s="224"/>
      <c r="VI1" s="224"/>
      <c r="VJ1" s="224"/>
      <c r="VK1" s="224"/>
      <c r="VL1" s="224"/>
      <c r="VM1" s="224"/>
      <c r="VN1" s="224"/>
      <c r="VO1" s="224"/>
      <c r="VP1" s="224"/>
      <c r="VQ1" s="224"/>
      <c r="VR1" s="224"/>
      <c r="VS1" s="224"/>
      <c r="VT1" s="224"/>
      <c r="VU1" s="224"/>
      <c r="VV1" s="224"/>
      <c r="VW1" s="224"/>
      <c r="VX1" s="224"/>
      <c r="VY1" s="224"/>
      <c r="VZ1" s="224"/>
      <c r="WA1" s="224"/>
      <c r="WB1" s="224"/>
      <c r="WC1" s="224"/>
      <c r="WD1" s="224"/>
      <c r="WE1" s="224"/>
      <c r="WF1" s="224"/>
      <c r="WG1" s="224"/>
      <c r="WH1" s="224"/>
      <c r="WI1" s="224"/>
      <c r="WJ1" s="224"/>
      <c r="WK1" s="224"/>
      <c r="WL1" s="224"/>
      <c r="WM1" s="224"/>
      <c r="WN1" s="224"/>
      <c r="WO1" s="224"/>
      <c r="WP1" s="224"/>
      <c r="WQ1" s="224"/>
      <c r="WR1" s="224"/>
      <c r="WS1" s="224"/>
      <c r="WT1" s="224"/>
      <c r="WU1" s="224"/>
      <c r="WV1" s="224"/>
      <c r="WW1" s="224"/>
      <c r="WX1" s="224"/>
      <c r="WY1" s="224"/>
      <c r="WZ1" s="224"/>
      <c r="XA1" s="224"/>
      <c r="XB1" s="224"/>
      <c r="XC1" s="224"/>
      <c r="XD1" s="224"/>
      <c r="XE1" s="224"/>
      <c r="XF1" s="224"/>
      <c r="XG1" s="224"/>
      <c r="XH1" s="224"/>
      <c r="XI1" s="224"/>
      <c r="XJ1" s="224"/>
      <c r="XK1" s="224"/>
      <c r="XL1" s="224"/>
      <c r="XM1" s="224"/>
      <c r="XN1" s="224"/>
      <c r="XO1" s="224"/>
      <c r="XP1" s="224"/>
      <c r="XQ1" s="224"/>
      <c r="XR1" s="224"/>
      <c r="XS1" s="224"/>
      <c r="XT1" s="224"/>
      <c r="XU1" s="224"/>
      <c r="XV1" s="224"/>
      <c r="XW1" s="224"/>
      <c r="XX1" s="224"/>
      <c r="XY1" s="224"/>
      <c r="XZ1" s="224"/>
      <c r="YA1" s="224"/>
      <c r="YB1" s="224"/>
      <c r="YC1" s="224"/>
      <c r="YD1" s="224"/>
      <c r="YE1" s="224"/>
      <c r="YF1" s="224"/>
      <c r="YG1" s="224"/>
      <c r="YH1" s="224"/>
      <c r="YI1" s="224"/>
      <c r="YJ1" s="224"/>
      <c r="YK1" s="224"/>
      <c r="YL1" s="224"/>
      <c r="YM1" s="224"/>
      <c r="YN1" s="224"/>
      <c r="YO1" s="224"/>
      <c r="YP1" s="224"/>
      <c r="YQ1" s="224"/>
      <c r="YR1" s="224"/>
      <c r="YS1" s="224"/>
      <c r="YT1" s="224"/>
      <c r="YU1" s="224"/>
      <c r="YV1" s="224"/>
      <c r="YW1" s="224"/>
      <c r="YX1" s="224"/>
      <c r="YY1" s="224"/>
      <c r="YZ1" s="224"/>
      <c r="ZA1" s="224"/>
      <c r="ZB1" s="224"/>
      <c r="ZC1" s="224"/>
      <c r="ZD1" s="224"/>
      <c r="ZE1" s="224"/>
      <c r="ZF1" s="224"/>
      <c r="ZG1" s="224"/>
      <c r="ZH1" s="224"/>
      <c r="ZI1" s="224"/>
      <c r="ZJ1" s="224"/>
      <c r="ZK1" s="224"/>
      <c r="ZL1" s="224"/>
      <c r="ZM1" s="224"/>
      <c r="ZN1" s="224"/>
      <c r="ZO1" s="224"/>
      <c r="ZP1" s="224"/>
      <c r="ZQ1" s="224"/>
      <c r="ZR1" s="224"/>
      <c r="ZS1" s="224"/>
      <c r="ZT1" s="224"/>
      <c r="ZU1" s="224"/>
      <c r="ZV1" s="224"/>
      <c r="ZW1" s="224"/>
      <c r="ZX1" s="224"/>
      <c r="ZY1" s="224"/>
      <c r="ZZ1" s="224"/>
      <c r="AAA1" s="224"/>
      <c r="AAB1" s="224"/>
      <c r="AAC1" s="224"/>
      <c r="AAD1" s="224"/>
      <c r="AAE1" s="224"/>
      <c r="AAF1" s="224"/>
      <c r="AAG1" s="224"/>
      <c r="AAH1" s="224"/>
      <c r="AAI1" s="224"/>
      <c r="AAJ1" s="224"/>
      <c r="AAK1" s="224"/>
      <c r="AAL1" s="224"/>
      <c r="AAM1" s="224"/>
      <c r="AAN1" s="224"/>
      <c r="AAO1" s="224"/>
      <c r="AAP1" s="224"/>
      <c r="AAQ1" s="224"/>
      <c r="AAR1" s="224"/>
      <c r="AAS1" s="224"/>
      <c r="AAT1" s="224"/>
      <c r="AAU1" s="224"/>
      <c r="AAV1" s="224"/>
      <c r="AAW1" s="224"/>
      <c r="AAX1" s="224"/>
      <c r="AAY1" s="224"/>
      <c r="AAZ1" s="224"/>
      <c r="ABA1" s="224"/>
      <c r="ABB1" s="224"/>
      <c r="ABC1" s="224"/>
      <c r="ABD1" s="224"/>
      <c r="ABE1" s="224"/>
      <c r="ABF1" s="224"/>
      <c r="ABG1" s="224"/>
      <c r="ABH1" s="224"/>
      <c r="ABI1" s="224"/>
      <c r="ABJ1" s="224"/>
      <c r="ABK1" s="224"/>
      <c r="ABL1" s="224"/>
      <c r="ABM1" s="224"/>
      <c r="ABN1" s="224"/>
      <c r="ABO1" s="224"/>
      <c r="ABP1" s="224"/>
      <c r="ABQ1" s="224"/>
      <c r="ABR1" s="224"/>
      <c r="ABS1" s="224"/>
      <c r="ABT1" s="224"/>
      <c r="ABU1" s="224"/>
      <c r="ABV1" s="224"/>
      <c r="ABW1" s="224"/>
      <c r="ABX1" s="224"/>
      <c r="ABY1" s="224"/>
      <c r="ABZ1" s="224"/>
      <c r="ACA1" s="224"/>
      <c r="ACB1" s="224"/>
      <c r="ACC1" s="224"/>
      <c r="ACD1" s="224"/>
      <c r="ACE1" s="224"/>
      <c r="ACF1" s="224"/>
      <c r="ACG1" s="224"/>
      <c r="ACH1" s="224"/>
      <c r="ACI1" s="224"/>
      <c r="ACJ1" s="224"/>
      <c r="ACK1" s="224"/>
      <c r="ACL1" s="224"/>
      <c r="ACM1" s="224"/>
      <c r="ACN1" s="224"/>
      <c r="ACO1" s="224"/>
      <c r="ACP1" s="224"/>
      <c r="ACQ1" s="224"/>
      <c r="ACR1" s="224"/>
      <c r="ACS1" s="224"/>
      <c r="ACT1" s="224"/>
      <c r="ACU1" s="224"/>
      <c r="ACV1" s="224"/>
      <c r="ACW1" s="224"/>
      <c r="ACX1" s="224"/>
      <c r="ACY1" s="224"/>
      <c r="ACZ1" s="224"/>
      <c r="ADA1" s="224"/>
      <c r="ADB1" s="224"/>
      <c r="ADC1" s="224"/>
      <c r="ADD1" s="224"/>
      <c r="ADE1" s="224"/>
      <c r="ADF1" s="224"/>
      <c r="ADG1" s="224"/>
      <c r="ADH1" s="224"/>
      <c r="ADI1" s="224"/>
      <c r="ADJ1" s="224"/>
      <c r="ADK1" s="224"/>
      <c r="ADL1" s="224"/>
      <c r="ADM1" s="224"/>
      <c r="ADN1" s="224"/>
      <c r="ADO1" s="224"/>
      <c r="ADP1" s="224"/>
      <c r="ADQ1" s="224"/>
      <c r="ADR1" s="224"/>
      <c r="ADS1" s="224"/>
      <c r="ADT1" s="224"/>
      <c r="ADU1" s="224"/>
      <c r="ADV1" s="224"/>
      <c r="ADW1" s="224"/>
      <c r="ADX1" s="224"/>
      <c r="ADY1" s="224"/>
      <c r="ADZ1" s="224"/>
      <c r="AEA1" s="224"/>
      <c r="AEB1" s="224"/>
      <c r="AEC1" s="224"/>
      <c r="AED1" s="224"/>
      <c r="AEE1" s="224"/>
      <c r="AEF1" s="224"/>
      <c r="AEG1" s="224"/>
      <c r="AEH1" s="224"/>
      <c r="AEI1" s="224"/>
      <c r="AEJ1" s="224"/>
      <c r="AEK1" s="224"/>
      <c r="AEL1" s="224"/>
      <c r="AEM1" s="224"/>
      <c r="AEN1" s="224"/>
      <c r="AEO1" s="224"/>
      <c r="AEP1" s="224"/>
      <c r="AEQ1" s="224"/>
      <c r="AER1" s="224"/>
      <c r="AES1" s="224"/>
      <c r="AET1" s="224"/>
      <c r="AEU1" s="224"/>
      <c r="AEV1" s="224"/>
      <c r="AEW1" s="224"/>
      <c r="AEX1" s="224"/>
      <c r="AEY1" s="224"/>
      <c r="AEZ1" s="224"/>
      <c r="AFA1" s="224"/>
      <c r="AFB1" s="224"/>
      <c r="AFC1" s="224"/>
      <c r="AFD1" s="224"/>
      <c r="AFE1" s="224"/>
      <c r="AFF1" s="224"/>
      <c r="AFG1" s="224"/>
      <c r="AFH1" s="224"/>
      <c r="AFI1" s="224"/>
      <c r="AFJ1" s="224"/>
      <c r="AFK1" s="224"/>
      <c r="AFL1" s="224"/>
      <c r="AFM1" s="224"/>
      <c r="AFN1" s="224"/>
      <c r="AFO1" s="224"/>
      <c r="AFP1" s="224"/>
      <c r="AFQ1" s="224"/>
      <c r="AFR1" s="224"/>
      <c r="AFS1" s="224"/>
      <c r="AFT1" s="224"/>
      <c r="AFU1" s="224"/>
      <c r="AFV1" s="224"/>
      <c r="AFW1" s="224"/>
      <c r="AFX1" s="224"/>
      <c r="AFY1" s="224"/>
      <c r="AFZ1" s="224"/>
      <c r="AGA1" s="224"/>
      <c r="AGB1" s="224"/>
      <c r="AGC1" s="224"/>
      <c r="AGD1" s="224"/>
      <c r="AGE1" s="224"/>
      <c r="AGF1" s="224"/>
      <c r="AGG1" s="224"/>
      <c r="AGH1" s="224"/>
      <c r="AGI1" s="224"/>
      <c r="AGJ1" s="224"/>
      <c r="AGK1" s="224"/>
      <c r="AGL1" s="224"/>
      <c r="AGM1" s="224"/>
      <c r="AGN1" s="224"/>
      <c r="AGO1" s="224"/>
      <c r="AGP1" s="224"/>
      <c r="AGQ1" s="224"/>
      <c r="AGR1" s="224"/>
      <c r="AGS1" s="224"/>
      <c r="AGT1" s="224"/>
      <c r="AGU1" s="224"/>
      <c r="AGV1" s="224"/>
      <c r="AGW1" s="224"/>
      <c r="AGX1" s="224"/>
      <c r="AGY1" s="224"/>
      <c r="AGZ1" s="224"/>
      <c r="AHA1" s="224"/>
      <c r="AHB1" s="224"/>
      <c r="AHC1" s="224"/>
      <c r="AHD1" s="224"/>
      <c r="AHE1" s="224"/>
      <c r="AHF1" s="224"/>
      <c r="AHG1" s="224"/>
      <c r="AHH1" s="224"/>
      <c r="AHI1" s="224"/>
      <c r="AHJ1" s="224"/>
      <c r="AHK1" s="224"/>
      <c r="AHL1" s="224"/>
      <c r="AHM1" s="224"/>
      <c r="AHN1" s="224"/>
      <c r="AHO1" s="224"/>
      <c r="AHP1" s="224"/>
      <c r="AHQ1" s="224"/>
      <c r="AHR1" s="224"/>
      <c r="AHS1" s="224"/>
      <c r="AHT1" s="224"/>
      <c r="AHU1" s="224"/>
      <c r="AHV1" s="224"/>
      <c r="AHW1" s="224"/>
      <c r="AHX1" s="224"/>
      <c r="AHY1" s="224"/>
      <c r="AHZ1" s="224"/>
      <c r="AIA1" s="224"/>
      <c r="AIB1" s="224"/>
      <c r="AIC1" s="224"/>
      <c r="AID1" s="224"/>
      <c r="AIE1" s="224"/>
      <c r="AIF1" s="224"/>
      <c r="AIG1" s="224"/>
      <c r="AIH1" s="224"/>
      <c r="AII1" s="224"/>
      <c r="AIJ1" s="224"/>
      <c r="AIK1" s="224"/>
      <c r="AIL1" s="224"/>
      <c r="AIM1" s="224"/>
      <c r="AIN1" s="224"/>
      <c r="AIO1" s="224"/>
      <c r="AIP1" s="224"/>
      <c r="AIQ1" s="224"/>
      <c r="AIR1" s="224"/>
      <c r="AIS1" s="224"/>
      <c r="AIT1" s="224"/>
      <c r="AIU1" s="224"/>
      <c r="AIV1" s="224"/>
      <c r="AIW1" s="224"/>
      <c r="AIX1" s="224"/>
      <c r="AIY1" s="224"/>
      <c r="AIZ1" s="224"/>
      <c r="AJA1" s="224"/>
      <c r="AJB1" s="224"/>
      <c r="AJC1" s="224"/>
      <c r="AJD1" s="224"/>
      <c r="AJE1" s="224"/>
      <c r="AJF1" s="224"/>
      <c r="AJG1" s="224"/>
      <c r="AJH1" s="224"/>
      <c r="AJI1" s="224"/>
      <c r="AJJ1" s="224"/>
      <c r="AJK1" s="224"/>
      <c r="AJL1" s="224"/>
      <c r="AJM1" s="224"/>
      <c r="AJN1" s="224"/>
      <c r="AJO1" s="224"/>
      <c r="AJP1" s="224"/>
      <c r="AJQ1" s="224"/>
      <c r="AJR1" s="224"/>
      <c r="AJS1" s="224"/>
      <c r="AJT1" s="224"/>
      <c r="AJU1" s="224"/>
      <c r="AJV1" s="224"/>
      <c r="AJW1" s="224"/>
      <c r="AJX1" s="224"/>
      <c r="AJY1" s="224"/>
      <c r="AJZ1" s="224"/>
      <c r="AKA1" s="224"/>
      <c r="AKB1" s="224"/>
      <c r="AKC1" s="224"/>
      <c r="AKD1" s="224"/>
      <c r="AKE1" s="224"/>
      <c r="AKF1" s="224"/>
      <c r="AKG1" s="224"/>
      <c r="AKH1" s="224"/>
      <c r="AKI1" s="224"/>
      <c r="AKJ1" s="224"/>
      <c r="AKK1" s="224"/>
      <c r="AKL1" s="224"/>
      <c r="AKM1" s="224"/>
      <c r="AKN1" s="224"/>
      <c r="AKO1" s="224"/>
      <c r="AKP1" s="224"/>
      <c r="AKQ1" s="224"/>
      <c r="AKR1" s="224"/>
      <c r="AKS1" s="224"/>
      <c r="AKT1" s="224"/>
      <c r="AKU1" s="224"/>
      <c r="AKV1" s="224"/>
      <c r="AKW1" s="224"/>
      <c r="AKX1" s="224"/>
      <c r="AKY1" s="224"/>
      <c r="AKZ1" s="224"/>
      <c r="ALA1" s="224"/>
      <c r="ALB1" s="224"/>
      <c r="ALC1" s="224"/>
      <c r="ALD1" s="224"/>
      <c r="ALE1" s="224"/>
      <c r="ALF1" s="224"/>
      <c r="ALG1" s="224"/>
      <c r="ALH1" s="224"/>
      <c r="ALI1" s="224"/>
      <c r="ALJ1" s="224"/>
      <c r="ALK1" s="224"/>
      <c r="ALL1" s="224"/>
      <c r="ALM1" s="224"/>
      <c r="ALN1" s="224"/>
      <c r="ALO1" s="224"/>
      <c r="ALP1" s="224"/>
      <c r="ALQ1" s="224"/>
      <c r="ALR1" s="224"/>
      <c r="ALS1" s="224"/>
      <c r="ALT1" s="224"/>
      <c r="ALU1" s="224"/>
      <c r="ALV1" s="224"/>
      <c r="ALW1" s="224"/>
      <c r="ALX1" s="224"/>
      <c r="ALY1" s="224"/>
      <c r="ALZ1" s="224"/>
      <c r="AMA1" s="224"/>
      <c r="AMB1" s="224"/>
      <c r="AMC1" s="224"/>
      <c r="AMD1" s="224"/>
      <c r="AME1" s="224"/>
      <c r="AMF1" s="224"/>
      <c r="AMG1" s="224"/>
      <c r="AMH1" s="224"/>
      <c r="AMI1" s="224"/>
      <c r="AMJ1" s="224"/>
      <c r="AMK1" s="224"/>
      <c r="AML1" s="224"/>
      <c r="AMM1" s="224"/>
      <c r="AMN1" s="224"/>
      <c r="AMO1" s="224"/>
      <c r="AMP1" s="224"/>
      <c r="AMQ1" s="224"/>
      <c r="AMR1" s="224"/>
      <c r="AMS1" s="224"/>
      <c r="AMT1" s="224"/>
      <c r="AMU1" s="224"/>
      <c r="AMV1" s="224"/>
      <c r="AMW1" s="224"/>
      <c r="AMX1" s="224"/>
      <c r="AMY1" s="224"/>
      <c r="AMZ1" s="224"/>
      <c r="ANA1" s="224"/>
      <c r="ANB1" s="224"/>
      <c r="ANC1" s="224"/>
      <c r="AND1" s="224"/>
      <c r="ANE1" s="224"/>
      <c r="ANF1" s="224"/>
      <c r="ANG1" s="224"/>
      <c r="ANH1" s="224"/>
      <c r="ANI1" s="224"/>
      <c r="ANJ1" s="224"/>
      <c r="ANK1" s="224"/>
      <c r="ANL1" s="224"/>
      <c r="ANM1" s="224"/>
      <c r="ANN1" s="224"/>
      <c r="ANO1" s="224"/>
      <c r="ANP1" s="224"/>
      <c r="ANQ1" s="224"/>
      <c r="ANR1" s="224"/>
      <c r="ANS1" s="224"/>
      <c r="ANT1" s="224"/>
      <c r="ANU1" s="224"/>
      <c r="ANV1" s="224"/>
      <c r="ANW1" s="224"/>
      <c r="ANX1" s="224"/>
      <c r="ANY1" s="224"/>
      <c r="ANZ1" s="224"/>
      <c r="AOA1" s="224"/>
      <c r="AOB1" s="224"/>
      <c r="AOC1" s="224"/>
      <c r="AOD1" s="224"/>
      <c r="AOE1" s="224"/>
      <c r="AOF1" s="224"/>
      <c r="AOG1" s="224"/>
      <c r="AOH1" s="224"/>
      <c r="AOI1" s="224"/>
      <c r="AOJ1" s="224"/>
      <c r="AOK1" s="224"/>
      <c r="AOL1" s="224"/>
      <c r="AOM1" s="224"/>
      <c r="AON1" s="224"/>
      <c r="AOO1" s="224"/>
      <c r="AOP1" s="224"/>
      <c r="AOQ1" s="224"/>
      <c r="AOR1" s="224"/>
      <c r="AOS1" s="224"/>
      <c r="AOT1" s="224"/>
      <c r="AOU1" s="224"/>
      <c r="AOV1" s="224"/>
      <c r="AOW1" s="224"/>
      <c r="AOX1" s="224"/>
      <c r="AOY1" s="224"/>
      <c r="AOZ1" s="224"/>
      <c r="APA1" s="224"/>
      <c r="APB1" s="224"/>
      <c r="APC1" s="224"/>
      <c r="APD1" s="224"/>
      <c r="APE1" s="224"/>
      <c r="APF1" s="224"/>
      <c r="APG1" s="224"/>
      <c r="APH1" s="224"/>
      <c r="API1" s="224"/>
      <c r="APJ1" s="224"/>
      <c r="APK1" s="224"/>
      <c r="APL1" s="224"/>
      <c r="APM1" s="224"/>
      <c r="APN1" s="224"/>
      <c r="APO1" s="224"/>
      <c r="APP1" s="224"/>
      <c r="APQ1" s="224"/>
      <c r="APR1" s="224"/>
      <c r="APS1" s="224"/>
      <c r="APT1" s="224"/>
      <c r="APU1" s="224"/>
      <c r="APV1" s="224"/>
      <c r="APW1" s="224"/>
      <c r="APX1" s="224"/>
      <c r="APY1" s="224"/>
      <c r="APZ1" s="224"/>
      <c r="AQA1" s="224"/>
      <c r="AQB1" s="224"/>
      <c r="AQC1" s="224"/>
      <c r="AQD1" s="224"/>
      <c r="AQE1" s="224"/>
      <c r="AQF1" s="224"/>
      <c r="AQG1" s="224"/>
      <c r="AQH1" s="224"/>
      <c r="AQI1" s="224"/>
      <c r="AQJ1" s="224"/>
      <c r="AQK1" s="224"/>
      <c r="AQL1" s="224"/>
      <c r="AQM1" s="224"/>
      <c r="AQN1" s="224"/>
      <c r="AQO1" s="224"/>
      <c r="AQP1" s="224"/>
      <c r="AQQ1" s="224"/>
      <c r="AQR1" s="224"/>
      <c r="AQS1" s="224"/>
      <c r="AQT1" s="224"/>
      <c r="AQU1" s="224"/>
      <c r="AQV1" s="224"/>
      <c r="AQW1" s="224"/>
      <c r="AQX1" s="224"/>
      <c r="AQY1" s="224"/>
      <c r="AQZ1" s="224"/>
      <c r="ARA1" s="224"/>
      <c r="ARB1" s="224"/>
      <c r="ARC1" s="224"/>
      <c r="ARD1" s="224"/>
      <c r="ARE1" s="224"/>
      <c r="ARF1" s="224"/>
      <c r="ARG1" s="224"/>
      <c r="ARH1" s="224"/>
      <c r="ARI1" s="224"/>
      <c r="ARJ1" s="224"/>
      <c r="ARK1" s="224"/>
      <c r="ARL1" s="224"/>
      <c r="ARM1" s="224"/>
      <c r="ARN1" s="224"/>
      <c r="ARO1" s="224"/>
      <c r="ARP1" s="224"/>
      <c r="ARQ1" s="224"/>
      <c r="ARR1" s="224"/>
      <c r="ARS1" s="224"/>
      <c r="ART1" s="224"/>
      <c r="ARU1" s="224"/>
      <c r="ARV1" s="224"/>
      <c r="ARW1" s="224"/>
      <c r="ARX1" s="224"/>
      <c r="ARY1" s="224"/>
      <c r="ARZ1" s="224"/>
      <c r="ASA1" s="224"/>
      <c r="ASB1" s="224"/>
      <c r="ASC1" s="224"/>
      <c r="ASD1" s="224"/>
      <c r="ASE1" s="224"/>
      <c r="ASF1" s="224"/>
      <c r="ASG1" s="224"/>
      <c r="ASH1" s="224"/>
      <c r="ASI1" s="224"/>
      <c r="ASJ1" s="224"/>
      <c r="ASK1" s="224"/>
      <c r="ASL1" s="224"/>
      <c r="ASM1" s="224"/>
      <c r="ASN1" s="224"/>
      <c r="ASO1" s="224"/>
      <c r="ASP1" s="224"/>
      <c r="ASQ1" s="224"/>
      <c r="ASR1" s="224"/>
      <c r="ASS1" s="224"/>
      <c r="AST1" s="224"/>
      <c r="ASU1" s="224"/>
      <c r="ASV1" s="224"/>
      <c r="ASW1" s="224"/>
      <c r="ASX1" s="224"/>
      <c r="ASY1" s="224"/>
      <c r="ASZ1" s="224"/>
      <c r="ATA1" s="224"/>
      <c r="ATB1" s="224"/>
      <c r="ATC1" s="224"/>
      <c r="ATD1" s="224"/>
      <c r="ATE1" s="224"/>
      <c r="ATF1" s="224"/>
      <c r="ATG1" s="224"/>
      <c r="ATH1" s="224"/>
      <c r="ATI1" s="224"/>
      <c r="ATJ1" s="224"/>
      <c r="ATK1" s="224"/>
      <c r="ATL1" s="224"/>
      <c r="ATM1" s="224"/>
      <c r="ATN1" s="224"/>
      <c r="ATO1" s="224"/>
      <c r="ATP1" s="224"/>
      <c r="ATQ1" s="224"/>
      <c r="ATR1" s="224"/>
      <c r="ATS1" s="224"/>
      <c r="ATT1" s="224"/>
      <c r="ATU1" s="224"/>
      <c r="ATV1" s="224"/>
      <c r="ATW1" s="224"/>
      <c r="ATX1" s="224"/>
      <c r="ATY1" s="224"/>
      <c r="ATZ1" s="224"/>
      <c r="AUA1" s="224"/>
      <c r="AUB1" s="224"/>
      <c r="AUC1" s="224"/>
      <c r="AUD1" s="224"/>
      <c r="AUE1" s="224"/>
      <c r="AUF1" s="224"/>
      <c r="AUG1" s="224"/>
      <c r="AUH1" s="224"/>
      <c r="AUI1" s="224"/>
      <c r="AUJ1" s="224"/>
      <c r="AUK1" s="224"/>
      <c r="AUL1" s="224"/>
      <c r="AUM1" s="224"/>
      <c r="AUN1" s="224"/>
      <c r="AUO1" s="224"/>
      <c r="AUP1" s="224"/>
      <c r="AUQ1" s="224"/>
      <c r="AUR1" s="224"/>
      <c r="AUS1" s="224"/>
      <c r="AUT1" s="224"/>
      <c r="AUU1" s="224"/>
      <c r="AUV1" s="224"/>
      <c r="AUW1" s="224"/>
      <c r="AUX1" s="224"/>
      <c r="AUY1" s="224"/>
      <c r="AUZ1" s="224"/>
      <c r="AVA1" s="224"/>
      <c r="AVB1" s="224"/>
      <c r="AVC1" s="224"/>
      <c r="AVD1" s="224"/>
      <c r="AVE1" s="224"/>
      <c r="AVF1" s="224"/>
      <c r="AVG1" s="224"/>
      <c r="AVH1" s="224"/>
      <c r="AVI1" s="224"/>
      <c r="AVJ1" s="224"/>
      <c r="AVK1" s="224"/>
      <c r="AVL1" s="224"/>
      <c r="AVM1" s="224"/>
      <c r="AVN1" s="224"/>
      <c r="AVO1" s="224"/>
      <c r="AVP1" s="224"/>
      <c r="AVQ1" s="224"/>
      <c r="AVR1" s="224"/>
      <c r="AVS1" s="224"/>
      <c r="AVT1" s="224"/>
      <c r="AVU1" s="224"/>
      <c r="AVV1" s="224"/>
      <c r="AVW1" s="224"/>
      <c r="AVX1" s="224"/>
      <c r="AVY1" s="224"/>
      <c r="AVZ1" s="224"/>
      <c r="AWA1" s="224"/>
      <c r="AWB1" s="224"/>
      <c r="AWC1" s="224"/>
      <c r="AWD1" s="224"/>
      <c r="AWE1" s="224"/>
      <c r="AWF1" s="224"/>
      <c r="AWG1" s="224"/>
      <c r="AWH1" s="224"/>
      <c r="AWI1" s="224"/>
      <c r="AWJ1" s="224"/>
      <c r="AWK1" s="224"/>
      <c r="AWL1" s="224"/>
      <c r="AWM1" s="224"/>
      <c r="AWN1" s="224"/>
      <c r="AWO1" s="224"/>
      <c r="AWP1" s="224"/>
      <c r="AWQ1" s="224"/>
      <c r="AWR1" s="224"/>
      <c r="AWS1" s="224"/>
      <c r="AWT1" s="224"/>
      <c r="AWU1" s="224"/>
      <c r="AWV1" s="224"/>
      <c r="AWW1" s="224"/>
      <c r="AWX1" s="224"/>
      <c r="AWY1" s="224"/>
      <c r="AWZ1" s="224"/>
      <c r="AXA1" s="224"/>
      <c r="AXB1" s="224"/>
      <c r="AXC1" s="224"/>
      <c r="AXD1" s="224"/>
      <c r="AXE1" s="224"/>
      <c r="AXF1" s="224"/>
      <c r="AXG1" s="224"/>
      <c r="AXH1" s="224"/>
      <c r="AXI1" s="224"/>
      <c r="AXJ1" s="224"/>
      <c r="AXK1" s="224"/>
      <c r="AXL1" s="224"/>
      <c r="AXM1" s="224"/>
      <c r="AXN1" s="224"/>
      <c r="AXO1" s="224"/>
      <c r="AXP1" s="224"/>
      <c r="AXQ1" s="224"/>
      <c r="AXR1" s="224"/>
      <c r="AXS1" s="224"/>
      <c r="AXT1" s="224"/>
      <c r="AXU1" s="224"/>
      <c r="AXV1" s="224"/>
      <c r="AXW1" s="224"/>
      <c r="AXX1" s="224"/>
      <c r="AXY1" s="224"/>
      <c r="AXZ1" s="224"/>
      <c r="AYA1" s="224"/>
      <c r="AYB1" s="224"/>
      <c r="AYC1" s="224"/>
      <c r="AYD1" s="224"/>
      <c r="AYE1" s="224"/>
      <c r="AYF1" s="224"/>
      <c r="AYG1" s="224"/>
      <c r="AYH1" s="224"/>
      <c r="AYI1" s="224"/>
      <c r="AYJ1" s="224"/>
      <c r="AYK1" s="224"/>
      <c r="AYL1" s="224"/>
      <c r="AYM1" s="224"/>
      <c r="AYN1" s="224"/>
      <c r="AYO1" s="224"/>
      <c r="AYP1" s="224"/>
      <c r="AYQ1" s="224"/>
      <c r="AYR1" s="224"/>
      <c r="AYS1" s="224"/>
      <c r="AYT1" s="224"/>
      <c r="AYU1" s="224"/>
      <c r="AYV1" s="224"/>
      <c r="AYW1" s="224"/>
      <c r="AYX1" s="224"/>
      <c r="AYY1" s="224"/>
      <c r="AYZ1" s="224"/>
      <c r="AZA1" s="224"/>
      <c r="AZB1" s="224"/>
      <c r="AZC1" s="224"/>
      <c r="AZD1" s="224"/>
      <c r="AZE1" s="224"/>
      <c r="AZF1" s="224"/>
      <c r="AZG1" s="224"/>
      <c r="AZH1" s="224"/>
      <c r="AZI1" s="224"/>
      <c r="AZJ1" s="224"/>
      <c r="AZK1" s="224"/>
      <c r="AZL1" s="224"/>
      <c r="AZM1" s="224"/>
      <c r="AZN1" s="224"/>
      <c r="AZO1" s="224"/>
      <c r="AZP1" s="224"/>
      <c r="AZQ1" s="224"/>
      <c r="AZR1" s="224"/>
      <c r="AZS1" s="224"/>
      <c r="AZT1" s="224"/>
      <c r="AZU1" s="224"/>
      <c r="AZV1" s="224"/>
      <c r="AZW1" s="224"/>
      <c r="AZX1" s="224"/>
      <c r="AZY1" s="224"/>
      <c r="AZZ1" s="224"/>
      <c r="BAA1" s="224"/>
      <c r="BAB1" s="224"/>
      <c r="BAC1" s="224"/>
      <c r="BAD1" s="224"/>
      <c r="BAE1" s="224"/>
      <c r="BAF1" s="224"/>
      <c r="BAG1" s="224"/>
      <c r="BAH1" s="224"/>
      <c r="BAI1" s="224"/>
      <c r="BAJ1" s="224"/>
      <c r="BAK1" s="224"/>
      <c r="BAL1" s="224"/>
      <c r="BAM1" s="224"/>
      <c r="BAN1" s="224"/>
      <c r="BAO1" s="224"/>
      <c r="BAP1" s="224"/>
      <c r="BAQ1" s="224"/>
      <c r="BAR1" s="224"/>
      <c r="BAS1" s="224"/>
      <c r="BAT1" s="224"/>
      <c r="BAU1" s="224"/>
      <c r="BAV1" s="224"/>
      <c r="BAW1" s="224"/>
      <c r="BAX1" s="224"/>
      <c r="BAY1" s="224"/>
      <c r="BAZ1" s="224"/>
      <c r="BBA1" s="224"/>
      <c r="BBB1" s="224"/>
      <c r="BBC1" s="224"/>
      <c r="BBD1" s="224"/>
      <c r="BBE1" s="224"/>
      <c r="BBF1" s="224"/>
      <c r="BBG1" s="224"/>
      <c r="BBH1" s="224"/>
      <c r="BBI1" s="224"/>
      <c r="BBJ1" s="224"/>
      <c r="BBK1" s="224"/>
      <c r="BBL1" s="224"/>
      <c r="BBM1" s="224"/>
      <c r="BBN1" s="224"/>
      <c r="BBO1" s="224"/>
      <c r="BBP1" s="224"/>
      <c r="BBQ1" s="224"/>
      <c r="BBR1" s="224"/>
      <c r="BBS1" s="224"/>
      <c r="BBT1" s="224"/>
      <c r="BBU1" s="224"/>
      <c r="BBV1" s="224"/>
      <c r="BBW1" s="224"/>
      <c r="BBX1" s="224"/>
      <c r="BBY1" s="224"/>
      <c r="BBZ1" s="224"/>
      <c r="BCA1" s="224"/>
      <c r="BCB1" s="224"/>
      <c r="BCC1" s="224"/>
      <c r="BCD1" s="224"/>
      <c r="BCE1" s="224"/>
      <c r="BCF1" s="224"/>
      <c r="BCG1" s="224"/>
      <c r="BCH1" s="224"/>
      <c r="BCI1" s="224"/>
      <c r="BCJ1" s="224"/>
      <c r="BCK1" s="224"/>
      <c r="BCL1" s="224"/>
      <c r="BCM1" s="224"/>
      <c r="BCN1" s="224"/>
      <c r="BCO1" s="224"/>
      <c r="BCP1" s="224"/>
      <c r="BCQ1" s="224"/>
      <c r="BCR1" s="224"/>
      <c r="BCS1" s="224"/>
      <c r="BCT1" s="224"/>
      <c r="BCU1" s="224"/>
      <c r="BCV1" s="224"/>
      <c r="BCW1" s="224"/>
      <c r="BCX1" s="224"/>
      <c r="BCY1" s="224"/>
      <c r="BCZ1" s="224"/>
      <c r="BDA1" s="224"/>
      <c r="BDB1" s="224"/>
      <c r="BDC1" s="224"/>
      <c r="BDD1" s="224"/>
      <c r="BDE1" s="224"/>
      <c r="BDF1" s="224"/>
      <c r="BDG1" s="224"/>
      <c r="BDH1" s="224"/>
      <c r="BDI1" s="224"/>
      <c r="BDJ1" s="224"/>
      <c r="BDK1" s="224"/>
      <c r="BDL1" s="224"/>
      <c r="BDM1" s="224"/>
      <c r="BDN1" s="224"/>
      <c r="BDO1" s="224"/>
      <c r="BDP1" s="224"/>
      <c r="BDQ1" s="224"/>
      <c r="BDR1" s="224"/>
      <c r="BDS1" s="224"/>
      <c r="BDT1" s="224"/>
      <c r="BDU1" s="224"/>
      <c r="BDV1" s="224"/>
      <c r="BDW1" s="224"/>
      <c r="BDX1" s="224"/>
      <c r="BDY1" s="224"/>
      <c r="BDZ1" s="224"/>
      <c r="BEA1" s="224"/>
      <c r="BEB1" s="224"/>
      <c r="BEC1" s="224"/>
      <c r="BED1" s="224"/>
      <c r="BEE1" s="224"/>
      <c r="BEF1" s="224"/>
      <c r="BEG1" s="224"/>
      <c r="BEH1" s="224"/>
      <c r="BEI1" s="224"/>
      <c r="BEJ1" s="224"/>
      <c r="BEK1" s="224"/>
      <c r="BEL1" s="224"/>
      <c r="BEM1" s="224"/>
      <c r="BEN1" s="224"/>
      <c r="BEO1" s="224"/>
      <c r="BEP1" s="224"/>
      <c r="BEQ1" s="224"/>
      <c r="BER1" s="224"/>
      <c r="BES1" s="224"/>
      <c r="BET1" s="224"/>
      <c r="BEU1" s="224"/>
      <c r="BEV1" s="224"/>
      <c r="BEW1" s="224"/>
      <c r="BEX1" s="224"/>
      <c r="BEY1" s="224"/>
      <c r="BEZ1" s="224"/>
      <c r="BFA1" s="224"/>
      <c r="BFB1" s="224"/>
      <c r="BFC1" s="224"/>
      <c r="BFD1" s="224"/>
      <c r="BFE1" s="224"/>
      <c r="BFF1" s="224"/>
      <c r="BFG1" s="224"/>
      <c r="BFH1" s="224"/>
      <c r="BFI1" s="224"/>
      <c r="BFJ1" s="224"/>
      <c r="BFK1" s="224"/>
      <c r="BFL1" s="224"/>
      <c r="BFM1" s="224"/>
      <c r="BFN1" s="224"/>
      <c r="BFO1" s="224"/>
      <c r="BFP1" s="224"/>
      <c r="BFQ1" s="224"/>
      <c r="BFR1" s="224"/>
      <c r="BFS1" s="224"/>
      <c r="BFT1" s="224"/>
      <c r="BFU1" s="224"/>
      <c r="BFV1" s="224"/>
      <c r="BFW1" s="224"/>
      <c r="BFX1" s="224"/>
      <c r="BFY1" s="224"/>
      <c r="BFZ1" s="224"/>
      <c r="BGA1" s="224"/>
      <c r="BGB1" s="224"/>
      <c r="BGC1" s="224"/>
      <c r="BGD1" s="224"/>
      <c r="BGE1" s="224"/>
      <c r="BGF1" s="224"/>
      <c r="BGG1" s="224"/>
      <c r="BGH1" s="224"/>
      <c r="BGI1" s="224"/>
      <c r="BGJ1" s="224"/>
      <c r="BGK1" s="224"/>
      <c r="BGL1" s="224"/>
      <c r="BGM1" s="224"/>
      <c r="BGN1" s="224"/>
      <c r="BGO1" s="224"/>
      <c r="BGP1" s="224"/>
      <c r="BGQ1" s="224"/>
      <c r="BGR1" s="224"/>
      <c r="BGS1" s="224"/>
      <c r="BGT1" s="224"/>
      <c r="BGU1" s="224"/>
      <c r="BGV1" s="224"/>
      <c r="BGW1" s="224"/>
      <c r="BGX1" s="224"/>
      <c r="BGY1" s="224"/>
      <c r="BGZ1" s="224"/>
      <c r="BHA1" s="224"/>
      <c r="BHB1" s="224"/>
      <c r="BHC1" s="224"/>
      <c r="BHD1" s="224"/>
      <c r="BHE1" s="224"/>
      <c r="BHF1" s="224"/>
      <c r="BHG1" s="224"/>
      <c r="BHH1" s="224"/>
      <c r="BHI1" s="224"/>
      <c r="BHJ1" s="224"/>
      <c r="BHK1" s="224"/>
      <c r="BHL1" s="224"/>
      <c r="BHM1" s="224"/>
      <c r="BHN1" s="224"/>
      <c r="BHO1" s="224"/>
      <c r="BHP1" s="224"/>
      <c r="BHQ1" s="224"/>
      <c r="BHR1" s="224"/>
      <c r="BHS1" s="224"/>
      <c r="BHT1" s="224"/>
      <c r="BHU1" s="224"/>
      <c r="BHV1" s="224"/>
      <c r="BHW1" s="224"/>
      <c r="BHX1" s="224"/>
      <c r="BHY1" s="224"/>
      <c r="BHZ1" s="224"/>
      <c r="BIA1" s="224"/>
      <c r="BIB1" s="224"/>
      <c r="BIC1" s="224"/>
      <c r="BID1" s="224"/>
      <c r="BIE1" s="224"/>
      <c r="BIF1" s="224"/>
      <c r="BIG1" s="224"/>
      <c r="BIH1" s="224"/>
      <c r="BII1" s="224"/>
      <c r="BIJ1" s="224"/>
      <c r="BIK1" s="224"/>
      <c r="BIL1" s="224"/>
      <c r="BIM1" s="224"/>
      <c r="BIN1" s="224"/>
      <c r="BIO1" s="224"/>
      <c r="BIP1" s="224"/>
      <c r="BIQ1" s="224"/>
      <c r="BIR1" s="224"/>
      <c r="BIS1" s="224"/>
      <c r="BIT1" s="224"/>
      <c r="BIU1" s="224"/>
      <c r="BIV1" s="224"/>
      <c r="BIW1" s="224"/>
      <c r="BIX1" s="224"/>
      <c r="BIY1" s="224"/>
      <c r="BIZ1" s="224"/>
      <c r="BJA1" s="224"/>
      <c r="BJB1" s="224"/>
      <c r="BJC1" s="224"/>
      <c r="BJD1" s="224"/>
      <c r="BJE1" s="224"/>
      <c r="BJF1" s="224"/>
      <c r="BJG1" s="224"/>
      <c r="BJH1" s="224"/>
      <c r="BJI1" s="224"/>
      <c r="BJJ1" s="224"/>
      <c r="BJK1" s="224"/>
      <c r="BJL1" s="224"/>
      <c r="BJM1" s="224"/>
      <c r="BJN1" s="224"/>
      <c r="BJO1" s="224"/>
      <c r="BJP1" s="224"/>
      <c r="BJQ1" s="224"/>
      <c r="BJR1" s="224"/>
      <c r="BJS1" s="224"/>
      <c r="BJT1" s="224"/>
      <c r="BJU1" s="224"/>
      <c r="BJV1" s="224"/>
      <c r="BJW1" s="224"/>
      <c r="BJX1" s="224"/>
      <c r="BJY1" s="224"/>
      <c r="BJZ1" s="224"/>
      <c r="BKA1" s="224"/>
      <c r="BKB1" s="224"/>
      <c r="BKC1" s="224"/>
      <c r="BKD1" s="224"/>
      <c r="BKE1" s="224"/>
      <c r="BKF1" s="224"/>
      <c r="BKG1" s="224"/>
      <c r="BKH1" s="224"/>
      <c r="BKI1" s="224"/>
      <c r="BKJ1" s="224"/>
      <c r="BKK1" s="224"/>
      <c r="BKL1" s="224"/>
      <c r="BKM1" s="224"/>
      <c r="BKN1" s="224"/>
      <c r="BKO1" s="224"/>
      <c r="BKP1" s="224"/>
      <c r="BKQ1" s="224"/>
      <c r="BKR1" s="224"/>
      <c r="BKS1" s="224"/>
      <c r="BKT1" s="224"/>
      <c r="BKU1" s="224"/>
      <c r="BKV1" s="224"/>
      <c r="BKW1" s="224"/>
      <c r="BKX1" s="224"/>
      <c r="BKY1" s="224"/>
      <c r="BKZ1" s="224"/>
      <c r="BLA1" s="224"/>
      <c r="BLB1" s="224"/>
      <c r="BLC1" s="224"/>
      <c r="BLD1" s="224"/>
      <c r="BLE1" s="224"/>
      <c r="BLF1" s="224"/>
      <c r="BLG1" s="224"/>
      <c r="BLH1" s="224"/>
      <c r="BLI1" s="224"/>
      <c r="BLJ1" s="224"/>
      <c r="BLK1" s="224"/>
      <c r="BLL1" s="224"/>
      <c r="BLM1" s="224"/>
      <c r="BLN1" s="224"/>
      <c r="BLO1" s="224"/>
      <c r="BLP1" s="224"/>
      <c r="BLQ1" s="224"/>
      <c r="BLR1" s="224"/>
      <c r="BLS1" s="224"/>
      <c r="BLT1" s="224"/>
      <c r="BLU1" s="224"/>
      <c r="BLV1" s="224"/>
      <c r="BLW1" s="224"/>
      <c r="BLX1" s="224"/>
      <c r="BLY1" s="224"/>
      <c r="BLZ1" s="224"/>
      <c r="BMA1" s="224"/>
      <c r="BMB1" s="224"/>
      <c r="BMC1" s="224"/>
      <c r="BMD1" s="224"/>
      <c r="BME1" s="224"/>
      <c r="BMF1" s="224"/>
      <c r="BMG1" s="224"/>
      <c r="BMH1" s="224"/>
      <c r="BMI1" s="224"/>
      <c r="BMJ1" s="224"/>
      <c r="BMK1" s="224"/>
      <c r="BML1" s="224"/>
      <c r="BMM1" s="224"/>
      <c r="BMN1" s="224"/>
      <c r="BMO1" s="224"/>
      <c r="BMP1" s="224"/>
      <c r="BMQ1" s="224"/>
      <c r="BMR1" s="224"/>
      <c r="BMS1" s="224"/>
      <c r="BMT1" s="224"/>
      <c r="BMU1" s="224"/>
      <c r="BMV1" s="224"/>
      <c r="BMW1" s="224"/>
      <c r="BMX1" s="224"/>
      <c r="BMY1" s="224"/>
      <c r="BMZ1" s="224"/>
      <c r="BNA1" s="224"/>
      <c r="BNB1" s="224"/>
      <c r="BNC1" s="224"/>
      <c r="BND1" s="224"/>
      <c r="BNE1" s="224"/>
      <c r="BNF1" s="224"/>
      <c r="BNG1" s="224"/>
      <c r="BNH1" s="224"/>
      <c r="BNI1" s="224"/>
      <c r="BNJ1" s="224"/>
      <c r="BNK1" s="224"/>
      <c r="BNL1" s="224"/>
      <c r="BNM1" s="224"/>
      <c r="BNN1" s="224"/>
      <c r="BNO1" s="224"/>
      <c r="BNP1" s="224"/>
      <c r="BNQ1" s="224"/>
      <c r="BNR1" s="224"/>
      <c r="BNS1" s="224"/>
      <c r="BNT1" s="224"/>
      <c r="BNU1" s="224"/>
      <c r="BNV1" s="224"/>
      <c r="BNW1" s="224"/>
      <c r="BNX1" s="224"/>
      <c r="BNY1" s="224"/>
      <c r="BNZ1" s="224"/>
      <c r="BOA1" s="224"/>
      <c r="BOB1" s="224"/>
      <c r="BOC1" s="224"/>
      <c r="BOD1" s="224"/>
      <c r="BOE1" s="224"/>
      <c r="BOF1" s="224"/>
      <c r="BOG1" s="224"/>
      <c r="BOH1" s="224"/>
      <c r="BOI1" s="224"/>
      <c r="BOJ1" s="224"/>
      <c r="BOK1" s="224"/>
      <c r="BOL1" s="224"/>
      <c r="BOM1" s="224"/>
      <c r="BON1" s="224"/>
      <c r="BOO1" s="224"/>
      <c r="BOP1" s="224"/>
      <c r="BOQ1" s="224"/>
      <c r="BOR1" s="224"/>
      <c r="BOS1" s="224"/>
      <c r="BOT1" s="224"/>
      <c r="BOU1" s="224"/>
      <c r="BOV1" s="224"/>
      <c r="BOW1" s="224"/>
      <c r="BOX1" s="224"/>
      <c r="BOY1" s="224"/>
      <c r="BOZ1" s="224"/>
      <c r="BPA1" s="224"/>
      <c r="BPB1" s="224"/>
      <c r="BPC1" s="224"/>
      <c r="BPD1" s="224"/>
      <c r="BPE1" s="224"/>
      <c r="BPF1" s="224"/>
      <c r="BPG1" s="224"/>
      <c r="BPH1" s="224"/>
      <c r="BPI1" s="224"/>
      <c r="BPJ1" s="224"/>
      <c r="BPK1" s="224"/>
      <c r="BPL1" s="224"/>
      <c r="BPM1" s="224"/>
      <c r="BPN1" s="224"/>
      <c r="BPO1" s="224"/>
      <c r="BPP1" s="224"/>
      <c r="BPQ1" s="224"/>
      <c r="BPR1" s="224"/>
      <c r="BPS1" s="224"/>
      <c r="BPT1" s="224"/>
      <c r="BPU1" s="224"/>
      <c r="BPV1" s="224"/>
      <c r="BPW1" s="224"/>
      <c r="BPX1" s="224"/>
      <c r="BPY1" s="224"/>
      <c r="BPZ1" s="224"/>
      <c r="BQA1" s="224"/>
      <c r="BQB1" s="224"/>
      <c r="BQC1" s="224"/>
      <c r="BQD1" s="224"/>
      <c r="BQE1" s="224"/>
      <c r="BQF1" s="224"/>
      <c r="BQG1" s="224"/>
      <c r="BQH1" s="224"/>
      <c r="BQI1" s="224"/>
      <c r="BQJ1" s="224"/>
      <c r="BQK1" s="224"/>
      <c r="BQL1" s="224"/>
      <c r="BQM1" s="224"/>
      <c r="BQN1" s="224"/>
      <c r="BQO1" s="224"/>
      <c r="BQP1" s="224"/>
      <c r="BQQ1" s="224"/>
      <c r="BQR1" s="224"/>
      <c r="BQS1" s="224"/>
      <c r="BQT1" s="224"/>
      <c r="BQU1" s="224"/>
      <c r="BQV1" s="224"/>
      <c r="BQW1" s="224"/>
      <c r="BQX1" s="224"/>
      <c r="BQY1" s="224"/>
      <c r="BQZ1" s="224"/>
      <c r="BRA1" s="224"/>
      <c r="BRB1" s="224"/>
      <c r="BRC1" s="224"/>
      <c r="BRD1" s="224"/>
      <c r="BRE1" s="224"/>
      <c r="BRF1" s="224"/>
      <c r="BRG1" s="224"/>
      <c r="BRH1" s="224"/>
      <c r="BRI1" s="224"/>
      <c r="BRJ1" s="224"/>
      <c r="BRK1" s="224"/>
      <c r="BRL1" s="224"/>
      <c r="BRM1" s="224"/>
      <c r="BRN1" s="224"/>
      <c r="BRO1" s="224"/>
      <c r="BRP1" s="224"/>
      <c r="BRQ1" s="224"/>
      <c r="BRR1" s="224"/>
      <c r="BRS1" s="224"/>
      <c r="BRT1" s="224"/>
      <c r="BRU1" s="224"/>
      <c r="BRV1" s="224"/>
      <c r="BRW1" s="224"/>
      <c r="BRX1" s="224"/>
      <c r="BRY1" s="224"/>
      <c r="BRZ1" s="224"/>
      <c r="BSA1" s="224"/>
      <c r="BSB1" s="224"/>
      <c r="BSC1" s="224"/>
      <c r="BSD1" s="224"/>
      <c r="BSE1" s="224"/>
      <c r="BSF1" s="224"/>
      <c r="BSG1" s="224"/>
      <c r="BSH1" s="224"/>
      <c r="BSI1" s="224"/>
      <c r="BSJ1" s="224"/>
      <c r="BSK1" s="224"/>
      <c r="BSL1" s="224"/>
      <c r="BSM1" s="224"/>
      <c r="BSN1" s="224"/>
      <c r="BSO1" s="224"/>
      <c r="BSP1" s="224"/>
      <c r="BSQ1" s="224"/>
      <c r="BSR1" s="224"/>
      <c r="BSS1" s="224"/>
      <c r="BST1" s="224"/>
      <c r="BSU1" s="224"/>
      <c r="BSV1" s="224"/>
      <c r="BSW1" s="224"/>
      <c r="BSX1" s="224"/>
      <c r="BSY1" s="224"/>
      <c r="BSZ1" s="224"/>
      <c r="BTA1" s="224"/>
      <c r="BTB1" s="224"/>
      <c r="BTC1" s="224"/>
      <c r="BTD1" s="224"/>
      <c r="BTE1" s="224"/>
      <c r="BTF1" s="224"/>
      <c r="BTG1" s="224"/>
      <c r="BTH1" s="224"/>
      <c r="BTI1" s="224"/>
      <c r="BTJ1" s="224"/>
      <c r="BTK1" s="224"/>
      <c r="BTL1" s="224"/>
      <c r="BTM1" s="224"/>
      <c r="BTN1" s="224"/>
      <c r="BTO1" s="224"/>
      <c r="BTP1" s="224"/>
      <c r="BTQ1" s="224"/>
      <c r="BTR1" s="224"/>
      <c r="BTS1" s="224"/>
      <c r="BTT1" s="224"/>
      <c r="BTU1" s="224"/>
      <c r="BTV1" s="224"/>
      <c r="BTW1" s="224"/>
      <c r="BTX1" s="224"/>
      <c r="BTY1" s="224"/>
      <c r="BTZ1" s="224"/>
      <c r="BUA1" s="224"/>
      <c r="BUB1" s="224"/>
      <c r="BUC1" s="224"/>
      <c r="BUD1" s="224"/>
      <c r="BUE1" s="224"/>
      <c r="BUF1" s="224"/>
      <c r="BUG1" s="224"/>
      <c r="BUH1" s="224"/>
      <c r="BUI1" s="224"/>
      <c r="BUJ1" s="224"/>
      <c r="BUK1" s="224"/>
      <c r="BUL1" s="224"/>
      <c r="BUM1" s="224"/>
      <c r="BUN1" s="224"/>
      <c r="BUO1" s="224"/>
      <c r="BUP1" s="224"/>
      <c r="BUQ1" s="224"/>
      <c r="BUR1" s="224"/>
      <c r="BUS1" s="224"/>
      <c r="BUT1" s="224"/>
      <c r="BUU1" s="224"/>
      <c r="BUV1" s="224"/>
      <c r="BUW1" s="224"/>
      <c r="BUX1" s="224"/>
      <c r="BUY1" s="224"/>
      <c r="BUZ1" s="224"/>
      <c r="BVA1" s="224"/>
      <c r="BVB1" s="224"/>
      <c r="BVC1" s="224"/>
      <c r="BVD1" s="224"/>
      <c r="BVE1" s="224"/>
      <c r="BVF1" s="224"/>
      <c r="BVG1" s="224"/>
      <c r="BVH1" s="224"/>
      <c r="BVI1" s="224"/>
      <c r="BVJ1" s="224"/>
      <c r="BVK1" s="224"/>
      <c r="BVL1" s="224"/>
      <c r="BVM1" s="224"/>
      <c r="BVN1" s="224"/>
      <c r="BVO1" s="224"/>
      <c r="BVP1" s="224"/>
      <c r="BVQ1" s="224"/>
      <c r="BVR1" s="224"/>
      <c r="BVS1" s="224"/>
      <c r="BVT1" s="224"/>
      <c r="BVU1" s="224"/>
      <c r="BVV1" s="224"/>
      <c r="BVW1" s="224"/>
      <c r="BVX1" s="224"/>
      <c r="BVY1" s="224"/>
      <c r="BVZ1" s="224"/>
      <c r="BWA1" s="224"/>
      <c r="BWB1" s="224"/>
      <c r="BWC1" s="224"/>
      <c r="BWD1" s="224"/>
      <c r="BWE1" s="224"/>
      <c r="BWF1" s="224"/>
      <c r="BWG1" s="224"/>
      <c r="BWH1" s="224"/>
      <c r="BWI1" s="224"/>
      <c r="BWJ1" s="224"/>
      <c r="BWK1" s="224"/>
      <c r="BWL1" s="224"/>
      <c r="BWM1" s="224"/>
      <c r="BWN1" s="224"/>
      <c r="BWO1" s="224"/>
      <c r="BWP1" s="224"/>
      <c r="BWQ1" s="224"/>
      <c r="BWR1" s="224"/>
      <c r="BWS1" s="224"/>
      <c r="BWT1" s="224"/>
      <c r="BWU1" s="224"/>
      <c r="BWV1" s="224"/>
      <c r="BWW1" s="224"/>
      <c r="BWX1" s="224"/>
      <c r="BWY1" s="224"/>
      <c r="BWZ1" s="224"/>
      <c r="BXA1" s="224"/>
      <c r="BXB1" s="224"/>
      <c r="BXC1" s="224"/>
      <c r="BXD1" s="224"/>
      <c r="BXE1" s="224"/>
      <c r="BXF1" s="224"/>
      <c r="BXG1" s="224"/>
      <c r="BXH1" s="224"/>
      <c r="BXI1" s="224"/>
      <c r="BXJ1" s="224"/>
      <c r="BXK1" s="224"/>
      <c r="BXL1" s="224"/>
      <c r="BXM1" s="224"/>
      <c r="BXN1" s="224"/>
      <c r="BXO1" s="224"/>
      <c r="BXP1" s="224"/>
      <c r="BXQ1" s="224"/>
      <c r="BXR1" s="224"/>
      <c r="BXS1" s="224"/>
      <c r="BXT1" s="224"/>
      <c r="BXU1" s="224"/>
      <c r="BXV1" s="224"/>
      <c r="BXW1" s="224"/>
      <c r="BXX1" s="224"/>
      <c r="BXY1" s="224"/>
      <c r="BXZ1" s="224"/>
      <c r="BYA1" s="224"/>
      <c r="BYB1" s="224"/>
      <c r="BYC1" s="224"/>
      <c r="BYD1" s="224"/>
      <c r="BYE1" s="224"/>
      <c r="BYF1" s="224"/>
      <c r="BYG1" s="224"/>
      <c r="BYH1" s="224"/>
      <c r="BYI1" s="224"/>
      <c r="BYJ1" s="224"/>
      <c r="BYK1" s="224"/>
      <c r="BYL1" s="224"/>
      <c r="BYM1" s="224"/>
      <c r="BYN1" s="224"/>
      <c r="BYO1" s="224"/>
      <c r="BYP1" s="224"/>
      <c r="BYQ1" s="224"/>
      <c r="BYR1" s="224"/>
      <c r="BYS1" s="224"/>
      <c r="BYT1" s="224"/>
      <c r="BYU1" s="224"/>
      <c r="BYV1" s="224"/>
      <c r="BYW1" s="224"/>
      <c r="BYX1" s="224"/>
      <c r="BYY1" s="224"/>
      <c r="BYZ1" s="224"/>
      <c r="BZA1" s="224"/>
      <c r="BZB1" s="224"/>
      <c r="BZC1" s="224"/>
      <c r="BZD1" s="224"/>
      <c r="BZE1" s="224"/>
      <c r="BZF1" s="224"/>
      <c r="BZG1" s="224"/>
      <c r="BZH1" s="224"/>
      <c r="BZI1" s="224"/>
      <c r="BZJ1" s="224"/>
      <c r="BZK1" s="224"/>
      <c r="BZL1" s="224"/>
      <c r="BZM1" s="224"/>
      <c r="BZN1" s="224"/>
      <c r="BZO1" s="224"/>
      <c r="BZP1" s="224"/>
      <c r="BZQ1" s="224"/>
      <c r="BZR1" s="224"/>
      <c r="BZS1" s="224"/>
      <c r="BZT1" s="224"/>
      <c r="BZU1" s="224"/>
      <c r="BZV1" s="224"/>
      <c r="BZW1" s="224"/>
      <c r="BZX1" s="224"/>
      <c r="BZY1" s="224"/>
      <c r="BZZ1" s="224"/>
      <c r="CAA1" s="224"/>
      <c r="CAB1" s="224"/>
      <c r="CAC1" s="224"/>
      <c r="CAD1" s="224"/>
      <c r="CAE1" s="224"/>
      <c r="CAF1" s="224"/>
      <c r="CAG1" s="224"/>
      <c r="CAH1" s="224"/>
      <c r="CAI1" s="224"/>
      <c r="CAJ1" s="224"/>
      <c r="CAK1" s="224"/>
      <c r="CAL1" s="224"/>
      <c r="CAM1" s="224"/>
      <c r="CAN1" s="224"/>
      <c r="CAO1" s="224"/>
      <c r="CAP1" s="224"/>
      <c r="CAQ1" s="224"/>
      <c r="CAR1" s="224"/>
      <c r="CAS1" s="224"/>
      <c r="CAT1" s="224"/>
      <c r="CAU1" s="224"/>
      <c r="CAV1" s="224"/>
      <c r="CAW1" s="224"/>
      <c r="CAX1" s="224"/>
      <c r="CAY1" s="224"/>
      <c r="CAZ1" s="224"/>
      <c r="CBA1" s="224"/>
      <c r="CBB1" s="224"/>
      <c r="CBC1" s="224"/>
      <c r="CBD1" s="224"/>
      <c r="CBE1" s="224"/>
      <c r="CBF1" s="224"/>
      <c r="CBG1" s="224"/>
      <c r="CBH1" s="224"/>
      <c r="CBI1" s="224"/>
      <c r="CBJ1" s="224"/>
      <c r="CBK1" s="224"/>
      <c r="CBL1" s="224"/>
      <c r="CBM1" s="224"/>
      <c r="CBN1" s="224"/>
      <c r="CBO1" s="224"/>
      <c r="CBP1" s="224"/>
      <c r="CBQ1" s="224"/>
      <c r="CBR1" s="224"/>
      <c r="CBS1" s="224"/>
      <c r="CBT1" s="224"/>
      <c r="CBU1" s="224"/>
      <c r="CBV1" s="224"/>
      <c r="CBW1" s="224"/>
      <c r="CBX1" s="224"/>
      <c r="CBY1" s="224"/>
      <c r="CBZ1" s="224"/>
      <c r="CCA1" s="224"/>
      <c r="CCB1" s="224"/>
      <c r="CCC1" s="224"/>
      <c r="CCD1" s="224"/>
      <c r="CCE1" s="224"/>
      <c r="CCF1" s="224"/>
      <c r="CCG1" s="224"/>
      <c r="CCH1" s="224"/>
      <c r="CCI1" s="224"/>
      <c r="CCJ1" s="224"/>
      <c r="CCK1" s="224"/>
      <c r="CCL1" s="224"/>
      <c r="CCM1" s="224"/>
      <c r="CCN1" s="224"/>
      <c r="CCO1" s="224"/>
      <c r="CCP1" s="224"/>
      <c r="CCQ1" s="224"/>
      <c r="CCR1" s="224"/>
      <c r="CCS1" s="224"/>
      <c r="CCT1" s="224"/>
      <c r="CCU1" s="224"/>
      <c r="CCV1" s="224"/>
      <c r="CCW1" s="224"/>
      <c r="CCX1" s="224"/>
      <c r="CCY1" s="224"/>
      <c r="CCZ1" s="224"/>
      <c r="CDA1" s="224"/>
      <c r="CDB1" s="224"/>
      <c r="CDC1" s="224"/>
      <c r="CDD1" s="224"/>
      <c r="CDE1" s="224"/>
      <c r="CDF1" s="224"/>
      <c r="CDG1" s="224"/>
      <c r="CDH1" s="224"/>
      <c r="CDI1" s="224"/>
      <c r="CDJ1" s="224"/>
      <c r="CDK1" s="224"/>
      <c r="CDL1" s="224"/>
      <c r="CDM1" s="224"/>
      <c r="CDN1" s="224"/>
      <c r="CDO1" s="224"/>
      <c r="CDP1" s="224"/>
      <c r="CDQ1" s="224"/>
      <c r="CDR1" s="224"/>
      <c r="CDS1" s="224"/>
      <c r="CDT1" s="224"/>
      <c r="CDU1" s="224"/>
      <c r="CDV1" s="224"/>
      <c r="CDW1" s="224"/>
      <c r="CDX1" s="224"/>
      <c r="CDY1" s="224"/>
      <c r="CDZ1" s="224"/>
      <c r="CEA1" s="224"/>
      <c r="CEB1" s="224"/>
      <c r="CEC1" s="224"/>
      <c r="CED1" s="224"/>
      <c r="CEE1" s="224"/>
      <c r="CEF1" s="224"/>
      <c r="CEG1" s="224"/>
      <c r="CEH1" s="224"/>
      <c r="CEI1" s="224"/>
      <c r="CEJ1" s="224"/>
      <c r="CEK1" s="224"/>
      <c r="CEL1" s="224"/>
      <c r="CEM1" s="224"/>
      <c r="CEN1" s="224"/>
      <c r="CEO1" s="224"/>
      <c r="CEP1" s="224"/>
      <c r="CEQ1" s="224"/>
      <c r="CER1" s="224"/>
      <c r="CES1" s="224"/>
      <c r="CET1" s="224"/>
      <c r="CEU1" s="224"/>
      <c r="CEV1" s="224"/>
      <c r="CEW1" s="224"/>
      <c r="CEX1" s="224"/>
      <c r="CEY1" s="224"/>
      <c r="CEZ1" s="224"/>
      <c r="CFA1" s="224"/>
      <c r="CFB1" s="224"/>
      <c r="CFC1" s="224"/>
      <c r="CFD1" s="224"/>
      <c r="CFE1" s="224"/>
      <c r="CFF1" s="224"/>
      <c r="CFG1" s="224"/>
      <c r="CFH1" s="224"/>
      <c r="CFI1" s="224"/>
      <c r="CFJ1" s="224"/>
      <c r="CFK1" s="224"/>
      <c r="CFL1" s="224"/>
      <c r="CFM1" s="224"/>
      <c r="CFN1" s="224"/>
      <c r="CFO1" s="224"/>
      <c r="CFP1" s="224"/>
      <c r="CFQ1" s="224"/>
      <c r="CFR1" s="224"/>
      <c r="CFS1" s="224"/>
      <c r="CFT1" s="224"/>
      <c r="CFU1" s="224"/>
      <c r="CFV1" s="224"/>
      <c r="CFW1" s="224"/>
      <c r="CFX1" s="224"/>
      <c r="CFY1" s="224"/>
      <c r="CFZ1" s="224"/>
      <c r="CGA1" s="224"/>
      <c r="CGB1" s="224"/>
      <c r="CGC1" s="224"/>
      <c r="CGD1" s="224"/>
      <c r="CGE1" s="224"/>
      <c r="CGF1" s="224"/>
      <c r="CGG1" s="224"/>
      <c r="CGH1" s="224"/>
      <c r="CGI1" s="224"/>
      <c r="CGJ1" s="224"/>
      <c r="CGK1" s="224"/>
      <c r="CGL1" s="224"/>
      <c r="CGM1" s="224"/>
      <c r="CGN1" s="224"/>
      <c r="CGO1" s="224"/>
      <c r="CGP1" s="224"/>
      <c r="CGQ1" s="224"/>
      <c r="CGR1" s="224"/>
      <c r="CGS1" s="224"/>
      <c r="CGT1" s="224"/>
      <c r="CGU1" s="224"/>
      <c r="CGV1" s="224"/>
      <c r="CGW1" s="224"/>
      <c r="CGX1" s="224"/>
      <c r="CGY1" s="224"/>
      <c r="CGZ1" s="224"/>
      <c r="CHA1" s="224"/>
      <c r="CHB1" s="224"/>
      <c r="CHC1" s="224"/>
      <c r="CHD1" s="224"/>
      <c r="CHE1" s="224"/>
      <c r="CHF1" s="224"/>
      <c r="CHG1" s="224"/>
      <c r="CHH1" s="224"/>
      <c r="CHI1" s="224"/>
      <c r="CHJ1" s="224"/>
      <c r="CHK1" s="224"/>
      <c r="CHL1" s="224"/>
      <c r="CHM1" s="224"/>
      <c r="CHN1" s="224"/>
      <c r="CHO1" s="224"/>
      <c r="CHP1" s="224"/>
      <c r="CHQ1" s="224"/>
      <c r="CHR1" s="224"/>
      <c r="CHS1" s="224"/>
      <c r="CHT1" s="224"/>
      <c r="CHU1" s="224"/>
      <c r="CHV1" s="224"/>
      <c r="CHW1" s="224"/>
      <c r="CHX1" s="224"/>
      <c r="CHY1" s="224"/>
      <c r="CHZ1" s="224"/>
      <c r="CIA1" s="224"/>
      <c r="CIB1" s="224"/>
      <c r="CIC1" s="224"/>
      <c r="CID1" s="224"/>
      <c r="CIE1" s="224"/>
      <c r="CIF1" s="224"/>
      <c r="CIG1" s="224"/>
      <c r="CIH1" s="224"/>
      <c r="CII1" s="224"/>
      <c r="CIJ1" s="224"/>
      <c r="CIK1" s="224"/>
      <c r="CIL1" s="224"/>
      <c r="CIM1" s="224"/>
      <c r="CIN1" s="224"/>
      <c r="CIO1" s="224"/>
      <c r="CIP1" s="224"/>
      <c r="CIQ1" s="224"/>
      <c r="CIR1" s="224"/>
      <c r="CIS1" s="224"/>
      <c r="CIT1" s="224"/>
      <c r="CIU1" s="224"/>
      <c r="CIV1" s="224"/>
      <c r="CIW1" s="224"/>
      <c r="CIX1" s="224"/>
      <c r="CIY1" s="224"/>
      <c r="CIZ1" s="224"/>
      <c r="CJA1" s="224"/>
      <c r="CJB1" s="224"/>
      <c r="CJC1" s="224"/>
      <c r="CJD1" s="224"/>
      <c r="CJE1" s="224"/>
      <c r="CJF1" s="224"/>
      <c r="CJG1" s="224"/>
      <c r="CJH1" s="224"/>
      <c r="CJI1" s="224"/>
      <c r="CJJ1" s="224"/>
      <c r="CJK1" s="224"/>
      <c r="CJL1" s="224"/>
      <c r="CJM1" s="224"/>
      <c r="CJN1" s="224"/>
      <c r="CJO1" s="224"/>
      <c r="CJP1" s="224"/>
      <c r="CJQ1" s="224"/>
      <c r="CJR1" s="224"/>
      <c r="CJS1" s="224"/>
      <c r="CJT1" s="224"/>
      <c r="CJU1" s="224"/>
      <c r="CJV1" s="224"/>
      <c r="CJW1" s="224"/>
      <c r="CJX1" s="224"/>
      <c r="CJY1" s="224"/>
      <c r="CJZ1" s="224"/>
      <c r="CKA1" s="224"/>
      <c r="CKB1" s="224"/>
      <c r="CKC1" s="224"/>
      <c r="CKD1" s="224"/>
      <c r="CKE1" s="224"/>
      <c r="CKF1" s="224"/>
      <c r="CKG1" s="224"/>
      <c r="CKH1" s="224"/>
      <c r="CKI1" s="224"/>
      <c r="CKJ1" s="224"/>
      <c r="CKK1" s="224"/>
      <c r="CKL1" s="224"/>
      <c r="CKM1" s="224"/>
      <c r="CKN1" s="224"/>
      <c r="CKO1" s="224"/>
      <c r="CKP1" s="224"/>
      <c r="CKQ1" s="224"/>
      <c r="CKR1" s="224"/>
      <c r="CKS1" s="224"/>
      <c r="CKT1" s="224"/>
      <c r="CKU1" s="224"/>
      <c r="CKV1" s="224"/>
      <c r="CKW1" s="224"/>
      <c r="CKX1" s="224"/>
      <c r="CKY1" s="224"/>
      <c r="CKZ1" s="224"/>
      <c r="CLA1" s="224"/>
      <c r="CLB1" s="224"/>
      <c r="CLC1" s="224"/>
      <c r="CLD1" s="224"/>
      <c r="CLE1" s="224"/>
      <c r="CLF1" s="224"/>
      <c r="CLG1" s="224"/>
      <c r="CLH1" s="224"/>
      <c r="CLI1" s="224"/>
      <c r="CLJ1" s="224"/>
      <c r="CLK1" s="224"/>
      <c r="CLL1" s="224"/>
      <c r="CLM1" s="224"/>
      <c r="CLN1" s="224"/>
      <c r="CLO1" s="224"/>
      <c r="CLP1" s="224"/>
      <c r="CLQ1" s="224"/>
      <c r="CLR1" s="224"/>
      <c r="CLS1" s="224"/>
      <c r="CLT1" s="224"/>
      <c r="CLU1" s="224"/>
      <c r="CLV1" s="224"/>
      <c r="CLW1" s="224"/>
      <c r="CLX1" s="224"/>
      <c r="CLY1" s="224"/>
      <c r="CLZ1" s="224"/>
      <c r="CMA1" s="224"/>
      <c r="CMB1" s="224"/>
      <c r="CMC1" s="224"/>
      <c r="CMD1" s="224"/>
      <c r="CME1" s="224"/>
      <c r="CMF1" s="224"/>
      <c r="CMG1" s="224"/>
      <c r="CMH1" s="224"/>
      <c r="CMI1" s="224"/>
      <c r="CMJ1" s="224"/>
      <c r="CMK1" s="224"/>
      <c r="CML1" s="224"/>
      <c r="CMM1" s="224"/>
      <c r="CMN1" s="224"/>
      <c r="CMO1" s="224"/>
      <c r="CMP1" s="224"/>
      <c r="CMQ1" s="224"/>
      <c r="CMR1" s="224"/>
      <c r="CMS1" s="224"/>
      <c r="CMT1" s="224"/>
      <c r="CMU1" s="224"/>
      <c r="CMV1" s="224"/>
      <c r="CMW1" s="224"/>
      <c r="CMX1" s="224"/>
      <c r="CMY1" s="224"/>
      <c r="CMZ1" s="224"/>
      <c r="CNA1" s="224"/>
      <c r="CNB1" s="224"/>
      <c r="CNC1" s="224"/>
      <c r="CND1" s="224"/>
      <c r="CNE1" s="224"/>
      <c r="CNF1" s="224"/>
      <c r="CNG1" s="224"/>
      <c r="CNH1" s="224"/>
      <c r="CNI1" s="224"/>
      <c r="CNJ1" s="224"/>
      <c r="CNK1" s="224"/>
      <c r="CNL1" s="224"/>
      <c r="CNM1" s="224"/>
      <c r="CNN1" s="224"/>
      <c r="CNO1" s="224"/>
      <c r="CNP1" s="224"/>
      <c r="CNQ1" s="224"/>
      <c r="CNR1" s="224"/>
      <c r="CNS1" s="224"/>
      <c r="CNT1" s="224"/>
      <c r="CNU1" s="224"/>
      <c r="CNV1" s="224"/>
      <c r="CNW1" s="224"/>
      <c r="CNX1" s="224"/>
      <c r="CNY1" s="224"/>
      <c r="CNZ1" s="224"/>
      <c r="COA1" s="224"/>
      <c r="COB1" s="224"/>
      <c r="COC1" s="224"/>
      <c r="COD1" s="224"/>
      <c r="COE1" s="224"/>
      <c r="COF1" s="224"/>
      <c r="COG1" s="224"/>
      <c r="COH1" s="224"/>
      <c r="COI1" s="224"/>
      <c r="COJ1" s="224"/>
      <c r="COK1" s="224"/>
      <c r="COL1" s="224"/>
      <c r="COM1" s="224"/>
      <c r="CON1" s="224"/>
      <c r="COO1" s="224"/>
      <c r="COP1" s="224"/>
      <c r="COQ1" s="224"/>
      <c r="COR1" s="224"/>
      <c r="COS1" s="224"/>
      <c r="COT1" s="224"/>
      <c r="COU1" s="224"/>
      <c r="COV1" s="224"/>
      <c r="COW1" s="224"/>
      <c r="COX1" s="224"/>
      <c r="COY1" s="224"/>
      <c r="COZ1" s="224"/>
      <c r="CPA1" s="224"/>
      <c r="CPB1" s="224"/>
      <c r="CPC1" s="224"/>
      <c r="CPD1" s="224"/>
      <c r="CPE1" s="224"/>
      <c r="CPF1" s="224"/>
      <c r="CPG1" s="224"/>
      <c r="CPH1" s="224"/>
      <c r="CPI1" s="224"/>
      <c r="CPJ1" s="224"/>
      <c r="CPK1" s="224"/>
      <c r="CPL1" s="224"/>
      <c r="CPM1" s="224"/>
      <c r="CPN1" s="224"/>
      <c r="CPO1" s="224"/>
      <c r="CPP1" s="224"/>
      <c r="CPQ1" s="224"/>
      <c r="CPR1" s="224"/>
      <c r="CPS1" s="224"/>
      <c r="CPT1" s="224"/>
      <c r="CPU1" s="224"/>
      <c r="CPV1" s="224"/>
      <c r="CPW1" s="224"/>
      <c r="CPX1" s="224"/>
      <c r="CPY1" s="224"/>
      <c r="CPZ1" s="224"/>
      <c r="CQA1" s="224"/>
      <c r="CQB1" s="224"/>
      <c r="CQC1" s="224"/>
      <c r="CQD1" s="224"/>
      <c r="CQE1" s="224"/>
      <c r="CQF1" s="224"/>
      <c r="CQG1" s="224"/>
      <c r="CQH1" s="224"/>
      <c r="CQI1" s="224"/>
      <c r="CQJ1" s="224"/>
      <c r="CQK1" s="224"/>
      <c r="CQL1" s="224"/>
      <c r="CQM1" s="224"/>
      <c r="CQN1" s="224"/>
      <c r="CQO1" s="224"/>
      <c r="CQP1" s="224"/>
      <c r="CQQ1" s="224"/>
      <c r="CQR1" s="224"/>
      <c r="CQS1" s="224"/>
      <c r="CQT1" s="224"/>
      <c r="CQU1" s="224"/>
      <c r="CQV1" s="224"/>
      <c r="CQW1" s="224"/>
      <c r="CQX1" s="224"/>
      <c r="CQY1" s="224"/>
      <c r="CQZ1" s="224"/>
      <c r="CRA1" s="224"/>
      <c r="CRB1" s="224"/>
      <c r="CRC1" s="224"/>
      <c r="CRD1" s="224"/>
      <c r="CRE1" s="224"/>
      <c r="CRF1" s="224"/>
      <c r="CRG1" s="224"/>
      <c r="CRH1" s="224"/>
      <c r="CRI1" s="224"/>
      <c r="CRJ1" s="224"/>
      <c r="CRK1" s="224"/>
      <c r="CRL1" s="224"/>
      <c r="CRM1" s="224"/>
      <c r="CRN1" s="224"/>
      <c r="CRO1" s="224"/>
      <c r="CRP1" s="224"/>
      <c r="CRQ1" s="224"/>
      <c r="CRR1" s="224"/>
      <c r="CRS1" s="224"/>
      <c r="CRT1" s="224"/>
      <c r="CRU1" s="224"/>
      <c r="CRV1" s="224"/>
      <c r="CRW1" s="224"/>
      <c r="CRX1" s="224"/>
      <c r="CRY1" s="224"/>
      <c r="CRZ1" s="224"/>
      <c r="CSA1" s="224"/>
      <c r="CSB1" s="224"/>
      <c r="CSC1" s="224"/>
      <c r="CSD1" s="224"/>
      <c r="CSE1" s="224"/>
      <c r="CSF1" s="224"/>
      <c r="CSG1" s="224"/>
      <c r="CSH1" s="224"/>
      <c r="CSI1" s="224"/>
      <c r="CSJ1" s="224"/>
      <c r="CSK1" s="224"/>
      <c r="CSL1" s="224"/>
      <c r="CSM1" s="224"/>
      <c r="CSN1" s="224"/>
      <c r="CSO1" s="224"/>
      <c r="CSP1" s="224"/>
      <c r="CSQ1" s="224"/>
      <c r="CSR1" s="224"/>
      <c r="CSS1" s="224"/>
      <c r="CST1" s="224"/>
      <c r="CSU1" s="224"/>
      <c r="CSV1" s="224"/>
      <c r="CSW1" s="224"/>
      <c r="CSX1" s="224"/>
      <c r="CSY1" s="224"/>
      <c r="CSZ1" s="224"/>
      <c r="CTA1" s="224"/>
      <c r="CTB1" s="224"/>
      <c r="CTC1" s="224"/>
      <c r="CTD1" s="224"/>
      <c r="CTE1" s="224"/>
      <c r="CTF1" s="224"/>
      <c r="CTG1" s="224"/>
      <c r="CTH1" s="224"/>
      <c r="CTI1" s="224"/>
      <c r="CTJ1" s="224"/>
      <c r="CTK1" s="224"/>
      <c r="CTL1" s="224"/>
      <c r="CTM1" s="224"/>
      <c r="CTN1" s="224"/>
      <c r="CTO1" s="224"/>
      <c r="CTP1" s="224"/>
      <c r="CTQ1" s="224"/>
      <c r="CTR1" s="224"/>
      <c r="CTS1" s="224"/>
      <c r="CTT1" s="224"/>
      <c r="CTU1" s="224"/>
      <c r="CTV1" s="224"/>
      <c r="CTW1" s="224"/>
      <c r="CTX1" s="224"/>
      <c r="CTY1" s="224"/>
      <c r="CTZ1" s="224"/>
      <c r="CUA1" s="224"/>
      <c r="CUB1" s="224"/>
      <c r="CUC1" s="224"/>
      <c r="CUD1" s="224"/>
      <c r="CUE1" s="224"/>
      <c r="CUF1" s="224"/>
      <c r="CUG1" s="224"/>
      <c r="CUH1" s="224"/>
      <c r="CUI1" s="224"/>
      <c r="CUJ1" s="224"/>
      <c r="CUK1" s="224"/>
      <c r="CUL1" s="224"/>
      <c r="CUM1" s="224"/>
      <c r="CUN1" s="224"/>
      <c r="CUO1" s="224"/>
      <c r="CUP1" s="224"/>
      <c r="CUQ1" s="224"/>
      <c r="CUR1" s="224"/>
      <c r="CUS1" s="224"/>
      <c r="CUT1" s="224"/>
      <c r="CUU1" s="224"/>
      <c r="CUV1" s="224"/>
      <c r="CUW1" s="224"/>
      <c r="CUX1" s="224"/>
      <c r="CUY1" s="224"/>
      <c r="CUZ1" s="224"/>
      <c r="CVA1" s="224"/>
      <c r="CVB1" s="224"/>
      <c r="CVC1" s="224"/>
      <c r="CVD1" s="224"/>
      <c r="CVE1" s="224"/>
      <c r="CVF1" s="224"/>
      <c r="CVG1" s="224"/>
      <c r="CVH1" s="224"/>
      <c r="CVI1" s="224"/>
      <c r="CVJ1" s="224"/>
      <c r="CVK1" s="224"/>
      <c r="CVL1" s="224"/>
      <c r="CVM1" s="224"/>
      <c r="CVN1" s="224"/>
      <c r="CVO1" s="224"/>
      <c r="CVP1" s="224"/>
      <c r="CVQ1" s="224"/>
      <c r="CVR1" s="224"/>
      <c r="CVS1" s="224"/>
      <c r="CVT1" s="224"/>
      <c r="CVU1" s="224"/>
      <c r="CVV1" s="224"/>
      <c r="CVW1" s="224"/>
      <c r="CVX1" s="224"/>
      <c r="CVY1" s="224"/>
      <c r="CVZ1" s="224"/>
      <c r="CWA1" s="224"/>
      <c r="CWB1" s="224"/>
      <c r="CWC1" s="224"/>
      <c r="CWD1" s="224"/>
      <c r="CWE1" s="224"/>
      <c r="CWF1" s="224"/>
      <c r="CWG1" s="224"/>
      <c r="CWH1" s="224"/>
      <c r="CWI1" s="224"/>
      <c r="CWJ1" s="224"/>
      <c r="CWK1" s="224"/>
      <c r="CWL1" s="224"/>
      <c r="CWM1" s="224"/>
      <c r="CWN1" s="224"/>
      <c r="CWO1" s="224"/>
      <c r="CWP1" s="224"/>
      <c r="CWQ1" s="224"/>
      <c r="CWR1" s="224"/>
      <c r="CWS1" s="224"/>
      <c r="CWT1" s="224"/>
      <c r="CWU1" s="224"/>
      <c r="CWV1" s="224"/>
      <c r="CWW1" s="224"/>
      <c r="CWX1" s="224"/>
      <c r="CWY1" s="224"/>
      <c r="CWZ1" s="224"/>
      <c r="CXA1" s="224"/>
      <c r="CXB1" s="224"/>
      <c r="CXC1" s="224"/>
      <c r="CXD1" s="224"/>
      <c r="CXE1" s="224"/>
      <c r="CXF1" s="224"/>
      <c r="CXG1" s="224"/>
      <c r="CXH1" s="224"/>
      <c r="CXI1" s="224"/>
      <c r="CXJ1" s="224"/>
      <c r="CXK1" s="224"/>
      <c r="CXL1" s="224"/>
      <c r="CXM1" s="224"/>
      <c r="CXN1" s="224"/>
      <c r="CXO1" s="224"/>
      <c r="CXP1" s="224"/>
      <c r="CXQ1" s="224"/>
      <c r="CXR1" s="224"/>
      <c r="CXS1" s="224"/>
      <c r="CXT1" s="224"/>
      <c r="CXU1" s="224"/>
      <c r="CXV1" s="224"/>
      <c r="CXW1" s="224"/>
      <c r="CXX1" s="224"/>
      <c r="CXY1" s="224"/>
      <c r="CXZ1" s="224"/>
      <c r="CYA1" s="224"/>
      <c r="CYB1" s="224"/>
      <c r="CYC1" s="224"/>
      <c r="CYD1" s="224"/>
      <c r="CYE1" s="224"/>
      <c r="CYF1" s="224"/>
      <c r="CYG1" s="224"/>
      <c r="CYH1" s="224"/>
      <c r="CYI1" s="224"/>
      <c r="CYJ1" s="224"/>
      <c r="CYK1" s="224"/>
      <c r="CYL1" s="224"/>
      <c r="CYM1" s="224"/>
      <c r="CYN1" s="224"/>
      <c r="CYO1" s="224"/>
      <c r="CYP1" s="224"/>
      <c r="CYQ1" s="224"/>
      <c r="CYR1" s="224"/>
      <c r="CYS1" s="224"/>
      <c r="CYT1" s="224"/>
      <c r="CYU1" s="224"/>
      <c r="CYV1" s="224"/>
      <c r="CYW1" s="224"/>
      <c r="CYX1" s="224"/>
      <c r="CYY1" s="224"/>
      <c r="CYZ1" s="224"/>
      <c r="CZA1" s="224"/>
      <c r="CZB1" s="224"/>
      <c r="CZC1" s="224"/>
      <c r="CZD1" s="224"/>
      <c r="CZE1" s="224"/>
      <c r="CZF1" s="224"/>
      <c r="CZG1" s="224"/>
      <c r="CZH1" s="224"/>
      <c r="CZI1" s="224"/>
      <c r="CZJ1" s="224"/>
      <c r="CZK1" s="224"/>
      <c r="CZL1" s="224"/>
      <c r="CZM1" s="224"/>
      <c r="CZN1" s="224"/>
      <c r="CZO1" s="224"/>
      <c r="CZP1" s="224"/>
      <c r="CZQ1" s="224"/>
      <c r="CZR1" s="224"/>
      <c r="CZS1" s="224"/>
      <c r="CZT1" s="224"/>
      <c r="CZU1" s="224"/>
      <c r="CZV1" s="224"/>
      <c r="CZW1" s="224"/>
      <c r="CZX1" s="224"/>
      <c r="CZY1" s="224"/>
      <c r="CZZ1" s="224"/>
      <c r="DAA1" s="224"/>
      <c r="DAB1" s="224"/>
      <c r="DAC1" s="224"/>
      <c r="DAD1" s="224"/>
      <c r="DAE1" s="224"/>
      <c r="DAF1" s="224"/>
      <c r="DAG1" s="224"/>
      <c r="DAH1" s="224"/>
      <c r="DAI1" s="224"/>
      <c r="DAJ1" s="224"/>
      <c r="DAK1" s="224"/>
      <c r="DAL1" s="224"/>
      <c r="DAM1" s="224"/>
      <c r="DAN1" s="224"/>
      <c r="DAO1" s="224"/>
      <c r="DAP1" s="224"/>
      <c r="DAQ1" s="224"/>
      <c r="DAR1" s="224"/>
      <c r="DAS1" s="224"/>
      <c r="DAT1" s="224"/>
      <c r="DAU1" s="224"/>
      <c r="DAV1" s="224"/>
      <c r="DAW1" s="224"/>
      <c r="DAX1" s="224"/>
      <c r="DAY1" s="224"/>
      <c r="DAZ1" s="224"/>
      <c r="DBA1" s="224"/>
      <c r="DBB1" s="224"/>
      <c r="DBC1" s="224"/>
      <c r="DBD1" s="224"/>
      <c r="DBE1" s="224"/>
      <c r="DBF1" s="224"/>
      <c r="DBG1" s="224"/>
      <c r="DBH1" s="224"/>
      <c r="DBI1" s="224"/>
      <c r="DBJ1" s="224"/>
      <c r="DBK1" s="224"/>
      <c r="DBL1" s="224"/>
      <c r="DBM1" s="224"/>
      <c r="DBN1" s="224"/>
      <c r="DBO1" s="224"/>
      <c r="DBP1" s="224"/>
      <c r="DBQ1" s="224"/>
      <c r="DBR1" s="224"/>
      <c r="DBS1" s="224"/>
      <c r="DBT1" s="224"/>
      <c r="DBU1" s="224"/>
      <c r="DBV1" s="224"/>
      <c r="DBW1" s="224"/>
      <c r="DBX1" s="224"/>
      <c r="DBY1" s="224"/>
      <c r="DBZ1" s="224"/>
      <c r="DCA1" s="224"/>
      <c r="DCB1" s="224"/>
      <c r="DCC1" s="224"/>
      <c r="DCD1" s="224"/>
      <c r="DCE1" s="224"/>
      <c r="DCF1" s="224"/>
      <c r="DCG1" s="224"/>
      <c r="DCH1" s="224"/>
      <c r="DCI1" s="224"/>
      <c r="DCJ1" s="224"/>
      <c r="DCK1" s="224"/>
      <c r="DCL1" s="224"/>
      <c r="DCM1" s="224"/>
      <c r="DCN1" s="224"/>
      <c r="DCO1" s="224"/>
      <c r="DCP1" s="224"/>
      <c r="DCQ1" s="224"/>
      <c r="DCR1" s="224"/>
      <c r="DCS1" s="224"/>
      <c r="DCT1" s="224"/>
      <c r="DCU1" s="224"/>
      <c r="DCV1" s="224"/>
      <c r="DCW1" s="224"/>
      <c r="DCX1" s="224"/>
      <c r="DCY1" s="224"/>
      <c r="DCZ1" s="224"/>
      <c r="DDA1" s="224"/>
      <c r="DDB1" s="224"/>
      <c r="DDC1" s="224"/>
      <c r="DDD1" s="224"/>
      <c r="DDE1" s="224"/>
      <c r="DDF1" s="224"/>
      <c r="DDG1" s="224"/>
      <c r="DDH1" s="224"/>
      <c r="DDI1" s="224"/>
      <c r="DDJ1" s="224"/>
      <c r="DDK1" s="224"/>
      <c r="DDL1" s="224"/>
      <c r="DDM1" s="224"/>
      <c r="DDN1" s="224"/>
      <c r="DDO1" s="224"/>
      <c r="DDP1" s="224"/>
      <c r="DDQ1" s="224"/>
      <c r="DDR1" s="224"/>
      <c r="DDS1" s="224"/>
      <c r="DDT1" s="224"/>
      <c r="DDU1" s="224"/>
      <c r="DDV1" s="224"/>
      <c r="DDW1" s="224"/>
      <c r="DDX1" s="224"/>
      <c r="DDY1" s="224"/>
      <c r="DDZ1" s="224"/>
      <c r="DEA1" s="224"/>
      <c r="DEB1" s="224"/>
      <c r="DEC1" s="224"/>
      <c r="DED1" s="224"/>
      <c r="DEE1" s="224"/>
      <c r="DEF1" s="224"/>
      <c r="DEG1" s="224"/>
      <c r="DEH1" s="224"/>
      <c r="DEI1" s="224"/>
      <c r="DEJ1" s="224"/>
      <c r="DEK1" s="224"/>
      <c r="DEL1" s="224"/>
      <c r="DEM1" s="224"/>
      <c r="DEN1" s="224"/>
      <c r="DEO1" s="224"/>
      <c r="DEP1" s="224"/>
      <c r="DEQ1" s="224"/>
      <c r="DER1" s="224"/>
      <c r="DES1" s="224"/>
      <c r="DET1" s="224"/>
      <c r="DEU1" s="224"/>
      <c r="DEV1" s="224"/>
      <c r="DEW1" s="224"/>
      <c r="DEX1" s="224"/>
      <c r="DEY1" s="224"/>
      <c r="DEZ1" s="224"/>
      <c r="DFA1" s="224"/>
      <c r="DFB1" s="224"/>
      <c r="DFC1" s="224"/>
      <c r="DFD1" s="224"/>
      <c r="DFE1" s="224"/>
      <c r="DFF1" s="224"/>
      <c r="DFG1" s="224"/>
      <c r="DFH1" s="224"/>
      <c r="DFI1" s="224"/>
      <c r="DFJ1" s="224"/>
      <c r="DFK1" s="224"/>
      <c r="DFL1" s="224"/>
      <c r="DFM1" s="224"/>
      <c r="DFN1" s="224"/>
      <c r="DFO1" s="224"/>
      <c r="DFP1" s="224"/>
      <c r="DFQ1" s="224"/>
      <c r="DFR1" s="224"/>
      <c r="DFS1" s="224"/>
      <c r="DFT1" s="224"/>
      <c r="DFU1" s="224"/>
      <c r="DFV1" s="224"/>
      <c r="DFW1" s="224"/>
      <c r="DFX1" s="224"/>
      <c r="DFY1" s="224"/>
      <c r="DFZ1" s="224"/>
      <c r="DGA1" s="224"/>
      <c r="DGB1" s="224"/>
      <c r="DGC1" s="224"/>
      <c r="DGD1" s="224"/>
      <c r="DGE1" s="224"/>
      <c r="DGF1" s="224"/>
      <c r="DGG1" s="224"/>
      <c r="DGH1" s="224"/>
      <c r="DGI1" s="224"/>
      <c r="DGJ1" s="224"/>
      <c r="DGK1" s="224"/>
      <c r="DGL1" s="224"/>
      <c r="DGM1" s="224"/>
      <c r="DGN1" s="224"/>
      <c r="DGO1" s="224"/>
      <c r="DGP1" s="224"/>
      <c r="DGQ1" s="224"/>
      <c r="DGR1" s="224"/>
      <c r="DGS1" s="224"/>
      <c r="DGT1" s="224"/>
      <c r="DGU1" s="224"/>
      <c r="DGV1" s="224"/>
      <c r="DGW1" s="224"/>
      <c r="DGX1" s="224"/>
      <c r="DGY1" s="224"/>
      <c r="DGZ1" s="224"/>
      <c r="DHA1" s="224"/>
      <c r="DHB1" s="224"/>
      <c r="DHC1" s="224"/>
      <c r="DHD1" s="224"/>
      <c r="DHE1" s="224"/>
      <c r="DHF1" s="224"/>
      <c r="DHG1" s="224"/>
      <c r="DHH1" s="224"/>
      <c r="DHI1" s="224"/>
      <c r="DHJ1" s="224"/>
      <c r="DHK1" s="224"/>
      <c r="DHL1" s="224"/>
      <c r="DHM1" s="224"/>
      <c r="DHN1" s="224"/>
      <c r="DHO1" s="224"/>
      <c r="DHP1" s="224"/>
      <c r="DHQ1" s="224"/>
      <c r="DHR1" s="224"/>
      <c r="DHS1" s="224"/>
      <c r="DHT1" s="224"/>
      <c r="DHU1" s="224"/>
      <c r="DHV1" s="224"/>
      <c r="DHW1" s="224"/>
      <c r="DHX1" s="224"/>
      <c r="DHY1" s="224"/>
      <c r="DHZ1" s="224"/>
      <c r="DIA1" s="224"/>
      <c r="DIB1" s="224"/>
      <c r="DIC1" s="224"/>
      <c r="DID1" s="224"/>
      <c r="DIE1" s="224"/>
      <c r="DIF1" s="224"/>
      <c r="DIG1" s="224"/>
      <c r="DIH1" s="224"/>
      <c r="DII1" s="224"/>
      <c r="DIJ1" s="224"/>
      <c r="DIK1" s="224"/>
      <c r="DIL1" s="224"/>
      <c r="DIM1" s="224"/>
      <c r="DIN1" s="224"/>
      <c r="DIO1" s="224"/>
      <c r="DIP1" s="224"/>
      <c r="DIQ1" s="224"/>
      <c r="DIR1" s="224"/>
      <c r="DIS1" s="224"/>
      <c r="DIT1" s="224"/>
      <c r="DIU1" s="224"/>
      <c r="DIV1" s="224"/>
      <c r="DIW1" s="224"/>
      <c r="DIX1" s="224"/>
      <c r="DIY1" s="224"/>
      <c r="DIZ1" s="224"/>
      <c r="DJA1" s="224"/>
      <c r="DJB1" s="224"/>
      <c r="DJC1" s="224"/>
      <c r="DJD1" s="224"/>
      <c r="DJE1" s="224"/>
      <c r="DJF1" s="224"/>
      <c r="DJG1" s="224"/>
      <c r="DJH1" s="224"/>
      <c r="DJI1" s="224"/>
      <c r="DJJ1" s="224"/>
      <c r="DJK1" s="224"/>
      <c r="DJL1" s="224"/>
      <c r="DJM1" s="224"/>
      <c r="DJN1" s="224"/>
      <c r="DJO1" s="224"/>
      <c r="DJP1" s="224"/>
      <c r="DJQ1" s="224"/>
      <c r="DJR1" s="224"/>
      <c r="DJS1" s="224"/>
      <c r="DJT1" s="224"/>
      <c r="DJU1" s="224"/>
      <c r="DJV1" s="224"/>
      <c r="DJW1" s="224"/>
      <c r="DJX1" s="224"/>
      <c r="DJY1" s="224"/>
      <c r="DJZ1" s="224"/>
      <c r="DKA1" s="224"/>
      <c r="DKB1" s="224"/>
      <c r="DKC1" s="224"/>
      <c r="DKD1" s="224"/>
      <c r="DKE1" s="224"/>
      <c r="DKF1" s="224"/>
      <c r="DKG1" s="224"/>
      <c r="DKH1" s="224"/>
      <c r="DKI1" s="224"/>
      <c r="DKJ1" s="224"/>
      <c r="DKK1" s="224"/>
      <c r="DKL1" s="224"/>
      <c r="DKM1" s="224"/>
      <c r="DKN1" s="224"/>
      <c r="DKO1" s="224"/>
      <c r="DKP1" s="224"/>
      <c r="DKQ1" s="224"/>
      <c r="DKR1" s="224"/>
      <c r="DKS1" s="224"/>
      <c r="DKT1" s="224"/>
      <c r="DKU1" s="224"/>
      <c r="DKV1" s="224"/>
      <c r="DKW1" s="224"/>
      <c r="DKX1" s="224"/>
      <c r="DKY1" s="224"/>
      <c r="DKZ1" s="224"/>
      <c r="DLA1" s="224"/>
      <c r="DLB1" s="224"/>
      <c r="DLC1" s="224"/>
      <c r="DLD1" s="224"/>
      <c r="DLE1" s="224"/>
      <c r="DLF1" s="224"/>
      <c r="DLG1" s="224"/>
      <c r="DLH1" s="224"/>
      <c r="DLI1" s="224"/>
      <c r="DLJ1" s="224"/>
      <c r="DLK1" s="224"/>
      <c r="DLL1" s="224"/>
      <c r="DLM1" s="224"/>
      <c r="DLN1" s="224"/>
      <c r="DLO1" s="224"/>
      <c r="DLP1" s="224"/>
      <c r="DLQ1" s="224"/>
      <c r="DLR1" s="224"/>
      <c r="DLS1" s="224"/>
      <c r="DLT1" s="224"/>
      <c r="DLU1" s="224"/>
      <c r="DLV1" s="224"/>
      <c r="DLW1" s="224"/>
      <c r="DLX1" s="224"/>
      <c r="DLY1" s="224"/>
      <c r="DLZ1" s="224"/>
      <c r="DMA1" s="224"/>
      <c r="DMB1" s="224"/>
      <c r="DMC1" s="224"/>
      <c r="DMD1" s="224"/>
      <c r="DME1" s="224"/>
      <c r="DMF1" s="224"/>
      <c r="DMG1" s="224"/>
      <c r="DMH1" s="224"/>
      <c r="DMI1" s="224"/>
      <c r="DMJ1" s="224"/>
      <c r="DMK1" s="224"/>
      <c r="DML1" s="224"/>
      <c r="DMM1" s="224"/>
      <c r="DMN1" s="224"/>
      <c r="DMO1" s="224"/>
      <c r="DMP1" s="224"/>
      <c r="DMQ1" s="224"/>
      <c r="DMR1" s="224"/>
      <c r="DMS1" s="224"/>
      <c r="DMT1" s="224"/>
      <c r="DMU1" s="224"/>
      <c r="DMV1" s="224"/>
      <c r="DMW1" s="224"/>
      <c r="DMX1" s="224"/>
      <c r="DMY1" s="224"/>
      <c r="DMZ1" s="224"/>
      <c r="DNA1" s="224"/>
      <c r="DNB1" s="224"/>
      <c r="DNC1" s="224"/>
      <c r="DND1" s="224"/>
      <c r="DNE1" s="224"/>
      <c r="DNF1" s="224"/>
      <c r="DNG1" s="224"/>
      <c r="DNH1" s="224"/>
      <c r="DNI1" s="224"/>
      <c r="DNJ1" s="224"/>
      <c r="DNK1" s="224"/>
      <c r="DNL1" s="224"/>
      <c r="DNM1" s="224"/>
      <c r="DNN1" s="224"/>
      <c r="DNO1" s="224"/>
      <c r="DNP1" s="224"/>
      <c r="DNQ1" s="224"/>
      <c r="DNR1" s="224"/>
      <c r="DNS1" s="224"/>
      <c r="DNT1" s="224"/>
      <c r="DNU1" s="224"/>
      <c r="DNV1" s="224"/>
      <c r="DNW1" s="224"/>
      <c r="DNX1" s="224"/>
      <c r="DNY1" s="224"/>
      <c r="DNZ1" s="224"/>
      <c r="DOA1" s="224"/>
      <c r="DOB1" s="224"/>
      <c r="DOC1" s="224"/>
      <c r="DOD1" s="224"/>
      <c r="DOE1" s="224"/>
      <c r="DOF1" s="224"/>
      <c r="DOG1" s="224"/>
      <c r="DOH1" s="224"/>
      <c r="DOI1" s="224"/>
      <c r="DOJ1" s="224"/>
      <c r="DOK1" s="224"/>
      <c r="DOL1" s="224"/>
      <c r="DOM1" s="224"/>
      <c r="DON1" s="224"/>
      <c r="DOO1" s="224"/>
      <c r="DOP1" s="224"/>
      <c r="DOQ1" s="224"/>
      <c r="DOR1" s="224"/>
      <c r="DOS1" s="224"/>
      <c r="DOT1" s="224"/>
      <c r="DOU1" s="224"/>
      <c r="DOV1" s="224"/>
      <c r="DOW1" s="224"/>
      <c r="DOX1" s="224"/>
      <c r="DOY1" s="224"/>
      <c r="DOZ1" s="224"/>
      <c r="DPA1" s="224"/>
      <c r="DPB1" s="224"/>
      <c r="DPC1" s="224"/>
      <c r="DPD1" s="224"/>
      <c r="DPE1" s="224"/>
      <c r="DPF1" s="224"/>
      <c r="DPG1" s="224"/>
      <c r="DPH1" s="224"/>
      <c r="DPI1" s="224"/>
      <c r="DPJ1" s="224"/>
      <c r="DPK1" s="224"/>
      <c r="DPL1" s="224"/>
      <c r="DPM1" s="224"/>
      <c r="DPN1" s="224"/>
      <c r="DPO1" s="224"/>
      <c r="DPP1" s="224"/>
      <c r="DPQ1" s="224"/>
      <c r="DPR1" s="224"/>
      <c r="DPS1" s="224"/>
      <c r="DPT1" s="224"/>
      <c r="DPU1" s="224"/>
      <c r="DPV1" s="224"/>
      <c r="DPW1" s="224"/>
      <c r="DPX1" s="224"/>
      <c r="DPY1" s="224"/>
      <c r="DPZ1" s="224"/>
      <c r="DQA1" s="224"/>
      <c r="DQB1" s="224"/>
      <c r="DQC1" s="224"/>
      <c r="DQD1" s="224"/>
      <c r="DQE1" s="224"/>
      <c r="DQF1" s="224"/>
      <c r="DQG1" s="224"/>
      <c r="DQH1" s="224"/>
      <c r="DQI1" s="224"/>
      <c r="DQJ1" s="224"/>
      <c r="DQK1" s="224"/>
      <c r="DQL1" s="224"/>
      <c r="DQM1" s="224"/>
      <c r="DQN1" s="224"/>
      <c r="DQO1" s="224"/>
      <c r="DQP1" s="224"/>
      <c r="DQQ1" s="224"/>
      <c r="DQR1" s="224"/>
      <c r="DQS1" s="224"/>
      <c r="DQT1" s="224"/>
      <c r="DQU1" s="224"/>
      <c r="DQV1" s="224"/>
      <c r="DQW1" s="224"/>
      <c r="DQX1" s="224"/>
      <c r="DQY1" s="224"/>
      <c r="DQZ1" s="224"/>
      <c r="DRA1" s="224"/>
      <c r="DRB1" s="224"/>
      <c r="DRC1" s="224"/>
      <c r="DRD1" s="224"/>
      <c r="DRE1" s="224"/>
      <c r="DRF1" s="224"/>
      <c r="DRG1" s="224"/>
      <c r="DRH1" s="224"/>
      <c r="DRI1" s="224"/>
      <c r="DRJ1" s="224"/>
      <c r="DRK1" s="224"/>
      <c r="DRL1" s="224"/>
      <c r="DRM1" s="224"/>
      <c r="DRN1" s="224"/>
      <c r="DRO1" s="224"/>
      <c r="DRP1" s="224"/>
      <c r="DRQ1" s="224"/>
      <c r="DRR1" s="224"/>
      <c r="DRS1" s="224"/>
      <c r="DRT1" s="224"/>
      <c r="DRU1" s="224"/>
      <c r="DRV1" s="224"/>
      <c r="DRW1" s="224"/>
      <c r="DRX1" s="224"/>
      <c r="DRY1" s="224"/>
      <c r="DRZ1" s="224"/>
      <c r="DSA1" s="224"/>
      <c r="DSB1" s="224"/>
      <c r="DSC1" s="224"/>
      <c r="DSD1" s="224"/>
      <c r="DSE1" s="224"/>
      <c r="DSF1" s="224"/>
      <c r="DSG1" s="224"/>
      <c r="DSH1" s="224"/>
      <c r="DSI1" s="224"/>
      <c r="DSJ1" s="224"/>
      <c r="DSK1" s="224"/>
      <c r="DSL1" s="224"/>
      <c r="DSM1" s="224"/>
      <c r="DSN1" s="224"/>
      <c r="DSO1" s="224"/>
      <c r="DSP1" s="224"/>
      <c r="DSQ1" s="224"/>
      <c r="DSR1" s="224"/>
      <c r="DSS1" s="224"/>
      <c r="DST1" s="224"/>
      <c r="DSU1" s="224"/>
      <c r="DSV1" s="224"/>
      <c r="DSW1" s="224"/>
      <c r="DSX1" s="224"/>
      <c r="DSY1" s="224"/>
      <c r="DSZ1" s="224"/>
      <c r="DTA1" s="224"/>
      <c r="DTB1" s="224"/>
      <c r="DTC1" s="224"/>
      <c r="DTD1" s="224"/>
      <c r="DTE1" s="224"/>
      <c r="DTF1" s="224"/>
      <c r="DTG1" s="224"/>
      <c r="DTH1" s="224"/>
      <c r="DTI1" s="224"/>
      <c r="DTJ1" s="224"/>
      <c r="DTK1" s="224"/>
      <c r="DTL1" s="224"/>
      <c r="DTM1" s="224"/>
      <c r="DTN1" s="224"/>
      <c r="DTO1" s="224"/>
      <c r="DTP1" s="224"/>
      <c r="DTQ1" s="224"/>
      <c r="DTR1" s="224"/>
      <c r="DTS1" s="224"/>
      <c r="DTT1" s="224"/>
      <c r="DTU1" s="224"/>
      <c r="DTV1" s="224"/>
      <c r="DTW1" s="224"/>
      <c r="DTX1" s="224"/>
      <c r="DTY1" s="224"/>
      <c r="DTZ1" s="224"/>
      <c r="DUA1" s="224"/>
      <c r="DUB1" s="224"/>
      <c r="DUC1" s="224"/>
      <c r="DUD1" s="224"/>
      <c r="DUE1" s="224"/>
      <c r="DUF1" s="224"/>
      <c r="DUG1" s="224"/>
      <c r="DUH1" s="224"/>
      <c r="DUI1" s="224"/>
      <c r="DUJ1" s="224"/>
      <c r="DUK1" s="224"/>
      <c r="DUL1" s="224"/>
      <c r="DUM1" s="224"/>
      <c r="DUN1" s="224"/>
      <c r="DUO1" s="224"/>
      <c r="DUP1" s="224"/>
      <c r="DUQ1" s="224"/>
      <c r="DUR1" s="224"/>
      <c r="DUS1" s="224"/>
      <c r="DUT1" s="224"/>
      <c r="DUU1" s="224"/>
      <c r="DUV1" s="224"/>
      <c r="DUW1" s="224"/>
      <c r="DUX1" s="224"/>
      <c r="DUY1" s="224"/>
      <c r="DUZ1" s="224"/>
      <c r="DVA1" s="224"/>
      <c r="DVB1" s="224"/>
      <c r="DVC1" s="224"/>
      <c r="DVD1" s="224"/>
      <c r="DVE1" s="224"/>
      <c r="DVF1" s="224"/>
      <c r="DVG1" s="224"/>
      <c r="DVH1" s="224"/>
      <c r="DVI1" s="224"/>
      <c r="DVJ1" s="224"/>
      <c r="DVK1" s="224"/>
      <c r="DVL1" s="224"/>
      <c r="DVM1" s="224"/>
      <c r="DVN1" s="224"/>
      <c r="DVO1" s="224"/>
      <c r="DVP1" s="224"/>
      <c r="DVQ1" s="224"/>
      <c r="DVR1" s="224"/>
      <c r="DVS1" s="224"/>
      <c r="DVT1" s="224"/>
      <c r="DVU1" s="224"/>
      <c r="DVV1" s="224"/>
      <c r="DVW1" s="224"/>
      <c r="DVX1" s="224"/>
      <c r="DVY1" s="224"/>
      <c r="DVZ1" s="224"/>
      <c r="DWA1" s="224"/>
      <c r="DWB1" s="224"/>
      <c r="DWC1" s="224"/>
      <c r="DWD1" s="224"/>
      <c r="DWE1" s="224"/>
      <c r="DWF1" s="224"/>
      <c r="DWG1" s="224"/>
      <c r="DWH1" s="224"/>
      <c r="DWI1" s="224"/>
      <c r="DWJ1" s="224"/>
      <c r="DWK1" s="224"/>
      <c r="DWL1" s="224"/>
      <c r="DWM1" s="224"/>
      <c r="DWN1" s="224"/>
      <c r="DWO1" s="224"/>
      <c r="DWP1" s="224"/>
      <c r="DWQ1" s="224"/>
      <c r="DWR1" s="224"/>
      <c r="DWS1" s="224"/>
      <c r="DWT1" s="224"/>
      <c r="DWU1" s="224"/>
      <c r="DWV1" s="224"/>
      <c r="DWW1" s="224"/>
      <c r="DWX1" s="224"/>
      <c r="DWY1" s="224"/>
      <c r="DWZ1" s="224"/>
      <c r="DXA1" s="224"/>
      <c r="DXB1" s="224"/>
      <c r="DXC1" s="224"/>
      <c r="DXD1" s="224"/>
      <c r="DXE1" s="224"/>
      <c r="DXF1" s="224"/>
      <c r="DXG1" s="224"/>
      <c r="DXH1" s="224"/>
      <c r="DXI1" s="224"/>
      <c r="DXJ1" s="224"/>
      <c r="DXK1" s="224"/>
      <c r="DXL1" s="224"/>
      <c r="DXM1" s="224"/>
      <c r="DXN1" s="224"/>
      <c r="DXO1" s="224"/>
      <c r="DXP1" s="224"/>
      <c r="DXQ1" s="224"/>
      <c r="DXR1" s="224"/>
      <c r="DXS1" s="224"/>
      <c r="DXT1" s="224"/>
      <c r="DXU1" s="224"/>
      <c r="DXV1" s="224"/>
      <c r="DXW1" s="224"/>
      <c r="DXX1" s="224"/>
      <c r="DXY1" s="224"/>
      <c r="DXZ1" s="224"/>
      <c r="DYA1" s="224"/>
      <c r="DYB1" s="224"/>
      <c r="DYC1" s="224"/>
      <c r="DYD1" s="224"/>
      <c r="DYE1" s="224"/>
      <c r="DYF1" s="224"/>
      <c r="DYG1" s="224"/>
      <c r="DYH1" s="224"/>
      <c r="DYI1" s="224"/>
      <c r="DYJ1" s="224"/>
      <c r="DYK1" s="224"/>
      <c r="DYL1" s="224"/>
      <c r="DYM1" s="224"/>
      <c r="DYN1" s="224"/>
      <c r="DYO1" s="224"/>
      <c r="DYP1" s="224"/>
      <c r="DYQ1" s="224"/>
      <c r="DYR1" s="224"/>
      <c r="DYS1" s="224"/>
      <c r="DYT1" s="224"/>
      <c r="DYU1" s="224"/>
      <c r="DYV1" s="224"/>
      <c r="DYW1" s="224"/>
      <c r="DYX1" s="224"/>
      <c r="DYY1" s="224"/>
      <c r="DYZ1" s="224"/>
      <c r="DZA1" s="224"/>
      <c r="DZB1" s="224"/>
      <c r="DZC1" s="224"/>
      <c r="DZD1" s="224"/>
      <c r="DZE1" s="224"/>
      <c r="DZF1" s="224"/>
      <c r="DZG1" s="224"/>
      <c r="DZH1" s="224"/>
      <c r="DZI1" s="224"/>
      <c r="DZJ1" s="224"/>
      <c r="DZK1" s="224"/>
      <c r="DZL1" s="224"/>
      <c r="DZM1" s="224"/>
      <c r="DZN1" s="224"/>
      <c r="DZO1" s="224"/>
      <c r="DZP1" s="224"/>
      <c r="DZQ1" s="224"/>
      <c r="DZR1" s="224"/>
      <c r="DZS1" s="224"/>
      <c r="DZT1" s="224"/>
      <c r="DZU1" s="224"/>
      <c r="DZV1" s="224"/>
      <c r="DZW1" s="224"/>
      <c r="DZX1" s="224"/>
      <c r="DZY1" s="224"/>
      <c r="DZZ1" s="224"/>
      <c r="EAA1" s="224"/>
      <c r="EAB1" s="224"/>
      <c r="EAC1" s="224"/>
      <c r="EAD1" s="224"/>
      <c r="EAE1" s="224"/>
      <c r="EAF1" s="224"/>
      <c r="EAG1" s="224"/>
      <c r="EAH1" s="224"/>
      <c r="EAI1" s="224"/>
      <c r="EAJ1" s="224"/>
      <c r="EAK1" s="224"/>
      <c r="EAL1" s="224"/>
      <c r="EAM1" s="224"/>
      <c r="EAN1" s="224"/>
      <c r="EAO1" s="224"/>
      <c r="EAP1" s="224"/>
      <c r="EAQ1" s="224"/>
      <c r="EAR1" s="224"/>
      <c r="EAS1" s="224"/>
      <c r="EAT1" s="224"/>
      <c r="EAU1" s="224"/>
      <c r="EAV1" s="224"/>
      <c r="EAW1" s="224"/>
      <c r="EAX1" s="224"/>
      <c r="EAY1" s="224"/>
      <c r="EAZ1" s="224"/>
      <c r="EBA1" s="224"/>
      <c r="EBB1" s="224"/>
      <c r="EBC1" s="224"/>
      <c r="EBD1" s="224"/>
      <c r="EBE1" s="224"/>
      <c r="EBF1" s="224"/>
      <c r="EBG1" s="224"/>
      <c r="EBH1" s="224"/>
      <c r="EBI1" s="224"/>
      <c r="EBJ1" s="224"/>
      <c r="EBK1" s="224"/>
      <c r="EBL1" s="224"/>
      <c r="EBM1" s="224"/>
      <c r="EBN1" s="224"/>
      <c r="EBO1" s="224"/>
      <c r="EBP1" s="224"/>
      <c r="EBQ1" s="224"/>
      <c r="EBR1" s="224"/>
      <c r="EBS1" s="224"/>
      <c r="EBT1" s="224"/>
      <c r="EBU1" s="224"/>
      <c r="EBV1" s="224"/>
      <c r="EBW1" s="224"/>
      <c r="EBX1" s="224"/>
      <c r="EBY1" s="224"/>
      <c r="EBZ1" s="224"/>
      <c r="ECA1" s="224"/>
      <c r="ECB1" s="224"/>
      <c r="ECC1" s="224"/>
      <c r="ECD1" s="224"/>
      <c r="ECE1" s="224"/>
      <c r="ECF1" s="224"/>
      <c r="ECG1" s="224"/>
      <c r="ECH1" s="224"/>
      <c r="ECI1" s="224"/>
      <c r="ECJ1" s="224"/>
      <c r="ECK1" s="224"/>
      <c r="ECL1" s="224"/>
      <c r="ECM1" s="224"/>
      <c r="ECN1" s="224"/>
      <c r="ECO1" s="224"/>
      <c r="ECP1" s="224"/>
      <c r="ECQ1" s="224"/>
      <c r="ECR1" s="224"/>
      <c r="ECS1" s="224"/>
      <c r="ECT1" s="224"/>
      <c r="ECU1" s="224"/>
      <c r="ECV1" s="224"/>
      <c r="ECW1" s="224"/>
      <c r="ECX1" s="224"/>
      <c r="ECY1" s="224"/>
      <c r="ECZ1" s="224"/>
      <c r="EDA1" s="224"/>
      <c r="EDB1" s="224"/>
      <c r="EDC1" s="224"/>
      <c r="EDD1" s="224"/>
      <c r="EDE1" s="224"/>
      <c r="EDF1" s="224"/>
      <c r="EDG1" s="224"/>
      <c r="EDH1" s="224"/>
      <c r="EDI1" s="224"/>
      <c r="EDJ1" s="224"/>
      <c r="EDK1" s="224"/>
      <c r="EDL1" s="224"/>
      <c r="EDM1" s="224"/>
      <c r="EDN1" s="224"/>
      <c r="EDO1" s="224"/>
      <c r="EDP1" s="224"/>
      <c r="EDQ1" s="224"/>
      <c r="EDR1" s="224"/>
      <c r="EDS1" s="224"/>
      <c r="EDT1" s="224"/>
      <c r="EDU1" s="224"/>
      <c r="EDV1" s="224"/>
      <c r="EDW1" s="224"/>
      <c r="EDX1" s="224"/>
      <c r="EDY1" s="224"/>
      <c r="EDZ1" s="224"/>
      <c r="EEA1" s="224"/>
      <c r="EEB1" s="224"/>
      <c r="EEC1" s="224"/>
      <c r="EED1" s="224"/>
      <c r="EEE1" s="224"/>
      <c r="EEF1" s="224"/>
      <c r="EEG1" s="224"/>
      <c r="EEH1" s="224"/>
      <c r="EEI1" s="224"/>
      <c r="EEJ1" s="224"/>
      <c r="EEK1" s="224"/>
      <c r="EEL1" s="224"/>
      <c r="EEM1" s="224"/>
      <c r="EEN1" s="224"/>
      <c r="EEO1" s="224"/>
      <c r="EEP1" s="224"/>
      <c r="EEQ1" s="224"/>
      <c r="EER1" s="224"/>
      <c r="EES1" s="224"/>
      <c r="EET1" s="224"/>
      <c r="EEU1" s="224"/>
      <c r="EEV1" s="224"/>
      <c r="EEW1" s="224"/>
      <c r="EEX1" s="224"/>
      <c r="EEY1" s="224"/>
      <c r="EEZ1" s="224"/>
      <c r="EFA1" s="224"/>
      <c r="EFB1" s="224"/>
      <c r="EFC1" s="224"/>
      <c r="EFD1" s="224"/>
      <c r="EFE1" s="224"/>
      <c r="EFF1" s="224"/>
      <c r="EFG1" s="224"/>
      <c r="EFH1" s="224"/>
      <c r="EFI1" s="224"/>
      <c r="EFJ1" s="224"/>
      <c r="EFK1" s="224"/>
      <c r="EFL1" s="224"/>
      <c r="EFM1" s="224"/>
      <c r="EFN1" s="224"/>
      <c r="EFO1" s="224"/>
      <c r="EFP1" s="224"/>
      <c r="EFQ1" s="224"/>
      <c r="EFR1" s="224"/>
      <c r="EFS1" s="224"/>
      <c r="EFT1" s="224"/>
      <c r="EFU1" s="224"/>
      <c r="EFV1" s="224"/>
      <c r="EFW1" s="224"/>
      <c r="EFX1" s="224"/>
      <c r="EFY1" s="224"/>
      <c r="EFZ1" s="224"/>
      <c r="EGA1" s="224"/>
      <c r="EGB1" s="224"/>
      <c r="EGC1" s="224"/>
      <c r="EGD1" s="224"/>
      <c r="EGE1" s="224"/>
      <c r="EGF1" s="224"/>
      <c r="EGG1" s="224"/>
      <c r="EGH1" s="224"/>
      <c r="EGI1" s="224"/>
      <c r="EGJ1" s="224"/>
      <c r="EGK1" s="224"/>
      <c r="EGL1" s="224"/>
      <c r="EGM1" s="224"/>
      <c r="EGN1" s="224"/>
      <c r="EGO1" s="224"/>
      <c r="EGP1" s="224"/>
      <c r="EGQ1" s="224"/>
      <c r="EGR1" s="224"/>
      <c r="EGS1" s="224"/>
      <c r="EGT1" s="224"/>
      <c r="EGU1" s="224"/>
      <c r="EGV1" s="224"/>
      <c r="EGW1" s="224"/>
      <c r="EGX1" s="224"/>
      <c r="EGY1" s="224"/>
      <c r="EGZ1" s="224"/>
      <c r="EHA1" s="224"/>
      <c r="EHB1" s="224"/>
      <c r="EHC1" s="224"/>
      <c r="EHD1" s="224"/>
      <c r="EHE1" s="224"/>
      <c r="EHF1" s="224"/>
      <c r="EHG1" s="224"/>
      <c r="EHH1" s="224"/>
      <c r="EHI1" s="224"/>
      <c r="EHJ1" s="224"/>
      <c r="EHK1" s="224"/>
      <c r="EHL1" s="224"/>
      <c r="EHM1" s="224"/>
      <c r="EHN1" s="224"/>
      <c r="EHO1" s="224"/>
      <c r="EHP1" s="224"/>
      <c r="EHQ1" s="224"/>
      <c r="EHR1" s="224"/>
      <c r="EHS1" s="224"/>
      <c r="EHT1" s="224"/>
      <c r="EHU1" s="224"/>
      <c r="EHV1" s="224"/>
      <c r="EHW1" s="224"/>
      <c r="EHX1" s="224"/>
      <c r="EHY1" s="224"/>
      <c r="EHZ1" s="224"/>
      <c r="EIA1" s="224"/>
      <c r="EIB1" s="224"/>
      <c r="EIC1" s="224"/>
      <c r="EID1" s="224"/>
      <c r="EIE1" s="224"/>
      <c r="EIF1" s="224"/>
      <c r="EIG1" s="224"/>
      <c r="EIH1" s="224"/>
      <c r="EII1" s="224"/>
      <c r="EIJ1" s="224"/>
      <c r="EIK1" s="224"/>
      <c r="EIL1" s="224"/>
      <c r="EIM1" s="224"/>
      <c r="EIN1" s="224"/>
      <c r="EIO1" s="224"/>
      <c r="EIP1" s="224"/>
      <c r="EIQ1" s="224"/>
      <c r="EIR1" s="224"/>
      <c r="EIS1" s="224"/>
      <c r="EIT1" s="224"/>
      <c r="EIU1" s="224"/>
      <c r="EIV1" s="224"/>
      <c r="EIW1" s="224"/>
      <c r="EIX1" s="224"/>
      <c r="EIY1" s="224"/>
      <c r="EIZ1" s="224"/>
      <c r="EJA1" s="224"/>
      <c r="EJB1" s="224"/>
      <c r="EJC1" s="224"/>
      <c r="EJD1" s="224"/>
      <c r="EJE1" s="224"/>
      <c r="EJF1" s="224"/>
      <c r="EJG1" s="224"/>
      <c r="EJH1" s="224"/>
      <c r="EJI1" s="224"/>
      <c r="EJJ1" s="224"/>
      <c r="EJK1" s="224"/>
      <c r="EJL1" s="224"/>
      <c r="EJM1" s="224"/>
      <c r="EJN1" s="224"/>
      <c r="EJO1" s="224"/>
      <c r="EJP1" s="224"/>
      <c r="EJQ1" s="224"/>
      <c r="EJR1" s="224"/>
      <c r="EJS1" s="224"/>
      <c r="EJT1" s="224"/>
      <c r="EJU1" s="224"/>
      <c r="EJV1" s="224"/>
      <c r="EJW1" s="224"/>
      <c r="EJX1" s="224"/>
      <c r="EJY1" s="224"/>
      <c r="EJZ1" s="224"/>
      <c r="EKA1" s="224"/>
      <c r="EKB1" s="224"/>
      <c r="EKC1" s="224"/>
      <c r="EKD1" s="224"/>
      <c r="EKE1" s="224"/>
      <c r="EKF1" s="224"/>
      <c r="EKG1" s="224"/>
      <c r="EKH1" s="224"/>
      <c r="EKI1" s="224"/>
      <c r="EKJ1" s="224"/>
      <c r="EKK1" s="224"/>
      <c r="EKL1" s="224"/>
      <c r="EKM1" s="224"/>
      <c r="EKN1" s="224"/>
      <c r="EKO1" s="224"/>
      <c r="EKP1" s="224"/>
      <c r="EKQ1" s="224"/>
      <c r="EKR1" s="224"/>
      <c r="EKS1" s="224"/>
      <c r="EKT1" s="224"/>
      <c r="EKU1" s="224"/>
      <c r="EKV1" s="224"/>
      <c r="EKW1" s="224"/>
      <c r="EKX1" s="224"/>
      <c r="EKY1" s="224"/>
      <c r="EKZ1" s="224"/>
      <c r="ELA1" s="224"/>
      <c r="ELB1" s="224"/>
      <c r="ELC1" s="224"/>
      <c r="ELD1" s="224"/>
      <c r="ELE1" s="224"/>
      <c r="ELF1" s="224"/>
      <c r="ELG1" s="224"/>
      <c r="ELH1" s="224"/>
      <c r="ELI1" s="224"/>
      <c r="ELJ1" s="224"/>
      <c r="ELK1" s="224"/>
      <c r="ELL1" s="224"/>
      <c r="ELM1" s="224"/>
      <c r="ELN1" s="224"/>
      <c r="ELO1" s="224"/>
      <c r="ELP1" s="224"/>
      <c r="ELQ1" s="224"/>
      <c r="ELR1" s="224"/>
      <c r="ELS1" s="224"/>
      <c r="ELT1" s="224"/>
      <c r="ELU1" s="224"/>
      <c r="ELV1" s="224"/>
      <c r="ELW1" s="224"/>
      <c r="ELX1" s="224"/>
      <c r="ELY1" s="224"/>
      <c r="ELZ1" s="224"/>
      <c r="EMA1" s="224"/>
      <c r="EMB1" s="224"/>
      <c r="EMC1" s="224"/>
      <c r="EMD1" s="224"/>
      <c r="EME1" s="224"/>
      <c r="EMF1" s="224"/>
      <c r="EMG1" s="224"/>
      <c r="EMH1" s="224"/>
      <c r="EMI1" s="224"/>
      <c r="EMJ1" s="224"/>
      <c r="EMK1" s="224"/>
      <c r="EML1" s="224"/>
      <c r="EMM1" s="224"/>
      <c r="EMN1" s="224"/>
      <c r="EMO1" s="224"/>
      <c r="EMP1" s="224"/>
      <c r="EMQ1" s="224"/>
      <c r="EMR1" s="224"/>
      <c r="EMS1" s="224"/>
      <c r="EMT1" s="224"/>
      <c r="EMU1" s="224"/>
      <c r="EMV1" s="224"/>
      <c r="EMW1" s="224"/>
      <c r="EMX1" s="224"/>
      <c r="EMY1" s="224"/>
      <c r="EMZ1" s="224"/>
      <c r="ENA1" s="224"/>
      <c r="ENB1" s="224"/>
      <c r="ENC1" s="224"/>
      <c r="END1" s="224"/>
      <c r="ENE1" s="224"/>
      <c r="ENF1" s="224"/>
      <c r="ENG1" s="224"/>
      <c r="ENH1" s="224"/>
      <c r="ENI1" s="224"/>
      <c r="ENJ1" s="224"/>
      <c r="ENK1" s="224"/>
      <c r="ENL1" s="224"/>
      <c r="ENM1" s="224"/>
      <c r="ENN1" s="224"/>
      <c r="ENO1" s="224"/>
      <c r="ENP1" s="224"/>
      <c r="ENQ1" s="224"/>
      <c r="ENR1" s="224"/>
      <c r="ENS1" s="224"/>
      <c r="ENT1" s="224"/>
      <c r="ENU1" s="224"/>
      <c r="ENV1" s="224"/>
      <c r="ENW1" s="224"/>
      <c r="ENX1" s="224"/>
      <c r="ENY1" s="224"/>
      <c r="ENZ1" s="224"/>
      <c r="EOA1" s="224"/>
      <c r="EOB1" s="224"/>
      <c r="EOC1" s="224"/>
      <c r="EOD1" s="224"/>
      <c r="EOE1" s="224"/>
      <c r="EOF1" s="224"/>
      <c r="EOG1" s="224"/>
      <c r="EOH1" s="224"/>
      <c r="EOI1" s="224"/>
      <c r="EOJ1" s="224"/>
      <c r="EOK1" s="224"/>
      <c r="EOL1" s="224"/>
      <c r="EOM1" s="224"/>
      <c r="EON1" s="224"/>
      <c r="EOO1" s="224"/>
      <c r="EOP1" s="224"/>
      <c r="EOQ1" s="224"/>
      <c r="EOR1" s="224"/>
      <c r="EOS1" s="224"/>
      <c r="EOT1" s="224"/>
      <c r="EOU1" s="224"/>
      <c r="EOV1" s="224"/>
      <c r="EOW1" s="224"/>
      <c r="EOX1" s="224"/>
      <c r="EOY1" s="224"/>
      <c r="EOZ1" s="224"/>
      <c r="EPA1" s="224"/>
      <c r="EPB1" s="224"/>
      <c r="EPC1" s="224"/>
      <c r="EPD1" s="224"/>
      <c r="EPE1" s="224"/>
      <c r="EPF1" s="224"/>
      <c r="EPG1" s="224"/>
      <c r="EPH1" s="224"/>
      <c r="EPI1" s="224"/>
      <c r="EPJ1" s="224"/>
      <c r="EPK1" s="224"/>
      <c r="EPL1" s="224"/>
      <c r="EPM1" s="224"/>
      <c r="EPN1" s="224"/>
      <c r="EPO1" s="224"/>
      <c r="EPP1" s="224"/>
      <c r="EPQ1" s="224"/>
      <c r="EPR1" s="224"/>
      <c r="EPS1" s="224"/>
      <c r="EPT1" s="224"/>
      <c r="EPU1" s="224"/>
      <c r="EPV1" s="224"/>
      <c r="EPW1" s="224"/>
      <c r="EPX1" s="224"/>
      <c r="EPY1" s="224"/>
      <c r="EPZ1" s="224"/>
      <c r="EQA1" s="224"/>
      <c r="EQB1" s="224"/>
      <c r="EQC1" s="224"/>
      <c r="EQD1" s="224"/>
      <c r="EQE1" s="224"/>
      <c r="EQF1" s="224"/>
      <c r="EQG1" s="224"/>
      <c r="EQH1" s="224"/>
      <c r="EQI1" s="224"/>
      <c r="EQJ1" s="224"/>
      <c r="EQK1" s="224"/>
      <c r="EQL1" s="224"/>
      <c r="EQM1" s="224"/>
      <c r="EQN1" s="224"/>
      <c r="EQO1" s="224"/>
      <c r="EQP1" s="224"/>
      <c r="EQQ1" s="224"/>
      <c r="EQR1" s="224"/>
      <c r="EQS1" s="224"/>
      <c r="EQT1" s="224"/>
      <c r="EQU1" s="224"/>
      <c r="EQV1" s="224"/>
      <c r="EQW1" s="224"/>
      <c r="EQX1" s="224"/>
      <c r="EQY1" s="224"/>
      <c r="EQZ1" s="224"/>
      <c r="ERA1" s="224"/>
      <c r="ERB1" s="224"/>
      <c r="ERC1" s="224"/>
      <c r="ERD1" s="224"/>
      <c r="ERE1" s="224"/>
      <c r="ERF1" s="224"/>
      <c r="ERG1" s="224"/>
      <c r="ERH1" s="224"/>
      <c r="ERI1" s="224"/>
      <c r="ERJ1" s="224"/>
      <c r="ERK1" s="224"/>
      <c r="ERL1" s="224"/>
      <c r="ERM1" s="224"/>
      <c r="ERN1" s="224"/>
      <c r="ERO1" s="224"/>
      <c r="ERP1" s="224"/>
      <c r="ERQ1" s="224"/>
      <c r="ERR1" s="224"/>
      <c r="ERS1" s="224"/>
      <c r="ERT1" s="224"/>
      <c r="ERU1" s="224"/>
      <c r="ERV1" s="224"/>
      <c r="ERW1" s="224"/>
      <c r="ERX1" s="224"/>
      <c r="ERY1" s="224"/>
      <c r="ERZ1" s="224"/>
      <c r="ESA1" s="224"/>
      <c r="ESB1" s="224"/>
      <c r="ESC1" s="224"/>
      <c r="ESD1" s="224"/>
      <c r="ESE1" s="224"/>
      <c r="ESF1" s="224"/>
      <c r="ESG1" s="224"/>
      <c r="ESH1" s="224"/>
      <c r="ESI1" s="224"/>
      <c r="ESJ1" s="224"/>
      <c r="ESK1" s="224"/>
      <c r="ESL1" s="224"/>
      <c r="ESM1" s="224"/>
      <c r="ESN1" s="224"/>
      <c r="ESO1" s="224"/>
      <c r="ESP1" s="224"/>
      <c r="ESQ1" s="224"/>
      <c r="ESR1" s="224"/>
      <c r="ESS1" s="224"/>
      <c r="EST1" s="224"/>
      <c r="ESU1" s="224"/>
      <c r="ESV1" s="224"/>
      <c r="ESW1" s="224"/>
      <c r="ESX1" s="224"/>
      <c r="ESY1" s="224"/>
      <c r="ESZ1" s="224"/>
      <c r="ETA1" s="224"/>
      <c r="ETB1" s="224"/>
      <c r="ETC1" s="224"/>
      <c r="ETD1" s="224"/>
      <c r="ETE1" s="224"/>
      <c r="ETF1" s="224"/>
      <c r="ETG1" s="224"/>
      <c r="ETH1" s="224"/>
      <c r="ETI1" s="224"/>
      <c r="ETJ1" s="224"/>
      <c r="ETK1" s="224"/>
      <c r="ETL1" s="224"/>
      <c r="ETM1" s="224"/>
      <c r="ETN1" s="224"/>
      <c r="ETO1" s="224"/>
      <c r="ETP1" s="224"/>
      <c r="ETQ1" s="224"/>
      <c r="ETR1" s="224"/>
      <c r="ETS1" s="224"/>
      <c r="ETT1" s="224"/>
      <c r="ETU1" s="224"/>
      <c r="ETV1" s="224"/>
      <c r="ETW1" s="224"/>
      <c r="ETX1" s="224"/>
      <c r="ETY1" s="224"/>
      <c r="ETZ1" s="224"/>
      <c r="EUA1" s="224"/>
      <c r="EUB1" s="224"/>
      <c r="EUC1" s="224"/>
      <c r="EUD1" s="224"/>
      <c r="EUE1" s="224"/>
      <c r="EUF1" s="224"/>
      <c r="EUG1" s="224"/>
      <c r="EUH1" s="224"/>
      <c r="EUI1" s="224"/>
      <c r="EUJ1" s="224"/>
      <c r="EUK1" s="224"/>
      <c r="EUL1" s="224"/>
      <c r="EUM1" s="224"/>
      <c r="EUN1" s="224"/>
      <c r="EUO1" s="224"/>
      <c r="EUP1" s="224"/>
      <c r="EUQ1" s="224"/>
      <c r="EUR1" s="224"/>
      <c r="EUS1" s="224"/>
      <c r="EUT1" s="224"/>
      <c r="EUU1" s="224"/>
      <c r="EUV1" s="224"/>
      <c r="EUW1" s="224"/>
      <c r="EUX1" s="224"/>
      <c r="EUY1" s="224"/>
      <c r="EUZ1" s="224"/>
      <c r="EVA1" s="224"/>
      <c r="EVB1" s="224"/>
      <c r="EVC1" s="224"/>
      <c r="EVD1" s="224"/>
      <c r="EVE1" s="224"/>
      <c r="EVF1" s="224"/>
      <c r="EVG1" s="224"/>
      <c r="EVH1" s="224"/>
      <c r="EVI1" s="224"/>
      <c r="EVJ1" s="224"/>
      <c r="EVK1" s="224"/>
      <c r="EVL1" s="224"/>
      <c r="EVM1" s="224"/>
      <c r="EVN1" s="224"/>
      <c r="EVO1" s="224"/>
      <c r="EVP1" s="224"/>
      <c r="EVQ1" s="224"/>
      <c r="EVR1" s="224"/>
      <c r="EVS1" s="224"/>
      <c r="EVT1" s="224"/>
      <c r="EVU1" s="224"/>
      <c r="EVV1" s="224"/>
      <c r="EVW1" s="224"/>
      <c r="EVX1" s="224"/>
      <c r="EVY1" s="224"/>
      <c r="EVZ1" s="224"/>
      <c r="EWA1" s="224"/>
      <c r="EWB1" s="224"/>
      <c r="EWC1" s="224"/>
      <c r="EWD1" s="224"/>
      <c r="EWE1" s="224"/>
      <c r="EWF1" s="224"/>
      <c r="EWG1" s="224"/>
      <c r="EWH1" s="224"/>
      <c r="EWI1" s="224"/>
      <c r="EWJ1" s="224"/>
      <c r="EWK1" s="224"/>
      <c r="EWL1" s="224"/>
      <c r="EWM1" s="224"/>
      <c r="EWN1" s="224"/>
      <c r="EWO1" s="224"/>
      <c r="EWP1" s="224"/>
      <c r="EWQ1" s="224"/>
      <c r="EWR1" s="224"/>
      <c r="EWS1" s="224"/>
      <c r="EWT1" s="224"/>
      <c r="EWU1" s="224"/>
      <c r="EWV1" s="224"/>
      <c r="EWW1" s="224"/>
      <c r="EWX1" s="224"/>
      <c r="EWY1" s="224"/>
      <c r="EWZ1" s="224"/>
      <c r="EXA1" s="224"/>
      <c r="EXB1" s="224"/>
      <c r="EXC1" s="224"/>
      <c r="EXD1" s="224"/>
      <c r="EXE1" s="224"/>
      <c r="EXF1" s="224"/>
      <c r="EXG1" s="224"/>
      <c r="EXH1" s="224"/>
      <c r="EXI1" s="224"/>
      <c r="EXJ1" s="224"/>
      <c r="EXK1" s="224"/>
      <c r="EXL1" s="224"/>
      <c r="EXM1" s="224"/>
      <c r="EXN1" s="224"/>
      <c r="EXO1" s="224"/>
      <c r="EXP1" s="224"/>
      <c r="EXQ1" s="224"/>
      <c r="EXR1" s="224"/>
      <c r="EXS1" s="224"/>
      <c r="EXT1" s="224"/>
      <c r="EXU1" s="224"/>
      <c r="EXV1" s="224"/>
      <c r="EXW1" s="224"/>
      <c r="EXX1" s="224"/>
      <c r="EXY1" s="224"/>
      <c r="EXZ1" s="224"/>
      <c r="EYA1" s="224"/>
      <c r="EYB1" s="224"/>
      <c r="EYC1" s="224"/>
      <c r="EYD1" s="224"/>
      <c r="EYE1" s="224"/>
      <c r="EYF1" s="224"/>
      <c r="EYG1" s="224"/>
      <c r="EYH1" s="224"/>
      <c r="EYI1" s="224"/>
      <c r="EYJ1" s="224"/>
      <c r="EYK1" s="224"/>
      <c r="EYL1" s="224"/>
      <c r="EYM1" s="224"/>
      <c r="EYN1" s="224"/>
      <c r="EYO1" s="224"/>
      <c r="EYP1" s="224"/>
      <c r="EYQ1" s="224"/>
      <c r="EYR1" s="224"/>
      <c r="EYS1" s="224"/>
      <c r="EYT1" s="224"/>
      <c r="EYU1" s="224"/>
      <c r="EYV1" s="224"/>
      <c r="EYW1" s="224"/>
      <c r="EYX1" s="224"/>
      <c r="EYY1" s="224"/>
      <c r="EYZ1" s="224"/>
      <c r="EZA1" s="224"/>
      <c r="EZB1" s="224"/>
      <c r="EZC1" s="224"/>
      <c r="EZD1" s="224"/>
      <c r="EZE1" s="224"/>
      <c r="EZF1" s="224"/>
      <c r="EZG1" s="224"/>
      <c r="EZH1" s="224"/>
      <c r="EZI1" s="224"/>
      <c r="EZJ1" s="224"/>
      <c r="EZK1" s="224"/>
      <c r="EZL1" s="224"/>
      <c r="EZM1" s="224"/>
      <c r="EZN1" s="224"/>
      <c r="EZO1" s="224"/>
      <c r="EZP1" s="224"/>
      <c r="EZQ1" s="224"/>
      <c r="EZR1" s="224"/>
      <c r="EZS1" s="224"/>
      <c r="EZT1" s="224"/>
      <c r="EZU1" s="224"/>
      <c r="EZV1" s="224"/>
      <c r="EZW1" s="224"/>
      <c r="EZX1" s="224"/>
      <c r="EZY1" s="224"/>
      <c r="EZZ1" s="224"/>
      <c r="FAA1" s="224"/>
      <c r="FAB1" s="224"/>
      <c r="FAC1" s="224"/>
      <c r="FAD1" s="224"/>
      <c r="FAE1" s="224"/>
      <c r="FAF1" s="224"/>
      <c r="FAG1" s="224"/>
      <c r="FAH1" s="224"/>
      <c r="FAI1" s="224"/>
      <c r="FAJ1" s="224"/>
      <c r="FAK1" s="224"/>
      <c r="FAL1" s="224"/>
      <c r="FAM1" s="224"/>
      <c r="FAN1" s="224"/>
      <c r="FAO1" s="224"/>
      <c r="FAP1" s="224"/>
      <c r="FAQ1" s="224"/>
      <c r="FAR1" s="224"/>
      <c r="FAS1" s="224"/>
      <c r="FAT1" s="224"/>
      <c r="FAU1" s="224"/>
      <c r="FAV1" s="224"/>
      <c r="FAW1" s="224"/>
      <c r="FAX1" s="224"/>
      <c r="FAY1" s="224"/>
      <c r="FAZ1" s="224"/>
      <c r="FBA1" s="224"/>
      <c r="FBB1" s="224"/>
      <c r="FBC1" s="224"/>
      <c r="FBD1" s="224"/>
      <c r="FBE1" s="224"/>
      <c r="FBF1" s="224"/>
      <c r="FBG1" s="224"/>
      <c r="FBH1" s="224"/>
      <c r="FBI1" s="224"/>
      <c r="FBJ1" s="224"/>
      <c r="FBK1" s="224"/>
      <c r="FBL1" s="224"/>
      <c r="FBM1" s="224"/>
      <c r="FBN1" s="224"/>
      <c r="FBO1" s="224"/>
      <c r="FBP1" s="224"/>
      <c r="FBQ1" s="224"/>
      <c r="FBR1" s="224"/>
      <c r="FBS1" s="224"/>
      <c r="FBT1" s="224"/>
      <c r="FBU1" s="224"/>
      <c r="FBV1" s="224"/>
      <c r="FBW1" s="224"/>
      <c r="FBX1" s="224"/>
      <c r="FBY1" s="224"/>
      <c r="FBZ1" s="224"/>
      <c r="FCA1" s="224"/>
      <c r="FCB1" s="224"/>
      <c r="FCC1" s="224"/>
      <c r="FCD1" s="224"/>
      <c r="FCE1" s="224"/>
      <c r="FCF1" s="224"/>
      <c r="FCG1" s="224"/>
      <c r="FCH1" s="224"/>
      <c r="FCI1" s="224"/>
      <c r="FCJ1" s="224"/>
      <c r="FCK1" s="224"/>
      <c r="FCL1" s="224"/>
      <c r="FCM1" s="224"/>
      <c r="FCN1" s="224"/>
      <c r="FCO1" s="224"/>
      <c r="FCP1" s="224"/>
      <c r="FCQ1" s="224"/>
      <c r="FCR1" s="224"/>
      <c r="FCS1" s="224"/>
      <c r="FCT1" s="224"/>
      <c r="FCU1" s="224"/>
      <c r="FCV1" s="224"/>
      <c r="FCW1" s="224"/>
      <c r="FCX1" s="224"/>
      <c r="FCY1" s="224"/>
      <c r="FCZ1" s="224"/>
      <c r="FDA1" s="224"/>
      <c r="FDB1" s="224"/>
      <c r="FDC1" s="224"/>
      <c r="FDD1" s="224"/>
      <c r="FDE1" s="224"/>
      <c r="FDF1" s="224"/>
      <c r="FDG1" s="224"/>
      <c r="FDH1" s="224"/>
      <c r="FDI1" s="224"/>
      <c r="FDJ1" s="224"/>
      <c r="FDK1" s="224"/>
      <c r="FDL1" s="224"/>
      <c r="FDM1" s="224"/>
      <c r="FDN1" s="224"/>
      <c r="FDO1" s="224"/>
      <c r="FDP1" s="224"/>
      <c r="FDQ1" s="224"/>
      <c r="FDR1" s="224"/>
      <c r="FDS1" s="224"/>
      <c r="FDT1" s="224"/>
      <c r="FDU1" s="224"/>
      <c r="FDV1" s="224"/>
      <c r="FDW1" s="224"/>
      <c r="FDX1" s="224"/>
      <c r="FDY1" s="224"/>
      <c r="FDZ1" s="224"/>
      <c r="FEA1" s="224"/>
      <c r="FEB1" s="224"/>
      <c r="FEC1" s="224"/>
      <c r="FED1" s="224"/>
      <c r="FEE1" s="224"/>
      <c r="FEF1" s="224"/>
      <c r="FEG1" s="224"/>
      <c r="FEH1" s="224"/>
      <c r="FEI1" s="224"/>
      <c r="FEJ1" s="224"/>
      <c r="FEK1" s="224"/>
      <c r="FEL1" s="224"/>
      <c r="FEM1" s="224"/>
      <c r="FEN1" s="224"/>
      <c r="FEO1" s="224"/>
      <c r="FEP1" s="224"/>
      <c r="FEQ1" s="224"/>
      <c r="FER1" s="224"/>
      <c r="FES1" s="224"/>
      <c r="FET1" s="224"/>
      <c r="FEU1" s="224"/>
      <c r="FEV1" s="224"/>
      <c r="FEW1" s="224"/>
      <c r="FEX1" s="224"/>
      <c r="FEY1" s="224"/>
      <c r="FEZ1" s="224"/>
      <c r="FFA1" s="224"/>
      <c r="FFB1" s="224"/>
      <c r="FFC1" s="224"/>
      <c r="FFD1" s="224"/>
      <c r="FFE1" s="224"/>
      <c r="FFF1" s="224"/>
      <c r="FFG1" s="224"/>
      <c r="FFH1" s="224"/>
      <c r="FFI1" s="224"/>
      <c r="FFJ1" s="224"/>
      <c r="FFK1" s="224"/>
      <c r="FFL1" s="224"/>
      <c r="FFM1" s="224"/>
      <c r="FFN1" s="224"/>
      <c r="FFO1" s="224"/>
      <c r="FFP1" s="224"/>
      <c r="FFQ1" s="224"/>
      <c r="FFR1" s="224"/>
      <c r="FFS1" s="224"/>
      <c r="FFT1" s="224"/>
      <c r="FFU1" s="224"/>
      <c r="FFV1" s="224"/>
      <c r="FFW1" s="224"/>
      <c r="FFX1" s="224"/>
      <c r="FFY1" s="224"/>
      <c r="FFZ1" s="224"/>
      <c r="FGA1" s="224"/>
      <c r="FGB1" s="224"/>
      <c r="FGC1" s="224"/>
      <c r="FGD1" s="224"/>
      <c r="FGE1" s="224"/>
      <c r="FGF1" s="224"/>
      <c r="FGG1" s="224"/>
      <c r="FGH1" s="224"/>
      <c r="FGI1" s="224"/>
      <c r="FGJ1" s="224"/>
      <c r="FGK1" s="224"/>
      <c r="FGL1" s="224"/>
      <c r="FGM1" s="224"/>
      <c r="FGN1" s="224"/>
      <c r="FGO1" s="224"/>
      <c r="FGP1" s="224"/>
      <c r="FGQ1" s="224"/>
      <c r="FGR1" s="224"/>
      <c r="FGS1" s="224"/>
      <c r="FGT1" s="224"/>
      <c r="FGU1" s="224"/>
      <c r="FGV1" s="224"/>
      <c r="FGW1" s="224"/>
      <c r="FGX1" s="224"/>
      <c r="FGY1" s="224"/>
      <c r="FGZ1" s="224"/>
      <c r="FHA1" s="224"/>
      <c r="FHB1" s="224"/>
      <c r="FHC1" s="224"/>
      <c r="FHD1" s="224"/>
      <c r="FHE1" s="224"/>
      <c r="FHF1" s="224"/>
      <c r="FHG1" s="224"/>
      <c r="FHH1" s="224"/>
      <c r="FHI1" s="224"/>
      <c r="FHJ1" s="224"/>
      <c r="FHK1" s="224"/>
      <c r="FHL1" s="224"/>
      <c r="FHM1" s="224"/>
      <c r="FHN1" s="224"/>
      <c r="FHO1" s="224"/>
      <c r="FHP1" s="224"/>
      <c r="FHQ1" s="224"/>
      <c r="FHR1" s="224"/>
      <c r="FHS1" s="224"/>
      <c r="FHT1" s="224"/>
      <c r="FHU1" s="224"/>
      <c r="FHV1" s="224"/>
      <c r="FHW1" s="224"/>
      <c r="FHX1" s="224"/>
      <c r="FHY1" s="224"/>
      <c r="FHZ1" s="224"/>
      <c r="FIA1" s="224"/>
      <c r="FIB1" s="224"/>
      <c r="FIC1" s="224"/>
      <c r="FID1" s="224"/>
      <c r="FIE1" s="224"/>
      <c r="FIF1" s="224"/>
      <c r="FIG1" s="224"/>
      <c r="FIH1" s="224"/>
      <c r="FII1" s="224"/>
      <c r="FIJ1" s="224"/>
      <c r="FIK1" s="224"/>
      <c r="FIL1" s="224"/>
      <c r="FIM1" s="224"/>
      <c r="FIN1" s="224"/>
      <c r="FIO1" s="224"/>
      <c r="FIP1" s="224"/>
      <c r="FIQ1" s="224"/>
      <c r="FIR1" s="224"/>
      <c r="FIS1" s="224"/>
      <c r="FIT1" s="224"/>
      <c r="FIU1" s="224"/>
      <c r="FIV1" s="224"/>
      <c r="FIW1" s="224"/>
      <c r="FIX1" s="224"/>
      <c r="FIY1" s="224"/>
      <c r="FIZ1" s="224"/>
      <c r="FJA1" s="224"/>
      <c r="FJB1" s="224"/>
      <c r="FJC1" s="224"/>
      <c r="FJD1" s="224"/>
      <c r="FJE1" s="224"/>
      <c r="FJF1" s="224"/>
      <c r="FJG1" s="224"/>
      <c r="FJH1" s="224"/>
      <c r="FJI1" s="224"/>
      <c r="FJJ1" s="224"/>
      <c r="FJK1" s="224"/>
      <c r="FJL1" s="224"/>
      <c r="FJM1" s="224"/>
      <c r="FJN1" s="224"/>
      <c r="FJO1" s="224"/>
      <c r="FJP1" s="224"/>
      <c r="FJQ1" s="224"/>
      <c r="FJR1" s="224"/>
      <c r="FJS1" s="224"/>
      <c r="FJT1" s="224"/>
      <c r="FJU1" s="224"/>
      <c r="FJV1" s="224"/>
      <c r="FJW1" s="224"/>
      <c r="FJX1" s="224"/>
      <c r="FJY1" s="224"/>
      <c r="FJZ1" s="224"/>
      <c r="FKA1" s="224"/>
      <c r="FKB1" s="224"/>
      <c r="FKC1" s="224"/>
      <c r="FKD1" s="224"/>
      <c r="FKE1" s="224"/>
      <c r="FKF1" s="224"/>
      <c r="FKG1" s="224"/>
      <c r="FKH1" s="224"/>
      <c r="FKI1" s="224"/>
      <c r="FKJ1" s="224"/>
      <c r="FKK1" s="224"/>
      <c r="FKL1" s="224"/>
      <c r="FKM1" s="224"/>
      <c r="FKN1" s="224"/>
      <c r="FKO1" s="224"/>
      <c r="FKP1" s="224"/>
      <c r="FKQ1" s="224"/>
      <c r="FKR1" s="224"/>
      <c r="FKS1" s="224"/>
      <c r="FKT1" s="224"/>
      <c r="FKU1" s="224"/>
      <c r="FKV1" s="224"/>
      <c r="FKW1" s="224"/>
      <c r="FKX1" s="224"/>
      <c r="FKY1" s="224"/>
      <c r="FKZ1" s="224"/>
      <c r="FLA1" s="224"/>
      <c r="FLB1" s="224"/>
      <c r="FLC1" s="224"/>
      <c r="FLD1" s="224"/>
      <c r="FLE1" s="224"/>
      <c r="FLF1" s="224"/>
      <c r="FLG1" s="224"/>
      <c r="FLH1" s="224"/>
      <c r="FLI1" s="224"/>
      <c r="FLJ1" s="224"/>
      <c r="FLK1" s="224"/>
      <c r="FLL1" s="224"/>
      <c r="FLM1" s="224"/>
      <c r="FLN1" s="224"/>
      <c r="FLO1" s="224"/>
      <c r="FLP1" s="224"/>
      <c r="FLQ1" s="224"/>
      <c r="FLR1" s="224"/>
      <c r="FLS1" s="224"/>
      <c r="FLT1" s="224"/>
      <c r="FLU1" s="224"/>
      <c r="FLV1" s="224"/>
      <c r="FLW1" s="224"/>
      <c r="FLX1" s="224"/>
      <c r="FLY1" s="224"/>
      <c r="FLZ1" s="224"/>
      <c r="FMA1" s="224"/>
      <c r="FMB1" s="224"/>
      <c r="FMC1" s="224"/>
      <c r="FMD1" s="224"/>
      <c r="FME1" s="224"/>
      <c r="FMF1" s="224"/>
      <c r="FMG1" s="224"/>
      <c r="FMH1" s="224"/>
      <c r="FMI1" s="224"/>
      <c r="FMJ1" s="224"/>
      <c r="FMK1" s="224"/>
      <c r="FML1" s="224"/>
      <c r="FMM1" s="224"/>
      <c r="FMN1" s="224"/>
      <c r="FMO1" s="224"/>
      <c r="FMP1" s="224"/>
      <c r="FMQ1" s="224"/>
      <c r="FMR1" s="224"/>
      <c r="FMS1" s="224"/>
      <c r="FMT1" s="224"/>
      <c r="FMU1" s="224"/>
      <c r="FMV1" s="224"/>
      <c r="FMW1" s="224"/>
      <c r="FMX1" s="224"/>
      <c r="FMY1" s="224"/>
      <c r="FMZ1" s="224"/>
      <c r="FNA1" s="224"/>
      <c r="FNB1" s="224"/>
      <c r="FNC1" s="224"/>
      <c r="FND1" s="224"/>
      <c r="FNE1" s="224"/>
      <c r="FNF1" s="224"/>
      <c r="FNG1" s="224"/>
      <c r="FNH1" s="224"/>
      <c r="FNI1" s="224"/>
      <c r="FNJ1" s="224"/>
      <c r="FNK1" s="224"/>
      <c r="FNL1" s="224"/>
      <c r="FNM1" s="224"/>
      <c r="FNN1" s="224"/>
      <c r="FNO1" s="224"/>
      <c r="FNP1" s="224"/>
      <c r="FNQ1" s="224"/>
      <c r="FNR1" s="224"/>
      <c r="FNS1" s="224"/>
      <c r="FNT1" s="224"/>
      <c r="FNU1" s="224"/>
      <c r="FNV1" s="224"/>
      <c r="FNW1" s="224"/>
      <c r="FNX1" s="224"/>
      <c r="FNY1" s="224"/>
      <c r="FNZ1" s="224"/>
      <c r="FOA1" s="224"/>
      <c r="FOB1" s="224"/>
      <c r="FOC1" s="224"/>
      <c r="FOD1" s="224"/>
      <c r="FOE1" s="224"/>
      <c r="FOF1" s="224"/>
      <c r="FOG1" s="224"/>
      <c r="FOH1" s="224"/>
      <c r="FOI1" s="224"/>
      <c r="FOJ1" s="224"/>
      <c r="FOK1" s="224"/>
      <c r="FOL1" s="224"/>
      <c r="FOM1" s="224"/>
      <c r="FON1" s="224"/>
      <c r="FOO1" s="224"/>
      <c r="FOP1" s="224"/>
      <c r="FOQ1" s="224"/>
      <c r="FOR1" s="224"/>
      <c r="FOS1" s="224"/>
      <c r="FOT1" s="224"/>
      <c r="FOU1" s="224"/>
      <c r="FOV1" s="224"/>
      <c r="FOW1" s="224"/>
      <c r="FOX1" s="224"/>
      <c r="FOY1" s="224"/>
      <c r="FOZ1" s="224"/>
      <c r="FPA1" s="224"/>
      <c r="FPB1" s="224"/>
      <c r="FPC1" s="224"/>
      <c r="FPD1" s="224"/>
      <c r="FPE1" s="224"/>
      <c r="FPF1" s="224"/>
      <c r="FPG1" s="224"/>
      <c r="FPH1" s="224"/>
      <c r="FPI1" s="224"/>
      <c r="FPJ1" s="224"/>
      <c r="FPK1" s="224"/>
      <c r="FPL1" s="224"/>
      <c r="FPM1" s="224"/>
      <c r="FPN1" s="224"/>
      <c r="FPO1" s="224"/>
      <c r="FPP1" s="224"/>
      <c r="FPQ1" s="224"/>
      <c r="FPR1" s="224"/>
      <c r="FPS1" s="224"/>
      <c r="FPT1" s="224"/>
      <c r="FPU1" s="224"/>
      <c r="FPV1" s="224"/>
      <c r="FPW1" s="224"/>
      <c r="FPX1" s="224"/>
      <c r="FPY1" s="224"/>
      <c r="FPZ1" s="224"/>
      <c r="FQA1" s="224"/>
      <c r="FQB1" s="224"/>
      <c r="FQC1" s="224"/>
      <c r="FQD1" s="224"/>
      <c r="FQE1" s="224"/>
      <c r="FQF1" s="224"/>
      <c r="FQG1" s="224"/>
      <c r="FQH1" s="224"/>
      <c r="FQI1" s="224"/>
      <c r="FQJ1" s="224"/>
      <c r="FQK1" s="224"/>
      <c r="FQL1" s="224"/>
      <c r="FQM1" s="224"/>
      <c r="FQN1" s="224"/>
      <c r="FQO1" s="224"/>
      <c r="FQP1" s="224"/>
      <c r="FQQ1" s="224"/>
      <c r="FQR1" s="224"/>
      <c r="FQS1" s="224"/>
      <c r="FQT1" s="224"/>
      <c r="FQU1" s="224"/>
      <c r="FQV1" s="224"/>
      <c r="FQW1" s="224"/>
      <c r="FQX1" s="224"/>
      <c r="FQY1" s="224"/>
      <c r="FQZ1" s="224"/>
      <c r="FRA1" s="224"/>
      <c r="FRB1" s="224"/>
      <c r="FRC1" s="224"/>
      <c r="FRD1" s="224"/>
      <c r="FRE1" s="224"/>
      <c r="FRF1" s="224"/>
      <c r="FRG1" s="224"/>
      <c r="FRH1" s="224"/>
      <c r="FRI1" s="224"/>
      <c r="FRJ1" s="224"/>
      <c r="FRK1" s="224"/>
      <c r="FRL1" s="224"/>
      <c r="FRM1" s="224"/>
      <c r="FRN1" s="224"/>
      <c r="FRO1" s="224"/>
      <c r="FRP1" s="224"/>
      <c r="FRQ1" s="224"/>
      <c r="FRR1" s="224"/>
      <c r="FRS1" s="224"/>
      <c r="FRT1" s="224"/>
      <c r="FRU1" s="224"/>
      <c r="FRV1" s="224"/>
      <c r="FRW1" s="224"/>
      <c r="FRX1" s="224"/>
      <c r="FRY1" s="224"/>
      <c r="FRZ1" s="224"/>
      <c r="FSA1" s="224"/>
      <c r="FSB1" s="224"/>
      <c r="FSC1" s="224"/>
      <c r="FSD1" s="224"/>
      <c r="FSE1" s="224"/>
      <c r="FSF1" s="224"/>
      <c r="FSG1" s="224"/>
      <c r="FSH1" s="224"/>
      <c r="FSI1" s="224"/>
      <c r="FSJ1" s="224"/>
      <c r="FSK1" s="224"/>
      <c r="FSL1" s="224"/>
      <c r="FSM1" s="224"/>
      <c r="FSN1" s="224"/>
      <c r="FSO1" s="224"/>
      <c r="FSP1" s="224"/>
      <c r="FSQ1" s="224"/>
      <c r="FSR1" s="224"/>
      <c r="FSS1" s="224"/>
      <c r="FST1" s="224"/>
      <c r="FSU1" s="224"/>
      <c r="FSV1" s="224"/>
      <c r="FSW1" s="224"/>
      <c r="FSX1" s="224"/>
      <c r="FSY1" s="224"/>
      <c r="FSZ1" s="224"/>
      <c r="FTA1" s="224"/>
      <c r="FTB1" s="224"/>
      <c r="FTC1" s="224"/>
      <c r="FTD1" s="224"/>
      <c r="FTE1" s="224"/>
      <c r="FTF1" s="224"/>
      <c r="FTG1" s="224"/>
      <c r="FTH1" s="224"/>
      <c r="FTI1" s="224"/>
      <c r="FTJ1" s="224"/>
      <c r="FTK1" s="224"/>
      <c r="FTL1" s="224"/>
      <c r="FTM1" s="224"/>
      <c r="FTN1" s="224"/>
      <c r="FTO1" s="224"/>
      <c r="FTP1" s="224"/>
      <c r="FTQ1" s="224"/>
      <c r="FTR1" s="224"/>
      <c r="FTS1" s="224"/>
      <c r="FTT1" s="224"/>
      <c r="FTU1" s="224"/>
      <c r="FTV1" s="224"/>
      <c r="FTW1" s="224"/>
      <c r="FTX1" s="224"/>
      <c r="FTY1" s="224"/>
      <c r="FTZ1" s="224"/>
      <c r="FUA1" s="224"/>
      <c r="FUB1" s="224"/>
      <c r="FUC1" s="224"/>
      <c r="FUD1" s="224"/>
      <c r="FUE1" s="224"/>
      <c r="FUF1" s="224"/>
      <c r="FUG1" s="224"/>
      <c r="FUH1" s="224"/>
      <c r="FUI1" s="224"/>
      <c r="FUJ1" s="224"/>
      <c r="FUK1" s="224"/>
      <c r="FUL1" s="224"/>
      <c r="FUM1" s="224"/>
      <c r="FUN1" s="224"/>
      <c r="FUO1" s="224"/>
      <c r="FUP1" s="224"/>
      <c r="FUQ1" s="224"/>
      <c r="FUR1" s="224"/>
      <c r="FUS1" s="224"/>
      <c r="FUT1" s="224"/>
      <c r="FUU1" s="224"/>
      <c r="FUV1" s="224"/>
      <c r="FUW1" s="224"/>
      <c r="FUX1" s="224"/>
      <c r="FUY1" s="224"/>
      <c r="FUZ1" s="224"/>
      <c r="FVA1" s="224"/>
      <c r="FVB1" s="224"/>
      <c r="FVC1" s="224"/>
      <c r="FVD1" s="224"/>
      <c r="FVE1" s="224"/>
      <c r="FVF1" s="224"/>
      <c r="FVG1" s="224"/>
      <c r="FVH1" s="224"/>
      <c r="FVI1" s="224"/>
      <c r="FVJ1" s="224"/>
      <c r="FVK1" s="224"/>
      <c r="FVL1" s="224"/>
      <c r="FVM1" s="224"/>
      <c r="FVN1" s="224"/>
      <c r="FVO1" s="224"/>
      <c r="FVP1" s="224"/>
      <c r="FVQ1" s="224"/>
      <c r="FVR1" s="224"/>
      <c r="FVS1" s="224"/>
      <c r="FVT1" s="224"/>
      <c r="FVU1" s="224"/>
      <c r="FVV1" s="224"/>
      <c r="FVW1" s="224"/>
      <c r="FVX1" s="224"/>
      <c r="FVY1" s="224"/>
      <c r="FVZ1" s="224"/>
      <c r="FWA1" s="224"/>
      <c r="FWB1" s="224"/>
      <c r="FWC1" s="224"/>
      <c r="FWD1" s="224"/>
      <c r="FWE1" s="224"/>
      <c r="FWF1" s="224"/>
      <c r="FWG1" s="224"/>
      <c r="FWH1" s="224"/>
      <c r="FWI1" s="224"/>
      <c r="FWJ1" s="224"/>
      <c r="FWK1" s="224"/>
      <c r="FWL1" s="224"/>
      <c r="FWM1" s="224"/>
      <c r="FWN1" s="224"/>
      <c r="FWO1" s="224"/>
      <c r="FWP1" s="224"/>
      <c r="FWQ1" s="224"/>
      <c r="FWR1" s="224"/>
      <c r="FWS1" s="224"/>
      <c r="FWT1" s="224"/>
      <c r="FWU1" s="224"/>
      <c r="FWV1" s="224"/>
      <c r="FWW1" s="224"/>
      <c r="FWX1" s="224"/>
      <c r="FWY1" s="224"/>
      <c r="FWZ1" s="224"/>
      <c r="FXA1" s="224"/>
      <c r="FXB1" s="224"/>
      <c r="FXC1" s="224"/>
      <c r="FXD1" s="224"/>
      <c r="FXE1" s="224"/>
      <c r="FXF1" s="224"/>
      <c r="FXG1" s="224"/>
      <c r="FXH1" s="224"/>
      <c r="FXI1" s="224"/>
      <c r="FXJ1" s="224"/>
      <c r="FXK1" s="224"/>
      <c r="FXL1" s="224"/>
      <c r="FXM1" s="224"/>
      <c r="FXN1" s="224"/>
      <c r="FXO1" s="224"/>
      <c r="FXP1" s="224"/>
      <c r="FXQ1" s="224"/>
      <c r="FXR1" s="224"/>
      <c r="FXS1" s="224"/>
      <c r="FXT1" s="224"/>
      <c r="FXU1" s="224"/>
      <c r="FXV1" s="224"/>
      <c r="FXW1" s="224"/>
      <c r="FXX1" s="224"/>
      <c r="FXY1" s="224"/>
      <c r="FXZ1" s="224"/>
      <c r="FYA1" s="224"/>
      <c r="FYB1" s="224"/>
      <c r="FYC1" s="224"/>
      <c r="FYD1" s="224"/>
      <c r="FYE1" s="224"/>
      <c r="FYF1" s="224"/>
      <c r="FYG1" s="224"/>
      <c r="FYH1" s="224"/>
      <c r="FYI1" s="224"/>
      <c r="FYJ1" s="224"/>
      <c r="FYK1" s="224"/>
      <c r="FYL1" s="224"/>
      <c r="FYM1" s="224"/>
      <c r="FYN1" s="224"/>
      <c r="FYO1" s="224"/>
      <c r="FYP1" s="224"/>
      <c r="FYQ1" s="224"/>
      <c r="FYR1" s="224"/>
      <c r="FYS1" s="224"/>
      <c r="FYT1" s="224"/>
      <c r="FYU1" s="224"/>
      <c r="FYV1" s="224"/>
      <c r="FYW1" s="224"/>
      <c r="FYX1" s="224"/>
      <c r="FYY1" s="224"/>
      <c r="FYZ1" s="224"/>
      <c r="FZA1" s="224"/>
      <c r="FZB1" s="224"/>
      <c r="FZC1" s="224"/>
      <c r="FZD1" s="224"/>
      <c r="FZE1" s="224"/>
      <c r="FZF1" s="224"/>
      <c r="FZG1" s="224"/>
      <c r="FZH1" s="224"/>
      <c r="FZI1" s="224"/>
      <c r="FZJ1" s="224"/>
      <c r="FZK1" s="224"/>
      <c r="FZL1" s="224"/>
      <c r="FZM1" s="224"/>
      <c r="FZN1" s="224"/>
      <c r="FZO1" s="224"/>
      <c r="FZP1" s="224"/>
      <c r="FZQ1" s="224"/>
      <c r="FZR1" s="224"/>
      <c r="FZS1" s="224"/>
      <c r="FZT1" s="224"/>
      <c r="FZU1" s="224"/>
      <c r="FZV1" s="224"/>
      <c r="FZW1" s="224"/>
      <c r="FZX1" s="224"/>
      <c r="FZY1" s="224"/>
      <c r="FZZ1" s="224"/>
      <c r="GAA1" s="224"/>
      <c r="GAB1" s="224"/>
      <c r="GAC1" s="224"/>
      <c r="GAD1" s="224"/>
      <c r="GAE1" s="224"/>
      <c r="GAF1" s="224"/>
      <c r="GAG1" s="224"/>
      <c r="GAH1" s="224"/>
      <c r="GAI1" s="224"/>
      <c r="GAJ1" s="224"/>
      <c r="GAK1" s="224"/>
      <c r="GAL1" s="224"/>
      <c r="GAM1" s="224"/>
      <c r="GAN1" s="224"/>
      <c r="GAO1" s="224"/>
      <c r="GAP1" s="224"/>
      <c r="GAQ1" s="224"/>
      <c r="GAR1" s="224"/>
      <c r="GAS1" s="224"/>
      <c r="GAT1" s="224"/>
      <c r="GAU1" s="224"/>
      <c r="GAV1" s="224"/>
      <c r="GAW1" s="224"/>
      <c r="GAX1" s="224"/>
      <c r="GAY1" s="224"/>
      <c r="GAZ1" s="224"/>
      <c r="GBA1" s="224"/>
      <c r="GBB1" s="224"/>
      <c r="GBC1" s="224"/>
      <c r="GBD1" s="224"/>
      <c r="GBE1" s="224"/>
      <c r="GBF1" s="224"/>
      <c r="GBG1" s="224"/>
      <c r="GBH1" s="224"/>
      <c r="GBI1" s="224"/>
      <c r="GBJ1" s="224"/>
      <c r="GBK1" s="224"/>
      <c r="GBL1" s="224"/>
      <c r="GBM1" s="224"/>
      <c r="GBN1" s="224"/>
      <c r="GBO1" s="224"/>
      <c r="GBP1" s="224"/>
      <c r="GBQ1" s="224"/>
      <c r="GBR1" s="224"/>
      <c r="GBS1" s="224"/>
      <c r="GBT1" s="224"/>
      <c r="GBU1" s="224"/>
      <c r="GBV1" s="224"/>
      <c r="GBW1" s="224"/>
      <c r="GBX1" s="224"/>
      <c r="GBY1" s="224"/>
      <c r="GBZ1" s="224"/>
      <c r="GCA1" s="224"/>
      <c r="GCB1" s="224"/>
      <c r="GCC1" s="224"/>
      <c r="GCD1" s="224"/>
      <c r="GCE1" s="224"/>
      <c r="GCF1" s="224"/>
      <c r="GCG1" s="224"/>
      <c r="GCH1" s="224"/>
      <c r="GCI1" s="224"/>
      <c r="GCJ1" s="224"/>
      <c r="GCK1" s="224"/>
      <c r="GCL1" s="224"/>
      <c r="GCM1" s="224"/>
      <c r="GCN1" s="224"/>
      <c r="GCO1" s="224"/>
      <c r="GCP1" s="224"/>
      <c r="GCQ1" s="224"/>
      <c r="GCR1" s="224"/>
      <c r="GCS1" s="224"/>
      <c r="GCT1" s="224"/>
      <c r="GCU1" s="224"/>
      <c r="GCV1" s="224"/>
      <c r="GCW1" s="224"/>
      <c r="GCX1" s="224"/>
      <c r="GCY1" s="224"/>
      <c r="GCZ1" s="224"/>
      <c r="GDA1" s="224"/>
      <c r="GDB1" s="224"/>
      <c r="GDC1" s="224"/>
      <c r="GDD1" s="224"/>
      <c r="GDE1" s="224"/>
      <c r="GDF1" s="224"/>
      <c r="GDG1" s="224"/>
      <c r="GDH1" s="224"/>
      <c r="GDI1" s="224"/>
      <c r="GDJ1" s="224"/>
      <c r="GDK1" s="224"/>
      <c r="GDL1" s="224"/>
      <c r="GDM1" s="224"/>
      <c r="GDN1" s="224"/>
      <c r="GDO1" s="224"/>
      <c r="GDP1" s="224"/>
      <c r="GDQ1" s="224"/>
      <c r="GDR1" s="224"/>
      <c r="GDS1" s="224"/>
      <c r="GDT1" s="224"/>
      <c r="GDU1" s="224"/>
      <c r="GDV1" s="224"/>
      <c r="GDW1" s="224"/>
      <c r="GDX1" s="224"/>
      <c r="GDY1" s="224"/>
      <c r="GDZ1" s="224"/>
      <c r="GEA1" s="224"/>
      <c r="GEB1" s="224"/>
      <c r="GEC1" s="224"/>
      <c r="GED1" s="224"/>
      <c r="GEE1" s="224"/>
      <c r="GEF1" s="224"/>
      <c r="GEG1" s="224"/>
      <c r="GEH1" s="224"/>
      <c r="GEI1" s="224"/>
      <c r="GEJ1" s="224"/>
      <c r="GEK1" s="224"/>
      <c r="GEL1" s="224"/>
      <c r="GEM1" s="224"/>
      <c r="GEN1" s="224"/>
      <c r="GEO1" s="224"/>
      <c r="GEP1" s="224"/>
      <c r="GEQ1" s="224"/>
      <c r="GER1" s="224"/>
      <c r="GES1" s="224"/>
      <c r="GET1" s="224"/>
      <c r="GEU1" s="224"/>
      <c r="GEV1" s="224"/>
      <c r="GEW1" s="224"/>
      <c r="GEX1" s="224"/>
      <c r="GEY1" s="224"/>
      <c r="GEZ1" s="224"/>
      <c r="GFA1" s="224"/>
      <c r="GFB1" s="224"/>
      <c r="GFC1" s="224"/>
      <c r="GFD1" s="224"/>
      <c r="GFE1" s="224"/>
      <c r="GFF1" s="224"/>
      <c r="GFG1" s="224"/>
      <c r="GFH1" s="224"/>
      <c r="GFI1" s="224"/>
      <c r="GFJ1" s="224"/>
      <c r="GFK1" s="224"/>
      <c r="GFL1" s="224"/>
      <c r="GFM1" s="224"/>
      <c r="GFN1" s="224"/>
      <c r="GFO1" s="224"/>
      <c r="GFP1" s="224"/>
      <c r="GFQ1" s="224"/>
      <c r="GFR1" s="224"/>
      <c r="GFS1" s="224"/>
      <c r="GFT1" s="224"/>
      <c r="GFU1" s="224"/>
      <c r="GFV1" s="224"/>
      <c r="GFW1" s="224"/>
      <c r="GFX1" s="224"/>
      <c r="GFY1" s="224"/>
      <c r="GFZ1" s="224"/>
      <c r="GGA1" s="224"/>
      <c r="GGB1" s="224"/>
      <c r="GGC1" s="224"/>
      <c r="GGD1" s="224"/>
      <c r="GGE1" s="224"/>
      <c r="GGF1" s="224"/>
      <c r="GGG1" s="224"/>
      <c r="GGH1" s="224"/>
      <c r="GGI1" s="224"/>
      <c r="GGJ1" s="224"/>
      <c r="GGK1" s="224"/>
      <c r="GGL1" s="224"/>
      <c r="GGM1" s="224"/>
      <c r="GGN1" s="224"/>
      <c r="GGO1" s="224"/>
      <c r="GGP1" s="224"/>
      <c r="GGQ1" s="224"/>
      <c r="GGR1" s="224"/>
      <c r="GGS1" s="224"/>
      <c r="GGT1" s="224"/>
      <c r="GGU1" s="224"/>
      <c r="GGV1" s="224"/>
      <c r="GGW1" s="224"/>
      <c r="GGX1" s="224"/>
      <c r="GGY1" s="224"/>
      <c r="GGZ1" s="224"/>
      <c r="GHA1" s="224"/>
      <c r="GHB1" s="224"/>
      <c r="GHC1" s="224"/>
      <c r="GHD1" s="224"/>
      <c r="GHE1" s="224"/>
      <c r="GHF1" s="224"/>
      <c r="GHG1" s="224"/>
      <c r="GHH1" s="224"/>
      <c r="GHI1" s="224"/>
      <c r="GHJ1" s="224"/>
      <c r="GHK1" s="224"/>
      <c r="GHL1" s="224"/>
      <c r="GHM1" s="224"/>
      <c r="GHN1" s="224"/>
      <c r="GHO1" s="224"/>
      <c r="GHP1" s="224"/>
      <c r="GHQ1" s="224"/>
      <c r="GHR1" s="224"/>
      <c r="GHS1" s="224"/>
      <c r="GHT1" s="224"/>
      <c r="GHU1" s="224"/>
      <c r="GHV1" s="224"/>
      <c r="GHW1" s="224"/>
      <c r="GHX1" s="224"/>
      <c r="GHY1" s="224"/>
      <c r="GHZ1" s="224"/>
      <c r="GIA1" s="224"/>
      <c r="GIB1" s="224"/>
      <c r="GIC1" s="224"/>
      <c r="GID1" s="224"/>
      <c r="GIE1" s="224"/>
      <c r="GIF1" s="224"/>
      <c r="GIG1" s="224"/>
      <c r="GIH1" s="224"/>
      <c r="GII1" s="224"/>
      <c r="GIJ1" s="224"/>
      <c r="GIK1" s="224"/>
      <c r="GIL1" s="224"/>
      <c r="GIM1" s="224"/>
      <c r="GIN1" s="224"/>
      <c r="GIO1" s="224"/>
      <c r="GIP1" s="224"/>
      <c r="GIQ1" s="224"/>
      <c r="GIR1" s="224"/>
      <c r="GIS1" s="224"/>
      <c r="GIT1" s="224"/>
      <c r="GIU1" s="224"/>
      <c r="GIV1" s="224"/>
      <c r="GIW1" s="224"/>
      <c r="GIX1" s="224"/>
      <c r="GIY1" s="224"/>
      <c r="GIZ1" s="224"/>
      <c r="GJA1" s="224"/>
      <c r="GJB1" s="224"/>
      <c r="GJC1" s="224"/>
      <c r="GJD1" s="224"/>
      <c r="GJE1" s="224"/>
      <c r="GJF1" s="224"/>
      <c r="GJG1" s="224"/>
      <c r="GJH1" s="224"/>
      <c r="GJI1" s="224"/>
      <c r="GJJ1" s="224"/>
      <c r="GJK1" s="224"/>
      <c r="GJL1" s="224"/>
      <c r="GJM1" s="224"/>
      <c r="GJN1" s="224"/>
      <c r="GJO1" s="224"/>
      <c r="GJP1" s="224"/>
      <c r="GJQ1" s="224"/>
      <c r="GJR1" s="224"/>
      <c r="GJS1" s="224"/>
      <c r="GJT1" s="224"/>
      <c r="GJU1" s="224"/>
      <c r="GJV1" s="224"/>
      <c r="GJW1" s="224"/>
      <c r="GJX1" s="224"/>
      <c r="GJY1" s="224"/>
      <c r="GJZ1" s="224"/>
      <c r="GKA1" s="224"/>
      <c r="GKB1" s="224"/>
      <c r="GKC1" s="224"/>
      <c r="GKD1" s="224"/>
      <c r="GKE1" s="224"/>
      <c r="GKF1" s="224"/>
      <c r="GKG1" s="224"/>
      <c r="GKH1" s="224"/>
      <c r="GKI1" s="224"/>
      <c r="GKJ1" s="224"/>
      <c r="GKK1" s="224"/>
      <c r="GKL1" s="224"/>
      <c r="GKM1" s="224"/>
      <c r="GKN1" s="224"/>
      <c r="GKO1" s="224"/>
      <c r="GKP1" s="224"/>
      <c r="GKQ1" s="224"/>
      <c r="GKR1" s="224"/>
      <c r="GKS1" s="224"/>
      <c r="GKT1" s="224"/>
      <c r="GKU1" s="224"/>
      <c r="GKV1" s="224"/>
      <c r="GKW1" s="224"/>
      <c r="GKX1" s="224"/>
      <c r="GKY1" s="224"/>
      <c r="GKZ1" s="224"/>
      <c r="GLA1" s="224"/>
      <c r="GLB1" s="224"/>
      <c r="GLC1" s="224"/>
      <c r="GLD1" s="224"/>
      <c r="GLE1" s="224"/>
      <c r="GLF1" s="224"/>
      <c r="GLG1" s="224"/>
      <c r="GLH1" s="224"/>
      <c r="GLI1" s="224"/>
      <c r="GLJ1" s="224"/>
      <c r="GLK1" s="224"/>
      <c r="GLL1" s="224"/>
      <c r="GLM1" s="224"/>
      <c r="GLN1" s="224"/>
      <c r="GLO1" s="224"/>
      <c r="GLP1" s="224"/>
      <c r="GLQ1" s="224"/>
      <c r="GLR1" s="224"/>
      <c r="GLS1" s="224"/>
      <c r="GLT1" s="224"/>
      <c r="GLU1" s="224"/>
      <c r="GLV1" s="224"/>
      <c r="GLW1" s="224"/>
      <c r="GLX1" s="224"/>
      <c r="GLY1" s="224"/>
      <c r="GLZ1" s="224"/>
      <c r="GMA1" s="224"/>
      <c r="GMB1" s="224"/>
      <c r="GMC1" s="224"/>
      <c r="GMD1" s="224"/>
      <c r="GME1" s="224"/>
      <c r="GMF1" s="224"/>
      <c r="GMG1" s="224"/>
      <c r="GMH1" s="224"/>
      <c r="GMI1" s="224"/>
      <c r="GMJ1" s="224"/>
      <c r="GMK1" s="224"/>
      <c r="GML1" s="224"/>
      <c r="GMM1" s="224"/>
      <c r="GMN1" s="224"/>
      <c r="GMO1" s="224"/>
      <c r="GMP1" s="224"/>
      <c r="GMQ1" s="224"/>
      <c r="GMR1" s="224"/>
      <c r="GMS1" s="224"/>
      <c r="GMT1" s="224"/>
      <c r="GMU1" s="224"/>
      <c r="GMV1" s="224"/>
      <c r="GMW1" s="224"/>
      <c r="GMX1" s="224"/>
      <c r="GMY1" s="224"/>
      <c r="GMZ1" s="224"/>
      <c r="GNA1" s="224"/>
      <c r="GNB1" s="224"/>
      <c r="GNC1" s="224"/>
      <c r="GND1" s="224"/>
      <c r="GNE1" s="224"/>
      <c r="GNF1" s="224"/>
      <c r="GNG1" s="224"/>
      <c r="GNH1" s="224"/>
      <c r="GNI1" s="224"/>
      <c r="GNJ1" s="224"/>
      <c r="GNK1" s="224"/>
      <c r="GNL1" s="224"/>
      <c r="GNM1" s="224"/>
      <c r="GNN1" s="224"/>
      <c r="GNO1" s="224"/>
      <c r="GNP1" s="224"/>
      <c r="GNQ1" s="224"/>
      <c r="GNR1" s="224"/>
      <c r="GNS1" s="224"/>
      <c r="GNT1" s="224"/>
      <c r="GNU1" s="224"/>
      <c r="GNV1" s="224"/>
      <c r="GNW1" s="224"/>
      <c r="GNX1" s="224"/>
      <c r="GNY1" s="224"/>
      <c r="GNZ1" s="224"/>
      <c r="GOA1" s="224"/>
      <c r="GOB1" s="224"/>
      <c r="GOC1" s="224"/>
      <c r="GOD1" s="224"/>
      <c r="GOE1" s="224"/>
      <c r="GOF1" s="224"/>
      <c r="GOG1" s="224"/>
      <c r="GOH1" s="224"/>
      <c r="GOI1" s="224"/>
      <c r="GOJ1" s="224"/>
      <c r="GOK1" s="224"/>
      <c r="GOL1" s="224"/>
      <c r="GOM1" s="224"/>
      <c r="GON1" s="224"/>
      <c r="GOO1" s="224"/>
      <c r="GOP1" s="224"/>
      <c r="GOQ1" s="224"/>
      <c r="GOR1" s="224"/>
      <c r="GOS1" s="224"/>
      <c r="GOT1" s="224"/>
      <c r="GOU1" s="224"/>
      <c r="GOV1" s="224"/>
      <c r="GOW1" s="224"/>
      <c r="GOX1" s="224"/>
      <c r="GOY1" s="224"/>
      <c r="GOZ1" s="224"/>
      <c r="GPA1" s="224"/>
      <c r="GPB1" s="224"/>
      <c r="GPC1" s="224"/>
      <c r="GPD1" s="224"/>
      <c r="GPE1" s="224"/>
      <c r="GPF1" s="224"/>
      <c r="GPG1" s="224"/>
      <c r="GPH1" s="224"/>
      <c r="GPI1" s="224"/>
      <c r="GPJ1" s="224"/>
      <c r="GPK1" s="224"/>
      <c r="GPL1" s="224"/>
      <c r="GPM1" s="224"/>
      <c r="GPN1" s="224"/>
      <c r="GPO1" s="224"/>
      <c r="GPP1" s="224"/>
      <c r="GPQ1" s="224"/>
      <c r="GPR1" s="224"/>
      <c r="GPS1" s="224"/>
      <c r="GPT1" s="224"/>
      <c r="GPU1" s="224"/>
      <c r="GPV1" s="224"/>
      <c r="GPW1" s="224"/>
      <c r="GPX1" s="224"/>
      <c r="GPY1" s="224"/>
      <c r="GPZ1" s="224"/>
      <c r="GQA1" s="224"/>
      <c r="GQB1" s="224"/>
      <c r="GQC1" s="224"/>
      <c r="GQD1" s="224"/>
      <c r="GQE1" s="224"/>
      <c r="GQF1" s="224"/>
      <c r="GQG1" s="224"/>
      <c r="GQH1" s="224"/>
      <c r="GQI1" s="224"/>
      <c r="GQJ1" s="224"/>
      <c r="GQK1" s="224"/>
      <c r="GQL1" s="224"/>
      <c r="GQM1" s="224"/>
      <c r="GQN1" s="224"/>
      <c r="GQO1" s="224"/>
      <c r="GQP1" s="224"/>
      <c r="GQQ1" s="224"/>
      <c r="GQR1" s="224"/>
      <c r="GQS1" s="224"/>
      <c r="GQT1" s="224"/>
      <c r="GQU1" s="224"/>
      <c r="GQV1" s="224"/>
      <c r="GQW1" s="224"/>
      <c r="GQX1" s="224"/>
      <c r="GQY1" s="224"/>
      <c r="GQZ1" s="224"/>
      <c r="GRA1" s="224"/>
      <c r="GRB1" s="224"/>
      <c r="GRC1" s="224"/>
      <c r="GRD1" s="224"/>
      <c r="GRE1" s="224"/>
      <c r="GRF1" s="224"/>
      <c r="GRG1" s="224"/>
      <c r="GRH1" s="224"/>
      <c r="GRI1" s="224"/>
      <c r="GRJ1" s="224"/>
      <c r="GRK1" s="224"/>
      <c r="GRL1" s="224"/>
      <c r="GRM1" s="224"/>
      <c r="GRN1" s="224"/>
      <c r="GRO1" s="224"/>
      <c r="GRP1" s="224"/>
      <c r="GRQ1" s="224"/>
      <c r="GRR1" s="224"/>
      <c r="GRS1" s="224"/>
      <c r="GRT1" s="224"/>
      <c r="GRU1" s="224"/>
      <c r="GRV1" s="224"/>
      <c r="GRW1" s="224"/>
      <c r="GRX1" s="224"/>
      <c r="GRY1" s="224"/>
      <c r="GRZ1" s="224"/>
      <c r="GSA1" s="224"/>
      <c r="GSB1" s="224"/>
      <c r="GSC1" s="224"/>
      <c r="GSD1" s="224"/>
      <c r="GSE1" s="224"/>
      <c r="GSF1" s="224"/>
      <c r="GSG1" s="224"/>
      <c r="GSH1" s="224"/>
      <c r="GSI1" s="224"/>
      <c r="GSJ1" s="224"/>
      <c r="GSK1" s="224"/>
      <c r="GSL1" s="224"/>
      <c r="GSM1" s="224"/>
      <c r="GSN1" s="224"/>
      <c r="GSO1" s="224"/>
      <c r="GSP1" s="224"/>
      <c r="GSQ1" s="224"/>
      <c r="GSR1" s="224"/>
      <c r="GSS1" s="224"/>
      <c r="GST1" s="224"/>
      <c r="GSU1" s="224"/>
      <c r="GSV1" s="224"/>
      <c r="GSW1" s="224"/>
      <c r="GSX1" s="224"/>
      <c r="GSY1" s="224"/>
      <c r="GSZ1" s="224"/>
      <c r="GTA1" s="224"/>
      <c r="GTB1" s="224"/>
      <c r="GTC1" s="224"/>
      <c r="GTD1" s="224"/>
      <c r="GTE1" s="224"/>
      <c r="GTF1" s="224"/>
      <c r="GTG1" s="224"/>
      <c r="GTH1" s="224"/>
      <c r="GTI1" s="224"/>
      <c r="GTJ1" s="224"/>
      <c r="GTK1" s="224"/>
      <c r="GTL1" s="224"/>
      <c r="GTM1" s="224"/>
      <c r="GTN1" s="224"/>
      <c r="GTO1" s="224"/>
      <c r="GTP1" s="224"/>
      <c r="GTQ1" s="224"/>
      <c r="GTR1" s="224"/>
      <c r="GTS1" s="224"/>
      <c r="GTT1" s="224"/>
      <c r="GTU1" s="224"/>
      <c r="GTV1" s="224"/>
      <c r="GTW1" s="224"/>
      <c r="GTX1" s="224"/>
      <c r="GTY1" s="224"/>
      <c r="GTZ1" s="224"/>
      <c r="GUA1" s="224"/>
      <c r="GUB1" s="224"/>
      <c r="GUC1" s="224"/>
      <c r="GUD1" s="224"/>
      <c r="GUE1" s="224"/>
      <c r="GUF1" s="224"/>
      <c r="GUG1" s="224"/>
      <c r="GUH1" s="224"/>
      <c r="GUI1" s="224"/>
      <c r="GUJ1" s="224"/>
      <c r="GUK1" s="224"/>
      <c r="GUL1" s="224"/>
      <c r="GUM1" s="224"/>
      <c r="GUN1" s="224"/>
      <c r="GUO1" s="224"/>
      <c r="GUP1" s="224"/>
      <c r="GUQ1" s="224"/>
      <c r="GUR1" s="224"/>
      <c r="GUS1" s="224"/>
      <c r="GUT1" s="224"/>
      <c r="GUU1" s="224"/>
      <c r="GUV1" s="224"/>
      <c r="GUW1" s="224"/>
      <c r="GUX1" s="224"/>
      <c r="GUY1" s="224"/>
      <c r="GUZ1" s="224"/>
      <c r="GVA1" s="224"/>
      <c r="GVB1" s="224"/>
      <c r="GVC1" s="224"/>
      <c r="GVD1" s="224"/>
      <c r="GVE1" s="224"/>
      <c r="GVF1" s="224"/>
      <c r="GVG1" s="224"/>
      <c r="GVH1" s="224"/>
      <c r="GVI1" s="224"/>
      <c r="GVJ1" s="224"/>
      <c r="GVK1" s="224"/>
      <c r="GVL1" s="224"/>
      <c r="GVM1" s="224"/>
      <c r="GVN1" s="224"/>
      <c r="GVO1" s="224"/>
      <c r="GVP1" s="224"/>
      <c r="GVQ1" s="224"/>
      <c r="GVR1" s="224"/>
      <c r="GVS1" s="224"/>
      <c r="GVT1" s="224"/>
      <c r="GVU1" s="224"/>
      <c r="GVV1" s="224"/>
      <c r="GVW1" s="224"/>
      <c r="GVX1" s="224"/>
      <c r="GVY1" s="224"/>
      <c r="GVZ1" s="224"/>
      <c r="GWA1" s="224"/>
      <c r="GWB1" s="224"/>
      <c r="GWC1" s="224"/>
      <c r="GWD1" s="224"/>
      <c r="GWE1" s="224"/>
      <c r="GWF1" s="224"/>
      <c r="GWG1" s="224"/>
      <c r="GWH1" s="224"/>
      <c r="GWI1" s="224"/>
      <c r="GWJ1" s="224"/>
      <c r="GWK1" s="224"/>
      <c r="GWL1" s="224"/>
      <c r="GWM1" s="224"/>
      <c r="GWN1" s="224"/>
      <c r="GWO1" s="224"/>
      <c r="GWP1" s="224"/>
      <c r="GWQ1" s="224"/>
      <c r="GWR1" s="224"/>
      <c r="GWS1" s="224"/>
      <c r="GWT1" s="224"/>
      <c r="GWU1" s="224"/>
      <c r="GWV1" s="224"/>
      <c r="GWW1" s="224"/>
      <c r="GWX1" s="224"/>
      <c r="GWY1" s="224"/>
      <c r="GWZ1" s="224"/>
      <c r="GXA1" s="224"/>
      <c r="GXB1" s="224"/>
      <c r="GXC1" s="224"/>
      <c r="GXD1" s="224"/>
      <c r="GXE1" s="224"/>
      <c r="GXF1" s="224"/>
      <c r="GXG1" s="224"/>
      <c r="GXH1" s="224"/>
      <c r="GXI1" s="224"/>
      <c r="GXJ1" s="224"/>
      <c r="GXK1" s="224"/>
      <c r="GXL1" s="224"/>
      <c r="GXM1" s="224"/>
      <c r="GXN1" s="224"/>
      <c r="GXO1" s="224"/>
      <c r="GXP1" s="224"/>
      <c r="GXQ1" s="224"/>
      <c r="GXR1" s="224"/>
      <c r="GXS1" s="224"/>
      <c r="GXT1" s="224"/>
      <c r="GXU1" s="224"/>
      <c r="GXV1" s="224"/>
      <c r="GXW1" s="224"/>
      <c r="GXX1" s="224"/>
      <c r="GXY1" s="224"/>
      <c r="GXZ1" s="224"/>
      <c r="GYA1" s="224"/>
      <c r="GYB1" s="224"/>
      <c r="GYC1" s="224"/>
      <c r="GYD1" s="224"/>
      <c r="GYE1" s="224"/>
      <c r="GYF1" s="224"/>
      <c r="GYG1" s="224"/>
      <c r="GYH1" s="224"/>
      <c r="GYI1" s="224"/>
      <c r="GYJ1" s="224"/>
      <c r="GYK1" s="224"/>
      <c r="GYL1" s="224"/>
      <c r="GYM1" s="224"/>
      <c r="GYN1" s="224"/>
      <c r="GYO1" s="224"/>
      <c r="GYP1" s="224"/>
      <c r="GYQ1" s="224"/>
      <c r="GYR1" s="224"/>
      <c r="GYS1" s="224"/>
      <c r="GYT1" s="224"/>
      <c r="GYU1" s="224"/>
      <c r="GYV1" s="224"/>
      <c r="GYW1" s="224"/>
      <c r="GYX1" s="224"/>
      <c r="GYY1" s="224"/>
      <c r="GYZ1" s="224"/>
      <c r="GZA1" s="224"/>
      <c r="GZB1" s="224"/>
      <c r="GZC1" s="224"/>
      <c r="GZD1" s="224"/>
      <c r="GZE1" s="224"/>
      <c r="GZF1" s="224"/>
      <c r="GZG1" s="224"/>
      <c r="GZH1" s="224"/>
      <c r="GZI1" s="224"/>
      <c r="GZJ1" s="224"/>
      <c r="GZK1" s="224"/>
      <c r="GZL1" s="224"/>
      <c r="GZM1" s="224"/>
      <c r="GZN1" s="224"/>
      <c r="GZO1" s="224"/>
      <c r="GZP1" s="224"/>
      <c r="GZQ1" s="224"/>
      <c r="GZR1" s="224"/>
      <c r="GZS1" s="224"/>
      <c r="GZT1" s="224"/>
      <c r="GZU1" s="224"/>
      <c r="GZV1" s="224"/>
      <c r="GZW1" s="224"/>
      <c r="GZX1" s="224"/>
      <c r="GZY1" s="224"/>
      <c r="GZZ1" s="224"/>
      <c r="HAA1" s="224"/>
      <c r="HAB1" s="224"/>
      <c r="HAC1" s="224"/>
      <c r="HAD1" s="224"/>
      <c r="HAE1" s="224"/>
      <c r="HAF1" s="224"/>
      <c r="HAG1" s="224"/>
      <c r="HAH1" s="224"/>
      <c r="HAI1" s="224"/>
      <c r="HAJ1" s="224"/>
      <c r="HAK1" s="224"/>
      <c r="HAL1" s="224"/>
      <c r="HAM1" s="224"/>
      <c r="HAN1" s="224"/>
      <c r="HAO1" s="224"/>
      <c r="HAP1" s="224"/>
      <c r="HAQ1" s="224"/>
      <c r="HAR1" s="224"/>
      <c r="HAS1" s="224"/>
      <c r="HAT1" s="224"/>
      <c r="HAU1" s="224"/>
      <c r="HAV1" s="224"/>
      <c r="HAW1" s="224"/>
      <c r="HAX1" s="224"/>
      <c r="HAY1" s="224"/>
      <c r="HAZ1" s="224"/>
      <c r="HBA1" s="224"/>
      <c r="HBB1" s="224"/>
      <c r="HBC1" s="224"/>
      <c r="HBD1" s="224"/>
      <c r="HBE1" s="224"/>
      <c r="HBF1" s="224"/>
      <c r="HBG1" s="224"/>
      <c r="HBH1" s="224"/>
      <c r="HBI1" s="224"/>
      <c r="HBJ1" s="224"/>
      <c r="HBK1" s="224"/>
      <c r="HBL1" s="224"/>
      <c r="HBM1" s="224"/>
      <c r="HBN1" s="224"/>
      <c r="HBO1" s="224"/>
      <c r="HBP1" s="224"/>
      <c r="HBQ1" s="224"/>
      <c r="HBR1" s="224"/>
      <c r="HBS1" s="224"/>
      <c r="HBT1" s="224"/>
      <c r="HBU1" s="224"/>
      <c r="HBV1" s="224"/>
      <c r="HBW1" s="224"/>
      <c r="HBX1" s="224"/>
      <c r="HBY1" s="224"/>
      <c r="HBZ1" s="224"/>
      <c r="HCA1" s="224"/>
      <c r="HCB1" s="224"/>
      <c r="HCC1" s="224"/>
      <c r="HCD1" s="224"/>
      <c r="HCE1" s="224"/>
      <c r="HCF1" s="224"/>
      <c r="HCG1" s="224"/>
      <c r="HCH1" s="224"/>
      <c r="HCI1" s="224"/>
      <c r="HCJ1" s="224"/>
      <c r="HCK1" s="224"/>
      <c r="HCL1" s="224"/>
      <c r="HCM1" s="224"/>
      <c r="HCN1" s="224"/>
      <c r="HCO1" s="224"/>
      <c r="HCP1" s="224"/>
      <c r="HCQ1" s="224"/>
      <c r="HCR1" s="224"/>
      <c r="HCS1" s="224"/>
      <c r="HCT1" s="224"/>
      <c r="HCU1" s="224"/>
      <c r="HCV1" s="224"/>
      <c r="HCW1" s="224"/>
      <c r="HCX1" s="224"/>
      <c r="HCY1" s="224"/>
      <c r="HCZ1" s="224"/>
      <c r="HDA1" s="224"/>
      <c r="HDB1" s="224"/>
      <c r="HDC1" s="224"/>
      <c r="HDD1" s="224"/>
      <c r="HDE1" s="224"/>
      <c r="HDF1" s="224"/>
      <c r="HDG1" s="224"/>
      <c r="HDH1" s="224"/>
      <c r="HDI1" s="224"/>
      <c r="HDJ1" s="224"/>
      <c r="HDK1" s="224"/>
      <c r="HDL1" s="224"/>
      <c r="HDM1" s="224"/>
      <c r="HDN1" s="224"/>
      <c r="HDO1" s="224"/>
      <c r="HDP1" s="224"/>
      <c r="HDQ1" s="224"/>
      <c r="HDR1" s="224"/>
      <c r="HDS1" s="224"/>
      <c r="HDT1" s="224"/>
      <c r="HDU1" s="224"/>
      <c r="HDV1" s="224"/>
      <c r="HDW1" s="224"/>
      <c r="HDX1" s="224"/>
      <c r="HDY1" s="224"/>
      <c r="HDZ1" s="224"/>
      <c r="HEA1" s="224"/>
      <c r="HEB1" s="224"/>
      <c r="HEC1" s="224"/>
      <c r="HED1" s="224"/>
      <c r="HEE1" s="224"/>
      <c r="HEF1" s="224"/>
      <c r="HEG1" s="224"/>
      <c r="HEH1" s="224"/>
      <c r="HEI1" s="224"/>
      <c r="HEJ1" s="224"/>
      <c r="HEK1" s="224"/>
      <c r="HEL1" s="224"/>
      <c r="HEM1" s="224"/>
      <c r="HEN1" s="224"/>
      <c r="HEO1" s="224"/>
      <c r="HEP1" s="224"/>
      <c r="HEQ1" s="224"/>
      <c r="HER1" s="224"/>
      <c r="HES1" s="224"/>
      <c r="HET1" s="224"/>
      <c r="HEU1" s="224"/>
      <c r="HEV1" s="224"/>
      <c r="HEW1" s="224"/>
      <c r="HEX1" s="224"/>
      <c r="HEY1" s="224"/>
      <c r="HEZ1" s="224"/>
      <c r="HFA1" s="224"/>
      <c r="HFB1" s="224"/>
      <c r="HFC1" s="224"/>
      <c r="HFD1" s="224"/>
      <c r="HFE1" s="224"/>
      <c r="HFF1" s="224"/>
      <c r="HFG1" s="224"/>
      <c r="HFH1" s="224"/>
      <c r="HFI1" s="224"/>
      <c r="HFJ1" s="224"/>
      <c r="HFK1" s="224"/>
      <c r="HFL1" s="224"/>
      <c r="HFM1" s="224"/>
      <c r="HFN1" s="224"/>
      <c r="HFO1" s="224"/>
      <c r="HFP1" s="224"/>
      <c r="HFQ1" s="224"/>
      <c r="HFR1" s="224"/>
      <c r="HFS1" s="224"/>
      <c r="HFT1" s="224"/>
      <c r="HFU1" s="224"/>
      <c r="HFV1" s="224"/>
      <c r="HFW1" s="224"/>
      <c r="HFX1" s="224"/>
      <c r="HFY1" s="224"/>
      <c r="HFZ1" s="224"/>
      <c r="HGA1" s="224"/>
      <c r="HGB1" s="224"/>
      <c r="HGC1" s="224"/>
      <c r="HGD1" s="224"/>
      <c r="HGE1" s="224"/>
      <c r="HGF1" s="224"/>
      <c r="HGG1" s="224"/>
      <c r="HGH1" s="224"/>
      <c r="HGI1" s="224"/>
      <c r="HGJ1" s="224"/>
      <c r="HGK1" s="224"/>
      <c r="HGL1" s="224"/>
      <c r="HGM1" s="224"/>
      <c r="HGN1" s="224"/>
      <c r="HGO1" s="224"/>
      <c r="HGP1" s="224"/>
      <c r="HGQ1" s="224"/>
      <c r="HGR1" s="224"/>
      <c r="HGS1" s="224"/>
      <c r="HGT1" s="224"/>
      <c r="HGU1" s="224"/>
      <c r="HGV1" s="224"/>
      <c r="HGW1" s="224"/>
      <c r="HGX1" s="224"/>
      <c r="HGY1" s="224"/>
      <c r="HGZ1" s="224"/>
      <c r="HHA1" s="224"/>
      <c r="HHB1" s="224"/>
      <c r="HHC1" s="224"/>
      <c r="HHD1" s="224"/>
      <c r="HHE1" s="224"/>
      <c r="HHF1" s="224"/>
      <c r="HHG1" s="224"/>
      <c r="HHH1" s="224"/>
      <c r="HHI1" s="224"/>
      <c r="HHJ1" s="224"/>
      <c r="HHK1" s="224"/>
      <c r="HHL1" s="224"/>
      <c r="HHM1" s="224"/>
      <c r="HHN1" s="224"/>
      <c r="HHO1" s="224"/>
      <c r="HHP1" s="224"/>
      <c r="HHQ1" s="224"/>
      <c r="HHR1" s="224"/>
      <c r="HHS1" s="224"/>
      <c r="HHT1" s="224"/>
      <c r="HHU1" s="224"/>
      <c r="HHV1" s="224"/>
      <c r="HHW1" s="224"/>
      <c r="HHX1" s="224"/>
      <c r="HHY1" s="224"/>
      <c r="HHZ1" s="224"/>
      <c r="HIA1" s="224"/>
      <c r="HIB1" s="224"/>
      <c r="HIC1" s="224"/>
      <c r="HID1" s="224"/>
      <c r="HIE1" s="224"/>
      <c r="HIF1" s="224"/>
      <c r="HIG1" s="224"/>
      <c r="HIH1" s="224"/>
      <c r="HII1" s="224"/>
      <c r="HIJ1" s="224"/>
      <c r="HIK1" s="224"/>
      <c r="HIL1" s="224"/>
      <c r="HIM1" s="224"/>
      <c r="HIN1" s="224"/>
      <c r="HIO1" s="224"/>
      <c r="HIP1" s="224"/>
      <c r="HIQ1" s="224"/>
      <c r="HIR1" s="224"/>
      <c r="HIS1" s="224"/>
      <c r="HIT1" s="224"/>
      <c r="HIU1" s="224"/>
      <c r="HIV1" s="224"/>
      <c r="HIW1" s="224"/>
      <c r="HIX1" s="224"/>
      <c r="HIY1" s="224"/>
      <c r="HIZ1" s="224"/>
      <c r="HJA1" s="224"/>
      <c r="HJB1" s="224"/>
      <c r="HJC1" s="224"/>
      <c r="HJD1" s="224"/>
      <c r="HJE1" s="224"/>
      <c r="HJF1" s="224"/>
      <c r="HJG1" s="224"/>
      <c r="HJH1" s="224"/>
      <c r="HJI1" s="224"/>
      <c r="HJJ1" s="224"/>
      <c r="HJK1" s="224"/>
      <c r="HJL1" s="224"/>
      <c r="HJM1" s="224"/>
      <c r="HJN1" s="224"/>
      <c r="HJO1" s="224"/>
      <c r="HJP1" s="224"/>
      <c r="HJQ1" s="224"/>
      <c r="HJR1" s="224"/>
      <c r="HJS1" s="224"/>
      <c r="HJT1" s="224"/>
      <c r="HJU1" s="224"/>
      <c r="HJV1" s="224"/>
      <c r="HJW1" s="224"/>
      <c r="HJX1" s="224"/>
      <c r="HJY1" s="224"/>
      <c r="HJZ1" s="224"/>
      <c r="HKA1" s="224"/>
      <c r="HKB1" s="224"/>
      <c r="HKC1" s="224"/>
      <c r="HKD1" s="224"/>
      <c r="HKE1" s="224"/>
      <c r="HKF1" s="224"/>
      <c r="HKG1" s="224"/>
      <c r="HKH1" s="224"/>
      <c r="HKI1" s="224"/>
      <c r="HKJ1" s="224"/>
      <c r="HKK1" s="224"/>
      <c r="HKL1" s="224"/>
      <c r="HKM1" s="224"/>
      <c r="HKN1" s="224"/>
      <c r="HKO1" s="224"/>
      <c r="HKP1" s="224"/>
      <c r="HKQ1" s="224"/>
      <c r="HKR1" s="224"/>
      <c r="HKS1" s="224"/>
      <c r="HKT1" s="224"/>
      <c r="HKU1" s="224"/>
      <c r="HKV1" s="224"/>
      <c r="HKW1" s="224"/>
      <c r="HKX1" s="224"/>
      <c r="HKY1" s="224"/>
      <c r="HKZ1" s="224"/>
      <c r="HLA1" s="224"/>
      <c r="HLB1" s="224"/>
      <c r="HLC1" s="224"/>
      <c r="HLD1" s="224"/>
      <c r="HLE1" s="224"/>
      <c r="HLF1" s="224"/>
      <c r="HLG1" s="224"/>
      <c r="HLH1" s="224"/>
      <c r="HLI1" s="224"/>
      <c r="HLJ1" s="224"/>
      <c r="HLK1" s="224"/>
      <c r="HLL1" s="224"/>
      <c r="HLM1" s="224"/>
      <c r="HLN1" s="224"/>
      <c r="HLO1" s="224"/>
      <c r="HLP1" s="224"/>
      <c r="HLQ1" s="224"/>
      <c r="HLR1" s="224"/>
      <c r="HLS1" s="224"/>
      <c r="HLT1" s="224"/>
      <c r="HLU1" s="224"/>
      <c r="HLV1" s="224"/>
      <c r="HLW1" s="224"/>
      <c r="HLX1" s="224"/>
      <c r="HLY1" s="224"/>
      <c r="HLZ1" s="224"/>
      <c r="HMA1" s="224"/>
      <c r="HMB1" s="224"/>
      <c r="HMC1" s="224"/>
      <c r="HMD1" s="224"/>
      <c r="HME1" s="224"/>
      <c r="HMF1" s="224"/>
      <c r="HMG1" s="224"/>
      <c r="HMH1" s="224"/>
      <c r="HMI1" s="224"/>
      <c r="HMJ1" s="224"/>
      <c r="HMK1" s="224"/>
      <c r="HML1" s="224"/>
      <c r="HMM1" s="224"/>
      <c r="HMN1" s="224"/>
      <c r="HMO1" s="224"/>
      <c r="HMP1" s="224"/>
      <c r="HMQ1" s="224"/>
      <c r="HMR1" s="224"/>
      <c r="HMS1" s="224"/>
      <c r="HMT1" s="224"/>
      <c r="HMU1" s="224"/>
      <c r="HMV1" s="224"/>
      <c r="HMW1" s="224"/>
      <c r="HMX1" s="224"/>
      <c r="HMY1" s="224"/>
      <c r="HMZ1" s="224"/>
      <c r="HNA1" s="224"/>
      <c r="HNB1" s="224"/>
      <c r="HNC1" s="224"/>
      <c r="HND1" s="224"/>
      <c r="HNE1" s="224"/>
      <c r="HNF1" s="224"/>
      <c r="HNG1" s="224"/>
      <c r="HNH1" s="224"/>
      <c r="HNI1" s="224"/>
      <c r="HNJ1" s="224"/>
      <c r="HNK1" s="224"/>
      <c r="HNL1" s="224"/>
      <c r="HNM1" s="224"/>
      <c r="HNN1" s="224"/>
      <c r="HNO1" s="224"/>
      <c r="HNP1" s="224"/>
      <c r="HNQ1" s="224"/>
      <c r="HNR1" s="224"/>
      <c r="HNS1" s="224"/>
      <c r="HNT1" s="224"/>
      <c r="HNU1" s="224"/>
      <c r="HNV1" s="224"/>
      <c r="HNW1" s="224"/>
      <c r="HNX1" s="224"/>
      <c r="HNY1" s="224"/>
      <c r="HNZ1" s="224"/>
      <c r="HOA1" s="224"/>
      <c r="HOB1" s="224"/>
      <c r="HOC1" s="224"/>
      <c r="HOD1" s="224"/>
      <c r="HOE1" s="224"/>
      <c r="HOF1" s="224"/>
      <c r="HOG1" s="224"/>
      <c r="HOH1" s="224"/>
      <c r="HOI1" s="224"/>
      <c r="HOJ1" s="224"/>
      <c r="HOK1" s="224"/>
      <c r="HOL1" s="224"/>
      <c r="HOM1" s="224"/>
      <c r="HON1" s="224"/>
      <c r="HOO1" s="224"/>
      <c r="HOP1" s="224"/>
      <c r="HOQ1" s="224"/>
      <c r="HOR1" s="224"/>
      <c r="HOS1" s="224"/>
      <c r="HOT1" s="224"/>
      <c r="HOU1" s="224"/>
      <c r="HOV1" s="224"/>
      <c r="HOW1" s="224"/>
      <c r="HOX1" s="224"/>
      <c r="HOY1" s="224"/>
      <c r="HOZ1" s="224"/>
      <c r="HPA1" s="224"/>
      <c r="HPB1" s="224"/>
      <c r="HPC1" s="224"/>
      <c r="HPD1" s="224"/>
      <c r="HPE1" s="224"/>
      <c r="HPF1" s="224"/>
      <c r="HPG1" s="224"/>
      <c r="HPH1" s="224"/>
      <c r="HPI1" s="224"/>
      <c r="HPJ1" s="224"/>
      <c r="HPK1" s="224"/>
      <c r="HPL1" s="224"/>
      <c r="HPM1" s="224"/>
      <c r="HPN1" s="224"/>
      <c r="HPO1" s="224"/>
      <c r="HPP1" s="224"/>
      <c r="HPQ1" s="224"/>
      <c r="HPR1" s="224"/>
      <c r="HPS1" s="224"/>
      <c r="HPT1" s="224"/>
      <c r="HPU1" s="224"/>
      <c r="HPV1" s="224"/>
      <c r="HPW1" s="224"/>
      <c r="HPX1" s="224"/>
      <c r="HPY1" s="224"/>
      <c r="HPZ1" s="224"/>
      <c r="HQA1" s="224"/>
      <c r="HQB1" s="224"/>
      <c r="HQC1" s="224"/>
      <c r="HQD1" s="224"/>
      <c r="HQE1" s="224"/>
      <c r="HQF1" s="224"/>
      <c r="HQG1" s="224"/>
      <c r="HQH1" s="224"/>
      <c r="HQI1" s="224"/>
      <c r="HQJ1" s="224"/>
      <c r="HQK1" s="224"/>
      <c r="HQL1" s="224"/>
      <c r="HQM1" s="224"/>
      <c r="HQN1" s="224"/>
      <c r="HQO1" s="224"/>
      <c r="HQP1" s="224"/>
      <c r="HQQ1" s="224"/>
      <c r="HQR1" s="224"/>
      <c r="HQS1" s="224"/>
      <c r="HQT1" s="224"/>
      <c r="HQU1" s="224"/>
      <c r="HQV1" s="224"/>
      <c r="HQW1" s="224"/>
      <c r="HQX1" s="224"/>
      <c r="HQY1" s="224"/>
      <c r="HQZ1" s="224"/>
      <c r="HRA1" s="224"/>
      <c r="HRB1" s="224"/>
      <c r="HRC1" s="224"/>
      <c r="HRD1" s="224"/>
      <c r="HRE1" s="224"/>
      <c r="HRF1" s="224"/>
      <c r="HRG1" s="224"/>
      <c r="HRH1" s="224"/>
      <c r="HRI1" s="224"/>
      <c r="HRJ1" s="224"/>
      <c r="HRK1" s="224"/>
      <c r="HRL1" s="224"/>
      <c r="HRM1" s="224"/>
      <c r="HRN1" s="224"/>
      <c r="HRO1" s="224"/>
      <c r="HRP1" s="224"/>
      <c r="HRQ1" s="224"/>
      <c r="HRR1" s="224"/>
      <c r="HRS1" s="224"/>
      <c r="HRT1" s="224"/>
      <c r="HRU1" s="224"/>
      <c r="HRV1" s="224"/>
      <c r="HRW1" s="224"/>
      <c r="HRX1" s="224"/>
      <c r="HRY1" s="224"/>
      <c r="HRZ1" s="224"/>
      <c r="HSA1" s="224"/>
      <c r="HSB1" s="224"/>
      <c r="HSC1" s="224"/>
      <c r="HSD1" s="224"/>
      <c r="HSE1" s="224"/>
      <c r="HSF1" s="224"/>
      <c r="HSG1" s="224"/>
      <c r="HSH1" s="224"/>
      <c r="HSI1" s="224"/>
      <c r="HSJ1" s="224"/>
      <c r="HSK1" s="224"/>
      <c r="HSL1" s="224"/>
      <c r="HSM1" s="224"/>
      <c r="HSN1" s="224"/>
      <c r="HSO1" s="224"/>
      <c r="HSP1" s="224"/>
      <c r="HSQ1" s="224"/>
      <c r="HSR1" s="224"/>
      <c r="HSS1" s="224"/>
      <c r="HST1" s="224"/>
      <c r="HSU1" s="224"/>
      <c r="HSV1" s="224"/>
      <c r="HSW1" s="224"/>
      <c r="HSX1" s="224"/>
      <c r="HSY1" s="224"/>
      <c r="HSZ1" s="224"/>
      <c r="HTA1" s="224"/>
      <c r="HTB1" s="224"/>
      <c r="HTC1" s="224"/>
      <c r="HTD1" s="224"/>
      <c r="HTE1" s="224"/>
      <c r="HTF1" s="224"/>
      <c r="HTG1" s="224"/>
      <c r="HTH1" s="224"/>
      <c r="HTI1" s="224"/>
      <c r="HTJ1" s="224"/>
      <c r="HTK1" s="224"/>
      <c r="HTL1" s="224"/>
      <c r="HTM1" s="224"/>
      <c r="HTN1" s="224"/>
      <c r="HTO1" s="224"/>
      <c r="HTP1" s="224"/>
      <c r="HTQ1" s="224"/>
      <c r="HTR1" s="224"/>
      <c r="HTS1" s="224"/>
      <c r="HTT1" s="224"/>
      <c r="HTU1" s="224"/>
      <c r="HTV1" s="224"/>
      <c r="HTW1" s="224"/>
      <c r="HTX1" s="224"/>
      <c r="HTY1" s="224"/>
      <c r="HTZ1" s="224"/>
      <c r="HUA1" s="224"/>
      <c r="HUB1" s="224"/>
      <c r="HUC1" s="224"/>
      <c r="HUD1" s="224"/>
      <c r="HUE1" s="224"/>
      <c r="HUF1" s="224"/>
      <c r="HUG1" s="224"/>
      <c r="HUH1" s="224"/>
      <c r="HUI1" s="224"/>
      <c r="HUJ1" s="224"/>
      <c r="HUK1" s="224"/>
      <c r="HUL1" s="224"/>
      <c r="HUM1" s="224"/>
      <c r="HUN1" s="224"/>
      <c r="HUO1" s="224"/>
      <c r="HUP1" s="224"/>
      <c r="HUQ1" s="224"/>
      <c r="HUR1" s="224"/>
      <c r="HUS1" s="224"/>
      <c r="HUT1" s="224"/>
      <c r="HUU1" s="224"/>
      <c r="HUV1" s="224"/>
      <c r="HUW1" s="224"/>
      <c r="HUX1" s="224"/>
      <c r="HUY1" s="224"/>
      <c r="HUZ1" s="224"/>
      <c r="HVA1" s="224"/>
      <c r="HVB1" s="224"/>
      <c r="HVC1" s="224"/>
      <c r="HVD1" s="224"/>
      <c r="HVE1" s="224"/>
      <c r="HVF1" s="224"/>
      <c r="HVG1" s="224"/>
      <c r="HVH1" s="224"/>
      <c r="HVI1" s="224"/>
      <c r="HVJ1" s="224"/>
      <c r="HVK1" s="224"/>
      <c r="HVL1" s="224"/>
      <c r="HVM1" s="224"/>
      <c r="HVN1" s="224"/>
      <c r="HVO1" s="224"/>
      <c r="HVP1" s="224"/>
      <c r="HVQ1" s="224"/>
      <c r="HVR1" s="224"/>
      <c r="HVS1" s="224"/>
      <c r="HVT1" s="224"/>
      <c r="HVU1" s="224"/>
      <c r="HVV1" s="224"/>
      <c r="HVW1" s="224"/>
      <c r="HVX1" s="224"/>
      <c r="HVY1" s="224"/>
      <c r="HVZ1" s="224"/>
      <c r="HWA1" s="224"/>
      <c r="HWB1" s="224"/>
      <c r="HWC1" s="224"/>
      <c r="HWD1" s="224"/>
      <c r="HWE1" s="224"/>
      <c r="HWF1" s="224"/>
      <c r="HWG1" s="224"/>
      <c r="HWH1" s="224"/>
      <c r="HWI1" s="224"/>
      <c r="HWJ1" s="224"/>
      <c r="HWK1" s="224"/>
      <c r="HWL1" s="224"/>
      <c r="HWM1" s="224"/>
      <c r="HWN1" s="224"/>
      <c r="HWO1" s="224"/>
      <c r="HWP1" s="224"/>
      <c r="HWQ1" s="224"/>
      <c r="HWR1" s="224"/>
      <c r="HWS1" s="224"/>
      <c r="HWT1" s="224"/>
      <c r="HWU1" s="224"/>
      <c r="HWV1" s="224"/>
      <c r="HWW1" s="224"/>
      <c r="HWX1" s="224"/>
      <c r="HWY1" s="224"/>
      <c r="HWZ1" s="224"/>
      <c r="HXA1" s="224"/>
      <c r="HXB1" s="224"/>
      <c r="HXC1" s="224"/>
      <c r="HXD1" s="224"/>
      <c r="HXE1" s="224"/>
      <c r="HXF1" s="224"/>
      <c r="HXG1" s="224"/>
      <c r="HXH1" s="224"/>
      <c r="HXI1" s="224"/>
      <c r="HXJ1" s="224"/>
      <c r="HXK1" s="224"/>
      <c r="HXL1" s="224"/>
      <c r="HXM1" s="224"/>
      <c r="HXN1" s="224"/>
      <c r="HXO1" s="224"/>
      <c r="HXP1" s="224"/>
      <c r="HXQ1" s="224"/>
      <c r="HXR1" s="224"/>
      <c r="HXS1" s="224"/>
      <c r="HXT1" s="224"/>
      <c r="HXU1" s="224"/>
      <c r="HXV1" s="224"/>
      <c r="HXW1" s="224"/>
      <c r="HXX1" s="224"/>
      <c r="HXY1" s="224"/>
      <c r="HXZ1" s="224"/>
      <c r="HYA1" s="224"/>
      <c r="HYB1" s="224"/>
      <c r="HYC1" s="224"/>
      <c r="HYD1" s="224"/>
      <c r="HYE1" s="224"/>
      <c r="HYF1" s="224"/>
      <c r="HYG1" s="224"/>
      <c r="HYH1" s="224"/>
      <c r="HYI1" s="224"/>
      <c r="HYJ1" s="224"/>
      <c r="HYK1" s="224"/>
      <c r="HYL1" s="224"/>
      <c r="HYM1" s="224"/>
      <c r="HYN1" s="224"/>
      <c r="HYO1" s="224"/>
      <c r="HYP1" s="224"/>
      <c r="HYQ1" s="224"/>
      <c r="HYR1" s="224"/>
      <c r="HYS1" s="224"/>
      <c r="HYT1" s="224"/>
      <c r="HYU1" s="224"/>
      <c r="HYV1" s="224"/>
      <c r="HYW1" s="224"/>
      <c r="HYX1" s="224"/>
      <c r="HYY1" s="224"/>
      <c r="HYZ1" s="224"/>
      <c r="HZA1" s="224"/>
      <c r="HZB1" s="224"/>
      <c r="HZC1" s="224"/>
      <c r="HZD1" s="224"/>
      <c r="HZE1" s="224"/>
      <c r="HZF1" s="224"/>
      <c r="HZG1" s="224"/>
      <c r="HZH1" s="224"/>
      <c r="HZI1" s="224"/>
      <c r="HZJ1" s="224"/>
      <c r="HZK1" s="224"/>
      <c r="HZL1" s="224"/>
      <c r="HZM1" s="224"/>
      <c r="HZN1" s="224"/>
      <c r="HZO1" s="224"/>
      <c r="HZP1" s="224"/>
      <c r="HZQ1" s="224"/>
      <c r="HZR1" s="224"/>
      <c r="HZS1" s="224"/>
      <c r="HZT1" s="224"/>
      <c r="HZU1" s="224"/>
      <c r="HZV1" s="224"/>
      <c r="HZW1" s="224"/>
      <c r="HZX1" s="224"/>
      <c r="HZY1" s="224"/>
      <c r="HZZ1" s="224"/>
      <c r="IAA1" s="224"/>
      <c r="IAB1" s="224"/>
      <c r="IAC1" s="224"/>
      <c r="IAD1" s="224"/>
      <c r="IAE1" s="224"/>
      <c r="IAF1" s="224"/>
      <c r="IAG1" s="224"/>
      <c r="IAH1" s="224"/>
      <c r="IAI1" s="224"/>
      <c r="IAJ1" s="224"/>
      <c r="IAK1" s="224"/>
      <c r="IAL1" s="224"/>
      <c r="IAM1" s="224"/>
      <c r="IAN1" s="224"/>
      <c r="IAO1" s="224"/>
      <c r="IAP1" s="224"/>
      <c r="IAQ1" s="224"/>
      <c r="IAR1" s="224"/>
      <c r="IAS1" s="224"/>
      <c r="IAT1" s="224"/>
      <c r="IAU1" s="224"/>
      <c r="IAV1" s="224"/>
      <c r="IAW1" s="224"/>
      <c r="IAX1" s="224"/>
      <c r="IAY1" s="224"/>
      <c r="IAZ1" s="224"/>
      <c r="IBA1" s="224"/>
      <c r="IBB1" s="224"/>
      <c r="IBC1" s="224"/>
      <c r="IBD1" s="224"/>
      <c r="IBE1" s="224"/>
      <c r="IBF1" s="224"/>
      <c r="IBG1" s="224"/>
      <c r="IBH1" s="224"/>
      <c r="IBI1" s="224"/>
      <c r="IBJ1" s="224"/>
      <c r="IBK1" s="224"/>
      <c r="IBL1" s="224"/>
      <c r="IBM1" s="224"/>
      <c r="IBN1" s="224"/>
      <c r="IBO1" s="224"/>
      <c r="IBP1" s="224"/>
      <c r="IBQ1" s="224"/>
      <c r="IBR1" s="224"/>
      <c r="IBS1" s="224"/>
      <c r="IBT1" s="224"/>
      <c r="IBU1" s="224"/>
      <c r="IBV1" s="224"/>
      <c r="IBW1" s="224"/>
      <c r="IBX1" s="224"/>
      <c r="IBY1" s="224"/>
      <c r="IBZ1" s="224"/>
      <c r="ICA1" s="224"/>
      <c r="ICB1" s="224"/>
      <c r="ICC1" s="224"/>
      <c r="ICD1" s="224"/>
      <c r="ICE1" s="224"/>
      <c r="ICF1" s="224"/>
      <c r="ICG1" s="224"/>
      <c r="ICH1" s="224"/>
      <c r="ICI1" s="224"/>
      <c r="ICJ1" s="224"/>
      <c r="ICK1" s="224"/>
      <c r="ICL1" s="224"/>
      <c r="ICM1" s="224"/>
      <c r="ICN1" s="224"/>
      <c r="ICO1" s="224"/>
      <c r="ICP1" s="224"/>
      <c r="ICQ1" s="224"/>
      <c r="ICR1" s="224"/>
      <c r="ICS1" s="224"/>
      <c r="ICT1" s="224"/>
      <c r="ICU1" s="224"/>
      <c r="ICV1" s="224"/>
      <c r="ICW1" s="224"/>
      <c r="ICX1" s="224"/>
      <c r="ICY1" s="224"/>
      <c r="ICZ1" s="224"/>
      <c r="IDA1" s="224"/>
      <c r="IDB1" s="224"/>
      <c r="IDC1" s="224"/>
      <c r="IDD1" s="224"/>
      <c r="IDE1" s="224"/>
      <c r="IDF1" s="224"/>
      <c r="IDG1" s="224"/>
      <c r="IDH1" s="224"/>
      <c r="IDI1" s="224"/>
      <c r="IDJ1" s="224"/>
      <c r="IDK1" s="224"/>
      <c r="IDL1" s="224"/>
      <c r="IDM1" s="224"/>
      <c r="IDN1" s="224"/>
      <c r="IDO1" s="224"/>
      <c r="IDP1" s="224"/>
      <c r="IDQ1" s="224"/>
      <c r="IDR1" s="224"/>
      <c r="IDS1" s="224"/>
      <c r="IDT1" s="224"/>
      <c r="IDU1" s="224"/>
      <c r="IDV1" s="224"/>
      <c r="IDW1" s="224"/>
      <c r="IDX1" s="224"/>
      <c r="IDY1" s="224"/>
      <c r="IDZ1" s="224"/>
      <c r="IEA1" s="224"/>
      <c r="IEB1" s="224"/>
      <c r="IEC1" s="224"/>
      <c r="IED1" s="224"/>
      <c r="IEE1" s="224"/>
      <c r="IEF1" s="224"/>
      <c r="IEG1" s="224"/>
      <c r="IEH1" s="224"/>
      <c r="IEI1" s="224"/>
      <c r="IEJ1" s="224"/>
      <c r="IEK1" s="224"/>
      <c r="IEL1" s="224"/>
      <c r="IEM1" s="224"/>
      <c r="IEN1" s="224"/>
      <c r="IEO1" s="224"/>
      <c r="IEP1" s="224"/>
      <c r="IEQ1" s="224"/>
      <c r="IER1" s="224"/>
      <c r="IES1" s="224"/>
      <c r="IET1" s="224"/>
      <c r="IEU1" s="224"/>
      <c r="IEV1" s="224"/>
      <c r="IEW1" s="224"/>
      <c r="IEX1" s="224"/>
      <c r="IEY1" s="224"/>
      <c r="IEZ1" s="224"/>
      <c r="IFA1" s="224"/>
      <c r="IFB1" s="224"/>
      <c r="IFC1" s="224"/>
      <c r="IFD1" s="224"/>
      <c r="IFE1" s="224"/>
      <c r="IFF1" s="224"/>
      <c r="IFG1" s="224"/>
      <c r="IFH1" s="224"/>
      <c r="IFI1" s="224"/>
      <c r="IFJ1" s="224"/>
      <c r="IFK1" s="224"/>
      <c r="IFL1" s="224"/>
      <c r="IFM1" s="224"/>
      <c r="IFN1" s="224"/>
      <c r="IFO1" s="224"/>
      <c r="IFP1" s="224"/>
      <c r="IFQ1" s="224"/>
      <c r="IFR1" s="224"/>
      <c r="IFS1" s="224"/>
      <c r="IFT1" s="224"/>
      <c r="IFU1" s="224"/>
      <c r="IFV1" s="224"/>
      <c r="IFW1" s="224"/>
      <c r="IFX1" s="224"/>
      <c r="IFY1" s="224"/>
      <c r="IFZ1" s="224"/>
      <c r="IGA1" s="224"/>
      <c r="IGB1" s="224"/>
      <c r="IGC1" s="224"/>
      <c r="IGD1" s="224"/>
      <c r="IGE1" s="224"/>
      <c r="IGF1" s="224"/>
      <c r="IGG1" s="224"/>
      <c r="IGH1" s="224"/>
      <c r="IGI1" s="224"/>
      <c r="IGJ1" s="224"/>
      <c r="IGK1" s="224"/>
      <c r="IGL1" s="224"/>
      <c r="IGM1" s="224"/>
      <c r="IGN1" s="224"/>
      <c r="IGO1" s="224"/>
      <c r="IGP1" s="224"/>
      <c r="IGQ1" s="224"/>
      <c r="IGR1" s="224"/>
      <c r="IGS1" s="224"/>
      <c r="IGT1" s="224"/>
      <c r="IGU1" s="224"/>
      <c r="IGV1" s="224"/>
      <c r="IGW1" s="224"/>
      <c r="IGX1" s="224"/>
      <c r="IGY1" s="224"/>
      <c r="IGZ1" s="224"/>
      <c r="IHA1" s="224"/>
      <c r="IHB1" s="224"/>
      <c r="IHC1" s="224"/>
      <c r="IHD1" s="224"/>
      <c r="IHE1" s="224"/>
      <c r="IHF1" s="224"/>
      <c r="IHG1" s="224"/>
      <c r="IHH1" s="224"/>
      <c r="IHI1" s="224"/>
      <c r="IHJ1" s="224"/>
      <c r="IHK1" s="224"/>
      <c r="IHL1" s="224"/>
      <c r="IHM1" s="224"/>
      <c r="IHN1" s="224"/>
      <c r="IHO1" s="224"/>
      <c r="IHP1" s="224"/>
      <c r="IHQ1" s="224"/>
      <c r="IHR1" s="224"/>
      <c r="IHS1" s="224"/>
      <c r="IHT1" s="224"/>
      <c r="IHU1" s="224"/>
      <c r="IHV1" s="224"/>
      <c r="IHW1" s="224"/>
      <c r="IHX1" s="224"/>
      <c r="IHY1" s="224"/>
      <c r="IHZ1" s="224"/>
      <c r="IIA1" s="224"/>
      <c r="IIB1" s="224"/>
      <c r="IIC1" s="224"/>
      <c r="IID1" s="224"/>
      <c r="IIE1" s="224"/>
      <c r="IIF1" s="224"/>
      <c r="IIG1" s="224"/>
      <c r="IIH1" s="224"/>
      <c r="III1" s="224"/>
      <c r="IIJ1" s="224"/>
      <c r="IIK1" s="224"/>
      <c r="IIL1" s="224"/>
      <c r="IIM1" s="224"/>
      <c r="IIN1" s="224"/>
      <c r="IIO1" s="224"/>
      <c r="IIP1" s="224"/>
      <c r="IIQ1" s="224"/>
      <c r="IIR1" s="224"/>
      <c r="IIS1" s="224"/>
      <c r="IIT1" s="224"/>
      <c r="IIU1" s="224"/>
      <c r="IIV1" s="224"/>
      <c r="IIW1" s="224"/>
      <c r="IIX1" s="224"/>
      <c r="IIY1" s="224"/>
      <c r="IIZ1" s="224"/>
      <c r="IJA1" s="224"/>
      <c r="IJB1" s="224"/>
      <c r="IJC1" s="224"/>
      <c r="IJD1" s="224"/>
      <c r="IJE1" s="224"/>
      <c r="IJF1" s="224"/>
      <c r="IJG1" s="224"/>
      <c r="IJH1" s="224"/>
      <c r="IJI1" s="224"/>
      <c r="IJJ1" s="224"/>
      <c r="IJK1" s="224"/>
      <c r="IJL1" s="224"/>
      <c r="IJM1" s="224"/>
      <c r="IJN1" s="224"/>
      <c r="IJO1" s="224"/>
      <c r="IJP1" s="224"/>
      <c r="IJQ1" s="224"/>
      <c r="IJR1" s="224"/>
      <c r="IJS1" s="224"/>
      <c r="IJT1" s="224"/>
      <c r="IJU1" s="224"/>
      <c r="IJV1" s="224"/>
      <c r="IJW1" s="224"/>
      <c r="IJX1" s="224"/>
      <c r="IJY1" s="224"/>
      <c r="IJZ1" s="224"/>
      <c r="IKA1" s="224"/>
      <c r="IKB1" s="224"/>
      <c r="IKC1" s="224"/>
      <c r="IKD1" s="224"/>
      <c r="IKE1" s="224"/>
      <c r="IKF1" s="224"/>
      <c r="IKG1" s="224"/>
      <c r="IKH1" s="224"/>
      <c r="IKI1" s="224"/>
      <c r="IKJ1" s="224"/>
      <c r="IKK1" s="224"/>
      <c r="IKL1" s="224"/>
      <c r="IKM1" s="224"/>
      <c r="IKN1" s="224"/>
      <c r="IKO1" s="224"/>
      <c r="IKP1" s="224"/>
      <c r="IKQ1" s="224"/>
      <c r="IKR1" s="224"/>
      <c r="IKS1" s="224"/>
      <c r="IKT1" s="224"/>
      <c r="IKU1" s="224"/>
      <c r="IKV1" s="224"/>
      <c r="IKW1" s="224"/>
      <c r="IKX1" s="224"/>
      <c r="IKY1" s="224"/>
      <c r="IKZ1" s="224"/>
      <c r="ILA1" s="224"/>
      <c r="ILB1" s="224"/>
      <c r="ILC1" s="224"/>
      <c r="ILD1" s="224"/>
      <c r="ILE1" s="224"/>
      <c r="ILF1" s="224"/>
      <c r="ILG1" s="224"/>
      <c r="ILH1" s="224"/>
      <c r="ILI1" s="224"/>
      <c r="ILJ1" s="224"/>
      <c r="ILK1" s="224"/>
      <c r="ILL1" s="224"/>
      <c r="ILM1" s="224"/>
      <c r="ILN1" s="224"/>
      <c r="ILO1" s="224"/>
      <c r="ILP1" s="224"/>
      <c r="ILQ1" s="224"/>
      <c r="ILR1" s="224"/>
      <c r="ILS1" s="224"/>
      <c r="ILT1" s="224"/>
      <c r="ILU1" s="224"/>
      <c r="ILV1" s="224"/>
      <c r="ILW1" s="224"/>
      <c r="ILX1" s="224"/>
      <c r="ILY1" s="224"/>
      <c r="ILZ1" s="224"/>
      <c r="IMA1" s="224"/>
      <c r="IMB1" s="224"/>
      <c r="IMC1" s="224"/>
      <c r="IMD1" s="224"/>
      <c r="IME1" s="224"/>
      <c r="IMF1" s="224"/>
      <c r="IMG1" s="224"/>
      <c r="IMH1" s="224"/>
      <c r="IMI1" s="224"/>
      <c r="IMJ1" s="224"/>
      <c r="IMK1" s="224"/>
      <c r="IML1" s="224"/>
      <c r="IMM1" s="224"/>
      <c r="IMN1" s="224"/>
      <c r="IMO1" s="224"/>
      <c r="IMP1" s="224"/>
      <c r="IMQ1" s="224"/>
      <c r="IMR1" s="224"/>
      <c r="IMS1" s="224"/>
      <c r="IMT1" s="224"/>
      <c r="IMU1" s="224"/>
      <c r="IMV1" s="224"/>
      <c r="IMW1" s="224"/>
      <c r="IMX1" s="224"/>
      <c r="IMY1" s="224"/>
      <c r="IMZ1" s="224"/>
      <c r="INA1" s="224"/>
      <c r="INB1" s="224"/>
      <c r="INC1" s="224"/>
      <c r="IND1" s="224"/>
      <c r="INE1" s="224"/>
      <c r="INF1" s="224"/>
      <c r="ING1" s="224"/>
      <c r="INH1" s="224"/>
      <c r="INI1" s="224"/>
      <c r="INJ1" s="224"/>
      <c r="INK1" s="224"/>
      <c r="INL1" s="224"/>
      <c r="INM1" s="224"/>
      <c r="INN1" s="224"/>
      <c r="INO1" s="224"/>
      <c r="INP1" s="224"/>
      <c r="INQ1" s="224"/>
      <c r="INR1" s="224"/>
      <c r="INS1" s="224"/>
      <c r="INT1" s="224"/>
      <c r="INU1" s="224"/>
      <c r="INV1" s="224"/>
      <c r="INW1" s="224"/>
      <c r="INX1" s="224"/>
      <c r="INY1" s="224"/>
      <c r="INZ1" s="224"/>
      <c r="IOA1" s="224"/>
      <c r="IOB1" s="224"/>
      <c r="IOC1" s="224"/>
      <c r="IOD1" s="224"/>
      <c r="IOE1" s="224"/>
      <c r="IOF1" s="224"/>
      <c r="IOG1" s="224"/>
      <c r="IOH1" s="224"/>
      <c r="IOI1" s="224"/>
      <c r="IOJ1" s="224"/>
      <c r="IOK1" s="224"/>
      <c r="IOL1" s="224"/>
      <c r="IOM1" s="224"/>
      <c r="ION1" s="224"/>
      <c r="IOO1" s="224"/>
      <c r="IOP1" s="224"/>
      <c r="IOQ1" s="224"/>
      <c r="IOR1" s="224"/>
      <c r="IOS1" s="224"/>
      <c r="IOT1" s="224"/>
      <c r="IOU1" s="224"/>
      <c r="IOV1" s="224"/>
      <c r="IOW1" s="224"/>
      <c r="IOX1" s="224"/>
      <c r="IOY1" s="224"/>
      <c r="IOZ1" s="224"/>
      <c r="IPA1" s="224"/>
      <c r="IPB1" s="224"/>
      <c r="IPC1" s="224"/>
      <c r="IPD1" s="224"/>
      <c r="IPE1" s="224"/>
      <c r="IPF1" s="224"/>
      <c r="IPG1" s="224"/>
      <c r="IPH1" s="224"/>
      <c r="IPI1" s="224"/>
      <c r="IPJ1" s="224"/>
      <c r="IPK1" s="224"/>
      <c r="IPL1" s="224"/>
      <c r="IPM1" s="224"/>
      <c r="IPN1" s="224"/>
      <c r="IPO1" s="224"/>
      <c r="IPP1" s="224"/>
      <c r="IPQ1" s="224"/>
      <c r="IPR1" s="224"/>
      <c r="IPS1" s="224"/>
      <c r="IPT1" s="224"/>
      <c r="IPU1" s="224"/>
      <c r="IPV1" s="224"/>
      <c r="IPW1" s="224"/>
      <c r="IPX1" s="224"/>
      <c r="IPY1" s="224"/>
      <c r="IPZ1" s="224"/>
      <c r="IQA1" s="224"/>
      <c r="IQB1" s="224"/>
      <c r="IQC1" s="224"/>
      <c r="IQD1" s="224"/>
      <c r="IQE1" s="224"/>
      <c r="IQF1" s="224"/>
      <c r="IQG1" s="224"/>
      <c r="IQH1" s="224"/>
      <c r="IQI1" s="224"/>
      <c r="IQJ1" s="224"/>
      <c r="IQK1" s="224"/>
      <c r="IQL1" s="224"/>
      <c r="IQM1" s="224"/>
      <c r="IQN1" s="224"/>
      <c r="IQO1" s="224"/>
      <c r="IQP1" s="224"/>
      <c r="IQQ1" s="224"/>
      <c r="IQR1" s="224"/>
      <c r="IQS1" s="224"/>
      <c r="IQT1" s="224"/>
      <c r="IQU1" s="224"/>
      <c r="IQV1" s="224"/>
      <c r="IQW1" s="224"/>
      <c r="IQX1" s="224"/>
      <c r="IQY1" s="224"/>
      <c r="IQZ1" s="224"/>
      <c r="IRA1" s="224"/>
      <c r="IRB1" s="224"/>
      <c r="IRC1" s="224"/>
      <c r="IRD1" s="224"/>
      <c r="IRE1" s="224"/>
      <c r="IRF1" s="224"/>
      <c r="IRG1" s="224"/>
      <c r="IRH1" s="224"/>
      <c r="IRI1" s="224"/>
      <c r="IRJ1" s="224"/>
      <c r="IRK1" s="224"/>
      <c r="IRL1" s="224"/>
      <c r="IRM1" s="224"/>
      <c r="IRN1" s="224"/>
      <c r="IRO1" s="224"/>
      <c r="IRP1" s="224"/>
      <c r="IRQ1" s="224"/>
      <c r="IRR1" s="224"/>
      <c r="IRS1" s="224"/>
      <c r="IRT1" s="224"/>
      <c r="IRU1" s="224"/>
      <c r="IRV1" s="224"/>
      <c r="IRW1" s="224"/>
      <c r="IRX1" s="224"/>
      <c r="IRY1" s="224"/>
      <c r="IRZ1" s="224"/>
      <c r="ISA1" s="224"/>
      <c r="ISB1" s="224"/>
      <c r="ISC1" s="224"/>
      <c r="ISD1" s="224"/>
      <c r="ISE1" s="224"/>
      <c r="ISF1" s="224"/>
      <c r="ISG1" s="224"/>
      <c r="ISH1" s="224"/>
      <c r="ISI1" s="224"/>
      <c r="ISJ1" s="224"/>
      <c r="ISK1" s="224"/>
      <c r="ISL1" s="224"/>
      <c r="ISM1" s="224"/>
      <c r="ISN1" s="224"/>
      <c r="ISO1" s="224"/>
      <c r="ISP1" s="224"/>
      <c r="ISQ1" s="224"/>
      <c r="ISR1" s="224"/>
      <c r="ISS1" s="224"/>
      <c r="IST1" s="224"/>
      <c r="ISU1" s="224"/>
      <c r="ISV1" s="224"/>
      <c r="ISW1" s="224"/>
      <c r="ISX1" s="224"/>
      <c r="ISY1" s="224"/>
      <c r="ISZ1" s="224"/>
      <c r="ITA1" s="224"/>
      <c r="ITB1" s="224"/>
      <c r="ITC1" s="224"/>
      <c r="ITD1" s="224"/>
      <c r="ITE1" s="224"/>
      <c r="ITF1" s="224"/>
      <c r="ITG1" s="224"/>
      <c r="ITH1" s="224"/>
      <c r="ITI1" s="224"/>
      <c r="ITJ1" s="224"/>
      <c r="ITK1" s="224"/>
      <c r="ITL1" s="224"/>
      <c r="ITM1" s="224"/>
      <c r="ITN1" s="224"/>
      <c r="ITO1" s="224"/>
      <c r="ITP1" s="224"/>
      <c r="ITQ1" s="224"/>
      <c r="ITR1" s="224"/>
      <c r="ITS1" s="224"/>
      <c r="ITT1" s="224"/>
      <c r="ITU1" s="224"/>
      <c r="ITV1" s="224"/>
      <c r="ITW1" s="224"/>
      <c r="ITX1" s="224"/>
      <c r="ITY1" s="224"/>
      <c r="ITZ1" s="224"/>
      <c r="IUA1" s="224"/>
      <c r="IUB1" s="224"/>
      <c r="IUC1" s="224"/>
      <c r="IUD1" s="224"/>
      <c r="IUE1" s="224"/>
      <c r="IUF1" s="224"/>
      <c r="IUG1" s="224"/>
      <c r="IUH1" s="224"/>
      <c r="IUI1" s="224"/>
      <c r="IUJ1" s="224"/>
      <c r="IUK1" s="224"/>
      <c r="IUL1" s="224"/>
      <c r="IUM1" s="224"/>
      <c r="IUN1" s="224"/>
      <c r="IUO1" s="224"/>
      <c r="IUP1" s="224"/>
      <c r="IUQ1" s="224"/>
      <c r="IUR1" s="224"/>
      <c r="IUS1" s="224"/>
      <c r="IUT1" s="224"/>
      <c r="IUU1" s="224"/>
      <c r="IUV1" s="224"/>
      <c r="IUW1" s="224"/>
      <c r="IUX1" s="224"/>
      <c r="IUY1" s="224"/>
      <c r="IUZ1" s="224"/>
      <c r="IVA1" s="224"/>
      <c r="IVB1" s="224"/>
      <c r="IVC1" s="224"/>
      <c r="IVD1" s="224"/>
      <c r="IVE1" s="224"/>
      <c r="IVF1" s="224"/>
      <c r="IVG1" s="224"/>
      <c r="IVH1" s="224"/>
      <c r="IVI1" s="224"/>
      <c r="IVJ1" s="224"/>
      <c r="IVK1" s="224"/>
      <c r="IVL1" s="224"/>
      <c r="IVM1" s="224"/>
      <c r="IVN1" s="224"/>
      <c r="IVO1" s="224"/>
      <c r="IVP1" s="224"/>
      <c r="IVQ1" s="224"/>
      <c r="IVR1" s="224"/>
      <c r="IVS1" s="224"/>
      <c r="IVT1" s="224"/>
      <c r="IVU1" s="224"/>
      <c r="IVV1" s="224"/>
      <c r="IVW1" s="224"/>
      <c r="IVX1" s="224"/>
      <c r="IVY1" s="224"/>
      <c r="IVZ1" s="224"/>
      <c r="IWA1" s="224"/>
      <c r="IWB1" s="224"/>
      <c r="IWC1" s="224"/>
      <c r="IWD1" s="224"/>
      <c r="IWE1" s="224"/>
      <c r="IWF1" s="224"/>
      <c r="IWG1" s="224"/>
      <c r="IWH1" s="224"/>
      <c r="IWI1" s="224"/>
      <c r="IWJ1" s="224"/>
      <c r="IWK1" s="224"/>
      <c r="IWL1" s="224"/>
      <c r="IWM1" s="224"/>
      <c r="IWN1" s="224"/>
      <c r="IWO1" s="224"/>
      <c r="IWP1" s="224"/>
      <c r="IWQ1" s="224"/>
      <c r="IWR1" s="224"/>
      <c r="IWS1" s="224"/>
      <c r="IWT1" s="224"/>
      <c r="IWU1" s="224"/>
      <c r="IWV1" s="224"/>
      <c r="IWW1" s="224"/>
      <c r="IWX1" s="224"/>
      <c r="IWY1" s="224"/>
      <c r="IWZ1" s="224"/>
      <c r="IXA1" s="224"/>
      <c r="IXB1" s="224"/>
      <c r="IXC1" s="224"/>
      <c r="IXD1" s="224"/>
      <c r="IXE1" s="224"/>
      <c r="IXF1" s="224"/>
      <c r="IXG1" s="224"/>
      <c r="IXH1" s="224"/>
      <c r="IXI1" s="224"/>
      <c r="IXJ1" s="224"/>
      <c r="IXK1" s="224"/>
      <c r="IXL1" s="224"/>
      <c r="IXM1" s="224"/>
      <c r="IXN1" s="224"/>
      <c r="IXO1" s="224"/>
      <c r="IXP1" s="224"/>
      <c r="IXQ1" s="224"/>
      <c r="IXR1" s="224"/>
      <c r="IXS1" s="224"/>
      <c r="IXT1" s="224"/>
      <c r="IXU1" s="224"/>
      <c r="IXV1" s="224"/>
      <c r="IXW1" s="224"/>
      <c r="IXX1" s="224"/>
      <c r="IXY1" s="224"/>
      <c r="IXZ1" s="224"/>
      <c r="IYA1" s="224"/>
      <c r="IYB1" s="224"/>
      <c r="IYC1" s="224"/>
      <c r="IYD1" s="224"/>
      <c r="IYE1" s="224"/>
      <c r="IYF1" s="224"/>
      <c r="IYG1" s="224"/>
      <c r="IYH1" s="224"/>
      <c r="IYI1" s="224"/>
      <c r="IYJ1" s="224"/>
      <c r="IYK1" s="224"/>
      <c r="IYL1" s="224"/>
      <c r="IYM1" s="224"/>
      <c r="IYN1" s="224"/>
      <c r="IYO1" s="224"/>
      <c r="IYP1" s="224"/>
      <c r="IYQ1" s="224"/>
      <c r="IYR1" s="224"/>
      <c r="IYS1" s="224"/>
      <c r="IYT1" s="224"/>
      <c r="IYU1" s="224"/>
      <c r="IYV1" s="224"/>
      <c r="IYW1" s="224"/>
      <c r="IYX1" s="224"/>
      <c r="IYY1" s="224"/>
      <c r="IYZ1" s="224"/>
      <c r="IZA1" s="224"/>
      <c r="IZB1" s="224"/>
      <c r="IZC1" s="224"/>
      <c r="IZD1" s="224"/>
      <c r="IZE1" s="224"/>
      <c r="IZF1" s="224"/>
      <c r="IZG1" s="224"/>
      <c r="IZH1" s="224"/>
      <c r="IZI1" s="224"/>
      <c r="IZJ1" s="224"/>
      <c r="IZK1" s="224"/>
      <c r="IZL1" s="224"/>
      <c r="IZM1" s="224"/>
      <c r="IZN1" s="224"/>
      <c r="IZO1" s="224"/>
      <c r="IZP1" s="224"/>
      <c r="IZQ1" s="224"/>
      <c r="IZR1" s="224"/>
      <c r="IZS1" s="224"/>
      <c r="IZT1" s="224"/>
      <c r="IZU1" s="224"/>
      <c r="IZV1" s="224"/>
      <c r="IZW1" s="224"/>
      <c r="IZX1" s="224"/>
      <c r="IZY1" s="224"/>
      <c r="IZZ1" s="224"/>
      <c r="JAA1" s="224"/>
      <c r="JAB1" s="224"/>
      <c r="JAC1" s="224"/>
      <c r="JAD1" s="224"/>
      <c r="JAE1" s="224"/>
      <c r="JAF1" s="224"/>
      <c r="JAG1" s="224"/>
      <c r="JAH1" s="224"/>
      <c r="JAI1" s="224"/>
      <c r="JAJ1" s="224"/>
      <c r="JAK1" s="224"/>
      <c r="JAL1" s="224"/>
      <c r="JAM1" s="224"/>
      <c r="JAN1" s="224"/>
      <c r="JAO1" s="224"/>
      <c r="JAP1" s="224"/>
      <c r="JAQ1" s="224"/>
      <c r="JAR1" s="224"/>
      <c r="JAS1" s="224"/>
      <c r="JAT1" s="224"/>
      <c r="JAU1" s="224"/>
      <c r="JAV1" s="224"/>
      <c r="JAW1" s="224"/>
      <c r="JAX1" s="224"/>
      <c r="JAY1" s="224"/>
      <c r="JAZ1" s="224"/>
      <c r="JBA1" s="224"/>
      <c r="JBB1" s="224"/>
      <c r="JBC1" s="224"/>
      <c r="JBD1" s="224"/>
      <c r="JBE1" s="224"/>
      <c r="JBF1" s="224"/>
      <c r="JBG1" s="224"/>
      <c r="JBH1" s="224"/>
      <c r="JBI1" s="224"/>
      <c r="JBJ1" s="224"/>
      <c r="JBK1" s="224"/>
      <c r="JBL1" s="224"/>
      <c r="JBM1" s="224"/>
      <c r="JBN1" s="224"/>
      <c r="JBO1" s="224"/>
      <c r="JBP1" s="224"/>
      <c r="JBQ1" s="224"/>
      <c r="JBR1" s="224"/>
      <c r="JBS1" s="224"/>
      <c r="JBT1" s="224"/>
      <c r="JBU1" s="224"/>
      <c r="JBV1" s="224"/>
      <c r="JBW1" s="224"/>
      <c r="JBX1" s="224"/>
      <c r="JBY1" s="224"/>
      <c r="JBZ1" s="224"/>
      <c r="JCA1" s="224"/>
      <c r="JCB1" s="224"/>
      <c r="JCC1" s="224"/>
      <c r="JCD1" s="224"/>
      <c r="JCE1" s="224"/>
      <c r="JCF1" s="224"/>
      <c r="JCG1" s="224"/>
      <c r="JCH1" s="224"/>
      <c r="JCI1" s="224"/>
      <c r="JCJ1" s="224"/>
      <c r="JCK1" s="224"/>
      <c r="JCL1" s="224"/>
      <c r="JCM1" s="224"/>
      <c r="JCN1" s="224"/>
      <c r="JCO1" s="224"/>
      <c r="JCP1" s="224"/>
      <c r="JCQ1" s="224"/>
      <c r="JCR1" s="224"/>
      <c r="JCS1" s="224"/>
      <c r="JCT1" s="224"/>
      <c r="JCU1" s="224"/>
      <c r="JCV1" s="224"/>
      <c r="JCW1" s="224"/>
      <c r="JCX1" s="224"/>
      <c r="JCY1" s="224"/>
      <c r="JCZ1" s="224"/>
      <c r="JDA1" s="224"/>
      <c r="JDB1" s="224"/>
      <c r="JDC1" s="224"/>
      <c r="JDD1" s="224"/>
      <c r="JDE1" s="224"/>
      <c r="JDF1" s="224"/>
      <c r="JDG1" s="224"/>
      <c r="JDH1" s="224"/>
      <c r="JDI1" s="224"/>
      <c r="JDJ1" s="224"/>
      <c r="JDK1" s="224"/>
      <c r="JDL1" s="224"/>
      <c r="JDM1" s="224"/>
      <c r="JDN1" s="224"/>
      <c r="JDO1" s="224"/>
      <c r="JDP1" s="224"/>
      <c r="JDQ1" s="224"/>
      <c r="JDR1" s="224"/>
      <c r="JDS1" s="224"/>
      <c r="JDT1" s="224"/>
      <c r="JDU1" s="224"/>
      <c r="JDV1" s="224"/>
      <c r="JDW1" s="224"/>
      <c r="JDX1" s="224"/>
      <c r="JDY1" s="224"/>
      <c r="JDZ1" s="224"/>
      <c r="JEA1" s="224"/>
      <c r="JEB1" s="224"/>
      <c r="JEC1" s="224"/>
      <c r="JED1" s="224"/>
      <c r="JEE1" s="224"/>
      <c r="JEF1" s="224"/>
      <c r="JEG1" s="224"/>
      <c r="JEH1" s="224"/>
      <c r="JEI1" s="224"/>
      <c r="JEJ1" s="224"/>
      <c r="JEK1" s="224"/>
      <c r="JEL1" s="224"/>
      <c r="JEM1" s="224"/>
      <c r="JEN1" s="224"/>
      <c r="JEO1" s="224"/>
      <c r="JEP1" s="224"/>
      <c r="JEQ1" s="224"/>
      <c r="JER1" s="224"/>
      <c r="JES1" s="224"/>
      <c r="JET1" s="224"/>
      <c r="JEU1" s="224"/>
      <c r="JEV1" s="224"/>
      <c r="JEW1" s="224"/>
      <c r="JEX1" s="224"/>
      <c r="JEY1" s="224"/>
      <c r="JEZ1" s="224"/>
      <c r="JFA1" s="224"/>
      <c r="JFB1" s="224"/>
      <c r="JFC1" s="224"/>
      <c r="JFD1" s="224"/>
      <c r="JFE1" s="224"/>
      <c r="JFF1" s="224"/>
      <c r="JFG1" s="224"/>
      <c r="JFH1" s="224"/>
      <c r="JFI1" s="224"/>
      <c r="JFJ1" s="224"/>
      <c r="JFK1" s="224"/>
      <c r="JFL1" s="224"/>
      <c r="JFM1" s="224"/>
      <c r="JFN1" s="224"/>
      <c r="JFO1" s="224"/>
      <c r="JFP1" s="224"/>
      <c r="JFQ1" s="224"/>
      <c r="JFR1" s="224"/>
      <c r="JFS1" s="224"/>
      <c r="JFT1" s="224"/>
      <c r="JFU1" s="224"/>
      <c r="JFV1" s="224"/>
      <c r="JFW1" s="224"/>
      <c r="JFX1" s="224"/>
      <c r="JFY1" s="224"/>
      <c r="JFZ1" s="224"/>
      <c r="JGA1" s="224"/>
      <c r="JGB1" s="224"/>
      <c r="JGC1" s="224"/>
      <c r="JGD1" s="224"/>
      <c r="JGE1" s="224"/>
      <c r="JGF1" s="224"/>
      <c r="JGG1" s="224"/>
      <c r="JGH1" s="224"/>
      <c r="JGI1" s="224"/>
      <c r="JGJ1" s="224"/>
      <c r="JGK1" s="224"/>
      <c r="JGL1" s="224"/>
      <c r="JGM1" s="224"/>
      <c r="JGN1" s="224"/>
      <c r="JGO1" s="224"/>
      <c r="JGP1" s="224"/>
      <c r="JGQ1" s="224"/>
      <c r="JGR1" s="224"/>
      <c r="JGS1" s="224"/>
      <c r="JGT1" s="224"/>
      <c r="JGU1" s="224"/>
      <c r="JGV1" s="224"/>
      <c r="JGW1" s="224"/>
      <c r="JGX1" s="224"/>
      <c r="JGY1" s="224"/>
      <c r="JGZ1" s="224"/>
      <c r="JHA1" s="224"/>
      <c r="JHB1" s="224"/>
      <c r="JHC1" s="224"/>
      <c r="JHD1" s="224"/>
      <c r="JHE1" s="224"/>
      <c r="JHF1" s="224"/>
      <c r="JHG1" s="224"/>
      <c r="JHH1" s="224"/>
      <c r="JHI1" s="224"/>
      <c r="JHJ1" s="224"/>
      <c r="JHK1" s="224"/>
      <c r="JHL1" s="224"/>
      <c r="JHM1" s="224"/>
      <c r="JHN1" s="224"/>
      <c r="JHO1" s="224"/>
      <c r="JHP1" s="224"/>
      <c r="JHQ1" s="224"/>
      <c r="JHR1" s="224"/>
      <c r="JHS1" s="224"/>
      <c r="JHT1" s="224"/>
      <c r="JHU1" s="224"/>
      <c r="JHV1" s="224"/>
      <c r="JHW1" s="224"/>
      <c r="JHX1" s="224"/>
      <c r="JHY1" s="224"/>
      <c r="JHZ1" s="224"/>
      <c r="JIA1" s="224"/>
      <c r="JIB1" s="224"/>
      <c r="JIC1" s="224"/>
      <c r="JID1" s="224"/>
      <c r="JIE1" s="224"/>
      <c r="JIF1" s="224"/>
      <c r="JIG1" s="224"/>
      <c r="JIH1" s="224"/>
      <c r="JII1" s="224"/>
      <c r="JIJ1" s="224"/>
      <c r="JIK1" s="224"/>
      <c r="JIL1" s="224"/>
      <c r="JIM1" s="224"/>
      <c r="JIN1" s="224"/>
      <c r="JIO1" s="224"/>
      <c r="JIP1" s="224"/>
      <c r="JIQ1" s="224"/>
      <c r="JIR1" s="224"/>
      <c r="JIS1" s="224"/>
      <c r="JIT1" s="224"/>
      <c r="JIU1" s="224"/>
      <c r="JIV1" s="224"/>
      <c r="JIW1" s="224"/>
      <c r="JIX1" s="224"/>
      <c r="JIY1" s="224"/>
      <c r="JIZ1" s="224"/>
      <c r="JJA1" s="224"/>
      <c r="JJB1" s="224"/>
      <c r="JJC1" s="224"/>
      <c r="JJD1" s="224"/>
      <c r="JJE1" s="224"/>
      <c r="JJF1" s="224"/>
      <c r="JJG1" s="224"/>
      <c r="JJH1" s="224"/>
      <c r="JJI1" s="224"/>
      <c r="JJJ1" s="224"/>
      <c r="JJK1" s="224"/>
      <c r="JJL1" s="224"/>
      <c r="JJM1" s="224"/>
      <c r="JJN1" s="224"/>
      <c r="JJO1" s="224"/>
      <c r="JJP1" s="224"/>
      <c r="JJQ1" s="224"/>
      <c r="JJR1" s="224"/>
      <c r="JJS1" s="224"/>
      <c r="JJT1" s="224"/>
      <c r="JJU1" s="224"/>
      <c r="JJV1" s="224"/>
      <c r="JJW1" s="224"/>
      <c r="JJX1" s="224"/>
      <c r="JJY1" s="224"/>
      <c r="JJZ1" s="224"/>
      <c r="JKA1" s="224"/>
      <c r="JKB1" s="224"/>
      <c r="JKC1" s="224"/>
      <c r="JKD1" s="224"/>
      <c r="JKE1" s="224"/>
      <c r="JKF1" s="224"/>
      <c r="JKG1" s="224"/>
      <c r="JKH1" s="224"/>
      <c r="JKI1" s="224"/>
      <c r="JKJ1" s="224"/>
      <c r="JKK1" s="224"/>
      <c r="JKL1" s="224"/>
      <c r="JKM1" s="224"/>
      <c r="JKN1" s="224"/>
      <c r="JKO1" s="224"/>
      <c r="JKP1" s="224"/>
      <c r="JKQ1" s="224"/>
      <c r="JKR1" s="224"/>
      <c r="JKS1" s="224"/>
      <c r="JKT1" s="224"/>
      <c r="JKU1" s="224"/>
      <c r="JKV1" s="224"/>
      <c r="JKW1" s="224"/>
      <c r="JKX1" s="224"/>
      <c r="JKY1" s="224"/>
      <c r="JKZ1" s="224"/>
      <c r="JLA1" s="224"/>
      <c r="JLB1" s="224"/>
      <c r="JLC1" s="224"/>
      <c r="JLD1" s="224"/>
      <c r="JLE1" s="224"/>
      <c r="JLF1" s="224"/>
      <c r="JLG1" s="224"/>
      <c r="JLH1" s="224"/>
      <c r="JLI1" s="224"/>
      <c r="JLJ1" s="224"/>
      <c r="JLK1" s="224"/>
      <c r="JLL1" s="224"/>
      <c r="JLM1" s="224"/>
      <c r="JLN1" s="224"/>
      <c r="JLO1" s="224"/>
      <c r="JLP1" s="224"/>
      <c r="JLQ1" s="224"/>
      <c r="JLR1" s="224"/>
      <c r="JLS1" s="224"/>
      <c r="JLT1" s="224"/>
      <c r="JLU1" s="224"/>
      <c r="JLV1" s="224"/>
      <c r="JLW1" s="224"/>
      <c r="JLX1" s="224"/>
      <c r="JLY1" s="224"/>
      <c r="JLZ1" s="224"/>
      <c r="JMA1" s="224"/>
      <c r="JMB1" s="224"/>
      <c r="JMC1" s="224"/>
      <c r="JMD1" s="224"/>
      <c r="JME1" s="224"/>
      <c r="JMF1" s="224"/>
      <c r="JMG1" s="224"/>
      <c r="JMH1" s="224"/>
      <c r="JMI1" s="224"/>
      <c r="JMJ1" s="224"/>
      <c r="JMK1" s="224"/>
      <c r="JML1" s="224"/>
      <c r="JMM1" s="224"/>
      <c r="JMN1" s="224"/>
      <c r="JMO1" s="224"/>
      <c r="JMP1" s="224"/>
      <c r="JMQ1" s="224"/>
      <c r="JMR1" s="224"/>
      <c r="JMS1" s="224"/>
      <c r="JMT1" s="224"/>
      <c r="JMU1" s="224"/>
      <c r="JMV1" s="224"/>
      <c r="JMW1" s="224"/>
      <c r="JMX1" s="224"/>
      <c r="JMY1" s="224"/>
      <c r="JMZ1" s="224"/>
      <c r="JNA1" s="224"/>
      <c r="JNB1" s="224"/>
      <c r="JNC1" s="224"/>
      <c r="JND1" s="224"/>
      <c r="JNE1" s="224"/>
      <c r="JNF1" s="224"/>
      <c r="JNG1" s="224"/>
      <c r="JNH1" s="224"/>
      <c r="JNI1" s="224"/>
      <c r="JNJ1" s="224"/>
      <c r="JNK1" s="224"/>
      <c r="JNL1" s="224"/>
      <c r="JNM1" s="224"/>
      <c r="JNN1" s="224"/>
      <c r="JNO1" s="224"/>
      <c r="JNP1" s="224"/>
      <c r="JNQ1" s="224"/>
      <c r="JNR1" s="224"/>
      <c r="JNS1" s="224"/>
      <c r="JNT1" s="224"/>
      <c r="JNU1" s="224"/>
      <c r="JNV1" s="224"/>
      <c r="JNW1" s="224"/>
      <c r="JNX1" s="224"/>
      <c r="JNY1" s="224"/>
      <c r="JNZ1" s="224"/>
      <c r="JOA1" s="224"/>
      <c r="JOB1" s="224"/>
      <c r="JOC1" s="224"/>
      <c r="JOD1" s="224"/>
      <c r="JOE1" s="224"/>
      <c r="JOF1" s="224"/>
      <c r="JOG1" s="224"/>
      <c r="JOH1" s="224"/>
      <c r="JOI1" s="224"/>
      <c r="JOJ1" s="224"/>
      <c r="JOK1" s="224"/>
      <c r="JOL1" s="224"/>
      <c r="JOM1" s="224"/>
      <c r="JON1" s="224"/>
      <c r="JOO1" s="224"/>
      <c r="JOP1" s="224"/>
      <c r="JOQ1" s="224"/>
      <c r="JOR1" s="224"/>
      <c r="JOS1" s="224"/>
      <c r="JOT1" s="224"/>
      <c r="JOU1" s="224"/>
      <c r="JOV1" s="224"/>
      <c r="JOW1" s="224"/>
      <c r="JOX1" s="224"/>
      <c r="JOY1" s="224"/>
      <c r="JOZ1" s="224"/>
      <c r="JPA1" s="224"/>
      <c r="JPB1" s="224"/>
      <c r="JPC1" s="224"/>
      <c r="JPD1" s="224"/>
      <c r="JPE1" s="224"/>
      <c r="JPF1" s="224"/>
      <c r="JPG1" s="224"/>
      <c r="JPH1" s="224"/>
      <c r="JPI1" s="224"/>
      <c r="JPJ1" s="224"/>
      <c r="JPK1" s="224"/>
      <c r="JPL1" s="224"/>
      <c r="JPM1" s="224"/>
      <c r="JPN1" s="224"/>
      <c r="JPO1" s="224"/>
      <c r="JPP1" s="224"/>
      <c r="JPQ1" s="224"/>
      <c r="JPR1" s="224"/>
      <c r="JPS1" s="224"/>
      <c r="JPT1" s="224"/>
      <c r="JPU1" s="224"/>
      <c r="JPV1" s="224"/>
      <c r="JPW1" s="224"/>
      <c r="JPX1" s="224"/>
      <c r="JPY1" s="224"/>
      <c r="JPZ1" s="224"/>
      <c r="JQA1" s="224"/>
      <c r="JQB1" s="224"/>
      <c r="JQC1" s="224"/>
      <c r="JQD1" s="224"/>
      <c r="JQE1" s="224"/>
      <c r="JQF1" s="224"/>
      <c r="JQG1" s="224"/>
      <c r="JQH1" s="224"/>
      <c r="JQI1" s="224"/>
      <c r="JQJ1" s="224"/>
      <c r="JQK1" s="224"/>
      <c r="JQL1" s="224"/>
      <c r="JQM1" s="224"/>
      <c r="JQN1" s="224"/>
      <c r="JQO1" s="224"/>
      <c r="JQP1" s="224"/>
      <c r="JQQ1" s="224"/>
      <c r="JQR1" s="224"/>
      <c r="JQS1" s="224"/>
      <c r="JQT1" s="224"/>
      <c r="JQU1" s="224"/>
      <c r="JQV1" s="224"/>
      <c r="JQW1" s="224"/>
      <c r="JQX1" s="224"/>
      <c r="JQY1" s="224"/>
      <c r="JQZ1" s="224"/>
      <c r="JRA1" s="224"/>
      <c r="JRB1" s="224"/>
      <c r="JRC1" s="224"/>
      <c r="JRD1" s="224"/>
      <c r="JRE1" s="224"/>
      <c r="JRF1" s="224"/>
      <c r="JRG1" s="224"/>
      <c r="JRH1" s="224"/>
      <c r="JRI1" s="224"/>
      <c r="JRJ1" s="224"/>
      <c r="JRK1" s="224"/>
      <c r="JRL1" s="224"/>
      <c r="JRM1" s="224"/>
      <c r="JRN1" s="224"/>
      <c r="JRO1" s="224"/>
      <c r="JRP1" s="224"/>
      <c r="JRQ1" s="224"/>
      <c r="JRR1" s="224"/>
      <c r="JRS1" s="224"/>
      <c r="JRT1" s="224"/>
      <c r="JRU1" s="224"/>
      <c r="JRV1" s="224"/>
      <c r="JRW1" s="224"/>
      <c r="JRX1" s="224"/>
      <c r="JRY1" s="224"/>
      <c r="JRZ1" s="224"/>
      <c r="JSA1" s="224"/>
      <c r="JSB1" s="224"/>
      <c r="JSC1" s="224"/>
      <c r="JSD1" s="224"/>
      <c r="JSE1" s="224"/>
      <c r="JSF1" s="224"/>
      <c r="JSG1" s="224"/>
      <c r="JSH1" s="224"/>
      <c r="JSI1" s="224"/>
      <c r="JSJ1" s="224"/>
      <c r="JSK1" s="224"/>
      <c r="JSL1" s="224"/>
      <c r="JSM1" s="224"/>
      <c r="JSN1" s="224"/>
      <c r="JSO1" s="224"/>
      <c r="JSP1" s="224"/>
      <c r="JSQ1" s="224"/>
      <c r="JSR1" s="224"/>
      <c r="JSS1" s="224"/>
      <c r="JST1" s="224"/>
      <c r="JSU1" s="224"/>
      <c r="JSV1" s="224"/>
      <c r="JSW1" s="224"/>
      <c r="JSX1" s="224"/>
      <c r="JSY1" s="224"/>
      <c r="JSZ1" s="224"/>
      <c r="JTA1" s="224"/>
      <c r="JTB1" s="224"/>
      <c r="JTC1" s="224"/>
      <c r="JTD1" s="224"/>
      <c r="JTE1" s="224"/>
      <c r="JTF1" s="224"/>
      <c r="JTG1" s="224"/>
      <c r="JTH1" s="224"/>
      <c r="JTI1" s="224"/>
      <c r="JTJ1" s="224"/>
      <c r="JTK1" s="224"/>
      <c r="JTL1" s="224"/>
      <c r="JTM1" s="224"/>
      <c r="JTN1" s="224"/>
      <c r="JTO1" s="224"/>
      <c r="JTP1" s="224"/>
      <c r="JTQ1" s="224"/>
      <c r="JTR1" s="224"/>
      <c r="JTS1" s="224"/>
      <c r="JTT1" s="224"/>
      <c r="JTU1" s="224"/>
      <c r="JTV1" s="224"/>
      <c r="JTW1" s="224"/>
      <c r="JTX1" s="224"/>
      <c r="JTY1" s="224"/>
      <c r="JTZ1" s="224"/>
      <c r="JUA1" s="224"/>
      <c r="JUB1" s="224"/>
      <c r="JUC1" s="224"/>
      <c r="JUD1" s="224"/>
      <c r="JUE1" s="224"/>
      <c r="JUF1" s="224"/>
      <c r="JUG1" s="224"/>
      <c r="JUH1" s="224"/>
      <c r="JUI1" s="224"/>
      <c r="JUJ1" s="224"/>
      <c r="JUK1" s="224"/>
      <c r="JUL1" s="224"/>
      <c r="JUM1" s="224"/>
      <c r="JUN1" s="224"/>
      <c r="JUO1" s="224"/>
      <c r="JUP1" s="224"/>
      <c r="JUQ1" s="224"/>
      <c r="JUR1" s="224"/>
      <c r="JUS1" s="224"/>
      <c r="JUT1" s="224"/>
      <c r="JUU1" s="224"/>
      <c r="JUV1" s="224"/>
      <c r="JUW1" s="224"/>
      <c r="JUX1" s="224"/>
      <c r="JUY1" s="224"/>
      <c r="JUZ1" s="224"/>
      <c r="JVA1" s="224"/>
      <c r="JVB1" s="224"/>
      <c r="JVC1" s="224"/>
      <c r="JVD1" s="224"/>
      <c r="JVE1" s="224"/>
      <c r="JVF1" s="224"/>
      <c r="JVG1" s="224"/>
      <c r="JVH1" s="224"/>
      <c r="JVI1" s="224"/>
      <c r="JVJ1" s="224"/>
      <c r="JVK1" s="224"/>
      <c r="JVL1" s="224"/>
      <c r="JVM1" s="224"/>
      <c r="JVN1" s="224"/>
      <c r="JVO1" s="224"/>
      <c r="JVP1" s="224"/>
      <c r="JVQ1" s="224"/>
      <c r="JVR1" s="224"/>
      <c r="JVS1" s="224"/>
      <c r="JVT1" s="224"/>
      <c r="JVU1" s="224"/>
      <c r="JVV1" s="224"/>
      <c r="JVW1" s="224"/>
      <c r="JVX1" s="224"/>
      <c r="JVY1" s="224"/>
      <c r="JVZ1" s="224"/>
      <c r="JWA1" s="224"/>
      <c r="JWB1" s="224"/>
      <c r="JWC1" s="224"/>
      <c r="JWD1" s="224"/>
      <c r="JWE1" s="224"/>
      <c r="JWF1" s="224"/>
      <c r="JWG1" s="224"/>
      <c r="JWH1" s="224"/>
      <c r="JWI1" s="224"/>
      <c r="JWJ1" s="224"/>
      <c r="JWK1" s="224"/>
      <c r="JWL1" s="224"/>
      <c r="JWM1" s="224"/>
      <c r="JWN1" s="224"/>
      <c r="JWO1" s="224"/>
      <c r="JWP1" s="224"/>
      <c r="JWQ1" s="224"/>
      <c r="JWR1" s="224"/>
      <c r="JWS1" s="224"/>
      <c r="JWT1" s="224"/>
      <c r="JWU1" s="224"/>
      <c r="JWV1" s="224"/>
      <c r="JWW1" s="224"/>
      <c r="JWX1" s="224"/>
      <c r="JWY1" s="224"/>
      <c r="JWZ1" s="224"/>
      <c r="JXA1" s="224"/>
      <c r="JXB1" s="224"/>
      <c r="JXC1" s="224"/>
      <c r="JXD1" s="224"/>
      <c r="JXE1" s="224"/>
      <c r="JXF1" s="224"/>
      <c r="JXG1" s="224"/>
      <c r="JXH1" s="224"/>
      <c r="JXI1" s="224"/>
      <c r="JXJ1" s="224"/>
      <c r="JXK1" s="224"/>
      <c r="JXL1" s="224"/>
      <c r="JXM1" s="224"/>
      <c r="JXN1" s="224"/>
      <c r="JXO1" s="224"/>
      <c r="JXP1" s="224"/>
      <c r="JXQ1" s="224"/>
      <c r="JXR1" s="224"/>
      <c r="JXS1" s="224"/>
      <c r="JXT1" s="224"/>
      <c r="JXU1" s="224"/>
      <c r="JXV1" s="224"/>
      <c r="JXW1" s="224"/>
      <c r="JXX1" s="224"/>
      <c r="JXY1" s="224"/>
      <c r="JXZ1" s="224"/>
      <c r="JYA1" s="224"/>
      <c r="JYB1" s="224"/>
      <c r="JYC1" s="224"/>
      <c r="JYD1" s="224"/>
      <c r="JYE1" s="224"/>
      <c r="JYF1" s="224"/>
      <c r="JYG1" s="224"/>
      <c r="JYH1" s="224"/>
      <c r="JYI1" s="224"/>
      <c r="JYJ1" s="224"/>
      <c r="JYK1" s="224"/>
      <c r="JYL1" s="224"/>
      <c r="JYM1" s="224"/>
      <c r="JYN1" s="224"/>
      <c r="JYO1" s="224"/>
      <c r="JYP1" s="224"/>
      <c r="JYQ1" s="224"/>
      <c r="JYR1" s="224"/>
      <c r="JYS1" s="224"/>
      <c r="JYT1" s="224"/>
      <c r="JYU1" s="224"/>
      <c r="JYV1" s="224"/>
      <c r="JYW1" s="224"/>
      <c r="JYX1" s="224"/>
      <c r="JYY1" s="224"/>
      <c r="JYZ1" s="224"/>
      <c r="JZA1" s="224"/>
      <c r="JZB1" s="224"/>
      <c r="JZC1" s="224"/>
      <c r="JZD1" s="224"/>
      <c r="JZE1" s="224"/>
      <c r="JZF1" s="224"/>
      <c r="JZG1" s="224"/>
      <c r="JZH1" s="224"/>
      <c r="JZI1" s="224"/>
      <c r="JZJ1" s="224"/>
      <c r="JZK1" s="224"/>
      <c r="JZL1" s="224"/>
      <c r="JZM1" s="224"/>
      <c r="JZN1" s="224"/>
      <c r="JZO1" s="224"/>
      <c r="JZP1" s="224"/>
      <c r="JZQ1" s="224"/>
      <c r="JZR1" s="224"/>
      <c r="JZS1" s="224"/>
      <c r="JZT1" s="224"/>
      <c r="JZU1" s="224"/>
      <c r="JZV1" s="224"/>
      <c r="JZW1" s="224"/>
      <c r="JZX1" s="224"/>
      <c r="JZY1" s="224"/>
      <c r="JZZ1" s="224"/>
      <c r="KAA1" s="224"/>
      <c r="KAB1" s="224"/>
      <c r="KAC1" s="224"/>
      <c r="KAD1" s="224"/>
      <c r="KAE1" s="224"/>
      <c r="KAF1" s="224"/>
      <c r="KAG1" s="224"/>
      <c r="KAH1" s="224"/>
      <c r="KAI1" s="224"/>
      <c r="KAJ1" s="224"/>
      <c r="KAK1" s="224"/>
      <c r="KAL1" s="224"/>
      <c r="KAM1" s="224"/>
      <c r="KAN1" s="224"/>
      <c r="KAO1" s="224"/>
      <c r="KAP1" s="224"/>
      <c r="KAQ1" s="224"/>
      <c r="KAR1" s="224"/>
      <c r="KAS1" s="224"/>
      <c r="KAT1" s="224"/>
      <c r="KAU1" s="224"/>
      <c r="KAV1" s="224"/>
      <c r="KAW1" s="224"/>
      <c r="KAX1" s="224"/>
      <c r="KAY1" s="224"/>
      <c r="KAZ1" s="224"/>
      <c r="KBA1" s="224"/>
      <c r="KBB1" s="224"/>
      <c r="KBC1" s="224"/>
      <c r="KBD1" s="224"/>
      <c r="KBE1" s="224"/>
      <c r="KBF1" s="224"/>
      <c r="KBG1" s="224"/>
      <c r="KBH1" s="224"/>
      <c r="KBI1" s="224"/>
      <c r="KBJ1" s="224"/>
      <c r="KBK1" s="224"/>
      <c r="KBL1" s="224"/>
      <c r="KBM1" s="224"/>
      <c r="KBN1" s="224"/>
      <c r="KBO1" s="224"/>
      <c r="KBP1" s="224"/>
      <c r="KBQ1" s="224"/>
      <c r="KBR1" s="224"/>
      <c r="KBS1" s="224"/>
      <c r="KBT1" s="224"/>
      <c r="KBU1" s="224"/>
      <c r="KBV1" s="224"/>
      <c r="KBW1" s="224"/>
      <c r="KBX1" s="224"/>
      <c r="KBY1" s="224"/>
      <c r="KBZ1" s="224"/>
      <c r="KCA1" s="224"/>
      <c r="KCB1" s="224"/>
      <c r="KCC1" s="224"/>
      <c r="KCD1" s="224"/>
      <c r="KCE1" s="224"/>
      <c r="KCF1" s="224"/>
      <c r="KCG1" s="224"/>
      <c r="KCH1" s="224"/>
      <c r="KCI1" s="224"/>
      <c r="KCJ1" s="224"/>
      <c r="KCK1" s="224"/>
      <c r="KCL1" s="224"/>
      <c r="KCM1" s="224"/>
      <c r="KCN1" s="224"/>
      <c r="KCO1" s="224"/>
      <c r="KCP1" s="224"/>
      <c r="KCQ1" s="224"/>
      <c r="KCR1" s="224"/>
      <c r="KCS1" s="224"/>
      <c r="KCT1" s="224"/>
      <c r="KCU1" s="224"/>
      <c r="KCV1" s="224"/>
      <c r="KCW1" s="224"/>
      <c r="KCX1" s="224"/>
      <c r="KCY1" s="224"/>
      <c r="KCZ1" s="224"/>
      <c r="KDA1" s="224"/>
      <c r="KDB1" s="224"/>
      <c r="KDC1" s="224"/>
      <c r="KDD1" s="224"/>
      <c r="KDE1" s="224"/>
      <c r="KDF1" s="224"/>
      <c r="KDG1" s="224"/>
      <c r="KDH1" s="224"/>
      <c r="KDI1" s="224"/>
      <c r="KDJ1" s="224"/>
      <c r="KDK1" s="224"/>
      <c r="KDL1" s="224"/>
      <c r="KDM1" s="224"/>
      <c r="KDN1" s="224"/>
      <c r="KDO1" s="224"/>
      <c r="KDP1" s="224"/>
      <c r="KDQ1" s="224"/>
      <c r="KDR1" s="224"/>
      <c r="KDS1" s="224"/>
      <c r="KDT1" s="224"/>
      <c r="KDU1" s="224"/>
      <c r="KDV1" s="224"/>
      <c r="KDW1" s="224"/>
      <c r="KDX1" s="224"/>
      <c r="KDY1" s="224"/>
      <c r="KDZ1" s="224"/>
      <c r="KEA1" s="224"/>
      <c r="KEB1" s="224"/>
      <c r="KEC1" s="224"/>
      <c r="KED1" s="224"/>
      <c r="KEE1" s="224"/>
      <c r="KEF1" s="224"/>
      <c r="KEG1" s="224"/>
      <c r="KEH1" s="224"/>
      <c r="KEI1" s="224"/>
      <c r="KEJ1" s="224"/>
      <c r="KEK1" s="224"/>
      <c r="KEL1" s="224"/>
      <c r="KEM1" s="224"/>
      <c r="KEN1" s="224"/>
      <c r="KEO1" s="224"/>
      <c r="KEP1" s="224"/>
      <c r="KEQ1" s="224"/>
      <c r="KER1" s="224"/>
      <c r="KES1" s="224"/>
      <c r="KET1" s="224"/>
      <c r="KEU1" s="224"/>
      <c r="KEV1" s="224"/>
      <c r="KEW1" s="224"/>
      <c r="KEX1" s="224"/>
      <c r="KEY1" s="224"/>
      <c r="KEZ1" s="224"/>
      <c r="KFA1" s="224"/>
      <c r="KFB1" s="224"/>
      <c r="KFC1" s="224"/>
      <c r="KFD1" s="224"/>
      <c r="KFE1" s="224"/>
      <c r="KFF1" s="224"/>
      <c r="KFG1" s="224"/>
      <c r="KFH1" s="224"/>
      <c r="KFI1" s="224"/>
      <c r="KFJ1" s="224"/>
      <c r="KFK1" s="224"/>
      <c r="KFL1" s="224"/>
      <c r="KFM1" s="224"/>
      <c r="KFN1" s="224"/>
      <c r="KFO1" s="224"/>
      <c r="KFP1" s="224"/>
      <c r="KFQ1" s="224"/>
      <c r="KFR1" s="224"/>
      <c r="KFS1" s="224"/>
      <c r="KFT1" s="224"/>
      <c r="KFU1" s="224"/>
      <c r="KFV1" s="224"/>
      <c r="KFW1" s="224"/>
      <c r="KFX1" s="224"/>
      <c r="KFY1" s="224"/>
      <c r="KFZ1" s="224"/>
      <c r="KGA1" s="224"/>
      <c r="KGB1" s="224"/>
      <c r="KGC1" s="224"/>
      <c r="KGD1" s="224"/>
      <c r="KGE1" s="224"/>
      <c r="KGF1" s="224"/>
      <c r="KGG1" s="224"/>
      <c r="KGH1" s="224"/>
      <c r="KGI1" s="224"/>
      <c r="KGJ1" s="224"/>
      <c r="KGK1" s="224"/>
      <c r="KGL1" s="224"/>
      <c r="KGM1" s="224"/>
      <c r="KGN1" s="224"/>
      <c r="KGO1" s="224"/>
      <c r="KGP1" s="224"/>
      <c r="KGQ1" s="224"/>
      <c r="KGR1" s="224"/>
      <c r="KGS1" s="224"/>
      <c r="KGT1" s="224"/>
      <c r="KGU1" s="224"/>
      <c r="KGV1" s="224"/>
      <c r="KGW1" s="224"/>
      <c r="KGX1" s="224"/>
      <c r="KGY1" s="224"/>
      <c r="KGZ1" s="224"/>
      <c r="KHA1" s="224"/>
      <c r="KHB1" s="224"/>
      <c r="KHC1" s="224"/>
      <c r="KHD1" s="224"/>
      <c r="KHE1" s="224"/>
      <c r="KHF1" s="224"/>
      <c r="KHG1" s="224"/>
      <c r="KHH1" s="224"/>
      <c r="KHI1" s="224"/>
      <c r="KHJ1" s="224"/>
      <c r="KHK1" s="224"/>
      <c r="KHL1" s="224"/>
      <c r="KHM1" s="224"/>
      <c r="KHN1" s="224"/>
      <c r="KHO1" s="224"/>
      <c r="KHP1" s="224"/>
      <c r="KHQ1" s="224"/>
      <c r="KHR1" s="224"/>
      <c r="KHS1" s="224"/>
      <c r="KHT1" s="224"/>
      <c r="KHU1" s="224"/>
      <c r="KHV1" s="224"/>
      <c r="KHW1" s="224"/>
      <c r="KHX1" s="224"/>
      <c r="KHY1" s="224"/>
      <c r="KHZ1" s="224"/>
      <c r="KIA1" s="224"/>
      <c r="KIB1" s="224"/>
      <c r="KIC1" s="224"/>
      <c r="KID1" s="224"/>
      <c r="KIE1" s="224"/>
      <c r="KIF1" s="224"/>
      <c r="KIG1" s="224"/>
      <c r="KIH1" s="224"/>
      <c r="KII1" s="224"/>
      <c r="KIJ1" s="224"/>
      <c r="KIK1" s="224"/>
      <c r="KIL1" s="224"/>
      <c r="KIM1" s="224"/>
      <c r="KIN1" s="224"/>
      <c r="KIO1" s="224"/>
      <c r="KIP1" s="224"/>
      <c r="KIQ1" s="224"/>
      <c r="KIR1" s="224"/>
      <c r="KIS1" s="224"/>
      <c r="KIT1" s="224"/>
      <c r="KIU1" s="224"/>
      <c r="KIV1" s="224"/>
      <c r="KIW1" s="224"/>
      <c r="KIX1" s="224"/>
      <c r="KIY1" s="224"/>
      <c r="KIZ1" s="224"/>
      <c r="KJA1" s="224"/>
      <c r="KJB1" s="224"/>
      <c r="KJC1" s="224"/>
      <c r="KJD1" s="224"/>
      <c r="KJE1" s="224"/>
      <c r="KJF1" s="224"/>
      <c r="KJG1" s="224"/>
      <c r="KJH1" s="224"/>
      <c r="KJI1" s="224"/>
      <c r="KJJ1" s="224"/>
      <c r="KJK1" s="224"/>
      <c r="KJL1" s="224"/>
      <c r="KJM1" s="224"/>
      <c r="KJN1" s="224"/>
      <c r="KJO1" s="224"/>
      <c r="KJP1" s="224"/>
      <c r="KJQ1" s="224"/>
      <c r="KJR1" s="224"/>
      <c r="KJS1" s="224"/>
      <c r="KJT1" s="224"/>
      <c r="KJU1" s="224"/>
      <c r="KJV1" s="224"/>
      <c r="KJW1" s="224"/>
      <c r="KJX1" s="224"/>
      <c r="KJY1" s="224"/>
      <c r="KJZ1" s="224"/>
      <c r="KKA1" s="224"/>
      <c r="KKB1" s="224"/>
      <c r="KKC1" s="224"/>
      <c r="KKD1" s="224"/>
      <c r="KKE1" s="224"/>
      <c r="KKF1" s="224"/>
      <c r="KKG1" s="224"/>
      <c r="KKH1" s="224"/>
      <c r="KKI1" s="224"/>
      <c r="KKJ1" s="224"/>
      <c r="KKK1" s="224"/>
      <c r="KKL1" s="224"/>
      <c r="KKM1" s="224"/>
      <c r="KKN1" s="224"/>
      <c r="KKO1" s="224"/>
      <c r="KKP1" s="224"/>
      <c r="KKQ1" s="224"/>
      <c r="KKR1" s="224"/>
      <c r="KKS1" s="224"/>
      <c r="KKT1" s="224"/>
      <c r="KKU1" s="224"/>
      <c r="KKV1" s="224"/>
      <c r="KKW1" s="224"/>
      <c r="KKX1" s="224"/>
      <c r="KKY1" s="224"/>
      <c r="KKZ1" s="224"/>
      <c r="KLA1" s="224"/>
      <c r="KLB1" s="224"/>
      <c r="KLC1" s="224"/>
      <c r="KLD1" s="224"/>
      <c r="KLE1" s="224"/>
      <c r="KLF1" s="224"/>
      <c r="KLG1" s="224"/>
      <c r="KLH1" s="224"/>
      <c r="KLI1" s="224"/>
      <c r="KLJ1" s="224"/>
      <c r="KLK1" s="224"/>
      <c r="KLL1" s="224"/>
      <c r="KLM1" s="224"/>
      <c r="KLN1" s="224"/>
      <c r="KLO1" s="224"/>
      <c r="KLP1" s="224"/>
      <c r="KLQ1" s="224"/>
      <c r="KLR1" s="224"/>
      <c r="KLS1" s="224"/>
      <c r="KLT1" s="224"/>
      <c r="KLU1" s="224"/>
      <c r="KLV1" s="224"/>
      <c r="KLW1" s="224"/>
      <c r="KLX1" s="224"/>
      <c r="KLY1" s="224"/>
      <c r="KLZ1" s="224"/>
      <c r="KMA1" s="224"/>
      <c r="KMB1" s="224"/>
      <c r="KMC1" s="224"/>
      <c r="KMD1" s="224"/>
      <c r="KME1" s="224"/>
      <c r="KMF1" s="224"/>
      <c r="KMG1" s="224"/>
      <c r="KMH1" s="224"/>
      <c r="KMI1" s="224"/>
      <c r="KMJ1" s="224"/>
      <c r="KMK1" s="224"/>
      <c r="KML1" s="224"/>
      <c r="KMM1" s="224"/>
      <c r="KMN1" s="224"/>
      <c r="KMO1" s="224"/>
      <c r="KMP1" s="224"/>
      <c r="KMQ1" s="224"/>
      <c r="KMR1" s="224"/>
      <c r="KMS1" s="224"/>
      <c r="KMT1" s="224"/>
      <c r="KMU1" s="224"/>
      <c r="KMV1" s="224"/>
      <c r="KMW1" s="224"/>
      <c r="KMX1" s="224"/>
      <c r="KMY1" s="224"/>
      <c r="KMZ1" s="224"/>
      <c r="KNA1" s="224"/>
      <c r="KNB1" s="224"/>
      <c r="KNC1" s="224"/>
      <c r="KND1" s="224"/>
      <c r="KNE1" s="224"/>
      <c r="KNF1" s="224"/>
      <c r="KNG1" s="224"/>
      <c r="KNH1" s="224"/>
      <c r="KNI1" s="224"/>
      <c r="KNJ1" s="224"/>
      <c r="KNK1" s="224"/>
      <c r="KNL1" s="224"/>
      <c r="KNM1" s="224"/>
      <c r="KNN1" s="224"/>
      <c r="KNO1" s="224"/>
      <c r="KNP1" s="224"/>
      <c r="KNQ1" s="224"/>
      <c r="KNR1" s="224"/>
      <c r="KNS1" s="224"/>
      <c r="KNT1" s="224"/>
      <c r="KNU1" s="224"/>
      <c r="KNV1" s="224"/>
      <c r="KNW1" s="224"/>
      <c r="KNX1" s="224"/>
      <c r="KNY1" s="224"/>
      <c r="KNZ1" s="224"/>
      <c r="KOA1" s="224"/>
      <c r="KOB1" s="224"/>
      <c r="KOC1" s="224"/>
      <c r="KOD1" s="224"/>
      <c r="KOE1" s="224"/>
      <c r="KOF1" s="224"/>
      <c r="KOG1" s="224"/>
      <c r="KOH1" s="224"/>
      <c r="KOI1" s="224"/>
      <c r="KOJ1" s="224"/>
      <c r="KOK1" s="224"/>
      <c r="KOL1" s="224"/>
      <c r="KOM1" s="224"/>
      <c r="KON1" s="224"/>
      <c r="KOO1" s="224"/>
      <c r="KOP1" s="224"/>
      <c r="KOQ1" s="224"/>
      <c r="KOR1" s="224"/>
      <c r="KOS1" s="224"/>
      <c r="KOT1" s="224"/>
      <c r="KOU1" s="224"/>
      <c r="KOV1" s="224"/>
      <c r="KOW1" s="224"/>
      <c r="KOX1" s="224"/>
      <c r="KOY1" s="224"/>
      <c r="KOZ1" s="224"/>
      <c r="KPA1" s="224"/>
      <c r="KPB1" s="224"/>
      <c r="KPC1" s="224"/>
      <c r="KPD1" s="224"/>
      <c r="KPE1" s="224"/>
      <c r="KPF1" s="224"/>
      <c r="KPG1" s="224"/>
      <c r="KPH1" s="224"/>
      <c r="KPI1" s="224"/>
      <c r="KPJ1" s="224"/>
      <c r="KPK1" s="224"/>
      <c r="KPL1" s="224"/>
      <c r="KPM1" s="224"/>
      <c r="KPN1" s="224"/>
      <c r="KPO1" s="224"/>
      <c r="KPP1" s="224"/>
      <c r="KPQ1" s="224"/>
      <c r="KPR1" s="224"/>
      <c r="KPS1" s="224"/>
      <c r="KPT1" s="224"/>
      <c r="KPU1" s="224"/>
      <c r="KPV1" s="224"/>
      <c r="KPW1" s="224"/>
      <c r="KPX1" s="224"/>
      <c r="KPY1" s="224"/>
      <c r="KPZ1" s="224"/>
      <c r="KQA1" s="224"/>
      <c r="KQB1" s="224"/>
      <c r="KQC1" s="224"/>
      <c r="KQD1" s="224"/>
      <c r="KQE1" s="224"/>
      <c r="KQF1" s="224"/>
      <c r="KQG1" s="224"/>
      <c r="KQH1" s="224"/>
      <c r="KQI1" s="224"/>
      <c r="KQJ1" s="224"/>
      <c r="KQK1" s="224"/>
      <c r="KQL1" s="224"/>
      <c r="KQM1" s="224"/>
      <c r="KQN1" s="224"/>
      <c r="KQO1" s="224"/>
      <c r="KQP1" s="224"/>
      <c r="KQQ1" s="224"/>
      <c r="KQR1" s="224"/>
      <c r="KQS1" s="224"/>
      <c r="KQT1" s="224"/>
      <c r="KQU1" s="224"/>
      <c r="KQV1" s="224"/>
      <c r="KQW1" s="224"/>
      <c r="KQX1" s="224"/>
      <c r="KQY1" s="224"/>
      <c r="KQZ1" s="224"/>
      <c r="KRA1" s="224"/>
      <c r="KRB1" s="224"/>
      <c r="KRC1" s="224"/>
      <c r="KRD1" s="224"/>
      <c r="KRE1" s="224"/>
      <c r="KRF1" s="224"/>
      <c r="KRG1" s="224"/>
      <c r="KRH1" s="224"/>
      <c r="KRI1" s="224"/>
      <c r="KRJ1" s="224"/>
      <c r="KRK1" s="224"/>
      <c r="KRL1" s="224"/>
      <c r="KRM1" s="224"/>
      <c r="KRN1" s="224"/>
      <c r="KRO1" s="224"/>
      <c r="KRP1" s="224"/>
      <c r="KRQ1" s="224"/>
      <c r="KRR1" s="224"/>
      <c r="KRS1" s="224"/>
      <c r="KRT1" s="224"/>
      <c r="KRU1" s="224"/>
      <c r="KRV1" s="224"/>
      <c r="KRW1" s="224"/>
      <c r="KRX1" s="224"/>
      <c r="KRY1" s="224"/>
      <c r="KRZ1" s="224"/>
      <c r="KSA1" s="224"/>
      <c r="KSB1" s="224"/>
      <c r="KSC1" s="224"/>
      <c r="KSD1" s="224"/>
      <c r="KSE1" s="224"/>
      <c r="KSF1" s="224"/>
      <c r="KSG1" s="224"/>
      <c r="KSH1" s="224"/>
      <c r="KSI1" s="224"/>
      <c r="KSJ1" s="224"/>
      <c r="KSK1" s="224"/>
      <c r="KSL1" s="224"/>
      <c r="KSM1" s="224"/>
      <c r="KSN1" s="224"/>
      <c r="KSO1" s="224"/>
      <c r="KSP1" s="224"/>
      <c r="KSQ1" s="224"/>
      <c r="KSR1" s="224"/>
      <c r="KSS1" s="224"/>
      <c r="KST1" s="224"/>
      <c r="KSU1" s="224"/>
      <c r="KSV1" s="224"/>
      <c r="KSW1" s="224"/>
      <c r="KSX1" s="224"/>
      <c r="KSY1" s="224"/>
      <c r="KSZ1" s="224"/>
      <c r="KTA1" s="224"/>
      <c r="KTB1" s="224"/>
      <c r="KTC1" s="224"/>
      <c r="KTD1" s="224"/>
      <c r="KTE1" s="224"/>
      <c r="KTF1" s="224"/>
      <c r="KTG1" s="224"/>
      <c r="KTH1" s="224"/>
      <c r="KTI1" s="224"/>
      <c r="KTJ1" s="224"/>
      <c r="KTK1" s="224"/>
      <c r="KTL1" s="224"/>
      <c r="KTM1" s="224"/>
      <c r="KTN1" s="224"/>
      <c r="KTO1" s="224"/>
      <c r="KTP1" s="224"/>
      <c r="KTQ1" s="224"/>
      <c r="KTR1" s="224"/>
      <c r="KTS1" s="224"/>
      <c r="KTT1" s="224"/>
      <c r="KTU1" s="224"/>
      <c r="KTV1" s="224"/>
      <c r="KTW1" s="224"/>
      <c r="KTX1" s="224"/>
      <c r="KTY1" s="224"/>
      <c r="KTZ1" s="224"/>
      <c r="KUA1" s="224"/>
      <c r="KUB1" s="224"/>
      <c r="KUC1" s="224"/>
      <c r="KUD1" s="224"/>
      <c r="KUE1" s="224"/>
      <c r="KUF1" s="224"/>
      <c r="KUG1" s="224"/>
      <c r="KUH1" s="224"/>
      <c r="KUI1" s="224"/>
      <c r="KUJ1" s="224"/>
      <c r="KUK1" s="224"/>
      <c r="KUL1" s="224"/>
      <c r="KUM1" s="224"/>
      <c r="KUN1" s="224"/>
      <c r="KUO1" s="224"/>
      <c r="KUP1" s="224"/>
      <c r="KUQ1" s="224"/>
      <c r="KUR1" s="224"/>
      <c r="KUS1" s="224"/>
      <c r="KUT1" s="224"/>
      <c r="KUU1" s="224"/>
      <c r="KUV1" s="224"/>
      <c r="KUW1" s="224"/>
      <c r="KUX1" s="224"/>
      <c r="KUY1" s="224"/>
      <c r="KUZ1" s="224"/>
      <c r="KVA1" s="224"/>
      <c r="KVB1" s="224"/>
      <c r="KVC1" s="224"/>
      <c r="KVD1" s="224"/>
      <c r="KVE1" s="224"/>
      <c r="KVF1" s="224"/>
      <c r="KVG1" s="224"/>
      <c r="KVH1" s="224"/>
      <c r="KVI1" s="224"/>
      <c r="KVJ1" s="224"/>
      <c r="KVK1" s="224"/>
      <c r="KVL1" s="224"/>
      <c r="KVM1" s="224"/>
      <c r="KVN1" s="224"/>
      <c r="KVO1" s="224"/>
      <c r="KVP1" s="224"/>
      <c r="KVQ1" s="224"/>
      <c r="KVR1" s="224"/>
      <c r="KVS1" s="224"/>
      <c r="KVT1" s="224"/>
      <c r="KVU1" s="224"/>
      <c r="KVV1" s="224"/>
      <c r="KVW1" s="224"/>
      <c r="KVX1" s="224"/>
      <c r="KVY1" s="224"/>
      <c r="KVZ1" s="224"/>
      <c r="KWA1" s="224"/>
      <c r="KWB1" s="224"/>
      <c r="KWC1" s="224"/>
      <c r="KWD1" s="224"/>
      <c r="KWE1" s="224"/>
      <c r="KWF1" s="224"/>
      <c r="KWG1" s="224"/>
      <c r="KWH1" s="224"/>
      <c r="KWI1" s="224"/>
      <c r="KWJ1" s="224"/>
      <c r="KWK1" s="224"/>
      <c r="KWL1" s="224"/>
      <c r="KWM1" s="224"/>
      <c r="KWN1" s="224"/>
      <c r="KWO1" s="224"/>
      <c r="KWP1" s="224"/>
      <c r="KWQ1" s="224"/>
      <c r="KWR1" s="224"/>
      <c r="KWS1" s="224"/>
      <c r="KWT1" s="224"/>
      <c r="KWU1" s="224"/>
      <c r="KWV1" s="224"/>
      <c r="KWW1" s="224"/>
      <c r="KWX1" s="224"/>
      <c r="KWY1" s="224"/>
      <c r="KWZ1" s="224"/>
      <c r="KXA1" s="224"/>
      <c r="KXB1" s="224"/>
      <c r="KXC1" s="224"/>
      <c r="KXD1" s="224"/>
      <c r="KXE1" s="224"/>
      <c r="KXF1" s="224"/>
      <c r="KXG1" s="224"/>
      <c r="KXH1" s="224"/>
      <c r="KXI1" s="224"/>
      <c r="KXJ1" s="224"/>
      <c r="KXK1" s="224"/>
      <c r="KXL1" s="224"/>
      <c r="KXM1" s="224"/>
      <c r="KXN1" s="224"/>
      <c r="KXO1" s="224"/>
      <c r="KXP1" s="224"/>
      <c r="KXQ1" s="224"/>
      <c r="KXR1" s="224"/>
      <c r="KXS1" s="224"/>
      <c r="KXT1" s="224"/>
      <c r="KXU1" s="224"/>
      <c r="KXV1" s="224"/>
      <c r="KXW1" s="224"/>
      <c r="KXX1" s="224"/>
      <c r="KXY1" s="224"/>
      <c r="KXZ1" s="224"/>
      <c r="KYA1" s="224"/>
      <c r="KYB1" s="224"/>
      <c r="KYC1" s="224"/>
      <c r="KYD1" s="224"/>
      <c r="KYE1" s="224"/>
      <c r="KYF1" s="224"/>
      <c r="KYG1" s="224"/>
      <c r="KYH1" s="224"/>
      <c r="KYI1" s="224"/>
      <c r="KYJ1" s="224"/>
      <c r="KYK1" s="224"/>
      <c r="KYL1" s="224"/>
      <c r="KYM1" s="224"/>
      <c r="KYN1" s="224"/>
      <c r="KYO1" s="224"/>
      <c r="KYP1" s="224"/>
      <c r="KYQ1" s="224"/>
      <c r="KYR1" s="224"/>
      <c r="KYS1" s="224"/>
      <c r="KYT1" s="224"/>
      <c r="KYU1" s="224"/>
      <c r="KYV1" s="224"/>
      <c r="KYW1" s="224"/>
      <c r="KYX1" s="224"/>
      <c r="KYY1" s="224"/>
      <c r="KYZ1" s="224"/>
      <c r="KZA1" s="224"/>
      <c r="KZB1" s="224"/>
      <c r="KZC1" s="224"/>
      <c r="KZD1" s="224"/>
      <c r="KZE1" s="224"/>
      <c r="KZF1" s="224"/>
      <c r="KZG1" s="224"/>
      <c r="KZH1" s="224"/>
      <c r="KZI1" s="224"/>
      <c r="KZJ1" s="224"/>
      <c r="KZK1" s="224"/>
      <c r="KZL1" s="224"/>
      <c r="KZM1" s="224"/>
      <c r="KZN1" s="224"/>
      <c r="KZO1" s="224"/>
      <c r="KZP1" s="224"/>
      <c r="KZQ1" s="224"/>
      <c r="KZR1" s="224"/>
      <c r="KZS1" s="224"/>
      <c r="KZT1" s="224"/>
      <c r="KZU1" s="224"/>
      <c r="KZV1" s="224"/>
      <c r="KZW1" s="224"/>
      <c r="KZX1" s="224"/>
      <c r="KZY1" s="224"/>
      <c r="KZZ1" s="224"/>
      <c r="LAA1" s="224"/>
      <c r="LAB1" s="224"/>
      <c r="LAC1" s="224"/>
      <c r="LAD1" s="224"/>
      <c r="LAE1" s="224"/>
      <c r="LAF1" s="224"/>
      <c r="LAG1" s="224"/>
      <c r="LAH1" s="224"/>
      <c r="LAI1" s="224"/>
      <c r="LAJ1" s="224"/>
      <c r="LAK1" s="224"/>
      <c r="LAL1" s="224"/>
      <c r="LAM1" s="224"/>
      <c r="LAN1" s="224"/>
      <c r="LAO1" s="224"/>
      <c r="LAP1" s="224"/>
      <c r="LAQ1" s="224"/>
      <c r="LAR1" s="224"/>
      <c r="LAS1" s="224"/>
      <c r="LAT1" s="224"/>
      <c r="LAU1" s="224"/>
      <c r="LAV1" s="224"/>
      <c r="LAW1" s="224"/>
      <c r="LAX1" s="224"/>
      <c r="LAY1" s="224"/>
      <c r="LAZ1" s="224"/>
      <c r="LBA1" s="224"/>
      <c r="LBB1" s="224"/>
      <c r="LBC1" s="224"/>
      <c r="LBD1" s="224"/>
      <c r="LBE1" s="224"/>
      <c r="LBF1" s="224"/>
      <c r="LBG1" s="224"/>
      <c r="LBH1" s="224"/>
      <c r="LBI1" s="224"/>
      <c r="LBJ1" s="224"/>
      <c r="LBK1" s="224"/>
      <c r="LBL1" s="224"/>
      <c r="LBM1" s="224"/>
      <c r="LBN1" s="224"/>
      <c r="LBO1" s="224"/>
      <c r="LBP1" s="224"/>
      <c r="LBQ1" s="224"/>
      <c r="LBR1" s="224"/>
      <c r="LBS1" s="224"/>
      <c r="LBT1" s="224"/>
      <c r="LBU1" s="224"/>
      <c r="LBV1" s="224"/>
      <c r="LBW1" s="224"/>
      <c r="LBX1" s="224"/>
      <c r="LBY1" s="224"/>
      <c r="LBZ1" s="224"/>
      <c r="LCA1" s="224"/>
      <c r="LCB1" s="224"/>
      <c r="LCC1" s="224"/>
      <c r="LCD1" s="224"/>
      <c r="LCE1" s="224"/>
      <c r="LCF1" s="224"/>
      <c r="LCG1" s="224"/>
      <c r="LCH1" s="224"/>
      <c r="LCI1" s="224"/>
      <c r="LCJ1" s="224"/>
      <c r="LCK1" s="224"/>
      <c r="LCL1" s="224"/>
      <c r="LCM1" s="224"/>
      <c r="LCN1" s="224"/>
      <c r="LCO1" s="224"/>
      <c r="LCP1" s="224"/>
      <c r="LCQ1" s="224"/>
      <c r="LCR1" s="224"/>
      <c r="LCS1" s="224"/>
      <c r="LCT1" s="224"/>
      <c r="LCU1" s="224"/>
      <c r="LCV1" s="224"/>
      <c r="LCW1" s="224"/>
      <c r="LCX1" s="224"/>
      <c r="LCY1" s="224"/>
      <c r="LCZ1" s="224"/>
      <c r="LDA1" s="224"/>
      <c r="LDB1" s="224"/>
      <c r="LDC1" s="224"/>
      <c r="LDD1" s="224"/>
      <c r="LDE1" s="224"/>
      <c r="LDF1" s="224"/>
      <c r="LDG1" s="224"/>
      <c r="LDH1" s="224"/>
      <c r="LDI1" s="224"/>
      <c r="LDJ1" s="224"/>
      <c r="LDK1" s="224"/>
      <c r="LDL1" s="224"/>
      <c r="LDM1" s="224"/>
      <c r="LDN1" s="224"/>
      <c r="LDO1" s="224"/>
      <c r="LDP1" s="224"/>
      <c r="LDQ1" s="224"/>
      <c r="LDR1" s="224"/>
      <c r="LDS1" s="224"/>
      <c r="LDT1" s="224"/>
      <c r="LDU1" s="224"/>
      <c r="LDV1" s="224"/>
      <c r="LDW1" s="224"/>
      <c r="LDX1" s="224"/>
      <c r="LDY1" s="224"/>
      <c r="LDZ1" s="224"/>
      <c r="LEA1" s="224"/>
      <c r="LEB1" s="224"/>
      <c r="LEC1" s="224"/>
      <c r="LED1" s="224"/>
      <c r="LEE1" s="224"/>
      <c r="LEF1" s="224"/>
      <c r="LEG1" s="224"/>
      <c r="LEH1" s="224"/>
      <c r="LEI1" s="224"/>
      <c r="LEJ1" s="224"/>
      <c r="LEK1" s="224"/>
      <c r="LEL1" s="224"/>
      <c r="LEM1" s="224"/>
      <c r="LEN1" s="224"/>
      <c r="LEO1" s="224"/>
      <c r="LEP1" s="224"/>
      <c r="LEQ1" s="224"/>
      <c r="LER1" s="224"/>
      <c r="LES1" s="224"/>
      <c r="LET1" s="224"/>
      <c r="LEU1" s="224"/>
      <c r="LEV1" s="224"/>
      <c r="LEW1" s="224"/>
      <c r="LEX1" s="224"/>
      <c r="LEY1" s="224"/>
      <c r="LEZ1" s="224"/>
      <c r="LFA1" s="224"/>
      <c r="LFB1" s="224"/>
      <c r="LFC1" s="224"/>
      <c r="LFD1" s="224"/>
      <c r="LFE1" s="224"/>
      <c r="LFF1" s="224"/>
      <c r="LFG1" s="224"/>
      <c r="LFH1" s="224"/>
      <c r="LFI1" s="224"/>
      <c r="LFJ1" s="224"/>
      <c r="LFK1" s="224"/>
      <c r="LFL1" s="224"/>
      <c r="LFM1" s="224"/>
      <c r="LFN1" s="224"/>
      <c r="LFO1" s="224"/>
      <c r="LFP1" s="224"/>
      <c r="LFQ1" s="224"/>
      <c r="LFR1" s="224"/>
      <c r="LFS1" s="224"/>
      <c r="LFT1" s="224"/>
      <c r="LFU1" s="224"/>
      <c r="LFV1" s="224"/>
      <c r="LFW1" s="224"/>
      <c r="LFX1" s="224"/>
      <c r="LFY1" s="224"/>
      <c r="LFZ1" s="224"/>
      <c r="LGA1" s="224"/>
      <c r="LGB1" s="224"/>
      <c r="LGC1" s="224"/>
      <c r="LGD1" s="224"/>
      <c r="LGE1" s="224"/>
      <c r="LGF1" s="224"/>
      <c r="LGG1" s="224"/>
      <c r="LGH1" s="224"/>
      <c r="LGI1" s="224"/>
      <c r="LGJ1" s="224"/>
      <c r="LGK1" s="224"/>
      <c r="LGL1" s="224"/>
      <c r="LGM1" s="224"/>
      <c r="LGN1" s="224"/>
      <c r="LGO1" s="224"/>
      <c r="LGP1" s="224"/>
      <c r="LGQ1" s="224"/>
      <c r="LGR1" s="224"/>
      <c r="LGS1" s="224"/>
      <c r="LGT1" s="224"/>
      <c r="LGU1" s="224"/>
      <c r="LGV1" s="224"/>
      <c r="LGW1" s="224"/>
      <c r="LGX1" s="224"/>
      <c r="LGY1" s="224"/>
      <c r="LGZ1" s="224"/>
      <c r="LHA1" s="224"/>
      <c r="LHB1" s="224"/>
      <c r="LHC1" s="224"/>
      <c r="LHD1" s="224"/>
      <c r="LHE1" s="224"/>
      <c r="LHF1" s="224"/>
      <c r="LHG1" s="224"/>
      <c r="LHH1" s="224"/>
      <c r="LHI1" s="224"/>
      <c r="LHJ1" s="224"/>
      <c r="LHK1" s="224"/>
      <c r="LHL1" s="224"/>
      <c r="LHM1" s="224"/>
      <c r="LHN1" s="224"/>
      <c r="LHO1" s="224"/>
      <c r="LHP1" s="224"/>
      <c r="LHQ1" s="224"/>
      <c r="LHR1" s="224"/>
      <c r="LHS1" s="224"/>
      <c r="LHT1" s="224"/>
      <c r="LHU1" s="224"/>
      <c r="LHV1" s="224"/>
      <c r="LHW1" s="224"/>
      <c r="LHX1" s="224"/>
      <c r="LHY1" s="224"/>
      <c r="LHZ1" s="224"/>
      <c r="LIA1" s="224"/>
      <c r="LIB1" s="224"/>
      <c r="LIC1" s="224"/>
      <c r="LID1" s="224"/>
      <c r="LIE1" s="224"/>
      <c r="LIF1" s="224"/>
      <c r="LIG1" s="224"/>
      <c r="LIH1" s="224"/>
      <c r="LII1" s="224"/>
      <c r="LIJ1" s="224"/>
      <c r="LIK1" s="224"/>
      <c r="LIL1" s="224"/>
      <c r="LIM1" s="224"/>
      <c r="LIN1" s="224"/>
      <c r="LIO1" s="224"/>
      <c r="LIP1" s="224"/>
      <c r="LIQ1" s="224"/>
      <c r="LIR1" s="224"/>
      <c r="LIS1" s="224"/>
      <c r="LIT1" s="224"/>
      <c r="LIU1" s="224"/>
      <c r="LIV1" s="224"/>
      <c r="LIW1" s="224"/>
      <c r="LIX1" s="224"/>
      <c r="LIY1" s="224"/>
      <c r="LIZ1" s="224"/>
      <c r="LJA1" s="224"/>
      <c r="LJB1" s="224"/>
      <c r="LJC1" s="224"/>
      <c r="LJD1" s="224"/>
      <c r="LJE1" s="224"/>
      <c r="LJF1" s="224"/>
      <c r="LJG1" s="224"/>
      <c r="LJH1" s="224"/>
      <c r="LJI1" s="224"/>
      <c r="LJJ1" s="224"/>
      <c r="LJK1" s="224"/>
      <c r="LJL1" s="224"/>
      <c r="LJM1" s="224"/>
      <c r="LJN1" s="224"/>
      <c r="LJO1" s="224"/>
      <c r="LJP1" s="224"/>
      <c r="LJQ1" s="224"/>
      <c r="LJR1" s="224"/>
      <c r="LJS1" s="224"/>
      <c r="LJT1" s="224"/>
      <c r="LJU1" s="224"/>
      <c r="LJV1" s="224"/>
      <c r="LJW1" s="224"/>
      <c r="LJX1" s="224"/>
      <c r="LJY1" s="224"/>
      <c r="LJZ1" s="224"/>
      <c r="LKA1" s="224"/>
      <c r="LKB1" s="224"/>
      <c r="LKC1" s="224"/>
      <c r="LKD1" s="224"/>
      <c r="LKE1" s="224"/>
      <c r="LKF1" s="224"/>
      <c r="LKG1" s="224"/>
      <c r="LKH1" s="224"/>
      <c r="LKI1" s="224"/>
      <c r="LKJ1" s="224"/>
      <c r="LKK1" s="224"/>
      <c r="LKL1" s="224"/>
      <c r="LKM1" s="224"/>
      <c r="LKN1" s="224"/>
      <c r="LKO1" s="224"/>
      <c r="LKP1" s="224"/>
      <c r="LKQ1" s="224"/>
      <c r="LKR1" s="224"/>
      <c r="LKS1" s="224"/>
      <c r="LKT1" s="224"/>
      <c r="LKU1" s="224"/>
      <c r="LKV1" s="224"/>
      <c r="LKW1" s="224"/>
      <c r="LKX1" s="224"/>
      <c r="LKY1" s="224"/>
      <c r="LKZ1" s="224"/>
      <c r="LLA1" s="224"/>
      <c r="LLB1" s="224"/>
      <c r="LLC1" s="224"/>
      <c r="LLD1" s="224"/>
      <c r="LLE1" s="224"/>
      <c r="LLF1" s="224"/>
      <c r="LLG1" s="224"/>
      <c r="LLH1" s="224"/>
      <c r="LLI1" s="224"/>
      <c r="LLJ1" s="224"/>
      <c r="LLK1" s="224"/>
      <c r="LLL1" s="224"/>
      <c r="LLM1" s="224"/>
      <c r="LLN1" s="224"/>
      <c r="LLO1" s="224"/>
      <c r="LLP1" s="224"/>
      <c r="LLQ1" s="224"/>
      <c r="LLR1" s="224"/>
      <c r="LLS1" s="224"/>
      <c r="LLT1" s="224"/>
      <c r="LLU1" s="224"/>
      <c r="LLV1" s="224"/>
      <c r="LLW1" s="224"/>
      <c r="LLX1" s="224"/>
      <c r="LLY1" s="224"/>
      <c r="LLZ1" s="224"/>
      <c r="LMA1" s="224"/>
      <c r="LMB1" s="224"/>
      <c r="LMC1" s="224"/>
      <c r="LMD1" s="224"/>
      <c r="LME1" s="224"/>
      <c r="LMF1" s="224"/>
      <c r="LMG1" s="224"/>
      <c r="LMH1" s="224"/>
      <c r="LMI1" s="224"/>
      <c r="LMJ1" s="224"/>
      <c r="LMK1" s="224"/>
      <c r="LML1" s="224"/>
      <c r="LMM1" s="224"/>
      <c r="LMN1" s="224"/>
      <c r="LMO1" s="224"/>
      <c r="LMP1" s="224"/>
      <c r="LMQ1" s="224"/>
      <c r="LMR1" s="224"/>
      <c r="LMS1" s="224"/>
      <c r="LMT1" s="224"/>
      <c r="LMU1" s="224"/>
      <c r="LMV1" s="224"/>
      <c r="LMW1" s="224"/>
      <c r="LMX1" s="224"/>
      <c r="LMY1" s="224"/>
      <c r="LMZ1" s="224"/>
      <c r="LNA1" s="224"/>
      <c r="LNB1" s="224"/>
      <c r="LNC1" s="224"/>
      <c r="LND1" s="224"/>
      <c r="LNE1" s="224"/>
      <c r="LNF1" s="224"/>
      <c r="LNG1" s="224"/>
      <c r="LNH1" s="224"/>
      <c r="LNI1" s="224"/>
      <c r="LNJ1" s="224"/>
      <c r="LNK1" s="224"/>
      <c r="LNL1" s="224"/>
      <c r="LNM1" s="224"/>
      <c r="LNN1" s="224"/>
      <c r="LNO1" s="224"/>
      <c r="LNP1" s="224"/>
      <c r="LNQ1" s="224"/>
      <c r="LNR1" s="224"/>
      <c r="LNS1" s="224"/>
      <c r="LNT1" s="224"/>
      <c r="LNU1" s="224"/>
      <c r="LNV1" s="224"/>
      <c r="LNW1" s="224"/>
      <c r="LNX1" s="224"/>
      <c r="LNY1" s="224"/>
      <c r="LNZ1" s="224"/>
      <c r="LOA1" s="224"/>
      <c r="LOB1" s="224"/>
      <c r="LOC1" s="224"/>
      <c r="LOD1" s="224"/>
      <c r="LOE1" s="224"/>
      <c r="LOF1" s="224"/>
      <c r="LOG1" s="224"/>
      <c r="LOH1" s="224"/>
      <c r="LOI1" s="224"/>
      <c r="LOJ1" s="224"/>
      <c r="LOK1" s="224"/>
      <c r="LOL1" s="224"/>
      <c r="LOM1" s="224"/>
      <c r="LON1" s="224"/>
      <c r="LOO1" s="224"/>
      <c r="LOP1" s="224"/>
      <c r="LOQ1" s="224"/>
      <c r="LOR1" s="224"/>
      <c r="LOS1" s="224"/>
      <c r="LOT1" s="224"/>
      <c r="LOU1" s="224"/>
      <c r="LOV1" s="224"/>
      <c r="LOW1" s="224"/>
      <c r="LOX1" s="224"/>
      <c r="LOY1" s="224"/>
      <c r="LOZ1" s="224"/>
      <c r="LPA1" s="224"/>
      <c r="LPB1" s="224"/>
      <c r="LPC1" s="224"/>
      <c r="LPD1" s="224"/>
      <c r="LPE1" s="224"/>
      <c r="LPF1" s="224"/>
      <c r="LPG1" s="224"/>
      <c r="LPH1" s="224"/>
      <c r="LPI1" s="224"/>
      <c r="LPJ1" s="224"/>
      <c r="LPK1" s="224"/>
      <c r="LPL1" s="224"/>
      <c r="LPM1" s="224"/>
      <c r="LPN1" s="224"/>
      <c r="LPO1" s="224"/>
      <c r="LPP1" s="224"/>
      <c r="LPQ1" s="224"/>
      <c r="LPR1" s="224"/>
      <c r="LPS1" s="224"/>
      <c r="LPT1" s="224"/>
      <c r="LPU1" s="224"/>
      <c r="LPV1" s="224"/>
      <c r="LPW1" s="224"/>
      <c r="LPX1" s="224"/>
      <c r="LPY1" s="224"/>
      <c r="LPZ1" s="224"/>
      <c r="LQA1" s="224"/>
      <c r="LQB1" s="224"/>
      <c r="LQC1" s="224"/>
      <c r="LQD1" s="224"/>
      <c r="LQE1" s="224"/>
      <c r="LQF1" s="224"/>
      <c r="LQG1" s="224"/>
      <c r="LQH1" s="224"/>
      <c r="LQI1" s="224"/>
      <c r="LQJ1" s="224"/>
      <c r="LQK1" s="224"/>
      <c r="LQL1" s="224"/>
      <c r="LQM1" s="224"/>
      <c r="LQN1" s="224"/>
      <c r="LQO1" s="224"/>
      <c r="LQP1" s="224"/>
      <c r="LQQ1" s="224"/>
      <c r="LQR1" s="224"/>
      <c r="LQS1" s="224"/>
      <c r="LQT1" s="224"/>
      <c r="LQU1" s="224"/>
      <c r="LQV1" s="224"/>
      <c r="LQW1" s="224"/>
      <c r="LQX1" s="224"/>
      <c r="LQY1" s="224"/>
      <c r="LQZ1" s="224"/>
      <c r="LRA1" s="224"/>
      <c r="LRB1" s="224"/>
      <c r="LRC1" s="224"/>
      <c r="LRD1" s="224"/>
      <c r="LRE1" s="224"/>
      <c r="LRF1" s="224"/>
      <c r="LRG1" s="224"/>
      <c r="LRH1" s="224"/>
      <c r="LRI1" s="224"/>
      <c r="LRJ1" s="224"/>
      <c r="LRK1" s="224"/>
      <c r="LRL1" s="224"/>
      <c r="LRM1" s="224"/>
      <c r="LRN1" s="224"/>
      <c r="LRO1" s="224"/>
      <c r="LRP1" s="224"/>
      <c r="LRQ1" s="224"/>
      <c r="LRR1" s="224"/>
      <c r="LRS1" s="224"/>
      <c r="LRT1" s="224"/>
      <c r="LRU1" s="224"/>
      <c r="LRV1" s="224"/>
      <c r="LRW1" s="224"/>
      <c r="LRX1" s="224"/>
      <c r="LRY1" s="224"/>
      <c r="LRZ1" s="224"/>
      <c r="LSA1" s="224"/>
      <c r="LSB1" s="224"/>
      <c r="LSC1" s="224"/>
      <c r="LSD1" s="224"/>
      <c r="LSE1" s="224"/>
      <c r="LSF1" s="224"/>
      <c r="LSG1" s="224"/>
      <c r="LSH1" s="224"/>
      <c r="LSI1" s="224"/>
      <c r="LSJ1" s="224"/>
      <c r="LSK1" s="224"/>
      <c r="LSL1" s="224"/>
      <c r="LSM1" s="224"/>
      <c r="LSN1" s="224"/>
      <c r="LSO1" s="224"/>
      <c r="LSP1" s="224"/>
      <c r="LSQ1" s="224"/>
      <c r="LSR1" s="224"/>
      <c r="LSS1" s="224"/>
      <c r="LST1" s="224"/>
      <c r="LSU1" s="224"/>
      <c r="LSV1" s="224"/>
      <c r="LSW1" s="224"/>
      <c r="LSX1" s="224"/>
      <c r="LSY1" s="224"/>
      <c r="LSZ1" s="224"/>
      <c r="LTA1" s="224"/>
      <c r="LTB1" s="224"/>
      <c r="LTC1" s="224"/>
      <c r="LTD1" s="224"/>
      <c r="LTE1" s="224"/>
      <c r="LTF1" s="224"/>
      <c r="LTG1" s="224"/>
      <c r="LTH1" s="224"/>
      <c r="LTI1" s="224"/>
      <c r="LTJ1" s="224"/>
      <c r="LTK1" s="224"/>
      <c r="LTL1" s="224"/>
      <c r="LTM1" s="224"/>
      <c r="LTN1" s="224"/>
      <c r="LTO1" s="224"/>
      <c r="LTP1" s="224"/>
      <c r="LTQ1" s="224"/>
      <c r="LTR1" s="224"/>
      <c r="LTS1" s="224"/>
      <c r="LTT1" s="224"/>
      <c r="LTU1" s="224"/>
      <c r="LTV1" s="224"/>
      <c r="LTW1" s="224"/>
      <c r="LTX1" s="224"/>
      <c r="LTY1" s="224"/>
      <c r="LTZ1" s="224"/>
      <c r="LUA1" s="224"/>
      <c r="LUB1" s="224"/>
      <c r="LUC1" s="224"/>
      <c r="LUD1" s="224"/>
      <c r="LUE1" s="224"/>
      <c r="LUF1" s="224"/>
      <c r="LUG1" s="224"/>
      <c r="LUH1" s="224"/>
      <c r="LUI1" s="224"/>
      <c r="LUJ1" s="224"/>
      <c r="LUK1" s="224"/>
      <c r="LUL1" s="224"/>
      <c r="LUM1" s="224"/>
      <c r="LUN1" s="224"/>
      <c r="LUO1" s="224"/>
      <c r="LUP1" s="224"/>
      <c r="LUQ1" s="224"/>
      <c r="LUR1" s="224"/>
      <c r="LUS1" s="224"/>
      <c r="LUT1" s="224"/>
      <c r="LUU1" s="224"/>
      <c r="LUV1" s="224"/>
      <c r="LUW1" s="224"/>
      <c r="LUX1" s="224"/>
      <c r="LUY1" s="224"/>
      <c r="LUZ1" s="224"/>
      <c r="LVA1" s="224"/>
      <c r="LVB1" s="224"/>
      <c r="LVC1" s="224"/>
      <c r="LVD1" s="224"/>
      <c r="LVE1" s="224"/>
      <c r="LVF1" s="224"/>
      <c r="LVG1" s="224"/>
      <c r="LVH1" s="224"/>
      <c r="LVI1" s="224"/>
      <c r="LVJ1" s="224"/>
      <c r="LVK1" s="224"/>
      <c r="LVL1" s="224"/>
      <c r="LVM1" s="224"/>
      <c r="LVN1" s="224"/>
      <c r="LVO1" s="224"/>
      <c r="LVP1" s="224"/>
      <c r="LVQ1" s="224"/>
      <c r="LVR1" s="224"/>
      <c r="LVS1" s="224"/>
      <c r="LVT1" s="224"/>
      <c r="LVU1" s="224"/>
      <c r="LVV1" s="224"/>
      <c r="LVW1" s="224"/>
      <c r="LVX1" s="224"/>
      <c r="LVY1" s="224"/>
      <c r="LVZ1" s="224"/>
      <c r="LWA1" s="224"/>
      <c r="LWB1" s="224"/>
      <c r="LWC1" s="224"/>
      <c r="LWD1" s="224"/>
      <c r="LWE1" s="224"/>
      <c r="LWF1" s="224"/>
      <c r="LWG1" s="224"/>
      <c r="LWH1" s="224"/>
      <c r="LWI1" s="224"/>
      <c r="LWJ1" s="224"/>
      <c r="LWK1" s="224"/>
      <c r="LWL1" s="224"/>
      <c r="LWM1" s="224"/>
      <c r="LWN1" s="224"/>
      <c r="LWO1" s="224"/>
      <c r="LWP1" s="224"/>
      <c r="LWQ1" s="224"/>
      <c r="LWR1" s="224"/>
      <c r="LWS1" s="224"/>
      <c r="LWT1" s="224"/>
      <c r="LWU1" s="224"/>
      <c r="LWV1" s="224"/>
      <c r="LWW1" s="224"/>
      <c r="LWX1" s="224"/>
      <c r="LWY1" s="224"/>
      <c r="LWZ1" s="224"/>
      <c r="LXA1" s="224"/>
      <c r="LXB1" s="224"/>
      <c r="LXC1" s="224"/>
      <c r="LXD1" s="224"/>
      <c r="LXE1" s="224"/>
      <c r="LXF1" s="224"/>
      <c r="LXG1" s="224"/>
      <c r="LXH1" s="224"/>
      <c r="LXI1" s="224"/>
      <c r="LXJ1" s="224"/>
      <c r="LXK1" s="224"/>
      <c r="LXL1" s="224"/>
      <c r="LXM1" s="224"/>
      <c r="LXN1" s="224"/>
      <c r="LXO1" s="224"/>
      <c r="LXP1" s="224"/>
      <c r="LXQ1" s="224"/>
      <c r="LXR1" s="224"/>
      <c r="LXS1" s="224"/>
      <c r="LXT1" s="224"/>
      <c r="LXU1" s="224"/>
      <c r="LXV1" s="224"/>
      <c r="LXW1" s="224"/>
      <c r="LXX1" s="224"/>
      <c r="LXY1" s="224"/>
      <c r="LXZ1" s="224"/>
      <c r="LYA1" s="224"/>
      <c r="LYB1" s="224"/>
      <c r="LYC1" s="224"/>
      <c r="LYD1" s="224"/>
      <c r="LYE1" s="224"/>
      <c r="LYF1" s="224"/>
      <c r="LYG1" s="224"/>
      <c r="LYH1" s="224"/>
      <c r="LYI1" s="224"/>
      <c r="LYJ1" s="224"/>
      <c r="LYK1" s="224"/>
      <c r="LYL1" s="224"/>
      <c r="LYM1" s="224"/>
      <c r="LYN1" s="224"/>
      <c r="LYO1" s="224"/>
      <c r="LYP1" s="224"/>
      <c r="LYQ1" s="224"/>
      <c r="LYR1" s="224"/>
      <c r="LYS1" s="224"/>
      <c r="LYT1" s="224"/>
      <c r="LYU1" s="224"/>
      <c r="LYV1" s="224"/>
      <c r="LYW1" s="224"/>
      <c r="LYX1" s="224"/>
      <c r="LYY1" s="224"/>
      <c r="LYZ1" s="224"/>
      <c r="LZA1" s="224"/>
      <c r="LZB1" s="224"/>
      <c r="LZC1" s="224"/>
      <c r="LZD1" s="224"/>
      <c r="LZE1" s="224"/>
      <c r="LZF1" s="224"/>
      <c r="LZG1" s="224"/>
      <c r="LZH1" s="224"/>
      <c r="LZI1" s="224"/>
      <c r="LZJ1" s="224"/>
      <c r="LZK1" s="224"/>
      <c r="LZL1" s="224"/>
      <c r="LZM1" s="224"/>
      <c r="LZN1" s="224"/>
      <c r="LZO1" s="224"/>
      <c r="LZP1" s="224"/>
      <c r="LZQ1" s="224"/>
      <c r="LZR1" s="224"/>
      <c r="LZS1" s="224"/>
      <c r="LZT1" s="224"/>
      <c r="LZU1" s="224"/>
      <c r="LZV1" s="224"/>
      <c r="LZW1" s="224"/>
      <c r="LZX1" s="224"/>
      <c r="LZY1" s="224"/>
      <c r="LZZ1" s="224"/>
      <c r="MAA1" s="224"/>
      <c r="MAB1" s="224"/>
      <c r="MAC1" s="224"/>
      <c r="MAD1" s="224"/>
      <c r="MAE1" s="224"/>
      <c r="MAF1" s="224"/>
      <c r="MAG1" s="224"/>
      <c r="MAH1" s="224"/>
      <c r="MAI1" s="224"/>
      <c r="MAJ1" s="224"/>
      <c r="MAK1" s="224"/>
      <c r="MAL1" s="224"/>
      <c r="MAM1" s="224"/>
      <c r="MAN1" s="224"/>
      <c r="MAO1" s="224"/>
      <c r="MAP1" s="224"/>
      <c r="MAQ1" s="224"/>
      <c r="MAR1" s="224"/>
      <c r="MAS1" s="224"/>
      <c r="MAT1" s="224"/>
      <c r="MAU1" s="224"/>
      <c r="MAV1" s="224"/>
      <c r="MAW1" s="224"/>
      <c r="MAX1" s="224"/>
      <c r="MAY1" s="224"/>
      <c r="MAZ1" s="224"/>
      <c r="MBA1" s="224"/>
      <c r="MBB1" s="224"/>
      <c r="MBC1" s="224"/>
      <c r="MBD1" s="224"/>
      <c r="MBE1" s="224"/>
      <c r="MBF1" s="224"/>
      <c r="MBG1" s="224"/>
      <c r="MBH1" s="224"/>
      <c r="MBI1" s="224"/>
      <c r="MBJ1" s="224"/>
      <c r="MBK1" s="224"/>
      <c r="MBL1" s="224"/>
      <c r="MBM1" s="224"/>
      <c r="MBN1" s="224"/>
      <c r="MBO1" s="224"/>
      <c r="MBP1" s="224"/>
      <c r="MBQ1" s="224"/>
      <c r="MBR1" s="224"/>
      <c r="MBS1" s="224"/>
      <c r="MBT1" s="224"/>
      <c r="MBU1" s="224"/>
      <c r="MBV1" s="224"/>
      <c r="MBW1" s="224"/>
      <c r="MBX1" s="224"/>
      <c r="MBY1" s="224"/>
      <c r="MBZ1" s="224"/>
      <c r="MCA1" s="224"/>
      <c r="MCB1" s="224"/>
      <c r="MCC1" s="224"/>
      <c r="MCD1" s="224"/>
      <c r="MCE1" s="224"/>
      <c r="MCF1" s="224"/>
      <c r="MCG1" s="224"/>
      <c r="MCH1" s="224"/>
      <c r="MCI1" s="224"/>
      <c r="MCJ1" s="224"/>
      <c r="MCK1" s="224"/>
      <c r="MCL1" s="224"/>
      <c r="MCM1" s="224"/>
      <c r="MCN1" s="224"/>
      <c r="MCO1" s="224"/>
      <c r="MCP1" s="224"/>
      <c r="MCQ1" s="224"/>
      <c r="MCR1" s="224"/>
      <c r="MCS1" s="224"/>
      <c r="MCT1" s="224"/>
      <c r="MCU1" s="224"/>
      <c r="MCV1" s="224"/>
      <c r="MCW1" s="224"/>
      <c r="MCX1" s="224"/>
      <c r="MCY1" s="224"/>
      <c r="MCZ1" s="224"/>
      <c r="MDA1" s="224"/>
      <c r="MDB1" s="224"/>
      <c r="MDC1" s="224"/>
      <c r="MDD1" s="224"/>
      <c r="MDE1" s="224"/>
      <c r="MDF1" s="224"/>
      <c r="MDG1" s="224"/>
      <c r="MDH1" s="224"/>
      <c r="MDI1" s="224"/>
      <c r="MDJ1" s="224"/>
      <c r="MDK1" s="224"/>
      <c r="MDL1" s="224"/>
      <c r="MDM1" s="224"/>
      <c r="MDN1" s="224"/>
      <c r="MDO1" s="224"/>
      <c r="MDP1" s="224"/>
      <c r="MDQ1" s="224"/>
      <c r="MDR1" s="224"/>
      <c r="MDS1" s="224"/>
      <c r="MDT1" s="224"/>
      <c r="MDU1" s="224"/>
      <c r="MDV1" s="224"/>
      <c r="MDW1" s="224"/>
      <c r="MDX1" s="224"/>
      <c r="MDY1" s="224"/>
      <c r="MDZ1" s="224"/>
      <c r="MEA1" s="224"/>
      <c r="MEB1" s="224"/>
      <c r="MEC1" s="224"/>
      <c r="MED1" s="224"/>
      <c r="MEE1" s="224"/>
      <c r="MEF1" s="224"/>
      <c r="MEG1" s="224"/>
      <c r="MEH1" s="224"/>
      <c r="MEI1" s="224"/>
      <c r="MEJ1" s="224"/>
      <c r="MEK1" s="224"/>
      <c r="MEL1" s="224"/>
      <c r="MEM1" s="224"/>
      <c r="MEN1" s="224"/>
      <c r="MEO1" s="224"/>
      <c r="MEP1" s="224"/>
      <c r="MEQ1" s="224"/>
      <c r="MER1" s="224"/>
      <c r="MES1" s="224"/>
      <c r="MET1" s="224"/>
      <c r="MEU1" s="224"/>
      <c r="MEV1" s="224"/>
      <c r="MEW1" s="224"/>
      <c r="MEX1" s="224"/>
      <c r="MEY1" s="224"/>
      <c r="MEZ1" s="224"/>
      <c r="MFA1" s="224"/>
      <c r="MFB1" s="224"/>
      <c r="MFC1" s="224"/>
      <c r="MFD1" s="224"/>
      <c r="MFE1" s="224"/>
      <c r="MFF1" s="224"/>
      <c r="MFG1" s="224"/>
      <c r="MFH1" s="224"/>
      <c r="MFI1" s="224"/>
      <c r="MFJ1" s="224"/>
      <c r="MFK1" s="224"/>
      <c r="MFL1" s="224"/>
      <c r="MFM1" s="224"/>
      <c r="MFN1" s="224"/>
      <c r="MFO1" s="224"/>
      <c r="MFP1" s="224"/>
      <c r="MFQ1" s="224"/>
      <c r="MFR1" s="224"/>
      <c r="MFS1" s="224"/>
      <c r="MFT1" s="224"/>
      <c r="MFU1" s="224"/>
      <c r="MFV1" s="224"/>
      <c r="MFW1" s="224"/>
      <c r="MFX1" s="224"/>
      <c r="MFY1" s="224"/>
      <c r="MFZ1" s="224"/>
      <c r="MGA1" s="224"/>
      <c r="MGB1" s="224"/>
      <c r="MGC1" s="224"/>
      <c r="MGD1" s="224"/>
      <c r="MGE1" s="224"/>
      <c r="MGF1" s="224"/>
      <c r="MGG1" s="224"/>
      <c r="MGH1" s="224"/>
      <c r="MGI1" s="224"/>
      <c r="MGJ1" s="224"/>
      <c r="MGK1" s="224"/>
      <c r="MGL1" s="224"/>
      <c r="MGM1" s="224"/>
      <c r="MGN1" s="224"/>
      <c r="MGO1" s="224"/>
      <c r="MGP1" s="224"/>
      <c r="MGQ1" s="224"/>
      <c r="MGR1" s="224"/>
      <c r="MGS1" s="224"/>
      <c r="MGT1" s="224"/>
      <c r="MGU1" s="224"/>
      <c r="MGV1" s="224"/>
      <c r="MGW1" s="224"/>
      <c r="MGX1" s="224"/>
      <c r="MGY1" s="224"/>
      <c r="MGZ1" s="224"/>
      <c r="MHA1" s="224"/>
      <c r="MHB1" s="224"/>
      <c r="MHC1" s="224"/>
      <c r="MHD1" s="224"/>
      <c r="MHE1" s="224"/>
      <c r="MHF1" s="224"/>
      <c r="MHG1" s="224"/>
      <c r="MHH1" s="224"/>
      <c r="MHI1" s="224"/>
      <c r="MHJ1" s="224"/>
      <c r="MHK1" s="224"/>
      <c r="MHL1" s="224"/>
      <c r="MHM1" s="224"/>
      <c r="MHN1" s="224"/>
      <c r="MHO1" s="224"/>
      <c r="MHP1" s="224"/>
      <c r="MHQ1" s="224"/>
      <c r="MHR1" s="224"/>
      <c r="MHS1" s="224"/>
      <c r="MHT1" s="224"/>
      <c r="MHU1" s="224"/>
      <c r="MHV1" s="224"/>
      <c r="MHW1" s="224"/>
      <c r="MHX1" s="224"/>
      <c r="MHY1" s="224"/>
      <c r="MHZ1" s="224"/>
      <c r="MIA1" s="224"/>
      <c r="MIB1" s="224"/>
      <c r="MIC1" s="224"/>
      <c r="MID1" s="224"/>
      <c r="MIE1" s="224"/>
      <c r="MIF1" s="224"/>
      <c r="MIG1" s="224"/>
      <c r="MIH1" s="224"/>
      <c r="MII1" s="224"/>
      <c r="MIJ1" s="224"/>
      <c r="MIK1" s="224"/>
      <c r="MIL1" s="224"/>
      <c r="MIM1" s="224"/>
      <c r="MIN1" s="224"/>
      <c r="MIO1" s="224"/>
      <c r="MIP1" s="224"/>
      <c r="MIQ1" s="224"/>
      <c r="MIR1" s="224"/>
      <c r="MIS1" s="224"/>
      <c r="MIT1" s="224"/>
      <c r="MIU1" s="224"/>
      <c r="MIV1" s="224"/>
      <c r="MIW1" s="224"/>
      <c r="MIX1" s="224"/>
      <c r="MIY1" s="224"/>
      <c r="MIZ1" s="224"/>
      <c r="MJA1" s="224"/>
      <c r="MJB1" s="224"/>
      <c r="MJC1" s="224"/>
      <c r="MJD1" s="224"/>
      <c r="MJE1" s="224"/>
      <c r="MJF1" s="224"/>
      <c r="MJG1" s="224"/>
      <c r="MJH1" s="224"/>
      <c r="MJI1" s="224"/>
      <c r="MJJ1" s="224"/>
      <c r="MJK1" s="224"/>
      <c r="MJL1" s="224"/>
      <c r="MJM1" s="224"/>
      <c r="MJN1" s="224"/>
      <c r="MJO1" s="224"/>
      <c r="MJP1" s="224"/>
      <c r="MJQ1" s="224"/>
      <c r="MJR1" s="224"/>
      <c r="MJS1" s="224"/>
      <c r="MJT1" s="224"/>
      <c r="MJU1" s="224"/>
      <c r="MJV1" s="224"/>
      <c r="MJW1" s="224"/>
      <c r="MJX1" s="224"/>
      <c r="MJY1" s="224"/>
      <c r="MJZ1" s="224"/>
      <c r="MKA1" s="224"/>
      <c r="MKB1" s="224"/>
      <c r="MKC1" s="224"/>
      <c r="MKD1" s="224"/>
      <c r="MKE1" s="224"/>
      <c r="MKF1" s="224"/>
      <c r="MKG1" s="224"/>
      <c r="MKH1" s="224"/>
      <c r="MKI1" s="224"/>
      <c r="MKJ1" s="224"/>
      <c r="MKK1" s="224"/>
      <c r="MKL1" s="224"/>
      <c r="MKM1" s="224"/>
      <c r="MKN1" s="224"/>
      <c r="MKO1" s="224"/>
      <c r="MKP1" s="224"/>
      <c r="MKQ1" s="224"/>
      <c r="MKR1" s="224"/>
      <c r="MKS1" s="224"/>
      <c r="MKT1" s="224"/>
      <c r="MKU1" s="224"/>
      <c r="MKV1" s="224"/>
      <c r="MKW1" s="224"/>
      <c r="MKX1" s="224"/>
      <c r="MKY1" s="224"/>
      <c r="MKZ1" s="224"/>
      <c r="MLA1" s="224"/>
      <c r="MLB1" s="224"/>
      <c r="MLC1" s="224"/>
      <c r="MLD1" s="224"/>
      <c r="MLE1" s="224"/>
      <c r="MLF1" s="224"/>
      <c r="MLG1" s="224"/>
      <c r="MLH1" s="224"/>
      <c r="MLI1" s="224"/>
      <c r="MLJ1" s="224"/>
      <c r="MLK1" s="224"/>
      <c r="MLL1" s="224"/>
      <c r="MLM1" s="224"/>
      <c r="MLN1" s="224"/>
      <c r="MLO1" s="224"/>
      <c r="MLP1" s="224"/>
      <c r="MLQ1" s="224"/>
      <c r="MLR1" s="224"/>
      <c r="MLS1" s="224"/>
      <c r="MLT1" s="224"/>
      <c r="MLU1" s="224"/>
      <c r="MLV1" s="224"/>
      <c r="MLW1" s="224"/>
      <c r="MLX1" s="224"/>
      <c r="MLY1" s="224"/>
      <c r="MLZ1" s="224"/>
      <c r="MMA1" s="224"/>
      <c r="MMB1" s="224"/>
      <c r="MMC1" s="224"/>
      <c r="MMD1" s="224"/>
      <c r="MME1" s="224"/>
      <c r="MMF1" s="224"/>
      <c r="MMG1" s="224"/>
      <c r="MMH1" s="224"/>
      <c r="MMI1" s="224"/>
      <c r="MMJ1" s="224"/>
      <c r="MMK1" s="224"/>
      <c r="MML1" s="224"/>
      <c r="MMM1" s="224"/>
      <c r="MMN1" s="224"/>
      <c r="MMO1" s="224"/>
      <c r="MMP1" s="224"/>
      <c r="MMQ1" s="224"/>
      <c r="MMR1" s="224"/>
      <c r="MMS1" s="224"/>
      <c r="MMT1" s="224"/>
      <c r="MMU1" s="224"/>
      <c r="MMV1" s="224"/>
      <c r="MMW1" s="224"/>
      <c r="MMX1" s="224"/>
      <c r="MMY1" s="224"/>
      <c r="MMZ1" s="224"/>
      <c r="MNA1" s="224"/>
      <c r="MNB1" s="224"/>
      <c r="MNC1" s="224"/>
      <c r="MND1" s="224"/>
      <c r="MNE1" s="224"/>
      <c r="MNF1" s="224"/>
      <c r="MNG1" s="224"/>
      <c r="MNH1" s="224"/>
      <c r="MNI1" s="224"/>
      <c r="MNJ1" s="224"/>
      <c r="MNK1" s="224"/>
      <c r="MNL1" s="224"/>
      <c r="MNM1" s="224"/>
      <c r="MNN1" s="224"/>
      <c r="MNO1" s="224"/>
      <c r="MNP1" s="224"/>
      <c r="MNQ1" s="224"/>
      <c r="MNR1" s="224"/>
      <c r="MNS1" s="224"/>
      <c r="MNT1" s="224"/>
      <c r="MNU1" s="224"/>
      <c r="MNV1" s="224"/>
      <c r="MNW1" s="224"/>
      <c r="MNX1" s="224"/>
      <c r="MNY1" s="224"/>
      <c r="MNZ1" s="224"/>
      <c r="MOA1" s="224"/>
      <c r="MOB1" s="224"/>
      <c r="MOC1" s="224"/>
      <c r="MOD1" s="224"/>
      <c r="MOE1" s="224"/>
      <c r="MOF1" s="224"/>
      <c r="MOG1" s="224"/>
      <c r="MOH1" s="224"/>
      <c r="MOI1" s="224"/>
      <c r="MOJ1" s="224"/>
      <c r="MOK1" s="224"/>
      <c r="MOL1" s="224"/>
      <c r="MOM1" s="224"/>
      <c r="MON1" s="224"/>
      <c r="MOO1" s="224"/>
      <c r="MOP1" s="224"/>
      <c r="MOQ1" s="224"/>
      <c r="MOR1" s="224"/>
      <c r="MOS1" s="224"/>
      <c r="MOT1" s="224"/>
      <c r="MOU1" s="224"/>
      <c r="MOV1" s="224"/>
      <c r="MOW1" s="224"/>
      <c r="MOX1" s="224"/>
      <c r="MOY1" s="224"/>
      <c r="MOZ1" s="224"/>
      <c r="MPA1" s="224"/>
      <c r="MPB1" s="224"/>
      <c r="MPC1" s="224"/>
      <c r="MPD1" s="224"/>
      <c r="MPE1" s="224"/>
      <c r="MPF1" s="224"/>
      <c r="MPG1" s="224"/>
      <c r="MPH1" s="224"/>
      <c r="MPI1" s="224"/>
      <c r="MPJ1" s="224"/>
      <c r="MPK1" s="224"/>
      <c r="MPL1" s="224"/>
      <c r="MPM1" s="224"/>
      <c r="MPN1" s="224"/>
      <c r="MPO1" s="224"/>
      <c r="MPP1" s="224"/>
      <c r="MPQ1" s="224"/>
      <c r="MPR1" s="224"/>
      <c r="MPS1" s="224"/>
      <c r="MPT1" s="224"/>
      <c r="MPU1" s="224"/>
      <c r="MPV1" s="224"/>
      <c r="MPW1" s="224"/>
      <c r="MPX1" s="224"/>
      <c r="MPY1" s="224"/>
      <c r="MPZ1" s="224"/>
      <c r="MQA1" s="224"/>
      <c r="MQB1" s="224"/>
      <c r="MQC1" s="224"/>
      <c r="MQD1" s="224"/>
      <c r="MQE1" s="224"/>
      <c r="MQF1" s="224"/>
      <c r="MQG1" s="224"/>
      <c r="MQH1" s="224"/>
      <c r="MQI1" s="224"/>
      <c r="MQJ1" s="224"/>
      <c r="MQK1" s="224"/>
      <c r="MQL1" s="224"/>
      <c r="MQM1" s="224"/>
      <c r="MQN1" s="224"/>
      <c r="MQO1" s="224"/>
      <c r="MQP1" s="224"/>
      <c r="MQQ1" s="224"/>
      <c r="MQR1" s="224"/>
      <c r="MQS1" s="224"/>
      <c r="MQT1" s="224"/>
      <c r="MQU1" s="224"/>
      <c r="MQV1" s="224"/>
      <c r="MQW1" s="224"/>
      <c r="MQX1" s="224"/>
      <c r="MQY1" s="224"/>
      <c r="MQZ1" s="224"/>
      <c r="MRA1" s="224"/>
      <c r="MRB1" s="224"/>
      <c r="MRC1" s="224"/>
      <c r="MRD1" s="224"/>
      <c r="MRE1" s="224"/>
      <c r="MRF1" s="224"/>
      <c r="MRG1" s="224"/>
      <c r="MRH1" s="224"/>
      <c r="MRI1" s="224"/>
      <c r="MRJ1" s="224"/>
      <c r="MRK1" s="224"/>
      <c r="MRL1" s="224"/>
      <c r="MRM1" s="224"/>
      <c r="MRN1" s="224"/>
      <c r="MRO1" s="224"/>
      <c r="MRP1" s="224"/>
      <c r="MRQ1" s="224"/>
      <c r="MRR1" s="224"/>
      <c r="MRS1" s="224"/>
      <c r="MRT1" s="224"/>
      <c r="MRU1" s="224"/>
      <c r="MRV1" s="224"/>
      <c r="MRW1" s="224"/>
      <c r="MRX1" s="224"/>
      <c r="MRY1" s="224"/>
      <c r="MRZ1" s="224"/>
      <c r="MSA1" s="224"/>
      <c r="MSB1" s="224"/>
      <c r="MSC1" s="224"/>
      <c r="MSD1" s="224"/>
      <c r="MSE1" s="224"/>
      <c r="MSF1" s="224"/>
      <c r="MSG1" s="224"/>
      <c r="MSH1" s="224"/>
      <c r="MSI1" s="224"/>
      <c r="MSJ1" s="224"/>
      <c r="MSK1" s="224"/>
      <c r="MSL1" s="224"/>
      <c r="MSM1" s="224"/>
      <c r="MSN1" s="224"/>
      <c r="MSO1" s="224"/>
      <c r="MSP1" s="224"/>
      <c r="MSQ1" s="224"/>
      <c r="MSR1" s="224"/>
      <c r="MSS1" s="224"/>
      <c r="MST1" s="224"/>
      <c r="MSU1" s="224"/>
      <c r="MSV1" s="224"/>
      <c r="MSW1" s="224"/>
      <c r="MSX1" s="224"/>
      <c r="MSY1" s="224"/>
      <c r="MSZ1" s="224"/>
      <c r="MTA1" s="224"/>
      <c r="MTB1" s="224"/>
      <c r="MTC1" s="224"/>
      <c r="MTD1" s="224"/>
      <c r="MTE1" s="224"/>
      <c r="MTF1" s="224"/>
      <c r="MTG1" s="224"/>
      <c r="MTH1" s="224"/>
      <c r="MTI1" s="224"/>
      <c r="MTJ1" s="224"/>
      <c r="MTK1" s="224"/>
      <c r="MTL1" s="224"/>
      <c r="MTM1" s="224"/>
      <c r="MTN1" s="224"/>
      <c r="MTO1" s="224"/>
      <c r="MTP1" s="224"/>
      <c r="MTQ1" s="224"/>
      <c r="MTR1" s="224"/>
      <c r="MTS1" s="224"/>
      <c r="MTT1" s="224"/>
      <c r="MTU1" s="224"/>
      <c r="MTV1" s="224"/>
      <c r="MTW1" s="224"/>
      <c r="MTX1" s="224"/>
      <c r="MTY1" s="224"/>
      <c r="MTZ1" s="224"/>
      <c r="MUA1" s="224"/>
      <c r="MUB1" s="224"/>
      <c r="MUC1" s="224"/>
      <c r="MUD1" s="224"/>
      <c r="MUE1" s="224"/>
      <c r="MUF1" s="224"/>
      <c r="MUG1" s="224"/>
      <c r="MUH1" s="224"/>
      <c r="MUI1" s="224"/>
      <c r="MUJ1" s="224"/>
      <c r="MUK1" s="224"/>
      <c r="MUL1" s="224"/>
      <c r="MUM1" s="224"/>
      <c r="MUN1" s="224"/>
      <c r="MUO1" s="224"/>
      <c r="MUP1" s="224"/>
      <c r="MUQ1" s="224"/>
      <c r="MUR1" s="224"/>
      <c r="MUS1" s="224"/>
      <c r="MUT1" s="224"/>
      <c r="MUU1" s="224"/>
      <c r="MUV1" s="224"/>
      <c r="MUW1" s="224"/>
      <c r="MUX1" s="224"/>
      <c r="MUY1" s="224"/>
      <c r="MUZ1" s="224"/>
      <c r="MVA1" s="224"/>
      <c r="MVB1" s="224"/>
      <c r="MVC1" s="224"/>
      <c r="MVD1" s="224"/>
      <c r="MVE1" s="224"/>
      <c r="MVF1" s="224"/>
      <c r="MVG1" s="224"/>
      <c r="MVH1" s="224"/>
      <c r="MVI1" s="224"/>
      <c r="MVJ1" s="224"/>
      <c r="MVK1" s="224"/>
      <c r="MVL1" s="224"/>
      <c r="MVM1" s="224"/>
      <c r="MVN1" s="224"/>
      <c r="MVO1" s="224"/>
      <c r="MVP1" s="224"/>
      <c r="MVQ1" s="224"/>
      <c r="MVR1" s="224"/>
      <c r="MVS1" s="224"/>
      <c r="MVT1" s="224"/>
      <c r="MVU1" s="224"/>
      <c r="MVV1" s="224"/>
      <c r="MVW1" s="224"/>
      <c r="MVX1" s="224"/>
      <c r="MVY1" s="224"/>
      <c r="MVZ1" s="224"/>
      <c r="MWA1" s="224"/>
      <c r="MWB1" s="224"/>
      <c r="MWC1" s="224"/>
      <c r="MWD1" s="224"/>
      <c r="MWE1" s="224"/>
      <c r="MWF1" s="224"/>
      <c r="MWG1" s="224"/>
      <c r="MWH1" s="224"/>
      <c r="MWI1" s="224"/>
      <c r="MWJ1" s="224"/>
      <c r="MWK1" s="224"/>
      <c r="MWL1" s="224"/>
      <c r="MWM1" s="224"/>
      <c r="MWN1" s="224"/>
      <c r="MWO1" s="224"/>
      <c r="MWP1" s="224"/>
      <c r="MWQ1" s="224"/>
      <c r="MWR1" s="224"/>
      <c r="MWS1" s="224"/>
      <c r="MWT1" s="224"/>
      <c r="MWU1" s="224"/>
      <c r="MWV1" s="224"/>
      <c r="MWW1" s="224"/>
      <c r="MWX1" s="224"/>
      <c r="MWY1" s="224"/>
      <c r="MWZ1" s="224"/>
      <c r="MXA1" s="224"/>
      <c r="MXB1" s="224"/>
      <c r="MXC1" s="224"/>
      <c r="MXD1" s="224"/>
      <c r="MXE1" s="224"/>
      <c r="MXF1" s="224"/>
      <c r="MXG1" s="224"/>
      <c r="MXH1" s="224"/>
      <c r="MXI1" s="224"/>
      <c r="MXJ1" s="224"/>
      <c r="MXK1" s="224"/>
      <c r="MXL1" s="224"/>
      <c r="MXM1" s="224"/>
      <c r="MXN1" s="224"/>
      <c r="MXO1" s="224"/>
      <c r="MXP1" s="224"/>
      <c r="MXQ1" s="224"/>
      <c r="MXR1" s="224"/>
      <c r="MXS1" s="224"/>
      <c r="MXT1" s="224"/>
      <c r="MXU1" s="224"/>
      <c r="MXV1" s="224"/>
      <c r="MXW1" s="224"/>
      <c r="MXX1" s="224"/>
      <c r="MXY1" s="224"/>
      <c r="MXZ1" s="224"/>
      <c r="MYA1" s="224"/>
      <c r="MYB1" s="224"/>
      <c r="MYC1" s="224"/>
      <c r="MYD1" s="224"/>
      <c r="MYE1" s="224"/>
      <c r="MYF1" s="224"/>
      <c r="MYG1" s="224"/>
      <c r="MYH1" s="224"/>
      <c r="MYI1" s="224"/>
      <c r="MYJ1" s="224"/>
      <c r="MYK1" s="224"/>
      <c r="MYL1" s="224"/>
      <c r="MYM1" s="224"/>
      <c r="MYN1" s="224"/>
      <c r="MYO1" s="224"/>
      <c r="MYP1" s="224"/>
      <c r="MYQ1" s="224"/>
      <c r="MYR1" s="224"/>
      <c r="MYS1" s="224"/>
      <c r="MYT1" s="224"/>
      <c r="MYU1" s="224"/>
      <c r="MYV1" s="224"/>
      <c r="MYW1" s="224"/>
      <c r="MYX1" s="224"/>
      <c r="MYY1" s="224"/>
      <c r="MYZ1" s="224"/>
      <c r="MZA1" s="224"/>
      <c r="MZB1" s="224"/>
      <c r="MZC1" s="224"/>
      <c r="MZD1" s="224"/>
      <c r="MZE1" s="224"/>
      <c r="MZF1" s="224"/>
      <c r="MZG1" s="224"/>
      <c r="MZH1" s="224"/>
      <c r="MZI1" s="224"/>
      <c r="MZJ1" s="224"/>
      <c r="MZK1" s="224"/>
      <c r="MZL1" s="224"/>
      <c r="MZM1" s="224"/>
      <c r="MZN1" s="224"/>
      <c r="MZO1" s="224"/>
      <c r="MZP1" s="224"/>
      <c r="MZQ1" s="224"/>
      <c r="MZR1" s="224"/>
      <c r="MZS1" s="224"/>
      <c r="MZT1" s="224"/>
      <c r="MZU1" s="224"/>
      <c r="MZV1" s="224"/>
      <c r="MZW1" s="224"/>
      <c r="MZX1" s="224"/>
      <c r="MZY1" s="224"/>
      <c r="MZZ1" s="224"/>
      <c r="NAA1" s="224"/>
      <c r="NAB1" s="224"/>
      <c r="NAC1" s="224"/>
      <c r="NAD1" s="224"/>
      <c r="NAE1" s="224"/>
      <c r="NAF1" s="224"/>
      <c r="NAG1" s="224"/>
      <c r="NAH1" s="224"/>
      <c r="NAI1" s="224"/>
      <c r="NAJ1" s="224"/>
      <c r="NAK1" s="224"/>
      <c r="NAL1" s="224"/>
      <c r="NAM1" s="224"/>
      <c r="NAN1" s="224"/>
      <c r="NAO1" s="224"/>
      <c r="NAP1" s="224"/>
      <c r="NAQ1" s="224"/>
      <c r="NAR1" s="224"/>
      <c r="NAS1" s="224"/>
      <c r="NAT1" s="224"/>
      <c r="NAU1" s="224"/>
      <c r="NAV1" s="224"/>
      <c r="NAW1" s="224"/>
      <c r="NAX1" s="224"/>
      <c r="NAY1" s="224"/>
      <c r="NAZ1" s="224"/>
      <c r="NBA1" s="224"/>
      <c r="NBB1" s="224"/>
      <c r="NBC1" s="224"/>
      <c r="NBD1" s="224"/>
      <c r="NBE1" s="224"/>
      <c r="NBF1" s="224"/>
      <c r="NBG1" s="224"/>
      <c r="NBH1" s="224"/>
      <c r="NBI1" s="224"/>
      <c r="NBJ1" s="224"/>
      <c r="NBK1" s="224"/>
      <c r="NBL1" s="224"/>
      <c r="NBM1" s="224"/>
      <c r="NBN1" s="224"/>
      <c r="NBO1" s="224"/>
      <c r="NBP1" s="224"/>
      <c r="NBQ1" s="224"/>
      <c r="NBR1" s="224"/>
      <c r="NBS1" s="224"/>
      <c r="NBT1" s="224"/>
      <c r="NBU1" s="224"/>
      <c r="NBV1" s="224"/>
      <c r="NBW1" s="224"/>
      <c r="NBX1" s="224"/>
      <c r="NBY1" s="224"/>
      <c r="NBZ1" s="224"/>
      <c r="NCA1" s="224"/>
      <c r="NCB1" s="224"/>
      <c r="NCC1" s="224"/>
      <c r="NCD1" s="224"/>
      <c r="NCE1" s="224"/>
      <c r="NCF1" s="224"/>
      <c r="NCG1" s="224"/>
      <c r="NCH1" s="224"/>
      <c r="NCI1" s="224"/>
      <c r="NCJ1" s="224"/>
      <c r="NCK1" s="224"/>
      <c r="NCL1" s="224"/>
      <c r="NCM1" s="224"/>
      <c r="NCN1" s="224"/>
      <c r="NCO1" s="224"/>
      <c r="NCP1" s="224"/>
      <c r="NCQ1" s="224"/>
      <c r="NCR1" s="224"/>
      <c r="NCS1" s="224"/>
      <c r="NCT1" s="224"/>
      <c r="NCU1" s="224"/>
      <c r="NCV1" s="224"/>
      <c r="NCW1" s="224"/>
      <c r="NCX1" s="224"/>
      <c r="NCY1" s="224"/>
      <c r="NCZ1" s="224"/>
      <c r="NDA1" s="224"/>
      <c r="NDB1" s="224"/>
      <c r="NDC1" s="224"/>
      <c r="NDD1" s="224"/>
      <c r="NDE1" s="224"/>
      <c r="NDF1" s="224"/>
      <c r="NDG1" s="224"/>
      <c r="NDH1" s="224"/>
      <c r="NDI1" s="224"/>
      <c r="NDJ1" s="224"/>
      <c r="NDK1" s="224"/>
      <c r="NDL1" s="224"/>
      <c r="NDM1" s="224"/>
      <c r="NDN1" s="224"/>
      <c r="NDO1" s="224"/>
      <c r="NDP1" s="224"/>
      <c r="NDQ1" s="224"/>
      <c r="NDR1" s="224"/>
      <c r="NDS1" s="224"/>
      <c r="NDT1" s="224"/>
      <c r="NDU1" s="224"/>
      <c r="NDV1" s="224"/>
      <c r="NDW1" s="224"/>
      <c r="NDX1" s="224"/>
      <c r="NDY1" s="224"/>
      <c r="NDZ1" s="224"/>
      <c r="NEA1" s="224"/>
      <c r="NEB1" s="224"/>
      <c r="NEC1" s="224"/>
      <c r="NED1" s="224"/>
      <c r="NEE1" s="224"/>
      <c r="NEF1" s="224"/>
      <c r="NEG1" s="224"/>
      <c r="NEH1" s="224"/>
      <c r="NEI1" s="224"/>
      <c r="NEJ1" s="224"/>
      <c r="NEK1" s="224"/>
      <c r="NEL1" s="224"/>
      <c r="NEM1" s="224"/>
      <c r="NEN1" s="224"/>
      <c r="NEO1" s="224"/>
      <c r="NEP1" s="224"/>
      <c r="NEQ1" s="224"/>
      <c r="NER1" s="224"/>
      <c r="NES1" s="224"/>
      <c r="NET1" s="224"/>
      <c r="NEU1" s="224"/>
      <c r="NEV1" s="224"/>
      <c r="NEW1" s="224"/>
      <c r="NEX1" s="224"/>
      <c r="NEY1" s="224"/>
      <c r="NEZ1" s="224"/>
      <c r="NFA1" s="224"/>
      <c r="NFB1" s="224"/>
      <c r="NFC1" s="224"/>
      <c r="NFD1" s="224"/>
      <c r="NFE1" s="224"/>
      <c r="NFF1" s="224"/>
      <c r="NFG1" s="224"/>
      <c r="NFH1" s="224"/>
      <c r="NFI1" s="224"/>
      <c r="NFJ1" s="224"/>
      <c r="NFK1" s="224"/>
      <c r="NFL1" s="224"/>
      <c r="NFM1" s="224"/>
      <c r="NFN1" s="224"/>
      <c r="NFO1" s="224"/>
      <c r="NFP1" s="224"/>
      <c r="NFQ1" s="224"/>
      <c r="NFR1" s="224"/>
      <c r="NFS1" s="224"/>
      <c r="NFT1" s="224"/>
      <c r="NFU1" s="224"/>
      <c r="NFV1" s="224"/>
      <c r="NFW1" s="224"/>
      <c r="NFX1" s="224"/>
      <c r="NFY1" s="224"/>
      <c r="NFZ1" s="224"/>
      <c r="NGA1" s="224"/>
      <c r="NGB1" s="224"/>
      <c r="NGC1" s="224"/>
      <c r="NGD1" s="224"/>
      <c r="NGE1" s="224"/>
      <c r="NGF1" s="224"/>
      <c r="NGG1" s="224"/>
      <c r="NGH1" s="224"/>
      <c r="NGI1" s="224"/>
      <c r="NGJ1" s="224"/>
      <c r="NGK1" s="224"/>
      <c r="NGL1" s="224"/>
      <c r="NGM1" s="224"/>
      <c r="NGN1" s="224"/>
      <c r="NGO1" s="224"/>
      <c r="NGP1" s="224"/>
      <c r="NGQ1" s="224"/>
      <c r="NGR1" s="224"/>
      <c r="NGS1" s="224"/>
      <c r="NGT1" s="224"/>
      <c r="NGU1" s="224"/>
      <c r="NGV1" s="224"/>
      <c r="NGW1" s="224"/>
      <c r="NGX1" s="224"/>
      <c r="NGY1" s="224"/>
      <c r="NGZ1" s="224"/>
      <c r="NHA1" s="224"/>
      <c r="NHB1" s="224"/>
      <c r="NHC1" s="224"/>
      <c r="NHD1" s="224"/>
      <c r="NHE1" s="224"/>
      <c r="NHF1" s="224"/>
      <c r="NHG1" s="224"/>
      <c r="NHH1" s="224"/>
      <c r="NHI1" s="224"/>
      <c r="NHJ1" s="224"/>
      <c r="NHK1" s="224"/>
      <c r="NHL1" s="224"/>
      <c r="NHM1" s="224"/>
      <c r="NHN1" s="224"/>
      <c r="NHO1" s="224"/>
      <c r="NHP1" s="224"/>
      <c r="NHQ1" s="224"/>
      <c r="NHR1" s="224"/>
      <c r="NHS1" s="224"/>
      <c r="NHT1" s="224"/>
      <c r="NHU1" s="224"/>
      <c r="NHV1" s="224"/>
      <c r="NHW1" s="224"/>
      <c r="NHX1" s="224"/>
      <c r="NHY1" s="224"/>
      <c r="NHZ1" s="224"/>
      <c r="NIA1" s="224"/>
      <c r="NIB1" s="224"/>
      <c r="NIC1" s="224"/>
      <c r="NID1" s="224"/>
      <c r="NIE1" s="224"/>
      <c r="NIF1" s="224"/>
      <c r="NIG1" s="224"/>
      <c r="NIH1" s="224"/>
      <c r="NII1" s="224"/>
      <c r="NIJ1" s="224"/>
      <c r="NIK1" s="224"/>
      <c r="NIL1" s="224"/>
      <c r="NIM1" s="224"/>
      <c r="NIN1" s="224"/>
      <c r="NIO1" s="224"/>
      <c r="NIP1" s="224"/>
      <c r="NIQ1" s="224"/>
      <c r="NIR1" s="224"/>
      <c r="NIS1" s="224"/>
      <c r="NIT1" s="224"/>
      <c r="NIU1" s="224"/>
      <c r="NIV1" s="224"/>
      <c r="NIW1" s="224"/>
      <c r="NIX1" s="224"/>
      <c r="NIY1" s="224"/>
      <c r="NIZ1" s="224"/>
      <c r="NJA1" s="224"/>
      <c r="NJB1" s="224"/>
      <c r="NJC1" s="224"/>
      <c r="NJD1" s="224"/>
      <c r="NJE1" s="224"/>
      <c r="NJF1" s="224"/>
      <c r="NJG1" s="224"/>
      <c r="NJH1" s="224"/>
      <c r="NJI1" s="224"/>
      <c r="NJJ1" s="224"/>
      <c r="NJK1" s="224"/>
      <c r="NJL1" s="224"/>
      <c r="NJM1" s="224"/>
      <c r="NJN1" s="224"/>
      <c r="NJO1" s="224"/>
      <c r="NJP1" s="224"/>
      <c r="NJQ1" s="224"/>
      <c r="NJR1" s="224"/>
      <c r="NJS1" s="224"/>
      <c r="NJT1" s="224"/>
      <c r="NJU1" s="224"/>
      <c r="NJV1" s="224"/>
      <c r="NJW1" s="224"/>
      <c r="NJX1" s="224"/>
      <c r="NJY1" s="224"/>
      <c r="NJZ1" s="224"/>
      <c r="NKA1" s="224"/>
      <c r="NKB1" s="224"/>
      <c r="NKC1" s="224"/>
      <c r="NKD1" s="224"/>
      <c r="NKE1" s="224"/>
      <c r="NKF1" s="224"/>
      <c r="NKG1" s="224"/>
      <c r="NKH1" s="224"/>
      <c r="NKI1" s="224"/>
      <c r="NKJ1" s="224"/>
      <c r="NKK1" s="224"/>
      <c r="NKL1" s="224"/>
      <c r="NKM1" s="224"/>
      <c r="NKN1" s="224"/>
      <c r="NKO1" s="224"/>
      <c r="NKP1" s="224"/>
      <c r="NKQ1" s="224"/>
      <c r="NKR1" s="224"/>
      <c r="NKS1" s="224"/>
      <c r="NKT1" s="224"/>
      <c r="NKU1" s="224"/>
      <c r="NKV1" s="224"/>
      <c r="NKW1" s="224"/>
      <c r="NKX1" s="224"/>
      <c r="NKY1" s="224"/>
      <c r="NKZ1" s="224"/>
      <c r="NLA1" s="224"/>
      <c r="NLB1" s="224"/>
      <c r="NLC1" s="224"/>
      <c r="NLD1" s="224"/>
      <c r="NLE1" s="224"/>
      <c r="NLF1" s="224"/>
      <c r="NLG1" s="224"/>
      <c r="NLH1" s="224"/>
      <c r="NLI1" s="224"/>
      <c r="NLJ1" s="224"/>
      <c r="NLK1" s="224"/>
      <c r="NLL1" s="224"/>
      <c r="NLM1" s="224"/>
      <c r="NLN1" s="224"/>
      <c r="NLO1" s="224"/>
      <c r="NLP1" s="224"/>
      <c r="NLQ1" s="224"/>
      <c r="NLR1" s="224"/>
      <c r="NLS1" s="224"/>
      <c r="NLT1" s="224"/>
      <c r="NLU1" s="224"/>
      <c r="NLV1" s="224"/>
      <c r="NLW1" s="224"/>
      <c r="NLX1" s="224"/>
      <c r="NLY1" s="224"/>
      <c r="NLZ1" s="224"/>
      <c r="NMA1" s="224"/>
      <c r="NMB1" s="224"/>
      <c r="NMC1" s="224"/>
      <c r="NMD1" s="224"/>
      <c r="NME1" s="224"/>
      <c r="NMF1" s="224"/>
      <c r="NMG1" s="224"/>
      <c r="NMH1" s="224"/>
      <c r="NMI1" s="224"/>
      <c r="NMJ1" s="224"/>
      <c r="NMK1" s="224"/>
      <c r="NML1" s="224"/>
      <c r="NMM1" s="224"/>
      <c r="NMN1" s="224"/>
      <c r="NMO1" s="224"/>
      <c r="NMP1" s="224"/>
      <c r="NMQ1" s="224"/>
      <c r="NMR1" s="224"/>
      <c r="NMS1" s="224"/>
      <c r="NMT1" s="224"/>
      <c r="NMU1" s="224"/>
      <c r="NMV1" s="224"/>
      <c r="NMW1" s="224"/>
      <c r="NMX1" s="224"/>
      <c r="NMY1" s="224"/>
      <c r="NMZ1" s="224"/>
      <c r="NNA1" s="224"/>
      <c r="NNB1" s="224"/>
      <c r="NNC1" s="224"/>
      <c r="NND1" s="224"/>
      <c r="NNE1" s="224"/>
      <c r="NNF1" s="224"/>
      <c r="NNG1" s="224"/>
      <c r="NNH1" s="224"/>
      <c r="NNI1" s="224"/>
      <c r="NNJ1" s="224"/>
      <c r="NNK1" s="224"/>
      <c r="NNL1" s="224"/>
      <c r="NNM1" s="224"/>
      <c r="NNN1" s="224"/>
      <c r="NNO1" s="224"/>
      <c r="NNP1" s="224"/>
      <c r="NNQ1" s="224"/>
      <c r="NNR1" s="224"/>
      <c r="NNS1" s="224"/>
      <c r="NNT1" s="224"/>
      <c r="NNU1" s="224"/>
      <c r="NNV1" s="224"/>
      <c r="NNW1" s="224"/>
      <c r="NNX1" s="224"/>
      <c r="NNY1" s="224"/>
      <c r="NNZ1" s="224"/>
      <c r="NOA1" s="224"/>
      <c r="NOB1" s="224"/>
      <c r="NOC1" s="224"/>
      <c r="NOD1" s="224"/>
      <c r="NOE1" s="224"/>
      <c r="NOF1" s="224"/>
      <c r="NOG1" s="224"/>
      <c r="NOH1" s="224"/>
      <c r="NOI1" s="224"/>
      <c r="NOJ1" s="224"/>
      <c r="NOK1" s="224"/>
      <c r="NOL1" s="224"/>
      <c r="NOM1" s="224"/>
      <c r="NON1" s="224"/>
      <c r="NOO1" s="224"/>
      <c r="NOP1" s="224"/>
      <c r="NOQ1" s="224"/>
      <c r="NOR1" s="224"/>
      <c r="NOS1" s="224"/>
      <c r="NOT1" s="224"/>
      <c r="NOU1" s="224"/>
      <c r="NOV1" s="224"/>
      <c r="NOW1" s="224"/>
      <c r="NOX1" s="224"/>
      <c r="NOY1" s="224"/>
      <c r="NOZ1" s="224"/>
      <c r="NPA1" s="224"/>
      <c r="NPB1" s="224"/>
      <c r="NPC1" s="224"/>
      <c r="NPD1" s="224"/>
      <c r="NPE1" s="224"/>
      <c r="NPF1" s="224"/>
      <c r="NPG1" s="224"/>
      <c r="NPH1" s="224"/>
      <c r="NPI1" s="224"/>
      <c r="NPJ1" s="224"/>
      <c r="NPK1" s="224"/>
      <c r="NPL1" s="224"/>
      <c r="NPM1" s="224"/>
      <c r="NPN1" s="224"/>
      <c r="NPO1" s="224"/>
      <c r="NPP1" s="224"/>
      <c r="NPQ1" s="224"/>
      <c r="NPR1" s="224"/>
      <c r="NPS1" s="224"/>
      <c r="NPT1" s="224"/>
      <c r="NPU1" s="224"/>
      <c r="NPV1" s="224"/>
      <c r="NPW1" s="224"/>
      <c r="NPX1" s="224"/>
      <c r="NPY1" s="224"/>
      <c r="NPZ1" s="224"/>
      <c r="NQA1" s="224"/>
      <c r="NQB1" s="224"/>
      <c r="NQC1" s="224"/>
      <c r="NQD1" s="224"/>
      <c r="NQE1" s="224"/>
      <c r="NQF1" s="224"/>
      <c r="NQG1" s="224"/>
      <c r="NQH1" s="224"/>
      <c r="NQI1" s="224"/>
      <c r="NQJ1" s="224"/>
      <c r="NQK1" s="224"/>
      <c r="NQL1" s="224"/>
      <c r="NQM1" s="224"/>
      <c r="NQN1" s="224"/>
      <c r="NQO1" s="224"/>
      <c r="NQP1" s="224"/>
      <c r="NQQ1" s="224"/>
      <c r="NQR1" s="224"/>
      <c r="NQS1" s="224"/>
      <c r="NQT1" s="224"/>
      <c r="NQU1" s="224"/>
      <c r="NQV1" s="224"/>
      <c r="NQW1" s="224"/>
      <c r="NQX1" s="224"/>
      <c r="NQY1" s="224"/>
      <c r="NQZ1" s="224"/>
      <c r="NRA1" s="224"/>
      <c r="NRB1" s="224"/>
      <c r="NRC1" s="224"/>
      <c r="NRD1" s="224"/>
      <c r="NRE1" s="224"/>
      <c r="NRF1" s="224"/>
      <c r="NRG1" s="224"/>
      <c r="NRH1" s="224"/>
      <c r="NRI1" s="224"/>
      <c r="NRJ1" s="224"/>
      <c r="NRK1" s="224"/>
      <c r="NRL1" s="224"/>
      <c r="NRM1" s="224"/>
      <c r="NRN1" s="224"/>
      <c r="NRO1" s="224"/>
      <c r="NRP1" s="224"/>
      <c r="NRQ1" s="224"/>
      <c r="NRR1" s="224"/>
      <c r="NRS1" s="224"/>
      <c r="NRT1" s="224"/>
      <c r="NRU1" s="224"/>
      <c r="NRV1" s="224"/>
      <c r="NRW1" s="224"/>
      <c r="NRX1" s="224"/>
      <c r="NRY1" s="224"/>
      <c r="NRZ1" s="224"/>
      <c r="NSA1" s="224"/>
      <c r="NSB1" s="224"/>
      <c r="NSC1" s="224"/>
      <c r="NSD1" s="224"/>
      <c r="NSE1" s="224"/>
      <c r="NSF1" s="224"/>
      <c r="NSG1" s="224"/>
      <c r="NSH1" s="224"/>
      <c r="NSI1" s="224"/>
      <c r="NSJ1" s="224"/>
      <c r="NSK1" s="224"/>
      <c r="NSL1" s="224"/>
      <c r="NSM1" s="224"/>
      <c r="NSN1" s="224"/>
      <c r="NSO1" s="224"/>
      <c r="NSP1" s="224"/>
      <c r="NSQ1" s="224"/>
      <c r="NSR1" s="224"/>
      <c r="NSS1" s="224"/>
      <c r="NST1" s="224"/>
      <c r="NSU1" s="224"/>
      <c r="NSV1" s="224"/>
      <c r="NSW1" s="224"/>
      <c r="NSX1" s="224"/>
      <c r="NSY1" s="224"/>
      <c r="NSZ1" s="224"/>
      <c r="NTA1" s="224"/>
      <c r="NTB1" s="224"/>
      <c r="NTC1" s="224"/>
      <c r="NTD1" s="224"/>
      <c r="NTE1" s="224"/>
      <c r="NTF1" s="224"/>
      <c r="NTG1" s="224"/>
      <c r="NTH1" s="224"/>
      <c r="NTI1" s="224"/>
      <c r="NTJ1" s="224"/>
      <c r="NTK1" s="224"/>
      <c r="NTL1" s="224"/>
      <c r="NTM1" s="224"/>
      <c r="NTN1" s="224"/>
      <c r="NTO1" s="224"/>
      <c r="NTP1" s="224"/>
      <c r="NTQ1" s="224"/>
      <c r="NTR1" s="224"/>
      <c r="NTS1" s="224"/>
      <c r="NTT1" s="224"/>
      <c r="NTU1" s="224"/>
      <c r="NTV1" s="224"/>
      <c r="NTW1" s="224"/>
      <c r="NTX1" s="224"/>
      <c r="NTY1" s="224"/>
      <c r="NTZ1" s="224"/>
      <c r="NUA1" s="224"/>
      <c r="NUB1" s="224"/>
      <c r="NUC1" s="224"/>
      <c r="NUD1" s="224"/>
      <c r="NUE1" s="224"/>
      <c r="NUF1" s="224"/>
      <c r="NUG1" s="224"/>
      <c r="NUH1" s="224"/>
      <c r="NUI1" s="224"/>
      <c r="NUJ1" s="224"/>
      <c r="NUK1" s="224"/>
      <c r="NUL1" s="224"/>
      <c r="NUM1" s="224"/>
      <c r="NUN1" s="224"/>
      <c r="NUO1" s="224"/>
      <c r="NUP1" s="224"/>
      <c r="NUQ1" s="224"/>
      <c r="NUR1" s="224"/>
      <c r="NUS1" s="224"/>
      <c r="NUT1" s="224"/>
      <c r="NUU1" s="224"/>
      <c r="NUV1" s="224"/>
      <c r="NUW1" s="224"/>
      <c r="NUX1" s="224"/>
      <c r="NUY1" s="224"/>
      <c r="NUZ1" s="224"/>
      <c r="NVA1" s="224"/>
      <c r="NVB1" s="224"/>
      <c r="NVC1" s="224"/>
      <c r="NVD1" s="224"/>
      <c r="NVE1" s="224"/>
      <c r="NVF1" s="224"/>
      <c r="NVG1" s="224"/>
      <c r="NVH1" s="224"/>
      <c r="NVI1" s="224"/>
      <c r="NVJ1" s="224"/>
      <c r="NVK1" s="224"/>
      <c r="NVL1" s="224"/>
      <c r="NVM1" s="224"/>
      <c r="NVN1" s="224"/>
      <c r="NVO1" s="224"/>
      <c r="NVP1" s="224"/>
      <c r="NVQ1" s="224"/>
      <c r="NVR1" s="224"/>
      <c r="NVS1" s="224"/>
      <c r="NVT1" s="224"/>
      <c r="NVU1" s="224"/>
      <c r="NVV1" s="224"/>
      <c r="NVW1" s="224"/>
      <c r="NVX1" s="224"/>
      <c r="NVY1" s="224"/>
      <c r="NVZ1" s="224"/>
      <c r="NWA1" s="224"/>
      <c r="NWB1" s="224"/>
      <c r="NWC1" s="224"/>
      <c r="NWD1" s="224"/>
      <c r="NWE1" s="224"/>
      <c r="NWF1" s="224"/>
      <c r="NWG1" s="224"/>
      <c r="NWH1" s="224"/>
      <c r="NWI1" s="224"/>
      <c r="NWJ1" s="224"/>
      <c r="NWK1" s="224"/>
      <c r="NWL1" s="224"/>
      <c r="NWM1" s="224"/>
      <c r="NWN1" s="224"/>
      <c r="NWO1" s="224"/>
      <c r="NWP1" s="224"/>
      <c r="NWQ1" s="224"/>
      <c r="NWR1" s="224"/>
      <c r="NWS1" s="224"/>
      <c r="NWT1" s="224"/>
      <c r="NWU1" s="224"/>
      <c r="NWV1" s="224"/>
      <c r="NWW1" s="224"/>
      <c r="NWX1" s="224"/>
      <c r="NWY1" s="224"/>
      <c r="NWZ1" s="224"/>
      <c r="NXA1" s="224"/>
      <c r="NXB1" s="224"/>
      <c r="NXC1" s="224"/>
      <c r="NXD1" s="224"/>
      <c r="NXE1" s="224"/>
      <c r="NXF1" s="224"/>
      <c r="NXG1" s="224"/>
      <c r="NXH1" s="224"/>
      <c r="NXI1" s="224"/>
      <c r="NXJ1" s="224"/>
      <c r="NXK1" s="224"/>
      <c r="NXL1" s="224"/>
      <c r="NXM1" s="224"/>
      <c r="NXN1" s="224"/>
      <c r="NXO1" s="224"/>
      <c r="NXP1" s="224"/>
      <c r="NXQ1" s="224"/>
      <c r="NXR1" s="224"/>
      <c r="NXS1" s="224"/>
      <c r="NXT1" s="224"/>
      <c r="NXU1" s="224"/>
      <c r="NXV1" s="224"/>
      <c r="NXW1" s="224"/>
      <c r="NXX1" s="224"/>
      <c r="NXY1" s="224"/>
      <c r="NXZ1" s="224"/>
      <c r="NYA1" s="224"/>
      <c r="NYB1" s="224"/>
      <c r="NYC1" s="224"/>
      <c r="NYD1" s="224"/>
      <c r="NYE1" s="224"/>
      <c r="NYF1" s="224"/>
      <c r="NYG1" s="224"/>
      <c r="NYH1" s="224"/>
      <c r="NYI1" s="224"/>
      <c r="NYJ1" s="224"/>
      <c r="NYK1" s="224"/>
      <c r="NYL1" s="224"/>
      <c r="NYM1" s="224"/>
      <c r="NYN1" s="224"/>
      <c r="NYO1" s="224"/>
      <c r="NYP1" s="224"/>
      <c r="NYQ1" s="224"/>
      <c r="NYR1" s="224"/>
      <c r="NYS1" s="224"/>
      <c r="NYT1" s="224"/>
      <c r="NYU1" s="224"/>
      <c r="NYV1" s="224"/>
      <c r="NYW1" s="224"/>
      <c r="NYX1" s="224"/>
      <c r="NYY1" s="224"/>
      <c r="NYZ1" s="224"/>
      <c r="NZA1" s="224"/>
      <c r="NZB1" s="224"/>
      <c r="NZC1" s="224"/>
      <c r="NZD1" s="224"/>
      <c r="NZE1" s="224"/>
      <c r="NZF1" s="224"/>
      <c r="NZG1" s="224"/>
      <c r="NZH1" s="224"/>
      <c r="NZI1" s="224"/>
      <c r="NZJ1" s="224"/>
      <c r="NZK1" s="224"/>
      <c r="NZL1" s="224"/>
      <c r="NZM1" s="224"/>
      <c r="NZN1" s="224"/>
      <c r="NZO1" s="224"/>
      <c r="NZP1" s="224"/>
      <c r="NZQ1" s="224"/>
      <c r="NZR1" s="224"/>
      <c r="NZS1" s="224"/>
      <c r="NZT1" s="224"/>
      <c r="NZU1" s="224"/>
      <c r="NZV1" s="224"/>
      <c r="NZW1" s="224"/>
      <c r="NZX1" s="224"/>
      <c r="NZY1" s="224"/>
      <c r="NZZ1" s="224"/>
      <c r="OAA1" s="224"/>
      <c r="OAB1" s="224"/>
      <c r="OAC1" s="224"/>
      <c r="OAD1" s="224"/>
      <c r="OAE1" s="224"/>
      <c r="OAF1" s="224"/>
      <c r="OAG1" s="224"/>
      <c r="OAH1" s="224"/>
      <c r="OAI1" s="224"/>
      <c r="OAJ1" s="224"/>
      <c r="OAK1" s="224"/>
      <c r="OAL1" s="224"/>
      <c r="OAM1" s="224"/>
      <c r="OAN1" s="224"/>
      <c r="OAO1" s="224"/>
      <c r="OAP1" s="224"/>
      <c r="OAQ1" s="224"/>
      <c r="OAR1" s="224"/>
      <c r="OAS1" s="224"/>
      <c r="OAT1" s="224"/>
      <c r="OAU1" s="224"/>
      <c r="OAV1" s="224"/>
      <c r="OAW1" s="224"/>
      <c r="OAX1" s="224"/>
      <c r="OAY1" s="224"/>
      <c r="OAZ1" s="224"/>
      <c r="OBA1" s="224"/>
      <c r="OBB1" s="224"/>
      <c r="OBC1" s="224"/>
      <c r="OBD1" s="224"/>
      <c r="OBE1" s="224"/>
      <c r="OBF1" s="224"/>
      <c r="OBG1" s="224"/>
      <c r="OBH1" s="224"/>
      <c r="OBI1" s="224"/>
      <c r="OBJ1" s="224"/>
      <c r="OBK1" s="224"/>
      <c r="OBL1" s="224"/>
      <c r="OBM1" s="224"/>
      <c r="OBN1" s="224"/>
      <c r="OBO1" s="224"/>
      <c r="OBP1" s="224"/>
      <c r="OBQ1" s="224"/>
      <c r="OBR1" s="224"/>
      <c r="OBS1" s="224"/>
      <c r="OBT1" s="224"/>
      <c r="OBU1" s="224"/>
      <c r="OBV1" s="224"/>
      <c r="OBW1" s="224"/>
      <c r="OBX1" s="224"/>
      <c r="OBY1" s="224"/>
      <c r="OBZ1" s="224"/>
      <c r="OCA1" s="224"/>
      <c r="OCB1" s="224"/>
      <c r="OCC1" s="224"/>
      <c r="OCD1" s="224"/>
      <c r="OCE1" s="224"/>
      <c r="OCF1" s="224"/>
      <c r="OCG1" s="224"/>
      <c r="OCH1" s="224"/>
      <c r="OCI1" s="224"/>
      <c r="OCJ1" s="224"/>
      <c r="OCK1" s="224"/>
      <c r="OCL1" s="224"/>
      <c r="OCM1" s="224"/>
      <c r="OCN1" s="224"/>
      <c r="OCO1" s="224"/>
      <c r="OCP1" s="224"/>
      <c r="OCQ1" s="224"/>
      <c r="OCR1" s="224"/>
      <c r="OCS1" s="224"/>
      <c r="OCT1" s="224"/>
      <c r="OCU1" s="224"/>
      <c r="OCV1" s="224"/>
      <c r="OCW1" s="224"/>
      <c r="OCX1" s="224"/>
      <c r="OCY1" s="224"/>
      <c r="OCZ1" s="224"/>
      <c r="ODA1" s="224"/>
      <c r="ODB1" s="224"/>
      <c r="ODC1" s="224"/>
      <c r="ODD1" s="224"/>
      <c r="ODE1" s="224"/>
      <c r="ODF1" s="224"/>
      <c r="ODG1" s="224"/>
      <c r="ODH1" s="224"/>
      <c r="ODI1" s="224"/>
      <c r="ODJ1" s="224"/>
      <c r="ODK1" s="224"/>
      <c r="ODL1" s="224"/>
      <c r="ODM1" s="224"/>
      <c r="ODN1" s="224"/>
      <c r="ODO1" s="224"/>
      <c r="ODP1" s="224"/>
      <c r="ODQ1" s="224"/>
      <c r="ODR1" s="224"/>
      <c r="ODS1" s="224"/>
      <c r="ODT1" s="224"/>
      <c r="ODU1" s="224"/>
      <c r="ODV1" s="224"/>
      <c r="ODW1" s="224"/>
      <c r="ODX1" s="224"/>
      <c r="ODY1" s="224"/>
      <c r="ODZ1" s="224"/>
      <c r="OEA1" s="224"/>
      <c r="OEB1" s="224"/>
      <c r="OEC1" s="224"/>
      <c r="OED1" s="224"/>
      <c r="OEE1" s="224"/>
      <c r="OEF1" s="224"/>
      <c r="OEG1" s="224"/>
      <c r="OEH1" s="224"/>
      <c r="OEI1" s="224"/>
      <c r="OEJ1" s="224"/>
      <c r="OEK1" s="224"/>
      <c r="OEL1" s="224"/>
      <c r="OEM1" s="224"/>
      <c r="OEN1" s="224"/>
      <c r="OEO1" s="224"/>
      <c r="OEP1" s="224"/>
      <c r="OEQ1" s="224"/>
      <c r="OER1" s="224"/>
      <c r="OES1" s="224"/>
      <c r="OET1" s="224"/>
      <c r="OEU1" s="224"/>
      <c r="OEV1" s="224"/>
      <c r="OEW1" s="224"/>
      <c r="OEX1" s="224"/>
      <c r="OEY1" s="224"/>
      <c r="OEZ1" s="224"/>
      <c r="OFA1" s="224"/>
      <c r="OFB1" s="224"/>
      <c r="OFC1" s="224"/>
      <c r="OFD1" s="224"/>
      <c r="OFE1" s="224"/>
      <c r="OFF1" s="224"/>
      <c r="OFG1" s="224"/>
      <c r="OFH1" s="224"/>
      <c r="OFI1" s="224"/>
      <c r="OFJ1" s="224"/>
      <c r="OFK1" s="224"/>
      <c r="OFL1" s="224"/>
      <c r="OFM1" s="224"/>
      <c r="OFN1" s="224"/>
      <c r="OFO1" s="224"/>
      <c r="OFP1" s="224"/>
      <c r="OFQ1" s="224"/>
      <c r="OFR1" s="224"/>
      <c r="OFS1" s="224"/>
      <c r="OFT1" s="224"/>
      <c r="OFU1" s="224"/>
      <c r="OFV1" s="224"/>
      <c r="OFW1" s="224"/>
      <c r="OFX1" s="224"/>
      <c r="OFY1" s="224"/>
      <c r="OFZ1" s="224"/>
      <c r="OGA1" s="224"/>
      <c r="OGB1" s="224"/>
      <c r="OGC1" s="224"/>
      <c r="OGD1" s="224"/>
      <c r="OGE1" s="224"/>
      <c r="OGF1" s="224"/>
      <c r="OGG1" s="224"/>
      <c r="OGH1" s="224"/>
      <c r="OGI1" s="224"/>
      <c r="OGJ1" s="224"/>
      <c r="OGK1" s="224"/>
      <c r="OGL1" s="224"/>
      <c r="OGM1" s="224"/>
      <c r="OGN1" s="224"/>
      <c r="OGO1" s="224"/>
      <c r="OGP1" s="224"/>
      <c r="OGQ1" s="224"/>
      <c r="OGR1" s="224"/>
      <c r="OGS1" s="224"/>
      <c r="OGT1" s="224"/>
      <c r="OGU1" s="224"/>
      <c r="OGV1" s="224"/>
      <c r="OGW1" s="224"/>
      <c r="OGX1" s="224"/>
      <c r="OGY1" s="224"/>
      <c r="OGZ1" s="224"/>
      <c r="OHA1" s="224"/>
      <c r="OHB1" s="224"/>
      <c r="OHC1" s="224"/>
      <c r="OHD1" s="224"/>
      <c r="OHE1" s="224"/>
      <c r="OHF1" s="224"/>
      <c r="OHG1" s="224"/>
      <c r="OHH1" s="224"/>
      <c r="OHI1" s="224"/>
      <c r="OHJ1" s="224"/>
      <c r="OHK1" s="224"/>
      <c r="OHL1" s="224"/>
      <c r="OHM1" s="224"/>
      <c r="OHN1" s="224"/>
      <c r="OHO1" s="224"/>
      <c r="OHP1" s="224"/>
      <c r="OHQ1" s="224"/>
      <c r="OHR1" s="224"/>
      <c r="OHS1" s="224"/>
      <c r="OHT1" s="224"/>
      <c r="OHU1" s="224"/>
      <c r="OHV1" s="224"/>
      <c r="OHW1" s="224"/>
      <c r="OHX1" s="224"/>
      <c r="OHY1" s="224"/>
      <c r="OHZ1" s="224"/>
      <c r="OIA1" s="224"/>
      <c r="OIB1" s="224"/>
      <c r="OIC1" s="224"/>
      <c r="OID1" s="224"/>
      <c r="OIE1" s="224"/>
      <c r="OIF1" s="224"/>
      <c r="OIG1" s="224"/>
      <c r="OIH1" s="224"/>
      <c r="OII1" s="224"/>
      <c r="OIJ1" s="224"/>
      <c r="OIK1" s="224"/>
      <c r="OIL1" s="224"/>
      <c r="OIM1" s="224"/>
      <c r="OIN1" s="224"/>
      <c r="OIO1" s="224"/>
      <c r="OIP1" s="224"/>
      <c r="OIQ1" s="224"/>
      <c r="OIR1" s="224"/>
      <c r="OIS1" s="224"/>
      <c r="OIT1" s="224"/>
      <c r="OIU1" s="224"/>
      <c r="OIV1" s="224"/>
      <c r="OIW1" s="224"/>
      <c r="OIX1" s="224"/>
      <c r="OIY1" s="224"/>
      <c r="OIZ1" s="224"/>
      <c r="OJA1" s="224"/>
      <c r="OJB1" s="224"/>
      <c r="OJC1" s="224"/>
      <c r="OJD1" s="224"/>
      <c r="OJE1" s="224"/>
      <c r="OJF1" s="224"/>
      <c r="OJG1" s="224"/>
      <c r="OJH1" s="224"/>
      <c r="OJI1" s="224"/>
      <c r="OJJ1" s="224"/>
      <c r="OJK1" s="224"/>
      <c r="OJL1" s="224"/>
      <c r="OJM1" s="224"/>
      <c r="OJN1" s="224"/>
      <c r="OJO1" s="224"/>
      <c r="OJP1" s="224"/>
      <c r="OJQ1" s="224"/>
      <c r="OJR1" s="224"/>
      <c r="OJS1" s="224"/>
      <c r="OJT1" s="224"/>
      <c r="OJU1" s="224"/>
      <c r="OJV1" s="224"/>
      <c r="OJW1" s="224"/>
      <c r="OJX1" s="224"/>
      <c r="OJY1" s="224"/>
      <c r="OJZ1" s="224"/>
      <c r="OKA1" s="224"/>
      <c r="OKB1" s="224"/>
      <c r="OKC1" s="224"/>
      <c r="OKD1" s="224"/>
      <c r="OKE1" s="224"/>
      <c r="OKF1" s="224"/>
      <c r="OKG1" s="224"/>
      <c r="OKH1" s="224"/>
      <c r="OKI1" s="224"/>
      <c r="OKJ1" s="224"/>
      <c r="OKK1" s="224"/>
      <c r="OKL1" s="224"/>
      <c r="OKM1" s="224"/>
      <c r="OKN1" s="224"/>
      <c r="OKO1" s="224"/>
      <c r="OKP1" s="224"/>
      <c r="OKQ1" s="224"/>
      <c r="OKR1" s="224"/>
      <c r="OKS1" s="224"/>
      <c r="OKT1" s="224"/>
      <c r="OKU1" s="224"/>
      <c r="OKV1" s="224"/>
      <c r="OKW1" s="224"/>
      <c r="OKX1" s="224"/>
      <c r="OKY1" s="224"/>
      <c r="OKZ1" s="224"/>
      <c r="OLA1" s="224"/>
      <c r="OLB1" s="224"/>
      <c r="OLC1" s="224"/>
      <c r="OLD1" s="224"/>
      <c r="OLE1" s="224"/>
      <c r="OLF1" s="224"/>
      <c r="OLG1" s="224"/>
      <c r="OLH1" s="224"/>
      <c r="OLI1" s="224"/>
      <c r="OLJ1" s="224"/>
      <c r="OLK1" s="224"/>
      <c r="OLL1" s="224"/>
      <c r="OLM1" s="224"/>
      <c r="OLN1" s="224"/>
      <c r="OLO1" s="224"/>
      <c r="OLP1" s="224"/>
      <c r="OLQ1" s="224"/>
      <c r="OLR1" s="224"/>
      <c r="OLS1" s="224"/>
      <c r="OLT1" s="224"/>
      <c r="OLU1" s="224"/>
      <c r="OLV1" s="224"/>
      <c r="OLW1" s="224"/>
      <c r="OLX1" s="224"/>
      <c r="OLY1" s="224"/>
      <c r="OLZ1" s="224"/>
      <c r="OMA1" s="224"/>
      <c r="OMB1" s="224"/>
      <c r="OMC1" s="224"/>
      <c r="OMD1" s="224"/>
      <c r="OME1" s="224"/>
      <c r="OMF1" s="224"/>
      <c r="OMG1" s="224"/>
      <c r="OMH1" s="224"/>
      <c r="OMI1" s="224"/>
      <c r="OMJ1" s="224"/>
      <c r="OMK1" s="224"/>
      <c r="OML1" s="224"/>
      <c r="OMM1" s="224"/>
      <c r="OMN1" s="224"/>
      <c r="OMO1" s="224"/>
      <c r="OMP1" s="224"/>
      <c r="OMQ1" s="224"/>
      <c r="OMR1" s="224"/>
      <c r="OMS1" s="224"/>
      <c r="OMT1" s="224"/>
      <c r="OMU1" s="224"/>
      <c r="OMV1" s="224"/>
      <c r="OMW1" s="224"/>
      <c r="OMX1" s="224"/>
      <c r="OMY1" s="224"/>
      <c r="OMZ1" s="224"/>
      <c r="ONA1" s="224"/>
      <c r="ONB1" s="224"/>
      <c r="ONC1" s="224"/>
      <c r="OND1" s="224"/>
      <c r="ONE1" s="224"/>
      <c r="ONF1" s="224"/>
      <c r="ONG1" s="224"/>
      <c r="ONH1" s="224"/>
      <c r="ONI1" s="224"/>
      <c r="ONJ1" s="224"/>
      <c r="ONK1" s="224"/>
      <c r="ONL1" s="224"/>
      <c r="ONM1" s="224"/>
      <c r="ONN1" s="224"/>
      <c r="ONO1" s="224"/>
      <c r="ONP1" s="224"/>
      <c r="ONQ1" s="224"/>
      <c r="ONR1" s="224"/>
      <c r="ONS1" s="224"/>
      <c r="ONT1" s="224"/>
      <c r="ONU1" s="224"/>
      <c r="ONV1" s="224"/>
      <c r="ONW1" s="224"/>
      <c r="ONX1" s="224"/>
      <c r="ONY1" s="224"/>
      <c r="ONZ1" s="224"/>
      <c r="OOA1" s="224"/>
      <c r="OOB1" s="224"/>
      <c r="OOC1" s="224"/>
      <c r="OOD1" s="224"/>
      <c r="OOE1" s="224"/>
      <c r="OOF1" s="224"/>
      <c r="OOG1" s="224"/>
      <c r="OOH1" s="224"/>
      <c r="OOI1" s="224"/>
      <c r="OOJ1" s="224"/>
      <c r="OOK1" s="224"/>
      <c r="OOL1" s="224"/>
      <c r="OOM1" s="224"/>
      <c r="OON1" s="224"/>
      <c r="OOO1" s="224"/>
      <c r="OOP1" s="224"/>
      <c r="OOQ1" s="224"/>
      <c r="OOR1" s="224"/>
      <c r="OOS1" s="224"/>
      <c r="OOT1" s="224"/>
      <c r="OOU1" s="224"/>
      <c r="OOV1" s="224"/>
      <c r="OOW1" s="224"/>
      <c r="OOX1" s="224"/>
      <c r="OOY1" s="224"/>
      <c r="OOZ1" s="224"/>
      <c r="OPA1" s="224"/>
      <c r="OPB1" s="224"/>
      <c r="OPC1" s="224"/>
      <c r="OPD1" s="224"/>
      <c r="OPE1" s="224"/>
      <c r="OPF1" s="224"/>
      <c r="OPG1" s="224"/>
      <c r="OPH1" s="224"/>
      <c r="OPI1" s="224"/>
      <c r="OPJ1" s="224"/>
      <c r="OPK1" s="224"/>
      <c r="OPL1" s="224"/>
      <c r="OPM1" s="224"/>
      <c r="OPN1" s="224"/>
      <c r="OPO1" s="224"/>
      <c r="OPP1" s="224"/>
      <c r="OPQ1" s="224"/>
      <c r="OPR1" s="224"/>
      <c r="OPS1" s="224"/>
      <c r="OPT1" s="224"/>
      <c r="OPU1" s="224"/>
      <c r="OPV1" s="224"/>
      <c r="OPW1" s="224"/>
      <c r="OPX1" s="224"/>
      <c r="OPY1" s="224"/>
      <c r="OPZ1" s="224"/>
      <c r="OQA1" s="224"/>
      <c r="OQB1" s="224"/>
      <c r="OQC1" s="224"/>
      <c r="OQD1" s="224"/>
      <c r="OQE1" s="224"/>
      <c r="OQF1" s="224"/>
      <c r="OQG1" s="224"/>
      <c r="OQH1" s="224"/>
      <c r="OQI1" s="224"/>
      <c r="OQJ1" s="224"/>
      <c r="OQK1" s="224"/>
      <c r="OQL1" s="224"/>
      <c r="OQM1" s="224"/>
      <c r="OQN1" s="224"/>
      <c r="OQO1" s="224"/>
      <c r="OQP1" s="224"/>
      <c r="OQQ1" s="224"/>
      <c r="OQR1" s="224"/>
      <c r="OQS1" s="224"/>
      <c r="OQT1" s="224"/>
      <c r="OQU1" s="224"/>
      <c r="OQV1" s="224"/>
      <c r="OQW1" s="224"/>
      <c r="OQX1" s="224"/>
      <c r="OQY1" s="224"/>
      <c r="OQZ1" s="224"/>
      <c r="ORA1" s="224"/>
      <c r="ORB1" s="224"/>
      <c r="ORC1" s="224"/>
      <c r="ORD1" s="224"/>
      <c r="ORE1" s="224"/>
      <c r="ORF1" s="224"/>
      <c r="ORG1" s="224"/>
      <c r="ORH1" s="224"/>
      <c r="ORI1" s="224"/>
      <c r="ORJ1" s="224"/>
      <c r="ORK1" s="224"/>
      <c r="ORL1" s="224"/>
      <c r="ORM1" s="224"/>
      <c r="ORN1" s="224"/>
      <c r="ORO1" s="224"/>
      <c r="ORP1" s="224"/>
      <c r="ORQ1" s="224"/>
      <c r="ORR1" s="224"/>
      <c r="ORS1" s="224"/>
      <c r="ORT1" s="224"/>
      <c r="ORU1" s="224"/>
      <c r="ORV1" s="224"/>
      <c r="ORW1" s="224"/>
      <c r="ORX1" s="224"/>
      <c r="ORY1" s="224"/>
      <c r="ORZ1" s="224"/>
      <c r="OSA1" s="224"/>
      <c r="OSB1" s="224"/>
      <c r="OSC1" s="224"/>
      <c r="OSD1" s="224"/>
      <c r="OSE1" s="224"/>
      <c r="OSF1" s="224"/>
      <c r="OSG1" s="224"/>
      <c r="OSH1" s="224"/>
      <c r="OSI1" s="224"/>
      <c r="OSJ1" s="224"/>
      <c r="OSK1" s="224"/>
      <c r="OSL1" s="224"/>
      <c r="OSM1" s="224"/>
      <c r="OSN1" s="224"/>
      <c r="OSO1" s="224"/>
      <c r="OSP1" s="224"/>
      <c r="OSQ1" s="224"/>
      <c r="OSR1" s="224"/>
      <c r="OSS1" s="224"/>
      <c r="OST1" s="224"/>
      <c r="OSU1" s="224"/>
      <c r="OSV1" s="224"/>
      <c r="OSW1" s="224"/>
      <c r="OSX1" s="224"/>
      <c r="OSY1" s="224"/>
      <c r="OSZ1" s="224"/>
      <c r="OTA1" s="224"/>
      <c r="OTB1" s="224"/>
      <c r="OTC1" s="224"/>
      <c r="OTD1" s="224"/>
      <c r="OTE1" s="224"/>
      <c r="OTF1" s="224"/>
      <c r="OTG1" s="224"/>
      <c r="OTH1" s="224"/>
      <c r="OTI1" s="224"/>
      <c r="OTJ1" s="224"/>
      <c r="OTK1" s="224"/>
      <c r="OTL1" s="224"/>
      <c r="OTM1" s="224"/>
      <c r="OTN1" s="224"/>
      <c r="OTO1" s="224"/>
      <c r="OTP1" s="224"/>
      <c r="OTQ1" s="224"/>
      <c r="OTR1" s="224"/>
      <c r="OTS1" s="224"/>
      <c r="OTT1" s="224"/>
      <c r="OTU1" s="224"/>
      <c r="OTV1" s="224"/>
      <c r="OTW1" s="224"/>
      <c r="OTX1" s="224"/>
      <c r="OTY1" s="224"/>
      <c r="OTZ1" s="224"/>
      <c r="OUA1" s="224"/>
      <c r="OUB1" s="224"/>
      <c r="OUC1" s="224"/>
      <c r="OUD1" s="224"/>
      <c r="OUE1" s="224"/>
      <c r="OUF1" s="224"/>
      <c r="OUG1" s="224"/>
      <c r="OUH1" s="224"/>
      <c r="OUI1" s="224"/>
      <c r="OUJ1" s="224"/>
      <c r="OUK1" s="224"/>
      <c r="OUL1" s="224"/>
      <c r="OUM1" s="224"/>
      <c r="OUN1" s="224"/>
      <c r="OUO1" s="224"/>
      <c r="OUP1" s="224"/>
      <c r="OUQ1" s="224"/>
      <c r="OUR1" s="224"/>
      <c r="OUS1" s="224"/>
      <c r="OUT1" s="224"/>
      <c r="OUU1" s="224"/>
      <c r="OUV1" s="224"/>
      <c r="OUW1" s="224"/>
      <c r="OUX1" s="224"/>
      <c r="OUY1" s="224"/>
      <c r="OUZ1" s="224"/>
      <c r="OVA1" s="224"/>
      <c r="OVB1" s="224"/>
      <c r="OVC1" s="224"/>
      <c r="OVD1" s="224"/>
      <c r="OVE1" s="224"/>
      <c r="OVF1" s="224"/>
      <c r="OVG1" s="224"/>
      <c r="OVH1" s="224"/>
      <c r="OVI1" s="224"/>
      <c r="OVJ1" s="224"/>
      <c r="OVK1" s="224"/>
      <c r="OVL1" s="224"/>
      <c r="OVM1" s="224"/>
      <c r="OVN1" s="224"/>
      <c r="OVO1" s="224"/>
      <c r="OVP1" s="224"/>
      <c r="OVQ1" s="224"/>
      <c r="OVR1" s="224"/>
      <c r="OVS1" s="224"/>
      <c r="OVT1" s="224"/>
      <c r="OVU1" s="224"/>
      <c r="OVV1" s="224"/>
      <c r="OVW1" s="224"/>
      <c r="OVX1" s="224"/>
      <c r="OVY1" s="224"/>
      <c r="OVZ1" s="224"/>
      <c r="OWA1" s="224"/>
      <c r="OWB1" s="224"/>
      <c r="OWC1" s="224"/>
      <c r="OWD1" s="224"/>
      <c r="OWE1" s="224"/>
      <c r="OWF1" s="224"/>
      <c r="OWG1" s="224"/>
      <c r="OWH1" s="224"/>
      <c r="OWI1" s="224"/>
      <c r="OWJ1" s="224"/>
      <c r="OWK1" s="224"/>
      <c r="OWL1" s="224"/>
      <c r="OWM1" s="224"/>
      <c r="OWN1" s="224"/>
      <c r="OWO1" s="224"/>
      <c r="OWP1" s="224"/>
      <c r="OWQ1" s="224"/>
      <c r="OWR1" s="224"/>
      <c r="OWS1" s="224"/>
      <c r="OWT1" s="224"/>
      <c r="OWU1" s="224"/>
      <c r="OWV1" s="224"/>
      <c r="OWW1" s="224"/>
      <c r="OWX1" s="224"/>
      <c r="OWY1" s="224"/>
      <c r="OWZ1" s="224"/>
      <c r="OXA1" s="224"/>
      <c r="OXB1" s="224"/>
      <c r="OXC1" s="224"/>
      <c r="OXD1" s="224"/>
      <c r="OXE1" s="224"/>
      <c r="OXF1" s="224"/>
      <c r="OXG1" s="224"/>
      <c r="OXH1" s="224"/>
      <c r="OXI1" s="224"/>
      <c r="OXJ1" s="224"/>
      <c r="OXK1" s="224"/>
      <c r="OXL1" s="224"/>
      <c r="OXM1" s="224"/>
      <c r="OXN1" s="224"/>
      <c r="OXO1" s="224"/>
      <c r="OXP1" s="224"/>
      <c r="OXQ1" s="224"/>
      <c r="OXR1" s="224"/>
      <c r="OXS1" s="224"/>
      <c r="OXT1" s="224"/>
      <c r="OXU1" s="224"/>
      <c r="OXV1" s="224"/>
      <c r="OXW1" s="224"/>
      <c r="OXX1" s="224"/>
      <c r="OXY1" s="224"/>
      <c r="OXZ1" s="224"/>
      <c r="OYA1" s="224"/>
      <c r="OYB1" s="224"/>
      <c r="OYC1" s="224"/>
      <c r="OYD1" s="224"/>
      <c r="OYE1" s="224"/>
      <c r="OYF1" s="224"/>
      <c r="OYG1" s="224"/>
      <c r="OYH1" s="224"/>
      <c r="OYI1" s="224"/>
      <c r="OYJ1" s="224"/>
      <c r="OYK1" s="224"/>
      <c r="OYL1" s="224"/>
      <c r="OYM1" s="224"/>
      <c r="OYN1" s="224"/>
      <c r="OYO1" s="224"/>
      <c r="OYP1" s="224"/>
      <c r="OYQ1" s="224"/>
      <c r="OYR1" s="224"/>
      <c r="OYS1" s="224"/>
      <c r="OYT1" s="224"/>
      <c r="OYU1" s="224"/>
      <c r="OYV1" s="224"/>
      <c r="OYW1" s="224"/>
      <c r="OYX1" s="224"/>
      <c r="OYY1" s="224"/>
      <c r="OYZ1" s="224"/>
      <c r="OZA1" s="224"/>
      <c r="OZB1" s="224"/>
      <c r="OZC1" s="224"/>
      <c r="OZD1" s="224"/>
      <c r="OZE1" s="224"/>
      <c r="OZF1" s="224"/>
      <c r="OZG1" s="224"/>
      <c r="OZH1" s="224"/>
      <c r="OZI1" s="224"/>
      <c r="OZJ1" s="224"/>
      <c r="OZK1" s="224"/>
      <c r="OZL1" s="224"/>
      <c r="OZM1" s="224"/>
      <c r="OZN1" s="224"/>
      <c r="OZO1" s="224"/>
      <c r="OZP1" s="224"/>
      <c r="OZQ1" s="224"/>
      <c r="OZR1" s="224"/>
      <c r="OZS1" s="224"/>
      <c r="OZT1" s="224"/>
      <c r="OZU1" s="224"/>
      <c r="OZV1" s="224"/>
      <c r="OZW1" s="224"/>
      <c r="OZX1" s="224"/>
      <c r="OZY1" s="224"/>
      <c r="OZZ1" s="224"/>
      <c r="PAA1" s="224"/>
      <c r="PAB1" s="224"/>
      <c r="PAC1" s="224"/>
      <c r="PAD1" s="224"/>
      <c r="PAE1" s="224"/>
      <c r="PAF1" s="224"/>
      <c r="PAG1" s="224"/>
      <c r="PAH1" s="224"/>
      <c r="PAI1" s="224"/>
      <c r="PAJ1" s="224"/>
      <c r="PAK1" s="224"/>
      <c r="PAL1" s="224"/>
      <c r="PAM1" s="224"/>
      <c r="PAN1" s="224"/>
      <c r="PAO1" s="224"/>
      <c r="PAP1" s="224"/>
      <c r="PAQ1" s="224"/>
      <c r="PAR1" s="224"/>
      <c r="PAS1" s="224"/>
      <c r="PAT1" s="224"/>
      <c r="PAU1" s="224"/>
      <c r="PAV1" s="224"/>
      <c r="PAW1" s="224"/>
      <c r="PAX1" s="224"/>
      <c r="PAY1" s="224"/>
      <c r="PAZ1" s="224"/>
      <c r="PBA1" s="224"/>
      <c r="PBB1" s="224"/>
      <c r="PBC1" s="224"/>
      <c r="PBD1" s="224"/>
      <c r="PBE1" s="224"/>
      <c r="PBF1" s="224"/>
      <c r="PBG1" s="224"/>
      <c r="PBH1" s="224"/>
      <c r="PBI1" s="224"/>
      <c r="PBJ1" s="224"/>
      <c r="PBK1" s="224"/>
      <c r="PBL1" s="224"/>
      <c r="PBM1" s="224"/>
      <c r="PBN1" s="224"/>
      <c r="PBO1" s="224"/>
      <c r="PBP1" s="224"/>
      <c r="PBQ1" s="224"/>
      <c r="PBR1" s="224"/>
      <c r="PBS1" s="224"/>
      <c r="PBT1" s="224"/>
      <c r="PBU1" s="224"/>
      <c r="PBV1" s="224"/>
      <c r="PBW1" s="224"/>
      <c r="PBX1" s="224"/>
      <c r="PBY1" s="224"/>
      <c r="PBZ1" s="224"/>
      <c r="PCA1" s="224"/>
      <c r="PCB1" s="224"/>
      <c r="PCC1" s="224"/>
      <c r="PCD1" s="224"/>
      <c r="PCE1" s="224"/>
      <c r="PCF1" s="224"/>
      <c r="PCG1" s="224"/>
      <c r="PCH1" s="224"/>
      <c r="PCI1" s="224"/>
      <c r="PCJ1" s="224"/>
      <c r="PCK1" s="224"/>
      <c r="PCL1" s="224"/>
      <c r="PCM1" s="224"/>
      <c r="PCN1" s="224"/>
      <c r="PCO1" s="224"/>
      <c r="PCP1" s="224"/>
      <c r="PCQ1" s="224"/>
      <c r="PCR1" s="224"/>
      <c r="PCS1" s="224"/>
      <c r="PCT1" s="224"/>
      <c r="PCU1" s="224"/>
      <c r="PCV1" s="224"/>
      <c r="PCW1" s="224"/>
      <c r="PCX1" s="224"/>
      <c r="PCY1" s="224"/>
      <c r="PCZ1" s="224"/>
      <c r="PDA1" s="224"/>
      <c r="PDB1" s="224"/>
      <c r="PDC1" s="224"/>
      <c r="PDD1" s="224"/>
      <c r="PDE1" s="224"/>
      <c r="PDF1" s="224"/>
      <c r="PDG1" s="224"/>
      <c r="PDH1" s="224"/>
      <c r="PDI1" s="224"/>
      <c r="PDJ1" s="224"/>
      <c r="PDK1" s="224"/>
      <c r="PDL1" s="224"/>
      <c r="PDM1" s="224"/>
      <c r="PDN1" s="224"/>
      <c r="PDO1" s="224"/>
      <c r="PDP1" s="224"/>
      <c r="PDQ1" s="224"/>
      <c r="PDR1" s="224"/>
      <c r="PDS1" s="224"/>
      <c r="PDT1" s="224"/>
      <c r="PDU1" s="224"/>
      <c r="PDV1" s="224"/>
      <c r="PDW1" s="224"/>
      <c r="PDX1" s="224"/>
      <c r="PDY1" s="224"/>
      <c r="PDZ1" s="224"/>
      <c r="PEA1" s="224"/>
      <c r="PEB1" s="224"/>
      <c r="PEC1" s="224"/>
      <c r="PED1" s="224"/>
      <c r="PEE1" s="224"/>
      <c r="PEF1" s="224"/>
      <c r="PEG1" s="224"/>
      <c r="PEH1" s="224"/>
      <c r="PEI1" s="224"/>
      <c r="PEJ1" s="224"/>
      <c r="PEK1" s="224"/>
      <c r="PEL1" s="224"/>
      <c r="PEM1" s="224"/>
      <c r="PEN1" s="224"/>
      <c r="PEO1" s="224"/>
      <c r="PEP1" s="224"/>
      <c r="PEQ1" s="224"/>
      <c r="PER1" s="224"/>
      <c r="PES1" s="224"/>
      <c r="PET1" s="224"/>
      <c r="PEU1" s="224"/>
      <c r="PEV1" s="224"/>
      <c r="PEW1" s="224"/>
      <c r="PEX1" s="224"/>
      <c r="PEY1" s="224"/>
      <c r="PEZ1" s="224"/>
      <c r="PFA1" s="224"/>
      <c r="PFB1" s="224"/>
      <c r="PFC1" s="224"/>
      <c r="PFD1" s="224"/>
      <c r="PFE1" s="224"/>
      <c r="PFF1" s="224"/>
      <c r="PFG1" s="224"/>
      <c r="PFH1" s="224"/>
      <c r="PFI1" s="224"/>
      <c r="PFJ1" s="224"/>
      <c r="PFK1" s="224"/>
      <c r="PFL1" s="224"/>
      <c r="PFM1" s="224"/>
      <c r="PFN1" s="224"/>
      <c r="PFO1" s="224"/>
      <c r="PFP1" s="224"/>
      <c r="PFQ1" s="224"/>
      <c r="PFR1" s="224"/>
      <c r="PFS1" s="224"/>
      <c r="PFT1" s="224"/>
      <c r="PFU1" s="224"/>
      <c r="PFV1" s="224"/>
      <c r="PFW1" s="224"/>
      <c r="PFX1" s="224"/>
      <c r="PFY1" s="224"/>
      <c r="PFZ1" s="224"/>
      <c r="PGA1" s="224"/>
      <c r="PGB1" s="224"/>
      <c r="PGC1" s="224"/>
      <c r="PGD1" s="224"/>
      <c r="PGE1" s="224"/>
      <c r="PGF1" s="224"/>
      <c r="PGG1" s="224"/>
      <c r="PGH1" s="224"/>
      <c r="PGI1" s="224"/>
      <c r="PGJ1" s="224"/>
      <c r="PGK1" s="224"/>
      <c r="PGL1" s="224"/>
      <c r="PGM1" s="224"/>
      <c r="PGN1" s="224"/>
      <c r="PGO1" s="224"/>
      <c r="PGP1" s="224"/>
      <c r="PGQ1" s="224"/>
      <c r="PGR1" s="224"/>
      <c r="PGS1" s="224"/>
      <c r="PGT1" s="224"/>
      <c r="PGU1" s="224"/>
      <c r="PGV1" s="224"/>
      <c r="PGW1" s="224"/>
      <c r="PGX1" s="224"/>
      <c r="PGY1" s="224"/>
      <c r="PGZ1" s="224"/>
      <c r="PHA1" s="224"/>
      <c r="PHB1" s="224"/>
      <c r="PHC1" s="224"/>
      <c r="PHD1" s="224"/>
      <c r="PHE1" s="224"/>
      <c r="PHF1" s="224"/>
      <c r="PHG1" s="224"/>
      <c r="PHH1" s="224"/>
      <c r="PHI1" s="224"/>
      <c r="PHJ1" s="224"/>
      <c r="PHK1" s="224"/>
      <c r="PHL1" s="224"/>
      <c r="PHM1" s="224"/>
      <c r="PHN1" s="224"/>
      <c r="PHO1" s="224"/>
      <c r="PHP1" s="224"/>
      <c r="PHQ1" s="224"/>
      <c r="PHR1" s="224"/>
      <c r="PHS1" s="224"/>
      <c r="PHT1" s="224"/>
      <c r="PHU1" s="224"/>
      <c r="PHV1" s="224"/>
      <c r="PHW1" s="224"/>
      <c r="PHX1" s="224"/>
      <c r="PHY1" s="224"/>
      <c r="PHZ1" s="224"/>
      <c r="PIA1" s="224"/>
      <c r="PIB1" s="224"/>
      <c r="PIC1" s="224"/>
      <c r="PID1" s="224"/>
      <c r="PIE1" s="224"/>
      <c r="PIF1" s="224"/>
      <c r="PIG1" s="224"/>
      <c r="PIH1" s="224"/>
      <c r="PII1" s="224"/>
      <c r="PIJ1" s="224"/>
      <c r="PIK1" s="224"/>
      <c r="PIL1" s="224"/>
      <c r="PIM1" s="224"/>
      <c r="PIN1" s="224"/>
      <c r="PIO1" s="224"/>
      <c r="PIP1" s="224"/>
      <c r="PIQ1" s="224"/>
      <c r="PIR1" s="224"/>
      <c r="PIS1" s="224"/>
      <c r="PIT1" s="224"/>
      <c r="PIU1" s="224"/>
      <c r="PIV1" s="224"/>
      <c r="PIW1" s="224"/>
      <c r="PIX1" s="224"/>
      <c r="PIY1" s="224"/>
      <c r="PIZ1" s="224"/>
      <c r="PJA1" s="224"/>
      <c r="PJB1" s="224"/>
      <c r="PJC1" s="224"/>
      <c r="PJD1" s="224"/>
      <c r="PJE1" s="224"/>
      <c r="PJF1" s="224"/>
      <c r="PJG1" s="224"/>
      <c r="PJH1" s="224"/>
      <c r="PJI1" s="224"/>
      <c r="PJJ1" s="224"/>
      <c r="PJK1" s="224"/>
      <c r="PJL1" s="224"/>
      <c r="PJM1" s="224"/>
      <c r="PJN1" s="224"/>
      <c r="PJO1" s="224"/>
      <c r="PJP1" s="224"/>
      <c r="PJQ1" s="224"/>
      <c r="PJR1" s="224"/>
      <c r="PJS1" s="224"/>
      <c r="PJT1" s="224"/>
      <c r="PJU1" s="224"/>
      <c r="PJV1" s="224"/>
      <c r="PJW1" s="224"/>
      <c r="PJX1" s="224"/>
      <c r="PJY1" s="224"/>
      <c r="PJZ1" s="224"/>
      <c r="PKA1" s="224"/>
      <c r="PKB1" s="224"/>
      <c r="PKC1" s="224"/>
      <c r="PKD1" s="224"/>
      <c r="PKE1" s="224"/>
      <c r="PKF1" s="224"/>
      <c r="PKG1" s="224"/>
      <c r="PKH1" s="224"/>
      <c r="PKI1" s="224"/>
      <c r="PKJ1" s="224"/>
      <c r="PKK1" s="224"/>
      <c r="PKL1" s="224"/>
      <c r="PKM1" s="224"/>
      <c r="PKN1" s="224"/>
      <c r="PKO1" s="224"/>
      <c r="PKP1" s="224"/>
      <c r="PKQ1" s="224"/>
      <c r="PKR1" s="224"/>
      <c r="PKS1" s="224"/>
      <c r="PKT1" s="224"/>
      <c r="PKU1" s="224"/>
      <c r="PKV1" s="224"/>
      <c r="PKW1" s="224"/>
      <c r="PKX1" s="224"/>
      <c r="PKY1" s="224"/>
      <c r="PKZ1" s="224"/>
      <c r="PLA1" s="224"/>
      <c r="PLB1" s="224"/>
      <c r="PLC1" s="224"/>
      <c r="PLD1" s="224"/>
      <c r="PLE1" s="224"/>
      <c r="PLF1" s="224"/>
      <c r="PLG1" s="224"/>
      <c r="PLH1" s="224"/>
      <c r="PLI1" s="224"/>
      <c r="PLJ1" s="224"/>
      <c r="PLK1" s="224"/>
      <c r="PLL1" s="224"/>
      <c r="PLM1" s="224"/>
      <c r="PLN1" s="224"/>
      <c r="PLO1" s="224"/>
      <c r="PLP1" s="224"/>
      <c r="PLQ1" s="224"/>
      <c r="PLR1" s="224"/>
      <c r="PLS1" s="224"/>
      <c r="PLT1" s="224"/>
      <c r="PLU1" s="224"/>
      <c r="PLV1" s="224"/>
      <c r="PLW1" s="224"/>
      <c r="PLX1" s="224"/>
      <c r="PLY1" s="224"/>
      <c r="PLZ1" s="224"/>
      <c r="PMA1" s="224"/>
      <c r="PMB1" s="224"/>
      <c r="PMC1" s="224"/>
      <c r="PMD1" s="224"/>
      <c r="PME1" s="224"/>
      <c r="PMF1" s="224"/>
      <c r="PMG1" s="224"/>
      <c r="PMH1" s="224"/>
      <c r="PMI1" s="224"/>
      <c r="PMJ1" s="224"/>
      <c r="PMK1" s="224"/>
      <c r="PML1" s="224"/>
      <c r="PMM1" s="224"/>
      <c r="PMN1" s="224"/>
      <c r="PMO1" s="224"/>
      <c r="PMP1" s="224"/>
      <c r="PMQ1" s="224"/>
      <c r="PMR1" s="224"/>
      <c r="PMS1" s="224"/>
      <c r="PMT1" s="224"/>
      <c r="PMU1" s="224"/>
      <c r="PMV1" s="224"/>
      <c r="PMW1" s="224"/>
      <c r="PMX1" s="224"/>
      <c r="PMY1" s="224"/>
      <c r="PMZ1" s="224"/>
      <c r="PNA1" s="224"/>
      <c r="PNB1" s="224"/>
      <c r="PNC1" s="224"/>
      <c r="PND1" s="224"/>
      <c r="PNE1" s="224"/>
      <c r="PNF1" s="224"/>
      <c r="PNG1" s="224"/>
      <c r="PNH1" s="224"/>
      <c r="PNI1" s="224"/>
      <c r="PNJ1" s="224"/>
      <c r="PNK1" s="224"/>
      <c r="PNL1" s="224"/>
      <c r="PNM1" s="224"/>
      <c r="PNN1" s="224"/>
      <c r="PNO1" s="224"/>
      <c r="PNP1" s="224"/>
      <c r="PNQ1" s="224"/>
      <c r="PNR1" s="224"/>
      <c r="PNS1" s="224"/>
      <c r="PNT1" s="224"/>
      <c r="PNU1" s="224"/>
      <c r="PNV1" s="224"/>
      <c r="PNW1" s="224"/>
      <c r="PNX1" s="224"/>
      <c r="PNY1" s="224"/>
      <c r="PNZ1" s="224"/>
      <c r="POA1" s="224"/>
      <c r="POB1" s="224"/>
      <c r="POC1" s="224"/>
      <c r="POD1" s="224"/>
      <c r="POE1" s="224"/>
      <c r="POF1" s="224"/>
      <c r="POG1" s="224"/>
      <c r="POH1" s="224"/>
      <c r="POI1" s="224"/>
      <c r="POJ1" s="224"/>
      <c r="POK1" s="224"/>
      <c r="POL1" s="224"/>
      <c r="POM1" s="224"/>
      <c r="PON1" s="224"/>
      <c r="POO1" s="224"/>
      <c r="POP1" s="224"/>
      <c r="POQ1" s="224"/>
      <c r="POR1" s="224"/>
      <c r="POS1" s="224"/>
      <c r="POT1" s="224"/>
      <c r="POU1" s="224"/>
      <c r="POV1" s="224"/>
      <c r="POW1" s="224"/>
      <c r="POX1" s="224"/>
      <c r="POY1" s="224"/>
      <c r="POZ1" s="224"/>
      <c r="PPA1" s="224"/>
      <c r="PPB1" s="224"/>
      <c r="PPC1" s="224"/>
      <c r="PPD1" s="224"/>
      <c r="PPE1" s="224"/>
      <c r="PPF1" s="224"/>
      <c r="PPG1" s="224"/>
      <c r="PPH1" s="224"/>
      <c r="PPI1" s="224"/>
      <c r="PPJ1" s="224"/>
      <c r="PPK1" s="224"/>
      <c r="PPL1" s="224"/>
      <c r="PPM1" s="224"/>
      <c r="PPN1" s="224"/>
      <c r="PPO1" s="224"/>
      <c r="PPP1" s="224"/>
      <c r="PPQ1" s="224"/>
      <c r="PPR1" s="224"/>
      <c r="PPS1" s="224"/>
      <c r="PPT1" s="224"/>
      <c r="PPU1" s="224"/>
      <c r="PPV1" s="224"/>
      <c r="PPW1" s="224"/>
      <c r="PPX1" s="224"/>
      <c r="PPY1" s="224"/>
      <c r="PPZ1" s="224"/>
      <c r="PQA1" s="224"/>
      <c r="PQB1" s="224"/>
      <c r="PQC1" s="224"/>
      <c r="PQD1" s="224"/>
      <c r="PQE1" s="224"/>
      <c r="PQF1" s="224"/>
      <c r="PQG1" s="224"/>
      <c r="PQH1" s="224"/>
      <c r="PQI1" s="224"/>
      <c r="PQJ1" s="224"/>
      <c r="PQK1" s="224"/>
      <c r="PQL1" s="224"/>
      <c r="PQM1" s="224"/>
      <c r="PQN1" s="224"/>
      <c r="PQO1" s="224"/>
      <c r="PQP1" s="224"/>
      <c r="PQQ1" s="224"/>
      <c r="PQR1" s="224"/>
      <c r="PQS1" s="224"/>
      <c r="PQT1" s="224"/>
      <c r="PQU1" s="224"/>
      <c r="PQV1" s="224"/>
      <c r="PQW1" s="224"/>
      <c r="PQX1" s="224"/>
      <c r="PQY1" s="224"/>
      <c r="PQZ1" s="224"/>
      <c r="PRA1" s="224"/>
      <c r="PRB1" s="224"/>
      <c r="PRC1" s="224"/>
      <c r="PRD1" s="224"/>
      <c r="PRE1" s="224"/>
      <c r="PRF1" s="224"/>
      <c r="PRG1" s="224"/>
      <c r="PRH1" s="224"/>
      <c r="PRI1" s="224"/>
      <c r="PRJ1" s="224"/>
      <c r="PRK1" s="224"/>
      <c r="PRL1" s="224"/>
      <c r="PRM1" s="224"/>
      <c r="PRN1" s="224"/>
      <c r="PRO1" s="224"/>
      <c r="PRP1" s="224"/>
      <c r="PRQ1" s="224"/>
      <c r="PRR1" s="224"/>
      <c r="PRS1" s="224"/>
      <c r="PRT1" s="224"/>
      <c r="PRU1" s="224"/>
      <c r="PRV1" s="224"/>
      <c r="PRW1" s="224"/>
      <c r="PRX1" s="224"/>
      <c r="PRY1" s="224"/>
      <c r="PRZ1" s="224"/>
      <c r="PSA1" s="224"/>
      <c r="PSB1" s="224"/>
      <c r="PSC1" s="224"/>
      <c r="PSD1" s="224"/>
      <c r="PSE1" s="224"/>
      <c r="PSF1" s="224"/>
      <c r="PSG1" s="224"/>
      <c r="PSH1" s="224"/>
      <c r="PSI1" s="224"/>
      <c r="PSJ1" s="224"/>
      <c r="PSK1" s="224"/>
      <c r="PSL1" s="224"/>
      <c r="PSM1" s="224"/>
      <c r="PSN1" s="224"/>
      <c r="PSO1" s="224"/>
      <c r="PSP1" s="224"/>
      <c r="PSQ1" s="224"/>
      <c r="PSR1" s="224"/>
      <c r="PSS1" s="224"/>
      <c r="PST1" s="224"/>
      <c r="PSU1" s="224"/>
      <c r="PSV1" s="224"/>
      <c r="PSW1" s="224"/>
      <c r="PSX1" s="224"/>
      <c r="PSY1" s="224"/>
      <c r="PSZ1" s="224"/>
      <c r="PTA1" s="224"/>
      <c r="PTB1" s="224"/>
      <c r="PTC1" s="224"/>
      <c r="PTD1" s="224"/>
      <c r="PTE1" s="224"/>
      <c r="PTF1" s="224"/>
      <c r="PTG1" s="224"/>
      <c r="PTH1" s="224"/>
      <c r="PTI1" s="224"/>
      <c r="PTJ1" s="224"/>
      <c r="PTK1" s="224"/>
      <c r="PTL1" s="224"/>
      <c r="PTM1" s="224"/>
      <c r="PTN1" s="224"/>
      <c r="PTO1" s="224"/>
      <c r="PTP1" s="224"/>
      <c r="PTQ1" s="224"/>
      <c r="PTR1" s="224"/>
      <c r="PTS1" s="224"/>
      <c r="PTT1" s="224"/>
      <c r="PTU1" s="224"/>
      <c r="PTV1" s="224"/>
      <c r="PTW1" s="224"/>
      <c r="PTX1" s="224"/>
      <c r="PTY1" s="224"/>
      <c r="PTZ1" s="224"/>
      <c r="PUA1" s="224"/>
      <c r="PUB1" s="224"/>
      <c r="PUC1" s="224"/>
      <c r="PUD1" s="224"/>
      <c r="PUE1" s="224"/>
      <c r="PUF1" s="224"/>
      <c r="PUG1" s="224"/>
      <c r="PUH1" s="224"/>
      <c r="PUI1" s="224"/>
      <c r="PUJ1" s="224"/>
      <c r="PUK1" s="224"/>
      <c r="PUL1" s="224"/>
      <c r="PUM1" s="224"/>
      <c r="PUN1" s="224"/>
      <c r="PUO1" s="224"/>
      <c r="PUP1" s="224"/>
      <c r="PUQ1" s="224"/>
      <c r="PUR1" s="224"/>
      <c r="PUS1" s="224"/>
      <c r="PUT1" s="224"/>
      <c r="PUU1" s="224"/>
      <c r="PUV1" s="224"/>
      <c r="PUW1" s="224"/>
      <c r="PUX1" s="224"/>
      <c r="PUY1" s="224"/>
      <c r="PUZ1" s="224"/>
      <c r="PVA1" s="224"/>
      <c r="PVB1" s="224"/>
      <c r="PVC1" s="224"/>
      <c r="PVD1" s="224"/>
      <c r="PVE1" s="224"/>
      <c r="PVF1" s="224"/>
      <c r="PVG1" s="224"/>
      <c r="PVH1" s="224"/>
      <c r="PVI1" s="224"/>
      <c r="PVJ1" s="224"/>
      <c r="PVK1" s="224"/>
      <c r="PVL1" s="224"/>
      <c r="PVM1" s="224"/>
      <c r="PVN1" s="224"/>
      <c r="PVO1" s="224"/>
      <c r="PVP1" s="224"/>
      <c r="PVQ1" s="224"/>
      <c r="PVR1" s="224"/>
      <c r="PVS1" s="224"/>
      <c r="PVT1" s="224"/>
      <c r="PVU1" s="224"/>
      <c r="PVV1" s="224"/>
      <c r="PVW1" s="224"/>
      <c r="PVX1" s="224"/>
      <c r="PVY1" s="224"/>
      <c r="PVZ1" s="224"/>
      <c r="PWA1" s="224"/>
      <c r="PWB1" s="224"/>
      <c r="PWC1" s="224"/>
      <c r="PWD1" s="224"/>
      <c r="PWE1" s="224"/>
      <c r="PWF1" s="224"/>
      <c r="PWG1" s="224"/>
      <c r="PWH1" s="224"/>
      <c r="PWI1" s="224"/>
      <c r="PWJ1" s="224"/>
      <c r="PWK1" s="224"/>
      <c r="PWL1" s="224"/>
      <c r="PWM1" s="224"/>
      <c r="PWN1" s="224"/>
      <c r="PWO1" s="224"/>
      <c r="PWP1" s="224"/>
      <c r="PWQ1" s="224"/>
      <c r="PWR1" s="224"/>
      <c r="PWS1" s="224"/>
      <c r="PWT1" s="224"/>
      <c r="PWU1" s="224"/>
      <c r="PWV1" s="224"/>
      <c r="PWW1" s="224"/>
      <c r="PWX1" s="224"/>
      <c r="PWY1" s="224"/>
      <c r="PWZ1" s="224"/>
      <c r="PXA1" s="224"/>
      <c r="PXB1" s="224"/>
      <c r="PXC1" s="224"/>
      <c r="PXD1" s="224"/>
      <c r="PXE1" s="224"/>
      <c r="PXF1" s="224"/>
      <c r="PXG1" s="224"/>
      <c r="PXH1" s="224"/>
      <c r="PXI1" s="224"/>
      <c r="PXJ1" s="224"/>
      <c r="PXK1" s="224"/>
      <c r="PXL1" s="224"/>
      <c r="PXM1" s="224"/>
      <c r="PXN1" s="224"/>
      <c r="PXO1" s="224"/>
      <c r="PXP1" s="224"/>
      <c r="PXQ1" s="224"/>
      <c r="PXR1" s="224"/>
      <c r="PXS1" s="224"/>
      <c r="PXT1" s="224"/>
      <c r="PXU1" s="224"/>
      <c r="PXV1" s="224"/>
      <c r="PXW1" s="224"/>
      <c r="PXX1" s="224"/>
      <c r="PXY1" s="224"/>
      <c r="PXZ1" s="224"/>
      <c r="PYA1" s="224"/>
      <c r="PYB1" s="224"/>
      <c r="PYC1" s="224"/>
      <c r="PYD1" s="224"/>
      <c r="PYE1" s="224"/>
      <c r="PYF1" s="224"/>
      <c r="PYG1" s="224"/>
      <c r="PYH1" s="224"/>
      <c r="PYI1" s="224"/>
      <c r="PYJ1" s="224"/>
      <c r="PYK1" s="224"/>
      <c r="PYL1" s="224"/>
      <c r="PYM1" s="224"/>
      <c r="PYN1" s="224"/>
      <c r="PYO1" s="224"/>
      <c r="PYP1" s="224"/>
      <c r="PYQ1" s="224"/>
      <c r="PYR1" s="224"/>
      <c r="PYS1" s="224"/>
      <c r="PYT1" s="224"/>
      <c r="PYU1" s="224"/>
      <c r="PYV1" s="224"/>
      <c r="PYW1" s="224"/>
      <c r="PYX1" s="224"/>
      <c r="PYY1" s="224"/>
      <c r="PYZ1" s="224"/>
      <c r="PZA1" s="224"/>
      <c r="PZB1" s="224"/>
      <c r="PZC1" s="224"/>
      <c r="PZD1" s="224"/>
      <c r="PZE1" s="224"/>
      <c r="PZF1" s="224"/>
      <c r="PZG1" s="224"/>
      <c r="PZH1" s="224"/>
      <c r="PZI1" s="224"/>
      <c r="PZJ1" s="224"/>
      <c r="PZK1" s="224"/>
      <c r="PZL1" s="224"/>
      <c r="PZM1" s="224"/>
      <c r="PZN1" s="224"/>
      <c r="PZO1" s="224"/>
      <c r="PZP1" s="224"/>
      <c r="PZQ1" s="224"/>
      <c r="PZR1" s="224"/>
      <c r="PZS1" s="224"/>
      <c r="PZT1" s="224"/>
      <c r="PZU1" s="224"/>
      <c r="PZV1" s="224"/>
      <c r="PZW1" s="224"/>
      <c r="PZX1" s="224"/>
      <c r="PZY1" s="224"/>
      <c r="PZZ1" s="224"/>
      <c r="QAA1" s="224"/>
      <c r="QAB1" s="224"/>
      <c r="QAC1" s="224"/>
      <c r="QAD1" s="224"/>
      <c r="QAE1" s="224"/>
      <c r="QAF1" s="224"/>
      <c r="QAG1" s="224"/>
      <c r="QAH1" s="224"/>
      <c r="QAI1" s="224"/>
      <c r="QAJ1" s="224"/>
      <c r="QAK1" s="224"/>
      <c r="QAL1" s="224"/>
      <c r="QAM1" s="224"/>
      <c r="QAN1" s="224"/>
      <c r="QAO1" s="224"/>
      <c r="QAP1" s="224"/>
      <c r="QAQ1" s="224"/>
      <c r="QAR1" s="224"/>
      <c r="QAS1" s="224"/>
      <c r="QAT1" s="224"/>
      <c r="QAU1" s="224"/>
      <c r="QAV1" s="224"/>
      <c r="QAW1" s="224"/>
      <c r="QAX1" s="224"/>
      <c r="QAY1" s="224"/>
      <c r="QAZ1" s="224"/>
      <c r="QBA1" s="224"/>
      <c r="QBB1" s="224"/>
      <c r="QBC1" s="224"/>
      <c r="QBD1" s="224"/>
      <c r="QBE1" s="224"/>
      <c r="QBF1" s="224"/>
      <c r="QBG1" s="224"/>
      <c r="QBH1" s="224"/>
      <c r="QBI1" s="224"/>
      <c r="QBJ1" s="224"/>
      <c r="QBK1" s="224"/>
      <c r="QBL1" s="224"/>
      <c r="QBM1" s="224"/>
      <c r="QBN1" s="224"/>
      <c r="QBO1" s="224"/>
      <c r="QBP1" s="224"/>
      <c r="QBQ1" s="224"/>
      <c r="QBR1" s="224"/>
      <c r="QBS1" s="224"/>
      <c r="QBT1" s="224"/>
      <c r="QBU1" s="224"/>
      <c r="QBV1" s="224"/>
      <c r="QBW1" s="224"/>
      <c r="QBX1" s="224"/>
      <c r="QBY1" s="224"/>
      <c r="QBZ1" s="224"/>
      <c r="QCA1" s="224"/>
      <c r="QCB1" s="224"/>
      <c r="QCC1" s="224"/>
      <c r="QCD1" s="224"/>
      <c r="QCE1" s="224"/>
      <c r="QCF1" s="224"/>
      <c r="QCG1" s="224"/>
      <c r="QCH1" s="224"/>
      <c r="QCI1" s="224"/>
      <c r="QCJ1" s="224"/>
      <c r="QCK1" s="224"/>
      <c r="QCL1" s="224"/>
      <c r="QCM1" s="224"/>
      <c r="QCN1" s="224"/>
      <c r="QCO1" s="224"/>
      <c r="QCP1" s="224"/>
      <c r="QCQ1" s="224"/>
      <c r="QCR1" s="224"/>
      <c r="QCS1" s="224"/>
      <c r="QCT1" s="224"/>
      <c r="QCU1" s="224"/>
      <c r="QCV1" s="224"/>
      <c r="QCW1" s="224"/>
      <c r="QCX1" s="224"/>
      <c r="QCY1" s="224"/>
      <c r="QCZ1" s="224"/>
      <c r="QDA1" s="224"/>
      <c r="QDB1" s="224"/>
      <c r="QDC1" s="224"/>
      <c r="QDD1" s="224"/>
      <c r="QDE1" s="224"/>
      <c r="QDF1" s="224"/>
      <c r="QDG1" s="224"/>
      <c r="QDH1" s="224"/>
      <c r="QDI1" s="224"/>
      <c r="QDJ1" s="224"/>
      <c r="QDK1" s="224"/>
      <c r="QDL1" s="224"/>
      <c r="QDM1" s="224"/>
      <c r="QDN1" s="224"/>
      <c r="QDO1" s="224"/>
      <c r="QDP1" s="224"/>
      <c r="QDQ1" s="224"/>
      <c r="QDR1" s="224"/>
      <c r="QDS1" s="224"/>
      <c r="QDT1" s="224"/>
      <c r="QDU1" s="224"/>
      <c r="QDV1" s="224"/>
      <c r="QDW1" s="224"/>
      <c r="QDX1" s="224"/>
      <c r="QDY1" s="224"/>
      <c r="QDZ1" s="224"/>
      <c r="QEA1" s="224"/>
      <c r="QEB1" s="224"/>
      <c r="QEC1" s="224"/>
      <c r="QED1" s="224"/>
      <c r="QEE1" s="224"/>
      <c r="QEF1" s="224"/>
      <c r="QEG1" s="224"/>
      <c r="QEH1" s="224"/>
      <c r="QEI1" s="224"/>
      <c r="QEJ1" s="224"/>
      <c r="QEK1" s="224"/>
      <c r="QEL1" s="224"/>
      <c r="QEM1" s="224"/>
      <c r="QEN1" s="224"/>
      <c r="QEO1" s="224"/>
      <c r="QEP1" s="224"/>
      <c r="QEQ1" s="224"/>
      <c r="QER1" s="224"/>
      <c r="QES1" s="224"/>
      <c r="QET1" s="224"/>
      <c r="QEU1" s="224"/>
      <c r="QEV1" s="224"/>
      <c r="QEW1" s="224"/>
      <c r="QEX1" s="224"/>
      <c r="QEY1" s="224"/>
      <c r="QEZ1" s="224"/>
      <c r="QFA1" s="224"/>
      <c r="QFB1" s="224"/>
      <c r="QFC1" s="224"/>
      <c r="QFD1" s="224"/>
      <c r="QFE1" s="224"/>
      <c r="QFF1" s="224"/>
      <c r="QFG1" s="224"/>
      <c r="QFH1" s="224"/>
      <c r="QFI1" s="224"/>
      <c r="QFJ1" s="224"/>
      <c r="QFK1" s="224"/>
      <c r="QFL1" s="224"/>
      <c r="QFM1" s="224"/>
      <c r="QFN1" s="224"/>
      <c r="QFO1" s="224"/>
      <c r="QFP1" s="224"/>
      <c r="QFQ1" s="224"/>
      <c r="QFR1" s="224"/>
      <c r="QFS1" s="224"/>
      <c r="QFT1" s="224"/>
      <c r="QFU1" s="224"/>
      <c r="QFV1" s="224"/>
      <c r="QFW1" s="224"/>
      <c r="QFX1" s="224"/>
      <c r="QFY1" s="224"/>
      <c r="QFZ1" s="224"/>
      <c r="QGA1" s="224"/>
      <c r="QGB1" s="224"/>
      <c r="QGC1" s="224"/>
      <c r="QGD1" s="224"/>
      <c r="QGE1" s="224"/>
      <c r="QGF1" s="224"/>
      <c r="QGG1" s="224"/>
      <c r="QGH1" s="224"/>
      <c r="QGI1" s="224"/>
      <c r="QGJ1" s="224"/>
      <c r="QGK1" s="224"/>
      <c r="QGL1" s="224"/>
      <c r="QGM1" s="224"/>
      <c r="QGN1" s="224"/>
      <c r="QGO1" s="224"/>
      <c r="QGP1" s="224"/>
      <c r="QGQ1" s="224"/>
      <c r="QGR1" s="224"/>
      <c r="QGS1" s="224"/>
      <c r="QGT1" s="224"/>
      <c r="QGU1" s="224"/>
      <c r="QGV1" s="224"/>
      <c r="QGW1" s="224"/>
      <c r="QGX1" s="224"/>
      <c r="QGY1" s="224"/>
      <c r="QGZ1" s="224"/>
      <c r="QHA1" s="224"/>
      <c r="QHB1" s="224"/>
      <c r="QHC1" s="224"/>
      <c r="QHD1" s="224"/>
      <c r="QHE1" s="224"/>
      <c r="QHF1" s="224"/>
      <c r="QHG1" s="224"/>
      <c r="QHH1" s="224"/>
      <c r="QHI1" s="224"/>
      <c r="QHJ1" s="224"/>
      <c r="QHK1" s="224"/>
      <c r="QHL1" s="224"/>
      <c r="QHM1" s="224"/>
      <c r="QHN1" s="224"/>
      <c r="QHO1" s="224"/>
      <c r="QHP1" s="224"/>
      <c r="QHQ1" s="224"/>
      <c r="QHR1" s="224"/>
      <c r="QHS1" s="224"/>
      <c r="QHT1" s="224"/>
      <c r="QHU1" s="224"/>
      <c r="QHV1" s="224"/>
      <c r="QHW1" s="224"/>
      <c r="QHX1" s="224"/>
      <c r="QHY1" s="224"/>
      <c r="QHZ1" s="224"/>
      <c r="QIA1" s="224"/>
      <c r="QIB1" s="224"/>
      <c r="QIC1" s="224"/>
      <c r="QID1" s="224"/>
      <c r="QIE1" s="224"/>
      <c r="QIF1" s="224"/>
      <c r="QIG1" s="224"/>
      <c r="QIH1" s="224"/>
      <c r="QII1" s="224"/>
      <c r="QIJ1" s="224"/>
      <c r="QIK1" s="224"/>
      <c r="QIL1" s="224"/>
      <c r="QIM1" s="224"/>
      <c r="QIN1" s="224"/>
      <c r="QIO1" s="224"/>
      <c r="QIP1" s="224"/>
      <c r="QIQ1" s="224"/>
      <c r="QIR1" s="224"/>
      <c r="QIS1" s="224"/>
      <c r="QIT1" s="224"/>
      <c r="QIU1" s="224"/>
      <c r="QIV1" s="224"/>
      <c r="QIW1" s="224"/>
      <c r="QIX1" s="224"/>
      <c r="QIY1" s="224"/>
      <c r="QIZ1" s="224"/>
      <c r="QJA1" s="224"/>
      <c r="QJB1" s="224"/>
      <c r="QJC1" s="224"/>
      <c r="QJD1" s="224"/>
      <c r="QJE1" s="224"/>
      <c r="QJF1" s="224"/>
      <c r="QJG1" s="224"/>
      <c r="QJH1" s="224"/>
      <c r="QJI1" s="224"/>
      <c r="QJJ1" s="224"/>
      <c r="QJK1" s="224"/>
      <c r="QJL1" s="224"/>
      <c r="QJM1" s="224"/>
      <c r="QJN1" s="224"/>
      <c r="QJO1" s="224"/>
      <c r="QJP1" s="224"/>
      <c r="QJQ1" s="224"/>
      <c r="QJR1" s="224"/>
      <c r="QJS1" s="224"/>
      <c r="QJT1" s="224"/>
      <c r="QJU1" s="224"/>
      <c r="QJV1" s="224"/>
      <c r="QJW1" s="224"/>
      <c r="QJX1" s="224"/>
      <c r="QJY1" s="224"/>
      <c r="QJZ1" s="224"/>
      <c r="QKA1" s="224"/>
      <c r="QKB1" s="224"/>
      <c r="QKC1" s="224"/>
      <c r="QKD1" s="224"/>
      <c r="QKE1" s="224"/>
      <c r="QKF1" s="224"/>
      <c r="QKG1" s="224"/>
      <c r="QKH1" s="224"/>
      <c r="QKI1" s="224"/>
      <c r="QKJ1" s="224"/>
      <c r="QKK1" s="224"/>
      <c r="QKL1" s="224"/>
      <c r="QKM1" s="224"/>
      <c r="QKN1" s="224"/>
      <c r="QKO1" s="224"/>
      <c r="QKP1" s="224"/>
      <c r="QKQ1" s="224"/>
      <c r="QKR1" s="224"/>
      <c r="QKS1" s="224"/>
      <c r="QKT1" s="224"/>
      <c r="QKU1" s="224"/>
      <c r="QKV1" s="224"/>
      <c r="QKW1" s="224"/>
      <c r="QKX1" s="224"/>
      <c r="QKY1" s="224"/>
      <c r="QKZ1" s="224"/>
      <c r="QLA1" s="224"/>
      <c r="QLB1" s="224"/>
      <c r="QLC1" s="224"/>
      <c r="QLD1" s="224"/>
      <c r="QLE1" s="224"/>
      <c r="QLF1" s="224"/>
      <c r="QLG1" s="224"/>
      <c r="QLH1" s="224"/>
      <c r="QLI1" s="224"/>
      <c r="QLJ1" s="224"/>
      <c r="QLK1" s="224"/>
      <c r="QLL1" s="224"/>
      <c r="QLM1" s="224"/>
      <c r="QLN1" s="224"/>
      <c r="QLO1" s="224"/>
      <c r="QLP1" s="224"/>
      <c r="QLQ1" s="224"/>
      <c r="QLR1" s="224"/>
      <c r="QLS1" s="224"/>
      <c r="QLT1" s="224"/>
      <c r="QLU1" s="224"/>
      <c r="QLV1" s="224"/>
      <c r="QLW1" s="224"/>
      <c r="QLX1" s="224"/>
      <c r="QLY1" s="224"/>
      <c r="QLZ1" s="224"/>
      <c r="QMA1" s="224"/>
      <c r="QMB1" s="224"/>
      <c r="QMC1" s="224"/>
      <c r="QMD1" s="224"/>
      <c r="QME1" s="224"/>
      <c r="QMF1" s="224"/>
      <c r="QMG1" s="224"/>
      <c r="QMH1" s="224"/>
      <c r="QMI1" s="224"/>
      <c r="QMJ1" s="224"/>
      <c r="QMK1" s="224"/>
      <c r="QML1" s="224"/>
      <c r="QMM1" s="224"/>
      <c r="QMN1" s="224"/>
      <c r="QMO1" s="224"/>
      <c r="QMP1" s="224"/>
      <c r="QMQ1" s="224"/>
      <c r="QMR1" s="224"/>
      <c r="QMS1" s="224"/>
      <c r="QMT1" s="224"/>
      <c r="QMU1" s="224"/>
      <c r="QMV1" s="224"/>
      <c r="QMW1" s="224"/>
      <c r="QMX1" s="224"/>
      <c r="QMY1" s="224"/>
      <c r="QMZ1" s="224"/>
      <c r="QNA1" s="224"/>
      <c r="QNB1" s="224"/>
      <c r="QNC1" s="224"/>
      <c r="QND1" s="224"/>
      <c r="QNE1" s="224"/>
      <c r="QNF1" s="224"/>
      <c r="QNG1" s="224"/>
      <c r="QNH1" s="224"/>
      <c r="QNI1" s="224"/>
      <c r="QNJ1" s="224"/>
      <c r="QNK1" s="224"/>
      <c r="QNL1" s="224"/>
      <c r="QNM1" s="224"/>
      <c r="QNN1" s="224"/>
      <c r="QNO1" s="224"/>
      <c r="QNP1" s="224"/>
      <c r="QNQ1" s="224"/>
      <c r="QNR1" s="224"/>
      <c r="QNS1" s="224"/>
      <c r="QNT1" s="224"/>
      <c r="QNU1" s="224"/>
      <c r="QNV1" s="224"/>
      <c r="QNW1" s="224"/>
      <c r="QNX1" s="224"/>
      <c r="QNY1" s="224"/>
      <c r="QNZ1" s="224"/>
      <c r="QOA1" s="224"/>
      <c r="QOB1" s="224"/>
      <c r="QOC1" s="224"/>
      <c r="QOD1" s="224"/>
      <c r="QOE1" s="224"/>
      <c r="QOF1" s="224"/>
      <c r="QOG1" s="224"/>
      <c r="QOH1" s="224"/>
      <c r="QOI1" s="224"/>
      <c r="QOJ1" s="224"/>
      <c r="QOK1" s="224"/>
      <c r="QOL1" s="224"/>
      <c r="QOM1" s="224"/>
      <c r="QON1" s="224"/>
      <c r="QOO1" s="224"/>
      <c r="QOP1" s="224"/>
      <c r="QOQ1" s="224"/>
      <c r="QOR1" s="224"/>
      <c r="QOS1" s="224"/>
      <c r="QOT1" s="224"/>
      <c r="QOU1" s="224"/>
      <c r="QOV1" s="224"/>
      <c r="QOW1" s="224"/>
      <c r="QOX1" s="224"/>
      <c r="QOY1" s="224"/>
      <c r="QOZ1" s="224"/>
      <c r="QPA1" s="224"/>
      <c r="QPB1" s="224"/>
      <c r="QPC1" s="224"/>
      <c r="QPD1" s="224"/>
      <c r="QPE1" s="224"/>
      <c r="QPF1" s="224"/>
      <c r="QPG1" s="224"/>
      <c r="QPH1" s="224"/>
      <c r="QPI1" s="224"/>
      <c r="QPJ1" s="224"/>
      <c r="QPK1" s="224"/>
      <c r="QPL1" s="224"/>
      <c r="QPM1" s="224"/>
      <c r="QPN1" s="224"/>
      <c r="QPO1" s="224"/>
      <c r="QPP1" s="224"/>
      <c r="QPQ1" s="224"/>
      <c r="QPR1" s="224"/>
      <c r="QPS1" s="224"/>
      <c r="QPT1" s="224"/>
      <c r="QPU1" s="224"/>
      <c r="QPV1" s="224"/>
      <c r="QPW1" s="224"/>
      <c r="QPX1" s="224"/>
      <c r="QPY1" s="224"/>
      <c r="QPZ1" s="224"/>
      <c r="QQA1" s="224"/>
      <c r="QQB1" s="224"/>
      <c r="QQC1" s="224"/>
      <c r="QQD1" s="224"/>
      <c r="QQE1" s="224"/>
      <c r="QQF1" s="224"/>
      <c r="QQG1" s="224"/>
      <c r="QQH1" s="224"/>
      <c r="QQI1" s="224"/>
      <c r="QQJ1" s="224"/>
      <c r="QQK1" s="224"/>
      <c r="QQL1" s="224"/>
      <c r="QQM1" s="224"/>
      <c r="QQN1" s="224"/>
      <c r="QQO1" s="224"/>
      <c r="QQP1" s="224"/>
      <c r="QQQ1" s="224"/>
      <c r="QQR1" s="224"/>
      <c r="QQS1" s="224"/>
      <c r="QQT1" s="224"/>
      <c r="QQU1" s="224"/>
      <c r="QQV1" s="224"/>
      <c r="QQW1" s="224"/>
      <c r="QQX1" s="224"/>
      <c r="QQY1" s="224"/>
      <c r="QQZ1" s="224"/>
      <c r="QRA1" s="224"/>
      <c r="QRB1" s="224"/>
      <c r="QRC1" s="224"/>
      <c r="QRD1" s="224"/>
      <c r="QRE1" s="224"/>
      <c r="QRF1" s="224"/>
      <c r="QRG1" s="224"/>
      <c r="QRH1" s="224"/>
      <c r="QRI1" s="224"/>
      <c r="QRJ1" s="224"/>
      <c r="QRK1" s="224"/>
      <c r="QRL1" s="224"/>
      <c r="QRM1" s="224"/>
      <c r="QRN1" s="224"/>
      <c r="QRO1" s="224"/>
      <c r="QRP1" s="224"/>
      <c r="QRQ1" s="224"/>
      <c r="QRR1" s="224"/>
      <c r="QRS1" s="224"/>
      <c r="QRT1" s="224"/>
      <c r="QRU1" s="224"/>
      <c r="QRV1" s="224"/>
      <c r="QRW1" s="224"/>
      <c r="QRX1" s="224"/>
      <c r="QRY1" s="224"/>
      <c r="QRZ1" s="224"/>
      <c r="QSA1" s="224"/>
      <c r="QSB1" s="224"/>
      <c r="QSC1" s="224"/>
      <c r="QSD1" s="224"/>
      <c r="QSE1" s="224"/>
      <c r="QSF1" s="224"/>
      <c r="QSG1" s="224"/>
      <c r="QSH1" s="224"/>
      <c r="QSI1" s="224"/>
      <c r="QSJ1" s="224"/>
      <c r="QSK1" s="224"/>
      <c r="QSL1" s="224"/>
      <c r="QSM1" s="224"/>
      <c r="QSN1" s="224"/>
      <c r="QSO1" s="224"/>
      <c r="QSP1" s="224"/>
      <c r="QSQ1" s="224"/>
      <c r="QSR1" s="224"/>
      <c r="QSS1" s="224"/>
      <c r="QST1" s="224"/>
      <c r="QSU1" s="224"/>
      <c r="QSV1" s="224"/>
      <c r="QSW1" s="224"/>
      <c r="QSX1" s="224"/>
      <c r="QSY1" s="224"/>
      <c r="QSZ1" s="224"/>
      <c r="QTA1" s="224"/>
      <c r="QTB1" s="224"/>
      <c r="QTC1" s="224"/>
      <c r="QTD1" s="224"/>
      <c r="QTE1" s="224"/>
      <c r="QTF1" s="224"/>
      <c r="QTG1" s="224"/>
      <c r="QTH1" s="224"/>
      <c r="QTI1" s="224"/>
      <c r="QTJ1" s="224"/>
      <c r="QTK1" s="224"/>
      <c r="QTL1" s="224"/>
      <c r="QTM1" s="224"/>
      <c r="QTN1" s="224"/>
      <c r="QTO1" s="224"/>
      <c r="QTP1" s="224"/>
      <c r="QTQ1" s="224"/>
      <c r="QTR1" s="224"/>
      <c r="QTS1" s="224"/>
      <c r="QTT1" s="224"/>
      <c r="QTU1" s="224"/>
      <c r="QTV1" s="224"/>
      <c r="QTW1" s="224"/>
      <c r="QTX1" s="224"/>
      <c r="QTY1" s="224"/>
      <c r="QTZ1" s="224"/>
      <c r="QUA1" s="224"/>
      <c r="QUB1" s="224"/>
      <c r="QUC1" s="224"/>
      <c r="QUD1" s="224"/>
      <c r="QUE1" s="224"/>
      <c r="QUF1" s="224"/>
      <c r="QUG1" s="224"/>
      <c r="QUH1" s="224"/>
      <c r="QUI1" s="224"/>
      <c r="QUJ1" s="224"/>
      <c r="QUK1" s="224"/>
      <c r="QUL1" s="224"/>
      <c r="QUM1" s="224"/>
      <c r="QUN1" s="224"/>
      <c r="QUO1" s="224"/>
      <c r="QUP1" s="224"/>
      <c r="QUQ1" s="224"/>
      <c r="QUR1" s="224"/>
      <c r="QUS1" s="224"/>
      <c r="QUT1" s="224"/>
      <c r="QUU1" s="224"/>
      <c r="QUV1" s="224"/>
      <c r="QUW1" s="224"/>
      <c r="QUX1" s="224"/>
      <c r="QUY1" s="224"/>
      <c r="QUZ1" s="224"/>
      <c r="QVA1" s="224"/>
      <c r="QVB1" s="224"/>
      <c r="QVC1" s="224"/>
      <c r="QVD1" s="224"/>
      <c r="QVE1" s="224"/>
      <c r="QVF1" s="224"/>
      <c r="QVG1" s="224"/>
      <c r="QVH1" s="224"/>
      <c r="QVI1" s="224"/>
      <c r="QVJ1" s="224"/>
      <c r="QVK1" s="224"/>
      <c r="QVL1" s="224"/>
      <c r="QVM1" s="224"/>
      <c r="QVN1" s="224"/>
      <c r="QVO1" s="224"/>
      <c r="QVP1" s="224"/>
      <c r="QVQ1" s="224"/>
      <c r="QVR1" s="224"/>
      <c r="QVS1" s="224"/>
      <c r="QVT1" s="224"/>
      <c r="QVU1" s="224"/>
      <c r="QVV1" s="224"/>
      <c r="QVW1" s="224"/>
      <c r="QVX1" s="224"/>
      <c r="QVY1" s="224"/>
      <c r="QVZ1" s="224"/>
      <c r="QWA1" s="224"/>
      <c r="QWB1" s="224"/>
      <c r="QWC1" s="224"/>
      <c r="QWD1" s="224"/>
      <c r="QWE1" s="224"/>
      <c r="QWF1" s="224"/>
      <c r="QWG1" s="224"/>
      <c r="QWH1" s="224"/>
      <c r="QWI1" s="224"/>
      <c r="QWJ1" s="224"/>
      <c r="QWK1" s="224"/>
      <c r="QWL1" s="224"/>
      <c r="QWM1" s="224"/>
      <c r="QWN1" s="224"/>
      <c r="QWO1" s="224"/>
      <c r="QWP1" s="224"/>
      <c r="QWQ1" s="224"/>
      <c r="QWR1" s="224"/>
      <c r="QWS1" s="224"/>
      <c r="QWT1" s="224"/>
      <c r="QWU1" s="224"/>
      <c r="QWV1" s="224"/>
      <c r="QWW1" s="224"/>
      <c r="QWX1" s="224"/>
      <c r="QWY1" s="224"/>
      <c r="QWZ1" s="224"/>
      <c r="QXA1" s="224"/>
      <c r="QXB1" s="224"/>
      <c r="QXC1" s="224"/>
      <c r="QXD1" s="224"/>
      <c r="QXE1" s="224"/>
      <c r="QXF1" s="224"/>
      <c r="QXG1" s="224"/>
      <c r="QXH1" s="224"/>
      <c r="QXI1" s="224"/>
      <c r="QXJ1" s="224"/>
      <c r="QXK1" s="224"/>
      <c r="QXL1" s="224"/>
      <c r="QXM1" s="224"/>
      <c r="QXN1" s="224"/>
      <c r="QXO1" s="224"/>
      <c r="QXP1" s="224"/>
      <c r="QXQ1" s="224"/>
      <c r="QXR1" s="224"/>
      <c r="QXS1" s="224"/>
      <c r="QXT1" s="224"/>
      <c r="QXU1" s="224"/>
      <c r="QXV1" s="224"/>
      <c r="QXW1" s="224"/>
      <c r="QXX1" s="224"/>
      <c r="QXY1" s="224"/>
      <c r="QXZ1" s="224"/>
      <c r="QYA1" s="224"/>
      <c r="QYB1" s="224"/>
      <c r="QYC1" s="224"/>
      <c r="QYD1" s="224"/>
      <c r="QYE1" s="224"/>
      <c r="QYF1" s="224"/>
      <c r="QYG1" s="224"/>
      <c r="QYH1" s="224"/>
      <c r="QYI1" s="224"/>
      <c r="QYJ1" s="224"/>
      <c r="QYK1" s="224"/>
      <c r="QYL1" s="224"/>
      <c r="QYM1" s="224"/>
      <c r="QYN1" s="224"/>
      <c r="QYO1" s="224"/>
      <c r="QYP1" s="224"/>
      <c r="QYQ1" s="224"/>
      <c r="QYR1" s="224"/>
      <c r="QYS1" s="224"/>
      <c r="QYT1" s="224"/>
      <c r="QYU1" s="224"/>
      <c r="QYV1" s="224"/>
      <c r="QYW1" s="224"/>
      <c r="QYX1" s="224"/>
      <c r="QYY1" s="224"/>
      <c r="QYZ1" s="224"/>
      <c r="QZA1" s="224"/>
      <c r="QZB1" s="224"/>
      <c r="QZC1" s="224"/>
      <c r="QZD1" s="224"/>
      <c r="QZE1" s="224"/>
      <c r="QZF1" s="224"/>
      <c r="QZG1" s="224"/>
      <c r="QZH1" s="224"/>
      <c r="QZI1" s="224"/>
      <c r="QZJ1" s="224"/>
      <c r="QZK1" s="224"/>
      <c r="QZL1" s="224"/>
      <c r="QZM1" s="224"/>
      <c r="QZN1" s="224"/>
      <c r="QZO1" s="224"/>
      <c r="QZP1" s="224"/>
      <c r="QZQ1" s="224"/>
      <c r="QZR1" s="224"/>
      <c r="QZS1" s="224"/>
      <c r="QZT1" s="224"/>
      <c r="QZU1" s="224"/>
      <c r="QZV1" s="224"/>
      <c r="QZW1" s="224"/>
      <c r="QZX1" s="224"/>
      <c r="QZY1" s="224"/>
      <c r="QZZ1" s="224"/>
      <c r="RAA1" s="224"/>
      <c r="RAB1" s="224"/>
      <c r="RAC1" s="224"/>
      <c r="RAD1" s="224"/>
      <c r="RAE1" s="224"/>
      <c r="RAF1" s="224"/>
      <c r="RAG1" s="224"/>
      <c r="RAH1" s="224"/>
      <c r="RAI1" s="224"/>
      <c r="RAJ1" s="224"/>
      <c r="RAK1" s="224"/>
      <c r="RAL1" s="224"/>
      <c r="RAM1" s="224"/>
      <c r="RAN1" s="224"/>
      <c r="RAO1" s="224"/>
      <c r="RAP1" s="224"/>
      <c r="RAQ1" s="224"/>
      <c r="RAR1" s="224"/>
      <c r="RAS1" s="224"/>
      <c r="RAT1" s="224"/>
      <c r="RAU1" s="224"/>
      <c r="RAV1" s="224"/>
      <c r="RAW1" s="224"/>
      <c r="RAX1" s="224"/>
      <c r="RAY1" s="224"/>
      <c r="RAZ1" s="224"/>
      <c r="RBA1" s="224"/>
      <c r="RBB1" s="224"/>
      <c r="RBC1" s="224"/>
      <c r="RBD1" s="224"/>
      <c r="RBE1" s="224"/>
      <c r="RBF1" s="224"/>
      <c r="RBG1" s="224"/>
      <c r="RBH1" s="224"/>
      <c r="RBI1" s="224"/>
      <c r="RBJ1" s="224"/>
      <c r="RBK1" s="224"/>
      <c r="RBL1" s="224"/>
      <c r="RBM1" s="224"/>
      <c r="RBN1" s="224"/>
      <c r="RBO1" s="224"/>
      <c r="RBP1" s="224"/>
      <c r="RBQ1" s="224"/>
      <c r="RBR1" s="224"/>
      <c r="RBS1" s="224"/>
      <c r="RBT1" s="224"/>
      <c r="RBU1" s="224"/>
      <c r="RBV1" s="224"/>
      <c r="RBW1" s="224"/>
      <c r="RBX1" s="224"/>
      <c r="RBY1" s="224"/>
      <c r="RBZ1" s="224"/>
      <c r="RCA1" s="224"/>
      <c r="RCB1" s="224"/>
      <c r="RCC1" s="224"/>
      <c r="RCD1" s="224"/>
      <c r="RCE1" s="224"/>
      <c r="RCF1" s="224"/>
      <c r="RCG1" s="224"/>
      <c r="RCH1" s="224"/>
      <c r="RCI1" s="224"/>
      <c r="RCJ1" s="224"/>
      <c r="RCK1" s="224"/>
      <c r="RCL1" s="224"/>
      <c r="RCM1" s="224"/>
      <c r="RCN1" s="224"/>
      <c r="RCO1" s="224"/>
      <c r="RCP1" s="224"/>
      <c r="RCQ1" s="224"/>
      <c r="RCR1" s="224"/>
      <c r="RCS1" s="224"/>
      <c r="RCT1" s="224"/>
      <c r="RCU1" s="224"/>
      <c r="RCV1" s="224"/>
      <c r="RCW1" s="224"/>
      <c r="RCX1" s="224"/>
      <c r="RCY1" s="224"/>
      <c r="RCZ1" s="224"/>
      <c r="RDA1" s="224"/>
      <c r="RDB1" s="224"/>
      <c r="RDC1" s="224"/>
      <c r="RDD1" s="224"/>
      <c r="RDE1" s="224"/>
      <c r="RDF1" s="224"/>
      <c r="RDG1" s="224"/>
      <c r="RDH1" s="224"/>
      <c r="RDI1" s="224"/>
      <c r="RDJ1" s="224"/>
      <c r="RDK1" s="224"/>
      <c r="RDL1" s="224"/>
      <c r="RDM1" s="224"/>
      <c r="RDN1" s="224"/>
      <c r="RDO1" s="224"/>
      <c r="RDP1" s="224"/>
      <c r="RDQ1" s="224"/>
      <c r="RDR1" s="224"/>
      <c r="RDS1" s="224"/>
      <c r="RDT1" s="224"/>
      <c r="RDU1" s="224"/>
      <c r="RDV1" s="224"/>
      <c r="RDW1" s="224"/>
      <c r="RDX1" s="224"/>
      <c r="RDY1" s="224"/>
      <c r="RDZ1" s="224"/>
      <c r="REA1" s="224"/>
      <c r="REB1" s="224"/>
      <c r="REC1" s="224"/>
      <c r="RED1" s="224"/>
      <c r="REE1" s="224"/>
      <c r="REF1" s="224"/>
      <c r="REG1" s="224"/>
      <c r="REH1" s="224"/>
      <c r="REI1" s="224"/>
      <c r="REJ1" s="224"/>
      <c r="REK1" s="224"/>
      <c r="REL1" s="224"/>
      <c r="REM1" s="224"/>
      <c r="REN1" s="224"/>
      <c r="REO1" s="224"/>
      <c r="REP1" s="224"/>
      <c r="REQ1" s="224"/>
      <c r="RER1" s="224"/>
      <c r="RES1" s="224"/>
      <c r="RET1" s="224"/>
      <c r="REU1" s="224"/>
      <c r="REV1" s="224"/>
      <c r="REW1" s="224"/>
      <c r="REX1" s="224"/>
      <c r="REY1" s="224"/>
      <c r="REZ1" s="224"/>
      <c r="RFA1" s="224"/>
      <c r="RFB1" s="224"/>
      <c r="RFC1" s="224"/>
      <c r="RFD1" s="224"/>
      <c r="RFE1" s="224"/>
      <c r="RFF1" s="224"/>
      <c r="RFG1" s="224"/>
      <c r="RFH1" s="224"/>
      <c r="RFI1" s="224"/>
      <c r="RFJ1" s="224"/>
      <c r="RFK1" s="224"/>
      <c r="RFL1" s="224"/>
      <c r="RFM1" s="224"/>
      <c r="RFN1" s="224"/>
      <c r="RFO1" s="224"/>
      <c r="RFP1" s="224"/>
      <c r="RFQ1" s="224"/>
      <c r="RFR1" s="224"/>
      <c r="RFS1" s="224"/>
      <c r="RFT1" s="224"/>
      <c r="RFU1" s="224"/>
      <c r="RFV1" s="224"/>
      <c r="RFW1" s="224"/>
      <c r="RFX1" s="224"/>
      <c r="RFY1" s="224"/>
      <c r="RFZ1" s="224"/>
      <c r="RGA1" s="224"/>
      <c r="RGB1" s="224"/>
      <c r="RGC1" s="224"/>
      <c r="RGD1" s="224"/>
      <c r="RGE1" s="224"/>
      <c r="RGF1" s="224"/>
      <c r="RGG1" s="224"/>
      <c r="RGH1" s="224"/>
      <c r="RGI1" s="224"/>
      <c r="RGJ1" s="224"/>
      <c r="RGK1" s="224"/>
      <c r="RGL1" s="224"/>
      <c r="RGM1" s="224"/>
      <c r="RGN1" s="224"/>
      <c r="RGO1" s="224"/>
      <c r="RGP1" s="224"/>
      <c r="RGQ1" s="224"/>
      <c r="RGR1" s="224"/>
      <c r="RGS1" s="224"/>
      <c r="RGT1" s="224"/>
      <c r="RGU1" s="224"/>
      <c r="RGV1" s="224"/>
      <c r="RGW1" s="224"/>
      <c r="RGX1" s="224"/>
      <c r="RGY1" s="224"/>
      <c r="RGZ1" s="224"/>
      <c r="RHA1" s="224"/>
      <c r="RHB1" s="224"/>
      <c r="RHC1" s="224"/>
      <c r="RHD1" s="224"/>
      <c r="RHE1" s="224"/>
      <c r="RHF1" s="224"/>
      <c r="RHG1" s="224"/>
      <c r="RHH1" s="224"/>
      <c r="RHI1" s="224"/>
      <c r="RHJ1" s="224"/>
      <c r="RHK1" s="224"/>
      <c r="RHL1" s="224"/>
      <c r="RHM1" s="224"/>
      <c r="RHN1" s="224"/>
      <c r="RHO1" s="224"/>
      <c r="RHP1" s="224"/>
      <c r="RHQ1" s="224"/>
      <c r="RHR1" s="224"/>
      <c r="RHS1" s="224"/>
      <c r="RHT1" s="224"/>
      <c r="RHU1" s="224"/>
      <c r="RHV1" s="224"/>
      <c r="RHW1" s="224"/>
      <c r="RHX1" s="224"/>
      <c r="RHY1" s="224"/>
      <c r="RHZ1" s="224"/>
      <c r="RIA1" s="224"/>
      <c r="RIB1" s="224"/>
      <c r="RIC1" s="224"/>
      <c r="RID1" s="224"/>
      <c r="RIE1" s="224"/>
      <c r="RIF1" s="224"/>
      <c r="RIG1" s="224"/>
      <c r="RIH1" s="224"/>
      <c r="RII1" s="224"/>
      <c r="RIJ1" s="224"/>
      <c r="RIK1" s="224"/>
      <c r="RIL1" s="224"/>
      <c r="RIM1" s="224"/>
      <c r="RIN1" s="224"/>
      <c r="RIO1" s="224"/>
      <c r="RIP1" s="224"/>
      <c r="RIQ1" s="224"/>
      <c r="RIR1" s="224"/>
      <c r="RIS1" s="224"/>
      <c r="RIT1" s="224"/>
      <c r="RIU1" s="224"/>
      <c r="RIV1" s="224"/>
      <c r="RIW1" s="224"/>
      <c r="RIX1" s="224"/>
      <c r="RIY1" s="224"/>
      <c r="RIZ1" s="224"/>
      <c r="RJA1" s="224"/>
      <c r="RJB1" s="224"/>
      <c r="RJC1" s="224"/>
      <c r="RJD1" s="224"/>
      <c r="RJE1" s="224"/>
      <c r="RJF1" s="224"/>
      <c r="RJG1" s="224"/>
      <c r="RJH1" s="224"/>
      <c r="RJI1" s="224"/>
      <c r="RJJ1" s="224"/>
      <c r="RJK1" s="224"/>
      <c r="RJL1" s="224"/>
      <c r="RJM1" s="224"/>
      <c r="RJN1" s="224"/>
      <c r="RJO1" s="224"/>
      <c r="RJP1" s="224"/>
      <c r="RJQ1" s="224"/>
      <c r="RJR1" s="224"/>
      <c r="RJS1" s="224"/>
      <c r="RJT1" s="224"/>
      <c r="RJU1" s="224"/>
      <c r="RJV1" s="224"/>
      <c r="RJW1" s="224"/>
      <c r="RJX1" s="224"/>
      <c r="RJY1" s="224"/>
      <c r="RJZ1" s="224"/>
      <c r="RKA1" s="224"/>
      <c r="RKB1" s="224"/>
      <c r="RKC1" s="224"/>
      <c r="RKD1" s="224"/>
      <c r="RKE1" s="224"/>
      <c r="RKF1" s="224"/>
      <c r="RKG1" s="224"/>
      <c r="RKH1" s="224"/>
      <c r="RKI1" s="224"/>
      <c r="RKJ1" s="224"/>
      <c r="RKK1" s="224"/>
      <c r="RKL1" s="224"/>
      <c r="RKM1" s="224"/>
      <c r="RKN1" s="224"/>
      <c r="RKO1" s="224"/>
      <c r="RKP1" s="224"/>
      <c r="RKQ1" s="224"/>
      <c r="RKR1" s="224"/>
      <c r="RKS1" s="224"/>
      <c r="RKT1" s="224"/>
      <c r="RKU1" s="224"/>
      <c r="RKV1" s="224"/>
      <c r="RKW1" s="224"/>
      <c r="RKX1" s="224"/>
      <c r="RKY1" s="224"/>
      <c r="RKZ1" s="224"/>
      <c r="RLA1" s="224"/>
      <c r="RLB1" s="224"/>
      <c r="RLC1" s="224"/>
      <c r="RLD1" s="224"/>
      <c r="RLE1" s="224"/>
      <c r="RLF1" s="224"/>
      <c r="RLG1" s="224"/>
      <c r="RLH1" s="224"/>
      <c r="RLI1" s="224"/>
      <c r="RLJ1" s="224"/>
      <c r="RLK1" s="224"/>
      <c r="RLL1" s="224"/>
      <c r="RLM1" s="224"/>
      <c r="RLN1" s="224"/>
      <c r="RLO1" s="224"/>
      <c r="RLP1" s="224"/>
      <c r="RLQ1" s="224"/>
      <c r="RLR1" s="224"/>
      <c r="RLS1" s="224"/>
      <c r="RLT1" s="224"/>
      <c r="RLU1" s="224"/>
      <c r="RLV1" s="224"/>
      <c r="RLW1" s="224"/>
      <c r="RLX1" s="224"/>
      <c r="RLY1" s="224"/>
      <c r="RLZ1" s="224"/>
      <c r="RMA1" s="224"/>
      <c r="RMB1" s="224"/>
      <c r="RMC1" s="224"/>
      <c r="RMD1" s="224"/>
      <c r="RME1" s="224"/>
      <c r="RMF1" s="224"/>
      <c r="RMG1" s="224"/>
      <c r="RMH1" s="224"/>
      <c r="RMI1" s="224"/>
      <c r="RMJ1" s="224"/>
      <c r="RMK1" s="224"/>
      <c r="RML1" s="224"/>
      <c r="RMM1" s="224"/>
      <c r="RMN1" s="224"/>
      <c r="RMO1" s="224"/>
      <c r="RMP1" s="224"/>
      <c r="RMQ1" s="224"/>
      <c r="RMR1" s="224"/>
      <c r="RMS1" s="224"/>
      <c r="RMT1" s="224"/>
      <c r="RMU1" s="224"/>
      <c r="RMV1" s="224"/>
      <c r="RMW1" s="224"/>
      <c r="RMX1" s="224"/>
      <c r="RMY1" s="224"/>
      <c r="RMZ1" s="224"/>
      <c r="RNA1" s="224"/>
      <c r="RNB1" s="224"/>
      <c r="RNC1" s="224"/>
      <c r="RND1" s="224"/>
      <c r="RNE1" s="224"/>
      <c r="RNF1" s="224"/>
      <c r="RNG1" s="224"/>
      <c r="RNH1" s="224"/>
      <c r="RNI1" s="224"/>
      <c r="RNJ1" s="224"/>
      <c r="RNK1" s="224"/>
      <c r="RNL1" s="224"/>
      <c r="RNM1" s="224"/>
      <c r="RNN1" s="224"/>
      <c r="RNO1" s="224"/>
      <c r="RNP1" s="224"/>
      <c r="RNQ1" s="224"/>
      <c r="RNR1" s="224"/>
      <c r="RNS1" s="224"/>
      <c r="RNT1" s="224"/>
      <c r="RNU1" s="224"/>
      <c r="RNV1" s="224"/>
      <c r="RNW1" s="224"/>
      <c r="RNX1" s="224"/>
      <c r="RNY1" s="224"/>
      <c r="RNZ1" s="224"/>
      <c r="ROA1" s="224"/>
      <c r="ROB1" s="224"/>
      <c r="ROC1" s="224"/>
      <c r="ROD1" s="224"/>
      <c r="ROE1" s="224"/>
      <c r="ROF1" s="224"/>
      <c r="ROG1" s="224"/>
      <c r="ROH1" s="224"/>
      <c r="ROI1" s="224"/>
      <c r="ROJ1" s="224"/>
      <c r="ROK1" s="224"/>
      <c r="ROL1" s="224"/>
      <c r="ROM1" s="224"/>
      <c r="RON1" s="224"/>
      <c r="ROO1" s="224"/>
      <c r="ROP1" s="224"/>
      <c r="ROQ1" s="224"/>
      <c r="ROR1" s="224"/>
      <c r="ROS1" s="224"/>
      <c r="ROT1" s="224"/>
      <c r="ROU1" s="224"/>
      <c r="ROV1" s="224"/>
      <c r="ROW1" s="224"/>
      <c r="ROX1" s="224"/>
      <c r="ROY1" s="224"/>
      <c r="ROZ1" s="224"/>
      <c r="RPA1" s="224"/>
      <c r="RPB1" s="224"/>
      <c r="RPC1" s="224"/>
      <c r="RPD1" s="224"/>
      <c r="RPE1" s="224"/>
      <c r="RPF1" s="224"/>
      <c r="RPG1" s="224"/>
      <c r="RPH1" s="224"/>
      <c r="RPI1" s="224"/>
      <c r="RPJ1" s="224"/>
      <c r="RPK1" s="224"/>
      <c r="RPL1" s="224"/>
      <c r="RPM1" s="224"/>
      <c r="RPN1" s="224"/>
      <c r="RPO1" s="224"/>
      <c r="RPP1" s="224"/>
      <c r="RPQ1" s="224"/>
      <c r="RPR1" s="224"/>
      <c r="RPS1" s="224"/>
      <c r="RPT1" s="224"/>
      <c r="RPU1" s="224"/>
      <c r="RPV1" s="224"/>
      <c r="RPW1" s="224"/>
      <c r="RPX1" s="224"/>
      <c r="RPY1" s="224"/>
      <c r="RPZ1" s="224"/>
      <c r="RQA1" s="224"/>
      <c r="RQB1" s="224"/>
      <c r="RQC1" s="224"/>
      <c r="RQD1" s="224"/>
      <c r="RQE1" s="224"/>
      <c r="RQF1" s="224"/>
      <c r="RQG1" s="224"/>
      <c r="RQH1" s="224"/>
      <c r="RQI1" s="224"/>
      <c r="RQJ1" s="224"/>
      <c r="RQK1" s="224"/>
      <c r="RQL1" s="224"/>
      <c r="RQM1" s="224"/>
      <c r="RQN1" s="224"/>
      <c r="RQO1" s="224"/>
      <c r="RQP1" s="224"/>
      <c r="RQQ1" s="224"/>
      <c r="RQR1" s="224"/>
      <c r="RQS1" s="224"/>
      <c r="RQT1" s="224"/>
      <c r="RQU1" s="224"/>
      <c r="RQV1" s="224"/>
      <c r="RQW1" s="224"/>
      <c r="RQX1" s="224"/>
      <c r="RQY1" s="224"/>
      <c r="RQZ1" s="224"/>
      <c r="RRA1" s="224"/>
      <c r="RRB1" s="224"/>
      <c r="RRC1" s="224"/>
      <c r="RRD1" s="224"/>
      <c r="RRE1" s="224"/>
      <c r="RRF1" s="224"/>
      <c r="RRG1" s="224"/>
      <c r="RRH1" s="224"/>
      <c r="RRI1" s="224"/>
      <c r="RRJ1" s="224"/>
      <c r="RRK1" s="224"/>
      <c r="RRL1" s="224"/>
      <c r="RRM1" s="224"/>
      <c r="RRN1" s="224"/>
      <c r="RRO1" s="224"/>
      <c r="RRP1" s="224"/>
      <c r="RRQ1" s="224"/>
      <c r="RRR1" s="224"/>
      <c r="RRS1" s="224"/>
      <c r="RRT1" s="224"/>
      <c r="RRU1" s="224"/>
      <c r="RRV1" s="224"/>
      <c r="RRW1" s="224"/>
      <c r="RRX1" s="224"/>
      <c r="RRY1" s="224"/>
      <c r="RRZ1" s="224"/>
      <c r="RSA1" s="224"/>
      <c r="RSB1" s="224"/>
      <c r="RSC1" s="224"/>
      <c r="RSD1" s="224"/>
      <c r="RSE1" s="224"/>
      <c r="RSF1" s="224"/>
      <c r="RSG1" s="224"/>
      <c r="RSH1" s="224"/>
      <c r="RSI1" s="224"/>
      <c r="RSJ1" s="224"/>
      <c r="RSK1" s="224"/>
      <c r="RSL1" s="224"/>
      <c r="RSM1" s="224"/>
      <c r="RSN1" s="224"/>
      <c r="RSO1" s="224"/>
      <c r="RSP1" s="224"/>
      <c r="RSQ1" s="224"/>
      <c r="RSR1" s="224"/>
      <c r="RSS1" s="224"/>
      <c r="RST1" s="224"/>
      <c r="RSU1" s="224"/>
      <c r="RSV1" s="224"/>
      <c r="RSW1" s="224"/>
      <c r="RSX1" s="224"/>
      <c r="RSY1" s="224"/>
      <c r="RSZ1" s="224"/>
      <c r="RTA1" s="224"/>
      <c r="RTB1" s="224"/>
      <c r="RTC1" s="224"/>
      <c r="RTD1" s="224"/>
      <c r="RTE1" s="224"/>
      <c r="RTF1" s="224"/>
      <c r="RTG1" s="224"/>
      <c r="RTH1" s="224"/>
      <c r="RTI1" s="224"/>
      <c r="RTJ1" s="224"/>
      <c r="RTK1" s="224"/>
      <c r="RTL1" s="224"/>
      <c r="RTM1" s="224"/>
      <c r="RTN1" s="224"/>
      <c r="RTO1" s="224"/>
      <c r="RTP1" s="224"/>
      <c r="RTQ1" s="224"/>
      <c r="RTR1" s="224"/>
      <c r="RTS1" s="224"/>
      <c r="RTT1" s="224"/>
      <c r="RTU1" s="224"/>
      <c r="RTV1" s="224"/>
      <c r="RTW1" s="224"/>
      <c r="RTX1" s="224"/>
      <c r="RTY1" s="224"/>
      <c r="RTZ1" s="224"/>
      <c r="RUA1" s="224"/>
      <c r="RUB1" s="224"/>
      <c r="RUC1" s="224"/>
      <c r="RUD1" s="224"/>
      <c r="RUE1" s="224"/>
      <c r="RUF1" s="224"/>
      <c r="RUG1" s="224"/>
      <c r="RUH1" s="224"/>
      <c r="RUI1" s="224"/>
      <c r="RUJ1" s="224"/>
      <c r="RUK1" s="224"/>
      <c r="RUL1" s="224"/>
      <c r="RUM1" s="224"/>
      <c r="RUN1" s="224"/>
      <c r="RUO1" s="224"/>
      <c r="RUP1" s="224"/>
      <c r="RUQ1" s="224"/>
      <c r="RUR1" s="224"/>
      <c r="RUS1" s="224"/>
      <c r="RUT1" s="224"/>
      <c r="RUU1" s="224"/>
      <c r="RUV1" s="224"/>
      <c r="RUW1" s="224"/>
      <c r="RUX1" s="224"/>
      <c r="RUY1" s="224"/>
      <c r="RUZ1" s="224"/>
      <c r="RVA1" s="224"/>
      <c r="RVB1" s="224"/>
      <c r="RVC1" s="224"/>
      <c r="RVD1" s="224"/>
      <c r="RVE1" s="224"/>
      <c r="RVF1" s="224"/>
      <c r="RVG1" s="224"/>
      <c r="RVH1" s="224"/>
      <c r="RVI1" s="224"/>
      <c r="RVJ1" s="224"/>
      <c r="RVK1" s="224"/>
      <c r="RVL1" s="224"/>
      <c r="RVM1" s="224"/>
      <c r="RVN1" s="224"/>
      <c r="RVO1" s="224"/>
      <c r="RVP1" s="224"/>
      <c r="RVQ1" s="224"/>
      <c r="RVR1" s="224"/>
      <c r="RVS1" s="224"/>
      <c r="RVT1" s="224"/>
      <c r="RVU1" s="224"/>
      <c r="RVV1" s="224"/>
      <c r="RVW1" s="224"/>
      <c r="RVX1" s="224"/>
      <c r="RVY1" s="224"/>
      <c r="RVZ1" s="224"/>
      <c r="RWA1" s="224"/>
      <c r="RWB1" s="224"/>
      <c r="RWC1" s="224"/>
      <c r="RWD1" s="224"/>
      <c r="RWE1" s="224"/>
      <c r="RWF1" s="224"/>
      <c r="RWG1" s="224"/>
      <c r="RWH1" s="224"/>
      <c r="RWI1" s="224"/>
      <c r="RWJ1" s="224"/>
      <c r="RWK1" s="224"/>
      <c r="RWL1" s="224"/>
      <c r="RWM1" s="224"/>
      <c r="RWN1" s="224"/>
      <c r="RWO1" s="224"/>
      <c r="RWP1" s="224"/>
      <c r="RWQ1" s="224"/>
      <c r="RWR1" s="224"/>
      <c r="RWS1" s="224"/>
      <c r="RWT1" s="224"/>
      <c r="RWU1" s="224"/>
      <c r="RWV1" s="224"/>
      <c r="RWW1" s="224"/>
      <c r="RWX1" s="224"/>
      <c r="RWY1" s="224"/>
      <c r="RWZ1" s="224"/>
      <c r="RXA1" s="224"/>
      <c r="RXB1" s="224"/>
      <c r="RXC1" s="224"/>
      <c r="RXD1" s="224"/>
      <c r="RXE1" s="224"/>
      <c r="RXF1" s="224"/>
      <c r="RXG1" s="224"/>
      <c r="RXH1" s="224"/>
      <c r="RXI1" s="224"/>
      <c r="RXJ1" s="224"/>
      <c r="RXK1" s="224"/>
      <c r="RXL1" s="224"/>
      <c r="RXM1" s="224"/>
      <c r="RXN1" s="224"/>
      <c r="RXO1" s="224"/>
      <c r="RXP1" s="224"/>
      <c r="RXQ1" s="224"/>
      <c r="RXR1" s="224"/>
      <c r="RXS1" s="224"/>
      <c r="RXT1" s="224"/>
      <c r="RXU1" s="224"/>
      <c r="RXV1" s="224"/>
      <c r="RXW1" s="224"/>
      <c r="RXX1" s="224"/>
      <c r="RXY1" s="224"/>
      <c r="RXZ1" s="224"/>
      <c r="RYA1" s="224"/>
      <c r="RYB1" s="224"/>
      <c r="RYC1" s="224"/>
      <c r="RYD1" s="224"/>
      <c r="RYE1" s="224"/>
      <c r="RYF1" s="224"/>
      <c r="RYG1" s="224"/>
      <c r="RYH1" s="224"/>
      <c r="RYI1" s="224"/>
      <c r="RYJ1" s="224"/>
      <c r="RYK1" s="224"/>
      <c r="RYL1" s="224"/>
      <c r="RYM1" s="224"/>
      <c r="RYN1" s="224"/>
      <c r="RYO1" s="224"/>
      <c r="RYP1" s="224"/>
      <c r="RYQ1" s="224"/>
      <c r="RYR1" s="224"/>
      <c r="RYS1" s="224"/>
      <c r="RYT1" s="224"/>
      <c r="RYU1" s="224"/>
      <c r="RYV1" s="224"/>
      <c r="RYW1" s="224"/>
      <c r="RYX1" s="224"/>
      <c r="RYY1" s="224"/>
      <c r="RYZ1" s="224"/>
      <c r="RZA1" s="224"/>
      <c r="RZB1" s="224"/>
      <c r="RZC1" s="224"/>
      <c r="RZD1" s="224"/>
      <c r="RZE1" s="224"/>
      <c r="RZF1" s="224"/>
      <c r="RZG1" s="224"/>
      <c r="RZH1" s="224"/>
      <c r="RZI1" s="224"/>
      <c r="RZJ1" s="224"/>
      <c r="RZK1" s="224"/>
      <c r="RZL1" s="224"/>
      <c r="RZM1" s="224"/>
      <c r="RZN1" s="224"/>
      <c r="RZO1" s="224"/>
      <c r="RZP1" s="224"/>
      <c r="RZQ1" s="224"/>
      <c r="RZR1" s="224"/>
      <c r="RZS1" s="224"/>
      <c r="RZT1" s="224"/>
      <c r="RZU1" s="224"/>
      <c r="RZV1" s="224"/>
      <c r="RZW1" s="224"/>
      <c r="RZX1" s="224"/>
      <c r="RZY1" s="224"/>
      <c r="RZZ1" s="224"/>
      <c r="SAA1" s="224"/>
      <c r="SAB1" s="224"/>
      <c r="SAC1" s="224"/>
      <c r="SAD1" s="224"/>
      <c r="SAE1" s="224"/>
      <c r="SAF1" s="224"/>
      <c r="SAG1" s="224"/>
      <c r="SAH1" s="224"/>
      <c r="SAI1" s="224"/>
      <c r="SAJ1" s="224"/>
      <c r="SAK1" s="224"/>
      <c r="SAL1" s="224"/>
      <c r="SAM1" s="224"/>
      <c r="SAN1" s="224"/>
      <c r="SAO1" s="224"/>
      <c r="SAP1" s="224"/>
      <c r="SAQ1" s="224"/>
      <c r="SAR1" s="224"/>
      <c r="SAS1" s="224"/>
      <c r="SAT1" s="224"/>
      <c r="SAU1" s="224"/>
      <c r="SAV1" s="224"/>
      <c r="SAW1" s="224"/>
      <c r="SAX1" s="224"/>
      <c r="SAY1" s="224"/>
      <c r="SAZ1" s="224"/>
      <c r="SBA1" s="224"/>
      <c r="SBB1" s="224"/>
      <c r="SBC1" s="224"/>
      <c r="SBD1" s="224"/>
      <c r="SBE1" s="224"/>
      <c r="SBF1" s="224"/>
      <c r="SBG1" s="224"/>
      <c r="SBH1" s="224"/>
      <c r="SBI1" s="224"/>
      <c r="SBJ1" s="224"/>
      <c r="SBK1" s="224"/>
      <c r="SBL1" s="224"/>
      <c r="SBM1" s="224"/>
      <c r="SBN1" s="224"/>
      <c r="SBO1" s="224"/>
      <c r="SBP1" s="224"/>
      <c r="SBQ1" s="224"/>
      <c r="SBR1" s="224"/>
      <c r="SBS1" s="224"/>
      <c r="SBT1" s="224"/>
      <c r="SBU1" s="224"/>
      <c r="SBV1" s="224"/>
      <c r="SBW1" s="224"/>
      <c r="SBX1" s="224"/>
      <c r="SBY1" s="224"/>
      <c r="SBZ1" s="224"/>
      <c r="SCA1" s="224"/>
      <c r="SCB1" s="224"/>
      <c r="SCC1" s="224"/>
      <c r="SCD1" s="224"/>
      <c r="SCE1" s="224"/>
      <c r="SCF1" s="224"/>
      <c r="SCG1" s="224"/>
      <c r="SCH1" s="224"/>
      <c r="SCI1" s="224"/>
      <c r="SCJ1" s="224"/>
      <c r="SCK1" s="224"/>
      <c r="SCL1" s="224"/>
      <c r="SCM1" s="224"/>
      <c r="SCN1" s="224"/>
      <c r="SCO1" s="224"/>
      <c r="SCP1" s="224"/>
      <c r="SCQ1" s="224"/>
      <c r="SCR1" s="224"/>
      <c r="SCS1" s="224"/>
      <c r="SCT1" s="224"/>
      <c r="SCU1" s="224"/>
      <c r="SCV1" s="224"/>
      <c r="SCW1" s="224"/>
      <c r="SCX1" s="224"/>
      <c r="SCY1" s="224"/>
      <c r="SCZ1" s="224"/>
      <c r="SDA1" s="224"/>
      <c r="SDB1" s="224"/>
      <c r="SDC1" s="224"/>
      <c r="SDD1" s="224"/>
      <c r="SDE1" s="224"/>
      <c r="SDF1" s="224"/>
      <c r="SDG1" s="224"/>
      <c r="SDH1" s="224"/>
      <c r="SDI1" s="224"/>
      <c r="SDJ1" s="224"/>
      <c r="SDK1" s="224"/>
      <c r="SDL1" s="224"/>
      <c r="SDM1" s="224"/>
      <c r="SDN1" s="224"/>
      <c r="SDO1" s="224"/>
      <c r="SDP1" s="224"/>
      <c r="SDQ1" s="224"/>
      <c r="SDR1" s="224"/>
      <c r="SDS1" s="224"/>
      <c r="SDT1" s="224"/>
      <c r="SDU1" s="224"/>
      <c r="SDV1" s="224"/>
      <c r="SDW1" s="224"/>
      <c r="SDX1" s="224"/>
      <c r="SDY1" s="224"/>
      <c r="SDZ1" s="224"/>
      <c r="SEA1" s="224"/>
      <c r="SEB1" s="224"/>
      <c r="SEC1" s="224"/>
      <c r="SED1" s="224"/>
      <c r="SEE1" s="224"/>
      <c r="SEF1" s="224"/>
      <c r="SEG1" s="224"/>
      <c r="SEH1" s="224"/>
      <c r="SEI1" s="224"/>
      <c r="SEJ1" s="224"/>
      <c r="SEK1" s="224"/>
      <c r="SEL1" s="224"/>
      <c r="SEM1" s="224"/>
      <c r="SEN1" s="224"/>
      <c r="SEO1" s="224"/>
      <c r="SEP1" s="224"/>
      <c r="SEQ1" s="224"/>
      <c r="SER1" s="224"/>
      <c r="SES1" s="224"/>
      <c r="SET1" s="224"/>
      <c r="SEU1" s="224"/>
      <c r="SEV1" s="224"/>
      <c r="SEW1" s="224"/>
      <c r="SEX1" s="224"/>
      <c r="SEY1" s="224"/>
      <c r="SEZ1" s="224"/>
      <c r="SFA1" s="224"/>
      <c r="SFB1" s="224"/>
      <c r="SFC1" s="224"/>
      <c r="SFD1" s="224"/>
      <c r="SFE1" s="224"/>
      <c r="SFF1" s="224"/>
      <c r="SFG1" s="224"/>
      <c r="SFH1" s="224"/>
      <c r="SFI1" s="224"/>
      <c r="SFJ1" s="224"/>
      <c r="SFK1" s="224"/>
      <c r="SFL1" s="224"/>
      <c r="SFM1" s="224"/>
      <c r="SFN1" s="224"/>
      <c r="SFO1" s="224"/>
      <c r="SFP1" s="224"/>
      <c r="SFQ1" s="224"/>
      <c r="SFR1" s="224"/>
      <c r="SFS1" s="224"/>
      <c r="SFT1" s="224"/>
      <c r="SFU1" s="224"/>
      <c r="SFV1" s="224"/>
      <c r="SFW1" s="224"/>
      <c r="SFX1" s="224"/>
      <c r="SFY1" s="224"/>
      <c r="SFZ1" s="224"/>
      <c r="SGA1" s="224"/>
      <c r="SGB1" s="224"/>
      <c r="SGC1" s="224"/>
      <c r="SGD1" s="224"/>
      <c r="SGE1" s="224"/>
      <c r="SGF1" s="224"/>
      <c r="SGG1" s="224"/>
      <c r="SGH1" s="224"/>
      <c r="SGI1" s="224"/>
      <c r="SGJ1" s="224"/>
      <c r="SGK1" s="224"/>
      <c r="SGL1" s="224"/>
      <c r="SGM1" s="224"/>
      <c r="SGN1" s="224"/>
      <c r="SGO1" s="224"/>
      <c r="SGP1" s="224"/>
      <c r="SGQ1" s="224"/>
      <c r="SGR1" s="224"/>
      <c r="SGS1" s="224"/>
      <c r="SGT1" s="224"/>
      <c r="SGU1" s="224"/>
      <c r="SGV1" s="224"/>
      <c r="SGW1" s="224"/>
      <c r="SGX1" s="224"/>
      <c r="SGY1" s="224"/>
      <c r="SGZ1" s="224"/>
      <c r="SHA1" s="224"/>
      <c r="SHB1" s="224"/>
      <c r="SHC1" s="224"/>
      <c r="SHD1" s="224"/>
      <c r="SHE1" s="224"/>
      <c r="SHF1" s="224"/>
      <c r="SHG1" s="224"/>
      <c r="SHH1" s="224"/>
      <c r="SHI1" s="224"/>
      <c r="SHJ1" s="224"/>
      <c r="SHK1" s="224"/>
      <c r="SHL1" s="224"/>
      <c r="SHM1" s="224"/>
      <c r="SHN1" s="224"/>
      <c r="SHO1" s="224"/>
      <c r="SHP1" s="224"/>
      <c r="SHQ1" s="224"/>
      <c r="SHR1" s="224"/>
      <c r="SHS1" s="224"/>
      <c r="SHT1" s="224"/>
      <c r="SHU1" s="224"/>
      <c r="SHV1" s="224"/>
      <c r="SHW1" s="224"/>
      <c r="SHX1" s="224"/>
      <c r="SHY1" s="224"/>
      <c r="SHZ1" s="224"/>
      <c r="SIA1" s="224"/>
      <c r="SIB1" s="224"/>
      <c r="SIC1" s="224"/>
      <c r="SID1" s="224"/>
      <c r="SIE1" s="224"/>
      <c r="SIF1" s="224"/>
      <c r="SIG1" s="224"/>
      <c r="SIH1" s="224"/>
      <c r="SII1" s="224"/>
      <c r="SIJ1" s="224"/>
      <c r="SIK1" s="224"/>
      <c r="SIL1" s="224"/>
      <c r="SIM1" s="224"/>
      <c r="SIN1" s="224"/>
      <c r="SIO1" s="224"/>
      <c r="SIP1" s="224"/>
      <c r="SIQ1" s="224"/>
      <c r="SIR1" s="224"/>
      <c r="SIS1" s="224"/>
      <c r="SIT1" s="224"/>
      <c r="SIU1" s="224"/>
      <c r="SIV1" s="224"/>
      <c r="SIW1" s="224"/>
      <c r="SIX1" s="224"/>
      <c r="SIY1" s="224"/>
      <c r="SIZ1" s="224"/>
      <c r="SJA1" s="224"/>
      <c r="SJB1" s="224"/>
      <c r="SJC1" s="224"/>
      <c r="SJD1" s="224"/>
      <c r="SJE1" s="224"/>
      <c r="SJF1" s="224"/>
      <c r="SJG1" s="224"/>
      <c r="SJH1" s="224"/>
      <c r="SJI1" s="224"/>
      <c r="SJJ1" s="224"/>
      <c r="SJK1" s="224"/>
      <c r="SJL1" s="224"/>
      <c r="SJM1" s="224"/>
      <c r="SJN1" s="224"/>
      <c r="SJO1" s="224"/>
      <c r="SJP1" s="224"/>
      <c r="SJQ1" s="224"/>
      <c r="SJR1" s="224"/>
      <c r="SJS1" s="224"/>
      <c r="SJT1" s="224"/>
      <c r="SJU1" s="224"/>
      <c r="SJV1" s="224"/>
      <c r="SJW1" s="224"/>
      <c r="SJX1" s="224"/>
      <c r="SJY1" s="224"/>
      <c r="SJZ1" s="224"/>
      <c r="SKA1" s="224"/>
      <c r="SKB1" s="224"/>
      <c r="SKC1" s="224"/>
      <c r="SKD1" s="224"/>
      <c r="SKE1" s="224"/>
      <c r="SKF1" s="224"/>
      <c r="SKG1" s="224"/>
      <c r="SKH1" s="224"/>
      <c r="SKI1" s="224"/>
      <c r="SKJ1" s="224"/>
      <c r="SKK1" s="224"/>
      <c r="SKL1" s="224"/>
      <c r="SKM1" s="224"/>
      <c r="SKN1" s="224"/>
      <c r="SKO1" s="224"/>
      <c r="SKP1" s="224"/>
      <c r="SKQ1" s="224"/>
      <c r="SKR1" s="224"/>
      <c r="SKS1" s="224"/>
      <c r="SKT1" s="224"/>
      <c r="SKU1" s="224"/>
      <c r="SKV1" s="224"/>
      <c r="SKW1" s="224"/>
      <c r="SKX1" s="224"/>
      <c r="SKY1" s="224"/>
      <c r="SKZ1" s="224"/>
      <c r="SLA1" s="224"/>
      <c r="SLB1" s="224"/>
      <c r="SLC1" s="224"/>
      <c r="SLD1" s="224"/>
      <c r="SLE1" s="224"/>
      <c r="SLF1" s="224"/>
      <c r="SLG1" s="224"/>
      <c r="SLH1" s="224"/>
      <c r="SLI1" s="224"/>
      <c r="SLJ1" s="224"/>
      <c r="SLK1" s="224"/>
      <c r="SLL1" s="224"/>
      <c r="SLM1" s="224"/>
      <c r="SLN1" s="224"/>
      <c r="SLO1" s="224"/>
      <c r="SLP1" s="224"/>
      <c r="SLQ1" s="224"/>
      <c r="SLR1" s="224"/>
      <c r="SLS1" s="224"/>
      <c r="SLT1" s="224"/>
      <c r="SLU1" s="224"/>
      <c r="SLV1" s="224"/>
      <c r="SLW1" s="224"/>
      <c r="SLX1" s="224"/>
      <c r="SLY1" s="224"/>
      <c r="SLZ1" s="224"/>
      <c r="SMA1" s="224"/>
      <c r="SMB1" s="224"/>
      <c r="SMC1" s="224"/>
      <c r="SMD1" s="224"/>
      <c r="SME1" s="224"/>
      <c r="SMF1" s="224"/>
      <c r="SMG1" s="224"/>
      <c r="SMH1" s="224"/>
      <c r="SMI1" s="224"/>
      <c r="SMJ1" s="224"/>
      <c r="SMK1" s="224"/>
      <c r="SML1" s="224"/>
      <c r="SMM1" s="224"/>
      <c r="SMN1" s="224"/>
      <c r="SMO1" s="224"/>
      <c r="SMP1" s="224"/>
      <c r="SMQ1" s="224"/>
      <c r="SMR1" s="224"/>
      <c r="SMS1" s="224"/>
      <c r="SMT1" s="224"/>
      <c r="SMU1" s="224"/>
      <c r="SMV1" s="224"/>
      <c r="SMW1" s="224"/>
      <c r="SMX1" s="224"/>
      <c r="SMY1" s="224"/>
      <c r="SMZ1" s="224"/>
      <c r="SNA1" s="224"/>
      <c r="SNB1" s="224"/>
      <c r="SNC1" s="224"/>
      <c r="SND1" s="224"/>
      <c r="SNE1" s="224"/>
      <c r="SNF1" s="224"/>
      <c r="SNG1" s="224"/>
      <c r="SNH1" s="224"/>
      <c r="SNI1" s="224"/>
      <c r="SNJ1" s="224"/>
      <c r="SNK1" s="224"/>
      <c r="SNL1" s="224"/>
      <c r="SNM1" s="224"/>
      <c r="SNN1" s="224"/>
      <c r="SNO1" s="224"/>
      <c r="SNP1" s="224"/>
      <c r="SNQ1" s="224"/>
      <c r="SNR1" s="224"/>
      <c r="SNS1" s="224"/>
      <c r="SNT1" s="224"/>
      <c r="SNU1" s="224"/>
      <c r="SNV1" s="224"/>
      <c r="SNW1" s="224"/>
      <c r="SNX1" s="224"/>
      <c r="SNY1" s="224"/>
      <c r="SNZ1" s="224"/>
      <c r="SOA1" s="224"/>
      <c r="SOB1" s="224"/>
      <c r="SOC1" s="224"/>
      <c r="SOD1" s="224"/>
      <c r="SOE1" s="224"/>
      <c r="SOF1" s="224"/>
      <c r="SOG1" s="224"/>
      <c r="SOH1" s="224"/>
      <c r="SOI1" s="224"/>
      <c r="SOJ1" s="224"/>
      <c r="SOK1" s="224"/>
      <c r="SOL1" s="224"/>
      <c r="SOM1" s="224"/>
      <c r="SON1" s="224"/>
      <c r="SOO1" s="224"/>
      <c r="SOP1" s="224"/>
      <c r="SOQ1" s="224"/>
      <c r="SOR1" s="224"/>
      <c r="SOS1" s="224"/>
      <c r="SOT1" s="224"/>
      <c r="SOU1" s="224"/>
      <c r="SOV1" s="224"/>
      <c r="SOW1" s="224"/>
      <c r="SOX1" s="224"/>
      <c r="SOY1" s="224"/>
      <c r="SOZ1" s="224"/>
      <c r="SPA1" s="224"/>
      <c r="SPB1" s="224"/>
      <c r="SPC1" s="224"/>
      <c r="SPD1" s="224"/>
      <c r="SPE1" s="224"/>
      <c r="SPF1" s="224"/>
      <c r="SPG1" s="224"/>
      <c r="SPH1" s="224"/>
      <c r="SPI1" s="224"/>
      <c r="SPJ1" s="224"/>
      <c r="SPK1" s="224"/>
      <c r="SPL1" s="224"/>
      <c r="SPM1" s="224"/>
      <c r="SPN1" s="224"/>
      <c r="SPO1" s="224"/>
      <c r="SPP1" s="224"/>
      <c r="SPQ1" s="224"/>
      <c r="SPR1" s="224"/>
      <c r="SPS1" s="224"/>
      <c r="SPT1" s="224"/>
      <c r="SPU1" s="224"/>
      <c r="SPV1" s="224"/>
      <c r="SPW1" s="224"/>
      <c r="SPX1" s="224"/>
      <c r="SPY1" s="224"/>
      <c r="SPZ1" s="224"/>
      <c r="SQA1" s="224"/>
      <c r="SQB1" s="224"/>
      <c r="SQC1" s="224"/>
      <c r="SQD1" s="224"/>
      <c r="SQE1" s="224"/>
      <c r="SQF1" s="224"/>
      <c r="SQG1" s="224"/>
      <c r="SQH1" s="224"/>
      <c r="SQI1" s="224"/>
      <c r="SQJ1" s="224"/>
      <c r="SQK1" s="224"/>
      <c r="SQL1" s="224"/>
      <c r="SQM1" s="224"/>
      <c r="SQN1" s="224"/>
      <c r="SQO1" s="224"/>
      <c r="SQP1" s="224"/>
      <c r="SQQ1" s="224"/>
      <c r="SQR1" s="224"/>
      <c r="SQS1" s="224"/>
      <c r="SQT1" s="224"/>
      <c r="SQU1" s="224"/>
      <c r="SQV1" s="224"/>
      <c r="SQW1" s="224"/>
      <c r="SQX1" s="224"/>
      <c r="SQY1" s="224"/>
      <c r="SQZ1" s="224"/>
      <c r="SRA1" s="224"/>
      <c r="SRB1" s="224"/>
      <c r="SRC1" s="224"/>
      <c r="SRD1" s="224"/>
      <c r="SRE1" s="224"/>
      <c r="SRF1" s="224"/>
      <c r="SRG1" s="224"/>
      <c r="SRH1" s="224"/>
      <c r="SRI1" s="224"/>
      <c r="SRJ1" s="224"/>
      <c r="SRK1" s="224"/>
      <c r="SRL1" s="224"/>
      <c r="SRM1" s="224"/>
      <c r="SRN1" s="224"/>
      <c r="SRO1" s="224"/>
      <c r="SRP1" s="224"/>
      <c r="SRQ1" s="224"/>
      <c r="SRR1" s="224"/>
      <c r="SRS1" s="224"/>
      <c r="SRT1" s="224"/>
      <c r="SRU1" s="224"/>
      <c r="SRV1" s="224"/>
      <c r="SRW1" s="224"/>
      <c r="SRX1" s="224"/>
      <c r="SRY1" s="224"/>
      <c r="SRZ1" s="224"/>
      <c r="SSA1" s="224"/>
      <c r="SSB1" s="224"/>
      <c r="SSC1" s="224"/>
      <c r="SSD1" s="224"/>
      <c r="SSE1" s="224"/>
      <c r="SSF1" s="224"/>
      <c r="SSG1" s="224"/>
      <c r="SSH1" s="224"/>
      <c r="SSI1" s="224"/>
      <c r="SSJ1" s="224"/>
      <c r="SSK1" s="224"/>
      <c r="SSL1" s="224"/>
      <c r="SSM1" s="224"/>
      <c r="SSN1" s="224"/>
      <c r="SSO1" s="224"/>
      <c r="SSP1" s="224"/>
      <c r="SSQ1" s="224"/>
      <c r="SSR1" s="224"/>
      <c r="SSS1" s="224"/>
      <c r="SST1" s="224"/>
      <c r="SSU1" s="224"/>
      <c r="SSV1" s="224"/>
      <c r="SSW1" s="224"/>
      <c r="SSX1" s="224"/>
      <c r="SSY1" s="224"/>
      <c r="SSZ1" s="224"/>
      <c r="STA1" s="224"/>
      <c r="STB1" s="224"/>
      <c r="STC1" s="224"/>
      <c r="STD1" s="224"/>
      <c r="STE1" s="224"/>
      <c r="STF1" s="224"/>
      <c r="STG1" s="224"/>
      <c r="STH1" s="224"/>
      <c r="STI1" s="224"/>
      <c r="STJ1" s="224"/>
      <c r="STK1" s="224"/>
      <c r="STL1" s="224"/>
      <c r="STM1" s="224"/>
      <c r="STN1" s="224"/>
      <c r="STO1" s="224"/>
      <c r="STP1" s="224"/>
      <c r="STQ1" s="224"/>
      <c r="STR1" s="224"/>
      <c r="STS1" s="224"/>
      <c r="STT1" s="224"/>
      <c r="STU1" s="224"/>
      <c r="STV1" s="224"/>
      <c r="STW1" s="224"/>
      <c r="STX1" s="224"/>
      <c r="STY1" s="224"/>
      <c r="STZ1" s="224"/>
      <c r="SUA1" s="224"/>
      <c r="SUB1" s="224"/>
      <c r="SUC1" s="224"/>
      <c r="SUD1" s="224"/>
      <c r="SUE1" s="224"/>
      <c r="SUF1" s="224"/>
      <c r="SUG1" s="224"/>
      <c r="SUH1" s="224"/>
      <c r="SUI1" s="224"/>
      <c r="SUJ1" s="224"/>
      <c r="SUK1" s="224"/>
      <c r="SUL1" s="224"/>
      <c r="SUM1" s="224"/>
      <c r="SUN1" s="224"/>
      <c r="SUO1" s="224"/>
      <c r="SUP1" s="224"/>
      <c r="SUQ1" s="224"/>
      <c r="SUR1" s="224"/>
      <c r="SUS1" s="224"/>
      <c r="SUT1" s="224"/>
      <c r="SUU1" s="224"/>
      <c r="SUV1" s="224"/>
      <c r="SUW1" s="224"/>
      <c r="SUX1" s="224"/>
      <c r="SUY1" s="224"/>
      <c r="SUZ1" s="224"/>
      <c r="SVA1" s="224"/>
      <c r="SVB1" s="224"/>
      <c r="SVC1" s="224"/>
      <c r="SVD1" s="224"/>
      <c r="SVE1" s="224"/>
      <c r="SVF1" s="224"/>
      <c r="SVG1" s="224"/>
      <c r="SVH1" s="224"/>
      <c r="SVI1" s="224"/>
      <c r="SVJ1" s="224"/>
      <c r="SVK1" s="224"/>
      <c r="SVL1" s="224"/>
      <c r="SVM1" s="224"/>
      <c r="SVN1" s="224"/>
      <c r="SVO1" s="224"/>
      <c r="SVP1" s="224"/>
      <c r="SVQ1" s="224"/>
      <c r="SVR1" s="224"/>
      <c r="SVS1" s="224"/>
      <c r="SVT1" s="224"/>
      <c r="SVU1" s="224"/>
      <c r="SVV1" s="224"/>
      <c r="SVW1" s="224"/>
      <c r="SVX1" s="224"/>
      <c r="SVY1" s="224"/>
      <c r="SVZ1" s="224"/>
      <c r="SWA1" s="224"/>
      <c r="SWB1" s="224"/>
      <c r="SWC1" s="224"/>
      <c r="SWD1" s="224"/>
      <c r="SWE1" s="224"/>
      <c r="SWF1" s="224"/>
      <c r="SWG1" s="224"/>
      <c r="SWH1" s="224"/>
      <c r="SWI1" s="224"/>
      <c r="SWJ1" s="224"/>
      <c r="SWK1" s="224"/>
      <c r="SWL1" s="224"/>
      <c r="SWM1" s="224"/>
      <c r="SWN1" s="224"/>
      <c r="SWO1" s="224"/>
      <c r="SWP1" s="224"/>
      <c r="SWQ1" s="224"/>
      <c r="SWR1" s="224"/>
      <c r="SWS1" s="224"/>
      <c r="SWT1" s="224"/>
      <c r="SWU1" s="224"/>
      <c r="SWV1" s="224"/>
      <c r="SWW1" s="224"/>
      <c r="SWX1" s="224"/>
      <c r="SWY1" s="224"/>
      <c r="SWZ1" s="224"/>
      <c r="SXA1" s="224"/>
      <c r="SXB1" s="224"/>
      <c r="SXC1" s="224"/>
      <c r="SXD1" s="224"/>
      <c r="SXE1" s="224"/>
      <c r="SXF1" s="224"/>
      <c r="SXG1" s="224"/>
      <c r="SXH1" s="224"/>
      <c r="SXI1" s="224"/>
      <c r="SXJ1" s="224"/>
      <c r="SXK1" s="224"/>
      <c r="SXL1" s="224"/>
      <c r="SXM1" s="224"/>
      <c r="SXN1" s="224"/>
      <c r="SXO1" s="224"/>
      <c r="SXP1" s="224"/>
      <c r="SXQ1" s="224"/>
      <c r="SXR1" s="224"/>
      <c r="SXS1" s="224"/>
      <c r="SXT1" s="224"/>
      <c r="SXU1" s="224"/>
      <c r="SXV1" s="224"/>
      <c r="SXW1" s="224"/>
      <c r="SXX1" s="224"/>
      <c r="SXY1" s="224"/>
      <c r="SXZ1" s="224"/>
      <c r="SYA1" s="224"/>
      <c r="SYB1" s="224"/>
      <c r="SYC1" s="224"/>
      <c r="SYD1" s="224"/>
      <c r="SYE1" s="224"/>
      <c r="SYF1" s="224"/>
      <c r="SYG1" s="224"/>
      <c r="SYH1" s="224"/>
      <c r="SYI1" s="224"/>
      <c r="SYJ1" s="224"/>
      <c r="SYK1" s="224"/>
      <c r="SYL1" s="224"/>
      <c r="SYM1" s="224"/>
      <c r="SYN1" s="224"/>
      <c r="SYO1" s="224"/>
      <c r="SYP1" s="224"/>
      <c r="SYQ1" s="224"/>
      <c r="SYR1" s="224"/>
      <c r="SYS1" s="224"/>
      <c r="SYT1" s="224"/>
      <c r="SYU1" s="224"/>
      <c r="SYV1" s="224"/>
      <c r="SYW1" s="224"/>
      <c r="SYX1" s="224"/>
      <c r="SYY1" s="224"/>
      <c r="SYZ1" s="224"/>
      <c r="SZA1" s="224"/>
      <c r="SZB1" s="224"/>
      <c r="SZC1" s="224"/>
      <c r="SZD1" s="224"/>
      <c r="SZE1" s="224"/>
      <c r="SZF1" s="224"/>
      <c r="SZG1" s="224"/>
      <c r="SZH1" s="224"/>
      <c r="SZI1" s="224"/>
      <c r="SZJ1" s="224"/>
      <c r="SZK1" s="224"/>
      <c r="SZL1" s="224"/>
      <c r="SZM1" s="224"/>
      <c r="SZN1" s="224"/>
      <c r="SZO1" s="224"/>
      <c r="SZP1" s="224"/>
      <c r="SZQ1" s="224"/>
      <c r="SZR1" s="224"/>
      <c r="SZS1" s="224"/>
      <c r="SZT1" s="224"/>
      <c r="SZU1" s="224"/>
      <c r="SZV1" s="224"/>
      <c r="SZW1" s="224"/>
      <c r="SZX1" s="224"/>
      <c r="SZY1" s="224"/>
      <c r="SZZ1" s="224"/>
      <c r="TAA1" s="224"/>
      <c r="TAB1" s="224"/>
      <c r="TAC1" s="224"/>
      <c r="TAD1" s="224"/>
      <c r="TAE1" s="224"/>
      <c r="TAF1" s="224"/>
      <c r="TAG1" s="224"/>
      <c r="TAH1" s="224"/>
      <c r="TAI1" s="224"/>
      <c r="TAJ1" s="224"/>
      <c r="TAK1" s="224"/>
      <c r="TAL1" s="224"/>
      <c r="TAM1" s="224"/>
      <c r="TAN1" s="224"/>
      <c r="TAO1" s="224"/>
      <c r="TAP1" s="224"/>
      <c r="TAQ1" s="224"/>
      <c r="TAR1" s="224"/>
      <c r="TAS1" s="224"/>
      <c r="TAT1" s="224"/>
      <c r="TAU1" s="224"/>
      <c r="TAV1" s="224"/>
      <c r="TAW1" s="224"/>
      <c r="TAX1" s="224"/>
      <c r="TAY1" s="224"/>
      <c r="TAZ1" s="224"/>
      <c r="TBA1" s="224"/>
      <c r="TBB1" s="224"/>
      <c r="TBC1" s="224"/>
      <c r="TBD1" s="224"/>
      <c r="TBE1" s="224"/>
      <c r="TBF1" s="224"/>
      <c r="TBG1" s="224"/>
      <c r="TBH1" s="224"/>
      <c r="TBI1" s="224"/>
      <c r="TBJ1" s="224"/>
      <c r="TBK1" s="224"/>
      <c r="TBL1" s="224"/>
      <c r="TBM1" s="224"/>
      <c r="TBN1" s="224"/>
      <c r="TBO1" s="224"/>
      <c r="TBP1" s="224"/>
      <c r="TBQ1" s="224"/>
      <c r="TBR1" s="224"/>
      <c r="TBS1" s="224"/>
      <c r="TBT1" s="224"/>
      <c r="TBU1" s="224"/>
      <c r="TBV1" s="224"/>
      <c r="TBW1" s="224"/>
      <c r="TBX1" s="224"/>
      <c r="TBY1" s="224"/>
      <c r="TBZ1" s="224"/>
      <c r="TCA1" s="224"/>
      <c r="TCB1" s="224"/>
      <c r="TCC1" s="224"/>
      <c r="TCD1" s="224"/>
      <c r="TCE1" s="224"/>
      <c r="TCF1" s="224"/>
      <c r="TCG1" s="224"/>
      <c r="TCH1" s="224"/>
      <c r="TCI1" s="224"/>
      <c r="TCJ1" s="224"/>
      <c r="TCK1" s="224"/>
      <c r="TCL1" s="224"/>
      <c r="TCM1" s="224"/>
      <c r="TCN1" s="224"/>
      <c r="TCO1" s="224"/>
      <c r="TCP1" s="224"/>
      <c r="TCQ1" s="224"/>
      <c r="TCR1" s="224"/>
      <c r="TCS1" s="224"/>
      <c r="TCT1" s="224"/>
      <c r="TCU1" s="224"/>
      <c r="TCV1" s="224"/>
      <c r="TCW1" s="224"/>
      <c r="TCX1" s="224"/>
      <c r="TCY1" s="224"/>
      <c r="TCZ1" s="224"/>
      <c r="TDA1" s="224"/>
      <c r="TDB1" s="224"/>
      <c r="TDC1" s="224"/>
      <c r="TDD1" s="224"/>
      <c r="TDE1" s="224"/>
      <c r="TDF1" s="224"/>
      <c r="TDG1" s="224"/>
      <c r="TDH1" s="224"/>
      <c r="TDI1" s="224"/>
      <c r="TDJ1" s="224"/>
      <c r="TDK1" s="224"/>
      <c r="TDL1" s="224"/>
      <c r="TDM1" s="224"/>
      <c r="TDN1" s="224"/>
      <c r="TDO1" s="224"/>
      <c r="TDP1" s="224"/>
      <c r="TDQ1" s="224"/>
      <c r="TDR1" s="224"/>
      <c r="TDS1" s="224"/>
      <c r="TDT1" s="224"/>
      <c r="TDU1" s="224"/>
      <c r="TDV1" s="224"/>
      <c r="TDW1" s="224"/>
      <c r="TDX1" s="224"/>
      <c r="TDY1" s="224"/>
      <c r="TDZ1" s="224"/>
      <c r="TEA1" s="224"/>
      <c r="TEB1" s="224"/>
      <c r="TEC1" s="224"/>
      <c r="TED1" s="224"/>
      <c r="TEE1" s="224"/>
      <c r="TEF1" s="224"/>
      <c r="TEG1" s="224"/>
      <c r="TEH1" s="224"/>
      <c r="TEI1" s="224"/>
      <c r="TEJ1" s="224"/>
      <c r="TEK1" s="224"/>
      <c r="TEL1" s="224"/>
      <c r="TEM1" s="224"/>
      <c r="TEN1" s="224"/>
      <c r="TEO1" s="224"/>
      <c r="TEP1" s="224"/>
      <c r="TEQ1" s="224"/>
      <c r="TER1" s="224"/>
      <c r="TES1" s="224"/>
      <c r="TET1" s="224"/>
      <c r="TEU1" s="224"/>
      <c r="TEV1" s="224"/>
      <c r="TEW1" s="224"/>
      <c r="TEX1" s="224"/>
      <c r="TEY1" s="224"/>
      <c r="TEZ1" s="224"/>
      <c r="TFA1" s="224"/>
      <c r="TFB1" s="224"/>
      <c r="TFC1" s="224"/>
      <c r="TFD1" s="224"/>
      <c r="TFE1" s="224"/>
      <c r="TFF1" s="224"/>
      <c r="TFG1" s="224"/>
      <c r="TFH1" s="224"/>
      <c r="TFI1" s="224"/>
      <c r="TFJ1" s="224"/>
      <c r="TFK1" s="224"/>
      <c r="TFL1" s="224"/>
      <c r="TFM1" s="224"/>
      <c r="TFN1" s="224"/>
      <c r="TFO1" s="224"/>
      <c r="TFP1" s="224"/>
      <c r="TFQ1" s="224"/>
      <c r="TFR1" s="224"/>
      <c r="TFS1" s="224"/>
      <c r="TFT1" s="224"/>
      <c r="TFU1" s="224"/>
      <c r="TFV1" s="224"/>
      <c r="TFW1" s="224"/>
      <c r="TFX1" s="224"/>
      <c r="TFY1" s="224"/>
      <c r="TFZ1" s="224"/>
      <c r="TGA1" s="224"/>
      <c r="TGB1" s="224"/>
      <c r="TGC1" s="224"/>
      <c r="TGD1" s="224"/>
      <c r="TGE1" s="224"/>
      <c r="TGF1" s="224"/>
      <c r="TGG1" s="224"/>
      <c r="TGH1" s="224"/>
      <c r="TGI1" s="224"/>
      <c r="TGJ1" s="224"/>
      <c r="TGK1" s="224"/>
      <c r="TGL1" s="224"/>
      <c r="TGM1" s="224"/>
      <c r="TGN1" s="224"/>
      <c r="TGO1" s="224"/>
      <c r="TGP1" s="224"/>
      <c r="TGQ1" s="224"/>
      <c r="TGR1" s="224"/>
      <c r="TGS1" s="224"/>
      <c r="TGT1" s="224"/>
      <c r="TGU1" s="224"/>
      <c r="TGV1" s="224"/>
      <c r="TGW1" s="224"/>
      <c r="TGX1" s="224"/>
      <c r="TGY1" s="224"/>
      <c r="TGZ1" s="224"/>
      <c r="THA1" s="224"/>
      <c r="THB1" s="224"/>
      <c r="THC1" s="224"/>
      <c r="THD1" s="224"/>
      <c r="THE1" s="224"/>
      <c r="THF1" s="224"/>
      <c r="THG1" s="224"/>
      <c r="THH1" s="224"/>
      <c r="THI1" s="224"/>
      <c r="THJ1" s="224"/>
      <c r="THK1" s="224"/>
      <c r="THL1" s="224"/>
      <c r="THM1" s="224"/>
      <c r="THN1" s="224"/>
      <c r="THO1" s="224"/>
      <c r="THP1" s="224"/>
      <c r="THQ1" s="224"/>
      <c r="THR1" s="224"/>
      <c r="THS1" s="224"/>
      <c r="THT1" s="224"/>
      <c r="THU1" s="224"/>
      <c r="THV1" s="224"/>
      <c r="THW1" s="224"/>
      <c r="THX1" s="224"/>
      <c r="THY1" s="224"/>
      <c r="THZ1" s="224"/>
      <c r="TIA1" s="224"/>
      <c r="TIB1" s="224"/>
      <c r="TIC1" s="224"/>
      <c r="TID1" s="224"/>
      <c r="TIE1" s="224"/>
      <c r="TIF1" s="224"/>
      <c r="TIG1" s="224"/>
      <c r="TIH1" s="224"/>
      <c r="TII1" s="224"/>
      <c r="TIJ1" s="224"/>
      <c r="TIK1" s="224"/>
      <c r="TIL1" s="224"/>
      <c r="TIM1" s="224"/>
      <c r="TIN1" s="224"/>
      <c r="TIO1" s="224"/>
      <c r="TIP1" s="224"/>
      <c r="TIQ1" s="224"/>
      <c r="TIR1" s="224"/>
      <c r="TIS1" s="224"/>
      <c r="TIT1" s="224"/>
      <c r="TIU1" s="224"/>
      <c r="TIV1" s="224"/>
      <c r="TIW1" s="224"/>
      <c r="TIX1" s="224"/>
      <c r="TIY1" s="224"/>
      <c r="TIZ1" s="224"/>
      <c r="TJA1" s="224"/>
      <c r="TJB1" s="224"/>
      <c r="TJC1" s="224"/>
      <c r="TJD1" s="224"/>
      <c r="TJE1" s="224"/>
      <c r="TJF1" s="224"/>
      <c r="TJG1" s="224"/>
      <c r="TJH1" s="224"/>
      <c r="TJI1" s="224"/>
      <c r="TJJ1" s="224"/>
      <c r="TJK1" s="224"/>
      <c r="TJL1" s="224"/>
      <c r="TJM1" s="224"/>
      <c r="TJN1" s="224"/>
      <c r="TJO1" s="224"/>
      <c r="TJP1" s="224"/>
      <c r="TJQ1" s="224"/>
      <c r="TJR1" s="224"/>
      <c r="TJS1" s="224"/>
      <c r="TJT1" s="224"/>
      <c r="TJU1" s="224"/>
      <c r="TJV1" s="224"/>
      <c r="TJW1" s="224"/>
      <c r="TJX1" s="224"/>
      <c r="TJY1" s="224"/>
      <c r="TJZ1" s="224"/>
      <c r="TKA1" s="224"/>
      <c r="TKB1" s="224"/>
      <c r="TKC1" s="224"/>
      <c r="TKD1" s="224"/>
      <c r="TKE1" s="224"/>
      <c r="TKF1" s="224"/>
      <c r="TKG1" s="224"/>
      <c r="TKH1" s="224"/>
      <c r="TKI1" s="224"/>
      <c r="TKJ1" s="224"/>
      <c r="TKK1" s="224"/>
      <c r="TKL1" s="224"/>
      <c r="TKM1" s="224"/>
      <c r="TKN1" s="224"/>
      <c r="TKO1" s="224"/>
      <c r="TKP1" s="224"/>
      <c r="TKQ1" s="224"/>
      <c r="TKR1" s="224"/>
      <c r="TKS1" s="224"/>
      <c r="TKT1" s="224"/>
      <c r="TKU1" s="224"/>
      <c r="TKV1" s="224"/>
      <c r="TKW1" s="224"/>
      <c r="TKX1" s="224"/>
      <c r="TKY1" s="224"/>
      <c r="TKZ1" s="224"/>
      <c r="TLA1" s="224"/>
      <c r="TLB1" s="224"/>
      <c r="TLC1" s="224"/>
      <c r="TLD1" s="224"/>
      <c r="TLE1" s="224"/>
      <c r="TLF1" s="224"/>
      <c r="TLG1" s="224"/>
      <c r="TLH1" s="224"/>
      <c r="TLI1" s="224"/>
      <c r="TLJ1" s="224"/>
      <c r="TLK1" s="224"/>
      <c r="TLL1" s="224"/>
      <c r="TLM1" s="224"/>
      <c r="TLN1" s="224"/>
      <c r="TLO1" s="224"/>
      <c r="TLP1" s="224"/>
      <c r="TLQ1" s="224"/>
      <c r="TLR1" s="224"/>
      <c r="TLS1" s="224"/>
      <c r="TLT1" s="224"/>
      <c r="TLU1" s="224"/>
      <c r="TLV1" s="224"/>
      <c r="TLW1" s="224"/>
      <c r="TLX1" s="224"/>
      <c r="TLY1" s="224"/>
      <c r="TLZ1" s="224"/>
      <c r="TMA1" s="224"/>
      <c r="TMB1" s="224"/>
      <c r="TMC1" s="224"/>
      <c r="TMD1" s="224"/>
      <c r="TME1" s="224"/>
      <c r="TMF1" s="224"/>
      <c r="TMG1" s="224"/>
      <c r="TMH1" s="224"/>
      <c r="TMI1" s="224"/>
      <c r="TMJ1" s="224"/>
      <c r="TMK1" s="224"/>
      <c r="TML1" s="224"/>
      <c r="TMM1" s="224"/>
      <c r="TMN1" s="224"/>
      <c r="TMO1" s="224"/>
      <c r="TMP1" s="224"/>
      <c r="TMQ1" s="224"/>
      <c r="TMR1" s="224"/>
      <c r="TMS1" s="224"/>
      <c r="TMT1" s="224"/>
      <c r="TMU1" s="224"/>
      <c r="TMV1" s="224"/>
      <c r="TMW1" s="224"/>
      <c r="TMX1" s="224"/>
      <c r="TMY1" s="224"/>
      <c r="TMZ1" s="224"/>
      <c r="TNA1" s="224"/>
      <c r="TNB1" s="224"/>
      <c r="TNC1" s="224"/>
      <c r="TND1" s="224"/>
      <c r="TNE1" s="224"/>
      <c r="TNF1" s="224"/>
      <c r="TNG1" s="224"/>
      <c r="TNH1" s="224"/>
      <c r="TNI1" s="224"/>
      <c r="TNJ1" s="224"/>
      <c r="TNK1" s="224"/>
      <c r="TNL1" s="224"/>
      <c r="TNM1" s="224"/>
      <c r="TNN1" s="224"/>
      <c r="TNO1" s="224"/>
      <c r="TNP1" s="224"/>
      <c r="TNQ1" s="224"/>
      <c r="TNR1" s="224"/>
      <c r="TNS1" s="224"/>
      <c r="TNT1" s="224"/>
      <c r="TNU1" s="224"/>
      <c r="TNV1" s="224"/>
      <c r="TNW1" s="224"/>
      <c r="TNX1" s="224"/>
      <c r="TNY1" s="224"/>
      <c r="TNZ1" s="224"/>
      <c r="TOA1" s="224"/>
      <c r="TOB1" s="224"/>
      <c r="TOC1" s="224"/>
      <c r="TOD1" s="224"/>
      <c r="TOE1" s="224"/>
      <c r="TOF1" s="224"/>
      <c r="TOG1" s="224"/>
      <c r="TOH1" s="224"/>
      <c r="TOI1" s="224"/>
      <c r="TOJ1" s="224"/>
      <c r="TOK1" s="224"/>
      <c r="TOL1" s="224"/>
      <c r="TOM1" s="224"/>
      <c r="TON1" s="224"/>
      <c r="TOO1" s="224"/>
      <c r="TOP1" s="224"/>
      <c r="TOQ1" s="224"/>
      <c r="TOR1" s="224"/>
      <c r="TOS1" s="224"/>
      <c r="TOT1" s="224"/>
      <c r="TOU1" s="224"/>
      <c r="TOV1" s="224"/>
      <c r="TOW1" s="224"/>
      <c r="TOX1" s="224"/>
      <c r="TOY1" s="224"/>
      <c r="TOZ1" s="224"/>
      <c r="TPA1" s="224"/>
      <c r="TPB1" s="224"/>
      <c r="TPC1" s="224"/>
      <c r="TPD1" s="224"/>
      <c r="TPE1" s="224"/>
      <c r="TPF1" s="224"/>
      <c r="TPG1" s="224"/>
      <c r="TPH1" s="224"/>
      <c r="TPI1" s="224"/>
      <c r="TPJ1" s="224"/>
      <c r="TPK1" s="224"/>
      <c r="TPL1" s="224"/>
      <c r="TPM1" s="224"/>
      <c r="TPN1" s="224"/>
      <c r="TPO1" s="224"/>
      <c r="TPP1" s="224"/>
      <c r="TPQ1" s="224"/>
      <c r="TPR1" s="224"/>
      <c r="TPS1" s="224"/>
      <c r="TPT1" s="224"/>
      <c r="TPU1" s="224"/>
      <c r="TPV1" s="224"/>
      <c r="TPW1" s="224"/>
      <c r="TPX1" s="224"/>
      <c r="TPY1" s="224"/>
      <c r="TPZ1" s="224"/>
      <c r="TQA1" s="224"/>
      <c r="TQB1" s="224"/>
      <c r="TQC1" s="224"/>
      <c r="TQD1" s="224"/>
      <c r="TQE1" s="224"/>
      <c r="TQF1" s="224"/>
      <c r="TQG1" s="224"/>
      <c r="TQH1" s="224"/>
      <c r="TQI1" s="224"/>
      <c r="TQJ1" s="224"/>
      <c r="TQK1" s="224"/>
      <c r="TQL1" s="224"/>
      <c r="TQM1" s="224"/>
      <c r="TQN1" s="224"/>
      <c r="TQO1" s="224"/>
      <c r="TQP1" s="224"/>
      <c r="TQQ1" s="224"/>
      <c r="TQR1" s="224"/>
      <c r="TQS1" s="224"/>
      <c r="TQT1" s="224"/>
      <c r="TQU1" s="224"/>
      <c r="TQV1" s="224"/>
      <c r="TQW1" s="224"/>
      <c r="TQX1" s="224"/>
      <c r="TQY1" s="224"/>
      <c r="TQZ1" s="224"/>
      <c r="TRA1" s="224"/>
      <c r="TRB1" s="224"/>
      <c r="TRC1" s="224"/>
      <c r="TRD1" s="224"/>
      <c r="TRE1" s="224"/>
      <c r="TRF1" s="224"/>
      <c r="TRG1" s="224"/>
      <c r="TRH1" s="224"/>
      <c r="TRI1" s="224"/>
      <c r="TRJ1" s="224"/>
      <c r="TRK1" s="224"/>
      <c r="TRL1" s="224"/>
      <c r="TRM1" s="224"/>
      <c r="TRN1" s="224"/>
      <c r="TRO1" s="224"/>
      <c r="TRP1" s="224"/>
      <c r="TRQ1" s="224"/>
      <c r="TRR1" s="224"/>
      <c r="TRS1" s="224"/>
      <c r="TRT1" s="224"/>
      <c r="TRU1" s="224"/>
      <c r="TRV1" s="224"/>
      <c r="TRW1" s="224"/>
      <c r="TRX1" s="224"/>
      <c r="TRY1" s="224"/>
      <c r="TRZ1" s="224"/>
      <c r="TSA1" s="224"/>
      <c r="TSB1" s="224"/>
      <c r="TSC1" s="224"/>
      <c r="TSD1" s="224"/>
      <c r="TSE1" s="224"/>
      <c r="TSF1" s="224"/>
      <c r="TSG1" s="224"/>
      <c r="TSH1" s="224"/>
      <c r="TSI1" s="224"/>
      <c r="TSJ1" s="224"/>
      <c r="TSK1" s="224"/>
      <c r="TSL1" s="224"/>
      <c r="TSM1" s="224"/>
      <c r="TSN1" s="224"/>
      <c r="TSO1" s="224"/>
      <c r="TSP1" s="224"/>
      <c r="TSQ1" s="224"/>
      <c r="TSR1" s="224"/>
      <c r="TSS1" s="224"/>
      <c r="TST1" s="224"/>
      <c r="TSU1" s="224"/>
      <c r="TSV1" s="224"/>
      <c r="TSW1" s="224"/>
      <c r="TSX1" s="224"/>
      <c r="TSY1" s="224"/>
      <c r="TSZ1" s="224"/>
      <c r="TTA1" s="224"/>
      <c r="TTB1" s="224"/>
      <c r="TTC1" s="224"/>
      <c r="TTD1" s="224"/>
      <c r="TTE1" s="224"/>
      <c r="TTF1" s="224"/>
      <c r="TTG1" s="224"/>
      <c r="TTH1" s="224"/>
      <c r="TTI1" s="224"/>
      <c r="TTJ1" s="224"/>
      <c r="TTK1" s="224"/>
      <c r="TTL1" s="224"/>
      <c r="TTM1" s="224"/>
      <c r="TTN1" s="224"/>
      <c r="TTO1" s="224"/>
      <c r="TTP1" s="224"/>
      <c r="TTQ1" s="224"/>
      <c r="TTR1" s="224"/>
      <c r="TTS1" s="224"/>
      <c r="TTT1" s="224"/>
      <c r="TTU1" s="224"/>
      <c r="TTV1" s="224"/>
      <c r="TTW1" s="224"/>
      <c r="TTX1" s="224"/>
      <c r="TTY1" s="224"/>
      <c r="TTZ1" s="224"/>
      <c r="TUA1" s="224"/>
      <c r="TUB1" s="224"/>
      <c r="TUC1" s="224"/>
      <c r="TUD1" s="224"/>
      <c r="TUE1" s="224"/>
      <c r="TUF1" s="224"/>
      <c r="TUG1" s="224"/>
      <c r="TUH1" s="224"/>
      <c r="TUI1" s="224"/>
      <c r="TUJ1" s="224"/>
      <c r="TUK1" s="224"/>
      <c r="TUL1" s="224"/>
      <c r="TUM1" s="224"/>
      <c r="TUN1" s="224"/>
      <c r="TUO1" s="224"/>
      <c r="TUP1" s="224"/>
      <c r="TUQ1" s="224"/>
      <c r="TUR1" s="224"/>
      <c r="TUS1" s="224"/>
      <c r="TUT1" s="224"/>
      <c r="TUU1" s="224"/>
      <c r="TUV1" s="224"/>
      <c r="TUW1" s="224"/>
      <c r="TUX1" s="224"/>
      <c r="TUY1" s="224"/>
      <c r="TUZ1" s="224"/>
      <c r="TVA1" s="224"/>
      <c r="TVB1" s="224"/>
      <c r="TVC1" s="224"/>
      <c r="TVD1" s="224"/>
      <c r="TVE1" s="224"/>
      <c r="TVF1" s="224"/>
      <c r="TVG1" s="224"/>
      <c r="TVH1" s="224"/>
      <c r="TVI1" s="224"/>
      <c r="TVJ1" s="224"/>
      <c r="TVK1" s="224"/>
      <c r="TVL1" s="224"/>
      <c r="TVM1" s="224"/>
      <c r="TVN1" s="224"/>
      <c r="TVO1" s="224"/>
      <c r="TVP1" s="224"/>
      <c r="TVQ1" s="224"/>
      <c r="TVR1" s="224"/>
      <c r="TVS1" s="224"/>
      <c r="TVT1" s="224"/>
      <c r="TVU1" s="224"/>
      <c r="TVV1" s="224"/>
      <c r="TVW1" s="224"/>
      <c r="TVX1" s="224"/>
      <c r="TVY1" s="224"/>
      <c r="TVZ1" s="224"/>
      <c r="TWA1" s="224"/>
      <c r="TWB1" s="224"/>
      <c r="TWC1" s="224"/>
      <c r="TWD1" s="224"/>
      <c r="TWE1" s="224"/>
      <c r="TWF1" s="224"/>
      <c r="TWG1" s="224"/>
      <c r="TWH1" s="224"/>
      <c r="TWI1" s="224"/>
      <c r="TWJ1" s="224"/>
      <c r="TWK1" s="224"/>
      <c r="TWL1" s="224"/>
      <c r="TWM1" s="224"/>
      <c r="TWN1" s="224"/>
      <c r="TWO1" s="224"/>
      <c r="TWP1" s="224"/>
      <c r="TWQ1" s="224"/>
      <c r="TWR1" s="224"/>
      <c r="TWS1" s="224"/>
      <c r="TWT1" s="224"/>
      <c r="TWU1" s="224"/>
      <c r="TWV1" s="224"/>
      <c r="TWW1" s="224"/>
      <c r="TWX1" s="224"/>
      <c r="TWY1" s="224"/>
      <c r="TWZ1" s="224"/>
      <c r="TXA1" s="224"/>
      <c r="TXB1" s="224"/>
      <c r="TXC1" s="224"/>
      <c r="TXD1" s="224"/>
      <c r="TXE1" s="224"/>
      <c r="TXF1" s="224"/>
      <c r="TXG1" s="224"/>
      <c r="TXH1" s="224"/>
      <c r="TXI1" s="224"/>
      <c r="TXJ1" s="224"/>
      <c r="TXK1" s="224"/>
      <c r="TXL1" s="224"/>
      <c r="TXM1" s="224"/>
      <c r="TXN1" s="224"/>
      <c r="TXO1" s="224"/>
      <c r="TXP1" s="224"/>
      <c r="TXQ1" s="224"/>
      <c r="TXR1" s="224"/>
      <c r="TXS1" s="224"/>
      <c r="TXT1" s="224"/>
      <c r="TXU1" s="224"/>
      <c r="TXV1" s="224"/>
      <c r="TXW1" s="224"/>
      <c r="TXX1" s="224"/>
      <c r="TXY1" s="224"/>
      <c r="TXZ1" s="224"/>
      <c r="TYA1" s="224"/>
      <c r="TYB1" s="224"/>
      <c r="TYC1" s="224"/>
      <c r="TYD1" s="224"/>
      <c r="TYE1" s="224"/>
      <c r="TYF1" s="224"/>
      <c r="TYG1" s="224"/>
      <c r="TYH1" s="224"/>
      <c r="TYI1" s="224"/>
      <c r="TYJ1" s="224"/>
      <c r="TYK1" s="224"/>
      <c r="TYL1" s="224"/>
      <c r="TYM1" s="224"/>
      <c r="TYN1" s="224"/>
      <c r="TYO1" s="224"/>
      <c r="TYP1" s="224"/>
      <c r="TYQ1" s="224"/>
      <c r="TYR1" s="224"/>
      <c r="TYS1" s="224"/>
      <c r="TYT1" s="224"/>
      <c r="TYU1" s="224"/>
      <c r="TYV1" s="224"/>
      <c r="TYW1" s="224"/>
      <c r="TYX1" s="224"/>
      <c r="TYY1" s="224"/>
      <c r="TYZ1" s="224"/>
      <c r="TZA1" s="224"/>
      <c r="TZB1" s="224"/>
      <c r="TZC1" s="224"/>
      <c r="TZD1" s="224"/>
      <c r="TZE1" s="224"/>
      <c r="TZF1" s="224"/>
      <c r="TZG1" s="224"/>
      <c r="TZH1" s="224"/>
      <c r="TZI1" s="224"/>
      <c r="TZJ1" s="224"/>
      <c r="TZK1" s="224"/>
      <c r="TZL1" s="224"/>
      <c r="TZM1" s="224"/>
      <c r="TZN1" s="224"/>
      <c r="TZO1" s="224"/>
      <c r="TZP1" s="224"/>
      <c r="TZQ1" s="224"/>
      <c r="TZR1" s="224"/>
      <c r="TZS1" s="224"/>
      <c r="TZT1" s="224"/>
      <c r="TZU1" s="224"/>
      <c r="TZV1" s="224"/>
      <c r="TZW1" s="224"/>
      <c r="TZX1" s="224"/>
      <c r="TZY1" s="224"/>
      <c r="TZZ1" s="224"/>
      <c r="UAA1" s="224"/>
      <c r="UAB1" s="224"/>
      <c r="UAC1" s="224"/>
      <c r="UAD1" s="224"/>
      <c r="UAE1" s="224"/>
      <c r="UAF1" s="224"/>
      <c r="UAG1" s="224"/>
      <c r="UAH1" s="224"/>
      <c r="UAI1" s="224"/>
      <c r="UAJ1" s="224"/>
      <c r="UAK1" s="224"/>
      <c r="UAL1" s="224"/>
      <c r="UAM1" s="224"/>
      <c r="UAN1" s="224"/>
      <c r="UAO1" s="224"/>
      <c r="UAP1" s="224"/>
      <c r="UAQ1" s="224"/>
      <c r="UAR1" s="224"/>
      <c r="UAS1" s="224"/>
      <c r="UAT1" s="224"/>
      <c r="UAU1" s="224"/>
      <c r="UAV1" s="224"/>
      <c r="UAW1" s="224"/>
      <c r="UAX1" s="224"/>
      <c r="UAY1" s="224"/>
      <c r="UAZ1" s="224"/>
      <c r="UBA1" s="224"/>
      <c r="UBB1" s="224"/>
      <c r="UBC1" s="224"/>
      <c r="UBD1" s="224"/>
      <c r="UBE1" s="224"/>
      <c r="UBF1" s="224"/>
      <c r="UBG1" s="224"/>
      <c r="UBH1" s="224"/>
      <c r="UBI1" s="224"/>
      <c r="UBJ1" s="224"/>
      <c r="UBK1" s="224"/>
      <c r="UBL1" s="224"/>
      <c r="UBM1" s="224"/>
      <c r="UBN1" s="224"/>
      <c r="UBO1" s="224"/>
      <c r="UBP1" s="224"/>
      <c r="UBQ1" s="224"/>
      <c r="UBR1" s="224"/>
      <c r="UBS1" s="224"/>
      <c r="UBT1" s="224"/>
      <c r="UBU1" s="224"/>
      <c r="UBV1" s="224"/>
      <c r="UBW1" s="224"/>
      <c r="UBX1" s="224"/>
      <c r="UBY1" s="224"/>
      <c r="UBZ1" s="224"/>
      <c r="UCA1" s="224"/>
      <c r="UCB1" s="224"/>
      <c r="UCC1" s="224"/>
      <c r="UCD1" s="224"/>
      <c r="UCE1" s="224"/>
      <c r="UCF1" s="224"/>
      <c r="UCG1" s="224"/>
      <c r="UCH1" s="224"/>
      <c r="UCI1" s="224"/>
      <c r="UCJ1" s="224"/>
      <c r="UCK1" s="224"/>
      <c r="UCL1" s="224"/>
      <c r="UCM1" s="224"/>
      <c r="UCN1" s="224"/>
      <c r="UCO1" s="224"/>
      <c r="UCP1" s="224"/>
      <c r="UCQ1" s="224"/>
      <c r="UCR1" s="224"/>
      <c r="UCS1" s="224"/>
      <c r="UCT1" s="224"/>
      <c r="UCU1" s="224"/>
      <c r="UCV1" s="224"/>
      <c r="UCW1" s="224"/>
      <c r="UCX1" s="224"/>
      <c r="UCY1" s="224"/>
      <c r="UCZ1" s="224"/>
      <c r="UDA1" s="224"/>
      <c r="UDB1" s="224"/>
      <c r="UDC1" s="224"/>
      <c r="UDD1" s="224"/>
      <c r="UDE1" s="224"/>
      <c r="UDF1" s="224"/>
      <c r="UDG1" s="224"/>
      <c r="UDH1" s="224"/>
      <c r="UDI1" s="224"/>
      <c r="UDJ1" s="224"/>
      <c r="UDK1" s="224"/>
      <c r="UDL1" s="224"/>
      <c r="UDM1" s="224"/>
      <c r="UDN1" s="224"/>
      <c r="UDO1" s="224"/>
      <c r="UDP1" s="224"/>
      <c r="UDQ1" s="224"/>
      <c r="UDR1" s="224"/>
      <c r="UDS1" s="224"/>
      <c r="UDT1" s="224"/>
      <c r="UDU1" s="224"/>
      <c r="UDV1" s="224"/>
      <c r="UDW1" s="224"/>
      <c r="UDX1" s="224"/>
      <c r="UDY1" s="224"/>
      <c r="UDZ1" s="224"/>
      <c r="UEA1" s="224"/>
      <c r="UEB1" s="224"/>
      <c r="UEC1" s="224"/>
      <c r="UED1" s="224"/>
      <c r="UEE1" s="224"/>
      <c r="UEF1" s="224"/>
      <c r="UEG1" s="224"/>
      <c r="UEH1" s="224"/>
      <c r="UEI1" s="224"/>
      <c r="UEJ1" s="224"/>
      <c r="UEK1" s="224"/>
      <c r="UEL1" s="224"/>
      <c r="UEM1" s="224"/>
      <c r="UEN1" s="224"/>
      <c r="UEO1" s="224"/>
      <c r="UEP1" s="224"/>
      <c r="UEQ1" s="224"/>
      <c r="UER1" s="224"/>
      <c r="UES1" s="224"/>
      <c r="UET1" s="224"/>
      <c r="UEU1" s="224"/>
      <c r="UEV1" s="224"/>
      <c r="UEW1" s="224"/>
      <c r="UEX1" s="224"/>
      <c r="UEY1" s="224"/>
      <c r="UEZ1" s="224"/>
      <c r="UFA1" s="224"/>
      <c r="UFB1" s="224"/>
      <c r="UFC1" s="224"/>
      <c r="UFD1" s="224"/>
      <c r="UFE1" s="224"/>
      <c r="UFF1" s="224"/>
      <c r="UFG1" s="224"/>
      <c r="UFH1" s="224"/>
      <c r="UFI1" s="224"/>
      <c r="UFJ1" s="224"/>
      <c r="UFK1" s="224"/>
      <c r="UFL1" s="224"/>
      <c r="UFM1" s="224"/>
      <c r="UFN1" s="224"/>
      <c r="UFO1" s="224"/>
      <c r="UFP1" s="224"/>
      <c r="UFQ1" s="224"/>
      <c r="UFR1" s="224"/>
      <c r="UFS1" s="224"/>
      <c r="UFT1" s="224"/>
      <c r="UFU1" s="224"/>
      <c r="UFV1" s="224"/>
      <c r="UFW1" s="224"/>
      <c r="UFX1" s="224"/>
      <c r="UFY1" s="224"/>
      <c r="UFZ1" s="224"/>
      <c r="UGA1" s="224"/>
      <c r="UGB1" s="224"/>
      <c r="UGC1" s="224"/>
      <c r="UGD1" s="224"/>
      <c r="UGE1" s="224"/>
      <c r="UGF1" s="224"/>
      <c r="UGG1" s="224"/>
      <c r="UGH1" s="224"/>
      <c r="UGI1" s="224"/>
      <c r="UGJ1" s="224"/>
      <c r="UGK1" s="224"/>
      <c r="UGL1" s="224"/>
      <c r="UGM1" s="224"/>
      <c r="UGN1" s="224"/>
      <c r="UGO1" s="224"/>
      <c r="UGP1" s="224"/>
      <c r="UGQ1" s="224"/>
      <c r="UGR1" s="224"/>
      <c r="UGS1" s="224"/>
      <c r="UGT1" s="224"/>
      <c r="UGU1" s="224"/>
      <c r="UGV1" s="224"/>
      <c r="UGW1" s="224"/>
      <c r="UGX1" s="224"/>
      <c r="UGY1" s="224"/>
      <c r="UGZ1" s="224"/>
      <c r="UHA1" s="224"/>
      <c r="UHB1" s="224"/>
      <c r="UHC1" s="224"/>
      <c r="UHD1" s="224"/>
      <c r="UHE1" s="224"/>
      <c r="UHF1" s="224"/>
      <c r="UHG1" s="224"/>
      <c r="UHH1" s="224"/>
      <c r="UHI1" s="224"/>
      <c r="UHJ1" s="224"/>
      <c r="UHK1" s="224"/>
      <c r="UHL1" s="224"/>
      <c r="UHM1" s="224"/>
      <c r="UHN1" s="224"/>
      <c r="UHO1" s="224"/>
      <c r="UHP1" s="224"/>
      <c r="UHQ1" s="224"/>
      <c r="UHR1" s="224"/>
      <c r="UHS1" s="224"/>
      <c r="UHT1" s="224"/>
      <c r="UHU1" s="224"/>
      <c r="UHV1" s="224"/>
      <c r="UHW1" s="224"/>
      <c r="UHX1" s="224"/>
      <c r="UHY1" s="224"/>
      <c r="UHZ1" s="224"/>
      <c r="UIA1" s="224"/>
      <c r="UIB1" s="224"/>
      <c r="UIC1" s="224"/>
      <c r="UID1" s="224"/>
      <c r="UIE1" s="224"/>
      <c r="UIF1" s="224"/>
      <c r="UIG1" s="224"/>
      <c r="UIH1" s="224"/>
      <c r="UII1" s="224"/>
      <c r="UIJ1" s="224"/>
      <c r="UIK1" s="224"/>
      <c r="UIL1" s="224"/>
      <c r="UIM1" s="224"/>
      <c r="UIN1" s="224"/>
      <c r="UIO1" s="224"/>
      <c r="UIP1" s="224"/>
      <c r="UIQ1" s="224"/>
      <c r="UIR1" s="224"/>
      <c r="UIS1" s="224"/>
      <c r="UIT1" s="224"/>
      <c r="UIU1" s="224"/>
      <c r="UIV1" s="224"/>
      <c r="UIW1" s="224"/>
      <c r="UIX1" s="224"/>
      <c r="UIY1" s="224"/>
      <c r="UIZ1" s="224"/>
      <c r="UJA1" s="224"/>
      <c r="UJB1" s="224"/>
      <c r="UJC1" s="224"/>
      <c r="UJD1" s="224"/>
      <c r="UJE1" s="224"/>
      <c r="UJF1" s="224"/>
      <c r="UJG1" s="224"/>
      <c r="UJH1" s="224"/>
      <c r="UJI1" s="224"/>
      <c r="UJJ1" s="224"/>
      <c r="UJK1" s="224"/>
      <c r="UJL1" s="224"/>
      <c r="UJM1" s="224"/>
      <c r="UJN1" s="224"/>
      <c r="UJO1" s="224"/>
      <c r="UJP1" s="224"/>
      <c r="UJQ1" s="224"/>
      <c r="UJR1" s="224"/>
      <c r="UJS1" s="224"/>
      <c r="UJT1" s="224"/>
      <c r="UJU1" s="224"/>
      <c r="UJV1" s="224"/>
      <c r="UJW1" s="224"/>
      <c r="UJX1" s="224"/>
      <c r="UJY1" s="224"/>
      <c r="UJZ1" s="224"/>
      <c r="UKA1" s="224"/>
      <c r="UKB1" s="224"/>
      <c r="UKC1" s="224"/>
      <c r="UKD1" s="224"/>
      <c r="UKE1" s="224"/>
      <c r="UKF1" s="224"/>
      <c r="UKG1" s="224"/>
      <c r="UKH1" s="224"/>
      <c r="UKI1" s="224"/>
      <c r="UKJ1" s="224"/>
      <c r="UKK1" s="224"/>
      <c r="UKL1" s="224"/>
      <c r="UKM1" s="224"/>
      <c r="UKN1" s="224"/>
      <c r="UKO1" s="224"/>
      <c r="UKP1" s="224"/>
      <c r="UKQ1" s="224"/>
      <c r="UKR1" s="224"/>
      <c r="UKS1" s="224"/>
      <c r="UKT1" s="224"/>
      <c r="UKU1" s="224"/>
      <c r="UKV1" s="224"/>
      <c r="UKW1" s="224"/>
      <c r="UKX1" s="224"/>
      <c r="UKY1" s="224"/>
      <c r="UKZ1" s="224"/>
      <c r="ULA1" s="224"/>
      <c r="ULB1" s="224"/>
      <c r="ULC1" s="224"/>
      <c r="ULD1" s="224"/>
      <c r="ULE1" s="224"/>
      <c r="ULF1" s="224"/>
      <c r="ULG1" s="224"/>
      <c r="ULH1" s="224"/>
      <c r="ULI1" s="224"/>
      <c r="ULJ1" s="224"/>
      <c r="ULK1" s="224"/>
      <c r="ULL1" s="224"/>
      <c r="ULM1" s="224"/>
      <c r="ULN1" s="224"/>
      <c r="ULO1" s="224"/>
      <c r="ULP1" s="224"/>
      <c r="ULQ1" s="224"/>
      <c r="ULR1" s="224"/>
      <c r="ULS1" s="224"/>
      <c r="ULT1" s="224"/>
      <c r="ULU1" s="224"/>
      <c r="ULV1" s="224"/>
      <c r="ULW1" s="224"/>
      <c r="ULX1" s="224"/>
      <c r="ULY1" s="224"/>
      <c r="ULZ1" s="224"/>
      <c r="UMA1" s="224"/>
      <c r="UMB1" s="224"/>
      <c r="UMC1" s="224"/>
      <c r="UMD1" s="224"/>
      <c r="UME1" s="224"/>
      <c r="UMF1" s="224"/>
      <c r="UMG1" s="224"/>
      <c r="UMH1" s="224"/>
      <c r="UMI1" s="224"/>
      <c r="UMJ1" s="224"/>
      <c r="UMK1" s="224"/>
      <c r="UML1" s="224"/>
      <c r="UMM1" s="224"/>
      <c r="UMN1" s="224"/>
      <c r="UMO1" s="224"/>
      <c r="UMP1" s="224"/>
      <c r="UMQ1" s="224"/>
      <c r="UMR1" s="224"/>
      <c r="UMS1" s="224"/>
      <c r="UMT1" s="224"/>
      <c r="UMU1" s="224"/>
      <c r="UMV1" s="224"/>
      <c r="UMW1" s="224"/>
      <c r="UMX1" s="224"/>
      <c r="UMY1" s="224"/>
      <c r="UMZ1" s="224"/>
      <c r="UNA1" s="224"/>
      <c r="UNB1" s="224"/>
      <c r="UNC1" s="224"/>
      <c r="UND1" s="224"/>
      <c r="UNE1" s="224"/>
      <c r="UNF1" s="224"/>
      <c r="UNG1" s="224"/>
      <c r="UNH1" s="224"/>
      <c r="UNI1" s="224"/>
      <c r="UNJ1" s="224"/>
      <c r="UNK1" s="224"/>
      <c r="UNL1" s="224"/>
      <c r="UNM1" s="224"/>
      <c r="UNN1" s="224"/>
      <c r="UNO1" s="224"/>
      <c r="UNP1" s="224"/>
      <c r="UNQ1" s="224"/>
      <c r="UNR1" s="224"/>
      <c r="UNS1" s="224"/>
      <c r="UNT1" s="224"/>
      <c r="UNU1" s="224"/>
      <c r="UNV1" s="224"/>
      <c r="UNW1" s="224"/>
      <c r="UNX1" s="224"/>
      <c r="UNY1" s="224"/>
      <c r="UNZ1" s="224"/>
      <c r="UOA1" s="224"/>
      <c r="UOB1" s="224"/>
      <c r="UOC1" s="224"/>
      <c r="UOD1" s="224"/>
      <c r="UOE1" s="224"/>
      <c r="UOF1" s="224"/>
      <c r="UOG1" s="224"/>
      <c r="UOH1" s="224"/>
      <c r="UOI1" s="224"/>
      <c r="UOJ1" s="224"/>
      <c r="UOK1" s="224"/>
      <c r="UOL1" s="224"/>
      <c r="UOM1" s="224"/>
      <c r="UON1" s="224"/>
      <c r="UOO1" s="224"/>
      <c r="UOP1" s="224"/>
      <c r="UOQ1" s="224"/>
      <c r="UOR1" s="224"/>
      <c r="UOS1" s="224"/>
      <c r="UOT1" s="224"/>
      <c r="UOU1" s="224"/>
      <c r="UOV1" s="224"/>
      <c r="UOW1" s="224"/>
      <c r="UOX1" s="224"/>
      <c r="UOY1" s="224"/>
      <c r="UOZ1" s="224"/>
      <c r="UPA1" s="224"/>
      <c r="UPB1" s="224"/>
      <c r="UPC1" s="224"/>
      <c r="UPD1" s="224"/>
      <c r="UPE1" s="224"/>
      <c r="UPF1" s="224"/>
      <c r="UPG1" s="224"/>
      <c r="UPH1" s="224"/>
      <c r="UPI1" s="224"/>
      <c r="UPJ1" s="224"/>
      <c r="UPK1" s="224"/>
      <c r="UPL1" s="224"/>
      <c r="UPM1" s="224"/>
      <c r="UPN1" s="224"/>
      <c r="UPO1" s="224"/>
      <c r="UPP1" s="224"/>
      <c r="UPQ1" s="224"/>
      <c r="UPR1" s="224"/>
      <c r="UPS1" s="224"/>
      <c r="UPT1" s="224"/>
      <c r="UPU1" s="224"/>
      <c r="UPV1" s="224"/>
      <c r="UPW1" s="224"/>
      <c r="UPX1" s="224"/>
      <c r="UPY1" s="224"/>
      <c r="UPZ1" s="224"/>
      <c r="UQA1" s="224"/>
      <c r="UQB1" s="224"/>
      <c r="UQC1" s="224"/>
      <c r="UQD1" s="224"/>
      <c r="UQE1" s="224"/>
      <c r="UQF1" s="224"/>
      <c r="UQG1" s="224"/>
      <c r="UQH1" s="224"/>
      <c r="UQI1" s="224"/>
      <c r="UQJ1" s="224"/>
      <c r="UQK1" s="224"/>
      <c r="UQL1" s="224"/>
      <c r="UQM1" s="224"/>
      <c r="UQN1" s="224"/>
      <c r="UQO1" s="224"/>
      <c r="UQP1" s="224"/>
      <c r="UQQ1" s="224"/>
      <c r="UQR1" s="224"/>
      <c r="UQS1" s="224"/>
      <c r="UQT1" s="224"/>
      <c r="UQU1" s="224"/>
      <c r="UQV1" s="224"/>
      <c r="UQW1" s="224"/>
      <c r="UQX1" s="224"/>
      <c r="UQY1" s="224"/>
      <c r="UQZ1" s="224"/>
      <c r="URA1" s="224"/>
      <c r="URB1" s="224"/>
      <c r="URC1" s="224"/>
      <c r="URD1" s="224"/>
      <c r="URE1" s="224"/>
      <c r="URF1" s="224"/>
      <c r="URG1" s="224"/>
      <c r="URH1" s="224"/>
      <c r="URI1" s="224"/>
      <c r="URJ1" s="224"/>
      <c r="URK1" s="224"/>
      <c r="URL1" s="224"/>
      <c r="URM1" s="224"/>
      <c r="URN1" s="224"/>
      <c r="URO1" s="224"/>
      <c r="URP1" s="224"/>
      <c r="URQ1" s="224"/>
      <c r="URR1" s="224"/>
      <c r="URS1" s="224"/>
      <c r="URT1" s="224"/>
      <c r="URU1" s="224"/>
      <c r="URV1" s="224"/>
      <c r="URW1" s="224"/>
      <c r="URX1" s="224"/>
      <c r="URY1" s="224"/>
      <c r="URZ1" s="224"/>
      <c r="USA1" s="224"/>
      <c r="USB1" s="224"/>
      <c r="USC1" s="224"/>
      <c r="USD1" s="224"/>
      <c r="USE1" s="224"/>
      <c r="USF1" s="224"/>
      <c r="USG1" s="224"/>
      <c r="USH1" s="224"/>
      <c r="USI1" s="224"/>
      <c r="USJ1" s="224"/>
      <c r="USK1" s="224"/>
      <c r="USL1" s="224"/>
      <c r="USM1" s="224"/>
      <c r="USN1" s="224"/>
      <c r="USO1" s="224"/>
      <c r="USP1" s="224"/>
      <c r="USQ1" s="224"/>
      <c r="USR1" s="224"/>
      <c r="USS1" s="224"/>
      <c r="UST1" s="224"/>
      <c r="USU1" s="224"/>
      <c r="USV1" s="224"/>
      <c r="USW1" s="224"/>
      <c r="USX1" s="224"/>
      <c r="USY1" s="224"/>
      <c r="USZ1" s="224"/>
      <c r="UTA1" s="224"/>
      <c r="UTB1" s="224"/>
      <c r="UTC1" s="224"/>
      <c r="UTD1" s="224"/>
      <c r="UTE1" s="224"/>
      <c r="UTF1" s="224"/>
      <c r="UTG1" s="224"/>
      <c r="UTH1" s="224"/>
      <c r="UTI1" s="224"/>
      <c r="UTJ1" s="224"/>
      <c r="UTK1" s="224"/>
      <c r="UTL1" s="224"/>
      <c r="UTM1" s="224"/>
      <c r="UTN1" s="224"/>
      <c r="UTO1" s="224"/>
      <c r="UTP1" s="224"/>
      <c r="UTQ1" s="224"/>
      <c r="UTR1" s="224"/>
      <c r="UTS1" s="224"/>
      <c r="UTT1" s="224"/>
      <c r="UTU1" s="224"/>
      <c r="UTV1" s="224"/>
      <c r="UTW1" s="224"/>
      <c r="UTX1" s="224"/>
      <c r="UTY1" s="224"/>
      <c r="UTZ1" s="224"/>
      <c r="UUA1" s="224"/>
      <c r="UUB1" s="224"/>
      <c r="UUC1" s="224"/>
      <c r="UUD1" s="224"/>
      <c r="UUE1" s="224"/>
      <c r="UUF1" s="224"/>
      <c r="UUG1" s="224"/>
      <c r="UUH1" s="224"/>
      <c r="UUI1" s="224"/>
      <c r="UUJ1" s="224"/>
      <c r="UUK1" s="224"/>
      <c r="UUL1" s="224"/>
      <c r="UUM1" s="224"/>
      <c r="UUN1" s="224"/>
      <c r="UUO1" s="224"/>
      <c r="UUP1" s="224"/>
      <c r="UUQ1" s="224"/>
      <c r="UUR1" s="224"/>
      <c r="UUS1" s="224"/>
      <c r="UUT1" s="224"/>
      <c r="UUU1" s="224"/>
      <c r="UUV1" s="224"/>
      <c r="UUW1" s="224"/>
      <c r="UUX1" s="224"/>
      <c r="UUY1" s="224"/>
      <c r="UUZ1" s="224"/>
      <c r="UVA1" s="224"/>
      <c r="UVB1" s="224"/>
      <c r="UVC1" s="224"/>
      <c r="UVD1" s="224"/>
      <c r="UVE1" s="224"/>
      <c r="UVF1" s="224"/>
      <c r="UVG1" s="224"/>
      <c r="UVH1" s="224"/>
      <c r="UVI1" s="224"/>
      <c r="UVJ1" s="224"/>
      <c r="UVK1" s="224"/>
      <c r="UVL1" s="224"/>
      <c r="UVM1" s="224"/>
      <c r="UVN1" s="224"/>
      <c r="UVO1" s="224"/>
      <c r="UVP1" s="224"/>
      <c r="UVQ1" s="224"/>
      <c r="UVR1" s="224"/>
      <c r="UVS1" s="224"/>
      <c r="UVT1" s="224"/>
      <c r="UVU1" s="224"/>
      <c r="UVV1" s="224"/>
      <c r="UVW1" s="224"/>
      <c r="UVX1" s="224"/>
      <c r="UVY1" s="224"/>
      <c r="UVZ1" s="224"/>
      <c r="UWA1" s="224"/>
      <c r="UWB1" s="224"/>
      <c r="UWC1" s="224"/>
      <c r="UWD1" s="224"/>
      <c r="UWE1" s="224"/>
      <c r="UWF1" s="224"/>
      <c r="UWG1" s="224"/>
      <c r="UWH1" s="224"/>
      <c r="UWI1" s="224"/>
      <c r="UWJ1" s="224"/>
      <c r="UWK1" s="224"/>
      <c r="UWL1" s="224"/>
      <c r="UWM1" s="224"/>
      <c r="UWN1" s="224"/>
      <c r="UWO1" s="224"/>
      <c r="UWP1" s="224"/>
      <c r="UWQ1" s="224"/>
      <c r="UWR1" s="224"/>
      <c r="UWS1" s="224"/>
      <c r="UWT1" s="224"/>
      <c r="UWU1" s="224"/>
      <c r="UWV1" s="224"/>
      <c r="UWW1" s="224"/>
      <c r="UWX1" s="224"/>
      <c r="UWY1" s="224"/>
      <c r="UWZ1" s="224"/>
      <c r="UXA1" s="224"/>
      <c r="UXB1" s="224"/>
      <c r="UXC1" s="224"/>
      <c r="UXD1" s="224"/>
      <c r="UXE1" s="224"/>
      <c r="UXF1" s="224"/>
      <c r="UXG1" s="224"/>
      <c r="UXH1" s="224"/>
      <c r="UXI1" s="224"/>
      <c r="UXJ1" s="224"/>
      <c r="UXK1" s="224"/>
      <c r="UXL1" s="224"/>
      <c r="UXM1" s="224"/>
      <c r="UXN1" s="224"/>
      <c r="UXO1" s="224"/>
      <c r="UXP1" s="224"/>
      <c r="UXQ1" s="224"/>
      <c r="UXR1" s="224"/>
      <c r="UXS1" s="224"/>
      <c r="UXT1" s="224"/>
      <c r="UXU1" s="224"/>
      <c r="UXV1" s="224"/>
      <c r="UXW1" s="224"/>
      <c r="UXX1" s="224"/>
      <c r="UXY1" s="224"/>
      <c r="UXZ1" s="224"/>
      <c r="UYA1" s="224"/>
      <c r="UYB1" s="224"/>
      <c r="UYC1" s="224"/>
      <c r="UYD1" s="224"/>
      <c r="UYE1" s="224"/>
      <c r="UYF1" s="224"/>
      <c r="UYG1" s="224"/>
      <c r="UYH1" s="224"/>
      <c r="UYI1" s="224"/>
      <c r="UYJ1" s="224"/>
      <c r="UYK1" s="224"/>
      <c r="UYL1" s="224"/>
      <c r="UYM1" s="224"/>
      <c r="UYN1" s="224"/>
      <c r="UYO1" s="224"/>
      <c r="UYP1" s="224"/>
      <c r="UYQ1" s="224"/>
      <c r="UYR1" s="224"/>
      <c r="UYS1" s="224"/>
      <c r="UYT1" s="224"/>
      <c r="UYU1" s="224"/>
      <c r="UYV1" s="224"/>
      <c r="UYW1" s="224"/>
      <c r="UYX1" s="224"/>
      <c r="UYY1" s="224"/>
      <c r="UYZ1" s="224"/>
      <c r="UZA1" s="224"/>
      <c r="UZB1" s="224"/>
      <c r="UZC1" s="224"/>
      <c r="UZD1" s="224"/>
      <c r="UZE1" s="224"/>
      <c r="UZF1" s="224"/>
      <c r="UZG1" s="224"/>
      <c r="UZH1" s="224"/>
      <c r="UZI1" s="224"/>
      <c r="UZJ1" s="224"/>
      <c r="UZK1" s="224"/>
      <c r="UZL1" s="224"/>
      <c r="UZM1" s="224"/>
      <c r="UZN1" s="224"/>
      <c r="UZO1" s="224"/>
      <c r="UZP1" s="224"/>
      <c r="UZQ1" s="224"/>
      <c r="UZR1" s="224"/>
      <c r="UZS1" s="224"/>
      <c r="UZT1" s="224"/>
      <c r="UZU1" s="224"/>
      <c r="UZV1" s="224"/>
      <c r="UZW1" s="224"/>
      <c r="UZX1" s="224"/>
      <c r="UZY1" s="224"/>
      <c r="UZZ1" s="224"/>
      <c r="VAA1" s="224"/>
      <c r="VAB1" s="224"/>
      <c r="VAC1" s="224"/>
      <c r="VAD1" s="224"/>
      <c r="VAE1" s="224"/>
      <c r="VAF1" s="224"/>
      <c r="VAG1" s="224"/>
      <c r="VAH1" s="224"/>
      <c r="VAI1" s="224"/>
      <c r="VAJ1" s="224"/>
      <c r="VAK1" s="224"/>
      <c r="VAL1" s="224"/>
      <c r="VAM1" s="224"/>
      <c r="VAN1" s="224"/>
      <c r="VAO1" s="224"/>
      <c r="VAP1" s="224"/>
      <c r="VAQ1" s="224"/>
      <c r="VAR1" s="224"/>
      <c r="VAS1" s="224"/>
      <c r="VAT1" s="224"/>
      <c r="VAU1" s="224"/>
      <c r="VAV1" s="224"/>
      <c r="VAW1" s="224"/>
      <c r="VAX1" s="224"/>
      <c r="VAY1" s="224"/>
      <c r="VAZ1" s="224"/>
      <c r="VBA1" s="224"/>
      <c r="VBB1" s="224"/>
      <c r="VBC1" s="224"/>
      <c r="VBD1" s="224"/>
      <c r="VBE1" s="224"/>
      <c r="VBF1" s="224"/>
      <c r="VBG1" s="224"/>
      <c r="VBH1" s="224"/>
      <c r="VBI1" s="224"/>
      <c r="VBJ1" s="224"/>
      <c r="VBK1" s="224"/>
      <c r="VBL1" s="224"/>
      <c r="VBM1" s="224"/>
      <c r="VBN1" s="224"/>
      <c r="VBO1" s="224"/>
      <c r="VBP1" s="224"/>
      <c r="VBQ1" s="224"/>
      <c r="VBR1" s="224"/>
      <c r="VBS1" s="224"/>
      <c r="VBT1" s="224"/>
      <c r="VBU1" s="224"/>
      <c r="VBV1" s="224"/>
      <c r="VBW1" s="224"/>
      <c r="VBX1" s="224"/>
      <c r="VBY1" s="224"/>
      <c r="VBZ1" s="224"/>
      <c r="VCA1" s="224"/>
      <c r="VCB1" s="224"/>
      <c r="VCC1" s="224"/>
      <c r="VCD1" s="224"/>
      <c r="VCE1" s="224"/>
      <c r="VCF1" s="224"/>
      <c r="VCG1" s="224"/>
      <c r="VCH1" s="224"/>
      <c r="VCI1" s="224"/>
      <c r="VCJ1" s="224"/>
      <c r="VCK1" s="224"/>
      <c r="VCL1" s="224"/>
      <c r="VCM1" s="224"/>
      <c r="VCN1" s="224"/>
      <c r="VCO1" s="224"/>
      <c r="VCP1" s="224"/>
      <c r="VCQ1" s="224"/>
      <c r="VCR1" s="224"/>
      <c r="VCS1" s="224"/>
      <c r="VCT1" s="224"/>
      <c r="VCU1" s="224"/>
      <c r="VCV1" s="224"/>
      <c r="VCW1" s="224"/>
      <c r="VCX1" s="224"/>
      <c r="VCY1" s="224"/>
      <c r="VCZ1" s="224"/>
      <c r="VDA1" s="224"/>
      <c r="VDB1" s="224"/>
      <c r="VDC1" s="224"/>
      <c r="VDD1" s="224"/>
      <c r="VDE1" s="224"/>
      <c r="VDF1" s="224"/>
      <c r="VDG1" s="224"/>
      <c r="VDH1" s="224"/>
      <c r="VDI1" s="224"/>
      <c r="VDJ1" s="224"/>
      <c r="VDK1" s="224"/>
      <c r="VDL1" s="224"/>
      <c r="VDM1" s="224"/>
      <c r="VDN1" s="224"/>
      <c r="VDO1" s="224"/>
      <c r="VDP1" s="224"/>
      <c r="VDQ1" s="224"/>
      <c r="VDR1" s="224"/>
      <c r="VDS1" s="224"/>
      <c r="VDT1" s="224"/>
      <c r="VDU1" s="224"/>
      <c r="VDV1" s="224"/>
      <c r="VDW1" s="224"/>
      <c r="VDX1" s="224"/>
      <c r="VDY1" s="224"/>
      <c r="VDZ1" s="224"/>
      <c r="VEA1" s="224"/>
      <c r="VEB1" s="224"/>
      <c r="VEC1" s="224"/>
      <c r="VED1" s="224"/>
      <c r="VEE1" s="224"/>
      <c r="VEF1" s="224"/>
      <c r="VEG1" s="224"/>
      <c r="VEH1" s="224"/>
      <c r="VEI1" s="224"/>
      <c r="VEJ1" s="224"/>
      <c r="VEK1" s="224"/>
      <c r="VEL1" s="224"/>
      <c r="VEM1" s="224"/>
      <c r="VEN1" s="224"/>
      <c r="VEO1" s="224"/>
      <c r="VEP1" s="224"/>
      <c r="VEQ1" s="224"/>
      <c r="VER1" s="224"/>
      <c r="VES1" s="224"/>
      <c r="VET1" s="224"/>
      <c r="VEU1" s="224"/>
      <c r="VEV1" s="224"/>
      <c r="VEW1" s="224"/>
      <c r="VEX1" s="224"/>
      <c r="VEY1" s="224"/>
      <c r="VEZ1" s="224"/>
      <c r="VFA1" s="224"/>
      <c r="VFB1" s="224"/>
      <c r="VFC1" s="224"/>
      <c r="VFD1" s="224"/>
      <c r="VFE1" s="224"/>
      <c r="VFF1" s="224"/>
      <c r="VFG1" s="224"/>
      <c r="VFH1" s="224"/>
      <c r="VFI1" s="224"/>
      <c r="VFJ1" s="224"/>
      <c r="VFK1" s="224"/>
      <c r="VFL1" s="224"/>
      <c r="VFM1" s="224"/>
      <c r="VFN1" s="224"/>
      <c r="VFO1" s="224"/>
      <c r="VFP1" s="224"/>
      <c r="VFQ1" s="224"/>
      <c r="VFR1" s="224"/>
      <c r="VFS1" s="224"/>
      <c r="VFT1" s="224"/>
      <c r="VFU1" s="224"/>
      <c r="VFV1" s="224"/>
      <c r="VFW1" s="224"/>
      <c r="VFX1" s="224"/>
      <c r="VFY1" s="224"/>
      <c r="VFZ1" s="224"/>
      <c r="VGA1" s="224"/>
      <c r="VGB1" s="224"/>
      <c r="VGC1" s="224"/>
      <c r="VGD1" s="224"/>
      <c r="VGE1" s="224"/>
      <c r="VGF1" s="224"/>
      <c r="VGG1" s="224"/>
      <c r="VGH1" s="224"/>
      <c r="VGI1" s="224"/>
      <c r="VGJ1" s="224"/>
      <c r="VGK1" s="224"/>
      <c r="VGL1" s="224"/>
      <c r="VGM1" s="224"/>
      <c r="VGN1" s="224"/>
      <c r="VGO1" s="224"/>
      <c r="VGP1" s="224"/>
      <c r="VGQ1" s="224"/>
      <c r="VGR1" s="224"/>
      <c r="VGS1" s="224"/>
      <c r="VGT1" s="224"/>
      <c r="VGU1" s="224"/>
      <c r="VGV1" s="224"/>
      <c r="VGW1" s="224"/>
      <c r="VGX1" s="224"/>
      <c r="VGY1" s="224"/>
      <c r="VGZ1" s="224"/>
      <c r="VHA1" s="224"/>
      <c r="VHB1" s="224"/>
      <c r="VHC1" s="224"/>
      <c r="VHD1" s="224"/>
      <c r="VHE1" s="224"/>
      <c r="VHF1" s="224"/>
      <c r="VHG1" s="224"/>
      <c r="VHH1" s="224"/>
      <c r="VHI1" s="224"/>
      <c r="VHJ1" s="224"/>
      <c r="VHK1" s="224"/>
      <c r="VHL1" s="224"/>
      <c r="VHM1" s="224"/>
      <c r="VHN1" s="224"/>
      <c r="VHO1" s="224"/>
      <c r="VHP1" s="224"/>
      <c r="VHQ1" s="224"/>
      <c r="VHR1" s="224"/>
      <c r="VHS1" s="224"/>
      <c r="VHT1" s="224"/>
      <c r="VHU1" s="224"/>
      <c r="VHV1" s="224"/>
      <c r="VHW1" s="224"/>
      <c r="VHX1" s="224"/>
      <c r="VHY1" s="224"/>
      <c r="VHZ1" s="224"/>
      <c r="VIA1" s="224"/>
      <c r="VIB1" s="224"/>
      <c r="VIC1" s="224"/>
      <c r="VID1" s="224"/>
      <c r="VIE1" s="224"/>
      <c r="VIF1" s="224"/>
      <c r="VIG1" s="224"/>
      <c r="VIH1" s="224"/>
      <c r="VII1" s="224"/>
      <c r="VIJ1" s="224"/>
      <c r="VIK1" s="224"/>
      <c r="VIL1" s="224"/>
      <c r="VIM1" s="224"/>
      <c r="VIN1" s="224"/>
      <c r="VIO1" s="224"/>
      <c r="VIP1" s="224"/>
      <c r="VIQ1" s="224"/>
      <c r="VIR1" s="224"/>
      <c r="VIS1" s="224"/>
      <c r="VIT1" s="224"/>
      <c r="VIU1" s="224"/>
      <c r="VIV1" s="224"/>
      <c r="VIW1" s="224"/>
      <c r="VIX1" s="224"/>
      <c r="VIY1" s="224"/>
      <c r="VIZ1" s="224"/>
      <c r="VJA1" s="224"/>
      <c r="VJB1" s="224"/>
      <c r="VJC1" s="224"/>
      <c r="VJD1" s="224"/>
      <c r="VJE1" s="224"/>
      <c r="VJF1" s="224"/>
      <c r="VJG1" s="224"/>
      <c r="VJH1" s="224"/>
      <c r="VJI1" s="224"/>
      <c r="VJJ1" s="224"/>
      <c r="VJK1" s="224"/>
      <c r="VJL1" s="224"/>
      <c r="VJM1" s="224"/>
      <c r="VJN1" s="224"/>
      <c r="VJO1" s="224"/>
      <c r="VJP1" s="224"/>
      <c r="VJQ1" s="224"/>
      <c r="VJR1" s="224"/>
      <c r="VJS1" s="224"/>
      <c r="VJT1" s="224"/>
      <c r="VJU1" s="224"/>
      <c r="VJV1" s="224"/>
      <c r="VJW1" s="224"/>
      <c r="VJX1" s="224"/>
      <c r="VJY1" s="224"/>
      <c r="VJZ1" s="224"/>
      <c r="VKA1" s="224"/>
      <c r="VKB1" s="224"/>
      <c r="VKC1" s="224"/>
      <c r="VKD1" s="224"/>
      <c r="VKE1" s="224"/>
      <c r="VKF1" s="224"/>
      <c r="VKG1" s="224"/>
      <c r="VKH1" s="224"/>
      <c r="VKI1" s="224"/>
      <c r="VKJ1" s="224"/>
      <c r="VKK1" s="224"/>
      <c r="VKL1" s="224"/>
      <c r="VKM1" s="224"/>
      <c r="VKN1" s="224"/>
      <c r="VKO1" s="224"/>
      <c r="VKP1" s="224"/>
      <c r="VKQ1" s="224"/>
      <c r="VKR1" s="224"/>
      <c r="VKS1" s="224"/>
      <c r="VKT1" s="224"/>
      <c r="VKU1" s="224"/>
      <c r="VKV1" s="224"/>
      <c r="VKW1" s="224"/>
      <c r="VKX1" s="224"/>
      <c r="VKY1" s="224"/>
      <c r="VKZ1" s="224"/>
      <c r="VLA1" s="224"/>
      <c r="VLB1" s="224"/>
      <c r="VLC1" s="224"/>
      <c r="VLD1" s="224"/>
      <c r="VLE1" s="224"/>
      <c r="VLF1" s="224"/>
      <c r="VLG1" s="224"/>
      <c r="VLH1" s="224"/>
      <c r="VLI1" s="224"/>
      <c r="VLJ1" s="224"/>
      <c r="VLK1" s="224"/>
      <c r="VLL1" s="224"/>
      <c r="VLM1" s="224"/>
      <c r="VLN1" s="224"/>
      <c r="VLO1" s="224"/>
      <c r="VLP1" s="224"/>
      <c r="VLQ1" s="224"/>
      <c r="VLR1" s="224"/>
      <c r="VLS1" s="224"/>
      <c r="VLT1" s="224"/>
      <c r="VLU1" s="224"/>
      <c r="VLV1" s="224"/>
      <c r="VLW1" s="224"/>
      <c r="VLX1" s="224"/>
      <c r="VLY1" s="224"/>
      <c r="VLZ1" s="224"/>
      <c r="VMA1" s="224"/>
      <c r="VMB1" s="224"/>
      <c r="VMC1" s="224"/>
      <c r="VMD1" s="224"/>
      <c r="VME1" s="224"/>
      <c r="VMF1" s="224"/>
      <c r="VMG1" s="224"/>
      <c r="VMH1" s="224"/>
      <c r="VMI1" s="224"/>
      <c r="VMJ1" s="224"/>
      <c r="VMK1" s="224"/>
      <c r="VML1" s="224"/>
      <c r="VMM1" s="224"/>
      <c r="VMN1" s="224"/>
      <c r="VMO1" s="224"/>
      <c r="VMP1" s="224"/>
      <c r="VMQ1" s="224"/>
      <c r="VMR1" s="224"/>
      <c r="VMS1" s="224"/>
      <c r="VMT1" s="224"/>
      <c r="VMU1" s="224"/>
      <c r="VMV1" s="224"/>
      <c r="VMW1" s="224"/>
      <c r="VMX1" s="224"/>
      <c r="VMY1" s="224"/>
      <c r="VMZ1" s="224"/>
      <c r="VNA1" s="224"/>
      <c r="VNB1" s="224"/>
      <c r="VNC1" s="224"/>
      <c r="VND1" s="224"/>
      <c r="VNE1" s="224"/>
      <c r="VNF1" s="224"/>
      <c r="VNG1" s="224"/>
      <c r="VNH1" s="224"/>
      <c r="VNI1" s="224"/>
      <c r="VNJ1" s="224"/>
      <c r="VNK1" s="224"/>
      <c r="VNL1" s="224"/>
      <c r="VNM1" s="224"/>
      <c r="VNN1" s="224"/>
      <c r="VNO1" s="224"/>
      <c r="VNP1" s="224"/>
      <c r="VNQ1" s="224"/>
      <c r="VNR1" s="224"/>
      <c r="VNS1" s="224"/>
      <c r="VNT1" s="224"/>
      <c r="VNU1" s="224"/>
      <c r="VNV1" s="224"/>
      <c r="VNW1" s="224"/>
      <c r="VNX1" s="224"/>
      <c r="VNY1" s="224"/>
      <c r="VNZ1" s="224"/>
      <c r="VOA1" s="224"/>
      <c r="VOB1" s="224"/>
      <c r="VOC1" s="224"/>
      <c r="VOD1" s="224"/>
      <c r="VOE1" s="224"/>
      <c r="VOF1" s="224"/>
      <c r="VOG1" s="224"/>
      <c r="VOH1" s="224"/>
      <c r="VOI1" s="224"/>
      <c r="VOJ1" s="224"/>
      <c r="VOK1" s="224"/>
      <c r="VOL1" s="224"/>
      <c r="VOM1" s="224"/>
      <c r="VON1" s="224"/>
      <c r="VOO1" s="224"/>
      <c r="VOP1" s="224"/>
      <c r="VOQ1" s="224"/>
      <c r="VOR1" s="224"/>
      <c r="VOS1" s="224"/>
      <c r="VOT1" s="224"/>
      <c r="VOU1" s="224"/>
      <c r="VOV1" s="224"/>
      <c r="VOW1" s="224"/>
      <c r="VOX1" s="224"/>
      <c r="VOY1" s="224"/>
      <c r="VOZ1" s="224"/>
      <c r="VPA1" s="224"/>
      <c r="VPB1" s="224"/>
      <c r="VPC1" s="224"/>
      <c r="VPD1" s="224"/>
      <c r="VPE1" s="224"/>
      <c r="VPF1" s="224"/>
      <c r="VPG1" s="224"/>
      <c r="VPH1" s="224"/>
      <c r="VPI1" s="224"/>
      <c r="VPJ1" s="224"/>
      <c r="VPK1" s="224"/>
      <c r="VPL1" s="224"/>
      <c r="VPM1" s="224"/>
      <c r="VPN1" s="224"/>
      <c r="VPO1" s="224"/>
      <c r="VPP1" s="224"/>
      <c r="VPQ1" s="224"/>
      <c r="VPR1" s="224"/>
      <c r="VPS1" s="224"/>
      <c r="VPT1" s="224"/>
      <c r="VPU1" s="224"/>
      <c r="VPV1" s="224"/>
      <c r="VPW1" s="224"/>
      <c r="VPX1" s="224"/>
      <c r="VPY1" s="224"/>
      <c r="VPZ1" s="224"/>
      <c r="VQA1" s="224"/>
      <c r="VQB1" s="224"/>
      <c r="VQC1" s="224"/>
      <c r="VQD1" s="224"/>
      <c r="VQE1" s="224"/>
      <c r="VQF1" s="224"/>
      <c r="VQG1" s="224"/>
      <c r="VQH1" s="224"/>
      <c r="VQI1" s="224"/>
      <c r="VQJ1" s="224"/>
      <c r="VQK1" s="224"/>
      <c r="VQL1" s="224"/>
      <c r="VQM1" s="224"/>
      <c r="VQN1" s="224"/>
      <c r="VQO1" s="224"/>
      <c r="VQP1" s="224"/>
      <c r="VQQ1" s="224"/>
      <c r="VQR1" s="224"/>
      <c r="VQS1" s="224"/>
      <c r="VQT1" s="224"/>
      <c r="VQU1" s="224"/>
      <c r="VQV1" s="224"/>
      <c r="VQW1" s="224"/>
      <c r="VQX1" s="224"/>
      <c r="VQY1" s="224"/>
      <c r="VQZ1" s="224"/>
      <c r="VRA1" s="224"/>
      <c r="VRB1" s="224"/>
      <c r="VRC1" s="224"/>
      <c r="VRD1" s="224"/>
      <c r="VRE1" s="224"/>
      <c r="VRF1" s="224"/>
      <c r="VRG1" s="224"/>
      <c r="VRH1" s="224"/>
      <c r="VRI1" s="224"/>
      <c r="VRJ1" s="224"/>
      <c r="VRK1" s="224"/>
      <c r="VRL1" s="224"/>
      <c r="VRM1" s="224"/>
      <c r="VRN1" s="224"/>
      <c r="VRO1" s="224"/>
      <c r="VRP1" s="224"/>
      <c r="VRQ1" s="224"/>
      <c r="VRR1" s="224"/>
      <c r="VRS1" s="224"/>
      <c r="VRT1" s="224"/>
      <c r="VRU1" s="224"/>
      <c r="VRV1" s="224"/>
      <c r="VRW1" s="224"/>
      <c r="VRX1" s="224"/>
      <c r="VRY1" s="224"/>
      <c r="VRZ1" s="224"/>
      <c r="VSA1" s="224"/>
      <c r="VSB1" s="224"/>
      <c r="VSC1" s="224"/>
      <c r="VSD1" s="224"/>
      <c r="VSE1" s="224"/>
      <c r="VSF1" s="224"/>
      <c r="VSG1" s="224"/>
      <c r="VSH1" s="224"/>
      <c r="VSI1" s="224"/>
      <c r="VSJ1" s="224"/>
      <c r="VSK1" s="224"/>
      <c r="VSL1" s="224"/>
      <c r="VSM1" s="224"/>
      <c r="VSN1" s="224"/>
      <c r="VSO1" s="224"/>
      <c r="VSP1" s="224"/>
      <c r="VSQ1" s="224"/>
      <c r="VSR1" s="224"/>
      <c r="VSS1" s="224"/>
      <c r="VST1" s="224"/>
      <c r="VSU1" s="224"/>
      <c r="VSV1" s="224"/>
      <c r="VSW1" s="224"/>
      <c r="VSX1" s="224"/>
      <c r="VSY1" s="224"/>
      <c r="VSZ1" s="224"/>
      <c r="VTA1" s="224"/>
      <c r="VTB1" s="224"/>
      <c r="VTC1" s="224"/>
      <c r="VTD1" s="224"/>
      <c r="VTE1" s="224"/>
      <c r="VTF1" s="224"/>
      <c r="VTG1" s="224"/>
      <c r="VTH1" s="224"/>
      <c r="VTI1" s="224"/>
      <c r="VTJ1" s="224"/>
      <c r="VTK1" s="224"/>
      <c r="VTL1" s="224"/>
      <c r="VTM1" s="224"/>
      <c r="VTN1" s="224"/>
      <c r="VTO1" s="224"/>
      <c r="VTP1" s="224"/>
      <c r="VTQ1" s="224"/>
      <c r="VTR1" s="224"/>
      <c r="VTS1" s="224"/>
      <c r="VTT1" s="224"/>
      <c r="VTU1" s="224"/>
      <c r="VTV1" s="224"/>
      <c r="VTW1" s="224"/>
      <c r="VTX1" s="224"/>
      <c r="VTY1" s="224"/>
      <c r="VTZ1" s="224"/>
      <c r="VUA1" s="224"/>
      <c r="VUB1" s="224"/>
      <c r="VUC1" s="224"/>
      <c r="VUD1" s="224"/>
      <c r="VUE1" s="224"/>
      <c r="VUF1" s="224"/>
      <c r="VUG1" s="224"/>
      <c r="VUH1" s="224"/>
      <c r="VUI1" s="224"/>
      <c r="VUJ1" s="224"/>
      <c r="VUK1" s="224"/>
      <c r="VUL1" s="224"/>
      <c r="VUM1" s="224"/>
      <c r="VUN1" s="224"/>
      <c r="VUO1" s="224"/>
      <c r="VUP1" s="224"/>
      <c r="VUQ1" s="224"/>
      <c r="VUR1" s="224"/>
      <c r="VUS1" s="224"/>
      <c r="VUT1" s="224"/>
      <c r="VUU1" s="224"/>
      <c r="VUV1" s="224"/>
      <c r="VUW1" s="224"/>
      <c r="VUX1" s="224"/>
      <c r="VUY1" s="224"/>
      <c r="VUZ1" s="224"/>
      <c r="VVA1" s="224"/>
      <c r="VVB1" s="224"/>
      <c r="VVC1" s="224"/>
      <c r="VVD1" s="224"/>
      <c r="VVE1" s="224"/>
      <c r="VVF1" s="224"/>
      <c r="VVG1" s="224"/>
      <c r="VVH1" s="224"/>
      <c r="VVI1" s="224"/>
      <c r="VVJ1" s="224"/>
      <c r="VVK1" s="224"/>
      <c r="VVL1" s="224"/>
      <c r="VVM1" s="224"/>
      <c r="VVN1" s="224"/>
      <c r="VVO1" s="224"/>
      <c r="VVP1" s="224"/>
      <c r="VVQ1" s="224"/>
      <c r="VVR1" s="224"/>
      <c r="VVS1" s="224"/>
      <c r="VVT1" s="224"/>
      <c r="VVU1" s="224"/>
      <c r="VVV1" s="224"/>
      <c r="VVW1" s="224"/>
      <c r="VVX1" s="224"/>
      <c r="VVY1" s="224"/>
      <c r="VVZ1" s="224"/>
      <c r="VWA1" s="224"/>
      <c r="VWB1" s="224"/>
      <c r="VWC1" s="224"/>
      <c r="VWD1" s="224"/>
      <c r="VWE1" s="224"/>
      <c r="VWF1" s="224"/>
      <c r="VWG1" s="224"/>
      <c r="VWH1" s="224"/>
      <c r="VWI1" s="224"/>
      <c r="VWJ1" s="224"/>
      <c r="VWK1" s="224"/>
      <c r="VWL1" s="224"/>
      <c r="VWM1" s="224"/>
      <c r="VWN1" s="224"/>
      <c r="VWO1" s="224"/>
      <c r="VWP1" s="224"/>
      <c r="VWQ1" s="224"/>
      <c r="VWR1" s="224"/>
      <c r="VWS1" s="224"/>
      <c r="VWT1" s="224"/>
      <c r="VWU1" s="224"/>
      <c r="VWV1" s="224"/>
      <c r="VWW1" s="224"/>
      <c r="VWX1" s="224"/>
      <c r="VWY1" s="224"/>
      <c r="VWZ1" s="224"/>
      <c r="VXA1" s="224"/>
      <c r="VXB1" s="224"/>
      <c r="VXC1" s="224"/>
      <c r="VXD1" s="224"/>
      <c r="VXE1" s="224"/>
      <c r="VXF1" s="224"/>
      <c r="VXG1" s="224"/>
      <c r="VXH1" s="224"/>
      <c r="VXI1" s="224"/>
      <c r="VXJ1" s="224"/>
      <c r="VXK1" s="224"/>
      <c r="VXL1" s="224"/>
      <c r="VXM1" s="224"/>
      <c r="VXN1" s="224"/>
      <c r="VXO1" s="224"/>
      <c r="VXP1" s="224"/>
      <c r="VXQ1" s="224"/>
      <c r="VXR1" s="224"/>
      <c r="VXS1" s="224"/>
      <c r="VXT1" s="224"/>
      <c r="VXU1" s="224"/>
      <c r="VXV1" s="224"/>
      <c r="VXW1" s="224"/>
      <c r="VXX1" s="224"/>
      <c r="VXY1" s="224"/>
      <c r="VXZ1" s="224"/>
      <c r="VYA1" s="224"/>
      <c r="VYB1" s="224"/>
      <c r="VYC1" s="224"/>
      <c r="VYD1" s="224"/>
      <c r="VYE1" s="224"/>
      <c r="VYF1" s="224"/>
      <c r="VYG1" s="224"/>
      <c r="VYH1" s="224"/>
      <c r="VYI1" s="224"/>
      <c r="VYJ1" s="224"/>
      <c r="VYK1" s="224"/>
      <c r="VYL1" s="224"/>
      <c r="VYM1" s="224"/>
      <c r="VYN1" s="224"/>
      <c r="VYO1" s="224"/>
      <c r="VYP1" s="224"/>
      <c r="VYQ1" s="224"/>
      <c r="VYR1" s="224"/>
      <c r="VYS1" s="224"/>
      <c r="VYT1" s="224"/>
      <c r="VYU1" s="224"/>
      <c r="VYV1" s="224"/>
      <c r="VYW1" s="224"/>
      <c r="VYX1" s="224"/>
      <c r="VYY1" s="224"/>
      <c r="VYZ1" s="224"/>
      <c r="VZA1" s="224"/>
      <c r="VZB1" s="224"/>
      <c r="VZC1" s="224"/>
      <c r="VZD1" s="224"/>
      <c r="VZE1" s="224"/>
      <c r="VZF1" s="224"/>
      <c r="VZG1" s="224"/>
      <c r="VZH1" s="224"/>
      <c r="VZI1" s="224"/>
      <c r="VZJ1" s="224"/>
      <c r="VZK1" s="224"/>
      <c r="VZL1" s="224"/>
      <c r="VZM1" s="224"/>
      <c r="VZN1" s="224"/>
      <c r="VZO1" s="224"/>
      <c r="VZP1" s="224"/>
      <c r="VZQ1" s="224"/>
      <c r="VZR1" s="224"/>
      <c r="VZS1" s="224"/>
      <c r="VZT1" s="224"/>
      <c r="VZU1" s="224"/>
      <c r="VZV1" s="224"/>
      <c r="VZW1" s="224"/>
      <c r="VZX1" s="224"/>
      <c r="VZY1" s="224"/>
      <c r="VZZ1" s="224"/>
      <c r="WAA1" s="224"/>
      <c r="WAB1" s="224"/>
      <c r="WAC1" s="224"/>
      <c r="WAD1" s="224"/>
      <c r="WAE1" s="224"/>
      <c r="WAF1" s="224"/>
      <c r="WAG1" s="224"/>
      <c r="WAH1" s="224"/>
      <c r="WAI1" s="224"/>
      <c r="WAJ1" s="224"/>
      <c r="WAK1" s="224"/>
      <c r="WAL1" s="224"/>
      <c r="WAM1" s="224"/>
      <c r="WAN1" s="224"/>
      <c r="WAO1" s="224"/>
      <c r="WAP1" s="224"/>
      <c r="WAQ1" s="224"/>
      <c r="WAR1" s="224"/>
      <c r="WAS1" s="224"/>
      <c r="WAT1" s="224"/>
      <c r="WAU1" s="224"/>
      <c r="WAV1" s="224"/>
      <c r="WAW1" s="224"/>
      <c r="WAX1" s="224"/>
      <c r="WAY1" s="224"/>
      <c r="WAZ1" s="224"/>
      <c r="WBA1" s="224"/>
      <c r="WBB1" s="224"/>
      <c r="WBC1" s="224"/>
      <c r="WBD1" s="224"/>
      <c r="WBE1" s="224"/>
      <c r="WBF1" s="224"/>
      <c r="WBG1" s="224"/>
      <c r="WBH1" s="224"/>
      <c r="WBI1" s="224"/>
      <c r="WBJ1" s="224"/>
      <c r="WBK1" s="224"/>
      <c r="WBL1" s="224"/>
      <c r="WBM1" s="224"/>
      <c r="WBN1" s="224"/>
      <c r="WBO1" s="224"/>
      <c r="WBP1" s="224"/>
      <c r="WBQ1" s="224"/>
      <c r="WBR1" s="224"/>
      <c r="WBS1" s="224"/>
      <c r="WBT1" s="224"/>
      <c r="WBU1" s="224"/>
      <c r="WBV1" s="224"/>
      <c r="WBW1" s="224"/>
      <c r="WBX1" s="224"/>
      <c r="WBY1" s="224"/>
      <c r="WBZ1" s="224"/>
      <c r="WCA1" s="224"/>
      <c r="WCB1" s="224"/>
      <c r="WCC1" s="224"/>
      <c r="WCD1" s="224"/>
      <c r="WCE1" s="224"/>
      <c r="WCF1" s="224"/>
      <c r="WCG1" s="224"/>
      <c r="WCH1" s="224"/>
      <c r="WCI1" s="224"/>
      <c r="WCJ1" s="224"/>
      <c r="WCK1" s="224"/>
      <c r="WCL1" s="224"/>
      <c r="WCM1" s="224"/>
      <c r="WCN1" s="224"/>
      <c r="WCO1" s="224"/>
      <c r="WCP1" s="224"/>
      <c r="WCQ1" s="224"/>
      <c r="WCR1" s="224"/>
      <c r="WCS1" s="224"/>
      <c r="WCT1" s="224"/>
      <c r="WCU1" s="224"/>
      <c r="WCV1" s="224"/>
      <c r="WCW1" s="224"/>
      <c r="WCX1" s="224"/>
      <c r="WCY1" s="224"/>
      <c r="WCZ1" s="224"/>
      <c r="WDA1" s="224"/>
      <c r="WDB1" s="224"/>
      <c r="WDC1" s="224"/>
      <c r="WDD1" s="224"/>
      <c r="WDE1" s="224"/>
      <c r="WDF1" s="224"/>
      <c r="WDG1" s="224"/>
      <c r="WDH1" s="224"/>
      <c r="WDI1" s="224"/>
      <c r="WDJ1" s="224"/>
      <c r="WDK1" s="224"/>
      <c r="WDL1" s="224"/>
      <c r="WDM1" s="224"/>
      <c r="WDN1" s="224"/>
      <c r="WDO1" s="224"/>
      <c r="WDP1" s="224"/>
      <c r="WDQ1" s="224"/>
      <c r="WDR1" s="224"/>
      <c r="WDS1" s="224"/>
      <c r="WDT1" s="224"/>
      <c r="WDU1" s="224"/>
      <c r="WDV1" s="224"/>
      <c r="WDW1" s="224"/>
      <c r="WDX1" s="224"/>
      <c r="WDY1" s="224"/>
      <c r="WDZ1" s="224"/>
      <c r="WEA1" s="224"/>
      <c r="WEB1" s="224"/>
      <c r="WEC1" s="224"/>
      <c r="WED1" s="224"/>
      <c r="WEE1" s="224"/>
      <c r="WEF1" s="224"/>
      <c r="WEG1" s="224"/>
      <c r="WEH1" s="224"/>
      <c r="WEI1" s="224"/>
      <c r="WEJ1" s="224"/>
      <c r="WEK1" s="224"/>
      <c r="WEL1" s="224"/>
      <c r="WEM1" s="224"/>
      <c r="WEN1" s="224"/>
      <c r="WEO1" s="224"/>
      <c r="WEP1" s="224"/>
      <c r="WEQ1" s="224"/>
      <c r="WER1" s="224"/>
      <c r="WES1" s="224"/>
      <c r="WET1" s="224"/>
      <c r="WEU1" s="224"/>
      <c r="WEV1" s="224"/>
      <c r="WEW1" s="224"/>
      <c r="WEX1" s="224"/>
      <c r="WEY1" s="224"/>
      <c r="WEZ1" s="224"/>
      <c r="WFA1" s="224"/>
      <c r="WFB1" s="224"/>
      <c r="WFC1" s="224"/>
      <c r="WFD1" s="224"/>
      <c r="WFE1" s="224"/>
      <c r="WFF1" s="224"/>
      <c r="WFG1" s="224"/>
      <c r="WFH1" s="224"/>
      <c r="WFI1" s="224"/>
      <c r="WFJ1" s="224"/>
      <c r="WFK1" s="224"/>
      <c r="WFL1" s="224"/>
      <c r="WFM1" s="224"/>
      <c r="WFN1" s="224"/>
      <c r="WFO1" s="224"/>
      <c r="WFP1" s="224"/>
      <c r="WFQ1" s="224"/>
      <c r="WFR1" s="224"/>
      <c r="WFS1" s="224"/>
      <c r="WFT1" s="224"/>
      <c r="WFU1" s="224"/>
      <c r="WFV1" s="224"/>
      <c r="WFW1" s="224"/>
      <c r="WFX1" s="224"/>
      <c r="WFY1" s="224"/>
      <c r="WFZ1" s="224"/>
      <c r="WGA1" s="224"/>
      <c r="WGB1" s="224"/>
      <c r="WGC1" s="224"/>
      <c r="WGD1" s="224"/>
      <c r="WGE1" s="224"/>
      <c r="WGF1" s="224"/>
      <c r="WGG1" s="224"/>
      <c r="WGH1" s="224"/>
      <c r="WGI1" s="224"/>
      <c r="WGJ1" s="224"/>
      <c r="WGK1" s="224"/>
      <c r="WGL1" s="224"/>
      <c r="WGM1" s="224"/>
      <c r="WGN1" s="224"/>
      <c r="WGO1" s="224"/>
      <c r="WGP1" s="224"/>
      <c r="WGQ1" s="224"/>
      <c r="WGR1" s="224"/>
      <c r="WGS1" s="224"/>
      <c r="WGT1" s="224"/>
      <c r="WGU1" s="224"/>
      <c r="WGV1" s="224"/>
      <c r="WGW1" s="224"/>
      <c r="WGX1" s="224"/>
      <c r="WGY1" s="224"/>
      <c r="WGZ1" s="224"/>
      <c r="WHA1" s="224"/>
      <c r="WHB1" s="224"/>
      <c r="WHC1" s="224"/>
      <c r="WHD1" s="224"/>
      <c r="WHE1" s="224"/>
      <c r="WHF1" s="224"/>
      <c r="WHG1" s="224"/>
      <c r="WHH1" s="224"/>
      <c r="WHI1" s="224"/>
      <c r="WHJ1" s="224"/>
      <c r="WHK1" s="224"/>
      <c r="WHL1" s="224"/>
      <c r="WHM1" s="224"/>
      <c r="WHN1" s="224"/>
      <c r="WHO1" s="224"/>
      <c r="WHP1" s="224"/>
      <c r="WHQ1" s="224"/>
      <c r="WHR1" s="224"/>
      <c r="WHS1" s="224"/>
      <c r="WHT1" s="224"/>
      <c r="WHU1" s="224"/>
      <c r="WHV1" s="224"/>
      <c r="WHW1" s="224"/>
      <c r="WHX1" s="224"/>
      <c r="WHY1" s="224"/>
      <c r="WHZ1" s="224"/>
      <c r="WIA1" s="224"/>
      <c r="WIB1" s="224"/>
      <c r="WIC1" s="224"/>
      <c r="WID1" s="224"/>
      <c r="WIE1" s="224"/>
      <c r="WIF1" s="224"/>
      <c r="WIG1" s="224"/>
      <c r="WIH1" s="224"/>
      <c r="WII1" s="224"/>
      <c r="WIJ1" s="224"/>
      <c r="WIK1" s="224"/>
      <c r="WIL1" s="224"/>
      <c r="WIM1" s="224"/>
      <c r="WIN1" s="224"/>
      <c r="WIO1" s="224"/>
      <c r="WIP1" s="224"/>
      <c r="WIQ1" s="224"/>
      <c r="WIR1" s="224"/>
      <c r="WIS1" s="224"/>
      <c r="WIT1" s="224"/>
      <c r="WIU1" s="224"/>
      <c r="WIV1" s="224"/>
      <c r="WIW1" s="224"/>
      <c r="WIX1" s="224"/>
      <c r="WIY1" s="224"/>
      <c r="WIZ1" s="224"/>
      <c r="WJA1" s="224"/>
      <c r="WJB1" s="224"/>
      <c r="WJC1" s="224"/>
      <c r="WJD1" s="224"/>
      <c r="WJE1" s="224"/>
      <c r="WJF1" s="224"/>
      <c r="WJG1" s="224"/>
      <c r="WJH1" s="224"/>
      <c r="WJI1" s="224"/>
      <c r="WJJ1" s="224"/>
      <c r="WJK1" s="224"/>
      <c r="WJL1" s="224"/>
      <c r="WJM1" s="224"/>
      <c r="WJN1" s="224"/>
      <c r="WJO1" s="224"/>
      <c r="WJP1" s="224"/>
      <c r="WJQ1" s="224"/>
      <c r="WJR1" s="224"/>
      <c r="WJS1" s="224"/>
      <c r="WJT1" s="224"/>
      <c r="WJU1" s="224"/>
      <c r="WJV1" s="224"/>
      <c r="WJW1" s="224"/>
      <c r="WJX1" s="224"/>
      <c r="WJY1" s="224"/>
      <c r="WJZ1" s="224"/>
      <c r="WKA1" s="224"/>
      <c r="WKB1" s="224"/>
      <c r="WKC1" s="224"/>
      <c r="WKD1" s="224"/>
      <c r="WKE1" s="224"/>
      <c r="WKF1" s="224"/>
      <c r="WKG1" s="224"/>
      <c r="WKH1" s="224"/>
      <c r="WKI1" s="224"/>
      <c r="WKJ1" s="224"/>
      <c r="WKK1" s="224"/>
      <c r="WKL1" s="224"/>
      <c r="WKM1" s="224"/>
      <c r="WKN1" s="224"/>
      <c r="WKO1" s="224"/>
      <c r="WKP1" s="224"/>
      <c r="WKQ1" s="224"/>
      <c r="WKR1" s="224"/>
      <c r="WKS1" s="224"/>
      <c r="WKT1" s="224"/>
      <c r="WKU1" s="224"/>
      <c r="WKV1" s="224"/>
      <c r="WKW1" s="224"/>
      <c r="WKX1" s="224"/>
      <c r="WKY1" s="224"/>
      <c r="WKZ1" s="224"/>
      <c r="WLA1" s="224"/>
      <c r="WLB1" s="224"/>
      <c r="WLC1" s="224"/>
      <c r="WLD1" s="224"/>
      <c r="WLE1" s="224"/>
      <c r="WLF1" s="224"/>
      <c r="WLG1" s="224"/>
      <c r="WLH1" s="224"/>
      <c r="WLI1" s="224"/>
      <c r="WLJ1" s="224"/>
      <c r="WLK1" s="224"/>
      <c r="WLL1" s="224"/>
      <c r="WLM1" s="224"/>
      <c r="WLN1" s="224"/>
      <c r="WLO1" s="224"/>
      <c r="WLP1" s="224"/>
      <c r="WLQ1" s="224"/>
      <c r="WLR1" s="224"/>
      <c r="WLS1" s="224"/>
      <c r="WLT1" s="224"/>
      <c r="WLU1" s="224"/>
      <c r="WLV1" s="224"/>
      <c r="WLW1" s="224"/>
      <c r="WLX1" s="224"/>
      <c r="WLY1" s="224"/>
      <c r="WLZ1" s="224"/>
      <c r="WMA1" s="224"/>
      <c r="WMB1" s="224"/>
      <c r="WMC1" s="224"/>
      <c r="WMD1" s="224"/>
      <c r="WME1" s="224"/>
      <c r="WMF1" s="224"/>
      <c r="WMG1" s="224"/>
      <c r="WMH1" s="224"/>
      <c r="WMI1" s="224"/>
      <c r="WMJ1" s="224"/>
      <c r="WMK1" s="224"/>
      <c r="WML1" s="224"/>
      <c r="WMM1" s="224"/>
      <c r="WMN1" s="224"/>
      <c r="WMO1" s="224"/>
      <c r="WMP1" s="224"/>
      <c r="WMQ1" s="224"/>
      <c r="WMR1" s="224"/>
      <c r="WMS1" s="224"/>
      <c r="WMT1" s="224"/>
      <c r="WMU1" s="224"/>
      <c r="WMV1" s="224"/>
      <c r="WMW1" s="224"/>
      <c r="WMX1" s="224"/>
      <c r="WMY1" s="224"/>
      <c r="WMZ1" s="224"/>
      <c r="WNA1" s="224"/>
      <c r="WNB1" s="224"/>
      <c r="WNC1" s="224"/>
      <c r="WND1" s="224"/>
      <c r="WNE1" s="224"/>
      <c r="WNF1" s="224"/>
      <c r="WNG1" s="224"/>
      <c r="WNH1" s="224"/>
      <c r="WNI1" s="224"/>
      <c r="WNJ1" s="224"/>
      <c r="WNK1" s="224"/>
      <c r="WNL1" s="224"/>
      <c r="WNM1" s="224"/>
      <c r="WNN1" s="224"/>
      <c r="WNO1" s="224"/>
      <c r="WNP1" s="224"/>
      <c r="WNQ1" s="224"/>
      <c r="WNR1" s="224"/>
      <c r="WNS1" s="224"/>
      <c r="WNT1" s="224"/>
      <c r="WNU1" s="224"/>
      <c r="WNV1" s="224"/>
      <c r="WNW1" s="224"/>
      <c r="WNX1" s="224"/>
      <c r="WNY1" s="224"/>
      <c r="WNZ1" s="224"/>
      <c r="WOA1" s="224"/>
      <c r="WOB1" s="224"/>
      <c r="WOC1" s="224"/>
      <c r="WOD1" s="224"/>
      <c r="WOE1" s="224"/>
      <c r="WOF1" s="224"/>
      <c r="WOG1" s="224"/>
      <c r="WOH1" s="224"/>
      <c r="WOI1" s="224"/>
      <c r="WOJ1" s="224"/>
      <c r="WOK1" s="224"/>
      <c r="WOL1" s="224"/>
      <c r="WOM1" s="224"/>
      <c r="WON1" s="224"/>
      <c r="WOO1" s="224"/>
      <c r="WOP1" s="224"/>
      <c r="WOQ1" s="224"/>
      <c r="WOR1" s="224"/>
      <c r="WOS1" s="224"/>
      <c r="WOT1" s="224"/>
      <c r="WOU1" s="224"/>
      <c r="WOV1" s="224"/>
      <c r="WOW1" s="224"/>
      <c r="WOX1" s="224"/>
      <c r="WOY1" s="224"/>
      <c r="WOZ1" s="224"/>
      <c r="WPA1" s="224"/>
      <c r="WPB1" s="224"/>
      <c r="WPC1" s="224"/>
      <c r="WPD1" s="224"/>
      <c r="WPE1" s="224"/>
      <c r="WPF1" s="224"/>
      <c r="WPG1" s="224"/>
      <c r="WPH1" s="224"/>
      <c r="WPI1" s="224"/>
      <c r="WPJ1" s="224"/>
      <c r="WPK1" s="224"/>
      <c r="WPL1" s="224"/>
      <c r="WPM1" s="224"/>
      <c r="WPN1" s="224"/>
      <c r="WPO1" s="224"/>
      <c r="WPP1" s="224"/>
      <c r="WPQ1" s="224"/>
      <c r="WPR1" s="224"/>
      <c r="WPS1" s="224"/>
      <c r="WPT1" s="224"/>
      <c r="WPU1" s="224"/>
      <c r="WPV1" s="224"/>
      <c r="WPW1" s="224"/>
      <c r="WPX1" s="224"/>
      <c r="WPY1" s="224"/>
      <c r="WPZ1" s="224"/>
      <c r="WQA1" s="224"/>
      <c r="WQB1" s="224"/>
      <c r="WQC1" s="224"/>
      <c r="WQD1" s="224"/>
      <c r="WQE1" s="224"/>
      <c r="WQF1" s="224"/>
      <c r="WQG1" s="224"/>
      <c r="WQH1" s="224"/>
      <c r="WQI1" s="224"/>
      <c r="WQJ1" s="224"/>
      <c r="WQK1" s="224"/>
      <c r="WQL1" s="224"/>
      <c r="WQM1" s="224"/>
      <c r="WQN1" s="224"/>
      <c r="WQO1" s="224"/>
      <c r="WQP1" s="224"/>
      <c r="WQQ1" s="224"/>
      <c r="WQR1" s="224"/>
      <c r="WQS1" s="224"/>
      <c r="WQT1" s="224"/>
      <c r="WQU1" s="224"/>
      <c r="WQV1" s="224"/>
      <c r="WQW1" s="224"/>
      <c r="WQX1" s="224"/>
      <c r="WQY1" s="224"/>
      <c r="WQZ1" s="224"/>
      <c r="WRA1" s="224"/>
      <c r="WRB1" s="224"/>
      <c r="WRC1" s="224"/>
      <c r="WRD1" s="224"/>
      <c r="WRE1" s="224"/>
      <c r="WRF1" s="224"/>
      <c r="WRG1" s="224"/>
      <c r="WRH1" s="224"/>
      <c r="WRI1" s="224"/>
      <c r="WRJ1" s="224"/>
      <c r="WRK1" s="224"/>
      <c r="WRL1" s="224"/>
      <c r="WRM1" s="224"/>
      <c r="WRN1" s="224"/>
      <c r="WRO1" s="224"/>
      <c r="WRP1" s="224"/>
      <c r="WRQ1" s="224"/>
      <c r="WRR1" s="224"/>
      <c r="WRS1" s="224"/>
      <c r="WRT1" s="224"/>
      <c r="WRU1" s="224"/>
      <c r="WRV1" s="224"/>
      <c r="WRW1" s="224"/>
      <c r="WRX1" s="224"/>
      <c r="WRY1" s="224"/>
      <c r="WRZ1" s="224"/>
      <c r="WSA1" s="224"/>
      <c r="WSB1" s="224"/>
      <c r="WSC1" s="224"/>
      <c r="WSD1" s="224"/>
      <c r="WSE1" s="224"/>
      <c r="WSF1" s="224"/>
      <c r="WSG1" s="224"/>
      <c r="WSH1" s="224"/>
      <c r="WSI1" s="224"/>
      <c r="WSJ1" s="224"/>
      <c r="WSK1" s="224"/>
      <c r="WSL1" s="224"/>
      <c r="WSM1" s="224"/>
      <c r="WSN1" s="224"/>
      <c r="WSO1" s="224"/>
      <c r="WSP1" s="224"/>
      <c r="WSQ1" s="224"/>
      <c r="WSR1" s="224"/>
      <c r="WSS1" s="224"/>
      <c r="WST1" s="224"/>
      <c r="WSU1" s="224"/>
      <c r="WSV1" s="224"/>
      <c r="WSW1" s="224"/>
      <c r="WSX1" s="224"/>
      <c r="WSY1" s="224"/>
      <c r="WSZ1" s="224"/>
      <c r="WTA1" s="224"/>
      <c r="WTB1" s="224"/>
      <c r="WTC1" s="224"/>
      <c r="WTD1" s="224"/>
      <c r="WTE1" s="224"/>
      <c r="WTF1" s="224"/>
      <c r="WTG1" s="224"/>
      <c r="WTH1" s="224"/>
      <c r="WTI1" s="224"/>
      <c r="WTJ1" s="224"/>
      <c r="WTK1" s="224"/>
      <c r="WTL1" s="224"/>
      <c r="WTM1" s="224"/>
      <c r="WTN1" s="224"/>
      <c r="WTO1" s="224"/>
      <c r="WTP1" s="224"/>
      <c r="WTQ1" s="224"/>
      <c r="WTR1" s="224"/>
      <c r="WTS1" s="224"/>
      <c r="WTT1" s="224"/>
      <c r="WTU1" s="224"/>
      <c r="WTV1" s="224"/>
      <c r="WTW1" s="224"/>
      <c r="WTX1" s="224"/>
      <c r="WTY1" s="224"/>
      <c r="WTZ1" s="224"/>
      <c r="WUA1" s="224"/>
      <c r="WUB1" s="224"/>
      <c r="WUC1" s="224"/>
      <c r="WUD1" s="224"/>
      <c r="WUE1" s="224"/>
      <c r="WUF1" s="224"/>
      <c r="WUG1" s="224"/>
      <c r="WUH1" s="224"/>
      <c r="WUI1" s="224"/>
      <c r="WUJ1" s="224"/>
      <c r="WUK1" s="224"/>
      <c r="WUL1" s="224"/>
      <c r="WUM1" s="224"/>
      <c r="WUN1" s="224"/>
      <c r="WUO1" s="224"/>
      <c r="WUP1" s="224"/>
      <c r="WUQ1" s="224"/>
      <c r="WUR1" s="224"/>
      <c r="WUS1" s="224"/>
      <c r="WUT1" s="224"/>
      <c r="WUU1" s="224"/>
      <c r="WUV1" s="224"/>
      <c r="WUW1" s="224"/>
      <c r="WUX1" s="224"/>
      <c r="WUY1" s="224"/>
      <c r="WUZ1" s="224"/>
      <c r="WVA1" s="224"/>
      <c r="WVB1" s="224"/>
      <c r="WVC1" s="224"/>
      <c r="WVD1" s="224"/>
      <c r="WVE1" s="224"/>
      <c r="WVF1" s="224"/>
      <c r="WVG1" s="224"/>
      <c r="WVH1" s="224"/>
      <c r="WVI1" s="224"/>
      <c r="WVJ1" s="224"/>
      <c r="WVK1" s="224"/>
      <c r="WVL1" s="224"/>
      <c r="WVM1" s="224"/>
      <c r="WVN1" s="224"/>
      <c r="WVO1" s="224"/>
      <c r="WVP1" s="224"/>
      <c r="WVQ1" s="224"/>
      <c r="WVR1" s="224"/>
      <c r="WVS1" s="224"/>
      <c r="WVT1" s="224"/>
      <c r="WVU1" s="224"/>
      <c r="WVV1" s="224"/>
      <c r="WVW1" s="224"/>
      <c r="WVX1" s="224"/>
      <c r="WVY1" s="224"/>
      <c r="WVZ1" s="224"/>
      <c r="WWA1" s="224"/>
      <c r="WWB1" s="224"/>
      <c r="WWC1" s="224"/>
      <c r="WWD1" s="224"/>
      <c r="WWE1" s="224"/>
      <c r="WWF1" s="224"/>
      <c r="WWG1" s="224"/>
      <c r="WWH1" s="224"/>
      <c r="WWI1" s="224"/>
      <c r="WWJ1" s="224"/>
      <c r="WWK1" s="224"/>
      <c r="WWL1" s="224"/>
      <c r="WWM1" s="224"/>
      <c r="WWN1" s="224"/>
      <c r="WWO1" s="224"/>
      <c r="WWP1" s="224"/>
      <c r="WWQ1" s="224"/>
      <c r="WWR1" s="224"/>
      <c r="WWS1" s="224"/>
      <c r="WWT1" s="224"/>
      <c r="WWU1" s="224"/>
      <c r="WWV1" s="224"/>
      <c r="WWW1" s="224"/>
      <c r="WWX1" s="224"/>
      <c r="WWY1" s="224"/>
      <c r="WWZ1" s="224"/>
      <c r="WXA1" s="224"/>
      <c r="WXB1" s="224"/>
      <c r="WXC1" s="224"/>
      <c r="WXD1" s="224"/>
      <c r="WXE1" s="224"/>
      <c r="WXF1" s="224"/>
      <c r="WXG1" s="224"/>
      <c r="WXH1" s="224"/>
      <c r="WXI1" s="224"/>
      <c r="WXJ1" s="224"/>
      <c r="WXK1" s="224"/>
      <c r="WXL1" s="224"/>
      <c r="WXM1" s="224"/>
      <c r="WXN1" s="224"/>
      <c r="WXO1" s="224"/>
      <c r="WXP1" s="224"/>
      <c r="WXQ1" s="224"/>
      <c r="WXR1" s="224"/>
      <c r="WXS1" s="224"/>
      <c r="WXT1" s="224"/>
      <c r="WXU1" s="224"/>
      <c r="WXV1" s="224"/>
      <c r="WXW1" s="224"/>
      <c r="WXX1" s="224"/>
      <c r="WXY1" s="224"/>
      <c r="WXZ1" s="224"/>
      <c r="WYA1" s="224"/>
      <c r="WYB1" s="224"/>
      <c r="WYC1" s="224"/>
      <c r="WYD1" s="224"/>
      <c r="WYE1" s="224"/>
      <c r="WYF1" s="224"/>
      <c r="WYG1" s="224"/>
      <c r="WYH1" s="224"/>
      <c r="WYI1" s="224"/>
      <c r="WYJ1" s="224"/>
      <c r="WYK1" s="224"/>
      <c r="WYL1" s="224"/>
      <c r="WYM1" s="224"/>
      <c r="WYN1" s="224"/>
      <c r="WYO1" s="224"/>
      <c r="WYP1" s="224"/>
      <c r="WYQ1" s="224"/>
      <c r="WYR1" s="224"/>
      <c r="WYS1" s="224"/>
      <c r="WYT1" s="224"/>
      <c r="WYU1" s="224"/>
      <c r="WYV1" s="224"/>
      <c r="WYW1" s="224"/>
      <c r="WYX1" s="224"/>
      <c r="WYY1" s="224"/>
      <c r="WYZ1" s="224"/>
      <c r="WZA1" s="224"/>
      <c r="WZB1" s="224"/>
      <c r="WZC1" s="224"/>
      <c r="WZD1" s="224"/>
      <c r="WZE1" s="224"/>
      <c r="WZF1" s="224"/>
      <c r="WZG1" s="224"/>
      <c r="WZH1" s="224"/>
      <c r="WZI1" s="224"/>
      <c r="WZJ1" s="224"/>
      <c r="WZK1" s="224"/>
      <c r="WZL1" s="224"/>
      <c r="WZM1" s="224"/>
      <c r="WZN1" s="224"/>
      <c r="WZO1" s="224"/>
      <c r="WZP1" s="224"/>
      <c r="WZQ1" s="224"/>
      <c r="WZR1" s="224"/>
      <c r="WZS1" s="224"/>
      <c r="WZT1" s="224"/>
      <c r="WZU1" s="224"/>
      <c r="WZV1" s="224"/>
      <c r="WZW1" s="224"/>
      <c r="WZX1" s="224"/>
      <c r="WZY1" s="224"/>
      <c r="WZZ1" s="224"/>
      <c r="XAA1" s="224"/>
      <c r="XAB1" s="224"/>
      <c r="XAC1" s="224"/>
      <c r="XAD1" s="224"/>
      <c r="XAE1" s="224"/>
      <c r="XAF1" s="224"/>
      <c r="XAG1" s="224"/>
      <c r="XAH1" s="224"/>
      <c r="XAI1" s="224"/>
      <c r="XAJ1" s="224"/>
      <c r="XAK1" s="224"/>
      <c r="XAL1" s="224"/>
      <c r="XAM1" s="224"/>
      <c r="XAN1" s="224"/>
      <c r="XAO1" s="224"/>
      <c r="XAP1" s="224"/>
      <c r="XAQ1" s="224"/>
      <c r="XAR1" s="224"/>
      <c r="XAS1" s="224"/>
      <c r="XAT1" s="224"/>
      <c r="XAU1" s="224"/>
      <c r="XAV1" s="224"/>
      <c r="XAW1" s="224"/>
      <c r="XAX1" s="224"/>
      <c r="XAY1" s="224"/>
      <c r="XAZ1" s="224"/>
      <c r="XBA1" s="224"/>
      <c r="XBB1" s="224"/>
      <c r="XBC1" s="224"/>
      <c r="XBD1" s="224"/>
      <c r="XBE1" s="224"/>
      <c r="XBF1" s="224"/>
      <c r="XBG1" s="224"/>
      <c r="XBH1" s="224"/>
      <c r="XBI1" s="224"/>
      <c r="XBJ1" s="224"/>
      <c r="XBK1" s="224"/>
      <c r="XBL1" s="224"/>
      <c r="XBM1" s="224"/>
      <c r="XBN1" s="224"/>
      <c r="XBO1" s="224"/>
      <c r="XBP1" s="224"/>
      <c r="XBQ1" s="224"/>
      <c r="XBR1" s="224"/>
      <c r="XBS1" s="224"/>
      <c r="XBT1" s="224"/>
      <c r="XBU1" s="224"/>
      <c r="XBV1" s="224"/>
      <c r="XBW1" s="224"/>
      <c r="XBX1" s="224"/>
      <c r="XBY1" s="224"/>
      <c r="XBZ1" s="224"/>
      <c r="XCA1" s="224"/>
      <c r="XCB1" s="224"/>
      <c r="XCC1" s="224"/>
      <c r="XCD1" s="224"/>
      <c r="XCE1" s="224"/>
      <c r="XCF1" s="224"/>
      <c r="XCG1" s="224"/>
      <c r="XCH1" s="224"/>
      <c r="XCI1" s="224"/>
      <c r="XCJ1" s="224"/>
      <c r="XCK1" s="224"/>
      <c r="XCL1" s="224"/>
      <c r="XCM1" s="224"/>
      <c r="XCN1" s="224"/>
      <c r="XCO1" s="224"/>
      <c r="XCP1" s="224"/>
      <c r="XCQ1" s="224"/>
      <c r="XCR1" s="224"/>
      <c r="XCS1" s="224"/>
      <c r="XCT1" s="224"/>
      <c r="XCU1" s="224"/>
      <c r="XCV1" s="224"/>
      <c r="XCW1" s="224"/>
      <c r="XCX1" s="224"/>
      <c r="XCY1" s="224"/>
      <c r="XCZ1" s="224"/>
      <c r="XDA1" s="224"/>
      <c r="XDB1" s="224"/>
      <c r="XDC1" s="224"/>
      <c r="XDD1" s="224"/>
      <c r="XDE1" s="224"/>
      <c r="XDF1" s="224"/>
      <c r="XDG1" s="224"/>
      <c r="XDH1" s="224"/>
      <c r="XDI1" s="224"/>
      <c r="XDJ1" s="224"/>
      <c r="XDK1" s="224"/>
      <c r="XDL1" s="224"/>
      <c r="XDM1" s="224"/>
      <c r="XDN1" s="224"/>
      <c r="XDO1" s="224"/>
      <c r="XDP1" s="224"/>
      <c r="XDQ1" s="224"/>
      <c r="XDR1" s="224"/>
      <c r="XDS1" s="224"/>
      <c r="XDT1" s="224"/>
      <c r="XDU1" s="224"/>
      <c r="XDV1" s="224"/>
      <c r="XDW1" s="224"/>
      <c r="XDX1" s="224"/>
      <c r="XDY1" s="224"/>
      <c r="XDZ1" s="224"/>
      <c r="XEA1" s="224"/>
      <c r="XEB1" s="224"/>
      <c r="XEC1" s="224"/>
      <c r="XED1" s="224"/>
      <c r="XEE1" s="224"/>
      <c r="XEF1" s="224"/>
      <c r="XEG1" s="224"/>
      <c r="XEH1" s="224"/>
      <c r="XEI1" s="224"/>
      <c r="XEJ1" s="224"/>
      <c r="XEK1" s="224"/>
      <c r="XEL1" s="224"/>
      <c r="XEM1" s="224"/>
      <c r="XEN1" s="224"/>
    </row>
    <row r="2" spans="1:16368" s="299" customFormat="1" ht="99.95" customHeight="1" x14ac:dyDescent="0.2">
      <c r="M2" s="567"/>
      <c r="O2" s="564"/>
      <c r="P2" s="564"/>
      <c r="Q2" s="564"/>
      <c r="R2" s="564"/>
      <c r="S2" s="564"/>
      <c r="T2" s="564"/>
      <c r="U2" s="564"/>
      <c r="V2" s="564"/>
      <c r="W2" s="564"/>
      <c r="X2" s="564"/>
      <c r="Y2" s="564"/>
      <c r="Z2" s="564"/>
      <c r="AA2" s="564"/>
      <c r="AB2" s="564"/>
      <c r="AC2" s="564"/>
      <c r="AD2" s="564"/>
      <c r="AE2" s="564"/>
      <c r="AF2" s="564"/>
      <c r="AG2" s="564"/>
      <c r="AH2" s="564"/>
      <c r="AI2" s="564"/>
      <c r="AJ2" s="564"/>
      <c r="AK2" s="564"/>
      <c r="AL2" s="564"/>
      <c r="AM2" s="564"/>
      <c r="AN2" s="564"/>
      <c r="AO2" s="564"/>
      <c r="AP2" s="564"/>
      <c r="AQ2" s="564"/>
      <c r="AR2" s="564"/>
      <c r="AS2" s="564"/>
      <c r="AT2" s="564"/>
      <c r="AU2" s="564"/>
      <c r="AV2" s="564"/>
      <c r="AW2" s="564"/>
      <c r="AX2" s="564"/>
      <c r="AY2" s="564"/>
      <c r="AZ2" s="564"/>
      <c r="BA2" s="564"/>
      <c r="BB2" s="564"/>
      <c r="BC2" s="564"/>
      <c r="BD2" s="564"/>
      <c r="BE2" s="564"/>
      <c r="BF2" s="564"/>
      <c r="BG2" s="564"/>
      <c r="BH2" s="564"/>
      <c r="BI2" s="564"/>
      <c r="BJ2" s="564"/>
      <c r="BK2" s="564"/>
      <c r="BL2" s="564"/>
      <c r="BM2" s="564"/>
      <c r="BN2" s="564"/>
      <c r="BO2" s="564"/>
      <c r="BP2" s="564"/>
      <c r="BQ2" s="564"/>
      <c r="BR2" s="564"/>
      <c r="BS2" s="564"/>
      <c r="BT2" s="564"/>
      <c r="BU2" s="564"/>
      <c r="BV2" s="564"/>
      <c r="BW2" s="564"/>
      <c r="BX2" s="564"/>
      <c r="BY2" s="564"/>
      <c r="BZ2" s="564"/>
      <c r="CA2" s="564"/>
      <c r="CB2" s="564"/>
      <c r="CC2" s="564"/>
      <c r="CD2" s="564"/>
      <c r="CE2" s="564"/>
      <c r="CF2" s="564"/>
      <c r="CG2" s="564"/>
      <c r="CH2" s="564"/>
      <c r="CI2" s="564"/>
      <c r="CJ2" s="564"/>
      <c r="CK2" s="564"/>
      <c r="CL2" s="564"/>
      <c r="CM2" s="564"/>
      <c r="CN2" s="564"/>
      <c r="CO2" s="564"/>
      <c r="CP2" s="564"/>
      <c r="CQ2" s="564"/>
      <c r="CR2" s="564"/>
      <c r="CS2" s="564"/>
      <c r="CT2" s="564"/>
      <c r="CU2" s="564"/>
      <c r="CV2" s="564"/>
      <c r="CW2" s="564"/>
      <c r="CX2" s="564"/>
      <c r="CY2" s="564"/>
      <c r="CZ2" s="564"/>
      <c r="DA2" s="564"/>
      <c r="DB2" s="564"/>
      <c r="DC2" s="564"/>
      <c r="DD2" s="564"/>
      <c r="DE2" s="564"/>
      <c r="DF2" s="564"/>
      <c r="DG2" s="564"/>
      <c r="DH2" s="564"/>
    </row>
    <row r="3" spans="1:16368" ht="19.5" x14ac:dyDescent="0.3">
      <c r="A3" s="27" t="str">
        <f ca="1">IF(OFFSET(P3,0,Lang_Order*Lang__B1)="","",OFFSET(P3,0,Lang_Order*Lang__B1))</f>
        <v>B1. Estimate Target Population Sizes and Vaccine Requirements</v>
      </c>
      <c r="B3" s="27"/>
      <c r="C3" s="28"/>
      <c r="D3" s="27"/>
      <c r="E3" s="27"/>
      <c r="F3" s="27"/>
      <c r="G3" s="27"/>
      <c r="H3" s="27"/>
      <c r="I3" s="27"/>
      <c r="J3" s="43"/>
      <c r="K3" s="43"/>
      <c r="L3" s="27"/>
      <c r="M3" s="27"/>
      <c r="P3" s="564" t="s">
        <v>2677</v>
      </c>
      <c r="AD3" s="564" t="s">
        <v>9268</v>
      </c>
      <c r="AR3" s="564" t="s">
        <v>9269</v>
      </c>
      <c r="BF3" s="564" t="s">
        <v>9270</v>
      </c>
      <c r="BT3" s="564" t="s">
        <v>9271</v>
      </c>
      <c r="CH3" s="564" t="s">
        <v>9272</v>
      </c>
      <c r="CV3" s="564" t="s">
        <v>9273</v>
      </c>
    </row>
    <row r="4" spans="1:16368" x14ac:dyDescent="0.2">
      <c r="A4" s="299"/>
      <c r="C4" s="679" t="str">
        <f t="shared" ref="C4:K4" ca="1" si="0">IF(OFFSET(R4,0,Lang_Order*Lang__B1)="","",OFFSET(R4,0,Lang_Order*Lang__B1))</f>
        <v>Instructions: Please adjust the timing and prioritization of vaccine introduction in section B1.2 - this is a required part of completing this costing platform.</v>
      </c>
      <c r="D4" s="679" t="str">
        <f t="shared" ca="1" si="0"/>
        <v/>
      </c>
      <c r="E4" s="679" t="str">
        <f t="shared" ca="1" si="0"/>
        <v/>
      </c>
      <c r="F4" s="679" t="str">
        <f t="shared" ca="1" si="0"/>
        <v/>
      </c>
      <c r="G4" s="679" t="str">
        <f t="shared" ca="1" si="0"/>
        <v/>
      </c>
      <c r="H4" s="679" t="str">
        <f t="shared" ca="1" si="0"/>
        <v/>
      </c>
      <c r="I4" s="679" t="str">
        <f t="shared" ca="1" si="0"/>
        <v/>
      </c>
      <c r="J4" s="679" t="str">
        <f t="shared" ca="1" si="0"/>
        <v/>
      </c>
      <c r="K4" s="679" t="str">
        <f t="shared" ca="1" si="0"/>
        <v/>
      </c>
      <c r="L4" s="15"/>
      <c r="M4" s="567"/>
      <c r="R4" s="564" t="s">
        <v>4169</v>
      </c>
      <c r="AF4" s="564" t="s">
        <v>9274</v>
      </c>
      <c r="AT4" s="564" t="s">
        <v>9275</v>
      </c>
      <c r="BH4" s="564" t="s">
        <v>9276</v>
      </c>
      <c r="BV4" s="564" t="s">
        <v>9277</v>
      </c>
      <c r="CJ4" s="564" t="s">
        <v>9278</v>
      </c>
      <c r="CX4" s="564" t="s">
        <v>9279</v>
      </c>
    </row>
    <row r="5" spans="1:16368" x14ac:dyDescent="0.25">
      <c r="A5" s="8" t="str">
        <f ca="1">IF(OFFSET(P5,0,Lang_Order*Lang__B1)="","",OFFSET(P5,0,Lang_Order*Lang__B1))</f>
        <v>B1.1 Target Population: Total Size | Bottom-up estimation</v>
      </c>
      <c r="B5" s="8"/>
      <c r="C5" s="19"/>
      <c r="D5" s="698" t="str">
        <f t="shared" ref="D5:I5" ca="1" si="1">IF(OFFSET(S5,0,Lang_Order*Lang__B1)="","",OFFSET(S5,0,Lang_Order*Lang__B1))</f>
        <v>YEAR</v>
      </c>
      <c r="E5" s="698" t="str">
        <f t="shared" ca="1" si="1"/>
        <v/>
      </c>
      <c r="F5" s="698" t="str">
        <f t="shared" ca="1" si="1"/>
        <v/>
      </c>
      <c r="G5" s="698" t="str">
        <f t="shared" ca="1" si="1"/>
        <v/>
      </c>
      <c r="H5" s="698" t="str">
        <f t="shared" ca="1" si="1"/>
        <v/>
      </c>
      <c r="I5" s="698" t="str">
        <f t="shared" ca="1" si="1"/>
        <v/>
      </c>
      <c r="J5" s="19"/>
      <c r="K5" s="19"/>
      <c r="L5" s="8" t="str">
        <f ca="1">IF(OFFSET(AA5,0,Lang_Order*Lang__B1)="","",OFFSET(AA5,0,Lang_Order*Lang__B1))</f>
        <v>Comments</v>
      </c>
      <c r="M5" s="8" t="str">
        <f ca="1">IF(OFFSET(AB5,0,Lang_Order*Lang__B1)="","",OFFSET(AB5,0,Lang_Order*Lang__B1))</f>
        <v>User Notes</v>
      </c>
      <c r="P5" s="564" t="s">
        <v>14253</v>
      </c>
      <c r="S5" s="564" t="s">
        <v>1603</v>
      </c>
      <c r="AA5" s="564" t="s">
        <v>13980</v>
      </c>
      <c r="AB5" s="564" t="s">
        <v>13981</v>
      </c>
      <c r="AD5" s="564" t="s">
        <v>9280</v>
      </c>
      <c r="AG5" s="564" t="s">
        <v>9281</v>
      </c>
      <c r="AO5" s="564" t="s">
        <v>14071</v>
      </c>
      <c r="AP5" s="564" t="s">
        <v>14076</v>
      </c>
      <c r="AR5" s="564" t="s">
        <v>9282</v>
      </c>
      <c r="AU5" s="564" t="s">
        <v>9283</v>
      </c>
      <c r="BC5" s="564" t="s">
        <v>14072</v>
      </c>
      <c r="BD5" s="564" t="s">
        <v>14077</v>
      </c>
      <c r="BF5" s="564" t="s">
        <v>9284</v>
      </c>
      <c r="BI5" s="564" t="s">
        <v>9285</v>
      </c>
      <c r="BQ5" s="564" t="s">
        <v>14073</v>
      </c>
      <c r="BR5" s="564" t="s">
        <v>14078</v>
      </c>
      <c r="BT5" s="564" t="s">
        <v>9286</v>
      </c>
      <c r="BW5" s="564" t="s">
        <v>9287</v>
      </c>
      <c r="CE5" s="564" t="s">
        <v>14074</v>
      </c>
      <c r="CF5" s="564" t="s">
        <v>14079</v>
      </c>
      <c r="CH5" s="564" t="s">
        <v>9288</v>
      </c>
      <c r="CK5" s="564" t="s">
        <v>9289</v>
      </c>
      <c r="CS5" s="564" t="s">
        <v>14075</v>
      </c>
      <c r="CT5" s="564" t="s">
        <v>14080</v>
      </c>
      <c r="CV5" s="564" t="s">
        <v>9290</v>
      </c>
      <c r="CY5" s="564" t="s">
        <v>9291</v>
      </c>
      <c r="DG5" s="564" t="s">
        <v>5455</v>
      </c>
      <c r="DH5" s="564" t="s">
        <v>14081</v>
      </c>
    </row>
    <row r="6" spans="1:16368" x14ac:dyDescent="0.25">
      <c r="D6" s="692">
        <v>2021</v>
      </c>
      <c r="E6" s="692"/>
      <c r="F6" s="692">
        <v>2022</v>
      </c>
      <c r="G6" s="692"/>
      <c r="H6" s="692">
        <v>2023</v>
      </c>
      <c r="I6" s="692"/>
      <c r="J6" s="41"/>
      <c r="K6" s="49" t="str">
        <f ca="1">IF(OFFSET(Z6,0,Lang_Order*Lang__B1)="","",OFFSET(Z6,0,Lang_Order*Lang__B1))</f>
        <v>Delivery Modality</v>
      </c>
      <c r="L6" s="299"/>
      <c r="M6" s="567"/>
      <c r="Z6" s="564" t="s">
        <v>4174</v>
      </c>
      <c r="AN6" s="564" t="s">
        <v>9292</v>
      </c>
      <c r="BB6" s="564" t="s">
        <v>9293</v>
      </c>
      <c r="BP6" s="564" t="s">
        <v>9294</v>
      </c>
      <c r="CD6" s="564" t="s">
        <v>9295</v>
      </c>
      <c r="CR6" s="564" t="s">
        <v>9296</v>
      </c>
      <c r="DF6" s="564" t="s">
        <v>9297</v>
      </c>
    </row>
    <row r="7" spans="1:16368" ht="12.75" x14ac:dyDescent="0.2">
      <c r="B7" s="347" t="str">
        <f ca="1">IF(OFFSET(Q7,0,Lang_Order*Lang__B1)="","",OFFSET(Q7,0,Lang_Order*Lang__B1))</f>
        <v>Total Population</v>
      </c>
      <c r="C7" s="411"/>
      <c r="D7" s="412" t="e">
        <f>ROUNDUP(Pop_Total_2021,0)</f>
        <v>#N/A</v>
      </c>
      <c r="E7" s="413" t="e">
        <f>D7</f>
        <v>#N/A</v>
      </c>
      <c r="F7" s="412" t="e">
        <f>ROUNDUP(Pop_Total_2022,0)</f>
        <v>#N/A</v>
      </c>
      <c r="G7" s="413" t="e">
        <f>F7</f>
        <v>#N/A</v>
      </c>
      <c r="H7" s="412" t="e">
        <f>ROUNDUP(Pop_Total_2023,0)</f>
        <v>#N/A</v>
      </c>
      <c r="I7" s="413" t="e">
        <f>H7</f>
        <v>#N/A</v>
      </c>
      <c r="L7" s="567"/>
      <c r="M7" s="567"/>
      <c r="Q7" s="564" t="s">
        <v>2196</v>
      </c>
      <c r="AE7" s="564" t="s">
        <v>6049</v>
      </c>
      <c r="AS7" s="564" t="s">
        <v>6050</v>
      </c>
      <c r="BG7" s="564" t="s">
        <v>6051</v>
      </c>
      <c r="BU7" s="564" t="s">
        <v>6052</v>
      </c>
      <c r="CI7" s="564" t="s">
        <v>6053</v>
      </c>
      <c r="CW7" s="564" t="s">
        <v>6054</v>
      </c>
    </row>
    <row r="8" spans="1:16368" s="299" customFormat="1" ht="12.75" x14ac:dyDescent="0.2">
      <c r="B8" s="90" t="str">
        <f ca="1">IF(OFFSET(Q8,0,Lang_Order*Lang__B1)="","",OFFSET(Q8,0,Lang_Order*Lang__B1))</f>
        <v>Note that the total populaton will be represented in each time period (half year)</v>
      </c>
      <c r="C8" s="23"/>
      <c r="D8" s="16"/>
      <c r="E8" s="26"/>
      <c r="F8" s="16"/>
      <c r="G8" s="26"/>
      <c r="H8" s="16"/>
      <c r="I8" s="26"/>
      <c r="J8" s="44"/>
      <c r="K8" s="44"/>
      <c r="L8" s="567"/>
      <c r="M8" s="567"/>
      <c r="O8" s="564"/>
      <c r="P8" s="564"/>
      <c r="Q8" s="564" t="s">
        <v>3840</v>
      </c>
      <c r="R8" s="564"/>
      <c r="S8" s="564"/>
      <c r="T8" s="564"/>
      <c r="U8" s="564"/>
      <c r="V8" s="564"/>
      <c r="W8" s="564"/>
      <c r="X8" s="564"/>
      <c r="Y8" s="564"/>
      <c r="Z8" s="564"/>
      <c r="AA8" s="564"/>
      <c r="AB8" s="564"/>
      <c r="AC8" s="564"/>
      <c r="AD8" s="564"/>
      <c r="AE8" s="564" t="s">
        <v>9298</v>
      </c>
      <c r="AF8" s="564"/>
      <c r="AG8" s="564"/>
      <c r="AH8" s="564"/>
      <c r="AI8" s="564"/>
      <c r="AJ8" s="564"/>
      <c r="AK8" s="564"/>
      <c r="AL8" s="564"/>
      <c r="AM8" s="564"/>
      <c r="AN8" s="564"/>
      <c r="AO8" s="564"/>
      <c r="AP8" s="564"/>
      <c r="AQ8" s="564"/>
      <c r="AR8" s="564"/>
      <c r="AS8" s="564" t="s">
        <v>9299</v>
      </c>
      <c r="AT8" s="564"/>
      <c r="AU8" s="564"/>
      <c r="AV8" s="564"/>
      <c r="AW8" s="564"/>
      <c r="AX8" s="564"/>
      <c r="AY8" s="564"/>
      <c r="AZ8" s="564"/>
      <c r="BA8" s="564"/>
      <c r="BB8" s="564"/>
      <c r="BC8" s="564"/>
      <c r="BD8" s="564"/>
      <c r="BE8" s="564"/>
      <c r="BF8" s="564"/>
      <c r="BG8" s="564" t="s">
        <v>9300</v>
      </c>
      <c r="BH8" s="564"/>
      <c r="BI8" s="564"/>
      <c r="BJ8" s="564"/>
      <c r="BK8" s="564"/>
      <c r="BL8" s="564"/>
      <c r="BM8" s="564"/>
      <c r="BN8" s="564"/>
      <c r="BO8" s="564"/>
      <c r="BP8" s="564"/>
      <c r="BQ8" s="564"/>
      <c r="BR8" s="564"/>
      <c r="BS8" s="564"/>
      <c r="BT8" s="564"/>
      <c r="BU8" s="564" t="s">
        <v>9301</v>
      </c>
      <c r="BV8" s="564"/>
      <c r="BW8" s="564"/>
      <c r="BX8" s="564"/>
      <c r="BY8" s="564"/>
      <c r="BZ8" s="564"/>
      <c r="CA8" s="564"/>
      <c r="CB8" s="564"/>
      <c r="CC8" s="564"/>
      <c r="CD8" s="564"/>
      <c r="CE8" s="564"/>
      <c r="CF8" s="564"/>
      <c r="CG8" s="564"/>
      <c r="CH8" s="564"/>
      <c r="CI8" s="564" t="s">
        <v>9302</v>
      </c>
      <c r="CJ8" s="564"/>
      <c r="CK8" s="564"/>
      <c r="CL8" s="564"/>
      <c r="CM8" s="564"/>
      <c r="CN8" s="564"/>
      <c r="CO8" s="564"/>
      <c r="CP8" s="564"/>
      <c r="CQ8" s="564"/>
      <c r="CR8" s="564"/>
      <c r="CS8" s="564"/>
      <c r="CT8" s="564"/>
      <c r="CU8" s="564"/>
      <c r="CV8" s="564"/>
      <c r="CW8" s="564" t="s">
        <v>9303</v>
      </c>
      <c r="CX8" s="564"/>
      <c r="CY8" s="564"/>
      <c r="CZ8" s="564"/>
      <c r="DA8" s="564"/>
      <c r="DB8" s="564"/>
      <c r="DC8" s="564"/>
      <c r="DD8" s="564"/>
      <c r="DE8" s="564"/>
      <c r="DF8" s="564"/>
      <c r="DG8" s="564"/>
      <c r="DH8" s="564"/>
    </row>
    <row r="9" spans="1:16368" s="299" customFormat="1" ht="12.75" x14ac:dyDescent="0.2">
      <c r="B9" s="347" t="str">
        <f ca="1">IF(OFFSET(Q9,0,Lang_Order*Lang__B1)="","",OFFSET(Q9,0,Lang_Order*Lang__B1))</f>
        <v>Sub-Population Groups</v>
      </c>
      <c r="C9" s="345"/>
      <c r="D9" s="696" t="str">
        <f t="shared" ref="D9:I9" ca="1" si="2">IF(OFFSET(S9,0,Lang_Order*Lang__B1)="","",OFFSET(S9,0,Lang_Order*Lang__B1))</f>
        <v>Sub-Population Calculations (not MECE)</v>
      </c>
      <c r="E9" s="696" t="str">
        <f t="shared" ca="1" si="2"/>
        <v/>
      </c>
      <c r="F9" s="696" t="str">
        <f t="shared" ca="1" si="2"/>
        <v/>
      </c>
      <c r="G9" s="696" t="str">
        <f t="shared" ca="1" si="2"/>
        <v/>
      </c>
      <c r="H9" s="696" t="str">
        <f t="shared" ca="1" si="2"/>
        <v/>
      </c>
      <c r="I9" s="696" t="str">
        <f t="shared" ca="1" si="2"/>
        <v/>
      </c>
      <c r="J9" s="44"/>
      <c r="K9" s="44"/>
      <c r="L9" s="567"/>
      <c r="M9" s="567"/>
      <c r="O9" s="564"/>
      <c r="P9" s="564"/>
      <c r="Q9" s="564" t="s">
        <v>3800</v>
      </c>
      <c r="R9" s="564"/>
      <c r="S9" s="564" t="s">
        <v>3792</v>
      </c>
      <c r="T9" s="564"/>
      <c r="U9" s="564"/>
      <c r="V9" s="564"/>
      <c r="W9" s="564"/>
      <c r="X9" s="564"/>
      <c r="Y9" s="564"/>
      <c r="Z9" s="564"/>
      <c r="AA9" s="564"/>
      <c r="AB9" s="564"/>
      <c r="AC9" s="564"/>
      <c r="AD9" s="564"/>
      <c r="AE9" s="564" t="s">
        <v>9304</v>
      </c>
      <c r="AF9" s="564"/>
      <c r="AG9" s="564" t="s">
        <v>9305</v>
      </c>
      <c r="AH9" s="564"/>
      <c r="AI9" s="564"/>
      <c r="AJ9" s="564"/>
      <c r="AK9" s="564"/>
      <c r="AL9" s="564"/>
      <c r="AM9" s="564"/>
      <c r="AN9" s="564"/>
      <c r="AO9" s="564"/>
      <c r="AP9" s="564"/>
      <c r="AQ9" s="564"/>
      <c r="AR9" s="564"/>
      <c r="AS9" s="564" t="s">
        <v>9306</v>
      </c>
      <c r="AT9" s="564"/>
      <c r="AU9" s="564" t="s">
        <v>9307</v>
      </c>
      <c r="AV9" s="564"/>
      <c r="AW9" s="564"/>
      <c r="AX9" s="564"/>
      <c r="AY9" s="564"/>
      <c r="AZ9" s="564"/>
      <c r="BA9" s="564"/>
      <c r="BB9" s="564"/>
      <c r="BC9" s="564"/>
      <c r="BD9" s="564"/>
      <c r="BE9" s="564"/>
      <c r="BF9" s="564"/>
      <c r="BG9" s="564" t="s">
        <v>9308</v>
      </c>
      <c r="BH9" s="564"/>
      <c r="BI9" s="564" t="s">
        <v>9309</v>
      </c>
      <c r="BJ9" s="564"/>
      <c r="BK9" s="564"/>
      <c r="BL9" s="564"/>
      <c r="BM9" s="564"/>
      <c r="BN9" s="564"/>
      <c r="BO9" s="564"/>
      <c r="BP9" s="564"/>
      <c r="BQ9" s="564"/>
      <c r="BR9" s="564"/>
      <c r="BS9" s="564"/>
      <c r="BT9" s="564"/>
      <c r="BU9" s="564" t="s">
        <v>9310</v>
      </c>
      <c r="BV9" s="564"/>
      <c r="BW9" s="564" t="s">
        <v>9311</v>
      </c>
      <c r="BX9" s="564"/>
      <c r="BY9" s="564"/>
      <c r="BZ9" s="564"/>
      <c r="CA9" s="564"/>
      <c r="CB9" s="564"/>
      <c r="CC9" s="564"/>
      <c r="CD9" s="564"/>
      <c r="CE9" s="564"/>
      <c r="CF9" s="564"/>
      <c r="CG9" s="564"/>
      <c r="CH9" s="564"/>
      <c r="CI9" s="564" t="s">
        <v>9312</v>
      </c>
      <c r="CJ9" s="564"/>
      <c r="CK9" s="564" t="s">
        <v>9313</v>
      </c>
      <c r="CL9" s="564"/>
      <c r="CM9" s="564"/>
      <c r="CN9" s="564"/>
      <c r="CO9" s="564"/>
      <c r="CP9" s="564"/>
      <c r="CQ9" s="564"/>
      <c r="CR9" s="564"/>
      <c r="CS9" s="564"/>
      <c r="CT9" s="564"/>
      <c r="CU9" s="564"/>
      <c r="CV9" s="564"/>
      <c r="CW9" s="564" t="s">
        <v>9314</v>
      </c>
      <c r="CX9" s="564"/>
      <c r="CY9" s="564" t="s">
        <v>9315</v>
      </c>
      <c r="CZ9" s="564"/>
      <c r="DA9" s="564"/>
      <c r="DB9" s="564"/>
      <c r="DC9" s="564"/>
      <c r="DD9" s="564"/>
      <c r="DE9" s="564"/>
      <c r="DF9" s="564"/>
      <c r="DG9" s="564"/>
      <c r="DH9" s="564"/>
    </row>
    <row r="10" spans="1:16368" s="241" customFormat="1" ht="12.75" x14ac:dyDescent="0.2">
      <c r="B10" s="51"/>
      <c r="C10" s="34" t="str">
        <f t="shared" ref="C10:C22" ca="1" si="3">IF(OFFSET(R10,0,Lang_Order*Lang__B1)="","",OFFSET(R10,0,Lang_Order*Lang__B1))</f>
        <v>Older Adults</v>
      </c>
      <c r="D10" s="16" t="e">
        <f>Pop_HR_2021</f>
        <v>#N/A</v>
      </c>
      <c r="E10" s="16" t="e">
        <f>D10</f>
        <v>#N/A</v>
      </c>
      <c r="F10" s="16" t="e">
        <f>Pop_HR_2022</f>
        <v>#N/A</v>
      </c>
      <c r="G10" s="16" t="e">
        <f>F10</f>
        <v>#N/A</v>
      </c>
      <c r="H10" s="16" t="e">
        <f>Pop_HR_2023</f>
        <v>#N/A</v>
      </c>
      <c r="I10" s="16" t="e">
        <f>H10</f>
        <v>#N/A</v>
      </c>
      <c r="J10" s="44"/>
      <c r="K10" s="252"/>
      <c r="L10" s="567"/>
      <c r="M10" s="567"/>
      <c r="O10" s="564"/>
      <c r="P10" s="564"/>
      <c r="Q10" s="564"/>
      <c r="R10" s="564" t="s">
        <v>3767</v>
      </c>
      <c r="S10" s="564"/>
      <c r="T10" s="564"/>
      <c r="U10" s="564"/>
      <c r="V10" s="564"/>
      <c r="W10" s="564"/>
      <c r="X10" s="564"/>
      <c r="Y10" s="564"/>
      <c r="Z10" s="564" t="s">
        <v>3015</v>
      </c>
      <c r="AA10" s="564"/>
      <c r="AB10" s="564"/>
      <c r="AC10" s="564"/>
      <c r="AD10" s="564"/>
      <c r="AE10" s="564"/>
      <c r="AF10" s="564" t="s">
        <v>9316</v>
      </c>
      <c r="AG10" s="564"/>
      <c r="AH10" s="564"/>
      <c r="AI10" s="564"/>
      <c r="AJ10" s="564"/>
      <c r="AK10" s="564"/>
      <c r="AL10" s="564"/>
      <c r="AM10" s="564"/>
      <c r="AN10" s="564" t="s">
        <v>9317</v>
      </c>
      <c r="AO10" s="564"/>
      <c r="AP10" s="564"/>
      <c r="AQ10" s="564"/>
      <c r="AR10" s="564"/>
      <c r="AS10" s="564"/>
      <c r="AT10" s="564" t="s">
        <v>9318</v>
      </c>
      <c r="AU10" s="564"/>
      <c r="AV10" s="564"/>
      <c r="AW10" s="564"/>
      <c r="AX10" s="564"/>
      <c r="AY10" s="564"/>
      <c r="AZ10" s="564"/>
      <c r="BA10" s="564"/>
      <c r="BB10" s="564" t="s">
        <v>8617</v>
      </c>
      <c r="BC10" s="564"/>
      <c r="BD10" s="564"/>
      <c r="BE10" s="564"/>
      <c r="BF10" s="564"/>
      <c r="BG10" s="564"/>
      <c r="BH10" s="564" t="s">
        <v>9319</v>
      </c>
      <c r="BI10" s="564"/>
      <c r="BJ10" s="564"/>
      <c r="BK10" s="564"/>
      <c r="BL10" s="564"/>
      <c r="BM10" s="564"/>
      <c r="BN10" s="564"/>
      <c r="BO10" s="564"/>
      <c r="BP10" s="564" t="s">
        <v>3015</v>
      </c>
      <c r="BQ10" s="564"/>
      <c r="BR10" s="564"/>
      <c r="BS10" s="564"/>
      <c r="BT10" s="564"/>
      <c r="BU10" s="564"/>
      <c r="BV10" s="564" t="s">
        <v>9320</v>
      </c>
      <c r="BW10" s="564"/>
      <c r="BX10" s="564"/>
      <c r="BY10" s="564"/>
      <c r="BZ10" s="564"/>
      <c r="CA10" s="564"/>
      <c r="CB10" s="564"/>
      <c r="CC10" s="564"/>
      <c r="CD10" s="564" t="s">
        <v>3015</v>
      </c>
      <c r="CE10" s="564"/>
      <c r="CF10" s="564"/>
      <c r="CG10" s="564"/>
      <c r="CH10" s="564"/>
      <c r="CI10" s="564"/>
      <c r="CJ10" s="564" t="s">
        <v>9321</v>
      </c>
      <c r="CK10" s="564"/>
      <c r="CL10" s="564"/>
      <c r="CM10" s="564"/>
      <c r="CN10" s="564"/>
      <c r="CO10" s="564"/>
      <c r="CP10" s="564"/>
      <c r="CQ10" s="564"/>
      <c r="CR10" s="564" t="s">
        <v>8633</v>
      </c>
      <c r="CS10" s="564"/>
      <c r="CT10" s="564"/>
      <c r="CU10" s="564"/>
      <c r="CV10" s="564"/>
      <c r="CW10" s="564"/>
      <c r="CX10" s="564" t="s">
        <v>9322</v>
      </c>
      <c r="CY10" s="564"/>
      <c r="CZ10" s="564"/>
      <c r="DA10" s="564"/>
      <c r="DB10" s="564"/>
      <c r="DC10" s="564"/>
      <c r="DD10" s="564"/>
      <c r="DE10" s="564"/>
      <c r="DF10" s="564" t="s">
        <v>9323</v>
      </c>
      <c r="DG10" s="564"/>
      <c r="DH10" s="564"/>
    </row>
    <row r="11" spans="1:16368" s="241" customFormat="1" ht="12.75" x14ac:dyDescent="0.2">
      <c r="B11" s="51"/>
      <c r="C11" s="34" t="str">
        <f t="shared" ca="1" si="3"/>
        <v>Children and Younger Adults</v>
      </c>
      <c r="D11" s="16" t="e">
        <f>D7-D10</f>
        <v>#N/A</v>
      </c>
      <c r="E11" s="16" t="e">
        <f>D11</f>
        <v>#N/A</v>
      </c>
      <c r="F11" s="16" t="e">
        <f>F7-F10</f>
        <v>#N/A</v>
      </c>
      <c r="G11" s="16" t="e">
        <f>F11</f>
        <v>#N/A</v>
      </c>
      <c r="H11" s="16" t="e">
        <f>H7-H10</f>
        <v>#N/A</v>
      </c>
      <c r="I11" s="16" t="e">
        <f>H11</f>
        <v>#N/A</v>
      </c>
      <c r="J11" s="44"/>
      <c r="K11" s="252"/>
      <c r="L11" s="567"/>
      <c r="M11" s="567"/>
      <c r="O11" s="564"/>
      <c r="P11" s="564"/>
      <c r="Q11" s="564"/>
      <c r="R11" s="564" t="s">
        <v>3768</v>
      </c>
      <c r="S11" s="564"/>
      <c r="T11" s="564"/>
      <c r="U11" s="564"/>
      <c r="V11" s="564"/>
      <c r="W11" s="564"/>
      <c r="X11" s="564"/>
      <c r="Y11" s="564"/>
      <c r="Z11" s="564" t="s">
        <v>3015</v>
      </c>
      <c r="AA11" s="564"/>
      <c r="AB11" s="564"/>
      <c r="AC11" s="564"/>
      <c r="AD11" s="564"/>
      <c r="AE11" s="564"/>
      <c r="AF11" s="564" t="s">
        <v>9324</v>
      </c>
      <c r="AG11" s="564"/>
      <c r="AH11" s="564"/>
      <c r="AI11" s="564"/>
      <c r="AJ11" s="564"/>
      <c r="AK11" s="564"/>
      <c r="AL11" s="564"/>
      <c r="AM11" s="564"/>
      <c r="AN11" s="564" t="s">
        <v>9317</v>
      </c>
      <c r="AO11" s="564"/>
      <c r="AP11" s="564"/>
      <c r="AQ11" s="564"/>
      <c r="AR11" s="564"/>
      <c r="AS11" s="564"/>
      <c r="AT11" s="564" t="s">
        <v>9325</v>
      </c>
      <c r="AU11" s="564"/>
      <c r="AV11" s="564"/>
      <c r="AW11" s="564"/>
      <c r="AX11" s="564"/>
      <c r="AY11" s="564"/>
      <c r="AZ11" s="564"/>
      <c r="BA11" s="564"/>
      <c r="BB11" s="564" t="s">
        <v>8617</v>
      </c>
      <c r="BC11" s="564"/>
      <c r="BD11" s="564"/>
      <c r="BE11" s="564"/>
      <c r="BF11" s="564"/>
      <c r="BG11" s="564"/>
      <c r="BH11" s="564" t="s">
        <v>9326</v>
      </c>
      <c r="BI11" s="564"/>
      <c r="BJ11" s="564"/>
      <c r="BK11" s="564"/>
      <c r="BL11" s="564"/>
      <c r="BM11" s="564"/>
      <c r="BN11" s="564"/>
      <c r="BO11" s="564"/>
      <c r="BP11" s="564" t="s">
        <v>3015</v>
      </c>
      <c r="BQ11" s="564"/>
      <c r="BR11" s="564"/>
      <c r="BS11" s="564"/>
      <c r="BT11" s="564"/>
      <c r="BU11" s="564"/>
      <c r="BV11" s="564" t="s">
        <v>9327</v>
      </c>
      <c r="BW11" s="564"/>
      <c r="BX11" s="564"/>
      <c r="BY11" s="564"/>
      <c r="BZ11" s="564"/>
      <c r="CA11" s="564"/>
      <c r="CB11" s="564"/>
      <c r="CC11" s="564"/>
      <c r="CD11" s="564" t="s">
        <v>3015</v>
      </c>
      <c r="CE11" s="564"/>
      <c r="CF11" s="564"/>
      <c r="CG11" s="564"/>
      <c r="CH11" s="564"/>
      <c r="CI11" s="564"/>
      <c r="CJ11" s="564" t="s">
        <v>9328</v>
      </c>
      <c r="CK11" s="564"/>
      <c r="CL11" s="564"/>
      <c r="CM11" s="564"/>
      <c r="CN11" s="564"/>
      <c r="CO11" s="564"/>
      <c r="CP11" s="564"/>
      <c r="CQ11" s="564"/>
      <c r="CR11" s="564" t="s">
        <v>8633</v>
      </c>
      <c r="CS11" s="564"/>
      <c r="CT11" s="564"/>
      <c r="CU11" s="564"/>
      <c r="CV11" s="564"/>
      <c r="CW11" s="564"/>
      <c r="CX11" s="564" t="s">
        <v>9329</v>
      </c>
      <c r="CY11" s="564"/>
      <c r="CZ11" s="564"/>
      <c r="DA11" s="564"/>
      <c r="DB11" s="564"/>
      <c r="DC11" s="564"/>
      <c r="DD11" s="564"/>
      <c r="DE11" s="564"/>
      <c r="DF11" s="564" t="s">
        <v>9323</v>
      </c>
      <c r="DG11" s="564"/>
      <c r="DH11" s="564"/>
    </row>
    <row r="12" spans="1:16368" ht="12.75" x14ac:dyDescent="0.2">
      <c r="B12" s="34"/>
      <c r="C12" s="34" t="str">
        <f t="shared" ca="1" si="3"/>
        <v>Hard-to-Reach - ALL AGES</v>
      </c>
      <c r="D12" s="16" t="e">
        <f>ROUNDUP(Pop_HardtoAccess_Percent*D7,0)+D16</f>
        <v>#N/A</v>
      </c>
      <c r="E12" s="16" t="e">
        <f>D12</f>
        <v>#N/A</v>
      </c>
      <c r="F12" s="16" t="e">
        <f>ROUNDUP(Pop_HardtoAccess_Percent*F7,0)+F16</f>
        <v>#N/A</v>
      </c>
      <c r="G12" s="16" t="e">
        <f t="shared" ref="G12" si="4">F12</f>
        <v>#N/A</v>
      </c>
      <c r="H12" s="16" t="e">
        <f>ROUNDUP(Pop_HardtoAccess_Percent*H7,0)+H16</f>
        <v>#N/A</v>
      </c>
      <c r="I12" s="16" t="e">
        <f t="shared" ref="I12:I13" si="5">H12</f>
        <v>#N/A</v>
      </c>
      <c r="J12" s="16"/>
      <c r="K12" s="252"/>
      <c r="L12" s="567"/>
      <c r="M12" s="567"/>
      <c r="R12" s="564" t="s">
        <v>3810</v>
      </c>
      <c r="Z12" s="564" t="s">
        <v>3015</v>
      </c>
      <c r="AF12" s="564" t="s">
        <v>9330</v>
      </c>
      <c r="AN12" s="564" t="s">
        <v>9317</v>
      </c>
      <c r="AT12" s="564" t="s">
        <v>9331</v>
      </c>
      <c r="BB12" s="564" t="s">
        <v>8617</v>
      </c>
      <c r="BH12" s="564" t="s">
        <v>9332</v>
      </c>
      <c r="BP12" s="564" t="s">
        <v>3015</v>
      </c>
      <c r="BV12" s="564" t="s">
        <v>9333</v>
      </c>
      <c r="CD12" s="564" t="s">
        <v>3015</v>
      </c>
      <c r="CJ12" s="564" t="s">
        <v>9334</v>
      </c>
      <c r="CR12" s="564" t="s">
        <v>8633</v>
      </c>
      <c r="CX12" s="564" t="s">
        <v>9335</v>
      </c>
      <c r="DF12" s="564" t="s">
        <v>9323</v>
      </c>
    </row>
    <row r="13" spans="1:16368" s="241" customFormat="1" ht="12.75" x14ac:dyDescent="0.2">
      <c r="B13" s="34"/>
      <c r="C13" s="5" t="str">
        <f t="shared" ca="1" si="3"/>
        <v>… of which, Older Adults</v>
      </c>
      <c r="D13" s="16" t="e">
        <f>ROUNDUP(D10*Pop_HardtoAccess_Percent,0)</f>
        <v>#N/A</v>
      </c>
      <c r="E13" s="16" t="e">
        <f>D13</f>
        <v>#N/A</v>
      </c>
      <c r="F13" s="16" t="e">
        <f>ROUNDUP(F10*Pop_HardtoAccess_Percent,0)</f>
        <v>#N/A</v>
      </c>
      <c r="G13" s="16" t="e">
        <f t="shared" ref="G13" si="6">F13</f>
        <v>#N/A</v>
      </c>
      <c r="H13" s="16" t="e">
        <f>ROUNDUP(H10*Pop_HardtoAccess_Percent,0)</f>
        <v>#N/A</v>
      </c>
      <c r="I13" s="16" t="e">
        <f t="shared" si="5"/>
        <v>#N/A</v>
      </c>
      <c r="J13" s="16"/>
      <c r="K13" s="16"/>
      <c r="L13" s="567"/>
      <c r="M13" s="567"/>
      <c r="O13" s="564"/>
      <c r="P13" s="564"/>
      <c r="Q13" s="564"/>
      <c r="R13" s="564" t="s">
        <v>3770</v>
      </c>
      <c r="S13" s="564"/>
      <c r="T13" s="564"/>
      <c r="U13" s="564"/>
      <c r="V13" s="564"/>
      <c r="W13" s="564"/>
      <c r="X13" s="564"/>
      <c r="Y13" s="564"/>
      <c r="Z13" s="564"/>
      <c r="AA13" s="564"/>
      <c r="AB13" s="564"/>
      <c r="AC13" s="564"/>
      <c r="AD13" s="564"/>
      <c r="AE13" s="564"/>
      <c r="AF13" s="564" t="s">
        <v>9336</v>
      </c>
      <c r="AG13" s="564"/>
      <c r="AH13" s="564"/>
      <c r="AI13" s="564"/>
      <c r="AJ13" s="564"/>
      <c r="AK13" s="564"/>
      <c r="AL13" s="564"/>
      <c r="AM13" s="564"/>
      <c r="AN13" s="564"/>
      <c r="AO13" s="564"/>
      <c r="AP13" s="564"/>
      <c r="AQ13" s="564"/>
      <c r="AR13" s="564"/>
      <c r="AS13" s="564"/>
      <c r="AT13" s="564" t="s">
        <v>9337</v>
      </c>
      <c r="AU13" s="564"/>
      <c r="AV13" s="564"/>
      <c r="AW13" s="564"/>
      <c r="AX13" s="564"/>
      <c r="AY13" s="564"/>
      <c r="AZ13" s="564"/>
      <c r="BA13" s="564"/>
      <c r="BB13" s="564"/>
      <c r="BC13" s="564"/>
      <c r="BD13" s="564"/>
      <c r="BE13" s="564"/>
      <c r="BF13" s="564"/>
      <c r="BG13" s="564"/>
      <c r="BH13" s="564" t="s">
        <v>9338</v>
      </c>
      <c r="BI13" s="564"/>
      <c r="BJ13" s="564"/>
      <c r="BK13" s="564"/>
      <c r="BL13" s="564"/>
      <c r="BM13" s="564"/>
      <c r="BN13" s="564"/>
      <c r="BO13" s="564"/>
      <c r="BP13" s="564"/>
      <c r="BQ13" s="564"/>
      <c r="BR13" s="564"/>
      <c r="BS13" s="564"/>
      <c r="BT13" s="564"/>
      <c r="BU13" s="564"/>
      <c r="BV13" s="564" t="s">
        <v>9339</v>
      </c>
      <c r="BW13" s="564"/>
      <c r="BX13" s="564"/>
      <c r="BY13" s="564"/>
      <c r="BZ13" s="564"/>
      <c r="CA13" s="564"/>
      <c r="CB13" s="564"/>
      <c r="CC13" s="564"/>
      <c r="CD13" s="564"/>
      <c r="CE13" s="564"/>
      <c r="CF13" s="564"/>
      <c r="CG13" s="564"/>
      <c r="CH13" s="564"/>
      <c r="CI13" s="564"/>
      <c r="CJ13" s="564" t="s">
        <v>9340</v>
      </c>
      <c r="CK13" s="564"/>
      <c r="CL13" s="564"/>
      <c r="CM13" s="564"/>
      <c r="CN13" s="564"/>
      <c r="CO13" s="564"/>
      <c r="CP13" s="564"/>
      <c r="CQ13" s="564"/>
      <c r="CR13" s="564"/>
      <c r="CS13" s="564"/>
      <c r="CT13" s="564"/>
      <c r="CU13" s="564"/>
      <c r="CV13" s="564"/>
      <c r="CW13" s="564"/>
      <c r="CX13" s="564" t="s">
        <v>9341</v>
      </c>
      <c r="CY13" s="564"/>
      <c r="CZ13" s="564"/>
      <c r="DA13" s="564"/>
      <c r="DB13" s="564"/>
      <c r="DC13" s="564"/>
      <c r="DD13" s="564"/>
      <c r="DE13" s="564"/>
      <c r="DF13" s="564"/>
      <c r="DG13" s="564"/>
      <c r="DH13" s="564"/>
    </row>
    <row r="14" spans="1:16368" s="299" customFormat="1" ht="12.75" x14ac:dyDescent="0.2">
      <c r="B14" s="34"/>
      <c r="C14" s="370" t="str">
        <f t="shared" ca="1" si="3"/>
        <v>… of which, Underlying health conditions among non-older adults</v>
      </c>
      <c r="D14" s="16" t="e">
        <f>ROUNDUP(D12*PreExisting_Percent,0)</f>
        <v>#N/A</v>
      </c>
      <c r="E14" s="16" t="e">
        <f t="shared" ref="E14:I15" si="7">D14</f>
        <v>#N/A</v>
      </c>
      <c r="F14" s="16" t="e">
        <f>ROUNDUP(F12*PreExisting_Percent,0)</f>
        <v>#N/A</v>
      </c>
      <c r="G14" s="16" t="e">
        <f t="shared" si="7"/>
        <v>#N/A</v>
      </c>
      <c r="H14" s="16" t="e">
        <f>ROUNDUP(H12*PreExisting_Percent,0)</f>
        <v>#N/A</v>
      </c>
      <c r="I14" s="16" t="e">
        <f t="shared" si="7"/>
        <v>#N/A</v>
      </c>
      <c r="J14" s="16"/>
      <c r="K14" s="16"/>
      <c r="L14" s="567"/>
      <c r="M14" s="567"/>
      <c r="O14" s="564"/>
      <c r="P14" s="564"/>
      <c r="Q14" s="564"/>
      <c r="R14" s="564" t="s">
        <v>3786</v>
      </c>
      <c r="S14" s="564"/>
      <c r="T14" s="564"/>
      <c r="U14" s="564"/>
      <c r="V14" s="564"/>
      <c r="W14" s="564"/>
      <c r="X14" s="564"/>
      <c r="Y14" s="564"/>
      <c r="Z14" s="564"/>
      <c r="AA14" s="564"/>
      <c r="AB14" s="564"/>
      <c r="AC14" s="564"/>
      <c r="AD14" s="564"/>
      <c r="AE14" s="564"/>
      <c r="AF14" s="564" t="s">
        <v>9342</v>
      </c>
      <c r="AG14" s="564"/>
      <c r="AH14" s="564"/>
      <c r="AI14" s="564"/>
      <c r="AJ14" s="564"/>
      <c r="AK14" s="564"/>
      <c r="AL14" s="564"/>
      <c r="AM14" s="564"/>
      <c r="AN14" s="564"/>
      <c r="AO14" s="564"/>
      <c r="AP14" s="564"/>
      <c r="AQ14" s="564"/>
      <c r="AR14" s="564"/>
      <c r="AS14" s="564"/>
      <c r="AT14" s="564" t="s">
        <v>9343</v>
      </c>
      <c r="AU14" s="564"/>
      <c r="AV14" s="564"/>
      <c r="AW14" s="564"/>
      <c r="AX14" s="564"/>
      <c r="AY14" s="564"/>
      <c r="AZ14" s="564"/>
      <c r="BA14" s="564"/>
      <c r="BB14" s="564"/>
      <c r="BC14" s="564"/>
      <c r="BD14" s="564"/>
      <c r="BE14" s="564"/>
      <c r="BF14" s="564"/>
      <c r="BG14" s="564"/>
      <c r="BH14" s="564" t="s">
        <v>9344</v>
      </c>
      <c r="BI14" s="564"/>
      <c r="BJ14" s="564"/>
      <c r="BK14" s="564"/>
      <c r="BL14" s="564"/>
      <c r="BM14" s="564"/>
      <c r="BN14" s="564"/>
      <c r="BO14" s="564"/>
      <c r="BP14" s="564"/>
      <c r="BQ14" s="564"/>
      <c r="BR14" s="564"/>
      <c r="BS14" s="564"/>
      <c r="BT14" s="564"/>
      <c r="BU14" s="564"/>
      <c r="BV14" s="564" t="s">
        <v>9345</v>
      </c>
      <c r="BW14" s="564"/>
      <c r="BX14" s="564"/>
      <c r="BY14" s="564"/>
      <c r="BZ14" s="564"/>
      <c r="CA14" s="564"/>
      <c r="CB14" s="564"/>
      <c r="CC14" s="564"/>
      <c r="CD14" s="564"/>
      <c r="CE14" s="564"/>
      <c r="CF14" s="564"/>
      <c r="CG14" s="564"/>
      <c r="CH14" s="564"/>
      <c r="CI14" s="564"/>
      <c r="CJ14" s="564" t="s">
        <v>9346</v>
      </c>
      <c r="CK14" s="564"/>
      <c r="CL14" s="564"/>
      <c r="CM14" s="564"/>
      <c r="CN14" s="564"/>
      <c r="CO14" s="564"/>
      <c r="CP14" s="564"/>
      <c r="CQ14" s="564"/>
      <c r="CR14" s="564"/>
      <c r="CS14" s="564"/>
      <c r="CT14" s="564"/>
      <c r="CU14" s="564"/>
      <c r="CV14" s="564"/>
      <c r="CW14" s="564"/>
      <c r="CX14" s="564" t="s">
        <v>9347</v>
      </c>
      <c r="CY14" s="564"/>
      <c r="CZ14" s="564"/>
      <c r="DA14" s="564"/>
      <c r="DB14" s="564"/>
      <c r="DC14" s="564"/>
      <c r="DD14" s="564"/>
      <c r="DE14" s="564"/>
      <c r="DF14" s="564"/>
      <c r="DG14" s="564"/>
      <c r="DH14" s="564"/>
    </row>
    <row r="15" spans="1:16368" s="299" customFormat="1" ht="12.75" x14ac:dyDescent="0.2">
      <c r="B15" s="34"/>
      <c r="C15" s="5" t="str">
        <f t="shared" ca="1" si="3"/>
        <v>… of which, Pregnant women</v>
      </c>
      <c r="D15" s="16" t="e">
        <f>ROUNDUP(D12*Pop_Pregnant_Percent,0)</f>
        <v>#N/A</v>
      </c>
      <c r="E15" s="16" t="e">
        <f t="shared" si="7"/>
        <v>#N/A</v>
      </c>
      <c r="F15" s="16" t="e">
        <f>ROUNDUP(F12*Pop_Pregnant_Percent,0)</f>
        <v>#N/A</v>
      </c>
      <c r="G15" s="16" t="e">
        <f t="shared" si="7"/>
        <v>#N/A</v>
      </c>
      <c r="H15" s="16" t="e">
        <f>ROUNDUP(H12*Pop_Pregnant_Percent,0)</f>
        <v>#N/A</v>
      </c>
      <c r="I15" s="16" t="e">
        <f t="shared" si="7"/>
        <v>#N/A</v>
      </c>
      <c r="J15" s="16"/>
      <c r="K15" s="16"/>
      <c r="L15" s="567"/>
      <c r="M15" s="567"/>
      <c r="O15" s="564"/>
      <c r="P15" s="564"/>
      <c r="Q15" s="564"/>
      <c r="R15" s="564" t="s">
        <v>3787</v>
      </c>
      <c r="S15" s="564"/>
      <c r="T15" s="564"/>
      <c r="U15" s="564"/>
      <c r="V15" s="564"/>
      <c r="W15" s="564"/>
      <c r="X15" s="564"/>
      <c r="Y15" s="564"/>
      <c r="Z15" s="564"/>
      <c r="AA15" s="564"/>
      <c r="AB15" s="564"/>
      <c r="AC15" s="564"/>
      <c r="AD15" s="564"/>
      <c r="AE15" s="564"/>
      <c r="AF15" s="564" t="s">
        <v>9348</v>
      </c>
      <c r="AG15" s="564"/>
      <c r="AH15" s="564"/>
      <c r="AI15" s="564"/>
      <c r="AJ15" s="564"/>
      <c r="AK15" s="564"/>
      <c r="AL15" s="564"/>
      <c r="AM15" s="564"/>
      <c r="AN15" s="564"/>
      <c r="AO15" s="564"/>
      <c r="AP15" s="564"/>
      <c r="AQ15" s="564"/>
      <c r="AR15" s="564"/>
      <c r="AS15" s="564"/>
      <c r="AT15" s="564" t="s">
        <v>9349</v>
      </c>
      <c r="AU15" s="564"/>
      <c r="AV15" s="564"/>
      <c r="AW15" s="564"/>
      <c r="AX15" s="564"/>
      <c r="AY15" s="564"/>
      <c r="AZ15" s="564"/>
      <c r="BA15" s="564"/>
      <c r="BB15" s="564"/>
      <c r="BC15" s="564"/>
      <c r="BD15" s="564"/>
      <c r="BE15" s="564"/>
      <c r="BF15" s="564"/>
      <c r="BG15" s="564"/>
      <c r="BH15" s="564" t="s">
        <v>9350</v>
      </c>
      <c r="BI15" s="564"/>
      <c r="BJ15" s="564"/>
      <c r="BK15" s="564"/>
      <c r="BL15" s="564"/>
      <c r="BM15" s="564"/>
      <c r="BN15" s="564"/>
      <c r="BO15" s="564"/>
      <c r="BP15" s="564"/>
      <c r="BQ15" s="564"/>
      <c r="BR15" s="564"/>
      <c r="BS15" s="564"/>
      <c r="BT15" s="564"/>
      <c r="BU15" s="564"/>
      <c r="BV15" s="564" t="s">
        <v>9351</v>
      </c>
      <c r="BW15" s="564"/>
      <c r="BX15" s="564"/>
      <c r="BY15" s="564"/>
      <c r="BZ15" s="564"/>
      <c r="CA15" s="564"/>
      <c r="CB15" s="564"/>
      <c r="CC15" s="564"/>
      <c r="CD15" s="564"/>
      <c r="CE15" s="564"/>
      <c r="CF15" s="564"/>
      <c r="CG15" s="564"/>
      <c r="CH15" s="564"/>
      <c r="CI15" s="564"/>
      <c r="CJ15" s="564" t="s">
        <v>9352</v>
      </c>
      <c r="CK15" s="564"/>
      <c r="CL15" s="564"/>
      <c r="CM15" s="564"/>
      <c r="CN15" s="564"/>
      <c r="CO15" s="564"/>
      <c r="CP15" s="564"/>
      <c r="CQ15" s="564"/>
      <c r="CR15" s="564"/>
      <c r="CS15" s="564"/>
      <c r="CT15" s="564"/>
      <c r="CU15" s="564"/>
      <c r="CV15" s="564"/>
      <c r="CW15" s="564"/>
      <c r="CX15" s="564" t="s">
        <v>9353</v>
      </c>
      <c r="CY15" s="564"/>
      <c r="CZ15" s="564"/>
      <c r="DA15" s="564"/>
      <c r="DB15" s="564"/>
      <c r="DC15" s="564"/>
      <c r="DD15" s="564"/>
      <c r="DE15" s="564"/>
      <c r="DF15" s="564"/>
      <c r="DG15" s="564"/>
      <c r="DH15" s="564"/>
    </row>
    <row r="16" spans="1:16368" s="463" customFormat="1" ht="12.75" x14ac:dyDescent="0.2">
      <c r="A16" s="567"/>
      <c r="B16" s="34"/>
      <c r="C16" s="5" t="str">
        <f t="shared" ca="1" si="3"/>
        <v>… of which, Special populations who are Hard-to-Reach</v>
      </c>
      <c r="D16" s="16" t="e">
        <f>ROUNDUP(Pop_Priorty_SocDem_SpecialHardtoAccess_Percent*D7,0)</f>
        <v>#N/A</v>
      </c>
      <c r="E16" s="16" t="e">
        <f>D16</f>
        <v>#N/A</v>
      </c>
      <c r="F16" s="16" t="e">
        <f>ROUNDUP(Pop_Priorty_SocDem_SpecialHardtoAccess_Percent*F7,0)</f>
        <v>#N/A</v>
      </c>
      <c r="G16" s="16" t="e">
        <f>F16</f>
        <v>#N/A</v>
      </c>
      <c r="H16" s="16" t="e">
        <f>ROUNDUP(Pop_Priorty_SocDem_SpecialHardtoAccess_Percent*H7,0)</f>
        <v>#N/A</v>
      </c>
      <c r="I16" s="16" t="e">
        <f>H16</f>
        <v>#N/A</v>
      </c>
      <c r="J16" s="16"/>
      <c r="K16" s="16"/>
      <c r="L16" s="567"/>
      <c r="M16" s="567"/>
      <c r="O16" s="564"/>
      <c r="P16" s="564"/>
      <c r="Q16" s="564"/>
      <c r="R16" s="564" t="s">
        <v>4435</v>
      </c>
      <c r="S16" s="564"/>
      <c r="T16" s="564"/>
      <c r="U16" s="564"/>
      <c r="V16" s="564"/>
      <c r="W16" s="564"/>
      <c r="X16" s="564"/>
      <c r="Y16" s="564"/>
      <c r="Z16" s="564"/>
      <c r="AA16" s="564"/>
      <c r="AB16" s="564"/>
      <c r="AC16" s="564"/>
      <c r="AD16" s="564"/>
      <c r="AE16" s="564"/>
      <c r="AF16" s="564" t="s">
        <v>13569</v>
      </c>
      <c r="AG16" s="564"/>
      <c r="AH16" s="564"/>
      <c r="AI16" s="564"/>
      <c r="AJ16" s="564"/>
      <c r="AK16" s="564"/>
      <c r="AL16" s="564"/>
      <c r="AM16" s="564"/>
      <c r="AN16" s="564"/>
      <c r="AO16" s="564"/>
      <c r="AP16" s="564"/>
      <c r="AQ16" s="564"/>
      <c r="AR16" s="564"/>
      <c r="AS16" s="564"/>
      <c r="AT16" s="564" t="s">
        <v>13570</v>
      </c>
      <c r="AU16" s="564"/>
      <c r="AV16" s="564"/>
      <c r="AW16" s="564"/>
      <c r="AX16" s="564"/>
      <c r="AY16" s="564"/>
      <c r="AZ16" s="564"/>
      <c r="BA16" s="564"/>
      <c r="BB16" s="564"/>
      <c r="BC16" s="564"/>
      <c r="BD16" s="564"/>
      <c r="BE16" s="564"/>
      <c r="BF16" s="564"/>
      <c r="BG16" s="564"/>
      <c r="BH16" s="564" t="s">
        <v>13571</v>
      </c>
      <c r="BI16" s="564"/>
      <c r="BJ16" s="564"/>
      <c r="BK16" s="564"/>
      <c r="BL16" s="564"/>
      <c r="BM16" s="564"/>
      <c r="BN16" s="564"/>
      <c r="BO16" s="564"/>
      <c r="BP16" s="564"/>
      <c r="BQ16" s="564"/>
      <c r="BR16" s="564"/>
      <c r="BS16" s="564"/>
      <c r="BT16" s="564"/>
      <c r="BU16" s="564"/>
      <c r="BV16" s="564" t="s">
        <v>13572</v>
      </c>
      <c r="BW16" s="564"/>
      <c r="BX16" s="564"/>
      <c r="BY16" s="564"/>
      <c r="BZ16" s="564"/>
      <c r="CA16" s="564"/>
      <c r="CB16" s="564"/>
      <c r="CC16" s="564"/>
      <c r="CD16" s="564"/>
      <c r="CE16" s="564"/>
      <c r="CF16" s="564"/>
      <c r="CG16" s="564"/>
      <c r="CH16" s="564"/>
      <c r="CI16" s="564"/>
      <c r="CJ16" s="564" t="s">
        <v>13573</v>
      </c>
      <c r="CK16" s="564"/>
      <c r="CL16" s="564"/>
      <c r="CM16" s="564"/>
      <c r="CN16" s="564"/>
      <c r="CO16" s="564"/>
      <c r="CP16" s="564"/>
      <c r="CQ16" s="564"/>
      <c r="CR16" s="564"/>
      <c r="CS16" s="564"/>
      <c r="CT16" s="564"/>
      <c r="CU16" s="564"/>
      <c r="CV16" s="564"/>
      <c r="CW16" s="564"/>
      <c r="CX16" s="564" t="s">
        <v>13574</v>
      </c>
      <c r="CY16" s="564"/>
      <c r="CZ16" s="564"/>
      <c r="DA16" s="564"/>
      <c r="DB16" s="564"/>
      <c r="DC16" s="564"/>
      <c r="DD16" s="564"/>
      <c r="DE16" s="564"/>
      <c r="DF16" s="564"/>
      <c r="DG16" s="564"/>
      <c r="DH16" s="564"/>
    </row>
    <row r="17" spans="2:112" s="299" customFormat="1" ht="12.75" x14ac:dyDescent="0.2">
      <c r="C17" s="5" t="str">
        <f t="shared" ca="1" si="3"/>
        <v>… of which, remainder (Young Adults and Children)</v>
      </c>
      <c r="D17" s="16" t="e">
        <f>D12-SUM(D13:D16)</f>
        <v>#N/A</v>
      </c>
      <c r="E17" s="16" t="e">
        <f>D17</f>
        <v>#N/A</v>
      </c>
      <c r="F17" s="16" t="e">
        <f>F12-SUM(F13:F16)</f>
        <v>#N/A</v>
      </c>
      <c r="G17" s="16" t="e">
        <f t="shared" ref="G17" si="8">F17</f>
        <v>#N/A</v>
      </c>
      <c r="H17" s="16" t="e">
        <f>H12-SUM(H13:H16)</f>
        <v>#N/A</v>
      </c>
      <c r="I17" s="16" t="e">
        <f t="shared" ref="I17" si="9">H17</f>
        <v>#N/A</v>
      </c>
      <c r="L17" s="567"/>
      <c r="M17" s="567"/>
      <c r="O17" s="564"/>
      <c r="P17" s="564"/>
      <c r="Q17" s="564"/>
      <c r="R17" s="564" t="s">
        <v>3788</v>
      </c>
      <c r="S17" s="564"/>
      <c r="T17" s="564"/>
      <c r="U17" s="564"/>
      <c r="V17" s="564"/>
      <c r="W17" s="564"/>
      <c r="X17" s="564"/>
      <c r="Y17" s="564"/>
      <c r="Z17" s="564"/>
      <c r="AA17" s="564"/>
      <c r="AB17" s="564"/>
      <c r="AC17" s="564"/>
      <c r="AD17" s="564"/>
      <c r="AE17" s="564"/>
      <c r="AF17" s="564" t="s">
        <v>9354</v>
      </c>
      <c r="AG17" s="564"/>
      <c r="AH17" s="564"/>
      <c r="AI17" s="564"/>
      <c r="AJ17" s="564"/>
      <c r="AK17" s="564"/>
      <c r="AL17" s="564"/>
      <c r="AM17" s="564"/>
      <c r="AN17" s="564"/>
      <c r="AO17" s="564"/>
      <c r="AP17" s="564"/>
      <c r="AQ17" s="564"/>
      <c r="AR17" s="564"/>
      <c r="AS17" s="564"/>
      <c r="AT17" s="564" t="s">
        <v>9355</v>
      </c>
      <c r="AU17" s="564"/>
      <c r="AV17" s="564"/>
      <c r="AW17" s="564"/>
      <c r="AX17" s="564"/>
      <c r="AY17" s="564"/>
      <c r="AZ17" s="564"/>
      <c r="BA17" s="564"/>
      <c r="BB17" s="564"/>
      <c r="BC17" s="564"/>
      <c r="BD17" s="564"/>
      <c r="BE17" s="564"/>
      <c r="BF17" s="564"/>
      <c r="BG17" s="564"/>
      <c r="BH17" s="564" t="s">
        <v>9356</v>
      </c>
      <c r="BI17" s="564"/>
      <c r="BJ17" s="564"/>
      <c r="BK17" s="564"/>
      <c r="BL17" s="564"/>
      <c r="BM17" s="564"/>
      <c r="BN17" s="564"/>
      <c r="BO17" s="564"/>
      <c r="BP17" s="564"/>
      <c r="BQ17" s="564"/>
      <c r="BR17" s="564"/>
      <c r="BS17" s="564"/>
      <c r="BT17" s="564"/>
      <c r="BU17" s="564"/>
      <c r="BV17" s="564" t="s">
        <v>9357</v>
      </c>
      <c r="BW17" s="564"/>
      <c r="BX17" s="564"/>
      <c r="BY17" s="564"/>
      <c r="BZ17" s="564"/>
      <c r="CA17" s="564"/>
      <c r="CB17" s="564"/>
      <c r="CC17" s="564"/>
      <c r="CD17" s="564"/>
      <c r="CE17" s="564"/>
      <c r="CF17" s="564"/>
      <c r="CG17" s="564"/>
      <c r="CH17" s="564"/>
      <c r="CI17" s="564"/>
      <c r="CJ17" s="564" t="s">
        <v>9358</v>
      </c>
      <c r="CK17" s="564"/>
      <c r="CL17" s="564"/>
      <c r="CM17" s="564"/>
      <c r="CN17" s="564"/>
      <c r="CO17" s="564"/>
      <c r="CP17" s="564"/>
      <c r="CQ17" s="564"/>
      <c r="CR17" s="564"/>
      <c r="CS17" s="564"/>
      <c r="CT17" s="564"/>
      <c r="CU17" s="564"/>
      <c r="CV17" s="564"/>
      <c r="CW17" s="564"/>
      <c r="CX17" s="564" t="s">
        <v>9359</v>
      </c>
      <c r="CY17" s="564"/>
      <c r="CZ17" s="564"/>
      <c r="DA17" s="564"/>
      <c r="DB17" s="564"/>
      <c r="DC17" s="564"/>
      <c r="DD17" s="564"/>
      <c r="DE17" s="564"/>
      <c r="DF17" s="564"/>
      <c r="DG17" s="564"/>
      <c r="DH17" s="564"/>
    </row>
    <row r="18" spans="2:112" s="299" customFormat="1" ht="12.75" x14ac:dyDescent="0.2">
      <c r="C18" s="34" t="str">
        <f t="shared" ca="1" si="3"/>
        <v>Easier-to-Access - ALL AGES</v>
      </c>
      <c r="D18" s="16" t="e">
        <f>D7-D12</f>
        <v>#N/A</v>
      </c>
      <c r="E18" s="16" t="e">
        <f>D18</f>
        <v>#N/A</v>
      </c>
      <c r="F18" s="16" t="e">
        <f>F7-F12</f>
        <v>#N/A</v>
      </c>
      <c r="G18" s="16" t="e">
        <f t="shared" ref="G18" si="10">F18</f>
        <v>#N/A</v>
      </c>
      <c r="H18" s="16" t="e">
        <f>H7-H12</f>
        <v>#N/A</v>
      </c>
      <c r="I18" s="16" t="e">
        <f t="shared" ref="I18" si="11">H18</f>
        <v>#N/A</v>
      </c>
      <c r="L18" s="567"/>
      <c r="M18" s="567"/>
      <c r="O18" s="564"/>
      <c r="P18" s="564"/>
      <c r="Q18" s="564"/>
      <c r="R18" s="564" t="s">
        <v>3769</v>
      </c>
      <c r="S18" s="564"/>
      <c r="T18" s="564"/>
      <c r="U18" s="564"/>
      <c r="V18" s="564"/>
      <c r="W18" s="564"/>
      <c r="X18" s="564"/>
      <c r="Y18" s="564"/>
      <c r="Z18" s="564"/>
      <c r="AA18" s="564"/>
      <c r="AB18" s="564"/>
      <c r="AC18" s="564"/>
      <c r="AD18" s="564"/>
      <c r="AE18" s="564"/>
      <c r="AF18" s="564" t="s">
        <v>9360</v>
      </c>
      <c r="AG18" s="564"/>
      <c r="AH18" s="564"/>
      <c r="AI18" s="564"/>
      <c r="AJ18" s="564"/>
      <c r="AK18" s="564"/>
      <c r="AL18" s="564"/>
      <c r="AM18" s="564"/>
      <c r="AN18" s="564"/>
      <c r="AO18" s="564"/>
      <c r="AP18" s="564"/>
      <c r="AQ18" s="564"/>
      <c r="AR18" s="564"/>
      <c r="AS18" s="564"/>
      <c r="AT18" s="564" t="s">
        <v>9361</v>
      </c>
      <c r="AU18" s="564"/>
      <c r="AV18" s="564"/>
      <c r="AW18" s="564"/>
      <c r="AX18" s="564"/>
      <c r="AY18" s="564"/>
      <c r="AZ18" s="564"/>
      <c r="BA18" s="564"/>
      <c r="BB18" s="564"/>
      <c r="BC18" s="564"/>
      <c r="BD18" s="564"/>
      <c r="BE18" s="564"/>
      <c r="BF18" s="564"/>
      <c r="BG18" s="564"/>
      <c r="BH18" s="564" t="s">
        <v>9362</v>
      </c>
      <c r="BI18" s="564"/>
      <c r="BJ18" s="564"/>
      <c r="BK18" s="564"/>
      <c r="BL18" s="564"/>
      <c r="BM18" s="564"/>
      <c r="BN18" s="564"/>
      <c r="BO18" s="564"/>
      <c r="BP18" s="564"/>
      <c r="BQ18" s="564"/>
      <c r="BR18" s="564"/>
      <c r="BS18" s="564"/>
      <c r="BT18" s="564"/>
      <c r="BU18" s="564"/>
      <c r="BV18" s="564" t="s">
        <v>9363</v>
      </c>
      <c r="BW18" s="564"/>
      <c r="BX18" s="564"/>
      <c r="BY18" s="564"/>
      <c r="BZ18" s="564"/>
      <c r="CA18" s="564"/>
      <c r="CB18" s="564"/>
      <c r="CC18" s="564"/>
      <c r="CD18" s="564"/>
      <c r="CE18" s="564"/>
      <c r="CF18" s="564"/>
      <c r="CG18" s="564"/>
      <c r="CH18" s="564"/>
      <c r="CI18" s="564"/>
      <c r="CJ18" s="564" t="s">
        <v>9364</v>
      </c>
      <c r="CK18" s="564"/>
      <c r="CL18" s="564"/>
      <c r="CM18" s="564"/>
      <c r="CN18" s="564"/>
      <c r="CO18" s="564"/>
      <c r="CP18" s="564"/>
      <c r="CQ18" s="564"/>
      <c r="CR18" s="564"/>
      <c r="CS18" s="564"/>
      <c r="CT18" s="564"/>
      <c r="CU18" s="564"/>
      <c r="CV18" s="564"/>
      <c r="CW18" s="564"/>
      <c r="CX18" s="564" t="s">
        <v>9365</v>
      </c>
      <c r="CY18" s="564"/>
      <c r="CZ18" s="564"/>
      <c r="DA18" s="564"/>
      <c r="DB18" s="564"/>
      <c r="DC18" s="564"/>
      <c r="DD18" s="564"/>
      <c r="DE18" s="564"/>
      <c r="DF18" s="564"/>
      <c r="DG18" s="564"/>
      <c r="DH18" s="564"/>
    </row>
    <row r="19" spans="2:112" ht="12.75" x14ac:dyDescent="0.2">
      <c r="B19" s="34"/>
      <c r="C19" s="5" t="str">
        <f t="shared" ca="1" si="3"/>
        <v>… of which, Older Adults</v>
      </c>
      <c r="D19" s="114" t="e">
        <f>D10-D13</f>
        <v>#N/A</v>
      </c>
      <c r="E19" s="114" t="e">
        <f>D19</f>
        <v>#N/A</v>
      </c>
      <c r="F19" s="114" t="e">
        <f>F10-F13</f>
        <v>#N/A</v>
      </c>
      <c r="G19" s="114" t="e">
        <f>F19</f>
        <v>#N/A</v>
      </c>
      <c r="H19" s="114" t="e">
        <f>H10-H13</f>
        <v>#N/A</v>
      </c>
      <c r="I19" s="114" t="e">
        <f>H19</f>
        <v>#N/A</v>
      </c>
      <c r="J19" s="16"/>
      <c r="K19" s="252"/>
      <c r="L19" s="567"/>
      <c r="M19" s="567"/>
      <c r="R19" s="564" t="s">
        <v>3770</v>
      </c>
      <c r="Z19" s="564" t="s">
        <v>3015</v>
      </c>
      <c r="AF19" s="564" t="s">
        <v>9336</v>
      </c>
      <c r="AN19" s="564" t="s">
        <v>9317</v>
      </c>
      <c r="AT19" s="564" t="s">
        <v>9337</v>
      </c>
      <c r="BB19" s="564" t="s">
        <v>8617</v>
      </c>
      <c r="BH19" s="564" t="s">
        <v>9338</v>
      </c>
      <c r="BP19" s="564" t="s">
        <v>3015</v>
      </c>
      <c r="BV19" s="564" t="s">
        <v>9339</v>
      </c>
      <c r="CD19" s="564" t="s">
        <v>3015</v>
      </c>
      <c r="CJ19" s="564" t="s">
        <v>9366</v>
      </c>
      <c r="CR19" s="564" t="s">
        <v>8633</v>
      </c>
      <c r="CX19" s="564" t="s">
        <v>9341</v>
      </c>
      <c r="DF19" s="564" t="s">
        <v>9323</v>
      </c>
    </row>
    <row r="20" spans="2:112" s="299" customFormat="1" ht="12.75" x14ac:dyDescent="0.2">
      <c r="B20" s="34"/>
      <c r="C20" s="370" t="str">
        <f t="shared" ca="1" si="3"/>
        <v>… of which, Underlying health conditions among non-older adults</v>
      </c>
      <c r="D20" s="16" t="e">
        <f>ROUNDUP(D18*PreExisting_Percent,0)</f>
        <v>#N/A</v>
      </c>
      <c r="E20" s="16" t="e">
        <f t="shared" ref="E20" si="12">D20</f>
        <v>#N/A</v>
      </c>
      <c r="F20" s="16" t="e">
        <f>ROUNDUP(F18*PreExisting_Percent,0)</f>
        <v>#N/A</v>
      </c>
      <c r="G20" s="16" t="e">
        <f t="shared" ref="G20" si="13">F20</f>
        <v>#N/A</v>
      </c>
      <c r="H20" s="16" t="e">
        <f>ROUNDUP(H18*PreExisting_Percent,0)</f>
        <v>#N/A</v>
      </c>
      <c r="I20" s="16" t="e">
        <f t="shared" ref="I20" si="14">H20</f>
        <v>#N/A</v>
      </c>
      <c r="J20" s="16"/>
      <c r="K20" s="252"/>
      <c r="L20" s="567"/>
      <c r="M20" s="567"/>
      <c r="O20" s="564"/>
      <c r="P20" s="564"/>
      <c r="Q20" s="564"/>
      <c r="R20" s="564" t="s">
        <v>3786</v>
      </c>
      <c r="S20" s="564"/>
      <c r="T20" s="564"/>
      <c r="U20" s="564"/>
      <c r="V20" s="564"/>
      <c r="W20" s="564"/>
      <c r="X20" s="564"/>
      <c r="Y20" s="564"/>
      <c r="Z20" s="564"/>
      <c r="AA20" s="564"/>
      <c r="AB20" s="564"/>
      <c r="AC20" s="564"/>
      <c r="AD20" s="564"/>
      <c r="AE20" s="564"/>
      <c r="AF20" s="564" t="s">
        <v>9342</v>
      </c>
      <c r="AG20" s="564"/>
      <c r="AH20" s="564"/>
      <c r="AI20" s="564"/>
      <c r="AJ20" s="564"/>
      <c r="AK20" s="564"/>
      <c r="AL20" s="564"/>
      <c r="AM20" s="564"/>
      <c r="AN20" s="564"/>
      <c r="AO20" s="564"/>
      <c r="AP20" s="564"/>
      <c r="AQ20" s="564"/>
      <c r="AR20" s="564"/>
      <c r="AS20" s="564"/>
      <c r="AT20" s="564" t="s">
        <v>9343</v>
      </c>
      <c r="AU20" s="564"/>
      <c r="AV20" s="564"/>
      <c r="AW20" s="564"/>
      <c r="AX20" s="564"/>
      <c r="AY20" s="564"/>
      <c r="AZ20" s="564"/>
      <c r="BA20" s="564"/>
      <c r="BB20" s="564"/>
      <c r="BC20" s="564"/>
      <c r="BD20" s="564"/>
      <c r="BE20" s="564"/>
      <c r="BF20" s="564"/>
      <c r="BG20" s="564"/>
      <c r="BH20" s="564" t="s">
        <v>9344</v>
      </c>
      <c r="BI20" s="564"/>
      <c r="BJ20" s="564"/>
      <c r="BK20" s="564"/>
      <c r="BL20" s="564"/>
      <c r="BM20" s="564"/>
      <c r="BN20" s="564"/>
      <c r="BO20" s="564"/>
      <c r="BP20" s="564"/>
      <c r="BQ20" s="564"/>
      <c r="BR20" s="564"/>
      <c r="BS20" s="564"/>
      <c r="BT20" s="564"/>
      <c r="BU20" s="564"/>
      <c r="BV20" s="564" t="s">
        <v>9345</v>
      </c>
      <c r="BW20" s="564"/>
      <c r="BX20" s="564"/>
      <c r="BY20" s="564"/>
      <c r="BZ20" s="564"/>
      <c r="CA20" s="564"/>
      <c r="CB20" s="564"/>
      <c r="CC20" s="564"/>
      <c r="CD20" s="564"/>
      <c r="CE20" s="564"/>
      <c r="CF20" s="564"/>
      <c r="CG20" s="564"/>
      <c r="CH20" s="564"/>
      <c r="CI20" s="564"/>
      <c r="CJ20" s="564" t="s">
        <v>9367</v>
      </c>
      <c r="CK20" s="564"/>
      <c r="CL20" s="564"/>
      <c r="CM20" s="564"/>
      <c r="CN20" s="564"/>
      <c r="CO20" s="564"/>
      <c r="CP20" s="564"/>
      <c r="CQ20" s="564"/>
      <c r="CR20" s="564"/>
      <c r="CS20" s="564"/>
      <c r="CT20" s="564"/>
      <c r="CU20" s="564"/>
      <c r="CV20" s="564"/>
      <c r="CW20" s="564"/>
      <c r="CX20" s="564" t="s">
        <v>9347</v>
      </c>
      <c r="CY20" s="564"/>
      <c r="CZ20" s="564"/>
      <c r="DA20" s="564"/>
      <c r="DB20" s="564"/>
      <c r="DC20" s="564"/>
      <c r="DD20" s="564"/>
      <c r="DE20" s="564"/>
      <c r="DF20" s="564"/>
      <c r="DG20" s="564"/>
      <c r="DH20" s="564"/>
    </row>
    <row r="21" spans="2:112" s="299" customFormat="1" ht="12.75" x14ac:dyDescent="0.2">
      <c r="B21" s="34"/>
      <c r="C21" s="5" t="str">
        <f t="shared" ca="1" si="3"/>
        <v>… of which, Pregnant women</v>
      </c>
      <c r="D21" s="16" t="e">
        <f>ROUNDUP(D18*Pop_Pregnant_Percent,0)</f>
        <v>#N/A</v>
      </c>
      <c r="E21" s="16" t="e">
        <f t="shared" ref="E21" si="15">D21</f>
        <v>#N/A</v>
      </c>
      <c r="F21" s="16" t="e">
        <f>ROUNDUP(F18*Pop_Pregnant_Percent,0)</f>
        <v>#N/A</v>
      </c>
      <c r="G21" s="16" t="e">
        <f t="shared" ref="G21" si="16">F21</f>
        <v>#N/A</v>
      </c>
      <c r="H21" s="16" t="e">
        <f>ROUNDUP(H18*Pop_Pregnant_Percent,0)</f>
        <v>#N/A</v>
      </c>
      <c r="I21" s="16" t="e">
        <f t="shared" ref="I21:I22" si="17">H21</f>
        <v>#N/A</v>
      </c>
      <c r="J21" s="16"/>
      <c r="K21" s="252"/>
      <c r="L21" s="567"/>
      <c r="M21" s="567"/>
      <c r="O21" s="564"/>
      <c r="P21" s="564"/>
      <c r="Q21" s="564"/>
      <c r="R21" s="564" t="s">
        <v>3787</v>
      </c>
      <c r="S21" s="564"/>
      <c r="T21" s="564"/>
      <c r="U21" s="564"/>
      <c r="V21" s="564"/>
      <c r="W21" s="564"/>
      <c r="X21" s="564"/>
      <c r="Y21" s="564"/>
      <c r="Z21" s="564"/>
      <c r="AA21" s="564"/>
      <c r="AB21" s="564"/>
      <c r="AC21" s="564"/>
      <c r="AD21" s="564"/>
      <c r="AE21" s="564"/>
      <c r="AF21" s="564" t="s">
        <v>9348</v>
      </c>
      <c r="AG21" s="564"/>
      <c r="AH21" s="564"/>
      <c r="AI21" s="564"/>
      <c r="AJ21" s="564"/>
      <c r="AK21" s="564"/>
      <c r="AL21" s="564"/>
      <c r="AM21" s="564"/>
      <c r="AN21" s="564"/>
      <c r="AO21" s="564"/>
      <c r="AP21" s="564"/>
      <c r="AQ21" s="564"/>
      <c r="AR21" s="564"/>
      <c r="AS21" s="564"/>
      <c r="AT21" s="564" t="s">
        <v>9349</v>
      </c>
      <c r="AU21" s="564"/>
      <c r="AV21" s="564"/>
      <c r="AW21" s="564"/>
      <c r="AX21" s="564"/>
      <c r="AY21" s="564"/>
      <c r="AZ21" s="564"/>
      <c r="BA21" s="564"/>
      <c r="BB21" s="564"/>
      <c r="BC21" s="564"/>
      <c r="BD21" s="564"/>
      <c r="BE21" s="564"/>
      <c r="BF21" s="564"/>
      <c r="BG21" s="564"/>
      <c r="BH21" s="564" t="s">
        <v>9350</v>
      </c>
      <c r="BI21" s="564"/>
      <c r="BJ21" s="564"/>
      <c r="BK21" s="564"/>
      <c r="BL21" s="564"/>
      <c r="BM21" s="564"/>
      <c r="BN21" s="564"/>
      <c r="BO21" s="564"/>
      <c r="BP21" s="564"/>
      <c r="BQ21" s="564"/>
      <c r="BR21" s="564"/>
      <c r="BS21" s="564"/>
      <c r="BT21" s="564"/>
      <c r="BU21" s="564"/>
      <c r="BV21" s="564" t="s">
        <v>9351</v>
      </c>
      <c r="BW21" s="564"/>
      <c r="BX21" s="564"/>
      <c r="BY21" s="564"/>
      <c r="BZ21" s="564"/>
      <c r="CA21" s="564"/>
      <c r="CB21" s="564"/>
      <c r="CC21" s="564"/>
      <c r="CD21" s="564"/>
      <c r="CE21" s="564"/>
      <c r="CF21" s="564"/>
      <c r="CG21" s="564"/>
      <c r="CH21" s="564"/>
      <c r="CI21" s="564"/>
      <c r="CJ21" s="564" t="s">
        <v>9352</v>
      </c>
      <c r="CK21" s="564"/>
      <c r="CL21" s="564"/>
      <c r="CM21" s="564"/>
      <c r="CN21" s="564"/>
      <c r="CO21" s="564"/>
      <c r="CP21" s="564"/>
      <c r="CQ21" s="564"/>
      <c r="CR21" s="564"/>
      <c r="CS21" s="564"/>
      <c r="CT21" s="564"/>
      <c r="CU21" s="564"/>
      <c r="CV21" s="564"/>
      <c r="CW21" s="564"/>
      <c r="CX21" s="564" t="s">
        <v>9353</v>
      </c>
      <c r="CY21" s="564"/>
      <c r="CZ21" s="564"/>
      <c r="DA21" s="564"/>
      <c r="DB21" s="564"/>
      <c r="DC21" s="564"/>
      <c r="DD21" s="564"/>
      <c r="DE21" s="564"/>
      <c r="DF21" s="564"/>
      <c r="DG21" s="564"/>
      <c r="DH21" s="564"/>
    </row>
    <row r="22" spans="2:112" s="299" customFormat="1" ht="12.75" x14ac:dyDescent="0.2">
      <c r="C22" s="5" t="str">
        <f t="shared" ca="1" si="3"/>
        <v>… of which, remainder (Young Adults and Children)</v>
      </c>
      <c r="D22" s="16" t="e">
        <f t="shared" ref="D22" si="18">D18-SUM(D19:D21)</f>
        <v>#N/A</v>
      </c>
      <c r="E22" s="16" t="e">
        <f t="shared" ref="E22" si="19">D22</f>
        <v>#N/A</v>
      </c>
      <c r="F22" s="16" t="e">
        <f t="shared" ref="F22" si="20">F18-SUM(F19:F21)</f>
        <v>#N/A</v>
      </c>
      <c r="G22" s="16" t="e">
        <f t="shared" ref="G22" si="21">F22</f>
        <v>#N/A</v>
      </c>
      <c r="H22" s="16" t="e">
        <f t="shared" ref="H22" si="22">H18-SUM(H19:H21)</f>
        <v>#N/A</v>
      </c>
      <c r="I22" s="16" t="e">
        <f t="shared" si="17"/>
        <v>#N/A</v>
      </c>
      <c r="L22" s="567"/>
      <c r="M22" s="567"/>
      <c r="O22" s="564"/>
      <c r="P22" s="564"/>
      <c r="Q22" s="564"/>
      <c r="R22" s="564" t="s">
        <v>3788</v>
      </c>
      <c r="S22" s="564"/>
      <c r="T22" s="564"/>
      <c r="U22" s="564"/>
      <c r="V22" s="564"/>
      <c r="W22" s="564"/>
      <c r="X22" s="564"/>
      <c r="Y22" s="564"/>
      <c r="Z22" s="564"/>
      <c r="AA22" s="564"/>
      <c r="AB22" s="564"/>
      <c r="AC22" s="564"/>
      <c r="AD22" s="564"/>
      <c r="AE22" s="564"/>
      <c r="AF22" s="564" t="s">
        <v>9354</v>
      </c>
      <c r="AG22" s="564"/>
      <c r="AH22" s="564"/>
      <c r="AI22" s="564"/>
      <c r="AJ22" s="564"/>
      <c r="AK22" s="564"/>
      <c r="AL22" s="564"/>
      <c r="AM22" s="564"/>
      <c r="AN22" s="564"/>
      <c r="AO22" s="564"/>
      <c r="AP22" s="564"/>
      <c r="AQ22" s="564"/>
      <c r="AR22" s="564"/>
      <c r="AS22" s="564"/>
      <c r="AT22" s="564" t="s">
        <v>9355</v>
      </c>
      <c r="AU22" s="564"/>
      <c r="AV22" s="564"/>
      <c r="AW22" s="564"/>
      <c r="AX22" s="564"/>
      <c r="AY22" s="564"/>
      <c r="AZ22" s="564"/>
      <c r="BA22" s="564"/>
      <c r="BB22" s="564"/>
      <c r="BC22" s="564"/>
      <c r="BD22" s="564"/>
      <c r="BE22" s="564"/>
      <c r="BF22" s="564"/>
      <c r="BG22" s="564"/>
      <c r="BH22" s="564" t="s">
        <v>9356</v>
      </c>
      <c r="BI22" s="564"/>
      <c r="BJ22" s="564"/>
      <c r="BK22" s="564"/>
      <c r="BL22" s="564"/>
      <c r="BM22" s="564"/>
      <c r="BN22" s="564"/>
      <c r="BO22" s="564"/>
      <c r="BP22" s="564"/>
      <c r="BQ22" s="564"/>
      <c r="BR22" s="564"/>
      <c r="BS22" s="564"/>
      <c r="BT22" s="564"/>
      <c r="BU22" s="564"/>
      <c r="BV22" s="564" t="s">
        <v>9357</v>
      </c>
      <c r="BW22" s="564"/>
      <c r="BX22" s="564"/>
      <c r="BY22" s="564"/>
      <c r="BZ22" s="564"/>
      <c r="CA22" s="564"/>
      <c r="CB22" s="564"/>
      <c r="CC22" s="564"/>
      <c r="CD22" s="564"/>
      <c r="CE22" s="564"/>
      <c r="CF22" s="564"/>
      <c r="CG22" s="564"/>
      <c r="CH22" s="564"/>
      <c r="CI22" s="564"/>
      <c r="CJ22" s="564" t="s">
        <v>9368</v>
      </c>
      <c r="CK22" s="564"/>
      <c r="CL22" s="564"/>
      <c r="CM22" s="564"/>
      <c r="CN22" s="564"/>
      <c r="CO22" s="564"/>
      <c r="CP22" s="564"/>
      <c r="CQ22" s="564"/>
      <c r="CR22" s="564"/>
      <c r="CS22" s="564"/>
      <c r="CT22" s="564"/>
      <c r="CU22" s="564"/>
      <c r="CV22" s="564"/>
      <c r="CW22" s="564"/>
      <c r="CX22" s="564" t="s">
        <v>9359</v>
      </c>
      <c r="CY22" s="564"/>
      <c r="CZ22" s="564"/>
      <c r="DA22" s="564"/>
      <c r="DB22" s="564"/>
      <c r="DC22" s="564"/>
      <c r="DD22" s="564"/>
      <c r="DE22" s="564"/>
      <c r="DF22" s="564"/>
      <c r="DG22" s="564"/>
      <c r="DH22" s="564"/>
    </row>
    <row r="23" spans="2:112" s="299" customFormat="1" ht="12.75" x14ac:dyDescent="0.2">
      <c r="D23" s="16"/>
      <c r="E23" s="16"/>
      <c r="F23" s="16"/>
      <c r="G23" s="16"/>
      <c r="H23" s="16"/>
      <c r="I23" s="16"/>
      <c r="L23" s="567"/>
      <c r="M23" s="567"/>
      <c r="O23" s="564"/>
      <c r="P23" s="564"/>
      <c r="Q23" s="564"/>
      <c r="R23" s="564"/>
      <c r="S23" s="564"/>
      <c r="T23" s="564"/>
      <c r="U23" s="564"/>
      <c r="V23" s="564"/>
      <c r="W23" s="564"/>
      <c r="X23" s="564"/>
      <c r="Y23" s="564"/>
      <c r="Z23" s="564"/>
      <c r="AA23" s="564"/>
      <c r="AB23" s="564"/>
      <c r="AC23" s="564"/>
      <c r="AD23" s="564"/>
      <c r="AE23" s="564"/>
      <c r="AF23" s="564"/>
      <c r="AG23" s="564"/>
      <c r="AH23" s="564"/>
      <c r="AI23" s="564"/>
      <c r="AJ23" s="564"/>
      <c r="AK23" s="564"/>
      <c r="AL23" s="564"/>
      <c r="AM23" s="564"/>
      <c r="AN23" s="564"/>
      <c r="AO23" s="564"/>
      <c r="AP23" s="564"/>
      <c r="AQ23" s="564"/>
      <c r="AR23" s="564"/>
      <c r="AS23" s="564"/>
      <c r="AT23" s="564"/>
      <c r="AU23" s="564"/>
      <c r="AV23" s="564"/>
      <c r="AW23" s="564"/>
      <c r="AX23" s="564"/>
      <c r="AY23" s="564"/>
      <c r="AZ23" s="564"/>
      <c r="BA23" s="564"/>
      <c r="BB23" s="564"/>
      <c r="BC23" s="564"/>
      <c r="BD23" s="564"/>
      <c r="BE23" s="564"/>
      <c r="BF23" s="564"/>
      <c r="BG23" s="564"/>
      <c r="BH23" s="564"/>
      <c r="BI23" s="564"/>
      <c r="BJ23" s="564"/>
      <c r="BK23" s="564"/>
      <c r="BL23" s="564"/>
      <c r="BM23" s="564"/>
      <c r="BN23" s="564"/>
      <c r="BO23" s="564"/>
      <c r="BP23" s="564"/>
      <c r="BQ23" s="564"/>
      <c r="BR23" s="564"/>
      <c r="BS23" s="564"/>
      <c r="BT23" s="564"/>
      <c r="BU23" s="564"/>
      <c r="BV23" s="564"/>
      <c r="BW23" s="564"/>
      <c r="BX23" s="564"/>
      <c r="BY23" s="564"/>
      <c r="BZ23" s="564"/>
      <c r="CA23" s="564"/>
      <c r="CB23" s="564"/>
      <c r="CC23" s="564"/>
      <c r="CD23" s="564"/>
      <c r="CE23" s="564"/>
      <c r="CF23" s="564"/>
      <c r="CG23" s="564"/>
      <c r="CH23" s="564"/>
      <c r="CI23" s="564"/>
      <c r="CJ23" s="564"/>
      <c r="CK23" s="564"/>
      <c r="CL23" s="564"/>
      <c r="CM23" s="564"/>
      <c r="CN23" s="564"/>
      <c r="CO23" s="564"/>
      <c r="CP23" s="564"/>
      <c r="CQ23" s="564"/>
      <c r="CR23" s="564"/>
      <c r="CS23" s="564"/>
      <c r="CT23" s="564"/>
      <c r="CU23" s="564"/>
      <c r="CV23" s="564"/>
      <c r="CW23" s="564"/>
      <c r="CX23" s="564"/>
      <c r="CY23" s="564"/>
      <c r="CZ23" s="564"/>
      <c r="DA23" s="564"/>
      <c r="DB23" s="564"/>
      <c r="DC23" s="564"/>
      <c r="DD23" s="564"/>
      <c r="DE23" s="564"/>
      <c r="DF23" s="564"/>
      <c r="DG23" s="564"/>
      <c r="DH23" s="564"/>
    </row>
    <row r="24" spans="2:112" s="299" customFormat="1" ht="12.75" x14ac:dyDescent="0.2">
      <c r="B24" s="346" t="str">
        <f ca="1">IF(OFFSET(Q24,0,Lang_Order*Lang__B1)="","",OFFSET(Q24,0,Lang_Order*Lang__B1))</f>
        <v>SAGE Target Populations</v>
      </c>
      <c r="C24" s="344"/>
      <c r="D24" s="694" t="str">
        <f t="shared" ref="D24:I24" ca="1" si="23">IF(OFFSET(S24,0,Lang_Order*Lang__B1)="","",OFFSET(S24,0,Lang_Order*Lang__B1))</f>
        <v>Categories below this should be mutually exclusive, commonly exhaustive</v>
      </c>
      <c r="E24" s="695" t="str">
        <f t="shared" ca="1" si="23"/>
        <v/>
      </c>
      <c r="F24" s="695" t="str">
        <f t="shared" ca="1" si="23"/>
        <v/>
      </c>
      <c r="G24" s="695" t="str">
        <f t="shared" ca="1" si="23"/>
        <v/>
      </c>
      <c r="H24" s="695" t="str">
        <f t="shared" ca="1" si="23"/>
        <v/>
      </c>
      <c r="I24" s="695" t="str">
        <f t="shared" ca="1" si="23"/>
        <v/>
      </c>
      <c r="L24" s="567"/>
      <c r="M24" s="567"/>
      <c r="O24" s="564"/>
      <c r="P24" s="564"/>
      <c r="Q24" s="564" t="s">
        <v>3771</v>
      </c>
      <c r="R24" s="564"/>
      <c r="S24" s="564" t="s">
        <v>3839</v>
      </c>
      <c r="T24" s="564"/>
      <c r="U24" s="564"/>
      <c r="V24" s="564"/>
      <c r="W24" s="564"/>
      <c r="X24" s="564"/>
      <c r="Y24" s="564"/>
      <c r="Z24" s="564"/>
      <c r="AA24" s="564"/>
      <c r="AB24" s="564"/>
      <c r="AC24" s="564"/>
      <c r="AD24" s="564"/>
      <c r="AE24" s="564" t="s">
        <v>9369</v>
      </c>
      <c r="AF24" s="564"/>
      <c r="AG24" s="564" t="s">
        <v>9370</v>
      </c>
      <c r="AH24" s="564"/>
      <c r="AI24" s="564"/>
      <c r="AJ24" s="564"/>
      <c r="AK24" s="564"/>
      <c r="AL24" s="564"/>
      <c r="AM24" s="564"/>
      <c r="AN24" s="564"/>
      <c r="AO24" s="564"/>
      <c r="AP24" s="564"/>
      <c r="AQ24" s="564"/>
      <c r="AR24" s="564"/>
      <c r="AS24" s="564" t="s">
        <v>9371</v>
      </c>
      <c r="AT24" s="564"/>
      <c r="AU24" s="564" t="s">
        <v>9372</v>
      </c>
      <c r="AV24" s="564"/>
      <c r="AW24" s="564"/>
      <c r="AX24" s="564"/>
      <c r="AY24" s="564"/>
      <c r="AZ24" s="564"/>
      <c r="BA24" s="564"/>
      <c r="BB24" s="564"/>
      <c r="BC24" s="564"/>
      <c r="BD24" s="564"/>
      <c r="BE24" s="564"/>
      <c r="BF24" s="564"/>
      <c r="BG24" s="564" t="s">
        <v>9373</v>
      </c>
      <c r="BH24" s="564"/>
      <c r="BI24" s="564" t="s">
        <v>9374</v>
      </c>
      <c r="BJ24" s="564"/>
      <c r="BK24" s="564"/>
      <c r="BL24" s="564"/>
      <c r="BM24" s="564"/>
      <c r="BN24" s="564"/>
      <c r="BO24" s="564"/>
      <c r="BP24" s="564"/>
      <c r="BQ24" s="564"/>
      <c r="BR24" s="564"/>
      <c r="BS24" s="564"/>
      <c r="BT24" s="564"/>
      <c r="BU24" s="564" t="s">
        <v>9375</v>
      </c>
      <c r="BV24" s="564"/>
      <c r="BW24" s="564" t="s">
        <v>9376</v>
      </c>
      <c r="BX24" s="564"/>
      <c r="BY24" s="564"/>
      <c r="BZ24" s="564"/>
      <c r="CA24" s="564"/>
      <c r="CB24" s="564"/>
      <c r="CC24" s="564"/>
      <c r="CD24" s="564"/>
      <c r="CE24" s="564"/>
      <c r="CF24" s="564"/>
      <c r="CG24" s="564"/>
      <c r="CH24" s="564"/>
      <c r="CI24" s="564" t="s">
        <v>9377</v>
      </c>
      <c r="CJ24" s="564"/>
      <c r="CK24" s="564" t="s">
        <v>9378</v>
      </c>
      <c r="CL24" s="564"/>
      <c r="CM24" s="564"/>
      <c r="CN24" s="564"/>
      <c r="CO24" s="564"/>
      <c r="CP24" s="564"/>
      <c r="CQ24" s="564"/>
      <c r="CR24" s="564"/>
      <c r="CS24" s="564"/>
      <c r="CT24" s="564"/>
      <c r="CU24" s="564"/>
      <c r="CV24" s="564"/>
      <c r="CW24" s="564" t="s">
        <v>9379</v>
      </c>
      <c r="CX24" s="564"/>
      <c r="CY24" s="564" t="s">
        <v>9380</v>
      </c>
      <c r="CZ24" s="564"/>
      <c r="DA24" s="564"/>
      <c r="DB24" s="564"/>
      <c r="DC24" s="564"/>
      <c r="DD24" s="564"/>
      <c r="DE24" s="564"/>
      <c r="DF24" s="564"/>
      <c r="DG24" s="564"/>
      <c r="DH24" s="564"/>
    </row>
    <row r="25" spans="2:112" ht="12.75" x14ac:dyDescent="0.2">
      <c r="B25" s="34" t="s">
        <v>14430</v>
      </c>
      <c r="C25" s="23" t="str">
        <f t="shared" ref="C25:C34" ca="1" si="24">IF(OFFSET(R25,0,Lang_Order*Lang__B1)="","",OFFSET(R25,0,Lang_Order*Lang__B1))</f>
        <v>HEALTH WORKERS</v>
      </c>
      <c r="D25" s="114" t="e">
        <f>ROUNDUP($D7*Pop_HealthWorkers_Percent,0)</f>
        <v>#N/A</v>
      </c>
      <c r="E25" s="114" t="e">
        <f>D25</f>
        <v>#N/A</v>
      </c>
      <c r="F25" s="114" t="e">
        <f>ROUNDUP($F7*Pop_HealthWorkers_Percent,0)</f>
        <v>#N/A</v>
      </c>
      <c r="G25" s="114" t="e">
        <f>F25</f>
        <v>#N/A</v>
      </c>
      <c r="H25" s="114" t="e">
        <f>ROUNDUP($H7*Pop_HealthWorkers_Percent,0)</f>
        <v>#N/A</v>
      </c>
      <c r="I25" s="114" t="e">
        <f>H25</f>
        <v>#N/A</v>
      </c>
      <c r="J25" s="16"/>
      <c r="K25" s="16" t="str">
        <f ca="1">IF(OFFSET(Z25,0,Lang_Order*Lang__B1)="","",OFFSET(Z25,0,Lang_Order*Lang__B1))</f>
        <v>Work DM1</v>
      </c>
      <c r="L25" s="567"/>
      <c r="M25" s="567"/>
      <c r="Q25" s="564" t="s">
        <v>14430</v>
      </c>
      <c r="R25" s="564" t="s">
        <v>3765</v>
      </c>
      <c r="Z25" s="564" t="s">
        <v>3798</v>
      </c>
      <c r="AE25" s="564" t="s">
        <v>14430</v>
      </c>
      <c r="AF25" s="564" t="s">
        <v>9381</v>
      </c>
      <c r="AN25" s="564" t="s">
        <v>9382</v>
      </c>
      <c r="AS25" s="564" t="s">
        <v>14430</v>
      </c>
      <c r="AT25" s="564" t="s">
        <v>9383</v>
      </c>
      <c r="BB25" s="564" t="s">
        <v>9384</v>
      </c>
      <c r="BG25" s="564" t="s">
        <v>14430</v>
      </c>
      <c r="BH25" s="564" t="s">
        <v>9385</v>
      </c>
      <c r="BP25" s="564" t="s">
        <v>9386</v>
      </c>
      <c r="BU25" s="564" t="s">
        <v>14430</v>
      </c>
      <c r="BV25" s="564" t="s">
        <v>9387</v>
      </c>
      <c r="CD25" s="564" t="s">
        <v>9388</v>
      </c>
      <c r="CI25" s="564" t="s">
        <v>14431</v>
      </c>
      <c r="CJ25" s="564" t="s">
        <v>9389</v>
      </c>
      <c r="CR25" s="564" t="s">
        <v>9390</v>
      </c>
      <c r="CW25" s="564" t="s">
        <v>14430</v>
      </c>
      <c r="CX25" s="564" t="s">
        <v>9391</v>
      </c>
      <c r="DF25" s="564" t="s">
        <v>9392</v>
      </c>
    </row>
    <row r="26" spans="2:112" ht="12.75" x14ac:dyDescent="0.2">
      <c r="B26" s="34" t="s">
        <v>14432</v>
      </c>
      <c r="C26" s="66" t="str">
        <f t="shared" ca="1" si="24"/>
        <v>ESSENTIAL WORKERS AND RELATED GROUPS</v>
      </c>
      <c r="D26" s="16" t="e">
        <f>ROUNDUP($D7*Pop_EssentialWorkersAndRelatedGroups_Percent,0)</f>
        <v>#N/A</v>
      </c>
      <c r="E26" s="16" t="e">
        <f>D26</f>
        <v>#N/A</v>
      </c>
      <c r="F26" s="16" t="e">
        <f>ROUNDUP($F7*Pop_EssentialWorkersAndRelatedGroups_Percent,0)</f>
        <v>#N/A</v>
      </c>
      <c r="G26" s="16" t="e">
        <f>F26</f>
        <v>#N/A</v>
      </c>
      <c r="H26" s="16" t="e">
        <f>ROUNDUP($H7*Pop_EssentialWorkersAndRelatedGroups_Percent,0)</f>
        <v>#N/A</v>
      </c>
      <c r="I26" s="16" t="e">
        <f>H26</f>
        <v>#N/A</v>
      </c>
      <c r="J26" s="16"/>
      <c r="K26" s="16" t="str">
        <f ca="1">IF(OFFSET(Z26,0,Lang_Order*Lang__B1)="","",OFFSET(Z26,0,Lang_Order*Lang__B1))</f>
        <v>Work DM1 / DM2</v>
      </c>
      <c r="L26" s="567"/>
      <c r="M26" s="567"/>
      <c r="Q26" s="564" t="s">
        <v>14432</v>
      </c>
      <c r="R26" s="564" t="s">
        <v>3766</v>
      </c>
      <c r="Z26" s="564" t="s">
        <v>3013</v>
      </c>
      <c r="AE26" s="564" t="s">
        <v>14432</v>
      </c>
      <c r="AF26" s="564" t="s">
        <v>9393</v>
      </c>
      <c r="AN26" s="564" t="s">
        <v>9394</v>
      </c>
      <c r="AS26" s="564" t="s">
        <v>14432</v>
      </c>
      <c r="AT26" s="564" t="s">
        <v>9395</v>
      </c>
      <c r="BB26" s="564" t="s">
        <v>9396</v>
      </c>
      <c r="BG26" s="564" t="s">
        <v>14432</v>
      </c>
      <c r="BH26" s="564" t="s">
        <v>9397</v>
      </c>
      <c r="BP26" s="564" t="s">
        <v>9398</v>
      </c>
      <c r="BU26" s="564" t="s">
        <v>14432</v>
      </c>
      <c r="BV26" s="564" t="s">
        <v>9399</v>
      </c>
      <c r="CD26" s="564" t="s">
        <v>9400</v>
      </c>
      <c r="CI26" s="564" t="s">
        <v>14433</v>
      </c>
      <c r="CJ26" s="564" t="s">
        <v>9401</v>
      </c>
      <c r="CR26" s="564" t="s">
        <v>9402</v>
      </c>
      <c r="CW26" s="564" t="s">
        <v>14432</v>
      </c>
      <c r="CX26" s="564" t="s">
        <v>9403</v>
      </c>
      <c r="DF26" s="564" t="s">
        <v>9404</v>
      </c>
    </row>
    <row r="27" spans="2:112" s="463" customFormat="1" ht="12.75" x14ac:dyDescent="0.2">
      <c r="B27" s="34"/>
      <c r="C27" s="359" t="str">
        <f t="shared" ca="1" si="24"/>
        <v>AGE GROUPS AT HIGH RISK OF TRANSMITTING INFECTION</v>
      </c>
      <c r="D27" s="16" t="e">
        <f>ROUNDUP($D11*Pop_AgeGroupAtHighRiskofTransmission,0)</f>
        <v>#N/A</v>
      </c>
      <c r="E27" s="16" t="e">
        <f>D27</f>
        <v>#N/A</v>
      </c>
      <c r="F27" s="16" t="e">
        <f>ROUNDUP($F11*Pop_AgeGroupAtHighRiskofTransmission,0)</f>
        <v>#N/A</v>
      </c>
      <c r="G27" s="16" t="e">
        <f>F27</f>
        <v>#N/A</v>
      </c>
      <c r="H27" s="16" t="e">
        <f>ROUNDUP($H11*Pop_AgeGroupAtHighRiskofTransmission,0)</f>
        <v>#N/A</v>
      </c>
      <c r="I27" s="16" t="e">
        <f>H27</f>
        <v>#N/A</v>
      </c>
      <c r="J27" s="16"/>
      <c r="K27" s="16" t="str">
        <f ca="1">IF(OFFSET(Z27,0,Lang_Order*Lang__B1)="","",OFFSET(Z27,0,Lang_Order*Lang__B1))</f>
        <v>Voluntary DM1 / DM2</v>
      </c>
      <c r="L27" s="567"/>
      <c r="M27" s="567"/>
      <c r="O27" s="564"/>
      <c r="P27" s="564"/>
      <c r="Q27" s="564"/>
      <c r="R27" s="564" t="s">
        <v>4400</v>
      </c>
      <c r="S27" s="564"/>
      <c r="T27" s="564"/>
      <c r="U27" s="564"/>
      <c r="V27" s="564"/>
      <c r="W27" s="564"/>
      <c r="X27" s="564"/>
      <c r="Y27" s="564"/>
      <c r="Z27" s="564" t="s">
        <v>3014</v>
      </c>
      <c r="AA27" s="564"/>
      <c r="AB27" s="564"/>
      <c r="AC27" s="564"/>
      <c r="AD27" s="564"/>
      <c r="AE27" s="564"/>
      <c r="AF27" s="564" t="s">
        <v>9405</v>
      </c>
      <c r="AG27" s="564"/>
      <c r="AH27" s="564"/>
      <c r="AI27" s="564"/>
      <c r="AJ27" s="564"/>
      <c r="AK27" s="564"/>
      <c r="AL27" s="564"/>
      <c r="AM27" s="564"/>
      <c r="AN27" s="564" t="s">
        <v>9406</v>
      </c>
      <c r="AO27" s="564"/>
      <c r="AP27" s="564"/>
      <c r="AQ27" s="564"/>
      <c r="AR27" s="564"/>
      <c r="AS27" s="564"/>
      <c r="AT27" s="564" t="s">
        <v>9407</v>
      </c>
      <c r="AU27" s="564"/>
      <c r="AV27" s="564"/>
      <c r="AW27" s="564"/>
      <c r="AX27" s="564"/>
      <c r="AY27" s="564"/>
      <c r="AZ27" s="564"/>
      <c r="BA27" s="564"/>
      <c r="BB27" s="564" t="s">
        <v>9408</v>
      </c>
      <c r="BC27" s="564"/>
      <c r="BD27" s="564"/>
      <c r="BE27" s="564"/>
      <c r="BF27" s="564"/>
      <c r="BG27" s="564"/>
      <c r="BH27" s="564" t="s">
        <v>9409</v>
      </c>
      <c r="BI27" s="564"/>
      <c r="BJ27" s="564"/>
      <c r="BK27" s="564"/>
      <c r="BL27" s="564"/>
      <c r="BM27" s="564"/>
      <c r="BN27" s="564"/>
      <c r="BO27" s="564"/>
      <c r="BP27" s="564" t="s">
        <v>9410</v>
      </c>
      <c r="BQ27" s="564"/>
      <c r="BR27" s="564"/>
      <c r="BS27" s="564"/>
      <c r="BT27" s="564"/>
      <c r="BU27" s="564"/>
      <c r="BV27" s="564" t="s">
        <v>9411</v>
      </c>
      <c r="BW27" s="564"/>
      <c r="BX27" s="564"/>
      <c r="BY27" s="564"/>
      <c r="BZ27" s="564"/>
      <c r="CA27" s="564"/>
      <c r="CB27" s="564"/>
      <c r="CC27" s="564"/>
      <c r="CD27" s="564" t="s">
        <v>9412</v>
      </c>
      <c r="CE27" s="564"/>
      <c r="CF27" s="564"/>
      <c r="CG27" s="564"/>
      <c r="CH27" s="564"/>
      <c r="CI27" s="564"/>
      <c r="CJ27" s="564" t="s">
        <v>9413</v>
      </c>
      <c r="CK27" s="564"/>
      <c r="CL27" s="564"/>
      <c r="CM27" s="564"/>
      <c r="CN27" s="564"/>
      <c r="CO27" s="564"/>
      <c r="CP27" s="564"/>
      <c r="CQ27" s="564"/>
      <c r="CR27" s="564" t="s">
        <v>9414</v>
      </c>
      <c r="CS27" s="564"/>
      <c r="CT27" s="564"/>
      <c r="CU27" s="564"/>
      <c r="CV27" s="564"/>
      <c r="CW27" s="564"/>
      <c r="CX27" s="564" t="s">
        <v>6289</v>
      </c>
      <c r="CY27" s="564"/>
      <c r="CZ27" s="564"/>
      <c r="DA27" s="564"/>
      <c r="DB27" s="564"/>
      <c r="DC27" s="564"/>
      <c r="DD27" s="564"/>
      <c r="DE27" s="564"/>
      <c r="DF27" s="564" t="s">
        <v>9415</v>
      </c>
      <c r="DG27" s="564"/>
      <c r="DH27" s="564"/>
    </row>
    <row r="28" spans="2:112" s="299" customFormat="1" ht="12.75" x14ac:dyDescent="0.2">
      <c r="B28" s="34" t="s">
        <v>14434</v>
      </c>
      <c r="C28" s="92" t="str">
        <f t="shared" ca="1" si="24"/>
        <v>OLDER ADULTS</v>
      </c>
      <c r="D28" s="16"/>
      <c r="E28" s="16"/>
      <c r="F28" s="16"/>
      <c r="G28" s="16"/>
      <c r="H28" s="16"/>
      <c r="I28" s="16"/>
      <c r="L28" s="567"/>
      <c r="M28" s="567"/>
      <c r="O28" s="564"/>
      <c r="P28" s="564"/>
      <c r="Q28" s="564" t="s">
        <v>14434</v>
      </c>
      <c r="R28" s="564" t="s">
        <v>3772</v>
      </c>
      <c r="S28" s="564"/>
      <c r="T28" s="564"/>
      <c r="U28" s="564"/>
      <c r="V28" s="564"/>
      <c r="W28" s="564"/>
      <c r="X28" s="564"/>
      <c r="Y28" s="564"/>
      <c r="Z28" s="564"/>
      <c r="AA28" s="564"/>
      <c r="AB28" s="564"/>
      <c r="AC28" s="564"/>
      <c r="AD28" s="564"/>
      <c r="AE28" s="564" t="s">
        <v>14434</v>
      </c>
      <c r="AF28" s="564" t="s">
        <v>9416</v>
      </c>
      <c r="AG28" s="564"/>
      <c r="AH28" s="564"/>
      <c r="AI28" s="564"/>
      <c r="AJ28" s="564"/>
      <c r="AK28" s="564"/>
      <c r="AL28" s="564"/>
      <c r="AM28" s="564"/>
      <c r="AN28" s="564"/>
      <c r="AO28" s="564"/>
      <c r="AP28" s="564"/>
      <c r="AQ28" s="564"/>
      <c r="AR28" s="564"/>
      <c r="AS28" s="564" t="s">
        <v>14434</v>
      </c>
      <c r="AT28" s="564" t="s">
        <v>9417</v>
      </c>
      <c r="AU28" s="564"/>
      <c r="AV28" s="564"/>
      <c r="AW28" s="564"/>
      <c r="AX28" s="564"/>
      <c r="AY28" s="564"/>
      <c r="AZ28" s="564"/>
      <c r="BA28" s="564"/>
      <c r="BB28" s="564"/>
      <c r="BC28" s="564"/>
      <c r="BD28" s="564"/>
      <c r="BE28" s="564"/>
      <c r="BF28" s="564"/>
      <c r="BG28" s="564" t="s">
        <v>14434</v>
      </c>
      <c r="BH28" s="564" t="s">
        <v>9418</v>
      </c>
      <c r="BI28" s="564"/>
      <c r="BJ28" s="564"/>
      <c r="BK28" s="564"/>
      <c r="BL28" s="564"/>
      <c r="BM28" s="564"/>
      <c r="BN28" s="564"/>
      <c r="BO28" s="564"/>
      <c r="BP28" s="564"/>
      <c r="BQ28" s="564"/>
      <c r="BR28" s="564"/>
      <c r="BS28" s="564"/>
      <c r="BT28" s="564"/>
      <c r="BU28" s="564" t="s">
        <v>14434</v>
      </c>
      <c r="BV28" s="564" t="s">
        <v>9419</v>
      </c>
      <c r="BW28" s="564"/>
      <c r="BX28" s="564"/>
      <c r="BY28" s="564"/>
      <c r="BZ28" s="564"/>
      <c r="CA28" s="564"/>
      <c r="CB28" s="564"/>
      <c r="CC28" s="564"/>
      <c r="CD28" s="564"/>
      <c r="CE28" s="564"/>
      <c r="CF28" s="564"/>
      <c r="CG28" s="564"/>
      <c r="CH28" s="564"/>
      <c r="CI28" s="564" t="s">
        <v>14435</v>
      </c>
      <c r="CJ28" s="564" t="s">
        <v>9321</v>
      </c>
      <c r="CK28" s="564"/>
      <c r="CL28" s="564"/>
      <c r="CM28" s="564"/>
      <c r="CN28" s="564"/>
      <c r="CO28" s="564"/>
      <c r="CP28" s="564"/>
      <c r="CQ28" s="564"/>
      <c r="CR28" s="564"/>
      <c r="CS28" s="564"/>
      <c r="CT28" s="564"/>
      <c r="CU28" s="564"/>
      <c r="CV28" s="564"/>
      <c r="CW28" s="564" t="s">
        <v>14434</v>
      </c>
      <c r="CX28" s="564" t="s">
        <v>9322</v>
      </c>
      <c r="CY28" s="564"/>
      <c r="CZ28" s="564"/>
      <c r="DA28" s="564"/>
      <c r="DB28" s="564"/>
      <c r="DC28" s="564"/>
      <c r="DD28" s="564"/>
      <c r="DE28" s="564"/>
      <c r="DF28" s="564"/>
      <c r="DG28" s="564"/>
      <c r="DH28" s="564"/>
    </row>
    <row r="29" spans="2:112" ht="12.75" x14ac:dyDescent="0.2">
      <c r="B29" s="34"/>
      <c r="C29" s="23" t="str">
        <f t="shared" ca="1" si="24"/>
        <v>OLDER ADULTS in RESIDENTIAL INSTITUTIONS</v>
      </c>
      <c r="D29" s="16" t="e">
        <f>ROUNDUP($D10*Pop_OlderAdultsinResInsts_Percent,0)</f>
        <v>#N/A</v>
      </c>
      <c r="E29" s="16" t="e">
        <f t="shared" ref="E29:G30" si="25">D29</f>
        <v>#N/A</v>
      </c>
      <c r="F29" s="16" t="e">
        <f>ROUNDUP($F10*Pop_OlderAdultsinResInsts_Percent,0)</f>
        <v>#N/A</v>
      </c>
      <c r="G29" s="16" t="e">
        <f t="shared" si="25"/>
        <v>#N/A</v>
      </c>
      <c r="H29" s="16" t="e">
        <f>ROUNDUP($H10*Pop_OlderAdultsinResInsts_Percent,0)</f>
        <v>#N/A</v>
      </c>
      <c r="I29" s="16" t="e">
        <f>H29</f>
        <v>#N/A</v>
      </c>
      <c r="J29" s="16"/>
      <c r="K29" s="16" t="str">
        <f t="shared" ref="K29:K34" ca="1" si="26">IF(OFFSET(Z29,0,Lang_Order*Lang__B1)="","",OFFSET(Z29,0,Lang_Order*Lang__B1))</f>
        <v>DM3</v>
      </c>
      <c r="L29" s="567"/>
      <c r="M29" s="567"/>
      <c r="R29" s="564" t="s">
        <v>3774</v>
      </c>
      <c r="Z29" s="564" t="s">
        <v>1562</v>
      </c>
      <c r="AF29" s="564" t="s">
        <v>9420</v>
      </c>
      <c r="AN29" s="564" t="s">
        <v>9421</v>
      </c>
      <c r="AT29" s="564" t="s">
        <v>9422</v>
      </c>
      <c r="BB29" s="564" t="s">
        <v>9423</v>
      </c>
      <c r="BH29" s="564" t="s">
        <v>9424</v>
      </c>
      <c r="BP29" s="564" t="s">
        <v>9421</v>
      </c>
      <c r="BV29" s="564" t="s">
        <v>9425</v>
      </c>
      <c r="CD29" s="564" t="s">
        <v>9421</v>
      </c>
      <c r="CJ29" s="564" t="s">
        <v>9426</v>
      </c>
      <c r="CR29" s="564" t="s">
        <v>1562</v>
      </c>
      <c r="CX29" s="564" t="s">
        <v>9427</v>
      </c>
      <c r="DF29" s="564" t="s">
        <v>1562</v>
      </c>
    </row>
    <row r="30" spans="2:112" ht="12.75" x14ac:dyDescent="0.2">
      <c r="B30" s="34"/>
      <c r="C30" s="66" t="str">
        <f t="shared" ca="1" si="24"/>
        <v>AND, SOCIAL CARE WORKERS in RESIDENTIAL INSTITUTIONS</v>
      </c>
      <c r="D30" s="16" t="e">
        <f>ROUNDUP(IF(HR_Inst_Staff=0,0,D29/HR_Inst_Staff),0)</f>
        <v>#N/A</v>
      </c>
      <c r="E30" s="16" t="e">
        <f t="shared" si="25"/>
        <v>#N/A</v>
      </c>
      <c r="F30" s="16" t="e">
        <f>ROUNDUP(IF(HR_Inst_Staff=0,0,F29/HR_Inst_Staff),0)</f>
        <v>#N/A</v>
      </c>
      <c r="G30" s="16" t="e">
        <f t="shared" si="25"/>
        <v>#N/A</v>
      </c>
      <c r="H30" s="16" t="e">
        <f>ROUNDUP(IF(HR_Inst_Staff=0,0,H29/HR_Inst_Staff),0)</f>
        <v>#N/A</v>
      </c>
      <c r="I30" s="16" t="e">
        <f>H30</f>
        <v>#N/A</v>
      </c>
      <c r="J30" s="16"/>
      <c r="K30" s="16" t="str">
        <f t="shared" ca="1" si="26"/>
        <v>DM3</v>
      </c>
      <c r="L30" s="567"/>
      <c r="M30" s="567"/>
      <c r="R30" s="564" t="s">
        <v>3775</v>
      </c>
      <c r="Z30" s="564" t="s">
        <v>1562</v>
      </c>
      <c r="AF30" s="564" t="s">
        <v>9428</v>
      </c>
      <c r="AN30" s="564" t="s">
        <v>9421</v>
      </c>
      <c r="AT30" s="564" t="s">
        <v>9429</v>
      </c>
      <c r="BB30" s="564" t="s">
        <v>9423</v>
      </c>
      <c r="BH30" s="564" t="s">
        <v>9430</v>
      </c>
      <c r="BP30" s="564" t="s">
        <v>9421</v>
      </c>
      <c r="BV30" s="564" t="s">
        <v>9431</v>
      </c>
      <c r="CD30" s="564" t="s">
        <v>9421</v>
      </c>
      <c r="CJ30" s="564" t="s">
        <v>9432</v>
      </c>
      <c r="CR30" s="564" t="s">
        <v>1562</v>
      </c>
      <c r="CX30" s="564" t="s">
        <v>9433</v>
      </c>
      <c r="DF30" s="564" t="s">
        <v>1562</v>
      </c>
    </row>
    <row r="31" spans="2:112" ht="12.75" x14ac:dyDescent="0.2">
      <c r="B31" s="34"/>
      <c r="C31" s="23" t="str">
        <f t="shared" ca="1" si="24"/>
        <v>OLDER ADULTS in the community</v>
      </c>
      <c r="D31" s="16" t="e">
        <f>D19-D29</f>
        <v>#N/A</v>
      </c>
      <c r="E31" s="16" t="e">
        <f>D31</f>
        <v>#N/A</v>
      </c>
      <c r="F31" s="16" t="e">
        <f>F19-F29</f>
        <v>#N/A</v>
      </c>
      <c r="G31" s="16" t="e">
        <f>F31</f>
        <v>#N/A</v>
      </c>
      <c r="H31" s="16" t="e">
        <f>H19-H29</f>
        <v>#N/A</v>
      </c>
      <c r="I31" s="16" t="e">
        <f>H31</f>
        <v>#N/A</v>
      </c>
      <c r="J31" s="16"/>
      <c r="K31" s="16" t="str">
        <f t="shared" ca="1" si="26"/>
        <v>Voluntary DM1 / DM2</v>
      </c>
      <c r="L31" s="567"/>
      <c r="M31" s="567"/>
      <c r="R31" s="564" t="s">
        <v>3773</v>
      </c>
      <c r="Z31" s="564" t="s">
        <v>3014</v>
      </c>
      <c r="AF31" s="564" t="s">
        <v>9434</v>
      </c>
      <c r="AN31" s="564" t="s">
        <v>9406</v>
      </c>
      <c r="AT31" s="564" t="s">
        <v>9435</v>
      </c>
      <c r="BB31" s="564" t="s">
        <v>9408</v>
      </c>
      <c r="BH31" s="564" t="s">
        <v>9436</v>
      </c>
      <c r="BP31" s="564" t="s">
        <v>9410</v>
      </c>
      <c r="BV31" s="564" t="s">
        <v>9437</v>
      </c>
      <c r="CD31" s="564" t="s">
        <v>9412</v>
      </c>
      <c r="CJ31" s="564" t="s">
        <v>9438</v>
      </c>
      <c r="CR31" s="564" t="s">
        <v>9414</v>
      </c>
      <c r="CX31" s="564" t="s">
        <v>9439</v>
      </c>
      <c r="DF31" s="564" t="s">
        <v>9415</v>
      </c>
    </row>
    <row r="32" spans="2:112" ht="12.75" x14ac:dyDescent="0.2">
      <c r="B32" s="34"/>
      <c r="C32" s="23" t="str">
        <f t="shared" ca="1" si="24"/>
        <v>AND, their households members</v>
      </c>
      <c r="D32" s="16" t="e">
        <f>ROUNDUP(D31*HH_Additional_Vaccines,0)</f>
        <v>#N/A</v>
      </c>
      <c r="E32" s="16" t="e">
        <f>D32</f>
        <v>#N/A</v>
      </c>
      <c r="F32" s="16" t="e">
        <f>ROUNDUP(F31*HH_Additional_Vaccines,0)</f>
        <v>#N/A</v>
      </c>
      <c r="G32" s="16" t="e">
        <f>F32</f>
        <v>#N/A</v>
      </c>
      <c r="H32" s="16" t="e">
        <f>ROUNDUP(H31*HH_Additional_Vaccines,0)</f>
        <v>#N/A</v>
      </c>
      <c r="I32" s="16" t="e">
        <f>H32</f>
        <v>#N/A</v>
      </c>
      <c r="J32" s="16"/>
      <c r="K32" s="16" t="str">
        <f t="shared" ca="1" si="26"/>
        <v>Voluntary DM1 / DM2</v>
      </c>
      <c r="L32" s="567"/>
      <c r="M32" s="567"/>
      <c r="R32" s="564" t="s">
        <v>3790</v>
      </c>
      <c r="Z32" s="564" t="s">
        <v>3014</v>
      </c>
      <c r="AF32" s="564" t="s">
        <v>9440</v>
      </c>
      <c r="AN32" s="564" t="s">
        <v>9406</v>
      </c>
      <c r="AT32" s="564" t="s">
        <v>9441</v>
      </c>
      <c r="BB32" s="564" t="s">
        <v>9408</v>
      </c>
      <c r="BH32" s="564" t="s">
        <v>9442</v>
      </c>
      <c r="BP32" s="564" t="s">
        <v>9410</v>
      </c>
      <c r="BV32" s="564" t="s">
        <v>9443</v>
      </c>
      <c r="CD32" s="564" t="s">
        <v>9412</v>
      </c>
      <c r="CJ32" s="564" t="s">
        <v>9444</v>
      </c>
      <c r="CR32" s="564" t="s">
        <v>9414</v>
      </c>
      <c r="CX32" s="564" t="s">
        <v>9445</v>
      </c>
      <c r="DF32" s="564" t="s">
        <v>9415</v>
      </c>
    </row>
    <row r="33" spans="2:112" s="299" customFormat="1" ht="12.75" x14ac:dyDescent="0.2">
      <c r="B33" s="34"/>
      <c r="C33" s="66" t="str">
        <f t="shared" ca="1" si="24"/>
        <v>Hard-to-Reach OLDER ADULTS</v>
      </c>
      <c r="D33" s="16" t="e">
        <f>D13</f>
        <v>#N/A</v>
      </c>
      <c r="E33" s="16" t="e">
        <f>D33</f>
        <v>#N/A</v>
      </c>
      <c r="F33" s="16" t="e">
        <f>F13</f>
        <v>#N/A</v>
      </c>
      <c r="G33" s="16" t="e">
        <f t="shared" ref="G33" si="27">F33</f>
        <v>#N/A</v>
      </c>
      <c r="H33" s="16" t="e">
        <f>H13</f>
        <v>#N/A</v>
      </c>
      <c r="I33" s="16" t="e">
        <f t="shared" ref="I33:I34" si="28">H33</f>
        <v>#N/A</v>
      </c>
      <c r="J33" s="16"/>
      <c r="K33" s="16" t="str">
        <f t="shared" ca="1" si="26"/>
        <v>DM4</v>
      </c>
      <c r="L33" s="567"/>
      <c r="M33" s="567"/>
      <c r="O33" s="564"/>
      <c r="P33" s="564"/>
      <c r="Q33" s="564"/>
      <c r="R33" s="564" t="s">
        <v>3811</v>
      </c>
      <c r="S33" s="564"/>
      <c r="T33" s="564"/>
      <c r="U33" s="564"/>
      <c r="V33" s="564"/>
      <c r="W33" s="564"/>
      <c r="X33" s="564"/>
      <c r="Y33" s="564"/>
      <c r="Z33" s="564" t="s">
        <v>1561</v>
      </c>
      <c r="AA33" s="564"/>
      <c r="AB33" s="564"/>
      <c r="AC33" s="564"/>
      <c r="AD33" s="564"/>
      <c r="AE33" s="564"/>
      <c r="AF33" s="564" t="s">
        <v>9446</v>
      </c>
      <c r="AG33" s="564"/>
      <c r="AH33" s="564"/>
      <c r="AI33" s="564"/>
      <c r="AJ33" s="564"/>
      <c r="AK33" s="564"/>
      <c r="AL33" s="564"/>
      <c r="AM33" s="564"/>
      <c r="AN33" s="564" t="s">
        <v>9447</v>
      </c>
      <c r="AO33" s="564"/>
      <c r="AP33" s="564"/>
      <c r="AQ33" s="564"/>
      <c r="AR33" s="564"/>
      <c r="AS33" s="564"/>
      <c r="AT33" s="564" t="s">
        <v>9448</v>
      </c>
      <c r="AU33" s="564"/>
      <c r="AV33" s="564"/>
      <c r="AW33" s="564"/>
      <c r="AX33" s="564"/>
      <c r="AY33" s="564"/>
      <c r="AZ33" s="564"/>
      <c r="BA33" s="564"/>
      <c r="BB33" s="564" t="s">
        <v>9449</v>
      </c>
      <c r="BC33" s="564"/>
      <c r="BD33" s="564"/>
      <c r="BE33" s="564"/>
      <c r="BF33" s="564"/>
      <c r="BG33" s="564"/>
      <c r="BH33" s="564" t="s">
        <v>9450</v>
      </c>
      <c r="BI33" s="564"/>
      <c r="BJ33" s="564"/>
      <c r="BK33" s="564"/>
      <c r="BL33" s="564"/>
      <c r="BM33" s="564"/>
      <c r="BN33" s="564"/>
      <c r="BO33" s="564"/>
      <c r="BP33" s="564" t="s">
        <v>9447</v>
      </c>
      <c r="BQ33" s="564"/>
      <c r="BR33" s="564"/>
      <c r="BS33" s="564"/>
      <c r="BT33" s="564"/>
      <c r="BU33" s="564"/>
      <c r="BV33" s="564" t="s">
        <v>9451</v>
      </c>
      <c r="BW33" s="564"/>
      <c r="BX33" s="564"/>
      <c r="BY33" s="564"/>
      <c r="BZ33" s="564"/>
      <c r="CA33" s="564"/>
      <c r="CB33" s="564"/>
      <c r="CC33" s="564"/>
      <c r="CD33" s="564" t="s">
        <v>9447</v>
      </c>
      <c r="CE33" s="564"/>
      <c r="CF33" s="564"/>
      <c r="CG33" s="564"/>
      <c r="CH33" s="564"/>
      <c r="CI33" s="564"/>
      <c r="CJ33" s="564" t="s">
        <v>9452</v>
      </c>
      <c r="CK33" s="564"/>
      <c r="CL33" s="564"/>
      <c r="CM33" s="564"/>
      <c r="CN33" s="564"/>
      <c r="CO33" s="564"/>
      <c r="CP33" s="564"/>
      <c r="CQ33" s="564"/>
      <c r="CR33" s="564" t="s">
        <v>1561</v>
      </c>
      <c r="CS33" s="564"/>
      <c r="CT33" s="564"/>
      <c r="CU33" s="564"/>
      <c r="CV33" s="564"/>
      <c r="CW33" s="564"/>
      <c r="CX33" s="564" t="s">
        <v>9453</v>
      </c>
      <c r="CY33" s="564"/>
      <c r="CZ33" s="564"/>
      <c r="DA33" s="564"/>
      <c r="DB33" s="564"/>
      <c r="DC33" s="564"/>
      <c r="DD33" s="564"/>
      <c r="DE33" s="564"/>
      <c r="DF33" s="564" t="s">
        <v>1561</v>
      </c>
      <c r="DG33" s="564"/>
      <c r="DH33" s="564"/>
    </row>
    <row r="34" spans="2:112" s="299" customFormat="1" ht="12.75" x14ac:dyDescent="0.2">
      <c r="C34" s="23" t="str">
        <f t="shared" ca="1" si="24"/>
        <v>AND, their households members</v>
      </c>
      <c r="D34" s="16" t="e">
        <f>ROUNDUP(D33*HH_Additional_Vaccines,0)</f>
        <v>#N/A</v>
      </c>
      <c r="E34" s="16" t="e">
        <f>D34</f>
        <v>#N/A</v>
      </c>
      <c r="F34" s="16" t="e">
        <f>ROUNDUP(F33*HH_Additional_Vaccines,0)</f>
        <v>#N/A</v>
      </c>
      <c r="G34" s="16" t="e">
        <f t="shared" ref="G34" si="29">F34</f>
        <v>#N/A</v>
      </c>
      <c r="H34" s="16" t="e">
        <f>ROUNDUP(H33*HH_Additional_Vaccines,0)</f>
        <v>#N/A</v>
      </c>
      <c r="I34" s="16" t="e">
        <f t="shared" si="28"/>
        <v>#N/A</v>
      </c>
      <c r="K34" s="16" t="str">
        <f t="shared" ca="1" si="26"/>
        <v>DM4</v>
      </c>
      <c r="L34" s="567"/>
      <c r="M34" s="567"/>
      <c r="O34" s="564"/>
      <c r="P34" s="564"/>
      <c r="Q34" s="564"/>
      <c r="R34" s="564" t="s">
        <v>3790</v>
      </c>
      <c r="S34" s="564"/>
      <c r="T34" s="564"/>
      <c r="U34" s="564"/>
      <c r="V34" s="564"/>
      <c r="W34" s="564"/>
      <c r="X34" s="564"/>
      <c r="Y34" s="564"/>
      <c r="Z34" s="564" t="s">
        <v>1561</v>
      </c>
      <c r="AA34" s="564"/>
      <c r="AB34" s="564"/>
      <c r="AC34" s="564"/>
      <c r="AD34" s="564"/>
      <c r="AE34" s="564"/>
      <c r="AF34" s="564" t="s">
        <v>9440</v>
      </c>
      <c r="AG34" s="564"/>
      <c r="AH34" s="564"/>
      <c r="AI34" s="564"/>
      <c r="AJ34" s="564"/>
      <c r="AK34" s="564"/>
      <c r="AL34" s="564"/>
      <c r="AM34" s="564"/>
      <c r="AN34" s="564" t="s">
        <v>9447</v>
      </c>
      <c r="AO34" s="564"/>
      <c r="AP34" s="564"/>
      <c r="AQ34" s="564"/>
      <c r="AR34" s="564"/>
      <c r="AS34" s="564"/>
      <c r="AT34" s="564" t="s">
        <v>9441</v>
      </c>
      <c r="AU34" s="564"/>
      <c r="AV34" s="564"/>
      <c r="AW34" s="564"/>
      <c r="AX34" s="564"/>
      <c r="AY34" s="564"/>
      <c r="AZ34" s="564"/>
      <c r="BA34" s="564"/>
      <c r="BB34" s="564" t="s">
        <v>9449</v>
      </c>
      <c r="BC34" s="564"/>
      <c r="BD34" s="564"/>
      <c r="BE34" s="564"/>
      <c r="BF34" s="564"/>
      <c r="BG34" s="564"/>
      <c r="BH34" s="564" t="s">
        <v>9442</v>
      </c>
      <c r="BI34" s="564"/>
      <c r="BJ34" s="564"/>
      <c r="BK34" s="564"/>
      <c r="BL34" s="564"/>
      <c r="BM34" s="564"/>
      <c r="BN34" s="564"/>
      <c r="BO34" s="564"/>
      <c r="BP34" s="564" t="s">
        <v>9447</v>
      </c>
      <c r="BQ34" s="564"/>
      <c r="BR34" s="564"/>
      <c r="BS34" s="564"/>
      <c r="BT34" s="564"/>
      <c r="BU34" s="564"/>
      <c r="BV34" s="564" t="s">
        <v>9443</v>
      </c>
      <c r="BW34" s="564"/>
      <c r="BX34" s="564"/>
      <c r="BY34" s="564"/>
      <c r="BZ34" s="564"/>
      <c r="CA34" s="564"/>
      <c r="CB34" s="564"/>
      <c r="CC34" s="564"/>
      <c r="CD34" s="564" t="s">
        <v>9447</v>
      </c>
      <c r="CE34" s="564"/>
      <c r="CF34" s="564"/>
      <c r="CG34" s="564"/>
      <c r="CH34" s="564"/>
      <c r="CI34" s="564"/>
      <c r="CJ34" s="564" t="s">
        <v>9454</v>
      </c>
      <c r="CK34" s="564"/>
      <c r="CL34" s="564"/>
      <c r="CM34" s="564"/>
      <c r="CN34" s="564"/>
      <c r="CO34" s="564"/>
      <c r="CP34" s="564"/>
      <c r="CQ34" s="564"/>
      <c r="CR34" s="564" t="s">
        <v>1561</v>
      </c>
      <c r="CS34" s="564"/>
      <c r="CT34" s="564"/>
      <c r="CU34" s="564"/>
      <c r="CV34" s="564"/>
      <c r="CW34" s="564"/>
      <c r="CX34" s="564" t="s">
        <v>9445</v>
      </c>
      <c r="CY34" s="564"/>
      <c r="CZ34" s="564"/>
      <c r="DA34" s="564"/>
      <c r="DB34" s="564"/>
      <c r="DC34" s="564"/>
      <c r="DD34" s="564"/>
      <c r="DE34" s="564"/>
      <c r="DF34" s="564" t="s">
        <v>1561</v>
      </c>
      <c r="DG34" s="564"/>
      <c r="DH34" s="564"/>
    </row>
    <row r="35" spans="2:112" s="299" customFormat="1" ht="12.75" x14ac:dyDescent="0.2">
      <c r="D35" s="16"/>
      <c r="E35" s="16"/>
      <c r="F35" s="16"/>
      <c r="G35" s="16"/>
      <c r="H35" s="16"/>
      <c r="I35" s="16"/>
      <c r="L35" s="567"/>
      <c r="M35" s="567"/>
      <c r="O35" s="564"/>
      <c r="P35" s="564"/>
      <c r="Q35" s="564"/>
      <c r="R35" s="564"/>
      <c r="S35" s="564"/>
      <c r="T35" s="564"/>
      <c r="U35" s="564"/>
      <c r="V35" s="564"/>
      <c r="W35" s="564"/>
      <c r="X35" s="564"/>
      <c r="Y35" s="564"/>
      <c r="Z35" s="564"/>
      <c r="AA35" s="564"/>
      <c r="AB35" s="564"/>
      <c r="AC35" s="564"/>
      <c r="AD35" s="564"/>
      <c r="AE35" s="564"/>
      <c r="AF35" s="564"/>
      <c r="AG35" s="564"/>
      <c r="AH35" s="564"/>
      <c r="AI35" s="564"/>
      <c r="AJ35" s="564"/>
      <c r="AK35" s="564"/>
      <c r="AL35" s="564"/>
      <c r="AM35" s="564"/>
      <c r="AN35" s="564"/>
      <c r="AO35" s="564"/>
      <c r="AP35" s="564"/>
      <c r="AQ35" s="564"/>
      <c r="AR35" s="564"/>
      <c r="AS35" s="564"/>
      <c r="AT35" s="564"/>
      <c r="AU35" s="564"/>
      <c r="AV35" s="564"/>
      <c r="AW35" s="564"/>
      <c r="AX35" s="564"/>
      <c r="AY35" s="564"/>
      <c r="AZ35" s="564"/>
      <c r="BA35" s="564"/>
      <c r="BB35" s="564"/>
      <c r="BC35" s="564"/>
      <c r="BD35" s="564"/>
      <c r="BE35" s="564"/>
      <c r="BF35" s="564"/>
      <c r="BG35" s="564"/>
      <c r="BH35" s="564"/>
      <c r="BI35" s="564"/>
      <c r="BJ35" s="564"/>
      <c r="BK35" s="564"/>
      <c r="BL35" s="564"/>
      <c r="BM35" s="564"/>
      <c r="BN35" s="564"/>
      <c r="BO35" s="564"/>
      <c r="BP35" s="564"/>
      <c r="BQ35" s="564"/>
      <c r="BR35" s="564"/>
      <c r="BS35" s="564"/>
      <c r="BT35" s="564"/>
      <c r="BU35" s="564"/>
      <c r="BV35" s="564"/>
      <c r="BW35" s="564"/>
      <c r="BX35" s="564"/>
      <c r="BY35" s="564"/>
      <c r="BZ35" s="564"/>
      <c r="CA35" s="564"/>
      <c r="CB35" s="564"/>
      <c r="CC35" s="564"/>
      <c r="CD35" s="564"/>
      <c r="CE35" s="564"/>
      <c r="CF35" s="564"/>
      <c r="CG35" s="564"/>
      <c r="CH35" s="564"/>
      <c r="CI35" s="564"/>
      <c r="CJ35" s="564"/>
      <c r="CK35" s="564"/>
      <c r="CL35" s="564"/>
      <c r="CM35" s="564"/>
      <c r="CN35" s="564"/>
      <c r="CO35" s="564"/>
      <c r="CP35" s="564"/>
      <c r="CQ35" s="564"/>
      <c r="CR35" s="564"/>
      <c r="CS35" s="564"/>
      <c r="CT35" s="564"/>
      <c r="CU35" s="564"/>
      <c r="CV35" s="564"/>
      <c r="CW35" s="564"/>
      <c r="CX35" s="564"/>
      <c r="CY35" s="564"/>
      <c r="CZ35" s="564"/>
      <c r="DA35" s="564"/>
      <c r="DB35" s="564"/>
      <c r="DC35" s="564"/>
      <c r="DD35" s="564"/>
      <c r="DE35" s="564"/>
      <c r="DF35" s="564"/>
      <c r="DG35" s="564"/>
      <c r="DH35" s="564"/>
    </row>
    <row r="36" spans="2:112" s="299" customFormat="1" ht="25.5" x14ac:dyDescent="0.2">
      <c r="B36" s="34" t="s">
        <v>14436</v>
      </c>
      <c r="C36" s="339" t="str">
        <f t="shared" ref="C36:C41" ca="1" si="30">IF(OFFSET(R36,0,Lang_Order*Lang__B1)="","",OFFSET(R36,0,Lang_Order*Lang__B1))</f>
        <v>Sociodemographic groups at significantly higher risk of severe disease or death</v>
      </c>
      <c r="D36" s="16"/>
      <c r="E36" s="16"/>
      <c r="F36" s="16"/>
      <c r="G36" s="16"/>
      <c r="H36" s="16"/>
      <c r="I36" s="16"/>
      <c r="L36" s="567"/>
      <c r="M36" s="567"/>
      <c r="O36" s="564"/>
      <c r="P36" s="564"/>
      <c r="Q36" s="564" t="s">
        <v>14436</v>
      </c>
      <c r="R36" s="564" t="s">
        <v>3776</v>
      </c>
      <c r="S36" s="564"/>
      <c r="T36" s="564"/>
      <c r="U36" s="564"/>
      <c r="V36" s="564"/>
      <c r="W36" s="564"/>
      <c r="X36" s="564"/>
      <c r="Y36" s="564"/>
      <c r="Z36" s="564"/>
      <c r="AA36" s="564"/>
      <c r="AB36" s="564"/>
      <c r="AC36" s="564"/>
      <c r="AD36" s="564"/>
      <c r="AE36" s="564" t="s">
        <v>14436</v>
      </c>
      <c r="AF36" s="564" t="s">
        <v>9455</v>
      </c>
      <c r="AG36" s="564"/>
      <c r="AH36" s="564"/>
      <c r="AI36" s="564"/>
      <c r="AJ36" s="564"/>
      <c r="AK36" s="564"/>
      <c r="AL36" s="564"/>
      <c r="AM36" s="564"/>
      <c r="AN36" s="564"/>
      <c r="AO36" s="564"/>
      <c r="AP36" s="564"/>
      <c r="AQ36" s="564"/>
      <c r="AR36" s="564"/>
      <c r="AS36" s="564" t="s">
        <v>14436</v>
      </c>
      <c r="AT36" s="564" t="s">
        <v>9456</v>
      </c>
      <c r="AU36" s="564"/>
      <c r="AV36" s="564"/>
      <c r="AW36" s="564"/>
      <c r="AX36" s="564"/>
      <c r="AY36" s="564"/>
      <c r="AZ36" s="564"/>
      <c r="BA36" s="564"/>
      <c r="BB36" s="564"/>
      <c r="BC36" s="564"/>
      <c r="BD36" s="564"/>
      <c r="BE36" s="564"/>
      <c r="BF36" s="564"/>
      <c r="BG36" s="564" t="s">
        <v>14436</v>
      </c>
      <c r="BH36" s="564" t="s">
        <v>9457</v>
      </c>
      <c r="BI36" s="564"/>
      <c r="BJ36" s="564"/>
      <c r="BK36" s="564"/>
      <c r="BL36" s="564"/>
      <c r="BM36" s="564"/>
      <c r="BN36" s="564"/>
      <c r="BO36" s="564"/>
      <c r="BP36" s="564"/>
      <c r="BQ36" s="564"/>
      <c r="BR36" s="564"/>
      <c r="BS36" s="564"/>
      <c r="BT36" s="564"/>
      <c r="BU36" s="564" t="s">
        <v>14436</v>
      </c>
      <c r="BV36" s="564" t="s">
        <v>9458</v>
      </c>
      <c r="BW36" s="564"/>
      <c r="BX36" s="564"/>
      <c r="BY36" s="564"/>
      <c r="BZ36" s="564"/>
      <c r="CA36" s="564"/>
      <c r="CB36" s="564"/>
      <c r="CC36" s="564"/>
      <c r="CD36" s="564"/>
      <c r="CE36" s="564"/>
      <c r="CF36" s="564"/>
      <c r="CG36" s="564"/>
      <c r="CH36" s="564"/>
      <c r="CI36" s="564" t="s">
        <v>14437</v>
      </c>
      <c r="CJ36" s="564" t="s">
        <v>9459</v>
      </c>
      <c r="CK36" s="564"/>
      <c r="CL36" s="564"/>
      <c r="CM36" s="564"/>
      <c r="CN36" s="564"/>
      <c r="CO36" s="564"/>
      <c r="CP36" s="564"/>
      <c r="CQ36" s="564"/>
      <c r="CR36" s="564"/>
      <c r="CS36" s="564"/>
      <c r="CT36" s="564"/>
      <c r="CU36" s="564"/>
      <c r="CV36" s="564"/>
      <c r="CW36" s="564" t="s">
        <v>14436</v>
      </c>
      <c r="CX36" s="564" t="s">
        <v>9460</v>
      </c>
      <c r="CY36" s="564"/>
      <c r="CZ36" s="564"/>
      <c r="DA36" s="564"/>
      <c r="DB36" s="564"/>
      <c r="DC36" s="564"/>
      <c r="DD36" s="564"/>
      <c r="DE36" s="564"/>
      <c r="DF36" s="564"/>
      <c r="DG36" s="564"/>
      <c r="DH36" s="564"/>
    </row>
    <row r="37" spans="2:112" s="299" customFormat="1" ht="12.75" x14ac:dyDescent="0.2">
      <c r="C37" s="5" t="str">
        <f t="shared" ca="1" si="30"/>
        <v>… of which , easy-to-access</v>
      </c>
      <c r="D37" s="16" t="e">
        <f>ROUNDUP(Pop_Priorty_SocDem_Percent*D7,0)</f>
        <v>#N/A</v>
      </c>
      <c r="E37" s="16" t="e">
        <f>D37</f>
        <v>#N/A</v>
      </c>
      <c r="F37" s="16" t="e">
        <f>ROUNDUP(Pop_Priorty_SocDem_Percent*F7,0)</f>
        <v>#N/A</v>
      </c>
      <c r="G37" s="16" t="e">
        <f t="shared" ref="G37" si="31">F37</f>
        <v>#N/A</v>
      </c>
      <c r="H37" s="16" t="e">
        <f>ROUNDUP(Pop_Priorty_SocDem_Percent*H7,0)</f>
        <v>#N/A</v>
      </c>
      <c r="I37" s="16" t="e">
        <f t="shared" ref="I37" si="32">H37</f>
        <v>#N/A</v>
      </c>
      <c r="K37" s="16" t="str">
        <f ca="1">IF(OFFSET(Z37,0,Lang_Order*Lang__B1)="","",OFFSET(Z37,0,Lang_Order*Lang__B1))</f>
        <v>Voluntary DM1 / DM2</v>
      </c>
      <c r="L37" s="567"/>
      <c r="M37" s="567"/>
      <c r="O37" s="564"/>
      <c r="P37" s="564"/>
      <c r="Q37" s="564"/>
      <c r="R37" s="564" t="s">
        <v>3789</v>
      </c>
      <c r="S37" s="564"/>
      <c r="T37" s="564"/>
      <c r="U37" s="564"/>
      <c r="V37" s="564"/>
      <c r="W37" s="564"/>
      <c r="X37" s="564"/>
      <c r="Y37" s="564"/>
      <c r="Z37" s="564" t="s">
        <v>3014</v>
      </c>
      <c r="AA37" s="564"/>
      <c r="AB37" s="564"/>
      <c r="AC37" s="564"/>
      <c r="AD37" s="564"/>
      <c r="AE37" s="564"/>
      <c r="AF37" s="564" t="s">
        <v>9461</v>
      </c>
      <c r="AG37" s="564"/>
      <c r="AH37" s="564"/>
      <c r="AI37" s="564"/>
      <c r="AJ37" s="564"/>
      <c r="AK37" s="564"/>
      <c r="AL37" s="564"/>
      <c r="AM37" s="564"/>
      <c r="AN37" s="564" t="s">
        <v>9406</v>
      </c>
      <c r="AO37" s="564"/>
      <c r="AP37" s="564"/>
      <c r="AQ37" s="564"/>
      <c r="AR37" s="564"/>
      <c r="AS37" s="564"/>
      <c r="AT37" s="564" t="s">
        <v>9462</v>
      </c>
      <c r="AU37" s="564"/>
      <c r="AV37" s="564"/>
      <c r="AW37" s="564"/>
      <c r="AX37" s="564"/>
      <c r="AY37" s="564"/>
      <c r="AZ37" s="564"/>
      <c r="BA37" s="564"/>
      <c r="BB37" s="564" t="s">
        <v>9408</v>
      </c>
      <c r="BC37" s="564"/>
      <c r="BD37" s="564"/>
      <c r="BE37" s="564"/>
      <c r="BF37" s="564"/>
      <c r="BG37" s="564"/>
      <c r="BH37" s="564" t="s">
        <v>9463</v>
      </c>
      <c r="BI37" s="564"/>
      <c r="BJ37" s="564"/>
      <c r="BK37" s="564"/>
      <c r="BL37" s="564"/>
      <c r="BM37" s="564"/>
      <c r="BN37" s="564"/>
      <c r="BO37" s="564"/>
      <c r="BP37" s="564" t="s">
        <v>9410</v>
      </c>
      <c r="BQ37" s="564"/>
      <c r="BR37" s="564"/>
      <c r="BS37" s="564"/>
      <c r="BT37" s="564"/>
      <c r="BU37" s="564"/>
      <c r="BV37" s="564" t="s">
        <v>9464</v>
      </c>
      <c r="BW37" s="564"/>
      <c r="BX37" s="564"/>
      <c r="BY37" s="564"/>
      <c r="BZ37" s="564"/>
      <c r="CA37" s="564"/>
      <c r="CB37" s="564"/>
      <c r="CC37" s="564"/>
      <c r="CD37" s="564" t="s">
        <v>9412</v>
      </c>
      <c r="CE37" s="564"/>
      <c r="CF37" s="564"/>
      <c r="CG37" s="564"/>
      <c r="CH37" s="564"/>
      <c r="CI37" s="564"/>
      <c r="CJ37" s="564" t="s">
        <v>9465</v>
      </c>
      <c r="CK37" s="564"/>
      <c r="CL37" s="564"/>
      <c r="CM37" s="564"/>
      <c r="CN37" s="564"/>
      <c r="CO37" s="564"/>
      <c r="CP37" s="564"/>
      <c r="CQ37" s="564"/>
      <c r="CR37" s="564" t="s">
        <v>9414</v>
      </c>
      <c r="CS37" s="564"/>
      <c r="CT37" s="564"/>
      <c r="CU37" s="564"/>
      <c r="CV37" s="564"/>
      <c r="CW37" s="564"/>
      <c r="CX37" s="564" t="s">
        <v>9466</v>
      </c>
      <c r="CY37" s="564"/>
      <c r="CZ37" s="564"/>
      <c r="DA37" s="564"/>
      <c r="DB37" s="564"/>
      <c r="DC37" s="564"/>
      <c r="DD37" s="564"/>
      <c r="DE37" s="564"/>
      <c r="DF37" s="564" t="s">
        <v>9415</v>
      </c>
      <c r="DG37" s="564"/>
      <c r="DH37" s="564"/>
    </row>
    <row r="38" spans="2:112" ht="12.75" x14ac:dyDescent="0.2">
      <c r="B38" s="34"/>
      <c r="C38" s="66" t="str">
        <f t="shared" ca="1" si="30"/>
        <v>.. of which, living in RESIDENTIAL INSTITUTIONS</v>
      </c>
      <c r="D38" s="16" t="e">
        <f>ROUNDUP(D7*Pop_Priorty_SocDem_Res_Percent,0)</f>
        <v>#N/A</v>
      </c>
      <c r="E38" s="16" t="e">
        <f>D38</f>
        <v>#N/A</v>
      </c>
      <c r="F38" s="16" t="e">
        <f>ROUNDUP(F7*Pop_Priorty_SocDem_Res_Percent,0)</f>
        <v>#N/A</v>
      </c>
      <c r="G38" s="16" t="e">
        <f t="shared" ref="G38" si="33">F38</f>
        <v>#N/A</v>
      </c>
      <c r="H38" s="16" t="e">
        <f>ROUNDUP(H7*Pop_Priorty_SocDem_Res_Percent,0)</f>
        <v>#N/A</v>
      </c>
      <c r="I38" s="16" t="e">
        <f t="shared" ref="I38" si="34">H38</f>
        <v>#N/A</v>
      </c>
      <c r="J38" s="16"/>
      <c r="K38" s="16" t="str">
        <f ca="1">IF(OFFSET(Z38,0,Lang_Order*Lang__B1)="","",OFFSET(Z38,0,Lang_Order*Lang__B1))</f>
        <v>DM3</v>
      </c>
      <c r="L38" s="567"/>
      <c r="M38" s="567"/>
      <c r="R38" s="564" t="s">
        <v>3777</v>
      </c>
      <c r="Z38" s="564" t="s">
        <v>1562</v>
      </c>
      <c r="AF38" s="564" t="s">
        <v>9467</v>
      </c>
      <c r="AN38" s="564" t="s">
        <v>9421</v>
      </c>
      <c r="AT38" s="564" t="s">
        <v>9468</v>
      </c>
      <c r="BB38" s="564" t="s">
        <v>9423</v>
      </c>
      <c r="BH38" s="564" t="s">
        <v>9469</v>
      </c>
      <c r="BP38" s="564" t="s">
        <v>9421</v>
      </c>
      <c r="BV38" s="564" t="s">
        <v>9470</v>
      </c>
      <c r="CD38" s="564" t="s">
        <v>9421</v>
      </c>
      <c r="CJ38" s="564" t="s">
        <v>9471</v>
      </c>
      <c r="CR38" s="564" t="s">
        <v>1562</v>
      </c>
      <c r="CX38" s="564" t="s">
        <v>9472</v>
      </c>
      <c r="DF38" s="564" t="s">
        <v>1562</v>
      </c>
    </row>
    <row r="39" spans="2:112" ht="12.75" x14ac:dyDescent="0.2">
      <c r="B39" s="34"/>
      <c r="C39" s="66" t="str">
        <f t="shared" ca="1" si="30"/>
        <v>AND, STAFF in RESIDENTIAL INSTITUTIONS</v>
      </c>
      <c r="D39" s="16" t="e">
        <f>ROUNDUP(IF(LR_Inst_Staff=0,0,D38/LR_Inst_Staff),0)</f>
        <v>#N/A</v>
      </c>
      <c r="E39" s="16" t="e">
        <f>D39</f>
        <v>#N/A</v>
      </c>
      <c r="F39" s="16" t="e">
        <f>ROUNDUP(IF(LR_Inst_Staff=0,0,F38/LR_Inst_Staff),0)</f>
        <v>#N/A</v>
      </c>
      <c r="G39" s="16" t="e">
        <f>F39</f>
        <v>#N/A</v>
      </c>
      <c r="H39" s="16" t="e">
        <f>ROUNDUP(IF(LR_Inst_Staff=0,0,H38/LR_Inst_Staff),0)</f>
        <v>#N/A</v>
      </c>
      <c r="I39" s="16" t="e">
        <f>H39</f>
        <v>#N/A</v>
      </c>
      <c r="J39" s="16"/>
      <c r="K39" s="16" t="str">
        <f ca="1">IF(OFFSET(Z39,0,Lang_Order*Lang__B1)="","",OFFSET(Z39,0,Lang_Order*Lang__B1))</f>
        <v>DM3</v>
      </c>
      <c r="L39" s="567"/>
      <c r="M39" s="567"/>
      <c r="R39" s="564" t="s">
        <v>3778</v>
      </c>
      <c r="Z39" s="564" t="s">
        <v>1562</v>
      </c>
      <c r="AF39" s="564" t="s">
        <v>9473</v>
      </c>
      <c r="AN39" s="564" t="s">
        <v>9421</v>
      </c>
      <c r="AT39" s="564" t="s">
        <v>9474</v>
      </c>
      <c r="BB39" s="564" t="s">
        <v>9423</v>
      </c>
      <c r="BH39" s="564" t="s">
        <v>9475</v>
      </c>
      <c r="BP39" s="564" t="s">
        <v>9421</v>
      </c>
      <c r="BV39" s="564" t="s">
        <v>9476</v>
      </c>
      <c r="CD39" s="564" t="s">
        <v>9421</v>
      </c>
      <c r="CJ39" s="564" t="s">
        <v>9477</v>
      </c>
      <c r="CR39" s="564" t="s">
        <v>1562</v>
      </c>
      <c r="CX39" s="564" t="s">
        <v>9478</v>
      </c>
      <c r="DF39" s="564" t="s">
        <v>1562</v>
      </c>
    </row>
    <row r="40" spans="2:112" s="299" customFormat="1" ht="12.75" x14ac:dyDescent="0.2">
      <c r="B40" s="34"/>
      <c r="C40" s="66" t="str">
        <f t="shared" ca="1" si="30"/>
        <v>Special populations who are Hard-to-Reach</v>
      </c>
      <c r="D40" s="16" t="e">
        <f t="shared" ref="D40:I40" si="35">D16</f>
        <v>#N/A</v>
      </c>
      <c r="E40" s="16" t="e">
        <f t="shared" si="35"/>
        <v>#N/A</v>
      </c>
      <c r="F40" s="16" t="e">
        <f t="shared" si="35"/>
        <v>#N/A</v>
      </c>
      <c r="G40" s="16" t="e">
        <f t="shared" si="35"/>
        <v>#N/A</v>
      </c>
      <c r="H40" s="16" t="e">
        <f t="shared" si="35"/>
        <v>#N/A</v>
      </c>
      <c r="I40" s="16" t="e">
        <f t="shared" si="35"/>
        <v>#N/A</v>
      </c>
      <c r="J40" s="16"/>
      <c r="K40" s="16" t="str">
        <f ca="1">IF(OFFSET(Z40,0,Lang_Order*Lang__B1)="","",OFFSET(Z40,0,Lang_Order*Lang__B1))</f>
        <v>DM4</v>
      </c>
      <c r="L40" s="567"/>
      <c r="M40" s="567"/>
      <c r="O40" s="564"/>
      <c r="P40" s="564"/>
      <c r="Q40" s="564"/>
      <c r="R40" s="564" t="s">
        <v>3812</v>
      </c>
      <c r="S40" s="564"/>
      <c r="T40" s="564"/>
      <c r="U40" s="564"/>
      <c r="V40" s="564"/>
      <c r="W40" s="564"/>
      <c r="X40" s="564"/>
      <c r="Y40" s="564"/>
      <c r="Z40" s="564" t="s">
        <v>1561</v>
      </c>
      <c r="AA40" s="564"/>
      <c r="AB40" s="564"/>
      <c r="AC40" s="564"/>
      <c r="AD40" s="564"/>
      <c r="AE40" s="564"/>
      <c r="AF40" s="564" t="s">
        <v>9479</v>
      </c>
      <c r="AG40" s="564"/>
      <c r="AH40" s="564"/>
      <c r="AI40" s="564"/>
      <c r="AJ40" s="564"/>
      <c r="AK40" s="564"/>
      <c r="AL40" s="564"/>
      <c r="AM40" s="564"/>
      <c r="AN40" s="564" t="s">
        <v>9447</v>
      </c>
      <c r="AO40" s="564"/>
      <c r="AP40" s="564"/>
      <c r="AQ40" s="564"/>
      <c r="AR40" s="564"/>
      <c r="AS40" s="564"/>
      <c r="AT40" s="564" t="s">
        <v>9480</v>
      </c>
      <c r="AU40" s="564"/>
      <c r="AV40" s="564"/>
      <c r="AW40" s="564"/>
      <c r="AX40" s="564"/>
      <c r="AY40" s="564"/>
      <c r="AZ40" s="564"/>
      <c r="BA40" s="564"/>
      <c r="BB40" s="564" t="s">
        <v>9449</v>
      </c>
      <c r="BC40" s="564"/>
      <c r="BD40" s="564"/>
      <c r="BE40" s="564"/>
      <c r="BF40" s="564"/>
      <c r="BG40" s="564"/>
      <c r="BH40" s="564" t="s">
        <v>9481</v>
      </c>
      <c r="BI40" s="564"/>
      <c r="BJ40" s="564"/>
      <c r="BK40" s="564"/>
      <c r="BL40" s="564"/>
      <c r="BM40" s="564"/>
      <c r="BN40" s="564"/>
      <c r="BO40" s="564"/>
      <c r="BP40" s="564" t="s">
        <v>9447</v>
      </c>
      <c r="BQ40" s="564"/>
      <c r="BR40" s="564"/>
      <c r="BS40" s="564"/>
      <c r="BT40" s="564"/>
      <c r="BU40" s="564"/>
      <c r="BV40" s="564" t="s">
        <v>9482</v>
      </c>
      <c r="BW40" s="564"/>
      <c r="BX40" s="564"/>
      <c r="BY40" s="564"/>
      <c r="BZ40" s="564"/>
      <c r="CA40" s="564"/>
      <c r="CB40" s="564"/>
      <c r="CC40" s="564"/>
      <c r="CD40" s="564" t="s">
        <v>9447</v>
      </c>
      <c r="CE40" s="564"/>
      <c r="CF40" s="564"/>
      <c r="CG40" s="564"/>
      <c r="CH40" s="564"/>
      <c r="CI40" s="564"/>
      <c r="CJ40" s="564" t="s">
        <v>9483</v>
      </c>
      <c r="CK40" s="564"/>
      <c r="CL40" s="564"/>
      <c r="CM40" s="564"/>
      <c r="CN40" s="564"/>
      <c r="CO40" s="564"/>
      <c r="CP40" s="564"/>
      <c r="CQ40" s="564"/>
      <c r="CR40" s="564" t="s">
        <v>1561</v>
      </c>
      <c r="CS40" s="564"/>
      <c r="CT40" s="564"/>
      <c r="CU40" s="564"/>
      <c r="CV40" s="564"/>
      <c r="CW40" s="564"/>
      <c r="CX40" s="564" t="s">
        <v>9484</v>
      </c>
      <c r="CY40" s="564"/>
      <c r="CZ40" s="564"/>
      <c r="DA40" s="564"/>
      <c r="DB40" s="564"/>
      <c r="DC40" s="564"/>
      <c r="DD40" s="564"/>
      <c r="DE40" s="564"/>
      <c r="DF40" s="564" t="s">
        <v>1561</v>
      </c>
      <c r="DG40" s="564"/>
      <c r="DH40" s="564"/>
    </row>
    <row r="41" spans="2:112" s="299" customFormat="1" ht="12.75" x14ac:dyDescent="0.2">
      <c r="C41" s="376" t="str">
        <f t="shared" ca="1" si="30"/>
        <v>"Hard-to-Reach" but no other priority criteria</v>
      </c>
      <c r="D41" s="16" t="e">
        <f>D17</f>
        <v>#N/A</v>
      </c>
      <c r="E41" s="16" t="e">
        <f>D41</f>
        <v>#N/A</v>
      </c>
      <c r="F41" s="16" t="e">
        <f>F17</f>
        <v>#N/A</v>
      </c>
      <c r="G41" s="16" t="e">
        <f t="shared" ref="G41" si="36">F41</f>
        <v>#N/A</v>
      </c>
      <c r="H41" s="16" t="e">
        <f>H17</f>
        <v>#N/A</v>
      </c>
      <c r="I41" s="16" t="e">
        <f t="shared" ref="I41" si="37">H41</f>
        <v>#N/A</v>
      </c>
      <c r="K41" s="16" t="str">
        <f ca="1">IF(OFFSET(Z41,0,Lang_Order*Lang__B1)="","",OFFSET(Z41,0,Lang_Order*Lang__B1))</f>
        <v>DM4</v>
      </c>
      <c r="L41" s="567"/>
      <c r="M41" s="567"/>
      <c r="O41" s="564"/>
      <c r="P41" s="564"/>
      <c r="Q41" s="564"/>
      <c r="R41" s="564" t="s">
        <v>3813</v>
      </c>
      <c r="S41" s="564"/>
      <c r="T41" s="564"/>
      <c r="U41" s="564"/>
      <c r="V41" s="564"/>
      <c r="W41" s="564"/>
      <c r="X41" s="564"/>
      <c r="Y41" s="564"/>
      <c r="Z41" s="564" t="s">
        <v>1561</v>
      </c>
      <c r="AA41" s="564"/>
      <c r="AB41" s="564"/>
      <c r="AC41" s="564"/>
      <c r="AD41" s="564"/>
      <c r="AE41" s="564"/>
      <c r="AF41" s="564" t="s">
        <v>9485</v>
      </c>
      <c r="AG41" s="564"/>
      <c r="AH41" s="564"/>
      <c r="AI41" s="564"/>
      <c r="AJ41" s="564"/>
      <c r="AK41" s="564"/>
      <c r="AL41" s="564"/>
      <c r="AM41" s="564"/>
      <c r="AN41" s="564" t="s">
        <v>9447</v>
      </c>
      <c r="AO41" s="564"/>
      <c r="AP41" s="564"/>
      <c r="AQ41" s="564"/>
      <c r="AR41" s="564"/>
      <c r="AS41" s="564"/>
      <c r="AT41" s="564" t="s">
        <v>9486</v>
      </c>
      <c r="AU41" s="564"/>
      <c r="AV41" s="564"/>
      <c r="AW41" s="564"/>
      <c r="AX41" s="564"/>
      <c r="AY41" s="564"/>
      <c r="AZ41" s="564"/>
      <c r="BA41" s="564"/>
      <c r="BB41" s="564" t="s">
        <v>9449</v>
      </c>
      <c r="BC41" s="564"/>
      <c r="BD41" s="564"/>
      <c r="BE41" s="564"/>
      <c r="BF41" s="564"/>
      <c r="BG41" s="564"/>
      <c r="BH41" s="564" t="s">
        <v>9487</v>
      </c>
      <c r="BI41" s="564"/>
      <c r="BJ41" s="564"/>
      <c r="BK41" s="564"/>
      <c r="BL41" s="564"/>
      <c r="BM41" s="564"/>
      <c r="BN41" s="564"/>
      <c r="BO41" s="564"/>
      <c r="BP41" s="564" t="s">
        <v>9447</v>
      </c>
      <c r="BQ41" s="564"/>
      <c r="BR41" s="564"/>
      <c r="BS41" s="564"/>
      <c r="BT41" s="564"/>
      <c r="BU41" s="564"/>
      <c r="BV41" s="564" t="s">
        <v>9488</v>
      </c>
      <c r="BW41" s="564"/>
      <c r="BX41" s="564"/>
      <c r="BY41" s="564"/>
      <c r="BZ41" s="564"/>
      <c r="CA41" s="564"/>
      <c r="CB41" s="564"/>
      <c r="CC41" s="564"/>
      <c r="CD41" s="564" t="s">
        <v>9447</v>
      </c>
      <c r="CE41" s="564"/>
      <c r="CF41" s="564"/>
      <c r="CG41" s="564"/>
      <c r="CH41" s="564"/>
      <c r="CI41" s="564"/>
      <c r="CJ41" s="564" t="s">
        <v>9489</v>
      </c>
      <c r="CK41" s="564"/>
      <c r="CL41" s="564"/>
      <c r="CM41" s="564"/>
      <c r="CN41" s="564"/>
      <c r="CO41" s="564"/>
      <c r="CP41" s="564"/>
      <c r="CQ41" s="564"/>
      <c r="CR41" s="564" t="s">
        <v>1561</v>
      </c>
      <c r="CS41" s="564"/>
      <c r="CT41" s="564"/>
      <c r="CU41" s="564"/>
      <c r="CV41" s="564"/>
      <c r="CW41" s="564"/>
      <c r="CX41" s="564" t="s">
        <v>9490</v>
      </c>
      <c r="CY41" s="564"/>
      <c r="CZ41" s="564"/>
      <c r="DA41" s="564"/>
      <c r="DB41" s="564"/>
      <c r="DC41" s="564"/>
      <c r="DD41" s="564"/>
      <c r="DE41" s="564"/>
      <c r="DF41" s="564" t="s">
        <v>1561</v>
      </c>
      <c r="DG41" s="564"/>
      <c r="DH41" s="564"/>
    </row>
    <row r="42" spans="2:112" s="299" customFormat="1" ht="12.75" x14ac:dyDescent="0.2">
      <c r="C42" s="5"/>
      <c r="D42" s="16"/>
      <c r="E42" s="16"/>
      <c r="F42" s="16"/>
      <c r="G42" s="16"/>
      <c r="H42" s="16"/>
      <c r="I42" s="16"/>
      <c r="L42" s="567"/>
      <c r="M42" s="567"/>
      <c r="O42" s="564"/>
      <c r="P42" s="564"/>
      <c r="Q42" s="564"/>
      <c r="R42" s="564"/>
      <c r="S42" s="564"/>
      <c r="T42" s="564"/>
      <c r="U42" s="564"/>
      <c r="V42" s="564"/>
      <c r="W42" s="564"/>
      <c r="X42" s="564"/>
      <c r="Y42" s="564"/>
      <c r="Z42" s="564"/>
      <c r="AA42" s="564"/>
      <c r="AB42" s="564"/>
      <c r="AC42" s="564"/>
      <c r="AD42" s="564"/>
      <c r="AE42" s="564"/>
      <c r="AF42" s="564"/>
      <c r="AG42" s="564"/>
      <c r="AH42" s="564"/>
      <c r="AI42" s="564"/>
      <c r="AJ42" s="564"/>
      <c r="AK42" s="564"/>
      <c r="AL42" s="564"/>
      <c r="AM42" s="564"/>
      <c r="AN42" s="564"/>
      <c r="AO42" s="564"/>
      <c r="AP42" s="564"/>
      <c r="AQ42" s="564"/>
      <c r="AR42" s="564"/>
      <c r="AS42" s="564"/>
      <c r="AT42" s="564"/>
      <c r="AU42" s="564"/>
      <c r="AV42" s="564"/>
      <c r="AW42" s="564"/>
      <c r="AX42" s="564"/>
      <c r="AY42" s="564"/>
      <c r="AZ42" s="564"/>
      <c r="BA42" s="564"/>
      <c r="BB42" s="564"/>
      <c r="BC42" s="564"/>
      <c r="BD42" s="564"/>
      <c r="BE42" s="564"/>
      <c r="BF42" s="564"/>
      <c r="BG42" s="564"/>
      <c r="BH42" s="564"/>
      <c r="BI42" s="564"/>
      <c r="BJ42" s="564"/>
      <c r="BK42" s="564"/>
      <c r="BL42" s="564"/>
      <c r="BM42" s="564"/>
      <c r="BN42" s="564"/>
      <c r="BO42" s="564"/>
      <c r="BP42" s="564"/>
      <c r="BQ42" s="564"/>
      <c r="BR42" s="564"/>
      <c r="BS42" s="564"/>
      <c r="BT42" s="564"/>
      <c r="BU42" s="564"/>
      <c r="BV42" s="564"/>
      <c r="BW42" s="564"/>
      <c r="BX42" s="564"/>
      <c r="BY42" s="564"/>
      <c r="BZ42" s="564"/>
      <c r="CA42" s="564"/>
      <c r="CB42" s="564"/>
      <c r="CC42" s="564"/>
      <c r="CD42" s="564"/>
      <c r="CE42" s="564"/>
      <c r="CF42" s="564"/>
      <c r="CG42" s="564"/>
      <c r="CH42" s="564"/>
      <c r="CI42" s="564"/>
      <c r="CJ42" s="564"/>
      <c r="CK42" s="564"/>
      <c r="CL42" s="564"/>
      <c r="CM42" s="564"/>
      <c r="CN42" s="564"/>
      <c r="CO42" s="564"/>
      <c r="CP42" s="564"/>
      <c r="CQ42" s="564"/>
      <c r="CR42" s="564"/>
      <c r="CS42" s="564"/>
      <c r="CT42" s="564"/>
      <c r="CU42" s="564"/>
      <c r="CV42" s="564"/>
      <c r="CW42" s="564"/>
      <c r="CX42" s="564"/>
      <c r="CY42" s="564"/>
      <c r="CZ42" s="564"/>
      <c r="DA42" s="564"/>
      <c r="DB42" s="564"/>
      <c r="DC42" s="564"/>
      <c r="DD42" s="564"/>
      <c r="DE42" s="564"/>
      <c r="DF42" s="564"/>
      <c r="DG42" s="564"/>
      <c r="DH42" s="564"/>
    </row>
    <row r="43" spans="2:112" s="299" customFormat="1" ht="25.5" x14ac:dyDescent="0.2">
      <c r="B43" s="34" t="s">
        <v>14438</v>
      </c>
      <c r="C43" s="339" t="str">
        <f t="shared" ref="C43:C49" ca="1" si="38">IF(OFFSET(R43,0,Lang_Order*Lang__B1)="","",OFFSET(R43,0,Lang_Order*Lang__B1))</f>
        <v>Groups with comorbidities or health states determined to be at significantly higher risk of severe disease or death</v>
      </c>
      <c r="D43" s="16"/>
      <c r="E43" s="16"/>
      <c r="F43" s="16"/>
      <c r="G43" s="16"/>
      <c r="H43" s="16"/>
      <c r="I43" s="16"/>
      <c r="L43" s="567"/>
      <c r="M43" s="567"/>
      <c r="O43" s="564"/>
      <c r="P43" s="564"/>
      <c r="Q43" s="564" t="s">
        <v>14438</v>
      </c>
      <c r="R43" s="564" t="s">
        <v>3082</v>
      </c>
      <c r="S43" s="564"/>
      <c r="T43" s="564"/>
      <c r="U43" s="564"/>
      <c r="V43" s="564"/>
      <c r="W43" s="564"/>
      <c r="X43" s="564"/>
      <c r="Y43" s="564"/>
      <c r="Z43" s="564"/>
      <c r="AA43" s="564"/>
      <c r="AB43" s="564"/>
      <c r="AC43" s="564"/>
      <c r="AD43" s="564"/>
      <c r="AE43" s="564" t="s">
        <v>14438</v>
      </c>
      <c r="AF43" s="564" t="s">
        <v>9491</v>
      </c>
      <c r="AG43" s="564"/>
      <c r="AH43" s="564"/>
      <c r="AI43" s="564"/>
      <c r="AJ43" s="564"/>
      <c r="AK43" s="564"/>
      <c r="AL43" s="564"/>
      <c r="AM43" s="564"/>
      <c r="AN43" s="564"/>
      <c r="AO43" s="564"/>
      <c r="AP43" s="564"/>
      <c r="AQ43" s="564"/>
      <c r="AR43" s="564"/>
      <c r="AS43" s="564" t="s">
        <v>14438</v>
      </c>
      <c r="AT43" s="564" t="s">
        <v>9492</v>
      </c>
      <c r="AU43" s="564"/>
      <c r="AV43" s="564"/>
      <c r="AW43" s="564"/>
      <c r="AX43" s="564"/>
      <c r="AY43" s="564"/>
      <c r="AZ43" s="564"/>
      <c r="BA43" s="564"/>
      <c r="BB43" s="564"/>
      <c r="BC43" s="564"/>
      <c r="BD43" s="564"/>
      <c r="BE43" s="564"/>
      <c r="BF43" s="564"/>
      <c r="BG43" s="564" t="s">
        <v>14438</v>
      </c>
      <c r="BH43" s="564" t="s">
        <v>6640</v>
      </c>
      <c r="BI43" s="564"/>
      <c r="BJ43" s="564"/>
      <c r="BK43" s="564"/>
      <c r="BL43" s="564"/>
      <c r="BM43" s="564"/>
      <c r="BN43" s="564"/>
      <c r="BO43" s="564"/>
      <c r="BP43" s="564"/>
      <c r="BQ43" s="564"/>
      <c r="BR43" s="564"/>
      <c r="BS43" s="564"/>
      <c r="BT43" s="564"/>
      <c r="BU43" s="564" t="s">
        <v>14438</v>
      </c>
      <c r="BV43" s="564" t="s">
        <v>9493</v>
      </c>
      <c r="BW43" s="564"/>
      <c r="BX43" s="564"/>
      <c r="BY43" s="564"/>
      <c r="BZ43" s="564"/>
      <c r="CA43" s="564"/>
      <c r="CB43" s="564"/>
      <c r="CC43" s="564"/>
      <c r="CD43" s="564"/>
      <c r="CE43" s="564"/>
      <c r="CF43" s="564"/>
      <c r="CG43" s="564"/>
      <c r="CH43" s="564"/>
      <c r="CI43" s="564" t="s">
        <v>14438</v>
      </c>
      <c r="CJ43" s="564" t="s">
        <v>6642</v>
      </c>
      <c r="CK43" s="564"/>
      <c r="CL43" s="564"/>
      <c r="CM43" s="564"/>
      <c r="CN43" s="564"/>
      <c r="CO43" s="564"/>
      <c r="CP43" s="564"/>
      <c r="CQ43" s="564"/>
      <c r="CR43" s="564"/>
      <c r="CS43" s="564"/>
      <c r="CT43" s="564"/>
      <c r="CU43" s="564"/>
      <c r="CV43" s="564"/>
      <c r="CW43" s="564" t="s">
        <v>14438</v>
      </c>
      <c r="CX43" s="564" t="s">
        <v>6643</v>
      </c>
      <c r="CY43" s="564"/>
      <c r="CZ43" s="564"/>
      <c r="DA43" s="564"/>
      <c r="DB43" s="564"/>
      <c r="DC43" s="564"/>
      <c r="DD43" s="564"/>
      <c r="DE43" s="564"/>
      <c r="DF43" s="564"/>
      <c r="DG43" s="564"/>
      <c r="DH43" s="564"/>
    </row>
    <row r="44" spans="2:112" s="299" customFormat="1" ht="12.75" x14ac:dyDescent="0.2">
      <c r="C44" s="335" t="str">
        <f t="shared" ca="1" si="38"/>
        <v>Hard-to-Reach Underlying health conditions (not pregnant women)</v>
      </c>
      <c r="D44" s="16" t="e">
        <f>D14</f>
        <v>#N/A</v>
      </c>
      <c r="E44" s="16" t="e">
        <f>D44</f>
        <v>#N/A</v>
      </c>
      <c r="F44" s="16" t="e">
        <f>F14</f>
        <v>#N/A</v>
      </c>
      <c r="G44" s="16" t="e">
        <f t="shared" ref="G44" si="39">F44</f>
        <v>#N/A</v>
      </c>
      <c r="H44" s="16" t="e">
        <f>H14</f>
        <v>#N/A</v>
      </c>
      <c r="I44" s="16" t="e">
        <f>H44</f>
        <v>#N/A</v>
      </c>
      <c r="K44" s="16" t="str">
        <f t="shared" ref="K44:K49" ca="1" si="40">IF(OFFSET(Z44,0,Lang_Order*Lang__B1)="","",OFFSET(Z44,0,Lang_Order*Lang__B1))</f>
        <v>DM4</v>
      </c>
      <c r="L44" s="567"/>
      <c r="M44" s="567"/>
      <c r="O44" s="564"/>
      <c r="P44" s="564"/>
      <c r="Q44" s="564"/>
      <c r="R44" s="564" t="s">
        <v>3814</v>
      </c>
      <c r="S44" s="564"/>
      <c r="T44" s="564"/>
      <c r="U44" s="564"/>
      <c r="V44" s="564"/>
      <c r="W44" s="564"/>
      <c r="X44" s="564"/>
      <c r="Y44" s="564"/>
      <c r="Z44" s="564" t="s">
        <v>1561</v>
      </c>
      <c r="AA44" s="564"/>
      <c r="AB44" s="564"/>
      <c r="AC44" s="564"/>
      <c r="AD44" s="564"/>
      <c r="AE44" s="564"/>
      <c r="AF44" s="564" t="s">
        <v>9494</v>
      </c>
      <c r="AG44" s="564"/>
      <c r="AH44" s="564"/>
      <c r="AI44" s="564"/>
      <c r="AJ44" s="564"/>
      <c r="AK44" s="564"/>
      <c r="AL44" s="564"/>
      <c r="AM44" s="564"/>
      <c r="AN44" s="564" t="s">
        <v>9447</v>
      </c>
      <c r="AO44" s="564"/>
      <c r="AP44" s="564"/>
      <c r="AQ44" s="564"/>
      <c r="AR44" s="564"/>
      <c r="AS44" s="564"/>
      <c r="AT44" s="564" t="s">
        <v>9495</v>
      </c>
      <c r="AU44" s="564"/>
      <c r="AV44" s="564"/>
      <c r="AW44" s="564"/>
      <c r="AX44" s="564"/>
      <c r="AY44" s="564"/>
      <c r="AZ44" s="564"/>
      <c r="BA44" s="564"/>
      <c r="BB44" s="564" t="s">
        <v>9449</v>
      </c>
      <c r="BC44" s="564"/>
      <c r="BD44" s="564"/>
      <c r="BE44" s="564"/>
      <c r="BF44" s="564"/>
      <c r="BG44" s="564"/>
      <c r="BH44" s="564" t="s">
        <v>9496</v>
      </c>
      <c r="BI44" s="564"/>
      <c r="BJ44" s="564"/>
      <c r="BK44" s="564"/>
      <c r="BL44" s="564"/>
      <c r="BM44" s="564"/>
      <c r="BN44" s="564"/>
      <c r="BO44" s="564"/>
      <c r="BP44" s="564" t="s">
        <v>9447</v>
      </c>
      <c r="BQ44" s="564"/>
      <c r="BR44" s="564"/>
      <c r="BS44" s="564"/>
      <c r="BT44" s="564"/>
      <c r="BU44" s="564"/>
      <c r="BV44" s="564" t="s">
        <v>9497</v>
      </c>
      <c r="BW44" s="564"/>
      <c r="BX44" s="564"/>
      <c r="BY44" s="564"/>
      <c r="BZ44" s="564"/>
      <c r="CA44" s="564"/>
      <c r="CB44" s="564"/>
      <c r="CC44" s="564"/>
      <c r="CD44" s="564" t="s">
        <v>9447</v>
      </c>
      <c r="CE44" s="564"/>
      <c r="CF44" s="564"/>
      <c r="CG44" s="564"/>
      <c r="CH44" s="564"/>
      <c r="CI44" s="564"/>
      <c r="CJ44" s="564" t="s">
        <v>9498</v>
      </c>
      <c r="CK44" s="564"/>
      <c r="CL44" s="564"/>
      <c r="CM44" s="564"/>
      <c r="CN44" s="564"/>
      <c r="CO44" s="564"/>
      <c r="CP44" s="564"/>
      <c r="CQ44" s="564"/>
      <c r="CR44" s="564" t="s">
        <v>1561</v>
      </c>
      <c r="CS44" s="564"/>
      <c r="CT44" s="564"/>
      <c r="CU44" s="564"/>
      <c r="CV44" s="564"/>
      <c r="CW44" s="564"/>
      <c r="CX44" s="564" t="s">
        <v>9499</v>
      </c>
      <c r="CY44" s="564"/>
      <c r="CZ44" s="564"/>
      <c r="DA44" s="564"/>
      <c r="DB44" s="564"/>
      <c r="DC44" s="564"/>
      <c r="DD44" s="564"/>
      <c r="DE44" s="564"/>
      <c r="DF44" s="564" t="s">
        <v>1561</v>
      </c>
      <c r="DG44" s="564"/>
      <c r="DH44" s="564"/>
    </row>
    <row r="45" spans="2:112" s="299" customFormat="1" ht="12.75" x14ac:dyDescent="0.2">
      <c r="C45" s="23" t="str">
        <f t="shared" ca="1" si="38"/>
        <v>AND, their households members</v>
      </c>
      <c r="D45" s="16" t="e">
        <f>ROUNDUP(D44*HH_Additional_Vaccines,0)</f>
        <v>#N/A</v>
      </c>
      <c r="E45" s="16" t="e">
        <f t="shared" ref="E45:I45" si="41">D45</f>
        <v>#N/A</v>
      </c>
      <c r="F45" s="16" t="e">
        <f>ROUNDUP(F44*HH_Additional_Vaccines,0)</f>
        <v>#N/A</v>
      </c>
      <c r="G45" s="16" t="e">
        <f t="shared" si="41"/>
        <v>#N/A</v>
      </c>
      <c r="H45" s="16" t="e">
        <f>ROUNDUP(H44*HH_Additional_Vaccines,0)</f>
        <v>#N/A</v>
      </c>
      <c r="I45" s="16" t="e">
        <f t="shared" si="41"/>
        <v>#N/A</v>
      </c>
      <c r="K45" s="16" t="str">
        <f t="shared" ca="1" si="40"/>
        <v>DM4</v>
      </c>
      <c r="L45" s="567"/>
      <c r="M45" s="567"/>
      <c r="O45" s="564"/>
      <c r="P45" s="564"/>
      <c r="Q45" s="564"/>
      <c r="R45" s="564" t="s">
        <v>3790</v>
      </c>
      <c r="S45" s="564"/>
      <c r="T45" s="564"/>
      <c r="U45" s="564"/>
      <c r="V45" s="564"/>
      <c r="W45" s="564"/>
      <c r="X45" s="564"/>
      <c r="Y45" s="564"/>
      <c r="Z45" s="564" t="s">
        <v>1561</v>
      </c>
      <c r="AA45" s="564"/>
      <c r="AB45" s="564"/>
      <c r="AC45" s="564"/>
      <c r="AD45" s="564"/>
      <c r="AE45" s="564"/>
      <c r="AF45" s="564" t="s">
        <v>9440</v>
      </c>
      <c r="AG45" s="564"/>
      <c r="AH45" s="564"/>
      <c r="AI45" s="564"/>
      <c r="AJ45" s="564"/>
      <c r="AK45" s="564"/>
      <c r="AL45" s="564"/>
      <c r="AM45" s="564"/>
      <c r="AN45" s="564" t="s">
        <v>9447</v>
      </c>
      <c r="AO45" s="564"/>
      <c r="AP45" s="564"/>
      <c r="AQ45" s="564"/>
      <c r="AR45" s="564"/>
      <c r="AS45" s="564"/>
      <c r="AT45" s="564" t="s">
        <v>9441</v>
      </c>
      <c r="AU45" s="564"/>
      <c r="AV45" s="564"/>
      <c r="AW45" s="564"/>
      <c r="AX45" s="564"/>
      <c r="AY45" s="564"/>
      <c r="AZ45" s="564"/>
      <c r="BA45" s="564"/>
      <c r="BB45" s="564" t="s">
        <v>9449</v>
      </c>
      <c r="BC45" s="564"/>
      <c r="BD45" s="564"/>
      <c r="BE45" s="564"/>
      <c r="BF45" s="564"/>
      <c r="BG45" s="564"/>
      <c r="BH45" s="564" t="s">
        <v>9442</v>
      </c>
      <c r="BI45" s="564"/>
      <c r="BJ45" s="564"/>
      <c r="BK45" s="564"/>
      <c r="BL45" s="564"/>
      <c r="BM45" s="564"/>
      <c r="BN45" s="564"/>
      <c r="BO45" s="564"/>
      <c r="BP45" s="564" t="s">
        <v>9447</v>
      </c>
      <c r="BQ45" s="564"/>
      <c r="BR45" s="564"/>
      <c r="BS45" s="564"/>
      <c r="BT45" s="564"/>
      <c r="BU45" s="564"/>
      <c r="BV45" s="564" t="s">
        <v>9443</v>
      </c>
      <c r="BW45" s="564"/>
      <c r="BX45" s="564"/>
      <c r="BY45" s="564"/>
      <c r="BZ45" s="564"/>
      <c r="CA45" s="564"/>
      <c r="CB45" s="564"/>
      <c r="CC45" s="564"/>
      <c r="CD45" s="564" t="s">
        <v>9447</v>
      </c>
      <c r="CE45" s="564"/>
      <c r="CF45" s="564"/>
      <c r="CG45" s="564"/>
      <c r="CH45" s="564"/>
      <c r="CI45" s="564"/>
      <c r="CJ45" s="564" t="s">
        <v>9500</v>
      </c>
      <c r="CK45" s="564"/>
      <c r="CL45" s="564"/>
      <c r="CM45" s="564"/>
      <c r="CN45" s="564"/>
      <c r="CO45" s="564"/>
      <c r="CP45" s="564"/>
      <c r="CQ45" s="564"/>
      <c r="CR45" s="564" t="s">
        <v>1561</v>
      </c>
      <c r="CS45" s="564"/>
      <c r="CT45" s="564"/>
      <c r="CU45" s="564"/>
      <c r="CV45" s="564"/>
      <c r="CW45" s="564"/>
      <c r="CX45" s="564" t="s">
        <v>9445</v>
      </c>
      <c r="CY45" s="564"/>
      <c r="CZ45" s="564"/>
      <c r="DA45" s="564"/>
      <c r="DB45" s="564"/>
      <c r="DC45" s="564"/>
      <c r="DD45" s="564"/>
      <c r="DE45" s="564"/>
      <c r="DF45" s="564" t="s">
        <v>1561</v>
      </c>
      <c r="DG45" s="564"/>
      <c r="DH45" s="564"/>
    </row>
    <row r="46" spans="2:112" s="299" customFormat="1" ht="12.75" x14ac:dyDescent="0.2">
      <c r="C46" s="335" t="str">
        <f t="shared" ca="1" si="38"/>
        <v>Easier-to-Access Underlying health conditions (not pregnant women)</v>
      </c>
      <c r="D46" s="16" t="e">
        <f>D20</f>
        <v>#N/A</v>
      </c>
      <c r="E46" s="16" t="e">
        <f>D46</f>
        <v>#N/A</v>
      </c>
      <c r="F46" s="16" t="e">
        <f>F20</f>
        <v>#N/A</v>
      </c>
      <c r="G46" s="16" t="e">
        <f t="shared" ref="G46" si="42">F46</f>
        <v>#N/A</v>
      </c>
      <c r="H46" s="16" t="e">
        <f>H20</f>
        <v>#N/A</v>
      </c>
      <c r="I46" s="16" t="e">
        <f t="shared" ref="I46:I47" si="43">H46</f>
        <v>#N/A</v>
      </c>
      <c r="K46" s="16" t="str">
        <f t="shared" ca="1" si="40"/>
        <v>Voluntary DM1 / DM2</v>
      </c>
      <c r="L46" s="567"/>
      <c r="M46" s="567"/>
      <c r="O46" s="564"/>
      <c r="P46" s="564"/>
      <c r="Q46" s="564"/>
      <c r="R46" s="564" t="s">
        <v>3799</v>
      </c>
      <c r="S46" s="564"/>
      <c r="T46" s="564"/>
      <c r="U46" s="564"/>
      <c r="V46" s="564"/>
      <c r="W46" s="564"/>
      <c r="X46" s="564"/>
      <c r="Y46" s="564"/>
      <c r="Z46" s="564" t="s">
        <v>3014</v>
      </c>
      <c r="AA46" s="564"/>
      <c r="AB46" s="564"/>
      <c r="AC46" s="564"/>
      <c r="AD46" s="564"/>
      <c r="AE46" s="564"/>
      <c r="AF46" s="564" t="s">
        <v>9501</v>
      </c>
      <c r="AG46" s="564"/>
      <c r="AH46" s="564"/>
      <c r="AI46" s="564"/>
      <c r="AJ46" s="564"/>
      <c r="AK46" s="564"/>
      <c r="AL46" s="564"/>
      <c r="AM46" s="564"/>
      <c r="AN46" s="564" t="s">
        <v>9406</v>
      </c>
      <c r="AO46" s="564"/>
      <c r="AP46" s="564"/>
      <c r="AQ46" s="564"/>
      <c r="AR46" s="564"/>
      <c r="AS46" s="564"/>
      <c r="AT46" s="564" t="s">
        <v>9502</v>
      </c>
      <c r="AU46" s="564"/>
      <c r="AV46" s="564"/>
      <c r="AW46" s="564"/>
      <c r="AX46" s="564"/>
      <c r="AY46" s="564"/>
      <c r="AZ46" s="564"/>
      <c r="BA46" s="564"/>
      <c r="BB46" s="564" t="s">
        <v>9408</v>
      </c>
      <c r="BC46" s="564"/>
      <c r="BD46" s="564"/>
      <c r="BE46" s="564"/>
      <c r="BF46" s="564"/>
      <c r="BG46" s="564"/>
      <c r="BH46" s="564" t="s">
        <v>9503</v>
      </c>
      <c r="BI46" s="564"/>
      <c r="BJ46" s="564"/>
      <c r="BK46" s="564"/>
      <c r="BL46" s="564"/>
      <c r="BM46" s="564"/>
      <c r="BN46" s="564"/>
      <c r="BO46" s="564"/>
      <c r="BP46" s="564" t="s">
        <v>9410</v>
      </c>
      <c r="BQ46" s="564"/>
      <c r="BR46" s="564"/>
      <c r="BS46" s="564"/>
      <c r="BT46" s="564"/>
      <c r="BU46" s="564"/>
      <c r="BV46" s="564" t="s">
        <v>9504</v>
      </c>
      <c r="BW46" s="564"/>
      <c r="BX46" s="564"/>
      <c r="BY46" s="564"/>
      <c r="BZ46" s="564"/>
      <c r="CA46" s="564"/>
      <c r="CB46" s="564"/>
      <c r="CC46" s="564"/>
      <c r="CD46" s="564" t="s">
        <v>9412</v>
      </c>
      <c r="CE46" s="564"/>
      <c r="CF46" s="564"/>
      <c r="CG46" s="564"/>
      <c r="CH46" s="564"/>
      <c r="CI46" s="564"/>
      <c r="CJ46" s="564" t="s">
        <v>9505</v>
      </c>
      <c r="CK46" s="564"/>
      <c r="CL46" s="564"/>
      <c r="CM46" s="564"/>
      <c r="CN46" s="564"/>
      <c r="CO46" s="564"/>
      <c r="CP46" s="564"/>
      <c r="CQ46" s="564"/>
      <c r="CR46" s="564" t="s">
        <v>9414</v>
      </c>
      <c r="CS46" s="564"/>
      <c r="CT46" s="564"/>
      <c r="CU46" s="564"/>
      <c r="CV46" s="564"/>
      <c r="CW46" s="564"/>
      <c r="CX46" s="564" t="s">
        <v>9506</v>
      </c>
      <c r="CY46" s="564"/>
      <c r="CZ46" s="564"/>
      <c r="DA46" s="564"/>
      <c r="DB46" s="564"/>
      <c r="DC46" s="564"/>
      <c r="DD46" s="564"/>
      <c r="DE46" s="564"/>
      <c r="DF46" s="564" t="s">
        <v>9415</v>
      </c>
      <c r="DG46" s="564"/>
      <c r="DH46" s="564"/>
    </row>
    <row r="47" spans="2:112" s="299" customFormat="1" ht="12.75" x14ac:dyDescent="0.2">
      <c r="C47" s="23" t="str">
        <f t="shared" ca="1" si="38"/>
        <v>AND, their households members</v>
      </c>
      <c r="D47" s="16" t="e">
        <f>ROUNDUP(D46*HH_Additional_Vaccines,0)</f>
        <v>#N/A</v>
      </c>
      <c r="E47" s="16" t="e">
        <f t="shared" ref="E47" si="44">D47</f>
        <v>#N/A</v>
      </c>
      <c r="F47" s="16" t="e">
        <f>ROUNDUP(F46*HH_Additional_Vaccines,0)</f>
        <v>#N/A</v>
      </c>
      <c r="G47" s="16" t="e">
        <f t="shared" ref="G47" si="45">F47</f>
        <v>#N/A</v>
      </c>
      <c r="H47" s="16" t="e">
        <f>ROUNDUP(H46*HH_Additional_Vaccines,0)</f>
        <v>#N/A</v>
      </c>
      <c r="I47" s="16" t="e">
        <f t="shared" si="43"/>
        <v>#N/A</v>
      </c>
      <c r="K47" s="16" t="str">
        <f t="shared" ca="1" si="40"/>
        <v>Voluntary DM1 / DM2</v>
      </c>
      <c r="L47" s="567"/>
      <c r="M47" s="567"/>
      <c r="O47" s="564"/>
      <c r="P47" s="564"/>
      <c r="Q47" s="564"/>
      <c r="R47" s="564" t="s">
        <v>3790</v>
      </c>
      <c r="S47" s="564"/>
      <c r="T47" s="564"/>
      <c r="U47" s="564"/>
      <c r="V47" s="564"/>
      <c r="W47" s="564"/>
      <c r="X47" s="564"/>
      <c r="Y47" s="564"/>
      <c r="Z47" s="564" t="s">
        <v>3014</v>
      </c>
      <c r="AA47" s="564"/>
      <c r="AB47" s="564"/>
      <c r="AC47" s="564"/>
      <c r="AD47" s="564"/>
      <c r="AE47" s="564"/>
      <c r="AF47" s="564" t="s">
        <v>9440</v>
      </c>
      <c r="AG47" s="564"/>
      <c r="AH47" s="564"/>
      <c r="AI47" s="564"/>
      <c r="AJ47" s="564"/>
      <c r="AK47" s="564"/>
      <c r="AL47" s="564"/>
      <c r="AM47" s="564"/>
      <c r="AN47" s="564" t="s">
        <v>9406</v>
      </c>
      <c r="AO47" s="564"/>
      <c r="AP47" s="564"/>
      <c r="AQ47" s="564"/>
      <c r="AR47" s="564"/>
      <c r="AS47" s="564"/>
      <c r="AT47" s="564" t="s">
        <v>9441</v>
      </c>
      <c r="AU47" s="564"/>
      <c r="AV47" s="564"/>
      <c r="AW47" s="564"/>
      <c r="AX47" s="564"/>
      <c r="AY47" s="564"/>
      <c r="AZ47" s="564"/>
      <c r="BA47" s="564"/>
      <c r="BB47" s="564" t="s">
        <v>9408</v>
      </c>
      <c r="BC47" s="564"/>
      <c r="BD47" s="564"/>
      <c r="BE47" s="564"/>
      <c r="BF47" s="564"/>
      <c r="BG47" s="564"/>
      <c r="BH47" s="564" t="s">
        <v>9442</v>
      </c>
      <c r="BI47" s="564"/>
      <c r="BJ47" s="564"/>
      <c r="BK47" s="564"/>
      <c r="BL47" s="564"/>
      <c r="BM47" s="564"/>
      <c r="BN47" s="564"/>
      <c r="BO47" s="564"/>
      <c r="BP47" s="564" t="s">
        <v>9410</v>
      </c>
      <c r="BQ47" s="564"/>
      <c r="BR47" s="564"/>
      <c r="BS47" s="564"/>
      <c r="BT47" s="564"/>
      <c r="BU47" s="564"/>
      <c r="BV47" s="564" t="s">
        <v>9443</v>
      </c>
      <c r="BW47" s="564"/>
      <c r="BX47" s="564"/>
      <c r="BY47" s="564"/>
      <c r="BZ47" s="564"/>
      <c r="CA47" s="564"/>
      <c r="CB47" s="564"/>
      <c r="CC47" s="564"/>
      <c r="CD47" s="564" t="s">
        <v>9412</v>
      </c>
      <c r="CE47" s="564"/>
      <c r="CF47" s="564"/>
      <c r="CG47" s="564"/>
      <c r="CH47" s="564"/>
      <c r="CI47" s="564"/>
      <c r="CJ47" s="564" t="s">
        <v>9444</v>
      </c>
      <c r="CK47" s="564"/>
      <c r="CL47" s="564"/>
      <c r="CM47" s="564"/>
      <c r="CN47" s="564"/>
      <c r="CO47" s="564"/>
      <c r="CP47" s="564"/>
      <c r="CQ47" s="564"/>
      <c r="CR47" s="564" t="s">
        <v>9414</v>
      </c>
      <c r="CS47" s="564"/>
      <c r="CT47" s="564"/>
      <c r="CU47" s="564"/>
      <c r="CV47" s="564"/>
      <c r="CW47" s="564"/>
      <c r="CX47" s="564" t="s">
        <v>9445</v>
      </c>
      <c r="CY47" s="564"/>
      <c r="CZ47" s="564"/>
      <c r="DA47" s="564"/>
      <c r="DB47" s="564"/>
      <c r="DC47" s="564"/>
      <c r="DD47" s="564"/>
      <c r="DE47" s="564"/>
      <c r="DF47" s="564" t="s">
        <v>9415</v>
      </c>
      <c r="DG47" s="564"/>
      <c r="DH47" s="564"/>
    </row>
    <row r="48" spans="2:112" s="299" customFormat="1" ht="12.75" x14ac:dyDescent="0.2">
      <c r="C48" s="23" t="str">
        <f t="shared" ca="1" si="38"/>
        <v>Hard-to-Reach Pregnant Women</v>
      </c>
      <c r="D48" s="16" t="e">
        <f>D15</f>
        <v>#N/A</v>
      </c>
      <c r="E48" s="16" t="e">
        <f t="shared" ref="E48:I48" si="46">D48</f>
        <v>#N/A</v>
      </c>
      <c r="F48" s="16" t="e">
        <f>F15</f>
        <v>#N/A</v>
      </c>
      <c r="G48" s="16" t="e">
        <f t="shared" si="46"/>
        <v>#N/A</v>
      </c>
      <c r="H48" s="16" t="e">
        <f>H15</f>
        <v>#N/A</v>
      </c>
      <c r="I48" s="16" t="e">
        <f t="shared" si="46"/>
        <v>#N/A</v>
      </c>
      <c r="K48" s="16" t="str">
        <f t="shared" ca="1" si="40"/>
        <v>DM4</v>
      </c>
      <c r="L48" s="567"/>
      <c r="M48" s="567"/>
      <c r="O48" s="564"/>
      <c r="P48" s="564"/>
      <c r="Q48" s="564"/>
      <c r="R48" s="564" t="s">
        <v>3815</v>
      </c>
      <c r="S48" s="564"/>
      <c r="T48" s="564"/>
      <c r="U48" s="564"/>
      <c r="V48" s="564"/>
      <c r="W48" s="564"/>
      <c r="X48" s="564"/>
      <c r="Y48" s="564"/>
      <c r="Z48" s="564" t="s">
        <v>1561</v>
      </c>
      <c r="AA48" s="564"/>
      <c r="AB48" s="564"/>
      <c r="AC48" s="564"/>
      <c r="AD48" s="564"/>
      <c r="AE48" s="564"/>
      <c r="AF48" s="564" t="s">
        <v>9507</v>
      </c>
      <c r="AG48" s="564"/>
      <c r="AH48" s="564"/>
      <c r="AI48" s="564"/>
      <c r="AJ48" s="564"/>
      <c r="AK48" s="564"/>
      <c r="AL48" s="564"/>
      <c r="AM48" s="564"/>
      <c r="AN48" s="564" t="s">
        <v>9447</v>
      </c>
      <c r="AO48" s="564"/>
      <c r="AP48" s="564"/>
      <c r="AQ48" s="564"/>
      <c r="AR48" s="564"/>
      <c r="AS48" s="564"/>
      <c r="AT48" s="564" t="s">
        <v>9508</v>
      </c>
      <c r="AU48" s="564"/>
      <c r="AV48" s="564"/>
      <c r="AW48" s="564"/>
      <c r="AX48" s="564"/>
      <c r="AY48" s="564"/>
      <c r="AZ48" s="564"/>
      <c r="BA48" s="564"/>
      <c r="BB48" s="564" t="s">
        <v>9449</v>
      </c>
      <c r="BC48" s="564"/>
      <c r="BD48" s="564"/>
      <c r="BE48" s="564"/>
      <c r="BF48" s="564"/>
      <c r="BG48" s="564"/>
      <c r="BH48" s="564" t="s">
        <v>9509</v>
      </c>
      <c r="BI48" s="564"/>
      <c r="BJ48" s="564"/>
      <c r="BK48" s="564"/>
      <c r="BL48" s="564"/>
      <c r="BM48" s="564"/>
      <c r="BN48" s="564"/>
      <c r="BO48" s="564"/>
      <c r="BP48" s="564" t="s">
        <v>9447</v>
      </c>
      <c r="BQ48" s="564"/>
      <c r="BR48" s="564"/>
      <c r="BS48" s="564"/>
      <c r="BT48" s="564"/>
      <c r="BU48" s="564"/>
      <c r="BV48" s="564" t="s">
        <v>9510</v>
      </c>
      <c r="BW48" s="564"/>
      <c r="BX48" s="564"/>
      <c r="BY48" s="564"/>
      <c r="BZ48" s="564"/>
      <c r="CA48" s="564"/>
      <c r="CB48" s="564"/>
      <c r="CC48" s="564"/>
      <c r="CD48" s="564" t="s">
        <v>9447</v>
      </c>
      <c r="CE48" s="564"/>
      <c r="CF48" s="564"/>
      <c r="CG48" s="564"/>
      <c r="CH48" s="564"/>
      <c r="CI48" s="564"/>
      <c r="CJ48" s="564" t="s">
        <v>9511</v>
      </c>
      <c r="CK48" s="564"/>
      <c r="CL48" s="564"/>
      <c r="CM48" s="564"/>
      <c r="CN48" s="564"/>
      <c r="CO48" s="564"/>
      <c r="CP48" s="564"/>
      <c r="CQ48" s="564"/>
      <c r="CR48" s="564" t="s">
        <v>1561</v>
      </c>
      <c r="CS48" s="564"/>
      <c r="CT48" s="564"/>
      <c r="CU48" s="564"/>
      <c r="CV48" s="564"/>
      <c r="CW48" s="564"/>
      <c r="CX48" s="564" t="s">
        <v>9512</v>
      </c>
      <c r="CY48" s="564"/>
      <c r="CZ48" s="564"/>
      <c r="DA48" s="564"/>
      <c r="DB48" s="564"/>
      <c r="DC48" s="564"/>
      <c r="DD48" s="564"/>
      <c r="DE48" s="564"/>
      <c r="DF48" s="564" t="s">
        <v>1561</v>
      </c>
      <c r="DG48" s="564"/>
      <c r="DH48" s="564"/>
    </row>
    <row r="49" spans="1:112" s="299" customFormat="1" ht="12.75" x14ac:dyDescent="0.2">
      <c r="C49" s="23" t="str">
        <f t="shared" ca="1" si="38"/>
        <v>Easy-to-access Pregnant women</v>
      </c>
      <c r="D49" s="16" t="e">
        <f>D21</f>
        <v>#N/A</v>
      </c>
      <c r="E49" s="16" t="e">
        <f t="shared" ref="E49:I49" si="47">D49</f>
        <v>#N/A</v>
      </c>
      <c r="F49" s="16" t="e">
        <f t="shared" ref="F49" si="48">F21</f>
        <v>#N/A</v>
      </c>
      <c r="G49" s="16" t="e">
        <f t="shared" si="47"/>
        <v>#N/A</v>
      </c>
      <c r="H49" s="16" t="e">
        <f t="shared" ref="H49" si="49">H21</f>
        <v>#N/A</v>
      </c>
      <c r="I49" s="16" t="e">
        <f t="shared" si="47"/>
        <v>#N/A</v>
      </c>
      <c r="K49" s="16" t="str">
        <f t="shared" ca="1" si="40"/>
        <v>Voluntary DM1 / DM2</v>
      </c>
      <c r="L49" s="567"/>
      <c r="M49" s="567"/>
      <c r="O49" s="564"/>
      <c r="P49" s="564"/>
      <c r="Q49" s="564"/>
      <c r="R49" s="564" t="s">
        <v>3791</v>
      </c>
      <c r="S49" s="564"/>
      <c r="T49" s="564"/>
      <c r="U49" s="564"/>
      <c r="V49" s="564"/>
      <c r="W49" s="564"/>
      <c r="X49" s="564"/>
      <c r="Y49" s="564"/>
      <c r="Z49" s="564" t="s">
        <v>3014</v>
      </c>
      <c r="AA49" s="564"/>
      <c r="AB49" s="564"/>
      <c r="AC49" s="564"/>
      <c r="AD49" s="564"/>
      <c r="AE49" s="564"/>
      <c r="AF49" s="564" t="s">
        <v>9513</v>
      </c>
      <c r="AG49" s="564"/>
      <c r="AH49" s="564"/>
      <c r="AI49" s="564"/>
      <c r="AJ49" s="564"/>
      <c r="AK49" s="564"/>
      <c r="AL49" s="564"/>
      <c r="AM49" s="564"/>
      <c r="AN49" s="564" t="s">
        <v>9406</v>
      </c>
      <c r="AO49" s="564"/>
      <c r="AP49" s="564"/>
      <c r="AQ49" s="564"/>
      <c r="AR49" s="564"/>
      <c r="AS49" s="564"/>
      <c r="AT49" s="564" t="s">
        <v>9514</v>
      </c>
      <c r="AU49" s="564"/>
      <c r="AV49" s="564"/>
      <c r="AW49" s="564"/>
      <c r="AX49" s="564"/>
      <c r="AY49" s="564"/>
      <c r="AZ49" s="564"/>
      <c r="BA49" s="564"/>
      <c r="BB49" s="564" t="s">
        <v>9408</v>
      </c>
      <c r="BC49" s="564"/>
      <c r="BD49" s="564"/>
      <c r="BE49" s="564"/>
      <c r="BF49" s="564"/>
      <c r="BG49" s="564"/>
      <c r="BH49" s="564" t="s">
        <v>9515</v>
      </c>
      <c r="BI49" s="564"/>
      <c r="BJ49" s="564"/>
      <c r="BK49" s="564"/>
      <c r="BL49" s="564"/>
      <c r="BM49" s="564"/>
      <c r="BN49" s="564"/>
      <c r="BO49" s="564"/>
      <c r="BP49" s="564" t="s">
        <v>9410</v>
      </c>
      <c r="BQ49" s="564"/>
      <c r="BR49" s="564"/>
      <c r="BS49" s="564"/>
      <c r="BT49" s="564"/>
      <c r="BU49" s="564"/>
      <c r="BV49" s="564" t="s">
        <v>9516</v>
      </c>
      <c r="BW49" s="564"/>
      <c r="BX49" s="564"/>
      <c r="BY49" s="564"/>
      <c r="BZ49" s="564"/>
      <c r="CA49" s="564"/>
      <c r="CB49" s="564"/>
      <c r="CC49" s="564"/>
      <c r="CD49" s="564" t="s">
        <v>9412</v>
      </c>
      <c r="CE49" s="564"/>
      <c r="CF49" s="564"/>
      <c r="CG49" s="564"/>
      <c r="CH49" s="564"/>
      <c r="CI49" s="564"/>
      <c r="CJ49" s="564" t="s">
        <v>9517</v>
      </c>
      <c r="CK49" s="564"/>
      <c r="CL49" s="564"/>
      <c r="CM49" s="564"/>
      <c r="CN49" s="564"/>
      <c r="CO49" s="564"/>
      <c r="CP49" s="564"/>
      <c r="CQ49" s="564"/>
      <c r="CR49" s="564" t="s">
        <v>9414</v>
      </c>
      <c r="CS49" s="564"/>
      <c r="CT49" s="564"/>
      <c r="CU49" s="564"/>
      <c r="CV49" s="564"/>
      <c r="CW49" s="564"/>
      <c r="CX49" s="564" t="s">
        <v>9518</v>
      </c>
      <c r="CY49" s="564"/>
      <c r="CZ49" s="564"/>
      <c r="DA49" s="564"/>
      <c r="DB49" s="564"/>
      <c r="DC49" s="564"/>
      <c r="DD49" s="564"/>
      <c r="DE49" s="564"/>
      <c r="DF49" s="564" t="s">
        <v>9415</v>
      </c>
      <c r="DG49" s="564"/>
      <c r="DH49" s="564"/>
    </row>
    <row r="50" spans="1:112" s="299" customFormat="1" ht="12.75" x14ac:dyDescent="0.2">
      <c r="C50" s="5"/>
      <c r="D50" s="16"/>
      <c r="E50" s="16"/>
      <c r="F50" s="16"/>
      <c r="G50" s="16"/>
      <c r="H50" s="16"/>
      <c r="I50" s="16"/>
      <c r="L50" s="567"/>
      <c r="M50" s="567"/>
      <c r="O50" s="564"/>
      <c r="P50" s="564"/>
      <c r="Q50" s="564"/>
      <c r="R50" s="564"/>
      <c r="S50" s="564"/>
      <c r="T50" s="564"/>
      <c r="U50" s="564"/>
      <c r="V50" s="564"/>
      <c r="W50" s="564"/>
      <c r="X50" s="564"/>
      <c r="Y50" s="564"/>
      <c r="Z50" s="564"/>
      <c r="AA50" s="564"/>
      <c r="AB50" s="564"/>
      <c r="AC50" s="564"/>
      <c r="AD50" s="564"/>
      <c r="AE50" s="564"/>
      <c r="AF50" s="564"/>
      <c r="AG50" s="564"/>
      <c r="AH50" s="564"/>
      <c r="AI50" s="564"/>
      <c r="AJ50" s="564"/>
      <c r="AK50" s="564"/>
      <c r="AL50" s="564"/>
      <c r="AM50" s="564"/>
      <c r="AN50" s="564"/>
      <c r="AO50" s="564"/>
      <c r="AP50" s="564"/>
      <c r="AQ50" s="564"/>
      <c r="AR50" s="564"/>
      <c r="AS50" s="564"/>
      <c r="AT50" s="564"/>
      <c r="AU50" s="564"/>
      <c r="AV50" s="564"/>
      <c r="AW50" s="564"/>
      <c r="AX50" s="564"/>
      <c r="AY50" s="564"/>
      <c r="AZ50" s="564"/>
      <c r="BA50" s="564"/>
      <c r="BB50" s="564"/>
      <c r="BC50" s="564"/>
      <c r="BD50" s="564"/>
      <c r="BE50" s="564"/>
      <c r="BF50" s="564"/>
      <c r="BG50" s="564"/>
      <c r="BH50" s="564"/>
      <c r="BI50" s="564"/>
      <c r="BJ50" s="564"/>
      <c r="BK50" s="564"/>
      <c r="BL50" s="564"/>
      <c r="BM50" s="564"/>
      <c r="BN50" s="564"/>
      <c r="BO50" s="564"/>
      <c r="BP50" s="564"/>
      <c r="BQ50" s="564"/>
      <c r="BR50" s="564"/>
      <c r="BS50" s="564"/>
      <c r="BT50" s="564"/>
      <c r="BU50" s="564"/>
      <c r="BV50" s="564"/>
      <c r="BW50" s="564"/>
      <c r="BX50" s="564"/>
      <c r="BY50" s="564"/>
      <c r="BZ50" s="564"/>
      <c r="CA50" s="564"/>
      <c r="CB50" s="564"/>
      <c r="CC50" s="564"/>
      <c r="CD50" s="564"/>
      <c r="CE50" s="564"/>
      <c r="CF50" s="564"/>
      <c r="CG50" s="564"/>
      <c r="CH50" s="564"/>
      <c r="CI50" s="564"/>
      <c r="CJ50" s="564"/>
      <c r="CK50" s="564"/>
      <c r="CL50" s="564"/>
      <c r="CM50" s="564"/>
      <c r="CN50" s="564"/>
      <c r="CO50" s="564"/>
      <c r="CP50" s="564"/>
      <c r="CQ50" s="564"/>
      <c r="CR50" s="564"/>
      <c r="CS50" s="564"/>
      <c r="CT50" s="564"/>
      <c r="CU50" s="564"/>
      <c r="CV50" s="564"/>
      <c r="CW50" s="564"/>
      <c r="CX50" s="564"/>
      <c r="CY50" s="564"/>
      <c r="CZ50" s="564"/>
      <c r="DA50" s="564"/>
      <c r="DB50" s="564"/>
      <c r="DC50" s="564"/>
      <c r="DD50" s="564"/>
      <c r="DE50" s="564"/>
      <c r="DF50" s="564"/>
      <c r="DG50" s="564"/>
      <c r="DH50" s="564"/>
    </row>
    <row r="51" spans="1:112" s="299" customFormat="1" ht="12.75" x14ac:dyDescent="0.2">
      <c r="B51" s="340" t="str">
        <f ca="1">IF(OFFSET(Q51,0,Lang_Order*Lang__B1)="","",OFFSET(Q51,0,Lang_Order*Lang__B1))</f>
        <v>Infer</v>
      </c>
      <c r="C51" s="51" t="str">
        <f ca="1">IF(OFFSET(R51,0,Lang_Order*Lang__B1)="","",OFFSET(R51,0,Lang_Order*Lang__B1))</f>
        <v>Remainder with no high-priority qualifying conditions</v>
      </c>
      <c r="D51" s="16" t="e">
        <f t="shared" ref="D51:I51" si="50">D7-SUM(D25:D49)</f>
        <v>#N/A</v>
      </c>
      <c r="E51" s="16" t="e">
        <f t="shared" si="50"/>
        <v>#N/A</v>
      </c>
      <c r="F51" s="16" t="e">
        <f t="shared" si="50"/>
        <v>#N/A</v>
      </c>
      <c r="G51" s="16" t="e">
        <f t="shared" si="50"/>
        <v>#N/A</v>
      </c>
      <c r="H51" s="16" t="e">
        <f t="shared" si="50"/>
        <v>#N/A</v>
      </c>
      <c r="I51" s="16" t="e">
        <f t="shared" si="50"/>
        <v>#N/A</v>
      </c>
      <c r="J51" s="233" t="e">
        <f>IF(MIN(D51:I51)&lt;0,Lang_CHECK,"OK")</f>
        <v>#N/A</v>
      </c>
      <c r="K51" s="16" t="str">
        <f ca="1">IF(OFFSET(Z51,0,Lang_Order*Lang__B1)="","",OFFSET(Z51,0,Lang_Order*Lang__B1))</f>
        <v>Voluntary DM1 / DM2</v>
      </c>
      <c r="L51" s="12" t="str">
        <f ca="1">IF(OFFSET(AA51,0,Lang_Order*Lang__B1)="","",OFFSET(AA51,0,Lang_Order*Lang__B1))</f>
        <v>Ensure no negative number</v>
      </c>
      <c r="M51" s="12"/>
      <c r="N51" s="233" t="e">
        <f>IF(MIN(D51:I51)&lt;0,Lang_CHECK,"OK")</f>
        <v>#N/A</v>
      </c>
      <c r="O51" s="564"/>
      <c r="P51" s="564"/>
      <c r="Q51" s="564" t="s">
        <v>3795</v>
      </c>
      <c r="R51" s="564" t="s">
        <v>3794</v>
      </c>
      <c r="S51" s="564"/>
      <c r="T51" s="564"/>
      <c r="U51" s="564"/>
      <c r="V51" s="564"/>
      <c r="W51" s="564"/>
      <c r="X51" s="564"/>
      <c r="Y51" s="564"/>
      <c r="Z51" s="564" t="s">
        <v>3014</v>
      </c>
      <c r="AA51" s="564" t="s">
        <v>3012</v>
      </c>
      <c r="AB51" s="564"/>
      <c r="AC51" s="564"/>
      <c r="AD51" s="564"/>
      <c r="AE51" s="564" t="s">
        <v>9519</v>
      </c>
      <c r="AF51" s="564" t="s">
        <v>9520</v>
      </c>
      <c r="AG51" s="564"/>
      <c r="AH51" s="564"/>
      <c r="AI51" s="564"/>
      <c r="AJ51" s="564"/>
      <c r="AK51" s="564"/>
      <c r="AL51" s="564"/>
      <c r="AM51" s="564"/>
      <c r="AN51" s="564" t="s">
        <v>9406</v>
      </c>
      <c r="AO51" s="564" t="s">
        <v>9521</v>
      </c>
      <c r="AP51" s="564"/>
      <c r="AQ51" s="564"/>
      <c r="AR51" s="564"/>
      <c r="AS51" s="564" t="s">
        <v>9522</v>
      </c>
      <c r="AT51" s="564" t="s">
        <v>9523</v>
      </c>
      <c r="AU51" s="564"/>
      <c r="AV51" s="564"/>
      <c r="AW51" s="564"/>
      <c r="AX51" s="564"/>
      <c r="AY51" s="564"/>
      <c r="AZ51" s="564"/>
      <c r="BA51" s="564"/>
      <c r="BB51" s="564" t="s">
        <v>9408</v>
      </c>
      <c r="BC51" s="564" t="s">
        <v>9524</v>
      </c>
      <c r="BD51" s="564"/>
      <c r="BE51" s="564"/>
      <c r="BF51" s="564"/>
      <c r="BG51" s="564" t="s">
        <v>9525</v>
      </c>
      <c r="BH51" s="564" t="s">
        <v>9526</v>
      </c>
      <c r="BI51" s="564"/>
      <c r="BJ51" s="564"/>
      <c r="BK51" s="564"/>
      <c r="BL51" s="564"/>
      <c r="BM51" s="564"/>
      <c r="BN51" s="564"/>
      <c r="BO51" s="564"/>
      <c r="BP51" s="564" t="s">
        <v>9410</v>
      </c>
      <c r="BQ51" s="564" t="s">
        <v>9527</v>
      </c>
      <c r="BR51" s="564"/>
      <c r="BS51" s="564"/>
      <c r="BT51" s="564"/>
      <c r="BU51" s="564" t="s">
        <v>9528</v>
      </c>
      <c r="BV51" s="564" t="s">
        <v>9529</v>
      </c>
      <c r="BW51" s="564"/>
      <c r="BX51" s="564"/>
      <c r="BY51" s="564"/>
      <c r="BZ51" s="564"/>
      <c r="CA51" s="564"/>
      <c r="CB51" s="564"/>
      <c r="CC51" s="564"/>
      <c r="CD51" s="564" t="s">
        <v>9412</v>
      </c>
      <c r="CE51" s="564" t="s">
        <v>9530</v>
      </c>
      <c r="CF51" s="564"/>
      <c r="CG51" s="564"/>
      <c r="CH51" s="564"/>
      <c r="CI51" s="564" t="s">
        <v>9531</v>
      </c>
      <c r="CJ51" s="564" t="s">
        <v>9532</v>
      </c>
      <c r="CK51" s="564"/>
      <c r="CL51" s="564"/>
      <c r="CM51" s="564"/>
      <c r="CN51" s="564"/>
      <c r="CO51" s="564"/>
      <c r="CP51" s="564"/>
      <c r="CQ51" s="564"/>
      <c r="CR51" s="564" t="s">
        <v>9414</v>
      </c>
      <c r="CS51" s="564" t="s">
        <v>9533</v>
      </c>
      <c r="CT51" s="564"/>
      <c r="CU51" s="564"/>
      <c r="CV51" s="564"/>
      <c r="CW51" s="564" t="s">
        <v>9534</v>
      </c>
      <c r="CX51" s="564" t="s">
        <v>9535</v>
      </c>
      <c r="CY51" s="564"/>
      <c r="CZ51" s="564"/>
      <c r="DA51" s="564"/>
      <c r="DB51" s="564"/>
      <c r="DC51" s="564"/>
      <c r="DD51" s="564"/>
      <c r="DE51" s="564"/>
      <c r="DF51" s="564" t="s">
        <v>9415</v>
      </c>
      <c r="DG51" s="564" t="s">
        <v>9536</v>
      </c>
      <c r="DH51" s="564"/>
    </row>
    <row r="52" spans="1:112" ht="12.75" x14ac:dyDescent="0.2">
      <c r="B52" s="34"/>
      <c r="D52" s="16"/>
      <c r="F52" s="16"/>
      <c r="H52" s="16"/>
      <c r="L52" s="44"/>
      <c r="M52" s="44"/>
    </row>
    <row r="53" spans="1:112" x14ac:dyDescent="0.25">
      <c r="A53" s="8" t="str">
        <f ca="1">IF(OFFSET(P53,0,Lang_Order*Lang__B1)="","",OFFSET(P53,0,Lang_Order*Lang__B1))</f>
        <v>B1.2 Timing of Target Population Vaccination</v>
      </c>
      <c r="B53" s="19"/>
      <c r="C53" s="19"/>
      <c r="D53" s="701" t="str">
        <f t="shared" ref="D53:I55" ca="1" si="51">IF(OFFSET(S53,0,Lang_Order*Lang__B1)="","",OFFSET(S53,0,Lang_Order*Lang__B1))</f>
        <v>HALF-YEARLY TIME PERIOD</v>
      </c>
      <c r="E53" s="701" t="str">
        <f t="shared" ca="1" si="51"/>
        <v/>
      </c>
      <c r="F53" s="701" t="str">
        <f t="shared" ca="1" si="51"/>
        <v/>
      </c>
      <c r="G53" s="701" t="str">
        <f t="shared" ca="1" si="51"/>
        <v/>
      </c>
      <c r="H53" s="701" t="str">
        <f t="shared" ca="1" si="51"/>
        <v/>
      </c>
      <c r="I53" s="701" t="str">
        <f t="shared" ca="1" si="51"/>
        <v/>
      </c>
      <c r="J53" s="45"/>
      <c r="K53" s="45"/>
      <c r="L53" s="8" t="str">
        <f ca="1">IF(OFFSET(AA53,0,Lang_Order*Lang__B1)="","",OFFSET(AA53,0,Lang_Order*Lang__B1))</f>
        <v>Comments</v>
      </c>
      <c r="M53" s="8" t="str">
        <f ca="1">IF(OFFSET(AB53,0,Lang_Order*Lang__B1)="","",OFFSET(AB53,0,Lang_Order*Lang__B1))</f>
        <v>User Notes</v>
      </c>
      <c r="P53" s="564" t="s">
        <v>2912</v>
      </c>
      <c r="S53" s="564" t="s">
        <v>1604</v>
      </c>
      <c r="AA53" s="564" t="s">
        <v>13980</v>
      </c>
      <c r="AB53" s="564" t="s">
        <v>13981</v>
      </c>
      <c r="AD53" s="564" t="s">
        <v>9537</v>
      </c>
      <c r="AG53" s="564" t="s">
        <v>9538</v>
      </c>
      <c r="AO53" s="564" t="s">
        <v>14071</v>
      </c>
      <c r="AP53" s="564" t="s">
        <v>14076</v>
      </c>
      <c r="AR53" s="564" t="s">
        <v>9539</v>
      </c>
      <c r="AU53" s="564" t="s">
        <v>9540</v>
      </c>
      <c r="BC53" s="564" t="s">
        <v>14072</v>
      </c>
      <c r="BD53" s="564" t="s">
        <v>14077</v>
      </c>
      <c r="BF53" s="564" t="s">
        <v>9541</v>
      </c>
      <c r="BI53" s="564" t="s">
        <v>9542</v>
      </c>
      <c r="BQ53" s="564" t="s">
        <v>14073</v>
      </c>
      <c r="BR53" s="564" t="s">
        <v>14078</v>
      </c>
      <c r="BT53" s="564" t="s">
        <v>9543</v>
      </c>
      <c r="BW53" s="564" t="s">
        <v>9544</v>
      </c>
      <c r="CE53" s="564" t="s">
        <v>14074</v>
      </c>
      <c r="CF53" s="564" t="s">
        <v>14079</v>
      </c>
      <c r="CH53" s="564" t="s">
        <v>9545</v>
      </c>
      <c r="CK53" s="564" t="s">
        <v>9546</v>
      </c>
      <c r="CS53" s="564" t="s">
        <v>14075</v>
      </c>
      <c r="CT53" s="564" t="s">
        <v>14080</v>
      </c>
      <c r="CV53" s="564" t="s">
        <v>9547</v>
      </c>
      <c r="CY53" s="564" t="s">
        <v>9548</v>
      </c>
      <c r="DG53" s="564" t="s">
        <v>5455</v>
      </c>
      <c r="DH53" s="564" t="s">
        <v>14081</v>
      </c>
    </row>
    <row r="54" spans="1:112" s="299" customFormat="1" ht="169.5" customHeight="1" x14ac:dyDescent="0.2">
      <c r="B54" s="100"/>
      <c r="C54" s="679" t="str">
        <f ca="1">IF(OFFSET(R54,0,Lang_Order*Lang__B1)="","",OFFSET(R54,0,Lang_Order*Lang__B1))</f>
        <v>INSTRUCTIONS: This critical section is for specifying the prioritization of various SAGE target populations, over the Stage I, II, and III (approximately 2021-2023).
Each beige colored row represents one or a collection of several target subpopulations. Prioritization is specified as the percent of that subpopulation (row) which is to be vaccinated in the  half-yearly time period (column). The total of each row represents the percent of the subpopulation to be covered in this 3-year period (2021-2023). This can be zero (if there are no intentions to vaccinate that subpopulation), less than 100% if not all of the subpopulation is to be vaccinated, exactly 100% if the subpopulation will be vaccinated with one course over the 3-year period; or greater than 100% if the subpopulation will be vaccinated with more than one course OR if there are expected to be additional 'new' people in the subpopulation (e.g. newly recruited health workers, newly diagnosed diabetics, etc.) within the 3-year priod.
A vaccine surplus and deficit calculator for each time period is provided just below. This can be used to immediately see the implications of the prioritization against the supply of vaccine doses for the that time period.
The recommended method for completing this section is firstly to start with "0%" for all cells. Next, look for the highest priority target subpopulation and maximize (fill in the highest percentage permissable) in the earliest time period. Check that the calculator still indicates that there is a 'surplus' of vaccine doses for that time period and if not, please adjust the degree of prioritization accordingly to balance the supply and demand for vaccines. Next, move to the next priority target subpopulation and repeat the process. When the vaccine doses are exhausted for that time period (calculator shifts from surplus to 'blank' or deficit), adjust the degree of prioritization to balance the supply and demand for vaccines and move on to repeating the same process for the next time period.</v>
      </c>
      <c r="D54" s="679" t="str">
        <f t="shared" ca="1" si="51"/>
        <v/>
      </c>
      <c r="E54" s="679" t="str">
        <f t="shared" ca="1" si="51"/>
        <v/>
      </c>
      <c r="F54" s="679" t="str">
        <f t="shared" ca="1" si="51"/>
        <v/>
      </c>
      <c r="G54" s="679" t="str">
        <f t="shared" ca="1" si="51"/>
        <v/>
      </c>
      <c r="H54" s="679" t="str">
        <f t="shared" ca="1" si="51"/>
        <v/>
      </c>
      <c r="I54" s="679" t="str">
        <f t="shared" ca="1" si="51"/>
        <v/>
      </c>
      <c r="J54" s="679" t="str">
        <f ca="1">IF(OFFSET(Y54,0,Lang_Order*Lang__B1)="","",OFFSET(Y54,0,Lang_Order*Lang__B1))</f>
        <v/>
      </c>
      <c r="K54" s="679" t="str">
        <f ca="1">IF(OFFSET(Z54,0,Lang_Order*Lang__B1)="","",OFFSET(Z54,0,Lang_Order*Lang__B1))</f>
        <v/>
      </c>
      <c r="L54" s="463"/>
      <c r="M54" s="567"/>
      <c r="O54" s="564"/>
      <c r="P54" s="564"/>
      <c r="Q54" s="564"/>
      <c r="R54" s="564" t="s">
        <v>4382</v>
      </c>
      <c r="S54" s="564"/>
      <c r="T54" s="564"/>
      <c r="U54" s="564"/>
      <c r="V54" s="564"/>
      <c r="W54" s="564"/>
      <c r="X54" s="564"/>
      <c r="Y54" s="564"/>
      <c r="Z54" s="564"/>
      <c r="AA54" s="564"/>
      <c r="AB54" s="564"/>
      <c r="AC54" s="564"/>
      <c r="AD54" s="564"/>
      <c r="AE54" s="564"/>
      <c r="AF54" s="564" t="s">
        <v>9549</v>
      </c>
      <c r="AG54" s="564"/>
      <c r="AH54" s="564"/>
      <c r="AI54" s="564"/>
      <c r="AJ54" s="564"/>
      <c r="AK54" s="564"/>
      <c r="AL54" s="564"/>
      <c r="AM54" s="564"/>
      <c r="AN54" s="564"/>
      <c r="AO54" s="564"/>
      <c r="AP54" s="564"/>
      <c r="AQ54" s="564"/>
      <c r="AR54" s="564"/>
      <c r="AS54" s="564"/>
      <c r="AT54" s="564" t="s">
        <v>9550</v>
      </c>
      <c r="AU54" s="564"/>
      <c r="AV54" s="564"/>
      <c r="AW54" s="564"/>
      <c r="AX54" s="564"/>
      <c r="AY54" s="564"/>
      <c r="AZ54" s="564"/>
      <c r="BA54" s="564"/>
      <c r="BB54" s="564"/>
      <c r="BC54" s="564"/>
      <c r="BD54" s="564"/>
      <c r="BE54" s="564"/>
      <c r="BF54" s="564"/>
      <c r="BG54" s="564"/>
      <c r="BH54" s="564" t="s">
        <v>9551</v>
      </c>
      <c r="BI54" s="564"/>
      <c r="BJ54" s="564"/>
      <c r="BK54" s="564"/>
      <c r="BL54" s="564"/>
      <c r="BM54" s="564"/>
      <c r="BN54" s="564"/>
      <c r="BO54" s="564"/>
      <c r="BP54" s="564"/>
      <c r="BQ54" s="564"/>
      <c r="BR54" s="564"/>
      <c r="BS54" s="564"/>
      <c r="BT54" s="564"/>
      <c r="BU54" s="564"/>
      <c r="BV54" s="564" t="s">
        <v>9552</v>
      </c>
      <c r="BW54" s="564"/>
      <c r="BX54" s="564"/>
      <c r="BY54" s="564"/>
      <c r="BZ54" s="564"/>
      <c r="CA54" s="564"/>
      <c r="CB54" s="564"/>
      <c r="CC54" s="564"/>
      <c r="CD54" s="564"/>
      <c r="CE54" s="564"/>
      <c r="CF54" s="564"/>
      <c r="CG54" s="564"/>
      <c r="CH54" s="564"/>
      <c r="CI54" s="564"/>
      <c r="CJ54" s="564" t="s">
        <v>9553</v>
      </c>
      <c r="CK54" s="564"/>
      <c r="CL54" s="564"/>
      <c r="CM54" s="564"/>
      <c r="CN54" s="564"/>
      <c r="CO54" s="564"/>
      <c r="CP54" s="564"/>
      <c r="CQ54" s="564"/>
      <c r="CR54" s="564"/>
      <c r="CS54" s="564"/>
      <c r="CT54" s="564"/>
      <c r="CU54" s="564"/>
      <c r="CV54" s="564"/>
      <c r="CW54" s="564"/>
      <c r="CX54" s="564" t="s">
        <v>9554</v>
      </c>
      <c r="CY54" s="564"/>
      <c r="CZ54" s="564"/>
      <c r="DA54" s="564"/>
      <c r="DB54" s="564"/>
      <c r="DC54" s="564"/>
      <c r="DD54" s="564"/>
      <c r="DE54" s="564"/>
      <c r="DF54" s="564"/>
      <c r="DG54" s="564"/>
      <c r="DH54" s="564"/>
    </row>
    <row r="55" spans="1:112" x14ac:dyDescent="0.25">
      <c r="A55" s="16"/>
      <c r="B55" s="34"/>
      <c r="C55" s="16"/>
      <c r="D55" s="41" t="str">
        <f t="shared" ca="1" si="51"/>
        <v>H1 2021</v>
      </c>
      <c r="E55" s="41" t="str">
        <f t="shared" ca="1" si="51"/>
        <v>H2 2021</v>
      </c>
      <c r="F55" s="41" t="str">
        <f t="shared" ca="1" si="51"/>
        <v>H1 2022</v>
      </c>
      <c r="G55" s="41" t="str">
        <f t="shared" ca="1" si="51"/>
        <v>H2 2022</v>
      </c>
      <c r="H55" s="41" t="str">
        <f t="shared" ca="1" si="51"/>
        <v>H1 2023</v>
      </c>
      <c r="I55" s="41" t="str">
        <f t="shared" ca="1" si="51"/>
        <v>H2 2023</v>
      </c>
      <c r="J55" s="50"/>
      <c r="K55" s="50" t="s">
        <v>4444</v>
      </c>
      <c r="L55" s="299"/>
      <c r="M55" s="567"/>
      <c r="S55" s="564" t="s">
        <v>1597</v>
      </c>
      <c r="T55" s="564" t="s">
        <v>1598</v>
      </c>
      <c r="U55" s="564" t="s">
        <v>1599</v>
      </c>
      <c r="V55" s="564" t="s">
        <v>1600</v>
      </c>
      <c r="W55" s="564" t="s">
        <v>1602</v>
      </c>
      <c r="X55" s="564" t="s">
        <v>1601</v>
      </c>
      <c r="Z55" s="564" t="s">
        <v>4174</v>
      </c>
      <c r="AG55" s="564" t="s">
        <v>4663</v>
      </c>
      <c r="AH55" s="564" t="s">
        <v>4664</v>
      </c>
      <c r="AI55" s="564" t="s">
        <v>4665</v>
      </c>
      <c r="AJ55" s="564" t="s">
        <v>4666</v>
      </c>
      <c r="AK55" s="564" t="s">
        <v>4667</v>
      </c>
      <c r="AL55" s="564" t="s">
        <v>4668</v>
      </c>
      <c r="AN55" s="564" t="s">
        <v>9292</v>
      </c>
      <c r="AU55" s="564" t="s">
        <v>4670</v>
      </c>
      <c r="AV55" s="564" t="s">
        <v>4671</v>
      </c>
      <c r="AW55" s="564" t="s">
        <v>4672</v>
      </c>
      <c r="AX55" s="564" t="s">
        <v>4673</v>
      </c>
      <c r="AY55" s="564" t="s">
        <v>4674</v>
      </c>
      <c r="AZ55" s="564" t="s">
        <v>4675</v>
      </c>
      <c r="BB55" s="564" t="s">
        <v>9555</v>
      </c>
      <c r="BI55" s="564" t="s">
        <v>1597</v>
      </c>
      <c r="BJ55" s="564" t="s">
        <v>1598</v>
      </c>
      <c r="BK55" s="564" t="s">
        <v>1599</v>
      </c>
      <c r="BL55" s="564" t="s">
        <v>1600</v>
      </c>
      <c r="BM55" s="564" t="s">
        <v>1602</v>
      </c>
      <c r="BN55" s="564" t="s">
        <v>1601</v>
      </c>
      <c r="BP55" s="564" t="s">
        <v>9556</v>
      </c>
      <c r="BW55" s="564" t="s">
        <v>4663</v>
      </c>
      <c r="BX55" s="564" t="s">
        <v>4664</v>
      </c>
      <c r="BY55" s="564" t="s">
        <v>4665</v>
      </c>
      <c r="BZ55" s="564" t="s">
        <v>4666</v>
      </c>
      <c r="CA55" s="564" t="s">
        <v>4667</v>
      </c>
      <c r="CB55" s="564" t="s">
        <v>4668</v>
      </c>
      <c r="CD55" s="564" t="s">
        <v>9295</v>
      </c>
      <c r="CK55" s="564" t="s">
        <v>1597</v>
      </c>
      <c r="CL55" s="564" t="s">
        <v>9557</v>
      </c>
      <c r="CM55" s="564" t="s">
        <v>1599</v>
      </c>
      <c r="CN55" s="564" t="s">
        <v>7584</v>
      </c>
      <c r="CO55" s="564" t="s">
        <v>1602</v>
      </c>
      <c r="CP55" s="564" t="s">
        <v>9558</v>
      </c>
      <c r="CR55" s="564" t="s">
        <v>9296</v>
      </c>
      <c r="CY55" s="564" t="s">
        <v>4688</v>
      </c>
      <c r="CZ55" s="564" t="s">
        <v>4689</v>
      </c>
      <c r="DA55" s="564" t="s">
        <v>4690</v>
      </c>
      <c r="DB55" s="564" t="s">
        <v>4691</v>
      </c>
      <c r="DC55" s="564" t="s">
        <v>4692</v>
      </c>
      <c r="DD55" s="564" t="s">
        <v>4693</v>
      </c>
      <c r="DF55" s="564" t="s">
        <v>9297</v>
      </c>
    </row>
    <row r="56" spans="1:112" ht="12.75" x14ac:dyDescent="0.2">
      <c r="B56" s="100"/>
      <c r="C56" s="15"/>
      <c r="D56" s="414" t="str">
        <f t="shared" ref="D56:E57" ca="1" si="52">IF(OFFSET(S56,0,Lang_Order*Lang__B1)="","",OFFSET(S56,0,Lang_Order*Lang__B1))</f>
        <v>Stage 1</v>
      </c>
      <c r="E56" s="414" t="str">
        <f t="shared" ca="1" si="52"/>
        <v>Stage 2</v>
      </c>
      <c r="J56" s="15"/>
      <c r="K56" s="213"/>
      <c r="L56" s="299"/>
      <c r="M56" s="567"/>
      <c r="N56" s="299"/>
      <c r="S56" s="564" t="s">
        <v>2978</v>
      </c>
      <c r="T56" s="564" t="s">
        <v>2979</v>
      </c>
      <c r="AG56" s="564" t="s">
        <v>9559</v>
      </c>
      <c r="AH56" s="564" t="s">
        <v>9560</v>
      </c>
      <c r="AU56" s="564" t="s">
        <v>9561</v>
      </c>
      <c r="AV56" s="564" t="s">
        <v>9562</v>
      </c>
      <c r="BI56" s="564" t="s">
        <v>9563</v>
      </c>
      <c r="BJ56" s="564" t="s">
        <v>9564</v>
      </c>
      <c r="BW56" s="564" t="s">
        <v>9565</v>
      </c>
      <c r="BX56" s="564" t="s">
        <v>9566</v>
      </c>
      <c r="CJ56" s="564" t="s">
        <v>9567</v>
      </c>
      <c r="CK56" s="564" t="s">
        <v>9568</v>
      </c>
      <c r="CL56" s="564" t="s">
        <v>9569</v>
      </c>
      <c r="CY56" s="564" t="s">
        <v>9570</v>
      </c>
      <c r="CZ56" s="564" t="s">
        <v>9571</v>
      </c>
    </row>
    <row r="57" spans="1:112" s="299" customFormat="1" ht="12.75" x14ac:dyDescent="0.2">
      <c r="B57" s="346" t="str">
        <f ca="1">IF(OFFSET(Q57,0,Lang_Order*Lang__B1)="","",OFFSET(Q57,0,Lang_Order*Lang__B1))</f>
        <v>SAGE Target Populations</v>
      </c>
      <c r="C57" s="344"/>
      <c r="D57" s="693" t="str">
        <f t="shared" ca="1" si="52"/>
        <v>PLEASE EDIT THE SHADED CELLS BELOW</v>
      </c>
      <c r="E57" s="693"/>
      <c r="F57" s="693"/>
      <c r="G57" s="693"/>
      <c r="H57" s="693"/>
      <c r="I57" s="693"/>
      <c r="J57" s="447" t="str">
        <f t="shared" ref="J57" ca="1" si="53">IF(OFFSET(Y57,0,Lang_Order*Lang__B1)="","",OFFSET(Y57,0,Lang_Order*Lang__B1))</f>
        <v>3-year total</v>
      </c>
      <c r="K57" s="449">
        <v>1</v>
      </c>
      <c r="M57" s="567"/>
      <c r="O57" s="564"/>
      <c r="P57" s="564"/>
      <c r="Q57" s="564" t="s">
        <v>3771</v>
      </c>
      <c r="R57" s="564"/>
      <c r="S57" s="564" t="s">
        <v>4244</v>
      </c>
      <c r="T57" s="564"/>
      <c r="U57" s="564"/>
      <c r="V57" s="564"/>
      <c r="W57" s="564"/>
      <c r="X57" s="564"/>
      <c r="Y57" s="564" t="s">
        <v>4253</v>
      </c>
      <c r="Z57" s="564"/>
      <c r="AA57" s="564"/>
      <c r="AB57" s="564"/>
      <c r="AC57" s="564"/>
      <c r="AD57" s="564"/>
      <c r="AE57" s="564" t="s">
        <v>9369</v>
      </c>
      <c r="AF57" s="564"/>
      <c r="AG57" s="564" t="s">
        <v>9572</v>
      </c>
      <c r="AH57" s="564"/>
      <c r="AI57" s="564"/>
      <c r="AJ57" s="564"/>
      <c r="AK57" s="564"/>
      <c r="AL57" s="564"/>
      <c r="AM57" s="564" t="s">
        <v>9573</v>
      </c>
      <c r="AN57" s="564"/>
      <c r="AO57" s="564"/>
      <c r="AP57" s="564"/>
      <c r="AQ57" s="564"/>
      <c r="AR57" s="564"/>
      <c r="AS57" s="564" t="s">
        <v>9574</v>
      </c>
      <c r="AT57" s="564"/>
      <c r="AU57" s="564" t="s">
        <v>9575</v>
      </c>
      <c r="AV57" s="564"/>
      <c r="AW57" s="564"/>
      <c r="AX57" s="564"/>
      <c r="AY57" s="564"/>
      <c r="AZ57" s="564"/>
      <c r="BA57" s="564" t="s">
        <v>9576</v>
      </c>
      <c r="BB57" s="564"/>
      <c r="BC57" s="564"/>
      <c r="BD57" s="564"/>
      <c r="BE57" s="564"/>
      <c r="BF57" s="564"/>
      <c r="BG57" s="564" t="s">
        <v>9373</v>
      </c>
      <c r="BH57" s="564"/>
      <c r="BI57" s="564" t="s">
        <v>9577</v>
      </c>
      <c r="BJ57" s="564"/>
      <c r="BK57" s="564"/>
      <c r="BL57" s="564"/>
      <c r="BM57" s="564"/>
      <c r="BN57" s="564"/>
      <c r="BO57" s="564" t="s">
        <v>9578</v>
      </c>
      <c r="BP57" s="564"/>
      <c r="BQ57" s="564"/>
      <c r="BR57" s="564"/>
      <c r="BS57" s="564"/>
      <c r="BT57" s="564"/>
      <c r="BU57" s="564" t="s">
        <v>9375</v>
      </c>
      <c r="BV57" s="564"/>
      <c r="BW57" s="564" t="s">
        <v>9579</v>
      </c>
      <c r="BX57" s="564"/>
      <c r="BY57" s="564"/>
      <c r="BZ57" s="564"/>
      <c r="CA57" s="564"/>
      <c r="CB57" s="564"/>
      <c r="CC57" s="564" t="s">
        <v>9580</v>
      </c>
      <c r="CD57" s="564"/>
      <c r="CE57" s="564"/>
      <c r="CF57" s="564"/>
      <c r="CG57" s="564"/>
      <c r="CH57" s="564"/>
      <c r="CI57" s="564" t="s">
        <v>9581</v>
      </c>
      <c r="CJ57" s="564"/>
      <c r="CK57" s="564" t="s">
        <v>9582</v>
      </c>
      <c r="CL57" s="564"/>
      <c r="CM57" s="564"/>
      <c r="CN57" s="564"/>
      <c r="CO57" s="564"/>
      <c r="CP57" s="564"/>
      <c r="CQ57" s="564" t="s">
        <v>9583</v>
      </c>
      <c r="CR57" s="564"/>
      <c r="CS57" s="564"/>
      <c r="CT57" s="564"/>
      <c r="CU57" s="564"/>
      <c r="CV57" s="564"/>
      <c r="CW57" s="564" t="s">
        <v>9379</v>
      </c>
      <c r="CX57" s="564"/>
      <c r="CY57" s="564" t="s">
        <v>9584</v>
      </c>
      <c r="CZ57" s="564"/>
      <c r="DA57" s="564"/>
      <c r="DB57" s="564"/>
      <c r="DC57" s="564"/>
      <c r="DD57" s="564"/>
      <c r="DE57" s="564" t="s">
        <v>9585</v>
      </c>
      <c r="DF57" s="564"/>
      <c r="DG57" s="564"/>
      <c r="DH57" s="564"/>
    </row>
    <row r="58" spans="1:112" s="299" customFormat="1" ht="12.75" x14ac:dyDescent="0.2">
      <c r="A58" s="354">
        <v>1</v>
      </c>
      <c r="B58" s="34" t="s">
        <v>14430</v>
      </c>
      <c r="C58" s="23" t="str">
        <f t="shared" ref="C58:C67" ca="1" si="54">IF(OFFSET(R58,0,Lang_Order*Lang__B1)="","",OFFSET(R58,0,Lang_Order*Lang__B1))</f>
        <v>HEALTH WORKERS</v>
      </c>
      <c r="D58" s="226">
        <v>0</v>
      </c>
      <c r="E58" s="226">
        <v>0</v>
      </c>
      <c r="F58" s="226">
        <v>0</v>
      </c>
      <c r="G58" s="226">
        <v>0</v>
      </c>
      <c r="H58" s="226">
        <v>0</v>
      </c>
      <c r="I58" s="226">
        <v>0</v>
      </c>
      <c r="J58" s="448">
        <f>SUM(D58:I58)</f>
        <v>0</v>
      </c>
      <c r="K58" s="497" t="e">
        <f>AVERAGE(D25:I25)</f>
        <v>#N/A</v>
      </c>
      <c r="L58" s="12" t="str">
        <f t="shared" ref="L58:L84" ca="1" si="55">IF(OFFSET(AA58,0,Lang_Order*Lang__B1)="","",OFFSET(AA58,0,Lang_Order*Lang__B1))</f>
        <v>Work DM1</v>
      </c>
      <c r="M58" s="587"/>
      <c r="O58" s="564"/>
      <c r="P58" s="564"/>
      <c r="Q58" s="564" t="s">
        <v>14430</v>
      </c>
      <c r="R58" s="564" t="s">
        <v>3765</v>
      </c>
      <c r="S58" s="564"/>
      <c r="T58" s="564"/>
      <c r="U58" s="564"/>
      <c r="V58" s="564"/>
      <c r="W58" s="564"/>
      <c r="X58" s="564"/>
      <c r="Y58" s="564"/>
      <c r="Z58" s="564"/>
      <c r="AA58" s="564" t="s">
        <v>3798</v>
      </c>
      <c r="AB58" s="564"/>
      <c r="AC58" s="564"/>
      <c r="AD58" s="564"/>
      <c r="AE58" s="564" t="s">
        <v>14430</v>
      </c>
      <c r="AF58" s="564" t="s">
        <v>9381</v>
      </c>
      <c r="AG58" s="564"/>
      <c r="AH58" s="564"/>
      <c r="AI58" s="564"/>
      <c r="AJ58" s="564"/>
      <c r="AK58" s="564"/>
      <c r="AL58" s="564"/>
      <c r="AM58" s="564"/>
      <c r="AN58" s="564"/>
      <c r="AO58" s="564" t="s">
        <v>9382</v>
      </c>
      <c r="AP58" s="564"/>
      <c r="AQ58" s="564"/>
      <c r="AR58" s="564"/>
      <c r="AS58" s="564" t="s">
        <v>14430</v>
      </c>
      <c r="AT58" s="564" t="s">
        <v>9383</v>
      </c>
      <c r="AU58" s="564"/>
      <c r="AV58" s="564"/>
      <c r="AW58" s="564"/>
      <c r="AX58" s="564"/>
      <c r="AY58" s="564"/>
      <c r="AZ58" s="564"/>
      <c r="BA58" s="564"/>
      <c r="BB58" s="564"/>
      <c r="BC58" s="564" t="s">
        <v>9384</v>
      </c>
      <c r="BD58" s="564"/>
      <c r="BE58" s="564"/>
      <c r="BF58" s="564"/>
      <c r="BG58" s="564" t="s">
        <v>14430</v>
      </c>
      <c r="BH58" s="564" t="s">
        <v>9385</v>
      </c>
      <c r="BI58" s="564"/>
      <c r="BJ58" s="564"/>
      <c r="BK58" s="564"/>
      <c r="BL58" s="564"/>
      <c r="BM58" s="564"/>
      <c r="BN58" s="564"/>
      <c r="BO58" s="564"/>
      <c r="BP58" s="564"/>
      <c r="BQ58" s="564" t="s">
        <v>9386</v>
      </c>
      <c r="BR58" s="564"/>
      <c r="BS58" s="564"/>
      <c r="BT58" s="564"/>
      <c r="BU58" s="564" t="s">
        <v>14430</v>
      </c>
      <c r="BV58" s="564" t="s">
        <v>9387</v>
      </c>
      <c r="BW58" s="564"/>
      <c r="BX58" s="564"/>
      <c r="BY58" s="564"/>
      <c r="BZ58" s="564"/>
      <c r="CA58" s="564"/>
      <c r="CB58" s="564"/>
      <c r="CC58" s="564"/>
      <c r="CD58" s="564"/>
      <c r="CE58" s="564" t="s">
        <v>9388</v>
      </c>
      <c r="CF58" s="564"/>
      <c r="CG58" s="564"/>
      <c r="CH58" s="564"/>
      <c r="CI58" s="564" t="s">
        <v>14430</v>
      </c>
      <c r="CJ58" s="564" t="s">
        <v>9586</v>
      </c>
      <c r="CK58" s="564"/>
      <c r="CL58" s="564"/>
      <c r="CM58" s="564"/>
      <c r="CN58" s="564"/>
      <c r="CO58" s="564"/>
      <c r="CP58" s="564"/>
      <c r="CQ58" s="564"/>
      <c r="CR58" s="564"/>
      <c r="CS58" s="564" t="s">
        <v>9390</v>
      </c>
      <c r="CT58" s="564"/>
      <c r="CU58" s="564"/>
      <c r="CV58" s="564"/>
      <c r="CW58" s="564" t="s">
        <v>14430</v>
      </c>
      <c r="CX58" s="564" t="s">
        <v>9391</v>
      </c>
      <c r="CY58" s="564"/>
      <c r="CZ58" s="564"/>
      <c r="DA58" s="564"/>
      <c r="DB58" s="564"/>
      <c r="DC58" s="564"/>
      <c r="DD58" s="564"/>
      <c r="DE58" s="564"/>
      <c r="DF58" s="564"/>
      <c r="DG58" s="564" t="s">
        <v>9392</v>
      </c>
      <c r="DH58" s="564"/>
    </row>
    <row r="59" spans="1:112" s="299" customFormat="1" ht="12.75" x14ac:dyDescent="0.2">
      <c r="A59" s="354">
        <v>1</v>
      </c>
      <c r="B59" s="34" t="s">
        <v>14432</v>
      </c>
      <c r="C59" s="66" t="str">
        <f t="shared" ca="1" si="54"/>
        <v>ESSENTIAL WORKERS AND RELATED GROUPS</v>
      </c>
      <c r="D59" s="226">
        <v>0</v>
      </c>
      <c r="E59" s="226">
        <v>0</v>
      </c>
      <c r="F59" s="226">
        <v>0</v>
      </c>
      <c r="G59" s="226">
        <v>0</v>
      </c>
      <c r="H59" s="226">
        <v>0</v>
      </c>
      <c r="I59" s="226">
        <v>0</v>
      </c>
      <c r="J59" s="448">
        <f>SUM(D59:I59)</f>
        <v>0</v>
      </c>
      <c r="K59" s="497" t="e">
        <f t="shared" ref="K59" si="56">AVERAGE(D26:I26)</f>
        <v>#N/A</v>
      </c>
      <c r="L59" s="12" t="str">
        <f t="shared" ca="1" si="55"/>
        <v>Work DM1 / DM2</v>
      </c>
      <c r="M59" s="587"/>
      <c r="O59" s="564"/>
      <c r="P59" s="564"/>
      <c r="Q59" s="564" t="s">
        <v>14432</v>
      </c>
      <c r="R59" s="564" t="s">
        <v>3766</v>
      </c>
      <c r="S59" s="564"/>
      <c r="T59" s="564"/>
      <c r="U59" s="564"/>
      <c r="V59" s="564"/>
      <c r="W59" s="564"/>
      <c r="X59" s="564"/>
      <c r="Y59" s="564"/>
      <c r="Z59" s="564"/>
      <c r="AA59" s="564" t="s">
        <v>3013</v>
      </c>
      <c r="AB59" s="564"/>
      <c r="AC59" s="564"/>
      <c r="AD59" s="564"/>
      <c r="AE59" s="564" t="s">
        <v>14432</v>
      </c>
      <c r="AF59" s="564" t="s">
        <v>9393</v>
      </c>
      <c r="AG59" s="564"/>
      <c r="AH59" s="564"/>
      <c r="AI59" s="564"/>
      <c r="AJ59" s="564"/>
      <c r="AK59" s="564"/>
      <c r="AL59" s="564"/>
      <c r="AM59" s="564"/>
      <c r="AN59" s="564"/>
      <c r="AO59" s="564" t="s">
        <v>9394</v>
      </c>
      <c r="AP59" s="564"/>
      <c r="AQ59" s="564"/>
      <c r="AR59" s="564"/>
      <c r="AS59" s="564" t="s">
        <v>14432</v>
      </c>
      <c r="AT59" s="564" t="s">
        <v>9587</v>
      </c>
      <c r="AU59" s="564"/>
      <c r="AV59" s="564"/>
      <c r="AW59" s="564"/>
      <c r="AX59" s="564"/>
      <c r="AY59" s="564"/>
      <c r="AZ59" s="564"/>
      <c r="BA59" s="564"/>
      <c r="BB59" s="564"/>
      <c r="BC59" s="564" t="s">
        <v>9396</v>
      </c>
      <c r="BD59" s="564"/>
      <c r="BE59" s="564"/>
      <c r="BF59" s="564"/>
      <c r="BG59" s="564" t="s">
        <v>14432</v>
      </c>
      <c r="BH59" s="564" t="s">
        <v>9397</v>
      </c>
      <c r="BI59" s="564"/>
      <c r="BJ59" s="564"/>
      <c r="BK59" s="564"/>
      <c r="BL59" s="564"/>
      <c r="BM59" s="564"/>
      <c r="BN59" s="564"/>
      <c r="BO59" s="564"/>
      <c r="BP59" s="564"/>
      <c r="BQ59" s="564" t="s">
        <v>9588</v>
      </c>
      <c r="BR59" s="564"/>
      <c r="BS59" s="564"/>
      <c r="BT59" s="564"/>
      <c r="BU59" s="564" t="s">
        <v>14432</v>
      </c>
      <c r="BV59" s="564" t="s">
        <v>9399</v>
      </c>
      <c r="BW59" s="564"/>
      <c r="BX59" s="564"/>
      <c r="BY59" s="564"/>
      <c r="BZ59" s="564"/>
      <c r="CA59" s="564"/>
      <c r="CB59" s="564"/>
      <c r="CC59" s="564"/>
      <c r="CD59" s="564"/>
      <c r="CE59" s="564" t="s">
        <v>9400</v>
      </c>
      <c r="CF59" s="564"/>
      <c r="CG59" s="564"/>
      <c r="CH59" s="564"/>
      <c r="CI59" s="564" t="s">
        <v>14433</v>
      </c>
      <c r="CJ59" s="564"/>
      <c r="CK59" s="564"/>
      <c r="CL59" s="564"/>
      <c r="CM59" s="564"/>
      <c r="CN59" s="564"/>
      <c r="CO59" s="564"/>
      <c r="CP59" s="564"/>
      <c r="CQ59" s="564"/>
      <c r="CR59" s="564"/>
      <c r="CS59" s="564" t="s">
        <v>9402</v>
      </c>
      <c r="CT59" s="564"/>
      <c r="CU59" s="564"/>
      <c r="CV59" s="564"/>
      <c r="CW59" s="564" t="s">
        <v>14432</v>
      </c>
      <c r="CX59" s="564" t="s">
        <v>9403</v>
      </c>
      <c r="CY59" s="564"/>
      <c r="CZ59" s="564"/>
      <c r="DA59" s="564"/>
      <c r="DB59" s="564"/>
      <c r="DC59" s="564"/>
      <c r="DD59" s="564"/>
      <c r="DE59" s="564"/>
      <c r="DF59" s="564"/>
      <c r="DG59" s="564" t="s">
        <v>9404</v>
      </c>
      <c r="DH59" s="564"/>
    </row>
    <row r="60" spans="1:112" s="463" customFormat="1" ht="12.75" hidden="1" x14ac:dyDescent="0.2">
      <c r="A60" s="354">
        <v>1</v>
      </c>
      <c r="B60" s="346" t="s">
        <v>14113</v>
      </c>
      <c r="C60" s="359" t="str">
        <f t="shared" ref="C60" ca="1" si="57">IF(OFFSET(R60,0,Lang_Order*Lang__B1)="","",OFFSET(R60,0,Lang_Order*Lang__B1))</f>
        <v>AGE GROUPS AT HIGH RISK OF TRANSMITTING INFECTION</v>
      </c>
      <c r="D60" s="226">
        <v>0</v>
      </c>
      <c r="E60" s="226">
        <v>1</v>
      </c>
      <c r="F60" s="226">
        <v>0</v>
      </c>
      <c r="G60" s="226">
        <v>0</v>
      </c>
      <c r="H60" s="226">
        <v>0</v>
      </c>
      <c r="I60" s="226">
        <v>0</v>
      </c>
      <c r="J60" s="448">
        <f>SUM(D60:I60)</f>
        <v>1</v>
      </c>
      <c r="K60" s="16"/>
      <c r="L60" s="12" t="str">
        <f t="shared" ca="1" si="55"/>
        <v>Voluntary DM1 / DM2</v>
      </c>
      <c r="M60" s="587"/>
      <c r="O60" s="564"/>
      <c r="P60" s="564"/>
      <c r="Q60" s="564"/>
      <c r="R60" s="564" t="s">
        <v>4400</v>
      </c>
      <c r="S60" s="564"/>
      <c r="T60" s="564"/>
      <c r="U60" s="564"/>
      <c r="V60" s="564"/>
      <c r="W60" s="564"/>
      <c r="X60" s="564"/>
      <c r="Y60" s="564"/>
      <c r="Z60" s="564"/>
      <c r="AA60" s="564" t="s">
        <v>3014</v>
      </c>
      <c r="AB60" s="564"/>
      <c r="AC60" s="564"/>
      <c r="AD60" s="564"/>
      <c r="AE60" s="564"/>
      <c r="AF60" s="564" t="s">
        <v>9405</v>
      </c>
      <c r="AG60" s="564"/>
      <c r="AH60" s="564"/>
      <c r="AI60" s="564"/>
      <c r="AJ60" s="564"/>
      <c r="AK60" s="564"/>
      <c r="AL60" s="564"/>
      <c r="AM60" s="564"/>
      <c r="AN60" s="564"/>
      <c r="AO60" s="564" t="s">
        <v>9406</v>
      </c>
      <c r="AP60" s="564"/>
      <c r="AQ60" s="564"/>
      <c r="AR60" s="564"/>
      <c r="AS60" s="564"/>
      <c r="AT60" s="564" t="s">
        <v>9589</v>
      </c>
      <c r="AU60" s="564"/>
      <c r="AV60" s="564"/>
      <c r="AW60" s="564"/>
      <c r="AX60" s="564"/>
      <c r="AY60" s="564"/>
      <c r="AZ60" s="564"/>
      <c r="BA60" s="564"/>
      <c r="BB60" s="564"/>
      <c r="BC60" s="564" t="s">
        <v>9408</v>
      </c>
      <c r="BD60" s="564"/>
      <c r="BE60" s="564"/>
      <c r="BF60" s="564"/>
      <c r="BG60" s="564"/>
      <c r="BH60" s="564" t="s">
        <v>9409</v>
      </c>
      <c r="BI60" s="564"/>
      <c r="BJ60" s="564"/>
      <c r="BK60" s="564"/>
      <c r="BL60" s="564"/>
      <c r="BM60" s="564"/>
      <c r="BN60" s="564"/>
      <c r="BO60" s="564"/>
      <c r="BP60" s="564"/>
      <c r="BQ60" s="564" t="s">
        <v>9410</v>
      </c>
      <c r="BR60" s="564"/>
      <c r="BS60" s="564"/>
      <c r="BT60" s="564"/>
      <c r="BU60" s="564"/>
      <c r="BV60" s="564" t="s">
        <v>9411</v>
      </c>
      <c r="BW60" s="564"/>
      <c r="BX60" s="564"/>
      <c r="BY60" s="564"/>
      <c r="BZ60" s="564"/>
      <c r="CA60" s="564"/>
      <c r="CB60" s="564"/>
      <c r="CC60" s="564"/>
      <c r="CD60" s="564"/>
      <c r="CE60" s="564" t="s">
        <v>9412</v>
      </c>
      <c r="CF60" s="564"/>
      <c r="CG60" s="564"/>
      <c r="CH60" s="564"/>
      <c r="CI60" s="564"/>
      <c r="CJ60" s="564" t="s">
        <v>9590</v>
      </c>
      <c r="CK60" s="564"/>
      <c r="CL60" s="564"/>
      <c r="CM60" s="564"/>
      <c r="CN60" s="564"/>
      <c r="CO60" s="564"/>
      <c r="CP60" s="564"/>
      <c r="CQ60" s="564"/>
      <c r="CR60" s="564"/>
      <c r="CS60" s="564" t="s">
        <v>9414</v>
      </c>
      <c r="CT60" s="564"/>
      <c r="CU60" s="564"/>
      <c r="CV60" s="564"/>
      <c r="CW60" s="564"/>
      <c r="CX60" s="564" t="s">
        <v>6289</v>
      </c>
      <c r="CY60" s="564"/>
      <c r="CZ60" s="564"/>
      <c r="DA60" s="564"/>
      <c r="DB60" s="564"/>
      <c r="DC60" s="564"/>
      <c r="DD60" s="564"/>
      <c r="DE60" s="564"/>
      <c r="DF60" s="564"/>
      <c r="DG60" s="564" t="s">
        <v>9415</v>
      </c>
      <c r="DH60" s="564"/>
    </row>
    <row r="61" spans="1:112" s="299" customFormat="1" ht="12.75" x14ac:dyDescent="0.2">
      <c r="B61" s="34" t="s">
        <v>14434</v>
      </c>
      <c r="C61" s="92" t="str">
        <f t="shared" ca="1" si="54"/>
        <v>OLDER ADULTS</v>
      </c>
      <c r="D61" s="325"/>
      <c r="E61" s="325"/>
      <c r="F61" s="325"/>
      <c r="G61" s="325"/>
      <c r="H61" s="325"/>
      <c r="I61" s="325"/>
      <c r="J61" s="46"/>
      <c r="K61" s="16"/>
      <c r="L61" s="567"/>
      <c r="M61" s="567"/>
      <c r="O61" s="564"/>
      <c r="P61" s="564"/>
      <c r="Q61" s="564" t="s">
        <v>14434</v>
      </c>
      <c r="R61" s="564" t="s">
        <v>3772</v>
      </c>
      <c r="S61" s="564"/>
      <c r="T61" s="564"/>
      <c r="U61" s="564"/>
      <c r="V61" s="564"/>
      <c r="W61" s="564"/>
      <c r="X61" s="564"/>
      <c r="Y61" s="564"/>
      <c r="Z61" s="564"/>
      <c r="AA61" s="564"/>
      <c r="AB61" s="564"/>
      <c r="AC61" s="564"/>
      <c r="AD61" s="564"/>
      <c r="AE61" s="564" t="s">
        <v>14434</v>
      </c>
      <c r="AF61" s="564" t="s">
        <v>9416</v>
      </c>
      <c r="AG61" s="564"/>
      <c r="AH61" s="564"/>
      <c r="AI61" s="564"/>
      <c r="AJ61" s="564"/>
      <c r="AK61" s="564"/>
      <c r="AL61" s="564"/>
      <c r="AM61" s="564"/>
      <c r="AN61" s="564"/>
      <c r="AO61" s="564"/>
      <c r="AP61" s="564"/>
      <c r="AQ61" s="564"/>
      <c r="AR61" s="564"/>
      <c r="AS61" s="564" t="s">
        <v>14434</v>
      </c>
      <c r="AT61" s="564" t="s">
        <v>9417</v>
      </c>
      <c r="AU61" s="564"/>
      <c r="AV61" s="564"/>
      <c r="AW61" s="564"/>
      <c r="AX61" s="564"/>
      <c r="AY61" s="564"/>
      <c r="AZ61" s="564"/>
      <c r="BA61" s="564"/>
      <c r="BB61" s="564"/>
      <c r="BC61" s="564"/>
      <c r="BD61" s="564"/>
      <c r="BE61" s="564"/>
      <c r="BF61" s="564"/>
      <c r="BG61" s="564" t="s">
        <v>14434</v>
      </c>
      <c r="BH61" s="564" t="s">
        <v>9418</v>
      </c>
      <c r="BI61" s="564"/>
      <c r="BJ61" s="564"/>
      <c r="BK61" s="564"/>
      <c r="BL61" s="564"/>
      <c r="BM61" s="564"/>
      <c r="BN61" s="564"/>
      <c r="BO61" s="564"/>
      <c r="BP61" s="564"/>
      <c r="BQ61" s="564"/>
      <c r="BR61" s="564"/>
      <c r="BS61" s="564"/>
      <c r="BT61" s="564"/>
      <c r="BU61" s="564" t="s">
        <v>14434</v>
      </c>
      <c r="BV61" s="564" t="s">
        <v>9419</v>
      </c>
      <c r="BW61" s="564"/>
      <c r="BX61" s="564"/>
      <c r="BY61" s="564"/>
      <c r="BZ61" s="564"/>
      <c r="CA61" s="564"/>
      <c r="CB61" s="564"/>
      <c r="CC61" s="564"/>
      <c r="CD61" s="564"/>
      <c r="CE61" s="564"/>
      <c r="CF61" s="564"/>
      <c r="CG61" s="564"/>
      <c r="CH61" s="564"/>
      <c r="CI61" s="564" t="s">
        <v>14434</v>
      </c>
      <c r="CJ61" s="564" t="s">
        <v>9321</v>
      </c>
      <c r="CK61" s="564"/>
      <c r="CL61" s="564"/>
      <c r="CM61" s="564"/>
      <c r="CN61" s="564"/>
      <c r="CO61" s="564"/>
      <c r="CP61" s="564"/>
      <c r="CQ61" s="564"/>
      <c r="CR61" s="564"/>
      <c r="CS61" s="564"/>
      <c r="CT61" s="564"/>
      <c r="CU61" s="564"/>
      <c r="CV61" s="564"/>
      <c r="CW61" s="564" t="s">
        <v>14434</v>
      </c>
      <c r="CX61" s="564" t="s">
        <v>9322</v>
      </c>
      <c r="CY61" s="564"/>
      <c r="CZ61" s="564"/>
      <c r="DA61" s="564"/>
      <c r="DB61" s="564"/>
      <c r="DC61" s="564"/>
      <c r="DD61" s="564"/>
      <c r="DE61" s="564"/>
      <c r="DF61" s="564"/>
      <c r="DG61" s="564"/>
      <c r="DH61" s="564"/>
    </row>
    <row r="62" spans="1:112" s="299" customFormat="1" ht="12.75" x14ac:dyDescent="0.2">
      <c r="A62" s="354">
        <v>1</v>
      </c>
      <c r="B62" s="34"/>
      <c r="C62" s="23" t="str">
        <f t="shared" ca="1" si="54"/>
        <v>OLDER ADULTS in RESIDENTIAL INSTITUTIONS</v>
      </c>
      <c r="D62" s="226">
        <v>0</v>
      </c>
      <c r="E62" s="226">
        <v>0</v>
      </c>
      <c r="F62" s="226">
        <v>0</v>
      </c>
      <c r="G62" s="226">
        <v>0</v>
      </c>
      <c r="H62" s="226">
        <v>0</v>
      </c>
      <c r="I62" s="226">
        <v>0</v>
      </c>
      <c r="J62" s="448">
        <f>SUM(D62:I62)</f>
        <v>0</v>
      </c>
      <c r="K62" s="497" t="e">
        <f>AVERAGE(D29:I29)</f>
        <v>#N/A</v>
      </c>
      <c r="L62" s="12" t="str">
        <f t="shared" ca="1" si="55"/>
        <v>DM3</v>
      </c>
      <c r="M62" s="587"/>
      <c r="O62" s="564"/>
      <c r="P62" s="564"/>
      <c r="Q62" s="564"/>
      <c r="R62" s="564" t="s">
        <v>3774</v>
      </c>
      <c r="S62" s="564"/>
      <c r="T62" s="564"/>
      <c r="U62" s="564"/>
      <c r="V62" s="564"/>
      <c r="W62" s="564"/>
      <c r="X62" s="564"/>
      <c r="Y62" s="564"/>
      <c r="Z62" s="564"/>
      <c r="AA62" s="564" t="s">
        <v>1562</v>
      </c>
      <c r="AB62" s="564"/>
      <c r="AC62" s="564"/>
      <c r="AD62" s="564"/>
      <c r="AE62" s="564"/>
      <c r="AF62" s="564" t="s">
        <v>9420</v>
      </c>
      <c r="AG62" s="564"/>
      <c r="AH62" s="564"/>
      <c r="AI62" s="564"/>
      <c r="AJ62" s="564"/>
      <c r="AK62" s="564"/>
      <c r="AL62" s="564"/>
      <c r="AM62" s="564"/>
      <c r="AN62" s="564"/>
      <c r="AO62" s="564" t="s">
        <v>9421</v>
      </c>
      <c r="AP62" s="564"/>
      <c r="AQ62" s="564"/>
      <c r="AR62" s="564"/>
      <c r="AS62" s="564"/>
      <c r="AT62" s="564" t="s">
        <v>9422</v>
      </c>
      <c r="AU62" s="564"/>
      <c r="AV62" s="564"/>
      <c r="AW62" s="564"/>
      <c r="AX62" s="564"/>
      <c r="AY62" s="564"/>
      <c r="AZ62" s="564"/>
      <c r="BA62" s="564"/>
      <c r="BB62" s="564"/>
      <c r="BC62" s="564" t="s">
        <v>9423</v>
      </c>
      <c r="BD62" s="564"/>
      <c r="BE62" s="564"/>
      <c r="BF62" s="564"/>
      <c r="BG62" s="564"/>
      <c r="BH62" s="564" t="s">
        <v>9424</v>
      </c>
      <c r="BI62" s="564"/>
      <c r="BJ62" s="564"/>
      <c r="BK62" s="564"/>
      <c r="BL62" s="564"/>
      <c r="BM62" s="564"/>
      <c r="BN62" s="564"/>
      <c r="BO62" s="564"/>
      <c r="BP62" s="564"/>
      <c r="BQ62" s="564" t="s">
        <v>9421</v>
      </c>
      <c r="BR62" s="564"/>
      <c r="BS62" s="564"/>
      <c r="BT62" s="564"/>
      <c r="BU62" s="564"/>
      <c r="BV62" s="564" t="s">
        <v>9425</v>
      </c>
      <c r="BW62" s="564"/>
      <c r="BX62" s="564"/>
      <c r="BY62" s="564"/>
      <c r="BZ62" s="564"/>
      <c r="CA62" s="564"/>
      <c r="CB62" s="564"/>
      <c r="CC62" s="564"/>
      <c r="CD62" s="564"/>
      <c r="CE62" s="564" t="s">
        <v>9421</v>
      </c>
      <c r="CF62" s="564"/>
      <c r="CG62" s="564"/>
      <c r="CH62" s="564"/>
      <c r="CI62" s="564"/>
      <c r="CJ62" s="564" t="s">
        <v>9591</v>
      </c>
      <c r="CK62" s="564"/>
      <c r="CL62" s="564"/>
      <c r="CM62" s="564"/>
      <c r="CN62" s="564"/>
      <c r="CO62" s="564"/>
      <c r="CP62" s="564"/>
      <c r="CQ62" s="564"/>
      <c r="CR62" s="564"/>
      <c r="CS62" s="564" t="s">
        <v>1562</v>
      </c>
      <c r="CT62" s="564"/>
      <c r="CU62" s="564"/>
      <c r="CV62" s="564"/>
      <c r="CW62" s="564"/>
      <c r="CX62" s="564" t="s">
        <v>9427</v>
      </c>
      <c r="CY62" s="564"/>
      <c r="CZ62" s="564"/>
      <c r="DA62" s="564"/>
      <c r="DB62" s="564"/>
      <c r="DC62" s="564"/>
      <c r="DD62" s="564"/>
      <c r="DE62" s="564"/>
      <c r="DF62" s="564"/>
      <c r="DG62" s="564" t="s">
        <v>1562</v>
      </c>
      <c r="DH62" s="564"/>
    </row>
    <row r="63" spans="1:112" s="299" customFormat="1" ht="12.75" x14ac:dyDescent="0.2">
      <c r="B63" s="34"/>
      <c r="C63" s="66" t="str">
        <f t="shared" ca="1" si="54"/>
        <v>AND, SOCIAL CARE WORKERS in RESIDENTIAL INSTITUTIONS</v>
      </c>
      <c r="D63" s="253">
        <f>D62</f>
        <v>0</v>
      </c>
      <c r="E63" s="253">
        <v>0</v>
      </c>
      <c r="F63" s="253">
        <f t="shared" ref="F63:I63" si="58">F62</f>
        <v>0</v>
      </c>
      <c r="G63" s="253">
        <f t="shared" si="58"/>
        <v>0</v>
      </c>
      <c r="H63" s="253">
        <f t="shared" si="58"/>
        <v>0</v>
      </c>
      <c r="I63" s="253">
        <f t="shared" si="58"/>
        <v>0</v>
      </c>
      <c r="J63" s="46"/>
      <c r="K63" s="16" t="e">
        <f>AVERAGE(D30:I30)</f>
        <v>#N/A</v>
      </c>
      <c r="L63" s="12" t="str">
        <f t="shared" ca="1" si="55"/>
        <v>DM3</v>
      </c>
      <c r="M63" s="567"/>
      <c r="O63" s="564"/>
      <c r="P63" s="564"/>
      <c r="Q63" s="564"/>
      <c r="R63" s="564" t="s">
        <v>3775</v>
      </c>
      <c r="S63" s="564"/>
      <c r="T63" s="564"/>
      <c r="U63" s="564"/>
      <c r="V63" s="564"/>
      <c r="W63" s="564"/>
      <c r="X63" s="564"/>
      <c r="Y63" s="564"/>
      <c r="Z63" s="564"/>
      <c r="AA63" s="564" t="s">
        <v>1562</v>
      </c>
      <c r="AB63" s="564"/>
      <c r="AC63" s="564"/>
      <c r="AD63" s="564"/>
      <c r="AE63" s="564"/>
      <c r="AF63" s="564" t="s">
        <v>9428</v>
      </c>
      <c r="AG63" s="564"/>
      <c r="AH63" s="564"/>
      <c r="AI63" s="564"/>
      <c r="AJ63" s="564"/>
      <c r="AK63" s="564"/>
      <c r="AL63" s="564"/>
      <c r="AM63" s="564"/>
      <c r="AN63" s="564"/>
      <c r="AO63" s="564" t="s">
        <v>9421</v>
      </c>
      <c r="AP63" s="564"/>
      <c r="AQ63" s="564"/>
      <c r="AR63" s="564"/>
      <c r="AS63" s="564"/>
      <c r="AT63" s="564" t="s">
        <v>9592</v>
      </c>
      <c r="AU63" s="564"/>
      <c r="AV63" s="564"/>
      <c r="AW63" s="564"/>
      <c r="AX63" s="564"/>
      <c r="AY63" s="564"/>
      <c r="AZ63" s="564"/>
      <c r="BA63" s="564"/>
      <c r="BB63" s="564"/>
      <c r="BC63" s="564" t="s">
        <v>9423</v>
      </c>
      <c r="BD63" s="564"/>
      <c r="BE63" s="564"/>
      <c r="BF63" s="564"/>
      <c r="BG63" s="564"/>
      <c r="BH63" s="564" t="s">
        <v>9430</v>
      </c>
      <c r="BI63" s="564"/>
      <c r="BJ63" s="564"/>
      <c r="BK63" s="564"/>
      <c r="BL63" s="564"/>
      <c r="BM63" s="564"/>
      <c r="BN63" s="564"/>
      <c r="BO63" s="564"/>
      <c r="BP63" s="564"/>
      <c r="BQ63" s="564" t="s">
        <v>9421</v>
      </c>
      <c r="BR63" s="564"/>
      <c r="BS63" s="564"/>
      <c r="BT63" s="564"/>
      <c r="BU63" s="564"/>
      <c r="BV63" s="564" t="s">
        <v>9431</v>
      </c>
      <c r="BW63" s="564"/>
      <c r="BX63" s="564"/>
      <c r="BY63" s="564"/>
      <c r="BZ63" s="564"/>
      <c r="CA63" s="564"/>
      <c r="CB63" s="564"/>
      <c r="CC63" s="564"/>
      <c r="CD63" s="564"/>
      <c r="CE63" s="564" t="s">
        <v>9421</v>
      </c>
      <c r="CF63" s="564"/>
      <c r="CG63" s="564"/>
      <c r="CH63" s="564"/>
      <c r="CI63" s="564"/>
      <c r="CJ63" s="564" t="s">
        <v>9593</v>
      </c>
      <c r="CK63" s="564"/>
      <c r="CL63" s="564"/>
      <c r="CM63" s="564"/>
      <c r="CN63" s="564"/>
      <c r="CO63" s="564"/>
      <c r="CP63" s="564"/>
      <c r="CQ63" s="564"/>
      <c r="CR63" s="564"/>
      <c r="CS63" s="564" t="s">
        <v>1562</v>
      </c>
      <c r="CT63" s="564"/>
      <c r="CU63" s="564"/>
      <c r="CV63" s="564"/>
      <c r="CW63" s="564"/>
      <c r="CX63" s="564" t="s">
        <v>9433</v>
      </c>
      <c r="CY63" s="564"/>
      <c r="CZ63" s="564"/>
      <c r="DA63" s="564"/>
      <c r="DB63" s="564"/>
      <c r="DC63" s="564"/>
      <c r="DD63" s="564"/>
      <c r="DE63" s="564"/>
      <c r="DF63" s="564"/>
      <c r="DG63" s="564" t="s">
        <v>1562</v>
      </c>
      <c r="DH63" s="564"/>
    </row>
    <row r="64" spans="1:112" s="299" customFormat="1" ht="12.75" x14ac:dyDescent="0.2">
      <c r="A64" s="354">
        <v>1</v>
      </c>
      <c r="B64" s="34"/>
      <c r="C64" s="23" t="str">
        <f t="shared" ca="1" si="54"/>
        <v>OLDER ADULTS in the community</v>
      </c>
      <c r="D64" s="226">
        <v>0</v>
      </c>
      <c r="E64" s="226">
        <v>0</v>
      </c>
      <c r="F64" s="226">
        <v>0</v>
      </c>
      <c r="G64" s="226">
        <v>0</v>
      </c>
      <c r="H64" s="226">
        <v>0</v>
      </c>
      <c r="I64" s="226">
        <v>0</v>
      </c>
      <c r="J64" s="448">
        <f>SUM(D64:I64)</f>
        <v>0</v>
      </c>
      <c r="K64" s="497" t="e">
        <f>AVERAGE(D31:I31)</f>
        <v>#N/A</v>
      </c>
      <c r="L64" s="12" t="str">
        <f t="shared" ca="1" si="55"/>
        <v>Voluntary DM1 / DM2</v>
      </c>
      <c r="M64" s="587"/>
      <c r="O64" s="564"/>
      <c r="P64" s="564"/>
      <c r="Q64" s="564"/>
      <c r="R64" s="564" t="s">
        <v>3773</v>
      </c>
      <c r="S64" s="564"/>
      <c r="T64" s="564"/>
      <c r="U64" s="564"/>
      <c r="V64" s="564"/>
      <c r="W64" s="564"/>
      <c r="X64" s="564"/>
      <c r="Y64" s="564"/>
      <c r="Z64" s="564"/>
      <c r="AA64" s="564" t="s">
        <v>3014</v>
      </c>
      <c r="AB64" s="564"/>
      <c r="AC64" s="564"/>
      <c r="AD64" s="564"/>
      <c r="AE64" s="564"/>
      <c r="AF64" s="564" t="s">
        <v>9434</v>
      </c>
      <c r="AG64" s="564"/>
      <c r="AH64" s="564"/>
      <c r="AI64" s="564"/>
      <c r="AJ64" s="564"/>
      <c r="AK64" s="564"/>
      <c r="AL64" s="564"/>
      <c r="AM64" s="564"/>
      <c r="AN64" s="564"/>
      <c r="AO64" s="564" t="s">
        <v>9406</v>
      </c>
      <c r="AP64" s="564"/>
      <c r="AQ64" s="564"/>
      <c r="AR64" s="564"/>
      <c r="AS64" s="564"/>
      <c r="AT64" s="564" t="s">
        <v>9435</v>
      </c>
      <c r="AU64" s="564"/>
      <c r="AV64" s="564"/>
      <c r="AW64" s="564"/>
      <c r="AX64" s="564"/>
      <c r="AY64" s="564"/>
      <c r="AZ64" s="564"/>
      <c r="BA64" s="564"/>
      <c r="BB64" s="564"/>
      <c r="BC64" s="564" t="s">
        <v>9408</v>
      </c>
      <c r="BD64" s="564"/>
      <c r="BE64" s="564"/>
      <c r="BF64" s="564"/>
      <c r="BG64" s="564"/>
      <c r="BH64" s="564" t="s">
        <v>9436</v>
      </c>
      <c r="BI64" s="564"/>
      <c r="BJ64" s="564"/>
      <c r="BK64" s="564"/>
      <c r="BL64" s="564"/>
      <c r="BM64" s="564"/>
      <c r="BN64" s="564"/>
      <c r="BO64" s="564"/>
      <c r="BP64" s="564"/>
      <c r="BQ64" s="564" t="s">
        <v>9410</v>
      </c>
      <c r="BR64" s="564"/>
      <c r="BS64" s="564"/>
      <c r="BT64" s="564"/>
      <c r="BU64" s="564"/>
      <c r="BV64" s="564" t="s">
        <v>9437</v>
      </c>
      <c r="BW64" s="564"/>
      <c r="BX64" s="564"/>
      <c r="BY64" s="564"/>
      <c r="BZ64" s="564"/>
      <c r="CA64" s="564"/>
      <c r="CB64" s="564"/>
      <c r="CC64" s="564"/>
      <c r="CD64" s="564"/>
      <c r="CE64" s="564" t="s">
        <v>9412</v>
      </c>
      <c r="CF64" s="564"/>
      <c r="CG64" s="564"/>
      <c r="CH64" s="564"/>
      <c r="CI64" s="564"/>
      <c r="CJ64" s="564" t="s">
        <v>9594</v>
      </c>
      <c r="CK64" s="564"/>
      <c r="CL64" s="564"/>
      <c r="CM64" s="564"/>
      <c r="CN64" s="564"/>
      <c r="CO64" s="564"/>
      <c r="CP64" s="564"/>
      <c r="CQ64" s="564"/>
      <c r="CR64" s="564"/>
      <c r="CS64" s="564" t="s">
        <v>9414</v>
      </c>
      <c r="CT64" s="564"/>
      <c r="CU64" s="564"/>
      <c r="CV64" s="564"/>
      <c r="CW64" s="564"/>
      <c r="CX64" s="564" t="s">
        <v>9439</v>
      </c>
      <c r="CY64" s="564"/>
      <c r="CZ64" s="564"/>
      <c r="DA64" s="564"/>
      <c r="DB64" s="564"/>
      <c r="DC64" s="564"/>
      <c r="DD64" s="564"/>
      <c r="DE64" s="564"/>
      <c r="DF64" s="564"/>
      <c r="DG64" s="564" t="s">
        <v>9415</v>
      </c>
      <c r="DH64" s="564"/>
    </row>
    <row r="65" spans="1:112" s="299" customFormat="1" ht="12.75" x14ac:dyDescent="0.2">
      <c r="B65" s="34"/>
      <c r="C65" s="23" t="str">
        <f t="shared" ca="1" si="54"/>
        <v>AND, their households members</v>
      </c>
      <c r="D65" s="253">
        <f>D64</f>
        <v>0</v>
      </c>
      <c r="E65" s="253">
        <f t="shared" ref="E65:I65" si="59">E64</f>
        <v>0</v>
      </c>
      <c r="F65" s="253">
        <f t="shared" si="59"/>
        <v>0</v>
      </c>
      <c r="G65" s="253">
        <f t="shared" si="59"/>
        <v>0</v>
      </c>
      <c r="H65" s="253">
        <f t="shared" si="59"/>
        <v>0</v>
      </c>
      <c r="I65" s="253">
        <f t="shared" si="59"/>
        <v>0</v>
      </c>
      <c r="J65" s="46"/>
      <c r="K65" s="16" t="e">
        <f>AVERAGE(D32:I32)</f>
        <v>#N/A</v>
      </c>
      <c r="L65" s="12" t="str">
        <f t="shared" ca="1" si="55"/>
        <v>Voluntary DM1 / DM2</v>
      </c>
      <c r="M65" s="567"/>
      <c r="O65" s="564"/>
      <c r="P65" s="564"/>
      <c r="Q65" s="564"/>
      <c r="R65" s="564" t="s">
        <v>3790</v>
      </c>
      <c r="S65" s="564"/>
      <c r="T65" s="564"/>
      <c r="U65" s="564"/>
      <c r="V65" s="564"/>
      <c r="W65" s="564"/>
      <c r="X65" s="564"/>
      <c r="Y65" s="564"/>
      <c r="Z65" s="564"/>
      <c r="AA65" s="564" t="s">
        <v>3014</v>
      </c>
      <c r="AB65" s="564"/>
      <c r="AC65" s="564"/>
      <c r="AD65" s="564"/>
      <c r="AE65" s="564"/>
      <c r="AF65" s="564" t="s">
        <v>9440</v>
      </c>
      <c r="AG65" s="564"/>
      <c r="AH65" s="564"/>
      <c r="AI65" s="564"/>
      <c r="AJ65" s="564"/>
      <c r="AK65" s="564"/>
      <c r="AL65" s="564"/>
      <c r="AM65" s="564"/>
      <c r="AN65" s="564"/>
      <c r="AO65" s="564" t="s">
        <v>9406</v>
      </c>
      <c r="AP65" s="564"/>
      <c r="AQ65" s="564"/>
      <c r="AR65" s="564"/>
      <c r="AS65" s="564"/>
      <c r="AT65" s="564" t="s">
        <v>9441</v>
      </c>
      <c r="AU65" s="564"/>
      <c r="AV65" s="564"/>
      <c r="AW65" s="564"/>
      <c r="AX65" s="564"/>
      <c r="AY65" s="564"/>
      <c r="AZ65" s="564"/>
      <c r="BA65" s="564"/>
      <c r="BB65" s="564"/>
      <c r="BC65" s="564" t="s">
        <v>9408</v>
      </c>
      <c r="BD65" s="564"/>
      <c r="BE65" s="564"/>
      <c r="BF65" s="564"/>
      <c r="BG65" s="564"/>
      <c r="BH65" s="564" t="s">
        <v>9442</v>
      </c>
      <c r="BI65" s="564"/>
      <c r="BJ65" s="564"/>
      <c r="BK65" s="564"/>
      <c r="BL65" s="564"/>
      <c r="BM65" s="564"/>
      <c r="BN65" s="564"/>
      <c r="BO65" s="564"/>
      <c r="BP65" s="564"/>
      <c r="BQ65" s="564" t="s">
        <v>9410</v>
      </c>
      <c r="BR65" s="564"/>
      <c r="BS65" s="564"/>
      <c r="BT65" s="564"/>
      <c r="BU65" s="564"/>
      <c r="BV65" s="564" t="s">
        <v>9443</v>
      </c>
      <c r="BW65" s="564"/>
      <c r="BX65" s="564"/>
      <c r="BY65" s="564"/>
      <c r="BZ65" s="564"/>
      <c r="CA65" s="564"/>
      <c r="CB65" s="564"/>
      <c r="CC65" s="564"/>
      <c r="CD65" s="564"/>
      <c r="CE65" s="564" t="s">
        <v>9412</v>
      </c>
      <c r="CF65" s="564"/>
      <c r="CG65" s="564"/>
      <c r="CH65" s="564"/>
      <c r="CI65" s="564"/>
      <c r="CJ65" s="564" t="s">
        <v>9595</v>
      </c>
      <c r="CK65" s="564"/>
      <c r="CL65" s="564"/>
      <c r="CM65" s="564"/>
      <c r="CN65" s="564"/>
      <c r="CO65" s="564"/>
      <c r="CP65" s="564"/>
      <c r="CQ65" s="564"/>
      <c r="CR65" s="564"/>
      <c r="CS65" s="564" t="s">
        <v>9414</v>
      </c>
      <c r="CT65" s="564"/>
      <c r="CU65" s="564"/>
      <c r="CV65" s="564"/>
      <c r="CW65" s="564"/>
      <c r="CX65" s="564" t="s">
        <v>9445</v>
      </c>
      <c r="CY65" s="564"/>
      <c r="CZ65" s="564"/>
      <c r="DA65" s="564"/>
      <c r="DB65" s="564"/>
      <c r="DC65" s="564"/>
      <c r="DD65" s="564"/>
      <c r="DE65" s="564"/>
      <c r="DF65" s="564"/>
      <c r="DG65" s="564" t="s">
        <v>9415</v>
      </c>
      <c r="DH65" s="564"/>
    </row>
    <row r="66" spans="1:112" s="299" customFormat="1" ht="12.75" x14ac:dyDescent="0.2">
      <c r="A66" s="354">
        <v>1</v>
      </c>
      <c r="B66" s="34"/>
      <c r="C66" s="66" t="str">
        <f t="shared" ca="1" si="54"/>
        <v>Hard-to-Reach OLDER ADULTS</v>
      </c>
      <c r="D66" s="226">
        <v>0</v>
      </c>
      <c r="E66" s="226">
        <v>0</v>
      </c>
      <c r="F66" s="226">
        <v>0</v>
      </c>
      <c r="G66" s="226">
        <v>0</v>
      </c>
      <c r="H66" s="226">
        <v>0</v>
      </c>
      <c r="I66" s="226">
        <v>0</v>
      </c>
      <c r="J66" s="448">
        <f>SUM(D66:I66)</f>
        <v>0</v>
      </c>
      <c r="K66" s="497" t="e">
        <f>AVERAGE(D33:I33)</f>
        <v>#N/A</v>
      </c>
      <c r="L66" s="12" t="str">
        <f t="shared" ca="1" si="55"/>
        <v>DM4</v>
      </c>
      <c r="M66" s="587"/>
      <c r="O66" s="564"/>
      <c r="P66" s="564"/>
      <c r="Q66" s="564"/>
      <c r="R66" s="564" t="s">
        <v>3811</v>
      </c>
      <c r="S66" s="564"/>
      <c r="T66" s="564"/>
      <c r="U66" s="564"/>
      <c r="V66" s="564"/>
      <c r="W66" s="564"/>
      <c r="X66" s="564"/>
      <c r="Y66" s="564"/>
      <c r="Z66" s="564"/>
      <c r="AA66" s="564" t="s">
        <v>1561</v>
      </c>
      <c r="AB66" s="564"/>
      <c r="AC66" s="564"/>
      <c r="AD66" s="564"/>
      <c r="AE66" s="564"/>
      <c r="AF66" s="564" t="s">
        <v>9446</v>
      </c>
      <c r="AG66" s="564"/>
      <c r="AH66" s="564"/>
      <c r="AI66" s="564"/>
      <c r="AJ66" s="564"/>
      <c r="AK66" s="564"/>
      <c r="AL66" s="564"/>
      <c r="AM66" s="564"/>
      <c r="AN66" s="564"/>
      <c r="AO66" s="564" t="s">
        <v>9447</v>
      </c>
      <c r="AP66" s="564"/>
      <c r="AQ66" s="564"/>
      <c r="AR66" s="564"/>
      <c r="AS66" s="564"/>
      <c r="AT66" s="564" t="s">
        <v>9448</v>
      </c>
      <c r="AU66" s="564"/>
      <c r="AV66" s="564"/>
      <c r="AW66" s="564"/>
      <c r="AX66" s="564"/>
      <c r="AY66" s="564"/>
      <c r="AZ66" s="564"/>
      <c r="BA66" s="564"/>
      <c r="BB66" s="564"/>
      <c r="BC66" s="564" t="s">
        <v>9449</v>
      </c>
      <c r="BD66" s="564"/>
      <c r="BE66" s="564"/>
      <c r="BF66" s="564"/>
      <c r="BG66" s="564"/>
      <c r="BH66" s="564" t="s">
        <v>9450</v>
      </c>
      <c r="BI66" s="564"/>
      <c r="BJ66" s="564"/>
      <c r="BK66" s="564"/>
      <c r="BL66" s="564"/>
      <c r="BM66" s="564"/>
      <c r="BN66" s="564"/>
      <c r="BO66" s="564"/>
      <c r="BP66" s="564"/>
      <c r="BQ66" s="564" t="s">
        <v>9447</v>
      </c>
      <c r="BR66" s="564"/>
      <c r="BS66" s="564"/>
      <c r="BT66" s="564"/>
      <c r="BU66" s="564"/>
      <c r="BV66" s="564" t="s">
        <v>9451</v>
      </c>
      <c r="BW66" s="564"/>
      <c r="BX66" s="564"/>
      <c r="BY66" s="564"/>
      <c r="BZ66" s="564"/>
      <c r="CA66" s="564"/>
      <c r="CB66" s="564"/>
      <c r="CC66" s="564"/>
      <c r="CD66" s="564"/>
      <c r="CE66" s="564" t="s">
        <v>9447</v>
      </c>
      <c r="CF66" s="564"/>
      <c r="CG66" s="564"/>
      <c r="CH66" s="564"/>
      <c r="CI66" s="564"/>
      <c r="CJ66" s="564" t="s">
        <v>9452</v>
      </c>
      <c r="CK66" s="564"/>
      <c r="CL66" s="564"/>
      <c r="CM66" s="564"/>
      <c r="CN66" s="564"/>
      <c r="CO66" s="564"/>
      <c r="CP66" s="564"/>
      <c r="CQ66" s="564"/>
      <c r="CR66" s="564"/>
      <c r="CS66" s="564" t="s">
        <v>1561</v>
      </c>
      <c r="CT66" s="564"/>
      <c r="CU66" s="564"/>
      <c r="CV66" s="564"/>
      <c r="CW66" s="564"/>
      <c r="CX66" s="564" t="s">
        <v>9453</v>
      </c>
      <c r="CY66" s="564"/>
      <c r="CZ66" s="564"/>
      <c r="DA66" s="564"/>
      <c r="DB66" s="564"/>
      <c r="DC66" s="564"/>
      <c r="DD66" s="564"/>
      <c r="DE66" s="564"/>
      <c r="DF66" s="564"/>
      <c r="DG66" s="564" t="s">
        <v>1561</v>
      </c>
      <c r="DH66" s="564"/>
    </row>
    <row r="67" spans="1:112" s="299" customFormat="1" ht="12.75" x14ac:dyDescent="0.2">
      <c r="C67" s="23" t="str">
        <f t="shared" ca="1" si="54"/>
        <v>AND, their households members</v>
      </c>
      <c r="D67" s="253">
        <f>D66</f>
        <v>0</v>
      </c>
      <c r="E67" s="253">
        <f t="shared" ref="E67:I67" si="60">E66</f>
        <v>0</v>
      </c>
      <c r="F67" s="253">
        <f t="shared" si="60"/>
        <v>0</v>
      </c>
      <c r="G67" s="253">
        <f t="shared" si="60"/>
        <v>0</v>
      </c>
      <c r="H67" s="253">
        <f t="shared" si="60"/>
        <v>0</v>
      </c>
      <c r="I67" s="253">
        <f t="shared" si="60"/>
        <v>0</v>
      </c>
      <c r="J67" s="46"/>
      <c r="K67" s="16"/>
      <c r="L67" s="12" t="str">
        <f t="shared" ca="1" si="55"/>
        <v>DM4</v>
      </c>
      <c r="M67" s="567"/>
      <c r="O67" s="564"/>
      <c r="P67" s="564"/>
      <c r="Q67" s="564"/>
      <c r="R67" s="564" t="s">
        <v>3790</v>
      </c>
      <c r="S67" s="564"/>
      <c r="T67" s="564"/>
      <c r="U67" s="564"/>
      <c r="V67" s="564"/>
      <c r="W67" s="564"/>
      <c r="X67" s="564"/>
      <c r="Y67" s="564"/>
      <c r="Z67" s="564"/>
      <c r="AA67" s="564" t="s">
        <v>1561</v>
      </c>
      <c r="AB67" s="564"/>
      <c r="AC67" s="564"/>
      <c r="AD67" s="564"/>
      <c r="AE67" s="564"/>
      <c r="AF67" s="564" t="s">
        <v>9440</v>
      </c>
      <c r="AG67" s="564"/>
      <c r="AH67" s="564"/>
      <c r="AI67" s="564"/>
      <c r="AJ67" s="564"/>
      <c r="AK67" s="564"/>
      <c r="AL67" s="564"/>
      <c r="AM67" s="564"/>
      <c r="AN67" s="564"/>
      <c r="AO67" s="564" t="s">
        <v>9447</v>
      </c>
      <c r="AP67" s="564"/>
      <c r="AQ67" s="564"/>
      <c r="AR67" s="564"/>
      <c r="AS67" s="564"/>
      <c r="AT67" s="564" t="s">
        <v>9441</v>
      </c>
      <c r="AU67" s="564"/>
      <c r="AV67" s="564"/>
      <c r="AW67" s="564"/>
      <c r="AX67" s="564"/>
      <c r="AY67" s="564"/>
      <c r="AZ67" s="564"/>
      <c r="BA67" s="564"/>
      <c r="BB67" s="564"/>
      <c r="BC67" s="564" t="s">
        <v>9449</v>
      </c>
      <c r="BD67" s="564"/>
      <c r="BE67" s="564"/>
      <c r="BF67" s="564"/>
      <c r="BG67" s="564"/>
      <c r="BH67" s="564" t="s">
        <v>9442</v>
      </c>
      <c r="BI67" s="564"/>
      <c r="BJ67" s="564"/>
      <c r="BK67" s="564"/>
      <c r="BL67" s="564"/>
      <c r="BM67" s="564"/>
      <c r="BN67" s="564"/>
      <c r="BO67" s="564"/>
      <c r="BP67" s="564"/>
      <c r="BQ67" s="564" t="s">
        <v>9447</v>
      </c>
      <c r="BR67" s="564"/>
      <c r="BS67" s="564"/>
      <c r="BT67" s="564"/>
      <c r="BU67" s="564"/>
      <c r="BV67" s="564" t="s">
        <v>9443</v>
      </c>
      <c r="BW67" s="564"/>
      <c r="BX67" s="564"/>
      <c r="BY67" s="564"/>
      <c r="BZ67" s="564"/>
      <c r="CA67" s="564"/>
      <c r="CB67" s="564"/>
      <c r="CC67" s="564"/>
      <c r="CD67" s="564"/>
      <c r="CE67" s="564" t="s">
        <v>9447</v>
      </c>
      <c r="CF67" s="564"/>
      <c r="CG67" s="564"/>
      <c r="CH67" s="564"/>
      <c r="CI67" s="564"/>
      <c r="CJ67" s="564" t="s">
        <v>9595</v>
      </c>
      <c r="CK67" s="564"/>
      <c r="CL67" s="564"/>
      <c r="CM67" s="564"/>
      <c r="CN67" s="564"/>
      <c r="CO67" s="564"/>
      <c r="CP67" s="564"/>
      <c r="CQ67" s="564"/>
      <c r="CR67" s="564"/>
      <c r="CS67" s="564" t="s">
        <v>1561</v>
      </c>
      <c r="CT67" s="564"/>
      <c r="CU67" s="564"/>
      <c r="CV67" s="564"/>
      <c r="CW67" s="564"/>
      <c r="CX67" s="564" t="s">
        <v>9445</v>
      </c>
      <c r="CY67" s="564"/>
      <c r="CZ67" s="564"/>
      <c r="DA67" s="564"/>
      <c r="DB67" s="564"/>
      <c r="DC67" s="564"/>
      <c r="DD67" s="564"/>
      <c r="DE67" s="564"/>
      <c r="DF67" s="564"/>
      <c r="DG67" s="564" t="s">
        <v>1561</v>
      </c>
      <c r="DH67" s="564"/>
    </row>
    <row r="68" spans="1:112" s="299" customFormat="1" ht="12.75" x14ac:dyDescent="0.2">
      <c r="D68" s="325"/>
      <c r="E68" s="325"/>
      <c r="F68" s="325"/>
      <c r="G68" s="325"/>
      <c r="H68" s="325"/>
      <c r="I68" s="325"/>
      <c r="J68" s="46"/>
      <c r="L68" s="567"/>
      <c r="M68" s="567"/>
      <c r="O68" s="564"/>
      <c r="P68" s="564"/>
      <c r="Q68" s="564"/>
      <c r="R68" s="564"/>
      <c r="S68" s="564"/>
      <c r="T68" s="564"/>
      <c r="U68" s="564"/>
      <c r="V68" s="564"/>
      <c r="W68" s="564"/>
      <c r="X68" s="564"/>
      <c r="Y68" s="564"/>
      <c r="Z68" s="564"/>
      <c r="AA68" s="564"/>
      <c r="AB68" s="564"/>
      <c r="AC68" s="564"/>
      <c r="AD68" s="564"/>
      <c r="AE68" s="564"/>
      <c r="AF68" s="564"/>
      <c r="AG68" s="564"/>
      <c r="AH68" s="564"/>
      <c r="AI68" s="564"/>
      <c r="AJ68" s="564"/>
      <c r="AK68" s="564"/>
      <c r="AL68" s="564"/>
      <c r="AM68" s="564"/>
      <c r="AN68" s="564"/>
      <c r="AO68" s="564"/>
      <c r="AP68" s="564"/>
      <c r="AQ68" s="564"/>
      <c r="AR68" s="564"/>
      <c r="AS68" s="564"/>
      <c r="AT68" s="564"/>
      <c r="AU68" s="564"/>
      <c r="AV68" s="564"/>
      <c r="AW68" s="564"/>
      <c r="AX68" s="564"/>
      <c r="AY68" s="564"/>
      <c r="AZ68" s="564"/>
      <c r="BA68" s="564"/>
      <c r="BB68" s="564"/>
      <c r="BC68" s="564"/>
      <c r="BD68" s="564"/>
      <c r="BE68" s="564"/>
      <c r="BF68" s="564"/>
      <c r="BG68" s="564"/>
      <c r="BH68" s="564"/>
      <c r="BI68" s="564"/>
      <c r="BJ68" s="564"/>
      <c r="BK68" s="564"/>
      <c r="BL68" s="564"/>
      <c r="BM68" s="564"/>
      <c r="BN68" s="564"/>
      <c r="BO68" s="564"/>
      <c r="BP68" s="564"/>
      <c r="BQ68" s="564"/>
      <c r="BR68" s="564"/>
      <c r="BS68" s="564"/>
      <c r="BT68" s="564"/>
      <c r="BU68" s="564"/>
      <c r="BV68" s="564"/>
      <c r="BW68" s="564"/>
      <c r="BX68" s="564"/>
      <c r="BY68" s="564"/>
      <c r="BZ68" s="564"/>
      <c r="CA68" s="564"/>
      <c r="CB68" s="564"/>
      <c r="CC68" s="564"/>
      <c r="CD68" s="564"/>
      <c r="CE68" s="564"/>
      <c r="CF68" s="564"/>
      <c r="CG68" s="564"/>
      <c r="CH68" s="564"/>
      <c r="CI68" s="564"/>
      <c r="CJ68" s="564"/>
      <c r="CK68" s="564"/>
      <c r="CL68" s="564"/>
      <c r="CM68" s="564"/>
      <c r="CN68" s="564"/>
      <c r="CO68" s="564"/>
      <c r="CP68" s="564"/>
      <c r="CQ68" s="564"/>
      <c r="CR68" s="564"/>
      <c r="CS68" s="564"/>
      <c r="CT68" s="564"/>
      <c r="CU68" s="564"/>
      <c r="CV68" s="564"/>
      <c r="CW68" s="564"/>
      <c r="CX68" s="564"/>
      <c r="CY68" s="564"/>
      <c r="CZ68" s="564"/>
      <c r="DA68" s="564"/>
      <c r="DB68" s="564"/>
      <c r="DC68" s="564"/>
      <c r="DD68" s="564"/>
      <c r="DE68" s="564"/>
      <c r="DF68" s="564"/>
      <c r="DG68" s="564"/>
      <c r="DH68" s="564"/>
    </row>
    <row r="69" spans="1:112" s="299" customFormat="1" ht="12.75" x14ac:dyDescent="0.2">
      <c r="B69" s="34" t="s">
        <v>14436</v>
      </c>
      <c r="C69" s="699" t="str">
        <f t="shared" ref="C69:C74" ca="1" si="61">IF(OFFSET(R69,0,Lang_Order*Lang__B1)="","",OFFSET(R69,0,Lang_Order*Lang__B1))</f>
        <v>Sociodemographic groups at significantly higher risk of severe disease or death</v>
      </c>
      <c r="D69" s="699"/>
      <c r="E69" s="699"/>
      <c r="F69" s="699"/>
      <c r="G69" s="699"/>
      <c r="H69" s="699"/>
      <c r="I69" s="699"/>
      <c r="J69" s="46"/>
      <c r="L69" s="567"/>
      <c r="M69" s="567"/>
      <c r="O69" s="564"/>
      <c r="P69" s="564"/>
      <c r="Q69" s="564" t="s">
        <v>14436</v>
      </c>
      <c r="R69" s="564" t="s">
        <v>3776</v>
      </c>
      <c r="S69" s="564"/>
      <c r="T69" s="564"/>
      <c r="U69" s="564"/>
      <c r="V69" s="564"/>
      <c r="W69" s="564"/>
      <c r="X69" s="564"/>
      <c r="Y69" s="564"/>
      <c r="Z69" s="564"/>
      <c r="AA69" s="564"/>
      <c r="AB69" s="564"/>
      <c r="AC69" s="564"/>
      <c r="AD69" s="564"/>
      <c r="AE69" s="564" t="s">
        <v>14436</v>
      </c>
      <c r="AF69" s="564" t="s">
        <v>9455</v>
      </c>
      <c r="AG69" s="564"/>
      <c r="AH69" s="564"/>
      <c r="AI69" s="564"/>
      <c r="AJ69" s="564"/>
      <c r="AK69" s="564"/>
      <c r="AL69" s="564"/>
      <c r="AM69" s="564"/>
      <c r="AN69" s="564"/>
      <c r="AO69" s="564"/>
      <c r="AP69" s="564"/>
      <c r="AQ69" s="564"/>
      <c r="AR69" s="564"/>
      <c r="AS69" s="564" t="s">
        <v>14436</v>
      </c>
      <c r="AT69" s="564" t="s">
        <v>9456</v>
      </c>
      <c r="AU69" s="564"/>
      <c r="AV69" s="564"/>
      <c r="AW69" s="564"/>
      <c r="AX69" s="564"/>
      <c r="AY69" s="564"/>
      <c r="AZ69" s="564"/>
      <c r="BA69" s="564"/>
      <c r="BB69" s="564"/>
      <c r="BC69" s="564"/>
      <c r="BD69" s="564"/>
      <c r="BE69" s="564"/>
      <c r="BF69" s="564"/>
      <c r="BG69" s="564" t="s">
        <v>14436</v>
      </c>
      <c r="BH69" s="564" t="s">
        <v>9457</v>
      </c>
      <c r="BI69" s="564"/>
      <c r="BJ69" s="564"/>
      <c r="BK69" s="564"/>
      <c r="BL69" s="564"/>
      <c r="BM69" s="564"/>
      <c r="BN69" s="564"/>
      <c r="BO69" s="564"/>
      <c r="BP69" s="564"/>
      <c r="BQ69" s="564"/>
      <c r="BR69" s="564"/>
      <c r="BS69" s="564"/>
      <c r="BT69" s="564"/>
      <c r="BU69" s="564" t="s">
        <v>14436</v>
      </c>
      <c r="BV69" s="564" t="s">
        <v>9458</v>
      </c>
      <c r="BW69" s="564"/>
      <c r="BX69" s="564"/>
      <c r="BY69" s="564"/>
      <c r="BZ69" s="564"/>
      <c r="CA69" s="564"/>
      <c r="CB69" s="564"/>
      <c r="CC69" s="564"/>
      <c r="CD69" s="564"/>
      <c r="CE69" s="564"/>
      <c r="CF69" s="564"/>
      <c r="CG69" s="564"/>
      <c r="CH69" s="564"/>
      <c r="CI69" s="564" t="s">
        <v>14437</v>
      </c>
      <c r="CJ69" s="564" t="s">
        <v>9596</v>
      </c>
      <c r="CK69" s="564"/>
      <c r="CL69" s="564"/>
      <c r="CM69" s="564"/>
      <c r="CN69" s="564"/>
      <c r="CO69" s="564"/>
      <c r="CP69" s="564"/>
      <c r="CQ69" s="564"/>
      <c r="CR69" s="564"/>
      <c r="CS69" s="564"/>
      <c r="CT69" s="564"/>
      <c r="CU69" s="564"/>
      <c r="CV69" s="564"/>
      <c r="CW69" s="564" t="s">
        <v>14436</v>
      </c>
      <c r="CX69" s="564" t="s">
        <v>9460</v>
      </c>
      <c r="CY69" s="564"/>
      <c r="CZ69" s="564"/>
      <c r="DA69" s="564"/>
      <c r="DB69" s="564"/>
      <c r="DC69" s="564"/>
      <c r="DD69" s="564"/>
      <c r="DE69" s="564"/>
      <c r="DF69" s="564"/>
      <c r="DG69" s="564"/>
      <c r="DH69" s="564"/>
    </row>
    <row r="70" spans="1:112" s="299" customFormat="1" ht="12.75" x14ac:dyDescent="0.2">
      <c r="A70" s="354">
        <v>1</v>
      </c>
      <c r="C70" s="5" t="str">
        <f t="shared" ca="1" si="61"/>
        <v>… of which , easy-to-access</v>
      </c>
      <c r="D70" s="226">
        <v>0</v>
      </c>
      <c r="E70" s="226">
        <v>0</v>
      </c>
      <c r="F70" s="226">
        <v>0</v>
      </c>
      <c r="G70" s="226">
        <v>0</v>
      </c>
      <c r="H70" s="226">
        <v>0</v>
      </c>
      <c r="I70" s="226">
        <v>0</v>
      </c>
      <c r="J70" s="448">
        <f>SUM(D70:I70)</f>
        <v>0</v>
      </c>
      <c r="K70" s="497" t="e">
        <f>AVERAGE(D37:I37)</f>
        <v>#N/A</v>
      </c>
      <c r="L70" s="12" t="str">
        <f t="shared" ca="1" si="55"/>
        <v>Voluntary DM1 / DM2</v>
      </c>
      <c r="M70" s="587"/>
      <c r="O70" s="564"/>
      <c r="P70" s="564"/>
      <c r="Q70" s="564"/>
      <c r="R70" s="564" t="s">
        <v>3789</v>
      </c>
      <c r="S70" s="564"/>
      <c r="T70" s="564"/>
      <c r="U70" s="564"/>
      <c r="V70" s="564"/>
      <c r="W70" s="564"/>
      <c r="X70" s="564"/>
      <c r="Y70" s="564"/>
      <c r="Z70" s="564"/>
      <c r="AA70" s="564" t="s">
        <v>3014</v>
      </c>
      <c r="AB70" s="564"/>
      <c r="AC70" s="564"/>
      <c r="AD70" s="564"/>
      <c r="AE70" s="564"/>
      <c r="AF70" s="564" t="s">
        <v>9461</v>
      </c>
      <c r="AG70" s="564"/>
      <c r="AH70" s="564"/>
      <c r="AI70" s="564"/>
      <c r="AJ70" s="564"/>
      <c r="AK70" s="564"/>
      <c r="AL70" s="564"/>
      <c r="AM70" s="564"/>
      <c r="AN70" s="564"/>
      <c r="AO70" s="564" t="s">
        <v>9406</v>
      </c>
      <c r="AP70" s="564"/>
      <c r="AQ70" s="564"/>
      <c r="AR70" s="564"/>
      <c r="AS70" s="564"/>
      <c r="AT70" s="564" t="s">
        <v>9462</v>
      </c>
      <c r="AU70" s="564"/>
      <c r="AV70" s="564"/>
      <c r="AW70" s="564"/>
      <c r="AX70" s="564"/>
      <c r="AY70" s="564"/>
      <c r="AZ70" s="564"/>
      <c r="BA70" s="564"/>
      <c r="BB70" s="564"/>
      <c r="BC70" s="564" t="s">
        <v>9408</v>
      </c>
      <c r="BD70" s="564"/>
      <c r="BE70" s="564"/>
      <c r="BF70" s="564"/>
      <c r="BG70" s="564"/>
      <c r="BH70" s="564" t="s">
        <v>9463</v>
      </c>
      <c r="BI70" s="564"/>
      <c r="BJ70" s="564"/>
      <c r="BK70" s="564"/>
      <c r="BL70" s="564"/>
      <c r="BM70" s="564"/>
      <c r="BN70" s="564"/>
      <c r="BO70" s="564"/>
      <c r="BP70" s="564"/>
      <c r="BQ70" s="564" t="s">
        <v>9410</v>
      </c>
      <c r="BR70" s="564"/>
      <c r="BS70" s="564"/>
      <c r="BT70" s="564"/>
      <c r="BU70" s="564"/>
      <c r="BV70" s="564" t="s">
        <v>9464</v>
      </c>
      <c r="BW70" s="564"/>
      <c r="BX70" s="564"/>
      <c r="BY70" s="564"/>
      <c r="BZ70" s="564"/>
      <c r="CA70" s="564"/>
      <c r="CB70" s="564"/>
      <c r="CC70" s="564"/>
      <c r="CD70" s="564"/>
      <c r="CE70" s="564" t="s">
        <v>9412</v>
      </c>
      <c r="CF70" s="564"/>
      <c r="CG70" s="564"/>
      <c r="CH70" s="564"/>
      <c r="CI70" s="564"/>
      <c r="CJ70" s="564" t="s">
        <v>9597</v>
      </c>
      <c r="CK70" s="564"/>
      <c r="CL70" s="564"/>
      <c r="CM70" s="564"/>
      <c r="CN70" s="564"/>
      <c r="CO70" s="564"/>
      <c r="CP70" s="564"/>
      <c r="CQ70" s="564"/>
      <c r="CR70" s="564"/>
      <c r="CS70" s="564" t="s">
        <v>9414</v>
      </c>
      <c r="CT70" s="564"/>
      <c r="CU70" s="564"/>
      <c r="CV70" s="564"/>
      <c r="CW70" s="564"/>
      <c r="CX70" s="564" t="s">
        <v>9466</v>
      </c>
      <c r="CY70" s="564"/>
      <c r="CZ70" s="564"/>
      <c r="DA70" s="564"/>
      <c r="DB70" s="564"/>
      <c r="DC70" s="564"/>
      <c r="DD70" s="564"/>
      <c r="DE70" s="564"/>
      <c r="DF70" s="564"/>
      <c r="DG70" s="564" t="s">
        <v>9415</v>
      </c>
      <c r="DH70" s="564"/>
    </row>
    <row r="71" spans="1:112" s="299" customFormat="1" ht="12.75" x14ac:dyDescent="0.2">
      <c r="A71" s="354">
        <v>1</v>
      </c>
      <c r="B71" s="34"/>
      <c r="C71" s="66" t="str">
        <f t="shared" ca="1" si="61"/>
        <v>.. of which, living in RESIDENTIAL INSTITUTIONS</v>
      </c>
      <c r="D71" s="226">
        <v>0</v>
      </c>
      <c r="E71" s="226">
        <v>0</v>
      </c>
      <c r="F71" s="226">
        <v>0</v>
      </c>
      <c r="G71" s="226">
        <v>0</v>
      </c>
      <c r="H71" s="226">
        <v>0</v>
      </c>
      <c r="I71" s="226">
        <v>0</v>
      </c>
      <c r="J71" s="448">
        <f>SUM(D71:I71)</f>
        <v>0</v>
      </c>
      <c r="K71" s="497" t="e">
        <f>AVERAGE(D38:I38)</f>
        <v>#N/A</v>
      </c>
      <c r="L71" s="12" t="str">
        <f t="shared" ca="1" si="55"/>
        <v>DM3</v>
      </c>
      <c r="M71" s="587"/>
      <c r="O71" s="564"/>
      <c r="P71" s="564"/>
      <c r="Q71" s="564"/>
      <c r="R71" s="564" t="s">
        <v>3777</v>
      </c>
      <c r="S71" s="564"/>
      <c r="T71" s="564"/>
      <c r="U71" s="564"/>
      <c r="V71" s="564"/>
      <c r="W71" s="564"/>
      <c r="X71" s="564"/>
      <c r="Y71" s="564"/>
      <c r="Z71" s="564"/>
      <c r="AA71" s="564" t="s">
        <v>1562</v>
      </c>
      <c r="AB71" s="564"/>
      <c r="AC71" s="564"/>
      <c r="AD71" s="564"/>
      <c r="AE71" s="564"/>
      <c r="AF71" s="564" t="s">
        <v>9467</v>
      </c>
      <c r="AG71" s="564"/>
      <c r="AH71" s="564"/>
      <c r="AI71" s="564"/>
      <c r="AJ71" s="564"/>
      <c r="AK71" s="564"/>
      <c r="AL71" s="564"/>
      <c r="AM71" s="564"/>
      <c r="AN71" s="564"/>
      <c r="AO71" s="564" t="s">
        <v>9421</v>
      </c>
      <c r="AP71" s="564"/>
      <c r="AQ71" s="564"/>
      <c r="AR71" s="564"/>
      <c r="AS71" s="564"/>
      <c r="AT71" s="564" t="s">
        <v>9468</v>
      </c>
      <c r="AU71" s="564"/>
      <c r="AV71" s="564"/>
      <c r="AW71" s="564"/>
      <c r="AX71" s="564"/>
      <c r="AY71" s="564"/>
      <c r="AZ71" s="564"/>
      <c r="BA71" s="564"/>
      <c r="BB71" s="564"/>
      <c r="BC71" s="564" t="s">
        <v>9423</v>
      </c>
      <c r="BD71" s="564"/>
      <c r="BE71" s="564"/>
      <c r="BF71" s="564"/>
      <c r="BG71" s="564"/>
      <c r="BH71" s="564" t="s">
        <v>9469</v>
      </c>
      <c r="BI71" s="564"/>
      <c r="BJ71" s="564"/>
      <c r="BK71" s="564"/>
      <c r="BL71" s="564"/>
      <c r="BM71" s="564"/>
      <c r="BN71" s="564"/>
      <c r="BO71" s="564"/>
      <c r="BP71" s="564"/>
      <c r="BQ71" s="564" t="s">
        <v>9421</v>
      </c>
      <c r="BR71" s="564"/>
      <c r="BS71" s="564"/>
      <c r="BT71" s="564"/>
      <c r="BU71" s="564"/>
      <c r="BV71" s="564" t="s">
        <v>9470</v>
      </c>
      <c r="BW71" s="564"/>
      <c r="BX71" s="564"/>
      <c r="BY71" s="564"/>
      <c r="BZ71" s="564"/>
      <c r="CA71" s="564"/>
      <c r="CB71" s="564"/>
      <c r="CC71" s="564"/>
      <c r="CD71" s="564"/>
      <c r="CE71" s="564" t="s">
        <v>9421</v>
      </c>
      <c r="CF71" s="564"/>
      <c r="CG71" s="564"/>
      <c r="CH71" s="564"/>
      <c r="CI71" s="564"/>
      <c r="CJ71" s="564" t="s">
        <v>9598</v>
      </c>
      <c r="CK71" s="564"/>
      <c r="CL71" s="564"/>
      <c r="CM71" s="564"/>
      <c r="CN71" s="564"/>
      <c r="CO71" s="564"/>
      <c r="CP71" s="564"/>
      <c r="CQ71" s="564"/>
      <c r="CR71" s="564"/>
      <c r="CS71" s="564" t="s">
        <v>1562</v>
      </c>
      <c r="CT71" s="564"/>
      <c r="CU71" s="564"/>
      <c r="CV71" s="564"/>
      <c r="CW71" s="564"/>
      <c r="CX71" s="564" t="s">
        <v>9472</v>
      </c>
      <c r="CY71" s="564"/>
      <c r="CZ71" s="564"/>
      <c r="DA71" s="564"/>
      <c r="DB71" s="564"/>
      <c r="DC71" s="564"/>
      <c r="DD71" s="564"/>
      <c r="DE71" s="564"/>
      <c r="DF71" s="564"/>
      <c r="DG71" s="564" t="s">
        <v>1562</v>
      </c>
      <c r="DH71" s="564"/>
    </row>
    <row r="72" spans="1:112" s="299" customFormat="1" ht="12.75" x14ac:dyDescent="0.2">
      <c r="B72" s="34"/>
      <c r="C72" s="66" t="str">
        <f t="shared" ca="1" si="61"/>
        <v>AND, STAFF in RESIDENTIAL INSTITUTIONS</v>
      </c>
      <c r="D72" s="253">
        <f>D71</f>
        <v>0</v>
      </c>
      <c r="E72" s="253">
        <f t="shared" ref="E72:I72" si="62">E71</f>
        <v>0</v>
      </c>
      <c r="F72" s="253">
        <f t="shared" si="62"/>
        <v>0</v>
      </c>
      <c r="G72" s="253">
        <f t="shared" si="62"/>
        <v>0</v>
      </c>
      <c r="H72" s="253">
        <f t="shared" si="62"/>
        <v>0</v>
      </c>
      <c r="I72" s="253">
        <f t="shared" si="62"/>
        <v>0</v>
      </c>
      <c r="J72" s="46"/>
      <c r="K72" s="16" t="e">
        <f>AVERAGE(D39:I39)</f>
        <v>#N/A</v>
      </c>
      <c r="L72" s="12" t="str">
        <f t="shared" ca="1" si="55"/>
        <v>DM3</v>
      </c>
      <c r="M72" s="567"/>
      <c r="O72" s="564"/>
      <c r="P72" s="564"/>
      <c r="Q72" s="564"/>
      <c r="R72" s="564" t="s">
        <v>3778</v>
      </c>
      <c r="S72" s="564"/>
      <c r="T72" s="564"/>
      <c r="U72" s="564"/>
      <c r="V72" s="564"/>
      <c r="W72" s="564"/>
      <c r="X72" s="564"/>
      <c r="Y72" s="564"/>
      <c r="Z72" s="564"/>
      <c r="AA72" s="564" t="s">
        <v>1562</v>
      </c>
      <c r="AB72" s="564"/>
      <c r="AC72" s="564"/>
      <c r="AD72" s="564"/>
      <c r="AE72" s="564"/>
      <c r="AF72" s="564" t="s">
        <v>9473</v>
      </c>
      <c r="AG72" s="564"/>
      <c r="AH72" s="564"/>
      <c r="AI72" s="564"/>
      <c r="AJ72" s="564"/>
      <c r="AK72" s="564"/>
      <c r="AL72" s="564"/>
      <c r="AM72" s="564"/>
      <c r="AN72" s="564"/>
      <c r="AO72" s="564" t="s">
        <v>9421</v>
      </c>
      <c r="AP72" s="564"/>
      <c r="AQ72" s="564"/>
      <c r="AR72" s="564"/>
      <c r="AS72" s="564"/>
      <c r="AT72" s="564" t="s">
        <v>9599</v>
      </c>
      <c r="AU72" s="564"/>
      <c r="AV72" s="564"/>
      <c r="AW72" s="564"/>
      <c r="AX72" s="564"/>
      <c r="AY72" s="564"/>
      <c r="AZ72" s="564"/>
      <c r="BA72" s="564"/>
      <c r="BB72" s="564"/>
      <c r="BC72" s="564" t="s">
        <v>9423</v>
      </c>
      <c r="BD72" s="564"/>
      <c r="BE72" s="564"/>
      <c r="BF72" s="564"/>
      <c r="BG72" s="564"/>
      <c r="BH72" s="564" t="s">
        <v>9475</v>
      </c>
      <c r="BI72" s="564"/>
      <c r="BJ72" s="564"/>
      <c r="BK72" s="564"/>
      <c r="BL72" s="564"/>
      <c r="BM72" s="564"/>
      <c r="BN72" s="564"/>
      <c r="BO72" s="564"/>
      <c r="BP72" s="564"/>
      <c r="BQ72" s="564" t="s">
        <v>9421</v>
      </c>
      <c r="BR72" s="564"/>
      <c r="BS72" s="564"/>
      <c r="BT72" s="564"/>
      <c r="BU72" s="564"/>
      <c r="BV72" s="564" t="s">
        <v>9476</v>
      </c>
      <c r="BW72" s="564"/>
      <c r="BX72" s="564"/>
      <c r="BY72" s="564"/>
      <c r="BZ72" s="564"/>
      <c r="CA72" s="564"/>
      <c r="CB72" s="564"/>
      <c r="CC72" s="564"/>
      <c r="CD72" s="564"/>
      <c r="CE72" s="564" t="s">
        <v>9421</v>
      </c>
      <c r="CF72" s="564"/>
      <c r="CG72" s="564"/>
      <c r="CH72" s="564"/>
      <c r="CI72" s="564"/>
      <c r="CJ72" s="564" t="s">
        <v>9477</v>
      </c>
      <c r="CK72" s="564"/>
      <c r="CL72" s="564"/>
      <c r="CM72" s="564"/>
      <c r="CN72" s="564"/>
      <c r="CO72" s="564"/>
      <c r="CP72" s="564"/>
      <c r="CQ72" s="564"/>
      <c r="CR72" s="564"/>
      <c r="CS72" s="564" t="s">
        <v>1562</v>
      </c>
      <c r="CT72" s="564"/>
      <c r="CU72" s="564"/>
      <c r="CV72" s="564"/>
      <c r="CW72" s="564"/>
      <c r="CX72" s="564" t="s">
        <v>9478</v>
      </c>
      <c r="CY72" s="564"/>
      <c r="CZ72" s="564"/>
      <c r="DA72" s="564"/>
      <c r="DB72" s="564"/>
      <c r="DC72" s="564"/>
      <c r="DD72" s="564"/>
      <c r="DE72" s="564"/>
      <c r="DF72" s="564"/>
      <c r="DG72" s="564" t="s">
        <v>1562</v>
      </c>
      <c r="DH72" s="564"/>
    </row>
    <row r="73" spans="1:112" s="299" customFormat="1" ht="12.75" x14ac:dyDescent="0.2">
      <c r="A73" s="354">
        <v>1</v>
      </c>
      <c r="B73" s="34"/>
      <c r="C73" s="66" t="str">
        <f t="shared" ca="1" si="61"/>
        <v>Special populations who are Hard-to-Reach</v>
      </c>
      <c r="D73" s="226">
        <v>0</v>
      </c>
      <c r="E73" s="226">
        <v>0</v>
      </c>
      <c r="F73" s="226">
        <v>0</v>
      </c>
      <c r="G73" s="226">
        <v>0</v>
      </c>
      <c r="H73" s="226">
        <v>0</v>
      </c>
      <c r="I73" s="226">
        <v>0</v>
      </c>
      <c r="J73" s="448">
        <f>SUM(D73:I73)</f>
        <v>0</v>
      </c>
      <c r="K73" s="497" t="e">
        <f>AVERAGE(D40:I40)</f>
        <v>#N/A</v>
      </c>
      <c r="L73" s="12" t="str">
        <f t="shared" ca="1" si="55"/>
        <v>DM4</v>
      </c>
      <c r="M73" s="587"/>
      <c r="O73" s="564"/>
      <c r="P73" s="564"/>
      <c r="Q73" s="564"/>
      <c r="R73" s="564" t="s">
        <v>3812</v>
      </c>
      <c r="S73" s="564"/>
      <c r="T73" s="564"/>
      <c r="U73" s="564"/>
      <c r="V73" s="564"/>
      <c r="W73" s="564"/>
      <c r="X73" s="564"/>
      <c r="Y73" s="564"/>
      <c r="Z73" s="564"/>
      <c r="AA73" s="564" t="s">
        <v>1561</v>
      </c>
      <c r="AB73" s="564"/>
      <c r="AC73" s="564"/>
      <c r="AD73" s="564"/>
      <c r="AE73" s="564"/>
      <c r="AF73" s="564" t="s">
        <v>9479</v>
      </c>
      <c r="AG73" s="564"/>
      <c r="AH73" s="564"/>
      <c r="AI73" s="564"/>
      <c r="AJ73" s="564"/>
      <c r="AK73" s="564"/>
      <c r="AL73" s="564"/>
      <c r="AM73" s="564"/>
      <c r="AN73" s="564"/>
      <c r="AO73" s="564" t="s">
        <v>9447</v>
      </c>
      <c r="AP73" s="564"/>
      <c r="AQ73" s="564"/>
      <c r="AR73" s="564"/>
      <c r="AS73" s="564"/>
      <c r="AT73" s="564" t="s">
        <v>9480</v>
      </c>
      <c r="AU73" s="564"/>
      <c r="AV73" s="564"/>
      <c r="AW73" s="564"/>
      <c r="AX73" s="564"/>
      <c r="AY73" s="564"/>
      <c r="AZ73" s="564"/>
      <c r="BA73" s="564"/>
      <c r="BB73" s="564"/>
      <c r="BC73" s="564" t="s">
        <v>9449</v>
      </c>
      <c r="BD73" s="564"/>
      <c r="BE73" s="564"/>
      <c r="BF73" s="564"/>
      <c r="BG73" s="564"/>
      <c r="BH73" s="564" t="s">
        <v>9481</v>
      </c>
      <c r="BI73" s="564"/>
      <c r="BJ73" s="564"/>
      <c r="BK73" s="564"/>
      <c r="BL73" s="564"/>
      <c r="BM73" s="564"/>
      <c r="BN73" s="564"/>
      <c r="BO73" s="564"/>
      <c r="BP73" s="564"/>
      <c r="BQ73" s="564" t="s">
        <v>9447</v>
      </c>
      <c r="BR73" s="564"/>
      <c r="BS73" s="564"/>
      <c r="BT73" s="564"/>
      <c r="BU73" s="564"/>
      <c r="BV73" s="564" t="s">
        <v>9482</v>
      </c>
      <c r="BW73" s="564"/>
      <c r="BX73" s="564"/>
      <c r="BY73" s="564"/>
      <c r="BZ73" s="564"/>
      <c r="CA73" s="564"/>
      <c r="CB73" s="564"/>
      <c r="CC73" s="564"/>
      <c r="CD73" s="564"/>
      <c r="CE73" s="564" t="s">
        <v>9447</v>
      </c>
      <c r="CF73" s="564"/>
      <c r="CG73" s="564"/>
      <c r="CH73" s="564"/>
      <c r="CI73" s="564"/>
      <c r="CJ73" s="564" t="s">
        <v>9600</v>
      </c>
      <c r="CK73" s="564"/>
      <c r="CL73" s="564"/>
      <c r="CM73" s="564"/>
      <c r="CN73" s="564"/>
      <c r="CO73" s="564"/>
      <c r="CP73" s="564"/>
      <c r="CQ73" s="564"/>
      <c r="CR73" s="564"/>
      <c r="CS73" s="564" t="s">
        <v>1561</v>
      </c>
      <c r="CT73" s="564"/>
      <c r="CU73" s="564"/>
      <c r="CV73" s="564"/>
      <c r="CW73" s="564"/>
      <c r="CX73" s="564" t="s">
        <v>9484</v>
      </c>
      <c r="CY73" s="564"/>
      <c r="CZ73" s="564"/>
      <c r="DA73" s="564"/>
      <c r="DB73" s="564"/>
      <c r="DC73" s="564"/>
      <c r="DD73" s="564"/>
      <c r="DE73" s="564"/>
      <c r="DF73" s="564"/>
      <c r="DG73" s="564" t="s">
        <v>1561</v>
      </c>
      <c r="DH73" s="564"/>
    </row>
    <row r="74" spans="1:112" s="299" customFormat="1" ht="12.75" x14ac:dyDescent="0.2">
      <c r="A74" s="354">
        <v>1</v>
      </c>
      <c r="C74" s="376" t="str">
        <f t="shared" ca="1" si="61"/>
        <v>"Hard-to-Reach" but no other priority criteria</v>
      </c>
      <c r="D74" s="226">
        <v>0</v>
      </c>
      <c r="E74" s="226">
        <v>0</v>
      </c>
      <c r="F74" s="226">
        <v>0</v>
      </c>
      <c r="G74" s="226">
        <v>0</v>
      </c>
      <c r="H74" s="226">
        <v>0</v>
      </c>
      <c r="I74" s="226">
        <v>0</v>
      </c>
      <c r="J74" s="448">
        <f>SUM(D74:I74)</f>
        <v>0</v>
      </c>
      <c r="K74" s="497" t="e">
        <f>AVERAGE(D41:I41)</f>
        <v>#N/A</v>
      </c>
      <c r="L74" s="12" t="str">
        <f t="shared" ca="1" si="55"/>
        <v>DM4</v>
      </c>
      <c r="M74" s="587"/>
      <c r="O74" s="564"/>
      <c r="P74" s="564"/>
      <c r="Q74" s="564"/>
      <c r="R74" s="564" t="s">
        <v>3813</v>
      </c>
      <c r="S74" s="564"/>
      <c r="T74" s="564"/>
      <c r="U74" s="564"/>
      <c r="V74" s="564"/>
      <c r="W74" s="564"/>
      <c r="X74" s="564"/>
      <c r="Y74" s="564"/>
      <c r="Z74" s="564"/>
      <c r="AA74" s="564" t="s">
        <v>1561</v>
      </c>
      <c r="AB74" s="564"/>
      <c r="AC74" s="564"/>
      <c r="AD74" s="564"/>
      <c r="AE74" s="564"/>
      <c r="AF74" s="564" t="s">
        <v>9485</v>
      </c>
      <c r="AG74" s="564"/>
      <c r="AH74" s="564"/>
      <c r="AI74" s="564"/>
      <c r="AJ74" s="564"/>
      <c r="AK74" s="564"/>
      <c r="AL74" s="564"/>
      <c r="AM74" s="564"/>
      <c r="AN74" s="564"/>
      <c r="AO74" s="564" t="s">
        <v>9447</v>
      </c>
      <c r="AP74" s="564"/>
      <c r="AQ74" s="564"/>
      <c r="AR74" s="564"/>
      <c r="AS74" s="564"/>
      <c r="AT74" s="564" t="s">
        <v>9486</v>
      </c>
      <c r="AU74" s="564"/>
      <c r="AV74" s="564"/>
      <c r="AW74" s="564"/>
      <c r="AX74" s="564"/>
      <c r="AY74" s="564"/>
      <c r="AZ74" s="564"/>
      <c r="BA74" s="564"/>
      <c r="BB74" s="564"/>
      <c r="BC74" s="564" t="s">
        <v>9449</v>
      </c>
      <c r="BD74" s="564"/>
      <c r="BE74" s="564"/>
      <c r="BF74" s="564"/>
      <c r="BG74" s="564"/>
      <c r="BH74" s="564" t="s">
        <v>9487</v>
      </c>
      <c r="BI74" s="564"/>
      <c r="BJ74" s="564"/>
      <c r="BK74" s="564"/>
      <c r="BL74" s="564"/>
      <c r="BM74" s="564"/>
      <c r="BN74" s="564"/>
      <c r="BO74" s="564"/>
      <c r="BP74" s="564"/>
      <c r="BQ74" s="564" t="s">
        <v>9447</v>
      </c>
      <c r="BR74" s="564"/>
      <c r="BS74" s="564"/>
      <c r="BT74" s="564"/>
      <c r="BU74" s="564"/>
      <c r="BV74" s="564" t="s">
        <v>9488</v>
      </c>
      <c r="BW74" s="564"/>
      <c r="BX74" s="564"/>
      <c r="BY74" s="564"/>
      <c r="BZ74" s="564"/>
      <c r="CA74" s="564"/>
      <c r="CB74" s="564"/>
      <c r="CC74" s="564"/>
      <c r="CD74" s="564"/>
      <c r="CE74" s="564" t="s">
        <v>9447</v>
      </c>
      <c r="CF74" s="564"/>
      <c r="CG74" s="564"/>
      <c r="CH74" s="564"/>
      <c r="CI74" s="564"/>
      <c r="CJ74" s="564" t="s">
        <v>9601</v>
      </c>
      <c r="CK74" s="564"/>
      <c r="CL74" s="564"/>
      <c r="CM74" s="564"/>
      <c r="CN74" s="564"/>
      <c r="CO74" s="564"/>
      <c r="CP74" s="564"/>
      <c r="CQ74" s="564"/>
      <c r="CR74" s="564"/>
      <c r="CS74" s="564" t="s">
        <v>1561</v>
      </c>
      <c r="CT74" s="564"/>
      <c r="CU74" s="564"/>
      <c r="CV74" s="564"/>
      <c r="CW74" s="564"/>
      <c r="CX74" s="564" t="s">
        <v>9490</v>
      </c>
      <c r="CY74" s="564"/>
      <c r="CZ74" s="564"/>
      <c r="DA74" s="564"/>
      <c r="DB74" s="564"/>
      <c r="DC74" s="564"/>
      <c r="DD74" s="564"/>
      <c r="DE74" s="564"/>
      <c r="DF74" s="564"/>
      <c r="DG74" s="564" t="s">
        <v>1561</v>
      </c>
      <c r="DH74" s="564"/>
    </row>
    <row r="75" spans="1:112" s="299" customFormat="1" ht="12.75" x14ac:dyDescent="0.2">
      <c r="C75" s="5"/>
      <c r="D75" s="325"/>
      <c r="E75" s="325"/>
      <c r="F75" s="325"/>
      <c r="G75" s="325"/>
      <c r="H75" s="325"/>
      <c r="I75" s="325"/>
      <c r="J75" s="46"/>
      <c r="L75" s="567"/>
      <c r="M75" s="567"/>
      <c r="O75" s="564"/>
      <c r="P75" s="564"/>
      <c r="Q75" s="564"/>
      <c r="R75" s="564"/>
      <c r="S75" s="564"/>
      <c r="T75" s="564"/>
      <c r="U75" s="564"/>
      <c r="V75" s="564"/>
      <c r="W75" s="564"/>
      <c r="X75" s="564"/>
      <c r="Y75" s="564"/>
      <c r="Z75" s="564"/>
      <c r="AA75" s="564"/>
      <c r="AB75" s="564"/>
      <c r="AC75" s="564"/>
      <c r="AD75" s="564"/>
      <c r="AE75" s="564"/>
      <c r="AF75" s="564"/>
      <c r="AG75" s="564"/>
      <c r="AH75" s="564"/>
      <c r="AI75" s="564"/>
      <c r="AJ75" s="564"/>
      <c r="AK75" s="564"/>
      <c r="AL75" s="564"/>
      <c r="AM75" s="564"/>
      <c r="AN75" s="564"/>
      <c r="AO75" s="564"/>
      <c r="AP75" s="564"/>
      <c r="AQ75" s="564"/>
      <c r="AR75" s="564"/>
      <c r="AS75" s="564"/>
      <c r="AT75" s="564"/>
      <c r="AU75" s="564"/>
      <c r="AV75" s="564"/>
      <c r="AW75" s="564"/>
      <c r="AX75" s="564"/>
      <c r="AY75" s="564"/>
      <c r="AZ75" s="564"/>
      <c r="BA75" s="564"/>
      <c r="BB75" s="564"/>
      <c r="BC75" s="564"/>
      <c r="BD75" s="564"/>
      <c r="BE75" s="564"/>
      <c r="BF75" s="564"/>
      <c r="BG75" s="564"/>
      <c r="BH75" s="564"/>
      <c r="BI75" s="564"/>
      <c r="BJ75" s="564"/>
      <c r="BK75" s="564"/>
      <c r="BL75" s="564"/>
      <c r="BM75" s="564"/>
      <c r="BN75" s="564"/>
      <c r="BO75" s="564"/>
      <c r="BP75" s="564"/>
      <c r="BQ75" s="564"/>
      <c r="BR75" s="564"/>
      <c r="BS75" s="564"/>
      <c r="BT75" s="564"/>
      <c r="BU75" s="564"/>
      <c r="BV75" s="564"/>
      <c r="BW75" s="564"/>
      <c r="BX75" s="564"/>
      <c r="BY75" s="564"/>
      <c r="BZ75" s="564"/>
      <c r="CA75" s="564"/>
      <c r="CB75" s="564"/>
      <c r="CC75" s="564"/>
      <c r="CD75" s="564"/>
      <c r="CE75" s="564"/>
      <c r="CF75" s="564"/>
      <c r="CG75" s="564"/>
      <c r="CH75" s="564"/>
      <c r="CI75" s="564"/>
      <c r="CJ75" s="564"/>
      <c r="CK75" s="564"/>
      <c r="CL75" s="564"/>
      <c r="CM75" s="564"/>
      <c r="CN75" s="564"/>
      <c r="CO75" s="564"/>
      <c r="CP75" s="564"/>
      <c r="CQ75" s="564"/>
      <c r="CR75" s="564"/>
      <c r="CS75" s="564"/>
      <c r="CT75" s="564"/>
      <c r="CU75" s="564" t="s">
        <v>2642</v>
      </c>
      <c r="CV75" s="564"/>
      <c r="CW75" s="564"/>
      <c r="CX75" s="564"/>
      <c r="CY75" s="564"/>
      <c r="CZ75" s="564"/>
      <c r="DA75" s="564"/>
      <c r="DB75" s="564"/>
      <c r="DC75" s="564"/>
      <c r="DD75" s="564"/>
      <c r="DE75" s="564"/>
      <c r="DF75" s="564"/>
      <c r="DG75" s="564"/>
      <c r="DH75" s="564"/>
    </row>
    <row r="76" spans="1:112" s="299" customFormat="1" ht="12.75" x14ac:dyDescent="0.2">
      <c r="B76" s="34" t="s">
        <v>14438</v>
      </c>
      <c r="C76" s="700" t="str">
        <f t="shared" ref="C76:C82" ca="1" si="63">IF(OFFSET(R76,0,Lang_Order*Lang__B1)="","",OFFSET(R76,0,Lang_Order*Lang__B1))</f>
        <v>Groups with comorbidities or health states determined to be at significantly higher risk of severe disease or death</v>
      </c>
      <c r="D76" s="700"/>
      <c r="E76" s="700"/>
      <c r="F76" s="700"/>
      <c r="G76" s="700"/>
      <c r="H76" s="700"/>
      <c r="I76" s="700"/>
      <c r="J76" s="46"/>
      <c r="L76" s="567"/>
      <c r="M76" s="567"/>
      <c r="O76" s="564"/>
      <c r="P76" s="564"/>
      <c r="Q76" s="564" t="s">
        <v>14438</v>
      </c>
      <c r="R76" s="564" t="s">
        <v>3082</v>
      </c>
      <c r="S76" s="564"/>
      <c r="T76" s="564"/>
      <c r="U76" s="564"/>
      <c r="V76" s="564"/>
      <c r="W76" s="564"/>
      <c r="X76" s="564"/>
      <c r="Y76" s="564"/>
      <c r="Z76" s="564"/>
      <c r="AA76" s="564"/>
      <c r="AB76" s="564"/>
      <c r="AC76" s="564"/>
      <c r="AD76" s="564"/>
      <c r="AE76" s="564" t="s">
        <v>14438</v>
      </c>
      <c r="AF76" s="564" t="s">
        <v>9491</v>
      </c>
      <c r="AG76" s="564"/>
      <c r="AH76" s="564"/>
      <c r="AI76" s="564"/>
      <c r="AJ76" s="564"/>
      <c r="AK76" s="564"/>
      <c r="AL76" s="564"/>
      <c r="AM76" s="564"/>
      <c r="AN76" s="564"/>
      <c r="AO76" s="564"/>
      <c r="AP76" s="564"/>
      <c r="AQ76" s="564"/>
      <c r="AR76" s="564"/>
      <c r="AS76" s="564" t="s">
        <v>14438</v>
      </c>
      <c r="AT76" s="564" t="s">
        <v>9492</v>
      </c>
      <c r="AU76" s="564"/>
      <c r="AV76" s="564"/>
      <c r="AW76" s="564"/>
      <c r="AX76" s="564"/>
      <c r="AY76" s="564"/>
      <c r="AZ76" s="564"/>
      <c r="BA76" s="564"/>
      <c r="BB76" s="564"/>
      <c r="BC76" s="564"/>
      <c r="BD76" s="564"/>
      <c r="BE76" s="564"/>
      <c r="BF76" s="564"/>
      <c r="BG76" s="564" t="s">
        <v>14438</v>
      </c>
      <c r="BH76" s="564" t="s">
        <v>6640</v>
      </c>
      <c r="BI76" s="564"/>
      <c r="BJ76" s="564"/>
      <c r="BK76" s="564"/>
      <c r="BL76" s="564"/>
      <c r="BM76" s="564"/>
      <c r="BN76" s="564"/>
      <c r="BO76" s="564"/>
      <c r="BP76" s="564"/>
      <c r="BQ76" s="564"/>
      <c r="BR76" s="564"/>
      <c r="BS76" s="564"/>
      <c r="BT76" s="564"/>
      <c r="BU76" s="564" t="s">
        <v>14438</v>
      </c>
      <c r="BV76" s="564" t="s">
        <v>9493</v>
      </c>
      <c r="BW76" s="564"/>
      <c r="BX76" s="564"/>
      <c r="BY76" s="564"/>
      <c r="BZ76" s="564"/>
      <c r="CA76" s="564"/>
      <c r="CB76" s="564"/>
      <c r="CC76" s="564"/>
      <c r="CD76" s="564"/>
      <c r="CE76" s="564"/>
      <c r="CF76" s="564"/>
      <c r="CG76" s="564"/>
      <c r="CH76" s="564"/>
      <c r="CI76" s="564" t="s">
        <v>14439</v>
      </c>
      <c r="CJ76" s="564" t="s">
        <v>6642</v>
      </c>
      <c r="CK76" s="564"/>
      <c r="CL76" s="564"/>
      <c r="CM76" s="564"/>
      <c r="CN76" s="564"/>
      <c r="CO76" s="564"/>
      <c r="CP76" s="564"/>
      <c r="CQ76" s="564"/>
      <c r="CR76" s="564"/>
      <c r="CS76" s="564"/>
      <c r="CT76" s="564"/>
      <c r="CU76" s="564"/>
      <c r="CV76" s="564"/>
      <c r="CW76" s="564" t="s">
        <v>14438</v>
      </c>
      <c r="CX76" s="564" t="s">
        <v>6643</v>
      </c>
      <c r="CY76" s="564"/>
      <c r="CZ76" s="564"/>
      <c r="DA76" s="564"/>
      <c r="DB76" s="564"/>
      <c r="DC76" s="564"/>
      <c r="DD76" s="564"/>
      <c r="DE76" s="564"/>
      <c r="DF76" s="564"/>
      <c r="DG76" s="564"/>
      <c r="DH76" s="564"/>
    </row>
    <row r="77" spans="1:112" s="299" customFormat="1" ht="12.75" x14ac:dyDescent="0.2">
      <c r="A77" s="508"/>
      <c r="C77" s="335" t="str">
        <f t="shared" ca="1" si="63"/>
        <v>Hard-to-Reach Underlying health conditions (not pregnant women)</v>
      </c>
      <c r="D77" s="253">
        <f>D66</f>
        <v>0</v>
      </c>
      <c r="E77" s="253">
        <f t="shared" ref="E77:I77" si="64">E66</f>
        <v>0</v>
      </c>
      <c r="F77" s="253">
        <f t="shared" si="64"/>
        <v>0</v>
      </c>
      <c r="G77" s="253">
        <f t="shared" si="64"/>
        <v>0</v>
      </c>
      <c r="H77" s="253">
        <f t="shared" si="64"/>
        <v>0</v>
      </c>
      <c r="I77" s="253">
        <f t="shared" si="64"/>
        <v>0</v>
      </c>
      <c r="J77" s="448">
        <f>SUM(D77:I77)</f>
        <v>0</v>
      </c>
      <c r="K77" s="497" t="e">
        <f>AVERAGE(D44:I44)</f>
        <v>#N/A</v>
      </c>
      <c r="L77" s="12" t="str">
        <f t="shared" ca="1" si="55"/>
        <v>DM4</v>
      </c>
      <c r="M77" s="567"/>
      <c r="O77" s="564"/>
      <c r="P77" s="564"/>
      <c r="Q77" s="564"/>
      <c r="R77" s="564" t="s">
        <v>3814</v>
      </c>
      <c r="S77" s="564"/>
      <c r="T77" s="564"/>
      <c r="U77" s="564"/>
      <c r="V77" s="564"/>
      <c r="W77" s="564"/>
      <c r="X77" s="564"/>
      <c r="Y77" s="564"/>
      <c r="Z77" s="564"/>
      <c r="AA77" s="564" t="s">
        <v>1561</v>
      </c>
      <c r="AB77" s="564"/>
      <c r="AC77" s="564"/>
      <c r="AD77" s="564"/>
      <c r="AE77" s="564"/>
      <c r="AF77" s="564" t="s">
        <v>9494</v>
      </c>
      <c r="AG77" s="564"/>
      <c r="AH77" s="564"/>
      <c r="AI77" s="564"/>
      <c r="AJ77" s="564"/>
      <c r="AK77" s="564"/>
      <c r="AL77" s="564"/>
      <c r="AM77" s="564"/>
      <c r="AN77" s="564"/>
      <c r="AO77" s="564" t="s">
        <v>9447</v>
      </c>
      <c r="AP77" s="564"/>
      <c r="AQ77" s="564"/>
      <c r="AR77" s="564"/>
      <c r="AS77" s="564"/>
      <c r="AT77" s="564" t="s">
        <v>9495</v>
      </c>
      <c r="AU77" s="564"/>
      <c r="AV77" s="564"/>
      <c r="AW77" s="564"/>
      <c r="AX77" s="564"/>
      <c r="AY77" s="564"/>
      <c r="AZ77" s="564"/>
      <c r="BA77" s="564"/>
      <c r="BB77" s="564"/>
      <c r="BC77" s="564" t="s">
        <v>9449</v>
      </c>
      <c r="BD77" s="564"/>
      <c r="BE77" s="564"/>
      <c r="BF77" s="564"/>
      <c r="BG77" s="564"/>
      <c r="BH77" s="564" t="s">
        <v>9602</v>
      </c>
      <c r="BI77" s="564"/>
      <c r="BJ77" s="564"/>
      <c r="BK77" s="564"/>
      <c r="BL77" s="564"/>
      <c r="BM77" s="564"/>
      <c r="BN77" s="564"/>
      <c r="BO77" s="564"/>
      <c r="BP77" s="564"/>
      <c r="BQ77" s="564" t="s">
        <v>9447</v>
      </c>
      <c r="BR77" s="564"/>
      <c r="BS77" s="564"/>
      <c r="BT77" s="564"/>
      <c r="BU77" s="564"/>
      <c r="BV77" s="564" t="s">
        <v>9497</v>
      </c>
      <c r="BW77" s="564"/>
      <c r="BX77" s="564"/>
      <c r="BY77" s="564"/>
      <c r="BZ77" s="564"/>
      <c r="CA77" s="564"/>
      <c r="CB77" s="564"/>
      <c r="CC77" s="564"/>
      <c r="CD77" s="564"/>
      <c r="CE77" s="564" t="s">
        <v>9447</v>
      </c>
      <c r="CF77" s="564"/>
      <c r="CG77" s="564"/>
      <c r="CH77" s="564"/>
      <c r="CI77" s="564"/>
      <c r="CJ77" s="564" t="s">
        <v>9603</v>
      </c>
      <c r="CK77" s="564"/>
      <c r="CL77" s="564"/>
      <c r="CM77" s="564"/>
      <c r="CN77" s="564"/>
      <c r="CO77" s="564"/>
      <c r="CP77" s="564"/>
      <c r="CQ77" s="564"/>
      <c r="CR77" s="564"/>
      <c r="CS77" s="564" t="s">
        <v>1561</v>
      </c>
      <c r="CT77" s="564"/>
      <c r="CU77" s="564"/>
      <c r="CV77" s="564"/>
      <c r="CW77" s="564"/>
      <c r="CX77" s="564" t="s">
        <v>9499</v>
      </c>
      <c r="CY77" s="564"/>
      <c r="CZ77" s="564"/>
      <c r="DA77" s="564"/>
      <c r="DB77" s="564"/>
      <c r="DC77" s="564"/>
      <c r="DD77" s="564"/>
      <c r="DE77" s="564"/>
      <c r="DF77" s="564"/>
      <c r="DG77" s="564" t="s">
        <v>1561</v>
      </c>
      <c r="DH77" s="564"/>
    </row>
    <row r="78" spans="1:112" s="299" customFormat="1" ht="12.75" x14ac:dyDescent="0.2">
      <c r="A78" s="508"/>
      <c r="C78" s="23" t="str">
        <f t="shared" ca="1" si="63"/>
        <v>AND, their households members</v>
      </c>
      <c r="D78" s="253">
        <f>D77</f>
        <v>0</v>
      </c>
      <c r="E78" s="253">
        <f t="shared" ref="E78:I78" si="65">E77</f>
        <v>0</v>
      </c>
      <c r="F78" s="253">
        <f t="shared" si="65"/>
        <v>0</v>
      </c>
      <c r="G78" s="253">
        <f t="shared" si="65"/>
        <v>0</v>
      </c>
      <c r="H78" s="253">
        <f t="shared" si="65"/>
        <v>0</v>
      </c>
      <c r="I78" s="253">
        <f t="shared" si="65"/>
        <v>0</v>
      </c>
      <c r="J78" s="46"/>
      <c r="K78" s="16" t="e">
        <f>AVERAGE(D45:I45)</f>
        <v>#N/A</v>
      </c>
      <c r="L78" s="12" t="str">
        <f t="shared" ca="1" si="55"/>
        <v>DM4</v>
      </c>
      <c r="M78" s="567"/>
      <c r="O78" s="564"/>
      <c r="P78" s="564"/>
      <c r="Q78" s="564"/>
      <c r="R78" s="564" t="s">
        <v>3790</v>
      </c>
      <c r="S78" s="564"/>
      <c r="T78" s="564"/>
      <c r="U78" s="564"/>
      <c r="V78" s="564"/>
      <c r="W78" s="564"/>
      <c r="X78" s="564"/>
      <c r="Y78" s="564"/>
      <c r="Z78" s="564"/>
      <c r="AA78" s="564" t="s">
        <v>1561</v>
      </c>
      <c r="AB78" s="564"/>
      <c r="AC78" s="564"/>
      <c r="AD78" s="564"/>
      <c r="AE78" s="564"/>
      <c r="AF78" s="564" t="s">
        <v>9440</v>
      </c>
      <c r="AG78" s="564"/>
      <c r="AH78" s="564"/>
      <c r="AI78" s="564"/>
      <c r="AJ78" s="564"/>
      <c r="AK78" s="564"/>
      <c r="AL78" s="564"/>
      <c r="AM78" s="564"/>
      <c r="AN78" s="564"/>
      <c r="AO78" s="564" t="s">
        <v>9447</v>
      </c>
      <c r="AP78" s="564"/>
      <c r="AQ78" s="564"/>
      <c r="AR78" s="564"/>
      <c r="AS78" s="564"/>
      <c r="AT78" s="564" t="s">
        <v>9441</v>
      </c>
      <c r="AU78" s="564"/>
      <c r="AV78" s="564"/>
      <c r="AW78" s="564"/>
      <c r="AX78" s="564"/>
      <c r="AY78" s="564"/>
      <c r="AZ78" s="564"/>
      <c r="BA78" s="564"/>
      <c r="BB78" s="564"/>
      <c r="BC78" s="564" t="s">
        <v>9449</v>
      </c>
      <c r="BD78" s="564"/>
      <c r="BE78" s="564"/>
      <c r="BF78" s="564"/>
      <c r="BG78" s="564"/>
      <c r="BH78" s="564" t="s">
        <v>9442</v>
      </c>
      <c r="BI78" s="564"/>
      <c r="BJ78" s="564"/>
      <c r="BK78" s="564"/>
      <c r="BL78" s="564"/>
      <c r="BM78" s="564"/>
      <c r="BN78" s="564"/>
      <c r="BO78" s="564"/>
      <c r="BP78" s="564"/>
      <c r="BQ78" s="564" t="s">
        <v>9447</v>
      </c>
      <c r="BR78" s="564"/>
      <c r="BS78" s="564"/>
      <c r="BT78" s="564"/>
      <c r="BU78" s="564"/>
      <c r="BV78" s="564" t="s">
        <v>9443</v>
      </c>
      <c r="BW78" s="564"/>
      <c r="BX78" s="564"/>
      <c r="BY78" s="564"/>
      <c r="BZ78" s="564"/>
      <c r="CA78" s="564"/>
      <c r="CB78" s="564"/>
      <c r="CC78" s="564"/>
      <c r="CD78" s="564"/>
      <c r="CE78" s="564" t="s">
        <v>9447</v>
      </c>
      <c r="CF78" s="564"/>
      <c r="CG78" s="564"/>
      <c r="CH78" s="564"/>
      <c r="CI78" s="564"/>
      <c r="CJ78" s="564" t="s">
        <v>9454</v>
      </c>
      <c r="CK78" s="564"/>
      <c r="CL78" s="564"/>
      <c r="CM78" s="564"/>
      <c r="CN78" s="564"/>
      <c r="CO78" s="564"/>
      <c r="CP78" s="564"/>
      <c r="CQ78" s="564"/>
      <c r="CR78" s="564"/>
      <c r="CS78" s="564" t="s">
        <v>1561</v>
      </c>
      <c r="CT78" s="564"/>
      <c r="CU78" s="564"/>
      <c r="CV78" s="564"/>
      <c r="CW78" s="564"/>
      <c r="CX78" s="564" t="s">
        <v>9445</v>
      </c>
      <c r="CY78" s="564"/>
      <c r="CZ78" s="564"/>
      <c r="DA78" s="564"/>
      <c r="DB78" s="564"/>
      <c r="DC78" s="564"/>
      <c r="DD78" s="564"/>
      <c r="DE78" s="564"/>
      <c r="DF78" s="564"/>
      <c r="DG78" s="564" t="s">
        <v>1561</v>
      </c>
      <c r="DH78" s="564"/>
    </row>
    <row r="79" spans="1:112" s="299" customFormat="1" ht="12.75" x14ac:dyDescent="0.2">
      <c r="A79" s="508"/>
      <c r="C79" s="335" t="str">
        <f t="shared" ca="1" si="63"/>
        <v>Easier-to-Access Underlying health conditions (not pregnant women)</v>
      </c>
      <c r="D79" s="253">
        <f>D64</f>
        <v>0</v>
      </c>
      <c r="E79" s="253">
        <f t="shared" ref="E79:I79" si="66">E64</f>
        <v>0</v>
      </c>
      <c r="F79" s="253">
        <f t="shared" si="66"/>
        <v>0</v>
      </c>
      <c r="G79" s="253">
        <f t="shared" si="66"/>
        <v>0</v>
      </c>
      <c r="H79" s="253">
        <f t="shared" si="66"/>
        <v>0</v>
      </c>
      <c r="I79" s="253">
        <f t="shared" si="66"/>
        <v>0</v>
      </c>
      <c r="J79" s="448">
        <f>SUM(D79:I79)</f>
        <v>0</v>
      </c>
      <c r="K79" s="497" t="e">
        <f t="shared" ref="K79:K80" si="67">AVERAGE(D46:I46)</f>
        <v>#N/A</v>
      </c>
      <c r="L79" s="12" t="str">
        <f t="shared" ca="1" si="55"/>
        <v>Voluntary DM1 / DM2</v>
      </c>
      <c r="M79" s="567"/>
      <c r="O79" s="564"/>
      <c r="P79" s="564"/>
      <c r="Q79" s="564"/>
      <c r="R79" s="564" t="s">
        <v>3799</v>
      </c>
      <c r="S79" s="564"/>
      <c r="T79" s="564"/>
      <c r="U79" s="564"/>
      <c r="V79" s="564"/>
      <c r="W79" s="564"/>
      <c r="X79" s="564"/>
      <c r="Y79" s="564"/>
      <c r="Z79" s="564"/>
      <c r="AA79" s="564" t="s">
        <v>3014</v>
      </c>
      <c r="AB79" s="564"/>
      <c r="AC79" s="564"/>
      <c r="AD79" s="564"/>
      <c r="AE79" s="564"/>
      <c r="AF79" s="564" t="s">
        <v>9501</v>
      </c>
      <c r="AG79" s="564"/>
      <c r="AH79" s="564"/>
      <c r="AI79" s="564"/>
      <c r="AJ79" s="564"/>
      <c r="AK79" s="564"/>
      <c r="AL79" s="564"/>
      <c r="AM79" s="564"/>
      <c r="AN79" s="564"/>
      <c r="AO79" s="564" t="s">
        <v>9406</v>
      </c>
      <c r="AP79" s="564"/>
      <c r="AQ79" s="564"/>
      <c r="AR79" s="564"/>
      <c r="AS79" s="564"/>
      <c r="AT79" s="564" t="s">
        <v>9502</v>
      </c>
      <c r="AU79" s="564"/>
      <c r="AV79" s="564"/>
      <c r="AW79" s="564"/>
      <c r="AX79" s="564"/>
      <c r="AY79" s="564"/>
      <c r="AZ79" s="564"/>
      <c r="BA79" s="564"/>
      <c r="BB79" s="564"/>
      <c r="BC79" s="564" t="s">
        <v>9408</v>
      </c>
      <c r="BD79" s="564"/>
      <c r="BE79" s="564"/>
      <c r="BF79" s="564"/>
      <c r="BG79" s="564"/>
      <c r="BH79" s="564" t="s">
        <v>9503</v>
      </c>
      <c r="BI79" s="564"/>
      <c r="BJ79" s="564"/>
      <c r="BK79" s="564"/>
      <c r="BL79" s="564"/>
      <c r="BM79" s="564"/>
      <c r="BN79" s="564"/>
      <c r="BO79" s="564"/>
      <c r="BP79" s="564"/>
      <c r="BQ79" s="564" t="s">
        <v>9410</v>
      </c>
      <c r="BR79" s="564"/>
      <c r="BS79" s="564"/>
      <c r="BT79" s="564"/>
      <c r="BU79" s="564"/>
      <c r="BV79" s="564" t="s">
        <v>9504</v>
      </c>
      <c r="BW79" s="564"/>
      <c r="BX79" s="564"/>
      <c r="BY79" s="564"/>
      <c r="BZ79" s="564"/>
      <c r="CA79" s="564"/>
      <c r="CB79" s="564"/>
      <c r="CC79" s="564"/>
      <c r="CD79" s="564"/>
      <c r="CE79" s="564" t="s">
        <v>9412</v>
      </c>
      <c r="CF79" s="564"/>
      <c r="CG79" s="564"/>
      <c r="CH79" s="564"/>
      <c r="CI79" s="564"/>
      <c r="CJ79" s="564" t="s">
        <v>9604</v>
      </c>
      <c r="CK79" s="564"/>
      <c r="CL79" s="564"/>
      <c r="CM79" s="564"/>
      <c r="CN79" s="564"/>
      <c r="CO79" s="564"/>
      <c r="CP79" s="564"/>
      <c r="CQ79" s="564"/>
      <c r="CR79" s="564"/>
      <c r="CS79" s="564" t="s">
        <v>9414</v>
      </c>
      <c r="CT79" s="564"/>
      <c r="CU79" s="564"/>
      <c r="CV79" s="564"/>
      <c r="CW79" s="564"/>
      <c r="CX79" s="564" t="s">
        <v>9506</v>
      </c>
      <c r="CY79" s="564"/>
      <c r="CZ79" s="564"/>
      <c r="DA79" s="564"/>
      <c r="DB79" s="564"/>
      <c r="DC79" s="564"/>
      <c r="DD79" s="564"/>
      <c r="DE79" s="564"/>
      <c r="DF79" s="564"/>
      <c r="DG79" s="564" t="s">
        <v>9415</v>
      </c>
      <c r="DH79" s="564"/>
    </row>
    <row r="80" spans="1:112" s="299" customFormat="1" ht="12.75" x14ac:dyDescent="0.2">
      <c r="C80" s="23" t="str">
        <f t="shared" ca="1" si="63"/>
        <v>AND, their households members</v>
      </c>
      <c r="D80" s="253">
        <f>D79</f>
        <v>0</v>
      </c>
      <c r="E80" s="253">
        <f t="shared" ref="E80:I80" si="68">E79</f>
        <v>0</v>
      </c>
      <c r="F80" s="253">
        <f t="shared" si="68"/>
        <v>0</v>
      </c>
      <c r="G80" s="253">
        <f t="shared" si="68"/>
        <v>0</v>
      </c>
      <c r="H80" s="253">
        <f t="shared" si="68"/>
        <v>0</v>
      </c>
      <c r="I80" s="253">
        <f t="shared" si="68"/>
        <v>0</v>
      </c>
      <c r="J80" s="46"/>
      <c r="K80" s="16" t="e">
        <f t="shared" si="67"/>
        <v>#N/A</v>
      </c>
      <c r="L80" s="12" t="str">
        <f t="shared" ca="1" si="55"/>
        <v>Voluntary DM1 / DM2</v>
      </c>
      <c r="M80" s="567"/>
      <c r="O80" s="564"/>
      <c r="P80" s="564"/>
      <c r="Q80" s="564"/>
      <c r="R80" s="564" t="s">
        <v>3790</v>
      </c>
      <c r="S80" s="564"/>
      <c r="T80" s="564"/>
      <c r="U80" s="564"/>
      <c r="V80" s="564"/>
      <c r="W80" s="564"/>
      <c r="X80" s="564"/>
      <c r="Y80" s="564"/>
      <c r="Z80" s="564"/>
      <c r="AA80" s="564" t="s">
        <v>3014</v>
      </c>
      <c r="AB80" s="564"/>
      <c r="AC80" s="564"/>
      <c r="AD80" s="564"/>
      <c r="AE80" s="564"/>
      <c r="AF80" s="564" t="s">
        <v>9440</v>
      </c>
      <c r="AG80" s="564"/>
      <c r="AH80" s="564"/>
      <c r="AI80" s="564"/>
      <c r="AJ80" s="564"/>
      <c r="AK80" s="564"/>
      <c r="AL80" s="564"/>
      <c r="AM80" s="564"/>
      <c r="AN80" s="564"/>
      <c r="AO80" s="564" t="s">
        <v>9406</v>
      </c>
      <c r="AP80" s="564"/>
      <c r="AQ80" s="564"/>
      <c r="AR80" s="564"/>
      <c r="AS80" s="564"/>
      <c r="AT80" s="564" t="s">
        <v>9441</v>
      </c>
      <c r="AU80" s="564"/>
      <c r="AV80" s="564"/>
      <c r="AW80" s="564"/>
      <c r="AX80" s="564"/>
      <c r="AY80" s="564"/>
      <c r="AZ80" s="564"/>
      <c r="BA80" s="564"/>
      <c r="BB80" s="564"/>
      <c r="BC80" s="564" t="s">
        <v>9408</v>
      </c>
      <c r="BD80" s="564"/>
      <c r="BE80" s="564"/>
      <c r="BF80" s="564"/>
      <c r="BG80" s="564"/>
      <c r="BH80" s="564" t="s">
        <v>9442</v>
      </c>
      <c r="BI80" s="564"/>
      <c r="BJ80" s="564"/>
      <c r="BK80" s="564"/>
      <c r="BL80" s="564"/>
      <c r="BM80" s="564"/>
      <c r="BN80" s="564"/>
      <c r="BO80" s="564"/>
      <c r="BP80" s="564"/>
      <c r="BQ80" s="564" t="s">
        <v>9410</v>
      </c>
      <c r="BR80" s="564"/>
      <c r="BS80" s="564"/>
      <c r="BT80" s="564"/>
      <c r="BU80" s="564"/>
      <c r="BV80" s="564" t="s">
        <v>9443</v>
      </c>
      <c r="BW80" s="564"/>
      <c r="BX80" s="564"/>
      <c r="BY80" s="564"/>
      <c r="BZ80" s="564"/>
      <c r="CA80" s="564"/>
      <c r="CB80" s="564"/>
      <c r="CC80" s="564"/>
      <c r="CD80" s="564"/>
      <c r="CE80" s="564" t="s">
        <v>9412</v>
      </c>
      <c r="CF80" s="564"/>
      <c r="CG80" s="564"/>
      <c r="CH80" s="564"/>
      <c r="CI80" s="564"/>
      <c r="CJ80" s="564" t="s">
        <v>9454</v>
      </c>
      <c r="CK80" s="564"/>
      <c r="CL80" s="564"/>
      <c r="CM80" s="564"/>
      <c r="CN80" s="564"/>
      <c r="CO80" s="564"/>
      <c r="CP80" s="564"/>
      <c r="CQ80" s="564"/>
      <c r="CR80" s="564"/>
      <c r="CS80" s="564" t="s">
        <v>9414</v>
      </c>
      <c r="CT80" s="564"/>
      <c r="CU80" s="564"/>
      <c r="CV80" s="564"/>
      <c r="CW80" s="564"/>
      <c r="CX80" s="564" t="s">
        <v>9445</v>
      </c>
      <c r="CY80" s="564"/>
      <c r="CZ80" s="564"/>
      <c r="DA80" s="564"/>
      <c r="DB80" s="564"/>
      <c r="DC80" s="564"/>
      <c r="DD80" s="564"/>
      <c r="DE80" s="564"/>
      <c r="DF80" s="564"/>
      <c r="DG80" s="564" t="s">
        <v>9415</v>
      </c>
      <c r="DH80" s="564"/>
    </row>
    <row r="81" spans="1:112" s="299" customFormat="1" ht="12.75" hidden="1" x14ac:dyDescent="0.2">
      <c r="A81" s="354">
        <v>1</v>
      </c>
      <c r="B81" s="346" t="s">
        <v>14113</v>
      </c>
      <c r="C81" s="23" t="str">
        <f t="shared" ca="1" si="63"/>
        <v>Hard-to-Reach Pregnant Women</v>
      </c>
      <c r="D81" s="253">
        <f>D66</f>
        <v>0</v>
      </c>
      <c r="E81" s="253">
        <f t="shared" ref="E81:I81" si="69">E66</f>
        <v>0</v>
      </c>
      <c r="F81" s="253">
        <f t="shared" si="69"/>
        <v>0</v>
      </c>
      <c r="G81" s="253">
        <f t="shared" si="69"/>
        <v>0</v>
      </c>
      <c r="H81" s="253">
        <f t="shared" si="69"/>
        <v>0</v>
      </c>
      <c r="I81" s="253">
        <f t="shared" si="69"/>
        <v>0</v>
      </c>
      <c r="J81" s="448">
        <f>SUM(D81:I81)</f>
        <v>0</v>
      </c>
      <c r="K81" s="16"/>
      <c r="L81" s="12" t="str">
        <f t="shared" ca="1" si="55"/>
        <v>DM4</v>
      </c>
      <c r="M81" s="567"/>
      <c r="O81" s="564"/>
      <c r="P81" s="564"/>
      <c r="Q81" s="564" t="s">
        <v>3031</v>
      </c>
      <c r="R81" s="564" t="s">
        <v>3815</v>
      </c>
      <c r="S81" s="564"/>
      <c r="T81" s="564"/>
      <c r="U81" s="564"/>
      <c r="V81" s="564"/>
      <c r="W81" s="564"/>
      <c r="X81" s="564"/>
      <c r="Y81" s="564"/>
      <c r="Z81" s="564"/>
      <c r="AA81" s="564" t="s">
        <v>1561</v>
      </c>
      <c r="AB81" s="564"/>
      <c r="AC81" s="564"/>
      <c r="AD81" s="564"/>
      <c r="AE81" s="564" t="s">
        <v>9605</v>
      </c>
      <c r="AF81" s="564" t="s">
        <v>9507</v>
      </c>
      <c r="AG81" s="564"/>
      <c r="AH81" s="564"/>
      <c r="AI81" s="564"/>
      <c r="AJ81" s="564"/>
      <c r="AK81" s="564"/>
      <c r="AL81" s="564"/>
      <c r="AM81" s="564"/>
      <c r="AN81" s="564"/>
      <c r="AO81" s="564" t="s">
        <v>9447</v>
      </c>
      <c r="AP81" s="564"/>
      <c r="AQ81" s="564"/>
      <c r="AR81" s="564"/>
      <c r="AS81" s="564" t="s">
        <v>9606</v>
      </c>
      <c r="AT81" s="564" t="s">
        <v>9508</v>
      </c>
      <c r="AU81" s="564"/>
      <c r="AV81" s="564"/>
      <c r="AW81" s="564"/>
      <c r="AX81" s="564"/>
      <c r="AY81" s="564"/>
      <c r="AZ81" s="564"/>
      <c r="BA81" s="564"/>
      <c r="BB81" s="564"/>
      <c r="BC81" s="564" t="s">
        <v>9449</v>
      </c>
      <c r="BD81" s="564"/>
      <c r="BE81" s="564"/>
      <c r="BF81" s="564"/>
      <c r="BG81" s="564" t="s">
        <v>9607</v>
      </c>
      <c r="BH81" s="564" t="s">
        <v>9509</v>
      </c>
      <c r="BI81" s="564"/>
      <c r="BJ81" s="564"/>
      <c r="BK81" s="564"/>
      <c r="BL81" s="564"/>
      <c r="BM81" s="564"/>
      <c r="BN81" s="564"/>
      <c r="BO81" s="564"/>
      <c r="BP81" s="564"/>
      <c r="BQ81" s="564" t="s">
        <v>9447</v>
      </c>
      <c r="BR81" s="564"/>
      <c r="BS81" s="564"/>
      <c r="BT81" s="564"/>
      <c r="BU81" s="564" t="s">
        <v>9607</v>
      </c>
      <c r="BV81" s="564" t="s">
        <v>9510</v>
      </c>
      <c r="BW81" s="564"/>
      <c r="BX81" s="564"/>
      <c r="BY81" s="564"/>
      <c r="BZ81" s="564"/>
      <c r="CA81" s="564"/>
      <c r="CB81" s="564"/>
      <c r="CC81" s="564"/>
      <c r="CD81" s="564"/>
      <c r="CE81" s="564" t="s">
        <v>9447</v>
      </c>
      <c r="CF81" s="564"/>
      <c r="CG81" s="564"/>
      <c r="CH81" s="564"/>
      <c r="CI81" s="564" t="s">
        <v>9608</v>
      </c>
      <c r="CJ81" s="564" t="s">
        <v>9609</v>
      </c>
      <c r="CK81" s="564"/>
      <c r="CL81" s="564"/>
      <c r="CM81" s="564"/>
      <c r="CN81" s="564"/>
      <c r="CO81" s="564"/>
      <c r="CP81" s="564"/>
      <c r="CQ81" s="564"/>
      <c r="CR81" s="564"/>
      <c r="CS81" s="564" t="s">
        <v>1561</v>
      </c>
      <c r="CT81" s="564"/>
      <c r="CU81" s="564"/>
      <c r="CV81" s="564"/>
      <c r="CW81" s="564" t="s">
        <v>7912</v>
      </c>
      <c r="CX81" s="564" t="s">
        <v>9512</v>
      </c>
      <c r="CY81" s="564"/>
      <c r="CZ81" s="564"/>
      <c r="DA81" s="564"/>
      <c r="DB81" s="564"/>
      <c r="DC81" s="564"/>
      <c r="DD81" s="564"/>
      <c r="DE81" s="564"/>
      <c r="DF81" s="564"/>
      <c r="DG81" s="564" t="s">
        <v>1561</v>
      </c>
      <c r="DH81" s="564"/>
    </row>
    <row r="82" spans="1:112" s="299" customFormat="1" ht="12.75" hidden="1" x14ac:dyDescent="0.2">
      <c r="A82" s="354">
        <v>1</v>
      </c>
      <c r="B82" s="346" t="s">
        <v>14113</v>
      </c>
      <c r="C82" s="23" t="str">
        <f t="shared" ca="1" si="63"/>
        <v>Easy-to-access Pregnant women</v>
      </c>
      <c r="D82" s="253">
        <f>D64</f>
        <v>0</v>
      </c>
      <c r="E82" s="253">
        <f t="shared" ref="E82:I82" si="70">E64</f>
        <v>0</v>
      </c>
      <c r="F82" s="253">
        <f t="shared" si="70"/>
        <v>0</v>
      </c>
      <c r="G82" s="253">
        <f t="shared" si="70"/>
        <v>0</v>
      </c>
      <c r="H82" s="253">
        <f t="shared" si="70"/>
        <v>0</v>
      </c>
      <c r="I82" s="253">
        <f t="shared" si="70"/>
        <v>0</v>
      </c>
      <c r="J82" s="448">
        <f>SUM(D82:I82)</f>
        <v>0</v>
      </c>
      <c r="K82" s="16"/>
      <c r="L82" s="12" t="str">
        <f t="shared" ca="1" si="55"/>
        <v>Voluntary DM1 / DM2</v>
      </c>
      <c r="M82" s="567"/>
      <c r="O82" s="564"/>
      <c r="P82" s="564"/>
      <c r="Q82" s="564" t="s">
        <v>3031</v>
      </c>
      <c r="R82" s="564" t="s">
        <v>3791</v>
      </c>
      <c r="S82" s="564"/>
      <c r="T82" s="564"/>
      <c r="U82" s="564"/>
      <c r="V82" s="564"/>
      <c r="W82" s="564"/>
      <c r="X82" s="564"/>
      <c r="Y82" s="564"/>
      <c r="Z82" s="564"/>
      <c r="AA82" s="564" t="s">
        <v>3014</v>
      </c>
      <c r="AB82" s="564"/>
      <c r="AC82" s="564"/>
      <c r="AD82" s="564"/>
      <c r="AE82" s="564" t="s">
        <v>9605</v>
      </c>
      <c r="AF82" s="564" t="s">
        <v>9513</v>
      </c>
      <c r="AG82" s="564"/>
      <c r="AH82" s="564"/>
      <c r="AI82" s="564"/>
      <c r="AJ82" s="564"/>
      <c r="AK82" s="564"/>
      <c r="AL82" s="564"/>
      <c r="AM82" s="564"/>
      <c r="AN82" s="564"/>
      <c r="AO82" s="564" t="s">
        <v>9406</v>
      </c>
      <c r="AP82" s="564"/>
      <c r="AQ82" s="564"/>
      <c r="AR82" s="564"/>
      <c r="AS82" s="564" t="s">
        <v>9606</v>
      </c>
      <c r="AT82" s="564" t="s">
        <v>9514</v>
      </c>
      <c r="AU82" s="564"/>
      <c r="AV82" s="564"/>
      <c r="AW82" s="564"/>
      <c r="AX82" s="564"/>
      <c r="AY82" s="564"/>
      <c r="AZ82" s="564"/>
      <c r="BA82" s="564"/>
      <c r="BB82" s="564"/>
      <c r="BC82" s="564" t="s">
        <v>9408</v>
      </c>
      <c r="BD82" s="564"/>
      <c r="BE82" s="564"/>
      <c r="BF82" s="564"/>
      <c r="BG82" s="564" t="s">
        <v>9607</v>
      </c>
      <c r="BH82" s="564" t="s">
        <v>9515</v>
      </c>
      <c r="BI82" s="564"/>
      <c r="BJ82" s="564"/>
      <c r="BK82" s="564"/>
      <c r="BL82" s="564"/>
      <c r="BM82" s="564"/>
      <c r="BN82" s="564"/>
      <c r="BO82" s="564"/>
      <c r="BP82" s="564"/>
      <c r="BQ82" s="564" t="s">
        <v>9410</v>
      </c>
      <c r="BR82" s="564"/>
      <c r="BS82" s="564"/>
      <c r="BT82" s="564"/>
      <c r="BU82" s="564" t="s">
        <v>9607</v>
      </c>
      <c r="BV82" s="564" t="s">
        <v>9516</v>
      </c>
      <c r="BW82" s="564"/>
      <c r="BX82" s="564"/>
      <c r="BY82" s="564"/>
      <c r="BZ82" s="564"/>
      <c r="CA82" s="564"/>
      <c r="CB82" s="564"/>
      <c r="CC82" s="564"/>
      <c r="CD82" s="564"/>
      <c r="CE82" s="564" t="s">
        <v>9412</v>
      </c>
      <c r="CF82" s="564"/>
      <c r="CG82" s="564"/>
      <c r="CH82" s="564"/>
      <c r="CI82" s="564" t="s">
        <v>9608</v>
      </c>
      <c r="CJ82" s="564" t="s">
        <v>9610</v>
      </c>
      <c r="CK82" s="564"/>
      <c r="CL82" s="564"/>
      <c r="CM82" s="564"/>
      <c r="CN82" s="564"/>
      <c r="CO82" s="564"/>
      <c r="CP82" s="564"/>
      <c r="CQ82" s="564"/>
      <c r="CR82" s="564"/>
      <c r="CS82" s="564" t="s">
        <v>9414</v>
      </c>
      <c r="CT82" s="564"/>
      <c r="CU82" s="564"/>
      <c r="CV82" s="564"/>
      <c r="CW82" s="564" t="s">
        <v>7912</v>
      </c>
      <c r="CX82" s="564" t="s">
        <v>9518</v>
      </c>
      <c r="CY82" s="564"/>
      <c r="CZ82" s="564"/>
      <c r="DA82" s="564"/>
      <c r="DB82" s="564"/>
      <c r="DC82" s="564"/>
      <c r="DD82" s="564"/>
      <c r="DE82" s="564"/>
      <c r="DF82" s="564"/>
      <c r="DG82" s="564" t="s">
        <v>9415</v>
      </c>
      <c r="DH82" s="564"/>
    </row>
    <row r="83" spans="1:112" s="299" customFormat="1" ht="12.75" x14ac:dyDescent="0.2">
      <c r="C83" s="5"/>
      <c r="D83" s="325"/>
      <c r="E83" s="325"/>
      <c r="F83" s="325"/>
      <c r="G83" s="325"/>
      <c r="H83" s="325"/>
      <c r="I83" s="325"/>
      <c r="J83" s="46"/>
      <c r="L83" s="567"/>
      <c r="M83" s="567"/>
      <c r="O83" s="564"/>
      <c r="P83" s="564"/>
      <c r="Q83" s="564"/>
      <c r="R83" s="564"/>
      <c r="S83" s="564"/>
      <c r="T83" s="564"/>
      <c r="U83" s="564"/>
      <c r="V83" s="564"/>
      <c r="W83" s="564"/>
      <c r="X83" s="564"/>
      <c r="Y83" s="564"/>
      <c r="Z83" s="564"/>
      <c r="AA83" s="564"/>
      <c r="AB83" s="564"/>
      <c r="AC83" s="564"/>
      <c r="AD83" s="564"/>
      <c r="AE83" s="564"/>
      <c r="AF83" s="564"/>
      <c r="AG83" s="564"/>
      <c r="AH83" s="564"/>
      <c r="AI83" s="564"/>
      <c r="AJ83" s="564"/>
      <c r="AK83" s="564"/>
      <c r="AL83" s="564"/>
      <c r="AM83" s="564"/>
      <c r="AN83" s="564"/>
      <c r="AO83" s="564"/>
      <c r="AP83" s="564"/>
      <c r="AQ83" s="564"/>
      <c r="AR83" s="564"/>
      <c r="AS83" s="564"/>
      <c r="AT83" s="564"/>
      <c r="AU83" s="564"/>
      <c r="AV83" s="564"/>
      <c r="AW83" s="564"/>
      <c r="AX83" s="564"/>
      <c r="AY83" s="564"/>
      <c r="AZ83" s="564"/>
      <c r="BA83" s="564"/>
      <c r="BB83" s="564"/>
      <c r="BC83" s="564"/>
      <c r="BD83" s="564"/>
      <c r="BE83" s="564"/>
      <c r="BF83" s="564"/>
      <c r="BG83" s="564"/>
      <c r="BH83" s="564"/>
      <c r="BI83" s="564"/>
      <c r="BJ83" s="564"/>
      <c r="BK83" s="564"/>
      <c r="BL83" s="564"/>
      <c r="BM83" s="564"/>
      <c r="BN83" s="564"/>
      <c r="BO83" s="564"/>
      <c r="BP83" s="564"/>
      <c r="BQ83" s="564"/>
      <c r="BR83" s="564"/>
      <c r="BS83" s="564"/>
      <c r="BT83" s="564"/>
      <c r="BU83" s="564"/>
      <c r="BV83" s="564"/>
      <c r="BW83" s="564"/>
      <c r="BX83" s="564"/>
      <c r="BY83" s="564"/>
      <c r="BZ83" s="564"/>
      <c r="CA83" s="564"/>
      <c r="CB83" s="564"/>
      <c r="CC83" s="564"/>
      <c r="CD83" s="564"/>
      <c r="CE83" s="564"/>
      <c r="CF83" s="564"/>
      <c r="CG83" s="564"/>
      <c r="CH83" s="564"/>
      <c r="CI83" s="564"/>
      <c r="CJ83" s="564"/>
      <c r="CK83" s="564"/>
      <c r="CL83" s="564"/>
      <c r="CM83" s="564"/>
      <c r="CN83" s="564"/>
      <c r="CO83" s="564"/>
      <c r="CP83" s="564"/>
      <c r="CQ83" s="564"/>
      <c r="CR83" s="564"/>
      <c r="CS83" s="564"/>
      <c r="CT83" s="564"/>
      <c r="CU83" s="564"/>
      <c r="CV83" s="564"/>
      <c r="CW83" s="564"/>
      <c r="CX83" s="564"/>
      <c r="CY83" s="564"/>
      <c r="CZ83" s="564"/>
      <c r="DA83" s="564"/>
      <c r="DB83" s="564"/>
      <c r="DC83" s="564"/>
      <c r="DD83" s="564"/>
      <c r="DE83" s="564"/>
      <c r="DF83" s="564"/>
      <c r="DG83" s="564"/>
      <c r="DH83" s="564"/>
    </row>
    <row r="84" spans="1:112" s="299" customFormat="1" ht="12.75" x14ac:dyDescent="0.2">
      <c r="A84" s="354">
        <v>1</v>
      </c>
      <c r="B84" s="340" t="str">
        <f ca="1">IF(OFFSET(Q84,0,Lang_Order*Lang__B1)="","",OFFSET(Q84,0,Lang_Order*Lang__B1))</f>
        <v>Infer</v>
      </c>
      <c r="C84" s="51" t="str">
        <f ca="1">IF(OFFSET(R84,0,Lang_Order*Lang__B1)="","",OFFSET(R84,0,Lang_Order*Lang__B1))</f>
        <v>Remainder with no high-priority qualifying conditions</v>
      </c>
      <c r="D84" s="226">
        <v>0</v>
      </c>
      <c r="E84" s="226">
        <v>0</v>
      </c>
      <c r="F84" s="226">
        <v>0</v>
      </c>
      <c r="G84" s="226">
        <v>0</v>
      </c>
      <c r="H84" s="226">
        <v>0</v>
      </c>
      <c r="I84" s="226">
        <v>0</v>
      </c>
      <c r="J84" s="448">
        <f>SUM(D84:I84)</f>
        <v>0</v>
      </c>
      <c r="K84" s="497" t="e">
        <f>AVERAGE(D51:I51)</f>
        <v>#N/A</v>
      </c>
      <c r="L84" s="12" t="str">
        <f t="shared" ca="1" si="55"/>
        <v>Voluntary DM1 / DM2</v>
      </c>
      <c r="M84" s="587"/>
      <c r="O84" s="564"/>
      <c r="P84" s="564"/>
      <c r="Q84" s="564" t="s">
        <v>3795</v>
      </c>
      <c r="R84" s="564" t="s">
        <v>3794</v>
      </c>
      <c r="S84" s="564"/>
      <c r="T84" s="564"/>
      <c r="U84" s="564"/>
      <c r="V84" s="564"/>
      <c r="W84" s="564"/>
      <c r="X84" s="564"/>
      <c r="Y84" s="564"/>
      <c r="Z84" s="564"/>
      <c r="AA84" s="564" t="s">
        <v>3014</v>
      </c>
      <c r="AB84" s="564"/>
      <c r="AC84" s="564"/>
      <c r="AD84" s="564"/>
      <c r="AE84" s="564" t="s">
        <v>9519</v>
      </c>
      <c r="AF84" s="564" t="s">
        <v>9520</v>
      </c>
      <c r="AG84" s="564"/>
      <c r="AH84" s="564"/>
      <c r="AI84" s="564"/>
      <c r="AJ84" s="564"/>
      <c r="AK84" s="564"/>
      <c r="AL84" s="564"/>
      <c r="AM84" s="564"/>
      <c r="AN84" s="564"/>
      <c r="AO84" s="564" t="s">
        <v>9406</v>
      </c>
      <c r="AP84" s="564"/>
      <c r="AQ84" s="564"/>
      <c r="AR84" s="564"/>
      <c r="AS84" s="564" t="s">
        <v>9522</v>
      </c>
      <c r="AT84" s="564" t="s">
        <v>9523</v>
      </c>
      <c r="AU84" s="564"/>
      <c r="AV84" s="564"/>
      <c r="AW84" s="564"/>
      <c r="AX84" s="564"/>
      <c r="AY84" s="564"/>
      <c r="AZ84" s="564"/>
      <c r="BA84" s="564"/>
      <c r="BB84" s="564"/>
      <c r="BC84" s="564" t="s">
        <v>9408</v>
      </c>
      <c r="BD84" s="564"/>
      <c r="BE84" s="564"/>
      <c r="BF84" s="564"/>
      <c r="BG84" s="564" t="s">
        <v>9611</v>
      </c>
      <c r="BH84" s="564" t="s">
        <v>9526</v>
      </c>
      <c r="BI84" s="564"/>
      <c r="BJ84" s="564"/>
      <c r="BK84" s="564"/>
      <c r="BL84" s="564"/>
      <c r="BM84" s="564"/>
      <c r="BN84" s="564"/>
      <c r="BO84" s="564"/>
      <c r="BP84" s="564"/>
      <c r="BQ84" s="564" t="s">
        <v>9410</v>
      </c>
      <c r="BR84" s="564"/>
      <c r="BS84" s="564"/>
      <c r="BT84" s="564"/>
      <c r="BU84" s="564" t="s">
        <v>9528</v>
      </c>
      <c r="BV84" s="564" t="s">
        <v>9529</v>
      </c>
      <c r="BW84" s="564"/>
      <c r="BX84" s="564"/>
      <c r="BY84" s="564"/>
      <c r="BZ84" s="564"/>
      <c r="CA84" s="564"/>
      <c r="CB84" s="564"/>
      <c r="CC84" s="564"/>
      <c r="CD84" s="564"/>
      <c r="CE84" s="564" t="s">
        <v>9412</v>
      </c>
      <c r="CF84" s="564"/>
      <c r="CG84" s="564"/>
      <c r="CH84" s="564"/>
      <c r="CI84" s="564" t="s">
        <v>9531</v>
      </c>
      <c r="CJ84" s="564" t="s">
        <v>9612</v>
      </c>
      <c r="CK84" s="564"/>
      <c r="CL84" s="564"/>
      <c r="CM84" s="564"/>
      <c r="CN84" s="564"/>
      <c r="CO84" s="564"/>
      <c r="CP84" s="564"/>
      <c r="CQ84" s="564"/>
      <c r="CR84" s="564"/>
      <c r="CS84" s="564" t="s">
        <v>9414</v>
      </c>
      <c r="CT84" s="564"/>
      <c r="CU84" s="564"/>
      <c r="CV84" s="564"/>
      <c r="CW84" s="564" t="s">
        <v>9534</v>
      </c>
      <c r="CX84" s="564" t="s">
        <v>9535</v>
      </c>
      <c r="CY84" s="564"/>
      <c r="CZ84" s="564"/>
      <c r="DA84" s="564"/>
      <c r="DB84" s="564"/>
      <c r="DC84" s="564"/>
      <c r="DD84" s="564"/>
      <c r="DE84" s="564"/>
      <c r="DF84" s="564"/>
      <c r="DG84" s="564" t="s">
        <v>9415</v>
      </c>
      <c r="DH84" s="564"/>
    </row>
    <row r="85" spans="1:112" s="194" customFormat="1" ht="12.75" x14ac:dyDescent="0.2">
      <c r="L85" s="567"/>
      <c r="M85" s="567"/>
      <c r="N85" s="299"/>
      <c r="O85" s="564"/>
      <c r="P85" s="564"/>
      <c r="Q85" s="564"/>
      <c r="R85" s="564"/>
      <c r="S85" s="564"/>
      <c r="T85" s="564"/>
      <c r="U85" s="564"/>
      <c r="V85" s="564"/>
      <c r="W85" s="564"/>
      <c r="X85" s="564"/>
      <c r="Y85" s="564"/>
      <c r="Z85" s="564"/>
      <c r="AA85" s="564"/>
      <c r="AB85" s="564"/>
      <c r="AC85" s="564"/>
      <c r="AD85" s="564"/>
      <c r="AE85" s="564"/>
      <c r="AF85" s="564"/>
      <c r="AG85" s="564"/>
      <c r="AH85" s="564"/>
      <c r="AI85" s="564"/>
      <c r="AJ85" s="564"/>
      <c r="AK85" s="564"/>
      <c r="AL85" s="564"/>
      <c r="AM85" s="564"/>
      <c r="AN85" s="564"/>
      <c r="AO85" s="564"/>
      <c r="AP85" s="564"/>
      <c r="AQ85" s="564"/>
      <c r="AR85" s="564"/>
      <c r="AS85" s="564"/>
      <c r="AT85" s="564"/>
      <c r="AU85" s="564"/>
      <c r="AV85" s="564"/>
      <c r="AW85" s="564"/>
      <c r="AX85" s="564"/>
      <c r="AY85" s="564"/>
      <c r="AZ85" s="564"/>
      <c r="BA85" s="564"/>
      <c r="BB85" s="564"/>
      <c r="BC85" s="564"/>
      <c r="BD85" s="564"/>
      <c r="BE85" s="564"/>
      <c r="BF85" s="564"/>
      <c r="BG85" s="564"/>
      <c r="BH85" s="564"/>
      <c r="BI85" s="564"/>
      <c r="BJ85" s="564"/>
      <c r="BK85" s="564"/>
      <c r="BL85" s="564"/>
      <c r="BM85" s="564"/>
      <c r="BN85" s="564"/>
      <c r="BO85" s="564"/>
      <c r="BP85" s="564"/>
      <c r="BQ85" s="564"/>
      <c r="BR85" s="564"/>
      <c r="BS85" s="564"/>
      <c r="BT85" s="564"/>
      <c r="BU85" s="564"/>
      <c r="BV85" s="564"/>
      <c r="BW85" s="564"/>
      <c r="BX85" s="564"/>
      <c r="BY85" s="564"/>
      <c r="BZ85" s="564"/>
      <c r="CA85" s="564"/>
      <c r="CB85" s="564"/>
      <c r="CC85" s="564"/>
      <c r="CD85" s="564"/>
      <c r="CE85" s="564"/>
      <c r="CF85" s="564"/>
      <c r="CG85" s="564"/>
      <c r="CH85" s="564"/>
      <c r="CI85" s="564"/>
      <c r="CJ85" s="564"/>
      <c r="CK85" s="564"/>
      <c r="CL85" s="564"/>
      <c r="CM85" s="564"/>
      <c r="CN85" s="564"/>
      <c r="CO85" s="564"/>
      <c r="CP85" s="564"/>
      <c r="CQ85" s="564"/>
      <c r="CR85" s="564"/>
      <c r="CS85" s="564"/>
      <c r="CT85" s="564"/>
      <c r="CU85" s="564"/>
      <c r="CV85" s="564"/>
      <c r="CW85" s="564"/>
      <c r="CX85" s="564"/>
      <c r="CY85" s="564"/>
      <c r="CZ85" s="564"/>
      <c r="DA85" s="564"/>
      <c r="DB85" s="564"/>
      <c r="DC85" s="564"/>
      <c r="DD85" s="564"/>
      <c r="DE85" s="564"/>
      <c r="DF85" s="564"/>
      <c r="DG85" s="564"/>
      <c r="DH85" s="564"/>
    </row>
    <row r="86" spans="1:112" s="194" customFormat="1" ht="33" customHeight="1" x14ac:dyDescent="0.2">
      <c r="C86" s="679" t="str">
        <f t="shared" ref="C86:I86" ca="1" si="71">IF(OFFSET(R86,0,Lang_Order*Lang__B1)="","",OFFSET(R86,0,Lang_Order*Lang__B1))</f>
        <v>Instructions: This surplus/deficit calculator is to that the implications of vaccination timing can be seen immediately. Ensure that supply and demand are closely balanced … fewer than 1000 courses discrepency. The calculations are also influenced by the supply of vaccines (A2.6), expected uptake and wastage (A2.4), and target population specifications (A2.2)</v>
      </c>
      <c r="D86" s="679" t="str">
        <f t="shared" ca="1" si="71"/>
        <v/>
      </c>
      <c r="E86" s="679" t="str">
        <f t="shared" ca="1" si="71"/>
        <v/>
      </c>
      <c r="F86" s="679" t="str">
        <f t="shared" ca="1" si="71"/>
        <v/>
      </c>
      <c r="G86" s="679" t="str">
        <f t="shared" ca="1" si="71"/>
        <v/>
      </c>
      <c r="H86" s="679" t="str">
        <f t="shared" ca="1" si="71"/>
        <v/>
      </c>
      <c r="I86" s="679" t="str">
        <f t="shared" ca="1" si="71"/>
        <v/>
      </c>
      <c r="L86" s="567"/>
      <c r="M86" s="567"/>
      <c r="N86" s="299"/>
      <c r="O86" s="564"/>
      <c r="P86" s="564"/>
      <c r="Q86" s="564"/>
      <c r="R86" s="564" t="s">
        <v>4259</v>
      </c>
      <c r="S86" s="564" t="s">
        <v>197</v>
      </c>
      <c r="T86" s="564" t="s">
        <v>197</v>
      </c>
      <c r="U86" s="564" t="s">
        <v>197</v>
      </c>
      <c r="V86" s="564" t="s">
        <v>197</v>
      </c>
      <c r="W86" s="564" t="s">
        <v>197</v>
      </c>
      <c r="X86" s="564" t="s">
        <v>197</v>
      </c>
      <c r="Y86" s="564"/>
      <c r="Z86" s="564"/>
      <c r="AA86" s="564"/>
      <c r="AB86" s="564"/>
      <c r="AC86" s="564"/>
      <c r="AD86" s="564"/>
      <c r="AE86" s="564"/>
      <c r="AF86" s="564" t="s">
        <v>9613</v>
      </c>
      <c r="AG86" s="564"/>
      <c r="AH86" s="564"/>
      <c r="AI86" s="564"/>
      <c r="AJ86" s="564"/>
      <c r="AK86" s="564"/>
      <c r="AL86" s="564"/>
      <c r="AM86" s="564"/>
      <c r="AN86" s="564"/>
      <c r="AO86" s="564"/>
      <c r="AP86" s="564"/>
      <c r="AQ86" s="564"/>
      <c r="AR86" s="564"/>
      <c r="AS86" s="564"/>
      <c r="AT86" s="564" t="s">
        <v>9614</v>
      </c>
      <c r="AU86" s="564"/>
      <c r="AV86" s="564"/>
      <c r="AW86" s="564"/>
      <c r="AX86" s="564"/>
      <c r="AY86" s="564"/>
      <c r="AZ86" s="564"/>
      <c r="BA86" s="564"/>
      <c r="BB86" s="564"/>
      <c r="BC86" s="564"/>
      <c r="BD86" s="564"/>
      <c r="BE86" s="564"/>
      <c r="BF86" s="564"/>
      <c r="BG86" s="564"/>
      <c r="BH86" s="564" t="s">
        <v>9615</v>
      </c>
      <c r="BI86" s="564"/>
      <c r="BJ86" s="564"/>
      <c r="BK86" s="564"/>
      <c r="BL86" s="564"/>
      <c r="BM86" s="564"/>
      <c r="BN86" s="564"/>
      <c r="BO86" s="564"/>
      <c r="BP86" s="564"/>
      <c r="BQ86" s="564"/>
      <c r="BR86" s="564"/>
      <c r="BS86" s="564"/>
      <c r="BT86" s="564"/>
      <c r="BU86" s="564"/>
      <c r="BV86" s="564" t="s">
        <v>9616</v>
      </c>
      <c r="BW86" s="564"/>
      <c r="BX86" s="564"/>
      <c r="BY86" s="564"/>
      <c r="BZ86" s="564"/>
      <c r="CA86" s="564"/>
      <c r="CB86" s="564"/>
      <c r="CC86" s="564"/>
      <c r="CD86" s="564"/>
      <c r="CE86" s="564"/>
      <c r="CF86" s="564"/>
      <c r="CG86" s="564"/>
      <c r="CH86" s="564"/>
      <c r="CI86" s="564"/>
      <c r="CJ86" s="564" t="s">
        <v>9617</v>
      </c>
      <c r="CK86" s="564"/>
      <c r="CL86" s="564"/>
      <c r="CM86" s="564"/>
      <c r="CN86" s="564"/>
      <c r="CO86" s="564"/>
      <c r="CP86" s="564"/>
      <c r="CQ86" s="564"/>
      <c r="CR86" s="564"/>
      <c r="CS86" s="564"/>
      <c r="CT86" s="564"/>
      <c r="CU86" s="564"/>
      <c r="CV86" s="564"/>
      <c r="CW86" s="564"/>
      <c r="CX86" s="564" t="s">
        <v>9618</v>
      </c>
      <c r="CY86" s="564"/>
      <c r="CZ86" s="564"/>
      <c r="DA86" s="564"/>
      <c r="DB86" s="564"/>
      <c r="DC86" s="564"/>
      <c r="DD86" s="564"/>
      <c r="DE86" s="564"/>
      <c r="DF86" s="564"/>
      <c r="DG86" s="564"/>
      <c r="DH86" s="564"/>
    </row>
    <row r="87" spans="1:112" s="194" customFormat="1" ht="15.75" x14ac:dyDescent="0.2">
      <c r="B87" s="90" t="str">
        <f ca="1">IF(OFFSET(Q87,0,Lang_Order*Lang__B1)="","",OFFSET(Q87,0,Lang_Order*Lang__B1))</f>
        <v>Trigger sensitivity</v>
      </c>
      <c r="C87" s="452" t="str">
        <f ca="1">IF(OFFSET(R87,0,Lang_Order*Lang__B1)="","",OFFSET(R87,0,Lang_Order*Lang__B1))</f>
        <v>Surplus or deficit?</v>
      </c>
      <c r="D87" s="396" t="e">
        <f>IF(D92=1,D93,"OK")</f>
        <v>#N/A</v>
      </c>
      <c r="E87" s="396" t="e">
        <f t="shared" ref="E87:I87" si="72">IF(E92=1,E93,"OK")</f>
        <v>#N/A</v>
      </c>
      <c r="F87" s="396" t="e">
        <f t="shared" si="72"/>
        <v>#N/A</v>
      </c>
      <c r="G87" s="396" t="e">
        <f t="shared" si="72"/>
        <v>#N/A</v>
      </c>
      <c r="H87" s="396" t="e">
        <f t="shared" si="72"/>
        <v>#N/A</v>
      </c>
      <c r="I87" s="396" t="e">
        <f t="shared" si="72"/>
        <v>#N/A</v>
      </c>
      <c r="J87" s="4" t="str">
        <f>IF(COUNTIF(D87:I87,"OK")=6,"OK",Lang_CHECK)</f>
        <v>CHECK</v>
      </c>
      <c r="L87" s="12" t="str">
        <f ca="1">IF(OFFSET(AA87,0,Lang_Order*Lang__B1)="","",OFFSET(AA87,0,Lang_Order*Lang__B1))</f>
        <v>Adjust timing of coverage in H1 and H2 2021 to avoid surpluses or deficits</v>
      </c>
      <c r="M87" s="12"/>
      <c r="N87" s="233" t="str">
        <f>IF(COUNTIF(D87:I87,"OK")=6,"OK",Lang_CHECK)</f>
        <v>CHECK</v>
      </c>
      <c r="O87" s="564"/>
      <c r="P87" s="564"/>
      <c r="Q87" s="564" t="s">
        <v>4173</v>
      </c>
      <c r="R87" s="564" t="s">
        <v>3076</v>
      </c>
      <c r="S87" s="564"/>
      <c r="T87" s="564"/>
      <c r="U87" s="564"/>
      <c r="V87" s="564"/>
      <c r="W87" s="564"/>
      <c r="X87" s="564"/>
      <c r="Y87" s="564"/>
      <c r="Z87" s="564"/>
      <c r="AA87" s="564" t="s">
        <v>2980</v>
      </c>
      <c r="AB87" s="564"/>
      <c r="AC87" s="564"/>
      <c r="AD87" s="564"/>
      <c r="AE87" s="564" t="s">
        <v>9619</v>
      </c>
      <c r="AF87" s="564" t="s">
        <v>9620</v>
      </c>
      <c r="AG87" s="564"/>
      <c r="AH87" s="564"/>
      <c r="AI87" s="564"/>
      <c r="AJ87" s="564"/>
      <c r="AK87" s="564"/>
      <c r="AL87" s="564"/>
      <c r="AM87" s="564"/>
      <c r="AN87" s="564"/>
      <c r="AO87" s="564" t="s">
        <v>9621</v>
      </c>
      <c r="AP87" s="564"/>
      <c r="AQ87" s="564"/>
      <c r="AR87" s="564"/>
      <c r="AS87" s="564" t="s">
        <v>9622</v>
      </c>
      <c r="AT87" s="564" t="s">
        <v>9623</v>
      </c>
      <c r="AU87" s="564"/>
      <c r="AV87" s="564"/>
      <c r="AW87" s="564"/>
      <c r="AX87" s="564"/>
      <c r="AY87" s="564"/>
      <c r="AZ87" s="564"/>
      <c r="BA87" s="564"/>
      <c r="BB87" s="564"/>
      <c r="BC87" s="564" t="s">
        <v>9624</v>
      </c>
      <c r="BD87" s="564"/>
      <c r="BE87" s="564"/>
      <c r="BF87" s="564"/>
      <c r="BG87" s="564" t="s">
        <v>9625</v>
      </c>
      <c r="BH87" s="564" t="s">
        <v>9626</v>
      </c>
      <c r="BI87" s="564"/>
      <c r="BJ87" s="564"/>
      <c r="BK87" s="564"/>
      <c r="BL87" s="564"/>
      <c r="BM87" s="564"/>
      <c r="BN87" s="564"/>
      <c r="BO87" s="564"/>
      <c r="BP87" s="564"/>
      <c r="BQ87" s="564" t="s">
        <v>9627</v>
      </c>
      <c r="BR87" s="564"/>
      <c r="BS87" s="564"/>
      <c r="BT87" s="564"/>
      <c r="BU87" s="564" t="s">
        <v>9628</v>
      </c>
      <c r="BV87" s="564" t="s">
        <v>9629</v>
      </c>
      <c r="BW87" s="564"/>
      <c r="BX87" s="564"/>
      <c r="BY87" s="564"/>
      <c r="BZ87" s="564"/>
      <c r="CA87" s="564"/>
      <c r="CB87" s="564"/>
      <c r="CC87" s="564"/>
      <c r="CD87" s="564"/>
      <c r="CE87" s="564" t="s">
        <v>9630</v>
      </c>
      <c r="CF87" s="564"/>
      <c r="CG87" s="564"/>
      <c r="CH87" s="564"/>
      <c r="CI87" s="564" t="s">
        <v>9631</v>
      </c>
      <c r="CJ87" s="564" t="s">
        <v>9632</v>
      </c>
      <c r="CK87" s="564"/>
      <c r="CL87" s="564"/>
      <c r="CM87" s="564"/>
      <c r="CN87" s="564"/>
      <c r="CO87" s="564"/>
      <c r="CP87" s="564"/>
      <c r="CQ87" s="564"/>
      <c r="CR87" s="564"/>
      <c r="CS87" s="564" t="s">
        <v>9633</v>
      </c>
      <c r="CT87" s="564"/>
      <c r="CU87" s="564"/>
      <c r="CV87" s="564"/>
      <c r="CW87" s="564" t="s">
        <v>9634</v>
      </c>
      <c r="CX87" s="564" t="s">
        <v>9635</v>
      </c>
      <c r="CY87" s="564"/>
      <c r="CZ87" s="564"/>
      <c r="DA87" s="564"/>
      <c r="DB87" s="564"/>
      <c r="DC87" s="564"/>
      <c r="DD87" s="564"/>
      <c r="DE87" s="564"/>
      <c r="DF87" s="564"/>
      <c r="DG87" s="564" t="s">
        <v>9636</v>
      </c>
      <c r="DH87" s="564"/>
    </row>
    <row r="88" spans="1:112" s="194" customFormat="1" ht="12.75" x14ac:dyDescent="0.2">
      <c r="B88" s="453">
        <v>2E-3</v>
      </c>
      <c r="C88" s="451" t="str">
        <f ca="1">IF(OFFSET(R88,0,Lang_Order*Lang__B1)="","",OFFSET(R88,0,Lang_Order*Lang__B1))</f>
        <v/>
      </c>
      <c r="D88" s="235"/>
      <c r="E88" s="409"/>
      <c r="F88" s="409"/>
      <c r="G88" s="409"/>
      <c r="H88" s="409"/>
      <c r="I88" s="409"/>
      <c r="L88" s="567"/>
      <c r="M88" s="567"/>
      <c r="N88" s="299"/>
      <c r="O88" s="564"/>
      <c r="P88" s="564"/>
      <c r="Q88" s="564"/>
      <c r="R88" s="564" t="s">
        <v>197</v>
      </c>
      <c r="S88" s="564"/>
      <c r="T88" s="564"/>
      <c r="U88" s="564"/>
      <c r="V88" s="564"/>
      <c r="W88" s="564"/>
      <c r="X88" s="564"/>
      <c r="Y88" s="564"/>
      <c r="Z88" s="564"/>
      <c r="AA88" s="564" t="s">
        <v>197</v>
      </c>
      <c r="AB88" s="564"/>
      <c r="AC88" s="564"/>
      <c r="AD88" s="564"/>
      <c r="AE88" s="564"/>
      <c r="AF88" s="564"/>
      <c r="AG88" s="564"/>
      <c r="AH88" s="564"/>
      <c r="AI88" s="564"/>
      <c r="AJ88" s="564"/>
      <c r="AK88" s="564"/>
      <c r="AL88" s="564"/>
      <c r="AM88" s="564"/>
      <c r="AN88" s="564"/>
      <c r="AO88" s="564"/>
      <c r="AP88" s="564"/>
      <c r="AQ88" s="564"/>
      <c r="AR88" s="564"/>
      <c r="AS88" s="564"/>
      <c r="AT88" s="564"/>
      <c r="AU88" s="564"/>
      <c r="AV88" s="564"/>
      <c r="AW88" s="564"/>
      <c r="AX88" s="564"/>
      <c r="AY88" s="564"/>
      <c r="AZ88" s="564"/>
      <c r="BA88" s="564"/>
      <c r="BB88" s="564"/>
      <c r="BC88" s="564"/>
      <c r="BD88" s="564"/>
      <c r="BE88" s="564"/>
      <c r="BF88" s="564"/>
      <c r="BG88" s="564"/>
      <c r="BH88" s="564"/>
      <c r="BI88" s="564"/>
      <c r="BJ88" s="564"/>
      <c r="BK88" s="564"/>
      <c r="BL88" s="564"/>
      <c r="BM88" s="564"/>
      <c r="BN88" s="564"/>
      <c r="BO88" s="564"/>
      <c r="BP88" s="564"/>
      <c r="BQ88" s="564"/>
      <c r="BR88" s="564"/>
      <c r="BS88" s="564"/>
      <c r="BT88" s="564"/>
      <c r="BU88" s="564"/>
      <c r="BV88" s="564"/>
      <c r="BW88" s="564"/>
      <c r="BX88" s="564"/>
      <c r="BY88" s="564"/>
      <c r="BZ88" s="564"/>
      <c r="CA88" s="564"/>
      <c r="CB88" s="564"/>
      <c r="CC88" s="564"/>
      <c r="CD88" s="564"/>
      <c r="CE88" s="564"/>
      <c r="CF88" s="564"/>
      <c r="CG88" s="564"/>
      <c r="CH88" s="564"/>
      <c r="CI88" s="564"/>
      <c r="CJ88" s="564"/>
      <c r="CK88" s="564"/>
      <c r="CL88" s="564"/>
      <c r="CM88" s="564"/>
      <c r="CN88" s="564"/>
      <c r="CO88" s="564"/>
      <c r="CP88" s="564"/>
      <c r="CQ88" s="564"/>
      <c r="CR88" s="564"/>
      <c r="CS88" s="564"/>
      <c r="CT88" s="564"/>
      <c r="CU88" s="564"/>
      <c r="CV88" s="564"/>
      <c r="CW88" s="564"/>
      <c r="CX88" s="564"/>
      <c r="CY88" s="564"/>
      <c r="CZ88" s="564"/>
      <c r="DA88" s="564"/>
      <c r="DB88" s="564"/>
      <c r="DC88" s="564"/>
      <c r="DD88" s="564"/>
      <c r="DE88" s="564"/>
      <c r="DF88" s="564"/>
      <c r="DG88" s="564"/>
      <c r="DH88" s="564"/>
    </row>
    <row r="89" spans="1:112" s="299" customFormat="1" ht="12.75" x14ac:dyDescent="0.2">
      <c r="C89" s="370" t="str">
        <f ca="1">IF(OFFSET(R89,0,Lang_Order*Lang__B1)="","",OFFSET(R89,0,Lang_Order*Lang__B1))</f>
        <v>Vaccine courses needed (considering vaccine wastage and expected uptake)</v>
      </c>
      <c r="D89" s="16" t="e">
        <f>D200</f>
        <v>#N/A</v>
      </c>
      <c r="E89" s="16" t="e">
        <f t="shared" ref="E89:I89" si="73">E200</f>
        <v>#N/A</v>
      </c>
      <c r="F89" s="16" t="e">
        <f t="shared" si="73"/>
        <v>#N/A</v>
      </c>
      <c r="G89" s="16" t="e">
        <f t="shared" si="73"/>
        <v>#N/A</v>
      </c>
      <c r="H89" s="16" t="e">
        <f t="shared" si="73"/>
        <v>#N/A</v>
      </c>
      <c r="I89" s="16" t="e">
        <f t="shared" si="73"/>
        <v>#N/A</v>
      </c>
      <c r="J89" s="16" t="e">
        <f t="shared" ref="J89:J90" si="74">SUM(D89:I89)</f>
        <v>#N/A</v>
      </c>
      <c r="L89" s="567"/>
      <c r="M89" s="567"/>
      <c r="O89" s="564"/>
      <c r="P89" s="564"/>
      <c r="Q89" s="564"/>
      <c r="R89" s="564" t="s">
        <v>4254</v>
      </c>
      <c r="S89" s="564"/>
      <c r="T89" s="564"/>
      <c r="U89" s="564"/>
      <c r="V89" s="564"/>
      <c r="W89" s="564"/>
      <c r="X89" s="564"/>
      <c r="Y89" s="564"/>
      <c r="Z89" s="564"/>
      <c r="AA89" s="564" t="s">
        <v>197</v>
      </c>
      <c r="AB89" s="564"/>
      <c r="AC89" s="564"/>
      <c r="AD89" s="564"/>
      <c r="AE89" s="564"/>
      <c r="AF89" s="564" t="s">
        <v>9637</v>
      </c>
      <c r="AG89" s="564"/>
      <c r="AH89" s="564"/>
      <c r="AI89" s="564"/>
      <c r="AJ89" s="564"/>
      <c r="AK89" s="564"/>
      <c r="AL89" s="564"/>
      <c r="AM89" s="564"/>
      <c r="AN89" s="564"/>
      <c r="AO89" s="564"/>
      <c r="AP89" s="564"/>
      <c r="AQ89" s="564"/>
      <c r="AR89" s="564"/>
      <c r="AS89" s="564"/>
      <c r="AT89" s="564" t="s">
        <v>9638</v>
      </c>
      <c r="AU89" s="564"/>
      <c r="AV89" s="564"/>
      <c r="AW89" s="564"/>
      <c r="AX89" s="564"/>
      <c r="AY89" s="564"/>
      <c r="AZ89" s="564"/>
      <c r="BA89" s="564"/>
      <c r="BB89" s="564"/>
      <c r="BC89" s="564"/>
      <c r="BD89" s="564"/>
      <c r="BE89" s="564"/>
      <c r="BF89" s="564"/>
      <c r="BG89" s="564"/>
      <c r="BH89" s="564" t="s">
        <v>9639</v>
      </c>
      <c r="BI89" s="564"/>
      <c r="BJ89" s="564"/>
      <c r="BK89" s="564"/>
      <c r="BL89" s="564"/>
      <c r="BM89" s="564"/>
      <c r="BN89" s="564"/>
      <c r="BO89" s="564"/>
      <c r="BP89" s="564"/>
      <c r="BQ89" s="564"/>
      <c r="BR89" s="564"/>
      <c r="BS89" s="564"/>
      <c r="BT89" s="564"/>
      <c r="BU89" s="564"/>
      <c r="BV89" s="564" t="s">
        <v>9640</v>
      </c>
      <c r="BW89" s="564"/>
      <c r="BX89" s="564"/>
      <c r="BY89" s="564"/>
      <c r="BZ89" s="564"/>
      <c r="CA89" s="564"/>
      <c r="CB89" s="564"/>
      <c r="CC89" s="564"/>
      <c r="CD89" s="564"/>
      <c r="CE89" s="564"/>
      <c r="CF89" s="564"/>
      <c r="CG89" s="564"/>
      <c r="CH89" s="564"/>
      <c r="CI89" s="564"/>
      <c r="CJ89" s="564" t="s">
        <v>9641</v>
      </c>
      <c r="CK89" s="564"/>
      <c r="CL89" s="564"/>
      <c r="CM89" s="564"/>
      <c r="CN89" s="564"/>
      <c r="CO89" s="564"/>
      <c r="CP89" s="564"/>
      <c r="CQ89" s="564"/>
      <c r="CR89" s="564"/>
      <c r="CS89" s="564"/>
      <c r="CT89" s="564"/>
      <c r="CU89" s="564"/>
      <c r="CV89" s="564"/>
      <c r="CW89" s="564"/>
      <c r="CX89" s="564" t="s">
        <v>9642</v>
      </c>
      <c r="CY89" s="564"/>
      <c r="CZ89" s="564"/>
      <c r="DA89" s="564"/>
      <c r="DB89" s="564"/>
      <c r="DC89" s="564"/>
      <c r="DD89" s="564"/>
      <c r="DE89" s="564"/>
      <c r="DF89" s="564"/>
      <c r="DG89" s="564"/>
      <c r="DH89" s="564"/>
    </row>
    <row r="90" spans="1:112" s="299" customFormat="1" ht="12.75" x14ac:dyDescent="0.2">
      <c r="C90" s="5" t="str">
        <f ca="1">IF(OFFSET(R90,0,Lang_Order*Lang__B1)="","",OFFSET(R90,0,Lang_Order*Lang__B1))</f>
        <v>Vaccine courses supplied</v>
      </c>
      <c r="D90" s="16">
        <f>'A2. INPUT Population &amp; Delivery'!H347</f>
        <v>0</v>
      </c>
      <c r="E90" s="16">
        <f>'A2. INPUT Population &amp; Delivery'!H348</f>
        <v>0</v>
      </c>
      <c r="F90" s="16">
        <f>'A2. INPUT Population &amp; Delivery'!H349</f>
        <v>0</v>
      </c>
      <c r="G90" s="16">
        <f>'A2. INPUT Population &amp; Delivery'!H350</f>
        <v>0</v>
      </c>
      <c r="H90" s="16">
        <f>'A2. INPUT Population &amp; Delivery'!H351</f>
        <v>0</v>
      </c>
      <c r="I90" s="16">
        <f>'A2. INPUT Population &amp; Delivery'!H352</f>
        <v>0</v>
      </c>
      <c r="J90" s="16">
        <f t="shared" si="74"/>
        <v>0</v>
      </c>
      <c r="L90" s="567"/>
      <c r="M90" s="567"/>
      <c r="O90" s="564"/>
      <c r="P90" s="564"/>
      <c r="Q90" s="564"/>
      <c r="R90" s="564" t="s">
        <v>4255</v>
      </c>
      <c r="S90" s="564"/>
      <c r="T90" s="564"/>
      <c r="U90" s="564"/>
      <c r="V90" s="564"/>
      <c r="W90" s="564"/>
      <c r="X90" s="564"/>
      <c r="Y90" s="564"/>
      <c r="Z90" s="564"/>
      <c r="AA90" s="564" t="s">
        <v>197</v>
      </c>
      <c r="AB90" s="564"/>
      <c r="AC90" s="564"/>
      <c r="AD90" s="564"/>
      <c r="AE90" s="564"/>
      <c r="AF90" s="564" t="s">
        <v>9643</v>
      </c>
      <c r="AG90" s="564"/>
      <c r="AH90" s="564"/>
      <c r="AI90" s="564"/>
      <c r="AJ90" s="564"/>
      <c r="AK90" s="564"/>
      <c r="AL90" s="564"/>
      <c r="AM90" s="564"/>
      <c r="AN90" s="564"/>
      <c r="AO90" s="564"/>
      <c r="AP90" s="564"/>
      <c r="AQ90" s="564"/>
      <c r="AR90" s="564"/>
      <c r="AS90" s="564"/>
      <c r="AT90" s="564" t="s">
        <v>9644</v>
      </c>
      <c r="AU90" s="564"/>
      <c r="AV90" s="564"/>
      <c r="AW90" s="564"/>
      <c r="AX90" s="564"/>
      <c r="AY90" s="564"/>
      <c r="AZ90" s="564"/>
      <c r="BA90" s="564"/>
      <c r="BB90" s="564"/>
      <c r="BC90" s="564"/>
      <c r="BD90" s="564"/>
      <c r="BE90" s="564"/>
      <c r="BF90" s="564"/>
      <c r="BG90" s="564"/>
      <c r="BH90" s="564" t="s">
        <v>9645</v>
      </c>
      <c r="BI90" s="564"/>
      <c r="BJ90" s="564"/>
      <c r="BK90" s="564"/>
      <c r="BL90" s="564"/>
      <c r="BM90" s="564"/>
      <c r="BN90" s="564"/>
      <c r="BO90" s="564"/>
      <c r="BP90" s="564"/>
      <c r="BQ90" s="564"/>
      <c r="BR90" s="564"/>
      <c r="BS90" s="564"/>
      <c r="BT90" s="564"/>
      <c r="BU90" s="564"/>
      <c r="BV90" s="564" t="s">
        <v>9646</v>
      </c>
      <c r="BW90" s="564"/>
      <c r="BX90" s="564"/>
      <c r="BY90" s="564"/>
      <c r="BZ90" s="564"/>
      <c r="CA90" s="564"/>
      <c r="CB90" s="564"/>
      <c r="CC90" s="564"/>
      <c r="CD90" s="564"/>
      <c r="CE90" s="564"/>
      <c r="CF90" s="564"/>
      <c r="CG90" s="564"/>
      <c r="CH90" s="564"/>
      <c r="CI90" s="564"/>
      <c r="CJ90" s="564" t="s">
        <v>9647</v>
      </c>
      <c r="CK90" s="564"/>
      <c r="CL90" s="564"/>
      <c r="CM90" s="564"/>
      <c r="CN90" s="564"/>
      <c r="CO90" s="564"/>
      <c r="CP90" s="564"/>
      <c r="CQ90" s="564"/>
      <c r="CR90" s="564"/>
      <c r="CS90" s="564"/>
      <c r="CT90" s="564"/>
      <c r="CU90" s="564"/>
      <c r="CV90" s="564"/>
      <c r="CW90" s="564"/>
      <c r="CX90" s="564" t="s">
        <v>9648</v>
      </c>
      <c r="CY90" s="564"/>
      <c r="CZ90" s="564"/>
      <c r="DA90" s="564"/>
      <c r="DB90" s="564"/>
      <c r="DC90" s="564"/>
      <c r="DD90" s="564"/>
      <c r="DE90" s="564"/>
      <c r="DF90" s="564"/>
      <c r="DG90" s="564"/>
      <c r="DH90" s="564"/>
    </row>
    <row r="91" spans="1:112" s="299" customFormat="1" ht="13.5" thickBot="1" x14ac:dyDescent="0.25">
      <c r="C91" s="21" t="str">
        <f ca="1">IF(OFFSET(R91,0,Lang_Order*Lang__B1)="","",OFFSET(R91,0,Lang_Order*Lang__B1))</f>
        <v>Surplus (+) / Deficit (-)</v>
      </c>
      <c r="D91" s="161" t="e">
        <f>D90-D89</f>
        <v>#N/A</v>
      </c>
      <c r="E91" s="161" t="e">
        <f t="shared" ref="E91:I91" si="75">E90-E89</f>
        <v>#N/A</v>
      </c>
      <c r="F91" s="161" t="e">
        <f t="shared" si="75"/>
        <v>#N/A</v>
      </c>
      <c r="G91" s="161" t="e">
        <f t="shared" si="75"/>
        <v>#N/A</v>
      </c>
      <c r="H91" s="161" t="e">
        <f t="shared" si="75"/>
        <v>#N/A</v>
      </c>
      <c r="I91" s="161" t="e">
        <f t="shared" si="75"/>
        <v>#N/A</v>
      </c>
      <c r="L91" s="12" t="str">
        <f ca="1">IF(OFFSET(AA91,0,Lang_Order*Lang__B1)="","",OFFSET(AA91,0,Lang_Order*Lang__B1))</f>
        <v>Vaccine courses (not doses)</v>
      </c>
      <c r="M91" s="12"/>
      <c r="O91" s="564"/>
      <c r="P91" s="564"/>
      <c r="Q91" s="564"/>
      <c r="R91" s="564" t="s">
        <v>4256</v>
      </c>
      <c r="S91" s="564"/>
      <c r="T91" s="564"/>
      <c r="U91" s="564"/>
      <c r="V91" s="564"/>
      <c r="W91" s="564"/>
      <c r="X91" s="564"/>
      <c r="Y91" s="564"/>
      <c r="Z91" s="564"/>
      <c r="AA91" s="564" t="s">
        <v>4260</v>
      </c>
      <c r="AB91" s="564"/>
      <c r="AC91" s="564"/>
      <c r="AD91" s="564"/>
      <c r="AE91" s="564"/>
      <c r="AF91" s="564" t="s">
        <v>9649</v>
      </c>
      <c r="AG91" s="564"/>
      <c r="AH91" s="564"/>
      <c r="AI91" s="564"/>
      <c r="AJ91" s="564"/>
      <c r="AK91" s="564"/>
      <c r="AL91" s="564"/>
      <c r="AM91" s="564"/>
      <c r="AN91" s="564"/>
      <c r="AO91" s="564" t="s">
        <v>9650</v>
      </c>
      <c r="AP91" s="564"/>
      <c r="AQ91" s="564"/>
      <c r="AR91" s="564"/>
      <c r="AS91" s="564"/>
      <c r="AT91" s="564" t="s">
        <v>9651</v>
      </c>
      <c r="AU91" s="564"/>
      <c r="AV91" s="564"/>
      <c r="AW91" s="564"/>
      <c r="AX91" s="564"/>
      <c r="AY91" s="564"/>
      <c r="AZ91" s="564"/>
      <c r="BA91" s="564"/>
      <c r="BB91" s="564"/>
      <c r="BC91" s="564" t="s">
        <v>9652</v>
      </c>
      <c r="BD91" s="564"/>
      <c r="BE91" s="564"/>
      <c r="BF91" s="564"/>
      <c r="BG91" s="564"/>
      <c r="BH91" s="564" t="s">
        <v>9653</v>
      </c>
      <c r="BI91" s="564"/>
      <c r="BJ91" s="564"/>
      <c r="BK91" s="564"/>
      <c r="BL91" s="564"/>
      <c r="BM91" s="564"/>
      <c r="BN91" s="564"/>
      <c r="BO91" s="564"/>
      <c r="BP91" s="564"/>
      <c r="BQ91" s="564" t="s">
        <v>9654</v>
      </c>
      <c r="BR91" s="564"/>
      <c r="BS91" s="564"/>
      <c r="BT91" s="564"/>
      <c r="BU91" s="564"/>
      <c r="BV91" s="564" t="s">
        <v>9655</v>
      </c>
      <c r="BW91" s="564"/>
      <c r="BX91" s="564"/>
      <c r="BY91" s="564"/>
      <c r="BZ91" s="564"/>
      <c r="CA91" s="564"/>
      <c r="CB91" s="564"/>
      <c r="CC91" s="564"/>
      <c r="CD91" s="564"/>
      <c r="CE91" s="564" t="s">
        <v>9656</v>
      </c>
      <c r="CF91" s="564"/>
      <c r="CG91" s="564"/>
      <c r="CH91" s="564"/>
      <c r="CI91" s="564"/>
      <c r="CJ91" s="564" t="s">
        <v>9657</v>
      </c>
      <c r="CK91" s="564"/>
      <c r="CL91" s="564"/>
      <c r="CM91" s="564"/>
      <c r="CN91" s="564"/>
      <c r="CO91" s="564"/>
      <c r="CP91" s="564"/>
      <c r="CQ91" s="564"/>
      <c r="CR91" s="564"/>
      <c r="CS91" s="564" t="s">
        <v>9658</v>
      </c>
      <c r="CT91" s="564"/>
      <c r="CU91" s="564"/>
      <c r="CV91" s="564"/>
      <c r="CW91" s="564"/>
      <c r="CX91" s="564" t="s">
        <v>9659</v>
      </c>
      <c r="CY91" s="564"/>
      <c r="CZ91" s="564"/>
      <c r="DA91" s="564"/>
      <c r="DB91" s="564"/>
      <c r="DC91" s="564"/>
      <c r="DD91" s="564"/>
      <c r="DE91" s="564"/>
      <c r="DF91" s="564"/>
      <c r="DG91" s="564" t="s">
        <v>9660</v>
      </c>
      <c r="DH91" s="564"/>
    </row>
    <row r="92" spans="1:112" s="299" customFormat="1" ht="13.5" hidden="1" thickTop="1" x14ac:dyDescent="0.2">
      <c r="B92" s="346" t="s">
        <v>14117</v>
      </c>
      <c r="C92" s="72" t="s">
        <v>4257</v>
      </c>
      <c r="D92" s="2" t="e">
        <f t="shared" ref="D92:I92" si="76">IF(ABS(D91/Pop_Total_2020)&gt;TriggerSensitivity_SurplusDeficit,1,0)</f>
        <v>#N/A</v>
      </c>
      <c r="E92" s="2" t="e">
        <f t="shared" si="76"/>
        <v>#N/A</v>
      </c>
      <c r="F92" s="2" t="e">
        <f t="shared" si="76"/>
        <v>#N/A</v>
      </c>
      <c r="G92" s="2" t="e">
        <f t="shared" si="76"/>
        <v>#N/A</v>
      </c>
      <c r="H92" s="2" t="e">
        <f t="shared" si="76"/>
        <v>#N/A</v>
      </c>
      <c r="I92" s="2" t="e">
        <f t="shared" si="76"/>
        <v>#N/A</v>
      </c>
      <c r="M92" s="567"/>
      <c r="O92" s="564"/>
      <c r="P92" s="564"/>
      <c r="Q92" s="564"/>
      <c r="R92" s="564"/>
      <c r="S92" s="564"/>
      <c r="T92" s="564"/>
      <c r="U92" s="564"/>
      <c r="V92" s="564"/>
      <c r="W92" s="564"/>
      <c r="X92" s="564"/>
      <c r="Y92" s="564"/>
      <c r="Z92" s="564"/>
      <c r="AA92" s="564"/>
      <c r="AB92" s="564"/>
      <c r="AC92" s="564"/>
      <c r="AD92" s="564"/>
      <c r="AE92" s="564"/>
      <c r="AF92" s="564"/>
      <c r="AG92" s="564"/>
      <c r="AH92" s="564"/>
      <c r="AI92" s="564"/>
      <c r="AJ92" s="564"/>
      <c r="AK92" s="564"/>
      <c r="AL92" s="564"/>
      <c r="AM92" s="564"/>
      <c r="AN92" s="564"/>
      <c r="AO92" s="564"/>
      <c r="AP92" s="564"/>
      <c r="AQ92" s="564"/>
      <c r="AR92" s="564"/>
      <c r="AS92" s="564"/>
      <c r="AT92" s="564"/>
      <c r="AU92" s="564"/>
      <c r="AV92" s="564"/>
      <c r="AW92" s="564"/>
      <c r="AX92" s="564"/>
      <c r="AY92" s="564"/>
      <c r="AZ92" s="564"/>
      <c r="BA92" s="564"/>
      <c r="BB92" s="564"/>
      <c r="BC92" s="564"/>
      <c r="BD92" s="564"/>
      <c r="BE92" s="564"/>
      <c r="BF92" s="564"/>
      <c r="BG92" s="564"/>
      <c r="BH92" s="564"/>
      <c r="BI92" s="564"/>
      <c r="BJ92" s="564"/>
      <c r="BK92" s="564"/>
      <c r="BL92" s="564"/>
      <c r="BM92" s="564"/>
      <c r="BN92" s="564"/>
      <c r="BO92" s="564"/>
      <c r="BP92" s="564"/>
      <c r="BQ92" s="564"/>
      <c r="BR92" s="564"/>
      <c r="BS92" s="564"/>
      <c r="BT92" s="564"/>
      <c r="BU92" s="564"/>
      <c r="BV92" s="564"/>
      <c r="BW92" s="564"/>
      <c r="BX92" s="564"/>
      <c r="BY92" s="564"/>
      <c r="BZ92" s="564"/>
      <c r="CA92" s="564"/>
      <c r="CB92" s="564"/>
      <c r="CC92" s="564"/>
      <c r="CD92" s="564"/>
      <c r="CE92" s="564"/>
      <c r="CF92" s="564"/>
      <c r="CG92" s="564"/>
      <c r="CH92" s="564"/>
      <c r="CI92" s="564"/>
      <c r="CJ92" s="564"/>
      <c r="CK92" s="564"/>
      <c r="CL92" s="564"/>
      <c r="CM92" s="564"/>
      <c r="CN92" s="564"/>
      <c r="CO92" s="564"/>
      <c r="CP92" s="564"/>
      <c r="CQ92" s="564"/>
      <c r="CR92" s="564"/>
      <c r="CS92" s="564"/>
      <c r="CT92" s="564"/>
      <c r="CU92" s="564"/>
      <c r="CV92" s="564"/>
      <c r="CW92" s="564"/>
      <c r="CX92" s="564"/>
      <c r="CY92" s="564"/>
      <c r="CZ92" s="564"/>
      <c r="DA92" s="564"/>
      <c r="DB92" s="564"/>
      <c r="DC92" s="564"/>
      <c r="DD92" s="564"/>
      <c r="DE92" s="564"/>
      <c r="DF92" s="564"/>
      <c r="DG92" s="564"/>
      <c r="DH92" s="564"/>
    </row>
    <row r="93" spans="1:112" s="299" customFormat="1" ht="12.75" hidden="1" x14ac:dyDescent="0.2">
      <c r="B93" s="346" t="s">
        <v>14117</v>
      </c>
      <c r="C93" s="72" t="s">
        <v>4258</v>
      </c>
      <c r="D93" s="2" t="e">
        <f t="shared" ref="D93:I93" si="77">IF(D91&lt;0,Lang_DECREASE,Lang_INCREASE)</f>
        <v>#N/A</v>
      </c>
      <c r="E93" s="2" t="e">
        <f t="shared" si="77"/>
        <v>#N/A</v>
      </c>
      <c r="F93" s="2" t="e">
        <f t="shared" si="77"/>
        <v>#N/A</v>
      </c>
      <c r="G93" s="2" t="e">
        <f t="shared" si="77"/>
        <v>#N/A</v>
      </c>
      <c r="H93" s="2" t="e">
        <f t="shared" si="77"/>
        <v>#N/A</v>
      </c>
      <c r="I93" s="2" t="e">
        <f t="shared" si="77"/>
        <v>#N/A</v>
      </c>
      <c r="M93" s="567"/>
      <c r="O93" s="564"/>
      <c r="P93" s="564"/>
      <c r="Q93" s="564"/>
      <c r="R93" s="564"/>
      <c r="S93" s="564"/>
      <c r="T93" s="564"/>
      <c r="U93" s="564"/>
      <c r="V93" s="564"/>
      <c r="W93" s="564"/>
      <c r="X93" s="564"/>
      <c r="Y93" s="564"/>
      <c r="Z93" s="564"/>
      <c r="AA93" s="564"/>
      <c r="AB93" s="564"/>
      <c r="AC93" s="564"/>
      <c r="AD93" s="564"/>
      <c r="AE93" s="564"/>
      <c r="AF93" s="564"/>
      <c r="AG93" s="564"/>
      <c r="AH93" s="564"/>
      <c r="AI93" s="564"/>
      <c r="AJ93" s="564"/>
      <c r="AK93" s="564"/>
      <c r="AL93" s="564"/>
      <c r="AM93" s="564"/>
      <c r="AN93" s="564"/>
      <c r="AO93" s="564"/>
      <c r="AP93" s="564"/>
      <c r="AQ93" s="564"/>
      <c r="AR93" s="564"/>
      <c r="AS93" s="564"/>
      <c r="AT93" s="564"/>
      <c r="AU93" s="564"/>
      <c r="AV93" s="564"/>
      <c r="AW93" s="564"/>
      <c r="AX93" s="564"/>
      <c r="AY93" s="564"/>
      <c r="AZ93" s="564"/>
      <c r="BA93" s="564"/>
      <c r="BB93" s="564"/>
      <c r="BC93" s="564"/>
      <c r="BD93" s="564"/>
      <c r="BE93" s="564"/>
      <c r="BF93" s="564"/>
      <c r="BG93" s="564"/>
      <c r="BH93" s="564"/>
      <c r="BI93" s="564"/>
      <c r="BJ93" s="564"/>
      <c r="BK93" s="564"/>
      <c r="BL93" s="564"/>
      <c r="BM93" s="564"/>
      <c r="BN93" s="564"/>
      <c r="BO93" s="564"/>
      <c r="BP93" s="564"/>
      <c r="BQ93" s="564"/>
      <c r="BR93" s="564"/>
      <c r="BS93" s="564"/>
      <c r="BT93" s="564"/>
      <c r="BU93" s="564"/>
      <c r="BV93" s="564"/>
      <c r="BW93" s="564"/>
      <c r="BX93" s="564"/>
      <c r="BY93" s="564"/>
      <c r="BZ93" s="564"/>
      <c r="CA93" s="564"/>
      <c r="CB93" s="564"/>
      <c r="CC93" s="564"/>
      <c r="CD93" s="564"/>
      <c r="CE93" s="564"/>
      <c r="CF93" s="564"/>
      <c r="CG93" s="564"/>
      <c r="CH93" s="564"/>
      <c r="CI93" s="564"/>
      <c r="CJ93" s="564"/>
      <c r="CK93" s="564"/>
      <c r="CL93" s="564"/>
      <c r="CM93" s="564"/>
      <c r="CN93" s="564"/>
      <c r="CO93" s="564"/>
      <c r="CP93" s="564"/>
      <c r="CQ93" s="564"/>
      <c r="CR93" s="564"/>
      <c r="CS93" s="564"/>
      <c r="CT93" s="564"/>
      <c r="CU93" s="564"/>
      <c r="CV93" s="564"/>
      <c r="CW93" s="564"/>
      <c r="CX93" s="564"/>
      <c r="CY93" s="564"/>
      <c r="CZ93" s="564"/>
      <c r="DA93" s="564"/>
      <c r="DB93" s="564"/>
      <c r="DC93" s="564"/>
      <c r="DD93" s="564"/>
      <c r="DE93" s="564"/>
      <c r="DF93" s="564"/>
      <c r="DG93" s="564"/>
      <c r="DH93" s="564"/>
    </row>
    <row r="94" spans="1:112" s="194" customFormat="1" ht="13.5" thickTop="1" x14ac:dyDescent="0.2">
      <c r="B94" s="34"/>
      <c r="C94" s="5"/>
      <c r="J94" s="46"/>
      <c r="K94" s="46"/>
      <c r="L94" s="44"/>
      <c r="M94" s="44"/>
      <c r="O94" s="564"/>
      <c r="P94" s="564"/>
      <c r="Q94" s="564"/>
      <c r="R94" s="564"/>
      <c r="S94" s="564"/>
      <c r="T94" s="564"/>
      <c r="U94" s="564"/>
      <c r="V94" s="564"/>
      <c r="W94" s="564"/>
      <c r="X94" s="564"/>
      <c r="Y94" s="564"/>
      <c r="Z94" s="564"/>
      <c r="AA94" s="564"/>
      <c r="AB94" s="564"/>
      <c r="AC94" s="564"/>
      <c r="AD94" s="564"/>
      <c r="AE94" s="564"/>
      <c r="AF94" s="564"/>
      <c r="AG94" s="564"/>
      <c r="AH94" s="564"/>
      <c r="AI94" s="564"/>
      <c r="AJ94" s="564"/>
      <c r="AK94" s="564"/>
      <c r="AL94" s="564"/>
      <c r="AM94" s="564"/>
      <c r="AN94" s="564"/>
      <c r="AO94" s="564"/>
      <c r="AP94" s="564"/>
      <c r="AQ94" s="564"/>
      <c r="AR94" s="564"/>
      <c r="AS94" s="564"/>
      <c r="AT94" s="564"/>
      <c r="AU94" s="564"/>
      <c r="AV94" s="564"/>
      <c r="AW94" s="564"/>
      <c r="AX94" s="564"/>
      <c r="AY94" s="564"/>
      <c r="AZ94" s="564"/>
      <c r="BA94" s="564"/>
      <c r="BB94" s="564"/>
      <c r="BC94" s="564"/>
      <c r="BD94" s="564"/>
      <c r="BE94" s="564"/>
      <c r="BF94" s="564"/>
      <c r="BG94" s="564"/>
      <c r="BH94" s="564"/>
      <c r="BI94" s="564"/>
      <c r="BJ94" s="564"/>
      <c r="BK94" s="564"/>
      <c r="BL94" s="564"/>
      <c r="BM94" s="564"/>
      <c r="BN94" s="564"/>
      <c r="BO94" s="564"/>
      <c r="BP94" s="564"/>
      <c r="BQ94" s="564"/>
      <c r="BR94" s="564"/>
      <c r="BS94" s="564"/>
      <c r="BT94" s="564"/>
      <c r="BU94" s="564"/>
      <c r="BV94" s="564"/>
      <c r="BW94" s="564"/>
      <c r="BX94" s="564"/>
      <c r="BY94" s="564"/>
      <c r="BZ94" s="564"/>
      <c r="CA94" s="564"/>
      <c r="CB94" s="564"/>
      <c r="CC94" s="564"/>
      <c r="CD94" s="564"/>
      <c r="CE94" s="564"/>
      <c r="CF94" s="564"/>
      <c r="CG94" s="564"/>
      <c r="CH94" s="564"/>
      <c r="CI94" s="564"/>
      <c r="CJ94" s="564"/>
      <c r="CK94" s="564"/>
      <c r="CL94" s="564"/>
      <c r="CM94" s="564"/>
      <c r="CN94" s="564"/>
      <c r="CO94" s="564"/>
      <c r="CP94" s="564"/>
      <c r="CQ94" s="564"/>
      <c r="CR94" s="564"/>
      <c r="CS94" s="564"/>
      <c r="CT94" s="564"/>
      <c r="CU94" s="564"/>
      <c r="CV94" s="564"/>
      <c r="CW94" s="564"/>
      <c r="CX94" s="564"/>
      <c r="CY94" s="564"/>
      <c r="CZ94" s="564"/>
      <c r="DA94" s="564"/>
      <c r="DB94" s="564"/>
      <c r="DC94" s="564"/>
      <c r="DD94" s="564"/>
      <c r="DE94" s="564"/>
      <c r="DF94" s="564"/>
      <c r="DG94" s="564"/>
      <c r="DH94" s="564"/>
    </row>
    <row r="95" spans="1:112" s="241" customFormat="1" x14ac:dyDescent="0.25">
      <c r="B95" s="8" t="str">
        <f ca="1">IF(OFFSET(Q95,0,Lang_Order*Lang__B1)="","",OFFSET(Q95,0,Lang_Order*Lang__B1))</f>
        <v>B1.2.1 Sites to visit in a time period (FYI only)</v>
      </c>
      <c r="C95" s="19"/>
      <c r="D95" s="8"/>
      <c r="E95" s="8"/>
      <c r="F95" s="8"/>
      <c r="G95" s="8"/>
      <c r="H95" s="8"/>
      <c r="I95" s="8"/>
      <c r="J95" s="53"/>
      <c r="K95" s="53"/>
      <c r="L95" s="53"/>
      <c r="M95" s="53"/>
      <c r="O95" s="564"/>
      <c r="P95" s="564"/>
      <c r="Q95" s="564" t="s">
        <v>14440</v>
      </c>
      <c r="R95" s="564"/>
      <c r="S95" s="564"/>
      <c r="T95" s="564"/>
      <c r="U95" s="564"/>
      <c r="V95" s="564"/>
      <c r="W95" s="564"/>
      <c r="X95" s="564"/>
      <c r="Y95" s="564"/>
      <c r="Z95" s="564"/>
      <c r="AA95" s="564"/>
      <c r="AB95" s="564"/>
      <c r="AC95" s="564"/>
      <c r="AD95" s="564"/>
      <c r="AE95" s="564" t="s">
        <v>14441</v>
      </c>
      <c r="AF95" s="564"/>
      <c r="AG95" s="564"/>
      <c r="AH95" s="564"/>
      <c r="AI95" s="564"/>
      <c r="AJ95" s="564"/>
      <c r="AK95" s="564"/>
      <c r="AL95" s="564"/>
      <c r="AM95" s="564"/>
      <c r="AN95" s="564"/>
      <c r="AO95" s="564"/>
      <c r="AP95" s="564"/>
      <c r="AQ95" s="564"/>
      <c r="AR95" s="564"/>
      <c r="AS95" s="564" t="s">
        <v>14442</v>
      </c>
      <c r="AT95" s="564"/>
      <c r="AU95" s="564"/>
      <c r="AV95" s="564"/>
      <c r="AW95" s="564"/>
      <c r="AX95" s="564"/>
      <c r="AY95" s="564"/>
      <c r="AZ95" s="564"/>
      <c r="BA95" s="564"/>
      <c r="BB95" s="564"/>
      <c r="BC95" s="564"/>
      <c r="BD95" s="564"/>
      <c r="BE95" s="564"/>
      <c r="BF95" s="564"/>
      <c r="BG95" s="564" t="s">
        <v>14443</v>
      </c>
      <c r="BH95" s="564"/>
      <c r="BI95" s="564"/>
      <c r="BJ95" s="564"/>
      <c r="BK95" s="564"/>
      <c r="BL95" s="564"/>
      <c r="BM95" s="564"/>
      <c r="BN95" s="564"/>
      <c r="BO95" s="564"/>
      <c r="BP95" s="564"/>
      <c r="BQ95" s="564"/>
      <c r="BR95" s="564"/>
      <c r="BS95" s="564"/>
      <c r="BT95" s="564"/>
      <c r="BU95" s="564" t="s">
        <v>14444</v>
      </c>
      <c r="BV95" s="564"/>
      <c r="BW95" s="564"/>
      <c r="BX95" s="564"/>
      <c r="BY95" s="564"/>
      <c r="BZ95" s="564"/>
      <c r="CA95" s="564"/>
      <c r="CB95" s="564"/>
      <c r="CC95" s="564"/>
      <c r="CD95" s="564"/>
      <c r="CE95" s="564"/>
      <c r="CF95" s="564"/>
      <c r="CG95" s="564"/>
      <c r="CH95" s="564"/>
      <c r="CI95" s="564" t="s">
        <v>14445</v>
      </c>
      <c r="CJ95" s="564"/>
      <c r="CK95" s="564"/>
      <c r="CL95" s="564"/>
      <c r="CM95" s="564"/>
      <c r="CN95" s="564"/>
      <c r="CO95" s="564"/>
      <c r="CP95" s="564"/>
      <c r="CQ95" s="564"/>
      <c r="CR95" s="564"/>
      <c r="CS95" s="564"/>
      <c r="CT95" s="564"/>
      <c r="CU95" s="564"/>
      <c r="CV95" s="564"/>
      <c r="CW95" s="564" t="s">
        <v>14446</v>
      </c>
      <c r="CX95" s="564"/>
      <c r="CY95" s="564"/>
      <c r="CZ95" s="564"/>
      <c r="DA95" s="564"/>
      <c r="DB95" s="564"/>
      <c r="DC95" s="564"/>
      <c r="DD95" s="564"/>
      <c r="DE95" s="564"/>
      <c r="DF95" s="564"/>
      <c r="DG95" s="564"/>
      <c r="DH95" s="564"/>
    </row>
    <row r="96" spans="1:112" s="241" customFormat="1" x14ac:dyDescent="0.25">
      <c r="B96" s="34"/>
      <c r="C96" s="5"/>
      <c r="D96" s="251" t="str">
        <f t="shared" ref="D96:J96" ca="1" si="78">IF(OFFSET(S96,0,Lang_Order*Lang__B1)="","",OFFSET(S96,0,Lang_Order*Lang__B1))</f>
        <v>H1 2021</v>
      </c>
      <c r="E96" s="251" t="str">
        <f t="shared" ca="1" si="78"/>
        <v>H2 2021</v>
      </c>
      <c r="F96" s="251" t="str">
        <f t="shared" ca="1" si="78"/>
        <v>H1 2022</v>
      </c>
      <c r="G96" s="251" t="str">
        <f t="shared" ca="1" si="78"/>
        <v>H2 2022</v>
      </c>
      <c r="H96" s="251" t="str">
        <f t="shared" ca="1" si="78"/>
        <v>H1 2023</v>
      </c>
      <c r="I96" s="251" t="str">
        <f t="shared" ca="1" si="78"/>
        <v>H2 2023</v>
      </c>
      <c r="J96" s="50" t="str">
        <f t="shared" ca="1" si="78"/>
        <v>Total</v>
      </c>
      <c r="K96" s="46"/>
      <c r="L96" s="44"/>
      <c r="M96" s="567"/>
      <c r="O96" s="564"/>
      <c r="P96" s="564"/>
      <c r="Q96" s="564"/>
      <c r="R96" s="564"/>
      <c r="S96" s="564" t="s">
        <v>1597</v>
      </c>
      <c r="T96" s="564" t="s">
        <v>1598</v>
      </c>
      <c r="U96" s="564" t="s">
        <v>1599</v>
      </c>
      <c r="V96" s="564" t="s">
        <v>1600</v>
      </c>
      <c r="W96" s="564" t="s">
        <v>1602</v>
      </c>
      <c r="X96" s="564" t="s">
        <v>1601</v>
      </c>
      <c r="Y96" s="564" t="s">
        <v>1605</v>
      </c>
      <c r="Z96" s="564"/>
      <c r="AA96" s="564"/>
      <c r="AB96" s="564"/>
      <c r="AC96" s="564"/>
      <c r="AD96" s="564"/>
      <c r="AE96" s="564"/>
      <c r="AF96" s="564"/>
      <c r="AG96" s="564" t="s">
        <v>4663</v>
      </c>
      <c r="AH96" s="564" t="s">
        <v>4664</v>
      </c>
      <c r="AI96" s="564" t="s">
        <v>4665</v>
      </c>
      <c r="AJ96" s="564" t="s">
        <v>4666</v>
      </c>
      <c r="AK96" s="564" t="s">
        <v>4667</v>
      </c>
      <c r="AL96" s="564" t="s">
        <v>4668</v>
      </c>
      <c r="AM96" s="564" t="s">
        <v>1605</v>
      </c>
      <c r="AN96" s="564"/>
      <c r="AO96" s="564"/>
      <c r="AP96" s="564"/>
      <c r="AQ96" s="564"/>
      <c r="AR96" s="564"/>
      <c r="AS96" s="564"/>
      <c r="AT96" s="564"/>
      <c r="AU96" s="564" t="s">
        <v>4670</v>
      </c>
      <c r="AV96" s="564" t="s">
        <v>9661</v>
      </c>
      <c r="AW96" s="564" t="s">
        <v>4672</v>
      </c>
      <c r="AX96" s="564" t="s">
        <v>4673</v>
      </c>
      <c r="AY96" s="564" t="s">
        <v>4674</v>
      </c>
      <c r="AZ96" s="564" t="s">
        <v>4675</v>
      </c>
      <c r="BA96" s="564" t="s">
        <v>4676</v>
      </c>
      <c r="BB96" s="564"/>
      <c r="BC96" s="564"/>
      <c r="BD96" s="564"/>
      <c r="BE96" s="564"/>
      <c r="BF96" s="564"/>
      <c r="BG96" s="564"/>
      <c r="BH96" s="564"/>
      <c r="BI96" s="564" t="s">
        <v>1597</v>
      </c>
      <c r="BJ96" s="564" t="s">
        <v>1598</v>
      </c>
      <c r="BK96" s="564" t="s">
        <v>1599</v>
      </c>
      <c r="BL96" s="564" t="s">
        <v>1600</v>
      </c>
      <c r="BM96" s="564" t="s">
        <v>1602</v>
      </c>
      <c r="BN96" s="564" t="s">
        <v>1601</v>
      </c>
      <c r="BO96" s="564" t="s">
        <v>1605</v>
      </c>
      <c r="BP96" s="564"/>
      <c r="BQ96" s="564"/>
      <c r="BR96" s="564"/>
      <c r="BS96" s="564"/>
      <c r="BT96" s="564"/>
      <c r="BU96" s="564"/>
      <c r="BV96" s="564"/>
      <c r="BW96" s="564" t="s">
        <v>4663</v>
      </c>
      <c r="BX96" s="564" t="s">
        <v>4664</v>
      </c>
      <c r="BY96" s="564" t="s">
        <v>4665</v>
      </c>
      <c r="BZ96" s="564" t="s">
        <v>4666</v>
      </c>
      <c r="CA96" s="564" t="s">
        <v>4667</v>
      </c>
      <c r="CB96" s="564" t="s">
        <v>4668</v>
      </c>
      <c r="CC96" s="564" t="s">
        <v>1605</v>
      </c>
      <c r="CD96" s="564"/>
      <c r="CE96" s="564"/>
      <c r="CF96" s="564"/>
      <c r="CG96" s="564"/>
      <c r="CH96" s="564"/>
      <c r="CI96" s="564"/>
      <c r="CJ96" s="564"/>
      <c r="CK96" s="564" t="s">
        <v>9662</v>
      </c>
      <c r="CL96" s="564" t="s">
        <v>9557</v>
      </c>
      <c r="CM96" s="564" t="s">
        <v>7581</v>
      </c>
      <c r="CN96" s="564" t="s">
        <v>1600</v>
      </c>
      <c r="CO96" s="564" t="s">
        <v>1602</v>
      </c>
      <c r="CP96" s="564" t="s">
        <v>1601</v>
      </c>
      <c r="CQ96" s="564" t="s">
        <v>4686</v>
      </c>
      <c r="CR96" s="564"/>
      <c r="CS96" s="564"/>
      <c r="CT96" s="564"/>
      <c r="CU96" s="564"/>
      <c r="CV96" s="564"/>
      <c r="CW96" s="564"/>
      <c r="CX96" s="564"/>
      <c r="CY96" s="564" t="s">
        <v>4688</v>
      </c>
      <c r="CZ96" s="564" t="s">
        <v>4689</v>
      </c>
      <c r="DA96" s="564" t="s">
        <v>4690</v>
      </c>
      <c r="DB96" s="564" t="s">
        <v>4691</v>
      </c>
      <c r="DC96" s="564" t="s">
        <v>4692</v>
      </c>
      <c r="DD96" s="564" t="s">
        <v>4693</v>
      </c>
      <c r="DE96" s="564" t="s">
        <v>4694</v>
      </c>
      <c r="DF96" s="564"/>
      <c r="DG96" s="564"/>
      <c r="DH96" s="564"/>
    </row>
    <row r="97" spans="1:112" s="241" customFormat="1" ht="12.75" x14ac:dyDescent="0.2">
      <c r="B97" s="34"/>
      <c r="C97" s="31" t="str">
        <f ca="1">IF(OFFSET(R97,0,Lang_Order*Lang__B1)="","",OFFSET(R97,0,Lang_Order*Lang__B1))</f>
        <v>Delivery Modality 1</v>
      </c>
      <c r="D97" s="241">
        <f t="shared" ref="D97:I97" si="79">Pop_HCW_CS_Sites</f>
        <v>0</v>
      </c>
      <c r="E97" s="241">
        <f t="shared" si="79"/>
        <v>0</v>
      </c>
      <c r="F97" s="241">
        <f t="shared" si="79"/>
        <v>0</v>
      </c>
      <c r="G97" s="241">
        <f t="shared" si="79"/>
        <v>0</v>
      </c>
      <c r="H97" s="241">
        <f t="shared" si="79"/>
        <v>0</v>
      </c>
      <c r="I97" s="241">
        <f t="shared" si="79"/>
        <v>0</v>
      </c>
      <c r="J97" s="16">
        <f t="shared" ref="J97:J110" si="80">SUM(D97:I97)</f>
        <v>0</v>
      </c>
      <c r="K97" s="46"/>
      <c r="L97" s="12" t="str">
        <f t="shared" ref="K97:L113" ca="1" si="81">IF(OFFSET(AA97,0,Lang_Order*Lang__B1)="","",OFFSET(AA97,0,Lang_Order*Lang__B1))</f>
        <v>Every site every time peiod</v>
      </c>
      <c r="M97" s="12"/>
      <c r="O97" s="564"/>
      <c r="P97" s="564"/>
      <c r="Q97" s="564"/>
      <c r="R97" s="564" t="s">
        <v>1632</v>
      </c>
      <c r="S97" s="564"/>
      <c r="T97" s="564"/>
      <c r="U97" s="564"/>
      <c r="V97" s="564"/>
      <c r="W97" s="564"/>
      <c r="X97" s="564"/>
      <c r="Y97" s="564"/>
      <c r="Z97" s="564"/>
      <c r="AA97" s="564" t="s">
        <v>3017</v>
      </c>
      <c r="AB97" s="564"/>
      <c r="AC97" s="564"/>
      <c r="AD97" s="564"/>
      <c r="AE97" s="564"/>
      <c r="AF97" s="564" t="s">
        <v>7476</v>
      </c>
      <c r="AG97" s="564"/>
      <c r="AH97" s="564"/>
      <c r="AI97" s="564"/>
      <c r="AJ97" s="564"/>
      <c r="AK97" s="564"/>
      <c r="AL97" s="564"/>
      <c r="AM97" s="564"/>
      <c r="AN97" s="564"/>
      <c r="AO97" s="564" t="s">
        <v>9663</v>
      </c>
      <c r="AP97" s="564"/>
      <c r="AQ97" s="564"/>
      <c r="AR97" s="564"/>
      <c r="AS97" s="564"/>
      <c r="AT97" s="564" t="s">
        <v>9664</v>
      </c>
      <c r="AU97" s="564"/>
      <c r="AV97" s="564"/>
      <c r="AW97" s="564"/>
      <c r="AX97" s="564"/>
      <c r="AY97" s="564"/>
      <c r="AZ97" s="564"/>
      <c r="BA97" s="564"/>
      <c r="BB97" s="564"/>
      <c r="BC97" s="564" t="s">
        <v>9665</v>
      </c>
      <c r="BD97" s="564"/>
      <c r="BE97" s="564"/>
      <c r="BF97" s="564"/>
      <c r="BG97" s="564"/>
      <c r="BH97" s="564" t="s">
        <v>9666</v>
      </c>
      <c r="BI97" s="564"/>
      <c r="BJ97" s="564"/>
      <c r="BK97" s="564"/>
      <c r="BL97" s="564"/>
      <c r="BM97" s="564"/>
      <c r="BN97" s="564"/>
      <c r="BO97" s="564"/>
      <c r="BP97" s="564"/>
      <c r="BQ97" s="564" t="s">
        <v>9667</v>
      </c>
      <c r="BR97" s="564"/>
      <c r="BS97" s="564"/>
      <c r="BT97" s="564"/>
      <c r="BU97" s="564"/>
      <c r="BV97" s="564" t="s">
        <v>7479</v>
      </c>
      <c r="BW97" s="564"/>
      <c r="BX97" s="564"/>
      <c r="BY97" s="564"/>
      <c r="BZ97" s="564"/>
      <c r="CA97" s="564"/>
      <c r="CB97" s="564"/>
      <c r="CC97" s="564"/>
      <c r="CD97" s="564"/>
      <c r="CE97" s="564" t="s">
        <v>9668</v>
      </c>
      <c r="CF97" s="564"/>
      <c r="CG97" s="564"/>
      <c r="CH97" s="564"/>
      <c r="CI97" s="564"/>
      <c r="CJ97" s="564" t="s">
        <v>7480</v>
      </c>
      <c r="CK97" s="564"/>
      <c r="CL97" s="564"/>
      <c r="CM97" s="564"/>
      <c r="CN97" s="564"/>
      <c r="CO97" s="564"/>
      <c r="CP97" s="564"/>
      <c r="CQ97" s="564"/>
      <c r="CR97" s="564"/>
      <c r="CS97" s="564" t="s">
        <v>9669</v>
      </c>
      <c r="CT97" s="564"/>
      <c r="CU97" s="564"/>
      <c r="CV97" s="564"/>
      <c r="CW97" s="564"/>
      <c r="CX97" s="564" t="s">
        <v>9670</v>
      </c>
      <c r="CY97" s="564"/>
      <c r="CZ97" s="564"/>
      <c r="DA97" s="564"/>
      <c r="DB97" s="564"/>
      <c r="DC97" s="564"/>
      <c r="DD97" s="564"/>
      <c r="DE97" s="564"/>
      <c r="DF97" s="564"/>
      <c r="DG97" s="564" t="s">
        <v>9671</v>
      </c>
      <c r="DH97" s="564"/>
    </row>
    <row r="98" spans="1:112" s="241" customFormat="1" ht="12.75" x14ac:dyDescent="0.2">
      <c r="B98" s="34"/>
      <c r="C98" s="31" t="str">
        <f ca="1">IF(OFFSET(R98,0,Lang_Order*Lang__B1)="","",OFFSET(R98,0,Lang_Order*Lang__B1))</f>
        <v>Delivery Modality 2</v>
      </c>
      <c r="D98" s="241">
        <f t="shared" ref="D98:I98" si="82">Sites_NoColdStorage</f>
        <v>0</v>
      </c>
      <c r="E98" s="241">
        <f t="shared" si="82"/>
        <v>0</v>
      </c>
      <c r="F98" s="241">
        <f t="shared" si="82"/>
        <v>0</v>
      </c>
      <c r="G98" s="241">
        <f t="shared" si="82"/>
        <v>0</v>
      </c>
      <c r="H98" s="241">
        <f t="shared" si="82"/>
        <v>0</v>
      </c>
      <c r="I98" s="241">
        <f t="shared" si="82"/>
        <v>0</v>
      </c>
      <c r="J98" s="16">
        <f t="shared" si="80"/>
        <v>0</v>
      </c>
      <c r="K98" s="46"/>
      <c r="L98" s="12" t="str">
        <f t="shared" ca="1" si="81"/>
        <v>Every site every time peiod</v>
      </c>
      <c r="M98" s="12"/>
      <c r="O98" s="564"/>
      <c r="P98" s="564"/>
      <c r="Q98" s="564"/>
      <c r="R98" s="564" t="s">
        <v>1639</v>
      </c>
      <c r="S98" s="564"/>
      <c r="T98" s="564"/>
      <c r="U98" s="564"/>
      <c r="V98" s="564"/>
      <c r="W98" s="564"/>
      <c r="X98" s="564"/>
      <c r="Y98" s="564"/>
      <c r="Z98" s="564"/>
      <c r="AA98" s="564" t="s">
        <v>3017</v>
      </c>
      <c r="AB98" s="564"/>
      <c r="AC98" s="564"/>
      <c r="AD98" s="564"/>
      <c r="AE98" s="564"/>
      <c r="AF98" s="564" t="s">
        <v>7482</v>
      </c>
      <c r="AG98" s="564"/>
      <c r="AH98" s="564"/>
      <c r="AI98" s="564"/>
      <c r="AJ98" s="564"/>
      <c r="AK98" s="564"/>
      <c r="AL98" s="564"/>
      <c r="AM98" s="564"/>
      <c r="AN98" s="564"/>
      <c r="AO98" s="564" t="s">
        <v>9663</v>
      </c>
      <c r="AP98" s="564"/>
      <c r="AQ98" s="564"/>
      <c r="AR98" s="564"/>
      <c r="AS98" s="564"/>
      <c r="AT98" s="564" t="s">
        <v>9672</v>
      </c>
      <c r="AU98" s="564"/>
      <c r="AV98" s="564"/>
      <c r="AW98" s="564"/>
      <c r="AX98" s="564"/>
      <c r="AY98" s="564"/>
      <c r="AZ98" s="564"/>
      <c r="BA98" s="564"/>
      <c r="BB98" s="564"/>
      <c r="BC98" s="564" t="s">
        <v>9665</v>
      </c>
      <c r="BD98" s="564"/>
      <c r="BE98" s="564"/>
      <c r="BF98" s="564"/>
      <c r="BG98" s="564"/>
      <c r="BH98" s="564" t="s">
        <v>9673</v>
      </c>
      <c r="BI98" s="564"/>
      <c r="BJ98" s="564"/>
      <c r="BK98" s="564"/>
      <c r="BL98" s="564"/>
      <c r="BM98" s="564"/>
      <c r="BN98" s="564"/>
      <c r="BO98" s="564"/>
      <c r="BP98" s="564"/>
      <c r="BQ98" s="564" t="s">
        <v>9667</v>
      </c>
      <c r="BR98" s="564"/>
      <c r="BS98" s="564"/>
      <c r="BT98" s="564"/>
      <c r="BU98" s="564"/>
      <c r="BV98" s="564" t="s">
        <v>7485</v>
      </c>
      <c r="BW98" s="564"/>
      <c r="BX98" s="564"/>
      <c r="BY98" s="564"/>
      <c r="BZ98" s="564"/>
      <c r="CA98" s="564"/>
      <c r="CB98" s="564"/>
      <c r="CC98" s="564"/>
      <c r="CD98" s="564"/>
      <c r="CE98" s="564" t="s">
        <v>9668</v>
      </c>
      <c r="CF98" s="564"/>
      <c r="CG98" s="564"/>
      <c r="CH98" s="564"/>
      <c r="CI98" s="564"/>
      <c r="CJ98" s="564" t="s">
        <v>7486</v>
      </c>
      <c r="CK98" s="564"/>
      <c r="CL98" s="564"/>
      <c r="CM98" s="564"/>
      <c r="CN98" s="564"/>
      <c r="CO98" s="564"/>
      <c r="CP98" s="564"/>
      <c r="CQ98" s="564"/>
      <c r="CR98" s="564"/>
      <c r="CS98" s="564" t="s">
        <v>9669</v>
      </c>
      <c r="CT98" s="564"/>
      <c r="CU98" s="564"/>
      <c r="CV98" s="564"/>
      <c r="CW98" s="564"/>
      <c r="CX98" s="564" t="s">
        <v>9674</v>
      </c>
      <c r="CY98" s="564"/>
      <c r="CZ98" s="564"/>
      <c r="DA98" s="564"/>
      <c r="DB98" s="564"/>
      <c r="DC98" s="564"/>
      <c r="DD98" s="564"/>
      <c r="DE98" s="564"/>
      <c r="DF98" s="564"/>
      <c r="DG98" s="564" t="s">
        <v>9671</v>
      </c>
      <c r="DH98" s="564"/>
    </row>
    <row r="99" spans="1:112" s="241" customFormat="1" ht="12.75" x14ac:dyDescent="0.2">
      <c r="B99" s="34"/>
      <c r="C99" s="31" t="str">
        <f ca="1">IF(OFFSET(R99,0,Lang_Order*Lang__B1)="","",OFFSET(R99,0,Lang_Order*Lang__B1))</f>
        <v>Delivery Modality 3</v>
      </c>
      <c r="D99" s="241" t="e">
        <f>D106+D107</f>
        <v>#N/A</v>
      </c>
      <c r="E99" s="241" t="e">
        <f t="shared" ref="E99:I99" si="83">E106+E107</f>
        <v>#N/A</v>
      </c>
      <c r="F99" s="241" t="e">
        <f t="shared" si="83"/>
        <v>#N/A</v>
      </c>
      <c r="G99" s="241" t="e">
        <f t="shared" si="83"/>
        <v>#N/A</v>
      </c>
      <c r="H99" s="241" t="e">
        <f t="shared" si="83"/>
        <v>#N/A</v>
      </c>
      <c r="I99" s="241" t="e">
        <f t="shared" si="83"/>
        <v>#N/A</v>
      </c>
      <c r="J99" s="16" t="e">
        <f t="shared" si="80"/>
        <v>#N/A</v>
      </c>
      <c r="K99" s="56"/>
      <c r="L99" s="12" t="str">
        <f t="shared" ca="1" si="81"/>
        <v>Each site once during entire program - distribute according to population coverage</v>
      </c>
      <c r="M99" s="12"/>
      <c r="O99" s="564"/>
      <c r="P99" s="564"/>
      <c r="Q99" s="564"/>
      <c r="R99" s="564" t="s">
        <v>1564</v>
      </c>
      <c r="S99" s="564"/>
      <c r="T99" s="564"/>
      <c r="U99" s="564"/>
      <c r="V99" s="564"/>
      <c r="W99" s="564"/>
      <c r="X99" s="564"/>
      <c r="Y99" s="564"/>
      <c r="Z99" s="564"/>
      <c r="AA99" s="564" t="s">
        <v>3029</v>
      </c>
      <c r="AB99" s="564"/>
      <c r="AC99" s="564"/>
      <c r="AD99" s="564"/>
      <c r="AE99" s="564"/>
      <c r="AF99" s="564" t="s">
        <v>7418</v>
      </c>
      <c r="AG99" s="564"/>
      <c r="AH99" s="564"/>
      <c r="AI99" s="564"/>
      <c r="AJ99" s="564"/>
      <c r="AK99" s="564"/>
      <c r="AL99" s="564"/>
      <c r="AM99" s="564"/>
      <c r="AN99" s="564"/>
      <c r="AO99" s="564" t="s">
        <v>9675</v>
      </c>
      <c r="AP99" s="564"/>
      <c r="AQ99" s="564"/>
      <c r="AR99" s="564"/>
      <c r="AS99" s="564"/>
      <c r="AT99" s="564" t="s">
        <v>9676</v>
      </c>
      <c r="AU99" s="564"/>
      <c r="AV99" s="564"/>
      <c r="AW99" s="564"/>
      <c r="AX99" s="564"/>
      <c r="AY99" s="564"/>
      <c r="AZ99" s="564"/>
      <c r="BA99" s="564"/>
      <c r="BB99" s="564"/>
      <c r="BC99" s="564" t="s">
        <v>9677</v>
      </c>
      <c r="BD99" s="564"/>
      <c r="BE99" s="564"/>
      <c r="BF99" s="564"/>
      <c r="BG99" s="564"/>
      <c r="BH99" s="564" t="s">
        <v>7420</v>
      </c>
      <c r="BI99" s="564"/>
      <c r="BJ99" s="564"/>
      <c r="BK99" s="564"/>
      <c r="BL99" s="564"/>
      <c r="BM99" s="564"/>
      <c r="BN99" s="564"/>
      <c r="BO99" s="564"/>
      <c r="BP99" s="564"/>
      <c r="BQ99" s="564" t="s">
        <v>9678</v>
      </c>
      <c r="BR99" s="564"/>
      <c r="BS99" s="564"/>
      <c r="BT99" s="564"/>
      <c r="BU99" s="564"/>
      <c r="BV99" s="564" t="s">
        <v>7489</v>
      </c>
      <c r="BW99" s="564"/>
      <c r="BX99" s="564"/>
      <c r="BY99" s="564"/>
      <c r="BZ99" s="564"/>
      <c r="CA99" s="564"/>
      <c r="CB99" s="564"/>
      <c r="CC99" s="564"/>
      <c r="CD99" s="564"/>
      <c r="CE99" s="564" t="s">
        <v>9679</v>
      </c>
      <c r="CF99" s="564"/>
      <c r="CG99" s="564"/>
      <c r="CH99" s="564"/>
      <c r="CI99" s="564"/>
      <c r="CJ99" s="564" t="s">
        <v>7422</v>
      </c>
      <c r="CK99" s="564"/>
      <c r="CL99" s="564"/>
      <c r="CM99" s="564"/>
      <c r="CN99" s="564"/>
      <c r="CO99" s="564"/>
      <c r="CP99" s="564"/>
      <c r="CQ99" s="564"/>
      <c r="CR99" s="564"/>
      <c r="CS99" s="564" t="s">
        <v>9680</v>
      </c>
      <c r="CT99" s="564"/>
      <c r="CU99" s="564"/>
      <c r="CV99" s="564"/>
      <c r="CW99" s="564"/>
      <c r="CX99" s="564" t="s">
        <v>9681</v>
      </c>
      <c r="CY99" s="564"/>
      <c r="CZ99" s="564"/>
      <c r="DA99" s="564"/>
      <c r="DB99" s="564"/>
      <c r="DC99" s="564"/>
      <c r="DD99" s="564"/>
      <c r="DE99" s="564"/>
      <c r="DF99" s="564"/>
      <c r="DG99" s="564" t="s">
        <v>9682</v>
      </c>
      <c r="DH99" s="564"/>
    </row>
    <row r="100" spans="1:112" s="241" customFormat="1" ht="12.75" hidden="1" x14ac:dyDescent="0.2">
      <c r="B100" s="346" t="s">
        <v>14117</v>
      </c>
      <c r="C100" s="72" t="s">
        <v>3025</v>
      </c>
      <c r="D100" s="2" t="e">
        <f t="shared" ref="D100:I100" si="84">ROUND(LR_Inst_Sites*D71,0)</f>
        <v>#N/A</v>
      </c>
      <c r="E100" s="2" t="e">
        <f t="shared" si="84"/>
        <v>#N/A</v>
      </c>
      <c r="F100" s="2" t="e">
        <f t="shared" si="84"/>
        <v>#N/A</v>
      </c>
      <c r="G100" s="2" t="e">
        <f t="shared" si="84"/>
        <v>#N/A</v>
      </c>
      <c r="H100" s="2" t="e">
        <f t="shared" si="84"/>
        <v>#N/A</v>
      </c>
      <c r="I100" s="2" t="e">
        <f t="shared" si="84"/>
        <v>#N/A</v>
      </c>
      <c r="J100" s="56" t="e">
        <f t="shared" si="80"/>
        <v>#N/A</v>
      </c>
      <c r="K100" s="56" t="e">
        <f>J100-LR_Inst_Sites</f>
        <v>#N/A</v>
      </c>
      <c r="L100" s="12" t="str">
        <f t="shared" ca="1" si="81"/>
        <v>This section here is to fix the rounding error and impose the difference in the first occurance | HIDE</v>
      </c>
      <c r="M100" s="12"/>
      <c r="O100" s="564"/>
      <c r="P100" s="564"/>
      <c r="Q100" s="564"/>
      <c r="R100" s="564"/>
      <c r="S100" s="564"/>
      <c r="T100" s="564"/>
      <c r="U100" s="564"/>
      <c r="V100" s="564"/>
      <c r="W100" s="564"/>
      <c r="X100" s="564"/>
      <c r="Y100" s="564"/>
      <c r="Z100" s="564"/>
      <c r="AA100" s="564" t="s">
        <v>3030</v>
      </c>
      <c r="AB100" s="564"/>
      <c r="AC100" s="564"/>
      <c r="AD100" s="564"/>
      <c r="AE100" s="564"/>
      <c r="AF100" s="564"/>
      <c r="AG100" s="564"/>
      <c r="AH100" s="564"/>
      <c r="AI100" s="564"/>
      <c r="AJ100" s="564"/>
      <c r="AK100" s="564"/>
      <c r="AL100" s="564"/>
      <c r="AM100" s="564"/>
      <c r="AN100" s="564"/>
      <c r="AO100" s="564" t="s">
        <v>9683</v>
      </c>
      <c r="AP100" s="564"/>
      <c r="AQ100" s="564"/>
      <c r="AR100" s="564"/>
      <c r="AS100" s="564"/>
      <c r="AT100" s="564"/>
      <c r="AU100" s="564"/>
      <c r="AV100" s="564"/>
      <c r="AW100" s="564"/>
      <c r="AX100" s="564"/>
      <c r="AY100" s="564"/>
      <c r="AZ100" s="564"/>
      <c r="BA100" s="564"/>
      <c r="BB100" s="564"/>
      <c r="BC100" s="564" t="s">
        <v>9684</v>
      </c>
      <c r="BD100" s="564"/>
      <c r="BE100" s="564"/>
      <c r="BF100" s="564"/>
      <c r="BG100" s="564"/>
      <c r="BH100" s="564"/>
      <c r="BI100" s="564"/>
      <c r="BJ100" s="564"/>
      <c r="BK100" s="564"/>
      <c r="BL100" s="564"/>
      <c r="BM100" s="564"/>
      <c r="BN100" s="564"/>
      <c r="BO100" s="564"/>
      <c r="BP100" s="564"/>
      <c r="BQ100" s="564" t="s">
        <v>9685</v>
      </c>
      <c r="BR100" s="564"/>
      <c r="BS100" s="564"/>
      <c r="BT100" s="564"/>
      <c r="BU100" s="564"/>
      <c r="BV100" s="564"/>
      <c r="BW100" s="564"/>
      <c r="BX100" s="564"/>
      <c r="BY100" s="564"/>
      <c r="BZ100" s="564"/>
      <c r="CA100" s="564"/>
      <c r="CB100" s="564"/>
      <c r="CC100" s="564"/>
      <c r="CD100" s="564"/>
      <c r="CE100" s="564" t="s">
        <v>9686</v>
      </c>
      <c r="CF100" s="564"/>
      <c r="CG100" s="564"/>
      <c r="CH100" s="564"/>
      <c r="CI100" s="564"/>
      <c r="CJ100" s="564"/>
      <c r="CK100" s="564"/>
      <c r="CL100" s="564"/>
      <c r="CM100" s="564"/>
      <c r="CN100" s="564"/>
      <c r="CO100" s="564"/>
      <c r="CP100" s="564"/>
      <c r="CQ100" s="564"/>
      <c r="CR100" s="564"/>
      <c r="CS100" s="564" t="s">
        <v>9687</v>
      </c>
      <c r="CT100" s="564"/>
      <c r="CU100" s="564"/>
      <c r="CV100" s="564"/>
      <c r="CW100" s="564"/>
      <c r="CX100" s="564"/>
      <c r="CY100" s="564"/>
      <c r="CZ100" s="564"/>
      <c r="DA100" s="564"/>
      <c r="DB100" s="564"/>
      <c r="DC100" s="564"/>
      <c r="DD100" s="564"/>
      <c r="DE100" s="564"/>
      <c r="DF100" s="564"/>
      <c r="DG100" s="564" t="s">
        <v>9688</v>
      </c>
      <c r="DH100" s="564"/>
    </row>
    <row r="101" spans="1:112" s="241" customFormat="1" ht="12.75" hidden="1" x14ac:dyDescent="0.2">
      <c r="B101" s="346" t="s">
        <v>14117</v>
      </c>
      <c r="C101" s="72" t="s">
        <v>3026</v>
      </c>
      <c r="D101" s="2" t="e">
        <f t="shared" ref="D101:I101" si="85">ROUND(HR_Inst_Sites*D62,0)</f>
        <v>#N/A</v>
      </c>
      <c r="E101" s="2" t="e">
        <f t="shared" si="85"/>
        <v>#N/A</v>
      </c>
      <c r="F101" s="2" t="e">
        <f t="shared" si="85"/>
        <v>#N/A</v>
      </c>
      <c r="G101" s="2" t="e">
        <f t="shared" si="85"/>
        <v>#N/A</v>
      </c>
      <c r="H101" s="2" t="e">
        <f t="shared" si="85"/>
        <v>#N/A</v>
      </c>
      <c r="I101" s="2" t="e">
        <f t="shared" si="85"/>
        <v>#N/A</v>
      </c>
      <c r="J101" s="56" t="e">
        <f t="shared" si="80"/>
        <v>#N/A</v>
      </c>
      <c r="K101" s="56" t="e">
        <f>J101-HR_Inst_Sites</f>
        <v>#N/A</v>
      </c>
      <c r="L101" s="567"/>
      <c r="M101" s="567"/>
      <c r="O101" s="564"/>
      <c r="P101" s="564"/>
      <c r="Q101" s="564"/>
      <c r="R101" s="564"/>
      <c r="S101" s="564"/>
      <c r="T101" s="564"/>
      <c r="U101" s="564"/>
      <c r="V101" s="564"/>
      <c r="W101" s="564"/>
      <c r="X101" s="564"/>
      <c r="Y101" s="564"/>
      <c r="Z101" s="564"/>
      <c r="AA101" s="564"/>
      <c r="AB101" s="564"/>
      <c r="AC101" s="564"/>
      <c r="AD101" s="564"/>
      <c r="AE101" s="564"/>
      <c r="AF101" s="564"/>
      <c r="AG101" s="564"/>
      <c r="AH101" s="564"/>
      <c r="AI101" s="564"/>
      <c r="AJ101" s="564"/>
      <c r="AK101" s="564"/>
      <c r="AL101" s="564"/>
      <c r="AM101" s="564"/>
      <c r="AN101" s="564"/>
      <c r="AO101" s="564"/>
      <c r="AP101" s="564"/>
      <c r="AQ101" s="564"/>
      <c r="AR101" s="564"/>
      <c r="AS101" s="564"/>
      <c r="AT101" s="564"/>
      <c r="AU101" s="564"/>
      <c r="AV101" s="564"/>
      <c r="AW101" s="564"/>
      <c r="AX101" s="564"/>
      <c r="AY101" s="564"/>
      <c r="AZ101" s="564"/>
      <c r="BA101" s="564"/>
      <c r="BB101" s="564"/>
      <c r="BC101" s="564"/>
      <c r="BD101" s="564"/>
      <c r="BE101" s="564"/>
      <c r="BF101" s="564"/>
      <c r="BG101" s="564"/>
      <c r="BH101" s="564"/>
      <c r="BI101" s="564"/>
      <c r="BJ101" s="564"/>
      <c r="BK101" s="564"/>
      <c r="BL101" s="564"/>
      <c r="BM101" s="564"/>
      <c r="BN101" s="564"/>
      <c r="BO101" s="564"/>
      <c r="BP101" s="564"/>
      <c r="BQ101" s="564"/>
      <c r="BR101" s="564"/>
      <c r="BS101" s="564"/>
      <c r="BT101" s="564"/>
      <c r="BU101" s="564"/>
      <c r="BV101" s="564"/>
      <c r="BW101" s="564"/>
      <c r="BX101" s="564"/>
      <c r="BY101" s="564"/>
      <c r="BZ101" s="564"/>
      <c r="CA101" s="564"/>
      <c r="CB101" s="564"/>
      <c r="CC101" s="564"/>
      <c r="CD101" s="564"/>
      <c r="CE101" s="564"/>
      <c r="CF101" s="564"/>
      <c r="CG101" s="564"/>
      <c r="CH101" s="564"/>
      <c r="CI101" s="564"/>
      <c r="CJ101" s="564"/>
      <c r="CK101" s="564"/>
      <c r="CL101" s="564"/>
      <c r="CM101" s="564"/>
      <c r="CN101" s="564"/>
      <c r="CO101" s="564"/>
      <c r="CP101" s="564"/>
      <c r="CQ101" s="564"/>
      <c r="CR101" s="564"/>
      <c r="CS101" s="564"/>
      <c r="CT101" s="564"/>
      <c r="CU101" s="564"/>
      <c r="CV101" s="564"/>
      <c r="CW101" s="564"/>
      <c r="CX101" s="564"/>
      <c r="CY101" s="564"/>
      <c r="CZ101" s="564"/>
      <c r="DA101" s="564"/>
      <c r="DB101" s="564"/>
      <c r="DC101" s="564"/>
      <c r="DD101" s="564"/>
      <c r="DE101" s="564"/>
      <c r="DF101" s="564"/>
      <c r="DG101" s="564"/>
      <c r="DH101" s="564"/>
    </row>
    <row r="102" spans="1:112" s="241" customFormat="1" ht="12.75" hidden="1" x14ac:dyDescent="0.2">
      <c r="B102" s="346" t="s">
        <v>14117</v>
      </c>
      <c r="C102" s="31">
        <v>0</v>
      </c>
      <c r="D102" s="62">
        <f>IF(AND(D71&gt;0,C102=0),1,0)</f>
        <v>0</v>
      </c>
      <c r="E102" s="62">
        <f>IF(AND(E71&gt;0,D103=0),1,0)</f>
        <v>0</v>
      </c>
      <c r="F102" s="62" t="e">
        <f>IF(AND(F71&gt;0,E103=0),1,0)</f>
        <v>#N/A</v>
      </c>
      <c r="G102" s="62" t="e">
        <f>IF(AND(G71&gt;0,F103=0),1,0)</f>
        <v>#N/A</v>
      </c>
      <c r="H102" s="62" t="e">
        <f>IF(AND(H71&gt;0,G103=0),1,0)</f>
        <v>#N/A</v>
      </c>
      <c r="I102" s="62" t="e">
        <f>IF(AND(I71&gt;0,H103=0),1,0)</f>
        <v>#N/A</v>
      </c>
      <c r="J102" s="254"/>
      <c r="K102" s="56" t="s">
        <v>3022</v>
      </c>
      <c r="L102" s="567"/>
      <c r="M102" s="567"/>
      <c r="O102" s="564"/>
      <c r="P102" s="564"/>
      <c r="Q102" s="564"/>
      <c r="R102" s="564"/>
      <c r="S102" s="564"/>
      <c r="T102" s="564"/>
      <c r="U102" s="564"/>
      <c r="V102" s="564"/>
      <c r="W102" s="564"/>
      <c r="X102" s="564"/>
      <c r="Y102" s="564"/>
      <c r="Z102" s="564"/>
      <c r="AA102" s="564"/>
      <c r="AB102" s="564"/>
      <c r="AC102" s="564"/>
      <c r="AD102" s="564"/>
      <c r="AE102" s="564"/>
      <c r="AF102" s="564"/>
      <c r="AG102" s="564"/>
      <c r="AH102" s="564"/>
      <c r="AI102" s="564"/>
      <c r="AJ102" s="564"/>
      <c r="AK102" s="564"/>
      <c r="AL102" s="564"/>
      <c r="AM102" s="564"/>
      <c r="AN102" s="564"/>
      <c r="AO102" s="564"/>
      <c r="AP102" s="564"/>
      <c r="AQ102" s="564"/>
      <c r="AR102" s="564"/>
      <c r="AS102" s="564"/>
      <c r="AT102" s="564"/>
      <c r="AU102" s="564"/>
      <c r="AV102" s="564"/>
      <c r="AW102" s="564"/>
      <c r="AX102" s="564"/>
      <c r="AY102" s="564"/>
      <c r="AZ102" s="564"/>
      <c r="BA102" s="564"/>
      <c r="BB102" s="564"/>
      <c r="BC102" s="564"/>
      <c r="BD102" s="564"/>
      <c r="BE102" s="564"/>
      <c r="BF102" s="564"/>
      <c r="BG102" s="564"/>
      <c r="BH102" s="564"/>
      <c r="BI102" s="564"/>
      <c r="BJ102" s="564"/>
      <c r="BK102" s="564"/>
      <c r="BL102" s="564"/>
      <c r="BM102" s="564"/>
      <c r="BN102" s="564"/>
      <c r="BO102" s="564"/>
      <c r="BP102" s="564"/>
      <c r="BQ102" s="564"/>
      <c r="BR102" s="564"/>
      <c r="BS102" s="564"/>
      <c r="BT102" s="564"/>
      <c r="BU102" s="564"/>
      <c r="BV102" s="564"/>
      <c r="BW102" s="564"/>
      <c r="BX102" s="564"/>
      <c r="BY102" s="564"/>
      <c r="BZ102" s="564"/>
      <c r="CA102" s="564"/>
      <c r="CB102" s="564"/>
      <c r="CC102" s="564"/>
      <c r="CD102" s="564"/>
      <c r="CE102" s="564"/>
      <c r="CF102" s="564"/>
      <c r="CG102" s="564"/>
      <c r="CH102" s="564"/>
      <c r="CI102" s="564"/>
      <c r="CJ102" s="564"/>
      <c r="CK102" s="564"/>
      <c r="CL102" s="564"/>
      <c r="CM102" s="564"/>
      <c r="CN102" s="564"/>
      <c r="CO102" s="564"/>
      <c r="CP102" s="564"/>
      <c r="CQ102" s="564"/>
      <c r="CR102" s="564"/>
      <c r="CS102" s="564"/>
      <c r="CT102" s="564"/>
      <c r="CU102" s="564"/>
      <c r="CV102" s="564"/>
      <c r="CW102" s="564"/>
      <c r="CX102" s="564"/>
      <c r="CY102" s="564"/>
      <c r="CZ102" s="564"/>
      <c r="DA102" s="564"/>
      <c r="DB102" s="564"/>
      <c r="DC102" s="564"/>
      <c r="DD102" s="564"/>
      <c r="DE102" s="564"/>
      <c r="DF102" s="564"/>
      <c r="DG102" s="564"/>
      <c r="DH102" s="564"/>
    </row>
    <row r="103" spans="1:112" s="241" customFormat="1" ht="12.75" hidden="1" x14ac:dyDescent="0.2">
      <c r="B103" s="346" t="s">
        <v>14117</v>
      </c>
      <c r="C103" s="31"/>
      <c r="D103" s="241">
        <f>IF(OR(D71&gt;0,D102=1),1,0)</f>
        <v>0</v>
      </c>
      <c r="E103" s="241" t="e">
        <f>IF(OR(E99&gt;0,D103=1),1,0)</f>
        <v>#N/A</v>
      </c>
      <c r="F103" s="299" t="e">
        <f t="shared" ref="F103:I103" si="86">IF(OR(F99&gt;0,E103=1),1,0)</f>
        <v>#N/A</v>
      </c>
      <c r="G103" s="299" t="e">
        <f t="shared" si="86"/>
        <v>#N/A</v>
      </c>
      <c r="H103" s="299" t="e">
        <f t="shared" si="86"/>
        <v>#N/A</v>
      </c>
      <c r="I103" s="299" t="e">
        <f t="shared" si="86"/>
        <v>#N/A</v>
      </c>
      <c r="J103" s="254"/>
      <c r="K103" s="56" t="s">
        <v>3021</v>
      </c>
      <c r="L103" s="567"/>
      <c r="M103" s="567"/>
      <c r="O103" s="564"/>
      <c r="P103" s="564"/>
      <c r="Q103" s="564"/>
      <c r="R103" s="564"/>
      <c r="S103" s="564"/>
      <c r="T103" s="564"/>
      <c r="U103" s="564"/>
      <c r="V103" s="564"/>
      <c r="W103" s="564"/>
      <c r="X103" s="564"/>
      <c r="Y103" s="564"/>
      <c r="Z103" s="564"/>
      <c r="AA103" s="564"/>
      <c r="AB103" s="564"/>
      <c r="AC103" s="564"/>
      <c r="AD103" s="564"/>
      <c r="AE103" s="564"/>
      <c r="AF103" s="564"/>
      <c r="AG103" s="564"/>
      <c r="AH103" s="564"/>
      <c r="AI103" s="564"/>
      <c r="AJ103" s="564"/>
      <c r="AK103" s="564"/>
      <c r="AL103" s="564"/>
      <c r="AM103" s="564"/>
      <c r="AN103" s="564"/>
      <c r="AO103" s="564"/>
      <c r="AP103" s="564"/>
      <c r="AQ103" s="564"/>
      <c r="AR103" s="564"/>
      <c r="AS103" s="564"/>
      <c r="AT103" s="564"/>
      <c r="AU103" s="564"/>
      <c r="AV103" s="564"/>
      <c r="AW103" s="564"/>
      <c r="AX103" s="564"/>
      <c r="AY103" s="564"/>
      <c r="AZ103" s="564"/>
      <c r="BA103" s="564"/>
      <c r="BB103" s="564"/>
      <c r="BC103" s="564"/>
      <c r="BD103" s="564"/>
      <c r="BE103" s="564"/>
      <c r="BF103" s="564"/>
      <c r="BG103" s="564"/>
      <c r="BH103" s="564"/>
      <c r="BI103" s="564"/>
      <c r="BJ103" s="564"/>
      <c r="BK103" s="564"/>
      <c r="BL103" s="564"/>
      <c r="BM103" s="564"/>
      <c r="BN103" s="564"/>
      <c r="BO103" s="564"/>
      <c r="BP103" s="564"/>
      <c r="BQ103" s="564"/>
      <c r="BR103" s="564"/>
      <c r="BS103" s="564"/>
      <c r="BT103" s="564"/>
      <c r="BU103" s="564"/>
      <c r="BV103" s="564"/>
      <c r="BW103" s="564"/>
      <c r="BX103" s="564"/>
      <c r="BY103" s="564"/>
      <c r="BZ103" s="564"/>
      <c r="CA103" s="564"/>
      <c r="CB103" s="564"/>
      <c r="CC103" s="564"/>
      <c r="CD103" s="564"/>
      <c r="CE103" s="564"/>
      <c r="CF103" s="564"/>
      <c r="CG103" s="564"/>
      <c r="CH103" s="564"/>
      <c r="CI103" s="564"/>
      <c r="CJ103" s="564"/>
      <c r="CK103" s="564"/>
      <c r="CL103" s="564"/>
      <c r="CM103" s="564"/>
      <c r="CN103" s="564"/>
      <c r="CO103" s="564"/>
      <c r="CP103" s="564"/>
      <c r="CQ103" s="564"/>
      <c r="CR103" s="564"/>
      <c r="CS103" s="564"/>
      <c r="CT103" s="564"/>
      <c r="CU103" s="564"/>
      <c r="CV103" s="564"/>
      <c r="CW103" s="564"/>
      <c r="CX103" s="564"/>
      <c r="CY103" s="564"/>
      <c r="CZ103" s="564"/>
      <c r="DA103" s="564"/>
      <c r="DB103" s="564"/>
      <c r="DC103" s="564"/>
      <c r="DD103" s="564"/>
      <c r="DE103" s="564"/>
      <c r="DF103" s="564"/>
      <c r="DG103" s="564"/>
      <c r="DH103" s="564"/>
    </row>
    <row r="104" spans="1:112" s="241" customFormat="1" ht="12.75" hidden="1" x14ac:dyDescent="0.2">
      <c r="B104" s="346" t="s">
        <v>14117</v>
      </c>
      <c r="C104" s="31">
        <v>0</v>
      </c>
      <c r="D104" s="62">
        <f>IF(AND(D62&gt;0,C104=0),1,0)</f>
        <v>0</v>
      </c>
      <c r="E104" s="62">
        <f>IF(AND(E62&gt;0,D105=0),1,0)</f>
        <v>0</v>
      </c>
      <c r="F104" s="62">
        <f>IF(AND(F62&gt;0,E105=0),1,0)</f>
        <v>0</v>
      </c>
      <c r="G104" s="62">
        <f>IF(AND(G62&gt;0,F105=0),1,0)</f>
        <v>0</v>
      </c>
      <c r="H104" s="62">
        <f>IF(AND(H62&gt;0,G105=0),1,0)</f>
        <v>0</v>
      </c>
      <c r="I104" s="62">
        <f>IF(AND(I62&gt;0,H105=0),1,0)</f>
        <v>0</v>
      </c>
      <c r="J104" s="254"/>
      <c r="K104" s="56" t="s">
        <v>3023</v>
      </c>
      <c r="L104" s="567"/>
      <c r="M104" s="567"/>
      <c r="O104" s="564"/>
      <c r="P104" s="564"/>
      <c r="Q104" s="564"/>
      <c r="R104" s="564"/>
      <c r="S104" s="564"/>
      <c r="T104" s="564"/>
      <c r="U104" s="564"/>
      <c r="V104" s="564"/>
      <c r="W104" s="564"/>
      <c r="X104" s="564"/>
      <c r="Y104" s="564"/>
      <c r="Z104" s="564"/>
      <c r="AA104" s="564"/>
      <c r="AB104" s="564"/>
      <c r="AC104" s="564"/>
      <c r="AD104" s="564"/>
      <c r="AE104" s="564"/>
      <c r="AF104" s="564"/>
      <c r="AG104" s="564"/>
      <c r="AH104" s="564"/>
      <c r="AI104" s="564"/>
      <c r="AJ104" s="564"/>
      <c r="AK104" s="564"/>
      <c r="AL104" s="564"/>
      <c r="AM104" s="564"/>
      <c r="AN104" s="564"/>
      <c r="AO104" s="564"/>
      <c r="AP104" s="564"/>
      <c r="AQ104" s="564"/>
      <c r="AR104" s="564"/>
      <c r="AS104" s="564"/>
      <c r="AT104" s="564"/>
      <c r="AU104" s="564"/>
      <c r="AV104" s="564"/>
      <c r="AW104" s="564"/>
      <c r="AX104" s="564"/>
      <c r="AY104" s="564"/>
      <c r="AZ104" s="564"/>
      <c r="BA104" s="564"/>
      <c r="BB104" s="564"/>
      <c r="BC104" s="564"/>
      <c r="BD104" s="564"/>
      <c r="BE104" s="564"/>
      <c r="BF104" s="564"/>
      <c r="BG104" s="564"/>
      <c r="BH104" s="564"/>
      <c r="BI104" s="564"/>
      <c r="BJ104" s="564"/>
      <c r="BK104" s="564"/>
      <c r="BL104" s="564"/>
      <c r="BM104" s="564"/>
      <c r="BN104" s="564"/>
      <c r="BO104" s="564"/>
      <c r="BP104" s="564"/>
      <c r="BQ104" s="564"/>
      <c r="BR104" s="564"/>
      <c r="BS104" s="564"/>
      <c r="BT104" s="564"/>
      <c r="BU104" s="564"/>
      <c r="BV104" s="564"/>
      <c r="BW104" s="564"/>
      <c r="BX104" s="564"/>
      <c r="BY104" s="564"/>
      <c r="BZ104" s="564"/>
      <c r="CA104" s="564"/>
      <c r="CB104" s="564"/>
      <c r="CC104" s="564"/>
      <c r="CD104" s="564"/>
      <c r="CE104" s="564"/>
      <c r="CF104" s="564"/>
      <c r="CG104" s="564"/>
      <c r="CH104" s="564"/>
      <c r="CI104" s="564"/>
      <c r="CJ104" s="564"/>
      <c r="CK104" s="564"/>
      <c r="CL104" s="564"/>
      <c r="CM104" s="564"/>
      <c r="CN104" s="564"/>
      <c r="CO104" s="564"/>
      <c r="CP104" s="564"/>
      <c r="CQ104" s="564"/>
      <c r="CR104" s="564"/>
      <c r="CS104" s="564"/>
      <c r="CT104" s="564"/>
      <c r="CU104" s="564"/>
      <c r="CV104" s="564"/>
      <c r="CW104" s="564"/>
      <c r="CX104" s="564"/>
      <c r="CY104" s="564"/>
      <c r="CZ104" s="564"/>
      <c r="DA104" s="564"/>
      <c r="DB104" s="564"/>
      <c r="DC104" s="564"/>
      <c r="DD104" s="564"/>
      <c r="DE104" s="564"/>
      <c r="DF104" s="564"/>
      <c r="DG104" s="564"/>
      <c r="DH104" s="564"/>
    </row>
    <row r="105" spans="1:112" s="241" customFormat="1" ht="12.75" hidden="1" x14ac:dyDescent="0.2">
      <c r="B105" s="346" t="s">
        <v>14117</v>
      </c>
      <c r="C105" s="31"/>
      <c r="D105" s="241">
        <f>IF(OR(D62&gt;0,D104=1),1,0)</f>
        <v>0</v>
      </c>
      <c r="E105" s="241">
        <f>IF(OR(E62&gt;0,D105=1),1,0)</f>
        <v>0</v>
      </c>
      <c r="F105" s="299">
        <f>IF(OR(F62&gt;0,E105=1),1,0)</f>
        <v>0</v>
      </c>
      <c r="G105" s="299">
        <f>IF(OR(G62&gt;0,F105=1),1,0)</f>
        <v>0</v>
      </c>
      <c r="H105" s="299">
        <f>IF(OR(H62&gt;0,G105=1),1,0)</f>
        <v>0</v>
      </c>
      <c r="I105" s="299">
        <f>IF(OR(I62&gt;0,H105=1),1,0)</f>
        <v>0</v>
      </c>
      <c r="J105" s="254"/>
      <c r="K105" s="56" t="s">
        <v>3024</v>
      </c>
      <c r="L105" s="567"/>
      <c r="M105" s="567"/>
      <c r="O105" s="564"/>
      <c r="P105" s="564"/>
      <c r="Q105" s="564"/>
      <c r="R105" s="564"/>
      <c r="S105" s="564"/>
      <c r="T105" s="564"/>
      <c r="U105" s="564"/>
      <c r="V105" s="564"/>
      <c r="W105" s="564"/>
      <c r="X105" s="564"/>
      <c r="Y105" s="564"/>
      <c r="Z105" s="564"/>
      <c r="AA105" s="564"/>
      <c r="AB105" s="564"/>
      <c r="AC105" s="564"/>
      <c r="AD105" s="564"/>
      <c r="AE105" s="564"/>
      <c r="AF105" s="564"/>
      <c r="AG105" s="564"/>
      <c r="AH105" s="564"/>
      <c r="AI105" s="564"/>
      <c r="AJ105" s="564"/>
      <c r="AK105" s="564"/>
      <c r="AL105" s="564"/>
      <c r="AM105" s="564"/>
      <c r="AN105" s="564"/>
      <c r="AO105" s="564"/>
      <c r="AP105" s="564"/>
      <c r="AQ105" s="564"/>
      <c r="AR105" s="564"/>
      <c r="AS105" s="564"/>
      <c r="AT105" s="564"/>
      <c r="AU105" s="564"/>
      <c r="AV105" s="564"/>
      <c r="AW105" s="564"/>
      <c r="AX105" s="564"/>
      <c r="AY105" s="564"/>
      <c r="AZ105" s="564"/>
      <c r="BA105" s="564"/>
      <c r="BB105" s="564"/>
      <c r="BC105" s="564"/>
      <c r="BD105" s="564"/>
      <c r="BE105" s="564"/>
      <c r="BF105" s="564"/>
      <c r="BG105" s="564"/>
      <c r="BH105" s="564"/>
      <c r="BI105" s="564"/>
      <c r="BJ105" s="564"/>
      <c r="BK105" s="564"/>
      <c r="BL105" s="564"/>
      <c r="BM105" s="564"/>
      <c r="BN105" s="564"/>
      <c r="BO105" s="564"/>
      <c r="BP105" s="564"/>
      <c r="BQ105" s="564"/>
      <c r="BR105" s="564"/>
      <c r="BS105" s="564"/>
      <c r="BT105" s="564"/>
      <c r="BU105" s="564"/>
      <c r="BV105" s="564"/>
      <c r="BW105" s="564"/>
      <c r="BX105" s="564"/>
      <c r="BY105" s="564"/>
      <c r="BZ105" s="564"/>
      <c r="CA105" s="564"/>
      <c r="CB105" s="564"/>
      <c r="CC105" s="564"/>
      <c r="CD105" s="564"/>
      <c r="CE105" s="564"/>
      <c r="CF105" s="564"/>
      <c r="CG105" s="564"/>
      <c r="CH105" s="564"/>
      <c r="CI105" s="564"/>
      <c r="CJ105" s="564"/>
      <c r="CK105" s="564"/>
      <c r="CL105" s="564"/>
      <c r="CM105" s="564"/>
      <c r="CN105" s="564"/>
      <c r="CO105" s="564"/>
      <c r="CP105" s="564"/>
      <c r="CQ105" s="564"/>
      <c r="CR105" s="564"/>
      <c r="CS105" s="564"/>
      <c r="CT105" s="564"/>
      <c r="CU105" s="564"/>
      <c r="CV105" s="564"/>
      <c r="CW105" s="564"/>
      <c r="CX105" s="564"/>
      <c r="CY105" s="564"/>
      <c r="CZ105" s="564"/>
      <c r="DA105" s="564"/>
      <c r="DB105" s="564"/>
      <c r="DC105" s="564"/>
      <c r="DD105" s="564"/>
      <c r="DE105" s="564"/>
      <c r="DF105" s="564"/>
      <c r="DG105" s="564"/>
      <c r="DH105" s="564"/>
    </row>
    <row r="106" spans="1:112" s="241" customFormat="1" ht="12.75" x14ac:dyDescent="0.2">
      <c r="B106" s="34"/>
      <c r="C106" s="31" t="str">
        <f ca="1">IF(OFFSET(R106,0,Lang_Order*Lang__B1)="","",OFFSET(R106,0,Lang_Order*Lang__B1))</f>
        <v>… LR Residential Institutions</v>
      </c>
      <c r="D106" s="159" t="e">
        <f t="shared" ref="D106:I106" si="87">D100-IF(D102=1,$K100,0)</f>
        <v>#N/A</v>
      </c>
      <c r="E106" s="159" t="e">
        <f t="shared" si="87"/>
        <v>#N/A</v>
      </c>
      <c r="F106" s="159" t="e">
        <f t="shared" si="87"/>
        <v>#N/A</v>
      </c>
      <c r="G106" s="159" t="e">
        <f t="shared" si="87"/>
        <v>#N/A</v>
      </c>
      <c r="H106" s="159" t="e">
        <f t="shared" si="87"/>
        <v>#N/A</v>
      </c>
      <c r="I106" s="159" t="e">
        <f t="shared" si="87"/>
        <v>#N/A</v>
      </c>
      <c r="J106" s="233" t="e">
        <f>IF(MIN(D106:I106)&lt;0,Lang_CHECK,"OK")</f>
        <v>#N/A</v>
      </c>
      <c r="K106" s="56"/>
      <c r="L106" s="12" t="str">
        <f t="shared" ca="1" si="81"/>
        <v>Ensure no negative numbers here - please adjust the timing in B1.2 for residential institutions for high risk age groups - do not spread out the delivery thinly</v>
      </c>
      <c r="M106" s="12"/>
      <c r="N106" s="233" t="e">
        <f>IF(MIN(D106:I106)&lt;0,Lang_CHECK,"OK")</f>
        <v>#N/A</v>
      </c>
      <c r="O106" s="564"/>
      <c r="P106" s="564"/>
      <c r="Q106" s="564"/>
      <c r="R106" s="564" t="s">
        <v>3020</v>
      </c>
      <c r="S106" s="564"/>
      <c r="T106" s="564"/>
      <c r="U106" s="564"/>
      <c r="V106" s="564"/>
      <c r="W106" s="564"/>
      <c r="X106" s="564"/>
      <c r="Y106" s="564"/>
      <c r="Z106" s="564"/>
      <c r="AA106" s="564" t="s">
        <v>3036</v>
      </c>
      <c r="AB106" s="564"/>
      <c r="AC106" s="564"/>
      <c r="AD106" s="564"/>
      <c r="AE106" s="564"/>
      <c r="AF106" s="564" t="s">
        <v>9689</v>
      </c>
      <c r="AG106" s="564"/>
      <c r="AH106" s="564"/>
      <c r="AI106" s="564"/>
      <c r="AJ106" s="564"/>
      <c r="AK106" s="564"/>
      <c r="AL106" s="564"/>
      <c r="AM106" s="564"/>
      <c r="AN106" s="564"/>
      <c r="AO106" s="564" t="s">
        <v>9690</v>
      </c>
      <c r="AP106" s="564"/>
      <c r="AQ106" s="564"/>
      <c r="AR106" s="564"/>
      <c r="AS106" s="564"/>
      <c r="AT106" s="564" t="s">
        <v>9691</v>
      </c>
      <c r="AU106" s="564"/>
      <c r="AV106" s="564"/>
      <c r="AW106" s="564"/>
      <c r="AX106" s="564"/>
      <c r="AY106" s="564"/>
      <c r="AZ106" s="564"/>
      <c r="BA106" s="564"/>
      <c r="BB106" s="564"/>
      <c r="BC106" s="564" t="s">
        <v>9692</v>
      </c>
      <c r="BD106" s="564"/>
      <c r="BE106" s="564"/>
      <c r="BF106" s="564"/>
      <c r="BG106" s="564"/>
      <c r="BH106" s="564" t="s">
        <v>9693</v>
      </c>
      <c r="BI106" s="564"/>
      <c r="BJ106" s="564"/>
      <c r="BK106" s="564"/>
      <c r="BL106" s="564"/>
      <c r="BM106" s="564"/>
      <c r="BN106" s="564"/>
      <c r="BO106" s="564"/>
      <c r="BP106" s="564"/>
      <c r="BQ106" s="564" t="s">
        <v>9694</v>
      </c>
      <c r="BR106" s="564"/>
      <c r="BS106" s="564"/>
      <c r="BT106" s="564"/>
      <c r="BU106" s="564"/>
      <c r="BV106" s="564" t="s">
        <v>9695</v>
      </c>
      <c r="BW106" s="564"/>
      <c r="BX106" s="564"/>
      <c r="BY106" s="564"/>
      <c r="BZ106" s="564"/>
      <c r="CA106" s="564"/>
      <c r="CB106" s="564"/>
      <c r="CC106" s="564"/>
      <c r="CD106" s="564"/>
      <c r="CE106" s="564" t="s">
        <v>9696</v>
      </c>
      <c r="CF106" s="564"/>
      <c r="CG106" s="564"/>
      <c r="CH106" s="564"/>
      <c r="CI106" s="564"/>
      <c r="CJ106" s="564" t="s">
        <v>9697</v>
      </c>
      <c r="CK106" s="564"/>
      <c r="CL106" s="564"/>
      <c r="CM106" s="564"/>
      <c r="CN106" s="564"/>
      <c r="CO106" s="564"/>
      <c r="CP106" s="564"/>
      <c r="CQ106" s="564"/>
      <c r="CR106" s="564"/>
      <c r="CS106" s="564" t="s">
        <v>9698</v>
      </c>
      <c r="CT106" s="564"/>
      <c r="CU106" s="564"/>
      <c r="CV106" s="564"/>
      <c r="CW106" s="564"/>
      <c r="CX106" s="564" t="s">
        <v>9699</v>
      </c>
      <c r="CY106" s="564"/>
      <c r="CZ106" s="564"/>
      <c r="DA106" s="564"/>
      <c r="DB106" s="564"/>
      <c r="DC106" s="564"/>
      <c r="DD106" s="564"/>
      <c r="DE106" s="564"/>
      <c r="DF106" s="564"/>
      <c r="DG106" s="564" t="s">
        <v>9700</v>
      </c>
      <c r="DH106" s="564"/>
    </row>
    <row r="107" spans="1:112" s="241" customFormat="1" ht="12.75" x14ac:dyDescent="0.2">
      <c r="B107" s="34"/>
      <c r="C107" s="31" t="str">
        <f ca="1">IF(OFFSET(R107,0,Lang_Order*Lang__B1)="","",OFFSET(R107,0,Lang_Order*Lang__B1))</f>
        <v>… HR Residential Institutions</v>
      </c>
      <c r="D107" s="159" t="e">
        <f t="shared" ref="D107:I107" si="88">D101-IF(D104=1,$K101,0)</f>
        <v>#N/A</v>
      </c>
      <c r="E107" s="159" t="e">
        <f t="shared" si="88"/>
        <v>#N/A</v>
      </c>
      <c r="F107" s="159" t="e">
        <f t="shared" si="88"/>
        <v>#N/A</v>
      </c>
      <c r="G107" s="159" t="e">
        <f t="shared" si="88"/>
        <v>#N/A</v>
      </c>
      <c r="H107" s="159" t="e">
        <f t="shared" si="88"/>
        <v>#N/A</v>
      </c>
      <c r="I107" s="159" t="e">
        <f t="shared" si="88"/>
        <v>#N/A</v>
      </c>
      <c r="J107" s="233" t="e">
        <f>IF(MIN(D107:I107)&lt;0,Lang_CHECK,"OK")</f>
        <v>#N/A</v>
      </c>
      <c r="K107" s="56"/>
      <c r="L107" s="12" t="str">
        <f t="shared" ca="1" si="81"/>
        <v>Ensure no negative numbers here - please adjust the timing in B1.2 for residential institutions for low risk age groups - do not spread out the delivery thinly</v>
      </c>
      <c r="M107" s="12"/>
      <c r="N107" s="233" t="e">
        <f>IF(MIN(D107:I107)&lt;0,Lang_CHECK,"OK")</f>
        <v>#N/A</v>
      </c>
      <c r="O107" s="564"/>
      <c r="P107" s="564"/>
      <c r="Q107" s="564"/>
      <c r="R107" s="564" t="s">
        <v>3019</v>
      </c>
      <c r="S107" s="564"/>
      <c r="T107" s="564"/>
      <c r="U107" s="564"/>
      <c r="V107" s="564"/>
      <c r="W107" s="564"/>
      <c r="X107" s="564"/>
      <c r="Y107" s="564"/>
      <c r="Z107" s="564"/>
      <c r="AA107" s="564" t="s">
        <v>3037</v>
      </c>
      <c r="AB107" s="564"/>
      <c r="AC107" s="564"/>
      <c r="AD107" s="564"/>
      <c r="AE107" s="564"/>
      <c r="AF107" s="564" t="s">
        <v>9701</v>
      </c>
      <c r="AG107" s="564"/>
      <c r="AH107" s="564"/>
      <c r="AI107" s="564"/>
      <c r="AJ107" s="564"/>
      <c r="AK107" s="564"/>
      <c r="AL107" s="564"/>
      <c r="AM107" s="564"/>
      <c r="AN107" s="564"/>
      <c r="AO107" s="564" t="s">
        <v>9702</v>
      </c>
      <c r="AP107" s="564"/>
      <c r="AQ107" s="564"/>
      <c r="AR107" s="564"/>
      <c r="AS107" s="564"/>
      <c r="AT107" s="564" t="s">
        <v>9703</v>
      </c>
      <c r="AU107" s="564"/>
      <c r="AV107" s="564"/>
      <c r="AW107" s="564"/>
      <c r="AX107" s="564"/>
      <c r="AY107" s="564"/>
      <c r="AZ107" s="564"/>
      <c r="BA107" s="564"/>
      <c r="BB107" s="564"/>
      <c r="BC107" s="564" t="s">
        <v>9704</v>
      </c>
      <c r="BD107" s="564"/>
      <c r="BE107" s="564"/>
      <c r="BF107" s="564"/>
      <c r="BG107" s="564"/>
      <c r="BH107" s="564" t="s">
        <v>9705</v>
      </c>
      <c r="BI107" s="564"/>
      <c r="BJ107" s="564"/>
      <c r="BK107" s="564"/>
      <c r="BL107" s="564"/>
      <c r="BM107" s="564"/>
      <c r="BN107" s="564"/>
      <c r="BO107" s="564"/>
      <c r="BP107" s="564"/>
      <c r="BQ107" s="564" t="s">
        <v>9706</v>
      </c>
      <c r="BR107" s="564"/>
      <c r="BS107" s="564"/>
      <c r="BT107" s="564"/>
      <c r="BU107" s="564"/>
      <c r="BV107" s="564" t="s">
        <v>9707</v>
      </c>
      <c r="BW107" s="564"/>
      <c r="BX107" s="564"/>
      <c r="BY107" s="564"/>
      <c r="BZ107" s="564"/>
      <c r="CA107" s="564"/>
      <c r="CB107" s="564"/>
      <c r="CC107" s="564"/>
      <c r="CD107" s="564"/>
      <c r="CE107" s="564" t="s">
        <v>9708</v>
      </c>
      <c r="CF107" s="564"/>
      <c r="CG107" s="564"/>
      <c r="CH107" s="564"/>
      <c r="CI107" s="564"/>
      <c r="CJ107" s="564" t="s">
        <v>9709</v>
      </c>
      <c r="CK107" s="564"/>
      <c r="CL107" s="564"/>
      <c r="CM107" s="564"/>
      <c r="CN107" s="564"/>
      <c r="CO107" s="564"/>
      <c r="CP107" s="564"/>
      <c r="CQ107" s="564"/>
      <c r="CR107" s="564"/>
      <c r="CS107" s="564" t="s">
        <v>9710</v>
      </c>
      <c r="CT107" s="564"/>
      <c r="CU107" s="564"/>
      <c r="CV107" s="564"/>
      <c r="CW107" s="564"/>
      <c r="CX107" s="564" t="s">
        <v>9711</v>
      </c>
      <c r="CY107" s="564"/>
      <c r="CZ107" s="564"/>
      <c r="DA107" s="564"/>
      <c r="DB107" s="564"/>
      <c r="DC107" s="564"/>
      <c r="DD107" s="564"/>
      <c r="DE107" s="564"/>
      <c r="DF107" s="564"/>
      <c r="DG107" s="564" t="s">
        <v>9712</v>
      </c>
      <c r="DH107" s="564"/>
    </row>
    <row r="108" spans="1:112" s="241" customFormat="1" ht="12.75" x14ac:dyDescent="0.2">
      <c r="B108" s="34"/>
      <c r="C108" s="31" t="str">
        <f ca="1">IF(OFFSET(R108,0,Lang_Order*Lang__B1)="","",OFFSET(R108,0,Lang_Order*Lang__B1))</f>
        <v>… LR Residential Institutions (interpreted % sequencing)</v>
      </c>
      <c r="D108" s="252" t="e">
        <f>IF(SUM($D106:$I106)=0,0,D106/SUM($D106:$I106))</f>
        <v>#N/A</v>
      </c>
      <c r="E108" s="252" t="e">
        <f t="shared" ref="E108:I108" si="89">IF(SUM($D106:$I106)=0,0,E106/SUM($D106:$I106))</f>
        <v>#N/A</v>
      </c>
      <c r="F108" s="252" t="e">
        <f t="shared" si="89"/>
        <v>#N/A</v>
      </c>
      <c r="G108" s="252" t="e">
        <f t="shared" si="89"/>
        <v>#N/A</v>
      </c>
      <c r="H108" s="252" t="e">
        <f t="shared" si="89"/>
        <v>#N/A</v>
      </c>
      <c r="I108" s="252" t="e">
        <f t="shared" si="89"/>
        <v>#N/A</v>
      </c>
      <c r="J108" s="254"/>
      <c r="K108" s="56"/>
      <c r="L108" s="567"/>
      <c r="M108" s="567"/>
      <c r="O108" s="564"/>
      <c r="P108" s="564"/>
      <c r="Q108" s="564"/>
      <c r="R108" s="564" t="s">
        <v>3032</v>
      </c>
      <c r="S108" s="564"/>
      <c r="T108" s="564"/>
      <c r="U108" s="564"/>
      <c r="V108" s="564"/>
      <c r="W108" s="564"/>
      <c r="X108" s="564"/>
      <c r="Y108" s="564"/>
      <c r="Z108" s="564"/>
      <c r="AA108" s="564"/>
      <c r="AB108" s="564"/>
      <c r="AC108" s="564"/>
      <c r="AD108" s="564"/>
      <c r="AE108" s="564"/>
      <c r="AF108" s="564" t="s">
        <v>9713</v>
      </c>
      <c r="AG108" s="564"/>
      <c r="AH108" s="564"/>
      <c r="AI108" s="564"/>
      <c r="AJ108" s="564"/>
      <c r="AK108" s="564"/>
      <c r="AL108" s="564"/>
      <c r="AM108" s="564"/>
      <c r="AN108" s="564"/>
      <c r="AO108" s="564"/>
      <c r="AP108" s="564"/>
      <c r="AQ108" s="564"/>
      <c r="AR108" s="564"/>
      <c r="AS108" s="564"/>
      <c r="AT108" s="564" t="s">
        <v>9714</v>
      </c>
      <c r="AU108" s="564"/>
      <c r="AV108" s="564"/>
      <c r="AW108" s="564"/>
      <c r="AX108" s="564"/>
      <c r="AY108" s="564"/>
      <c r="AZ108" s="564"/>
      <c r="BA108" s="564"/>
      <c r="BB108" s="564"/>
      <c r="BC108" s="564"/>
      <c r="BD108" s="564"/>
      <c r="BE108" s="564"/>
      <c r="BF108" s="564"/>
      <c r="BG108" s="564"/>
      <c r="BH108" s="564" t="s">
        <v>9715</v>
      </c>
      <c r="BI108" s="564"/>
      <c r="BJ108" s="564"/>
      <c r="BK108" s="564"/>
      <c r="BL108" s="564"/>
      <c r="BM108" s="564"/>
      <c r="BN108" s="564"/>
      <c r="BO108" s="564"/>
      <c r="BP108" s="564"/>
      <c r="BQ108" s="564"/>
      <c r="BR108" s="564"/>
      <c r="BS108" s="564"/>
      <c r="BT108" s="564"/>
      <c r="BU108" s="564"/>
      <c r="BV108" s="564" t="s">
        <v>9716</v>
      </c>
      <c r="BW108" s="564"/>
      <c r="BX108" s="564"/>
      <c r="BY108" s="564"/>
      <c r="BZ108" s="564"/>
      <c r="CA108" s="564"/>
      <c r="CB108" s="564"/>
      <c r="CC108" s="564"/>
      <c r="CD108" s="564"/>
      <c r="CE108" s="564"/>
      <c r="CF108" s="564"/>
      <c r="CG108" s="564"/>
      <c r="CH108" s="564"/>
      <c r="CI108" s="564"/>
      <c r="CJ108" s="564" t="s">
        <v>9717</v>
      </c>
      <c r="CK108" s="564"/>
      <c r="CL108" s="564"/>
      <c r="CM108" s="564"/>
      <c r="CN108" s="564"/>
      <c r="CO108" s="564"/>
      <c r="CP108" s="564"/>
      <c r="CQ108" s="564"/>
      <c r="CR108" s="564"/>
      <c r="CS108" s="564"/>
      <c r="CT108" s="564"/>
      <c r="CU108" s="564"/>
      <c r="CV108" s="564"/>
      <c r="CW108" s="564"/>
      <c r="CX108" s="564" t="s">
        <v>9718</v>
      </c>
      <c r="CY108" s="564"/>
      <c r="CZ108" s="564"/>
      <c r="DA108" s="564"/>
      <c r="DB108" s="564"/>
      <c r="DC108" s="564"/>
      <c r="DD108" s="564"/>
      <c r="DE108" s="564"/>
      <c r="DF108" s="564"/>
      <c r="DG108" s="564"/>
      <c r="DH108" s="564"/>
    </row>
    <row r="109" spans="1:112" s="241" customFormat="1" ht="12.75" x14ac:dyDescent="0.2">
      <c r="B109" s="34"/>
      <c r="C109" s="31" t="str">
        <f ca="1">IF(OFFSET(R109,0,Lang_Order*Lang__B1)="","",OFFSET(R109,0,Lang_Order*Lang__B1))</f>
        <v>… HR Residential Institutions (interpreted % sequencing)</v>
      </c>
      <c r="D109" s="252" t="e">
        <f>IF(SUM($D107:$I107)=0,0,D107/SUM($D107:$I107))</f>
        <v>#N/A</v>
      </c>
      <c r="E109" s="252" t="e">
        <f t="shared" ref="E109:I109" si="90">IF(SUM($D107:$I107)=0,0,E107/SUM($D107:$I107))</f>
        <v>#N/A</v>
      </c>
      <c r="F109" s="252" t="e">
        <f t="shared" si="90"/>
        <v>#N/A</v>
      </c>
      <c r="G109" s="252" t="e">
        <f t="shared" si="90"/>
        <v>#N/A</v>
      </c>
      <c r="H109" s="252" t="e">
        <f t="shared" si="90"/>
        <v>#N/A</v>
      </c>
      <c r="I109" s="252" t="e">
        <f t="shared" si="90"/>
        <v>#N/A</v>
      </c>
      <c r="J109" s="254"/>
      <c r="K109" s="56"/>
      <c r="L109" s="567"/>
      <c r="M109" s="567"/>
      <c r="O109" s="564"/>
      <c r="P109" s="564"/>
      <c r="Q109" s="564"/>
      <c r="R109" s="564" t="s">
        <v>3033</v>
      </c>
      <c r="S109" s="564"/>
      <c r="T109" s="564"/>
      <c r="U109" s="564"/>
      <c r="V109" s="564"/>
      <c r="W109" s="564"/>
      <c r="X109" s="564"/>
      <c r="Y109" s="564"/>
      <c r="Z109" s="564"/>
      <c r="AA109" s="564"/>
      <c r="AB109" s="564"/>
      <c r="AC109" s="564"/>
      <c r="AD109" s="564"/>
      <c r="AE109" s="564"/>
      <c r="AF109" s="564" t="s">
        <v>9719</v>
      </c>
      <c r="AG109" s="564"/>
      <c r="AH109" s="564"/>
      <c r="AI109" s="564"/>
      <c r="AJ109" s="564"/>
      <c r="AK109" s="564"/>
      <c r="AL109" s="564"/>
      <c r="AM109" s="564"/>
      <c r="AN109" s="564"/>
      <c r="AO109" s="564"/>
      <c r="AP109" s="564"/>
      <c r="AQ109" s="564"/>
      <c r="AR109" s="564"/>
      <c r="AS109" s="564"/>
      <c r="AT109" s="564" t="s">
        <v>9720</v>
      </c>
      <c r="AU109" s="564"/>
      <c r="AV109" s="564"/>
      <c r="AW109" s="564"/>
      <c r="AX109" s="564"/>
      <c r="AY109" s="564"/>
      <c r="AZ109" s="564"/>
      <c r="BA109" s="564"/>
      <c r="BB109" s="564"/>
      <c r="BC109" s="564"/>
      <c r="BD109" s="564"/>
      <c r="BE109" s="564"/>
      <c r="BF109" s="564"/>
      <c r="BG109" s="564"/>
      <c r="BH109" s="564" t="s">
        <v>9721</v>
      </c>
      <c r="BI109" s="564"/>
      <c r="BJ109" s="564"/>
      <c r="BK109" s="564"/>
      <c r="BL109" s="564"/>
      <c r="BM109" s="564"/>
      <c r="BN109" s="564"/>
      <c r="BO109" s="564"/>
      <c r="BP109" s="564"/>
      <c r="BQ109" s="564"/>
      <c r="BR109" s="564"/>
      <c r="BS109" s="564"/>
      <c r="BT109" s="564"/>
      <c r="BU109" s="564"/>
      <c r="BV109" s="564" t="s">
        <v>9722</v>
      </c>
      <c r="BW109" s="564"/>
      <c r="BX109" s="564"/>
      <c r="BY109" s="564"/>
      <c r="BZ109" s="564"/>
      <c r="CA109" s="564"/>
      <c r="CB109" s="564"/>
      <c r="CC109" s="564"/>
      <c r="CD109" s="564"/>
      <c r="CE109" s="564"/>
      <c r="CF109" s="564"/>
      <c r="CG109" s="564"/>
      <c r="CH109" s="564"/>
      <c r="CI109" s="564"/>
      <c r="CJ109" s="564" t="s">
        <v>9723</v>
      </c>
      <c r="CK109" s="564"/>
      <c r="CL109" s="564"/>
      <c r="CM109" s="564"/>
      <c r="CN109" s="564"/>
      <c r="CO109" s="564"/>
      <c r="CP109" s="564"/>
      <c r="CQ109" s="564"/>
      <c r="CR109" s="564"/>
      <c r="CS109" s="564"/>
      <c r="CT109" s="564"/>
      <c r="CU109" s="564"/>
      <c r="CV109" s="564"/>
      <c r="CW109" s="564"/>
      <c r="CX109" s="564" t="s">
        <v>9724</v>
      </c>
      <c r="CY109" s="564"/>
      <c r="CZ109" s="564"/>
      <c r="DA109" s="564"/>
      <c r="DB109" s="564"/>
      <c r="DC109" s="564"/>
      <c r="DD109" s="564"/>
      <c r="DE109" s="564"/>
      <c r="DF109" s="564"/>
      <c r="DG109" s="564"/>
      <c r="DH109" s="564"/>
    </row>
    <row r="110" spans="1:112" s="241" customFormat="1" ht="12.75" x14ac:dyDescent="0.2">
      <c r="B110" s="34"/>
      <c r="C110" s="31" t="str">
        <f ca="1">IF(OFFSET(R110,0,Lang_Order*Lang__B1)="","",OFFSET(R110,0,Lang_Order*Lang__B1))</f>
        <v>Delivery Modality 4</v>
      </c>
      <c r="D110" s="241">
        <f t="shared" ref="D110:I110" si="91">ROUND(MAX(D66,D73,D74,D77,D81)*Critical_Sites,0)</f>
        <v>0</v>
      </c>
      <c r="E110" s="299">
        <f t="shared" si="91"/>
        <v>0</v>
      </c>
      <c r="F110" s="299">
        <f t="shared" si="91"/>
        <v>0</v>
      </c>
      <c r="G110" s="299">
        <f t="shared" si="91"/>
        <v>0</v>
      </c>
      <c r="H110" s="299">
        <f t="shared" si="91"/>
        <v>0</v>
      </c>
      <c r="I110" s="299">
        <f t="shared" si="91"/>
        <v>0</v>
      </c>
      <c r="J110" s="16">
        <f t="shared" si="80"/>
        <v>0</v>
      </c>
      <c r="K110" s="56" t="str">
        <f ca="1">CONCATENATE(K111," = ",J110-Critical_Sites)</f>
        <v>Repeated visits = 0</v>
      </c>
      <c r="L110" s="12" t="str">
        <f t="shared" ca="1" si="81"/>
        <v>Distribute visits according to population coverage - noting that if cover HR and LR at the same time, don't need to visit again (except for dose 2, if applicable)</v>
      </c>
      <c r="M110" s="12"/>
      <c r="O110" s="564"/>
      <c r="P110" s="564"/>
      <c r="Q110" s="564"/>
      <c r="R110" s="564" t="s">
        <v>1565</v>
      </c>
      <c r="S110" s="564"/>
      <c r="T110" s="564"/>
      <c r="U110" s="564"/>
      <c r="V110" s="564"/>
      <c r="W110" s="564"/>
      <c r="X110" s="564"/>
      <c r="Y110" s="564"/>
      <c r="Z110" s="564"/>
      <c r="AA110" s="564" t="s">
        <v>3018</v>
      </c>
      <c r="AB110" s="564"/>
      <c r="AC110" s="564"/>
      <c r="AD110" s="564"/>
      <c r="AE110" s="564"/>
      <c r="AF110" s="564" t="s">
        <v>7424</v>
      </c>
      <c r="AG110" s="564"/>
      <c r="AH110" s="564"/>
      <c r="AI110" s="564"/>
      <c r="AJ110" s="564"/>
      <c r="AK110" s="564"/>
      <c r="AL110" s="564"/>
      <c r="AM110" s="564"/>
      <c r="AN110" s="564"/>
      <c r="AO110" s="564" t="s">
        <v>9725</v>
      </c>
      <c r="AP110" s="564"/>
      <c r="AQ110" s="564"/>
      <c r="AR110" s="564"/>
      <c r="AS110" s="564"/>
      <c r="AT110" s="564" t="s">
        <v>9726</v>
      </c>
      <c r="AU110" s="564"/>
      <c r="AV110" s="564"/>
      <c r="AW110" s="564"/>
      <c r="AX110" s="564"/>
      <c r="AY110" s="564"/>
      <c r="AZ110" s="564"/>
      <c r="BA110" s="564"/>
      <c r="BB110" s="564"/>
      <c r="BC110" s="564" t="s">
        <v>9727</v>
      </c>
      <c r="BD110" s="564"/>
      <c r="BE110" s="564"/>
      <c r="BF110" s="564"/>
      <c r="BG110" s="564"/>
      <c r="BH110" s="564" t="s">
        <v>7426</v>
      </c>
      <c r="BI110" s="564"/>
      <c r="BJ110" s="564"/>
      <c r="BK110" s="564"/>
      <c r="BL110" s="564"/>
      <c r="BM110" s="564"/>
      <c r="BN110" s="564"/>
      <c r="BO110" s="564"/>
      <c r="BP110" s="564"/>
      <c r="BQ110" s="564" t="s">
        <v>9728</v>
      </c>
      <c r="BR110" s="564"/>
      <c r="BS110" s="564"/>
      <c r="BT110" s="564"/>
      <c r="BU110" s="564"/>
      <c r="BV110" s="564" t="s">
        <v>7491</v>
      </c>
      <c r="BW110" s="564"/>
      <c r="BX110" s="564"/>
      <c r="BY110" s="564"/>
      <c r="BZ110" s="564"/>
      <c r="CA110" s="564"/>
      <c r="CB110" s="564"/>
      <c r="CC110" s="564"/>
      <c r="CD110" s="564"/>
      <c r="CE110" s="564" t="s">
        <v>9729</v>
      </c>
      <c r="CF110" s="564"/>
      <c r="CG110" s="564"/>
      <c r="CH110" s="564"/>
      <c r="CI110" s="564"/>
      <c r="CJ110" s="564" t="s">
        <v>7428</v>
      </c>
      <c r="CK110" s="564"/>
      <c r="CL110" s="564"/>
      <c r="CM110" s="564"/>
      <c r="CN110" s="564"/>
      <c r="CO110" s="564"/>
      <c r="CP110" s="564"/>
      <c r="CQ110" s="564"/>
      <c r="CR110" s="564"/>
      <c r="CS110" s="564" t="s">
        <v>9730</v>
      </c>
      <c r="CT110" s="564"/>
      <c r="CU110" s="564"/>
      <c r="CV110" s="564"/>
      <c r="CW110" s="564"/>
      <c r="CX110" s="564" t="s">
        <v>9731</v>
      </c>
      <c r="CY110" s="564"/>
      <c r="CZ110" s="564"/>
      <c r="DA110" s="564"/>
      <c r="DB110" s="564"/>
      <c r="DC110" s="564"/>
      <c r="DD110" s="564"/>
      <c r="DE110" s="564"/>
      <c r="DF110" s="564"/>
      <c r="DG110" s="564" t="s">
        <v>9732</v>
      </c>
      <c r="DH110" s="564"/>
    </row>
    <row r="111" spans="1:112" s="241" customFormat="1" ht="12.75" x14ac:dyDescent="0.2">
      <c r="B111" s="34"/>
      <c r="C111" s="5"/>
      <c r="J111" s="46"/>
      <c r="K111" s="575" t="str">
        <f t="shared" ca="1" si="81"/>
        <v>Repeated visits</v>
      </c>
      <c r="L111" s="44"/>
      <c r="M111" s="44"/>
      <c r="O111" s="564"/>
      <c r="P111" s="564"/>
      <c r="Q111" s="564"/>
      <c r="R111" s="564"/>
      <c r="S111" s="564"/>
      <c r="T111" s="564"/>
      <c r="U111" s="564"/>
      <c r="V111" s="564"/>
      <c r="W111" s="564"/>
      <c r="X111" s="564"/>
      <c r="Y111" s="564"/>
      <c r="Z111" s="564" t="s">
        <v>13605</v>
      </c>
      <c r="AA111" s="564"/>
      <c r="AB111" s="564"/>
      <c r="AC111" s="564"/>
      <c r="AD111" s="564"/>
      <c r="AE111" s="564"/>
      <c r="AF111" s="564"/>
      <c r="AG111" s="564"/>
      <c r="AH111" s="564"/>
      <c r="AI111" s="564"/>
      <c r="AJ111" s="564"/>
      <c r="AK111" s="564"/>
      <c r="AL111" s="564"/>
      <c r="AM111" s="564"/>
      <c r="AN111" s="564" t="s">
        <v>13606</v>
      </c>
      <c r="AO111" s="564"/>
      <c r="AP111" s="564"/>
      <c r="AQ111" s="564"/>
      <c r="AR111" s="564"/>
      <c r="AS111" s="564"/>
      <c r="AT111" s="564"/>
      <c r="AU111" s="564"/>
      <c r="AV111" s="564"/>
      <c r="AW111" s="564"/>
      <c r="AX111" s="564"/>
      <c r="AY111" s="564"/>
      <c r="AZ111" s="564"/>
      <c r="BA111" s="564"/>
      <c r="BB111" s="564" t="s">
        <v>13607</v>
      </c>
      <c r="BC111" s="564"/>
      <c r="BD111" s="564"/>
      <c r="BE111" s="564"/>
      <c r="BF111" s="564"/>
      <c r="BG111" s="564"/>
      <c r="BH111" s="564"/>
      <c r="BI111" s="564"/>
      <c r="BJ111" s="564"/>
      <c r="BK111" s="564"/>
      <c r="BL111" s="564"/>
      <c r="BM111" s="564"/>
      <c r="BN111" s="564"/>
      <c r="BO111" s="564"/>
      <c r="BP111" s="564" t="s">
        <v>13608</v>
      </c>
      <c r="BQ111" s="564"/>
      <c r="BR111" s="564"/>
      <c r="BS111" s="564"/>
      <c r="BT111" s="564"/>
      <c r="BU111" s="564"/>
      <c r="BV111" s="564"/>
      <c r="BW111" s="564"/>
      <c r="BX111" s="564"/>
      <c r="BY111" s="564"/>
      <c r="BZ111" s="564"/>
      <c r="CA111" s="564"/>
      <c r="CB111" s="564"/>
      <c r="CC111" s="564"/>
      <c r="CD111" s="564" t="s">
        <v>13609</v>
      </c>
      <c r="CE111" s="564"/>
      <c r="CF111" s="564"/>
      <c r="CG111" s="564"/>
      <c r="CH111" s="564"/>
      <c r="CI111" s="564"/>
      <c r="CJ111" s="564"/>
      <c r="CK111" s="564"/>
      <c r="CL111" s="564"/>
      <c r="CM111" s="564"/>
      <c r="CN111" s="564"/>
      <c r="CO111" s="564"/>
      <c r="CP111" s="564"/>
      <c r="CQ111" s="564"/>
      <c r="CR111" s="564" t="s">
        <v>13610</v>
      </c>
      <c r="CS111" s="564"/>
      <c r="CT111" s="564"/>
      <c r="CU111" s="564"/>
      <c r="CV111" s="564"/>
      <c r="CW111" s="564"/>
      <c r="CX111" s="564"/>
      <c r="CY111" s="564"/>
      <c r="CZ111" s="564"/>
      <c r="DA111" s="564"/>
      <c r="DB111" s="564"/>
      <c r="DC111" s="564"/>
      <c r="DD111" s="564"/>
      <c r="DE111" s="564"/>
      <c r="DF111" s="564" t="s">
        <v>13611</v>
      </c>
      <c r="DG111" s="564"/>
      <c r="DH111" s="564"/>
    </row>
    <row r="112" spans="1:112" x14ac:dyDescent="0.25">
      <c r="A112" s="8" t="str">
        <f ca="1">IF(OFFSET(P112,0,Lang_Order*Lang__B1)="","",OFFSET(P112,0,Lang_Order*Lang__B1))</f>
        <v>B1.3 Distribution Matrix: How many to vaccinate, how, and when?</v>
      </c>
      <c r="B112" s="19"/>
      <c r="C112" s="19"/>
      <c r="D112" s="701" t="str">
        <f t="shared" ref="D112:I113" ca="1" si="92">IF(OFFSET(S112,0,Lang_Order*Lang__B1)="","",OFFSET(S112,0,Lang_Order*Lang__B1))</f>
        <v>HALF-YEARLY TIME PERIOD</v>
      </c>
      <c r="E112" s="701" t="str">
        <f t="shared" ca="1" si="92"/>
        <v/>
      </c>
      <c r="F112" s="701" t="str">
        <f t="shared" ca="1" si="92"/>
        <v/>
      </c>
      <c r="G112" s="701" t="str">
        <f t="shared" ca="1" si="92"/>
        <v/>
      </c>
      <c r="H112" s="701" t="str">
        <f t="shared" ca="1" si="92"/>
        <v/>
      </c>
      <c r="I112" s="701" t="str">
        <f t="shared" ca="1" si="92"/>
        <v/>
      </c>
      <c r="J112" s="45"/>
      <c r="K112" s="45"/>
      <c r="L112" s="8"/>
      <c r="M112" s="8"/>
      <c r="P112" s="564" t="s">
        <v>4170</v>
      </c>
      <c r="S112" s="564" t="s">
        <v>1604</v>
      </c>
      <c r="AD112" s="564" t="s">
        <v>9733</v>
      </c>
      <c r="AG112" s="564" t="s">
        <v>9538</v>
      </c>
      <c r="AR112" s="564" t="s">
        <v>9734</v>
      </c>
      <c r="AU112" s="564" t="s">
        <v>9540</v>
      </c>
      <c r="BF112" s="564" t="s">
        <v>9735</v>
      </c>
      <c r="BI112" s="564" t="s">
        <v>9542</v>
      </c>
      <c r="BT112" s="564" t="s">
        <v>9736</v>
      </c>
      <c r="BW112" s="564" t="s">
        <v>9544</v>
      </c>
      <c r="CH112" s="564" t="s">
        <v>9737</v>
      </c>
      <c r="CK112" s="564" t="s">
        <v>9738</v>
      </c>
      <c r="CV112" s="564" t="s">
        <v>9739</v>
      </c>
      <c r="CY112" s="564" t="s">
        <v>9548</v>
      </c>
    </row>
    <row r="113" spans="1:112" x14ac:dyDescent="0.25">
      <c r="A113" s="114"/>
      <c r="B113" s="34"/>
      <c r="C113" s="52"/>
      <c r="D113" s="41" t="str">
        <f t="shared" ca="1" si="92"/>
        <v>H1 2021</v>
      </c>
      <c r="E113" s="41" t="str">
        <f t="shared" ca="1" si="92"/>
        <v>H2 2021</v>
      </c>
      <c r="F113" s="41" t="str">
        <f t="shared" ca="1" si="92"/>
        <v>H1 2022</v>
      </c>
      <c r="G113" s="41" t="str">
        <f t="shared" ca="1" si="92"/>
        <v>H2 2022</v>
      </c>
      <c r="H113" s="41" t="str">
        <f t="shared" ca="1" si="92"/>
        <v>H1 2023</v>
      </c>
      <c r="I113" s="41" t="str">
        <f t="shared" ca="1" si="92"/>
        <v>H2 2023</v>
      </c>
      <c r="J113" s="50" t="str">
        <f ca="1">IF(OFFSET(Y113,0,Lang_Order*Lang__B1)="","",OFFSET(Y113,0,Lang_Order*Lang__B1))</f>
        <v>Total</v>
      </c>
      <c r="K113" s="71"/>
      <c r="L113" s="12" t="str">
        <f t="shared" ca="1" si="81"/>
        <v>Delivery Modality</v>
      </c>
      <c r="S113" s="564" t="s">
        <v>1597</v>
      </c>
      <c r="T113" s="564" t="s">
        <v>1598</v>
      </c>
      <c r="U113" s="564" t="s">
        <v>1599</v>
      </c>
      <c r="V113" s="564" t="s">
        <v>1600</v>
      </c>
      <c r="W113" s="564" t="s">
        <v>1602</v>
      </c>
      <c r="X113" s="564" t="s">
        <v>1601</v>
      </c>
      <c r="Y113" s="564" t="s">
        <v>1605</v>
      </c>
      <c r="AA113" s="564" t="s">
        <v>4174</v>
      </c>
      <c r="AG113" s="564" t="s">
        <v>4663</v>
      </c>
      <c r="AH113" s="564" t="s">
        <v>4664</v>
      </c>
      <c r="AI113" s="564" t="s">
        <v>4665</v>
      </c>
      <c r="AJ113" s="564" t="s">
        <v>4666</v>
      </c>
      <c r="AK113" s="564" t="s">
        <v>4667</v>
      </c>
      <c r="AL113" s="564" t="s">
        <v>4668</v>
      </c>
      <c r="AM113" s="564" t="s">
        <v>1605</v>
      </c>
      <c r="AO113" s="564" t="s">
        <v>9292</v>
      </c>
      <c r="AU113" s="564" t="s">
        <v>9740</v>
      </c>
      <c r="AV113" s="564" t="s">
        <v>4671</v>
      </c>
      <c r="AW113" s="564" t="s">
        <v>4672</v>
      </c>
      <c r="AX113" s="564" t="s">
        <v>4673</v>
      </c>
      <c r="AY113" s="564" t="s">
        <v>4674</v>
      </c>
      <c r="AZ113" s="564" t="s">
        <v>4675</v>
      </c>
      <c r="BA113" s="564" t="s">
        <v>4676</v>
      </c>
      <c r="BC113" s="564" t="s">
        <v>9555</v>
      </c>
      <c r="BI113" s="564" t="s">
        <v>1597</v>
      </c>
      <c r="BJ113" s="564" t="s">
        <v>1598</v>
      </c>
      <c r="BK113" s="564" t="s">
        <v>1599</v>
      </c>
      <c r="BL113" s="564" t="s">
        <v>1600</v>
      </c>
      <c r="BM113" s="564" t="s">
        <v>1602</v>
      </c>
      <c r="BN113" s="564" t="s">
        <v>1601</v>
      </c>
      <c r="BO113" s="564" t="s">
        <v>1605</v>
      </c>
      <c r="BQ113" s="564" t="s">
        <v>9294</v>
      </c>
      <c r="BW113" s="564" t="s">
        <v>4663</v>
      </c>
      <c r="BX113" s="564" t="s">
        <v>4664</v>
      </c>
      <c r="BY113" s="564" t="s">
        <v>4665</v>
      </c>
      <c r="BZ113" s="564" t="s">
        <v>4666</v>
      </c>
      <c r="CA113" s="564" t="s">
        <v>4667</v>
      </c>
      <c r="CB113" s="564" t="s">
        <v>4668</v>
      </c>
      <c r="CC113" s="564" t="s">
        <v>1605</v>
      </c>
      <c r="CE113" s="564" t="s">
        <v>9295</v>
      </c>
      <c r="CK113" s="564" t="s">
        <v>1597</v>
      </c>
      <c r="CL113" s="564" t="s">
        <v>1598</v>
      </c>
      <c r="CM113" s="564" t="s">
        <v>1599</v>
      </c>
      <c r="CN113" s="564" t="s">
        <v>1600</v>
      </c>
      <c r="CO113" s="564" t="s">
        <v>1602</v>
      </c>
      <c r="CP113" s="564" t="s">
        <v>1601</v>
      </c>
      <c r="CQ113" s="564" t="s">
        <v>4686</v>
      </c>
      <c r="CS113" s="564" t="s">
        <v>9296</v>
      </c>
      <c r="CY113" s="564" t="s">
        <v>4688</v>
      </c>
      <c r="CZ113" s="564" t="s">
        <v>4689</v>
      </c>
      <c r="DA113" s="564" t="s">
        <v>4690</v>
      </c>
      <c r="DB113" s="564" t="s">
        <v>4691</v>
      </c>
      <c r="DC113" s="564" t="s">
        <v>4692</v>
      </c>
      <c r="DD113" s="564" t="s">
        <v>4693</v>
      </c>
      <c r="DE113" s="564" t="s">
        <v>4694</v>
      </c>
      <c r="DG113" s="564" t="s">
        <v>9297</v>
      </c>
    </row>
    <row r="114" spans="1:112" x14ac:dyDescent="0.2">
      <c r="A114" s="85"/>
      <c r="C114" s="23"/>
      <c r="D114" s="245" t="str">
        <f ca="1">IF(OFFSET(S114,0,Lang_Order*Lang__B1)="","",OFFSET(S114,0,Lang_Order*Lang__B1))</f>
        <v>Stage 1</v>
      </c>
      <c r="E114" s="245" t="str">
        <f ca="1">IF(OFFSET(T114,0,Lang_Order*Lang__B1)="","",OFFSET(T114,0,Lang_Order*Lang__B1))</f>
        <v>Stage 2</v>
      </c>
      <c r="F114" s="16"/>
      <c r="G114" s="16"/>
      <c r="H114" s="16"/>
      <c r="I114" s="16"/>
      <c r="J114" s="15"/>
      <c r="K114" s="15"/>
      <c r="L114" s="567"/>
      <c r="M114" s="567"/>
      <c r="S114" s="564" t="s">
        <v>2978</v>
      </c>
      <c r="T114" s="564" t="s">
        <v>2979</v>
      </c>
      <c r="AG114" s="564" t="s">
        <v>9559</v>
      </c>
      <c r="AH114" s="564" t="s">
        <v>9560</v>
      </c>
      <c r="AU114" s="564" t="s">
        <v>9561</v>
      </c>
      <c r="AV114" s="564" t="s">
        <v>9562</v>
      </c>
      <c r="BI114" s="564" t="s">
        <v>9563</v>
      </c>
      <c r="BJ114" s="564" t="s">
        <v>9564</v>
      </c>
      <c r="BW114" s="564" t="s">
        <v>9565</v>
      </c>
      <c r="BX114" s="564" t="s">
        <v>9566</v>
      </c>
      <c r="CK114" s="564" t="s">
        <v>9568</v>
      </c>
      <c r="CL114" s="564" t="s">
        <v>9569</v>
      </c>
      <c r="CY114" s="564" t="s">
        <v>9570</v>
      </c>
      <c r="CZ114" s="564" t="s">
        <v>9571</v>
      </c>
    </row>
    <row r="115" spans="1:112" s="299" customFormat="1" ht="12.75" x14ac:dyDescent="0.2">
      <c r="A115" s="85"/>
      <c r="B115" s="346" t="str">
        <f ca="1">IF(OFFSET(Q115,0,Lang_Order*Lang__B1)="","",OFFSET(Q115,0,Lang_Order*Lang__B1))</f>
        <v>SAGE Target Populations</v>
      </c>
      <c r="C115" s="344"/>
      <c r="D115" s="344"/>
      <c r="E115" s="344"/>
      <c r="F115" s="344"/>
      <c r="G115" s="344"/>
      <c r="H115" s="344"/>
      <c r="I115" s="344"/>
      <c r="J115" s="344"/>
      <c r="L115" s="567"/>
      <c r="M115" s="567"/>
      <c r="O115" s="564"/>
      <c r="P115" s="564"/>
      <c r="Q115" s="564" t="s">
        <v>3771</v>
      </c>
      <c r="R115" s="564"/>
      <c r="S115" s="564"/>
      <c r="T115" s="564"/>
      <c r="U115" s="564"/>
      <c r="V115" s="564"/>
      <c r="W115" s="564"/>
      <c r="X115" s="564"/>
      <c r="Y115" s="564"/>
      <c r="Z115" s="564"/>
      <c r="AA115" s="564"/>
      <c r="AB115" s="564"/>
      <c r="AC115" s="564"/>
      <c r="AD115" s="564"/>
      <c r="AE115" s="564" t="s">
        <v>9369</v>
      </c>
      <c r="AF115" s="564"/>
      <c r="AG115" s="564"/>
      <c r="AH115" s="564"/>
      <c r="AI115" s="564"/>
      <c r="AJ115" s="564"/>
      <c r="AK115" s="564"/>
      <c r="AL115" s="564"/>
      <c r="AM115" s="564"/>
      <c r="AN115" s="564"/>
      <c r="AO115" s="564"/>
      <c r="AP115" s="564"/>
      <c r="AQ115" s="564"/>
      <c r="AR115" s="564"/>
      <c r="AS115" s="564" t="s">
        <v>9574</v>
      </c>
      <c r="AT115" s="564"/>
      <c r="AU115" s="564"/>
      <c r="AV115" s="564"/>
      <c r="AW115" s="564"/>
      <c r="AX115" s="564"/>
      <c r="AY115" s="564"/>
      <c r="AZ115" s="564"/>
      <c r="BA115" s="564"/>
      <c r="BB115" s="564"/>
      <c r="BC115" s="564"/>
      <c r="BD115" s="564"/>
      <c r="BE115" s="564"/>
      <c r="BF115" s="564"/>
      <c r="BG115" s="564" t="s">
        <v>9373</v>
      </c>
      <c r="BH115" s="564"/>
      <c r="BI115" s="564"/>
      <c r="BJ115" s="564"/>
      <c r="BK115" s="564"/>
      <c r="BL115" s="564"/>
      <c r="BM115" s="564"/>
      <c r="BN115" s="564"/>
      <c r="BO115" s="564"/>
      <c r="BP115" s="564"/>
      <c r="BQ115" s="564"/>
      <c r="BR115" s="564"/>
      <c r="BS115" s="564"/>
      <c r="BT115" s="564"/>
      <c r="BU115" s="564" t="s">
        <v>9375</v>
      </c>
      <c r="BV115" s="564"/>
      <c r="BW115" s="564"/>
      <c r="BX115" s="564"/>
      <c r="BY115" s="564"/>
      <c r="BZ115" s="564"/>
      <c r="CA115" s="564"/>
      <c r="CB115" s="564"/>
      <c r="CC115" s="564"/>
      <c r="CD115" s="564"/>
      <c r="CE115" s="564"/>
      <c r="CF115" s="564"/>
      <c r="CG115" s="564"/>
      <c r="CH115" s="564"/>
      <c r="CI115" s="564" t="s">
        <v>9581</v>
      </c>
      <c r="CJ115" s="564"/>
      <c r="CK115" s="564"/>
      <c r="CL115" s="564"/>
      <c r="CM115" s="564"/>
      <c r="CN115" s="564"/>
      <c r="CO115" s="564"/>
      <c r="CP115" s="564"/>
      <c r="CQ115" s="564"/>
      <c r="CR115" s="564"/>
      <c r="CS115" s="564"/>
      <c r="CT115" s="564"/>
      <c r="CU115" s="564"/>
      <c r="CV115" s="564"/>
      <c r="CW115" s="564" t="s">
        <v>9379</v>
      </c>
      <c r="CX115" s="564"/>
      <c r="CY115" s="564"/>
      <c r="CZ115" s="564"/>
      <c r="DA115" s="564"/>
      <c r="DB115" s="564"/>
      <c r="DC115" s="564"/>
      <c r="DD115" s="564"/>
      <c r="DE115" s="564"/>
      <c r="DF115" s="564"/>
      <c r="DG115" s="564"/>
      <c r="DH115" s="564"/>
    </row>
    <row r="116" spans="1:112" s="299" customFormat="1" ht="12.75" x14ac:dyDescent="0.2">
      <c r="A116" s="85"/>
      <c r="B116" s="34" t="s">
        <v>14430</v>
      </c>
      <c r="C116" s="23" t="str">
        <f t="shared" ref="C116:C125" ca="1" si="93">IF(OFFSET(R116,0,Lang_Order*Lang__B1)="","",OFFSET(R116,0,Lang_Order*Lang__B1))</f>
        <v>HEALTH WORKERS</v>
      </c>
      <c r="D116" s="16" t="e">
        <f t="shared" ref="D116:I118" si="94">ROUNDUP(D25*D58,0)</f>
        <v>#N/A</v>
      </c>
      <c r="E116" s="16" t="e">
        <f t="shared" si="94"/>
        <v>#N/A</v>
      </c>
      <c r="F116" s="16" t="e">
        <f t="shared" si="94"/>
        <v>#N/A</v>
      </c>
      <c r="G116" s="16" t="e">
        <f t="shared" si="94"/>
        <v>#N/A</v>
      </c>
      <c r="H116" s="16" t="e">
        <f t="shared" si="94"/>
        <v>#N/A</v>
      </c>
      <c r="I116" s="16" t="e">
        <f t="shared" si="94"/>
        <v>#N/A</v>
      </c>
      <c r="J116" s="16" t="e">
        <f t="shared" ref="J116:J117" si="95">SUM(D116:I116)</f>
        <v>#N/A</v>
      </c>
      <c r="K116" s="16"/>
      <c r="L116" s="12" t="str">
        <f t="shared" ref="L116:L142" ca="1" si="96">IF(OFFSET(AA116,0,Lang_Order*Lang__B1)="","",OFFSET(AA116,0,Lang_Order*Lang__B1))</f>
        <v>Work DM1</v>
      </c>
      <c r="M116" s="567"/>
      <c r="O116" s="564"/>
      <c r="P116" s="564"/>
      <c r="Q116" s="564" t="s">
        <v>14430</v>
      </c>
      <c r="R116" s="564" t="s">
        <v>3765</v>
      </c>
      <c r="S116" s="564"/>
      <c r="T116" s="564"/>
      <c r="U116" s="564"/>
      <c r="V116" s="564"/>
      <c r="W116" s="564"/>
      <c r="X116" s="564"/>
      <c r="Y116" s="564"/>
      <c r="Z116" s="564"/>
      <c r="AA116" s="564" t="s">
        <v>3798</v>
      </c>
      <c r="AB116" s="564"/>
      <c r="AC116" s="564"/>
      <c r="AD116" s="564"/>
      <c r="AE116" s="564" t="s">
        <v>14430</v>
      </c>
      <c r="AF116" s="564" t="s">
        <v>9381</v>
      </c>
      <c r="AG116" s="564"/>
      <c r="AH116" s="564"/>
      <c r="AI116" s="564"/>
      <c r="AJ116" s="564"/>
      <c r="AK116" s="564"/>
      <c r="AL116" s="564"/>
      <c r="AM116" s="564"/>
      <c r="AN116" s="564"/>
      <c r="AO116" s="564" t="s">
        <v>9382</v>
      </c>
      <c r="AP116" s="564"/>
      <c r="AQ116" s="564"/>
      <c r="AR116" s="564"/>
      <c r="AS116" s="564" t="s">
        <v>14430</v>
      </c>
      <c r="AT116" s="564" t="s">
        <v>9383</v>
      </c>
      <c r="AU116" s="564"/>
      <c r="AV116" s="564"/>
      <c r="AW116" s="564"/>
      <c r="AX116" s="564"/>
      <c r="AY116" s="564"/>
      <c r="AZ116" s="564"/>
      <c r="BA116" s="564"/>
      <c r="BB116" s="564"/>
      <c r="BC116" s="564" t="s">
        <v>9384</v>
      </c>
      <c r="BD116" s="564"/>
      <c r="BE116" s="564"/>
      <c r="BF116" s="564"/>
      <c r="BG116" s="564" t="s">
        <v>14430</v>
      </c>
      <c r="BH116" s="564" t="s">
        <v>9385</v>
      </c>
      <c r="BI116" s="564"/>
      <c r="BJ116" s="564"/>
      <c r="BK116" s="564"/>
      <c r="BL116" s="564"/>
      <c r="BM116" s="564"/>
      <c r="BN116" s="564"/>
      <c r="BO116" s="564"/>
      <c r="BP116" s="564"/>
      <c r="BQ116" s="564" t="s">
        <v>9386</v>
      </c>
      <c r="BR116" s="564"/>
      <c r="BS116" s="564"/>
      <c r="BT116" s="564"/>
      <c r="BU116" s="564" t="s">
        <v>14430</v>
      </c>
      <c r="BV116" s="564" t="s">
        <v>9387</v>
      </c>
      <c r="BW116" s="564"/>
      <c r="BX116" s="564"/>
      <c r="BY116" s="564"/>
      <c r="BZ116" s="564"/>
      <c r="CA116" s="564"/>
      <c r="CB116" s="564"/>
      <c r="CC116" s="564"/>
      <c r="CD116" s="564"/>
      <c r="CE116" s="564" t="s">
        <v>9388</v>
      </c>
      <c r="CF116" s="564"/>
      <c r="CG116" s="564"/>
      <c r="CH116" s="564"/>
      <c r="CI116" s="564" t="s">
        <v>14430</v>
      </c>
      <c r="CJ116" s="564" t="s">
        <v>9741</v>
      </c>
      <c r="CK116" s="564"/>
      <c r="CL116" s="564"/>
      <c r="CM116" s="564"/>
      <c r="CN116" s="564"/>
      <c r="CO116" s="564"/>
      <c r="CP116" s="564"/>
      <c r="CQ116" s="564"/>
      <c r="CR116" s="564"/>
      <c r="CS116" s="564" t="s">
        <v>9390</v>
      </c>
      <c r="CT116" s="564"/>
      <c r="CU116" s="564"/>
      <c r="CV116" s="564"/>
      <c r="CW116" s="564" t="s">
        <v>14430</v>
      </c>
      <c r="CX116" s="564" t="s">
        <v>9391</v>
      </c>
      <c r="CY116" s="564"/>
      <c r="CZ116" s="564"/>
      <c r="DA116" s="564"/>
      <c r="DB116" s="564"/>
      <c r="DC116" s="564"/>
      <c r="DD116" s="564"/>
      <c r="DE116" s="564"/>
      <c r="DF116" s="564"/>
      <c r="DG116" s="564" t="s">
        <v>9392</v>
      </c>
      <c r="DH116" s="564"/>
    </row>
    <row r="117" spans="1:112" s="299" customFormat="1" ht="12.75" x14ac:dyDescent="0.2">
      <c r="A117" s="85"/>
      <c r="B117" s="34" t="s">
        <v>14432</v>
      </c>
      <c r="C117" s="66" t="str">
        <f t="shared" ca="1" si="93"/>
        <v>ESSENTIAL WORKERS AND RELATED GROUPS</v>
      </c>
      <c r="D117" s="16" t="e">
        <f t="shared" si="94"/>
        <v>#N/A</v>
      </c>
      <c r="E117" s="16" t="e">
        <f t="shared" si="94"/>
        <v>#N/A</v>
      </c>
      <c r="F117" s="16" t="e">
        <f t="shared" si="94"/>
        <v>#N/A</v>
      </c>
      <c r="G117" s="16" t="e">
        <f t="shared" si="94"/>
        <v>#N/A</v>
      </c>
      <c r="H117" s="16" t="e">
        <f t="shared" si="94"/>
        <v>#N/A</v>
      </c>
      <c r="I117" s="16" t="e">
        <f t="shared" si="94"/>
        <v>#N/A</v>
      </c>
      <c r="J117" s="16" t="e">
        <f t="shared" si="95"/>
        <v>#N/A</v>
      </c>
      <c r="K117" s="16"/>
      <c r="L117" s="12" t="str">
        <f t="shared" ca="1" si="96"/>
        <v>Work DM1 / DM2</v>
      </c>
      <c r="M117" s="567"/>
      <c r="O117" s="564"/>
      <c r="P117" s="564"/>
      <c r="Q117" s="564" t="s">
        <v>14432</v>
      </c>
      <c r="R117" s="564" t="s">
        <v>3766</v>
      </c>
      <c r="S117" s="564"/>
      <c r="T117" s="564"/>
      <c r="U117" s="564"/>
      <c r="V117" s="564"/>
      <c r="W117" s="564"/>
      <c r="X117" s="564"/>
      <c r="Y117" s="564"/>
      <c r="Z117" s="564"/>
      <c r="AA117" s="564" t="s">
        <v>3013</v>
      </c>
      <c r="AB117" s="564"/>
      <c r="AC117" s="564"/>
      <c r="AD117" s="564"/>
      <c r="AE117" s="564" t="s">
        <v>14432</v>
      </c>
      <c r="AF117" s="564" t="s">
        <v>9393</v>
      </c>
      <c r="AG117" s="564"/>
      <c r="AH117" s="564"/>
      <c r="AI117" s="564"/>
      <c r="AJ117" s="564"/>
      <c r="AK117" s="564"/>
      <c r="AL117" s="564"/>
      <c r="AM117" s="564"/>
      <c r="AN117" s="564"/>
      <c r="AO117" s="564" t="s">
        <v>9394</v>
      </c>
      <c r="AP117" s="564"/>
      <c r="AQ117" s="564"/>
      <c r="AR117" s="564"/>
      <c r="AS117" s="564" t="s">
        <v>14432</v>
      </c>
      <c r="AT117" s="564" t="s">
        <v>9587</v>
      </c>
      <c r="AU117" s="564"/>
      <c r="AV117" s="564"/>
      <c r="AW117" s="564"/>
      <c r="AX117" s="564"/>
      <c r="AY117" s="564"/>
      <c r="AZ117" s="564"/>
      <c r="BA117" s="564"/>
      <c r="BB117" s="564"/>
      <c r="BC117" s="564" t="s">
        <v>9396</v>
      </c>
      <c r="BD117" s="564"/>
      <c r="BE117" s="564"/>
      <c r="BF117" s="564"/>
      <c r="BG117" s="564" t="s">
        <v>14432</v>
      </c>
      <c r="BH117" s="564" t="s">
        <v>9397</v>
      </c>
      <c r="BI117" s="564"/>
      <c r="BJ117" s="564"/>
      <c r="BK117" s="564"/>
      <c r="BL117" s="564"/>
      <c r="BM117" s="564"/>
      <c r="BN117" s="564"/>
      <c r="BO117" s="564"/>
      <c r="BP117" s="564"/>
      <c r="BQ117" s="564" t="s">
        <v>9742</v>
      </c>
      <c r="BR117" s="564"/>
      <c r="BS117" s="564"/>
      <c r="BT117" s="564"/>
      <c r="BU117" s="564" t="s">
        <v>14432</v>
      </c>
      <c r="BV117" s="564" t="s">
        <v>9399</v>
      </c>
      <c r="BW117" s="564"/>
      <c r="BX117" s="564"/>
      <c r="BY117" s="564"/>
      <c r="BZ117" s="564"/>
      <c r="CA117" s="564"/>
      <c r="CB117" s="564"/>
      <c r="CC117" s="564"/>
      <c r="CD117" s="564"/>
      <c r="CE117" s="564" t="s">
        <v>9400</v>
      </c>
      <c r="CF117" s="564"/>
      <c r="CG117" s="564"/>
      <c r="CH117" s="564"/>
      <c r="CI117" s="564" t="s">
        <v>14432</v>
      </c>
      <c r="CJ117" s="564" t="s">
        <v>9743</v>
      </c>
      <c r="CK117" s="564"/>
      <c r="CL117" s="564"/>
      <c r="CM117" s="564"/>
      <c r="CN117" s="564"/>
      <c r="CO117" s="564"/>
      <c r="CP117" s="564"/>
      <c r="CQ117" s="564"/>
      <c r="CR117" s="564"/>
      <c r="CS117" s="564" t="s">
        <v>9402</v>
      </c>
      <c r="CT117" s="564"/>
      <c r="CU117" s="564"/>
      <c r="CV117" s="564"/>
      <c r="CW117" s="564" t="s">
        <v>14432</v>
      </c>
      <c r="CX117" s="564" t="s">
        <v>9403</v>
      </c>
      <c r="CY117" s="564"/>
      <c r="CZ117" s="564"/>
      <c r="DA117" s="564"/>
      <c r="DB117" s="564"/>
      <c r="DC117" s="564"/>
      <c r="DD117" s="564"/>
      <c r="DE117" s="564"/>
      <c r="DF117" s="564"/>
      <c r="DG117" s="564" t="s">
        <v>9404</v>
      </c>
      <c r="DH117" s="564"/>
    </row>
    <row r="118" spans="1:112" s="463" customFormat="1" ht="12.75" x14ac:dyDescent="0.2">
      <c r="A118" s="85"/>
      <c r="B118" s="34"/>
      <c r="C118" s="66" t="str">
        <f t="shared" ref="C118" ca="1" si="97">IF(OFFSET(R118,0,Lang_Order*Lang__B1)="","",OFFSET(R118,0,Lang_Order*Lang__B1))</f>
        <v>AGE GROUPS AT HIGH RISK OF TRANSMITTING INFECTION</v>
      </c>
      <c r="D118" s="16" t="e">
        <f t="shared" si="94"/>
        <v>#N/A</v>
      </c>
      <c r="E118" s="16" t="e">
        <f t="shared" si="94"/>
        <v>#N/A</v>
      </c>
      <c r="F118" s="16" t="e">
        <f t="shared" si="94"/>
        <v>#N/A</v>
      </c>
      <c r="G118" s="16" t="e">
        <f t="shared" si="94"/>
        <v>#N/A</v>
      </c>
      <c r="H118" s="16" t="e">
        <f t="shared" si="94"/>
        <v>#N/A</v>
      </c>
      <c r="I118" s="16" t="e">
        <f t="shared" si="94"/>
        <v>#N/A</v>
      </c>
      <c r="J118" s="16" t="e">
        <f t="shared" ref="J118" si="98">SUM(D118:I118)</f>
        <v>#N/A</v>
      </c>
      <c r="K118" s="16"/>
      <c r="L118" s="12" t="str">
        <f t="shared" ca="1" si="96"/>
        <v>Voluntary DM1 / DM2</v>
      </c>
      <c r="M118" s="567"/>
      <c r="O118" s="564"/>
      <c r="P118" s="564"/>
      <c r="Q118" s="564" t="s">
        <v>14432</v>
      </c>
      <c r="R118" s="564" t="s">
        <v>4400</v>
      </c>
      <c r="S118" s="564"/>
      <c r="T118" s="564"/>
      <c r="U118" s="564"/>
      <c r="V118" s="564"/>
      <c r="W118" s="564"/>
      <c r="X118" s="564"/>
      <c r="Y118" s="564"/>
      <c r="Z118" s="564"/>
      <c r="AA118" s="564" t="s">
        <v>3014</v>
      </c>
      <c r="AB118" s="564"/>
      <c r="AC118" s="564"/>
      <c r="AD118" s="564"/>
      <c r="AE118" s="564" t="s">
        <v>14432</v>
      </c>
      <c r="AF118" s="564" t="s">
        <v>9405</v>
      </c>
      <c r="AG118" s="564"/>
      <c r="AH118" s="564"/>
      <c r="AI118" s="564"/>
      <c r="AJ118" s="564"/>
      <c r="AK118" s="564"/>
      <c r="AL118" s="564"/>
      <c r="AM118" s="564"/>
      <c r="AN118" s="564"/>
      <c r="AO118" s="564" t="s">
        <v>9406</v>
      </c>
      <c r="AP118" s="564"/>
      <c r="AQ118" s="564"/>
      <c r="AR118" s="564"/>
      <c r="AS118" s="564" t="s">
        <v>14432</v>
      </c>
      <c r="AT118" s="564" t="s">
        <v>9589</v>
      </c>
      <c r="AU118" s="564"/>
      <c r="AV118" s="564"/>
      <c r="AW118" s="564"/>
      <c r="AX118" s="564"/>
      <c r="AY118" s="564"/>
      <c r="AZ118" s="564"/>
      <c r="BA118" s="564"/>
      <c r="BB118" s="564"/>
      <c r="BC118" s="564" t="s">
        <v>9408</v>
      </c>
      <c r="BD118" s="564"/>
      <c r="BE118" s="564"/>
      <c r="BF118" s="564"/>
      <c r="BG118" s="564" t="s">
        <v>14432</v>
      </c>
      <c r="BH118" s="564" t="s">
        <v>9409</v>
      </c>
      <c r="BI118" s="564"/>
      <c r="BJ118" s="564"/>
      <c r="BK118" s="564"/>
      <c r="BL118" s="564"/>
      <c r="BM118" s="564"/>
      <c r="BN118" s="564"/>
      <c r="BO118" s="564"/>
      <c r="BP118" s="564"/>
      <c r="BQ118" s="564" t="s">
        <v>9410</v>
      </c>
      <c r="BR118" s="564"/>
      <c r="BS118" s="564"/>
      <c r="BT118" s="564"/>
      <c r="BU118" s="564" t="s">
        <v>14432</v>
      </c>
      <c r="BV118" s="564" t="s">
        <v>9411</v>
      </c>
      <c r="BW118" s="564"/>
      <c r="BX118" s="564"/>
      <c r="BY118" s="564"/>
      <c r="BZ118" s="564"/>
      <c r="CA118" s="564"/>
      <c r="CB118" s="564"/>
      <c r="CC118" s="564"/>
      <c r="CD118" s="564"/>
      <c r="CE118" s="564" t="s">
        <v>9412</v>
      </c>
      <c r="CF118" s="564"/>
      <c r="CG118" s="564"/>
      <c r="CH118" s="564"/>
      <c r="CI118" s="564" t="s">
        <v>14432</v>
      </c>
      <c r="CJ118" s="564" t="s">
        <v>9744</v>
      </c>
      <c r="CK118" s="564"/>
      <c r="CL118" s="564"/>
      <c r="CM118" s="564"/>
      <c r="CN118" s="564"/>
      <c r="CO118" s="564"/>
      <c r="CP118" s="564"/>
      <c r="CQ118" s="564"/>
      <c r="CR118" s="564"/>
      <c r="CS118" s="564" t="s">
        <v>9414</v>
      </c>
      <c r="CT118" s="564"/>
      <c r="CU118" s="564"/>
      <c r="CV118" s="564"/>
      <c r="CW118" s="564" t="s">
        <v>14432</v>
      </c>
      <c r="CX118" s="564" t="s">
        <v>6289</v>
      </c>
      <c r="CY118" s="564"/>
      <c r="CZ118" s="564"/>
      <c r="DA118" s="564"/>
      <c r="DB118" s="564"/>
      <c r="DC118" s="564"/>
      <c r="DD118" s="564"/>
      <c r="DE118" s="564"/>
      <c r="DF118" s="564"/>
      <c r="DG118" s="564" t="s">
        <v>9415</v>
      </c>
      <c r="DH118" s="564"/>
    </row>
    <row r="119" spans="1:112" s="299" customFormat="1" ht="12.75" x14ac:dyDescent="0.2">
      <c r="A119" s="85"/>
      <c r="B119" s="34" t="s">
        <v>14434</v>
      </c>
      <c r="C119" s="92" t="str">
        <f t="shared" ca="1" si="93"/>
        <v>OLDER ADULTS</v>
      </c>
      <c r="D119" s="341"/>
      <c r="E119" s="341"/>
      <c r="F119" s="16"/>
      <c r="G119" s="16"/>
      <c r="H119" s="16"/>
      <c r="I119" s="16"/>
      <c r="J119" s="16"/>
      <c r="L119" s="567"/>
      <c r="M119" s="567"/>
      <c r="O119" s="564"/>
      <c r="P119" s="564"/>
      <c r="Q119" s="564" t="s">
        <v>14434</v>
      </c>
      <c r="R119" s="564" t="s">
        <v>3772</v>
      </c>
      <c r="S119" s="564"/>
      <c r="T119" s="564"/>
      <c r="U119" s="564"/>
      <c r="V119" s="564"/>
      <c r="W119" s="564"/>
      <c r="X119" s="564"/>
      <c r="Y119" s="564"/>
      <c r="Z119" s="564"/>
      <c r="AA119" s="564"/>
      <c r="AB119" s="564"/>
      <c r="AC119" s="564"/>
      <c r="AD119" s="564"/>
      <c r="AE119" s="564" t="s">
        <v>14434</v>
      </c>
      <c r="AF119" s="564" t="s">
        <v>9416</v>
      </c>
      <c r="AG119" s="564"/>
      <c r="AH119" s="564"/>
      <c r="AI119" s="564"/>
      <c r="AJ119" s="564"/>
      <c r="AK119" s="564"/>
      <c r="AL119" s="564"/>
      <c r="AM119" s="564"/>
      <c r="AN119" s="564"/>
      <c r="AO119" s="564"/>
      <c r="AP119" s="564"/>
      <c r="AQ119" s="564"/>
      <c r="AR119" s="564"/>
      <c r="AS119" s="564" t="s">
        <v>14434</v>
      </c>
      <c r="AT119" s="564" t="s">
        <v>9417</v>
      </c>
      <c r="AU119" s="564"/>
      <c r="AV119" s="564"/>
      <c r="AW119" s="564"/>
      <c r="AX119" s="564"/>
      <c r="AY119" s="564"/>
      <c r="AZ119" s="564"/>
      <c r="BA119" s="564"/>
      <c r="BB119" s="564"/>
      <c r="BC119" s="564"/>
      <c r="BD119" s="564"/>
      <c r="BE119" s="564"/>
      <c r="BF119" s="564"/>
      <c r="BG119" s="564" t="s">
        <v>14434</v>
      </c>
      <c r="BH119" s="564" t="s">
        <v>9418</v>
      </c>
      <c r="BI119" s="564"/>
      <c r="BJ119" s="564"/>
      <c r="BK119" s="564"/>
      <c r="BL119" s="564"/>
      <c r="BM119" s="564"/>
      <c r="BN119" s="564"/>
      <c r="BO119" s="564"/>
      <c r="BP119" s="564"/>
      <c r="BQ119" s="564"/>
      <c r="BR119" s="564"/>
      <c r="BS119" s="564"/>
      <c r="BT119" s="564"/>
      <c r="BU119" s="564" t="s">
        <v>14434</v>
      </c>
      <c r="BV119" s="564" t="s">
        <v>9419</v>
      </c>
      <c r="BW119" s="564"/>
      <c r="BX119" s="564"/>
      <c r="BY119" s="564"/>
      <c r="BZ119" s="564"/>
      <c r="CA119" s="564"/>
      <c r="CB119" s="564"/>
      <c r="CC119" s="564"/>
      <c r="CD119" s="564"/>
      <c r="CE119" s="564"/>
      <c r="CF119" s="564"/>
      <c r="CG119" s="564"/>
      <c r="CH119" s="564"/>
      <c r="CI119" s="564" t="s">
        <v>14435</v>
      </c>
      <c r="CJ119" s="564" t="s">
        <v>9321</v>
      </c>
      <c r="CK119" s="564"/>
      <c r="CL119" s="564"/>
      <c r="CM119" s="564"/>
      <c r="CN119" s="564"/>
      <c r="CO119" s="564"/>
      <c r="CP119" s="564"/>
      <c r="CQ119" s="564"/>
      <c r="CR119" s="564"/>
      <c r="CS119" s="564"/>
      <c r="CT119" s="564"/>
      <c r="CU119" s="564"/>
      <c r="CV119" s="564"/>
      <c r="CW119" s="564" t="s">
        <v>14434</v>
      </c>
      <c r="CX119" s="564" t="s">
        <v>9322</v>
      </c>
      <c r="CY119" s="564"/>
      <c r="CZ119" s="564"/>
      <c r="DA119" s="564"/>
      <c r="DB119" s="564"/>
      <c r="DC119" s="564"/>
      <c r="DD119" s="564"/>
      <c r="DE119" s="564"/>
      <c r="DF119" s="564"/>
      <c r="DG119" s="564"/>
      <c r="DH119" s="564"/>
    </row>
    <row r="120" spans="1:112" s="299" customFormat="1" ht="12.75" x14ac:dyDescent="0.2">
      <c r="A120" s="85"/>
      <c r="B120" s="34"/>
      <c r="C120" s="23" t="str">
        <f t="shared" ca="1" si="93"/>
        <v>OLDER ADULTS in RESIDENTIAL INSTITUTIONS</v>
      </c>
      <c r="D120" s="16" t="e">
        <f t="shared" ref="D120:I125" si="99">ROUNDUP(D29*D62,0)</f>
        <v>#N/A</v>
      </c>
      <c r="E120" s="16" t="e">
        <f t="shared" si="99"/>
        <v>#N/A</v>
      </c>
      <c r="F120" s="16" t="e">
        <f t="shared" si="99"/>
        <v>#N/A</v>
      </c>
      <c r="G120" s="16" t="e">
        <f t="shared" si="99"/>
        <v>#N/A</v>
      </c>
      <c r="H120" s="16" t="e">
        <f t="shared" si="99"/>
        <v>#N/A</v>
      </c>
      <c r="I120" s="16" t="e">
        <f t="shared" si="99"/>
        <v>#N/A</v>
      </c>
      <c r="J120" s="16" t="e">
        <f t="shared" ref="J120:J125" si="100">SUM(D120:I120)</f>
        <v>#N/A</v>
      </c>
      <c r="K120" s="16"/>
      <c r="L120" s="12" t="str">
        <f t="shared" ca="1" si="96"/>
        <v>DM3</v>
      </c>
      <c r="M120" s="567"/>
      <c r="O120" s="564"/>
      <c r="P120" s="564"/>
      <c r="Q120" s="564"/>
      <c r="R120" s="564" t="s">
        <v>3774</v>
      </c>
      <c r="S120" s="564"/>
      <c r="T120" s="564"/>
      <c r="U120" s="564"/>
      <c r="V120" s="564"/>
      <c r="W120" s="564"/>
      <c r="X120" s="564"/>
      <c r="Y120" s="564"/>
      <c r="Z120" s="564"/>
      <c r="AA120" s="564" t="s">
        <v>1562</v>
      </c>
      <c r="AB120" s="564"/>
      <c r="AC120" s="564"/>
      <c r="AD120" s="564"/>
      <c r="AE120" s="564"/>
      <c r="AF120" s="564" t="s">
        <v>9420</v>
      </c>
      <c r="AG120" s="564"/>
      <c r="AH120" s="564"/>
      <c r="AI120" s="564"/>
      <c r="AJ120" s="564"/>
      <c r="AK120" s="564"/>
      <c r="AL120" s="564"/>
      <c r="AM120" s="564"/>
      <c r="AN120" s="564"/>
      <c r="AO120" s="564" t="s">
        <v>9421</v>
      </c>
      <c r="AP120" s="564"/>
      <c r="AQ120" s="564"/>
      <c r="AR120" s="564"/>
      <c r="AS120" s="564"/>
      <c r="AT120" s="564" t="s">
        <v>9422</v>
      </c>
      <c r="AU120" s="564"/>
      <c r="AV120" s="564"/>
      <c r="AW120" s="564"/>
      <c r="AX120" s="564"/>
      <c r="AY120" s="564"/>
      <c r="AZ120" s="564"/>
      <c r="BA120" s="564"/>
      <c r="BB120" s="564"/>
      <c r="BC120" s="564" t="s">
        <v>9423</v>
      </c>
      <c r="BD120" s="564"/>
      <c r="BE120" s="564"/>
      <c r="BF120" s="564"/>
      <c r="BG120" s="564"/>
      <c r="BH120" s="564" t="s">
        <v>9424</v>
      </c>
      <c r="BI120" s="564"/>
      <c r="BJ120" s="564"/>
      <c r="BK120" s="564"/>
      <c r="BL120" s="564"/>
      <c r="BM120" s="564"/>
      <c r="BN120" s="564"/>
      <c r="BO120" s="564"/>
      <c r="BP120" s="564"/>
      <c r="BQ120" s="564" t="s">
        <v>9421</v>
      </c>
      <c r="BR120" s="564"/>
      <c r="BS120" s="564"/>
      <c r="BT120" s="564"/>
      <c r="BU120" s="564"/>
      <c r="BV120" s="564" t="s">
        <v>9425</v>
      </c>
      <c r="BW120" s="564"/>
      <c r="BX120" s="564"/>
      <c r="BY120" s="564"/>
      <c r="BZ120" s="564"/>
      <c r="CA120" s="564"/>
      <c r="CB120" s="564"/>
      <c r="CC120" s="564"/>
      <c r="CD120" s="564"/>
      <c r="CE120" s="564" t="s">
        <v>9421</v>
      </c>
      <c r="CF120" s="564"/>
      <c r="CG120" s="564"/>
      <c r="CH120" s="564"/>
      <c r="CI120" s="564"/>
      <c r="CJ120" s="564" t="s">
        <v>9591</v>
      </c>
      <c r="CK120" s="564"/>
      <c r="CL120" s="564"/>
      <c r="CM120" s="564"/>
      <c r="CN120" s="564"/>
      <c r="CO120" s="564"/>
      <c r="CP120" s="564"/>
      <c r="CQ120" s="564"/>
      <c r="CR120" s="564"/>
      <c r="CS120" s="564" t="s">
        <v>1562</v>
      </c>
      <c r="CT120" s="564"/>
      <c r="CU120" s="564"/>
      <c r="CV120" s="564"/>
      <c r="CW120" s="564"/>
      <c r="CX120" s="564" t="s">
        <v>9427</v>
      </c>
      <c r="CY120" s="564"/>
      <c r="CZ120" s="564"/>
      <c r="DA120" s="564"/>
      <c r="DB120" s="564"/>
      <c r="DC120" s="564"/>
      <c r="DD120" s="564"/>
      <c r="DE120" s="564"/>
      <c r="DF120" s="564"/>
      <c r="DG120" s="564" t="s">
        <v>1562</v>
      </c>
      <c r="DH120" s="564"/>
    </row>
    <row r="121" spans="1:112" s="299" customFormat="1" ht="12.75" x14ac:dyDescent="0.2">
      <c r="A121" s="85"/>
      <c r="B121" s="34"/>
      <c r="C121" s="66" t="str">
        <f t="shared" ca="1" si="93"/>
        <v>AND, SOCIAL CARE WORKERS in RESIDENTIAL INSTITUTIONS</v>
      </c>
      <c r="D121" s="16" t="e">
        <f t="shared" si="99"/>
        <v>#N/A</v>
      </c>
      <c r="E121" s="16" t="e">
        <f t="shared" si="99"/>
        <v>#N/A</v>
      </c>
      <c r="F121" s="16" t="e">
        <f t="shared" si="99"/>
        <v>#N/A</v>
      </c>
      <c r="G121" s="16" t="e">
        <f t="shared" si="99"/>
        <v>#N/A</v>
      </c>
      <c r="H121" s="16" t="e">
        <f t="shared" si="99"/>
        <v>#N/A</v>
      </c>
      <c r="I121" s="16" t="e">
        <f t="shared" si="99"/>
        <v>#N/A</v>
      </c>
      <c r="J121" s="16" t="e">
        <f t="shared" si="100"/>
        <v>#N/A</v>
      </c>
      <c r="K121" s="16"/>
      <c r="L121" s="12" t="str">
        <f t="shared" ca="1" si="96"/>
        <v>DM3</v>
      </c>
      <c r="M121" s="567"/>
      <c r="O121" s="564"/>
      <c r="P121" s="564"/>
      <c r="Q121" s="564"/>
      <c r="R121" s="564" t="s">
        <v>3775</v>
      </c>
      <c r="S121" s="564"/>
      <c r="T121" s="564"/>
      <c r="U121" s="564"/>
      <c r="V121" s="564"/>
      <c r="W121" s="564"/>
      <c r="X121" s="564"/>
      <c r="Y121" s="564"/>
      <c r="Z121" s="564"/>
      <c r="AA121" s="564" t="s">
        <v>1562</v>
      </c>
      <c r="AB121" s="564"/>
      <c r="AC121" s="564"/>
      <c r="AD121" s="564"/>
      <c r="AE121" s="564"/>
      <c r="AF121" s="564" t="s">
        <v>9428</v>
      </c>
      <c r="AG121" s="564"/>
      <c r="AH121" s="564"/>
      <c r="AI121" s="564"/>
      <c r="AJ121" s="564"/>
      <c r="AK121" s="564"/>
      <c r="AL121" s="564"/>
      <c r="AM121" s="564"/>
      <c r="AN121" s="564"/>
      <c r="AO121" s="564" t="s">
        <v>9421</v>
      </c>
      <c r="AP121" s="564"/>
      <c r="AQ121" s="564"/>
      <c r="AR121" s="564"/>
      <c r="AS121" s="564"/>
      <c r="AT121" s="564" t="s">
        <v>9592</v>
      </c>
      <c r="AU121" s="564"/>
      <c r="AV121" s="564"/>
      <c r="AW121" s="564"/>
      <c r="AX121" s="564"/>
      <c r="AY121" s="564"/>
      <c r="AZ121" s="564"/>
      <c r="BA121" s="564"/>
      <c r="BB121" s="564"/>
      <c r="BC121" s="564" t="s">
        <v>9423</v>
      </c>
      <c r="BD121" s="564"/>
      <c r="BE121" s="564"/>
      <c r="BF121" s="564"/>
      <c r="BG121" s="564"/>
      <c r="BH121" s="564" t="s">
        <v>9430</v>
      </c>
      <c r="BI121" s="564"/>
      <c r="BJ121" s="564"/>
      <c r="BK121" s="564"/>
      <c r="BL121" s="564"/>
      <c r="BM121" s="564"/>
      <c r="BN121" s="564"/>
      <c r="BO121" s="564"/>
      <c r="BP121" s="564"/>
      <c r="BQ121" s="564" t="s">
        <v>9421</v>
      </c>
      <c r="BR121" s="564"/>
      <c r="BS121" s="564"/>
      <c r="BT121" s="564"/>
      <c r="BU121" s="564"/>
      <c r="BV121" s="564" t="s">
        <v>9431</v>
      </c>
      <c r="BW121" s="564"/>
      <c r="BX121" s="564"/>
      <c r="BY121" s="564"/>
      <c r="BZ121" s="564"/>
      <c r="CA121" s="564"/>
      <c r="CB121" s="564"/>
      <c r="CC121" s="564"/>
      <c r="CD121" s="564"/>
      <c r="CE121" s="564" t="s">
        <v>9421</v>
      </c>
      <c r="CF121" s="564"/>
      <c r="CG121" s="564"/>
      <c r="CH121" s="564"/>
      <c r="CI121" s="564"/>
      <c r="CJ121" s="564" t="s">
        <v>9745</v>
      </c>
      <c r="CK121" s="564"/>
      <c r="CL121" s="564"/>
      <c r="CM121" s="564"/>
      <c r="CN121" s="564"/>
      <c r="CO121" s="564"/>
      <c r="CP121" s="564"/>
      <c r="CQ121" s="564"/>
      <c r="CR121" s="564"/>
      <c r="CS121" s="564" t="s">
        <v>1562</v>
      </c>
      <c r="CT121" s="564"/>
      <c r="CU121" s="564"/>
      <c r="CV121" s="564"/>
      <c r="CW121" s="564"/>
      <c r="CX121" s="564" t="s">
        <v>9433</v>
      </c>
      <c r="CY121" s="564"/>
      <c r="CZ121" s="564"/>
      <c r="DA121" s="564"/>
      <c r="DB121" s="564"/>
      <c r="DC121" s="564"/>
      <c r="DD121" s="564"/>
      <c r="DE121" s="564"/>
      <c r="DF121" s="564"/>
      <c r="DG121" s="564" t="s">
        <v>1562</v>
      </c>
      <c r="DH121" s="564"/>
    </row>
    <row r="122" spans="1:112" s="299" customFormat="1" ht="12.75" x14ac:dyDescent="0.2">
      <c r="A122" s="85"/>
      <c r="B122" s="34"/>
      <c r="C122" s="23" t="str">
        <f t="shared" ca="1" si="93"/>
        <v>OLDER ADULTS in the community</v>
      </c>
      <c r="D122" s="16" t="e">
        <f t="shared" si="99"/>
        <v>#N/A</v>
      </c>
      <c r="E122" s="16" t="e">
        <f t="shared" si="99"/>
        <v>#N/A</v>
      </c>
      <c r="F122" s="16" t="e">
        <f t="shared" si="99"/>
        <v>#N/A</v>
      </c>
      <c r="G122" s="16" t="e">
        <f t="shared" si="99"/>
        <v>#N/A</v>
      </c>
      <c r="H122" s="16" t="e">
        <f t="shared" si="99"/>
        <v>#N/A</v>
      </c>
      <c r="I122" s="16" t="e">
        <f t="shared" si="99"/>
        <v>#N/A</v>
      </c>
      <c r="J122" s="16" t="e">
        <f t="shared" si="100"/>
        <v>#N/A</v>
      </c>
      <c r="K122" s="16"/>
      <c r="L122" s="12" t="str">
        <f t="shared" ca="1" si="96"/>
        <v>Voluntary DM1 / DM2</v>
      </c>
      <c r="M122" s="567"/>
      <c r="O122" s="564"/>
      <c r="P122" s="564"/>
      <c r="Q122" s="564"/>
      <c r="R122" s="564" t="s">
        <v>3773</v>
      </c>
      <c r="S122" s="564"/>
      <c r="T122" s="564"/>
      <c r="U122" s="564"/>
      <c r="V122" s="564"/>
      <c r="W122" s="564"/>
      <c r="X122" s="564"/>
      <c r="Y122" s="564"/>
      <c r="Z122" s="564"/>
      <c r="AA122" s="564" t="s">
        <v>3014</v>
      </c>
      <c r="AB122" s="564"/>
      <c r="AC122" s="564"/>
      <c r="AD122" s="564"/>
      <c r="AE122" s="564"/>
      <c r="AF122" s="564" t="s">
        <v>9434</v>
      </c>
      <c r="AG122" s="564"/>
      <c r="AH122" s="564"/>
      <c r="AI122" s="564"/>
      <c r="AJ122" s="564"/>
      <c r="AK122" s="564"/>
      <c r="AL122" s="564"/>
      <c r="AM122" s="564"/>
      <c r="AN122" s="564"/>
      <c r="AO122" s="564" t="s">
        <v>9406</v>
      </c>
      <c r="AP122" s="564"/>
      <c r="AQ122" s="564"/>
      <c r="AR122" s="564"/>
      <c r="AS122" s="564"/>
      <c r="AT122" s="564" t="s">
        <v>9435</v>
      </c>
      <c r="AU122" s="564"/>
      <c r="AV122" s="564"/>
      <c r="AW122" s="564"/>
      <c r="AX122" s="564"/>
      <c r="AY122" s="564"/>
      <c r="AZ122" s="564"/>
      <c r="BA122" s="564"/>
      <c r="BB122" s="564"/>
      <c r="BC122" s="564" t="s">
        <v>9408</v>
      </c>
      <c r="BD122" s="564"/>
      <c r="BE122" s="564"/>
      <c r="BF122" s="564"/>
      <c r="BG122" s="564"/>
      <c r="BH122" s="564" t="s">
        <v>9436</v>
      </c>
      <c r="BI122" s="564"/>
      <c r="BJ122" s="564"/>
      <c r="BK122" s="564"/>
      <c r="BL122" s="564"/>
      <c r="BM122" s="564"/>
      <c r="BN122" s="564"/>
      <c r="BO122" s="564"/>
      <c r="BP122" s="564"/>
      <c r="BQ122" s="564" t="s">
        <v>9410</v>
      </c>
      <c r="BR122" s="564"/>
      <c r="BS122" s="564"/>
      <c r="BT122" s="564"/>
      <c r="BU122" s="564"/>
      <c r="BV122" s="564" t="s">
        <v>9437</v>
      </c>
      <c r="BW122" s="564"/>
      <c r="BX122" s="564"/>
      <c r="BY122" s="564"/>
      <c r="BZ122" s="564"/>
      <c r="CA122" s="564"/>
      <c r="CB122" s="564"/>
      <c r="CC122" s="564"/>
      <c r="CD122" s="564"/>
      <c r="CE122" s="564" t="s">
        <v>9412</v>
      </c>
      <c r="CF122" s="564"/>
      <c r="CG122" s="564"/>
      <c r="CH122" s="564"/>
      <c r="CI122" s="564"/>
      <c r="CJ122" s="564" t="s">
        <v>9594</v>
      </c>
      <c r="CK122" s="564"/>
      <c r="CL122" s="564"/>
      <c r="CM122" s="564"/>
      <c r="CN122" s="564"/>
      <c r="CO122" s="564"/>
      <c r="CP122" s="564"/>
      <c r="CQ122" s="564"/>
      <c r="CR122" s="564"/>
      <c r="CS122" s="564" t="s">
        <v>9414</v>
      </c>
      <c r="CT122" s="564"/>
      <c r="CU122" s="564"/>
      <c r="CV122" s="564"/>
      <c r="CW122" s="564"/>
      <c r="CX122" s="564" t="s">
        <v>9439</v>
      </c>
      <c r="CY122" s="564"/>
      <c r="CZ122" s="564"/>
      <c r="DA122" s="564"/>
      <c r="DB122" s="564"/>
      <c r="DC122" s="564"/>
      <c r="DD122" s="564"/>
      <c r="DE122" s="564"/>
      <c r="DF122" s="564"/>
      <c r="DG122" s="564" t="s">
        <v>9415</v>
      </c>
      <c r="DH122" s="564"/>
    </row>
    <row r="123" spans="1:112" s="299" customFormat="1" ht="12.75" x14ac:dyDescent="0.2">
      <c r="A123" s="85"/>
      <c r="B123" s="34"/>
      <c r="C123" s="23" t="str">
        <f t="shared" ca="1" si="93"/>
        <v>AND, their households members</v>
      </c>
      <c r="D123" s="16" t="e">
        <f t="shared" si="99"/>
        <v>#N/A</v>
      </c>
      <c r="E123" s="16" t="e">
        <f t="shared" si="99"/>
        <v>#N/A</v>
      </c>
      <c r="F123" s="16" t="e">
        <f t="shared" si="99"/>
        <v>#N/A</v>
      </c>
      <c r="G123" s="16" t="e">
        <f t="shared" si="99"/>
        <v>#N/A</v>
      </c>
      <c r="H123" s="16" t="e">
        <f t="shared" si="99"/>
        <v>#N/A</v>
      </c>
      <c r="I123" s="16" t="e">
        <f t="shared" si="99"/>
        <v>#N/A</v>
      </c>
      <c r="J123" s="16" t="e">
        <f t="shared" si="100"/>
        <v>#N/A</v>
      </c>
      <c r="K123" s="16"/>
      <c r="L123" s="12" t="str">
        <f t="shared" ca="1" si="96"/>
        <v>Voluntary DM1 / DM2</v>
      </c>
      <c r="M123" s="567"/>
      <c r="O123" s="564"/>
      <c r="P123" s="564"/>
      <c r="Q123" s="564"/>
      <c r="R123" s="564" t="s">
        <v>3790</v>
      </c>
      <c r="S123" s="564"/>
      <c r="T123" s="564"/>
      <c r="U123" s="564"/>
      <c r="V123" s="564"/>
      <c r="W123" s="564"/>
      <c r="X123" s="564"/>
      <c r="Y123" s="564"/>
      <c r="Z123" s="564"/>
      <c r="AA123" s="564" t="s">
        <v>3014</v>
      </c>
      <c r="AB123" s="564"/>
      <c r="AC123" s="564"/>
      <c r="AD123" s="564"/>
      <c r="AE123" s="564"/>
      <c r="AF123" s="564" t="s">
        <v>9440</v>
      </c>
      <c r="AG123" s="564"/>
      <c r="AH123" s="564"/>
      <c r="AI123" s="564"/>
      <c r="AJ123" s="564"/>
      <c r="AK123" s="564"/>
      <c r="AL123" s="564"/>
      <c r="AM123" s="564"/>
      <c r="AN123" s="564"/>
      <c r="AO123" s="564" t="s">
        <v>9406</v>
      </c>
      <c r="AP123" s="564"/>
      <c r="AQ123" s="564"/>
      <c r="AR123" s="564"/>
      <c r="AS123" s="564"/>
      <c r="AT123" s="564" t="s">
        <v>9441</v>
      </c>
      <c r="AU123" s="564"/>
      <c r="AV123" s="564"/>
      <c r="AW123" s="564"/>
      <c r="AX123" s="564"/>
      <c r="AY123" s="564"/>
      <c r="AZ123" s="564"/>
      <c r="BA123" s="564"/>
      <c r="BB123" s="564"/>
      <c r="BC123" s="564" t="s">
        <v>9408</v>
      </c>
      <c r="BD123" s="564"/>
      <c r="BE123" s="564"/>
      <c r="BF123" s="564"/>
      <c r="BG123" s="564"/>
      <c r="BH123" s="564" t="s">
        <v>9442</v>
      </c>
      <c r="BI123" s="564"/>
      <c r="BJ123" s="564"/>
      <c r="BK123" s="564"/>
      <c r="BL123" s="564"/>
      <c r="BM123" s="564"/>
      <c r="BN123" s="564"/>
      <c r="BO123" s="564"/>
      <c r="BP123" s="564"/>
      <c r="BQ123" s="564" t="s">
        <v>9410</v>
      </c>
      <c r="BR123" s="564"/>
      <c r="BS123" s="564"/>
      <c r="BT123" s="564"/>
      <c r="BU123" s="564"/>
      <c r="BV123" s="564" t="s">
        <v>9443</v>
      </c>
      <c r="BW123" s="564"/>
      <c r="BX123" s="564"/>
      <c r="BY123" s="564"/>
      <c r="BZ123" s="564"/>
      <c r="CA123" s="564"/>
      <c r="CB123" s="564"/>
      <c r="CC123" s="564"/>
      <c r="CD123" s="564"/>
      <c r="CE123" s="564" t="s">
        <v>9412</v>
      </c>
      <c r="CF123" s="564"/>
      <c r="CG123" s="564"/>
      <c r="CH123" s="564"/>
      <c r="CI123" s="564"/>
      <c r="CJ123" s="564" t="s">
        <v>9746</v>
      </c>
      <c r="CK123" s="564"/>
      <c r="CL123" s="564"/>
      <c r="CM123" s="564"/>
      <c r="CN123" s="564"/>
      <c r="CO123" s="564"/>
      <c r="CP123" s="564"/>
      <c r="CQ123" s="564"/>
      <c r="CR123" s="564"/>
      <c r="CS123" s="564" t="s">
        <v>9414</v>
      </c>
      <c r="CT123" s="564"/>
      <c r="CU123" s="564"/>
      <c r="CV123" s="564"/>
      <c r="CW123" s="564"/>
      <c r="CX123" s="564" t="s">
        <v>9445</v>
      </c>
      <c r="CY123" s="564"/>
      <c r="CZ123" s="564"/>
      <c r="DA123" s="564"/>
      <c r="DB123" s="564"/>
      <c r="DC123" s="564"/>
      <c r="DD123" s="564"/>
      <c r="DE123" s="564"/>
      <c r="DF123" s="564"/>
      <c r="DG123" s="564" t="s">
        <v>9415</v>
      </c>
      <c r="DH123" s="564"/>
    </row>
    <row r="124" spans="1:112" s="299" customFormat="1" ht="12.75" x14ac:dyDescent="0.2">
      <c r="A124" s="85"/>
      <c r="B124" s="34"/>
      <c r="C124" s="66" t="str">
        <f t="shared" ca="1" si="93"/>
        <v>Hard-to-Reach OLDER ADULTS</v>
      </c>
      <c r="D124" s="16" t="e">
        <f t="shared" si="99"/>
        <v>#N/A</v>
      </c>
      <c r="E124" s="16" t="e">
        <f t="shared" si="99"/>
        <v>#N/A</v>
      </c>
      <c r="F124" s="16" t="e">
        <f t="shared" si="99"/>
        <v>#N/A</v>
      </c>
      <c r="G124" s="16" t="e">
        <f t="shared" si="99"/>
        <v>#N/A</v>
      </c>
      <c r="H124" s="16" t="e">
        <f t="shared" si="99"/>
        <v>#N/A</v>
      </c>
      <c r="I124" s="16" t="e">
        <f t="shared" si="99"/>
        <v>#N/A</v>
      </c>
      <c r="J124" s="16" t="e">
        <f t="shared" si="100"/>
        <v>#N/A</v>
      </c>
      <c r="K124" s="16"/>
      <c r="L124" s="12" t="str">
        <f t="shared" ca="1" si="96"/>
        <v>DM4</v>
      </c>
      <c r="M124" s="567"/>
      <c r="O124" s="564"/>
      <c r="P124" s="564"/>
      <c r="Q124" s="564"/>
      <c r="R124" s="564" t="s">
        <v>3811</v>
      </c>
      <c r="S124" s="564"/>
      <c r="T124" s="564"/>
      <c r="U124" s="564"/>
      <c r="V124" s="564"/>
      <c r="W124" s="564"/>
      <c r="X124" s="564"/>
      <c r="Y124" s="564"/>
      <c r="Z124" s="564"/>
      <c r="AA124" s="564" t="s">
        <v>1561</v>
      </c>
      <c r="AB124" s="564"/>
      <c r="AC124" s="564"/>
      <c r="AD124" s="564"/>
      <c r="AE124" s="564"/>
      <c r="AF124" s="564" t="s">
        <v>9446</v>
      </c>
      <c r="AG124" s="564"/>
      <c r="AH124" s="564"/>
      <c r="AI124" s="564"/>
      <c r="AJ124" s="564"/>
      <c r="AK124" s="564"/>
      <c r="AL124" s="564"/>
      <c r="AM124" s="564"/>
      <c r="AN124" s="564"/>
      <c r="AO124" s="564" t="s">
        <v>9447</v>
      </c>
      <c r="AP124" s="564"/>
      <c r="AQ124" s="564"/>
      <c r="AR124" s="564"/>
      <c r="AS124" s="564"/>
      <c r="AT124" s="564" t="s">
        <v>9448</v>
      </c>
      <c r="AU124" s="564"/>
      <c r="AV124" s="564"/>
      <c r="AW124" s="564"/>
      <c r="AX124" s="564"/>
      <c r="AY124" s="564"/>
      <c r="AZ124" s="564"/>
      <c r="BA124" s="564"/>
      <c r="BB124" s="564"/>
      <c r="BC124" s="564" t="s">
        <v>9449</v>
      </c>
      <c r="BD124" s="564"/>
      <c r="BE124" s="564"/>
      <c r="BF124" s="564"/>
      <c r="BG124" s="564"/>
      <c r="BH124" s="564" t="s">
        <v>9450</v>
      </c>
      <c r="BI124" s="564"/>
      <c r="BJ124" s="564"/>
      <c r="BK124" s="564"/>
      <c r="BL124" s="564"/>
      <c r="BM124" s="564"/>
      <c r="BN124" s="564"/>
      <c r="BO124" s="564"/>
      <c r="BP124" s="564"/>
      <c r="BQ124" s="564" t="s">
        <v>9447</v>
      </c>
      <c r="BR124" s="564"/>
      <c r="BS124" s="564"/>
      <c r="BT124" s="564"/>
      <c r="BU124" s="564"/>
      <c r="BV124" s="564" t="s">
        <v>9451</v>
      </c>
      <c r="BW124" s="564"/>
      <c r="BX124" s="564"/>
      <c r="BY124" s="564"/>
      <c r="BZ124" s="564"/>
      <c r="CA124" s="564"/>
      <c r="CB124" s="564"/>
      <c r="CC124" s="564"/>
      <c r="CD124" s="564"/>
      <c r="CE124" s="564" t="s">
        <v>9447</v>
      </c>
      <c r="CF124" s="564"/>
      <c r="CG124" s="564"/>
      <c r="CH124" s="564"/>
      <c r="CI124" s="564"/>
      <c r="CJ124" s="564" t="s">
        <v>9747</v>
      </c>
      <c r="CK124" s="564"/>
      <c r="CL124" s="564"/>
      <c r="CM124" s="564"/>
      <c r="CN124" s="564"/>
      <c r="CO124" s="564"/>
      <c r="CP124" s="564"/>
      <c r="CQ124" s="564"/>
      <c r="CR124" s="564"/>
      <c r="CS124" s="564" t="s">
        <v>1561</v>
      </c>
      <c r="CT124" s="564"/>
      <c r="CU124" s="564"/>
      <c r="CV124" s="564"/>
      <c r="CW124" s="564"/>
      <c r="CX124" s="564" t="s">
        <v>9453</v>
      </c>
      <c r="CY124" s="564"/>
      <c r="CZ124" s="564"/>
      <c r="DA124" s="564"/>
      <c r="DB124" s="564"/>
      <c r="DC124" s="564"/>
      <c r="DD124" s="564"/>
      <c r="DE124" s="564"/>
      <c r="DF124" s="564"/>
      <c r="DG124" s="564" t="s">
        <v>1561</v>
      </c>
      <c r="DH124" s="564"/>
    </row>
    <row r="125" spans="1:112" s="299" customFormat="1" ht="12.75" x14ac:dyDescent="0.2">
      <c r="A125" s="85"/>
      <c r="C125" s="23" t="str">
        <f t="shared" ca="1" si="93"/>
        <v>AND, their households members</v>
      </c>
      <c r="D125" s="16" t="e">
        <f t="shared" si="99"/>
        <v>#N/A</v>
      </c>
      <c r="E125" s="16" t="e">
        <f t="shared" si="99"/>
        <v>#N/A</v>
      </c>
      <c r="F125" s="16" t="e">
        <f t="shared" si="99"/>
        <v>#N/A</v>
      </c>
      <c r="G125" s="16" t="e">
        <f t="shared" si="99"/>
        <v>#N/A</v>
      </c>
      <c r="H125" s="16" t="e">
        <f t="shared" si="99"/>
        <v>#N/A</v>
      </c>
      <c r="I125" s="16" t="e">
        <f t="shared" si="99"/>
        <v>#N/A</v>
      </c>
      <c r="J125" s="16" t="e">
        <f t="shared" si="100"/>
        <v>#N/A</v>
      </c>
      <c r="K125" s="16"/>
      <c r="L125" s="12" t="str">
        <f t="shared" ca="1" si="96"/>
        <v>DM4</v>
      </c>
      <c r="M125" s="567"/>
      <c r="O125" s="564"/>
      <c r="P125" s="564"/>
      <c r="Q125" s="564"/>
      <c r="R125" s="564" t="s">
        <v>3790</v>
      </c>
      <c r="S125" s="564"/>
      <c r="T125" s="564"/>
      <c r="U125" s="564"/>
      <c r="V125" s="564"/>
      <c r="W125" s="564"/>
      <c r="X125" s="564"/>
      <c r="Y125" s="564"/>
      <c r="Z125" s="564"/>
      <c r="AA125" s="564" t="s">
        <v>1561</v>
      </c>
      <c r="AB125" s="564"/>
      <c r="AC125" s="564"/>
      <c r="AD125" s="564"/>
      <c r="AE125" s="564"/>
      <c r="AF125" s="564" t="s">
        <v>9440</v>
      </c>
      <c r="AG125" s="564"/>
      <c r="AH125" s="564"/>
      <c r="AI125" s="564"/>
      <c r="AJ125" s="564"/>
      <c r="AK125" s="564"/>
      <c r="AL125" s="564"/>
      <c r="AM125" s="564"/>
      <c r="AN125" s="564"/>
      <c r="AO125" s="564" t="s">
        <v>9447</v>
      </c>
      <c r="AP125" s="564"/>
      <c r="AQ125" s="564"/>
      <c r="AR125" s="564"/>
      <c r="AS125" s="564"/>
      <c r="AT125" s="564" t="s">
        <v>9441</v>
      </c>
      <c r="AU125" s="564"/>
      <c r="AV125" s="564"/>
      <c r="AW125" s="564"/>
      <c r="AX125" s="564"/>
      <c r="AY125" s="564"/>
      <c r="AZ125" s="564"/>
      <c r="BA125" s="564"/>
      <c r="BB125" s="564"/>
      <c r="BC125" s="564" t="s">
        <v>9449</v>
      </c>
      <c r="BD125" s="564"/>
      <c r="BE125" s="564"/>
      <c r="BF125" s="564"/>
      <c r="BG125" s="564"/>
      <c r="BH125" s="564" t="s">
        <v>9442</v>
      </c>
      <c r="BI125" s="564"/>
      <c r="BJ125" s="564"/>
      <c r="BK125" s="564"/>
      <c r="BL125" s="564"/>
      <c r="BM125" s="564"/>
      <c r="BN125" s="564"/>
      <c r="BO125" s="564"/>
      <c r="BP125" s="564"/>
      <c r="BQ125" s="564" t="s">
        <v>9447</v>
      </c>
      <c r="BR125" s="564"/>
      <c r="BS125" s="564"/>
      <c r="BT125" s="564"/>
      <c r="BU125" s="564"/>
      <c r="BV125" s="564" t="s">
        <v>9443</v>
      </c>
      <c r="BW125" s="564"/>
      <c r="BX125" s="564"/>
      <c r="BY125" s="564"/>
      <c r="BZ125" s="564"/>
      <c r="CA125" s="564"/>
      <c r="CB125" s="564"/>
      <c r="CC125" s="564"/>
      <c r="CD125" s="564"/>
      <c r="CE125" s="564" t="s">
        <v>9447</v>
      </c>
      <c r="CF125" s="564"/>
      <c r="CG125" s="564"/>
      <c r="CH125" s="564"/>
      <c r="CI125" s="564"/>
      <c r="CJ125" s="564" t="s">
        <v>9746</v>
      </c>
      <c r="CK125" s="564"/>
      <c r="CL125" s="564"/>
      <c r="CM125" s="564"/>
      <c r="CN125" s="564"/>
      <c r="CO125" s="564"/>
      <c r="CP125" s="564"/>
      <c r="CQ125" s="564"/>
      <c r="CR125" s="564"/>
      <c r="CS125" s="564" t="s">
        <v>1561</v>
      </c>
      <c r="CT125" s="564"/>
      <c r="CU125" s="564"/>
      <c r="CV125" s="564"/>
      <c r="CW125" s="564"/>
      <c r="CX125" s="564" t="s">
        <v>9445</v>
      </c>
      <c r="CY125" s="564"/>
      <c r="CZ125" s="564"/>
      <c r="DA125" s="564"/>
      <c r="DB125" s="564"/>
      <c r="DC125" s="564"/>
      <c r="DD125" s="564"/>
      <c r="DE125" s="564"/>
      <c r="DF125" s="564"/>
      <c r="DG125" s="564" t="s">
        <v>1561</v>
      </c>
      <c r="DH125" s="564"/>
    </row>
    <row r="126" spans="1:112" s="299" customFormat="1" ht="12.75" x14ac:dyDescent="0.2">
      <c r="A126" s="85"/>
      <c r="D126" s="341"/>
      <c r="E126" s="341"/>
      <c r="F126" s="16"/>
      <c r="G126" s="16"/>
      <c r="H126" s="16"/>
      <c r="I126" s="16"/>
      <c r="J126" s="16"/>
      <c r="L126" s="567"/>
      <c r="M126" s="567"/>
      <c r="O126" s="564"/>
      <c r="P126" s="564"/>
      <c r="Q126" s="564"/>
      <c r="R126" s="564"/>
      <c r="S126" s="564"/>
      <c r="T126" s="564"/>
      <c r="U126" s="564"/>
      <c r="V126" s="564"/>
      <c r="W126" s="564"/>
      <c r="X126" s="564"/>
      <c r="Y126" s="564"/>
      <c r="Z126" s="564"/>
      <c r="AA126" s="564"/>
      <c r="AB126" s="564"/>
      <c r="AC126" s="564"/>
      <c r="AD126" s="564"/>
      <c r="AE126" s="564"/>
      <c r="AF126" s="564"/>
      <c r="AG126" s="564"/>
      <c r="AH126" s="564"/>
      <c r="AI126" s="564"/>
      <c r="AJ126" s="564"/>
      <c r="AK126" s="564"/>
      <c r="AL126" s="564"/>
      <c r="AM126" s="564"/>
      <c r="AN126" s="564"/>
      <c r="AO126" s="564"/>
      <c r="AP126" s="564"/>
      <c r="AQ126" s="564"/>
      <c r="AR126" s="564"/>
      <c r="AS126" s="564"/>
      <c r="AT126" s="564"/>
      <c r="AU126" s="564"/>
      <c r="AV126" s="564"/>
      <c r="AW126" s="564"/>
      <c r="AX126" s="564"/>
      <c r="AY126" s="564"/>
      <c r="AZ126" s="564"/>
      <c r="BA126" s="564"/>
      <c r="BB126" s="564"/>
      <c r="BC126" s="564"/>
      <c r="BD126" s="564"/>
      <c r="BE126" s="564"/>
      <c r="BF126" s="564"/>
      <c r="BG126" s="564"/>
      <c r="BH126" s="564"/>
      <c r="BI126" s="564"/>
      <c r="BJ126" s="564"/>
      <c r="BK126" s="564"/>
      <c r="BL126" s="564"/>
      <c r="BM126" s="564"/>
      <c r="BN126" s="564"/>
      <c r="BO126" s="564"/>
      <c r="BP126" s="564"/>
      <c r="BQ126" s="564"/>
      <c r="BR126" s="564"/>
      <c r="BS126" s="564"/>
      <c r="BT126" s="564"/>
      <c r="BU126" s="564"/>
      <c r="BV126" s="564"/>
      <c r="BW126" s="564"/>
      <c r="BX126" s="564"/>
      <c r="BY126" s="564"/>
      <c r="BZ126" s="564"/>
      <c r="CA126" s="564"/>
      <c r="CB126" s="564"/>
      <c r="CC126" s="564"/>
      <c r="CD126" s="564"/>
      <c r="CE126" s="564"/>
      <c r="CF126" s="564"/>
      <c r="CG126" s="564"/>
      <c r="CH126" s="564"/>
      <c r="CI126" s="564"/>
      <c r="CJ126" s="564"/>
      <c r="CK126" s="564"/>
      <c r="CL126" s="564"/>
      <c r="CM126" s="564"/>
      <c r="CN126" s="564"/>
      <c r="CO126" s="564"/>
      <c r="CP126" s="564"/>
      <c r="CQ126" s="564"/>
      <c r="CR126" s="564"/>
      <c r="CS126" s="564"/>
      <c r="CT126" s="564"/>
      <c r="CU126" s="564"/>
      <c r="CV126" s="564"/>
      <c r="CW126" s="564"/>
      <c r="CX126" s="564"/>
      <c r="CY126" s="564"/>
      <c r="CZ126" s="564"/>
      <c r="DA126" s="564"/>
      <c r="DB126" s="564"/>
      <c r="DC126" s="564"/>
      <c r="DD126" s="564"/>
      <c r="DE126" s="564"/>
      <c r="DF126" s="564"/>
      <c r="DG126" s="564"/>
      <c r="DH126" s="564"/>
    </row>
    <row r="127" spans="1:112" s="299" customFormat="1" ht="25.5" x14ac:dyDescent="0.2">
      <c r="A127" s="85"/>
      <c r="B127" s="34" t="s">
        <v>14436</v>
      </c>
      <c r="C127" s="339" t="str">
        <f t="shared" ref="C127:C132" ca="1" si="101">IF(OFFSET(R127,0,Lang_Order*Lang__B1)="","",OFFSET(R127,0,Lang_Order*Lang__B1))</f>
        <v>Sociodemographic groups at significantly higher risk of severe disease or death</v>
      </c>
      <c r="D127" s="341"/>
      <c r="E127" s="341"/>
      <c r="F127" s="16"/>
      <c r="G127" s="16"/>
      <c r="H127" s="16"/>
      <c r="I127" s="16"/>
      <c r="J127" s="16"/>
      <c r="L127" s="567"/>
      <c r="M127" s="567"/>
      <c r="O127" s="564"/>
      <c r="P127" s="564"/>
      <c r="Q127" s="564" t="s">
        <v>14436</v>
      </c>
      <c r="R127" s="564" t="s">
        <v>3776</v>
      </c>
      <c r="S127" s="564"/>
      <c r="T127" s="564"/>
      <c r="U127" s="564"/>
      <c r="V127" s="564"/>
      <c r="W127" s="564"/>
      <c r="X127" s="564"/>
      <c r="Y127" s="564"/>
      <c r="Z127" s="564"/>
      <c r="AA127" s="564"/>
      <c r="AB127" s="564"/>
      <c r="AC127" s="564"/>
      <c r="AD127" s="564"/>
      <c r="AE127" s="564" t="s">
        <v>14436</v>
      </c>
      <c r="AF127" s="564" t="s">
        <v>9455</v>
      </c>
      <c r="AG127" s="564"/>
      <c r="AH127" s="564"/>
      <c r="AI127" s="564"/>
      <c r="AJ127" s="564"/>
      <c r="AK127" s="564"/>
      <c r="AL127" s="564"/>
      <c r="AM127" s="564"/>
      <c r="AN127" s="564"/>
      <c r="AO127" s="564"/>
      <c r="AP127" s="564"/>
      <c r="AQ127" s="564"/>
      <c r="AR127" s="564"/>
      <c r="AS127" s="564" t="s">
        <v>14436</v>
      </c>
      <c r="AT127" s="564" t="s">
        <v>9456</v>
      </c>
      <c r="AU127" s="564"/>
      <c r="AV127" s="564"/>
      <c r="AW127" s="564"/>
      <c r="AX127" s="564"/>
      <c r="AY127" s="564"/>
      <c r="AZ127" s="564"/>
      <c r="BA127" s="564"/>
      <c r="BB127" s="564"/>
      <c r="BC127" s="564"/>
      <c r="BD127" s="564"/>
      <c r="BE127" s="564"/>
      <c r="BF127" s="564"/>
      <c r="BG127" s="564" t="s">
        <v>14437</v>
      </c>
      <c r="BH127" s="564" t="s">
        <v>9457</v>
      </c>
      <c r="BI127" s="564"/>
      <c r="BJ127" s="564"/>
      <c r="BK127" s="564"/>
      <c r="BL127" s="564"/>
      <c r="BM127" s="564"/>
      <c r="BN127" s="564"/>
      <c r="BO127" s="564"/>
      <c r="BP127" s="564"/>
      <c r="BQ127" s="564"/>
      <c r="BR127" s="564"/>
      <c r="BS127" s="564"/>
      <c r="BT127" s="564"/>
      <c r="BU127" s="564" t="s">
        <v>14436</v>
      </c>
      <c r="BV127" s="564" t="s">
        <v>9458</v>
      </c>
      <c r="BW127" s="564"/>
      <c r="BX127" s="564"/>
      <c r="BY127" s="564"/>
      <c r="BZ127" s="564"/>
      <c r="CA127" s="564"/>
      <c r="CB127" s="564"/>
      <c r="CC127" s="564"/>
      <c r="CD127" s="564"/>
      <c r="CE127" s="564"/>
      <c r="CF127" s="564"/>
      <c r="CG127" s="564"/>
      <c r="CH127" s="564"/>
      <c r="CI127" s="564" t="s">
        <v>14437</v>
      </c>
      <c r="CJ127" s="564" t="s">
        <v>9596</v>
      </c>
      <c r="CK127" s="564"/>
      <c r="CL127" s="564"/>
      <c r="CM127" s="564"/>
      <c r="CN127" s="564"/>
      <c r="CO127" s="564"/>
      <c r="CP127" s="564"/>
      <c r="CQ127" s="564"/>
      <c r="CR127" s="564"/>
      <c r="CS127" s="564"/>
      <c r="CT127" s="564"/>
      <c r="CU127" s="564"/>
      <c r="CV127" s="564"/>
      <c r="CW127" s="564" t="s">
        <v>14436</v>
      </c>
      <c r="CX127" s="564" t="s">
        <v>9460</v>
      </c>
      <c r="CY127" s="564"/>
      <c r="CZ127" s="564"/>
      <c r="DA127" s="564"/>
      <c r="DB127" s="564"/>
      <c r="DC127" s="564"/>
      <c r="DD127" s="564"/>
      <c r="DE127" s="564"/>
      <c r="DF127" s="564"/>
      <c r="DG127" s="564"/>
      <c r="DH127" s="564"/>
    </row>
    <row r="128" spans="1:112" s="299" customFormat="1" ht="12.75" x14ac:dyDescent="0.2">
      <c r="A128" s="85"/>
      <c r="C128" s="5" t="str">
        <f t="shared" ca="1" si="101"/>
        <v>… of which , easy-to-access</v>
      </c>
      <c r="D128" s="16" t="e">
        <f t="shared" ref="D128:I132" si="102">ROUNDUP(D37*D70,0)</f>
        <v>#N/A</v>
      </c>
      <c r="E128" s="16" t="e">
        <f t="shared" si="102"/>
        <v>#N/A</v>
      </c>
      <c r="F128" s="16" t="e">
        <f t="shared" si="102"/>
        <v>#N/A</v>
      </c>
      <c r="G128" s="16" t="e">
        <f t="shared" si="102"/>
        <v>#N/A</v>
      </c>
      <c r="H128" s="16" t="e">
        <f t="shared" si="102"/>
        <v>#N/A</v>
      </c>
      <c r="I128" s="16" t="e">
        <f t="shared" si="102"/>
        <v>#N/A</v>
      </c>
      <c r="J128" s="16" t="e">
        <f t="shared" ref="J128:J132" si="103">SUM(D128:I128)</f>
        <v>#N/A</v>
      </c>
      <c r="K128" s="16"/>
      <c r="L128" s="12" t="str">
        <f t="shared" ca="1" si="96"/>
        <v>Voluntary DM1 / DM2</v>
      </c>
      <c r="M128" s="567"/>
      <c r="O128" s="564"/>
      <c r="P128" s="564"/>
      <c r="Q128" s="564"/>
      <c r="R128" s="564" t="s">
        <v>3789</v>
      </c>
      <c r="S128" s="564"/>
      <c r="T128" s="564"/>
      <c r="U128" s="564"/>
      <c r="V128" s="564"/>
      <c r="W128" s="564"/>
      <c r="X128" s="564"/>
      <c r="Y128" s="564"/>
      <c r="Z128" s="564"/>
      <c r="AA128" s="564" t="s">
        <v>3014</v>
      </c>
      <c r="AB128" s="564"/>
      <c r="AC128" s="564"/>
      <c r="AD128" s="564"/>
      <c r="AE128" s="564"/>
      <c r="AF128" s="564" t="s">
        <v>9461</v>
      </c>
      <c r="AG128" s="564"/>
      <c r="AH128" s="564"/>
      <c r="AI128" s="564"/>
      <c r="AJ128" s="564"/>
      <c r="AK128" s="564"/>
      <c r="AL128" s="564"/>
      <c r="AM128" s="564"/>
      <c r="AN128" s="564"/>
      <c r="AO128" s="564" t="s">
        <v>9406</v>
      </c>
      <c r="AP128" s="564"/>
      <c r="AQ128" s="564"/>
      <c r="AR128" s="564"/>
      <c r="AS128" s="564"/>
      <c r="AT128" s="564" t="s">
        <v>9462</v>
      </c>
      <c r="AU128" s="564"/>
      <c r="AV128" s="564"/>
      <c r="AW128" s="564"/>
      <c r="AX128" s="564"/>
      <c r="AY128" s="564"/>
      <c r="AZ128" s="564"/>
      <c r="BA128" s="564"/>
      <c r="BB128" s="564"/>
      <c r="BC128" s="564" t="s">
        <v>9408</v>
      </c>
      <c r="BD128" s="564"/>
      <c r="BE128" s="564"/>
      <c r="BF128" s="564"/>
      <c r="BG128" s="564"/>
      <c r="BH128" s="564" t="s">
        <v>9463</v>
      </c>
      <c r="BI128" s="564"/>
      <c r="BJ128" s="564"/>
      <c r="BK128" s="564"/>
      <c r="BL128" s="564"/>
      <c r="BM128" s="564"/>
      <c r="BN128" s="564"/>
      <c r="BO128" s="564"/>
      <c r="BP128" s="564"/>
      <c r="BQ128" s="564" t="s">
        <v>9410</v>
      </c>
      <c r="BR128" s="564"/>
      <c r="BS128" s="564"/>
      <c r="BT128" s="564"/>
      <c r="BU128" s="564"/>
      <c r="BV128" s="564" t="s">
        <v>9464</v>
      </c>
      <c r="BW128" s="564"/>
      <c r="BX128" s="564"/>
      <c r="BY128" s="564"/>
      <c r="BZ128" s="564"/>
      <c r="CA128" s="564"/>
      <c r="CB128" s="564"/>
      <c r="CC128" s="564"/>
      <c r="CD128" s="564"/>
      <c r="CE128" s="564" t="s">
        <v>9412</v>
      </c>
      <c r="CF128" s="564"/>
      <c r="CG128" s="564"/>
      <c r="CH128" s="564"/>
      <c r="CI128" s="564"/>
      <c r="CJ128" s="564" t="s">
        <v>9748</v>
      </c>
      <c r="CK128" s="564"/>
      <c r="CL128" s="564"/>
      <c r="CM128" s="564"/>
      <c r="CN128" s="564"/>
      <c r="CO128" s="564"/>
      <c r="CP128" s="564"/>
      <c r="CQ128" s="564"/>
      <c r="CR128" s="564"/>
      <c r="CS128" s="564" t="s">
        <v>9414</v>
      </c>
      <c r="CT128" s="564"/>
      <c r="CU128" s="564"/>
      <c r="CV128" s="564"/>
      <c r="CW128" s="564"/>
      <c r="CX128" s="564" t="s">
        <v>9466</v>
      </c>
      <c r="CY128" s="564"/>
      <c r="CZ128" s="564"/>
      <c r="DA128" s="564"/>
      <c r="DB128" s="564"/>
      <c r="DC128" s="564"/>
      <c r="DD128" s="564"/>
      <c r="DE128" s="564"/>
      <c r="DF128" s="564"/>
      <c r="DG128" s="564" t="s">
        <v>9415</v>
      </c>
      <c r="DH128" s="564"/>
    </row>
    <row r="129" spans="1:112" s="299" customFormat="1" ht="12.75" x14ac:dyDescent="0.2">
      <c r="A129" s="85"/>
      <c r="B129" s="34"/>
      <c r="C129" s="66" t="str">
        <f t="shared" ca="1" si="101"/>
        <v>.. of which, living in RESIDENTIAL INSTITUTIONS</v>
      </c>
      <c r="D129" s="16" t="e">
        <f t="shared" si="102"/>
        <v>#N/A</v>
      </c>
      <c r="E129" s="16" t="e">
        <f t="shared" si="102"/>
        <v>#N/A</v>
      </c>
      <c r="F129" s="16" t="e">
        <f t="shared" si="102"/>
        <v>#N/A</v>
      </c>
      <c r="G129" s="16" t="e">
        <f t="shared" si="102"/>
        <v>#N/A</v>
      </c>
      <c r="H129" s="16" t="e">
        <f t="shared" si="102"/>
        <v>#N/A</v>
      </c>
      <c r="I129" s="16" t="e">
        <f t="shared" si="102"/>
        <v>#N/A</v>
      </c>
      <c r="J129" s="16" t="e">
        <f t="shared" si="103"/>
        <v>#N/A</v>
      </c>
      <c r="K129" s="16"/>
      <c r="L129" s="12" t="str">
        <f t="shared" ca="1" si="96"/>
        <v>DM3</v>
      </c>
      <c r="M129" s="567"/>
      <c r="O129" s="564"/>
      <c r="P129" s="564"/>
      <c r="Q129" s="564"/>
      <c r="R129" s="564" t="s">
        <v>3777</v>
      </c>
      <c r="S129" s="564"/>
      <c r="T129" s="564"/>
      <c r="U129" s="564"/>
      <c r="V129" s="564"/>
      <c r="W129" s="564"/>
      <c r="X129" s="564"/>
      <c r="Y129" s="564"/>
      <c r="Z129" s="564"/>
      <c r="AA129" s="564" t="s">
        <v>1562</v>
      </c>
      <c r="AB129" s="564"/>
      <c r="AC129" s="564"/>
      <c r="AD129" s="564"/>
      <c r="AE129" s="564"/>
      <c r="AF129" s="564" t="s">
        <v>9467</v>
      </c>
      <c r="AG129" s="564"/>
      <c r="AH129" s="564"/>
      <c r="AI129" s="564"/>
      <c r="AJ129" s="564"/>
      <c r="AK129" s="564"/>
      <c r="AL129" s="564"/>
      <c r="AM129" s="564"/>
      <c r="AN129" s="564"/>
      <c r="AO129" s="564" t="s">
        <v>9421</v>
      </c>
      <c r="AP129" s="564"/>
      <c r="AQ129" s="564"/>
      <c r="AR129" s="564"/>
      <c r="AS129" s="564"/>
      <c r="AT129" s="564" t="s">
        <v>9749</v>
      </c>
      <c r="AU129" s="564"/>
      <c r="AV129" s="564"/>
      <c r="AW129" s="564"/>
      <c r="AX129" s="564"/>
      <c r="AY129" s="564"/>
      <c r="AZ129" s="564"/>
      <c r="BA129" s="564"/>
      <c r="BB129" s="564"/>
      <c r="BC129" s="564" t="s">
        <v>9423</v>
      </c>
      <c r="BD129" s="564"/>
      <c r="BE129" s="564"/>
      <c r="BF129" s="564"/>
      <c r="BG129" s="564"/>
      <c r="BH129" s="564" t="s">
        <v>9469</v>
      </c>
      <c r="BI129" s="564"/>
      <c r="BJ129" s="564"/>
      <c r="BK129" s="564"/>
      <c r="BL129" s="564"/>
      <c r="BM129" s="564"/>
      <c r="BN129" s="564"/>
      <c r="BO129" s="564"/>
      <c r="BP129" s="564"/>
      <c r="BQ129" s="564" t="s">
        <v>9421</v>
      </c>
      <c r="BR129" s="564"/>
      <c r="BS129" s="564"/>
      <c r="BT129" s="564"/>
      <c r="BU129" s="564"/>
      <c r="BV129" s="564" t="s">
        <v>9470</v>
      </c>
      <c r="BW129" s="564"/>
      <c r="BX129" s="564"/>
      <c r="BY129" s="564"/>
      <c r="BZ129" s="564"/>
      <c r="CA129" s="564"/>
      <c r="CB129" s="564"/>
      <c r="CC129" s="564"/>
      <c r="CD129" s="564"/>
      <c r="CE129" s="564" t="s">
        <v>9421</v>
      </c>
      <c r="CF129" s="564"/>
      <c r="CG129" s="564"/>
      <c r="CH129" s="564"/>
      <c r="CI129" s="564"/>
      <c r="CJ129" s="564" t="s">
        <v>9750</v>
      </c>
      <c r="CK129" s="564"/>
      <c r="CL129" s="564"/>
      <c r="CM129" s="564"/>
      <c r="CN129" s="564"/>
      <c r="CO129" s="564"/>
      <c r="CP129" s="564"/>
      <c r="CQ129" s="564"/>
      <c r="CR129" s="564"/>
      <c r="CS129" s="564" t="s">
        <v>1562</v>
      </c>
      <c r="CT129" s="564"/>
      <c r="CU129" s="564"/>
      <c r="CV129" s="564"/>
      <c r="CW129" s="564"/>
      <c r="CX129" s="564" t="s">
        <v>9472</v>
      </c>
      <c r="CY129" s="564"/>
      <c r="CZ129" s="564"/>
      <c r="DA129" s="564"/>
      <c r="DB129" s="564"/>
      <c r="DC129" s="564"/>
      <c r="DD129" s="564"/>
      <c r="DE129" s="564"/>
      <c r="DF129" s="564"/>
      <c r="DG129" s="564" t="s">
        <v>1562</v>
      </c>
      <c r="DH129" s="564"/>
    </row>
    <row r="130" spans="1:112" s="299" customFormat="1" ht="12.75" x14ac:dyDescent="0.2">
      <c r="A130" s="85"/>
      <c r="B130" s="34"/>
      <c r="C130" s="66" t="str">
        <f t="shared" ca="1" si="101"/>
        <v>AND, STAFF in RESIDENTIAL INSTITUTIONS</v>
      </c>
      <c r="D130" s="16" t="e">
        <f t="shared" si="102"/>
        <v>#N/A</v>
      </c>
      <c r="E130" s="16" t="e">
        <f t="shared" si="102"/>
        <v>#N/A</v>
      </c>
      <c r="F130" s="16" t="e">
        <f t="shared" si="102"/>
        <v>#N/A</v>
      </c>
      <c r="G130" s="16" t="e">
        <f t="shared" si="102"/>
        <v>#N/A</v>
      </c>
      <c r="H130" s="16" t="e">
        <f t="shared" si="102"/>
        <v>#N/A</v>
      </c>
      <c r="I130" s="16" t="e">
        <f t="shared" si="102"/>
        <v>#N/A</v>
      </c>
      <c r="J130" s="16" t="e">
        <f t="shared" si="103"/>
        <v>#N/A</v>
      </c>
      <c r="K130" s="16"/>
      <c r="L130" s="12" t="str">
        <f t="shared" ca="1" si="96"/>
        <v>DM3</v>
      </c>
      <c r="M130" s="567"/>
      <c r="O130" s="564"/>
      <c r="P130" s="564"/>
      <c r="Q130" s="564"/>
      <c r="R130" s="564" t="s">
        <v>3778</v>
      </c>
      <c r="S130" s="564"/>
      <c r="T130" s="564"/>
      <c r="U130" s="564"/>
      <c r="V130" s="564"/>
      <c r="W130" s="564"/>
      <c r="X130" s="564"/>
      <c r="Y130" s="564"/>
      <c r="Z130" s="564"/>
      <c r="AA130" s="564" t="s">
        <v>1562</v>
      </c>
      <c r="AB130" s="564"/>
      <c r="AC130" s="564"/>
      <c r="AD130" s="564"/>
      <c r="AE130" s="564"/>
      <c r="AF130" s="564" t="s">
        <v>9473</v>
      </c>
      <c r="AG130" s="564"/>
      <c r="AH130" s="564"/>
      <c r="AI130" s="564"/>
      <c r="AJ130" s="564"/>
      <c r="AK130" s="564"/>
      <c r="AL130" s="564"/>
      <c r="AM130" s="564"/>
      <c r="AN130" s="564"/>
      <c r="AO130" s="564" t="s">
        <v>9421</v>
      </c>
      <c r="AP130" s="564"/>
      <c r="AQ130" s="564"/>
      <c r="AR130" s="564"/>
      <c r="AS130" s="564"/>
      <c r="AT130" s="564" t="s">
        <v>9599</v>
      </c>
      <c r="AU130" s="564"/>
      <c r="AV130" s="564"/>
      <c r="AW130" s="564"/>
      <c r="AX130" s="564"/>
      <c r="AY130" s="564"/>
      <c r="AZ130" s="564"/>
      <c r="BA130" s="564"/>
      <c r="BB130" s="564"/>
      <c r="BC130" s="564" t="s">
        <v>9423</v>
      </c>
      <c r="BD130" s="564"/>
      <c r="BE130" s="564"/>
      <c r="BF130" s="564"/>
      <c r="BG130" s="564"/>
      <c r="BH130" s="564" t="s">
        <v>9475</v>
      </c>
      <c r="BI130" s="564"/>
      <c r="BJ130" s="564"/>
      <c r="BK130" s="564"/>
      <c r="BL130" s="564"/>
      <c r="BM130" s="564"/>
      <c r="BN130" s="564"/>
      <c r="BO130" s="564"/>
      <c r="BP130" s="564"/>
      <c r="BQ130" s="564" t="s">
        <v>9421</v>
      </c>
      <c r="BR130" s="564"/>
      <c r="BS130" s="564"/>
      <c r="BT130" s="564"/>
      <c r="BU130" s="564"/>
      <c r="BV130" s="564" t="s">
        <v>9476</v>
      </c>
      <c r="BW130" s="564"/>
      <c r="BX130" s="564"/>
      <c r="BY130" s="564"/>
      <c r="BZ130" s="564"/>
      <c r="CA130" s="564"/>
      <c r="CB130" s="564"/>
      <c r="CC130" s="564"/>
      <c r="CD130" s="564"/>
      <c r="CE130" s="564" t="s">
        <v>9421</v>
      </c>
      <c r="CF130" s="564"/>
      <c r="CG130" s="564"/>
      <c r="CH130" s="564"/>
      <c r="CI130" s="564"/>
      <c r="CJ130" s="564" t="s">
        <v>9751</v>
      </c>
      <c r="CK130" s="564"/>
      <c r="CL130" s="564"/>
      <c r="CM130" s="564"/>
      <c r="CN130" s="564"/>
      <c r="CO130" s="564"/>
      <c r="CP130" s="564"/>
      <c r="CQ130" s="564"/>
      <c r="CR130" s="564"/>
      <c r="CS130" s="564" t="s">
        <v>1562</v>
      </c>
      <c r="CT130" s="564"/>
      <c r="CU130" s="564"/>
      <c r="CV130" s="564"/>
      <c r="CW130" s="564"/>
      <c r="CX130" s="564" t="s">
        <v>9478</v>
      </c>
      <c r="CY130" s="564"/>
      <c r="CZ130" s="564"/>
      <c r="DA130" s="564"/>
      <c r="DB130" s="564"/>
      <c r="DC130" s="564"/>
      <c r="DD130" s="564"/>
      <c r="DE130" s="564"/>
      <c r="DF130" s="564"/>
      <c r="DG130" s="564" t="s">
        <v>1562</v>
      </c>
      <c r="DH130" s="564"/>
    </row>
    <row r="131" spans="1:112" s="299" customFormat="1" ht="12.75" x14ac:dyDescent="0.2">
      <c r="A131" s="85"/>
      <c r="B131" s="34"/>
      <c r="C131" s="66" t="str">
        <f t="shared" ca="1" si="101"/>
        <v>Special populations who are Hard-to-Reach</v>
      </c>
      <c r="D131" s="16" t="e">
        <f t="shared" si="102"/>
        <v>#N/A</v>
      </c>
      <c r="E131" s="16" t="e">
        <f t="shared" si="102"/>
        <v>#N/A</v>
      </c>
      <c r="F131" s="16" t="e">
        <f t="shared" si="102"/>
        <v>#N/A</v>
      </c>
      <c r="G131" s="16" t="e">
        <f t="shared" si="102"/>
        <v>#N/A</v>
      </c>
      <c r="H131" s="16" t="e">
        <f t="shared" si="102"/>
        <v>#N/A</v>
      </c>
      <c r="I131" s="16" t="e">
        <f t="shared" si="102"/>
        <v>#N/A</v>
      </c>
      <c r="J131" s="16" t="e">
        <f t="shared" si="103"/>
        <v>#N/A</v>
      </c>
      <c r="K131" s="16"/>
      <c r="L131" s="12" t="str">
        <f t="shared" ca="1" si="96"/>
        <v>DM4</v>
      </c>
      <c r="M131" s="567"/>
      <c r="O131" s="564"/>
      <c r="P131" s="564"/>
      <c r="Q131" s="564"/>
      <c r="R131" s="564" t="s">
        <v>3812</v>
      </c>
      <c r="S131" s="564"/>
      <c r="T131" s="564"/>
      <c r="U131" s="564"/>
      <c r="V131" s="564"/>
      <c r="W131" s="564"/>
      <c r="X131" s="564"/>
      <c r="Y131" s="564"/>
      <c r="Z131" s="564"/>
      <c r="AA131" s="564" t="s">
        <v>1561</v>
      </c>
      <c r="AB131" s="564"/>
      <c r="AC131" s="564"/>
      <c r="AD131" s="564"/>
      <c r="AE131" s="564"/>
      <c r="AF131" s="564" t="s">
        <v>9479</v>
      </c>
      <c r="AG131" s="564"/>
      <c r="AH131" s="564"/>
      <c r="AI131" s="564"/>
      <c r="AJ131" s="564"/>
      <c r="AK131" s="564"/>
      <c r="AL131" s="564"/>
      <c r="AM131" s="564"/>
      <c r="AN131" s="564"/>
      <c r="AO131" s="564" t="s">
        <v>9447</v>
      </c>
      <c r="AP131" s="564"/>
      <c r="AQ131" s="564"/>
      <c r="AR131" s="564"/>
      <c r="AS131" s="564"/>
      <c r="AT131" s="564" t="s">
        <v>9480</v>
      </c>
      <c r="AU131" s="564"/>
      <c r="AV131" s="564"/>
      <c r="AW131" s="564"/>
      <c r="AX131" s="564"/>
      <c r="AY131" s="564"/>
      <c r="AZ131" s="564"/>
      <c r="BA131" s="564"/>
      <c r="BB131" s="564"/>
      <c r="BC131" s="564" t="s">
        <v>9449</v>
      </c>
      <c r="BD131" s="564"/>
      <c r="BE131" s="564"/>
      <c r="BF131" s="564"/>
      <c r="BG131" s="564"/>
      <c r="BH131" s="564" t="s">
        <v>9481</v>
      </c>
      <c r="BI131" s="564"/>
      <c r="BJ131" s="564"/>
      <c r="BK131" s="564"/>
      <c r="BL131" s="564"/>
      <c r="BM131" s="564"/>
      <c r="BN131" s="564"/>
      <c r="BO131" s="564"/>
      <c r="BP131" s="564"/>
      <c r="BQ131" s="564" t="s">
        <v>9447</v>
      </c>
      <c r="BR131" s="564"/>
      <c r="BS131" s="564"/>
      <c r="BT131" s="564"/>
      <c r="BU131" s="564"/>
      <c r="BV131" s="564" t="s">
        <v>9482</v>
      </c>
      <c r="BW131" s="564"/>
      <c r="BX131" s="564"/>
      <c r="BY131" s="564"/>
      <c r="BZ131" s="564"/>
      <c r="CA131" s="564"/>
      <c r="CB131" s="564"/>
      <c r="CC131" s="564"/>
      <c r="CD131" s="564"/>
      <c r="CE131" s="564" t="s">
        <v>9447</v>
      </c>
      <c r="CF131" s="564"/>
      <c r="CG131" s="564"/>
      <c r="CH131" s="564"/>
      <c r="CI131" s="564"/>
      <c r="CJ131" s="564" t="s">
        <v>9600</v>
      </c>
      <c r="CK131" s="564"/>
      <c r="CL131" s="564"/>
      <c r="CM131" s="564"/>
      <c r="CN131" s="564"/>
      <c r="CO131" s="564"/>
      <c r="CP131" s="564"/>
      <c r="CQ131" s="564"/>
      <c r="CR131" s="564"/>
      <c r="CS131" s="564" t="s">
        <v>1561</v>
      </c>
      <c r="CT131" s="564"/>
      <c r="CU131" s="564"/>
      <c r="CV131" s="564"/>
      <c r="CW131" s="564"/>
      <c r="CX131" s="564" t="s">
        <v>9484</v>
      </c>
      <c r="CY131" s="564"/>
      <c r="CZ131" s="564"/>
      <c r="DA131" s="564"/>
      <c r="DB131" s="564"/>
      <c r="DC131" s="564"/>
      <c r="DD131" s="564"/>
      <c r="DE131" s="564"/>
      <c r="DF131" s="564"/>
      <c r="DG131" s="564" t="s">
        <v>1561</v>
      </c>
      <c r="DH131" s="564"/>
    </row>
    <row r="132" spans="1:112" s="299" customFormat="1" ht="12.75" x14ac:dyDescent="0.2">
      <c r="A132" s="85"/>
      <c r="C132" s="376" t="str">
        <f t="shared" ca="1" si="101"/>
        <v>"Hard-to-Reach" but no other priority criteria</v>
      </c>
      <c r="D132" s="16" t="e">
        <f t="shared" si="102"/>
        <v>#N/A</v>
      </c>
      <c r="E132" s="16" t="e">
        <f t="shared" si="102"/>
        <v>#N/A</v>
      </c>
      <c r="F132" s="16" t="e">
        <f t="shared" si="102"/>
        <v>#N/A</v>
      </c>
      <c r="G132" s="16" t="e">
        <f t="shared" si="102"/>
        <v>#N/A</v>
      </c>
      <c r="H132" s="16" t="e">
        <f t="shared" si="102"/>
        <v>#N/A</v>
      </c>
      <c r="I132" s="16" t="e">
        <f t="shared" si="102"/>
        <v>#N/A</v>
      </c>
      <c r="J132" s="16" t="e">
        <f t="shared" si="103"/>
        <v>#N/A</v>
      </c>
      <c r="K132" s="16"/>
      <c r="L132" s="12" t="str">
        <f t="shared" ca="1" si="96"/>
        <v>DM4</v>
      </c>
      <c r="M132" s="567"/>
      <c r="O132" s="564"/>
      <c r="P132" s="564"/>
      <c r="Q132" s="564"/>
      <c r="R132" s="564" t="s">
        <v>3813</v>
      </c>
      <c r="S132" s="564"/>
      <c r="T132" s="564"/>
      <c r="U132" s="564"/>
      <c r="V132" s="564"/>
      <c r="W132" s="564"/>
      <c r="X132" s="564"/>
      <c r="Y132" s="564"/>
      <c r="Z132" s="564"/>
      <c r="AA132" s="564" t="s">
        <v>1561</v>
      </c>
      <c r="AB132" s="564"/>
      <c r="AC132" s="564"/>
      <c r="AD132" s="564"/>
      <c r="AE132" s="564"/>
      <c r="AF132" s="564" t="s">
        <v>9485</v>
      </c>
      <c r="AG132" s="564"/>
      <c r="AH132" s="564"/>
      <c r="AI132" s="564"/>
      <c r="AJ132" s="564"/>
      <c r="AK132" s="564"/>
      <c r="AL132" s="564"/>
      <c r="AM132" s="564"/>
      <c r="AN132" s="564"/>
      <c r="AO132" s="564" t="s">
        <v>9447</v>
      </c>
      <c r="AP132" s="564"/>
      <c r="AQ132" s="564"/>
      <c r="AR132" s="564"/>
      <c r="AS132" s="564"/>
      <c r="AT132" s="564" t="s">
        <v>9486</v>
      </c>
      <c r="AU132" s="564"/>
      <c r="AV132" s="564"/>
      <c r="AW132" s="564"/>
      <c r="AX132" s="564"/>
      <c r="AY132" s="564"/>
      <c r="AZ132" s="564"/>
      <c r="BA132" s="564"/>
      <c r="BB132" s="564"/>
      <c r="BC132" s="564" t="s">
        <v>9449</v>
      </c>
      <c r="BD132" s="564"/>
      <c r="BE132" s="564"/>
      <c r="BF132" s="564"/>
      <c r="BG132" s="564"/>
      <c r="BH132" s="564" t="s">
        <v>9487</v>
      </c>
      <c r="BI132" s="564"/>
      <c r="BJ132" s="564"/>
      <c r="BK132" s="564"/>
      <c r="BL132" s="564"/>
      <c r="BM132" s="564"/>
      <c r="BN132" s="564"/>
      <c r="BO132" s="564"/>
      <c r="BP132" s="564"/>
      <c r="BQ132" s="564" t="s">
        <v>9447</v>
      </c>
      <c r="BR132" s="564"/>
      <c r="BS132" s="564"/>
      <c r="BT132" s="564"/>
      <c r="BU132" s="564"/>
      <c r="BV132" s="564" t="s">
        <v>9488</v>
      </c>
      <c r="BW132" s="564"/>
      <c r="BX132" s="564"/>
      <c r="BY132" s="564"/>
      <c r="BZ132" s="564"/>
      <c r="CA132" s="564"/>
      <c r="CB132" s="564"/>
      <c r="CC132" s="564"/>
      <c r="CD132" s="564"/>
      <c r="CE132" s="564" t="s">
        <v>9447</v>
      </c>
      <c r="CF132" s="564"/>
      <c r="CG132" s="564"/>
      <c r="CH132" s="564"/>
      <c r="CI132" s="564"/>
      <c r="CJ132" s="564" t="s">
        <v>9601</v>
      </c>
      <c r="CK132" s="564"/>
      <c r="CL132" s="564"/>
      <c r="CM132" s="564"/>
      <c r="CN132" s="564"/>
      <c r="CO132" s="564"/>
      <c r="CP132" s="564"/>
      <c r="CQ132" s="564"/>
      <c r="CR132" s="564"/>
      <c r="CS132" s="564" t="s">
        <v>1561</v>
      </c>
      <c r="CT132" s="564"/>
      <c r="CU132" s="564"/>
      <c r="CV132" s="564"/>
      <c r="CW132" s="564"/>
      <c r="CX132" s="564" t="s">
        <v>9490</v>
      </c>
      <c r="CY132" s="564"/>
      <c r="CZ132" s="564"/>
      <c r="DA132" s="564"/>
      <c r="DB132" s="564"/>
      <c r="DC132" s="564"/>
      <c r="DD132" s="564"/>
      <c r="DE132" s="564"/>
      <c r="DF132" s="564"/>
      <c r="DG132" s="564" t="s">
        <v>1561</v>
      </c>
      <c r="DH132" s="564"/>
    </row>
    <row r="133" spans="1:112" s="299" customFormat="1" ht="12.75" x14ac:dyDescent="0.2">
      <c r="A133" s="85"/>
      <c r="C133" s="5"/>
      <c r="D133" s="341"/>
      <c r="E133" s="341"/>
      <c r="F133" s="16"/>
      <c r="G133" s="16"/>
      <c r="H133" s="16"/>
      <c r="I133" s="16"/>
      <c r="J133" s="16"/>
      <c r="L133" s="567"/>
      <c r="M133" s="567"/>
      <c r="O133" s="564"/>
      <c r="P133" s="564"/>
      <c r="Q133" s="564"/>
      <c r="R133" s="564"/>
      <c r="S133" s="564"/>
      <c r="T133" s="564"/>
      <c r="U133" s="564"/>
      <c r="V133" s="564"/>
      <c r="W133" s="564"/>
      <c r="X133" s="564"/>
      <c r="Y133" s="564"/>
      <c r="Z133" s="564"/>
      <c r="AA133" s="564"/>
      <c r="AB133" s="564"/>
      <c r="AC133" s="564"/>
      <c r="AD133" s="564"/>
      <c r="AE133" s="564"/>
      <c r="AF133" s="564"/>
      <c r="AG133" s="564"/>
      <c r="AH133" s="564"/>
      <c r="AI133" s="564"/>
      <c r="AJ133" s="564"/>
      <c r="AK133" s="564"/>
      <c r="AL133" s="564"/>
      <c r="AM133" s="564"/>
      <c r="AN133" s="564"/>
      <c r="AO133" s="564"/>
      <c r="AP133" s="564"/>
      <c r="AQ133" s="564"/>
      <c r="AR133" s="564"/>
      <c r="AS133" s="564"/>
      <c r="AT133" s="564"/>
      <c r="AU133" s="564"/>
      <c r="AV133" s="564"/>
      <c r="AW133" s="564"/>
      <c r="AX133" s="564"/>
      <c r="AY133" s="564"/>
      <c r="AZ133" s="564"/>
      <c r="BA133" s="564"/>
      <c r="BB133" s="564"/>
      <c r="BC133" s="564"/>
      <c r="BD133" s="564"/>
      <c r="BE133" s="564"/>
      <c r="BF133" s="564"/>
      <c r="BG133" s="564"/>
      <c r="BH133" s="564"/>
      <c r="BI133" s="564"/>
      <c r="BJ133" s="564"/>
      <c r="BK133" s="564"/>
      <c r="BL133" s="564"/>
      <c r="BM133" s="564"/>
      <c r="BN133" s="564"/>
      <c r="BO133" s="564"/>
      <c r="BP133" s="564"/>
      <c r="BQ133" s="564"/>
      <c r="BR133" s="564"/>
      <c r="BS133" s="564"/>
      <c r="BT133" s="564"/>
      <c r="BU133" s="564"/>
      <c r="BV133" s="564"/>
      <c r="BW133" s="564"/>
      <c r="BX133" s="564"/>
      <c r="BY133" s="564"/>
      <c r="BZ133" s="564"/>
      <c r="CA133" s="564"/>
      <c r="CB133" s="564"/>
      <c r="CC133" s="564"/>
      <c r="CD133" s="564"/>
      <c r="CE133" s="564"/>
      <c r="CF133" s="564"/>
      <c r="CG133" s="564"/>
      <c r="CH133" s="564"/>
      <c r="CI133" s="564"/>
      <c r="CJ133" s="564"/>
      <c r="CK133" s="564"/>
      <c r="CL133" s="564"/>
      <c r="CM133" s="564"/>
      <c r="CN133" s="564"/>
      <c r="CO133" s="564"/>
      <c r="CP133" s="564"/>
      <c r="CQ133" s="564"/>
      <c r="CR133" s="564"/>
      <c r="CS133" s="564"/>
      <c r="CT133" s="564"/>
      <c r="CU133" s="564"/>
      <c r="CV133" s="564"/>
      <c r="CW133" s="564"/>
      <c r="CX133" s="564"/>
      <c r="CY133" s="564"/>
      <c r="CZ133" s="564"/>
      <c r="DA133" s="564"/>
      <c r="DB133" s="564"/>
      <c r="DC133" s="564"/>
      <c r="DD133" s="564"/>
      <c r="DE133" s="564"/>
      <c r="DF133" s="564"/>
      <c r="DG133" s="564"/>
      <c r="DH133" s="564"/>
    </row>
    <row r="134" spans="1:112" s="299" customFormat="1" ht="25.5" x14ac:dyDescent="0.2">
      <c r="A134" s="85"/>
      <c r="B134" s="34" t="s">
        <v>14438</v>
      </c>
      <c r="C134" s="339" t="str">
        <f t="shared" ref="C134:C140" ca="1" si="104">IF(OFFSET(R134,0,Lang_Order*Lang__B1)="","",OFFSET(R134,0,Lang_Order*Lang__B1))</f>
        <v>Groups with comorbidities or health states determined to be at significantly higher risk of severe disease or death</v>
      </c>
      <c r="D134" s="341"/>
      <c r="E134" s="341"/>
      <c r="F134" s="16"/>
      <c r="G134" s="16"/>
      <c r="H134" s="16"/>
      <c r="I134" s="16"/>
      <c r="J134" s="16"/>
      <c r="L134" s="567"/>
      <c r="M134" s="567"/>
      <c r="O134" s="564"/>
      <c r="P134" s="564"/>
      <c r="Q134" s="564" t="s">
        <v>14438</v>
      </c>
      <c r="R134" s="564" t="s">
        <v>3082</v>
      </c>
      <c r="S134" s="564"/>
      <c r="T134" s="564"/>
      <c r="U134" s="564"/>
      <c r="V134" s="564"/>
      <c r="W134" s="564"/>
      <c r="X134" s="564"/>
      <c r="Y134" s="564"/>
      <c r="Z134" s="564"/>
      <c r="AA134" s="564"/>
      <c r="AB134" s="564"/>
      <c r="AC134" s="564"/>
      <c r="AD134" s="564"/>
      <c r="AE134" s="564" t="s">
        <v>14438</v>
      </c>
      <c r="AF134" s="564" t="s">
        <v>9491</v>
      </c>
      <c r="AG134" s="564"/>
      <c r="AH134" s="564"/>
      <c r="AI134" s="564"/>
      <c r="AJ134" s="564"/>
      <c r="AK134" s="564"/>
      <c r="AL134" s="564"/>
      <c r="AM134" s="564"/>
      <c r="AN134" s="564"/>
      <c r="AO134" s="564"/>
      <c r="AP134" s="564"/>
      <c r="AQ134" s="564"/>
      <c r="AR134" s="564"/>
      <c r="AS134" s="564" t="s">
        <v>14438</v>
      </c>
      <c r="AT134" s="564" t="s">
        <v>9492</v>
      </c>
      <c r="AU134" s="564"/>
      <c r="AV134" s="564"/>
      <c r="AW134" s="564"/>
      <c r="AX134" s="564"/>
      <c r="AY134" s="564"/>
      <c r="AZ134" s="564"/>
      <c r="BA134" s="564"/>
      <c r="BB134" s="564"/>
      <c r="BC134" s="564"/>
      <c r="BD134" s="564"/>
      <c r="BE134" s="564"/>
      <c r="BF134" s="564"/>
      <c r="BG134" s="564" t="s">
        <v>14438</v>
      </c>
      <c r="BH134" s="564" t="s">
        <v>6640</v>
      </c>
      <c r="BI134" s="564"/>
      <c r="BJ134" s="564"/>
      <c r="BK134" s="564"/>
      <c r="BL134" s="564"/>
      <c r="BM134" s="564"/>
      <c r="BN134" s="564"/>
      <c r="BO134" s="564"/>
      <c r="BP134" s="564"/>
      <c r="BQ134" s="564"/>
      <c r="BR134" s="564"/>
      <c r="BS134" s="564"/>
      <c r="BT134" s="564"/>
      <c r="BU134" s="564" t="s">
        <v>14438</v>
      </c>
      <c r="BV134" s="564" t="s">
        <v>9493</v>
      </c>
      <c r="BW134" s="564"/>
      <c r="BX134" s="564"/>
      <c r="BY134" s="564"/>
      <c r="BZ134" s="564"/>
      <c r="CA134" s="564"/>
      <c r="CB134" s="564"/>
      <c r="CC134" s="564"/>
      <c r="CD134" s="564"/>
      <c r="CE134" s="564"/>
      <c r="CF134" s="564"/>
      <c r="CG134" s="564"/>
      <c r="CH134" s="564"/>
      <c r="CI134" s="564" t="s">
        <v>14439</v>
      </c>
      <c r="CJ134" s="564" t="s">
        <v>6642</v>
      </c>
      <c r="CK134" s="564"/>
      <c r="CL134" s="564"/>
      <c r="CM134" s="564"/>
      <c r="CN134" s="564"/>
      <c r="CO134" s="564"/>
      <c r="CP134" s="564"/>
      <c r="CQ134" s="564"/>
      <c r="CR134" s="564"/>
      <c r="CS134" s="564"/>
      <c r="CT134" s="564"/>
      <c r="CU134" s="564"/>
      <c r="CV134" s="564"/>
      <c r="CW134" s="564" t="s">
        <v>14438</v>
      </c>
      <c r="CX134" s="564" t="s">
        <v>6643</v>
      </c>
      <c r="CY134" s="564"/>
      <c r="CZ134" s="564"/>
      <c r="DA134" s="564"/>
      <c r="DB134" s="564"/>
      <c r="DC134" s="564"/>
      <c r="DD134" s="564"/>
      <c r="DE134" s="564"/>
      <c r="DF134" s="564"/>
      <c r="DG134" s="564"/>
      <c r="DH134" s="564"/>
    </row>
    <row r="135" spans="1:112" s="299" customFormat="1" ht="12.75" x14ac:dyDescent="0.2">
      <c r="A135" s="85"/>
      <c r="C135" s="335" t="str">
        <f t="shared" ca="1" si="104"/>
        <v>Hard-to-Reach Underlying health conditions (not pregnant women)</v>
      </c>
      <c r="D135" s="16" t="e">
        <f t="shared" ref="D135:I140" si="105">ROUNDUP(D44*D77,0)</f>
        <v>#N/A</v>
      </c>
      <c r="E135" s="16" t="e">
        <f t="shared" si="105"/>
        <v>#N/A</v>
      </c>
      <c r="F135" s="16" t="e">
        <f t="shared" si="105"/>
        <v>#N/A</v>
      </c>
      <c r="G135" s="16" t="e">
        <f t="shared" si="105"/>
        <v>#N/A</v>
      </c>
      <c r="H135" s="16" t="e">
        <f t="shared" si="105"/>
        <v>#N/A</v>
      </c>
      <c r="I135" s="16" t="e">
        <f t="shared" si="105"/>
        <v>#N/A</v>
      </c>
      <c r="J135" s="16" t="e">
        <f t="shared" ref="J135:J140" si="106">SUM(D135:I135)</f>
        <v>#N/A</v>
      </c>
      <c r="K135" s="16"/>
      <c r="L135" s="12" t="str">
        <f t="shared" ca="1" si="96"/>
        <v>DM4</v>
      </c>
      <c r="M135" s="567"/>
      <c r="O135" s="564"/>
      <c r="P135" s="564"/>
      <c r="Q135" s="564"/>
      <c r="R135" s="564" t="s">
        <v>3814</v>
      </c>
      <c r="S135" s="564"/>
      <c r="T135" s="564"/>
      <c r="U135" s="564"/>
      <c r="V135" s="564"/>
      <c r="W135" s="564"/>
      <c r="X135" s="564"/>
      <c r="Y135" s="564"/>
      <c r="Z135" s="564"/>
      <c r="AA135" s="564" t="s">
        <v>1561</v>
      </c>
      <c r="AB135" s="564"/>
      <c r="AC135" s="564"/>
      <c r="AD135" s="564"/>
      <c r="AE135" s="564"/>
      <c r="AF135" s="564" t="s">
        <v>9494</v>
      </c>
      <c r="AG135" s="564"/>
      <c r="AH135" s="564"/>
      <c r="AI135" s="564"/>
      <c r="AJ135" s="564"/>
      <c r="AK135" s="564"/>
      <c r="AL135" s="564"/>
      <c r="AM135" s="564"/>
      <c r="AN135" s="564"/>
      <c r="AO135" s="564" t="s">
        <v>9447</v>
      </c>
      <c r="AP135" s="564"/>
      <c r="AQ135" s="564"/>
      <c r="AR135" s="564"/>
      <c r="AS135" s="564"/>
      <c r="AT135" s="564" t="s">
        <v>9495</v>
      </c>
      <c r="AU135" s="564"/>
      <c r="AV135" s="564"/>
      <c r="AW135" s="564"/>
      <c r="AX135" s="564"/>
      <c r="AY135" s="564"/>
      <c r="AZ135" s="564"/>
      <c r="BA135" s="564"/>
      <c r="BB135" s="564"/>
      <c r="BC135" s="564" t="s">
        <v>9449</v>
      </c>
      <c r="BD135" s="564"/>
      <c r="BE135" s="564"/>
      <c r="BF135" s="564"/>
      <c r="BG135" s="564"/>
      <c r="BH135" s="564" t="s">
        <v>9496</v>
      </c>
      <c r="BI135" s="564"/>
      <c r="BJ135" s="564"/>
      <c r="BK135" s="564"/>
      <c r="BL135" s="564"/>
      <c r="BM135" s="564"/>
      <c r="BN135" s="564"/>
      <c r="BO135" s="564"/>
      <c r="BP135" s="564"/>
      <c r="BQ135" s="564" t="s">
        <v>9447</v>
      </c>
      <c r="BR135" s="564"/>
      <c r="BS135" s="564"/>
      <c r="BT135" s="564"/>
      <c r="BU135" s="564"/>
      <c r="BV135" s="564" t="s">
        <v>9497</v>
      </c>
      <c r="BW135" s="564"/>
      <c r="BX135" s="564"/>
      <c r="BY135" s="564"/>
      <c r="BZ135" s="564"/>
      <c r="CA135" s="564"/>
      <c r="CB135" s="564"/>
      <c r="CC135" s="564"/>
      <c r="CD135" s="564"/>
      <c r="CE135" s="564" t="s">
        <v>9447</v>
      </c>
      <c r="CF135" s="564"/>
      <c r="CG135" s="564"/>
      <c r="CH135" s="564"/>
      <c r="CI135" s="564"/>
      <c r="CJ135" s="564" t="s">
        <v>9498</v>
      </c>
      <c r="CK135" s="564"/>
      <c r="CL135" s="564"/>
      <c r="CM135" s="564"/>
      <c r="CN135" s="564"/>
      <c r="CO135" s="564"/>
      <c r="CP135" s="564"/>
      <c r="CQ135" s="564"/>
      <c r="CR135" s="564"/>
      <c r="CS135" s="564" t="s">
        <v>1561</v>
      </c>
      <c r="CT135" s="564"/>
      <c r="CU135" s="564"/>
      <c r="CV135" s="564"/>
      <c r="CW135" s="564"/>
      <c r="CX135" s="564" t="s">
        <v>9499</v>
      </c>
      <c r="CY135" s="564"/>
      <c r="CZ135" s="564"/>
      <c r="DA135" s="564"/>
      <c r="DB135" s="564"/>
      <c r="DC135" s="564"/>
      <c r="DD135" s="564"/>
      <c r="DE135" s="564"/>
      <c r="DF135" s="564"/>
      <c r="DG135" s="564" t="s">
        <v>1561</v>
      </c>
      <c r="DH135" s="564"/>
    </row>
    <row r="136" spans="1:112" s="299" customFormat="1" ht="12.75" x14ac:dyDescent="0.2">
      <c r="A136" s="85"/>
      <c r="C136" s="23" t="str">
        <f t="shared" ca="1" si="104"/>
        <v>AND, their households members</v>
      </c>
      <c r="D136" s="16" t="e">
        <f t="shared" si="105"/>
        <v>#N/A</v>
      </c>
      <c r="E136" s="16" t="e">
        <f t="shared" si="105"/>
        <v>#N/A</v>
      </c>
      <c r="F136" s="16" t="e">
        <f t="shared" si="105"/>
        <v>#N/A</v>
      </c>
      <c r="G136" s="16" t="e">
        <f t="shared" si="105"/>
        <v>#N/A</v>
      </c>
      <c r="H136" s="16" t="e">
        <f t="shared" si="105"/>
        <v>#N/A</v>
      </c>
      <c r="I136" s="16" t="e">
        <f t="shared" si="105"/>
        <v>#N/A</v>
      </c>
      <c r="J136" s="16" t="e">
        <f t="shared" si="106"/>
        <v>#N/A</v>
      </c>
      <c r="K136" s="16"/>
      <c r="L136" s="12" t="str">
        <f t="shared" ca="1" si="96"/>
        <v>DM4</v>
      </c>
      <c r="M136" s="567"/>
      <c r="O136" s="564"/>
      <c r="P136" s="564"/>
      <c r="Q136" s="564"/>
      <c r="R136" s="564" t="s">
        <v>3790</v>
      </c>
      <c r="S136" s="564"/>
      <c r="T136" s="564"/>
      <c r="U136" s="564"/>
      <c r="V136" s="564"/>
      <c r="W136" s="564"/>
      <c r="X136" s="564"/>
      <c r="Y136" s="564"/>
      <c r="Z136" s="564"/>
      <c r="AA136" s="564" t="s">
        <v>1561</v>
      </c>
      <c r="AB136" s="564"/>
      <c r="AC136" s="564"/>
      <c r="AD136" s="564"/>
      <c r="AE136" s="564"/>
      <c r="AF136" s="564" t="s">
        <v>9440</v>
      </c>
      <c r="AG136" s="564"/>
      <c r="AH136" s="564"/>
      <c r="AI136" s="564"/>
      <c r="AJ136" s="564"/>
      <c r="AK136" s="564"/>
      <c r="AL136" s="564"/>
      <c r="AM136" s="564"/>
      <c r="AN136" s="564"/>
      <c r="AO136" s="564" t="s">
        <v>9447</v>
      </c>
      <c r="AP136" s="564"/>
      <c r="AQ136" s="564"/>
      <c r="AR136" s="564"/>
      <c r="AS136" s="564"/>
      <c r="AT136" s="564" t="s">
        <v>9441</v>
      </c>
      <c r="AU136" s="564"/>
      <c r="AV136" s="564"/>
      <c r="AW136" s="564"/>
      <c r="AX136" s="564"/>
      <c r="AY136" s="564"/>
      <c r="AZ136" s="564"/>
      <c r="BA136" s="564"/>
      <c r="BB136" s="564"/>
      <c r="BC136" s="564" t="s">
        <v>9449</v>
      </c>
      <c r="BD136" s="564"/>
      <c r="BE136" s="564"/>
      <c r="BF136" s="564"/>
      <c r="BG136" s="564"/>
      <c r="BH136" s="564" t="s">
        <v>9442</v>
      </c>
      <c r="BI136" s="564"/>
      <c r="BJ136" s="564"/>
      <c r="BK136" s="564"/>
      <c r="BL136" s="564"/>
      <c r="BM136" s="564"/>
      <c r="BN136" s="564"/>
      <c r="BO136" s="564"/>
      <c r="BP136" s="564"/>
      <c r="BQ136" s="564" t="s">
        <v>9447</v>
      </c>
      <c r="BR136" s="564"/>
      <c r="BS136" s="564"/>
      <c r="BT136" s="564"/>
      <c r="BU136" s="564"/>
      <c r="BV136" s="564" t="s">
        <v>9443</v>
      </c>
      <c r="BW136" s="564"/>
      <c r="BX136" s="564"/>
      <c r="BY136" s="564"/>
      <c r="BZ136" s="564"/>
      <c r="CA136" s="564"/>
      <c r="CB136" s="564"/>
      <c r="CC136" s="564"/>
      <c r="CD136" s="564"/>
      <c r="CE136" s="564" t="s">
        <v>9447</v>
      </c>
      <c r="CF136" s="564"/>
      <c r="CG136" s="564"/>
      <c r="CH136" s="564"/>
      <c r="CI136" s="564"/>
      <c r="CJ136" s="564" t="s">
        <v>9595</v>
      </c>
      <c r="CK136" s="564"/>
      <c r="CL136" s="564"/>
      <c r="CM136" s="564"/>
      <c r="CN136" s="564"/>
      <c r="CO136" s="564"/>
      <c r="CP136" s="564"/>
      <c r="CQ136" s="564"/>
      <c r="CR136" s="564"/>
      <c r="CS136" s="564" t="s">
        <v>1561</v>
      </c>
      <c r="CT136" s="564"/>
      <c r="CU136" s="564"/>
      <c r="CV136" s="564"/>
      <c r="CW136" s="564"/>
      <c r="CX136" s="564" t="s">
        <v>9445</v>
      </c>
      <c r="CY136" s="564"/>
      <c r="CZ136" s="564"/>
      <c r="DA136" s="564"/>
      <c r="DB136" s="564"/>
      <c r="DC136" s="564"/>
      <c r="DD136" s="564"/>
      <c r="DE136" s="564"/>
      <c r="DF136" s="564"/>
      <c r="DG136" s="564" t="s">
        <v>1561</v>
      </c>
      <c r="DH136" s="564"/>
    </row>
    <row r="137" spans="1:112" s="299" customFormat="1" ht="12.75" x14ac:dyDescent="0.2">
      <c r="A137" s="85"/>
      <c r="C137" s="335" t="str">
        <f t="shared" ca="1" si="104"/>
        <v>Easier-to-Access Underlying health conditions (not pregnant women)</v>
      </c>
      <c r="D137" s="16" t="e">
        <f t="shared" si="105"/>
        <v>#N/A</v>
      </c>
      <c r="E137" s="16" t="e">
        <f t="shared" si="105"/>
        <v>#N/A</v>
      </c>
      <c r="F137" s="16" t="e">
        <f t="shared" si="105"/>
        <v>#N/A</v>
      </c>
      <c r="G137" s="16" t="e">
        <f t="shared" si="105"/>
        <v>#N/A</v>
      </c>
      <c r="H137" s="16" t="e">
        <f t="shared" si="105"/>
        <v>#N/A</v>
      </c>
      <c r="I137" s="16" t="e">
        <f t="shared" si="105"/>
        <v>#N/A</v>
      </c>
      <c r="J137" s="16" t="e">
        <f t="shared" si="106"/>
        <v>#N/A</v>
      </c>
      <c r="K137" s="16"/>
      <c r="L137" s="12" t="str">
        <f t="shared" ca="1" si="96"/>
        <v>Voluntary DM1 / DM2</v>
      </c>
      <c r="M137" s="567"/>
      <c r="O137" s="564"/>
      <c r="P137" s="564"/>
      <c r="Q137" s="564"/>
      <c r="R137" s="564" t="s">
        <v>3799</v>
      </c>
      <c r="S137" s="564"/>
      <c r="T137" s="564"/>
      <c r="U137" s="564"/>
      <c r="V137" s="564"/>
      <c r="W137" s="564"/>
      <c r="X137" s="564"/>
      <c r="Y137" s="564"/>
      <c r="Z137" s="564"/>
      <c r="AA137" s="564" t="s">
        <v>3014</v>
      </c>
      <c r="AB137" s="564"/>
      <c r="AC137" s="564"/>
      <c r="AD137" s="564"/>
      <c r="AE137" s="564"/>
      <c r="AF137" s="564" t="s">
        <v>9501</v>
      </c>
      <c r="AG137" s="564"/>
      <c r="AH137" s="564"/>
      <c r="AI137" s="564"/>
      <c r="AJ137" s="564"/>
      <c r="AK137" s="564"/>
      <c r="AL137" s="564"/>
      <c r="AM137" s="564"/>
      <c r="AN137" s="564"/>
      <c r="AO137" s="564" t="s">
        <v>9406</v>
      </c>
      <c r="AP137" s="564"/>
      <c r="AQ137" s="564"/>
      <c r="AR137" s="564"/>
      <c r="AS137" s="564"/>
      <c r="AT137" s="564" t="s">
        <v>9502</v>
      </c>
      <c r="AU137" s="564"/>
      <c r="AV137" s="564"/>
      <c r="AW137" s="564"/>
      <c r="AX137" s="564"/>
      <c r="AY137" s="564"/>
      <c r="AZ137" s="564"/>
      <c r="BA137" s="564"/>
      <c r="BB137" s="564"/>
      <c r="BC137" s="564" t="s">
        <v>9408</v>
      </c>
      <c r="BD137" s="564"/>
      <c r="BE137" s="564"/>
      <c r="BF137" s="564"/>
      <c r="BG137" s="564"/>
      <c r="BH137" s="564" t="s">
        <v>9503</v>
      </c>
      <c r="BI137" s="564"/>
      <c r="BJ137" s="564"/>
      <c r="BK137" s="564"/>
      <c r="BL137" s="564"/>
      <c r="BM137" s="564"/>
      <c r="BN137" s="564"/>
      <c r="BO137" s="564"/>
      <c r="BP137" s="564"/>
      <c r="BQ137" s="564" t="s">
        <v>9410</v>
      </c>
      <c r="BR137" s="564"/>
      <c r="BS137" s="564"/>
      <c r="BT137" s="564"/>
      <c r="BU137" s="564"/>
      <c r="BV137" s="564" t="s">
        <v>9504</v>
      </c>
      <c r="BW137" s="564"/>
      <c r="BX137" s="564"/>
      <c r="BY137" s="564"/>
      <c r="BZ137" s="564"/>
      <c r="CA137" s="564"/>
      <c r="CB137" s="564"/>
      <c r="CC137" s="564"/>
      <c r="CD137" s="564"/>
      <c r="CE137" s="564" t="s">
        <v>9412</v>
      </c>
      <c r="CF137" s="564"/>
      <c r="CG137" s="564"/>
      <c r="CH137" s="564"/>
      <c r="CI137" s="564"/>
      <c r="CJ137" s="564" t="s">
        <v>9752</v>
      </c>
      <c r="CK137" s="564"/>
      <c r="CL137" s="564"/>
      <c r="CM137" s="564"/>
      <c r="CN137" s="564"/>
      <c r="CO137" s="564"/>
      <c r="CP137" s="564"/>
      <c r="CQ137" s="564"/>
      <c r="CR137" s="564"/>
      <c r="CS137" s="564" t="s">
        <v>9414</v>
      </c>
      <c r="CT137" s="564"/>
      <c r="CU137" s="564"/>
      <c r="CV137" s="564"/>
      <c r="CW137" s="564"/>
      <c r="CX137" s="564" t="s">
        <v>9506</v>
      </c>
      <c r="CY137" s="564"/>
      <c r="CZ137" s="564"/>
      <c r="DA137" s="564"/>
      <c r="DB137" s="564"/>
      <c r="DC137" s="564"/>
      <c r="DD137" s="564"/>
      <c r="DE137" s="564"/>
      <c r="DF137" s="564"/>
      <c r="DG137" s="564" t="s">
        <v>9415</v>
      </c>
      <c r="DH137" s="564"/>
    </row>
    <row r="138" spans="1:112" s="299" customFormat="1" ht="12.75" x14ac:dyDescent="0.2">
      <c r="A138" s="85"/>
      <c r="C138" s="23" t="str">
        <f t="shared" ca="1" si="104"/>
        <v>AND, their households members</v>
      </c>
      <c r="D138" s="16" t="e">
        <f t="shared" si="105"/>
        <v>#N/A</v>
      </c>
      <c r="E138" s="16" t="e">
        <f t="shared" si="105"/>
        <v>#N/A</v>
      </c>
      <c r="F138" s="16" t="e">
        <f t="shared" si="105"/>
        <v>#N/A</v>
      </c>
      <c r="G138" s="16" t="e">
        <f t="shared" si="105"/>
        <v>#N/A</v>
      </c>
      <c r="H138" s="16" t="e">
        <f t="shared" si="105"/>
        <v>#N/A</v>
      </c>
      <c r="I138" s="16" t="e">
        <f t="shared" si="105"/>
        <v>#N/A</v>
      </c>
      <c r="J138" s="16" t="e">
        <f t="shared" si="106"/>
        <v>#N/A</v>
      </c>
      <c r="K138" s="16"/>
      <c r="L138" s="12" t="str">
        <f t="shared" ca="1" si="96"/>
        <v>Voluntary DM1 / DM2</v>
      </c>
      <c r="M138" s="567"/>
      <c r="O138" s="564"/>
      <c r="P138" s="564"/>
      <c r="Q138" s="564"/>
      <c r="R138" s="564" t="s">
        <v>3790</v>
      </c>
      <c r="S138" s="564"/>
      <c r="T138" s="564"/>
      <c r="U138" s="564"/>
      <c r="V138" s="564"/>
      <c r="W138" s="564"/>
      <c r="X138" s="564"/>
      <c r="Y138" s="564"/>
      <c r="Z138" s="564"/>
      <c r="AA138" s="564" t="s">
        <v>3014</v>
      </c>
      <c r="AB138" s="564"/>
      <c r="AC138" s="564"/>
      <c r="AD138" s="564"/>
      <c r="AE138" s="564"/>
      <c r="AF138" s="564" t="s">
        <v>9440</v>
      </c>
      <c r="AG138" s="564"/>
      <c r="AH138" s="564"/>
      <c r="AI138" s="564"/>
      <c r="AJ138" s="564"/>
      <c r="AK138" s="564"/>
      <c r="AL138" s="564"/>
      <c r="AM138" s="564"/>
      <c r="AN138" s="564"/>
      <c r="AO138" s="564" t="s">
        <v>9406</v>
      </c>
      <c r="AP138" s="564"/>
      <c r="AQ138" s="564"/>
      <c r="AR138" s="564"/>
      <c r="AS138" s="564"/>
      <c r="AT138" s="564" t="s">
        <v>9441</v>
      </c>
      <c r="AU138" s="564"/>
      <c r="AV138" s="564"/>
      <c r="AW138" s="564"/>
      <c r="AX138" s="564"/>
      <c r="AY138" s="564"/>
      <c r="AZ138" s="564"/>
      <c r="BA138" s="564"/>
      <c r="BB138" s="564"/>
      <c r="BC138" s="564" t="s">
        <v>9408</v>
      </c>
      <c r="BD138" s="564"/>
      <c r="BE138" s="564"/>
      <c r="BF138" s="564"/>
      <c r="BG138" s="564"/>
      <c r="BH138" s="564" t="s">
        <v>9442</v>
      </c>
      <c r="BI138" s="564"/>
      <c r="BJ138" s="564"/>
      <c r="BK138" s="564"/>
      <c r="BL138" s="564"/>
      <c r="BM138" s="564"/>
      <c r="BN138" s="564"/>
      <c r="BO138" s="564"/>
      <c r="BP138" s="564"/>
      <c r="BQ138" s="564" t="s">
        <v>9410</v>
      </c>
      <c r="BR138" s="564"/>
      <c r="BS138" s="564"/>
      <c r="BT138" s="564"/>
      <c r="BU138" s="564"/>
      <c r="BV138" s="564" t="s">
        <v>9443</v>
      </c>
      <c r="BW138" s="564"/>
      <c r="BX138" s="564"/>
      <c r="BY138" s="564"/>
      <c r="BZ138" s="564"/>
      <c r="CA138" s="564"/>
      <c r="CB138" s="564"/>
      <c r="CC138" s="564"/>
      <c r="CD138" s="564"/>
      <c r="CE138" s="564" t="s">
        <v>9412</v>
      </c>
      <c r="CF138" s="564"/>
      <c r="CG138" s="564"/>
      <c r="CH138" s="564"/>
      <c r="CI138" s="564"/>
      <c r="CJ138" s="564" t="s">
        <v>9595</v>
      </c>
      <c r="CK138" s="564"/>
      <c r="CL138" s="564"/>
      <c r="CM138" s="564"/>
      <c r="CN138" s="564"/>
      <c r="CO138" s="564"/>
      <c r="CP138" s="564"/>
      <c r="CQ138" s="564"/>
      <c r="CR138" s="564"/>
      <c r="CS138" s="564" t="s">
        <v>9414</v>
      </c>
      <c r="CT138" s="564"/>
      <c r="CU138" s="564"/>
      <c r="CV138" s="564"/>
      <c r="CW138" s="564"/>
      <c r="CX138" s="564" t="s">
        <v>9445</v>
      </c>
      <c r="CY138" s="564"/>
      <c r="CZ138" s="564"/>
      <c r="DA138" s="564"/>
      <c r="DB138" s="564"/>
      <c r="DC138" s="564"/>
      <c r="DD138" s="564"/>
      <c r="DE138" s="564"/>
      <c r="DF138" s="564"/>
      <c r="DG138" s="564" t="s">
        <v>9415</v>
      </c>
      <c r="DH138" s="564"/>
    </row>
    <row r="139" spans="1:112" s="299" customFormat="1" ht="12.75" x14ac:dyDescent="0.2">
      <c r="A139" s="85"/>
      <c r="C139" s="23" t="str">
        <f t="shared" ca="1" si="104"/>
        <v>Hard-to-Reach Pregnant Women</v>
      </c>
      <c r="D139" s="16" t="e">
        <f t="shared" si="105"/>
        <v>#N/A</v>
      </c>
      <c r="E139" s="16" t="e">
        <f t="shared" si="105"/>
        <v>#N/A</v>
      </c>
      <c r="F139" s="16" t="e">
        <f t="shared" si="105"/>
        <v>#N/A</v>
      </c>
      <c r="G139" s="16" t="e">
        <f t="shared" si="105"/>
        <v>#N/A</v>
      </c>
      <c r="H139" s="16" t="e">
        <f t="shared" si="105"/>
        <v>#N/A</v>
      </c>
      <c r="I139" s="16" t="e">
        <f t="shared" si="105"/>
        <v>#N/A</v>
      </c>
      <c r="J139" s="16" t="e">
        <f t="shared" si="106"/>
        <v>#N/A</v>
      </c>
      <c r="K139" s="16"/>
      <c r="L139" s="12" t="str">
        <f t="shared" ca="1" si="96"/>
        <v>DM4</v>
      </c>
      <c r="M139" s="567"/>
      <c r="O139" s="564"/>
      <c r="P139" s="564"/>
      <c r="Q139" s="564"/>
      <c r="R139" s="564" t="s">
        <v>3815</v>
      </c>
      <c r="S139" s="564"/>
      <c r="T139" s="564"/>
      <c r="U139" s="564"/>
      <c r="V139" s="564"/>
      <c r="W139" s="564"/>
      <c r="X139" s="564"/>
      <c r="Y139" s="564"/>
      <c r="Z139" s="564"/>
      <c r="AA139" s="564" t="s">
        <v>1561</v>
      </c>
      <c r="AB139" s="564"/>
      <c r="AC139" s="564"/>
      <c r="AD139" s="564"/>
      <c r="AE139" s="564"/>
      <c r="AF139" s="564" t="s">
        <v>9507</v>
      </c>
      <c r="AG139" s="564"/>
      <c r="AH139" s="564"/>
      <c r="AI139" s="564"/>
      <c r="AJ139" s="564"/>
      <c r="AK139" s="564"/>
      <c r="AL139" s="564"/>
      <c r="AM139" s="564"/>
      <c r="AN139" s="564"/>
      <c r="AO139" s="564" t="s">
        <v>9447</v>
      </c>
      <c r="AP139" s="564"/>
      <c r="AQ139" s="564"/>
      <c r="AR139" s="564"/>
      <c r="AS139" s="564"/>
      <c r="AT139" s="564" t="s">
        <v>9508</v>
      </c>
      <c r="AU139" s="564"/>
      <c r="AV139" s="564"/>
      <c r="AW139" s="564"/>
      <c r="AX139" s="564"/>
      <c r="AY139" s="564"/>
      <c r="AZ139" s="564"/>
      <c r="BA139" s="564"/>
      <c r="BB139" s="564"/>
      <c r="BC139" s="564" t="s">
        <v>9449</v>
      </c>
      <c r="BD139" s="564"/>
      <c r="BE139" s="564"/>
      <c r="BF139" s="564"/>
      <c r="BG139" s="564"/>
      <c r="BH139" s="564" t="s">
        <v>9509</v>
      </c>
      <c r="BI139" s="564"/>
      <c r="BJ139" s="564"/>
      <c r="BK139" s="564"/>
      <c r="BL139" s="564"/>
      <c r="BM139" s="564"/>
      <c r="BN139" s="564"/>
      <c r="BO139" s="564"/>
      <c r="BP139" s="564"/>
      <c r="BQ139" s="564" t="s">
        <v>9447</v>
      </c>
      <c r="BR139" s="564"/>
      <c r="BS139" s="564"/>
      <c r="BT139" s="564"/>
      <c r="BU139" s="564"/>
      <c r="BV139" s="564" t="s">
        <v>9510</v>
      </c>
      <c r="BW139" s="564"/>
      <c r="BX139" s="564"/>
      <c r="BY139" s="564"/>
      <c r="BZ139" s="564"/>
      <c r="CA139" s="564"/>
      <c r="CB139" s="564"/>
      <c r="CC139" s="564"/>
      <c r="CD139" s="564"/>
      <c r="CE139" s="564" t="s">
        <v>9447</v>
      </c>
      <c r="CF139" s="564"/>
      <c r="CG139" s="564"/>
      <c r="CH139" s="564"/>
      <c r="CI139" s="564"/>
      <c r="CJ139" s="564" t="s">
        <v>9753</v>
      </c>
      <c r="CK139" s="564"/>
      <c r="CL139" s="564"/>
      <c r="CM139" s="564"/>
      <c r="CN139" s="564"/>
      <c r="CO139" s="564"/>
      <c r="CP139" s="564"/>
      <c r="CQ139" s="564"/>
      <c r="CR139" s="564"/>
      <c r="CS139" s="564" t="s">
        <v>1561</v>
      </c>
      <c r="CT139" s="564"/>
      <c r="CU139" s="564"/>
      <c r="CV139" s="564"/>
      <c r="CW139" s="564"/>
      <c r="CX139" s="564" t="s">
        <v>9512</v>
      </c>
      <c r="CY139" s="564"/>
      <c r="CZ139" s="564"/>
      <c r="DA139" s="564"/>
      <c r="DB139" s="564"/>
      <c r="DC139" s="564"/>
      <c r="DD139" s="564"/>
      <c r="DE139" s="564"/>
      <c r="DF139" s="564"/>
      <c r="DG139" s="564" t="s">
        <v>1561</v>
      </c>
      <c r="DH139" s="564"/>
    </row>
    <row r="140" spans="1:112" s="299" customFormat="1" ht="12.75" x14ac:dyDescent="0.2">
      <c r="A140" s="85"/>
      <c r="C140" s="23" t="str">
        <f t="shared" ca="1" si="104"/>
        <v>Easy-to-access Pregnant women</v>
      </c>
      <c r="D140" s="16" t="e">
        <f t="shared" si="105"/>
        <v>#N/A</v>
      </c>
      <c r="E140" s="16" t="e">
        <f t="shared" si="105"/>
        <v>#N/A</v>
      </c>
      <c r="F140" s="16" t="e">
        <f t="shared" si="105"/>
        <v>#N/A</v>
      </c>
      <c r="G140" s="16" t="e">
        <f t="shared" si="105"/>
        <v>#N/A</v>
      </c>
      <c r="H140" s="16" t="e">
        <f t="shared" si="105"/>
        <v>#N/A</v>
      </c>
      <c r="I140" s="16" t="e">
        <f t="shared" si="105"/>
        <v>#N/A</v>
      </c>
      <c r="J140" s="16" t="e">
        <f t="shared" si="106"/>
        <v>#N/A</v>
      </c>
      <c r="K140" s="16"/>
      <c r="L140" s="12" t="str">
        <f t="shared" ca="1" si="96"/>
        <v>Voluntary DM1 / DM2</v>
      </c>
      <c r="M140" s="567"/>
      <c r="O140" s="564"/>
      <c r="P140" s="564"/>
      <c r="Q140" s="564"/>
      <c r="R140" s="564" t="s">
        <v>3791</v>
      </c>
      <c r="S140" s="564"/>
      <c r="T140" s="564"/>
      <c r="U140" s="564"/>
      <c r="V140" s="564"/>
      <c r="W140" s="564"/>
      <c r="X140" s="564"/>
      <c r="Y140" s="564"/>
      <c r="Z140" s="564"/>
      <c r="AA140" s="564" t="s">
        <v>3014</v>
      </c>
      <c r="AB140" s="564"/>
      <c r="AC140" s="564"/>
      <c r="AD140" s="564"/>
      <c r="AE140" s="564"/>
      <c r="AF140" s="564" t="s">
        <v>9513</v>
      </c>
      <c r="AG140" s="564"/>
      <c r="AH140" s="564"/>
      <c r="AI140" s="564"/>
      <c r="AJ140" s="564"/>
      <c r="AK140" s="564"/>
      <c r="AL140" s="564"/>
      <c r="AM140" s="564"/>
      <c r="AN140" s="564"/>
      <c r="AO140" s="564" t="s">
        <v>9406</v>
      </c>
      <c r="AP140" s="564"/>
      <c r="AQ140" s="564"/>
      <c r="AR140" s="564"/>
      <c r="AS140" s="564"/>
      <c r="AT140" s="564" t="s">
        <v>9514</v>
      </c>
      <c r="AU140" s="564"/>
      <c r="AV140" s="564"/>
      <c r="AW140" s="564"/>
      <c r="AX140" s="564"/>
      <c r="AY140" s="564"/>
      <c r="AZ140" s="564"/>
      <c r="BA140" s="564"/>
      <c r="BB140" s="564"/>
      <c r="BC140" s="564" t="s">
        <v>9408</v>
      </c>
      <c r="BD140" s="564"/>
      <c r="BE140" s="564"/>
      <c r="BF140" s="564"/>
      <c r="BG140" s="564"/>
      <c r="BH140" s="564" t="s">
        <v>9515</v>
      </c>
      <c r="BI140" s="564"/>
      <c r="BJ140" s="564"/>
      <c r="BK140" s="564"/>
      <c r="BL140" s="564"/>
      <c r="BM140" s="564"/>
      <c r="BN140" s="564"/>
      <c r="BO140" s="564"/>
      <c r="BP140" s="564"/>
      <c r="BQ140" s="564" t="s">
        <v>9410</v>
      </c>
      <c r="BR140" s="564"/>
      <c r="BS140" s="564"/>
      <c r="BT140" s="564"/>
      <c r="BU140" s="564"/>
      <c r="BV140" s="564" t="s">
        <v>9516</v>
      </c>
      <c r="BW140" s="564"/>
      <c r="BX140" s="564"/>
      <c r="BY140" s="564"/>
      <c r="BZ140" s="564"/>
      <c r="CA140" s="564"/>
      <c r="CB140" s="564"/>
      <c r="CC140" s="564"/>
      <c r="CD140" s="564"/>
      <c r="CE140" s="564" t="s">
        <v>9412</v>
      </c>
      <c r="CF140" s="564"/>
      <c r="CG140" s="564"/>
      <c r="CH140" s="564"/>
      <c r="CI140" s="564"/>
      <c r="CJ140" s="564" t="s">
        <v>9754</v>
      </c>
      <c r="CK140" s="564"/>
      <c r="CL140" s="564"/>
      <c r="CM140" s="564"/>
      <c r="CN140" s="564"/>
      <c r="CO140" s="564"/>
      <c r="CP140" s="564"/>
      <c r="CQ140" s="564"/>
      <c r="CR140" s="564"/>
      <c r="CS140" s="564" t="s">
        <v>9414</v>
      </c>
      <c r="CT140" s="564"/>
      <c r="CU140" s="564"/>
      <c r="CV140" s="564"/>
      <c r="CW140" s="564"/>
      <c r="CX140" s="564" t="s">
        <v>9518</v>
      </c>
      <c r="CY140" s="564"/>
      <c r="CZ140" s="564"/>
      <c r="DA140" s="564"/>
      <c r="DB140" s="564"/>
      <c r="DC140" s="564"/>
      <c r="DD140" s="564"/>
      <c r="DE140" s="564"/>
      <c r="DF140" s="564"/>
      <c r="DG140" s="564" t="s">
        <v>9415</v>
      </c>
      <c r="DH140" s="564"/>
    </row>
    <row r="141" spans="1:112" s="299" customFormat="1" ht="12.75" x14ac:dyDescent="0.2">
      <c r="A141" s="85"/>
      <c r="C141" s="5"/>
      <c r="D141" s="341"/>
      <c r="E141" s="341"/>
      <c r="F141" s="16"/>
      <c r="G141" s="16"/>
      <c r="H141" s="16"/>
      <c r="I141" s="16"/>
      <c r="J141" s="16"/>
      <c r="L141" s="567"/>
      <c r="M141" s="567"/>
      <c r="O141" s="564"/>
      <c r="P141" s="564"/>
      <c r="Q141" s="564"/>
      <c r="R141" s="564"/>
      <c r="S141" s="564"/>
      <c r="T141" s="564"/>
      <c r="U141" s="564"/>
      <c r="V141" s="564"/>
      <c r="W141" s="564"/>
      <c r="X141" s="564"/>
      <c r="Y141" s="564"/>
      <c r="Z141" s="564"/>
      <c r="AA141" s="564"/>
      <c r="AB141" s="564"/>
      <c r="AC141" s="564"/>
      <c r="AD141" s="564"/>
      <c r="AE141" s="564"/>
      <c r="AF141" s="564"/>
      <c r="AG141" s="564"/>
      <c r="AH141" s="564"/>
      <c r="AI141" s="564"/>
      <c r="AJ141" s="564"/>
      <c r="AK141" s="564"/>
      <c r="AL141" s="564"/>
      <c r="AM141" s="564"/>
      <c r="AN141" s="564"/>
      <c r="AO141" s="564"/>
      <c r="AP141" s="564"/>
      <c r="AQ141" s="564"/>
      <c r="AR141" s="564"/>
      <c r="AS141" s="564"/>
      <c r="AT141" s="564"/>
      <c r="AU141" s="564"/>
      <c r="AV141" s="564"/>
      <c r="AW141" s="564"/>
      <c r="AX141" s="564"/>
      <c r="AY141" s="564"/>
      <c r="AZ141" s="564"/>
      <c r="BA141" s="564"/>
      <c r="BB141" s="564"/>
      <c r="BC141" s="564"/>
      <c r="BD141" s="564"/>
      <c r="BE141" s="564"/>
      <c r="BF141" s="564"/>
      <c r="BG141" s="564"/>
      <c r="BH141" s="564"/>
      <c r="BI141" s="564"/>
      <c r="BJ141" s="564"/>
      <c r="BK141" s="564"/>
      <c r="BL141" s="564"/>
      <c r="BM141" s="564"/>
      <c r="BN141" s="564"/>
      <c r="BO141" s="564"/>
      <c r="BP141" s="564"/>
      <c r="BQ141" s="564"/>
      <c r="BR141" s="564"/>
      <c r="BS141" s="564"/>
      <c r="BT141" s="564"/>
      <c r="BU141" s="564"/>
      <c r="BV141" s="564"/>
      <c r="BW141" s="564"/>
      <c r="BX141" s="564"/>
      <c r="BY141" s="564"/>
      <c r="BZ141" s="564"/>
      <c r="CA141" s="564"/>
      <c r="CB141" s="564"/>
      <c r="CC141" s="564"/>
      <c r="CD141" s="564"/>
      <c r="CE141" s="564"/>
      <c r="CF141" s="564"/>
      <c r="CG141" s="564"/>
      <c r="CH141" s="564"/>
      <c r="CI141" s="564"/>
      <c r="CJ141" s="564"/>
      <c r="CK141" s="564"/>
      <c r="CL141" s="564"/>
      <c r="CM141" s="564"/>
      <c r="CN141" s="564"/>
      <c r="CO141" s="564"/>
      <c r="CP141" s="564"/>
      <c r="CQ141" s="564"/>
      <c r="CR141" s="564"/>
      <c r="CS141" s="564"/>
      <c r="CT141" s="564"/>
      <c r="CU141" s="564"/>
      <c r="CV141" s="564"/>
      <c r="CW141" s="564"/>
      <c r="CX141" s="564"/>
      <c r="CY141" s="564"/>
      <c r="CZ141" s="564"/>
      <c r="DA141" s="564"/>
      <c r="DB141" s="564"/>
      <c r="DC141" s="564"/>
      <c r="DD141" s="564"/>
      <c r="DE141" s="564"/>
      <c r="DF141" s="564"/>
      <c r="DG141" s="564"/>
      <c r="DH141" s="564"/>
    </row>
    <row r="142" spans="1:112" s="299" customFormat="1" ht="12.75" x14ac:dyDescent="0.2">
      <c r="A142" s="85"/>
      <c r="B142" s="340" t="str">
        <f ca="1">IF(OFFSET(Q142,0,Lang_Order*Lang__B1)="","",OFFSET(Q142,0,Lang_Order*Lang__B1))</f>
        <v>Infer</v>
      </c>
      <c r="C142" s="51" t="str">
        <f ca="1">IF(OFFSET(R142,0,Lang_Order*Lang__B1)="","",OFFSET(R142,0,Lang_Order*Lang__B1))</f>
        <v>Remainder with no high-priority qualifying conditions</v>
      </c>
      <c r="D142" s="16" t="e">
        <f t="shared" ref="D142:I142" si="107">ROUNDUP(D51*D84,0)</f>
        <v>#N/A</v>
      </c>
      <c r="E142" s="16" t="e">
        <f t="shared" si="107"/>
        <v>#N/A</v>
      </c>
      <c r="F142" s="16" t="e">
        <f t="shared" si="107"/>
        <v>#N/A</v>
      </c>
      <c r="G142" s="16" t="e">
        <f t="shared" si="107"/>
        <v>#N/A</v>
      </c>
      <c r="H142" s="16" t="e">
        <f t="shared" si="107"/>
        <v>#N/A</v>
      </c>
      <c r="I142" s="16" t="e">
        <f t="shared" si="107"/>
        <v>#N/A</v>
      </c>
      <c r="J142" s="16" t="e">
        <f>SUM(D142:I142)</f>
        <v>#N/A</v>
      </c>
      <c r="K142" s="16"/>
      <c r="L142" s="12" t="str">
        <f t="shared" ca="1" si="96"/>
        <v>Voluntary DM1 / DM2</v>
      </c>
      <c r="M142" s="567"/>
      <c r="O142" s="564"/>
      <c r="P142" s="564"/>
      <c r="Q142" s="564" t="s">
        <v>3795</v>
      </c>
      <c r="R142" s="564" t="s">
        <v>3794</v>
      </c>
      <c r="S142" s="564"/>
      <c r="T142" s="564"/>
      <c r="U142" s="564"/>
      <c r="V142" s="564"/>
      <c r="W142" s="564"/>
      <c r="X142" s="564"/>
      <c r="Y142" s="564"/>
      <c r="Z142" s="564"/>
      <c r="AA142" s="564" t="s">
        <v>3014</v>
      </c>
      <c r="AB142" s="564"/>
      <c r="AC142" s="564"/>
      <c r="AD142" s="564"/>
      <c r="AE142" s="564" t="s">
        <v>9519</v>
      </c>
      <c r="AF142" s="564" t="s">
        <v>9520</v>
      </c>
      <c r="AG142" s="564"/>
      <c r="AH142" s="564"/>
      <c r="AI142" s="564"/>
      <c r="AJ142" s="564"/>
      <c r="AK142" s="564"/>
      <c r="AL142" s="564"/>
      <c r="AM142" s="564"/>
      <c r="AN142" s="564"/>
      <c r="AO142" s="564" t="s">
        <v>9406</v>
      </c>
      <c r="AP142" s="564"/>
      <c r="AQ142" s="564"/>
      <c r="AR142" s="564"/>
      <c r="AS142" s="564" t="s">
        <v>9522</v>
      </c>
      <c r="AT142" s="564" t="s">
        <v>9523</v>
      </c>
      <c r="AU142" s="564"/>
      <c r="AV142" s="564"/>
      <c r="AW142" s="564"/>
      <c r="AX142" s="564"/>
      <c r="AY142" s="564"/>
      <c r="AZ142" s="564"/>
      <c r="BA142" s="564"/>
      <c r="BB142" s="564"/>
      <c r="BC142" s="564" t="s">
        <v>9408</v>
      </c>
      <c r="BD142" s="564"/>
      <c r="BE142" s="564"/>
      <c r="BF142" s="564"/>
      <c r="BG142" s="564" t="s">
        <v>9611</v>
      </c>
      <c r="BH142" s="564" t="s">
        <v>9526</v>
      </c>
      <c r="BI142" s="564"/>
      <c r="BJ142" s="564"/>
      <c r="BK142" s="564"/>
      <c r="BL142" s="564"/>
      <c r="BM142" s="564"/>
      <c r="BN142" s="564"/>
      <c r="BO142" s="564"/>
      <c r="BP142" s="564"/>
      <c r="BQ142" s="564" t="s">
        <v>9410</v>
      </c>
      <c r="BR142" s="564"/>
      <c r="BS142" s="564"/>
      <c r="BT142" s="564"/>
      <c r="BU142" s="564" t="s">
        <v>9528</v>
      </c>
      <c r="BV142" s="564" t="s">
        <v>9529</v>
      </c>
      <c r="BW142" s="564"/>
      <c r="BX142" s="564"/>
      <c r="BY142" s="564"/>
      <c r="BZ142" s="564"/>
      <c r="CA142" s="564"/>
      <c r="CB142" s="564"/>
      <c r="CC142" s="564"/>
      <c r="CD142" s="564"/>
      <c r="CE142" s="564" t="s">
        <v>9412</v>
      </c>
      <c r="CF142" s="564"/>
      <c r="CG142" s="564"/>
      <c r="CH142" s="564"/>
      <c r="CI142" s="564" t="s">
        <v>9531</v>
      </c>
      <c r="CJ142" s="564" t="s">
        <v>9755</v>
      </c>
      <c r="CK142" s="564"/>
      <c r="CL142" s="564"/>
      <c r="CM142" s="564"/>
      <c r="CN142" s="564"/>
      <c r="CO142" s="564"/>
      <c r="CP142" s="564"/>
      <c r="CQ142" s="564"/>
      <c r="CR142" s="564"/>
      <c r="CS142" s="564" t="s">
        <v>9414</v>
      </c>
      <c r="CT142" s="564"/>
      <c r="CU142" s="564"/>
      <c r="CV142" s="564"/>
      <c r="CW142" s="564" t="s">
        <v>9534</v>
      </c>
      <c r="CX142" s="564" t="s">
        <v>9535</v>
      </c>
      <c r="CY142" s="564"/>
      <c r="CZ142" s="564"/>
      <c r="DA142" s="564"/>
      <c r="DB142" s="564"/>
      <c r="DC142" s="564"/>
      <c r="DD142" s="564"/>
      <c r="DE142" s="564"/>
      <c r="DF142" s="564"/>
      <c r="DG142" s="564" t="s">
        <v>9415</v>
      </c>
      <c r="DH142" s="564"/>
    </row>
    <row r="143" spans="1:112" s="299" customFormat="1" ht="12.75" x14ac:dyDescent="0.2">
      <c r="A143" s="85"/>
      <c r="D143" s="16"/>
      <c r="E143" s="16"/>
      <c r="F143" s="16"/>
      <c r="G143" s="16"/>
      <c r="H143" s="16"/>
      <c r="I143" s="16"/>
      <c r="J143" s="16"/>
      <c r="L143" s="567"/>
      <c r="M143" s="567"/>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4"/>
      <c r="AJ143" s="564"/>
      <c r="AK143" s="564"/>
      <c r="AL143" s="564"/>
      <c r="AM143" s="564"/>
      <c r="AN143" s="564"/>
      <c r="AO143" s="564"/>
      <c r="AP143" s="564"/>
      <c r="AQ143" s="564"/>
      <c r="AR143" s="564"/>
      <c r="AS143" s="564"/>
      <c r="AT143" s="564"/>
      <c r="AU143" s="564"/>
      <c r="AV143" s="564"/>
      <c r="AW143" s="564"/>
      <c r="AX143" s="564"/>
      <c r="AY143" s="564"/>
      <c r="AZ143" s="564"/>
      <c r="BA143" s="564"/>
      <c r="BB143" s="564"/>
      <c r="BC143" s="564"/>
      <c r="BD143" s="564"/>
      <c r="BE143" s="564"/>
      <c r="BF143" s="564"/>
      <c r="BG143" s="564"/>
      <c r="BH143" s="564"/>
      <c r="BI143" s="564"/>
      <c r="BJ143" s="564"/>
      <c r="BK143" s="564"/>
      <c r="BL143" s="564"/>
      <c r="BM143" s="564"/>
      <c r="BN143" s="564"/>
      <c r="BO143" s="564"/>
      <c r="BP143" s="564"/>
      <c r="BQ143" s="564"/>
      <c r="BR143" s="564"/>
      <c r="BS143" s="564"/>
      <c r="BT143" s="564"/>
      <c r="BU143" s="564"/>
      <c r="BV143" s="564"/>
      <c r="BW143" s="564"/>
      <c r="BX143" s="564"/>
      <c r="BY143" s="564"/>
      <c r="BZ143" s="564"/>
      <c r="CA143" s="564"/>
      <c r="CB143" s="564"/>
      <c r="CC143" s="564"/>
      <c r="CD143" s="564"/>
      <c r="CE143" s="564"/>
      <c r="CF143" s="564"/>
      <c r="CG143" s="564"/>
      <c r="CH143" s="564"/>
      <c r="CI143" s="564"/>
      <c r="CJ143" s="564"/>
      <c r="CK143" s="564"/>
      <c r="CL143" s="564"/>
      <c r="CM143" s="564"/>
      <c r="CN143" s="564"/>
      <c r="CO143" s="564"/>
      <c r="CP143" s="564"/>
      <c r="CQ143" s="564"/>
      <c r="CR143" s="564"/>
      <c r="CS143" s="564"/>
      <c r="CT143" s="564"/>
      <c r="CU143" s="564"/>
      <c r="CV143" s="564"/>
      <c r="CW143" s="564"/>
      <c r="CX143" s="564"/>
      <c r="CY143" s="564"/>
      <c r="CZ143" s="564"/>
      <c r="DA143" s="564"/>
      <c r="DB143" s="564"/>
      <c r="DC143" s="564"/>
      <c r="DD143" s="564"/>
      <c r="DE143" s="564"/>
      <c r="DF143" s="564"/>
      <c r="DG143" s="564"/>
      <c r="DH143" s="564"/>
    </row>
    <row r="144" spans="1:112" s="299" customFormat="1" ht="12.75" x14ac:dyDescent="0.2">
      <c r="A144" s="85"/>
      <c r="B144" s="34" t="str">
        <f ca="1">IF(OFFSET(Q144,0,Lang_Order*Lang__B1)="","",OFFSET(Q144,0,Lang_Order*Lang__B1))</f>
        <v>Total</v>
      </c>
      <c r="C144" s="51" t="str">
        <f ca="1">IF(OFFSET(R144,0,Lang_Order*Lang__B1)="","",OFFSET(R144,0,Lang_Order*Lang__B1))</f>
        <v>Total to be targeted during the period</v>
      </c>
      <c r="D144" s="16" t="e">
        <f t="shared" ref="D144:I144" si="108">SUM(D116:D142)</f>
        <v>#N/A</v>
      </c>
      <c r="E144" s="16" t="e">
        <f t="shared" si="108"/>
        <v>#N/A</v>
      </c>
      <c r="F144" s="16" t="e">
        <f t="shared" si="108"/>
        <v>#N/A</v>
      </c>
      <c r="G144" s="16" t="e">
        <f t="shared" si="108"/>
        <v>#N/A</v>
      </c>
      <c r="H144" s="16" t="e">
        <f t="shared" si="108"/>
        <v>#N/A</v>
      </c>
      <c r="I144" s="16" t="e">
        <f t="shared" si="108"/>
        <v>#N/A</v>
      </c>
      <c r="J144" s="16" t="e">
        <f>SUM(D144:I144)</f>
        <v>#N/A</v>
      </c>
      <c r="L144" s="567"/>
      <c r="M144" s="567"/>
      <c r="O144" s="564"/>
      <c r="P144" s="564"/>
      <c r="Q144" s="564" t="s">
        <v>1605</v>
      </c>
      <c r="R144" s="564" t="s">
        <v>3797</v>
      </c>
      <c r="S144" s="564"/>
      <c r="T144" s="564"/>
      <c r="U144" s="564"/>
      <c r="V144" s="564"/>
      <c r="W144" s="564"/>
      <c r="X144" s="564"/>
      <c r="Y144" s="564"/>
      <c r="Z144" s="564"/>
      <c r="AA144" s="564"/>
      <c r="AB144" s="564"/>
      <c r="AC144" s="564"/>
      <c r="AD144" s="564"/>
      <c r="AE144" s="564" t="s">
        <v>1605</v>
      </c>
      <c r="AF144" s="564" t="s">
        <v>9756</v>
      </c>
      <c r="AG144" s="564"/>
      <c r="AH144" s="564"/>
      <c r="AI144" s="564"/>
      <c r="AJ144" s="564"/>
      <c r="AK144" s="564"/>
      <c r="AL144" s="564"/>
      <c r="AM144" s="564"/>
      <c r="AN144" s="564"/>
      <c r="AO144" s="564"/>
      <c r="AP144" s="564"/>
      <c r="AQ144" s="564"/>
      <c r="AR144" s="564"/>
      <c r="AS144" s="564" t="s">
        <v>4676</v>
      </c>
      <c r="AT144" s="564" t="s">
        <v>9757</v>
      </c>
      <c r="AU144" s="564"/>
      <c r="AV144" s="564"/>
      <c r="AW144" s="564"/>
      <c r="AX144" s="564"/>
      <c r="AY144" s="564"/>
      <c r="AZ144" s="564"/>
      <c r="BA144" s="564"/>
      <c r="BB144" s="564"/>
      <c r="BC144" s="564"/>
      <c r="BD144" s="564"/>
      <c r="BE144" s="564"/>
      <c r="BF144" s="564"/>
      <c r="BG144" s="564" t="s">
        <v>1605</v>
      </c>
      <c r="BH144" s="564" t="s">
        <v>9758</v>
      </c>
      <c r="BI144" s="564"/>
      <c r="BJ144" s="564"/>
      <c r="BK144" s="564"/>
      <c r="BL144" s="564"/>
      <c r="BM144" s="564"/>
      <c r="BN144" s="564"/>
      <c r="BO144" s="564"/>
      <c r="BP144" s="564"/>
      <c r="BQ144" s="564"/>
      <c r="BR144" s="564"/>
      <c r="BS144" s="564"/>
      <c r="BT144" s="564"/>
      <c r="BU144" s="564" t="s">
        <v>1605</v>
      </c>
      <c r="BV144" s="564" t="s">
        <v>9759</v>
      </c>
      <c r="BW144" s="564"/>
      <c r="BX144" s="564"/>
      <c r="BY144" s="564"/>
      <c r="BZ144" s="564"/>
      <c r="CA144" s="564"/>
      <c r="CB144" s="564"/>
      <c r="CC144" s="564"/>
      <c r="CD144" s="564"/>
      <c r="CE144" s="564"/>
      <c r="CF144" s="564"/>
      <c r="CG144" s="564"/>
      <c r="CH144" s="564"/>
      <c r="CI144" s="564" t="s">
        <v>4686</v>
      </c>
      <c r="CJ144" s="564" t="s">
        <v>9760</v>
      </c>
      <c r="CK144" s="564"/>
      <c r="CL144" s="564"/>
      <c r="CM144" s="564"/>
      <c r="CN144" s="564"/>
      <c r="CO144" s="564"/>
      <c r="CP144" s="564"/>
      <c r="CQ144" s="564"/>
      <c r="CR144" s="564"/>
      <c r="CS144" s="564"/>
      <c r="CT144" s="564"/>
      <c r="CU144" s="564"/>
      <c r="CV144" s="564"/>
      <c r="CW144" s="564" t="s">
        <v>4694</v>
      </c>
      <c r="CX144" s="564" t="s">
        <v>9761</v>
      </c>
      <c r="CY144" s="564"/>
      <c r="CZ144" s="564"/>
      <c r="DA144" s="564"/>
      <c r="DB144" s="564"/>
      <c r="DC144" s="564"/>
      <c r="DD144" s="564"/>
      <c r="DE144" s="564"/>
      <c r="DF144" s="564"/>
      <c r="DG144" s="564"/>
      <c r="DH144" s="564"/>
    </row>
    <row r="145" spans="1:112" ht="12.75" x14ac:dyDescent="0.2">
      <c r="A145" s="85"/>
      <c r="B145" s="51"/>
      <c r="C145" s="23"/>
      <c r="D145" s="52"/>
      <c r="E145" s="52"/>
      <c r="F145" s="52"/>
      <c r="G145" s="52"/>
      <c r="H145" s="52"/>
      <c r="I145" s="52"/>
      <c r="J145" s="52"/>
      <c r="L145" s="15"/>
      <c r="M145" s="567"/>
    </row>
    <row r="146" spans="1:112" x14ac:dyDescent="0.25">
      <c r="B146" s="33" t="str">
        <f ca="1">IF(OFFSET(Q146,0,Lang_Order*Lang__B1)="","",OFFSET(Q146,0,Lang_Order*Lang__B1))</f>
        <v>B1.3.1 Full uptake by the eligible, disregarding vaccine hesitancy (vaccine courses)</v>
      </c>
      <c r="C146" s="19"/>
      <c r="D146" s="45" t="e">
        <f>D161/$J161</f>
        <v>#N/A</v>
      </c>
      <c r="E146" s="45" t="e">
        <f t="shared" ref="E146:J146" si="109">E161/$J161</f>
        <v>#N/A</v>
      </c>
      <c r="F146" s="45" t="e">
        <f t="shared" si="109"/>
        <v>#N/A</v>
      </c>
      <c r="G146" s="45" t="e">
        <f t="shared" si="109"/>
        <v>#N/A</v>
      </c>
      <c r="H146" s="45" t="e">
        <f t="shared" si="109"/>
        <v>#N/A</v>
      </c>
      <c r="I146" s="45" t="e">
        <f t="shared" si="109"/>
        <v>#N/A</v>
      </c>
      <c r="J146" s="45" t="e">
        <f t="shared" si="109"/>
        <v>#N/A</v>
      </c>
      <c r="K146" s="45"/>
      <c r="L146" s="8"/>
      <c r="M146" s="8"/>
      <c r="Q146" s="564" t="s">
        <v>14254</v>
      </c>
      <c r="AA146" s="564" t="s">
        <v>16</v>
      </c>
      <c r="AE146" s="564" t="s">
        <v>9762</v>
      </c>
      <c r="AO146" s="564" t="s">
        <v>16</v>
      </c>
      <c r="AS146" s="564" t="s">
        <v>9763</v>
      </c>
      <c r="BC146" s="564" t="s">
        <v>5757</v>
      </c>
      <c r="BG146" s="564" t="s">
        <v>9764</v>
      </c>
      <c r="BQ146" s="564" t="s">
        <v>5453</v>
      </c>
      <c r="BU146" s="564" t="s">
        <v>9765</v>
      </c>
      <c r="CE146" s="564" t="s">
        <v>5453</v>
      </c>
      <c r="CI146" s="564" t="s">
        <v>9766</v>
      </c>
      <c r="CS146" s="564" t="s">
        <v>5871</v>
      </c>
      <c r="CW146" s="564" t="s">
        <v>9767</v>
      </c>
      <c r="DG146" s="564" t="s">
        <v>5455</v>
      </c>
    </row>
    <row r="147" spans="1:112" ht="12.75" x14ac:dyDescent="0.2">
      <c r="B147" s="583" t="str">
        <f ca="1">IF(OFFSET(Q147,0,Lang_Order*Lang__B1)="","",OFFSET(Q147,0,Lang_Order*Lang__B1))</f>
        <v>Note: Assumes that all those offered the COVID-19 vaccine will take-up the offer | No vaccine wastage</v>
      </c>
      <c r="C147" s="23"/>
      <c r="D147" s="52"/>
      <c r="E147" s="52"/>
      <c r="F147" s="52"/>
      <c r="G147" s="52"/>
      <c r="H147" s="52"/>
      <c r="I147" s="52"/>
      <c r="J147" s="52"/>
      <c r="K147" s="71" t="str">
        <f ca="1">IF(OFFSET(Z147,0,Lang_Order*Lang__B1)="","",OFFSET(Z147,0,Lang_Order*Lang__B1))</f>
        <v>Delivery Modality</v>
      </c>
      <c r="L147" s="12" t="str">
        <f ca="1">IF(OFFSET(AA147,0,Lang_Order*Lang__B1)="","",OFFSET(AA147,0,Lang_Order*Lang__B1))</f>
        <v>These estimates useful for demand-generation interventions</v>
      </c>
      <c r="Q147" s="564" t="s">
        <v>2877</v>
      </c>
      <c r="Z147" s="564" t="s">
        <v>4174</v>
      </c>
      <c r="AA147" s="564" t="s">
        <v>2807</v>
      </c>
      <c r="AE147" s="564" t="s">
        <v>9768</v>
      </c>
      <c r="AN147" s="564" t="s">
        <v>9769</v>
      </c>
      <c r="AO147" s="564" t="s">
        <v>9770</v>
      </c>
      <c r="AS147" s="564" t="s">
        <v>9771</v>
      </c>
      <c r="BB147" s="564" t="s">
        <v>9772</v>
      </c>
      <c r="BC147" s="564" t="s">
        <v>9773</v>
      </c>
      <c r="BG147" s="564" t="s">
        <v>9774</v>
      </c>
      <c r="BP147" s="564" t="s">
        <v>9294</v>
      </c>
      <c r="BQ147" s="564" t="s">
        <v>9775</v>
      </c>
      <c r="BU147" s="564" t="s">
        <v>9776</v>
      </c>
      <c r="CD147" s="564" t="s">
        <v>9295</v>
      </c>
      <c r="CE147" s="564" t="s">
        <v>9777</v>
      </c>
      <c r="CI147" s="564" t="s">
        <v>9778</v>
      </c>
      <c r="CR147" s="564" t="s">
        <v>9296</v>
      </c>
      <c r="CS147" s="564" t="s">
        <v>9779</v>
      </c>
      <c r="CW147" s="564" t="s">
        <v>9780</v>
      </c>
      <c r="DF147" s="564" t="s">
        <v>9297</v>
      </c>
      <c r="DG147" s="564" t="s">
        <v>9781</v>
      </c>
    </row>
    <row r="148" spans="1:112" ht="12.75" x14ac:dyDescent="0.2">
      <c r="B148" s="47"/>
      <c r="C148" s="612" t="str">
        <f t="shared" ref="C148:C153" ca="1" si="110">IF(OFFSET(R148,0,Lang_Order*Lang__B1)="","",OFFSET(R148,0,Lang_Order*Lang__B1))</f>
        <v>Work-based | Delivery Modality 1 or 2</v>
      </c>
      <c r="D148" s="56" t="e">
        <f t="shared" ref="D148:I148" si="111">SUM(D117)</f>
        <v>#N/A</v>
      </c>
      <c r="E148" s="56" t="e">
        <f t="shared" si="111"/>
        <v>#N/A</v>
      </c>
      <c r="F148" s="56" t="e">
        <f t="shared" si="111"/>
        <v>#N/A</v>
      </c>
      <c r="G148" s="56" t="e">
        <f t="shared" si="111"/>
        <v>#N/A</v>
      </c>
      <c r="H148" s="56" t="e">
        <f t="shared" si="111"/>
        <v>#N/A</v>
      </c>
      <c r="I148" s="56" t="e">
        <f t="shared" si="111"/>
        <v>#N/A</v>
      </c>
      <c r="J148" s="56" t="e">
        <f>SUM(D148:I148)</f>
        <v>#N/A</v>
      </c>
      <c r="K148" s="56" t="str">
        <f ca="1">IF(OFFSET(Z148,0,Lang_Order*Lang__B1)="","",OFFSET(Z148,0,Lang_Order*Lang__B1))</f>
        <v>Wrk DM1 / DM2</v>
      </c>
      <c r="L148" s="12" t="str">
        <f ca="1">IF(OFFSET(AA148,0,Lang_Order*Lang__B1)="","",OFFSET(AA148,0,Lang_Order*Lang__B1))</f>
        <v>Allow for differences in communications costs and expected uptake</v>
      </c>
      <c r="R148" s="564" t="s">
        <v>1621</v>
      </c>
      <c r="Z148" s="564" t="s">
        <v>1624</v>
      </c>
      <c r="AA148" s="564" t="s">
        <v>1625</v>
      </c>
      <c r="AF148" s="564" t="s">
        <v>9782</v>
      </c>
      <c r="AN148" s="564" t="s">
        <v>9394</v>
      </c>
      <c r="AO148" s="564" t="s">
        <v>9783</v>
      </c>
      <c r="AT148" s="564" t="s">
        <v>9784</v>
      </c>
      <c r="BB148" s="564" t="s">
        <v>9396</v>
      </c>
      <c r="BC148" s="564" t="s">
        <v>9785</v>
      </c>
      <c r="BH148" s="564" t="s">
        <v>9786</v>
      </c>
      <c r="BP148" s="564" t="s">
        <v>9742</v>
      </c>
      <c r="BQ148" s="564" t="s">
        <v>9787</v>
      </c>
      <c r="BV148" s="564" t="s">
        <v>9788</v>
      </c>
      <c r="CD148" s="564" t="s">
        <v>9789</v>
      </c>
      <c r="CE148" s="564" t="s">
        <v>9790</v>
      </c>
      <c r="CJ148" s="564" t="s">
        <v>9791</v>
      </c>
      <c r="CR148" s="564" t="s">
        <v>9402</v>
      </c>
      <c r="CS148" s="564" t="s">
        <v>9792</v>
      </c>
      <c r="CX148" s="564" t="s">
        <v>9793</v>
      </c>
      <c r="DF148" s="564" t="s">
        <v>9404</v>
      </c>
      <c r="DG148" s="564" t="s">
        <v>9794</v>
      </c>
    </row>
    <row r="149" spans="1:112" s="241" customFormat="1" ht="12.75" x14ac:dyDescent="0.2">
      <c r="B149" s="47"/>
      <c r="C149" s="72" t="str">
        <f t="shared" ca="1" si="110"/>
        <v>Work-based | Delivery Modality 1</v>
      </c>
      <c r="D149" s="56" t="e">
        <f t="shared" ref="D149" si="112">ROUND(D148*DM1to2_Workbased,0)</f>
        <v>#N/A</v>
      </c>
      <c r="E149" s="56" t="e">
        <f t="shared" ref="E149" si="113">ROUND(E148*DM1to2_Workbased,0)</f>
        <v>#N/A</v>
      </c>
      <c r="F149" s="56" t="e">
        <f t="shared" ref="F149:I149" si="114">ROUND(F148*DM1to2_Workbased,0)</f>
        <v>#N/A</v>
      </c>
      <c r="G149" s="56" t="e">
        <f t="shared" si="114"/>
        <v>#N/A</v>
      </c>
      <c r="H149" s="56" t="e">
        <f t="shared" si="114"/>
        <v>#N/A</v>
      </c>
      <c r="I149" s="56" t="e">
        <f t="shared" si="114"/>
        <v>#N/A</v>
      </c>
      <c r="J149" s="56" t="e">
        <f t="shared" ref="J149:J153" si="115">SUM(D149:I149)</f>
        <v>#N/A</v>
      </c>
      <c r="K149" s="56"/>
      <c r="L149" s="567"/>
      <c r="M149" s="567"/>
      <c r="O149" s="564"/>
      <c r="P149" s="564"/>
      <c r="Q149" s="564"/>
      <c r="R149" s="564" t="s">
        <v>1619</v>
      </c>
      <c r="S149" s="564"/>
      <c r="T149" s="564"/>
      <c r="U149" s="564"/>
      <c r="V149" s="564"/>
      <c r="W149" s="564"/>
      <c r="X149" s="564"/>
      <c r="Y149" s="564"/>
      <c r="Z149" s="564"/>
      <c r="AA149" s="564"/>
      <c r="AB149" s="564"/>
      <c r="AC149" s="564"/>
      <c r="AD149" s="564"/>
      <c r="AE149" s="564"/>
      <c r="AF149" s="564" t="s">
        <v>9795</v>
      </c>
      <c r="AG149" s="564"/>
      <c r="AH149" s="564"/>
      <c r="AI149" s="564"/>
      <c r="AJ149" s="564"/>
      <c r="AK149" s="564"/>
      <c r="AL149" s="564"/>
      <c r="AM149" s="564"/>
      <c r="AN149" s="564"/>
      <c r="AO149" s="564"/>
      <c r="AP149" s="564"/>
      <c r="AQ149" s="564"/>
      <c r="AR149" s="564"/>
      <c r="AS149" s="564"/>
      <c r="AT149" s="564" t="s">
        <v>9796</v>
      </c>
      <c r="AU149" s="564"/>
      <c r="AV149" s="564"/>
      <c r="AW149" s="564"/>
      <c r="AX149" s="564"/>
      <c r="AY149" s="564"/>
      <c r="AZ149" s="564"/>
      <c r="BA149" s="564"/>
      <c r="BB149" s="564"/>
      <c r="BC149" s="564"/>
      <c r="BD149" s="564"/>
      <c r="BE149" s="564"/>
      <c r="BF149" s="564"/>
      <c r="BG149" s="564"/>
      <c r="BH149" s="564" t="s">
        <v>9797</v>
      </c>
      <c r="BI149" s="564"/>
      <c r="BJ149" s="564"/>
      <c r="BK149" s="564"/>
      <c r="BL149" s="564"/>
      <c r="BM149" s="564"/>
      <c r="BN149" s="564"/>
      <c r="BO149" s="564"/>
      <c r="BP149" s="564"/>
      <c r="BQ149" s="564"/>
      <c r="BR149" s="564"/>
      <c r="BS149" s="564"/>
      <c r="BT149" s="564"/>
      <c r="BU149" s="564"/>
      <c r="BV149" s="564" t="s">
        <v>7394</v>
      </c>
      <c r="BW149" s="564"/>
      <c r="BX149" s="564"/>
      <c r="BY149" s="564"/>
      <c r="BZ149" s="564"/>
      <c r="CA149" s="564"/>
      <c r="CB149" s="564"/>
      <c r="CC149" s="564"/>
      <c r="CD149" s="564"/>
      <c r="CE149" s="564"/>
      <c r="CF149" s="564"/>
      <c r="CG149" s="564"/>
      <c r="CH149" s="564"/>
      <c r="CI149" s="564"/>
      <c r="CJ149" s="564" t="s">
        <v>7396</v>
      </c>
      <c r="CK149" s="564"/>
      <c r="CL149" s="564"/>
      <c r="CM149" s="564"/>
      <c r="CN149" s="564"/>
      <c r="CO149" s="564"/>
      <c r="CP149" s="564"/>
      <c r="CQ149" s="564"/>
      <c r="CR149" s="564"/>
      <c r="CS149" s="564"/>
      <c r="CT149" s="564"/>
      <c r="CU149" s="564"/>
      <c r="CV149" s="564"/>
      <c r="CW149" s="564"/>
      <c r="CX149" s="564" t="s">
        <v>9798</v>
      </c>
      <c r="CY149" s="564"/>
      <c r="CZ149" s="564"/>
      <c r="DA149" s="564"/>
      <c r="DB149" s="564"/>
      <c r="DC149" s="564"/>
      <c r="DD149" s="564"/>
      <c r="DE149" s="564"/>
      <c r="DF149" s="564"/>
      <c r="DG149" s="564"/>
      <c r="DH149" s="564"/>
    </row>
    <row r="150" spans="1:112" s="241" customFormat="1" ht="12.75" x14ac:dyDescent="0.2">
      <c r="B150" s="47"/>
      <c r="C150" s="72" t="str">
        <f t="shared" ca="1" si="110"/>
        <v>Work-based | Delivery Modality 2</v>
      </c>
      <c r="D150" s="56" t="e">
        <f t="shared" ref="D150" si="116">D148-D149</f>
        <v>#N/A</v>
      </c>
      <c r="E150" s="56" t="e">
        <f t="shared" ref="E150" si="117">E148-E149</f>
        <v>#N/A</v>
      </c>
      <c r="F150" s="56" t="e">
        <f t="shared" ref="F150:I150" si="118">F148-F149</f>
        <v>#N/A</v>
      </c>
      <c r="G150" s="56" t="e">
        <f t="shared" si="118"/>
        <v>#N/A</v>
      </c>
      <c r="H150" s="56" t="e">
        <f t="shared" si="118"/>
        <v>#N/A</v>
      </c>
      <c r="I150" s="56" t="e">
        <f t="shared" si="118"/>
        <v>#N/A</v>
      </c>
      <c r="J150" s="56" t="e">
        <f t="shared" si="115"/>
        <v>#N/A</v>
      </c>
      <c r="K150" s="56"/>
      <c r="L150" s="567"/>
      <c r="M150" s="567"/>
      <c r="O150" s="564"/>
      <c r="P150" s="564"/>
      <c r="Q150" s="564"/>
      <c r="R150" s="564" t="s">
        <v>1617</v>
      </c>
      <c r="S150" s="564"/>
      <c r="T150" s="564"/>
      <c r="U150" s="564"/>
      <c r="V150" s="564"/>
      <c r="W150" s="564"/>
      <c r="X150" s="564"/>
      <c r="Y150" s="564"/>
      <c r="Z150" s="564"/>
      <c r="AA150" s="564"/>
      <c r="AB150" s="564"/>
      <c r="AC150" s="564"/>
      <c r="AD150" s="564"/>
      <c r="AE150" s="564"/>
      <c r="AF150" s="564" t="s">
        <v>9799</v>
      </c>
      <c r="AG150" s="564"/>
      <c r="AH150" s="564"/>
      <c r="AI150" s="564"/>
      <c r="AJ150" s="564"/>
      <c r="AK150" s="564"/>
      <c r="AL150" s="564"/>
      <c r="AM150" s="564"/>
      <c r="AN150" s="564"/>
      <c r="AO150" s="564"/>
      <c r="AP150" s="564"/>
      <c r="AQ150" s="564"/>
      <c r="AR150" s="564"/>
      <c r="AS150" s="564"/>
      <c r="AT150" s="564" t="s">
        <v>9800</v>
      </c>
      <c r="AU150" s="564"/>
      <c r="AV150" s="564"/>
      <c r="AW150" s="564"/>
      <c r="AX150" s="564"/>
      <c r="AY150" s="564"/>
      <c r="AZ150" s="564"/>
      <c r="BA150" s="564"/>
      <c r="BB150" s="564"/>
      <c r="BC150" s="564"/>
      <c r="BD150" s="564"/>
      <c r="BE150" s="564"/>
      <c r="BF150" s="564"/>
      <c r="BG150" s="564"/>
      <c r="BH150" s="564" t="s">
        <v>9801</v>
      </c>
      <c r="BI150" s="564"/>
      <c r="BJ150" s="564"/>
      <c r="BK150" s="564"/>
      <c r="BL150" s="564"/>
      <c r="BM150" s="564"/>
      <c r="BN150" s="564"/>
      <c r="BO150" s="564"/>
      <c r="BP150" s="564"/>
      <c r="BQ150" s="564"/>
      <c r="BR150" s="564"/>
      <c r="BS150" s="564"/>
      <c r="BT150" s="564"/>
      <c r="BU150" s="564"/>
      <c r="BV150" s="564" t="s">
        <v>7409</v>
      </c>
      <c r="BW150" s="564"/>
      <c r="BX150" s="564"/>
      <c r="BY150" s="564"/>
      <c r="BZ150" s="564"/>
      <c r="CA150" s="564"/>
      <c r="CB150" s="564"/>
      <c r="CC150" s="564"/>
      <c r="CD150" s="564"/>
      <c r="CE150" s="564"/>
      <c r="CF150" s="564"/>
      <c r="CG150" s="564"/>
      <c r="CH150" s="564"/>
      <c r="CI150" s="564"/>
      <c r="CJ150" s="564" t="s">
        <v>7410</v>
      </c>
      <c r="CK150" s="564"/>
      <c r="CL150" s="564"/>
      <c r="CM150" s="564"/>
      <c r="CN150" s="564"/>
      <c r="CO150" s="564"/>
      <c r="CP150" s="564"/>
      <c r="CQ150" s="564"/>
      <c r="CR150" s="564"/>
      <c r="CS150" s="564"/>
      <c r="CT150" s="564"/>
      <c r="CU150" s="564"/>
      <c r="CV150" s="564"/>
      <c r="CW150" s="564"/>
      <c r="CX150" s="564" t="s">
        <v>9802</v>
      </c>
      <c r="CY150" s="564"/>
      <c r="CZ150" s="564"/>
      <c r="DA150" s="564"/>
      <c r="DB150" s="564"/>
      <c r="DC150" s="564"/>
      <c r="DD150" s="564"/>
      <c r="DE150" s="564"/>
      <c r="DF150" s="564"/>
      <c r="DG150" s="564"/>
      <c r="DH150" s="564"/>
    </row>
    <row r="151" spans="1:112" ht="12.75" x14ac:dyDescent="0.2">
      <c r="B151" s="47"/>
      <c r="C151" s="72" t="str">
        <f t="shared" ca="1" si="110"/>
        <v>Voluntary | Delivery Modality 1 or 2</v>
      </c>
      <c r="D151" s="56" t="e">
        <f>SUM(D118,D122,D123,D128,D137,D138,D140,D142)</f>
        <v>#N/A</v>
      </c>
      <c r="E151" s="56" t="e">
        <f t="shared" ref="E151:I151" si="119">SUM(E118,E122,E123,E128,E137,E138,E140,E142)</f>
        <v>#N/A</v>
      </c>
      <c r="F151" s="56" t="e">
        <f t="shared" si="119"/>
        <v>#N/A</v>
      </c>
      <c r="G151" s="56" t="e">
        <f t="shared" si="119"/>
        <v>#N/A</v>
      </c>
      <c r="H151" s="56" t="e">
        <f t="shared" si="119"/>
        <v>#N/A</v>
      </c>
      <c r="I151" s="56" t="e">
        <f t="shared" si="119"/>
        <v>#N/A</v>
      </c>
      <c r="J151" s="56" t="e">
        <f t="shared" si="115"/>
        <v>#N/A</v>
      </c>
      <c r="K151" s="56" t="str">
        <f ca="1">IF(OFFSET(Z151,0,Lang_Order*Lang__B1)="","",OFFSET(Z151,0,Lang_Order*Lang__B1))</f>
        <v>Vol DM1 / DM2</v>
      </c>
      <c r="L151" s="12" t="str">
        <f t="shared" ref="L151:L167" ca="1" si="120">IF(OFFSET(AA151,0,Lang_Order*Lang__B1)="","",OFFSET(AA151,0,Lang_Order*Lang__B1))</f>
        <v>Allow for differences in communications costs and expected uptake</v>
      </c>
      <c r="R151" s="564" t="s">
        <v>1622</v>
      </c>
      <c r="Z151" s="564" t="s">
        <v>1623</v>
      </c>
      <c r="AA151" s="564" t="s">
        <v>1625</v>
      </c>
      <c r="AF151" s="564" t="s">
        <v>9803</v>
      </c>
      <c r="AN151" s="564" t="s">
        <v>9406</v>
      </c>
      <c r="AO151" s="564" t="s">
        <v>9783</v>
      </c>
      <c r="AT151" s="564" t="s">
        <v>9804</v>
      </c>
      <c r="BB151" s="564" t="s">
        <v>9805</v>
      </c>
      <c r="BC151" s="564" t="s">
        <v>9785</v>
      </c>
      <c r="BH151" s="564" t="s">
        <v>9806</v>
      </c>
      <c r="BP151" s="564" t="s">
        <v>9410</v>
      </c>
      <c r="BQ151" s="564" t="s">
        <v>9787</v>
      </c>
      <c r="BV151" s="564" t="s">
        <v>9807</v>
      </c>
      <c r="CD151" s="564" t="s">
        <v>9808</v>
      </c>
      <c r="CE151" s="564" t="s">
        <v>9790</v>
      </c>
      <c r="CJ151" s="564" t="s">
        <v>9809</v>
      </c>
      <c r="CR151" s="564" t="s">
        <v>9810</v>
      </c>
      <c r="CS151" s="564" t="s">
        <v>9792</v>
      </c>
      <c r="CX151" s="564" t="s">
        <v>9811</v>
      </c>
      <c r="DF151" s="564" t="s">
        <v>9415</v>
      </c>
      <c r="DG151" s="564" t="s">
        <v>9794</v>
      </c>
    </row>
    <row r="152" spans="1:112" s="241" customFormat="1" ht="12.75" x14ac:dyDescent="0.2">
      <c r="B152" s="47"/>
      <c r="C152" s="72" t="str">
        <f t="shared" ca="1" si="110"/>
        <v>Voluntary | Delivery Modality 1</v>
      </c>
      <c r="D152" s="56" t="e">
        <f t="shared" ref="D152" si="121">ROUND(D151*DM1to2_Voluntary,0)</f>
        <v>#N/A</v>
      </c>
      <c r="E152" s="56" t="e">
        <f t="shared" ref="E152" si="122">ROUND(E151*DM1to2_Voluntary,0)</f>
        <v>#N/A</v>
      </c>
      <c r="F152" s="56" t="e">
        <f t="shared" ref="F152:I152" si="123">ROUND(F151*DM1to2_Voluntary,0)</f>
        <v>#N/A</v>
      </c>
      <c r="G152" s="56" t="e">
        <f t="shared" si="123"/>
        <v>#N/A</v>
      </c>
      <c r="H152" s="56" t="e">
        <f t="shared" si="123"/>
        <v>#N/A</v>
      </c>
      <c r="I152" s="56" t="e">
        <f t="shared" si="123"/>
        <v>#N/A</v>
      </c>
      <c r="J152" s="56" t="e">
        <f t="shared" si="115"/>
        <v>#N/A</v>
      </c>
      <c r="K152" s="56"/>
      <c r="L152" s="567"/>
      <c r="M152" s="567"/>
      <c r="O152" s="564"/>
      <c r="P152" s="564"/>
      <c r="Q152" s="564"/>
      <c r="R152" s="564" t="s">
        <v>1620</v>
      </c>
      <c r="S152" s="564"/>
      <c r="T152" s="564"/>
      <c r="U152" s="564"/>
      <c r="V152" s="564"/>
      <c r="W152" s="564"/>
      <c r="X152" s="564"/>
      <c r="Y152" s="564"/>
      <c r="Z152" s="564"/>
      <c r="AA152" s="564"/>
      <c r="AB152" s="564"/>
      <c r="AC152" s="564"/>
      <c r="AD152" s="564"/>
      <c r="AE152" s="564"/>
      <c r="AF152" s="564" t="s">
        <v>7400</v>
      </c>
      <c r="AG152" s="564"/>
      <c r="AH152" s="564"/>
      <c r="AI152" s="564"/>
      <c r="AJ152" s="564"/>
      <c r="AK152" s="564"/>
      <c r="AL152" s="564"/>
      <c r="AM152" s="564"/>
      <c r="AN152" s="564"/>
      <c r="AO152" s="564"/>
      <c r="AP152" s="564"/>
      <c r="AQ152" s="564"/>
      <c r="AR152" s="564"/>
      <c r="AS152" s="564"/>
      <c r="AT152" s="564" t="s">
        <v>9812</v>
      </c>
      <c r="AU152" s="564"/>
      <c r="AV152" s="564"/>
      <c r="AW152" s="564"/>
      <c r="AX152" s="564"/>
      <c r="AY152" s="564"/>
      <c r="AZ152" s="564"/>
      <c r="BA152" s="564"/>
      <c r="BB152" s="564"/>
      <c r="BC152" s="564"/>
      <c r="BD152" s="564"/>
      <c r="BE152" s="564"/>
      <c r="BF152" s="564"/>
      <c r="BG152" s="564"/>
      <c r="BH152" s="564" t="s">
        <v>9813</v>
      </c>
      <c r="BI152" s="564"/>
      <c r="BJ152" s="564"/>
      <c r="BK152" s="564"/>
      <c r="BL152" s="564"/>
      <c r="BM152" s="564"/>
      <c r="BN152" s="564"/>
      <c r="BO152" s="564"/>
      <c r="BP152" s="564"/>
      <c r="BQ152" s="564"/>
      <c r="BR152" s="564"/>
      <c r="BS152" s="564"/>
      <c r="BT152" s="564"/>
      <c r="BU152" s="564"/>
      <c r="BV152" s="564" t="s">
        <v>7403</v>
      </c>
      <c r="BW152" s="564"/>
      <c r="BX152" s="564"/>
      <c r="BY152" s="564"/>
      <c r="BZ152" s="564"/>
      <c r="CA152" s="564"/>
      <c r="CB152" s="564"/>
      <c r="CC152" s="564"/>
      <c r="CD152" s="564"/>
      <c r="CE152" s="564"/>
      <c r="CF152" s="564"/>
      <c r="CG152" s="564"/>
      <c r="CH152" s="564"/>
      <c r="CI152" s="564"/>
      <c r="CJ152" s="564" t="s">
        <v>7463</v>
      </c>
      <c r="CK152" s="564"/>
      <c r="CL152" s="564"/>
      <c r="CM152" s="564"/>
      <c r="CN152" s="564"/>
      <c r="CO152" s="564"/>
      <c r="CP152" s="564"/>
      <c r="CQ152" s="564"/>
      <c r="CR152" s="564"/>
      <c r="CS152" s="564"/>
      <c r="CT152" s="564"/>
      <c r="CU152" s="564"/>
      <c r="CV152" s="564"/>
      <c r="CW152" s="564"/>
      <c r="CX152" s="564" t="s">
        <v>9814</v>
      </c>
      <c r="CY152" s="564"/>
      <c r="CZ152" s="564"/>
      <c r="DA152" s="564"/>
      <c r="DB152" s="564"/>
      <c r="DC152" s="564"/>
      <c r="DD152" s="564"/>
      <c r="DE152" s="564"/>
      <c r="DF152" s="564"/>
      <c r="DG152" s="564"/>
      <c r="DH152" s="564"/>
    </row>
    <row r="153" spans="1:112" s="241" customFormat="1" ht="12.75" x14ac:dyDescent="0.2">
      <c r="B153" s="47"/>
      <c r="C153" s="72" t="str">
        <f t="shared" ca="1" si="110"/>
        <v>Voluntary | Delivery Modality 2</v>
      </c>
      <c r="D153" s="56" t="e">
        <f t="shared" ref="D153" si="124">D151-D152</f>
        <v>#N/A</v>
      </c>
      <c r="E153" s="56" t="e">
        <f t="shared" ref="E153" si="125">E151-E152</f>
        <v>#N/A</v>
      </c>
      <c r="F153" s="56" t="e">
        <f t="shared" ref="F153:I153" si="126">F151-F152</f>
        <v>#N/A</v>
      </c>
      <c r="G153" s="56" t="e">
        <f t="shared" si="126"/>
        <v>#N/A</v>
      </c>
      <c r="H153" s="56" t="e">
        <f t="shared" si="126"/>
        <v>#N/A</v>
      </c>
      <c r="I153" s="56" t="e">
        <f t="shared" si="126"/>
        <v>#N/A</v>
      </c>
      <c r="J153" s="56" t="e">
        <f t="shared" si="115"/>
        <v>#N/A</v>
      </c>
      <c r="K153" s="56"/>
      <c r="L153" s="567"/>
      <c r="M153" s="567"/>
      <c r="O153" s="564"/>
      <c r="P153" s="564"/>
      <c r="Q153" s="564"/>
      <c r="R153" s="564" t="s">
        <v>1616</v>
      </c>
      <c r="S153" s="564"/>
      <c r="T153" s="564"/>
      <c r="U153" s="564"/>
      <c r="V153" s="564"/>
      <c r="W153" s="564"/>
      <c r="X153" s="564"/>
      <c r="Y153" s="564"/>
      <c r="Z153" s="564"/>
      <c r="AA153" s="564"/>
      <c r="AB153" s="564"/>
      <c r="AC153" s="564"/>
      <c r="AD153" s="564"/>
      <c r="AE153" s="564"/>
      <c r="AF153" s="564" t="s">
        <v>7412</v>
      </c>
      <c r="AG153" s="564"/>
      <c r="AH153" s="564"/>
      <c r="AI153" s="564"/>
      <c r="AJ153" s="564"/>
      <c r="AK153" s="564"/>
      <c r="AL153" s="564"/>
      <c r="AM153" s="564"/>
      <c r="AN153" s="564"/>
      <c r="AO153" s="564"/>
      <c r="AP153" s="564"/>
      <c r="AQ153" s="564"/>
      <c r="AR153" s="564"/>
      <c r="AS153" s="564"/>
      <c r="AT153" s="564" t="s">
        <v>9815</v>
      </c>
      <c r="AU153" s="564"/>
      <c r="AV153" s="564"/>
      <c r="AW153" s="564"/>
      <c r="AX153" s="564"/>
      <c r="AY153" s="564"/>
      <c r="AZ153" s="564"/>
      <c r="BA153" s="564"/>
      <c r="BB153" s="564"/>
      <c r="BC153" s="564"/>
      <c r="BD153" s="564"/>
      <c r="BE153" s="564"/>
      <c r="BF153" s="564"/>
      <c r="BG153" s="564"/>
      <c r="BH153" s="564" t="s">
        <v>9816</v>
      </c>
      <c r="BI153" s="564"/>
      <c r="BJ153" s="564"/>
      <c r="BK153" s="564"/>
      <c r="BL153" s="564"/>
      <c r="BM153" s="564"/>
      <c r="BN153" s="564"/>
      <c r="BO153" s="564"/>
      <c r="BP153" s="564"/>
      <c r="BQ153" s="564"/>
      <c r="BR153" s="564"/>
      <c r="BS153" s="564"/>
      <c r="BT153" s="564"/>
      <c r="BU153" s="564"/>
      <c r="BV153" s="564" t="s">
        <v>7415</v>
      </c>
      <c r="BW153" s="564"/>
      <c r="BX153" s="564"/>
      <c r="BY153" s="564"/>
      <c r="BZ153" s="564"/>
      <c r="CA153" s="564"/>
      <c r="CB153" s="564"/>
      <c r="CC153" s="564"/>
      <c r="CD153" s="564"/>
      <c r="CE153" s="564"/>
      <c r="CF153" s="564"/>
      <c r="CG153" s="564"/>
      <c r="CH153" s="564"/>
      <c r="CI153" s="564"/>
      <c r="CJ153" s="564" t="s">
        <v>9817</v>
      </c>
      <c r="CK153" s="564"/>
      <c r="CL153" s="564"/>
      <c r="CM153" s="564"/>
      <c r="CN153" s="564"/>
      <c r="CO153" s="564"/>
      <c r="CP153" s="564"/>
      <c r="CQ153" s="564"/>
      <c r="CR153" s="564"/>
      <c r="CS153" s="564"/>
      <c r="CT153" s="564"/>
      <c r="CU153" s="564"/>
      <c r="CV153" s="564"/>
      <c r="CW153" s="564"/>
      <c r="CX153" s="564" t="s">
        <v>9818</v>
      </c>
      <c r="CY153" s="564"/>
      <c r="CZ153" s="564"/>
      <c r="DA153" s="564"/>
      <c r="DB153" s="564"/>
      <c r="DC153" s="564"/>
      <c r="DD153" s="564"/>
      <c r="DE153" s="564"/>
      <c r="DF153" s="564"/>
      <c r="DG153" s="564"/>
      <c r="DH153" s="564"/>
    </row>
    <row r="154" spans="1:112" ht="12.75" x14ac:dyDescent="0.2">
      <c r="B154" s="47"/>
      <c r="C154" s="23"/>
      <c r="D154" s="52"/>
      <c r="E154" s="52"/>
      <c r="F154" s="52"/>
      <c r="G154" s="52"/>
      <c r="H154" s="52"/>
      <c r="I154" s="52"/>
      <c r="J154" s="52"/>
      <c r="L154" s="567"/>
      <c r="M154" s="567"/>
    </row>
    <row r="155" spans="1:112" ht="12.75" x14ac:dyDescent="0.2">
      <c r="B155" s="34"/>
      <c r="C155" s="370" t="str">
        <f t="shared" ref="C155:C161" ca="1" si="127">IF(OFFSET(R155,0,Lang_Order*Lang__B1)="","",OFFSET(R155,0,Lang_Order*Lang__B1))</f>
        <v>Work-based | Delivery Modality 1</v>
      </c>
      <c r="D155" s="114" t="e">
        <f t="shared" ref="D155:I155" si="128">SUM(D116,D149)</f>
        <v>#N/A</v>
      </c>
      <c r="E155" s="114" t="e">
        <f t="shared" si="128"/>
        <v>#N/A</v>
      </c>
      <c r="F155" s="114" t="e">
        <f t="shared" si="128"/>
        <v>#N/A</v>
      </c>
      <c r="G155" s="114" t="e">
        <f t="shared" si="128"/>
        <v>#N/A</v>
      </c>
      <c r="H155" s="114" t="e">
        <f t="shared" si="128"/>
        <v>#N/A</v>
      </c>
      <c r="I155" s="114" t="e">
        <f t="shared" si="128"/>
        <v>#N/A</v>
      </c>
      <c r="J155" s="26" t="e">
        <f t="shared" ref="J155:J160" si="129">SUM(D155:I155)</f>
        <v>#N/A</v>
      </c>
      <c r="L155" s="567"/>
      <c r="M155" s="567"/>
      <c r="R155" s="564" t="s">
        <v>1619</v>
      </c>
      <c r="AF155" s="564" t="s">
        <v>9795</v>
      </c>
      <c r="AT155" s="564" t="s">
        <v>9796</v>
      </c>
      <c r="BH155" s="564" t="s">
        <v>9797</v>
      </c>
      <c r="BV155" s="564" t="s">
        <v>7394</v>
      </c>
      <c r="CJ155" s="564" t="s">
        <v>7396</v>
      </c>
      <c r="CX155" s="564" t="s">
        <v>9798</v>
      </c>
    </row>
    <row r="156" spans="1:112" ht="12.75" x14ac:dyDescent="0.2">
      <c r="B156" s="34"/>
      <c r="C156" s="5" t="str">
        <f t="shared" ca="1" si="127"/>
        <v>Voluntary | Delivery Modality 1</v>
      </c>
      <c r="D156" s="16" t="e">
        <f t="shared" ref="D156" si="130">D152</f>
        <v>#N/A</v>
      </c>
      <c r="E156" s="16" t="e">
        <f t="shared" ref="E156" si="131">E152</f>
        <v>#N/A</v>
      </c>
      <c r="F156" s="16" t="e">
        <f t="shared" ref="F156:I156" si="132">F152</f>
        <v>#N/A</v>
      </c>
      <c r="G156" s="16" t="e">
        <f t="shared" si="132"/>
        <v>#N/A</v>
      </c>
      <c r="H156" s="16" t="e">
        <f t="shared" si="132"/>
        <v>#N/A</v>
      </c>
      <c r="I156" s="16" t="e">
        <f t="shared" si="132"/>
        <v>#N/A</v>
      </c>
      <c r="J156" s="26" t="e">
        <f t="shared" si="129"/>
        <v>#N/A</v>
      </c>
      <c r="L156" s="567"/>
      <c r="M156" s="567"/>
      <c r="R156" s="564" t="s">
        <v>1620</v>
      </c>
      <c r="AF156" s="564" t="s">
        <v>7400</v>
      </c>
      <c r="AT156" s="564" t="s">
        <v>9812</v>
      </c>
      <c r="BH156" s="564" t="s">
        <v>9813</v>
      </c>
      <c r="BV156" s="564" t="s">
        <v>7403</v>
      </c>
      <c r="CJ156" s="564" t="s">
        <v>7463</v>
      </c>
      <c r="CX156" s="564" t="s">
        <v>9814</v>
      </c>
    </row>
    <row r="157" spans="1:112" ht="12.75" x14ac:dyDescent="0.2">
      <c r="B157" s="34"/>
      <c r="C157" s="370" t="str">
        <f t="shared" ca="1" si="127"/>
        <v>Work-based | Delivery Modality 2</v>
      </c>
      <c r="D157" s="16" t="e">
        <f t="shared" ref="D157" si="133">D150</f>
        <v>#N/A</v>
      </c>
      <c r="E157" s="16" t="e">
        <f t="shared" ref="E157" si="134">E150</f>
        <v>#N/A</v>
      </c>
      <c r="F157" s="16" t="e">
        <f t="shared" ref="F157:I157" si="135">F150</f>
        <v>#N/A</v>
      </c>
      <c r="G157" s="16" t="e">
        <f t="shared" si="135"/>
        <v>#N/A</v>
      </c>
      <c r="H157" s="16" t="e">
        <f t="shared" si="135"/>
        <v>#N/A</v>
      </c>
      <c r="I157" s="16" t="e">
        <f t="shared" si="135"/>
        <v>#N/A</v>
      </c>
      <c r="J157" s="26" t="e">
        <f t="shared" si="129"/>
        <v>#N/A</v>
      </c>
      <c r="L157" s="567"/>
      <c r="M157" s="567"/>
      <c r="R157" s="564" t="s">
        <v>1617</v>
      </c>
      <c r="AF157" s="564" t="s">
        <v>9799</v>
      </c>
      <c r="AT157" s="564" t="s">
        <v>9800</v>
      </c>
      <c r="BH157" s="564" t="s">
        <v>9819</v>
      </c>
      <c r="BV157" s="564" t="s">
        <v>7409</v>
      </c>
      <c r="CJ157" s="564" t="s">
        <v>9820</v>
      </c>
      <c r="CX157" s="564" t="s">
        <v>9802</v>
      </c>
    </row>
    <row r="158" spans="1:112" ht="12.75" x14ac:dyDescent="0.2">
      <c r="B158" s="34"/>
      <c r="C158" s="5" t="str">
        <f t="shared" ca="1" si="127"/>
        <v>Voluntary | Delivery Modality 2</v>
      </c>
      <c r="D158" s="16" t="e">
        <f t="shared" ref="D158" si="136">D153</f>
        <v>#N/A</v>
      </c>
      <c r="E158" s="16" t="e">
        <f t="shared" ref="E158" si="137">E153</f>
        <v>#N/A</v>
      </c>
      <c r="F158" s="16" t="e">
        <f t="shared" ref="F158:I158" si="138">F153</f>
        <v>#N/A</v>
      </c>
      <c r="G158" s="16" t="e">
        <f t="shared" si="138"/>
        <v>#N/A</v>
      </c>
      <c r="H158" s="16" t="e">
        <f t="shared" si="138"/>
        <v>#N/A</v>
      </c>
      <c r="I158" s="16" t="e">
        <f t="shared" si="138"/>
        <v>#N/A</v>
      </c>
      <c r="J158" s="26" t="e">
        <f t="shared" si="129"/>
        <v>#N/A</v>
      </c>
      <c r="L158" s="567"/>
      <c r="M158" s="567"/>
      <c r="R158" s="564" t="s">
        <v>1616</v>
      </c>
      <c r="AF158" s="564" t="s">
        <v>7412</v>
      </c>
      <c r="AT158" s="564" t="s">
        <v>9815</v>
      </c>
      <c r="BH158" s="564" t="s">
        <v>9816</v>
      </c>
      <c r="BV158" s="564" t="s">
        <v>7415</v>
      </c>
      <c r="CJ158" s="564" t="s">
        <v>9817</v>
      </c>
      <c r="CX158" s="564" t="s">
        <v>9818</v>
      </c>
    </row>
    <row r="159" spans="1:112" ht="12.75" x14ac:dyDescent="0.2">
      <c r="B159" s="34"/>
      <c r="C159" s="5" t="str">
        <f t="shared" ca="1" si="127"/>
        <v>Delivery Modality 3</v>
      </c>
      <c r="D159" s="16" t="e">
        <f t="shared" ref="D159:I159" si="139">SUM(D120,D121,D129,D130)</f>
        <v>#N/A</v>
      </c>
      <c r="E159" s="16" t="e">
        <f t="shared" si="139"/>
        <v>#N/A</v>
      </c>
      <c r="F159" s="16" t="e">
        <f t="shared" si="139"/>
        <v>#N/A</v>
      </c>
      <c r="G159" s="16" t="e">
        <f t="shared" si="139"/>
        <v>#N/A</v>
      </c>
      <c r="H159" s="16" t="e">
        <f t="shared" si="139"/>
        <v>#N/A</v>
      </c>
      <c r="I159" s="16" t="e">
        <f t="shared" si="139"/>
        <v>#N/A</v>
      </c>
      <c r="J159" s="26" t="e">
        <f t="shared" si="129"/>
        <v>#N/A</v>
      </c>
      <c r="L159" s="567"/>
      <c r="M159" s="567"/>
      <c r="R159" s="564" t="s">
        <v>1564</v>
      </c>
      <c r="AF159" s="564" t="s">
        <v>7418</v>
      </c>
      <c r="AT159" s="564" t="s">
        <v>9676</v>
      </c>
      <c r="BH159" s="564" t="s">
        <v>7420</v>
      </c>
      <c r="BV159" s="564" t="s">
        <v>7489</v>
      </c>
      <c r="CJ159" s="564" t="s">
        <v>7422</v>
      </c>
      <c r="CX159" s="564" t="s">
        <v>9681</v>
      </c>
    </row>
    <row r="160" spans="1:112" ht="12.75" x14ac:dyDescent="0.2">
      <c r="B160" s="34"/>
      <c r="C160" s="5" t="str">
        <f t="shared" ca="1" si="127"/>
        <v>Delivery Modality 4</v>
      </c>
      <c r="D160" s="16" t="e">
        <f t="shared" ref="D160:I160" si="140">SUM(D124,D125,D131,D132,D135,D136,D139)</f>
        <v>#N/A</v>
      </c>
      <c r="E160" s="16" t="e">
        <f t="shared" si="140"/>
        <v>#N/A</v>
      </c>
      <c r="F160" s="16" t="e">
        <f t="shared" si="140"/>
        <v>#N/A</v>
      </c>
      <c r="G160" s="16" t="e">
        <f t="shared" si="140"/>
        <v>#N/A</v>
      </c>
      <c r="H160" s="16" t="e">
        <f t="shared" si="140"/>
        <v>#N/A</v>
      </c>
      <c r="I160" s="16" t="e">
        <f t="shared" si="140"/>
        <v>#N/A</v>
      </c>
      <c r="J160" s="26" t="e">
        <f t="shared" si="129"/>
        <v>#N/A</v>
      </c>
      <c r="L160" s="567"/>
      <c r="M160" s="567"/>
      <c r="R160" s="564" t="s">
        <v>1565</v>
      </c>
      <c r="AF160" s="564" t="s">
        <v>7424</v>
      </c>
      <c r="AT160" s="564" t="s">
        <v>9726</v>
      </c>
      <c r="BH160" s="564" t="s">
        <v>7426</v>
      </c>
      <c r="BV160" s="564" t="s">
        <v>7491</v>
      </c>
      <c r="CJ160" s="564" t="s">
        <v>7428</v>
      </c>
      <c r="CX160" s="564" t="s">
        <v>9731</v>
      </c>
    </row>
    <row r="161" spans="2:112" ht="12.75" x14ac:dyDescent="0.2">
      <c r="B161" s="34"/>
      <c r="C161" s="5" t="str">
        <f t="shared" ca="1" si="127"/>
        <v>Total</v>
      </c>
      <c r="D161" s="16" t="e">
        <f t="shared" ref="D161:J161" si="141">SUM(D155:D160)</f>
        <v>#N/A</v>
      </c>
      <c r="E161" s="16" t="e">
        <f t="shared" si="141"/>
        <v>#N/A</v>
      </c>
      <c r="F161" s="16" t="e">
        <f t="shared" si="141"/>
        <v>#N/A</v>
      </c>
      <c r="G161" s="16" t="e">
        <f t="shared" si="141"/>
        <v>#N/A</v>
      </c>
      <c r="H161" s="16" t="e">
        <f t="shared" si="141"/>
        <v>#N/A</v>
      </c>
      <c r="I161" s="16" t="e">
        <f t="shared" si="141"/>
        <v>#N/A</v>
      </c>
      <c r="J161" s="16" t="e">
        <f t="shared" si="141"/>
        <v>#N/A</v>
      </c>
      <c r="L161" s="567"/>
      <c r="M161" s="567"/>
      <c r="R161" s="564" t="s">
        <v>1605</v>
      </c>
      <c r="AF161" s="564" t="s">
        <v>1605</v>
      </c>
      <c r="AT161" s="564" t="s">
        <v>4676</v>
      </c>
      <c r="BH161" s="564" t="s">
        <v>1605</v>
      </c>
      <c r="BV161" s="564" t="s">
        <v>1605</v>
      </c>
      <c r="CJ161" s="564" t="s">
        <v>4686</v>
      </c>
      <c r="CX161" s="564" t="s">
        <v>4694</v>
      </c>
    </row>
    <row r="162" spans="2:112" s="193" customFormat="1" ht="12.75" x14ac:dyDescent="0.2">
      <c r="B162" s="34"/>
      <c r="C162" s="5"/>
      <c r="D162" s="16"/>
      <c r="E162" s="16"/>
      <c r="F162" s="16"/>
      <c r="G162" s="16"/>
      <c r="H162" s="16"/>
      <c r="I162" s="16"/>
      <c r="J162" s="16"/>
      <c r="K162" s="44"/>
      <c r="L162" s="567"/>
      <c r="M162" s="567"/>
      <c r="O162" s="564"/>
      <c r="P162" s="564"/>
      <c r="Q162" s="564"/>
      <c r="R162" s="564"/>
      <c r="S162" s="564"/>
      <c r="T162" s="564"/>
      <c r="U162" s="564"/>
      <c r="V162" s="564"/>
      <c r="W162" s="564"/>
      <c r="X162" s="564"/>
      <c r="Y162" s="564"/>
      <c r="Z162" s="564"/>
      <c r="AA162" s="564"/>
      <c r="AB162" s="564"/>
      <c r="AC162" s="564"/>
      <c r="AD162" s="564"/>
      <c r="AE162" s="564"/>
      <c r="AF162" s="564"/>
      <c r="AG162" s="564"/>
      <c r="AH162" s="564"/>
      <c r="AI162" s="564"/>
      <c r="AJ162" s="564"/>
      <c r="AK162" s="564"/>
      <c r="AL162" s="564"/>
      <c r="AM162" s="564"/>
      <c r="AN162" s="564"/>
      <c r="AO162" s="564"/>
      <c r="AP162" s="564"/>
      <c r="AQ162" s="564"/>
      <c r="AR162" s="564"/>
      <c r="AS162" s="564"/>
      <c r="AT162" s="564"/>
      <c r="AU162" s="564"/>
      <c r="AV162" s="564"/>
      <c r="AW162" s="564"/>
      <c r="AX162" s="564"/>
      <c r="AY162" s="564"/>
      <c r="AZ162" s="564"/>
      <c r="BA162" s="564"/>
      <c r="BB162" s="564"/>
      <c r="BC162" s="564"/>
      <c r="BD162" s="564"/>
      <c r="BE162" s="564"/>
      <c r="BF162" s="564"/>
      <c r="BG162" s="564"/>
      <c r="BH162" s="564"/>
      <c r="BI162" s="564"/>
      <c r="BJ162" s="564"/>
      <c r="BK162" s="564"/>
      <c r="BL162" s="564"/>
      <c r="BM162" s="564"/>
      <c r="BN162" s="564"/>
      <c r="BO162" s="564"/>
      <c r="BP162" s="564"/>
      <c r="BQ162" s="564"/>
      <c r="BR162" s="564"/>
      <c r="BS162" s="564"/>
      <c r="BT162" s="564"/>
      <c r="BU162" s="564"/>
      <c r="BV162" s="564"/>
      <c r="BW162" s="564"/>
      <c r="BX162" s="564"/>
      <c r="BY162" s="564"/>
      <c r="BZ162" s="564"/>
      <c r="CA162" s="564"/>
      <c r="CB162" s="564"/>
      <c r="CC162" s="564"/>
      <c r="CD162" s="564"/>
      <c r="CE162" s="564"/>
      <c r="CF162" s="564"/>
      <c r="CG162" s="564"/>
      <c r="CH162" s="564"/>
      <c r="CI162" s="564"/>
      <c r="CJ162" s="564"/>
      <c r="CK162" s="564"/>
      <c r="CL162" s="564"/>
      <c r="CM162" s="564"/>
      <c r="CN162" s="564"/>
      <c r="CO162" s="564"/>
      <c r="CP162" s="564"/>
      <c r="CQ162" s="564"/>
      <c r="CR162" s="564"/>
      <c r="CS162" s="564"/>
      <c r="CT162" s="564"/>
      <c r="CU162" s="564"/>
      <c r="CV162" s="564"/>
      <c r="CW162" s="564"/>
      <c r="CX162" s="564"/>
      <c r="CY162" s="564"/>
      <c r="CZ162" s="564"/>
      <c r="DA162" s="564"/>
      <c r="DB162" s="564"/>
      <c r="DC162" s="564"/>
      <c r="DD162" s="564"/>
      <c r="DE162" s="564"/>
      <c r="DF162" s="564"/>
      <c r="DG162" s="564"/>
      <c r="DH162" s="564"/>
    </row>
    <row r="163" spans="2:112" s="193" customFormat="1" ht="12.75" x14ac:dyDescent="0.2">
      <c r="B163" s="583" t="str">
        <f ca="1">IF(OFFSET(Q163,0,Lang_Order*Lang__B1)="","",OFFSET(Q163,0,Lang_Order*Lang__B1))</f>
        <v>Note: Assumes that all those offered the COVID-19 vaccine will take-up the offer | No vaccine wastage | Round UP</v>
      </c>
      <c r="C163" s="5"/>
      <c r="D163" s="16"/>
      <c r="E163" s="16"/>
      <c r="F163" s="16"/>
      <c r="G163" s="16"/>
      <c r="H163" s="16"/>
      <c r="I163" s="16"/>
      <c r="J163" s="16"/>
      <c r="K163" s="44"/>
      <c r="L163" s="567"/>
      <c r="M163" s="567"/>
      <c r="O163" s="564"/>
      <c r="P163" s="564"/>
      <c r="Q163" s="564" t="s">
        <v>2878</v>
      </c>
      <c r="R163" s="564"/>
      <c r="S163" s="564"/>
      <c r="T163" s="564"/>
      <c r="U163" s="564"/>
      <c r="V163" s="564"/>
      <c r="W163" s="564"/>
      <c r="X163" s="564"/>
      <c r="Y163" s="564"/>
      <c r="Z163" s="564"/>
      <c r="AA163" s="564"/>
      <c r="AB163" s="564"/>
      <c r="AC163" s="564"/>
      <c r="AD163" s="564"/>
      <c r="AE163" s="564" t="s">
        <v>9821</v>
      </c>
      <c r="AF163" s="564"/>
      <c r="AG163" s="564"/>
      <c r="AH163" s="564"/>
      <c r="AI163" s="564"/>
      <c r="AJ163" s="564"/>
      <c r="AK163" s="564"/>
      <c r="AL163" s="564"/>
      <c r="AM163" s="564"/>
      <c r="AN163" s="564"/>
      <c r="AO163" s="564"/>
      <c r="AP163" s="564"/>
      <c r="AQ163" s="564"/>
      <c r="AR163" s="564"/>
      <c r="AS163" s="564" t="s">
        <v>9822</v>
      </c>
      <c r="AT163" s="564"/>
      <c r="AU163" s="564"/>
      <c r="AV163" s="564"/>
      <c r="AW163" s="564"/>
      <c r="AX163" s="564"/>
      <c r="AY163" s="564"/>
      <c r="AZ163" s="564"/>
      <c r="BA163" s="564"/>
      <c r="BB163" s="564"/>
      <c r="BC163" s="564"/>
      <c r="BD163" s="564"/>
      <c r="BE163" s="564"/>
      <c r="BF163" s="564"/>
      <c r="BG163" s="564" t="s">
        <v>9823</v>
      </c>
      <c r="BH163" s="564"/>
      <c r="BI163" s="564"/>
      <c r="BJ163" s="564"/>
      <c r="BK163" s="564"/>
      <c r="BL163" s="564"/>
      <c r="BM163" s="564"/>
      <c r="BN163" s="564"/>
      <c r="BO163" s="564"/>
      <c r="BP163" s="564"/>
      <c r="BQ163" s="564"/>
      <c r="BR163" s="564"/>
      <c r="BS163" s="564"/>
      <c r="BT163" s="564"/>
      <c r="BU163" s="564" t="s">
        <v>9824</v>
      </c>
      <c r="BV163" s="564"/>
      <c r="BW163" s="564"/>
      <c r="BX163" s="564"/>
      <c r="BY163" s="564"/>
      <c r="BZ163" s="564"/>
      <c r="CA163" s="564"/>
      <c r="CB163" s="564"/>
      <c r="CC163" s="564"/>
      <c r="CD163" s="564"/>
      <c r="CE163" s="564"/>
      <c r="CF163" s="564"/>
      <c r="CG163" s="564"/>
      <c r="CH163" s="564"/>
      <c r="CI163" s="564" t="s">
        <v>9825</v>
      </c>
      <c r="CJ163" s="564"/>
      <c r="CK163" s="564"/>
      <c r="CL163" s="564"/>
      <c r="CM163" s="564"/>
      <c r="CN163" s="564"/>
      <c r="CO163" s="564"/>
      <c r="CP163" s="564"/>
      <c r="CQ163" s="564"/>
      <c r="CR163" s="564"/>
      <c r="CS163" s="564"/>
      <c r="CT163" s="564"/>
      <c r="CU163" s="564"/>
      <c r="CV163" s="564"/>
      <c r="CW163" s="564" t="s">
        <v>9826</v>
      </c>
      <c r="CX163" s="564"/>
      <c r="CY163" s="564"/>
      <c r="CZ163" s="564"/>
      <c r="DA163" s="564"/>
      <c r="DB163" s="564"/>
      <c r="DC163" s="564"/>
      <c r="DD163" s="564"/>
      <c r="DE163" s="564"/>
      <c r="DF163" s="564"/>
      <c r="DG163" s="564"/>
      <c r="DH163" s="564"/>
    </row>
    <row r="164" spans="2:112" s="193" customFormat="1" ht="12.75" x14ac:dyDescent="0.2">
      <c r="B164" s="34"/>
      <c r="C164" s="5" t="str">
        <f>CONCATENATE("",DM1_Vaccine)</f>
        <v/>
      </c>
      <c r="D164" s="26" t="e">
        <f t="shared" ref="D164:I164" si="142">ROUNDUP(SUM(D155:D156),0)</f>
        <v>#N/A</v>
      </c>
      <c r="E164" s="26" t="e">
        <f t="shared" si="142"/>
        <v>#N/A</v>
      </c>
      <c r="F164" s="26" t="e">
        <f t="shared" si="142"/>
        <v>#N/A</v>
      </c>
      <c r="G164" s="26" t="e">
        <f t="shared" si="142"/>
        <v>#N/A</v>
      </c>
      <c r="H164" s="26" t="e">
        <f t="shared" si="142"/>
        <v>#N/A</v>
      </c>
      <c r="I164" s="26" t="e">
        <f t="shared" si="142"/>
        <v>#N/A</v>
      </c>
      <c r="J164" s="26" t="e">
        <f>SUM(D164:I164)</f>
        <v>#N/A</v>
      </c>
      <c r="K164" s="44"/>
      <c r="L164" s="12" t="str">
        <f t="shared" ca="1" si="120"/>
        <v>Delivery Modality 1</v>
      </c>
      <c r="M164" s="12"/>
      <c r="O164" s="564"/>
      <c r="P164" s="564"/>
      <c r="Q164" s="564"/>
      <c r="R164" s="564"/>
      <c r="S164" s="564"/>
      <c r="T164" s="564"/>
      <c r="U164" s="564"/>
      <c r="V164" s="564"/>
      <c r="W164" s="564"/>
      <c r="X164" s="564"/>
      <c r="Y164" s="564"/>
      <c r="Z164" s="564"/>
      <c r="AA164" s="564" t="s">
        <v>1632</v>
      </c>
      <c r="AB164" s="564"/>
      <c r="AC164" s="564"/>
      <c r="AD164" s="564"/>
      <c r="AE164" s="564"/>
      <c r="AF164" s="564"/>
      <c r="AG164" s="564"/>
      <c r="AH164" s="564"/>
      <c r="AI164" s="564"/>
      <c r="AJ164" s="564"/>
      <c r="AK164" s="564"/>
      <c r="AL164" s="564"/>
      <c r="AM164" s="564"/>
      <c r="AN164" s="564"/>
      <c r="AO164" s="564" t="s">
        <v>7476</v>
      </c>
      <c r="AP164" s="564"/>
      <c r="AQ164" s="564"/>
      <c r="AR164" s="564"/>
      <c r="AS164" s="564"/>
      <c r="AT164" s="564"/>
      <c r="AU164" s="564"/>
      <c r="AV164" s="564"/>
      <c r="AW164" s="564"/>
      <c r="AX164" s="564"/>
      <c r="AY164" s="564"/>
      <c r="AZ164" s="564"/>
      <c r="BA164" s="564"/>
      <c r="BB164" s="564"/>
      <c r="BC164" s="564" t="s">
        <v>9664</v>
      </c>
      <c r="BD164" s="564"/>
      <c r="BE164" s="564"/>
      <c r="BF164" s="564"/>
      <c r="BG164" s="564"/>
      <c r="BH164" s="564"/>
      <c r="BI164" s="564"/>
      <c r="BJ164" s="564"/>
      <c r="BK164" s="564"/>
      <c r="BL164" s="564"/>
      <c r="BM164" s="564"/>
      <c r="BN164" s="564"/>
      <c r="BO164" s="564"/>
      <c r="BP164" s="564"/>
      <c r="BQ164" s="564" t="s">
        <v>9666</v>
      </c>
      <c r="BR164" s="564"/>
      <c r="BS164" s="564"/>
      <c r="BT164" s="564"/>
      <c r="BU164" s="564"/>
      <c r="BV164" s="564"/>
      <c r="BW164" s="564"/>
      <c r="BX164" s="564"/>
      <c r="BY164" s="564"/>
      <c r="BZ164" s="564"/>
      <c r="CA164" s="564"/>
      <c r="CB164" s="564"/>
      <c r="CC164" s="564"/>
      <c r="CD164" s="564"/>
      <c r="CE164" s="564" t="s">
        <v>7479</v>
      </c>
      <c r="CF164" s="564"/>
      <c r="CG164" s="564"/>
      <c r="CH164" s="564"/>
      <c r="CI164" s="564"/>
      <c r="CJ164" s="564"/>
      <c r="CK164" s="564"/>
      <c r="CL164" s="564"/>
      <c r="CM164" s="564"/>
      <c r="CN164" s="564"/>
      <c r="CO164" s="564"/>
      <c r="CP164" s="564"/>
      <c r="CQ164" s="564"/>
      <c r="CR164" s="564"/>
      <c r="CS164" s="564" t="s">
        <v>7480</v>
      </c>
      <c r="CT164" s="564"/>
      <c r="CU164" s="564"/>
      <c r="CV164" s="564"/>
      <c r="CW164" s="564"/>
      <c r="CX164" s="564"/>
      <c r="CY164" s="564"/>
      <c r="CZ164" s="564"/>
      <c r="DA164" s="564"/>
      <c r="DB164" s="564"/>
      <c r="DC164" s="564"/>
      <c r="DD164" s="564"/>
      <c r="DE164" s="564"/>
      <c r="DF164" s="564"/>
      <c r="DG164" s="564" t="s">
        <v>9670</v>
      </c>
      <c r="DH164" s="564"/>
    </row>
    <row r="165" spans="2:112" s="193" customFormat="1" ht="12.75" x14ac:dyDescent="0.2">
      <c r="B165" s="34"/>
      <c r="C165" s="5" t="str">
        <f>CONCATENATE("",DM2_Vaccine)</f>
        <v/>
      </c>
      <c r="D165" s="26" t="e">
        <f>ROUNDUP(SUM(D157:D158),0)</f>
        <v>#N/A</v>
      </c>
      <c r="E165" s="26" t="e">
        <f t="shared" ref="E165:I165" si="143">ROUNDUP(SUM(E157:E158),0)</f>
        <v>#N/A</v>
      </c>
      <c r="F165" s="26" t="e">
        <f t="shared" si="143"/>
        <v>#N/A</v>
      </c>
      <c r="G165" s="26" t="e">
        <f t="shared" si="143"/>
        <v>#N/A</v>
      </c>
      <c r="H165" s="26" t="e">
        <f t="shared" si="143"/>
        <v>#N/A</v>
      </c>
      <c r="I165" s="26" t="e">
        <f t="shared" si="143"/>
        <v>#N/A</v>
      </c>
      <c r="J165" s="26" t="e">
        <f t="shared" ref="J165:J167" si="144">SUM(D165:I165)</f>
        <v>#N/A</v>
      </c>
      <c r="K165" s="44"/>
      <c r="L165" s="12" t="str">
        <f t="shared" ca="1" si="120"/>
        <v>Delivery Modality 2</v>
      </c>
      <c r="M165" s="12"/>
      <c r="O165" s="564"/>
      <c r="P165" s="564"/>
      <c r="Q165" s="564"/>
      <c r="R165" s="564"/>
      <c r="S165" s="564"/>
      <c r="T165" s="564"/>
      <c r="U165" s="564"/>
      <c r="V165" s="564"/>
      <c r="W165" s="564"/>
      <c r="X165" s="564"/>
      <c r="Y165" s="564"/>
      <c r="Z165" s="564"/>
      <c r="AA165" s="564" t="s">
        <v>1639</v>
      </c>
      <c r="AB165" s="564"/>
      <c r="AC165" s="564"/>
      <c r="AD165" s="564"/>
      <c r="AE165" s="564"/>
      <c r="AF165" s="564"/>
      <c r="AG165" s="564"/>
      <c r="AH165" s="564"/>
      <c r="AI165" s="564"/>
      <c r="AJ165" s="564"/>
      <c r="AK165" s="564"/>
      <c r="AL165" s="564"/>
      <c r="AM165" s="564"/>
      <c r="AN165" s="564"/>
      <c r="AO165" s="564" t="s">
        <v>7482</v>
      </c>
      <c r="AP165" s="564"/>
      <c r="AQ165" s="564"/>
      <c r="AR165" s="564"/>
      <c r="AS165" s="564"/>
      <c r="AT165" s="564"/>
      <c r="AU165" s="564"/>
      <c r="AV165" s="564"/>
      <c r="AW165" s="564"/>
      <c r="AX165" s="564"/>
      <c r="AY165" s="564"/>
      <c r="AZ165" s="564"/>
      <c r="BA165" s="564"/>
      <c r="BB165" s="564"/>
      <c r="BC165" s="564" t="s">
        <v>9672</v>
      </c>
      <c r="BD165" s="564"/>
      <c r="BE165" s="564"/>
      <c r="BF165" s="564"/>
      <c r="BG165" s="564"/>
      <c r="BH165" s="564"/>
      <c r="BI165" s="564"/>
      <c r="BJ165" s="564"/>
      <c r="BK165" s="564"/>
      <c r="BL165" s="564"/>
      <c r="BM165" s="564"/>
      <c r="BN165" s="564"/>
      <c r="BO165" s="564"/>
      <c r="BP165" s="564"/>
      <c r="BQ165" s="564" t="s">
        <v>9673</v>
      </c>
      <c r="BR165" s="564"/>
      <c r="BS165" s="564"/>
      <c r="BT165" s="564"/>
      <c r="BU165" s="564"/>
      <c r="BV165" s="564"/>
      <c r="BW165" s="564"/>
      <c r="BX165" s="564"/>
      <c r="BY165" s="564"/>
      <c r="BZ165" s="564"/>
      <c r="CA165" s="564"/>
      <c r="CB165" s="564"/>
      <c r="CC165" s="564"/>
      <c r="CD165" s="564"/>
      <c r="CE165" s="564" t="s">
        <v>7485</v>
      </c>
      <c r="CF165" s="564"/>
      <c r="CG165" s="564"/>
      <c r="CH165" s="564"/>
      <c r="CI165" s="564"/>
      <c r="CJ165" s="564"/>
      <c r="CK165" s="564"/>
      <c r="CL165" s="564"/>
      <c r="CM165" s="564"/>
      <c r="CN165" s="564"/>
      <c r="CO165" s="564"/>
      <c r="CP165" s="564"/>
      <c r="CQ165" s="564"/>
      <c r="CR165" s="564"/>
      <c r="CS165" s="564" t="s">
        <v>7486</v>
      </c>
      <c r="CT165" s="564"/>
      <c r="CU165" s="564"/>
      <c r="CV165" s="564"/>
      <c r="CW165" s="564"/>
      <c r="CX165" s="564"/>
      <c r="CY165" s="564"/>
      <c r="CZ165" s="564"/>
      <c r="DA165" s="564"/>
      <c r="DB165" s="564"/>
      <c r="DC165" s="564"/>
      <c r="DD165" s="564"/>
      <c r="DE165" s="564"/>
      <c r="DF165" s="564"/>
      <c r="DG165" s="564" t="s">
        <v>9674</v>
      </c>
      <c r="DH165" s="564"/>
    </row>
    <row r="166" spans="2:112" s="193" customFormat="1" ht="12.75" x14ac:dyDescent="0.2">
      <c r="B166" s="34"/>
      <c r="C166" s="5" t="str">
        <f>CONCATENATE("",DM3_Vaccine)</f>
        <v/>
      </c>
      <c r="D166" s="26" t="e">
        <f t="shared" ref="D166:I167" si="145">ROUNDUP(D159,0)</f>
        <v>#N/A</v>
      </c>
      <c r="E166" s="26" t="e">
        <f t="shared" si="145"/>
        <v>#N/A</v>
      </c>
      <c r="F166" s="26" t="e">
        <f t="shared" si="145"/>
        <v>#N/A</v>
      </c>
      <c r="G166" s="26" t="e">
        <f t="shared" si="145"/>
        <v>#N/A</v>
      </c>
      <c r="H166" s="26" t="e">
        <f t="shared" si="145"/>
        <v>#N/A</v>
      </c>
      <c r="I166" s="26" t="e">
        <f t="shared" si="145"/>
        <v>#N/A</v>
      </c>
      <c r="J166" s="26" t="e">
        <f t="shared" si="144"/>
        <v>#N/A</v>
      </c>
      <c r="K166" s="44"/>
      <c r="L166" s="12" t="str">
        <f t="shared" ca="1" si="120"/>
        <v>Delivery Modality 3</v>
      </c>
      <c r="M166" s="12"/>
      <c r="O166" s="564"/>
      <c r="P166" s="564"/>
      <c r="Q166" s="564"/>
      <c r="R166" s="564"/>
      <c r="S166" s="564"/>
      <c r="T166" s="564"/>
      <c r="U166" s="564"/>
      <c r="V166" s="564"/>
      <c r="W166" s="564"/>
      <c r="X166" s="564"/>
      <c r="Y166" s="564"/>
      <c r="Z166" s="564"/>
      <c r="AA166" s="564" t="s">
        <v>1564</v>
      </c>
      <c r="AB166" s="564"/>
      <c r="AC166" s="564"/>
      <c r="AD166" s="564"/>
      <c r="AE166" s="564"/>
      <c r="AF166" s="564"/>
      <c r="AG166" s="564"/>
      <c r="AH166" s="564"/>
      <c r="AI166" s="564"/>
      <c r="AJ166" s="564"/>
      <c r="AK166" s="564"/>
      <c r="AL166" s="564"/>
      <c r="AM166" s="564"/>
      <c r="AN166" s="564"/>
      <c r="AO166" s="564" t="s">
        <v>7418</v>
      </c>
      <c r="AP166" s="564"/>
      <c r="AQ166" s="564"/>
      <c r="AR166" s="564"/>
      <c r="AS166" s="564"/>
      <c r="AT166" s="564"/>
      <c r="AU166" s="564"/>
      <c r="AV166" s="564"/>
      <c r="AW166" s="564"/>
      <c r="AX166" s="564"/>
      <c r="AY166" s="564"/>
      <c r="AZ166" s="564"/>
      <c r="BA166" s="564"/>
      <c r="BB166" s="564"/>
      <c r="BC166" s="564" t="s">
        <v>9676</v>
      </c>
      <c r="BD166" s="564"/>
      <c r="BE166" s="564"/>
      <c r="BF166" s="564"/>
      <c r="BG166" s="564"/>
      <c r="BH166" s="564"/>
      <c r="BI166" s="564"/>
      <c r="BJ166" s="564"/>
      <c r="BK166" s="564"/>
      <c r="BL166" s="564"/>
      <c r="BM166" s="564"/>
      <c r="BN166" s="564"/>
      <c r="BO166" s="564"/>
      <c r="BP166" s="564"/>
      <c r="BQ166" s="564" t="s">
        <v>7420</v>
      </c>
      <c r="BR166" s="564"/>
      <c r="BS166" s="564"/>
      <c r="BT166" s="564"/>
      <c r="BU166" s="564"/>
      <c r="BV166" s="564"/>
      <c r="BW166" s="564"/>
      <c r="BX166" s="564"/>
      <c r="BY166" s="564"/>
      <c r="BZ166" s="564"/>
      <c r="CA166" s="564"/>
      <c r="CB166" s="564"/>
      <c r="CC166" s="564"/>
      <c r="CD166" s="564"/>
      <c r="CE166" s="564" t="s">
        <v>7489</v>
      </c>
      <c r="CF166" s="564"/>
      <c r="CG166" s="564"/>
      <c r="CH166" s="564"/>
      <c r="CI166" s="564"/>
      <c r="CJ166" s="564"/>
      <c r="CK166" s="564"/>
      <c r="CL166" s="564"/>
      <c r="CM166" s="564"/>
      <c r="CN166" s="564"/>
      <c r="CO166" s="564"/>
      <c r="CP166" s="564"/>
      <c r="CQ166" s="564"/>
      <c r="CR166" s="564"/>
      <c r="CS166" s="564" t="s">
        <v>7422</v>
      </c>
      <c r="CT166" s="564"/>
      <c r="CU166" s="564"/>
      <c r="CV166" s="564"/>
      <c r="CW166" s="564"/>
      <c r="CX166" s="564"/>
      <c r="CY166" s="564"/>
      <c r="CZ166" s="564"/>
      <c r="DA166" s="564"/>
      <c r="DB166" s="564"/>
      <c r="DC166" s="564"/>
      <c r="DD166" s="564"/>
      <c r="DE166" s="564"/>
      <c r="DF166" s="564"/>
      <c r="DG166" s="564" t="s">
        <v>9681</v>
      </c>
      <c r="DH166" s="564"/>
    </row>
    <row r="167" spans="2:112" s="193" customFormat="1" ht="12.75" x14ac:dyDescent="0.2">
      <c r="B167" s="34"/>
      <c r="C167" s="5" t="str">
        <f>CONCATENATE("",DM4_Vaccine)</f>
        <v/>
      </c>
      <c r="D167" s="16" t="e">
        <f t="shared" si="145"/>
        <v>#N/A</v>
      </c>
      <c r="E167" s="16" t="e">
        <f t="shared" si="145"/>
        <v>#N/A</v>
      </c>
      <c r="F167" s="16" t="e">
        <f t="shared" si="145"/>
        <v>#N/A</v>
      </c>
      <c r="G167" s="16" t="e">
        <f t="shared" si="145"/>
        <v>#N/A</v>
      </c>
      <c r="H167" s="16" t="e">
        <f t="shared" si="145"/>
        <v>#N/A</v>
      </c>
      <c r="I167" s="16" t="e">
        <f t="shared" si="145"/>
        <v>#N/A</v>
      </c>
      <c r="J167" s="26" t="e">
        <f t="shared" si="144"/>
        <v>#N/A</v>
      </c>
      <c r="K167" s="44"/>
      <c r="L167" s="12" t="str">
        <f t="shared" ca="1" si="120"/>
        <v>Delivery Modality 4</v>
      </c>
      <c r="M167" s="12"/>
      <c r="O167" s="564"/>
      <c r="P167" s="564"/>
      <c r="Q167" s="564"/>
      <c r="R167" s="564"/>
      <c r="S167" s="564"/>
      <c r="T167" s="564"/>
      <c r="U167" s="564"/>
      <c r="V167" s="564"/>
      <c r="W167" s="564"/>
      <c r="X167" s="564"/>
      <c r="Y167" s="564"/>
      <c r="Z167" s="564"/>
      <c r="AA167" s="564" t="s">
        <v>1565</v>
      </c>
      <c r="AB167" s="564"/>
      <c r="AC167" s="564"/>
      <c r="AD167" s="564"/>
      <c r="AE167" s="564"/>
      <c r="AF167" s="564"/>
      <c r="AG167" s="564"/>
      <c r="AH167" s="564"/>
      <c r="AI167" s="564"/>
      <c r="AJ167" s="564"/>
      <c r="AK167" s="564"/>
      <c r="AL167" s="564"/>
      <c r="AM167" s="564"/>
      <c r="AN167" s="564"/>
      <c r="AO167" s="564" t="s">
        <v>7424</v>
      </c>
      <c r="AP167" s="564"/>
      <c r="AQ167" s="564"/>
      <c r="AR167" s="564"/>
      <c r="AS167" s="564"/>
      <c r="AT167" s="564"/>
      <c r="AU167" s="564"/>
      <c r="AV167" s="564"/>
      <c r="AW167" s="564"/>
      <c r="AX167" s="564"/>
      <c r="AY167" s="564"/>
      <c r="AZ167" s="564"/>
      <c r="BA167" s="564"/>
      <c r="BB167" s="564"/>
      <c r="BC167" s="564" t="s">
        <v>9726</v>
      </c>
      <c r="BD167" s="564"/>
      <c r="BE167" s="564"/>
      <c r="BF167" s="564"/>
      <c r="BG167" s="564"/>
      <c r="BH167" s="564"/>
      <c r="BI167" s="564"/>
      <c r="BJ167" s="564"/>
      <c r="BK167" s="564"/>
      <c r="BL167" s="564"/>
      <c r="BM167" s="564"/>
      <c r="BN167" s="564"/>
      <c r="BO167" s="564"/>
      <c r="BP167" s="564"/>
      <c r="BQ167" s="564" t="s">
        <v>7426</v>
      </c>
      <c r="BR167" s="564"/>
      <c r="BS167" s="564"/>
      <c r="BT167" s="564"/>
      <c r="BU167" s="564"/>
      <c r="BV167" s="564"/>
      <c r="BW167" s="564"/>
      <c r="BX167" s="564"/>
      <c r="BY167" s="564"/>
      <c r="BZ167" s="564"/>
      <c r="CA167" s="564"/>
      <c r="CB167" s="564"/>
      <c r="CC167" s="564"/>
      <c r="CD167" s="564"/>
      <c r="CE167" s="564" t="s">
        <v>7491</v>
      </c>
      <c r="CF167" s="564"/>
      <c r="CG167" s="564"/>
      <c r="CH167" s="564"/>
      <c r="CI167" s="564"/>
      <c r="CJ167" s="564"/>
      <c r="CK167" s="564"/>
      <c r="CL167" s="564"/>
      <c r="CM167" s="564"/>
      <c r="CN167" s="564"/>
      <c r="CO167" s="564"/>
      <c r="CP167" s="564"/>
      <c r="CQ167" s="564"/>
      <c r="CR167" s="564"/>
      <c r="CS167" s="564" t="s">
        <v>7428</v>
      </c>
      <c r="CT167" s="564"/>
      <c r="CU167" s="564"/>
      <c r="CV167" s="564"/>
      <c r="CW167" s="564"/>
      <c r="CX167" s="564"/>
      <c r="CY167" s="564"/>
      <c r="CZ167" s="564"/>
      <c r="DA167" s="564"/>
      <c r="DB167" s="564"/>
      <c r="DC167" s="564"/>
      <c r="DD167" s="564"/>
      <c r="DE167" s="564"/>
      <c r="DF167" s="564"/>
      <c r="DG167" s="564" t="s">
        <v>9731</v>
      </c>
      <c r="DH167" s="564"/>
    </row>
    <row r="168" spans="2:112" s="193" customFormat="1" ht="12.75" x14ac:dyDescent="0.2">
      <c r="B168" s="34"/>
      <c r="C168" s="5" t="str">
        <f ca="1">IF(OFFSET(R168,0,Lang_Order*Lang__B1)="","",OFFSET(R168,0,Lang_Order*Lang__B1))</f>
        <v>Total</v>
      </c>
      <c r="D168" s="16" t="e">
        <f>SUM(D164:D167)</f>
        <v>#N/A</v>
      </c>
      <c r="E168" s="16" t="e">
        <f t="shared" ref="E168:J168" si="146">SUM(E164:E167)</f>
        <v>#N/A</v>
      </c>
      <c r="F168" s="16" t="e">
        <f t="shared" si="146"/>
        <v>#N/A</v>
      </c>
      <c r="G168" s="16" t="e">
        <f t="shared" si="146"/>
        <v>#N/A</v>
      </c>
      <c r="H168" s="16" t="e">
        <f t="shared" si="146"/>
        <v>#N/A</v>
      </c>
      <c r="I168" s="16" t="e">
        <f t="shared" si="146"/>
        <v>#N/A</v>
      </c>
      <c r="J168" s="16" t="e">
        <f t="shared" si="146"/>
        <v>#N/A</v>
      </c>
      <c r="K168" s="44"/>
      <c r="L168" s="567"/>
      <c r="M168" s="567"/>
      <c r="O168" s="564"/>
      <c r="P168" s="564"/>
      <c r="Q168" s="564"/>
      <c r="R168" s="564" t="s">
        <v>1605</v>
      </c>
      <c r="S168" s="564"/>
      <c r="T168" s="564"/>
      <c r="U168" s="564"/>
      <c r="V168" s="564"/>
      <c r="W168" s="564"/>
      <c r="X168" s="564"/>
      <c r="Y168" s="564"/>
      <c r="Z168" s="564"/>
      <c r="AA168" s="564"/>
      <c r="AB168" s="564"/>
      <c r="AC168" s="564"/>
      <c r="AD168" s="564"/>
      <c r="AE168" s="564"/>
      <c r="AF168" s="564" t="s">
        <v>1605</v>
      </c>
      <c r="AG168" s="564"/>
      <c r="AH168" s="564"/>
      <c r="AI168" s="564"/>
      <c r="AJ168" s="564"/>
      <c r="AK168" s="564"/>
      <c r="AL168" s="564"/>
      <c r="AM168" s="564"/>
      <c r="AN168" s="564"/>
      <c r="AO168" s="564"/>
      <c r="AP168" s="564"/>
      <c r="AQ168" s="564"/>
      <c r="AR168" s="564"/>
      <c r="AS168" s="564"/>
      <c r="AT168" s="564" t="s">
        <v>4676</v>
      </c>
      <c r="AU168" s="564"/>
      <c r="AV168" s="564"/>
      <c r="AW168" s="564"/>
      <c r="AX168" s="564"/>
      <c r="AY168" s="564"/>
      <c r="AZ168" s="564"/>
      <c r="BA168" s="564"/>
      <c r="BB168" s="564"/>
      <c r="BC168" s="564"/>
      <c r="BD168" s="564"/>
      <c r="BE168" s="564"/>
      <c r="BF168" s="564"/>
      <c r="BG168" s="564"/>
      <c r="BH168" s="564" t="s">
        <v>1605</v>
      </c>
      <c r="BI168" s="564"/>
      <c r="BJ168" s="564"/>
      <c r="BK168" s="564"/>
      <c r="BL168" s="564"/>
      <c r="BM168" s="564"/>
      <c r="BN168" s="564"/>
      <c r="BO168" s="564"/>
      <c r="BP168" s="564"/>
      <c r="BQ168" s="564"/>
      <c r="BR168" s="564"/>
      <c r="BS168" s="564"/>
      <c r="BT168" s="564"/>
      <c r="BU168" s="564"/>
      <c r="BV168" s="564" t="s">
        <v>1605</v>
      </c>
      <c r="BW168" s="564"/>
      <c r="BX168" s="564"/>
      <c r="BY168" s="564"/>
      <c r="BZ168" s="564"/>
      <c r="CA168" s="564"/>
      <c r="CB168" s="564"/>
      <c r="CC168" s="564"/>
      <c r="CD168" s="564"/>
      <c r="CE168" s="564"/>
      <c r="CF168" s="564"/>
      <c r="CG168" s="564"/>
      <c r="CH168" s="564"/>
      <c r="CI168" s="564"/>
      <c r="CJ168" s="564" t="s">
        <v>4686</v>
      </c>
      <c r="CK168" s="564"/>
      <c r="CL168" s="564"/>
      <c r="CM168" s="564"/>
      <c r="CN168" s="564"/>
      <c r="CO168" s="564"/>
      <c r="CP168" s="564"/>
      <c r="CQ168" s="564"/>
      <c r="CR168" s="564"/>
      <c r="CS168" s="564"/>
      <c r="CT168" s="564"/>
      <c r="CU168" s="564"/>
      <c r="CV168" s="564"/>
      <c r="CW168" s="564"/>
      <c r="CX168" s="564" t="s">
        <v>4694</v>
      </c>
      <c r="CY168" s="564"/>
      <c r="CZ168" s="564"/>
      <c r="DA168" s="564"/>
      <c r="DB168" s="564"/>
      <c r="DC168" s="564"/>
      <c r="DD168" s="564"/>
      <c r="DE168" s="564"/>
      <c r="DF168" s="564"/>
      <c r="DG168" s="564"/>
      <c r="DH168" s="564"/>
    </row>
    <row r="169" spans="2:112" ht="12.75" x14ac:dyDescent="0.2">
      <c r="B169" s="34"/>
      <c r="D169" s="16"/>
      <c r="E169" s="16"/>
      <c r="F169" s="16"/>
      <c r="G169" s="16"/>
      <c r="H169" s="16"/>
      <c r="I169" s="16"/>
      <c r="J169" s="16"/>
      <c r="L169" s="15"/>
      <c r="M169" s="567"/>
    </row>
    <row r="170" spans="2:112" x14ac:dyDescent="0.25">
      <c r="B170" s="8" t="str">
        <f ca="1">IF(OFFSET(Q170,0,Lang_Order*Lang__B1)="","",OFFSET(Q170,0,Lang_Order*Lang__B1))</f>
        <v>B1.3.2 Expected Uptake (Vaccine courses)</v>
      </c>
      <c r="C170" s="19"/>
      <c r="D170" s="45" t="e">
        <f>D178/$J161</f>
        <v>#N/A</v>
      </c>
      <c r="E170" s="45" t="e">
        <f t="shared" ref="E170:J170" si="147">E178/$J161</f>
        <v>#N/A</v>
      </c>
      <c r="F170" s="45" t="e">
        <f t="shared" si="147"/>
        <v>#N/A</v>
      </c>
      <c r="G170" s="45" t="e">
        <f t="shared" si="147"/>
        <v>#N/A</v>
      </c>
      <c r="H170" s="45" t="e">
        <f t="shared" si="147"/>
        <v>#N/A</v>
      </c>
      <c r="I170" s="45" t="e">
        <f t="shared" si="147"/>
        <v>#N/A</v>
      </c>
      <c r="J170" s="45" t="e">
        <f t="shared" si="147"/>
        <v>#N/A</v>
      </c>
      <c r="K170" s="45"/>
      <c r="L170" s="8"/>
      <c r="M170" s="8"/>
      <c r="Q170" s="564" t="s">
        <v>4245</v>
      </c>
      <c r="AE170" s="564" t="s">
        <v>9827</v>
      </c>
      <c r="AS170" s="564" t="s">
        <v>9828</v>
      </c>
      <c r="BG170" s="564" t="s">
        <v>9829</v>
      </c>
      <c r="BU170" s="564" t="s">
        <v>9830</v>
      </c>
      <c r="CI170" s="564" t="s">
        <v>9831</v>
      </c>
      <c r="CW170" s="564" t="s">
        <v>9832</v>
      </c>
    </row>
    <row r="171" spans="2:112" ht="12.75" x14ac:dyDescent="0.2">
      <c r="B171" s="583" t="str">
        <f ca="1">IF(OFFSET(Q171,0,Lang_Order*Lang__B1)="","",OFFSET(Q171,0,Lang_Order*Lang__B1))</f>
        <v>Note: Applies the expected take-up assumption | No vaccine wastage | Round UP</v>
      </c>
      <c r="D171" s="16"/>
      <c r="E171" s="16"/>
      <c r="F171" s="16"/>
      <c r="G171" s="16"/>
      <c r="H171" s="16"/>
      <c r="I171" s="16"/>
      <c r="J171" s="16"/>
      <c r="K171" s="71" t="str">
        <f ca="1">IF(OFFSET(Z171,0,Lang_Order*Lang__B1)="","",OFFSET(Z171,0,Lang_Order*Lang__B1))</f>
        <v>Expected Uptake</v>
      </c>
      <c r="L171" s="12" t="str">
        <f ca="1">IF(OFFSET(AA171,0,Lang_Order*Lang__B1)="","",OFFSET(AA171,0,Lang_Order*Lang__B1))</f>
        <v>These estimates useful for last-mile service provision</v>
      </c>
      <c r="Q171" s="564" t="s">
        <v>2879</v>
      </c>
      <c r="Z171" s="564" t="s">
        <v>1563</v>
      </c>
      <c r="AA171" s="564" t="s">
        <v>2808</v>
      </c>
      <c r="AE171" s="564" t="s">
        <v>9833</v>
      </c>
      <c r="AN171" s="564" t="s">
        <v>9834</v>
      </c>
      <c r="AO171" s="564" t="s">
        <v>9835</v>
      </c>
      <c r="AS171" s="564" t="s">
        <v>9836</v>
      </c>
      <c r="BB171" s="564" t="s">
        <v>9837</v>
      </c>
      <c r="BC171" s="564" t="s">
        <v>9838</v>
      </c>
      <c r="BG171" s="564" t="s">
        <v>9839</v>
      </c>
      <c r="BP171" s="564" t="s">
        <v>9840</v>
      </c>
      <c r="BQ171" s="564" t="s">
        <v>9841</v>
      </c>
      <c r="BU171" s="564" t="s">
        <v>9842</v>
      </c>
      <c r="CD171" s="564" t="s">
        <v>9843</v>
      </c>
      <c r="CE171" s="564" t="s">
        <v>9844</v>
      </c>
      <c r="CI171" s="564" t="s">
        <v>9845</v>
      </c>
      <c r="CR171" s="564" t="s">
        <v>9846</v>
      </c>
      <c r="CS171" s="564" t="s">
        <v>9847</v>
      </c>
      <c r="CW171" s="564" t="s">
        <v>9826</v>
      </c>
      <c r="DF171" s="564" t="s">
        <v>9848</v>
      </c>
      <c r="DG171" s="564" t="s">
        <v>9849</v>
      </c>
    </row>
    <row r="172" spans="2:112" ht="12.75" x14ac:dyDescent="0.2">
      <c r="B172" s="34"/>
      <c r="C172" s="370" t="str">
        <f t="shared" ref="C172:C178" ca="1" si="148">IF(OFFSET(R172,0,Lang_Order*Lang__B1)="","",OFFSET(R172,0,Lang_Order*Lang__B1))</f>
        <v>Work-based | Delivery Modality 1</v>
      </c>
      <c r="D172" s="16" t="e">
        <f>ROUNDUP(D155*'A2. INPUT Population &amp; Delivery'!$E247,0)</f>
        <v>#N/A</v>
      </c>
      <c r="E172" s="16" t="e">
        <f>ROUNDUP(E155*'A2. INPUT Population &amp; Delivery'!$E247,0)</f>
        <v>#N/A</v>
      </c>
      <c r="F172" s="16" t="e">
        <f>ROUNDUP(F155*'A2. INPUT Population &amp; Delivery'!$E247,0)</f>
        <v>#N/A</v>
      </c>
      <c r="G172" s="16" t="e">
        <f>ROUNDUP(G155*'A2. INPUT Population &amp; Delivery'!$E247,0)</f>
        <v>#N/A</v>
      </c>
      <c r="H172" s="16" t="e">
        <f>ROUNDUP(H155*'A2. INPUT Population &amp; Delivery'!$E247,0)</f>
        <v>#N/A</v>
      </c>
      <c r="I172" s="16" t="e">
        <f>ROUNDUP(I155*'A2. INPUT Population &amp; Delivery'!$E247,0)</f>
        <v>#N/A</v>
      </c>
      <c r="J172" s="16" t="e">
        <f t="shared" ref="J172:J177" si="149">SUM(D172:I172)</f>
        <v>#N/A</v>
      </c>
      <c r="K172" s="54">
        <f>'A2. INPUT Population &amp; Delivery'!E247</f>
        <v>0</v>
      </c>
      <c r="L172" s="567"/>
      <c r="M172" s="567"/>
      <c r="R172" s="564" t="s">
        <v>1619</v>
      </c>
      <c r="AF172" s="564" t="s">
        <v>9795</v>
      </c>
      <c r="AT172" s="564" t="s">
        <v>9796</v>
      </c>
      <c r="BH172" s="564" t="s">
        <v>9797</v>
      </c>
      <c r="BV172" s="564" t="s">
        <v>7394</v>
      </c>
      <c r="CJ172" s="564" t="s">
        <v>7396</v>
      </c>
      <c r="CX172" s="564" t="s">
        <v>9798</v>
      </c>
    </row>
    <row r="173" spans="2:112" ht="12.75" x14ac:dyDescent="0.2">
      <c r="B173" s="34"/>
      <c r="C173" s="5" t="str">
        <f t="shared" ca="1" si="148"/>
        <v>Voluntary | Delivery Modality 1</v>
      </c>
      <c r="D173" s="16" t="e">
        <f>ROUNDUP(D156*'A2. INPUT Population &amp; Delivery'!$E248,0)</f>
        <v>#N/A</v>
      </c>
      <c r="E173" s="16" t="e">
        <f>ROUNDUP(E156*'A2. INPUT Population &amp; Delivery'!$E248,0)</f>
        <v>#N/A</v>
      </c>
      <c r="F173" s="16" t="e">
        <f>ROUNDUP(F156*'A2. INPUT Population &amp; Delivery'!$E248,0)</f>
        <v>#N/A</v>
      </c>
      <c r="G173" s="16" t="e">
        <f>ROUNDUP(G156*'A2. INPUT Population &amp; Delivery'!$E248,0)</f>
        <v>#N/A</v>
      </c>
      <c r="H173" s="16" t="e">
        <f>ROUNDUP(H156*'A2. INPUT Population &amp; Delivery'!$E248,0)</f>
        <v>#N/A</v>
      </c>
      <c r="I173" s="16" t="e">
        <f>ROUNDUP(I156*'A2. INPUT Population &amp; Delivery'!$E248,0)</f>
        <v>#N/A</v>
      </c>
      <c r="J173" s="16" t="e">
        <f t="shared" si="149"/>
        <v>#N/A</v>
      </c>
      <c r="K173" s="54">
        <f>'A2. INPUT Population &amp; Delivery'!E248</f>
        <v>0</v>
      </c>
      <c r="L173" s="567"/>
      <c r="M173" s="567"/>
      <c r="R173" s="564" t="s">
        <v>1620</v>
      </c>
      <c r="AF173" s="564" t="s">
        <v>7400</v>
      </c>
      <c r="AT173" s="564" t="s">
        <v>9812</v>
      </c>
      <c r="BH173" s="564" t="s">
        <v>9813</v>
      </c>
      <c r="BV173" s="564" t="s">
        <v>7403</v>
      </c>
      <c r="CJ173" s="564" t="s">
        <v>7404</v>
      </c>
      <c r="CX173" s="564" t="s">
        <v>9814</v>
      </c>
    </row>
    <row r="174" spans="2:112" ht="12.75" x14ac:dyDescent="0.2">
      <c r="B174" s="34"/>
      <c r="C174" s="370" t="str">
        <f t="shared" ca="1" si="148"/>
        <v>Work-based | Delivery Modality 2</v>
      </c>
      <c r="D174" s="16" t="e">
        <f>ROUNDUP(D157*'A2. INPUT Population &amp; Delivery'!$E249,0)</f>
        <v>#N/A</v>
      </c>
      <c r="E174" s="16" t="e">
        <f>ROUNDUP(E157*'A2. INPUT Population &amp; Delivery'!$E249,0)</f>
        <v>#N/A</v>
      </c>
      <c r="F174" s="16" t="e">
        <f>ROUNDUP(F157*'A2. INPUT Population &amp; Delivery'!$E249,0)</f>
        <v>#N/A</v>
      </c>
      <c r="G174" s="16" t="e">
        <f>ROUNDUP(G157*'A2. INPUT Population &amp; Delivery'!$E249,0)</f>
        <v>#N/A</v>
      </c>
      <c r="H174" s="16" t="e">
        <f>ROUNDUP(H157*'A2. INPUT Population &amp; Delivery'!$E249,0)</f>
        <v>#N/A</v>
      </c>
      <c r="I174" s="16" t="e">
        <f>ROUNDUP(I157*'A2. INPUT Population &amp; Delivery'!$E249,0)</f>
        <v>#N/A</v>
      </c>
      <c r="J174" s="16" t="e">
        <f t="shared" si="149"/>
        <v>#N/A</v>
      </c>
      <c r="K174" s="54">
        <f>'A2. INPUT Population &amp; Delivery'!E249</f>
        <v>0</v>
      </c>
      <c r="L174" s="567"/>
      <c r="M174" s="567"/>
      <c r="R174" s="564" t="s">
        <v>1617</v>
      </c>
      <c r="AF174" s="564" t="s">
        <v>9799</v>
      </c>
      <c r="AT174" s="564" t="s">
        <v>9800</v>
      </c>
      <c r="BH174" s="564" t="s">
        <v>9819</v>
      </c>
      <c r="BV174" s="564" t="s">
        <v>7409</v>
      </c>
      <c r="CJ174" s="564" t="s">
        <v>7410</v>
      </c>
      <c r="CX174" s="564" t="s">
        <v>9802</v>
      </c>
    </row>
    <row r="175" spans="2:112" ht="12.75" x14ac:dyDescent="0.2">
      <c r="B175" s="34"/>
      <c r="C175" s="5" t="str">
        <f t="shared" ca="1" si="148"/>
        <v>Voluntary | Delivery Modality 2</v>
      </c>
      <c r="D175" s="16" t="e">
        <f>ROUNDUP(D158*'A2. INPUT Population &amp; Delivery'!$E250,0)</f>
        <v>#N/A</v>
      </c>
      <c r="E175" s="16" t="e">
        <f>ROUNDUP(E158*'A2. INPUT Population &amp; Delivery'!$E250,0)</f>
        <v>#N/A</v>
      </c>
      <c r="F175" s="16" t="e">
        <f>ROUNDUP(F158*'A2. INPUT Population &amp; Delivery'!$E250,0)</f>
        <v>#N/A</v>
      </c>
      <c r="G175" s="16" t="e">
        <f>ROUNDUP(G158*'A2. INPUT Population &amp; Delivery'!$E250,0)</f>
        <v>#N/A</v>
      </c>
      <c r="H175" s="16" t="e">
        <f>ROUNDUP(H158*'A2. INPUT Population &amp; Delivery'!$E250,0)</f>
        <v>#N/A</v>
      </c>
      <c r="I175" s="16" t="e">
        <f>ROUNDUP(I158*'A2. INPUT Population &amp; Delivery'!$E250,0)</f>
        <v>#N/A</v>
      </c>
      <c r="J175" s="16" t="e">
        <f t="shared" si="149"/>
        <v>#N/A</v>
      </c>
      <c r="K175" s="54">
        <f>'A2. INPUT Population &amp; Delivery'!E250</f>
        <v>0</v>
      </c>
      <c r="L175" s="567"/>
      <c r="M175" s="567"/>
      <c r="R175" s="564" t="s">
        <v>1616</v>
      </c>
      <c r="AF175" s="564" t="s">
        <v>7412</v>
      </c>
      <c r="AT175" s="564" t="s">
        <v>9815</v>
      </c>
      <c r="BH175" s="564" t="s">
        <v>9816</v>
      </c>
      <c r="BV175" s="564" t="s">
        <v>7415</v>
      </c>
      <c r="CJ175" s="564" t="s">
        <v>7416</v>
      </c>
      <c r="CX175" s="564" t="s">
        <v>9818</v>
      </c>
    </row>
    <row r="176" spans="2:112" ht="12.75" x14ac:dyDescent="0.2">
      <c r="B176" s="34"/>
      <c r="C176" s="5" t="str">
        <f t="shared" ca="1" si="148"/>
        <v>Delivery Modality 3</v>
      </c>
      <c r="D176" s="16" t="e">
        <f>ROUNDUP(D159*'A2. INPUT Population &amp; Delivery'!$E251,0)</f>
        <v>#N/A</v>
      </c>
      <c r="E176" s="16" t="e">
        <f>ROUNDUP(E159*'A2. INPUT Population &amp; Delivery'!$E251,0)</f>
        <v>#N/A</v>
      </c>
      <c r="F176" s="16" t="e">
        <f>ROUNDUP(F159*'A2. INPUT Population &amp; Delivery'!$E251,0)</f>
        <v>#N/A</v>
      </c>
      <c r="G176" s="16" t="e">
        <f>ROUNDUP(G159*'A2. INPUT Population &amp; Delivery'!$E251,0)</f>
        <v>#N/A</v>
      </c>
      <c r="H176" s="16" t="e">
        <f>ROUNDUP(H159*'A2. INPUT Population &amp; Delivery'!$E251,0)</f>
        <v>#N/A</v>
      </c>
      <c r="I176" s="16" t="e">
        <f>ROUNDUP(I159*'A2. INPUT Population &amp; Delivery'!$E251,0)</f>
        <v>#N/A</v>
      </c>
      <c r="J176" s="16" t="e">
        <f t="shared" si="149"/>
        <v>#N/A</v>
      </c>
      <c r="K176" s="54">
        <f>'A2. INPUT Population &amp; Delivery'!E251</f>
        <v>0</v>
      </c>
      <c r="L176" s="567"/>
      <c r="M176" s="567"/>
      <c r="R176" s="564" t="s">
        <v>1564</v>
      </c>
      <c r="AF176" s="564" t="s">
        <v>7418</v>
      </c>
      <c r="AT176" s="564" t="s">
        <v>9676</v>
      </c>
      <c r="BH176" s="564" t="s">
        <v>7420</v>
      </c>
      <c r="BV176" s="564" t="s">
        <v>7489</v>
      </c>
      <c r="CJ176" s="564" t="s">
        <v>7422</v>
      </c>
      <c r="CX176" s="564" t="s">
        <v>9681</v>
      </c>
    </row>
    <row r="177" spans="1:112" ht="12.75" x14ac:dyDescent="0.2">
      <c r="B177" s="34"/>
      <c r="C177" s="5" t="str">
        <f t="shared" ca="1" si="148"/>
        <v>Delivery Modality 4</v>
      </c>
      <c r="D177" s="16" t="e">
        <f>ROUNDUP(D160*'A2. INPUT Population &amp; Delivery'!$E252,0)</f>
        <v>#N/A</v>
      </c>
      <c r="E177" s="16" t="e">
        <f>ROUNDUP(E160*'A2. INPUT Population &amp; Delivery'!$E252,0)</f>
        <v>#N/A</v>
      </c>
      <c r="F177" s="16" t="e">
        <f>ROUNDUP(F160*'A2. INPUT Population &amp; Delivery'!$E252,0)</f>
        <v>#N/A</v>
      </c>
      <c r="G177" s="16" t="e">
        <f>ROUNDUP(G160*'A2. INPUT Population &amp; Delivery'!$E252,0)</f>
        <v>#N/A</v>
      </c>
      <c r="H177" s="16" t="e">
        <f>ROUNDUP(H160*'A2. INPUT Population &amp; Delivery'!$E252,0)</f>
        <v>#N/A</v>
      </c>
      <c r="I177" s="16" t="e">
        <f>ROUNDUP(I160*'A2. INPUT Population &amp; Delivery'!$E252,0)</f>
        <v>#N/A</v>
      </c>
      <c r="J177" s="16" t="e">
        <f t="shared" si="149"/>
        <v>#N/A</v>
      </c>
      <c r="K177" s="54">
        <f>'A2. INPUT Population &amp; Delivery'!E252</f>
        <v>0</v>
      </c>
      <c r="L177" s="567"/>
      <c r="M177" s="567"/>
      <c r="R177" s="564" t="s">
        <v>1565</v>
      </c>
      <c r="AF177" s="564" t="s">
        <v>7424</v>
      </c>
      <c r="AT177" s="564" t="s">
        <v>9726</v>
      </c>
      <c r="BH177" s="564" t="s">
        <v>7426</v>
      </c>
      <c r="BV177" s="564" t="s">
        <v>7491</v>
      </c>
      <c r="CJ177" s="564" t="s">
        <v>7428</v>
      </c>
      <c r="CX177" s="564" t="s">
        <v>9731</v>
      </c>
    </row>
    <row r="178" spans="1:112" ht="13.5" thickBot="1" x14ac:dyDescent="0.25">
      <c r="B178" s="34"/>
      <c r="C178" s="21" t="str">
        <f t="shared" ca="1" si="148"/>
        <v>Total</v>
      </c>
      <c r="D178" s="119" t="e">
        <f t="shared" ref="D178:J178" si="150">SUM(D172:D177)</f>
        <v>#N/A</v>
      </c>
      <c r="E178" s="119" t="e">
        <f t="shared" si="150"/>
        <v>#N/A</v>
      </c>
      <c r="F178" s="119" t="e">
        <f t="shared" si="150"/>
        <v>#N/A</v>
      </c>
      <c r="G178" s="119" t="e">
        <f t="shared" si="150"/>
        <v>#N/A</v>
      </c>
      <c r="H178" s="119" t="e">
        <f t="shared" si="150"/>
        <v>#N/A</v>
      </c>
      <c r="I178" s="119" t="e">
        <f t="shared" si="150"/>
        <v>#N/A</v>
      </c>
      <c r="J178" s="119" t="e">
        <f t="shared" si="150"/>
        <v>#N/A</v>
      </c>
      <c r="L178" s="567"/>
      <c r="M178" s="567"/>
      <c r="R178" s="564" t="s">
        <v>1605</v>
      </c>
      <c r="AF178" s="564" t="s">
        <v>1605</v>
      </c>
      <c r="AT178" s="564" t="s">
        <v>4676</v>
      </c>
      <c r="BH178" s="564" t="s">
        <v>1605</v>
      </c>
      <c r="BV178" s="564" t="s">
        <v>1605</v>
      </c>
      <c r="CJ178" s="564" t="s">
        <v>4686</v>
      </c>
      <c r="CX178" s="564" t="s">
        <v>4694</v>
      </c>
    </row>
    <row r="179" spans="1:112" s="193" customFormat="1" ht="13.5" thickTop="1" x14ac:dyDescent="0.2">
      <c r="B179" s="34"/>
      <c r="C179" s="5"/>
      <c r="D179" s="16"/>
      <c r="E179" s="16"/>
      <c r="F179" s="16"/>
      <c r="G179" s="16"/>
      <c r="H179" s="16"/>
      <c r="I179" s="16"/>
      <c r="J179" s="16"/>
      <c r="K179" s="44"/>
      <c r="L179" s="567"/>
      <c r="M179" s="567"/>
      <c r="O179" s="564"/>
      <c r="P179" s="564"/>
      <c r="Q179" s="564"/>
      <c r="R179" s="564"/>
      <c r="S179" s="564"/>
      <c r="T179" s="564"/>
      <c r="U179" s="564"/>
      <c r="V179" s="564"/>
      <c r="W179" s="564"/>
      <c r="X179" s="564"/>
      <c r="Y179" s="564"/>
      <c r="Z179" s="564"/>
      <c r="AA179" s="564"/>
      <c r="AB179" s="564"/>
      <c r="AC179" s="564"/>
      <c r="AD179" s="564"/>
      <c r="AE179" s="564"/>
      <c r="AF179" s="564"/>
      <c r="AG179" s="564"/>
      <c r="AH179" s="564"/>
      <c r="AI179" s="564"/>
      <c r="AJ179" s="564"/>
      <c r="AK179" s="564"/>
      <c r="AL179" s="564"/>
      <c r="AM179" s="564"/>
      <c r="AN179" s="564"/>
      <c r="AO179" s="564"/>
      <c r="AP179" s="564"/>
      <c r="AQ179" s="564"/>
      <c r="AR179" s="564"/>
      <c r="AS179" s="564"/>
      <c r="AT179" s="564"/>
      <c r="AU179" s="564"/>
      <c r="AV179" s="564"/>
      <c r="AW179" s="564"/>
      <c r="AX179" s="564"/>
      <c r="AY179" s="564"/>
      <c r="AZ179" s="564"/>
      <c r="BA179" s="564"/>
      <c r="BB179" s="564"/>
      <c r="BC179" s="564"/>
      <c r="BD179" s="564"/>
      <c r="BE179" s="564"/>
      <c r="BF179" s="564"/>
      <c r="BG179" s="564"/>
      <c r="BH179" s="564"/>
      <c r="BI179" s="564"/>
      <c r="BJ179" s="564"/>
      <c r="BK179" s="564"/>
      <c r="BL179" s="564"/>
      <c r="BM179" s="564"/>
      <c r="BN179" s="564"/>
      <c r="BO179" s="564"/>
      <c r="BP179" s="564"/>
      <c r="BQ179" s="564"/>
      <c r="BR179" s="564"/>
      <c r="BS179" s="564"/>
      <c r="BT179" s="564"/>
      <c r="BU179" s="564"/>
      <c r="BV179" s="564"/>
      <c r="BW179" s="564"/>
      <c r="BX179" s="564"/>
      <c r="BY179" s="564"/>
      <c r="BZ179" s="564"/>
      <c r="CA179" s="564"/>
      <c r="CB179" s="564"/>
      <c r="CC179" s="564"/>
      <c r="CD179" s="564"/>
      <c r="CE179" s="564"/>
      <c r="CF179" s="564"/>
      <c r="CG179" s="564"/>
      <c r="CH179" s="564"/>
      <c r="CI179" s="564"/>
      <c r="CJ179" s="564"/>
      <c r="CK179" s="564"/>
      <c r="CL179" s="564"/>
      <c r="CM179" s="564"/>
      <c r="CN179" s="564"/>
      <c r="CO179" s="564"/>
      <c r="CP179" s="564"/>
      <c r="CQ179" s="564"/>
      <c r="CR179" s="564"/>
      <c r="CS179" s="564"/>
      <c r="CT179" s="564"/>
      <c r="CU179" s="564"/>
      <c r="CV179" s="564"/>
      <c r="CW179" s="564"/>
      <c r="CX179" s="564"/>
      <c r="CY179" s="564"/>
      <c r="CZ179" s="564"/>
      <c r="DA179" s="564"/>
      <c r="DB179" s="564"/>
      <c r="DC179" s="564"/>
      <c r="DD179" s="564"/>
      <c r="DE179" s="564"/>
      <c r="DF179" s="564"/>
      <c r="DG179" s="564"/>
      <c r="DH179" s="564"/>
    </row>
    <row r="180" spans="1:112" s="193" customFormat="1" ht="12.75" x14ac:dyDescent="0.2">
      <c r="B180" s="583" t="str">
        <f ca="1">IF(OFFSET(Q180,0,Lang_Order*Lang__B1)="","",OFFSET(Q180,0,Lang_Order*Lang__B1))</f>
        <v>Note: Applies the expected take-up assumption | No vaccine wastage | Round UP</v>
      </c>
      <c r="C180" s="5"/>
      <c r="D180" s="16"/>
      <c r="E180" s="16"/>
      <c r="F180" s="16"/>
      <c r="G180" s="16"/>
      <c r="H180" s="16"/>
      <c r="I180" s="16"/>
      <c r="J180" s="16"/>
      <c r="K180" s="44"/>
      <c r="L180" s="567"/>
      <c r="M180" s="567"/>
      <c r="O180" s="564"/>
      <c r="P180" s="564"/>
      <c r="Q180" s="564" t="s">
        <v>2879</v>
      </c>
      <c r="R180" s="564"/>
      <c r="S180" s="564"/>
      <c r="T180" s="564"/>
      <c r="U180" s="564"/>
      <c r="V180" s="564"/>
      <c r="W180" s="564"/>
      <c r="X180" s="564"/>
      <c r="Y180" s="564"/>
      <c r="Z180" s="564"/>
      <c r="AA180" s="564"/>
      <c r="AB180" s="564"/>
      <c r="AC180" s="564"/>
      <c r="AD180" s="564"/>
      <c r="AE180" s="564" t="s">
        <v>9833</v>
      </c>
      <c r="AF180" s="564"/>
      <c r="AG180" s="564"/>
      <c r="AH180" s="564"/>
      <c r="AI180" s="564"/>
      <c r="AJ180" s="564"/>
      <c r="AK180" s="564"/>
      <c r="AL180" s="564"/>
      <c r="AM180" s="564"/>
      <c r="AN180" s="564"/>
      <c r="AO180" s="564"/>
      <c r="AP180" s="564"/>
      <c r="AQ180" s="564"/>
      <c r="AR180" s="564"/>
      <c r="AS180" s="564" t="s">
        <v>9850</v>
      </c>
      <c r="AT180" s="564"/>
      <c r="AU180" s="564"/>
      <c r="AV180" s="564"/>
      <c r="AW180" s="564"/>
      <c r="AX180" s="564"/>
      <c r="AY180" s="564"/>
      <c r="AZ180" s="564"/>
      <c r="BA180" s="564"/>
      <c r="BB180" s="564"/>
      <c r="BC180" s="564"/>
      <c r="BD180" s="564"/>
      <c r="BE180" s="564"/>
      <c r="BF180" s="564"/>
      <c r="BG180" s="564" t="s">
        <v>9839</v>
      </c>
      <c r="BH180" s="564"/>
      <c r="BI180" s="564"/>
      <c r="BJ180" s="564"/>
      <c r="BK180" s="564"/>
      <c r="BL180" s="564"/>
      <c r="BM180" s="564"/>
      <c r="BN180" s="564"/>
      <c r="BO180" s="564"/>
      <c r="BP180" s="564"/>
      <c r="BQ180" s="564"/>
      <c r="BR180" s="564"/>
      <c r="BS180" s="564"/>
      <c r="BT180" s="564"/>
      <c r="BU180" s="564" t="s">
        <v>9842</v>
      </c>
      <c r="BV180" s="564"/>
      <c r="BW180" s="564"/>
      <c r="BX180" s="564"/>
      <c r="BY180" s="564"/>
      <c r="BZ180" s="564"/>
      <c r="CA180" s="564"/>
      <c r="CB180" s="564"/>
      <c r="CC180" s="564"/>
      <c r="CD180" s="564"/>
      <c r="CE180" s="564"/>
      <c r="CF180" s="564"/>
      <c r="CG180" s="564"/>
      <c r="CH180" s="564"/>
      <c r="CI180" s="564" t="s">
        <v>9845</v>
      </c>
      <c r="CJ180" s="564"/>
      <c r="CK180" s="564"/>
      <c r="CL180" s="564"/>
      <c r="CM180" s="564"/>
      <c r="CN180" s="564"/>
      <c r="CO180" s="564"/>
      <c r="CP180" s="564"/>
      <c r="CQ180" s="564"/>
      <c r="CR180" s="564"/>
      <c r="CS180" s="564"/>
      <c r="CT180" s="564"/>
      <c r="CU180" s="564"/>
      <c r="CV180" s="564"/>
      <c r="CW180" s="564" t="s">
        <v>9851</v>
      </c>
      <c r="CX180" s="564"/>
      <c r="CY180" s="564"/>
      <c r="CZ180" s="564"/>
      <c r="DA180" s="564"/>
      <c r="DB180" s="564"/>
      <c r="DC180" s="564"/>
      <c r="DD180" s="564"/>
      <c r="DE180" s="564"/>
      <c r="DF180" s="564"/>
      <c r="DG180" s="564"/>
      <c r="DH180" s="564"/>
    </row>
    <row r="181" spans="1:112" s="193" customFormat="1" ht="12.75" x14ac:dyDescent="0.2">
      <c r="B181" s="34"/>
      <c r="C181" s="5" t="str">
        <f>CONCATENATE("",DM1_Vaccine)</f>
        <v/>
      </c>
      <c r="D181" s="26" t="e">
        <f t="shared" ref="D181:I181" si="151">ROUNDUP(SUM(D172:D173),0)</f>
        <v>#N/A</v>
      </c>
      <c r="E181" s="26" t="e">
        <f t="shared" si="151"/>
        <v>#N/A</v>
      </c>
      <c r="F181" s="26" t="e">
        <f t="shared" si="151"/>
        <v>#N/A</v>
      </c>
      <c r="G181" s="26" t="e">
        <f t="shared" si="151"/>
        <v>#N/A</v>
      </c>
      <c r="H181" s="26" t="e">
        <f t="shared" si="151"/>
        <v>#N/A</v>
      </c>
      <c r="I181" s="26" t="e">
        <f t="shared" si="151"/>
        <v>#N/A</v>
      </c>
      <c r="J181" s="16" t="e">
        <f t="shared" ref="J181:J184" si="152">SUM(D181:I181)</f>
        <v>#N/A</v>
      </c>
      <c r="K181" s="44"/>
      <c r="L181" s="12" t="str">
        <f t="shared" ref="L181:L184" ca="1" si="153">IF(OFFSET(AA181,0,Lang_Order*Lang__B1)="","",OFFSET(AA181,0,Lang_Order*Lang__B1))</f>
        <v>Delivery Modality 1</v>
      </c>
      <c r="M181" s="12"/>
      <c r="O181" s="564"/>
      <c r="P181" s="564"/>
      <c r="Q181" s="564"/>
      <c r="R181" s="564"/>
      <c r="S181" s="564"/>
      <c r="T181" s="564"/>
      <c r="U181" s="564"/>
      <c r="V181" s="564"/>
      <c r="W181" s="564"/>
      <c r="X181" s="564"/>
      <c r="Y181" s="564"/>
      <c r="Z181" s="564"/>
      <c r="AA181" s="564" t="s">
        <v>1632</v>
      </c>
      <c r="AB181" s="564"/>
      <c r="AC181" s="564"/>
      <c r="AD181" s="564"/>
      <c r="AE181" s="564"/>
      <c r="AF181" s="564"/>
      <c r="AG181" s="564"/>
      <c r="AH181" s="564"/>
      <c r="AI181" s="564"/>
      <c r="AJ181" s="564"/>
      <c r="AK181" s="564"/>
      <c r="AL181" s="564"/>
      <c r="AM181" s="564"/>
      <c r="AN181" s="564"/>
      <c r="AO181" s="564" t="s">
        <v>7476</v>
      </c>
      <c r="AP181" s="564"/>
      <c r="AQ181" s="564"/>
      <c r="AR181" s="564"/>
      <c r="AS181" s="564"/>
      <c r="AT181" s="564"/>
      <c r="AU181" s="564"/>
      <c r="AV181" s="564"/>
      <c r="AW181" s="564"/>
      <c r="AX181" s="564"/>
      <c r="AY181" s="564"/>
      <c r="AZ181" s="564"/>
      <c r="BA181" s="564"/>
      <c r="BB181" s="564"/>
      <c r="BC181" s="564" t="s">
        <v>9664</v>
      </c>
      <c r="BD181" s="564"/>
      <c r="BE181" s="564"/>
      <c r="BF181" s="564"/>
      <c r="BG181" s="564"/>
      <c r="BH181" s="564"/>
      <c r="BI181" s="564"/>
      <c r="BJ181" s="564"/>
      <c r="BK181" s="564"/>
      <c r="BL181" s="564"/>
      <c r="BM181" s="564"/>
      <c r="BN181" s="564"/>
      <c r="BO181" s="564"/>
      <c r="BP181" s="564"/>
      <c r="BQ181" s="564" t="s">
        <v>9666</v>
      </c>
      <c r="BR181" s="564"/>
      <c r="BS181" s="564"/>
      <c r="BT181" s="564"/>
      <c r="BU181" s="564"/>
      <c r="BV181" s="564"/>
      <c r="BW181" s="564"/>
      <c r="BX181" s="564"/>
      <c r="BY181" s="564"/>
      <c r="BZ181" s="564"/>
      <c r="CA181" s="564"/>
      <c r="CB181" s="564"/>
      <c r="CC181" s="564"/>
      <c r="CD181" s="564"/>
      <c r="CE181" s="564" t="s">
        <v>7479</v>
      </c>
      <c r="CF181" s="564"/>
      <c r="CG181" s="564"/>
      <c r="CH181" s="564"/>
      <c r="CI181" s="564"/>
      <c r="CJ181" s="564"/>
      <c r="CK181" s="564"/>
      <c r="CL181" s="564"/>
      <c r="CM181" s="564"/>
      <c r="CN181" s="564"/>
      <c r="CO181" s="564"/>
      <c r="CP181" s="564"/>
      <c r="CQ181" s="564"/>
      <c r="CR181" s="564"/>
      <c r="CS181" s="564" t="s">
        <v>7480</v>
      </c>
      <c r="CT181" s="564"/>
      <c r="CU181" s="564"/>
      <c r="CV181" s="564"/>
      <c r="CW181" s="564"/>
      <c r="CX181" s="564"/>
      <c r="CY181" s="564"/>
      <c r="CZ181" s="564"/>
      <c r="DA181" s="564"/>
      <c r="DB181" s="564"/>
      <c r="DC181" s="564"/>
      <c r="DD181" s="564"/>
      <c r="DE181" s="564"/>
      <c r="DF181" s="564"/>
      <c r="DG181" s="564" t="s">
        <v>9670</v>
      </c>
      <c r="DH181" s="564"/>
    </row>
    <row r="182" spans="1:112" s="193" customFormat="1" ht="12.75" x14ac:dyDescent="0.2">
      <c r="B182" s="34"/>
      <c r="C182" s="5" t="str">
        <f>CONCATENATE("",DM2_Vaccine)</f>
        <v/>
      </c>
      <c r="D182" s="26" t="e">
        <f>ROUNDUP(SUM(D174:D175),0)</f>
        <v>#N/A</v>
      </c>
      <c r="E182" s="26" t="e">
        <f t="shared" ref="E182:I182" si="154">ROUNDUP(SUM(E174:E175),0)</f>
        <v>#N/A</v>
      </c>
      <c r="F182" s="26" t="e">
        <f t="shared" si="154"/>
        <v>#N/A</v>
      </c>
      <c r="G182" s="26" t="e">
        <f t="shared" si="154"/>
        <v>#N/A</v>
      </c>
      <c r="H182" s="26" t="e">
        <f t="shared" si="154"/>
        <v>#N/A</v>
      </c>
      <c r="I182" s="26" t="e">
        <f t="shared" si="154"/>
        <v>#N/A</v>
      </c>
      <c r="J182" s="16" t="e">
        <f t="shared" si="152"/>
        <v>#N/A</v>
      </c>
      <c r="K182" s="44"/>
      <c r="L182" s="12" t="str">
        <f t="shared" ca="1" si="153"/>
        <v>Delivery Modality 2</v>
      </c>
      <c r="M182" s="12"/>
      <c r="O182" s="564"/>
      <c r="P182" s="564"/>
      <c r="Q182" s="564"/>
      <c r="R182" s="564"/>
      <c r="S182" s="564"/>
      <c r="T182" s="564"/>
      <c r="U182" s="564"/>
      <c r="V182" s="564"/>
      <c r="W182" s="564"/>
      <c r="X182" s="564"/>
      <c r="Y182" s="564"/>
      <c r="Z182" s="564"/>
      <c r="AA182" s="564" t="s">
        <v>1639</v>
      </c>
      <c r="AB182" s="564"/>
      <c r="AC182" s="564"/>
      <c r="AD182" s="564"/>
      <c r="AE182" s="564"/>
      <c r="AF182" s="564"/>
      <c r="AG182" s="564"/>
      <c r="AH182" s="564"/>
      <c r="AI182" s="564"/>
      <c r="AJ182" s="564"/>
      <c r="AK182" s="564"/>
      <c r="AL182" s="564"/>
      <c r="AM182" s="564"/>
      <c r="AN182" s="564"/>
      <c r="AO182" s="564" t="s">
        <v>7482</v>
      </c>
      <c r="AP182" s="564"/>
      <c r="AQ182" s="564"/>
      <c r="AR182" s="564"/>
      <c r="AS182" s="564"/>
      <c r="AT182" s="564"/>
      <c r="AU182" s="564"/>
      <c r="AV182" s="564"/>
      <c r="AW182" s="564"/>
      <c r="AX182" s="564"/>
      <c r="AY182" s="564"/>
      <c r="AZ182" s="564"/>
      <c r="BA182" s="564"/>
      <c r="BB182" s="564"/>
      <c r="BC182" s="564" t="s">
        <v>9672</v>
      </c>
      <c r="BD182" s="564"/>
      <c r="BE182" s="564"/>
      <c r="BF182" s="564"/>
      <c r="BG182" s="564"/>
      <c r="BH182" s="564"/>
      <c r="BI182" s="564"/>
      <c r="BJ182" s="564"/>
      <c r="BK182" s="564"/>
      <c r="BL182" s="564"/>
      <c r="BM182" s="564"/>
      <c r="BN182" s="564"/>
      <c r="BO182" s="564"/>
      <c r="BP182" s="564"/>
      <c r="BQ182" s="564" t="s">
        <v>9673</v>
      </c>
      <c r="BR182" s="564"/>
      <c r="BS182" s="564"/>
      <c r="BT182" s="564"/>
      <c r="BU182" s="564"/>
      <c r="BV182" s="564"/>
      <c r="BW182" s="564"/>
      <c r="BX182" s="564"/>
      <c r="BY182" s="564"/>
      <c r="BZ182" s="564"/>
      <c r="CA182" s="564"/>
      <c r="CB182" s="564"/>
      <c r="CC182" s="564"/>
      <c r="CD182" s="564"/>
      <c r="CE182" s="564" t="s">
        <v>7485</v>
      </c>
      <c r="CF182" s="564"/>
      <c r="CG182" s="564"/>
      <c r="CH182" s="564"/>
      <c r="CI182" s="564"/>
      <c r="CJ182" s="564"/>
      <c r="CK182" s="564"/>
      <c r="CL182" s="564"/>
      <c r="CM182" s="564"/>
      <c r="CN182" s="564"/>
      <c r="CO182" s="564"/>
      <c r="CP182" s="564"/>
      <c r="CQ182" s="564"/>
      <c r="CR182" s="564"/>
      <c r="CS182" s="564" t="s">
        <v>7486</v>
      </c>
      <c r="CT182" s="564"/>
      <c r="CU182" s="564"/>
      <c r="CV182" s="564"/>
      <c r="CW182" s="564"/>
      <c r="CX182" s="564"/>
      <c r="CY182" s="564"/>
      <c r="CZ182" s="564"/>
      <c r="DA182" s="564"/>
      <c r="DB182" s="564"/>
      <c r="DC182" s="564"/>
      <c r="DD182" s="564"/>
      <c r="DE182" s="564"/>
      <c r="DF182" s="564"/>
      <c r="DG182" s="564" t="s">
        <v>9674</v>
      </c>
      <c r="DH182" s="564"/>
    </row>
    <row r="183" spans="1:112" s="193" customFormat="1" ht="12.75" x14ac:dyDescent="0.2">
      <c r="B183" s="34"/>
      <c r="C183" s="5" t="str">
        <f>CONCATENATE("",DM3_Vaccine)</f>
        <v/>
      </c>
      <c r="D183" s="26" t="e">
        <f t="shared" ref="D183:I184" si="155">ROUNDUP(D176,0)</f>
        <v>#N/A</v>
      </c>
      <c r="E183" s="26" t="e">
        <f t="shared" si="155"/>
        <v>#N/A</v>
      </c>
      <c r="F183" s="26" t="e">
        <f t="shared" si="155"/>
        <v>#N/A</v>
      </c>
      <c r="G183" s="26" t="e">
        <f t="shared" si="155"/>
        <v>#N/A</v>
      </c>
      <c r="H183" s="26" t="e">
        <f t="shared" si="155"/>
        <v>#N/A</v>
      </c>
      <c r="I183" s="26" t="e">
        <f t="shared" si="155"/>
        <v>#N/A</v>
      </c>
      <c r="J183" s="16" t="e">
        <f t="shared" si="152"/>
        <v>#N/A</v>
      </c>
      <c r="K183" s="44"/>
      <c r="L183" s="12" t="str">
        <f t="shared" ca="1" si="153"/>
        <v>Delivery Modality 3</v>
      </c>
      <c r="M183" s="12"/>
      <c r="O183" s="564"/>
      <c r="P183" s="564"/>
      <c r="Q183" s="564"/>
      <c r="R183" s="564"/>
      <c r="S183" s="564"/>
      <c r="T183" s="564"/>
      <c r="U183" s="564"/>
      <c r="V183" s="564"/>
      <c r="W183" s="564"/>
      <c r="X183" s="564"/>
      <c r="Y183" s="564"/>
      <c r="Z183" s="564"/>
      <c r="AA183" s="564" t="s">
        <v>1564</v>
      </c>
      <c r="AB183" s="564"/>
      <c r="AC183" s="564"/>
      <c r="AD183" s="564"/>
      <c r="AE183" s="564"/>
      <c r="AF183" s="564"/>
      <c r="AG183" s="564"/>
      <c r="AH183" s="564"/>
      <c r="AI183" s="564"/>
      <c r="AJ183" s="564"/>
      <c r="AK183" s="564"/>
      <c r="AL183" s="564"/>
      <c r="AM183" s="564"/>
      <c r="AN183" s="564"/>
      <c r="AO183" s="564" t="s">
        <v>7418</v>
      </c>
      <c r="AP183" s="564"/>
      <c r="AQ183" s="564"/>
      <c r="AR183" s="564"/>
      <c r="AS183" s="564"/>
      <c r="AT183" s="564"/>
      <c r="AU183" s="564"/>
      <c r="AV183" s="564"/>
      <c r="AW183" s="564"/>
      <c r="AX183" s="564"/>
      <c r="AY183" s="564"/>
      <c r="AZ183" s="564"/>
      <c r="BA183" s="564"/>
      <c r="BB183" s="564"/>
      <c r="BC183" s="564" t="s">
        <v>9676</v>
      </c>
      <c r="BD183" s="564"/>
      <c r="BE183" s="564"/>
      <c r="BF183" s="564"/>
      <c r="BG183" s="564"/>
      <c r="BH183" s="564"/>
      <c r="BI183" s="564"/>
      <c r="BJ183" s="564"/>
      <c r="BK183" s="564"/>
      <c r="BL183" s="564"/>
      <c r="BM183" s="564"/>
      <c r="BN183" s="564"/>
      <c r="BO183" s="564"/>
      <c r="BP183" s="564"/>
      <c r="BQ183" s="564" t="s">
        <v>7420</v>
      </c>
      <c r="BR183" s="564"/>
      <c r="BS183" s="564"/>
      <c r="BT183" s="564"/>
      <c r="BU183" s="564"/>
      <c r="BV183" s="564"/>
      <c r="BW183" s="564"/>
      <c r="BX183" s="564"/>
      <c r="BY183" s="564"/>
      <c r="BZ183" s="564"/>
      <c r="CA183" s="564"/>
      <c r="CB183" s="564"/>
      <c r="CC183" s="564"/>
      <c r="CD183" s="564"/>
      <c r="CE183" s="564" t="s">
        <v>7489</v>
      </c>
      <c r="CF183" s="564"/>
      <c r="CG183" s="564"/>
      <c r="CH183" s="564"/>
      <c r="CI183" s="564"/>
      <c r="CJ183" s="564"/>
      <c r="CK183" s="564"/>
      <c r="CL183" s="564"/>
      <c r="CM183" s="564"/>
      <c r="CN183" s="564"/>
      <c r="CO183" s="564"/>
      <c r="CP183" s="564"/>
      <c r="CQ183" s="564"/>
      <c r="CR183" s="564"/>
      <c r="CS183" s="564" t="s">
        <v>7422</v>
      </c>
      <c r="CT183" s="564"/>
      <c r="CU183" s="564"/>
      <c r="CV183" s="564"/>
      <c r="CW183" s="564"/>
      <c r="CX183" s="564"/>
      <c r="CY183" s="564"/>
      <c r="CZ183" s="564"/>
      <c r="DA183" s="564"/>
      <c r="DB183" s="564"/>
      <c r="DC183" s="564"/>
      <c r="DD183" s="564"/>
      <c r="DE183" s="564"/>
      <c r="DF183" s="564"/>
      <c r="DG183" s="564" t="s">
        <v>9681</v>
      </c>
      <c r="DH183" s="564"/>
    </row>
    <row r="184" spans="1:112" s="193" customFormat="1" ht="12.75" x14ac:dyDescent="0.2">
      <c r="B184" s="34"/>
      <c r="C184" s="5" t="str">
        <f>CONCATENATE("",DM4_Vaccine)</f>
        <v/>
      </c>
      <c r="D184" s="16" t="e">
        <f t="shared" si="155"/>
        <v>#N/A</v>
      </c>
      <c r="E184" s="16" t="e">
        <f t="shared" si="155"/>
        <v>#N/A</v>
      </c>
      <c r="F184" s="16" t="e">
        <f t="shared" si="155"/>
        <v>#N/A</v>
      </c>
      <c r="G184" s="16" t="e">
        <f t="shared" si="155"/>
        <v>#N/A</v>
      </c>
      <c r="H184" s="16" t="e">
        <f t="shared" si="155"/>
        <v>#N/A</v>
      </c>
      <c r="I184" s="16" t="e">
        <f t="shared" si="155"/>
        <v>#N/A</v>
      </c>
      <c r="J184" s="16" t="e">
        <f t="shared" si="152"/>
        <v>#N/A</v>
      </c>
      <c r="K184" s="44"/>
      <c r="L184" s="12" t="str">
        <f t="shared" ca="1" si="153"/>
        <v>Delivery Modality 4</v>
      </c>
      <c r="M184" s="12"/>
      <c r="O184" s="564"/>
      <c r="P184" s="564"/>
      <c r="Q184" s="564"/>
      <c r="R184" s="564"/>
      <c r="S184" s="564"/>
      <c r="T184" s="564"/>
      <c r="U184" s="564"/>
      <c r="V184" s="564"/>
      <c r="W184" s="564"/>
      <c r="X184" s="564"/>
      <c r="Y184" s="564"/>
      <c r="Z184" s="564"/>
      <c r="AA184" s="564" t="s">
        <v>1565</v>
      </c>
      <c r="AB184" s="564"/>
      <c r="AC184" s="564"/>
      <c r="AD184" s="564"/>
      <c r="AE184" s="564"/>
      <c r="AF184" s="564"/>
      <c r="AG184" s="564"/>
      <c r="AH184" s="564"/>
      <c r="AI184" s="564"/>
      <c r="AJ184" s="564"/>
      <c r="AK184" s="564"/>
      <c r="AL184" s="564"/>
      <c r="AM184" s="564"/>
      <c r="AN184" s="564"/>
      <c r="AO184" s="564" t="s">
        <v>7424</v>
      </c>
      <c r="AP184" s="564"/>
      <c r="AQ184" s="564"/>
      <c r="AR184" s="564"/>
      <c r="AS184" s="564"/>
      <c r="AT184" s="564"/>
      <c r="AU184" s="564"/>
      <c r="AV184" s="564"/>
      <c r="AW184" s="564"/>
      <c r="AX184" s="564"/>
      <c r="AY184" s="564"/>
      <c r="AZ184" s="564"/>
      <c r="BA184" s="564"/>
      <c r="BB184" s="564"/>
      <c r="BC184" s="564" t="s">
        <v>9726</v>
      </c>
      <c r="BD184" s="564"/>
      <c r="BE184" s="564"/>
      <c r="BF184" s="564"/>
      <c r="BG184" s="564"/>
      <c r="BH184" s="564"/>
      <c r="BI184" s="564"/>
      <c r="BJ184" s="564"/>
      <c r="BK184" s="564"/>
      <c r="BL184" s="564"/>
      <c r="BM184" s="564"/>
      <c r="BN184" s="564"/>
      <c r="BO184" s="564"/>
      <c r="BP184" s="564"/>
      <c r="BQ184" s="564" t="s">
        <v>7426</v>
      </c>
      <c r="BR184" s="564"/>
      <c r="BS184" s="564"/>
      <c r="BT184" s="564"/>
      <c r="BU184" s="564"/>
      <c r="BV184" s="564"/>
      <c r="BW184" s="564"/>
      <c r="BX184" s="564"/>
      <c r="BY184" s="564"/>
      <c r="BZ184" s="564"/>
      <c r="CA184" s="564"/>
      <c r="CB184" s="564"/>
      <c r="CC184" s="564"/>
      <c r="CD184" s="564"/>
      <c r="CE184" s="564" t="s">
        <v>7491</v>
      </c>
      <c r="CF184" s="564"/>
      <c r="CG184" s="564"/>
      <c r="CH184" s="564"/>
      <c r="CI184" s="564"/>
      <c r="CJ184" s="564"/>
      <c r="CK184" s="564"/>
      <c r="CL184" s="564"/>
      <c r="CM184" s="564"/>
      <c r="CN184" s="564"/>
      <c r="CO184" s="564"/>
      <c r="CP184" s="564"/>
      <c r="CQ184" s="564"/>
      <c r="CR184" s="564"/>
      <c r="CS184" s="564" t="s">
        <v>7428</v>
      </c>
      <c r="CT184" s="564"/>
      <c r="CU184" s="564"/>
      <c r="CV184" s="564"/>
      <c r="CW184" s="564"/>
      <c r="CX184" s="564"/>
      <c r="CY184" s="564"/>
      <c r="CZ184" s="564"/>
      <c r="DA184" s="564"/>
      <c r="DB184" s="564"/>
      <c r="DC184" s="564"/>
      <c r="DD184" s="564"/>
      <c r="DE184" s="564"/>
      <c r="DF184" s="564"/>
      <c r="DG184" s="564" t="s">
        <v>9731</v>
      </c>
      <c r="DH184" s="564"/>
    </row>
    <row r="185" spans="1:112" s="193" customFormat="1" ht="13.5" thickBot="1" x14ac:dyDescent="0.25">
      <c r="B185" s="34"/>
      <c r="C185" s="21" t="str">
        <f ca="1">IF(OFFSET(R185,0,Lang_Order*Lang__B1)="","",OFFSET(R185,0,Lang_Order*Lang__B1))</f>
        <v>Total</v>
      </c>
      <c r="D185" s="119" t="e">
        <f>SUM(D181:D184)</f>
        <v>#N/A</v>
      </c>
      <c r="E185" s="119" t="e">
        <f t="shared" ref="E185" si="156">SUM(E181:E184)</f>
        <v>#N/A</v>
      </c>
      <c r="F185" s="119" t="e">
        <f t="shared" ref="F185" si="157">SUM(F181:F184)</f>
        <v>#N/A</v>
      </c>
      <c r="G185" s="119" t="e">
        <f t="shared" ref="G185" si="158">SUM(G181:G184)</f>
        <v>#N/A</v>
      </c>
      <c r="H185" s="119" t="e">
        <f t="shared" ref="H185" si="159">SUM(H181:H184)</f>
        <v>#N/A</v>
      </c>
      <c r="I185" s="119" t="e">
        <f t="shared" ref="I185" si="160">SUM(I181:I184)</f>
        <v>#N/A</v>
      </c>
      <c r="J185" s="119" t="e">
        <f t="shared" ref="J185" si="161">SUM(J181:J184)</f>
        <v>#N/A</v>
      </c>
      <c r="L185" s="567"/>
      <c r="M185" s="567"/>
      <c r="O185" s="564"/>
      <c r="P185" s="564"/>
      <c r="Q185" s="564"/>
      <c r="R185" s="564" t="s">
        <v>1605</v>
      </c>
      <c r="S185" s="564"/>
      <c r="T185" s="564"/>
      <c r="U185" s="564"/>
      <c r="V185" s="564"/>
      <c r="W185" s="564"/>
      <c r="X185" s="564"/>
      <c r="Y185" s="564"/>
      <c r="Z185" s="564"/>
      <c r="AA185" s="564"/>
      <c r="AB185" s="564"/>
      <c r="AC185" s="564"/>
      <c r="AD185" s="564"/>
      <c r="AE185" s="564"/>
      <c r="AF185" s="564" t="s">
        <v>1605</v>
      </c>
      <c r="AG185" s="564"/>
      <c r="AH185" s="564"/>
      <c r="AI185" s="564"/>
      <c r="AJ185" s="564"/>
      <c r="AK185" s="564"/>
      <c r="AL185" s="564"/>
      <c r="AM185" s="564"/>
      <c r="AN185" s="564"/>
      <c r="AO185" s="564"/>
      <c r="AP185" s="564"/>
      <c r="AQ185" s="564"/>
      <c r="AR185" s="564"/>
      <c r="AS185" s="564"/>
      <c r="AT185" s="564" t="s">
        <v>4676</v>
      </c>
      <c r="AU185" s="564"/>
      <c r="AV185" s="564"/>
      <c r="AW185" s="564"/>
      <c r="AX185" s="564"/>
      <c r="AY185" s="564"/>
      <c r="AZ185" s="564"/>
      <c r="BA185" s="564"/>
      <c r="BB185" s="564"/>
      <c r="BC185" s="564"/>
      <c r="BD185" s="564"/>
      <c r="BE185" s="564"/>
      <c r="BF185" s="564"/>
      <c r="BG185" s="564"/>
      <c r="BH185" s="564" t="s">
        <v>1605</v>
      </c>
      <c r="BI185" s="564"/>
      <c r="BJ185" s="564"/>
      <c r="BK185" s="564"/>
      <c r="BL185" s="564"/>
      <c r="BM185" s="564"/>
      <c r="BN185" s="564"/>
      <c r="BO185" s="564"/>
      <c r="BP185" s="564"/>
      <c r="BQ185" s="564"/>
      <c r="BR185" s="564"/>
      <c r="BS185" s="564"/>
      <c r="BT185" s="564"/>
      <c r="BU185" s="564"/>
      <c r="BV185" s="564" t="s">
        <v>1605</v>
      </c>
      <c r="BW185" s="564"/>
      <c r="BX185" s="564"/>
      <c r="BY185" s="564"/>
      <c r="BZ185" s="564"/>
      <c r="CA185" s="564"/>
      <c r="CB185" s="564"/>
      <c r="CC185" s="564"/>
      <c r="CD185" s="564"/>
      <c r="CE185" s="564"/>
      <c r="CF185" s="564"/>
      <c r="CG185" s="564"/>
      <c r="CH185" s="564"/>
      <c r="CI185" s="564"/>
      <c r="CJ185" s="564" t="s">
        <v>4686</v>
      </c>
      <c r="CK185" s="564"/>
      <c r="CL185" s="564"/>
      <c r="CM185" s="564"/>
      <c r="CN185" s="564"/>
      <c r="CO185" s="564"/>
      <c r="CP185" s="564"/>
      <c r="CQ185" s="564"/>
      <c r="CR185" s="564"/>
      <c r="CS185" s="564"/>
      <c r="CT185" s="564"/>
      <c r="CU185" s="564"/>
      <c r="CV185" s="564"/>
      <c r="CW185" s="564"/>
      <c r="CX185" s="564" t="s">
        <v>4694</v>
      </c>
      <c r="CY185" s="564"/>
      <c r="CZ185" s="564"/>
      <c r="DA185" s="564"/>
      <c r="DB185" s="564"/>
      <c r="DC185" s="564"/>
      <c r="DD185" s="564"/>
      <c r="DE185" s="564"/>
      <c r="DF185" s="564"/>
      <c r="DG185" s="564"/>
      <c r="DH185" s="564"/>
    </row>
    <row r="186" spans="1:112" ht="13.5" thickTop="1" x14ac:dyDescent="0.2">
      <c r="B186" s="34"/>
      <c r="D186" s="15"/>
      <c r="L186" s="15"/>
      <c r="M186" s="567"/>
    </row>
    <row r="187" spans="1:112" x14ac:dyDescent="0.25">
      <c r="A187" s="8" t="str">
        <f ca="1">IF(OFFSET(P187,0,Lang_Order*Lang__B1)="","",OFFSET(P187,0,Lang_Order*Lang__B1))</f>
        <v>B1.4 Vaccine Courses Needed, considering Vaccine Wastage Rate</v>
      </c>
      <c r="B187" s="8"/>
      <c r="C187" s="19"/>
      <c r="D187" s="8"/>
      <c r="E187" s="8"/>
      <c r="F187" s="8"/>
      <c r="G187" s="8"/>
      <c r="H187" s="8"/>
      <c r="I187" s="8"/>
      <c r="J187" s="53"/>
      <c r="K187" s="45"/>
      <c r="L187" s="8"/>
      <c r="M187" s="8"/>
      <c r="P187" s="564" t="s">
        <v>2986</v>
      </c>
      <c r="AD187" s="564" t="s">
        <v>9852</v>
      </c>
      <c r="AR187" s="564" t="s">
        <v>9853</v>
      </c>
      <c r="BF187" s="564" t="s">
        <v>9854</v>
      </c>
      <c r="BT187" s="564" t="s">
        <v>9855</v>
      </c>
      <c r="CH187" s="564" t="s">
        <v>9856</v>
      </c>
      <c r="CV187" s="564" t="s">
        <v>9857</v>
      </c>
    </row>
    <row r="188" spans="1:112" ht="12.75" x14ac:dyDescent="0.2">
      <c r="B188" s="583" t="str">
        <f ca="1">IF(OFFSET(Q188,0,Lang_Order*Lang__B1)="","",OFFSET(Q188,0,Lang_Order*Lang__B1))</f>
        <v>Note: Assumes that all those offered the COVID-19 vaccine will take-up the offer | But vaccine wastage rate applied</v>
      </c>
      <c r="D188" s="15"/>
      <c r="K188" s="71" t="str">
        <f ca="1">IF(OFFSET(Z188,0,Lang_Order*Lang__B1)="","",OFFSET(Z188,0,Lang_Order*Lang__B1))</f>
        <v>WMF</v>
      </c>
      <c r="L188" s="567"/>
      <c r="M188" s="567"/>
      <c r="Q188" s="564" t="s">
        <v>2880</v>
      </c>
      <c r="Z188" s="564" t="s">
        <v>2981</v>
      </c>
      <c r="AE188" s="564" t="s">
        <v>9858</v>
      </c>
      <c r="AN188" s="564" t="s">
        <v>9859</v>
      </c>
      <c r="AS188" s="564" t="s">
        <v>9860</v>
      </c>
      <c r="BB188" s="564" t="s">
        <v>9861</v>
      </c>
      <c r="BG188" s="564" t="s">
        <v>9862</v>
      </c>
      <c r="BP188" s="564" t="s">
        <v>9863</v>
      </c>
      <c r="BU188" s="564" t="s">
        <v>9864</v>
      </c>
      <c r="CD188" s="564" t="s">
        <v>7368</v>
      </c>
      <c r="CI188" s="564" t="s">
        <v>9865</v>
      </c>
      <c r="CR188" s="564" t="s">
        <v>9866</v>
      </c>
      <c r="CW188" s="564" t="s">
        <v>9867</v>
      </c>
      <c r="DF188" s="564" t="s">
        <v>2981</v>
      </c>
    </row>
    <row r="189" spans="1:112" ht="12.75" x14ac:dyDescent="0.2">
      <c r="B189" s="34"/>
      <c r="C189" s="5" t="str">
        <f>CONCATENATE("",DM1_Vaccine)</f>
        <v/>
      </c>
      <c r="D189" s="16" t="e">
        <f t="shared" ref="D189:I189" si="162">ROUNDUP(D164*WMF_DM1,0)</f>
        <v>#N/A</v>
      </c>
      <c r="E189" s="16" t="e">
        <f t="shared" si="162"/>
        <v>#N/A</v>
      </c>
      <c r="F189" s="16" t="e">
        <f t="shared" si="162"/>
        <v>#N/A</v>
      </c>
      <c r="G189" s="16" t="e">
        <f t="shared" si="162"/>
        <v>#N/A</v>
      </c>
      <c r="H189" s="16" t="e">
        <f t="shared" si="162"/>
        <v>#N/A</v>
      </c>
      <c r="I189" s="16" t="e">
        <f t="shared" si="162"/>
        <v>#N/A</v>
      </c>
      <c r="J189" s="16" t="e">
        <f t="shared" ref="J189:J192" si="163">SUM(D189:I189)</f>
        <v>#N/A</v>
      </c>
      <c r="K189" s="246">
        <f>WMF_DM1</f>
        <v>1</v>
      </c>
      <c r="L189" s="12" t="str">
        <f t="shared" ref="L189:L199" ca="1" si="164">IF(OFFSET(AA189,0,Lang_Order*Lang__B1)="","",OFFSET(AA189,0,Lang_Order*Lang__B1))</f>
        <v>Delivery Modality 1</v>
      </c>
      <c r="AA189" s="564" t="s">
        <v>1632</v>
      </c>
      <c r="AO189" s="564" t="s">
        <v>7476</v>
      </c>
      <c r="BC189" s="564" t="s">
        <v>9664</v>
      </c>
      <c r="BQ189" s="564" t="s">
        <v>9666</v>
      </c>
      <c r="CE189" s="564" t="s">
        <v>7479</v>
      </c>
      <c r="CS189" s="564" t="s">
        <v>7480</v>
      </c>
      <c r="DG189" s="564" t="s">
        <v>9670</v>
      </c>
    </row>
    <row r="190" spans="1:112" ht="12.75" x14ac:dyDescent="0.2">
      <c r="B190" s="34"/>
      <c r="C190" s="5" t="str">
        <f>CONCATENATE("",DM2_Vaccine)</f>
        <v/>
      </c>
      <c r="D190" s="16" t="e">
        <f t="shared" ref="D190:I190" si="165">ROUNDUP(D165*WMF_DM2,0)</f>
        <v>#N/A</v>
      </c>
      <c r="E190" s="16" t="e">
        <f t="shared" si="165"/>
        <v>#N/A</v>
      </c>
      <c r="F190" s="16" t="e">
        <f t="shared" si="165"/>
        <v>#N/A</v>
      </c>
      <c r="G190" s="16" t="e">
        <f t="shared" si="165"/>
        <v>#N/A</v>
      </c>
      <c r="H190" s="16" t="e">
        <f t="shared" si="165"/>
        <v>#N/A</v>
      </c>
      <c r="I190" s="16" t="e">
        <f t="shared" si="165"/>
        <v>#N/A</v>
      </c>
      <c r="J190" s="16" t="e">
        <f t="shared" si="163"/>
        <v>#N/A</v>
      </c>
      <c r="K190" s="246">
        <f>WMF_DM2</f>
        <v>1</v>
      </c>
      <c r="L190" s="12" t="str">
        <f t="shared" ca="1" si="164"/>
        <v>Delivery Modality 2</v>
      </c>
      <c r="AA190" s="564" t="s">
        <v>1639</v>
      </c>
      <c r="AO190" s="564" t="s">
        <v>7482</v>
      </c>
      <c r="BC190" s="564" t="s">
        <v>9672</v>
      </c>
      <c r="BQ190" s="564" t="s">
        <v>9673</v>
      </c>
      <c r="CE190" s="564" t="s">
        <v>7485</v>
      </c>
      <c r="CS190" s="564" t="s">
        <v>7486</v>
      </c>
      <c r="DG190" s="564" t="s">
        <v>9674</v>
      </c>
    </row>
    <row r="191" spans="1:112" ht="12.75" x14ac:dyDescent="0.2">
      <c r="B191" s="34"/>
      <c r="C191" s="5" t="str">
        <f>CONCATENATE("",DM3_Vaccine)</f>
        <v/>
      </c>
      <c r="D191" s="16" t="e">
        <f t="shared" ref="D191:I191" si="166">ROUNDUP(D166*WMF_DM3,0)</f>
        <v>#N/A</v>
      </c>
      <c r="E191" s="16" t="e">
        <f t="shared" si="166"/>
        <v>#N/A</v>
      </c>
      <c r="F191" s="16" t="e">
        <f t="shared" si="166"/>
        <v>#N/A</v>
      </c>
      <c r="G191" s="16" t="e">
        <f t="shared" si="166"/>
        <v>#N/A</v>
      </c>
      <c r="H191" s="16" t="e">
        <f t="shared" si="166"/>
        <v>#N/A</v>
      </c>
      <c r="I191" s="16" t="e">
        <f t="shared" si="166"/>
        <v>#N/A</v>
      </c>
      <c r="J191" s="16" t="e">
        <f t="shared" si="163"/>
        <v>#N/A</v>
      </c>
      <c r="K191" s="246">
        <f>WMF_DM3</f>
        <v>1</v>
      </c>
      <c r="L191" s="12" t="str">
        <f t="shared" ca="1" si="164"/>
        <v>Delivery Modality 3</v>
      </c>
      <c r="AA191" s="564" t="s">
        <v>1564</v>
      </c>
      <c r="AO191" s="564" t="s">
        <v>7418</v>
      </c>
      <c r="BC191" s="564" t="s">
        <v>9676</v>
      </c>
      <c r="BQ191" s="564" t="s">
        <v>7420</v>
      </c>
      <c r="CE191" s="564" t="s">
        <v>7489</v>
      </c>
      <c r="CS191" s="564" t="s">
        <v>7422</v>
      </c>
      <c r="DG191" s="564" t="s">
        <v>9681</v>
      </c>
    </row>
    <row r="192" spans="1:112" ht="12.75" x14ac:dyDescent="0.2">
      <c r="B192" s="34"/>
      <c r="C192" s="5" t="str">
        <f>CONCATENATE("",DM4_Vaccine)</f>
        <v/>
      </c>
      <c r="D192" s="16" t="e">
        <f t="shared" ref="D192:I192" si="167">ROUNDUP(D167*WMF_DM4,0)</f>
        <v>#N/A</v>
      </c>
      <c r="E192" s="16" t="e">
        <f t="shared" si="167"/>
        <v>#N/A</v>
      </c>
      <c r="F192" s="16" t="e">
        <f t="shared" si="167"/>
        <v>#N/A</v>
      </c>
      <c r="G192" s="16" t="e">
        <f t="shared" si="167"/>
        <v>#N/A</v>
      </c>
      <c r="H192" s="16" t="e">
        <f t="shared" si="167"/>
        <v>#N/A</v>
      </c>
      <c r="I192" s="16" t="e">
        <f t="shared" si="167"/>
        <v>#N/A</v>
      </c>
      <c r="J192" s="16" t="e">
        <f t="shared" si="163"/>
        <v>#N/A</v>
      </c>
      <c r="K192" s="246">
        <f>WMF_DM4</f>
        <v>1</v>
      </c>
      <c r="L192" s="12" t="str">
        <f t="shared" ca="1" si="164"/>
        <v>Delivery Modality 4</v>
      </c>
      <c r="AA192" s="564" t="s">
        <v>1565</v>
      </c>
      <c r="AO192" s="564" t="s">
        <v>7424</v>
      </c>
      <c r="BC192" s="564" t="s">
        <v>9726</v>
      </c>
      <c r="BQ192" s="564" t="s">
        <v>7426</v>
      </c>
      <c r="CE192" s="564" t="s">
        <v>7491</v>
      </c>
      <c r="CS192" s="564" t="s">
        <v>7428</v>
      </c>
      <c r="DG192" s="564" t="s">
        <v>9731</v>
      </c>
    </row>
    <row r="193" spans="1:112" ht="13.5" thickBot="1" x14ac:dyDescent="0.25">
      <c r="B193" s="34"/>
      <c r="C193" s="21" t="str">
        <f ca="1">IF(OFFSET(R193,0,Lang_Order*Lang__B1)="","",OFFSET(R193,0,Lang_Order*Lang__B1))</f>
        <v>Total</v>
      </c>
      <c r="D193" s="119" t="e">
        <f>SUM(D189:D192)</f>
        <v>#N/A</v>
      </c>
      <c r="E193" s="119" t="e">
        <f t="shared" ref="E193:J193" si="168">SUM(E189:E192)</f>
        <v>#N/A</v>
      </c>
      <c r="F193" s="119" t="e">
        <f t="shared" si="168"/>
        <v>#N/A</v>
      </c>
      <c r="G193" s="119" t="e">
        <f t="shared" si="168"/>
        <v>#N/A</v>
      </c>
      <c r="H193" s="119" t="e">
        <f t="shared" si="168"/>
        <v>#N/A</v>
      </c>
      <c r="I193" s="119" t="e">
        <f t="shared" si="168"/>
        <v>#N/A</v>
      </c>
      <c r="J193" s="119" t="e">
        <f t="shared" si="168"/>
        <v>#N/A</v>
      </c>
      <c r="K193" s="246"/>
      <c r="L193" s="567"/>
      <c r="M193" s="567"/>
      <c r="R193" s="564" t="s">
        <v>1605</v>
      </c>
      <c r="AF193" s="564" t="s">
        <v>1605</v>
      </c>
      <c r="AT193" s="564" t="s">
        <v>4676</v>
      </c>
      <c r="BH193" s="564" t="s">
        <v>1605</v>
      </c>
      <c r="BV193" s="564" t="s">
        <v>1605</v>
      </c>
      <c r="CJ193" s="564" t="s">
        <v>4686</v>
      </c>
      <c r="CX193" s="564" t="s">
        <v>4694</v>
      </c>
    </row>
    <row r="194" spans="1:112" ht="13.5" thickTop="1" x14ac:dyDescent="0.2">
      <c r="B194" s="34"/>
      <c r="D194" s="15"/>
      <c r="K194" s="246"/>
      <c r="L194" s="567"/>
      <c r="M194" s="567"/>
    </row>
    <row r="195" spans="1:112" ht="12.75" x14ac:dyDescent="0.2">
      <c r="B195" s="583" t="str">
        <f ca="1">IF(OFFSET(Q195,0,Lang_Order*Lang__B1)="","",OFFSET(Q195,0,Lang_Order*Lang__B1))</f>
        <v>Note: Applies the expected take-up assumption | But vaccine wastage rate applied</v>
      </c>
      <c r="D195" s="15"/>
      <c r="K195" s="246"/>
      <c r="L195" s="12" t="str">
        <f t="shared" ca="1" si="164"/>
        <v>These estimates useful for expected vaccine doses used</v>
      </c>
      <c r="Q195" s="564" t="s">
        <v>2881</v>
      </c>
      <c r="AA195" s="564" t="s">
        <v>2809</v>
      </c>
      <c r="AE195" s="564" t="s">
        <v>9868</v>
      </c>
      <c r="AO195" s="564" t="s">
        <v>9869</v>
      </c>
      <c r="AS195" s="564" t="s">
        <v>9870</v>
      </c>
      <c r="BC195" s="564" t="s">
        <v>9871</v>
      </c>
      <c r="BG195" s="564" t="s">
        <v>9872</v>
      </c>
      <c r="BQ195" s="564" t="s">
        <v>9873</v>
      </c>
      <c r="BU195" s="564" t="s">
        <v>9874</v>
      </c>
      <c r="CE195" s="564" t="s">
        <v>9875</v>
      </c>
      <c r="CI195" s="564" t="s">
        <v>9876</v>
      </c>
      <c r="CS195" s="564" t="s">
        <v>9877</v>
      </c>
      <c r="CW195" s="564" t="s">
        <v>9878</v>
      </c>
      <c r="DG195" s="564" t="s">
        <v>9879</v>
      </c>
    </row>
    <row r="196" spans="1:112" ht="12.75" x14ac:dyDescent="0.2">
      <c r="B196" s="2" t="e">
        <f>'A2. INPUT Population &amp; Delivery'!H225</f>
        <v>#N/A</v>
      </c>
      <c r="C196" s="5" t="str">
        <f>CONCATENATE("",DM1_Vaccine)</f>
        <v/>
      </c>
      <c r="D196" s="16" t="e">
        <f t="shared" ref="D196:I196" si="169">ROUNDUP(D181*WMF_DM1,0)</f>
        <v>#N/A</v>
      </c>
      <c r="E196" s="16" t="e">
        <f t="shared" si="169"/>
        <v>#N/A</v>
      </c>
      <c r="F196" s="16" t="e">
        <f t="shared" si="169"/>
        <v>#N/A</v>
      </c>
      <c r="G196" s="16" t="e">
        <f t="shared" si="169"/>
        <v>#N/A</v>
      </c>
      <c r="H196" s="16" t="e">
        <f t="shared" si="169"/>
        <v>#N/A</v>
      </c>
      <c r="I196" s="16" t="e">
        <f t="shared" si="169"/>
        <v>#N/A</v>
      </c>
      <c r="J196" s="16" t="e">
        <f>SUM(D196:I196)</f>
        <v>#N/A</v>
      </c>
      <c r="K196" s="246">
        <f>WMF_DM1</f>
        <v>1</v>
      </c>
      <c r="L196" s="12" t="str">
        <f t="shared" ca="1" si="164"/>
        <v>Delivery Modality 1</v>
      </c>
      <c r="AA196" s="564" t="s">
        <v>1632</v>
      </c>
      <c r="AO196" s="564" t="s">
        <v>7476</v>
      </c>
      <c r="BC196" s="564" t="s">
        <v>9664</v>
      </c>
      <c r="BQ196" s="564" t="s">
        <v>9666</v>
      </c>
      <c r="CE196" s="564" t="s">
        <v>7479</v>
      </c>
      <c r="CS196" s="564" t="s">
        <v>7480</v>
      </c>
      <c r="DG196" s="564" t="s">
        <v>9670</v>
      </c>
    </row>
    <row r="197" spans="1:112" ht="12.75" x14ac:dyDescent="0.2">
      <c r="B197" s="2" t="e">
        <f>'A2. INPUT Population &amp; Delivery'!H226</f>
        <v>#N/A</v>
      </c>
      <c r="C197" s="5" t="str">
        <f>CONCATENATE("",DM2_Vaccine)</f>
        <v/>
      </c>
      <c r="D197" s="16" t="e">
        <f t="shared" ref="D197:I197" si="170">ROUNDUP(D182*WMF_DM2,0)</f>
        <v>#N/A</v>
      </c>
      <c r="E197" s="16" t="e">
        <f t="shared" si="170"/>
        <v>#N/A</v>
      </c>
      <c r="F197" s="16" t="e">
        <f t="shared" si="170"/>
        <v>#N/A</v>
      </c>
      <c r="G197" s="16" t="e">
        <f t="shared" si="170"/>
        <v>#N/A</v>
      </c>
      <c r="H197" s="16" t="e">
        <f t="shared" si="170"/>
        <v>#N/A</v>
      </c>
      <c r="I197" s="16" t="e">
        <f t="shared" si="170"/>
        <v>#N/A</v>
      </c>
      <c r="J197" s="16" t="e">
        <f t="shared" ref="J197:J199" si="171">SUM(D197:I197)</f>
        <v>#N/A</v>
      </c>
      <c r="K197" s="246">
        <f>WMF_DM2</f>
        <v>1</v>
      </c>
      <c r="L197" s="12" t="str">
        <f t="shared" ca="1" si="164"/>
        <v>Delivery Modality 2</v>
      </c>
      <c r="AA197" s="564" t="s">
        <v>1639</v>
      </c>
      <c r="AO197" s="564" t="s">
        <v>7482</v>
      </c>
      <c r="BC197" s="564" t="s">
        <v>9672</v>
      </c>
      <c r="BQ197" s="564" t="s">
        <v>9673</v>
      </c>
      <c r="CE197" s="564" t="s">
        <v>7485</v>
      </c>
      <c r="CS197" s="564" t="s">
        <v>7486</v>
      </c>
      <c r="DG197" s="564" t="s">
        <v>9674</v>
      </c>
    </row>
    <row r="198" spans="1:112" ht="12.75" x14ac:dyDescent="0.2">
      <c r="B198" s="2" t="e">
        <f>'A2. INPUT Population &amp; Delivery'!H227</f>
        <v>#N/A</v>
      </c>
      <c r="C198" s="5" t="str">
        <f>CONCATENATE("",DM3_Vaccine)</f>
        <v/>
      </c>
      <c r="D198" s="16" t="e">
        <f t="shared" ref="D198:I198" si="172">ROUNDUP(D183*WMF_DM3,0)</f>
        <v>#N/A</v>
      </c>
      <c r="E198" s="16" t="e">
        <f t="shared" si="172"/>
        <v>#N/A</v>
      </c>
      <c r="F198" s="16" t="e">
        <f t="shared" si="172"/>
        <v>#N/A</v>
      </c>
      <c r="G198" s="16" t="e">
        <f t="shared" si="172"/>
        <v>#N/A</v>
      </c>
      <c r="H198" s="16" t="e">
        <f t="shared" si="172"/>
        <v>#N/A</v>
      </c>
      <c r="I198" s="16" t="e">
        <f t="shared" si="172"/>
        <v>#N/A</v>
      </c>
      <c r="J198" s="16" t="e">
        <f t="shared" si="171"/>
        <v>#N/A</v>
      </c>
      <c r="K198" s="246">
        <f>WMF_DM3</f>
        <v>1</v>
      </c>
      <c r="L198" s="12" t="str">
        <f t="shared" ca="1" si="164"/>
        <v>Delivery Modality 3</v>
      </c>
      <c r="AA198" s="564" t="s">
        <v>1564</v>
      </c>
      <c r="AO198" s="564" t="s">
        <v>7418</v>
      </c>
      <c r="BC198" s="564" t="s">
        <v>9676</v>
      </c>
      <c r="BQ198" s="564" t="s">
        <v>7420</v>
      </c>
      <c r="CE198" s="564" t="s">
        <v>7489</v>
      </c>
      <c r="CS198" s="564" t="s">
        <v>7422</v>
      </c>
      <c r="DG198" s="564" t="s">
        <v>9681</v>
      </c>
    </row>
    <row r="199" spans="1:112" ht="12.75" x14ac:dyDescent="0.2">
      <c r="B199" s="2" t="e">
        <f>'A2. INPUT Population &amp; Delivery'!H228</f>
        <v>#N/A</v>
      </c>
      <c r="C199" s="5" t="str">
        <f>CONCATENATE("",DM4_Vaccine)</f>
        <v/>
      </c>
      <c r="D199" s="16" t="e">
        <f t="shared" ref="D199:I199" si="173">ROUNDUP(D184*WMF_DM4,0)</f>
        <v>#N/A</v>
      </c>
      <c r="E199" s="16" t="e">
        <f t="shared" si="173"/>
        <v>#N/A</v>
      </c>
      <c r="F199" s="16" t="e">
        <f t="shared" si="173"/>
        <v>#N/A</v>
      </c>
      <c r="G199" s="16" t="e">
        <f t="shared" si="173"/>
        <v>#N/A</v>
      </c>
      <c r="H199" s="16" t="e">
        <f t="shared" si="173"/>
        <v>#N/A</v>
      </c>
      <c r="I199" s="16" t="e">
        <f t="shared" si="173"/>
        <v>#N/A</v>
      </c>
      <c r="J199" s="16" t="e">
        <f t="shared" si="171"/>
        <v>#N/A</v>
      </c>
      <c r="K199" s="246">
        <f>WMF_DM4</f>
        <v>1</v>
      </c>
      <c r="L199" s="12" t="str">
        <f t="shared" ca="1" si="164"/>
        <v>Delivery Modality 4</v>
      </c>
      <c r="AA199" s="564" t="s">
        <v>1565</v>
      </c>
      <c r="AO199" s="564" t="s">
        <v>7424</v>
      </c>
      <c r="BC199" s="564" t="s">
        <v>9726</v>
      </c>
      <c r="BQ199" s="564" t="s">
        <v>7426</v>
      </c>
      <c r="CE199" s="564" t="s">
        <v>7491</v>
      </c>
      <c r="CS199" s="564" t="s">
        <v>7428</v>
      </c>
      <c r="DG199" s="564" t="s">
        <v>9731</v>
      </c>
    </row>
    <row r="200" spans="1:112" ht="13.5" thickBot="1" x14ac:dyDescent="0.25">
      <c r="B200" s="34"/>
      <c r="C200" s="21" t="str">
        <f ca="1">IF(OFFSET(R200,0,Lang_Order*Lang__B1)="","",OFFSET(R200,0,Lang_Order*Lang__B1))</f>
        <v>Total</v>
      </c>
      <c r="D200" s="119" t="e">
        <f>SUM(D196:D199)</f>
        <v>#N/A</v>
      </c>
      <c r="E200" s="119" t="e">
        <f t="shared" ref="E200:J200" si="174">SUM(E196:E199)</f>
        <v>#N/A</v>
      </c>
      <c r="F200" s="119" t="e">
        <f t="shared" si="174"/>
        <v>#N/A</v>
      </c>
      <c r="G200" s="119" t="e">
        <f t="shared" si="174"/>
        <v>#N/A</v>
      </c>
      <c r="H200" s="119" t="e">
        <f t="shared" si="174"/>
        <v>#N/A</v>
      </c>
      <c r="I200" s="119" t="e">
        <f t="shared" si="174"/>
        <v>#N/A</v>
      </c>
      <c r="J200" s="119" t="e">
        <f t="shared" si="174"/>
        <v>#N/A</v>
      </c>
      <c r="K200" s="246"/>
      <c r="L200" s="567"/>
      <c r="M200" s="567"/>
      <c r="R200" s="564" t="s">
        <v>1605</v>
      </c>
      <c r="AF200" s="564" t="s">
        <v>1605</v>
      </c>
      <c r="AT200" s="564" t="s">
        <v>4676</v>
      </c>
      <c r="BH200" s="564" t="s">
        <v>1605</v>
      </c>
      <c r="BV200" s="564" t="s">
        <v>1605</v>
      </c>
      <c r="CJ200" s="564" t="s">
        <v>4686</v>
      </c>
      <c r="CX200" s="564" t="s">
        <v>4694</v>
      </c>
    </row>
    <row r="201" spans="1:112" ht="13.5" thickTop="1" x14ac:dyDescent="0.2">
      <c r="A201" s="567"/>
      <c r="B201" s="34"/>
      <c r="D201" s="15"/>
      <c r="L201" s="15"/>
      <c r="M201" s="567"/>
    </row>
    <row r="202" spans="1:112" s="542" customFormat="1" ht="12.75" x14ac:dyDescent="0.2">
      <c r="A202" s="567"/>
      <c r="B202" s="34"/>
      <c r="C202" s="5" t="str">
        <f ca="1">IF(OFFSET(R202,0,Lang_Order*Lang__B1)="","",OFFSET(R202,0,Lang_Order*Lang__B1))</f>
        <v>1-dose vaccines (number of courses)</v>
      </c>
      <c r="D202" s="16">
        <f>SUMIF($B$196:$B$199,"=1",D$189:D$192)</f>
        <v>0</v>
      </c>
      <c r="E202" s="16">
        <f t="shared" ref="E202:I202" si="175">SUMIF($B$196:$B$199,"=1",E$189:E$192)</f>
        <v>0</v>
      </c>
      <c r="F202" s="16">
        <f t="shared" si="175"/>
        <v>0</v>
      </c>
      <c r="G202" s="16">
        <f t="shared" si="175"/>
        <v>0</v>
      </c>
      <c r="H202" s="16">
        <f t="shared" si="175"/>
        <v>0</v>
      </c>
      <c r="I202" s="16">
        <f t="shared" si="175"/>
        <v>0</v>
      </c>
      <c r="J202" s="16">
        <f t="shared" ref="J202:J203" si="176">SUM(D202:I202)</f>
        <v>0</v>
      </c>
      <c r="K202" s="44"/>
      <c r="M202" s="567"/>
      <c r="O202" s="564"/>
      <c r="P202" s="564"/>
      <c r="Q202" s="564"/>
      <c r="R202" s="564" t="s">
        <v>4608</v>
      </c>
      <c r="S202" s="564"/>
      <c r="T202" s="564"/>
      <c r="U202" s="564"/>
      <c r="V202" s="564"/>
      <c r="W202" s="564"/>
      <c r="X202" s="564"/>
      <c r="Y202" s="564"/>
      <c r="Z202" s="564"/>
      <c r="AA202" s="564"/>
      <c r="AB202" s="564"/>
      <c r="AC202" s="564"/>
      <c r="AD202" s="564"/>
      <c r="AE202" s="564"/>
      <c r="AF202" s="564" t="s">
        <v>13593</v>
      </c>
      <c r="AG202" s="564"/>
      <c r="AH202" s="564"/>
      <c r="AI202" s="564"/>
      <c r="AJ202" s="564"/>
      <c r="AK202" s="564"/>
      <c r="AL202" s="564"/>
      <c r="AM202" s="564"/>
      <c r="AN202" s="564"/>
      <c r="AO202" s="564"/>
      <c r="AP202" s="564"/>
      <c r="AQ202" s="564"/>
      <c r="AR202" s="564"/>
      <c r="AS202" s="564"/>
      <c r="AT202" s="564" t="s">
        <v>13594</v>
      </c>
      <c r="AU202" s="564"/>
      <c r="AV202" s="564"/>
      <c r="AW202" s="564"/>
      <c r="AX202" s="564"/>
      <c r="AY202" s="564"/>
      <c r="AZ202" s="564"/>
      <c r="BA202" s="564"/>
      <c r="BB202" s="564"/>
      <c r="BC202" s="564"/>
      <c r="BD202" s="564"/>
      <c r="BE202" s="564"/>
      <c r="BF202" s="564"/>
      <c r="BG202" s="564"/>
      <c r="BH202" s="564" t="s">
        <v>13595</v>
      </c>
      <c r="BI202" s="564"/>
      <c r="BJ202" s="564"/>
      <c r="BK202" s="564"/>
      <c r="BL202" s="564"/>
      <c r="BM202" s="564"/>
      <c r="BN202" s="564"/>
      <c r="BO202" s="564"/>
      <c r="BP202" s="564"/>
      <c r="BQ202" s="564"/>
      <c r="BR202" s="564"/>
      <c r="BS202" s="564"/>
      <c r="BT202" s="564"/>
      <c r="BU202" s="564"/>
      <c r="BV202" s="564" t="s">
        <v>13596</v>
      </c>
      <c r="BW202" s="564"/>
      <c r="BX202" s="564"/>
      <c r="BY202" s="564"/>
      <c r="BZ202" s="564"/>
      <c r="CA202" s="564"/>
      <c r="CB202" s="564"/>
      <c r="CC202" s="564"/>
      <c r="CD202" s="564"/>
      <c r="CE202" s="564"/>
      <c r="CF202" s="564"/>
      <c r="CG202" s="564"/>
      <c r="CH202" s="564"/>
      <c r="CI202" s="564"/>
      <c r="CJ202" s="564" t="s">
        <v>13597</v>
      </c>
      <c r="CK202" s="564"/>
      <c r="CL202" s="564"/>
      <c r="CM202" s="564"/>
      <c r="CN202" s="564"/>
      <c r="CO202" s="564"/>
      <c r="CP202" s="564"/>
      <c r="CQ202" s="564"/>
      <c r="CR202" s="564"/>
      <c r="CS202" s="564"/>
      <c r="CT202" s="564"/>
      <c r="CU202" s="564"/>
      <c r="CV202" s="564"/>
      <c r="CW202" s="564"/>
      <c r="CX202" s="564" t="s">
        <v>13598</v>
      </c>
      <c r="CY202" s="564"/>
      <c r="CZ202" s="564"/>
      <c r="DA202" s="564"/>
      <c r="DB202" s="564"/>
      <c r="DC202" s="564"/>
      <c r="DD202" s="564"/>
      <c r="DE202" s="564"/>
      <c r="DF202" s="564"/>
      <c r="DG202" s="564"/>
      <c r="DH202" s="564"/>
    </row>
    <row r="203" spans="1:112" s="542" customFormat="1" ht="12.75" x14ac:dyDescent="0.2">
      <c r="A203" s="567"/>
      <c r="B203" s="34"/>
      <c r="C203" s="5" t="str">
        <f ca="1">IF(OFFSET(R203,0,Lang_Order*Lang__B1)="","",OFFSET(R203,0,Lang_Order*Lang__B1))</f>
        <v>2-dose vaccines (number of courses)</v>
      </c>
      <c r="D203" s="16">
        <f>SUMIF($B$196:$B$199,"=2",D$189:D$192)</f>
        <v>0</v>
      </c>
      <c r="E203" s="16">
        <f t="shared" ref="E203:I203" si="177">SUMIF($B$196:$B$199,"=2",E$189:E$192)</f>
        <v>0</v>
      </c>
      <c r="F203" s="16">
        <f t="shared" si="177"/>
        <v>0</v>
      </c>
      <c r="G203" s="16">
        <f t="shared" si="177"/>
        <v>0</v>
      </c>
      <c r="H203" s="16">
        <f t="shared" si="177"/>
        <v>0</v>
      </c>
      <c r="I203" s="16">
        <f t="shared" si="177"/>
        <v>0</v>
      </c>
      <c r="J203" s="16">
        <f t="shared" si="176"/>
        <v>0</v>
      </c>
      <c r="K203" s="44"/>
      <c r="M203" s="567"/>
      <c r="O203" s="564"/>
      <c r="P203" s="564"/>
      <c r="Q203" s="564"/>
      <c r="R203" s="564" t="s">
        <v>4609</v>
      </c>
      <c r="S203" s="564"/>
      <c r="T203" s="564"/>
      <c r="U203" s="564"/>
      <c r="V203" s="564"/>
      <c r="W203" s="564"/>
      <c r="X203" s="564"/>
      <c r="Y203" s="564"/>
      <c r="Z203" s="564"/>
      <c r="AA203" s="564"/>
      <c r="AB203" s="564"/>
      <c r="AC203" s="564"/>
      <c r="AD203" s="564"/>
      <c r="AE203" s="564"/>
      <c r="AF203" s="564" t="s">
        <v>13599</v>
      </c>
      <c r="AG203" s="564"/>
      <c r="AH203" s="564"/>
      <c r="AI203" s="564"/>
      <c r="AJ203" s="564"/>
      <c r="AK203" s="564"/>
      <c r="AL203" s="564"/>
      <c r="AM203" s="564"/>
      <c r="AN203" s="564"/>
      <c r="AO203" s="564"/>
      <c r="AP203" s="564"/>
      <c r="AQ203" s="564"/>
      <c r="AR203" s="564"/>
      <c r="AS203" s="564"/>
      <c r="AT203" s="564" t="s">
        <v>13600</v>
      </c>
      <c r="AU203" s="564"/>
      <c r="AV203" s="564"/>
      <c r="AW203" s="564"/>
      <c r="AX203" s="564"/>
      <c r="AY203" s="564"/>
      <c r="AZ203" s="564"/>
      <c r="BA203" s="564"/>
      <c r="BB203" s="564"/>
      <c r="BC203" s="564"/>
      <c r="BD203" s="564"/>
      <c r="BE203" s="564"/>
      <c r="BF203" s="564"/>
      <c r="BG203" s="564"/>
      <c r="BH203" s="564" t="s">
        <v>13601</v>
      </c>
      <c r="BI203" s="564"/>
      <c r="BJ203" s="564"/>
      <c r="BK203" s="564"/>
      <c r="BL203" s="564"/>
      <c r="BM203" s="564"/>
      <c r="BN203" s="564"/>
      <c r="BO203" s="564"/>
      <c r="BP203" s="564"/>
      <c r="BQ203" s="564"/>
      <c r="BR203" s="564"/>
      <c r="BS203" s="564"/>
      <c r="BT203" s="564"/>
      <c r="BU203" s="564"/>
      <c r="BV203" s="564" t="s">
        <v>13602</v>
      </c>
      <c r="BW203" s="564"/>
      <c r="BX203" s="564"/>
      <c r="BY203" s="564"/>
      <c r="BZ203" s="564"/>
      <c r="CA203" s="564"/>
      <c r="CB203" s="564"/>
      <c r="CC203" s="564"/>
      <c r="CD203" s="564"/>
      <c r="CE203" s="564"/>
      <c r="CF203" s="564"/>
      <c r="CG203" s="564"/>
      <c r="CH203" s="564"/>
      <c r="CI203" s="564"/>
      <c r="CJ203" s="564" t="s">
        <v>13603</v>
      </c>
      <c r="CK203" s="564"/>
      <c r="CL203" s="564"/>
      <c r="CM203" s="564"/>
      <c r="CN203" s="564"/>
      <c r="CO203" s="564"/>
      <c r="CP203" s="564"/>
      <c r="CQ203" s="564"/>
      <c r="CR203" s="564"/>
      <c r="CS203" s="564"/>
      <c r="CT203" s="564"/>
      <c r="CU203" s="564"/>
      <c r="CV203" s="564"/>
      <c r="CW203" s="564"/>
      <c r="CX203" s="564" t="s">
        <v>13604</v>
      </c>
      <c r="CY203" s="564"/>
      <c r="CZ203" s="564"/>
      <c r="DA203" s="564"/>
      <c r="DB203" s="564"/>
      <c r="DC203" s="564"/>
      <c r="DD203" s="564"/>
      <c r="DE203" s="564"/>
      <c r="DF203" s="564"/>
      <c r="DG203" s="564"/>
      <c r="DH203" s="564"/>
    </row>
    <row r="204" spans="1:112" s="542" customFormat="1" ht="13.5" thickBot="1" x14ac:dyDescent="0.25">
      <c r="A204" s="567"/>
      <c r="B204" s="34"/>
      <c r="C204" s="21" t="str">
        <f ca="1">IF(OFFSET(R204,0,Lang_Order*Lang__B1)="","",OFFSET(R204,0,Lang_Order*Lang__B1))</f>
        <v>Total</v>
      </c>
      <c r="D204" s="119">
        <f>SUM(D202:D203)</f>
        <v>0</v>
      </c>
      <c r="E204" s="119">
        <f t="shared" ref="E204:J204" si="178">SUM(E202:E203)</f>
        <v>0</v>
      </c>
      <c r="F204" s="119">
        <f t="shared" si="178"/>
        <v>0</v>
      </c>
      <c r="G204" s="119">
        <f t="shared" si="178"/>
        <v>0</v>
      </c>
      <c r="H204" s="119">
        <f t="shared" si="178"/>
        <v>0</v>
      </c>
      <c r="I204" s="119">
        <f t="shared" si="178"/>
        <v>0</v>
      </c>
      <c r="J204" s="119">
        <f t="shared" si="178"/>
        <v>0</v>
      </c>
      <c r="K204" s="44"/>
      <c r="M204" s="567"/>
      <c r="O204" s="564"/>
      <c r="P204" s="564"/>
      <c r="Q204" s="564"/>
      <c r="R204" s="564" t="s">
        <v>1605</v>
      </c>
      <c r="S204" s="564"/>
      <c r="T204" s="564"/>
      <c r="U204" s="564"/>
      <c r="V204" s="564"/>
      <c r="W204" s="564"/>
      <c r="X204" s="564"/>
      <c r="Y204" s="564"/>
      <c r="Z204" s="564"/>
      <c r="AA204" s="564"/>
      <c r="AB204" s="564"/>
      <c r="AC204" s="564"/>
      <c r="AD204" s="564"/>
      <c r="AE204" s="564"/>
      <c r="AF204" s="564" t="s">
        <v>1605</v>
      </c>
      <c r="AG204" s="564"/>
      <c r="AH204" s="564"/>
      <c r="AI204" s="564"/>
      <c r="AJ204" s="564"/>
      <c r="AK204" s="564"/>
      <c r="AL204" s="564"/>
      <c r="AM204" s="564"/>
      <c r="AN204" s="564"/>
      <c r="AO204" s="564"/>
      <c r="AP204" s="564"/>
      <c r="AQ204" s="564"/>
      <c r="AR204" s="564"/>
      <c r="AS204" s="564"/>
      <c r="AT204" s="564" t="s">
        <v>4676</v>
      </c>
      <c r="AU204" s="564"/>
      <c r="AV204" s="564"/>
      <c r="AW204" s="564"/>
      <c r="AX204" s="564"/>
      <c r="AY204" s="564"/>
      <c r="AZ204" s="564"/>
      <c r="BA204" s="564"/>
      <c r="BB204" s="564"/>
      <c r="BC204" s="564"/>
      <c r="BD204" s="564"/>
      <c r="BE204" s="564"/>
      <c r="BF204" s="564"/>
      <c r="BG204" s="564"/>
      <c r="BH204" s="564" t="s">
        <v>1605</v>
      </c>
      <c r="BI204" s="564"/>
      <c r="BJ204" s="564"/>
      <c r="BK204" s="564"/>
      <c r="BL204" s="564"/>
      <c r="BM204" s="564"/>
      <c r="BN204" s="564"/>
      <c r="BO204" s="564"/>
      <c r="BP204" s="564"/>
      <c r="BQ204" s="564"/>
      <c r="BR204" s="564"/>
      <c r="BS204" s="564"/>
      <c r="BT204" s="564"/>
      <c r="BU204" s="564"/>
      <c r="BV204" s="564" t="s">
        <v>1605</v>
      </c>
      <c r="BW204" s="564"/>
      <c r="BX204" s="564"/>
      <c r="BY204" s="564"/>
      <c r="BZ204" s="564"/>
      <c r="CA204" s="564"/>
      <c r="CB204" s="564"/>
      <c r="CC204" s="564"/>
      <c r="CD204" s="564"/>
      <c r="CE204" s="564"/>
      <c r="CF204" s="564"/>
      <c r="CG204" s="564"/>
      <c r="CH204" s="564"/>
      <c r="CI204" s="564"/>
      <c r="CJ204" s="564" t="s">
        <v>4686</v>
      </c>
      <c r="CK204" s="564"/>
      <c r="CL204" s="564"/>
      <c r="CM204" s="564"/>
      <c r="CN204" s="564"/>
      <c r="CO204" s="564"/>
      <c r="CP204" s="564"/>
      <c r="CQ204" s="564"/>
      <c r="CR204" s="564"/>
      <c r="CS204" s="564"/>
      <c r="CT204" s="564"/>
      <c r="CU204" s="564"/>
      <c r="CV204" s="564"/>
      <c r="CW204" s="564"/>
      <c r="CX204" s="564" t="s">
        <v>4694</v>
      </c>
      <c r="CY204" s="564"/>
      <c r="CZ204" s="564"/>
      <c r="DA204" s="564"/>
      <c r="DB204" s="564"/>
      <c r="DC204" s="564"/>
      <c r="DD204" s="564"/>
      <c r="DE204" s="564"/>
      <c r="DF204" s="564"/>
      <c r="DG204" s="564"/>
      <c r="DH204" s="564"/>
    </row>
    <row r="205" spans="1:112" s="542" customFormat="1" ht="13.5" thickTop="1" x14ac:dyDescent="0.2">
      <c r="A205" s="567"/>
      <c r="B205" s="34"/>
      <c r="C205" s="5"/>
      <c r="J205" s="44"/>
      <c r="K205" s="44"/>
      <c r="M205" s="567"/>
      <c r="O205" s="564"/>
      <c r="P205" s="564"/>
      <c r="Q205" s="564"/>
      <c r="R205" s="564"/>
      <c r="S205" s="564"/>
      <c r="T205" s="564"/>
      <c r="U205" s="564"/>
      <c r="V205" s="564"/>
      <c r="W205" s="564"/>
      <c r="X205" s="564"/>
      <c r="Y205" s="564"/>
      <c r="Z205" s="564"/>
      <c r="AA205" s="564"/>
      <c r="AB205" s="564"/>
      <c r="AC205" s="564"/>
      <c r="AD205" s="564"/>
      <c r="AE205" s="564"/>
      <c r="AF205" s="564"/>
      <c r="AG205" s="564"/>
      <c r="AH205" s="564"/>
      <c r="AI205" s="564"/>
      <c r="AJ205" s="564"/>
      <c r="AK205" s="564"/>
      <c r="AL205" s="564"/>
      <c r="AM205" s="564"/>
      <c r="AN205" s="564"/>
      <c r="AO205" s="564"/>
      <c r="AP205" s="564"/>
      <c r="AQ205" s="564"/>
      <c r="AR205" s="564"/>
      <c r="AS205" s="564"/>
      <c r="AT205" s="564"/>
      <c r="AU205" s="564"/>
      <c r="AV205" s="564"/>
      <c r="AW205" s="564"/>
      <c r="AX205" s="564"/>
      <c r="AY205" s="564"/>
      <c r="AZ205" s="564"/>
      <c r="BA205" s="564"/>
      <c r="BB205" s="564"/>
      <c r="BC205" s="564"/>
      <c r="BD205" s="564"/>
      <c r="BE205" s="564"/>
      <c r="BF205" s="564"/>
      <c r="BG205" s="564"/>
      <c r="BH205" s="564"/>
      <c r="BI205" s="564"/>
      <c r="BJ205" s="564"/>
      <c r="BK205" s="564"/>
      <c r="BL205" s="564"/>
      <c r="BM205" s="564"/>
      <c r="BN205" s="564"/>
      <c r="BO205" s="564"/>
      <c r="BP205" s="564"/>
      <c r="BQ205" s="564"/>
      <c r="BR205" s="564"/>
      <c r="BS205" s="564"/>
      <c r="BT205" s="564"/>
      <c r="BU205" s="564"/>
      <c r="BV205" s="564"/>
      <c r="BW205" s="564"/>
      <c r="BX205" s="564"/>
      <c r="BY205" s="564"/>
      <c r="BZ205" s="564"/>
      <c r="CA205" s="564"/>
      <c r="CB205" s="564"/>
      <c r="CC205" s="564"/>
      <c r="CD205" s="564"/>
      <c r="CE205" s="564"/>
      <c r="CF205" s="564"/>
      <c r="CG205" s="564"/>
      <c r="CH205" s="564"/>
      <c r="CI205" s="564"/>
      <c r="CJ205" s="564"/>
      <c r="CK205" s="564"/>
      <c r="CL205" s="564"/>
      <c r="CM205" s="564"/>
      <c r="CN205" s="564"/>
      <c r="CO205" s="564"/>
      <c r="CP205" s="564"/>
      <c r="CQ205" s="564"/>
      <c r="CR205" s="564"/>
      <c r="CS205" s="564"/>
      <c r="CT205" s="564"/>
      <c r="CU205" s="564"/>
      <c r="CV205" s="564"/>
      <c r="CW205" s="564"/>
      <c r="CX205" s="564"/>
      <c r="CY205" s="564"/>
      <c r="CZ205" s="564"/>
      <c r="DA205" s="564"/>
      <c r="DB205" s="564"/>
      <c r="DC205" s="564"/>
      <c r="DD205" s="564"/>
      <c r="DE205" s="564"/>
      <c r="DF205" s="564"/>
      <c r="DG205" s="564"/>
      <c r="DH205" s="564"/>
    </row>
    <row r="206" spans="1:112" x14ac:dyDescent="0.25">
      <c r="B206" s="112" t="str">
        <f ca="1">IF(OFFSET(Q206,0,Lang_Order*Lang__B1)="","",OFFSET(Q206,0,Lang_Order*Lang__B1))</f>
        <v>B1.4.1 Summary - Vaccine courses needed in 2021 (Stage 1 and 2)</v>
      </c>
      <c r="C206" s="210"/>
      <c r="D206" s="112"/>
      <c r="E206" s="112"/>
      <c r="F206" s="112"/>
      <c r="G206" s="112"/>
      <c r="H206" s="112"/>
      <c r="I206" s="112"/>
      <c r="J206" s="211"/>
      <c r="K206" s="212"/>
      <c r="L206" s="112"/>
      <c r="M206" s="112"/>
      <c r="Q206" s="564" t="s">
        <v>14255</v>
      </c>
      <c r="AE206" s="564" t="s">
        <v>9880</v>
      </c>
      <c r="AS206" s="564" t="s">
        <v>9881</v>
      </c>
      <c r="BG206" s="564" t="s">
        <v>9882</v>
      </c>
      <c r="BU206" s="564" t="s">
        <v>9883</v>
      </c>
      <c r="CI206" s="564" t="s">
        <v>9884</v>
      </c>
      <c r="CW206" s="564" t="s">
        <v>9885</v>
      </c>
    </row>
    <row r="207" spans="1:112" s="193" customFormat="1" ht="12.75" x14ac:dyDescent="0.2">
      <c r="L207" s="567"/>
      <c r="M207" s="567"/>
      <c r="O207" s="564"/>
      <c r="P207" s="564"/>
      <c r="Q207" s="564"/>
      <c r="R207" s="564"/>
      <c r="S207" s="564"/>
      <c r="T207" s="564"/>
      <c r="U207" s="564"/>
      <c r="V207" s="564"/>
      <c r="W207" s="564"/>
      <c r="X207" s="564"/>
      <c r="Y207" s="564"/>
      <c r="Z207" s="564"/>
      <c r="AA207" s="564"/>
      <c r="AB207" s="564"/>
      <c r="AC207" s="564"/>
      <c r="AD207" s="564"/>
      <c r="AE207" s="564"/>
      <c r="AF207" s="564"/>
      <c r="AG207" s="564"/>
      <c r="AH207" s="564"/>
      <c r="AI207" s="564"/>
      <c r="AJ207" s="564"/>
      <c r="AK207" s="564"/>
      <c r="AL207" s="564"/>
      <c r="AM207" s="564"/>
      <c r="AN207" s="564"/>
      <c r="AO207" s="564"/>
      <c r="AP207" s="564"/>
      <c r="AQ207" s="564"/>
      <c r="AR207" s="564"/>
      <c r="AS207" s="564"/>
      <c r="AT207" s="564"/>
      <c r="AU207" s="564"/>
      <c r="AV207" s="564"/>
      <c r="AW207" s="564"/>
      <c r="AX207" s="564"/>
      <c r="AY207" s="564"/>
      <c r="AZ207" s="564"/>
      <c r="BA207" s="564"/>
      <c r="BB207" s="564"/>
      <c r="BC207" s="564"/>
      <c r="BD207" s="564"/>
      <c r="BE207" s="564"/>
      <c r="BF207" s="564"/>
      <c r="BG207" s="564"/>
      <c r="BH207" s="564"/>
      <c r="BI207" s="564"/>
      <c r="BJ207" s="564"/>
      <c r="BK207" s="564"/>
      <c r="BL207" s="564"/>
      <c r="BM207" s="564"/>
      <c r="BN207" s="564"/>
      <c r="BO207" s="564"/>
      <c r="BP207" s="564"/>
      <c r="BQ207" s="564"/>
      <c r="BR207" s="564"/>
      <c r="BS207" s="564"/>
      <c r="BT207" s="564"/>
      <c r="BU207" s="564"/>
      <c r="BV207" s="564"/>
      <c r="BW207" s="564"/>
      <c r="BX207" s="564"/>
      <c r="BY207" s="564"/>
      <c r="BZ207" s="564"/>
      <c r="CA207" s="564"/>
      <c r="CB207" s="564"/>
      <c r="CC207" s="564"/>
      <c r="CD207" s="564"/>
      <c r="CE207" s="564"/>
      <c r="CF207" s="564"/>
      <c r="CG207" s="564"/>
      <c r="CH207" s="564"/>
      <c r="CI207" s="564"/>
      <c r="CJ207" s="564"/>
      <c r="CK207" s="564"/>
      <c r="CL207" s="564"/>
      <c r="CM207" s="564"/>
      <c r="CN207" s="564"/>
      <c r="CO207" s="564"/>
      <c r="CP207" s="564"/>
      <c r="CQ207" s="564"/>
      <c r="CR207" s="564"/>
      <c r="CS207" s="564"/>
      <c r="CT207" s="564"/>
      <c r="CU207" s="564"/>
      <c r="CV207" s="564"/>
      <c r="CW207" s="564"/>
      <c r="CX207" s="564"/>
      <c r="CY207" s="564"/>
      <c r="CZ207" s="564"/>
      <c r="DA207" s="564"/>
      <c r="DB207" s="564"/>
      <c r="DC207" s="564"/>
      <c r="DD207" s="564"/>
      <c r="DE207" s="564"/>
      <c r="DF207" s="564"/>
      <c r="DG207" s="564"/>
      <c r="DH207" s="564"/>
    </row>
    <row r="208" spans="1:112" x14ac:dyDescent="0.25">
      <c r="B208" s="15"/>
      <c r="C208" s="15"/>
      <c r="D208" s="698" t="str">
        <f t="shared" ref="D208:G209" ca="1" si="179">IF(OFFSET(S208,0,Lang_Order*Lang__B1)="","",OFFSET(S208,0,Lang_Order*Lang__B1))</f>
        <v>Needs (Demand-sde estimates)</v>
      </c>
      <c r="E208" s="698" t="str">
        <f t="shared" ca="1" si="179"/>
        <v/>
      </c>
      <c r="F208" s="698" t="str">
        <f t="shared" ca="1" si="179"/>
        <v/>
      </c>
      <c r="G208" s="698" t="str">
        <f t="shared" ca="1" si="179"/>
        <v/>
      </c>
      <c r="H208" s="697" t="str">
        <f t="shared" ref="H208:H209" ca="1" si="180">IF(OFFSET(W208,0,Lang_Order*Lang__B1)="","",OFFSET(W208,0,Lang_Order*Lang__B1))</f>
        <v>Estimated value of fully loaded vaccine components</v>
      </c>
      <c r="I208" s="697" t="str">
        <f t="shared" ref="I208:I209" ca="1" si="181">IF(OFFSET(X208,0,Lang_Order*Lang__B1)="","",OFFSET(X208,0,Lang_Order*Lang__B1))</f>
        <v>Supply</v>
      </c>
      <c r="J208" s="697" t="str">
        <f t="shared" ref="J208:J209" ca="1" si="182">IF(OFFSET(Y208,0,Lang_Order*Lang__B1)="","",OFFSET(Y208,0,Lang_Order*Lang__B1))</f>
        <v/>
      </c>
      <c r="K208" s="567"/>
      <c r="L208" s="567"/>
      <c r="M208" s="567"/>
      <c r="S208" s="564" t="s">
        <v>3208</v>
      </c>
      <c r="W208" s="564" t="s">
        <v>4605</v>
      </c>
      <c r="X208" s="564" t="s">
        <v>3209</v>
      </c>
      <c r="AG208" s="564" t="s">
        <v>9886</v>
      </c>
      <c r="AK208" s="564" t="s">
        <v>13587</v>
      </c>
      <c r="AL208" s="564" t="s">
        <v>9887</v>
      </c>
      <c r="AU208" s="564" t="s">
        <v>9888</v>
      </c>
      <c r="AY208" s="564" t="s">
        <v>13588</v>
      </c>
      <c r="AZ208" s="564" t="s">
        <v>9889</v>
      </c>
      <c r="BI208" s="564" t="s">
        <v>9890</v>
      </c>
      <c r="BM208" s="564" t="s">
        <v>13589</v>
      </c>
      <c r="BN208" s="564" t="s">
        <v>9891</v>
      </c>
      <c r="BW208" s="564" t="s">
        <v>9892</v>
      </c>
      <c r="CA208" s="564" t="s">
        <v>13590</v>
      </c>
      <c r="CB208" s="564" t="s">
        <v>9893</v>
      </c>
      <c r="CK208" s="564" t="s">
        <v>9894</v>
      </c>
      <c r="CO208" s="564" t="s">
        <v>13591</v>
      </c>
      <c r="CP208" s="564" t="s">
        <v>9895</v>
      </c>
      <c r="CY208" s="564" t="s">
        <v>9896</v>
      </c>
      <c r="DC208" s="564" t="s">
        <v>13592</v>
      </c>
      <c r="DD208" s="564" t="s">
        <v>9897</v>
      </c>
    </row>
    <row r="209" spans="2:112" s="193" customFormat="1" ht="63.75" customHeight="1" x14ac:dyDescent="0.25">
      <c r="C209" s="55" t="str">
        <f ca="1">IF(OFFSET(R209,0,Lang_Order*Lang__B1)="","",OFFSET(R209,0,Lang_Order*Lang__B1))</f>
        <v>Needs estimation parameters --&gt;</v>
      </c>
      <c r="D209" s="200" t="str">
        <f t="shared" ca="1" si="179"/>
        <v>Full Uptake + Wastage</v>
      </c>
      <c r="E209" s="200" t="str">
        <f t="shared" ca="1" si="179"/>
        <v>Full Uptake + No Wastage</v>
      </c>
      <c r="F209" s="454" t="str">
        <f t="shared" ca="1" si="179"/>
        <v>Expected Uptake + Wastage</v>
      </c>
      <c r="G209" s="200" t="str">
        <f t="shared" ca="1" si="179"/>
        <v>Expected Uptake + No Wastage</v>
      </c>
      <c r="H209" s="427" t="str">
        <f t="shared" ca="1" si="180"/>
        <v>No fault compensation fund</v>
      </c>
      <c r="I209" s="427" t="str">
        <f t="shared" ca="1" si="181"/>
        <v>Waste Management</v>
      </c>
      <c r="J209" s="427" t="str">
        <f t="shared" ca="1" si="182"/>
        <v>Vaccine-related devices and supplies</v>
      </c>
      <c r="K209" s="567"/>
      <c r="L209" s="567"/>
      <c r="M209" s="567"/>
      <c r="O209" s="564"/>
      <c r="P209" s="564"/>
      <c r="Q209" s="564"/>
      <c r="R209" s="564" t="s">
        <v>2882</v>
      </c>
      <c r="S209" s="564" t="s">
        <v>2812</v>
      </c>
      <c r="T209" s="564" t="s">
        <v>2813</v>
      </c>
      <c r="U209" s="564" t="s">
        <v>2814</v>
      </c>
      <c r="V209" s="564" t="s">
        <v>2815</v>
      </c>
      <c r="W209" s="564" t="s">
        <v>4268</v>
      </c>
      <c r="X209" s="564" t="s">
        <v>4604</v>
      </c>
      <c r="Y209" s="564" t="s">
        <v>4606</v>
      </c>
      <c r="Z209" s="564"/>
      <c r="AA209" s="564"/>
      <c r="AB209" s="564"/>
      <c r="AC209" s="564"/>
      <c r="AD209" s="564"/>
      <c r="AE209" s="564"/>
      <c r="AF209" s="564" t="s">
        <v>9898</v>
      </c>
      <c r="AG209" s="564" t="s">
        <v>9899</v>
      </c>
      <c r="AH209" s="564" t="s">
        <v>9900</v>
      </c>
      <c r="AI209" s="564" t="s">
        <v>9901</v>
      </c>
      <c r="AJ209" s="564" t="s">
        <v>9902</v>
      </c>
      <c r="AK209" s="564" t="s">
        <v>13575</v>
      </c>
      <c r="AL209" s="564" t="s">
        <v>13060</v>
      </c>
      <c r="AM209" s="564" t="s">
        <v>13581</v>
      </c>
      <c r="AN209" s="564"/>
      <c r="AO209" s="564"/>
      <c r="AP209" s="564"/>
      <c r="AQ209" s="564"/>
      <c r="AR209" s="564"/>
      <c r="AS209" s="564"/>
      <c r="AT209" s="564" t="s">
        <v>9903</v>
      </c>
      <c r="AU209" s="564" t="s">
        <v>9904</v>
      </c>
      <c r="AV209" s="564" t="s">
        <v>9905</v>
      </c>
      <c r="AW209" s="564" t="s">
        <v>9906</v>
      </c>
      <c r="AX209" s="564" t="s">
        <v>9907</v>
      </c>
      <c r="AY209" s="564" t="s">
        <v>13576</v>
      </c>
      <c r="AZ209" s="564" t="s">
        <v>13580</v>
      </c>
      <c r="BA209" s="564" t="s">
        <v>13582</v>
      </c>
      <c r="BB209" s="564"/>
      <c r="BC209" s="564"/>
      <c r="BD209" s="564"/>
      <c r="BE209" s="564"/>
      <c r="BF209" s="564"/>
      <c r="BG209" s="564"/>
      <c r="BH209" s="564" t="s">
        <v>9908</v>
      </c>
      <c r="BI209" s="564" t="s">
        <v>9909</v>
      </c>
      <c r="BJ209" s="564" t="s">
        <v>9910</v>
      </c>
      <c r="BK209" s="564" t="s">
        <v>9911</v>
      </c>
      <c r="BL209" s="564" t="s">
        <v>9912</v>
      </c>
      <c r="BM209" s="564" t="s">
        <v>13577</v>
      </c>
      <c r="BN209" s="564" t="s">
        <v>13062</v>
      </c>
      <c r="BO209" s="564" t="s">
        <v>13583</v>
      </c>
      <c r="BP209" s="564"/>
      <c r="BQ209" s="564"/>
      <c r="BR209" s="564"/>
      <c r="BS209" s="564"/>
      <c r="BT209" s="564"/>
      <c r="BU209" s="564"/>
      <c r="BV209" s="564" t="s">
        <v>9913</v>
      </c>
      <c r="BW209" s="564" t="s">
        <v>9914</v>
      </c>
      <c r="BX209" s="564" t="s">
        <v>9915</v>
      </c>
      <c r="BY209" s="564" t="s">
        <v>9916</v>
      </c>
      <c r="BZ209" s="564" t="s">
        <v>9917</v>
      </c>
      <c r="CA209" s="564" t="s">
        <v>13578</v>
      </c>
      <c r="CB209" s="564" t="s">
        <v>13063</v>
      </c>
      <c r="CC209" s="564" t="s">
        <v>13584</v>
      </c>
      <c r="CD209" s="564"/>
      <c r="CE209" s="564"/>
      <c r="CF209" s="564"/>
      <c r="CG209" s="564"/>
      <c r="CH209" s="564"/>
      <c r="CI209" s="564"/>
      <c r="CJ209" s="564" t="s">
        <v>9918</v>
      </c>
      <c r="CK209" s="564" t="s">
        <v>9919</v>
      </c>
      <c r="CL209" s="564" t="s">
        <v>9919</v>
      </c>
      <c r="CM209" s="564" t="s">
        <v>9920</v>
      </c>
      <c r="CN209" s="564" t="s">
        <v>9921</v>
      </c>
      <c r="CO209" s="564" t="s">
        <v>13579</v>
      </c>
      <c r="CP209" s="564" t="s">
        <v>13064</v>
      </c>
      <c r="CQ209" s="564" t="s">
        <v>13585</v>
      </c>
      <c r="CR209" s="564"/>
      <c r="CS209" s="564"/>
      <c r="CT209" s="564"/>
      <c r="CU209" s="564"/>
      <c r="CV209" s="564"/>
      <c r="CW209" s="564"/>
      <c r="CX209" s="564" t="s">
        <v>9922</v>
      </c>
      <c r="CY209" s="564" t="s">
        <v>9923</v>
      </c>
      <c r="CZ209" s="564" t="s">
        <v>9924</v>
      </c>
      <c r="DA209" s="564" t="s">
        <v>9925</v>
      </c>
      <c r="DB209" s="564" t="s">
        <v>9926</v>
      </c>
      <c r="DC209" s="564" t="s">
        <v>12986</v>
      </c>
      <c r="DD209" s="564" t="s">
        <v>13065</v>
      </c>
      <c r="DE209" s="564" t="s">
        <v>13586</v>
      </c>
      <c r="DF209" s="564"/>
      <c r="DG209" s="564"/>
      <c r="DH209" s="564"/>
    </row>
    <row r="210" spans="2:112" ht="12.75" x14ac:dyDescent="0.2">
      <c r="B210" s="34"/>
      <c r="C210" s="5" t="str">
        <f>CONCATENATE("",DM1_Vaccine)</f>
        <v/>
      </c>
      <c r="D210" s="26" t="e">
        <f>SUM(D189:E189)</f>
        <v>#N/A</v>
      </c>
      <c r="E210" s="26" t="e">
        <f>SUM(D164:E164)</f>
        <v>#N/A</v>
      </c>
      <c r="F210" s="455" t="e">
        <f>SUM(D196:E196)</f>
        <v>#N/A</v>
      </c>
      <c r="G210" s="26" t="e">
        <f>SUM(D181:E181)</f>
        <v>#N/A</v>
      </c>
      <c r="H210" s="26" t="e">
        <f ca="1">F210*'B2. Vaccines and Supplies'!O27</f>
        <v>#N/A</v>
      </c>
      <c r="I210" s="89" t="e">
        <f ca="1">F210*'B2. Vaccines and Supplies'!O24</f>
        <v>#N/A</v>
      </c>
      <c r="J210" s="546" t="e">
        <f ca="1">F210*'B2. Vaccines and Supplies'!O8</f>
        <v>#N/A</v>
      </c>
      <c r="K210" s="56"/>
      <c r="L210" s="567"/>
      <c r="M210" s="567"/>
    </row>
    <row r="211" spans="2:112" ht="12.75" x14ac:dyDescent="0.2">
      <c r="B211" s="34"/>
      <c r="C211" s="105" t="str">
        <f>CONCATENATE("",DM2_Vaccine)</f>
        <v/>
      </c>
      <c r="D211" s="201" t="e">
        <f>SUM(D190:E190)</f>
        <v>#N/A</v>
      </c>
      <c r="E211" s="201" t="e">
        <f>SUM(D165:E165)</f>
        <v>#N/A</v>
      </c>
      <c r="F211" s="456" t="e">
        <f>SUM(D197:E197)</f>
        <v>#N/A</v>
      </c>
      <c r="G211" s="201" t="e">
        <f>SUM(D182:E182)</f>
        <v>#N/A</v>
      </c>
      <c r="H211" s="89" t="e">
        <f ca="1">F211*'B2. Vaccines and Supplies'!O48</f>
        <v>#N/A</v>
      </c>
      <c r="I211" s="89" t="e">
        <f ca="1">F211*'B2. Vaccines and Supplies'!O45</f>
        <v>#N/A</v>
      </c>
      <c r="J211" s="546" t="e">
        <f ca="1">F211*'B2. Vaccines and Supplies'!O29</f>
        <v>#N/A</v>
      </c>
      <c r="L211" s="567"/>
      <c r="M211" s="567"/>
      <c r="N211" s="299"/>
    </row>
    <row r="212" spans="2:112" ht="12.75" x14ac:dyDescent="0.2">
      <c r="B212" s="34"/>
      <c r="C212" s="5" t="str">
        <f>CONCATENATE("",DM3_Vaccine)</f>
        <v/>
      </c>
      <c r="D212" s="26" t="e">
        <f>SUM(D191:E191)</f>
        <v>#N/A</v>
      </c>
      <c r="E212" s="26" t="e">
        <f>SUM(D166:E166)</f>
        <v>#N/A</v>
      </c>
      <c r="F212" s="455" t="e">
        <f>SUM(D198:E198)</f>
        <v>#N/A</v>
      </c>
      <c r="G212" s="26" t="e">
        <f>SUM(D183:E183)</f>
        <v>#N/A</v>
      </c>
      <c r="H212" s="26" t="e">
        <f ca="1">F212*'B2. Vaccines and Supplies'!O69</f>
        <v>#N/A</v>
      </c>
      <c r="I212" s="26" t="e">
        <f ca="1">F212*'B2. Vaccines and Supplies'!O66</f>
        <v>#N/A</v>
      </c>
      <c r="J212" s="546" t="e">
        <f ca="1">F212*'B2. Vaccines and Supplies'!O50</f>
        <v>#N/A</v>
      </c>
      <c r="K212" s="56"/>
      <c r="L212" s="567"/>
      <c r="M212" s="567"/>
    </row>
    <row r="213" spans="2:112" ht="12.75" x14ac:dyDescent="0.2">
      <c r="B213" s="34"/>
      <c r="C213" s="5" t="str">
        <f>CONCATENATE("",DM4_Vaccine)</f>
        <v/>
      </c>
      <c r="D213" s="26" t="e">
        <f>SUM(D192:E192)</f>
        <v>#N/A</v>
      </c>
      <c r="E213" s="26" t="e">
        <f>SUM(D167:E167)</f>
        <v>#N/A</v>
      </c>
      <c r="F213" s="455" t="e">
        <f>SUM(D199:E199)</f>
        <v>#N/A</v>
      </c>
      <c r="G213" s="26" t="e">
        <f>SUM(D184:E184)</f>
        <v>#N/A</v>
      </c>
      <c r="H213" s="89" t="e">
        <f ca="1">F213*'B2. Vaccines and Supplies'!O90</f>
        <v>#N/A</v>
      </c>
      <c r="I213" s="89" t="e">
        <f ca="1">F213*'B2. Vaccines and Supplies'!O87</f>
        <v>#N/A</v>
      </c>
      <c r="J213" s="546" t="e">
        <f ca="1">F213*'B2. Vaccines and Supplies'!O71</f>
        <v>#N/A</v>
      </c>
      <c r="K213" s="56"/>
      <c r="L213" s="567"/>
      <c r="M213" s="567"/>
    </row>
    <row r="214" spans="2:112" ht="13.5" thickBot="1" x14ac:dyDescent="0.25">
      <c r="B214" s="34"/>
      <c r="C214" s="537" t="str">
        <f ca="1">IF(OFFSET(R214,0,Lang_Order*Lang__B1)="","",OFFSET(R214,0,Lang_Order*Lang__B1))</f>
        <v>Total Courses Needed | Supplied</v>
      </c>
      <c r="D214" s="119" t="e">
        <f>SUM(D210:D213)</f>
        <v>#N/A</v>
      </c>
      <c r="E214" s="119" t="e">
        <f>SUM(E210:E213)</f>
        <v>#N/A</v>
      </c>
      <c r="F214" s="457" t="e">
        <f t="shared" ref="F214:G214" si="183">SUM(F210:F213)</f>
        <v>#N/A</v>
      </c>
      <c r="G214" s="119" t="e">
        <f t="shared" si="183"/>
        <v>#N/A</v>
      </c>
      <c r="H214" s="232" t="e">
        <f ca="1">H215*(SUM(H210:H213)/F214)</f>
        <v>#N/A</v>
      </c>
      <c r="I214" s="232" t="e">
        <f ca="1">I215*(SUM(I210:I213)/F214)</f>
        <v>#N/A</v>
      </c>
      <c r="J214" s="232" t="e">
        <f ca="1">J215*(SUM(J210:J213)/F214)</f>
        <v>#N/A</v>
      </c>
      <c r="K214" s="119"/>
      <c r="L214" s="567"/>
      <c r="M214" s="567"/>
      <c r="R214" s="564" t="s">
        <v>3946</v>
      </c>
      <c r="AF214" s="564" t="s">
        <v>9927</v>
      </c>
      <c r="AT214" s="564" t="s">
        <v>9928</v>
      </c>
      <c r="BH214" s="564" t="s">
        <v>9929</v>
      </c>
      <c r="BV214" s="564" t="s">
        <v>9930</v>
      </c>
      <c r="CJ214" s="564" t="s">
        <v>9931</v>
      </c>
      <c r="CX214" s="564" t="s">
        <v>9932</v>
      </c>
    </row>
    <row r="215" spans="2:112" s="193" customFormat="1" ht="13.5" thickTop="1" x14ac:dyDescent="0.2">
      <c r="B215" s="34"/>
      <c r="C215" s="270" t="str">
        <f ca="1">IF(OFFSET(R215,0,Lang_Order*Lang__B1)="","",OFFSET(R215,0,Lang_Order*Lang__B1))</f>
        <v>Percent of 2020 Population</v>
      </c>
      <c r="D215" s="162" t="e">
        <f>D214/Pop_Total_2020</f>
        <v>#N/A</v>
      </c>
      <c r="E215" s="162" t="e">
        <f>E214/Pop_Total_2020</f>
        <v>#N/A</v>
      </c>
      <c r="F215" s="458" t="e">
        <f>F214/Pop_Total_2020</f>
        <v>#N/A</v>
      </c>
      <c r="G215" s="162" t="e">
        <f>G214/Pop_Total_2020</f>
        <v>#N/A</v>
      </c>
      <c r="H215" s="547" t="e">
        <f>J215</f>
        <v>#N/A</v>
      </c>
      <c r="I215" s="547" t="e">
        <f>J215</f>
        <v>#N/A</v>
      </c>
      <c r="J215" s="547" t="e">
        <f>SUM('B2. Vaccines and Supplies'!$F$95:$G$95)/SUM($D$90:$E$90)</f>
        <v>#N/A</v>
      </c>
      <c r="K215" s="56"/>
      <c r="L215" s="12" t="str">
        <f t="shared" ref="L215" ca="1" si="184">IF(OFFSET(AA215,0,Lang_Order*Lang__B1)="","",OFFSET(AA215,0,Lang_Order*Lang__B1))</f>
        <v>Covax 20% *SUPPLY* allocation assumed to be based on 2020 population (UN WPP 2019 Revision; No vaccine wastage)</v>
      </c>
      <c r="M215" s="12"/>
      <c r="O215" s="564"/>
      <c r="P215" s="564"/>
      <c r="Q215" s="564"/>
      <c r="R215" s="564" t="s">
        <v>3939</v>
      </c>
      <c r="S215" s="564"/>
      <c r="T215" s="564"/>
      <c r="U215" s="564"/>
      <c r="V215" s="564"/>
      <c r="W215" s="564"/>
      <c r="X215" s="564"/>
      <c r="Y215" s="564"/>
      <c r="Z215" s="564"/>
      <c r="AA215" s="564" t="s">
        <v>3940</v>
      </c>
      <c r="AB215" s="564"/>
      <c r="AC215" s="564"/>
      <c r="AD215" s="564"/>
      <c r="AE215" s="564"/>
      <c r="AF215" s="564" t="s">
        <v>9933</v>
      </c>
      <c r="AG215" s="564"/>
      <c r="AH215" s="564"/>
      <c r="AI215" s="564"/>
      <c r="AJ215" s="564"/>
      <c r="AK215" s="564"/>
      <c r="AL215" s="564"/>
      <c r="AM215" s="564"/>
      <c r="AN215" s="564"/>
      <c r="AO215" s="564" t="s">
        <v>9934</v>
      </c>
      <c r="AP215" s="564"/>
      <c r="AQ215" s="564"/>
      <c r="AR215" s="564"/>
      <c r="AS215" s="564"/>
      <c r="AT215" s="564" t="s">
        <v>9935</v>
      </c>
      <c r="AU215" s="564"/>
      <c r="AV215" s="564"/>
      <c r="AW215" s="564"/>
      <c r="AX215" s="564"/>
      <c r="AY215" s="564"/>
      <c r="AZ215" s="564"/>
      <c r="BA215" s="564"/>
      <c r="BB215" s="564"/>
      <c r="BC215" s="564" t="s">
        <v>9936</v>
      </c>
      <c r="BD215" s="564"/>
      <c r="BE215" s="564"/>
      <c r="BF215" s="564"/>
      <c r="BG215" s="564"/>
      <c r="BH215" s="564" t="s">
        <v>9937</v>
      </c>
      <c r="BI215" s="564"/>
      <c r="BJ215" s="564"/>
      <c r="BK215" s="564"/>
      <c r="BL215" s="564"/>
      <c r="BM215" s="564"/>
      <c r="BN215" s="564"/>
      <c r="BO215" s="564"/>
      <c r="BP215" s="564"/>
      <c r="BQ215" s="564" t="s">
        <v>9938</v>
      </c>
      <c r="BR215" s="564"/>
      <c r="BS215" s="564"/>
      <c r="BT215" s="564"/>
      <c r="BU215" s="564"/>
      <c r="BV215" s="564" t="s">
        <v>9939</v>
      </c>
      <c r="BW215" s="564"/>
      <c r="BX215" s="564"/>
      <c r="BY215" s="564"/>
      <c r="BZ215" s="564"/>
      <c r="CA215" s="564"/>
      <c r="CB215" s="564"/>
      <c r="CC215" s="564"/>
      <c r="CD215" s="564"/>
      <c r="CE215" s="564" t="s">
        <v>9940</v>
      </c>
      <c r="CF215" s="564"/>
      <c r="CG215" s="564"/>
      <c r="CH215" s="564"/>
      <c r="CI215" s="564"/>
      <c r="CJ215" s="564" t="s">
        <v>9941</v>
      </c>
      <c r="CK215" s="564"/>
      <c r="CL215" s="564"/>
      <c r="CM215" s="564"/>
      <c r="CN215" s="564"/>
      <c r="CO215" s="564"/>
      <c r="CP215" s="564"/>
      <c r="CQ215" s="564"/>
      <c r="CR215" s="564"/>
      <c r="CS215" s="564" t="s">
        <v>9942</v>
      </c>
      <c r="CT215" s="564"/>
      <c r="CU215" s="564"/>
      <c r="CV215" s="564"/>
      <c r="CW215" s="564"/>
      <c r="CX215" s="564" t="s">
        <v>9943</v>
      </c>
      <c r="CY215" s="564"/>
      <c r="CZ215" s="564"/>
      <c r="DA215" s="564"/>
      <c r="DB215" s="564"/>
      <c r="DC215" s="564"/>
      <c r="DD215" s="564"/>
      <c r="DE215" s="564"/>
      <c r="DF215" s="564"/>
      <c r="DG215" s="564" t="s">
        <v>9944</v>
      </c>
      <c r="DH215" s="564"/>
    </row>
    <row r="216" spans="2:112" ht="12.75" x14ac:dyDescent="0.2">
      <c r="B216" s="34"/>
      <c r="D216" s="15"/>
      <c r="L216" s="15"/>
      <c r="M216" s="567"/>
      <c r="CS216" s="564" t="s">
        <v>2642</v>
      </c>
    </row>
    <row r="217" spans="2:112" s="194" customFormat="1" x14ac:dyDescent="0.25">
      <c r="B217" s="112" t="str">
        <f ca="1">IF(OFFSET(Q217,0,Lang_Order*Lang__B1)="","",OFFSET(Q217,0,Lang_Order*Lang__B1))</f>
        <v>B1.4.2 Summary - Vaccine courses needed in 2021 Stage 1 (The first 3% ~ H1 2021)</v>
      </c>
      <c r="C217" s="210"/>
      <c r="D217" s="112"/>
      <c r="E217" s="112"/>
      <c r="F217" s="112"/>
      <c r="G217" s="112"/>
      <c r="H217" s="112"/>
      <c r="I217" s="112"/>
      <c r="J217" s="211"/>
      <c r="K217" s="212"/>
      <c r="L217" s="112"/>
      <c r="M217" s="112"/>
      <c r="O217" s="564"/>
      <c r="P217" s="564"/>
      <c r="Q217" s="564" t="s">
        <v>14256</v>
      </c>
      <c r="R217" s="564"/>
      <c r="S217" s="564"/>
      <c r="T217" s="564"/>
      <c r="U217" s="564"/>
      <c r="V217" s="564"/>
      <c r="W217" s="564"/>
      <c r="X217" s="564"/>
      <c r="Y217" s="564"/>
      <c r="Z217" s="564"/>
      <c r="AA217" s="564"/>
      <c r="AB217" s="564"/>
      <c r="AC217" s="564"/>
      <c r="AD217" s="564"/>
      <c r="AE217" s="564" t="s">
        <v>9945</v>
      </c>
      <c r="AF217" s="564"/>
      <c r="AG217" s="564"/>
      <c r="AH217" s="564"/>
      <c r="AI217" s="564"/>
      <c r="AJ217" s="564"/>
      <c r="AK217" s="564"/>
      <c r="AL217" s="564"/>
      <c r="AM217" s="564"/>
      <c r="AN217" s="564"/>
      <c r="AO217" s="564"/>
      <c r="AP217" s="564"/>
      <c r="AQ217" s="564"/>
      <c r="AR217" s="564"/>
      <c r="AS217" s="564" t="s">
        <v>9946</v>
      </c>
      <c r="AT217" s="564"/>
      <c r="AU217" s="564"/>
      <c r="AV217" s="564"/>
      <c r="AW217" s="564"/>
      <c r="AX217" s="564"/>
      <c r="AY217" s="564"/>
      <c r="AZ217" s="564"/>
      <c r="BA217" s="564"/>
      <c r="BB217" s="564"/>
      <c r="BC217" s="564"/>
      <c r="BD217" s="564"/>
      <c r="BE217" s="564"/>
      <c r="BF217" s="564"/>
      <c r="BG217" s="564" t="s">
        <v>9947</v>
      </c>
      <c r="BH217" s="564"/>
      <c r="BI217" s="564"/>
      <c r="BJ217" s="564"/>
      <c r="BK217" s="564"/>
      <c r="BL217" s="564"/>
      <c r="BM217" s="564"/>
      <c r="BN217" s="564"/>
      <c r="BO217" s="564"/>
      <c r="BP217" s="564"/>
      <c r="BQ217" s="564"/>
      <c r="BR217" s="564"/>
      <c r="BS217" s="564"/>
      <c r="BT217" s="564"/>
      <c r="BU217" s="564" t="s">
        <v>9948</v>
      </c>
      <c r="BV217" s="564"/>
      <c r="BW217" s="564"/>
      <c r="BX217" s="564"/>
      <c r="BY217" s="564"/>
      <c r="BZ217" s="564"/>
      <c r="CA217" s="564"/>
      <c r="CB217" s="564"/>
      <c r="CC217" s="564"/>
      <c r="CD217" s="564"/>
      <c r="CE217" s="564"/>
      <c r="CF217" s="564"/>
      <c r="CG217" s="564"/>
      <c r="CH217" s="564"/>
      <c r="CI217" s="564" t="s">
        <v>9949</v>
      </c>
      <c r="CJ217" s="564"/>
      <c r="CK217" s="564"/>
      <c r="CL217" s="564"/>
      <c r="CM217" s="564"/>
      <c r="CN217" s="564"/>
      <c r="CO217" s="564"/>
      <c r="CP217" s="564"/>
      <c r="CQ217" s="564"/>
      <c r="CR217" s="564"/>
      <c r="CS217" s="564"/>
      <c r="CT217" s="564"/>
      <c r="CU217" s="564"/>
      <c r="CV217" s="564"/>
      <c r="CW217" s="564" t="s">
        <v>9950</v>
      </c>
      <c r="CX217" s="564"/>
      <c r="CY217" s="564"/>
      <c r="CZ217" s="564"/>
      <c r="DA217" s="564"/>
      <c r="DB217" s="564"/>
      <c r="DC217" s="564"/>
      <c r="DD217" s="564"/>
      <c r="DE217" s="564"/>
      <c r="DF217" s="564"/>
      <c r="DG217" s="564"/>
      <c r="DH217" s="564"/>
    </row>
    <row r="218" spans="2:112" s="194" customFormat="1" ht="12.75" x14ac:dyDescent="0.2">
      <c r="L218" s="567"/>
      <c r="M218" s="567"/>
      <c r="O218" s="564"/>
      <c r="P218" s="564"/>
      <c r="Q218" s="564"/>
      <c r="R218" s="564"/>
      <c r="S218" s="564"/>
      <c r="T218" s="564"/>
      <c r="U218" s="564"/>
      <c r="V218" s="564"/>
      <c r="W218" s="564"/>
      <c r="X218" s="564"/>
      <c r="Y218" s="564"/>
      <c r="Z218" s="564"/>
      <c r="AA218" s="564"/>
      <c r="AB218" s="564"/>
      <c r="AC218" s="564"/>
      <c r="AD218" s="564"/>
      <c r="AE218" s="564"/>
      <c r="AF218" s="564"/>
      <c r="AG218" s="564"/>
      <c r="AH218" s="564"/>
      <c r="AI218" s="564"/>
      <c r="AJ218" s="564"/>
      <c r="AK218" s="564"/>
      <c r="AL218" s="564"/>
      <c r="AM218" s="564"/>
      <c r="AN218" s="564"/>
      <c r="AO218" s="564"/>
      <c r="AP218" s="564"/>
      <c r="AQ218" s="564"/>
      <c r="AR218" s="564"/>
      <c r="AS218" s="564"/>
      <c r="AT218" s="564"/>
      <c r="AU218" s="564"/>
      <c r="AV218" s="564"/>
      <c r="AW218" s="564"/>
      <c r="AX218" s="564"/>
      <c r="AY218" s="564"/>
      <c r="AZ218" s="564"/>
      <c r="BA218" s="564"/>
      <c r="BB218" s="564"/>
      <c r="BC218" s="564"/>
      <c r="BD218" s="564"/>
      <c r="BE218" s="564"/>
      <c r="BF218" s="564"/>
      <c r="BG218" s="564"/>
      <c r="BH218" s="564"/>
      <c r="BI218" s="564"/>
      <c r="BJ218" s="564"/>
      <c r="BK218" s="564"/>
      <c r="BL218" s="564"/>
      <c r="BM218" s="564"/>
      <c r="BN218" s="564"/>
      <c r="BO218" s="564"/>
      <c r="BP218" s="564"/>
      <c r="BQ218" s="564"/>
      <c r="BR218" s="564"/>
      <c r="BS218" s="564"/>
      <c r="BT218" s="564"/>
      <c r="BU218" s="564"/>
      <c r="BV218" s="564"/>
      <c r="BW218" s="564"/>
      <c r="BX218" s="564"/>
      <c r="BY218" s="564"/>
      <c r="BZ218" s="564"/>
      <c r="CA218" s="564"/>
      <c r="CB218" s="564"/>
      <c r="CC218" s="564"/>
      <c r="CD218" s="564"/>
      <c r="CE218" s="564"/>
      <c r="CF218" s="564"/>
      <c r="CG218" s="564"/>
      <c r="CH218" s="564"/>
      <c r="CI218" s="564"/>
      <c r="CJ218" s="564"/>
      <c r="CK218" s="564"/>
      <c r="CL218" s="564"/>
      <c r="CM218" s="564"/>
      <c r="CN218" s="564"/>
      <c r="CO218" s="564"/>
      <c r="CP218" s="564"/>
      <c r="CQ218" s="564"/>
      <c r="CR218" s="564"/>
      <c r="CS218" s="564"/>
      <c r="CT218" s="564"/>
      <c r="CU218" s="564"/>
      <c r="CV218" s="564"/>
      <c r="CW218" s="564"/>
      <c r="CX218" s="564"/>
      <c r="CY218" s="564"/>
      <c r="CZ218" s="564"/>
      <c r="DA218" s="564"/>
      <c r="DB218" s="564"/>
      <c r="DC218" s="564"/>
      <c r="DD218" s="564"/>
      <c r="DE218" s="564"/>
      <c r="DF218" s="564"/>
      <c r="DG218" s="564"/>
      <c r="DH218" s="564"/>
    </row>
    <row r="219" spans="2:112" s="194" customFormat="1" x14ac:dyDescent="0.25">
      <c r="D219" s="698" t="str">
        <f t="shared" ref="D219:G220" ca="1" si="185">IF(OFFSET(S219,0,Lang_Order*Lang__B1)="","",OFFSET(S219,0,Lang_Order*Lang__B1))</f>
        <v>Needs (Demand-sde estimates)</v>
      </c>
      <c r="E219" s="698" t="str">
        <f t="shared" ca="1" si="185"/>
        <v/>
      </c>
      <c r="F219" s="698" t="str">
        <f t="shared" ca="1" si="185"/>
        <v/>
      </c>
      <c r="G219" s="698" t="str">
        <f t="shared" ca="1" si="185"/>
        <v/>
      </c>
      <c r="K219" s="44"/>
      <c r="L219" s="567"/>
      <c r="M219" s="567"/>
      <c r="O219" s="564"/>
      <c r="P219" s="564"/>
      <c r="Q219" s="564"/>
      <c r="R219" s="564"/>
      <c r="S219" s="564" t="s">
        <v>3208</v>
      </c>
      <c r="T219" s="564"/>
      <c r="U219" s="564"/>
      <c r="V219" s="564"/>
      <c r="W219" s="564"/>
      <c r="X219" s="564"/>
      <c r="Y219" s="564"/>
      <c r="Z219" s="564"/>
      <c r="AA219" s="564"/>
      <c r="AB219" s="564"/>
      <c r="AC219" s="564"/>
      <c r="AD219" s="564"/>
      <c r="AE219" s="564"/>
      <c r="AF219" s="564"/>
      <c r="AG219" s="564" t="s">
        <v>9886</v>
      </c>
      <c r="AH219" s="564"/>
      <c r="AI219" s="564"/>
      <c r="AJ219" s="564"/>
      <c r="AK219" s="564"/>
      <c r="AL219" s="564"/>
      <c r="AM219" s="564"/>
      <c r="AN219" s="564"/>
      <c r="AO219" s="564"/>
      <c r="AP219" s="564"/>
      <c r="AQ219" s="564"/>
      <c r="AR219" s="564"/>
      <c r="AS219" s="564"/>
      <c r="AT219" s="564"/>
      <c r="AU219" s="564" t="s">
        <v>9888</v>
      </c>
      <c r="AV219" s="564"/>
      <c r="AW219" s="564"/>
      <c r="AX219" s="564"/>
      <c r="AY219" s="564"/>
      <c r="AZ219" s="564"/>
      <c r="BA219" s="564"/>
      <c r="BB219" s="564"/>
      <c r="BC219" s="564"/>
      <c r="BD219" s="564"/>
      <c r="BE219" s="564"/>
      <c r="BF219" s="564"/>
      <c r="BG219" s="564"/>
      <c r="BH219" s="564"/>
      <c r="BI219" s="564" t="s">
        <v>9890</v>
      </c>
      <c r="BJ219" s="564"/>
      <c r="BK219" s="564"/>
      <c r="BL219" s="564"/>
      <c r="BM219" s="564"/>
      <c r="BN219" s="564"/>
      <c r="BO219" s="564"/>
      <c r="BP219" s="564"/>
      <c r="BQ219" s="564"/>
      <c r="BR219" s="564"/>
      <c r="BS219" s="564"/>
      <c r="BT219" s="564"/>
      <c r="BU219" s="564"/>
      <c r="BV219" s="564"/>
      <c r="BW219" s="564" t="s">
        <v>9892</v>
      </c>
      <c r="BX219" s="564"/>
      <c r="BY219" s="564"/>
      <c r="BZ219" s="564"/>
      <c r="CA219" s="564"/>
      <c r="CB219" s="564"/>
      <c r="CC219" s="564"/>
      <c r="CD219" s="564"/>
      <c r="CE219" s="564"/>
      <c r="CF219" s="564"/>
      <c r="CG219" s="564"/>
      <c r="CH219" s="564"/>
      <c r="CI219" s="564"/>
      <c r="CJ219" s="564"/>
      <c r="CK219" s="564" t="s">
        <v>9951</v>
      </c>
      <c r="CL219" s="564"/>
      <c r="CM219" s="564"/>
      <c r="CN219" s="564"/>
      <c r="CO219" s="564"/>
      <c r="CP219" s="564"/>
      <c r="CQ219" s="564"/>
      <c r="CR219" s="564"/>
      <c r="CS219" s="564"/>
      <c r="CT219" s="564"/>
      <c r="CU219" s="564"/>
      <c r="CV219" s="564"/>
      <c r="CW219" s="564"/>
      <c r="CX219" s="564"/>
      <c r="CY219" s="564" t="s">
        <v>9952</v>
      </c>
      <c r="CZ219" s="564"/>
      <c r="DA219" s="564"/>
      <c r="DB219" s="564"/>
      <c r="DC219" s="564"/>
      <c r="DD219" s="564"/>
      <c r="DE219" s="564"/>
      <c r="DF219" s="564"/>
      <c r="DG219" s="564"/>
      <c r="DH219" s="564"/>
    </row>
    <row r="220" spans="2:112" s="194" customFormat="1" ht="43.5" customHeight="1" x14ac:dyDescent="0.25">
      <c r="C220" s="55" t="str">
        <f ca="1">IF(OFFSET(R220,0,Lang_Order*Lang__B1)="","",OFFSET(R220,0,Lang_Order*Lang__B1))</f>
        <v>Needs estimation parameters --&gt;</v>
      </c>
      <c r="D220" s="200" t="str">
        <f t="shared" ca="1" si="185"/>
        <v>Full Uptake + Wastage</v>
      </c>
      <c r="E220" s="200" t="str">
        <f t="shared" ca="1" si="185"/>
        <v>Full Uptake + No Wastage</v>
      </c>
      <c r="F220" s="454" t="str">
        <f t="shared" ca="1" si="185"/>
        <v>Expected Uptake + Wastage</v>
      </c>
      <c r="G220" s="200" t="str">
        <f t="shared" ca="1" si="185"/>
        <v>Expected Uptake + No Wastage</v>
      </c>
      <c r="L220" s="567"/>
      <c r="M220" s="567"/>
      <c r="O220" s="564"/>
      <c r="P220" s="564"/>
      <c r="Q220" s="564"/>
      <c r="R220" s="564" t="s">
        <v>2882</v>
      </c>
      <c r="S220" s="564" t="s">
        <v>2812</v>
      </c>
      <c r="T220" s="564" t="s">
        <v>2813</v>
      </c>
      <c r="U220" s="564" t="s">
        <v>2814</v>
      </c>
      <c r="V220" s="564" t="s">
        <v>2815</v>
      </c>
      <c r="W220" s="564"/>
      <c r="X220" s="564"/>
      <c r="Y220" s="564"/>
      <c r="Z220" s="564"/>
      <c r="AA220" s="564"/>
      <c r="AB220" s="564"/>
      <c r="AC220" s="564"/>
      <c r="AD220" s="564"/>
      <c r="AE220" s="564"/>
      <c r="AF220" s="564" t="s">
        <v>9898</v>
      </c>
      <c r="AG220" s="564" t="s">
        <v>9899</v>
      </c>
      <c r="AH220" s="564" t="s">
        <v>9899</v>
      </c>
      <c r="AI220" s="564" t="s">
        <v>9901</v>
      </c>
      <c r="AJ220" s="564" t="s">
        <v>9902</v>
      </c>
      <c r="AK220" s="564"/>
      <c r="AL220" s="564"/>
      <c r="AM220" s="564"/>
      <c r="AN220" s="564"/>
      <c r="AO220" s="564"/>
      <c r="AP220" s="564"/>
      <c r="AQ220" s="564"/>
      <c r="AR220" s="564"/>
      <c r="AS220" s="564"/>
      <c r="AT220" s="564" t="s">
        <v>9903</v>
      </c>
      <c r="AU220" s="564" t="s">
        <v>9904</v>
      </c>
      <c r="AV220" s="564" t="s">
        <v>9905</v>
      </c>
      <c r="AW220" s="564" t="s">
        <v>9906</v>
      </c>
      <c r="AX220" s="564" t="s">
        <v>9907</v>
      </c>
      <c r="AY220" s="564"/>
      <c r="AZ220" s="564"/>
      <c r="BA220" s="564"/>
      <c r="BB220" s="564"/>
      <c r="BC220" s="564"/>
      <c r="BD220" s="564"/>
      <c r="BE220" s="564"/>
      <c r="BF220" s="564"/>
      <c r="BG220" s="564"/>
      <c r="BH220" s="564" t="s">
        <v>9908</v>
      </c>
      <c r="BI220" s="564" t="s">
        <v>9909</v>
      </c>
      <c r="BJ220" s="564" t="s">
        <v>9910</v>
      </c>
      <c r="BK220" s="564" t="s">
        <v>9911</v>
      </c>
      <c r="BL220" s="564" t="s">
        <v>9912</v>
      </c>
      <c r="BM220" s="564"/>
      <c r="BN220" s="564"/>
      <c r="BO220" s="564"/>
      <c r="BP220" s="564"/>
      <c r="BQ220" s="564"/>
      <c r="BR220" s="564"/>
      <c r="BS220" s="564"/>
      <c r="BT220" s="564"/>
      <c r="BU220" s="564"/>
      <c r="BV220" s="564" t="s">
        <v>9913</v>
      </c>
      <c r="BW220" s="564" t="s">
        <v>9914</v>
      </c>
      <c r="BX220" s="564" t="s">
        <v>9915</v>
      </c>
      <c r="BY220" s="564" t="s">
        <v>9916</v>
      </c>
      <c r="BZ220" s="564" t="s">
        <v>9917</v>
      </c>
      <c r="CA220" s="564"/>
      <c r="CB220" s="564"/>
      <c r="CC220" s="564"/>
      <c r="CD220" s="564"/>
      <c r="CE220" s="564"/>
      <c r="CF220" s="564"/>
      <c r="CG220" s="564"/>
      <c r="CH220" s="564"/>
      <c r="CI220" s="564"/>
      <c r="CJ220" s="564" t="s">
        <v>9918</v>
      </c>
      <c r="CK220" s="564" t="s">
        <v>9919</v>
      </c>
      <c r="CL220" s="564" t="s">
        <v>9953</v>
      </c>
      <c r="CM220" s="564" t="s">
        <v>9920</v>
      </c>
      <c r="CN220" s="564" t="s">
        <v>9921</v>
      </c>
      <c r="CO220" s="564"/>
      <c r="CP220" s="564"/>
      <c r="CQ220" s="564"/>
      <c r="CR220" s="564"/>
      <c r="CS220" s="564"/>
      <c r="CT220" s="564"/>
      <c r="CU220" s="564"/>
      <c r="CV220" s="564"/>
      <c r="CW220" s="564"/>
      <c r="CX220" s="564" t="s">
        <v>9922</v>
      </c>
      <c r="CY220" s="564" t="s">
        <v>9923</v>
      </c>
      <c r="CZ220" s="564" t="s">
        <v>9924</v>
      </c>
      <c r="DA220" s="564" t="s">
        <v>9925</v>
      </c>
      <c r="DB220" s="564" t="s">
        <v>9926</v>
      </c>
      <c r="DC220" s="564"/>
      <c r="DD220" s="564"/>
      <c r="DE220" s="564"/>
      <c r="DF220" s="564"/>
      <c r="DG220" s="564"/>
      <c r="DH220" s="564"/>
    </row>
    <row r="221" spans="2:112" s="194" customFormat="1" ht="12.75" x14ac:dyDescent="0.2">
      <c r="B221" s="34"/>
      <c r="C221" s="5" t="str">
        <f>CONCATENATE("",DM1_Vaccine)</f>
        <v/>
      </c>
      <c r="D221" s="26" t="e">
        <f>D189</f>
        <v>#N/A</v>
      </c>
      <c r="E221" s="26" t="e">
        <f>D164</f>
        <v>#N/A</v>
      </c>
      <c r="F221" s="455" t="e">
        <f>D196</f>
        <v>#N/A</v>
      </c>
      <c r="G221" s="26" t="e">
        <f>D181</f>
        <v>#N/A</v>
      </c>
      <c r="J221" s="26"/>
      <c r="K221" s="56"/>
      <c r="L221" s="567"/>
      <c r="M221" s="567"/>
      <c r="O221" s="564"/>
      <c r="P221" s="564"/>
      <c r="Q221" s="564"/>
      <c r="R221" s="564"/>
      <c r="S221" s="564"/>
      <c r="T221" s="564"/>
      <c r="U221" s="564"/>
      <c r="V221" s="564"/>
      <c r="W221" s="564"/>
      <c r="X221" s="564"/>
      <c r="Y221" s="564"/>
      <c r="Z221" s="564"/>
      <c r="AA221" s="564"/>
      <c r="AB221" s="564"/>
      <c r="AC221" s="564"/>
      <c r="AD221" s="564"/>
      <c r="AE221" s="564"/>
      <c r="AF221" s="564"/>
      <c r="AG221" s="564"/>
      <c r="AH221" s="564"/>
      <c r="AI221" s="564"/>
      <c r="AJ221" s="564"/>
      <c r="AK221" s="564"/>
      <c r="AL221" s="564"/>
      <c r="AM221" s="564"/>
      <c r="AN221" s="564"/>
      <c r="AO221" s="564"/>
      <c r="AP221" s="564"/>
      <c r="AQ221" s="564"/>
      <c r="AR221" s="564"/>
      <c r="AS221" s="564"/>
      <c r="AT221" s="564"/>
      <c r="AU221" s="564"/>
      <c r="AV221" s="564"/>
      <c r="AW221" s="564"/>
      <c r="AX221" s="564"/>
      <c r="AY221" s="564"/>
      <c r="AZ221" s="564"/>
      <c r="BA221" s="564"/>
      <c r="BB221" s="564"/>
      <c r="BC221" s="564"/>
      <c r="BD221" s="564"/>
      <c r="BE221" s="564"/>
      <c r="BF221" s="564"/>
      <c r="BG221" s="564"/>
      <c r="BH221" s="564"/>
      <c r="BI221" s="564"/>
      <c r="BJ221" s="564"/>
      <c r="BK221" s="564"/>
      <c r="BL221" s="564"/>
      <c r="BM221" s="564"/>
      <c r="BN221" s="564"/>
      <c r="BO221" s="564"/>
      <c r="BP221" s="564"/>
      <c r="BQ221" s="564"/>
      <c r="BR221" s="564"/>
      <c r="BS221" s="564"/>
      <c r="BT221" s="564"/>
      <c r="BU221" s="564"/>
      <c r="BV221" s="564"/>
      <c r="BW221" s="564"/>
      <c r="BX221" s="564"/>
      <c r="BY221" s="564"/>
      <c r="BZ221" s="564"/>
      <c r="CA221" s="564"/>
      <c r="CB221" s="564"/>
      <c r="CC221" s="564"/>
      <c r="CD221" s="564"/>
      <c r="CE221" s="564"/>
      <c r="CF221" s="564"/>
      <c r="CG221" s="564"/>
      <c r="CH221" s="564"/>
      <c r="CI221" s="564"/>
      <c r="CJ221" s="564"/>
      <c r="CK221" s="564"/>
      <c r="CL221" s="564"/>
      <c r="CM221" s="564"/>
      <c r="CN221" s="564"/>
      <c r="CO221" s="564"/>
      <c r="CP221" s="564"/>
      <c r="CQ221" s="564"/>
      <c r="CR221" s="564"/>
      <c r="CS221" s="564"/>
      <c r="CT221" s="564"/>
      <c r="CU221" s="564"/>
      <c r="CV221" s="564"/>
      <c r="CW221" s="564"/>
      <c r="CX221" s="564"/>
      <c r="CY221" s="564"/>
      <c r="CZ221" s="564"/>
      <c r="DA221" s="564"/>
      <c r="DB221" s="564"/>
      <c r="DC221" s="564"/>
      <c r="DD221" s="564"/>
      <c r="DE221" s="564"/>
      <c r="DF221" s="564"/>
      <c r="DG221" s="564"/>
      <c r="DH221" s="564"/>
    </row>
    <row r="222" spans="2:112" s="194" customFormat="1" ht="12.75" x14ac:dyDescent="0.2">
      <c r="B222" s="34"/>
      <c r="C222" s="105" t="str">
        <f>CONCATENATE("",DM2_Vaccine)</f>
        <v/>
      </c>
      <c r="D222" s="26" t="e">
        <f>D190</f>
        <v>#N/A</v>
      </c>
      <c r="E222" s="26" t="e">
        <f>D165</f>
        <v>#N/A</v>
      </c>
      <c r="F222" s="455" t="e">
        <f>D197</f>
        <v>#N/A</v>
      </c>
      <c r="G222" s="26" t="e">
        <f>D182</f>
        <v>#N/A</v>
      </c>
      <c r="H222" s="201"/>
      <c r="I222" s="201"/>
      <c r="J222" s="201"/>
      <c r="K222" s="202"/>
      <c r="L222" s="567"/>
      <c r="M222" s="567"/>
      <c r="O222" s="564"/>
      <c r="P222" s="564"/>
      <c r="Q222" s="564"/>
      <c r="R222" s="564"/>
      <c r="S222" s="564"/>
      <c r="T222" s="564"/>
      <c r="U222" s="564"/>
      <c r="V222" s="564"/>
      <c r="W222" s="564"/>
      <c r="X222" s="564"/>
      <c r="Y222" s="564"/>
      <c r="Z222" s="564"/>
      <c r="AA222" s="564"/>
      <c r="AB222" s="564"/>
      <c r="AC222" s="564"/>
      <c r="AD222" s="564"/>
      <c r="AE222" s="564"/>
      <c r="AF222" s="564"/>
      <c r="AG222" s="564"/>
      <c r="AH222" s="564"/>
      <c r="AI222" s="564"/>
      <c r="AJ222" s="564"/>
      <c r="AK222" s="564"/>
      <c r="AL222" s="564"/>
      <c r="AM222" s="564"/>
      <c r="AN222" s="564"/>
      <c r="AO222" s="564"/>
      <c r="AP222" s="564"/>
      <c r="AQ222" s="564"/>
      <c r="AR222" s="564"/>
      <c r="AS222" s="564"/>
      <c r="AT222" s="564"/>
      <c r="AU222" s="564"/>
      <c r="AV222" s="564"/>
      <c r="AW222" s="564"/>
      <c r="AX222" s="564"/>
      <c r="AY222" s="564"/>
      <c r="AZ222" s="564"/>
      <c r="BA222" s="564"/>
      <c r="BB222" s="564"/>
      <c r="BC222" s="564"/>
      <c r="BD222" s="564"/>
      <c r="BE222" s="564"/>
      <c r="BF222" s="564"/>
      <c r="BG222" s="564"/>
      <c r="BH222" s="564"/>
      <c r="BI222" s="564"/>
      <c r="BJ222" s="564"/>
      <c r="BK222" s="564"/>
      <c r="BL222" s="564"/>
      <c r="BM222" s="564"/>
      <c r="BN222" s="564"/>
      <c r="BO222" s="564"/>
      <c r="BP222" s="564"/>
      <c r="BQ222" s="564"/>
      <c r="BR222" s="564"/>
      <c r="BS222" s="564"/>
      <c r="BT222" s="564"/>
      <c r="BU222" s="564"/>
      <c r="BV222" s="564"/>
      <c r="BW222" s="564"/>
      <c r="BX222" s="564"/>
      <c r="BY222" s="564"/>
      <c r="BZ222" s="564"/>
      <c r="CA222" s="564"/>
      <c r="CB222" s="564"/>
      <c r="CC222" s="564"/>
      <c r="CD222" s="564"/>
      <c r="CE222" s="564"/>
      <c r="CF222" s="564"/>
      <c r="CG222" s="564"/>
      <c r="CH222" s="564"/>
      <c r="CI222" s="564"/>
      <c r="CJ222" s="564"/>
      <c r="CK222" s="564"/>
      <c r="CL222" s="564"/>
      <c r="CM222" s="564"/>
      <c r="CN222" s="564"/>
      <c r="CO222" s="564"/>
      <c r="CP222" s="564"/>
      <c r="CQ222" s="564"/>
      <c r="CR222" s="564"/>
      <c r="CS222" s="564"/>
      <c r="CT222" s="564"/>
      <c r="CU222" s="564"/>
      <c r="CV222" s="564"/>
      <c r="CW222" s="564"/>
      <c r="CX222" s="564"/>
      <c r="CY222" s="564"/>
      <c r="CZ222" s="564"/>
      <c r="DA222" s="564"/>
      <c r="DB222" s="564"/>
      <c r="DC222" s="564"/>
      <c r="DD222" s="564"/>
      <c r="DE222" s="564"/>
      <c r="DF222" s="564"/>
      <c r="DG222" s="564"/>
      <c r="DH222" s="564"/>
    </row>
    <row r="223" spans="2:112" s="194" customFormat="1" ht="12.75" x14ac:dyDescent="0.2">
      <c r="B223" s="34"/>
      <c r="C223" s="5" t="str">
        <f>CONCATENATE("",DM3_Vaccine)</f>
        <v/>
      </c>
      <c r="D223" s="26" t="e">
        <f>D191</f>
        <v>#N/A</v>
      </c>
      <c r="E223" s="26" t="e">
        <f>D166</f>
        <v>#N/A</v>
      </c>
      <c r="F223" s="455" t="e">
        <f>D198</f>
        <v>#N/A</v>
      </c>
      <c r="G223" s="26" t="e">
        <f>D183</f>
        <v>#N/A</v>
      </c>
      <c r="H223" s="26"/>
      <c r="I223" s="26"/>
      <c r="J223" s="26"/>
      <c r="K223" s="56"/>
      <c r="L223" s="567"/>
      <c r="M223" s="567"/>
      <c r="O223" s="564"/>
      <c r="P223" s="564"/>
      <c r="Q223" s="564"/>
      <c r="R223" s="564"/>
      <c r="S223" s="564"/>
      <c r="T223" s="564"/>
      <c r="U223" s="564"/>
      <c r="V223" s="564"/>
      <c r="W223" s="564"/>
      <c r="X223" s="564"/>
      <c r="Y223" s="564"/>
      <c r="Z223" s="564"/>
      <c r="AA223" s="564"/>
      <c r="AB223" s="564"/>
      <c r="AC223" s="564"/>
      <c r="AD223" s="564"/>
      <c r="AE223" s="564"/>
      <c r="AF223" s="564"/>
      <c r="AG223" s="564"/>
      <c r="AH223" s="564"/>
      <c r="AI223" s="564"/>
      <c r="AJ223" s="564"/>
      <c r="AK223" s="564"/>
      <c r="AL223" s="564"/>
      <c r="AM223" s="564"/>
      <c r="AN223" s="564"/>
      <c r="AO223" s="564"/>
      <c r="AP223" s="564"/>
      <c r="AQ223" s="564"/>
      <c r="AR223" s="564"/>
      <c r="AS223" s="564"/>
      <c r="AT223" s="564"/>
      <c r="AU223" s="564"/>
      <c r="AV223" s="564"/>
      <c r="AW223" s="564"/>
      <c r="AX223" s="564"/>
      <c r="AY223" s="564"/>
      <c r="AZ223" s="564"/>
      <c r="BA223" s="564"/>
      <c r="BB223" s="564"/>
      <c r="BC223" s="564"/>
      <c r="BD223" s="564"/>
      <c r="BE223" s="564"/>
      <c r="BF223" s="564"/>
      <c r="BG223" s="564"/>
      <c r="BH223" s="564"/>
      <c r="BI223" s="564"/>
      <c r="BJ223" s="564"/>
      <c r="BK223" s="564"/>
      <c r="BL223" s="564"/>
      <c r="BM223" s="564"/>
      <c r="BN223" s="564"/>
      <c r="BO223" s="564"/>
      <c r="BP223" s="564"/>
      <c r="BQ223" s="564"/>
      <c r="BR223" s="564"/>
      <c r="BS223" s="564"/>
      <c r="BT223" s="564"/>
      <c r="BU223" s="564"/>
      <c r="BV223" s="564"/>
      <c r="BW223" s="564"/>
      <c r="BX223" s="564"/>
      <c r="BY223" s="564"/>
      <c r="BZ223" s="564"/>
      <c r="CA223" s="564"/>
      <c r="CB223" s="564"/>
      <c r="CC223" s="564"/>
      <c r="CD223" s="564"/>
      <c r="CE223" s="564"/>
      <c r="CF223" s="564"/>
      <c r="CG223" s="564"/>
      <c r="CH223" s="564"/>
      <c r="CI223" s="564"/>
      <c r="CJ223" s="564"/>
      <c r="CK223" s="564"/>
      <c r="CL223" s="564"/>
      <c r="CM223" s="564"/>
      <c r="CN223" s="564"/>
      <c r="CO223" s="564"/>
      <c r="CP223" s="564"/>
      <c r="CQ223" s="564"/>
      <c r="CR223" s="564"/>
      <c r="CS223" s="564"/>
      <c r="CT223" s="564"/>
      <c r="CU223" s="564"/>
      <c r="CV223" s="564"/>
      <c r="CW223" s="564"/>
      <c r="CX223" s="564"/>
      <c r="CY223" s="564"/>
      <c r="CZ223" s="564"/>
      <c r="DA223" s="564"/>
      <c r="DB223" s="564"/>
      <c r="DC223" s="564"/>
      <c r="DD223" s="564"/>
      <c r="DE223" s="564"/>
      <c r="DF223" s="564"/>
      <c r="DG223" s="564"/>
      <c r="DH223" s="564"/>
    </row>
    <row r="224" spans="2:112" s="194" customFormat="1" ht="12.75" x14ac:dyDescent="0.2">
      <c r="B224" s="34"/>
      <c r="C224" s="5" t="str">
        <f>CONCATENATE("",DM4_Vaccine)</f>
        <v/>
      </c>
      <c r="D224" s="26" t="e">
        <f>D192</f>
        <v>#N/A</v>
      </c>
      <c r="E224" s="26" t="e">
        <f>D167</f>
        <v>#N/A</v>
      </c>
      <c r="F224" s="455" t="e">
        <f>D199</f>
        <v>#N/A</v>
      </c>
      <c r="G224" s="26" t="e">
        <f>D184</f>
        <v>#N/A</v>
      </c>
      <c r="H224" s="26"/>
      <c r="I224" s="26"/>
      <c r="J224" s="26"/>
      <c r="K224" s="56"/>
      <c r="L224" s="567"/>
      <c r="M224" s="567"/>
      <c r="O224" s="564"/>
      <c r="P224" s="564"/>
      <c r="Q224" s="564"/>
      <c r="R224" s="564"/>
      <c r="S224" s="564"/>
      <c r="T224" s="564"/>
      <c r="U224" s="564"/>
      <c r="V224" s="564"/>
      <c r="W224" s="564"/>
      <c r="X224" s="564"/>
      <c r="Y224" s="564"/>
      <c r="Z224" s="564"/>
      <c r="AA224" s="564"/>
      <c r="AB224" s="564"/>
      <c r="AC224" s="564"/>
      <c r="AD224" s="564"/>
      <c r="AE224" s="564"/>
      <c r="AF224" s="564"/>
      <c r="AG224" s="564"/>
      <c r="AH224" s="564"/>
      <c r="AI224" s="564"/>
      <c r="AJ224" s="564"/>
      <c r="AK224" s="564"/>
      <c r="AL224" s="564"/>
      <c r="AM224" s="564"/>
      <c r="AN224" s="564"/>
      <c r="AO224" s="564"/>
      <c r="AP224" s="564"/>
      <c r="AQ224" s="564"/>
      <c r="AR224" s="564"/>
      <c r="AS224" s="564"/>
      <c r="AT224" s="564"/>
      <c r="AU224" s="564"/>
      <c r="AV224" s="564"/>
      <c r="AW224" s="564"/>
      <c r="AX224" s="564"/>
      <c r="AY224" s="564"/>
      <c r="AZ224" s="564"/>
      <c r="BA224" s="564"/>
      <c r="BB224" s="564"/>
      <c r="BC224" s="564"/>
      <c r="BD224" s="564"/>
      <c r="BE224" s="564"/>
      <c r="BF224" s="564"/>
      <c r="BG224" s="564"/>
      <c r="BH224" s="564"/>
      <c r="BI224" s="564"/>
      <c r="BJ224" s="564"/>
      <c r="BK224" s="564"/>
      <c r="BL224" s="564"/>
      <c r="BM224" s="564"/>
      <c r="BN224" s="564"/>
      <c r="BO224" s="564"/>
      <c r="BP224" s="564"/>
      <c r="BQ224" s="564"/>
      <c r="BR224" s="564"/>
      <c r="BS224" s="564"/>
      <c r="BT224" s="564"/>
      <c r="BU224" s="564"/>
      <c r="BV224" s="564"/>
      <c r="BW224" s="564"/>
      <c r="BX224" s="564"/>
      <c r="BY224" s="564"/>
      <c r="BZ224" s="564"/>
      <c r="CA224" s="564"/>
      <c r="CB224" s="564"/>
      <c r="CC224" s="564"/>
      <c r="CD224" s="564"/>
      <c r="CE224" s="564"/>
      <c r="CF224" s="564"/>
      <c r="CG224" s="564"/>
      <c r="CH224" s="564"/>
      <c r="CI224" s="564"/>
      <c r="CJ224" s="564"/>
      <c r="CK224" s="564"/>
      <c r="CL224" s="564"/>
      <c r="CM224" s="564"/>
      <c r="CN224" s="564"/>
      <c r="CO224" s="564"/>
      <c r="CP224" s="564"/>
      <c r="CQ224" s="564"/>
      <c r="CR224" s="564"/>
      <c r="CS224" s="564"/>
      <c r="CT224" s="564"/>
      <c r="CU224" s="564"/>
      <c r="CV224" s="564"/>
      <c r="CW224" s="564"/>
      <c r="CX224" s="564"/>
      <c r="CY224" s="564"/>
      <c r="CZ224" s="564"/>
      <c r="DA224" s="564"/>
      <c r="DB224" s="564"/>
      <c r="DC224" s="564"/>
      <c r="DD224" s="564"/>
      <c r="DE224" s="564"/>
      <c r="DF224" s="564"/>
      <c r="DG224" s="564"/>
      <c r="DH224" s="564"/>
    </row>
    <row r="225" spans="2:112" s="194" customFormat="1" ht="13.5" thickBot="1" x14ac:dyDescent="0.25">
      <c r="B225" s="34"/>
      <c r="C225" s="21" t="str">
        <f ca="1">IF(OFFSET(R225,0,Lang_Order*Lang__B1)="","",OFFSET(R225,0,Lang_Order*Lang__B1))</f>
        <v>Total</v>
      </c>
      <c r="D225" s="119" t="e">
        <f>SUM(D221:D224)</f>
        <v>#N/A</v>
      </c>
      <c r="E225" s="119" t="e">
        <f>SUM(E221:E224)</f>
        <v>#N/A</v>
      </c>
      <c r="F225" s="457" t="e">
        <f t="shared" ref="F225:G225" si="186">SUM(F221:F224)</f>
        <v>#N/A</v>
      </c>
      <c r="G225" s="119" t="e">
        <f t="shared" si="186"/>
        <v>#N/A</v>
      </c>
      <c r="H225" s="119"/>
      <c r="I225" s="119"/>
      <c r="J225" s="119"/>
      <c r="K225" s="119"/>
      <c r="L225" s="567"/>
      <c r="M225" s="567"/>
      <c r="O225" s="564"/>
      <c r="P225" s="564"/>
      <c r="Q225" s="564"/>
      <c r="R225" s="564" t="s">
        <v>1605</v>
      </c>
      <c r="S225" s="564"/>
      <c r="T225" s="564"/>
      <c r="U225" s="564"/>
      <c r="V225" s="564"/>
      <c r="W225" s="564"/>
      <c r="X225" s="564"/>
      <c r="Y225" s="564"/>
      <c r="Z225" s="564"/>
      <c r="AA225" s="564"/>
      <c r="AB225" s="564"/>
      <c r="AC225" s="564"/>
      <c r="AD225" s="564"/>
      <c r="AE225" s="564"/>
      <c r="AF225" s="564" t="s">
        <v>1605</v>
      </c>
      <c r="AG225" s="564"/>
      <c r="AH225" s="564"/>
      <c r="AI225" s="564"/>
      <c r="AJ225" s="564"/>
      <c r="AK225" s="564"/>
      <c r="AL225" s="564"/>
      <c r="AM225" s="564"/>
      <c r="AN225" s="564"/>
      <c r="AO225" s="564"/>
      <c r="AP225" s="564"/>
      <c r="AQ225" s="564"/>
      <c r="AR225" s="564"/>
      <c r="AS225" s="564"/>
      <c r="AT225" s="564" t="s">
        <v>4676</v>
      </c>
      <c r="AU225" s="564"/>
      <c r="AV225" s="564"/>
      <c r="AW225" s="564"/>
      <c r="AX225" s="564"/>
      <c r="AY225" s="564"/>
      <c r="AZ225" s="564"/>
      <c r="BA225" s="564"/>
      <c r="BB225" s="564"/>
      <c r="BC225" s="564"/>
      <c r="BD225" s="564"/>
      <c r="BE225" s="564"/>
      <c r="BF225" s="564"/>
      <c r="BG225" s="564"/>
      <c r="BH225" s="564" t="s">
        <v>1605</v>
      </c>
      <c r="BI225" s="564"/>
      <c r="BJ225" s="564"/>
      <c r="BK225" s="564"/>
      <c r="BL225" s="564"/>
      <c r="BM225" s="564"/>
      <c r="BN225" s="564"/>
      <c r="BO225" s="564"/>
      <c r="BP225" s="564"/>
      <c r="BQ225" s="564"/>
      <c r="BR225" s="564"/>
      <c r="BS225" s="564"/>
      <c r="BT225" s="564"/>
      <c r="BU225" s="564"/>
      <c r="BV225" s="564" t="s">
        <v>1605</v>
      </c>
      <c r="BW225" s="564"/>
      <c r="BX225" s="564"/>
      <c r="BY225" s="564"/>
      <c r="BZ225" s="564"/>
      <c r="CA225" s="564"/>
      <c r="CB225" s="564"/>
      <c r="CC225" s="564"/>
      <c r="CD225" s="564"/>
      <c r="CE225" s="564"/>
      <c r="CF225" s="564"/>
      <c r="CG225" s="564"/>
      <c r="CH225" s="564"/>
      <c r="CI225" s="564"/>
      <c r="CJ225" s="564" t="s">
        <v>4686</v>
      </c>
      <c r="CK225" s="564"/>
      <c r="CL225" s="564"/>
      <c r="CM225" s="564"/>
      <c r="CN225" s="564"/>
      <c r="CO225" s="564"/>
      <c r="CP225" s="564"/>
      <c r="CQ225" s="564"/>
      <c r="CR225" s="564"/>
      <c r="CS225" s="564"/>
      <c r="CT225" s="564"/>
      <c r="CU225" s="564"/>
      <c r="CV225" s="564"/>
      <c r="CW225" s="564"/>
      <c r="CX225" s="564" t="s">
        <v>4694</v>
      </c>
      <c r="CY225" s="564"/>
      <c r="CZ225" s="564"/>
      <c r="DA225" s="564"/>
      <c r="DB225" s="564"/>
      <c r="DC225" s="564"/>
      <c r="DD225" s="564"/>
      <c r="DE225" s="564"/>
      <c r="DF225" s="564"/>
      <c r="DG225" s="564"/>
      <c r="DH225" s="564"/>
    </row>
    <row r="226" spans="2:112" s="194" customFormat="1" ht="13.5" thickTop="1" x14ac:dyDescent="0.2">
      <c r="B226" s="34"/>
      <c r="C226" s="270" t="str">
        <f ca="1">IF(OFFSET(R226,0,Lang_Order*Lang__B1)="","",OFFSET(R226,0,Lang_Order*Lang__B1))</f>
        <v>Percent of 2020 Population</v>
      </c>
      <c r="D226" s="162" t="e">
        <f>D225/Pop_Total_2020</f>
        <v>#N/A</v>
      </c>
      <c r="E226" s="162" t="e">
        <f>E225/Pop_Total_2020</f>
        <v>#N/A</v>
      </c>
      <c r="F226" s="458" t="e">
        <f>F225/Pop_Total_2020</f>
        <v>#N/A</v>
      </c>
      <c r="G226" s="162" t="e">
        <f>G225/Pop_Total_2020</f>
        <v>#N/A</v>
      </c>
      <c r="J226" s="16"/>
      <c r="K226" s="56"/>
      <c r="L226" s="567"/>
      <c r="M226" s="567"/>
      <c r="O226" s="564"/>
      <c r="P226" s="564"/>
      <c r="Q226" s="564"/>
      <c r="R226" s="564" t="s">
        <v>3939</v>
      </c>
      <c r="S226" s="564"/>
      <c r="T226" s="564"/>
      <c r="U226" s="564"/>
      <c r="V226" s="564"/>
      <c r="W226" s="564"/>
      <c r="X226" s="564"/>
      <c r="Y226" s="564"/>
      <c r="Z226" s="564"/>
      <c r="AA226" s="564"/>
      <c r="AB226" s="564"/>
      <c r="AC226" s="564"/>
      <c r="AD226" s="564"/>
      <c r="AE226" s="564"/>
      <c r="AF226" s="564" t="s">
        <v>9933</v>
      </c>
      <c r="AG226" s="564"/>
      <c r="AH226" s="564"/>
      <c r="AI226" s="564"/>
      <c r="AJ226" s="564"/>
      <c r="AK226" s="564"/>
      <c r="AL226" s="564"/>
      <c r="AM226" s="564"/>
      <c r="AN226" s="564"/>
      <c r="AO226" s="564"/>
      <c r="AP226" s="564"/>
      <c r="AQ226" s="564"/>
      <c r="AR226" s="564"/>
      <c r="AS226" s="564"/>
      <c r="AT226" s="564" t="s">
        <v>9935</v>
      </c>
      <c r="AU226" s="564"/>
      <c r="AV226" s="564"/>
      <c r="AW226" s="564"/>
      <c r="AX226" s="564"/>
      <c r="AY226" s="564"/>
      <c r="AZ226" s="564"/>
      <c r="BA226" s="564"/>
      <c r="BB226" s="564"/>
      <c r="BC226" s="564"/>
      <c r="BD226" s="564"/>
      <c r="BE226" s="564"/>
      <c r="BF226" s="564"/>
      <c r="BG226" s="564"/>
      <c r="BH226" s="564" t="s">
        <v>9937</v>
      </c>
      <c r="BI226" s="564"/>
      <c r="BJ226" s="564"/>
      <c r="BK226" s="564"/>
      <c r="BL226" s="564"/>
      <c r="BM226" s="564"/>
      <c r="BN226" s="564"/>
      <c r="BO226" s="564"/>
      <c r="BP226" s="564"/>
      <c r="BQ226" s="564"/>
      <c r="BR226" s="564"/>
      <c r="BS226" s="564"/>
      <c r="BT226" s="564"/>
      <c r="BU226" s="564"/>
      <c r="BV226" s="564" t="s">
        <v>9939</v>
      </c>
      <c r="BW226" s="564"/>
      <c r="BX226" s="564"/>
      <c r="BY226" s="564"/>
      <c r="BZ226" s="564"/>
      <c r="CA226" s="564"/>
      <c r="CB226" s="564"/>
      <c r="CC226" s="564"/>
      <c r="CD226" s="564"/>
      <c r="CE226" s="564"/>
      <c r="CF226" s="564"/>
      <c r="CG226" s="564"/>
      <c r="CH226" s="564"/>
      <c r="CI226" s="564"/>
      <c r="CJ226" s="564" t="s">
        <v>9941</v>
      </c>
      <c r="CK226" s="564"/>
      <c r="CL226" s="564"/>
      <c r="CM226" s="564"/>
      <c r="CN226" s="564"/>
      <c r="CO226" s="564"/>
      <c r="CP226" s="564"/>
      <c r="CQ226" s="564"/>
      <c r="CR226" s="564"/>
      <c r="CS226" s="564"/>
      <c r="CT226" s="564"/>
      <c r="CU226" s="564"/>
      <c r="CV226" s="564"/>
      <c r="CW226" s="564"/>
      <c r="CX226" s="564" t="s">
        <v>9943</v>
      </c>
      <c r="CY226" s="564"/>
      <c r="CZ226" s="564"/>
      <c r="DA226" s="564"/>
      <c r="DB226" s="564"/>
      <c r="DC226" s="564"/>
      <c r="DD226" s="564"/>
      <c r="DE226" s="564"/>
      <c r="DF226" s="564"/>
      <c r="DG226" s="564"/>
      <c r="DH226" s="564"/>
    </row>
    <row r="227" spans="2:112" s="194" customFormat="1" ht="12.75" x14ac:dyDescent="0.2">
      <c r="B227" s="34"/>
      <c r="C227" s="5"/>
      <c r="J227" s="44"/>
      <c r="K227" s="44"/>
      <c r="M227" s="567"/>
      <c r="O227" s="564"/>
      <c r="P227" s="564"/>
      <c r="Q227" s="564"/>
      <c r="R227" s="564"/>
      <c r="S227" s="564"/>
      <c r="T227" s="564"/>
      <c r="U227" s="564"/>
      <c r="V227" s="564"/>
      <c r="W227" s="564"/>
      <c r="X227" s="564"/>
      <c r="Y227" s="564"/>
      <c r="Z227" s="564"/>
      <c r="AA227" s="564"/>
      <c r="AB227" s="564"/>
      <c r="AC227" s="564"/>
      <c r="AD227" s="564"/>
      <c r="AE227" s="564"/>
      <c r="AF227" s="564"/>
      <c r="AG227" s="564"/>
      <c r="AH227" s="564"/>
      <c r="AI227" s="564"/>
      <c r="AJ227" s="564"/>
      <c r="AK227" s="564"/>
      <c r="AL227" s="564"/>
      <c r="AM227" s="564"/>
      <c r="AN227" s="564"/>
      <c r="AO227" s="564"/>
      <c r="AP227" s="564"/>
      <c r="AQ227" s="564"/>
      <c r="AR227" s="564"/>
      <c r="AS227" s="564"/>
      <c r="AT227" s="564"/>
      <c r="AU227" s="564"/>
      <c r="AV227" s="564"/>
      <c r="AW227" s="564"/>
      <c r="AX227" s="564"/>
      <c r="AY227" s="564"/>
      <c r="AZ227" s="564"/>
      <c r="BA227" s="564"/>
      <c r="BB227" s="564"/>
      <c r="BC227" s="564"/>
      <c r="BD227" s="564"/>
      <c r="BE227" s="564"/>
      <c r="BF227" s="564"/>
      <c r="BG227" s="564"/>
      <c r="BH227" s="564"/>
      <c r="BI227" s="564"/>
      <c r="BJ227" s="564"/>
      <c r="BK227" s="564"/>
      <c r="BL227" s="564"/>
      <c r="BM227" s="564"/>
      <c r="BN227" s="564"/>
      <c r="BO227" s="564"/>
      <c r="BP227" s="564"/>
      <c r="BQ227" s="564"/>
      <c r="BR227" s="564"/>
      <c r="BS227" s="564"/>
      <c r="BT227" s="564"/>
      <c r="BU227" s="564"/>
      <c r="BV227" s="564"/>
      <c r="BW227" s="564"/>
      <c r="BX227" s="564"/>
      <c r="BY227" s="564"/>
      <c r="BZ227" s="564"/>
      <c r="CA227" s="564"/>
      <c r="CB227" s="564"/>
      <c r="CC227" s="564"/>
      <c r="CD227" s="564"/>
      <c r="CE227" s="564"/>
      <c r="CF227" s="564"/>
      <c r="CG227" s="564"/>
      <c r="CH227" s="564"/>
      <c r="CI227" s="564"/>
      <c r="CJ227" s="564"/>
      <c r="CK227" s="564"/>
      <c r="CL227" s="564"/>
      <c r="CM227" s="564"/>
      <c r="CN227" s="564"/>
      <c r="CO227" s="564"/>
      <c r="CP227" s="564"/>
      <c r="CQ227" s="564"/>
      <c r="CR227" s="564"/>
      <c r="CS227" s="564"/>
      <c r="CT227" s="564"/>
      <c r="CU227" s="564"/>
      <c r="CV227" s="564"/>
      <c r="CW227" s="564"/>
      <c r="CX227" s="564"/>
      <c r="CY227" s="564"/>
      <c r="CZ227" s="564"/>
      <c r="DA227" s="564"/>
      <c r="DB227" s="564"/>
      <c r="DC227" s="564"/>
      <c r="DD227" s="564"/>
      <c r="DE227" s="564"/>
      <c r="DF227" s="564"/>
      <c r="DG227" s="564"/>
      <c r="DH227" s="564"/>
    </row>
    <row r="228" spans="2:112" s="194" customFormat="1" x14ac:dyDescent="0.25">
      <c r="B228" s="112" t="str">
        <f ca="1">IF(OFFSET(Q228,0,Lang_Order*Lang__B1)="","",OFFSET(Q228,0,Lang_Order*Lang__B1))</f>
        <v>B1.4.3 Summary - Vaccine courses needed in 2021 Stage 2</v>
      </c>
      <c r="C228" s="210"/>
      <c r="D228" s="112"/>
      <c r="E228" s="112"/>
      <c r="F228" s="112"/>
      <c r="G228" s="112"/>
      <c r="H228" s="112"/>
      <c r="I228" s="112"/>
      <c r="J228" s="211"/>
      <c r="K228" s="212"/>
      <c r="L228" s="112"/>
      <c r="M228" s="112"/>
      <c r="O228" s="564"/>
      <c r="P228" s="564"/>
      <c r="Q228" s="564" t="s">
        <v>4384</v>
      </c>
      <c r="R228" s="564"/>
      <c r="S228" s="564"/>
      <c r="T228" s="564"/>
      <c r="U228" s="564"/>
      <c r="V228" s="564"/>
      <c r="W228" s="564"/>
      <c r="X228" s="564"/>
      <c r="Y228" s="564"/>
      <c r="Z228" s="564"/>
      <c r="AA228" s="564"/>
      <c r="AB228" s="564"/>
      <c r="AC228" s="564"/>
      <c r="AD228" s="564"/>
      <c r="AE228" s="564" t="s">
        <v>9954</v>
      </c>
      <c r="AF228" s="564"/>
      <c r="AG228" s="564"/>
      <c r="AH228" s="564"/>
      <c r="AI228" s="564"/>
      <c r="AJ228" s="564"/>
      <c r="AK228" s="564"/>
      <c r="AL228" s="564"/>
      <c r="AM228" s="564"/>
      <c r="AN228" s="564"/>
      <c r="AO228" s="564"/>
      <c r="AP228" s="564"/>
      <c r="AQ228" s="564"/>
      <c r="AR228" s="564"/>
      <c r="AS228" s="564" t="s">
        <v>9955</v>
      </c>
      <c r="AT228" s="564"/>
      <c r="AU228" s="564"/>
      <c r="AV228" s="564"/>
      <c r="AW228" s="564"/>
      <c r="AX228" s="564"/>
      <c r="AY228" s="564"/>
      <c r="AZ228" s="564"/>
      <c r="BA228" s="564"/>
      <c r="BB228" s="564"/>
      <c r="BC228" s="564"/>
      <c r="BD228" s="564"/>
      <c r="BE228" s="564"/>
      <c r="BF228" s="564"/>
      <c r="BG228" s="564" t="s">
        <v>9956</v>
      </c>
      <c r="BH228" s="564"/>
      <c r="BI228" s="564"/>
      <c r="BJ228" s="564"/>
      <c r="BK228" s="564"/>
      <c r="BL228" s="564"/>
      <c r="BM228" s="564"/>
      <c r="BN228" s="564"/>
      <c r="BO228" s="564"/>
      <c r="BP228" s="564"/>
      <c r="BQ228" s="564"/>
      <c r="BR228" s="564"/>
      <c r="BS228" s="564"/>
      <c r="BT228" s="564"/>
      <c r="BU228" s="564" t="s">
        <v>9957</v>
      </c>
      <c r="BV228" s="564"/>
      <c r="BW228" s="564"/>
      <c r="BX228" s="564"/>
      <c r="BY228" s="564"/>
      <c r="BZ228" s="564"/>
      <c r="CA228" s="564"/>
      <c r="CB228" s="564"/>
      <c r="CC228" s="564"/>
      <c r="CD228" s="564"/>
      <c r="CE228" s="564"/>
      <c r="CF228" s="564"/>
      <c r="CG228" s="564"/>
      <c r="CH228" s="564"/>
      <c r="CI228" s="564" t="s">
        <v>9958</v>
      </c>
      <c r="CJ228" s="564"/>
      <c r="CK228" s="564"/>
      <c r="CL228" s="564"/>
      <c r="CM228" s="564"/>
      <c r="CN228" s="564"/>
      <c r="CO228" s="564"/>
      <c r="CP228" s="564"/>
      <c r="CQ228" s="564"/>
      <c r="CR228" s="564"/>
      <c r="CS228" s="564"/>
      <c r="CT228" s="564"/>
      <c r="CU228" s="564"/>
      <c r="CV228" s="564"/>
      <c r="CW228" s="564" t="s">
        <v>9959</v>
      </c>
      <c r="CX228" s="564"/>
      <c r="CY228" s="564"/>
      <c r="CZ228" s="564"/>
      <c r="DA228" s="564"/>
      <c r="DB228" s="564"/>
      <c r="DC228" s="564"/>
      <c r="DD228" s="564"/>
      <c r="DE228" s="564"/>
      <c r="DF228" s="564"/>
      <c r="DG228" s="564"/>
      <c r="DH228" s="564"/>
    </row>
    <row r="229" spans="2:112" s="194" customFormat="1" ht="12.75" x14ac:dyDescent="0.2">
      <c r="L229" s="567"/>
      <c r="M229" s="567"/>
      <c r="O229" s="564"/>
      <c r="P229" s="564"/>
      <c r="Q229" s="564"/>
      <c r="R229" s="564"/>
      <c r="S229" s="564"/>
      <c r="T229" s="564"/>
      <c r="U229" s="564"/>
      <c r="V229" s="564"/>
      <c r="W229" s="564"/>
      <c r="X229" s="564"/>
      <c r="Y229" s="564"/>
      <c r="Z229" s="564"/>
      <c r="AA229" s="564"/>
      <c r="AB229" s="564"/>
      <c r="AC229" s="564"/>
      <c r="AD229" s="564"/>
      <c r="AE229" s="564"/>
      <c r="AF229" s="564"/>
      <c r="AG229" s="564"/>
      <c r="AH229" s="564"/>
      <c r="AI229" s="564"/>
      <c r="AJ229" s="564"/>
      <c r="AK229" s="564"/>
      <c r="AL229" s="564"/>
      <c r="AM229" s="564"/>
      <c r="AN229" s="564"/>
      <c r="AO229" s="564"/>
      <c r="AP229" s="564"/>
      <c r="AQ229" s="564"/>
      <c r="AR229" s="564"/>
      <c r="AS229" s="564"/>
      <c r="AT229" s="564"/>
      <c r="AU229" s="564"/>
      <c r="AV229" s="564"/>
      <c r="AW229" s="564"/>
      <c r="AX229" s="564"/>
      <c r="AY229" s="564"/>
      <c r="AZ229" s="564"/>
      <c r="BA229" s="564"/>
      <c r="BB229" s="564"/>
      <c r="BC229" s="564"/>
      <c r="BD229" s="564"/>
      <c r="BE229" s="564"/>
      <c r="BF229" s="564"/>
      <c r="BG229" s="564"/>
      <c r="BH229" s="564"/>
      <c r="BI229" s="564"/>
      <c r="BJ229" s="564"/>
      <c r="BK229" s="564"/>
      <c r="BL229" s="564"/>
      <c r="BM229" s="564"/>
      <c r="BN229" s="564"/>
      <c r="BO229" s="564"/>
      <c r="BP229" s="564"/>
      <c r="BQ229" s="564"/>
      <c r="BR229" s="564"/>
      <c r="BS229" s="564"/>
      <c r="BT229" s="564"/>
      <c r="BU229" s="564"/>
      <c r="BV229" s="564"/>
      <c r="BW229" s="564"/>
      <c r="BX229" s="564"/>
      <c r="BY229" s="564"/>
      <c r="BZ229" s="564"/>
      <c r="CA229" s="564"/>
      <c r="CB229" s="564"/>
      <c r="CC229" s="564"/>
      <c r="CD229" s="564"/>
      <c r="CE229" s="564"/>
      <c r="CF229" s="564"/>
      <c r="CG229" s="564"/>
      <c r="CH229" s="564"/>
      <c r="CI229" s="564"/>
      <c r="CJ229" s="564"/>
      <c r="CK229" s="564"/>
      <c r="CL229" s="564"/>
      <c r="CM229" s="564"/>
      <c r="CN229" s="564"/>
      <c r="CO229" s="564"/>
      <c r="CP229" s="564"/>
      <c r="CQ229" s="564"/>
      <c r="CR229" s="564"/>
      <c r="CS229" s="564"/>
      <c r="CT229" s="564"/>
      <c r="CU229" s="564"/>
      <c r="CV229" s="564"/>
      <c r="CW229" s="564"/>
      <c r="CX229" s="564"/>
      <c r="CY229" s="564"/>
      <c r="CZ229" s="564"/>
      <c r="DA229" s="564"/>
      <c r="DB229" s="564"/>
      <c r="DC229" s="564"/>
      <c r="DD229" s="564"/>
      <c r="DE229" s="564"/>
      <c r="DF229" s="564"/>
      <c r="DG229" s="564"/>
      <c r="DH229" s="564"/>
    </row>
    <row r="230" spans="2:112" s="194" customFormat="1" x14ac:dyDescent="0.25">
      <c r="D230" s="698" t="str">
        <f t="shared" ref="D230:G231" ca="1" si="187">IF(OFFSET(S230,0,Lang_Order*Lang__B1)="","",OFFSET(S230,0,Lang_Order*Lang__B1))</f>
        <v>Needs (Demand-sde estimates)</v>
      </c>
      <c r="E230" s="698" t="str">
        <f t="shared" ca="1" si="187"/>
        <v/>
      </c>
      <c r="F230" s="698" t="str">
        <f t="shared" ca="1" si="187"/>
        <v/>
      </c>
      <c r="G230" s="698" t="str">
        <f t="shared" ca="1" si="187"/>
        <v/>
      </c>
      <c r="K230" s="44"/>
      <c r="L230" s="567"/>
      <c r="M230" s="567"/>
      <c r="O230" s="564"/>
      <c r="P230" s="564"/>
      <c r="Q230" s="564"/>
      <c r="R230" s="564"/>
      <c r="S230" s="564" t="s">
        <v>3208</v>
      </c>
      <c r="T230" s="564"/>
      <c r="U230" s="564"/>
      <c r="V230" s="564"/>
      <c r="W230" s="564"/>
      <c r="X230" s="564"/>
      <c r="Y230" s="564"/>
      <c r="Z230" s="564"/>
      <c r="AA230" s="564"/>
      <c r="AB230" s="564"/>
      <c r="AC230" s="564"/>
      <c r="AD230" s="564"/>
      <c r="AE230" s="564"/>
      <c r="AF230" s="564"/>
      <c r="AG230" s="564" t="s">
        <v>9886</v>
      </c>
      <c r="AH230" s="564"/>
      <c r="AI230" s="564"/>
      <c r="AJ230" s="564"/>
      <c r="AK230" s="564"/>
      <c r="AL230" s="564"/>
      <c r="AM230" s="564"/>
      <c r="AN230" s="564"/>
      <c r="AO230" s="564"/>
      <c r="AP230" s="564"/>
      <c r="AQ230" s="564"/>
      <c r="AR230" s="564"/>
      <c r="AS230" s="564"/>
      <c r="AT230" s="564"/>
      <c r="AU230" s="564" t="s">
        <v>9888</v>
      </c>
      <c r="AV230" s="564"/>
      <c r="AW230" s="564"/>
      <c r="AX230" s="564"/>
      <c r="AY230" s="564"/>
      <c r="AZ230" s="564"/>
      <c r="BA230" s="564"/>
      <c r="BB230" s="564"/>
      <c r="BC230" s="564"/>
      <c r="BD230" s="564"/>
      <c r="BE230" s="564"/>
      <c r="BF230" s="564"/>
      <c r="BG230" s="564"/>
      <c r="BH230" s="564"/>
      <c r="BI230" s="564" t="s">
        <v>9890</v>
      </c>
      <c r="BJ230" s="564"/>
      <c r="BK230" s="564"/>
      <c r="BL230" s="564"/>
      <c r="BM230" s="564"/>
      <c r="BN230" s="564"/>
      <c r="BO230" s="564"/>
      <c r="BP230" s="564"/>
      <c r="BQ230" s="564"/>
      <c r="BR230" s="564"/>
      <c r="BS230" s="564"/>
      <c r="BT230" s="564"/>
      <c r="BU230" s="564"/>
      <c r="BV230" s="564"/>
      <c r="BW230" s="564" t="s">
        <v>9892</v>
      </c>
      <c r="BX230" s="564"/>
      <c r="BY230" s="564"/>
      <c r="BZ230" s="564"/>
      <c r="CA230" s="564"/>
      <c r="CB230" s="564"/>
      <c r="CC230" s="564"/>
      <c r="CD230" s="564"/>
      <c r="CE230" s="564"/>
      <c r="CF230" s="564"/>
      <c r="CG230" s="564"/>
      <c r="CH230" s="564"/>
      <c r="CI230" s="564"/>
      <c r="CJ230" s="564"/>
      <c r="CK230" s="564" t="s">
        <v>9951</v>
      </c>
      <c r="CL230" s="564"/>
      <c r="CM230" s="564"/>
      <c r="CN230" s="564"/>
      <c r="CO230" s="564"/>
      <c r="CP230" s="564"/>
      <c r="CQ230" s="564"/>
      <c r="CR230" s="564"/>
      <c r="CS230" s="564"/>
      <c r="CT230" s="564"/>
      <c r="CU230" s="564"/>
      <c r="CV230" s="564"/>
      <c r="CW230" s="564"/>
      <c r="CX230" s="564"/>
      <c r="CY230" s="564" t="s">
        <v>9952</v>
      </c>
      <c r="CZ230" s="564"/>
      <c r="DA230" s="564"/>
      <c r="DB230" s="564"/>
      <c r="DC230" s="564"/>
      <c r="DD230" s="564"/>
      <c r="DE230" s="564"/>
      <c r="DF230" s="564"/>
      <c r="DG230" s="564"/>
      <c r="DH230" s="564"/>
    </row>
    <row r="231" spans="2:112" s="194" customFormat="1" ht="43.5" customHeight="1" x14ac:dyDescent="0.25">
      <c r="C231" s="55" t="str">
        <f ca="1">IF(OFFSET(R231,0,Lang_Order*Lang__B1)="","",OFFSET(R231,0,Lang_Order*Lang__B1))</f>
        <v>Needs estimation parameters --&gt;</v>
      </c>
      <c r="D231" s="200" t="str">
        <f t="shared" ca="1" si="187"/>
        <v>Full Uptake + Wastage</v>
      </c>
      <c r="E231" s="200" t="str">
        <f t="shared" ca="1" si="187"/>
        <v>Full Uptake + No Wastage</v>
      </c>
      <c r="F231" s="454" t="str">
        <f t="shared" ca="1" si="187"/>
        <v>Expected Uptake + Wastage</v>
      </c>
      <c r="G231" s="200" t="str">
        <f t="shared" ca="1" si="187"/>
        <v>Expected Uptake + No Wastage</v>
      </c>
      <c r="L231" s="567"/>
      <c r="M231" s="567"/>
      <c r="O231" s="564"/>
      <c r="P231" s="564"/>
      <c r="Q231" s="564"/>
      <c r="R231" s="564" t="s">
        <v>2882</v>
      </c>
      <c r="S231" s="564" t="s">
        <v>2812</v>
      </c>
      <c r="T231" s="564" t="s">
        <v>2813</v>
      </c>
      <c r="U231" s="564" t="s">
        <v>2814</v>
      </c>
      <c r="V231" s="564" t="s">
        <v>2815</v>
      </c>
      <c r="W231" s="564"/>
      <c r="X231" s="564"/>
      <c r="Y231" s="564"/>
      <c r="Z231" s="564"/>
      <c r="AA231" s="564"/>
      <c r="AB231" s="564"/>
      <c r="AC231" s="564"/>
      <c r="AD231" s="564"/>
      <c r="AE231" s="564"/>
      <c r="AF231" s="564" t="s">
        <v>9898</v>
      </c>
      <c r="AG231" s="564" t="s">
        <v>9899</v>
      </c>
      <c r="AH231" s="564" t="s">
        <v>9899</v>
      </c>
      <c r="AI231" s="564" t="s">
        <v>9901</v>
      </c>
      <c r="AJ231" s="564" t="s">
        <v>9902</v>
      </c>
      <c r="AK231" s="564"/>
      <c r="AL231" s="564"/>
      <c r="AM231" s="564"/>
      <c r="AN231" s="564"/>
      <c r="AO231" s="564"/>
      <c r="AP231" s="564"/>
      <c r="AQ231" s="564"/>
      <c r="AR231" s="564"/>
      <c r="AS231" s="564"/>
      <c r="AT231" s="564" t="s">
        <v>9903</v>
      </c>
      <c r="AU231" s="564" t="s">
        <v>9904</v>
      </c>
      <c r="AV231" s="564" t="s">
        <v>9905</v>
      </c>
      <c r="AW231" s="564" t="s">
        <v>9906</v>
      </c>
      <c r="AX231" s="564" t="s">
        <v>9907</v>
      </c>
      <c r="AY231" s="564"/>
      <c r="AZ231" s="564"/>
      <c r="BA231" s="564"/>
      <c r="BB231" s="564"/>
      <c r="BC231" s="564"/>
      <c r="BD231" s="564"/>
      <c r="BE231" s="564"/>
      <c r="BF231" s="564"/>
      <c r="BG231" s="564"/>
      <c r="BH231" s="564" t="s">
        <v>9908</v>
      </c>
      <c r="BI231" s="564" t="s">
        <v>9909</v>
      </c>
      <c r="BJ231" s="564" t="s">
        <v>9910</v>
      </c>
      <c r="BK231" s="564" t="s">
        <v>9911</v>
      </c>
      <c r="BL231" s="564" t="s">
        <v>9912</v>
      </c>
      <c r="BM231" s="564"/>
      <c r="BN231" s="564"/>
      <c r="BO231" s="564"/>
      <c r="BP231" s="564"/>
      <c r="BQ231" s="564"/>
      <c r="BR231" s="564"/>
      <c r="BS231" s="564"/>
      <c r="BT231" s="564"/>
      <c r="BU231" s="564"/>
      <c r="BV231" s="564" t="s">
        <v>9913</v>
      </c>
      <c r="BW231" s="564" t="s">
        <v>9914</v>
      </c>
      <c r="BX231" s="564" t="s">
        <v>9915</v>
      </c>
      <c r="BY231" s="564" t="s">
        <v>9916</v>
      </c>
      <c r="BZ231" s="564" t="s">
        <v>9917</v>
      </c>
      <c r="CA231" s="564"/>
      <c r="CB231" s="564"/>
      <c r="CC231" s="564"/>
      <c r="CD231" s="564"/>
      <c r="CE231" s="564"/>
      <c r="CF231" s="564"/>
      <c r="CG231" s="564"/>
      <c r="CH231" s="564"/>
      <c r="CI231" s="564"/>
      <c r="CJ231" s="564" t="s">
        <v>9918</v>
      </c>
      <c r="CK231" s="564" t="s">
        <v>9919</v>
      </c>
      <c r="CL231" s="564" t="s">
        <v>9953</v>
      </c>
      <c r="CM231" s="564" t="s">
        <v>9920</v>
      </c>
      <c r="CN231" s="564" t="s">
        <v>9921</v>
      </c>
      <c r="CO231" s="564"/>
      <c r="CP231" s="564"/>
      <c r="CQ231" s="564"/>
      <c r="CR231" s="564"/>
      <c r="CS231" s="564"/>
      <c r="CT231" s="564"/>
      <c r="CU231" s="564"/>
      <c r="CV231" s="564"/>
      <c r="CW231" s="564"/>
      <c r="CX231" s="564" t="s">
        <v>9922</v>
      </c>
      <c r="CY231" s="564" t="s">
        <v>9923</v>
      </c>
      <c r="CZ231" s="564" t="s">
        <v>9924</v>
      </c>
      <c r="DA231" s="564" t="s">
        <v>9925</v>
      </c>
      <c r="DB231" s="564" t="s">
        <v>9926</v>
      </c>
      <c r="DC231" s="564"/>
      <c r="DD231" s="564"/>
      <c r="DE231" s="564"/>
      <c r="DF231" s="564"/>
      <c r="DG231" s="564"/>
      <c r="DH231" s="564"/>
    </row>
    <row r="232" spans="2:112" s="194" customFormat="1" ht="12.75" x14ac:dyDescent="0.2">
      <c r="B232" s="34"/>
      <c r="C232" s="5" t="str">
        <f>CONCATENATE("",DM1_Vaccine)</f>
        <v/>
      </c>
      <c r="D232" s="26" t="e">
        <f>E189</f>
        <v>#N/A</v>
      </c>
      <c r="E232" s="26" t="e">
        <f>E164</f>
        <v>#N/A</v>
      </c>
      <c r="F232" s="455" t="e">
        <f>E196</f>
        <v>#N/A</v>
      </c>
      <c r="G232" s="26" t="e">
        <f>E181</f>
        <v>#N/A</v>
      </c>
      <c r="J232" s="26"/>
      <c r="K232" s="56"/>
      <c r="L232" s="567"/>
      <c r="M232" s="567"/>
      <c r="O232" s="564"/>
      <c r="P232" s="564"/>
      <c r="Q232" s="564"/>
      <c r="R232" s="564"/>
      <c r="S232" s="564"/>
      <c r="T232" s="564"/>
      <c r="U232" s="564"/>
      <c r="V232" s="564"/>
      <c r="W232" s="564"/>
      <c r="X232" s="564"/>
      <c r="Y232" s="564"/>
      <c r="Z232" s="564"/>
      <c r="AA232" s="564"/>
      <c r="AB232" s="564"/>
      <c r="AC232" s="564"/>
      <c r="AD232" s="564"/>
      <c r="AE232" s="564"/>
      <c r="AF232" s="564"/>
      <c r="AG232" s="564"/>
      <c r="AH232" s="564"/>
      <c r="AI232" s="564"/>
      <c r="AJ232" s="564"/>
      <c r="AK232" s="564"/>
      <c r="AL232" s="564"/>
      <c r="AM232" s="564"/>
      <c r="AN232" s="564"/>
      <c r="AO232" s="564"/>
      <c r="AP232" s="564"/>
      <c r="AQ232" s="564"/>
      <c r="AR232" s="564"/>
      <c r="AS232" s="564"/>
      <c r="AT232" s="564"/>
      <c r="AU232" s="564"/>
      <c r="AV232" s="564"/>
      <c r="AW232" s="564"/>
      <c r="AX232" s="564"/>
      <c r="AY232" s="564"/>
      <c r="AZ232" s="564"/>
      <c r="BA232" s="564"/>
      <c r="BB232" s="564"/>
      <c r="BC232" s="564"/>
      <c r="BD232" s="564"/>
      <c r="BE232" s="564"/>
      <c r="BF232" s="564"/>
      <c r="BG232" s="564"/>
      <c r="BH232" s="564"/>
      <c r="BI232" s="564"/>
      <c r="BJ232" s="564"/>
      <c r="BK232" s="564"/>
      <c r="BL232" s="564"/>
      <c r="BM232" s="564"/>
      <c r="BN232" s="564"/>
      <c r="BO232" s="564"/>
      <c r="BP232" s="564"/>
      <c r="BQ232" s="564"/>
      <c r="BR232" s="564"/>
      <c r="BS232" s="564"/>
      <c r="BT232" s="564"/>
      <c r="BU232" s="564"/>
      <c r="BV232" s="564"/>
      <c r="BW232" s="564"/>
      <c r="BX232" s="564"/>
      <c r="BY232" s="564"/>
      <c r="BZ232" s="564"/>
      <c r="CA232" s="564"/>
      <c r="CB232" s="564"/>
      <c r="CC232" s="564"/>
      <c r="CD232" s="564"/>
      <c r="CE232" s="564"/>
      <c r="CF232" s="564"/>
      <c r="CG232" s="564"/>
      <c r="CH232" s="564"/>
      <c r="CI232" s="564"/>
      <c r="CJ232" s="564"/>
      <c r="CK232" s="564"/>
      <c r="CL232" s="564"/>
      <c r="CM232" s="564"/>
      <c r="CN232" s="564"/>
      <c r="CO232" s="564"/>
      <c r="CP232" s="564"/>
      <c r="CQ232" s="564"/>
      <c r="CR232" s="564"/>
      <c r="CS232" s="564"/>
      <c r="CT232" s="564"/>
      <c r="CU232" s="564"/>
      <c r="CV232" s="564"/>
      <c r="CW232" s="564"/>
      <c r="CX232" s="564"/>
      <c r="CY232" s="564"/>
      <c r="CZ232" s="564"/>
      <c r="DA232" s="564"/>
      <c r="DB232" s="564"/>
      <c r="DC232" s="564"/>
      <c r="DD232" s="564"/>
      <c r="DE232" s="564"/>
      <c r="DF232" s="564"/>
      <c r="DG232" s="564"/>
      <c r="DH232" s="564"/>
    </row>
    <row r="233" spans="2:112" s="194" customFormat="1" ht="12.75" x14ac:dyDescent="0.2">
      <c r="B233" s="34"/>
      <c r="C233" s="105" t="str">
        <f>CONCATENATE("",DM2_Vaccine)</f>
        <v/>
      </c>
      <c r="D233" s="26" t="e">
        <f>E190</f>
        <v>#N/A</v>
      </c>
      <c r="E233" s="26" t="e">
        <f>E165</f>
        <v>#N/A</v>
      </c>
      <c r="F233" s="455" t="e">
        <f>E197</f>
        <v>#N/A</v>
      </c>
      <c r="G233" s="26" t="e">
        <f>E182</f>
        <v>#N/A</v>
      </c>
      <c r="H233" s="201"/>
      <c r="I233" s="201"/>
      <c r="J233" s="201"/>
      <c r="K233" s="202"/>
      <c r="L233" s="567"/>
      <c r="M233" s="567"/>
      <c r="O233" s="564"/>
      <c r="P233" s="564"/>
      <c r="Q233" s="564"/>
      <c r="R233" s="564"/>
      <c r="S233" s="564"/>
      <c r="T233" s="564"/>
      <c r="U233" s="564"/>
      <c r="V233" s="564"/>
      <c r="W233" s="564"/>
      <c r="X233" s="564"/>
      <c r="Y233" s="564"/>
      <c r="Z233" s="564"/>
      <c r="AA233" s="564"/>
      <c r="AB233" s="564"/>
      <c r="AC233" s="564"/>
      <c r="AD233" s="564"/>
      <c r="AE233" s="564"/>
      <c r="AF233" s="564"/>
      <c r="AG233" s="564"/>
      <c r="AH233" s="564"/>
      <c r="AI233" s="564"/>
      <c r="AJ233" s="564"/>
      <c r="AK233" s="564"/>
      <c r="AL233" s="564"/>
      <c r="AM233" s="564"/>
      <c r="AN233" s="564"/>
      <c r="AO233" s="564"/>
      <c r="AP233" s="564"/>
      <c r="AQ233" s="564"/>
      <c r="AR233" s="564"/>
      <c r="AS233" s="564"/>
      <c r="AT233" s="564"/>
      <c r="AU233" s="564"/>
      <c r="AV233" s="564"/>
      <c r="AW233" s="564"/>
      <c r="AX233" s="564"/>
      <c r="AY233" s="564"/>
      <c r="AZ233" s="564"/>
      <c r="BA233" s="564"/>
      <c r="BB233" s="564"/>
      <c r="BC233" s="564"/>
      <c r="BD233" s="564"/>
      <c r="BE233" s="564"/>
      <c r="BF233" s="564"/>
      <c r="BG233" s="564"/>
      <c r="BH233" s="564"/>
      <c r="BI233" s="564"/>
      <c r="BJ233" s="564"/>
      <c r="BK233" s="564"/>
      <c r="BL233" s="564"/>
      <c r="BM233" s="564"/>
      <c r="BN233" s="564"/>
      <c r="BO233" s="564"/>
      <c r="BP233" s="564"/>
      <c r="BQ233" s="564"/>
      <c r="BR233" s="564"/>
      <c r="BS233" s="564"/>
      <c r="BT233" s="564"/>
      <c r="BU233" s="564"/>
      <c r="BV233" s="564"/>
      <c r="BW233" s="564"/>
      <c r="BX233" s="564"/>
      <c r="BY233" s="564"/>
      <c r="BZ233" s="564"/>
      <c r="CA233" s="564"/>
      <c r="CB233" s="564"/>
      <c r="CC233" s="564"/>
      <c r="CD233" s="564"/>
      <c r="CE233" s="564"/>
      <c r="CF233" s="564"/>
      <c r="CG233" s="564"/>
      <c r="CH233" s="564"/>
      <c r="CI233" s="564"/>
      <c r="CJ233" s="564"/>
      <c r="CK233" s="564"/>
      <c r="CL233" s="564"/>
      <c r="CM233" s="564"/>
      <c r="CN233" s="564"/>
      <c r="CO233" s="564"/>
      <c r="CP233" s="564"/>
      <c r="CQ233" s="564"/>
      <c r="CR233" s="564"/>
      <c r="CS233" s="564"/>
      <c r="CT233" s="564"/>
      <c r="CU233" s="564"/>
      <c r="CV233" s="564"/>
      <c r="CW233" s="564"/>
      <c r="CX233" s="564"/>
      <c r="CY233" s="564"/>
      <c r="CZ233" s="564"/>
      <c r="DA233" s="564"/>
      <c r="DB233" s="564"/>
      <c r="DC233" s="564"/>
      <c r="DD233" s="564"/>
      <c r="DE233" s="564"/>
      <c r="DF233" s="564"/>
      <c r="DG233" s="564"/>
      <c r="DH233" s="564"/>
    </row>
    <row r="234" spans="2:112" s="194" customFormat="1" ht="12.75" x14ac:dyDescent="0.2">
      <c r="B234" s="34"/>
      <c r="C234" s="5" t="str">
        <f>CONCATENATE("",DM3_Vaccine)</f>
        <v/>
      </c>
      <c r="D234" s="26" t="e">
        <f>E191</f>
        <v>#N/A</v>
      </c>
      <c r="E234" s="26" t="e">
        <f>E166</f>
        <v>#N/A</v>
      </c>
      <c r="F234" s="455" t="e">
        <f>E198</f>
        <v>#N/A</v>
      </c>
      <c r="G234" s="26" t="e">
        <f>E183</f>
        <v>#N/A</v>
      </c>
      <c r="H234" s="26"/>
      <c r="I234" s="26"/>
      <c r="J234" s="26"/>
      <c r="K234" s="56"/>
      <c r="L234" s="567"/>
      <c r="M234" s="567"/>
      <c r="O234" s="564"/>
      <c r="P234" s="564"/>
      <c r="Q234" s="564"/>
      <c r="R234" s="564"/>
      <c r="S234" s="564"/>
      <c r="T234" s="564"/>
      <c r="U234" s="564"/>
      <c r="V234" s="564"/>
      <c r="W234" s="564"/>
      <c r="X234" s="564"/>
      <c r="Y234" s="564"/>
      <c r="Z234" s="564"/>
      <c r="AA234" s="564"/>
      <c r="AB234" s="564"/>
      <c r="AC234" s="564"/>
      <c r="AD234" s="564"/>
      <c r="AE234" s="564"/>
      <c r="AF234" s="564"/>
      <c r="AG234" s="564"/>
      <c r="AH234" s="564"/>
      <c r="AI234" s="564"/>
      <c r="AJ234" s="564"/>
      <c r="AK234" s="564"/>
      <c r="AL234" s="564"/>
      <c r="AM234" s="564"/>
      <c r="AN234" s="564"/>
      <c r="AO234" s="564"/>
      <c r="AP234" s="564"/>
      <c r="AQ234" s="564"/>
      <c r="AR234" s="564"/>
      <c r="AS234" s="564"/>
      <c r="AT234" s="564"/>
      <c r="AU234" s="564"/>
      <c r="AV234" s="564"/>
      <c r="AW234" s="564"/>
      <c r="AX234" s="564"/>
      <c r="AY234" s="564"/>
      <c r="AZ234" s="564"/>
      <c r="BA234" s="564"/>
      <c r="BB234" s="564"/>
      <c r="BC234" s="564"/>
      <c r="BD234" s="564"/>
      <c r="BE234" s="564"/>
      <c r="BF234" s="564"/>
      <c r="BG234" s="564"/>
      <c r="BH234" s="564"/>
      <c r="BI234" s="564"/>
      <c r="BJ234" s="564"/>
      <c r="BK234" s="564"/>
      <c r="BL234" s="564"/>
      <c r="BM234" s="564"/>
      <c r="BN234" s="564"/>
      <c r="BO234" s="564"/>
      <c r="BP234" s="564"/>
      <c r="BQ234" s="564"/>
      <c r="BR234" s="564"/>
      <c r="BS234" s="564"/>
      <c r="BT234" s="564"/>
      <c r="BU234" s="564"/>
      <c r="BV234" s="564"/>
      <c r="BW234" s="564"/>
      <c r="BX234" s="564"/>
      <c r="BY234" s="564"/>
      <c r="BZ234" s="564"/>
      <c r="CA234" s="564"/>
      <c r="CB234" s="564"/>
      <c r="CC234" s="564"/>
      <c r="CD234" s="564"/>
      <c r="CE234" s="564"/>
      <c r="CF234" s="564"/>
      <c r="CG234" s="564"/>
      <c r="CH234" s="564"/>
      <c r="CI234" s="564"/>
      <c r="CJ234" s="564"/>
      <c r="CK234" s="564"/>
      <c r="CL234" s="564"/>
      <c r="CM234" s="564"/>
      <c r="CN234" s="564"/>
      <c r="CO234" s="564"/>
      <c r="CP234" s="564"/>
      <c r="CQ234" s="564"/>
      <c r="CR234" s="564"/>
      <c r="CS234" s="564"/>
      <c r="CT234" s="564"/>
      <c r="CU234" s="564"/>
      <c r="CV234" s="564"/>
      <c r="CW234" s="564"/>
      <c r="CX234" s="564"/>
      <c r="CY234" s="564"/>
      <c r="CZ234" s="564"/>
      <c r="DA234" s="564"/>
      <c r="DB234" s="564"/>
      <c r="DC234" s="564"/>
      <c r="DD234" s="564"/>
      <c r="DE234" s="564"/>
      <c r="DF234" s="564"/>
      <c r="DG234" s="564"/>
      <c r="DH234" s="564"/>
    </row>
    <row r="235" spans="2:112" s="194" customFormat="1" ht="12.75" x14ac:dyDescent="0.2">
      <c r="B235" s="34"/>
      <c r="C235" s="5" t="str">
        <f>CONCATENATE("",DM4_Vaccine)</f>
        <v/>
      </c>
      <c r="D235" s="26" t="e">
        <f>E192</f>
        <v>#N/A</v>
      </c>
      <c r="E235" s="26" t="e">
        <f>E167</f>
        <v>#N/A</v>
      </c>
      <c r="F235" s="455" t="e">
        <f>E199</f>
        <v>#N/A</v>
      </c>
      <c r="G235" s="26" t="e">
        <f>E184</f>
        <v>#N/A</v>
      </c>
      <c r="H235" s="26"/>
      <c r="I235" s="26"/>
      <c r="J235" s="26"/>
      <c r="K235" s="56"/>
      <c r="L235" s="567"/>
      <c r="M235" s="567"/>
      <c r="O235" s="564"/>
      <c r="P235" s="564"/>
      <c r="Q235" s="564"/>
      <c r="R235" s="564"/>
      <c r="S235" s="564"/>
      <c r="T235" s="564"/>
      <c r="U235" s="564"/>
      <c r="V235" s="564"/>
      <c r="W235" s="564"/>
      <c r="X235" s="564"/>
      <c r="Y235" s="564"/>
      <c r="Z235" s="564"/>
      <c r="AA235" s="564"/>
      <c r="AB235" s="564"/>
      <c r="AC235" s="564"/>
      <c r="AD235" s="564"/>
      <c r="AE235" s="564"/>
      <c r="AF235" s="564"/>
      <c r="AG235" s="564"/>
      <c r="AH235" s="564"/>
      <c r="AI235" s="564"/>
      <c r="AJ235" s="564"/>
      <c r="AK235" s="564"/>
      <c r="AL235" s="564"/>
      <c r="AM235" s="564"/>
      <c r="AN235" s="564"/>
      <c r="AO235" s="564"/>
      <c r="AP235" s="564"/>
      <c r="AQ235" s="564"/>
      <c r="AR235" s="564"/>
      <c r="AS235" s="564"/>
      <c r="AT235" s="564"/>
      <c r="AU235" s="564"/>
      <c r="AV235" s="564"/>
      <c r="AW235" s="564"/>
      <c r="AX235" s="564"/>
      <c r="AY235" s="564"/>
      <c r="AZ235" s="564"/>
      <c r="BA235" s="564"/>
      <c r="BB235" s="564"/>
      <c r="BC235" s="564"/>
      <c r="BD235" s="564"/>
      <c r="BE235" s="564"/>
      <c r="BF235" s="564"/>
      <c r="BG235" s="564"/>
      <c r="BH235" s="564"/>
      <c r="BI235" s="564"/>
      <c r="BJ235" s="564"/>
      <c r="BK235" s="564"/>
      <c r="BL235" s="564"/>
      <c r="BM235" s="564"/>
      <c r="BN235" s="564"/>
      <c r="BO235" s="564"/>
      <c r="BP235" s="564"/>
      <c r="BQ235" s="564"/>
      <c r="BR235" s="564"/>
      <c r="BS235" s="564"/>
      <c r="BT235" s="564"/>
      <c r="BU235" s="564"/>
      <c r="BV235" s="564"/>
      <c r="BW235" s="564"/>
      <c r="BX235" s="564"/>
      <c r="BY235" s="564"/>
      <c r="BZ235" s="564"/>
      <c r="CA235" s="564"/>
      <c r="CB235" s="564"/>
      <c r="CC235" s="564"/>
      <c r="CD235" s="564"/>
      <c r="CE235" s="564"/>
      <c r="CF235" s="564"/>
      <c r="CG235" s="564"/>
      <c r="CH235" s="564"/>
      <c r="CI235" s="564"/>
      <c r="CJ235" s="564"/>
      <c r="CK235" s="564"/>
      <c r="CL235" s="564"/>
      <c r="CM235" s="564"/>
      <c r="CN235" s="564"/>
      <c r="CO235" s="564"/>
      <c r="CP235" s="564"/>
      <c r="CQ235" s="564"/>
      <c r="CR235" s="564"/>
      <c r="CS235" s="564"/>
      <c r="CT235" s="564"/>
      <c r="CU235" s="564"/>
      <c r="CV235" s="564"/>
      <c r="CW235" s="564"/>
      <c r="CX235" s="564"/>
      <c r="CY235" s="564"/>
      <c r="CZ235" s="564"/>
      <c r="DA235" s="564"/>
      <c r="DB235" s="564"/>
      <c r="DC235" s="564"/>
      <c r="DD235" s="564"/>
      <c r="DE235" s="564"/>
      <c r="DF235" s="564"/>
      <c r="DG235" s="564"/>
      <c r="DH235" s="564"/>
    </row>
    <row r="236" spans="2:112" s="194" customFormat="1" ht="13.5" thickBot="1" x14ac:dyDescent="0.25">
      <c r="B236" s="34"/>
      <c r="C236" s="21" t="str">
        <f ca="1">IF(OFFSET(R236,0,Lang_Order*Lang__B1)="","",OFFSET(R236,0,Lang_Order*Lang__B1))</f>
        <v>Total</v>
      </c>
      <c r="D236" s="119" t="e">
        <f>SUM(D232:D235)</f>
        <v>#N/A</v>
      </c>
      <c r="E236" s="119" t="e">
        <f>SUM(E232:E235)</f>
        <v>#N/A</v>
      </c>
      <c r="F236" s="457" t="e">
        <f t="shared" ref="F236:G236" si="188">SUM(F232:F235)</f>
        <v>#N/A</v>
      </c>
      <c r="G236" s="119" t="e">
        <f t="shared" si="188"/>
        <v>#N/A</v>
      </c>
      <c r="H236" s="119"/>
      <c r="I236" s="119"/>
      <c r="J236" s="119"/>
      <c r="K236" s="119"/>
      <c r="L236" s="567"/>
      <c r="M236" s="567"/>
      <c r="O236" s="564"/>
      <c r="P236" s="564"/>
      <c r="Q236" s="564"/>
      <c r="R236" s="564" t="s">
        <v>1605</v>
      </c>
      <c r="S236" s="564"/>
      <c r="T236" s="564"/>
      <c r="U236" s="564"/>
      <c r="V236" s="564"/>
      <c r="W236" s="564"/>
      <c r="X236" s="564"/>
      <c r="Y236" s="564"/>
      <c r="Z236" s="564"/>
      <c r="AA236" s="564"/>
      <c r="AB236" s="564"/>
      <c r="AC236" s="564"/>
      <c r="AD236" s="564"/>
      <c r="AE236" s="564"/>
      <c r="AF236" s="564" t="s">
        <v>1605</v>
      </c>
      <c r="AG236" s="564"/>
      <c r="AH236" s="564"/>
      <c r="AI236" s="564"/>
      <c r="AJ236" s="564"/>
      <c r="AK236" s="564"/>
      <c r="AL236" s="564"/>
      <c r="AM236" s="564"/>
      <c r="AN236" s="564"/>
      <c r="AO236" s="564"/>
      <c r="AP236" s="564"/>
      <c r="AQ236" s="564"/>
      <c r="AR236" s="564"/>
      <c r="AS236" s="564"/>
      <c r="AT236" s="564" t="s">
        <v>4676</v>
      </c>
      <c r="AU236" s="564"/>
      <c r="AV236" s="564"/>
      <c r="AW236" s="564"/>
      <c r="AX236" s="564"/>
      <c r="AY236" s="564"/>
      <c r="AZ236" s="564"/>
      <c r="BA236" s="564"/>
      <c r="BB236" s="564"/>
      <c r="BC236" s="564"/>
      <c r="BD236" s="564"/>
      <c r="BE236" s="564"/>
      <c r="BF236" s="564"/>
      <c r="BG236" s="564"/>
      <c r="BH236" s="564" t="s">
        <v>1605</v>
      </c>
      <c r="BI236" s="564"/>
      <c r="BJ236" s="564"/>
      <c r="BK236" s="564"/>
      <c r="BL236" s="564"/>
      <c r="BM236" s="564"/>
      <c r="BN236" s="564"/>
      <c r="BO236" s="564"/>
      <c r="BP236" s="564"/>
      <c r="BQ236" s="564"/>
      <c r="BR236" s="564"/>
      <c r="BS236" s="564"/>
      <c r="BT236" s="564"/>
      <c r="BU236" s="564"/>
      <c r="BV236" s="564" t="s">
        <v>1605</v>
      </c>
      <c r="BW236" s="564"/>
      <c r="BX236" s="564"/>
      <c r="BY236" s="564"/>
      <c r="BZ236" s="564"/>
      <c r="CA236" s="564"/>
      <c r="CB236" s="564"/>
      <c r="CC236" s="564"/>
      <c r="CD236" s="564"/>
      <c r="CE236" s="564"/>
      <c r="CF236" s="564"/>
      <c r="CG236" s="564"/>
      <c r="CH236" s="564"/>
      <c r="CI236" s="564"/>
      <c r="CJ236" s="564" t="s">
        <v>4686</v>
      </c>
      <c r="CK236" s="564"/>
      <c r="CL236" s="564"/>
      <c r="CM236" s="564"/>
      <c r="CN236" s="564"/>
      <c r="CO236" s="564"/>
      <c r="CP236" s="564"/>
      <c r="CQ236" s="564"/>
      <c r="CR236" s="564"/>
      <c r="CS236" s="564"/>
      <c r="CT236" s="564"/>
      <c r="CU236" s="564"/>
      <c r="CV236" s="564"/>
      <c r="CW236" s="564"/>
      <c r="CX236" s="564" t="s">
        <v>4694</v>
      </c>
      <c r="CY236" s="564"/>
      <c r="CZ236" s="564"/>
      <c r="DA236" s="564"/>
      <c r="DB236" s="564"/>
      <c r="DC236" s="564"/>
      <c r="DD236" s="564"/>
      <c r="DE236" s="564"/>
      <c r="DF236" s="564"/>
      <c r="DG236" s="564"/>
      <c r="DH236" s="564"/>
    </row>
    <row r="237" spans="2:112" s="194" customFormat="1" ht="13.5" thickTop="1" x14ac:dyDescent="0.2">
      <c r="B237" s="34"/>
      <c r="C237" s="270" t="str">
        <f ca="1">IF(OFFSET(R237,0,Lang_Order*Lang__B1)="","",OFFSET(R237,0,Lang_Order*Lang__B1))</f>
        <v>Percent of 2020 Population</v>
      </c>
      <c r="D237" s="162" t="e">
        <f>D236/Pop_Total_2020</f>
        <v>#N/A</v>
      </c>
      <c r="E237" s="162" t="e">
        <f>E236/Pop_Total_2020</f>
        <v>#N/A</v>
      </c>
      <c r="F237" s="458" t="e">
        <f>F236/Pop_Total_2020</f>
        <v>#N/A</v>
      </c>
      <c r="G237" s="162" t="e">
        <f>G236/Pop_Total_2020</f>
        <v>#N/A</v>
      </c>
      <c r="J237" s="16"/>
      <c r="K237" s="56"/>
      <c r="L237" s="567"/>
      <c r="M237" s="567"/>
      <c r="O237" s="564"/>
      <c r="P237" s="564"/>
      <c r="Q237" s="564"/>
      <c r="R237" s="564" t="s">
        <v>3939</v>
      </c>
      <c r="S237" s="564"/>
      <c r="T237" s="564"/>
      <c r="U237" s="564"/>
      <c r="V237" s="564"/>
      <c r="W237" s="564"/>
      <c r="X237" s="564"/>
      <c r="Y237" s="564"/>
      <c r="Z237" s="564"/>
      <c r="AA237" s="564"/>
      <c r="AB237" s="564"/>
      <c r="AC237" s="564"/>
      <c r="AD237" s="564"/>
      <c r="AE237" s="564"/>
      <c r="AF237" s="564" t="s">
        <v>9933</v>
      </c>
      <c r="AG237" s="564"/>
      <c r="AH237" s="564"/>
      <c r="AI237" s="564"/>
      <c r="AJ237" s="564"/>
      <c r="AK237" s="564"/>
      <c r="AL237" s="564"/>
      <c r="AM237" s="564"/>
      <c r="AN237" s="564"/>
      <c r="AO237" s="564"/>
      <c r="AP237" s="564"/>
      <c r="AQ237" s="564"/>
      <c r="AR237" s="564"/>
      <c r="AS237" s="564"/>
      <c r="AT237" s="564" t="s">
        <v>9935</v>
      </c>
      <c r="AU237" s="564"/>
      <c r="AV237" s="564"/>
      <c r="AW237" s="564"/>
      <c r="AX237" s="564"/>
      <c r="AY237" s="564"/>
      <c r="AZ237" s="564"/>
      <c r="BA237" s="564"/>
      <c r="BB237" s="564"/>
      <c r="BC237" s="564"/>
      <c r="BD237" s="564"/>
      <c r="BE237" s="564"/>
      <c r="BF237" s="564"/>
      <c r="BG237" s="564"/>
      <c r="BH237" s="564" t="s">
        <v>9937</v>
      </c>
      <c r="BI237" s="564"/>
      <c r="BJ237" s="564"/>
      <c r="BK237" s="564"/>
      <c r="BL237" s="564"/>
      <c r="BM237" s="564"/>
      <c r="BN237" s="564"/>
      <c r="BO237" s="564"/>
      <c r="BP237" s="564"/>
      <c r="BQ237" s="564"/>
      <c r="BR237" s="564"/>
      <c r="BS237" s="564"/>
      <c r="BT237" s="564"/>
      <c r="BU237" s="564"/>
      <c r="BV237" s="564" t="s">
        <v>9939</v>
      </c>
      <c r="BW237" s="564"/>
      <c r="BX237" s="564"/>
      <c r="BY237" s="564"/>
      <c r="BZ237" s="564"/>
      <c r="CA237" s="564"/>
      <c r="CB237" s="564"/>
      <c r="CC237" s="564"/>
      <c r="CD237" s="564"/>
      <c r="CE237" s="564"/>
      <c r="CF237" s="564"/>
      <c r="CG237" s="564"/>
      <c r="CH237" s="564"/>
      <c r="CI237" s="564"/>
      <c r="CJ237" s="564" t="s">
        <v>9941</v>
      </c>
      <c r="CK237" s="564"/>
      <c r="CL237" s="564"/>
      <c r="CM237" s="564"/>
      <c r="CN237" s="564"/>
      <c r="CO237" s="564"/>
      <c r="CP237" s="564"/>
      <c r="CQ237" s="564"/>
      <c r="CR237" s="564"/>
      <c r="CS237" s="564"/>
      <c r="CT237" s="564"/>
      <c r="CU237" s="564"/>
      <c r="CV237" s="564"/>
      <c r="CW237" s="564"/>
      <c r="CX237" s="564" t="s">
        <v>9943</v>
      </c>
      <c r="CY237" s="564"/>
      <c r="CZ237" s="564"/>
      <c r="DA237" s="564"/>
      <c r="DB237" s="564"/>
      <c r="DC237" s="564"/>
      <c r="DD237" s="564"/>
      <c r="DE237" s="564"/>
      <c r="DF237" s="564"/>
      <c r="DG237" s="564"/>
      <c r="DH237" s="564"/>
    </row>
    <row r="238" spans="2:112" s="194" customFormat="1" ht="12.75" x14ac:dyDescent="0.2">
      <c r="B238" s="34"/>
      <c r="C238" s="5"/>
      <c r="J238" s="44"/>
      <c r="K238" s="44"/>
      <c r="L238" s="567"/>
      <c r="M238" s="567"/>
      <c r="O238" s="564"/>
      <c r="P238" s="564"/>
      <c r="Q238" s="564"/>
      <c r="R238" s="564"/>
      <c r="S238" s="564"/>
      <c r="T238" s="564"/>
      <c r="U238" s="564"/>
      <c r="V238" s="564"/>
      <c r="W238" s="564"/>
      <c r="X238" s="564"/>
      <c r="Y238" s="564"/>
      <c r="Z238" s="564"/>
      <c r="AA238" s="564"/>
      <c r="AB238" s="564"/>
      <c r="AC238" s="564"/>
      <c r="AD238" s="564"/>
      <c r="AE238" s="564"/>
      <c r="AF238" s="564"/>
      <c r="AG238" s="564"/>
      <c r="AH238" s="564"/>
      <c r="AI238" s="564"/>
      <c r="AJ238" s="564"/>
      <c r="AK238" s="564"/>
      <c r="AL238" s="564"/>
      <c r="AM238" s="564"/>
      <c r="AN238" s="564"/>
      <c r="AO238" s="564"/>
      <c r="AP238" s="564"/>
      <c r="AQ238" s="564"/>
      <c r="AR238" s="564"/>
      <c r="AS238" s="564"/>
      <c r="AT238" s="564"/>
      <c r="AU238" s="564"/>
      <c r="AV238" s="564"/>
      <c r="AW238" s="564"/>
      <c r="AX238" s="564"/>
      <c r="AY238" s="564"/>
      <c r="AZ238" s="564"/>
      <c r="BA238" s="564"/>
      <c r="BB238" s="564"/>
      <c r="BC238" s="564"/>
      <c r="BD238" s="564"/>
      <c r="BE238" s="564"/>
      <c r="BF238" s="564"/>
      <c r="BG238" s="564"/>
      <c r="BH238" s="564"/>
      <c r="BI238" s="564"/>
      <c r="BJ238" s="564"/>
      <c r="BK238" s="564"/>
      <c r="BL238" s="564"/>
      <c r="BM238" s="564"/>
      <c r="BN238" s="564"/>
      <c r="BO238" s="564"/>
      <c r="BP238" s="564"/>
      <c r="BQ238" s="564"/>
      <c r="BR238" s="564"/>
      <c r="BS238" s="564"/>
      <c r="BT238" s="564"/>
      <c r="BU238" s="564"/>
      <c r="BV238" s="564"/>
      <c r="BW238" s="564"/>
      <c r="BX238" s="564"/>
      <c r="BY238" s="564"/>
      <c r="BZ238" s="564"/>
      <c r="CA238" s="564"/>
      <c r="CB238" s="564"/>
      <c r="CC238" s="564"/>
      <c r="CD238" s="564"/>
      <c r="CE238" s="564"/>
      <c r="CF238" s="564"/>
      <c r="CG238" s="564"/>
      <c r="CH238" s="564"/>
      <c r="CI238" s="564"/>
      <c r="CJ238" s="564"/>
      <c r="CK238" s="564"/>
      <c r="CL238" s="564"/>
      <c r="CM238" s="564"/>
      <c r="CN238" s="564"/>
      <c r="CO238" s="564"/>
      <c r="CP238" s="564"/>
      <c r="CQ238" s="564"/>
      <c r="CR238" s="564"/>
      <c r="CS238" s="564"/>
      <c r="CT238" s="564"/>
      <c r="CU238" s="564"/>
      <c r="CV238" s="564"/>
      <c r="CW238" s="564"/>
      <c r="CX238" s="564"/>
      <c r="CY238" s="564"/>
      <c r="CZ238" s="564"/>
      <c r="DA238" s="564"/>
      <c r="DB238" s="564"/>
      <c r="DC238" s="564"/>
      <c r="DD238" s="564"/>
      <c r="DE238" s="564"/>
      <c r="DF238" s="564"/>
      <c r="DG238" s="564"/>
      <c r="DH238" s="564"/>
    </row>
    <row r="239" spans="2:112" s="27" customFormat="1" ht="19.5" x14ac:dyDescent="0.3">
      <c r="C239" s="28"/>
      <c r="J239" s="163"/>
      <c r="K239" s="163"/>
      <c r="N239" s="299"/>
      <c r="O239" s="564"/>
      <c r="P239" s="564"/>
      <c r="Q239" s="564"/>
      <c r="R239" s="564"/>
      <c r="S239" s="564"/>
      <c r="T239" s="564"/>
      <c r="U239" s="564"/>
      <c r="V239" s="564"/>
      <c r="W239" s="564"/>
      <c r="X239" s="564"/>
      <c r="Y239" s="564"/>
      <c r="Z239" s="564"/>
      <c r="AA239" s="564"/>
      <c r="AB239" s="564"/>
      <c r="AC239" s="564"/>
      <c r="AD239" s="564"/>
      <c r="AE239" s="564"/>
      <c r="AF239" s="564"/>
      <c r="AG239" s="564"/>
      <c r="AH239" s="564"/>
      <c r="AI239" s="564"/>
      <c r="AJ239" s="564"/>
      <c r="AK239" s="564"/>
      <c r="AL239" s="564"/>
      <c r="AM239" s="564"/>
      <c r="AN239" s="564"/>
      <c r="AO239" s="564"/>
      <c r="AP239" s="564"/>
      <c r="AQ239" s="564"/>
      <c r="AR239" s="564"/>
      <c r="AS239" s="564"/>
      <c r="AT239" s="564"/>
      <c r="AU239" s="564"/>
      <c r="AV239" s="564"/>
      <c r="AW239" s="564"/>
      <c r="AX239" s="564"/>
      <c r="AY239" s="564"/>
      <c r="AZ239" s="564"/>
      <c r="BA239" s="564"/>
      <c r="BB239" s="564"/>
      <c r="BC239" s="564"/>
      <c r="BD239" s="564"/>
      <c r="BE239" s="564"/>
      <c r="BF239" s="564"/>
      <c r="BG239" s="564"/>
      <c r="BH239" s="564"/>
      <c r="BI239" s="564"/>
      <c r="BJ239" s="564"/>
      <c r="BK239" s="564"/>
      <c r="BL239" s="564"/>
      <c r="BM239" s="564"/>
      <c r="BN239" s="564"/>
      <c r="BO239" s="564"/>
      <c r="BP239" s="564"/>
      <c r="BQ239" s="564"/>
      <c r="BR239" s="564"/>
      <c r="BS239" s="564"/>
      <c r="BT239" s="564"/>
      <c r="BU239" s="564"/>
      <c r="BV239" s="564"/>
      <c r="BW239" s="564"/>
      <c r="BX239" s="564"/>
      <c r="BY239" s="564"/>
      <c r="BZ239" s="564"/>
      <c r="CA239" s="564"/>
      <c r="CB239" s="564"/>
      <c r="CC239" s="564"/>
      <c r="CD239" s="564"/>
      <c r="CE239" s="564"/>
      <c r="CF239" s="564"/>
      <c r="CG239" s="564"/>
      <c r="CH239" s="564"/>
      <c r="CI239" s="564"/>
      <c r="CJ239" s="564"/>
      <c r="CK239" s="564"/>
      <c r="CL239" s="564"/>
      <c r="CM239" s="564"/>
      <c r="CN239" s="564"/>
      <c r="CO239" s="564"/>
      <c r="CP239" s="564"/>
      <c r="CQ239" s="564"/>
      <c r="CR239" s="564"/>
      <c r="CS239" s="564"/>
      <c r="CT239" s="564"/>
      <c r="CU239" s="564"/>
      <c r="CV239" s="564"/>
      <c r="CW239" s="564"/>
      <c r="CX239" s="564"/>
      <c r="CY239" s="564"/>
      <c r="CZ239" s="564"/>
      <c r="DA239" s="564"/>
      <c r="DB239" s="564"/>
      <c r="DC239" s="564"/>
      <c r="DD239" s="564"/>
      <c r="DE239" s="564"/>
      <c r="DF239" s="564"/>
      <c r="DG239" s="564"/>
      <c r="DH239" s="564"/>
    </row>
    <row r="240" spans="2:112" s="567" customFormat="1" ht="12.75" x14ac:dyDescent="0.2"/>
    <row r="241" spans="1:8" s="567" customFormat="1" ht="12.75" x14ac:dyDescent="0.2"/>
    <row r="242" spans="1:8" s="567" customFormat="1" ht="12.75" x14ac:dyDescent="0.2"/>
    <row r="243" spans="1:8" s="567" customFormat="1" ht="12.75" x14ac:dyDescent="0.2">
      <c r="A243" s="684" t="str">
        <f>WHO_Copyright</f>
        <v>© World Health Organization and the United Nations Children’s Fund (UNICEF), 2022. Some rights reserved. This work is available under the CC BY-NC-SA 3.0 IGO licence.</v>
      </c>
      <c r="B243" s="684"/>
      <c r="C243" s="684"/>
      <c r="D243" s="684"/>
      <c r="E243" s="684"/>
      <c r="F243" s="684"/>
      <c r="G243" s="684"/>
      <c r="H243" s="684"/>
    </row>
    <row r="244" spans="1:8" s="567" customFormat="1" ht="12.75" x14ac:dyDescent="0.2">
      <c r="A244" s="671" t="str">
        <f>WHO_Reference</f>
        <v>WHO reference number: WHO/2019-nCoV/Vaccine_deployment_tool/2022.1</v>
      </c>
      <c r="B244" s="671"/>
      <c r="C244" s="671"/>
      <c r="D244" s="671"/>
      <c r="E244" s="671"/>
      <c r="F244" s="671"/>
      <c r="G244" s="671"/>
      <c r="H244" s="671"/>
    </row>
    <row r="245" spans="1:8" s="567" customFormat="1" ht="12.75" x14ac:dyDescent="0.2"/>
    <row r="246" spans="1:8" s="567" customFormat="1" ht="12.75" x14ac:dyDescent="0.2"/>
    <row r="247" spans="1:8" s="567" customFormat="1" ht="12.75" x14ac:dyDescent="0.2"/>
    <row r="248" spans="1:8" s="567" customFormat="1" ht="12.75" x14ac:dyDescent="0.2"/>
    <row r="249" spans="1:8" s="567" customFormat="1" ht="12.75" x14ac:dyDescent="0.2"/>
    <row r="250" spans="1:8" s="567" customFormat="1" ht="12.75" x14ac:dyDescent="0.2"/>
    <row r="251" spans="1:8" s="567" customFormat="1" ht="12.75" x14ac:dyDescent="0.2"/>
    <row r="252" spans="1:8" s="567" customFormat="1" ht="12.75" x14ac:dyDescent="0.2"/>
    <row r="253" spans="1:8" s="567" customFormat="1" ht="12.75" x14ac:dyDescent="0.2"/>
    <row r="254" spans="1:8" s="567" customFormat="1" ht="12.75" x14ac:dyDescent="0.2"/>
    <row r="255" spans="1:8" s="567" customFormat="1" ht="12.75" x14ac:dyDescent="0.2"/>
    <row r="256" spans="1:8" s="567" customFormat="1" ht="12.75" x14ac:dyDescent="0.2"/>
    <row r="257" s="567" customFormat="1" ht="12.75" x14ac:dyDescent="0.2"/>
    <row r="258" s="567" customFormat="1" ht="12.75" x14ac:dyDescent="0.2"/>
    <row r="259" s="567" customFormat="1" ht="12.75" x14ac:dyDescent="0.2"/>
    <row r="260" s="567" customFormat="1" ht="12.75" x14ac:dyDescent="0.2"/>
    <row r="261" s="567" customFormat="1" ht="12.75" x14ac:dyDescent="0.2"/>
    <row r="262" s="567" customFormat="1" ht="12.75" x14ac:dyDescent="0.2"/>
    <row r="263" s="567" customFormat="1" ht="12.75" x14ac:dyDescent="0.2"/>
    <row r="264" s="567" customFormat="1" ht="12.75" x14ac:dyDescent="0.2"/>
    <row r="265" s="567" customFormat="1" ht="12.75" x14ac:dyDescent="0.2"/>
    <row r="266" s="567" customFormat="1" ht="12.75" x14ac:dyDescent="0.2"/>
    <row r="267" s="567" customFormat="1" ht="12.75" x14ac:dyDescent="0.2"/>
    <row r="268" s="567" customFormat="1" ht="12.75" x14ac:dyDescent="0.2"/>
    <row r="269" s="567" customFormat="1" ht="12.75" x14ac:dyDescent="0.2"/>
    <row r="270" s="567" customFormat="1" ht="12.75" x14ac:dyDescent="0.2"/>
    <row r="271" s="567" customFormat="1" ht="12.75" x14ac:dyDescent="0.2"/>
    <row r="272" s="567" customFormat="1" ht="12.75" x14ac:dyDescent="0.2"/>
    <row r="273" s="567" customFormat="1" ht="12.75" x14ac:dyDescent="0.2"/>
    <row r="274" s="567" customFormat="1" ht="12.75" x14ac:dyDescent="0.2"/>
    <row r="275" s="567" customFormat="1" ht="12.75" x14ac:dyDescent="0.2"/>
    <row r="276" s="567" customFormat="1" ht="12.75" x14ac:dyDescent="0.2"/>
    <row r="277" s="567" customFormat="1" ht="12.75" x14ac:dyDescent="0.2"/>
    <row r="278" s="567" customFormat="1" ht="12.75" x14ac:dyDescent="0.2"/>
    <row r="279" s="567" customFormat="1" ht="12.75" x14ac:dyDescent="0.2"/>
    <row r="280" s="567" customFormat="1" ht="12.75" x14ac:dyDescent="0.2"/>
  </sheetData>
  <sheetProtection algorithmName="SHA-512" hashValue="s/kfBWyIhwoVgECd0DdhB8DBvAXs3htCDZhjnJIaecHmpzEZvWeAi5uzZzkLsAmuUYYK86Q7ZixfHkHeVcmanA==" saltValue="4RWIdcE9nyWEkhG/KeJdbA==" spinCount="100000" sheet="1" objects="1" scenarios="1"/>
  <mergeCells count="20">
    <mergeCell ref="H208:J208"/>
    <mergeCell ref="A244:H244"/>
    <mergeCell ref="C4:K4"/>
    <mergeCell ref="D219:G219"/>
    <mergeCell ref="C69:I69"/>
    <mergeCell ref="C76:I76"/>
    <mergeCell ref="A243:H243"/>
    <mergeCell ref="D230:G230"/>
    <mergeCell ref="D208:G208"/>
    <mergeCell ref="D5:I5"/>
    <mergeCell ref="D53:I53"/>
    <mergeCell ref="D112:I112"/>
    <mergeCell ref="D6:E6"/>
    <mergeCell ref="F6:G6"/>
    <mergeCell ref="H6:I6"/>
    <mergeCell ref="D57:I57"/>
    <mergeCell ref="D24:I24"/>
    <mergeCell ref="D9:I9"/>
    <mergeCell ref="C86:I86"/>
    <mergeCell ref="C54:K54"/>
  </mergeCells>
  <conditionalFormatting sqref="J85:J88">
    <cfRule type="containsText" dxfId="259" priority="164" operator="containsText" text="OK">
      <formula>NOT(ISERROR(SEARCH("OK",J85)))</formula>
    </cfRule>
    <cfRule type="expression" dxfId="258" priority="165">
      <formula>"OK"</formula>
    </cfRule>
  </conditionalFormatting>
  <conditionalFormatting sqref="J51">
    <cfRule type="containsText" dxfId="257" priority="161" operator="containsText" text="OK">
      <formula>NOT(ISERROR(SEARCH("OK",J51)))</formula>
    </cfRule>
    <cfRule type="expression" dxfId="256" priority="162">
      <formula>"OK"</formula>
    </cfRule>
  </conditionalFormatting>
  <conditionalFormatting sqref="J106">
    <cfRule type="containsText" dxfId="255" priority="153" operator="containsText" text="OK">
      <formula>NOT(ISERROR(SEARCH("OK",J106)))</formula>
    </cfRule>
    <cfRule type="expression" dxfId="254" priority="154">
      <formula>"OK"</formula>
    </cfRule>
  </conditionalFormatting>
  <conditionalFormatting sqref="J107:J109">
    <cfRule type="containsText" dxfId="253" priority="150" operator="containsText" text="OK">
      <formula>NOT(ISERROR(SEARCH("OK",J107)))</formula>
    </cfRule>
    <cfRule type="expression" dxfId="252" priority="151">
      <formula>"OK"</formula>
    </cfRule>
  </conditionalFormatting>
  <conditionalFormatting sqref="D108:I109">
    <cfRule type="iconSet" priority="149">
      <iconSet iconSet="5Quarters">
        <cfvo type="percent" val="0"/>
        <cfvo type="percent" val="20"/>
        <cfvo type="percent" val="40"/>
        <cfvo type="percent" val="60"/>
        <cfvo type="percent" val="80"/>
      </iconSet>
    </cfRule>
  </conditionalFormatting>
  <conditionalFormatting sqref="J211">
    <cfRule type="containsText" dxfId="251" priority="148" operator="containsText" text="OK">
      <formula>NOT(ISERROR(SEARCH("OK",J211)))</formula>
    </cfRule>
  </conditionalFormatting>
  <conditionalFormatting sqref="J51">
    <cfRule type="iconSet" priority="147">
      <iconSet iconSet="5Quarters">
        <cfvo type="percent" val="0"/>
        <cfvo type="percent" val="20"/>
        <cfvo type="percent" val="40"/>
        <cfvo type="percent" val="60"/>
        <cfvo type="percent" val="80"/>
      </iconSet>
    </cfRule>
  </conditionalFormatting>
  <conditionalFormatting sqref="D25:I51">
    <cfRule type="dataBar" priority="236">
      <dataBar>
        <cfvo type="min"/>
        <cfvo type="max"/>
        <color rgb="FF008DC9"/>
      </dataBar>
      <extLst>
        <ext xmlns:x14="http://schemas.microsoft.com/office/spreadsheetml/2009/9/main" uri="{B025F937-C7B1-47D3-B67F-A62EFF666E3E}">
          <x14:id>{DE409937-D32C-47CB-8111-630CF836927C}</x14:id>
        </ext>
      </extLst>
    </cfRule>
  </conditionalFormatting>
  <conditionalFormatting sqref="D116:I117 D119:I142">
    <cfRule type="dataBar" priority="100">
      <dataBar>
        <cfvo type="min"/>
        <cfvo type="max"/>
        <color rgb="FF008DC9"/>
      </dataBar>
      <extLst>
        <ext xmlns:x14="http://schemas.microsoft.com/office/spreadsheetml/2009/9/main" uri="{B025F937-C7B1-47D3-B67F-A62EFF666E3E}">
          <x14:id>{2B58BF10-93AA-4B71-ADBA-7F3A909493D8}</x14:id>
        </ext>
      </extLst>
    </cfRule>
  </conditionalFormatting>
  <conditionalFormatting sqref="J106">
    <cfRule type="iconSet" priority="239">
      <iconSet iconSet="5Quarters">
        <cfvo type="percent" val="0"/>
        <cfvo type="percent" val="20"/>
        <cfvo type="percent" val="40"/>
        <cfvo type="percent" val="60"/>
        <cfvo type="percent" val="80"/>
      </iconSet>
    </cfRule>
  </conditionalFormatting>
  <conditionalFormatting sqref="J107">
    <cfRule type="iconSet" priority="240">
      <iconSet iconSet="5Quarters">
        <cfvo type="percent" val="0"/>
        <cfvo type="percent" val="20"/>
        <cfvo type="percent" val="40"/>
        <cfvo type="percent" val="60"/>
        <cfvo type="percent" val="80"/>
      </iconSet>
    </cfRule>
  </conditionalFormatting>
  <conditionalFormatting sqref="D58:I58">
    <cfRule type="iconSet" priority="241">
      <iconSet iconSet="5Quarters">
        <cfvo type="percent" val="0"/>
        <cfvo type="percent" val="20"/>
        <cfvo type="percent" val="40"/>
        <cfvo type="percent" val="60"/>
        <cfvo type="percent" val="80"/>
      </iconSet>
    </cfRule>
  </conditionalFormatting>
  <conditionalFormatting sqref="D59:I59">
    <cfRule type="iconSet" priority="242">
      <iconSet iconSet="5Quarters">
        <cfvo type="percent" val="0"/>
        <cfvo type="percent" val="20"/>
        <cfvo type="percent" val="40"/>
        <cfvo type="percent" val="60"/>
        <cfvo type="percent" val="80"/>
      </iconSet>
    </cfRule>
  </conditionalFormatting>
  <conditionalFormatting sqref="D62:I62">
    <cfRule type="iconSet" priority="243">
      <iconSet iconSet="5Quarters">
        <cfvo type="percent" val="0"/>
        <cfvo type="percent" val="20"/>
        <cfvo type="percent" val="40"/>
        <cfvo type="percent" val="60"/>
        <cfvo type="percent" val="80"/>
      </iconSet>
    </cfRule>
  </conditionalFormatting>
  <conditionalFormatting sqref="D64:I64">
    <cfRule type="iconSet" priority="244">
      <iconSet iconSet="5Quarters">
        <cfvo type="percent" val="0"/>
        <cfvo type="percent" val="20"/>
        <cfvo type="percent" val="40"/>
        <cfvo type="percent" val="60"/>
        <cfvo type="percent" val="80"/>
      </iconSet>
    </cfRule>
  </conditionalFormatting>
  <conditionalFormatting sqref="D66:I66">
    <cfRule type="iconSet" priority="245">
      <iconSet iconSet="5Quarters">
        <cfvo type="percent" val="0"/>
        <cfvo type="percent" val="20"/>
        <cfvo type="percent" val="40"/>
        <cfvo type="percent" val="60"/>
        <cfvo type="percent" val="80"/>
      </iconSet>
    </cfRule>
  </conditionalFormatting>
  <conditionalFormatting sqref="D70:I70">
    <cfRule type="iconSet" priority="246">
      <iconSet iconSet="5Quarters">
        <cfvo type="percent" val="0"/>
        <cfvo type="percent" val="20"/>
        <cfvo type="percent" val="40"/>
        <cfvo type="percent" val="60"/>
        <cfvo type="percent" val="80"/>
      </iconSet>
    </cfRule>
  </conditionalFormatting>
  <conditionalFormatting sqref="D71:I71">
    <cfRule type="iconSet" priority="247">
      <iconSet iconSet="5Quarters">
        <cfvo type="percent" val="0"/>
        <cfvo type="percent" val="20"/>
        <cfvo type="percent" val="40"/>
        <cfvo type="percent" val="60"/>
        <cfvo type="percent" val="80"/>
      </iconSet>
    </cfRule>
  </conditionalFormatting>
  <conditionalFormatting sqref="D73:I73">
    <cfRule type="iconSet" priority="248">
      <iconSet iconSet="5Quarters">
        <cfvo type="percent" val="0"/>
        <cfvo type="percent" val="20"/>
        <cfvo type="percent" val="40"/>
        <cfvo type="percent" val="60"/>
        <cfvo type="percent" val="80"/>
      </iconSet>
    </cfRule>
  </conditionalFormatting>
  <conditionalFormatting sqref="D74:I74">
    <cfRule type="iconSet" priority="249">
      <iconSet iconSet="5Quarters">
        <cfvo type="percent" val="0"/>
        <cfvo type="percent" val="20"/>
        <cfvo type="percent" val="40"/>
        <cfvo type="percent" val="60"/>
        <cfvo type="percent" val="80"/>
      </iconSet>
    </cfRule>
  </conditionalFormatting>
  <conditionalFormatting sqref="D77:I77">
    <cfRule type="iconSet" priority="250">
      <iconSet iconSet="5Quarters">
        <cfvo type="percent" val="0"/>
        <cfvo type="percent" val="20"/>
        <cfvo type="percent" val="40"/>
        <cfvo type="percent" val="60"/>
        <cfvo type="percent" val="80"/>
      </iconSet>
    </cfRule>
  </conditionalFormatting>
  <conditionalFormatting sqref="D79:I79">
    <cfRule type="iconSet" priority="251">
      <iconSet iconSet="5Quarters">
        <cfvo type="percent" val="0"/>
        <cfvo type="percent" val="20"/>
        <cfvo type="percent" val="40"/>
        <cfvo type="percent" val="60"/>
        <cfvo type="percent" val="80"/>
      </iconSet>
    </cfRule>
  </conditionalFormatting>
  <conditionalFormatting sqref="D84:I84">
    <cfRule type="iconSet" priority="254">
      <iconSet iconSet="5Quarters">
        <cfvo type="percent" val="0"/>
        <cfvo type="percent" val="20"/>
        <cfvo type="percent" val="40"/>
        <cfvo type="percent" val="60"/>
        <cfvo type="percent" val="80"/>
      </iconSet>
    </cfRule>
  </conditionalFormatting>
  <conditionalFormatting sqref="D85:I85 D87:I88">
    <cfRule type="iconSet" priority="255">
      <iconSet iconSet="5Quarters">
        <cfvo type="percent" val="0"/>
        <cfvo type="percent" val="20"/>
        <cfvo type="percent" val="40"/>
        <cfvo type="percent" val="60"/>
        <cfvo type="percent" val="80"/>
      </iconSet>
    </cfRule>
  </conditionalFormatting>
  <conditionalFormatting sqref="J85 J87:J88">
    <cfRule type="iconSet" priority="259">
      <iconSet iconSet="5Quarters">
        <cfvo type="percent" val="0"/>
        <cfvo type="percent" val="20"/>
        <cfvo type="percent" val="40"/>
        <cfvo type="percent" val="60"/>
        <cfvo type="percent" val="80"/>
      </iconSet>
    </cfRule>
  </conditionalFormatting>
  <conditionalFormatting sqref="N51:O51">
    <cfRule type="containsText" dxfId="250" priority="97" operator="containsText" text="OK">
      <formula>NOT(ISERROR(SEARCH("OK",N51)))</formula>
    </cfRule>
    <cfRule type="expression" dxfId="249" priority="98">
      <formula>"OK"</formula>
    </cfRule>
  </conditionalFormatting>
  <conditionalFormatting sqref="N51:O51">
    <cfRule type="iconSet" priority="96">
      <iconSet iconSet="5Quarters">
        <cfvo type="percent" val="0"/>
        <cfvo type="percent" val="20"/>
        <cfvo type="percent" val="40"/>
        <cfvo type="percent" val="60"/>
        <cfvo type="percent" val="80"/>
      </iconSet>
    </cfRule>
  </conditionalFormatting>
  <conditionalFormatting sqref="N58:O59">
    <cfRule type="containsText" dxfId="248" priority="93" operator="containsText" text="OK">
      <formula>NOT(ISERROR(SEARCH("OK",N58)))</formula>
    </cfRule>
    <cfRule type="expression" dxfId="247" priority="94">
      <formula>"OK"</formula>
    </cfRule>
  </conditionalFormatting>
  <conditionalFormatting sqref="N58:O59">
    <cfRule type="iconSet" priority="95">
      <iconSet iconSet="5Quarters">
        <cfvo type="percent" val="0"/>
        <cfvo type="percent" val="20"/>
        <cfvo type="percent" val="40"/>
        <cfvo type="percent" val="60"/>
        <cfvo type="percent" val="80"/>
      </iconSet>
    </cfRule>
  </conditionalFormatting>
  <conditionalFormatting sqref="N62:O62">
    <cfRule type="containsText" dxfId="246" priority="90" operator="containsText" text="OK">
      <formula>NOT(ISERROR(SEARCH("OK",N62)))</formula>
    </cfRule>
    <cfRule type="expression" dxfId="245" priority="91">
      <formula>"OK"</formula>
    </cfRule>
  </conditionalFormatting>
  <conditionalFormatting sqref="N62:O62">
    <cfRule type="iconSet" priority="92">
      <iconSet iconSet="5Quarters">
        <cfvo type="percent" val="0"/>
        <cfvo type="percent" val="20"/>
        <cfvo type="percent" val="40"/>
        <cfvo type="percent" val="60"/>
        <cfvo type="percent" val="80"/>
      </iconSet>
    </cfRule>
  </conditionalFormatting>
  <conditionalFormatting sqref="N64:O64">
    <cfRule type="containsText" dxfId="244" priority="87" operator="containsText" text="OK">
      <formula>NOT(ISERROR(SEARCH("OK",N64)))</formula>
    </cfRule>
    <cfRule type="expression" dxfId="243" priority="88">
      <formula>"OK"</formula>
    </cfRule>
  </conditionalFormatting>
  <conditionalFormatting sqref="N64:O64">
    <cfRule type="iconSet" priority="89">
      <iconSet iconSet="5Quarters">
        <cfvo type="percent" val="0"/>
        <cfvo type="percent" val="20"/>
        <cfvo type="percent" val="40"/>
        <cfvo type="percent" val="60"/>
        <cfvo type="percent" val="80"/>
      </iconSet>
    </cfRule>
  </conditionalFormatting>
  <conditionalFormatting sqref="N66:O66">
    <cfRule type="containsText" dxfId="242" priority="84" operator="containsText" text="OK">
      <formula>NOT(ISERROR(SEARCH("OK",N66)))</formula>
    </cfRule>
    <cfRule type="expression" dxfId="241" priority="85">
      <formula>"OK"</formula>
    </cfRule>
  </conditionalFormatting>
  <conditionalFormatting sqref="N66:O66">
    <cfRule type="iconSet" priority="86">
      <iconSet iconSet="5Quarters">
        <cfvo type="percent" val="0"/>
        <cfvo type="percent" val="20"/>
        <cfvo type="percent" val="40"/>
        <cfvo type="percent" val="60"/>
        <cfvo type="percent" val="80"/>
      </iconSet>
    </cfRule>
  </conditionalFormatting>
  <conditionalFormatting sqref="N70:O70">
    <cfRule type="containsText" dxfId="240" priority="81" operator="containsText" text="OK">
      <formula>NOT(ISERROR(SEARCH("OK",N70)))</formula>
    </cfRule>
    <cfRule type="expression" dxfId="239" priority="82">
      <formula>"OK"</formula>
    </cfRule>
  </conditionalFormatting>
  <conditionalFormatting sqref="N70:O70">
    <cfRule type="iconSet" priority="83">
      <iconSet iconSet="5Quarters">
        <cfvo type="percent" val="0"/>
        <cfvo type="percent" val="20"/>
        <cfvo type="percent" val="40"/>
        <cfvo type="percent" val="60"/>
        <cfvo type="percent" val="80"/>
      </iconSet>
    </cfRule>
  </conditionalFormatting>
  <conditionalFormatting sqref="N71:O71">
    <cfRule type="containsText" dxfId="238" priority="78" operator="containsText" text="OK">
      <formula>NOT(ISERROR(SEARCH("OK",N71)))</formula>
    </cfRule>
    <cfRule type="expression" dxfId="237" priority="79">
      <formula>"OK"</formula>
    </cfRule>
  </conditionalFormatting>
  <conditionalFormatting sqref="N71:O71">
    <cfRule type="iconSet" priority="80">
      <iconSet iconSet="5Quarters">
        <cfvo type="percent" val="0"/>
        <cfvo type="percent" val="20"/>
        <cfvo type="percent" val="40"/>
        <cfvo type="percent" val="60"/>
        <cfvo type="percent" val="80"/>
      </iconSet>
    </cfRule>
  </conditionalFormatting>
  <conditionalFormatting sqref="N73:O73">
    <cfRule type="containsText" dxfId="236" priority="75" operator="containsText" text="OK">
      <formula>NOT(ISERROR(SEARCH("OK",N73)))</formula>
    </cfRule>
    <cfRule type="expression" dxfId="235" priority="76">
      <formula>"OK"</formula>
    </cfRule>
  </conditionalFormatting>
  <conditionalFormatting sqref="N73:O73">
    <cfRule type="iconSet" priority="77">
      <iconSet iconSet="5Quarters">
        <cfvo type="percent" val="0"/>
        <cfvo type="percent" val="20"/>
        <cfvo type="percent" val="40"/>
        <cfvo type="percent" val="60"/>
        <cfvo type="percent" val="80"/>
      </iconSet>
    </cfRule>
  </conditionalFormatting>
  <conditionalFormatting sqref="N74:O74">
    <cfRule type="containsText" dxfId="234" priority="72" operator="containsText" text="OK">
      <formula>NOT(ISERROR(SEARCH("OK",N74)))</formula>
    </cfRule>
    <cfRule type="expression" dxfId="233" priority="73">
      <formula>"OK"</formula>
    </cfRule>
  </conditionalFormatting>
  <conditionalFormatting sqref="N74:O74">
    <cfRule type="iconSet" priority="74">
      <iconSet iconSet="5Quarters">
        <cfvo type="percent" val="0"/>
        <cfvo type="percent" val="20"/>
        <cfvo type="percent" val="40"/>
        <cfvo type="percent" val="60"/>
        <cfvo type="percent" val="80"/>
      </iconSet>
    </cfRule>
  </conditionalFormatting>
  <conditionalFormatting sqref="N77:O77">
    <cfRule type="containsText" dxfId="232" priority="69" operator="containsText" text="OK">
      <formula>NOT(ISERROR(SEARCH("OK",N77)))</formula>
    </cfRule>
    <cfRule type="expression" dxfId="231" priority="70">
      <formula>"OK"</formula>
    </cfRule>
  </conditionalFormatting>
  <conditionalFormatting sqref="N77:O77">
    <cfRule type="iconSet" priority="71">
      <iconSet iconSet="5Quarters">
        <cfvo type="percent" val="0"/>
        <cfvo type="percent" val="20"/>
        <cfvo type="percent" val="40"/>
        <cfvo type="percent" val="60"/>
        <cfvo type="percent" val="80"/>
      </iconSet>
    </cfRule>
  </conditionalFormatting>
  <conditionalFormatting sqref="N79:O79">
    <cfRule type="containsText" dxfId="230" priority="66" operator="containsText" text="OK">
      <formula>NOT(ISERROR(SEARCH("OK",N79)))</formula>
    </cfRule>
    <cfRule type="expression" dxfId="229" priority="67">
      <formula>"OK"</formula>
    </cfRule>
  </conditionalFormatting>
  <conditionalFormatting sqref="N79:O79">
    <cfRule type="iconSet" priority="68">
      <iconSet iconSet="5Quarters">
        <cfvo type="percent" val="0"/>
        <cfvo type="percent" val="20"/>
        <cfvo type="percent" val="40"/>
        <cfvo type="percent" val="60"/>
        <cfvo type="percent" val="80"/>
      </iconSet>
    </cfRule>
  </conditionalFormatting>
  <conditionalFormatting sqref="N81:O81">
    <cfRule type="containsText" dxfId="228" priority="63" operator="containsText" text="OK">
      <formula>NOT(ISERROR(SEARCH("OK",N81)))</formula>
    </cfRule>
    <cfRule type="expression" dxfId="227" priority="64">
      <formula>"OK"</formula>
    </cfRule>
  </conditionalFormatting>
  <conditionalFormatting sqref="N81:O81">
    <cfRule type="iconSet" priority="65">
      <iconSet iconSet="5Quarters">
        <cfvo type="percent" val="0"/>
        <cfvo type="percent" val="20"/>
        <cfvo type="percent" val="40"/>
        <cfvo type="percent" val="60"/>
        <cfvo type="percent" val="80"/>
      </iconSet>
    </cfRule>
  </conditionalFormatting>
  <conditionalFormatting sqref="N82:O82">
    <cfRule type="containsText" dxfId="226" priority="60" operator="containsText" text="OK">
      <formula>NOT(ISERROR(SEARCH("OK",N82)))</formula>
    </cfRule>
    <cfRule type="expression" dxfId="225" priority="61">
      <formula>"OK"</formula>
    </cfRule>
  </conditionalFormatting>
  <conditionalFormatting sqref="N82:O82">
    <cfRule type="iconSet" priority="62">
      <iconSet iconSet="5Quarters">
        <cfvo type="percent" val="0"/>
        <cfvo type="percent" val="20"/>
        <cfvo type="percent" val="40"/>
        <cfvo type="percent" val="60"/>
        <cfvo type="percent" val="80"/>
      </iconSet>
    </cfRule>
  </conditionalFormatting>
  <conditionalFormatting sqref="N84:O84">
    <cfRule type="containsText" dxfId="224" priority="57" operator="containsText" text="OK">
      <formula>NOT(ISERROR(SEARCH("OK",N84)))</formula>
    </cfRule>
    <cfRule type="expression" dxfId="223" priority="58">
      <formula>"OK"</formula>
    </cfRule>
  </conditionalFormatting>
  <conditionalFormatting sqref="N84:O84">
    <cfRule type="iconSet" priority="59">
      <iconSet iconSet="5Quarters">
        <cfvo type="percent" val="0"/>
        <cfvo type="percent" val="20"/>
        <cfvo type="percent" val="40"/>
        <cfvo type="percent" val="60"/>
        <cfvo type="percent" val="80"/>
      </iconSet>
    </cfRule>
  </conditionalFormatting>
  <conditionalFormatting sqref="N106:O106">
    <cfRule type="containsText" dxfId="222" priority="54" operator="containsText" text="OK">
      <formula>NOT(ISERROR(SEARCH("OK",N106)))</formula>
    </cfRule>
    <cfRule type="expression" dxfId="221" priority="55">
      <formula>"OK"</formula>
    </cfRule>
  </conditionalFormatting>
  <conditionalFormatting sqref="N106:O106">
    <cfRule type="iconSet" priority="56">
      <iconSet iconSet="5Quarters">
        <cfvo type="percent" val="0"/>
        <cfvo type="percent" val="20"/>
        <cfvo type="percent" val="40"/>
        <cfvo type="percent" val="60"/>
        <cfvo type="percent" val="80"/>
      </iconSet>
    </cfRule>
  </conditionalFormatting>
  <conditionalFormatting sqref="N107:O107">
    <cfRule type="containsText" dxfId="220" priority="51" operator="containsText" text="OK">
      <formula>NOT(ISERROR(SEARCH("OK",N107)))</formula>
    </cfRule>
    <cfRule type="expression" dxfId="219" priority="52">
      <formula>"OK"</formula>
    </cfRule>
  </conditionalFormatting>
  <conditionalFormatting sqref="N107:O107">
    <cfRule type="iconSet" priority="53">
      <iconSet iconSet="5Quarters">
        <cfvo type="percent" val="0"/>
        <cfvo type="percent" val="20"/>
        <cfvo type="percent" val="40"/>
        <cfvo type="percent" val="60"/>
        <cfvo type="percent" val="80"/>
      </iconSet>
    </cfRule>
  </conditionalFormatting>
  <conditionalFormatting sqref="O211">
    <cfRule type="containsText" dxfId="218" priority="50" operator="containsText" text="OK">
      <formula>NOT(ISERROR(SEARCH("OK",O211)))</formula>
    </cfRule>
  </conditionalFormatting>
  <conditionalFormatting sqref="D87:I87">
    <cfRule type="cellIs" dxfId="217" priority="10" operator="equal">
      <formula>"OK"</formula>
    </cfRule>
  </conditionalFormatting>
  <conditionalFormatting sqref="N87">
    <cfRule type="containsText" dxfId="216" priority="8" operator="containsText" text="OK">
      <formula>NOT(ISERROR(SEARCH("OK",N87)))</formula>
    </cfRule>
    <cfRule type="expression" dxfId="215" priority="9">
      <formula>"OK"</formula>
    </cfRule>
  </conditionalFormatting>
  <conditionalFormatting sqref="N87">
    <cfRule type="iconSet" priority="7">
      <iconSet iconSet="5Quarters">
        <cfvo type="percent" val="0"/>
        <cfvo type="percent" val="20"/>
        <cfvo type="percent" val="40"/>
        <cfvo type="percent" val="60"/>
        <cfvo type="percent" val="80"/>
      </iconSet>
    </cfRule>
  </conditionalFormatting>
  <conditionalFormatting sqref="D60:I60">
    <cfRule type="iconSet" priority="6">
      <iconSet iconSet="5Quarters">
        <cfvo type="percent" val="0"/>
        <cfvo type="percent" val="20"/>
        <cfvo type="percent" val="40"/>
        <cfvo type="percent" val="60"/>
        <cfvo type="percent" val="80"/>
      </iconSet>
    </cfRule>
  </conditionalFormatting>
  <conditionalFormatting sqref="N60:O60">
    <cfRule type="containsText" dxfId="214" priority="3" operator="containsText" text="OK">
      <formula>NOT(ISERROR(SEARCH("OK",N60)))</formula>
    </cfRule>
    <cfRule type="expression" dxfId="213" priority="4">
      <formula>"OK"</formula>
    </cfRule>
  </conditionalFormatting>
  <conditionalFormatting sqref="N60:O60">
    <cfRule type="iconSet" priority="5">
      <iconSet iconSet="5Quarters">
        <cfvo type="percent" val="0"/>
        <cfvo type="percent" val="20"/>
        <cfvo type="percent" val="40"/>
        <cfvo type="percent" val="60"/>
        <cfvo type="percent" val="80"/>
      </iconSet>
    </cfRule>
  </conditionalFormatting>
  <conditionalFormatting sqref="D118:I118">
    <cfRule type="dataBar" priority="2">
      <dataBar>
        <cfvo type="min"/>
        <cfvo type="max"/>
        <color rgb="FF008DC9"/>
      </dataBar>
      <extLst>
        <ext xmlns:x14="http://schemas.microsoft.com/office/spreadsheetml/2009/9/main" uri="{B025F937-C7B1-47D3-B67F-A62EFF666E3E}">
          <x14:id>{5BB08F25-45DC-4E5C-B119-B8A5BABFC6D5}</x14:id>
        </ext>
      </extLst>
    </cfRule>
  </conditionalFormatting>
  <conditionalFormatting sqref="K58:K84">
    <cfRule type="dataBar" priority="1">
      <dataBar>
        <cfvo type="min"/>
        <cfvo type="max"/>
        <color rgb="FF008DC9"/>
      </dataBar>
      <extLst>
        <ext xmlns:x14="http://schemas.microsoft.com/office/spreadsheetml/2009/9/main" uri="{B025F937-C7B1-47D3-B67F-A62EFF666E3E}">
          <x14:id>{E6BCCC34-A629-4A2D-BB02-33BE2133EDAD}</x14:id>
        </ext>
      </extLst>
    </cfRule>
  </conditionalFormatting>
  <dataValidations count="3">
    <dataValidation type="custom" allowBlank="1" showInputMessage="1" showErrorMessage="1" sqref="D79:I79 D77:I77 D81:I82" xr:uid="{33B41C5E-4524-4ECB-89ED-85E5B8D341CE}">
      <formula1>AND(SUM($D77:$I77)&lt;=1,COUNTIF($D77:$I77,"&lt;0")=0)</formula1>
    </dataValidation>
    <dataValidation type="decimal" allowBlank="1" showInputMessage="1" showErrorMessage="1" sqref="D84:I84 D62:I62 D64:I64 D66:I66 D70:I71 D73:I74 D58:I60" xr:uid="{C1BD0E27-91A1-4E18-A31F-5B606FF84E54}">
      <formula1>0</formula1>
      <formula2>DataVal_B1.2_Max</formula2>
    </dataValidation>
    <dataValidation type="custom" showInputMessage="1" showErrorMessage="1" sqref="D85:I85 D87:I88" xr:uid="{B56D25B3-DA9B-4ED5-973E-F4266F20A78D}">
      <formula1>AND(SUM($D85:$I85)&lt;=1,COUNTIF($D85:$I85,"&lt;0")=0)</formula1>
    </dataValidation>
  </dataValidation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dataBar" id="{DE409937-D32C-47CB-8111-630CF836927C}">
            <x14:dataBar minLength="0" maxLength="100" gradient="0">
              <x14:cfvo type="autoMin"/>
              <x14:cfvo type="autoMax"/>
              <x14:negativeFillColor rgb="FFFF0000"/>
              <x14:axisColor rgb="FF000000"/>
            </x14:dataBar>
          </x14:cfRule>
          <xm:sqref>D25:I51</xm:sqref>
        </x14:conditionalFormatting>
        <x14:conditionalFormatting xmlns:xm="http://schemas.microsoft.com/office/excel/2006/main">
          <x14:cfRule type="dataBar" id="{2B58BF10-93AA-4B71-ADBA-7F3A909493D8}">
            <x14:dataBar minLength="0" maxLength="100" gradient="0">
              <x14:cfvo type="autoMin"/>
              <x14:cfvo type="autoMax"/>
              <x14:negativeFillColor rgb="FFFF0000"/>
              <x14:axisColor rgb="FF000000"/>
            </x14:dataBar>
          </x14:cfRule>
          <xm:sqref>D116:I117 D119:I142</xm:sqref>
        </x14:conditionalFormatting>
        <x14:conditionalFormatting xmlns:xm="http://schemas.microsoft.com/office/excel/2006/main">
          <x14:cfRule type="dataBar" id="{5BB08F25-45DC-4E5C-B119-B8A5BABFC6D5}">
            <x14:dataBar minLength="0" maxLength="100" gradient="0">
              <x14:cfvo type="autoMin"/>
              <x14:cfvo type="autoMax"/>
              <x14:negativeFillColor rgb="FFFF0000"/>
              <x14:axisColor rgb="FF000000"/>
            </x14:dataBar>
          </x14:cfRule>
          <xm:sqref>D118:I118</xm:sqref>
        </x14:conditionalFormatting>
        <x14:conditionalFormatting xmlns:xm="http://schemas.microsoft.com/office/excel/2006/main">
          <x14:cfRule type="dataBar" id="{E6BCCC34-A629-4A2D-BB02-33BE2133EDAD}">
            <x14:dataBar minLength="0" maxLength="100" gradient="0">
              <x14:cfvo type="autoMin"/>
              <x14:cfvo type="autoMax"/>
              <x14:negativeFillColor rgb="FFFF0000"/>
              <x14:axisColor rgb="FF000000"/>
            </x14:dataBar>
          </x14:cfRule>
          <xm:sqref>K58:K84</xm:sqref>
        </x14:conditionalFormatting>
        <x14:conditionalFormatting xmlns:xm="http://schemas.microsoft.com/office/excel/2006/main">
          <x14:cfRule type="containsText" priority="99" operator="containsText" id="{8D8BD2E6-5282-412C-AE74-C11167912B25}">
            <xm:f>NOT(ISERROR(SEARCH(Lang_LogicPassed,L1)))</xm:f>
            <xm:f>Lang_LogicPassed</xm:f>
            <x14:dxf>
              <fill>
                <patternFill>
                  <bgColor theme="9"/>
                </patternFill>
              </fill>
            </x14:dxf>
          </x14:cfRule>
          <xm:sqref>L1:M2</xm:sqref>
        </x14:conditionalFormatting>
        <x14:conditionalFormatting xmlns:xm="http://schemas.microsoft.com/office/excel/2006/main">
          <x14:cfRule type="iconSet" priority="157" id="{4C064DA6-4611-42AA-AC0D-4BA49AC047C9}">
            <x14:iconSet custom="1">
              <x14:cfvo type="percent">
                <xm:f>0</xm:f>
              </x14:cfvo>
              <x14:cfvo type="percent">
                <xm:f>33</xm:f>
              </x14:cfvo>
              <x14:cfvo type="percent">
                <xm:f>67</xm:f>
              </x14:cfvo>
              <x14:cfIcon iconSet="NoIcons" iconId="0"/>
              <x14:cfIcon iconSet="NoIcons" iconId="0"/>
              <x14:cfIcon iconSet="3TrafficLights1" iconId="2"/>
            </x14:iconSet>
          </x14:cfRule>
          <xm:sqref>D102:I102</xm:sqref>
        </x14:conditionalFormatting>
        <x14:conditionalFormatting xmlns:xm="http://schemas.microsoft.com/office/excel/2006/main">
          <x14:cfRule type="iconSet" priority="156" id="{15E2DF93-96AA-477F-B4AA-4697A703F9E4}">
            <x14:iconSet custom="1">
              <x14:cfvo type="percent">
                <xm:f>0</xm:f>
              </x14:cfvo>
              <x14:cfvo type="percent">
                <xm:f>33</xm:f>
              </x14:cfvo>
              <x14:cfvo type="percent">
                <xm:f>67</xm:f>
              </x14:cfvo>
              <x14:cfIcon iconSet="NoIcons" iconId="0"/>
              <x14:cfIcon iconSet="NoIcons" iconId="0"/>
              <x14:cfIcon iconSet="3TrafficLights1" iconId="2"/>
            </x14:iconSet>
          </x14:cfRule>
          <xm:sqref>D104:I104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8363F-AE57-49CD-A2B6-054630247E3A}">
  <sheetPr codeName="Sheet8">
    <tabColor rgb="FF008DC9"/>
  </sheetPr>
  <dimension ref="A1:XER163"/>
  <sheetViews>
    <sheetView showGridLines="0" workbookViewId="0"/>
  </sheetViews>
  <sheetFormatPr defaultColWidth="9.28515625" defaultRowHeight="12.75" x14ac:dyDescent="0.2"/>
  <cols>
    <col min="1" max="1" width="28.28515625" style="15" customWidth="1"/>
    <col min="2" max="2" width="33.42578125" style="5" customWidth="1"/>
    <col min="3" max="3" width="3.5703125" style="15" hidden="1" customWidth="1"/>
    <col min="4" max="4" width="7.7109375" style="5" customWidth="1"/>
    <col min="5" max="5" width="28.5703125" style="15" customWidth="1"/>
    <col min="6" max="12" width="15.28515625" style="16" customWidth="1"/>
    <col min="13" max="13" width="7.7109375" style="16" customWidth="1"/>
    <col min="14" max="14" width="1.7109375" style="15" customWidth="1"/>
    <col min="15" max="15" width="8.5703125" style="463" customWidth="1"/>
    <col min="16" max="16" width="1.7109375" style="463" customWidth="1"/>
    <col min="17" max="23" width="15.28515625" style="37" customWidth="1"/>
    <col min="24" max="24" width="58.140625" style="15" customWidth="1"/>
    <col min="25" max="25" width="9.140625" style="15" hidden="1" customWidth="1"/>
    <col min="26" max="192" width="2.140625" style="564" hidden="1" customWidth="1"/>
    <col min="193" max="16384" width="9.28515625" style="15"/>
  </cols>
  <sheetData>
    <row r="1" spans="1:16372" s="194" customFormat="1" ht="45" customHeight="1" x14ac:dyDescent="0.2">
      <c r="A1" s="225" t="str">
        <f ca="1">IF(OFFSET(AA1,0,Lang_Order*Lang__B2)="","",OFFSET(AA1,0,Lang_Order*Lang__B2))</f>
        <v>NAVIGATION BAR:</v>
      </c>
      <c r="B1" s="224"/>
      <c r="C1" s="224"/>
      <c r="D1" s="224"/>
      <c r="E1" s="224"/>
      <c r="F1" s="224"/>
      <c r="G1" s="224"/>
      <c r="H1" s="224"/>
      <c r="I1" s="224"/>
      <c r="J1" s="224"/>
      <c r="K1" s="224"/>
      <c r="L1" s="224"/>
      <c r="M1" s="224"/>
      <c r="N1" s="224"/>
      <c r="O1" s="224"/>
      <c r="P1" s="224"/>
      <c r="Q1" s="224"/>
      <c r="R1" s="224"/>
      <c r="S1" s="224"/>
      <c r="T1" s="224"/>
      <c r="U1" s="224"/>
      <c r="V1" s="224"/>
      <c r="W1" s="224"/>
      <c r="X1" s="224"/>
      <c r="Y1" s="415" t="s">
        <v>3031</v>
      </c>
      <c r="Z1" s="564">
        <v>24</v>
      </c>
      <c r="AA1" s="564" t="s">
        <v>2910</v>
      </c>
      <c r="AB1" s="564"/>
      <c r="AC1" s="564"/>
      <c r="AD1" s="564"/>
      <c r="AE1" s="564"/>
      <c r="AF1" s="564"/>
      <c r="AG1" s="564"/>
      <c r="AH1" s="564"/>
      <c r="AI1" s="564"/>
      <c r="AJ1" s="564"/>
      <c r="AK1" s="564"/>
      <c r="AL1" s="564"/>
      <c r="AM1" s="564"/>
      <c r="AN1" s="564"/>
      <c r="AO1" s="564"/>
      <c r="AP1" s="564"/>
      <c r="AQ1" s="564"/>
      <c r="AR1" s="564"/>
      <c r="AS1" s="564"/>
      <c r="AT1" s="564"/>
      <c r="AU1" s="564"/>
      <c r="AV1" s="564"/>
      <c r="AW1" s="564"/>
      <c r="AX1" s="564"/>
      <c r="AY1" s="564" t="s">
        <v>4634</v>
      </c>
      <c r="AZ1" s="564"/>
      <c r="BA1" s="564"/>
      <c r="BB1" s="564"/>
      <c r="BC1" s="564"/>
      <c r="BD1" s="564"/>
      <c r="BE1" s="564"/>
      <c r="BF1" s="564"/>
      <c r="BG1" s="564"/>
      <c r="BH1" s="564"/>
      <c r="BI1" s="564"/>
      <c r="BJ1" s="564"/>
      <c r="BK1" s="564"/>
      <c r="BL1" s="564"/>
      <c r="BM1" s="564"/>
      <c r="BN1" s="564"/>
      <c r="BO1" s="564"/>
      <c r="BP1" s="564"/>
      <c r="BQ1" s="564"/>
      <c r="BR1" s="564"/>
      <c r="BS1" s="564"/>
      <c r="BT1" s="564"/>
      <c r="BU1" s="564"/>
      <c r="BV1" s="564"/>
      <c r="BW1" s="564" t="s">
        <v>4635</v>
      </c>
      <c r="BX1" s="564"/>
      <c r="BY1" s="564"/>
      <c r="BZ1" s="564"/>
      <c r="CA1" s="564"/>
      <c r="CB1" s="564"/>
      <c r="CC1" s="564"/>
      <c r="CD1" s="564"/>
      <c r="CE1" s="564"/>
      <c r="CF1" s="564"/>
      <c r="CG1" s="564"/>
      <c r="CH1" s="564"/>
      <c r="CI1" s="564"/>
      <c r="CJ1" s="564"/>
      <c r="CK1" s="564"/>
      <c r="CL1" s="564"/>
      <c r="CM1" s="564"/>
      <c r="CN1" s="564"/>
      <c r="CO1" s="564"/>
      <c r="CP1" s="564"/>
      <c r="CQ1" s="564"/>
      <c r="CR1" s="564"/>
      <c r="CS1" s="564"/>
      <c r="CT1" s="564"/>
      <c r="CU1" s="564" t="s">
        <v>9960</v>
      </c>
      <c r="CV1" s="564"/>
      <c r="CW1" s="564"/>
      <c r="CX1" s="564"/>
      <c r="CY1" s="564"/>
      <c r="CZ1" s="564"/>
      <c r="DA1" s="564"/>
      <c r="DB1" s="564"/>
      <c r="DC1" s="564"/>
      <c r="DD1" s="564"/>
      <c r="DE1" s="564"/>
      <c r="DF1" s="564"/>
      <c r="DG1" s="564"/>
      <c r="DH1" s="564"/>
      <c r="DI1" s="564"/>
      <c r="DJ1" s="564"/>
      <c r="DK1" s="564"/>
      <c r="DL1" s="564"/>
      <c r="DM1" s="564"/>
      <c r="DN1" s="564"/>
      <c r="DO1" s="564"/>
      <c r="DP1" s="564"/>
      <c r="DQ1" s="564"/>
      <c r="DR1" s="564"/>
      <c r="DS1" s="564" t="s">
        <v>4637</v>
      </c>
      <c r="DT1" s="564"/>
      <c r="DU1" s="564"/>
      <c r="DV1" s="564"/>
      <c r="DW1" s="564"/>
      <c r="DX1" s="564"/>
      <c r="DY1" s="564"/>
      <c r="DZ1" s="564"/>
      <c r="EA1" s="564"/>
      <c r="EB1" s="564"/>
      <c r="EC1" s="564"/>
      <c r="ED1" s="564"/>
      <c r="EE1" s="564"/>
      <c r="EF1" s="564"/>
      <c r="EG1" s="564"/>
      <c r="EH1" s="564"/>
      <c r="EI1" s="564"/>
      <c r="EJ1" s="564"/>
      <c r="EK1" s="564"/>
      <c r="EL1" s="564"/>
      <c r="EM1" s="564"/>
      <c r="EN1" s="564"/>
      <c r="EO1" s="564"/>
      <c r="EP1" s="564"/>
      <c r="EQ1" s="564" t="s">
        <v>4638</v>
      </c>
      <c r="ER1" s="564"/>
      <c r="ES1" s="564"/>
      <c r="ET1" s="564"/>
      <c r="EU1" s="564"/>
      <c r="EV1" s="564"/>
      <c r="EW1" s="564"/>
      <c r="EX1" s="564"/>
      <c r="EY1" s="564"/>
      <c r="EZ1" s="564"/>
      <c r="FA1" s="564"/>
      <c r="FB1" s="564"/>
      <c r="FC1" s="564"/>
      <c r="FD1" s="564"/>
      <c r="FE1" s="564"/>
      <c r="FF1" s="564"/>
      <c r="FG1" s="564"/>
      <c r="FH1" s="564"/>
      <c r="FI1" s="564"/>
      <c r="FJ1" s="564"/>
      <c r="FK1" s="564"/>
      <c r="FL1" s="564"/>
      <c r="FM1" s="564"/>
      <c r="FN1" s="564"/>
      <c r="FO1" s="564" t="s">
        <v>4639</v>
      </c>
      <c r="FP1" s="564"/>
      <c r="FQ1" s="564"/>
      <c r="FR1" s="564"/>
      <c r="FS1" s="564"/>
      <c r="FT1" s="564"/>
      <c r="FU1" s="564"/>
      <c r="FV1" s="564"/>
      <c r="FW1" s="564"/>
      <c r="FX1" s="564"/>
      <c r="FY1" s="564"/>
      <c r="FZ1" s="564"/>
      <c r="GA1" s="564"/>
      <c r="GB1" s="564"/>
      <c r="GC1" s="564"/>
      <c r="GD1" s="564"/>
      <c r="GE1" s="564"/>
      <c r="GF1" s="564"/>
      <c r="GG1" s="564"/>
      <c r="GH1" s="564"/>
      <c r="GI1" s="564"/>
      <c r="GJ1" s="564"/>
      <c r="GK1" s="224"/>
      <c r="GL1" s="224"/>
      <c r="GM1" s="224"/>
      <c r="GN1" s="224"/>
      <c r="GO1" s="224"/>
      <c r="GP1" s="224"/>
      <c r="GQ1" s="224"/>
      <c r="GR1" s="224"/>
      <c r="GS1" s="224"/>
      <c r="GT1" s="224"/>
      <c r="GU1" s="224"/>
      <c r="GV1" s="224"/>
      <c r="GW1" s="224"/>
      <c r="GX1" s="224"/>
      <c r="GY1" s="224"/>
      <c r="GZ1" s="224"/>
      <c r="HA1" s="224"/>
      <c r="HB1" s="224"/>
      <c r="HC1" s="224"/>
      <c r="HD1" s="224"/>
      <c r="HE1" s="224"/>
      <c r="HF1" s="224"/>
      <c r="HG1" s="224"/>
      <c r="HH1" s="224"/>
      <c r="HI1" s="224"/>
      <c r="HJ1" s="224"/>
      <c r="HK1" s="224"/>
      <c r="HL1" s="224"/>
      <c r="HM1" s="224"/>
      <c r="HN1" s="224"/>
      <c r="HO1" s="224"/>
      <c r="HP1" s="224"/>
      <c r="HQ1" s="224"/>
      <c r="HR1" s="224"/>
      <c r="HS1" s="224"/>
      <c r="HT1" s="224"/>
      <c r="HU1" s="224"/>
      <c r="HV1" s="224"/>
      <c r="HW1" s="224"/>
      <c r="HX1" s="224"/>
      <c r="HY1" s="224"/>
      <c r="HZ1" s="224"/>
      <c r="IA1" s="224"/>
      <c r="IB1" s="224"/>
      <c r="IC1" s="224"/>
      <c r="ID1" s="224"/>
      <c r="IE1" s="224"/>
      <c r="IF1" s="224"/>
      <c r="IG1" s="224"/>
      <c r="IH1" s="224"/>
      <c r="II1" s="224"/>
      <c r="IJ1" s="224"/>
      <c r="IK1" s="224"/>
      <c r="IL1" s="224"/>
      <c r="IM1" s="224"/>
      <c r="IN1" s="224"/>
      <c r="IO1" s="224"/>
      <c r="IP1" s="224"/>
      <c r="IQ1" s="224"/>
      <c r="IR1" s="224"/>
      <c r="IS1" s="224"/>
      <c r="IT1" s="224"/>
      <c r="IU1" s="224"/>
      <c r="IV1" s="224"/>
      <c r="IW1" s="224"/>
      <c r="IX1" s="224"/>
      <c r="IY1" s="224"/>
      <c r="IZ1" s="224"/>
      <c r="JA1" s="224"/>
      <c r="JB1" s="224"/>
      <c r="JC1" s="224"/>
      <c r="JD1" s="224"/>
      <c r="JE1" s="224"/>
      <c r="JF1" s="224"/>
      <c r="JG1" s="224"/>
      <c r="JH1" s="224"/>
      <c r="JI1" s="224"/>
      <c r="JJ1" s="224"/>
      <c r="JK1" s="224"/>
      <c r="JL1" s="224"/>
      <c r="JM1" s="224"/>
      <c r="JN1" s="224"/>
      <c r="JO1" s="224"/>
      <c r="JP1" s="224"/>
      <c r="JQ1" s="224"/>
      <c r="JR1" s="224"/>
      <c r="JS1" s="224"/>
      <c r="JT1" s="224"/>
      <c r="JU1" s="224"/>
      <c r="JV1" s="224"/>
      <c r="JW1" s="224"/>
      <c r="JX1" s="224"/>
      <c r="JY1" s="224"/>
      <c r="JZ1" s="224"/>
      <c r="KA1" s="224"/>
      <c r="KB1" s="224"/>
      <c r="KC1" s="224"/>
      <c r="KD1" s="224"/>
      <c r="KE1" s="224"/>
      <c r="KF1" s="224"/>
      <c r="KG1" s="224"/>
      <c r="KH1" s="224"/>
      <c r="KI1" s="224"/>
      <c r="KJ1" s="224"/>
      <c r="KK1" s="224"/>
      <c r="KL1" s="224"/>
      <c r="KM1" s="224"/>
      <c r="KN1" s="224"/>
      <c r="KO1" s="224"/>
      <c r="KP1" s="224"/>
      <c r="KQ1" s="224"/>
      <c r="KR1" s="224"/>
      <c r="KS1" s="224"/>
      <c r="KT1" s="224"/>
      <c r="KU1" s="224"/>
      <c r="KV1" s="224"/>
      <c r="KW1" s="224"/>
      <c r="KX1" s="224"/>
      <c r="KY1" s="224"/>
      <c r="KZ1" s="224"/>
      <c r="LA1" s="224"/>
      <c r="LB1" s="224"/>
      <c r="LC1" s="224"/>
      <c r="LD1" s="224"/>
      <c r="LE1" s="224"/>
      <c r="LF1" s="224"/>
      <c r="LG1" s="224"/>
      <c r="LH1" s="224"/>
      <c r="LI1" s="224"/>
      <c r="LJ1" s="224"/>
      <c r="LK1" s="224"/>
      <c r="LL1" s="224"/>
      <c r="LM1" s="224"/>
      <c r="LN1" s="224"/>
      <c r="LO1" s="224"/>
      <c r="LP1" s="224"/>
      <c r="LQ1" s="224"/>
      <c r="LR1" s="224"/>
      <c r="LS1" s="224"/>
      <c r="LT1" s="224"/>
      <c r="LU1" s="224"/>
      <c r="LV1" s="224"/>
      <c r="LW1" s="224"/>
      <c r="LX1" s="224"/>
      <c r="LY1" s="224"/>
      <c r="LZ1" s="224"/>
      <c r="MA1" s="224"/>
      <c r="MB1" s="224"/>
      <c r="MC1" s="224"/>
      <c r="MD1" s="224"/>
      <c r="ME1" s="224"/>
      <c r="MF1" s="224"/>
      <c r="MG1" s="224"/>
      <c r="MH1" s="224"/>
      <c r="MI1" s="224"/>
      <c r="MJ1" s="224"/>
      <c r="MK1" s="224"/>
      <c r="ML1" s="224"/>
      <c r="MM1" s="224"/>
      <c r="MN1" s="224"/>
      <c r="MO1" s="224"/>
      <c r="MP1" s="224"/>
      <c r="MQ1" s="224"/>
      <c r="MR1" s="224"/>
      <c r="MS1" s="224"/>
      <c r="MT1" s="224"/>
      <c r="MU1" s="224"/>
      <c r="MV1" s="224"/>
      <c r="MW1" s="224"/>
      <c r="MX1" s="224"/>
      <c r="MY1" s="224"/>
      <c r="MZ1" s="224"/>
      <c r="NA1" s="224"/>
      <c r="NB1" s="224"/>
      <c r="NC1" s="224"/>
      <c r="ND1" s="224"/>
      <c r="NE1" s="224"/>
      <c r="NF1" s="224"/>
      <c r="NG1" s="224"/>
      <c r="NH1" s="224"/>
      <c r="NI1" s="224"/>
      <c r="NJ1" s="224"/>
      <c r="NK1" s="224"/>
      <c r="NL1" s="224"/>
      <c r="NM1" s="224"/>
      <c r="NN1" s="224"/>
      <c r="NO1" s="224"/>
      <c r="NP1" s="224"/>
      <c r="NQ1" s="224"/>
      <c r="NR1" s="224"/>
      <c r="NS1" s="224"/>
      <c r="NT1" s="224"/>
      <c r="NU1" s="224"/>
      <c r="NV1" s="224"/>
      <c r="NW1" s="224"/>
      <c r="NX1" s="224"/>
      <c r="NY1" s="224"/>
      <c r="NZ1" s="224"/>
      <c r="OA1" s="224"/>
      <c r="OB1" s="224"/>
      <c r="OC1" s="224"/>
      <c r="OD1" s="224"/>
      <c r="OE1" s="224"/>
      <c r="OF1" s="224"/>
      <c r="OG1" s="224"/>
      <c r="OH1" s="224"/>
      <c r="OI1" s="224"/>
      <c r="OJ1" s="224"/>
      <c r="OK1" s="224"/>
      <c r="OL1" s="224"/>
      <c r="OM1" s="224"/>
      <c r="ON1" s="224"/>
      <c r="OO1" s="224"/>
      <c r="OP1" s="224"/>
      <c r="OQ1" s="224"/>
      <c r="OR1" s="224"/>
      <c r="OS1" s="224"/>
      <c r="OT1" s="224"/>
      <c r="OU1" s="224"/>
      <c r="OV1" s="224"/>
      <c r="OW1" s="224"/>
      <c r="OX1" s="224"/>
      <c r="OY1" s="224"/>
      <c r="OZ1" s="224"/>
      <c r="PA1" s="224"/>
      <c r="PB1" s="224"/>
      <c r="PC1" s="224"/>
      <c r="PD1" s="224"/>
      <c r="PE1" s="224"/>
      <c r="PF1" s="224"/>
      <c r="PG1" s="224"/>
      <c r="PH1" s="224"/>
      <c r="PI1" s="224"/>
      <c r="PJ1" s="224"/>
      <c r="PK1" s="224"/>
      <c r="PL1" s="224"/>
      <c r="PM1" s="224"/>
      <c r="PN1" s="224"/>
      <c r="PO1" s="224"/>
      <c r="PP1" s="224"/>
      <c r="PQ1" s="224"/>
      <c r="PR1" s="224"/>
      <c r="PS1" s="224"/>
      <c r="PT1" s="224"/>
      <c r="PU1" s="224"/>
      <c r="PV1" s="224"/>
      <c r="PW1" s="224"/>
      <c r="PX1" s="224"/>
      <c r="PY1" s="224"/>
      <c r="PZ1" s="224"/>
      <c r="QA1" s="224"/>
      <c r="QB1" s="224"/>
      <c r="QC1" s="224"/>
      <c r="QD1" s="224"/>
      <c r="QE1" s="224"/>
      <c r="QF1" s="224"/>
      <c r="QG1" s="224"/>
      <c r="QH1" s="224"/>
      <c r="QI1" s="224"/>
      <c r="QJ1" s="224"/>
      <c r="QK1" s="224"/>
      <c r="QL1" s="224"/>
      <c r="QM1" s="224"/>
      <c r="QN1" s="224"/>
      <c r="QO1" s="224"/>
      <c r="QP1" s="224"/>
      <c r="QQ1" s="224"/>
      <c r="QR1" s="224"/>
      <c r="QS1" s="224"/>
      <c r="QT1" s="224"/>
      <c r="QU1" s="224"/>
      <c r="QV1" s="224"/>
      <c r="QW1" s="224"/>
      <c r="QX1" s="224"/>
      <c r="QY1" s="224"/>
      <c r="QZ1" s="224"/>
      <c r="RA1" s="224"/>
      <c r="RB1" s="224"/>
      <c r="RC1" s="224"/>
      <c r="RD1" s="224"/>
      <c r="RE1" s="224"/>
      <c r="RF1" s="224"/>
      <c r="RG1" s="224"/>
      <c r="RH1" s="224"/>
      <c r="RI1" s="224"/>
      <c r="RJ1" s="224"/>
      <c r="RK1" s="224"/>
      <c r="RL1" s="224"/>
      <c r="RM1" s="224"/>
      <c r="RN1" s="224"/>
      <c r="RO1" s="224"/>
      <c r="RP1" s="224"/>
      <c r="RQ1" s="224"/>
      <c r="RR1" s="224"/>
      <c r="RS1" s="224"/>
      <c r="RT1" s="224"/>
      <c r="RU1" s="224"/>
      <c r="RV1" s="224"/>
      <c r="RW1" s="224"/>
      <c r="RX1" s="224"/>
      <c r="RY1" s="224"/>
      <c r="RZ1" s="224"/>
      <c r="SA1" s="224"/>
      <c r="SB1" s="224"/>
      <c r="SC1" s="224"/>
      <c r="SD1" s="224"/>
      <c r="SE1" s="224"/>
      <c r="SF1" s="224"/>
      <c r="SG1" s="224"/>
      <c r="SH1" s="224"/>
      <c r="SI1" s="224"/>
      <c r="SJ1" s="224"/>
      <c r="SK1" s="224"/>
      <c r="SL1" s="224"/>
      <c r="SM1" s="224"/>
      <c r="SN1" s="224"/>
      <c r="SO1" s="224"/>
      <c r="SP1" s="224"/>
      <c r="SQ1" s="224"/>
      <c r="SR1" s="224"/>
      <c r="SS1" s="224"/>
      <c r="ST1" s="224"/>
      <c r="SU1" s="224"/>
      <c r="SV1" s="224"/>
      <c r="SW1" s="224"/>
      <c r="SX1" s="224"/>
      <c r="SY1" s="224"/>
      <c r="SZ1" s="224"/>
      <c r="TA1" s="224"/>
      <c r="TB1" s="224"/>
      <c r="TC1" s="224"/>
      <c r="TD1" s="224"/>
      <c r="TE1" s="224"/>
      <c r="TF1" s="224"/>
      <c r="TG1" s="224"/>
      <c r="TH1" s="224"/>
      <c r="TI1" s="224"/>
      <c r="TJ1" s="224"/>
      <c r="TK1" s="224"/>
      <c r="TL1" s="224"/>
      <c r="TM1" s="224"/>
      <c r="TN1" s="224"/>
      <c r="TO1" s="224"/>
      <c r="TP1" s="224"/>
      <c r="TQ1" s="224"/>
      <c r="TR1" s="224"/>
      <c r="TS1" s="224"/>
      <c r="TT1" s="224"/>
      <c r="TU1" s="224"/>
      <c r="TV1" s="224"/>
      <c r="TW1" s="224"/>
      <c r="TX1" s="224"/>
      <c r="TY1" s="224"/>
      <c r="TZ1" s="224"/>
      <c r="UA1" s="224"/>
      <c r="UB1" s="224"/>
      <c r="UC1" s="224"/>
      <c r="UD1" s="224"/>
      <c r="UE1" s="224"/>
      <c r="UF1" s="224"/>
      <c r="UG1" s="224"/>
      <c r="UH1" s="224"/>
      <c r="UI1" s="224"/>
      <c r="UJ1" s="224"/>
      <c r="UK1" s="224"/>
      <c r="UL1" s="224"/>
      <c r="UM1" s="224"/>
      <c r="UN1" s="224"/>
      <c r="UO1" s="224"/>
      <c r="UP1" s="224"/>
      <c r="UQ1" s="224"/>
      <c r="UR1" s="224"/>
      <c r="US1" s="224"/>
      <c r="UT1" s="224"/>
      <c r="UU1" s="224"/>
      <c r="UV1" s="224"/>
      <c r="UW1" s="224"/>
      <c r="UX1" s="224"/>
      <c r="UY1" s="224"/>
      <c r="UZ1" s="224"/>
      <c r="VA1" s="224"/>
      <c r="VB1" s="224"/>
      <c r="VC1" s="224"/>
      <c r="VD1" s="224"/>
      <c r="VE1" s="224"/>
      <c r="VF1" s="224"/>
      <c r="VG1" s="224"/>
      <c r="VH1" s="224"/>
      <c r="VI1" s="224"/>
      <c r="VJ1" s="224"/>
      <c r="VK1" s="224"/>
      <c r="VL1" s="224"/>
      <c r="VM1" s="224"/>
      <c r="VN1" s="224"/>
      <c r="VO1" s="224"/>
      <c r="VP1" s="224"/>
      <c r="VQ1" s="224"/>
      <c r="VR1" s="224"/>
      <c r="VS1" s="224"/>
      <c r="VT1" s="224"/>
      <c r="VU1" s="224"/>
      <c r="VV1" s="224"/>
      <c r="VW1" s="224"/>
      <c r="VX1" s="224"/>
      <c r="VY1" s="224"/>
      <c r="VZ1" s="224"/>
      <c r="WA1" s="224"/>
      <c r="WB1" s="224"/>
      <c r="WC1" s="224"/>
      <c r="WD1" s="224"/>
      <c r="WE1" s="224"/>
      <c r="WF1" s="224"/>
      <c r="WG1" s="224"/>
      <c r="WH1" s="224"/>
      <c r="WI1" s="224"/>
      <c r="WJ1" s="224"/>
      <c r="WK1" s="224"/>
      <c r="WL1" s="224"/>
      <c r="WM1" s="224"/>
      <c r="WN1" s="224"/>
      <c r="WO1" s="224"/>
      <c r="WP1" s="224"/>
      <c r="WQ1" s="224"/>
      <c r="WR1" s="224"/>
      <c r="WS1" s="224"/>
      <c r="WT1" s="224"/>
      <c r="WU1" s="224"/>
      <c r="WV1" s="224"/>
      <c r="WW1" s="224"/>
      <c r="WX1" s="224"/>
      <c r="WY1" s="224"/>
      <c r="WZ1" s="224"/>
      <c r="XA1" s="224"/>
      <c r="XB1" s="224"/>
      <c r="XC1" s="224"/>
      <c r="XD1" s="224"/>
      <c r="XE1" s="224"/>
      <c r="XF1" s="224"/>
      <c r="XG1" s="224"/>
      <c r="XH1" s="224"/>
      <c r="XI1" s="224"/>
      <c r="XJ1" s="224"/>
      <c r="XK1" s="224"/>
      <c r="XL1" s="224"/>
      <c r="XM1" s="224"/>
      <c r="XN1" s="224"/>
      <c r="XO1" s="224"/>
      <c r="XP1" s="224"/>
      <c r="XQ1" s="224"/>
      <c r="XR1" s="224"/>
      <c r="XS1" s="224"/>
      <c r="XT1" s="224"/>
      <c r="XU1" s="224"/>
      <c r="XV1" s="224"/>
      <c r="XW1" s="224"/>
      <c r="XX1" s="224"/>
      <c r="XY1" s="224"/>
      <c r="XZ1" s="224"/>
      <c r="YA1" s="224"/>
      <c r="YB1" s="224"/>
      <c r="YC1" s="224"/>
      <c r="YD1" s="224"/>
      <c r="YE1" s="224"/>
      <c r="YF1" s="224"/>
      <c r="YG1" s="224"/>
      <c r="YH1" s="224"/>
      <c r="YI1" s="224"/>
      <c r="YJ1" s="224"/>
      <c r="YK1" s="224"/>
      <c r="YL1" s="224"/>
      <c r="YM1" s="224"/>
      <c r="YN1" s="224"/>
      <c r="YO1" s="224"/>
      <c r="YP1" s="224"/>
      <c r="YQ1" s="224"/>
      <c r="YR1" s="224"/>
      <c r="YS1" s="224"/>
      <c r="YT1" s="224"/>
      <c r="YU1" s="224"/>
      <c r="YV1" s="224"/>
      <c r="YW1" s="224"/>
      <c r="YX1" s="224"/>
      <c r="YY1" s="224"/>
      <c r="YZ1" s="224"/>
      <c r="ZA1" s="224"/>
      <c r="ZB1" s="224"/>
      <c r="ZC1" s="224"/>
      <c r="ZD1" s="224"/>
      <c r="ZE1" s="224"/>
      <c r="ZF1" s="224"/>
      <c r="ZG1" s="224"/>
      <c r="ZH1" s="224"/>
      <c r="ZI1" s="224"/>
      <c r="ZJ1" s="224"/>
      <c r="ZK1" s="224"/>
      <c r="ZL1" s="224"/>
      <c r="ZM1" s="224"/>
      <c r="ZN1" s="224"/>
      <c r="ZO1" s="224"/>
      <c r="ZP1" s="224"/>
      <c r="ZQ1" s="224"/>
      <c r="ZR1" s="224"/>
      <c r="ZS1" s="224"/>
      <c r="ZT1" s="224"/>
      <c r="ZU1" s="224"/>
      <c r="ZV1" s="224"/>
      <c r="ZW1" s="224"/>
      <c r="ZX1" s="224"/>
      <c r="ZY1" s="224"/>
      <c r="ZZ1" s="224"/>
      <c r="AAA1" s="224"/>
      <c r="AAB1" s="224"/>
      <c r="AAC1" s="224"/>
      <c r="AAD1" s="224"/>
      <c r="AAE1" s="224"/>
      <c r="AAF1" s="224"/>
      <c r="AAG1" s="224"/>
      <c r="AAH1" s="224"/>
      <c r="AAI1" s="224"/>
      <c r="AAJ1" s="224"/>
      <c r="AAK1" s="224"/>
      <c r="AAL1" s="224"/>
      <c r="AAM1" s="224"/>
      <c r="AAN1" s="224"/>
      <c r="AAO1" s="224"/>
      <c r="AAP1" s="224"/>
      <c r="AAQ1" s="224"/>
      <c r="AAR1" s="224"/>
      <c r="AAS1" s="224"/>
      <c r="AAT1" s="224"/>
      <c r="AAU1" s="224"/>
      <c r="AAV1" s="224"/>
      <c r="AAW1" s="224"/>
      <c r="AAX1" s="224"/>
      <c r="AAY1" s="224"/>
      <c r="AAZ1" s="224"/>
      <c r="ABA1" s="224"/>
      <c r="ABB1" s="224"/>
      <c r="ABC1" s="224"/>
      <c r="ABD1" s="224"/>
      <c r="ABE1" s="224"/>
      <c r="ABF1" s="224"/>
      <c r="ABG1" s="224"/>
      <c r="ABH1" s="224"/>
      <c r="ABI1" s="224"/>
      <c r="ABJ1" s="224"/>
      <c r="ABK1" s="224"/>
      <c r="ABL1" s="224"/>
      <c r="ABM1" s="224"/>
      <c r="ABN1" s="224"/>
      <c r="ABO1" s="224"/>
      <c r="ABP1" s="224"/>
      <c r="ABQ1" s="224"/>
      <c r="ABR1" s="224"/>
      <c r="ABS1" s="224"/>
      <c r="ABT1" s="224"/>
      <c r="ABU1" s="224"/>
      <c r="ABV1" s="224"/>
      <c r="ABW1" s="224"/>
      <c r="ABX1" s="224"/>
      <c r="ABY1" s="224"/>
      <c r="ABZ1" s="224"/>
      <c r="ACA1" s="224"/>
      <c r="ACB1" s="224"/>
      <c r="ACC1" s="224"/>
      <c r="ACD1" s="224"/>
      <c r="ACE1" s="224"/>
      <c r="ACF1" s="224"/>
      <c r="ACG1" s="224"/>
      <c r="ACH1" s="224"/>
      <c r="ACI1" s="224"/>
      <c r="ACJ1" s="224"/>
      <c r="ACK1" s="224"/>
      <c r="ACL1" s="224"/>
      <c r="ACM1" s="224"/>
      <c r="ACN1" s="224"/>
      <c r="ACO1" s="224"/>
      <c r="ACP1" s="224"/>
      <c r="ACQ1" s="224"/>
      <c r="ACR1" s="224"/>
      <c r="ACS1" s="224"/>
      <c r="ACT1" s="224"/>
      <c r="ACU1" s="224"/>
      <c r="ACV1" s="224"/>
      <c r="ACW1" s="224"/>
      <c r="ACX1" s="224"/>
      <c r="ACY1" s="224"/>
      <c r="ACZ1" s="224"/>
      <c r="ADA1" s="224"/>
      <c r="ADB1" s="224"/>
      <c r="ADC1" s="224"/>
      <c r="ADD1" s="224"/>
      <c r="ADE1" s="224"/>
      <c r="ADF1" s="224"/>
      <c r="ADG1" s="224"/>
      <c r="ADH1" s="224"/>
      <c r="ADI1" s="224"/>
      <c r="ADJ1" s="224"/>
      <c r="ADK1" s="224"/>
      <c r="ADL1" s="224"/>
      <c r="ADM1" s="224"/>
      <c r="ADN1" s="224"/>
      <c r="ADO1" s="224"/>
      <c r="ADP1" s="224"/>
      <c r="ADQ1" s="224"/>
      <c r="ADR1" s="224"/>
      <c r="ADS1" s="224"/>
      <c r="ADT1" s="224"/>
      <c r="ADU1" s="224"/>
      <c r="ADV1" s="224"/>
      <c r="ADW1" s="224"/>
      <c r="ADX1" s="224"/>
      <c r="ADY1" s="224"/>
      <c r="ADZ1" s="224"/>
      <c r="AEA1" s="224"/>
      <c r="AEB1" s="224"/>
      <c r="AEC1" s="224"/>
      <c r="AED1" s="224"/>
      <c r="AEE1" s="224"/>
      <c r="AEF1" s="224"/>
      <c r="AEG1" s="224"/>
      <c r="AEH1" s="224"/>
      <c r="AEI1" s="224"/>
      <c r="AEJ1" s="224"/>
      <c r="AEK1" s="224"/>
      <c r="AEL1" s="224"/>
      <c r="AEM1" s="224"/>
      <c r="AEN1" s="224"/>
      <c r="AEO1" s="224"/>
      <c r="AEP1" s="224"/>
      <c r="AEQ1" s="224"/>
      <c r="AER1" s="224"/>
      <c r="AES1" s="224"/>
      <c r="AET1" s="224"/>
      <c r="AEU1" s="224"/>
      <c r="AEV1" s="224"/>
      <c r="AEW1" s="224"/>
      <c r="AEX1" s="224"/>
      <c r="AEY1" s="224"/>
      <c r="AEZ1" s="224"/>
      <c r="AFA1" s="224"/>
      <c r="AFB1" s="224"/>
      <c r="AFC1" s="224"/>
      <c r="AFD1" s="224"/>
      <c r="AFE1" s="224"/>
      <c r="AFF1" s="224"/>
      <c r="AFG1" s="224"/>
      <c r="AFH1" s="224"/>
      <c r="AFI1" s="224"/>
      <c r="AFJ1" s="224"/>
      <c r="AFK1" s="224"/>
      <c r="AFL1" s="224"/>
      <c r="AFM1" s="224"/>
      <c r="AFN1" s="224"/>
      <c r="AFO1" s="224"/>
      <c r="AFP1" s="224"/>
      <c r="AFQ1" s="224"/>
      <c r="AFR1" s="224"/>
      <c r="AFS1" s="224"/>
      <c r="AFT1" s="224"/>
      <c r="AFU1" s="224"/>
      <c r="AFV1" s="224"/>
      <c r="AFW1" s="224"/>
      <c r="AFX1" s="224"/>
      <c r="AFY1" s="224"/>
      <c r="AFZ1" s="224"/>
      <c r="AGA1" s="224"/>
      <c r="AGB1" s="224"/>
      <c r="AGC1" s="224"/>
      <c r="AGD1" s="224"/>
      <c r="AGE1" s="224"/>
      <c r="AGF1" s="224"/>
      <c r="AGG1" s="224"/>
      <c r="AGH1" s="224"/>
      <c r="AGI1" s="224"/>
      <c r="AGJ1" s="224"/>
      <c r="AGK1" s="224"/>
      <c r="AGL1" s="224"/>
      <c r="AGM1" s="224"/>
      <c r="AGN1" s="224"/>
      <c r="AGO1" s="224"/>
      <c r="AGP1" s="224"/>
      <c r="AGQ1" s="224"/>
      <c r="AGR1" s="224"/>
      <c r="AGS1" s="224"/>
      <c r="AGT1" s="224"/>
      <c r="AGU1" s="224"/>
      <c r="AGV1" s="224"/>
      <c r="AGW1" s="224"/>
      <c r="AGX1" s="224"/>
      <c r="AGY1" s="224"/>
      <c r="AGZ1" s="224"/>
      <c r="AHA1" s="224"/>
      <c r="AHB1" s="224"/>
      <c r="AHC1" s="224"/>
      <c r="AHD1" s="224"/>
      <c r="AHE1" s="224"/>
      <c r="AHF1" s="224"/>
      <c r="AHG1" s="224"/>
      <c r="AHH1" s="224"/>
      <c r="AHI1" s="224"/>
      <c r="AHJ1" s="224"/>
      <c r="AHK1" s="224"/>
      <c r="AHL1" s="224"/>
      <c r="AHM1" s="224"/>
      <c r="AHN1" s="224"/>
      <c r="AHO1" s="224"/>
      <c r="AHP1" s="224"/>
      <c r="AHQ1" s="224"/>
      <c r="AHR1" s="224"/>
      <c r="AHS1" s="224"/>
      <c r="AHT1" s="224"/>
      <c r="AHU1" s="224"/>
      <c r="AHV1" s="224"/>
      <c r="AHW1" s="224"/>
      <c r="AHX1" s="224"/>
      <c r="AHY1" s="224"/>
      <c r="AHZ1" s="224"/>
      <c r="AIA1" s="224"/>
      <c r="AIB1" s="224"/>
      <c r="AIC1" s="224"/>
      <c r="AID1" s="224"/>
      <c r="AIE1" s="224"/>
      <c r="AIF1" s="224"/>
      <c r="AIG1" s="224"/>
      <c r="AIH1" s="224"/>
      <c r="AII1" s="224"/>
      <c r="AIJ1" s="224"/>
      <c r="AIK1" s="224"/>
      <c r="AIL1" s="224"/>
      <c r="AIM1" s="224"/>
      <c r="AIN1" s="224"/>
      <c r="AIO1" s="224"/>
      <c r="AIP1" s="224"/>
      <c r="AIQ1" s="224"/>
      <c r="AIR1" s="224"/>
      <c r="AIS1" s="224"/>
      <c r="AIT1" s="224"/>
      <c r="AIU1" s="224"/>
      <c r="AIV1" s="224"/>
      <c r="AIW1" s="224"/>
      <c r="AIX1" s="224"/>
      <c r="AIY1" s="224"/>
      <c r="AIZ1" s="224"/>
      <c r="AJA1" s="224"/>
      <c r="AJB1" s="224"/>
      <c r="AJC1" s="224"/>
      <c r="AJD1" s="224"/>
      <c r="AJE1" s="224"/>
      <c r="AJF1" s="224"/>
      <c r="AJG1" s="224"/>
      <c r="AJH1" s="224"/>
      <c r="AJI1" s="224"/>
      <c r="AJJ1" s="224"/>
      <c r="AJK1" s="224"/>
      <c r="AJL1" s="224"/>
      <c r="AJM1" s="224"/>
      <c r="AJN1" s="224"/>
      <c r="AJO1" s="224"/>
      <c r="AJP1" s="224"/>
      <c r="AJQ1" s="224"/>
      <c r="AJR1" s="224"/>
      <c r="AJS1" s="224"/>
      <c r="AJT1" s="224"/>
      <c r="AJU1" s="224"/>
      <c r="AJV1" s="224"/>
      <c r="AJW1" s="224"/>
      <c r="AJX1" s="224"/>
      <c r="AJY1" s="224"/>
      <c r="AJZ1" s="224"/>
      <c r="AKA1" s="224"/>
      <c r="AKB1" s="224"/>
      <c r="AKC1" s="224"/>
      <c r="AKD1" s="224"/>
      <c r="AKE1" s="224"/>
      <c r="AKF1" s="224"/>
      <c r="AKG1" s="224"/>
      <c r="AKH1" s="224"/>
      <c r="AKI1" s="224"/>
      <c r="AKJ1" s="224"/>
      <c r="AKK1" s="224"/>
      <c r="AKL1" s="224"/>
      <c r="AKM1" s="224"/>
      <c r="AKN1" s="224"/>
      <c r="AKO1" s="224"/>
      <c r="AKP1" s="224"/>
      <c r="AKQ1" s="224"/>
      <c r="AKR1" s="224"/>
      <c r="AKS1" s="224"/>
      <c r="AKT1" s="224"/>
      <c r="AKU1" s="224"/>
      <c r="AKV1" s="224"/>
      <c r="AKW1" s="224"/>
      <c r="AKX1" s="224"/>
      <c r="AKY1" s="224"/>
      <c r="AKZ1" s="224"/>
      <c r="ALA1" s="224"/>
      <c r="ALB1" s="224"/>
      <c r="ALC1" s="224"/>
      <c r="ALD1" s="224"/>
      <c r="ALE1" s="224"/>
      <c r="ALF1" s="224"/>
      <c r="ALG1" s="224"/>
      <c r="ALH1" s="224"/>
      <c r="ALI1" s="224"/>
      <c r="ALJ1" s="224"/>
      <c r="ALK1" s="224"/>
      <c r="ALL1" s="224"/>
      <c r="ALM1" s="224"/>
      <c r="ALN1" s="224"/>
      <c r="ALO1" s="224"/>
      <c r="ALP1" s="224"/>
      <c r="ALQ1" s="224"/>
      <c r="ALR1" s="224"/>
      <c r="ALS1" s="224"/>
      <c r="ALT1" s="224"/>
      <c r="ALU1" s="224"/>
      <c r="ALV1" s="224"/>
      <c r="ALW1" s="224"/>
      <c r="ALX1" s="224"/>
      <c r="ALY1" s="224"/>
      <c r="ALZ1" s="224"/>
      <c r="AMA1" s="224"/>
      <c r="AMB1" s="224"/>
      <c r="AMC1" s="224"/>
      <c r="AMD1" s="224"/>
      <c r="AME1" s="224"/>
      <c r="AMF1" s="224"/>
      <c r="AMG1" s="224"/>
      <c r="AMH1" s="224"/>
      <c r="AMI1" s="224"/>
      <c r="AMJ1" s="224"/>
      <c r="AMK1" s="224"/>
      <c r="AML1" s="224"/>
      <c r="AMM1" s="224"/>
      <c r="AMN1" s="224"/>
      <c r="AMO1" s="224"/>
      <c r="AMP1" s="224"/>
      <c r="AMQ1" s="224"/>
      <c r="AMR1" s="224"/>
      <c r="AMS1" s="224"/>
      <c r="AMT1" s="224"/>
      <c r="AMU1" s="224"/>
      <c r="AMV1" s="224"/>
      <c r="AMW1" s="224"/>
      <c r="AMX1" s="224"/>
      <c r="AMY1" s="224"/>
      <c r="AMZ1" s="224"/>
      <c r="ANA1" s="224"/>
      <c r="ANB1" s="224"/>
      <c r="ANC1" s="224"/>
      <c r="AND1" s="224"/>
      <c r="ANE1" s="224"/>
      <c r="ANF1" s="224"/>
      <c r="ANG1" s="224"/>
      <c r="ANH1" s="224"/>
      <c r="ANI1" s="224"/>
      <c r="ANJ1" s="224"/>
      <c r="ANK1" s="224"/>
      <c r="ANL1" s="224"/>
      <c r="ANM1" s="224"/>
      <c r="ANN1" s="224"/>
      <c r="ANO1" s="224"/>
      <c r="ANP1" s="224"/>
      <c r="ANQ1" s="224"/>
      <c r="ANR1" s="224"/>
      <c r="ANS1" s="224"/>
      <c r="ANT1" s="224"/>
      <c r="ANU1" s="224"/>
      <c r="ANV1" s="224"/>
      <c r="ANW1" s="224"/>
      <c r="ANX1" s="224"/>
      <c r="ANY1" s="224"/>
      <c r="ANZ1" s="224"/>
      <c r="AOA1" s="224"/>
      <c r="AOB1" s="224"/>
      <c r="AOC1" s="224"/>
      <c r="AOD1" s="224"/>
      <c r="AOE1" s="224"/>
      <c r="AOF1" s="224"/>
      <c r="AOG1" s="224"/>
      <c r="AOH1" s="224"/>
      <c r="AOI1" s="224"/>
      <c r="AOJ1" s="224"/>
      <c r="AOK1" s="224"/>
      <c r="AOL1" s="224"/>
      <c r="AOM1" s="224"/>
      <c r="AON1" s="224"/>
      <c r="AOO1" s="224"/>
      <c r="AOP1" s="224"/>
      <c r="AOQ1" s="224"/>
      <c r="AOR1" s="224"/>
      <c r="AOS1" s="224"/>
      <c r="AOT1" s="224"/>
      <c r="AOU1" s="224"/>
      <c r="AOV1" s="224"/>
      <c r="AOW1" s="224"/>
      <c r="AOX1" s="224"/>
      <c r="AOY1" s="224"/>
      <c r="AOZ1" s="224"/>
      <c r="APA1" s="224"/>
      <c r="APB1" s="224"/>
      <c r="APC1" s="224"/>
      <c r="APD1" s="224"/>
      <c r="APE1" s="224"/>
      <c r="APF1" s="224"/>
      <c r="APG1" s="224"/>
      <c r="APH1" s="224"/>
      <c r="API1" s="224"/>
      <c r="APJ1" s="224"/>
      <c r="APK1" s="224"/>
      <c r="APL1" s="224"/>
      <c r="APM1" s="224"/>
      <c r="APN1" s="224"/>
      <c r="APO1" s="224"/>
      <c r="APP1" s="224"/>
      <c r="APQ1" s="224"/>
      <c r="APR1" s="224"/>
      <c r="APS1" s="224"/>
      <c r="APT1" s="224"/>
      <c r="APU1" s="224"/>
      <c r="APV1" s="224"/>
      <c r="APW1" s="224"/>
      <c r="APX1" s="224"/>
      <c r="APY1" s="224"/>
      <c r="APZ1" s="224"/>
      <c r="AQA1" s="224"/>
      <c r="AQB1" s="224"/>
      <c r="AQC1" s="224"/>
      <c r="AQD1" s="224"/>
      <c r="AQE1" s="224"/>
      <c r="AQF1" s="224"/>
      <c r="AQG1" s="224"/>
      <c r="AQH1" s="224"/>
      <c r="AQI1" s="224"/>
      <c r="AQJ1" s="224"/>
      <c r="AQK1" s="224"/>
      <c r="AQL1" s="224"/>
      <c r="AQM1" s="224"/>
      <c r="AQN1" s="224"/>
      <c r="AQO1" s="224"/>
      <c r="AQP1" s="224"/>
      <c r="AQQ1" s="224"/>
      <c r="AQR1" s="224"/>
      <c r="AQS1" s="224"/>
      <c r="AQT1" s="224"/>
      <c r="AQU1" s="224"/>
      <c r="AQV1" s="224"/>
      <c r="AQW1" s="224"/>
      <c r="AQX1" s="224"/>
      <c r="AQY1" s="224"/>
      <c r="AQZ1" s="224"/>
      <c r="ARA1" s="224"/>
      <c r="ARB1" s="224"/>
      <c r="ARC1" s="224"/>
      <c r="ARD1" s="224"/>
      <c r="ARE1" s="224"/>
      <c r="ARF1" s="224"/>
      <c r="ARG1" s="224"/>
      <c r="ARH1" s="224"/>
      <c r="ARI1" s="224"/>
      <c r="ARJ1" s="224"/>
      <c r="ARK1" s="224"/>
      <c r="ARL1" s="224"/>
      <c r="ARM1" s="224"/>
      <c r="ARN1" s="224"/>
      <c r="ARO1" s="224"/>
      <c r="ARP1" s="224"/>
      <c r="ARQ1" s="224"/>
      <c r="ARR1" s="224"/>
      <c r="ARS1" s="224"/>
      <c r="ART1" s="224"/>
      <c r="ARU1" s="224"/>
      <c r="ARV1" s="224"/>
      <c r="ARW1" s="224"/>
      <c r="ARX1" s="224"/>
      <c r="ARY1" s="224"/>
      <c r="ARZ1" s="224"/>
      <c r="ASA1" s="224"/>
      <c r="ASB1" s="224"/>
      <c r="ASC1" s="224"/>
      <c r="ASD1" s="224"/>
      <c r="ASE1" s="224"/>
      <c r="ASF1" s="224"/>
      <c r="ASG1" s="224"/>
      <c r="ASH1" s="224"/>
      <c r="ASI1" s="224"/>
      <c r="ASJ1" s="224"/>
      <c r="ASK1" s="224"/>
      <c r="ASL1" s="224"/>
      <c r="ASM1" s="224"/>
      <c r="ASN1" s="224"/>
      <c r="ASO1" s="224"/>
      <c r="ASP1" s="224"/>
      <c r="ASQ1" s="224"/>
      <c r="ASR1" s="224"/>
      <c r="ASS1" s="224"/>
      <c r="AST1" s="224"/>
      <c r="ASU1" s="224"/>
      <c r="ASV1" s="224"/>
      <c r="ASW1" s="224"/>
      <c r="ASX1" s="224"/>
      <c r="ASY1" s="224"/>
      <c r="ASZ1" s="224"/>
      <c r="ATA1" s="224"/>
      <c r="ATB1" s="224"/>
      <c r="ATC1" s="224"/>
      <c r="ATD1" s="224"/>
      <c r="ATE1" s="224"/>
      <c r="ATF1" s="224"/>
      <c r="ATG1" s="224"/>
      <c r="ATH1" s="224"/>
      <c r="ATI1" s="224"/>
      <c r="ATJ1" s="224"/>
      <c r="ATK1" s="224"/>
      <c r="ATL1" s="224"/>
      <c r="ATM1" s="224"/>
      <c r="ATN1" s="224"/>
      <c r="ATO1" s="224"/>
      <c r="ATP1" s="224"/>
      <c r="ATQ1" s="224"/>
      <c r="ATR1" s="224"/>
      <c r="ATS1" s="224"/>
      <c r="ATT1" s="224"/>
      <c r="ATU1" s="224"/>
      <c r="ATV1" s="224"/>
      <c r="ATW1" s="224"/>
      <c r="ATX1" s="224"/>
      <c r="ATY1" s="224"/>
      <c r="ATZ1" s="224"/>
      <c r="AUA1" s="224"/>
      <c r="AUB1" s="224"/>
      <c r="AUC1" s="224"/>
      <c r="AUD1" s="224"/>
      <c r="AUE1" s="224"/>
      <c r="AUF1" s="224"/>
      <c r="AUG1" s="224"/>
      <c r="AUH1" s="224"/>
      <c r="AUI1" s="224"/>
      <c r="AUJ1" s="224"/>
      <c r="AUK1" s="224"/>
      <c r="AUL1" s="224"/>
      <c r="AUM1" s="224"/>
      <c r="AUN1" s="224"/>
      <c r="AUO1" s="224"/>
      <c r="AUP1" s="224"/>
      <c r="AUQ1" s="224"/>
      <c r="AUR1" s="224"/>
      <c r="AUS1" s="224"/>
      <c r="AUT1" s="224"/>
      <c r="AUU1" s="224"/>
      <c r="AUV1" s="224"/>
      <c r="AUW1" s="224"/>
      <c r="AUX1" s="224"/>
      <c r="AUY1" s="224"/>
      <c r="AUZ1" s="224"/>
      <c r="AVA1" s="224"/>
      <c r="AVB1" s="224"/>
      <c r="AVC1" s="224"/>
      <c r="AVD1" s="224"/>
      <c r="AVE1" s="224"/>
      <c r="AVF1" s="224"/>
      <c r="AVG1" s="224"/>
      <c r="AVH1" s="224"/>
      <c r="AVI1" s="224"/>
      <c r="AVJ1" s="224"/>
      <c r="AVK1" s="224"/>
      <c r="AVL1" s="224"/>
      <c r="AVM1" s="224"/>
      <c r="AVN1" s="224"/>
      <c r="AVO1" s="224"/>
      <c r="AVP1" s="224"/>
      <c r="AVQ1" s="224"/>
      <c r="AVR1" s="224"/>
      <c r="AVS1" s="224"/>
      <c r="AVT1" s="224"/>
      <c r="AVU1" s="224"/>
      <c r="AVV1" s="224"/>
      <c r="AVW1" s="224"/>
      <c r="AVX1" s="224"/>
      <c r="AVY1" s="224"/>
      <c r="AVZ1" s="224"/>
      <c r="AWA1" s="224"/>
      <c r="AWB1" s="224"/>
      <c r="AWC1" s="224"/>
      <c r="AWD1" s="224"/>
      <c r="AWE1" s="224"/>
      <c r="AWF1" s="224"/>
      <c r="AWG1" s="224"/>
      <c r="AWH1" s="224"/>
      <c r="AWI1" s="224"/>
      <c r="AWJ1" s="224"/>
      <c r="AWK1" s="224"/>
      <c r="AWL1" s="224"/>
      <c r="AWM1" s="224"/>
      <c r="AWN1" s="224"/>
      <c r="AWO1" s="224"/>
      <c r="AWP1" s="224"/>
      <c r="AWQ1" s="224"/>
      <c r="AWR1" s="224"/>
      <c r="AWS1" s="224"/>
      <c r="AWT1" s="224"/>
      <c r="AWU1" s="224"/>
      <c r="AWV1" s="224"/>
      <c r="AWW1" s="224"/>
      <c r="AWX1" s="224"/>
      <c r="AWY1" s="224"/>
      <c r="AWZ1" s="224"/>
      <c r="AXA1" s="224"/>
      <c r="AXB1" s="224"/>
      <c r="AXC1" s="224"/>
      <c r="AXD1" s="224"/>
      <c r="AXE1" s="224"/>
      <c r="AXF1" s="224"/>
      <c r="AXG1" s="224"/>
      <c r="AXH1" s="224"/>
      <c r="AXI1" s="224"/>
      <c r="AXJ1" s="224"/>
      <c r="AXK1" s="224"/>
      <c r="AXL1" s="224"/>
      <c r="AXM1" s="224"/>
      <c r="AXN1" s="224"/>
      <c r="AXO1" s="224"/>
      <c r="AXP1" s="224"/>
      <c r="AXQ1" s="224"/>
      <c r="AXR1" s="224"/>
      <c r="AXS1" s="224"/>
      <c r="AXT1" s="224"/>
      <c r="AXU1" s="224"/>
      <c r="AXV1" s="224"/>
      <c r="AXW1" s="224"/>
      <c r="AXX1" s="224"/>
      <c r="AXY1" s="224"/>
      <c r="AXZ1" s="224"/>
      <c r="AYA1" s="224"/>
      <c r="AYB1" s="224"/>
      <c r="AYC1" s="224"/>
      <c r="AYD1" s="224"/>
      <c r="AYE1" s="224"/>
      <c r="AYF1" s="224"/>
      <c r="AYG1" s="224"/>
      <c r="AYH1" s="224"/>
      <c r="AYI1" s="224"/>
      <c r="AYJ1" s="224"/>
      <c r="AYK1" s="224"/>
      <c r="AYL1" s="224"/>
      <c r="AYM1" s="224"/>
      <c r="AYN1" s="224"/>
      <c r="AYO1" s="224"/>
      <c r="AYP1" s="224"/>
      <c r="AYQ1" s="224"/>
      <c r="AYR1" s="224"/>
      <c r="AYS1" s="224"/>
      <c r="AYT1" s="224"/>
      <c r="AYU1" s="224"/>
      <c r="AYV1" s="224"/>
      <c r="AYW1" s="224"/>
      <c r="AYX1" s="224"/>
      <c r="AYY1" s="224"/>
      <c r="AYZ1" s="224"/>
      <c r="AZA1" s="224"/>
      <c r="AZB1" s="224"/>
      <c r="AZC1" s="224"/>
      <c r="AZD1" s="224"/>
      <c r="AZE1" s="224"/>
      <c r="AZF1" s="224"/>
      <c r="AZG1" s="224"/>
      <c r="AZH1" s="224"/>
      <c r="AZI1" s="224"/>
      <c r="AZJ1" s="224"/>
      <c r="AZK1" s="224"/>
      <c r="AZL1" s="224"/>
      <c r="AZM1" s="224"/>
      <c r="AZN1" s="224"/>
      <c r="AZO1" s="224"/>
      <c r="AZP1" s="224"/>
      <c r="AZQ1" s="224"/>
      <c r="AZR1" s="224"/>
      <c r="AZS1" s="224"/>
      <c r="AZT1" s="224"/>
      <c r="AZU1" s="224"/>
      <c r="AZV1" s="224"/>
      <c r="AZW1" s="224"/>
      <c r="AZX1" s="224"/>
      <c r="AZY1" s="224"/>
      <c r="AZZ1" s="224"/>
      <c r="BAA1" s="224"/>
      <c r="BAB1" s="224"/>
      <c r="BAC1" s="224"/>
      <c r="BAD1" s="224"/>
      <c r="BAE1" s="224"/>
      <c r="BAF1" s="224"/>
      <c r="BAG1" s="224"/>
      <c r="BAH1" s="224"/>
      <c r="BAI1" s="224"/>
      <c r="BAJ1" s="224"/>
      <c r="BAK1" s="224"/>
      <c r="BAL1" s="224"/>
      <c r="BAM1" s="224"/>
      <c r="BAN1" s="224"/>
      <c r="BAO1" s="224"/>
      <c r="BAP1" s="224"/>
      <c r="BAQ1" s="224"/>
      <c r="BAR1" s="224"/>
      <c r="BAS1" s="224"/>
      <c r="BAT1" s="224"/>
      <c r="BAU1" s="224"/>
      <c r="BAV1" s="224"/>
      <c r="BAW1" s="224"/>
      <c r="BAX1" s="224"/>
      <c r="BAY1" s="224"/>
      <c r="BAZ1" s="224"/>
      <c r="BBA1" s="224"/>
      <c r="BBB1" s="224"/>
      <c r="BBC1" s="224"/>
      <c r="BBD1" s="224"/>
      <c r="BBE1" s="224"/>
      <c r="BBF1" s="224"/>
      <c r="BBG1" s="224"/>
      <c r="BBH1" s="224"/>
      <c r="BBI1" s="224"/>
      <c r="BBJ1" s="224"/>
      <c r="BBK1" s="224"/>
      <c r="BBL1" s="224"/>
      <c r="BBM1" s="224"/>
      <c r="BBN1" s="224"/>
      <c r="BBO1" s="224"/>
      <c r="BBP1" s="224"/>
      <c r="BBQ1" s="224"/>
      <c r="BBR1" s="224"/>
      <c r="BBS1" s="224"/>
      <c r="BBT1" s="224"/>
      <c r="BBU1" s="224"/>
      <c r="BBV1" s="224"/>
      <c r="BBW1" s="224"/>
      <c r="BBX1" s="224"/>
      <c r="BBY1" s="224"/>
      <c r="BBZ1" s="224"/>
      <c r="BCA1" s="224"/>
      <c r="BCB1" s="224"/>
      <c r="BCC1" s="224"/>
      <c r="BCD1" s="224"/>
      <c r="BCE1" s="224"/>
      <c r="BCF1" s="224"/>
      <c r="BCG1" s="224"/>
      <c r="BCH1" s="224"/>
      <c r="BCI1" s="224"/>
      <c r="BCJ1" s="224"/>
      <c r="BCK1" s="224"/>
      <c r="BCL1" s="224"/>
      <c r="BCM1" s="224"/>
      <c r="BCN1" s="224"/>
      <c r="BCO1" s="224"/>
      <c r="BCP1" s="224"/>
      <c r="BCQ1" s="224"/>
      <c r="BCR1" s="224"/>
      <c r="BCS1" s="224"/>
      <c r="BCT1" s="224"/>
      <c r="BCU1" s="224"/>
      <c r="BCV1" s="224"/>
      <c r="BCW1" s="224"/>
      <c r="BCX1" s="224"/>
      <c r="BCY1" s="224"/>
      <c r="BCZ1" s="224"/>
      <c r="BDA1" s="224"/>
      <c r="BDB1" s="224"/>
      <c r="BDC1" s="224"/>
      <c r="BDD1" s="224"/>
      <c r="BDE1" s="224"/>
      <c r="BDF1" s="224"/>
      <c r="BDG1" s="224"/>
      <c r="BDH1" s="224"/>
      <c r="BDI1" s="224"/>
      <c r="BDJ1" s="224"/>
      <c r="BDK1" s="224"/>
      <c r="BDL1" s="224"/>
      <c r="BDM1" s="224"/>
      <c r="BDN1" s="224"/>
      <c r="BDO1" s="224"/>
      <c r="BDP1" s="224"/>
      <c r="BDQ1" s="224"/>
      <c r="BDR1" s="224"/>
      <c r="BDS1" s="224"/>
      <c r="BDT1" s="224"/>
      <c r="BDU1" s="224"/>
      <c r="BDV1" s="224"/>
      <c r="BDW1" s="224"/>
      <c r="BDX1" s="224"/>
      <c r="BDY1" s="224"/>
      <c r="BDZ1" s="224"/>
      <c r="BEA1" s="224"/>
      <c r="BEB1" s="224"/>
      <c r="BEC1" s="224"/>
      <c r="BED1" s="224"/>
      <c r="BEE1" s="224"/>
      <c r="BEF1" s="224"/>
      <c r="BEG1" s="224"/>
      <c r="BEH1" s="224"/>
      <c r="BEI1" s="224"/>
      <c r="BEJ1" s="224"/>
      <c r="BEK1" s="224"/>
      <c r="BEL1" s="224"/>
      <c r="BEM1" s="224"/>
      <c r="BEN1" s="224"/>
      <c r="BEO1" s="224"/>
      <c r="BEP1" s="224"/>
      <c r="BEQ1" s="224"/>
      <c r="BER1" s="224"/>
      <c r="BES1" s="224"/>
      <c r="BET1" s="224"/>
      <c r="BEU1" s="224"/>
      <c r="BEV1" s="224"/>
      <c r="BEW1" s="224"/>
      <c r="BEX1" s="224"/>
      <c r="BEY1" s="224"/>
      <c r="BEZ1" s="224"/>
      <c r="BFA1" s="224"/>
      <c r="BFB1" s="224"/>
      <c r="BFC1" s="224"/>
      <c r="BFD1" s="224"/>
      <c r="BFE1" s="224"/>
      <c r="BFF1" s="224"/>
      <c r="BFG1" s="224"/>
      <c r="BFH1" s="224"/>
      <c r="BFI1" s="224"/>
      <c r="BFJ1" s="224"/>
      <c r="BFK1" s="224"/>
      <c r="BFL1" s="224"/>
      <c r="BFM1" s="224"/>
      <c r="BFN1" s="224"/>
      <c r="BFO1" s="224"/>
      <c r="BFP1" s="224"/>
      <c r="BFQ1" s="224"/>
      <c r="BFR1" s="224"/>
      <c r="BFS1" s="224"/>
      <c r="BFT1" s="224"/>
      <c r="BFU1" s="224"/>
      <c r="BFV1" s="224"/>
      <c r="BFW1" s="224"/>
      <c r="BFX1" s="224"/>
      <c r="BFY1" s="224"/>
      <c r="BFZ1" s="224"/>
      <c r="BGA1" s="224"/>
      <c r="BGB1" s="224"/>
      <c r="BGC1" s="224"/>
      <c r="BGD1" s="224"/>
      <c r="BGE1" s="224"/>
      <c r="BGF1" s="224"/>
      <c r="BGG1" s="224"/>
      <c r="BGH1" s="224"/>
      <c r="BGI1" s="224"/>
      <c r="BGJ1" s="224"/>
      <c r="BGK1" s="224"/>
      <c r="BGL1" s="224"/>
      <c r="BGM1" s="224"/>
      <c r="BGN1" s="224"/>
      <c r="BGO1" s="224"/>
      <c r="BGP1" s="224"/>
      <c r="BGQ1" s="224"/>
      <c r="BGR1" s="224"/>
      <c r="BGS1" s="224"/>
      <c r="BGT1" s="224"/>
      <c r="BGU1" s="224"/>
      <c r="BGV1" s="224"/>
      <c r="BGW1" s="224"/>
      <c r="BGX1" s="224"/>
      <c r="BGY1" s="224"/>
      <c r="BGZ1" s="224"/>
      <c r="BHA1" s="224"/>
      <c r="BHB1" s="224"/>
      <c r="BHC1" s="224"/>
      <c r="BHD1" s="224"/>
      <c r="BHE1" s="224"/>
      <c r="BHF1" s="224"/>
      <c r="BHG1" s="224"/>
      <c r="BHH1" s="224"/>
      <c r="BHI1" s="224"/>
      <c r="BHJ1" s="224"/>
      <c r="BHK1" s="224"/>
      <c r="BHL1" s="224"/>
      <c r="BHM1" s="224"/>
      <c r="BHN1" s="224"/>
      <c r="BHO1" s="224"/>
      <c r="BHP1" s="224"/>
      <c r="BHQ1" s="224"/>
      <c r="BHR1" s="224"/>
      <c r="BHS1" s="224"/>
      <c r="BHT1" s="224"/>
      <c r="BHU1" s="224"/>
      <c r="BHV1" s="224"/>
      <c r="BHW1" s="224"/>
      <c r="BHX1" s="224"/>
      <c r="BHY1" s="224"/>
      <c r="BHZ1" s="224"/>
      <c r="BIA1" s="224"/>
      <c r="BIB1" s="224"/>
      <c r="BIC1" s="224"/>
      <c r="BID1" s="224"/>
      <c r="BIE1" s="224"/>
      <c r="BIF1" s="224"/>
      <c r="BIG1" s="224"/>
      <c r="BIH1" s="224"/>
      <c r="BII1" s="224"/>
      <c r="BIJ1" s="224"/>
      <c r="BIK1" s="224"/>
      <c r="BIL1" s="224"/>
      <c r="BIM1" s="224"/>
      <c r="BIN1" s="224"/>
      <c r="BIO1" s="224"/>
      <c r="BIP1" s="224"/>
      <c r="BIQ1" s="224"/>
      <c r="BIR1" s="224"/>
      <c r="BIS1" s="224"/>
      <c r="BIT1" s="224"/>
      <c r="BIU1" s="224"/>
      <c r="BIV1" s="224"/>
      <c r="BIW1" s="224"/>
      <c r="BIX1" s="224"/>
      <c r="BIY1" s="224"/>
      <c r="BIZ1" s="224"/>
      <c r="BJA1" s="224"/>
      <c r="BJB1" s="224"/>
      <c r="BJC1" s="224"/>
      <c r="BJD1" s="224"/>
      <c r="BJE1" s="224"/>
      <c r="BJF1" s="224"/>
      <c r="BJG1" s="224"/>
      <c r="BJH1" s="224"/>
      <c r="BJI1" s="224"/>
      <c r="BJJ1" s="224"/>
      <c r="BJK1" s="224"/>
      <c r="BJL1" s="224"/>
      <c r="BJM1" s="224"/>
      <c r="BJN1" s="224"/>
      <c r="BJO1" s="224"/>
      <c r="BJP1" s="224"/>
      <c r="BJQ1" s="224"/>
      <c r="BJR1" s="224"/>
      <c r="BJS1" s="224"/>
      <c r="BJT1" s="224"/>
      <c r="BJU1" s="224"/>
      <c r="BJV1" s="224"/>
      <c r="BJW1" s="224"/>
      <c r="BJX1" s="224"/>
      <c r="BJY1" s="224"/>
      <c r="BJZ1" s="224"/>
      <c r="BKA1" s="224"/>
      <c r="BKB1" s="224"/>
      <c r="BKC1" s="224"/>
      <c r="BKD1" s="224"/>
      <c r="BKE1" s="224"/>
      <c r="BKF1" s="224"/>
      <c r="BKG1" s="224"/>
      <c r="BKH1" s="224"/>
      <c r="BKI1" s="224"/>
      <c r="BKJ1" s="224"/>
      <c r="BKK1" s="224"/>
      <c r="BKL1" s="224"/>
      <c r="BKM1" s="224"/>
      <c r="BKN1" s="224"/>
      <c r="BKO1" s="224"/>
      <c r="BKP1" s="224"/>
      <c r="BKQ1" s="224"/>
      <c r="BKR1" s="224"/>
      <c r="BKS1" s="224"/>
      <c r="BKT1" s="224"/>
      <c r="BKU1" s="224"/>
      <c r="BKV1" s="224"/>
      <c r="BKW1" s="224"/>
      <c r="BKX1" s="224"/>
      <c r="BKY1" s="224"/>
      <c r="BKZ1" s="224"/>
      <c r="BLA1" s="224"/>
      <c r="BLB1" s="224"/>
      <c r="BLC1" s="224"/>
      <c r="BLD1" s="224"/>
      <c r="BLE1" s="224"/>
      <c r="BLF1" s="224"/>
      <c r="BLG1" s="224"/>
      <c r="BLH1" s="224"/>
      <c r="BLI1" s="224"/>
      <c r="BLJ1" s="224"/>
      <c r="BLK1" s="224"/>
      <c r="BLL1" s="224"/>
      <c r="BLM1" s="224"/>
      <c r="BLN1" s="224"/>
      <c r="BLO1" s="224"/>
      <c r="BLP1" s="224"/>
      <c r="BLQ1" s="224"/>
      <c r="BLR1" s="224"/>
      <c r="BLS1" s="224"/>
      <c r="BLT1" s="224"/>
      <c r="BLU1" s="224"/>
      <c r="BLV1" s="224"/>
      <c r="BLW1" s="224"/>
      <c r="BLX1" s="224"/>
      <c r="BLY1" s="224"/>
      <c r="BLZ1" s="224"/>
      <c r="BMA1" s="224"/>
      <c r="BMB1" s="224"/>
      <c r="BMC1" s="224"/>
      <c r="BMD1" s="224"/>
      <c r="BME1" s="224"/>
      <c r="BMF1" s="224"/>
      <c r="BMG1" s="224"/>
      <c r="BMH1" s="224"/>
      <c r="BMI1" s="224"/>
      <c r="BMJ1" s="224"/>
      <c r="BMK1" s="224"/>
      <c r="BML1" s="224"/>
      <c r="BMM1" s="224"/>
      <c r="BMN1" s="224"/>
      <c r="BMO1" s="224"/>
      <c r="BMP1" s="224"/>
      <c r="BMQ1" s="224"/>
      <c r="BMR1" s="224"/>
      <c r="BMS1" s="224"/>
      <c r="BMT1" s="224"/>
      <c r="BMU1" s="224"/>
      <c r="BMV1" s="224"/>
      <c r="BMW1" s="224"/>
      <c r="BMX1" s="224"/>
      <c r="BMY1" s="224"/>
      <c r="BMZ1" s="224"/>
      <c r="BNA1" s="224"/>
      <c r="BNB1" s="224"/>
      <c r="BNC1" s="224"/>
      <c r="BND1" s="224"/>
      <c r="BNE1" s="224"/>
      <c r="BNF1" s="224"/>
      <c r="BNG1" s="224"/>
      <c r="BNH1" s="224"/>
      <c r="BNI1" s="224"/>
      <c r="BNJ1" s="224"/>
      <c r="BNK1" s="224"/>
      <c r="BNL1" s="224"/>
      <c r="BNM1" s="224"/>
      <c r="BNN1" s="224"/>
      <c r="BNO1" s="224"/>
      <c r="BNP1" s="224"/>
      <c r="BNQ1" s="224"/>
      <c r="BNR1" s="224"/>
      <c r="BNS1" s="224"/>
      <c r="BNT1" s="224"/>
      <c r="BNU1" s="224"/>
      <c r="BNV1" s="224"/>
      <c r="BNW1" s="224"/>
      <c r="BNX1" s="224"/>
      <c r="BNY1" s="224"/>
      <c r="BNZ1" s="224"/>
      <c r="BOA1" s="224"/>
      <c r="BOB1" s="224"/>
      <c r="BOC1" s="224"/>
      <c r="BOD1" s="224"/>
      <c r="BOE1" s="224"/>
      <c r="BOF1" s="224"/>
      <c r="BOG1" s="224"/>
      <c r="BOH1" s="224"/>
      <c r="BOI1" s="224"/>
      <c r="BOJ1" s="224"/>
      <c r="BOK1" s="224"/>
      <c r="BOL1" s="224"/>
      <c r="BOM1" s="224"/>
      <c r="BON1" s="224"/>
      <c r="BOO1" s="224"/>
      <c r="BOP1" s="224"/>
      <c r="BOQ1" s="224"/>
      <c r="BOR1" s="224"/>
      <c r="BOS1" s="224"/>
      <c r="BOT1" s="224"/>
      <c r="BOU1" s="224"/>
      <c r="BOV1" s="224"/>
      <c r="BOW1" s="224"/>
      <c r="BOX1" s="224"/>
      <c r="BOY1" s="224"/>
      <c r="BOZ1" s="224"/>
      <c r="BPA1" s="224"/>
      <c r="BPB1" s="224"/>
      <c r="BPC1" s="224"/>
      <c r="BPD1" s="224"/>
      <c r="BPE1" s="224"/>
      <c r="BPF1" s="224"/>
      <c r="BPG1" s="224"/>
      <c r="BPH1" s="224"/>
      <c r="BPI1" s="224"/>
      <c r="BPJ1" s="224"/>
      <c r="BPK1" s="224"/>
      <c r="BPL1" s="224"/>
      <c r="BPM1" s="224"/>
      <c r="BPN1" s="224"/>
      <c r="BPO1" s="224"/>
      <c r="BPP1" s="224"/>
      <c r="BPQ1" s="224"/>
      <c r="BPR1" s="224"/>
      <c r="BPS1" s="224"/>
      <c r="BPT1" s="224"/>
      <c r="BPU1" s="224"/>
      <c r="BPV1" s="224"/>
      <c r="BPW1" s="224"/>
      <c r="BPX1" s="224"/>
      <c r="BPY1" s="224"/>
      <c r="BPZ1" s="224"/>
      <c r="BQA1" s="224"/>
      <c r="BQB1" s="224"/>
      <c r="BQC1" s="224"/>
      <c r="BQD1" s="224"/>
      <c r="BQE1" s="224"/>
      <c r="BQF1" s="224"/>
      <c r="BQG1" s="224"/>
      <c r="BQH1" s="224"/>
      <c r="BQI1" s="224"/>
      <c r="BQJ1" s="224"/>
      <c r="BQK1" s="224"/>
      <c r="BQL1" s="224"/>
      <c r="BQM1" s="224"/>
      <c r="BQN1" s="224"/>
      <c r="BQO1" s="224"/>
      <c r="BQP1" s="224"/>
      <c r="BQQ1" s="224"/>
      <c r="BQR1" s="224"/>
      <c r="BQS1" s="224"/>
      <c r="BQT1" s="224"/>
      <c r="BQU1" s="224"/>
      <c r="BQV1" s="224"/>
      <c r="BQW1" s="224"/>
      <c r="BQX1" s="224"/>
      <c r="BQY1" s="224"/>
      <c r="BQZ1" s="224"/>
      <c r="BRA1" s="224"/>
      <c r="BRB1" s="224"/>
      <c r="BRC1" s="224"/>
      <c r="BRD1" s="224"/>
      <c r="BRE1" s="224"/>
      <c r="BRF1" s="224"/>
      <c r="BRG1" s="224"/>
      <c r="BRH1" s="224"/>
      <c r="BRI1" s="224"/>
      <c r="BRJ1" s="224"/>
      <c r="BRK1" s="224"/>
      <c r="BRL1" s="224"/>
      <c r="BRM1" s="224"/>
      <c r="BRN1" s="224"/>
      <c r="BRO1" s="224"/>
      <c r="BRP1" s="224"/>
      <c r="BRQ1" s="224"/>
      <c r="BRR1" s="224"/>
      <c r="BRS1" s="224"/>
      <c r="BRT1" s="224"/>
      <c r="BRU1" s="224"/>
      <c r="BRV1" s="224"/>
      <c r="BRW1" s="224"/>
      <c r="BRX1" s="224"/>
      <c r="BRY1" s="224"/>
      <c r="BRZ1" s="224"/>
      <c r="BSA1" s="224"/>
      <c r="BSB1" s="224"/>
      <c r="BSC1" s="224"/>
      <c r="BSD1" s="224"/>
      <c r="BSE1" s="224"/>
      <c r="BSF1" s="224"/>
      <c r="BSG1" s="224"/>
      <c r="BSH1" s="224"/>
      <c r="BSI1" s="224"/>
      <c r="BSJ1" s="224"/>
      <c r="BSK1" s="224"/>
      <c r="BSL1" s="224"/>
      <c r="BSM1" s="224"/>
      <c r="BSN1" s="224"/>
      <c r="BSO1" s="224"/>
      <c r="BSP1" s="224"/>
      <c r="BSQ1" s="224"/>
      <c r="BSR1" s="224"/>
      <c r="BSS1" s="224"/>
      <c r="BST1" s="224"/>
      <c r="BSU1" s="224"/>
      <c r="BSV1" s="224"/>
      <c r="BSW1" s="224"/>
      <c r="BSX1" s="224"/>
      <c r="BSY1" s="224"/>
      <c r="BSZ1" s="224"/>
      <c r="BTA1" s="224"/>
      <c r="BTB1" s="224"/>
      <c r="BTC1" s="224"/>
      <c r="BTD1" s="224"/>
      <c r="BTE1" s="224"/>
      <c r="BTF1" s="224"/>
      <c r="BTG1" s="224"/>
      <c r="BTH1" s="224"/>
      <c r="BTI1" s="224"/>
      <c r="BTJ1" s="224"/>
      <c r="BTK1" s="224"/>
      <c r="BTL1" s="224"/>
      <c r="BTM1" s="224"/>
      <c r="BTN1" s="224"/>
      <c r="BTO1" s="224"/>
      <c r="BTP1" s="224"/>
      <c r="BTQ1" s="224"/>
      <c r="BTR1" s="224"/>
      <c r="BTS1" s="224"/>
      <c r="BTT1" s="224"/>
      <c r="BTU1" s="224"/>
      <c r="BTV1" s="224"/>
      <c r="BTW1" s="224"/>
      <c r="BTX1" s="224"/>
      <c r="BTY1" s="224"/>
      <c r="BTZ1" s="224"/>
      <c r="BUA1" s="224"/>
      <c r="BUB1" s="224"/>
      <c r="BUC1" s="224"/>
      <c r="BUD1" s="224"/>
      <c r="BUE1" s="224"/>
      <c r="BUF1" s="224"/>
      <c r="BUG1" s="224"/>
      <c r="BUH1" s="224"/>
      <c r="BUI1" s="224"/>
      <c r="BUJ1" s="224"/>
      <c r="BUK1" s="224"/>
      <c r="BUL1" s="224"/>
      <c r="BUM1" s="224"/>
      <c r="BUN1" s="224"/>
      <c r="BUO1" s="224"/>
      <c r="BUP1" s="224"/>
      <c r="BUQ1" s="224"/>
      <c r="BUR1" s="224"/>
      <c r="BUS1" s="224"/>
      <c r="BUT1" s="224"/>
      <c r="BUU1" s="224"/>
      <c r="BUV1" s="224"/>
      <c r="BUW1" s="224"/>
      <c r="BUX1" s="224"/>
      <c r="BUY1" s="224"/>
      <c r="BUZ1" s="224"/>
      <c r="BVA1" s="224"/>
      <c r="BVB1" s="224"/>
      <c r="BVC1" s="224"/>
      <c r="BVD1" s="224"/>
      <c r="BVE1" s="224"/>
      <c r="BVF1" s="224"/>
      <c r="BVG1" s="224"/>
      <c r="BVH1" s="224"/>
      <c r="BVI1" s="224"/>
      <c r="BVJ1" s="224"/>
      <c r="BVK1" s="224"/>
      <c r="BVL1" s="224"/>
      <c r="BVM1" s="224"/>
      <c r="BVN1" s="224"/>
      <c r="BVO1" s="224"/>
      <c r="BVP1" s="224"/>
      <c r="BVQ1" s="224"/>
      <c r="BVR1" s="224"/>
      <c r="BVS1" s="224"/>
      <c r="BVT1" s="224"/>
      <c r="BVU1" s="224"/>
      <c r="BVV1" s="224"/>
      <c r="BVW1" s="224"/>
      <c r="BVX1" s="224"/>
      <c r="BVY1" s="224"/>
      <c r="BVZ1" s="224"/>
      <c r="BWA1" s="224"/>
      <c r="BWB1" s="224"/>
      <c r="BWC1" s="224"/>
      <c r="BWD1" s="224"/>
      <c r="BWE1" s="224"/>
      <c r="BWF1" s="224"/>
      <c r="BWG1" s="224"/>
      <c r="BWH1" s="224"/>
      <c r="BWI1" s="224"/>
      <c r="BWJ1" s="224"/>
      <c r="BWK1" s="224"/>
      <c r="BWL1" s="224"/>
      <c r="BWM1" s="224"/>
      <c r="BWN1" s="224"/>
      <c r="BWO1" s="224"/>
      <c r="BWP1" s="224"/>
      <c r="BWQ1" s="224"/>
      <c r="BWR1" s="224"/>
      <c r="BWS1" s="224"/>
      <c r="BWT1" s="224"/>
      <c r="BWU1" s="224"/>
      <c r="BWV1" s="224"/>
      <c r="BWW1" s="224"/>
      <c r="BWX1" s="224"/>
      <c r="BWY1" s="224"/>
      <c r="BWZ1" s="224"/>
      <c r="BXA1" s="224"/>
      <c r="BXB1" s="224"/>
      <c r="BXC1" s="224"/>
      <c r="BXD1" s="224"/>
      <c r="BXE1" s="224"/>
      <c r="BXF1" s="224"/>
      <c r="BXG1" s="224"/>
      <c r="BXH1" s="224"/>
      <c r="BXI1" s="224"/>
      <c r="BXJ1" s="224"/>
      <c r="BXK1" s="224"/>
      <c r="BXL1" s="224"/>
      <c r="BXM1" s="224"/>
      <c r="BXN1" s="224"/>
      <c r="BXO1" s="224"/>
      <c r="BXP1" s="224"/>
      <c r="BXQ1" s="224"/>
      <c r="BXR1" s="224"/>
      <c r="BXS1" s="224"/>
      <c r="BXT1" s="224"/>
      <c r="BXU1" s="224"/>
      <c r="BXV1" s="224"/>
      <c r="BXW1" s="224"/>
      <c r="BXX1" s="224"/>
      <c r="BXY1" s="224"/>
      <c r="BXZ1" s="224"/>
      <c r="BYA1" s="224"/>
      <c r="BYB1" s="224"/>
      <c r="BYC1" s="224"/>
      <c r="BYD1" s="224"/>
      <c r="BYE1" s="224"/>
      <c r="BYF1" s="224"/>
      <c r="BYG1" s="224"/>
      <c r="BYH1" s="224"/>
      <c r="BYI1" s="224"/>
      <c r="BYJ1" s="224"/>
      <c r="BYK1" s="224"/>
      <c r="BYL1" s="224"/>
      <c r="BYM1" s="224"/>
      <c r="BYN1" s="224"/>
      <c r="BYO1" s="224"/>
      <c r="BYP1" s="224"/>
      <c r="BYQ1" s="224"/>
      <c r="BYR1" s="224"/>
      <c r="BYS1" s="224"/>
      <c r="BYT1" s="224"/>
      <c r="BYU1" s="224"/>
      <c r="BYV1" s="224"/>
      <c r="BYW1" s="224"/>
      <c r="BYX1" s="224"/>
      <c r="BYY1" s="224"/>
      <c r="BYZ1" s="224"/>
      <c r="BZA1" s="224"/>
      <c r="BZB1" s="224"/>
      <c r="BZC1" s="224"/>
      <c r="BZD1" s="224"/>
      <c r="BZE1" s="224"/>
      <c r="BZF1" s="224"/>
      <c r="BZG1" s="224"/>
      <c r="BZH1" s="224"/>
      <c r="BZI1" s="224"/>
      <c r="BZJ1" s="224"/>
      <c r="BZK1" s="224"/>
      <c r="BZL1" s="224"/>
      <c r="BZM1" s="224"/>
      <c r="BZN1" s="224"/>
      <c r="BZO1" s="224"/>
      <c r="BZP1" s="224"/>
      <c r="BZQ1" s="224"/>
      <c r="BZR1" s="224"/>
      <c r="BZS1" s="224"/>
      <c r="BZT1" s="224"/>
      <c r="BZU1" s="224"/>
      <c r="BZV1" s="224"/>
      <c r="BZW1" s="224"/>
      <c r="BZX1" s="224"/>
      <c r="BZY1" s="224"/>
      <c r="BZZ1" s="224"/>
      <c r="CAA1" s="224"/>
      <c r="CAB1" s="224"/>
      <c r="CAC1" s="224"/>
      <c r="CAD1" s="224"/>
      <c r="CAE1" s="224"/>
      <c r="CAF1" s="224"/>
      <c r="CAG1" s="224"/>
      <c r="CAH1" s="224"/>
      <c r="CAI1" s="224"/>
      <c r="CAJ1" s="224"/>
      <c r="CAK1" s="224"/>
      <c r="CAL1" s="224"/>
      <c r="CAM1" s="224"/>
      <c r="CAN1" s="224"/>
      <c r="CAO1" s="224"/>
      <c r="CAP1" s="224"/>
      <c r="CAQ1" s="224"/>
      <c r="CAR1" s="224"/>
      <c r="CAS1" s="224"/>
      <c r="CAT1" s="224"/>
      <c r="CAU1" s="224"/>
      <c r="CAV1" s="224"/>
      <c r="CAW1" s="224"/>
      <c r="CAX1" s="224"/>
      <c r="CAY1" s="224"/>
      <c r="CAZ1" s="224"/>
      <c r="CBA1" s="224"/>
      <c r="CBB1" s="224"/>
      <c r="CBC1" s="224"/>
      <c r="CBD1" s="224"/>
      <c r="CBE1" s="224"/>
      <c r="CBF1" s="224"/>
      <c r="CBG1" s="224"/>
      <c r="CBH1" s="224"/>
      <c r="CBI1" s="224"/>
      <c r="CBJ1" s="224"/>
      <c r="CBK1" s="224"/>
      <c r="CBL1" s="224"/>
      <c r="CBM1" s="224"/>
      <c r="CBN1" s="224"/>
      <c r="CBO1" s="224"/>
      <c r="CBP1" s="224"/>
      <c r="CBQ1" s="224"/>
      <c r="CBR1" s="224"/>
      <c r="CBS1" s="224"/>
      <c r="CBT1" s="224"/>
      <c r="CBU1" s="224"/>
      <c r="CBV1" s="224"/>
      <c r="CBW1" s="224"/>
      <c r="CBX1" s="224"/>
      <c r="CBY1" s="224"/>
      <c r="CBZ1" s="224"/>
      <c r="CCA1" s="224"/>
      <c r="CCB1" s="224"/>
      <c r="CCC1" s="224"/>
      <c r="CCD1" s="224"/>
      <c r="CCE1" s="224"/>
      <c r="CCF1" s="224"/>
      <c r="CCG1" s="224"/>
      <c r="CCH1" s="224"/>
      <c r="CCI1" s="224"/>
      <c r="CCJ1" s="224"/>
      <c r="CCK1" s="224"/>
      <c r="CCL1" s="224"/>
      <c r="CCM1" s="224"/>
      <c r="CCN1" s="224"/>
      <c r="CCO1" s="224"/>
      <c r="CCP1" s="224"/>
      <c r="CCQ1" s="224"/>
      <c r="CCR1" s="224"/>
      <c r="CCS1" s="224"/>
      <c r="CCT1" s="224"/>
      <c r="CCU1" s="224"/>
      <c r="CCV1" s="224"/>
      <c r="CCW1" s="224"/>
      <c r="CCX1" s="224"/>
      <c r="CCY1" s="224"/>
      <c r="CCZ1" s="224"/>
      <c r="CDA1" s="224"/>
      <c r="CDB1" s="224"/>
      <c r="CDC1" s="224"/>
      <c r="CDD1" s="224"/>
      <c r="CDE1" s="224"/>
      <c r="CDF1" s="224"/>
      <c r="CDG1" s="224"/>
      <c r="CDH1" s="224"/>
      <c r="CDI1" s="224"/>
      <c r="CDJ1" s="224"/>
      <c r="CDK1" s="224"/>
      <c r="CDL1" s="224"/>
      <c r="CDM1" s="224"/>
      <c r="CDN1" s="224"/>
      <c r="CDO1" s="224"/>
      <c r="CDP1" s="224"/>
      <c r="CDQ1" s="224"/>
      <c r="CDR1" s="224"/>
      <c r="CDS1" s="224"/>
      <c r="CDT1" s="224"/>
      <c r="CDU1" s="224"/>
      <c r="CDV1" s="224"/>
      <c r="CDW1" s="224"/>
      <c r="CDX1" s="224"/>
      <c r="CDY1" s="224"/>
      <c r="CDZ1" s="224"/>
      <c r="CEA1" s="224"/>
      <c r="CEB1" s="224"/>
      <c r="CEC1" s="224"/>
      <c r="CED1" s="224"/>
      <c r="CEE1" s="224"/>
      <c r="CEF1" s="224"/>
      <c r="CEG1" s="224"/>
      <c r="CEH1" s="224"/>
      <c r="CEI1" s="224"/>
      <c r="CEJ1" s="224"/>
      <c r="CEK1" s="224"/>
      <c r="CEL1" s="224"/>
      <c r="CEM1" s="224"/>
      <c r="CEN1" s="224"/>
      <c r="CEO1" s="224"/>
      <c r="CEP1" s="224"/>
      <c r="CEQ1" s="224"/>
      <c r="CER1" s="224"/>
      <c r="CES1" s="224"/>
      <c r="CET1" s="224"/>
      <c r="CEU1" s="224"/>
      <c r="CEV1" s="224"/>
      <c r="CEW1" s="224"/>
      <c r="CEX1" s="224"/>
      <c r="CEY1" s="224"/>
      <c r="CEZ1" s="224"/>
      <c r="CFA1" s="224"/>
      <c r="CFB1" s="224"/>
      <c r="CFC1" s="224"/>
      <c r="CFD1" s="224"/>
      <c r="CFE1" s="224"/>
      <c r="CFF1" s="224"/>
      <c r="CFG1" s="224"/>
      <c r="CFH1" s="224"/>
      <c r="CFI1" s="224"/>
      <c r="CFJ1" s="224"/>
      <c r="CFK1" s="224"/>
      <c r="CFL1" s="224"/>
      <c r="CFM1" s="224"/>
      <c r="CFN1" s="224"/>
      <c r="CFO1" s="224"/>
      <c r="CFP1" s="224"/>
      <c r="CFQ1" s="224"/>
      <c r="CFR1" s="224"/>
      <c r="CFS1" s="224"/>
      <c r="CFT1" s="224"/>
      <c r="CFU1" s="224"/>
      <c r="CFV1" s="224"/>
      <c r="CFW1" s="224"/>
      <c r="CFX1" s="224"/>
      <c r="CFY1" s="224"/>
      <c r="CFZ1" s="224"/>
      <c r="CGA1" s="224"/>
      <c r="CGB1" s="224"/>
      <c r="CGC1" s="224"/>
      <c r="CGD1" s="224"/>
      <c r="CGE1" s="224"/>
      <c r="CGF1" s="224"/>
      <c r="CGG1" s="224"/>
      <c r="CGH1" s="224"/>
      <c r="CGI1" s="224"/>
      <c r="CGJ1" s="224"/>
      <c r="CGK1" s="224"/>
      <c r="CGL1" s="224"/>
      <c r="CGM1" s="224"/>
      <c r="CGN1" s="224"/>
      <c r="CGO1" s="224"/>
      <c r="CGP1" s="224"/>
      <c r="CGQ1" s="224"/>
      <c r="CGR1" s="224"/>
      <c r="CGS1" s="224"/>
      <c r="CGT1" s="224"/>
      <c r="CGU1" s="224"/>
      <c r="CGV1" s="224"/>
      <c r="CGW1" s="224"/>
      <c r="CGX1" s="224"/>
      <c r="CGY1" s="224"/>
      <c r="CGZ1" s="224"/>
      <c r="CHA1" s="224"/>
      <c r="CHB1" s="224"/>
      <c r="CHC1" s="224"/>
      <c r="CHD1" s="224"/>
      <c r="CHE1" s="224"/>
      <c r="CHF1" s="224"/>
      <c r="CHG1" s="224"/>
      <c r="CHH1" s="224"/>
      <c r="CHI1" s="224"/>
      <c r="CHJ1" s="224"/>
      <c r="CHK1" s="224"/>
      <c r="CHL1" s="224"/>
      <c r="CHM1" s="224"/>
      <c r="CHN1" s="224"/>
      <c r="CHO1" s="224"/>
      <c r="CHP1" s="224"/>
      <c r="CHQ1" s="224"/>
      <c r="CHR1" s="224"/>
      <c r="CHS1" s="224"/>
      <c r="CHT1" s="224"/>
      <c r="CHU1" s="224"/>
      <c r="CHV1" s="224"/>
      <c r="CHW1" s="224"/>
      <c r="CHX1" s="224"/>
      <c r="CHY1" s="224"/>
      <c r="CHZ1" s="224"/>
      <c r="CIA1" s="224"/>
      <c r="CIB1" s="224"/>
      <c r="CIC1" s="224"/>
      <c r="CID1" s="224"/>
      <c r="CIE1" s="224"/>
      <c r="CIF1" s="224"/>
      <c r="CIG1" s="224"/>
      <c r="CIH1" s="224"/>
      <c r="CII1" s="224"/>
      <c r="CIJ1" s="224"/>
      <c r="CIK1" s="224"/>
      <c r="CIL1" s="224"/>
      <c r="CIM1" s="224"/>
      <c r="CIN1" s="224"/>
      <c r="CIO1" s="224"/>
      <c r="CIP1" s="224"/>
      <c r="CIQ1" s="224"/>
      <c r="CIR1" s="224"/>
      <c r="CIS1" s="224"/>
      <c r="CIT1" s="224"/>
      <c r="CIU1" s="224"/>
      <c r="CIV1" s="224"/>
      <c r="CIW1" s="224"/>
      <c r="CIX1" s="224"/>
      <c r="CIY1" s="224"/>
      <c r="CIZ1" s="224"/>
      <c r="CJA1" s="224"/>
      <c r="CJB1" s="224"/>
      <c r="CJC1" s="224"/>
      <c r="CJD1" s="224"/>
      <c r="CJE1" s="224"/>
      <c r="CJF1" s="224"/>
      <c r="CJG1" s="224"/>
      <c r="CJH1" s="224"/>
      <c r="CJI1" s="224"/>
      <c r="CJJ1" s="224"/>
      <c r="CJK1" s="224"/>
      <c r="CJL1" s="224"/>
      <c r="CJM1" s="224"/>
      <c r="CJN1" s="224"/>
      <c r="CJO1" s="224"/>
      <c r="CJP1" s="224"/>
      <c r="CJQ1" s="224"/>
      <c r="CJR1" s="224"/>
      <c r="CJS1" s="224"/>
      <c r="CJT1" s="224"/>
      <c r="CJU1" s="224"/>
      <c r="CJV1" s="224"/>
      <c r="CJW1" s="224"/>
      <c r="CJX1" s="224"/>
      <c r="CJY1" s="224"/>
      <c r="CJZ1" s="224"/>
      <c r="CKA1" s="224"/>
      <c r="CKB1" s="224"/>
      <c r="CKC1" s="224"/>
      <c r="CKD1" s="224"/>
      <c r="CKE1" s="224"/>
      <c r="CKF1" s="224"/>
      <c r="CKG1" s="224"/>
      <c r="CKH1" s="224"/>
      <c r="CKI1" s="224"/>
      <c r="CKJ1" s="224"/>
      <c r="CKK1" s="224"/>
      <c r="CKL1" s="224"/>
      <c r="CKM1" s="224"/>
      <c r="CKN1" s="224"/>
      <c r="CKO1" s="224"/>
      <c r="CKP1" s="224"/>
      <c r="CKQ1" s="224"/>
      <c r="CKR1" s="224"/>
      <c r="CKS1" s="224"/>
      <c r="CKT1" s="224"/>
      <c r="CKU1" s="224"/>
      <c r="CKV1" s="224"/>
      <c r="CKW1" s="224"/>
      <c r="CKX1" s="224"/>
      <c r="CKY1" s="224"/>
      <c r="CKZ1" s="224"/>
      <c r="CLA1" s="224"/>
      <c r="CLB1" s="224"/>
      <c r="CLC1" s="224"/>
      <c r="CLD1" s="224"/>
      <c r="CLE1" s="224"/>
      <c r="CLF1" s="224"/>
      <c r="CLG1" s="224"/>
      <c r="CLH1" s="224"/>
      <c r="CLI1" s="224"/>
      <c r="CLJ1" s="224"/>
      <c r="CLK1" s="224"/>
      <c r="CLL1" s="224"/>
      <c r="CLM1" s="224"/>
      <c r="CLN1" s="224"/>
      <c r="CLO1" s="224"/>
      <c r="CLP1" s="224"/>
      <c r="CLQ1" s="224"/>
      <c r="CLR1" s="224"/>
      <c r="CLS1" s="224"/>
      <c r="CLT1" s="224"/>
      <c r="CLU1" s="224"/>
      <c r="CLV1" s="224"/>
      <c r="CLW1" s="224"/>
      <c r="CLX1" s="224"/>
      <c r="CLY1" s="224"/>
      <c r="CLZ1" s="224"/>
      <c r="CMA1" s="224"/>
      <c r="CMB1" s="224"/>
      <c r="CMC1" s="224"/>
      <c r="CMD1" s="224"/>
      <c r="CME1" s="224"/>
      <c r="CMF1" s="224"/>
      <c r="CMG1" s="224"/>
      <c r="CMH1" s="224"/>
      <c r="CMI1" s="224"/>
      <c r="CMJ1" s="224"/>
      <c r="CMK1" s="224"/>
      <c r="CML1" s="224"/>
      <c r="CMM1" s="224"/>
      <c r="CMN1" s="224"/>
      <c r="CMO1" s="224"/>
      <c r="CMP1" s="224"/>
      <c r="CMQ1" s="224"/>
      <c r="CMR1" s="224"/>
      <c r="CMS1" s="224"/>
      <c r="CMT1" s="224"/>
      <c r="CMU1" s="224"/>
      <c r="CMV1" s="224"/>
      <c r="CMW1" s="224"/>
      <c r="CMX1" s="224"/>
      <c r="CMY1" s="224"/>
      <c r="CMZ1" s="224"/>
      <c r="CNA1" s="224"/>
      <c r="CNB1" s="224"/>
      <c r="CNC1" s="224"/>
      <c r="CND1" s="224"/>
      <c r="CNE1" s="224"/>
      <c r="CNF1" s="224"/>
      <c r="CNG1" s="224"/>
      <c r="CNH1" s="224"/>
      <c r="CNI1" s="224"/>
      <c r="CNJ1" s="224"/>
      <c r="CNK1" s="224"/>
      <c r="CNL1" s="224"/>
      <c r="CNM1" s="224"/>
      <c r="CNN1" s="224"/>
      <c r="CNO1" s="224"/>
      <c r="CNP1" s="224"/>
      <c r="CNQ1" s="224"/>
      <c r="CNR1" s="224"/>
      <c r="CNS1" s="224"/>
      <c r="CNT1" s="224"/>
      <c r="CNU1" s="224"/>
      <c r="CNV1" s="224"/>
      <c r="CNW1" s="224"/>
      <c r="CNX1" s="224"/>
      <c r="CNY1" s="224"/>
      <c r="CNZ1" s="224"/>
      <c r="COA1" s="224"/>
      <c r="COB1" s="224"/>
      <c r="COC1" s="224"/>
      <c r="COD1" s="224"/>
      <c r="COE1" s="224"/>
      <c r="COF1" s="224"/>
      <c r="COG1" s="224"/>
      <c r="COH1" s="224"/>
      <c r="COI1" s="224"/>
      <c r="COJ1" s="224"/>
      <c r="COK1" s="224"/>
      <c r="COL1" s="224"/>
      <c r="COM1" s="224"/>
      <c r="CON1" s="224"/>
      <c r="COO1" s="224"/>
      <c r="COP1" s="224"/>
      <c r="COQ1" s="224"/>
      <c r="COR1" s="224"/>
      <c r="COS1" s="224"/>
      <c r="COT1" s="224"/>
      <c r="COU1" s="224"/>
      <c r="COV1" s="224"/>
      <c r="COW1" s="224"/>
      <c r="COX1" s="224"/>
      <c r="COY1" s="224"/>
      <c r="COZ1" s="224"/>
      <c r="CPA1" s="224"/>
      <c r="CPB1" s="224"/>
      <c r="CPC1" s="224"/>
      <c r="CPD1" s="224"/>
      <c r="CPE1" s="224"/>
      <c r="CPF1" s="224"/>
      <c r="CPG1" s="224"/>
      <c r="CPH1" s="224"/>
      <c r="CPI1" s="224"/>
      <c r="CPJ1" s="224"/>
      <c r="CPK1" s="224"/>
      <c r="CPL1" s="224"/>
      <c r="CPM1" s="224"/>
      <c r="CPN1" s="224"/>
      <c r="CPO1" s="224"/>
      <c r="CPP1" s="224"/>
      <c r="CPQ1" s="224"/>
      <c r="CPR1" s="224"/>
      <c r="CPS1" s="224"/>
      <c r="CPT1" s="224"/>
      <c r="CPU1" s="224"/>
      <c r="CPV1" s="224"/>
      <c r="CPW1" s="224"/>
      <c r="CPX1" s="224"/>
      <c r="CPY1" s="224"/>
      <c r="CPZ1" s="224"/>
      <c r="CQA1" s="224"/>
      <c r="CQB1" s="224"/>
      <c r="CQC1" s="224"/>
      <c r="CQD1" s="224"/>
      <c r="CQE1" s="224"/>
      <c r="CQF1" s="224"/>
      <c r="CQG1" s="224"/>
      <c r="CQH1" s="224"/>
      <c r="CQI1" s="224"/>
      <c r="CQJ1" s="224"/>
      <c r="CQK1" s="224"/>
      <c r="CQL1" s="224"/>
      <c r="CQM1" s="224"/>
      <c r="CQN1" s="224"/>
      <c r="CQO1" s="224"/>
      <c r="CQP1" s="224"/>
      <c r="CQQ1" s="224"/>
      <c r="CQR1" s="224"/>
      <c r="CQS1" s="224"/>
      <c r="CQT1" s="224"/>
      <c r="CQU1" s="224"/>
      <c r="CQV1" s="224"/>
      <c r="CQW1" s="224"/>
      <c r="CQX1" s="224"/>
      <c r="CQY1" s="224"/>
      <c r="CQZ1" s="224"/>
      <c r="CRA1" s="224"/>
      <c r="CRB1" s="224"/>
      <c r="CRC1" s="224"/>
      <c r="CRD1" s="224"/>
      <c r="CRE1" s="224"/>
      <c r="CRF1" s="224"/>
      <c r="CRG1" s="224"/>
      <c r="CRH1" s="224"/>
      <c r="CRI1" s="224"/>
      <c r="CRJ1" s="224"/>
      <c r="CRK1" s="224"/>
      <c r="CRL1" s="224"/>
      <c r="CRM1" s="224"/>
      <c r="CRN1" s="224"/>
      <c r="CRO1" s="224"/>
      <c r="CRP1" s="224"/>
      <c r="CRQ1" s="224"/>
      <c r="CRR1" s="224"/>
      <c r="CRS1" s="224"/>
      <c r="CRT1" s="224"/>
      <c r="CRU1" s="224"/>
      <c r="CRV1" s="224"/>
      <c r="CRW1" s="224"/>
      <c r="CRX1" s="224"/>
      <c r="CRY1" s="224"/>
      <c r="CRZ1" s="224"/>
      <c r="CSA1" s="224"/>
      <c r="CSB1" s="224"/>
      <c r="CSC1" s="224"/>
      <c r="CSD1" s="224"/>
      <c r="CSE1" s="224"/>
      <c r="CSF1" s="224"/>
      <c r="CSG1" s="224"/>
      <c r="CSH1" s="224"/>
      <c r="CSI1" s="224"/>
      <c r="CSJ1" s="224"/>
      <c r="CSK1" s="224"/>
      <c r="CSL1" s="224"/>
      <c r="CSM1" s="224"/>
      <c r="CSN1" s="224"/>
      <c r="CSO1" s="224"/>
      <c r="CSP1" s="224"/>
      <c r="CSQ1" s="224"/>
      <c r="CSR1" s="224"/>
      <c r="CSS1" s="224"/>
      <c r="CST1" s="224"/>
      <c r="CSU1" s="224"/>
      <c r="CSV1" s="224"/>
      <c r="CSW1" s="224"/>
      <c r="CSX1" s="224"/>
      <c r="CSY1" s="224"/>
      <c r="CSZ1" s="224"/>
      <c r="CTA1" s="224"/>
      <c r="CTB1" s="224"/>
      <c r="CTC1" s="224"/>
      <c r="CTD1" s="224"/>
      <c r="CTE1" s="224"/>
      <c r="CTF1" s="224"/>
      <c r="CTG1" s="224"/>
      <c r="CTH1" s="224"/>
      <c r="CTI1" s="224"/>
      <c r="CTJ1" s="224"/>
      <c r="CTK1" s="224"/>
      <c r="CTL1" s="224"/>
      <c r="CTM1" s="224"/>
      <c r="CTN1" s="224"/>
      <c r="CTO1" s="224"/>
      <c r="CTP1" s="224"/>
      <c r="CTQ1" s="224"/>
      <c r="CTR1" s="224"/>
      <c r="CTS1" s="224"/>
      <c r="CTT1" s="224"/>
      <c r="CTU1" s="224"/>
      <c r="CTV1" s="224"/>
      <c r="CTW1" s="224"/>
      <c r="CTX1" s="224"/>
      <c r="CTY1" s="224"/>
      <c r="CTZ1" s="224"/>
      <c r="CUA1" s="224"/>
      <c r="CUB1" s="224"/>
      <c r="CUC1" s="224"/>
      <c r="CUD1" s="224"/>
      <c r="CUE1" s="224"/>
      <c r="CUF1" s="224"/>
      <c r="CUG1" s="224"/>
      <c r="CUH1" s="224"/>
      <c r="CUI1" s="224"/>
      <c r="CUJ1" s="224"/>
      <c r="CUK1" s="224"/>
      <c r="CUL1" s="224"/>
      <c r="CUM1" s="224"/>
      <c r="CUN1" s="224"/>
      <c r="CUO1" s="224"/>
      <c r="CUP1" s="224"/>
      <c r="CUQ1" s="224"/>
      <c r="CUR1" s="224"/>
      <c r="CUS1" s="224"/>
      <c r="CUT1" s="224"/>
      <c r="CUU1" s="224"/>
      <c r="CUV1" s="224"/>
      <c r="CUW1" s="224"/>
      <c r="CUX1" s="224"/>
      <c r="CUY1" s="224"/>
      <c r="CUZ1" s="224"/>
      <c r="CVA1" s="224"/>
      <c r="CVB1" s="224"/>
      <c r="CVC1" s="224"/>
      <c r="CVD1" s="224"/>
      <c r="CVE1" s="224"/>
      <c r="CVF1" s="224"/>
      <c r="CVG1" s="224"/>
      <c r="CVH1" s="224"/>
      <c r="CVI1" s="224"/>
      <c r="CVJ1" s="224"/>
      <c r="CVK1" s="224"/>
      <c r="CVL1" s="224"/>
      <c r="CVM1" s="224"/>
      <c r="CVN1" s="224"/>
      <c r="CVO1" s="224"/>
      <c r="CVP1" s="224"/>
      <c r="CVQ1" s="224"/>
      <c r="CVR1" s="224"/>
      <c r="CVS1" s="224"/>
      <c r="CVT1" s="224"/>
      <c r="CVU1" s="224"/>
      <c r="CVV1" s="224"/>
      <c r="CVW1" s="224"/>
      <c r="CVX1" s="224"/>
      <c r="CVY1" s="224"/>
      <c r="CVZ1" s="224"/>
      <c r="CWA1" s="224"/>
      <c r="CWB1" s="224"/>
      <c r="CWC1" s="224"/>
      <c r="CWD1" s="224"/>
      <c r="CWE1" s="224"/>
      <c r="CWF1" s="224"/>
      <c r="CWG1" s="224"/>
      <c r="CWH1" s="224"/>
      <c r="CWI1" s="224"/>
      <c r="CWJ1" s="224"/>
      <c r="CWK1" s="224"/>
      <c r="CWL1" s="224"/>
      <c r="CWM1" s="224"/>
      <c r="CWN1" s="224"/>
      <c r="CWO1" s="224"/>
      <c r="CWP1" s="224"/>
      <c r="CWQ1" s="224"/>
      <c r="CWR1" s="224"/>
      <c r="CWS1" s="224"/>
      <c r="CWT1" s="224"/>
      <c r="CWU1" s="224"/>
      <c r="CWV1" s="224"/>
      <c r="CWW1" s="224"/>
      <c r="CWX1" s="224"/>
      <c r="CWY1" s="224"/>
      <c r="CWZ1" s="224"/>
      <c r="CXA1" s="224"/>
      <c r="CXB1" s="224"/>
      <c r="CXC1" s="224"/>
      <c r="CXD1" s="224"/>
      <c r="CXE1" s="224"/>
      <c r="CXF1" s="224"/>
      <c r="CXG1" s="224"/>
      <c r="CXH1" s="224"/>
      <c r="CXI1" s="224"/>
      <c r="CXJ1" s="224"/>
      <c r="CXK1" s="224"/>
      <c r="CXL1" s="224"/>
      <c r="CXM1" s="224"/>
      <c r="CXN1" s="224"/>
      <c r="CXO1" s="224"/>
      <c r="CXP1" s="224"/>
      <c r="CXQ1" s="224"/>
      <c r="CXR1" s="224"/>
      <c r="CXS1" s="224"/>
      <c r="CXT1" s="224"/>
      <c r="CXU1" s="224"/>
      <c r="CXV1" s="224"/>
      <c r="CXW1" s="224"/>
      <c r="CXX1" s="224"/>
      <c r="CXY1" s="224"/>
      <c r="CXZ1" s="224"/>
      <c r="CYA1" s="224"/>
      <c r="CYB1" s="224"/>
      <c r="CYC1" s="224"/>
      <c r="CYD1" s="224"/>
      <c r="CYE1" s="224"/>
      <c r="CYF1" s="224"/>
      <c r="CYG1" s="224"/>
      <c r="CYH1" s="224"/>
      <c r="CYI1" s="224"/>
      <c r="CYJ1" s="224"/>
      <c r="CYK1" s="224"/>
      <c r="CYL1" s="224"/>
      <c r="CYM1" s="224"/>
      <c r="CYN1" s="224"/>
      <c r="CYO1" s="224"/>
      <c r="CYP1" s="224"/>
      <c r="CYQ1" s="224"/>
      <c r="CYR1" s="224"/>
      <c r="CYS1" s="224"/>
      <c r="CYT1" s="224"/>
      <c r="CYU1" s="224"/>
      <c r="CYV1" s="224"/>
      <c r="CYW1" s="224"/>
      <c r="CYX1" s="224"/>
      <c r="CYY1" s="224"/>
      <c r="CYZ1" s="224"/>
      <c r="CZA1" s="224"/>
      <c r="CZB1" s="224"/>
      <c r="CZC1" s="224"/>
      <c r="CZD1" s="224"/>
      <c r="CZE1" s="224"/>
      <c r="CZF1" s="224"/>
      <c r="CZG1" s="224"/>
      <c r="CZH1" s="224"/>
      <c r="CZI1" s="224"/>
      <c r="CZJ1" s="224"/>
      <c r="CZK1" s="224"/>
      <c r="CZL1" s="224"/>
      <c r="CZM1" s="224"/>
      <c r="CZN1" s="224"/>
      <c r="CZO1" s="224"/>
      <c r="CZP1" s="224"/>
      <c r="CZQ1" s="224"/>
      <c r="CZR1" s="224"/>
      <c r="CZS1" s="224"/>
      <c r="CZT1" s="224"/>
      <c r="CZU1" s="224"/>
      <c r="CZV1" s="224"/>
      <c r="CZW1" s="224"/>
      <c r="CZX1" s="224"/>
      <c r="CZY1" s="224"/>
      <c r="CZZ1" s="224"/>
      <c r="DAA1" s="224"/>
      <c r="DAB1" s="224"/>
      <c r="DAC1" s="224"/>
      <c r="DAD1" s="224"/>
      <c r="DAE1" s="224"/>
      <c r="DAF1" s="224"/>
      <c r="DAG1" s="224"/>
      <c r="DAH1" s="224"/>
      <c r="DAI1" s="224"/>
      <c r="DAJ1" s="224"/>
      <c r="DAK1" s="224"/>
      <c r="DAL1" s="224"/>
      <c r="DAM1" s="224"/>
      <c r="DAN1" s="224"/>
      <c r="DAO1" s="224"/>
      <c r="DAP1" s="224"/>
      <c r="DAQ1" s="224"/>
      <c r="DAR1" s="224"/>
      <c r="DAS1" s="224"/>
      <c r="DAT1" s="224"/>
      <c r="DAU1" s="224"/>
      <c r="DAV1" s="224"/>
      <c r="DAW1" s="224"/>
      <c r="DAX1" s="224"/>
      <c r="DAY1" s="224"/>
      <c r="DAZ1" s="224"/>
      <c r="DBA1" s="224"/>
      <c r="DBB1" s="224"/>
      <c r="DBC1" s="224"/>
      <c r="DBD1" s="224"/>
      <c r="DBE1" s="224"/>
      <c r="DBF1" s="224"/>
      <c r="DBG1" s="224"/>
      <c r="DBH1" s="224"/>
      <c r="DBI1" s="224"/>
      <c r="DBJ1" s="224"/>
      <c r="DBK1" s="224"/>
      <c r="DBL1" s="224"/>
      <c r="DBM1" s="224"/>
      <c r="DBN1" s="224"/>
      <c r="DBO1" s="224"/>
      <c r="DBP1" s="224"/>
      <c r="DBQ1" s="224"/>
      <c r="DBR1" s="224"/>
      <c r="DBS1" s="224"/>
      <c r="DBT1" s="224"/>
      <c r="DBU1" s="224"/>
      <c r="DBV1" s="224"/>
      <c r="DBW1" s="224"/>
      <c r="DBX1" s="224"/>
      <c r="DBY1" s="224"/>
      <c r="DBZ1" s="224"/>
      <c r="DCA1" s="224"/>
      <c r="DCB1" s="224"/>
      <c r="DCC1" s="224"/>
      <c r="DCD1" s="224"/>
      <c r="DCE1" s="224"/>
      <c r="DCF1" s="224"/>
      <c r="DCG1" s="224"/>
      <c r="DCH1" s="224"/>
      <c r="DCI1" s="224"/>
      <c r="DCJ1" s="224"/>
      <c r="DCK1" s="224"/>
      <c r="DCL1" s="224"/>
      <c r="DCM1" s="224"/>
      <c r="DCN1" s="224"/>
      <c r="DCO1" s="224"/>
      <c r="DCP1" s="224"/>
      <c r="DCQ1" s="224"/>
      <c r="DCR1" s="224"/>
      <c r="DCS1" s="224"/>
      <c r="DCT1" s="224"/>
      <c r="DCU1" s="224"/>
      <c r="DCV1" s="224"/>
      <c r="DCW1" s="224"/>
      <c r="DCX1" s="224"/>
      <c r="DCY1" s="224"/>
      <c r="DCZ1" s="224"/>
      <c r="DDA1" s="224"/>
      <c r="DDB1" s="224"/>
      <c r="DDC1" s="224"/>
      <c r="DDD1" s="224"/>
      <c r="DDE1" s="224"/>
      <c r="DDF1" s="224"/>
      <c r="DDG1" s="224"/>
      <c r="DDH1" s="224"/>
      <c r="DDI1" s="224"/>
      <c r="DDJ1" s="224"/>
      <c r="DDK1" s="224"/>
      <c r="DDL1" s="224"/>
      <c r="DDM1" s="224"/>
      <c r="DDN1" s="224"/>
      <c r="DDO1" s="224"/>
      <c r="DDP1" s="224"/>
      <c r="DDQ1" s="224"/>
      <c r="DDR1" s="224"/>
      <c r="DDS1" s="224"/>
      <c r="DDT1" s="224"/>
      <c r="DDU1" s="224"/>
      <c r="DDV1" s="224"/>
      <c r="DDW1" s="224"/>
      <c r="DDX1" s="224"/>
      <c r="DDY1" s="224"/>
      <c r="DDZ1" s="224"/>
      <c r="DEA1" s="224"/>
      <c r="DEB1" s="224"/>
      <c r="DEC1" s="224"/>
      <c r="DED1" s="224"/>
      <c r="DEE1" s="224"/>
      <c r="DEF1" s="224"/>
      <c r="DEG1" s="224"/>
      <c r="DEH1" s="224"/>
      <c r="DEI1" s="224"/>
      <c r="DEJ1" s="224"/>
      <c r="DEK1" s="224"/>
      <c r="DEL1" s="224"/>
      <c r="DEM1" s="224"/>
      <c r="DEN1" s="224"/>
      <c r="DEO1" s="224"/>
      <c r="DEP1" s="224"/>
      <c r="DEQ1" s="224"/>
      <c r="DER1" s="224"/>
      <c r="DES1" s="224"/>
      <c r="DET1" s="224"/>
      <c r="DEU1" s="224"/>
      <c r="DEV1" s="224"/>
      <c r="DEW1" s="224"/>
      <c r="DEX1" s="224"/>
      <c r="DEY1" s="224"/>
      <c r="DEZ1" s="224"/>
      <c r="DFA1" s="224"/>
      <c r="DFB1" s="224"/>
      <c r="DFC1" s="224"/>
      <c r="DFD1" s="224"/>
      <c r="DFE1" s="224"/>
      <c r="DFF1" s="224"/>
      <c r="DFG1" s="224"/>
      <c r="DFH1" s="224"/>
      <c r="DFI1" s="224"/>
      <c r="DFJ1" s="224"/>
      <c r="DFK1" s="224"/>
      <c r="DFL1" s="224"/>
      <c r="DFM1" s="224"/>
      <c r="DFN1" s="224"/>
      <c r="DFO1" s="224"/>
      <c r="DFP1" s="224"/>
      <c r="DFQ1" s="224"/>
      <c r="DFR1" s="224"/>
      <c r="DFS1" s="224"/>
      <c r="DFT1" s="224"/>
      <c r="DFU1" s="224"/>
      <c r="DFV1" s="224"/>
      <c r="DFW1" s="224"/>
      <c r="DFX1" s="224"/>
      <c r="DFY1" s="224"/>
      <c r="DFZ1" s="224"/>
      <c r="DGA1" s="224"/>
      <c r="DGB1" s="224"/>
      <c r="DGC1" s="224"/>
      <c r="DGD1" s="224"/>
      <c r="DGE1" s="224"/>
      <c r="DGF1" s="224"/>
      <c r="DGG1" s="224"/>
      <c r="DGH1" s="224"/>
      <c r="DGI1" s="224"/>
      <c r="DGJ1" s="224"/>
      <c r="DGK1" s="224"/>
      <c r="DGL1" s="224"/>
      <c r="DGM1" s="224"/>
      <c r="DGN1" s="224"/>
      <c r="DGO1" s="224"/>
      <c r="DGP1" s="224"/>
      <c r="DGQ1" s="224"/>
      <c r="DGR1" s="224"/>
      <c r="DGS1" s="224"/>
      <c r="DGT1" s="224"/>
      <c r="DGU1" s="224"/>
      <c r="DGV1" s="224"/>
      <c r="DGW1" s="224"/>
      <c r="DGX1" s="224"/>
      <c r="DGY1" s="224"/>
      <c r="DGZ1" s="224"/>
      <c r="DHA1" s="224"/>
      <c r="DHB1" s="224"/>
      <c r="DHC1" s="224"/>
      <c r="DHD1" s="224"/>
      <c r="DHE1" s="224"/>
      <c r="DHF1" s="224"/>
      <c r="DHG1" s="224"/>
      <c r="DHH1" s="224"/>
      <c r="DHI1" s="224"/>
      <c r="DHJ1" s="224"/>
      <c r="DHK1" s="224"/>
      <c r="DHL1" s="224"/>
      <c r="DHM1" s="224"/>
      <c r="DHN1" s="224"/>
      <c r="DHO1" s="224"/>
      <c r="DHP1" s="224"/>
      <c r="DHQ1" s="224"/>
      <c r="DHR1" s="224"/>
      <c r="DHS1" s="224"/>
      <c r="DHT1" s="224"/>
      <c r="DHU1" s="224"/>
      <c r="DHV1" s="224"/>
      <c r="DHW1" s="224"/>
      <c r="DHX1" s="224"/>
      <c r="DHY1" s="224"/>
      <c r="DHZ1" s="224"/>
      <c r="DIA1" s="224"/>
      <c r="DIB1" s="224"/>
      <c r="DIC1" s="224"/>
      <c r="DID1" s="224"/>
      <c r="DIE1" s="224"/>
      <c r="DIF1" s="224"/>
      <c r="DIG1" s="224"/>
      <c r="DIH1" s="224"/>
      <c r="DII1" s="224"/>
      <c r="DIJ1" s="224"/>
      <c r="DIK1" s="224"/>
      <c r="DIL1" s="224"/>
      <c r="DIM1" s="224"/>
      <c r="DIN1" s="224"/>
      <c r="DIO1" s="224"/>
      <c r="DIP1" s="224"/>
      <c r="DIQ1" s="224"/>
      <c r="DIR1" s="224"/>
      <c r="DIS1" s="224"/>
      <c r="DIT1" s="224"/>
      <c r="DIU1" s="224"/>
      <c r="DIV1" s="224"/>
      <c r="DIW1" s="224"/>
      <c r="DIX1" s="224"/>
      <c r="DIY1" s="224"/>
      <c r="DIZ1" s="224"/>
      <c r="DJA1" s="224"/>
      <c r="DJB1" s="224"/>
      <c r="DJC1" s="224"/>
      <c r="DJD1" s="224"/>
      <c r="DJE1" s="224"/>
      <c r="DJF1" s="224"/>
      <c r="DJG1" s="224"/>
      <c r="DJH1" s="224"/>
      <c r="DJI1" s="224"/>
      <c r="DJJ1" s="224"/>
      <c r="DJK1" s="224"/>
      <c r="DJL1" s="224"/>
      <c r="DJM1" s="224"/>
      <c r="DJN1" s="224"/>
      <c r="DJO1" s="224"/>
      <c r="DJP1" s="224"/>
      <c r="DJQ1" s="224"/>
      <c r="DJR1" s="224"/>
      <c r="DJS1" s="224"/>
      <c r="DJT1" s="224"/>
      <c r="DJU1" s="224"/>
      <c r="DJV1" s="224"/>
      <c r="DJW1" s="224"/>
      <c r="DJX1" s="224"/>
      <c r="DJY1" s="224"/>
      <c r="DJZ1" s="224"/>
      <c r="DKA1" s="224"/>
      <c r="DKB1" s="224"/>
      <c r="DKC1" s="224"/>
      <c r="DKD1" s="224"/>
      <c r="DKE1" s="224"/>
      <c r="DKF1" s="224"/>
      <c r="DKG1" s="224"/>
      <c r="DKH1" s="224"/>
      <c r="DKI1" s="224"/>
      <c r="DKJ1" s="224"/>
      <c r="DKK1" s="224"/>
      <c r="DKL1" s="224"/>
      <c r="DKM1" s="224"/>
      <c r="DKN1" s="224"/>
      <c r="DKO1" s="224"/>
      <c r="DKP1" s="224"/>
      <c r="DKQ1" s="224"/>
      <c r="DKR1" s="224"/>
      <c r="DKS1" s="224"/>
      <c r="DKT1" s="224"/>
      <c r="DKU1" s="224"/>
      <c r="DKV1" s="224"/>
      <c r="DKW1" s="224"/>
      <c r="DKX1" s="224"/>
      <c r="DKY1" s="224"/>
      <c r="DKZ1" s="224"/>
      <c r="DLA1" s="224"/>
      <c r="DLB1" s="224"/>
      <c r="DLC1" s="224"/>
      <c r="DLD1" s="224"/>
      <c r="DLE1" s="224"/>
      <c r="DLF1" s="224"/>
      <c r="DLG1" s="224"/>
      <c r="DLH1" s="224"/>
      <c r="DLI1" s="224"/>
      <c r="DLJ1" s="224"/>
      <c r="DLK1" s="224"/>
      <c r="DLL1" s="224"/>
      <c r="DLM1" s="224"/>
      <c r="DLN1" s="224"/>
      <c r="DLO1" s="224"/>
      <c r="DLP1" s="224"/>
      <c r="DLQ1" s="224"/>
      <c r="DLR1" s="224"/>
      <c r="DLS1" s="224"/>
      <c r="DLT1" s="224"/>
      <c r="DLU1" s="224"/>
      <c r="DLV1" s="224"/>
      <c r="DLW1" s="224"/>
      <c r="DLX1" s="224"/>
      <c r="DLY1" s="224"/>
      <c r="DLZ1" s="224"/>
      <c r="DMA1" s="224"/>
      <c r="DMB1" s="224"/>
      <c r="DMC1" s="224"/>
      <c r="DMD1" s="224"/>
      <c r="DME1" s="224"/>
      <c r="DMF1" s="224"/>
      <c r="DMG1" s="224"/>
      <c r="DMH1" s="224"/>
      <c r="DMI1" s="224"/>
      <c r="DMJ1" s="224"/>
      <c r="DMK1" s="224"/>
      <c r="DML1" s="224"/>
      <c r="DMM1" s="224"/>
      <c r="DMN1" s="224"/>
      <c r="DMO1" s="224"/>
      <c r="DMP1" s="224"/>
      <c r="DMQ1" s="224"/>
      <c r="DMR1" s="224"/>
      <c r="DMS1" s="224"/>
      <c r="DMT1" s="224"/>
      <c r="DMU1" s="224"/>
      <c r="DMV1" s="224"/>
      <c r="DMW1" s="224"/>
      <c r="DMX1" s="224"/>
      <c r="DMY1" s="224"/>
      <c r="DMZ1" s="224"/>
      <c r="DNA1" s="224"/>
      <c r="DNB1" s="224"/>
      <c r="DNC1" s="224"/>
      <c r="DND1" s="224"/>
      <c r="DNE1" s="224"/>
      <c r="DNF1" s="224"/>
      <c r="DNG1" s="224"/>
      <c r="DNH1" s="224"/>
      <c r="DNI1" s="224"/>
      <c r="DNJ1" s="224"/>
      <c r="DNK1" s="224"/>
      <c r="DNL1" s="224"/>
      <c r="DNM1" s="224"/>
      <c r="DNN1" s="224"/>
      <c r="DNO1" s="224"/>
      <c r="DNP1" s="224"/>
      <c r="DNQ1" s="224"/>
      <c r="DNR1" s="224"/>
      <c r="DNS1" s="224"/>
      <c r="DNT1" s="224"/>
      <c r="DNU1" s="224"/>
      <c r="DNV1" s="224"/>
      <c r="DNW1" s="224"/>
      <c r="DNX1" s="224"/>
      <c r="DNY1" s="224"/>
      <c r="DNZ1" s="224"/>
      <c r="DOA1" s="224"/>
      <c r="DOB1" s="224"/>
      <c r="DOC1" s="224"/>
      <c r="DOD1" s="224"/>
      <c r="DOE1" s="224"/>
      <c r="DOF1" s="224"/>
      <c r="DOG1" s="224"/>
      <c r="DOH1" s="224"/>
      <c r="DOI1" s="224"/>
      <c r="DOJ1" s="224"/>
      <c r="DOK1" s="224"/>
      <c r="DOL1" s="224"/>
      <c r="DOM1" s="224"/>
      <c r="DON1" s="224"/>
      <c r="DOO1" s="224"/>
      <c r="DOP1" s="224"/>
      <c r="DOQ1" s="224"/>
      <c r="DOR1" s="224"/>
      <c r="DOS1" s="224"/>
      <c r="DOT1" s="224"/>
      <c r="DOU1" s="224"/>
      <c r="DOV1" s="224"/>
      <c r="DOW1" s="224"/>
      <c r="DOX1" s="224"/>
      <c r="DOY1" s="224"/>
      <c r="DOZ1" s="224"/>
      <c r="DPA1" s="224"/>
      <c r="DPB1" s="224"/>
      <c r="DPC1" s="224"/>
      <c r="DPD1" s="224"/>
      <c r="DPE1" s="224"/>
      <c r="DPF1" s="224"/>
      <c r="DPG1" s="224"/>
      <c r="DPH1" s="224"/>
      <c r="DPI1" s="224"/>
      <c r="DPJ1" s="224"/>
      <c r="DPK1" s="224"/>
      <c r="DPL1" s="224"/>
      <c r="DPM1" s="224"/>
      <c r="DPN1" s="224"/>
      <c r="DPO1" s="224"/>
      <c r="DPP1" s="224"/>
      <c r="DPQ1" s="224"/>
      <c r="DPR1" s="224"/>
      <c r="DPS1" s="224"/>
      <c r="DPT1" s="224"/>
      <c r="DPU1" s="224"/>
      <c r="DPV1" s="224"/>
      <c r="DPW1" s="224"/>
      <c r="DPX1" s="224"/>
      <c r="DPY1" s="224"/>
      <c r="DPZ1" s="224"/>
      <c r="DQA1" s="224"/>
      <c r="DQB1" s="224"/>
      <c r="DQC1" s="224"/>
      <c r="DQD1" s="224"/>
      <c r="DQE1" s="224"/>
      <c r="DQF1" s="224"/>
      <c r="DQG1" s="224"/>
      <c r="DQH1" s="224"/>
      <c r="DQI1" s="224"/>
      <c r="DQJ1" s="224"/>
      <c r="DQK1" s="224"/>
      <c r="DQL1" s="224"/>
      <c r="DQM1" s="224"/>
      <c r="DQN1" s="224"/>
      <c r="DQO1" s="224"/>
      <c r="DQP1" s="224"/>
      <c r="DQQ1" s="224"/>
      <c r="DQR1" s="224"/>
      <c r="DQS1" s="224"/>
      <c r="DQT1" s="224"/>
      <c r="DQU1" s="224"/>
      <c r="DQV1" s="224"/>
      <c r="DQW1" s="224"/>
      <c r="DQX1" s="224"/>
      <c r="DQY1" s="224"/>
      <c r="DQZ1" s="224"/>
      <c r="DRA1" s="224"/>
      <c r="DRB1" s="224"/>
      <c r="DRC1" s="224"/>
      <c r="DRD1" s="224"/>
      <c r="DRE1" s="224"/>
      <c r="DRF1" s="224"/>
      <c r="DRG1" s="224"/>
      <c r="DRH1" s="224"/>
      <c r="DRI1" s="224"/>
      <c r="DRJ1" s="224"/>
      <c r="DRK1" s="224"/>
      <c r="DRL1" s="224"/>
      <c r="DRM1" s="224"/>
      <c r="DRN1" s="224"/>
      <c r="DRO1" s="224"/>
      <c r="DRP1" s="224"/>
      <c r="DRQ1" s="224"/>
      <c r="DRR1" s="224"/>
      <c r="DRS1" s="224"/>
      <c r="DRT1" s="224"/>
      <c r="DRU1" s="224"/>
      <c r="DRV1" s="224"/>
      <c r="DRW1" s="224"/>
      <c r="DRX1" s="224"/>
      <c r="DRY1" s="224"/>
      <c r="DRZ1" s="224"/>
      <c r="DSA1" s="224"/>
      <c r="DSB1" s="224"/>
      <c r="DSC1" s="224"/>
      <c r="DSD1" s="224"/>
      <c r="DSE1" s="224"/>
      <c r="DSF1" s="224"/>
      <c r="DSG1" s="224"/>
      <c r="DSH1" s="224"/>
      <c r="DSI1" s="224"/>
      <c r="DSJ1" s="224"/>
      <c r="DSK1" s="224"/>
      <c r="DSL1" s="224"/>
      <c r="DSM1" s="224"/>
      <c r="DSN1" s="224"/>
      <c r="DSO1" s="224"/>
      <c r="DSP1" s="224"/>
      <c r="DSQ1" s="224"/>
      <c r="DSR1" s="224"/>
      <c r="DSS1" s="224"/>
      <c r="DST1" s="224"/>
      <c r="DSU1" s="224"/>
      <c r="DSV1" s="224"/>
      <c r="DSW1" s="224"/>
      <c r="DSX1" s="224"/>
      <c r="DSY1" s="224"/>
      <c r="DSZ1" s="224"/>
      <c r="DTA1" s="224"/>
      <c r="DTB1" s="224"/>
      <c r="DTC1" s="224"/>
      <c r="DTD1" s="224"/>
      <c r="DTE1" s="224"/>
      <c r="DTF1" s="224"/>
      <c r="DTG1" s="224"/>
      <c r="DTH1" s="224"/>
      <c r="DTI1" s="224"/>
      <c r="DTJ1" s="224"/>
      <c r="DTK1" s="224"/>
      <c r="DTL1" s="224"/>
      <c r="DTM1" s="224"/>
      <c r="DTN1" s="224"/>
      <c r="DTO1" s="224"/>
      <c r="DTP1" s="224"/>
      <c r="DTQ1" s="224"/>
      <c r="DTR1" s="224"/>
      <c r="DTS1" s="224"/>
      <c r="DTT1" s="224"/>
      <c r="DTU1" s="224"/>
      <c r="DTV1" s="224"/>
      <c r="DTW1" s="224"/>
      <c r="DTX1" s="224"/>
      <c r="DTY1" s="224"/>
      <c r="DTZ1" s="224"/>
      <c r="DUA1" s="224"/>
      <c r="DUB1" s="224"/>
      <c r="DUC1" s="224"/>
      <c r="DUD1" s="224"/>
      <c r="DUE1" s="224"/>
      <c r="DUF1" s="224"/>
      <c r="DUG1" s="224"/>
      <c r="DUH1" s="224"/>
      <c r="DUI1" s="224"/>
      <c r="DUJ1" s="224"/>
      <c r="DUK1" s="224"/>
      <c r="DUL1" s="224"/>
      <c r="DUM1" s="224"/>
      <c r="DUN1" s="224"/>
      <c r="DUO1" s="224"/>
      <c r="DUP1" s="224"/>
      <c r="DUQ1" s="224"/>
      <c r="DUR1" s="224"/>
      <c r="DUS1" s="224"/>
      <c r="DUT1" s="224"/>
      <c r="DUU1" s="224"/>
      <c r="DUV1" s="224"/>
      <c r="DUW1" s="224"/>
      <c r="DUX1" s="224"/>
      <c r="DUY1" s="224"/>
      <c r="DUZ1" s="224"/>
      <c r="DVA1" s="224"/>
      <c r="DVB1" s="224"/>
      <c r="DVC1" s="224"/>
      <c r="DVD1" s="224"/>
      <c r="DVE1" s="224"/>
      <c r="DVF1" s="224"/>
      <c r="DVG1" s="224"/>
      <c r="DVH1" s="224"/>
      <c r="DVI1" s="224"/>
      <c r="DVJ1" s="224"/>
      <c r="DVK1" s="224"/>
      <c r="DVL1" s="224"/>
      <c r="DVM1" s="224"/>
      <c r="DVN1" s="224"/>
      <c r="DVO1" s="224"/>
      <c r="DVP1" s="224"/>
      <c r="DVQ1" s="224"/>
      <c r="DVR1" s="224"/>
      <c r="DVS1" s="224"/>
      <c r="DVT1" s="224"/>
      <c r="DVU1" s="224"/>
      <c r="DVV1" s="224"/>
      <c r="DVW1" s="224"/>
      <c r="DVX1" s="224"/>
      <c r="DVY1" s="224"/>
      <c r="DVZ1" s="224"/>
      <c r="DWA1" s="224"/>
      <c r="DWB1" s="224"/>
      <c r="DWC1" s="224"/>
      <c r="DWD1" s="224"/>
      <c r="DWE1" s="224"/>
      <c r="DWF1" s="224"/>
      <c r="DWG1" s="224"/>
      <c r="DWH1" s="224"/>
      <c r="DWI1" s="224"/>
      <c r="DWJ1" s="224"/>
      <c r="DWK1" s="224"/>
      <c r="DWL1" s="224"/>
      <c r="DWM1" s="224"/>
      <c r="DWN1" s="224"/>
      <c r="DWO1" s="224"/>
      <c r="DWP1" s="224"/>
      <c r="DWQ1" s="224"/>
      <c r="DWR1" s="224"/>
      <c r="DWS1" s="224"/>
      <c r="DWT1" s="224"/>
      <c r="DWU1" s="224"/>
      <c r="DWV1" s="224"/>
      <c r="DWW1" s="224"/>
      <c r="DWX1" s="224"/>
      <c r="DWY1" s="224"/>
      <c r="DWZ1" s="224"/>
      <c r="DXA1" s="224"/>
      <c r="DXB1" s="224"/>
      <c r="DXC1" s="224"/>
      <c r="DXD1" s="224"/>
      <c r="DXE1" s="224"/>
      <c r="DXF1" s="224"/>
      <c r="DXG1" s="224"/>
      <c r="DXH1" s="224"/>
      <c r="DXI1" s="224"/>
      <c r="DXJ1" s="224"/>
      <c r="DXK1" s="224"/>
      <c r="DXL1" s="224"/>
      <c r="DXM1" s="224"/>
      <c r="DXN1" s="224"/>
      <c r="DXO1" s="224"/>
      <c r="DXP1" s="224"/>
      <c r="DXQ1" s="224"/>
      <c r="DXR1" s="224"/>
      <c r="DXS1" s="224"/>
      <c r="DXT1" s="224"/>
      <c r="DXU1" s="224"/>
      <c r="DXV1" s="224"/>
      <c r="DXW1" s="224"/>
      <c r="DXX1" s="224"/>
      <c r="DXY1" s="224"/>
      <c r="DXZ1" s="224"/>
      <c r="DYA1" s="224"/>
      <c r="DYB1" s="224"/>
      <c r="DYC1" s="224"/>
      <c r="DYD1" s="224"/>
      <c r="DYE1" s="224"/>
      <c r="DYF1" s="224"/>
      <c r="DYG1" s="224"/>
      <c r="DYH1" s="224"/>
      <c r="DYI1" s="224"/>
      <c r="DYJ1" s="224"/>
      <c r="DYK1" s="224"/>
      <c r="DYL1" s="224"/>
      <c r="DYM1" s="224"/>
      <c r="DYN1" s="224"/>
      <c r="DYO1" s="224"/>
      <c r="DYP1" s="224"/>
      <c r="DYQ1" s="224"/>
      <c r="DYR1" s="224"/>
      <c r="DYS1" s="224"/>
      <c r="DYT1" s="224"/>
      <c r="DYU1" s="224"/>
      <c r="DYV1" s="224"/>
      <c r="DYW1" s="224"/>
      <c r="DYX1" s="224"/>
      <c r="DYY1" s="224"/>
      <c r="DYZ1" s="224"/>
      <c r="DZA1" s="224"/>
      <c r="DZB1" s="224"/>
      <c r="DZC1" s="224"/>
      <c r="DZD1" s="224"/>
      <c r="DZE1" s="224"/>
      <c r="DZF1" s="224"/>
      <c r="DZG1" s="224"/>
      <c r="DZH1" s="224"/>
      <c r="DZI1" s="224"/>
      <c r="DZJ1" s="224"/>
      <c r="DZK1" s="224"/>
      <c r="DZL1" s="224"/>
      <c r="DZM1" s="224"/>
      <c r="DZN1" s="224"/>
      <c r="DZO1" s="224"/>
      <c r="DZP1" s="224"/>
      <c r="DZQ1" s="224"/>
      <c r="DZR1" s="224"/>
      <c r="DZS1" s="224"/>
      <c r="DZT1" s="224"/>
      <c r="DZU1" s="224"/>
      <c r="DZV1" s="224"/>
      <c r="DZW1" s="224"/>
      <c r="DZX1" s="224"/>
      <c r="DZY1" s="224"/>
      <c r="DZZ1" s="224"/>
      <c r="EAA1" s="224"/>
      <c r="EAB1" s="224"/>
      <c r="EAC1" s="224"/>
      <c r="EAD1" s="224"/>
      <c r="EAE1" s="224"/>
      <c r="EAF1" s="224"/>
      <c r="EAG1" s="224"/>
      <c r="EAH1" s="224"/>
      <c r="EAI1" s="224"/>
      <c r="EAJ1" s="224"/>
      <c r="EAK1" s="224"/>
      <c r="EAL1" s="224"/>
      <c r="EAM1" s="224"/>
      <c r="EAN1" s="224"/>
      <c r="EAO1" s="224"/>
      <c r="EAP1" s="224"/>
      <c r="EAQ1" s="224"/>
      <c r="EAR1" s="224"/>
      <c r="EAS1" s="224"/>
      <c r="EAT1" s="224"/>
      <c r="EAU1" s="224"/>
      <c r="EAV1" s="224"/>
      <c r="EAW1" s="224"/>
      <c r="EAX1" s="224"/>
      <c r="EAY1" s="224"/>
      <c r="EAZ1" s="224"/>
      <c r="EBA1" s="224"/>
      <c r="EBB1" s="224"/>
      <c r="EBC1" s="224"/>
      <c r="EBD1" s="224"/>
      <c r="EBE1" s="224"/>
      <c r="EBF1" s="224"/>
      <c r="EBG1" s="224"/>
      <c r="EBH1" s="224"/>
      <c r="EBI1" s="224"/>
      <c r="EBJ1" s="224"/>
      <c r="EBK1" s="224"/>
      <c r="EBL1" s="224"/>
      <c r="EBM1" s="224"/>
      <c r="EBN1" s="224"/>
      <c r="EBO1" s="224"/>
      <c r="EBP1" s="224"/>
      <c r="EBQ1" s="224"/>
      <c r="EBR1" s="224"/>
      <c r="EBS1" s="224"/>
      <c r="EBT1" s="224"/>
      <c r="EBU1" s="224"/>
      <c r="EBV1" s="224"/>
      <c r="EBW1" s="224"/>
      <c r="EBX1" s="224"/>
      <c r="EBY1" s="224"/>
      <c r="EBZ1" s="224"/>
      <c r="ECA1" s="224"/>
      <c r="ECB1" s="224"/>
      <c r="ECC1" s="224"/>
      <c r="ECD1" s="224"/>
      <c r="ECE1" s="224"/>
      <c r="ECF1" s="224"/>
      <c r="ECG1" s="224"/>
      <c r="ECH1" s="224"/>
      <c r="ECI1" s="224"/>
      <c r="ECJ1" s="224"/>
      <c r="ECK1" s="224"/>
      <c r="ECL1" s="224"/>
      <c r="ECM1" s="224"/>
      <c r="ECN1" s="224"/>
      <c r="ECO1" s="224"/>
      <c r="ECP1" s="224"/>
      <c r="ECQ1" s="224"/>
      <c r="ECR1" s="224"/>
      <c r="ECS1" s="224"/>
      <c r="ECT1" s="224"/>
      <c r="ECU1" s="224"/>
      <c r="ECV1" s="224"/>
      <c r="ECW1" s="224"/>
      <c r="ECX1" s="224"/>
      <c r="ECY1" s="224"/>
      <c r="ECZ1" s="224"/>
      <c r="EDA1" s="224"/>
      <c r="EDB1" s="224"/>
      <c r="EDC1" s="224"/>
      <c r="EDD1" s="224"/>
      <c r="EDE1" s="224"/>
      <c r="EDF1" s="224"/>
      <c r="EDG1" s="224"/>
      <c r="EDH1" s="224"/>
      <c r="EDI1" s="224"/>
      <c r="EDJ1" s="224"/>
      <c r="EDK1" s="224"/>
      <c r="EDL1" s="224"/>
      <c r="EDM1" s="224"/>
      <c r="EDN1" s="224"/>
      <c r="EDO1" s="224"/>
      <c r="EDP1" s="224"/>
      <c r="EDQ1" s="224"/>
      <c r="EDR1" s="224"/>
      <c r="EDS1" s="224"/>
      <c r="EDT1" s="224"/>
      <c r="EDU1" s="224"/>
      <c r="EDV1" s="224"/>
      <c r="EDW1" s="224"/>
      <c r="EDX1" s="224"/>
      <c r="EDY1" s="224"/>
      <c r="EDZ1" s="224"/>
      <c r="EEA1" s="224"/>
      <c r="EEB1" s="224"/>
      <c r="EEC1" s="224"/>
      <c r="EED1" s="224"/>
      <c r="EEE1" s="224"/>
      <c r="EEF1" s="224"/>
      <c r="EEG1" s="224"/>
      <c r="EEH1" s="224"/>
      <c r="EEI1" s="224"/>
      <c r="EEJ1" s="224"/>
      <c r="EEK1" s="224"/>
      <c r="EEL1" s="224"/>
      <c r="EEM1" s="224"/>
      <c r="EEN1" s="224"/>
      <c r="EEO1" s="224"/>
      <c r="EEP1" s="224"/>
      <c r="EEQ1" s="224"/>
      <c r="EER1" s="224"/>
      <c r="EES1" s="224"/>
      <c r="EET1" s="224"/>
      <c r="EEU1" s="224"/>
      <c r="EEV1" s="224"/>
      <c r="EEW1" s="224"/>
      <c r="EEX1" s="224"/>
      <c r="EEY1" s="224"/>
      <c r="EEZ1" s="224"/>
      <c r="EFA1" s="224"/>
      <c r="EFB1" s="224"/>
      <c r="EFC1" s="224"/>
      <c r="EFD1" s="224"/>
      <c r="EFE1" s="224"/>
      <c r="EFF1" s="224"/>
      <c r="EFG1" s="224"/>
      <c r="EFH1" s="224"/>
      <c r="EFI1" s="224"/>
      <c r="EFJ1" s="224"/>
      <c r="EFK1" s="224"/>
      <c r="EFL1" s="224"/>
      <c r="EFM1" s="224"/>
      <c r="EFN1" s="224"/>
      <c r="EFO1" s="224"/>
      <c r="EFP1" s="224"/>
      <c r="EFQ1" s="224"/>
      <c r="EFR1" s="224"/>
      <c r="EFS1" s="224"/>
      <c r="EFT1" s="224"/>
      <c r="EFU1" s="224"/>
      <c r="EFV1" s="224"/>
      <c r="EFW1" s="224"/>
      <c r="EFX1" s="224"/>
      <c r="EFY1" s="224"/>
      <c r="EFZ1" s="224"/>
      <c r="EGA1" s="224"/>
      <c r="EGB1" s="224"/>
      <c r="EGC1" s="224"/>
      <c r="EGD1" s="224"/>
      <c r="EGE1" s="224"/>
      <c r="EGF1" s="224"/>
      <c r="EGG1" s="224"/>
      <c r="EGH1" s="224"/>
      <c r="EGI1" s="224"/>
      <c r="EGJ1" s="224"/>
      <c r="EGK1" s="224"/>
      <c r="EGL1" s="224"/>
      <c r="EGM1" s="224"/>
      <c r="EGN1" s="224"/>
      <c r="EGO1" s="224"/>
      <c r="EGP1" s="224"/>
      <c r="EGQ1" s="224"/>
      <c r="EGR1" s="224"/>
      <c r="EGS1" s="224"/>
      <c r="EGT1" s="224"/>
      <c r="EGU1" s="224"/>
      <c r="EGV1" s="224"/>
      <c r="EGW1" s="224"/>
      <c r="EGX1" s="224"/>
      <c r="EGY1" s="224"/>
      <c r="EGZ1" s="224"/>
      <c r="EHA1" s="224"/>
      <c r="EHB1" s="224"/>
      <c r="EHC1" s="224"/>
      <c r="EHD1" s="224"/>
      <c r="EHE1" s="224"/>
      <c r="EHF1" s="224"/>
      <c r="EHG1" s="224"/>
      <c r="EHH1" s="224"/>
      <c r="EHI1" s="224"/>
      <c r="EHJ1" s="224"/>
      <c r="EHK1" s="224"/>
      <c r="EHL1" s="224"/>
      <c r="EHM1" s="224"/>
      <c r="EHN1" s="224"/>
      <c r="EHO1" s="224"/>
      <c r="EHP1" s="224"/>
      <c r="EHQ1" s="224"/>
      <c r="EHR1" s="224"/>
      <c r="EHS1" s="224"/>
      <c r="EHT1" s="224"/>
      <c r="EHU1" s="224"/>
      <c r="EHV1" s="224"/>
      <c r="EHW1" s="224"/>
      <c r="EHX1" s="224"/>
      <c r="EHY1" s="224"/>
      <c r="EHZ1" s="224"/>
      <c r="EIA1" s="224"/>
      <c r="EIB1" s="224"/>
      <c r="EIC1" s="224"/>
      <c r="EID1" s="224"/>
      <c r="EIE1" s="224"/>
      <c r="EIF1" s="224"/>
      <c r="EIG1" s="224"/>
      <c r="EIH1" s="224"/>
      <c r="EII1" s="224"/>
      <c r="EIJ1" s="224"/>
      <c r="EIK1" s="224"/>
      <c r="EIL1" s="224"/>
      <c r="EIM1" s="224"/>
      <c r="EIN1" s="224"/>
      <c r="EIO1" s="224"/>
      <c r="EIP1" s="224"/>
      <c r="EIQ1" s="224"/>
      <c r="EIR1" s="224"/>
      <c r="EIS1" s="224"/>
      <c r="EIT1" s="224"/>
      <c r="EIU1" s="224"/>
      <c r="EIV1" s="224"/>
      <c r="EIW1" s="224"/>
      <c r="EIX1" s="224"/>
      <c r="EIY1" s="224"/>
      <c r="EIZ1" s="224"/>
      <c r="EJA1" s="224"/>
      <c r="EJB1" s="224"/>
      <c r="EJC1" s="224"/>
      <c r="EJD1" s="224"/>
      <c r="EJE1" s="224"/>
      <c r="EJF1" s="224"/>
      <c r="EJG1" s="224"/>
      <c r="EJH1" s="224"/>
      <c r="EJI1" s="224"/>
      <c r="EJJ1" s="224"/>
      <c r="EJK1" s="224"/>
      <c r="EJL1" s="224"/>
      <c r="EJM1" s="224"/>
      <c r="EJN1" s="224"/>
      <c r="EJO1" s="224"/>
      <c r="EJP1" s="224"/>
      <c r="EJQ1" s="224"/>
      <c r="EJR1" s="224"/>
      <c r="EJS1" s="224"/>
      <c r="EJT1" s="224"/>
      <c r="EJU1" s="224"/>
      <c r="EJV1" s="224"/>
      <c r="EJW1" s="224"/>
      <c r="EJX1" s="224"/>
      <c r="EJY1" s="224"/>
      <c r="EJZ1" s="224"/>
      <c r="EKA1" s="224"/>
      <c r="EKB1" s="224"/>
      <c r="EKC1" s="224"/>
      <c r="EKD1" s="224"/>
      <c r="EKE1" s="224"/>
      <c r="EKF1" s="224"/>
      <c r="EKG1" s="224"/>
      <c r="EKH1" s="224"/>
      <c r="EKI1" s="224"/>
      <c r="EKJ1" s="224"/>
      <c r="EKK1" s="224"/>
      <c r="EKL1" s="224"/>
      <c r="EKM1" s="224"/>
      <c r="EKN1" s="224"/>
      <c r="EKO1" s="224"/>
      <c r="EKP1" s="224"/>
      <c r="EKQ1" s="224"/>
      <c r="EKR1" s="224"/>
      <c r="EKS1" s="224"/>
      <c r="EKT1" s="224"/>
      <c r="EKU1" s="224"/>
      <c r="EKV1" s="224"/>
      <c r="EKW1" s="224"/>
      <c r="EKX1" s="224"/>
      <c r="EKY1" s="224"/>
      <c r="EKZ1" s="224"/>
      <c r="ELA1" s="224"/>
      <c r="ELB1" s="224"/>
      <c r="ELC1" s="224"/>
      <c r="ELD1" s="224"/>
      <c r="ELE1" s="224"/>
      <c r="ELF1" s="224"/>
      <c r="ELG1" s="224"/>
      <c r="ELH1" s="224"/>
      <c r="ELI1" s="224"/>
      <c r="ELJ1" s="224"/>
      <c r="ELK1" s="224"/>
      <c r="ELL1" s="224"/>
      <c r="ELM1" s="224"/>
      <c r="ELN1" s="224"/>
      <c r="ELO1" s="224"/>
      <c r="ELP1" s="224"/>
      <c r="ELQ1" s="224"/>
      <c r="ELR1" s="224"/>
      <c r="ELS1" s="224"/>
      <c r="ELT1" s="224"/>
      <c r="ELU1" s="224"/>
      <c r="ELV1" s="224"/>
      <c r="ELW1" s="224"/>
      <c r="ELX1" s="224"/>
      <c r="ELY1" s="224"/>
      <c r="ELZ1" s="224"/>
      <c r="EMA1" s="224"/>
      <c r="EMB1" s="224"/>
      <c r="EMC1" s="224"/>
      <c r="EMD1" s="224"/>
      <c r="EME1" s="224"/>
      <c r="EMF1" s="224"/>
      <c r="EMG1" s="224"/>
      <c r="EMH1" s="224"/>
      <c r="EMI1" s="224"/>
      <c r="EMJ1" s="224"/>
      <c r="EMK1" s="224"/>
      <c r="EML1" s="224"/>
      <c r="EMM1" s="224"/>
      <c r="EMN1" s="224"/>
      <c r="EMO1" s="224"/>
      <c r="EMP1" s="224"/>
      <c r="EMQ1" s="224"/>
      <c r="EMR1" s="224"/>
      <c r="EMS1" s="224"/>
      <c r="EMT1" s="224"/>
      <c r="EMU1" s="224"/>
      <c r="EMV1" s="224"/>
      <c r="EMW1" s="224"/>
      <c r="EMX1" s="224"/>
      <c r="EMY1" s="224"/>
      <c r="EMZ1" s="224"/>
      <c r="ENA1" s="224"/>
      <c r="ENB1" s="224"/>
      <c r="ENC1" s="224"/>
      <c r="END1" s="224"/>
      <c r="ENE1" s="224"/>
      <c r="ENF1" s="224"/>
      <c r="ENG1" s="224"/>
      <c r="ENH1" s="224"/>
      <c r="ENI1" s="224"/>
      <c r="ENJ1" s="224"/>
      <c r="ENK1" s="224"/>
      <c r="ENL1" s="224"/>
      <c r="ENM1" s="224"/>
      <c r="ENN1" s="224"/>
      <c r="ENO1" s="224"/>
      <c r="ENP1" s="224"/>
      <c r="ENQ1" s="224"/>
      <c r="ENR1" s="224"/>
      <c r="ENS1" s="224"/>
      <c r="ENT1" s="224"/>
      <c r="ENU1" s="224"/>
      <c r="ENV1" s="224"/>
      <c r="ENW1" s="224"/>
      <c r="ENX1" s="224"/>
      <c r="ENY1" s="224"/>
      <c r="ENZ1" s="224"/>
      <c r="EOA1" s="224"/>
      <c r="EOB1" s="224"/>
      <c r="EOC1" s="224"/>
      <c r="EOD1" s="224"/>
      <c r="EOE1" s="224"/>
      <c r="EOF1" s="224"/>
      <c r="EOG1" s="224"/>
      <c r="EOH1" s="224"/>
      <c r="EOI1" s="224"/>
      <c r="EOJ1" s="224"/>
      <c r="EOK1" s="224"/>
      <c r="EOL1" s="224"/>
      <c r="EOM1" s="224"/>
      <c r="EON1" s="224"/>
      <c r="EOO1" s="224"/>
      <c r="EOP1" s="224"/>
      <c r="EOQ1" s="224"/>
      <c r="EOR1" s="224"/>
      <c r="EOS1" s="224"/>
      <c r="EOT1" s="224"/>
      <c r="EOU1" s="224"/>
      <c r="EOV1" s="224"/>
      <c r="EOW1" s="224"/>
      <c r="EOX1" s="224"/>
      <c r="EOY1" s="224"/>
      <c r="EOZ1" s="224"/>
      <c r="EPA1" s="224"/>
      <c r="EPB1" s="224"/>
      <c r="EPC1" s="224"/>
      <c r="EPD1" s="224"/>
      <c r="EPE1" s="224"/>
      <c r="EPF1" s="224"/>
      <c r="EPG1" s="224"/>
      <c r="EPH1" s="224"/>
      <c r="EPI1" s="224"/>
      <c r="EPJ1" s="224"/>
      <c r="EPK1" s="224"/>
      <c r="EPL1" s="224"/>
      <c r="EPM1" s="224"/>
      <c r="EPN1" s="224"/>
      <c r="EPO1" s="224"/>
      <c r="EPP1" s="224"/>
      <c r="EPQ1" s="224"/>
      <c r="EPR1" s="224"/>
      <c r="EPS1" s="224"/>
      <c r="EPT1" s="224"/>
      <c r="EPU1" s="224"/>
      <c r="EPV1" s="224"/>
      <c r="EPW1" s="224"/>
      <c r="EPX1" s="224"/>
      <c r="EPY1" s="224"/>
      <c r="EPZ1" s="224"/>
      <c r="EQA1" s="224"/>
      <c r="EQB1" s="224"/>
      <c r="EQC1" s="224"/>
      <c r="EQD1" s="224"/>
      <c r="EQE1" s="224"/>
      <c r="EQF1" s="224"/>
      <c r="EQG1" s="224"/>
      <c r="EQH1" s="224"/>
      <c r="EQI1" s="224"/>
      <c r="EQJ1" s="224"/>
      <c r="EQK1" s="224"/>
      <c r="EQL1" s="224"/>
      <c r="EQM1" s="224"/>
      <c r="EQN1" s="224"/>
      <c r="EQO1" s="224"/>
      <c r="EQP1" s="224"/>
      <c r="EQQ1" s="224"/>
      <c r="EQR1" s="224"/>
      <c r="EQS1" s="224"/>
      <c r="EQT1" s="224"/>
      <c r="EQU1" s="224"/>
      <c r="EQV1" s="224"/>
      <c r="EQW1" s="224"/>
      <c r="EQX1" s="224"/>
      <c r="EQY1" s="224"/>
      <c r="EQZ1" s="224"/>
      <c r="ERA1" s="224"/>
      <c r="ERB1" s="224"/>
      <c r="ERC1" s="224"/>
      <c r="ERD1" s="224"/>
      <c r="ERE1" s="224"/>
      <c r="ERF1" s="224"/>
      <c r="ERG1" s="224"/>
      <c r="ERH1" s="224"/>
      <c r="ERI1" s="224"/>
      <c r="ERJ1" s="224"/>
      <c r="ERK1" s="224"/>
      <c r="ERL1" s="224"/>
      <c r="ERM1" s="224"/>
      <c r="ERN1" s="224"/>
      <c r="ERO1" s="224"/>
      <c r="ERP1" s="224"/>
      <c r="ERQ1" s="224"/>
      <c r="ERR1" s="224"/>
      <c r="ERS1" s="224"/>
      <c r="ERT1" s="224"/>
      <c r="ERU1" s="224"/>
      <c r="ERV1" s="224"/>
      <c r="ERW1" s="224"/>
      <c r="ERX1" s="224"/>
      <c r="ERY1" s="224"/>
      <c r="ERZ1" s="224"/>
      <c r="ESA1" s="224"/>
      <c r="ESB1" s="224"/>
      <c r="ESC1" s="224"/>
      <c r="ESD1" s="224"/>
      <c r="ESE1" s="224"/>
      <c r="ESF1" s="224"/>
      <c r="ESG1" s="224"/>
      <c r="ESH1" s="224"/>
      <c r="ESI1" s="224"/>
      <c r="ESJ1" s="224"/>
      <c r="ESK1" s="224"/>
      <c r="ESL1" s="224"/>
      <c r="ESM1" s="224"/>
      <c r="ESN1" s="224"/>
      <c r="ESO1" s="224"/>
      <c r="ESP1" s="224"/>
      <c r="ESQ1" s="224"/>
      <c r="ESR1" s="224"/>
      <c r="ESS1" s="224"/>
      <c r="EST1" s="224"/>
      <c r="ESU1" s="224"/>
      <c r="ESV1" s="224"/>
      <c r="ESW1" s="224"/>
      <c r="ESX1" s="224"/>
      <c r="ESY1" s="224"/>
      <c r="ESZ1" s="224"/>
      <c r="ETA1" s="224"/>
      <c r="ETB1" s="224"/>
      <c r="ETC1" s="224"/>
      <c r="ETD1" s="224"/>
      <c r="ETE1" s="224"/>
      <c r="ETF1" s="224"/>
      <c r="ETG1" s="224"/>
      <c r="ETH1" s="224"/>
      <c r="ETI1" s="224"/>
      <c r="ETJ1" s="224"/>
      <c r="ETK1" s="224"/>
      <c r="ETL1" s="224"/>
      <c r="ETM1" s="224"/>
      <c r="ETN1" s="224"/>
      <c r="ETO1" s="224"/>
      <c r="ETP1" s="224"/>
      <c r="ETQ1" s="224"/>
      <c r="ETR1" s="224"/>
      <c r="ETS1" s="224"/>
      <c r="ETT1" s="224"/>
      <c r="ETU1" s="224"/>
      <c r="ETV1" s="224"/>
      <c r="ETW1" s="224"/>
      <c r="ETX1" s="224"/>
      <c r="ETY1" s="224"/>
      <c r="ETZ1" s="224"/>
      <c r="EUA1" s="224"/>
      <c r="EUB1" s="224"/>
      <c r="EUC1" s="224"/>
      <c r="EUD1" s="224"/>
      <c r="EUE1" s="224"/>
      <c r="EUF1" s="224"/>
      <c r="EUG1" s="224"/>
      <c r="EUH1" s="224"/>
      <c r="EUI1" s="224"/>
      <c r="EUJ1" s="224"/>
      <c r="EUK1" s="224"/>
      <c r="EUL1" s="224"/>
      <c r="EUM1" s="224"/>
      <c r="EUN1" s="224"/>
      <c r="EUO1" s="224"/>
      <c r="EUP1" s="224"/>
      <c r="EUQ1" s="224"/>
      <c r="EUR1" s="224"/>
      <c r="EUS1" s="224"/>
      <c r="EUT1" s="224"/>
      <c r="EUU1" s="224"/>
      <c r="EUV1" s="224"/>
      <c r="EUW1" s="224"/>
      <c r="EUX1" s="224"/>
      <c r="EUY1" s="224"/>
      <c r="EUZ1" s="224"/>
      <c r="EVA1" s="224"/>
      <c r="EVB1" s="224"/>
      <c r="EVC1" s="224"/>
      <c r="EVD1" s="224"/>
      <c r="EVE1" s="224"/>
      <c r="EVF1" s="224"/>
      <c r="EVG1" s="224"/>
      <c r="EVH1" s="224"/>
      <c r="EVI1" s="224"/>
      <c r="EVJ1" s="224"/>
      <c r="EVK1" s="224"/>
      <c r="EVL1" s="224"/>
      <c r="EVM1" s="224"/>
      <c r="EVN1" s="224"/>
      <c r="EVO1" s="224"/>
      <c r="EVP1" s="224"/>
      <c r="EVQ1" s="224"/>
      <c r="EVR1" s="224"/>
      <c r="EVS1" s="224"/>
      <c r="EVT1" s="224"/>
      <c r="EVU1" s="224"/>
      <c r="EVV1" s="224"/>
      <c r="EVW1" s="224"/>
      <c r="EVX1" s="224"/>
      <c r="EVY1" s="224"/>
      <c r="EVZ1" s="224"/>
      <c r="EWA1" s="224"/>
      <c r="EWB1" s="224"/>
      <c r="EWC1" s="224"/>
      <c r="EWD1" s="224"/>
      <c r="EWE1" s="224"/>
      <c r="EWF1" s="224"/>
      <c r="EWG1" s="224"/>
      <c r="EWH1" s="224"/>
      <c r="EWI1" s="224"/>
      <c r="EWJ1" s="224"/>
      <c r="EWK1" s="224"/>
      <c r="EWL1" s="224"/>
      <c r="EWM1" s="224"/>
      <c r="EWN1" s="224"/>
      <c r="EWO1" s="224"/>
      <c r="EWP1" s="224"/>
      <c r="EWQ1" s="224"/>
      <c r="EWR1" s="224"/>
      <c r="EWS1" s="224"/>
      <c r="EWT1" s="224"/>
      <c r="EWU1" s="224"/>
      <c r="EWV1" s="224"/>
      <c r="EWW1" s="224"/>
      <c r="EWX1" s="224"/>
      <c r="EWY1" s="224"/>
      <c r="EWZ1" s="224"/>
      <c r="EXA1" s="224"/>
      <c r="EXB1" s="224"/>
      <c r="EXC1" s="224"/>
      <c r="EXD1" s="224"/>
      <c r="EXE1" s="224"/>
      <c r="EXF1" s="224"/>
      <c r="EXG1" s="224"/>
      <c r="EXH1" s="224"/>
      <c r="EXI1" s="224"/>
      <c r="EXJ1" s="224"/>
      <c r="EXK1" s="224"/>
      <c r="EXL1" s="224"/>
      <c r="EXM1" s="224"/>
      <c r="EXN1" s="224"/>
      <c r="EXO1" s="224"/>
      <c r="EXP1" s="224"/>
      <c r="EXQ1" s="224"/>
      <c r="EXR1" s="224"/>
      <c r="EXS1" s="224"/>
      <c r="EXT1" s="224"/>
      <c r="EXU1" s="224"/>
      <c r="EXV1" s="224"/>
      <c r="EXW1" s="224"/>
      <c r="EXX1" s="224"/>
      <c r="EXY1" s="224"/>
      <c r="EXZ1" s="224"/>
      <c r="EYA1" s="224"/>
      <c r="EYB1" s="224"/>
      <c r="EYC1" s="224"/>
      <c r="EYD1" s="224"/>
      <c r="EYE1" s="224"/>
      <c r="EYF1" s="224"/>
      <c r="EYG1" s="224"/>
      <c r="EYH1" s="224"/>
      <c r="EYI1" s="224"/>
      <c r="EYJ1" s="224"/>
      <c r="EYK1" s="224"/>
      <c r="EYL1" s="224"/>
      <c r="EYM1" s="224"/>
      <c r="EYN1" s="224"/>
      <c r="EYO1" s="224"/>
      <c r="EYP1" s="224"/>
      <c r="EYQ1" s="224"/>
      <c r="EYR1" s="224"/>
      <c r="EYS1" s="224"/>
      <c r="EYT1" s="224"/>
      <c r="EYU1" s="224"/>
      <c r="EYV1" s="224"/>
      <c r="EYW1" s="224"/>
      <c r="EYX1" s="224"/>
      <c r="EYY1" s="224"/>
      <c r="EYZ1" s="224"/>
      <c r="EZA1" s="224"/>
      <c r="EZB1" s="224"/>
      <c r="EZC1" s="224"/>
      <c r="EZD1" s="224"/>
      <c r="EZE1" s="224"/>
      <c r="EZF1" s="224"/>
      <c r="EZG1" s="224"/>
      <c r="EZH1" s="224"/>
      <c r="EZI1" s="224"/>
      <c r="EZJ1" s="224"/>
      <c r="EZK1" s="224"/>
      <c r="EZL1" s="224"/>
      <c r="EZM1" s="224"/>
      <c r="EZN1" s="224"/>
      <c r="EZO1" s="224"/>
      <c r="EZP1" s="224"/>
      <c r="EZQ1" s="224"/>
      <c r="EZR1" s="224"/>
      <c r="EZS1" s="224"/>
      <c r="EZT1" s="224"/>
      <c r="EZU1" s="224"/>
      <c r="EZV1" s="224"/>
      <c r="EZW1" s="224"/>
      <c r="EZX1" s="224"/>
      <c r="EZY1" s="224"/>
      <c r="EZZ1" s="224"/>
      <c r="FAA1" s="224"/>
      <c r="FAB1" s="224"/>
      <c r="FAC1" s="224"/>
      <c r="FAD1" s="224"/>
      <c r="FAE1" s="224"/>
      <c r="FAF1" s="224"/>
      <c r="FAG1" s="224"/>
      <c r="FAH1" s="224"/>
      <c r="FAI1" s="224"/>
      <c r="FAJ1" s="224"/>
      <c r="FAK1" s="224"/>
      <c r="FAL1" s="224"/>
      <c r="FAM1" s="224"/>
      <c r="FAN1" s="224"/>
      <c r="FAO1" s="224"/>
      <c r="FAP1" s="224"/>
      <c r="FAQ1" s="224"/>
      <c r="FAR1" s="224"/>
      <c r="FAS1" s="224"/>
      <c r="FAT1" s="224"/>
      <c r="FAU1" s="224"/>
      <c r="FAV1" s="224"/>
      <c r="FAW1" s="224"/>
      <c r="FAX1" s="224"/>
      <c r="FAY1" s="224"/>
      <c r="FAZ1" s="224"/>
      <c r="FBA1" s="224"/>
      <c r="FBB1" s="224"/>
      <c r="FBC1" s="224"/>
      <c r="FBD1" s="224"/>
      <c r="FBE1" s="224"/>
      <c r="FBF1" s="224"/>
      <c r="FBG1" s="224"/>
      <c r="FBH1" s="224"/>
      <c r="FBI1" s="224"/>
      <c r="FBJ1" s="224"/>
      <c r="FBK1" s="224"/>
      <c r="FBL1" s="224"/>
      <c r="FBM1" s="224"/>
      <c r="FBN1" s="224"/>
      <c r="FBO1" s="224"/>
      <c r="FBP1" s="224"/>
      <c r="FBQ1" s="224"/>
      <c r="FBR1" s="224"/>
      <c r="FBS1" s="224"/>
      <c r="FBT1" s="224"/>
      <c r="FBU1" s="224"/>
      <c r="FBV1" s="224"/>
      <c r="FBW1" s="224"/>
      <c r="FBX1" s="224"/>
      <c r="FBY1" s="224"/>
      <c r="FBZ1" s="224"/>
      <c r="FCA1" s="224"/>
      <c r="FCB1" s="224"/>
      <c r="FCC1" s="224"/>
      <c r="FCD1" s="224"/>
      <c r="FCE1" s="224"/>
      <c r="FCF1" s="224"/>
      <c r="FCG1" s="224"/>
      <c r="FCH1" s="224"/>
      <c r="FCI1" s="224"/>
      <c r="FCJ1" s="224"/>
      <c r="FCK1" s="224"/>
      <c r="FCL1" s="224"/>
      <c r="FCM1" s="224"/>
      <c r="FCN1" s="224"/>
      <c r="FCO1" s="224"/>
      <c r="FCP1" s="224"/>
      <c r="FCQ1" s="224"/>
      <c r="FCR1" s="224"/>
      <c r="FCS1" s="224"/>
      <c r="FCT1" s="224"/>
      <c r="FCU1" s="224"/>
      <c r="FCV1" s="224"/>
      <c r="FCW1" s="224"/>
      <c r="FCX1" s="224"/>
      <c r="FCY1" s="224"/>
      <c r="FCZ1" s="224"/>
      <c r="FDA1" s="224"/>
      <c r="FDB1" s="224"/>
      <c r="FDC1" s="224"/>
      <c r="FDD1" s="224"/>
      <c r="FDE1" s="224"/>
      <c r="FDF1" s="224"/>
      <c r="FDG1" s="224"/>
      <c r="FDH1" s="224"/>
      <c r="FDI1" s="224"/>
      <c r="FDJ1" s="224"/>
      <c r="FDK1" s="224"/>
      <c r="FDL1" s="224"/>
      <c r="FDM1" s="224"/>
      <c r="FDN1" s="224"/>
      <c r="FDO1" s="224"/>
      <c r="FDP1" s="224"/>
      <c r="FDQ1" s="224"/>
      <c r="FDR1" s="224"/>
      <c r="FDS1" s="224"/>
      <c r="FDT1" s="224"/>
      <c r="FDU1" s="224"/>
      <c r="FDV1" s="224"/>
      <c r="FDW1" s="224"/>
      <c r="FDX1" s="224"/>
      <c r="FDY1" s="224"/>
      <c r="FDZ1" s="224"/>
      <c r="FEA1" s="224"/>
      <c r="FEB1" s="224"/>
      <c r="FEC1" s="224"/>
      <c r="FED1" s="224"/>
      <c r="FEE1" s="224"/>
      <c r="FEF1" s="224"/>
      <c r="FEG1" s="224"/>
      <c r="FEH1" s="224"/>
      <c r="FEI1" s="224"/>
      <c r="FEJ1" s="224"/>
      <c r="FEK1" s="224"/>
      <c r="FEL1" s="224"/>
      <c r="FEM1" s="224"/>
      <c r="FEN1" s="224"/>
      <c r="FEO1" s="224"/>
      <c r="FEP1" s="224"/>
      <c r="FEQ1" s="224"/>
      <c r="FER1" s="224"/>
      <c r="FES1" s="224"/>
      <c r="FET1" s="224"/>
      <c r="FEU1" s="224"/>
      <c r="FEV1" s="224"/>
      <c r="FEW1" s="224"/>
      <c r="FEX1" s="224"/>
      <c r="FEY1" s="224"/>
      <c r="FEZ1" s="224"/>
      <c r="FFA1" s="224"/>
      <c r="FFB1" s="224"/>
      <c r="FFC1" s="224"/>
      <c r="FFD1" s="224"/>
      <c r="FFE1" s="224"/>
      <c r="FFF1" s="224"/>
      <c r="FFG1" s="224"/>
      <c r="FFH1" s="224"/>
      <c r="FFI1" s="224"/>
      <c r="FFJ1" s="224"/>
      <c r="FFK1" s="224"/>
      <c r="FFL1" s="224"/>
      <c r="FFM1" s="224"/>
      <c r="FFN1" s="224"/>
      <c r="FFO1" s="224"/>
      <c r="FFP1" s="224"/>
      <c r="FFQ1" s="224"/>
      <c r="FFR1" s="224"/>
      <c r="FFS1" s="224"/>
      <c r="FFT1" s="224"/>
      <c r="FFU1" s="224"/>
      <c r="FFV1" s="224"/>
      <c r="FFW1" s="224"/>
      <c r="FFX1" s="224"/>
      <c r="FFY1" s="224"/>
      <c r="FFZ1" s="224"/>
      <c r="FGA1" s="224"/>
      <c r="FGB1" s="224"/>
      <c r="FGC1" s="224"/>
      <c r="FGD1" s="224"/>
      <c r="FGE1" s="224"/>
      <c r="FGF1" s="224"/>
      <c r="FGG1" s="224"/>
      <c r="FGH1" s="224"/>
      <c r="FGI1" s="224"/>
      <c r="FGJ1" s="224"/>
      <c r="FGK1" s="224"/>
      <c r="FGL1" s="224"/>
      <c r="FGM1" s="224"/>
      <c r="FGN1" s="224"/>
      <c r="FGO1" s="224"/>
      <c r="FGP1" s="224"/>
      <c r="FGQ1" s="224"/>
      <c r="FGR1" s="224"/>
      <c r="FGS1" s="224"/>
      <c r="FGT1" s="224"/>
      <c r="FGU1" s="224"/>
      <c r="FGV1" s="224"/>
      <c r="FGW1" s="224"/>
      <c r="FGX1" s="224"/>
      <c r="FGY1" s="224"/>
      <c r="FGZ1" s="224"/>
      <c r="FHA1" s="224"/>
      <c r="FHB1" s="224"/>
      <c r="FHC1" s="224"/>
      <c r="FHD1" s="224"/>
      <c r="FHE1" s="224"/>
      <c r="FHF1" s="224"/>
      <c r="FHG1" s="224"/>
      <c r="FHH1" s="224"/>
      <c r="FHI1" s="224"/>
      <c r="FHJ1" s="224"/>
      <c r="FHK1" s="224"/>
      <c r="FHL1" s="224"/>
      <c r="FHM1" s="224"/>
      <c r="FHN1" s="224"/>
      <c r="FHO1" s="224"/>
      <c r="FHP1" s="224"/>
      <c r="FHQ1" s="224"/>
      <c r="FHR1" s="224"/>
      <c r="FHS1" s="224"/>
      <c r="FHT1" s="224"/>
      <c r="FHU1" s="224"/>
      <c r="FHV1" s="224"/>
      <c r="FHW1" s="224"/>
      <c r="FHX1" s="224"/>
      <c r="FHY1" s="224"/>
      <c r="FHZ1" s="224"/>
      <c r="FIA1" s="224"/>
      <c r="FIB1" s="224"/>
      <c r="FIC1" s="224"/>
      <c r="FID1" s="224"/>
      <c r="FIE1" s="224"/>
      <c r="FIF1" s="224"/>
      <c r="FIG1" s="224"/>
      <c r="FIH1" s="224"/>
      <c r="FII1" s="224"/>
      <c r="FIJ1" s="224"/>
      <c r="FIK1" s="224"/>
      <c r="FIL1" s="224"/>
      <c r="FIM1" s="224"/>
      <c r="FIN1" s="224"/>
      <c r="FIO1" s="224"/>
      <c r="FIP1" s="224"/>
      <c r="FIQ1" s="224"/>
      <c r="FIR1" s="224"/>
      <c r="FIS1" s="224"/>
      <c r="FIT1" s="224"/>
      <c r="FIU1" s="224"/>
      <c r="FIV1" s="224"/>
      <c r="FIW1" s="224"/>
      <c r="FIX1" s="224"/>
      <c r="FIY1" s="224"/>
      <c r="FIZ1" s="224"/>
      <c r="FJA1" s="224"/>
      <c r="FJB1" s="224"/>
      <c r="FJC1" s="224"/>
      <c r="FJD1" s="224"/>
      <c r="FJE1" s="224"/>
      <c r="FJF1" s="224"/>
      <c r="FJG1" s="224"/>
      <c r="FJH1" s="224"/>
      <c r="FJI1" s="224"/>
      <c r="FJJ1" s="224"/>
      <c r="FJK1" s="224"/>
      <c r="FJL1" s="224"/>
      <c r="FJM1" s="224"/>
      <c r="FJN1" s="224"/>
      <c r="FJO1" s="224"/>
      <c r="FJP1" s="224"/>
      <c r="FJQ1" s="224"/>
      <c r="FJR1" s="224"/>
      <c r="FJS1" s="224"/>
      <c r="FJT1" s="224"/>
      <c r="FJU1" s="224"/>
      <c r="FJV1" s="224"/>
      <c r="FJW1" s="224"/>
      <c r="FJX1" s="224"/>
      <c r="FJY1" s="224"/>
      <c r="FJZ1" s="224"/>
      <c r="FKA1" s="224"/>
      <c r="FKB1" s="224"/>
      <c r="FKC1" s="224"/>
      <c r="FKD1" s="224"/>
      <c r="FKE1" s="224"/>
      <c r="FKF1" s="224"/>
      <c r="FKG1" s="224"/>
      <c r="FKH1" s="224"/>
      <c r="FKI1" s="224"/>
      <c r="FKJ1" s="224"/>
      <c r="FKK1" s="224"/>
      <c r="FKL1" s="224"/>
      <c r="FKM1" s="224"/>
      <c r="FKN1" s="224"/>
      <c r="FKO1" s="224"/>
      <c r="FKP1" s="224"/>
      <c r="FKQ1" s="224"/>
      <c r="FKR1" s="224"/>
      <c r="FKS1" s="224"/>
      <c r="FKT1" s="224"/>
      <c r="FKU1" s="224"/>
      <c r="FKV1" s="224"/>
      <c r="FKW1" s="224"/>
      <c r="FKX1" s="224"/>
      <c r="FKY1" s="224"/>
      <c r="FKZ1" s="224"/>
      <c r="FLA1" s="224"/>
      <c r="FLB1" s="224"/>
      <c r="FLC1" s="224"/>
      <c r="FLD1" s="224"/>
      <c r="FLE1" s="224"/>
      <c r="FLF1" s="224"/>
      <c r="FLG1" s="224"/>
      <c r="FLH1" s="224"/>
      <c r="FLI1" s="224"/>
      <c r="FLJ1" s="224"/>
      <c r="FLK1" s="224"/>
      <c r="FLL1" s="224"/>
      <c r="FLM1" s="224"/>
      <c r="FLN1" s="224"/>
      <c r="FLO1" s="224"/>
      <c r="FLP1" s="224"/>
      <c r="FLQ1" s="224"/>
      <c r="FLR1" s="224"/>
      <c r="FLS1" s="224"/>
      <c r="FLT1" s="224"/>
      <c r="FLU1" s="224"/>
      <c r="FLV1" s="224"/>
      <c r="FLW1" s="224"/>
      <c r="FLX1" s="224"/>
      <c r="FLY1" s="224"/>
      <c r="FLZ1" s="224"/>
      <c r="FMA1" s="224"/>
      <c r="FMB1" s="224"/>
      <c r="FMC1" s="224"/>
      <c r="FMD1" s="224"/>
      <c r="FME1" s="224"/>
      <c r="FMF1" s="224"/>
      <c r="FMG1" s="224"/>
      <c r="FMH1" s="224"/>
      <c r="FMI1" s="224"/>
      <c r="FMJ1" s="224"/>
      <c r="FMK1" s="224"/>
      <c r="FML1" s="224"/>
      <c r="FMM1" s="224"/>
      <c r="FMN1" s="224"/>
      <c r="FMO1" s="224"/>
      <c r="FMP1" s="224"/>
      <c r="FMQ1" s="224"/>
      <c r="FMR1" s="224"/>
      <c r="FMS1" s="224"/>
      <c r="FMT1" s="224"/>
      <c r="FMU1" s="224"/>
      <c r="FMV1" s="224"/>
      <c r="FMW1" s="224"/>
      <c r="FMX1" s="224"/>
      <c r="FMY1" s="224"/>
      <c r="FMZ1" s="224"/>
      <c r="FNA1" s="224"/>
      <c r="FNB1" s="224"/>
      <c r="FNC1" s="224"/>
      <c r="FND1" s="224"/>
      <c r="FNE1" s="224"/>
      <c r="FNF1" s="224"/>
      <c r="FNG1" s="224"/>
      <c r="FNH1" s="224"/>
      <c r="FNI1" s="224"/>
      <c r="FNJ1" s="224"/>
      <c r="FNK1" s="224"/>
      <c r="FNL1" s="224"/>
      <c r="FNM1" s="224"/>
      <c r="FNN1" s="224"/>
      <c r="FNO1" s="224"/>
      <c r="FNP1" s="224"/>
      <c r="FNQ1" s="224"/>
      <c r="FNR1" s="224"/>
      <c r="FNS1" s="224"/>
      <c r="FNT1" s="224"/>
      <c r="FNU1" s="224"/>
      <c r="FNV1" s="224"/>
      <c r="FNW1" s="224"/>
      <c r="FNX1" s="224"/>
      <c r="FNY1" s="224"/>
      <c r="FNZ1" s="224"/>
      <c r="FOA1" s="224"/>
      <c r="FOB1" s="224"/>
      <c r="FOC1" s="224"/>
      <c r="FOD1" s="224"/>
      <c r="FOE1" s="224"/>
      <c r="FOF1" s="224"/>
      <c r="FOG1" s="224"/>
      <c r="FOH1" s="224"/>
      <c r="FOI1" s="224"/>
      <c r="FOJ1" s="224"/>
      <c r="FOK1" s="224"/>
      <c r="FOL1" s="224"/>
      <c r="FOM1" s="224"/>
      <c r="FON1" s="224"/>
      <c r="FOO1" s="224"/>
      <c r="FOP1" s="224"/>
      <c r="FOQ1" s="224"/>
      <c r="FOR1" s="224"/>
      <c r="FOS1" s="224"/>
      <c r="FOT1" s="224"/>
      <c r="FOU1" s="224"/>
      <c r="FOV1" s="224"/>
      <c r="FOW1" s="224"/>
      <c r="FOX1" s="224"/>
      <c r="FOY1" s="224"/>
      <c r="FOZ1" s="224"/>
      <c r="FPA1" s="224"/>
      <c r="FPB1" s="224"/>
      <c r="FPC1" s="224"/>
      <c r="FPD1" s="224"/>
      <c r="FPE1" s="224"/>
      <c r="FPF1" s="224"/>
      <c r="FPG1" s="224"/>
      <c r="FPH1" s="224"/>
      <c r="FPI1" s="224"/>
      <c r="FPJ1" s="224"/>
      <c r="FPK1" s="224"/>
      <c r="FPL1" s="224"/>
      <c r="FPM1" s="224"/>
      <c r="FPN1" s="224"/>
      <c r="FPO1" s="224"/>
      <c r="FPP1" s="224"/>
      <c r="FPQ1" s="224"/>
      <c r="FPR1" s="224"/>
      <c r="FPS1" s="224"/>
      <c r="FPT1" s="224"/>
      <c r="FPU1" s="224"/>
      <c r="FPV1" s="224"/>
      <c r="FPW1" s="224"/>
      <c r="FPX1" s="224"/>
      <c r="FPY1" s="224"/>
      <c r="FPZ1" s="224"/>
      <c r="FQA1" s="224"/>
      <c r="FQB1" s="224"/>
      <c r="FQC1" s="224"/>
      <c r="FQD1" s="224"/>
      <c r="FQE1" s="224"/>
      <c r="FQF1" s="224"/>
      <c r="FQG1" s="224"/>
      <c r="FQH1" s="224"/>
      <c r="FQI1" s="224"/>
      <c r="FQJ1" s="224"/>
      <c r="FQK1" s="224"/>
      <c r="FQL1" s="224"/>
      <c r="FQM1" s="224"/>
      <c r="FQN1" s="224"/>
      <c r="FQO1" s="224"/>
      <c r="FQP1" s="224"/>
      <c r="FQQ1" s="224"/>
      <c r="FQR1" s="224"/>
      <c r="FQS1" s="224"/>
      <c r="FQT1" s="224"/>
      <c r="FQU1" s="224"/>
      <c r="FQV1" s="224"/>
      <c r="FQW1" s="224"/>
      <c r="FQX1" s="224"/>
      <c r="FQY1" s="224"/>
      <c r="FQZ1" s="224"/>
      <c r="FRA1" s="224"/>
      <c r="FRB1" s="224"/>
      <c r="FRC1" s="224"/>
      <c r="FRD1" s="224"/>
      <c r="FRE1" s="224"/>
      <c r="FRF1" s="224"/>
      <c r="FRG1" s="224"/>
      <c r="FRH1" s="224"/>
      <c r="FRI1" s="224"/>
      <c r="FRJ1" s="224"/>
      <c r="FRK1" s="224"/>
      <c r="FRL1" s="224"/>
      <c r="FRM1" s="224"/>
      <c r="FRN1" s="224"/>
      <c r="FRO1" s="224"/>
      <c r="FRP1" s="224"/>
      <c r="FRQ1" s="224"/>
      <c r="FRR1" s="224"/>
      <c r="FRS1" s="224"/>
      <c r="FRT1" s="224"/>
      <c r="FRU1" s="224"/>
      <c r="FRV1" s="224"/>
      <c r="FRW1" s="224"/>
      <c r="FRX1" s="224"/>
      <c r="FRY1" s="224"/>
      <c r="FRZ1" s="224"/>
      <c r="FSA1" s="224"/>
      <c r="FSB1" s="224"/>
      <c r="FSC1" s="224"/>
      <c r="FSD1" s="224"/>
      <c r="FSE1" s="224"/>
      <c r="FSF1" s="224"/>
      <c r="FSG1" s="224"/>
      <c r="FSH1" s="224"/>
      <c r="FSI1" s="224"/>
      <c r="FSJ1" s="224"/>
      <c r="FSK1" s="224"/>
      <c r="FSL1" s="224"/>
      <c r="FSM1" s="224"/>
      <c r="FSN1" s="224"/>
      <c r="FSO1" s="224"/>
      <c r="FSP1" s="224"/>
      <c r="FSQ1" s="224"/>
      <c r="FSR1" s="224"/>
      <c r="FSS1" s="224"/>
      <c r="FST1" s="224"/>
      <c r="FSU1" s="224"/>
      <c r="FSV1" s="224"/>
      <c r="FSW1" s="224"/>
      <c r="FSX1" s="224"/>
      <c r="FSY1" s="224"/>
      <c r="FSZ1" s="224"/>
      <c r="FTA1" s="224"/>
      <c r="FTB1" s="224"/>
      <c r="FTC1" s="224"/>
      <c r="FTD1" s="224"/>
      <c r="FTE1" s="224"/>
      <c r="FTF1" s="224"/>
      <c r="FTG1" s="224"/>
      <c r="FTH1" s="224"/>
      <c r="FTI1" s="224"/>
      <c r="FTJ1" s="224"/>
      <c r="FTK1" s="224"/>
      <c r="FTL1" s="224"/>
      <c r="FTM1" s="224"/>
      <c r="FTN1" s="224"/>
      <c r="FTO1" s="224"/>
      <c r="FTP1" s="224"/>
      <c r="FTQ1" s="224"/>
      <c r="FTR1" s="224"/>
      <c r="FTS1" s="224"/>
      <c r="FTT1" s="224"/>
      <c r="FTU1" s="224"/>
      <c r="FTV1" s="224"/>
      <c r="FTW1" s="224"/>
      <c r="FTX1" s="224"/>
      <c r="FTY1" s="224"/>
      <c r="FTZ1" s="224"/>
      <c r="FUA1" s="224"/>
      <c r="FUB1" s="224"/>
      <c r="FUC1" s="224"/>
      <c r="FUD1" s="224"/>
      <c r="FUE1" s="224"/>
      <c r="FUF1" s="224"/>
      <c r="FUG1" s="224"/>
      <c r="FUH1" s="224"/>
      <c r="FUI1" s="224"/>
      <c r="FUJ1" s="224"/>
      <c r="FUK1" s="224"/>
      <c r="FUL1" s="224"/>
      <c r="FUM1" s="224"/>
      <c r="FUN1" s="224"/>
      <c r="FUO1" s="224"/>
      <c r="FUP1" s="224"/>
      <c r="FUQ1" s="224"/>
      <c r="FUR1" s="224"/>
      <c r="FUS1" s="224"/>
      <c r="FUT1" s="224"/>
      <c r="FUU1" s="224"/>
      <c r="FUV1" s="224"/>
      <c r="FUW1" s="224"/>
      <c r="FUX1" s="224"/>
      <c r="FUY1" s="224"/>
      <c r="FUZ1" s="224"/>
      <c r="FVA1" s="224"/>
      <c r="FVB1" s="224"/>
      <c r="FVC1" s="224"/>
      <c r="FVD1" s="224"/>
      <c r="FVE1" s="224"/>
      <c r="FVF1" s="224"/>
      <c r="FVG1" s="224"/>
      <c r="FVH1" s="224"/>
      <c r="FVI1" s="224"/>
      <c r="FVJ1" s="224"/>
      <c r="FVK1" s="224"/>
      <c r="FVL1" s="224"/>
      <c r="FVM1" s="224"/>
      <c r="FVN1" s="224"/>
      <c r="FVO1" s="224"/>
      <c r="FVP1" s="224"/>
      <c r="FVQ1" s="224"/>
      <c r="FVR1" s="224"/>
      <c r="FVS1" s="224"/>
      <c r="FVT1" s="224"/>
      <c r="FVU1" s="224"/>
      <c r="FVV1" s="224"/>
      <c r="FVW1" s="224"/>
      <c r="FVX1" s="224"/>
      <c r="FVY1" s="224"/>
      <c r="FVZ1" s="224"/>
      <c r="FWA1" s="224"/>
      <c r="FWB1" s="224"/>
      <c r="FWC1" s="224"/>
      <c r="FWD1" s="224"/>
      <c r="FWE1" s="224"/>
      <c r="FWF1" s="224"/>
      <c r="FWG1" s="224"/>
      <c r="FWH1" s="224"/>
      <c r="FWI1" s="224"/>
      <c r="FWJ1" s="224"/>
      <c r="FWK1" s="224"/>
      <c r="FWL1" s="224"/>
      <c r="FWM1" s="224"/>
      <c r="FWN1" s="224"/>
      <c r="FWO1" s="224"/>
      <c r="FWP1" s="224"/>
      <c r="FWQ1" s="224"/>
      <c r="FWR1" s="224"/>
      <c r="FWS1" s="224"/>
      <c r="FWT1" s="224"/>
      <c r="FWU1" s="224"/>
      <c r="FWV1" s="224"/>
      <c r="FWW1" s="224"/>
      <c r="FWX1" s="224"/>
      <c r="FWY1" s="224"/>
      <c r="FWZ1" s="224"/>
      <c r="FXA1" s="224"/>
      <c r="FXB1" s="224"/>
      <c r="FXC1" s="224"/>
      <c r="FXD1" s="224"/>
      <c r="FXE1" s="224"/>
      <c r="FXF1" s="224"/>
      <c r="FXG1" s="224"/>
      <c r="FXH1" s="224"/>
      <c r="FXI1" s="224"/>
      <c r="FXJ1" s="224"/>
      <c r="FXK1" s="224"/>
      <c r="FXL1" s="224"/>
      <c r="FXM1" s="224"/>
      <c r="FXN1" s="224"/>
      <c r="FXO1" s="224"/>
      <c r="FXP1" s="224"/>
      <c r="FXQ1" s="224"/>
      <c r="FXR1" s="224"/>
      <c r="FXS1" s="224"/>
      <c r="FXT1" s="224"/>
      <c r="FXU1" s="224"/>
      <c r="FXV1" s="224"/>
      <c r="FXW1" s="224"/>
      <c r="FXX1" s="224"/>
      <c r="FXY1" s="224"/>
      <c r="FXZ1" s="224"/>
      <c r="FYA1" s="224"/>
      <c r="FYB1" s="224"/>
      <c r="FYC1" s="224"/>
      <c r="FYD1" s="224"/>
      <c r="FYE1" s="224"/>
      <c r="FYF1" s="224"/>
      <c r="FYG1" s="224"/>
      <c r="FYH1" s="224"/>
      <c r="FYI1" s="224"/>
      <c r="FYJ1" s="224"/>
      <c r="FYK1" s="224"/>
      <c r="FYL1" s="224"/>
      <c r="FYM1" s="224"/>
      <c r="FYN1" s="224"/>
      <c r="FYO1" s="224"/>
      <c r="FYP1" s="224"/>
      <c r="FYQ1" s="224"/>
      <c r="FYR1" s="224"/>
      <c r="FYS1" s="224"/>
      <c r="FYT1" s="224"/>
      <c r="FYU1" s="224"/>
      <c r="FYV1" s="224"/>
      <c r="FYW1" s="224"/>
      <c r="FYX1" s="224"/>
      <c r="FYY1" s="224"/>
      <c r="FYZ1" s="224"/>
      <c r="FZA1" s="224"/>
      <c r="FZB1" s="224"/>
      <c r="FZC1" s="224"/>
      <c r="FZD1" s="224"/>
      <c r="FZE1" s="224"/>
      <c r="FZF1" s="224"/>
      <c r="FZG1" s="224"/>
      <c r="FZH1" s="224"/>
      <c r="FZI1" s="224"/>
      <c r="FZJ1" s="224"/>
      <c r="FZK1" s="224"/>
      <c r="FZL1" s="224"/>
      <c r="FZM1" s="224"/>
      <c r="FZN1" s="224"/>
      <c r="FZO1" s="224"/>
      <c r="FZP1" s="224"/>
      <c r="FZQ1" s="224"/>
      <c r="FZR1" s="224"/>
      <c r="FZS1" s="224"/>
      <c r="FZT1" s="224"/>
      <c r="FZU1" s="224"/>
      <c r="FZV1" s="224"/>
      <c r="FZW1" s="224"/>
      <c r="FZX1" s="224"/>
      <c r="FZY1" s="224"/>
      <c r="FZZ1" s="224"/>
      <c r="GAA1" s="224"/>
      <c r="GAB1" s="224"/>
      <c r="GAC1" s="224"/>
      <c r="GAD1" s="224"/>
      <c r="GAE1" s="224"/>
      <c r="GAF1" s="224"/>
      <c r="GAG1" s="224"/>
      <c r="GAH1" s="224"/>
      <c r="GAI1" s="224"/>
      <c r="GAJ1" s="224"/>
      <c r="GAK1" s="224"/>
      <c r="GAL1" s="224"/>
      <c r="GAM1" s="224"/>
      <c r="GAN1" s="224"/>
      <c r="GAO1" s="224"/>
      <c r="GAP1" s="224"/>
      <c r="GAQ1" s="224"/>
      <c r="GAR1" s="224"/>
      <c r="GAS1" s="224"/>
      <c r="GAT1" s="224"/>
      <c r="GAU1" s="224"/>
      <c r="GAV1" s="224"/>
      <c r="GAW1" s="224"/>
      <c r="GAX1" s="224"/>
      <c r="GAY1" s="224"/>
      <c r="GAZ1" s="224"/>
      <c r="GBA1" s="224"/>
      <c r="GBB1" s="224"/>
      <c r="GBC1" s="224"/>
      <c r="GBD1" s="224"/>
      <c r="GBE1" s="224"/>
      <c r="GBF1" s="224"/>
      <c r="GBG1" s="224"/>
      <c r="GBH1" s="224"/>
      <c r="GBI1" s="224"/>
      <c r="GBJ1" s="224"/>
      <c r="GBK1" s="224"/>
      <c r="GBL1" s="224"/>
      <c r="GBM1" s="224"/>
      <c r="GBN1" s="224"/>
      <c r="GBO1" s="224"/>
      <c r="GBP1" s="224"/>
      <c r="GBQ1" s="224"/>
      <c r="GBR1" s="224"/>
      <c r="GBS1" s="224"/>
      <c r="GBT1" s="224"/>
      <c r="GBU1" s="224"/>
      <c r="GBV1" s="224"/>
      <c r="GBW1" s="224"/>
      <c r="GBX1" s="224"/>
      <c r="GBY1" s="224"/>
      <c r="GBZ1" s="224"/>
      <c r="GCA1" s="224"/>
      <c r="GCB1" s="224"/>
      <c r="GCC1" s="224"/>
      <c r="GCD1" s="224"/>
      <c r="GCE1" s="224"/>
      <c r="GCF1" s="224"/>
      <c r="GCG1" s="224"/>
      <c r="GCH1" s="224"/>
      <c r="GCI1" s="224"/>
      <c r="GCJ1" s="224"/>
      <c r="GCK1" s="224"/>
      <c r="GCL1" s="224"/>
      <c r="GCM1" s="224"/>
      <c r="GCN1" s="224"/>
      <c r="GCO1" s="224"/>
      <c r="GCP1" s="224"/>
      <c r="GCQ1" s="224"/>
      <c r="GCR1" s="224"/>
      <c r="GCS1" s="224"/>
      <c r="GCT1" s="224"/>
      <c r="GCU1" s="224"/>
      <c r="GCV1" s="224"/>
      <c r="GCW1" s="224"/>
      <c r="GCX1" s="224"/>
      <c r="GCY1" s="224"/>
      <c r="GCZ1" s="224"/>
      <c r="GDA1" s="224"/>
      <c r="GDB1" s="224"/>
      <c r="GDC1" s="224"/>
      <c r="GDD1" s="224"/>
      <c r="GDE1" s="224"/>
      <c r="GDF1" s="224"/>
      <c r="GDG1" s="224"/>
      <c r="GDH1" s="224"/>
      <c r="GDI1" s="224"/>
      <c r="GDJ1" s="224"/>
      <c r="GDK1" s="224"/>
      <c r="GDL1" s="224"/>
      <c r="GDM1" s="224"/>
      <c r="GDN1" s="224"/>
      <c r="GDO1" s="224"/>
      <c r="GDP1" s="224"/>
      <c r="GDQ1" s="224"/>
      <c r="GDR1" s="224"/>
      <c r="GDS1" s="224"/>
      <c r="GDT1" s="224"/>
      <c r="GDU1" s="224"/>
      <c r="GDV1" s="224"/>
      <c r="GDW1" s="224"/>
      <c r="GDX1" s="224"/>
      <c r="GDY1" s="224"/>
      <c r="GDZ1" s="224"/>
      <c r="GEA1" s="224"/>
      <c r="GEB1" s="224"/>
      <c r="GEC1" s="224"/>
      <c r="GED1" s="224"/>
      <c r="GEE1" s="224"/>
      <c r="GEF1" s="224"/>
      <c r="GEG1" s="224"/>
      <c r="GEH1" s="224"/>
      <c r="GEI1" s="224"/>
      <c r="GEJ1" s="224"/>
      <c r="GEK1" s="224"/>
      <c r="GEL1" s="224"/>
      <c r="GEM1" s="224"/>
      <c r="GEN1" s="224"/>
      <c r="GEO1" s="224"/>
      <c r="GEP1" s="224"/>
      <c r="GEQ1" s="224"/>
      <c r="GER1" s="224"/>
      <c r="GES1" s="224"/>
      <c r="GET1" s="224"/>
      <c r="GEU1" s="224"/>
      <c r="GEV1" s="224"/>
      <c r="GEW1" s="224"/>
      <c r="GEX1" s="224"/>
      <c r="GEY1" s="224"/>
      <c r="GEZ1" s="224"/>
      <c r="GFA1" s="224"/>
      <c r="GFB1" s="224"/>
      <c r="GFC1" s="224"/>
      <c r="GFD1" s="224"/>
      <c r="GFE1" s="224"/>
      <c r="GFF1" s="224"/>
      <c r="GFG1" s="224"/>
      <c r="GFH1" s="224"/>
      <c r="GFI1" s="224"/>
      <c r="GFJ1" s="224"/>
      <c r="GFK1" s="224"/>
      <c r="GFL1" s="224"/>
      <c r="GFM1" s="224"/>
      <c r="GFN1" s="224"/>
      <c r="GFO1" s="224"/>
      <c r="GFP1" s="224"/>
      <c r="GFQ1" s="224"/>
      <c r="GFR1" s="224"/>
      <c r="GFS1" s="224"/>
      <c r="GFT1" s="224"/>
      <c r="GFU1" s="224"/>
      <c r="GFV1" s="224"/>
      <c r="GFW1" s="224"/>
      <c r="GFX1" s="224"/>
      <c r="GFY1" s="224"/>
      <c r="GFZ1" s="224"/>
      <c r="GGA1" s="224"/>
      <c r="GGB1" s="224"/>
      <c r="GGC1" s="224"/>
      <c r="GGD1" s="224"/>
      <c r="GGE1" s="224"/>
      <c r="GGF1" s="224"/>
      <c r="GGG1" s="224"/>
      <c r="GGH1" s="224"/>
      <c r="GGI1" s="224"/>
      <c r="GGJ1" s="224"/>
      <c r="GGK1" s="224"/>
      <c r="GGL1" s="224"/>
      <c r="GGM1" s="224"/>
      <c r="GGN1" s="224"/>
      <c r="GGO1" s="224"/>
      <c r="GGP1" s="224"/>
      <c r="GGQ1" s="224"/>
      <c r="GGR1" s="224"/>
      <c r="GGS1" s="224"/>
      <c r="GGT1" s="224"/>
      <c r="GGU1" s="224"/>
      <c r="GGV1" s="224"/>
      <c r="GGW1" s="224"/>
      <c r="GGX1" s="224"/>
      <c r="GGY1" s="224"/>
      <c r="GGZ1" s="224"/>
      <c r="GHA1" s="224"/>
      <c r="GHB1" s="224"/>
      <c r="GHC1" s="224"/>
      <c r="GHD1" s="224"/>
      <c r="GHE1" s="224"/>
      <c r="GHF1" s="224"/>
      <c r="GHG1" s="224"/>
      <c r="GHH1" s="224"/>
      <c r="GHI1" s="224"/>
      <c r="GHJ1" s="224"/>
      <c r="GHK1" s="224"/>
      <c r="GHL1" s="224"/>
      <c r="GHM1" s="224"/>
      <c r="GHN1" s="224"/>
      <c r="GHO1" s="224"/>
      <c r="GHP1" s="224"/>
      <c r="GHQ1" s="224"/>
      <c r="GHR1" s="224"/>
      <c r="GHS1" s="224"/>
      <c r="GHT1" s="224"/>
      <c r="GHU1" s="224"/>
      <c r="GHV1" s="224"/>
      <c r="GHW1" s="224"/>
      <c r="GHX1" s="224"/>
      <c r="GHY1" s="224"/>
      <c r="GHZ1" s="224"/>
      <c r="GIA1" s="224"/>
      <c r="GIB1" s="224"/>
      <c r="GIC1" s="224"/>
      <c r="GID1" s="224"/>
      <c r="GIE1" s="224"/>
      <c r="GIF1" s="224"/>
      <c r="GIG1" s="224"/>
      <c r="GIH1" s="224"/>
      <c r="GII1" s="224"/>
      <c r="GIJ1" s="224"/>
      <c r="GIK1" s="224"/>
      <c r="GIL1" s="224"/>
      <c r="GIM1" s="224"/>
      <c r="GIN1" s="224"/>
      <c r="GIO1" s="224"/>
      <c r="GIP1" s="224"/>
      <c r="GIQ1" s="224"/>
      <c r="GIR1" s="224"/>
      <c r="GIS1" s="224"/>
      <c r="GIT1" s="224"/>
      <c r="GIU1" s="224"/>
      <c r="GIV1" s="224"/>
      <c r="GIW1" s="224"/>
      <c r="GIX1" s="224"/>
      <c r="GIY1" s="224"/>
      <c r="GIZ1" s="224"/>
      <c r="GJA1" s="224"/>
      <c r="GJB1" s="224"/>
      <c r="GJC1" s="224"/>
      <c r="GJD1" s="224"/>
      <c r="GJE1" s="224"/>
      <c r="GJF1" s="224"/>
      <c r="GJG1" s="224"/>
      <c r="GJH1" s="224"/>
      <c r="GJI1" s="224"/>
      <c r="GJJ1" s="224"/>
      <c r="GJK1" s="224"/>
      <c r="GJL1" s="224"/>
      <c r="GJM1" s="224"/>
      <c r="GJN1" s="224"/>
      <c r="GJO1" s="224"/>
      <c r="GJP1" s="224"/>
      <c r="GJQ1" s="224"/>
      <c r="GJR1" s="224"/>
      <c r="GJS1" s="224"/>
      <c r="GJT1" s="224"/>
      <c r="GJU1" s="224"/>
      <c r="GJV1" s="224"/>
      <c r="GJW1" s="224"/>
      <c r="GJX1" s="224"/>
      <c r="GJY1" s="224"/>
      <c r="GJZ1" s="224"/>
      <c r="GKA1" s="224"/>
      <c r="GKB1" s="224"/>
      <c r="GKC1" s="224"/>
      <c r="GKD1" s="224"/>
      <c r="GKE1" s="224"/>
      <c r="GKF1" s="224"/>
      <c r="GKG1" s="224"/>
      <c r="GKH1" s="224"/>
      <c r="GKI1" s="224"/>
      <c r="GKJ1" s="224"/>
      <c r="GKK1" s="224"/>
      <c r="GKL1" s="224"/>
      <c r="GKM1" s="224"/>
      <c r="GKN1" s="224"/>
      <c r="GKO1" s="224"/>
      <c r="GKP1" s="224"/>
      <c r="GKQ1" s="224"/>
      <c r="GKR1" s="224"/>
      <c r="GKS1" s="224"/>
      <c r="GKT1" s="224"/>
      <c r="GKU1" s="224"/>
      <c r="GKV1" s="224"/>
      <c r="GKW1" s="224"/>
      <c r="GKX1" s="224"/>
      <c r="GKY1" s="224"/>
      <c r="GKZ1" s="224"/>
      <c r="GLA1" s="224"/>
      <c r="GLB1" s="224"/>
      <c r="GLC1" s="224"/>
      <c r="GLD1" s="224"/>
      <c r="GLE1" s="224"/>
      <c r="GLF1" s="224"/>
      <c r="GLG1" s="224"/>
      <c r="GLH1" s="224"/>
      <c r="GLI1" s="224"/>
      <c r="GLJ1" s="224"/>
      <c r="GLK1" s="224"/>
      <c r="GLL1" s="224"/>
      <c r="GLM1" s="224"/>
      <c r="GLN1" s="224"/>
      <c r="GLO1" s="224"/>
      <c r="GLP1" s="224"/>
      <c r="GLQ1" s="224"/>
      <c r="GLR1" s="224"/>
      <c r="GLS1" s="224"/>
      <c r="GLT1" s="224"/>
      <c r="GLU1" s="224"/>
      <c r="GLV1" s="224"/>
      <c r="GLW1" s="224"/>
      <c r="GLX1" s="224"/>
      <c r="GLY1" s="224"/>
      <c r="GLZ1" s="224"/>
      <c r="GMA1" s="224"/>
      <c r="GMB1" s="224"/>
      <c r="GMC1" s="224"/>
      <c r="GMD1" s="224"/>
      <c r="GME1" s="224"/>
      <c r="GMF1" s="224"/>
      <c r="GMG1" s="224"/>
      <c r="GMH1" s="224"/>
      <c r="GMI1" s="224"/>
      <c r="GMJ1" s="224"/>
      <c r="GMK1" s="224"/>
      <c r="GML1" s="224"/>
      <c r="GMM1" s="224"/>
      <c r="GMN1" s="224"/>
      <c r="GMO1" s="224"/>
      <c r="GMP1" s="224"/>
      <c r="GMQ1" s="224"/>
      <c r="GMR1" s="224"/>
      <c r="GMS1" s="224"/>
      <c r="GMT1" s="224"/>
      <c r="GMU1" s="224"/>
      <c r="GMV1" s="224"/>
      <c r="GMW1" s="224"/>
      <c r="GMX1" s="224"/>
      <c r="GMY1" s="224"/>
      <c r="GMZ1" s="224"/>
      <c r="GNA1" s="224"/>
      <c r="GNB1" s="224"/>
      <c r="GNC1" s="224"/>
      <c r="GND1" s="224"/>
      <c r="GNE1" s="224"/>
      <c r="GNF1" s="224"/>
      <c r="GNG1" s="224"/>
      <c r="GNH1" s="224"/>
      <c r="GNI1" s="224"/>
      <c r="GNJ1" s="224"/>
      <c r="GNK1" s="224"/>
      <c r="GNL1" s="224"/>
      <c r="GNM1" s="224"/>
      <c r="GNN1" s="224"/>
      <c r="GNO1" s="224"/>
      <c r="GNP1" s="224"/>
      <c r="GNQ1" s="224"/>
      <c r="GNR1" s="224"/>
      <c r="GNS1" s="224"/>
      <c r="GNT1" s="224"/>
      <c r="GNU1" s="224"/>
      <c r="GNV1" s="224"/>
      <c r="GNW1" s="224"/>
      <c r="GNX1" s="224"/>
      <c r="GNY1" s="224"/>
      <c r="GNZ1" s="224"/>
      <c r="GOA1" s="224"/>
      <c r="GOB1" s="224"/>
      <c r="GOC1" s="224"/>
      <c r="GOD1" s="224"/>
      <c r="GOE1" s="224"/>
      <c r="GOF1" s="224"/>
      <c r="GOG1" s="224"/>
      <c r="GOH1" s="224"/>
      <c r="GOI1" s="224"/>
      <c r="GOJ1" s="224"/>
      <c r="GOK1" s="224"/>
      <c r="GOL1" s="224"/>
      <c r="GOM1" s="224"/>
      <c r="GON1" s="224"/>
      <c r="GOO1" s="224"/>
      <c r="GOP1" s="224"/>
      <c r="GOQ1" s="224"/>
      <c r="GOR1" s="224"/>
      <c r="GOS1" s="224"/>
      <c r="GOT1" s="224"/>
      <c r="GOU1" s="224"/>
      <c r="GOV1" s="224"/>
      <c r="GOW1" s="224"/>
      <c r="GOX1" s="224"/>
      <c r="GOY1" s="224"/>
      <c r="GOZ1" s="224"/>
      <c r="GPA1" s="224"/>
      <c r="GPB1" s="224"/>
      <c r="GPC1" s="224"/>
      <c r="GPD1" s="224"/>
      <c r="GPE1" s="224"/>
      <c r="GPF1" s="224"/>
      <c r="GPG1" s="224"/>
      <c r="GPH1" s="224"/>
      <c r="GPI1" s="224"/>
      <c r="GPJ1" s="224"/>
      <c r="GPK1" s="224"/>
      <c r="GPL1" s="224"/>
      <c r="GPM1" s="224"/>
      <c r="GPN1" s="224"/>
      <c r="GPO1" s="224"/>
      <c r="GPP1" s="224"/>
      <c r="GPQ1" s="224"/>
      <c r="GPR1" s="224"/>
      <c r="GPS1" s="224"/>
      <c r="GPT1" s="224"/>
      <c r="GPU1" s="224"/>
      <c r="GPV1" s="224"/>
      <c r="GPW1" s="224"/>
      <c r="GPX1" s="224"/>
      <c r="GPY1" s="224"/>
      <c r="GPZ1" s="224"/>
      <c r="GQA1" s="224"/>
      <c r="GQB1" s="224"/>
      <c r="GQC1" s="224"/>
      <c r="GQD1" s="224"/>
      <c r="GQE1" s="224"/>
      <c r="GQF1" s="224"/>
      <c r="GQG1" s="224"/>
      <c r="GQH1" s="224"/>
      <c r="GQI1" s="224"/>
      <c r="GQJ1" s="224"/>
      <c r="GQK1" s="224"/>
      <c r="GQL1" s="224"/>
      <c r="GQM1" s="224"/>
      <c r="GQN1" s="224"/>
      <c r="GQO1" s="224"/>
      <c r="GQP1" s="224"/>
      <c r="GQQ1" s="224"/>
      <c r="GQR1" s="224"/>
      <c r="GQS1" s="224"/>
      <c r="GQT1" s="224"/>
      <c r="GQU1" s="224"/>
      <c r="GQV1" s="224"/>
      <c r="GQW1" s="224"/>
      <c r="GQX1" s="224"/>
      <c r="GQY1" s="224"/>
      <c r="GQZ1" s="224"/>
      <c r="GRA1" s="224"/>
      <c r="GRB1" s="224"/>
      <c r="GRC1" s="224"/>
      <c r="GRD1" s="224"/>
      <c r="GRE1" s="224"/>
      <c r="GRF1" s="224"/>
      <c r="GRG1" s="224"/>
      <c r="GRH1" s="224"/>
      <c r="GRI1" s="224"/>
      <c r="GRJ1" s="224"/>
      <c r="GRK1" s="224"/>
      <c r="GRL1" s="224"/>
      <c r="GRM1" s="224"/>
      <c r="GRN1" s="224"/>
      <c r="GRO1" s="224"/>
      <c r="GRP1" s="224"/>
      <c r="GRQ1" s="224"/>
      <c r="GRR1" s="224"/>
      <c r="GRS1" s="224"/>
      <c r="GRT1" s="224"/>
      <c r="GRU1" s="224"/>
      <c r="GRV1" s="224"/>
      <c r="GRW1" s="224"/>
      <c r="GRX1" s="224"/>
      <c r="GRY1" s="224"/>
      <c r="GRZ1" s="224"/>
      <c r="GSA1" s="224"/>
      <c r="GSB1" s="224"/>
      <c r="GSC1" s="224"/>
      <c r="GSD1" s="224"/>
      <c r="GSE1" s="224"/>
      <c r="GSF1" s="224"/>
      <c r="GSG1" s="224"/>
      <c r="GSH1" s="224"/>
      <c r="GSI1" s="224"/>
      <c r="GSJ1" s="224"/>
      <c r="GSK1" s="224"/>
      <c r="GSL1" s="224"/>
      <c r="GSM1" s="224"/>
      <c r="GSN1" s="224"/>
      <c r="GSO1" s="224"/>
      <c r="GSP1" s="224"/>
      <c r="GSQ1" s="224"/>
      <c r="GSR1" s="224"/>
      <c r="GSS1" s="224"/>
      <c r="GST1" s="224"/>
      <c r="GSU1" s="224"/>
      <c r="GSV1" s="224"/>
      <c r="GSW1" s="224"/>
      <c r="GSX1" s="224"/>
      <c r="GSY1" s="224"/>
      <c r="GSZ1" s="224"/>
      <c r="GTA1" s="224"/>
      <c r="GTB1" s="224"/>
      <c r="GTC1" s="224"/>
      <c r="GTD1" s="224"/>
      <c r="GTE1" s="224"/>
      <c r="GTF1" s="224"/>
      <c r="GTG1" s="224"/>
      <c r="GTH1" s="224"/>
      <c r="GTI1" s="224"/>
      <c r="GTJ1" s="224"/>
      <c r="GTK1" s="224"/>
      <c r="GTL1" s="224"/>
      <c r="GTM1" s="224"/>
      <c r="GTN1" s="224"/>
      <c r="GTO1" s="224"/>
      <c r="GTP1" s="224"/>
      <c r="GTQ1" s="224"/>
      <c r="GTR1" s="224"/>
      <c r="GTS1" s="224"/>
      <c r="GTT1" s="224"/>
      <c r="GTU1" s="224"/>
      <c r="GTV1" s="224"/>
      <c r="GTW1" s="224"/>
      <c r="GTX1" s="224"/>
      <c r="GTY1" s="224"/>
      <c r="GTZ1" s="224"/>
      <c r="GUA1" s="224"/>
      <c r="GUB1" s="224"/>
      <c r="GUC1" s="224"/>
      <c r="GUD1" s="224"/>
      <c r="GUE1" s="224"/>
      <c r="GUF1" s="224"/>
      <c r="GUG1" s="224"/>
      <c r="GUH1" s="224"/>
      <c r="GUI1" s="224"/>
      <c r="GUJ1" s="224"/>
      <c r="GUK1" s="224"/>
      <c r="GUL1" s="224"/>
      <c r="GUM1" s="224"/>
      <c r="GUN1" s="224"/>
      <c r="GUO1" s="224"/>
      <c r="GUP1" s="224"/>
      <c r="GUQ1" s="224"/>
      <c r="GUR1" s="224"/>
      <c r="GUS1" s="224"/>
      <c r="GUT1" s="224"/>
      <c r="GUU1" s="224"/>
      <c r="GUV1" s="224"/>
      <c r="GUW1" s="224"/>
      <c r="GUX1" s="224"/>
      <c r="GUY1" s="224"/>
      <c r="GUZ1" s="224"/>
      <c r="GVA1" s="224"/>
      <c r="GVB1" s="224"/>
      <c r="GVC1" s="224"/>
      <c r="GVD1" s="224"/>
      <c r="GVE1" s="224"/>
      <c r="GVF1" s="224"/>
      <c r="GVG1" s="224"/>
      <c r="GVH1" s="224"/>
      <c r="GVI1" s="224"/>
      <c r="GVJ1" s="224"/>
      <c r="GVK1" s="224"/>
      <c r="GVL1" s="224"/>
      <c r="GVM1" s="224"/>
      <c r="GVN1" s="224"/>
      <c r="GVO1" s="224"/>
      <c r="GVP1" s="224"/>
      <c r="GVQ1" s="224"/>
      <c r="GVR1" s="224"/>
      <c r="GVS1" s="224"/>
      <c r="GVT1" s="224"/>
      <c r="GVU1" s="224"/>
      <c r="GVV1" s="224"/>
      <c r="GVW1" s="224"/>
      <c r="GVX1" s="224"/>
      <c r="GVY1" s="224"/>
      <c r="GVZ1" s="224"/>
      <c r="GWA1" s="224"/>
      <c r="GWB1" s="224"/>
      <c r="GWC1" s="224"/>
      <c r="GWD1" s="224"/>
      <c r="GWE1" s="224"/>
      <c r="GWF1" s="224"/>
      <c r="GWG1" s="224"/>
      <c r="GWH1" s="224"/>
      <c r="GWI1" s="224"/>
      <c r="GWJ1" s="224"/>
      <c r="GWK1" s="224"/>
      <c r="GWL1" s="224"/>
      <c r="GWM1" s="224"/>
      <c r="GWN1" s="224"/>
      <c r="GWO1" s="224"/>
      <c r="GWP1" s="224"/>
      <c r="GWQ1" s="224"/>
      <c r="GWR1" s="224"/>
      <c r="GWS1" s="224"/>
      <c r="GWT1" s="224"/>
      <c r="GWU1" s="224"/>
      <c r="GWV1" s="224"/>
      <c r="GWW1" s="224"/>
      <c r="GWX1" s="224"/>
      <c r="GWY1" s="224"/>
      <c r="GWZ1" s="224"/>
      <c r="GXA1" s="224"/>
      <c r="GXB1" s="224"/>
      <c r="GXC1" s="224"/>
      <c r="GXD1" s="224"/>
      <c r="GXE1" s="224"/>
      <c r="GXF1" s="224"/>
      <c r="GXG1" s="224"/>
      <c r="GXH1" s="224"/>
      <c r="GXI1" s="224"/>
      <c r="GXJ1" s="224"/>
      <c r="GXK1" s="224"/>
      <c r="GXL1" s="224"/>
      <c r="GXM1" s="224"/>
      <c r="GXN1" s="224"/>
      <c r="GXO1" s="224"/>
      <c r="GXP1" s="224"/>
      <c r="GXQ1" s="224"/>
      <c r="GXR1" s="224"/>
      <c r="GXS1" s="224"/>
      <c r="GXT1" s="224"/>
      <c r="GXU1" s="224"/>
      <c r="GXV1" s="224"/>
      <c r="GXW1" s="224"/>
      <c r="GXX1" s="224"/>
      <c r="GXY1" s="224"/>
      <c r="GXZ1" s="224"/>
      <c r="GYA1" s="224"/>
      <c r="GYB1" s="224"/>
      <c r="GYC1" s="224"/>
      <c r="GYD1" s="224"/>
      <c r="GYE1" s="224"/>
      <c r="GYF1" s="224"/>
      <c r="GYG1" s="224"/>
      <c r="GYH1" s="224"/>
      <c r="GYI1" s="224"/>
      <c r="GYJ1" s="224"/>
      <c r="GYK1" s="224"/>
      <c r="GYL1" s="224"/>
      <c r="GYM1" s="224"/>
      <c r="GYN1" s="224"/>
      <c r="GYO1" s="224"/>
      <c r="GYP1" s="224"/>
      <c r="GYQ1" s="224"/>
      <c r="GYR1" s="224"/>
      <c r="GYS1" s="224"/>
      <c r="GYT1" s="224"/>
      <c r="GYU1" s="224"/>
      <c r="GYV1" s="224"/>
      <c r="GYW1" s="224"/>
      <c r="GYX1" s="224"/>
      <c r="GYY1" s="224"/>
      <c r="GYZ1" s="224"/>
      <c r="GZA1" s="224"/>
      <c r="GZB1" s="224"/>
      <c r="GZC1" s="224"/>
      <c r="GZD1" s="224"/>
      <c r="GZE1" s="224"/>
      <c r="GZF1" s="224"/>
      <c r="GZG1" s="224"/>
      <c r="GZH1" s="224"/>
      <c r="GZI1" s="224"/>
      <c r="GZJ1" s="224"/>
      <c r="GZK1" s="224"/>
      <c r="GZL1" s="224"/>
      <c r="GZM1" s="224"/>
      <c r="GZN1" s="224"/>
      <c r="GZO1" s="224"/>
      <c r="GZP1" s="224"/>
      <c r="GZQ1" s="224"/>
      <c r="GZR1" s="224"/>
      <c r="GZS1" s="224"/>
      <c r="GZT1" s="224"/>
      <c r="GZU1" s="224"/>
      <c r="GZV1" s="224"/>
      <c r="GZW1" s="224"/>
      <c r="GZX1" s="224"/>
      <c r="GZY1" s="224"/>
      <c r="GZZ1" s="224"/>
      <c r="HAA1" s="224"/>
      <c r="HAB1" s="224"/>
      <c r="HAC1" s="224"/>
      <c r="HAD1" s="224"/>
      <c r="HAE1" s="224"/>
      <c r="HAF1" s="224"/>
      <c r="HAG1" s="224"/>
      <c r="HAH1" s="224"/>
      <c r="HAI1" s="224"/>
      <c r="HAJ1" s="224"/>
      <c r="HAK1" s="224"/>
      <c r="HAL1" s="224"/>
      <c r="HAM1" s="224"/>
      <c r="HAN1" s="224"/>
      <c r="HAO1" s="224"/>
      <c r="HAP1" s="224"/>
      <c r="HAQ1" s="224"/>
      <c r="HAR1" s="224"/>
      <c r="HAS1" s="224"/>
      <c r="HAT1" s="224"/>
      <c r="HAU1" s="224"/>
      <c r="HAV1" s="224"/>
      <c r="HAW1" s="224"/>
      <c r="HAX1" s="224"/>
      <c r="HAY1" s="224"/>
      <c r="HAZ1" s="224"/>
      <c r="HBA1" s="224"/>
      <c r="HBB1" s="224"/>
      <c r="HBC1" s="224"/>
      <c r="HBD1" s="224"/>
      <c r="HBE1" s="224"/>
      <c r="HBF1" s="224"/>
      <c r="HBG1" s="224"/>
      <c r="HBH1" s="224"/>
      <c r="HBI1" s="224"/>
      <c r="HBJ1" s="224"/>
      <c r="HBK1" s="224"/>
      <c r="HBL1" s="224"/>
      <c r="HBM1" s="224"/>
      <c r="HBN1" s="224"/>
      <c r="HBO1" s="224"/>
      <c r="HBP1" s="224"/>
      <c r="HBQ1" s="224"/>
      <c r="HBR1" s="224"/>
      <c r="HBS1" s="224"/>
      <c r="HBT1" s="224"/>
      <c r="HBU1" s="224"/>
      <c r="HBV1" s="224"/>
      <c r="HBW1" s="224"/>
      <c r="HBX1" s="224"/>
      <c r="HBY1" s="224"/>
      <c r="HBZ1" s="224"/>
      <c r="HCA1" s="224"/>
      <c r="HCB1" s="224"/>
      <c r="HCC1" s="224"/>
      <c r="HCD1" s="224"/>
      <c r="HCE1" s="224"/>
      <c r="HCF1" s="224"/>
      <c r="HCG1" s="224"/>
      <c r="HCH1" s="224"/>
      <c r="HCI1" s="224"/>
      <c r="HCJ1" s="224"/>
      <c r="HCK1" s="224"/>
      <c r="HCL1" s="224"/>
      <c r="HCM1" s="224"/>
      <c r="HCN1" s="224"/>
      <c r="HCO1" s="224"/>
      <c r="HCP1" s="224"/>
      <c r="HCQ1" s="224"/>
      <c r="HCR1" s="224"/>
      <c r="HCS1" s="224"/>
      <c r="HCT1" s="224"/>
      <c r="HCU1" s="224"/>
      <c r="HCV1" s="224"/>
      <c r="HCW1" s="224"/>
      <c r="HCX1" s="224"/>
      <c r="HCY1" s="224"/>
      <c r="HCZ1" s="224"/>
      <c r="HDA1" s="224"/>
      <c r="HDB1" s="224"/>
      <c r="HDC1" s="224"/>
      <c r="HDD1" s="224"/>
      <c r="HDE1" s="224"/>
      <c r="HDF1" s="224"/>
      <c r="HDG1" s="224"/>
      <c r="HDH1" s="224"/>
      <c r="HDI1" s="224"/>
      <c r="HDJ1" s="224"/>
      <c r="HDK1" s="224"/>
      <c r="HDL1" s="224"/>
      <c r="HDM1" s="224"/>
      <c r="HDN1" s="224"/>
      <c r="HDO1" s="224"/>
      <c r="HDP1" s="224"/>
      <c r="HDQ1" s="224"/>
      <c r="HDR1" s="224"/>
      <c r="HDS1" s="224"/>
      <c r="HDT1" s="224"/>
      <c r="HDU1" s="224"/>
      <c r="HDV1" s="224"/>
      <c r="HDW1" s="224"/>
      <c r="HDX1" s="224"/>
      <c r="HDY1" s="224"/>
      <c r="HDZ1" s="224"/>
      <c r="HEA1" s="224"/>
      <c r="HEB1" s="224"/>
      <c r="HEC1" s="224"/>
      <c r="HED1" s="224"/>
      <c r="HEE1" s="224"/>
      <c r="HEF1" s="224"/>
      <c r="HEG1" s="224"/>
      <c r="HEH1" s="224"/>
      <c r="HEI1" s="224"/>
      <c r="HEJ1" s="224"/>
      <c r="HEK1" s="224"/>
      <c r="HEL1" s="224"/>
      <c r="HEM1" s="224"/>
      <c r="HEN1" s="224"/>
      <c r="HEO1" s="224"/>
      <c r="HEP1" s="224"/>
      <c r="HEQ1" s="224"/>
      <c r="HER1" s="224"/>
      <c r="HES1" s="224"/>
      <c r="HET1" s="224"/>
      <c r="HEU1" s="224"/>
      <c r="HEV1" s="224"/>
      <c r="HEW1" s="224"/>
      <c r="HEX1" s="224"/>
      <c r="HEY1" s="224"/>
      <c r="HEZ1" s="224"/>
      <c r="HFA1" s="224"/>
      <c r="HFB1" s="224"/>
      <c r="HFC1" s="224"/>
      <c r="HFD1" s="224"/>
      <c r="HFE1" s="224"/>
      <c r="HFF1" s="224"/>
      <c r="HFG1" s="224"/>
      <c r="HFH1" s="224"/>
      <c r="HFI1" s="224"/>
      <c r="HFJ1" s="224"/>
      <c r="HFK1" s="224"/>
      <c r="HFL1" s="224"/>
      <c r="HFM1" s="224"/>
      <c r="HFN1" s="224"/>
      <c r="HFO1" s="224"/>
      <c r="HFP1" s="224"/>
      <c r="HFQ1" s="224"/>
      <c r="HFR1" s="224"/>
      <c r="HFS1" s="224"/>
      <c r="HFT1" s="224"/>
      <c r="HFU1" s="224"/>
      <c r="HFV1" s="224"/>
      <c r="HFW1" s="224"/>
      <c r="HFX1" s="224"/>
      <c r="HFY1" s="224"/>
      <c r="HFZ1" s="224"/>
      <c r="HGA1" s="224"/>
      <c r="HGB1" s="224"/>
      <c r="HGC1" s="224"/>
      <c r="HGD1" s="224"/>
      <c r="HGE1" s="224"/>
      <c r="HGF1" s="224"/>
      <c r="HGG1" s="224"/>
      <c r="HGH1" s="224"/>
      <c r="HGI1" s="224"/>
      <c r="HGJ1" s="224"/>
      <c r="HGK1" s="224"/>
      <c r="HGL1" s="224"/>
      <c r="HGM1" s="224"/>
      <c r="HGN1" s="224"/>
      <c r="HGO1" s="224"/>
      <c r="HGP1" s="224"/>
      <c r="HGQ1" s="224"/>
      <c r="HGR1" s="224"/>
      <c r="HGS1" s="224"/>
      <c r="HGT1" s="224"/>
      <c r="HGU1" s="224"/>
      <c r="HGV1" s="224"/>
      <c r="HGW1" s="224"/>
      <c r="HGX1" s="224"/>
      <c r="HGY1" s="224"/>
      <c r="HGZ1" s="224"/>
      <c r="HHA1" s="224"/>
      <c r="HHB1" s="224"/>
      <c r="HHC1" s="224"/>
      <c r="HHD1" s="224"/>
      <c r="HHE1" s="224"/>
      <c r="HHF1" s="224"/>
      <c r="HHG1" s="224"/>
      <c r="HHH1" s="224"/>
      <c r="HHI1" s="224"/>
      <c r="HHJ1" s="224"/>
      <c r="HHK1" s="224"/>
      <c r="HHL1" s="224"/>
      <c r="HHM1" s="224"/>
      <c r="HHN1" s="224"/>
      <c r="HHO1" s="224"/>
      <c r="HHP1" s="224"/>
      <c r="HHQ1" s="224"/>
      <c r="HHR1" s="224"/>
      <c r="HHS1" s="224"/>
      <c r="HHT1" s="224"/>
      <c r="HHU1" s="224"/>
      <c r="HHV1" s="224"/>
      <c r="HHW1" s="224"/>
      <c r="HHX1" s="224"/>
      <c r="HHY1" s="224"/>
      <c r="HHZ1" s="224"/>
      <c r="HIA1" s="224"/>
      <c r="HIB1" s="224"/>
      <c r="HIC1" s="224"/>
      <c r="HID1" s="224"/>
      <c r="HIE1" s="224"/>
      <c r="HIF1" s="224"/>
      <c r="HIG1" s="224"/>
      <c r="HIH1" s="224"/>
      <c r="HII1" s="224"/>
      <c r="HIJ1" s="224"/>
      <c r="HIK1" s="224"/>
      <c r="HIL1" s="224"/>
      <c r="HIM1" s="224"/>
      <c r="HIN1" s="224"/>
      <c r="HIO1" s="224"/>
      <c r="HIP1" s="224"/>
      <c r="HIQ1" s="224"/>
      <c r="HIR1" s="224"/>
      <c r="HIS1" s="224"/>
      <c r="HIT1" s="224"/>
      <c r="HIU1" s="224"/>
      <c r="HIV1" s="224"/>
      <c r="HIW1" s="224"/>
      <c r="HIX1" s="224"/>
      <c r="HIY1" s="224"/>
      <c r="HIZ1" s="224"/>
      <c r="HJA1" s="224"/>
      <c r="HJB1" s="224"/>
      <c r="HJC1" s="224"/>
      <c r="HJD1" s="224"/>
      <c r="HJE1" s="224"/>
      <c r="HJF1" s="224"/>
      <c r="HJG1" s="224"/>
      <c r="HJH1" s="224"/>
      <c r="HJI1" s="224"/>
      <c r="HJJ1" s="224"/>
      <c r="HJK1" s="224"/>
      <c r="HJL1" s="224"/>
      <c r="HJM1" s="224"/>
      <c r="HJN1" s="224"/>
      <c r="HJO1" s="224"/>
      <c r="HJP1" s="224"/>
      <c r="HJQ1" s="224"/>
      <c r="HJR1" s="224"/>
      <c r="HJS1" s="224"/>
      <c r="HJT1" s="224"/>
      <c r="HJU1" s="224"/>
      <c r="HJV1" s="224"/>
      <c r="HJW1" s="224"/>
      <c r="HJX1" s="224"/>
      <c r="HJY1" s="224"/>
      <c r="HJZ1" s="224"/>
      <c r="HKA1" s="224"/>
      <c r="HKB1" s="224"/>
      <c r="HKC1" s="224"/>
      <c r="HKD1" s="224"/>
      <c r="HKE1" s="224"/>
      <c r="HKF1" s="224"/>
      <c r="HKG1" s="224"/>
      <c r="HKH1" s="224"/>
      <c r="HKI1" s="224"/>
      <c r="HKJ1" s="224"/>
      <c r="HKK1" s="224"/>
      <c r="HKL1" s="224"/>
      <c r="HKM1" s="224"/>
      <c r="HKN1" s="224"/>
      <c r="HKO1" s="224"/>
      <c r="HKP1" s="224"/>
      <c r="HKQ1" s="224"/>
      <c r="HKR1" s="224"/>
      <c r="HKS1" s="224"/>
      <c r="HKT1" s="224"/>
      <c r="HKU1" s="224"/>
      <c r="HKV1" s="224"/>
      <c r="HKW1" s="224"/>
      <c r="HKX1" s="224"/>
      <c r="HKY1" s="224"/>
      <c r="HKZ1" s="224"/>
      <c r="HLA1" s="224"/>
      <c r="HLB1" s="224"/>
      <c r="HLC1" s="224"/>
      <c r="HLD1" s="224"/>
      <c r="HLE1" s="224"/>
      <c r="HLF1" s="224"/>
      <c r="HLG1" s="224"/>
      <c r="HLH1" s="224"/>
      <c r="HLI1" s="224"/>
      <c r="HLJ1" s="224"/>
      <c r="HLK1" s="224"/>
      <c r="HLL1" s="224"/>
      <c r="HLM1" s="224"/>
      <c r="HLN1" s="224"/>
      <c r="HLO1" s="224"/>
      <c r="HLP1" s="224"/>
      <c r="HLQ1" s="224"/>
      <c r="HLR1" s="224"/>
      <c r="HLS1" s="224"/>
      <c r="HLT1" s="224"/>
      <c r="HLU1" s="224"/>
      <c r="HLV1" s="224"/>
      <c r="HLW1" s="224"/>
      <c r="HLX1" s="224"/>
      <c r="HLY1" s="224"/>
      <c r="HLZ1" s="224"/>
      <c r="HMA1" s="224"/>
      <c r="HMB1" s="224"/>
      <c r="HMC1" s="224"/>
      <c r="HMD1" s="224"/>
      <c r="HME1" s="224"/>
      <c r="HMF1" s="224"/>
      <c r="HMG1" s="224"/>
      <c r="HMH1" s="224"/>
      <c r="HMI1" s="224"/>
      <c r="HMJ1" s="224"/>
      <c r="HMK1" s="224"/>
      <c r="HML1" s="224"/>
      <c r="HMM1" s="224"/>
      <c r="HMN1" s="224"/>
      <c r="HMO1" s="224"/>
      <c r="HMP1" s="224"/>
      <c r="HMQ1" s="224"/>
      <c r="HMR1" s="224"/>
      <c r="HMS1" s="224"/>
      <c r="HMT1" s="224"/>
      <c r="HMU1" s="224"/>
      <c r="HMV1" s="224"/>
      <c r="HMW1" s="224"/>
      <c r="HMX1" s="224"/>
      <c r="HMY1" s="224"/>
      <c r="HMZ1" s="224"/>
      <c r="HNA1" s="224"/>
      <c r="HNB1" s="224"/>
      <c r="HNC1" s="224"/>
      <c r="HND1" s="224"/>
      <c r="HNE1" s="224"/>
      <c r="HNF1" s="224"/>
      <c r="HNG1" s="224"/>
      <c r="HNH1" s="224"/>
      <c r="HNI1" s="224"/>
      <c r="HNJ1" s="224"/>
      <c r="HNK1" s="224"/>
      <c r="HNL1" s="224"/>
      <c r="HNM1" s="224"/>
      <c r="HNN1" s="224"/>
      <c r="HNO1" s="224"/>
      <c r="HNP1" s="224"/>
      <c r="HNQ1" s="224"/>
      <c r="HNR1" s="224"/>
      <c r="HNS1" s="224"/>
      <c r="HNT1" s="224"/>
      <c r="HNU1" s="224"/>
      <c r="HNV1" s="224"/>
      <c r="HNW1" s="224"/>
      <c r="HNX1" s="224"/>
      <c r="HNY1" s="224"/>
      <c r="HNZ1" s="224"/>
      <c r="HOA1" s="224"/>
      <c r="HOB1" s="224"/>
      <c r="HOC1" s="224"/>
      <c r="HOD1" s="224"/>
      <c r="HOE1" s="224"/>
      <c r="HOF1" s="224"/>
      <c r="HOG1" s="224"/>
      <c r="HOH1" s="224"/>
      <c r="HOI1" s="224"/>
      <c r="HOJ1" s="224"/>
      <c r="HOK1" s="224"/>
      <c r="HOL1" s="224"/>
      <c r="HOM1" s="224"/>
      <c r="HON1" s="224"/>
      <c r="HOO1" s="224"/>
      <c r="HOP1" s="224"/>
      <c r="HOQ1" s="224"/>
      <c r="HOR1" s="224"/>
      <c r="HOS1" s="224"/>
      <c r="HOT1" s="224"/>
      <c r="HOU1" s="224"/>
      <c r="HOV1" s="224"/>
      <c r="HOW1" s="224"/>
      <c r="HOX1" s="224"/>
      <c r="HOY1" s="224"/>
      <c r="HOZ1" s="224"/>
      <c r="HPA1" s="224"/>
      <c r="HPB1" s="224"/>
      <c r="HPC1" s="224"/>
      <c r="HPD1" s="224"/>
      <c r="HPE1" s="224"/>
      <c r="HPF1" s="224"/>
      <c r="HPG1" s="224"/>
      <c r="HPH1" s="224"/>
      <c r="HPI1" s="224"/>
      <c r="HPJ1" s="224"/>
      <c r="HPK1" s="224"/>
      <c r="HPL1" s="224"/>
      <c r="HPM1" s="224"/>
      <c r="HPN1" s="224"/>
      <c r="HPO1" s="224"/>
      <c r="HPP1" s="224"/>
      <c r="HPQ1" s="224"/>
      <c r="HPR1" s="224"/>
      <c r="HPS1" s="224"/>
      <c r="HPT1" s="224"/>
      <c r="HPU1" s="224"/>
      <c r="HPV1" s="224"/>
      <c r="HPW1" s="224"/>
      <c r="HPX1" s="224"/>
      <c r="HPY1" s="224"/>
      <c r="HPZ1" s="224"/>
      <c r="HQA1" s="224"/>
      <c r="HQB1" s="224"/>
      <c r="HQC1" s="224"/>
      <c r="HQD1" s="224"/>
      <c r="HQE1" s="224"/>
      <c r="HQF1" s="224"/>
      <c r="HQG1" s="224"/>
      <c r="HQH1" s="224"/>
      <c r="HQI1" s="224"/>
      <c r="HQJ1" s="224"/>
      <c r="HQK1" s="224"/>
      <c r="HQL1" s="224"/>
      <c r="HQM1" s="224"/>
      <c r="HQN1" s="224"/>
      <c r="HQO1" s="224"/>
      <c r="HQP1" s="224"/>
      <c r="HQQ1" s="224"/>
      <c r="HQR1" s="224"/>
      <c r="HQS1" s="224"/>
      <c r="HQT1" s="224"/>
      <c r="HQU1" s="224"/>
      <c r="HQV1" s="224"/>
      <c r="HQW1" s="224"/>
      <c r="HQX1" s="224"/>
      <c r="HQY1" s="224"/>
      <c r="HQZ1" s="224"/>
      <c r="HRA1" s="224"/>
      <c r="HRB1" s="224"/>
      <c r="HRC1" s="224"/>
      <c r="HRD1" s="224"/>
      <c r="HRE1" s="224"/>
      <c r="HRF1" s="224"/>
      <c r="HRG1" s="224"/>
      <c r="HRH1" s="224"/>
      <c r="HRI1" s="224"/>
      <c r="HRJ1" s="224"/>
      <c r="HRK1" s="224"/>
      <c r="HRL1" s="224"/>
      <c r="HRM1" s="224"/>
      <c r="HRN1" s="224"/>
      <c r="HRO1" s="224"/>
      <c r="HRP1" s="224"/>
      <c r="HRQ1" s="224"/>
      <c r="HRR1" s="224"/>
      <c r="HRS1" s="224"/>
      <c r="HRT1" s="224"/>
      <c r="HRU1" s="224"/>
      <c r="HRV1" s="224"/>
      <c r="HRW1" s="224"/>
      <c r="HRX1" s="224"/>
      <c r="HRY1" s="224"/>
      <c r="HRZ1" s="224"/>
      <c r="HSA1" s="224"/>
      <c r="HSB1" s="224"/>
      <c r="HSC1" s="224"/>
      <c r="HSD1" s="224"/>
      <c r="HSE1" s="224"/>
      <c r="HSF1" s="224"/>
      <c r="HSG1" s="224"/>
      <c r="HSH1" s="224"/>
      <c r="HSI1" s="224"/>
      <c r="HSJ1" s="224"/>
      <c r="HSK1" s="224"/>
      <c r="HSL1" s="224"/>
      <c r="HSM1" s="224"/>
      <c r="HSN1" s="224"/>
      <c r="HSO1" s="224"/>
      <c r="HSP1" s="224"/>
      <c r="HSQ1" s="224"/>
      <c r="HSR1" s="224"/>
      <c r="HSS1" s="224"/>
      <c r="HST1" s="224"/>
      <c r="HSU1" s="224"/>
      <c r="HSV1" s="224"/>
      <c r="HSW1" s="224"/>
      <c r="HSX1" s="224"/>
      <c r="HSY1" s="224"/>
      <c r="HSZ1" s="224"/>
      <c r="HTA1" s="224"/>
      <c r="HTB1" s="224"/>
      <c r="HTC1" s="224"/>
      <c r="HTD1" s="224"/>
      <c r="HTE1" s="224"/>
      <c r="HTF1" s="224"/>
      <c r="HTG1" s="224"/>
      <c r="HTH1" s="224"/>
      <c r="HTI1" s="224"/>
      <c r="HTJ1" s="224"/>
      <c r="HTK1" s="224"/>
      <c r="HTL1" s="224"/>
      <c r="HTM1" s="224"/>
      <c r="HTN1" s="224"/>
      <c r="HTO1" s="224"/>
      <c r="HTP1" s="224"/>
      <c r="HTQ1" s="224"/>
      <c r="HTR1" s="224"/>
      <c r="HTS1" s="224"/>
      <c r="HTT1" s="224"/>
      <c r="HTU1" s="224"/>
      <c r="HTV1" s="224"/>
      <c r="HTW1" s="224"/>
      <c r="HTX1" s="224"/>
      <c r="HTY1" s="224"/>
      <c r="HTZ1" s="224"/>
      <c r="HUA1" s="224"/>
      <c r="HUB1" s="224"/>
      <c r="HUC1" s="224"/>
      <c r="HUD1" s="224"/>
      <c r="HUE1" s="224"/>
      <c r="HUF1" s="224"/>
      <c r="HUG1" s="224"/>
      <c r="HUH1" s="224"/>
      <c r="HUI1" s="224"/>
      <c r="HUJ1" s="224"/>
      <c r="HUK1" s="224"/>
      <c r="HUL1" s="224"/>
      <c r="HUM1" s="224"/>
      <c r="HUN1" s="224"/>
      <c r="HUO1" s="224"/>
      <c r="HUP1" s="224"/>
      <c r="HUQ1" s="224"/>
      <c r="HUR1" s="224"/>
      <c r="HUS1" s="224"/>
      <c r="HUT1" s="224"/>
      <c r="HUU1" s="224"/>
      <c r="HUV1" s="224"/>
      <c r="HUW1" s="224"/>
      <c r="HUX1" s="224"/>
      <c r="HUY1" s="224"/>
      <c r="HUZ1" s="224"/>
      <c r="HVA1" s="224"/>
      <c r="HVB1" s="224"/>
      <c r="HVC1" s="224"/>
      <c r="HVD1" s="224"/>
      <c r="HVE1" s="224"/>
      <c r="HVF1" s="224"/>
      <c r="HVG1" s="224"/>
      <c r="HVH1" s="224"/>
      <c r="HVI1" s="224"/>
      <c r="HVJ1" s="224"/>
      <c r="HVK1" s="224"/>
      <c r="HVL1" s="224"/>
      <c r="HVM1" s="224"/>
      <c r="HVN1" s="224"/>
      <c r="HVO1" s="224"/>
      <c r="HVP1" s="224"/>
      <c r="HVQ1" s="224"/>
      <c r="HVR1" s="224"/>
      <c r="HVS1" s="224"/>
      <c r="HVT1" s="224"/>
      <c r="HVU1" s="224"/>
      <c r="HVV1" s="224"/>
      <c r="HVW1" s="224"/>
      <c r="HVX1" s="224"/>
      <c r="HVY1" s="224"/>
      <c r="HVZ1" s="224"/>
      <c r="HWA1" s="224"/>
      <c r="HWB1" s="224"/>
      <c r="HWC1" s="224"/>
      <c r="HWD1" s="224"/>
      <c r="HWE1" s="224"/>
      <c r="HWF1" s="224"/>
      <c r="HWG1" s="224"/>
      <c r="HWH1" s="224"/>
      <c r="HWI1" s="224"/>
      <c r="HWJ1" s="224"/>
      <c r="HWK1" s="224"/>
      <c r="HWL1" s="224"/>
      <c r="HWM1" s="224"/>
      <c r="HWN1" s="224"/>
      <c r="HWO1" s="224"/>
      <c r="HWP1" s="224"/>
      <c r="HWQ1" s="224"/>
      <c r="HWR1" s="224"/>
      <c r="HWS1" s="224"/>
      <c r="HWT1" s="224"/>
      <c r="HWU1" s="224"/>
      <c r="HWV1" s="224"/>
      <c r="HWW1" s="224"/>
      <c r="HWX1" s="224"/>
      <c r="HWY1" s="224"/>
      <c r="HWZ1" s="224"/>
      <c r="HXA1" s="224"/>
      <c r="HXB1" s="224"/>
      <c r="HXC1" s="224"/>
      <c r="HXD1" s="224"/>
      <c r="HXE1" s="224"/>
      <c r="HXF1" s="224"/>
      <c r="HXG1" s="224"/>
      <c r="HXH1" s="224"/>
      <c r="HXI1" s="224"/>
      <c r="HXJ1" s="224"/>
      <c r="HXK1" s="224"/>
      <c r="HXL1" s="224"/>
      <c r="HXM1" s="224"/>
      <c r="HXN1" s="224"/>
      <c r="HXO1" s="224"/>
      <c r="HXP1" s="224"/>
      <c r="HXQ1" s="224"/>
      <c r="HXR1" s="224"/>
      <c r="HXS1" s="224"/>
      <c r="HXT1" s="224"/>
      <c r="HXU1" s="224"/>
      <c r="HXV1" s="224"/>
      <c r="HXW1" s="224"/>
      <c r="HXX1" s="224"/>
      <c r="HXY1" s="224"/>
      <c r="HXZ1" s="224"/>
      <c r="HYA1" s="224"/>
      <c r="HYB1" s="224"/>
      <c r="HYC1" s="224"/>
      <c r="HYD1" s="224"/>
      <c r="HYE1" s="224"/>
      <c r="HYF1" s="224"/>
      <c r="HYG1" s="224"/>
      <c r="HYH1" s="224"/>
      <c r="HYI1" s="224"/>
      <c r="HYJ1" s="224"/>
      <c r="HYK1" s="224"/>
      <c r="HYL1" s="224"/>
      <c r="HYM1" s="224"/>
      <c r="HYN1" s="224"/>
      <c r="HYO1" s="224"/>
      <c r="HYP1" s="224"/>
      <c r="HYQ1" s="224"/>
      <c r="HYR1" s="224"/>
      <c r="HYS1" s="224"/>
      <c r="HYT1" s="224"/>
      <c r="HYU1" s="224"/>
      <c r="HYV1" s="224"/>
      <c r="HYW1" s="224"/>
      <c r="HYX1" s="224"/>
      <c r="HYY1" s="224"/>
      <c r="HYZ1" s="224"/>
      <c r="HZA1" s="224"/>
      <c r="HZB1" s="224"/>
      <c r="HZC1" s="224"/>
      <c r="HZD1" s="224"/>
      <c r="HZE1" s="224"/>
      <c r="HZF1" s="224"/>
      <c r="HZG1" s="224"/>
      <c r="HZH1" s="224"/>
      <c r="HZI1" s="224"/>
      <c r="HZJ1" s="224"/>
      <c r="HZK1" s="224"/>
      <c r="HZL1" s="224"/>
      <c r="HZM1" s="224"/>
      <c r="HZN1" s="224"/>
      <c r="HZO1" s="224"/>
      <c r="HZP1" s="224"/>
      <c r="HZQ1" s="224"/>
      <c r="HZR1" s="224"/>
      <c r="HZS1" s="224"/>
      <c r="HZT1" s="224"/>
      <c r="HZU1" s="224"/>
      <c r="HZV1" s="224"/>
      <c r="HZW1" s="224"/>
      <c r="HZX1" s="224"/>
      <c r="HZY1" s="224"/>
      <c r="HZZ1" s="224"/>
      <c r="IAA1" s="224"/>
      <c r="IAB1" s="224"/>
      <c r="IAC1" s="224"/>
      <c r="IAD1" s="224"/>
      <c r="IAE1" s="224"/>
      <c r="IAF1" s="224"/>
      <c r="IAG1" s="224"/>
      <c r="IAH1" s="224"/>
      <c r="IAI1" s="224"/>
      <c r="IAJ1" s="224"/>
      <c r="IAK1" s="224"/>
      <c r="IAL1" s="224"/>
      <c r="IAM1" s="224"/>
      <c r="IAN1" s="224"/>
      <c r="IAO1" s="224"/>
      <c r="IAP1" s="224"/>
      <c r="IAQ1" s="224"/>
      <c r="IAR1" s="224"/>
      <c r="IAS1" s="224"/>
      <c r="IAT1" s="224"/>
      <c r="IAU1" s="224"/>
      <c r="IAV1" s="224"/>
      <c r="IAW1" s="224"/>
      <c r="IAX1" s="224"/>
      <c r="IAY1" s="224"/>
      <c r="IAZ1" s="224"/>
      <c r="IBA1" s="224"/>
      <c r="IBB1" s="224"/>
      <c r="IBC1" s="224"/>
      <c r="IBD1" s="224"/>
      <c r="IBE1" s="224"/>
      <c r="IBF1" s="224"/>
      <c r="IBG1" s="224"/>
      <c r="IBH1" s="224"/>
      <c r="IBI1" s="224"/>
      <c r="IBJ1" s="224"/>
      <c r="IBK1" s="224"/>
      <c r="IBL1" s="224"/>
      <c r="IBM1" s="224"/>
      <c r="IBN1" s="224"/>
      <c r="IBO1" s="224"/>
      <c r="IBP1" s="224"/>
      <c r="IBQ1" s="224"/>
      <c r="IBR1" s="224"/>
      <c r="IBS1" s="224"/>
      <c r="IBT1" s="224"/>
      <c r="IBU1" s="224"/>
      <c r="IBV1" s="224"/>
      <c r="IBW1" s="224"/>
      <c r="IBX1" s="224"/>
      <c r="IBY1" s="224"/>
      <c r="IBZ1" s="224"/>
      <c r="ICA1" s="224"/>
      <c r="ICB1" s="224"/>
      <c r="ICC1" s="224"/>
      <c r="ICD1" s="224"/>
      <c r="ICE1" s="224"/>
      <c r="ICF1" s="224"/>
      <c r="ICG1" s="224"/>
      <c r="ICH1" s="224"/>
      <c r="ICI1" s="224"/>
      <c r="ICJ1" s="224"/>
      <c r="ICK1" s="224"/>
      <c r="ICL1" s="224"/>
      <c r="ICM1" s="224"/>
      <c r="ICN1" s="224"/>
      <c r="ICO1" s="224"/>
      <c r="ICP1" s="224"/>
      <c r="ICQ1" s="224"/>
      <c r="ICR1" s="224"/>
      <c r="ICS1" s="224"/>
      <c r="ICT1" s="224"/>
      <c r="ICU1" s="224"/>
      <c r="ICV1" s="224"/>
      <c r="ICW1" s="224"/>
      <c r="ICX1" s="224"/>
      <c r="ICY1" s="224"/>
      <c r="ICZ1" s="224"/>
      <c r="IDA1" s="224"/>
      <c r="IDB1" s="224"/>
      <c r="IDC1" s="224"/>
      <c r="IDD1" s="224"/>
      <c r="IDE1" s="224"/>
      <c r="IDF1" s="224"/>
      <c r="IDG1" s="224"/>
      <c r="IDH1" s="224"/>
      <c r="IDI1" s="224"/>
      <c r="IDJ1" s="224"/>
      <c r="IDK1" s="224"/>
      <c r="IDL1" s="224"/>
      <c r="IDM1" s="224"/>
      <c r="IDN1" s="224"/>
      <c r="IDO1" s="224"/>
      <c r="IDP1" s="224"/>
      <c r="IDQ1" s="224"/>
      <c r="IDR1" s="224"/>
      <c r="IDS1" s="224"/>
      <c r="IDT1" s="224"/>
      <c r="IDU1" s="224"/>
      <c r="IDV1" s="224"/>
      <c r="IDW1" s="224"/>
      <c r="IDX1" s="224"/>
      <c r="IDY1" s="224"/>
      <c r="IDZ1" s="224"/>
      <c r="IEA1" s="224"/>
      <c r="IEB1" s="224"/>
      <c r="IEC1" s="224"/>
      <c r="IED1" s="224"/>
      <c r="IEE1" s="224"/>
      <c r="IEF1" s="224"/>
      <c r="IEG1" s="224"/>
      <c r="IEH1" s="224"/>
      <c r="IEI1" s="224"/>
      <c r="IEJ1" s="224"/>
      <c r="IEK1" s="224"/>
      <c r="IEL1" s="224"/>
      <c r="IEM1" s="224"/>
      <c r="IEN1" s="224"/>
      <c r="IEO1" s="224"/>
      <c r="IEP1" s="224"/>
      <c r="IEQ1" s="224"/>
      <c r="IER1" s="224"/>
      <c r="IES1" s="224"/>
      <c r="IET1" s="224"/>
      <c r="IEU1" s="224"/>
      <c r="IEV1" s="224"/>
      <c r="IEW1" s="224"/>
      <c r="IEX1" s="224"/>
      <c r="IEY1" s="224"/>
      <c r="IEZ1" s="224"/>
      <c r="IFA1" s="224"/>
      <c r="IFB1" s="224"/>
      <c r="IFC1" s="224"/>
      <c r="IFD1" s="224"/>
      <c r="IFE1" s="224"/>
      <c r="IFF1" s="224"/>
      <c r="IFG1" s="224"/>
      <c r="IFH1" s="224"/>
      <c r="IFI1" s="224"/>
      <c r="IFJ1" s="224"/>
      <c r="IFK1" s="224"/>
      <c r="IFL1" s="224"/>
      <c r="IFM1" s="224"/>
      <c r="IFN1" s="224"/>
      <c r="IFO1" s="224"/>
      <c r="IFP1" s="224"/>
      <c r="IFQ1" s="224"/>
      <c r="IFR1" s="224"/>
      <c r="IFS1" s="224"/>
      <c r="IFT1" s="224"/>
      <c r="IFU1" s="224"/>
      <c r="IFV1" s="224"/>
      <c r="IFW1" s="224"/>
      <c r="IFX1" s="224"/>
      <c r="IFY1" s="224"/>
      <c r="IFZ1" s="224"/>
      <c r="IGA1" s="224"/>
      <c r="IGB1" s="224"/>
      <c r="IGC1" s="224"/>
      <c r="IGD1" s="224"/>
      <c r="IGE1" s="224"/>
      <c r="IGF1" s="224"/>
      <c r="IGG1" s="224"/>
      <c r="IGH1" s="224"/>
      <c r="IGI1" s="224"/>
      <c r="IGJ1" s="224"/>
      <c r="IGK1" s="224"/>
      <c r="IGL1" s="224"/>
      <c r="IGM1" s="224"/>
      <c r="IGN1" s="224"/>
      <c r="IGO1" s="224"/>
      <c r="IGP1" s="224"/>
      <c r="IGQ1" s="224"/>
      <c r="IGR1" s="224"/>
      <c r="IGS1" s="224"/>
      <c r="IGT1" s="224"/>
      <c r="IGU1" s="224"/>
      <c r="IGV1" s="224"/>
      <c r="IGW1" s="224"/>
      <c r="IGX1" s="224"/>
      <c r="IGY1" s="224"/>
      <c r="IGZ1" s="224"/>
      <c r="IHA1" s="224"/>
      <c r="IHB1" s="224"/>
      <c r="IHC1" s="224"/>
      <c r="IHD1" s="224"/>
      <c r="IHE1" s="224"/>
      <c r="IHF1" s="224"/>
      <c r="IHG1" s="224"/>
      <c r="IHH1" s="224"/>
      <c r="IHI1" s="224"/>
      <c r="IHJ1" s="224"/>
      <c r="IHK1" s="224"/>
      <c r="IHL1" s="224"/>
      <c r="IHM1" s="224"/>
      <c r="IHN1" s="224"/>
      <c r="IHO1" s="224"/>
      <c r="IHP1" s="224"/>
      <c r="IHQ1" s="224"/>
      <c r="IHR1" s="224"/>
      <c r="IHS1" s="224"/>
      <c r="IHT1" s="224"/>
      <c r="IHU1" s="224"/>
      <c r="IHV1" s="224"/>
      <c r="IHW1" s="224"/>
      <c r="IHX1" s="224"/>
      <c r="IHY1" s="224"/>
      <c r="IHZ1" s="224"/>
      <c r="IIA1" s="224"/>
      <c r="IIB1" s="224"/>
      <c r="IIC1" s="224"/>
      <c r="IID1" s="224"/>
      <c r="IIE1" s="224"/>
      <c r="IIF1" s="224"/>
      <c r="IIG1" s="224"/>
      <c r="IIH1" s="224"/>
      <c r="III1" s="224"/>
      <c r="IIJ1" s="224"/>
      <c r="IIK1" s="224"/>
      <c r="IIL1" s="224"/>
      <c r="IIM1" s="224"/>
      <c r="IIN1" s="224"/>
      <c r="IIO1" s="224"/>
      <c r="IIP1" s="224"/>
      <c r="IIQ1" s="224"/>
      <c r="IIR1" s="224"/>
      <c r="IIS1" s="224"/>
      <c r="IIT1" s="224"/>
      <c r="IIU1" s="224"/>
      <c r="IIV1" s="224"/>
      <c r="IIW1" s="224"/>
      <c r="IIX1" s="224"/>
      <c r="IIY1" s="224"/>
      <c r="IIZ1" s="224"/>
      <c r="IJA1" s="224"/>
      <c r="IJB1" s="224"/>
      <c r="IJC1" s="224"/>
      <c r="IJD1" s="224"/>
      <c r="IJE1" s="224"/>
      <c r="IJF1" s="224"/>
      <c r="IJG1" s="224"/>
      <c r="IJH1" s="224"/>
      <c r="IJI1" s="224"/>
      <c r="IJJ1" s="224"/>
      <c r="IJK1" s="224"/>
      <c r="IJL1" s="224"/>
      <c r="IJM1" s="224"/>
      <c r="IJN1" s="224"/>
      <c r="IJO1" s="224"/>
      <c r="IJP1" s="224"/>
      <c r="IJQ1" s="224"/>
      <c r="IJR1" s="224"/>
      <c r="IJS1" s="224"/>
      <c r="IJT1" s="224"/>
      <c r="IJU1" s="224"/>
      <c r="IJV1" s="224"/>
      <c r="IJW1" s="224"/>
      <c r="IJX1" s="224"/>
      <c r="IJY1" s="224"/>
      <c r="IJZ1" s="224"/>
      <c r="IKA1" s="224"/>
      <c r="IKB1" s="224"/>
      <c r="IKC1" s="224"/>
      <c r="IKD1" s="224"/>
      <c r="IKE1" s="224"/>
      <c r="IKF1" s="224"/>
      <c r="IKG1" s="224"/>
      <c r="IKH1" s="224"/>
      <c r="IKI1" s="224"/>
      <c r="IKJ1" s="224"/>
      <c r="IKK1" s="224"/>
      <c r="IKL1" s="224"/>
      <c r="IKM1" s="224"/>
      <c r="IKN1" s="224"/>
      <c r="IKO1" s="224"/>
      <c r="IKP1" s="224"/>
      <c r="IKQ1" s="224"/>
      <c r="IKR1" s="224"/>
      <c r="IKS1" s="224"/>
      <c r="IKT1" s="224"/>
      <c r="IKU1" s="224"/>
      <c r="IKV1" s="224"/>
      <c r="IKW1" s="224"/>
      <c r="IKX1" s="224"/>
      <c r="IKY1" s="224"/>
      <c r="IKZ1" s="224"/>
      <c r="ILA1" s="224"/>
      <c r="ILB1" s="224"/>
      <c r="ILC1" s="224"/>
      <c r="ILD1" s="224"/>
      <c r="ILE1" s="224"/>
      <c r="ILF1" s="224"/>
      <c r="ILG1" s="224"/>
      <c r="ILH1" s="224"/>
      <c r="ILI1" s="224"/>
      <c r="ILJ1" s="224"/>
      <c r="ILK1" s="224"/>
      <c r="ILL1" s="224"/>
      <c r="ILM1" s="224"/>
      <c r="ILN1" s="224"/>
      <c r="ILO1" s="224"/>
      <c r="ILP1" s="224"/>
      <c r="ILQ1" s="224"/>
      <c r="ILR1" s="224"/>
      <c r="ILS1" s="224"/>
      <c r="ILT1" s="224"/>
      <c r="ILU1" s="224"/>
      <c r="ILV1" s="224"/>
      <c r="ILW1" s="224"/>
      <c r="ILX1" s="224"/>
      <c r="ILY1" s="224"/>
      <c r="ILZ1" s="224"/>
      <c r="IMA1" s="224"/>
      <c r="IMB1" s="224"/>
      <c r="IMC1" s="224"/>
      <c r="IMD1" s="224"/>
      <c r="IME1" s="224"/>
      <c r="IMF1" s="224"/>
      <c r="IMG1" s="224"/>
      <c r="IMH1" s="224"/>
      <c r="IMI1" s="224"/>
      <c r="IMJ1" s="224"/>
      <c r="IMK1" s="224"/>
      <c r="IML1" s="224"/>
      <c r="IMM1" s="224"/>
      <c r="IMN1" s="224"/>
      <c r="IMO1" s="224"/>
      <c r="IMP1" s="224"/>
      <c r="IMQ1" s="224"/>
      <c r="IMR1" s="224"/>
      <c r="IMS1" s="224"/>
      <c r="IMT1" s="224"/>
      <c r="IMU1" s="224"/>
      <c r="IMV1" s="224"/>
      <c r="IMW1" s="224"/>
      <c r="IMX1" s="224"/>
      <c r="IMY1" s="224"/>
      <c r="IMZ1" s="224"/>
      <c r="INA1" s="224"/>
      <c r="INB1" s="224"/>
      <c r="INC1" s="224"/>
      <c r="IND1" s="224"/>
      <c r="INE1" s="224"/>
      <c r="INF1" s="224"/>
      <c r="ING1" s="224"/>
      <c r="INH1" s="224"/>
      <c r="INI1" s="224"/>
      <c r="INJ1" s="224"/>
      <c r="INK1" s="224"/>
      <c r="INL1" s="224"/>
      <c r="INM1" s="224"/>
      <c r="INN1" s="224"/>
      <c r="INO1" s="224"/>
      <c r="INP1" s="224"/>
      <c r="INQ1" s="224"/>
      <c r="INR1" s="224"/>
      <c r="INS1" s="224"/>
      <c r="INT1" s="224"/>
      <c r="INU1" s="224"/>
      <c r="INV1" s="224"/>
      <c r="INW1" s="224"/>
      <c r="INX1" s="224"/>
      <c r="INY1" s="224"/>
      <c r="INZ1" s="224"/>
      <c r="IOA1" s="224"/>
      <c r="IOB1" s="224"/>
      <c r="IOC1" s="224"/>
      <c r="IOD1" s="224"/>
      <c r="IOE1" s="224"/>
      <c r="IOF1" s="224"/>
      <c r="IOG1" s="224"/>
      <c r="IOH1" s="224"/>
      <c r="IOI1" s="224"/>
      <c r="IOJ1" s="224"/>
      <c r="IOK1" s="224"/>
      <c r="IOL1" s="224"/>
      <c r="IOM1" s="224"/>
      <c r="ION1" s="224"/>
      <c r="IOO1" s="224"/>
      <c r="IOP1" s="224"/>
      <c r="IOQ1" s="224"/>
      <c r="IOR1" s="224"/>
      <c r="IOS1" s="224"/>
      <c r="IOT1" s="224"/>
      <c r="IOU1" s="224"/>
      <c r="IOV1" s="224"/>
      <c r="IOW1" s="224"/>
      <c r="IOX1" s="224"/>
      <c r="IOY1" s="224"/>
      <c r="IOZ1" s="224"/>
      <c r="IPA1" s="224"/>
      <c r="IPB1" s="224"/>
      <c r="IPC1" s="224"/>
      <c r="IPD1" s="224"/>
      <c r="IPE1" s="224"/>
      <c r="IPF1" s="224"/>
      <c r="IPG1" s="224"/>
      <c r="IPH1" s="224"/>
      <c r="IPI1" s="224"/>
      <c r="IPJ1" s="224"/>
      <c r="IPK1" s="224"/>
      <c r="IPL1" s="224"/>
      <c r="IPM1" s="224"/>
      <c r="IPN1" s="224"/>
      <c r="IPO1" s="224"/>
      <c r="IPP1" s="224"/>
      <c r="IPQ1" s="224"/>
      <c r="IPR1" s="224"/>
      <c r="IPS1" s="224"/>
      <c r="IPT1" s="224"/>
      <c r="IPU1" s="224"/>
      <c r="IPV1" s="224"/>
      <c r="IPW1" s="224"/>
      <c r="IPX1" s="224"/>
      <c r="IPY1" s="224"/>
      <c r="IPZ1" s="224"/>
      <c r="IQA1" s="224"/>
      <c r="IQB1" s="224"/>
      <c r="IQC1" s="224"/>
      <c r="IQD1" s="224"/>
      <c r="IQE1" s="224"/>
      <c r="IQF1" s="224"/>
      <c r="IQG1" s="224"/>
      <c r="IQH1" s="224"/>
      <c r="IQI1" s="224"/>
      <c r="IQJ1" s="224"/>
      <c r="IQK1" s="224"/>
      <c r="IQL1" s="224"/>
      <c r="IQM1" s="224"/>
      <c r="IQN1" s="224"/>
      <c r="IQO1" s="224"/>
      <c r="IQP1" s="224"/>
      <c r="IQQ1" s="224"/>
      <c r="IQR1" s="224"/>
      <c r="IQS1" s="224"/>
      <c r="IQT1" s="224"/>
      <c r="IQU1" s="224"/>
      <c r="IQV1" s="224"/>
      <c r="IQW1" s="224"/>
      <c r="IQX1" s="224"/>
      <c r="IQY1" s="224"/>
      <c r="IQZ1" s="224"/>
      <c r="IRA1" s="224"/>
      <c r="IRB1" s="224"/>
      <c r="IRC1" s="224"/>
      <c r="IRD1" s="224"/>
      <c r="IRE1" s="224"/>
      <c r="IRF1" s="224"/>
      <c r="IRG1" s="224"/>
      <c r="IRH1" s="224"/>
      <c r="IRI1" s="224"/>
      <c r="IRJ1" s="224"/>
      <c r="IRK1" s="224"/>
      <c r="IRL1" s="224"/>
      <c r="IRM1" s="224"/>
      <c r="IRN1" s="224"/>
      <c r="IRO1" s="224"/>
      <c r="IRP1" s="224"/>
      <c r="IRQ1" s="224"/>
      <c r="IRR1" s="224"/>
      <c r="IRS1" s="224"/>
      <c r="IRT1" s="224"/>
      <c r="IRU1" s="224"/>
      <c r="IRV1" s="224"/>
      <c r="IRW1" s="224"/>
      <c r="IRX1" s="224"/>
      <c r="IRY1" s="224"/>
      <c r="IRZ1" s="224"/>
      <c r="ISA1" s="224"/>
      <c r="ISB1" s="224"/>
      <c r="ISC1" s="224"/>
      <c r="ISD1" s="224"/>
      <c r="ISE1" s="224"/>
      <c r="ISF1" s="224"/>
      <c r="ISG1" s="224"/>
      <c r="ISH1" s="224"/>
      <c r="ISI1" s="224"/>
      <c r="ISJ1" s="224"/>
      <c r="ISK1" s="224"/>
      <c r="ISL1" s="224"/>
      <c r="ISM1" s="224"/>
      <c r="ISN1" s="224"/>
      <c r="ISO1" s="224"/>
      <c r="ISP1" s="224"/>
      <c r="ISQ1" s="224"/>
      <c r="ISR1" s="224"/>
      <c r="ISS1" s="224"/>
      <c r="IST1" s="224"/>
      <c r="ISU1" s="224"/>
      <c r="ISV1" s="224"/>
      <c r="ISW1" s="224"/>
      <c r="ISX1" s="224"/>
      <c r="ISY1" s="224"/>
      <c r="ISZ1" s="224"/>
      <c r="ITA1" s="224"/>
      <c r="ITB1" s="224"/>
      <c r="ITC1" s="224"/>
      <c r="ITD1" s="224"/>
      <c r="ITE1" s="224"/>
      <c r="ITF1" s="224"/>
      <c r="ITG1" s="224"/>
      <c r="ITH1" s="224"/>
      <c r="ITI1" s="224"/>
      <c r="ITJ1" s="224"/>
      <c r="ITK1" s="224"/>
      <c r="ITL1" s="224"/>
      <c r="ITM1" s="224"/>
      <c r="ITN1" s="224"/>
      <c r="ITO1" s="224"/>
      <c r="ITP1" s="224"/>
      <c r="ITQ1" s="224"/>
      <c r="ITR1" s="224"/>
      <c r="ITS1" s="224"/>
      <c r="ITT1" s="224"/>
      <c r="ITU1" s="224"/>
      <c r="ITV1" s="224"/>
      <c r="ITW1" s="224"/>
      <c r="ITX1" s="224"/>
      <c r="ITY1" s="224"/>
      <c r="ITZ1" s="224"/>
      <c r="IUA1" s="224"/>
      <c r="IUB1" s="224"/>
      <c r="IUC1" s="224"/>
      <c r="IUD1" s="224"/>
      <c r="IUE1" s="224"/>
      <c r="IUF1" s="224"/>
      <c r="IUG1" s="224"/>
      <c r="IUH1" s="224"/>
      <c r="IUI1" s="224"/>
      <c r="IUJ1" s="224"/>
      <c r="IUK1" s="224"/>
      <c r="IUL1" s="224"/>
      <c r="IUM1" s="224"/>
      <c r="IUN1" s="224"/>
      <c r="IUO1" s="224"/>
      <c r="IUP1" s="224"/>
      <c r="IUQ1" s="224"/>
      <c r="IUR1" s="224"/>
      <c r="IUS1" s="224"/>
      <c r="IUT1" s="224"/>
      <c r="IUU1" s="224"/>
      <c r="IUV1" s="224"/>
      <c r="IUW1" s="224"/>
      <c r="IUX1" s="224"/>
      <c r="IUY1" s="224"/>
      <c r="IUZ1" s="224"/>
      <c r="IVA1" s="224"/>
      <c r="IVB1" s="224"/>
      <c r="IVC1" s="224"/>
      <c r="IVD1" s="224"/>
      <c r="IVE1" s="224"/>
      <c r="IVF1" s="224"/>
      <c r="IVG1" s="224"/>
      <c r="IVH1" s="224"/>
      <c r="IVI1" s="224"/>
      <c r="IVJ1" s="224"/>
      <c r="IVK1" s="224"/>
      <c r="IVL1" s="224"/>
      <c r="IVM1" s="224"/>
      <c r="IVN1" s="224"/>
      <c r="IVO1" s="224"/>
      <c r="IVP1" s="224"/>
      <c r="IVQ1" s="224"/>
      <c r="IVR1" s="224"/>
      <c r="IVS1" s="224"/>
      <c r="IVT1" s="224"/>
      <c r="IVU1" s="224"/>
      <c r="IVV1" s="224"/>
      <c r="IVW1" s="224"/>
      <c r="IVX1" s="224"/>
      <c r="IVY1" s="224"/>
      <c r="IVZ1" s="224"/>
      <c r="IWA1" s="224"/>
      <c r="IWB1" s="224"/>
      <c r="IWC1" s="224"/>
      <c r="IWD1" s="224"/>
      <c r="IWE1" s="224"/>
      <c r="IWF1" s="224"/>
      <c r="IWG1" s="224"/>
      <c r="IWH1" s="224"/>
      <c r="IWI1" s="224"/>
      <c r="IWJ1" s="224"/>
      <c r="IWK1" s="224"/>
      <c r="IWL1" s="224"/>
      <c r="IWM1" s="224"/>
      <c r="IWN1" s="224"/>
      <c r="IWO1" s="224"/>
      <c r="IWP1" s="224"/>
      <c r="IWQ1" s="224"/>
      <c r="IWR1" s="224"/>
      <c r="IWS1" s="224"/>
      <c r="IWT1" s="224"/>
      <c r="IWU1" s="224"/>
      <c r="IWV1" s="224"/>
      <c r="IWW1" s="224"/>
      <c r="IWX1" s="224"/>
      <c r="IWY1" s="224"/>
      <c r="IWZ1" s="224"/>
      <c r="IXA1" s="224"/>
      <c r="IXB1" s="224"/>
      <c r="IXC1" s="224"/>
      <c r="IXD1" s="224"/>
      <c r="IXE1" s="224"/>
      <c r="IXF1" s="224"/>
      <c r="IXG1" s="224"/>
      <c r="IXH1" s="224"/>
      <c r="IXI1" s="224"/>
      <c r="IXJ1" s="224"/>
      <c r="IXK1" s="224"/>
      <c r="IXL1" s="224"/>
      <c r="IXM1" s="224"/>
      <c r="IXN1" s="224"/>
      <c r="IXO1" s="224"/>
      <c r="IXP1" s="224"/>
      <c r="IXQ1" s="224"/>
      <c r="IXR1" s="224"/>
      <c r="IXS1" s="224"/>
      <c r="IXT1" s="224"/>
      <c r="IXU1" s="224"/>
      <c r="IXV1" s="224"/>
      <c r="IXW1" s="224"/>
      <c r="IXX1" s="224"/>
      <c r="IXY1" s="224"/>
      <c r="IXZ1" s="224"/>
      <c r="IYA1" s="224"/>
      <c r="IYB1" s="224"/>
      <c r="IYC1" s="224"/>
      <c r="IYD1" s="224"/>
      <c r="IYE1" s="224"/>
      <c r="IYF1" s="224"/>
      <c r="IYG1" s="224"/>
      <c r="IYH1" s="224"/>
      <c r="IYI1" s="224"/>
      <c r="IYJ1" s="224"/>
      <c r="IYK1" s="224"/>
      <c r="IYL1" s="224"/>
      <c r="IYM1" s="224"/>
      <c r="IYN1" s="224"/>
      <c r="IYO1" s="224"/>
      <c r="IYP1" s="224"/>
      <c r="IYQ1" s="224"/>
      <c r="IYR1" s="224"/>
      <c r="IYS1" s="224"/>
      <c r="IYT1" s="224"/>
      <c r="IYU1" s="224"/>
      <c r="IYV1" s="224"/>
      <c r="IYW1" s="224"/>
      <c r="IYX1" s="224"/>
      <c r="IYY1" s="224"/>
      <c r="IYZ1" s="224"/>
      <c r="IZA1" s="224"/>
      <c r="IZB1" s="224"/>
      <c r="IZC1" s="224"/>
      <c r="IZD1" s="224"/>
      <c r="IZE1" s="224"/>
      <c r="IZF1" s="224"/>
      <c r="IZG1" s="224"/>
      <c r="IZH1" s="224"/>
      <c r="IZI1" s="224"/>
      <c r="IZJ1" s="224"/>
      <c r="IZK1" s="224"/>
      <c r="IZL1" s="224"/>
      <c r="IZM1" s="224"/>
      <c r="IZN1" s="224"/>
      <c r="IZO1" s="224"/>
      <c r="IZP1" s="224"/>
      <c r="IZQ1" s="224"/>
      <c r="IZR1" s="224"/>
      <c r="IZS1" s="224"/>
      <c r="IZT1" s="224"/>
      <c r="IZU1" s="224"/>
      <c r="IZV1" s="224"/>
      <c r="IZW1" s="224"/>
      <c r="IZX1" s="224"/>
      <c r="IZY1" s="224"/>
      <c r="IZZ1" s="224"/>
      <c r="JAA1" s="224"/>
      <c r="JAB1" s="224"/>
      <c r="JAC1" s="224"/>
      <c r="JAD1" s="224"/>
      <c r="JAE1" s="224"/>
      <c r="JAF1" s="224"/>
      <c r="JAG1" s="224"/>
      <c r="JAH1" s="224"/>
      <c r="JAI1" s="224"/>
      <c r="JAJ1" s="224"/>
      <c r="JAK1" s="224"/>
      <c r="JAL1" s="224"/>
      <c r="JAM1" s="224"/>
      <c r="JAN1" s="224"/>
      <c r="JAO1" s="224"/>
      <c r="JAP1" s="224"/>
      <c r="JAQ1" s="224"/>
      <c r="JAR1" s="224"/>
      <c r="JAS1" s="224"/>
      <c r="JAT1" s="224"/>
      <c r="JAU1" s="224"/>
      <c r="JAV1" s="224"/>
      <c r="JAW1" s="224"/>
      <c r="JAX1" s="224"/>
      <c r="JAY1" s="224"/>
      <c r="JAZ1" s="224"/>
      <c r="JBA1" s="224"/>
      <c r="JBB1" s="224"/>
      <c r="JBC1" s="224"/>
      <c r="JBD1" s="224"/>
      <c r="JBE1" s="224"/>
      <c r="JBF1" s="224"/>
      <c r="JBG1" s="224"/>
      <c r="JBH1" s="224"/>
      <c r="JBI1" s="224"/>
      <c r="JBJ1" s="224"/>
      <c r="JBK1" s="224"/>
      <c r="JBL1" s="224"/>
      <c r="JBM1" s="224"/>
      <c r="JBN1" s="224"/>
      <c r="JBO1" s="224"/>
      <c r="JBP1" s="224"/>
      <c r="JBQ1" s="224"/>
      <c r="JBR1" s="224"/>
      <c r="JBS1" s="224"/>
      <c r="JBT1" s="224"/>
      <c r="JBU1" s="224"/>
      <c r="JBV1" s="224"/>
      <c r="JBW1" s="224"/>
      <c r="JBX1" s="224"/>
      <c r="JBY1" s="224"/>
      <c r="JBZ1" s="224"/>
      <c r="JCA1" s="224"/>
      <c r="JCB1" s="224"/>
      <c r="JCC1" s="224"/>
      <c r="JCD1" s="224"/>
      <c r="JCE1" s="224"/>
      <c r="JCF1" s="224"/>
      <c r="JCG1" s="224"/>
      <c r="JCH1" s="224"/>
      <c r="JCI1" s="224"/>
      <c r="JCJ1" s="224"/>
      <c r="JCK1" s="224"/>
      <c r="JCL1" s="224"/>
      <c r="JCM1" s="224"/>
      <c r="JCN1" s="224"/>
      <c r="JCO1" s="224"/>
      <c r="JCP1" s="224"/>
      <c r="JCQ1" s="224"/>
      <c r="JCR1" s="224"/>
      <c r="JCS1" s="224"/>
      <c r="JCT1" s="224"/>
      <c r="JCU1" s="224"/>
      <c r="JCV1" s="224"/>
      <c r="JCW1" s="224"/>
      <c r="JCX1" s="224"/>
      <c r="JCY1" s="224"/>
      <c r="JCZ1" s="224"/>
      <c r="JDA1" s="224"/>
      <c r="JDB1" s="224"/>
      <c r="JDC1" s="224"/>
      <c r="JDD1" s="224"/>
      <c r="JDE1" s="224"/>
      <c r="JDF1" s="224"/>
      <c r="JDG1" s="224"/>
      <c r="JDH1" s="224"/>
      <c r="JDI1" s="224"/>
      <c r="JDJ1" s="224"/>
      <c r="JDK1" s="224"/>
      <c r="JDL1" s="224"/>
      <c r="JDM1" s="224"/>
      <c r="JDN1" s="224"/>
      <c r="JDO1" s="224"/>
      <c r="JDP1" s="224"/>
      <c r="JDQ1" s="224"/>
      <c r="JDR1" s="224"/>
      <c r="JDS1" s="224"/>
      <c r="JDT1" s="224"/>
      <c r="JDU1" s="224"/>
      <c r="JDV1" s="224"/>
      <c r="JDW1" s="224"/>
      <c r="JDX1" s="224"/>
      <c r="JDY1" s="224"/>
      <c r="JDZ1" s="224"/>
      <c r="JEA1" s="224"/>
      <c r="JEB1" s="224"/>
      <c r="JEC1" s="224"/>
      <c r="JED1" s="224"/>
      <c r="JEE1" s="224"/>
      <c r="JEF1" s="224"/>
      <c r="JEG1" s="224"/>
      <c r="JEH1" s="224"/>
      <c r="JEI1" s="224"/>
      <c r="JEJ1" s="224"/>
      <c r="JEK1" s="224"/>
      <c r="JEL1" s="224"/>
      <c r="JEM1" s="224"/>
      <c r="JEN1" s="224"/>
      <c r="JEO1" s="224"/>
      <c r="JEP1" s="224"/>
      <c r="JEQ1" s="224"/>
      <c r="JER1" s="224"/>
      <c r="JES1" s="224"/>
      <c r="JET1" s="224"/>
      <c r="JEU1" s="224"/>
      <c r="JEV1" s="224"/>
      <c r="JEW1" s="224"/>
      <c r="JEX1" s="224"/>
      <c r="JEY1" s="224"/>
      <c r="JEZ1" s="224"/>
      <c r="JFA1" s="224"/>
      <c r="JFB1" s="224"/>
      <c r="JFC1" s="224"/>
      <c r="JFD1" s="224"/>
      <c r="JFE1" s="224"/>
      <c r="JFF1" s="224"/>
      <c r="JFG1" s="224"/>
      <c r="JFH1" s="224"/>
      <c r="JFI1" s="224"/>
      <c r="JFJ1" s="224"/>
      <c r="JFK1" s="224"/>
      <c r="JFL1" s="224"/>
      <c r="JFM1" s="224"/>
      <c r="JFN1" s="224"/>
      <c r="JFO1" s="224"/>
      <c r="JFP1" s="224"/>
      <c r="JFQ1" s="224"/>
      <c r="JFR1" s="224"/>
      <c r="JFS1" s="224"/>
      <c r="JFT1" s="224"/>
      <c r="JFU1" s="224"/>
      <c r="JFV1" s="224"/>
      <c r="JFW1" s="224"/>
      <c r="JFX1" s="224"/>
      <c r="JFY1" s="224"/>
      <c r="JFZ1" s="224"/>
      <c r="JGA1" s="224"/>
      <c r="JGB1" s="224"/>
      <c r="JGC1" s="224"/>
      <c r="JGD1" s="224"/>
      <c r="JGE1" s="224"/>
      <c r="JGF1" s="224"/>
      <c r="JGG1" s="224"/>
      <c r="JGH1" s="224"/>
      <c r="JGI1" s="224"/>
      <c r="JGJ1" s="224"/>
      <c r="JGK1" s="224"/>
      <c r="JGL1" s="224"/>
      <c r="JGM1" s="224"/>
      <c r="JGN1" s="224"/>
      <c r="JGO1" s="224"/>
      <c r="JGP1" s="224"/>
      <c r="JGQ1" s="224"/>
      <c r="JGR1" s="224"/>
      <c r="JGS1" s="224"/>
      <c r="JGT1" s="224"/>
      <c r="JGU1" s="224"/>
      <c r="JGV1" s="224"/>
      <c r="JGW1" s="224"/>
      <c r="JGX1" s="224"/>
      <c r="JGY1" s="224"/>
      <c r="JGZ1" s="224"/>
      <c r="JHA1" s="224"/>
      <c r="JHB1" s="224"/>
      <c r="JHC1" s="224"/>
      <c r="JHD1" s="224"/>
      <c r="JHE1" s="224"/>
      <c r="JHF1" s="224"/>
      <c r="JHG1" s="224"/>
      <c r="JHH1" s="224"/>
      <c r="JHI1" s="224"/>
      <c r="JHJ1" s="224"/>
      <c r="JHK1" s="224"/>
      <c r="JHL1" s="224"/>
      <c r="JHM1" s="224"/>
      <c r="JHN1" s="224"/>
      <c r="JHO1" s="224"/>
      <c r="JHP1" s="224"/>
      <c r="JHQ1" s="224"/>
      <c r="JHR1" s="224"/>
      <c r="JHS1" s="224"/>
      <c r="JHT1" s="224"/>
      <c r="JHU1" s="224"/>
      <c r="JHV1" s="224"/>
      <c r="JHW1" s="224"/>
      <c r="JHX1" s="224"/>
      <c r="JHY1" s="224"/>
      <c r="JHZ1" s="224"/>
      <c r="JIA1" s="224"/>
      <c r="JIB1" s="224"/>
      <c r="JIC1" s="224"/>
      <c r="JID1" s="224"/>
      <c r="JIE1" s="224"/>
      <c r="JIF1" s="224"/>
      <c r="JIG1" s="224"/>
      <c r="JIH1" s="224"/>
      <c r="JII1" s="224"/>
      <c r="JIJ1" s="224"/>
      <c r="JIK1" s="224"/>
      <c r="JIL1" s="224"/>
      <c r="JIM1" s="224"/>
      <c r="JIN1" s="224"/>
      <c r="JIO1" s="224"/>
      <c r="JIP1" s="224"/>
      <c r="JIQ1" s="224"/>
      <c r="JIR1" s="224"/>
      <c r="JIS1" s="224"/>
      <c r="JIT1" s="224"/>
      <c r="JIU1" s="224"/>
      <c r="JIV1" s="224"/>
      <c r="JIW1" s="224"/>
      <c r="JIX1" s="224"/>
      <c r="JIY1" s="224"/>
      <c r="JIZ1" s="224"/>
      <c r="JJA1" s="224"/>
      <c r="JJB1" s="224"/>
      <c r="JJC1" s="224"/>
      <c r="JJD1" s="224"/>
      <c r="JJE1" s="224"/>
      <c r="JJF1" s="224"/>
      <c r="JJG1" s="224"/>
      <c r="JJH1" s="224"/>
      <c r="JJI1" s="224"/>
      <c r="JJJ1" s="224"/>
      <c r="JJK1" s="224"/>
      <c r="JJL1" s="224"/>
      <c r="JJM1" s="224"/>
      <c r="JJN1" s="224"/>
      <c r="JJO1" s="224"/>
      <c r="JJP1" s="224"/>
      <c r="JJQ1" s="224"/>
      <c r="JJR1" s="224"/>
      <c r="JJS1" s="224"/>
      <c r="JJT1" s="224"/>
      <c r="JJU1" s="224"/>
      <c r="JJV1" s="224"/>
      <c r="JJW1" s="224"/>
      <c r="JJX1" s="224"/>
      <c r="JJY1" s="224"/>
      <c r="JJZ1" s="224"/>
      <c r="JKA1" s="224"/>
      <c r="JKB1" s="224"/>
      <c r="JKC1" s="224"/>
      <c r="JKD1" s="224"/>
      <c r="JKE1" s="224"/>
      <c r="JKF1" s="224"/>
      <c r="JKG1" s="224"/>
      <c r="JKH1" s="224"/>
      <c r="JKI1" s="224"/>
      <c r="JKJ1" s="224"/>
      <c r="JKK1" s="224"/>
      <c r="JKL1" s="224"/>
      <c r="JKM1" s="224"/>
      <c r="JKN1" s="224"/>
      <c r="JKO1" s="224"/>
      <c r="JKP1" s="224"/>
      <c r="JKQ1" s="224"/>
      <c r="JKR1" s="224"/>
      <c r="JKS1" s="224"/>
      <c r="JKT1" s="224"/>
      <c r="JKU1" s="224"/>
      <c r="JKV1" s="224"/>
      <c r="JKW1" s="224"/>
      <c r="JKX1" s="224"/>
      <c r="JKY1" s="224"/>
      <c r="JKZ1" s="224"/>
      <c r="JLA1" s="224"/>
      <c r="JLB1" s="224"/>
      <c r="JLC1" s="224"/>
      <c r="JLD1" s="224"/>
      <c r="JLE1" s="224"/>
      <c r="JLF1" s="224"/>
      <c r="JLG1" s="224"/>
      <c r="JLH1" s="224"/>
      <c r="JLI1" s="224"/>
      <c r="JLJ1" s="224"/>
      <c r="JLK1" s="224"/>
      <c r="JLL1" s="224"/>
      <c r="JLM1" s="224"/>
      <c r="JLN1" s="224"/>
      <c r="JLO1" s="224"/>
      <c r="JLP1" s="224"/>
      <c r="JLQ1" s="224"/>
      <c r="JLR1" s="224"/>
      <c r="JLS1" s="224"/>
      <c r="JLT1" s="224"/>
      <c r="JLU1" s="224"/>
      <c r="JLV1" s="224"/>
      <c r="JLW1" s="224"/>
      <c r="JLX1" s="224"/>
      <c r="JLY1" s="224"/>
      <c r="JLZ1" s="224"/>
      <c r="JMA1" s="224"/>
      <c r="JMB1" s="224"/>
      <c r="JMC1" s="224"/>
      <c r="JMD1" s="224"/>
      <c r="JME1" s="224"/>
      <c r="JMF1" s="224"/>
      <c r="JMG1" s="224"/>
      <c r="JMH1" s="224"/>
      <c r="JMI1" s="224"/>
      <c r="JMJ1" s="224"/>
      <c r="JMK1" s="224"/>
      <c r="JML1" s="224"/>
      <c r="JMM1" s="224"/>
      <c r="JMN1" s="224"/>
      <c r="JMO1" s="224"/>
      <c r="JMP1" s="224"/>
      <c r="JMQ1" s="224"/>
      <c r="JMR1" s="224"/>
      <c r="JMS1" s="224"/>
      <c r="JMT1" s="224"/>
      <c r="JMU1" s="224"/>
      <c r="JMV1" s="224"/>
      <c r="JMW1" s="224"/>
      <c r="JMX1" s="224"/>
      <c r="JMY1" s="224"/>
      <c r="JMZ1" s="224"/>
      <c r="JNA1" s="224"/>
      <c r="JNB1" s="224"/>
      <c r="JNC1" s="224"/>
      <c r="JND1" s="224"/>
      <c r="JNE1" s="224"/>
      <c r="JNF1" s="224"/>
      <c r="JNG1" s="224"/>
      <c r="JNH1" s="224"/>
      <c r="JNI1" s="224"/>
      <c r="JNJ1" s="224"/>
      <c r="JNK1" s="224"/>
      <c r="JNL1" s="224"/>
      <c r="JNM1" s="224"/>
      <c r="JNN1" s="224"/>
      <c r="JNO1" s="224"/>
      <c r="JNP1" s="224"/>
      <c r="JNQ1" s="224"/>
      <c r="JNR1" s="224"/>
      <c r="JNS1" s="224"/>
      <c r="JNT1" s="224"/>
      <c r="JNU1" s="224"/>
      <c r="JNV1" s="224"/>
      <c r="JNW1" s="224"/>
      <c r="JNX1" s="224"/>
      <c r="JNY1" s="224"/>
      <c r="JNZ1" s="224"/>
      <c r="JOA1" s="224"/>
      <c r="JOB1" s="224"/>
      <c r="JOC1" s="224"/>
      <c r="JOD1" s="224"/>
      <c r="JOE1" s="224"/>
      <c r="JOF1" s="224"/>
      <c r="JOG1" s="224"/>
      <c r="JOH1" s="224"/>
      <c r="JOI1" s="224"/>
      <c r="JOJ1" s="224"/>
      <c r="JOK1" s="224"/>
      <c r="JOL1" s="224"/>
      <c r="JOM1" s="224"/>
      <c r="JON1" s="224"/>
      <c r="JOO1" s="224"/>
      <c r="JOP1" s="224"/>
      <c r="JOQ1" s="224"/>
      <c r="JOR1" s="224"/>
      <c r="JOS1" s="224"/>
      <c r="JOT1" s="224"/>
      <c r="JOU1" s="224"/>
      <c r="JOV1" s="224"/>
      <c r="JOW1" s="224"/>
      <c r="JOX1" s="224"/>
      <c r="JOY1" s="224"/>
      <c r="JOZ1" s="224"/>
      <c r="JPA1" s="224"/>
      <c r="JPB1" s="224"/>
      <c r="JPC1" s="224"/>
      <c r="JPD1" s="224"/>
      <c r="JPE1" s="224"/>
      <c r="JPF1" s="224"/>
      <c r="JPG1" s="224"/>
      <c r="JPH1" s="224"/>
      <c r="JPI1" s="224"/>
      <c r="JPJ1" s="224"/>
      <c r="JPK1" s="224"/>
      <c r="JPL1" s="224"/>
      <c r="JPM1" s="224"/>
      <c r="JPN1" s="224"/>
      <c r="JPO1" s="224"/>
      <c r="JPP1" s="224"/>
      <c r="JPQ1" s="224"/>
      <c r="JPR1" s="224"/>
      <c r="JPS1" s="224"/>
      <c r="JPT1" s="224"/>
      <c r="JPU1" s="224"/>
      <c r="JPV1" s="224"/>
      <c r="JPW1" s="224"/>
      <c r="JPX1" s="224"/>
      <c r="JPY1" s="224"/>
      <c r="JPZ1" s="224"/>
      <c r="JQA1" s="224"/>
      <c r="JQB1" s="224"/>
      <c r="JQC1" s="224"/>
      <c r="JQD1" s="224"/>
      <c r="JQE1" s="224"/>
      <c r="JQF1" s="224"/>
      <c r="JQG1" s="224"/>
      <c r="JQH1" s="224"/>
      <c r="JQI1" s="224"/>
      <c r="JQJ1" s="224"/>
      <c r="JQK1" s="224"/>
      <c r="JQL1" s="224"/>
      <c r="JQM1" s="224"/>
      <c r="JQN1" s="224"/>
      <c r="JQO1" s="224"/>
      <c r="JQP1" s="224"/>
      <c r="JQQ1" s="224"/>
      <c r="JQR1" s="224"/>
      <c r="JQS1" s="224"/>
      <c r="JQT1" s="224"/>
      <c r="JQU1" s="224"/>
      <c r="JQV1" s="224"/>
      <c r="JQW1" s="224"/>
      <c r="JQX1" s="224"/>
      <c r="JQY1" s="224"/>
      <c r="JQZ1" s="224"/>
      <c r="JRA1" s="224"/>
      <c r="JRB1" s="224"/>
      <c r="JRC1" s="224"/>
      <c r="JRD1" s="224"/>
      <c r="JRE1" s="224"/>
      <c r="JRF1" s="224"/>
      <c r="JRG1" s="224"/>
      <c r="JRH1" s="224"/>
      <c r="JRI1" s="224"/>
      <c r="JRJ1" s="224"/>
      <c r="JRK1" s="224"/>
      <c r="JRL1" s="224"/>
      <c r="JRM1" s="224"/>
      <c r="JRN1" s="224"/>
      <c r="JRO1" s="224"/>
      <c r="JRP1" s="224"/>
      <c r="JRQ1" s="224"/>
      <c r="JRR1" s="224"/>
      <c r="JRS1" s="224"/>
      <c r="JRT1" s="224"/>
      <c r="JRU1" s="224"/>
      <c r="JRV1" s="224"/>
      <c r="JRW1" s="224"/>
      <c r="JRX1" s="224"/>
      <c r="JRY1" s="224"/>
      <c r="JRZ1" s="224"/>
      <c r="JSA1" s="224"/>
      <c r="JSB1" s="224"/>
      <c r="JSC1" s="224"/>
      <c r="JSD1" s="224"/>
      <c r="JSE1" s="224"/>
      <c r="JSF1" s="224"/>
      <c r="JSG1" s="224"/>
      <c r="JSH1" s="224"/>
      <c r="JSI1" s="224"/>
      <c r="JSJ1" s="224"/>
      <c r="JSK1" s="224"/>
      <c r="JSL1" s="224"/>
      <c r="JSM1" s="224"/>
      <c r="JSN1" s="224"/>
      <c r="JSO1" s="224"/>
      <c r="JSP1" s="224"/>
      <c r="JSQ1" s="224"/>
      <c r="JSR1" s="224"/>
      <c r="JSS1" s="224"/>
      <c r="JST1" s="224"/>
      <c r="JSU1" s="224"/>
      <c r="JSV1" s="224"/>
      <c r="JSW1" s="224"/>
      <c r="JSX1" s="224"/>
      <c r="JSY1" s="224"/>
      <c r="JSZ1" s="224"/>
      <c r="JTA1" s="224"/>
      <c r="JTB1" s="224"/>
      <c r="JTC1" s="224"/>
      <c r="JTD1" s="224"/>
      <c r="JTE1" s="224"/>
      <c r="JTF1" s="224"/>
      <c r="JTG1" s="224"/>
      <c r="JTH1" s="224"/>
      <c r="JTI1" s="224"/>
      <c r="JTJ1" s="224"/>
      <c r="JTK1" s="224"/>
      <c r="JTL1" s="224"/>
      <c r="JTM1" s="224"/>
      <c r="JTN1" s="224"/>
      <c r="JTO1" s="224"/>
      <c r="JTP1" s="224"/>
      <c r="JTQ1" s="224"/>
      <c r="JTR1" s="224"/>
      <c r="JTS1" s="224"/>
      <c r="JTT1" s="224"/>
      <c r="JTU1" s="224"/>
      <c r="JTV1" s="224"/>
      <c r="JTW1" s="224"/>
      <c r="JTX1" s="224"/>
      <c r="JTY1" s="224"/>
      <c r="JTZ1" s="224"/>
      <c r="JUA1" s="224"/>
      <c r="JUB1" s="224"/>
      <c r="JUC1" s="224"/>
      <c r="JUD1" s="224"/>
      <c r="JUE1" s="224"/>
      <c r="JUF1" s="224"/>
      <c r="JUG1" s="224"/>
      <c r="JUH1" s="224"/>
      <c r="JUI1" s="224"/>
      <c r="JUJ1" s="224"/>
      <c r="JUK1" s="224"/>
      <c r="JUL1" s="224"/>
      <c r="JUM1" s="224"/>
      <c r="JUN1" s="224"/>
      <c r="JUO1" s="224"/>
      <c r="JUP1" s="224"/>
      <c r="JUQ1" s="224"/>
      <c r="JUR1" s="224"/>
      <c r="JUS1" s="224"/>
      <c r="JUT1" s="224"/>
      <c r="JUU1" s="224"/>
      <c r="JUV1" s="224"/>
      <c r="JUW1" s="224"/>
      <c r="JUX1" s="224"/>
      <c r="JUY1" s="224"/>
      <c r="JUZ1" s="224"/>
      <c r="JVA1" s="224"/>
      <c r="JVB1" s="224"/>
      <c r="JVC1" s="224"/>
      <c r="JVD1" s="224"/>
      <c r="JVE1" s="224"/>
      <c r="JVF1" s="224"/>
      <c r="JVG1" s="224"/>
      <c r="JVH1" s="224"/>
      <c r="JVI1" s="224"/>
      <c r="JVJ1" s="224"/>
      <c r="JVK1" s="224"/>
      <c r="JVL1" s="224"/>
      <c r="JVM1" s="224"/>
      <c r="JVN1" s="224"/>
      <c r="JVO1" s="224"/>
      <c r="JVP1" s="224"/>
      <c r="JVQ1" s="224"/>
      <c r="JVR1" s="224"/>
      <c r="JVS1" s="224"/>
      <c r="JVT1" s="224"/>
      <c r="JVU1" s="224"/>
      <c r="JVV1" s="224"/>
      <c r="JVW1" s="224"/>
      <c r="JVX1" s="224"/>
      <c r="JVY1" s="224"/>
      <c r="JVZ1" s="224"/>
      <c r="JWA1" s="224"/>
      <c r="JWB1" s="224"/>
      <c r="JWC1" s="224"/>
      <c r="JWD1" s="224"/>
      <c r="JWE1" s="224"/>
      <c r="JWF1" s="224"/>
      <c r="JWG1" s="224"/>
      <c r="JWH1" s="224"/>
      <c r="JWI1" s="224"/>
      <c r="JWJ1" s="224"/>
      <c r="JWK1" s="224"/>
      <c r="JWL1" s="224"/>
      <c r="JWM1" s="224"/>
      <c r="JWN1" s="224"/>
      <c r="JWO1" s="224"/>
      <c r="JWP1" s="224"/>
      <c r="JWQ1" s="224"/>
      <c r="JWR1" s="224"/>
      <c r="JWS1" s="224"/>
      <c r="JWT1" s="224"/>
      <c r="JWU1" s="224"/>
      <c r="JWV1" s="224"/>
      <c r="JWW1" s="224"/>
      <c r="JWX1" s="224"/>
      <c r="JWY1" s="224"/>
      <c r="JWZ1" s="224"/>
      <c r="JXA1" s="224"/>
      <c r="JXB1" s="224"/>
      <c r="JXC1" s="224"/>
      <c r="JXD1" s="224"/>
      <c r="JXE1" s="224"/>
      <c r="JXF1" s="224"/>
      <c r="JXG1" s="224"/>
      <c r="JXH1" s="224"/>
      <c r="JXI1" s="224"/>
      <c r="JXJ1" s="224"/>
      <c r="JXK1" s="224"/>
      <c r="JXL1" s="224"/>
      <c r="JXM1" s="224"/>
      <c r="JXN1" s="224"/>
      <c r="JXO1" s="224"/>
      <c r="JXP1" s="224"/>
      <c r="JXQ1" s="224"/>
      <c r="JXR1" s="224"/>
      <c r="JXS1" s="224"/>
      <c r="JXT1" s="224"/>
      <c r="JXU1" s="224"/>
      <c r="JXV1" s="224"/>
      <c r="JXW1" s="224"/>
      <c r="JXX1" s="224"/>
      <c r="JXY1" s="224"/>
      <c r="JXZ1" s="224"/>
      <c r="JYA1" s="224"/>
      <c r="JYB1" s="224"/>
      <c r="JYC1" s="224"/>
      <c r="JYD1" s="224"/>
      <c r="JYE1" s="224"/>
      <c r="JYF1" s="224"/>
      <c r="JYG1" s="224"/>
      <c r="JYH1" s="224"/>
      <c r="JYI1" s="224"/>
      <c r="JYJ1" s="224"/>
      <c r="JYK1" s="224"/>
      <c r="JYL1" s="224"/>
      <c r="JYM1" s="224"/>
      <c r="JYN1" s="224"/>
      <c r="JYO1" s="224"/>
      <c r="JYP1" s="224"/>
      <c r="JYQ1" s="224"/>
      <c r="JYR1" s="224"/>
      <c r="JYS1" s="224"/>
      <c r="JYT1" s="224"/>
      <c r="JYU1" s="224"/>
      <c r="JYV1" s="224"/>
      <c r="JYW1" s="224"/>
      <c r="JYX1" s="224"/>
      <c r="JYY1" s="224"/>
      <c r="JYZ1" s="224"/>
      <c r="JZA1" s="224"/>
      <c r="JZB1" s="224"/>
      <c r="JZC1" s="224"/>
      <c r="JZD1" s="224"/>
      <c r="JZE1" s="224"/>
      <c r="JZF1" s="224"/>
      <c r="JZG1" s="224"/>
      <c r="JZH1" s="224"/>
      <c r="JZI1" s="224"/>
      <c r="JZJ1" s="224"/>
      <c r="JZK1" s="224"/>
      <c r="JZL1" s="224"/>
      <c r="JZM1" s="224"/>
      <c r="JZN1" s="224"/>
      <c r="JZO1" s="224"/>
      <c r="JZP1" s="224"/>
      <c r="JZQ1" s="224"/>
      <c r="JZR1" s="224"/>
      <c r="JZS1" s="224"/>
      <c r="JZT1" s="224"/>
      <c r="JZU1" s="224"/>
      <c r="JZV1" s="224"/>
      <c r="JZW1" s="224"/>
      <c r="JZX1" s="224"/>
      <c r="JZY1" s="224"/>
      <c r="JZZ1" s="224"/>
      <c r="KAA1" s="224"/>
      <c r="KAB1" s="224"/>
      <c r="KAC1" s="224"/>
      <c r="KAD1" s="224"/>
      <c r="KAE1" s="224"/>
      <c r="KAF1" s="224"/>
      <c r="KAG1" s="224"/>
      <c r="KAH1" s="224"/>
      <c r="KAI1" s="224"/>
      <c r="KAJ1" s="224"/>
      <c r="KAK1" s="224"/>
      <c r="KAL1" s="224"/>
      <c r="KAM1" s="224"/>
      <c r="KAN1" s="224"/>
      <c r="KAO1" s="224"/>
      <c r="KAP1" s="224"/>
      <c r="KAQ1" s="224"/>
      <c r="KAR1" s="224"/>
      <c r="KAS1" s="224"/>
      <c r="KAT1" s="224"/>
      <c r="KAU1" s="224"/>
      <c r="KAV1" s="224"/>
      <c r="KAW1" s="224"/>
      <c r="KAX1" s="224"/>
      <c r="KAY1" s="224"/>
      <c r="KAZ1" s="224"/>
      <c r="KBA1" s="224"/>
      <c r="KBB1" s="224"/>
      <c r="KBC1" s="224"/>
      <c r="KBD1" s="224"/>
      <c r="KBE1" s="224"/>
      <c r="KBF1" s="224"/>
      <c r="KBG1" s="224"/>
      <c r="KBH1" s="224"/>
      <c r="KBI1" s="224"/>
      <c r="KBJ1" s="224"/>
      <c r="KBK1" s="224"/>
      <c r="KBL1" s="224"/>
      <c r="KBM1" s="224"/>
      <c r="KBN1" s="224"/>
      <c r="KBO1" s="224"/>
      <c r="KBP1" s="224"/>
      <c r="KBQ1" s="224"/>
      <c r="KBR1" s="224"/>
      <c r="KBS1" s="224"/>
      <c r="KBT1" s="224"/>
      <c r="KBU1" s="224"/>
      <c r="KBV1" s="224"/>
      <c r="KBW1" s="224"/>
      <c r="KBX1" s="224"/>
      <c r="KBY1" s="224"/>
      <c r="KBZ1" s="224"/>
      <c r="KCA1" s="224"/>
      <c r="KCB1" s="224"/>
      <c r="KCC1" s="224"/>
      <c r="KCD1" s="224"/>
      <c r="KCE1" s="224"/>
      <c r="KCF1" s="224"/>
      <c r="KCG1" s="224"/>
      <c r="KCH1" s="224"/>
      <c r="KCI1" s="224"/>
      <c r="KCJ1" s="224"/>
      <c r="KCK1" s="224"/>
      <c r="KCL1" s="224"/>
      <c r="KCM1" s="224"/>
      <c r="KCN1" s="224"/>
      <c r="KCO1" s="224"/>
      <c r="KCP1" s="224"/>
      <c r="KCQ1" s="224"/>
      <c r="KCR1" s="224"/>
      <c r="KCS1" s="224"/>
      <c r="KCT1" s="224"/>
      <c r="KCU1" s="224"/>
      <c r="KCV1" s="224"/>
      <c r="KCW1" s="224"/>
      <c r="KCX1" s="224"/>
      <c r="KCY1" s="224"/>
      <c r="KCZ1" s="224"/>
      <c r="KDA1" s="224"/>
      <c r="KDB1" s="224"/>
      <c r="KDC1" s="224"/>
      <c r="KDD1" s="224"/>
      <c r="KDE1" s="224"/>
      <c r="KDF1" s="224"/>
      <c r="KDG1" s="224"/>
      <c r="KDH1" s="224"/>
      <c r="KDI1" s="224"/>
      <c r="KDJ1" s="224"/>
      <c r="KDK1" s="224"/>
      <c r="KDL1" s="224"/>
      <c r="KDM1" s="224"/>
      <c r="KDN1" s="224"/>
      <c r="KDO1" s="224"/>
      <c r="KDP1" s="224"/>
      <c r="KDQ1" s="224"/>
      <c r="KDR1" s="224"/>
      <c r="KDS1" s="224"/>
      <c r="KDT1" s="224"/>
      <c r="KDU1" s="224"/>
      <c r="KDV1" s="224"/>
      <c r="KDW1" s="224"/>
      <c r="KDX1" s="224"/>
      <c r="KDY1" s="224"/>
      <c r="KDZ1" s="224"/>
      <c r="KEA1" s="224"/>
      <c r="KEB1" s="224"/>
      <c r="KEC1" s="224"/>
      <c r="KED1" s="224"/>
      <c r="KEE1" s="224"/>
      <c r="KEF1" s="224"/>
      <c r="KEG1" s="224"/>
      <c r="KEH1" s="224"/>
      <c r="KEI1" s="224"/>
      <c r="KEJ1" s="224"/>
      <c r="KEK1" s="224"/>
      <c r="KEL1" s="224"/>
      <c r="KEM1" s="224"/>
      <c r="KEN1" s="224"/>
      <c r="KEO1" s="224"/>
      <c r="KEP1" s="224"/>
      <c r="KEQ1" s="224"/>
      <c r="KER1" s="224"/>
      <c r="KES1" s="224"/>
      <c r="KET1" s="224"/>
      <c r="KEU1" s="224"/>
      <c r="KEV1" s="224"/>
      <c r="KEW1" s="224"/>
      <c r="KEX1" s="224"/>
      <c r="KEY1" s="224"/>
      <c r="KEZ1" s="224"/>
      <c r="KFA1" s="224"/>
      <c r="KFB1" s="224"/>
      <c r="KFC1" s="224"/>
      <c r="KFD1" s="224"/>
      <c r="KFE1" s="224"/>
      <c r="KFF1" s="224"/>
      <c r="KFG1" s="224"/>
      <c r="KFH1" s="224"/>
      <c r="KFI1" s="224"/>
      <c r="KFJ1" s="224"/>
      <c r="KFK1" s="224"/>
      <c r="KFL1" s="224"/>
      <c r="KFM1" s="224"/>
      <c r="KFN1" s="224"/>
      <c r="KFO1" s="224"/>
      <c r="KFP1" s="224"/>
      <c r="KFQ1" s="224"/>
      <c r="KFR1" s="224"/>
      <c r="KFS1" s="224"/>
      <c r="KFT1" s="224"/>
      <c r="KFU1" s="224"/>
      <c r="KFV1" s="224"/>
      <c r="KFW1" s="224"/>
      <c r="KFX1" s="224"/>
      <c r="KFY1" s="224"/>
      <c r="KFZ1" s="224"/>
      <c r="KGA1" s="224"/>
      <c r="KGB1" s="224"/>
      <c r="KGC1" s="224"/>
      <c r="KGD1" s="224"/>
      <c r="KGE1" s="224"/>
      <c r="KGF1" s="224"/>
      <c r="KGG1" s="224"/>
      <c r="KGH1" s="224"/>
      <c r="KGI1" s="224"/>
      <c r="KGJ1" s="224"/>
      <c r="KGK1" s="224"/>
      <c r="KGL1" s="224"/>
      <c r="KGM1" s="224"/>
      <c r="KGN1" s="224"/>
      <c r="KGO1" s="224"/>
      <c r="KGP1" s="224"/>
      <c r="KGQ1" s="224"/>
      <c r="KGR1" s="224"/>
      <c r="KGS1" s="224"/>
      <c r="KGT1" s="224"/>
      <c r="KGU1" s="224"/>
      <c r="KGV1" s="224"/>
      <c r="KGW1" s="224"/>
      <c r="KGX1" s="224"/>
      <c r="KGY1" s="224"/>
      <c r="KGZ1" s="224"/>
      <c r="KHA1" s="224"/>
      <c r="KHB1" s="224"/>
      <c r="KHC1" s="224"/>
      <c r="KHD1" s="224"/>
      <c r="KHE1" s="224"/>
      <c r="KHF1" s="224"/>
      <c r="KHG1" s="224"/>
      <c r="KHH1" s="224"/>
      <c r="KHI1" s="224"/>
      <c r="KHJ1" s="224"/>
      <c r="KHK1" s="224"/>
      <c r="KHL1" s="224"/>
      <c r="KHM1" s="224"/>
      <c r="KHN1" s="224"/>
      <c r="KHO1" s="224"/>
      <c r="KHP1" s="224"/>
      <c r="KHQ1" s="224"/>
      <c r="KHR1" s="224"/>
      <c r="KHS1" s="224"/>
      <c r="KHT1" s="224"/>
      <c r="KHU1" s="224"/>
      <c r="KHV1" s="224"/>
      <c r="KHW1" s="224"/>
      <c r="KHX1" s="224"/>
      <c r="KHY1" s="224"/>
      <c r="KHZ1" s="224"/>
      <c r="KIA1" s="224"/>
      <c r="KIB1" s="224"/>
      <c r="KIC1" s="224"/>
      <c r="KID1" s="224"/>
      <c r="KIE1" s="224"/>
      <c r="KIF1" s="224"/>
      <c r="KIG1" s="224"/>
      <c r="KIH1" s="224"/>
      <c r="KII1" s="224"/>
      <c r="KIJ1" s="224"/>
      <c r="KIK1" s="224"/>
      <c r="KIL1" s="224"/>
      <c r="KIM1" s="224"/>
      <c r="KIN1" s="224"/>
      <c r="KIO1" s="224"/>
      <c r="KIP1" s="224"/>
      <c r="KIQ1" s="224"/>
      <c r="KIR1" s="224"/>
      <c r="KIS1" s="224"/>
      <c r="KIT1" s="224"/>
      <c r="KIU1" s="224"/>
      <c r="KIV1" s="224"/>
      <c r="KIW1" s="224"/>
      <c r="KIX1" s="224"/>
      <c r="KIY1" s="224"/>
      <c r="KIZ1" s="224"/>
      <c r="KJA1" s="224"/>
      <c r="KJB1" s="224"/>
      <c r="KJC1" s="224"/>
      <c r="KJD1" s="224"/>
      <c r="KJE1" s="224"/>
      <c r="KJF1" s="224"/>
      <c r="KJG1" s="224"/>
      <c r="KJH1" s="224"/>
      <c r="KJI1" s="224"/>
      <c r="KJJ1" s="224"/>
      <c r="KJK1" s="224"/>
      <c r="KJL1" s="224"/>
      <c r="KJM1" s="224"/>
      <c r="KJN1" s="224"/>
      <c r="KJO1" s="224"/>
      <c r="KJP1" s="224"/>
      <c r="KJQ1" s="224"/>
      <c r="KJR1" s="224"/>
      <c r="KJS1" s="224"/>
      <c r="KJT1" s="224"/>
      <c r="KJU1" s="224"/>
      <c r="KJV1" s="224"/>
      <c r="KJW1" s="224"/>
      <c r="KJX1" s="224"/>
      <c r="KJY1" s="224"/>
      <c r="KJZ1" s="224"/>
      <c r="KKA1" s="224"/>
      <c r="KKB1" s="224"/>
      <c r="KKC1" s="224"/>
      <c r="KKD1" s="224"/>
      <c r="KKE1" s="224"/>
      <c r="KKF1" s="224"/>
      <c r="KKG1" s="224"/>
      <c r="KKH1" s="224"/>
      <c r="KKI1" s="224"/>
      <c r="KKJ1" s="224"/>
      <c r="KKK1" s="224"/>
      <c r="KKL1" s="224"/>
      <c r="KKM1" s="224"/>
      <c r="KKN1" s="224"/>
      <c r="KKO1" s="224"/>
      <c r="KKP1" s="224"/>
      <c r="KKQ1" s="224"/>
      <c r="KKR1" s="224"/>
      <c r="KKS1" s="224"/>
      <c r="KKT1" s="224"/>
      <c r="KKU1" s="224"/>
      <c r="KKV1" s="224"/>
      <c r="KKW1" s="224"/>
      <c r="KKX1" s="224"/>
      <c r="KKY1" s="224"/>
      <c r="KKZ1" s="224"/>
      <c r="KLA1" s="224"/>
      <c r="KLB1" s="224"/>
      <c r="KLC1" s="224"/>
      <c r="KLD1" s="224"/>
      <c r="KLE1" s="224"/>
      <c r="KLF1" s="224"/>
      <c r="KLG1" s="224"/>
      <c r="KLH1" s="224"/>
      <c r="KLI1" s="224"/>
      <c r="KLJ1" s="224"/>
      <c r="KLK1" s="224"/>
      <c r="KLL1" s="224"/>
      <c r="KLM1" s="224"/>
      <c r="KLN1" s="224"/>
      <c r="KLO1" s="224"/>
      <c r="KLP1" s="224"/>
      <c r="KLQ1" s="224"/>
      <c r="KLR1" s="224"/>
      <c r="KLS1" s="224"/>
      <c r="KLT1" s="224"/>
      <c r="KLU1" s="224"/>
      <c r="KLV1" s="224"/>
      <c r="KLW1" s="224"/>
      <c r="KLX1" s="224"/>
      <c r="KLY1" s="224"/>
      <c r="KLZ1" s="224"/>
      <c r="KMA1" s="224"/>
      <c r="KMB1" s="224"/>
      <c r="KMC1" s="224"/>
      <c r="KMD1" s="224"/>
      <c r="KME1" s="224"/>
      <c r="KMF1" s="224"/>
      <c r="KMG1" s="224"/>
      <c r="KMH1" s="224"/>
      <c r="KMI1" s="224"/>
      <c r="KMJ1" s="224"/>
      <c r="KMK1" s="224"/>
      <c r="KML1" s="224"/>
      <c r="KMM1" s="224"/>
      <c r="KMN1" s="224"/>
      <c r="KMO1" s="224"/>
      <c r="KMP1" s="224"/>
      <c r="KMQ1" s="224"/>
      <c r="KMR1" s="224"/>
      <c r="KMS1" s="224"/>
      <c r="KMT1" s="224"/>
      <c r="KMU1" s="224"/>
      <c r="KMV1" s="224"/>
      <c r="KMW1" s="224"/>
      <c r="KMX1" s="224"/>
      <c r="KMY1" s="224"/>
      <c r="KMZ1" s="224"/>
      <c r="KNA1" s="224"/>
      <c r="KNB1" s="224"/>
      <c r="KNC1" s="224"/>
      <c r="KND1" s="224"/>
      <c r="KNE1" s="224"/>
      <c r="KNF1" s="224"/>
      <c r="KNG1" s="224"/>
      <c r="KNH1" s="224"/>
      <c r="KNI1" s="224"/>
      <c r="KNJ1" s="224"/>
      <c r="KNK1" s="224"/>
      <c r="KNL1" s="224"/>
      <c r="KNM1" s="224"/>
      <c r="KNN1" s="224"/>
      <c r="KNO1" s="224"/>
      <c r="KNP1" s="224"/>
      <c r="KNQ1" s="224"/>
      <c r="KNR1" s="224"/>
      <c r="KNS1" s="224"/>
      <c r="KNT1" s="224"/>
      <c r="KNU1" s="224"/>
      <c r="KNV1" s="224"/>
      <c r="KNW1" s="224"/>
      <c r="KNX1" s="224"/>
      <c r="KNY1" s="224"/>
      <c r="KNZ1" s="224"/>
      <c r="KOA1" s="224"/>
      <c r="KOB1" s="224"/>
      <c r="KOC1" s="224"/>
      <c r="KOD1" s="224"/>
      <c r="KOE1" s="224"/>
      <c r="KOF1" s="224"/>
      <c r="KOG1" s="224"/>
      <c r="KOH1" s="224"/>
      <c r="KOI1" s="224"/>
      <c r="KOJ1" s="224"/>
      <c r="KOK1" s="224"/>
      <c r="KOL1" s="224"/>
      <c r="KOM1" s="224"/>
      <c r="KON1" s="224"/>
      <c r="KOO1" s="224"/>
      <c r="KOP1" s="224"/>
      <c r="KOQ1" s="224"/>
      <c r="KOR1" s="224"/>
      <c r="KOS1" s="224"/>
      <c r="KOT1" s="224"/>
      <c r="KOU1" s="224"/>
      <c r="KOV1" s="224"/>
      <c r="KOW1" s="224"/>
      <c r="KOX1" s="224"/>
      <c r="KOY1" s="224"/>
      <c r="KOZ1" s="224"/>
      <c r="KPA1" s="224"/>
      <c r="KPB1" s="224"/>
      <c r="KPC1" s="224"/>
      <c r="KPD1" s="224"/>
      <c r="KPE1" s="224"/>
      <c r="KPF1" s="224"/>
      <c r="KPG1" s="224"/>
      <c r="KPH1" s="224"/>
      <c r="KPI1" s="224"/>
      <c r="KPJ1" s="224"/>
      <c r="KPK1" s="224"/>
      <c r="KPL1" s="224"/>
      <c r="KPM1" s="224"/>
      <c r="KPN1" s="224"/>
      <c r="KPO1" s="224"/>
      <c r="KPP1" s="224"/>
      <c r="KPQ1" s="224"/>
      <c r="KPR1" s="224"/>
      <c r="KPS1" s="224"/>
      <c r="KPT1" s="224"/>
      <c r="KPU1" s="224"/>
      <c r="KPV1" s="224"/>
      <c r="KPW1" s="224"/>
      <c r="KPX1" s="224"/>
      <c r="KPY1" s="224"/>
      <c r="KPZ1" s="224"/>
      <c r="KQA1" s="224"/>
      <c r="KQB1" s="224"/>
      <c r="KQC1" s="224"/>
      <c r="KQD1" s="224"/>
      <c r="KQE1" s="224"/>
      <c r="KQF1" s="224"/>
      <c r="KQG1" s="224"/>
      <c r="KQH1" s="224"/>
      <c r="KQI1" s="224"/>
      <c r="KQJ1" s="224"/>
      <c r="KQK1" s="224"/>
      <c r="KQL1" s="224"/>
      <c r="KQM1" s="224"/>
      <c r="KQN1" s="224"/>
      <c r="KQO1" s="224"/>
      <c r="KQP1" s="224"/>
      <c r="KQQ1" s="224"/>
      <c r="KQR1" s="224"/>
      <c r="KQS1" s="224"/>
      <c r="KQT1" s="224"/>
      <c r="KQU1" s="224"/>
      <c r="KQV1" s="224"/>
      <c r="KQW1" s="224"/>
      <c r="KQX1" s="224"/>
      <c r="KQY1" s="224"/>
      <c r="KQZ1" s="224"/>
      <c r="KRA1" s="224"/>
      <c r="KRB1" s="224"/>
      <c r="KRC1" s="224"/>
      <c r="KRD1" s="224"/>
      <c r="KRE1" s="224"/>
      <c r="KRF1" s="224"/>
      <c r="KRG1" s="224"/>
      <c r="KRH1" s="224"/>
      <c r="KRI1" s="224"/>
      <c r="KRJ1" s="224"/>
      <c r="KRK1" s="224"/>
      <c r="KRL1" s="224"/>
      <c r="KRM1" s="224"/>
      <c r="KRN1" s="224"/>
      <c r="KRO1" s="224"/>
      <c r="KRP1" s="224"/>
      <c r="KRQ1" s="224"/>
      <c r="KRR1" s="224"/>
      <c r="KRS1" s="224"/>
      <c r="KRT1" s="224"/>
      <c r="KRU1" s="224"/>
      <c r="KRV1" s="224"/>
      <c r="KRW1" s="224"/>
      <c r="KRX1" s="224"/>
      <c r="KRY1" s="224"/>
      <c r="KRZ1" s="224"/>
      <c r="KSA1" s="224"/>
      <c r="KSB1" s="224"/>
      <c r="KSC1" s="224"/>
      <c r="KSD1" s="224"/>
      <c r="KSE1" s="224"/>
      <c r="KSF1" s="224"/>
      <c r="KSG1" s="224"/>
      <c r="KSH1" s="224"/>
      <c r="KSI1" s="224"/>
      <c r="KSJ1" s="224"/>
      <c r="KSK1" s="224"/>
      <c r="KSL1" s="224"/>
      <c r="KSM1" s="224"/>
      <c r="KSN1" s="224"/>
      <c r="KSO1" s="224"/>
      <c r="KSP1" s="224"/>
      <c r="KSQ1" s="224"/>
      <c r="KSR1" s="224"/>
      <c r="KSS1" s="224"/>
      <c r="KST1" s="224"/>
      <c r="KSU1" s="224"/>
      <c r="KSV1" s="224"/>
      <c r="KSW1" s="224"/>
      <c r="KSX1" s="224"/>
      <c r="KSY1" s="224"/>
      <c r="KSZ1" s="224"/>
      <c r="KTA1" s="224"/>
      <c r="KTB1" s="224"/>
      <c r="KTC1" s="224"/>
      <c r="KTD1" s="224"/>
      <c r="KTE1" s="224"/>
      <c r="KTF1" s="224"/>
      <c r="KTG1" s="224"/>
      <c r="KTH1" s="224"/>
      <c r="KTI1" s="224"/>
      <c r="KTJ1" s="224"/>
      <c r="KTK1" s="224"/>
      <c r="KTL1" s="224"/>
      <c r="KTM1" s="224"/>
      <c r="KTN1" s="224"/>
      <c r="KTO1" s="224"/>
      <c r="KTP1" s="224"/>
      <c r="KTQ1" s="224"/>
      <c r="KTR1" s="224"/>
      <c r="KTS1" s="224"/>
      <c r="KTT1" s="224"/>
      <c r="KTU1" s="224"/>
      <c r="KTV1" s="224"/>
      <c r="KTW1" s="224"/>
      <c r="KTX1" s="224"/>
      <c r="KTY1" s="224"/>
      <c r="KTZ1" s="224"/>
      <c r="KUA1" s="224"/>
      <c r="KUB1" s="224"/>
      <c r="KUC1" s="224"/>
      <c r="KUD1" s="224"/>
      <c r="KUE1" s="224"/>
      <c r="KUF1" s="224"/>
      <c r="KUG1" s="224"/>
      <c r="KUH1" s="224"/>
      <c r="KUI1" s="224"/>
      <c r="KUJ1" s="224"/>
      <c r="KUK1" s="224"/>
      <c r="KUL1" s="224"/>
      <c r="KUM1" s="224"/>
      <c r="KUN1" s="224"/>
      <c r="KUO1" s="224"/>
      <c r="KUP1" s="224"/>
      <c r="KUQ1" s="224"/>
      <c r="KUR1" s="224"/>
      <c r="KUS1" s="224"/>
      <c r="KUT1" s="224"/>
      <c r="KUU1" s="224"/>
      <c r="KUV1" s="224"/>
      <c r="KUW1" s="224"/>
      <c r="KUX1" s="224"/>
      <c r="KUY1" s="224"/>
      <c r="KUZ1" s="224"/>
      <c r="KVA1" s="224"/>
      <c r="KVB1" s="224"/>
      <c r="KVC1" s="224"/>
      <c r="KVD1" s="224"/>
      <c r="KVE1" s="224"/>
      <c r="KVF1" s="224"/>
      <c r="KVG1" s="224"/>
      <c r="KVH1" s="224"/>
      <c r="KVI1" s="224"/>
      <c r="KVJ1" s="224"/>
      <c r="KVK1" s="224"/>
      <c r="KVL1" s="224"/>
      <c r="KVM1" s="224"/>
      <c r="KVN1" s="224"/>
      <c r="KVO1" s="224"/>
      <c r="KVP1" s="224"/>
      <c r="KVQ1" s="224"/>
      <c r="KVR1" s="224"/>
      <c r="KVS1" s="224"/>
      <c r="KVT1" s="224"/>
      <c r="KVU1" s="224"/>
      <c r="KVV1" s="224"/>
      <c r="KVW1" s="224"/>
      <c r="KVX1" s="224"/>
      <c r="KVY1" s="224"/>
      <c r="KVZ1" s="224"/>
      <c r="KWA1" s="224"/>
      <c r="KWB1" s="224"/>
      <c r="KWC1" s="224"/>
      <c r="KWD1" s="224"/>
      <c r="KWE1" s="224"/>
      <c r="KWF1" s="224"/>
      <c r="KWG1" s="224"/>
      <c r="KWH1" s="224"/>
      <c r="KWI1" s="224"/>
      <c r="KWJ1" s="224"/>
      <c r="KWK1" s="224"/>
      <c r="KWL1" s="224"/>
      <c r="KWM1" s="224"/>
      <c r="KWN1" s="224"/>
      <c r="KWO1" s="224"/>
      <c r="KWP1" s="224"/>
      <c r="KWQ1" s="224"/>
      <c r="KWR1" s="224"/>
      <c r="KWS1" s="224"/>
      <c r="KWT1" s="224"/>
      <c r="KWU1" s="224"/>
      <c r="KWV1" s="224"/>
      <c r="KWW1" s="224"/>
      <c r="KWX1" s="224"/>
      <c r="KWY1" s="224"/>
      <c r="KWZ1" s="224"/>
      <c r="KXA1" s="224"/>
      <c r="KXB1" s="224"/>
      <c r="KXC1" s="224"/>
      <c r="KXD1" s="224"/>
      <c r="KXE1" s="224"/>
      <c r="KXF1" s="224"/>
      <c r="KXG1" s="224"/>
      <c r="KXH1" s="224"/>
      <c r="KXI1" s="224"/>
      <c r="KXJ1" s="224"/>
      <c r="KXK1" s="224"/>
      <c r="KXL1" s="224"/>
      <c r="KXM1" s="224"/>
      <c r="KXN1" s="224"/>
      <c r="KXO1" s="224"/>
      <c r="KXP1" s="224"/>
      <c r="KXQ1" s="224"/>
      <c r="KXR1" s="224"/>
      <c r="KXS1" s="224"/>
      <c r="KXT1" s="224"/>
      <c r="KXU1" s="224"/>
      <c r="KXV1" s="224"/>
      <c r="KXW1" s="224"/>
      <c r="KXX1" s="224"/>
      <c r="KXY1" s="224"/>
      <c r="KXZ1" s="224"/>
      <c r="KYA1" s="224"/>
      <c r="KYB1" s="224"/>
      <c r="KYC1" s="224"/>
      <c r="KYD1" s="224"/>
      <c r="KYE1" s="224"/>
      <c r="KYF1" s="224"/>
      <c r="KYG1" s="224"/>
      <c r="KYH1" s="224"/>
      <c r="KYI1" s="224"/>
      <c r="KYJ1" s="224"/>
      <c r="KYK1" s="224"/>
      <c r="KYL1" s="224"/>
      <c r="KYM1" s="224"/>
      <c r="KYN1" s="224"/>
      <c r="KYO1" s="224"/>
      <c r="KYP1" s="224"/>
      <c r="KYQ1" s="224"/>
      <c r="KYR1" s="224"/>
      <c r="KYS1" s="224"/>
      <c r="KYT1" s="224"/>
      <c r="KYU1" s="224"/>
      <c r="KYV1" s="224"/>
      <c r="KYW1" s="224"/>
      <c r="KYX1" s="224"/>
      <c r="KYY1" s="224"/>
      <c r="KYZ1" s="224"/>
      <c r="KZA1" s="224"/>
      <c r="KZB1" s="224"/>
      <c r="KZC1" s="224"/>
      <c r="KZD1" s="224"/>
      <c r="KZE1" s="224"/>
      <c r="KZF1" s="224"/>
      <c r="KZG1" s="224"/>
      <c r="KZH1" s="224"/>
      <c r="KZI1" s="224"/>
      <c r="KZJ1" s="224"/>
      <c r="KZK1" s="224"/>
      <c r="KZL1" s="224"/>
      <c r="KZM1" s="224"/>
      <c r="KZN1" s="224"/>
      <c r="KZO1" s="224"/>
      <c r="KZP1" s="224"/>
      <c r="KZQ1" s="224"/>
      <c r="KZR1" s="224"/>
      <c r="KZS1" s="224"/>
      <c r="KZT1" s="224"/>
      <c r="KZU1" s="224"/>
      <c r="KZV1" s="224"/>
      <c r="KZW1" s="224"/>
      <c r="KZX1" s="224"/>
      <c r="KZY1" s="224"/>
      <c r="KZZ1" s="224"/>
      <c r="LAA1" s="224"/>
      <c r="LAB1" s="224"/>
      <c r="LAC1" s="224"/>
      <c r="LAD1" s="224"/>
      <c r="LAE1" s="224"/>
      <c r="LAF1" s="224"/>
      <c r="LAG1" s="224"/>
      <c r="LAH1" s="224"/>
      <c r="LAI1" s="224"/>
      <c r="LAJ1" s="224"/>
      <c r="LAK1" s="224"/>
      <c r="LAL1" s="224"/>
      <c r="LAM1" s="224"/>
      <c r="LAN1" s="224"/>
      <c r="LAO1" s="224"/>
      <c r="LAP1" s="224"/>
      <c r="LAQ1" s="224"/>
      <c r="LAR1" s="224"/>
      <c r="LAS1" s="224"/>
      <c r="LAT1" s="224"/>
      <c r="LAU1" s="224"/>
      <c r="LAV1" s="224"/>
      <c r="LAW1" s="224"/>
      <c r="LAX1" s="224"/>
      <c r="LAY1" s="224"/>
      <c r="LAZ1" s="224"/>
      <c r="LBA1" s="224"/>
      <c r="LBB1" s="224"/>
      <c r="LBC1" s="224"/>
      <c r="LBD1" s="224"/>
      <c r="LBE1" s="224"/>
      <c r="LBF1" s="224"/>
      <c r="LBG1" s="224"/>
      <c r="LBH1" s="224"/>
      <c r="LBI1" s="224"/>
      <c r="LBJ1" s="224"/>
      <c r="LBK1" s="224"/>
      <c r="LBL1" s="224"/>
      <c r="LBM1" s="224"/>
      <c r="LBN1" s="224"/>
      <c r="LBO1" s="224"/>
      <c r="LBP1" s="224"/>
      <c r="LBQ1" s="224"/>
      <c r="LBR1" s="224"/>
      <c r="LBS1" s="224"/>
      <c r="LBT1" s="224"/>
      <c r="LBU1" s="224"/>
      <c r="LBV1" s="224"/>
      <c r="LBW1" s="224"/>
      <c r="LBX1" s="224"/>
      <c r="LBY1" s="224"/>
      <c r="LBZ1" s="224"/>
      <c r="LCA1" s="224"/>
      <c r="LCB1" s="224"/>
      <c r="LCC1" s="224"/>
      <c r="LCD1" s="224"/>
      <c r="LCE1" s="224"/>
      <c r="LCF1" s="224"/>
      <c r="LCG1" s="224"/>
      <c r="LCH1" s="224"/>
      <c r="LCI1" s="224"/>
      <c r="LCJ1" s="224"/>
      <c r="LCK1" s="224"/>
      <c r="LCL1" s="224"/>
      <c r="LCM1" s="224"/>
      <c r="LCN1" s="224"/>
      <c r="LCO1" s="224"/>
      <c r="LCP1" s="224"/>
      <c r="LCQ1" s="224"/>
      <c r="LCR1" s="224"/>
      <c r="LCS1" s="224"/>
      <c r="LCT1" s="224"/>
      <c r="LCU1" s="224"/>
      <c r="LCV1" s="224"/>
      <c r="LCW1" s="224"/>
      <c r="LCX1" s="224"/>
      <c r="LCY1" s="224"/>
      <c r="LCZ1" s="224"/>
      <c r="LDA1" s="224"/>
      <c r="LDB1" s="224"/>
      <c r="LDC1" s="224"/>
      <c r="LDD1" s="224"/>
      <c r="LDE1" s="224"/>
      <c r="LDF1" s="224"/>
      <c r="LDG1" s="224"/>
      <c r="LDH1" s="224"/>
      <c r="LDI1" s="224"/>
      <c r="LDJ1" s="224"/>
      <c r="LDK1" s="224"/>
      <c r="LDL1" s="224"/>
      <c r="LDM1" s="224"/>
      <c r="LDN1" s="224"/>
      <c r="LDO1" s="224"/>
      <c r="LDP1" s="224"/>
      <c r="LDQ1" s="224"/>
      <c r="LDR1" s="224"/>
      <c r="LDS1" s="224"/>
      <c r="LDT1" s="224"/>
      <c r="LDU1" s="224"/>
      <c r="LDV1" s="224"/>
      <c r="LDW1" s="224"/>
      <c r="LDX1" s="224"/>
      <c r="LDY1" s="224"/>
      <c r="LDZ1" s="224"/>
      <c r="LEA1" s="224"/>
      <c r="LEB1" s="224"/>
      <c r="LEC1" s="224"/>
      <c r="LED1" s="224"/>
      <c r="LEE1" s="224"/>
      <c r="LEF1" s="224"/>
      <c r="LEG1" s="224"/>
      <c r="LEH1" s="224"/>
      <c r="LEI1" s="224"/>
      <c r="LEJ1" s="224"/>
      <c r="LEK1" s="224"/>
      <c r="LEL1" s="224"/>
      <c r="LEM1" s="224"/>
      <c r="LEN1" s="224"/>
      <c r="LEO1" s="224"/>
      <c r="LEP1" s="224"/>
      <c r="LEQ1" s="224"/>
      <c r="LER1" s="224"/>
      <c r="LES1" s="224"/>
      <c r="LET1" s="224"/>
      <c r="LEU1" s="224"/>
      <c r="LEV1" s="224"/>
      <c r="LEW1" s="224"/>
      <c r="LEX1" s="224"/>
      <c r="LEY1" s="224"/>
      <c r="LEZ1" s="224"/>
      <c r="LFA1" s="224"/>
      <c r="LFB1" s="224"/>
      <c r="LFC1" s="224"/>
      <c r="LFD1" s="224"/>
      <c r="LFE1" s="224"/>
      <c r="LFF1" s="224"/>
      <c r="LFG1" s="224"/>
      <c r="LFH1" s="224"/>
      <c r="LFI1" s="224"/>
      <c r="LFJ1" s="224"/>
      <c r="LFK1" s="224"/>
      <c r="LFL1" s="224"/>
      <c r="LFM1" s="224"/>
      <c r="LFN1" s="224"/>
      <c r="LFO1" s="224"/>
      <c r="LFP1" s="224"/>
      <c r="LFQ1" s="224"/>
      <c r="LFR1" s="224"/>
      <c r="LFS1" s="224"/>
      <c r="LFT1" s="224"/>
      <c r="LFU1" s="224"/>
      <c r="LFV1" s="224"/>
      <c r="LFW1" s="224"/>
      <c r="LFX1" s="224"/>
      <c r="LFY1" s="224"/>
      <c r="LFZ1" s="224"/>
      <c r="LGA1" s="224"/>
      <c r="LGB1" s="224"/>
      <c r="LGC1" s="224"/>
      <c r="LGD1" s="224"/>
      <c r="LGE1" s="224"/>
      <c r="LGF1" s="224"/>
      <c r="LGG1" s="224"/>
      <c r="LGH1" s="224"/>
      <c r="LGI1" s="224"/>
      <c r="LGJ1" s="224"/>
      <c r="LGK1" s="224"/>
      <c r="LGL1" s="224"/>
      <c r="LGM1" s="224"/>
      <c r="LGN1" s="224"/>
      <c r="LGO1" s="224"/>
      <c r="LGP1" s="224"/>
      <c r="LGQ1" s="224"/>
      <c r="LGR1" s="224"/>
      <c r="LGS1" s="224"/>
      <c r="LGT1" s="224"/>
      <c r="LGU1" s="224"/>
      <c r="LGV1" s="224"/>
      <c r="LGW1" s="224"/>
      <c r="LGX1" s="224"/>
      <c r="LGY1" s="224"/>
      <c r="LGZ1" s="224"/>
      <c r="LHA1" s="224"/>
      <c r="LHB1" s="224"/>
      <c r="LHC1" s="224"/>
      <c r="LHD1" s="224"/>
      <c r="LHE1" s="224"/>
      <c r="LHF1" s="224"/>
      <c r="LHG1" s="224"/>
      <c r="LHH1" s="224"/>
      <c r="LHI1" s="224"/>
      <c r="LHJ1" s="224"/>
      <c r="LHK1" s="224"/>
      <c r="LHL1" s="224"/>
      <c r="LHM1" s="224"/>
      <c r="LHN1" s="224"/>
      <c r="LHO1" s="224"/>
      <c r="LHP1" s="224"/>
      <c r="LHQ1" s="224"/>
      <c r="LHR1" s="224"/>
      <c r="LHS1" s="224"/>
      <c r="LHT1" s="224"/>
      <c r="LHU1" s="224"/>
      <c r="LHV1" s="224"/>
      <c r="LHW1" s="224"/>
      <c r="LHX1" s="224"/>
      <c r="LHY1" s="224"/>
      <c r="LHZ1" s="224"/>
      <c r="LIA1" s="224"/>
      <c r="LIB1" s="224"/>
      <c r="LIC1" s="224"/>
      <c r="LID1" s="224"/>
      <c r="LIE1" s="224"/>
      <c r="LIF1" s="224"/>
      <c r="LIG1" s="224"/>
      <c r="LIH1" s="224"/>
      <c r="LII1" s="224"/>
      <c r="LIJ1" s="224"/>
      <c r="LIK1" s="224"/>
      <c r="LIL1" s="224"/>
      <c r="LIM1" s="224"/>
      <c r="LIN1" s="224"/>
      <c r="LIO1" s="224"/>
      <c r="LIP1" s="224"/>
      <c r="LIQ1" s="224"/>
      <c r="LIR1" s="224"/>
      <c r="LIS1" s="224"/>
      <c r="LIT1" s="224"/>
      <c r="LIU1" s="224"/>
      <c r="LIV1" s="224"/>
      <c r="LIW1" s="224"/>
      <c r="LIX1" s="224"/>
      <c r="LIY1" s="224"/>
      <c r="LIZ1" s="224"/>
      <c r="LJA1" s="224"/>
      <c r="LJB1" s="224"/>
      <c r="LJC1" s="224"/>
      <c r="LJD1" s="224"/>
      <c r="LJE1" s="224"/>
      <c r="LJF1" s="224"/>
      <c r="LJG1" s="224"/>
      <c r="LJH1" s="224"/>
      <c r="LJI1" s="224"/>
      <c r="LJJ1" s="224"/>
      <c r="LJK1" s="224"/>
      <c r="LJL1" s="224"/>
      <c r="LJM1" s="224"/>
      <c r="LJN1" s="224"/>
      <c r="LJO1" s="224"/>
      <c r="LJP1" s="224"/>
      <c r="LJQ1" s="224"/>
      <c r="LJR1" s="224"/>
      <c r="LJS1" s="224"/>
      <c r="LJT1" s="224"/>
      <c r="LJU1" s="224"/>
      <c r="LJV1" s="224"/>
      <c r="LJW1" s="224"/>
      <c r="LJX1" s="224"/>
      <c r="LJY1" s="224"/>
      <c r="LJZ1" s="224"/>
      <c r="LKA1" s="224"/>
      <c r="LKB1" s="224"/>
      <c r="LKC1" s="224"/>
      <c r="LKD1" s="224"/>
      <c r="LKE1" s="224"/>
      <c r="LKF1" s="224"/>
      <c r="LKG1" s="224"/>
      <c r="LKH1" s="224"/>
      <c r="LKI1" s="224"/>
      <c r="LKJ1" s="224"/>
      <c r="LKK1" s="224"/>
      <c r="LKL1" s="224"/>
      <c r="LKM1" s="224"/>
      <c r="LKN1" s="224"/>
      <c r="LKO1" s="224"/>
      <c r="LKP1" s="224"/>
      <c r="LKQ1" s="224"/>
      <c r="LKR1" s="224"/>
      <c r="LKS1" s="224"/>
      <c r="LKT1" s="224"/>
      <c r="LKU1" s="224"/>
      <c r="LKV1" s="224"/>
      <c r="LKW1" s="224"/>
      <c r="LKX1" s="224"/>
      <c r="LKY1" s="224"/>
      <c r="LKZ1" s="224"/>
      <c r="LLA1" s="224"/>
      <c r="LLB1" s="224"/>
      <c r="LLC1" s="224"/>
      <c r="LLD1" s="224"/>
      <c r="LLE1" s="224"/>
      <c r="LLF1" s="224"/>
      <c r="LLG1" s="224"/>
      <c r="LLH1" s="224"/>
      <c r="LLI1" s="224"/>
      <c r="LLJ1" s="224"/>
      <c r="LLK1" s="224"/>
      <c r="LLL1" s="224"/>
      <c r="LLM1" s="224"/>
      <c r="LLN1" s="224"/>
      <c r="LLO1" s="224"/>
      <c r="LLP1" s="224"/>
      <c r="LLQ1" s="224"/>
      <c r="LLR1" s="224"/>
      <c r="LLS1" s="224"/>
      <c r="LLT1" s="224"/>
      <c r="LLU1" s="224"/>
      <c r="LLV1" s="224"/>
      <c r="LLW1" s="224"/>
      <c r="LLX1" s="224"/>
      <c r="LLY1" s="224"/>
      <c r="LLZ1" s="224"/>
      <c r="LMA1" s="224"/>
      <c r="LMB1" s="224"/>
      <c r="LMC1" s="224"/>
      <c r="LMD1" s="224"/>
      <c r="LME1" s="224"/>
      <c r="LMF1" s="224"/>
      <c r="LMG1" s="224"/>
      <c r="LMH1" s="224"/>
      <c r="LMI1" s="224"/>
      <c r="LMJ1" s="224"/>
      <c r="LMK1" s="224"/>
      <c r="LML1" s="224"/>
      <c r="LMM1" s="224"/>
      <c r="LMN1" s="224"/>
      <c r="LMO1" s="224"/>
      <c r="LMP1" s="224"/>
      <c r="LMQ1" s="224"/>
      <c r="LMR1" s="224"/>
      <c r="LMS1" s="224"/>
      <c r="LMT1" s="224"/>
      <c r="LMU1" s="224"/>
      <c r="LMV1" s="224"/>
      <c r="LMW1" s="224"/>
      <c r="LMX1" s="224"/>
      <c r="LMY1" s="224"/>
      <c r="LMZ1" s="224"/>
      <c r="LNA1" s="224"/>
      <c r="LNB1" s="224"/>
      <c r="LNC1" s="224"/>
      <c r="LND1" s="224"/>
      <c r="LNE1" s="224"/>
      <c r="LNF1" s="224"/>
      <c r="LNG1" s="224"/>
      <c r="LNH1" s="224"/>
      <c r="LNI1" s="224"/>
      <c r="LNJ1" s="224"/>
      <c r="LNK1" s="224"/>
      <c r="LNL1" s="224"/>
      <c r="LNM1" s="224"/>
      <c r="LNN1" s="224"/>
      <c r="LNO1" s="224"/>
      <c r="LNP1" s="224"/>
      <c r="LNQ1" s="224"/>
      <c r="LNR1" s="224"/>
      <c r="LNS1" s="224"/>
      <c r="LNT1" s="224"/>
      <c r="LNU1" s="224"/>
      <c r="LNV1" s="224"/>
      <c r="LNW1" s="224"/>
      <c r="LNX1" s="224"/>
      <c r="LNY1" s="224"/>
      <c r="LNZ1" s="224"/>
      <c r="LOA1" s="224"/>
      <c r="LOB1" s="224"/>
      <c r="LOC1" s="224"/>
      <c r="LOD1" s="224"/>
      <c r="LOE1" s="224"/>
      <c r="LOF1" s="224"/>
      <c r="LOG1" s="224"/>
      <c r="LOH1" s="224"/>
      <c r="LOI1" s="224"/>
      <c r="LOJ1" s="224"/>
      <c r="LOK1" s="224"/>
      <c r="LOL1" s="224"/>
      <c r="LOM1" s="224"/>
      <c r="LON1" s="224"/>
      <c r="LOO1" s="224"/>
      <c r="LOP1" s="224"/>
      <c r="LOQ1" s="224"/>
      <c r="LOR1" s="224"/>
      <c r="LOS1" s="224"/>
      <c r="LOT1" s="224"/>
      <c r="LOU1" s="224"/>
      <c r="LOV1" s="224"/>
      <c r="LOW1" s="224"/>
      <c r="LOX1" s="224"/>
      <c r="LOY1" s="224"/>
      <c r="LOZ1" s="224"/>
      <c r="LPA1" s="224"/>
      <c r="LPB1" s="224"/>
      <c r="LPC1" s="224"/>
      <c r="LPD1" s="224"/>
      <c r="LPE1" s="224"/>
      <c r="LPF1" s="224"/>
      <c r="LPG1" s="224"/>
      <c r="LPH1" s="224"/>
      <c r="LPI1" s="224"/>
      <c r="LPJ1" s="224"/>
      <c r="LPK1" s="224"/>
      <c r="LPL1" s="224"/>
      <c r="LPM1" s="224"/>
      <c r="LPN1" s="224"/>
      <c r="LPO1" s="224"/>
      <c r="LPP1" s="224"/>
      <c r="LPQ1" s="224"/>
      <c r="LPR1" s="224"/>
      <c r="LPS1" s="224"/>
      <c r="LPT1" s="224"/>
      <c r="LPU1" s="224"/>
      <c r="LPV1" s="224"/>
      <c r="LPW1" s="224"/>
      <c r="LPX1" s="224"/>
      <c r="LPY1" s="224"/>
      <c r="LPZ1" s="224"/>
      <c r="LQA1" s="224"/>
      <c r="LQB1" s="224"/>
      <c r="LQC1" s="224"/>
      <c r="LQD1" s="224"/>
      <c r="LQE1" s="224"/>
      <c r="LQF1" s="224"/>
      <c r="LQG1" s="224"/>
      <c r="LQH1" s="224"/>
      <c r="LQI1" s="224"/>
      <c r="LQJ1" s="224"/>
      <c r="LQK1" s="224"/>
      <c r="LQL1" s="224"/>
      <c r="LQM1" s="224"/>
      <c r="LQN1" s="224"/>
      <c r="LQO1" s="224"/>
      <c r="LQP1" s="224"/>
      <c r="LQQ1" s="224"/>
      <c r="LQR1" s="224"/>
      <c r="LQS1" s="224"/>
      <c r="LQT1" s="224"/>
      <c r="LQU1" s="224"/>
      <c r="LQV1" s="224"/>
      <c r="LQW1" s="224"/>
      <c r="LQX1" s="224"/>
      <c r="LQY1" s="224"/>
      <c r="LQZ1" s="224"/>
      <c r="LRA1" s="224"/>
      <c r="LRB1" s="224"/>
      <c r="LRC1" s="224"/>
      <c r="LRD1" s="224"/>
      <c r="LRE1" s="224"/>
      <c r="LRF1" s="224"/>
      <c r="LRG1" s="224"/>
      <c r="LRH1" s="224"/>
      <c r="LRI1" s="224"/>
      <c r="LRJ1" s="224"/>
      <c r="LRK1" s="224"/>
      <c r="LRL1" s="224"/>
      <c r="LRM1" s="224"/>
      <c r="LRN1" s="224"/>
      <c r="LRO1" s="224"/>
      <c r="LRP1" s="224"/>
      <c r="LRQ1" s="224"/>
      <c r="LRR1" s="224"/>
      <c r="LRS1" s="224"/>
      <c r="LRT1" s="224"/>
      <c r="LRU1" s="224"/>
      <c r="LRV1" s="224"/>
      <c r="LRW1" s="224"/>
      <c r="LRX1" s="224"/>
      <c r="LRY1" s="224"/>
      <c r="LRZ1" s="224"/>
      <c r="LSA1" s="224"/>
      <c r="LSB1" s="224"/>
      <c r="LSC1" s="224"/>
      <c r="LSD1" s="224"/>
      <c r="LSE1" s="224"/>
      <c r="LSF1" s="224"/>
      <c r="LSG1" s="224"/>
      <c r="LSH1" s="224"/>
      <c r="LSI1" s="224"/>
      <c r="LSJ1" s="224"/>
      <c r="LSK1" s="224"/>
      <c r="LSL1" s="224"/>
      <c r="LSM1" s="224"/>
      <c r="LSN1" s="224"/>
      <c r="LSO1" s="224"/>
      <c r="LSP1" s="224"/>
      <c r="LSQ1" s="224"/>
      <c r="LSR1" s="224"/>
      <c r="LSS1" s="224"/>
      <c r="LST1" s="224"/>
      <c r="LSU1" s="224"/>
      <c r="LSV1" s="224"/>
      <c r="LSW1" s="224"/>
      <c r="LSX1" s="224"/>
      <c r="LSY1" s="224"/>
      <c r="LSZ1" s="224"/>
      <c r="LTA1" s="224"/>
      <c r="LTB1" s="224"/>
      <c r="LTC1" s="224"/>
      <c r="LTD1" s="224"/>
      <c r="LTE1" s="224"/>
      <c r="LTF1" s="224"/>
      <c r="LTG1" s="224"/>
      <c r="LTH1" s="224"/>
      <c r="LTI1" s="224"/>
      <c r="LTJ1" s="224"/>
      <c r="LTK1" s="224"/>
      <c r="LTL1" s="224"/>
      <c r="LTM1" s="224"/>
      <c r="LTN1" s="224"/>
      <c r="LTO1" s="224"/>
      <c r="LTP1" s="224"/>
      <c r="LTQ1" s="224"/>
      <c r="LTR1" s="224"/>
      <c r="LTS1" s="224"/>
      <c r="LTT1" s="224"/>
      <c r="LTU1" s="224"/>
      <c r="LTV1" s="224"/>
      <c r="LTW1" s="224"/>
      <c r="LTX1" s="224"/>
      <c r="LTY1" s="224"/>
      <c r="LTZ1" s="224"/>
      <c r="LUA1" s="224"/>
      <c r="LUB1" s="224"/>
      <c r="LUC1" s="224"/>
      <c r="LUD1" s="224"/>
      <c r="LUE1" s="224"/>
      <c r="LUF1" s="224"/>
      <c r="LUG1" s="224"/>
      <c r="LUH1" s="224"/>
      <c r="LUI1" s="224"/>
      <c r="LUJ1" s="224"/>
      <c r="LUK1" s="224"/>
      <c r="LUL1" s="224"/>
      <c r="LUM1" s="224"/>
      <c r="LUN1" s="224"/>
      <c r="LUO1" s="224"/>
      <c r="LUP1" s="224"/>
      <c r="LUQ1" s="224"/>
      <c r="LUR1" s="224"/>
      <c r="LUS1" s="224"/>
      <c r="LUT1" s="224"/>
      <c r="LUU1" s="224"/>
      <c r="LUV1" s="224"/>
      <c r="LUW1" s="224"/>
      <c r="LUX1" s="224"/>
      <c r="LUY1" s="224"/>
      <c r="LUZ1" s="224"/>
      <c r="LVA1" s="224"/>
      <c r="LVB1" s="224"/>
      <c r="LVC1" s="224"/>
      <c r="LVD1" s="224"/>
      <c r="LVE1" s="224"/>
      <c r="LVF1" s="224"/>
      <c r="LVG1" s="224"/>
      <c r="LVH1" s="224"/>
      <c r="LVI1" s="224"/>
      <c r="LVJ1" s="224"/>
      <c r="LVK1" s="224"/>
      <c r="LVL1" s="224"/>
      <c r="LVM1" s="224"/>
      <c r="LVN1" s="224"/>
      <c r="LVO1" s="224"/>
      <c r="LVP1" s="224"/>
      <c r="LVQ1" s="224"/>
      <c r="LVR1" s="224"/>
      <c r="LVS1" s="224"/>
      <c r="LVT1" s="224"/>
      <c r="LVU1" s="224"/>
      <c r="LVV1" s="224"/>
      <c r="LVW1" s="224"/>
      <c r="LVX1" s="224"/>
      <c r="LVY1" s="224"/>
      <c r="LVZ1" s="224"/>
      <c r="LWA1" s="224"/>
      <c r="LWB1" s="224"/>
      <c r="LWC1" s="224"/>
      <c r="LWD1" s="224"/>
      <c r="LWE1" s="224"/>
      <c r="LWF1" s="224"/>
      <c r="LWG1" s="224"/>
      <c r="LWH1" s="224"/>
      <c r="LWI1" s="224"/>
      <c r="LWJ1" s="224"/>
      <c r="LWK1" s="224"/>
      <c r="LWL1" s="224"/>
      <c r="LWM1" s="224"/>
      <c r="LWN1" s="224"/>
      <c r="LWO1" s="224"/>
      <c r="LWP1" s="224"/>
      <c r="LWQ1" s="224"/>
      <c r="LWR1" s="224"/>
      <c r="LWS1" s="224"/>
      <c r="LWT1" s="224"/>
      <c r="LWU1" s="224"/>
      <c r="LWV1" s="224"/>
      <c r="LWW1" s="224"/>
      <c r="LWX1" s="224"/>
      <c r="LWY1" s="224"/>
      <c r="LWZ1" s="224"/>
      <c r="LXA1" s="224"/>
      <c r="LXB1" s="224"/>
      <c r="LXC1" s="224"/>
      <c r="LXD1" s="224"/>
      <c r="LXE1" s="224"/>
      <c r="LXF1" s="224"/>
      <c r="LXG1" s="224"/>
      <c r="LXH1" s="224"/>
      <c r="LXI1" s="224"/>
      <c r="LXJ1" s="224"/>
      <c r="LXK1" s="224"/>
      <c r="LXL1" s="224"/>
      <c r="LXM1" s="224"/>
      <c r="LXN1" s="224"/>
      <c r="LXO1" s="224"/>
      <c r="LXP1" s="224"/>
      <c r="LXQ1" s="224"/>
      <c r="LXR1" s="224"/>
      <c r="LXS1" s="224"/>
      <c r="LXT1" s="224"/>
      <c r="LXU1" s="224"/>
      <c r="LXV1" s="224"/>
      <c r="LXW1" s="224"/>
      <c r="LXX1" s="224"/>
      <c r="LXY1" s="224"/>
      <c r="LXZ1" s="224"/>
      <c r="LYA1" s="224"/>
      <c r="LYB1" s="224"/>
      <c r="LYC1" s="224"/>
      <c r="LYD1" s="224"/>
      <c r="LYE1" s="224"/>
      <c r="LYF1" s="224"/>
      <c r="LYG1" s="224"/>
      <c r="LYH1" s="224"/>
      <c r="LYI1" s="224"/>
      <c r="LYJ1" s="224"/>
      <c r="LYK1" s="224"/>
      <c r="LYL1" s="224"/>
      <c r="LYM1" s="224"/>
      <c r="LYN1" s="224"/>
      <c r="LYO1" s="224"/>
      <c r="LYP1" s="224"/>
      <c r="LYQ1" s="224"/>
      <c r="LYR1" s="224"/>
      <c r="LYS1" s="224"/>
      <c r="LYT1" s="224"/>
      <c r="LYU1" s="224"/>
      <c r="LYV1" s="224"/>
      <c r="LYW1" s="224"/>
      <c r="LYX1" s="224"/>
      <c r="LYY1" s="224"/>
      <c r="LYZ1" s="224"/>
      <c r="LZA1" s="224"/>
      <c r="LZB1" s="224"/>
      <c r="LZC1" s="224"/>
      <c r="LZD1" s="224"/>
      <c r="LZE1" s="224"/>
      <c r="LZF1" s="224"/>
      <c r="LZG1" s="224"/>
      <c r="LZH1" s="224"/>
      <c r="LZI1" s="224"/>
      <c r="LZJ1" s="224"/>
      <c r="LZK1" s="224"/>
      <c r="LZL1" s="224"/>
      <c r="LZM1" s="224"/>
      <c r="LZN1" s="224"/>
      <c r="LZO1" s="224"/>
      <c r="LZP1" s="224"/>
      <c r="LZQ1" s="224"/>
      <c r="LZR1" s="224"/>
      <c r="LZS1" s="224"/>
      <c r="LZT1" s="224"/>
      <c r="LZU1" s="224"/>
      <c r="LZV1" s="224"/>
      <c r="LZW1" s="224"/>
      <c r="LZX1" s="224"/>
      <c r="LZY1" s="224"/>
      <c r="LZZ1" s="224"/>
      <c r="MAA1" s="224"/>
      <c r="MAB1" s="224"/>
      <c r="MAC1" s="224"/>
      <c r="MAD1" s="224"/>
      <c r="MAE1" s="224"/>
      <c r="MAF1" s="224"/>
      <c r="MAG1" s="224"/>
      <c r="MAH1" s="224"/>
      <c r="MAI1" s="224"/>
      <c r="MAJ1" s="224"/>
      <c r="MAK1" s="224"/>
      <c r="MAL1" s="224"/>
      <c r="MAM1" s="224"/>
      <c r="MAN1" s="224"/>
      <c r="MAO1" s="224"/>
      <c r="MAP1" s="224"/>
      <c r="MAQ1" s="224"/>
      <c r="MAR1" s="224"/>
      <c r="MAS1" s="224"/>
      <c r="MAT1" s="224"/>
      <c r="MAU1" s="224"/>
      <c r="MAV1" s="224"/>
      <c r="MAW1" s="224"/>
      <c r="MAX1" s="224"/>
      <c r="MAY1" s="224"/>
      <c r="MAZ1" s="224"/>
      <c r="MBA1" s="224"/>
      <c r="MBB1" s="224"/>
      <c r="MBC1" s="224"/>
      <c r="MBD1" s="224"/>
      <c r="MBE1" s="224"/>
      <c r="MBF1" s="224"/>
      <c r="MBG1" s="224"/>
      <c r="MBH1" s="224"/>
      <c r="MBI1" s="224"/>
      <c r="MBJ1" s="224"/>
      <c r="MBK1" s="224"/>
      <c r="MBL1" s="224"/>
      <c r="MBM1" s="224"/>
      <c r="MBN1" s="224"/>
      <c r="MBO1" s="224"/>
      <c r="MBP1" s="224"/>
      <c r="MBQ1" s="224"/>
      <c r="MBR1" s="224"/>
      <c r="MBS1" s="224"/>
      <c r="MBT1" s="224"/>
      <c r="MBU1" s="224"/>
      <c r="MBV1" s="224"/>
      <c r="MBW1" s="224"/>
      <c r="MBX1" s="224"/>
      <c r="MBY1" s="224"/>
      <c r="MBZ1" s="224"/>
      <c r="MCA1" s="224"/>
      <c r="MCB1" s="224"/>
      <c r="MCC1" s="224"/>
      <c r="MCD1" s="224"/>
      <c r="MCE1" s="224"/>
      <c r="MCF1" s="224"/>
      <c r="MCG1" s="224"/>
      <c r="MCH1" s="224"/>
      <c r="MCI1" s="224"/>
      <c r="MCJ1" s="224"/>
      <c r="MCK1" s="224"/>
      <c r="MCL1" s="224"/>
      <c r="MCM1" s="224"/>
      <c r="MCN1" s="224"/>
      <c r="MCO1" s="224"/>
      <c r="MCP1" s="224"/>
      <c r="MCQ1" s="224"/>
      <c r="MCR1" s="224"/>
      <c r="MCS1" s="224"/>
      <c r="MCT1" s="224"/>
      <c r="MCU1" s="224"/>
      <c r="MCV1" s="224"/>
      <c r="MCW1" s="224"/>
      <c r="MCX1" s="224"/>
      <c r="MCY1" s="224"/>
      <c r="MCZ1" s="224"/>
      <c r="MDA1" s="224"/>
      <c r="MDB1" s="224"/>
      <c r="MDC1" s="224"/>
      <c r="MDD1" s="224"/>
      <c r="MDE1" s="224"/>
      <c r="MDF1" s="224"/>
      <c r="MDG1" s="224"/>
      <c r="MDH1" s="224"/>
      <c r="MDI1" s="224"/>
      <c r="MDJ1" s="224"/>
      <c r="MDK1" s="224"/>
      <c r="MDL1" s="224"/>
      <c r="MDM1" s="224"/>
      <c r="MDN1" s="224"/>
      <c r="MDO1" s="224"/>
      <c r="MDP1" s="224"/>
      <c r="MDQ1" s="224"/>
      <c r="MDR1" s="224"/>
      <c r="MDS1" s="224"/>
      <c r="MDT1" s="224"/>
      <c r="MDU1" s="224"/>
      <c r="MDV1" s="224"/>
      <c r="MDW1" s="224"/>
      <c r="MDX1" s="224"/>
      <c r="MDY1" s="224"/>
      <c r="MDZ1" s="224"/>
      <c r="MEA1" s="224"/>
      <c r="MEB1" s="224"/>
      <c r="MEC1" s="224"/>
      <c r="MED1" s="224"/>
      <c r="MEE1" s="224"/>
      <c r="MEF1" s="224"/>
      <c r="MEG1" s="224"/>
      <c r="MEH1" s="224"/>
      <c r="MEI1" s="224"/>
      <c r="MEJ1" s="224"/>
      <c r="MEK1" s="224"/>
      <c r="MEL1" s="224"/>
      <c r="MEM1" s="224"/>
      <c r="MEN1" s="224"/>
      <c r="MEO1" s="224"/>
      <c r="MEP1" s="224"/>
      <c r="MEQ1" s="224"/>
      <c r="MER1" s="224"/>
      <c r="MES1" s="224"/>
      <c r="MET1" s="224"/>
      <c r="MEU1" s="224"/>
      <c r="MEV1" s="224"/>
      <c r="MEW1" s="224"/>
      <c r="MEX1" s="224"/>
      <c r="MEY1" s="224"/>
      <c r="MEZ1" s="224"/>
      <c r="MFA1" s="224"/>
      <c r="MFB1" s="224"/>
      <c r="MFC1" s="224"/>
      <c r="MFD1" s="224"/>
      <c r="MFE1" s="224"/>
      <c r="MFF1" s="224"/>
      <c r="MFG1" s="224"/>
      <c r="MFH1" s="224"/>
      <c r="MFI1" s="224"/>
      <c r="MFJ1" s="224"/>
      <c r="MFK1" s="224"/>
      <c r="MFL1" s="224"/>
      <c r="MFM1" s="224"/>
      <c r="MFN1" s="224"/>
      <c r="MFO1" s="224"/>
      <c r="MFP1" s="224"/>
      <c r="MFQ1" s="224"/>
      <c r="MFR1" s="224"/>
      <c r="MFS1" s="224"/>
      <c r="MFT1" s="224"/>
      <c r="MFU1" s="224"/>
      <c r="MFV1" s="224"/>
      <c r="MFW1" s="224"/>
      <c r="MFX1" s="224"/>
      <c r="MFY1" s="224"/>
      <c r="MFZ1" s="224"/>
      <c r="MGA1" s="224"/>
      <c r="MGB1" s="224"/>
      <c r="MGC1" s="224"/>
      <c r="MGD1" s="224"/>
      <c r="MGE1" s="224"/>
      <c r="MGF1" s="224"/>
      <c r="MGG1" s="224"/>
      <c r="MGH1" s="224"/>
      <c r="MGI1" s="224"/>
      <c r="MGJ1" s="224"/>
      <c r="MGK1" s="224"/>
      <c r="MGL1" s="224"/>
      <c r="MGM1" s="224"/>
      <c r="MGN1" s="224"/>
      <c r="MGO1" s="224"/>
      <c r="MGP1" s="224"/>
      <c r="MGQ1" s="224"/>
      <c r="MGR1" s="224"/>
      <c r="MGS1" s="224"/>
      <c r="MGT1" s="224"/>
      <c r="MGU1" s="224"/>
      <c r="MGV1" s="224"/>
      <c r="MGW1" s="224"/>
      <c r="MGX1" s="224"/>
      <c r="MGY1" s="224"/>
      <c r="MGZ1" s="224"/>
      <c r="MHA1" s="224"/>
      <c r="MHB1" s="224"/>
      <c r="MHC1" s="224"/>
      <c r="MHD1" s="224"/>
      <c r="MHE1" s="224"/>
      <c r="MHF1" s="224"/>
      <c r="MHG1" s="224"/>
      <c r="MHH1" s="224"/>
      <c r="MHI1" s="224"/>
      <c r="MHJ1" s="224"/>
      <c r="MHK1" s="224"/>
      <c r="MHL1" s="224"/>
      <c r="MHM1" s="224"/>
      <c r="MHN1" s="224"/>
      <c r="MHO1" s="224"/>
      <c r="MHP1" s="224"/>
      <c r="MHQ1" s="224"/>
      <c r="MHR1" s="224"/>
      <c r="MHS1" s="224"/>
      <c r="MHT1" s="224"/>
      <c r="MHU1" s="224"/>
      <c r="MHV1" s="224"/>
      <c r="MHW1" s="224"/>
      <c r="MHX1" s="224"/>
      <c r="MHY1" s="224"/>
      <c r="MHZ1" s="224"/>
      <c r="MIA1" s="224"/>
      <c r="MIB1" s="224"/>
      <c r="MIC1" s="224"/>
      <c r="MID1" s="224"/>
      <c r="MIE1" s="224"/>
      <c r="MIF1" s="224"/>
      <c r="MIG1" s="224"/>
      <c r="MIH1" s="224"/>
      <c r="MII1" s="224"/>
      <c r="MIJ1" s="224"/>
      <c r="MIK1" s="224"/>
      <c r="MIL1" s="224"/>
      <c r="MIM1" s="224"/>
      <c r="MIN1" s="224"/>
      <c r="MIO1" s="224"/>
      <c r="MIP1" s="224"/>
      <c r="MIQ1" s="224"/>
      <c r="MIR1" s="224"/>
      <c r="MIS1" s="224"/>
      <c r="MIT1" s="224"/>
      <c r="MIU1" s="224"/>
      <c r="MIV1" s="224"/>
      <c r="MIW1" s="224"/>
      <c r="MIX1" s="224"/>
      <c r="MIY1" s="224"/>
      <c r="MIZ1" s="224"/>
      <c r="MJA1" s="224"/>
      <c r="MJB1" s="224"/>
      <c r="MJC1" s="224"/>
      <c r="MJD1" s="224"/>
      <c r="MJE1" s="224"/>
      <c r="MJF1" s="224"/>
      <c r="MJG1" s="224"/>
      <c r="MJH1" s="224"/>
      <c r="MJI1" s="224"/>
      <c r="MJJ1" s="224"/>
      <c r="MJK1" s="224"/>
      <c r="MJL1" s="224"/>
      <c r="MJM1" s="224"/>
      <c r="MJN1" s="224"/>
      <c r="MJO1" s="224"/>
      <c r="MJP1" s="224"/>
      <c r="MJQ1" s="224"/>
      <c r="MJR1" s="224"/>
      <c r="MJS1" s="224"/>
      <c r="MJT1" s="224"/>
      <c r="MJU1" s="224"/>
      <c r="MJV1" s="224"/>
      <c r="MJW1" s="224"/>
      <c r="MJX1" s="224"/>
      <c r="MJY1" s="224"/>
      <c r="MJZ1" s="224"/>
      <c r="MKA1" s="224"/>
      <c r="MKB1" s="224"/>
      <c r="MKC1" s="224"/>
      <c r="MKD1" s="224"/>
      <c r="MKE1" s="224"/>
      <c r="MKF1" s="224"/>
      <c r="MKG1" s="224"/>
      <c r="MKH1" s="224"/>
      <c r="MKI1" s="224"/>
      <c r="MKJ1" s="224"/>
      <c r="MKK1" s="224"/>
      <c r="MKL1" s="224"/>
      <c r="MKM1" s="224"/>
      <c r="MKN1" s="224"/>
      <c r="MKO1" s="224"/>
      <c r="MKP1" s="224"/>
      <c r="MKQ1" s="224"/>
      <c r="MKR1" s="224"/>
      <c r="MKS1" s="224"/>
      <c r="MKT1" s="224"/>
      <c r="MKU1" s="224"/>
      <c r="MKV1" s="224"/>
      <c r="MKW1" s="224"/>
      <c r="MKX1" s="224"/>
      <c r="MKY1" s="224"/>
      <c r="MKZ1" s="224"/>
      <c r="MLA1" s="224"/>
      <c r="MLB1" s="224"/>
      <c r="MLC1" s="224"/>
      <c r="MLD1" s="224"/>
      <c r="MLE1" s="224"/>
      <c r="MLF1" s="224"/>
      <c r="MLG1" s="224"/>
      <c r="MLH1" s="224"/>
      <c r="MLI1" s="224"/>
      <c r="MLJ1" s="224"/>
      <c r="MLK1" s="224"/>
      <c r="MLL1" s="224"/>
      <c r="MLM1" s="224"/>
      <c r="MLN1" s="224"/>
      <c r="MLO1" s="224"/>
      <c r="MLP1" s="224"/>
      <c r="MLQ1" s="224"/>
      <c r="MLR1" s="224"/>
      <c r="MLS1" s="224"/>
      <c r="MLT1" s="224"/>
      <c r="MLU1" s="224"/>
      <c r="MLV1" s="224"/>
      <c r="MLW1" s="224"/>
      <c r="MLX1" s="224"/>
      <c r="MLY1" s="224"/>
      <c r="MLZ1" s="224"/>
      <c r="MMA1" s="224"/>
      <c r="MMB1" s="224"/>
      <c r="MMC1" s="224"/>
      <c r="MMD1" s="224"/>
      <c r="MME1" s="224"/>
      <c r="MMF1" s="224"/>
      <c r="MMG1" s="224"/>
      <c r="MMH1" s="224"/>
      <c r="MMI1" s="224"/>
      <c r="MMJ1" s="224"/>
      <c r="MMK1" s="224"/>
      <c r="MML1" s="224"/>
      <c r="MMM1" s="224"/>
      <c r="MMN1" s="224"/>
      <c r="MMO1" s="224"/>
      <c r="MMP1" s="224"/>
      <c r="MMQ1" s="224"/>
      <c r="MMR1" s="224"/>
      <c r="MMS1" s="224"/>
      <c r="MMT1" s="224"/>
      <c r="MMU1" s="224"/>
      <c r="MMV1" s="224"/>
      <c r="MMW1" s="224"/>
      <c r="MMX1" s="224"/>
      <c r="MMY1" s="224"/>
      <c r="MMZ1" s="224"/>
      <c r="MNA1" s="224"/>
      <c r="MNB1" s="224"/>
      <c r="MNC1" s="224"/>
      <c r="MND1" s="224"/>
      <c r="MNE1" s="224"/>
      <c r="MNF1" s="224"/>
      <c r="MNG1" s="224"/>
      <c r="MNH1" s="224"/>
      <c r="MNI1" s="224"/>
      <c r="MNJ1" s="224"/>
      <c r="MNK1" s="224"/>
      <c r="MNL1" s="224"/>
      <c r="MNM1" s="224"/>
      <c r="MNN1" s="224"/>
      <c r="MNO1" s="224"/>
      <c r="MNP1" s="224"/>
      <c r="MNQ1" s="224"/>
      <c r="MNR1" s="224"/>
      <c r="MNS1" s="224"/>
      <c r="MNT1" s="224"/>
      <c r="MNU1" s="224"/>
      <c r="MNV1" s="224"/>
      <c r="MNW1" s="224"/>
      <c r="MNX1" s="224"/>
      <c r="MNY1" s="224"/>
      <c r="MNZ1" s="224"/>
      <c r="MOA1" s="224"/>
      <c r="MOB1" s="224"/>
      <c r="MOC1" s="224"/>
      <c r="MOD1" s="224"/>
      <c r="MOE1" s="224"/>
      <c r="MOF1" s="224"/>
      <c r="MOG1" s="224"/>
      <c r="MOH1" s="224"/>
      <c r="MOI1" s="224"/>
      <c r="MOJ1" s="224"/>
      <c r="MOK1" s="224"/>
      <c r="MOL1" s="224"/>
      <c r="MOM1" s="224"/>
      <c r="MON1" s="224"/>
      <c r="MOO1" s="224"/>
      <c r="MOP1" s="224"/>
      <c r="MOQ1" s="224"/>
      <c r="MOR1" s="224"/>
      <c r="MOS1" s="224"/>
      <c r="MOT1" s="224"/>
      <c r="MOU1" s="224"/>
      <c r="MOV1" s="224"/>
      <c r="MOW1" s="224"/>
      <c r="MOX1" s="224"/>
      <c r="MOY1" s="224"/>
      <c r="MOZ1" s="224"/>
      <c r="MPA1" s="224"/>
      <c r="MPB1" s="224"/>
      <c r="MPC1" s="224"/>
      <c r="MPD1" s="224"/>
      <c r="MPE1" s="224"/>
      <c r="MPF1" s="224"/>
      <c r="MPG1" s="224"/>
      <c r="MPH1" s="224"/>
      <c r="MPI1" s="224"/>
      <c r="MPJ1" s="224"/>
      <c r="MPK1" s="224"/>
      <c r="MPL1" s="224"/>
      <c r="MPM1" s="224"/>
      <c r="MPN1" s="224"/>
      <c r="MPO1" s="224"/>
      <c r="MPP1" s="224"/>
      <c r="MPQ1" s="224"/>
      <c r="MPR1" s="224"/>
      <c r="MPS1" s="224"/>
      <c r="MPT1" s="224"/>
      <c r="MPU1" s="224"/>
      <c r="MPV1" s="224"/>
      <c r="MPW1" s="224"/>
      <c r="MPX1" s="224"/>
      <c r="MPY1" s="224"/>
      <c r="MPZ1" s="224"/>
      <c r="MQA1" s="224"/>
      <c r="MQB1" s="224"/>
      <c r="MQC1" s="224"/>
      <c r="MQD1" s="224"/>
      <c r="MQE1" s="224"/>
      <c r="MQF1" s="224"/>
      <c r="MQG1" s="224"/>
      <c r="MQH1" s="224"/>
      <c r="MQI1" s="224"/>
      <c r="MQJ1" s="224"/>
      <c r="MQK1" s="224"/>
      <c r="MQL1" s="224"/>
      <c r="MQM1" s="224"/>
      <c r="MQN1" s="224"/>
      <c r="MQO1" s="224"/>
      <c r="MQP1" s="224"/>
      <c r="MQQ1" s="224"/>
      <c r="MQR1" s="224"/>
      <c r="MQS1" s="224"/>
      <c r="MQT1" s="224"/>
      <c r="MQU1" s="224"/>
      <c r="MQV1" s="224"/>
      <c r="MQW1" s="224"/>
      <c r="MQX1" s="224"/>
      <c r="MQY1" s="224"/>
      <c r="MQZ1" s="224"/>
      <c r="MRA1" s="224"/>
      <c r="MRB1" s="224"/>
      <c r="MRC1" s="224"/>
      <c r="MRD1" s="224"/>
      <c r="MRE1" s="224"/>
      <c r="MRF1" s="224"/>
      <c r="MRG1" s="224"/>
      <c r="MRH1" s="224"/>
      <c r="MRI1" s="224"/>
      <c r="MRJ1" s="224"/>
      <c r="MRK1" s="224"/>
      <c r="MRL1" s="224"/>
      <c r="MRM1" s="224"/>
      <c r="MRN1" s="224"/>
      <c r="MRO1" s="224"/>
      <c r="MRP1" s="224"/>
      <c r="MRQ1" s="224"/>
      <c r="MRR1" s="224"/>
      <c r="MRS1" s="224"/>
      <c r="MRT1" s="224"/>
      <c r="MRU1" s="224"/>
      <c r="MRV1" s="224"/>
      <c r="MRW1" s="224"/>
      <c r="MRX1" s="224"/>
      <c r="MRY1" s="224"/>
      <c r="MRZ1" s="224"/>
      <c r="MSA1" s="224"/>
      <c r="MSB1" s="224"/>
      <c r="MSC1" s="224"/>
      <c r="MSD1" s="224"/>
      <c r="MSE1" s="224"/>
      <c r="MSF1" s="224"/>
      <c r="MSG1" s="224"/>
      <c r="MSH1" s="224"/>
      <c r="MSI1" s="224"/>
      <c r="MSJ1" s="224"/>
      <c r="MSK1" s="224"/>
      <c r="MSL1" s="224"/>
      <c r="MSM1" s="224"/>
      <c r="MSN1" s="224"/>
      <c r="MSO1" s="224"/>
      <c r="MSP1" s="224"/>
      <c r="MSQ1" s="224"/>
      <c r="MSR1" s="224"/>
      <c r="MSS1" s="224"/>
      <c r="MST1" s="224"/>
      <c r="MSU1" s="224"/>
      <c r="MSV1" s="224"/>
      <c r="MSW1" s="224"/>
      <c r="MSX1" s="224"/>
      <c r="MSY1" s="224"/>
      <c r="MSZ1" s="224"/>
      <c r="MTA1" s="224"/>
      <c r="MTB1" s="224"/>
      <c r="MTC1" s="224"/>
      <c r="MTD1" s="224"/>
      <c r="MTE1" s="224"/>
      <c r="MTF1" s="224"/>
      <c r="MTG1" s="224"/>
      <c r="MTH1" s="224"/>
      <c r="MTI1" s="224"/>
      <c r="MTJ1" s="224"/>
      <c r="MTK1" s="224"/>
      <c r="MTL1" s="224"/>
      <c r="MTM1" s="224"/>
      <c r="MTN1" s="224"/>
      <c r="MTO1" s="224"/>
      <c r="MTP1" s="224"/>
      <c r="MTQ1" s="224"/>
      <c r="MTR1" s="224"/>
      <c r="MTS1" s="224"/>
      <c r="MTT1" s="224"/>
      <c r="MTU1" s="224"/>
      <c r="MTV1" s="224"/>
      <c r="MTW1" s="224"/>
      <c r="MTX1" s="224"/>
      <c r="MTY1" s="224"/>
      <c r="MTZ1" s="224"/>
      <c r="MUA1" s="224"/>
      <c r="MUB1" s="224"/>
      <c r="MUC1" s="224"/>
      <c r="MUD1" s="224"/>
      <c r="MUE1" s="224"/>
      <c r="MUF1" s="224"/>
      <c r="MUG1" s="224"/>
      <c r="MUH1" s="224"/>
      <c r="MUI1" s="224"/>
      <c r="MUJ1" s="224"/>
      <c r="MUK1" s="224"/>
      <c r="MUL1" s="224"/>
      <c r="MUM1" s="224"/>
      <c r="MUN1" s="224"/>
      <c r="MUO1" s="224"/>
      <c r="MUP1" s="224"/>
      <c r="MUQ1" s="224"/>
      <c r="MUR1" s="224"/>
      <c r="MUS1" s="224"/>
      <c r="MUT1" s="224"/>
      <c r="MUU1" s="224"/>
      <c r="MUV1" s="224"/>
      <c r="MUW1" s="224"/>
      <c r="MUX1" s="224"/>
      <c r="MUY1" s="224"/>
      <c r="MUZ1" s="224"/>
      <c r="MVA1" s="224"/>
      <c r="MVB1" s="224"/>
      <c r="MVC1" s="224"/>
      <c r="MVD1" s="224"/>
      <c r="MVE1" s="224"/>
      <c r="MVF1" s="224"/>
      <c r="MVG1" s="224"/>
      <c r="MVH1" s="224"/>
      <c r="MVI1" s="224"/>
      <c r="MVJ1" s="224"/>
      <c r="MVK1" s="224"/>
      <c r="MVL1" s="224"/>
      <c r="MVM1" s="224"/>
      <c r="MVN1" s="224"/>
      <c r="MVO1" s="224"/>
      <c r="MVP1" s="224"/>
      <c r="MVQ1" s="224"/>
      <c r="MVR1" s="224"/>
      <c r="MVS1" s="224"/>
      <c r="MVT1" s="224"/>
      <c r="MVU1" s="224"/>
      <c r="MVV1" s="224"/>
      <c r="MVW1" s="224"/>
      <c r="MVX1" s="224"/>
      <c r="MVY1" s="224"/>
      <c r="MVZ1" s="224"/>
      <c r="MWA1" s="224"/>
      <c r="MWB1" s="224"/>
      <c r="MWC1" s="224"/>
      <c r="MWD1" s="224"/>
      <c r="MWE1" s="224"/>
      <c r="MWF1" s="224"/>
      <c r="MWG1" s="224"/>
      <c r="MWH1" s="224"/>
      <c r="MWI1" s="224"/>
      <c r="MWJ1" s="224"/>
      <c r="MWK1" s="224"/>
      <c r="MWL1" s="224"/>
      <c r="MWM1" s="224"/>
      <c r="MWN1" s="224"/>
      <c r="MWO1" s="224"/>
      <c r="MWP1" s="224"/>
      <c r="MWQ1" s="224"/>
      <c r="MWR1" s="224"/>
      <c r="MWS1" s="224"/>
      <c r="MWT1" s="224"/>
      <c r="MWU1" s="224"/>
      <c r="MWV1" s="224"/>
      <c r="MWW1" s="224"/>
      <c r="MWX1" s="224"/>
      <c r="MWY1" s="224"/>
      <c r="MWZ1" s="224"/>
      <c r="MXA1" s="224"/>
      <c r="MXB1" s="224"/>
      <c r="MXC1" s="224"/>
      <c r="MXD1" s="224"/>
      <c r="MXE1" s="224"/>
      <c r="MXF1" s="224"/>
      <c r="MXG1" s="224"/>
      <c r="MXH1" s="224"/>
      <c r="MXI1" s="224"/>
      <c r="MXJ1" s="224"/>
      <c r="MXK1" s="224"/>
      <c r="MXL1" s="224"/>
      <c r="MXM1" s="224"/>
      <c r="MXN1" s="224"/>
      <c r="MXO1" s="224"/>
      <c r="MXP1" s="224"/>
      <c r="MXQ1" s="224"/>
      <c r="MXR1" s="224"/>
      <c r="MXS1" s="224"/>
      <c r="MXT1" s="224"/>
      <c r="MXU1" s="224"/>
      <c r="MXV1" s="224"/>
      <c r="MXW1" s="224"/>
      <c r="MXX1" s="224"/>
      <c r="MXY1" s="224"/>
      <c r="MXZ1" s="224"/>
      <c r="MYA1" s="224"/>
      <c r="MYB1" s="224"/>
      <c r="MYC1" s="224"/>
      <c r="MYD1" s="224"/>
      <c r="MYE1" s="224"/>
      <c r="MYF1" s="224"/>
      <c r="MYG1" s="224"/>
      <c r="MYH1" s="224"/>
      <c r="MYI1" s="224"/>
      <c r="MYJ1" s="224"/>
      <c r="MYK1" s="224"/>
      <c r="MYL1" s="224"/>
      <c r="MYM1" s="224"/>
      <c r="MYN1" s="224"/>
      <c r="MYO1" s="224"/>
      <c r="MYP1" s="224"/>
      <c r="MYQ1" s="224"/>
      <c r="MYR1" s="224"/>
      <c r="MYS1" s="224"/>
      <c r="MYT1" s="224"/>
      <c r="MYU1" s="224"/>
      <c r="MYV1" s="224"/>
      <c r="MYW1" s="224"/>
      <c r="MYX1" s="224"/>
      <c r="MYY1" s="224"/>
      <c r="MYZ1" s="224"/>
      <c r="MZA1" s="224"/>
      <c r="MZB1" s="224"/>
      <c r="MZC1" s="224"/>
      <c r="MZD1" s="224"/>
      <c r="MZE1" s="224"/>
      <c r="MZF1" s="224"/>
      <c r="MZG1" s="224"/>
      <c r="MZH1" s="224"/>
      <c r="MZI1" s="224"/>
      <c r="MZJ1" s="224"/>
      <c r="MZK1" s="224"/>
      <c r="MZL1" s="224"/>
      <c r="MZM1" s="224"/>
      <c r="MZN1" s="224"/>
      <c r="MZO1" s="224"/>
      <c r="MZP1" s="224"/>
      <c r="MZQ1" s="224"/>
      <c r="MZR1" s="224"/>
      <c r="MZS1" s="224"/>
      <c r="MZT1" s="224"/>
      <c r="MZU1" s="224"/>
      <c r="MZV1" s="224"/>
      <c r="MZW1" s="224"/>
      <c r="MZX1" s="224"/>
      <c r="MZY1" s="224"/>
      <c r="MZZ1" s="224"/>
      <c r="NAA1" s="224"/>
      <c r="NAB1" s="224"/>
      <c r="NAC1" s="224"/>
      <c r="NAD1" s="224"/>
      <c r="NAE1" s="224"/>
      <c r="NAF1" s="224"/>
      <c r="NAG1" s="224"/>
      <c r="NAH1" s="224"/>
      <c r="NAI1" s="224"/>
      <c r="NAJ1" s="224"/>
      <c r="NAK1" s="224"/>
      <c r="NAL1" s="224"/>
      <c r="NAM1" s="224"/>
      <c r="NAN1" s="224"/>
      <c r="NAO1" s="224"/>
      <c r="NAP1" s="224"/>
      <c r="NAQ1" s="224"/>
      <c r="NAR1" s="224"/>
      <c r="NAS1" s="224"/>
      <c r="NAT1" s="224"/>
      <c r="NAU1" s="224"/>
      <c r="NAV1" s="224"/>
      <c r="NAW1" s="224"/>
      <c r="NAX1" s="224"/>
      <c r="NAY1" s="224"/>
      <c r="NAZ1" s="224"/>
      <c r="NBA1" s="224"/>
      <c r="NBB1" s="224"/>
      <c r="NBC1" s="224"/>
      <c r="NBD1" s="224"/>
      <c r="NBE1" s="224"/>
      <c r="NBF1" s="224"/>
      <c r="NBG1" s="224"/>
      <c r="NBH1" s="224"/>
      <c r="NBI1" s="224"/>
      <c r="NBJ1" s="224"/>
      <c r="NBK1" s="224"/>
      <c r="NBL1" s="224"/>
      <c r="NBM1" s="224"/>
      <c r="NBN1" s="224"/>
      <c r="NBO1" s="224"/>
      <c r="NBP1" s="224"/>
      <c r="NBQ1" s="224"/>
      <c r="NBR1" s="224"/>
      <c r="NBS1" s="224"/>
      <c r="NBT1" s="224"/>
      <c r="NBU1" s="224"/>
      <c r="NBV1" s="224"/>
      <c r="NBW1" s="224"/>
      <c r="NBX1" s="224"/>
      <c r="NBY1" s="224"/>
      <c r="NBZ1" s="224"/>
      <c r="NCA1" s="224"/>
      <c r="NCB1" s="224"/>
      <c r="NCC1" s="224"/>
      <c r="NCD1" s="224"/>
      <c r="NCE1" s="224"/>
      <c r="NCF1" s="224"/>
      <c r="NCG1" s="224"/>
      <c r="NCH1" s="224"/>
      <c r="NCI1" s="224"/>
      <c r="NCJ1" s="224"/>
      <c r="NCK1" s="224"/>
      <c r="NCL1" s="224"/>
      <c r="NCM1" s="224"/>
      <c r="NCN1" s="224"/>
      <c r="NCO1" s="224"/>
      <c r="NCP1" s="224"/>
      <c r="NCQ1" s="224"/>
      <c r="NCR1" s="224"/>
      <c r="NCS1" s="224"/>
      <c r="NCT1" s="224"/>
      <c r="NCU1" s="224"/>
      <c r="NCV1" s="224"/>
      <c r="NCW1" s="224"/>
      <c r="NCX1" s="224"/>
      <c r="NCY1" s="224"/>
      <c r="NCZ1" s="224"/>
      <c r="NDA1" s="224"/>
      <c r="NDB1" s="224"/>
      <c r="NDC1" s="224"/>
      <c r="NDD1" s="224"/>
      <c r="NDE1" s="224"/>
      <c r="NDF1" s="224"/>
      <c r="NDG1" s="224"/>
      <c r="NDH1" s="224"/>
      <c r="NDI1" s="224"/>
      <c r="NDJ1" s="224"/>
      <c r="NDK1" s="224"/>
      <c r="NDL1" s="224"/>
      <c r="NDM1" s="224"/>
      <c r="NDN1" s="224"/>
      <c r="NDO1" s="224"/>
      <c r="NDP1" s="224"/>
      <c r="NDQ1" s="224"/>
      <c r="NDR1" s="224"/>
      <c r="NDS1" s="224"/>
      <c r="NDT1" s="224"/>
      <c r="NDU1" s="224"/>
      <c r="NDV1" s="224"/>
      <c r="NDW1" s="224"/>
      <c r="NDX1" s="224"/>
      <c r="NDY1" s="224"/>
      <c r="NDZ1" s="224"/>
      <c r="NEA1" s="224"/>
      <c r="NEB1" s="224"/>
      <c r="NEC1" s="224"/>
      <c r="NED1" s="224"/>
      <c r="NEE1" s="224"/>
      <c r="NEF1" s="224"/>
      <c r="NEG1" s="224"/>
      <c r="NEH1" s="224"/>
      <c r="NEI1" s="224"/>
      <c r="NEJ1" s="224"/>
      <c r="NEK1" s="224"/>
      <c r="NEL1" s="224"/>
      <c r="NEM1" s="224"/>
      <c r="NEN1" s="224"/>
      <c r="NEO1" s="224"/>
      <c r="NEP1" s="224"/>
      <c r="NEQ1" s="224"/>
      <c r="NER1" s="224"/>
      <c r="NES1" s="224"/>
      <c r="NET1" s="224"/>
      <c r="NEU1" s="224"/>
      <c r="NEV1" s="224"/>
      <c r="NEW1" s="224"/>
      <c r="NEX1" s="224"/>
      <c r="NEY1" s="224"/>
      <c r="NEZ1" s="224"/>
      <c r="NFA1" s="224"/>
      <c r="NFB1" s="224"/>
      <c r="NFC1" s="224"/>
      <c r="NFD1" s="224"/>
      <c r="NFE1" s="224"/>
      <c r="NFF1" s="224"/>
      <c r="NFG1" s="224"/>
      <c r="NFH1" s="224"/>
      <c r="NFI1" s="224"/>
      <c r="NFJ1" s="224"/>
      <c r="NFK1" s="224"/>
      <c r="NFL1" s="224"/>
      <c r="NFM1" s="224"/>
      <c r="NFN1" s="224"/>
      <c r="NFO1" s="224"/>
      <c r="NFP1" s="224"/>
      <c r="NFQ1" s="224"/>
      <c r="NFR1" s="224"/>
      <c r="NFS1" s="224"/>
      <c r="NFT1" s="224"/>
      <c r="NFU1" s="224"/>
      <c r="NFV1" s="224"/>
      <c r="NFW1" s="224"/>
      <c r="NFX1" s="224"/>
      <c r="NFY1" s="224"/>
      <c r="NFZ1" s="224"/>
      <c r="NGA1" s="224"/>
      <c r="NGB1" s="224"/>
      <c r="NGC1" s="224"/>
      <c r="NGD1" s="224"/>
      <c r="NGE1" s="224"/>
      <c r="NGF1" s="224"/>
      <c r="NGG1" s="224"/>
      <c r="NGH1" s="224"/>
      <c r="NGI1" s="224"/>
      <c r="NGJ1" s="224"/>
      <c r="NGK1" s="224"/>
      <c r="NGL1" s="224"/>
      <c r="NGM1" s="224"/>
      <c r="NGN1" s="224"/>
      <c r="NGO1" s="224"/>
      <c r="NGP1" s="224"/>
      <c r="NGQ1" s="224"/>
      <c r="NGR1" s="224"/>
      <c r="NGS1" s="224"/>
      <c r="NGT1" s="224"/>
      <c r="NGU1" s="224"/>
      <c r="NGV1" s="224"/>
      <c r="NGW1" s="224"/>
      <c r="NGX1" s="224"/>
      <c r="NGY1" s="224"/>
      <c r="NGZ1" s="224"/>
      <c r="NHA1" s="224"/>
      <c r="NHB1" s="224"/>
      <c r="NHC1" s="224"/>
      <c r="NHD1" s="224"/>
      <c r="NHE1" s="224"/>
      <c r="NHF1" s="224"/>
      <c r="NHG1" s="224"/>
      <c r="NHH1" s="224"/>
      <c r="NHI1" s="224"/>
      <c r="NHJ1" s="224"/>
      <c r="NHK1" s="224"/>
      <c r="NHL1" s="224"/>
      <c r="NHM1" s="224"/>
      <c r="NHN1" s="224"/>
      <c r="NHO1" s="224"/>
      <c r="NHP1" s="224"/>
      <c r="NHQ1" s="224"/>
      <c r="NHR1" s="224"/>
      <c r="NHS1" s="224"/>
      <c r="NHT1" s="224"/>
      <c r="NHU1" s="224"/>
      <c r="NHV1" s="224"/>
      <c r="NHW1" s="224"/>
      <c r="NHX1" s="224"/>
      <c r="NHY1" s="224"/>
      <c r="NHZ1" s="224"/>
      <c r="NIA1" s="224"/>
      <c r="NIB1" s="224"/>
      <c r="NIC1" s="224"/>
      <c r="NID1" s="224"/>
      <c r="NIE1" s="224"/>
      <c r="NIF1" s="224"/>
      <c r="NIG1" s="224"/>
      <c r="NIH1" s="224"/>
      <c r="NII1" s="224"/>
      <c r="NIJ1" s="224"/>
      <c r="NIK1" s="224"/>
      <c r="NIL1" s="224"/>
      <c r="NIM1" s="224"/>
      <c r="NIN1" s="224"/>
      <c r="NIO1" s="224"/>
      <c r="NIP1" s="224"/>
      <c r="NIQ1" s="224"/>
      <c r="NIR1" s="224"/>
      <c r="NIS1" s="224"/>
      <c r="NIT1" s="224"/>
      <c r="NIU1" s="224"/>
      <c r="NIV1" s="224"/>
      <c r="NIW1" s="224"/>
      <c r="NIX1" s="224"/>
      <c r="NIY1" s="224"/>
      <c r="NIZ1" s="224"/>
      <c r="NJA1" s="224"/>
      <c r="NJB1" s="224"/>
      <c r="NJC1" s="224"/>
      <c r="NJD1" s="224"/>
      <c r="NJE1" s="224"/>
      <c r="NJF1" s="224"/>
      <c r="NJG1" s="224"/>
      <c r="NJH1" s="224"/>
      <c r="NJI1" s="224"/>
      <c r="NJJ1" s="224"/>
      <c r="NJK1" s="224"/>
      <c r="NJL1" s="224"/>
      <c r="NJM1" s="224"/>
      <c r="NJN1" s="224"/>
      <c r="NJO1" s="224"/>
      <c r="NJP1" s="224"/>
      <c r="NJQ1" s="224"/>
      <c r="NJR1" s="224"/>
      <c r="NJS1" s="224"/>
      <c r="NJT1" s="224"/>
      <c r="NJU1" s="224"/>
      <c r="NJV1" s="224"/>
      <c r="NJW1" s="224"/>
      <c r="NJX1" s="224"/>
      <c r="NJY1" s="224"/>
      <c r="NJZ1" s="224"/>
      <c r="NKA1" s="224"/>
      <c r="NKB1" s="224"/>
      <c r="NKC1" s="224"/>
      <c r="NKD1" s="224"/>
      <c r="NKE1" s="224"/>
      <c r="NKF1" s="224"/>
      <c r="NKG1" s="224"/>
      <c r="NKH1" s="224"/>
      <c r="NKI1" s="224"/>
      <c r="NKJ1" s="224"/>
      <c r="NKK1" s="224"/>
      <c r="NKL1" s="224"/>
      <c r="NKM1" s="224"/>
      <c r="NKN1" s="224"/>
      <c r="NKO1" s="224"/>
      <c r="NKP1" s="224"/>
      <c r="NKQ1" s="224"/>
      <c r="NKR1" s="224"/>
      <c r="NKS1" s="224"/>
      <c r="NKT1" s="224"/>
      <c r="NKU1" s="224"/>
      <c r="NKV1" s="224"/>
      <c r="NKW1" s="224"/>
      <c r="NKX1" s="224"/>
      <c r="NKY1" s="224"/>
      <c r="NKZ1" s="224"/>
      <c r="NLA1" s="224"/>
      <c r="NLB1" s="224"/>
      <c r="NLC1" s="224"/>
      <c r="NLD1" s="224"/>
      <c r="NLE1" s="224"/>
      <c r="NLF1" s="224"/>
      <c r="NLG1" s="224"/>
      <c r="NLH1" s="224"/>
      <c r="NLI1" s="224"/>
      <c r="NLJ1" s="224"/>
      <c r="NLK1" s="224"/>
      <c r="NLL1" s="224"/>
      <c r="NLM1" s="224"/>
      <c r="NLN1" s="224"/>
      <c r="NLO1" s="224"/>
      <c r="NLP1" s="224"/>
      <c r="NLQ1" s="224"/>
      <c r="NLR1" s="224"/>
      <c r="NLS1" s="224"/>
      <c r="NLT1" s="224"/>
      <c r="NLU1" s="224"/>
      <c r="NLV1" s="224"/>
      <c r="NLW1" s="224"/>
      <c r="NLX1" s="224"/>
      <c r="NLY1" s="224"/>
      <c r="NLZ1" s="224"/>
      <c r="NMA1" s="224"/>
      <c r="NMB1" s="224"/>
      <c r="NMC1" s="224"/>
      <c r="NMD1" s="224"/>
      <c r="NME1" s="224"/>
      <c r="NMF1" s="224"/>
      <c r="NMG1" s="224"/>
      <c r="NMH1" s="224"/>
      <c r="NMI1" s="224"/>
      <c r="NMJ1" s="224"/>
      <c r="NMK1" s="224"/>
      <c r="NML1" s="224"/>
      <c r="NMM1" s="224"/>
      <c r="NMN1" s="224"/>
      <c r="NMO1" s="224"/>
      <c r="NMP1" s="224"/>
      <c r="NMQ1" s="224"/>
      <c r="NMR1" s="224"/>
      <c r="NMS1" s="224"/>
      <c r="NMT1" s="224"/>
      <c r="NMU1" s="224"/>
      <c r="NMV1" s="224"/>
      <c r="NMW1" s="224"/>
      <c r="NMX1" s="224"/>
      <c r="NMY1" s="224"/>
      <c r="NMZ1" s="224"/>
      <c r="NNA1" s="224"/>
      <c r="NNB1" s="224"/>
      <c r="NNC1" s="224"/>
      <c r="NND1" s="224"/>
      <c r="NNE1" s="224"/>
      <c r="NNF1" s="224"/>
      <c r="NNG1" s="224"/>
      <c r="NNH1" s="224"/>
      <c r="NNI1" s="224"/>
      <c r="NNJ1" s="224"/>
      <c r="NNK1" s="224"/>
      <c r="NNL1" s="224"/>
      <c r="NNM1" s="224"/>
      <c r="NNN1" s="224"/>
      <c r="NNO1" s="224"/>
      <c r="NNP1" s="224"/>
      <c r="NNQ1" s="224"/>
      <c r="NNR1" s="224"/>
      <c r="NNS1" s="224"/>
      <c r="NNT1" s="224"/>
      <c r="NNU1" s="224"/>
      <c r="NNV1" s="224"/>
      <c r="NNW1" s="224"/>
      <c r="NNX1" s="224"/>
      <c r="NNY1" s="224"/>
      <c r="NNZ1" s="224"/>
      <c r="NOA1" s="224"/>
      <c r="NOB1" s="224"/>
      <c r="NOC1" s="224"/>
      <c r="NOD1" s="224"/>
      <c r="NOE1" s="224"/>
      <c r="NOF1" s="224"/>
      <c r="NOG1" s="224"/>
      <c r="NOH1" s="224"/>
      <c r="NOI1" s="224"/>
      <c r="NOJ1" s="224"/>
      <c r="NOK1" s="224"/>
      <c r="NOL1" s="224"/>
      <c r="NOM1" s="224"/>
      <c r="NON1" s="224"/>
      <c r="NOO1" s="224"/>
      <c r="NOP1" s="224"/>
      <c r="NOQ1" s="224"/>
      <c r="NOR1" s="224"/>
      <c r="NOS1" s="224"/>
      <c r="NOT1" s="224"/>
      <c r="NOU1" s="224"/>
      <c r="NOV1" s="224"/>
      <c r="NOW1" s="224"/>
      <c r="NOX1" s="224"/>
      <c r="NOY1" s="224"/>
      <c r="NOZ1" s="224"/>
      <c r="NPA1" s="224"/>
      <c r="NPB1" s="224"/>
      <c r="NPC1" s="224"/>
      <c r="NPD1" s="224"/>
      <c r="NPE1" s="224"/>
      <c r="NPF1" s="224"/>
      <c r="NPG1" s="224"/>
      <c r="NPH1" s="224"/>
      <c r="NPI1" s="224"/>
      <c r="NPJ1" s="224"/>
      <c r="NPK1" s="224"/>
      <c r="NPL1" s="224"/>
      <c r="NPM1" s="224"/>
      <c r="NPN1" s="224"/>
      <c r="NPO1" s="224"/>
      <c r="NPP1" s="224"/>
      <c r="NPQ1" s="224"/>
      <c r="NPR1" s="224"/>
      <c r="NPS1" s="224"/>
      <c r="NPT1" s="224"/>
      <c r="NPU1" s="224"/>
      <c r="NPV1" s="224"/>
      <c r="NPW1" s="224"/>
      <c r="NPX1" s="224"/>
      <c r="NPY1" s="224"/>
      <c r="NPZ1" s="224"/>
      <c r="NQA1" s="224"/>
      <c r="NQB1" s="224"/>
      <c r="NQC1" s="224"/>
      <c r="NQD1" s="224"/>
      <c r="NQE1" s="224"/>
      <c r="NQF1" s="224"/>
      <c r="NQG1" s="224"/>
      <c r="NQH1" s="224"/>
      <c r="NQI1" s="224"/>
      <c r="NQJ1" s="224"/>
      <c r="NQK1" s="224"/>
      <c r="NQL1" s="224"/>
      <c r="NQM1" s="224"/>
      <c r="NQN1" s="224"/>
      <c r="NQO1" s="224"/>
      <c r="NQP1" s="224"/>
      <c r="NQQ1" s="224"/>
      <c r="NQR1" s="224"/>
      <c r="NQS1" s="224"/>
      <c r="NQT1" s="224"/>
      <c r="NQU1" s="224"/>
      <c r="NQV1" s="224"/>
      <c r="NQW1" s="224"/>
      <c r="NQX1" s="224"/>
      <c r="NQY1" s="224"/>
      <c r="NQZ1" s="224"/>
      <c r="NRA1" s="224"/>
      <c r="NRB1" s="224"/>
      <c r="NRC1" s="224"/>
      <c r="NRD1" s="224"/>
      <c r="NRE1" s="224"/>
      <c r="NRF1" s="224"/>
      <c r="NRG1" s="224"/>
      <c r="NRH1" s="224"/>
      <c r="NRI1" s="224"/>
      <c r="NRJ1" s="224"/>
      <c r="NRK1" s="224"/>
      <c r="NRL1" s="224"/>
      <c r="NRM1" s="224"/>
      <c r="NRN1" s="224"/>
      <c r="NRO1" s="224"/>
      <c r="NRP1" s="224"/>
      <c r="NRQ1" s="224"/>
      <c r="NRR1" s="224"/>
      <c r="NRS1" s="224"/>
      <c r="NRT1" s="224"/>
      <c r="NRU1" s="224"/>
      <c r="NRV1" s="224"/>
      <c r="NRW1" s="224"/>
      <c r="NRX1" s="224"/>
      <c r="NRY1" s="224"/>
      <c r="NRZ1" s="224"/>
      <c r="NSA1" s="224"/>
      <c r="NSB1" s="224"/>
      <c r="NSC1" s="224"/>
      <c r="NSD1" s="224"/>
      <c r="NSE1" s="224"/>
      <c r="NSF1" s="224"/>
      <c r="NSG1" s="224"/>
      <c r="NSH1" s="224"/>
      <c r="NSI1" s="224"/>
      <c r="NSJ1" s="224"/>
      <c r="NSK1" s="224"/>
      <c r="NSL1" s="224"/>
      <c r="NSM1" s="224"/>
      <c r="NSN1" s="224"/>
      <c r="NSO1" s="224"/>
      <c r="NSP1" s="224"/>
      <c r="NSQ1" s="224"/>
      <c r="NSR1" s="224"/>
      <c r="NSS1" s="224"/>
      <c r="NST1" s="224"/>
      <c r="NSU1" s="224"/>
      <c r="NSV1" s="224"/>
      <c r="NSW1" s="224"/>
      <c r="NSX1" s="224"/>
      <c r="NSY1" s="224"/>
      <c r="NSZ1" s="224"/>
      <c r="NTA1" s="224"/>
      <c r="NTB1" s="224"/>
      <c r="NTC1" s="224"/>
      <c r="NTD1" s="224"/>
      <c r="NTE1" s="224"/>
      <c r="NTF1" s="224"/>
      <c r="NTG1" s="224"/>
      <c r="NTH1" s="224"/>
      <c r="NTI1" s="224"/>
      <c r="NTJ1" s="224"/>
      <c r="NTK1" s="224"/>
      <c r="NTL1" s="224"/>
      <c r="NTM1" s="224"/>
      <c r="NTN1" s="224"/>
      <c r="NTO1" s="224"/>
      <c r="NTP1" s="224"/>
      <c r="NTQ1" s="224"/>
      <c r="NTR1" s="224"/>
      <c r="NTS1" s="224"/>
      <c r="NTT1" s="224"/>
      <c r="NTU1" s="224"/>
      <c r="NTV1" s="224"/>
      <c r="NTW1" s="224"/>
      <c r="NTX1" s="224"/>
      <c r="NTY1" s="224"/>
      <c r="NTZ1" s="224"/>
      <c r="NUA1" s="224"/>
      <c r="NUB1" s="224"/>
      <c r="NUC1" s="224"/>
      <c r="NUD1" s="224"/>
      <c r="NUE1" s="224"/>
      <c r="NUF1" s="224"/>
      <c r="NUG1" s="224"/>
      <c r="NUH1" s="224"/>
      <c r="NUI1" s="224"/>
      <c r="NUJ1" s="224"/>
      <c r="NUK1" s="224"/>
      <c r="NUL1" s="224"/>
      <c r="NUM1" s="224"/>
      <c r="NUN1" s="224"/>
      <c r="NUO1" s="224"/>
      <c r="NUP1" s="224"/>
      <c r="NUQ1" s="224"/>
      <c r="NUR1" s="224"/>
      <c r="NUS1" s="224"/>
      <c r="NUT1" s="224"/>
      <c r="NUU1" s="224"/>
      <c r="NUV1" s="224"/>
      <c r="NUW1" s="224"/>
      <c r="NUX1" s="224"/>
      <c r="NUY1" s="224"/>
      <c r="NUZ1" s="224"/>
      <c r="NVA1" s="224"/>
      <c r="NVB1" s="224"/>
      <c r="NVC1" s="224"/>
      <c r="NVD1" s="224"/>
      <c r="NVE1" s="224"/>
      <c r="NVF1" s="224"/>
      <c r="NVG1" s="224"/>
      <c r="NVH1" s="224"/>
      <c r="NVI1" s="224"/>
      <c r="NVJ1" s="224"/>
      <c r="NVK1" s="224"/>
      <c r="NVL1" s="224"/>
      <c r="NVM1" s="224"/>
      <c r="NVN1" s="224"/>
      <c r="NVO1" s="224"/>
      <c r="NVP1" s="224"/>
      <c r="NVQ1" s="224"/>
      <c r="NVR1" s="224"/>
      <c r="NVS1" s="224"/>
      <c r="NVT1" s="224"/>
      <c r="NVU1" s="224"/>
      <c r="NVV1" s="224"/>
      <c r="NVW1" s="224"/>
      <c r="NVX1" s="224"/>
      <c r="NVY1" s="224"/>
      <c r="NVZ1" s="224"/>
      <c r="NWA1" s="224"/>
      <c r="NWB1" s="224"/>
      <c r="NWC1" s="224"/>
      <c r="NWD1" s="224"/>
      <c r="NWE1" s="224"/>
      <c r="NWF1" s="224"/>
      <c r="NWG1" s="224"/>
      <c r="NWH1" s="224"/>
      <c r="NWI1" s="224"/>
      <c r="NWJ1" s="224"/>
      <c r="NWK1" s="224"/>
      <c r="NWL1" s="224"/>
      <c r="NWM1" s="224"/>
      <c r="NWN1" s="224"/>
      <c r="NWO1" s="224"/>
      <c r="NWP1" s="224"/>
      <c r="NWQ1" s="224"/>
      <c r="NWR1" s="224"/>
      <c r="NWS1" s="224"/>
      <c r="NWT1" s="224"/>
      <c r="NWU1" s="224"/>
      <c r="NWV1" s="224"/>
      <c r="NWW1" s="224"/>
      <c r="NWX1" s="224"/>
      <c r="NWY1" s="224"/>
      <c r="NWZ1" s="224"/>
      <c r="NXA1" s="224"/>
      <c r="NXB1" s="224"/>
      <c r="NXC1" s="224"/>
      <c r="NXD1" s="224"/>
      <c r="NXE1" s="224"/>
      <c r="NXF1" s="224"/>
      <c r="NXG1" s="224"/>
      <c r="NXH1" s="224"/>
      <c r="NXI1" s="224"/>
      <c r="NXJ1" s="224"/>
      <c r="NXK1" s="224"/>
      <c r="NXL1" s="224"/>
      <c r="NXM1" s="224"/>
      <c r="NXN1" s="224"/>
      <c r="NXO1" s="224"/>
      <c r="NXP1" s="224"/>
      <c r="NXQ1" s="224"/>
      <c r="NXR1" s="224"/>
      <c r="NXS1" s="224"/>
      <c r="NXT1" s="224"/>
      <c r="NXU1" s="224"/>
      <c r="NXV1" s="224"/>
      <c r="NXW1" s="224"/>
      <c r="NXX1" s="224"/>
      <c r="NXY1" s="224"/>
      <c r="NXZ1" s="224"/>
      <c r="NYA1" s="224"/>
      <c r="NYB1" s="224"/>
      <c r="NYC1" s="224"/>
      <c r="NYD1" s="224"/>
      <c r="NYE1" s="224"/>
      <c r="NYF1" s="224"/>
      <c r="NYG1" s="224"/>
      <c r="NYH1" s="224"/>
      <c r="NYI1" s="224"/>
      <c r="NYJ1" s="224"/>
      <c r="NYK1" s="224"/>
      <c r="NYL1" s="224"/>
      <c r="NYM1" s="224"/>
      <c r="NYN1" s="224"/>
      <c r="NYO1" s="224"/>
      <c r="NYP1" s="224"/>
      <c r="NYQ1" s="224"/>
      <c r="NYR1" s="224"/>
      <c r="NYS1" s="224"/>
      <c r="NYT1" s="224"/>
      <c r="NYU1" s="224"/>
      <c r="NYV1" s="224"/>
      <c r="NYW1" s="224"/>
      <c r="NYX1" s="224"/>
      <c r="NYY1" s="224"/>
      <c r="NYZ1" s="224"/>
      <c r="NZA1" s="224"/>
      <c r="NZB1" s="224"/>
      <c r="NZC1" s="224"/>
      <c r="NZD1" s="224"/>
      <c r="NZE1" s="224"/>
      <c r="NZF1" s="224"/>
      <c r="NZG1" s="224"/>
      <c r="NZH1" s="224"/>
      <c r="NZI1" s="224"/>
      <c r="NZJ1" s="224"/>
      <c r="NZK1" s="224"/>
      <c r="NZL1" s="224"/>
      <c r="NZM1" s="224"/>
      <c r="NZN1" s="224"/>
      <c r="NZO1" s="224"/>
      <c r="NZP1" s="224"/>
      <c r="NZQ1" s="224"/>
      <c r="NZR1" s="224"/>
      <c r="NZS1" s="224"/>
      <c r="NZT1" s="224"/>
      <c r="NZU1" s="224"/>
      <c r="NZV1" s="224"/>
      <c r="NZW1" s="224"/>
      <c r="NZX1" s="224"/>
      <c r="NZY1" s="224"/>
      <c r="NZZ1" s="224"/>
      <c r="OAA1" s="224"/>
      <c r="OAB1" s="224"/>
      <c r="OAC1" s="224"/>
      <c r="OAD1" s="224"/>
      <c r="OAE1" s="224"/>
      <c r="OAF1" s="224"/>
      <c r="OAG1" s="224"/>
      <c r="OAH1" s="224"/>
      <c r="OAI1" s="224"/>
      <c r="OAJ1" s="224"/>
      <c r="OAK1" s="224"/>
      <c r="OAL1" s="224"/>
      <c r="OAM1" s="224"/>
      <c r="OAN1" s="224"/>
      <c r="OAO1" s="224"/>
      <c r="OAP1" s="224"/>
      <c r="OAQ1" s="224"/>
      <c r="OAR1" s="224"/>
      <c r="OAS1" s="224"/>
      <c r="OAT1" s="224"/>
      <c r="OAU1" s="224"/>
      <c r="OAV1" s="224"/>
      <c r="OAW1" s="224"/>
      <c r="OAX1" s="224"/>
      <c r="OAY1" s="224"/>
      <c r="OAZ1" s="224"/>
      <c r="OBA1" s="224"/>
      <c r="OBB1" s="224"/>
      <c r="OBC1" s="224"/>
      <c r="OBD1" s="224"/>
      <c r="OBE1" s="224"/>
      <c r="OBF1" s="224"/>
      <c r="OBG1" s="224"/>
      <c r="OBH1" s="224"/>
      <c r="OBI1" s="224"/>
      <c r="OBJ1" s="224"/>
      <c r="OBK1" s="224"/>
      <c r="OBL1" s="224"/>
      <c r="OBM1" s="224"/>
      <c r="OBN1" s="224"/>
      <c r="OBO1" s="224"/>
      <c r="OBP1" s="224"/>
      <c r="OBQ1" s="224"/>
      <c r="OBR1" s="224"/>
      <c r="OBS1" s="224"/>
      <c r="OBT1" s="224"/>
      <c r="OBU1" s="224"/>
      <c r="OBV1" s="224"/>
      <c r="OBW1" s="224"/>
      <c r="OBX1" s="224"/>
      <c r="OBY1" s="224"/>
      <c r="OBZ1" s="224"/>
      <c r="OCA1" s="224"/>
      <c r="OCB1" s="224"/>
      <c r="OCC1" s="224"/>
      <c r="OCD1" s="224"/>
      <c r="OCE1" s="224"/>
      <c r="OCF1" s="224"/>
      <c r="OCG1" s="224"/>
      <c r="OCH1" s="224"/>
      <c r="OCI1" s="224"/>
      <c r="OCJ1" s="224"/>
      <c r="OCK1" s="224"/>
      <c r="OCL1" s="224"/>
      <c r="OCM1" s="224"/>
      <c r="OCN1" s="224"/>
      <c r="OCO1" s="224"/>
      <c r="OCP1" s="224"/>
      <c r="OCQ1" s="224"/>
      <c r="OCR1" s="224"/>
      <c r="OCS1" s="224"/>
      <c r="OCT1" s="224"/>
      <c r="OCU1" s="224"/>
      <c r="OCV1" s="224"/>
      <c r="OCW1" s="224"/>
      <c r="OCX1" s="224"/>
      <c r="OCY1" s="224"/>
      <c r="OCZ1" s="224"/>
      <c r="ODA1" s="224"/>
      <c r="ODB1" s="224"/>
      <c r="ODC1" s="224"/>
      <c r="ODD1" s="224"/>
      <c r="ODE1" s="224"/>
      <c r="ODF1" s="224"/>
      <c r="ODG1" s="224"/>
      <c r="ODH1" s="224"/>
      <c r="ODI1" s="224"/>
      <c r="ODJ1" s="224"/>
      <c r="ODK1" s="224"/>
      <c r="ODL1" s="224"/>
      <c r="ODM1" s="224"/>
      <c r="ODN1" s="224"/>
      <c r="ODO1" s="224"/>
      <c r="ODP1" s="224"/>
      <c r="ODQ1" s="224"/>
      <c r="ODR1" s="224"/>
      <c r="ODS1" s="224"/>
      <c r="ODT1" s="224"/>
      <c r="ODU1" s="224"/>
      <c r="ODV1" s="224"/>
      <c r="ODW1" s="224"/>
      <c r="ODX1" s="224"/>
      <c r="ODY1" s="224"/>
      <c r="ODZ1" s="224"/>
      <c r="OEA1" s="224"/>
      <c r="OEB1" s="224"/>
      <c r="OEC1" s="224"/>
      <c r="OED1" s="224"/>
      <c r="OEE1" s="224"/>
      <c r="OEF1" s="224"/>
      <c r="OEG1" s="224"/>
      <c r="OEH1" s="224"/>
      <c r="OEI1" s="224"/>
      <c r="OEJ1" s="224"/>
      <c r="OEK1" s="224"/>
      <c r="OEL1" s="224"/>
      <c r="OEM1" s="224"/>
      <c r="OEN1" s="224"/>
      <c r="OEO1" s="224"/>
      <c r="OEP1" s="224"/>
      <c r="OEQ1" s="224"/>
      <c r="OER1" s="224"/>
      <c r="OES1" s="224"/>
      <c r="OET1" s="224"/>
      <c r="OEU1" s="224"/>
      <c r="OEV1" s="224"/>
      <c r="OEW1" s="224"/>
      <c r="OEX1" s="224"/>
      <c r="OEY1" s="224"/>
      <c r="OEZ1" s="224"/>
      <c r="OFA1" s="224"/>
      <c r="OFB1" s="224"/>
      <c r="OFC1" s="224"/>
      <c r="OFD1" s="224"/>
      <c r="OFE1" s="224"/>
      <c r="OFF1" s="224"/>
      <c r="OFG1" s="224"/>
      <c r="OFH1" s="224"/>
      <c r="OFI1" s="224"/>
      <c r="OFJ1" s="224"/>
      <c r="OFK1" s="224"/>
      <c r="OFL1" s="224"/>
      <c r="OFM1" s="224"/>
      <c r="OFN1" s="224"/>
      <c r="OFO1" s="224"/>
      <c r="OFP1" s="224"/>
      <c r="OFQ1" s="224"/>
      <c r="OFR1" s="224"/>
      <c r="OFS1" s="224"/>
      <c r="OFT1" s="224"/>
      <c r="OFU1" s="224"/>
      <c r="OFV1" s="224"/>
      <c r="OFW1" s="224"/>
      <c r="OFX1" s="224"/>
      <c r="OFY1" s="224"/>
      <c r="OFZ1" s="224"/>
      <c r="OGA1" s="224"/>
      <c r="OGB1" s="224"/>
      <c r="OGC1" s="224"/>
      <c r="OGD1" s="224"/>
      <c r="OGE1" s="224"/>
      <c r="OGF1" s="224"/>
      <c r="OGG1" s="224"/>
      <c r="OGH1" s="224"/>
      <c r="OGI1" s="224"/>
      <c r="OGJ1" s="224"/>
      <c r="OGK1" s="224"/>
      <c r="OGL1" s="224"/>
      <c r="OGM1" s="224"/>
      <c r="OGN1" s="224"/>
      <c r="OGO1" s="224"/>
      <c r="OGP1" s="224"/>
      <c r="OGQ1" s="224"/>
      <c r="OGR1" s="224"/>
      <c r="OGS1" s="224"/>
      <c r="OGT1" s="224"/>
      <c r="OGU1" s="224"/>
      <c r="OGV1" s="224"/>
      <c r="OGW1" s="224"/>
      <c r="OGX1" s="224"/>
      <c r="OGY1" s="224"/>
      <c r="OGZ1" s="224"/>
      <c r="OHA1" s="224"/>
      <c r="OHB1" s="224"/>
      <c r="OHC1" s="224"/>
      <c r="OHD1" s="224"/>
      <c r="OHE1" s="224"/>
      <c r="OHF1" s="224"/>
      <c r="OHG1" s="224"/>
      <c r="OHH1" s="224"/>
      <c r="OHI1" s="224"/>
      <c r="OHJ1" s="224"/>
      <c r="OHK1" s="224"/>
      <c r="OHL1" s="224"/>
      <c r="OHM1" s="224"/>
      <c r="OHN1" s="224"/>
      <c r="OHO1" s="224"/>
      <c r="OHP1" s="224"/>
      <c r="OHQ1" s="224"/>
      <c r="OHR1" s="224"/>
      <c r="OHS1" s="224"/>
      <c r="OHT1" s="224"/>
      <c r="OHU1" s="224"/>
      <c r="OHV1" s="224"/>
      <c r="OHW1" s="224"/>
      <c r="OHX1" s="224"/>
      <c r="OHY1" s="224"/>
      <c r="OHZ1" s="224"/>
      <c r="OIA1" s="224"/>
      <c r="OIB1" s="224"/>
      <c r="OIC1" s="224"/>
      <c r="OID1" s="224"/>
      <c r="OIE1" s="224"/>
      <c r="OIF1" s="224"/>
      <c r="OIG1" s="224"/>
      <c r="OIH1" s="224"/>
      <c r="OII1" s="224"/>
      <c r="OIJ1" s="224"/>
      <c r="OIK1" s="224"/>
      <c r="OIL1" s="224"/>
      <c r="OIM1" s="224"/>
      <c r="OIN1" s="224"/>
      <c r="OIO1" s="224"/>
      <c r="OIP1" s="224"/>
      <c r="OIQ1" s="224"/>
      <c r="OIR1" s="224"/>
      <c r="OIS1" s="224"/>
      <c r="OIT1" s="224"/>
      <c r="OIU1" s="224"/>
      <c r="OIV1" s="224"/>
      <c r="OIW1" s="224"/>
      <c r="OIX1" s="224"/>
      <c r="OIY1" s="224"/>
      <c r="OIZ1" s="224"/>
      <c r="OJA1" s="224"/>
      <c r="OJB1" s="224"/>
      <c r="OJC1" s="224"/>
      <c r="OJD1" s="224"/>
      <c r="OJE1" s="224"/>
      <c r="OJF1" s="224"/>
      <c r="OJG1" s="224"/>
      <c r="OJH1" s="224"/>
      <c r="OJI1" s="224"/>
      <c r="OJJ1" s="224"/>
      <c r="OJK1" s="224"/>
      <c r="OJL1" s="224"/>
      <c r="OJM1" s="224"/>
      <c r="OJN1" s="224"/>
      <c r="OJO1" s="224"/>
      <c r="OJP1" s="224"/>
      <c r="OJQ1" s="224"/>
      <c r="OJR1" s="224"/>
      <c r="OJS1" s="224"/>
      <c r="OJT1" s="224"/>
      <c r="OJU1" s="224"/>
      <c r="OJV1" s="224"/>
      <c r="OJW1" s="224"/>
      <c r="OJX1" s="224"/>
      <c r="OJY1" s="224"/>
      <c r="OJZ1" s="224"/>
      <c r="OKA1" s="224"/>
      <c r="OKB1" s="224"/>
      <c r="OKC1" s="224"/>
      <c r="OKD1" s="224"/>
      <c r="OKE1" s="224"/>
      <c r="OKF1" s="224"/>
      <c r="OKG1" s="224"/>
      <c r="OKH1" s="224"/>
      <c r="OKI1" s="224"/>
      <c r="OKJ1" s="224"/>
      <c r="OKK1" s="224"/>
      <c r="OKL1" s="224"/>
      <c r="OKM1" s="224"/>
      <c r="OKN1" s="224"/>
      <c r="OKO1" s="224"/>
      <c r="OKP1" s="224"/>
      <c r="OKQ1" s="224"/>
      <c r="OKR1" s="224"/>
      <c r="OKS1" s="224"/>
      <c r="OKT1" s="224"/>
      <c r="OKU1" s="224"/>
      <c r="OKV1" s="224"/>
      <c r="OKW1" s="224"/>
      <c r="OKX1" s="224"/>
      <c r="OKY1" s="224"/>
      <c r="OKZ1" s="224"/>
      <c r="OLA1" s="224"/>
      <c r="OLB1" s="224"/>
      <c r="OLC1" s="224"/>
      <c r="OLD1" s="224"/>
      <c r="OLE1" s="224"/>
      <c r="OLF1" s="224"/>
      <c r="OLG1" s="224"/>
      <c r="OLH1" s="224"/>
      <c r="OLI1" s="224"/>
      <c r="OLJ1" s="224"/>
      <c r="OLK1" s="224"/>
      <c r="OLL1" s="224"/>
      <c r="OLM1" s="224"/>
      <c r="OLN1" s="224"/>
      <c r="OLO1" s="224"/>
      <c r="OLP1" s="224"/>
      <c r="OLQ1" s="224"/>
      <c r="OLR1" s="224"/>
      <c r="OLS1" s="224"/>
      <c r="OLT1" s="224"/>
      <c r="OLU1" s="224"/>
      <c r="OLV1" s="224"/>
      <c r="OLW1" s="224"/>
      <c r="OLX1" s="224"/>
      <c r="OLY1" s="224"/>
      <c r="OLZ1" s="224"/>
      <c r="OMA1" s="224"/>
      <c r="OMB1" s="224"/>
      <c r="OMC1" s="224"/>
      <c r="OMD1" s="224"/>
      <c r="OME1" s="224"/>
      <c r="OMF1" s="224"/>
      <c r="OMG1" s="224"/>
      <c r="OMH1" s="224"/>
      <c r="OMI1" s="224"/>
      <c r="OMJ1" s="224"/>
      <c r="OMK1" s="224"/>
      <c r="OML1" s="224"/>
      <c r="OMM1" s="224"/>
      <c r="OMN1" s="224"/>
      <c r="OMO1" s="224"/>
      <c r="OMP1" s="224"/>
      <c r="OMQ1" s="224"/>
      <c r="OMR1" s="224"/>
      <c r="OMS1" s="224"/>
      <c r="OMT1" s="224"/>
      <c r="OMU1" s="224"/>
      <c r="OMV1" s="224"/>
      <c r="OMW1" s="224"/>
      <c r="OMX1" s="224"/>
      <c r="OMY1" s="224"/>
      <c r="OMZ1" s="224"/>
      <c r="ONA1" s="224"/>
      <c r="ONB1" s="224"/>
      <c r="ONC1" s="224"/>
      <c r="OND1" s="224"/>
      <c r="ONE1" s="224"/>
      <c r="ONF1" s="224"/>
      <c r="ONG1" s="224"/>
      <c r="ONH1" s="224"/>
      <c r="ONI1" s="224"/>
      <c r="ONJ1" s="224"/>
      <c r="ONK1" s="224"/>
      <c r="ONL1" s="224"/>
      <c r="ONM1" s="224"/>
      <c r="ONN1" s="224"/>
      <c r="ONO1" s="224"/>
      <c r="ONP1" s="224"/>
      <c r="ONQ1" s="224"/>
      <c r="ONR1" s="224"/>
      <c r="ONS1" s="224"/>
      <c r="ONT1" s="224"/>
      <c r="ONU1" s="224"/>
      <c r="ONV1" s="224"/>
      <c r="ONW1" s="224"/>
      <c r="ONX1" s="224"/>
      <c r="ONY1" s="224"/>
      <c r="ONZ1" s="224"/>
      <c r="OOA1" s="224"/>
      <c r="OOB1" s="224"/>
      <c r="OOC1" s="224"/>
      <c r="OOD1" s="224"/>
      <c r="OOE1" s="224"/>
      <c r="OOF1" s="224"/>
      <c r="OOG1" s="224"/>
      <c r="OOH1" s="224"/>
      <c r="OOI1" s="224"/>
      <c r="OOJ1" s="224"/>
      <c r="OOK1" s="224"/>
      <c r="OOL1" s="224"/>
      <c r="OOM1" s="224"/>
      <c r="OON1" s="224"/>
      <c r="OOO1" s="224"/>
      <c r="OOP1" s="224"/>
      <c r="OOQ1" s="224"/>
      <c r="OOR1" s="224"/>
      <c r="OOS1" s="224"/>
      <c r="OOT1" s="224"/>
      <c r="OOU1" s="224"/>
      <c r="OOV1" s="224"/>
      <c r="OOW1" s="224"/>
      <c r="OOX1" s="224"/>
      <c r="OOY1" s="224"/>
      <c r="OOZ1" s="224"/>
      <c r="OPA1" s="224"/>
      <c r="OPB1" s="224"/>
      <c r="OPC1" s="224"/>
      <c r="OPD1" s="224"/>
      <c r="OPE1" s="224"/>
      <c r="OPF1" s="224"/>
      <c r="OPG1" s="224"/>
      <c r="OPH1" s="224"/>
      <c r="OPI1" s="224"/>
      <c r="OPJ1" s="224"/>
      <c r="OPK1" s="224"/>
      <c r="OPL1" s="224"/>
      <c r="OPM1" s="224"/>
      <c r="OPN1" s="224"/>
      <c r="OPO1" s="224"/>
      <c r="OPP1" s="224"/>
      <c r="OPQ1" s="224"/>
      <c r="OPR1" s="224"/>
      <c r="OPS1" s="224"/>
      <c r="OPT1" s="224"/>
      <c r="OPU1" s="224"/>
      <c r="OPV1" s="224"/>
      <c r="OPW1" s="224"/>
      <c r="OPX1" s="224"/>
      <c r="OPY1" s="224"/>
      <c r="OPZ1" s="224"/>
      <c r="OQA1" s="224"/>
      <c r="OQB1" s="224"/>
      <c r="OQC1" s="224"/>
      <c r="OQD1" s="224"/>
      <c r="OQE1" s="224"/>
      <c r="OQF1" s="224"/>
      <c r="OQG1" s="224"/>
      <c r="OQH1" s="224"/>
      <c r="OQI1" s="224"/>
      <c r="OQJ1" s="224"/>
      <c r="OQK1" s="224"/>
      <c r="OQL1" s="224"/>
      <c r="OQM1" s="224"/>
      <c r="OQN1" s="224"/>
      <c r="OQO1" s="224"/>
      <c r="OQP1" s="224"/>
      <c r="OQQ1" s="224"/>
      <c r="OQR1" s="224"/>
      <c r="OQS1" s="224"/>
      <c r="OQT1" s="224"/>
      <c r="OQU1" s="224"/>
      <c r="OQV1" s="224"/>
      <c r="OQW1" s="224"/>
      <c r="OQX1" s="224"/>
      <c r="OQY1" s="224"/>
      <c r="OQZ1" s="224"/>
      <c r="ORA1" s="224"/>
      <c r="ORB1" s="224"/>
      <c r="ORC1" s="224"/>
      <c r="ORD1" s="224"/>
      <c r="ORE1" s="224"/>
      <c r="ORF1" s="224"/>
      <c r="ORG1" s="224"/>
      <c r="ORH1" s="224"/>
      <c r="ORI1" s="224"/>
      <c r="ORJ1" s="224"/>
      <c r="ORK1" s="224"/>
      <c r="ORL1" s="224"/>
      <c r="ORM1" s="224"/>
      <c r="ORN1" s="224"/>
      <c r="ORO1" s="224"/>
      <c r="ORP1" s="224"/>
      <c r="ORQ1" s="224"/>
      <c r="ORR1" s="224"/>
      <c r="ORS1" s="224"/>
      <c r="ORT1" s="224"/>
      <c r="ORU1" s="224"/>
      <c r="ORV1" s="224"/>
      <c r="ORW1" s="224"/>
      <c r="ORX1" s="224"/>
      <c r="ORY1" s="224"/>
      <c r="ORZ1" s="224"/>
      <c r="OSA1" s="224"/>
      <c r="OSB1" s="224"/>
      <c r="OSC1" s="224"/>
      <c r="OSD1" s="224"/>
      <c r="OSE1" s="224"/>
      <c r="OSF1" s="224"/>
      <c r="OSG1" s="224"/>
      <c r="OSH1" s="224"/>
      <c r="OSI1" s="224"/>
      <c r="OSJ1" s="224"/>
      <c r="OSK1" s="224"/>
      <c r="OSL1" s="224"/>
      <c r="OSM1" s="224"/>
      <c r="OSN1" s="224"/>
      <c r="OSO1" s="224"/>
      <c r="OSP1" s="224"/>
      <c r="OSQ1" s="224"/>
      <c r="OSR1" s="224"/>
      <c r="OSS1" s="224"/>
      <c r="OST1" s="224"/>
      <c r="OSU1" s="224"/>
      <c r="OSV1" s="224"/>
      <c r="OSW1" s="224"/>
      <c r="OSX1" s="224"/>
      <c r="OSY1" s="224"/>
      <c r="OSZ1" s="224"/>
      <c r="OTA1" s="224"/>
      <c r="OTB1" s="224"/>
      <c r="OTC1" s="224"/>
      <c r="OTD1" s="224"/>
      <c r="OTE1" s="224"/>
      <c r="OTF1" s="224"/>
      <c r="OTG1" s="224"/>
      <c r="OTH1" s="224"/>
      <c r="OTI1" s="224"/>
      <c r="OTJ1" s="224"/>
      <c r="OTK1" s="224"/>
      <c r="OTL1" s="224"/>
      <c r="OTM1" s="224"/>
      <c r="OTN1" s="224"/>
      <c r="OTO1" s="224"/>
      <c r="OTP1" s="224"/>
      <c r="OTQ1" s="224"/>
      <c r="OTR1" s="224"/>
      <c r="OTS1" s="224"/>
      <c r="OTT1" s="224"/>
      <c r="OTU1" s="224"/>
      <c r="OTV1" s="224"/>
      <c r="OTW1" s="224"/>
      <c r="OTX1" s="224"/>
      <c r="OTY1" s="224"/>
      <c r="OTZ1" s="224"/>
      <c r="OUA1" s="224"/>
      <c r="OUB1" s="224"/>
      <c r="OUC1" s="224"/>
      <c r="OUD1" s="224"/>
      <c r="OUE1" s="224"/>
      <c r="OUF1" s="224"/>
      <c r="OUG1" s="224"/>
      <c r="OUH1" s="224"/>
      <c r="OUI1" s="224"/>
      <c r="OUJ1" s="224"/>
      <c r="OUK1" s="224"/>
      <c r="OUL1" s="224"/>
      <c r="OUM1" s="224"/>
      <c r="OUN1" s="224"/>
      <c r="OUO1" s="224"/>
      <c r="OUP1" s="224"/>
      <c r="OUQ1" s="224"/>
      <c r="OUR1" s="224"/>
      <c r="OUS1" s="224"/>
      <c r="OUT1" s="224"/>
      <c r="OUU1" s="224"/>
      <c r="OUV1" s="224"/>
      <c r="OUW1" s="224"/>
      <c r="OUX1" s="224"/>
      <c r="OUY1" s="224"/>
      <c r="OUZ1" s="224"/>
      <c r="OVA1" s="224"/>
      <c r="OVB1" s="224"/>
      <c r="OVC1" s="224"/>
      <c r="OVD1" s="224"/>
      <c r="OVE1" s="224"/>
      <c r="OVF1" s="224"/>
      <c r="OVG1" s="224"/>
      <c r="OVH1" s="224"/>
      <c r="OVI1" s="224"/>
      <c r="OVJ1" s="224"/>
      <c r="OVK1" s="224"/>
      <c r="OVL1" s="224"/>
      <c r="OVM1" s="224"/>
      <c r="OVN1" s="224"/>
      <c r="OVO1" s="224"/>
      <c r="OVP1" s="224"/>
      <c r="OVQ1" s="224"/>
      <c r="OVR1" s="224"/>
      <c r="OVS1" s="224"/>
      <c r="OVT1" s="224"/>
      <c r="OVU1" s="224"/>
      <c r="OVV1" s="224"/>
      <c r="OVW1" s="224"/>
      <c r="OVX1" s="224"/>
      <c r="OVY1" s="224"/>
      <c r="OVZ1" s="224"/>
      <c r="OWA1" s="224"/>
      <c r="OWB1" s="224"/>
      <c r="OWC1" s="224"/>
      <c r="OWD1" s="224"/>
      <c r="OWE1" s="224"/>
      <c r="OWF1" s="224"/>
      <c r="OWG1" s="224"/>
      <c r="OWH1" s="224"/>
      <c r="OWI1" s="224"/>
      <c r="OWJ1" s="224"/>
      <c r="OWK1" s="224"/>
      <c r="OWL1" s="224"/>
      <c r="OWM1" s="224"/>
      <c r="OWN1" s="224"/>
      <c r="OWO1" s="224"/>
      <c r="OWP1" s="224"/>
      <c r="OWQ1" s="224"/>
      <c r="OWR1" s="224"/>
      <c r="OWS1" s="224"/>
      <c r="OWT1" s="224"/>
      <c r="OWU1" s="224"/>
      <c r="OWV1" s="224"/>
      <c r="OWW1" s="224"/>
      <c r="OWX1" s="224"/>
      <c r="OWY1" s="224"/>
      <c r="OWZ1" s="224"/>
      <c r="OXA1" s="224"/>
      <c r="OXB1" s="224"/>
      <c r="OXC1" s="224"/>
      <c r="OXD1" s="224"/>
      <c r="OXE1" s="224"/>
      <c r="OXF1" s="224"/>
      <c r="OXG1" s="224"/>
      <c r="OXH1" s="224"/>
      <c r="OXI1" s="224"/>
      <c r="OXJ1" s="224"/>
      <c r="OXK1" s="224"/>
      <c r="OXL1" s="224"/>
      <c r="OXM1" s="224"/>
      <c r="OXN1" s="224"/>
      <c r="OXO1" s="224"/>
      <c r="OXP1" s="224"/>
      <c r="OXQ1" s="224"/>
      <c r="OXR1" s="224"/>
      <c r="OXS1" s="224"/>
      <c r="OXT1" s="224"/>
      <c r="OXU1" s="224"/>
      <c r="OXV1" s="224"/>
      <c r="OXW1" s="224"/>
      <c r="OXX1" s="224"/>
      <c r="OXY1" s="224"/>
      <c r="OXZ1" s="224"/>
      <c r="OYA1" s="224"/>
      <c r="OYB1" s="224"/>
      <c r="OYC1" s="224"/>
      <c r="OYD1" s="224"/>
      <c r="OYE1" s="224"/>
      <c r="OYF1" s="224"/>
      <c r="OYG1" s="224"/>
      <c r="OYH1" s="224"/>
      <c r="OYI1" s="224"/>
      <c r="OYJ1" s="224"/>
      <c r="OYK1" s="224"/>
      <c r="OYL1" s="224"/>
      <c r="OYM1" s="224"/>
      <c r="OYN1" s="224"/>
      <c r="OYO1" s="224"/>
      <c r="OYP1" s="224"/>
      <c r="OYQ1" s="224"/>
      <c r="OYR1" s="224"/>
      <c r="OYS1" s="224"/>
      <c r="OYT1" s="224"/>
      <c r="OYU1" s="224"/>
      <c r="OYV1" s="224"/>
      <c r="OYW1" s="224"/>
      <c r="OYX1" s="224"/>
      <c r="OYY1" s="224"/>
      <c r="OYZ1" s="224"/>
      <c r="OZA1" s="224"/>
      <c r="OZB1" s="224"/>
      <c r="OZC1" s="224"/>
      <c r="OZD1" s="224"/>
      <c r="OZE1" s="224"/>
      <c r="OZF1" s="224"/>
      <c r="OZG1" s="224"/>
      <c r="OZH1" s="224"/>
      <c r="OZI1" s="224"/>
      <c r="OZJ1" s="224"/>
      <c r="OZK1" s="224"/>
      <c r="OZL1" s="224"/>
      <c r="OZM1" s="224"/>
      <c r="OZN1" s="224"/>
      <c r="OZO1" s="224"/>
      <c r="OZP1" s="224"/>
      <c r="OZQ1" s="224"/>
      <c r="OZR1" s="224"/>
      <c r="OZS1" s="224"/>
      <c r="OZT1" s="224"/>
      <c r="OZU1" s="224"/>
      <c r="OZV1" s="224"/>
      <c r="OZW1" s="224"/>
      <c r="OZX1" s="224"/>
      <c r="OZY1" s="224"/>
      <c r="OZZ1" s="224"/>
      <c r="PAA1" s="224"/>
      <c r="PAB1" s="224"/>
      <c r="PAC1" s="224"/>
      <c r="PAD1" s="224"/>
      <c r="PAE1" s="224"/>
      <c r="PAF1" s="224"/>
      <c r="PAG1" s="224"/>
      <c r="PAH1" s="224"/>
      <c r="PAI1" s="224"/>
      <c r="PAJ1" s="224"/>
      <c r="PAK1" s="224"/>
      <c r="PAL1" s="224"/>
      <c r="PAM1" s="224"/>
      <c r="PAN1" s="224"/>
      <c r="PAO1" s="224"/>
      <c r="PAP1" s="224"/>
      <c r="PAQ1" s="224"/>
      <c r="PAR1" s="224"/>
      <c r="PAS1" s="224"/>
      <c r="PAT1" s="224"/>
      <c r="PAU1" s="224"/>
      <c r="PAV1" s="224"/>
      <c r="PAW1" s="224"/>
      <c r="PAX1" s="224"/>
      <c r="PAY1" s="224"/>
      <c r="PAZ1" s="224"/>
      <c r="PBA1" s="224"/>
      <c r="PBB1" s="224"/>
      <c r="PBC1" s="224"/>
      <c r="PBD1" s="224"/>
      <c r="PBE1" s="224"/>
      <c r="PBF1" s="224"/>
      <c r="PBG1" s="224"/>
      <c r="PBH1" s="224"/>
      <c r="PBI1" s="224"/>
      <c r="PBJ1" s="224"/>
      <c r="PBK1" s="224"/>
      <c r="PBL1" s="224"/>
      <c r="PBM1" s="224"/>
      <c r="PBN1" s="224"/>
      <c r="PBO1" s="224"/>
      <c r="PBP1" s="224"/>
      <c r="PBQ1" s="224"/>
      <c r="PBR1" s="224"/>
      <c r="PBS1" s="224"/>
      <c r="PBT1" s="224"/>
      <c r="PBU1" s="224"/>
      <c r="PBV1" s="224"/>
      <c r="PBW1" s="224"/>
      <c r="PBX1" s="224"/>
      <c r="PBY1" s="224"/>
      <c r="PBZ1" s="224"/>
      <c r="PCA1" s="224"/>
      <c r="PCB1" s="224"/>
      <c r="PCC1" s="224"/>
      <c r="PCD1" s="224"/>
      <c r="PCE1" s="224"/>
      <c r="PCF1" s="224"/>
      <c r="PCG1" s="224"/>
      <c r="PCH1" s="224"/>
      <c r="PCI1" s="224"/>
      <c r="PCJ1" s="224"/>
      <c r="PCK1" s="224"/>
      <c r="PCL1" s="224"/>
      <c r="PCM1" s="224"/>
      <c r="PCN1" s="224"/>
      <c r="PCO1" s="224"/>
      <c r="PCP1" s="224"/>
      <c r="PCQ1" s="224"/>
      <c r="PCR1" s="224"/>
      <c r="PCS1" s="224"/>
      <c r="PCT1" s="224"/>
      <c r="PCU1" s="224"/>
      <c r="PCV1" s="224"/>
      <c r="PCW1" s="224"/>
      <c r="PCX1" s="224"/>
      <c r="PCY1" s="224"/>
      <c r="PCZ1" s="224"/>
      <c r="PDA1" s="224"/>
      <c r="PDB1" s="224"/>
      <c r="PDC1" s="224"/>
      <c r="PDD1" s="224"/>
      <c r="PDE1" s="224"/>
      <c r="PDF1" s="224"/>
      <c r="PDG1" s="224"/>
      <c r="PDH1" s="224"/>
      <c r="PDI1" s="224"/>
      <c r="PDJ1" s="224"/>
      <c r="PDK1" s="224"/>
      <c r="PDL1" s="224"/>
      <c r="PDM1" s="224"/>
      <c r="PDN1" s="224"/>
      <c r="PDO1" s="224"/>
      <c r="PDP1" s="224"/>
      <c r="PDQ1" s="224"/>
      <c r="PDR1" s="224"/>
      <c r="PDS1" s="224"/>
      <c r="PDT1" s="224"/>
      <c r="PDU1" s="224"/>
      <c r="PDV1" s="224"/>
      <c r="PDW1" s="224"/>
      <c r="PDX1" s="224"/>
      <c r="PDY1" s="224"/>
      <c r="PDZ1" s="224"/>
      <c r="PEA1" s="224"/>
      <c r="PEB1" s="224"/>
      <c r="PEC1" s="224"/>
      <c r="PED1" s="224"/>
      <c r="PEE1" s="224"/>
      <c r="PEF1" s="224"/>
      <c r="PEG1" s="224"/>
      <c r="PEH1" s="224"/>
      <c r="PEI1" s="224"/>
      <c r="PEJ1" s="224"/>
      <c r="PEK1" s="224"/>
      <c r="PEL1" s="224"/>
      <c r="PEM1" s="224"/>
      <c r="PEN1" s="224"/>
      <c r="PEO1" s="224"/>
      <c r="PEP1" s="224"/>
      <c r="PEQ1" s="224"/>
      <c r="PER1" s="224"/>
      <c r="PES1" s="224"/>
      <c r="PET1" s="224"/>
      <c r="PEU1" s="224"/>
      <c r="PEV1" s="224"/>
      <c r="PEW1" s="224"/>
      <c r="PEX1" s="224"/>
      <c r="PEY1" s="224"/>
      <c r="PEZ1" s="224"/>
      <c r="PFA1" s="224"/>
      <c r="PFB1" s="224"/>
      <c r="PFC1" s="224"/>
      <c r="PFD1" s="224"/>
      <c r="PFE1" s="224"/>
      <c r="PFF1" s="224"/>
      <c r="PFG1" s="224"/>
      <c r="PFH1" s="224"/>
      <c r="PFI1" s="224"/>
      <c r="PFJ1" s="224"/>
      <c r="PFK1" s="224"/>
      <c r="PFL1" s="224"/>
      <c r="PFM1" s="224"/>
      <c r="PFN1" s="224"/>
      <c r="PFO1" s="224"/>
      <c r="PFP1" s="224"/>
      <c r="PFQ1" s="224"/>
      <c r="PFR1" s="224"/>
      <c r="PFS1" s="224"/>
      <c r="PFT1" s="224"/>
      <c r="PFU1" s="224"/>
      <c r="PFV1" s="224"/>
      <c r="PFW1" s="224"/>
      <c r="PFX1" s="224"/>
      <c r="PFY1" s="224"/>
      <c r="PFZ1" s="224"/>
      <c r="PGA1" s="224"/>
      <c r="PGB1" s="224"/>
      <c r="PGC1" s="224"/>
      <c r="PGD1" s="224"/>
      <c r="PGE1" s="224"/>
      <c r="PGF1" s="224"/>
      <c r="PGG1" s="224"/>
      <c r="PGH1" s="224"/>
      <c r="PGI1" s="224"/>
      <c r="PGJ1" s="224"/>
      <c r="PGK1" s="224"/>
      <c r="PGL1" s="224"/>
      <c r="PGM1" s="224"/>
      <c r="PGN1" s="224"/>
      <c r="PGO1" s="224"/>
      <c r="PGP1" s="224"/>
      <c r="PGQ1" s="224"/>
      <c r="PGR1" s="224"/>
      <c r="PGS1" s="224"/>
      <c r="PGT1" s="224"/>
      <c r="PGU1" s="224"/>
      <c r="PGV1" s="224"/>
      <c r="PGW1" s="224"/>
      <c r="PGX1" s="224"/>
      <c r="PGY1" s="224"/>
      <c r="PGZ1" s="224"/>
      <c r="PHA1" s="224"/>
      <c r="PHB1" s="224"/>
      <c r="PHC1" s="224"/>
      <c r="PHD1" s="224"/>
      <c r="PHE1" s="224"/>
      <c r="PHF1" s="224"/>
      <c r="PHG1" s="224"/>
      <c r="PHH1" s="224"/>
      <c r="PHI1" s="224"/>
      <c r="PHJ1" s="224"/>
      <c r="PHK1" s="224"/>
      <c r="PHL1" s="224"/>
      <c r="PHM1" s="224"/>
      <c r="PHN1" s="224"/>
      <c r="PHO1" s="224"/>
      <c r="PHP1" s="224"/>
      <c r="PHQ1" s="224"/>
      <c r="PHR1" s="224"/>
      <c r="PHS1" s="224"/>
      <c r="PHT1" s="224"/>
      <c r="PHU1" s="224"/>
      <c r="PHV1" s="224"/>
      <c r="PHW1" s="224"/>
      <c r="PHX1" s="224"/>
      <c r="PHY1" s="224"/>
      <c r="PHZ1" s="224"/>
      <c r="PIA1" s="224"/>
      <c r="PIB1" s="224"/>
      <c r="PIC1" s="224"/>
      <c r="PID1" s="224"/>
      <c r="PIE1" s="224"/>
      <c r="PIF1" s="224"/>
      <c r="PIG1" s="224"/>
      <c r="PIH1" s="224"/>
      <c r="PII1" s="224"/>
      <c r="PIJ1" s="224"/>
      <c r="PIK1" s="224"/>
      <c r="PIL1" s="224"/>
      <c r="PIM1" s="224"/>
      <c r="PIN1" s="224"/>
      <c r="PIO1" s="224"/>
      <c r="PIP1" s="224"/>
      <c r="PIQ1" s="224"/>
      <c r="PIR1" s="224"/>
      <c r="PIS1" s="224"/>
      <c r="PIT1" s="224"/>
      <c r="PIU1" s="224"/>
      <c r="PIV1" s="224"/>
      <c r="PIW1" s="224"/>
      <c r="PIX1" s="224"/>
      <c r="PIY1" s="224"/>
      <c r="PIZ1" s="224"/>
      <c r="PJA1" s="224"/>
      <c r="PJB1" s="224"/>
      <c r="PJC1" s="224"/>
      <c r="PJD1" s="224"/>
      <c r="PJE1" s="224"/>
      <c r="PJF1" s="224"/>
      <c r="PJG1" s="224"/>
      <c r="PJH1" s="224"/>
      <c r="PJI1" s="224"/>
      <c r="PJJ1" s="224"/>
      <c r="PJK1" s="224"/>
      <c r="PJL1" s="224"/>
      <c r="PJM1" s="224"/>
      <c r="PJN1" s="224"/>
      <c r="PJO1" s="224"/>
      <c r="PJP1" s="224"/>
      <c r="PJQ1" s="224"/>
      <c r="PJR1" s="224"/>
      <c r="PJS1" s="224"/>
      <c r="PJT1" s="224"/>
      <c r="PJU1" s="224"/>
      <c r="PJV1" s="224"/>
      <c r="PJW1" s="224"/>
      <c r="PJX1" s="224"/>
      <c r="PJY1" s="224"/>
      <c r="PJZ1" s="224"/>
      <c r="PKA1" s="224"/>
      <c r="PKB1" s="224"/>
      <c r="PKC1" s="224"/>
      <c r="PKD1" s="224"/>
      <c r="PKE1" s="224"/>
      <c r="PKF1" s="224"/>
      <c r="PKG1" s="224"/>
      <c r="PKH1" s="224"/>
      <c r="PKI1" s="224"/>
      <c r="PKJ1" s="224"/>
      <c r="PKK1" s="224"/>
      <c r="PKL1" s="224"/>
      <c r="PKM1" s="224"/>
      <c r="PKN1" s="224"/>
      <c r="PKO1" s="224"/>
      <c r="PKP1" s="224"/>
      <c r="PKQ1" s="224"/>
      <c r="PKR1" s="224"/>
      <c r="PKS1" s="224"/>
      <c r="PKT1" s="224"/>
      <c r="PKU1" s="224"/>
      <c r="PKV1" s="224"/>
      <c r="PKW1" s="224"/>
      <c r="PKX1" s="224"/>
      <c r="PKY1" s="224"/>
      <c r="PKZ1" s="224"/>
      <c r="PLA1" s="224"/>
      <c r="PLB1" s="224"/>
      <c r="PLC1" s="224"/>
      <c r="PLD1" s="224"/>
      <c r="PLE1" s="224"/>
      <c r="PLF1" s="224"/>
      <c r="PLG1" s="224"/>
      <c r="PLH1" s="224"/>
      <c r="PLI1" s="224"/>
      <c r="PLJ1" s="224"/>
      <c r="PLK1" s="224"/>
      <c r="PLL1" s="224"/>
      <c r="PLM1" s="224"/>
      <c r="PLN1" s="224"/>
      <c r="PLO1" s="224"/>
      <c r="PLP1" s="224"/>
      <c r="PLQ1" s="224"/>
      <c r="PLR1" s="224"/>
      <c r="PLS1" s="224"/>
      <c r="PLT1" s="224"/>
      <c r="PLU1" s="224"/>
      <c r="PLV1" s="224"/>
      <c r="PLW1" s="224"/>
      <c r="PLX1" s="224"/>
      <c r="PLY1" s="224"/>
      <c r="PLZ1" s="224"/>
      <c r="PMA1" s="224"/>
      <c r="PMB1" s="224"/>
      <c r="PMC1" s="224"/>
      <c r="PMD1" s="224"/>
      <c r="PME1" s="224"/>
      <c r="PMF1" s="224"/>
      <c r="PMG1" s="224"/>
      <c r="PMH1" s="224"/>
      <c r="PMI1" s="224"/>
      <c r="PMJ1" s="224"/>
      <c r="PMK1" s="224"/>
      <c r="PML1" s="224"/>
      <c r="PMM1" s="224"/>
      <c r="PMN1" s="224"/>
      <c r="PMO1" s="224"/>
      <c r="PMP1" s="224"/>
      <c r="PMQ1" s="224"/>
      <c r="PMR1" s="224"/>
      <c r="PMS1" s="224"/>
      <c r="PMT1" s="224"/>
      <c r="PMU1" s="224"/>
      <c r="PMV1" s="224"/>
      <c r="PMW1" s="224"/>
      <c r="PMX1" s="224"/>
      <c r="PMY1" s="224"/>
      <c r="PMZ1" s="224"/>
      <c r="PNA1" s="224"/>
      <c r="PNB1" s="224"/>
      <c r="PNC1" s="224"/>
      <c r="PND1" s="224"/>
      <c r="PNE1" s="224"/>
      <c r="PNF1" s="224"/>
      <c r="PNG1" s="224"/>
      <c r="PNH1" s="224"/>
      <c r="PNI1" s="224"/>
      <c r="PNJ1" s="224"/>
      <c r="PNK1" s="224"/>
      <c r="PNL1" s="224"/>
      <c r="PNM1" s="224"/>
      <c r="PNN1" s="224"/>
      <c r="PNO1" s="224"/>
      <c r="PNP1" s="224"/>
      <c r="PNQ1" s="224"/>
      <c r="PNR1" s="224"/>
      <c r="PNS1" s="224"/>
      <c r="PNT1" s="224"/>
      <c r="PNU1" s="224"/>
      <c r="PNV1" s="224"/>
      <c r="PNW1" s="224"/>
      <c r="PNX1" s="224"/>
      <c r="PNY1" s="224"/>
      <c r="PNZ1" s="224"/>
      <c r="POA1" s="224"/>
      <c r="POB1" s="224"/>
      <c r="POC1" s="224"/>
      <c r="POD1" s="224"/>
      <c r="POE1" s="224"/>
      <c r="POF1" s="224"/>
      <c r="POG1" s="224"/>
      <c r="POH1" s="224"/>
      <c r="POI1" s="224"/>
      <c r="POJ1" s="224"/>
      <c r="POK1" s="224"/>
      <c r="POL1" s="224"/>
      <c r="POM1" s="224"/>
      <c r="PON1" s="224"/>
      <c r="POO1" s="224"/>
      <c r="POP1" s="224"/>
      <c r="POQ1" s="224"/>
      <c r="POR1" s="224"/>
      <c r="POS1" s="224"/>
      <c r="POT1" s="224"/>
      <c r="POU1" s="224"/>
      <c r="POV1" s="224"/>
      <c r="POW1" s="224"/>
      <c r="POX1" s="224"/>
      <c r="POY1" s="224"/>
      <c r="POZ1" s="224"/>
      <c r="PPA1" s="224"/>
      <c r="PPB1" s="224"/>
      <c r="PPC1" s="224"/>
      <c r="PPD1" s="224"/>
      <c r="PPE1" s="224"/>
      <c r="PPF1" s="224"/>
      <c r="PPG1" s="224"/>
      <c r="PPH1" s="224"/>
      <c r="PPI1" s="224"/>
      <c r="PPJ1" s="224"/>
      <c r="PPK1" s="224"/>
      <c r="PPL1" s="224"/>
      <c r="PPM1" s="224"/>
      <c r="PPN1" s="224"/>
      <c r="PPO1" s="224"/>
      <c r="PPP1" s="224"/>
      <c r="PPQ1" s="224"/>
      <c r="PPR1" s="224"/>
      <c r="PPS1" s="224"/>
      <c r="PPT1" s="224"/>
      <c r="PPU1" s="224"/>
      <c r="PPV1" s="224"/>
      <c r="PPW1" s="224"/>
      <c r="PPX1" s="224"/>
      <c r="PPY1" s="224"/>
      <c r="PPZ1" s="224"/>
      <c r="PQA1" s="224"/>
      <c r="PQB1" s="224"/>
      <c r="PQC1" s="224"/>
      <c r="PQD1" s="224"/>
      <c r="PQE1" s="224"/>
      <c r="PQF1" s="224"/>
      <c r="PQG1" s="224"/>
      <c r="PQH1" s="224"/>
      <c r="PQI1" s="224"/>
      <c r="PQJ1" s="224"/>
      <c r="PQK1" s="224"/>
      <c r="PQL1" s="224"/>
      <c r="PQM1" s="224"/>
      <c r="PQN1" s="224"/>
      <c r="PQO1" s="224"/>
      <c r="PQP1" s="224"/>
      <c r="PQQ1" s="224"/>
      <c r="PQR1" s="224"/>
      <c r="PQS1" s="224"/>
      <c r="PQT1" s="224"/>
      <c r="PQU1" s="224"/>
      <c r="PQV1" s="224"/>
      <c r="PQW1" s="224"/>
      <c r="PQX1" s="224"/>
      <c r="PQY1" s="224"/>
      <c r="PQZ1" s="224"/>
      <c r="PRA1" s="224"/>
      <c r="PRB1" s="224"/>
      <c r="PRC1" s="224"/>
      <c r="PRD1" s="224"/>
      <c r="PRE1" s="224"/>
      <c r="PRF1" s="224"/>
      <c r="PRG1" s="224"/>
      <c r="PRH1" s="224"/>
      <c r="PRI1" s="224"/>
      <c r="PRJ1" s="224"/>
      <c r="PRK1" s="224"/>
      <c r="PRL1" s="224"/>
      <c r="PRM1" s="224"/>
      <c r="PRN1" s="224"/>
      <c r="PRO1" s="224"/>
      <c r="PRP1" s="224"/>
      <c r="PRQ1" s="224"/>
      <c r="PRR1" s="224"/>
      <c r="PRS1" s="224"/>
      <c r="PRT1" s="224"/>
      <c r="PRU1" s="224"/>
      <c r="PRV1" s="224"/>
      <c r="PRW1" s="224"/>
      <c r="PRX1" s="224"/>
      <c r="PRY1" s="224"/>
      <c r="PRZ1" s="224"/>
      <c r="PSA1" s="224"/>
      <c r="PSB1" s="224"/>
      <c r="PSC1" s="224"/>
      <c r="PSD1" s="224"/>
      <c r="PSE1" s="224"/>
      <c r="PSF1" s="224"/>
      <c r="PSG1" s="224"/>
      <c r="PSH1" s="224"/>
      <c r="PSI1" s="224"/>
      <c r="PSJ1" s="224"/>
      <c r="PSK1" s="224"/>
      <c r="PSL1" s="224"/>
      <c r="PSM1" s="224"/>
      <c r="PSN1" s="224"/>
      <c r="PSO1" s="224"/>
      <c r="PSP1" s="224"/>
      <c r="PSQ1" s="224"/>
      <c r="PSR1" s="224"/>
      <c r="PSS1" s="224"/>
      <c r="PST1" s="224"/>
      <c r="PSU1" s="224"/>
      <c r="PSV1" s="224"/>
      <c r="PSW1" s="224"/>
      <c r="PSX1" s="224"/>
      <c r="PSY1" s="224"/>
      <c r="PSZ1" s="224"/>
      <c r="PTA1" s="224"/>
      <c r="PTB1" s="224"/>
      <c r="PTC1" s="224"/>
      <c r="PTD1" s="224"/>
      <c r="PTE1" s="224"/>
      <c r="PTF1" s="224"/>
      <c r="PTG1" s="224"/>
      <c r="PTH1" s="224"/>
      <c r="PTI1" s="224"/>
      <c r="PTJ1" s="224"/>
      <c r="PTK1" s="224"/>
      <c r="PTL1" s="224"/>
      <c r="PTM1" s="224"/>
      <c r="PTN1" s="224"/>
      <c r="PTO1" s="224"/>
      <c r="PTP1" s="224"/>
      <c r="PTQ1" s="224"/>
      <c r="PTR1" s="224"/>
      <c r="PTS1" s="224"/>
      <c r="PTT1" s="224"/>
      <c r="PTU1" s="224"/>
      <c r="PTV1" s="224"/>
      <c r="PTW1" s="224"/>
      <c r="PTX1" s="224"/>
      <c r="PTY1" s="224"/>
      <c r="PTZ1" s="224"/>
      <c r="PUA1" s="224"/>
      <c r="PUB1" s="224"/>
      <c r="PUC1" s="224"/>
      <c r="PUD1" s="224"/>
      <c r="PUE1" s="224"/>
      <c r="PUF1" s="224"/>
      <c r="PUG1" s="224"/>
      <c r="PUH1" s="224"/>
      <c r="PUI1" s="224"/>
      <c r="PUJ1" s="224"/>
      <c r="PUK1" s="224"/>
      <c r="PUL1" s="224"/>
      <c r="PUM1" s="224"/>
      <c r="PUN1" s="224"/>
      <c r="PUO1" s="224"/>
      <c r="PUP1" s="224"/>
      <c r="PUQ1" s="224"/>
      <c r="PUR1" s="224"/>
      <c r="PUS1" s="224"/>
      <c r="PUT1" s="224"/>
      <c r="PUU1" s="224"/>
      <c r="PUV1" s="224"/>
      <c r="PUW1" s="224"/>
      <c r="PUX1" s="224"/>
      <c r="PUY1" s="224"/>
      <c r="PUZ1" s="224"/>
      <c r="PVA1" s="224"/>
      <c r="PVB1" s="224"/>
      <c r="PVC1" s="224"/>
      <c r="PVD1" s="224"/>
      <c r="PVE1" s="224"/>
      <c r="PVF1" s="224"/>
      <c r="PVG1" s="224"/>
      <c r="PVH1" s="224"/>
      <c r="PVI1" s="224"/>
      <c r="PVJ1" s="224"/>
      <c r="PVK1" s="224"/>
      <c r="PVL1" s="224"/>
      <c r="PVM1" s="224"/>
      <c r="PVN1" s="224"/>
      <c r="PVO1" s="224"/>
      <c r="PVP1" s="224"/>
      <c r="PVQ1" s="224"/>
      <c r="PVR1" s="224"/>
      <c r="PVS1" s="224"/>
      <c r="PVT1" s="224"/>
      <c r="PVU1" s="224"/>
      <c r="PVV1" s="224"/>
      <c r="PVW1" s="224"/>
      <c r="PVX1" s="224"/>
      <c r="PVY1" s="224"/>
      <c r="PVZ1" s="224"/>
      <c r="PWA1" s="224"/>
      <c r="PWB1" s="224"/>
      <c r="PWC1" s="224"/>
      <c r="PWD1" s="224"/>
      <c r="PWE1" s="224"/>
      <c r="PWF1" s="224"/>
      <c r="PWG1" s="224"/>
      <c r="PWH1" s="224"/>
      <c r="PWI1" s="224"/>
      <c r="PWJ1" s="224"/>
      <c r="PWK1" s="224"/>
      <c r="PWL1" s="224"/>
      <c r="PWM1" s="224"/>
      <c r="PWN1" s="224"/>
      <c r="PWO1" s="224"/>
      <c r="PWP1" s="224"/>
      <c r="PWQ1" s="224"/>
      <c r="PWR1" s="224"/>
      <c r="PWS1" s="224"/>
      <c r="PWT1" s="224"/>
      <c r="PWU1" s="224"/>
      <c r="PWV1" s="224"/>
      <c r="PWW1" s="224"/>
      <c r="PWX1" s="224"/>
      <c r="PWY1" s="224"/>
      <c r="PWZ1" s="224"/>
      <c r="PXA1" s="224"/>
      <c r="PXB1" s="224"/>
      <c r="PXC1" s="224"/>
      <c r="PXD1" s="224"/>
      <c r="PXE1" s="224"/>
      <c r="PXF1" s="224"/>
      <c r="PXG1" s="224"/>
      <c r="PXH1" s="224"/>
      <c r="PXI1" s="224"/>
      <c r="PXJ1" s="224"/>
      <c r="PXK1" s="224"/>
      <c r="PXL1" s="224"/>
      <c r="PXM1" s="224"/>
      <c r="PXN1" s="224"/>
      <c r="PXO1" s="224"/>
      <c r="PXP1" s="224"/>
      <c r="PXQ1" s="224"/>
      <c r="PXR1" s="224"/>
      <c r="PXS1" s="224"/>
      <c r="PXT1" s="224"/>
      <c r="PXU1" s="224"/>
      <c r="PXV1" s="224"/>
      <c r="PXW1" s="224"/>
      <c r="PXX1" s="224"/>
      <c r="PXY1" s="224"/>
      <c r="PXZ1" s="224"/>
      <c r="PYA1" s="224"/>
      <c r="PYB1" s="224"/>
      <c r="PYC1" s="224"/>
      <c r="PYD1" s="224"/>
      <c r="PYE1" s="224"/>
      <c r="PYF1" s="224"/>
      <c r="PYG1" s="224"/>
      <c r="PYH1" s="224"/>
      <c r="PYI1" s="224"/>
      <c r="PYJ1" s="224"/>
      <c r="PYK1" s="224"/>
      <c r="PYL1" s="224"/>
      <c r="PYM1" s="224"/>
      <c r="PYN1" s="224"/>
      <c r="PYO1" s="224"/>
      <c r="PYP1" s="224"/>
      <c r="PYQ1" s="224"/>
      <c r="PYR1" s="224"/>
      <c r="PYS1" s="224"/>
      <c r="PYT1" s="224"/>
      <c r="PYU1" s="224"/>
      <c r="PYV1" s="224"/>
      <c r="PYW1" s="224"/>
      <c r="PYX1" s="224"/>
      <c r="PYY1" s="224"/>
      <c r="PYZ1" s="224"/>
      <c r="PZA1" s="224"/>
      <c r="PZB1" s="224"/>
      <c r="PZC1" s="224"/>
      <c r="PZD1" s="224"/>
      <c r="PZE1" s="224"/>
      <c r="PZF1" s="224"/>
      <c r="PZG1" s="224"/>
      <c r="PZH1" s="224"/>
      <c r="PZI1" s="224"/>
      <c r="PZJ1" s="224"/>
      <c r="PZK1" s="224"/>
      <c r="PZL1" s="224"/>
      <c r="PZM1" s="224"/>
      <c r="PZN1" s="224"/>
      <c r="PZO1" s="224"/>
      <c r="PZP1" s="224"/>
      <c r="PZQ1" s="224"/>
      <c r="PZR1" s="224"/>
      <c r="PZS1" s="224"/>
      <c r="PZT1" s="224"/>
      <c r="PZU1" s="224"/>
      <c r="PZV1" s="224"/>
      <c r="PZW1" s="224"/>
      <c r="PZX1" s="224"/>
      <c r="PZY1" s="224"/>
      <c r="PZZ1" s="224"/>
      <c r="QAA1" s="224"/>
      <c r="QAB1" s="224"/>
      <c r="QAC1" s="224"/>
      <c r="QAD1" s="224"/>
      <c r="QAE1" s="224"/>
      <c r="QAF1" s="224"/>
      <c r="QAG1" s="224"/>
      <c r="QAH1" s="224"/>
      <c r="QAI1" s="224"/>
      <c r="QAJ1" s="224"/>
      <c r="QAK1" s="224"/>
      <c r="QAL1" s="224"/>
      <c r="QAM1" s="224"/>
      <c r="QAN1" s="224"/>
      <c r="QAO1" s="224"/>
      <c r="QAP1" s="224"/>
      <c r="QAQ1" s="224"/>
      <c r="QAR1" s="224"/>
      <c r="QAS1" s="224"/>
      <c r="QAT1" s="224"/>
      <c r="QAU1" s="224"/>
      <c r="QAV1" s="224"/>
      <c r="QAW1" s="224"/>
      <c r="QAX1" s="224"/>
      <c r="QAY1" s="224"/>
      <c r="QAZ1" s="224"/>
      <c r="QBA1" s="224"/>
      <c r="QBB1" s="224"/>
      <c r="QBC1" s="224"/>
      <c r="QBD1" s="224"/>
      <c r="QBE1" s="224"/>
      <c r="QBF1" s="224"/>
      <c r="QBG1" s="224"/>
      <c r="QBH1" s="224"/>
      <c r="QBI1" s="224"/>
      <c r="QBJ1" s="224"/>
      <c r="QBK1" s="224"/>
      <c r="QBL1" s="224"/>
      <c r="QBM1" s="224"/>
      <c r="QBN1" s="224"/>
      <c r="QBO1" s="224"/>
      <c r="QBP1" s="224"/>
      <c r="QBQ1" s="224"/>
      <c r="QBR1" s="224"/>
      <c r="QBS1" s="224"/>
      <c r="QBT1" s="224"/>
      <c r="QBU1" s="224"/>
      <c r="QBV1" s="224"/>
      <c r="QBW1" s="224"/>
      <c r="QBX1" s="224"/>
      <c r="QBY1" s="224"/>
      <c r="QBZ1" s="224"/>
      <c r="QCA1" s="224"/>
      <c r="QCB1" s="224"/>
      <c r="QCC1" s="224"/>
      <c r="QCD1" s="224"/>
      <c r="QCE1" s="224"/>
      <c r="QCF1" s="224"/>
      <c r="QCG1" s="224"/>
      <c r="QCH1" s="224"/>
      <c r="QCI1" s="224"/>
      <c r="QCJ1" s="224"/>
      <c r="QCK1" s="224"/>
      <c r="QCL1" s="224"/>
      <c r="QCM1" s="224"/>
      <c r="QCN1" s="224"/>
      <c r="QCO1" s="224"/>
      <c r="QCP1" s="224"/>
      <c r="QCQ1" s="224"/>
      <c r="QCR1" s="224"/>
      <c r="QCS1" s="224"/>
      <c r="QCT1" s="224"/>
      <c r="QCU1" s="224"/>
      <c r="QCV1" s="224"/>
      <c r="QCW1" s="224"/>
      <c r="QCX1" s="224"/>
      <c r="QCY1" s="224"/>
      <c r="QCZ1" s="224"/>
      <c r="QDA1" s="224"/>
      <c r="QDB1" s="224"/>
      <c r="QDC1" s="224"/>
      <c r="QDD1" s="224"/>
      <c r="QDE1" s="224"/>
      <c r="QDF1" s="224"/>
      <c r="QDG1" s="224"/>
      <c r="QDH1" s="224"/>
      <c r="QDI1" s="224"/>
      <c r="QDJ1" s="224"/>
      <c r="QDK1" s="224"/>
      <c r="QDL1" s="224"/>
      <c r="QDM1" s="224"/>
      <c r="QDN1" s="224"/>
      <c r="QDO1" s="224"/>
      <c r="QDP1" s="224"/>
      <c r="QDQ1" s="224"/>
      <c r="QDR1" s="224"/>
      <c r="QDS1" s="224"/>
      <c r="QDT1" s="224"/>
      <c r="QDU1" s="224"/>
      <c r="QDV1" s="224"/>
      <c r="QDW1" s="224"/>
      <c r="QDX1" s="224"/>
      <c r="QDY1" s="224"/>
      <c r="QDZ1" s="224"/>
      <c r="QEA1" s="224"/>
      <c r="QEB1" s="224"/>
      <c r="QEC1" s="224"/>
      <c r="QED1" s="224"/>
      <c r="QEE1" s="224"/>
      <c r="QEF1" s="224"/>
      <c r="QEG1" s="224"/>
      <c r="QEH1" s="224"/>
      <c r="QEI1" s="224"/>
      <c r="QEJ1" s="224"/>
      <c r="QEK1" s="224"/>
      <c r="QEL1" s="224"/>
      <c r="QEM1" s="224"/>
      <c r="QEN1" s="224"/>
      <c r="QEO1" s="224"/>
      <c r="QEP1" s="224"/>
      <c r="QEQ1" s="224"/>
      <c r="QER1" s="224"/>
      <c r="QES1" s="224"/>
      <c r="QET1" s="224"/>
      <c r="QEU1" s="224"/>
      <c r="QEV1" s="224"/>
      <c r="QEW1" s="224"/>
      <c r="QEX1" s="224"/>
      <c r="QEY1" s="224"/>
      <c r="QEZ1" s="224"/>
      <c r="QFA1" s="224"/>
      <c r="QFB1" s="224"/>
      <c r="QFC1" s="224"/>
      <c r="QFD1" s="224"/>
      <c r="QFE1" s="224"/>
      <c r="QFF1" s="224"/>
      <c r="QFG1" s="224"/>
      <c r="QFH1" s="224"/>
      <c r="QFI1" s="224"/>
      <c r="QFJ1" s="224"/>
      <c r="QFK1" s="224"/>
      <c r="QFL1" s="224"/>
      <c r="QFM1" s="224"/>
      <c r="QFN1" s="224"/>
      <c r="QFO1" s="224"/>
      <c r="QFP1" s="224"/>
      <c r="QFQ1" s="224"/>
      <c r="QFR1" s="224"/>
      <c r="QFS1" s="224"/>
      <c r="QFT1" s="224"/>
      <c r="QFU1" s="224"/>
      <c r="QFV1" s="224"/>
      <c r="QFW1" s="224"/>
      <c r="QFX1" s="224"/>
      <c r="QFY1" s="224"/>
      <c r="QFZ1" s="224"/>
      <c r="QGA1" s="224"/>
      <c r="QGB1" s="224"/>
      <c r="QGC1" s="224"/>
      <c r="QGD1" s="224"/>
      <c r="QGE1" s="224"/>
      <c r="QGF1" s="224"/>
      <c r="QGG1" s="224"/>
      <c r="QGH1" s="224"/>
      <c r="QGI1" s="224"/>
      <c r="QGJ1" s="224"/>
      <c r="QGK1" s="224"/>
      <c r="QGL1" s="224"/>
      <c r="QGM1" s="224"/>
      <c r="QGN1" s="224"/>
      <c r="QGO1" s="224"/>
      <c r="QGP1" s="224"/>
      <c r="QGQ1" s="224"/>
      <c r="QGR1" s="224"/>
      <c r="QGS1" s="224"/>
      <c r="QGT1" s="224"/>
      <c r="QGU1" s="224"/>
      <c r="QGV1" s="224"/>
      <c r="QGW1" s="224"/>
      <c r="QGX1" s="224"/>
      <c r="QGY1" s="224"/>
      <c r="QGZ1" s="224"/>
      <c r="QHA1" s="224"/>
      <c r="QHB1" s="224"/>
      <c r="QHC1" s="224"/>
      <c r="QHD1" s="224"/>
      <c r="QHE1" s="224"/>
      <c r="QHF1" s="224"/>
      <c r="QHG1" s="224"/>
      <c r="QHH1" s="224"/>
      <c r="QHI1" s="224"/>
      <c r="QHJ1" s="224"/>
      <c r="QHK1" s="224"/>
      <c r="QHL1" s="224"/>
      <c r="QHM1" s="224"/>
      <c r="QHN1" s="224"/>
      <c r="QHO1" s="224"/>
      <c r="QHP1" s="224"/>
      <c r="QHQ1" s="224"/>
      <c r="QHR1" s="224"/>
      <c r="QHS1" s="224"/>
      <c r="QHT1" s="224"/>
      <c r="QHU1" s="224"/>
      <c r="QHV1" s="224"/>
      <c r="QHW1" s="224"/>
      <c r="QHX1" s="224"/>
      <c r="QHY1" s="224"/>
      <c r="QHZ1" s="224"/>
      <c r="QIA1" s="224"/>
      <c r="QIB1" s="224"/>
      <c r="QIC1" s="224"/>
      <c r="QID1" s="224"/>
      <c r="QIE1" s="224"/>
      <c r="QIF1" s="224"/>
      <c r="QIG1" s="224"/>
      <c r="QIH1" s="224"/>
      <c r="QII1" s="224"/>
      <c r="QIJ1" s="224"/>
      <c r="QIK1" s="224"/>
      <c r="QIL1" s="224"/>
      <c r="QIM1" s="224"/>
      <c r="QIN1" s="224"/>
      <c r="QIO1" s="224"/>
      <c r="QIP1" s="224"/>
      <c r="QIQ1" s="224"/>
      <c r="QIR1" s="224"/>
      <c r="QIS1" s="224"/>
      <c r="QIT1" s="224"/>
      <c r="QIU1" s="224"/>
      <c r="QIV1" s="224"/>
      <c r="QIW1" s="224"/>
      <c r="QIX1" s="224"/>
      <c r="QIY1" s="224"/>
      <c r="QIZ1" s="224"/>
      <c r="QJA1" s="224"/>
      <c r="QJB1" s="224"/>
      <c r="QJC1" s="224"/>
      <c r="QJD1" s="224"/>
      <c r="QJE1" s="224"/>
      <c r="QJF1" s="224"/>
      <c r="QJG1" s="224"/>
      <c r="QJH1" s="224"/>
      <c r="QJI1" s="224"/>
      <c r="QJJ1" s="224"/>
      <c r="QJK1" s="224"/>
      <c r="QJL1" s="224"/>
      <c r="QJM1" s="224"/>
      <c r="QJN1" s="224"/>
      <c r="QJO1" s="224"/>
      <c r="QJP1" s="224"/>
      <c r="QJQ1" s="224"/>
      <c r="QJR1" s="224"/>
      <c r="QJS1" s="224"/>
      <c r="QJT1" s="224"/>
      <c r="QJU1" s="224"/>
      <c r="QJV1" s="224"/>
      <c r="QJW1" s="224"/>
      <c r="QJX1" s="224"/>
      <c r="QJY1" s="224"/>
      <c r="QJZ1" s="224"/>
      <c r="QKA1" s="224"/>
      <c r="QKB1" s="224"/>
      <c r="QKC1" s="224"/>
      <c r="QKD1" s="224"/>
      <c r="QKE1" s="224"/>
      <c r="QKF1" s="224"/>
      <c r="QKG1" s="224"/>
      <c r="QKH1" s="224"/>
      <c r="QKI1" s="224"/>
      <c r="QKJ1" s="224"/>
      <c r="QKK1" s="224"/>
      <c r="QKL1" s="224"/>
      <c r="QKM1" s="224"/>
      <c r="QKN1" s="224"/>
      <c r="QKO1" s="224"/>
      <c r="QKP1" s="224"/>
      <c r="QKQ1" s="224"/>
      <c r="QKR1" s="224"/>
      <c r="QKS1" s="224"/>
      <c r="QKT1" s="224"/>
      <c r="QKU1" s="224"/>
      <c r="QKV1" s="224"/>
      <c r="QKW1" s="224"/>
      <c r="QKX1" s="224"/>
      <c r="QKY1" s="224"/>
      <c r="QKZ1" s="224"/>
      <c r="QLA1" s="224"/>
      <c r="QLB1" s="224"/>
      <c r="QLC1" s="224"/>
      <c r="QLD1" s="224"/>
      <c r="QLE1" s="224"/>
      <c r="QLF1" s="224"/>
      <c r="QLG1" s="224"/>
      <c r="QLH1" s="224"/>
      <c r="QLI1" s="224"/>
      <c r="QLJ1" s="224"/>
      <c r="QLK1" s="224"/>
      <c r="QLL1" s="224"/>
      <c r="QLM1" s="224"/>
      <c r="QLN1" s="224"/>
      <c r="QLO1" s="224"/>
      <c r="QLP1" s="224"/>
      <c r="QLQ1" s="224"/>
      <c r="QLR1" s="224"/>
      <c r="QLS1" s="224"/>
      <c r="QLT1" s="224"/>
      <c r="QLU1" s="224"/>
      <c r="QLV1" s="224"/>
      <c r="QLW1" s="224"/>
      <c r="QLX1" s="224"/>
      <c r="QLY1" s="224"/>
      <c r="QLZ1" s="224"/>
      <c r="QMA1" s="224"/>
      <c r="QMB1" s="224"/>
      <c r="QMC1" s="224"/>
      <c r="QMD1" s="224"/>
      <c r="QME1" s="224"/>
      <c r="QMF1" s="224"/>
      <c r="QMG1" s="224"/>
      <c r="QMH1" s="224"/>
      <c r="QMI1" s="224"/>
      <c r="QMJ1" s="224"/>
      <c r="QMK1" s="224"/>
      <c r="QML1" s="224"/>
      <c r="QMM1" s="224"/>
      <c r="QMN1" s="224"/>
      <c r="QMO1" s="224"/>
      <c r="QMP1" s="224"/>
      <c r="QMQ1" s="224"/>
      <c r="QMR1" s="224"/>
      <c r="QMS1" s="224"/>
      <c r="QMT1" s="224"/>
      <c r="QMU1" s="224"/>
      <c r="QMV1" s="224"/>
      <c r="QMW1" s="224"/>
      <c r="QMX1" s="224"/>
      <c r="QMY1" s="224"/>
      <c r="QMZ1" s="224"/>
      <c r="QNA1" s="224"/>
      <c r="QNB1" s="224"/>
      <c r="QNC1" s="224"/>
      <c r="QND1" s="224"/>
      <c r="QNE1" s="224"/>
      <c r="QNF1" s="224"/>
      <c r="QNG1" s="224"/>
      <c r="QNH1" s="224"/>
      <c r="QNI1" s="224"/>
      <c r="QNJ1" s="224"/>
      <c r="QNK1" s="224"/>
      <c r="QNL1" s="224"/>
      <c r="QNM1" s="224"/>
      <c r="QNN1" s="224"/>
      <c r="QNO1" s="224"/>
      <c r="QNP1" s="224"/>
      <c r="QNQ1" s="224"/>
      <c r="QNR1" s="224"/>
      <c r="QNS1" s="224"/>
      <c r="QNT1" s="224"/>
      <c r="QNU1" s="224"/>
      <c r="QNV1" s="224"/>
      <c r="QNW1" s="224"/>
      <c r="QNX1" s="224"/>
      <c r="QNY1" s="224"/>
      <c r="QNZ1" s="224"/>
      <c r="QOA1" s="224"/>
      <c r="QOB1" s="224"/>
      <c r="QOC1" s="224"/>
      <c r="QOD1" s="224"/>
      <c r="QOE1" s="224"/>
      <c r="QOF1" s="224"/>
      <c r="QOG1" s="224"/>
      <c r="QOH1" s="224"/>
      <c r="QOI1" s="224"/>
      <c r="QOJ1" s="224"/>
      <c r="QOK1" s="224"/>
      <c r="QOL1" s="224"/>
      <c r="QOM1" s="224"/>
      <c r="QON1" s="224"/>
      <c r="QOO1" s="224"/>
      <c r="QOP1" s="224"/>
      <c r="QOQ1" s="224"/>
      <c r="QOR1" s="224"/>
      <c r="QOS1" s="224"/>
      <c r="QOT1" s="224"/>
      <c r="QOU1" s="224"/>
      <c r="QOV1" s="224"/>
      <c r="QOW1" s="224"/>
      <c r="QOX1" s="224"/>
      <c r="QOY1" s="224"/>
      <c r="QOZ1" s="224"/>
      <c r="QPA1" s="224"/>
      <c r="QPB1" s="224"/>
      <c r="QPC1" s="224"/>
      <c r="QPD1" s="224"/>
      <c r="QPE1" s="224"/>
      <c r="QPF1" s="224"/>
      <c r="QPG1" s="224"/>
      <c r="QPH1" s="224"/>
      <c r="QPI1" s="224"/>
      <c r="QPJ1" s="224"/>
      <c r="QPK1" s="224"/>
      <c r="QPL1" s="224"/>
      <c r="QPM1" s="224"/>
      <c r="QPN1" s="224"/>
      <c r="QPO1" s="224"/>
      <c r="QPP1" s="224"/>
      <c r="QPQ1" s="224"/>
      <c r="QPR1" s="224"/>
      <c r="QPS1" s="224"/>
      <c r="QPT1" s="224"/>
      <c r="QPU1" s="224"/>
      <c r="QPV1" s="224"/>
      <c r="QPW1" s="224"/>
      <c r="QPX1" s="224"/>
      <c r="QPY1" s="224"/>
      <c r="QPZ1" s="224"/>
      <c r="QQA1" s="224"/>
      <c r="QQB1" s="224"/>
      <c r="QQC1" s="224"/>
      <c r="QQD1" s="224"/>
      <c r="QQE1" s="224"/>
      <c r="QQF1" s="224"/>
      <c r="QQG1" s="224"/>
      <c r="QQH1" s="224"/>
      <c r="QQI1" s="224"/>
      <c r="QQJ1" s="224"/>
      <c r="QQK1" s="224"/>
      <c r="QQL1" s="224"/>
      <c r="QQM1" s="224"/>
      <c r="QQN1" s="224"/>
      <c r="QQO1" s="224"/>
      <c r="QQP1" s="224"/>
      <c r="QQQ1" s="224"/>
      <c r="QQR1" s="224"/>
      <c r="QQS1" s="224"/>
      <c r="QQT1" s="224"/>
      <c r="QQU1" s="224"/>
      <c r="QQV1" s="224"/>
      <c r="QQW1" s="224"/>
      <c r="QQX1" s="224"/>
      <c r="QQY1" s="224"/>
      <c r="QQZ1" s="224"/>
      <c r="QRA1" s="224"/>
      <c r="QRB1" s="224"/>
      <c r="QRC1" s="224"/>
      <c r="QRD1" s="224"/>
      <c r="QRE1" s="224"/>
      <c r="QRF1" s="224"/>
      <c r="QRG1" s="224"/>
      <c r="QRH1" s="224"/>
      <c r="QRI1" s="224"/>
      <c r="QRJ1" s="224"/>
      <c r="QRK1" s="224"/>
      <c r="QRL1" s="224"/>
      <c r="QRM1" s="224"/>
      <c r="QRN1" s="224"/>
      <c r="QRO1" s="224"/>
      <c r="QRP1" s="224"/>
      <c r="QRQ1" s="224"/>
      <c r="QRR1" s="224"/>
      <c r="QRS1" s="224"/>
      <c r="QRT1" s="224"/>
      <c r="QRU1" s="224"/>
      <c r="QRV1" s="224"/>
      <c r="QRW1" s="224"/>
      <c r="QRX1" s="224"/>
      <c r="QRY1" s="224"/>
      <c r="QRZ1" s="224"/>
      <c r="QSA1" s="224"/>
      <c r="QSB1" s="224"/>
      <c r="QSC1" s="224"/>
      <c r="QSD1" s="224"/>
      <c r="QSE1" s="224"/>
      <c r="QSF1" s="224"/>
      <c r="QSG1" s="224"/>
      <c r="QSH1" s="224"/>
      <c r="QSI1" s="224"/>
      <c r="QSJ1" s="224"/>
      <c r="QSK1" s="224"/>
      <c r="QSL1" s="224"/>
      <c r="QSM1" s="224"/>
      <c r="QSN1" s="224"/>
      <c r="QSO1" s="224"/>
      <c r="QSP1" s="224"/>
      <c r="QSQ1" s="224"/>
      <c r="QSR1" s="224"/>
      <c r="QSS1" s="224"/>
      <c r="QST1" s="224"/>
      <c r="QSU1" s="224"/>
      <c r="QSV1" s="224"/>
      <c r="QSW1" s="224"/>
      <c r="QSX1" s="224"/>
      <c r="QSY1" s="224"/>
      <c r="QSZ1" s="224"/>
      <c r="QTA1" s="224"/>
      <c r="QTB1" s="224"/>
      <c r="QTC1" s="224"/>
      <c r="QTD1" s="224"/>
      <c r="QTE1" s="224"/>
      <c r="QTF1" s="224"/>
      <c r="QTG1" s="224"/>
      <c r="QTH1" s="224"/>
      <c r="QTI1" s="224"/>
      <c r="QTJ1" s="224"/>
      <c r="QTK1" s="224"/>
      <c r="QTL1" s="224"/>
      <c r="QTM1" s="224"/>
      <c r="QTN1" s="224"/>
      <c r="QTO1" s="224"/>
      <c r="QTP1" s="224"/>
      <c r="QTQ1" s="224"/>
      <c r="QTR1" s="224"/>
      <c r="QTS1" s="224"/>
      <c r="QTT1" s="224"/>
      <c r="QTU1" s="224"/>
      <c r="QTV1" s="224"/>
      <c r="QTW1" s="224"/>
      <c r="QTX1" s="224"/>
      <c r="QTY1" s="224"/>
      <c r="QTZ1" s="224"/>
      <c r="QUA1" s="224"/>
      <c r="QUB1" s="224"/>
      <c r="QUC1" s="224"/>
      <c r="QUD1" s="224"/>
      <c r="QUE1" s="224"/>
      <c r="QUF1" s="224"/>
      <c r="QUG1" s="224"/>
      <c r="QUH1" s="224"/>
      <c r="QUI1" s="224"/>
      <c r="QUJ1" s="224"/>
      <c r="QUK1" s="224"/>
      <c r="QUL1" s="224"/>
      <c r="QUM1" s="224"/>
      <c r="QUN1" s="224"/>
      <c r="QUO1" s="224"/>
      <c r="QUP1" s="224"/>
      <c r="QUQ1" s="224"/>
      <c r="QUR1" s="224"/>
      <c r="QUS1" s="224"/>
      <c r="QUT1" s="224"/>
      <c r="QUU1" s="224"/>
      <c r="QUV1" s="224"/>
      <c r="QUW1" s="224"/>
      <c r="QUX1" s="224"/>
      <c r="QUY1" s="224"/>
      <c r="QUZ1" s="224"/>
      <c r="QVA1" s="224"/>
      <c r="QVB1" s="224"/>
      <c r="QVC1" s="224"/>
      <c r="QVD1" s="224"/>
      <c r="QVE1" s="224"/>
      <c r="QVF1" s="224"/>
      <c r="QVG1" s="224"/>
      <c r="QVH1" s="224"/>
      <c r="QVI1" s="224"/>
      <c r="QVJ1" s="224"/>
      <c r="QVK1" s="224"/>
      <c r="QVL1" s="224"/>
      <c r="QVM1" s="224"/>
      <c r="QVN1" s="224"/>
      <c r="QVO1" s="224"/>
      <c r="QVP1" s="224"/>
      <c r="QVQ1" s="224"/>
      <c r="QVR1" s="224"/>
      <c r="QVS1" s="224"/>
      <c r="QVT1" s="224"/>
      <c r="QVU1" s="224"/>
      <c r="QVV1" s="224"/>
      <c r="QVW1" s="224"/>
      <c r="QVX1" s="224"/>
      <c r="QVY1" s="224"/>
      <c r="QVZ1" s="224"/>
      <c r="QWA1" s="224"/>
      <c r="QWB1" s="224"/>
      <c r="QWC1" s="224"/>
      <c r="QWD1" s="224"/>
      <c r="QWE1" s="224"/>
      <c r="QWF1" s="224"/>
      <c r="QWG1" s="224"/>
      <c r="QWH1" s="224"/>
      <c r="QWI1" s="224"/>
      <c r="QWJ1" s="224"/>
      <c r="QWK1" s="224"/>
      <c r="QWL1" s="224"/>
      <c r="QWM1" s="224"/>
      <c r="QWN1" s="224"/>
      <c r="QWO1" s="224"/>
      <c r="QWP1" s="224"/>
      <c r="QWQ1" s="224"/>
      <c r="QWR1" s="224"/>
      <c r="QWS1" s="224"/>
      <c r="QWT1" s="224"/>
      <c r="QWU1" s="224"/>
      <c r="QWV1" s="224"/>
      <c r="QWW1" s="224"/>
      <c r="QWX1" s="224"/>
      <c r="QWY1" s="224"/>
      <c r="QWZ1" s="224"/>
      <c r="QXA1" s="224"/>
      <c r="QXB1" s="224"/>
      <c r="QXC1" s="224"/>
      <c r="QXD1" s="224"/>
      <c r="QXE1" s="224"/>
      <c r="QXF1" s="224"/>
      <c r="QXG1" s="224"/>
      <c r="QXH1" s="224"/>
      <c r="QXI1" s="224"/>
      <c r="QXJ1" s="224"/>
      <c r="QXK1" s="224"/>
      <c r="QXL1" s="224"/>
      <c r="QXM1" s="224"/>
      <c r="QXN1" s="224"/>
      <c r="QXO1" s="224"/>
      <c r="QXP1" s="224"/>
      <c r="QXQ1" s="224"/>
      <c r="QXR1" s="224"/>
      <c r="QXS1" s="224"/>
      <c r="QXT1" s="224"/>
      <c r="QXU1" s="224"/>
      <c r="QXV1" s="224"/>
      <c r="QXW1" s="224"/>
      <c r="QXX1" s="224"/>
      <c r="QXY1" s="224"/>
      <c r="QXZ1" s="224"/>
      <c r="QYA1" s="224"/>
      <c r="QYB1" s="224"/>
      <c r="QYC1" s="224"/>
      <c r="QYD1" s="224"/>
      <c r="QYE1" s="224"/>
      <c r="QYF1" s="224"/>
      <c r="QYG1" s="224"/>
      <c r="QYH1" s="224"/>
      <c r="QYI1" s="224"/>
      <c r="QYJ1" s="224"/>
      <c r="QYK1" s="224"/>
      <c r="QYL1" s="224"/>
      <c r="QYM1" s="224"/>
      <c r="QYN1" s="224"/>
      <c r="QYO1" s="224"/>
      <c r="QYP1" s="224"/>
      <c r="QYQ1" s="224"/>
      <c r="QYR1" s="224"/>
      <c r="QYS1" s="224"/>
      <c r="QYT1" s="224"/>
      <c r="QYU1" s="224"/>
      <c r="QYV1" s="224"/>
      <c r="QYW1" s="224"/>
      <c r="QYX1" s="224"/>
      <c r="QYY1" s="224"/>
      <c r="QYZ1" s="224"/>
      <c r="QZA1" s="224"/>
      <c r="QZB1" s="224"/>
      <c r="QZC1" s="224"/>
      <c r="QZD1" s="224"/>
      <c r="QZE1" s="224"/>
      <c r="QZF1" s="224"/>
      <c r="QZG1" s="224"/>
      <c r="QZH1" s="224"/>
      <c r="QZI1" s="224"/>
      <c r="QZJ1" s="224"/>
      <c r="QZK1" s="224"/>
      <c r="QZL1" s="224"/>
      <c r="QZM1" s="224"/>
      <c r="QZN1" s="224"/>
      <c r="QZO1" s="224"/>
      <c r="QZP1" s="224"/>
      <c r="QZQ1" s="224"/>
      <c r="QZR1" s="224"/>
      <c r="QZS1" s="224"/>
      <c r="QZT1" s="224"/>
      <c r="QZU1" s="224"/>
      <c r="QZV1" s="224"/>
      <c r="QZW1" s="224"/>
      <c r="QZX1" s="224"/>
      <c r="QZY1" s="224"/>
      <c r="QZZ1" s="224"/>
      <c r="RAA1" s="224"/>
      <c r="RAB1" s="224"/>
      <c r="RAC1" s="224"/>
      <c r="RAD1" s="224"/>
      <c r="RAE1" s="224"/>
      <c r="RAF1" s="224"/>
      <c r="RAG1" s="224"/>
      <c r="RAH1" s="224"/>
      <c r="RAI1" s="224"/>
      <c r="RAJ1" s="224"/>
      <c r="RAK1" s="224"/>
      <c r="RAL1" s="224"/>
      <c r="RAM1" s="224"/>
      <c r="RAN1" s="224"/>
      <c r="RAO1" s="224"/>
      <c r="RAP1" s="224"/>
      <c r="RAQ1" s="224"/>
      <c r="RAR1" s="224"/>
      <c r="RAS1" s="224"/>
      <c r="RAT1" s="224"/>
      <c r="RAU1" s="224"/>
      <c r="RAV1" s="224"/>
      <c r="RAW1" s="224"/>
      <c r="RAX1" s="224"/>
      <c r="RAY1" s="224"/>
      <c r="RAZ1" s="224"/>
      <c r="RBA1" s="224"/>
      <c r="RBB1" s="224"/>
      <c r="RBC1" s="224"/>
      <c r="RBD1" s="224"/>
      <c r="RBE1" s="224"/>
      <c r="RBF1" s="224"/>
      <c r="RBG1" s="224"/>
      <c r="RBH1" s="224"/>
      <c r="RBI1" s="224"/>
      <c r="RBJ1" s="224"/>
      <c r="RBK1" s="224"/>
      <c r="RBL1" s="224"/>
      <c r="RBM1" s="224"/>
      <c r="RBN1" s="224"/>
      <c r="RBO1" s="224"/>
      <c r="RBP1" s="224"/>
      <c r="RBQ1" s="224"/>
      <c r="RBR1" s="224"/>
      <c r="RBS1" s="224"/>
      <c r="RBT1" s="224"/>
      <c r="RBU1" s="224"/>
      <c r="RBV1" s="224"/>
      <c r="RBW1" s="224"/>
      <c r="RBX1" s="224"/>
      <c r="RBY1" s="224"/>
      <c r="RBZ1" s="224"/>
      <c r="RCA1" s="224"/>
      <c r="RCB1" s="224"/>
      <c r="RCC1" s="224"/>
      <c r="RCD1" s="224"/>
      <c r="RCE1" s="224"/>
      <c r="RCF1" s="224"/>
      <c r="RCG1" s="224"/>
      <c r="RCH1" s="224"/>
      <c r="RCI1" s="224"/>
      <c r="RCJ1" s="224"/>
      <c r="RCK1" s="224"/>
      <c r="RCL1" s="224"/>
      <c r="RCM1" s="224"/>
      <c r="RCN1" s="224"/>
      <c r="RCO1" s="224"/>
      <c r="RCP1" s="224"/>
      <c r="RCQ1" s="224"/>
      <c r="RCR1" s="224"/>
      <c r="RCS1" s="224"/>
      <c r="RCT1" s="224"/>
      <c r="RCU1" s="224"/>
      <c r="RCV1" s="224"/>
      <c r="RCW1" s="224"/>
      <c r="RCX1" s="224"/>
      <c r="RCY1" s="224"/>
      <c r="RCZ1" s="224"/>
      <c r="RDA1" s="224"/>
      <c r="RDB1" s="224"/>
      <c r="RDC1" s="224"/>
      <c r="RDD1" s="224"/>
      <c r="RDE1" s="224"/>
      <c r="RDF1" s="224"/>
      <c r="RDG1" s="224"/>
      <c r="RDH1" s="224"/>
      <c r="RDI1" s="224"/>
      <c r="RDJ1" s="224"/>
      <c r="RDK1" s="224"/>
      <c r="RDL1" s="224"/>
      <c r="RDM1" s="224"/>
      <c r="RDN1" s="224"/>
      <c r="RDO1" s="224"/>
      <c r="RDP1" s="224"/>
      <c r="RDQ1" s="224"/>
      <c r="RDR1" s="224"/>
      <c r="RDS1" s="224"/>
      <c r="RDT1" s="224"/>
      <c r="RDU1" s="224"/>
      <c r="RDV1" s="224"/>
      <c r="RDW1" s="224"/>
      <c r="RDX1" s="224"/>
      <c r="RDY1" s="224"/>
      <c r="RDZ1" s="224"/>
      <c r="REA1" s="224"/>
      <c r="REB1" s="224"/>
      <c r="REC1" s="224"/>
      <c r="RED1" s="224"/>
      <c r="REE1" s="224"/>
      <c r="REF1" s="224"/>
      <c r="REG1" s="224"/>
      <c r="REH1" s="224"/>
      <c r="REI1" s="224"/>
      <c r="REJ1" s="224"/>
      <c r="REK1" s="224"/>
      <c r="REL1" s="224"/>
      <c r="REM1" s="224"/>
      <c r="REN1" s="224"/>
      <c r="REO1" s="224"/>
      <c r="REP1" s="224"/>
      <c r="REQ1" s="224"/>
      <c r="RER1" s="224"/>
      <c r="RES1" s="224"/>
      <c r="RET1" s="224"/>
      <c r="REU1" s="224"/>
      <c r="REV1" s="224"/>
      <c r="REW1" s="224"/>
      <c r="REX1" s="224"/>
      <c r="REY1" s="224"/>
      <c r="REZ1" s="224"/>
      <c r="RFA1" s="224"/>
      <c r="RFB1" s="224"/>
      <c r="RFC1" s="224"/>
      <c r="RFD1" s="224"/>
      <c r="RFE1" s="224"/>
      <c r="RFF1" s="224"/>
      <c r="RFG1" s="224"/>
      <c r="RFH1" s="224"/>
      <c r="RFI1" s="224"/>
      <c r="RFJ1" s="224"/>
      <c r="RFK1" s="224"/>
      <c r="RFL1" s="224"/>
      <c r="RFM1" s="224"/>
      <c r="RFN1" s="224"/>
      <c r="RFO1" s="224"/>
      <c r="RFP1" s="224"/>
      <c r="RFQ1" s="224"/>
      <c r="RFR1" s="224"/>
      <c r="RFS1" s="224"/>
      <c r="RFT1" s="224"/>
      <c r="RFU1" s="224"/>
      <c r="RFV1" s="224"/>
      <c r="RFW1" s="224"/>
      <c r="RFX1" s="224"/>
      <c r="RFY1" s="224"/>
      <c r="RFZ1" s="224"/>
      <c r="RGA1" s="224"/>
      <c r="RGB1" s="224"/>
      <c r="RGC1" s="224"/>
      <c r="RGD1" s="224"/>
      <c r="RGE1" s="224"/>
      <c r="RGF1" s="224"/>
      <c r="RGG1" s="224"/>
      <c r="RGH1" s="224"/>
      <c r="RGI1" s="224"/>
      <c r="RGJ1" s="224"/>
      <c r="RGK1" s="224"/>
      <c r="RGL1" s="224"/>
      <c r="RGM1" s="224"/>
      <c r="RGN1" s="224"/>
      <c r="RGO1" s="224"/>
      <c r="RGP1" s="224"/>
      <c r="RGQ1" s="224"/>
      <c r="RGR1" s="224"/>
      <c r="RGS1" s="224"/>
      <c r="RGT1" s="224"/>
      <c r="RGU1" s="224"/>
      <c r="RGV1" s="224"/>
      <c r="RGW1" s="224"/>
      <c r="RGX1" s="224"/>
      <c r="RGY1" s="224"/>
      <c r="RGZ1" s="224"/>
      <c r="RHA1" s="224"/>
      <c r="RHB1" s="224"/>
      <c r="RHC1" s="224"/>
      <c r="RHD1" s="224"/>
      <c r="RHE1" s="224"/>
      <c r="RHF1" s="224"/>
      <c r="RHG1" s="224"/>
      <c r="RHH1" s="224"/>
      <c r="RHI1" s="224"/>
      <c r="RHJ1" s="224"/>
      <c r="RHK1" s="224"/>
      <c r="RHL1" s="224"/>
      <c r="RHM1" s="224"/>
      <c r="RHN1" s="224"/>
      <c r="RHO1" s="224"/>
      <c r="RHP1" s="224"/>
      <c r="RHQ1" s="224"/>
      <c r="RHR1" s="224"/>
      <c r="RHS1" s="224"/>
      <c r="RHT1" s="224"/>
      <c r="RHU1" s="224"/>
      <c r="RHV1" s="224"/>
      <c r="RHW1" s="224"/>
      <c r="RHX1" s="224"/>
      <c r="RHY1" s="224"/>
      <c r="RHZ1" s="224"/>
      <c r="RIA1" s="224"/>
      <c r="RIB1" s="224"/>
      <c r="RIC1" s="224"/>
      <c r="RID1" s="224"/>
      <c r="RIE1" s="224"/>
      <c r="RIF1" s="224"/>
      <c r="RIG1" s="224"/>
      <c r="RIH1" s="224"/>
      <c r="RII1" s="224"/>
      <c r="RIJ1" s="224"/>
      <c r="RIK1" s="224"/>
      <c r="RIL1" s="224"/>
      <c r="RIM1" s="224"/>
      <c r="RIN1" s="224"/>
      <c r="RIO1" s="224"/>
      <c r="RIP1" s="224"/>
      <c r="RIQ1" s="224"/>
      <c r="RIR1" s="224"/>
      <c r="RIS1" s="224"/>
      <c r="RIT1" s="224"/>
      <c r="RIU1" s="224"/>
      <c r="RIV1" s="224"/>
      <c r="RIW1" s="224"/>
      <c r="RIX1" s="224"/>
      <c r="RIY1" s="224"/>
      <c r="RIZ1" s="224"/>
      <c r="RJA1" s="224"/>
      <c r="RJB1" s="224"/>
      <c r="RJC1" s="224"/>
      <c r="RJD1" s="224"/>
      <c r="RJE1" s="224"/>
      <c r="RJF1" s="224"/>
      <c r="RJG1" s="224"/>
      <c r="RJH1" s="224"/>
      <c r="RJI1" s="224"/>
      <c r="RJJ1" s="224"/>
      <c r="RJK1" s="224"/>
      <c r="RJL1" s="224"/>
      <c r="RJM1" s="224"/>
      <c r="RJN1" s="224"/>
      <c r="RJO1" s="224"/>
      <c r="RJP1" s="224"/>
      <c r="RJQ1" s="224"/>
      <c r="RJR1" s="224"/>
      <c r="RJS1" s="224"/>
      <c r="RJT1" s="224"/>
      <c r="RJU1" s="224"/>
      <c r="RJV1" s="224"/>
      <c r="RJW1" s="224"/>
      <c r="RJX1" s="224"/>
      <c r="RJY1" s="224"/>
      <c r="RJZ1" s="224"/>
      <c r="RKA1" s="224"/>
      <c r="RKB1" s="224"/>
      <c r="RKC1" s="224"/>
      <c r="RKD1" s="224"/>
      <c r="RKE1" s="224"/>
      <c r="RKF1" s="224"/>
      <c r="RKG1" s="224"/>
      <c r="RKH1" s="224"/>
      <c r="RKI1" s="224"/>
      <c r="RKJ1" s="224"/>
      <c r="RKK1" s="224"/>
      <c r="RKL1" s="224"/>
      <c r="RKM1" s="224"/>
      <c r="RKN1" s="224"/>
      <c r="RKO1" s="224"/>
      <c r="RKP1" s="224"/>
      <c r="RKQ1" s="224"/>
      <c r="RKR1" s="224"/>
      <c r="RKS1" s="224"/>
      <c r="RKT1" s="224"/>
      <c r="RKU1" s="224"/>
      <c r="RKV1" s="224"/>
      <c r="RKW1" s="224"/>
      <c r="RKX1" s="224"/>
      <c r="RKY1" s="224"/>
      <c r="RKZ1" s="224"/>
      <c r="RLA1" s="224"/>
      <c r="RLB1" s="224"/>
      <c r="RLC1" s="224"/>
      <c r="RLD1" s="224"/>
      <c r="RLE1" s="224"/>
      <c r="RLF1" s="224"/>
      <c r="RLG1" s="224"/>
      <c r="RLH1" s="224"/>
      <c r="RLI1" s="224"/>
      <c r="RLJ1" s="224"/>
      <c r="RLK1" s="224"/>
      <c r="RLL1" s="224"/>
      <c r="RLM1" s="224"/>
      <c r="RLN1" s="224"/>
      <c r="RLO1" s="224"/>
      <c r="RLP1" s="224"/>
      <c r="RLQ1" s="224"/>
      <c r="RLR1" s="224"/>
      <c r="RLS1" s="224"/>
      <c r="RLT1" s="224"/>
      <c r="RLU1" s="224"/>
      <c r="RLV1" s="224"/>
      <c r="RLW1" s="224"/>
      <c r="RLX1" s="224"/>
      <c r="RLY1" s="224"/>
      <c r="RLZ1" s="224"/>
      <c r="RMA1" s="224"/>
      <c r="RMB1" s="224"/>
      <c r="RMC1" s="224"/>
      <c r="RMD1" s="224"/>
      <c r="RME1" s="224"/>
      <c r="RMF1" s="224"/>
      <c r="RMG1" s="224"/>
      <c r="RMH1" s="224"/>
      <c r="RMI1" s="224"/>
      <c r="RMJ1" s="224"/>
      <c r="RMK1" s="224"/>
      <c r="RML1" s="224"/>
      <c r="RMM1" s="224"/>
      <c r="RMN1" s="224"/>
      <c r="RMO1" s="224"/>
      <c r="RMP1" s="224"/>
      <c r="RMQ1" s="224"/>
      <c r="RMR1" s="224"/>
      <c r="RMS1" s="224"/>
      <c r="RMT1" s="224"/>
      <c r="RMU1" s="224"/>
      <c r="RMV1" s="224"/>
      <c r="RMW1" s="224"/>
      <c r="RMX1" s="224"/>
      <c r="RMY1" s="224"/>
      <c r="RMZ1" s="224"/>
      <c r="RNA1" s="224"/>
      <c r="RNB1" s="224"/>
      <c r="RNC1" s="224"/>
      <c r="RND1" s="224"/>
      <c r="RNE1" s="224"/>
      <c r="RNF1" s="224"/>
      <c r="RNG1" s="224"/>
      <c r="RNH1" s="224"/>
      <c r="RNI1" s="224"/>
      <c r="RNJ1" s="224"/>
      <c r="RNK1" s="224"/>
      <c r="RNL1" s="224"/>
      <c r="RNM1" s="224"/>
      <c r="RNN1" s="224"/>
      <c r="RNO1" s="224"/>
      <c r="RNP1" s="224"/>
      <c r="RNQ1" s="224"/>
      <c r="RNR1" s="224"/>
      <c r="RNS1" s="224"/>
      <c r="RNT1" s="224"/>
      <c r="RNU1" s="224"/>
      <c r="RNV1" s="224"/>
      <c r="RNW1" s="224"/>
      <c r="RNX1" s="224"/>
      <c r="RNY1" s="224"/>
      <c r="RNZ1" s="224"/>
      <c r="ROA1" s="224"/>
      <c r="ROB1" s="224"/>
      <c r="ROC1" s="224"/>
      <c r="ROD1" s="224"/>
      <c r="ROE1" s="224"/>
      <c r="ROF1" s="224"/>
      <c r="ROG1" s="224"/>
      <c r="ROH1" s="224"/>
      <c r="ROI1" s="224"/>
      <c r="ROJ1" s="224"/>
      <c r="ROK1" s="224"/>
      <c r="ROL1" s="224"/>
      <c r="ROM1" s="224"/>
      <c r="RON1" s="224"/>
      <c r="ROO1" s="224"/>
      <c r="ROP1" s="224"/>
      <c r="ROQ1" s="224"/>
      <c r="ROR1" s="224"/>
      <c r="ROS1" s="224"/>
      <c r="ROT1" s="224"/>
      <c r="ROU1" s="224"/>
      <c r="ROV1" s="224"/>
      <c r="ROW1" s="224"/>
      <c r="ROX1" s="224"/>
      <c r="ROY1" s="224"/>
      <c r="ROZ1" s="224"/>
      <c r="RPA1" s="224"/>
      <c r="RPB1" s="224"/>
      <c r="RPC1" s="224"/>
      <c r="RPD1" s="224"/>
      <c r="RPE1" s="224"/>
      <c r="RPF1" s="224"/>
      <c r="RPG1" s="224"/>
      <c r="RPH1" s="224"/>
      <c r="RPI1" s="224"/>
      <c r="RPJ1" s="224"/>
      <c r="RPK1" s="224"/>
      <c r="RPL1" s="224"/>
      <c r="RPM1" s="224"/>
      <c r="RPN1" s="224"/>
      <c r="RPO1" s="224"/>
      <c r="RPP1" s="224"/>
      <c r="RPQ1" s="224"/>
      <c r="RPR1" s="224"/>
      <c r="RPS1" s="224"/>
      <c r="RPT1" s="224"/>
      <c r="RPU1" s="224"/>
      <c r="RPV1" s="224"/>
      <c r="RPW1" s="224"/>
      <c r="RPX1" s="224"/>
      <c r="RPY1" s="224"/>
      <c r="RPZ1" s="224"/>
      <c r="RQA1" s="224"/>
      <c r="RQB1" s="224"/>
      <c r="RQC1" s="224"/>
      <c r="RQD1" s="224"/>
      <c r="RQE1" s="224"/>
      <c r="RQF1" s="224"/>
      <c r="RQG1" s="224"/>
      <c r="RQH1" s="224"/>
      <c r="RQI1" s="224"/>
      <c r="RQJ1" s="224"/>
      <c r="RQK1" s="224"/>
      <c r="RQL1" s="224"/>
      <c r="RQM1" s="224"/>
      <c r="RQN1" s="224"/>
      <c r="RQO1" s="224"/>
      <c r="RQP1" s="224"/>
      <c r="RQQ1" s="224"/>
      <c r="RQR1" s="224"/>
      <c r="RQS1" s="224"/>
      <c r="RQT1" s="224"/>
      <c r="RQU1" s="224"/>
      <c r="RQV1" s="224"/>
      <c r="RQW1" s="224"/>
      <c r="RQX1" s="224"/>
      <c r="RQY1" s="224"/>
      <c r="RQZ1" s="224"/>
      <c r="RRA1" s="224"/>
      <c r="RRB1" s="224"/>
      <c r="RRC1" s="224"/>
      <c r="RRD1" s="224"/>
      <c r="RRE1" s="224"/>
      <c r="RRF1" s="224"/>
      <c r="RRG1" s="224"/>
      <c r="RRH1" s="224"/>
      <c r="RRI1" s="224"/>
      <c r="RRJ1" s="224"/>
      <c r="RRK1" s="224"/>
      <c r="RRL1" s="224"/>
      <c r="RRM1" s="224"/>
      <c r="RRN1" s="224"/>
      <c r="RRO1" s="224"/>
      <c r="RRP1" s="224"/>
      <c r="RRQ1" s="224"/>
      <c r="RRR1" s="224"/>
      <c r="RRS1" s="224"/>
      <c r="RRT1" s="224"/>
      <c r="RRU1" s="224"/>
      <c r="RRV1" s="224"/>
      <c r="RRW1" s="224"/>
      <c r="RRX1" s="224"/>
      <c r="RRY1" s="224"/>
      <c r="RRZ1" s="224"/>
      <c r="RSA1" s="224"/>
      <c r="RSB1" s="224"/>
      <c r="RSC1" s="224"/>
      <c r="RSD1" s="224"/>
      <c r="RSE1" s="224"/>
      <c r="RSF1" s="224"/>
      <c r="RSG1" s="224"/>
      <c r="RSH1" s="224"/>
      <c r="RSI1" s="224"/>
      <c r="RSJ1" s="224"/>
      <c r="RSK1" s="224"/>
      <c r="RSL1" s="224"/>
      <c r="RSM1" s="224"/>
      <c r="RSN1" s="224"/>
      <c r="RSO1" s="224"/>
      <c r="RSP1" s="224"/>
      <c r="RSQ1" s="224"/>
      <c r="RSR1" s="224"/>
      <c r="RSS1" s="224"/>
      <c r="RST1" s="224"/>
      <c r="RSU1" s="224"/>
      <c r="RSV1" s="224"/>
      <c r="RSW1" s="224"/>
      <c r="RSX1" s="224"/>
      <c r="RSY1" s="224"/>
      <c r="RSZ1" s="224"/>
      <c r="RTA1" s="224"/>
      <c r="RTB1" s="224"/>
      <c r="RTC1" s="224"/>
      <c r="RTD1" s="224"/>
      <c r="RTE1" s="224"/>
      <c r="RTF1" s="224"/>
      <c r="RTG1" s="224"/>
      <c r="RTH1" s="224"/>
      <c r="RTI1" s="224"/>
      <c r="RTJ1" s="224"/>
      <c r="RTK1" s="224"/>
      <c r="RTL1" s="224"/>
      <c r="RTM1" s="224"/>
      <c r="RTN1" s="224"/>
      <c r="RTO1" s="224"/>
      <c r="RTP1" s="224"/>
      <c r="RTQ1" s="224"/>
      <c r="RTR1" s="224"/>
      <c r="RTS1" s="224"/>
      <c r="RTT1" s="224"/>
      <c r="RTU1" s="224"/>
      <c r="RTV1" s="224"/>
      <c r="RTW1" s="224"/>
      <c r="RTX1" s="224"/>
      <c r="RTY1" s="224"/>
      <c r="RTZ1" s="224"/>
      <c r="RUA1" s="224"/>
      <c r="RUB1" s="224"/>
      <c r="RUC1" s="224"/>
      <c r="RUD1" s="224"/>
      <c r="RUE1" s="224"/>
      <c r="RUF1" s="224"/>
      <c r="RUG1" s="224"/>
      <c r="RUH1" s="224"/>
      <c r="RUI1" s="224"/>
      <c r="RUJ1" s="224"/>
      <c r="RUK1" s="224"/>
      <c r="RUL1" s="224"/>
      <c r="RUM1" s="224"/>
      <c r="RUN1" s="224"/>
      <c r="RUO1" s="224"/>
      <c r="RUP1" s="224"/>
      <c r="RUQ1" s="224"/>
      <c r="RUR1" s="224"/>
      <c r="RUS1" s="224"/>
      <c r="RUT1" s="224"/>
      <c r="RUU1" s="224"/>
      <c r="RUV1" s="224"/>
      <c r="RUW1" s="224"/>
      <c r="RUX1" s="224"/>
      <c r="RUY1" s="224"/>
      <c r="RUZ1" s="224"/>
      <c r="RVA1" s="224"/>
      <c r="RVB1" s="224"/>
      <c r="RVC1" s="224"/>
      <c r="RVD1" s="224"/>
      <c r="RVE1" s="224"/>
      <c r="RVF1" s="224"/>
      <c r="RVG1" s="224"/>
      <c r="RVH1" s="224"/>
      <c r="RVI1" s="224"/>
      <c r="RVJ1" s="224"/>
      <c r="RVK1" s="224"/>
      <c r="RVL1" s="224"/>
      <c r="RVM1" s="224"/>
      <c r="RVN1" s="224"/>
      <c r="RVO1" s="224"/>
      <c r="RVP1" s="224"/>
      <c r="RVQ1" s="224"/>
      <c r="RVR1" s="224"/>
      <c r="RVS1" s="224"/>
      <c r="RVT1" s="224"/>
      <c r="RVU1" s="224"/>
      <c r="RVV1" s="224"/>
      <c r="RVW1" s="224"/>
      <c r="RVX1" s="224"/>
      <c r="RVY1" s="224"/>
      <c r="RVZ1" s="224"/>
      <c r="RWA1" s="224"/>
      <c r="RWB1" s="224"/>
      <c r="RWC1" s="224"/>
      <c r="RWD1" s="224"/>
      <c r="RWE1" s="224"/>
      <c r="RWF1" s="224"/>
      <c r="RWG1" s="224"/>
      <c r="RWH1" s="224"/>
      <c r="RWI1" s="224"/>
      <c r="RWJ1" s="224"/>
      <c r="RWK1" s="224"/>
      <c r="RWL1" s="224"/>
      <c r="RWM1" s="224"/>
      <c r="RWN1" s="224"/>
      <c r="RWO1" s="224"/>
      <c r="RWP1" s="224"/>
      <c r="RWQ1" s="224"/>
      <c r="RWR1" s="224"/>
      <c r="RWS1" s="224"/>
      <c r="RWT1" s="224"/>
      <c r="RWU1" s="224"/>
      <c r="RWV1" s="224"/>
      <c r="RWW1" s="224"/>
      <c r="RWX1" s="224"/>
      <c r="RWY1" s="224"/>
      <c r="RWZ1" s="224"/>
      <c r="RXA1" s="224"/>
      <c r="RXB1" s="224"/>
      <c r="RXC1" s="224"/>
      <c r="RXD1" s="224"/>
      <c r="RXE1" s="224"/>
      <c r="RXF1" s="224"/>
      <c r="RXG1" s="224"/>
      <c r="RXH1" s="224"/>
      <c r="RXI1" s="224"/>
      <c r="RXJ1" s="224"/>
      <c r="RXK1" s="224"/>
      <c r="RXL1" s="224"/>
      <c r="RXM1" s="224"/>
      <c r="RXN1" s="224"/>
      <c r="RXO1" s="224"/>
      <c r="RXP1" s="224"/>
      <c r="RXQ1" s="224"/>
      <c r="RXR1" s="224"/>
      <c r="RXS1" s="224"/>
      <c r="RXT1" s="224"/>
      <c r="RXU1" s="224"/>
      <c r="RXV1" s="224"/>
      <c r="RXW1" s="224"/>
      <c r="RXX1" s="224"/>
      <c r="RXY1" s="224"/>
      <c r="RXZ1" s="224"/>
      <c r="RYA1" s="224"/>
      <c r="RYB1" s="224"/>
      <c r="RYC1" s="224"/>
      <c r="RYD1" s="224"/>
      <c r="RYE1" s="224"/>
      <c r="RYF1" s="224"/>
      <c r="RYG1" s="224"/>
      <c r="RYH1" s="224"/>
      <c r="RYI1" s="224"/>
      <c r="RYJ1" s="224"/>
      <c r="RYK1" s="224"/>
      <c r="RYL1" s="224"/>
      <c r="RYM1" s="224"/>
      <c r="RYN1" s="224"/>
      <c r="RYO1" s="224"/>
      <c r="RYP1" s="224"/>
      <c r="RYQ1" s="224"/>
      <c r="RYR1" s="224"/>
      <c r="RYS1" s="224"/>
      <c r="RYT1" s="224"/>
      <c r="RYU1" s="224"/>
      <c r="RYV1" s="224"/>
      <c r="RYW1" s="224"/>
      <c r="RYX1" s="224"/>
      <c r="RYY1" s="224"/>
      <c r="RYZ1" s="224"/>
      <c r="RZA1" s="224"/>
      <c r="RZB1" s="224"/>
      <c r="RZC1" s="224"/>
      <c r="RZD1" s="224"/>
      <c r="RZE1" s="224"/>
      <c r="RZF1" s="224"/>
      <c r="RZG1" s="224"/>
      <c r="RZH1" s="224"/>
      <c r="RZI1" s="224"/>
      <c r="RZJ1" s="224"/>
      <c r="RZK1" s="224"/>
      <c r="RZL1" s="224"/>
      <c r="RZM1" s="224"/>
      <c r="RZN1" s="224"/>
      <c r="RZO1" s="224"/>
      <c r="RZP1" s="224"/>
      <c r="RZQ1" s="224"/>
      <c r="RZR1" s="224"/>
      <c r="RZS1" s="224"/>
      <c r="RZT1" s="224"/>
      <c r="RZU1" s="224"/>
      <c r="RZV1" s="224"/>
      <c r="RZW1" s="224"/>
      <c r="RZX1" s="224"/>
      <c r="RZY1" s="224"/>
      <c r="RZZ1" s="224"/>
      <c r="SAA1" s="224"/>
      <c r="SAB1" s="224"/>
      <c r="SAC1" s="224"/>
      <c r="SAD1" s="224"/>
      <c r="SAE1" s="224"/>
      <c r="SAF1" s="224"/>
      <c r="SAG1" s="224"/>
      <c r="SAH1" s="224"/>
      <c r="SAI1" s="224"/>
      <c r="SAJ1" s="224"/>
      <c r="SAK1" s="224"/>
      <c r="SAL1" s="224"/>
      <c r="SAM1" s="224"/>
      <c r="SAN1" s="224"/>
      <c r="SAO1" s="224"/>
      <c r="SAP1" s="224"/>
      <c r="SAQ1" s="224"/>
      <c r="SAR1" s="224"/>
      <c r="SAS1" s="224"/>
      <c r="SAT1" s="224"/>
      <c r="SAU1" s="224"/>
      <c r="SAV1" s="224"/>
      <c r="SAW1" s="224"/>
      <c r="SAX1" s="224"/>
      <c r="SAY1" s="224"/>
      <c r="SAZ1" s="224"/>
      <c r="SBA1" s="224"/>
      <c r="SBB1" s="224"/>
      <c r="SBC1" s="224"/>
      <c r="SBD1" s="224"/>
      <c r="SBE1" s="224"/>
      <c r="SBF1" s="224"/>
      <c r="SBG1" s="224"/>
      <c r="SBH1" s="224"/>
      <c r="SBI1" s="224"/>
      <c r="SBJ1" s="224"/>
      <c r="SBK1" s="224"/>
      <c r="SBL1" s="224"/>
      <c r="SBM1" s="224"/>
      <c r="SBN1" s="224"/>
      <c r="SBO1" s="224"/>
      <c r="SBP1" s="224"/>
      <c r="SBQ1" s="224"/>
      <c r="SBR1" s="224"/>
      <c r="SBS1" s="224"/>
      <c r="SBT1" s="224"/>
      <c r="SBU1" s="224"/>
      <c r="SBV1" s="224"/>
      <c r="SBW1" s="224"/>
      <c r="SBX1" s="224"/>
      <c r="SBY1" s="224"/>
      <c r="SBZ1" s="224"/>
      <c r="SCA1" s="224"/>
      <c r="SCB1" s="224"/>
      <c r="SCC1" s="224"/>
      <c r="SCD1" s="224"/>
      <c r="SCE1" s="224"/>
      <c r="SCF1" s="224"/>
      <c r="SCG1" s="224"/>
      <c r="SCH1" s="224"/>
      <c r="SCI1" s="224"/>
      <c r="SCJ1" s="224"/>
      <c r="SCK1" s="224"/>
      <c r="SCL1" s="224"/>
      <c r="SCM1" s="224"/>
      <c r="SCN1" s="224"/>
      <c r="SCO1" s="224"/>
      <c r="SCP1" s="224"/>
      <c r="SCQ1" s="224"/>
      <c r="SCR1" s="224"/>
      <c r="SCS1" s="224"/>
      <c r="SCT1" s="224"/>
      <c r="SCU1" s="224"/>
      <c r="SCV1" s="224"/>
      <c r="SCW1" s="224"/>
      <c r="SCX1" s="224"/>
      <c r="SCY1" s="224"/>
      <c r="SCZ1" s="224"/>
      <c r="SDA1" s="224"/>
      <c r="SDB1" s="224"/>
      <c r="SDC1" s="224"/>
      <c r="SDD1" s="224"/>
      <c r="SDE1" s="224"/>
      <c r="SDF1" s="224"/>
      <c r="SDG1" s="224"/>
      <c r="SDH1" s="224"/>
      <c r="SDI1" s="224"/>
      <c r="SDJ1" s="224"/>
      <c r="SDK1" s="224"/>
      <c r="SDL1" s="224"/>
      <c r="SDM1" s="224"/>
      <c r="SDN1" s="224"/>
      <c r="SDO1" s="224"/>
      <c r="SDP1" s="224"/>
      <c r="SDQ1" s="224"/>
      <c r="SDR1" s="224"/>
      <c r="SDS1" s="224"/>
      <c r="SDT1" s="224"/>
      <c r="SDU1" s="224"/>
      <c r="SDV1" s="224"/>
      <c r="SDW1" s="224"/>
      <c r="SDX1" s="224"/>
      <c r="SDY1" s="224"/>
      <c r="SDZ1" s="224"/>
      <c r="SEA1" s="224"/>
      <c r="SEB1" s="224"/>
      <c r="SEC1" s="224"/>
      <c r="SED1" s="224"/>
      <c r="SEE1" s="224"/>
      <c r="SEF1" s="224"/>
      <c r="SEG1" s="224"/>
      <c r="SEH1" s="224"/>
      <c r="SEI1" s="224"/>
      <c r="SEJ1" s="224"/>
      <c r="SEK1" s="224"/>
      <c r="SEL1" s="224"/>
      <c r="SEM1" s="224"/>
      <c r="SEN1" s="224"/>
      <c r="SEO1" s="224"/>
      <c r="SEP1" s="224"/>
      <c r="SEQ1" s="224"/>
      <c r="SER1" s="224"/>
      <c r="SES1" s="224"/>
      <c r="SET1" s="224"/>
      <c r="SEU1" s="224"/>
      <c r="SEV1" s="224"/>
      <c r="SEW1" s="224"/>
      <c r="SEX1" s="224"/>
      <c r="SEY1" s="224"/>
      <c r="SEZ1" s="224"/>
      <c r="SFA1" s="224"/>
      <c r="SFB1" s="224"/>
      <c r="SFC1" s="224"/>
      <c r="SFD1" s="224"/>
      <c r="SFE1" s="224"/>
      <c r="SFF1" s="224"/>
      <c r="SFG1" s="224"/>
      <c r="SFH1" s="224"/>
      <c r="SFI1" s="224"/>
      <c r="SFJ1" s="224"/>
      <c r="SFK1" s="224"/>
      <c r="SFL1" s="224"/>
      <c r="SFM1" s="224"/>
      <c r="SFN1" s="224"/>
      <c r="SFO1" s="224"/>
      <c r="SFP1" s="224"/>
      <c r="SFQ1" s="224"/>
      <c r="SFR1" s="224"/>
      <c r="SFS1" s="224"/>
      <c r="SFT1" s="224"/>
      <c r="SFU1" s="224"/>
      <c r="SFV1" s="224"/>
      <c r="SFW1" s="224"/>
      <c r="SFX1" s="224"/>
      <c r="SFY1" s="224"/>
      <c r="SFZ1" s="224"/>
      <c r="SGA1" s="224"/>
      <c r="SGB1" s="224"/>
      <c r="SGC1" s="224"/>
      <c r="SGD1" s="224"/>
      <c r="SGE1" s="224"/>
      <c r="SGF1" s="224"/>
      <c r="SGG1" s="224"/>
      <c r="SGH1" s="224"/>
      <c r="SGI1" s="224"/>
      <c r="SGJ1" s="224"/>
      <c r="SGK1" s="224"/>
      <c r="SGL1" s="224"/>
      <c r="SGM1" s="224"/>
      <c r="SGN1" s="224"/>
      <c r="SGO1" s="224"/>
      <c r="SGP1" s="224"/>
      <c r="SGQ1" s="224"/>
      <c r="SGR1" s="224"/>
      <c r="SGS1" s="224"/>
      <c r="SGT1" s="224"/>
      <c r="SGU1" s="224"/>
      <c r="SGV1" s="224"/>
      <c r="SGW1" s="224"/>
      <c r="SGX1" s="224"/>
      <c r="SGY1" s="224"/>
      <c r="SGZ1" s="224"/>
      <c r="SHA1" s="224"/>
      <c r="SHB1" s="224"/>
      <c r="SHC1" s="224"/>
      <c r="SHD1" s="224"/>
      <c r="SHE1" s="224"/>
      <c r="SHF1" s="224"/>
      <c r="SHG1" s="224"/>
      <c r="SHH1" s="224"/>
      <c r="SHI1" s="224"/>
      <c r="SHJ1" s="224"/>
      <c r="SHK1" s="224"/>
      <c r="SHL1" s="224"/>
      <c r="SHM1" s="224"/>
      <c r="SHN1" s="224"/>
      <c r="SHO1" s="224"/>
      <c r="SHP1" s="224"/>
      <c r="SHQ1" s="224"/>
      <c r="SHR1" s="224"/>
      <c r="SHS1" s="224"/>
      <c r="SHT1" s="224"/>
      <c r="SHU1" s="224"/>
      <c r="SHV1" s="224"/>
      <c r="SHW1" s="224"/>
      <c r="SHX1" s="224"/>
      <c r="SHY1" s="224"/>
      <c r="SHZ1" s="224"/>
      <c r="SIA1" s="224"/>
      <c r="SIB1" s="224"/>
      <c r="SIC1" s="224"/>
      <c r="SID1" s="224"/>
      <c r="SIE1" s="224"/>
      <c r="SIF1" s="224"/>
      <c r="SIG1" s="224"/>
      <c r="SIH1" s="224"/>
      <c r="SII1" s="224"/>
      <c r="SIJ1" s="224"/>
      <c r="SIK1" s="224"/>
      <c r="SIL1" s="224"/>
      <c r="SIM1" s="224"/>
      <c r="SIN1" s="224"/>
      <c r="SIO1" s="224"/>
      <c r="SIP1" s="224"/>
      <c r="SIQ1" s="224"/>
      <c r="SIR1" s="224"/>
      <c r="SIS1" s="224"/>
      <c r="SIT1" s="224"/>
      <c r="SIU1" s="224"/>
      <c r="SIV1" s="224"/>
      <c r="SIW1" s="224"/>
      <c r="SIX1" s="224"/>
      <c r="SIY1" s="224"/>
      <c r="SIZ1" s="224"/>
      <c r="SJA1" s="224"/>
      <c r="SJB1" s="224"/>
      <c r="SJC1" s="224"/>
      <c r="SJD1" s="224"/>
      <c r="SJE1" s="224"/>
      <c r="SJF1" s="224"/>
      <c r="SJG1" s="224"/>
      <c r="SJH1" s="224"/>
      <c r="SJI1" s="224"/>
      <c r="SJJ1" s="224"/>
      <c r="SJK1" s="224"/>
      <c r="SJL1" s="224"/>
      <c r="SJM1" s="224"/>
      <c r="SJN1" s="224"/>
      <c r="SJO1" s="224"/>
      <c r="SJP1" s="224"/>
      <c r="SJQ1" s="224"/>
      <c r="SJR1" s="224"/>
      <c r="SJS1" s="224"/>
      <c r="SJT1" s="224"/>
      <c r="SJU1" s="224"/>
      <c r="SJV1" s="224"/>
      <c r="SJW1" s="224"/>
      <c r="SJX1" s="224"/>
      <c r="SJY1" s="224"/>
      <c r="SJZ1" s="224"/>
      <c r="SKA1" s="224"/>
      <c r="SKB1" s="224"/>
      <c r="SKC1" s="224"/>
      <c r="SKD1" s="224"/>
      <c r="SKE1" s="224"/>
      <c r="SKF1" s="224"/>
      <c r="SKG1" s="224"/>
      <c r="SKH1" s="224"/>
      <c r="SKI1" s="224"/>
      <c r="SKJ1" s="224"/>
      <c r="SKK1" s="224"/>
      <c r="SKL1" s="224"/>
      <c r="SKM1" s="224"/>
      <c r="SKN1" s="224"/>
      <c r="SKO1" s="224"/>
      <c r="SKP1" s="224"/>
      <c r="SKQ1" s="224"/>
      <c r="SKR1" s="224"/>
      <c r="SKS1" s="224"/>
      <c r="SKT1" s="224"/>
      <c r="SKU1" s="224"/>
      <c r="SKV1" s="224"/>
      <c r="SKW1" s="224"/>
      <c r="SKX1" s="224"/>
      <c r="SKY1" s="224"/>
      <c r="SKZ1" s="224"/>
      <c r="SLA1" s="224"/>
      <c r="SLB1" s="224"/>
      <c r="SLC1" s="224"/>
      <c r="SLD1" s="224"/>
      <c r="SLE1" s="224"/>
      <c r="SLF1" s="224"/>
      <c r="SLG1" s="224"/>
      <c r="SLH1" s="224"/>
      <c r="SLI1" s="224"/>
      <c r="SLJ1" s="224"/>
      <c r="SLK1" s="224"/>
      <c r="SLL1" s="224"/>
      <c r="SLM1" s="224"/>
      <c r="SLN1" s="224"/>
      <c r="SLO1" s="224"/>
      <c r="SLP1" s="224"/>
      <c r="SLQ1" s="224"/>
      <c r="SLR1" s="224"/>
      <c r="SLS1" s="224"/>
      <c r="SLT1" s="224"/>
      <c r="SLU1" s="224"/>
      <c r="SLV1" s="224"/>
      <c r="SLW1" s="224"/>
      <c r="SLX1" s="224"/>
      <c r="SLY1" s="224"/>
      <c r="SLZ1" s="224"/>
      <c r="SMA1" s="224"/>
      <c r="SMB1" s="224"/>
      <c r="SMC1" s="224"/>
      <c r="SMD1" s="224"/>
      <c r="SME1" s="224"/>
      <c r="SMF1" s="224"/>
      <c r="SMG1" s="224"/>
      <c r="SMH1" s="224"/>
      <c r="SMI1" s="224"/>
      <c r="SMJ1" s="224"/>
      <c r="SMK1" s="224"/>
      <c r="SML1" s="224"/>
      <c r="SMM1" s="224"/>
      <c r="SMN1" s="224"/>
      <c r="SMO1" s="224"/>
      <c r="SMP1" s="224"/>
      <c r="SMQ1" s="224"/>
      <c r="SMR1" s="224"/>
      <c r="SMS1" s="224"/>
      <c r="SMT1" s="224"/>
      <c r="SMU1" s="224"/>
      <c r="SMV1" s="224"/>
      <c r="SMW1" s="224"/>
      <c r="SMX1" s="224"/>
      <c r="SMY1" s="224"/>
      <c r="SMZ1" s="224"/>
      <c r="SNA1" s="224"/>
      <c r="SNB1" s="224"/>
      <c r="SNC1" s="224"/>
      <c r="SND1" s="224"/>
      <c r="SNE1" s="224"/>
      <c r="SNF1" s="224"/>
      <c r="SNG1" s="224"/>
      <c r="SNH1" s="224"/>
      <c r="SNI1" s="224"/>
      <c r="SNJ1" s="224"/>
      <c r="SNK1" s="224"/>
      <c r="SNL1" s="224"/>
      <c r="SNM1" s="224"/>
      <c r="SNN1" s="224"/>
      <c r="SNO1" s="224"/>
      <c r="SNP1" s="224"/>
      <c r="SNQ1" s="224"/>
      <c r="SNR1" s="224"/>
      <c r="SNS1" s="224"/>
      <c r="SNT1" s="224"/>
      <c r="SNU1" s="224"/>
      <c r="SNV1" s="224"/>
      <c r="SNW1" s="224"/>
      <c r="SNX1" s="224"/>
      <c r="SNY1" s="224"/>
      <c r="SNZ1" s="224"/>
      <c r="SOA1" s="224"/>
      <c r="SOB1" s="224"/>
      <c r="SOC1" s="224"/>
      <c r="SOD1" s="224"/>
      <c r="SOE1" s="224"/>
      <c r="SOF1" s="224"/>
      <c r="SOG1" s="224"/>
      <c r="SOH1" s="224"/>
      <c r="SOI1" s="224"/>
      <c r="SOJ1" s="224"/>
      <c r="SOK1" s="224"/>
      <c r="SOL1" s="224"/>
      <c r="SOM1" s="224"/>
      <c r="SON1" s="224"/>
      <c r="SOO1" s="224"/>
      <c r="SOP1" s="224"/>
      <c r="SOQ1" s="224"/>
      <c r="SOR1" s="224"/>
      <c r="SOS1" s="224"/>
      <c r="SOT1" s="224"/>
      <c r="SOU1" s="224"/>
      <c r="SOV1" s="224"/>
      <c r="SOW1" s="224"/>
      <c r="SOX1" s="224"/>
      <c r="SOY1" s="224"/>
      <c r="SOZ1" s="224"/>
      <c r="SPA1" s="224"/>
      <c r="SPB1" s="224"/>
      <c r="SPC1" s="224"/>
      <c r="SPD1" s="224"/>
      <c r="SPE1" s="224"/>
      <c r="SPF1" s="224"/>
      <c r="SPG1" s="224"/>
      <c r="SPH1" s="224"/>
      <c r="SPI1" s="224"/>
      <c r="SPJ1" s="224"/>
      <c r="SPK1" s="224"/>
      <c r="SPL1" s="224"/>
      <c r="SPM1" s="224"/>
      <c r="SPN1" s="224"/>
      <c r="SPO1" s="224"/>
      <c r="SPP1" s="224"/>
      <c r="SPQ1" s="224"/>
      <c r="SPR1" s="224"/>
      <c r="SPS1" s="224"/>
      <c r="SPT1" s="224"/>
      <c r="SPU1" s="224"/>
      <c r="SPV1" s="224"/>
      <c r="SPW1" s="224"/>
      <c r="SPX1" s="224"/>
      <c r="SPY1" s="224"/>
      <c r="SPZ1" s="224"/>
      <c r="SQA1" s="224"/>
      <c r="SQB1" s="224"/>
      <c r="SQC1" s="224"/>
      <c r="SQD1" s="224"/>
      <c r="SQE1" s="224"/>
      <c r="SQF1" s="224"/>
      <c r="SQG1" s="224"/>
      <c r="SQH1" s="224"/>
      <c r="SQI1" s="224"/>
      <c r="SQJ1" s="224"/>
      <c r="SQK1" s="224"/>
      <c r="SQL1" s="224"/>
      <c r="SQM1" s="224"/>
      <c r="SQN1" s="224"/>
      <c r="SQO1" s="224"/>
      <c r="SQP1" s="224"/>
      <c r="SQQ1" s="224"/>
      <c r="SQR1" s="224"/>
      <c r="SQS1" s="224"/>
      <c r="SQT1" s="224"/>
      <c r="SQU1" s="224"/>
      <c r="SQV1" s="224"/>
      <c r="SQW1" s="224"/>
      <c r="SQX1" s="224"/>
      <c r="SQY1" s="224"/>
      <c r="SQZ1" s="224"/>
      <c r="SRA1" s="224"/>
      <c r="SRB1" s="224"/>
      <c r="SRC1" s="224"/>
      <c r="SRD1" s="224"/>
      <c r="SRE1" s="224"/>
      <c r="SRF1" s="224"/>
      <c r="SRG1" s="224"/>
      <c r="SRH1" s="224"/>
      <c r="SRI1" s="224"/>
      <c r="SRJ1" s="224"/>
      <c r="SRK1" s="224"/>
      <c r="SRL1" s="224"/>
      <c r="SRM1" s="224"/>
      <c r="SRN1" s="224"/>
      <c r="SRO1" s="224"/>
      <c r="SRP1" s="224"/>
      <c r="SRQ1" s="224"/>
      <c r="SRR1" s="224"/>
      <c r="SRS1" s="224"/>
      <c r="SRT1" s="224"/>
      <c r="SRU1" s="224"/>
      <c r="SRV1" s="224"/>
      <c r="SRW1" s="224"/>
      <c r="SRX1" s="224"/>
      <c r="SRY1" s="224"/>
      <c r="SRZ1" s="224"/>
      <c r="SSA1" s="224"/>
      <c r="SSB1" s="224"/>
      <c r="SSC1" s="224"/>
      <c r="SSD1" s="224"/>
      <c r="SSE1" s="224"/>
      <c r="SSF1" s="224"/>
      <c r="SSG1" s="224"/>
      <c r="SSH1" s="224"/>
      <c r="SSI1" s="224"/>
      <c r="SSJ1" s="224"/>
      <c r="SSK1" s="224"/>
      <c r="SSL1" s="224"/>
      <c r="SSM1" s="224"/>
      <c r="SSN1" s="224"/>
      <c r="SSO1" s="224"/>
      <c r="SSP1" s="224"/>
      <c r="SSQ1" s="224"/>
      <c r="SSR1" s="224"/>
      <c r="SSS1" s="224"/>
      <c r="SST1" s="224"/>
      <c r="SSU1" s="224"/>
      <c r="SSV1" s="224"/>
      <c r="SSW1" s="224"/>
      <c r="SSX1" s="224"/>
      <c r="SSY1" s="224"/>
      <c r="SSZ1" s="224"/>
      <c r="STA1" s="224"/>
      <c r="STB1" s="224"/>
      <c r="STC1" s="224"/>
      <c r="STD1" s="224"/>
      <c r="STE1" s="224"/>
      <c r="STF1" s="224"/>
      <c r="STG1" s="224"/>
      <c r="STH1" s="224"/>
      <c r="STI1" s="224"/>
      <c r="STJ1" s="224"/>
      <c r="STK1" s="224"/>
      <c r="STL1" s="224"/>
      <c r="STM1" s="224"/>
      <c r="STN1" s="224"/>
      <c r="STO1" s="224"/>
      <c r="STP1" s="224"/>
      <c r="STQ1" s="224"/>
      <c r="STR1" s="224"/>
      <c r="STS1" s="224"/>
      <c r="STT1" s="224"/>
      <c r="STU1" s="224"/>
      <c r="STV1" s="224"/>
      <c r="STW1" s="224"/>
      <c r="STX1" s="224"/>
      <c r="STY1" s="224"/>
      <c r="STZ1" s="224"/>
      <c r="SUA1" s="224"/>
      <c r="SUB1" s="224"/>
      <c r="SUC1" s="224"/>
      <c r="SUD1" s="224"/>
      <c r="SUE1" s="224"/>
      <c r="SUF1" s="224"/>
      <c r="SUG1" s="224"/>
      <c r="SUH1" s="224"/>
      <c r="SUI1" s="224"/>
      <c r="SUJ1" s="224"/>
      <c r="SUK1" s="224"/>
      <c r="SUL1" s="224"/>
      <c r="SUM1" s="224"/>
      <c r="SUN1" s="224"/>
      <c r="SUO1" s="224"/>
      <c r="SUP1" s="224"/>
      <c r="SUQ1" s="224"/>
      <c r="SUR1" s="224"/>
      <c r="SUS1" s="224"/>
      <c r="SUT1" s="224"/>
      <c r="SUU1" s="224"/>
      <c r="SUV1" s="224"/>
      <c r="SUW1" s="224"/>
      <c r="SUX1" s="224"/>
      <c r="SUY1" s="224"/>
      <c r="SUZ1" s="224"/>
      <c r="SVA1" s="224"/>
      <c r="SVB1" s="224"/>
      <c r="SVC1" s="224"/>
      <c r="SVD1" s="224"/>
      <c r="SVE1" s="224"/>
      <c r="SVF1" s="224"/>
      <c r="SVG1" s="224"/>
      <c r="SVH1" s="224"/>
      <c r="SVI1" s="224"/>
      <c r="SVJ1" s="224"/>
      <c r="SVK1" s="224"/>
      <c r="SVL1" s="224"/>
      <c r="SVM1" s="224"/>
      <c r="SVN1" s="224"/>
      <c r="SVO1" s="224"/>
      <c r="SVP1" s="224"/>
      <c r="SVQ1" s="224"/>
      <c r="SVR1" s="224"/>
      <c r="SVS1" s="224"/>
      <c r="SVT1" s="224"/>
      <c r="SVU1" s="224"/>
      <c r="SVV1" s="224"/>
      <c r="SVW1" s="224"/>
      <c r="SVX1" s="224"/>
      <c r="SVY1" s="224"/>
      <c r="SVZ1" s="224"/>
      <c r="SWA1" s="224"/>
      <c r="SWB1" s="224"/>
      <c r="SWC1" s="224"/>
      <c r="SWD1" s="224"/>
      <c r="SWE1" s="224"/>
      <c r="SWF1" s="224"/>
      <c r="SWG1" s="224"/>
      <c r="SWH1" s="224"/>
      <c r="SWI1" s="224"/>
      <c r="SWJ1" s="224"/>
      <c r="SWK1" s="224"/>
      <c r="SWL1" s="224"/>
      <c r="SWM1" s="224"/>
      <c r="SWN1" s="224"/>
      <c r="SWO1" s="224"/>
      <c r="SWP1" s="224"/>
      <c r="SWQ1" s="224"/>
      <c r="SWR1" s="224"/>
      <c r="SWS1" s="224"/>
      <c r="SWT1" s="224"/>
      <c r="SWU1" s="224"/>
      <c r="SWV1" s="224"/>
      <c r="SWW1" s="224"/>
      <c r="SWX1" s="224"/>
      <c r="SWY1" s="224"/>
      <c r="SWZ1" s="224"/>
      <c r="SXA1" s="224"/>
      <c r="SXB1" s="224"/>
      <c r="SXC1" s="224"/>
      <c r="SXD1" s="224"/>
      <c r="SXE1" s="224"/>
      <c r="SXF1" s="224"/>
      <c r="SXG1" s="224"/>
      <c r="SXH1" s="224"/>
      <c r="SXI1" s="224"/>
      <c r="SXJ1" s="224"/>
      <c r="SXK1" s="224"/>
      <c r="SXL1" s="224"/>
      <c r="SXM1" s="224"/>
      <c r="SXN1" s="224"/>
      <c r="SXO1" s="224"/>
      <c r="SXP1" s="224"/>
      <c r="SXQ1" s="224"/>
      <c r="SXR1" s="224"/>
      <c r="SXS1" s="224"/>
      <c r="SXT1" s="224"/>
      <c r="SXU1" s="224"/>
      <c r="SXV1" s="224"/>
      <c r="SXW1" s="224"/>
      <c r="SXX1" s="224"/>
      <c r="SXY1" s="224"/>
      <c r="SXZ1" s="224"/>
      <c r="SYA1" s="224"/>
      <c r="SYB1" s="224"/>
      <c r="SYC1" s="224"/>
      <c r="SYD1" s="224"/>
      <c r="SYE1" s="224"/>
      <c r="SYF1" s="224"/>
      <c r="SYG1" s="224"/>
      <c r="SYH1" s="224"/>
      <c r="SYI1" s="224"/>
      <c r="SYJ1" s="224"/>
      <c r="SYK1" s="224"/>
      <c r="SYL1" s="224"/>
      <c r="SYM1" s="224"/>
      <c r="SYN1" s="224"/>
      <c r="SYO1" s="224"/>
      <c r="SYP1" s="224"/>
      <c r="SYQ1" s="224"/>
      <c r="SYR1" s="224"/>
      <c r="SYS1" s="224"/>
      <c r="SYT1" s="224"/>
      <c r="SYU1" s="224"/>
      <c r="SYV1" s="224"/>
      <c r="SYW1" s="224"/>
      <c r="SYX1" s="224"/>
      <c r="SYY1" s="224"/>
      <c r="SYZ1" s="224"/>
      <c r="SZA1" s="224"/>
      <c r="SZB1" s="224"/>
      <c r="SZC1" s="224"/>
      <c r="SZD1" s="224"/>
      <c r="SZE1" s="224"/>
      <c r="SZF1" s="224"/>
      <c r="SZG1" s="224"/>
      <c r="SZH1" s="224"/>
      <c r="SZI1" s="224"/>
      <c r="SZJ1" s="224"/>
      <c r="SZK1" s="224"/>
      <c r="SZL1" s="224"/>
      <c r="SZM1" s="224"/>
      <c r="SZN1" s="224"/>
      <c r="SZO1" s="224"/>
      <c r="SZP1" s="224"/>
      <c r="SZQ1" s="224"/>
      <c r="SZR1" s="224"/>
      <c r="SZS1" s="224"/>
      <c r="SZT1" s="224"/>
      <c r="SZU1" s="224"/>
      <c r="SZV1" s="224"/>
      <c r="SZW1" s="224"/>
      <c r="SZX1" s="224"/>
      <c r="SZY1" s="224"/>
      <c r="SZZ1" s="224"/>
      <c r="TAA1" s="224"/>
      <c r="TAB1" s="224"/>
      <c r="TAC1" s="224"/>
      <c r="TAD1" s="224"/>
      <c r="TAE1" s="224"/>
      <c r="TAF1" s="224"/>
      <c r="TAG1" s="224"/>
      <c r="TAH1" s="224"/>
      <c r="TAI1" s="224"/>
      <c r="TAJ1" s="224"/>
      <c r="TAK1" s="224"/>
      <c r="TAL1" s="224"/>
      <c r="TAM1" s="224"/>
      <c r="TAN1" s="224"/>
      <c r="TAO1" s="224"/>
      <c r="TAP1" s="224"/>
      <c r="TAQ1" s="224"/>
      <c r="TAR1" s="224"/>
      <c r="TAS1" s="224"/>
      <c r="TAT1" s="224"/>
      <c r="TAU1" s="224"/>
      <c r="TAV1" s="224"/>
      <c r="TAW1" s="224"/>
      <c r="TAX1" s="224"/>
      <c r="TAY1" s="224"/>
      <c r="TAZ1" s="224"/>
      <c r="TBA1" s="224"/>
      <c r="TBB1" s="224"/>
      <c r="TBC1" s="224"/>
      <c r="TBD1" s="224"/>
      <c r="TBE1" s="224"/>
      <c r="TBF1" s="224"/>
      <c r="TBG1" s="224"/>
      <c r="TBH1" s="224"/>
      <c r="TBI1" s="224"/>
      <c r="TBJ1" s="224"/>
      <c r="TBK1" s="224"/>
      <c r="TBL1" s="224"/>
      <c r="TBM1" s="224"/>
      <c r="TBN1" s="224"/>
      <c r="TBO1" s="224"/>
      <c r="TBP1" s="224"/>
      <c r="TBQ1" s="224"/>
      <c r="TBR1" s="224"/>
      <c r="TBS1" s="224"/>
      <c r="TBT1" s="224"/>
      <c r="TBU1" s="224"/>
      <c r="TBV1" s="224"/>
      <c r="TBW1" s="224"/>
      <c r="TBX1" s="224"/>
      <c r="TBY1" s="224"/>
      <c r="TBZ1" s="224"/>
      <c r="TCA1" s="224"/>
      <c r="TCB1" s="224"/>
      <c r="TCC1" s="224"/>
      <c r="TCD1" s="224"/>
      <c r="TCE1" s="224"/>
      <c r="TCF1" s="224"/>
      <c r="TCG1" s="224"/>
      <c r="TCH1" s="224"/>
      <c r="TCI1" s="224"/>
      <c r="TCJ1" s="224"/>
      <c r="TCK1" s="224"/>
      <c r="TCL1" s="224"/>
      <c r="TCM1" s="224"/>
      <c r="TCN1" s="224"/>
      <c r="TCO1" s="224"/>
      <c r="TCP1" s="224"/>
      <c r="TCQ1" s="224"/>
      <c r="TCR1" s="224"/>
      <c r="TCS1" s="224"/>
      <c r="TCT1" s="224"/>
      <c r="TCU1" s="224"/>
      <c r="TCV1" s="224"/>
      <c r="TCW1" s="224"/>
      <c r="TCX1" s="224"/>
      <c r="TCY1" s="224"/>
      <c r="TCZ1" s="224"/>
      <c r="TDA1" s="224"/>
      <c r="TDB1" s="224"/>
      <c r="TDC1" s="224"/>
      <c r="TDD1" s="224"/>
      <c r="TDE1" s="224"/>
      <c r="TDF1" s="224"/>
      <c r="TDG1" s="224"/>
      <c r="TDH1" s="224"/>
      <c r="TDI1" s="224"/>
      <c r="TDJ1" s="224"/>
      <c r="TDK1" s="224"/>
      <c r="TDL1" s="224"/>
      <c r="TDM1" s="224"/>
      <c r="TDN1" s="224"/>
      <c r="TDO1" s="224"/>
      <c r="TDP1" s="224"/>
      <c r="TDQ1" s="224"/>
      <c r="TDR1" s="224"/>
      <c r="TDS1" s="224"/>
      <c r="TDT1" s="224"/>
      <c r="TDU1" s="224"/>
      <c r="TDV1" s="224"/>
      <c r="TDW1" s="224"/>
      <c r="TDX1" s="224"/>
      <c r="TDY1" s="224"/>
      <c r="TDZ1" s="224"/>
      <c r="TEA1" s="224"/>
      <c r="TEB1" s="224"/>
      <c r="TEC1" s="224"/>
      <c r="TED1" s="224"/>
      <c r="TEE1" s="224"/>
      <c r="TEF1" s="224"/>
      <c r="TEG1" s="224"/>
      <c r="TEH1" s="224"/>
      <c r="TEI1" s="224"/>
      <c r="TEJ1" s="224"/>
      <c r="TEK1" s="224"/>
      <c r="TEL1" s="224"/>
      <c r="TEM1" s="224"/>
      <c r="TEN1" s="224"/>
      <c r="TEO1" s="224"/>
      <c r="TEP1" s="224"/>
      <c r="TEQ1" s="224"/>
      <c r="TER1" s="224"/>
      <c r="TES1" s="224"/>
      <c r="TET1" s="224"/>
      <c r="TEU1" s="224"/>
      <c r="TEV1" s="224"/>
      <c r="TEW1" s="224"/>
      <c r="TEX1" s="224"/>
      <c r="TEY1" s="224"/>
      <c r="TEZ1" s="224"/>
      <c r="TFA1" s="224"/>
      <c r="TFB1" s="224"/>
      <c r="TFC1" s="224"/>
      <c r="TFD1" s="224"/>
      <c r="TFE1" s="224"/>
      <c r="TFF1" s="224"/>
      <c r="TFG1" s="224"/>
      <c r="TFH1" s="224"/>
      <c r="TFI1" s="224"/>
      <c r="TFJ1" s="224"/>
      <c r="TFK1" s="224"/>
      <c r="TFL1" s="224"/>
      <c r="TFM1" s="224"/>
      <c r="TFN1" s="224"/>
      <c r="TFO1" s="224"/>
      <c r="TFP1" s="224"/>
      <c r="TFQ1" s="224"/>
      <c r="TFR1" s="224"/>
      <c r="TFS1" s="224"/>
      <c r="TFT1" s="224"/>
      <c r="TFU1" s="224"/>
      <c r="TFV1" s="224"/>
      <c r="TFW1" s="224"/>
      <c r="TFX1" s="224"/>
      <c r="TFY1" s="224"/>
      <c r="TFZ1" s="224"/>
      <c r="TGA1" s="224"/>
      <c r="TGB1" s="224"/>
      <c r="TGC1" s="224"/>
      <c r="TGD1" s="224"/>
      <c r="TGE1" s="224"/>
      <c r="TGF1" s="224"/>
      <c r="TGG1" s="224"/>
      <c r="TGH1" s="224"/>
      <c r="TGI1" s="224"/>
      <c r="TGJ1" s="224"/>
      <c r="TGK1" s="224"/>
      <c r="TGL1" s="224"/>
      <c r="TGM1" s="224"/>
      <c r="TGN1" s="224"/>
      <c r="TGO1" s="224"/>
      <c r="TGP1" s="224"/>
      <c r="TGQ1" s="224"/>
      <c r="TGR1" s="224"/>
      <c r="TGS1" s="224"/>
      <c r="TGT1" s="224"/>
      <c r="TGU1" s="224"/>
      <c r="TGV1" s="224"/>
      <c r="TGW1" s="224"/>
      <c r="TGX1" s="224"/>
      <c r="TGY1" s="224"/>
      <c r="TGZ1" s="224"/>
      <c r="THA1" s="224"/>
      <c r="THB1" s="224"/>
      <c r="THC1" s="224"/>
      <c r="THD1" s="224"/>
      <c r="THE1" s="224"/>
      <c r="THF1" s="224"/>
      <c r="THG1" s="224"/>
      <c r="THH1" s="224"/>
      <c r="THI1" s="224"/>
      <c r="THJ1" s="224"/>
      <c r="THK1" s="224"/>
      <c r="THL1" s="224"/>
      <c r="THM1" s="224"/>
      <c r="THN1" s="224"/>
      <c r="THO1" s="224"/>
      <c r="THP1" s="224"/>
      <c r="THQ1" s="224"/>
      <c r="THR1" s="224"/>
      <c r="THS1" s="224"/>
      <c r="THT1" s="224"/>
      <c r="THU1" s="224"/>
      <c r="THV1" s="224"/>
      <c r="THW1" s="224"/>
      <c r="THX1" s="224"/>
      <c r="THY1" s="224"/>
      <c r="THZ1" s="224"/>
      <c r="TIA1" s="224"/>
      <c r="TIB1" s="224"/>
      <c r="TIC1" s="224"/>
      <c r="TID1" s="224"/>
      <c r="TIE1" s="224"/>
      <c r="TIF1" s="224"/>
      <c r="TIG1" s="224"/>
      <c r="TIH1" s="224"/>
      <c r="TII1" s="224"/>
      <c r="TIJ1" s="224"/>
      <c r="TIK1" s="224"/>
      <c r="TIL1" s="224"/>
      <c r="TIM1" s="224"/>
      <c r="TIN1" s="224"/>
      <c r="TIO1" s="224"/>
      <c r="TIP1" s="224"/>
      <c r="TIQ1" s="224"/>
      <c r="TIR1" s="224"/>
      <c r="TIS1" s="224"/>
      <c r="TIT1" s="224"/>
      <c r="TIU1" s="224"/>
      <c r="TIV1" s="224"/>
      <c r="TIW1" s="224"/>
      <c r="TIX1" s="224"/>
      <c r="TIY1" s="224"/>
      <c r="TIZ1" s="224"/>
      <c r="TJA1" s="224"/>
      <c r="TJB1" s="224"/>
      <c r="TJC1" s="224"/>
      <c r="TJD1" s="224"/>
      <c r="TJE1" s="224"/>
      <c r="TJF1" s="224"/>
      <c r="TJG1" s="224"/>
      <c r="TJH1" s="224"/>
      <c r="TJI1" s="224"/>
      <c r="TJJ1" s="224"/>
      <c r="TJK1" s="224"/>
      <c r="TJL1" s="224"/>
      <c r="TJM1" s="224"/>
      <c r="TJN1" s="224"/>
      <c r="TJO1" s="224"/>
      <c r="TJP1" s="224"/>
      <c r="TJQ1" s="224"/>
      <c r="TJR1" s="224"/>
      <c r="TJS1" s="224"/>
      <c r="TJT1" s="224"/>
      <c r="TJU1" s="224"/>
      <c r="TJV1" s="224"/>
      <c r="TJW1" s="224"/>
      <c r="TJX1" s="224"/>
      <c r="TJY1" s="224"/>
      <c r="TJZ1" s="224"/>
      <c r="TKA1" s="224"/>
      <c r="TKB1" s="224"/>
      <c r="TKC1" s="224"/>
      <c r="TKD1" s="224"/>
      <c r="TKE1" s="224"/>
      <c r="TKF1" s="224"/>
      <c r="TKG1" s="224"/>
      <c r="TKH1" s="224"/>
      <c r="TKI1" s="224"/>
      <c r="TKJ1" s="224"/>
      <c r="TKK1" s="224"/>
      <c r="TKL1" s="224"/>
      <c r="TKM1" s="224"/>
      <c r="TKN1" s="224"/>
      <c r="TKO1" s="224"/>
      <c r="TKP1" s="224"/>
      <c r="TKQ1" s="224"/>
      <c r="TKR1" s="224"/>
      <c r="TKS1" s="224"/>
      <c r="TKT1" s="224"/>
      <c r="TKU1" s="224"/>
      <c r="TKV1" s="224"/>
      <c r="TKW1" s="224"/>
      <c r="TKX1" s="224"/>
      <c r="TKY1" s="224"/>
      <c r="TKZ1" s="224"/>
      <c r="TLA1" s="224"/>
      <c r="TLB1" s="224"/>
      <c r="TLC1" s="224"/>
      <c r="TLD1" s="224"/>
      <c r="TLE1" s="224"/>
      <c r="TLF1" s="224"/>
      <c r="TLG1" s="224"/>
      <c r="TLH1" s="224"/>
      <c r="TLI1" s="224"/>
      <c r="TLJ1" s="224"/>
      <c r="TLK1" s="224"/>
      <c r="TLL1" s="224"/>
      <c r="TLM1" s="224"/>
      <c r="TLN1" s="224"/>
      <c r="TLO1" s="224"/>
      <c r="TLP1" s="224"/>
      <c r="TLQ1" s="224"/>
      <c r="TLR1" s="224"/>
      <c r="TLS1" s="224"/>
      <c r="TLT1" s="224"/>
      <c r="TLU1" s="224"/>
      <c r="TLV1" s="224"/>
      <c r="TLW1" s="224"/>
      <c r="TLX1" s="224"/>
      <c r="TLY1" s="224"/>
      <c r="TLZ1" s="224"/>
      <c r="TMA1" s="224"/>
      <c r="TMB1" s="224"/>
      <c r="TMC1" s="224"/>
      <c r="TMD1" s="224"/>
      <c r="TME1" s="224"/>
      <c r="TMF1" s="224"/>
      <c r="TMG1" s="224"/>
      <c r="TMH1" s="224"/>
      <c r="TMI1" s="224"/>
      <c r="TMJ1" s="224"/>
      <c r="TMK1" s="224"/>
      <c r="TML1" s="224"/>
      <c r="TMM1" s="224"/>
      <c r="TMN1" s="224"/>
      <c r="TMO1" s="224"/>
      <c r="TMP1" s="224"/>
      <c r="TMQ1" s="224"/>
      <c r="TMR1" s="224"/>
      <c r="TMS1" s="224"/>
      <c r="TMT1" s="224"/>
      <c r="TMU1" s="224"/>
      <c r="TMV1" s="224"/>
      <c r="TMW1" s="224"/>
      <c r="TMX1" s="224"/>
      <c r="TMY1" s="224"/>
      <c r="TMZ1" s="224"/>
      <c r="TNA1" s="224"/>
      <c r="TNB1" s="224"/>
      <c r="TNC1" s="224"/>
      <c r="TND1" s="224"/>
      <c r="TNE1" s="224"/>
      <c r="TNF1" s="224"/>
      <c r="TNG1" s="224"/>
      <c r="TNH1" s="224"/>
      <c r="TNI1" s="224"/>
      <c r="TNJ1" s="224"/>
      <c r="TNK1" s="224"/>
      <c r="TNL1" s="224"/>
      <c r="TNM1" s="224"/>
      <c r="TNN1" s="224"/>
      <c r="TNO1" s="224"/>
      <c r="TNP1" s="224"/>
      <c r="TNQ1" s="224"/>
      <c r="TNR1" s="224"/>
      <c r="TNS1" s="224"/>
      <c r="TNT1" s="224"/>
      <c r="TNU1" s="224"/>
      <c r="TNV1" s="224"/>
      <c r="TNW1" s="224"/>
      <c r="TNX1" s="224"/>
      <c r="TNY1" s="224"/>
      <c r="TNZ1" s="224"/>
      <c r="TOA1" s="224"/>
      <c r="TOB1" s="224"/>
      <c r="TOC1" s="224"/>
      <c r="TOD1" s="224"/>
      <c r="TOE1" s="224"/>
      <c r="TOF1" s="224"/>
      <c r="TOG1" s="224"/>
      <c r="TOH1" s="224"/>
      <c r="TOI1" s="224"/>
      <c r="TOJ1" s="224"/>
      <c r="TOK1" s="224"/>
      <c r="TOL1" s="224"/>
      <c r="TOM1" s="224"/>
      <c r="TON1" s="224"/>
      <c r="TOO1" s="224"/>
      <c r="TOP1" s="224"/>
      <c r="TOQ1" s="224"/>
      <c r="TOR1" s="224"/>
      <c r="TOS1" s="224"/>
      <c r="TOT1" s="224"/>
      <c r="TOU1" s="224"/>
      <c r="TOV1" s="224"/>
      <c r="TOW1" s="224"/>
      <c r="TOX1" s="224"/>
      <c r="TOY1" s="224"/>
      <c r="TOZ1" s="224"/>
      <c r="TPA1" s="224"/>
      <c r="TPB1" s="224"/>
      <c r="TPC1" s="224"/>
      <c r="TPD1" s="224"/>
      <c r="TPE1" s="224"/>
      <c r="TPF1" s="224"/>
      <c r="TPG1" s="224"/>
      <c r="TPH1" s="224"/>
      <c r="TPI1" s="224"/>
      <c r="TPJ1" s="224"/>
      <c r="TPK1" s="224"/>
      <c r="TPL1" s="224"/>
      <c r="TPM1" s="224"/>
      <c r="TPN1" s="224"/>
      <c r="TPO1" s="224"/>
      <c r="TPP1" s="224"/>
      <c r="TPQ1" s="224"/>
      <c r="TPR1" s="224"/>
      <c r="TPS1" s="224"/>
      <c r="TPT1" s="224"/>
      <c r="TPU1" s="224"/>
      <c r="TPV1" s="224"/>
      <c r="TPW1" s="224"/>
      <c r="TPX1" s="224"/>
      <c r="TPY1" s="224"/>
      <c r="TPZ1" s="224"/>
      <c r="TQA1" s="224"/>
      <c r="TQB1" s="224"/>
      <c r="TQC1" s="224"/>
      <c r="TQD1" s="224"/>
      <c r="TQE1" s="224"/>
      <c r="TQF1" s="224"/>
      <c r="TQG1" s="224"/>
      <c r="TQH1" s="224"/>
      <c r="TQI1" s="224"/>
      <c r="TQJ1" s="224"/>
      <c r="TQK1" s="224"/>
      <c r="TQL1" s="224"/>
      <c r="TQM1" s="224"/>
      <c r="TQN1" s="224"/>
      <c r="TQO1" s="224"/>
      <c r="TQP1" s="224"/>
      <c r="TQQ1" s="224"/>
      <c r="TQR1" s="224"/>
      <c r="TQS1" s="224"/>
      <c r="TQT1" s="224"/>
      <c r="TQU1" s="224"/>
      <c r="TQV1" s="224"/>
      <c r="TQW1" s="224"/>
      <c r="TQX1" s="224"/>
      <c r="TQY1" s="224"/>
      <c r="TQZ1" s="224"/>
      <c r="TRA1" s="224"/>
      <c r="TRB1" s="224"/>
      <c r="TRC1" s="224"/>
      <c r="TRD1" s="224"/>
      <c r="TRE1" s="224"/>
      <c r="TRF1" s="224"/>
      <c r="TRG1" s="224"/>
      <c r="TRH1" s="224"/>
      <c r="TRI1" s="224"/>
      <c r="TRJ1" s="224"/>
      <c r="TRK1" s="224"/>
      <c r="TRL1" s="224"/>
      <c r="TRM1" s="224"/>
      <c r="TRN1" s="224"/>
      <c r="TRO1" s="224"/>
      <c r="TRP1" s="224"/>
      <c r="TRQ1" s="224"/>
      <c r="TRR1" s="224"/>
      <c r="TRS1" s="224"/>
      <c r="TRT1" s="224"/>
      <c r="TRU1" s="224"/>
      <c r="TRV1" s="224"/>
      <c r="TRW1" s="224"/>
      <c r="TRX1" s="224"/>
      <c r="TRY1" s="224"/>
      <c r="TRZ1" s="224"/>
      <c r="TSA1" s="224"/>
      <c r="TSB1" s="224"/>
      <c r="TSC1" s="224"/>
      <c r="TSD1" s="224"/>
      <c r="TSE1" s="224"/>
      <c r="TSF1" s="224"/>
      <c r="TSG1" s="224"/>
      <c r="TSH1" s="224"/>
      <c r="TSI1" s="224"/>
      <c r="TSJ1" s="224"/>
      <c r="TSK1" s="224"/>
      <c r="TSL1" s="224"/>
      <c r="TSM1" s="224"/>
      <c r="TSN1" s="224"/>
      <c r="TSO1" s="224"/>
      <c r="TSP1" s="224"/>
      <c r="TSQ1" s="224"/>
      <c r="TSR1" s="224"/>
      <c r="TSS1" s="224"/>
      <c r="TST1" s="224"/>
      <c r="TSU1" s="224"/>
      <c r="TSV1" s="224"/>
      <c r="TSW1" s="224"/>
      <c r="TSX1" s="224"/>
      <c r="TSY1" s="224"/>
      <c r="TSZ1" s="224"/>
      <c r="TTA1" s="224"/>
      <c r="TTB1" s="224"/>
      <c r="TTC1" s="224"/>
      <c r="TTD1" s="224"/>
      <c r="TTE1" s="224"/>
      <c r="TTF1" s="224"/>
      <c r="TTG1" s="224"/>
      <c r="TTH1" s="224"/>
      <c r="TTI1" s="224"/>
      <c r="TTJ1" s="224"/>
      <c r="TTK1" s="224"/>
      <c r="TTL1" s="224"/>
      <c r="TTM1" s="224"/>
      <c r="TTN1" s="224"/>
      <c r="TTO1" s="224"/>
      <c r="TTP1" s="224"/>
      <c r="TTQ1" s="224"/>
      <c r="TTR1" s="224"/>
      <c r="TTS1" s="224"/>
      <c r="TTT1" s="224"/>
      <c r="TTU1" s="224"/>
      <c r="TTV1" s="224"/>
      <c r="TTW1" s="224"/>
      <c r="TTX1" s="224"/>
      <c r="TTY1" s="224"/>
      <c r="TTZ1" s="224"/>
      <c r="TUA1" s="224"/>
      <c r="TUB1" s="224"/>
      <c r="TUC1" s="224"/>
      <c r="TUD1" s="224"/>
      <c r="TUE1" s="224"/>
      <c r="TUF1" s="224"/>
      <c r="TUG1" s="224"/>
      <c r="TUH1" s="224"/>
      <c r="TUI1" s="224"/>
      <c r="TUJ1" s="224"/>
      <c r="TUK1" s="224"/>
      <c r="TUL1" s="224"/>
      <c r="TUM1" s="224"/>
      <c r="TUN1" s="224"/>
      <c r="TUO1" s="224"/>
      <c r="TUP1" s="224"/>
      <c r="TUQ1" s="224"/>
      <c r="TUR1" s="224"/>
      <c r="TUS1" s="224"/>
      <c r="TUT1" s="224"/>
      <c r="TUU1" s="224"/>
      <c r="TUV1" s="224"/>
      <c r="TUW1" s="224"/>
      <c r="TUX1" s="224"/>
      <c r="TUY1" s="224"/>
      <c r="TUZ1" s="224"/>
      <c r="TVA1" s="224"/>
      <c r="TVB1" s="224"/>
      <c r="TVC1" s="224"/>
      <c r="TVD1" s="224"/>
      <c r="TVE1" s="224"/>
      <c r="TVF1" s="224"/>
      <c r="TVG1" s="224"/>
      <c r="TVH1" s="224"/>
      <c r="TVI1" s="224"/>
      <c r="TVJ1" s="224"/>
      <c r="TVK1" s="224"/>
      <c r="TVL1" s="224"/>
      <c r="TVM1" s="224"/>
      <c r="TVN1" s="224"/>
      <c r="TVO1" s="224"/>
      <c r="TVP1" s="224"/>
      <c r="TVQ1" s="224"/>
      <c r="TVR1" s="224"/>
      <c r="TVS1" s="224"/>
      <c r="TVT1" s="224"/>
      <c r="TVU1" s="224"/>
      <c r="TVV1" s="224"/>
      <c r="TVW1" s="224"/>
      <c r="TVX1" s="224"/>
      <c r="TVY1" s="224"/>
      <c r="TVZ1" s="224"/>
      <c r="TWA1" s="224"/>
      <c r="TWB1" s="224"/>
      <c r="TWC1" s="224"/>
      <c r="TWD1" s="224"/>
      <c r="TWE1" s="224"/>
      <c r="TWF1" s="224"/>
      <c r="TWG1" s="224"/>
      <c r="TWH1" s="224"/>
      <c r="TWI1" s="224"/>
      <c r="TWJ1" s="224"/>
      <c r="TWK1" s="224"/>
      <c r="TWL1" s="224"/>
      <c r="TWM1" s="224"/>
      <c r="TWN1" s="224"/>
      <c r="TWO1" s="224"/>
      <c r="TWP1" s="224"/>
      <c r="TWQ1" s="224"/>
      <c r="TWR1" s="224"/>
      <c r="TWS1" s="224"/>
      <c r="TWT1" s="224"/>
      <c r="TWU1" s="224"/>
      <c r="TWV1" s="224"/>
      <c r="TWW1" s="224"/>
      <c r="TWX1" s="224"/>
      <c r="TWY1" s="224"/>
      <c r="TWZ1" s="224"/>
      <c r="TXA1" s="224"/>
      <c r="TXB1" s="224"/>
      <c r="TXC1" s="224"/>
      <c r="TXD1" s="224"/>
      <c r="TXE1" s="224"/>
      <c r="TXF1" s="224"/>
      <c r="TXG1" s="224"/>
      <c r="TXH1" s="224"/>
      <c r="TXI1" s="224"/>
      <c r="TXJ1" s="224"/>
      <c r="TXK1" s="224"/>
      <c r="TXL1" s="224"/>
      <c r="TXM1" s="224"/>
      <c r="TXN1" s="224"/>
      <c r="TXO1" s="224"/>
      <c r="TXP1" s="224"/>
      <c r="TXQ1" s="224"/>
      <c r="TXR1" s="224"/>
      <c r="TXS1" s="224"/>
      <c r="TXT1" s="224"/>
      <c r="TXU1" s="224"/>
      <c r="TXV1" s="224"/>
      <c r="TXW1" s="224"/>
      <c r="TXX1" s="224"/>
      <c r="TXY1" s="224"/>
      <c r="TXZ1" s="224"/>
      <c r="TYA1" s="224"/>
      <c r="TYB1" s="224"/>
      <c r="TYC1" s="224"/>
      <c r="TYD1" s="224"/>
      <c r="TYE1" s="224"/>
      <c r="TYF1" s="224"/>
      <c r="TYG1" s="224"/>
      <c r="TYH1" s="224"/>
      <c r="TYI1" s="224"/>
      <c r="TYJ1" s="224"/>
      <c r="TYK1" s="224"/>
      <c r="TYL1" s="224"/>
      <c r="TYM1" s="224"/>
      <c r="TYN1" s="224"/>
      <c r="TYO1" s="224"/>
      <c r="TYP1" s="224"/>
      <c r="TYQ1" s="224"/>
      <c r="TYR1" s="224"/>
      <c r="TYS1" s="224"/>
      <c r="TYT1" s="224"/>
      <c r="TYU1" s="224"/>
      <c r="TYV1" s="224"/>
      <c r="TYW1" s="224"/>
      <c r="TYX1" s="224"/>
      <c r="TYY1" s="224"/>
      <c r="TYZ1" s="224"/>
      <c r="TZA1" s="224"/>
      <c r="TZB1" s="224"/>
      <c r="TZC1" s="224"/>
      <c r="TZD1" s="224"/>
      <c r="TZE1" s="224"/>
      <c r="TZF1" s="224"/>
      <c r="TZG1" s="224"/>
      <c r="TZH1" s="224"/>
      <c r="TZI1" s="224"/>
      <c r="TZJ1" s="224"/>
      <c r="TZK1" s="224"/>
      <c r="TZL1" s="224"/>
      <c r="TZM1" s="224"/>
      <c r="TZN1" s="224"/>
      <c r="TZO1" s="224"/>
      <c r="TZP1" s="224"/>
      <c r="TZQ1" s="224"/>
      <c r="TZR1" s="224"/>
      <c r="TZS1" s="224"/>
      <c r="TZT1" s="224"/>
      <c r="TZU1" s="224"/>
      <c r="TZV1" s="224"/>
      <c r="TZW1" s="224"/>
      <c r="TZX1" s="224"/>
      <c r="TZY1" s="224"/>
      <c r="TZZ1" s="224"/>
      <c r="UAA1" s="224"/>
      <c r="UAB1" s="224"/>
      <c r="UAC1" s="224"/>
      <c r="UAD1" s="224"/>
      <c r="UAE1" s="224"/>
      <c r="UAF1" s="224"/>
      <c r="UAG1" s="224"/>
      <c r="UAH1" s="224"/>
      <c r="UAI1" s="224"/>
      <c r="UAJ1" s="224"/>
      <c r="UAK1" s="224"/>
      <c r="UAL1" s="224"/>
      <c r="UAM1" s="224"/>
      <c r="UAN1" s="224"/>
      <c r="UAO1" s="224"/>
      <c r="UAP1" s="224"/>
      <c r="UAQ1" s="224"/>
      <c r="UAR1" s="224"/>
      <c r="UAS1" s="224"/>
      <c r="UAT1" s="224"/>
      <c r="UAU1" s="224"/>
      <c r="UAV1" s="224"/>
      <c r="UAW1" s="224"/>
      <c r="UAX1" s="224"/>
      <c r="UAY1" s="224"/>
      <c r="UAZ1" s="224"/>
      <c r="UBA1" s="224"/>
      <c r="UBB1" s="224"/>
      <c r="UBC1" s="224"/>
      <c r="UBD1" s="224"/>
      <c r="UBE1" s="224"/>
      <c r="UBF1" s="224"/>
      <c r="UBG1" s="224"/>
      <c r="UBH1" s="224"/>
      <c r="UBI1" s="224"/>
      <c r="UBJ1" s="224"/>
      <c r="UBK1" s="224"/>
      <c r="UBL1" s="224"/>
      <c r="UBM1" s="224"/>
      <c r="UBN1" s="224"/>
      <c r="UBO1" s="224"/>
      <c r="UBP1" s="224"/>
      <c r="UBQ1" s="224"/>
      <c r="UBR1" s="224"/>
      <c r="UBS1" s="224"/>
      <c r="UBT1" s="224"/>
      <c r="UBU1" s="224"/>
      <c r="UBV1" s="224"/>
      <c r="UBW1" s="224"/>
      <c r="UBX1" s="224"/>
      <c r="UBY1" s="224"/>
      <c r="UBZ1" s="224"/>
      <c r="UCA1" s="224"/>
      <c r="UCB1" s="224"/>
      <c r="UCC1" s="224"/>
      <c r="UCD1" s="224"/>
      <c r="UCE1" s="224"/>
      <c r="UCF1" s="224"/>
      <c r="UCG1" s="224"/>
      <c r="UCH1" s="224"/>
      <c r="UCI1" s="224"/>
      <c r="UCJ1" s="224"/>
      <c r="UCK1" s="224"/>
      <c r="UCL1" s="224"/>
      <c r="UCM1" s="224"/>
      <c r="UCN1" s="224"/>
      <c r="UCO1" s="224"/>
      <c r="UCP1" s="224"/>
      <c r="UCQ1" s="224"/>
      <c r="UCR1" s="224"/>
      <c r="UCS1" s="224"/>
      <c r="UCT1" s="224"/>
      <c r="UCU1" s="224"/>
      <c r="UCV1" s="224"/>
      <c r="UCW1" s="224"/>
      <c r="UCX1" s="224"/>
      <c r="UCY1" s="224"/>
      <c r="UCZ1" s="224"/>
      <c r="UDA1" s="224"/>
      <c r="UDB1" s="224"/>
      <c r="UDC1" s="224"/>
      <c r="UDD1" s="224"/>
      <c r="UDE1" s="224"/>
      <c r="UDF1" s="224"/>
      <c r="UDG1" s="224"/>
      <c r="UDH1" s="224"/>
      <c r="UDI1" s="224"/>
      <c r="UDJ1" s="224"/>
      <c r="UDK1" s="224"/>
      <c r="UDL1" s="224"/>
      <c r="UDM1" s="224"/>
      <c r="UDN1" s="224"/>
      <c r="UDO1" s="224"/>
      <c r="UDP1" s="224"/>
      <c r="UDQ1" s="224"/>
      <c r="UDR1" s="224"/>
      <c r="UDS1" s="224"/>
      <c r="UDT1" s="224"/>
      <c r="UDU1" s="224"/>
      <c r="UDV1" s="224"/>
      <c r="UDW1" s="224"/>
      <c r="UDX1" s="224"/>
      <c r="UDY1" s="224"/>
      <c r="UDZ1" s="224"/>
      <c r="UEA1" s="224"/>
      <c r="UEB1" s="224"/>
      <c r="UEC1" s="224"/>
      <c r="UED1" s="224"/>
      <c r="UEE1" s="224"/>
      <c r="UEF1" s="224"/>
      <c r="UEG1" s="224"/>
      <c r="UEH1" s="224"/>
      <c r="UEI1" s="224"/>
      <c r="UEJ1" s="224"/>
      <c r="UEK1" s="224"/>
      <c r="UEL1" s="224"/>
      <c r="UEM1" s="224"/>
      <c r="UEN1" s="224"/>
      <c r="UEO1" s="224"/>
      <c r="UEP1" s="224"/>
      <c r="UEQ1" s="224"/>
      <c r="UER1" s="224"/>
      <c r="UES1" s="224"/>
      <c r="UET1" s="224"/>
      <c r="UEU1" s="224"/>
      <c r="UEV1" s="224"/>
      <c r="UEW1" s="224"/>
      <c r="UEX1" s="224"/>
      <c r="UEY1" s="224"/>
      <c r="UEZ1" s="224"/>
      <c r="UFA1" s="224"/>
      <c r="UFB1" s="224"/>
      <c r="UFC1" s="224"/>
      <c r="UFD1" s="224"/>
      <c r="UFE1" s="224"/>
      <c r="UFF1" s="224"/>
      <c r="UFG1" s="224"/>
      <c r="UFH1" s="224"/>
      <c r="UFI1" s="224"/>
      <c r="UFJ1" s="224"/>
      <c r="UFK1" s="224"/>
      <c r="UFL1" s="224"/>
      <c r="UFM1" s="224"/>
      <c r="UFN1" s="224"/>
      <c r="UFO1" s="224"/>
      <c r="UFP1" s="224"/>
      <c r="UFQ1" s="224"/>
      <c r="UFR1" s="224"/>
      <c r="UFS1" s="224"/>
      <c r="UFT1" s="224"/>
      <c r="UFU1" s="224"/>
      <c r="UFV1" s="224"/>
      <c r="UFW1" s="224"/>
      <c r="UFX1" s="224"/>
      <c r="UFY1" s="224"/>
      <c r="UFZ1" s="224"/>
      <c r="UGA1" s="224"/>
      <c r="UGB1" s="224"/>
      <c r="UGC1" s="224"/>
      <c r="UGD1" s="224"/>
      <c r="UGE1" s="224"/>
      <c r="UGF1" s="224"/>
      <c r="UGG1" s="224"/>
      <c r="UGH1" s="224"/>
      <c r="UGI1" s="224"/>
      <c r="UGJ1" s="224"/>
      <c r="UGK1" s="224"/>
      <c r="UGL1" s="224"/>
      <c r="UGM1" s="224"/>
      <c r="UGN1" s="224"/>
      <c r="UGO1" s="224"/>
      <c r="UGP1" s="224"/>
      <c r="UGQ1" s="224"/>
      <c r="UGR1" s="224"/>
      <c r="UGS1" s="224"/>
      <c r="UGT1" s="224"/>
      <c r="UGU1" s="224"/>
      <c r="UGV1" s="224"/>
      <c r="UGW1" s="224"/>
      <c r="UGX1" s="224"/>
      <c r="UGY1" s="224"/>
      <c r="UGZ1" s="224"/>
      <c r="UHA1" s="224"/>
      <c r="UHB1" s="224"/>
      <c r="UHC1" s="224"/>
      <c r="UHD1" s="224"/>
      <c r="UHE1" s="224"/>
      <c r="UHF1" s="224"/>
      <c r="UHG1" s="224"/>
      <c r="UHH1" s="224"/>
      <c r="UHI1" s="224"/>
      <c r="UHJ1" s="224"/>
      <c r="UHK1" s="224"/>
      <c r="UHL1" s="224"/>
      <c r="UHM1" s="224"/>
      <c r="UHN1" s="224"/>
      <c r="UHO1" s="224"/>
      <c r="UHP1" s="224"/>
      <c r="UHQ1" s="224"/>
      <c r="UHR1" s="224"/>
      <c r="UHS1" s="224"/>
      <c r="UHT1" s="224"/>
      <c r="UHU1" s="224"/>
      <c r="UHV1" s="224"/>
      <c r="UHW1" s="224"/>
      <c r="UHX1" s="224"/>
      <c r="UHY1" s="224"/>
      <c r="UHZ1" s="224"/>
      <c r="UIA1" s="224"/>
      <c r="UIB1" s="224"/>
      <c r="UIC1" s="224"/>
      <c r="UID1" s="224"/>
      <c r="UIE1" s="224"/>
      <c r="UIF1" s="224"/>
      <c r="UIG1" s="224"/>
      <c r="UIH1" s="224"/>
      <c r="UII1" s="224"/>
      <c r="UIJ1" s="224"/>
      <c r="UIK1" s="224"/>
      <c r="UIL1" s="224"/>
      <c r="UIM1" s="224"/>
      <c r="UIN1" s="224"/>
      <c r="UIO1" s="224"/>
      <c r="UIP1" s="224"/>
      <c r="UIQ1" s="224"/>
      <c r="UIR1" s="224"/>
      <c r="UIS1" s="224"/>
      <c r="UIT1" s="224"/>
      <c r="UIU1" s="224"/>
      <c r="UIV1" s="224"/>
      <c r="UIW1" s="224"/>
      <c r="UIX1" s="224"/>
      <c r="UIY1" s="224"/>
      <c r="UIZ1" s="224"/>
      <c r="UJA1" s="224"/>
      <c r="UJB1" s="224"/>
      <c r="UJC1" s="224"/>
      <c r="UJD1" s="224"/>
      <c r="UJE1" s="224"/>
      <c r="UJF1" s="224"/>
      <c r="UJG1" s="224"/>
      <c r="UJH1" s="224"/>
      <c r="UJI1" s="224"/>
      <c r="UJJ1" s="224"/>
      <c r="UJK1" s="224"/>
      <c r="UJL1" s="224"/>
      <c r="UJM1" s="224"/>
      <c r="UJN1" s="224"/>
      <c r="UJO1" s="224"/>
      <c r="UJP1" s="224"/>
      <c r="UJQ1" s="224"/>
      <c r="UJR1" s="224"/>
      <c r="UJS1" s="224"/>
      <c r="UJT1" s="224"/>
      <c r="UJU1" s="224"/>
      <c r="UJV1" s="224"/>
      <c r="UJW1" s="224"/>
      <c r="UJX1" s="224"/>
      <c r="UJY1" s="224"/>
      <c r="UJZ1" s="224"/>
      <c r="UKA1" s="224"/>
      <c r="UKB1" s="224"/>
      <c r="UKC1" s="224"/>
      <c r="UKD1" s="224"/>
      <c r="UKE1" s="224"/>
      <c r="UKF1" s="224"/>
      <c r="UKG1" s="224"/>
      <c r="UKH1" s="224"/>
      <c r="UKI1" s="224"/>
      <c r="UKJ1" s="224"/>
      <c r="UKK1" s="224"/>
      <c r="UKL1" s="224"/>
      <c r="UKM1" s="224"/>
      <c r="UKN1" s="224"/>
      <c r="UKO1" s="224"/>
      <c r="UKP1" s="224"/>
      <c r="UKQ1" s="224"/>
      <c r="UKR1" s="224"/>
      <c r="UKS1" s="224"/>
      <c r="UKT1" s="224"/>
      <c r="UKU1" s="224"/>
      <c r="UKV1" s="224"/>
      <c r="UKW1" s="224"/>
      <c r="UKX1" s="224"/>
      <c r="UKY1" s="224"/>
      <c r="UKZ1" s="224"/>
      <c r="ULA1" s="224"/>
      <c r="ULB1" s="224"/>
      <c r="ULC1" s="224"/>
      <c r="ULD1" s="224"/>
      <c r="ULE1" s="224"/>
      <c r="ULF1" s="224"/>
      <c r="ULG1" s="224"/>
      <c r="ULH1" s="224"/>
      <c r="ULI1" s="224"/>
      <c r="ULJ1" s="224"/>
      <c r="ULK1" s="224"/>
      <c r="ULL1" s="224"/>
      <c r="ULM1" s="224"/>
      <c r="ULN1" s="224"/>
      <c r="ULO1" s="224"/>
      <c r="ULP1" s="224"/>
      <c r="ULQ1" s="224"/>
      <c r="ULR1" s="224"/>
      <c r="ULS1" s="224"/>
      <c r="ULT1" s="224"/>
      <c r="ULU1" s="224"/>
      <c r="ULV1" s="224"/>
      <c r="ULW1" s="224"/>
      <c r="ULX1" s="224"/>
      <c r="ULY1" s="224"/>
      <c r="ULZ1" s="224"/>
      <c r="UMA1" s="224"/>
      <c r="UMB1" s="224"/>
      <c r="UMC1" s="224"/>
      <c r="UMD1" s="224"/>
      <c r="UME1" s="224"/>
      <c r="UMF1" s="224"/>
      <c r="UMG1" s="224"/>
      <c r="UMH1" s="224"/>
      <c r="UMI1" s="224"/>
      <c r="UMJ1" s="224"/>
      <c r="UMK1" s="224"/>
      <c r="UML1" s="224"/>
      <c r="UMM1" s="224"/>
      <c r="UMN1" s="224"/>
      <c r="UMO1" s="224"/>
      <c r="UMP1" s="224"/>
      <c r="UMQ1" s="224"/>
      <c r="UMR1" s="224"/>
      <c r="UMS1" s="224"/>
      <c r="UMT1" s="224"/>
      <c r="UMU1" s="224"/>
      <c r="UMV1" s="224"/>
      <c r="UMW1" s="224"/>
      <c r="UMX1" s="224"/>
      <c r="UMY1" s="224"/>
      <c r="UMZ1" s="224"/>
      <c r="UNA1" s="224"/>
      <c r="UNB1" s="224"/>
      <c r="UNC1" s="224"/>
      <c r="UND1" s="224"/>
      <c r="UNE1" s="224"/>
      <c r="UNF1" s="224"/>
      <c r="UNG1" s="224"/>
      <c r="UNH1" s="224"/>
      <c r="UNI1" s="224"/>
      <c r="UNJ1" s="224"/>
      <c r="UNK1" s="224"/>
      <c r="UNL1" s="224"/>
      <c r="UNM1" s="224"/>
      <c r="UNN1" s="224"/>
      <c r="UNO1" s="224"/>
      <c r="UNP1" s="224"/>
      <c r="UNQ1" s="224"/>
      <c r="UNR1" s="224"/>
      <c r="UNS1" s="224"/>
      <c r="UNT1" s="224"/>
      <c r="UNU1" s="224"/>
      <c r="UNV1" s="224"/>
      <c r="UNW1" s="224"/>
      <c r="UNX1" s="224"/>
      <c r="UNY1" s="224"/>
      <c r="UNZ1" s="224"/>
      <c r="UOA1" s="224"/>
      <c r="UOB1" s="224"/>
      <c r="UOC1" s="224"/>
      <c r="UOD1" s="224"/>
      <c r="UOE1" s="224"/>
      <c r="UOF1" s="224"/>
      <c r="UOG1" s="224"/>
      <c r="UOH1" s="224"/>
      <c r="UOI1" s="224"/>
      <c r="UOJ1" s="224"/>
      <c r="UOK1" s="224"/>
      <c r="UOL1" s="224"/>
      <c r="UOM1" s="224"/>
      <c r="UON1" s="224"/>
      <c r="UOO1" s="224"/>
      <c r="UOP1" s="224"/>
      <c r="UOQ1" s="224"/>
      <c r="UOR1" s="224"/>
      <c r="UOS1" s="224"/>
      <c r="UOT1" s="224"/>
      <c r="UOU1" s="224"/>
      <c r="UOV1" s="224"/>
      <c r="UOW1" s="224"/>
      <c r="UOX1" s="224"/>
      <c r="UOY1" s="224"/>
      <c r="UOZ1" s="224"/>
      <c r="UPA1" s="224"/>
      <c r="UPB1" s="224"/>
      <c r="UPC1" s="224"/>
      <c r="UPD1" s="224"/>
      <c r="UPE1" s="224"/>
      <c r="UPF1" s="224"/>
      <c r="UPG1" s="224"/>
      <c r="UPH1" s="224"/>
      <c r="UPI1" s="224"/>
      <c r="UPJ1" s="224"/>
      <c r="UPK1" s="224"/>
      <c r="UPL1" s="224"/>
      <c r="UPM1" s="224"/>
      <c r="UPN1" s="224"/>
      <c r="UPO1" s="224"/>
      <c r="UPP1" s="224"/>
      <c r="UPQ1" s="224"/>
      <c r="UPR1" s="224"/>
      <c r="UPS1" s="224"/>
      <c r="UPT1" s="224"/>
      <c r="UPU1" s="224"/>
      <c r="UPV1" s="224"/>
      <c r="UPW1" s="224"/>
      <c r="UPX1" s="224"/>
      <c r="UPY1" s="224"/>
      <c r="UPZ1" s="224"/>
      <c r="UQA1" s="224"/>
      <c r="UQB1" s="224"/>
      <c r="UQC1" s="224"/>
      <c r="UQD1" s="224"/>
      <c r="UQE1" s="224"/>
      <c r="UQF1" s="224"/>
      <c r="UQG1" s="224"/>
      <c r="UQH1" s="224"/>
      <c r="UQI1" s="224"/>
      <c r="UQJ1" s="224"/>
      <c r="UQK1" s="224"/>
      <c r="UQL1" s="224"/>
      <c r="UQM1" s="224"/>
      <c r="UQN1" s="224"/>
      <c r="UQO1" s="224"/>
      <c r="UQP1" s="224"/>
      <c r="UQQ1" s="224"/>
      <c r="UQR1" s="224"/>
      <c r="UQS1" s="224"/>
      <c r="UQT1" s="224"/>
      <c r="UQU1" s="224"/>
      <c r="UQV1" s="224"/>
      <c r="UQW1" s="224"/>
      <c r="UQX1" s="224"/>
      <c r="UQY1" s="224"/>
      <c r="UQZ1" s="224"/>
      <c r="URA1" s="224"/>
      <c r="URB1" s="224"/>
      <c r="URC1" s="224"/>
      <c r="URD1" s="224"/>
      <c r="URE1" s="224"/>
      <c r="URF1" s="224"/>
      <c r="URG1" s="224"/>
      <c r="URH1" s="224"/>
      <c r="URI1" s="224"/>
      <c r="URJ1" s="224"/>
      <c r="URK1" s="224"/>
      <c r="URL1" s="224"/>
      <c r="URM1" s="224"/>
      <c r="URN1" s="224"/>
      <c r="URO1" s="224"/>
      <c r="URP1" s="224"/>
      <c r="URQ1" s="224"/>
      <c r="URR1" s="224"/>
      <c r="URS1" s="224"/>
      <c r="URT1" s="224"/>
      <c r="URU1" s="224"/>
      <c r="URV1" s="224"/>
      <c r="URW1" s="224"/>
      <c r="URX1" s="224"/>
      <c r="URY1" s="224"/>
      <c r="URZ1" s="224"/>
      <c r="USA1" s="224"/>
      <c r="USB1" s="224"/>
      <c r="USC1" s="224"/>
      <c r="USD1" s="224"/>
      <c r="USE1" s="224"/>
      <c r="USF1" s="224"/>
      <c r="USG1" s="224"/>
      <c r="USH1" s="224"/>
      <c r="USI1" s="224"/>
      <c r="USJ1" s="224"/>
      <c r="USK1" s="224"/>
      <c r="USL1" s="224"/>
      <c r="USM1" s="224"/>
      <c r="USN1" s="224"/>
      <c r="USO1" s="224"/>
      <c r="USP1" s="224"/>
      <c r="USQ1" s="224"/>
      <c r="USR1" s="224"/>
      <c r="USS1" s="224"/>
      <c r="UST1" s="224"/>
      <c r="USU1" s="224"/>
      <c r="USV1" s="224"/>
      <c r="USW1" s="224"/>
      <c r="USX1" s="224"/>
      <c r="USY1" s="224"/>
      <c r="USZ1" s="224"/>
      <c r="UTA1" s="224"/>
      <c r="UTB1" s="224"/>
      <c r="UTC1" s="224"/>
      <c r="UTD1" s="224"/>
      <c r="UTE1" s="224"/>
      <c r="UTF1" s="224"/>
      <c r="UTG1" s="224"/>
      <c r="UTH1" s="224"/>
      <c r="UTI1" s="224"/>
      <c r="UTJ1" s="224"/>
      <c r="UTK1" s="224"/>
      <c r="UTL1" s="224"/>
      <c r="UTM1" s="224"/>
      <c r="UTN1" s="224"/>
      <c r="UTO1" s="224"/>
      <c r="UTP1" s="224"/>
      <c r="UTQ1" s="224"/>
      <c r="UTR1" s="224"/>
      <c r="UTS1" s="224"/>
      <c r="UTT1" s="224"/>
      <c r="UTU1" s="224"/>
      <c r="UTV1" s="224"/>
      <c r="UTW1" s="224"/>
      <c r="UTX1" s="224"/>
      <c r="UTY1" s="224"/>
      <c r="UTZ1" s="224"/>
      <c r="UUA1" s="224"/>
      <c r="UUB1" s="224"/>
      <c r="UUC1" s="224"/>
      <c r="UUD1" s="224"/>
      <c r="UUE1" s="224"/>
      <c r="UUF1" s="224"/>
      <c r="UUG1" s="224"/>
      <c r="UUH1" s="224"/>
      <c r="UUI1" s="224"/>
      <c r="UUJ1" s="224"/>
      <c r="UUK1" s="224"/>
      <c r="UUL1" s="224"/>
      <c r="UUM1" s="224"/>
      <c r="UUN1" s="224"/>
      <c r="UUO1" s="224"/>
      <c r="UUP1" s="224"/>
      <c r="UUQ1" s="224"/>
      <c r="UUR1" s="224"/>
      <c r="UUS1" s="224"/>
      <c r="UUT1" s="224"/>
      <c r="UUU1" s="224"/>
      <c r="UUV1" s="224"/>
      <c r="UUW1" s="224"/>
      <c r="UUX1" s="224"/>
      <c r="UUY1" s="224"/>
      <c r="UUZ1" s="224"/>
      <c r="UVA1" s="224"/>
      <c r="UVB1" s="224"/>
      <c r="UVC1" s="224"/>
      <c r="UVD1" s="224"/>
      <c r="UVE1" s="224"/>
      <c r="UVF1" s="224"/>
      <c r="UVG1" s="224"/>
      <c r="UVH1" s="224"/>
      <c r="UVI1" s="224"/>
      <c r="UVJ1" s="224"/>
      <c r="UVK1" s="224"/>
      <c r="UVL1" s="224"/>
      <c r="UVM1" s="224"/>
      <c r="UVN1" s="224"/>
      <c r="UVO1" s="224"/>
      <c r="UVP1" s="224"/>
      <c r="UVQ1" s="224"/>
      <c r="UVR1" s="224"/>
      <c r="UVS1" s="224"/>
      <c r="UVT1" s="224"/>
      <c r="UVU1" s="224"/>
      <c r="UVV1" s="224"/>
      <c r="UVW1" s="224"/>
      <c r="UVX1" s="224"/>
      <c r="UVY1" s="224"/>
      <c r="UVZ1" s="224"/>
      <c r="UWA1" s="224"/>
      <c r="UWB1" s="224"/>
      <c r="UWC1" s="224"/>
      <c r="UWD1" s="224"/>
      <c r="UWE1" s="224"/>
      <c r="UWF1" s="224"/>
      <c r="UWG1" s="224"/>
      <c r="UWH1" s="224"/>
      <c r="UWI1" s="224"/>
      <c r="UWJ1" s="224"/>
      <c r="UWK1" s="224"/>
      <c r="UWL1" s="224"/>
      <c r="UWM1" s="224"/>
      <c r="UWN1" s="224"/>
      <c r="UWO1" s="224"/>
      <c r="UWP1" s="224"/>
      <c r="UWQ1" s="224"/>
      <c r="UWR1" s="224"/>
      <c r="UWS1" s="224"/>
      <c r="UWT1" s="224"/>
      <c r="UWU1" s="224"/>
      <c r="UWV1" s="224"/>
      <c r="UWW1" s="224"/>
      <c r="UWX1" s="224"/>
      <c r="UWY1" s="224"/>
      <c r="UWZ1" s="224"/>
      <c r="UXA1" s="224"/>
      <c r="UXB1" s="224"/>
      <c r="UXC1" s="224"/>
      <c r="UXD1" s="224"/>
      <c r="UXE1" s="224"/>
      <c r="UXF1" s="224"/>
      <c r="UXG1" s="224"/>
      <c r="UXH1" s="224"/>
      <c r="UXI1" s="224"/>
      <c r="UXJ1" s="224"/>
      <c r="UXK1" s="224"/>
      <c r="UXL1" s="224"/>
      <c r="UXM1" s="224"/>
      <c r="UXN1" s="224"/>
      <c r="UXO1" s="224"/>
      <c r="UXP1" s="224"/>
      <c r="UXQ1" s="224"/>
      <c r="UXR1" s="224"/>
      <c r="UXS1" s="224"/>
      <c r="UXT1" s="224"/>
      <c r="UXU1" s="224"/>
      <c r="UXV1" s="224"/>
      <c r="UXW1" s="224"/>
      <c r="UXX1" s="224"/>
      <c r="UXY1" s="224"/>
      <c r="UXZ1" s="224"/>
      <c r="UYA1" s="224"/>
      <c r="UYB1" s="224"/>
      <c r="UYC1" s="224"/>
      <c r="UYD1" s="224"/>
      <c r="UYE1" s="224"/>
      <c r="UYF1" s="224"/>
      <c r="UYG1" s="224"/>
      <c r="UYH1" s="224"/>
      <c r="UYI1" s="224"/>
      <c r="UYJ1" s="224"/>
      <c r="UYK1" s="224"/>
      <c r="UYL1" s="224"/>
      <c r="UYM1" s="224"/>
      <c r="UYN1" s="224"/>
      <c r="UYO1" s="224"/>
      <c r="UYP1" s="224"/>
      <c r="UYQ1" s="224"/>
      <c r="UYR1" s="224"/>
      <c r="UYS1" s="224"/>
      <c r="UYT1" s="224"/>
      <c r="UYU1" s="224"/>
      <c r="UYV1" s="224"/>
      <c r="UYW1" s="224"/>
      <c r="UYX1" s="224"/>
      <c r="UYY1" s="224"/>
      <c r="UYZ1" s="224"/>
      <c r="UZA1" s="224"/>
      <c r="UZB1" s="224"/>
      <c r="UZC1" s="224"/>
      <c r="UZD1" s="224"/>
      <c r="UZE1" s="224"/>
      <c r="UZF1" s="224"/>
      <c r="UZG1" s="224"/>
      <c r="UZH1" s="224"/>
      <c r="UZI1" s="224"/>
      <c r="UZJ1" s="224"/>
      <c r="UZK1" s="224"/>
      <c r="UZL1" s="224"/>
      <c r="UZM1" s="224"/>
      <c r="UZN1" s="224"/>
      <c r="UZO1" s="224"/>
      <c r="UZP1" s="224"/>
      <c r="UZQ1" s="224"/>
      <c r="UZR1" s="224"/>
      <c r="UZS1" s="224"/>
      <c r="UZT1" s="224"/>
      <c r="UZU1" s="224"/>
      <c r="UZV1" s="224"/>
      <c r="UZW1" s="224"/>
      <c r="UZX1" s="224"/>
      <c r="UZY1" s="224"/>
      <c r="UZZ1" s="224"/>
      <c r="VAA1" s="224"/>
      <c r="VAB1" s="224"/>
      <c r="VAC1" s="224"/>
      <c r="VAD1" s="224"/>
      <c r="VAE1" s="224"/>
      <c r="VAF1" s="224"/>
      <c r="VAG1" s="224"/>
      <c r="VAH1" s="224"/>
      <c r="VAI1" s="224"/>
      <c r="VAJ1" s="224"/>
      <c r="VAK1" s="224"/>
      <c r="VAL1" s="224"/>
      <c r="VAM1" s="224"/>
      <c r="VAN1" s="224"/>
      <c r="VAO1" s="224"/>
      <c r="VAP1" s="224"/>
      <c r="VAQ1" s="224"/>
      <c r="VAR1" s="224"/>
      <c r="VAS1" s="224"/>
      <c r="VAT1" s="224"/>
      <c r="VAU1" s="224"/>
      <c r="VAV1" s="224"/>
      <c r="VAW1" s="224"/>
      <c r="VAX1" s="224"/>
      <c r="VAY1" s="224"/>
      <c r="VAZ1" s="224"/>
      <c r="VBA1" s="224"/>
      <c r="VBB1" s="224"/>
      <c r="VBC1" s="224"/>
      <c r="VBD1" s="224"/>
      <c r="VBE1" s="224"/>
      <c r="VBF1" s="224"/>
      <c r="VBG1" s="224"/>
      <c r="VBH1" s="224"/>
      <c r="VBI1" s="224"/>
      <c r="VBJ1" s="224"/>
      <c r="VBK1" s="224"/>
      <c r="VBL1" s="224"/>
      <c r="VBM1" s="224"/>
      <c r="VBN1" s="224"/>
      <c r="VBO1" s="224"/>
      <c r="VBP1" s="224"/>
      <c r="VBQ1" s="224"/>
      <c r="VBR1" s="224"/>
      <c r="VBS1" s="224"/>
      <c r="VBT1" s="224"/>
      <c r="VBU1" s="224"/>
      <c r="VBV1" s="224"/>
      <c r="VBW1" s="224"/>
      <c r="VBX1" s="224"/>
      <c r="VBY1" s="224"/>
      <c r="VBZ1" s="224"/>
      <c r="VCA1" s="224"/>
      <c r="VCB1" s="224"/>
      <c r="VCC1" s="224"/>
      <c r="VCD1" s="224"/>
      <c r="VCE1" s="224"/>
      <c r="VCF1" s="224"/>
      <c r="VCG1" s="224"/>
      <c r="VCH1" s="224"/>
      <c r="VCI1" s="224"/>
      <c r="VCJ1" s="224"/>
      <c r="VCK1" s="224"/>
      <c r="VCL1" s="224"/>
      <c r="VCM1" s="224"/>
      <c r="VCN1" s="224"/>
      <c r="VCO1" s="224"/>
      <c r="VCP1" s="224"/>
      <c r="VCQ1" s="224"/>
      <c r="VCR1" s="224"/>
      <c r="VCS1" s="224"/>
      <c r="VCT1" s="224"/>
      <c r="VCU1" s="224"/>
      <c r="VCV1" s="224"/>
      <c r="VCW1" s="224"/>
      <c r="VCX1" s="224"/>
      <c r="VCY1" s="224"/>
      <c r="VCZ1" s="224"/>
      <c r="VDA1" s="224"/>
      <c r="VDB1" s="224"/>
      <c r="VDC1" s="224"/>
      <c r="VDD1" s="224"/>
      <c r="VDE1" s="224"/>
      <c r="VDF1" s="224"/>
      <c r="VDG1" s="224"/>
      <c r="VDH1" s="224"/>
      <c r="VDI1" s="224"/>
      <c r="VDJ1" s="224"/>
      <c r="VDK1" s="224"/>
      <c r="VDL1" s="224"/>
      <c r="VDM1" s="224"/>
      <c r="VDN1" s="224"/>
      <c r="VDO1" s="224"/>
      <c r="VDP1" s="224"/>
      <c r="VDQ1" s="224"/>
      <c r="VDR1" s="224"/>
      <c r="VDS1" s="224"/>
      <c r="VDT1" s="224"/>
      <c r="VDU1" s="224"/>
      <c r="VDV1" s="224"/>
      <c r="VDW1" s="224"/>
      <c r="VDX1" s="224"/>
      <c r="VDY1" s="224"/>
      <c r="VDZ1" s="224"/>
      <c r="VEA1" s="224"/>
      <c r="VEB1" s="224"/>
      <c r="VEC1" s="224"/>
      <c r="VED1" s="224"/>
      <c r="VEE1" s="224"/>
      <c r="VEF1" s="224"/>
      <c r="VEG1" s="224"/>
      <c r="VEH1" s="224"/>
      <c r="VEI1" s="224"/>
      <c r="VEJ1" s="224"/>
      <c r="VEK1" s="224"/>
      <c r="VEL1" s="224"/>
      <c r="VEM1" s="224"/>
      <c r="VEN1" s="224"/>
      <c r="VEO1" s="224"/>
      <c r="VEP1" s="224"/>
      <c r="VEQ1" s="224"/>
      <c r="VER1" s="224"/>
      <c r="VES1" s="224"/>
      <c r="VET1" s="224"/>
      <c r="VEU1" s="224"/>
      <c r="VEV1" s="224"/>
      <c r="VEW1" s="224"/>
      <c r="VEX1" s="224"/>
      <c r="VEY1" s="224"/>
      <c r="VEZ1" s="224"/>
      <c r="VFA1" s="224"/>
      <c r="VFB1" s="224"/>
      <c r="VFC1" s="224"/>
      <c r="VFD1" s="224"/>
      <c r="VFE1" s="224"/>
      <c r="VFF1" s="224"/>
      <c r="VFG1" s="224"/>
      <c r="VFH1" s="224"/>
      <c r="VFI1" s="224"/>
      <c r="VFJ1" s="224"/>
      <c r="VFK1" s="224"/>
      <c r="VFL1" s="224"/>
      <c r="VFM1" s="224"/>
      <c r="VFN1" s="224"/>
      <c r="VFO1" s="224"/>
      <c r="VFP1" s="224"/>
      <c r="VFQ1" s="224"/>
      <c r="VFR1" s="224"/>
      <c r="VFS1" s="224"/>
      <c r="VFT1" s="224"/>
      <c r="VFU1" s="224"/>
      <c r="VFV1" s="224"/>
      <c r="VFW1" s="224"/>
      <c r="VFX1" s="224"/>
      <c r="VFY1" s="224"/>
      <c r="VFZ1" s="224"/>
      <c r="VGA1" s="224"/>
      <c r="VGB1" s="224"/>
      <c r="VGC1" s="224"/>
      <c r="VGD1" s="224"/>
      <c r="VGE1" s="224"/>
      <c r="VGF1" s="224"/>
      <c r="VGG1" s="224"/>
      <c r="VGH1" s="224"/>
      <c r="VGI1" s="224"/>
      <c r="VGJ1" s="224"/>
      <c r="VGK1" s="224"/>
      <c r="VGL1" s="224"/>
      <c r="VGM1" s="224"/>
      <c r="VGN1" s="224"/>
      <c r="VGO1" s="224"/>
      <c r="VGP1" s="224"/>
      <c r="VGQ1" s="224"/>
      <c r="VGR1" s="224"/>
      <c r="VGS1" s="224"/>
      <c r="VGT1" s="224"/>
      <c r="VGU1" s="224"/>
      <c r="VGV1" s="224"/>
      <c r="VGW1" s="224"/>
      <c r="VGX1" s="224"/>
      <c r="VGY1" s="224"/>
      <c r="VGZ1" s="224"/>
      <c r="VHA1" s="224"/>
      <c r="VHB1" s="224"/>
      <c r="VHC1" s="224"/>
      <c r="VHD1" s="224"/>
      <c r="VHE1" s="224"/>
      <c r="VHF1" s="224"/>
      <c r="VHG1" s="224"/>
      <c r="VHH1" s="224"/>
      <c r="VHI1" s="224"/>
      <c r="VHJ1" s="224"/>
      <c r="VHK1" s="224"/>
      <c r="VHL1" s="224"/>
      <c r="VHM1" s="224"/>
      <c r="VHN1" s="224"/>
      <c r="VHO1" s="224"/>
      <c r="VHP1" s="224"/>
      <c r="VHQ1" s="224"/>
      <c r="VHR1" s="224"/>
      <c r="VHS1" s="224"/>
      <c r="VHT1" s="224"/>
      <c r="VHU1" s="224"/>
      <c r="VHV1" s="224"/>
      <c r="VHW1" s="224"/>
      <c r="VHX1" s="224"/>
      <c r="VHY1" s="224"/>
      <c r="VHZ1" s="224"/>
      <c r="VIA1" s="224"/>
      <c r="VIB1" s="224"/>
      <c r="VIC1" s="224"/>
      <c r="VID1" s="224"/>
      <c r="VIE1" s="224"/>
      <c r="VIF1" s="224"/>
      <c r="VIG1" s="224"/>
      <c r="VIH1" s="224"/>
      <c r="VII1" s="224"/>
      <c r="VIJ1" s="224"/>
      <c r="VIK1" s="224"/>
      <c r="VIL1" s="224"/>
      <c r="VIM1" s="224"/>
      <c r="VIN1" s="224"/>
      <c r="VIO1" s="224"/>
      <c r="VIP1" s="224"/>
      <c r="VIQ1" s="224"/>
      <c r="VIR1" s="224"/>
      <c r="VIS1" s="224"/>
      <c r="VIT1" s="224"/>
      <c r="VIU1" s="224"/>
      <c r="VIV1" s="224"/>
      <c r="VIW1" s="224"/>
      <c r="VIX1" s="224"/>
      <c r="VIY1" s="224"/>
      <c r="VIZ1" s="224"/>
      <c r="VJA1" s="224"/>
      <c r="VJB1" s="224"/>
      <c r="VJC1" s="224"/>
      <c r="VJD1" s="224"/>
      <c r="VJE1" s="224"/>
      <c r="VJF1" s="224"/>
      <c r="VJG1" s="224"/>
      <c r="VJH1" s="224"/>
      <c r="VJI1" s="224"/>
      <c r="VJJ1" s="224"/>
      <c r="VJK1" s="224"/>
      <c r="VJL1" s="224"/>
      <c r="VJM1" s="224"/>
      <c r="VJN1" s="224"/>
      <c r="VJO1" s="224"/>
      <c r="VJP1" s="224"/>
      <c r="VJQ1" s="224"/>
      <c r="VJR1" s="224"/>
      <c r="VJS1" s="224"/>
      <c r="VJT1" s="224"/>
      <c r="VJU1" s="224"/>
      <c r="VJV1" s="224"/>
      <c r="VJW1" s="224"/>
      <c r="VJX1" s="224"/>
      <c r="VJY1" s="224"/>
      <c r="VJZ1" s="224"/>
      <c r="VKA1" s="224"/>
      <c r="VKB1" s="224"/>
      <c r="VKC1" s="224"/>
      <c r="VKD1" s="224"/>
      <c r="VKE1" s="224"/>
      <c r="VKF1" s="224"/>
      <c r="VKG1" s="224"/>
      <c r="VKH1" s="224"/>
      <c r="VKI1" s="224"/>
      <c r="VKJ1" s="224"/>
      <c r="VKK1" s="224"/>
      <c r="VKL1" s="224"/>
      <c r="VKM1" s="224"/>
      <c r="VKN1" s="224"/>
      <c r="VKO1" s="224"/>
      <c r="VKP1" s="224"/>
      <c r="VKQ1" s="224"/>
      <c r="VKR1" s="224"/>
      <c r="VKS1" s="224"/>
      <c r="VKT1" s="224"/>
      <c r="VKU1" s="224"/>
      <c r="VKV1" s="224"/>
      <c r="VKW1" s="224"/>
      <c r="VKX1" s="224"/>
      <c r="VKY1" s="224"/>
      <c r="VKZ1" s="224"/>
      <c r="VLA1" s="224"/>
      <c r="VLB1" s="224"/>
      <c r="VLC1" s="224"/>
      <c r="VLD1" s="224"/>
      <c r="VLE1" s="224"/>
      <c r="VLF1" s="224"/>
      <c r="VLG1" s="224"/>
      <c r="VLH1" s="224"/>
      <c r="VLI1" s="224"/>
      <c r="VLJ1" s="224"/>
      <c r="VLK1" s="224"/>
      <c r="VLL1" s="224"/>
      <c r="VLM1" s="224"/>
      <c r="VLN1" s="224"/>
      <c r="VLO1" s="224"/>
      <c r="VLP1" s="224"/>
      <c r="VLQ1" s="224"/>
      <c r="VLR1" s="224"/>
      <c r="VLS1" s="224"/>
      <c r="VLT1" s="224"/>
      <c r="VLU1" s="224"/>
      <c r="VLV1" s="224"/>
      <c r="VLW1" s="224"/>
      <c r="VLX1" s="224"/>
      <c r="VLY1" s="224"/>
      <c r="VLZ1" s="224"/>
      <c r="VMA1" s="224"/>
      <c r="VMB1" s="224"/>
      <c r="VMC1" s="224"/>
      <c r="VMD1" s="224"/>
      <c r="VME1" s="224"/>
      <c r="VMF1" s="224"/>
      <c r="VMG1" s="224"/>
      <c r="VMH1" s="224"/>
      <c r="VMI1" s="224"/>
      <c r="VMJ1" s="224"/>
      <c r="VMK1" s="224"/>
      <c r="VML1" s="224"/>
      <c r="VMM1" s="224"/>
      <c r="VMN1" s="224"/>
      <c r="VMO1" s="224"/>
      <c r="VMP1" s="224"/>
      <c r="VMQ1" s="224"/>
      <c r="VMR1" s="224"/>
      <c r="VMS1" s="224"/>
      <c r="VMT1" s="224"/>
      <c r="VMU1" s="224"/>
      <c r="VMV1" s="224"/>
      <c r="VMW1" s="224"/>
      <c r="VMX1" s="224"/>
      <c r="VMY1" s="224"/>
      <c r="VMZ1" s="224"/>
      <c r="VNA1" s="224"/>
      <c r="VNB1" s="224"/>
      <c r="VNC1" s="224"/>
      <c r="VND1" s="224"/>
      <c r="VNE1" s="224"/>
      <c r="VNF1" s="224"/>
      <c r="VNG1" s="224"/>
      <c r="VNH1" s="224"/>
      <c r="VNI1" s="224"/>
      <c r="VNJ1" s="224"/>
      <c r="VNK1" s="224"/>
      <c r="VNL1" s="224"/>
      <c r="VNM1" s="224"/>
      <c r="VNN1" s="224"/>
      <c r="VNO1" s="224"/>
      <c r="VNP1" s="224"/>
      <c r="VNQ1" s="224"/>
      <c r="VNR1" s="224"/>
      <c r="VNS1" s="224"/>
      <c r="VNT1" s="224"/>
      <c r="VNU1" s="224"/>
      <c r="VNV1" s="224"/>
      <c r="VNW1" s="224"/>
      <c r="VNX1" s="224"/>
      <c r="VNY1" s="224"/>
      <c r="VNZ1" s="224"/>
      <c r="VOA1" s="224"/>
      <c r="VOB1" s="224"/>
      <c r="VOC1" s="224"/>
      <c r="VOD1" s="224"/>
      <c r="VOE1" s="224"/>
      <c r="VOF1" s="224"/>
      <c r="VOG1" s="224"/>
      <c r="VOH1" s="224"/>
      <c r="VOI1" s="224"/>
      <c r="VOJ1" s="224"/>
      <c r="VOK1" s="224"/>
      <c r="VOL1" s="224"/>
      <c r="VOM1" s="224"/>
      <c r="VON1" s="224"/>
      <c r="VOO1" s="224"/>
      <c r="VOP1" s="224"/>
      <c r="VOQ1" s="224"/>
      <c r="VOR1" s="224"/>
      <c r="VOS1" s="224"/>
      <c r="VOT1" s="224"/>
      <c r="VOU1" s="224"/>
      <c r="VOV1" s="224"/>
      <c r="VOW1" s="224"/>
      <c r="VOX1" s="224"/>
      <c r="VOY1" s="224"/>
      <c r="VOZ1" s="224"/>
      <c r="VPA1" s="224"/>
      <c r="VPB1" s="224"/>
      <c r="VPC1" s="224"/>
      <c r="VPD1" s="224"/>
      <c r="VPE1" s="224"/>
      <c r="VPF1" s="224"/>
      <c r="VPG1" s="224"/>
      <c r="VPH1" s="224"/>
      <c r="VPI1" s="224"/>
      <c r="VPJ1" s="224"/>
      <c r="VPK1" s="224"/>
      <c r="VPL1" s="224"/>
      <c r="VPM1" s="224"/>
      <c r="VPN1" s="224"/>
      <c r="VPO1" s="224"/>
      <c r="VPP1" s="224"/>
      <c r="VPQ1" s="224"/>
      <c r="VPR1" s="224"/>
      <c r="VPS1" s="224"/>
      <c r="VPT1" s="224"/>
      <c r="VPU1" s="224"/>
      <c r="VPV1" s="224"/>
      <c r="VPW1" s="224"/>
      <c r="VPX1" s="224"/>
      <c r="VPY1" s="224"/>
      <c r="VPZ1" s="224"/>
      <c r="VQA1" s="224"/>
      <c r="VQB1" s="224"/>
      <c r="VQC1" s="224"/>
      <c r="VQD1" s="224"/>
      <c r="VQE1" s="224"/>
      <c r="VQF1" s="224"/>
      <c r="VQG1" s="224"/>
      <c r="VQH1" s="224"/>
      <c r="VQI1" s="224"/>
      <c r="VQJ1" s="224"/>
      <c r="VQK1" s="224"/>
      <c r="VQL1" s="224"/>
      <c r="VQM1" s="224"/>
      <c r="VQN1" s="224"/>
      <c r="VQO1" s="224"/>
      <c r="VQP1" s="224"/>
      <c r="VQQ1" s="224"/>
      <c r="VQR1" s="224"/>
      <c r="VQS1" s="224"/>
      <c r="VQT1" s="224"/>
      <c r="VQU1" s="224"/>
      <c r="VQV1" s="224"/>
      <c r="VQW1" s="224"/>
      <c r="VQX1" s="224"/>
      <c r="VQY1" s="224"/>
      <c r="VQZ1" s="224"/>
      <c r="VRA1" s="224"/>
      <c r="VRB1" s="224"/>
      <c r="VRC1" s="224"/>
      <c r="VRD1" s="224"/>
      <c r="VRE1" s="224"/>
      <c r="VRF1" s="224"/>
      <c r="VRG1" s="224"/>
      <c r="VRH1" s="224"/>
      <c r="VRI1" s="224"/>
      <c r="VRJ1" s="224"/>
      <c r="VRK1" s="224"/>
      <c r="VRL1" s="224"/>
      <c r="VRM1" s="224"/>
      <c r="VRN1" s="224"/>
      <c r="VRO1" s="224"/>
      <c r="VRP1" s="224"/>
      <c r="VRQ1" s="224"/>
      <c r="VRR1" s="224"/>
      <c r="VRS1" s="224"/>
      <c r="VRT1" s="224"/>
      <c r="VRU1" s="224"/>
      <c r="VRV1" s="224"/>
      <c r="VRW1" s="224"/>
      <c r="VRX1" s="224"/>
      <c r="VRY1" s="224"/>
      <c r="VRZ1" s="224"/>
      <c r="VSA1" s="224"/>
      <c r="VSB1" s="224"/>
      <c r="VSC1" s="224"/>
      <c r="VSD1" s="224"/>
      <c r="VSE1" s="224"/>
      <c r="VSF1" s="224"/>
      <c r="VSG1" s="224"/>
      <c r="VSH1" s="224"/>
      <c r="VSI1" s="224"/>
      <c r="VSJ1" s="224"/>
      <c r="VSK1" s="224"/>
      <c r="VSL1" s="224"/>
      <c r="VSM1" s="224"/>
      <c r="VSN1" s="224"/>
      <c r="VSO1" s="224"/>
      <c r="VSP1" s="224"/>
      <c r="VSQ1" s="224"/>
      <c r="VSR1" s="224"/>
      <c r="VSS1" s="224"/>
      <c r="VST1" s="224"/>
      <c r="VSU1" s="224"/>
      <c r="VSV1" s="224"/>
      <c r="VSW1" s="224"/>
      <c r="VSX1" s="224"/>
      <c r="VSY1" s="224"/>
      <c r="VSZ1" s="224"/>
      <c r="VTA1" s="224"/>
      <c r="VTB1" s="224"/>
      <c r="VTC1" s="224"/>
      <c r="VTD1" s="224"/>
      <c r="VTE1" s="224"/>
      <c r="VTF1" s="224"/>
      <c r="VTG1" s="224"/>
      <c r="VTH1" s="224"/>
      <c r="VTI1" s="224"/>
      <c r="VTJ1" s="224"/>
      <c r="VTK1" s="224"/>
      <c r="VTL1" s="224"/>
      <c r="VTM1" s="224"/>
      <c r="VTN1" s="224"/>
      <c r="VTO1" s="224"/>
      <c r="VTP1" s="224"/>
      <c r="VTQ1" s="224"/>
      <c r="VTR1" s="224"/>
      <c r="VTS1" s="224"/>
      <c r="VTT1" s="224"/>
      <c r="VTU1" s="224"/>
      <c r="VTV1" s="224"/>
      <c r="VTW1" s="224"/>
      <c r="VTX1" s="224"/>
      <c r="VTY1" s="224"/>
      <c r="VTZ1" s="224"/>
      <c r="VUA1" s="224"/>
      <c r="VUB1" s="224"/>
      <c r="VUC1" s="224"/>
      <c r="VUD1" s="224"/>
      <c r="VUE1" s="224"/>
      <c r="VUF1" s="224"/>
      <c r="VUG1" s="224"/>
      <c r="VUH1" s="224"/>
      <c r="VUI1" s="224"/>
      <c r="VUJ1" s="224"/>
      <c r="VUK1" s="224"/>
      <c r="VUL1" s="224"/>
      <c r="VUM1" s="224"/>
      <c r="VUN1" s="224"/>
      <c r="VUO1" s="224"/>
      <c r="VUP1" s="224"/>
      <c r="VUQ1" s="224"/>
      <c r="VUR1" s="224"/>
      <c r="VUS1" s="224"/>
      <c r="VUT1" s="224"/>
      <c r="VUU1" s="224"/>
      <c r="VUV1" s="224"/>
      <c r="VUW1" s="224"/>
      <c r="VUX1" s="224"/>
      <c r="VUY1" s="224"/>
      <c r="VUZ1" s="224"/>
      <c r="VVA1" s="224"/>
      <c r="VVB1" s="224"/>
      <c r="VVC1" s="224"/>
      <c r="VVD1" s="224"/>
      <c r="VVE1" s="224"/>
      <c r="VVF1" s="224"/>
      <c r="VVG1" s="224"/>
      <c r="VVH1" s="224"/>
      <c r="VVI1" s="224"/>
      <c r="VVJ1" s="224"/>
      <c r="VVK1" s="224"/>
      <c r="VVL1" s="224"/>
      <c r="VVM1" s="224"/>
      <c r="VVN1" s="224"/>
      <c r="VVO1" s="224"/>
      <c r="VVP1" s="224"/>
      <c r="VVQ1" s="224"/>
      <c r="VVR1" s="224"/>
      <c r="VVS1" s="224"/>
      <c r="VVT1" s="224"/>
      <c r="VVU1" s="224"/>
      <c r="VVV1" s="224"/>
      <c r="VVW1" s="224"/>
      <c r="VVX1" s="224"/>
      <c r="VVY1" s="224"/>
      <c r="VVZ1" s="224"/>
      <c r="VWA1" s="224"/>
      <c r="VWB1" s="224"/>
      <c r="VWC1" s="224"/>
      <c r="VWD1" s="224"/>
      <c r="VWE1" s="224"/>
      <c r="VWF1" s="224"/>
      <c r="VWG1" s="224"/>
      <c r="VWH1" s="224"/>
      <c r="VWI1" s="224"/>
      <c r="VWJ1" s="224"/>
      <c r="VWK1" s="224"/>
      <c r="VWL1" s="224"/>
      <c r="VWM1" s="224"/>
      <c r="VWN1" s="224"/>
      <c r="VWO1" s="224"/>
      <c r="VWP1" s="224"/>
      <c r="VWQ1" s="224"/>
      <c r="VWR1" s="224"/>
      <c r="VWS1" s="224"/>
      <c r="VWT1" s="224"/>
      <c r="VWU1" s="224"/>
      <c r="VWV1" s="224"/>
      <c r="VWW1" s="224"/>
      <c r="VWX1" s="224"/>
      <c r="VWY1" s="224"/>
      <c r="VWZ1" s="224"/>
      <c r="VXA1" s="224"/>
      <c r="VXB1" s="224"/>
      <c r="VXC1" s="224"/>
      <c r="VXD1" s="224"/>
      <c r="VXE1" s="224"/>
      <c r="VXF1" s="224"/>
      <c r="VXG1" s="224"/>
      <c r="VXH1" s="224"/>
      <c r="VXI1" s="224"/>
      <c r="VXJ1" s="224"/>
      <c r="VXK1" s="224"/>
      <c r="VXL1" s="224"/>
      <c r="VXM1" s="224"/>
      <c r="VXN1" s="224"/>
      <c r="VXO1" s="224"/>
      <c r="VXP1" s="224"/>
      <c r="VXQ1" s="224"/>
      <c r="VXR1" s="224"/>
      <c r="VXS1" s="224"/>
      <c r="VXT1" s="224"/>
      <c r="VXU1" s="224"/>
      <c r="VXV1" s="224"/>
      <c r="VXW1" s="224"/>
      <c r="VXX1" s="224"/>
      <c r="VXY1" s="224"/>
      <c r="VXZ1" s="224"/>
      <c r="VYA1" s="224"/>
      <c r="VYB1" s="224"/>
      <c r="VYC1" s="224"/>
      <c r="VYD1" s="224"/>
      <c r="VYE1" s="224"/>
      <c r="VYF1" s="224"/>
      <c r="VYG1" s="224"/>
      <c r="VYH1" s="224"/>
      <c r="VYI1" s="224"/>
      <c r="VYJ1" s="224"/>
      <c r="VYK1" s="224"/>
      <c r="VYL1" s="224"/>
      <c r="VYM1" s="224"/>
      <c r="VYN1" s="224"/>
      <c r="VYO1" s="224"/>
      <c r="VYP1" s="224"/>
      <c r="VYQ1" s="224"/>
      <c r="VYR1" s="224"/>
      <c r="VYS1" s="224"/>
      <c r="VYT1" s="224"/>
      <c r="VYU1" s="224"/>
      <c r="VYV1" s="224"/>
      <c r="VYW1" s="224"/>
      <c r="VYX1" s="224"/>
      <c r="VYY1" s="224"/>
      <c r="VYZ1" s="224"/>
      <c r="VZA1" s="224"/>
      <c r="VZB1" s="224"/>
      <c r="VZC1" s="224"/>
      <c r="VZD1" s="224"/>
      <c r="VZE1" s="224"/>
      <c r="VZF1" s="224"/>
      <c r="VZG1" s="224"/>
      <c r="VZH1" s="224"/>
      <c r="VZI1" s="224"/>
      <c r="VZJ1" s="224"/>
      <c r="VZK1" s="224"/>
      <c r="VZL1" s="224"/>
      <c r="VZM1" s="224"/>
      <c r="VZN1" s="224"/>
      <c r="VZO1" s="224"/>
      <c r="VZP1" s="224"/>
      <c r="VZQ1" s="224"/>
      <c r="VZR1" s="224"/>
      <c r="VZS1" s="224"/>
      <c r="VZT1" s="224"/>
      <c r="VZU1" s="224"/>
      <c r="VZV1" s="224"/>
      <c r="VZW1" s="224"/>
      <c r="VZX1" s="224"/>
      <c r="VZY1" s="224"/>
      <c r="VZZ1" s="224"/>
      <c r="WAA1" s="224"/>
      <c r="WAB1" s="224"/>
      <c r="WAC1" s="224"/>
      <c r="WAD1" s="224"/>
      <c r="WAE1" s="224"/>
      <c r="WAF1" s="224"/>
      <c r="WAG1" s="224"/>
      <c r="WAH1" s="224"/>
      <c r="WAI1" s="224"/>
      <c r="WAJ1" s="224"/>
      <c r="WAK1" s="224"/>
      <c r="WAL1" s="224"/>
      <c r="WAM1" s="224"/>
      <c r="WAN1" s="224"/>
      <c r="WAO1" s="224"/>
      <c r="WAP1" s="224"/>
      <c r="WAQ1" s="224"/>
      <c r="WAR1" s="224"/>
      <c r="WAS1" s="224"/>
      <c r="WAT1" s="224"/>
      <c r="WAU1" s="224"/>
      <c r="WAV1" s="224"/>
      <c r="WAW1" s="224"/>
      <c r="WAX1" s="224"/>
      <c r="WAY1" s="224"/>
      <c r="WAZ1" s="224"/>
      <c r="WBA1" s="224"/>
      <c r="WBB1" s="224"/>
      <c r="WBC1" s="224"/>
      <c r="WBD1" s="224"/>
      <c r="WBE1" s="224"/>
      <c r="WBF1" s="224"/>
      <c r="WBG1" s="224"/>
      <c r="WBH1" s="224"/>
      <c r="WBI1" s="224"/>
      <c r="WBJ1" s="224"/>
      <c r="WBK1" s="224"/>
      <c r="WBL1" s="224"/>
      <c r="WBM1" s="224"/>
      <c r="WBN1" s="224"/>
      <c r="WBO1" s="224"/>
      <c r="WBP1" s="224"/>
      <c r="WBQ1" s="224"/>
      <c r="WBR1" s="224"/>
      <c r="WBS1" s="224"/>
      <c r="WBT1" s="224"/>
      <c r="WBU1" s="224"/>
      <c r="WBV1" s="224"/>
      <c r="WBW1" s="224"/>
      <c r="WBX1" s="224"/>
      <c r="WBY1" s="224"/>
      <c r="WBZ1" s="224"/>
      <c r="WCA1" s="224"/>
      <c r="WCB1" s="224"/>
      <c r="WCC1" s="224"/>
      <c r="WCD1" s="224"/>
      <c r="WCE1" s="224"/>
      <c r="WCF1" s="224"/>
      <c r="WCG1" s="224"/>
      <c r="WCH1" s="224"/>
      <c r="WCI1" s="224"/>
      <c r="WCJ1" s="224"/>
      <c r="WCK1" s="224"/>
      <c r="WCL1" s="224"/>
      <c r="WCM1" s="224"/>
      <c r="WCN1" s="224"/>
      <c r="WCO1" s="224"/>
      <c r="WCP1" s="224"/>
      <c r="WCQ1" s="224"/>
      <c r="WCR1" s="224"/>
      <c r="WCS1" s="224"/>
      <c r="WCT1" s="224"/>
      <c r="WCU1" s="224"/>
      <c r="WCV1" s="224"/>
      <c r="WCW1" s="224"/>
      <c r="WCX1" s="224"/>
      <c r="WCY1" s="224"/>
      <c r="WCZ1" s="224"/>
      <c r="WDA1" s="224"/>
      <c r="WDB1" s="224"/>
      <c r="WDC1" s="224"/>
      <c r="WDD1" s="224"/>
      <c r="WDE1" s="224"/>
      <c r="WDF1" s="224"/>
      <c r="WDG1" s="224"/>
      <c r="WDH1" s="224"/>
      <c r="WDI1" s="224"/>
      <c r="WDJ1" s="224"/>
      <c r="WDK1" s="224"/>
      <c r="WDL1" s="224"/>
      <c r="WDM1" s="224"/>
      <c r="WDN1" s="224"/>
      <c r="WDO1" s="224"/>
      <c r="WDP1" s="224"/>
      <c r="WDQ1" s="224"/>
      <c r="WDR1" s="224"/>
      <c r="WDS1" s="224"/>
      <c r="WDT1" s="224"/>
      <c r="WDU1" s="224"/>
      <c r="WDV1" s="224"/>
      <c r="WDW1" s="224"/>
      <c r="WDX1" s="224"/>
      <c r="WDY1" s="224"/>
      <c r="WDZ1" s="224"/>
      <c r="WEA1" s="224"/>
      <c r="WEB1" s="224"/>
      <c r="WEC1" s="224"/>
      <c r="WED1" s="224"/>
      <c r="WEE1" s="224"/>
      <c r="WEF1" s="224"/>
      <c r="WEG1" s="224"/>
      <c r="WEH1" s="224"/>
      <c r="WEI1" s="224"/>
      <c r="WEJ1" s="224"/>
      <c r="WEK1" s="224"/>
      <c r="WEL1" s="224"/>
      <c r="WEM1" s="224"/>
      <c r="WEN1" s="224"/>
      <c r="WEO1" s="224"/>
      <c r="WEP1" s="224"/>
      <c r="WEQ1" s="224"/>
      <c r="WER1" s="224"/>
      <c r="WES1" s="224"/>
      <c r="WET1" s="224"/>
      <c r="WEU1" s="224"/>
      <c r="WEV1" s="224"/>
      <c r="WEW1" s="224"/>
      <c r="WEX1" s="224"/>
      <c r="WEY1" s="224"/>
      <c r="WEZ1" s="224"/>
      <c r="WFA1" s="224"/>
      <c r="WFB1" s="224"/>
      <c r="WFC1" s="224"/>
      <c r="WFD1" s="224"/>
      <c r="WFE1" s="224"/>
      <c r="WFF1" s="224"/>
      <c r="WFG1" s="224"/>
      <c r="WFH1" s="224"/>
      <c r="WFI1" s="224"/>
      <c r="WFJ1" s="224"/>
      <c r="WFK1" s="224"/>
      <c r="WFL1" s="224"/>
      <c r="WFM1" s="224"/>
      <c r="WFN1" s="224"/>
      <c r="WFO1" s="224"/>
      <c r="WFP1" s="224"/>
      <c r="WFQ1" s="224"/>
      <c r="WFR1" s="224"/>
      <c r="WFS1" s="224"/>
      <c r="WFT1" s="224"/>
      <c r="WFU1" s="224"/>
      <c r="WFV1" s="224"/>
      <c r="WFW1" s="224"/>
      <c r="WFX1" s="224"/>
      <c r="WFY1" s="224"/>
      <c r="WFZ1" s="224"/>
      <c r="WGA1" s="224"/>
      <c r="WGB1" s="224"/>
      <c r="WGC1" s="224"/>
      <c r="WGD1" s="224"/>
      <c r="WGE1" s="224"/>
      <c r="WGF1" s="224"/>
      <c r="WGG1" s="224"/>
      <c r="WGH1" s="224"/>
      <c r="WGI1" s="224"/>
      <c r="WGJ1" s="224"/>
      <c r="WGK1" s="224"/>
      <c r="WGL1" s="224"/>
      <c r="WGM1" s="224"/>
      <c r="WGN1" s="224"/>
      <c r="WGO1" s="224"/>
      <c r="WGP1" s="224"/>
      <c r="WGQ1" s="224"/>
      <c r="WGR1" s="224"/>
      <c r="WGS1" s="224"/>
      <c r="WGT1" s="224"/>
      <c r="WGU1" s="224"/>
      <c r="WGV1" s="224"/>
      <c r="WGW1" s="224"/>
      <c r="WGX1" s="224"/>
      <c r="WGY1" s="224"/>
      <c r="WGZ1" s="224"/>
      <c r="WHA1" s="224"/>
      <c r="WHB1" s="224"/>
      <c r="WHC1" s="224"/>
      <c r="WHD1" s="224"/>
      <c r="WHE1" s="224"/>
      <c r="WHF1" s="224"/>
      <c r="WHG1" s="224"/>
      <c r="WHH1" s="224"/>
      <c r="WHI1" s="224"/>
      <c r="WHJ1" s="224"/>
      <c r="WHK1" s="224"/>
      <c r="WHL1" s="224"/>
      <c r="WHM1" s="224"/>
      <c r="WHN1" s="224"/>
      <c r="WHO1" s="224"/>
      <c r="WHP1" s="224"/>
      <c r="WHQ1" s="224"/>
      <c r="WHR1" s="224"/>
      <c r="WHS1" s="224"/>
      <c r="WHT1" s="224"/>
      <c r="WHU1" s="224"/>
      <c r="WHV1" s="224"/>
      <c r="WHW1" s="224"/>
      <c r="WHX1" s="224"/>
      <c r="WHY1" s="224"/>
      <c r="WHZ1" s="224"/>
      <c r="WIA1" s="224"/>
      <c r="WIB1" s="224"/>
      <c r="WIC1" s="224"/>
      <c r="WID1" s="224"/>
      <c r="WIE1" s="224"/>
      <c r="WIF1" s="224"/>
      <c r="WIG1" s="224"/>
      <c r="WIH1" s="224"/>
      <c r="WII1" s="224"/>
      <c r="WIJ1" s="224"/>
      <c r="WIK1" s="224"/>
      <c r="WIL1" s="224"/>
      <c r="WIM1" s="224"/>
      <c r="WIN1" s="224"/>
      <c r="WIO1" s="224"/>
      <c r="WIP1" s="224"/>
      <c r="WIQ1" s="224"/>
      <c r="WIR1" s="224"/>
      <c r="WIS1" s="224"/>
      <c r="WIT1" s="224"/>
      <c r="WIU1" s="224"/>
      <c r="WIV1" s="224"/>
      <c r="WIW1" s="224"/>
      <c r="WIX1" s="224"/>
      <c r="WIY1" s="224"/>
      <c r="WIZ1" s="224"/>
      <c r="WJA1" s="224"/>
      <c r="WJB1" s="224"/>
      <c r="WJC1" s="224"/>
      <c r="WJD1" s="224"/>
      <c r="WJE1" s="224"/>
      <c r="WJF1" s="224"/>
      <c r="WJG1" s="224"/>
      <c r="WJH1" s="224"/>
      <c r="WJI1" s="224"/>
      <c r="WJJ1" s="224"/>
      <c r="WJK1" s="224"/>
      <c r="WJL1" s="224"/>
      <c r="WJM1" s="224"/>
      <c r="WJN1" s="224"/>
      <c r="WJO1" s="224"/>
      <c r="WJP1" s="224"/>
      <c r="WJQ1" s="224"/>
      <c r="WJR1" s="224"/>
      <c r="WJS1" s="224"/>
      <c r="WJT1" s="224"/>
      <c r="WJU1" s="224"/>
      <c r="WJV1" s="224"/>
      <c r="WJW1" s="224"/>
      <c r="WJX1" s="224"/>
      <c r="WJY1" s="224"/>
      <c r="WJZ1" s="224"/>
      <c r="WKA1" s="224"/>
      <c r="WKB1" s="224"/>
      <c r="WKC1" s="224"/>
      <c r="WKD1" s="224"/>
      <c r="WKE1" s="224"/>
      <c r="WKF1" s="224"/>
      <c r="WKG1" s="224"/>
      <c r="WKH1" s="224"/>
      <c r="WKI1" s="224"/>
      <c r="WKJ1" s="224"/>
      <c r="WKK1" s="224"/>
      <c r="WKL1" s="224"/>
      <c r="WKM1" s="224"/>
      <c r="WKN1" s="224"/>
      <c r="WKO1" s="224"/>
      <c r="WKP1" s="224"/>
      <c r="WKQ1" s="224"/>
      <c r="WKR1" s="224"/>
      <c r="WKS1" s="224"/>
      <c r="WKT1" s="224"/>
      <c r="WKU1" s="224"/>
      <c r="WKV1" s="224"/>
      <c r="WKW1" s="224"/>
      <c r="WKX1" s="224"/>
      <c r="WKY1" s="224"/>
      <c r="WKZ1" s="224"/>
      <c r="WLA1" s="224"/>
      <c r="WLB1" s="224"/>
      <c r="WLC1" s="224"/>
      <c r="WLD1" s="224"/>
      <c r="WLE1" s="224"/>
      <c r="WLF1" s="224"/>
      <c r="WLG1" s="224"/>
      <c r="WLH1" s="224"/>
      <c r="WLI1" s="224"/>
      <c r="WLJ1" s="224"/>
      <c r="WLK1" s="224"/>
      <c r="WLL1" s="224"/>
      <c r="WLM1" s="224"/>
      <c r="WLN1" s="224"/>
      <c r="WLO1" s="224"/>
      <c r="WLP1" s="224"/>
      <c r="WLQ1" s="224"/>
      <c r="WLR1" s="224"/>
      <c r="WLS1" s="224"/>
      <c r="WLT1" s="224"/>
      <c r="WLU1" s="224"/>
      <c r="WLV1" s="224"/>
      <c r="WLW1" s="224"/>
      <c r="WLX1" s="224"/>
      <c r="WLY1" s="224"/>
      <c r="WLZ1" s="224"/>
      <c r="WMA1" s="224"/>
      <c r="WMB1" s="224"/>
      <c r="WMC1" s="224"/>
      <c r="WMD1" s="224"/>
      <c r="WME1" s="224"/>
      <c r="WMF1" s="224"/>
      <c r="WMG1" s="224"/>
      <c r="WMH1" s="224"/>
      <c r="WMI1" s="224"/>
      <c r="WMJ1" s="224"/>
      <c r="WMK1" s="224"/>
      <c r="WML1" s="224"/>
      <c r="WMM1" s="224"/>
      <c r="WMN1" s="224"/>
      <c r="WMO1" s="224"/>
      <c r="WMP1" s="224"/>
      <c r="WMQ1" s="224"/>
      <c r="WMR1" s="224"/>
      <c r="WMS1" s="224"/>
      <c r="WMT1" s="224"/>
      <c r="WMU1" s="224"/>
      <c r="WMV1" s="224"/>
      <c r="WMW1" s="224"/>
      <c r="WMX1" s="224"/>
      <c r="WMY1" s="224"/>
      <c r="WMZ1" s="224"/>
      <c r="WNA1" s="224"/>
      <c r="WNB1" s="224"/>
      <c r="WNC1" s="224"/>
      <c r="WND1" s="224"/>
      <c r="WNE1" s="224"/>
      <c r="WNF1" s="224"/>
      <c r="WNG1" s="224"/>
      <c r="WNH1" s="224"/>
      <c r="WNI1" s="224"/>
      <c r="WNJ1" s="224"/>
      <c r="WNK1" s="224"/>
      <c r="WNL1" s="224"/>
      <c r="WNM1" s="224"/>
      <c r="WNN1" s="224"/>
      <c r="WNO1" s="224"/>
      <c r="WNP1" s="224"/>
      <c r="WNQ1" s="224"/>
      <c r="WNR1" s="224"/>
      <c r="WNS1" s="224"/>
      <c r="WNT1" s="224"/>
      <c r="WNU1" s="224"/>
      <c r="WNV1" s="224"/>
      <c r="WNW1" s="224"/>
      <c r="WNX1" s="224"/>
      <c r="WNY1" s="224"/>
      <c r="WNZ1" s="224"/>
      <c r="WOA1" s="224"/>
      <c r="WOB1" s="224"/>
      <c r="WOC1" s="224"/>
      <c r="WOD1" s="224"/>
      <c r="WOE1" s="224"/>
      <c r="WOF1" s="224"/>
      <c r="WOG1" s="224"/>
      <c r="WOH1" s="224"/>
      <c r="WOI1" s="224"/>
      <c r="WOJ1" s="224"/>
      <c r="WOK1" s="224"/>
      <c r="WOL1" s="224"/>
      <c r="WOM1" s="224"/>
      <c r="WON1" s="224"/>
      <c r="WOO1" s="224"/>
      <c r="WOP1" s="224"/>
      <c r="WOQ1" s="224"/>
      <c r="WOR1" s="224"/>
      <c r="WOS1" s="224"/>
      <c r="WOT1" s="224"/>
      <c r="WOU1" s="224"/>
      <c r="WOV1" s="224"/>
      <c r="WOW1" s="224"/>
      <c r="WOX1" s="224"/>
      <c r="WOY1" s="224"/>
      <c r="WOZ1" s="224"/>
      <c r="WPA1" s="224"/>
      <c r="WPB1" s="224"/>
      <c r="WPC1" s="224"/>
      <c r="WPD1" s="224"/>
      <c r="WPE1" s="224"/>
      <c r="WPF1" s="224"/>
      <c r="WPG1" s="224"/>
      <c r="WPH1" s="224"/>
      <c r="WPI1" s="224"/>
      <c r="WPJ1" s="224"/>
      <c r="WPK1" s="224"/>
      <c r="WPL1" s="224"/>
      <c r="WPM1" s="224"/>
      <c r="WPN1" s="224"/>
      <c r="WPO1" s="224"/>
      <c r="WPP1" s="224"/>
      <c r="WPQ1" s="224"/>
      <c r="WPR1" s="224"/>
      <c r="WPS1" s="224"/>
      <c r="WPT1" s="224"/>
      <c r="WPU1" s="224"/>
      <c r="WPV1" s="224"/>
      <c r="WPW1" s="224"/>
      <c r="WPX1" s="224"/>
      <c r="WPY1" s="224"/>
      <c r="WPZ1" s="224"/>
      <c r="WQA1" s="224"/>
      <c r="WQB1" s="224"/>
      <c r="WQC1" s="224"/>
      <c r="WQD1" s="224"/>
      <c r="WQE1" s="224"/>
      <c r="WQF1" s="224"/>
      <c r="WQG1" s="224"/>
      <c r="WQH1" s="224"/>
      <c r="WQI1" s="224"/>
      <c r="WQJ1" s="224"/>
      <c r="WQK1" s="224"/>
      <c r="WQL1" s="224"/>
      <c r="WQM1" s="224"/>
      <c r="WQN1" s="224"/>
      <c r="WQO1" s="224"/>
      <c r="WQP1" s="224"/>
      <c r="WQQ1" s="224"/>
      <c r="WQR1" s="224"/>
      <c r="WQS1" s="224"/>
      <c r="WQT1" s="224"/>
      <c r="WQU1" s="224"/>
      <c r="WQV1" s="224"/>
      <c r="WQW1" s="224"/>
      <c r="WQX1" s="224"/>
      <c r="WQY1" s="224"/>
      <c r="WQZ1" s="224"/>
      <c r="WRA1" s="224"/>
      <c r="WRB1" s="224"/>
      <c r="WRC1" s="224"/>
      <c r="WRD1" s="224"/>
      <c r="WRE1" s="224"/>
      <c r="WRF1" s="224"/>
      <c r="WRG1" s="224"/>
      <c r="WRH1" s="224"/>
      <c r="WRI1" s="224"/>
      <c r="WRJ1" s="224"/>
      <c r="WRK1" s="224"/>
      <c r="WRL1" s="224"/>
      <c r="WRM1" s="224"/>
      <c r="WRN1" s="224"/>
      <c r="WRO1" s="224"/>
      <c r="WRP1" s="224"/>
      <c r="WRQ1" s="224"/>
      <c r="WRR1" s="224"/>
      <c r="WRS1" s="224"/>
      <c r="WRT1" s="224"/>
      <c r="WRU1" s="224"/>
      <c r="WRV1" s="224"/>
      <c r="WRW1" s="224"/>
      <c r="WRX1" s="224"/>
      <c r="WRY1" s="224"/>
      <c r="WRZ1" s="224"/>
      <c r="WSA1" s="224"/>
      <c r="WSB1" s="224"/>
      <c r="WSC1" s="224"/>
      <c r="WSD1" s="224"/>
      <c r="WSE1" s="224"/>
      <c r="WSF1" s="224"/>
      <c r="WSG1" s="224"/>
      <c r="WSH1" s="224"/>
      <c r="WSI1" s="224"/>
      <c r="WSJ1" s="224"/>
      <c r="WSK1" s="224"/>
      <c r="WSL1" s="224"/>
      <c r="WSM1" s="224"/>
      <c r="WSN1" s="224"/>
      <c r="WSO1" s="224"/>
      <c r="WSP1" s="224"/>
      <c r="WSQ1" s="224"/>
      <c r="WSR1" s="224"/>
      <c r="WSS1" s="224"/>
      <c r="WST1" s="224"/>
      <c r="WSU1" s="224"/>
      <c r="WSV1" s="224"/>
      <c r="WSW1" s="224"/>
      <c r="WSX1" s="224"/>
      <c r="WSY1" s="224"/>
      <c r="WSZ1" s="224"/>
      <c r="WTA1" s="224"/>
      <c r="WTB1" s="224"/>
      <c r="WTC1" s="224"/>
      <c r="WTD1" s="224"/>
      <c r="WTE1" s="224"/>
      <c r="WTF1" s="224"/>
      <c r="WTG1" s="224"/>
      <c r="WTH1" s="224"/>
      <c r="WTI1" s="224"/>
      <c r="WTJ1" s="224"/>
      <c r="WTK1" s="224"/>
      <c r="WTL1" s="224"/>
      <c r="WTM1" s="224"/>
      <c r="WTN1" s="224"/>
      <c r="WTO1" s="224"/>
      <c r="WTP1" s="224"/>
      <c r="WTQ1" s="224"/>
      <c r="WTR1" s="224"/>
      <c r="WTS1" s="224"/>
      <c r="WTT1" s="224"/>
      <c r="WTU1" s="224"/>
      <c r="WTV1" s="224"/>
      <c r="WTW1" s="224"/>
      <c r="WTX1" s="224"/>
      <c r="WTY1" s="224"/>
      <c r="WTZ1" s="224"/>
      <c r="WUA1" s="224"/>
      <c r="WUB1" s="224"/>
      <c r="WUC1" s="224"/>
      <c r="WUD1" s="224"/>
      <c r="WUE1" s="224"/>
      <c r="WUF1" s="224"/>
      <c r="WUG1" s="224"/>
      <c r="WUH1" s="224"/>
      <c r="WUI1" s="224"/>
      <c r="WUJ1" s="224"/>
      <c r="WUK1" s="224"/>
      <c r="WUL1" s="224"/>
      <c r="WUM1" s="224"/>
      <c r="WUN1" s="224"/>
      <c r="WUO1" s="224"/>
      <c r="WUP1" s="224"/>
      <c r="WUQ1" s="224"/>
      <c r="WUR1" s="224"/>
      <c r="WUS1" s="224"/>
      <c r="WUT1" s="224"/>
      <c r="WUU1" s="224"/>
      <c r="WUV1" s="224"/>
      <c r="WUW1" s="224"/>
      <c r="WUX1" s="224"/>
      <c r="WUY1" s="224"/>
      <c r="WUZ1" s="224"/>
      <c r="WVA1" s="224"/>
      <c r="WVB1" s="224"/>
      <c r="WVC1" s="224"/>
      <c r="WVD1" s="224"/>
      <c r="WVE1" s="224"/>
      <c r="WVF1" s="224"/>
      <c r="WVG1" s="224"/>
      <c r="WVH1" s="224"/>
      <c r="WVI1" s="224"/>
      <c r="WVJ1" s="224"/>
      <c r="WVK1" s="224"/>
      <c r="WVL1" s="224"/>
      <c r="WVM1" s="224"/>
      <c r="WVN1" s="224"/>
      <c r="WVO1" s="224"/>
      <c r="WVP1" s="224"/>
      <c r="WVQ1" s="224"/>
      <c r="WVR1" s="224"/>
      <c r="WVS1" s="224"/>
      <c r="WVT1" s="224"/>
      <c r="WVU1" s="224"/>
      <c r="WVV1" s="224"/>
      <c r="WVW1" s="224"/>
      <c r="WVX1" s="224"/>
      <c r="WVY1" s="224"/>
      <c r="WVZ1" s="224"/>
      <c r="WWA1" s="224"/>
      <c r="WWB1" s="224"/>
      <c r="WWC1" s="224"/>
      <c r="WWD1" s="224"/>
      <c r="WWE1" s="224"/>
      <c r="WWF1" s="224"/>
      <c r="WWG1" s="224"/>
      <c r="WWH1" s="224"/>
      <c r="WWI1" s="224"/>
      <c r="WWJ1" s="224"/>
      <c r="WWK1" s="224"/>
      <c r="WWL1" s="224"/>
      <c r="WWM1" s="224"/>
      <c r="WWN1" s="224"/>
      <c r="WWO1" s="224"/>
      <c r="WWP1" s="224"/>
      <c r="WWQ1" s="224"/>
      <c r="WWR1" s="224"/>
      <c r="WWS1" s="224"/>
      <c r="WWT1" s="224"/>
      <c r="WWU1" s="224"/>
      <c r="WWV1" s="224"/>
      <c r="WWW1" s="224"/>
      <c r="WWX1" s="224"/>
      <c r="WWY1" s="224"/>
      <c r="WWZ1" s="224"/>
      <c r="WXA1" s="224"/>
      <c r="WXB1" s="224"/>
      <c r="WXC1" s="224"/>
      <c r="WXD1" s="224"/>
      <c r="WXE1" s="224"/>
      <c r="WXF1" s="224"/>
      <c r="WXG1" s="224"/>
      <c r="WXH1" s="224"/>
      <c r="WXI1" s="224"/>
      <c r="WXJ1" s="224"/>
      <c r="WXK1" s="224"/>
      <c r="WXL1" s="224"/>
      <c r="WXM1" s="224"/>
      <c r="WXN1" s="224"/>
      <c r="WXO1" s="224"/>
      <c r="WXP1" s="224"/>
      <c r="WXQ1" s="224"/>
      <c r="WXR1" s="224"/>
      <c r="WXS1" s="224"/>
      <c r="WXT1" s="224"/>
      <c r="WXU1" s="224"/>
      <c r="WXV1" s="224"/>
      <c r="WXW1" s="224"/>
      <c r="WXX1" s="224"/>
      <c r="WXY1" s="224"/>
      <c r="WXZ1" s="224"/>
      <c r="WYA1" s="224"/>
      <c r="WYB1" s="224"/>
      <c r="WYC1" s="224"/>
      <c r="WYD1" s="224"/>
      <c r="WYE1" s="224"/>
      <c r="WYF1" s="224"/>
      <c r="WYG1" s="224"/>
      <c r="WYH1" s="224"/>
      <c r="WYI1" s="224"/>
      <c r="WYJ1" s="224"/>
      <c r="WYK1" s="224"/>
      <c r="WYL1" s="224"/>
      <c r="WYM1" s="224"/>
      <c r="WYN1" s="224"/>
      <c r="WYO1" s="224"/>
      <c r="WYP1" s="224"/>
      <c r="WYQ1" s="224"/>
      <c r="WYR1" s="224"/>
      <c r="WYS1" s="224"/>
      <c r="WYT1" s="224"/>
      <c r="WYU1" s="224"/>
      <c r="WYV1" s="224"/>
      <c r="WYW1" s="224"/>
      <c r="WYX1" s="224"/>
      <c r="WYY1" s="224"/>
      <c r="WYZ1" s="224"/>
      <c r="WZA1" s="224"/>
      <c r="WZB1" s="224"/>
      <c r="WZC1" s="224"/>
      <c r="WZD1" s="224"/>
      <c r="WZE1" s="224"/>
      <c r="WZF1" s="224"/>
      <c r="WZG1" s="224"/>
      <c r="WZH1" s="224"/>
      <c r="WZI1" s="224"/>
      <c r="WZJ1" s="224"/>
      <c r="WZK1" s="224"/>
      <c r="WZL1" s="224"/>
      <c r="WZM1" s="224"/>
      <c r="WZN1" s="224"/>
      <c r="WZO1" s="224"/>
      <c r="WZP1" s="224"/>
      <c r="WZQ1" s="224"/>
      <c r="WZR1" s="224"/>
      <c r="WZS1" s="224"/>
      <c r="WZT1" s="224"/>
      <c r="WZU1" s="224"/>
      <c r="WZV1" s="224"/>
      <c r="WZW1" s="224"/>
      <c r="WZX1" s="224"/>
      <c r="WZY1" s="224"/>
      <c r="WZZ1" s="224"/>
      <c r="XAA1" s="224"/>
      <c r="XAB1" s="224"/>
      <c r="XAC1" s="224"/>
      <c r="XAD1" s="224"/>
      <c r="XAE1" s="224"/>
      <c r="XAF1" s="224"/>
      <c r="XAG1" s="224"/>
      <c r="XAH1" s="224"/>
      <c r="XAI1" s="224"/>
      <c r="XAJ1" s="224"/>
      <c r="XAK1" s="224"/>
      <c r="XAL1" s="224"/>
      <c r="XAM1" s="224"/>
      <c r="XAN1" s="224"/>
      <c r="XAO1" s="224"/>
      <c r="XAP1" s="224"/>
      <c r="XAQ1" s="224"/>
      <c r="XAR1" s="224"/>
      <c r="XAS1" s="224"/>
      <c r="XAT1" s="224"/>
      <c r="XAU1" s="224"/>
      <c r="XAV1" s="224"/>
      <c r="XAW1" s="224"/>
      <c r="XAX1" s="224"/>
      <c r="XAY1" s="224"/>
      <c r="XAZ1" s="224"/>
      <c r="XBA1" s="224"/>
      <c r="XBB1" s="224"/>
      <c r="XBC1" s="224"/>
      <c r="XBD1" s="224"/>
      <c r="XBE1" s="224"/>
      <c r="XBF1" s="224"/>
      <c r="XBG1" s="224"/>
      <c r="XBH1" s="224"/>
      <c r="XBI1" s="224"/>
      <c r="XBJ1" s="224"/>
      <c r="XBK1" s="224"/>
      <c r="XBL1" s="224"/>
      <c r="XBM1" s="224"/>
      <c r="XBN1" s="224"/>
      <c r="XBO1" s="224"/>
      <c r="XBP1" s="224"/>
      <c r="XBQ1" s="224"/>
      <c r="XBR1" s="224"/>
      <c r="XBS1" s="224"/>
      <c r="XBT1" s="224"/>
      <c r="XBU1" s="224"/>
      <c r="XBV1" s="224"/>
      <c r="XBW1" s="224"/>
      <c r="XBX1" s="224"/>
      <c r="XBY1" s="224"/>
      <c r="XBZ1" s="224"/>
      <c r="XCA1" s="224"/>
      <c r="XCB1" s="224"/>
      <c r="XCC1" s="224"/>
      <c r="XCD1" s="224"/>
      <c r="XCE1" s="224"/>
      <c r="XCF1" s="224"/>
      <c r="XCG1" s="224"/>
      <c r="XCH1" s="224"/>
      <c r="XCI1" s="224"/>
      <c r="XCJ1" s="224"/>
      <c r="XCK1" s="224"/>
      <c r="XCL1" s="224"/>
      <c r="XCM1" s="224"/>
      <c r="XCN1" s="224"/>
      <c r="XCO1" s="224"/>
      <c r="XCP1" s="224"/>
      <c r="XCQ1" s="224"/>
      <c r="XCR1" s="224"/>
      <c r="XCS1" s="224"/>
      <c r="XCT1" s="224"/>
      <c r="XCU1" s="224"/>
      <c r="XCV1" s="224"/>
      <c r="XCW1" s="224"/>
      <c r="XCX1" s="224"/>
      <c r="XCY1" s="224"/>
      <c r="XCZ1" s="224"/>
      <c r="XDA1" s="224"/>
      <c r="XDB1" s="224"/>
      <c r="XDC1" s="224"/>
      <c r="XDD1" s="224"/>
      <c r="XDE1" s="224"/>
      <c r="XDF1" s="224"/>
      <c r="XDG1" s="224"/>
      <c r="XDH1" s="224"/>
      <c r="XDI1" s="224"/>
      <c r="XDJ1" s="224"/>
      <c r="XDK1" s="224"/>
      <c r="XDL1" s="224"/>
      <c r="XDM1" s="224"/>
      <c r="XDN1" s="224"/>
      <c r="XDO1" s="224"/>
      <c r="XDP1" s="224"/>
      <c r="XDQ1" s="224"/>
      <c r="XDR1" s="224"/>
      <c r="XDS1" s="224"/>
      <c r="XDT1" s="224"/>
      <c r="XDU1" s="224"/>
      <c r="XDV1" s="224"/>
      <c r="XDW1" s="224"/>
      <c r="XDX1" s="224"/>
      <c r="XDY1" s="224"/>
      <c r="XDZ1" s="224"/>
      <c r="XEA1" s="224"/>
      <c r="XEB1" s="224"/>
      <c r="XEC1" s="224"/>
      <c r="XED1" s="224"/>
      <c r="XEE1" s="224"/>
      <c r="XEF1" s="224"/>
      <c r="XEG1" s="224"/>
      <c r="XEH1" s="224"/>
      <c r="XEI1" s="224"/>
      <c r="XEJ1" s="224"/>
      <c r="XEK1" s="224"/>
      <c r="XEL1" s="224"/>
      <c r="XEM1" s="224"/>
      <c r="XEN1" s="224"/>
      <c r="XEO1" s="224"/>
      <c r="XEP1" s="224"/>
      <c r="XEQ1" s="224"/>
      <c r="XER1" s="224"/>
    </row>
    <row r="2" spans="1:16372" s="299" customFormat="1" ht="99.95" customHeight="1" x14ac:dyDescent="0.2">
      <c r="O2" s="463"/>
      <c r="P2" s="463"/>
      <c r="Z2" s="564"/>
      <c r="AA2" s="564"/>
      <c r="AB2" s="564"/>
      <c r="AC2" s="564"/>
      <c r="AD2" s="564"/>
      <c r="AE2" s="564"/>
      <c r="AF2" s="564"/>
      <c r="AG2" s="564"/>
      <c r="AH2" s="564"/>
      <c r="AI2" s="564"/>
      <c r="AJ2" s="564"/>
      <c r="AK2" s="564"/>
      <c r="AL2" s="564"/>
      <c r="AM2" s="564"/>
      <c r="AN2" s="564"/>
      <c r="AO2" s="564"/>
      <c r="AP2" s="564"/>
      <c r="AQ2" s="564"/>
      <c r="AR2" s="564"/>
      <c r="AS2" s="564"/>
      <c r="AT2" s="564"/>
      <c r="AU2" s="564"/>
      <c r="AV2" s="564"/>
      <c r="AW2" s="564"/>
      <c r="AX2" s="564"/>
      <c r="AY2" s="564"/>
      <c r="AZ2" s="564"/>
      <c r="BA2" s="564"/>
      <c r="BB2" s="564"/>
      <c r="BC2" s="564"/>
      <c r="BD2" s="564"/>
      <c r="BE2" s="564"/>
      <c r="BF2" s="564"/>
      <c r="BG2" s="564"/>
      <c r="BH2" s="564"/>
      <c r="BI2" s="564"/>
      <c r="BJ2" s="564"/>
      <c r="BK2" s="564"/>
      <c r="BL2" s="564"/>
      <c r="BM2" s="564"/>
      <c r="BN2" s="564"/>
      <c r="BO2" s="564"/>
      <c r="BP2" s="564"/>
      <c r="BQ2" s="564"/>
      <c r="BR2" s="564"/>
      <c r="BS2" s="564"/>
      <c r="BT2" s="564"/>
      <c r="BU2" s="564"/>
      <c r="BV2" s="564"/>
      <c r="BW2" s="564"/>
      <c r="BX2" s="564"/>
      <c r="BY2" s="564"/>
      <c r="BZ2" s="564"/>
      <c r="CA2" s="564"/>
      <c r="CB2" s="564"/>
      <c r="CC2" s="564"/>
      <c r="CD2" s="564"/>
      <c r="CE2" s="564"/>
      <c r="CF2" s="564"/>
      <c r="CG2" s="564"/>
      <c r="CH2" s="564"/>
      <c r="CI2" s="564"/>
      <c r="CJ2" s="564"/>
      <c r="CK2" s="564"/>
      <c r="CL2" s="564"/>
      <c r="CM2" s="564"/>
      <c r="CN2" s="564"/>
      <c r="CO2" s="564"/>
      <c r="CP2" s="564"/>
      <c r="CQ2" s="564"/>
      <c r="CR2" s="564"/>
      <c r="CS2" s="564"/>
      <c r="CT2" s="564"/>
      <c r="CU2" s="564"/>
      <c r="CV2" s="564"/>
      <c r="CW2" s="564"/>
      <c r="CX2" s="564"/>
      <c r="CY2" s="564"/>
      <c r="CZ2" s="564"/>
      <c r="DA2" s="564"/>
      <c r="DB2" s="564"/>
      <c r="DC2" s="564"/>
      <c r="DD2" s="564"/>
      <c r="DE2" s="564"/>
      <c r="DF2" s="564"/>
      <c r="DG2" s="564"/>
      <c r="DH2" s="564"/>
      <c r="DI2" s="564"/>
      <c r="DJ2" s="564"/>
      <c r="DK2" s="564"/>
      <c r="DL2" s="564"/>
      <c r="DM2" s="564"/>
      <c r="DN2" s="564"/>
      <c r="DO2" s="564"/>
      <c r="DP2" s="564"/>
      <c r="DQ2" s="564"/>
      <c r="DR2" s="564"/>
      <c r="DS2" s="564"/>
      <c r="DT2" s="564"/>
      <c r="DU2" s="564"/>
      <c r="DV2" s="564"/>
      <c r="DW2" s="564"/>
      <c r="DX2" s="564"/>
      <c r="DY2" s="564"/>
      <c r="DZ2" s="564"/>
      <c r="EA2" s="564"/>
      <c r="EB2" s="564"/>
      <c r="EC2" s="564"/>
      <c r="ED2" s="564"/>
      <c r="EE2" s="564"/>
      <c r="EF2" s="564"/>
      <c r="EG2" s="564"/>
      <c r="EH2" s="564"/>
      <c r="EI2" s="564"/>
      <c r="EJ2" s="564"/>
      <c r="EK2" s="564"/>
      <c r="EL2" s="564"/>
      <c r="EM2" s="564"/>
      <c r="EN2" s="564"/>
      <c r="EO2" s="564"/>
      <c r="EP2" s="564"/>
      <c r="EQ2" s="564"/>
      <c r="ER2" s="564"/>
      <c r="ES2" s="564"/>
      <c r="ET2" s="564"/>
      <c r="EU2" s="564"/>
      <c r="EV2" s="564"/>
      <c r="EW2" s="564"/>
      <c r="EX2" s="564"/>
      <c r="EY2" s="564"/>
      <c r="EZ2" s="564"/>
      <c r="FA2" s="564"/>
      <c r="FB2" s="564"/>
      <c r="FC2" s="564"/>
      <c r="FD2" s="564"/>
      <c r="FE2" s="564"/>
      <c r="FF2" s="564"/>
      <c r="FG2" s="564"/>
      <c r="FH2" s="564"/>
      <c r="FI2" s="564"/>
      <c r="FJ2" s="564"/>
      <c r="FK2" s="564"/>
      <c r="FL2" s="564"/>
      <c r="FM2" s="564"/>
      <c r="FN2" s="564"/>
      <c r="FO2" s="564"/>
      <c r="FP2" s="564"/>
      <c r="FQ2" s="564"/>
      <c r="FR2" s="564"/>
      <c r="FS2" s="564"/>
      <c r="FT2" s="564"/>
      <c r="FU2" s="564"/>
      <c r="FV2" s="564"/>
      <c r="FW2" s="564"/>
      <c r="FX2" s="564"/>
      <c r="FY2" s="564"/>
      <c r="FZ2" s="564"/>
      <c r="GA2" s="564"/>
      <c r="GB2" s="564"/>
      <c r="GC2" s="564"/>
      <c r="GD2" s="564"/>
      <c r="GE2" s="564"/>
      <c r="GF2" s="564"/>
      <c r="GG2" s="564"/>
      <c r="GH2" s="564"/>
      <c r="GI2" s="564"/>
      <c r="GJ2" s="564"/>
    </row>
    <row r="3" spans="1:16372" ht="19.5" x14ac:dyDescent="0.3">
      <c r="A3" s="27" t="str">
        <f ca="1">IF(OFFSET(AA3,0,Lang_Order*Lang__B2)="","",OFFSET(AA3,0,Lang_Order*Lang__B2))</f>
        <v>B2. Vaccines and Supplies | Bottom-up estimations based on defined target population</v>
      </c>
      <c r="B3" s="28"/>
      <c r="C3" s="27"/>
      <c r="D3" s="28"/>
      <c r="E3" s="27"/>
      <c r="F3" s="74"/>
      <c r="G3" s="74"/>
      <c r="H3" s="74"/>
      <c r="I3" s="74"/>
      <c r="J3" s="74"/>
      <c r="K3" s="74"/>
      <c r="L3" s="74"/>
      <c r="M3" s="74"/>
      <c r="N3" s="27"/>
      <c r="O3" s="27"/>
      <c r="P3" s="27"/>
      <c r="Q3" s="75"/>
      <c r="R3" s="75"/>
      <c r="S3" s="75"/>
      <c r="T3" s="75"/>
      <c r="U3" s="75"/>
      <c r="V3" s="75"/>
      <c r="W3" s="75"/>
      <c r="X3" s="75"/>
      <c r="AA3" s="564" t="s">
        <v>14251</v>
      </c>
      <c r="AY3" s="564" t="s">
        <v>9961</v>
      </c>
      <c r="BW3" s="564" t="s">
        <v>9962</v>
      </c>
      <c r="CU3" s="564" t="s">
        <v>9963</v>
      </c>
      <c r="DS3" s="564" t="s">
        <v>9964</v>
      </c>
      <c r="EQ3" s="564" t="s">
        <v>9965</v>
      </c>
      <c r="FO3" s="564" t="s">
        <v>9966</v>
      </c>
    </row>
    <row r="4" spans="1:16372" x14ac:dyDescent="0.2">
      <c r="A4" s="417" t="str">
        <f ca="1">IF(OFFSET(AA4,0,Lang_Order*Lang__B2)="","",OFFSET(AA4,0,Lang_Order*Lang__B2))</f>
        <v>Note: No user editable cells in this sheet - FYI only</v>
      </c>
      <c r="B4" s="366"/>
      <c r="C4" s="81"/>
      <c r="D4" s="366"/>
      <c r="E4" s="81"/>
      <c r="F4" s="418"/>
      <c r="G4" s="418"/>
      <c r="H4" s="418"/>
      <c r="I4" s="418"/>
      <c r="J4" s="418"/>
      <c r="K4" s="418"/>
      <c r="L4" s="418"/>
      <c r="M4" s="418"/>
      <c r="N4" s="81"/>
      <c r="O4" s="81"/>
      <c r="P4" s="81"/>
      <c r="Q4" s="419"/>
      <c r="R4" s="419"/>
      <c r="S4" s="419"/>
      <c r="T4" s="419"/>
      <c r="U4" s="419"/>
      <c r="V4" s="419"/>
      <c r="W4" s="419"/>
      <c r="X4" s="81"/>
      <c r="AA4" s="564" t="s">
        <v>4175</v>
      </c>
      <c r="AY4" s="564" t="s">
        <v>9967</v>
      </c>
      <c r="BW4" s="564" t="s">
        <v>9968</v>
      </c>
      <c r="CU4" s="564" t="s">
        <v>9969</v>
      </c>
      <c r="DS4" s="564" t="s">
        <v>9970</v>
      </c>
      <c r="EQ4" s="564" t="s">
        <v>9971</v>
      </c>
      <c r="FO4" s="564" t="s">
        <v>9972</v>
      </c>
    </row>
    <row r="5" spans="1:16372" ht="17.25" x14ac:dyDescent="0.3">
      <c r="A5" s="623" t="str">
        <f ca="1">IF(OFFSET(AA5,0,Lang_Order*Lang__B2)="","",OFFSET(AA5,0,Lang_Order*Lang__B2))</f>
        <v>B2.1</v>
      </c>
      <c r="B5" s="17"/>
      <c r="C5" s="17"/>
      <c r="D5" s="17"/>
      <c r="E5" s="17"/>
      <c r="F5" s="702" t="str">
        <f t="shared" ref="F5:L6" ca="1" si="0">IF(OFFSET(AF5,0,Lang_Order*Lang__B2)="","",OFFSET(AF5,0,Lang_Order*Lang__B2))</f>
        <v>Quantities (Units)</v>
      </c>
      <c r="G5" s="702" t="str">
        <f t="shared" ca="1" si="0"/>
        <v/>
      </c>
      <c r="H5" s="702" t="str">
        <f t="shared" ca="1" si="0"/>
        <v/>
      </c>
      <c r="I5" s="702" t="str">
        <f t="shared" ca="1" si="0"/>
        <v/>
      </c>
      <c r="J5" s="702" t="str">
        <f t="shared" ca="1" si="0"/>
        <v/>
      </c>
      <c r="K5" s="702" t="str">
        <f t="shared" ca="1" si="0"/>
        <v/>
      </c>
      <c r="L5" s="702" t="str">
        <f t="shared" ca="1" si="0"/>
        <v/>
      </c>
      <c r="M5" s="209"/>
      <c r="O5" s="483"/>
      <c r="Q5" s="703" t="str">
        <f t="shared" ref="Q5:W6" ca="1" si="1">IF(OFFSET(AO5,0,Lang_Order*Lang__B2)="","",OFFSET(AO5,0,Lang_Order*Lang__B2))</f>
        <v>Costs (USD)</v>
      </c>
      <c r="R5" s="703" t="str">
        <f t="shared" ca="1" si="1"/>
        <v/>
      </c>
      <c r="S5" s="703" t="str">
        <f t="shared" ca="1" si="1"/>
        <v/>
      </c>
      <c r="T5" s="703" t="str">
        <f t="shared" ca="1" si="1"/>
        <v/>
      </c>
      <c r="U5" s="703" t="str">
        <f t="shared" ca="1" si="1"/>
        <v/>
      </c>
      <c r="V5" s="703" t="str">
        <f t="shared" ca="1" si="1"/>
        <v/>
      </c>
      <c r="W5" s="703" t="str">
        <f t="shared" ca="1" si="1"/>
        <v/>
      </c>
      <c r="X5" s="410"/>
      <c r="AA5" s="564" t="s">
        <v>14447</v>
      </c>
      <c r="AF5" s="564" t="s">
        <v>1634</v>
      </c>
      <c r="AO5" s="564" t="s">
        <v>1630</v>
      </c>
      <c r="AY5" s="564" t="s">
        <v>14447</v>
      </c>
      <c r="BD5" s="564" t="s">
        <v>9973</v>
      </c>
      <c r="BM5" s="564" t="s">
        <v>9974</v>
      </c>
      <c r="BW5" s="564" t="s">
        <v>14447</v>
      </c>
      <c r="CB5" s="564" t="s">
        <v>9975</v>
      </c>
      <c r="CK5" s="564" t="s">
        <v>9976</v>
      </c>
      <c r="CU5" s="564" t="s">
        <v>14447</v>
      </c>
      <c r="CZ5" s="564" t="s">
        <v>9977</v>
      </c>
      <c r="DI5" s="564" t="s">
        <v>9978</v>
      </c>
      <c r="DS5" s="564" t="s">
        <v>14447</v>
      </c>
      <c r="DX5" s="564" t="s">
        <v>9979</v>
      </c>
      <c r="EG5" s="564" t="s">
        <v>9980</v>
      </c>
      <c r="EQ5" s="564" t="s">
        <v>14447</v>
      </c>
      <c r="EV5" s="564" t="s">
        <v>9981</v>
      </c>
      <c r="FE5" s="564" t="s">
        <v>9982</v>
      </c>
      <c r="FO5" s="564" t="s">
        <v>14447</v>
      </c>
      <c r="FT5" s="564" t="s">
        <v>9983</v>
      </c>
      <c r="GC5" s="564" t="s">
        <v>9984</v>
      </c>
    </row>
    <row r="6" spans="1:16372" ht="15" x14ac:dyDescent="0.25">
      <c r="A6" s="30"/>
      <c r="B6" s="55"/>
      <c r="C6" s="30"/>
      <c r="D6" s="55"/>
      <c r="E6" s="30"/>
      <c r="F6" s="30" t="str">
        <f t="shared" ca="1" si="0"/>
        <v>H1 2021</v>
      </c>
      <c r="G6" s="30" t="str">
        <f t="shared" ca="1" si="0"/>
        <v>H2 2021</v>
      </c>
      <c r="H6" s="30" t="str">
        <f t="shared" ca="1" si="0"/>
        <v>H1 2022</v>
      </c>
      <c r="I6" s="30" t="str">
        <f t="shared" ca="1" si="0"/>
        <v>H2 2022</v>
      </c>
      <c r="J6" s="30" t="str">
        <f t="shared" ca="1" si="0"/>
        <v>H1 2023</v>
      </c>
      <c r="K6" s="30" t="str">
        <f t="shared" ca="1" si="0"/>
        <v>H2 2023</v>
      </c>
      <c r="L6" s="41" t="str">
        <f t="shared" ca="1" si="0"/>
        <v>Total</v>
      </c>
      <c r="M6" s="41"/>
      <c r="Q6" s="76" t="str">
        <f t="shared" ca="1" si="1"/>
        <v>H1 2021</v>
      </c>
      <c r="R6" s="76" t="str">
        <f t="shared" ca="1" si="1"/>
        <v>H2 2021</v>
      </c>
      <c r="S6" s="76" t="str">
        <f t="shared" ca="1" si="1"/>
        <v>H1 2022</v>
      </c>
      <c r="T6" s="76" t="str">
        <f t="shared" ca="1" si="1"/>
        <v>H2 2022</v>
      </c>
      <c r="U6" s="76" t="str">
        <f t="shared" ca="1" si="1"/>
        <v>H1 2023</v>
      </c>
      <c r="V6" s="76" t="str">
        <f t="shared" ca="1" si="1"/>
        <v>H2 2023</v>
      </c>
      <c r="W6" s="41" t="str">
        <f t="shared" ca="1" si="1"/>
        <v>Total</v>
      </c>
      <c r="AF6" s="564" t="s">
        <v>1597</v>
      </c>
      <c r="AG6" s="564" t="s">
        <v>1598</v>
      </c>
      <c r="AH6" s="564" t="s">
        <v>1599</v>
      </c>
      <c r="AI6" s="564" t="s">
        <v>1600</v>
      </c>
      <c r="AJ6" s="564" t="s">
        <v>1602</v>
      </c>
      <c r="AK6" s="564" t="s">
        <v>1601</v>
      </c>
      <c r="AL6" s="564" t="s">
        <v>1605</v>
      </c>
      <c r="AO6" s="564" t="s">
        <v>1597</v>
      </c>
      <c r="AP6" s="564" t="s">
        <v>1598</v>
      </c>
      <c r="AQ6" s="564" t="s">
        <v>1599</v>
      </c>
      <c r="AR6" s="564" t="s">
        <v>1600</v>
      </c>
      <c r="AS6" s="564" t="s">
        <v>1602</v>
      </c>
      <c r="AT6" s="564" t="s">
        <v>1601</v>
      </c>
      <c r="AU6" s="564" t="s">
        <v>1605</v>
      </c>
      <c r="BD6" s="564" t="s">
        <v>4663</v>
      </c>
      <c r="BE6" s="564" t="s">
        <v>4664</v>
      </c>
      <c r="BF6" s="564" t="s">
        <v>4665</v>
      </c>
      <c r="BG6" s="564" t="s">
        <v>4666</v>
      </c>
      <c r="BH6" s="564" t="s">
        <v>4667</v>
      </c>
      <c r="BI6" s="564" t="s">
        <v>4668</v>
      </c>
      <c r="BJ6" s="564" t="s">
        <v>1605</v>
      </c>
      <c r="BM6" s="564" t="s">
        <v>4663</v>
      </c>
      <c r="BN6" s="564" t="s">
        <v>4664</v>
      </c>
      <c r="BO6" s="564" t="s">
        <v>4665</v>
      </c>
      <c r="BP6" s="564" t="s">
        <v>4666</v>
      </c>
      <c r="BQ6" s="564" t="s">
        <v>4667</v>
      </c>
      <c r="BR6" s="564" t="s">
        <v>4668</v>
      </c>
      <c r="BS6" s="564" t="s">
        <v>1605</v>
      </c>
      <c r="CB6" s="564" t="s">
        <v>4670</v>
      </c>
      <c r="CC6" s="564" t="s">
        <v>4671</v>
      </c>
      <c r="CD6" s="564" t="s">
        <v>4672</v>
      </c>
      <c r="CE6" s="564" t="s">
        <v>4673</v>
      </c>
      <c r="CF6" s="564" t="s">
        <v>4674</v>
      </c>
      <c r="CG6" s="564" t="s">
        <v>4675</v>
      </c>
      <c r="CH6" s="564" t="s">
        <v>4676</v>
      </c>
      <c r="CK6" s="564" t="s">
        <v>4670</v>
      </c>
      <c r="CL6" s="564" t="s">
        <v>4671</v>
      </c>
      <c r="CM6" s="564" t="s">
        <v>4672</v>
      </c>
      <c r="CN6" s="564" t="s">
        <v>4673</v>
      </c>
      <c r="CO6" s="564" t="s">
        <v>4674</v>
      </c>
      <c r="CP6" s="564" t="s">
        <v>4675</v>
      </c>
      <c r="CQ6" s="564" t="s">
        <v>4676</v>
      </c>
      <c r="CZ6" s="564" t="s">
        <v>1597</v>
      </c>
      <c r="DA6" s="564" t="s">
        <v>1598</v>
      </c>
      <c r="DB6" s="564" t="s">
        <v>1599</v>
      </c>
      <c r="DC6" s="564" t="s">
        <v>1600</v>
      </c>
      <c r="DD6" s="564" t="s">
        <v>1602</v>
      </c>
      <c r="DE6" s="564" t="s">
        <v>1601</v>
      </c>
      <c r="DF6" s="564" t="s">
        <v>1605</v>
      </c>
      <c r="DI6" s="564" t="s">
        <v>1597</v>
      </c>
      <c r="DJ6" s="564" t="s">
        <v>1598</v>
      </c>
      <c r="DK6" s="564" t="s">
        <v>1599</v>
      </c>
      <c r="DL6" s="564" t="s">
        <v>1600</v>
      </c>
      <c r="DM6" s="564" t="s">
        <v>1602</v>
      </c>
      <c r="DN6" s="564" t="s">
        <v>1601</v>
      </c>
      <c r="DO6" s="564" t="s">
        <v>1605</v>
      </c>
      <c r="DX6" s="564" t="s">
        <v>4663</v>
      </c>
      <c r="DY6" s="564" t="s">
        <v>4664</v>
      </c>
      <c r="DZ6" s="564" t="s">
        <v>4665</v>
      </c>
      <c r="EA6" s="564" t="s">
        <v>4666</v>
      </c>
      <c r="EB6" s="564" t="s">
        <v>4667</v>
      </c>
      <c r="EC6" s="564" t="s">
        <v>4668</v>
      </c>
      <c r="ED6" s="564" t="s">
        <v>1605</v>
      </c>
      <c r="EG6" s="564" t="s">
        <v>4663</v>
      </c>
      <c r="EH6" s="564" t="s">
        <v>4664</v>
      </c>
      <c r="EI6" s="564" t="s">
        <v>4665</v>
      </c>
      <c r="EJ6" s="564" t="s">
        <v>4666</v>
      </c>
      <c r="EK6" s="564" t="s">
        <v>4667</v>
      </c>
      <c r="EL6" s="564" t="s">
        <v>4668</v>
      </c>
      <c r="EM6" s="564" t="s">
        <v>1605</v>
      </c>
      <c r="EV6" s="564" t="s">
        <v>4680</v>
      </c>
      <c r="EW6" s="564" t="s">
        <v>4681</v>
      </c>
      <c r="EX6" s="564" t="s">
        <v>9985</v>
      </c>
      <c r="EY6" s="564" t="s">
        <v>4683</v>
      </c>
      <c r="EZ6" s="564" t="s">
        <v>4684</v>
      </c>
      <c r="FA6" s="564" t="s">
        <v>4685</v>
      </c>
      <c r="FB6" s="564" t="s">
        <v>4686</v>
      </c>
      <c r="FE6" s="564" t="s">
        <v>4680</v>
      </c>
      <c r="FF6" s="564" t="s">
        <v>4681</v>
      </c>
      <c r="FG6" s="564" t="s">
        <v>9985</v>
      </c>
      <c r="FH6" s="564" t="s">
        <v>4683</v>
      </c>
      <c r="FI6" s="564" t="s">
        <v>4684</v>
      </c>
      <c r="FJ6" s="564" t="s">
        <v>4685</v>
      </c>
      <c r="FK6" s="564" t="s">
        <v>4686</v>
      </c>
      <c r="FT6" s="564" t="s">
        <v>4688</v>
      </c>
      <c r="FU6" s="564" t="s">
        <v>4689</v>
      </c>
      <c r="FV6" s="564" t="s">
        <v>4690</v>
      </c>
      <c r="FW6" s="564" t="s">
        <v>4691</v>
      </c>
      <c r="FX6" s="564" t="s">
        <v>4692</v>
      </c>
      <c r="FY6" s="564" t="s">
        <v>4693</v>
      </c>
      <c r="FZ6" s="564" t="s">
        <v>6111</v>
      </c>
      <c r="GC6" s="564" t="s">
        <v>4688</v>
      </c>
      <c r="GD6" s="564" t="s">
        <v>4689</v>
      </c>
      <c r="GE6" s="564" t="s">
        <v>4690</v>
      </c>
      <c r="GF6" s="564" t="s">
        <v>4691</v>
      </c>
      <c r="GG6" s="564" t="s">
        <v>4692</v>
      </c>
      <c r="GH6" s="564" t="s">
        <v>4693</v>
      </c>
      <c r="GI6" s="564" t="s">
        <v>6111</v>
      </c>
    </row>
    <row r="7" spans="1:16372" ht="15" x14ac:dyDescent="0.25">
      <c r="B7" s="30" t="str">
        <f ca="1">IF(OFFSET(AB7,0,Lang_Order*Lang__B2)="","",OFFSET(AB7,0,Lang_Order*Lang__B2))</f>
        <v>Item</v>
      </c>
      <c r="C7" s="480" t="s">
        <v>1631</v>
      </c>
      <c r="D7" s="30"/>
      <c r="E7" s="30" t="str">
        <f ca="1">IF(OFFSET(AE7,0,Lang_Order*Lang__B2)="","",OFFSET(AE7,0,Lang_Order*Lang__B2))</f>
        <v>Notes</v>
      </c>
      <c r="F7" s="15"/>
      <c r="G7" s="15"/>
      <c r="H7" s="15"/>
      <c r="I7" s="15"/>
      <c r="J7" s="15"/>
      <c r="K7" s="15"/>
      <c r="L7" s="15"/>
      <c r="M7" s="194"/>
      <c r="O7" s="484" t="str">
        <f ca="1">IF(OFFSET(AO7,0,Lang_Order*Lang__B2)="","",OFFSET(AO7,0,Lang_Order*Lang__B2))</f>
        <v>Value of loaded supplies (excl. procurement agent fees)</v>
      </c>
      <c r="Q7" s="15"/>
      <c r="R7" s="15"/>
      <c r="S7" s="15"/>
      <c r="T7" s="15"/>
      <c r="U7" s="15"/>
      <c r="V7" s="15"/>
      <c r="W7" s="15"/>
      <c r="AB7" s="564" t="s">
        <v>1635</v>
      </c>
      <c r="AC7" s="564" t="s">
        <v>1631</v>
      </c>
      <c r="AE7" s="564" t="s">
        <v>16</v>
      </c>
      <c r="AO7" s="564" t="s">
        <v>4388</v>
      </c>
      <c r="AZ7" s="564" t="s">
        <v>8608</v>
      </c>
      <c r="BA7" s="564" t="s">
        <v>9991</v>
      </c>
      <c r="BC7" s="564" t="s">
        <v>16</v>
      </c>
      <c r="BM7" s="564" t="s">
        <v>9992</v>
      </c>
      <c r="BX7" s="564" t="s">
        <v>8614</v>
      </c>
      <c r="BY7" s="564" t="s">
        <v>9993</v>
      </c>
      <c r="CA7" s="564" t="s">
        <v>5757</v>
      </c>
      <c r="CK7" s="564" t="s">
        <v>9994</v>
      </c>
      <c r="CV7" s="564" t="s">
        <v>8620</v>
      </c>
      <c r="CW7" s="564" t="s">
        <v>9995</v>
      </c>
      <c r="CY7" s="564" t="s">
        <v>5453</v>
      </c>
      <c r="DI7" s="564" t="s">
        <v>9996</v>
      </c>
      <c r="DT7" s="564" t="s">
        <v>1635</v>
      </c>
      <c r="DU7" s="564" t="s">
        <v>9997</v>
      </c>
      <c r="DW7" s="564" t="s">
        <v>5453</v>
      </c>
      <c r="EG7" s="564" t="s">
        <v>9998</v>
      </c>
      <c r="ER7" s="564" t="s">
        <v>9999</v>
      </c>
      <c r="ES7" s="564" t="s">
        <v>10000</v>
      </c>
      <c r="EU7" s="564" t="s">
        <v>5454</v>
      </c>
      <c r="FE7" s="564" t="s">
        <v>10001</v>
      </c>
      <c r="FP7" s="564" t="s">
        <v>8637</v>
      </c>
      <c r="FQ7" s="564" t="s">
        <v>10002</v>
      </c>
      <c r="FS7" s="564" t="s">
        <v>5455</v>
      </c>
      <c r="GC7" s="564" t="s">
        <v>10003</v>
      </c>
    </row>
    <row r="8" spans="1:16372" ht="15" x14ac:dyDescent="0.25">
      <c r="A8" s="8" t="str">
        <f ca="1">IF(OFFSET(AA8,0,Lang_Order*Lang__B2)="","",OFFSET(AA8,0,Lang_Order*Lang__B2))</f>
        <v>B2.1.1 Delivery Modality 1</v>
      </c>
      <c r="B8" s="58">
        <f>DM1_Vaccine</f>
        <v>0</v>
      </c>
      <c r="C8" s="58">
        <f>'T1. Vaccines'!$F$39</f>
        <v>4</v>
      </c>
      <c r="D8" s="59" t="e">
        <f>VLOOKUP(DM1_Vaccine,'T1. Vaccines'!$C$8:$AD$37,C8,FALSE)</f>
        <v>#N/A</v>
      </c>
      <c r="E8" s="19" t="str">
        <f ca="1">IF(OFFSET(AE8,0,Lang_Order*Lang__B2)="","",OFFSET(AE8,0,Lang_Order*Lang__B2))</f>
        <v># Courses:</v>
      </c>
      <c r="F8" s="80" t="e">
        <f>'B1. Target Population'!D181</f>
        <v>#N/A</v>
      </c>
      <c r="G8" s="80" t="e">
        <f>'B1. Target Population'!E181</f>
        <v>#N/A</v>
      </c>
      <c r="H8" s="80" t="e">
        <f>'B1. Target Population'!F181</f>
        <v>#N/A</v>
      </c>
      <c r="I8" s="80" t="e">
        <f>'B1. Target Population'!G181</f>
        <v>#N/A</v>
      </c>
      <c r="J8" s="80" t="e">
        <f>'B1. Target Population'!H181</f>
        <v>#N/A</v>
      </c>
      <c r="K8" s="80" t="e">
        <f>'B1. Target Population'!I181</f>
        <v>#N/A</v>
      </c>
      <c r="L8" s="80" t="e">
        <f>'B1. Target Population'!J181</f>
        <v>#N/A</v>
      </c>
      <c r="M8" s="80"/>
      <c r="N8" s="65"/>
      <c r="O8" s="482" t="e">
        <f ca="1">SUM(O15:O23)</f>
        <v>#N/A</v>
      </c>
      <c r="P8" s="65"/>
      <c r="Q8" s="82" t="e">
        <f t="shared" ref="Q8:W8" si="2">SUM(Q10:Q27)</f>
        <v>#N/A</v>
      </c>
      <c r="R8" s="82" t="e">
        <f t="shared" si="2"/>
        <v>#N/A</v>
      </c>
      <c r="S8" s="82" t="e">
        <f t="shared" si="2"/>
        <v>#N/A</v>
      </c>
      <c r="T8" s="82" t="e">
        <f t="shared" si="2"/>
        <v>#N/A</v>
      </c>
      <c r="U8" s="82" t="e">
        <f t="shared" si="2"/>
        <v>#N/A</v>
      </c>
      <c r="V8" s="82" t="e">
        <f t="shared" si="2"/>
        <v>#N/A</v>
      </c>
      <c r="W8" s="82" t="e">
        <f t="shared" si="2"/>
        <v>#N/A</v>
      </c>
      <c r="X8" s="12" t="str">
        <f ca="1">IF(OFFSET(AV8,0,Lang_Order*Lang__B2)="","",OFFSET(AV8,0,Lang_Order*Lang__B2))</f>
        <v>No wastage #'s - as wastage added to vaccine-related to supplies already</v>
      </c>
      <c r="AA8" s="564" t="s">
        <v>2860</v>
      </c>
      <c r="AE8" s="564" t="s">
        <v>4266</v>
      </c>
      <c r="AV8" s="564" t="s">
        <v>4267</v>
      </c>
      <c r="AY8" s="564" t="s">
        <v>10004</v>
      </c>
      <c r="BC8" s="564" t="s">
        <v>10005</v>
      </c>
      <c r="BT8" s="564" t="s">
        <v>10006</v>
      </c>
      <c r="BW8" s="564" t="s">
        <v>10007</v>
      </c>
      <c r="CA8" s="564" t="s">
        <v>10008</v>
      </c>
      <c r="CR8" s="564" t="s">
        <v>10009</v>
      </c>
      <c r="CU8" s="564" t="s">
        <v>10010</v>
      </c>
      <c r="CY8" s="564" t="s">
        <v>10011</v>
      </c>
      <c r="DP8" s="564" t="s">
        <v>10012</v>
      </c>
      <c r="DS8" s="564" t="s">
        <v>10013</v>
      </c>
      <c r="DW8" s="564" t="s">
        <v>10014</v>
      </c>
      <c r="EN8" s="564" t="s">
        <v>10015</v>
      </c>
      <c r="EQ8" s="564" t="s">
        <v>10016</v>
      </c>
      <c r="EU8" s="564" t="s">
        <v>10017</v>
      </c>
      <c r="FL8" s="564" t="s">
        <v>10018</v>
      </c>
      <c r="FO8" s="564" t="s">
        <v>10019</v>
      </c>
      <c r="FS8" s="564" t="s">
        <v>10020</v>
      </c>
      <c r="GJ8" s="564" t="s">
        <v>10021</v>
      </c>
    </row>
    <row r="9" spans="1:16372" x14ac:dyDescent="0.2">
      <c r="D9" s="72" t="str">
        <f ca="1">IF(OFFSET(AD9,0,Lang_Order*Lang__B2)="","",OFFSET(AD9,0,Lang_Order*Lang__B2))</f>
        <v>Doses per course</v>
      </c>
      <c r="E9" s="299"/>
      <c r="F9" s="299"/>
      <c r="G9" s="299"/>
      <c r="H9" s="299"/>
      <c r="I9" s="299"/>
      <c r="J9" s="299"/>
      <c r="K9" s="299"/>
      <c r="L9" s="299"/>
      <c r="M9" s="299"/>
      <c r="AD9" s="564" t="s">
        <v>1607</v>
      </c>
      <c r="BB9" s="564" t="s">
        <v>5731</v>
      </c>
      <c r="BZ9" s="564" t="s">
        <v>7587</v>
      </c>
      <c r="CX9" s="564" t="s">
        <v>10022</v>
      </c>
      <c r="DV9" s="564" t="s">
        <v>5775</v>
      </c>
      <c r="ET9" s="564" t="s">
        <v>5788</v>
      </c>
      <c r="FR9" s="564" t="s">
        <v>10023</v>
      </c>
    </row>
    <row r="10" spans="1:16372" x14ac:dyDescent="0.2">
      <c r="B10" s="5" t="str">
        <f ca="1">IF(OFFSET(AB10,0,Lang_Order*Lang__B2)="","",OFFSET(AB10,0,Lang_Order*Lang__B2))</f>
        <v>Vaccine doses</v>
      </c>
      <c r="D10" s="15"/>
      <c r="E10" s="2" t="str">
        <f ca="1">IF(OFFSET(AE10,0,Lang_Order*Lang__B2)="","",OFFSET(AE10,0,Lang_Order*Lang__B2))</f>
        <v>Add wastage rate + doses per course</v>
      </c>
      <c r="F10" s="16" t="e">
        <f>'B1. Target Population'!D196*$D8</f>
        <v>#N/A</v>
      </c>
      <c r="G10" s="16" t="e">
        <f>'B1. Target Population'!E196*$D8</f>
        <v>#N/A</v>
      </c>
      <c r="H10" s="16" t="e">
        <f>'B1. Target Population'!F196*$D8</f>
        <v>#N/A</v>
      </c>
      <c r="I10" s="16" t="e">
        <f>'B1. Target Population'!G196*$D8</f>
        <v>#N/A</v>
      </c>
      <c r="J10" s="16" t="e">
        <f>'B1. Target Population'!H196*$D8</f>
        <v>#N/A</v>
      </c>
      <c r="K10" s="16" t="e">
        <f>'B1. Target Population'!I196*$D8</f>
        <v>#N/A</v>
      </c>
      <c r="L10" s="16" t="e">
        <f>'B1. Target Population'!J196*$D8</f>
        <v>#N/A</v>
      </c>
      <c r="O10" s="2"/>
      <c r="Q10" s="37" t="e">
        <f t="shared" ref="Q10:V10" si="3">DM1_Vaccine_USD*F10</f>
        <v>#N/A</v>
      </c>
      <c r="R10" s="37" t="e">
        <f t="shared" si="3"/>
        <v>#N/A</v>
      </c>
      <c r="S10" s="37" t="e">
        <f t="shared" si="3"/>
        <v>#N/A</v>
      </c>
      <c r="T10" s="37" t="e">
        <f t="shared" si="3"/>
        <v>#N/A</v>
      </c>
      <c r="U10" s="37" t="e">
        <f t="shared" si="3"/>
        <v>#N/A</v>
      </c>
      <c r="V10" s="37" t="e">
        <f t="shared" si="3"/>
        <v>#N/A</v>
      </c>
      <c r="W10" s="79" t="e">
        <f>SUM(Q10:V10)</f>
        <v>#N/A</v>
      </c>
      <c r="AB10" s="564" t="s">
        <v>4178</v>
      </c>
      <c r="AE10" s="564" t="s">
        <v>2811</v>
      </c>
      <c r="AZ10" s="564" t="s">
        <v>10024</v>
      </c>
      <c r="BC10" s="564" t="s">
        <v>10025</v>
      </c>
      <c r="BX10" s="564" t="s">
        <v>10026</v>
      </c>
      <c r="CA10" s="564" t="s">
        <v>10027</v>
      </c>
      <c r="CV10" s="564" t="s">
        <v>10028</v>
      </c>
      <c r="CY10" s="564" t="s">
        <v>10029</v>
      </c>
      <c r="DT10" s="564" t="s">
        <v>10030</v>
      </c>
      <c r="DW10" s="564" t="s">
        <v>10031</v>
      </c>
      <c r="ER10" s="564" t="s">
        <v>10032</v>
      </c>
      <c r="EU10" s="564" t="s">
        <v>10033</v>
      </c>
      <c r="FP10" s="564" t="s">
        <v>10034</v>
      </c>
      <c r="FS10" s="564" t="s">
        <v>10035</v>
      </c>
    </row>
    <row r="11" spans="1:16372" x14ac:dyDescent="0.2">
      <c r="D11" s="72">
        <v>1</v>
      </c>
      <c r="E11" s="2" t="str">
        <f ca="1">IF(OFFSET(AE11,0,Lang_Order*Lang__B2)="","",OFFSET(AE11,0,Lang_Order*Lang__B2))</f>
        <v>Without wastage</v>
      </c>
      <c r="F11" s="16" t="e">
        <f>$D$8*$D11*F$8</f>
        <v>#N/A</v>
      </c>
      <c r="G11" s="16" t="e">
        <f t="shared" ref="G11:K11" si="4">$D$8*$D11*G$8</f>
        <v>#N/A</v>
      </c>
      <c r="H11" s="16" t="e">
        <f t="shared" si="4"/>
        <v>#N/A</v>
      </c>
      <c r="I11" s="16" t="e">
        <f t="shared" si="4"/>
        <v>#N/A</v>
      </c>
      <c r="J11" s="16" t="e">
        <f t="shared" si="4"/>
        <v>#N/A</v>
      </c>
      <c r="K11" s="16" t="e">
        <f t="shared" si="4"/>
        <v>#N/A</v>
      </c>
      <c r="L11" s="16" t="e">
        <f t="shared" ref="L11" si="5">SUM(F11:K11)</f>
        <v>#N/A</v>
      </c>
      <c r="O11" s="2"/>
      <c r="AE11" s="564" t="s">
        <v>4617</v>
      </c>
      <c r="BC11" s="564" t="s">
        <v>13521</v>
      </c>
      <c r="CA11" s="564" t="s">
        <v>13522</v>
      </c>
      <c r="CY11" s="564" t="s">
        <v>13523</v>
      </c>
      <c r="DW11" s="564" t="s">
        <v>13524</v>
      </c>
      <c r="EU11" s="564" t="s">
        <v>13525</v>
      </c>
      <c r="FS11" s="564" t="s">
        <v>13526</v>
      </c>
    </row>
    <row r="12" spans="1:16372" x14ac:dyDescent="0.2">
      <c r="A12" s="165">
        <v>-1</v>
      </c>
      <c r="B12" s="5" t="str">
        <f ca="1">IF(OFFSET(AB12,0,Lang_Order*Lang__B2)="","",OFFSET(AB12,0,Lang_Order*Lang__B2))</f>
        <v>Expected # of investigable AEFIs</v>
      </c>
      <c r="C12" s="2">
        <f ca="1">OFFSET(_Offset_Index_VaccineSupplies_Index,0,A12)</f>
        <v>15</v>
      </c>
      <c r="D12" s="269" t="e">
        <f>VLOOKUP($B$8,'T1. Vaccines'!$C$8:$AD$37,$C12,FALSE)</f>
        <v>#N/A</v>
      </c>
      <c r="F12" s="16" t="e">
        <f>F11*$D12/100000</f>
        <v>#N/A</v>
      </c>
      <c r="G12" s="16" t="e">
        <f t="shared" ref="G12:L12" si="6">G11*$D12/100000</f>
        <v>#N/A</v>
      </c>
      <c r="H12" s="16" t="e">
        <f t="shared" si="6"/>
        <v>#N/A</v>
      </c>
      <c r="I12" s="16" t="e">
        <f t="shared" si="6"/>
        <v>#N/A</v>
      </c>
      <c r="J12" s="16" t="e">
        <f t="shared" si="6"/>
        <v>#N/A</v>
      </c>
      <c r="K12" s="16" t="e">
        <f t="shared" si="6"/>
        <v>#N/A</v>
      </c>
      <c r="L12" s="16" t="e">
        <f t="shared" si="6"/>
        <v>#N/A</v>
      </c>
      <c r="O12" s="2"/>
      <c r="AB12" s="564" t="s">
        <v>3984</v>
      </c>
      <c r="AZ12" s="564" t="s">
        <v>10036</v>
      </c>
      <c r="BX12" s="564" t="s">
        <v>10037</v>
      </c>
      <c r="CV12" s="564" t="s">
        <v>10038</v>
      </c>
      <c r="DT12" s="564" t="s">
        <v>10039</v>
      </c>
      <c r="ER12" s="564" t="s">
        <v>10040</v>
      </c>
      <c r="FP12" s="564" t="s">
        <v>10041</v>
      </c>
    </row>
    <row r="13" spans="1:16372" s="194" customFormat="1" x14ac:dyDescent="0.2">
      <c r="B13" s="5"/>
      <c r="C13" s="2"/>
      <c r="D13" s="269"/>
      <c r="F13" s="16"/>
      <c r="G13" s="16"/>
      <c r="H13" s="16"/>
      <c r="I13" s="16"/>
      <c r="J13" s="16"/>
      <c r="K13" s="16"/>
      <c r="L13" s="16"/>
      <c r="M13" s="16"/>
      <c r="O13" s="2"/>
      <c r="P13" s="463"/>
      <c r="Q13" s="37"/>
      <c r="R13" s="37"/>
      <c r="S13" s="37"/>
      <c r="T13" s="37"/>
      <c r="U13" s="37"/>
      <c r="V13" s="37"/>
      <c r="W13" s="37"/>
      <c r="Z13" s="564"/>
      <c r="AA13" s="564"/>
      <c r="AB13" s="564"/>
      <c r="AC13" s="564"/>
      <c r="AD13" s="564"/>
      <c r="AE13" s="564"/>
      <c r="AF13" s="564"/>
      <c r="AG13" s="564"/>
      <c r="AH13" s="564"/>
      <c r="AI13" s="564"/>
      <c r="AJ13" s="564"/>
      <c r="AK13" s="564"/>
      <c r="AL13" s="564"/>
      <c r="AM13" s="564"/>
      <c r="AN13" s="564"/>
      <c r="AO13" s="564"/>
      <c r="AP13" s="564"/>
      <c r="AQ13" s="564"/>
      <c r="AR13" s="564"/>
      <c r="AS13" s="564"/>
      <c r="AT13" s="564"/>
      <c r="AU13" s="564"/>
      <c r="AV13" s="564"/>
      <c r="AW13" s="564"/>
      <c r="AX13" s="564"/>
      <c r="AY13" s="564"/>
      <c r="AZ13" s="564"/>
      <c r="BA13" s="564"/>
      <c r="BB13" s="564"/>
      <c r="BC13" s="564"/>
      <c r="BD13" s="564"/>
      <c r="BE13" s="564"/>
      <c r="BF13" s="564"/>
      <c r="BG13" s="564"/>
      <c r="BH13" s="564"/>
      <c r="BI13" s="564"/>
      <c r="BJ13" s="564"/>
      <c r="BK13" s="564"/>
      <c r="BL13" s="564"/>
      <c r="BM13" s="564"/>
      <c r="BN13" s="564"/>
      <c r="BO13" s="564"/>
      <c r="BP13" s="564"/>
      <c r="BQ13" s="564"/>
      <c r="BR13" s="564"/>
      <c r="BS13" s="564"/>
      <c r="BT13" s="564"/>
      <c r="BU13" s="564"/>
      <c r="BV13" s="564"/>
      <c r="BW13" s="564"/>
      <c r="BX13" s="564"/>
      <c r="BY13" s="564"/>
      <c r="BZ13" s="564"/>
      <c r="CA13" s="564"/>
      <c r="CB13" s="564"/>
      <c r="CC13" s="564"/>
      <c r="CD13" s="564"/>
      <c r="CE13" s="564"/>
      <c r="CF13" s="564"/>
      <c r="CG13" s="564"/>
      <c r="CH13" s="564"/>
      <c r="CI13" s="564"/>
      <c r="CJ13" s="564"/>
      <c r="CK13" s="564"/>
      <c r="CL13" s="564"/>
      <c r="CM13" s="564"/>
      <c r="CN13" s="564"/>
      <c r="CO13" s="564"/>
      <c r="CP13" s="564"/>
      <c r="CQ13" s="564"/>
      <c r="CR13" s="564"/>
      <c r="CS13" s="564"/>
      <c r="CT13" s="564"/>
      <c r="CU13" s="564"/>
      <c r="CV13" s="564"/>
      <c r="CW13" s="564"/>
      <c r="CX13" s="564"/>
      <c r="CY13" s="564"/>
      <c r="CZ13" s="564"/>
      <c r="DA13" s="564"/>
      <c r="DB13" s="564"/>
      <c r="DC13" s="564"/>
      <c r="DD13" s="564"/>
      <c r="DE13" s="564"/>
      <c r="DF13" s="564"/>
      <c r="DG13" s="564"/>
      <c r="DH13" s="564"/>
      <c r="DI13" s="564"/>
      <c r="DJ13" s="564"/>
      <c r="DK13" s="564"/>
      <c r="DL13" s="564"/>
      <c r="DM13" s="564"/>
      <c r="DN13" s="564"/>
      <c r="DO13" s="564"/>
      <c r="DP13" s="564"/>
      <c r="DQ13" s="564"/>
      <c r="DR13" s="564"/>
      <c r="DS13" s="564"/>
      <c r="DT13" s="564"/>
      <c r="DU13" s="564"/>
      <c r="DV13" s="564"/>
      <c r="DW13" s="564"/>
      <c r="DX13" s="564"/>
      <c r="DY13" s="564"/>
      <c r="DZ13" s="564"/>
      <c r="EA13" s="564"/>
      <c r="EB13" s="564"/>
      <c r="EC13" s="564"/>
      <c r="ED13" s="564"/>
      <c r="EE13" s="564"/>
      <c r="EF13" s="564"/>
      <c r="EG13" s="564"/>
      <c r="EH13" s="564"/>
      <c r="EI13" s="564"/>
      <c r="EJ13" s="564"/>
      <c r="EK13" s="564"/>
      <c r="EL13" s="564"/>
      <c r="EM13" s="564"/>
      <c r="EN13" s="564"/>
      <c r="EO13" s="564"/>
      <c r="EP13" s="564"/>
      <c r="EQ13" s="564"/>
      <c r="ER13" s="564"/>
      <c r="ES13" s="564"/>
      <c r="ET13" s="564"/>
      <c r="EU13" s="564"/>
      <c r="EV13" s="564"/>
      <c r="EW13" s="564"/>
      <c r="EX13" s="564"/>
      <c r="EY13" s="564"/>
      <c r="EZ13" s="564"/>
      <c r="FA13" s="564"/>
      <c r="FB13" s="564"/>
      <c r="FC13" s="564"/>
      <c r="FD13" s="564"/>
      <c r="FE13" s="564"/>
      <c r="FF13" s="564"/>
      <c r="FG13" s="564"/>
      <c r="FH13" s="564"/>
      <c r="FI13" s="564"/>
      <c r="FJ13" s="564"/>
      <c r="FK13" s="564"/>
      <c r="FL13" s="564"/>
      <c r="FM13" s="564"/>
      <c r="FN13" s="564"/>
      <c r="FO13" s="564"/>
      <c r="FP13" s="564"/>
      <c r="FQ13" s="564"/>
      <c r="FR13" s="564"/>
      <c r="FS13" s="564"/>
      <c r="FT13" s="564"/>
      <c r="FU13" s="564"/>
      <c r="FV13" s="564"/>
      <c r="FW13" s="564"/>
      <c r="FX13" s="564"/>
      <c r="FY13" s="564"/>
      <c r="FZ13" s="564"/>
      <c r="GA13" s="564"/>
      <c r="GB13" s="564"/>
      <c r="GC13" s="564"/>
      <c r="GD13" s="564"/>
      <c r="GE13" s="564"/>
      <c r="GF13" s="564"/>
      <c r="GG13" s="564"/>
      <c r="GH13" s="564"/>
      <c r="GI13" s="564"/>
      <c r="GJ13" s="564"/>
    </row>
    <row r="14" spans="1:16372" x14ac:dyDescent="0.2">
      <c r="C14" s="2"/>
      <c r="D14" s="269"/>
      <c r="E14" s="2" t="str">
        <f ca="1">IF(OFFSET(AE14,0,Lang_Order*Lang__B2)="","",OFFSET(AE14,0,Lang_Order*Lang__B2))</f>
        <v>Note: Waste Multiplication Factor TO BE incorporated in Vaccine Candidate Database</v>
      </c>
      <c r="O14" s="2"/>
      <c r="AE14" s="564" t="s">
        <v>4176</v>
      </c>
      <c r="BC14" s="564" t="s">
        <v>10042</v>
      </c>
      <c r="CA14" s="564" t="s">
        <v>10043</v>
      </c>
      <c r="CY14" s="564" t="s">
        <v>10044</v>
      </c>
      <c r="DW14" s="564" t="s">
        <v>10045</v>
      </c>
      <c r="EU14" s="564" t="s">
        <v>10046</v>
      </c>
      <c r="FS14" s="564" t="s">
        <v>10047</v>
      </c>
    </row>
    <row r="15" spans="1:16372" x14ac:dyDescent="0.2">
      <c r="A15" s="165">
        <v>0</v>
      </c>
      <c r="B15" s="5" t="str">
        <f t="shared" ref="B15:B27" ca="1" si="7">OFFSET(_Offset_Index_VaccineSupplies,0,A15)</f>
        <v>Low Dead Space Syringe (0.3ml) AD</v>
      </c>
      <c r="C15" s="2">
        <f t="shared" ref="C15:C27" ca="1" si="8">OFFSET(_Offset_Index_VaccineSupplies_Index,0,A15)</f>
        <v>16</v>
      </c>
      <c r="D15" s="269" t="e">
        <f>VLOOKUP($B$8,'T1. Vaccines'!$C$8:$AD$37,$C15,FALSE)</f>
        <v>#N/A</v>
      </c>
      <c r="E15" s="2"/>
      <c r="F15" s="16" t="e">
        <f>$D$8*$D15*F$8</f>
        <v>#N/A</v>
      </c>
      <c r="G15" s="16" t="e">
        <f t="shared" ref="F15:K27" si="9">$D$8*$D15*G$8</f>
        <v>#N/A</v>
      </c>
      <c r="H15" s="16" t="e">
        <f t="shared" si="9"/>
        <v>#N/A</v>
      </c>
      <c r="I15" s="16" t="e">
        <f t="shared" si="9"/>
        <v>#N/A</v>
      </c>
      <c r="J15" s="16" t="e">
        <f t="shared" si="9"/>
        <v>#N/A</v>
      </c>
      <c r="K15" s="16" t="e">
        <f t="shared" si="9"/>
        <v>#N/A</v>
      </c>
      <c r="L15" s="16" t="e">
        <f t="shared" ref="L15:L27" si="10">SUM(F15:K15)</f>
        <v>#N/A</v>
      </c>
      <c r="O15" s="221" t="e">
        <f ca="1">D15*'A3. INPUT Unit Costs'!M31*'A3. INPUT Unit Costs'!N31</f>
        <v>#N/A</v>
      </c>
      <c r="Q15" s="37" t="e">
        <f ca="1">F15*'A3. INPUT Unit Costs'!$I31</f>
        <v>#N/A</v>
      </c>
      <c r="R15" s="37" t="e">
        <f ca="1">G15*'A3. INPUT Unit Costs'!$I31</f>
        <v>#N/A</v>
      </c>
      <c r="S15" s="37" t="e">
        <f ca="1">H15*'A3. INPUT Unit Costs'!$I31</f>
        <v>#N/A</v>
      </c>
      <c r="T15" s="37" t="e">
        <f ca="1">I15*'A3. INPUT Unit Costs'!$I31</f>
        <v>#N/A</v>
      </c>
      <c r="U15" s="37" t="e">
        <f ca="1">J15*'A3. INPUT Unit Costs'!$I31</f>
        <v>#N/A</v>
      </c>
      <c r="V15" s="37" t="e">
        <f ca="1">K15*'A3. INPUT Unit Costs'!$I31</f>
        <v>#N/A</v>
      </c>
      <c r="W15" s="79" t="e">
        <f ca="1">SUM(Q15:V15)</f>
        <v>#N/A</v>
      </c>
    </row>
    <row r="16" spans="1:16372" x14ac:dyDescent="0.2">
      <c r="A16" s="165">
        <v>1</v>
      </c>
      <c r="B16" s="5" t="str">
        <f t="shared" ca="1" si="7"/>
        <v>Syringe (0.5ml) AD</v>
      </c>
      <c r="C16" s="2">
        <f t="shared" ca="1" si="8"/>
        <v>17</v>
      </c>
      <c r="D16" s="269" t="e">
        <f>VLOOKUP($B$8,'T1. Vaccines'!$C$8:$AD$37,$C16,FALSE)</f>
        <v>#N/A</v>
      </c>
      <c r="E16" s="2"/>
      <c r="F16" s="16" t="e">
        <f t="shared" si="9"/>
        <v>#N/A</v>
      </c>
      <c r="G16" s="16" t="e">
        <f t="shared" si="9"/>
        <v>#N/A</v>
      </c>
      <c r="H16" s="16" t="e">
        <f t="shared" si="9"/>
        <v>#N/A</v>
      </c>
      <c r="I16" s="16" t="e">
        <f t="shared" si="9"/>
        <v>#N/A</v>
      </c>
      <c r="J16" s="16" t="e">
        <f t="shared" si="9"/>
        <v>#N/A</v>
      </c>
      <c r="K16" s="16" t="e">
        <f t="shared" si="9"/>
        <v>#N/A</v>
      </c>
      <c r="L16" s="16" t="e">
        <f>SUM(F16:K16)</f>
        <v>#N/A</v>
      </c>
      <c r="O16" s="221" t="e">
        <f ca="1">D16*'A3. INPUT Unit Costs'!M32*'A3. INPUT Unit Costs'!N32</f>
        <v>#N/A</v>
      </c>
      <c r="Q16" s="37" t="e">
        <f ca="1">F16*'A3. INPUT Unit Costs'!$I32</f>
        <v>#N/A</v>
      </c>
      <c r="R16" s="37" t="e">
        <f ca="1">G16*'A3. INPUT Unit Costs'!$I32</f>
        <v>#N/A</v>
      </c>
      <c r="S16" s="37" t="e">
        <f ca="1">H16*'A3. INPUT Unit Costs'!$I32</f>
        <v>#N/A</v>
      </c>
      <c r="T16" s="37" t="e">
        <f ca="1">I16*'A3. INPUT Unit Costs'!$I32</f>
        <v>#N/A</v>
      </c>
      <c r="U16" s="37" t="e">
        <f ca="1">J16*'A3. INPUT Unit Costs'!$I32</f>
        <v>#N/A</v>
      </c>
      <c r="V16" s="37" t="e">
        <f ca="1">K16*'A3. INPUT Unit Costs'!$I32</f>
        <v>#N/A</v>
      </c>
      <c r="W16" s="79" t="e">
        <f t="shared" ref="W16:W27" ca="1" si="11">SUM(Q16:V16)</f>
        <v>#N/A</v>
      </c>
    </row>
    <row r="17" spans="1:175" x14ac:dyDescent="0.2">
      <c r="A17" s="165">
        <v>2</v>
      </c>
      <c r="B17" s="5" t="str">
        <f t="shared" ca="1" si="7"/>
        <v>23G needle</v>
      </c>
      <c r="C17" s="2">
        <f t="shared" ca="1" si="8"/>
        <v>18</v>
      </c>
      <c r="D17" s="269" t="e">
        <f>VLOOKUP($B$8,'T1. Vaccines'!$C$8:$AD$37,$C17,FALSE)</f>
        <v>#N/A</v>
      </c>
      <c r="E17" s="2"/>
      <c r="F17" s="16" t="e">
        <f t="shared" si="9"/>
        <v>#N/A</v>
      </c>
      <c r="G17" s="16" t="e">
        <f t="shared" si="9"/>
        <v>#N/A</v>
      </c>
      <c r="H17" s="16" t="e">
        <f t="shared" si="9"/>
        <v>#N/A</v>
      </c>
      <c r="I17" s="16" t="e">
        <f t="shared" si="9"/>
        <v>#N/A</v>
      </c>
      <c r="J17" s="16" t="e">
        <f t="shared" si="9"/>
        <v>#N/A</v>
      </c>
      <c r="K17" s="16" t="e">
        <f t="shared" si="9"/>
        <v>#N/A</v>
      </c>
      <c r="L17" s="16" t="e">
        <f t="shared" si="10"/>
        <v>#N/A</v>
      </c>
      <c r="O17" s="221" t="e">
        <f ca="1">D17*'A3. INPUT Unit Costs'!M33*'A3. INPUT Unit Costs'!N33</f>
        <v>#N/A</v>
      </c>
      <c r="Q17" s="37" t="e">
        <f ca="1">F17*'A3. INPUT Unit Costs'!$I33</f>
        <v>#N/A</v>
      </c>
      <c r="R17" s="37" t="e">
        <f ca="1">G17*'A3. INPUT Unit Costs'!$I33</f>
        <v>#N/A</v>
      </c>
      <c r="S17" s="37" t="e">
        <f ca="1">H17*'A3. INPUT Unit Costs'!$I33</f>
        <v>#N/A</v>
      </c>
      <c r="T17" s="37" t="e">
        <f ca="1">I17*'A3. INPUT Unit Costs'!$I33</f>
        <v>#N/A</v>
      </c>
      <c r="U17" s="37" t="e">
        <f ca="1">J17*'A3. INPUT Unit Costs'!$I33</f>
        <v>#N/A</v>
      </c>
      <c r="V17" s="37" t="e">
        <f ca="1">K17*'A3. INPUT Unit Costs'!$I33</f>
        <v>#N/A</v>
      </c>
      <c r="W17" s="79" t="e">
        <f t="shared" ca="1" si="11"/>
        <v>#N/A</v>
      </c>
    </row>
    <row r="18" spans="1:175" x14ac:dyDescent="0.2">
      <c r="A18" s="165">
        <v>3</v>
      </c>
      <c r="B18" s="5" t="str">
        <f t="shared" ca="1" si="7"/>
        <v>Alcohol Swab, Plaster, Dry Swabs</v>
      </c>
      <c r="C18" s="2">
        <f t="shared" ca="1" si="8"/>
        <v>19</v>
      </c>
      <c r="D18" s="269" t="e">
        <f>VLOOKUP($B$8,'T1. Vaccines'!$C$8:$AD$37,$C18,FALSE)</f>
        <v>#N/A</v>
      </c>
      <c r="E18" s="2"/>
      <c r="F18" s="16" t="e">
        <f t="shared" si="9"/>
        <v>#N/A</v>
      </c>
      <c r="G18" s="16" t="e">
        <f t="shared" si="9"/>
        <v>#N/A</v>
      </c>
      <c r="H18" s="16" t="e">
        <f t="shared" si="9"/>
        <v>#N/A</v>
      </c>
      <c r="I18" s="16" t="e">
        <f t="shared" si="9"/>
        <v>#N/A</v>
      </c>
      <c r="J18" s="16" t="e">
        <f t="shared" si="9"/>
        <v>#N/A</v>
      </c>
      <c r="K18" s="16" t="e">
        <f t="shared" si="9"/>
        <v>#N/A</v>
      </c>
      <c r="L18" s="16" t="e">
        <f t="shared" si="10"/>
        <v>#N/A</v>
      </c>
      <c r="O18" s="221" t="e">
        <f ca="1">D18*'A3. INPUT Unit Costs'!M34*'A3. INPUT Unit Costs'!N34</f>
        <v>#N/A</v>
      </c>
      <c r="Q18" s="37" t="e">
        <f ca="1">F18*'A3. INPUT Unit Costs'!$I34</f>
        <v>#N/A</v>
      </c>
      <c r="R18" s="37" t="e">
        <f ca="1">G18*'A3. INPUT Unit Costs'!$I34</f>
        <v>#N/A</v>
      </c>
      <c r="S18" s="37" t="e">
        <f ca="1">H18*'A3. INPUT Unit Costs'!$I34</f>
        <v>#N/A</v>
      </c>
      <c r="T18" s="37" t="e">
        <f ca="1">I18*'A3. INPUT Unit Costs'!$I34</f>
        <v>#N/A</v>
      </c>
      <c r="U18" s="37" t="e">
        <f ca="1">J18*'A3. INPUT Unit Costs'!$I34</f>
        <v>#N/A</v>
      </c>
      <c r="V18" s="37" t="e">
        <f ca="1">K18*'A3. INPUT Unit Costs'!$I34</f>
        <v>#N/A</v>
      </c>
      <c r="W18" s="79" t="e">
        <f t="shared" ca="1" si="11"/>
        <v>#N/A</v>
      </c>
    </row>
    <row r="19" spans="1:175" x14ac:dyDescent="0.2">
      <c r="A19" s="165">
        <v>4</v>
      </c>
      <c r="B19" s="5" t="str">
        <f t="shared" ca="1" si="7"/>
        <v>21G needle</v>
      </c>
      <c r="C19" s="2">
        <f t="shared" ca="1" si="8"/>
        <v>20</v>
      </c>
      <c r="D19" s="269" t="e">
        <f>VLOOKUP($B$8,'T1. Vaccines'!$C$8:$AD$37,$C19,FALSE)</f>
        <v>#N/A</v>
      </c>
      <c r="E19" s="2"/>
      <c r="F19" s="16" t="e">
        <f t="shared" si="9"/>
        <v>#N/A</v>
      </c>
      <c r="G19" s="16" t="e">
        <f t="shared" si="9"/>
        <v>#N/A</v>
      </c>
      <c r="H19" s="16" t="e">
        <f t="shared" si="9"/>
        <v>#N/A</v>
      </c>
      <c r="I19" s="16" t="e">
        <f t="shared" si="9"/>
        <v>#N/A</v>
      </c>
      <c r="J19" s="16" t="e">
        <f t="shared" si="9"/>
        <v>#N/A</v>
      </c>
      <c r="K19" s="16" t="e">
        <f t="shared" si="9"/>
        <v>#N/A</v>
      </c>
      <c r="L19" s="16" t="e">
        <f t="shared" si="10"/>
        <v>#N/A</v>
      </c>
      <c r="O19" s="221" t="e">
        <f ca="1">D19*'A3. INPUT Unit Costs'!M35*'A3. INPUT Unit Costs'!N35</f>
        <v>#N/A</v>
      </c>
      <c r="Q19" s="37" t="e">
        <f ca="1">F19*'A3. INPUT Unit Costs'!$I35</f>
        <v>#N/A</v>
      </c>
      <c r="R19" s="37" t="e">
        <f ca="1">G19*'A3. INPUT Unit Costs'!$I35</f>
        <v>#N/A</v>
      </c>
      <c r="S19" s="37" t="e">
        <f ca="1">H19*'A3. INPUT Unit Costs'!$I35</f>
        <v>#N/A</v>
      </c>
      <c r="T19" s="37" t="e">
        <f ca="1">I19*'A3. INPUT Unit Costs'!$I35</f>
        <v>#N/A</v>
      </c>
      <c r="U19" s="37" t="e">
        <f ca="1">J19*'A3. INPUT Unit Costs'!$I35</f>
        <v>#N/A</v>
      </c>
      <c r="V19" s="37" t="e">
        <f ca="1">K19*'A3. INPUT Unit Costs'!$I35</f>
        <v>#N/A</v>
      </c>
      <c r="W19" s="79" t="e">
        <f t="shared" ca="1" si="11"/>
        <v>#N/A</v>
      </c>
    </row>
    <row r="20" spans="1:175" x14ac:dyDescent="0.2">
      <c r="A20" s="165">
        <v>5</v>
      </c>
      <c r="B20" s="5" t="str">
        <f t="shared" ca="1" si="7"/>
        <v>Sodium Chloride 0.9 % ampule 10mls</v>
      </c>
      <c r="C20" s="2">
        <f t="shared" ca="1" si="8"/>
        <v>21</v>
      </c>
      <c r="D20" s="269" t="e">
        <f>VLOOKUP($B$8,'T1. Vaccines'!$C$8:$AD$37,$C20,FALSE)</f>
        <v>#N/A</v>
      </c>
      <c r="E20" s="2"/>
      <c r="F20" s="16" t="e">
        <f t="shared" si="9"/>
        <v>#N/A</v>
      </c>
      <c r="G20" s="16" t="e">
        <f t="shared" si="9"/>
        <v>#N/A</v>
      </c>
      <c r="H20" s="16" t="e">
        <f t="shared" si="9"/>
        <v>#N/A</v>
      </c>
      <c r="I20" s="16" t="e">
        <f t="shared" si="9"/>
        <v>#N/A</v>
      </c>
      <c r="J20" s="16" t="e">
        <f t="shared" si="9"/>
        <v>#N/A</v>
      </c>
      <c r="K20" s="16" t="e">
        <f t="shared" si="9"/>
        <v>#N/A</v>
      </c>
      <c r="L20" s="16" t="e">
        <f t="shared" si="10"/>
        <v>#N/A</v>
      </c>
      <c r="O20" s="221" t="e">
        <f ca="1">D20*'A3. INPUT Unit Costs'!M36*'A3. INPUT Unit Costs'!N36</f>
        <v>#N/A</v>
      </c>
      <c r="Q20" s="37" t="e">
        <f ca="1">F20*'A3. INPUT Unit Costs'!$I36</f>
        <v>#N/A</v>
      </c>
      <c r="R20" s="37" t="e">
        <f ca="1">G20*'A3. INPUT Unit Costs'!$I36</f>
        <v>#N/A</v>
      </c>
      <c r="S20" s="37" t="e">
        <f ca="1">H20*'A3. INPUT Unit Costs'!$I36</f>
        <v>#N/A</v>
      </c>
      <c r="T20" s="37" t="e">
        <f ca="1">I20*'A3. INPUT Unit Costs'!$I36</f>
        <v>#N/A</v>
      </c>
      <c r="U20" s="37" t="e">
        <f ca="1">J20*'A3. INPUT Unit Costs'!$I36</f>
        <v>#N/A</v>
      </c>
      <c r="V20" s="37" t="e">
        <f ca="1">K20*'A3. INPUT Unit Costs'!$I36</f>
        <v>#N/A</v>
      </c>
      <c r="W20" s="79" t="e">
        <f t="shared" ca="1" si="11"/>
        <v>#N/A</v>
      </c>
    </row>
    <row r="21" spans="1:175" x14ac:dyDescent="0.2">
      <c r="A21" s="165">
        <v>6</v>
      </c>
      <c r="B21" s="5" t="str">
        <f t="shared" ca="1" si="7"/>
        <v>RUP syringe (3ml)</v>
      </c>
      <c r="C21" s="2">
        <f t="shared" ca="1" si="8"/>
        <v>22</v>
      </c>
      <c r="D21" s="269" t="e">
        <f>VLOOKUP($B$8,'T1. Vaccines'!$C$8:$AD$37,$C21,FALSE)</f>
        <v>#N/A</v>
      </c>
      <c r="E21" s="2"/>
      <c r="F21" s="16" t="e">
        <f t="shared" si="9"/>
        <v>#N/A</v>
      </c>
      <c r="G21" s="16" t="e">
        <f t="shared" si="9"/>
        <v>#N/A</v>
      </c>
      <c r="H21" s="16" t="e">
        <f t="shared" si="9"/>
        <v>#N/A</v>
      </c>
      <c r="I21" s="16" t="e">
        <f t="shared" si="9"/>
        <v>#N/A</v>
      </c>
      <c r="J21" s="16" t="e">
        <f t="shared" si="9"/>
        <v>#N/A</v>
      </c>
      <c r="K21" s="16" t="e">
        <f t="shared" si="9"/>
        <v>#N/A</v>
      </c>
      <c r="L21" s="16" t="e">
        <f t="shared" si="10"/>
        <v>#N/A</v>
      </c>
      <c r="O21" s="221" t="e">
        <f ca="1">D21*'A3. INPUT Unit Costs'!M37*'A3. INPUT Unit Costs'!N37</f>
        <v>#N/A</v>
      </c>
      <c r="Q21" s="37" t="e">
        <f ca="1">F21*'A3. INPUT Unit Costs'!$I37</f>
        <v>#N/A</v>
      </c>
      <c r="R21" s="37" t="e">
        <f ca="1">G21*'A3. INPUT Unit Costs'!$I37</f>
        <v>#N/A</v>
      </c>
      <c r="S21" s="37" t="e">
        <f ca="1">H21*'A3. INPUT Unit Costs'!$I37</f>
        <v>#N/A</v>
      </c>
      <c r="T21" s="37" t="e">
        <f ca="1">I21*'A3. INPUT Unit Costs'!$I37</f>
        <v>#N/A</v>
      </c>
      <c r="U21" s="37" t="e">
        <f ca="1">J21*'A3. INPUT Unit Costs'!$I37</f>
        <v>#N/A</v>
      </c>
      <c r="V21" s="37" t="e">
        <f ca="1">K21*'A3. INPUT Unit Costs'!$I37</f>
        <v>#N/A</v>
      </c>
      <c r="W21" s="79" t="e">
        <f t="shared" ca="1" si="11"/>
        <v>#N/A</v>
      </c>
    </row>
    <row r="22" spans="1:175" x14ac:dyDescent="0.2">
      <c r="A22" s="165">
        <v>7</v>
      </c>
      <c r="B22" s="5" t="str">
        <f t="shared" ca="1" si="7"/>
        <v>…</v>
      </c>
      <c r="C22" s="2">
        <f t="shared" ca="1" si="8"/>
        <v>23</v>
      </c>
      <c r="D22" s="269" t="e">
        <f>VLOOKUP($B$8,'T1. Vaccines'!$C$8:$AD$37,$C22,FALSE)</f>
        <v>#N/A</v>
      </c>
      <c r="E22" s="2"/>
      <c r="F22" s="16" t="e">
        <f t="shared" si="9"/>
        <v>#N/A</v>
      </c>
      <c r="G22" s="16" t="e">
        <f t="shared" si="9"/>
        <v>#N/A</v>
      </c>
      <c r="H22" s="16" t="e">
        <f t="shared" si="9"/>
        <v>#N/A</v>
      </c>
      <c r="I22" s="16" t="e">
        <f t="shared" si="9"/>
        <v>#N/A</v>
      </c>
      <c r="J22" s="16" t="e">
        <f t="shared" si="9"/>
        <v>#N/A</v>
      </c>
      <c r="K22" s="16" t="e">
        <f t="shared" si="9"/>
        <v>#N/A</v>
      </c>
      <c r="L22" s="16" t="e">
        <f t="shared" si="10"/>
        <v>#N/A</v>
      </c>
      <c r="O22" s="221" t="e">
        <f ca="1">D22*'A3. INPUT Unit Costs'!M38*'A3. INPUT Unit Costs'!N38</f>
        <v>#N/A</v>
      </c>
      <c r="Q22" s="37" t="e">
        <f ca="1">F22*'A3. INPUT Unit Costs'!$I38</f>
        <v>#N/A</v>
      </c>
      <c r="R22" s="37" t="e">
        <f ca="1">G22*'A3. INPUT Unit Costs'!$I38</f>
        <v>#N/A</v>
      </c>
      <c r="S22" s="37" t="e">
        <f ca="1">H22*'A3. INPUT Unit Costs'!$I38</f>
        <v>#N/A</v>
      </c>
      <c r="T22" s="37" t="e">
        <f ca="1">I22*'A3. INPUT Unit Costs'!$I38</f>
        <v>#N/A</v>
      </c>
      <c r="U22" s="37" t="e">
        <f ca="1">J22*'A3. INPUT Unit Costs'!$I38</f>
        <v>#N/A</v>
      </c>
      <c r="V22" s="37" t="e">
        <f ca="1">K22*'A3. INPUT Unit Costs'!$I38</f>
        <v>#N/A</v>
      </c>
      <c r="W22" s="79" t="e">
        <f t="shared" ca="1" si="11"/>
        <v>#N/A</v>
      </c>
    </row>
    <row r="23" spans="1:175" x14ac:dyDescent="0.2">
      <c r="A23" s="165">
        <v>8</v>
      </c>
      <c r="B23" s="5" t="str">
        <f t="shared" ca="1" si="7"/>
        <v>…</v>
      </c>
      <c r="C23" s="2">
        <f t="shared" ca="1" si="8"/>
        <v>24</v>
      </c>
      <c r="D23" s="269" t="e">
        <f>VLOOKUP($B$8,'T1. Vaccines'!$C$8:$AD$37,$C23,FALSE)</f>
        <v>#N/A</v>
      </c>
      <c r="E23" s="2"/>
      <c r="F23" s="16" t="e">
        <f t="shared" si="9"/>
        <v>#N/A</v>
      </c>
      <c r="G23" s="16" t="e">
        <f t="shared" si="9"/>
        <v>#N/A</v>
      </c>
      <c r="H23" s="16" t="e">
        <f t="shared" si="9"/>
        <v>#N/A</v>
      </c>
      <c r="I23" s="16" t="e">
        <f t="shared" si="9"/>
        <v>#N/A</v>
      </c>
      <c r="J23" s="16" t="e">
        <f t="shared" si="9"/>
        <v>#N/A</v>
      </c>
      <c r="K23" s="16" t="e">
        <f t="shared" si="9"/>
        <v>#N/A</v>
      </c>
      <c r="L23" s="16" t="e">
        <f t="shared" si="10"/>
        <v>#N/A</v>
      </c>
      <c r="O23" s="221" t="e">
        <f ca="1">D23*'A3. INPUT Unit Costs'!M39*'A3. INPUT Unit Costs'!N39</f>
        <v>#N/A</v>
      </c>
      <c r="Q23" s="37" t="e">
        <f ca="1">F23*'A3. INPUT Unit Costs'!$I39</f>
        <v>#N/A</v>
      </c>
      <c r="R23" s="37" t="e">
        <f ca="1">G23*'A3. INPUT Unit Costs'!$I39</f>
        <v>#N/A</v>
      </c>
      <c r="S23" s="37" t="e">
        <f ca="1">H23*'A3. INPUT Unit Costs'!$I39</f>
        <v>#N/A</v>
      </c>
      <c r="T23" s="37" t="e">
        <f ca="1">I23*'A3. INPUT Unit Costs'!$I39</f>
        <v>#N/A</v>
      </c>
      <c r="U23" s="37" t="e">
        <f ca="1">J23*'A3. INPUT Unit Costs'!$I39</f>
        <v>#N/A</v>
      </c>
      <c r="V23" s="37" t="e">
        <f ca="1">K23*'A3. INPUT Unit Costs'!$I39</f>
        <v>#N/A</v>
      </c>
      <c r="W23" s="79" t="e">
        <f t="shared" ca="1" si="11"/>
        <v>#N/A</v>
      </c>
    </row>
    <row r="24" spans="1:175" x14ac:dyDescent="0.2">
      <c r="A24" s="165">
        <v>9</v>
      </c>
      <c r="B24" s="5" t="str">
        <f t="shared" ca="1" si="7"/>
        <v>Sharps Disposal (5L)</v>
      </c>
      <c r="C24" s="2">
        <f t="shared" ca="1" si="8"/>
        <v>25</v>
      </c>
      <c r="D24" s="269" t="e">
        <f>VLOOKUP($B$8,'T1. Vaccines'!$C$8:$AD$37,$C24,FALSE)</f>
        <v>#N/A</v>
      </c>
      <c r="E24" s="2"/>
      <c r="F24" s="16" t="e">
        <f t="shared" si="9"/>
        <v>#N/A</v>
      </c>
      <c r="G24" s="16" t="e">
        <f t="shared" si="9"/>
        <v>#N/A</v>
      </c>
      <c r="H24" s="16" t="e">
        <f t="shared" si="9"/>
        <v>#N/A</v>
      </c>
      <c r="I24" s="16" t="e">
        <f t="shared" si="9"/>
        <v>#N/A</v>
      </c>
      <c r="J24" s="16" t="e">
        <f t="shared" si="9"/>
        <v>#N/A</v>
      </c>
      <c r="K24" s="16" t="e">
        <f t="shared" si="9"/>
        <v>#N/A</v>
      </c>
      <c r="L24" s="16" t="e">
        <f t="shared" si="10"/>
        <v>#N/A</v>
      </c>
      <c r="O24" s="221" t="e">
        <f ca="1">D24*'A3. INPUT Unit Costs'!M40*'A3. INPUT Unit Costs'!N40</f>
        <v>#N/A</v>
      </c>
      <c r="Q24" s="37" t="e">
        <f ca="1">F24*'A3. INPUT Unit Costs'!$I40</f>
        <v>#N/A</v>
      </c>
      <c r="R24" s="37" t="e">
        <f ca="1">G24*'A3. INPUT Unit Costs'!$I40</f>
        <v>#N/A</v>
      </c>
      <c r="S24" s="37" t="e">
        <f ca="1">H24*'A3. INPUT Unit Costs'!$I40</f>
        <v>#N/A</v>
      </c>
      <c r="T24" s="37" t="e">
        <f ca="1">I24*'A3. INPUT Unit Costs'!$I40</f>
        <v>#N/A</v>
      </c>
      <c r="U24" s="37" t="e">
        <f ca="1">J24*'A3. INPUT Unit Costs'!$I40</f>
        <v>#N/A</v>
      </c>
      <c r="V24" s="37" t="e">
        <f ca="1">K24*'A3. INPUT Unit Costs'!$I40</f>
        <v>#N/A</v>
      </c>
      <c r="W24" s="79" t="e">
        <f t="shared" ca="1" si="11"/>
        <v>#N/A</v>
      </c>
    </row>
    <row r="25" spans="1:175" x14ac:dyDescent="0.2">
      <c r="A25" s="165">
        <v>10</v>
      </c>
      <c r="B25" s="5" t="str">
        <f t="shared" ca="1" si="7"/>
        <v>Vaccination Card</v>
      </c>
      <c r="C25" s="2">
        <f t="shared" ca="1" si="8"/>
        <v>26</v>
      </c>
      <c r="D25" s="269" t="e">
        <f>VLOOKUP($B$8,'T1. Vaccines'!$C$8:$AD$37,$C25,FALSE)</f>
        <v>#N/A</v>
      </c>
      <c r="E25" s="2"/>
      <c r="F25" s="16" t="e">
        <f t="shared" si="9"/>
        <v>#N/A</v>
      </c>
      <c r="G25" s="16" t="e">
        <f t="shared" si="9"/>
        <v>#N/A</v>
      </c>
      <c r="H25" s="16" t="e">
        <f t="shared" si="9"/>
        <v>#N/A</v>
      </c>
      <c r="I25" s="16" t="e">
        <f t="shared" si="9"/>
        <v>#N/A</v>
      </c>
      <c r="J25" s="16" t="e">
        <f t="shared" si="9"/>
        <v>#N/A</v>
      </c>
      <c r="K25" s="16" t="e">
        <f t="shared" si="9"/>
        <v>#N/A</v>
      </c>
      <c r="L25" s="16" t="e">
        <f t="shared" si="10"/>
        <v>#N/A</v>
      </c>
      <c r="O25" s="221" t="e">
        <f ca="1">D25*'A3. INPUT Unit Costs'!M41*'A3. INPUT Unit Costs'!N41</f>
        <v>#N/A</v>
      </c>
      <c r="Q25" s="37" t="e">
        <f ca="1">F25*'A3. INPUT Unit Costs'!$I41</f>
        <v>#N/A</v>
      </c>
      <c r="R25" s="37" t="e">
        <f ca="1">G25*'A3. INPUT Unit Costs'!$I41</f>
        <v>#N/A</v>
      </c>
      <c r="S25" s="37" t="e">
        <f ca="1">H25*'A3. INPUT Unit Costs'!$I41</f>
        <v>#N/A</v>
      </c>
      <c r="T25" s="37" t="e">
        <f ca="1">I25*'A3. INPUT Unit Costs'!$I41</f>
        <v>#N/A</v>
      </c>
      <c r="U25" s="37" t="e">
        <f ca="1">J25*'A3. INPUT Unit Costs'!$I41</f>
        <v>#N/A</v>
      </c>
      <c r="V25" s="37" t="e">
        <f ca="1">K25*'A3. INPUT Unit Costs'!$I41</f>
        <v>#N/A</v>
      </c>
      <c r="W25" s="79" t="e">
        <f t="shared" ca="1" si="11"/>
        <v>#N/A</v>
      </c>
    </row>
    <row r="26" spans="1:175" x14ac:dyDescent="0.2">
      <c r="A26" s="165">
        <v>11</v>
      </c>
      <c r="B26" s="5" t="str">
        <f t="shared" ca="1" si="7"/>
        <v>Electronic Records</v>
      </c>
      <c r="C26" s="2">
        <f t="shared" ca="1" si="8"/>
        <v>27</v>
      </c>
      <c r="D26" s="269" t="e">
        <f>VLOOKUP($B$8,'T1. Vaccines'!$C$8:$AD$37,$C26,FALSE)</f>
        <v>#N/A</v>
      </c>
      <c r="E26" s="2"/>
      <c r="F26" s="16" t="e">
        <f t="shared" si="9"/>
        <v>#N/A</v>
      </c>
      <c r="G26" s="16" t="e">
        <f t="shared" si="9"/>
        <v>#N/A</v>
      </c>
      <c r="H26" s="16" t="e">
        <f t="shared" si="9"/>
        <v>#N/A</v>
      </c>
      <c r="I26" s="16" t="e">
        <f t="shared" si="9"/>
        <v>#N/A</v>
      </c>
      <c r="J26" s="16" t="e">
        <f t="shared" si="9"/>
        <v>#N/A</v>
      </c>
      <c r="K26" s="16" t="e">
        <f t="shared" si="9"/>
        <v>#N/A</v>
      </c>
      <c r="L26" s="16" t="e">
        <f t="shared" si="10"/>
        <v>#N/A</v>
      </c>
      <c r="O26" s="221" t="e">
        <f>D26*'A3. INPUT Unit Costs'!M42*'A3. INPUT Unit Costs'!N42</f>
        <v>#N/A</v>
      </c>
      <c r="Q26" s="37" t="e">
        <f>F26*'A3. INPUT Unit Costs'!$I42</f>
        <v>#N/A</v>
      </c>
      <c r="R26" s="37" t="e">
        <f>G26*'A3. INPUT Unit Costs'!$I42</f>
        <v>#N/A</v>
      </c>
      <c r="S26" s="37" t="e">
        <f>H26*'A3. INPUT Unit Costs'!$I42</f>
        <v>#N/A</v>
      </c>
      <c r="T26" s="37" t="e">
        <f>I26*'A3. INPUT Unit Costs'!$I42</f>
        <v>#N/A</v>
      </c>
      <c r="U26" s="37" t="e">
        <f>J26*'A3. INPUT Unit Costs'!$I42</f>
        <v>#N/A</v>
      </c>
      <c r="V26" s="37" t="e">
        <f>K26*'A3. INPUT Unit Costs'!$I42</f>
        <v>#N/A</v>
      </c>
      <c r="W26" s="79" t="e">
        <f t="shared" si="11"/>
        <v>#N/A</v>
      </c>
    </row>
    <row r="27" spans="1:175" x14ac:dyDescent="0.2">
      <c r="A27" s="165">
        <v>12</v>
      </c>
      <c r="B27" s="5" t="str">
        <f t="shared" ca="1" si="7"/>
        <v>No fault compensation fund</v>
      </c>
      <c r="C27" s="2">
        <f t="shared" ca="1" si="8"/>
        <v>28</v>
      </c>
      <c r="D27" s="269" t="e">
        <f>VLOOKUP($B$8,'T1. Vaccines'!$C$8:$AD$37,$C27,FALSE)</f>
        <v>#N/A</v>
      </c>
      <c r="E27" s="2"/>
      <c r="F27" s="16" t="e">
        <f t="shared" si="9"/>
        <v>#N/A</v>
      </c>
      <c r="G27" s="16" t="e">
        <f t="shared" si="9"/>
        <v>#N/A</v>
      </c>
      <c r="H27" s="16" t="e">
        <f t="shared" si="9"/>
        <v>#N/A</v>
      </c>
      <c r="I27" s="16" t="e">
        <f t="shared" si="9"/>
        <v>#N/A</v>
      </c>
      <c r="J27" s="16" t="e">
        <f t="shared" si="9"/>
        <v>#N/A</v>
      </c>
      <c r="K27" s="16" t="e">
        <f t="shared" si="9"/>
        <v>#N/A</v>
      </c>
      <c r="L27" s="16" t="e">
        <f t="shared" si="10"/>
        <v>#N/A</v>
      </c>
      <c r="O27" s="221" t="e">
        <f ca="1">D27*'A3. INPUT Unit Costs'!N43</f>
        <v>#N/A</v>
      </c>
      <c r="Q27" s="37" t="e">
        <f>F27*'A3. INPUT Unit Costs'!$I43</f>
        <v>#N/A</v>
      </c>
      <c r="R27" s="37" t="e">
        <f>G27*'A3. INPUT Unit Costs'!$I43</f>
        <v>#N/A</v>
      </c>
      <c r="S27" s="37" t="e">
        <f>H27*'A3. INPUT Unit Costs'!$I43</f>
        <v>#N/A</v>
      </c>
      <c r="T27" s="37" t="e">
        <f>I27*'A3. INPUT Unit Costs'!$I43</f>
        <v>#N/A</v>
      </c>
      <c r="U27" s="37" t="e">
        <f>J27*'A3. INPUT Unit Costs'!$I43</f>
        <v>#N/A</v>
      </c>
      <c r="V27" s="37" t="e">
        <f>K27*'A3. INPUT Unit Costs'!$I43</f>
        <v>#N/A</v>
      </c>
      <c r="W27" s="79" t="e">
        <f t="shared" si="11"/>
        <v>#N/A</v>
      </c>
    </row>
    <row r="29" spans="1:175" ht="15" x14ac:dyDescent="0.25">
      <c r="A29" s="8" t="str">
        <f ca="1">IF(OFFSET(AA29,0,Lang_Order*Lang__B2)="","",OFFSET(AA29,0,Lang_Order*Lang__B2))</f>
        <v>B2.1.2 Delivery Modality 2</v>
      </c>
      <c r="B29" s="58">
        <f>DM2_Vaccine</f>
        <v>0</v>
      </c>
      <c r="C29" s="58">
        <f>'T1. Vaccines'!$F$39</f>
        <v>4</v>
      </c>
      <c r="D29" s="59" t="e">
        <f>VLOOKUP(DM2_Vaccine,'T1. Vaccines'!$C$8:$AD$37,C29,FALSE)</f>
        <v>#N/A</v>
      </c>
      <c r="E29" s="19" t="str">
        <f ca="1">IF(OFFSET(AE29,0,Lang_Order*Lang__B2)="","",OFFSET(AE29,0,Lang_Order*Lang__B2))</f>
        <v># Courses:</v>
      </c>
      <c r="F29" s="80" t="e">
        <f>'B1. Target Population'!D182</f>
        <v>#N/A</v>
      </c>
      <c r="G29" s="80" t="e">
        <f>'B1. Target Population'!E182</f>
        <v>#N/A</v>
      </c>
      <c r="H29" s="80" t="e">
        <f>'B1. Target Population'!F182</f>
        <v>#N/A</v>
      </c>
      <c r="I29" s="80" t="e">
        <f>'B1. Target Population'!G182</f>
        <v>#N/A</v>
      </c>
      <c r="J29" s="80" t="e">
        <f>'B1. Target Population'!H182</f>
        <v>#N/A</v>
      </c>
      <c r="K29" s="80" t="e">
        <f>'B1. Target Population'!I182</f>
        <v>#N/A</v>
      </c>
      <c r="L29" s="80" t="e">
        <f>'B1. Target Population'!J182</f>
        <v>#N/A</v>
      </c>
      <c r="M29" s="80"/>
      <c r="N29" s="65"/>
      <c r="O29" s="482" t="e">
        <f ca="1">SUM(O36:O44)</f>
        <v>#N/A</v>
      </c>
      <c r="P29" s="65"/>
      <c r="Q29" s="82" t="e">
        <f t="shared" ref="Q29:W29" si="12">SUM(Q31:Q48)</f>
        <v>#N/A</v>
      </c>
      <c r="R29" s="82" t="e">
        <f t="shared" si="12"/>
        <v>#N/A</v>
      </c>
      <c r="S29" s="82" t="e">
        <f t="shared" si="12"/>
        <v>#N/A</v>
      </c>
      <c r="T29" s="82" t="e">
        <f t="shared" si="12"/>
        <v>#N/A</v>
      </c>
      <c r="U29" s="82" t="e">
        <f t="shared" si="12"/>
        <v>#N/A</v>
      </c>
      <c r="V29" s="82" t="e">
        <f t="shared" si="12"/>
        <v>#N/A</v>
      </c>
      <c r="W29" s="82" t="e">
        <f t="shared" si="12"/>
        <v>#N/A</v>
      </c>
      <c r="X29" s="8"/>
      <c r="AA29" s="564" t="s">
        <v>2861</v>
      </c>
      <c r="AE29" s="564" t="s">
        <v>4266</v>
      </c>
      <c r="AY29" s="564" t="s">
        <v>10048</v>
      </c>
      <c r="BC29" s="564" t="s">
        <v>10005</v>
      </c>
      <c r="BW29" s="564" t="s">
        <v>10049</v>
      </c>
      <c r="CA29" s="564" t="s">
        <v>10008</v>
      </c>
      <c r="CU29" s="564" t="s">
        <v>10050</v>
      </c>
      <c r="CY29" s="564" t="s">
        <v>10051</v>
      </c>
      <c r="DS29" s="564" t="s">
        <v>10052</v>
      </c>
      <c r="DW29" s="564" t="s">
        <v>10014</v>
      </c>
      <c r="EQ29" s="564" t="s">
        <v>10053</v>
      </c>
      <c r="EU29" s="564" t="s">
        <v>10017</v>
      </c>
      <c r="FO29" s="564" t="s">
        <v>10054</v>
      </c>
      <c r="FS29" s="564" t="s">
        <v>10020</v>
      </c>
    </row>
    <row r="30" spans="1:175" x14ac:dyDescent="0.2">
      <c r="D30" s="72"/>
      <c r="E30" s="193"/>
    </row>
    <row r="31" spans="1:175" x14ac:dyDescent="0.2">
      <c r="B31" s="5" t="str">
        <f ca="1">IF(OFFSET(AB31,0,Lang_Order*Lang__B2)="","",OFFSET(AB31,0,Lang_Order*Lang__B2))</f>
        <v>Vaccine doses</v>
      </c>
      <c r="D31" s="15"/>
      <c r="E31" s="2" t="str">
        <f ca="1">IF(OFFSET(AE31,0,Lang_Order*Lang__B2)="","",OFFSET(AE31,0,Lang_Order*Lang__B2))</f>
        <v>Add wastage rate + doses per course</v>
      </c>
      <c r="F31" s="16" t="e">
        <f>'B1. Target Population'!D197*$D29</f>
        <v>#N/A</v>
      </c>
      <c r="G31" s="16" t="e">
        <f>'B1. Target Population'!E197*$D29</f>
        <v>#N/A</v>
      </c>
      <c r="H31" s="16" t="e">
        <f>'B1. Target Population'!F197*$D29</f>
        <v>#N/A</v>
      </c>
      <c r="I31" s="16" t="e">
        <f>'B1. Target Population'!G197*$D29</f>
        <v>#N/A</v>
      </c>
      <c r="J31" s="16" t="e">
        <f>'B1. Target Population'!H197*$D29</f>
        <v>#N/A</v>
      </c>
      <c r="K31" s="16" t="e">
        <f>'B1. Target Population'!I197*$D29</f>
        <v>#N/A</v>
      </c>
      <c r="L31" s="16" t="e">
        <f>SUM(F31:K31)</f>
        <v>#N/A</v>
      </c>
      <c r="O31" s="2"/>
      <c r="Q31" s="37" t="e">
        <f t="shared" ref="Q31:V31" si="13">DM2_Vaccine_USD*F31</f>
        <v>#N/A</v>
      </c>
      <c r="R31" s="37" t="e">
        <f t="shared" si="13"/>
        <v>#N/A</v>
      </c>
      <c r="S31" s="37" t="e">
        <f t="shared" si="13"/>
        <v>#N/A</v>
      </c>
      <c r="T31" s="37" t="e">
        <f t="shared" si="13"/>
        <v>#N/A</v>
      </c>
      <c r="U31" s="37" t="e">
        <f t="shared" si="13"/>
        <v>#N/A</v>
      </c>
      <c r="V31" s="37" t="e">
        <f t="shared" si="13"/>
        <v>#N/A</v>
      </c>
      <c r="W31" s="79" t="e">
        <f>SUM(Q31:V31)</f>
        <v>#N/A</v>
      </c>
      <c r="AB31" s="564" t="s">
        <v>4178</v>
      </c>
      <c r="AE31" s="564" t="s">
        <v>2811</v>
      </c>
      <c r="AZ31" s="564" t="s">
        <v>10024</v>
      </c>
      <c r="BC31" s="564" t="s">
        <v>10025</v>
      </c>
      <c r="BX31" s="564" t="s">
        <v>10055</v>
      </c>
      <c r="CA31" s="564" t="s">
        <v>10056</v>
      </c>
      <c r="CV31" s="564" t="s">
        <v>10028</v>
      </c>
      <c r="CY31" s="564" t="s">
        <v>10029</v>
      </c>
      <c r="DT31" s="564" t="s">
        <v>10030</v>
      </c>
      <c r="DW31" s="564" t="s">
        <v>10031</v>
      </c>
      <c r="ER31" s="564" t="s">
        <v>10032</v>
      </c>
      <c r="EU31" s="564" t="s">
        <v>10057</v>
      </c>
      <c r="FP31" s="564" t="s">
        <v>10034</v>
      </c>
      <c r="FS31" s="564" t="s">
        <v>10035</v>
      </c>
    </row>
    <row r="32" spans="1:175" x14ac:dyDescent="0.2">
      <c r="D32" s="72">
        <v>1</v>
      </c>
      <c r="E32" s="2" t="str">
        <f ca="1">IF(OFFSET(AE32,0,Lang_Order*Lang__B2)="","",OFFSET(AE32,0,Lang_Order*Lang__B2))</f>
        <v>Without wastage</v>
      </c>
      <c r="F32" s="16" t="e">
        <f>$D$29*$D32*F$29</f>
        <v>#N/A</v>
      </c>
      <c r="G32" s="16" t="e">
        <f t="shared" ref="G32:K32" si="14">$D$29*$D32*G$29</f>
        <v>#N/A</v>
      </c>
      <c r="H32" s="16" t="e">
        <f t="shared" si="14"/>
        <v>#N/A</v>
      </c>
      <c r="I32" s="16" t="e">
        <f t="shared" si="14"/>
        <v>#N/A</v>
      </c>
      <c r="J32" s="16" t="e">
        <f t="shared" si="14"/>
        <v>#N/A</v>
      </c>
      <c r="K32" s="16" t="e">
        <f t="shared" si="14"/>
        <v>#N/A</v>
      </c>
      <c r="L32" s="16" t="e">
        <f t="shared" ref="L32" si="15">SUM(F32:K32)</f>
        <v>#N/A</v>
      </c>
      <c r="O32" s="2"/>
      <c r="AE32" s="564" t="s">
        <v>4617</v>
      </c>
      <c r="BC32" s="564" t="s">
        <v>13521</v>
      </c>
      <c r="CA32" s="564" t="s">
        <v>13522</v>
      </c>
      <c r="CY32" s="564" t="s">
        <v>13523</v>
      </c>
      <c r="DW32" s="564" t="s">
        <v>13524</v>
      </c>
      <c r="EU32" s="564" t="s">
        <v>13525</v>
      </c>
      <c r="FS32" s="564" t="s">
        <v>13526</v>
      </c>
    </row>
    <row r="33" spans="1:192" s="194" customFormat="1" x14ac:dyDescent="0.2">
      <c r="A33" s="165">
        <v>-1</v>
      </c>
      <c r="B33" s="5" t="str">
        <f ca="1">IF(OFFSET(AB33,0,Lang_Order*Lang__B2)="","",OFFSET(AB33,0,Lang_Order*Lang__B2))</f>
        <v>Expected # of investigable AEFIs</v>
      </c>
      <c r="C33" s="2">
        <f ca="1">OFFSET(_Offset_Index_VaccineSupplies_Index,0,A33)</f>
        <v>15</v>
      </c>
      <c r="D33" s="269" t="e">
        <f>VLOOKUP($B$29,'T1. Vaccines'!$C$8:$AD$37,$C33,FALSE)</f>
        <v>#N/A</v>
      </c>
      <c r="F33" s="16" t="e">
        <f t="shared" ref="F33:L33" si="16">F31*$D33/100000</f>
        <v>#N/A</v>
      </c>
      <c r="G33" s="16" t="e">
        <f t="shared" si="16"/>
        <v>#N/A</v>
      </c>
      <c r="H33" s="16" t="e">
        <f t="shared" si="16"/>
        <v>#N/A</v>
      </c>
      <c r="I33" s="16" t="e">
        <f t="shared" si="16"/>
        <v>#N/A</v>
      </c>
      <c r="J33" s="16" t="e">
        <f t="shared" si="16"/>
        <v>#N/A</v>
      </c>
      <c r="K33" s="16" t="e">
        <f t="shared" si="16"/>
        <v>#N/A</v>
      </c>
      <c r="L33" s="16" t="e">
        <f t="shared" si="16"/>
        <v>#N/A</v>
      </c>
      <c r="M33" s="16"/>
      <c r="O33" s="2"/>
      <c r="P33" s="463"/>
      <c r="Q33" s="37"/>
      <c r="R33" s="37"/>
      <c r="S33" s="37"/>
      <c r="T33" s="37"/>
      <c r="U33" s="37"/>
      <c r="V33" s="37"/>
      <c r="W33" s="37"/>
      <c r="Z33" s="564"/>
      <c r="AA33" s="564"/>
      <c r="AB33" s="564" t="s">
        <v>3984</v>
      </c>
      <c r="AC33" s="564"/>
      <c r="AD33" s="564"/>
      <c r="AE33" s="564"/>
      <c r="AF33" s="564"/>
      <c r="AG33" s="564"/>
      <c r="AH33" s="564"/>
      <c r="AI33" s="564"/>
      <c r="AJ33" s="564"/>
      <c r="AK33" s="564"/>
      <c r="AL33" s="564"/>
      <c r="AM33" s="564"/>
      <c r="AN33" s="564"/>
      <c r="AO33" s="564"/>
      <c r="AP33" s="564"/>
      <c r="AQ33" s="564"/>
      <c r="AR33" s="564"/>
      <c r="AS33" s="564"/>
      <c r="AT33" s="564"/>
      <c r="AU33" s="564"/>
      <c r="AV33" s="564"/>
      <c r="AW33" s="564"/>
      <c r="AX33" s="564"/>
      <c r="AY33" s="564"/>
      <c r="AZ33" s="564" t="s">
        <v>10036</v>
      </c>
      <c r="BA33" s="564"/>
      <c r="BB33" s="564"/>
      <c r="BC33" s="564"/>
      <c r="BD33" s="564"/>
      <c r="BE33" s="564"/>
      <c r="BF33" s="564"/>
      <c r="BG33" s="564"/>
      <c r="BH33" s="564"/>
      <c r="BI33" s="564"/>
      <c r="BJ33" s="564"/>
      <c r="BK33" s="564"/>
      <c r="BL33" s="564"/>
      <c r="BM33" s="564"/>
      <c r="BN33" s="564"/>
      <c r="BO33" s="564"/>
      <c r="BP33" s="564"/>
      <c r="BQ33" s="564"/>
      <c r="BR33" s="564"/>
      <c r="BS33" s="564"/>
      <c r="BT33" s="564"/>
      <c r="BU33" s="564"/>
      <c r="BV33" s="564"/>
      <c r="BW33" s="564"/>
      <c r="BX33" s="564" t="s">
        <v>10058</v>
      </c>
      <c r="BY33" s="564"/>
      <c r="BZ33" s="564"/>
      <c r="CA33" s="564"/>
      <c r="CB33" s="564"/>
      <c r="CC33" s="564"/>
      <c r="CD33" s="564"/>
      <c r="CE33" s="564"/>
      <c r="CF33" s="564"/>
      <c r="CG33" s="564"/>
      <c r="CH33" s="564"/>
      <c r="CI33" s="564"/>
      <c r="CJ33" s="564"/>
      <c r="CK33" s="564"/>
      <c r="CL33" s="564"/>
      <c r="CM33" s="564"/>
      <c r="CN33" s="564"/>
      <c r="CO33" s="564"/>
      <c r="CP33" s="564"/>
      <c r="CQ33" s="564"/>
      <c r="CR33" s="564"/>
      <c r="CS33" s="564"/>
      <c r="CT33" s="564"/>
      <c r="CU33" s="564"/>
      <c r="CV33" s="564" t="s">
        <v>10038</v>
      </c>
      <c r="CW33" s="564"/>
      <c r="CX33" s="564"/>
      <c r="CY33" s="564"/>
      <c r="CZ33" s="564"/>
      <c r="DA33" s="564"/>
      <c r="DB33" s="564"/>
      <c r="DC33" s="564"/>
      <c r="DD33" s="564"/>
      <c r="DE33" s="564"/>
      <c r="DF33" s="564"/>
      <c r="DG33" s="564"/>
      <c r="DH33" s="564"/>
      <c r="DI33" s="564"/>
      <c r="DJ33" s="564"/>
      <c r="DK33" s="564"/>
      <c r="DL33" s="564"/>
      <c r="DM33" s="564"/>
      <c r="DN33" s="564"/>
      <c r="DO33" s="564"/>
      <c r="DP33" s="564"/>
      <c r="DQ33" s="564"/>
      <c r="DR33" s="564"/>
      <c r="DS33" s="564"/>
      <c r="DT33" s="564" t="s">
        <v>10039</v>
      </c>
      <c r="DU33" s="564"/>
      <c r="DV33" s="564"/>
      <c r="DW33" s="564"/>
      <c r="DX33" s="564"/>
      <c r="DY33" s="564"/>
      <c r="DZ33" s="564"/>
      <c r="EA33" s="564"/>
      <c r="EB33" s="564"/>
      <c r="EC33" s="564"/>
      <c r="ED33" s="564"/>
      <c r="EE33" s="564"/>
      <c r="EF33" s="564"/>
      <c r="EG33" s="564"/>
      <c r="EH33" s="564"/>
      <c r="EI33" s="564"/>
      <c r="EJ33" s="564"/>
      <c r="EK33" s="564"/>
      <c r="EL33" s="564"/>
      <c r="EM33" s="564"/>
      <c r="EN33" s="564"/>
      <c r="EO33" s="564"/>
      <c r="EP33" s="564"/>
      <c r="EQ33" s="564"/>
      <c r="ER33" s="564" t="s">
        <v>10040</v>
      </c>
      <c r="ES33" s="564"/>
      <c r="ET33" s="564"/>
      <c r="EU33" s="564"/>
      <c r="EV33" s="564"/>
      <c r="EW33" s="564"/>
      <c r="EX33" s="564"/>
      <c r="EY33" s="564"/>
      <c r="EZ33" s="564"/>
      <c r="FA33" s="564"/>
      <c r="FB33" s="564"/>
      <c r="FC33" s="564"/>
      <c r="FD33" s="564"/>
      <c r="FE33" s="564"/>
      <c r="FF33" s="564"/>
      <c r="FG33" s="564"/>
      <c r="FH33" s="564"/>
      <c r="FI33" s="564"/>
      <c r="FJ33" s="564"/>
      <c r="FK33" s="564"/>
      <c r="FL33" s="564"/>
      <c r="FM33" s="564"/>
      <c r="FN33" s="564"/>
      <c r="FO33" s="564"/>
      <c r="FP33" s="564" t="s">
        <v>10041</v>
      </c>
      <c r="FQ33" s="564"/>
      <c r="FR33" s="564"/>
      <c r="FS33" s="564"/>
      <c r="FT33" s="564"/>
      <c r="FU33" s="564"/>
      <c r="FV33" s="564"/>
      <c r="FW33" s="564"/>
      <c r="FX33" s="564"/>
      <c r="FY33" s="564"/>
      <c r="FZ33" s="564"/>
      <c r="GA33" s="564"/>
      <c r="GB33" s="564"/>
      <c r="GC33" s="564"/>
      <c r="GD33" s="564"/>
      <c r="GE33" s="564"/>
      <c r="GF33" s="564"/>
      <c r="GG33" s="564"/>
      <c r="GH33" s="564"/>
      <c r="GI33" s="564"/>
      <c r="GJ33" s="564"/>
    </row>
    <row r="34" spans="1:192" x14ac:dyDescent="0.2">
      <c r="C34" s="2"/>
      <c r="D34" s="269"/>
      <c r="O34" s="2"/>
    </row>
    <row r="35" spans="1:192" x14ac:dyDescent="0.2">
      <c r="C35" s="2"/>
      <c r="D35" s="269"/>
      <c r="E35" s="2" t="str">
        <f ca="1">IF(OFFSET(AE35,0,Lang_Order*Lang__B2)="","",OFFSET(AE35,0,Lang_Order*Lang__B2))</f>
        <v>Note: Waste Multiplication Factor TO BE incorporated in Vaccine Candidate Database</v>
      </c>
      <c r="O35" s="2"/>
      <c r="AE35" s="564" t="s">
        <v>4176</v>
      </c>
      <c r="BC35" s="564" t="s">
        <v>10042</v>
      </c>
      <c r="CA35" s="564" t="s">
        <v>10043</v>
      </c>
      <c r="CY35" s="564" t="s">
        <v>10044</v>
      </c>
      <c r="DW35" s="564" t="s">
        <v>10045</v>
      </c>
      <c r="EU35" s="564" t="s">
        <v>10046</v>
      </c>
      <c r="FS35" s="564" t="s">
        <v>10059</v>
      </c>
    </row>
    <row r="36" spans="1:192" x14ac:dyDescent="0.2">
      <c r="A36" s="165">
        <v>0</v>
      </c>
      <c r="B36" s="5" t="str">
        <f t="shared" ref="B36:B48" ca="1" si="17">OFFSET(_Offset_Index_VaccineSupplies,0,A36)</f>
        <v>Low Dead Space Syringe (0.3ml) AD</v>
      </c>
      <c r="C36" s="2">
        <f t="shared" ref="C36:C48" ca="1" si="18">OFFSET(_Offset_Index_VaccineSupplies_Index,0,A36)</f>
        <v>16</v>
      </c>
      <c r="D36" s="269" t="e">
        <f>VLOOKUP($B$29,'T1. Vaccines'!$C$8:$AD$37,$C36,FALSE)</f>
        <v>#N/A</v>
      </c>
      <c r="E36" s="2"/>
      <c r="F36" s="16" t="e">
        <f>$D$29*$D36*F$29</f>
        <v>#N/A</v>
      </c>
      <c r="G36" s="16" t="e">
        <f t="shared" ref="G36:K48" si="19">$D$29*$D36*G$29</f>
        <v>#N/A</v>
      </c>
      <c r="H36" s="16" t="e">
        <f t="shared" si="19"/>
        <v>#N/A</v>
      </c>
      <c r="I36" s="16" t="e">
        <f t="shared" si="19"/>
        <v>#N/A</v>
      </c>
      <c r="J36" s="16" t="e">
        <f t="shared" si="19"/>
        <v>#N/A</v>
      </c>
      <c r="K36" s="16" t="e">
        <f t="shared" si="19"/>
        <v>#N/A</v>
      </c>
      <c r="L36" s="16" t="e">
        <f>SUM(F36:K36)</f>
        <v>#N/A</v>
      </c>
      <c r="O36" s="221" t="e">
        <f ca="1">D36*'A3. INPUT Unit Costs'!M31*'A3. INPUT Unit Costs'!N31</f>
        <v>#N/A</v>
      </c>
      <c r="Q36" s="37" t="e">
        <f ca="1">F36*'A3. INPUT Unit Costs'!$I31</f>
        <v>#N/A</v>
      </c>
      <c r="R36" s="37" t="e">
        <f ca="1">G36*'A3. INPUT Unit Costs'!$I31</f>
        <v>#N/A</v>
      </c>
      <c r="S36" s="37" t="e">
        <f ca="1">H36*'A3. INPUT Unit Costs'!$I31</f>
        <v>#N/A</v>
      </c>
      <c r="T36" s="37" t="e">
        <f ca="1">I36*'A3. INPUT Unit Costs'!$I31</f>
        <v>#N/A</v>
      </c>
      <c r="U36" s="37" t="e">
        <f ca="1">J36*'A3. INPUT Unit Costs'!$I31</f>
        <v>#N/A</v>
      </c>
      <c r="V36" s="37" t="e">
        <f ca="1">K36*'A3. INPUT Unit Costs'!$I31</f>
        <v>#N/A</v>
      </c>
      <c r="W36" s="79" t="e">
        <f ca="1">SUM(Q36:V36)</f>
        <v>#N/A</v>
      </c>
    </row>
    <row r="37" spans="1:192" x14ac:dyDescent="0.2">
      <c r="A37" s="165">
        <v>1</v>
      </c>
      <c r="B37" s="5" t="str">
        <f t="shared" ca="1" si="17"/>
        <v>Syringe (0.5ml) AD</v>
      </c>
      <c r="C37" s="2">
        <f t="shared" ca="1" si="18"/>
        <v>17</v>
      </c>
      <c r="D37" s="269" t="e">
        <f>VLOOKUP($B$29,'T1. Vaccines'!$C$8:$AD$37,$C37,FALSE)</f>
        <v>#N/A</v>
      </c>
      <c r="E37" s="2"/>
      <c r="F37" s="16" t="e">
        <f t="shared" ref="F37:F48" si="20">$D$29*$D37*F$29</f>
        <v>#N/A</v>
      </c>
      <c r="G37" s="16" t="e">
        <f t="shared" si="19"/>
        <v>#N/A</v>
      </c>
      <c r="H37" s="16" t="e">
        <f t="shared" si="19"/>
        <v>#N/A</v>
      </c>
      <c r="I37" s="16" t="e">
        <f t="shared" si="19"/>
        <v>#N/A</v>
      </c>
      <c r="J37" s="16" t="e">
        <f t="shared" si="19"/>
        <v>#N/A</v>
      </c>
      <c r="K37" s="16" t="e">
        <f t="shared" si="19"/>
        <v>#N/A</v>
      </c>
      <c r="L37" s="16" t="e">
        <f>SUM(F37:K37)</f>
        <v>#N/A</v>
      </c>
      <c r="O37" s="221" t="e">
        <f ca="1">D37*'A3. INPUT Unit Costs'!M32*'A3. INPUT Unit Costs'!N32</f>
        <v>#N/A</v>
      </c>
      <c r="Q37" s="37" t="e">
        <f ca="1">F37*'A3. INPUT Unit Costs'!$I32</f>
        <v>#N/A</v>
      </c>
      <c r="R37" s="37" t="e">
        <f ca="1">G37*'A3. INPUT Unit Costs'!$I32</f>
        <v>#N/A</v>
      </c>
      <c r="S37" s="37" t="e">
        <f ca="1">H37*'A3. INPUT Unit Costs'!$I32</f>
        <v>#N/A</v>
      </c>
      <c r="T37" s="37" t="e">
        <f ca="1">I37*'A3. INPUT Unit Costs'!$I32</f>
        <v>#N/A</v>
      </c>
      <c r="U37" s="37" t="e">
        <f ca="1">J37*'A3. INPUT Unit Costs'!$I32</f>
        <v>#N/A</v>
      </c>
      <c r="V37" s="37" t="e">
        <f ca="1">K37*'A3. INPUT Unit Costs'!$I32</f>
        <v>#N/A</v>
      </c>
      <c r="W37" s="79" t="e">
        <f t="shared" ref="W37:W48" ca="1" si="21">SUM(Q37:V37)</f>
        <v>#N/A</v>
      </c>
    </row>
    <row r="38" spans="1:192" x14ac:dyDescent="0.2">
      <c r="A38" s="165">
        <v>2</v>
      </c>
      <c r="B38" s="5" t="str">
        <f t="shared" ca="1" si="17"/>
        <v>23G needle</v>
      </c>
      <c r="C38" s="2">
        <f t="shared" ca="1" si="18"/>
        <v>18</v>
      </c>
      <c r="D38" s="269" t="e">
        <f>VLOOKUP($B$29,'T1. Vaccines'!$C$8:$AD$37,$C38,FALSE)</f>
        <v>#N/A</v>
      </c>
      <c r="E38" s="2"/>
      <c r="F38" s="16" t="e">
        <f t="shared" si="20"/>
        <v>#N/A</v>
      </c>
      <c r="G38" s="16" t="e">
        <f t="shared" si="19"/>
        <v>#N/A</v>
      </c>
      <c r="H38" s="16" t="e">
        <f t="shared" si="19"/>
        <v>#N/A</v>
      </c>
      <c r="I38" s="16" t="e">
        <f t="shared" si="19"/>
        <v>#N/A</v>
      </c>
      <c r="J38" s="16" t="e">
        <f t="shared" si="19"/>
        <v>#N/A</v>
      </c>
      <c r="K38" s="16" t="e">
        <f t="shared" si="19"/>
        <v>#N/A</v>
      </c>
      <c r="L38" s="16" t="e">
        <f t="shared" ref="L38:L48" si="22">SUM(F38:K38)</f>
        <v>#N/A</v>
      </c>
      <c r="O38" s="221" t="e">
        <f ca="1">D38*'A3. INPUT Unit Costs'!M33*'A3. INPUT Unit Costs'!N33</f>
        <v>#N/A</v>
      </c>
      <c r="Q38" s="37" t="e">
        <f ca="1">F38*'A3. INPUT Unit Costs'!$I33</f>
        <v>#N/A</v>
      </c>
      <c r="R38" s="37" t="e">
        <f ca="1">G38*'A3. INPUT Unit Costs'!$I33</f>
        <v>#N/A</v>
      </c>
      <c r="S38" s="37" t="e">
        <f ca="1">H38*'A3. INPUT Unit Costs'!$I33</f>
        <v>#N/A</v>
      </c>
      <c r="T38" s="37" t="e">
        <f ca="1">I38*'A3. INPUT Unit Costs'!$I33</f>
        <v>#N/A</v>
      </c>
      <c r="U38" s="37" t="e">
        <f ca="1">J38*'A3. INPUT Unit Costs'!$I33</f>
        <v>#N/A</v>
      </c>
      <c r="V38" s="37" t="e">
        <f ca="1">K38*'A3. INPUT Unit Costs'!$I33</f>
        <v>#N/A</v>
      </c>
      <c r="W38" s="79" t="e">
        <f t="shared" ca="1" si="21"/>
        <v>#N/A</v>
      </c>
    </row>
    <row r="39" spans="1:192" x14ac:dyDescent="0.2">
      <c r="A39" s="165">
        <v>3</v>
      </c>
      <c r="B39" s="5" t="str">
        <f t="shared" ca="1" si="17"/>
        <v>Alcohol Swab, Plaster, Dry Swabs</v>
      </c>
      <c r="C39" s="2">
        <f t="shared" ca="1" si="18"/>
        <v>19</v>
      </c>
      <c r="D39" s="269" t="e">
        <f>VLOOKUP($B$29,'T1. Vaccines'!$C$8:$AD$37,$C39,FALSE)</f>
        <v>#N/A</v>
      </c>
      <c r="E39" s="2"/>
      <c r="F39" s="16" t="e">
        <f t="shared" si="20"/>
        <v>#N/A</v>
      </c>
      <c r="G39" s="16" t="e">
        <f t="shared" si="19"/>
        <v>#N/A</v>
      </c>
      <c r="H39" s="16" t="e">
        <f t="shared" si="19"/>
        <v>#N/A</v>
      </c>
      <c r="I39" s="16" t="e">
        <f t="shared" si="19"/>
        <v>#N/A</v>
      </c>
      <c r="J39" s="16" t="e">
        <f t="shared" si="19"/>
        <v>#N/A</v>
      </c>
      <c r="K39" s="16" t="e">
        <f t="shared" si="19"/>
        <v>#N/A</v>
      </c>
      <c r="L39" s="16" t="e">
        <f t="shared" si="22"/>
        <v>#N/A</v>
      </c>
      <c r="O39" s="221" t="e">
        <f ca="1">D39*'A3. INPUT Unit Costs'!M34*'A3. INPUT Unit Costs'!N34</f>
        <v>#N/A</v>
      </c>
      <c r="Q39" s="37" t="e">
        <f ca="1">F39*'A3. INPUT Unit Costs'!$I34</f>
        <v>#N/A</v>
      </c>
      <c r="R39" s="37" t="e">
        <f ca="1">G39*'A3. INPUT Unit Costs'!$I34</f>
        <v>#N/A</v>
      </c>
      <c r="S39" s="37" t="e">
        <f ca="1">H39*'A3. INPUT Unit Costs'!$I34</f>
        <v>#N/A</v>
      </c>
      <c r="T39" s="37" t="e">
        <f ca="1">I39*'A3. INPUT Unit Costs'!$I34</f>
        <v>#N/A</v>
      </c>
      <c r="U39" s="37" t="e">
        <f ca="1">J39*'A3. INPUT Unit Costs'!$I34</f>
        <v>#N/A</v>
      </c>
      <c r="V39" s="37" t="e">
        <f ca="1">K39*'A3. INPUT Unit Costs'!$I34</f>
        <v>#N/A</v>
      </c>
      <c r="W39" s="79" t="e">
        <f t="shared" ca="1" si="21"/>
        <v>#N/A</v>
      </c>
    </row>
    <row r="40" spans="1:192" x14ac:dyDescent="0.2">
      <c r="A40" s="165">
        <v>4</v>
      </c>
      <c r="B40" s="5" t="str">
        <f t="shared" ca="1" si="17"/>
        <v>21G needle</v>
      </c>
      <c r="C40" s="2">
        <f t="shared" ca="1" si="18"/>
        <v>20</v>
      </c>
      <c r="D40" s="269" t="e">
        <f>VLOOKUP($B$29,'T1. Vaccines'!$C$8:$AD$37,$C40,FALSE)</f>
        <v>#N/A</v>
      </c>
      <c r="E40" s="2"/>
      <c r="F40" s="16" t="e">
        <f t="shared" si="20"/>
        <v>#N/A</v>
      </c>
      <c r="G40" s="16" t="e">
        <f t="shared" si="19"/>
        <v>#N/A</v>
      </c>
      <c r="H40" s="16" t="e">
        <f t="shared" si="19"/>
        <v>#N/A</v>
      </c>
      <c r="I40" s="16" t="e">
        <f t="shared" si="19"/>
        <v>#N/A</v>
      </c>
      <c r="J40" s="16" t="e">
        <f t="shared" si="19"/>
        <v>#N/A</v>
      </c>
      <c r="K40" s="16" t="e">
        <f t="shared" si="19"/>
        <v>#N/A</v>
      </c>
      <c r="L40" s="16" t="e">
        <f t="shared" si="22"/>
        <v>#N/A</v>
      </c>
      <c r="O40" s="221" t="e">
        <f ca="1">D40*'A3. INPUT Unit Costs'!M35*'A3. INPUT Unit Costs'!N35</f>
        <v>#N/A</v>
      </c>
      <c r="Q40" s="37" t="e">
        <f ca="1">F40*'A3. INPUT Unit Costs'!$I35</f>
        <v>#N/A</v>
      </c>
      <c r="R40" s="37" t="e">
        <f ca="1">G40*'A3. INPUT Unit Costs'!$I35</f>
        <v>#N/A</v>
      </c>
      <c r="S40" s="37" t="e">
        <f ca="1">H40*'A3. INPUT Unit Costs'!$I35</f>
        <v>#N/A</v>
      </c>
      <c r="T40" s="37" t="e">
        <f ca="1">I40*'A3. INPUT Unit Costs'!$I35</f>
        <v>#N/A</v>
      </c>
      <c r="U40" s="37" t="e">
        <f ca="1">J40*'A3. INPUT Unit Costs'!$I35</f>
        <v>#N/A</v>
      </c>
      <c r="V40" s="37" t="e">
        <f ca="1">K40*'A3. INPUT Unit Costs'!$I35</f>
        <v>#N/A</v>
      </c>
      <c r="W40" s="79" t="e">
        <f t="shared" ca="1" si="21"/>
        <v>#N/A</v>
      </c>
    </row>
    <row r="41" spans="1:192" x14ac:dyDescent="0.2">
      <c r="A41" s="165">
        <v>5</v>
      </c>
      <c r="B41" s="5" t="str">
        <f t="shared" ca="1" si="17"/>
        <v>Sodium Chloride 0.9 % ampule 10mls</v>
      </c>
      <c r="C41" s="2">
        <f t="shared" ca="1" si="18"/>
        <v>21</v>
      </c>
      <c r="D41" s="269" t="e">
        <f>VLOOKUP($B$29,'T1. Vaccines'!$C$8:$AD$37,$C41,FALSE)</f>
        <v>#N/A</v>
      </c>
      <c r="E41" s="2"/>
      <c r="F41" s="16" t="e">
        <f t="shared" si="20"/>
        <v>#N/A</v>
      </c>
      <c r="G41" s="16" t="e">
        <f t="shared" si="19"/>
        <v>#N/A</v>
      </c>
      <c r="H41" s="16" t="e">
        <f t="shared" si="19"/>
        <v>#N/A</v>
      </c>
      <c r="I41" s="16" t="e">
        <f t="shared" si="19"/>
        <v>#N/A</v>
      </c>
      <c r="J41" s="16" t="e">
        <f t="shared" si="19"/>
        <v>#N/A</v>
      </c>
      <c r="K41" s="16" t="e">
        <f t="shared" si="19"/>
        <v>#N/A</v>
      </c>
      <c r="L41" s="16" t="e">
        <f t="shared" si="22"/>
        <v>#N/A</v>
      </c>
      <c r="O41" s="221" t="e">
        <f ca="1">D41*'A3. INPUT Unit Costs'!M36*'A3. INPUT Unit Costs'!N36</f>
        <v>#N/A</v>
      </c>
      <c r="Q41" s="37" t="e">
        <f ca="1">F41*'A3. INPUT Unit Costs'!$I36</f>
        <v>#N/A</v>
      </c>
      <c r="R41" s="37" t="e">
        <f ca="1">G41*'A3. INPUT Unit Costs'!$I36</f>
        <v>#N/A</v>
      </c>
      <c r="S41" s="37" t="e">
        <f ca="1">H41*'A3. INPUT Unit Costs'!$I36</f>
        <v>#N/A</v>
      </c>
      <c r="T41" s="37" t="e">
        <f ca="1">I41*'A3. INPUT Unit Costs'!$I36</f>
        <v>#N/A</v>
      </c>
      <c r="U41" s="37" t="e">
        <f ca="1">J41*'A3. INPUT Unit Costs'!$I36</f>
        <v>#N/A</v>
      </c>
      <c r="V41" s="37" t="e">
        <f ca="1">K41*'A3. INPUT Unit Costs'!$I36</f>
        <v>#N/A</v>
      </c>
      <c r="W41" s="79" t="e">
        <f t="shared" ca="1" si="21"/>
        <v>#N/A</v>
      </c>
    </row>
    <row r="42" spans="1:192" x14ac:dyDescent="0.2">
      <c r="A42" s="165">
        <v>6</v>
      </c>
      <c r="B42" s="5" t="str">
        <f t="shared" ca="1" si="17"/>
        <v>RUP syringe (3ml)</v>
      </c>
      <c r="C42" s="2">
        <f t="shared" ca="1" si="18"/>
        <v>22</v>
      </c>
      <c r="D42" s="269" t="e">
        <f>VLOOKUP($B$29,'T1. Vaccines'!$C$8:$AD$37,$C42,FALSE)</f>
        <v>#N/A</v>
      </c>
      <c r="E42" s="2"/>
      <c r="F42" s="16" t="e">
        <f t="shared" si="20"/>
        <v>#N/A</v>
      </c>
      <c r="G42" s="16" t="e">
        <f t="shared" si="19"/>
        <v>#N/A</v>
      </c>
      <c r="H42" s="16" t="e">
        <f t="shared" si="19"/>
        <v>#N/A</v>
      </c>
      <c r="I42" s="16" t="e">
        <f t="shared" si="19"/>
        <v>#N/A</v>
      </c>
      <c r="J42" s="16" t="e">
        <f t="shared" si="19"/>
        <v>#N/A</v>
      </c>
      <c r="K42" s="16" t="e">
        <f t="shared" si="19"/>
        <v>#N/A</v>
      </c>
      <c r="L42" s="16" t="e">
        <f t="shared" si="22"/>
        <v>#N/A</v>
      </c>
      <c r="O42" s="221" t="e">
        <f ca="1">D42*'A3. INPUT Unit Costs'!M37*'A3. INPUT Unit Costs'!N37</f>
        <v>#N/A</v>
      </c>
      <c r="Q42" s="37" t="e">
        <f ca="1">F42*'A3. INPUT Unit Costs'!$I37</f>
        <v>#N/A</v>
      </c>
      <c r="R42" s="37" t="e">
        <f ca="1">G42*'A3. INPUT Unit Costs'!$I37</f>
        <v>#N/A</v>
      </c>
      <c r="S42" s="37" t="e">
        <f ca="1">H42*'A3. INPUT Unit Costs'!$I37</f>
        <v>#N/A</v>
      </c>
      <c r="T42" s="37" t="e">
        <f ca="1">I42*'A3. INPUT Unit Costs'!$I37</f>
        <v>#N/A</v>
      </c>
      <c r="U42" s="37" t="e">
        <f ca="1">J42*'A3. INPUT Unit Costs'!$I37</f>
        <v>#N/A</v>
      </c>
      <c r="V42" s="37" t="e">
        <f ca="1">K42*'A3. INPUT Unit Costs'!$I37</f>
        <v>#N/A</v>
      </c>
      <c r="W42" s="79" t="e">
        <f t="shared" ca="1" si="21"/>
        <v>#N/A</v>
      </c>
    </row>
    <row r="43" spans="1:192" x14ac:dyDescent="0.2">
      <c r="A43" s="165">
        <v>7</v>
      </c>
      <c r="B43" s="5" t="str">
        <f t="shared" ca="1" si="17"/>
        <v>…</v>
      </c>
      <c r="C43" s="2">
        <f t="shared" ca="1" si="18"/>
        <v>23</v>
      </c>
      <c r="D43" s="269" t="e">
        <f>VLOOKUP($B$29,'T1. Vaccines'!$C$8:$AD$37,$C43,FALSE)</f>
        <v>#N/A</v>
      </c>
      <c r="E43" s="2"/>
      <c r="F43" s="16" t="e">
        <f t="shared" si="20"/>
        <v>#N/A</v>
      </c>
      <c r="G43" s="16" t="e">
        <f t="shared" si="19"/>
        <v>#N/A</v>
      </c>
      <c r="H43" s="16" t="e">
        <f t="shared" si="19"/>
        <v>#N/A</v>
      </c>
      <c r="I43" s="16" t="e">
        <f t="shared" si="19"/>
        <v>#N/A</v>
      </c>
      <c r="J43" s="16" t="e">
        <f t="shared" si="19"/>
        <v>#N/A</v>
      </c>
      <c r="K43" s="16" t="e">
        <f t="shared" si="19"/>
        <v>#N/A</v>
      </c>
      <c r="L43" s="16" t="e">
        <f t="shared" si="22"/>
        <v>#N/A</v>
      </c>
      <c r="O43" s="221" t="e">
        <f ca="1">D43*'A3. INPUT Unit Costs'!M38*'A3. INPUT Unit Costs'!N38</f>
        <v>#N/A</v>
      </c>
      <c r="Q43" s="37" t="e">
        <f ca="1">F43*'A3. INPUT Unit Costs'!$I38</f>
        <v>#N/A</v>
      </c>
      <c r="R43" s="37" t="e">
        <f ca="1">G43*'A3. INPUT Unit Costs'!$I38</f>
        <v>#N/A</v>
      </c>
      <c r="S43" s="37" t="e">
        <f ca="1">H43*'A3. INPUT Unit Costs'!$I38</f>
        <v>#N/A</v>
      </c>
      <c r="T43" s="37" t="e">
        <f ca="1">I43*'A3. INPUT Unit Costs'!$I38</f>
        <v>#N/A</v>
      </c>
      <c r="U43" s="37" t="e">
        <f ca="1">J43*'A3. INPUT Unit Costs'!$I38</f>
        <v>#N/A</v>
      </c>
      <c r="V43" s="37" t="e">
        <f ca="1">K43*'A3. INPUT Unit Costs'!$I38</f>
        <v>#N/A</v>
      </c>
      <c r="W43" s="79" t="e">
        <f t="shared" ca="1" si="21"/>
        <v>#N/A</v>
      </c>
    </row>
    <row r="44" spans="1:192" x14ac:dyDescent="0.2">
      <c r="A44" s="165">
        <v>8</v>
      </c>
      <c r="B44" s="5" t="str">
        <f t="shared" ca="1" si="17"/>
        <v>…</v>
      </c>
      <c r="C44" s="2">
        <f t="shared" ca="1" si="18"/>
        <v>24</v>
      </c>
      <c r="D44" s="269" t="e">
        <f>VLOOKUP($B$29,'T1. Vaccines'!$C$8:$AD$37,$C44,FALSE)</f>
        <v>#N/A</v>
      </c>
      <c r="E44" s="2"/>
      <c r="F44" s="16" t="e">
        <f t="shared" si="20"/>
        <v>#N/A</v>
      </c>
      <c r="G44" s="16" t="e">
        <f t="shared" si="19"/>
        <v>#N/A</v>
      </c>
      <c r="H44" s="16" t="e">
        <f t="shared" si="19"/>
        <v>#N/A</v>
      </c>
      <c r="I44" s="16" t="e">
        <f t="shared" si="19"/>
        <v>#N/A</v>
      </c>
      <c r="J44" s="16" t="e">
        <f t="shared" si="19"/>
        <v>#N/A</v>
      </c>
      <c r="K44" s="16" t="e">
        <f t="shared" si="19"/>
        <v>#N/A</v>
      </c>
      <c r="L44" s="16" t="e">
        <f t="shared" si="22"/>
        <v>#N/A</v>
      </c>
      <c r="O44" s="221" t="e">
        <f ca="1">D44*'A3. INPUT Unit Costs'!M39*'A3. INPUT Unit Costs'!N39</f>
        <v>#N/A</v>
      </c>
      <c r="Q44" s="37" t="e">
        <f ca="1">F44*'A3. INPUT Unit Costs'!$I39</f>
        <v>#N/A</v>
      </c>
      <c r="R44" s="37" t="e">
        <f ca="1">G44*'A3. INPUT Unit Costs'!$I39</f>
        <v>#N/A</v>
      </c>
      <c r="S44" s="37" t="e">
        <f ca="1">H44*'A3. INPUT Unit Costs'!$I39</f>
        <v>#N/A</v>
      </c>
      <c r="T44" s="37" t="e">
        <f ca="1">I44*'A3. INPUT Unit Costs'!$I39</f>
        <v>#N/A</v>
      </c>
      <c r="U44" s="37" t="e">
        <f ca="1">J44*'A3. INPUT Unit Costs'!$I39</f>
        <v>#N/A</v>
      </c>
      <c r="V44" s="37" t="e">
        <f ca="1">K44*'A3. INPUT Unit Costs'!$I39</f>
        <v>#N/A</v>
      </c>
      <c r="W44" s="79" t="e">
        <f t="shared" ca="1" si="21"/>
        <v>#N/A</v>
      </c>
    </row>
    <row r="45" spans="1:192" x14ac:dyDescent="0.2">
      <c r="A45" s="165">
        <v>9</v>
      </c>
      <c r="B45" s="5" t="str">
        <f t="shared" ca="1" si="17"/>
        <v>Sharps Disposal (5L)</v>
      </c>
      <c r="C45" s="2">
        <f t="shared" ca="1" si="18"/>
        <v>25</v>
      </c>
      <c r="D45" s="269" t="e">
        <f>VLOOKUP($B$29,'T1. Vaccines'!$C$8:$AD$37,$C45,FALSE)</f>
        <v>#N/A</v>
      </c>
      <c r="E45" s="2"/>
      <c r="F45" s="16" t="e">
        <f t="shared" si="20"/>
        <v>#N/A</v>
      </c>
      <c r="G45" s="16" t="e">
        <f t="shared" si="19"/>
        <v>#N/A</v>
      </c>
      <c r="H45" s="16" t="e">
        <f t="shared" si="19"/>
        <v>#N/A</v>
      </c>
      <c r="I45" s="16" t="e">
        <f t="shared" si="19"/>
        <v>#N/A</v>
      </c>
      <c r="J45" s="16" t="e">
        <f t="shared" si="19"/>
        <v>#N/A</v>
      </c>
      <c r="K45" s="16" t="e">
        <f t="shared" si="19"/>
        <v>#N/A</v>
      </c>
      <c r="L45" s="16" t="e">
        <f t="shared" si="22"/>
        <v>#N/A</v>
      </c>
      <c r="O45" s="221" t="e">
        <f ca="1">D45*'A3. INPUT Unit Costs'!M40*'A3. INPUT Unit Costs'!N40</f>
        <v>#N/A</v>
      </c>
      <c r="Q45" s="37" t="e">
        <f ca="1">F45*'A3. INPUT Unit Costs'!$I40</f>
        <v>#N/A</v>
      </c>
      <c r="R45" s="37" t="e">
        <f ca="1">G45*'A3. INPUT Unit Costs'!$I40</f>
        <v>#N/A</v>
      </c>
      <c r="S45" s="37" t="e">
        <f ca="1">H45*'A3. INPUT Unit Costs'!$I40</f>
        <v>#N/A</v>
      </c>
      <c r="T45" s="37" t="e">
        <f ca="1">I45*'A3. INPUT Unit Costs'!$I40</f>
        <v>#N/A</v>
      </c>
      <c r="U45" s="37" t="e">
        <f ca="1">J45*'A3. INPUT Unit Costs'!$I40</f>
        <v>#N/A</v>
      </c>
      <c r="V45" s="37" t="e">
        <f ca="1">K45*'A3. INPUT Unit Costs'!$I40</f>
        <v>#N/A</v>
      </c>
      <c r="W45" s="79" t="e">
        <f t="shared" ca="1" si="21"/>
        <v>#N/A</v>
      </c>
    </row>
    <row r="46" spans="1:192" x14ac:dyDescent="0.2">
      <c r="A46" s="165">
        <v>10</v>
      </c>
      <c r="B46" s="5" t="str">
        <f t="shared" ca="1" si="17"/>
        <v>Vaccination Card</v>
      </c>
      <c r="C46" s="2">
        <f t="shared" ca="1" si="18"/>
        <v>26</v>
      </c>
      <c r="D46" s="269" t="e">
        <f>VLOOKUP($B$29,'T1. Vaccines'!$C$8:$AD$37,$C46,FALSE)</f>
        <v>#N/A</v>
      </c>
      <c r="E46" s="2"/>
      <c r="F46" s="16" t="e">
        <f t="shared" si="20"/>
        <v>#N/A</v>
      </c>
      <c r="G46" s="16" t="e">
        <f t="shared" si="19"/>
        <v>#N/A</v>
      </c>
      <c r="H46" s="16" t="e">
        <f t="shared" si="19"/>
        <v>#N/A</v>
      </c>
      <c r="I46" s="16" t="e">
        <f t="shared" si="19"/>
        <v>#N/A</v>
      </c>
      <c r="J46" s="16" t="e">
        <f t="shared" si="19"/>
        <v>#N/A</v>
      </c>
      <c r="K46" s="16" t="e">
        <f t="shared" si="19"/>
        <v>#N/A</v>
      </c>
      <c r="L46" s="16" t="e">
        <f t="shared" si="22"/>
        <v>#N/A</v>
      </c>
      <c r="O46" s="221" t="e">
        <f ca="1">D46*'A3. INPUT Unit Costs'!M41*'A3. INPUT Unit Costs'!N41</f>
        <v>#N/A</v>
      </c>
      <c r="Q46" s="37" t="e">
        <f ca="1">F46*'A3. INPUT Unit Costs'!$I41</f>
        <v>#N/A</v>
      </c>
      <c r="R46" s="37" t="e">
        <f ca="1">G46*'A3. INPUT Unit Costs'!$I41</f>
        <v>#N/A</v>
      </c>
      <c r="S46" s="37" t="e">
        <f ca="1">H46*'A3. INPUT Unit Costs'!$I41</f>
        <v>#N/A</v>
      </c>
      <c r="T46" s="37" t="e">
        <f ca="1">I46*'A3. INPUT Unit Costs'!$I41</f>
        <v>#N/A</v>
      </c>
      <c r="U46" s="37" t="e">
        <f ca="1">J46*'A3. INPUT Unit Costs'!$I41</f>
        <v>#N/A</v>
      </c>
      <c r="V46" s="37" t="e">
        <f ca="1">K46*'A3. INPUT Unit Costs'!$I41</f>
        <v>#N/A</v>
      </c>
      <c r="W46" s="79" t="e">
        <f t="shared" ca="1" si="21"/>
        <v>#N/A</v>
      </c>
    </row>
    <row r="47" spans="1:192" x14ac:dyDescent="0.2">
      <c r="A47" s="165">
        <v>11</v>
      </c>
      <c r="B47" s="5" t="str">
        <f t="shared" ca="1" si="17"/>
        <v>Electronic Records</v>
      </c>
      <c r="C47" s="2">
        <f t="shared" ca="1" si="18"/>
        <v>27</v>
      </c>
      <c r="D47" s="269" t="e">
        <f>VLOOKUP($B$29,'T1. Vaccines'!$C$8:$AD$37,$C47,FALSE)</f>
        <v>#N/A</v>
      </c>
      <c r="E47" s="2"/>
      <c r="F47" s="16" t="e">
        <f t="shared" si="20"/>
        <v>#N/A</v>
      </c>
      <c r="G47" s="16" t="e">
        <f t="shared" si="19"/>
        <v>#N/A</v>
      </c>
      <c r="H47" s="16" t="e">
        <f t="shared" si="19"/>
        <v>#N/A</v>
      </c>
      <c r="I47" s="16" t="e">
        <f t="shared" si="19"/>
        <v>#N/A</v>
      </c>
      <c r="J47" s="16" t="e">
        <f t="shared" si="19"/>
        <v>#N/A</v>
      </c>
      <c r="K47" s="16" t="e">
        <f t="shared" si="19"/>
        <v>#N/A</v>
      </c>
      <c r="L47" s="16" t="e">
        <f t="shared" si="22"/>
        <v>#N/A</v>
      </c>
      <c r="O47" s="221" t="e">
        <f>D47*'A3. INPUT Unit Costs'!M42*'A3. INPUT Unit Costs'!N42</f>
        <v>#N/A</v>
      </c>
      <c r="Q47" s="37" t="e">
        <f>F47*'A3. INPUT Unit Costs'!$I42</f>
        <v>#N/A</v>
      </c>
      <c r="R47" s="37" t="e">
        <f>G47*'A3. INPUT Unit Costs'!$I42</f>
        <v>#N/A</v>
      </c>
      <c r="S47" s="37" t="e">
        <f>H47*'A3. INPUT Unit Costs'!$I42</f>
        <v>#N/A</v>
      </c>
      <c r="T47" s="37" t="e">
        <f>I47*'A3. INPUT Unit Costs'!$I42</f>
        <v>#N/A</v>
      </c>
      <c r="U47" s="37" t="e">
        <f>J47*'A3. INPUT Unit Costs'!$I42</f>
        <v>#N/A</v>
      </c>
      <c r="V47" s="37" t="e">
        <f>K47*'A3. INPUT Unit Costs'!$I42</f>
        <v>#N/A</v>
      </c>
      <c r="W47" s="79" t="e">
        <f t="shared" si="21"/>
        <v>#N/A</v>
      </c>
    </row>
    <row r="48" spans="1:192" x14ac:dyDescent="0.2">
      <c r="A48" s="165">
        <v>12</v>
      </c>
      <c r="B48" s="5" t="str">
        <f t="shared" ca="1" si="17"/>
        <v>No fault compensation fund</v>
      </c>
      <c r="C48" s="2">
        <f t="shared" ca="1" si="18"/>
        <v>28</v>
      </c>
      <c r="D48" s="269" t="e">
        <f>VLOOKUP($B$29,'T1. Vaccines'!$C$8:$AD$37,$C48,FALSE)</f>
        <v>#N/A</v>
      </c>
      <c r="E48" s="2"/>
      <c r="F48" s="16" t="e">
        <f t="shared" si="20"/>
        <v>#N/A</v>
      </c>
      <c r="G48" s="16" t="e">
        <f t="shared" si="19"/>
        <v>#N/A</v>
      </c>
      <c r="H48" s="16" t="e">
        <f t="shared" si="19"/>
        <v>#N/A</v>
      </c>
      <c r="I48" s="16" t="e">
        <f t="shared" si="19"/>
        <v>#N/A</v>
      </c>
      <c r="J48" s="16" t="e">
        <f t="shared" si="19"/>
        <v>#N/A</v>
      </c>
      <c r="K48" s="16" t="e">
        <f t="shared" si="19"/>
        <v>#N/A</v>
      </c>
      <c r="L48" s="16" t="e">
        <f t="shared" si="22"/>
        <v>#N/A</v>
      </c>
      <c r="O48" s="221" t="e">
        <f ca="1">D48*'A3. INPUT Unit Costs'!N43</f>
        <v>#N/A</v>
      </c>
      <c r="Q48" s="37" t="e">
        <f>F48*'A3. INPUT Unit Costs'!$I43</f>
        <v>#N/A</v>
      </c>
      <c r="R48" s="37" t="e">
        <f>G48*'A3. INPUT Unit Costs'!$I43</f>
        <v>#N/A</v>
      </c>
      <c r="S48" s="37" t="e">
        <f>H48*'A3. INPUT Unit Costs'!$I43</f>
        <v>#N/A</v>
      </c>
      <c r="T48" s="37" t="e">
        <f>I48*'A3. INPUT Unit Costs'!$I43</f>
        <v>#N/A</v>
      </c>
      <c r="U48" s="37" t="e">
        <f>J48*'A3. INPUT Unit Costs'!$I43</f>
        <v>#N/A</v>
      </c>
      <c r="V48" s="37" t="e">
        <f>K48*'A3. INPUT Unit Costs'!$I43</f>
        <v>#N/A</v>
      </c>
      <c r="W48" s="79" t="e">
        <f t="shared" si="21"/>
        <v>#N/A</v>
      </c>
    </row>
    <row r="50" spans="1:192" ht="15" x14ac:dyDescent="0.25">
      <c r="A50" s="8" t="str">
        <f ca="1">IF(OFFSET(AA50,0,Lang_Order*Lang__B2)="","",OFFSET(AA50,0,Lang_Order*Lang__B2))</f>
        <v>B2.1.3 Delivery Modality 3</v>
      </c>
      <c r="B50" s="58">
        <f>DM3_Vaccine</f>
        <v>0</v>
      </c>
      <c r="C50" s="58">
        <f>'T1. Vaccines'!$F$39</f>
        <v>4</v>
      </c>
      <c r="D50" s="59" t="e">
        <f>VLOOKUP(DM3_Vaccine,'T1. Vaccines'!$C$8:$AD$37,C50,FALSE)</f>
        <v>#N/A</v>
      </c>
      <c r="E50" s="19" t="str">
        <f ca="1">IF(OFFSET(AE50,0,Lang_Order*Lang__B2)="","",OFFSET(AE50,0,Lang_Order*Lang__B2))</f>
        <v># Courses:</v>
      </c>
      <c r="F50" s="80" t="e">
        <f>'B1. Target Population'!D183</f>
        <v>#N/A</v>
      </c>
      <c r="G50" s="80" t="e">
        <f>'B1. Target Population'!E183</f>
        <v>#N/A</v>
      </c>
      <c r="H50" s="80" t="e">
        <f>'B1. Target Population'!F183</f>
        <v>#N/A</v>
      </c>
      <c r="I50" s="80" t="e">
        <f>'B1. Target Population'!G183</f>
        <v>#N/A</v>
      </c>
      <c r="J50" s="80" t="e">
        <f>'B1. Target Population'!H183</f>
        <v>#N/A</v>
      </c>
      <c r="K50" s="80" t="e">
        <f>'B1. Target Population'!I183</f>
        <v>#N/A</v>
      </c>
      <c r="L50" s="80" t="e">
        <f>'B1. Target Population'!J183</f>
        <v>#N/A</v>
      </c>
      <c r="M50" s="80"/>
      <c r="N50" s="65"/>
      <c r="O50" s="482" t="e">
        <f ca="1">SUM(O57:O65)</f>
        <v>#N/A</v>
      </c>
      <c r="P50" s="65"/>
      <c r="Q50" s="82" t="e">
        <f t="shared" ref="Q50:W50" si="23">SUM(Q52:Q69)</f>
        <v>#N/A</v>
      </c>
      <c r="R50" s="82" t="e">
        <f t="shared" si="23"/>
        <v>#N/A</v>
      </c>
      <c r="S50" s="82" t="e">
        <f t="shared" si="23"/>
        <v>#N/A</v>
      </c>
      <c r="T50" s="82" t="e">
        <f t="shared" si="23"/>
        <v>#N/A</v>
      </c>
      <c r="U50" s="82" t="e">
        <f t="shared" si="23"/>
        <v>#N/A</v>
      </c>
      <c r="V50" s="82" t="e">
        <f t="shared" si="23"/>
        <v>#N/A</v>
      </c>
      <c r="W50" s="82" t="e">
        <f t="shared" si="23"/>
        <v>#N/A</v>
      </c>
      <c r="X50" s="8"/>
      <c r="AA50" s="564" t="s">
        <v>2862</v>
      </c>
      <c r="AE50" s="564" t="s">
        <v>4266</v>
      </c>
      <c r="AY50" s="564" t="s">
        <v>10060</v>
      </c>
      <c r="BC50" s="564" t="s">
        <v>10005</v>
      </c>
      <c r="BW50" s="564" t="s">
        <v>10061</v>
      </c>
      <c r="CA50" s="564" t="s">
        <v>10008</v>
      </c>
      <c r="CU50" s="564" t="s">
        <v>10062</v>
      </c>
      <c r="CY50" s="564" t="s">
        <v>10051</v>
      </c>
      <c r="DS50" s="564" t="s">
        <v>10063</v>
      </c>
      <c r="DW50" s="564" t="s">
        <v>10014</v>
      </c>
      <c r="EQ50" s="564" t="s">
        <v>10064</v>
      </c>
      <c r="EU50" s="564" t="s">
        <v>10017</v>
      </c>
      <c r="FO50" s="564" t="s">
        <v>10065</v>
      </c>
      <c r="FS50" s="564" t="s">
        <v>10020</v>
      </c>
    </row>
    <row r="51" spans="1:192" x14ac:dyDescent="0.2">
      <c r="D51" s="72"/>
      <c r="E51" s="193"/>
    </row>
    <row r="52" spans="1:192" x14ac:dyDescent="0.2">
      <c r="B52" s="5" t="str">
        <f ca="1">IF(OFFSET(AB52,0,Lang_Order*Lang__B2)="","",OFFSET(AB52,0,Lang_Order*Lang__B2))</f>
        <v>Vaccine doses</v>
      </c>
      <c r="D52" s="15"/>
      <c r="E52" s="2" t="str">
        <f ca="1">IF(OFFSET(AE52,0,Lang_Order*Lang__B2)="","",OFFSET(AE52,0,Lang_Order*Lang__B2))</f>
        <v>Add wastage rate + doses per course</v>
      </c>
      <c r="F52" s="16" t="e">
        <f>'B1. Target Population'!D198*$D50</f>
        <v>#N/A</v>
      </c>
      <c r="G52" s="16" t="e">
        <f>'B1. Target Population'!E198*$D50</f>
        <v>#N/A</v>
      </c>
      <c r="H52" s="16" t="e">
        <f>'B1. Target Population'!F198*$D50</f>
        <v>#N/A</v>
      </c>
      <c r="I52" s="16" t="e">
        <f>'B1. Target Population'!G198*$D50</f>
        <v>#N/A</v>
      </c>
      <c r="J52" s="16" t="e">
        <f>'B1. Target Population'!H198*$D50</f>
        <v>#N/A</v>
      </c>
      <c r="K52" s="16" t="e">
        <f>'B1. Target Population'!I198*$D50</f>
        <v>#N/A</v>
      </c>
      <c r="L52" s="16" t="e">
        <f>SUM(F52:K52)</f>
        <v>#N/A</v>
      </c>
      <c r="O52" s="2"/>
      <c r="Q52" s="37" t="e">
        <f t="shared" ref="Q52:V52" si="24">DM3_Vaccine_USD*F52</f>
        <v>#N/A</v>
      </c>
      <c r="R52" s="37" t="e">
        <f t="shared" si="24"/>
        <v>#N/A</v>
      </c>
      <c r="S52" s="37" t="e">
        <f t="shared" si="24"/>
        <v>#N/A</v>
      </c>
      <c r="T52" s="37" t="e">
        <f t="shared" si="24"/>
        <v>#N/A</v>
      </c>
      <c r="U52" s="37" t="e">
        <f t="shared" si="24"/>
        <v>#N/A</v>
      </c>
      <c r="V52" s="37" t="e">
        <f t="shared" si="24"/>
        <v>#N/A</v>
      </c>
      <c r="W52" s="79" t="e">
        <f>SUM(Q52:V52)</f>
        <v>#N/A</v>
      </c>
      <c r="AB52" s="564" t="s">
        <v>4178</v>
      </c>
      <c r="AE52" s="564" t="s">
        <v>2811</v>
      </c>
      <c r="AZ52" s="564" t="s">
        <v>10024</v>
      </c>
      <c r="BC52" s="564" t="s">
        <v>10025</v>
      </c>
      <c r="BX52" s="564" t="s">
        <v>10055</v>
      </c>
      <c r="CA52" s="564" t="s">
        <v>10056</v>
      </c>
      <c r="CV52" s="564" t="s">
        <v>10028</v>
      </c>
      <c r="CY52" s="564" t="s">
        <v>10029</v>
      </c>
      <c r="DT52" s="564" t="s">
        <v>10030</v>
      </c>
      <c r="DW52" s="564" t="s">
        <v>10031</v>
      </c>
      <c r="ER52" s="564" t="s">
        <v>10032</v>
      </c>
      <c r="EU52" s="564" t="s">
        <v>10057</v>
      </c>
      <c r="FP52" s="564" t="s">
        <v>10034</v>
      </c>
      <c r="FS52" s="564" t="s">
        <v>10035</v>
      </c>
    </row>
    <row r="53" spans="1:192" x14ac:dyDescent="0.2">
      <c r="D53" s="72">
        <v>1</v>
      </c>
      <c r="E53" s="2" t="str">
        <f ca="1">IF(OFFSET(AE53,0,Lang_Order*Lang__B2)="","",OFFSET(AE53,0,Lang_Order*Lang__B2))</f>
        <v>Without wastage</v>
      </c>
      <c r="F53" s="16" t="e">
        <f>$D$50*$D53*F$50</f>
        <v>#N/A</v>
      </c>
      <c r="G53" s="16" t="e">
        <f t="shared" ref="G53:K53" si="25">$D$50*$D53*G$50</f>
        <v>#N/A</v>
      </c>
      <c r="H53" s="16" t="e">
        <f t="shared" si="25"/>
        <v>#N/A</v>
      </c>
      <c r="I53" s="16" t="e">
        <f t="shared" si="25"/>
        <v>#N/A</v>
      </c>
      <c r="J53" s="16" t="e">
        <f t="shared" si="25"/>
        <v>#N/A</v>
      </c>
      <c r="K53" s="16" t="e">
        <f t="shared" si="25"/>
        <v>#N/A</v>
      </c>
      <c r="L53" s="16" t="e">
        <f t="shared" ref="L53" si="26">SUM(F53:K53)</f>
        <v>#N/A</v>
      </c>
      <c r="O53" s="2"/>
      <c r="AE53" s="564" t="s">
        <v>4617</v>
      </c>
      <c r="BC53" s="564" t="s">
        <v>13521</v>
      </c>
      <c r="CA53" s="564" t="s">
        <v>13522</v>
      </c>
      <c r="CY53" s="564" t="s">
        <v>13523</v>
      </c>
      <c r="DW53" s="564" t="s">
        <v>13524</v>
      </c>
      <c r="EU53" s="564" t="s">
        <v>13525</v>
      </c>
      <c r="FS53" s="564" t="s">
        <v>13526</v>
      </c>
    </row>
    <row r="54" spans="1:192" s="194" customFormat="1" x14ac:dyDescent="0.2">
      <c r="A54" s="165">
        <v>-1</v>
      </c>
      <c r="B54" s="5" t="str">
        <f ca="1">IF(OFFSET(AB54,0,Lang_Order*Lang__B2)="","",OFFSET(AB54,0,Lang_Order*Lang__B2))</f>
        <v>Expected # of investigable AEFIs</v>
      </c>
      <c r="C54" s="2">
        <f ca="1">OFFSET(_Offset_Index_VaccineSupplies_Index,0,A54)</f>
        <v>15</v>
      </c>
      <c r="D54" s="269" t="e">
        <f>VLOOKUP($B$50,'T1. Vaccines'!$C$8:$AD$37,$C54,FALSE)</f>
        <v>#N/A</v>
      </c>
      <c r="F54" s="16" t="e">
        <f>F53*$D54/100000</f>
        <v>#N/A</v>
      </c>
      <c r="G54" s="16" t="e">
        <f t="shared" ref="G54:L54" si="27">G53*$D54/100000</f>
        <v>#N/A</v>
      </c>
      <c r="H54" s="16" t="e">
        <f t="shared" si="27"/>
        <v>#N/A</v>
      </c>
      <c r="I54" s="16" t="e">
        <f t="shared" si="27"/>
        <v>#N/A</v>
      </c>
      <c r="J54" s="16" t="e">
        <f t="shared" si="27"/>
        <v>#N/A</v>
      </c>
      <c r="K54" s="16" t="e">
        <f t="shared" si="27"/>
        <v>#N/A</v>
      </c>
      <c r="L54" s="16" t="e">
        <f t="shared" si="27"/>
        <v>#N/A</v>
      </c>
      <c r="M54" s="16"/>
      <c r="O54" s="2"/>
      <c r="P54" s="463"/>
      <c r="Q54" s="37"/>
      <c r="R54" s="37"/>
      <c r="S54" s="37"/>
      <c r="T54" s="37"/>
      <c r="U54" s="37"/>
      <c r="V54" s="37"/>
      <c r="W54" s="37"/>
      <c r="Z54" s="564"/>
      <c r="AA54" s="564"/>
      <c r="AB54" s="564" t="s">
        <v>3984</v>
      </c>
      <c r="AC54" s="564"/>
      <c r="AD54" s="564"/>
      <c r="AE54" s="564"/>
      <c r="AF54" s="564"/>
      <c r="AG54" s="564"/>
      <c r="AH54" s="564"/>
      <c r="AI54" s="564"/>
      <c r="AJ54" s="564"/>
      <c r="AK54" s="564"/>
      <c r="AL54" s="564"/>
      <c r="AM54" s="564"/>
      <c r="AN54" s="564"/>
      <c r="AO54" s="564"/>
      <c r="AP54" s="564"/>
      <c r="AQ54" s="564"/>
      <c r="AR54" s="564"/>
      <c r="AS54" s="564"/>
      <c r="AT54" s="564"/>
      <c r="AU54" s="564"/>
      <c r="AV54" s="564"/>
      <c r="AW54" s="564"/>
      <c r="AX54" s="564"/>
      <c r="AY54" s="564"/>
      <c r="AZ54" s="564" t="s">
        <v>10036</v>
      </c>
      <c r="BA54" s="564"/>
      <c r="BB54" s="564"/>
      <c r="BC54" s="564"/>
      <c r="BD54" s="564"/>
      <c r="BE54" s="564"/>
      <c r="BF54" s="564"/>
      <c r="BG54" s="564"/>
      <c r="BH54" s="564"/>
      <c r="BI54" s="564"/>
      <c r="BJ54" s="564"/>
      <c r="BK54" s="564"/>
      <c r="BL54" s="564"/>
      <c r="BM54" s="564"/>
      <c r="BN54" s="564"/>
      <c r="BO54" s="564"/>
      <c r="BP54" s="564"/>
      <c r="BQ54" s="564"/>
      <c r="BR54" s="564"/>
      <c r="BS54" s="564"/>
      <c r="BT54" s="564"/>
      <c r="BU54" s="564"/>
      <c r="BV54" s="564"/>
      <c r="BW54" s="564"/>
      <c r="BX54" s="564" t="s">
        <v>10058</v>
      </c>
      <c r="BY54" s="564"/>
      <c r="BZ54" s="564"/>
      <c r="CA54" s="564"/>
      <c r="CB54" s="564"/>
      <c r="CC54" s="564"/>
      <c r="CD54" s="564"/>
      <c r="CE54" s="564"/>
      <c r="CF54" s="564"/>
      <c r="CG54" s="564"/>
      <c r="CH54" s="564"/>
      <c r="CI54" s="564"/>
      <c r="CJ54" s="564"/>
      <c r="CK54" s="564"/>
      <c r="CL54" s="564"/>
      <c r="CM54" s="564"/>
      <c r="CN54" s="564"/>
      <c r="CO54" s="564"/>
      <c r="CP54" s="564"/>
      <c r="CQ54" s="564"/>
      <c r="CR54" s="564"/>
      <c r="CS54" s="564"/>
      <c r="CT54" s="564"/>
      <c r="CU54" s="564"/>
      <c r="CV54" s="564" t="s">
        <v>10038</v>
      </c>
      <c r="CW54" s="564"/>
      <c r="CX54" s="564"/>
      <c r="CY54" s="564"/>
      <c r="CZ54" s="564"/>
      <c r="DA54" s="564"/>
      <c r="DB54" s="564"/>
      <c r="DC54" s="564"/>
      <c r="DD54" s="564"/>
      <c r="DE54" s="564"/>
      <c r="DF54" s="564"/>
      <c r="DG54" s="564"/>
      <c r="DH54" s="564"/>
      <c r="DI54" s="564"/>
      <c r="DJ54" s="564"/>
      <c r="DK54" s="564"/>
      <c r="DL54" s="564"/>
      <c r="DM54" s="564"/>
      <c r="DN54" s="564"/>
      <c r="DO54" s="564"/>
      <c r="DP54" s="564"/>
      <c r="DQ54" s="564"/>
      <c r="DR54" s="564"/>
      <c r="DS54" s="564"/>
      <c r="DT54" s="564" t="s">
        <v>10039</v>
      </c>
      <c r="DU54" s="564"/>
      <c r="DV54" s="564"/>
      <c r="DW54" s="564"/>
      <c r="DX54" s="564"/>
      <c r="DY54" s="564"/>
      <c r="DZ54" s="564"/>
      <c r="EA54" s="564"/>
      <c r="EB54" s="564"/>
      <c r="EC54" s="564"/>
      <c r="ED54" s="564"/>
      <c r="EE54" s="564"/>
      <c r="EF54" s="564"/>
      <c r="EG54" s="564"/>
      <c r="EH54" s="564"/>
      <c r="EI54" s="564"/>
      <c r="EJ54" s="564"/>
      <c r="EK54" s="564"/>
      <c r="EL54" s="564"/>
      <c r="EM54" s="564"/>
      <c r="EN54" s="564"/>
      <c r="EO54" s="564"/>
      <c r="EP54" s="564"/>
      <c r="EQ54" s="564"/>
      <c r="ER54" s="564" t="s">
        <v>10040</v>
      </c>
      <c r="ES54" s="564"/>
      <c r="ET54" s="564"/>
      <c r="EU54" s="564"/>
      <c r="EV54" s="564"/>
      <c r="EW54" s="564"/>
      <c r="EX54" s="564"/>
      <c r="EY54" s="564"/>
      <c r="EZ54" s="564"/>
      <c r="FA54" s="564"/>
      <c r="FB54" s="564"/>
      <c r="FC54" s="564"/>
      <c r="FD54" s="564"/>
      <c r="FE54" s="564"/>
      <c r="FF54" s="564"/>
      <c r="FG54" s="564"/>
      <c r="FH54" s="564"/>
      <c r="FI54" s="564"/>
      <c r="FJ54" s="564"/>
      <c r="FK54" s="564"/>
      <c r="FL54" s="564"/>
      <c r="FM54" s="564"/>
      <c r="FN54" s="564"/>
      <c r="FO54" s="564"/>
      <c r="FP54" s="564" t="s">
        <v>10041</v>
      </c>
      <c r="FQ54" s="564"/>
      <c r="FR54" s="564"/>
      <c r="FS54" s="564"/>
      <c r="FT54" s="564"/>
      <c r="FU54" s="564"/>
      <c r="FV54" s="564"/>
      <c r="FW54" s="564"/>
      <c r="FX54" s="564"/>
      <c r="FY54" s="564"/>
      <c r="FZ54" s="564"/>
      <c r="GA54" s="564"/>
      <c r="GB54" s="564"/>
      <c r="GC54" s="564"/>
      <c r="GD54" s="564"/>
      <c r="GE54" s="564"/>
      <c r="GF54" s="564"/>
      <c r="GG54" s="564"/>
      <c r="GH54" s="564"/>
      <c r="GI54" s="564"/>
      <c r="GJ54" s="564"/>
    </row>
    <row r="55" spans="1:192" x14ac:dyDescent="0.2">
      <c r="C55" s="2"/>
      <c r="D55" s="269"/>
      <c r="O55" s="2"/>
    </row>
    <row r="56" spans="1:192" x14ac:dyDescent="0.2">
      <c r="C56" s="2"/>
      <c r="D56" s="269"/>
      <c r="E56" s="2" t="str">
        <f ca="1">IF(OFFSET(AE56,0,Lang_Order*Lang__B2)="","",OFFSET(AE56,0,Lang_Order*Lang__B2))</f>
        <v>Note: Waste Multiplication Factor TO BE incorporated in Vaccine Candidate Database</v>
      </c>
      <c r="O56" s="2"/>
      <c r="AE56" s="564" t="s">
        <v>4176</v>
      </c>
      <c r="BC56" s="564" t="s">
        <v>10042</v>
      </c>
      <c r="CA56" s="564" t="s">
        <v>10043</v>
      </c>
      <c r="CY56" s="564" t="s">
        <v>10044</v>
      </c>
      <c r="DW56" s="564" t="s">
        <v>10045</v>
      </c>
      <c r="EU56" s="564" t="s">
        <v>10046</v>
      </c>
      <c r="FS56" s="564" t="s">
        <v>10059</v>
      </c>
    </row>
    <row r="57" spans="1:192" x14ac:dyDescent="0.2">
      <c r="A57" s="165">
        <v>0</v>
      </c>
      <c r="B57" s="5" t="str">
        <f t="shared" ref="B57:B69" ca="1" si="28">OFFSET(_Offset_Index_VaccineSupplies,0,A57)</f>
        <v>Low Dead Space Syringe (0.3ml) AD</v>
      </c>
      <c r="C57" s="2">
        <f t="shared" ref="C57:C69" ca="1" si="29">OFFSET(_Offset_Index_VaccineSupplies_Index,0,A57)</f>
        <v>16</v>
      </c>
      <c r="D57" s="269" t="e">
        <f>VLOOKUP($B$50,'T1. Vaccines'!$C$8:$AD$37,$C57,FALSE)</f>
        <v>#N/A</v>
      </c>
      <c r="E57" s="2"/>
      <c r="F57" s="16" t="e">
        <f>$D$50*$D57*F$50</f>
        <v>#N/A</v>
      </c>
      <c r="G57" s="16" t="e">
        <f t="shared" ref="G57:K69" si="30">$D$50*$D57*G$50</f>
        <v>#N/A</v>
      </c>
      <c r="H57" s="16" t="e">
        <f t="shared" si="30"/>
        <v>#N/A</v>
      </c>
      <c r="I57" s="16" t="e">
        <f t="shared" si="30"/>
        <v>#N/A</v>
      </c>
      <c r="J57" s="16" t="e">
        <f t="shared" si="30"/>
        <v>#N/A</v>
      </c>
      <c r="K57" s="16" t="e">
        <f t="shared" si="30"/>
        <v>#N/A</v>
      </c>
      <c r="L57" s="16" t="e">
        <f>SUM(F57:K57)</f>
        <v>#N/A</v>
      </c>
      <c r="O57" s="221" t="e">
        <f ca="1">D57*'A3. INPUT Unit Costs'!M31*'A3. INPUT Unit Costs'!N31</f>
        <v>#N/A</v>
      </c>
      <c r="Q57" s="37" t="e">
        <f ca="1">F57*'A3. INPUT Unit Costs'!$I31</f>
        <v>#N/A</v>
      </c>
      <c r="R57" s="37" t="e">
        <f ca="1">G57*'A3. INPUT Unit Costs'!$I31</f>
        <v>#N/A</v>
      </c>
      <c r="S57" s="37" t="e">
        <f ca="1">H57*'A3. INPUT Unit Costs'!$I31</f>
        <v>#N/A</v>
      </c>
      <c r="T57" s="37" t="e">
        <f ca="1">I57*'A3. INPUT Unit Costs'!$I31</f>
        <v>#N/A</v>
      </c>
      <c r="U57" s="37" t="e">
        <f ca="1">J57*'A3. INPUT Unit Costs'!$I31</f>
        <v>#N/A</v>
      </c>
      <c r="V57" s="37" t="e">
        <f ca="1">K57*'A3. INPUT Unit Costs'!$I31</f>
        <v>#N/A</v>
      </c>
      <c r="W57" s="79" t="e">
        <f ca="1">SUM(Q57:V57)</f>
        <v>#N/A</v>
      </c>
    </row>
    <row r="58" spans="1:192" x14ac:dyDescent="0.2">
      <c r="A58" s="165">
        <v>1</v>
      </c>
      <c r="B58" s="5" t="str">
        <f t="shared" ca="1" si="28"/>
        <v>Syringe (0.5ml) AD</v>
      </c>
      <c r="C58" s="2">
        <f t="shared" ca="1" si="29"/>
        <v>17</v>
      </c>
      <c r="D58" s="269" t="e">
        <f>VLOOKUP($B$50,'T1. Vaccines'!$C$8:$AD$37,$C58,FALSE)</f>
        <v>#N/A</v>
      </c>
      <c r="E58" s="2"/>
      <c r="F58" s="16" t="e">
        <f t="shared" ref="F58:F69" si="31">$D$50*$D58*F$50</f>
        <v>#N/A</v>
      </c>
      <c r="G58" s="16" t="e">
        <f t="shared" si="30"/>
        <v>#N/A</v>
      </c>
      <c r="H58" s="16" t="e">
        <f t="shared" si="30"/>
        <v>#N/A</v>
      </c>
      <c r="I58" s="16" t="e">
        <f t="shared" si="30"/>
        <v>#N/A</v>
      </c>
      <c r="J58" s="16" t="e">
        <f t="shared" si="30"/>
        <v>#N/A</v>
      </c>
      <c r="K58" s="16" t="e">
        <f t="shared" si="30"/>
        <v>#N/A</v>
      </c>
      <c r="L58" s="16" t="e">
        <f>SUM(F58:K58)</f>
        <v>#N/A</v>
      </c>
      <c r="O58" s="221" t="e">
        <f ca="1">D58*'A3. INPUT Unit Costs'!M32*'A3. INPUT Unit Costs'!N32</f>
        <v>#N/A</v>
      </c>
      <c r="Q58" s="37" t="e">
        <f ca="1">F58*'A3. INPUT Unit Costs'!$I32</f>
        <v>#N/A</v>
      </c>
      <c r="R58" s="37" t="e">
        <f ca="1">G58*'A3. INPUT Unit Costs'!$I32</f>
        <v>#N/A</v>
      </c>
      <c r="S58" s="37" t="e">
        <f ca="1">H58*'A3. INPUT Unit Costs'!$I32</f>
        <v>#N/A</v>
      </c>
      <c r="T58" s="37" t="e">
        <f ca="1">I58*'A3. INPUT Unit Costs'!$I32</f>
        <v>#N/A</v>
      </c>
      <c r="U58" s="37" t="e">
        <f ca="1">J58*'A3. INPUT Unit Costs'!$I32</f>
        <v>#N/A</v>
      </c>
      <c r="V58" s="37" t="e">
        <f ca="1">K58*'A3. INPUT Unit Costs'!$I32</f>
        <v>#N/A</v>
      </c>
      <c r="W58" s="79" t="e">
        <f t="shared" ref="W58:W69" ca="1" si="32">SUM(Q58:V58)</f>
        <v>#N/A</v>
      </c>
    </row>
    <row r="59" spans="1:192" x14ac:dyDescent="0.2">
      <c r="A59" s="165">
        <v>2</v>
      </c>
      <c r="B59" s="5" t="str">
        <f t="shared" ca="1" si="28"/>
        <v>23G needle</v>
      </c>
      <c r="C59" s="2">
        <f t="shared" ca="1" si="29"/>
        <v>18</v>
      </c>
      <c r="D59" s="269" t="e">
        <f>VLOOKUP($B$50,'T1. Vaccines'!$C$8:$AD$37,$C59,FALSE)</f>
        <v>#N/A</v>
      </c>
      <c r="E59" s="2"/>
      <c r="F59" s="16" t="e">
        <f t="shared" si="31"/>
        <v>#N/A</v>
      </c>
      <c r="G59" s="16" t="e">
        <f t="shared" si="30"/>
        <v>#N/A</v>
      </c>
      <c r="H59" s="16" t="e">
        <f t="shared" si="30"/>
        <v>#N/A</v>
      </c>
      <c r="I59" s="16" t="e">
        <f t="shared" si="30"/>
        <v>#N/A</v>
      </c>
      <c r="J59" s="16" t="e">
        <f t="shared" si="30"/>
        <v>#N/A</v>
      </c>
      <c r="K59" s="16" t="e">
        <f t="shared" si="30"/>
        <v>#N/A</v>
      </c>
      <c r="L59" s="16" t="e">
        <f t="shared" ref="L59:L69" si="33">SUM(F59:K59)</f>
        <v>#N/A</v>
      </c>
      <c r="O59" s="221" t="e">
        <f ca="1">D59*'A3. INPUT Unit Costs'!M33*'A3. INPUT Unit Costs'!N33</f>
        <v>#N/A</v>
      </c>
      <c r="Q59" s="37" t="e">
        <f ca="1">F59*'A3. INPUT Unit Costs'!$I33</f>
        <v>#N/A</v>
      </c>
      <c r="R59" s="37" t="e">
        <f ca="1">G59*'A3. INPUT Unit Costs'!$I33</f>
        <v>#N/A</v>
      </c>
      <c r="S59" s="37" t="e">
        <f ca="1">H59*'A3. INPUT Unit Costs'!$I33</f>
        <v>#N/A</v>
      </c>
      <c r="T59" s="37" t="e">
        <f ca="1">I59*'A3. INPUT Unit Costs'!$I33</f>
        <v>#N/A</v>
      </c>
      <c r="U59" s="37" t="e">
        <f ca="1">J59*'A3. INPUT Unit Costs'!$I33</f>
        <v>#N/A</v>
      </c>
      <c r="V59" s="37" t="e">
        <f ca="1">K59*'A3. INPUT Unit Costs'!$I33</f>
        <v>#N/A</v>
      </c>
      <c r="W59" s="79" t="e">
        <f t="shared" ca="1" si="32"/>
        <v>#N/A</v>
      </c>
    </row>
    <row r="60" spans="1:192" x14ac:dyDescent="0.2">
      <c r="A60" s="165">
        <v>3</v>
      </c>
      <c r="B60" s="5" t="str">
        <f t="shared" ca="1" si="28"/>
        <v>Alcohol Swab, Plaster, Dry Swabs</v>
      </c>
      <c r="C60" s="2">
        <f t="shared" ca="1" si="29"/>
        <v>19</v>
      </c>
      <c r="D60" s="269" t="e">
        <f>VLOOKUP($B$50,'T1. Vaccines'!$C$8:$AD$37,$C60,FALSE)</f>
        <v>#N/A</v>
      </c>
      <c r="E60" s="2"/>
      <c r="F60" s="16" t="e">
        <f t="shared" si="31"/>
        <v>#N/A</v>
      </c>
      <c r="G60" s="16" t="e">
        <f t="shared" si="30"/>
        <v>#N/A</v>
      </c>
      <c r="H60" s="16" t="e">
        <f t="shared" si="30"/>
        <v>#N/A</v>
      </c>
      <c r="I60" s="16" t="e">
        <f t="shared" si="30"/>
        <v>#N/A</v>
      </c>
      <c r="J60" s="16" t="e">
        <f t="shared" si="30"/>
        <v>#N/A</v>
      </c>
      <c r="K60" s="16" t="e">
        <f t="shared" si="30"/>
        <v>#N/A</v>
      </c>
      <c r="L60" s="16" t="e">
        <f t="shared" si="33"/>
        <v>#N/A</v>
      </c>
      <c r="O60" s="221" t="e">
        <f ca="1">D60*'A3. INPUT Unit Costs'!M34*'A3. INPUT Unit Costs'!N34</f>
        <v>#N/A</v>
      </c>
      <c r="Q60" s="37" t="e">
        <f ca="1">F60*'A3. INPUT Unit Costs'!$I34</f>
        <v>#N/A</v>
      </c>
      <c r="R60" s="37" t="e">
        <f ca="1">G60*'A3. INPUT Unit Costs'!$I34</f>
        <v>#N/A</v>
      </c>
      <c r="S60" s="37" t="e">
        <f ca="1">H60*'A3. INPUT Unit Costs'!$I34</f>
        <v>#N/A</v>
      </c>
      <c r="T60" s="37" t="e">
        <f ca="1">I60*'A3. INPUT Unit Costs'!$I34</f>
        <v>#N/A</v>
      </c>
      <c r="U60" s="37" t="e">
        <f ca="1">J60*'A3. INPUT Unit Costs'!$I34</f>
        <v>#N/A</v>
      </c>
      <c r="V60" s="37" t="e">
        <f ca="1">K60*'A3. INPUT Unit Costs'!$I34</f>
        <v>#N/A</v>
      </c>
      <c r="W60" s="79" t="e">
        <f t="shared" ca="1" si="32"/>
        <v>#N/A</v>
      </c>
    </row>
    <row r="61" spans="1:192" x14ac:dyDescent="0.2">
      <c r="A61" s="165">
        <v>4</v>
      </c>
      <c r="B61" s="5" t="str">
        <f t="shared" ca="1" si="28"/>
        <v>21G needle</v>
      </c>
      <c r="C61" s="2">
        <f t="shared" ca="1" si="29"/>
        <v>20</v>
      </c>
      <c r="D61" s="269" t="e">
        <f>VLOOKUP($B$50,'T1. Vaccines'!$C$8:$AD$37,$C61,FALSE)</f>
        <v>#N/A</v>
      </c>
      <c r="E61" s="2"/>
      <c r="F61" s="16" t="e">
        <f t="shared" si="31"/>
        <v>#N/A</v>
      </c>
      <c r="G61" s="16" t="e">
        <f t="shared" si="30"/>
        <v>#N/A</v>
      </c>
      <c r="H61" s="16" t="e">
        <f t="shared" si="30"/>
        <v>#N/A</v>
      </c>
      <c r="I61" s="16" t="e">
        <f t="shared" si="30"/>
        <v>#N/A</v>
      </c>
      <c r="J61" s="16" t="e">
        <f t="shared" si="30"/>
        <v>#N/A</v>
      </c>
      <c r="K61" s="16" t="e">
        <f t="shared" si="30"/>
        <v>#N/A</v>
      </c>
      <c r="L61" s="16" t="e">
        <f t="shared" si="33"/>
        <v>#N/A</v>
      </c>
      <c r="O61" s="221" t="e">
        <f ca="1">D61*'A3. INPUT Unit Costs'!M35*'A3. INPUT Unit Costs'!N35</f>
        <v>#N/A</v>
      </c>
      <c r="Q61" s="37" t="e">
        <f ca="1">F61*'A3. INPUT Unit Costs'!$I35</f>
        <v>#N/A</v>
      </c>
      <c r="R61" s="37" t="e">
        <f ca="1">G61*'A3. INPUT Unit Costs'!$I35</f>
        <v>#N/A</v>
      </c>
      <c r="S61" s="37" t="e">
        <f ca="1">H61*'A3. INPUT Unit Costs'!$I35</f>
        <v>#N/A</v>
      </c>
      <c r="T61" s="37" t="e">
        <f ca="1">I61*'A3. INPUT Unit Costs'!$I35</f>
        <v>#N/A</v>
      </c>
      <c r="U61" s="37" t="e">
        <f ca="1">J61*'A3. INPUT Unit Costs'!$I35</f>
        <v>#N/A</v>
      </c>
      <c r="V61" s="37" t="e">
        <f ca="1">K61*'A3. INPUT Unit Costs'!$I35</f>
        <v>#N/A</v>
      </c>
      <c r="W61" s="79" t="e">
        <f t="shared" ca="1" si="32"/>
        <v>#N/A</v>
      </c>
    </row>
    <row r="62" spans="1:192" x14ac:dyDescent="0.2">
      <c r="A62" s="165">
        <v>5</v>
      </c>
      <c r="B62" s="5" t="str">
        <f t="shared" ca="1" si="28"/>
        <v>Sodium Chloride 0.9 % ampule 10mls</v>
      </c>
      <c r="C62" s="2">
        <f t="shared" ca="1" si="29"/>
        <v>21</v>
      </c>
      <c r="D62" s="269" t="e">
        <f>VLOOKUP($B$50,'T1. Vaccines'!$C$8:$AD$37,$C62,FALSE)</f>
        <v>#N/A</v>
      </c>
      <c r="E62" s="2"/>
      <c r="F62" s="16" t="e">
        <f t="shared" si="31"/>
        <v>#N/A</v>
      </c>
      <c r="G62" s="16" t="e">
        <f t="shared" si="30"/>
        <v>#N/A</v>
      </c>
      <c r="H62" s="16" t="e">
        <f t="shared" si="30"/>
        <v>#N/A</v>
      </c>
      <c r="I62" s="16" t="e">
        <f t="shared" si="30"/>
        <v>#N/A</v>
      </c>
      <c r="J62" s="16" t="e">
        <f t="shared" si="30"/>
        <v>#N/A</v>
      </c>
      <c r="K62" s="16" t="e">
        <f t="shared" si="30"/>
        <v>#N/A</v>
      </c>
      <c r="L62" s="16" t="e">
        <f t="shared" si="33"/>
        <v>#N/A</v>
      </c>
      <c r="O62" s="221" t="e">
        <f ca="1">D62*'A3. INPUT Unit Costs'!M36*'A3. INPUT Unit Costs'!N36</f>
        <v>#N/A</v>
      </c>
      <c r="Q62" s="37" t="e">
        <f ca="1">F62*'A3. INPUT Unit Costs'!$I36</f>
        <v>#N/A</v>
      </c>
      <c r="R62" s="37" t="e">
        <f ca="1">G62*'A3. INPUT Unit Costs'!$I36</f>
        <v>#N/A</v>
      </c>
      <c r="S62" s="37" t="e">
        <f ca="1">H62*'A3. INPUT Unit Costs'!$I36</f>
        <v>#N/A</v>
      </c>
      <c r="T62" s="37" t="e">
        <f ca="1">I62*'A3. INPUT Unit Costs'!$I36</f>
        <v>#N/A</v>
      </c>
      <c r="U62" s="37" t="e">
        <f ca="1">J62*'A3. INPUT Unit Costs'!$I36</f>
        <v>#N/A</v>
      </c>
      <c r="V62" s="37" t="e">
        <f ca="1">K62*'A3. INPUT Unit Costs'!$I36</f>
        <v>#N/A</v>
      </c>
      <c r="W62" s="79" t="e">
        <f t="shared" ca="1" si="32"/>
        <v>#N/A</v>
      </c>
    </row>
    <row r="63" spans="1:192" x14ac:dyDescent="0.2">
      <c r="A63" s="165">
        <v>6</v>
      </c>
      <c r="B63" s="5" t="str">
        <f t="shared" ca="1" si="28"/>
        <v>RUP syringe (3ml)</v>
      </c>
      <c r="C63" s="2">
        <f t="shared" ca="1" si="29"/>
        <v>22</v>
      </c>
      <c r="D63" s="269" t="e">
        <f>VLOOKUP($B$50,'T1. Vaccines'!$C$8:$AD$37,$C63,FALSE)</f>
        <v>#N/A</v>
      </c>
      <c r="E63" s="2"/>
      <c r="F63" s="16" t="e">
        <f t="shared" si="31"/>
        <v>#N/A</v>
      </c>
      <c r="G63" s="16" t="e">
        <f t="shared" si="30"/>
        <v>#N/A</v>
      </c>
      <c r="H63" s="16" t="e">
        <f t="shared" si="30"/>
        <v>#N/A</v>
      </c>
      <c r="I63" s="16" t="e">
        <f t="shared" si="30"/>
        <v>#N/A</v>
      </c>
      <c r="J63" s="16" t="e">
        <f t="shared" si="30"/>
        <v>#N/A</v>
      </c>
      <c r="K63" s="16" t="e">
        <f t="shared" si="30"/>
        <v>#N/A</v>
      </c>
      <c r="L63" s="16" t="e">
        <f t="shared" si="33"/>
        <v>#N/A</v>
      </c>
      <c r="O63" s="221" t="e">
        <f ca="1">D63*'A3. INPUT Unit Costs'!M37*'A3. INPUT Unit Costs'!N37</f>
        <v>#N/A</v>
      </c>
      <c r="Q63" s="37" t="e">
        <f ca="1">F63*'A3. INPUT Unit Costs'!$I37</f>
        <v>#N/A</v>
      </c>
      <c r="R63" s="37" t="e">
        <f ca="1">G63*'A3. INPUT Unit Costs'!$I37</f>
        <v>#N/A</v>
      </c>
      <c r="S63" s="37" t="e">
        <f ca="1">H63*'A3. INPUT Unit Costs'!$I37</f>
        <v>#N/A</v>
      </c>
      <c r="T63" s="37" t="e">
        <f ca="1">I63*'A3. INPUT Unit Costs'!$I37</f>
        <v>#N/A</v>
      </c>
      <c r="U63" s="37" t="e">
        <f ca="1">J63*'A3. INPUT Unit Costs'!$I37</f>
        <v>#N/A</v>
      </c>
      <c r="V63" s="37" t="e">
        <f ca="1">K63*'A3. INPUT Unit Costs'!$I37</f>
        <v>#N/A</v>
      </c>
      <c r="W63" s="79" t="e">
        <f t="shared" ca="1" si="32"/>
        <v>#N/A</v>
      </c>
    </row>
    <row r="64" spans="1:192" x14ac:dyDescent="0.2">
      <c r="A64" s="165">
        <v>7</v>
      </c>
      <c r="B64" s="5" t="str">
        <f t="shared" ca="1" si="28"/>
        <v>…</v>
      </c>
      <c r="C64" s="2">
        <f t="shared" ca="1" si="29"/>
        <v>23</v>
      </c>
      <c r="D64" s="269" t="e">
        <f>VLOOKUP($B$50,'T1. Vaccines'!$C$8:$AD$37,$C64,FALSE)</f>
        <v>#N/A</v>
      </c>
      <c r="E64" s="2"/>
      <c r="F64" s="16" t="e">
        <f t="shared" si="31"/>
        <v>#N/A</v>
      </c>
      <c r="G64" s="16" t="e">
        <f t="shared" si="30"/>
        <v>#N/A</v>
      </c>
      <c r="H64" s="16" t="e">
        <f t="shared" si="30"/>
        <v>#N/A</v>
      </c>
      <c r="I64" s="16" t="e">
        <f t="shared" si="30"/>
        <v>#N/A</v>
      </c>
      <c r="J64" s="16" t="e">
        <f t="shared" si="30"/>
        <v>#N/A</v>
      </c>
      <c r="K64" s="16" t="e">
        <f t="shared" si="30"/>
        <v>#N/A</v>
      </c>
      <c r="L64" s="16" t="e">
        <f t="shared" si="33"/>
        <v>#N/A</v>
      </c>
      <c r="O64" s="221" t="e">
        <f ca="1">D64*'A3. INPUT Unit Costs'!M38*'A3. INPUT Unit Costs'!N38</f>
        <v>#N/A</v>
      </c>
      <c r="Q64" s="37" t="e">
        <f ca="1">F64*'A3. INPUT Unit Costs'!$I38</f>
        <v>#N/A</v>
      </c>
      <c r="R64" s="37" t="e">
        <f ca="1">G64*'A3. INPUT Unit Costs'!$I38</f>
        <v>#N/A</v>
      </c>
      <c r="S64" s="37" t="e">
        <f ca="1">H64*'A3. INPUT Unit Costs'!$I38</f>
        <v>#N/A</v>
      </c>
      <c r="T64" s="37" t="e">
        <f ca="1">I64*'A3. INPUT Unit Costs'!$I38</f>
        <v>#N/A</v>
      </c>
      <c r="U64" s="37" t="e">
        <f ca="1">J64*'A3. INPUT Unit Costs'!$I38</f>
        <v>#N/A</v>
      </c>
      <c r="V64" s="37" t="e">
        <f ca="1">K64*'A3. INPUT Unit Costs'!$I38</f>
        <v>#N/A</v>
      </c>
      <c r="W64" s="79" t="e">
        <f t="shared" ca="1" si="32"/>
        <v>#N/A</v>
      </c>
    </row>
    <row r="65" spans="1:192" x14ac:dyDescent="0.2">
      <c r="A65" s="165">
        <v>8</v>
      </c>
      <c r="B65" s="5" t="str">
        <f t="shared" ca="1" si="28"/>
        <v>…</v>
      </c>
      <c r="C65" s="2">
        <f t="shared" ca="1" si="29"/>
        <v>24</v>
      </c>
      <c r="D65" s="269" t="e">
        <f>VLOOKUP($B$50,'T1. Vaccines'!$C$8:$AD$37,$C65,FALSE)</f>
        <v>#N/A</v>
      </c>
      <c r="E65" s="2"/>
      <c r="F65" s="16" t="e">
        <f t="shared" si="31"/>
        <v>#N/A</v>
      </c>
      <c r="G65" s="16" t="e">
        <f t="shared" si="30"/>
        <v>#N/A</v>
      </c>
      <c r="H65" s="16" t="e">
        <f t="shared" si="30"/>
        <v>#N/A</v>
      </c>
      <c r="I65" s="16" t="e">
        <f t="shared" si="30"/>
        <v>#N/A</v>
      </c>
      <c r="J65" s="16" t="e">
        <f t="shared" si="30"/>
        <v>#N/A</v>
      </c>
      <c r="K65" s="16" t="e">
        <f t="shared" si="30"/>
        <v>#N/A</v>
      </c>
      <c r="L65" s="16" t="e">
        <f t="shared" si="33"/>
        <v>#N/A</v>
      </c>
      <c r="O65" s="221" t="e">
        <f ca="1">D65*'A3. INPUT Unit Costs'!M39*'A3. INPUT Unit Costs'!N39</f>
        <v>#N/A</v>
      </c>
      <c r="Q65" s="37" t="e">
        <f ca="1">F65*'A3. INPUT Unit Costs'!$I39</f>
        <v>#N/A</v>
      </c>
      <c r="R65" s="37" t="e">
        <f ca="1">G65*'A3. INPUT Unit Costs'!$I39</f>
        <v>#N/A</v>
      </c>
      <c r="S65" s="37" t="e">
        <f ca="1">H65*'A3. INPUT Unit Costs'!$I39</f>
        <v>#N/A</v>
      </c>
      <c r="T65" s="37" t="e">
        <f ca="1">I65*'A3. INPUT Unit Costs'!$I39</f>
        <v>#N/A</v>
      </c>
      <c r="U65" s="37" t="e">
        <f ca="1">J65*'A3. INPUT Unit Costs'!$I39</f>
        <v>#N/A</v>
      </c>
      <c r="V65" s="37" t="e">
        <f ca="1">K65*'A3. INPUT Unit Costs'!$I39</f>
        <v>#N/A</v>
      </c>
      <c r="W65" s="79" t="e">
        <f t="shared" ca="1" si="32"/>
        <v>#N/A</v>
      </c>
    </row>
    <row r="66" spans="1:192" x14ac:dyDescent="0.2">
      <c r="A66" s="165">
        <v>9</v>
      </c>
      <c r="B66" s="5" t="str">
        <f t="shared" ca="1" si="28"/>
        <v>Sharps Disposal (5L)</v>
      </c>
      <c r="C66" s="2">
        <f t="shared" ca="1" si="29"/>
        <v>25</v>
      </c>
      <c r="D66" s="269" t="e">
        <f>VLOOKUP($B$50,'T1. Vaccines'!$C$8:$AD$37,$C66,FALSE)</f>
        <v>#N/A</v>
      </c>
      <c r="E66" s="2"/>
      <c r="F66" s="16" t="e">
        <f t="shared" si="31"/>
        <v>#N/A</v>
      </c>
      <c r="G66" s="16" t="e">
        <f t="shared" si="30"/>
        <v>#N/A</v>
      </c>
      <c r="H66" s="16" t="e">
        <f t="shared" si="30"/>
        <v>#N/A</v>
      </c>
      <c r="I66" s="16" t="e">
        <f t="shared" si="30"/>
        <v>#N/A</v>
      </c>
      <c r="J66" s="16" t="e">
        <f t="shared" si="30"/>
        <v>#N/A</v>
      </c>
      <c r="K66" s="16" t="e">
        <f t="shared" si="30"/>
        <v>#N/A</v>
      </c>
      <c r="L66" s="16" t="e">
        <f t="shared" si="33"/>
        <v>#N/A</v>
      </c>
      <c r="O66" s="221" t="e">
        <f ca="1">D66*'A3. INPUT Unit Costs'!M40*'A3. INPUT Unit Costs'!N40</f>
        <v>#N/A</v>
      </c>
      <c r="Q66" s="37" t="e">
        <f ca="1">F66*'A3. INPUT Unit Costs'!$I40</f>
        <v>#N/A</v>
      </c>
      <c r="R66" s="37" t="e">
        <f ca="1">G66*'A3. INPUT Unit Costs'!$I40</f>
        <v>#N/A</v>
      </c>
      <c r="S66" s="37" t="e">
        <f ca="1">H66*'A3. INPUT Unit Costs'!$I40</f>
        <v>#N/A</v>
      </c>
      <c r="T66" s="37" t="e">
        <f ca="1">I66*'A3. INPUT Unit Costs'!$I40</f>
        <v>#N/A</v>
      </c>
      <c r="U66" s="37" t="e">
        <f ca="1">J66*'A3. INPUT Unit Costs'!$I40</f>
        <v>#N/A</v>
      </c>
      <c r="V66" s="37" t="e">
        <f ca="1">K66*'A3. INPUT Unit Costs'!$I40</f>
        <v>#N/A</v>
      </c>
      <c r="W66" s="79" t="e">
        <f t="shared" ca="1" si="32"/>
        <v>#N/A</v>
      </c>
    </row>
    <row r="67" spans="1:192" x14ac:dyDescent="0.2">
      <c r="A67" s="165">
        <v>10</v>
      </c>
      <c r="B67" s="5" t="str">
        <f t="shared" ca="1" si="28"/>
        <v>Vaccination Card</v>
      </c>
      <c r="C67" s="2">
        <f t="shared" ca="1" si="29"/>
        <v>26</v>
      </c>
      <c r="D67" s="269" t="e">
        <f>VLOOKUP($B$50,'T1. Vaccines'!$C$8:$AD$37,$C67,FALSE)</f>
        <v>#N/A</v>
      </c>
      <c r="E67" s="2"/>
      <c r="F67" s="16" t="e">
        <f t="shared" si="31"/>
        <v>#N/A</v>
      </c>
      <c r="G67" s="16" t="e">
        <f t="shared" si="30"/>
        <v>#N/A</v>
      </c>
      <c r="H67" s="16" t="e">
        <f t="shared" si="30"/>
        <v>#N/A</v>
      </c>
      <c r="I67" s="16" t="e">
        <f t="shared" si="30"/>
        <v>#N/A</v>
      </c>
      <c r="J67" s="16" t="e">
        <f t="shared" si="30"/>
        <v>#N/A</v>
      </c>
      <c r="K67" s="16" t="e">
        <f t="shared" si="30"/>
        <v>#N/A</v>
      </c>
      <c r="L67" s="16" t="e">
        <f t="shared" si="33"/>
        <v>#N/A</v>
      </c>
      <c r="O67" s="221" t="e">
        <f ca="1">D67*'A3. INPUT Unit Costs'!M41*'A3. INPUT Unit Costs'!N41</f>
        <v>#N/A</v>
      </c>
      <c r="Q67" s="37" t="e">
        <f ca="1">F67*'A3. INPUT Unit Costs'!$I41</f>
        <v>#N/A</v>
      </c>
      <c r="R67" s="37" t="e">
        <f ca="1">G67*'A3. INPUT Unit Costs'!$I41</f>
        <v>#N/A</v>
      </c>
      <c r="S67" s="37" t="e">
        <f ca="1">H67*'A3. INPUT Unit Costs'!$I41</f>
        <v>#N/A</v>
      </c>
      <c r="T67" s="37" t="e">
        <f ca="1">I67*'A3. INPUT Unit Costs'!$I41</f>
        <v>#N/A</v>
      </c>
      <c r="U67" s="37" t="e">
        <f ca="1">J67*'A3. INPUT Unit Costs'!$I41</f>
        <v>#N/A</v>
      </c>
      <c r="V67" s="37" t="e">
        <f ca="1">K67*'A3. INPUT Unit Costs'!$I41</f>
        <v>#N/A</v>
      </c>
      <c r="W67" s="79" t="e">
        <f t="shared" ca="1" si="32"/>
        <v>#N/A</v>
      </c>
    </row>
    <row r="68" spans="1:192" x14ac:dyDescent="0.2">
      <c r="A68" s="165">
        <v>11</v>
      </c>
      <c r="B68" s="5" t="str">
        <f t="shared" ca="1" si="28"/>
        <v>Electronic Records</v>
      </c>
      <c r="C68" s="2">
        <f t="shared" ca="1" si="29"/>
        <v>27</v>
      </c>
      <c r="D68" s="269" t="e">
        <f>VLOOKUP($B$50,'T1. Vaccines'!$C$8:$AD$37,$C68,FALSE)</f>
        <v>#N/A</v>
      </c>
      <c r="E68" s="2"/>
      <c r="F68" s="16" t="e">
        <f t="shared" si="31"/>
        <v>#N/A</v>
      </c>
      <c r="G68" s="16" t="e">
        <f t="shared" si="30"/>
        <v>#N/A</v>
      </c>
      <c r="H68" s="16" t="e">
        <f t="shared" si="30"/>
        <v>#N/A</v>
      </c>
      <c r="I68" s="16" t="e">
        <f t="shared" si="30"/>
        <v>#N/A</v>
      </c>
      <c r="J68" s="16" t="e">
        <f t="shared" si="30"/>
        <v>#N/A</v>
      </c>
      <c r="K68" s="16" t="e">
        <f t="shared" si="30"/>
        <v>#N/A</v>
      </c>
      <c r="L68" s="16" t="e">
        <f t="shared" si="33"/>
        <v>#N/A</v>
      </c>
      <c r="O68" s="221" t="e">
        <f>D68*'A3. INPUT Unit Costs'!M42*'A3. INPUT Unit Costs'!N42</f>
        <v>#N/A</v>
      </c>
      <c r="Q68" s="37" t="e">
        <f>F68*'A3. INPUT Unit Costs'!$I42</f>
        <v>#N/A</v>
      </c>
      <c r="R68" s="37" t="e">
        <f>G68*'A3. INPUT Unit Costs'!$I42</f>
        <v>#N/A</v>
      </c>
      <c r="S68" s="37" t="e">
        <f>H68*'A3. INPUT Unit Costs'!$I42</f>
        <v>#N/A</v>
      </c>
      <c r="T68" s="37" t="e">
        <f>I68*'A3. INPUT Unit Costs'!$I42</f>
        <v>#N/A</v>
      </c>
      <c r="U68" s="37" t="e">
        <f>J68*'A3. INPUT Unit Costs'!$I42</f>
        <v>#N/A</v>
      </c>
      <c r="V68" s="37" t="e">
        <f>K68*'A3. INPUT Unit Costs'!$I42</f>
        <v>#N/A</v>
      </c>
      <c r="W68" s="79" t="e">
        <f t="shared" si="32"/>
        <v>#N/A</v>
      </c>
    </row>
    <row r="69" spans="1:192" x14ac:dyDescent="0.2">
      <c r="A69" s="165">
        <v>12</v>
      </c>
      <c r="B69" s="5" t="str">
        <f t="shared" ca="1" si="28"/>
        <v>No fault compensation fund</v>
      </c>
      <c r="C69" s="2">
        <f t="shared" ca="1" si="29"/>
        <v>28</v>
      </c>
      <c r="D69" s="269" t="e">
        <f>VLOOKUP($B$50,'T1. Vaccines'!$C$8:$AD$37,$C69,FALSE)</f>
        <v>#N/A</v>
      </c>
      <c r="E69" s="2"/>
      <c r="F69" s="16" t="e">
        <f t="shared" si="31"/>
        <v>#N/A</v>
      </c>
      <c r="G69" s="16" t="e">
        <f t="shared" si="30"/>
        <v>#N/A</v>
      </c>
      <c r="H69" s="16" t="e">
        <f t="shared" si="30"/>
        <v>#N/A</v>
      </c>
      <c r="I69" s="16" t="e">
        <f t="shared" si="30"/>
        <v>#N/A</v>
      </c>
      <c r="J69" s="16" t="e">
        <f t="shared" si="30"/>
        <v>#N/A</v>
      </c>
      <c r="K69" s="16" t="e">
        <f t="shared" si="30"/>
        <v>#N/A</v>
      </c>
      <c r="L69" s="16" t="e">
        <f t="shared" si="33"/>
        <v>#N/A</v>
      </c>
      <c r="O69" s="221" t="e">
        <f ca="1">D69*'A3. INPUT Unit Costs'!N43</f>
        <v>#N/A</v>
      </c>
      <c r="Q69" s="37" t="e">
        <f>F69*'A3. INPUT Unit Costs'!$I43</f>
        <v>#N/A</v>
      </c>
      <c r="R69" s="37" t="e">
        <f>G69*'A3. INPUT Unit Costs'!$I43</f>
        <v>#N/A</v>
      </c>
      <c r="S69" s="37" t="e">
        <f>H69*'A3. INPUT Unit Costs'!$I43</f>
        <v>#N/A</v>
      </c>
      <c r="T69" s="37" t="e">
        <f>I69*'A3. INPUT Unit Costs'!$I43</f>
        <v>#N/A</v>
      </c>
      <c r="U69" s="37" t="e">
        <f>J69*'A3. INPUT Unit Costs'!$I43</f>
        <v>#N/A</v>
      </c>
      <c r="V69" s="37" t="e">
        <f>K69*'A3. INPUT Unit Costs'!$I43</f>
        <v>#N/A</v>
      </c>
      <c r="W69" s="79" t="e">
        <f t="shared" si="32"/>
        <v>#N/A</v>
      </c>
    </row>
    <row r="71" spans="1:192" ht="15" x14ac:dyDescent="0.25">
      <c r="A71" s="8" t="str">
        <f ca="1">IF(OFFSET(AA71,0,Lang_Order*Lang__B2)="","",OFFSET(AA71,0,Lang_Order*Lang__B2))</f>
        <v>B2.1.4 Delivery Modality 4</v>
      </c>
      <c r="B71" s="58">
        <f>DM4_Vaccine</f>
        <v>0</v>
      </c>
      <c r="C71" s="58">
        <f>'T1. Vaccines'!$F$39</f>
        <v>4</v>
      </c>
      <c r="D71" s="59" t="e">
        <f>VLOOKUP(DM4_Vaccine,'T1. Vaccines'!$C$8:$AD$37,C71,FALSE)</f>
        <v>#N/A</v>
      </c>
      <c r="E71" s="19" t="str">
        <f ca="1">IF(OFFSET(AE71,0,Lang_Order*Lang__B2)="","",OFFSET(AE71,0,Lang_Order*Lang__B2))</f>
        <v># Courses:</v>
      </c>
      <c r="F71" s="80" t="e">
        <f>'B1. Target Population'!D184</f>
        <v>#N/A</v>
      </c>
      <c r="G71" s="80" t="e">
        <f>'B1. Target Population'!E184</f>
        <v>#N/A</v>
      </c>
      <c r="H71" s="80" t="e">
        <f>'B1. Target Population'!F184</f>
        <v>#N/A</v>
      </c>
      <c r="I71" s="80" t="e">
        <f>'B1. Target Population'!G184</f>
        <v>#N/A</v>
      </c>
      <c r="J71" s="80" t="e">
        <f>'B1. Target Population'!H184</f>
        <v>#N/A</v>
      </c>
      <c r="K71" s="80" t="e">
        <f>'B1. Target Population'!I184</f>
        <v>#N/A</v>
      </c>
      <c r="L71" s="80" t="e">
        <f>'B1. Target Population'!J184</f>
        <v>#N/A</v>
      </c>
      <c r="M71" s="80"/>
      <c r="N71" s="65"/>
      <c r="O71" s="482" t="e">
        <f ca="1">SUM(O78:O86)</f>
        <v>#N/A</v>
      </c>
      <c r="P71" s="65"/>
      <c r="Q71" s="82" t="e">
        <f t="shared" ref="Q71:W71" si="34">SUM(Q73:Q90)</f>
        <v>#N/A</v>
      </c>
      <c r="R71" s="82" t="e">
        <f t="shared" si="34"/>
        <v>#N/A</v>
      </c>
      <c r="S71" s="82" t="e">
        <f t="shared" si="34"/>
        <v>#N/A</v>
      </c>
      <c r="T71" s="82" t="e">
        <f t="shared" si="34"/>
        <v>#N/A</v>
      </c>
      <c r="U71" s="82" t="e">
        <f t="shared" si="34"/>
        <v>#N/A</v>
      </c>
      <c r="V71" s="82" t="e">
        <f t="shared" si="34"/>
        <v>#N/A</v>
      </c>
      <c r="W71" s="82" t="e">
        <f t="shared" si="34"/>
        <v>#N/A</v>
      </c>
      <c r="X71" s="8"/>
      <c r="AA71" s="564" t="s">
        <v>2863</v>
      </c>
      <c r="AE71" s="564" t="s">
        <v>4266</v>
      </c>
      <c r="AY71" s="564" t="s">
        <v>10066</v>
      </c>
      <c r="BC71" s="564" t="s">
        <v>10005</v>
      </c>
      <c r="BW71" s="564" t="s">
        <v>10067</v>
      </c>
      <c r="CA71" s="564" t="s">
        <v>10008</v>
      </c>
      <c r="CU71" s="564" t="s">
        <v>10068</v>
      </c>
      <c r="CY71" s="564" t="s">
        <v>10051</v>
      </c>
      <c r="DS71" s="564" t="s">
        <v>10069</v>
      </c>
      <c r="DW71" s="564" t="s">
        <v>10014</v>
      </c>
      <c r="EQ71" s="564" t="s">
        <v>10070</v>
      </c>
      <c r="EU71" s="564" t="s">
        <v>10017</v>
      </c>
      <c r="FO71" s="564" t="s">
        <v>10071</v>
      </c>
      <c r="FS71" s="564" t="s">
        <v>10020</v>
      </c>
    </row>
    <row r="72" spans="1:192" x14ac:dyDescent="0.2">
      <c r="D72" s="72"/>
      <c r="E72" s="193"/>
      <c r="M72" s="56" t="s">
        <v>2709</v>
      </c>
      <c r="AM72" s="564" t="s">
        <v>2709</v>
      </c>
      <c r="BK72" s="564" t="s">
        <v>2709</v>
      </c>
      <c r="CI72" s="564" t="s">
        <v>10072</v>
      </c>
      <c r="DG72" s="564" t="s">
        <v>2709</v>
      </c>
      <c r="EE72" s="564" t="s">
        <v>10073</v>
      </c>
      <c r="FC72" s="564" t="s">
        <v>10074</v>
      </c>
      <c r="GA72" s="564" t="s">
        <v>10075</v>
      </c>
    </row>
    <row r="73" spans="1:192" x14ac:dyDescent="0.2">
      <c r="B73" s="5" t="str">
        <f ca="1">IF(OFFSET(AB73,0,Lang_Order*Lang__B2)="","",OFFSET(AB73,0,Lang_Order*Lang__B2))</f>
        <v>Vaccine doses</v>
      </c>
      <c r="D73" s="15"/>
      <c r="E73" s="2" t="str">
        <f ca="1">IF(OFFSET(AE73,0,Lang_Order*Lang__B2)="","",OFFSET(AE73,0,Lang_Order*Lang__B2))</f>
        <v>Add wastage rate + doses per course</v>
      </c>
      <c r="F73" s="16" t="e">
        <f>'B1. Target Population'!D199*$D71</f>
        <v>#N/A</v>
      </c>
      <c r="G73" s="16" t="e">
        <f>'B1. Target Population'!E199*$D71</f>
        <v>#N/A</v>
      </c>
      <c r="H73" s="16" t="e">
        <f>'B1. Target Population'!F199*$D71</f>
        <v>#N/A</v>
      </c>
      <c r="I73" s="16" t="e">
        <f>'B1. Target Population'!G199*$D71</f>
        <v>#N/A</v>
      </c>
      <c r="J73" s="16" t="e">
        <f>'B1. Target Population'!H199*$D71</f>
        <v>#N/A</v>
      </c>
      <c r="K73" s="16" t="e">
        <f>'B1. Target Population'!I199*$D71</f>
        <v>#N/A</v>
      </c>
      <c r="L73" s="16" t="e">
        <f>SUM(F73:K73)</f>
        <v>#N/A</v>
      </c>
      <c r="O73" s="2"/>
      <c r="Q73" s="37" t="e">
        <f t="shared" ref="Q73:V73" si="35">DM4_Vaccine_USD*F73</f>
        <v>#N/A</v>
      </c>
      <c r="R73" s="37" t="e">
        <f t="shared" si="35"/>
        <v>#N/A</v>
      </c>
      <c r="S73" s="37" t="e">
        <f t="shared" si="35"/>
        <v>#N/A</v>
      </c>
      <c r="T73" s="37" t="e">
        <f t="shared" si="35"/>
        <v>#N/A</v>
      </c>
      <c r="U73" s="37" t="e">
        <f t="shared" si="35"/>
        <v>#N/A</v>
      </c>
      <c r="V73" s="37" t="e">
        <f t="shared" si="35"/>
        <v>#N/A</v>
      </c>
      <c r="W73" s="79" t="e">
        <f>SUM(Q73:V73)</f>
        <v>#N/A</v>
      </c>
      <c r="AB73" s="564" t="s">
        <v>4178</v>
      </c>
      <c r="AE73" s="564" t="s">
        <v>2811</v>
      </c>
      <c r="AZ73" s="564" t="s">
        <v>10024</v>
      </c>
      <c r="BC73" s="564" t="s">
        <v>10076</v>
      </c>
      <c r="BX73" s="564" t="s">
        <v>10055</v>
      </c>
      <c r="CA73" s="564" t="s">
        <v>10056</v>
      </c>
      <c r="CV73" s="564" t="s">
        <v>10028</v>
      </c>
      <c r="CY73" s="564" t="s">
        <v>10029</v>
      </c>
      <c r="DT73" s="564" t="s">
        <v>10030</v>
      </c>
      <c r="DW73" s="564" t="s">
        <v>10031</v>
      </c>
      <c r="ER73" s="564" t="s">
        <v>10032</v>
      </c>
      <c r="EU73" s="564" t="s">
        <v>10057</v>
      </c>
      <c r="FP73" s="564" t="s">
        <v>10034</v>
      </c>
      <c r="FS73" s="564" t="s">
        <v>10035</v>
      </c>
    </row>
    <row r="74" spans="1:192" x14ac:dyDescent="0.2">
      <c r="D74" s="72">
        <v>1</v>
      </c>
      <c r="E74" s="2" t="str">
        <f ca="1">IF(OFFSET(AE74,0,Lang_Order*Lang__B2)="","",OFFSET(AE74,0,Lang_Order*Lang__B2))</f>
        <v>Without wastage</v>
      </c>
      <c r="F74" s="16" t="e">
        <f>$D$71*$D74*F$71</f>
        <v>#N/A</v>
      </c>
      <c r="G74" s="16" t="e">
        <f t="shared" ref="G74:L74" si="36">$D$71*$D74*G$71</f>
        <v>#N/A</v>
      </c>
      <c r="H74" s="16" t="e">
        <f t="shared" si="36"/>
        <v>#N/A</v>
      </c>
      <c r="I74" s="16" t="e">
        <f t="shared" si="36"/>
        <v>#N/A</v>
      </c>
      <c r="J74" s="16" t="e">
        <f t="shared" si="36"/>
        <v>#N/A</v>
      </c>
      <c r="K74" s="16" t="e">
        <f t="shared" si="36"/>
        <v>#N/A</v>
      </c>
      <c r="L74" s="16" t="e">
        <f t="shared" si="36"/>
        <v>#N/A</v>
      </c>
      <c r="O74" s="2"/>
      <c r="AE74" s="564" t="s">
        <v>4617</v>
      </c>
      <c r="BC74" s="564" t="s">
        <v>13521</v>
      </c>
      <c r="CA74" s="564" t="s">
        <v>13522</v>
      </c>
      <c r="CY74" s="564" t="s">
        <v>13523</v>
      </c>
      <c r="DW74" s="564" t="s">
        <v>13524</v>
      </c>
      <c r="EU74" s="564" t="s">
        <v>13525</v>
      </c>
      <c r="FS74" s="564" t="s">
        <v>13526</v>
      </c>
    </row>
    <row r="75" spans="1:192" s="194" customFormat="1" x14ac:dyDescent="0.2">
      <c r="A75" s="165">
        <v>-1</v>
      </c>
      <c r="B75" s="5" t="str">
        <f ca="1">IF(OFFSET(AB75,0,Lang_Order*Lang__B2)="","",OFFSET(AB75,0,Lang_Order*Lang__B2))</f>
        <v>Expected # of investigable AEFIs</v>
      </c>
      <c r="C75" s="2">
        <f ca="1">OFFSET(_Offset_Index_VaccineSupplies_Index,0,A75)</f>
        <v>15</v>
      </c>
      <c r="D75" s="269" t="e">
        <f>VLOOKUP($B$71,'T1. Vaccines'!$C$8:$AD$37,$C75,FALSE)</f>
        <v>#N/A</v>
      </c>
      <c r="F75" s="16" t="e">
        <f>F74*$D75/100000</f>
        <v>#N/A</v>
      </c>
      <c r="G75" s="16" t="e">
        <f t="shared" ref="G75:L75" si="37">G74*$D75/100000</f>
        <v>#N/A</v>
      </c>
      <c r="H75" s="16" t="e">
        <f t="shared" si="37"/>
        <v>#N/A</v>
      </c>
      <c r="I75" s="16" t="e">
        <f t="shared" si="37"/>
        <v>#N/A</v>
      </c>
      <c r="J75" s="16" t="e">
        <f t="shared" si="37"/>
        <v>#N/A</v>
      </c>
      <c r="K75" s="16" t="e">
        <f t="shared" si="37"/>
        <v>#N/A</v>
      </c>
      <c r="L75" s="16" t="e">
        <f t="shared" si="37"/>
        <v>#N/A</v>
      </c>
      <c r="M75" s="16" t="e">
        <f>MAX(F75:K75)</f>
        <v>#N/A</v>
      </c>
      <c r="O75" s="2"/>
      <c r="P75" s="463"/>
      <c r="Q75" s="37"/>
      <c r="R75" s="37"/>
      <c r="S75" s="37"/>
      <c r="T75" s="37"/>
      <c r="U75" s="37"/>
      <c r="V75" s="37"/>
      <c r="W75" s="37"/>
      <c r="Z75" s="564"/>
      <c r="AA75" s="564"/>
      <c r="AB75" s="564" t="s">
        <v>3984</v>
      </c>
      <c r="AC75" s="564"/>
      <c r="AD75" s="564"/>
      <c r="AE75" s="564"/>
      <c r="AF75" s="564"/>
      <c r="AG75" s="564"/>
      <c r="AH75" s="564"/>
      <c r="AI75" s="564"/>
      <c r="AJ75" s="564"/>
      <c r="AK75" s="564"/>
      <c r="AL75" s="564"/>
      <c r="AM75" s="564"/>
      <c r="AN75" s="564"/>
      <c r="AO75" s="564"/>
      <c r="AP75" s="564"/>
      <c r="AQ75" s="564"/>
      <c r="AR75" s="564"/>
      <c r="AS75" s="564"/>
      <c r="AT75" s="564"/>
      <c r="AU75" s="564"/>
      <c r="AV75" s="564"/>
      <c r="AW75" s="564"/>
      <c r="AX75" s="564"/>
      <c r="AY75" s="564"/>
      <c r="AZ75" s="564" t="s">
        <v>10036</v>
      </c>
      <c r="BA75" s="564"/>
      <c r="BB75" s="564"/>
      <c r="BC75" s="564"/>
      <c r="BD75" s="564"/>
      <c r="BE75" s="564"/>
      <c r="BF75" s="564"/>
      <c r="BG75" s="564"/>
      <c r="BH75" s="564"/>
      <c r="BI75" s="564"/>
      <c r="BJ75" s="564"/>
      <c r="BK75" s="564"/>
      <c r="BL75" s="564"/>
      <c r="BM75" s="564"/>
      <c r="BN75" s="564"/>
      <c r="BO75" s="564"/>
      <c r="BP75" s="564"/>
      <c r="BQ75" s="564"/>
      <c r="BR75" s="564"/>
      <c r="BS75" s="564"/>
      <c r="BT75" s="564"/>
      <c r="BU75" s="564"/>
      <c r="BV75" s="564"/>
      <c r="BW75" s="564"/>
      <c r="BX75" s="564" t="s">
        <v>10058</v>
      </c>
      <c r="BY75" s="564"/>
      <c r="BZ75" s="564"/>
      <c r="CA75" s="564"/>
      <c r="CB75" s="564"/>
      <c r="CC75" s="564"/>
      <c r="CD75" s="564"/>
      <c r="CE75" s="564"/>
      <c r="CF75" s="564"/>
      <c r="CG75" s="564"/>
      <c r="CH75" s="564"/>
      <c r="CI75" s="564"/>
      <c r="CJ75" s="564"/>
      <c r="CK75" s="564"/>
      <c r="CL75" s="564"/>
      <c r="CM75" s="564"/>
      <c r="CN75" s="564"/>
      <c r="CO75" s="564"/>
      <c r="CP75" s="564"/>
      <c r="CQ75" s="564"/>
      <c r="CR75" s="564"/>
      <c r="CS75" s="564"/>
      <c r="CT75" s="564"/>
      <c r="CU75" s="564"/>
      <c r="CV75" s="564" t="s">
        <v>10038</v>
      </c>
      <c r="CW75" s="564"/>
      <c r="CX75" s="564"/>
      <c r="CY75" s="564"/>
      <c r="CZ75" s="564"/>
      <c r="DA75" s="564"/>
      <c r="DB75" s="564"/>
      <c r="DC75" s="564"/>
      <c r="DD75" s="564"/>
      <c r="DE75" s="564"/>
      <c r="DF75" s="564"/>
      <c r="DG75" s="564"/>
      <c r="DH75" s="564"/>
      <c r="DI75" s="564"/>
      <c r="DJ75" s="564"/>
      <c r="DK75" s="564"/>
      <c r="DL75" s="564"/>
      <c r="DM75" s="564"/>
      <c r="DN75" s="564"/>
      <c r="DO75" s="564"/>
      <c r="DP75" s="564"/>
      <c r="DQ75" s="564"/>
      <c r="DR75" s="564"/>
      <c r="DS75" s="564"/>
      <c r="DT75" s="564" t="s">
        <v>10039</v>
      </c>
      <c r="DU75" s="564"/>
      <c r="DV75" s="564"/>
      <c r="DW75" s="564"/>
      <c r="DX75" s="564"/>
      <c r="DY75" s="564"/>
      <c r="DZ75" s="564"/>
      <c r="EA75" s="564"/>
      <c r="EB75" s="564"/>
      <c r="EC75" s="564"/>
      <c r="ED75" s="564"/>
      <c r="EE75" s="564"/>
      <c r="EF75" s="564"/>
      <c r="EG75" s="564"/>
      <c r="EH75" s="564"/>
      <c r="EI75" s="564"/>
      <c r="EJ75" s="564"/>
      <c r="EK75" s="564"/>
      <c r="EL75" s="564"/>
      <c r="EM75" s="564"/>
      <c r="EN75" s="564"/>
      <c r="EO75" s="564"/>
      <c r="EP75" s="564"/>
      <c r="EQ75" s="564"/>
      <c r="ER75" s="564" t="s">
        <v>10040</v>
      </c>
      <c r="ES75" s="564"/>
      <c r="ET75" s="564"/>
      <c r="EU75" s="564"/>
      <c r="EV75" s="564"/>
      <c r="EW75" s="564"/>
      <c r="EX75" s="564"/>
      <c r="EY75" s="564"/>
      <c r="EZ75" s="564"/>
      <c r="FA75" s="564"/>
      <c r="FB75" s="564"/>
      <c r="FC75" s="564"/>
      <c r="FD75" s="564"/>
      <c r="FE75" s="564"/>
      <c r="FF75" s="564"/>
      <c r="FG75" s="564"/>
      <c r="FH75" s="564"/>
      <c r="FI75" s="564"/>
      <c r="FJ75" s="564"/>
      <c r="FK75" s="564"/>
      <c r="FL75" s="564"/>
      <c r="FM75" s="564"/>
      <c r="FN75" s="564"/>
      <c r="FO75" s="564"/>
      <c r="FP75" s="564" t="s">
        <v>10041</v>
      </c>
      <c r="FQ75" s="564"/>
      <c r="FR75" s="564"/>
      <c r="FS75" s="564"/>
      <c r="FT75" s="564"/>
      <c r="FU75" s="564"/>
      <c r="FV75" s="564"/>
      <c r="FW75" s="564"/>
      <c r="FX75" s="564"/>
      <c r="FY75" s="564"/>
      <c r="FZ75" s="564"/>
      <c r="GA75" s="564"/>
      <c r="GB75" s="564"/>
      <c r="GC75" s="564"/>
      <c r="GD75" s="564"/>
      <c r="GE75" s="564"/>
      <c r="GF75" s="564"/>
      <c r="GG75" s="564"/>
      <c r="GH75" s="564"/>
      <c r="GI75" s="564"/>
      <c r="GJ75" s="564"/>
    </row>
    <row r="76" spans="1:192" x14ac:dyDescent="0.2">
      <c r="C76" s="2"/>
      <c r="D76" s="269"/>
      <c r="O76" s="2"/>
    </row>
    <row r="77" spans="1:192" x14ac:dyDescent="0.2">
      <c r="C77" s="2"/>
      <c r="D77" s="269"/>
      <c r="E77" s="2" t="str">
        <f ca="1">IF(OFFSET(AE77,0,Lang_Order*Lang__B2)="","",OFFSET(AE77,0,Lang_Order*Lang__B2))</f>
        <v>Note: Waste Multiplication Factor TO BE incorporated in Vaccine Candidate Database</v>
      </c>
      <c r="O77" s="2"/>
      <c r="AE77" s="564" t="s">
        <v>4176</v>
      </c>
      <c r="BC77" s="564" t="s">
        <v>10042</v>
      </c>
      <c r="CA77" s="564" t="s">
        <v>10043</v>
      </c>
      <c r="CY77" s="564" t="s">
        <v>10044</v>
      </c>
      <c r="DW77" s="564" t="s">
        <v>10045</v>
      </c>
      <c r="EU77" s="564" t="s">
        <v>10046</v>
      </c>
      <c r="FS77" s="564" t="s">
        <v>10059</v>
      </c>
    </row>
    <row r="78" spans="1:192" x14ac:dyDescent="0.2">
      <c r="A78" s="165">
        <v>0</v>
      </c>
      <c r="B78" s="5" t="str">
        <f t="shared" ref="B78:B90" ca="1" si="38">OFFSET(_Offset_Index_VaccineSupplies,0,A78)</f>
        <v>Low Dead Space Syringe (0.3ml) AD</v>
      </c>
      <c r="C78" s="2">
        <f t="shared" ref="C78:C90" ca="1" si="39">OFFSET(_Offset_Index_VaccineSupplies_Index,0,A78)</f>
        <v>16</v>
      </c>
      <c r="D78" s="269" t="e">
        <f>VLOOKUP($B$71,'T1. Vaccines'!$C$8:$AD$37,$C78,FALSE)</f>
        <v>#N/A</v>
      </c>
      <c r="E78" s="2"/>
      <c r="F78" s="16" t="e">
        <f>$D$71*$D78*F$71</f>
        <v>#N/A</v>
      </c>
      <c r="G78" s="16" t="e">
        <f t="shared" ref="G78:K90" si="40">$D$71*$D78*G$71</f>
        <v>#N/A</v>
      </c>
      <c r="H78" s="16" t="e">
        <f t="shared" si="40"/>
        <v>#N/A</v>
      </c>
      <c r="I78" s="16" t="e">
        <f t="shared" si="40"/>
        <v>#N/A</v>
      </c>
      <c r="J78" s="16" t="e">
        <f t="shared" si="40"/>
        <v>#N/A</v>
      </c>
      <c r="K78" s="16" t="e">
        <f t="shared" si="40"/>
        <v>#N/A</v>
      </c>
      <c r="L78" s="16" t="e">
        <f>SUM(F78:K78)</f>
        <v>#N/A</v>
      </c>
      <c r="O78" s="549" t="e">
        <f ca="1">D78*'A3. INPUT Unit Costs'!M31*'A3. INPUT Unit Costs'!N31</f>
        <v>#N/A</v>
      </c>
      <c r="Q78" s="37" t="e">
        <f ca="1">F78*'A3. INPUT Unit Costs'!$I31</f>
        <v>#N/A</v>
      </c>
      <c r="R78" s="37" t="e">
        <f ca="1">G78*'A3. INPUT Unit Costs'!$I31</f>
        <v>#N/A</v>
      </c>
      <c r="S78" s="37" t="e">
        <f ca="1">H78*'A3. INPUT Unit Costs'!$I31</f>
        <v>#N/A</v>
      </c>
      <c r="T78" s="37" t="e">
        <f ca="1">I78*'A3. INPUT Unit Costs'!$I31</f>
        <v>#N/A</v>
      </c>
      <c r="U78" s="37" t="e">
        <f ca="1">J78*'A3. INPUT Unit Costs'!$I31</f>
        <v>#N/A</v>
      </c>
      <c r="V78" s="37" t="e">
        <f ca="1">K78*'A3. INPUT Unit Costs'!$I31</f>
        <v>#N/A</v>
      </c>
      <c r="W78" s="79" t="e">
        <f ca="1">SUM(Q78:V78)</f>
        <v>#N/A</v>
      </c>
    </row>
    <row r="79" spans="1:192" x14ac:dyDescent="0.2">
      <c r="A79" s="165">
        <v>1</v>
      </c>
      <c r="B79" s="5" t="str">
        <f t="shared" ca="1" si="38"/>
        <v>Syringe (0.5ml) AD</v>
      </c>
      <c r="C79" s="2">
        <f t="shared" ca="1" si="39"/>
        <v>17</v>
      </c>
      <c r="D79" s="269" t="e">
        <f>VLOOKUP($B$71,'T1. Vaccines'!$C$8:$AD$37,$C79,FALSE)</f>
        <v>#N/A</v>
      </c>
      <c r="E79" s="2"/>
      <c r="F79" s="16" t="e">
        <f t="shared" ref="F79:F90" si="41">$D$71*$D79*F$71</f>
        <v>#N/A</v>
      </c>
      <c r="G79" s="16" t="e">
        <f t="shared" si="40"/>
        <v>#N/A</v>
      </c>
      <c r="H79" s="16" t="e">
        <f t="shared" si="40"/>
        <v>#N/A</v>
      </c>
      <c r="I79" s="16" t="e">
        <f t="shared" si="40"/>
        <v>#N/A</v>
      </c>
      <c r="J79" s="16" t="e">
        <f t="shared" si="40"/>
        <v>#N/A</v>
      </c>
      <c r="K79" s="16" t="e">
        <f t="shared" si="40"/>
        <v>#N/A</v>
      </c>
      <c r="L79" s="16" t="e">
        <f>SUM(F79:K79)</f>
        <v>#N/A</v>
      </c>
      <c r="O79" s="549" t="e">
        <f ca="1">D79*'A3. INPUT Unit Costs'!M32*'A3. INPUT Unit Costs'!N32</f>
        <v>#N/A</v>
      </c>
      <c r="Q79" s="37" t="e">
        <f ca="1">F79*'A3. INPUT Unit Costs'!$I32</f>
        <v>#N/A</v>
      </c>
      <c r="R79" s="37" t="e">
        <f ca="1">G79*'A3. INPUT Unit Costs'!$I32</f>
        <v>#N/A</v>
      </c>
      <c r="S79" s="37" t="e">
        <f ca="1">H79*'A3. INPUT Unit Costs'!$I32</f>
        <v>#N/A</v>
      </c>
      <c r="T79" s="37" t="e">
        <f ca="1">I79*'A3. INPUT Unit Costs'!$I32</f>
        <v>#N/A</v>
      </c>
      <c r="U79" s="37" t="e">
        <f ca="1">J79*'A3. INPUT Unit Costs'!$I32</f>
        <v>#N/A</v>
      </c>
      <c r="V79" s="37" t="e">
        <f ca="1">K79*'A3. INPUT Unit Costs'!$I32</f>
        <v>#N/A</v>
      </c>
      <c r="W79" s="79" t="e">
        <f t="shared" ref="W79:W90" ca="1" si="42">SUM(Q79:V79)</f>
        <v>#N/A</v>
      </c>
    </row>
    <row r="80" spans="1:192" x14ac:dyDescent="0.2">
      <c r="A80" s="165">
        <v>2</v>
      </c>
      <c r="B80" s="5" t="str">
        <f t="shared" ca="1" si="38"/>
        <v>23G needle</v>
      </c>
      <c r="C80" s="2">
        <f t="shared" ca="1" si="39"/>
        <v>18</v>
      </c>
      <c r="D80" s="269" t="e">
        <f>VLOOKUP($B$71,'T1. Vaccines'!$C$8:$AD$37,$C80,FALSE)</f>
        <v>#N/A</v>
      </c>
      <c r="E80" s="2"/>
      <c r="F80" s="16" t="e">
        <f t="shared" si="41"/>
        <v>#N/A</v>
      </c>
      <c r="G80" s="16" t="e">
        <f t="shared" si="40"/>
        <v>#N/A</v>
      </c>
      <c r="H80" s="16" t="e">
        <f t="shared" si="40"/>
        <v>#N/A</v>
      </c>
      <c r="I80" s="16" t="e">
        <f t="shared" si="40"/>
        <v>#N/A</v>
      </c>
      <c r="J80" s="16" t="e">
        <f t="shared" si="40"/>
        <v>#N/A</v>
      </c>
      <c r="K80" s="16" t="e">
        <f t="shared" si="40"/>
        <v>#N/A</v>
      </c>
      <c r="L80" s="16" t="e">
        <f t="shared" ref="L80:L90" si="43">SUM(F80:K80)</f>
        <v>#N/A</v>
      </c>
      <c r="O80" s="549" t="e">
        <f ca="1">D80*'A3. INPUT Unit Costs'!M33*'A3. INPUT Unit Costs'!N33</f>
        <v>#N/A</v>
      </c>
      <c r="Q80" s="37" t="e">
        <f ca="1">F80*'A3. INPUT Unit Costs'!$I33</f>
        <v>#N/A</v>
      </c>
      <c r="R80" s="37" t="e">
        <f ca="1">G80*'A3. INPUT Unit Costs'!$I33</f>
        <v>#N/A</v>
      </c>
      <c r="S80" s="37" t="e">
        <f ca="1">H80*'A3. INPUT Unit Costs'!$I33</f>
        <v>#N/A</v>
      </c>
      <c r="T80" s="37" t="e">
        <f ca="1">I80*'A3. INPUT Unit Costs'!$I33</f>
        <v>#N/A</v>
      </c>
      <c r="U80" s="37" t="e">
        <f ca="1">J80*'A3. INPUT Unit Costs'!$I33</f>
        <v>#N/A</v>
      </c>
      <c r="V80" s="37" t="e">
        <f ca="1">K80*'A3. INPUT Unit Costs'!$I33</f>
        <v>#N/A</v>
      </c>
      <c r="W80" s="79" t="e">
        <f t="shared" ca="1" si="42"/>
        <v>#N/A</v>
      </c>
    </row>
    <row r="81" spans="1:192" x14ac:dyDescent="0.2">
      <c r="A81" s="165">
        <v>3</v>
      </c>
      <c r="B81" s="5" t="str">
        <f t="shared" ca="1" si="38"/>
        <v>Alcohol Swab, Plaster, Dry Swabs</v>
      </c>
      <c r="C81" s="2">
        <f t="shared" ca="1" si="39"/>
        <v>19</v>
      </c>
      <c r="D81" s="269" t="e">
        <f>VLOOKUP($B$71,'T1. Vaccines'!$C$8:$AD$37,$C81,FALSE)</f>
        <v>#N/A</v>
      </c>
      <c r="E81" s="2"/>
      <c r="F81" s="16" t="e">
        <f t="shared" si="41"/>
        <v>#N/A</v>
      </c>
      <c r="G81" s="16" t="e">
        <f t="shared" si="40"/>
        <v>#N/A</v>
      </c>
      <c r="H81" s="16" t="e">
        <f t="shared" si="40"/>
        <v>#N/A</v>
      </c>
      <c r="I81" s="16" t="e">
        <f t="shared" si="40"/>
        <v>#N/A</v>
      </c>
      <c r="J81" s="16" t="e">
        <f t="shared" si="40"/>
        <v>#N/A</v>
      </c>
      <c r="K81" s="16" t="e">
        <f t="shared" si="40"/>
        <v>#N/A</v>
      </c>
      <c r="L81" s="16" t="e">
        <f t="shared" si="43"/>
        <v>#N/A</v>
      </c>
      <c r="O81" s="549" t="e">
        <f ca="1">D81*'A3. INPUT Unit Costs'!M34*'A3. INPUT Unit Costs'!N34</f>
        <v>#N/A</v>
      </c>
      <c r="Q81" s="37" t="e">
        <f ca="1">F81*'A3. INPUT Unit Costs'!$I34</f>
        <v>#N/A</v>
      </c>
      <c r="R81" s="37" t="e">
        <f ca="1">G81*'A3. INPUT Unit Costs'!$I34</f>
        <v>#N/A</v>
      </c>
      <c r="S81" s="37" t="e">
        <f ca="1">H81*'A3. INPUT Unit Costs'!$I34</f>
        <v>#N/A</v>
      </c>
      <c r="T81" s="37" t="e">
        <f ca="1">I81*'A3. INPUT Unit Costs'!$I34</f>
        <v>#N/A</v>
      </c>
      <c r="U81" s="37" t="e">
        <f ca="1">J81*'A3. INPUT Unit Costs'!$I34</f>
        <v>#N/A</v>
      </c>
      <c r="V81" s="37" t="e">
        <f ca="1">K81*'A3. INPUT Unit Costs'!$I34</f>
        <v>#N/A</v>
      </c>
      <c r="W81" s="79" t="e">
        <f t="shared" ca="1" si="42"/>
        <v>#N/A</v>
      </c>
    </row>
    <row r="82" spans="1:192" x14ac:dyDescent="0.2">
      <c r="A82" s="165">
        <v>4</v>
      </c>
      <c r="B82" s="5" t="str">
        <f t="shared" ca="1" si="38"/>
        <v>21G needle</v>
      </c>
      <c r="C82" s="2">
        <f t="shared" ca="1" si="39"/>
        <v>20</v>
      </c>
      <c r="D82" s="269" t="e">
        <f>VLOOKUP($B$71,'T1. Vaccines'!$C$8:$AD$37,$C82,FALSE)</f>
        <v>#N/A</v>
      </c>
      <c r="E82" s="2"/>
      <c r="F82" s="16" t="e">
        <f t="shared" si="41"/>
        <v>#N/A</v>
      </c>
      <c r="G82" s="16" t="e">
        <f t="shared" si="40"/>
        <v>#N/A</v>
      </c>
      <c r="H82" s="16" t="e">
        <f t="shared" si="40"/>
        <v>#N/A</v>
      </c>
      <c r="I82" s="16" t="e">
        <f t="shared" si="40"/>
        <v>#N/A</v>
      </c>
      <c r="J82" s="16" t="e">
        <f t="shared" si="40"/>
        <v>#N/A</v>
      </c>
      <c r="K82" s="16" t="e">
        <f t="shared" si="40"/>
        <v>#N/A</v>
      </c>
      <c r="L82" s="16" t="e">
        <f t="shared" si="43"/>
        <v>#N/A</v>
      </c>
      <c r="O82" s="549" t="e">
        <f ca="1">D82*'A3. INPUT Unit Costs'!M35*'A3. INPUT Unit Costs'!N35</f>
        <v>#N/A</v>
      </c>
      <c r="Q82" s="37" t="e">
        <f ca="1">F82*'A3. INPUT Unit Costs'!$I35</f>
        <v>#N/A</v>
      </c>
      <c r="R82" s="37" t="e">
        <f ca="1">G82*'A3. INPUT Unit Costs'!$I35</f>
        <v>#N/A</v>
      </c>
      <c r="S82" s="37" t="e">
        <f ca="1">H82*'A3. INPUT Unit Costs'!$I35</f>
        <v>#N/A</v>
      </c>
      <c r="T82" s="37" t="e">
        <f ca="1">I82*'A3. INPUT Unit Costs'!$I35</f>
        <v>#N/A</v>
      </c>
      <c r="U82" s="37" t="e">
        <f ca="1">J82*'A3. INPUT Unit Costs'!$I35</f>
        <v>#N/A</v>
      </c>
      <c r="V82" s="37" t="e">
        <f ca="1">K82*'A3. INPUT Unit Costs'!$I35</f>
        <v>#N/A</v>
      </c>
      <c r="W82" s="79" t="e">
        <f t="shared" ca="1" si="42"/>
        <v>#N/A</v>
      </c>
    </row>
    <row r="83" spans="1:192" x14ac:dyDescent="0.2">
      <c r="A83" s="165">
        <v>5</v>
      </c>
      <c r="B83" s="5" t="str">
        <f t="shared" ca="1" si="38"/>
        <v>Sodium Chloride 0.9 % ampule 10mls</v>
      </c>
      <c r="C83" s="2">
        <f t="shared" ca="1" si="39"/>
        <v>21</v>
      </c>
      <c r="D83" s="269" t="e">
        <f>VLOOKUP($B$71,'T1. Vaccines'!$C$8:$AD$37,$C83,FALSE)</f>
        <v>#N/A</v>
      </c>
      <c r="E83" s="2"/>
      <c r="F83" s="16" t="e">
        <f t="shared" si="41"/>
        <v>#N/A</v>
      </c>
      <c r="G83" s="16" t="e">
        <f t="shared" si="40"/>
        <v>#N/A</v>
      </c>
      <c r="H83" s="16" t="e">
        <f t="shared" si="40"/>
        <v>#N/A</v>
      </c>
      <c r="I83" s="16" t="e">
        <f t="shared" si="40"/>
        <v>#N/A</v>
      </c>
      <c r="J83" s="16" t="e">
        <f t="shared" si="40"/>
        <v>#N/A</v>
      </c>
      <c r="K83" s="16" t="e">
        <f t="shared" si="40"/>
        <v>#N/A</v>
      </c>
      <c r="L83" s="16" t="e">
        <f t="shared" si="43"/>
        <v>#N/A</v>
      </c>
      <c r="O83" s="549" t="e">
        <f ca="1">D83*'A3. INPUT Unit Costs'!M36*'A3. INPUT Unit Costs'!N36</f>
        <v>#N/A</v>
      </c>
      <c r="Q83" s="37" t="e">
        <f ca="1">F83*'A3. INPUT Unit Costs'!$I36</f>
        <v>#N/A</v>
      </c>
      <c r="R83" s="37" t="e">
        <f ca="1">G83*'A3. INPUT Unit Costs'!$I36</f>
        <v>#N/A</v>
      </c>
      <c r="S83" s="37" t="e">
        <f ca="1">H83*'A3. INPUT Unit Costs'!$I36</f>
        <v>#N/A</v>
      </c>
      <c r="T83" s="37" t="e">
        <f ca="1">I83*'A3. INPUT Unit Costs'!$I36</f>
        <v>#N/A</v>
      </c>
      <c r="U83" s="37" t="e">
        <f ca="1">J83*'A3. INPUT Unit Costs'!$I36</f>
        <v>#N/A</v>
      </c>
      <c r="V83" s="37" t="e">
        <f ca="1">K83*'A3. INPUT Unit Costs'!$I36</f>
        <v>#N/A</v>
      </c>
      <c r="W83" s="79" t="e">
        <f t="shared" ca="1" si="42"/>
        <v>#N/A</v>
      </c>
    </row>
    <row r="84" spans="1:192" x14ac:dyDescent="0.2">
      <c r="A84" s="165">
        <v>6</v>
      </c>
      <c r="B84" s="5" t="str">
        <f t="shared" ca="1" si="38"/>
        <v>RUP syringe (3ml)</v>
      </c>
      <c r="C84" s="2">
        <f t="shared" ca="1" si="39"/>
        <v>22</v>
      </c>
      <c r="D84" s="269" t="e">
        <f>VLOOKUP($B$71,'T1. Vaccines'!$C$8:$AD$37,$C84,FALSE)</f>
        <v>#N/A</v>
      </c>
      <c r="E84" s="2"/>
      <c r="F84" s="16" t="e">
        <f t="shared" si="41"/>
        <v>#N/A</v>
      </c>
      <c r="G84" s="16" t="e">
        <f t="shared" si="40"/>
        <v>#N/A</v>
      </c>
      <c r="H84" s="16" t="e">
        <f t="shared" si="40"/>
        <v>#N/A</v>
      </c>
      <c r="I84" s="16" t="e">
        <f t="shared" si="40"/>
        <v>#N/A</v>
      </c>
      <c r="J84" s="16" t="e">
        <f t="shared" si="40"/>
        <v>#N/A</v>
      </c>
      <c r="K84" s="16" t="e">
        <f t="shared" si="40"/>
        <v>#N/A</v>
      </c>
      <c r="L84" s="16" t="e">
        <f t="shared" si="43"/>
        <v>#N/A</v>
      </c>
      <c r="O84" s="549" t="e">
        <f ca="1">D84*'A3. INPUT Unit Costs'!M37*'A3. INPUT Unit Costs'!N37</f>
        <v>#N/A</v>
      </c>
      <c r="Q84" s="37" t="e">
        <f ca="1">F84*'A3. INPUT Unit Costs'!$I37</f>
        <v>#N/A</v>
      </c>
      <c r="R84" s="37" t="e">
        <f ca="1">G84*'A3. INPUT Unit Costs'!$I37</f>
        <v>#N/A</v>
      </c>
      <c r="S84" s="37" t="e">
        <f ca="1">H84*'A3. INPUT Unit Costs'!$I37</f>
        <v>#N/A</v>
      </c>
      <c r="T84" s="37" t="e">
        <f ca="1">I84*'A3. INPUT Unit Costs'!$I37</f>
        <v>#N/A</v>
      </c>
      <c r="U84" s="37" t="e">
        <f ca="1">J84*'A3. INPUT Unit Costs'!$I37</f>
        <v>#N/A</v>
      </c>
      <c r="V84" s="37" t="e">
        <f ca="1">K84*'A3. INPUT Unit Costs'!$I37</f>
        <v>#N/A</v>
      </c>
      <c r="W84" s="79" t="e">
        <f t="shared" ca="1" si="42"/>
        <v>#N/A</v>
      </c>
    </row>
    <row r="85" spans="1:192" x14ac:dyDescent="0.2">
      <c r="A85" s="165">
        <v>7</v>
      </c>
      <c r="B85" s="5" t="str">
        <f t="shared" ca="1" si="38"/>
        <v>…</v>
      </c>
      <c r="C85" s="2">
        <f t="shared" ca="1" si="39"/>
        <v>23</v>
      </c>
      <c r="D85" s="269" t="e">
        <f>VLOOKUP($B$71,'T1. Vaccines'!$C$8:$AD$37,$C85,FALSE)</f>
        <v>#N/A</v>
      </c>
      <c r="E85" s="2"/>
      <c r="F85" s="16" t="e">
        <f t="shared" si="41"/>
        <v>#N/A</v>
      </c>
      <c r="G85" s="16" t="e">
        <f t="shared" si="40"/>
        <v>#N/A</v>
      </c>
      <c r="H85" s="16" t="e">
        <f t="shared" si="40"/>
        <v>#N/A</v>
      </c>
      <c r="I85" s="16" t="e">
        <f t="shared" si="40"/>
        <v>#N/A</v>
      </c>
      <c r="J85" s="16" t="e">
        <f t="shared" si="40"/>
        <v>#N/A</v>
      </c>
      <c r="K85" s="16" t="e">
        <f t="shared" si="40"/>
        <v>#N/A</v>
      </c>
      <c r="L85" s="16" t="e">
        <f t="shared" si="43"/>
        <v>#N/A</v>
      </c>
      <c r="O85" s="549" t="e">
        <f ca="1">D85*'A3. INPUT Unit Costs'!M38*'A3. INPUT Unit Costs'!N38</f>
        <v>#N/A</v>
      </c>
      <c r="Q85" s="37" t="e">
        <f ca="1">F85*'A3. INPUT Unit Costs'!$I38</f>
        <v>#N/A</v>
      </c>
      <c r="R85" s="37" t="e">
        <f ca="1">G85*'A3. INPUT Unit Costs'!$I38</f>
        <v>#N/A</v>
      </c>
      <c r="S85" s="37" t="e">
        <f ca="1">H85*'A3. INPUT Unit Costs'!$I38</f>
        <v>#N/A</v>
      </c>
      <c r="T85" s="37" t="e">
        <f ca="1">I85*'A3. INPUT Unit Costs'!$I38</f>
        <v>#N/A</v>
      </c>
      <c r="U85" s="37" t="e">
        <f ca="1">J85*'A3. INPUT Unit Costs'!$I38</f>
        <v>#N/A</v>
      </c>
      <c r="V85" s="37" t="e">
        <f ca="1">K85*'A3. INPUT Unit Costs'!$I38</f>
        <v>#N/A</v>
      </c>
      <c r="W85" s="79" t="e">
        <f t="shared" ca="1" si="42"/>
        <v>#N/A</v>
      </c>
    </row>
    <row r="86" spans="1:192" x14ac:dyDescent="0.2">
      <c r="A86" s="165">
        <v>8</v>
      </c>
      <c r="B86" s="5" t="str">
        <f t="shared" ca="1" si="38"/>
        <v>…</v>
      </c>
      <c r="C86" s="2">
        <f t="shared" ca="1" si="39"/>
        <v>24</v>
      </c>
      <c r="D86" s="269" t="e">
        <f>VLOOKUP($B$71,'T1. Vaccines'!$C$8:$AD$37,$C86,FALSE)</f>
        <v>#N/A</v>
      </c>
      <c r="E86" s="2"/>
      <c r="F86" s="16" t="e">
        <f t="shared" si="41"/>
        <v>#N/A</v>
      </c>
      <c r="G86" s="16" t="e">
        <f t="shared" si="40"/>
        <v>#N/A</v>
      </c>
      <c r="H86" s="16" t="e">
        <f t="shared" si="40"/>
        <v>#N/A</v>
      </c>
      <c r="I86" s="16" t="e">
        <f t="shared" si="40"/>
        <v>#N/A</v>
      </c>
      <c r="J86" s="16" t="e">
        <f t="shared" si="40"/>
        <v>#N/A</v>
      </c>
      <c r="K86" s="16" t="e">
        <f t="shared" si="40"/>
        <v>#N/A</v>
      </c>
      <c r="L86" s="16" t="e">
        <f t="shared" si="43"/>
        <v>#N/A</v>
      </c>
      <c r="O86" s="549" t="e">
        <f ca="1">D86*'A3. INPUT Unit Costs'!M39*'A3. INPUT Unit Costs'!N39</f>
        <v>#N/A</v>
      </c>
      <c r="Q86" s="37" t="e">
        <f ca="1">F86*'A3. INPUT Unit Costs'!$I39</f>
        <v>#N/A</v>
      </c>
      <c r="R86" s="37" t="e">
        <f ca="1">G86*'A3. INPUT Unit Costs'!$I39</f>
        <v>#N/A</v>
      </c>
      <c r="S86" s="37" t="e">
        <f ca="1">H86*'A3. INPUT Unit Costs'!$I39</f>
        <v>#N/A</v>
      </c>
      <c r="T86" s="37" t="e">
        <f ca="1">I86*'A3. INPUT Unit Costs'!$I39</f>
        <v>#N/A</v>
      </c>
      <c r="U86" s="37" t="e">
        <f ca="1">J86*'A3. INPUT Unit Costs'!$I39</f>
        <v>#N/A</v>
      </c>
      <c r="V86" s="37" t="e">
        <f ca="1">K86*'A3. INPUT Unit Costs'!$I39</f>
        <v>#N/A</v>
      </c>
      <c r="W86" s="79" t="e">
        <f t="shared" ca="1" si="42"/>
        <v>#N/A</v>
      </c>
    </row>
    <row r="87" spans="1:192" x14ac:dyDescent="0.2">
      <c r="A87" s="165">
        <v>9</v>
      </c>
      <c r="B87" s="5" t="str">
        <f t="shared" ca="1" si="38"/>
        <v>Sharps Disposal (5L)</v>
      </c>
      <c r="C87" s="2">
        <f t="shared" ca="1" si="39"/>
        <v>25</v>
      </c>
      <c r="D87" s="269" t="e">
        <f>VLOOKUP($B$71,'T1. Vaccines'!$C$8:$AD$37,$C87,FALSE)</f>
        <v>#N/A</v>
      </c>
      <c r="E87" s="2"/>
      <c r="F87" s="16" t="e">
        <f t="shared" si="41"/>
        <v>#N/A</v>
      </c>
      <c r="G87" s="16" t="e">
        <f t="shared" si="40"/>
        <v>#N/A</v>
      </c>
      <c r="H87" s="16" t="e">
        <f t="shared" si="40"/>
        <v>#N/A</v>
      </c>
      <c r="I87" s="16" t="e">
        <f t="shared" si="40"/>
        <v>#N/A</v>
      </c>
      <c r="J87" s="16" t="e">
        <f t="shared" si="40"/>
        <v>#N/A</v>
      </c>
      <c r="K87" s="16" t="e">
        <f t="shared" si="40"/>
        <v>#N/A</v>
      </c>
      <c r="L87" s="16" t="e">
        <f t="shared" si="43"/>
        <v>#N/A</v>
      </c>
      <c r="O87" s="549" t="e">
        <f ca="1">D87*'A3. INPUT Unit Costs'!M40*'A3. INPUT Unit Costs'!N40</f>
        <v>#N/A</v>
      </c>
      <c r="Q87" s="37" t="e">
        <f ca="1">F87*'A3. INPUT Unit Costs'!$I40</f>
        <v>#N/A</v>
      </c>
      <c r="R87" s="37" t="e">
        <f ca="1">G87*'A3. INPUT Unit Costs'!$I40</f>
        <v>#N/A</v>
      </c>
      <c r="S87" s="37" t="e">
        <f ca="1">H87*'A3. INPUT Unit Costs'!$I40</f>
        <v>#N/A</v>
      </c>
      <c r="T87" s="37" t="e">
        <f ca="1">I87*'A3. INPUT Unit Costs'!$I40</f>
        <v>#N/A</v>
      </c>
      <c r="U87" s="37" t="e">
        <f ca="1">J87*'A3. INPUT Unit Costs'!$I40</f>
        <v>#N/A</v>
      </c>
      <c r="V87" s="37" t="e">
        <f ca="1">K87*'A3. INPUT Unit Costs'!$I40</f>
        <v>#N/A</v>
      </c>
      <c r="W87" s="79" t="e">
        <f t="shared" ca="1" si="42"/>
        <v>#N/A</v>
      </c>
    </row>
    <row r="88" spans="1:192" x14ac:dyDescent="0.2">
      <c r="A88" s="165">
        <v>10</v>
      </c>
      <c r="B88" s="5" t="str">
        <f t="shared" ca="1" si="38"/>
        <v>Vaccination Card</v>
      </c>
      <c r="C88" s="2">
        <f t="shared" ca="1" si="39"/>
        <v>26</v>
      </c>
      <c r="D88" s="269" t="e">
        <f>VLOOKUP($B$71,'T1. Vaccines'!$C$8:$AD$37,$C88,FALSE)</f>
        <v>#N/A</v>
      </c>
      <c r="E88" s="2"/>
      <c r="F88" s="16" t="e">
        <f t="shared" si="41"/>
        <v>#N/A</v>
      </c>
      <c r="G88" s="16" t="e">
        <f t="shared" si="40"/>
        <v>#N/A</v>
      </c>
      <c r="H88" s="16" t="e">
        <f t="shared" si="40"/>
        <v>#N/A</v>
      </c>
      <c r="I88" s="16" t="e">
        <f t="shared" si="40"/>
        <v>#N/A</v>
      </c>
      <c r="J88" s="16" t="e">
        <f t="shared" si="40"/>
        <v>#N/A</v>
      </c>
      <c r="K88" s="16" t="e">
        <f t="shared" si="40"/>
        <v>#N/A</v>
      </c>
      <c r="L88" s="16" t="e">
        <f t="shared" si="43"/>
        <v>#N/A</v>
      </c>
      <c r="O88" s="549" t="e">
        <f ca="1">D88*'A3. INPUT Unit Costs'!M41*'A3. INPUT Unit Costs'!N41</f>
        <v>#N/A</v>
      </c>
      <c r="Q88" s="37" t="e">
        <f ca="1">F88*'A3. INPUT Unit Costs'!$I41</f>
        <v>#N/A</v>
      </c>
      <c r="R88" s="37" t="e">
        <f ca="1">G88*'A3. INPUT Unit Costs'!$I41</f>
        <v>#N/A</v>
      </c>
      <c r="S88" s="37" t="e">
        <f ca="1">H88*'A3. INPUT Unit Costs'!$I41</f>
        <v>#N/A</v>
      </c>
      <c r="T88" s="37" t="e">
        <f ca="1">I88*'A3. INPUT Unit Costs'!$I41</f>
        <v>#N/A</v>
      </c>
      <c r="U88" s="37" t="e">
        <f ca="1">J88*'A3. INPUT Unit Costs'!$I41</f>
        <v>#N/A</v>
      </c>
      <c r="V88" s="37" t="e">
        <f ca="1">K88*'A3. INPUT Unit Costs'!$I41</f>
        <v>#N/A</v>
      </c>
      <c r="W88" s="79" t="e">
        <f t="shared" ca="1" si="42"/>
        <v>#N/A</v>
      </c>
    </row>
    <row r="89" spans="1:192" x14ac:dyDescent="0.2">
      <c r="A89" s="165">
        <v>11</v>
      </c>
      <c r="B89" s="5" t="str">
        <f t="shared" ca="1" si="38"/>
        <v>Electronic Records</v>
      </c>
      <c r="C89" s="2">
        <f t="shared" ca="1" si="39"/>
        <v>27</v>
      </c>
      <c r="D89" s="269" t="e">
        <f>VLOOKUP($B$71,'T1. Vaccines'!$C$8:$AD$37,$C89,FALSE)</f>
        <v>#N/A</v>
      </c>
      <c r="E89" s="2"/>
      <c r="F89" s="16" t="e">
        <f t="shared" si="41"/>
        <v>#N/A</v>
      </c>
      <c r="G89" s="16" t="e">
        <f t="shared" si="40"/>
        <v>#N/A</v>
      </c>
      <c r="H89" s="16" t="e">
        <f t="shared" si="40"/>
        <v>#N/A</v>
      </c>
      <c r="I89" s="16" t="e">
        <f t="shared" si="40"/>
        <v>#N/A</v>
      </c>
      <c r="J89" s="16" t="e">
        <f t="shared" si="40"/>
        <v>#N/A</v>
      </c>
      <c r="K89" s="16" t="e">
        <f t="shared" si="40"/>
        <v>#N/A</v>
      </c>
      <c r="L89" s="16" t="e">
        <f t="shared" si="43"/>
        <v>#N/A</v>
      </c>
      <c r="O89" s="549" t="e">
        <f>D89*'A3. INPUT Unit Costs'!M42*'A3. INPUT Unit Costs'!N42</f>
        <v>#N/A</v>
      </c>
      <c r="Q89" s="37" t="e">
        <f>F89*'A3. INPUT Unit Costs'!$I42</f>
        <v>#N/A</v>
      </c>
      <c r="R89" s="37" t="e">
        <f>G89*'A3. INPUT Unit Costs'!$I42</f>
        <v>#N/A</v>
      </c>
      <c r="S89" s="37" t="e">
        <f>H89*'A3. INPUT Unit Costs'!$I42</f>
        <v>#N/A</v>
      </c>
      <c r="T89" s="37" t="e">
        <f>I89*'A3. INPUT Unit Costs'!$I42</f>
        <v>#N/A</v>
      </c>
      <c r="U89" s="37" t="e">
        <f>J89*'A3. INPUT Unit Costs'!$I42</f>
        <v>#N/A</v>
      </c>
      <c r="V89" s="37" t="e">
        <f>K89*'A3. INPUT Unit Costs'!$I42</f>
        <v>#N/A</v>
      </c>
      <c r="W89" s="79" t="e">
        <f t="shared" si="42"/>
        <v>#N/A</v>
      </c>
    </row>
    <row r="90" spans="1:192" x14ac:dyDescent="0.2">
      <c r="A90" s="165">
        <v>12</v>
      </c>
      <c r="B90" s="5" t="str">
        <f t="shared" ca="1" si="38"/>
        <v>No fault compensation fund</v>
      </c>
      <c r="C90" s="2">
        <f t="shared" ca="1" si="39"/>
        <v>28</v>
      </c>
      <c r="D90" s="269" t="e">
        <f>VLOOKUP($B$71,'T1. Vaccines'!$C$8:$AD$37,$C90,FALSE)</f>
        <v>#N/A</v>
      </c>
      <c r="E90" s="2"/>
      <c r="F90" s="16" t="e">
        <f t="shared" si="41"/>
        <v>#N/A</v>
      </c>
      <c r="G90" s="16" t="e">
        <f t="shared" si="40"/>
        <v>#N/A</v>
      </c>
      <c r="H90" s="16" t="e">
        <f t="shared" si="40"/>
        <v>#N/A</v>
      </c>
      <c r="I90" s="16" t="e">
        <f t="shared" si="40"/>
        <v>#N/A</v>
      </c>
      <c r="J90" s="16" t="e">
        <f t="shared" si="40"/>
        <v>#N/A</v>
      </c>
      <c r="K90" s="16" t="e">
        <f t="shared" si="40"/>
        <v>#N/A</v>
      </c>
      <c r="L90" s="16" t="e">
        <f t="shared" si="43"/>
        <v>#N/A</v>
      </c>
      <c r="O90" s="549" t="e">
        <f ca="1">D90*'A3. INPUT Unit Costs'!N43</f>
        <v>#N/A</v>
      </c>
      <c r="Q90" s="37" t="e">
        <f>F90*'A3. INPUT Unit Costs'!$I43</f>
        <v>#N/A</v>
      </c>
      <c r="R90" s="37" t="e">
        <f>G90*'A3. INPUT Unit Costs'!$I43</f>
        <v>#N/A</v>
      </c>
      <c r="S90" s="37" t="e">
        <f>H90*'A3. INPUT Unit Costs'!$I43</f>
        <v>#N/A</v>
      </c>
      <c r="T90" s="37" t="e">
        <f>I90*'A3. INPUT Unit Costs'!$I43</f>
        <v>#N/A</v>
      </c>
      <c r="U90" s="37" t="e">
        <f>J90*'A3. INPUT Unit Costs'!$I43</f>
        <v>#N/A</v>
      </c>
      <c r="V90" s="37" t="e">
        <f>K90*'A3. INPUT Unit Costs'!$I43</f>
        <v>#N/A</v>
      </c>
      <c r="W90" s="79" t="e">
        <f t="shared" si="42"/>
        <v>#N/A</v>
      </c>
    </row>
    <row r="92" spans="1:192" s="8" customFormat="1" ht="15" x14ac:dyDescent="0.25">
      <c r="A92" s="8" t="str">
        <f ca="1">IF(OFFSET(AA92,0,Lang_Order*Lang__B2)="","",OFFSET(AA92,0,Lang_Order*Lang__B2))</f>
        <v>B2.2 TOTALS</v>
      </c>
      <c r="B92" s="19"/>
      <c r="D92" s="19"/>
      <c r="F92" s="42" t="e">
        <f t="shared" ref="F92:K95" si="44">SUM(F8,F29,F50,F71)</f>
        <v>#N/A</v>
      </c>
      <c r="G92" s="42" t="e">
        <f t="shared" si="44"/>
        <v>#N/A</v>
      </c>
      <c r="H92" s="42" t="e">
        <f t="shared" si="44"/>
        <v>#N/A</v>
      </c>
      <c r="I92" s="42" t="e">
        <f t="shared" si="44"/>
        <v>#N/A</v>
      </c>
      <c r="J92" s="42" t="e">
        <f t="shared" si="44"/>
        <v>#N/A</v>
      </c>
      <c r="K92" s="42" t="e">
        <f t="shared" si="44"/>
        <v>#N/A</v>
      </c>
      <c r="L92" s="42" t="e">
        <f t="shared" ref="L92:L96" si="45">SUM(F92:K92)</f>
        <v>#N/A</v>
      </c>
      <c r="M92" s="42"/>
      <c r="N92" s="463"/>
      <c r="O92" s="463"/>
      <c r="P92" s="463"/>
      <c r="Q92" s="188"/>
      <c r="R92" s="188"/>
      <c r="S92" s="188"/>
      <c r="T92" s="188"/>
      <c r="U92" s="188"/>
      <c r="V92" s="188"/>
      <c r="W92" s="188"/>
      <c r="Y92" s="299"/>
      <c r="Z92" s="564"/>
      <c r="AA92" s="564" t="s">
        <v>2864</v>
      </c>
      <c r="AB92" s="564"/>
      <c r="AC92" s="564"/>
      <c r="AD92" s="564"/>
      <c r="AE92" s="564"/>
      <c r="AF92" s="564"/>
      <c r="AG92" s="564"/>
      <c r="AH92" s="564"/>
      <c r="AI92" s="564"/>
      <c r="AJ92" s="564"/>
      <c r="AK92" s="564"/>
      <c r="AL92" s="564"/>
      <c r="AM92" s="564"/>
      <c r="AN92" s="564"/>
      <c r="AO92" s="564"/>
      <c r="AP92" s="564"/>
      <c r="AQ92" s="564"/>
      <c r="AR92" s="564"/>
      <c r="AS92" s="564"/>
      <c r="AT92" s="564"/>
      <c r="AU92" s="564"/>
      <c r="AV92" s="564"/>
      <c r="AW92" s="564"/>
      <c r="AX92" s="564"/>
      <c r="AY92" s="564" t="s">
        <v>10077</v>
      </c>
      <c r="AZ92" s="564"/>
      <c r="BA92" s="564"/>
      <c r="BB92" s="564"/>
      <c r="BC92" s="564"/>
      <c r="BD92" s="564"/>
      <c r="BE92" s="564"/>
      <c r="BF92" s="564"/>
      <c r="BG92" s="564"/>
      <c r="BH92" s="564"/>
      <c r="BI92" s="564"/>
      <c r="BJ92" s="564"/>
      <c r="BK92" s="564"/>
      <c r="BL92" s="564"/>
      <c r="BM92" s="564"/>
      <c r="BN92" s="564"/>
      <c r="BO92" s="564"/>
      <c r="BP92" s="564"/>
      <c r="BQ92" s="564"/>
      <c r="BR92" s="564"/>
      <c r="BS92" s="564"/>
      <c r="BT92" s="564"/>
      <c r="BU92" s="564"/>
      <c r="BV92" s="564"/>
      <c r="BW92" s="564" t="s">
        <v>10078</v>
      </c>
      <c r="BX92" s="564"/>
      <c r="BY92" s="564"/>
      <c r="BZ92" s="564"/>
      <c r="CA92" s="564"/>
      <c r="CB92" s="564"/>
      <c r="CC92" s="564"/>
      <c r="CD92" s="564"/>
      <c r="CE92" s="564"/>
      <c r="CF92" s="564"/>
      <c r="CG92" s="564"/>
      <c r="CH92" s="564"/>
      <c r="CI92" s="564"/>
      <c r="CJ92" s="564"/>
      <c r="CK92" s="564"/>
      <c r="CL92" s="564"/>
      <c r="CM92" s="564"/>
      <c r="CN92" s="564"/>
      <c r="CO92" s="564"/>
      <c r="CP92" s="564"/>
      <c r="CQ92" s="564"/>
      <c r="CR92" s="564"/>
      <c r="CS92" s="564"/>
      <c r="CT92" s="564"/>
      <c r="CU92" s="564" t="s">
        <v>10079</v>
      </c>
      <c r="CV92" s="564"/>
      <c r="CW92" s="564"/>
      <c r="CX92" s="564"/>
      <c r="CY92" s="564"/>
      <c r="CZ92" s="564"/>
      <c r="DA92" s="564"/>
      <c r="DB92" s="564"/>
      <c r="DC92" s="564"/>
      <c r="DD92" s="564"/>
      <c r="DE92" s="564"/>
      <c r="DF92" s="564"/>
      <c r="DG92" s="564"/>
      <c r="DH92" s="564"/>
      <c r="DI92" s="564"/>
      <c r="DJ92" s="564"/>
      <c r="DK92" s="564"/>
      <c r="DL92" s="564"/>
      <c r="DM92" s="564"/>
      <c r="DN92" s="564"/>
      <c r="DO92" s="564"/>
      <c r="DP92" s="564"/>
      <c r="DQ92" s="564"/>
      <c r="DR92" s="564"/>
      <c r="DS92" s="564" t="s">
        <v>10080</v>
      </c>
      <c r="DT92" s="564"/>
      <c r="DU92" s="564"/>
      <c r="DV92" s="564"/>
      <c r="DW92" s="564"/>
      <c r="DX92" s="564"/>
      <c r="DY92" s="564"/>
      <c r="DZ92" s="564"/>
      <c r="EA92" s="564"/>
      <c r="EB92" s="564"/>
      <c r="EC92" s="564"/>
      <c r="ED92" s="564"/>
      <c r="EE92" s="564"/>
      <c r="EF92" s="564"/>
      <c r="EG92" s="564"/>
      <c r="EH92" s="564"/>
      <c r="EI92" s="564"/>
      <c r="EJ92" s="564"/>
      <c r="EK92" s="564"/>
      <c r="EL92" s="564"/>
      <c r="EM92" s="564"/>
      <c r="EN92" s="564"/>
      <c r="EO92" s="564"/>
      <c r="EP92" s="564"/>
      <c r="EQ92" s="564" t="s">
        <v>10081</v>
      </c>
      <c r="ER92" s="564"/>
      <c r="ES92" s="564"/>
      <c r="ET92" s="564"/>
      <c r="EU92" s="564"/>
      <c r="EV92" s="564"/>
      <c r="EW92" s="564"/>
      <c r="EX92" s="564"/>
      <c r="EY92" s="564"/>
      <c r="EZ92" s="564"/>
      <c r="FA92" s="564"/>
      <c r="FB92" s="564"/>
      <c r="FC92" s="564"/>
      <c r="FD92" s="564"/>
      <c r="FE92" s="564"/>
      <c r="FF92" s="564"/>
      <c r="FG92" s="564"/>
      <c r="FH92" s="564"/>
      <c r="FI92" s="564"/>
      <c r="FJ92" s="564"/>
      <c r="FK92" s="564"/>
      <c r="FL92" s="564"/>
      <c r="FM92" s="564"/>
      <c r="FN92" s="564"/>
      <c r="FO92" s="564" t="s">
        <v>10082</v>
      </c>
      <c r="FP92" s="564"/>
      <c r="FQ92" s="564"/>
      <c r="FR92" s="564"/>
      <c r="FS92" s="564"/>
      <c r="FT92" s="564"/>
      <c r="FU92" s="564"/>
      <c r="FV92" s="564"/>
      <c r="FW92" s="564"/>
      <c r="FX92" s="564"/>
      <c r="FY92" s="564"/>
      <c r="FZ92" s="564"/>
      <c r="GA92" s="564"/>
      <c r="GB92" s="564"/>
      <c r="GC92" s="564"/>
      <c r="GD92" s="564"/>
      <c r="GE92" s="564"/>
      <c r="GF92" s="564"/>
      <c r="GG92" s="564"/>
      <c r="GH92" s="564"/>
      <c r="GI92" s="564"/>
      <c r="GJ92" s="564"/>
    </row>
    <row r="93" spans="1:192" s="194" customFormat="1" ht="15" x14ac:dyDescent="0.25">
      <c r="B93" s="5"/>
      <c r="D93" s="5"/>
      <c r="F93" s="30" t="str">
        <f t="shared" ref="F93:L93" ca="1" si="46">IF(OFFSET(AF93,0,Lang_Order*Lang__B2)="","",OFFSET(AF93,0,Lang_Order*Lang__B2))</f>
        <v>H1 2021</v>
      </c>
      <c r="G93" s="30" t="str">
        <f t="shared" ca="1" si="46"/>
        <v>H2 2021</v>
      </c>
      <c r="H93" s="30" t="str">
        <f t="shared" ca="1" si="46"/>
        <v>H1 2022</v>
      </c>
      <c r="I93" s="30" t="str">
        <f t="shared" ca="1" si="46"/>
        <v>H2 2022</v>
      </c>
      <c r="J93" s="30" t="str">
        <f t="shared" ca="1" si="46"/>
        <v>H1 2023</v>
      </c>
      <c r="K93" s="30" t="str">
        <f t="shared" ca="1" si="46"/>
        <v>H2 2023</v>
      </c>
      <c r="L93" s="41" t="str">
        <f t="shared" ca="1" si="46"/>
        <v>Total</v>
      </c>
      <c r="M93" s="41"/>
      <c r="N93" s="241"/>
      <c r="O93" s="463"/>
      <c r="P93" s="463"/>
      <c r="Q93" s="76" t="str">
        <f t="shared" ref="Q93:X93" ca="1" si="47">IF(OFFSET(AO93,0,Lang_Order*Lang__B2)="","",OFFSET(AO93,0,Lang_Order*Lang__B2))</f>
        <v>H1 2021</v>
      </c>
      <c r="R93" s="76" t="str">
        <f t="shared" ca="1" si="47"/>
        <v>H2 2021</v>
      </c>
      <c r="S93" s="76" t="str">
        <f t="shared" ca="1" si="47"/>
        <v>H1 2022</v>
      </c>
      <c r="T93" s="76" t="str">
        <f t="shared" ca="1" si="47"/>
        <v>H2 2022</v>
      </c>
      <c r="U93" s="76" t="str">
        <f t="shared" ca="1" si="47"/>
        <v>H1 2023</v>
      </c>
      <c r="V93" s="76" t="str">
        <f t="shared" ca="1" si="47"/>
        <v>H2 2023</v>
      </c>
      <c r="W93" s="41" t="str">
        <f t="shared" ca="1" si="47"/>
        <v>Total</v>
      </c>
      <c r="X93" s="274" t="str">
        <f t="shared" ca="1" si="47"/>
        <v>Subject to custom clearance?</v>
      </c>
      <c r="Z93" s="564"/>
      <c r="AA93" s="564"/>
      <c r="AB93" s="564"/>
      <c r="AC93" s="564"/>
      <c r="AD93" s="564"/>
      <c r="AE93" s="564"/>
      <c r="AF93" s="564" t="s">
        <v>1597</v>
      </c>
      <c r="AG93" s="564" t="s">
        <v>1598</v>
      </c>
      <c r="AH93" s="564" t="s">
        <v>1599</v>
      </c>
      <c r="AI93" s="564" t="s">
        <v>1600</v>
      </c>
      <c r="AJ93" s="564" t="s">
        <v>1602</v>
      </c>
      <c r="AK93" s="564" t="s">
        <v>1601</v>
      </c>
      <c r="AL93" s="564" t="s">
        <v>1605</v>
      </c>
      <c r="AM93" s="564"/>
      <c r="AN93" s="564"/>
      <c r="AO93" s="564" t="s">
        <v>1597</v>
      </c>
      <c r="AP93" s="564" t="s">
        <v>1598</v>
      </c>
      <c r="AQ93" s="564" t="s">
        <v>1599</v>
      </c>
      <c r="AR93" s="564" t="s">
        <v>1600</v>
      </c>
      <c r="AS93" s="564" t="s">
        <v>1602</v>
      </c>
      <c r="AT93" s="564" t="s">
        <v>1601</v>
      </c>
      <c r="AU93" s="564" t="s">
        <v>1605</v>
      </c>
      <c r="AV93" s="564" t="s">
        <v>3160</v>
      </c>
      <c r="AW93" s="564"/>
      <c r="AX93" s="564"/>
      <c r="AY93" s="564"/>
      <c r="AZ93" s="564"/>
      <c r="BA93" s="564"/>
      <c r="BB93" s="564"/>
      <c r="BC93" s="564"/>
      <c r="BD93" s="564" t="s">
        <v>4663</v>
      </c>
      <c r="BE93" s="564" t="s">
        <v>4664</v>
      </c>
      <c r="BF93" s="564" t="s">
        <v>4665</v>
      </c>
      <c r="BG93" s="564" t="s">
        <v>4666</v>
      </c>
      <c r="BH93" s="564" t="s">
        <v>4667</v>
      </c>
      <c r="BI93" s="564" t="s">
        <v>4668</v>
      </c>
      <c r="BJ93" s="564" t="s">
        <v>1605</v>
      </c>
      <c r="BK93" s="564"/>
      <c r="BL93" s="564"/>
      <c r="BM93" s="564" t="s">
        <v>4663</v>
      </c>
      <c r="BN93" s="564" t="s">
        <v>4664</v>
      </c>
      <c r="BO93" s="564" t="s">
        <v>4665</v>
      </c>
      <c r="BP93" s="564" t="s">
        <v>4666</v>
      </c>
      <c r="BQ93" s="564" t="s">
        <v>4667</v>
      </c>
      <c r="BR93" s="564" t="s">
        <v>4668</v>
      </c>
      <c r="BS93" s="564" t="s">
        <v>1605</v>
      </c>
      <c r="BT93" s="564"/>
      <c r="BU93" s="564"/>
      <c r="BV93" s="564"/>
      <c r="BW93" s="564"/>
      <c r="BX93" s="564"/>
      <c r="BY93" s="564"/>
      <c r="BZ93" s="564"/>
      <c r="CA93" s="564"/>
      <c r="CB93" s="564" t="s">
        <v>4670</v>
      </c>
      <c r="CC93" s="564" t="s">
        <v>4671</v>
      </c>
      <c r="CD93" s="564" t="s">
        <v>4672</v>
      </c>
      <c r="CE93" s="564" t="s">
        <v>4673</v>
      </c>
      <c r="CF93" s="564" t="s">
        <v>4674</v>
      </c>
      <c r="CG93" s="564" t="s">
        <v>4675</v>
      </c>
      <c r="CH93" s="564" t="s">
        <v>4676</v>
      </c>
      <c r="CI93" s="564"/>
      <c r="CJ93" s="564"/>
      <c r="CK93" s="564" t="s">
        <v>4670</v>
      </c>
      <c r="CL93" s="564" t="s">
        <v>4671</v>
      </c>
      <c r="CM93" s="564" t="s">
        <v>4672</v>
      </c>
      <c r="CN93" s="564" t="s">
        <v>4673</v>
      </c>
      <c r="CO93" s="564" t="s">
        <v>4674</v>
      </c>
      <c r="CP93" s="564" t="s">
        <v>4675</v>
      </c>
      <c r="CQ93" s="564" t="s">
        <v>4676</v>
      </c>
      <c r="CR93" s="564" t="s">
        <v>10083</v>
      </c>
      <c r="CS93" s="564"/>
      <c r="CT93" s="564"/>
      <c r="CU93" s="564"/>
      <c r="CV93" s="564"/>
      <c r="CW93" s="564"/>
      <c r="CX93" s="564"/>
      <c r="CY93" s="564"/>
      <c r="CZ93" s="564" t="s">
        <v>1597</v>
      </c>
      <c r="DA93" s="564" t="s">
        <v>1598</v>
      </c>
      <c r="DB93" s="564" t="s">
        <v>1599</v>
      </c>
      <c r="DC93" s="564" t="s">
        <v>1600</v>
      </c>
      <c r="DD93" s="564" t="s">
        <v>1602</v>
      </c>
      <c r="DE93" s="564" t="s">
        <v>1601</v>
      </c>
      <c r="DF93" s="564" t="s">
        <v>10084</v>
      </c>
      <c r="DG93" s="564"/>
      <c r="DH93" s="564"/>
      <c r="DI93" s="564" t="s">
        <v>1597</v>
      </c>
      <c r="DJ93" s="564" t="s">
        <v>1598</v>
      </c>
      <c r="DK93" s="564" t="s">
        <v>1599</v>
      </c>
      <c r="DL93" s="564" t="s">
        <v>1600</v>
      </c>
      <c r="DM93" s="564" t="s">
        <v>1602</v>
      </c>
      <c r="DN93" s="564" t="s">
        <v>1601</v>
      </c>
      <c r="DO93" s="564" t="s">
        <v>1605</v>
      </c>
      <c r="DP93" s="564" t="s">
        <v>10085</v>
      </c>
      <c r="DQ93" s="564"/>
      <c r="DR93" s="564"/>
      <c r="DS93" s="564"/>
      <c r="DT93" s="564"/>
      <c r="DU93" s="564"/>
      <c r="DV93" s="564"/>
      <c r="DW93" s="564"/>
      <c r="DX93" s="564" t="s">
        <v>4663</v>
      </c>
      <c r="DY93" s="564" t="s">
        <v>4664</v>
      </c>
      <c r="DZ93" s="564" t="s">
        <v>4665</v>
      </c>
      <c r="EA93" s="564" t="s">
        <v>4666</v>
      </c>
      <c r="EB93" s="564" t="s">
        <v>4667</v>
      </c>
      <c r="EC93" s="564" t="s">
        <v>4668</v>
      </c>
      <c r="ED93" s="564" t="s">
        <v>1605</v>
      </c>
      <c r="EE93" s="564"/>
      <c r="EF93" s="564"/>
      <c r="EG93" s="564" t="s">
        <v>4663</v>
      </c>
      <c r="EH93" s="564" t="s">
        <v>4664</v>
      </c>
      <c r="EI93" s="564" t="s">
        <v>4665</v>
      </c>
      <c r="EJ93" s="564" t="s">
        <v>4666</v>
      </c>
      <c r="EK93" s="564" t="s">
        <v>4667</v>
      </c>
      <c r="EL93" s="564" t="s">
        <v>4668</v>
      </c>
      <c r="EM93" s="564" t="s">
        <v>1605</v>
      </c>
      <c r="EN93" s="564" t="s">
        <v>10086</v>
      </c>
      <c r="EO93" s="564"/>
      <c r="EP93" s="564"/>
      <c r="EQ93" s="564"/>
      <c r="ER93" s="564"/>
      <c r="ES93" s="564"/>
      <c r="ET93" s="564"/>
      <c r="EU93" s="564"/>
      <c r="EV93" s="564" t="s">
        <v>4680</v>
      </c>
      <c r="EW93" s="564" t="s">
        <v>4681</v>
      </c>
      <c r="EX93" s="564" t="s">
        <v>9985</v>
      </c>
      <c r="EY93" s="564" t="s">
        <v>4683</v>
      </c>
      <c r="EZ93" s="564" t="s">
        <v>4684</v>
      </c>
      <c r="FA93" s="564" t="s">
        <v>4685</v>
      </c>
      <c r="FB93" s="564" t="s">
        <v>4686</v>
      </c>
      <c r="FC93" s="564"/>
      <c r="FD93" s="564"/>
      <c r="FE93" s="564" t="s">
        <v>4680</v>
      </c>
      <c r="FF93" s="564" t="s">
        <v>4681</v>
      </c>
      <c r="FG93" s="564" t="s">
        <v>9985</v>
      </c>
      <c r="FH93" s="564" t="s">
        <v>4683</v>
      </c>
      <c r="FI93" s="564" t="s">
        <v>4684</v>
      </c>
      <c r="FJ93" s="564" t="s">
        <v>4685</v>
      </c>
      <c r="FK93" s="564" t="s">
        <v>4686</v>
      </c>
      <c r="FL93" s="564" t="s">
        <v>10087</v>
      </c>
      <c r="FM93" s="564"/>
      <c r="FN93" s="564"/>
      <c r="FO93" s="564"/>
      <c r="FP93" s="564"/>
      <c r="FQ93" s="564"/>
      <c r="FR93" s="564"/>
      <c r="FS93" s="564"/>
      <c r="FT93" s="564" t="s">
        <v>4688</v>
      </c>
      <c r="FU93" s="564" t="s">
        <v>4689</v>
      </c>
      <c r="FV93" s="564" t="s">
        <v>4690</v>
      </c>
      <c r="FW93" s="564" t="s">
        <v>4691</v>
      </c>
      <c r="FX93" s="564" t="s">
        <v>4692</v>
      </c>
      <c r="FY93" s="564" t="s">
        <v>4693</v>
      </c>
      <c r="FZ93" s="564" t="s">
        <v>6111</v>
      </c>
      <c r="GA93" s="564"/>
      <c r="GB93" s="564"/>
      <c r="GC93" s="564" t="s">
        <v>4688</v>
      </c>
      <c r="GD93" s="564" t="s">
        <v>4689</v>
      </c>
      <c r="GE93" s="564" t="s">
        <v>4690</v>
      </c>
      <c r="GF93" s="564" t="s">
        <v>4691</v>
      </c>
      <c r="GG93" s="564" t="s">
        <v>4692</v>
      </c>
      <c r="GH93" s="564" t="s">
        <v>4693</v>
      </c>
      <c r="GI93" s="564" t="s">
        <v>6111</v>
      </c>
      <c r="GJ93" s="564" t="s">
        <v>10088</v>
      </c>
    </row>
    <row r="94" spans="1:192" s="194" customFormat="1" x14ac:dyDescent="0.2">
      <c r="B94" s="5" t="str">
        <f ca="1">IF(OFFSET(AB94,0,Lang_Order*Lang__B2)="","",OFFSET(AB94,0,Lang_Order*Lang__B2))</f>
        <v>Vaccine doses (all vaccines)</v>
      </c>
      <c r="D94" s="5"/>
      <c r="F94" s="16" t="e">
        <f t="shared" si="44"/>
        <v>#N/A</v>
      </c>
      <c r="G94" s="16" t="e">
        <f t="shared" si="44"/>
        <v>#N/A</v>
      </c>
      <c r="H94" s="16" t="e">
        <f t="shared" si="44"/>
        <v>#N/A</v>
      </c>
      <c r="I94" s="16" t="e">
        <f t="shared" si="44"/>
        <v>#N/A</v>
      </c>
      <c r="J94" s="16" t="e">
        <f t="shared" si="44"/>
        <v>#N/A</v>
      </c>
      <c r="K94" s="16" t="e">
        <f t="shared" si="44"/>
        <v>#N/A</v>
      </c>
      <c r="L94" s="16" t="e">
        <f t="shared" si="45"/>
        <v>#N/A</v>
      </c>
      <c r="M94" s="16"/>
      <c r="O94" s="463"/>
      <c r="P94" s="463"/>
      <c r="Q94" s="37"/>
      <c r="R94" s="37"/>
      <c r="S94" s="37"/>
      <c r="T94" s="37"/>
      <c r="U94" s="37"/>
      <c r="V94" s="37"/>
      <c r="W94" s="37"/>
      <c r="Z94" s="564"/>
      <c r="AA94" s="564"/>
      <c r="AB94" s="564" t="s">
        <v>2899</v>
      </c>
      <c r="AC94" s="564"/>
      <c r="AD94" s="564"/>
      <c r="AE94" s="564"/>
      <c r="AF94" s="564"/>
      <c r="AG94" s="564"/>
      <c r="AH94" s="564"/>
      <c r="AI94" s="564"/>
      <c r="AJ94" s="564"/>
      <c r="AK94" s="564"/>
      <c r="AL94" s="564"/>
      <c r="AM94" s="564"/>
      <c r="AN94" s="564"/>
      <c r="AO94" s="564"/>
      <c r="AP94" s="564"/>
      <c r="AQ94" s="564"/>
      <c r="AR94" s="564"/>
      <c r="AS94" s="564"/>
      <c r="AT94" s="564"/>
      <c r="AU94" s="564"/>
      <c r="AV94" s="564"/>
      <c r="AW94" s="564"/>
      <c r="AX94" s="564"/>
      <c r="AY94" s="564"/>
      <c r="AZ94" s="564" t="s">
        <v>10089</v>
      </c>
      <c r="BA94" s="564"/>
      <c r="BB94" s="564"/>
      <c r="BC94" s="564"/>
      <c r="BD94" s="564"/>
      <c r="BE94" s="564"/>
      <c r="BF94" s="564"/>
      <c r="BG94" s="564"/>
      <c r="BH94" s="564"/>
      <c r="BI94" s="564"/>
      <c r="BJ94" s="564"/>
      <c r="BK94" s="564"/>
      <c r="BL94" s="564"/>
      <c r="BM94" s="564"/>
      <c r="BN94" s="564"/>
      <c r="BO94" s="564"/>
      <c r="BP94" s="564"/>
      <c r="BQ94" s="564"/>
      <c r="BR94" s="564"/>
      <c r="BS94" s="564"/>
      <c r="BT94" s="564"/>
      <c r="BU94" s="564"/>
      <c r="BV94" s="564"/>
      <c r="BW94" s="564"/>
      <c r="BX94" s="564" t="s">
        <v>10090</v>
      </c>
      <c r="BY94" s="564"/>
      <c r="BZ94" s="564"/>
      <c r="CA94" s="564"/>
      <c r="CB94" s="564"/>
      <c r="CC94" s="564"/>
      <c r="CD94" s="564"/>
      <c r="CE94" s="564"/>
      <c r="CF94" s="564"/>
      <c r="CG94" s="564"/>
      <c r="CH94" s="564"/>
      <c r="CI94" s="564"/>
      <c r="CJ94" s="564"/>
      <c r="CK94" s="564"/>
      <c r="CL94" s="564"/>
      <c r="CM94" s="564"/>
      <c r="CN94" s="564"/>
      <c r="CO94" s="564"/>
      <c r="CP94" s="564"/>
      <c r="CQ94" s="564"/>
      <c r="CR94" s="564"/>
      <c r="CS94" s="564"/>
      <c r="CT94" s="564"/>
      <c r="CU94" s="564"/>
      <c r="CV94" s="564" t="s">
        <v>10091</v>
      </c>
      <c r="CW94" s="564"/>
      <c r="CX94" s="564"/>
      <c r="CY94" s="564"/>
      <c r="CZ94" s="564"/>
      <c r="DA94" s="564"/>
      <c r="DB94" s="564"/>
      <c r="DC94" s="564"/>
      <c r="DD94" s="564"/>
      <c r="DE94" s="564"/>
      <c r="DF94" s="564"/>
      <c r="DG94" s="564"/>
      <c r="DH94" s="564"/>
      <c r="DI94" s="564"/>
      <c r="DJ94" s="564"/>
      <c r="DK94" s="564"/>
      <c r="DL94" s="564"/>
      <c r="DM94" s="564"/>
      <c r="DN94" s="564"/>
      <c r="DO94" s="564"/>
      <c r="DP94" s="564"/>
      <c r="DQ94" s="564"/>
      <c r="DR94" s="564"/>
      <c r="DS94" s="564"/>
      <c r="DT94" s="564" t="s">
        <v>10092</v>
      </c>
      <c r="DU94" s="564"/>
      <c r="DV94" s="564"/>
      <c r="DW94" s="564"/>
      <c r="DX94" s="564"/>
      <c r="DY94" s="564"/>
      <c r="DZ94" s="564"/>
      <c r="EA94" s="564"/>
      <c r="EB94" s="564"/>
      <c r="EC94" s="564"/>
      <c r="ED94" s="564"/>
      <c r="EE94" s="564"/>
      <c r="EF94" s="564"/>
      <c r="EG94" s="564"/>
      <c r="EH94" s="564"/>
      <c r="EI94" s="564"/>
      <c r="EJ94" s="564"/>
      <c r="EK94" s="564"/>
      <c r="EL94" s="564"/>
      <c r="EM94" s="564"/>
      <c r="EN94" s="564"/>
      <c r="EO94" s="564"/>
      <c r="EP94" s="564"/>
      <c r="EQ94" s="564"/>
      <c r="ER94" s="564" t="s">
        <v>10093</v>
      </c>
      <c r="ES94" s="564"/>
      <c r="ET94" s="564"/>
      <c r="EU94" s="564"/>
      <c r="EV94" s="564"/>
      <c r="EW94" s="564"/>
      <c r="EX94" s="564"/>
      <c r="EY94" s="564"/>
      <c r="EZ94" s="564"/>
      <c r="FA94" s="564"/>
      <c r="FB94" s="564"/>
      <c r="FC94" s="564"/>
      <c r="FD94" s="564"/>
      <c r="FE94" s="564"/>
      <c r="FF94" s="564"/>
      <c r="FG94" s="564"/>
      <c r="FH94" s="564"/>
      <c r="FI94" s="564"/>
      <c r="FJ94" s="564"/>
      <c r="FK94" s="564"/>
      <c r="FL94" s="564"/>
      <c r="FM94" s="564"/>
      <c r="FN94" s="564"/>
      <c r="FO94" s="564"/>
      <c r="FP94" s="564" t="s">
        <v>10094</v>
      </c>
      <c r="FQ94" s="564"/>
      <c r="FR94" s="564"/>
      <c r="FS94" s="564"/>
      <c r="FT94" s="564"/>
      <c r="FU94" s="564"/>
      <c r="FV94" s="564"/>
      <c r="FW94" s="564"/>
      <c r="FX94" s="564"/>
      <c r="FY94" s="564"/>
      <c r="FZ94" s="564"/>
      <c r="GA94" s="564"/>
      <c r="GB94" s="564"/>
      <c r="GC94" s="564"/>
      <c r="GD94" s="564"/>
      <c r="GE94" s="564"/>
      <c r="GF94" s="564"/>
      <c r="GG94" s="564"/>
      <c r="GH94" s="564"/>
      <c r="GI94" s="564"/>
      <c r="GJ94" s="564"/>
    </row>
    <row r="95" spans="1:192" s="194" customFormat="1" x14ac:dyDescent="0.2">
      <c r="B95" s="5"/>
      <c r="D95" s="5"/>
      <c r="F95" s="114" t="e">
        <f t="shared" si="44"/>
        <v>#N/A</v>
      </c>
      <c r="G95" s="114" t="e">
        <f t="shared" si="44"/>
        <v>#N/A</v>
      </c>
      <c r="H95" s="16" t="e">
        <f t="shared" si="44"/>
        <v>#N/A</v>
      </c>
      <c r="I95" s="16" t="e">
        <f t="shared" si="44"/>
        <v>#N/A</v>
      </c>
      <c r="J95" s="16" t="e">
        <f t="shared" si="44"/>
        <v>#N/A</v>
      </c>
      <c r="K95" s="16" t="e">
        <f t="shared" si="44"/>
        <v>#N/A</v>
      </c>
      <c r="L95" s="16" t="e">
        <f t="shared" si="45"/>
        <v>#N/A</v>
      </c>
      <c r="M95" s="16"/>
      <c r="O95" s="463"/>
      <c r="P95" s="463"/>
      <c r="Q95" s="37"/>
      <c r="R95" s="37"/>
      <c r="S95" s="37"/>
      <c r="T95" s="37"/>
      <c r="U95" s="37"/>
      <c r="V95" s="37"/>
      <c r="W95" s="37"/>
      <c r="Z95" s="564"/>
      <c r="AA95" s="564"/>
      <c r="AB95" s="564"/>
      <c r="AC95" s="564"/>
      <c r="AD95" s="564"/>
      <c r="AE95" s="564"/>
      <c r="AF95" s="564"/>
      <c r="AG95" s="564"/>
      <c r="AH95" s="564"/>
      <c r="AI95" s="564"/>
      <c r="AJ95" s="564"/>
      <c r="AK95" s="564"/>
      <c r="AL95" s="564"/>
      <c r="AM95" s="564"/>
      <c r="AN95" s="564"/>
      <c r="AO95" s="564"/>
      <c r="AP95" s="564"/>
      <c r="AQ95" s="564"/>
      <c r="AR95" s="564"/>
      <c r="AS95" s="564"/>
      <c r="AT95" s="564"/>
      <c r="AU95" s="564"/>
      <c r="AV95" s="564"/>
      <c r="AW95" s="564"/>
      <c r="AX95" s="564"/>
      <c r="AY95" s="564"/>
      <c r="AZ95" s="564"/>
      <c r="BA95" s="564"/>
      <c r="BB95" s="564"/>
      <c r="BC95" s="564"/>
      <c r="BD95" s="564"/>
      <c r="BE95" s="564"/>
      <c r="BF95" s="564"/>
      <c r="BG95" s="564"/>
      <c r="BH95" s="564"/>
      <c r="BI95" s="564"/>
      <c r="BJ95" s="564"/>
      <c r="BK95" s="564"/>
      <c r="BL95" s="564"/>
      <c r="BM95" s="564"/>
      <c r="BN95" s="564"/>
      <c r="BO95" s="564"/>
      <c r="BP95" s="564"/>
      <c r="BQ95" s="564"/>
      <c r="BR95" s="564"/>
      <c r="BS95" s="564"/>
      <c r="BT95" s="564"/>
      <c r="BU95" s="564"/>
      <c r="BV95" s="564"/>
      <c r="BW95" s="564"/>
      <c r="BX95" s="564"/>
      <c r="BY95" s="564"/>
      <c r="BZ95" s="564"/>
      <c r="CA95" s="564"/>
      <c r="CB95" s="564"/>
      <c r="CC95" s="564"/>
      <c r="CD95" s="564"/>
      <c r="CE95" s="564"/>
      <c r="CF95" s="564"/>
      <c r="CG95" s="564"/>
      <c r="CH95" s="564"/>
      <c r="CI95" s="564"/>
      <c r="CJ95" s="564"/>
      <c r="CK95" s="564"/>
      <c r="CL95" s="564"/>
      <c r="CM95" s="564"/>
      <c r="CN95" s="564"/>
      <c r="CO95" s="564"/>
      <c r="CP95" s="564"/>
      <c r="CQ95" s="564"/>
      <c r="CR95" s="564"/>
      <c r="CS95" s="564"/>
      <c r="CT95" s="564"/>
      <c r="CU95" s="564"/>
      <c r="CV95" s="564"/>
      <c r="CW95" s="564"/>
      <c r="CX95" s="564"/>
      <c r="CY95" s="564"/>
      <c r="CZ95" s="564"/>
      <c r="DA95" s="564"/>
      <c r="DB95" s="564"/>
      <c r="DC95" s="564"/>
      <c r="DD95" s="564"/>
      <c r="DE95" s="564"/>
      <c r="DF95" s="564"/>
      <c r="DG95" s="564"/>
      <c r="DH95" s="564"/>
      <c r="DI95" s="564"/>
      <c r="DJ95" s="564"/>
      <c r="DK95" s="564"/>
      <c r="DL95" s="564"/>
      <c r="DM95" s="564"/>
      <c r="DN95" s="564"/>
      <c r="DO95" s="564"/>
      <c r="DP95" s="564"/>
      <c r="DQ95" s="564"/>
      <c r="DR95" s="564"/>
      <c r="DS95" s="564"/>
      <c r="DT95" s="564"/>
      <c r="DU95" s="564"/>
      <c r="DV95" s="564"/>
      <c r="DW95" s="564"/>
      <c r="DX95" s="564"/>
      <c r="DY95" s="564"/>
      <c r="DZ95" s="564"/>
      <c r="EA95" s="564"/>
      <c r="EB95" s="564"/>
      <c r="EC95" s="564"/>
      <c r="ED95" s="564"/>
      <c r="EE95" s="564"/>
      <c r="EF95" s="564"/>
      <c r="EG95" s="564"/>
      <c r="EH95" s="564"/>
      <c r="EI95" s="564"/>
      <c r="EJ95" s="564"/>
      <c r="EK95" s="564"/>
      <c r="EL95" s="564"/>
      <c r="EM95" s="564"/>
      <c r="EN95" s="564"/>
      <c r="EO95" s="564"/>
      <c r="EP95" s="564"/>
      <c r="EQ95" s="564"/>
      <c r="ER95" s="564"/>
      <c r="ES95" s="564"/>
      <c r="ET95" s="564"/>
      <c r="EU95" s="564"/>
      <c r="EV95" s="564"/>
      <c r="EW95" s="564"/>
      <c r="EX95" s="564"/>
      <c r="EY95" s="564"/>
      <c r="EZ95" s="564"/>
      <c r="FA95" s="564"/>
      <c r="FB95" s="564"/>
      <c r="FC95" s="564"/>
      <c r="FD95" s="564"/>
      <c r="FE95" s="564"/>
      <c r="FF95" s="564"/>
      <c r="FG95" s="564"/>
      <c r="FH95" s="564"/>
      <c r="FI95" s="564"/>
      <c r="FJ95" s="564"/>
      <c r="FK95" s="564"/>
      <c r="FL95" s="564"/>
      <c r="FM95" s="564"/>
      <c r="FN95" s="564"/>
      <c r="FO95" s="564"/>
      <c r="FP95" s="564"/>
      <c r="FQ95" s="564"/>
      <c r="FR95" s="564"/>
      <c r="FS95" s="564"/>
      <c r="FT95" s="564"/>
      <c r="FU95" s="564"/>
      <c r="FV95" s="564"/>
      <c r="FW95" s="564"/>
      <c r="FX95" s="564"/>
      <c r="FY95" s="564"/>
      <c r="FZ95" s="564"/>
      <c r="GA95" s="564"/>
      <c r="GB95" s="564"/>
      <c r="GC95" s="564"/>
      <c r="GD95" s="564"/>
      <c r="GE95" s="564"/>
      <c r="GF95" s="564"/>
      <c r="GG95" s="564"/>
      <c r="GH95" s="564"/>
      <c r="GI95" s="564"/>
      <c r="GJ95" s="564"/>
    </row>
    <row r="96" spans="1:192" s="194" customFormat="1" x14ac:dyDescent="0.2">
      <c r="B96" s="5" t="str">
        <f ca="1">IF(OFFSET(AB96,0,Lang_Order*Lang__B2)="","",OFFSET(AB96,0,Lang_Order*Lang__B2))</f>
        <v>Expected # of investigable AEFIs</v>
      </c>
      <c r="D96" s="5"/>
      <c r="F96" s="16" t="e">
        <f t="shared" ref="F96:K96" si="48">SUM(F12,F33,F54,F75)</f>
        <v>#N/A</v>
      </c>
      <c r="G96" s="16" t="e">
        <f t="shared" si="48"/>
        <v>#N/A</v>
      </c>
      <c r="H96" s="16" t="e">
        <f t="shared" si="48"/>
        <v>#N/A</v>
      </c>
      <c r="I96" s="16" t="e">
        <f t="shared" si="48"/>
        <v>#N/A</v>
      </c>
      <c r="J96" s="16" t="e">
        <f t="shared" si="48"/>
        <v>#N/A</v>
      </c>
      <c r="K96" s="16" t="e">
        <f t="shared" si="48"/>
        <v>#N/A</v>
      </c>
      <c r="L96" s="16" t="e">
        <f t="shared" si="45"/>
        <v>#N/A</v>
      </c>
      <c r="M96" s="16"/>
      <c r="O96" s="463"/>
      <c r="P96" s="463"/>
      <c r="Q96" s="37"/>
      <c r="R96" s="37"/>
      <c r="S96" s="37"/>
      <c r="T96" s="37"/>
      <c r="U96" s="37"/>
      <c r="V96" s="37"/>
      <c r="W96" s="37"/>
      <c r="X96" s="299"/>
      <c r="Z96" s="564"/>
      <c r="AA96" s="564"/>
      <c r="AB96" s="564" t="s">
        <v>3984</v>
      </c>
      <c r="AC96" s="564"/>
      <c r="AD96" s="564"/>
      <c r="AE96" s="564"/>
      <c r="AF96" s="564"/>
      <c r="AG96" s="564"/>
      <c r="AH96" s="564"/>
      <c r="AI96" s="564"/>
      <c r="AJ96" s="564"/>
      <c r="AK96" s="564"/>
      <c r="AL96" s="564"/>
      <c r="AM96" s="564"/>
      <c r="AN96" s="564"/>
      <c r="AO96" s="564"/>
      <c r="AP96" s="564"/>
      <c r="AQ96" s="564"/>
      <c r="AR96" s="564"/>
      <c r="AS96" s="564"/>
      <c r="AT96" s="564"/>
      <c r="AU96" s="564"/>
      <c r="AV96" s="564"/>
      <c r="AW96" s="564"/>
      <c r="AX96" s="564"/>
      <c r="AY96" s="564"/>
      <c r="AZ96" s="564" t="s">
        <v>10036</v>
      </c>
      <c r="BA96" s="564"/>
      <c r="BB96" s="564"/>
      <c r="BC96" s="564"/>
      <c r="BD96" s="564"/>
      <c r="BE96" s="564"/>
      <c r="BF96" s="564"/>
      <c r="BG96" s="564"/>
      <c r="BH96" s="564"/>
      <c r="BI96" s="564"/>
      <c r="BJ96" s="564"/>
      <c r="BK96" s="564"/>
      <c r="BL96" s="564"/>
      <c r="BM96" s="564"/>
      <c r="BN96" s="564"/>
      <c r="BO96" s="564"/>
      <c r="BP96" s="564"/>
      <c r="BQ96" s="564"/>
      <c r="BR96" s="564"/>
      <c r="BS96" s="564"/>
      <c r="BT96" s="564"/>
      <c r="BU96" s="564"/>
      <c r="BV96" s="564"/>
      <c r="BW96" s="564"/>
      <c r="BX96" s="564" t="s">
        <v>10058</v>
      </c>
      <c r="BY96" s="564"/>
      <c r="BZ96" s="564"/>
      <c r="CA96" s="564"/>
      <c r="CB96" s="564"/>
      <c r="CC96" s="564"/>
      <c r="CD96" s="564"/>
      <c r="CE96" s="564"/>
      <c r="CF96" s="564"/>
      <c r="CG96" s="564"/>
      <c r="CH96" s="564"/>
      <c r="CI96" s="564"/>
      <c r="CJ96" s="564"/>
      <c r="CK96" s="564"/>
      <c r="CL96" s="564"/>
      <c r="CM96" s="564"/>
      <c r="CN96" s="564"/>
      <c r="CO96" s="564"/>
      <c r="CP96" s="564"/>
      <c r="CQ96" s="564"/>
      <c r="CR96" s="564"/>
      <c r="CS96" s="564"/>
      <c r="CT96" s="564"/>
      <c r="CU96" s="564"/>
      <c r="CV96" s="564" t="s">
        <v>10038</v>
      </c>
      <c r="CW96" s="564"/>
      <c r="CX96" s="564"/>
      <c r="CY96" s="564"/>
      <c r="CZ96" s="564"/>
      <c r="DA96" s="564"/>
      <c r="DB96" s="564"/>
      <c r="DC96" s="564"/>
      <c r="DD96" s="564"/>
      <c r="DE96" s="564"/>
      <c r="DF96" s="564"/>
      <c r="DG96" s="564"/>
      <c r="DH96" s="564"/>
      <c r="DI96" s="564"/>
      <c r="DJ96" s="564"/>
      <c r="DK96" s="564"/>
      <c r="DL96" s="564"/>
      <c r="DM96" s="564"/>
      <c r="DN96" s="564"/>
      <c r="DO96" s="564"/>
      <c r="DP96" s="564"/>
      <c r="DQ96" s="564"/>
      <c r="DR96" s="564"/>
      <c r="DS96" s="564"/>
      <c r="DT96" s="564" t="s">
        <v>10039</v>
      </c>
      <c r="DU96" s="564"/>
      <c r="DV96" s="564"/>
      <c r="DW96" s="564"/>
      <c r="DX96" s="564"/>
      <c r="DY96" s="564"/>
      <c r="DZ96" s="564"/>
      <c r="EA96" s="564"/>
      <c r="EB96" s="564"/>
      <c r="EC96" s="564"/>
      <c r="ED96" s="564"/>
      <c r="EE96" s="564"/>
      <c r="EF96" s="564"/>
      <c r="EG96" s="564"/>
      <c r="EH96" s="564"/>
      <c r="EI96" s="564"/>
      <c r="EJ96" s="564"/>
      <c r="EK96" s="564"/>
      <c r="EL96" s="564"/>
      <c r="EM96" s="564"/>
      <c r="EN96" s="564"/>
      <c r="EO96" s="564"/>
      <c r="EP96" s="564"/>
      <c r="EQ96" s="564"/>
      <c r="ER96" s="564" t="s">
        <v>10040</v>
      </c>
      <c r="ES96" s="564"/>
      <c r="ET96" s="564"/>
      <c r="EU96" s="564"/>
      <c r="EV96" s="564"/>
      <c r="EW96" s="564"/>
      <c r="EX96" s="564"/>
      <c r="EY96" s="564"/>
      <c r="EZ96" s="564"/>
      <c r="FA96" s="564"/>
      <c r="FB96" s="564"/>
      <c r="FC96" s="564"/>
      <c r="FD96" s="564"/>
      <c r="FE96" s="564"/>
      <c r="FF96" s="564"/>
      <c r="FG96" s="564"/>
      <c r="FH96" s="564"/>
      <c r="FI96" s="564"/>
      <c r="FJ96" s="564"/>
      <c r="FK96" s="564"/>
      <c r="FL96" s="564"/>
      <c r="FM96" s="564"/>
      <c r="FN96" s="564"/>
      <c r="FO96" s="564"/>
      <c r="FP96" s="564" t="s">
        <v>10041</v>
      </c>
      <c r="FQ96" s="564"/>
      <c r="FR96" s="564"/>
      <c r="FS96" s="564"/>
      <c r="FT96" s="564"/>
      <c r="FU96" s="564"/>
      <c r="FV96" s="564"/>
      <c r="FW96" s="564"/>
      <c r="FX96" s="564"/>
      <c r="FY96" s="564"/>
      <c r="FZ96" s="564"/>
      <c r="GA96" s="564"/>
      <c r="GB96" s="564"/>
      <c r="GC96" s="564"/>
      <c r="GD96" s="564"/>
      <c r="GE96" s="564"/>
      <c r="GF96" s="564"/>
      <c r="GG96" s="564"/>
      <c r="GH96" s="564"/>
      <c r="GI96" s="564"/>
      <c r="GJ96" s="564"/>
    </row>
    <row r="97" spans="1:192" s="194" customFormat="1" x14ac:dyDescent="0.2">
      <c r="B97" s="5"/>
      <c r="D97" s="5"/>
      <c r="F97" s="16"/>
      <c r="G97" s="16"/>
      <c r="H97" s="16"/>
      <c r="I97" s="16"/>
      <c r="J97" s="16"/>
      <c r="K97" s="16"/>
      <c r="L97" s="16"/>
      <c r="M97" s="16"/>
      <c r="O97" s="463"/>
      <c r="P97" s="463"/>
      <c r="Q97" s="37"/>
      <c r="R97" s="37"/>
      <c r="S97" s="37"/>
      <c r="T97" s="37"/>
      <c r="U97" s="37"/>
      <c r="V97" s="37"/>
      <c r="W97" s="37"/>
      <c r="X97" s="2" t="str">
        <f ca="1">IF(OFFSET(AV97,0,Lang_Order*Lang__B2)="","",OFFSET(AV97,0,Lang_Order*Lang__B2))</f>
        <v>Please see Sheet A3.2 to change these</v>
      </c>
      <c r="Z97" s="564"/>
      <c r="AA97" s="564"/>
      <c r="AB97" s="564"/>
      <c r="AC97" s="564"/>
      <c r="AD97" s="564"/>
      <c r="AE97" s="564"/>
      <c r="AF97" s="564"/>
      <c r="AG97" s="564"/>
      <c r="AH97" s="564"/>
      <c r="AI97" s="564"/>
      <c r="AJ97" s="564"/>
      <c r="AK97" s="564"/>
      <c r="AL97" s="564"/>
      <c r="AM97" s="564"/>
      <c r="AN97" s="564"/>
      <c r="AO97" s="564"/>
      <c r="AP97" s="564"/>
      <c r="AQ97" s="564"/>
      <c r="AR97" s="564"/>
      <c r="AS97" s="564"/>
      <c r="AT97" s="564"/>
      <c r="AU97" s="564"/>
      <c r="AV97" s="564" t="s">
        <v>3818</v>
      </c>
      <c r="AW97" s="564"/>
      <c r="AX97" s="564"/>
      <c r="AY97" s="564"/>
      <c r="AZ97" s="564"/>
      <c r="BA97" s="564"/>
      <c r="BB97" s="564"/>
      <c r="BC97" s="564"/>
      <c r="BD97" s="564"/>
      <c r="BE97" s="564"/>
      <c r="BF97" s="564"/>
      <c r="BG97" s="564"/>
      <c r="BH97" s="564"/>
      <c r="BI97" s="564"/>
      <c r="BJ97" s="564"/>
      <c r="BK97" s="564"/>
      <c r="BL97" s="564"/>
      <c r="BM97" s="564"/>
      <c r="BN97" s="564"/>
      <c r="BO97" s="564"/>
      <c r="BP97" s="564"/>
      <c r="BQ97" s="564"/>
      <c r="BR97" s="564"/>
      <c r="BS97" s="564"/>
      <c r="BT97" s="564" t="s">
        <v>10095</v>
      </c>
      <c r="BU97" s="564"/>
      <c r="BV97" s="564"/>
      <c r="BW97" s="564"/>
      <c r="BX97" s="564"/>
      <c r="BY97" s="564"/>
      <c r="BZ97" s="564"/>
      <c r="CA97" s="564"/>
      <c r="CB97" s="564"/>
      <c r="CC97" s="564"/>
      <c r="CD97" s="564"/>
      <c r="CE97" s="564"/>
      <c r="CF97" s="564"/>
      <c r="CG97" s="564"/>
      <c r="CH97" s="564"/>
      <c r="CI97" s="564"/>
      <c r="CJ97" s="564"/>
      <c r="CK97" s="564"/>
      <c r="CL97" s="564"/>
      <c r="CM97" s="564"/>
      <c r="CN97" s="564"/>
      <c r="CO97" s="564"/>
      <c r="CP97" s="564"/>
      <c r="CQ97" s="564"/>
      <c r="CR97" s="564" t="s">
        <v>10096</v>
      </c>
      <c r="CS97" s="564"/>
      <c r="CT97" s="564"/>
      <c r="CU97" s="564"/>
      <c r="CV97" s="564"/>
      <c r="CW97" s="564"/>
      <c r="CX97" s="564"/>
      <c r="CY97" s="564"/>
      <c r="CZ97" s="564"/>
      <c r="DA97" s="564"/>
      <c r="DB97" s="564"/>
      <c r="DC97" s="564"/>
      <c r="DD97" s="564"/>
      <c r="DE97" s="564"/>
      <c r="DF97" s="564"/>
      <c r="DG97" s="564"/>
      <c r="DH97" s="564"/>
      <c r="DI97" s="564"/>
      <c r="DJ97" s="564"/>
      <c r="DK97" s="564"/>
      <c r="DL97" s="564"/>
      <c r="DM97" s="564"/>
      <c r="DN97" s="564"/>
      <c r="DO97" s="564"/>
      <c r="DP97" s="564" t="s">
        <v>10097</v>
      </c>
      <c r="DQ97" s="564"/>
      <c r="DR97" s="564"/>
      <c r="DS97" s="564"/>
      <c r="DT97" s="564"/>
      <c r="DU97" s="564"/>
      <c r="DV97" s="564"/>
      <c r="DW97" s="564"/>
      <c r="DX97" s="564"/>
      <c r="DY97" s="564"/>
      <c r="DZ97" s="564"/>
      <c r="EA97" s="564"/>
      <c r="EB97" s="564"/>
      <c r="EC97" s="564"/>
      <c r="ED97" s="564"/>
      <c r="EE97" s="564"/>
      <c r="EF97" s="564"/>
      <c r="EG97" s="564"/>
      <c r="EH97" s="564"/>
      <c r="EI97" s="564"/>
      <c r="EJ97" s="564"/>
      <c r="EK97" s="564"/>
      <c r="EL97" s="564"/>
      <c r="EM97" s="564"/>
      <c r="EN97" s="564" t="s">
        <v>10098</v>
      </c>
      <c r="EO97" s="564"/>
      <c r="EP97" s="564"/>
      <c r="EQ97" s="564"/>
      <c r="ER97" s="564"/>
      <c r="ES97" s="564"/>
      <c r="ET97" s="564"/>
      <c r="EU97" s="564"/>
      <c r="EV97" s="564"/>
      <c r="EW97" s="564"/>
      <c r="EX97" s="564"/>
      <c r="EY97" s="564"/>
      <c r="EZ97" s="564"/>
      <c r="FA97" s="564"/>
      <c r="FB97" s="564"/>
      <c r="FC97" s="564"/>
      <c r="FD97" s="564"/>
      <c r="FE97" s="564"/>
      <c r="FF97" s="564"/>
      <c r="FG97" s="564"/>
      <c r="FH97" s="564"/>
      <c r="FI97" s="564"/>
      <c r="FJ97" s="564"/>
      <c r="FK97" s="564"/>
      <c r="FL97" s="564" t="s">
        <v>10099</v>
      </c>
      <c r="FM97" s="564"/>
      <c r="FN97" s="564"/>
      <c r="FO97" s="564"/>
      <c r="FP97" s="564"/>
      <c r="FQ97" s="564"/>
      <c r="FR97" s="564"/>
      <c r="FS97" s="564"/>
      <c r="FT97" s="564"/>
      <c r="FU97" s="564"/>
      <c r="FV97" s="564"/>
      <c r="FW97" s="564"/>
      <c r="FX97" s="564"/>
      <c r="FY97" s="564"/>
      <c r="FZ97" s="564"/>
      <c r="GA97" s="564"/>
      <c r="GB97" s="564"/>
      <c r="GC97" s="564"/>
      <c r="GD97" s="564"/>
      <c r="GE97" s="564"/>
      <c r="GF97" s="564"/>
      <c r="GG97" s="564"/>
      <c r="GH97" s="564"/>
      <c r="GI97" s="564"/>
      <c r="GJ97" s="564" t="s">
        <v>10100</v>
      </c>
    </row>
    <row r="98" spans="1:192" s="194" customFormat="1" x14ac:dyDescent="0.2">
      <c r="A98" s="165">
        <v>0</v>
      </c>
      <c r="B98" s="5" t="str">
        <f t="shared" ref="B98:B110" ca="1" si="49">OFFSET(_Offset_Index_VaccineSupplies,0,A98)</f>
        <v>Low Dead Space Syringe (0.3ml) AD</v>
      </c>
      <c r="C98" s="2">
        <f t="shared" ref="C98:C110" ca="1" si="50">OFFSET(_Offset_Index_VaccineSupplies_Index,0,A98)</f>
        <v>16</v>
      </c>
      <c r="D98" s="5"/>
      <c r="F98" s="16" t="e">
        <f t="shared" ref="F98:K110" si="51">SUM(F78,F57,F36,F15)</f>
        <v>#N/A</v>
      </c>
      <c r="G98" s="16" t="e">
        <f t="shared" si="51"/>
        <v>#N/A</v>
      </c>
      <c r="H98" s="16" t="e">
        <f t="shared" si="51"/>
        <v>#N/A</v>
      </c>
      <c r="I98" s="16" t="e">
        <f t="shared" si="51"/>
        <v>#N/A</v>
      </c>
      <c r="J98" s="16" t="e">
        <f t="shared" si="51"/>
        <v>#N/A</v>
      </c>
      <c r="K98" s="16" t="e">
        <f t="shared" si="51"/>
        <v>#N/A</v>
      </c>
      <c r="L98" s="16" t="e">
        <f t="shared" ref="L98:L110" si="52">SUM(F98:K98)</f>
        <v>#N/A</v>
      </c>
      <c r="M98" s="16"/>
      <c r="O98" s="548"/>
      <c r="P98" s="463"/>
      <c r="Q98" s="37" t="e">
        <f t="shared" ref="Q98:V110" ca="1" si="53">SUM(Q78,Q57,Q36,Q15)</f>
        <v>#N/A</v>
      </c>
      <c r="R98" s="37" t="e">
        <f t="shared" ca="1" si="53"/>
        <v>#N/A</v>
      </c>
      <c r="S98" s="37" t="e">
        <f t="shared" ca="1" si="53"/>
        <v>#N/A</v>
      </c>
      <c r="T98" s="37" t="e">
        <f t="shared" ca="1" si="53"/>
        <v>#N/A</v>
      </c>
      <c r="U98" s="37" t="e">
        <f t="shared" ca="1" si="53"/>
        <v>#N/A</v>
      </c>
      <c r="V98" s="37" t="e">
        <f t="shared" ca="1" si="53"/>
        <v>#N/A</v>
      </c>
      <c r="W98" s="79" t="e">
        <f t="shared" ref="W98:W110" ca="1" si="54">SUM(Q98:V98)</f>
        <v>#N/A</v>
      </c>
      <c r="X98" s="199" t="str">
        <f>'A3. INPUT Unit Costs'!D31</f>
        <v>No</v>
      </c>
      <c r="Y98" s="2">
        <f>IF('A3. INPUT Unit Costs'!D31=Lang_Yes,1,0)</f>
        <v>0</v>
      </c>
      <c r="Z98" s="564"/>
      <c r="AA98" s="564"/>
      <c r="AB98" s="564"/>
      <c r="AC98" s="564"/>
      <c r="AD98" s="564"/>
      <c r="AE98" s="564"/>
      <c r="AF98" s="564"/>
      <c r="AG98" s="564"/>
      <c r="AH98" s="564"/>
      <c r="AI98" s="564"/>
      <c r="AJ98" s="564"/>
      <c r="AK98" s="564"/>
      <c r="AL98" s="564"/>
      <c r="AM98" s="564"/>
      <c r="AN98" s="564"/>
      <c r="AO98" s="564"/>
      <c r="AP98" s="564"/>
      <c r="AQ98" s="564"/>
      <c r="AR98" s="564"/>
      <c r="AS98" s="564"/>
      <c r="AT98" s="564"/>
      <c r="AU98" s="564"/>
      <c r="AV98" s="564"/>
      <c r="AW98" s="564"/>
      <c r="AX98" s="564"/>
      <c r="AY98" s="564"/>
      <c r="AZ98" s="564"/>
      <c r="BA98" s="564"/>
      <c r="BB98" s="564"/>
      <c r="BC98" s="564"/>
      <c r="BD98" s="564"/>
      <c r="BE98" s="564"/>
      <c r="BF98" s="564"/>
      <c r="BG98" s="564"/>
      <c r="BH98" s="564"/>
      <c r="BI98" s="564"/>
      <c r="BJ98" s="564"/>
      <c r="BK98" s="564"/>
      <c r="BL98" s="564"/>
      <c r="BM98" s="564"/>
      <c r="BN98" s="564"/>
      <c r="BO98" s="564"/>
      <c r="BP98" s="564"/>
      <c r="BQ98" s="564"/>
      <c r="BR98" s="564"/>
      <c r="BS98" s="564"/>
      <c r="BT98" s="564"/>
      <c r="BU98" s="564"/>
      <c r="BV98" s="564"/>
      <c r="BW98" s="564"/>
      <c r="BX98" s="564"/>
      <c r="BY98" s="564"/>
      <c r="BZ98" s="564"/>
      <c r="CA98" s="564"/>
      <c r="CB98" s="564"/>
      <c r="CC98" s="564"/>
      <c r="CD98" s="564"/>
      <c r="CE98" s="564"/>
      <c r="CF98" s="564"/>
      <c r="CG98" s="564"/>
      <c r="CH98" s="564"/>
      <c r="CI98" s="564"/>
      <c r="CJ98" s="564"/>
      <c r="CK98" s="564"/>
      <c r="CL98" s="564"/>
      <c r="CM98" s="564"/>
      <c r="CN98" s="564"/>
      <c r="CO98" s="564"/>
      <c r="CP98" s="564"/>
      <c r="CQ98" s="564"/>
      <c r="CR98" s="564"/>
      <c r="CS98" s="564"/>
      <c r="CT98" s="564"/>
      <c r="CU98" s="564"/>
      <c r="CV98" s="564"/>
      <c r="CW98" s="564"/>
      <c r="CX98" s="564"/>
      <c r="CY98" s="564"/>
      <c r="CZ98" s="564"/>
      <c r="DA98" s="564"/>
      <c r="DB98" s="564"/>
      <c r="DC98" s="564"/>
      <c r="DD98" s="564"/>
      <c r="DE98" s="564"/>
      <c r="DF98" s="564"/>
      <c r="DG98" s="564"/>
      <c r="DH98" s="564"/>
      <c r="DI98" s="564"/>
      <c r="DJ98" s="564"/>
      <c r="DK98" s="564"/>
      <c r="DL98" s="564"/>
      <c r="DM98" s="564"/>
      <c r="DN98" s="564"/>
      <c r="DO98" s="564"/>
      <c r="DP98" s="564"/>
      <c r="DQ98" s="564"/>
      <c r="DR98" s="564"/>
      <c r="DS98" s="564"/>
      <c r="DT98" s="564"/>
      <c r="DU98" s="564"/>
      <c r="DV98" s="564"/>
      <c r="DW98" s="564"/>
      <c r="DX98" s="564"/>
      <c r="DY98" s="564"/>
      <c r="DZ98" s="564"/>
      <c r="EA98" s="564"/>
      <c r="EB98" s="564"/>
      <c r="EC98" s="564"/>
      <c r="ED98" s="564"/>
      <c r="EE98" s="564"/>
      <c r="EF98" s="564"/>
      <c r="EG98" s="564"/>
      <c r="EH98" s="564"/>
      <c r="EI98" s="564"/>
      <c r="EJ98" s="564"/>
      <c r="EK98" s="564"/>
      <c r="EL98" s="564"/>
      <c r="EM98" s="564"/>
      <c r="EN98" s="564"/>
      <c r="EO98" s="564"/>
      <c r="EP98" s="564"/>
      <c r="EQ98" s="564"/>
      <c r="ER98" s="564"/>
      <c r="ES98" s="564"/>
      <c r="ET98" s="564"/>
      <c r="EU98" s="564"/>
      <c r="EV98" s="564"/>
      <c r="EW98" s="564"/>
      <c r="EX98" s="564"/>
      <c r="EY98" s="564"/>
      <c r="EZ98" s="564"/>
      <c r="FA98" s="564"/>
      <c r="FB98" s="564"/>
      <c r="FC98" s="564"/>
      <c r="FD98" s="564"/>
      <c r="FE98" s="564"/>
      <c r="FF98" s="564"/>
      <c r="FG98" s="564"/>
      <c r="FH98" s="564"/>
      <c r="FI98" s="564"/>
      <c r="FJ98" s="564"/>
      <c r="FK98" s="564"/>
      <c r="FL98" s="564"/>
      <c r="FM98" s="564"/>
      <c r="FN98" s="564"/>
      <c r="FO98" s="564"/>
      <c r="FP98" s="564"/>
      <c r="FQ98" s="564"/>
      <c r="FR98" s="564"/>
      <c r="FS98" s="564"/>
      <c r="FT98" s="564"/>
      <c r="FU98" s="564"/>
      <c r="FV98" s="564"/>
      <c r="FW98" s="564"/>
      <c r="FX98" s="564"/>
      <c r="FY98" s="564"/>
      <c r="FZ98" s="564"/>
      <c r="GA98" s="564"/>
      <c r="GB98" s="564"/>
      <c r="GC98" s="564"/>
      <c r="GD98" s="564"/>
      <c r="GE98" s="564"/>
      <c r="GF98" s="564"/>
      <c r="GG98" s="564"/>
      <c r="GH98" s="564"/>
      <c r="GI98" s="564"/>
      <c r="GJ98" s="564"/>
    </row>
    <row r="99" spans="1:192" s="194" customFormat="1" x14ac:dyDescent="0.2">
      <c r="A99" s="165">
        <v>1</v>
      </c>
      <c r="B99" s="5" t="str">
        <f t="shared" ca="1" si="49"/>
        <v>Syringe (0.5ml) AD</v>
      </c>
      <c r="C99" s="2">
        <f t="shared" ca="1" si="50"/>
        <v>17</v>
      </c>
      <c r="D99" s="5"/>
      <c r="F99" s="16" t="e">
        <f t="shared" si="51"/>
        <v>#N/A</v>
      </c>
      <c r="G99" s="16" t="e">
        <f t="shared" si="51"/>
        <v>#N/A</v>
      </c>
      <c r="H99" s="16" t="e">
        <f t="shared" si="51"/>
        <v>#N/A</v>
      </c>
      <c r="I99" s="16" t="e">
        <f t="shared" si="51"/>
        <v>#N/A</v>
      </c>
      <c r="J99" s="16" t="e">
        <f t="shared" si="51"/>
        <v>#N/A</v>
      </c>
      <c r="K99" s="16" t="e">
        <f t="shared" si="51"/>
        <v>#N/A</v>
      </c>
      <c r="L99" s="16" t="e">
        <f t="shared" si="52"/>
        <v>#N/A</v>
      </c>
      <c r="M99" s="16"/>
      <c r="O99" s="548"/>
      <c r="P99" s="463"/>
      <c r="Q99" s="37" t="e">
        <f t="shared" ca="1" si="53"/>
        <v>#N/A</v>
      </c>
      <c r="R99" s="37" t="e">
        <f t="shared" ca="1" si="53"/>
        <v>#N/A</v>
      </c>
      <c r="S99" s="37" t="e">
        <f t="shared" ca="1" si="53"/>
        <v>#N/A</v>
      </c>
      <c r="T99" s="37" t="e">
        <f t="shared" ca="1" si="53"/>
        <v>#N/A</v>
      </c>
      <c r="U99" s="37" t="e">
        <f t="shared" ca="1" si="53"/>
        <v>#N/A</v>
      </c>
      <c r="V99" s="37" t="e">
        <f t="shared" ca="1" si="53"/>
        <v>#N/A</v>
      </c>
      <c r="W99" s="79" t="e">
        <f t="shared" ca="1" si="54"/>
        <v>#N/A</v>
      </c>
      <c r="X99" s="199" t="str">
        <f>'A3. INPUT Unit Costs'!D32</f>
        <v>No</v>
      </c>
      <c r="Y99" s="2">
        <f>IF('A3. INPUT Unit Costs'!D32=Lang_Yes,1,0)</f>
        <v>0</v>
      </c>
      <c r="Z99" s="564"/>
      <c r="AA99" s="564"/>
      <c r="AB99" s="564"/>
      <c r="AC99" s="564"/>
      <c r="AD99" s="564"/>
      <c r="AE99" s="564"/>
      <c r="AF99" s="564"/>
      <c r="AG99" s="564"/>
      <c r="AH99" s="564"/>
      <c r="AI99" s="564"/>
      <c r="AJ99" s="564"/>
      <c r="AK99" s="564"/>
      <c r="AL99" s="564"/>
      <c r="AM99" s="564"/>
      <c r="AN99" s="564"/>
      <c r="AO99" s="564"/>
      <c r="AP99" s="564"/>
      <c r="AQ99" s="564"/>
      <c r="AR99" s="564"/>
      <c r="AS99" s="564"/>
      <c r="AT99" s="564"/>
      <c r="AU99" s="564"/>
      <c r="AV99" s="564"/>
      <c r="AW99" s="564"/>
      <c r="AX99" s="564"/>
      <c r="AY99" s="564"/>
      <c r="AZ99" s="564"/>
      <c r="BA99" s="564"/>
      <c r="BB99" s="564"/>
      <c r="BC99" s="564"/>
      <c r="BD99" s="564"/>
      <c r="BE99" s="564"/>
      <c r="BF99" s="564"/>
      <c r="BG99" s="564"/>
      <c r="BH99" s="564"/>
      <c r="BI99" s="564"/>
      <c r="BJ99" s="564"/>
      <c r="BK99" s="564"/>
      <c r="BL99" s="564"/>
      <c r="BM99" s="564"/>
      <c r="BN99" s="564"/>
      <c r="BO99" s="564"/>
      <c r="BP99" s="564"/>
      <c r="BQ99" s="564"/>
      <c r="BR99" s="564"/>
      <c r="BS99" s="564"/>
      <c r="BT99" s="564"/>
      <c r="BU99" s="564"/>
      <c r="BV99" s="564"/>
      <c r="BW99" s="564"/>
      <c r="BX99" s="564"/>
      <c r="BY99" s="564"/>
      <c r="BZ99" s="564"/>
      <c r="CA99" s="564"/>
      <c r="CB99" s="564"/>
      <c r="CC99" s="564"/>
      <c r="CD99" s="564"/>
      <c r="CE99" s="564"/>
      <c r="CF99" s="564"/>
      <c r="CG99" s="564"/>
      <c r="CH99" s="564"/>
      <c r="CI99" s="564"/>
      <c r="CJ99" s="564"/>
      <c r="CK99" s="564"/>
      <c r="CL99" s="564"/>
      <c r="CM99" s="564"/>
      <c r="CN99" s="564"/>
      <c r="CO99" s="564"/>
      <c r="CP99" s="564"/>
      <c r="CQ99" s="564"/>
      <c r="CR99" s="564"/>
      <c r="CS99" s="564"/>
      <c r="CT99" s="564"/>
      <c r="CU99" s="564"/>
      <c r="CV99" s="564"/>
      <c r="CW99" s="564"/>
      <c r="CX99" s="564"/>
      <c r="CY99" s="564"/>
      <c r="CZ99" s="564"/>
      <c r="DA99" s="564"/>
      <c r="DB99" s="564"/>
      <c r="DC99" s="564"/>
      <c r="DD99" s="564"/>
      <c r="DE99" s="564"/>
      <c r="DF99" s="564"/>
      <c r="DG99" s="564"/>
      <c r="DH99" s="564"/>
      <c r="DI99" s="564"/>
      <c r="DJ99" s="564"/>
      <c r="DK99" s="564"/>
      <c r="DL99" s="564"/>
      <c r="DM99" s="564"/>
      <c r="DN99" s="564"/>
      <c r="DO99" s="564"/>
      <c r="DP99" s="564"/>
      <c r="DQ99" s="564"/>
      <c r="DR99" s="564"/>
      <c r="DS99" s="564"/>
      <c r="DT99" s="564"/>
      <c r="DU99" s="564"/>
      <c r="DV99" s="564"/>
      <c r="DW99" s="564"/>
      <c r="DX99" s="564"/>
      <c r="DY99" s="564"/>
      <c r="DZ99" s="564"/>
      <c r="EA99" s="564"/>
      <c r="EB99" s="564"/>
      <c r="EC99" s="564"/>
      <c r="ED99" s="564"/>
      <c r="EE99" s="564"/>
      <c r="EF99" s="564"/>
      <c r="EG99" s="564"/>
      <c r="EH99" s="564"/>
      <c r="EI99" s="564"/>
      <c r="EJ99" s="564"/>
      <c r="EK99" s="564"/>
      <c r="EL99" s="564"/>
      <c r="EM99" s="564"/>
      <c r="EN99" s="564"/>
      <c r="EO99" s="564"/>
      <c r="EP99" s="564"/>
      <c r="EQ99" s="564"/>
      <c r="ER99" s="564"/>
      <c r="ES99" s="564"/>
      <c r="ET99" s="564"/>
      <c r="EU99" s="564"/>
      <c r="EV99" s="564"/>
      <c r="EW99" s="564"/>
      <c r="EX99" s="564"/>
      <c r="EY99" s="564"/>
      <c r="EZ99" s="564"/>
      <c r="FA99" s="564"/>
      <c r="FB99" s="564"/>
      <c r="FC99" s="564"/>
      <c r="FD99" s="564"/>
      <c r="FE99" s="564"/>
      <c r="FF99" s="564"/>
      <c r="FG99" s="564"/>
      <c r="FH99" s="564"/>
      <c r="FI99" s="564"/>
      <c r="FJ99" s="564"/>
      <c r="FK99" s="564"/>
      <c r="FL99" s="564"/>
      <c r="FM99" s="564"/>
      <c r="FN99" s="564"/>
      <c r="FO99" s="564"/>
      <c r="FP99" s="564"/>
      <c r="FQ99" s="564"/>
      <c r="FR99" s="564"/>
      <c r="FS99" s="564"/>
      <c r="FT99" s="564"/>
      <c r="FU99" s="564"/>
      <c r="FV99" s="564"/>
      <c r="FW99" s="564"/>
      <c r="FX99" s="564"/>
      <c r="FY99" s="564"/>
      <c r="FZ99" s="564"/>
      <c r="GA99" s="564"/>
      <c r="GB99" s="564"/>
      <c r="GC99" s="564"/>
      <c r="GD99" s="564"/>
      <c r="GE99" s="564"/>
      <c r="GF99" s="564"/>
      <c r="GG99" s="564"/>
      <c r="GH99" s="564"/>
      <c r="GI99" s="564"/>
      <c r="GJ99" s="564"/>
    </row>
    <row r="100" spans="1:192" s="194" customFormat="1" x14ac:dyDescent="0.2">
      <c r="A100" s="165">
        <v>2</v>
      </c>
      <c r="B100" s="5" t="str">
        <f t="shared" ca="1" si="49"/>
        <v>23G needle</v>
      </c>
      <c r="C100" s="2">
        <f t="shared" ca="1" si="50"/>
        <v>18</v>
      </c>
      <c r="D100" s="5"/>
      <c r="F100" s="16" t="e">
        <f t="shared" si="51"/>
        <v>#N/A</v>
      </c>
      <c r="G100" s="16" t="e">
        <f t="shared" si="51"/>
        <v>#N/A</v>
      </c>
      <c r="H100" s="16" t="e">
        <f t="shared" si="51"/>
        <v>#N/A</v>
      </c>
      <c r="I100" s="16" t="e">
        <f t="shared" si="51"/>
        <v>#N/A</v>
      </c>
      <c r="J100" s="16" t="e">
        <f t="shared" si="51"/>
        <v>#N/A</v>
      </c>
      <c r="K100" s="16" t="e">
        <f t="shared" si="51"/>
        <v>#N/A</v>
      </c>
      <c r="L100" s="16" t="e">
        <f t="shared" si="52"/>
        <v>#N/A</v>
      </c>
      <c r="M100" s="16"/>
      <c r="O100" s="548"/>
      <c r="P100" s="463"/>
      <c r="Q100" s="37" t="e">
        <f t="shared" ca="1" si="53"/>
        <v>#N/A</v>
      </c>
      <c r="R100" s="37" t="e">
        <f t="shared" ca="1" si="53"/>
        <v>#N/A</v>
      </c>
      <c r="S100" s="37" t="e">
        <f t="shared" ca="1" si="53"/>
        <v>#N/A</v>
      </c>
      <c r="T100" s="37" t="e">
        <f t="shared" ca="1" si="53"/>
        <v>#N/A</v>
      </c>
      <c r="U100" s="37" t="e">
        <f t="shared" ca="1" si="53"/>
        <v>#N/A</v>
      </c>
      <c r="V100" s="37" t="e">
        <f t="shared" ca="1" si="53"/>
        <v>#N/A</v>
      </c>
      <c r="W100" s="79" t="e">
        <f t="shared" ca="1" si="54"/>
        <v>#N/A</v>
      </c>
      <c r="X100" s="199" t="str">
        <f>'A3. INPUT Unit Costs'!D33</f>
        <v>No</v>
      </c>
      <c r="Y100" s="2">
        <f>IF('A3. INPUT Unit Costs'!D33=Lang_Yes,1,0)</f>
        <v>0</v>
      </c>
      <c r="Z100" s="564"/>
      <c r="AA100" s="564"/>
      <c r="AB100" s="564"/>
      <c r="AC100" s="564"/>
      <c r="AD100" s="564"/>
      <c r="AE100" s="564"/>
      <c r="AF100" s="564"/>
      <c r="AG100" s="564"/>
      <c r="AH100" s="564"/>
      <c r="AI100" s="564"/>
      <c r="AJ100" s="564"/>
      <c r="AK100" s="564"/>
      <c r="AL100" s="564"/>
      <c r="AM100" s="564"/>
      <c r="AN100" s="564"/>
      <c r="AO100" s="564"/>
      <c r="AP100" s="564"/>
      <c r="AQ100" s="564"/>
      <c r="AR100" s="564"/>
      <c r="AS100" s="564"/>
      <c r="AT100" s="564"/>
      <c r="AU100" s="564"/>
      <c r="AV100" s="564"/>
      <c r="AW100" s="564"/>
      <c r="AX100" s="564"/>
      <c r="AY100" s="564"/>
      <c r="AZ100" s="564"/>
      <c r="BA100" s="564"/>
      <c r="BB100" s="564"/>
      <c r="BC100" s="564"/>
      <c r="BD100" s="564"/>
      <c r="BE100" s="564"/>
      <c r="BF100" s="564"/>
      <c r="BG100" s="564"/>
      <c r="BH100" s="564"/>
      <c r="BI100" s="564"/>
      <c r="BJ100" s="564"/>
      <c r="BK100" s="564"/>
      <c r="BL100" s="564"/>
      <c r="BM100" s="564"/>
      <c r="BN100" s="564"/>
      <c r="BO100" s="564"/>
      <c r="BP100" s="564"/>
      <c r="BQ100" s="564"/>
      <c r="BR100" s="564"/>
      <c r="BS100" s="564"/>
      <c r="BT100" s="564"/>
      <c r="BU100" s="564"/>
      <c r="BV100" s="564"/>
      <c r="BW100" s="564"/>
      <c r="BX100" s="564"/>
      <c r="BY100" s="564"/>
      <c r="BZ100" s="564"/>
      <c r="CA100" s="564"/>
      <c r="CB100" s="564"/>
      <c r="CC100" s="564"/>
      <c r="CD100" s="564"/>
      <c r="CE100" s="564"/>
      <c r="CF100" s="564"/>
      <c r="CG100" s="564"/>
      <c r="CH100" s="564"/>
      <c r="CI100" s="564"/>
      <c r="CJ100" s="564"/>
      <c r="CK100" s="564"/>
      <c r="CL100" s="564"/>
      <c r="CM100" s="564"/>
      <c r="CN100" s="564"/>
      <c r="CO100" s="564"/>
      <c r="CP100" s="564"/>
      <c r="CQ100" s="564"/>
      <c r="CR100" s="564"/>
      <c r="CS100" s="564"/>
      <c r="CT100" s="564"/>
      <c r="CU100" s="564"/>
      <c r="CV100" s="564"/>
      <c r="CW100" s="564"/>
      <c r="CX100" s="564"/>
      <c r="CY100" s="564"/>
      <c r="CZ100" s="564"/>
      <c r="DA100" s="564"/>
      <c r="DB100" s="564"/>
      <c r="DC100" s="564"/>
      <c r="DD100" s="564"/>
      <c r="DE100" s="564"/>
      <c r="DF100" s="564"/>
      <c r="DG100" s="564"/>
      <c r="DH100" s="564"/>
      <c r="DI100" s="564"/>
      <c r="DJ100" s="564"/>
      <c r="DK100" s="564"/>
      <c r="DL100" s="564"/>
      <c r="DM100" s="564"/>
      <c r="DN100" s="564"/>
      <c r="DO100" s="564"/>
      <c r="DP100" s="564"/>
      <c r="DQ100" s="564"/>
      <c r="DR100" s="564"/>
      <c r="DS100" s="564"/>
      <c r="DT100" s="564"/>
      <c r="DU100" s="564"/>
      <c r="DV100" s="564"/>
      <c r="DW100" s="564"/>
      <c r="DX100" s="564"/>
      <c r="DY100" s="564"/>
      <c r="DZ100" s="564"/>
      <c r="EA100" s="564"/>
      <c r="EB100" s="564"/>
      <c r="EC100" s="564"/>
      <c r="ED100" s="564"/>
      <c r="EE100" s="564"/>
      <c r="EF100" s="564"/>
      <c r="EG100" s="564"/>
      <c r="EH100" s="564"/>
      <c r="EI100" s="564"/>
      <c r="EJ100" s="564"/>
      <c r="EK100" s="564"/>
      <c r="EL100" s="564"/>
      <c r="EM100" s="564"/>
      <c r="EN100" s="564"/>
      <c r="EO100" s="564"/>
      <c r="EP100" s="564"/>
      <c r="EQ100" s="564"/>
      <c r="ER100" s="564"/>
      <c r="ES100" s="564"/>
      <c r="ET100" s="564"/>
      <c r="EU100" s="564"/>
      <c r="EV100" s="564"/>
      <c r="EW100" s="564"/>
      <c r="EX100" s="564"/>
      <c r="EY100" s="564"/>
      <c r="EZ100" s="564"/>
      <c r="FA100" s="564"/>
      <c r="FB100" s="564"/>
      <c r="FC100" s="564"/>
      <c r="FD100" s="564"/>
      <c r="FE100" s="564"/>
      <c r="FF100" s="564"/>
      <c r="FG100" s="564"/>
      <c r="FH100" s="564"/>
      <c r="FI100" s="564"/>
      <c r="FJ100" s="564"/>
      <c r="FK100" s="564"/>
      <c r="FL100" s="564"/>
      <c r="FM100" s="564"/>
      <c r="FN100" s="564"/>
      <c r="FO100" s="564"/>
      <c r="FP100" s="564"/>
      <c r="FQ100" s="564"/>
      <c r="FR100" s="564"/>
      <c r="FS100" s="564"/>
      <c r="FT100" s="564"/>
      <c r="FU100" s="564"/>
      <c r="FV100" s="564"/>
      <c r="FW100" s="564"/>
      <c r="FX100" s="564"/>
      <c r="FY100" s="564"/>
      <c r="FZ100" s="564"/>
      <c r="GA100" s="564"/>
      <c r="GB100" s="564"/>
      <c r="GC100" s="564"/>
      <c r="GD100" s="564"/>
      <c r="GE100" s="564"/>
      <c r="GF100" s="564"/>
      <c r="GG100" s="564"/>
      <c r="GH100" s="564"/>
      <c r="GI100" s="564"/>
      <c r="GJ100" s="564"/>
    </row>
    <row r="101" spans="1:192" s="194" customFormat="1" x14ac:dyDescent="0.2">
      <c r="A101" s="165">
        <v>3</v>
      </c>
      <c r="B101" s="5" t="str">
        <f t="shared" ca="1" si="49"/>
        <v>Alcohol Swab, Plaster, Dry Swabs</v>
      </c>
      <c r="C101" s="2">
        <f t="shared" ca="1" si="50"/>
        <v>19</v>
      </c>
      <c r="D101" s="5"/>
      <c r="F101" s="16" t="e">
        <f t="shared" si="51"/>
        <v>#N/A</v>
      </c>
      <c r="G101" s="16" t="e">
        <f t="shared" si="51"/>
        <v>#N/A</v>
      </c>
      <c r="H101" s="16" t="e">
        <f t="shared" si="51"/>
        <v>#N/A</v>
      </c>
      <c r="I101" s="16" t="e">
        <f t="shared" si="51"/>
        <v>#N/A</v>
      </c>
      <c r="J101" s="16" t="e">
        <f t="shared" si="51"/>
        <v>#N/A</v>
      </c>
      <c r="K101" s="16" t="e">
        <f t="shared" si="51"/>
        <v>#N/A</v>
      </c>
      <c r="L101" s="16" t="e">
        <f t="shared" si="52"/>
        <v>#N/A</v>
      </c>
      <c r="M101" s="16"/>
      <c r="O101" s="548"/>
      <c r="P101" s="463"/>
      <c r="Q101" s="37" t="e">
        <f t="shared" ca="1" si="53"/>
        <v>#N/A</v>
      </c>
      <c r="R101" s="37" t="e">
        <f t="shared" ca="1" si="53"/>
        <v>#N/A</v>
      </c>
      <c r="S101" s="37" t="e">
        <f t="shared" ca="1" si="53"/>
        <v>#N/A</v>
      </c>
      <c r="T101" s="37" t="e">
        <f t="shared" ca="1" si="53"/>
        <v>#N/A</v>
      </c>
      <c r="U101" s="37" t="e">
        <f t="shared" ca="1" si="53"/>
        <v>#N/A</v>
      </c>
      <c r="V101" s="37" t="e">
        <f t="shared" ca="1" si="53"/>
        <v>#N/A</v>
      </c>
      <c r="W101" s="79" t="e">
        <f t="shared" ca="1" si="54"/>
        <v>#N/A</v>
      </c>
      <c r="X101" s="199" t="str">
        <f>'A3. INPUT Unit Costs'!D34</f>
        <v>No</v>
      </c>
      <c r="Y101" s="2">
        <f>IF('A3. INPUT Unit Costs'!D34=Lang_Yes,1,0)</f>
        <v>0</v>
      </c>
      <c r="Z101" s="564"/>
      <c r="AA101" s="564"/>
      <c r="AB101" s="564"/>
      <c r="AC101" s="564"/>
      <c r="AD101" s="564"/>
      <c r="AE101" s="564"/>
      <c r="AF101" s="564"/>
      <c r="AG101" s="564"/>
      <c r="AH101" s="564"/>
      <c r="AI101" s="564"/>
      <c r="AJ101" s="564"/>
      <c r="AK101" s="564"/>
      <c r="AL101" s="564"/>
      <c r="AM101" s="564"/>
      <c r="AN101" s="564"/>
      <c r="AO101" s="564"/>
      <c r="AP101" s="564"/>
      <c r="AQ101" s="564"/>
      <c r="AR101" s="564"/>
      <c r="AS101" s="564"/>
      <c r="AT101" s="564"/>
      <c r="AU101" s="564"/>
      <c r="AV101" s="564"/>
      <c r="AW101" s="564"/>
      <c r="AX101" s="564"/>
      <c r="AY101" s="564"/>
      <c r="AZ101" s="564"/>
      <c r="BA101" s="564"/>
      <c r="BB101" s="564"/>
      <c r="BC101" s="564"/>
      <c r="BD101" s="564"/>
      <c r="BE101" s="564"/>
      <c r="BF101" s="564"/>
      <c r="BG101" s="564"/>
      <c r="BH101" s="564"/>
      <c r="BI101" s="564"/>
      <c r="BJ101" s="564"/>
      <c r="BK101" s="564"/>
      <c r="BL101" s="564"/>
      <c r="BM101" s="564"/>
      <c r="BN101" s="564"/>
      <c r="BO101" s="564"/>
      <c r="BP101" s="564"/>
      <c r="BQ101" s="564"/>
      <c r="BR101" s="564"/>
      <c r="BS101" s="564"/>
      <c r="BT101" s="564"/>
      <c r="BU101" s="564"/>
      <c r="BV101" s="564"/>
      <c r="BW101" s="564"/>
      <c r="BX101" s="564"/>
      <c r="BY101" s="564"/>
      <c r="BZ101" s="564"/>
      <c r="CA101" s="564"/>
      <c r="CB101" s="564"/>
      <c r="CC101" s="564"/>
      <c r="CD101" s="564"/>
      <c r="CE101" s="564"/>
      <c r="CF101" s="564"/>
      <c r="CG101" s="564"/>
      <c r="CH101" s="564"/>
      <c r="CI101" s="564"/>
      <c r="CJ101" s="564"/>
      <c r="CK101" s="564"/>
      <c r="CL101" s="564"/>
      <c r="CM101" s="564"/>
      <c r="CN101" s="564"/>
      <c r="CO101" s="564"/>
      <c r="CP101" s="564"/>
      <c r="CQ101" s="564"/>
      <c r="CR101" s="564"/>
      <c r="CS101" s="564"/>
      <c r="CT101" s="564"/>
      <c r="CU101" s="564"/>
      <c r="CV101" s="564"/>
      <c r="CW101" s="564"/>
      <c r="CX101" s="564"/>
      <c r="CY101" s="564"/>
      <c r="CZ101" s="564"/>
      <c r="DA101" s="564"/>
      <c r="DB101" s="564"/>
      <c r="DC101" s="564"/>
      <c r="DD101" s="564"/>
      <c r="DE101" s="564"/>
      <c r="DF101" s="564"/>
      <c r="DG101" s="564"/>
      <c r="DH101" s="564"/>
      <c r="DI101" s="564"/>
      <c r="DJ101" s="564"/>
      <c r="DK101" s="564"/>
      <c r="DL101" s="564"/>
      <c r="DM101" s="564"/>
      <c r="DN101" s="564"/>
      <c r="DO101" s="564"/>
      <c r="DP101" s="564"/>
      <c r="DQ101" s="564"/>
      <c r="DR101" s="564"/>
      <c r="DS101" s="564"/>
      <c r="DT101" s="564"/>
      <c r="DU101" s="564"/>
      <c r="DV101" s="564"/>
      <c r="DW101" s="564"/>
      <c r="DX101" s="564"/>
      <c r="DY101" s="564"/>
      <c r="DZ101" s="564"/>
      <c r="EA101" s="564"/>
      <c r="EB101" s="564"/>
      <c r="EC101" s="564"/>
      <c r="ED101" s="564"/>
      <c r="EE101" s="564"/>
      <c r="EF101" s="564"/>
      <c r="EG101" s="564"/>
      <c r="EH101" s="564"/>
      <c r="EI101" s="564"/>
      <c r="EJ101" s="564"/>
      <c r="EK101" s="564"/>
      <c r="EL101" s="564"/>
      <c r="EM101" s="564"/>
      <c r="EN101" s="564"/>
      <c r="EO101" s="564"/>
      <c r="EP101" s="564"/>
      <c r="EQ101" s="564"/>
      <c r="ER101" s="564"/>
      <c r="ES101" s="564"/>
      <c r="ET101" s="564"/>
      <c r="EU101" s="564"/>
      <c r="EV101" s="564"/>
      <c r="EW101" s="564"/>
      <c r="EX101" s="564"/>
      <c r="EY101" s="564"/>
      <c r="EZ101" s="564"/>
      <c r="FA101" s="564"/>
      <c r="FB101" s="564"/>
      <c r="FC101" s="564"/>
      <c r="FD101" s="564"/>
      <c r="FE101" s="564"/>
      <c r="FF101" s="564"/>
      <c r="FG101" s="564"/>
      <c r="FH101" s="564"/>
      <c r="FI101" s="564"/>
      <c r="FJ101" s="564"/>
      <c r="FK101" s="564"/>
      <c r="FL101" s="564"/>
      <c r="FM101" s="564"/>
      <c r="FN101" s="564"/>
      <c r="FO101" s="564"/>
      <c r="FP101" s="564"/>
      <c r="FQ101" s="564"/>
      <c r="FR101" s="564"/>
      <c r="FS101" s="564"/>
      <c r="FT101" s="564"/>
      <c r="FU101" s="564"/>
      <c r="FV101" s="564"/>
      <c r="FW101" s="564"/>
      <c r="FX101" s="564"/>
      <c r="FY101" s="564"/>
      <c r="FZ101" s="564"/>
      <c r="GA101" s="564"/>
      <c r="GB101" s="564"/>
      <c r="GC101" s="564"/>
      <c r="GD101" s="564"/>
      <c r="GE101" s="564"/>
      <c r="GF101" s="564"/>
      <c r="GG101" s="564"/>
      <c r="GH101" s="564"/>
      <c r="GI101" s="564"/>
      <c r="GJ101" s="564"/>
    </row>
    <row r="102" spans="1:192" s="194" customFormat="1" x14ac:dyDescent="0.2">
      <c r="A102" s="165">
        <v>4</v>
      </c>
      <c r="B102" s="5" t="str">
        <f t="shared" ca="1" si="49"/>
        <v>21G needle</v>
      </c>
      <c r="C102" s="2">
        <f t="shared" ca="1" si="50"/>
        <v>20</v>
      </c>
      <c r="D102" s="5"/>
      <c r="F102" s="16" t="e">
        <f t="shared" si="51"/>
        <v>#N/A</v>
      </c>
      <c r="G102" s="16" t="e">
        <f t="shared" si="51"/>
        <v>#N/A</v>
      </c>
      <c r="H102" s="16" t="e">
        <f t="shared" si="51"/>
        <v>#N/A</v>
      </c>
      <c r="I102" s="16" t="e">
        <f t="shared" si="51"/>
        <v>#N/A</v>
      </c>
      <c r="J102" s="16" t="e">
        <f t="shared" si="51"/>
        <v>#N/A</v>
      </c>
      <c r="K102" s="16" t="e">
        <f t="shared" si="51"/>
        <v>#N/A</v>
      </c>
      <c r="L102" s="16" t="e">
        <f t="shared" si="52"/>
        <v>#N/A</v>
      </c>
      <c r="M102" s="16"/>
      <c r="O102" s="548"/>
      <c r="P102" s="463"/>
      <c r="Q102" s="37" t="e">
        <f t="shared" ca="1" si="53"/>
        <v>#N/A</v>
      </c>
      <c r="R102" s="37" t="e">
        <f t="shared" ca="1" si="53"/>
        <v>#N/A</v>
      </c>
      <c r="S102" s="37" t="e">
        <f t="shared" ca="1" si="53"/>
        <v>#N/A</v>
      </c>
      <c r="T102" s="37" t="e">
        <f t="shared" ca="1" si="53"/>
        <v>#N/A</v>
      </c>
      <c r="U102" s="37" t="e">
        <f t="shared" ca="1" si="53"/>
        <v>#N/A</v>
      </c>
      <c r="V102" s="37" t="e">
        <f t="shared" ca="1" si="53"/>
        <v>#N/A</v>
      </c>
      <c r="W102" s="79" t="e">
        <f t="shared" ca="1" si="54"/>
        <v>#N/A</v>
      </c>
      <c r="X102" s="199" t="str">
        <f>'A3. INPUT Unit Costs'!D35</f>
        <v>No</v>
      </c>
      <c r="Y102" s="2">
        <f>IF('A3. INPUT Unit Costs'!D35=Lang_Yes,1,0)</f>
        <v>0</v>
      </c>
      <c r="Z102" s="564"/>
      <c r="AA102" s="564"/>
      <c r="AB102" s="564"/>
      <c r="AC102" s="564"/>
      <c r="AD102" s="564"/>
      <c r="AE102" s="564"/>
      <c r="AF102" s="564"/>
      <c r="AG102" s="564"/>
      <c r="AH102" s="564"/>
      <c r="AI102" s="564"/>
      <c r="AJ102" s="564"/>
      <c r="AK102" s="564"/>
      <c r="AL102" s="564"/>
      <c r="AM102" s="564"/>
      <c r="AN102" s="564"/>
      <c r="AO102" s="564"/>
      <c r="AP102" s="564"/>
      <c r="AQ102" s="564"/>
      <c r="AR102" s="564"/>
      <c r="AS102" s="564"/>
      <c r="AT102" s="564"/>
      <c r="AU102" s="564"/>
      <c r="AV102" s="564"/>
      <c r="AW102" s="564"/>
      <c r="AX102" s="564"/>
      <c r="AY102" s="564"/>
      <c r="AZ102" s="564"/>
      <c r="BA102" s="564"/>
      <c r="BB102" s="564"/>
      <c r="BC102" s="564"/>
      <c r="BD102" s="564"/>
      <c r="BE102" s="564"/>
      <c r="BF102" s="564"/>
      <c r="BG102" s="564"/>
      <c r="BH102" s="564"/>
      <c r="BI102" s="564"/>
      <c r="BJ102" s="564"/>
      <c r="BK102" s="564"/>
      <c r="BL102" s="564"/>
      <c r="BM102" s="564"/>
      <c r="BN102" s="564"/>
      <c r="BO102" s="564"/>
      <c r="BP102" s="564"/>
      <c r="BQ102" s="564"/>
      <c r="BR102" s="564"/>
      <c r="BS102" s="564"/>
      <c r="BT102" s="564"/>
      <c r="BU102" s="564"/>
      <c r="BV102" s="564"/>
      <c r="BW102" s="564"/>
      <c r="BX102" s="564"/>
      <c r="BY102" s="564"/>
      <c r="BZ102" s="564"/>
      <c r="CA102" s="564"/>
      <c r="CB102" s="564"/>
      <c r="CC102" s="564"/>
      <c r="CD102" s="564"/>
      <c r="CE102" s="564"/>
      <c r="CF102" s="564"/>
      <c r="CG102" s="564"/>
      <c r="CH102" s="564"/>
      <c r="CI102" s="564"/>
      <c r="CJ102" s="564"/>
      <c r="CK102" s="564"/>
      <c r="CL102" s="564"/>
      <c r="CM102" s="564"/>
      <c r="CN102" s="564"/>
      <c r="CO102" s="564"/>
      <c r="CP102" s="564"/>
      <c r="CQ102" s="564"/>
      <c r="CR102" s="564"/>
      <c r="CS102" s="564"/>
      <c r="CT102" s="564"/>
      <c r="CU102" s="564"/>
      <c r="CV102" s="564"/>
      <c r="CW102" s="564"/>
      <c r="CX102" s="564"/>
      <c r="CY102" s="564"/>
      <c r="CZ102" s="564"/>
      <c r="DA102" s="564"/>
      <c r="DB102" s="564"/>
      <c r="DC102" s="564"/>
      <c r="DD102" s="564"/>
      <c r="DE102" s="564"/>
      <c r="DF102" s="564"/>
      <c r="DG102" s="564"/>
      <c r="DH102" s="564"/>
      <c r="DI102" s="564"/>
      <c r="DJ102" s="564"/>
      <c r="DK102" s="564"/>
      <c r="DL102" s="564"/>
      <c r="DM102" s="564"/>
      <c r="DN102" s="564"/>
      <c r="DO102" s="564"/>
      <c r="DP102" s="564"/>
      <c r="DQ102" s="564"/>
      <c r="DR102" s="564"/>
      <c r="DS102" s="564"/>
      <c r="DT102" s="564"/>
      <c r="DU102" s="564"/>
      <c r="DV102" s="564"/>
      <c r="DW102" s="564"/>
      <c r="DX102" s="564"/>
      <c r="DY102" s="564"/>
      <c r="DZ102" s="564"/>
      <c r="EA102" s="564"/>
      <c r="EB102" s="564"/>
      <c r="EC102" s="564"/>
      <c r="ED102" s="564"/>
      <c r="EE102" s="564"/>
      <c r="EF102" s="564"/>
      <c r="EG102" s="564"/>
      <c r="EH102" s="564"/>
      <c r="EI102" s="564"/>
      <c r="EJ102" s="564"/>
      <c r="EK102" s="564"/>
      <c r="EL102" s="564"/>
      <c r="EM102" s="564"/>
      <c r="EN102" s="564"/>
      <c r="EO102" s="564"/>
      <c r="EP102" s="564"/>
      <c r="EQ102" s="564"/>
      <c r="ER102" s="564"/>
      <c r="ES102" s="564"/>
      <c r="ET102" s="564"/>
      <c r="EU102" s="564"/>
      <c r="EV102" s="564"/>
      <c r="EW102" s="564"/>
      <c r="EX102" s="564"/>
      <c r="EY102" s="564"/>
      <c r="EZ102" s="564"/>
      <c r="FA102" s="564"/>
      <c r="FB102" s="564"/>
      <c r="FC102" s="564"/>
      <c r="FD102" s="564"/>
      <c r="FE102" s="564"/>
      <c r="FF102" s="564"/>
      <c r="FG102" s="564"/>
      <c r="FH102" s="564"/>
      <c r="FI102" s="564"/>
      <c r="FJ102" s="564"/>
      <c r="FK102" s="564"/>
      <c r="FL102" s="564"/>
      <c r="FM102" s="564"/>
      <c r="FN102" s="564"/>
      <c r="FO102" s="564"/>
      <c r="FP102" s="564"/>
      <c r="FQ102" s="564"/>
      <c r="FR102" s="564"/>
      <c r="FS102" s="564"/>
      <c r="FT102" s="564"/>
      <c r="FU102" s="564"/>
      <c r="FV102" s="564"/>
      <c r="FW102" s="564"/>
      <c r="FX102" s="564"/>
      <c r="FY102" s="564"/>
      <c r="FZ102" s="564"/>
      <c r="GA102" s="564"/>
      <c r="GB102" s="564"/>
      <c r="GC102" s="564"/>
      <c r="GD102" s="564"/>
      <c r="GE102" s="564"/>
      <c r="GF102" s="564"/>
      <c r="GG102" s="564"/>
      <c r="GH102" s="564"/>
      <c r="GI102" s="564"/>
      <c r="GJ102" s="564"/>
    </row>
    <row r="103" spans="1:192" s="194" customFormat="1" x14ac:dyDescent="0.2">
      <c r="A103" s="165">
        <v>5</v>
      </c>
      <c r="B103" s="5" t="str">
        <f t="shared" ca="1" si="49"/>
        <v>Sodium Chloride 0.9 % ampule 10mls</v>
      </c>
      <c r="C103" s="2">
        <f t="shared" ca="1" si="50"/>
        <v>21</v>
      </c>
      <c r="D103" s="5"/>
      <c r="F103" s="16" t="e">
        <f t="shared" si="51"/>
        <v>#N/A</v>
      </c>
      <c r="G103" s="16" t="e">
        <f t="shared" si="51"/>
        <v>#N/A</v>
      </c>
      <c r="H103" s="16" t="e">
        <f t="shared" si="51"/>
        <v>#N/A</v>
      </c>
      <c r="I103" s="16" t="e">
        <f t="shared" si="51"/>
        <v>#N/A</v>
      </c>
      <c r="J103" s="16" t="e">
        <f t="shared" si="51"/>
        <v>#N/A</v>
      </c>
      <c r="K103" s="16" t="e">
        <f t="shared" si="51"/>
        <v>#N/A</v>
      </c>
      <c r="L103" s="16" t="e">
        <f t="shared" si="52"/>
        <v>#N/A</v>
      </c>
      <c r="M103" s="16"/>
      <c r="O103" s="548"/>
      <c r="P103" s="463"/>
      <c r="Q103" s="37" t="e">
        <f t="shared" ca="1" si="53"/>
        <v>#N/A</v>
      </c>
      <c r="R103" s="37" t="e">
        <f t="shared" ca="1" si="53"/>
        <v>#N/A</v>
      </c>
      <c r="S103" s="37" t="e">
        <f t="shared" ca="1" si="53"/>
        <v>#N/A</v>
      </c>
      <c r="T103" s="37" t="e">
        <f t="shared" ca="1" si="53"/>
        <v>#N/A</v>
      </c>
      <c r="U103" s="37" t="e">
        <f t="shared" ca="1" si="53"/>
        <v>#N/A</v>
      </c>
      <c r="V103" s="37" t="e">
        <f t="shared" ca="1" si="53"/>
        <v>#N/A</v>
      </c>
      <c r="W103" s="79" t="e">
        <f t="shared" ca="1" si="54"/>
        <v>#N/A</v>
      </c>
      <c r="X103" s="199" t="str">
        <f>'A3. INPUT Unit Costs'!D36</f>
        <v>No</v>
      </c>
      <c r="Y103" s="2">
        <f>IF('A3. INPUT Unit Costs'!D36=Lang_Yes,1,0)</f>
        <v>0</v>
      </c>
      <c r="Z103" s="564"/>
      <c r="AA103" s="564"/>
      <c r="AB103" s="564"/>
      <c r="AC103" s="564"/>
      <c r="AD103" s="564"/>
      <c r="AE103" s="564"/>
      <c r="AF103" s="564"/>
      <c r="AG103" s="564"/>
      <c r="AH103" s="564"/>
      <c r="AI103" s="564"/>
      <c r="AJ103" s="564"/>
      <c r="AK103" s="564"/>
      <c r="AL103" s="564"/>
      <c r="AM103" s="564"/>
      <c r="AN103" s="564"/>
      <c r="AO103" s="564"/>
      <c r="AP103" s="564"/>
      <c r="AQ103" s="564"/>
      <c r="AR103" s="564"/>
      <c r="AS103" s="564"/>
      <c r="AT103" s="564"/>
      <c r="AU103" s="564"/>
      <c r="AV103" s="564"/>
      <c r="AW103" s="564"/>
      <c r="AX103" s="564"/>
      <c r="AY103" s="564"/>
      <c r="AZ103" s="564"/>
      <c r="BA103" s="564"/>
      <c r="BB103" s="564"/>
      <c r="BC103" s="564"/>
      <c r="BD103" s="564"/>
      <c r="BE103" s="564"/>
      <c r="BF103" s="564"/>
      <c r="BG103" s="564"/>
      <c r="BH103" s="564"/>
      <c r="BI103" s="564"/>
      <c r="BJ103" s="564"/>
      <c r="BK103" s="564"/>
      <c r="BL103" s="564"/>
      <c r="BM103" s="564"/>
      <c r="BN103" s="564"/>
      <c r="BO103" s="564"/>
      <c r="BP103" s="564"/>
      <c r="BQ103" s="564"/>
      <c r="BR103" s="564"/>
      <c r="BS103" s="564"/>
      <c r="BT103" s="564"/>
      <c r="BU103" s="564"/>
      <c r="BV103" s="564"/>
      <c r="BW103" s="564"/>
      <c r="BX103" s="564"/>
      <c r="BY103" s="564"/>
      <c r="BZ103" s="564"/>
      <c r="CA103" s="564"/>
      <c r="CB103" s="564"/>
      <c r="CC103" s="564"/>
      <c r="CD103" s="564"/>
      <c r="CE103" s="564"/>
      <c r="CF103" s="564"/>
      <c r="CG103" s="564"/>
      <c r="CH103" s="564"/>
      <c r="CI103" s="564"/>
      <c r="CJ103" s="564"/>
      <c r="CK103" s="564"/>
      <c r="CL103" s="564"/>
      <c r="CM103" s="564"/>
      <c r="CN103" s="564"/>
      <c r="CO103" s="564"/>
      <c r="CP103" s="564"/>
      <c r="CQ103" s="564"/>
      <c r="CR103" s="564"/>
      <c r="CS103" s="564"/>
      <c r="CT103" s="564"/>
      <c r="CU103" s="564"/>
      <c r="CV103" s="564"/>
      <c r="CW103" s="564"/>
      <c r="CX103" s="564"/>
      <c r="CY103" s="564"/>
      <c r="CZ103" s="564"/>
      <c r="DA103" s="564"/>
      <c r="DB103" s="564"/>
      <c r="DC103" s="564"/>
      <c r="DD103" s="564"/>
      <c r="DE103" s="564"/>
      <c r="DF103" s="564"/>
      <c r="DG103" s="564"/>
      <c r="DH103" s="564"/>
      <c r="DI103" s="564"/>
      <c r="DJ103" s="564"/>
      <c r="DK103" s="564"/>
      <c r="DL103" s="564"/>
      <c r="DM103" s="564"/>
      <c r="DN103" s="564"/>
      <c r="DO103" s="564"/>
      <c r="DP103" s="564"/>
      <c r="DQ103" s="564"/>
      <c r="DR103" s="564"/>
      <c r="DS103" s="564"/>
      <c r="DT103" s="564"/>
      <c r="DU103" s="564"/>
      <c r="DV103" s="564"/>
      <c r="DW103" s="564"/>
      <c r="DX103" s="564"/>
      <c r="DY103" s="564"/>
      <c r="DZ103" s="564"/>
      <c r="EA103" s="564"/>
      <c r="EB103" s="564"/>
      <c r="EC103" s="564"/>
      <c r="ED103" s="564"/>
      <c r="EE103" s="564"/>
      <c r="EF103" s="564"/>
      <c r="EG103" s="564"/>
      <c r="EH103" s="564"/>
      <c r="EI103" s="564"/>
      <c r="EJ103" s="564"/>
      <c r="EK103" s="564"/>
      <c r="EL103" s="564"/>
      <c r="EM103" s="564"/>
      <c r="EN103" s="564"/>
      <c r="EO103" s="564"/>
      <c r="EP103" s="564"/>
      <c r="EQ103" s="564"/>
      <c r="ER103" s="564"/>
      <c r="ES103" s="564"/>
      <c r="ET103" s="564"/>
      <c r="EU103" s="564"/>
      <c r="EV103" s="564"/>
      <c r="EW103" s="564"/>
      <c r="EX103" s="564"/>
      <c r="EY103" s="564"/>
      <c r="EZ103" s="564"/>
      <c r="FA103" s="564"/>
      <c r="FB103" s="564"/>
      <c r="FC103" s="564"/>
      <c r="FD103" s="564"/>
      <c r="FE103" s="564"/>
      <c r="FF103" s="564"/>
      <c r="FG103" s="564"/>
      <c r="FH103" s="564"/>
      <c r="FI103" s="564"/>
      <c r="FJ103" s="564"/>
      <c r="FK103" s="564"/>
      <c r="FL103" s="564"/>
      <c r="FM103" s="564"/>
      <c r="FN103" s="564"/>
      <c r="FO103" s="564"/>
      <c r="FP103" s="564"/>
      <c r="FQ103" s="564"/>
      <c r="FR103" s="564"/>
      <c r="FS103" s="564"/>
      <c r="FT103" s="564"/>
      <c r="FU103" s="564"/>
      <c r="FV103" s="564"/>
      <c r="FW103" s="564"/>
      <c r="FX103" s="564"/>
      <c r="FY103" s="564"/>
      <c r="FZ103" s="564"/>
      <c r="GA103" s="564"/>
      <c r="GB103" s="564"/>
      <c r="GC103" s="564"/>
      <c r="GD103" s="564"/>
      <c r="GE103" s="564"/>
      <c r="GF103" s="564"/>
      <c r="GG103" s="564"/>
      <c r="GH103" s="564"/>
      <c r="GI103" s="564"/>
      <c r="GJ103" s="564"/>
    </row>
    <row r="104" spans="1:192" s="194" customFormat="1" x14ac:dyDescent="0.2">
      <c r="A104" s="165">
        <v>6</v>
      </c>
      <c r="B104" s="5" t="str">
        <f t="shared" ca="1" si="49"/>
        <v>RUP syringe (3ml)</v>
      </c>
      <c r="C104" s="2">
        <f t="shared" ca="1" si="50"/>
        <v>22</v>
      </c>
      <c r="D104" s="5"/>
      <c r="F104" s="16" t="e">
        <f t="shared" si="51"/>
        <v>#N/A</v>
      </c>
      <c r="G104" s="16" t="e">
        <f t="shared" si="51"/>
        <v>#N/A</v>
      </c>
      <c r="H104" s="16" t="e">
        <f t="shared" si="51"/>
        <v>#N/A</v>
      </c>
      <c r="I104" s="16" t="e">
        <f t="shared" si="51"/>
        <v>#N/A</v>
      </c>
      <c r="J104" s="16" t="e">
        <f t="shared" si="51"/>
        <v>#N/A</v>
      </c>
      <c r="K104" s="16" t="e">
        <f t="shared" si="51"/>
        <v>#N/A</v>
      </c>
      <c r="L104" s="16" t="e">
        <f t="shared" si="52"/>
        <v>#N/A</v>
      </c>
      <c r="M104" s="16"/>
      <c r="O104" s="548"/>
      <c r="P104" s="463"/>
      <c r="Q104" s="37" t="e">
        <f t="shared" ca="1" si="53"/>
        <v>#N/A</v>
      </c>
      <c r="R104" s="37" t="e">
        <f t="shared" ca="1" si="53"/>
        <v>#N/A</v>
      </c>
      <c r="S104" s="37" t="e">
        <f t="shared" ca="1" si="53"/>
        <v>#N/A</v>
      </c>
      <c r="T104" s="37" t="e">
        <f t="shared" ca="1" si="53"/>
        <v>#N/A</v>
      </c>
      <c r="U104" s="37" t="e">
        <f t="shared" ca="1" si="53"/>
        <v>#N/A</v>
      </c>
      <c r="V104" s="37" t="e">
        <f t="shared" ca="1" si="53"/>
        <v>#N/A</v>
      </c>
      <c r="W104" s="79" t="e">
        <f t="shared" ca="1" si="54"/>
        <v>#N/A</v>
      </c>
      <c r="X104" s="199" t="str">
        <f>'A3. INPUT Unit Costs'!D37</f>
        <v>No</v>
      </c>
      <c r="Y104" s="2">
        <f>IF('A3. INPUT Unit Costs'!D37=Lang_Yes,1,0)</f>
        <v>0</v>
      </c>
      <c r="Z104" s="564"/>
      <c r="AA104" s="564"/>
      <c r="AB104" s="564"/>
      <c r="AC104" s="564"/>
      <c r="AD104" s="564"/>
      <c r="AE104" s="564"/>
      <c r="AF104" s="564"/>
      <c r="AG104" s="564"/>
      <c r="AH104" s="564"/>
      <c r="AI104" s="564"/>
      <c r="AJ104" s="564"/>
      <c r="AK104" s="564"/>
      <c r="AL104" s="564"/>
      <c r="AM104" s="564"/>
      <c r="AN104" s="564"/>
      <c r="AO104" s="564"/>
      <c r="AP104" s="564"/>
      <c r="AQ104" s="564"/>
      <c r="AR104" s="564"/>
      <c r="AS104" s="564"/>
      <c r="AT104" s="564"/>
      <c r="AU104" s="564"/>
      <c r="AV104" s="564"/>
      <c r="AW104" s="564"/>
      <c r="AX104" s="564"/>
      <c r="AY104" s="564"/>
      <c r="AZ104" s="564"/>
      <c r="BA104" s="564"/>
      <c r="BB104" s="564"/>
      <c r="BC104" s="564"/>
      <c r="BD104" s="564"/>
      <c r="BE104" s="564"/>
      <c r="BF104" s="564"/>
      <c r="BG104" s="564"/>
      <c r="BH104" s="564"/>
      <c r="BI104" s="564"/>
      <c r="BJ104" s="564"/>
      <c r="BK104" s="564"/>
      <c r="BL104" s="564"/>
      <c r="BM104" s="564"/>
      <c r="BN104" s="564"/>
      <c r="BO104" s="564"/>
      <c r="BP104" s="564"/>
      <c r="BQ104" s="564"/>
      <c r="BR104" s="564"/>
      <c r="BS104" s="564"/>
      <c r="BT104" s="564"/>
      <c r="BU104" s="564"/>
      <c r="BV104" s="564"/>
      <c r="BW104" s="564"/>
      <c r="BX104" s="564"/>
      <c r="BY104" s="564"/>
      <c r="BZ104" s="564"/>
      <c r="CA104" s="564"/>
      <c r="CB104" s="564"/>
      <c r="CC104" s="564"/>
      <c r="CD104" s="564"/>
      <c r="CE104" s="564"/>
      <c r="CF104" s="564"/>
      <c r="CG104" s="564"/>
      <c r="CH104" s="564"/>
      <c r="CI104" s="564"/>
      <c r="CJ104" s="564"/>
      <c r="CK104" s="564"/>
      <c r="CL104" s="564"/>
      <c r="CM104" s="564"/>
      <c r="CN104" s="564"/>
      <c r="CO104" s="564"/>
      <c r="CP104" s="564"/>
      <c r="CQ104" s="564"/>
      <c r="CR104" s="564"/>
      <c r="CS104" s="564"/>
      <c r="CT104" s="564"/>
      <c r="CU104" s="564"/>
      <c r="CV104" s="564"/>
      <c r="CW104" s="564"/>
      <c r="CX104" s="564"/>
      <c r="CY104" s="564"/>
      <c r="CZ104" s="564"/>
      <c r="DA104" s="564"/>
      <c r="DB104" s="564"/>
      <c r="DC104" s="564"/>
      <c r="DD104" s="564"/>
      <c r="DE104" s="564"/>
      <c r="DF104" s="564"/>
      <c r="DG104" s="564"/>
      <c r="DH104" s="564"/>
      <c r="DI104" s="564"/>
      <c r="DJ104" s="564"/>
      <c r="DK104" s="564"/>
      <c r="DL104" s="564"/>
      <c r="DM104" s="564"/>
      <c r="DN104" s="564"/>
      <c r="DO104" s="564"/>
      <c r="DP104" s="564"/>
      <c r="DQ104" s="564"/>
      <c r="DR104" s="564"/>
      <c r="DS104" s="564"/>
      <c r="DT104" s="564"/>
      <c r="DU104" s="564"/>
      <c r="DV104" s="564"/>
      <c r="DW104" s="564"/>
      <c r="DX104" s="564"/>
      <c r="DY104" s="564"/>
      <c r="DZ104" s="564"/>
      <c r="EA104" s="564"/>
      <c r="EB104" s="564"/>
      <c r="EC104" s="564"/>
      <c r="ED104" s="564"/>
      <c r="EE104" s="564"/>
      <c r="EF104" s="564"/>
      <c r="EG104" s="564"/>
      <c r="EH104" s="564"/>
      <c r="EI104" s="564"/>
      <c r="EJ104" s="564"/>
      <c r="EK104" s="564"/>
      <c r="EL104" s="564"/>
      <c r="EM104" s="564"/>
      <c r="EN104" s="564"/>
      <c r="EO104" s="564"/>
      <c r="EP104" s="564"/>
      <c r="EQ104" s="564"/>
      <c r="ER104" s="564"/>
      <c r="ES104" s="564"/>
      <c r="ET104" s="564"/>
      <c r="EU104" s="564"/>
      <c r="EV104" s="564"/>
      <c r="EW104" s="564"/>
      <c r="EX104" s="564"/>
      <c r="EY104" s="564"/>
      <c r="EZ104" s="564"/>
      <c r="FA104" s="564"/>
      <c r="FB104" s="564"/>
      <c r="FC104" s="564"/>
      <c r="FD104" s="564"/>
      <c r="FE104" s="564"/>
      <c r="FF104" s="564"/>
      <c r="FG104" s="564"/>
      <c r="FH104" s="564"/>
      <c r="FI104" s="564"/>
      <c r="FJ104" s="564"/>
      <c r="FK104" s="564"/>
      <c r="FL104" s="564"/>
      <c r="FM104" s="564"/>
      <c r="FN104" s="564"/>
      <c r="FO104" s="564"/>
      <c r="FP104" s="564"/>
      <c r="FQ104" s="564"/>
      <c r="FR104" s="564"/>
      <c r="FS104" s="564"/>
      <c r="FT104" s="564"/>
      <c r="FU104" s="564"/>
      <c r="FV104" s="564"/>
      <c r="FW104" s="564"/>
      <c r="FX104" s="564"/>
      <c r="FY104" s="564"/>
      <c r="FZ104" s="564"/>
      <c r="GA104" s="564"/>
      <c r="GB104" s="564"/>
      <c r="GC104" s="564"/>
      <c r="GD104" s="564"/>
      <c r="GE104" s="564"/>
      <c r="GF104" s="564"/>
      <c r="GG104" s="564"/>
      <c r="GH104" s="564"/>
      <c r="GI104" s="564"/>
      <c r="GJ104" s="564"/>
    </row>
    <row r="105" spans="1:192" s="194" customFormat="1" x14ac:dyDescent="0.2">
      <c r="A105" s="165">
        <v>7</v>
      </c>
      <c r="B105" s="5" t="str">
        <f t="shared" ca="1" si="49"/>
        <v>…</v>
      </c>
      <c r="C105" s="2">
        <f t="shared" ca="1" si="50"/>
        <v>23</v>
      </c>
      <c r="D105" s="5"/>
      <c r="F105" s="16" t="e">
        <f t="shared" si="51"/>
        <v>#N/A</v>
      </c>
      <c r="G105" s="16" t="e">
        <f t="shared" si="51"/>
        <v>#N/A</v>
      </c>
      <c r="H105" s="16" t="e">
        <f t="shared" si="51"/>
        <v>#N/A</v>
      </c>
      <c r="I105" s="16" t="e">
        <f t="shared" si="51"/>
        <v>#N/A</v>
      </c>
      <c r="J105" s="16" t="e">
        <f t="shared" si="51"/>
        <v>#N/A</v>
      </c>
      <c r="K105" s="16" t="e">
        <f t="shared" si="51"/>
        <v>#N/A</v>
      </c>
      <c r="L105" s="16" t="e">
        <f t="shared" si="52"/>
        <v>#N/A</v>
      </c>
      <c r="M105" s="16"/>
      <c r="O105" s="548"/>
      <c r="P105" s="463"/>
      <c r="Q105" s="37" t="e">
        <f t="shared" ca="1" si="53"/>
        <v>#N/A</v>
      </c>
      <c r="R105" s="37" t="e">
        <f t="shared" ca="1" si="53"/>
        <v>#N/A</v>
      </c>
      <c r="S105" s="37" t="e">
        <f t="shared" ca="1" si="53"/>
        <v>#N/A</v>
      </c>
      <c r="T105" s="37" t="e">
        <f t="shared" ca="1" si="53"/>
        <v>#N/A</v>
      </c>
      <c r="U105" s="37" t="e">
        <f t="shared" ca="1" si="53"/>
        <v>#N/A</v>
      </c>
      <c r="V105" s="37" t="e">
        <f t="shared" ca="1" si="53"/>
        <v>#N/A</v>
      </c>
      <c r="W105" s="79" t="e">
        <f t="shared" ca="1" si="54"/>
        <v>#N/A</v>
      </c>
      <c r="X105" s="199" t="str">
        <f>'A3. INPUT Unit Costs'!D38</f>
        <v>No</v>
      </c>
      <c r="Y105" s="2">
        <f>IF('A3. INPUT Unit Costs'!D38=Lang_Yes,1,0)</f>
        <v>0</v>
      </c>
      <c r="Z105" s="564"/>
      <c r="AA105" s="564"/>
      <c r="AB105" s="564"/>
      <c r="AC105" s="564"/>
      <c r="AD105" s="564"/>
      <c r="AE105" s="564"/>
      <c r="AF105" s="564"/>
      <c r="AG105" s="564"/>
      <c r="AH105" s="564"/>
      <c r="AI105" s="564"/>
      <c r="AJ105" s="564"/>
      <c r="AK105" s="564"/>
      <c r="AL105" s="564"/>
      <c r="AM105" s="564"/>
      <c r="AN105" s="564"/>
      <c r="AO105" s="564"/>
      <c r="AP105" s="564"/>
      <c r="AQ105" s="564"/>
      <c r="AR105" s="564"/>
      <c r="AS105" s="564"/>
      <c r="AT105" s="564"/>
      <c r="AU105" s="564"/>
      <c r="AV105" s="564"/>
      <c r="AW105" s="564"/>
      <c r="AX105" s="564"/>
      <c r="AY105" s="564"/>
      <c r="AZ105" s="564"/>
      <c r="BA105" s="564"/>
      <c r="BB105" s="564"/>
      <c r="BC105" s="564"/>
      <c r="BD105" s="564"/>
      <c r="BE105" s="564"/>
      <c r="BF105" s="564"/>
      <c r="BG105" s="564"/>
      <c r="BH105" s="564"/>
      <c r="BI105" s="564"/>
      <c r="BJ105" s="564"/>
      <c r="BK105" s="564"/>
      <c r="BL105" s="564"/>
      <c r="BM105" s="564"/>
      <c r="BN105" s="564"/>
      <c r="BO105" s="564"/>
      <c r="BP105" s="564"/>
      <c r="BQ105" s="564"/>
      <c r="BR105" s="564"/>
      <c r="BS105" s="564"/>
      <c r="BT105" s="564"/>
      <c r="BU105" s="564"/>
      <c r="BV105" s="564"/>
      <c r="BW105" s="564"/>
      <c r="BX105" s="564"/>
      <c r="BY105" s="564"/>
      <c r="BZ105" s="564"/>
      <c r="CA105" s="564"/>
      <c r="CB105" s="564"/>
      <c r="CC105" s="564"/>
      <c r="CD105" s="564"/>
      <c r="CE105" s="564"/>
      <c r="CF105" s="564"/>
      <c r="CG105" s="564"/>
      <c r="CH105" s="564"/>
      <c r="CI105" s="564"/>
      <c r="CJ105" s="564"/>
      <c r="CK105" s="564"/>
      <c r="CL105" s="564"/>
      <c r="CM105" s="564"/>
      <c r="CN105" s="564"/>
      <c r="CO105" s="564"/>
      <c r="CP105" s="564"/>
      <c r="CQ105" s="564"/>
      <c r="CR105" s="564"/>
      <c r="CS105" s="564"/>
      <c r="CT105" s="564"/>
      <c r="CU105" s="564"/>
      <c r="CV105" s="564"/>
      <c r="CW105" s="564"/>
      <c r="CX105" s="564"/>
      <c r="CY105" s="564"/>
      <c r="CZ105" s="564"/>
      <c r="DA105" s="564"/>
      <c r="DB105" s="564"/>
      <c r="DC105" s="564"/>
      <c r="DD105" s="564"/>
      <c r="DE105" s="564"/>
      <c r="DF105" s="564"/>
      <c r="DG105" s="564"/>
      <c r="DH105" s="564"/>
      <c r="DI105" s="564"/>
      <c r="DJ105" s="564"/>
      <c r="DK105" s="564"/>
      <c r="DL105" s="564"/>
      <c r="DM105" s="564"/>
      <c r="DN105" s="564"/>
      <c r="DO105" s="564"/>
      <c r="DP105" s="564"/>
      <c r="DQ105" s="564"/>
      <c r="DR105" s="564"/>
      <c r="DS105" s="564"/>
      <c r="DT105" s="564"/>
      <c r="DU105" s="564"/>
      <c r="DV105" s="564"/>
      <c r="DW105" s="564"/>
      <c r="DX105" s="564"/>
      <c r="DY105" s="564"/>
      <c r="DZ105" s="564"/>
      <c r="EA105" s="564"/>
      <c r="EB105" s="564"/>
      <c r="EC105" s="564"/>
      <c r="ED105" s="564"/>
      <c r="EE105" s="564"/>
      <c r="EF105" s="564"/>
      <c r="EG105" s="564"/>
      <c r="EH105" s="564"/>
      <c r="EI105" s="564"/>
      <c r="EJ105" s="564"/>
      <c r="EK105" s="564"/>
      <c r="EL105" s="564"/>
      <c r="EM105" s="564"/>
      <c r="EN105" s="564"/>
      <c r="EO105" s="564"/>
      <c r="EP105" s="564"/>
      <c r="EQ105" s="564"/>
      <c r="ER105" s="564"/>
      <c r="ES105" s="564"/>
      <c r="ET105" s="564"/>
      <c r="EU105" s="564"/>
      <c r="EV105" s="564"/>
      <c r="EW105" s="564"/>
      <c r="EX105" s="564"/>
      <c r="EY105" s="564"/>
      <c r="EZ105" s="564"/>
      <c r="FA105" s="564"/>
      <c r="FB105" s="564"/>
      <c r="FC105" s="564"/>
      <c r="FD105" s="564"/>
      <c r="FE105" s="564"/>
      <c r="FF105" s="564"/>
      <c r="FG105" s="564"/>
      <c r="FH105" s="564"/>
      <c r="FI105" s="564"/>
      <c r="FJ105" s="564"/>
      <c r="FK105" s="564"/>
      <c r="FL105" s="564"/>
      <c r="FM105" s="564"/>
      <c r="FN105" s="564"/>
      <c r="FO105" s="564"/>
      <c r="FP105" s="564"/>
      <c r="FQ105" s="564"/>
      <c r="FR105" s="564"/>
      <c r="FS105" s="564"/>
      <c r="FT105" s="564"/>
      <c r="FU105" s="564"/>
      <c r="FV105" s="564"/>
      <c r="FW105" s="564"/>
      <c r="FX105" s="564"/>
      <c r="FY105" s="564"/>
      <c r="FZ105" s="564"/>
      <c r="GA105" s="564"/>
      <c r="GB105" s="564"/>
      <c r="GC105" s="564"/>
      <c r="GD105" s="564"/>
      <c r="GE105" s="564"/>
      <c r="GF105" s="564"/>
      <c r="GG105" s="564"/>
      <c r="GH105" s="564"/>
      <c r="GI105" s="564"/>
      <c r="GJ105" s="564"/>
    </row>
    <row r="106" spans="1:192" s="194" customFormat="1" x14ac:dyDescent="0.2">
      <c r="A106" s="165">
        <v>8</v>
      </c>
      <c r="B106" s="5" t="str">
        <f t="shared" ca="1" si="49"/>
        <v>…</v>
      </c>
      <c r="C106" s="2">
        <f t="shared" ca="1" si="50"/>
        <v>24</v>
      </c>
      <c r="D106" s="5"/>
      <c r="F106" s="16" t="e">
        <f t="shared" si="51"/>
        <v>#N/A</v>
      </c>
      <c r="G106" s="16" t="e">
        <f t="shared" si="51"/>
        <v>#N/A</v>
      </c>
      <c r="H106" s="16" t="e">
        <f t="shared" si="51"/>
        <v>#N/A</v>
      </c>
      <c r="I106" s="16" t="e">
        <f t="shared" si="51"/>
        <v>#N/A</v>
      </c>
      <c r="J106" s="16" t="e">
        <f t="shared" si="51"/>
        <v>#N/A</v>
      </c>
      <c r="K106" s="16" t="e">
        <f t="shared" si="51"/>
        <v>#N/A</v>
      </c>
      <c r="L106" s="16" t="e">
        <f t="shared" si="52"/>
        <v>#N/A</v>
      </c>
      <c r="M106" s="16"/>
      <c r="O106" s="548"/>
      <c r="P106" s="463"/>
      <c r="Q106" s="37" t="e">
        <f t="shared" ca="1" si="53"/>
        <v>#N/A</v>
      </c>
      <c r="R106" s="37" t="e">
        <f t="shared" ca="1" si="53"/>
        <v>#N/A</v>
      </c>
      <c r="S106" s="37" t="e">
        <f t="shared" ca="1" si="53"/>
        <v>#N/A</v>
      </c>
      <c r="T106" s="37" t="e">
        <f t="shared" ca="1" si="53"/>
        <v>#N/A</v>
      </c>
      <c r="U106" s="37" t="e">
        <f t="shared" ca="1" si="53"/>
        <v>#N/A</v>
      </c>
      <c r="V106" s="37" t="e">
        <f t="shared" ca="1" si="53"/>
        <v>#N/A</v>
      </c>
      <c r="W106" s="79" t="e">
        <f t="shared" ca="1" si="54"/>
        <v>#N/A</v>
      </c>
      <c r="X106" s="199" t="str">
        <f>'A3. INPUT Unit Costs'!D39</f>
        <v>No</v>
      </c>
      <c r="Y106" s="2">
        <f>IF('A3. INPUT Unit Costs'!D39=Lang_Yes,1,0)</f>
        <v>0</v>
      </c>
      <c r="Z106" s="564"/>
      <c r="AA106" s="564"/>
      <c r="AB106" s="564"/>
      <c r="AC106" s="564"/>
      <c r="AD106" s="564"/>
      <c r="AE106" s="564"/>
      <c r="AF106" s="564"/>
      <c r="AG106" s="564"/>
      <c r="AH106" s="564"/>
      <c r="AI106" s="564"/>
      <c r="AJ106" s="564"/>
      <c r="AK106" s="564"/>
      <c r="AL106" s="564"/>
      <c r="AM106" s="564"/>
      <c r="AN106" s="564"/>
      <c r="AO106" s="564"/>
      <c r="AP106" s="564"/>
      <c r="AQ106" s="564"/>
      <c r="AR106" s="564"/>
      <c r="AS106" s="564"/>
      <c r="AT106" s="564"/>
      <c r="AU106" s="564"/>
      <c r="AV106" s="564"/>
      <c r="AW106" s="564"/>
      <c r="AX106" s="564"/>
      <c r="AY106" s="564"/>
      <c r="AZ106" s="564"/>
      <c r="BA106" s="564"/>
      <c r="BB106" s="564"/>
      <c r="BC106" s="564"/>
      <c r="BD106" s="564"/>
      <c r="BE106" s="564"/>
      <c r="BF106" s="564"/>
      <c r="BG106" s="564"/>
      <c r="BH106" s="564"/>
      <c r="BI106" s="564"/>
      <c r="BJ106" s="564"/>
      <c r="BK106" s="564"/>
      <c r="BL106" s="564"/>
      <c r="BM106" s="564"/>
      <c r="BN106" s="564"/>
      <c r="BO106" s="564"/>
      <c r="BP106" s="564"/>
      <c r="BQ106" s="564"/>
      <c r="BR106" s="564"/>
      <c r="BS106" s="564"/>
      <c r="BT106" s="564"/>
      <c r="BU106" s="564"/>
      <c r="BV106" s="564"/>
      <c r="BW106" s="564"/>
      <c r="BX106" s="564"/>
      <c r="BY106" s="564"/>
      <c r="BZ106" s="564"/>
      <c r="CA106" s="564"/>
      <c r="CB106" s="564"/>
      <c r="CC106" s="564"/>
      <c r="CD106" s="564"/>
      <c r="CE106" s="564"/>
      <c r="CF106" s="564"/>
      <c r="CG106" s="564"/>
      <c r="CH106" s="564"/>
      <c r="CI106" s="564"/>
      <c r="CJ106" s="564"/>
      <c r="CK106" s="564"/>
      <c r="CL106" s="564"/>
      <c r="CM106" s="564"/>
      <c r="CN106" s="564"/>
      <c r="CO106" s="564"/>
      <c r="CP106" s="564"/>
      <c r="CQ106" s="564"/>
      <c r="CR106" s="564"/>
      <c r="CS106" s="564"/>
      <c r="CT106" s="564"/>
      <c r="CU106" s="564"/>
      <c r="CV106" s="564"/>
      <c r="CW106" s="564"/>
      <c r="CX106" s="564"/>
      <c r="CY106" s="564"/>
      <c r="CZ106" s="564"/>
      <c r="DA106" s="564"/>
      <c r="DB106" s="564"/>
      <c r="DC106" s="564"/>
      <c r="DD106" s="564"/>
      <c r="DE106" s="564"/>
      <c r="DF106" s="564"/>
      <c r="DG106" s="564"/>
      <c r="DH106" s="564"/>
      <c r="DI106" s="564"/>
      <c r="DJ106" s="564"/>
      <c r="DK106" s="564"/>
      <c r="DL106" s="564"/>
      <c r="DM106" s="564"/>
      <c r="DN106" s="564"/>
      <c r="DO106" s="564"/>
      <c r="DP106" s="564"/>
      <c r="DQ106" s="564"/>
      <c r="DR106" s="564"/>
      <c r="DS106" s="564"/>
      <c r="DT106" s="564"/>
      <c r="DU106" s="564"/>
      <c r="DV106" s="564"/>
      <c r="DW106" s="564"/>
      <c r="DX106" s="564"/>
      <c r="DY106" s="564"/>
      <c r="DZ106" s="564"/>
      <c r="EA106" s="564"/>
      <c r="EB106" s="564"/>
      <c r="EC106" s="564"/>
      <c r="ED106" s="564"/>
      <c r="EE106" s="564"/>
      <c r="EF106" s="564"/>
      <c r="EG106" s="564"/>
      <c r="EH106" s="564"/>
      <c r="EI106" s="564"/>
      <c r="EJ106" s="564"/>
      <c r="EK106" s="564"/>
      <c r="EL106" s="564"/>
      <c r="EM106" s="564"/>
      <c r="EN106" s="564"/>
      <c r="EO106" s="564"/>
      <c r="EP106" s="564"/>
      <c r="EQ106" s="564"/>
      <c r="ER106" s="564"/>
      <c r="ES106" s="564"/>
      <c r="ET106" s="564"/>
      <c r="EU106" s="564"/>
      <c r="EV106" s="564"/>
      <c r="EW106" s="564"/>
      <c r="EX106" s="564"/>
      <c r="EY106" s="564"/>
      <c r="EZ106" s="564"/>
      <c r="FA106" s="564"/>
      <c r="FB106" s="564"/>
      <c r="FC106" s="564"/>
      <c r="FD106" s="564"/>
      <c r="FE106" s="564"/>
      <c r="FF106" s="564"/>
      <c r="FG106" s="564"/>
      <c r="FH106" s="564"/>
      <c r="FI106" s="564"/>
      <c r="FJ106" s="564"/>
      <c r="FK106" s="564"/>
      <c r="FL106" s="564"/>
      <c r="FM106" s="564"/>
      <c r="FN106" s="564"/>
      <c r="FO106" s="564"/>
      <c r="FP106" s="564"/>
      <c r="FQ106" s="564"/>
      <c r="FR106" s="564"/>
      <c r="FS106" s="564"/>
      <c r="FT106" s="564"/>
      <c r="FU106" s="564"/>
      <c r="FV106" s="564"/>
      <c r="FW106" s="564"/>
      <c r="FX106" s="564"/>
      <c r="FY106" s="564"/>
      <c r="FZ106" s="564"/>
      <c r="GA106" s="564"/>
      <c r="GB106" s="564"/>
      <c r="GC106" s="564"/>
      <c r="GD106" s="564"/>
      <c r="GE106" s="564"/>
      <c r="GF106" s="564"/>
      <c r="GG106" s="564"/>
      <c r="GH106" s="564"/>
      <c r="GI106" s="564"/>
      <c r="GJ106" s="564"/>
    </row>
    <row r="107" spans="1:192" s="194" customFormat="1" x14ac:dyDescent="0.2">
      <c r="A107" s="165">
        <v>9</v>
      </c>
      <c r="B107" s="5" t="str">
        <f t="shared" ca="1" si="49"/>
        <v>Sharps Disposal (5L)</v>
      </c>
      <c r="C107" s="2">
        <f t="shared" ca="1" si="50"/>
        <v>25</v>
      </c>
      <c r="D107" s="5"/>
      <c r="F107" s="16" t="e">
        <f t="shared" si="51"/>
        <v>#N/A</v>
      </c>
      <c r="G107" s="16" t="e">
        <f t="shared" si="51"/>
        <v>#N/A</v>
      </c>
      <c r="H107" s="16" t="e">
        <f t="shared" si="51"/>
        <v>#N/A</v>
      </c>
      <c r="I107" s="16" t="e">
        <f t="shared" si="51"/>
        <v>#N/A</v>
      </c>
      <c r="J107" s="16" t="e">
        <f t="shared" si="51"/>
        <v>#N/A</v>
      </c>
      <c r="K107" s="16" t="e">
        <f t="shared" si="51"/>
        <v>#N/A</v>
      </c>
      <c r="L107" s="16" t="e">
        <f t="shared" si="52"/>
        <v>#N/A</v>
      </c>
      <c r="M107" s="16"/>
      <c r="O107" s="463"/>
      <c r="P107" s="463"/>
      <c r="Q107" s="37" t="e">
        <f t="shared" ca="1" si="53"/>
        <v>#N/A</v>
      </c>
      <c r="R107" s="37" t="e">
        <f t="shared" ca="1" si="53"/>
        <v>#N/A</v>
      </c>
      <c r="S107" s="37" t="e">
        <f t="shared" ca="1" si="53"/>
        <v>#N/A</v>
      </c>
      <c r="T107" s="37" t="e">
        <f t="shared" ca="1" si="53"/>
        <v>#N/A</v>
      </c>
      <c r="U107" s="37" t="e">
        <f t="shared" ca="1" si="53"/>
        <v>#N/A</v>
      </c>
      <c r="V107" s="37" t="e">
        <f t="shared" ca="1" si="53"/>
        <v>#N/A</v>
      </c>
      <c r="W107" s="79" t="e">
        <f t="shared" ca="1" si="54"/>
        <v>#N/A</v>
      </c>
      <c r="X107" s="2" t="str">
        <f t="shared" ref="X107:X114" ca="1" si="55">IF(OFFSET(AV107,0,Lang_Order*Lang__B2)="","",OFFSET(AV107,0,Lang_Order*Lang__B2))</f>
        <v>Note: Mapped to R2.1.4.2 Waste Management</v>
      </c>
      <c r="Y107" s="2">
        <f>IF('A3. INPUT Unit Costs'!D40=Lang_Yes,1,0)</f>
        <v>0</v>
      </c>
      <c r="Z107" s="564"/>
      <c r="AA107" s="564"/>
      <c r="AB107" s="564"/>
      <c r="AC107" s="564"/>
      <c r="AD107" s="564"/>
      <c r="AE107" s="564"/>
      <c r="AF107" s="564"/>
      <c r="AG107" s="564"/>
      <c r="AH107" s="564"/>
      <c r="AI107" s="564"/>
      <c r="AJ107" s="564"/>
      <c r="AK107" s="564"/>
      <c r="AL107" s="564"/>
      <c r="AM107" s="564"/>
      <c r="AN107" s="564"/>
      <c r="AO107" s="564"/>
      <c r="AP107" s="564"/>
      <c r="AQ107" s="564"/>
      <c r="AR107" s="564"/>
      <c r="AS107" s="564"/>
      <c r="AT107" s="564"/>
      <c r="AU107" s="564"/>
      <c r="AV107" s="564" t="s">
        <v>14557</v>
      </c>
      <c r="AW107" s="564"/>
      <c r="AX107" s="564"/>
      <c r="AY107" s="564"/>
      <c r="AZ107" s="564"/>
      <c r="BA107" s="564"/>
      <c r="BB107" s="564"/>
      <c r="BC107" s="564"/>
      <c r="BD107" s="564"/>
      <c r="BE107" s="564"/>
      <c r="BF107" s="564"/>
      <c r="BG107" s="564"/>
      <c r="BH107" s="564"/>
      <c r="BI107" s="564"/>
      <c r="BJ107" s="564"/>
      <c r="BK107" s="564"/>
      <c r="BL107" s="564"/>
      <c r="BM107" s="564"/>
      <c r="BN107" s="564"/>
      <c r="BO107" s="564"/>
      <c r="BP107" s="564"/>
      <c r="BQ107" s="564"/>
      <c r="BR107" s="564"/>
      <c r="BS107" s="564"/>
      <c r="BT107" s="564" t="s">
        <v>14558</v>
      </c>
      <c r="BU107" s="564"/>
      <c r="BV107" s="564"/>
      <c r="BW107" s="564"/>
      <c r="BX107" s="564"/>
      <c r="BY107" s="564"/>
      <c r="BZ107" s="564"/>
      <c r="CA107" s="564"/>
      <c r="CB107" s="564"/>
      <c r="CC107" s="564"/>
      <c r="CD107" s="564"/>
      <c r="CE107" s="564"/>
      <c r="CF107" s="564"/>
      <c r="CG107" s="564"/>
      <c r="CH107" s="564"/>
      <c r="CI107" s="564"/>
      <c r="CJ107" s="564"/>
      <c r="CK107" s="564"/>
      <c r="CL107" s="564"/>
      <c r="CM107" s="564"/>
      <c r="CN107" s="564"/>
      <c r="CO107" s="564"/>
      <c r="CP107" s="564"/>
      <c r="CQ107" s="564"/>
      <c r="CR107" s="564" t="s">
        <v>14559</v>
      </c>
      <c r="CS107" s="564"/>
      <c r="CT107" s="564"/>
      <c r="CU107" s="564"/>
      <c r="CV107" s="564"/>
      <c r="CW107" s="564"/>
      <c r="CX107" s="564"/>
      <c r="CY107" s="564"/>
      <c r="CZ107" s="564"/>
      <c r="DA107" s="564"/>
      <c r="DB107" s="564"/>
      <c r="DC107" s="564"/>
      <c r="DD107" s="564"/>
      <c r="DE107" s="564"/>
      <c r="DF107" s="564"/>
      <c r="DG107" s="564"/>
      <c r="DH107" s="564"/>
      <c r="DI107" s="564"/>
      <c r="DJ107" s="564"/>
      <c r="DK107" s="564"/>
      <c r="DL107" s="564"/>
      <c r="DM107" s="564"/>
      <c r="DN107" s="564"/>
      <c r="DO107" s="564"/>
      <c r="DP107" s="564" t="s">
        <v>14560</v>
      </c>
      <c r="DQ107" s="564"/>
      <c r="DR107" s="564"/>
      <c r="DS107" s="564"/>
      <c r="DT107" s="564"/>
      <c r="DU107" s="564"/>
      <c r="DV107" s="564"/>
      <c r="DW107" s="564"/>
      <c r="DX107" s="564"/>
      <c r="DY107" s="564"/>
      <c r="DZ107" s="564"/>
      <c r="EA107" s="564"/>
      <c r="EB107" s="564"/>
      <c r="EC107" s="564"/>
      <c r="ED107" s="564"/>
      <c r="EE107" s="564"/>
      <c r="EF107" s="564"/>
      <c r="EG107" s="564"/>
      <c r="EH107" s="564"/>
      <c r="EI107" s="564"/>
      <c r="EJ107" s="564"/>
      <c r="EK107" s="564"/>
      <c r="EL107" s="564"/>
      <c r="EM107" s="564"/>
      <c r="EN107" s="564" t="s">
        <v>13527</v>
      </c>
      <c r="EO107" s="564"/>
      <c r="EP107" s="564"/>
      <c r="EQ107" s="564"/>
      <c r="ER107" s="564"/>
      <c r="ES107" s="564"/>
      <c r="ET107" s="564"/>
      <c r="EU107" s="564"/>
      <c r="EV107" s="564"/>
      <c r="EW107" s="564"/>
      <c r="EX107" s="564"/>
      <c r="EY107" s="564"/>
      <c r="EZ107" s="564"/>
      <c r="FA107" s="564"/>
      <c r="FB107" s="564"/>
      <c r="FC107" s="564"/>
      <c r="FD107" s="564"/>
      <c r="FE107" s="564"/>
      <c r="FF107" s="564"/>
      <c r="FG107" s="564"/>
      <c r="FH107" s="564"/>
      <c r="FI107" s="564"/>
      <c r="FJ107" s="564"/>
      <c r="FK107" s="564"/>
      <c r="FL107" s="564" t="s">
        <v>14561</v>
      </c>
      <c r="FM107" s="564"/>
      <c r="FN107" s="564"/>
      <c r="FO107" s="564"/>
      <c r="FP107" s="564"/>
      <c r="FQ107" s="564"/>
      <c r="FR107" s="564"/>
      <c r="FS107" s="564"/>
      <c r="FT107" s="564"/>
      <c r="FU107" s="564"/>
      <c r="FV107" s="564"/>
      <c r="FW107" s="564"/>
      <c r="FX107" s="564"/>
      <c r="FY107" s="564"/>
      <c r="FZ107" s="564"/>
      <c r="GA107" s="564"/>
      <c r="GB107" s="564"/>
      <c r="GC107" s="564"/>
      <c r="GD107" s="564"/>
      <c r="GE107" s="564"/>
      <c r="GF107" s="564"/>
      <c r="GG107" s="564"/>
      <c r="GH107" s="564"/>
      <c r="GI107" s="564"/>
      <c r="GJ107" s="564" t="s">
        <v>14573</v>
      </c>
    </row>
    <row r="108" spans="1:192" s="194" customFormat="1" x14ac:dyDescent="0.2">
      <c r="A108" s="165">
        <v>10</v>
      </c>
      <c r="B108" s="5" t="str">
        <f t="shared" ca="1" si="49"/>
        <v>Vaccination Card</v>
      </c>
      <c r="C108" s="2">
        <f t="shared" ca="1" si="50"/>
        <v>26</v>
      </c>
      <c r="D108" s="5"/>
      <c r="F108" s="16" t="e">
        <f t="shared" si="51"/>
        <v>#N/A</v>
      </c>
      <c r="G108" s="16" t="e">
        <f t="shared" si="51"/>
        <v>#N/A</v>
      </c>
      <c r="H108" s="16" t="e">
        <f t="shared" si="51"/>
        <v>#N/A</v>
      </c>
      <c r="I108" s="16" t="e">
        <f t="shared" si="51"/>
        <v>#N/A</v>
      </c>
      <c r="J108" s="16" t="e">
        <f t="shared" si="51"/>
        <v>#N/A</v>
      </c>
      <c r="K108" s="16" t="e">
        <f t="shared" si="51"/>
        <v>#N/A</v>
      </c>
      <c r="L108" s="16" t="e">
        <f t="shared" si="52"/>
        <v>#N/A</v>
      </c>
      <c r="M108" s="16"/>
      <c r="O108" s="463"/>
      <c r="P108" s="463"/>
      <c r="Q108" s="37" t="e">
        <f t="shared" ca="1" si="53"/>
        <v>#N/A</v>
      </c>
      <c r="R108" s="37" t="e">
        <f t="shared" ca="1" si="53"/>
        <v>#N/A</v>
      </c>
      <c r="S108" s="37" t="e">
        <f t="shared" ca="1" si="53"/>
        <v>#N/A</v>
      </c>
      <c r="T108" s="37" t="e">
        <f t="shared" ca="1" si="53"/>
        <v>#N/A</v>
      </c>
      <c r="U108" s="37" t="e">
        <f t="shared" ca="1" si="53"/>
        <v>#N/A</v>
      </c>
      <c r="V108" s="37" t="e">
        <f t="shared" ca="1" si="53"/>
        <v>#N/A</v>
      </c>
      <c r="W108" s="79" t="e">
        <f t="shared" ca="1" si="54"/>
        <v>#N/A</v>
      </c>
      <c r="X108" s="2" t="str">
        <f t="shared" ca="1" si="55"/>
        <v>Note: Mapped to R2.1.6.2 Data Management</v>
      </c>
      <c r="Y108" s="2">
        <f>IF('A3. INPUT Unit Costs'!D41=Lang_Yes,1,0)</f>
        <v>0</v>
      </c>
      <c r="Z108" s="564"/>
      <c r="AA108" s="564"/>
      <c r="AB108" s="564"/>
      <c r="AC108" s="564"/>
      <c r="AD108" s="564"/>
      <c r="AE108" s="564"/>
      <c r="AF108" s="564"/>
      <c r="AG108" s="564"/>
      <c r="AH108" s="564"/>
      <c r="AI108" s="564"/>
      <c r="AJ108" s="564"/>
      <c r="AK108" s="564"/>
      <c r="AL108" s="564"/>
      <c r="AM108" s="564"/>
      <c r="AN108" s="564"/>
      <c r="AO108" s="564"/>
      <c r="AP108" s="564"/>
      <c r="AQ108" s="564"/>
      <c r="AR108" s="564"/>
      <c r="AS108" s="564"/>
      <c r="AT108" s="564"/>
      <c r="AU108" s="564"/>
      <c r="AV108" s="564" t="s">
        <v>14562</v>
      </c>
      <c r="AW108" s="564"/>
      <c r="AX108" s="564"/>
      <c r="AY108" s="564"/>
      <c r="AZ108" s="564"/>
      <c r="BA108" s="564"/>
      <c r="BB108" s="564"/>
      <c r="BC108" s="564"/>
      <c r="BD108" s="564"/>
      <c r="BE108" s="564"/>
      <c r="BF108" s="564"/>
      <c r="BG108" s="564"/>
      <c r="BH108" s="564"/>
      <c r="BI108" s="564"/>
      <c r="BJ108" s="564"/>
      <c r="BK108" s="564"/>
      <c r="BL108" s="564"/>
      <c r="BM108" s="564"/>
      <c r="BN108" s="564"/>
      <c r="BO108" s="564"/>
      <c r="BP108" s="564"/>
      <c r="BQ108" s="564"/>
      <c r="BR108" s="564"/>
      <c r="BS108" s="564"/>
      <c r="BT108" s="564" t="s">
        <v>14563</v>
      </c>
      <c r="BU108" s="564"/>
      <c r="BV108" s="564"/>
      <c r="BW108" s="564"/>
      <c r="BX108" s="564"/>
      <c r="BY108" s="564"/>
      <c r="BZ108" s="564"/>
      <c r="CA108" s="564"/>
      <c r="CB108" s="564"/>
      <c r="CC108" s="564"/>
      <c r="CD108" s="564"/>
      <c r="CE108" s="564"/>
      <c r="CF108" s="564"/>
      <c r="CG108" s="564"/>
      <c r="CH108" s="564"/>
      <c r="CI108" s="564"/>
      <c r="CJ108" s="564"/>
      <c r="CK108" s="564"/>
      <c r="CL108" s="564"/>
      <c r="CM108" s="564"/>
      <c r="CN108" s="564"/>
      <c r="CO108" s="564"/>
      <c r="CP108" s="564"/>
      <c r="CQ108" s="564"/>
      <c r="CR108" s="564" t="s">
        <v>14564</v>
      </c>
      <c r="CS108" s="564"/>
      <c r="CT108" s="564"/>
      <c r="CU108" s="564"/>
      <c r="CV108" s="564"/>
      <c r="CW108" s="564"/>
      <c r="CX108" s="564"/>
      <c r="CY108" s="564"/>
      <c r="CZ108" s="564"/>
      <c r="DA108" s="564"/>
      <c r="DB108" s="564"/>
      <c r="DC108" s="564"/>
      <c r="DD108" s="564"/>
      <c r="DE108" s="564"/>
      <c r="DF108" s="564"/>
      <c r="DG108" s="564"/>
      <c r="DH108" s="564"/>
      <c r="DI108" s="564"/>
      <c r="DJ108" s="564"/>
      <c r="DK108" s="564"/>
      <c r="DL108" s="564"/>
      <c r="DM108" s="564"/>
      <c r="DN108" s="564"/>
      <c r="DO108" s="564"/>
      <c r="DP108" s="564" t="s">
        <v>14565</v>
      </c>
      <c r="DQ108" s="564"/>
      <c r="DR108" s="564"/>
      <c r="DS108" s="564"/>
      <c r="DT108" s="564"/>
      <c r="DU108" s="564"/>
      <c r="DV108" s="564"/>
      <c r="DW108" s="564"/>
      <c r="DX108" s="564"/>
      <c r="DY108" s="564"/>
      <c r="DZ108" s="564"/>
      <c r="EA108" s="564"/>
      <c r="EB108" s="564"/>
      <c r="EC108" s="564"/>
      <c r="ED108" s="564"/>
      <c r="EE108" s="564"/>
      <c r="EF108" s="564"/>
      <c r="EG108" s="564"/>
      <c r="EH108" s="564"/>
      <c r="EI108" s="564"/>
      <c r="EJ108" s="564"/>
      <c r="EK108" s="564"/>
      <c r="EL108" s="564"/>
      <c r="EM108" s="564"/>
      <c r="EN108" s="564" t="s">
        <v>13528</v>
      </c>
      <c r="EO108" s="564"/>
      <c r="EP108" s="564"/>
      <c r="EQ108" s="564"/>
      <c r="ER108" s="564"/>
      <c r="ES108" s="564"/>
      <c r="ET108" s="564"/>
      <c r="EU108" s="564"/>
      <c r="EV108" s="564"/>
      <c r="EW108" s="564"/>
      <c r="EX108" s="564"/>
      <c r="EY108" s="564"/>
      <c r="EZ108" s="564"/>
      <c r="FA108" s="564"/>
      <c r="FB108" s="564"/>
      <c r="FC108" s="564"/>
      <c r="FD108" s="564"/>
      <c r="FE108" s="564"/>
      <c r="FF108" s="564"/>
      <c r="FG108" s="564"/>
      <c r="FH108" s="564"/>
      <c r="FI108" s="564"/>
      <c r="FJ108" s="564"/>
      <c r="FK108" s="564"/>
      <c r="FL108" s="564" t="s">
        <v>14566</v>
      </c>
      <c r="FM108" s="564"/>
      <c r="FN108" s="564"/>
      <c r="FO108" s="564"/>
      <c r="FP108" s="564"/>
      <c r="FQ108" s="564"/>
      <c r="FR108" s="564"/>
      <c r="FS108" s="564"/>
      <c r="FT108" s="564"/>
      <c r="FU108" s="564"/>
      <c r="FV108" s="564"/>
      <c r="FW108" s="564"/>
      <c r="FX108" s="564"/>
      <c r="FY108" s="564"/>
      <c r="FZ108" s="564"/>
      <c r="GA108" s="564"/>
      <c r="GB108" s="564"/>
      <c r="GC108" s="564"/>
      <c r="GD108" s="564"/>
      <c r="GE108" s="564"/>
      <c r="GF108" s="564"/>
      <c r="GG108" s="564"/>
      <c r="GH108" s="564"/>
      <c r="GI108" s="564"/>
      <c r="GJ108" s="564" t="s">
        <v>14574</v>
      </c>
    </row>
    <row r="109" spans="1:192" s="194" customFormat="1" x14ac:dyDescent="0.2">
      <c r="A109" s="165">
        <v>11</v>
      </c>
      <c r="B109" s="5" t="str">
        <f t="shared" ca="1" si="49"/>
        <v>Electronic Records</v>
      </c>
      <c r="C109" s="2">
        <f t="shared" ca="1" si="50"/>
        <v>27</v>
      </c>
      <c r="D109" s="5"/>
      <c r="F109" s="114" t="e">
        <f t="shared" si="51"/>
        <v>#N/A</v>
      </c>
      <c r="G109" s="114" t="e">
        <f t="shared" si="51"/>
        <v>#N/A</v>
      </c>
      <c r="H109" s="16" t="e">
        <f t="shared" si="51"/>
        <v>#N/A</v>
      </c>
      <c r="I109" s="16" t="e">
        <f t="shared" si="51"/>
        <v>#N/A</v>
      </c>
      <c r="J109" s="16" t="e">
        <f t="shared" si="51"/>
        <v>#N/A</v>
      </c>
      <c r="K109" s="16" t="e">
        <f t="shared" si="51"/>
        <v>#N/A</v>
      </c>
      <c r="L109" s="16" t="e">
        <f t="shared" si="52"/>
        <v>#N/A</v>
      </c>
      <c r="M109" s="16"/>
      <c r="O109" s="463"/>
      <c r="P109" s="463"/>
      <c r="Q109" s="37" t="e">
        <f t="shared" si="53"/>
        <v>#N/A</v>
      </c>
      <c r="R109" s="37" t="e">
        <f t="shared" si="53"/>
        <v>#N/A</v>
      </c>
      <c r="S109" s="37" t="e">
        <f t="shared" si="53"/>
        <v>#N/A</v>
      </c>
      <c r="T109" s="37" t="e">
        <f t="shared" si="53"/>
        <v>#N/A</v>
      </c>
      <c r="U109" s="37" t="e">
        <f t="shared" si="53"/>
        <v>#N/A</v>
      </c>
      <c r="V109" s="37" t="e">
        <f t="shared" si="53"/>
        <v>#N/A</v>
      </c>
      <c r="W109" s="79" t="e">
        <f t="shared" si="54"/>
        <v>#N/A</v>
      </c>
      <c r="X109" s="2" t="str">
        <f t="shared" ca="1" si="55"/>
        <v>Note: Mapped to R2.1.6.2 Data Management</v>
      </c>
      <c r="Y109" s="2"/>
      <c r="Z109" s="564"/>
      <c r="AA109" s="564"/>
      <c r="AB109" s="564"/>
      <c r="AC109" s="564"/>
      <c r="AD109" s="564"/>
      <c r="AE109" s="564"/>
      <c r="AF109" s="564"/>
      <c r="AG109" s="564"/>
      <c r="AH109" s="564"/>
      <c r="AI109" s="564"/>
      <c r="AJ109" s="564"/>
      <c r="AK109" s="564"/>
      <c r="AL109" s="564"/>
      <c r="AM109" s="564"/>
      <c r="AN109" s="564"/>
      <c r="AO109" s="564"/>
      <c r="AP109" s="564"/>
      <c r="AQ109" s="564"/>
      <c r="AR109" s="564"/>
      <c r="AS109" s="564"/>
      <c r="AT109" s="564"/>
      <c r="AU109" s="564"/>
      <c r="AV109" s="564" t="s">
        <v>14562</v>
      </c>
      <c r="AW109" s="564"/>
      <c r="AX109" s="564"/>
      <c r="AY109" s="564"/>
      <c r="AZ109" s="564"/>
      <c r="BA109" s="564"/>
      <c r="BB109" s="564"/>
      <c r="BC109" s="564"/>
      <c r="BD109" s="564"/>
      <c r="BE109" s="564"/>
      <c r="BF109" s="564"/>
      <c r="BG109" s="564"/>
      <c r="BH109" s="564"/>
      <c r="BI109" s="564"/>
      <c r="BJ109" s="564"/>
      <c r="BK109" s="564"/>
      <c r="BL109" s="564"/>
      <c r="BM109" s="564"/>
      <c r="BN109" s="564"/>
      <c r="BO109" s="564"/>
      <c r="BP109" s="564"/>
      <c r="BQ109" s="564"/>
      <c r="BR109" s="564"/>
      <c r="BS109" s="564"/>
      <c r="BT109" s="564" t="s">
        <v>14563</v>
      </c>
      <c r="BU109" s="564"/>
      <c r="BV109" s="564"/>
      <c r="BW109" s="564"/>
      <c r="BX109" s="564"/>
      <c r="BY109" s="564"/>
      <c r="BZ109" s="564"/>
      <c r="CA109" s="564"/>
      <c r="CB109" s="564"/>
      <c r="CC109" s="564"/>
      <c r="CD109" s="564"/>
      <c r="CE109" s="564"/>
      <c r="CF109" s="564"/>
      <c r="CG109" s="564"/>
      <c r="CH109" s="564"/>
      <c r="CI109" s="564"/>
      <c r="CJ109" s="564"/>
      <c r="CK109" s="564"/>
      <c r="CL109" s="564"/>
      <c r="CM109" s="564"/>
      <c r="CN109" s="564"/>
      <c r="CO109" s="564"/>
      <c r="CP109" s="564"/>
      <c r="CQ109" s="564"/>
      <c r="CR109" s="564" t="s">
        <v>14564</v>
      </c>
      <c r="CS109" s="564"/>
      <c r="CT109" s="564"/>
      <c r="CU109" s="564"/>
      <c r="CV109" s="564"/>
      <c r="CW109" s="564"/>
      <c r="CX109" s="564"/>
      <c r="CY109" s="564"/>
      <c r="CZ109" s="564"/>
      <c r="DA109" s="564"/>
      <c r="DB109" s="564"/>
      <c r="DC109" s="564"/>
      <c r="DD109" s="564"/>
      <c r="DE109" s="564"/>
      <c r="DF109" s="564"/>
      <c r="DG109" s="564"/>
      <c r="DH109" s="564"/>
      <c r="DI109" s="564"/>
      <c r="DJ109" s="564"/>
      <c r="DK109" s="564"/>
      <c r="DL109" s="564"/>
      <c r="DM109" s="564"/>
      <c r="DN109" s="564"/>
      <c r="DO109" s="564"/>
      <c r="DP109" s="564" t="s">
        <v>14565</v>
      </c>
      <c r="DQ109" s="564"/>
      <c r="DR109" s="564"/>
      <c r="DS109" s="564"/>
      <c r="DT109" s="564"/>
      <c r="DU109" s="564"/>
      <c r="DV109" s="564"/>
      <c r="DW109" s="564"/>
      <c r="DX109" s="564"/>
      <c r="DY109" s="564"/>
      <c r="DZ109" s="564"/>
      <c r="EA109" s="564"/>
      <c r="EB109" s="564"/>
      <c r="EC109" s="564"/>
      <c r="ED109" s="564"/>
      <c r="EE109" s="564"/>
      <c r="EF109" s="564"/>
      <c r="EG109" s="564"/>
      <c r="EH109" s="564"/>
      <c r="EI109" s="564"/>
      <c r="EJ109" s="564"/>
      <c r="EK109" s="564"/>
      <c r="EL109" s="564"/>
      <c r="EM109" s="564"/>
      <c r="EN109" s="564" t="s">
        <v>13528</v>
      </c>
      <c r="EO109" s="564"/>
      <c r="EP109" s="564"/>
      <c r="EQ109" s="564"/>
      <c r="ER109" s="564"/>
      <c r="ES109" s="564"/>
      <c r="ET109" s="564"/>
      <c r="EU109" s="564"/>
      <c r="EV109" s="564"/>
      <c r="EW109" s="564"/>
      <c r="EX109" s="564"/>
      <c r="EY109" s="564"/>
      <c r="EZ109" s="564"/>
      <c r="FA109" s="564"/>
      <c r="FB109" s="564"/>
      <c r="FC109" s="564"/>
      <c r="FD109" s="564"/>
      <c r="FE109" s="564"/>
      <c r="FF109" s="564"/>
      <c r="FG109" s="564"/>
      <c r="FH109" s="564"/>
      <c r="FI109" s="564"/>
      <c r="FJ109" s="564"/>
      <c r="FK109" s="564"/>
      <c r="FL109" s="564" t="s">
        <v>14566</v>
      </c>
      <c r="FM109" s="564"/>
      <c r="FN109" s="564"/>
      <c r="FO109" s="564"/>
      <c r="FP109" s="564"/>
      <c r="FQ109" s="564"/>
      <c r="FR109" s="564"/>
      <c r="FS109" s="564"/>
      <c r="FT109" s="564"/>
      <c r="FU109" s="564"/>
      <c r="FV109" s="564"/>
      <c r="FW109" s="564"/>
      <c r="FX109" s="564"/>
      <c r="FY109" s="564"/>
      <c r="FZ109" s="564"/>
      <c r="GA109" s="564"/>
      <c r="GB109" s="564"/>
      <c r="GC109" s="564"/>
      <c r="GD109" s="564"/>
      <c r="GE109" s="564"/>
      <c r="GF109" s="564"/>
      <c r="GG109" s="564"/>
      <c r="GH109" s="564"/>
      <c r="GI109" s="564"/>
      <c r="GJ109" s="564" t="s">
        <v>14574</v>
      </c>
    </row>
    <row r="110" spans="1:192" s="194" customFormat="1" x14ac:dyDescent="0.2">
      <c r="A110" s="165">
        <v>12</v>
      </c>
      <c r="B110" s="5" t="str">
        <f t="shared" ca="1" si="49"/>
        <v>No fault compensation fund</v>
      </c>
      <c r="C110" s="2">
        <f t="shared" ca="1" si="50"/>
        <v>28</v>
      </c>
      <c r="D110" s="5"/>
      <c r="F110" s="16" t="e">
        <f t="shared" si="51"/>
        <v>#N/A</v>
      </c>
      <c r="G110" s="16" t="e">
        <f t="shared" si="51"/>
        <v>#N/A</v>
      </c>
      <c r="H110" s="16" t="e">
        <f t="shared" si="51"/>
        <v>#N/A</v>
      </c>
      <c r="I110" s="16" t="e">
        <f t="shared" si="51"/>
        <v>#N/A</v>
      </c>
      <c r="J110" s="16" t="e">
        <f t="shared" si="51"/>
        <v>#N/A</v>
      </c>
      <c r="K110" s="16" t="e">
        <f t="shared" si="51"/>
        <v>#N/A</v>
      </c>
      <c r="L110" s="16" t="e">
        <f t="shared" si="52"/>
        <v>#N/A</v>
      </c>
      <c r="M110" s="16"/>
      <c r="O110" s="463"/>
      <c r="P110" s="463"/>
      <c r="Q110" s="37" t="e">
        <f t="shared" si="53"/>
        <v>#N/A</v>
      </c>
      <c r="R110" s="37" t="e">
        <f t="shared" si="53"/>
        <v>#N/A</v>
      </c>
      <c r="S110" s="37" t="e">
        <f t="shared" si="53"/>
        <v>#N/A</v>
      </c>
      <c r="T110" s="37" t="e">
        <f t="shared" si="53"/>
        <v>#N/A</v>
      </c>
      <c r="U110" s="37" t="e">
        <f t="shared" si="53"/>
        <v>#N/A</v>
      </c>
      <c r="V110" s="37" t="e">
        <f t="shared" si="53"/>
        <v>#N/A</v>
      </c>
      <c r="W110" s="79" t="e">
        <f t="shared" si="54"/>
        <v>#N/A</v>
      </c>
      <c r="X110" s="2" t="str">
        <f t="shared" ca="1" si="55"/>
        <v>Note: Mapped to R2.1.7.3 No Fault Compensation</v>
      </c>
      <c r="Y110" s="2"/>
      <c r="Z110" s="564"/>
      <c r="AA110" s="564"/>
      <c r="AB110" s="564"/>
      <c r="AC110" s="564"/>
      <c r="AD110" s="564"/>
      <c r="AE110" s="564"/>
      <c r="AF110" s="564"/>
      <c r="AG110" s="564"/>
      <c r="AH110" s="564"/>
      <c r="AI110" s="564"/>
      <c r="AJ110" s="564"/>
      <c r="AK110" s="564"/>
      <c r="AL110" s="564"/>
      <c r="AM110" s="564"/>
      <c r="AN110" s="564"/>
      <c r="AO110" s="564"/>
      <c r="AP110" s="564"/>
      <c r="AQ110" s="564"/>
      <c r="AR110" s="564"/>
      <c r="AS110" s="564"/>
      <c r="AT110" s="564"/>
      <c r="AU110" s="564"/>
      <c r="AV110" s="564" t="s">
        <v>14567</v>
      </c>
      <c r="AW110" s="564"/>
      <c r="AX110" s="564"/>
      <c r="AY110" s="564"/>
      <c r="AZ110" s="564"/>
      <c r="BA110" s="564"/>
      <c r="BB110" s="564"/>
      <c r="BC110" s="564"/>
      <c r="BD110" s="564"/>
      <c r="BE110" s="564"/>
      <c r="BF110" s="564"/>
      <c r="BG110" s="564"/>
      <c r="BH110" s="564"/>
      <c r="BI110" s="564"/>
      <c r="BJ110" s="564"/>
      <c r="BK110" s="564"/>
      <c r="BL110" s="564"/>
      <c r="BM110" s="564"/>
      <c r="BN110" s="564"/>
      <c r="BO110" s="564"/>
      <c r="BP110" s="564"/>
      <c r="BQ110" s="564"/>
      <c r="BR110" s="564"/>
      <c r="BS110" s="564"/>
      <c r="BT110" s="564" t="s">
        <v>14568</v>
      </c>
      <c r="BU110" s="564"/>
      <c r="BV110" s="564"/>
      <c r="BW110" s="564"/>
      <c r="BX110" s="564"/>
      <c r="BY110" s="564"/>
      <c r="BZ110" s="564"/>
      <c r="CA110" s="564"/>
      <c r="CB110" s="564"/>
      <c r="CC110" s="564"/>
      <c r="CD110" s="564"/>
      <c r="CE110" s="564"/>
      <c r="CF110" s="564"/>
      <c r="CG110" s="564"/>
      <c r="CH110" s="564"/>
      <c r="CI110" s="564"/>
      <c r="CJ110" s="564"/>
      <c r="CK110" s="564"/>
      <c r="CL110" s="564"/>
      <c r="CM110" s="564"/>
      <c r="CN110" s="564"/>
      <c r="CO110" s="564"/>
      <c r="CP110" s="564"/>
      <c r="CQ110" s="564"/>
      <c r="CR110" s="564" t="s">
        <v>14569</v>
      </c>
      <c r="CS110" s="564"/>
      <c r="CT110" s="564"/>
      <c r="CU110" s="564"/>
      <c r="CV110" s="564"/>
      <c r="CW110" s="564"/>
      <c r="CX110" s="564"/>
      <c r="CY110" s="564"/>
      <c r="CZ110" s="564"/>
      <c r="DA110" s="564"/>
      <c r="DB110" s="564"/>
      <c r="DC110" s="564"/>
      <c r="DD110" s="564"/>
      <c r="DE110" s="564"/>
      <c r="DF110" s="564"/>
      <c r="DG110" s="564"/>
      <c r="DH110" s="564"/>
      <c r="DI110" s="564"/>
      <c r="DJ110" s="564"/>
      <c r="DK110" s="564"/>
      <c r="DL110" s="564"/>
      <c r="DM110" s="564"/>
      <c r="DN110" s="564"/>
      <c r="DO110" s="564"/>
      <c r="DP110" s="564" t="s">
        <v>14570</v>
      </c>
      <c r="DQ110" s="564"/>
      <c r="DR110" s="564"/>
      <c r="DS110" s="564"/>
      <c r="DT110" s="564"/>
      <c r="DU110" s="564"/>
      <c r="DV110" s="564"/>
      <c r="DW110" s="564"/>
      <c r="DX110" s="564"/>
      <c r="DY110" s="564"/>
      <c r="DZ110" s="564"/>
      <c r="EA110" s="564"/>
      <c r="EB110" s="564"/>
      <c r="EC110" s="564"/>
      <c r="ED110" s="564"/>
      <c r="EE110" s="564"/>
      <c r="EF110" s="564"/>
      <c r="EG110" s="564"/>
      <c r="EH110" s="564"/>
      <c r="EI110" s="564"/>
      <c r="EJ110" s="564"/>
      <c r="EK110" s="564"/>
      <c r="EL110" s="564"/>
      <c r="EM110" s="564"/>
      <c r="EN110" s="564" t="s">
        <v>13529</v>
      </c>
      <c r="EO110" s="564"/>
      <c r="EP110" s="564"/>
      <c r="EQ110" s="564"/>
      <c r="ER110" s="564"/>
      <c r="ES110" s="564"/>
      <c r="ET110" s="564"/>
      <c r="EU110" s="564"/>
      <c r="EV110" s="564"/>
      <c r="EW110" s="564"/>
      <c r="EX110" s="564"/>
      <c r="EY110" s="564"/>
      <c r="EZ110" s="564"/>
      <c r="FA110" s="564"/>
      <c r="FB110" s="564"/>
      <c r="FC110" s="564"/>
      <c r="FD110" s="564"/>
      <c r="FE110" s="564"/>
      <c r="FF110" s="564"/>
      <c r="FG110" s="564"/>
      <c r="FH110" s="564"/>
      <c r="FI110" s="564"/>
      <c r="FJ110" s="564"/>
      <c r="FK110" s="564"/>
      <c r="FL110" s="564" t="s">
        <v>14571</v>
      </c>
      <c r="FM110" s="564"/>
      <c r="FN110" s="564"/>
      <c r="FO110" s="564"/>
      <c r="FP110" s="564"/>
      <c r="FQ110" s="564"/>
      <c r="FR110" s="564"/>
      <c r="FS110" s="564"/>
      <c r="FT110" s="564"/>
      <c r="FU110" s="564"/>
      <c r="FV110" s="564"/>
      <c r="FW110" s="564"/>
      <c r="FX110" s="564"/>
      <c r="FY110" s="564"/>
      <c r="FZ110" s="564"/>
      <c r="GA110" s="564"/>
      <c r="GB110" s="564"/>
      <c r="GC110" s="564"/>
      <c r="GD110" s="564"/>
      <c r="GE110" s="564"/>
      <c r="GF110" s="564"/>
      <c r="GG110" s="564"/>
      <c r="GH110" s="564"/>
      <c r="GI110" s="564"/>
      <c r="GJ110" s="564" t="s">
        <v>14575</v>
      </c>
    </row>
    <row r="111" spans="1:192" s="281" customFormat="1" x14ac:dyDescent="0.2">
      <c r="A111" s="165"/>
      <c r="B111" s="5"/>
      <c r="C111" s="2"/>
      <c r="D111" s="5"/>
      <c r="F111" s="16"/>
      <c r="G111" s="16"/>
      <c r="H111" s="16"/>
      <c r="I111" s="16"/>
      <c r="J111" s="16"/>
      <c r="K111" s="16"/>
      <c r="L111" s="16"/>
      <c r="M111" s="16"/>
      <c r="O111" s="463"/>
      <c r="P111" s="463"/>
      <c r="Q111" s="37"/>
      <c r="R111" s="37"/>
      <c r="S111" s="37"/>
      <c r="T111" s="37"/>
      <c r="U111" s="37"/>
      <c r="V111" s="37"/>
      <c r="W111" s="79"/>
      <c r="X111" s="2" t="str">
        <f t="shared" ca="1" si="55"/>
        <v>Please see Sheet A3.5 to change these</v>
      </c>
      <c r="Y111" s="2"/>
      <c r="Z111" s="564"/>
      <c r="AA111" s="564"/>
      <c r="AB111" s="564"/>
      <c r="AC111" s="564"/>
      <c r="AD111" s="564"/>
      <c r="AE111" s="564"/>
      <c r="AF111" s="564"/>
      <c r="AG111" s="564"/>
      <c r="AH111" s="564"/>
      <c r="AI111" s="564"/>
      <c r="AJ111" s="564"/>
      <c r="AK111" s="564"/>
      <c r="AL111" s="564"/>
      <c r="AM111" s="564"/>
      <c r="AN111" s="564"/>
      <c r="AO111" s="564"/>
      <c r="AP111" s="564"/>
      <c r="AQ111" s="564"/>
      <c r="AR111" s="564"/>
      <c r="AS111" s="564"/>
      <c r="AT111" s="564"/>
      <c r="AU111" s="564"/>
      <c r="AV111" s="564" t="s">
        <v>3819</v>
      </c>
      <c r="AW111" s="564"/>
      <c r="AX111" s="564"/>
      <c r="AY111" s="564"/>
      <c r="AZ111" s="564"/>
      <c r="BA111" s="564"/>
      <c r="BB111" s="564"/>
      <c r="BC111" s="564"/>
      <c r="BD111" s="564"/>
      <c r="BE111" s="564"/>
      <c r="BF111" s="564"/>
      <c r="BG111" s="564"/>
      <c r="BH111" s="564"/>
      <c r="BI111" s="564"/>
      <c r="BJ111" s="564"/>
      <c r="BK111" s="564"/>
      <c r="BL111" s="564"/>
      <c r="BM111" s="564"/>
      <c r="BN111" s="564"/>
      <c r="BO111" s="564"/>
      <c r="BP111" s="564"/>
      <c r="BQ111" s="564"/>
      <c r="BR111" s="564"/>
      <c r="BS111" s="564"/>
      <c r="BT111" s="564" t="s">
        <v>10101</v>
      </c>
      <c r="BU111" s="564"/>
      <c r="BV111" s="564"/>
      <c r="BW111" s="564"/>
      <c r="BX111" s="564"/>
      <c r="BY111" s="564"/>
      <c r="BZ111" s="564"/>
      <c r="CA111" s="564"/>
      <c r="CB111" s="564"/>
      <c r="CC111" s="564"/>
      <c r="CD111" s="564"/>
      <c r="CE111" s="564"/>
      <c r="CF111" s="564"/>
      <c r="CG111" s="564"/>
      <c r="CH111" s="564"/>
      <c r="CI111" s="564"/>
      <c r="CJ111" s="564"/>
      <c r="CK111" s="564"/>
      <c r="CL111" s="564"/>
      <c r="CM111" s="564"/>
      <c r="CN111" s="564"/>
      <c r="CO111" s="564"/>
      <c r="CP111" s="564"/>
      <c r="CQ111" s="564"/>
      <c r="CR111" s="564" t="s">
        <v>10102</v>
      </c>
      <c r="CS111" s="564"/>
      <c r="CT111" s="564"/>
      <c r="CU111" s="564"/>
      <c r="CV111" s="564"/>
      <c r="CW111" s="564"/>
      <c r="CX111" s="564"/>
      <c r="CY111" s="564"/>
      <c r="CZ111" s="564"/>
      <c r="DA111" s="564"/>
      <c r="DB111" s="564"/>
      <c r="DC111" s="564"/>
      <c r="DD111" s="564"/>
      <c r="DE111" s="564"/>
      <c r="DF111" s="564"/>
      <c r="DG111" s="564"/>
      <c r="DH111" s="564"/>
      <c r="DI111" s="564"/>
      <c r="DJ111" s="564"/>
      <c r="DK111" s="564"/>
      <c r="DL111" s="564"/>
      <c r="DM111" s="564"/>
      <c r="DN111" s="564"/>
      <c r="DO111" s="564"/>
      <c r="DP111" s="564" t="s">
        <v>10103</v>
      </c>
      <c r="DQ111" s="564"/>
      <c r="DR111" s="564"/>
      <c r="DS111" s="564"/>
      <c r="DT111" s="564"/>
      <c r="DU111" s="564"/>
      <c r="DV111" s="564"/>
      <c r="DW111" s="564"/>
      <c r="DX111" s="564"/>
      <c r="DY111" s="564"/>
      <c r="DZ111" s="564"/>
      <c r="EA111" s="564"/>
      <c r="EB111" s="564"/>
      <c r="EC111" s="564"/>
      <c r="ED111" s="564"/>
      <c r="EE111" s="564"/>
      <c r="EF111" s="564"/>
      <c r="EG111" s="564"/>
      <c r="EH111" s="564"/>
      <c r="EI111" s="564"/>
      <c r="EJ111" s="564"/>
      <c r="EK111" s="564"/>
      <c r="EL111" s="564"/>
      <c r="EM111" s="564"/>
      <c r="EN111" s="564" t="s">
        <v>10104</v>
      </c>
      <c r="EO111" s="564"/>
      <c r="EP111" s="564"/>
      <c r="EQ111" s="564"/>
      <c r="ER111" s="564"/>
      <c r="ES111" s="564"/>
      <c r="ET111" s="564"/>
      <c r="EU111" s="564"/>
      <c r="EV111" s="564"/>
      <c r="EW111" s="564"/>
      <c r="EX111" s="564"/>
      <c r="EY111" s="564"/>
      <c r="EZ111" s="564"/>
      <c r="FA111" s="564"/>
      <c r="FB111" s="564"/>
      <c r="FC111" s="564"/>
      <c r="FD111" s="564"/>
      <c r="FE111" s="564"/>
      <c r="FF111" s="564"/>
      <c r="FG111" s="564"/>
      <c r="FH111" s="564"/>
      <c r="FI111" s="564"/>
      <c r="FJ111" s="564"/>
      <c r="FK111" s="564"/>
      <c r="FL111" s="564" t="s">
        <v>10105</v>
      </c>
      <c r="FM111" s="564"/>
      <c r="FN111" s="564"/>
      <c r="FO111" s="564"/>
      <c r="FP111" s="564"/>
      <c r="FQ111" s="564"/>
      <c r="FR111" s="564"/>
      <c r="FS111" s="564"/>
      <c r="FT111" s="564"/>
      <c r="FU111" s="564"/>
      <c r="FV111" s="564"/>
      <c r="FW111" s="564"/>
      <c r="FX111" s="564"/>
      <c r="FY111" s="564"/>
      <c r="FZ111" s="564"/>
      <c r="GA111" s="564"/>
      <c r="GB111" s="564"/>
      <c r="GC111" s="564"/>
      <c r="GD111" s="564"/>
      <c r="GE111" s="564"/>
      <c r="GF111" s="564"/>
      <c r="GG111" s="564"/>
      <c r="GH111" s="564"/>
      <c r="GI111" s="564"/>
      <c r="GJ111" s="564" t="s">
        <v>10106</v>
      </c>
    </row>
    <row r="112" spans="1:192" s="281" customFormat="1" x14ac:dyDescent="0.2">
      <c r="A112" s="165"/>
      <c r="B112" s="5" t="str">
        <f ca="1">OFFSET(_Offset_Index_VaccineSupplyPrices,1,C112)</f>
        <v>Large, long range, cold box (20L)</v>
      </c>
      <c r="C112" s="2">
        <v>27</v>
      </c>
      <c r="D112" s="5"/>
      <c r="F112" s="16" t="e">
        <f>'B5. Last Mile Delivery'!Q62</f>
        <v>#N/A</v>
      </c>
      <c r="G112" s="16"/>
      <c r="H112" s="16"/>
      <c r="I112" s="16"/>
      <c r="J112" s="16"/>
      <c r="K112" s="16"/>
      <c r="L112" s="16"/>
      <c r="M112" s="16"/>
      <c r="O112" s="463"/>
      <c r="P112" s="463"/>
      <c r="Q112" s="37" t="e">
        <f ca="1">UnitPrice_ColdBox*F112</f>
        <v>#N/A</v>
      </c>
      <c r="R112" s="16"/>
      <c r="S112" s="16"/>
      <c r="T112" s="16"/>
      <c r="U112" s="16"/>
      <c r="V112" s="16"/>
      <c r="W112" s="16"/>
      <c r="X112" s="2" t="str">
        <f t="shared" ca="1" si="55"/>
        <v>Note: Mapped to R2.1.5 Supply Chain including Cold Chain</v>
      </c>
      <c r="Y112" s="2">
        <f>IF('A3. INPUT Unit Costs'!D106=Lang_Yes,1,0)</f>
        <v>0</v>
      </c>
      <c r="Z112" s="564"/>
      <c r="AA112" s="564"/>
      <c r="AB112" s="564"/>
      <c r="AC112" s="564"/>
      <c r="AD112" s="564"/>
      <c r="AE112" s="564"/>
      <c r="AF112" s="564"/>
      <c r="AG112" s="564"/>
      <c r="AH112" s="564"/>
      <c r="AI112" s="564"/>
      <c r="AJ112" s="564"/>
      <c r="AK112" s="564"/>
      <c r="AL112" s="564"/>
      <c r="AM112" s="564"/>
      <c r="AN112" s="564"/>
      <c r="AO112" s="564"/>
      <c r="AP112" s="564"/>
      <c r="AQ112" s="564"/>
      <c r="AR112" s="564"/>
      <c r="AS112" s="564"/>
      <c r="AT112" s="564"/>
      <c r="AU112" s="564"/>
      <c r="AV112" s="564" t="s">
        <v>14604</v>
      </c>
      <c r="AW112" s="564"/>
      <c r="AX112" s="564"/>
      <c r="AY112" s="564"/>
      <c r="AZ112" s="564"/>
      <c r="BA112" s="564"/>
      <c r="BB112" s="564"/>
      <c r="BC112" s="564"/>
      <c r="BD112" s="564"/>
      <c r="BE112" s="564"/>
      <c r="BF112" s="564"/>
      <c r="BG112" s="564"/>
      <c r="BH112" s="564"/>
      <c r="BI112" s="564"/>
      <c r="BJ112" s="564"/>
      <c r="BK112" s="564"/>
      <c r="BL112" s="564"/>
      <c r="BM112" s="564"/>
      <c r="BN112" s="564"/>
      <c r="BO112" s="564"/>
      <c r="BP112" s="564"/>
      <c r="BQ112" s="564"/>
      <c r="BR112" s="564"/>
      <c r="BS112" s="564"/>
      <c r="BT112" s="564" t="s">
        <v>14605</v>
      </c>
      <c r="BU112" s="564"/>
      <c r="BV112" s="564"/>
      <c r="BW112" s="564"/>
      <c r="BX112" s="564"/>
      <c r="BY112" s="564"/>
      <c r="BZ112" s="564"/>
      <c r="CA112" s="564"/>
      <c r="CB112" s="564"/>
      <c r="CC112" s="564"/>
      <c r="CD112" s="564"/>
      <c r="CE112" s="564"/>
      <c r="CF112" s="564"/>
      <c r="CG112" s="564"/>
      <c r="CH112" s="564"/>
      <c r="CI112" s="564"/>
      <c r="CJ112" s="564"/>
      <c r="CK112" s="564"/>
      <c r="CL112" s="564"/>
      <c r="CM112" s="564"/>
      <c r="CN112" s="564"/>
      <c r="CO112" s="564"/>
      <c r="CP112" s="564"/>
      <c r="CQ112" s="564"/>
      <c r="CR112" s="564" t="s">
        <v>14606</v>
      </c>
      <c r="CS112" s="564"/>
      <c r="CT112" s="564"/>
      <c r="CU112" s="564"/>
      <c r="CV112" s="564"/>
      <c r="CW112" s="564"/>
      <c r="CX112" s="564"/>
      <c r="CY112" s="564"/>
      <c r="CZ112" s="564"/>
      <c r="DA112" s="564"/>
      <c r="DB112" s="564"/>
      <c r="DC112" s="564"/>
      <c r="DD112" s="564"/>
      <c r="DE112" s="564"/>
      <c r="DF112" s="564"/>
      <c r="DG112" s="564"/>
      <c r="DH112" s="564"/>
      <c r="DI112" s="564"/>
      <c r="DJ112" s="564"/>
      <c r="DK112" s="564"/>
      <c r="DL112" s="564"/>
      <c r="DM112" s="564"/>
      <c r="DN112" s="564"/>
      <c r="DO112" s="564"/>
      <c r="DP112" s="564" t="s">
        <v>14607</v>
      </c>
      <c r="DQ112" s="564"/>
      <c r="DR112" s="564"/>
      <c r="DS112" s="564"/>
      <c r="DT112" s="564"/>
      <c r="DU112" s="564"/>
      <c r="DV112" s="564"/>
      <c r="DW112" s="564"/>
      <c r="DX112" s="564"/>
      <c r="DY112" s="564"/>
      <c r="DZ112" s="564"/>
      <c r="EA112" s="564"/>
      <c r="EB112" s="564"/>
      <c r="EC112" s="564"/>
      <c r="ED112" s="564"/>
      <c r="EE112" s="564"/>
      <c r="EF112" s="564"/>
      <c r="EG112" s="564"/>
      <c r="EH112" s="564"/>
      <c r="EI112" s="564"/>
      <c r="EJ112" s="564"/>
      <c r="EK112" s="564"/>
      <c r="EL112" s="564"/>
      <c r="EM112" s="564"/>
      <c r="EN112" s="564" t="s">
        <v>13530</v>
      </c>
      <c r="EO112" s="564"/>
      <c r="EP112" s="564"/>
      <c r="EQ112" s="564"/>
      <c r="ER112" s="564"/>
      <c r="ES112" s="564"/>
      <c r="ET112" s="564"/>
      <c r="EU112" s="564"/>
      <c r="EV112" s="564"/>
      <c r="EW112" s="564"/>
      <c r="EX112" s="564"/>
      <c r="EY112" s="564"/>
      <c r="EZ112" s="564"/>
      <c r="FA112" s="564"/>
      <c r="FB112" s="564"/>
      <c r="FC112" s="564"/>
      <c r="FD112" s="564"/>
      <c r="FE112" s="564"/>
      <c r="FF112" s="564"/>
      <c r="FG112" s="564"/>
      <c r="FH112" s="564"/>
      <c r="FI112" s="564"/>
      <c r="FJ112" s="564"/>
      <c r="FK112" s="564"/>
      <c r="FL112" s="564" t="s">
        <v>14608</v>
      </c>
      <c r="FM112" s="564"/>
      <c r="FN112" s="564"/>
      <c r="FO112" s="564"/>
      <c r="FP112" s="564"/>
      <c r="FQ112" s="564"/>
      <c r="FR112" s="564"/>
      <c r="FS112" s="564"/>
      <c r="FT112" s="564"/>
      <c r="FU112" s="564"/>
      <c r="FV112" s="564"/>
      <c r="FW112" s="564"/>
      <c r="FX112" s="564"/>
      <c r="FY112" s="564"/>
      <c r="FZ112" s="564"/>
      <c r="GA112" s="564"/>
      <c r="GB112" s="564"/>
      <c r="GC112" s="564"/>
      <c r="GD112" s="564"/>
      <c r="GE112" s="564"/>
      <c r="GF112" s="564"/>
      <c r="GG112" s="564"/>
      <c r="GH112" s="564"/>
      <c r="GI112" s="564"/>
      <c r="GJ112" s="564" t="s">
        <v>14609</v>
      </c>
    </row>
    <row r="113" spans="1:192" s="281" customFormat="1" x14ac:dyDescent="0.2">
      <c r="A113" s="165"/>
      <c r="B113" s="5" t="str">
        <f ca="1">OFFSET(_Offset_Index_VaccineSupplyPrices,1,C113)</f>
        <v>Vaccine carrier (1.5L)</v>
      </c>
      <c r="C113" s="2">
        <v>28</v>
      </c>
      <c r="D113" s="5"/>
      <c r="F113" s="16" t="e">
        <f>'B5. Last Mile Delivery'!Q63</f>
        <v>#N/A</v>
      </c>
      <c r="G113" s="16"/>
      <c r="H113" s="16"/>
      <c r="I113" s="16"/>
      <c r="J113" s="16"/>
      <c r="K113" s="16"/>
      <c r="L113" s="16"/>
      <c r="M113" s="16"/>
      <c r="O113" s="463"/>
      <c r="P113" s="463"/>
      <c r="Q113" s="37" t="e">
        <f ca="1">UnitPrice_VaccineCarrier*F113</f>
        <v>#N/A</v>
      </c>
      <c r="R113" s="16"/>
      <c r="S113" s="16"/>
      <c r="T113" s="16"/>
      <c r="U113" s="16"/>
      <c r="V113" s="16"/>
      <c r="W113" s="16"/>
      <c r="X113" s="2" t="str">
        <f t="shared" ca="1" si="55"/>
        <v>Note: Mapped to R2.1.5 Supply Chain including Cold Chain</v>
      </c>
      <c r="Y113" s="2">
        <f>IF('A3. INPUT Unit Costs'!D107=Lang_Yes,1,0)</f>
        <v>0</v>
      </c>
      <c r="Z113" s="564"/>
      <c r="AA113" s="564"/>
      <c r="AB113" s="564"/>
      <c r="AC113" s="564"/>
      <c r="AD113" s="564"/>
      <c r="AE113" s="564"/>
      <c r="AF113" s="564"/>
      <c r="AG113" s="564"/>
      <c r="AH113" s="564"/>
      <c r="AI113" s="564"/>
      <c r="AJ113" s="564"/>
      <c r="AK113" s="564"/>
      <c r="AL113" s="564"/>
      <c r="AM113" s="564"/>
      <c r="AN113" s="564"/>
      <c r="AO113" s="564"/>
      <c r="AP113" s="564"/>
      <c r="AQ113" s="564"/>
      <c r="AR113" s="564"/>
      <c r="AS113" s="564"/>
      <c r="AT113" s="564"/>
      <c r="AU113" s="564"/>
      <c r="AV113" s="564" t="s">
        <v>14604</v>
      </c>
      <c r="AW113" s="564"/>
      <c r="AX113" s="564"/>
      <c r="AY113" s="564"/>
      <c r="AZ113" s="564"/>
      <c r="BA113" s="564"/>
      <c r="BB113" s="564"/>
      <c r="BC113" s="564"/>
      <c r="BD113" s="564"/>
      <c r="BE113" s="564"/>
      <c r="BF113" s="564"/>
      <c r="BG113" s="564"/>
      <c r="BH113" s="564"/>
      <c r="BI113" s="564"/>
      <c r="BJ113" s="564"/>
      <c r="BK113" s="564"/>
      <c r="BL113" s="564"/>
      <c r="BM113" s="564"/>
      <c r="BN113" s="564"/>
      <c r="BO113" s="564"/>
      <c r="BP113" s="564"/>
      <c r="BQ113" s="564"/>
      <c r="BR113" s="564"/>
      <c r="BS113" s="564"/>
      <c r="BT113" s="564" t="s">
        <v>14605</v>
      </c>
      <c r="BU113" s="564"/>
      <c r="BV113" s="564"/>
      <c r="BW113" s="564"/>
      <c r="BX113" s="564"/>
      <c r="BY113" s="564"/>
      <c r="BZ113" s="564"/>
      <c r="CA113" s="564"/>
      <c r="CB113" s="564"/>
      <c r="CC113" s="564"/>
      <c r="CD113" s="564"/>
      <c r="CE113" s="564"/>
      <c r="CF113" s="564"/>
      <c r="CG113" s="564"/>
      <c r="CH113" s="564"/>
      <c r="CI113" s="564"/>
      <c r="CJ113" s="564"/>
      <c r="CK113" s="564"/>
      <c r="CL113" s="564"/>
      <c r="CM113" s="564"/>
      <c r="CN113" s="564"/>
      <c r="CO113" s="564"/>
      <c r="CP113" s="564"/>
      <c r="CQ113" s="564"/>
      <c r="CR113" s="564" t="s">
        <v>14606</v>
      </c>
      <c r="CS113" s="564"/>
      <c r="CT113" s="564"/>
      <c r="CU113" s="564"/>
      <c r="CV113" s="564"/>
      <c r="CW113" s="564"/>
      <c r="CX113" s="564"/>
      <c r="CY113" s="564"/>
      <c r="CZ113" s="564"/>
      <c r="DA113" s="564"/>
      <c r="DB113" s="564"/>
      <c r="DC113" s="564"/>
      <c r="DD113" s="564"/>
      <c r="DE113" s="564"/>
      <c r="DF113" s="564"/>
      <c r="DG113" s="564"/>
      <c r="DH113" s="564"/>
      <c r="DI113" s="564"/>
      <c r="DJ113" s="564"/>
      <c r="DK113" s="564"/>
      <c r="DL113" s="564"/>
      <c r="DM113" s="564"/>
      <c r="DN113" s="564"/>
      <c r="DO113" s="564"/>
      <c r="DP113" s="564" t="s">
        <v>14607</v>
      </c>
      <c r="DQ113" s="564"/>
      <c r="DR113" s="564"/>
      <c r="DS113" s="564"/>
      <c r="DT113" s="564"/>
      <c r="DU113" s="564"/>
      <c r="DV113" s="564"/>
      <c r="DW113" s="564"/>
      <c r="DX113" s="564"/>
      <c r="DY113" s="564"/>
      <c r="DZ113" s="564"/>
      <c r="EA113" s="564"/>
      <c r="EB113" s="564"/>
      <c r="EC113" s="564"/>
      <c r="ED113" s="564"/>
      <c r="EE113" s="564"/>
      <c r="EF113" s="564"/>
      <c r="EG113" s="564"/>
      <c r="EH113" s="564"/>
      <c r="EI113" s="564"/>
      <c r="EJ113" s="564"/>
      <c r="EK113" s="564"/>
      <c r="EL113" s="564"/>
      <c r="EM113" s="564"/>
      <c r="EN113" s="564" t="s">
        <v>13530</v>
      </c>
      <c r="EO113" s="564"/>
      <c r="EP113" s="564"/>
      <c r="EQ113" s="564"/>
      <c r="ER113" s="564"/>
      <c r="ES113" s="564"/>
      <c r="ET113" s="564"/>
      <c r="EU113" s="564"/>
      <c r="EV113" s="564"/>
      <c r="EW113" s="564"/>
      <c r="EX113" s="564"/>
      <c r="EY113" s="564"/>
      <c r="EZ113" s="564"/>
      <c r="FA113" s="564"/>
      <c r="FB113" s="564"/>
      <c r="FC113" s="564"/>
      <c r="FD113" s="564"/>
      <c r="FE113" s="564"/>
      <c r="FF113" s="564"/>
      <c r="FG113" s="564"/>
      <c r="FH113" s="564"/>
      <c r="FI113" s="564"/>
      <c r="FJ113" s="564"/>
      <c r="FK113" s="564"/>
      <c r="FL113" s="564" t="s">
        <v>14608</v>
      </c>
      <c r="FM113" s="564"/>
      <c r="FN113" s="564"/>
      <c r="FO113" s="564"/>
      <c r="FP113" s="564"/>
      <c r="FQ113" s="564"/>
      <c r="FR113" s="564"/>
      <c r="FS113" s="564"/>
      <c r="FT113" s="564"/>
      <c r="FU113" s="564"/>
      <c r="FV113" s="564"/>
      <c r="FW113" s="564"/>
      <c r="FX113" s="564"/>
      <c r="FY113" s="564"/>
      <c r="FZ113" s="564"/>
      <c r="GA113" s="564"/>
      <c r="GB113" s="564"/>
      <c r="GC113" s="564"/>
      <c r="GD113" s="564"/>
      <c r="GE113" s="564"/>
      <c r="GF113" s="564"/>
      <c r="GG113" s="564"/>
      <c r="GH113" s="564"/>
      <c r="GI113" s="564"/>
      <c r="GJ113" s="564" t="s">
        <v>14609</v>
      </c>
    </row>
    <row r="114" spans="1:192" s="281" customFormat="1" x14ac:dyDescent="0.2">
      <c r="A114" s="165"/>
      <c r="B114" s="5" t="str">
        <f ca="1">OFFSET(_Offset_Index_VaccineSupplyPrices,1,C114)</f>
        <v>Icepacks</v>
      </c>
      <c r="C114" s="2">
        <v>29</v>
      </c>
      <c r="D114" s="5"/>
      <c r="F114" s="16" t="e">
        <f>8*F112</f>
        <v>#N/A</v>
      </c>
      <c r="G114" s="16"/>
      <c r="H114" s="16"/>
      <c r="I114" s="16"/>
      <c r="J114" s="16"/>
      <c r="K114" s="16"/>
      <c r="L114" s="16"/>
      <c r="M114" s="16"/>
      <c r="O114" s="463"/>
      <c r="P114" s="463"/>
      <c r="Q114" s="37" t="e">
        <f ca="1">F114*UnitPrice_Icepacks</f>
        <v>#N/A</v>
      </c>
      <c r="R114" s="16"/>
      <c r="S114" s="16"/>
      <c r="T114" s="16"/>
      <c r="U114" s="16"/>
      <c r="V114" s="16"/>
      <c r="W114" s="16"/>
      <c r="X114" s="2" t="str">
        <f t="shared" ca="1" si="55"/>
        <v>Note: Mapped to R2.1.5 Supply Chain including Cold Chain</v>
      </c>
      <c r="Y114" s="2">
        <f>IF('A3. INPUT Unit Costs'!D108=Lang_Yes,1,0)</f>
        <v>0</v>
      </c>
      <c r="Z114" s="564"/>
      <c r="AA114" s="564"/>
      <c r="AB114" s="564"/>
      <c r="AC114" s="564"/>
      <c r="AD114" s="564"/>
      <c r="AE114" s="564"/>
      <c r="AF114" s="564"/>
      <c r="AG114" s="564"/>
      <c r="AH114" s="564"/>
      <c r="AI114" s="564"/>
      <c r="AJ114" s="564"/>
      <c r="AK114" s="564"/>
      <c r="AL114" s="564"/>
      <c r="AM114" s="564"/>
      <c r="AN114" s="564"/>
      <c r="AO114" s="564"/>
      <c r="AP114" s="564"/>
      <c r="AQ114" s="564"/>
      <c r="AR114" s="564"/>
      <c r="AS114" s="564"/>
      <c r="AT114" s="564"/>
      <c r="AU114" s="564"/>
      <c r="AV114" s="564" t="s">
        <v>14604</v>
      </c>
      <c r="AW114" s="564"/>
      <c r="AX114" s="564"/>
      <c r="AY114" s="564"/>
      <c r="AZ114" s="564"/>
      <c r="BA114" s="564"/>
      <c r="BB114" s="564"/>
      <c r="BC114" s="564"/>
      <c r="BD114" s="564"/>
      <c r="BE114" s="564"/>
      <c r="BF114" s="564"/>
      <c r="BG114" s="564"/>
      <c r="BH114" s="564"/>
      <c r="BI114" s="564"/>
      <c r="BJ114" s="564"/>
      <c r="BK114" s="564"/>
      <c r="BL114" s="564"/>
      <c r="BM114" s="564"/>
      <c r="BN114" s="564"/>
      <c r="BO114" s="564"/>
      <c r="BP114" s="564"/>
      <c r="BQ114" s="564"/>
      <c r="BR114" s="564"/>
      <c r="BS114" s="564"/>
      <c r="BT114" s="564" t="s">
        <v>14605</v>
      </c>
      <c r="BU114" s="564"/>
      <c r="BV114" s="564"/>
      <c r="BW114" s="564"/>
      <c r="BX114" s="564"/>
      <c r="BY114" s="564"/>
      <c r="BZ114" s="564"/>
      <c r="CA114" s="564"/>
      <c r="CB114" s="564"/>
      <c r="CC114" s="564"/>
      <c r="CD114" s="564"/>
      <c r="CE114" s="564"/>
      <c r="CF114" s="564"/>
      <c r="CG114" s="564"/>
      <c r="CH114" s="564"/>
      <c r="CI114" s="564"/>
      <c r="CJ114" s="564"/>
      <c r="CK114" s="564"/>
      <c r="CL114" s="564"/>
      <c r="CM114" s="564"/>
      <c r="CN114" s="564"/>
      <c r="CO114" s="564"/>
      <c r="CP114" s="564"/>
      <c r="CQ114" s="564"/>
      <c r="CR114" s="564" t="s">
        <v>14606</v>
      </c>
      <c r="CS114" s="564"/>
      <c r="CT114" s="564"/>
      <c r="CU114" s="564"/>
      <c r="CV114" s="564"/>
      <c r="CW114" s="564"/>
      <c r="CX114" s="564"/>
      <c r="CY114" s="564"/>
      <c r="CZ114" s="564"/>
      <c r="DA114" s="564"/>
      <c r="DB114" s="564"/>
      <c r="DC114" s="564"/>
      <c r="DD114" s="564"/>
      <c r="DE114" s="564"/>
      <c r="DF114" s="564"/>
      <c r="DG114" s="564"/>
      <c r="DH114" s="564"/>
      <c r="DI114" s="564"/>
      <c r="DJ114" s="564"/>
      <c r="DK114" s="564"/>
      <c r="DL114" s="564"/>
      <c r="DM114" s="564"/>
      <c r="DN114" s="564"/>
      <c r="DO114" s="564"/>
      <c r="DP114" s="564" t="s">
        <v>14607</v>
      </c>
      <c r="DQ114" s="564"/>
      <c r="DR114" s="564"/>
      <c r="DS114" s="564"/>
      <c r="DT114" s="564"/>
      <c r="DU114" s="564"/>
      <c r="DV114" s="564"/>
      <c r="DW114" s="564"/>
      <c r="DX114" s="564"/>
      <c r="DY114" s="564"/>
      <c r="DZ114" s="564"/>
      <c r="EA114" s="564"/>
      <c r="EB114" s="564"/>
      <c r="EC114" s="564"/>
      <c r="ED114" s="564"/>
      <c r="EE114" s="564"/>
      <c r="EF114" s="564"/>
      <c r="EG114" s="564"/>
      <c r="EH114" s="564"/>
      <c r="EI114" s="564"/>
      <c r="EJ114" s="564"/>
      <c r="EK114" s="564"/>
      <c r="EL114" s="564"/>
      <c r="EM114" s="564"/>
      <c r="EN114" s="564" t="s">
        <v>13530</v>
      </c>
      <c r="EO114" s="564"/>
      <c r="EP114" s="564"/>
      <c r="EQ114" s="564"/>
      <c r="ER114" s="564"/>
      <c r="ES114" s="564"/>
      <c r="ET114" s="564"/>
      <c r="EU114" s="564"/>
      <c r="EV114" s="564"/>
      <c r="EW114" s="564"/>
      <c r="EX114" s="564"/>
      <c r="EY114" s="564"/>
      <c r="EZ114" s="564"/>
      <c r="FA114" s="564"/>
      <c r="FB114" s="564"/>
      <c r="FC114" s="564"/>
      <c r="FD114" s="564"/>
      <c r="FE114" s="564"/>
      <c r="FF114" s="564"/>
      <c r="FG114" s="564"/>
      <c r="FH114" s="564"/>
      <c r="FI114" s="564"/>
      <c r="FJ114" s="564"/>
      <c r="FK114" s="564"/>
      <c r="FL114" s="564" t="s">
        <v>14608</v>
      </c>
      <c r="FM114" s="564"/>
      <c r="FN114" s="564"/>
      <c r="FO114" s="564"/>
      <c r="FP114" s="564"/>
      <c r="FQ114" s="564"/>
      <c r="FR114" s="564"/>
      <c r="FS114" s="564"/>
      <c r="FT114" s="564"/>
      <c r="FU114" s="564"/>
      <c r="FV114" s="564"/>
      <c r="FW114" s="564"/>
      <c r="FX114" s="564"/>
      <c r="FY114" s="564"/>
      <c r="FZ114" s="564"/>
      <c r="GA114" s="564"/>
      <c r="GB114" s="564"/>
      <c r="GC114" s="564"/>
      <c r="GD114" s="564"/>
      <c r="GE114" s="564"/>
      <c r="GF114" s="564"/>
      <c r="GG114" s="564"/>
      <c r="GH114" s="564"/>
      <c r="GI114" s="564"/>
      <c r="GJ114" s="564" t="s">
        <v>14609</v>
      </c>
    </row>
    <row r="115" spans="1:192" s="281" customFormat="1" ht="13.5" thickBot="1" x14ac:dyDescent="0.25">
      <c r="A115" s="165"/>
      <c r="B115" s="5"/>
      <c r="C115" s="2"/>
      <c r="D115" s="5"/>
      <c r="F115" s="16"/>
      <c r="G115" s="16"/>
      <c r="H115" s="16"/>
      <c r="I115" s="16"/>
      <c r="J115" s="16"/>
      <c r="K115" s="16"/>
      <c r="L115" s="16"/>
      <c r="M115" s="16"/>
      <c r="N115" s="20"/>
      <c r="O115" s="20"/>
      <c r="P115" s="21" t="str">
        <f ca="1">IF(OFFSET(AP115,0,Lang_Order*Lang__B2)="","",OFFSET(AP115,0,Lang_Order*Lang__B2))</f>
        <v>Cold boxes, vaccine carriers, and ice packs</v>
      </c>
      <c r="Q115" s="118" t="e">
        <f ca="1">SUM(Q112:Q114)</f>
        <v>#N/A</v>
      </c>
      <c r="R115" s="16"/>
      <c r="S115" s="16"/>
      <c r="T115" s="16"/>
      <c r="U115" s="16"/>
      <c r="V115" s="16"/>
      <c r="W115" s="16"/>
      <c r="Z115" s="564"/>
      <c r="AA115" s="564"/>
      <c r="AB115" s="564"/>
      <c r="AC115" s="564"/>
      <c r="AD115" s="564"/>
      <c r="AE115" s="564"/>
      <c r="AF115" s="564"/>
      <c r="AG115" s="564"/>
      <c r="AH115" s="564"/>
      <c r="AI115" s="564"/>
      <c r="AJ115" s="564"/>
      <c r="AK115" s="564"/>
      <c r="AL115" s="564"/>
      <c r="AM115" s="564"/>
      <c r="AN115" s="564"/>
      <c r="AO115" s="564"/>
      <c r="AP115" s="564" t="s">
        <v>4611</v>
      </c>
      <c r="AQ115" s="564"/>
      <c r="AR115" s="564"/>
      <c r="AS115" s="564"/>
      <c r="AT115" s="564"/>
      <c r="AU115" s="564"/>
      <c r="AV115" s="564"/>
      <c r="AW115" s="564"/>
      <c r="AX115" s="564"/>
      <c r="AY115" s="564"/>
      <c r="AZ115" s="564"/>
      <c r="BA115" s="564"/>
      <c r="BB115" s="564"/>
      <c r="BC115" s="564"/>
      <c r="BD115" s="564"/>
      <c r="BE115" s="564"/>
      <c r="BF115" s="564"/>
      <c r="BG115" s="564"/>
      <c r="BH115" s="564"/>
      <c r="BI115" s="564"/>
      <c r="BJ115" s="564"/>
      <c r="BK115" s="564"/>
      <c r="BL115" s="564"/>
      <c r="BM115" s="564"/>
      <c r="BN115" s="564" t="s">
        <v>13036</v>
      </c>
      <c r="BO115" s="564"/>
      <c r="BP115" s="564"/>
      <c r="BQ115" s="564"/>
      <c r="BR115" s="564"/>
      <c r="BS115" s="564"/>
      <c r="BT115" s="564"/>
      <c r="BU115" s="564"/>
      <c r="BV115" s="564"/>
      <c r="BW115" s="564"/>
      <c r="BX115" s="564"/>
      <c r="BY115" s="564"/>
      <c r="BZ115" s="564"/>
      <c r="CA115" s="564"/>
      <c r="CB115" s="564"/>
      <c r="CC115" s="564"/>
      <c r="CD115" s="564"/>
      <c r="CE115" s="564"/>
      <c r="CF115" s="564"/>
      <c r="CG115" s="564"/>
      <c r="CH115" s="564"/>
      <c r="CI115" s="564"/>
      <c r="CJ115" s="564"/>
      <c r="CK115" s="564"/>
      <c r="CL115" s="564" t="s">
        <v>13531</v>
      </c>
      <c r="CM115" s="564"/>
      <c r="CN115" s="564"/>
      <c r="CO115" s="564"/>
      <c r="CP115" s="564"/>
      <c r="CQ115" s="564"/>
      <c r="CR115" s="564"/>
      <c r="CS115" s="564"/>
      <c r="CT115" s="564"/>
      <c r="CU115" s="564"/>
      <c r="CV115" s="564"/>
      <c r="CW115" s="564"/>
      <c r="CX115" s="564"/>
      <c r="CY115" s="564"/>
      <c r="CZ115" s="564"/>
      <c r="DA115" s="564"/>
      <c r="DB115" s="564"/>
      <c r="DC115" s="564"/>
      <c r="DD115" s="564"/>
      <c r="DE115" s="564"/>
      <c r="DF115" s="564"/>
      <c r="DG115" s="564"/>
      <c r="DH115" s="564"/>
      <c r="DI115" s="564"/>
      <c r="DJ115" s="564" t="s">
        <v>13038</v>
      </c>
      <c r="DK115" s="564"/>
      <c r="DL115" s="564"/>
      <c r="DM115" s="564"/>
      <c r="DN115" s="564"/>
      <c r="DO115" s="564"/>
      <c r="DP115" s="564"/>
      <c r="DQ115" s="564"/>
      <c r="DR115" s="564"/>
      <c r="DS115" s="564"/>
      <c r="DT115" s="564"/>
      <c r="DU115" s="564"/>
      <c r="DV115" s="564"/>
      <c r="DW115" s="564"/>
      <c r="DX115" s="564"/>
      <c r="DY115" s="564"/>
      <c r="DZ115" s="564"/>
      <c r="EA115" s="564"/>
      <c r="EB115" s="564"/>
      <c r="EC115" s="564"/>
      <c r="ED115" s="564"/>
      <c r="EE115" s="564"/>
      <c r="EF115" s="564"/>
      <c r="EG115" s="564"/>
      <c r="EH115" s="564" t="s">
        <v>13039</v>
      </c>
      <c r="EI115" s="564"/>
      <c r="EJ115" s="564"/>
      <c r="EK115" s="564"/>
      <c r="EL115" s="564"/>
      <c r="EM115" s="564"/>
      <c r="EN115" s="564"/>
      <c r="EO115" s="564"/>
      <c r="EP115" s="564"/>
      <c r="EQ115" s="564"/>
      <c r="ER115" s="564"/>
      <c r="ES115" s="564"/>
      <c r="ET115" s="564"/>
      <c r="EU115" s="564"/>
      <c r="EV115" s="564"/>
      <c r="EW115" s="564"/>
      <c r="EX115" s="564"/>
      <c r="EY115" s="564"/>
      <c r="EZ115" s="564"/>
      <c r="FA115" s="564"/>
      <c r="FB115" s="564"/>
      <c r="FC115" s="564"/>
      <c r="FD115" s="564"/>
      <c r="FE115" s="564"/>
      <c r="FF115" s="564" t="s">
        <v>13040</v>
      </c>
      <c r="FG115" s="564"/>
      <c r="FH115" s="564"/>
      <c r="FI115" s="564"/>
      <c r="FJ115" s="564"/>
      <c r="FK115" s="564"/>
      <c r="FL115" s="564"/>
      <c r="FM115" s="564"/>
      <c r="FN115" s="564"/>
      <c r="FO115" s="564"/>
      <c r="FP115" s="564"/>
      <c r="FQ115" s="564"/>
      <c r="FR115" s="564"/>
      <c r="FS115" s="564"/>
      <c r="FT115" s="564"/>
      <c r="FU115" s="564"/>
      <c r="FV115" s="564"/>
      <c r="FW115" s="564"/>
      <c r="FX115" s="564"/>
      <c r="FY115" s="564"/>
      <c r="FZ115" s="564"/>
      <c r="GA115" s="564"/>
      <c r="GB115" s="564"/>
      <c r="GC115" s="564"/>
      <c r="GD115" s="564" t="s">
        <v>13041</v>
      </c>
      <c r="GE115" s="564"/>
      <c r="GF115" s="564"/>
      <c r="GG115" s="564"/>
      <c r="GH115" s="564"/>
      <c r="GI115" s="564"/>
      <c r="GJ115" s="564"/>
    </row>
    <row r="116" spans="1:192" s="194" customFormat="1" ht="13.5" thickTop="1" x14ac:dyDescent="0.2">
      <c r="B116" s="5"/>
      <c r="D116" s="5"/>
      <c r="F116" s="16"/>
      <c r="G116" s="16"/>
      <c r="H116" s="16"/>
      <c r="I116" s="16"/>
      <c r="J116" s="16"/>
      <c r="K116" s="16"/>
      <c r="L116" s="16"/>
      <c r="M116" s="16"/>
      <c r="O116" s="463"/>
      <c r="P116" s="463"/>
      <c r="Q116" s="37"/>
      <c r="R116" s="37"/>
      <c r="S116" s="37"/>
      <c r="T116" s="37"/>
      <c r="U116" s="37"/>
      <c r="V116" s="37"/>
      <c r="W116" s="37"/>
      <c r="X116" s="37"/>
      <c r="Z116" s="564"/>
      <c r="AA116" s="564"/>
      <c r="AB116" s="564"/>
      <c r="AC116" s="564"/>
      <c r="AD116" s="564"/>
      <c r="AE116" s="564"/>
      <c r="AF116" s="564"/>
      <c r="AG116" s="564"/>
      <c r="AH116" s="564"/>
      <c r="AI116" s="564"/>
      <c r="AJ116" s="564"/>
      <c r="AK116" s="564"/>
      <c r="AL116" s="564"/>
      <c r="AM116" s="564"/>
      <c r="AN116" s="564"/>
      <c r="AO116" s="564"/>
      <c r="AP116" s="564"/>
      <c r="AQ116" s="564"/>
      <c r="AR116" s="564"/>
      <c r="AS116" s="564"/>
      <c r="AT116" s="564"/>
      <c r="AU116" s="564"/>
      <c r="AV116" s="564"/>
      <c r="AW116" s="564"/>
      <c r="AX116" s="564"/>
      <c r="AY116" s="564"/>
      <c r="AZ116" s="564"/>
      <c r="BA116" s="564"/>
      <c r="BB116" s="564"/>
      <c r="BC116" s="564"/>
      <c r="BD116" s="564"/>
      <c r="BE116" s="564"/>
      <c r="BF116" s="564"/>
      <c r="BG116" s="564"/>
      <c r="BH116" s="564"/>
      <c r="BI116" s="564"/>
      <c r="BJ116" s="564"/>
      <c r="BK116" s="564"/>
      <c r="BL116" s="564"/>
      <c r="BM116" s="564"/>
      <c r="BN116" s="564"/>
      <c r="BO116" s="564"/>
      <c r="BP116" s="564"/>
      <c r="BQ116" s="564"/>
      <c r="BR116" s="564"/>
      <c r="BS116" s="564"/>
      <c r="BT116" s="564"/>
      <c r="BU116" s="564"/>
      <c r="BV116" s="564"/>
      <c r="BW116" s="564"/>
      <c r="BX116" s="564"/>
      <c r="BY116" s="564"/>
      <c r="BZ116" s="564"/>
      <c r="CA116" s="564"/>
      <c r="CB116" s="564"/>
      <c r="CC116" s="564"/>
      <c r="CD116" s="564"/>
      <c r="CE116" s="564"/>
      <c r="CF116" s="564"/>
      <c r="CG116" s="564"/>
      <c r="CH116" s="564"/>
      <c r="CI116" s="564"/>
      <c r="CJ116" s="564"/>
      <c r="CK116" s="564"/>
      <c r="CL116" s="564"/>
      <c r="CM116" s="564"/>
      <c r="CN116" s="564"/>
      <c r="CO116" s="564"/>
      <c r="CP116" s="564"/>
      <c r="CQ116" s="564"/>
      <c r="CR116" s="564"/>
      <c r="CS116" s="564"/>
      <c r="CT116" s="564"/>
      <c r="CU116" s="564"/>
      <c r="CV116" s="564"/>
      <c r="CW116" s="564"/>
      <c r="CX116" s="564"/>
      <c r="CY116" s="564"/>
      <c r="CZ116" s="564"/>
      <c r="DA116" s="564"/>
      <c r="DB116" s="564"/>
      <c r="DC116" s="564"/>
      <c r="DD116" s="564"/>
      <c r="DE116" s="564"/>
      <c r="DF116" s="564"/>
      <c r="DG116" s="564"/>
      <c r="DH116" s="564"/>
      <c r="DI116" s="564"/>
      <c r="DJ116" s="564"/>
      <c r="DK116" s="564"/>
      <c r="DL116" s="564"/>
      <c r="DM116" s="564"/>
      <c r="DN116" s="564"/>
      <c r="DO116" s="564"/>
      <c r="DP116" s="564"/>
      <c r="DQ116" s="564"/>
      <c r="DR116" s="564"/>
      <c r="DS116" s="564"/>
      <c r="DT116" s="564"/>
      <c r="DU116" s="564"/>
      <c r="DV116" s="564"/>
      <c r="DW116" s="564"/>
      <c r="DX116" s="564"/>
      <c r="DY116" s="564"/>
      <c r="DZ116" s="564"/>
      <c r="EA116" s="564"/>
      <c r="EB116" s="564"/>
      <c r="EC116" s="564"/>
      <c r="ED116" s="564"/>
      <c r="EE116" s="564"/>
      <c r="EF116" s="564"/>
      <c r="EG116" s="564"/>
      <c r="EH116" s="564"/>
      <c r="EI116" s="564"/>
      <c r="EJ116" s="564"/>
      <c r="EK116" s="564"/>
      <c r="EL116" s="564"/>
      <c r="EM116" s="564"/>
      <c r="EN116" s="564"/>
      <c r="EO116" s="564"/>
      <c r="EP116" s="564"/>
      <c r="EQ116" s="564"/>
      <c r="ER116" s="564"/>
      <c r="ES116" s="564"/>
      <c r="ET116" s="564"/>
      <c r="EU116" s="564"/>
      <c r="EV116" s="564"/>
      <c r="EW116" s="564"/>
      <c r="EX116" s="564"/>
      <c r="EY116" s="564"/>
      <c r="EZ116" s="564"/>
      <c r="FA116" s="564"/>
      <c r="FB116" s="564"/>
      <c r="FC116" s="564"/>
      <c r="FD116" s="564"/>
      <c r="FE116" s="564"/>
      <c r="FF116" s="564"/>
      <c r="FG116" s="564"/>
      <c r="FH116" s="564"/>
      <c r="FI116" s="564"/>
      <c r="FJ116" s="564"/>
      <c r="FK116" s="564"/>
      <c r="FL116" s="564"/>
      <c r="FM116" s="564"/>
      <c r="FN116" s="564"/>
      <c r="FO116" s="564"/>
      <c r="FP116" s="564"/>
      <c r="FQ116" s="564"/>
      <c r="FR116" s="564"/>
      <c r="FS116" s="564"/>
      <c r="FT116" s="564"/>
      <c r="FU116" s="564"/>
      <c r="FV116" s="564"/>
      <c r="FW116" s="564"/>
      <c r="FX116" s="564"/>
      <c r="FY116" s="564"/>
      <c r="FZ116" s="564"/>
      <c r="GA116" s="564"/>
      <c r="GB116" s="564"/>
      <c r="GC116" s="564"/>
      <c r="GD116" s="564"/>
      <c r="GE116" s="564"/>
      <c r="GF116" s="564"/>
      <c r="GG116" s="564"/>
      <c r="GH116" s="564"/>
      <c r="GI116" s="564"/>
      <c r="GJ116" s="564"/>
    </row>
    <row r="117" spans="1:192" s="272" customFormat="1" ht="13.5" thickBot="1" x14ac:dyDescent="0.25">
      <c r="B117" s="5"/>
      <c r="D117" s="5"/>
      <c r="F117" s="16"/>
      <c r="G117" s="16"/>
      <c r="H117" s="16"/>
      <c r="I117" s="16"/>
      <c r="J117" s="16"/>
      <c r="K117" s="16"/>
      <c r="L117" s="16"/>
      <c r="M117" s="16"/>
      <c r="N117" s="21"/>
      <c r="O117" s="21"/>
      <c r="P117" s="21" t="str">
        <f ca="1">IF(OFFSET(AP117,0,Lang_Order*Lang__B2)="","",OFFSET(AP117,0,Lang_Order*Lang__B2))</f>
        <v>Total Vaccine Related Supplies</v>
      </c>
      <c r="Q117" s="118" t="e">
        <f ca="1">SUM(Q98:Q106)</f>
        <v>#N/A</v>
      </c>
      <c r="R117" s="118" t="e">
        <f t="shared" ref="R117:W117" ca="1" si="56">SUM(R98:R106)</f>
        <v>#N/A</v>
      </c>
      <c r="S117" s="118" t="e">
        <f t="shared" ca="1" si="56"/>
        <v>#N/A</v>
      </c>
      <c r="T117" s="118" t="e">
        <f t="shared" ca="1" si="56"/>
        <v>#N/A</v>
      </c>
      <c r="U117" s="118" t="e">
        <f t="shared" ca="1" si="56"/>
        <v>#N/A</v>
      </c>
      <c r="V117" s="118" t="e">
        <f t="shared" ca="1" si="56"/>
        <v>#N/A</v>
      </c>
      <c r="W117" s="118" t="e">
        <f t="shared" ca="1" si="56"/>
        <v>#N/A</v>
      </c>
      <c r="X117" s="416" t="str">
        <f ca="1">IF(OFFSET(AV117,0,Lang_Order*Lang__B2)="","",OFFSET(AV117,0,Lang_Order*Lang__B2))</f>
        <v>(excludes Electronic Records and Compensation)</v>
      </c>
      <c r="Z117" s="564"/>
      <c r="AA117" s="564"/>
      <c r="AB117" s="564"/>
      <c r="AC117" s="564"/>
      <c r="AD117" s="564"/>
      <c r="AE117" s="564"/>
      <c r="AF117" s="564"/>
      <c r="AG117" s="564"/>
      <c r="AH117" s="564"/>
      <c r="AI117" s="564"/>
      <c r="AJ117" s="564"/>
      <c r="AK117" s="564"/>
      <c r="AL117" s="564"/>
      <c r="AM117" s="564"/>
      <c r="AN117" s="564"/>
      <c r="AO117" s="564"/>
      <c r="AP117" s="564" t="s">
        <v>3164</v>
      </c>
      <c r="AQ117" s="564"/>
      <c r="AR117" s="564"/>
      <c r="AS117" s="564"/>
      <c r="AT117" s="564"/>
      <c r="AU117" s="564"/>
      <c r="AV117" s="564" t="s">
        <v>4270</v>
      </c>
      <c r="AW117" s="564"/>
      <c r="AX117" s="564"/>
      <c r="AY117" s="564"/>
      <c r="AZ117" s="564"/>
      <c r="BA117" s="564"/>
      <c r="BB117" s="564"/>
      <c r="BC117" s="564"/>
      <c r="BD117" s="564"/>
      <c r="BE117" s="564"/>
      <c r="BF117" s="564"/>
      <c r="BG117" s="564"/>
      <c r="BH117" s="564"/>
      <c r="BI117" s="564"/>
      <c r="BJ117" s="564"/>
      <c r="BK117" s="564"/>
      <c r="BL117" s="564"/>
      <c r="BM117" s="564"/>
      <c r="BN117" s="564" t="s">
        <v>10107</v>
      </c>
      <c r="BO117" s="564"/>
      <c r="BP117" s="564"/>
      <c r="BQ117" s="564"/>
      <c r="BR117" s="564"/>
      <c r="BS117" s="564"/>
      <c r="BT117" s="564" t="s">
        <v>10108</v>
      </c>
      <c r="BU117" s="564"/>
      <c r="BV117" s="564"/>
      <c r="BW117" s="564"/>
      <c r="BX117" s="564"/>
      <c r="BY117" s="564"/>
      <c r="BZ117" s="564"/>
      <c r="CA117" s="564"/>
      <c r="CB117" s="564"/>
      <c r="CC117" s="564"/>
      <c r="CD117" s="564"/>
      <c r="CE117" s="564"/>
      <c r="CF117" s="564"/>
      <c r="CG117" s="564"/>
      <c r="CH117" s="564"/>
      <c r="CI117" s="564"/>
      <c r="CJ117" s="564"/>
      <c r="CK117" s="564"/>
      <c r="CL117" s="564" t="s">
        <v>10109</v>
      </c>
      <c r="CM117" s="564"/>
      <c r="CN117" s="564"/>
      <c r="CO117" s="564"/>
      <c r="CP117" s="564"/>
      <c r="CQ117" s="564"/>
      <c r="CR117" s="564" t="s">
        <v>10110</v>
      </c>
      <c r="CS117" s="564"/>
      <c r="CT117" s="564"/>
      <c r="CU117" s="564"/>
      <c r="CV117" s="564"/>
      <c r="CW117" s="564"/>
      <c r="CX117" s="564"/>
      <c r="CY117" s="564"/>
      <c r="CZ117" s="564"/>
      <c r="DA117" s="564"/>
      <c r="DB117" s="564"/>
      <c r="DC117" s="564"/>
      <c r="DD117" s="564"/>
      <c r="DE117" s="564"/>
      <c r="DF117" s="564"/>
      <c r="DG117" s="564"/>
      <c r="DH117" s="564"/>
      <c r="DI117" s="564"/>
      <c r="DJ117" s="564" t="s">
        <v>10111</v>
      </c>
      <c r="DK117" s="564"/>
      <c r="DL117" s="564"/>
      <c r="DM117" s="564"/>
      <c r="DN117" s="564"/>
      <c r="DO117" s="564"/>
      <c r="DP117" s="564" t="s">
        <v>10112</v>
      </c>
      <c r="DQ117" s="564"/>
      <c r="DR117" s="564"/>
      <c r="DS117" s="564"/>
      <c r="DT117" s="564"/>
      <c r="DU117" s="564"/>
      <c r="DV117" s="564"/>
      <c r="DW117" s="564"/>
      <c r="DX117" s="564"/>
      <c r="DY117" s="564"/>
      <c r="DZ117" s="564"/>
      <c r="EA117" s="564"/>
      <c r="EB117" s="564"/>
      <c r="EC117" s="564"/>
      <c r="ED117" s="564"/>
      <c r="EE117" s="564"/>
      <c r="EF117" s="564"/>
      <c r="EG117" s="564"/>
      <c r="EH117" s="564" t="s">
        <v>10113</v>
      </c>
      <c r="EI117" s="564"/>
      <c r="EJ117" s="564"/>
      <c r="EK117" s="564"/>
      <c r="EL117" s="564"/>
      <c r="EM117" s="564"/>
      <c r="EN117" s="564" t="s">
        <v>10114</v>
      </c>
      <c r="EO117" s="564"/>
      <c r="EP117" s="564"/>
      <c r="EQ117" s="564"/>
      <c r="ER117" s="564"/>
      <c r="ES117" s="564"/>
      <c r="ET117" s="564"/>
      <c r="EU117" s="564"/>
      <c r="EV117" s="564"/>
      <c r="EW117" s="564"/>
      <c r="EX117" s="564"/>
      <c r="EY117" s="564"/>
      <c r="EZ117" s="564"/>
      <c r="FA117" s="564"/>
      <c r="FB117" s="564"/>
      <c r="FC117" s="564"/>
      <c r="FD117" s="564"/>
      <c r="FE117" s="564"/>
      <c r="FF117" s="564" t="s">
        <v>10115</v>
      </c>
      <c r="FG117" s="564"/>
      <c r="FH117" s="564"/>
      <c r="FI117" s="564"/>
      <c r="FJ117" s="564"/>
      <c r="FK117" s="564"/>
      <c r="FL117" s="564" t="s">
        <v>10116</v>
      </c>
      <c r="FM117" s="564"/>
      <c r="FN117" s="564"/>
      <c r="FO117" s="564"/>
      <c r="FP117" s="564"/>
      <c r="FQ117" s="564"/>
      <c r="FR117" s="564"/>
      <c r="FS117" s="564"/>
      <c r="FT117" s="564"/>
      <c r="FU117" s="564"/>
      <c r="FV117" s="564"/>
      <c r="FW117" s="564"/>
      <c r="FX117" s="564"/>
      <c r="FY117" s="564"/>
      <c r="FZ117" s="564"/>
      <c r="GA117" s="564"/>
      <c r="GB117" s="564"/>
      <c r="GC117" s="564"/>
      <c r="GD117" s="564" t="s">
        <v>10117</v>
      </c>
      <c r="GE117" s="564"/>
      <c r="GF117" s="564"/>
      <c r="GG117" s="564"/>
      <c r="GH117" s="564"/>
      <c r="GI117" s="564"/>
      <c r="GJ117" s="564" t="s">
        <v>10118</v>
      </c>
    </row>
    <row r="118" spans="1:192" s="272" customFormat="1" ht="13.5" hidden="1" thickTop="1" x14ac:dyDescent="0.2">
      <c r="A118" s="645" t="s">
        <v>14111</v>
      </c>
      <c r="N118" s="31"/>
      <c r="O118" s="31"/>
      <c r="P118" s="31" t="str">
        <f ca="1">IF(OFFSET(AP118,0,Lang_Order*Lang__B2)="","",OFFSET(AP118,0,Lang_Order*Lang__B2))</f>
        <v>Total Value of Supplies Subject to Customs Clearance</v>
      </c>
      <c r="Q118" s="158" t="e">
        <f ca="1">SUMPRODUCT(Q98:Q108,$Y98:$Y108)</f>
        <v>#N/A</v>
      </c>
      <c r="R118" s="158" t="e">
        <f t="shared" ref="R118:W118" ca="1" si="57">SUMPRODUCT(R98:R108,$Y98:$Y108)</f>
        <v>#N/A</v>
      </c>
      <c r="S118" s="158" t="e">
        <f t="shared" ca="1" si="57"/>
        <v>#N/A</v>
      </c>
      <c r="T118" s="158" t="e">
        <f t="shared" ca="1" si="57"/>
        <v>#N/A</v>
      </c>
      <c r="U118" s="158" t="e">
        <f t="shared" ca="1" si="57"/>
        <v>#N/A</v>
      </c>
      <c r="V118" s="158" t="e">
        <f t="shared" ca="1" si="57"/>
        <v>#N/A</v>
      </c>
      <c r="W118" s="158" t="e">
        <f t="shared" ca="1" si="57"/>
        <v>#N/A</v>
      </c>
      <c r="Z118" s="564"/>
      <c r="AA118" s="564"/>
      <c r="AB118" s="564"/>
      <c r="AC118" s="564"/>
      <c r="AD118" s="564"/>
      <c r="AE118" s="564"/>
      <c r="AF118" s="564"/>
      <c r="AG118" s="564"/>
      <c r="AH118" s="564"/>
      <c r="AI118" s="564"/>
      <c r="AJ118" s="564"/>
      <c r="AK118" s="564"/>
      <c r="AL118" s="564"/>
      <c r="AM118" s="564"/>
      <c r="AN118" s="564"/>
      <c r="AO118" s="564"/>
      <c r="AP118" s="564" t="s">
        <v>3161</v>
      </c>
      <c r="AQ118" s="564"/>
      <c r="AR118" s="564"/>
      <c r="AS118" s="564"/>
      <c r="AT118" s="564"/>
      <c r="AU118" s="564"/>
      <c r="AV118" s="564"/>
      <c r="AW118" s="564"/>
      <c r="AX118" s="564"/>
      <c r="AY118" s="564"/>
      <c r="AZ118" s="564"/>
      <c r="BA118" s="564"/>
      <c r="BB118" s="564"/>
      <c r="BC118" s="564"/>
      <c r="BD118" s="564"/>
      <c r="BE118" s="564"/>
      <c r="BF118" s="564"/>
      <c r="BG118" s="564"/>
      <c r="BH118" s="564"/>
      <c r="BI118" s="564"/>
      <c r="BJ118" s="564"/>
      <c r="BK118" s="564"/>
      <c r="BL118" s="564"/>
      <c r="BM118" s="564"/>
      <c r="BN118" s="564" t="s">
        <v>10119</v>
      </c>
      <c r="BO118" s="564"/>
      <c r="BP118" s="564"/>
      <c r="BQ118" s="564"/>
      <c r="BR118" s="564"/>
      <c r="BS118" s="564"/>
      <c r="BT118" s="564"/>
      <c r="BU118" s="564"/>
      <c r="BV118" s="564"/>
      <c r="BW118" s="564"/>
      <c r="BX118" s="564"/>
      <c r="BY118" s="564"/>
      <c r="BZ118" s="564"/>
      <c r="CA118" s="564"/>
      <c r="CB118" s="564"/>
      <c r="CC118" s="564"/>
      <c r="CD118" s="564"/>
      <c r="CE118" s="564"/>
      <c r="CF118" s="564"/>
      <c r="CG118" s="564"/>
      <c r="CH118" s="564"/>
      <c r="CI118" s="564"/>
      <c r="CJ118" s="564"/>
      <c r="CK118" s="564"/>
      <c r="CL118" s="564" t="s">
        <v>10120</v>
      </c>
      <c r="CM118" s="564"/>
      <c r="CN118" s="564"/>
      <c r="CO118" s="564"/>
      <c r="CP118" s="564"/>
      <c r="CQ118" s="564"/>
      <c r="CR118" s="564"/>
      <c r="CS118" s="564"/>
      <c r="CT118" s="564"/>
      <c r="CU118" s="564"/>
      <c r="CV118" s="564"/>
      <c r="CW118" s="564"/>
      <c r="CX118" s="564"/>
      <c r="CY118" s="564"/>
      <c r="CZ118" s="564"/>
      <c r="DA118" s="564"/>
      <c r="DB118" s="564"/>
      <c r="DC118" s="564"/>
      <c r="DD118" s="564"/>
      <c r="DE118" s="564"/>
      <c r="DF118" s="564"/>
      <c r="DG118" s="564"/>
      <c r="DH118" s="564"/>
      <c r="DI118" s="564"/>
      <c r="DJ118" s="564" t="s">
        <v>10121</v>
      </c>
      <c r="DK118" s="564"/>
      <c r="DL118" s="564"/>
      <c r="DM118" s="564"/>
      <c r="DN118" s="564"/>
      <c r="DO118" s="564"/>
      <c r="DP118" s="564"/>
      <c r="DQ118" s="564"/>
      <c r="DR118" s="564"/>
      <c r="DS118" s="564"/>
      <c r="DT118" s="564"/>
      <c r="DU118" s="564"/>
      <c r="DV118" s="564"/>
      <c r="DW118" s="564"/>
      <c r="DX118" s="564"/>
      <c r="DY118" s="564"/>
      <c r="DZ118" s="564"/>
      <c r="EA118" s="564"/>
      <c r="EB118" s="564"/>
      <c r="EC118" s="564"/>
      <c r="ED118" s="564"/>
      <c r="EE118" s="564"/>
      <c r="EF118" s="564"/>
      <c r="EG118" s="564"/>
      <c r="EH118" s="564" t="s">
        <v>10122</v>
      </c>
      <c r="EI118" s="564"/>
      <c r="EJ118" s="564"/>
      <c r="EK118" s="564"/>
      <c r="EL118" s="564"/>
      <c r="EM118" s="564"/>
      <c r="EN118" s="564"/>
      <c r="EO118" s="564"/>
      <c r="EP118" s="564"/>
      <c r="EQ118" s="564"/>
      <c r="ER118" s="564"/>
      <c r="ES118" s="564"/>
      <c r="ET118" s="564"/>
      <c r="EU118" s="564"/>
      <c r="EV118" s="564"/>
      <c r="EW118" s="564"/>
      <c r="EX118" s="564"/>
      <c r="EY118" s="564"/>
      <c r="EZ118" s="564"/>
      <c r="FA118" s="564"/>
      <c r="FB118" s="564"/>
      <c r="FC118" s="564"/>
      <c r="FD118" s="564"/>
      <c r="FE118" s="564"/>
      <c r="FF118" s="564" t="s">
        <v>10123</v>
      </c>
      <c r="FG118" s="564"/>
      <c r="FH118" s="564"/>
      <c r="FI118" s="564"/>
      <c r="FJ118" s="564"/>
      <c r="FK118" s="564"/>
      <c r="FL118" s="564"/>
      <c r="FM118" s="564"/>
      <c r="FN118" s="564"/>
      <c r="FO118" s="564"/>
      <c r="FP118" s="564"/>
      <c r="FQ118" s="564"/>
      <c r="FR118" s="564"/>
      <c r="FS118" s="564"/>
      <c r="FT118" s="564"/>
      <c r="FU118" s="564"/>
      <c r="FV118" s="564"/>
      <c r="FW118" s="564"/>
      <c r="FX118" s="564"/>
      <c r="FY118" s="564"/>
      <c r="FZ118" s="564"/>
      <c r="GA118" s="564"/>
      <c r="GB118" s="564"/>
      <c r="GC118" s="564"/>
      <c r="GD118" s="564" t="s">
        <v>10124</v>
      </c>
      <c r="GE118" s="564"/>
      <c r="GF118" s="564"/>
      <c r="GG118" s="564"/>
      <c r="GH118" s="564"/>
      <c r="GI118" s="564"/>
      <c r="GJ118" s="564"/>
    </row>
    <row r="119" spans="1:192" s="272" customFormat="1" hidden="1" x14ac:dyDescent="0.2">
      <c r="A119" s="645" t="s">
        <v>14111</v>
      </c>
      <c r="B119" s="5"/>
      <c r="D119" s="5"/>
      <c r="F119" s="16"/>
      <c r="G119" s="16"/>
      <c r="H119" s="16"/>
      <c r="I119" s="16"/>
      <c r="J119" s="16"/>
      <c r="K119" s="16"/>
      <c r="L119" s="16"/>
      <c r="M119" s="16"/>
      <c r="O119" s="463"/>
      <c r="P119" s="463"/>
      <c r="Q119" s="37"/>
      <c r="R119" s="37"/>
      <c r="S119" s="37"/>
      <c r="T119" s="37"/>
      <c r="U119" s="37"/>
      <c r="V119" s="37"/>
      <c r="W119" s="37"/>
      <c r="X119" s="281"/>
      <c r="Z119" s="564"/>
      <c r="AA119" s="564"/>
      <c r="AB119" s="564"/>
      <c r="AC119" s="564"/>
      <c r="AD119" s="564"/>
      <c r="AE119" s="564"/>
      <c r="AF119" s="564"/>
      <c r="AG119" s="564"/>
      <c r="AH119" s="564"/>
      <c r="AI119" s="564"/>
      <c r="AJ119" s="564"/>
      <c r="AK119" s="564"/>
      <c r="AL119" s="564"/>
      <c r="AM119" s="564"/>
      <c r="AN119" s="564"/>
      <c r="AO119" s="564"/>
      <c r="AP119" s="564"/>
      <c r="AQ119" s="564"/>
      <c r="AR119" s="564"/>
      <c r="AS119" s="564"/>
      <c r="AT119" s="564"/>
      <c r="AU119" s="564"/>
      <c r="AV119" s="564"/>
      <c r="AW119" s="564"/>
      <c r="AX119" s="564"/>
      <c r="AY119" s="564"/>
      <c r="AZ119" s="564"/>
      <c r="BA119" s="564"/>
      <c r="BB119" s="564"/>
      <c r="BC119" s="564"/>
      <c r="BD119" s="564"/>
      <c r="BE119" s="564"/>
      <c r="BF119" s="564"/>
      <c r="BG119" s="564"/>
      <c r="BH119" s="564"/>
      <c r="BI119" s="564"/>
      <c r="BJ119" s="564"/>
      <c r="BK119" s="564"/>
      <c r="BL119" s="564"/>
      <c r="BM119" s="564"/>
      <c r="BN119" s="564"/>
      <c r="BO119" s="564"/>
      <c r="BP119" s="564"/>
      <c r="BQ119" s="564"/>
      <c r="BR119" s="564"/>
      <c r="BS119" s="564"/>
      <c r="BT119" s="564"/>
      <c r="BU119" s="564"/>
      <c r="BV119" s="564"/>
      <c r="BW119" s="564"/>
      <c r="BX119" s="564"/>
      <c r="BY119" s="564"/>
      <c r="BZ119" s="564"/>
      <c r="CA119" s="564"/>
      <c r="CB119" s="564"/>
      <c r="CC119" s="564"/>
      <c r="CD119" s="564"/>
      <c r="CE119" s="564"/>
      <c r="CF119" s="564"/>
      <c r="CG119" s="564"/>
      <c r="CH119" s="564"/>
      <c r="CI119" s="564"/>
      <c r="CJ119" s="564"/>
      <c r="CK119" s="564"/>
      <c r="CL119" s="564"/>
      <c r="CM119" s="564"/>
      <c r="CN119" s="564"/>
      <c r="CO119" s="564"/>
      <c r="CP119" s="564"/>
      <c r="CQ119" s="564"/>
      <c r="CR119" s="564"/>
      <c r="CS119" s="564"/>
      <c r="CT119" s="564"/>
      <c r="CU119" s="564"/>
      <c r="CV119" s="564"/>
      <c r="CW119" s="564"/>
      <c r="CX119" s="564"/>
      <c r="CY119" s="564"/>
      <c r="CZ119" s="564"/>
      <c r="DA119" s="564"/>
      <c r="DB119" s="564"/>
      <c r="DC119" s="564"/>
      <c r="DD119" s="564"/>
      <c r="DE119" s="564"/>
      <c r="DF119" s="564"/>
      <c r="DG119" s="564"/>
      <c r="DH119" s="564"/>
      <c r="DI119" s="564"/>
      <c r="DJ119" s="564"/>
      <c r="DK119" s="564"/>
      <c r="DL119" s="564"/>
      <c r="DM119" s="564"/>
      <c r="DN119" s="564"/>
      <c r="DO119" s="564"/>
      <c r="DP119" s="564"/>
      <c r="DQ119" s="564"/>
      <c r="DR119" s="564"/>
      <c r="DS119" s="564"/>
      <c r="DT119" s="564"/>
      <c r="DU119" s="564"/>
      <c r="DV119" s="564"/>
      <c r="DW119" s="564"/>
      <c r="DX119" s="564"/>
      <c r="DY119" s="564"/>
      <c r="DZ119" s="564"/>
      <c r="EA119" s="564"/>
      <c r="EB119" s="564"/>
      <c r="EC119" s="564"/>
      <c r="ED119" s="564"/>
      <c r="EE119" s="564"/>
      <c r="EF119" s="564"/>
      <c r="EG119" s="564"/>
      <c r="EH119" s="564"/>
      <c r="EI119" s="564"/>
      <c r="EJ119" s="564"/>
      <c r="EK119" s="564"/>
      <c r="EL119" s="564"/>
      <c r="EM119" s="564"/>
      <c r="EN119" s="564"/>
      <c r="EO119" s="564"/>
      <c r="EP119" s="564"/>
      <c r="EQ119" s="564"/>
      <c r="ER119" s="564"/>
      <c r="ES119" s="564"/>
      <c r="ET119" s="564"/>
      <c r="EU119" s="564"/>
      <c r="EV119" s="564"/>
      <c r="EW119" s="564"/>
      <c r="EX119" s="564"/>
      <c r="EY119" s="564"/>
      <c r="EZ119" s="564"/>
      <c r="FA119" s="564"/>
      <c r="FB119" s="564"/>
      <c r="FC119" s="564"/>
      <c r="FD119" s="564"/>
      <c r="FE119" s="564"/>
      <c r="FF119" s="564"/>
      <c r="FG119" s="564"/>
      <c r="FH119" s="564"/>
      <c r="FI119" s="564"/>
      <c r="FJ119" s="564"/>
      <c r="FK119" s="564"/>
      <c r="FL119" s="564"/>
      <c r="FM119" s="564"/>
      <c r="FN119" s="564"/>
      <c r="FO119" s="564"/>
      <c r="FP119" s="564"/>
      <c r="FQ119" s="564"/>
      <c r="FR119" s="564"/>
      <c r="FS119" s="564"/>
      <c r="FT119" s="564"/>
      <c r="FU119" s="564"/>
      <c r="FV119" s="564"/>
      <c r="FW119" s="564"/>
      <c r="FX119" s="564"/>
      <c r="FY119" s="564"/>
      <c r="FZ119" s="564"/>
      <c r="GA119" s="564"/>
      <c r="GB119" s="564"/>
      <c r="GC119" s="564"/>
      <c r="GD119" s="564"/>
      <c r="GE119" s="564"/>
      <c r="GF119" s="564"/>
      <c r="GG119" s="564"/>
      <c r="GH119" s="564"/>
      <c r="GI119" s="564"/>
      <c r="GJ119" s="564"/>
    </row>
    <row r="120" spans="1:192" s="272" customFormat="1" ht="13.5" hidden="1" thickBot="1" x14ac:dyDescent="0.25">
      <c r="A120" s="645" t="s">
        <v>14111</v>
      </c>
      <c r="B120" s="5"/>
      <c r="D120" s="5"/>
      <c r="F120" s="16"/>
      <c r="G120" s="16"/>
      <c r="H120" s="16"/>
      <c r="I120" s="16"/>
      <c r="J120" s="16"/>
      <c r="K120" s="16"/>
      <c r="L120" s="16"/>
      <c r="M120" s="16"/>
      <c r="N120" s="21"/>
      <c r="O120" s="21"/>
      <c r="P120" s="21" t="str">
        <f ca="1">IF(OFFSET(AP120,0,Lang_Order*Lang__B2)="","",OFFSET(AP120,0,Lang_Order*Lang__B2))</f>
        <v>Customs clearance | Ad valorem</v>
      </c>
      <c r="Q120" s="118" t="e">
        <f t="shared" ref="Q120:V120" ca="1" si="58">Q118*Ad_valorem_supplies</f>
        <v>#N/A</v>
      </c>
      <c r="R120" s="118" t="e">
        <f t="shared" ca="1" si="58"/>
        <v>#N/A</v>
      </c>
      <c r="S120" s="118" t="e">
        <f t="shared" ca="1" si="58"/>
        <v>#N/A</v>
      </c>
      <c r="T120" s="118" t="e">
        <f t="shared" ca="1" si="58"/>
        <v>#N/A</v>
      </c>
      <c r="U120" s="118" t="e">
        <f t="shared" ca="1" si="58"/>
        <v>#N/A</v>
      </c>
      <c r="V120" s="118" t="e">
        <f t="shared" ca="1" si="58"/>
        <v>#N/A</v>
      </c>
      <c r="W120" s="118" t="e">
        <f t="shared" ref="W120" ca="1" si="59">W118*Ad_valorem_supplies</f>
        <v>#N/A</v>
      </c>
      <c r="X120" s="281"/>
      <c r="Z120" s="564"/>
      <c r="AA120" s="564"/>
      <c r="AB120" s="564"/>
      <c r="AC120" s="564"/>
      <c r="AD120" s="564"/>
      <c r="AE120" s="564"/>
      <c r="AF120" s="564"/>
      <c r="AG120" s="564"/>
      <c r="AH120" s="564"/>
      <c r="AI120" s="564"/>
      <c r="AJ120" s="564"/>
      <c r="AK120" s="564"/>
      <c r="AL120" s="564"/>
      <c r="AM120" s="564"/>
      <c r="AN120" s="564"/>
      <c r="AO120" s="564"/>
      <c r="AP120" s="564" t="s">
        <v>3162</v>
      </c>
      <c r="AQ120" s="564"/>
      <c r="AR120" s="564"/>
      <c r="AS120" s="564"/>
      <c r="AT120" s="564"/>
      <c r="AU120" s="564"/>
      <c r="AV120" s="564"/>
      <c r="AW120" s="564"/>
      <c r="AX120" s="564"/>
      <c r="AY120" s="564"/>
      <c r="AZ120" s="564"/>
      <c r="BA120" s="564"/>
      <c r="BB120" s="564"/>
      <c r="BC120" s="564"/>
      <c r="BD120" s="564"/>
      <c r="BE120" s="564"/>
      <c r="BF120" s="564"/>
      <c r="BG120" s="564"/>
      <c r="BH120" s="564"/>
      <c r="BI120" s="564"/>
      <c r="BJ120" s="564"/>
      <c r="BK120" s="564"/>
      <c r="BL120" s="564"/>
      <c r="BM120" s="564"/>
      <c r="BN120" s="564" t="s">
        <v>10125</v>
      </c>
      <c r="BO120" s="564"/>
      <c r="BP120" s="564"/>
      <c r="BQ120" s="564"/>
      <c r="BR120" s="564"/>
      <c r="BS120" s="564"/>
      <c r="BT120" s="564"/>
      <c r="BU120" s="564"/>
      <c r="BV120" s="564"/>
      <c r="BW120" s="564"/>
      <c r="BX120" s="564"/>
      <c r="BY120" s="564"/>
      <c r="BZ120" s="564"/>
      <c r="CA120" s="564"/>
      <c r="CB120" s="564"/>
      <c r="CC120" s="564"/>
      <c r="CD120" s="564"/>
      <c r="CE120" s="564"/>
      <c r="CF120" s="564"/>
      <c r="CG120" s="564"/>
      <c r="CH120" s="564"/>
      <c r="CI120" s="564"/>
      <c r="CJ120" s="564"/>
      <c r="CK120" s="564"/>
      <c r="CL120" s="564" t="s">
        <v>10126</v>
      </c>
      <c r="CM120" s="564"/>
      <c r="CN120" s="564"/>
      <c r="CO120" s="564"/>
      <c r="CP120" s="564"/>
      <c r="CQ120" s="564"/>
      <c r="CR120" s="564"/>
      <c r="CS120" s="564"/>
      <c r="CT120" s="564"/>
      <c r="CU120" s="564"/>
      <c r="CV120" s="564"/>
      <c r="CW120" s="564"/>
      <c r="CX120" s="564"/>
      <c r="CY120" s="564"/>
      <c r="CZ120" s="564"/>
      <c r="DA120" s="564"/>
      <c r="DB120" s="564"/>
      <c r="DC120" s="564"/>
      <c r="DD120" s="564"/>
      <c r="DE120" s="564"/>
      <c r="DF120" s="564"/>
      <c r="DG120" s="564"/>
      <c r="DH120" s="564"/>
      <c r="DI120" s="564"/>
      <c r="DJ120" s="564" t="s">
        <v>10127</v>
      </c>
      <c r="DK120" s="564"/>
      <c r="DL120" s="564"/>
      <c r="DM120" s="564"/>
      <c r="DN120" s="564"/>
      <c r="DO120" s="564"/>
      <c r="DP120" s="564"/>
      <c r="DQ120" s="564"/>
      <c r="DR120" s="564"/>
      <c r="DS120" s="564"/>
      <c r="DT120" s="564"/>
      <c r="DU120" s="564"/>
      <c r="DV120" s="564"/>
      <c r="DW120" s="564"/>
      <c r="DX120" s="564"/>
      <c r="DY120" s="564"/>
      <c r="DZ120" s="564"/>
      <c r="EA120" s="564"/>
      <c r="EB120" s="564"/>
      <c r="EC120" s="564"/>
      <c r="ED120" s="564"/>
      <c r="EE120" s="564"/>
      <c r="EF120" s="564"/>
      <c r="EG120" s="564"/>
      <c r="EH120" s="564" t="s">
        <v>10128</v>
      </c>
      <c r="EI120" s="564"/>
      <c r="EJ120" s="564"/>
      <c r="EK120" s="564"/>
      <c r="EL120" s="564"/>
      <c r="EM120" s="564"/>
      <c r="EN120" s="564"/>
      <c r="EO120" s="564"/>
      <c r="EP120" s="564"/>
      <c r="EQ120" s="564"/>
      <c r="ER120" s="564"/>
      <c r="ES120" s="564"/>
      <c r="ET120" s="564"/>
      <c r="EU120" s="564"/>
      <c r="EV120" s="564"/>
      <c r="EW120" s="564"/>
      <c r="EX120" s="564"/>
      <c r="EY120" s="564"/>
      <c r="EZ120" s="564"/>
      <c r="FA120" s="564"/>
      <c r="FB120" s="564"/>
      <c r="FC120" s="564"/>
      <c r="FD120" s="564"/>
      <c r="FE120" s="564"/>
      <c r="FF120" s="564" t="s">
        <v>10129</v>
      </c>
      <c r="FG120" s="564"/>
      <c r="FH120" s="564"/>
      <c r="FI120" s="564"/>
      <c r="FJ120" s="564"/>
      <c r="FK120" s="564"/>
      <c r="FL120" s="564"/>
      <c r="FM120" s="564"/>
      <c r="FN120" s="564"/>
      <c r="FO120" s="564"/>
      <c r="FP120" s="564"/>
      <c r="FQ120" s="564"/>
      <c r="FR120" s="564"/>
      <c r="FS120" s="564"/>
      <c r="FT120" s="564"/>
      <c r="FU120" s="564"/>
      <c r="FV120" s="564"/>
      <c r="FW120" s="564"/>
      <c r="FX120" s="564"/>
      <c r="FY120" s="564"/>
      <c r="FZ120" s="564"/>
      <c r="GA120" s="564"/>
      <c r="GB120" s="564"/>
      <c r="GC120" s="564"/>
      <c r="GD120" s="564" t="s">
        <v>10130</v>
      </c>
      <c r="GE120" s="564"/>
      <c r="GF120" s="564"/>
      <c r="GG120" s="564"/>
      <c r="GH120" s="564"/>
      <c r="GI120" s="564"/>
      <c r="GJ120" s="564"/>
    </row>
    <row r="121" spans="1:192" s="272" customFormat="1" ht="13.5" hidden="1" thickTop="1" x14ac:dyDescent="0.2">
      <c r="A121" s="645" t="s">
        <v>14111</v>
      </c>
      <c r="B121" s="5"/>
      <c r="D121" s="5"/>
      <c r="F121" s="16"/>
      <c r="G121" s="16"/>
      <c r="H121" s="16"/>
      <c r="I121" s="16"/>
      <c r="J121" s="16"/>
      <c r="K121" s="16"/>
      <c r="L121" s="16"/>
      <c r="M121" s="16"/>
      <c r="O121" s="463"/>
      <c r="P121" s="463"/>
      <c r="Q121" s="37"/>
      <c r="R121" s="37"/>
      <c r="S121" s="37"/>
      <c r="T121" s="37"/>
      <c r="U121" s="37"/>
      <c r="V121" s="37"/>
      <c r="W121" s="37"/>
      <c r="X121" s="281"/>
      <c r="Z121" s="564"/>
      <c r="AA121" s="564"/>
      <c r="AB121" s="564"/>
      <c r="AC121" s="564"/>
      <c r="AD121" s="564"/>
      <c r="AE121" s="564"/>
      <c r="AF121" s="564"/>
      <c r="AG121" s="564"/>
      <c r="AH121" s="564"/>
      <c r="AI121" s="564"/>
      <c r="AJ121" s="564"/>
      <c r="AK121" s="564"/>
      <c r="AL121" s="564"/>
      <c r="AM121" s="564"/>
      <c r="AN121" s="564"/>
      <c r="AO121" s="564"/>
      <c r="AP121" s="564"/>
      <c r="AQ121" s="564"/>
      <c r="AR121" s="564"/>
      <c r="AS121" s="564"/>
      <c r="AT121" s="564"/>
      <c r="AU121" s="564"/>
      <c r="AV121" s="564"/>
      <c r="AW121" s="564"/>
      <c r="AX121" s="564"/>
      <c r="AY121" s="564"/>
      <c r="AZ121" s="564"/>
      <c r="BA121" s="564"/>
      <c r="BB121" s="564"/>
      <c r="BC121" s="564"/>
      <c r="BD121" s="564"/>
      <c r="BE121" s="564"/>
      <c r="BF121" s="564"/>
      <c r="BG121" s="564"/>
      <c r="BH121" s="564"/>
      <c r="BI121" s="564"/>
      <c r="BJ121" s="564"/>
      <c r="BK121" s="564"/>
      <c r="BL121" s="564"/>
      <c r="BM121" s="564"/>
      <c r="BN121" s="564"/>
      <c r="BO121" s="564"/>
      <c r="BP121" s="564"/>
      <c r="BQ121" s="564"/>
      <c r="BR121" s="564"/>
      <c r="BS121" s="564"/>
      <c r="BT121" s="564"/>
      <c r="BU121" s="564"/>
      <c r="BV121" s="564"/>
      <c r="BW121" s="564"/>
      <c r="BX121" s="564"/>
      <c r="BY121" s="564"/>
      <c r="BZ121" s="564"/>
      <c r="CA121" s="564"/>
      <c r="CB121" s="564"/>
      <c r="CC121" s="564"/>
      <c r="CD121" s="564"/>
      <c r="CE121" s="564"/>
      <c r="CF121" s="564"/>
      <c r="CG121" s="564"/>
      <c r="CH121" s="564"/>
      <c r="CI121" s="564"/>
      <c r="CJ121" s="564"/>
      <c r="CK121" s="564"/>
      <c r="CL121" s="564"/>
      <c r="CM121" s="564"/>
      <c r="CN121" s="564"/>
      <c r="CO121" s="564"/>
      <c r="CP121" s="564"/>
      <c r="CQ121" s="564"/>
      <c r="CR121" s="564"/>
      <c r="CS121" s="564"/>
      <c r="CT121" s="564"/>
      <c r="CU121" s="564"/>
      <c r="CV121" s="564"/>
      <c r="CW121" s="564"/>
      <c r="CX121" s="564"/>
      <c r="CY121" s="564"/>
      <c r="CZ121" s="564"/>
      <c r="DA121" s="564"/>
      <c r="DB121" s="564"/>
      <c r="DC121" s="564"/>
      <c r="DD121" s="564"/>
      <c r="DE121" s="564"/>
      <c r="DF121" s="564"/>
      <c r="DG121" s="564"/>
      <c r="DH121" s="564"/>
      <c r="DI121" s="564"/>
      <c r="DJ121" s="564"/>
      <c r="DK121" s="564"/>
      <c r="DL121" s="564"/>
      <c r="DM121" s="564"/>
      <c r="DN121" s="564"/>
      <c r="DO121" s="564"/>
      <c r="DP121" s="564"/>
      <c r="DQ121" s="564"/>
      <c r="DR121" s="564"/>
      <c r="DS121" s="564"/>
      <c r="DT121" s="564"/>
      <c r="DU121" s="564"/>
      <c r="DV121" s="564"/>
      <c r="DW121" s="564"/>
      <c r="DX121" s="564"/>
      <c r="DY121" s="564"/>
      <c r="DZ121" s="564"/>
      <c r="EA121" s="564"/>
      <c r="EB121" s="564"/>
      <c r="EC121" s="564"/>
      <c r="ED121" s="564"/>
      <c r="EE121" s="564"/>
      <c r="EF121" s="564"/>
      <c r="EG121" s="564"/>
      <c r="EH121" s="564"/>
      <c r="EI121" s="564"/>
      <c r="EJ121" s="564"/>
      <c r="EK121" s="564"/>
      <c r="EL121" s="564"/>
      <c r="EM121" s="564"/>
      <c r="EN121" s="564"/>
      <c r="EO121" s="564"/>
      <c r="EP121" s="564"/>
      <c r="EQ121" s="564"/>
      <c r="ER121" s="564"/>
      <c r="ES121" s="564"/>
      <c r="ET121" s="564"/>
      <c r="EU121" s="564"/>
      <c r="EV121" s="564"/>
      <c r="EW121" s="564"/>
      <c r="EX121" s="564"/>
      <c r="EY121" s="564"/>
      <c r="EZ121" s="564"/>
      <c r="FA121" s="564"/>
      <c r="FB121" s="564"/>
      <c r="FC121" s="564"/>
      <c r="FD121" s="564"/>
      <c r="FE121" s="564"/>
      <c r="FF121" s="564"/>
      <c r="FG121" s="564"/>
      <c r="FH121" s="564"/>
      <c r="FI121" s="564"/>
      <c r="FJ121" s="564"/>
      <c r="FK121" s="564"/>
      <c r="FL121" s="564"/>
      <c r="FM121" s="564"/>
      <c r="FN121" s="564"/>
      <c r="FO121" s="564"/>
      <c r="FP121" s="564"/>
      <c r="FQ121" s="564"/>
      <c r="FR121" s="564"/>
      <c r="FS121" s="564"/>
      <c r="FT121" s="564"/>
      <c r="FU121" s="564"/>
      <c r="FV121" s="564"/>
      <c r="FW121" s="564"/>
      <c r="FX121" s="564"/>
      <c r="FY121" s="564"/>
      <c r="FZ121" s="564"/>
      <c r="GA121" s="564"/>
      <c r="GB121" s="564"/>
      <c r="GC121" s="564"/>
      <c r="GD121" s="564"/>
      <c r="GE121" s="564"/>
      <c r="GF121" s="564"/>
      <c r="GG121" s="564"/>
      <c r="GH121" s="564"/>
      <c r="GI121" s="564"/>
      <c r="GJ121" s="564"/>
    </row>
    <row r="122" spans="1:192" s="281" customFormat="1" ht="13.5" hidden="1" thickBot="1" x14ac:dyDescent="0.25">
      <c r="A122" s="645" t="s">
        <v>14111</v>
      </c>
      <c r="B122" s="5"/>
      <c r="D122" s="5"/>
      <c r="F122" s="16"/>
      <c r="G122" s="16"/>
      <c r="H122" s="16"/>
      <c r="I122" s="16"/>
      <c r="J122" s="16"/>
      <c r="K122" s="16"/>
      <c r="L122" s="16"/>
      <c r="M122" s="16"/>
      <c r="N122" s="21"/>
      <c r="O122" s="21"/>
      <c r="P122" s="21" t="str">
        <f ca="1">IF(OFFSET(AP122,0,Lang_Order*Lang__B2)="","",OFFSET(AP122,0,Lang_Order*Lang__B2))</f>
        <v>Procurement Service Fees</v>
      </c>
      <c r="Q122" s="118" t="e">
        <f t="shared" ref="Q122:W122" ca="1" si="60">Q117*Procurement_Service_Fees_VaccineSupplies</f>
        <v>#N/A</v>
      </c>
      <c r="R122" s="118" t="e">
        <f t="shared" ca="1" si="60"/>
        <v>#N/A</v>
      </c>
      <c r="S122" s="118" t="e">
        <f t="shared" ca="1" si="60"/>
        <v>#N/A</v>
      </c>
      <c r="T122" s="118" t="e">
        <f t="shared" ca="1" si="60"/>
        <v>#N/A</v>
      </c>
      <c r="U122" s="118" t="e">
        <f t="shared" ca="1" si="60"/>
        <v>#N/A</v>
      </c>
      <c r="V122" s="118" t="e">
        <f t="shared" ca="1" si="60"/>
        <v>#N/A</v>
      </c>
      <c r="W122" s="118" t="e">
        <f t="shared" ca="1" si="60"/>
        <v>#N/A</v>
      </c>
      <c r="Z122" s="564"/>
      <c r="AA122" s="564"/>
      <c r="AB122" s="564"/>
      <c r="AC122" s="564"/>
      <c r="AD122" s="564"/>
      <c r="AE122" s="564"/>
      <c r="AF122" s="564"/>
      <c r="AG122" s="564"/>
      <c r="AH122" s="564"/>
      <c r="AI122" s="564"/>
      <c r="AJ122" s="564"/>
      <c r="AK122" s="564"/>
      <c r="AL122" s="564"/>
      <c r="AM122" s="564"/>
      <c r="AN122" s="564"/>
      <c r="AO122" s="564"/>
      <c r="AP122" s="564" t="s">
        <v>3596</v>
      </c>
      <c r="AQ122" s="564"/>
      <c r="AR122" s="564"/>
      <c r="AS122" s="564"/>
      <c r="AT122" s="564"/>
      <c r="AU122" s="564"/>
      <c r="AV122" s="564"/>
      <c r="AW122" s="564"/>
      <c r="AX122" s="564"/>
      <c r="AY122" s="564"/>
      <c r="AZ122" s="564"/>
      <c r="BA122" s="564"/>
      <c r="BB122" s="564"/>
      <c r="BC122" s="564"/>
      <c r="BD122" s="564"/>
      <c r="BE122" s="564"/>
      <c r="BF122" s="564"/>
      <c r="BG122" s="564"/>
      <c r="BH122" s="564"/>
      <c r="BI122" s="564"/>
      <c r="BJ122" s="564"/>
      <c r="BK122" s="564"/>
      <c r="BL122" s="564"/>
      <c r="BM122" s="564"/>
      <c r="BN122" s="564" t="s">
        <v>4994</v>
      </c>
      <c r="BO122" s="564"/>
      <c r="BP122" s="564"/>
      <c r="BQ122" s="564"/>
      <c r="BR122" s="564"/>
      <c r="BS122" s="564"/>
      <c r="BT122" s="564"/>
      <c r="BU122" s="564"/>
      <c r="BV122" s="564"/>
      <c r="BW122" s="564"/>
      <c r="BX122" s="564"/>
      <c r="BY122" s="564"/>
      <c r="BZ122" s="564"/>
      <c r="CA122" s="564"/>
      <c r="CB122" s="564"/>
      <c r="CC122" s="564"/>
      <c r="CD122" s="564"/>
      <c r="CE122" s="564"/>
      <c r="CF122" s="564"/>
      <c r="CG122" s="564"/>
      <c r="CH122" s="564"/>
      <c r="CI122" s="564"/>
      <c r="CJ122" s="564"/>
      <c r="CK122" s="564"/>
      <c r="CL122" s="564" t="s">
        <v>10131</v>
      </c>
      <c r="CM122" s="564"/>
      <c r="CN122" s="564"/>
      <c r="CO122" s="564"/>
      <c r="CP122" s="564"/>
      <c r="CQ122" s="564"/>
      <c r="CR122" s="564"/>
      <c r="CS122" s="564"/>
      <c r="CT122" s="564"/>
      <c r="CU122" s="564"/>
      <c r="CV122" s="564"/>
      <c r="CW122" s="564"/>
      <c r="CX122" s="564"/>
      <c r="CY122" s="564"/>
      <c r="CZ122" s="564"/>
      <c r="DA122" s="564"/>
      <c r="DB122" s="564"/>
      <c r="DC122" s="564"/>
      <c r="DD122" s="564"/>
      <c r="DE122" s="564"/>
      <c r="DF122" s="564"/>
      <c r="DG122" s="564"/>
      <c r="DH122" s="564"/>
      <c r="DI122" s="564"/>
      <c r="DJ122" s="564" t="s">
        <v>10132</v>
      </c>
      <c r="DK122" s="564"/>
      <c r="DL122" s="564"/>
      <c r="DM122" s="564"/>
      <c r="DN122" s="564"/>
      <c r="DO122" s="564"/>
      <c r="DP122" s="564"/>
      <c r="DQ122" s="564"/>
      <c r="DR122" s="564"/>
      <c r="DS122" s="564"/>
      <c r="DT122" s="564"/>
      <c r="DU122" s="564"/>
      <c r="DV122" s="564"/>
      <c r="DW122" s="564"/>
      <c r="DX122" s="564"/>
      <c r="DY122" s="564"/>
      <c r="DZ122" s="564"/>
      <c r="EA122" s="564"/>
      <c r="EB122" s="564"/>
      <c r="EC122" s="564"/>
      <c r="ED122" s="564"/>
      <c r="EE122" s="564"/>
      <c r="EF122" s="564"/>
      <c r="EG122" s="564"/>
      <c r="EH122" s="564" t="s">
        <v>4997</v>
      </c>
      <c r="EI122" s="564"/>
      <c r="EJ122" s="564"/>
      <c r="EK122" s="564"/>
      <c r="EL122" s="564"/>
      <c r="EM122" s="564"/>
      <c r="EN122" s="564"/>
      <c r="EO122" s="564"/>
      <c r="EP122" s="564"/>
      <c r="EQ122" s="564"/>
      <c r="ER122" s="564"/>
      <c r="ES122" s="564"/>
      <c r="ET122" s="564"/>
      <c r="EU122" s="564"/>
      <c r="EV122" s="564"/>
      <c r="EW122" s="564"/>
      <c r="EX122" s="564"/>
      <c r="EY122" s="564"/>
      <c r="EZ122" s="564"/>
      <c r="FA122" s="564"/>
      <c r="FB122" s="564"/>
      <c r="FC122" s="564"/>
      <c r="FD122" s="564"/>
      <c r="FE122" s="564"/>
      <c r="FF122" s="564" t="s">
        <v>4998</v>
      </c>
      <c r="FG122" s="564"/>
      <c r="FH122" s="564"/>
      <c r="FI122" s="564"/>
      <c r="FJ122" s="564"/>
      <c r="FK122" s="564"/>
      <c r="FL122" s="564"/>
      <c r="FM122" s="564"/>
      <c r="FN122" s="564"/>
      <c r="FO122" s="564"/>
      <c r="FP122" s="564"/>
      <c r="FQ122" s="564"/>
      <c r="FR122" s="564"/>
      <c r="FS122" s="564"/>
      <c r="FT122" s="564"/>
      <c r="FU122" s="564"/>
      <c r="FV122" s="564"/>
      <c r="FW122" s="564"/>
      <c r="FX122" s="564"/>
      <c r="FY122" s="564"/>
      <c r="FZ122" s="564"/>
      <c r="GA122" s="564"/>
      <c r="GB122" s="564"/>
      <c r="GC122" s="564"/>
      <c r="GD122" s="564" t="s">
        <v>4999</v>
      </c>
      <c r="GE122" s="564"/>
      <c r="GF122" s="564"/>
      <c r="GG122" s="564"/>
      <c r="GH122" s="564"/>
      <c r="GI122" s="564"/>
      <c r="GJ122" s="564"/>
    </row>
    <row r="123" spans="1:192" s="281" customFormat="1" ht="13.5" thickTop="1" x14ac:dyDescent="0.2">
      <c r="A123" s="567"/>
      <c r="B123" s="5"/>
      <c r="D123" s="5"/>
      <c r="F123" s="16"/>
      <c r="G123" s="16"/>
      <c r="H123" s="16"/>
      <c r="I123" s="16"/>
      <c r="J123" s="16"/>
      <c r="K123" s="16"/>
      <c r="L123" s="16"/>
      <c r="M123" s="16"/>
      <c r="O123" s="463"/>
      <c r="P123" s="463"/>
      <c r="Q123" s="37"/>
      <c r="R123" s="37"/>
      <c r="S123" s="37"/>
      <c r="T123" s="37"/>
      <c r="U123" s="37"/>
      <c r="V123" s="37"/>
      <c r="W123" s="37"/>
      <c r="Z123" s="564"/>
      <c r="AA123" s="564"/>
      <c r="AB123" s="564"/>
      <c r="AC123" s="564"/>
      <c r="AD123" s="564"/>
      <c r="AE123" s="564"/>
      <c r="AF123" s="564"/>
      <c r="AG123" s="564"/>
      <c r="AH123" s="564"/>
      <c r="AI123" s="564"/>
      <c r="AJ123" s="564"/>
      <c r="AK123" s="564"/>
      <c r="AL123" s="564"/>
      <c r="AM123" s="564"/>
      <c r="AN123" s="564"/>
      <c r="AO123" s="564"/>
      <c r="AP123" s="564"/>
      <c r="AQ123" s="564"/>
      <c r="AR123" s="564"/>
      <c r="AS123" s="564"/>
      <c r="AT123" s="564"/>
      <c r="AU123" s="564"/>
      <c r="AV123" s="564"/>
      <c r="AW123" s="564"/>
      <c r="AX123" s="564"/>
      <c r="AY123" s="564"/>
      <c r="AZ123" s="564"/>
      <c r="BA123" s="564"/>
      <c r="BB123" s="564"/>
      <c r="BC123" s="564"/>
      <c r="BD123" s="564"/>
      <c r="BE123" s="564"/>
      <c r="BF123" s="564"/>
      <c r="BG123" s="564"/>
      <c r="BH123" s="564"/>
      <c r="BI123" s="564"/>
      <c r="BJ123" s="564"/>
      <c r="BK123" s="564"/>
      <c r="BL123" s="564"/>
      <c r="BM123" s="564"/>
      <c r="BN123" s="564"/>
      <c r="BO123" s="564"/>
      <c r="BP123" s="564"/>
      <c r="BQ123" s="564"/>
      <c r="BR123" s="564"/>
      <c r="BS123" s="564"/>
      <c r="BT123" s="564"/>
      <c r="BU123" s="564"/>
      <c r="BV123" s="564"/>
      <c r="BW123" s="564"/>
      <c r="BX123" s="564"/>
      <c r="BY123" s="564"/>
      <c r="BZ123" s="564"/>
      <c r="CA123" s="564"/>
      <c r="CB123" s="564"/>
      <c r="CC123" s="564"/>
      <c r="CD123" s="564"/>
      <c r="CE123" s="564"/>
      <c r="CF123" s="564"/>
      <c r="CG123" s="564"/>
      <c r="CH123" s="564"/>
      <c r="CI123" s="564"/>
      <c r="CJ123" s="564"/>
      <c r="CK123" s="564"/>
      <c r="CL123" s="564"/>
      <c r="CM123" s="564"/>
      <c r="CN123" s="564"/>
      <c r="CO123" s="564"/>
      <c r="CP123" s="564"/>
      <c r="CQ123" s="564"/>
      <c r="CR123" s="564"/>
      <c r="CS123" s="564"/>
      <c r="CT123" s="564"/>
      <c r="CU123" s="564"/>
      <c r="CV123" s="564"/>
      <c r="CW123" s="564"/>
      <c r="CX123" s="564"/>
      <c r="CY123" s="564"/>
      <c r="CZ123" s="564"/>
      <c r="DA123" s="564"/>
      <c r="DB123" s="564"/>
      <c r="DC123" s="564"/>
      <c r="DD123" s="564"/>
      <c r="DE123" s="564"/>
      <c r="DF123" s="564"/>
      <c r="DG123" s="564"/>
      <c r="DH123" s="564"/>
      <c r="DI123" s="564"/>
      <c r="DJ123" s="564"/>
      <c r="DK123" s="564"/>
      <c r="DL123" s="564"/>
      <c r="DM123" s="564"/>
      <c r="DN123" s="564"/>
      <c r="DO123" s="564"/>
      <c r="DP123" s="564"/>
      <c r="DQ123" s="564"/>
      <c r="DR123" s="564"/>
      <c r="DS123" s="564"/>
      <c r="DT123" s="564"/>
      <c r="DU123" s="564"/>
      <c r="DV123" s="564"/>
      <c r="DW123" s="564"/>
      <c r="DX123" s="564"/>
      <c r="DY123" s="564"/>
      <c r="DZ123" s="564"/>
      <c r="EA123" s="564"/>
      <c r="EB123" s="564"/>
      <c r="EC123" s="564"/>
      <c r="ED123" s="564"/>
      <c r="EE123" s="564"/>
      <c r="EF123" s="564"/>
      <c r="EG123" s="564"/>
      <c r="EH123" s="564"/>
      <c r="EI123" s="564"/>
      <c r="EJ123" s="564"/>
      <c r="EK123" s="564"/>
      <c r="EL123" s="564"/>
      <c r="EM123" s="564"/>
      <c r="EN123" s="564"/>
      <c r="EO123" s="564"/>
      <c r="EP123" s="564"/>
      <c r="EQ123" s="564"/>
      <c r="ER123" s="564"/>
      <c r="ES123" s="564"/>
      <c r="ET123" s="564"/>
      <c r="EU123" s="564"/>
      <c r="EV123" s="564"/>
      <c r="EW123" s="564"/>
      <c r="EX123" s="564"/>
      <c r="EY123" s="564"/>
      <c r="EZ123" s="564"/>
      <c r="FA123" s="564"/>
      <c r="FB123" s="564"/>
      <c r="FC123" s="564"/>
      <c r="FD123" s="564"/>
      <c r="FE123" s="564"/>
      <c r="FF123" s="564"/>
      <c r="FG123" s="564"/>
      <c r="FH123" s="564"/>
      <c r="FI123" s="564"/>
      <c r="FJ123" s="564"/>
      <c r="FK123" s="564"/>
      <c r="FL123" s="564"/>
      <c r="FM123" s="564"/>
      <c r="FN123" s="564"/>
      <c r="FO123" s="564"/>
      <c r="FP123" s="564"/>
      <c r="FQ123" s="564"/>
      <c r="FR123" s="564"/>
      <c r="FS123" s="564"/>
      <c r="FT123" s="564"/>
      <c r="FU123" s="564"/>
      <c r="FV123" s="564"/>
      <c r="FW123" s="564"/>
      <c r="FX123" s="564"/>
      <c r="FY123" s="564"/>
      <c r="FZ123" s="564"/>
      <c r="GA123" s="564"/>
      <c r="GB123" s="564"/>
      <c r="GC123" s="564"/>
      <c r="GD123" s="564"/>
      <c r="GE123" s="564"/>
      <c r="GF123" s="564"/>
      <c r="GG123" s="564"/>
      <c r="GH123" s="564"/>
      <c r="GI123" s="564"/>
      <c r="GJ123" s="564"/>
    </row>
    <row r="124" spans="1:192" s="272" customFormat="1" hidden="1" x14ac:dyDescent="0.2">
      <c r="A124" s="645" t="s">
        <v>14111</v>
      </c>
      <c r="B124" s="5"/>
      <c r="D124" s="5"/>
      <c r="F124" s="16"/>
      <c r="G124" s="16"/>
      <c r="H124" s="16"/>
      <c r="I124" s="16"/>
      <c r="J124" s="16"/>
      <c r="K124" s="16"/>
      <c r="L124" s="16"/>
      <c r="M124" s="16"/>
      <c r="O124" s="463"/>
      <c r="P124" s="463"/>
      <c r="Q124" s="47" t="str">
        <f ca="1">IF(OFFSET(AO124,0,Lang_Order*Lang__B2)="","",OFFSET(AO124,0,Lang_Order*Lang__B2))</f>
        <v>Note: Currently not calculated in this tool: International shipping, ground handling, ground transport, dry storage (assume pre-existing capacity) for vaccine-related supplies</v>
      </c>
      <c r="W124" s="37"/>
      <c r="X124" s="281"/>
      <c r="Z124" s="564"/>
      <c r="AA124" s="564"/>
      <c r="AB124" s="564"/>
      <c r="AC124" s="564"/>
      <c r="AD124" s="564"/>
      <c r="AE124" s="564"/>
      <c r="AF124" s="564"/>
      <c r="AG124" s="564"/>
      <c r="AH124" s="564"/>
      <c r="AI124" s="564"/>
      <c r="AJ124" s="564"/>
      <c r="AK124" s="564"/>
      <c r="AL124" s="564"/>
      <c r="AM124" s="564"/>
      <c r="AN124" s="564"/>
      <c r="AO124" s="564" t="s">
        <v>4177</v>
      </c>
      <c r="AP124" s="564"/>
      <c r="AQ124" s="564"/>
      <c r="AR124" s="564"/>
      <c r="AS124" s="564"/>
      <c r="AT124" s="564"/>
      <c r="AU124" s="564"/>
      <c r="AV124" s="564"/>
      <c r="AW124" s="564"/>
      <c r="AX124" s="564"/>
      <c r="AY124" s="564"/>
      <c r="AZ124" s="564"/>
      <c r="BA124" s="564"/>
      <c r="BB124" s="564"/>
      <c r="BC124" s="564"/>
      <c r="BD124" s="564"/>
      <c r="BE124" s="564"/>
      <c r="BF124" s="564"/>
      <c r="BG124" s="564"/>
      <c r="BH124" s="564"/>
      <c r="BI124" s="564"/>
      <c r="BJ124" s="564"/>
      <c r="BK124" s="564"/>
      <c r="BL124" s="564"/>
      <c r="BM124" s="564" t="s">
        <v>10133</v>
      </c>
      <c r="BN124" s="564"/>
      <c r="BO124" s="564"/>
      <c r="BP124" s="564"/>
      <c r="BQ124" s="564"/>
      <c r="BR124" s="564"/>
      <c r="BS124" s="564"/>
      <c r="BT124" s="564"/>
      <c r="BU124" s="564"/>
      <c r="BV124" s="564"/>
      <c r="BW124" s="564"/>
      <c r="BX124" s="564"/>
      <c r="BY124" s="564"/>
      <c r="BZ124" s="564"/>
      <c r="CA124" s="564"/>
      <c r="CB124" s="564"/>
      <c r="CC124" s="564"/>
      <c r="CD124" s="564"/>
      <c r="CE124" s="564"/>
      <c r="CF124" s="564"/>
      <c r="CG124" s="564"/>
      <c r="CH124" s="564"/>
      <c r="CI124" s="564"/>
      <c r="CJ124" s="564"/>
      <c r="CK124" s="564" t="s">
        <v>10134</v>
      </c>
      <c r="CL124" s="564"/>
      <c r="CM124" s="564"/>
      <c r="CN124" s="564"/>
      <c r="CO124" s="564"/>
      <c r="CP124" s="564"/>
      <c r="CQ124" s="564"/>
      <c r="CR124" s="564"/>
      <c r="CS124" s="564"/>
      <c r="CT124" s="564"/>
      <c r="CU124" s="564"/>
      <c r="CV124" s="564"/>
      <c r="CW124" s="564"/>
      <c r="CX124" s="564"/>
      <c r="CY124" s="564"/>
      <c r="CZ124" s="564"/>
      <c r="DA124" s="564"/>
      <c r="DB124" s="564"/>
      <c r="DC124" s="564"/>
      <c r="DD124" s="564"/>
      <c r="DE124" s="564"/>
      <c r="DF124" s="564"/>
      <c r="DG124" s="564"/>
      <c r="DH124" s="564"/>
      <c r="DI124" s="564" t="s">
        <v>10135</v>
      </c>
      <c r="DJ124" s="564"/>
      <c r="DK124" s="564"/>
      <c r="DL124" s="564"/>
      <c r="DM124" s="564"/>
      <c r="DN124" s="564"/>
      <c r="DO124" s="564"/>
      <c r="DP124" s="564"/>
      <c r="DQ124" s="564"/>
      <c r="DR124" s="564"/>
      <c r="DS124" s="564"/>
      <c r="DT124" s="564"/>
      <c r="DU124" s="564"/>
      <c r="DV124" s="564"/>
      <c r="DW124" s="564"/>
      <c r="DX124" s="564"/>
      <c r="DY124" s="564"/>
      <c r="DZ124" s="564"/>
      <c r="EA124" s="564"/>
      <c r="EB124" s="564"/>
      <c r="EC124" s="564"/>
      <c r="ED124" s="564"/>
      <c r="EE124" s="564"/>
      <c r="EF124" s="564"/>
      <c r="EG124" s="564" t="s">
        <v>10136</v>
      </c>
      <c r="EH124" s="564"/>
      <c r="EI124" s="564"/>
      <c r="EJ124" s="564"/>
      <c r="EK124" s="564"/>
      <c r="EL124" s="564"/>
      <c r="EM124" s="564"/>
      <c r="EN124" s="564"/>
      <c r="EO124" s="564"/>
      <c r="EP124" s="564"/>
      <c r="EQ124" s="564"/>
      <c r="ER124" s="564"/>
      <c r="ES124" s="564"/>
      <c r="ET124" s="564"/>
      <c r="EU124" s="564"/>
      <c r="EV124" s="564"/>
      <c r="EW124" s="564"/>
      <c r="EX124" s="564"/>
      <c r="EY124" s="564"/>
      <c r="EZ124" s="564"/>
      <c r="FA124" s="564"/>
      <c r="FB124" s="564"/>
      <c r="FC124" s="564"/>
      <c r="FD124" s="564"/>
      <c r="FE124" s="564" t="s">
        <v>10137</v>
      </c>
      <c r="FF124" s="564"/>
      <c r="FG124" s="564"/>
      <c r="FH124" s="564"/>
      <c r="FI124" s="564"/>
      <c r="FJ124" s="564"/>
      <c r="FK124" s="564"/>
      <c r="FL124" s="564"/>
      <c r="FM124" s="564"/>
      <c r="FN124" s="564"/>
      <c r="FO124" s="564"/>
      <c r="FP124" s="564"/>
      <c r="FQ124" s="564"/>
      <c r="FR124" s="564"/>
      <c r="FS124" s="564"/>
      <c r="FT124" s="564"/>
      <c r="FU124" s="564"/>
      <c r="FV124" s="564"/>
      <c r="FW124" s="564"/>
      <c r="FX124" s="564"/>
      <c r="FY124" s="564"/>
      <c r="FZ124" s="564"/>
      <c r="GA124" s="564"/>
      <c r="GB124" s="564"/>
      <c r="GC124" s="564" t="s">
        <v>10138</v>
      </c>
      <c r="GD124" s="564"/>
      <c r="GE124" s="564"/>
      <c r="GF124" s="564"/>
      <c r="GG124" s="564"/>
      <c r="GH124" s="564"/>
      <c r="GI124" s="564"/>
      <c r="GJ124" s="564"/>
    </row>
    <row r="125" spans="1:192" s="538" customFormat="1" ht="15" x14ac:dyDescent="0.25">
      <c r="B125" s="30" t="str">
        <f ca="1">IF(OFFSET(AB125,0,Lang_Order*Lang__B2)="","",OFFSET(AB125,0,Lang_Order*Lang__B2))</f>
        <v>PPE</v>
      </c>
      <c r="C125" s="30"/>
      <c r="D125" s="30"/>
      <c r="E125" s="30"/>
      <c r="F125" s="30" t="str">
        <f ca="1">IF(OFFSET(AF125,0,Lang_Order*Lang__B2)="","",OFFSET(AF125,0,Lang_Order*Lang__B2))</f>
        <v>H1 2021</v>
      </c>
      <c r="G125" s="30" t="str">
        <f t="shared" ref="G125" ca="1" si="61">IF(OFFSET(AG125,0,Lang_Order*Lang__B2)="","",OFFSET(AG125,0,Lang_Order*Lang__B2))</f>
        <v>H2 2021</v>
      </c>
      <c r="H125" s="30" t="str">
        <f t="shared" ref="H125" ca="1" si="62">IF(OFFSET(AH125,0,Lang_Order*Lang__B2)="","",OFFSET(AH125,0,Lang_Order*Lang__B2))</f>
        <v>H1 2022</v>
      </c>
      <c r="I125" s="30" t="str">
        <f t="shared" ref="I125" ca="1" si="63">IF(OFFSET(AI125,0,Lang_Order*Lang__B2)="","",OFFSET(AI125,0,Lang_Order*Lang__B2))</f>
        <v>H2 2022</v>
      </c>
      <c r="J125" s="30" t="str">
        <f t="shared" ref="J125" ca="1" si="64">IF(OFFSET(AJ125,0,Lang_Order*Lang__B2)="","",OFFSET(AJ125,0,Lang_Order*Lang__B2))</f>
        <v>H1 2023</v>
      </c>
      <c r="K125" s="30" t="str">
        <f t="shared" ref="K125" ca="1" si="65">IF(OFFSET(AK125,0,Lang_Order*Lang__B2)="","",OFFSET(AK125,0,Lang_Order*Lang__B2))</f>
        <v>H2 2023</v>
      </c>
      <c r="L125" s="30" t="str">
        <f t="shared" ref="L125" ca="1" si="66">IF(OFFSET(AL125,0,Lang_Order*Lang__B2)="","",OFFSET(AL125,0,Lang_Order*Lang__B2))</f>
        <v>Total</v>
      </c>
      <c r="Q125" s="76" t="str">
        <f t="shared" ref="Q125" ca="1" si="67">IF(OFFSET(AO125,0,Lang_Order*Lang__B2)="","",OFFSET(AO125,0,Lang_Order*Lang__B2))</f>
        <v>H1 2021</v>
      </c>
      <c r="R125" s="76" t="str">
        <f t="shared" ref="R125" ca="1" si="68">IF(OFFSET(AP125,0,Lang_Order*Lang__B2)="","",OFFSET(AP125,0,Lang_Order*Lang__B2))</f>
        <v>H2 2021</v>
      </c>
      <c r="S125" s="76" t="str">
        <f t="shared" ref="S125" ca="1" si="69">IF(OFFSET(AQ125,0,Lang_Order*Lang__B2)="","",OFFSET(AQ125,0,Lang_Order*Lang__B2))</f>
        <v>H1 2022</v>
      </c>
      <c r="T125" s="76" t="str">
        <f t="shared" ref="T125" ca="1" si="70">IF(OFFSET(AR125,0,Lang_Order*Lang__B2)="","",OFFSET(AR125,0,Lang_Order*Lang__B2))</f>
        <v>H2 2022</v>
      </c>
      <c r="U125" s="76" t="str">
        <f t="shared" ref="U125" ca="1" si="71">IF(OFFSET(AS125,0,Lang_Order*Lang__B2)="","",OFFSET(AS125,0,Lang_Order*Lang__B2))</f>
        <v>H1 2023</v>
      </c>
      <c r="V125" s="76" t="str">
        <f t="shared" ref="V125" ca="1" si="72">IF(OFFSET(AT125,0,Lang_Order*Lang__B2)="","",OFFSET(AT125,0,Lang_Order*Lang__B2))</f>
        <v>H2 2023</v>
      </c>
      <c r="W125" s="76" t="str">
        <f t="shared" ref="W125" ca="1" si="73">IF(OFFSET(AU125,0,Lang_Order*Lang__B2)="","",OFFSET(AU125,0,Lang_Order*Lang__B2))</f>
        <v>Total</v>
      </c>
      <c r="Z125" s="564"/>
      <c r="AA125" s="564"/>
      <c r="AB125" s="564" t="s">
        <v>3165</v>
      </c>
      <c r="AC125" s="564"/>
      <c r="AD125" s="564"/>
      <c r="AE125" s="564"/>
      <c r="AF125" s="564" t="s">
        <v>1597</v>
      </c>
      <c r="AG125" s="564" t="s">
        <v>1598</v>
      </c>
      <c r="AH125" s="564" t="s">
        <v>1599</v>
      </c>
      <c r="AI125" s="564" t="s">
        <v>1600</v>
      </c>
      <c r="AJ125" s="564" t="s">
        <v>1602</v>
      </c>
      <c r="AK125" s="564" t="s">
        <v>1601</v>
      </c>
      <c r="AL125" s="564" t="s">
        <v>1605</v>
      </c>
      <c r="AM125" s="564"/>
      <c r="AN125" s="564"/>
      <c r="AO125" s="564" t="s">
        <v>1597</v>
      </c>
      <c r="AP125" s="564" t="s">
        <v>1598</v>
      </c>
      <c r="AQ125" s="564" t="s">
        <v>1599</v>
      </c>
      <c r="AR125" s="564" t="s">
        <v>1600</v>
      </c>
      <c r="AS125" s="564" t="s">
        <v>1602</v>
      </c>
      <c r="AT125" s="564" t="s">
        <v>1601</v>
      </c>
      <c r="AU125" s="564" t="s">
        <v>1605</v>
      </c>
      <c r="AV125" s="564"/>
      <c r="AW125" s="564"/>
      <c r="AX125" s="564"/>
      <c r="AY125" s="564"/>
      <c r="AZ125" s="564" t="s">
        <v>5030</v>
      </c>
      <c r="BA125" s="564"/>
      <c r="BB125" s="564"/>
      <c r="BC125" s="564"/>
      <c r="BD125" s="564" t="s">
        <v>4663</v>
      </c>
      <c r="BE125" s="564" t="s">
        <v>4664</v>
      </c>
      <c r="BF125" s="564" t="s">
        <v>4665</v>
      </c>
      <c r="BG125" s="564" t="s">
        <v>4666</v>
      </c>
      <c r="BH125" s="564" t="s">
        <v>4667</v>
      </c>
      <c r="BI125" s="564" t="s">
        <v>4668</v>
      </c>
      <c r="BJ125" s="564" t="s">
        <v>1605</v>
      </c>
      <c r="BK125" s="564"/>
      <c r="BL125" s="564"/>
      <c r="BM125" s="564" t="s">
        <v>4663</v>
      </c>
      <c r="BN125" s="564" t="s">
        <v>4664</v>
      </c>
      <c r="BO125" s="564" t="s">
        <v>4665</v>
      </c>
      <c r="BP125" s="564" t="s">
        <v>4666</v>
      </c>
      <c r="BQ125" s="564" t="s">
        <v>4667</v>
      </c>
      <c r="BR125" s="564" t="s">
        <v>4668</v>
      </c>
      <c r="BS125" s="564" t="s">
        <v>1605</v>
      </c>
      <c r="BT125" s="564"/>
      <c r="BU125" s="564"/>
      <c r="BV125" s="564"/>
      <c r="BW125" s="564"/>
      <c r="BX125" s="564" t="s">
        <v>5031</v>
      </c>
      <c r="BY125" s="564"/>
      <c r="BZ125" s="564"/>
      <c r="CA125" s="564"/>
      <c r="CB125" s="564" t="s">
        <v>4670</v>
      </c>
      <c r="CC125" s="564" t="s">
        <v>4671</v>
      </c>
      <c r="CD125" s="564" t="s">
        <v>4672</v>
      </c>
      <c r="CE125" s="564" t="s">
        <v>4673</v>
      </c>
      <c r="CF125" s="564" t="s">
        <v>4674</v>
      </c>
      <c r="CG125" s="564" t="s">
        <v>4675</v>
      </c>
      <c r="CH125" s="564" t="s">
        <v>4676</v>
      </c>
      <c r="CI125" s="564"/>
      <c r="CJ125" s="564"/>
      <c r="CK125" s="564" t="s">
        <v>4670</v>
      </c>
      <c r="CL125" s="564" t="s">
        <v>4671</v>
      </c>
      <c r="CM125" s="564" t="s">
        <v>4672</v>
      </c>
      <c r="CN125" s="564" t="s">
        <v>4673</v>
      </c>
      <c r="CO125" s="564" t="s">
        <v>4674</v>
      </c>
      <c r="CP125" s="564" t="s">
        <v>4675</v>
      </c>
      <c r="CQ125" s="564" t="s">
        <v>4676</v>
      </c>
      <c r="CR125" s="564"/>
      <c r="CS125" s="564"/>
      <c r="CT125" s="564"/>
      <c r="CU125" s="564"/>
      <c r="CV125" s="564" t="s">
        <v>5032</v>
      </c>
      <c r="CW125" s="564"/>
      <c r="CX125" s="564"/>
      <c r="CY125" s="564"/>
      <c r="CZ125" s="564" t="s">
        <v>1597</v>
      </c>
      <c r="DA125" s="564" t="s">
        <v>1598</v>
      </c>
      <c r="DB125" s="564" t="s">
        <v>1599</v>
      </c>
      <c r="DC125" s="564" t="s">
        <v>1600</v>
      </c>
      <c r="DD125" s="564" t="s">
        <v>1602</v>
      </c>
      <c r="DE125" s="564" t="s">
        <v>1601</v>
      </c>
      <c r="DF125" s="564" t="s">
        <v>1605</v>
      </c>
      <c r="DG125" s="564"/>
      <c r="DH125" s="564"/>
      <c r="DI125" s="564" t="s">
        <v>1597</v>
      </c>
      <c r="DJ125" s="564" t="s">
        <v>1598</v>
      </c>
      <c r="DK125" s="564" t="s">
        <v>1599</v>
      </c>
      <c r="DL125" s="564" t="s">
        <v>1600</v>
      </c>
      <c r="DM125" s="564" t="s">
        <v>1602</v>
      </c>
      <c r="DN125" s="564" t="s">
        <v>1601</v>
      </c>
      <c r="DO125" s="564" t="s">
        <v>1605</v>
      </c>
      <c r="DP125" s="564"/>
      <c r="DQ125" s="564"/>
      <c r="DR125" s="564"/>
      <c r="DS125" s="564"/>
      <c r="DT125" s="564" t="s">
        <v>5030</v>
      </c>
      <c r="DU125" s="564"/>
      <c r="DV125" s="564"/>
      <c r="DW125" s="564"/>
      <c r="DX125" s="564" t="s">
        <v>4663</v>
      </c>
      <c r="DY125" s="564" t="s">
        <v>4664</v>
      </c>
      <c r="DZ125" s="564" t="s">
        <v>4665</v>
      </c>
      <c r="EA125" s="564" t="s">
        <v>4666</v>
      </c>
      <c r="EB125" s="564" t="s">
        <v>4667</v>
      </c>
      <c r="EC125" s="564" t="s">
        <v>4668</v>
      </c>
      <c r="ED125" s="564" t="s">
        <v>1605</v>
      </c>
      <c r="EE125" s="564"/>
      <c r="EF125" s="564"/>
      <c r="EG125" s="564" t="s">
        <v>4663</v>
      </c>
      <c r="EH125" s="564" t="s">
        <v>4664</v>
      </c>
      <c r="EI125" s="564" t="s">
        <v>4665</v>
      </c>
      <c r="EJ125" s="564" t="s">
        <v>4666</v>
      </c>
      <c r="EK125" s="564" t="s">
        <v>4667</v>
      </c>
      <c r="EL125" s="564" t="s">
        <v>4668</v>
      </c>
      <c r="EM125" s="564" t="s">
        <v>1605</v>
      </c>
      <c r="EN125" s="564"/>
      <c r="EO125" s="564"/>
      <c r="EP125" s="564"/>
      <c r="EQ125" s="564"/>
      <c r="ER125" s="564" t="s">
        <v>5033</v>
      </c>
      <c r="ES125" s="564"/>
      <c r="ET125" s="564"/>
      <c r="EU125" s="564"/>
      <c r="EV125" s="564" t="s">
        <v>4680</v>
      </c>
      <c r="EW125" s="564" t="s">
        <v>4681</v>
      </c>
      <c r="EX125" s="564" t="s">
        <v>9985</v>
      </c>
      <c r="EY125" s="564" t="s">
        <v>4683</v>
      </c>
      <c r="EZ125" s="564" t="s">
        <v>4684</v>
      </c>
      <c r="FA125" s="564" t="s">
        <v>4685</v>
      </c>
      <c r="FB125" s="564" t="s">
        <v>4686</v>
      </c>
      <c r="FC125" s="564"/>
      <c r="FD125" s="564"/>
      <c r="FE125" s="564" t="s">
        <v>4680</v>
      </c>
      <c r="FF125" s="564" t="s">
        <v>4681</v>
      </c>
      <c r="FG125" s="564" t="s">
        <v>9985</v>
      </c>
      <c r="FH125" s="564" t="s">
        <v>4683</v>
      </c>
      <c r="FI125" s="564" t="s">
        <v>4684</v>
      </c>
      <c r="FJ125" s="564" t="s">
        <v>4685</v>
      </c>
      <c r="FK125" s="564" t="s">
        <v>4686</v>
      </c>
      <c r="FL125" s="564"/>
      <c r="FM125" s="564"/>
      <c r="FN125" s="564"/>
      <c r="FO125" s="564"/>
      <c r="FP125" s="564" t="s">
        <v>3165</v>
      </c>
      <c r="FQ125" s="564"/>
      <c r="FR125" s="564"/>
      <c r="FS125" s="564"/>
      <c r="FT125" s="564" t="s">
        <v>4688</v>
      </c>
      <c r="FU125" s="564" t="s">
        <v>4689</v>
      </c>
      <c r="FV125" s="564" t="s">
        <v>4690</v>
      </c>
      <c r="FW125" s="564" t="s">
        <v>4691</v>
      </c>
      <c r="FX125" s="564" t="s">
        <v>4692</v>
      </c>
      <c r="FY125" s="564" t="s">
        <v>4693</v>
      </c>
      <c r="FZ125" s="564" t="s">
        <v>6111</v>
      </c>
      <c r="GA125" s="564"/>
      <c r="GB125" s="564"/>
      <c r="GC125" s="564" t="s">
        <v>4688</v>
      </c>
      <c r="GD125" s="564" t="s">
        <v>4689</v>
      </c>
      <c r="GE125" s="564" t="s">
        <v>4690</v>
      </c>
      <c r="GF125" s="564" t="s">
        <v>4691</v>
      </c>
      <c r="GG125" s="564" t="s">
        <v>4692</v>
      </c>
      <c r="GH125" s="564" t="s">
        <v>4693</v>
      </c>
      <c r="GI125" s="564" t="s">
        <v>6111</v>
      </c>
      <c r="GJ125" s="564"/>
    </row>
    <row r="126" spans="1:192" s="272" customFormat="1" x14ac:dyDescent="0.2">
      <c r="B126" s="5" t="str">
        <f ca="1">IF(OFFSET(AB126,0,Lang_Order*Lang__B2)="","",OFFSET(AB126,0,Lang_Order*Lang__B2))</f>
        <v>Vaccinator-Days</v>
      </c>
      <c r="D126" s="5"/>
      <c r="F126" s="16" t="e">
        <f>'B5. Last Mile Delivery'!J59</f>
        <v>#N/A</v>
      </c>
      <c r="G126" s="16" t="e">
        <f>'B5. Last Mile Delivery'!K59</f>
        <v>#N/A</v>
      </c>
      <c r="H126" s="16" t="e">
        <f>'B5. Last Mile Delivery'!L59</f>
        <v>#N/A</v>
      </c>
      <c r="I126" s="16" t="e">
        <f>'B5. Last Mile Delivery'!M59</f>
        <v>#N/A</v>
      </c>
      <c r="J126" s="16" t="e">
        <f>'B5. Last Mile Delivery'!N59</f>
        <v>#N/A</v>
      </c>
      <c r="K126" s="16" t="e">
        <f>'B5. Last Mile Delivery'!O59</f>
        <v>#N/A</v>
      </c>
      <c r="L126" s="16" t="e">
        <f>'B5. Last Mile Delivery'!P59</f>
        <v>#N/A</v>
      </c>
      <c r="M126" s="16"/>
      <c r="O126" s="463"/>
      <c r="P126" s="463"/>
      <c r="Q126" s="37"/>
      <c r="R126" s="37"/>
      <c r="S126" s="37"/>
      <c r="T126" s="37"/>
      <c r="U126" s="37"/>
      <c r="V126" s="37"/>
      <c r="W126" s="37"/>
      <c r="Z126" s="564"/>
      <c r="AA126" s="564"/>
      <c r="AB126" s="564" t="s">
        <v>2987</v>
      </c>
      <c r="AC126" s="564"/>
      <c r="AD126" s="564"/>
      <c r="AE126" s="564"/>
      <c r="AF126" s="564"/>
      <c r="AG126" s="564"/>
      <c r="AH126" s="564"/>
      <c r="AI126" s="564"/>
      <c r="AJ126" s="564"/>
      <c r="AK126" s="564"/>
      <c r="AL126" s="564"/>
      <c r="AM126" s="564"/>
      <c r="AN126" s="564"/>
      <c r="AO126" s="564"/>
      <c r="AP126" s="564"/>
      <c r="AQ126" s="564"/>
      <c r="AR126" s="564"/>
      <c r="AS126" s="564"/>
      <c r="AT126" s="564"/>
      <c r="AU126" s="564"/>
      <c r="AV126" s="564"/>
      <c r="AW126" s="564"/>
      <c r="AX126" s="564"/>
      <c r="AY126" s="564" t="str">
        <f>CONCATENATE($AX$1,AA126)</f>
        <v/>
      </c>
      <c r="AZ126" s="564" t="s">
        <v>13557</v>
      </c>
      <c r="BA126" s="564"/>
      <c r="BB126" s="564"/>
      <c r="BC126" s="564"/>
      <c r="BD126" s="564"/>
      <c r="BE126" s="564"/>
      <c r="BF126" s="564" t="str">
        <f t="shared" ref="BF126:BU126" si="74">CONCATENATE($AX$1,AH126)</f>
        <v/>
      </c>
      <c r="BG126" s="564" t="str">
        <f t="shared" si="74"/>
        <v/>
      </c>
      <c r="BH126" s="564" t="str">
        <f t="shared" si="74"/>
        <v/>
      </c>
      <c r="BI126" s="564" t="str">
        <f t="shared" si="74"/>
        <v/>
      </c>
      <c r="BJ126" s="564" t="str">
        <f t="shared" si="74"/>
        <v/>
      </c>
      <c r="BK126" s="564" t="str">
        <f t="shared" si="74"/>
        <v/>
      </c>
      <c r="BL126" s="564" t="str">
        <f t="shared" si="74"/>
        <v/>
      </c>
      <c r="BM126" s="564" t="str">
        <f t="shared" si="74"/>
        <v/>
      </c>
      <c r="BN126" s="564" t="str">
        <f t="shared" si="74"/>
        <v/>
      </c>
      <c r="BO126" s="564" t="str">
        <f t="shared" si="74"/>
        <v/>
      </c>
      <c r="BP126" s="564" t="str">
        <f t="shared" si="74"/>
        <v/>
      </c>
      <c r="BQ126" s="564" t="str">
        <f t="shared" si="74"/>
        <v/>
      </c>
      <c r="BR126" s="564" t="str">
        <f t="shared" si="74"/>
        <v/>
      </c>
      <c r="BS126" s="564" t="str">
        <f t="shared" si="74"/>
        <v/>
      </c>
      <c r="BT126" s="564" t="str">
        <f t="shared" si="74"/>
        <v/>
      </c>
      <c r="BU126" s="564" t="str">
        <f t="shared" si="74"/>
        <v/>
      </c>
      <c r="BV126" s="564"/>
      <c r="BW126" s="564" t="str">
        <f>CONCATENATE($BV$1,AA126)</f>
        <v/>
      </c>
      <c r="BX126" s="564" t="s">
        <v>13558</v>
      </c>
      <c r="BY126" s="564"/>
      <c r="BZ126" s="564"/>
      <c r="CA126" s="564"/>
      <c r="CB126" s="564"/>
      <c r="CC126" s="564" t="str">
        <f t="shared" ref="CC126:CS126" si="75">CONCATENATE($BV$1,AG126)</f>
        <v/>
      </c>
      <c r="CD126" s="564" t="str">
        <f t="shared" si="75"/>
        <v/>
      </c>
      <c r="CE126" s="564" t="str">
        <f t="shared" si="75"/>
        <v/>
      </c>
      <c r="CF126" s="564" t="str">
        <f t="shared" si="75"/>
        <v/>
      </c>
      <c r="CG126" s="564" t="str">
        <f t="shared" si="75"/>
        <v/>
      </c>
      <c r="CH126" s="564" t="str">
        <f t="shared" si="75"/>
        <v/>
      </c>
      <c r="CI126" s="564" t="str">
        <f t="shared" si="75"/>
        <v/>
      </c>
      <c r="CJ126" s="564" t="str">
        <f t="shared" si="75"/>
        <v/>
      </c>
      <c r="CK126" s="564" t="str">
        <f t="shared" si="75"/>
        <v/>
      </c>
      <c r="CL126" s="564" t="str">
        <f t="shared" si="75"/>
        <v/>
      </c>
      <c r="CM126" s="564" t="str">
        <f t="shared" si="75"/>
        <v/>
      </c>
      <c r="CN126" s="564" t="str">
        <f t="shared" si="75"/>
        <v/>
      </c>
      <c r="CO126" s="564" t="str">
        <f t="shared" si="75"/>
        <v/>
      </c>
      <c r="CP126" s="564" t="str">
        <f t="shared" si="75"/>
        <v/>
      </c>
      <c r="CQ126" s="564" t="str">
        <f t="shared" si="75"/>
        <v/>
      </c>
      <c r="CR126" s="564" t="str">
        <f t="shared" si="75"/>
        <v/>
      </c>
      <c r="CS126" s="564" t="str">
        <f t="shared" si="75"/>
        <v/>
      </c>
      <c r="CT126" s="564"/>
      <c r="CU126" s="564" t="str">
        <f>CONCATENATE($CT$1,AA126)</f>
        <v/>
      </c>
      <c r="CV126" s="564" t="s">
        <v>13559</v>
      </c>
      <c r="CW126" s="564"/>
      <c r="CX126" s="564"/>
      <c r="CY126" s="564"/>
      <c r="CZ126" s="564" t="str">
        <f t="shared" ref="CZ126:DQ126" si="76">CONCATENATE($CT$1,AF126)</f>
        <v/>
      </c>
      <c r="DA126" s="564" t="str">
        <f t="shared" si="76"/>
        <v/>
      </c>
      <c r="DB126" s="564" t="str">
        <f t="shared" si="76"/>
        <v/>
      </c>
      <c r="DC126" s="564" t="str">
        <f t="shared" si="76"/>
        <v/>
      </c>
      <c r="DD126" s="564" t="str">
        <f t="shared" si="76"/>
        <v/>
      </c>
      <c r="DE126" s="564" t="str">
        <f t="shared" si="76"/>
        <v/>
      </c>
      <c r="DF126" s="564" t="str">
        <f t="shared" si="76"/>
        <v/>
      </c>
      <c r="DG126" s="564" t="str">
        <f t="shared" si="76"/>
        <v/>
      </c>
      <c r="DH126" s="564" t="str">
        <f t="shared" si="76"/>
        <v/>
      </c>
      <c r="DI126" s="564" t="str">
        <f t="shared" si="76"/>
        <v/>
      </c>
      <c r="DJ126" s="564" t="str">
        <f t="shared" si="76"/>
        <v/>
      </c>
      <c r="DK126" s="564" t="str">
        <f t="shared" si="76"/>
        <v/>
      </c>
      <c r="DL126" s="564" t="str">
        <f t="shared" si="76"/>
        <v/>
      </c>
      <c r="DM126" s="564" t="str">
        <f t="shared" si="76"/>
        <v/>
      </c>
      <c r="DN126" s="564" t="str">
        <f t="shared" si="76"/>
        <v/>
      </c>
      <c r="DO126" s="564" t="str">
        <f t="shared" si="76"/>
        <v/>
      </c>
      <c r="DP126" s="564" t="str">
        <f t="shared" si="76"/>
        <v/>
      </c>
      <c r="DQ126" s="564" t="str">
        <f t="shared" si="76"/>
        <v/>
      </c>
      <c r="DR126" s="564"/>
      <c r="DS126" s="564" t="str">
        <f>CONCATENATE($DR$1,AA126)</f>
        <v/>
      </c>
      <c r="DT126" s="564" t="s">
        <v>13560</v>
      </c>
      <c r="DU126" s="564"/>
      <c r="DV126" s="564"/>
      <c r="DW126" s="564" t="str">
        <f t="shared" ref="DW126:EO126" si="77">CONCATENATE($DR$1,AE126)</f>
        <v/>
      </c>
      <c r="DX126" s="564" t="str">
        <f t="shared" si="77"/>
        <v/>
      </c>
      <c r="DY126" s="564" t="str">
        <f t="shared" si="77"/>
        <v/>
      </c>
      <c r="DZ126" s="564" t="str">
        <f t="shared" si="77"/>
        <v/>
      </c>
      <c r="EA126" s="564" t="str">
        <f t="shared" si="77"/>
        <v/>
      </c>
      <c r="EB126" s="564" t="str">
        <f t="shared" si="77"/>
        <v/>
      </c>
      <c r="EC126" s="564" t="str">
        <f t="shared" si="77"/>
        <v/>
      </c>
      <c r="ED126" s="564" t="str">
        <f t="shared" si="77"/>
        <v/>
      </c>
      <c r="EE126" s="564" t="str">
        <f t="shared" si="77"/>
        <v/>
      </c>
      <c r="EF126" s="564" t="str">
        <f t="shared" si="77"/>
        <v/>
      </c>
      <c r="EG126" s="564" t="str">
        <f t="shared" si="77"/>
        <v/>
      </c>
      <c r="EH126" s="564" t="str">
        <f t="shared" si="77"/>
        <v/>
      </c>
      <c r="EI126" s="564" t="str">
        <f t="shared" si="77"/>
        <v/>
      </c>
      <c r="EJ126" s="564" t="str">
        <f t="shared" si="77"/>
        <v/>
      </c>
      <c r="EK126" s="564" t="str">
        <f t="shared" si="77"/>
        <v/>
      </c>
      <c r="EL126" s="564" t="str">
        <f t="shared" si="77"/>
        <v/>
      </c>
      <c r="EM126" s="564" t="str">
        <f t="shared" si="77"/>
        <v/>
      </c>
      <c r="EN126" s="564" t="str">
        <f t="shared" si="77"/>
        <v/>
      </c>
      <c r="EO126" s="564" t="str">
        <f t="shared" si="77"/>
        <v/>
      </c>
      <c r="EP126" s="564"/>
      <c r="EQ126" s="564"/>
      <c r="ER126" s="564" t="s">
        <v>13561</v>
      </c>
      <c r="ES126" s="564"/>
      <c r="ET126" s="564"/>
      <c r="EU126" s="564"/>
      <c r="EV126" s="564"/>
      <c r="EW126" s="564"/>
      <c r="EX126" s="564"/>
      <c r="EY126" s="564"/>
      <c r="EZ126" s="564"/>
      <c r="FA126" s="564"/>
      <c r="FB126" s="564"/>
      <c r="FC126" s="564"/>
      <c r="FD126" s="564"/>
      <c r="FE126" s="564"/>
      <c r="FF126" s="564"/>
      <c r="FG126" s="564"/>
      <c r="FH126" s="564"/>
      <c r="FI126" s="564"/>
      <c r="FJ126" s="564"/>
      <c r="FK126" s="564"/>
      <c r="FL126" s="564"/>
      <c r="FM126" s="564"/>
      <c r="FN126" s="564"/>
      <c r="FO126" s="564"/>
      <c r="FP126" s="564" t="s">
        <v>13562</v>
      </c>
      <c r="FQ126" s="564"/>
      <c r="FR126" s="564"/>
      <c r="FS126" s="564"/>
      <c r="FT126" s="564"/>
      <c r="FU126" s="564"/>
      <c r="FV126" s="564"/>
      <c r="FW126" s="564"/>
      <c r="FX126" s="564"/>
      <c r="FY126" s="564"/>
      <c r="FZ126" s="564"/>
      <c r="GA126" s="564"/>
      <c r="GB126" s="564"/>
      <c r="GC126" s="564"/>
      <c r="GD126" s="564"/>
      <c r="GE126" s="564"/>
      <c r="GF126" s="564"/>
      <c r="GG126" s="564"/>
      <c r="GH126" s="564"/>
      <c r="GI126" s="564"/>
      <c r="GJ126" s="564"/>
    </row>
    <row r="127" spans="1:192" s="538" customFormat="1" x14ac:dyDescent="0.2">
      <c r="B127" s="97"/>
      <c r="C127" s="34"/>
      <c r="D127" s="365" t="str">
        <f t="shared" ref="D127:K127" ca="1" si="78">IF(OFFSET(AD127,0,Lang_Order*Lang__B2)="","",OFFSET(AD127,0,Lang_Order*Lang__B2))</f>
        <v>Quantity (per Vaccinator-Days)</v>
      </c>
      <c r="E127" s="573" t="str">
        <f t="shared" ca="1" si="78"/>
        <v>Unit Cost (USD)</v>
      </c>
      <c r="F127" s="704" t="str">
        <f t="shared" ca="1" si="78"/>
        <v>Quantity</v>
      </c>
      <c r="G127" s="704" t="str">
        <f t="shared" ca="1" si="78"/>
        <v/>
      </c>
      <c r="H127" s="704" t="str">
        <f t="shared" ca="1" si="78"/>
        <v/>
      </c>
      <c r="I127" s="704" t="str">
        <f t="shared" ca="1" si="78"/>
        <v/>
      </c>
      <c r="J127" s="704" t="str">
        <f t="shared" ca="1" si="78"/>
        <v/>
      </c>
      <c r="K127" s="704" t="str">
        <f t="shared" ca="1" si="78"/>
        <v/>
      </c>
      <c r="L127" s="497"/>
      <c r="M127" s="497"/>
      <c r="N127" s="34"/>
      <c r="O127" s="34"/>
      <c r="P127" s="34"/>
      <c r="Q127" s="705" t="str">
        <f t="shared" ref="Q127" ca="1" si="79">IF(OFFSET(AO127,0,Lang_Order*Lang__B2)="","",OFFSET(AO127,0,Lang_Order*Lang__B2))</f>
        <v>Cost</v>
      </c>
      <c r="R127" s="705" t="str">
        <f t="shared" ref="R127" ca="1" si="80">IF(OFFSET(AP127,0,Lang_Order*Lang__B2)="","",OFFSET(AP127,0,Lang_Order*Lang__B2))</f>
        <v/>
      </c>
      <c r="S127" s="705" t="str">
        <f t="shared" ref="S127" ca="1" si="81">IF(OFFSET(AQ127,0,Lang_Order*Lang__B2)="","",OFFSET(AQ127,0,Lang_Order*Lang__B2))</f>
        <v/>
      </c>
      <c r="T127" s="705" t="str">
        <f t="shared" ref="T127" ca="1" si="82">IF(OFFSET(AR127,0,Lang_Order*Lang__B2)="","",OFFSET(AR127,0,Lang_Order*Lang__B2))</f>
        <v/>
      </c>
      <c r="U127" s="705" t="str">
        <f t="shared" ref="U127" ca="1" si="83">IF(OFFSET(AS127,0,Lang_Order*Lang__B2)="","",OFFSET(AS127,0,Lang_Order*Lang__B2))</f>
        <v/>
      </c>
      <c r="V127" s="705" t="str">
        <f t="shared" ref="V127" ca="1" si="84">IF(OFFSET(AT127,0,Lang_Order*Lang__B2)="","",OFFSET(AT127,0,Lang_Order*Lang__B2))</f>
        <v/>
      </c>
      <c r="W127" s="152"/>
      <c r="X127" s="34"/>
      <c r="Z127" s="564"/>
      <c r="AA127" s="564"/>
      <c r="AB127" s="564"/>
      <c r="AC127" s="564"/>
      <c r="AD127" s="564" t="s">
        <v>2961</v>
      </c>
      <c r="AE127" s="564" t="s">
        <v>2962</v>
      </c>
      <c r="AF127" s="564" t="s">
        <v>1596</v>
      </c>
      <c r="AG127" s="564"/>
      <c r="AH127" s="564"/>
      <c r="AI127" s="564"/>
      <c r="AJ127" s="564"/>
      <c r="AK127" s="564"/>
      <c r="AL127" s="564"/>
      <c r="AM127" s="564"/>
      <c r="AN127" s="564"/>
      <c r="AO127" s="564" t="s">
        <v>4594</v>
      </c>
      <c r="AP127" s="564"/>
      <c r="AQ127" s="564"/>
      <c r="AR127" s="564"/>
      <c r="AS127" s="564"/>
      <c r="AT127" s="564"/>
      <c r="AU127" s="564"/>
      <c r="AV127" s="564"/>
      <c r="AW127" s="564"/>
      <c r="AX127" s="564"/>
      <c r="AY127" s="564"/>
      <c r="AZ127" s="564"/>
      <c r="BA127" s="564"/>
      <c r="BB127" s="564" t="s">
        <v>13539</v>
      </c>
      <c r="BC127" s="564" t="s">
        <v>13545</v>
      </c>
      <c r="BD127" s="564" t="s">
        <v>8112</v>
      </c>
      <c r="BE127" s="564"/>
      <c r="BF127" s="564"/>
      <c r="BG127" s="564"/>
      <c r="BH127" s="564"/>
      <c r="BI127" s="564"/>
      <c r="BJ127" s="564"/>
      <c r="BK127" s="564"/>
      <c r="BL127" s="564"/>
      <c r="BM127" s="564" t="s">
        <v>13551</v>
      </c>
      <c r="BN127" s="564"/>
      <c r="BO127" s="564"/>
      <c r="BP127" s="564"/>
      <c r="BQ127" s="564"/>
      <c r="BR127" s="564"/>
      <c r="BS127" s="564"/>
      <c r="BT127" s="564"/>
      <c r="BU127" s="564"/>
      <c r="BV127" s="564"/>
      <c r="BW127" s="564"/>
      <c r="BX127" s="564"/>
      <c r="BY127" s="564"/>
      <c r="BZ127" s="564" t="s">
        <v>13540</v>
      </c>
      <c r="CA127" s="564" t="s">
        <v>13546</v>
      </c>
      <c r="CB127" s="564" t="s">
        <v>13538</v>
      </c>
      <c r="CC127" s="564"/>
      <c r="CD127" s="564"/>
      <c r="CE127" s="564"/>
      <c r="CF127" s="564"/>
      <c r="CG127" s="564"/>
      <c r="CH127" s="564"/>
      <c r="CI127" s="564"/>
      <c r="CJ127" s="564"/>
      <c r="CK127" s="564" t="s">
        <v>13552</v>
      </c>
      <c r="CL127" s="564"/>
      <c r="CM127" s="564"/>
      <c r="CN127" s="564"/>
      <c r="CO127" s="564"/>
      <c r="CP127" s="564"/>
      <c r="CQ127" s="564"/>
      <c r="CR127" s="564"/>
      <c r="CS127" s="564"/>
      <c r="CT127" s="564"/>
      <c r="CU127" s="564"/>
      <c r="CV127" s="564"/>
      <c r="CW127" s="564"/>
      <c r="CX127" s="564" t="s">
        <v>13541</v>
      </c>
      <c r="CY127" s="564" t="s">
        <v>13547</v>
      </c>
      <c r="CZ127" s="564" t="s">
        <v>8116</v>
      </c>
      <c r="DA127" s="564"/>
      <c r="DB127" s="564"/>
      <c r="DC127" s="564"/>
      <c r="DD127" s="564"/>
      <c r="DE127" s="564"/>
      <c r="DF127" s="564"/>
      <c r="DG127" s="564"/>
      <c r="DH127" s="564"/>
      <c r="DI127" s="564" t="s">
        <v>13553</v>
      </c>
      <c r="DJ127" s="564"/>
      <c r="DK127" s="564"/>
      <c r="DL127" s="564"/>
      <c r="DM127" s="564"/>
      <c r="DN127" s="564"/>
      <c r="DO127" s="564"/>
      <c r="DP127" s="564"/>
      <c r="DQ127" s="564"/>
      <c r="DR127" s="564"/>
      <c r="DS127" s="564"/>
      <c r="DT127" s="564"/>
      <c r="DU127" s="564"/>
      <c r="DV127" s="564" t="s">
        <v>13542</v>
      </c>
      <c r="DW127" s="564" t="s">
        <v>13548</v>
      </c>
      <c r="DX127" s="564" t="s">
        <v>8117</v>
      </c>
      <c r="DY127" s="564"/>
      <c r="DZ127" s="564"/>
      <c r="EA127" s="564"/>
      <c r="EB127" s="564"/>
      <c r="EC127" s="564"/>
      <c r="ED127" s="564"/>
      <c r="EE127" s="564"/>
      <c r="EF127" s="564"/>
      <c r="EG127" s="564" t="s">
        <v>13554</v>
      </c>
      <c r="EH127" s="564"/>
      <c r="EI127" s="564"/>
      <c r="EJ127" s="564"/>
      <c r="EK127" s="564"/>
      <c r="EL127" s="564"/>
      <c r="EM127" s="564"/>
      <c r="EN127" s="564"/>
      <c r="EO127" s="564"/>
      <c r="EP127" s="564"/>
      <c r="EQ127" s="564"/>
      <c r="ER127" s="564"/>
      <c r="ES127" s="564"/>
      <c r="ET127" s="564" t="s">
        <v>13543</v>
      </c>
      <c r="EU127" s="564" t="s">
        <v>13549</v>
      </c>
      <c r="EV127" s="564" t="s">
        <v>8119</v>
      </c>
      <c r="EW127" s="564"/>
      <c r="EX127" s="564"/>
      <c r="EY127" s="564"/>
      <c r="EZ127" s="564"/>
      <c r="FA127" s="564"/>
      <c r="FB127" s="564"/>
      <c r="FC127" s="564"/>
      <c r="FD127" s="564"/>
      <c r="FE127" s="564" t="s">
        <v>13555</v>
      </c>
      <c r="FF127" s="564"/>
      <c r="FG127" s="564"/>
      <c r="FH127" s="564"/>
      <c r="FI127" s="564"/>
      <c r="FJ127" s="564"/>
      <c r="FK127" s="564"/>
      <c r="FL127" s="564"/>
      <c r="FM127" s="564"/>
      <c r="FN127" s="564"/>
      <c r="FO127" s="564"/>
      <c r="FP127" s="564"/>
      <c r="FQ127" s="564"/>
      <c r="FR127" s="564" t="s">
        <v>13544</v>
      </c>
      <c r="FS127" s="564" t="s">
        <v>13550</v>
      </c>
      <c r="FT127" s="564" t="s">
        <v>8121</v>
      </c>
      <c r="FU127" s="564"/>
      <c r="FV127" s="564"/>
      <c r="FW127" s="564"/>
      <c r="FX127" s="564"/>
      <c r="FY127" s="564"/>
      <c r="FZ127" s="564"/>
      <c r="GA127" s="564"/>
      <c r="GB127" s="564"/>
      <c r="GC127" s="564" t="s">
        <v>13556</v>
      </c>
      <c r="GD127" s="564"/>
      <c r="GE127" s="564"/>
      <c r="GF127" s="564"/>
      <c r="GG127" s="564"/>
      <c r="GH127" s="564"/>
      <c r="GI127" s="564"/>
      <c r="GJ127" s="564"/>
    </row>
    <row r="128" spans="1:192" s="538" customFormat="1" x14ac:dyDescent="0.2">
      <c r="A128" s="165">
        <v>13</v>
      </c>
      <c r="B128" s="5" t="str">
        <f t="shared" ref="B128:B135" ca="1" si="85">OFFSET(_Offset_Index_VaccineSupplyPrices,1,A128)</f>
        <v>Medical mask</v>
      </c>
      <c r="D128" s="269">
        <f ca="1">'A3. INPUT Unit Costs'!G48</f>
        <v>2</v>
      </c>
      <c r="E128" s="460">
        <f ca="1">'A3. INPUT Unit Costs'!H48</f>
        <v>0.31</v>
      </c>
      <c r="F128" s="16" t="e">
        <f ca="1">$D128*F$126</f>
        <v>#N/A</v>
      </c>
      <c r="G128" s="16" t="e">
        <f t="shared" ref="G128:K140" ca="1" si="86">$D128*G$126</f>
        <v>#N/A</v>
      </c>
      <c r="H128" s="16" t="e">
        <f t="shared" ca="1" si="86"/>
        <v>#N/A</v>
      </c>
      <c r="I128" s="16" t="e">
        <f t="shared" ca="1" si="86"/>
        <v>#N/A</v>
      </c>
      <c r="J128" s="16" t="e">
        <f t="shared" ca="1" si="86"/>
        <v>#N/A</v>
      </c>
      <c r="K128" s="16" t="e">
        <f t="shared" ca="1" si="86"/>
        <v>#N/A</v>
      </c>
      <c r="L128" s="16" t="e">
        <f ca="1">SUM(F128:K128)</f>
        <v>#N/A</v>
      </c>
      <c r="M128" s="16"/>
      <c r="Q128" s="300" t="e">
        <f ca="1">$E128*F128</f>
        <v>#N/A</v>
      </c>
      <c r="R128" s="300" t="e">
        <f t="shared" ref="R128:R140" ca="1" si="87">$E128*G128</f>
        <v>#N/A</v>
      </c>
      <c r="S128" s="300" t="e">
        <f t="shared" ref="S128:S140" ca="1" si="88">$E128*H128</f>
        <v>#N/A</v>
      </c>
      <c r="T128" s="300" t="e">
        <f t="shared" ref="T128:T140" ca="1" si="89">$E128*I128</f>
        <v>#N/A</v>
      </c>
      <c r="U128" s="300" t="e">
        <f t="shared" ref="U128:U140" ca="1" si="90">$E128*J128</f>
        <v>#N/A</v>
      </c>
      <c r="V128" s="300" t="e">
        <f t="shared" ref="V128:V140" ca="1" si="91">$E128*K128</f>
        <v>#N/A</v>
      </c>
      <c r="W128" s="300" t="e">
        <f ca="1">SUM(Q128:V128)</f>
        <v>#N/A</v>
      </c>
      <c r="Z128" s="564"/>
      <c r="AA128" s="564"/>
      <c r="AB128" s="564"/>
      <c r="AC128" s="564"/>
      <c r="AD128" s="564"/>
      <c r="AE128" s="564"/>
      <c r="AF128" s="564"/>
      <c r="AG128" s="564"/>
      <c r="AH128" s="564"/>
      <c r="AI128" s="564"/>
      <c r="AJ128" s="564"/>
      <c r="AK128" s="564"/>
      <c r="AL128" s="564"/>
      <c r="AM128" s="564"/>
      <c r="AN128" s="564"/>
      <c r="AO128" s="564"/>
      <c r="AP128" s="564"/>
      <c r="AQ128" s="564"/>
      <c r="AR128" s="564"/>
      <c r="AS128" s="564"/>
      <c r="AT128" s="564"/>
      <c r="AU128" s="564"/>
      <c r="AV128" s="564"/>
      <c r="AW128" s="564"/>
      <c r="AX128" s="564"/>
      <c r="AY128" s="564"/>
      <c r="AZ128" s="564"/>
      <c r="BA128" s="564"/>
      <c r="BB128" s="564"/>
      <c r="BC128" s="564"/>
      <c r="BD128" s="564"/>
      <c r="BE128" s="564"/>
      <c r="BF128" s="564"/>
      <c r="BG128" s="564"/>
      <c r="BH128" s="564"/>
      <c r="BI128" s="564"/>
      <c r="BJ128" s="564"/>
      <c r="BK128" s="564"/>
      <c r="BL128" s="564"/>
      <c r="BM128" s="564"/>
      <c r="BN128" s="564"/>
      <c r="BO128" s="564"/>
      <c r="BP128" s="564"/>
      <c r="BQ128" s="564"/>
      <c r="BR128" s="564"/>
      <c r="BS128" s="564"/>
      <c r="BT128" s="564"/>
      <c r="BU128" s="564"/>
      <c r="BV128" s="564"/>
      <c r="BW128" s="564"/>
      <c r="BX128" s="564"/>
      <c r="BY128" s="564"/>
      <c r="BZ128" s="564"/>
      <c r="CA128" s="564"/>
      <c r="CB128" s="564"/>
      <c r="CC128" s="564"/>
      <c r="CD128" s="564"/>
      <c r="CE128" s="564"/>
      <c r="CF128" s="564"/>
      <c r="CG128" s="564"/>
      <c r="CH128" s="564"/>
      <c r="CI128" s="564"/>
      <c r="CJ128" s="564"/>
      <c r="CK128" s="564"/>
      <c r="CL128" s="564"/>
      <c r="CM128" s="564"/>
      <c r="CN128" s="564"/>
      <c r="CO128" s="564"/>
      <c r="CP128" s="564"/>
      <c r="CQ128" s="564"/>
      <c r="CR128" s="564"/>
      <c r="CS128" s="564"/>
      <c r="CT128" s="564"/>
      <c r="CU128" s="564"/>
      <c r="CV128" s="564"/>
      <c r="CW128" s="564"/>
      <c r="CX128" s="564"/>
      <c r="CY128" s="564"/>
      <c r="CZ128" s="564"/>
      <c r="DA128" s="564"/>
      <c r="DB128" s="564"/>
      <c r="DC128" s="564"/>
      <c r="DD128" s="564"/>
      <c r="DE128" s="564"/>
      <c r="DF128" s="564"/>
      <c r="DG128" s="564"/>
      <c r="DH128" s="564"/>
      <c r="DI128" s="564"/>
      <c r="DJ128" s="564"/>
      <c r="DK128" s="564"/>
      <c r="DL128" s="564"/>
      <c r="DM128" s="564"/>
      <c r="DN128" s="564"/>
      <c r="DO128" s="564"/>
      <c r="DP128" s="564"/>
      <c r="DQ128" s="564"/>
      <c r="DR128" s="564"/>
      <c r="DS128" s="564"/>
      <c r="DT128" s="564"/>
      <c r="DU128" s="564"/>
      <c r="DV128" s="564"/>
      <c r="DW128" s="564"/>
      <c r="DX128" s="564"/>
      <c r="DY128" s="564"/>
      <c r="DZ128" s="564"/>
      <c r="EA128" s="564"/>
      <c r="EB128" s="564"/>
      <c r="EC128" s="564"/>
      <c r="ED128" s="564"/>
      <c r="EE128" s="564"/>
      <c r="EF128" s="564"/>
      <c r="EG128" s="564"/>
      <c r="EH128" s="564"/>
      <c r="EI128" s="564"/>
      <c r="EJ128" s="564"/>
      <c r="EK128" s="564"/>
      <c r="EL128" s="564"/>
      <c r="EM128" s="564"/>
      <c r="EN128" s="564"/>
      <c r="EO128" s="564"/>
      <c r="EP128" s="564"/>
      <c r="EQ128" s="564"/>
      <c r="ER128" s="564"/>
      <c r="ES128" s="564"/>
      <c r="ET128" s="564"/>
      <c r="EU128" s="564"/>
      <c r="EV128" s="564"/>
      <c r="EW128" s="564"/>
      <c r="EX128" s="564"/>
      <c r="EY128" s="564"/>
      <c r="EZ128" s="564"/>
      <c r="FA128" s="564"/>
      <c r="FB128" s="564"/>
      <c r="FC128" s="564"/>
      <c r="FD128" s="564"/>
      <c r="FE128" s="564"/>
      <c r="FF128" s="564"/>
      <c r="FG128" s="564"/>
      <c r="FH128" s="564"/>
      <c r="FI128" s="564"/>
      <c r="FJ128" s="564"/>
      <c r="FK128" s="564"/>
      <c r="FL128" s="564"/>
      <c r="FM128" s="564"/>
      <c r="FN128" s="564"/>
      <c r="FO128" s="564"/>
      <c r="FP128" s="564"/>
      <c r="FQ128" s="564"/>
      <c r="FR128" s="564"/>
      <c r="FS128" s="564"/>
      <c r="FT128" s="564"/>
      <c r="FU128" s="564"/>
      <c r="FV128" s="564"/>
      <c r="FW128" s="564"/>
      <c r="FX128" s="564"/>
      <c r="FY128" s="564"/>
      <c r="FZ128" s="564"/>
      <c r="GA128" s="564"/>
      <c r="GB128" s="564"/>
      <c r="GC128" s="564"/>
      <c r="GD128" s="564"/>
      <c r="GE128" s="564"/>
      <c r="GF128" s="564"/>
      <c r="GG128" s="564"/>
      <c r="GH128" s="564"/>
      <c r="GI128" s="564"/>
      <c r="GJ128" s="564"/>
    </row>
    <row r="129" spans="1:192" s="538" customFormat="1" x14ac:dyDescent="0.2">
      <c r="A129" s="165">
        <v>14</v>
      </c>
      <c r="B129" s="5" t="str">
        <f t="shared" ca="1" si="85"/>
        <v>Alcohol-based hand rub (1L)</v>
      </c>
      <c r="D129" s="269">
        <f ca="1">'A3. INPUT Unit Costs'!G49</f>
        <v>0.6</v>
      </c>
      <c r="E129" s="460">
        <f ca="1">'A3. INPUT Unit Costs'!H49</f>
        <v>8.3000000000000007</v>
      </c>
      <c r="F129" s="16" t="e">
        <f t="shared" ref="F129:F140" ca="1" si="92">$D129*F$126</f>
        <v>#N/A</v>
      </c>
      <c r="G129" s="16" t="e">
        <f t="shared" ca="1" si="86"/>
        <v>#N/A</v>
      </c>
      <c r="H129" s="16" t="e">
        <f t="shared" ca="1" si="86"/>
        <v>#N/A</v>
      </c>
      <c r="I129" s="16" t="e">
        <f t="shared" ca="1" si="86"/>
        <v>#N/A</v>
      </c>
      <c r="J129" s="16" t="e">
        <f t="shared" ca="1" si="86"/>
        <v>#N/A</v>
      </c>
      <c r="K129" s="16" t="e">
        <f t="shared" ca="1" si="86"/>
        <v>#N/A</v>
      </c>
      <c r="L129" s="16" t="e">
        <f t="shared" ref="L129:L140" ca="1" si="93">SUM(F129:K129)</f>
        <v>#N/A</v>
      </c>
      <c r="M129" s="16"/>
      <c r="Q129" s="300" t="e">
        <f t="shared" ref="Q129:Q140" ca="1" si="94">$E129*F129</f>
        <v>#N/A</v>
      </c>
      <c r="R129" s="300" t="e">
        <f t="shared" ca="1" si="87"/>
        <v>#N/A</v>
      </c>
      <c r="S129" s="300" t="e">
        <f t="shared" ca="1" si="88"/>
        <v>#N/A</v>
      </c>
      <c r="T129" s="300" t="e">
        <f t="shared" ca="1" si="89"/>
        <v>#N/A</v>
      </c>
      <c r="U129" s="300" t="e">
        <f t="shared" ca="1" si="90"/>
        <v>#N/A</v>
      </c>
      <c r="V129" s="300" t="e">
        <f t="shared" ca="1" si="91"/>
        <v>#N/A</v>
      </c>
      <c r="W129" s="300" t="e">
        <f t="shared" ref="W129:W140" ca="1" si="95">SUM(Q129:V129)</f>
        <v>#N/A</v>
      </c>
      <c r="Z129" s="564"/>
      <c r="AA129" s="564"/>
      <c r="AB129" s="564"/>
      <c r="AC129" s="564"/>
      <c r="AD129" s="564"/>
      <c r="AE129" s="564"/>
      <c r="AF129" s="564"/>
      <c r="AG129" s="564"/>
      <c r="AH129" s="564"/>
      <c r="AI129" s="564"/>
      <c r="AJ129" s="564"/>
      <c r="AK129" s="564"/>
      <c r="AL129" s="564"/>
      <c r="AM129" s="564"/>
      <c r="AN129" s="564"/>
      <c r="AO129" s="564"/>
      <c r="AP129" s="564"/>
      <c r="AQ129" s="564"/>
      <c r="AR129" s="564"/>
      <c r="AS129" s="564"/>
      <c r="AT129" s="564"/>
      <c r="AU129" s="564"/>
      <c r="AV129" s="564"/>
      <c r="AW129" s="564"/>
      <c r="AX129" s="564"/>
      <c r="AY129" s="564"/>
      <c r="AZ129" s="564"/>
      <c r="BA129" s="564"/>
      <c r="BB129" s="564"/>
      <c r="BC129" s="564"/>
      <c r="BD129" s="564"/>
      <c r="BE129" s="564"/>
      <c r="BF129" s="564"/>
      <c r="BG129" s="564"/>
      <c r="BH129" s="564"/>
      <c r="BI129" s="564"/>
      <c r="BJ129" s="564"/>
      <c r="BK129" s="564"/>
      <c r="BL129" s="564"/>
      <c r="BM129" s="564"/>
      <c r="BN129" s="564"/>
      <c r="BO129" s="564"/>
      <c r="BP129" s="564"/>
      <c r="BQ129" s="564"/>
      <c r="BR129" s="564"/>
      <c r="BS129" s="564"/>
      <c r="BT129" s="564"/>
      <c r="BU129" s="564"/>
      <c r="BV129" s="564"/>
      <c r="BW129" s="564"/>
      <c r="BX129" s="564"/>
      <c r="BY129" s="564"/>
      <c r="BZ129" s="564"/>
      <c r="CA129" s="564"/>
      <c r="CB129" s="564"/>
      <c r="CC129" s="564"/>
      <c r="CD129" s="564"/>
      <c r="CE129" s="564"/>
      <c r="CF129" s="564"/>
      <c r="CG129" s="564"/>
      <c r="CH129" s="564"/>
      <c r="CI129" s="564"/>
      <c r="CJ129" s="564"/>
      <c r="CK129" s="564"/>
      <c r="CL129" s="564"/>
      <c r="CM129" s="564"/>
      <c r="CN129" s="564"/>
      <c r="CO129" s="564"/>
      <c r="CP129" s="564"/>
      <c r="CQ129" s="564"/>
      <c r="CR129" s="564"/>
      <c r="CS129" s="564"/>
      <c r="CT129" s="564"/>
      <c r="CU129" s="564"/>
      <c r="CV129" s="564"/>
      <c r="CW129" s="564"/>
      <c r="CX129" s="564"/>
      <c r="CY129" s="564"/>
      <c r="CZ129" s="564"/>
      <c r="DA129" s="564"/>
      <c r="DB129" s="564"/>
      <c r="DC129" s="564"/>
      <c r="DD129" s="564"/>
      <c r="DE129" s="564"/>
      <c r="DF129" s="564"/>
      <c r="DG129" s="564"/>
      <c r="DH129" s="564"/>
      <c r="DI129" s="564"/>
      <c r="DJ129" s="564"/>
      <c r="DK129" s="564"/>
      <c r="DL129" s="564"/>
      <c r="DM129" s="564"/>
      <c r="DN129" s="564"/>
      <c r="DO129" s="564"/>
      <c r="DP129" s="564"/>
      <c r="DQ129" s="564"/>
      <c r="DR129" s="564"/>
      <c r="DS129" s="564"/>
      <c r="DT129" s="564"/>
      <c r="DU129" s="564"/>
      <c r="DV129" s="564"/>
      <c r="DW129" s="564"/>
      <c r="DX129" s="564"/>
      <c r="DY129" s="564"/>
      <c r="DZ129" s="564"/>
      <c r="EA129" s="564"/>
      <c r="EB129" s="564"/>
      <c r="EC129" s="564"/>
      <c r="ED129" s="564"/>
      <c r="EE129" s="564"/>
      <c r="EF129" s="564"/>
      <c r="EG129" s="564"/>
      <c r="EH129" s="564"/>
      <c r="EI129" s="564"/>
      <c r="EJ129" s="564"/>
      <c r="EK129" s="564"/>
      <c r="EL129" s="564"/>
      <c r="EM129" s="564"/>
      <c r="EN129" s="564"/>
      <c r="EO129" s="564"/>
      <c r="EP129" s="564"/>
      <c r="EQ129" s="564"/>
      <c r="ER129" s="564"/>
      <c r="ES129" s="564"/>
      <c r="ET129" s="564"/>
      <c r="EU129" s="564"/>
      <c r="EV129" s="564"/>
      <c r="EW129" s="564"/>
      <c r="EX129" s="564"/>
      <c r="EY129" s="564"/>
      <c r="EZ129" s="564"/>
      <c r="FA129" s="564"/>
      <c r="FB129" s="564"/>
      <c r="FC129" s="564"/>
      <c r="FD129" s="564"/>
      <c r="FE129" s="564"/>
      <c r="FF129" s="564"/>
      <c r="FG129" s="564"/>
      <c r="FH129" s="564"/>
      <c r="FI129" s="564"/>
      <c r="FJ129" s="564"/>
      <c r="FK129" s="564"/>
      <c r="FL129" s="564"/>
      <c r="FM129" s="564"/>
      <c r="FN129" s="564"/>
      <c r="FO129" s="564"/>
      <c r="FP129" s="564"/>
      <c r="FQ129" s="564"/>
      <c r="FR129" s="564"/>
      <c r="FS129" s="564"/>
      <c r="FT129" s="564"/>
      <c r="FU129" s="564"/>
      <c r="FV129" s="564"/>
      <c r="FW129" s="564"/>
      <c r="FX129" s="564"/>
      <c r="FY129" s="564"/>
      <c r="FZ129" s="564"/>
      <c r="GA129" s="564"/>
      <c r="GB129" s="564"/>
      <c r="GC129" s="564"/>
      <c r="GD129" s="564"/>
      <c r="GE129" s="564"/>
      <c r="GF129" s="564"/>
      <c r="GG129" s="564"/>
      <c r="GH129" s="564"/>
      <c r="GI129" s="564"/>
      <c r="GJ129" s="564"/>
    </row>
    <row r="130" spans="1:192" s="538" customFormat="1" x14ac:dyDescent="0.2">
      <c r="A130" s="165">
        <v>15</v>
      </c>
      <c r="B130" s="5" t="str">
        <f t="shared" ca="1" si="85"/>
        <v>Liquid soap and water</v>
      </c>
      <c r="D130" s="269">
        <f ca="1">'A3. INPUT Unit Costs'!G50</f>
        <v>0.05</v>
      </c>
      <c r="E130" s="460">
        <f ca="1">'A3. INPUT Unit Costs'!H50</f>
        <v>0.9</v>
      </c>
      <c r="F130" s="16" t="e">
        <f t="shared" ca="1" si="92"/>
        <v>#N/A</v>
      </c>
      <c r="G130" s="16" t="e">
        <f t="shared" ca="1" si="86"/>
        <v>#N/A</v>
      </c>
      <c r="H130" s="16" t="e">
        <f t="shared" ca="1" si="86"/>
        <v>#N/A</v>
      </c>
      <c r="I130" s="16" t="e">
        <f t="shared" ca="1" si="86"/>
        <v>#N/A</v>
      </c>
      <c r="J130" s="16" t="e">
        <f t="shared" ca="1" si="86"/>
        <v>#N/A</v>
      </c>
      <c r="K130" s="16" t="e">
        <f t="shared" ca="1" si="86"/>
        <v>#N/A</v>
      </c>
      <c r="L130" s="16" t="e">
        <f t="shared" ca="1" si="93"/>
        <v>#N/A</v>
      </c>
      <c r="M130" s="16"/>
      <c r="Q130" s="300" t="e">
        <f t="shared" ca="1" si="94"/>
        <v>#N/A</v>
      </c>
      <c r="R130" s="300" t="e">
        <f t="shared" ca="1" si="87"/>
        <v>#N/A</v>
      </c>
      <c r="S130" s="300" t="e">
        <f t="shared" ca="1" si="88"/>
        <v>#N/A</v>
      </c>
      <c r="T130" s="300" t="e">
        <f t="shared" ca="1" si="89"/>
        <v>#N/A</v>
      </c>
      <c r="U130" s="300" t="e">
        <f t="shared" ca="1" si="90"/>
        <v>#N/A</v>
      </c>
      <c r="V130" s="300" t="e">
        <f t="shared" ca="1" si="91"/>
        <v>#N/A</v>
      </c>
      <c r="W130" s="300" t="e">
        <f t="shared" ca="1" si="95"/>
        <v>#N/A</v>
      </c>
      <c r="Z130" s="564"/>
      <c r="AA130" s="564"/>
      <c r="AB130" s="564"/>
      <c r="AC130" s="564"/>
      <c r="AD130" s="564"/>
      <c r="AE130" s="564"/>
      <c r="AF130" s="564"/>
      <c r="AG130" s="564"/>
      <c r="AH130" s="564"/>
      <c r="AI130" s="564"/>
      <c r="AJ130" s="564"/>
      <c r="AK130" s="564"/>
      <c r="AL130" s="564"/>
      <c r="AM130" s="564"/>
      <c r="AN130" s="564"/>
      <c r="AO130" s="564"/>
      <c r="AP130" s="564"/>
      <c r="AQ130" s="564"/>
      <c r="AR130" s="564"/>
      <c r="AS130" s="564"/>
      <c r="AT130" s="564"/>
      <c r="AU130" s="564"/>
      <c r="AV130" s="564"/>
      <c r="AW130" s="564"/>
      <c r="AX130" s="564"/>
      <c r="AY130" s="564"/>
      <c r="AZ130" s="564"/>
      <c r="BA130" s="564"/>
      <c r="BB130" s="564"/>
      <c r="BC130" s="564"/>
      <c r="BD130" s="564"/>
      <c r="BE130" s="564"/>
      <c r="BF130" s="564"/>
      <c r="BG130" s="564"/>
      <c r="BH130" s="564"/>
      <c r="BI130" s="564"/>
      <c r="BJ130" s="564"/>
      <c r="BK130" s="564"/>
      <c r="BL130" s="564"/>
      <c r="BM130" s="564"/>
      <c r="BN130" s="564"/>
      <c r="BO130" s="564"/>
      <c r="BP130" s="564"/>
      <c r="BQ130" s="564"/>
      <c r="BR130" s="564"/>
      <c r="BS130" s="564"/>
      <c r="BT130" s="564"/>
      <c r="BU130" s="564"/>
      <c r="BV130" s="564"/>
      <c r="BW130" s="564"/>
      <c r="BX130" s="564"/>
      <c r="BY130" s="564"/>
      <c r="BZ130" s="564"/>
      <c r="CA130" s="564"/>
      <c r="CB130" s="564"/>
      <c r="CC130" s="564"/>
      <c r="CD130" s="564"/>
      <c r="CE130" s="564"/>
      <c r="CF130" s="564"/>
      <c r="CG130" s="564"/>
      <c r="CH130" s="564"/>
      <c r="CI130" s="564"/>
      <c r="CJ130" s="564"/>
      <c r="CK130" s="564"/>
      <c r="CL130" s="564"/>
      <c r="CM130" s="564"/>
      <c r="CN130" s="564"/>
      <c r="CO130" s="564"/>
      <c r="CP130" s="564"/>
      <c r="CQ130" s="564"/>
      <c r="CR130" s="564"/>
      <c r="CS130" s="564"/>
      <c r="CT130" s="564"/>
      <c r="CU130" s="564"/>
      <c r="CV130" s="564"/>
      <c r="CW130" s="564"/>
      <c r="CX130" s="564"/>
      <c r="CY130" s="564"/>
      <c r="CZ130" s="564"/>
      <c r="DA130" s="564"/>
      <c r="DB130" s="564"/>
      <c r="DC130" s="564"/>
      <c r="DD130" s="564"/>
      <c r="DE130" s="564"/>
      <c r="DF130" s="564"/>
      <c r="DG130" s="564"/>
      <c r="DH130" s="564"/>
      <c r="DI130" s="564"/>
      <c r="DJ130" s="564"/>
      <c r="DK130" s="564"/>
      <c r="DL130" s="564"/>
      <c r="DM130" s="564"/>
      <c r="DN130" s="564"/>
      <c r="DO130" s="564"/>
      <c r="DP130" s="564"/>
      <c r="DQ130" s="564"/>
      <c r="DR130" s="564"/>
      <c r="DS130" s="564"/>
      <c r="DT130" s="564"/>
      <c r="DU130" s="564"/>
      <c r="DV130" s="564"/>
      <c r="DW130" s="564"/>
      <c r="DX130" s="564"/>
      <c r="DY130" s="564"/>
      <c r="DZ130" s="564"/>
      <c r="EA130" s="564"/>
      <c r="EB130" s="564"/>
      <c r="EC130" s="564"/>
      <c r="ED130" s="564"/>
      <c r="EE130" s="564"/>
      <c r="EF130" s="564"/>
      <c r="EG130" s="564"/>
      <c r="EH130" s="564"/>
      <c r="EI130" s="564"/>
      <c r="EJ130" s="564"/>
      <c r="EK130" s="564"/>
      <c r="EL130" s="564"/>
      <c r="EM130" s="564"/>
      <c r="EN130" s="564"/>
      <c r="EO130" s="564"/>
      <c r="EP130" s="564"/>
      <c r="EQ130" s="564"/>
      <c r="ER130" s="564"/>
      <c r="ES130" s="564"/>
      <c r="ET130" s="564"/>
      <c r="EU130" s="564"/>
      <c r="EV130" s="564"/>
      <c r="EW130" s="564"/>
      <c r="EX130" s="564"/>
      <c r="EY130" s="564"/>
      <c r="EZ130" s="564"/>
      <c r="FA130" s="564"/>
      <c r="FB130" s="564"/>
      <c r="FC130" s="564"/>
      <c r="FD130" s="564"/>
      <c r="FE130" s="564"/>
      <c r="FF130" s="564"/>
      <c r="FG130" s="564"/>
      <c r="FH130" s="564"/>
      <c r="FI130" s="564"/>
      <c r="FJ130" s="564"/>
      <c r="FK130" s="564"/>
      <c r="FL130" s="564"/>
      <c r="FM130" s="564"/>
      <c r="FN130" s="564"/>
      <c r="FO130" s="564"/>
      <c r="FP130" s="564"/>
      <c r="FQ130" s="564"/>
      <c r="FR130" s="564"/>
      <c r="FS130" s="564"/>
      <c r="FT130" s="564"/>
      <c r="FU130" s="564"/>
      <c r="FV130" s="564"/>
      <c r="FW130" s="564"/>
      <c r="FX130" s="564"/>
      <c r="FY130" s="564"/>
      <c r="FZ130" s="564"/>
      <c r="GA130" s="564"/>
      <c r="GB130" s="564"/>
      <c r="GC130" s="564"/>
      <c r="GD130" s="564"/>
      <c r="GE130" s="564"/>
      <c r="GF130" s="564"/>
      <c r="GG130" s="564"/>
      <c r="GH130" s="564"/>
      <c r="GI130" s="564"/>
      <c r="GJ130" s="564"/>
    </row>
    <row r="131" spans="1:192" s="538" customFormat="1" x14ac:dyDescent="0.2">
      <c r="A131" s="165">
        <v>16</v>
      </c>
      <c r="B131" s="5" t="str">
        <f t="shared" ca="1" si="85"/>
        <v>…</v>
      </c>
      <c r="D131" s="269">
        <f ca="1">'A3. INPUT Unit Costs'!G51</f>
        <v>0</v>
      </c>
      <c r="E131" s="460">
        <f ca="1">'A3. INPUT Unit Costs'!H51</f>
        <v>0</v>
      </c>
      <c r="F131" s="16" t="e">
        <f t="shared" ca="1" si="92"/>
        <v>#N/A</v>
      </c>
      <c r="G131" s="16" t="e">
        <f t="shared" ca="1" si="86"/>
        <v>#N/A</v>
      </c>
      <c r="H131" s="16" t="e">
        <f t="shared" ca="1" si="86"/>
        <v>#N/A</v>
      </c>
      <c r="I131" s="16" t="e">
        <f t="shared" ca="1" si="86"/>
        <v>#N/A</v>
      </c>
      <c r="J131" s="16" t="e">
        <f t="shared" ca="1" si="86"/>
        <v>#N/A</v>
      </c>
      <c r="K131" s="16" t="e">
        <f t="shared" ca="1" si="86"/>
        <v>#N/A</v>
      </c>
      <c r="L131" s="16" t="e">
        <f t="shared" ca="1" si="93"/>
        <v>#N/A</v>
      </c>
      <c r="M131" s="16"/>
      <c r="Q131" s="300" t="e">
        <f t="shared" ca="1" si="94"/>
        <v>#N/A</v>
      </c>
      <c r="R131" s="300" t="e">
        <f t="shared" ca="1" si="87"/>
        <v>#N/A</v>
      </c>
      <c r="S131" s="300" t="e">
        <f t="shared" ca="1" si="88"/>
        <v>#N/A</v>
      </c>
      <c r="T131" s="300" t="e">
        <f t="shared" ca="1" si="89"/>
        <v>#N/A</v>
      </c>
      <c r="U131" s="300" t="e">
        <f t="shared" ca="1" si="90"/>
        <v>#N/A</v>
      </c>
      <c r="V131" s="300" t="e">
        <f t="shared" ca="1" si="91"/>
        <v>#N/A</v>
      </c>
      <c r="W131" s="300" t="e">
        <f t="shared" ca="1" si="95"/>
        <v>#N/A</v>
      </c>
      <c r="Z131" s="564"/>
      <c r="AA131" s="564"/>
      <c r="AB131" s="564"/>
      <c r="AC131" s="564"/>
      <c r="AD131" s="564"/>
      <c r="AE131" s="564"/>
      <c r="AF131" s="564"/>
      <c r="AG131" s="564"/>
      <c r="AH131" s="564"/>
      <c r="AI131" s="564"/>
      <c r="AJ131" s="564"/>
      <c r="AK131" s="564"/>
      <c r="AL131" s="564"/>
      <c r="AM131" s="564"/>
      <c r="AN131" s="564"/>
      <c r="AO131" s="564"/>
      <c r="AP131" s="564"/>
      <c r="AQ131" s="564"/>
      <c r="AR131" s="564"/>
      <c r="AS131" s="564"/>
      <c r="AT131" s="564"/>
      <c r="AU131" s="564"/>
      <c r="AV131" s="564"/>
      <c r="AW131" s="564"/>
      <c r="AX131" s="564"/>
      <c r="AY131" s="564"/>
      <c r="AZ131" s="564"/>
      <c r="BA131" s="564"/>
      <c r="BB131" s="564"/>
      <c r="BC131" s="564"/>
      <c r="BD131" s="564"/>
      <c r="BE131" s="564"/>
      <c r="BF131" s="564"/>
      <c r="BG131" s="564"/>
      <c r="BH131" s="564"/>
      <c r="BI131" s="564"/>
      <c r="BJ131" s="564"/>
      <c r="BK131" s="564"/>
      <c r="BL131" s="564"/>
      <c r="BM131" s="564"/>
      <c r="BN131" s="564"/>
      <c r="BO131" s="564"/>
      <c r="BP131" s="564"/>
      <c r="BQ131" s="564"/>
      <c r="BR131" s="564"/>
      <c r="BS131" s="564"/>
      <c r="BT131" s="564"/>
      <c r="BU131" s="564"/>
      <c r="BV131" s="564"/>
      <c r="BW131" s="564"/>
      <c r="BX131" s="564"/>
      <c r="BY131" s="564"/>
      <c r="BZ131" s="564"/>
      <c r="CA131" s="564"/>
      <c r="CB131" s="564"/>
      <c r="CC131" s="564"/>
      <c r="CD131" s="564"/>
      <c r="CE131" s="564"/>
      <c r="CF131" s="564"/>
      <c r="CG131" s="564"/>
      <c r="CH131" s="564"/>
      <c r="CI131" s="564"/>
      <c r="CJ131" s="564"/>
      <c r="CK131" s="564"/>
      <c r="CL131" s="564"/>
      <c r="CM131" s="564"/>
      <c r="CN131" s="564"/>
      <c r="CO131" s="564"/>
      <c r="CP131" s="564"/>
      <c r="CQ131" s="564"/>
      <c r="CR131" s="564"/>
      <c r="CS131" s="564"/>
      <c r="CT131" s="564"/>
      <c r="CU131" s="564"/>
      <c r="CV131" s="564"/>
      <c r="CW131" s="564"/>
      <c r="CX131" s="564"/>
      <c r="CY131" s="564"/>
      <c r="CZ131" s="564"/>
      <c r="DA131" s="564"/>
      <c r="DB131" s="564"/>
      <c r="DC131" s="564"/>
      <c r="DD131" s="564"/>
      <c r="DE131" s="564"/>
      <c r="DF131" s="564"/>
      <c r="DG131" s="564"/>
      <c r="DH131" s="564"/>
      <c r="DI131" s="564"/>
      <c r="DJ131" s="564"/>
      <c r="DK131" s="564"/>
      <c r="DL131" s="564"/>
      <c r="DM131" s="564"/>
      <c r="DN131" s="564"/>
      <c r="DO131" s="564"/>
      <c r="DP131" s="564"/>
      <c r="DQ131" s="564"/>
      <c r="DR131" s="564"/>
      <c r="DS131" s="564"/>
      <c r="DT131" s="564"/>
      <c r="DU131" s="564"/>
      <c r="DV131" s="564"/>
      <c r="DW131" s="564"/>
      <c r="DX131" s="564"/>
      <c r="DY131" s="564"/>
      <c r="DZ131" s="564"/>
      <c r="EA131" s="564"/>
      <c r="EB131" s="564"/>
      <c r="EC131" s="564"/>
      <c r="ED131" s="564"/>
      <c r="EE131" s="564"/>
      <c r="EF131" s="564"/>
      <c r="EG131" s="564"/>
      <c r="EH131" s="564"/>
      <c r="EI131" s="564"/>
      <c r="EJ131" s="564"/>
      <c r="EK131" s="564"/>
      <c r="EL131" s="564"/>
      <c r="EM131" s="564"/>
      <c r="EN131" s="564"/>
      <c r="EO131" s="564"/>
      <c r="EP131" s="564"/>
      <c r="EQ131" s="564"/>
      <c r="ER131" s="564"/>
      <c r="ES131" s="564"/>
      <c r="ET131" s="564"/>
      <c r="EU131" s="564"/>
      <c r="EV131" s="564"/>
      <c r="EW131" s="564"/>
      <c r="EX131" s="564"/>
      <c r="EY131" s="564"/>
      <c r="EZ131" s="564"/>
      <c r="FA131" s="564"/>
      <c r="FB131" s="564"/>
      <c r="FC131" s="564"/>
      <c r="FD131" s="564"/>
      <c r="FE131" s="564"/>
      <c r="FF131" s="564"/>
      <c r="FG131" s="564"/>
      <c r="FH131" s="564"/>
      <c r="FI131" s="564"/>
      <c r="FJ131" s="564"/>
      <c r="FK131" s="564"/>
      <c r="FL131" s="564"/>
      <c r="FM131" s="564"/>
      <c r="FN131" s="564"/>
      <c r="FO131" s="564"/>
      <c r="FP131" s="564"/>
      <c r="FQ131" s="564"/>
      <c r="FR131" s="564"/>
      <c r="FS131" s="564"/>
      <c r="FT131" s="564"/>
      <c r="FU131" s="564"/>
      <c r="FV131" s="564"/>
      <c r="FW131" s="564"/>
      <c r="FX131" s="564"/>
      <c r="FY131" s="564"/>
      <c r="FZ131" s="564"/>
      <c r="GA131" s="564"/>
      <c r="GB131" s="564"/>
      <c r="GC131" s="564"/>
      <c r="GD131" s="564"/>
      <c r="GE131" s="564"/>
      <c r="GF131" s="564"/>
      <c r="GG131" s="564"/>
      <c r="GH131" s="564"/>
      <c r="GI131" s="564"/>
      <c r="GJ131" s="564"/>
    </row>
    <row r="132" spans="1:192" s="538" customFormat="1" x14ac:dyDescent="0.2">
      <c r="A132" s="165">
        <v>17</v>
      </c>
      <c r="B132" s="5" t="str">
        <f t="shared" ca="1" si="85"/>
        <v>…</v>
      </c>
      <c r="D132" s="269">
        <f ca="1">'A3. INPUT Unit Costs'!G52</f>
        <v>0</v>
      </c>
      <c r="E132" s="460">
        <f ca="1">'A3. INPUT Unit Costs'!H52</f>
        <v>0</v>
      </c>
      <c r="F132" s="16" t="e">
        <f t="shared" ca="1" si="92"/>
        <v>#N/A</v>
      </c>
      <c r="G132" s="16" t="e">
        <f t="shared" ca="1" si="86"/>
        <v>#N/A</v>
      </c>
      <c r="H132" s="16" t="e">
        <f t="shared" ca="1" si="86"/>
        <v>#N/A</v>
      </c>
      <c r="I132" s="16" t="e">
        <f t="shared" ca="1" si="86"/>
        <v>#N/A</v>
      </c>
      <c r="J132" s="16" t="e">
        <f t="shared" ca="1" si="86"/>
        <v>#N/A</v>
      </c>
      <c r="K132" s="16" t="e">
        <f t="shared" ca="1" si="86"/>
        <v>#N/A</v>
      </c>
      <c r="L132" s="16" t="e">
        <f t="shared" ca="1" si="93"/>
        <v>#N/A</v>
      </c>
      <c r="M132" s="16"/>
      <c r="Q132" s="300" t="e">
        <f t="shared" ca="1" si="94"/>
        <v>#N/A</v>
      </c>
      <c r="R132" s="300" t="e">
        <f t="shared" ca="1" si="87"/>
        <v>#N/A</v>
      </c>
      <c r="S132" s="300" t="e">
        <f t="shared" ca="1" si="88"/>
        <v>#N/A</v>
      </c>
      <c r="T132" s="300" t="e">
        <f t="shared" ca="1" si="89"/>
        <v>#N/A</v>
      </c>
      <c r="U132" s="300" t="e">
        <f t="shared" ca="1" si="90"/>
        <v>#N/A</v>
      </c>
      <c r="V132" s="300" t="e">
        <f t="shared" ca="1" si="91"/>
        <v>#N/A</v>
      </c>
      <c r="W132" s="300" t="e">
        <f t="shared" ca="1" si="95"/>
        <v>#N/A</v>
      </c>
      <c r="Z132" s="564"/>
      <c r="AA132" s="564"/>
      <c r="AB132" s="564"/>
      <c r="AC132" s="564"/>
      <c r="AD132" s="564"/>
      <c r="AE132" s="564"/>
      <c r="AF132" s="564"/>
      <c r="AG132" s="564"/>
      <c r="AH132" s="564"/>
      <c r="AI132" s="564"/>
      <c r="AJ132" s="564"/>
      <c r="AK132" s="564"/>
      <c r="AL132" s="564"/>
      <c r="AM132" s="564"/>
      <c r="AN132" s="564"/>
      <c r="AO132" s="564"/>
      <c r="AP132" s="564"/>
      <c r="AQ132" s="564"/>
      <c r="AR132" s="564"/>
      <c r="AS132" s="564"/>
      <c r="AT132" s="564"/>
      <c r="AU132" s="564"/>
      <c r="AV132" s="564"/>
      <c r="AW132" s="564"/>
      <c r="AX132" s="564"/>
      <c r="AY132" s="564"/>
      <c r="AZ132" s="564"/>
      <c r="BA132" s="564"/>
      <c r="BB132" s="564"/>
      <c r="BC132" s="564"/>
      <c r="BD132" s="564"/>
      <c r="BE132" s="564"/>
      <c r="BF132" s="564"/>
      <c r="BG132" s="564"/>
      <c r="BH132" s="564"/>
      <c r="BI132" s="564"/>
      <c r="BJ132" s="564"/>
      <c r="BK132" s="564"/>
      <c r="BL132" s="564"/>
      <c r="BM132" s="564"/>
      <c r="BN132" s="564"/>
      <c r="BO132" s="564"/>
      <c r="BP132" s="564"/>
      <c r="BQ132" s="564"/>
      <c r="BR132" s="564"/>
      <c r="BS132" s="564"/>
      <c r="BT132" s="564"/>
      <c r="BU132" s="564"/>
      <c r="BV132" s="564"/>
      <c r="BW132" s="564"/>
      <c r="BX132" s="564"/>
      <c r="BY132" s="564"/>
      <c r="BZ132" s="564"/>
      <c r="CA132" s="564"/>
      <c r="CB132" s="564"/>
      <c r="CC132" s="564"/>
      <c r="CD132" s="564"/>
      <c r="CE132" s="564"/>
      <c r="CF132" s="564"/>
      <c r="CG132" s="564"/>
      <c r="CH132" s="564"/>
      <c r="CI132" s="564"/>
      <c r="CJ132" s="564"/>
      <c r="CK132" s="564"/>
      <c r="CL132" s="564"/>
      <c r="CM132" s="564"/>
      <c r="CN132" s="564"/>
      <c r="CO132" s="564"/>
      <c r="CP132" s="564"/>
      <c r="CQ132" s="564"/>
      <c r="CR132" s="564"/>
      <c r="CS132" s="564"/>
      <c r="CT132" s="564"/>
      <c r="CU132" s="564"/>
      <c r="CV132" s="564"/>
      <c r="CW132" s="564"/>
      <c r="CX132" s="564"/>
      <c r="CY132" s="564"/>
      <c r="CZ132" s="564"/>
      <c r="DA132" s="564"/>
      <c r="DB132" s="564"/>
      <c r="DC132" s="564"/>
      <c r="DD132" s="564"/>
      <c r="DE132" s="564"/>
      <c r="DF132" s="564"/>
      <c r="DG132" s="564"/>
      <c r="DH132" s="564"/>
      <c r="DI132" s="564"/>
      <c r="DJ132" s="564"/>
      <c r="DK132" s="564"/>
      <c r="DL132" s="564"/>
      <c r="DM132" s="564"/>
      <c r="DN132" s="564"/>
      <c r="DO132" s="564"/>
      <c r="DP132" s="564"/>
      <c r="DQ132" s="564"/>
      <c r="DR132" s="564"/>
      <c r="DS132" s="564"/>
      <c r="DT132" s="564"/>
      <c r="DU132" s="564"/>
      <c r="DV132" s="564"/>
      <c r="DW132" s="564"/>
      <c r="DX132" s="564"/>
      <c r="DY132" s="564"/>
      <c r="DZ132" s="564"/>
      <c r="EA132" s="564"/>
      <c r="EB132" s="564"/>
      <c r="EC132" s="564"/>
      <c r="ED132" s="564"/>
      <c r="EE132" s="564"/>
      <c r="EF132" s="564"/>
      <c r="EG132" s="564"/>
      <c r="EH132" s="564"/>
      <c r="EI132" s="564"/>
      <c r="EJ132" s="564"/>
      <c r="EK132" s="564"/>
      <c r="EL132" s="564"/>
      <c r="EM132" s="564"/>
      <c r="EN132" s="564"/>
      <c r="EO132" s="564"/>
      <c r="EP132" s="564"/>
      <c r="EQ132" s="564"/>
      <c r="ER132" s="564"/>
      <c r="ES132" s="564"/>
      <c r="ET132" s="564"/>
      <c r="EU132" s="564"/>
      <c r="EV132" s="564"/>
      <c r="EW132" s="564"/>
      <c r="EX132" s="564"/>
      <c r="EY132" s="564"/>
      <c r="EZ132" s="564"/>
      <c r="FA132" s="564"/>
      <c r="FB132" s="564"/>
      <c r="FC132" s="564"/>
      <c r="FD132" s="564"/>
      <c r="FE132" s="564"/>
      <c r="FF132" s="564"/>
      <c r="FG132" s="564"/>
      <c r="FH132" s="564"/>
      <c r="FI132" s="564"/>
      <c r="FJ132" s="564"/>
      <c r="FK132" s="564"/>
      <c r="FL132" s="564"/>
      <c r="FM132" s="564"/>
      <c r="FN132" s="564"/>
      <c r="FO132" s="564"/>
      <c r="FP132" s="564"/>
      <c r="FQ132" s="564"/>
      <c r="FR132" s="564"/>
      <c r="FS132" s="564"/>
      <c r="FT132" s="564"/>
      <c r="FU132" s="564"/>
      <c r="FV132" s="564"/>
      <c r="FW132" s="564"/>
      <c r="FX132" s="564"/>
      <c r="FY132" s="564"/>
      <c r="FZ132" s="564"/>
      <c r="GA132" s="564"/>
      <c r="GB132" s="564"/>
      <c r="GC132" s="564"/>
      <c r="GD132" s="564"/>
      <c r="GE132" s="564"/>
      <c r="GF132" s="564"/>
      <c r="GG132" s="564"/>
      <c r="GH132" s="564"/>
      <c r="GI132" s="564"/>
      <c r="GJ132" s="564"/>
    </row>
    <row r="133" spans="1:192" s="538" customFormat="1" x14ac:dyDescent="0.2">
      <c r="A133" s="165">
        <v>18</v>
      </c>
      <c r="B133" s="5" t="str">
        <f t="shared" ca="1" si="85"/>
        <v>…</v>
      </c>
      <c r="D133" s="269">
        <f ca="1">'A3. INPUT Unit Costs'!G53</f>
        <v>0</v>
      </c>
      <c r="E133" s="460">
        <f ca="1">'A3. INPUT Unit Costs'!H53</f>
        <v>0</v>
      </c>
      <c r="F133" s="16" t="e">
        <f t="shared" ca="1" si="92"/>
        <v>#N/A</v>
      </c>
      <c r="G133" s="16" t="e">
        <f t="shared" ca="1" si="86"/>
        <v>#N/A</v>
      </c>
      <c r="H133" s="16" t="e">
        <f t="shared" ca="1" si="86"/>
        <v>#N/A</v>
      </c>
      <c r="I133" s="16" t="e">
        <f t="shared" ca="1" si="86"/>
        <v>#N/A</v>
      </c>
      <c r="J133" s="16" t="e">
        <f t="shared" ca="1" si="86"/>
        <v>#N/A</v>
      </c>
      <c r="K133" s="16" t="e">
        <f t="shared" ca="1" si="86"/>
        <v>#N/A</v>
      </c>
      <c r="L133" s="16" t="e">
        <f t="shared" ca="1" si="93"/>
        <v>#N/A</v>
      </c>
      <c r="M133" s="16"/>
      <c r="Q133" s="300" t="e">
        <f t="shared" ca="1" si="94"/>
        <v>#N/A</v>
      </c>
      <c r="R133" s="300" t="e">
        <f t="shared" ca="1" si="87"/>
        <v>#N/A</v>
      </c>
      <c r="S133" s="300" t="e">
        <f t="shared" ca="1" si="88"/>
        <v>#N/A</v>
      </c>
      <c r="T133" s="300" t="e">
        <f t="shared" ca="1" si="89"/>
        <v>#N/A</v>
      </c>
      <c r="U133" s="300" t="e">
        <f t="shared" ca="1" si="90"/>
        <v>#N/A</v>
      </c>
      <c r="V133" s="300" t="e">
        <f t="shared" ca="1" si="91"/>
        <v>#N/A</v>
      </c>
      <c r="W133" s="300" t="e">
        <f t="shared" ca="1" si="95"/>
        <v>#N/A</v>
      </c>
      <c r="Z133" s="564"/>
      <c r="AA133" s="564"/>
      <c r="AB133" s="564"/>
      <c r="AC133" s="564"/>
      <c r="AD133" s="564"/>
      <c r="AE133" s="564"/>
      <c r="AF133" s="564"/>
      <c r="AG133" s="564"/>
      <c r="AH133" s="564"/>
      <c r="AI133" s="564"/>
      <c r="AJ133" s="564"/>
      <c r="AK133" s="564"/>
      <c r="AL133" s="564"/>
      <c r="AM133" s="564"/>
      <c r="AN133" s="564"/>
      <c r="AO133" s="564"/>
      <c r="AP133" s="564"/>
      <c r="AQ133" s="564"/>
      <c r="AR133" s="564"/>
      <c r="AS133" s="564"/>
      <c r="AT133" s="564"/>
      <c r="AU133" s="564"/>
      <c r="AV133" s="564"/>
      <c r="AW133" s="564"/>
      <c r="AX133" s="564"/>
      <c r="AY133" s="564"/>
      <c r="AZ133" s="564"/>
      <c r="BA133" s="564"/>
      <c r="BB133" s="564"/>
      <c r="BC133" s="564"/>
      <c r="BD133" s="564"/>
      <c r="BE133" s="564"/>
      <c r="BF133" s="564"/>
      <c r="BG133" s="564"/>
      <c r="BH133" s="564"/>
      <c r="BI133" s="564"/>
      <c r="BJ133" s="564"/>
      <c r="BK133" s="564"/>
      <c r="BL133" s="564"/>
      <c r="BM133" s="564"/>
      <c r="BN133" s="564"/>
      <c r="BO133" s="564"/>
      <c r="BP133" s="564"/>
      <c r="BQ133" s="564"/>
      <c r="BR133" s="564"/>
      <c r="BS133" s="564"/>
      <c r="BT133" s="564"/>
      <c r="BU133" s="564"/>
      <c r="BV133" s="564"/>
      <c r="BW133" s="564"/>
      <c r="BX133" s="564"/>
      <c r="BY133" s="564"/>
      <c r="BZ133" s="564"/>
      <c r="CA133" s="564"/>
      <c r="CB133" s="564"/>
      <c r="CC133" s="564"/>
      <c r="CD133" s="564"/>
      <c r="CE133" s="564"/>
      <c r="CF133" s="564"/>
      <c r="CG133" s="564"/>
      <c r="CH133" s="564"/>
      <c r="CI133" s="564"/>
      <c r="CJ133" s="564"/>
      <c r="CK133" s="564"/>
      <c r="CL133" s="564"/>
      <c r="CM133" s="564"/>
      <c r="CN133" s="564"/>
      <c r="CO133" s="564"/>
      <c r="CP133" s="564"/>
      <c r="CQ133" s="564"/>
      <c r="CR133" s="564"/>
      <c r="CS133" s="564"/>
      <c r="CT133" s="564"/>
      <c r="CU133" s="564"/>
      <c r="CV133" s="564"/>
      <c r="CW133" s="564"/>
      <c r="CX133" s="564"/>
      <c r="CY133" s="564"/>
      <c r="CZ133" s="564"/>
      <c r="DA133" s="564"/>
      <c r="DB133" s="564"/>
      <c r="DC133" s="564"/>
      <c r="DD133" s="564"/>
      <c r="DE133" s="564"/>
      <c r="DF133" s="564"/>
      <c r="DG133" s="564"/>
      <c r="DH133" s="564"/>
      <c r="DI133" s="564"/>
      <c r="DJ133" s="564"/>
      <c r="DK133" s="564"/>
      <c r="DL133" s="564"/>
      <c r="DM133" s="564"/>
      <c r="DN133" s="564"/>
      <c r="DO133" s="564"/>
      <c r="DP133" s="564"/>
      <c r="DQ133" s="564"/>
      <c r="DR133" s="564"/>
      <c r="DS133" s="564"/>
      <c r="DT133" s="564"/>
      <c r="DU133" s="564"/>
      <c r="DV133" s="564"/>
      <c r="DW133" s="564"/>
      <c r="DX133" s="564"/>
      <c r="DY133" s="564"/>
      <c r="DZ133" s="564"/>
      <c r="EA133" s="564"/>
      <c r="EB133" s="564"/>
      <c r="EC133" s="564"/>
      <c r="ED133" s="564"/>
      <c r="EE133" s="564"/>
      <c r="EF133" s="564"/>
      <c r="EG133" s="564"/>
      <c r="EH133" s="564"/>
      <c r="EI133" s="564"/>
      <c r="EJ133" s="564"/>
      <c r="EK133" s="564"/>
      <c r="EL133" s="564"/>
      <c r="EM133" s="564"/>
      <c r="EN133" s="564"/>
      <c r="EO133" s="564"/>
      <c r="EP133" s="564"/>
      <c r="EQ133" s="564"/>
      <c r="ER133" s="564"/>
      <c r="ES133" s="564"/>
      <c r="ET133" s="564"/>
      <c r="EU133" s="564"/>
      <c r="EV133" s="564"/>
      <c r="EW133" s="564"/>
      <c r="EX133" s="564"/>
      <c r="EY133" s="564"/>
      <c r="EZ133" s="564"/>
      <c r="FA133" s="564"/>
      <c r="FB133" s="564"/>
      <c r="FC133" s="564"/>
      <c r="FD133" s="564"/>
      <c r="FE133" s="564"/>
      <c r="FF133" s="564"/>
      <c r="FG133" s="564"/>
      <c r="FH133" s="564"/>
      <c r="FI133" s="564"/>
      <c r="FJ133" s="564"/>
      <c r="FK133" s="564"/>
      <c r="FL133" s="564"/>
      <c r="FM133" s="564"/>
      <c r="FN133" s="564"/>
      <c r="FO133" s="564"/>
      <c r="FP133" s="564"/>
      <c r="FQ133" s="564"/>
      <c r="FR133" s="564"/>
      <c r="FS133" s="564"/>
      <c r="FT133" s="564"/>
      <c r="FU133" s="564"/>
      <c r="FV133" s="564"/>
      <c r="FW133" s="564"/>
      <c r="FX133" s="564"/>
      <c r="FY133" s="564"/>
      <c r="FZ133" s="564"/>
      <c r="GA133" s="564"/>
      <c r="GB133" s="564"/>
      <c r="GC133" s="564"/>
      <c r="GD133" s="564"/>
      <c r="GE133" s="564"/>
      <c r="GF133" s="564"/>
      <c r="GG133" s="564"/>
      <c r="GH133" s="564"/>
      <c r="GI133" s="564"/>
      <c r="GJ133" s="564"/>
    </row>
    <row r="134" spans="1:192" s="538" customFormat="1" x14ac:dyDescent="0.2">
      <c r="A134" s="165">
        <v>19</v>
      </c>
      <c r="B134" s="5" t="str">
        <f t="shared" ca="1" si="85"/>
        <v>…</v>
      </c>
      <c r="D134" s="269">
        <f ca="1">'A3. INPUT Unit Costs'!G54</f>
        <v>0</v>
      </c>
      <c r="E134" s="460">
        <f ca="1">'A3. INPUT Unit Costs'!H54</f>
        <v>0</v>
      </c>
      <c r="F134" s="16" t="e">
        <f t="shared" ca="1" si="92"/>
        <v>#N/A</v>
      </c>
      <c r="G134" s="16" t="e">
        <f t="shared" ca="1" si="86"/>
        <v>#N/A</v>
      </c>
      <c r="H134" s="16" t="e">
        <f t="shared" ca="1" si="86"/>
        <v>#N/A</v>
      </c>
      <c r="I134" s="16" t="e">
        <f t="shared" ca="1" si="86"/>
        <v>#N/A</v>
      </c>
      <c r="J134" s="16" t="e">
        <f t="shared" ca="1" si="86"/>
        <v>#N/A</v>
      </c>
      <c r="K134" s="16" t="e">
        <f t="shared" ca="1" si="86"/>
        <v>#N/A</v>
      </c>
      <c r="L134" s="16" t="e">
        <f t="shared" ca="1" si="93"/>
        <v>#N/A</v>
      </c>
      <c r="M134" s="16"/>
      <c r="Q134" s="300" t="e">
        <f t="shared" ca="1" si="94"/>
        <v>#N/A</v>
      </c>
      <c r="R134" s="300" t="e">
        <f t="shared" ca="1" si="87"/>
        <v>#N/A</v>
      </c>
      <c r="S134" s="300" t="e">
        <f t="shared" ca="1" si="88"/>
        <v>#N/A</v>
      </c>
      <c r="T134" s="300" t="e">
        <f t="shared" ca="1" si="89"/>
        <v>#N/A</v>
      </c>
      <c r="U134" s="300" t="e">
        <f t="shared" ca="1" si="90"/>
        <v>#N/A</v>
      </c>
      <c r="V134" s="300" t="e">
        <f t="shared" ca="1" si="91"/>
        <v>#N/A</v>
      </c>
      <c r="W134" s="300" t="e">
        <f t="shared" ca="1" si="95"/>
        <v>#N/A</v>
      </c>
      <c r="Z134" s="564"/>
      <c r="AA134" s="564"/>
      <c r="AB134" s="564"/>
      <c r="AC134" s="564"/>
      <c r="AD134" s="564"/>
      <c r="AE134" s="564"/>
      <c r="AF134" s="564"/>
      <c r="AG134" s="564"/>
      <c r="AH134" s="564"/>
      <c r="AI134" s="564"/>
      <c r="AJ134" s="564"/>
      <c r="AK134" s="564"/>
      <c r="AL134" s="564"/>
      <c r="AM134" s="564"/>
      <c r="AN134" s="564"/>
      <c r="AO134" s="564"/>
      <c r="AP134" s="564"/>
      <c r="AQ134" s="564"/>
      <c r="AR134" s="564"/>
      <c r="AS134" s="564"/>
      <c r="AT134" s="564"/>
      <c r="AU134" s="564"/>
      <c r="AV134" s="564"/>
      <c r="AW134" s="564"/>
      <c r="AX134" s="564"/>
      <c r="AY134" s="564"/>
      <c r="AZ134" s="564"/>
      <c r="BA134" s="564"/>
      <c r="BB134" s="564"/>
      <c r="BC134" s="564"/>
      <c r="BD134" s="564"/>
      <c r="BE134" s="564"/>
      <c r="BF134" s="564"/>
      <c r="BG134" s="564"/>
      <c r="BH134" s="564"/>
      <c r="BI134" s="564"/>
      <c r="BJ134" s="564"/>
      <c r="BK134" s="564"/>
      <c r="BL134" s="564"/>
      <c r="BM134" s="564"/>
      <c r="BN134" s="564"/>
      <c r="BO134" s="564"/>
      <c r="BP134" s="564"/>
      <c r="BQ134" s="564"/>
      <c r="BR134" s="564"/>
      <c r="BS134" s="564"/>
      <c r="BT134" s="564"/>
      <c r="BU134" s="564"/>
      <c r="BV134" s="564"/>
      <c r="BW134" s="564"/>
      <c r="BX134" s="564"/>
      <c r="BY134" s="564"/>
      <c r="BZ134" s="564"/>
      <c r="CA134" s="564"/>
      <c r="CB134" s="564"/>
      <c r="CC134" s="564"/>
      <c r="CD134" s="564"/>
      <c r="CE134" s="564"/>
      <c r="CF134" s="564"/>
      <c r="CG134" s="564"/>
      <c r="CH134" s="564"/>
      <c r="CI134" s="564"/>
      <c r="CJ134" s="564"/>
      <c r="CK134" s="564"/>
      <c r="CL134" s="564"/>
      <c r="CM134" s="564"/>
      <c r="CN134" s="564"/>
      <c r="CO134" s="564"/>
      <c r="CP134" s="564"/>
      <c r="CQ134" s="564"/>
      <c r="CR134" s="564"/>
      <c r="CS134" s="564"/>
      <c r="CT134" s="564"/>
      <c r="CU134" s="564"/>
      <c r="CV134" s="564"/>
      <c r="CW134" s="564"/>
      <c r="CX134" s="564"/>
      <c r="CY134" s="564"/>
      <c r="CZ134" s="564"/>
      <c r="DA134" s="564"/>
      <c r="DB134" s="564"/>
      <c r="DC134" s="564"/>
      <c r="DD134" s="564"/>
      <c r="DE134" s="564"/>
      <c r="DF134" s="564"/>
      <c r="DG134" s="564"/>
      <c r="DH134" s="564"/>
      <c r="DI134" s="564"/>
      <c r="DJ134" s="564"/>
      <c r="DK134" s="564"/>
      <c r="DL134" s="564"/>
      <c r="DM134" s="564"/>
      <c r="DN134" s="564"/>
      <c r="DO134" s="564"/>
      <c r="DP134" s="564"/>
      <c r="DQ134" s="564"/>
      <c r="DR134" s="564"/>
      <c r="DS134" s="564"/>
      <c r="DT134" s="564"/>
      <c r="DU134" s="564"/>
      <c r="DV134" s="564"/>
      <c r="DW134" s="564"/>
      <c r="DX134" s="564"/>
      <c r="DY134" s="564"/>
      <c r="DZ134" s="564"/>
      <c r="EA134" s="564"/>
      <c r="EB134" s="564"/>
      <c r="EC134" s="564"/>
      <c r="ED134" s="564"/>
      <c r="EE134" s="564"/>
      <c r="EF134" s="564"/>
      <c r="EG134" s="564"/>
      <c r="EH134" s="564"/>
      <c r="EI134" s="564"/>
      <c r="EJ134" s="564"/>
      <c r="EK134" s="564"/>
      <c r="EL134" s="564"/>
      <c r="EM134" s="564"/>
      <c r="EN134" s="564"/>
      <c r="EO134" s="564"/>
      <c r="EP134" s="564"/>
      <c r="EQ134" s="564"/>
      <c r="ER134" s="564"/>
      <c r="ES134" s="564"/>
      <c r="ET134" s="564"/>
      <c r="EU134" s="564"/>
      <c r="EV134" s="564"/>
      <c r="EW134" s="564"/>
      <c r="EX134" s="564"/>
      <c r="EY134" s="564"/>
      <c r="EZ134" s="564"/>
      <c r="FA134" s="564"/>
      <c r="FB134" s="564"/>
      <c r="FC134" s="564"/>
      <c r="FD134" s="564"/>
      <c r="FE134" s="564"/>
      <c r="FF134" s="564"/>
      <c r="FG134" s="564"/>
      <c r="FH134" s="564"/>
      <c r="FI134" s="564"/>
      <c r="FJ134" s="564"/>
      <c r="FK134" s="564"/>
      <c r="FL134" s="564"/>
      <c r="FM134" s="564"/>
      <c r="FN134" s="564"/>
      <c r="FO134" s="564"/>
      <c r="FP134" s="564"/>
      <c r="FQ134" s="564"/>
      <c r="FR134" s="564"/>
      <c r="FS134" s="564"/>
      <c r="FT134" s="564"/>
      <c r="FU134" s="564"/>
      <c r="FV134" s="564"/>
      <c r="FW134" s="564"/>
      <c r="FX134" s="564"/>
      <c r="FY134" s="564"/>
      <c r="FZ134" s="564"/>
      <c r="GA134" s="564"/>
      <c r="GB134" s="564"/>
      <c r="GC134" s="564"/>
      <c r="GD134" s="564"/>
      <c r="GE134" s="564"/>
      <c r="GF134" s="564"/>
      <c r="GG134" s="564"/>
      <c r="GH134" s="564"/>
      <c r="GI134" s="564"/>
      <c r="GJ134" s="564"/>
    </row>
    <row r="135" spans="1:192" s="538" customFormat="1" x14ac:dyDescent="0.2">
      <c r="A135" s="165">
        <v>20</v>
      </c>
      <c r="B135" s="5" t="str">
        <f t="shared" ca="1" si="85"/>
        <v>…</v>
      </c>
      <c r="D135" s="269">
        <f ca="1">'A3. INPUT Unit Costs'!G55</f>
        <v>0</v>
      </c>
      <c r="E135" s="460">
        <f ca="1">'A3. INPUT Unit Costs'!H55</f>
        <v>0</v>
      </c>
      <c r="F135" s="16" t="e">
        <f t="shared" ca="1" si="92"/>
        <v>#N/A</v>
      </c>
      <c r="G135" s="16" t="e">
        <f t="shared" ca="1" si="86"/>
        <v>#N/A</v>
      </c>
      <c r="H135" s="16" t="e">
        <f t="shared" ca="1" si="86"/>
        <v>#N/A</v>
      </c>
      <c r="I135" s="16" t="e">
        <f t="shared" ca="1" si="86"/>
        <v>#N/A</v>
      </c>
      <c r="J135" s="16" t="e">
        <f t="shared" ca="1" si="86"/>
        <v>#N/A</v>
      </c>
      <c r="K135" s="16" t="e">
        <f t="shared" ca="1" si="86"/>
        <v>#N/A</v>
      </c>
      <c r="L135" s="16" t="e">
        <f t="shared" ca="1" si="93"/>
        <v>#N/A</v>
      </c>
      <c r="M135" s="16"/>
      <c r="Q135" s="300" t="e">
        <f t="shared" ca="1" si="94"/>
        <v>#N/A</v>
      </c>
      <c r="R135" s="300" t="e">
        <f t="shared" ca="1" si="87"/>
        <v>#N/A</v>
      </c>
      <c r="S135" s="300" t="e">
        <f t="shared" ca="1" si="88"/>
        <v>#N/A</v>
      </c>
      <c r="T135" s="300" t="e">
        <f t="shared" ca="1" si="89"/>
        <v>#N/A</v>
      </c>
      <c r="U135" s="300" t="e">
        <f t="shared" ca="1" si="90"/>
        <v>#N/A</v>
      </c>
      <c r="V135" s="300" t="e">
        <f t="shared" ca="1" si="91"/>
        <v>#N/A</v>
      </c>
      <c r="W135" s="300" t="e">
        <f t="shared" ca="1" si="95"/>
        <v>#N/A</v>
      </c>
      <c r="Z135" s="564"/>
      <c r="AA135" s="564"/>
      <c r="AB135" s="564"/>
      <c r="AC135" s="564"/>
      <c r="AD135" s="564"/>
      <c r="AE135" s="564"/>
      <c r="AF135" s="564"/>
      <c r="AG135" s="564"/>
      <c r="AH135" s="564"/>
      <c r="AI135" s="564"/>
      <c r="AJ135" s="564"/>
      <c r="AK135" s="564"/>
      <c r="AL135" s="564"/>
      <c r="AM135" s="564"/>
      <c r="AN135" s="564"/>
      <c r="AO135" s="564"/>
      <c r="AP135" s="564"/>
      <c r="AQ135" s="564"/>
      <c r="AR135" s="564"/>
      <c r="AS135" s="564"/>
      <c r="AT135" s="564"/>
      <c r="AU135" s="564"/>
      <c r="AV135" s="564"/>
      <c r="AW135" s="564"/>
      <c r="AX135" s="564"/>
      <c r="AY135" s="564"/>
      <c r="AZ135" s="564"/>
      <c r="BA135" s="564"/>
      <c r="BB135" s="564"/>
      <c r="BC135" s="564"/>
      <c r="BD135" s="564"/>
      <c r="BE135" s="564"/>
      <c r="BF135" s="564"/>
      <c r="BG135" s="564"/>
      <c r="BH135" s="564"/>
      <c r="BI135" s="564"/>
      <c r="BJ135" s="564"/>
      <c r="BK135" s="564"/>
      <c r="BL135" s="564"/>
      <c r="BM135" s="564"/>
      <c r="BN135" s="564"/>
      <c r="BO135" s="564"/>
      <c r="BP135" s="564"/>
      <c r="BQ135" s="564"/>
      <c r="BR135" s="564"/>
      <c r="BS135" s="564"/>
      <c r="BT135" s="564"/>
      <c r="BU135" s="564"/>
      <c r="BV135" s="564"/>
      <c r="BW135" s="564"/>
      <c r="BX135" s="564"/>
      <c r="BY135" s="564"/>
      <c r="BZ135" s="564"/>
      <c r="CA135" s="564"/>
      <c r="CB135" s="564"/>
      <c r="CC135" s="564"/>
      <c r="CD135" s="564"/>
      <c r="CE135" s="564"/>
      <c r="CF135" s="564"/>
      <c r="CG135" s="564"/>
      <c r="CH135" s="564"/>
      <c r="CI135" s="564"/>
      <c r="CJ135" s="564"/>
      <c r="CK135" s="564"/>
      <c r="CL135" s="564"/>
      <c r="CM135" s="564"/>
      <c r="CN135" s="564"/>
      <c r="CO135" s="564"/>
      <c r="CP135" s="564"/>
      <c r="CQ135" s="564"/>
      <c r="CR135" s="564"/>
      <c r="CS135" s="564"/>
      <c r="CT135" s="564"/>
      <c r="CU135" s="564"/>
      <c r="CV135" s="564"/>
      <c r="CW135" s="564"/>
      <c r="CX135" s="564"/>
      <c r="CY135" s="564"/>
      <c r="CZ135" s="564"/>
      <c r="DA135" s="564"/>
      <c r="DB135" s="564"/>
      <c r="DC135" s="564"/>
      <c r="DD135" s="564"/>
      <c r="DE135" s="564"/>
      <c r="DF135" s="564"/>
      <c r="DG135" s="564"/>
      <c r="DH135" s="564"/>
      <c r="DI135" s="564"/>
      <c r="DJ135" s="564"/>
      <c r="DK135" s="564"/>
      <c r="DL135" s="564"/>
      <c r="DM135" s="564"/>
      <c r="DN135" s="564"/>
      <c r="DO135" s="564"/>
      <c r="DP135" s="564"/>
      <c r="DQ135" s="564"/>
      <c r="DR135" s="564"/>
      <c r="DS135" s="564"/>
      <c r="DT135" s="564"/>
      <c r="DU135" s="564"/>
      <c r="DV135" s="564"/>
      <c r="DW135" s="564"/>
      <c r="DX135" s="564"/>
      <c r="DY135" s="564"/>
      <c r="DZ135" s="564"/>
      <c r="EA135" s="564"/>
      <c r="EB135" s="564"/>
      <c r="EC135" s="564"/>
      <c r="ED135" s="564"/>
      <c r="EE135" s="564"/>
      <c r="EF135" s="564"/>
      <c r="EG135" s="564"/>
      <c r="EH135" s="564"/>
      <c r="EI135" s="564"/>
      <c r="EJ135" s="564"/>
      <c r="EK135" s="564"/>
      <c r="EL135" s="564"/>
      <c r="EM135" s="564"/>
      <c r="EN135" s="564"/>
      <c r="EO135" s="564"/>
      <c r="EP135" s="564"/>
      <c r="EQ135" s="564"/>
      <c r="ER135" s="564"/>
      <c r="ES135" s="564"/>
      <c r="ET135" s="564"/>
      <c r="EU135" s="564"/>
      <c r="EV135" s="564"/>
      <c r="EW135" s="564"/>
      <c r="EX135" s="564"/>
      <c r="EY135" s="564"/>
      <c r="EZ135" s="564"/>
      <c r="FA135" s="564"/>
      <c r="FB135" s="564"/>
      <c r="FC135" s="564"/>
      <c r="FD135" s="564"/>
      <c r="FE135" s="564"/>
      <c r="FF135" s="564"/>
      <c r="FG135" s="564"/>
      <c r="FH135" s="564"/>
      <c r="FI135" s="564"/>
      <c r="FJ135" s="564"/>
      <c r="FK135" s="564"/>
      <c r="FL135" s="564"/>
      <c r="FM135" s="564"/>
      <c r="FN135" s="564"/>
      <c r="FO135" s="564"/>
      <c r="FP135" s="564"/>
      <c r="FQ135" s="564"/>
      <c r="FR135" s="564"/>
      <c r="FS135" s="564"/>
      <c r="FT135" s="564"/>
      <c r="FU135" s="564"/>
      <c r="FV135" s="564"/>
      <c r="FW135" s="564"/>
      <c r="FX135" s="564"/>
      <c r="FY135" s="564"/>
      <c r="FZ135" s="564"/>
      <c r="GA135" s="564"/>
      <c r="GB135" s="564"/>
      <c r="GC135" s="564"/>
      <c r="GD135" s="564"/>
      <c r="GE135" s="564"/>
      <c r="GF135" s="564"/>
      <c r="GG135" s="564"/>
      <c r="GH135" s="564"/>
      <c r="GI135" s="564"/>
      <c r="GJ135" s="564"/>
    </row>
    <row r="136" spans="1:192" s="538" customFormat="1" x14ac:dyDescent="0.2">
      <c r="A136" s="165"/>
      <c r="B136" s="5" t="str">
        <f>IF('A3. INPUT Unit Costs'!C57="","",'A3. INPUT Unit Costs'!C57)</f>
        <v/>
      </c>
      <c r="D136" s="269">
        <f>'A3. INPUT Unit Costs'!D57</f>
        <v>0</v>
      </c>
      <c r="E136" s="460" t="e">
        <f>'A3. INPUT Unit Costs'!H57</f>
        <v>#N/A</v>
      </c>
      <c r="F136" s="16" t="e">
        <f t="shared" si="92"/>
        <v>#N/A</v>
      </c>
      <c r="G136" s="16" t="e">
        <f t="shared" si="86"/>
        <v>#N/A</v>
      </c>
      <c r="H136" s="16" t="e">
        <f t="shared" si="86"/>
        <v>#N/A</v>
      </c>
      <c r="I136" s="16" t="e">
        <f t="shared" si="86"/>
        <v>#N/A</v>
      </c>
      <c r="J136" s="16" t="e">
        <f t="shared" si="86"/>
        <v>#N/A</v>
      </c>
      <c r="K136" s="16" t="e">
        <f t="shared" si="86"/>
        <v>#N/A</v>
      </c>
      <c r="L136" s="16" t="e">
        <f t="shared" si="93"/>
        <v>#N/A</v>
      </c>
      <c r="M136" s="16"/>
      <c r="Q136" s="300" t="e">
        <f t="shared" si="94"/>
        <v>#N/A</v>
      </c>
      <c r="R136" s="300" t="e">
        <f t="shared" si="87"/>
        <v>#N/A</v>
      </c>
      <c r="S136" s="300" t="e">
        <f t="shared" si="88"/>
        <v>#N/A</v>
      </c>
      <c r="T136" s="300" t="e">
        <f t="shared" si="89"/>
        <v>#N/A</v>
      </c>
      <c r="U136" s="300" t="e">
        <f t="shared" si="90"/>
        <v>#N/A</v>
      </c>
      <c r="V136" s="300" t="e">
        <f t="shared" si="91"/>
        <v>#N/A</v>
      </c>
      <c r="W136" s="300" t="e">
        <f t="shared" si="95"/>
        <v>#N/A</v>
      </c>
      <c r="Z136" s="564"/>
      <c r="AA136" s="564"/>
      <c r="AB136" s="564"/>
      <c r="AC136" s="564"/>
      <c r="AD136" s="564"/>
      <c r="AE136" s="564"/>
      <c r="AF136" s="564"/>
      <c r="AG136" s="564"/>
      <c r="AH136" s="564"/>
      <c r="AI136" s="564"/>
      <c r="AJ136" s="564"/>
      <c r="AK136" s="564"/>
      <c r="AL136" s="564"/>
      <c r="AM136" s="564"/>
      <c r="AN136" s="564"/>
      <c r="AO136" s="564"/>
      <c r="AP136" s="564"/>
      <c r="AQ136" s="564"/>
      <c r="AR136" s="564"/>
      <c r="AS136" s="564"/>
      <c r="AT136" s="564"/>
      <c r="AU136" s="564"/>
      <c r="AV136" s="564"/>
      <c r="AW136" s="564"/>
      <c r="AX136" s="564"/>
      <c r="AY136" s="564"/>
      <c r="AZ136" s="564"/>
      <c r="BA136" s="564"/>
      <c r="BB136" s="564"/>
      <c r="BC136" s="564"/>
      <c r="BD136" s="564"/>
      <c r="BE136" s="564"/>
      <c r="BF136" s="564"/>
      <c r="BG136" s="564"/>
      <c r="BH136" s="564"/>
      <c r="BI136" s="564"/>
      <c r="BJ136" s="564"/>
      <c r="BK136" s="564"/>
      <c r="BL136" s="564"/>
      <c r="BM136" s="564"/>
      <c r="BN136" s="564"/>
      <c r="BO136" s="564"/>
      <c r="BP136" s="564"/>
      <c r="BQ136" s="564"/>
      <c r="BR136" s="564"/>
      <c r="BS136" s="564"/>
      <c r="BT136" s="564"/>
      <c r="BU136" s="564"/>
      <c r="BV136" s="564"/>
      <c r="BW136" s="564"/>
      <c r="BX136" s="564"/>
      <c r="BY136" s="564"/>
      <c r="BZ136" s="564"/>
      <c r="CA136" s="564"/>
      <c r="CB136" s="564"/>
      <c r="CC136" s="564"/>
      <c r="CD136" s="564"/>
      <c r="CE136" s="564"/>
      <c r="CF136" s="564"/>
      <c r="CG136" s="564"/>
      <c r="CH136" s="564"/>
      <c r="CI136" s="564"/>
      <c r="CJ136" s="564"/>
      <c r="CK136" s="564"/>
      <c r="CL136" s="564"/>
      <c r="CM136" s="564"/>
      <c r="CN136" s="564"/>
      <c r="CO136" s="564"/>
      <c r="CP136" s="564"/>
      <c r="CQ136" s="564"/>
      <c r="CR136" s="564"/>
      <c r="CS136" s="564"/>
      <c r="CT136" s="564"/>
      <c r="CU136" s="564"/>
      <c r="CV136" s="564"/>
      <c r="CW136" s="564"/>
      <c r="CX136" s="564"/>
      <c r="CY136" s="564"/>
      <c r="CZ136" s="564"/>
      <c r="DA136" s="564"/>
      <c r="DB136" s="564"/>
      <c r="DC136" s="564"/>
      <c r="DD136" s="564"/>
      <c r="DE136" s="564"/>
      <c r="DF136" s="564"/>
      <c r="DG136" s="564"/>
      <c r="DH136" s="564"/>
      <c r="DI136" s="564"/>
      <c r="DJ136" s="564"/>
      <c r="DK136" s="564"/>
      <c r="DL136" s="564"/>
      <c r="DM136" s="564"/>
      <c r="DN136" s="564"/>
      <c r="DO136" s="564"/>
      <c r="DP136" s="564"/>
      <c r="DQ136" s="564"/>
      <c r="DR136" s="564"/>
      <c r="DS136" s="564"/>
      <c r="DT136" s="564"/>
      <c r="DU136" s="564"/>
      <c r="DV136" s="564"/>
      <c r="DW136" s="564"/>
      <c r="DX136" s="564"/>
      <c r="DY136" s="564"/>
      <c r="DZ136" s="564"/>
      <c r="EA136" s="564"/>
      <c r="EB136" s="564"/>
      <c r="EC136" s="564"/>
      <c r="ED136" s="564"/>
      <c r="EE136" s="564"/>
      <c r="EF136" s="564"/>
      <c r="EG136" s="564"/>
      <c r="EH136" s="564"/>
      <c r="EI136" s="564"/>
      <c r="EJ136" s="564"/>
      <c r="EK136" s="564"/>
      <c r="EL136" s="564"/>
      <c r="EM136" s="564"/>
      <c r="EN136" s="564"/>
      <c r="EO136" s="564"/>
      <c r="EP136" s="564"/>
      <c r="EQ136" s="564"/>
      <c r="ER136" s="564"/>
      <c r="ES136" s="564"/>
      <c r="ET136" s="564"/>
      <c r="EU136" s="564"/>
      <c r="EV136" s="564"/>
      <c r="EW136" s="564"/>
      <c r="EX136" s="564"/>
      <c r="EY136" s="564"/>
      <c r="EZ136" s="564"/>
      <c r="FA136" s="564"/>
      <c r="FB136" s="564"/>
      <c r="FC136" s="564"/>
      <c r="FD136" s="564"/>
      <c r="FE136" s="564"/>
      <c r="FF136" s="564"/>
      <c r="FG136" s="564"/>
      <c r="FH136" s="564"/>
      <c r="FI136" s="564"/>
      <c r="FJ136" s="564"/>
      <c r="FK136" s="564"/>
      <c r="FL136" s="564"/>
      <c r="FM136" s="564"/>
      <c r="FN136" s="564"/>
      <c r="FO136" s="564"/>
      <c r="FP136" s="564"/>
      <c r="FQ136" s="564"/>
      <c r="FR136" s="564"/>
      <c r="FS136" s="564"/>
      <c r="FT136" s="564"/>
      <c r="FU136" s="564"/>
      <c r="FV136" s="564"/>
      <c r="FW136" s="564"/>
      <c r="FX136" s="564"/>
      <c r="FY136" s="564"/>
      <c r="FZ136" s="564"/>
      <c r="GA136" s="564"/>
      <c r="GB136" s="564"/>
      <c r="GC136" s="564"/>
      <c r="GD136" s="564"/>
      <c r="GE136" s="564"/>
      <c r="GF136" s="564"/>
      <c r="GG136" s="564"/>
      <c r="GH136" s="564"/>
      <c r="GI136" s="564"/>
      <c r="GJ136" s="564"/>
    </row>
    <row r="137" spans="1:192" s="538" customFormat="1" x14ac:dyDescent="0.2">
      <c r="A137" s="165"/>
      <c r="B137" s="5" t="str">
        <f>IF('A3. INPUT Unit Costs'!C58="","",'A3. INPUT Unit Costs'!C58)</f>
        <v xml:space="preserve"> </v>
      </c>
      <c r="D137" s="269">
        <f>'A3. INPUT Unit Costs'!D58</f>
        <v>0</v>
      </c>
      <c r="E137" s="460" t="e">
        <f>'A3. INPUT Unit Costs'!H58</f>
        <v>#N/A</v>
      </c>
      <c r="F137" s="16" t="e">
        <f t="shared" si="92"/>
        <v>#N/A</v>
      </c>
      <c r="G137" s="16" t="e">
        <f t="shared" si="86"/>
        <v>#N/A</v>
      </c>
      <c r="H137" s="16" t="e">
        <f t="shared" si="86"/>
        <v>#N/A</v>
      </c>
      <c r="I137" s="16" t="e">
        <f t="shared" si="86"/>
        <v>#N/A</v>
      </c>
      <c r="J137" s="16" t="e">
        <f t="shared" si="86"/>
        <v>#N/A</v>
      </c>
      <c r="K137" s="16" t="e">
        <f t="shared" si="86"/>
        <v>#N/A</v>
      </c>
      <c r="L137" s="16" t="e">
        <f t="shared" si="93"/>
        <v>#N/A</v>
      </c>
      <c r="M137" s="16"/>
      <c r="Q137" s="300" t="e">
        <f t="shared" si="94"/>
        <v>#N/A</v>
      </c>
      <c r="R137" s="300" t="e">
        <f t="shared" si="87"/>
        <v>#N/A</v>
      </c>
      <c r="S137" s="300" t="e">
        <f t="shared" si="88"/>
        <v>#N/A</v>
      </c>
      <c r="T137" s="300" t="e">
        <f t="shared" si="89"/>
        <v>#N/A</v>
      </c>
      <c r="U137" s="300" t="e">
        <f t="shared" si="90"/>
        <v>#N/A</v>
      </c>
      <c r="V137" s="300" t="e">
        <f t="shared" si="91"/>
        <v>#N/A</v>
      </c>
      <c r="W137" s="300" t="e">
        <f t="shared" si="95"/>
        <v>#N/A</v>
      </c>
      <c r="Z137" s="564"/>
      <c r="AA137" s="564"/>
      <c r="AB137" s="564"/>
      <c r="AC137" s="564"/>
      <c r="AD137" s="564"/>
      <c r="AE137" s="564"/>
      <c r="AF137" s="564"/>
      <c r="AG137" s="564"/>
      <c r="AH137" s="564"/>
      <c r="AI137" s="564"/>
      <c r="AJ137" s="564"/>
      <c r="AK137" s="564"/>
      <c r="AL137" s="564"/>
      <c r="AM137" s="564"/>
      <c r="AN137" s="564"/>
      <c r="AO137" s="564"/>
      <c r="AP137" s="564"/>
      <c r="AQ137" s="564"/>
      <c r="AR137" s="564"/>
      <c r="AS137" s="564"/>
      <c r="AT137" s="564"/>
      <c r="AU137" s="564"/>
      <c r="AV137" s="564"/>
      <c r="AW137" s="564"/>
      <c r="AX137" s="564"/>
      <c r="AY137" s="564"/>
      <c r="AZ137" s="564"/>
      <c r="BA137" s="564"/>
      <c r="BB137" s="564"/>
      <c r="BC137" s="564"/>
      <c r="BD137" s="564"/>
      <c r="BE137" s="564"/>
      <c r="BF137" s="564"/>
      <c r="BG137" s="564"/>
      <c r="BH137" s="564"/>
      <c r="BI137" s="564"/>
      <c r="BJ137" s="564"/>
      <c r="BK137" s="564"/>
      <c r="BL137" s="564"/>
      <c r="BM137" s="564"/>
      <c r="BN137" s="564"/>
      <c r="BO137" s="564"/>
      <c r="BP137" s="564"/>
      <c r="BQ137" s="564"/>
      <c r="BR137" s="564"/>
      <c r="BS137" s="564"/>
      <c r="BT137" s="564"/>
      <c r="BU137" s="564"/>
      <c r="BV137" s="564"/>
      <c r="BW137" s="564"/>
      <c r="BX137" s="564"/>
      <c r="BY137" s="564"/>
      <c r="BZ137" s="564"/>
      <c r="CA137" s="564"/>
      <c r="CB137" s="564"/>
      <c r="CC137" s="564"/>
      <c r="CD137" s="564"/>
      <c r="CE137" s="564"/>
      <c r="CF137" s="564"/>
      <c r="CG137" s="564"/>
      <c r="CH137" s="564"/>
      <c r="CI137" s="564"/>
      <c r="CJ137" s="564"/>
      <c r="CK137" s="564"/>
      <c r="CL137" s="564"/>
      <c r="CM137" s="564"/>
      <c r="CN137" s="564"/>
      <c r="CO137" s="564"/>
      <c r="CP137" s="564"/>
      <c r="CQ137" s="564"/>
      <c r="CR137" s="564"/>
      <c r="CS137" s="564"/>
      <c r="CT137" s="564"/>
      <c r="CU137" s="564"/>
      <c r="CV137" s="564"/>
      <c r="CW137" s="564"/>
      <c r="CX137" s="564"/>
      <c r="CY137" s="564"/>
      <c r="CZ137" s="564"/>
      <c r="DA137" s="564"/>
      <c r="DB137" s="564"/>
      <c r="DC137" s="564"/>
      <c r="DD137" s="564"/>
      <c r="DE137" s="564"/>
      <c r="DF137" s="564"/>
      <c r="DG137" s="564"/>
      <c r="DH137" s="564"/>
      <c r="DI137" s="564"/>
      <c r="DJ137" s="564"/>
      <c r="DK137" s="564"/>
      <c r="DL137" s="564"/>
      <c r="DM137" s="564"/>
      <c r="DN137" s="564"/>
      <c r="DO137" s="564"/>
      <c r="DP137" s="564"/>
      <c r="DQ137" s="564"/>
      <c r="DR137" s="564"/>
      <c r="DS137" s="564"/>
      <c r="DT137" s="564"/>
      <c r="DU137" s="564"/>
      <c r="DV137" s="564"/>
      <c r="DW137" s="564"/>
      <c r="DX137" s="564"/>
      <c r="DY137" s="564"/>
      <c r="DZ137" s="564"/>
      <c r="EA137" s="564"/>
      <c r="EB137" s="564"/>
      <c r="EC137" s="564"/>
      <c r="ED137" s="564"/>
      <c r="EE137" s="564"/>
      <c r="EF137" s="564"/>
      <c r="EG137" s="564"/>
      <c r="EH137" s="564"/>
      <c r="EI137" s="564"/>
      <c r="EJ137" s="564"/>
      <c r="EK137" s="564"/>
      <c r="EL137" s="564"/>
      <c r="EM137" s="564"/>
      <c r="EN137" s="564"/>
      <c r="EO137" s="564"/>
      <c r="EP137" s="564"/>
      <c r="EQ137" s="564"/>
      <c r="ER137" s="564"/>
      <c r="ES137" s="564"/>
      <c r="ET137" s="564"/>
      <c r="EU137" s="564"/>
      <c r="EV137" s="564"/>
      <c r="EW137" s="564"/>
      <c r="EX137" s="564"/>
      <c r="EY137" s="564"/>
      <c r="EZ137" s="564"/>
      <c r="FA137" s="564"/>
      <c r="FB137" s="564"/>
      <c r="FC137" s="564"/>
      <c r="FD137" s="564"/>
      <c r="FE137" s="564"/>
      <c r="FF137" s="564"/>
      <c r="FG137" s="564"/>
      <c r="FH137" s="564"/>
      <c r="FI137" s="564"/>
      <c r="FJ137" s="564"/>
      <c r="FK137" s="564"/>
      <c r="FL137" s="564"/>
      <c r="FM137" s="564"/>
      <c r="FN137" s="564"/>
      <c r="FO137" s="564"/>
      <c r="FP137" s="564"/>
      <c r="FQ137" s="564"/>
      <c r="FR137" s="564"/>
      <c r="FS137" s="564"/>
      <c r="FT137" s="564"/>
      <c r="FU137" s="564"/>
      <c r="FV137" s="564"/>
      <c r="FW137" s="564"/>
      <c r="FX137" s="564"/>
      <c r="FY137" s="564"/>
      <c r="FZ137" s="564"/>
      <c r="GA137" s="564"/>
      <c r="GB137" s="564"/>
      <c r="GC137" s="564"/>
      <c r="GD137" s="564"/>
      <c r="GE137" s="564"/>
      <c r="GF137" s="564"/>
      <c r="GG137" s="564"/>
      <c r="GH137" s="564"/>
      <c r="GI137" s="564"/>
      <c r="GJ137" s="564"/>
    </row>
    <row r="138" spans="1:192" s="538" customFormat="1" x14ac:dyDescent="0.2">
      <c r="A138" s="165"/>
      <c r="B138" s="5" t="str">
        <f>IF('A3. INPUT Unit Costs'!C59="","",'A3. INPUT Unit Costs'!C59)</f>
        <v xml:space="preserve"> </v>
      </c>
      <c r="D138" s="269">
        <f>'A3. INPUT Unit Costs'!D59</f>
        <v>0</v>
      </c>
      <c r="E138" s="460" t="e">
        <f>'A3. INPUT Unit Costs'!H59</f>
        <v>#N/A</v>
      </c>
      <c r="F138" s="16" t="e">
        <f t="shared" si="92"/>
        <v>#N/A</v>
      </c>
      <c r="G138" s="16" t="e">
        <f t="shared" si="86"/>
        <v>#N/A</v>
      </c>
      <c r="H138" s="16" t="e">
        <f t="shared" si="86"/>
        <v>#N/A</v>
      </c>
      <c r="I138" s="16" t="e">
        <f t="shared" si="86"/>
        <v>#N/A</v>
      </c>
      <c r="J138" s="16" t="e">
        <f t="shared" si="86"/>
        <v>#N/A</v>
      </c>
      <c r="K138" s="16" t="e">
        <f t="shared" si="86"/>
        <v>#N/A</v>
      </c>
      <c r="L138" s="16" t="e">
        <f t="shared" si="93"/>
        <v>#N/A</v>
      </c>
      <c r="M138" s="16"/>
      <c r="Q138" s="300" t="e">
        <f t="shared" si="94"/>
        <v>#N/A</v>
      </c>
      <c r="R138" s="300" t="e">
        <f t="shared" si="87"/>
        <v>#N/A</v>
      </c>
      <c r="S138" s="300" t="e">
        <f t="shared" si="88"/>
        <v>#N/A</v>
      </c>
      <c r="T138" s="300" t="e">
        <f t="shared" si="89"/>
        <v>#N/A</v>
      </c>
      <c r="U138" s="300" t="e">
        <f t="shared" si="90"/>
        <v>#N/A</v>
      </c>
      <c r="V138" s="300" t="e">
        <f t="shared" si="91"/>
        <v>#N/A</v>
      </c>
      <c r="W138" s="300" t="e">
        <f t="shared" si="95"/>
        <v>#N/A</v>
      </c>
      <c r="Z138" s="564"/>
      <c r="AA138" s="564"/>
      <c r="AB138" s="564"/>
      <c r="AC138" s="564"/>
      <c r="AD138" s="564"/>
      <c r="AE138" s="564"/>
      <c r="AF138" s="564"/>
      <c r="AG138" s="564"/>
      <c r="AH138" s="564"/>
      <c r="AI138" s="564"/>
      <c r="AJ138" s="564"/>
      <c r="AK138" s="564"/>
      <c r="AL138" s="564"/>
      <c r="AM138" s="564"/>
      <c r="AN138" s="564"/>
      <c r="AO138" s="564"/>
      <c r="AP138" s="564"/>
      <c r="AQ138" s="564"/>
      <c r="AR138" s="564"/>
      <c r="AS138" s="564"/>
      <c r="AT138" s="564"/>
      <c r="AU138" s="564"/>
      <c r="AV138" s="564"/>
      <c r="AW138" s="564"/>
      <c r="AX138" s="564"/>
      <c r="AY138" s="564"/>
      <c r="AZ138" s="564"/>
      <c r="BA138" s="564"/>
      <c r="BB138" s="564"/>
      <c r="BC138" s="564"/>
      <c r="BD138" s="564"/>
      <c r="BE138" s="564"/>
      <c r="BF138" s="564"/>
      <c r="BG138" s="564"/>
      <c r="BH138" s="564"/>
      <c r="BI138" s="564"/>
      <c r="BJ138" s="564"/>
      <c r="BK138" s="564"/>
      <c r="BL138" s="564"/>
      <c r="BM138" s="564"/>
      <c r="BN138" s="564"/>
      <c r="BO138" s="564"/>
      <c r="BP138" s="564"/>
      <c r="BQ138" s="564"/>
      <c r="BR138" s="564"/>
      <c r="BS138" s="564"/>
      <c r="BT138" s="564"/>
      <c r="BU138" s="564"/>
      <c r="BV138" s="564"/>
      <c r="BW138" s="564"/>
      <c r="BX138" s="564"/>
      <c r="BY138" s="564"/>
      <c r="BZ138" s="564"/>
      <c r="CA138" s="564"/>
      <c r="CB138" s="564"/>
      <c r="CC138" s="564"/>
      <c r="CD138" s="564"/>
      <c r="CE138" s="564"/>
      <c r="CF138" s="564"/>
      <c r="CG138" s="564"/>
      <c r="CH138" s="564"/>
      <c r="CI138" s="564"/>
      <c r="CJ138" s="564"/>
      <c r="CK138" s="564"/>
      <c r="CL138" s="564"/>
      <c r="CM138" s="564"/>
      <c r="CN138" s="564"/>
      <c r="CO138" s="564"/>
      <c r="CP138" s="564"/>
      <c r="CQ138" s="564"/>
      <c r="CR138" s="564"/>
      <c r="CS138" s="564"/>
      <c r="CT138" s="564"/>
      <c r="CU138" s="564"/>
      <c r="CV138" s="564"/>
      <c r="CW138" s="564"/>
      <c r="CX138" s="564"/>
      <c r="CY138" s="564"/>
      <c r="CZ138" s="564"/>
      <c r="DA138" s="564"/>
      <c r="DB138" s="564"/>
      <c r="DC138" s="564"/>
      <c r="DD138" s="564"/>
      <c r="DE138" s="564"/>
      <c r="DF138" s="564"/>
      <c r="DG138" s="564"/>
      <c r="DH138" s="564"/>
      <c r="DI138" s="564"/>
      <c r="DJ138" s="564"/>
      <c r="DK138" s="564"/>
      <c r="DL138" s="564"/>
      <c r="DM138" s="564"/>
      <c r="DN138" s="564"/>
      <c r="DO138" s="564"/>
      <c r="DP138" s="564"/>
      <c r="DQ138" s="564"/>
      <c r="DR138" s="564"/>
      <c r="DS138" s="564"/>
      <c r="DT138" s="564"/>
      <c r="DU138" s="564"/>
      <c r="DV138" s="564"/>
      <c r="DW138" s="564"/>
      <c r="DX138" s="564"/>
      <c r="DY138" s="564"/>
      <c r="DZ138" s="564"/>
      <c r="EA138" s="564"/>
      <c r="EB138" s="564"/>
      <c r="EC138" s="564"/>
      <c r="ED138" s="564"/>
      <c r="EE138" s="564"/>
      <c r="EF138" s="564"/>
      <c r="EG138" s="564"/>
      <c r="EH138" s="564"/>
      <c r="EI138" s="564"/>
      <c r="EJ138" s="564"/>
      <c r="EK138" s="564"/>
      <c r="EL138" s="564"/>
      <c r="EM138" s="564"/>
      <c r="EN138" s="564"/>
      <c r="EO138" s="564"/>
      <c r="EP138" s="564"/>
      <c r="EQ138" s="564"/>
      <c r="ER138" s="564"/>
      <c r="ES138" s="564"/>
      <c r="ET138" s="564"/>
      <c r="EU138" s="564"/>
      <c r="EV138" s="564"/>
      <c r="EW138" s="564"/>
      <c r="EX138" s="564"/>
      <c r="EY138" s="564"/>
      <c r="EZ138" s="564"/>
      <c r="FA138" s="564"/>
      <c r="FB138" s="564"/>
      <c r="FC138" s="564"/>
      <c r="FD138" s="564"/>
      <c r="FE138" s="564"/>
      <c r="FF138" s="564"/>
      <c r="FG138" s="564"/>
      <c r="FH138" s="564"/>
      <c r="FI138" s="564"/>
      <c r="FJ138" s="564"/>
      <c r="FK138" s="564"/>
      <c r="FL138" s="564"/>
      <c r="FM138" s="564"/>
      <c r="FN138" s="564"/>
      <c r="FO138" s="564"/>
      <c r="FP138" s="564"/>
      <c r="FQ138" s="564"/>
      <c r="FR138" s="564"/>
      <c r="FS138" s="564"/>
      <c r="FT138" s="564"/>
      <c r="FU138" s="564"/>
      <c r="FV138" s="564"/>
      <c r="FW138" s="564"/>
      <c r="FX138" s="564"/>
      <c r="FY138" s="564"/>
      <c r="FZ138" s="564"/>
      <c r="GA138" s="564"/>
      <c r="GB138" s="564"/>
      <c r="GC138" s="564"/>
      <c r="GD138" s="564"/>
      <c r="GE138" s="564"/>
      <c r="GF138" s="564"/>
      <c r="GG138" s="564"/>
      <c r="GH138" s="564"/>
      <c r="GI138" s="564"/>
      <c r="GJ138" s="564"/>
    </row>
    <row r="139" spans="1:192" s="538" customFormat="1" x14ac:dyDescent="0.2">
      <c r="A139" s="165"/>
      <c r="B139" s="5" t="str">
        <f>IF('A3. INPUT Unit Costs'!C60="","",'A3. INPUT Unit Costs'!C60)</f>
        <v xml:space="preserve"> </v>
      </c>
      <c r="D139" s="269">
        <f>'A3. INPUT Unit Costs'!D60</f>
        <v>0</v>
      </c>
      <c r="E139" s="460" t="e">
        <f>'A3. INPUT Unit Costs'!H60</f>
        <v>#N/A</v>
      </c>
      <c r="F139" s="16" t="e">
        <f t="shared" si="92"/>
        <v>#N/A</v>
      </c>
      <c r="G139" s="16" t="e">
        <f t="shared" si="86"/>
        <v>#N/A</v>
      </c>
      <c r="H139" s="16" t="e">
        <f t="shared" si="86"/>
        <v>#N/A</v>
      </c>
      <c r="I139" s="16" t="e">
        <f t="shared" si="86"/>
        <v>#N/A</v>
      </c>
      <c r="J139" s="16" t="e">
        <f t="shared" si="86"/>
        <v>#N/A</v>
      </c>
      <c r="K139" s="16" t="e">
        <f t="shared" si="86"/>
        <v>#N/A</v>
      </c>
      <c r="L139" s="16" t="e">
        <f t="shared" si="93"/>
        <v>#N/A</v>
      </c>
      <c r="M139" s="16"/>
      <c r="Q139" s="300" t="e">
        <f t="shared" si="94"/>
        <v>#N/A</v>
      </c>
      <c r="R139" s="300" t="e">
        <f t="shared" si="87"/>
        <v>#N/A</v>
      </c>
      <c r="S139" s="300" t="e">
        <f t="shared" si="88"/>
        <v>#N/A</v>
      </c>
      <c r="T139" s="300" t="e">
        <f t="shared" si="89"/>
        <v>#N/A</v>
      </c>
      <c r="U139" s="300" t="e">
        <f t="shared" si="90"/>
        <v>#N/A</v>
      </c>
      <c r="V139" s="300" t="e">
        <f t="shared" si="91"/>
        <v>#N/A</v>
      </c>
      <c r="W139" s="300" t="e">
        <f t="shared" si="95"/>
        <v>#N/A</v>
      </c>
      <c r="Z139" s="564"/>
      <c r="AA139" s="564"/>
      <c r="AB139" s="564"/>
      <c r="AC139" s="564"/>
      <c r="AD139" s="564"/>
      <c r="AE139" s="564"/>
      <c r="AF139" s="564"/>
      <c r="AG139" s="564"/>
      <c r="AH139" s="564"/>
      <c r="AI139" s="564"/>
      <c r="AJ139" s="564"/>
      <c r="AK139" s="564"/>
      <c r="AL139" s="564"/>
      <c r="AM139" s="564"/>
      <c r="AN139" s="564"/>
      <c r="AO139" s="564"/>
      <c r="AP139" s="564"/>
      <c r="AQ139" s="564"/>
      <c r="AR139" s="564"/>
      <c r="AS139" s="564"/>
      <c r="AT139" s="564"/>
      <c r="AU139" s="564"/>
      <c r="AV139" s="564"/>
      <c r="AW139" s="564"/>
      <c r="AX139" s="564"/>
      <c r="AY139" s="564"/>
      <c r="AZ139" s="564"/>
      <c r="BA139" s="564"/>
      <c r="BB139" s="564"/>
      <c r="BC139" s="564"/>
      <c r="BD139" s="564"/>
      <c r="BE139" s="564"/>
      <c r="BF139" s="564"/>
      <c r="BG139" s="564"/>
      <c r="BH139" s="564"/>
      <c r="BI139" s="564"/>
      <c r="BJ139" s="564"/>
      <c r="BK139" s="564"/>
      <c r="BL139" s="564"/>
      <c r="BM139" s="564"/>
      <c r="BN139" s="564"/>
      <c r="BO139" s="564"/>
      <c r="BP139" s="564"/>
      <c r="BQ139" s="564"/>
      <c r="BR139" s="564"/>
      <c r="BS139" s="564"/>
      <c r="BT139" s="564"/>
      <c r="BU139" s="564"/>
      <c r="BV139" s="564"/>
      <c r="BW139" s="564"/>
      <c r="BX139" s="564"/>
      <c r="BY139" s="564"/>
      <c r="BZ139" s="564"/>
      <c r="CA139" s="564"/>
      <c r="CB139" s="564"/>
      <c r="CC139" s="564"/>
      <c r="CD139" s="564"/>
      <c r="CE139" s="564"/>
      <c r="CF139" s="564"/>
      <c r="CG139" s="564"/>
      <c r="CH139" s="564"/>
      <c r="CI139" s="564"/>
      <c r="CJ139" s="564"/>
      <c r="CK139" s="564"/>
      <c r="CL139" s="564"/>
      <c r="CM139" s="564"/>
      <c r="CN139" s="564"/>
      <c r="CO139" s="564"/>
      <c r="CP139" s="564"/>
      <c r="CQ139" s="564"/>
      <c r="CR139" s="564"/>
      <c r="CS139" s="564"/>
      <c r="CT139" s="564"/>
      <c r="CU139" s="564"/>
      <c r="CV139" s="564"/>
      <c r="CW139" s="564"/>
      <c r="CX139" s="564"/>
      <c r="CY139" s="564"/>
      <c r="CZ139" s="564"/>
      <c r="DA139" s="564"/>
      <c r="DB139" s="564"/>
      <c r="DC139" s="564"/>
      <c r="DD139" s="564"/>
      <c r="DE139" s="564"/>
      <c r="DF139" s="564"/>
      <c r="DG139" s="564"/>
      <c r="DH139" s="564"/>
      <c r="DI139" s="564"/>
      <c r="DJ139" s="564"/>
      <c r="DK139" s="564"/>
      <c r="DL139" s="564"/>
      <c r="DM139" s="564"/>
      <c r="DN139" s="564"/>
      <c r="DO139" s="564"/>
      <c r="DP139" s="564"/>
      <c r="DQ139" s="564"/>
      <c r="DR139" s="564"/>
      <c r="DS139" s="564"/>
      <c r="DT139" s="564"/>
      <c r="DU139" s="564"/>
      <c r="DV139" s="564"/>
      <c r="DW139" s="564"/>
      <c r="DX139" s="564"/>
      <c r="DY139" s="564"/>
      <c r="DZ139" s="564"/>
      <c r="EA139" s="564"/>
      <c r="EB139" s="564"/>
      <c r="EC139" s="564"/>
      <c r="ED139" s="564"/>
      <c r="EE139" s="564"/>
      <c r="EF139" s="564"/>
      <c r="EG139" s="564"/>
      <c r="EH139" s="564"/>
      <c r="EI139" s="564"/>
      <c r="EJ139" s="564"/>
      <c r="EK139" s="564"/>
      <c r="EL139" s="564"/>
      <c r="EM139" s="564"/>
      <c r="EN139" s="564"/>
      <c r="EO139" s="564"/>
      <c r="EP139" s="564"/>
      <c r="EQ139" s="564"/>
      <c r="ER139" s="564"/>
      <c r="ES139" s="564"/>
      <c r="ET139" s="564"/>
      <c r="EU139" s="564"/>
      <c r="EV139" s="564"/>
      <c r="EW139" s="564"/>
      <c r="EX139" s="564"/>
      <c r="EY139" s="564"/>
      <c r="EZ139" s="564"/>
      <c r="FA139" s="564"/>
      <c r="FB139" s="564"/>
      <c r="FC139" s="564"/>
      <c r="FD139" s="564"/>
      <c r="FE139" s="564"/>
      <c r="FF139" s="564"/>
      <c r="FG139" s="564"/>
      <c r="FH139" s="564"/>
      <c r="FI139" s="564"/>
      <c r="FJ139" s="564"/>
      <c r="FK139" s="564"/>
      <c r="FL139" s="564"/>
      <c r="FM139" s="564"/>
      <c r="FN139" s="564"/>
      <c r="FO139" s="564"/>
      <c r="FP139" s="564"/>
      <c r="FQ139" s="564"/>
      <c r="FR139" s="564"/>
      <c r="FS139" s="564"/>
      <c r="FT139" s="564"/>
      <c r="FU139" s="564"/>
      <c r="FV139" s="564"/>
      <c r="FW139" s="564"/>
      <c r="FX139" s="564"/>
      <c r="FY139" s="564"/>
      <c r="FZ139" s="564"/>
      <c r="GA139" s="564"/>
      <c r="GB139" s="564"/>
      <c r="GC139" s="564"/>
      <c r="GD139" s="564"/>
      <c r="GE139" s="564"/>
      <c r="GF139" s="564"/>
      <c r="GG139" s="564"/>
      <c r="GH139" s="564"/>
      <c r="GI139" s="564"/>
      <c r="GJ139" s="564"/>
    </row>
    <row r="140" spans="1:192" s="538" customFormat="1" x14ac:dyDescent="0.2">
      <c r="A140" s="165"/>
      <c r="B140" s="5" t="str">
        <f>IF('A3. INPUT Unit Costs'!C61="","",'A3. INPUT Unit Costs'!C61)</f>
        <v/>
      </c>
      <c r="D140" s="269">
        <f>'A3. INPUT Unit Costs'!D61</f>
        <v>0</v>
      </c>
      <c r="E140" s="460" t="e">
        <f>'A3. INPUT Unit Costs'!H61</f>
        <v>#N/A</v>
      </c>
      <c r="F140" s="16" t="e">
        <f t="shared" si="92"/>
        <v>#N/A</v>
      </c>
      <c r="G140" s="16" t="e">
        <f t="shared" si="86"/>
        <v>#N/A</v>
      </c>
      <c r="H140" s="16" t="e">
        <f t="shared" si="86"/>
        <v>#N/A</v>
      </c>
      <c r="I140" s="16" t="e">
        <f t="shared" si="86"/>
        <v>#N/A</v>
      </c>
      <c r="J140" s="16" t="e">
        <f t="shared" si="86"/>
        <v>#N/A</v>
      </c>
      <c r="K140" s="16" t="e">
        <f t="shared" si="86"/>
        <v>#N/A</v>
      </c>
      <c r="L140" s="16" t="e">
        <f t="shared" si="93"/>
        <v>#N/A</v>
      </c>
      <c r="M140" s="16"/>
      <c r="Q140" s="300" t="e">
        <f t="shared" si="94"/>
        <v>#N/A</v>
      </c>
      <c r="R140" s="300" t="e">
        <f t="shared" si="87"/>
        <v>#N/A</v>
      </c>
      <c r="S140" s="300" t="e">
        <f t="shared" si="88"/>
        <v>#N/A</v>
      </c>
      <c r="T140" s="300" t="e">
        <f t="shared" si="89"/>
        <v>#N/A</v>
      </c>
      <c r="U140" s="300" t="e">
        <f t="shared" si="90"/>
        <v>#N/A</v>
      </c>
      <c r="V140" s="300" t="e">
        <f t="shared" si="91"/>
        <v>#N/A</v>
      </c>
      <c r="W140" s="300" t="e">
        <f t="shared" si="95"/>
        <v>#N/A</v>
      </c>
      <c r="Z140" s="564"/>
      <c r="AA140" s="564"/>
      <c r="AB140" s="564"/>
      <c r="AC140" s="564"/>
      <c r="AD140" s="564"/>
      <c r="AE140" s="564"/>
      <c r="AF140" s="564"/>
      <c r="AG140" s="564"/>
      <c r="AH140" s="564"/>
      <c r="AI140" s="564"/>
      <c r="AJ140" s="564"/>
      <c r="AK140" s="564"/>
      <c r="AL140" s="564"/>
      <c r="AM140" s="564"/>
      <c r="AN140" s="564"/>
      <c r="AO140" s="564"/>
      <c r="AP140" s="564"/>
      <c r="AQ140" s="564"/>
      <c r="AR140" s="564"/>
      <c r="AS140" s="564"/>
      <c r="AT140" s="564"/>
      <c r="AU140" s="564"/>
      <c r="AV140" s="564"/>
      <c r="AW140" s="564"/>
      <c r="AX140" s="564"/>
      <c r="AY140" s="564"/>
      <c r="AZ140" s="564"/>
      <c r="BA140" s="564"/>
      <c r="BB140" s="564"/>
      <c r="BC140" s="564"/>
      <c r="BD140" s="564"/>
      <c r="BE140" s="564"/>
      <c r="BF140" s="564"/>
      <c r="BG140" s="564"/>
      <c r="BH140" s="564"/>
      <c r="BI140" s="564"/>
      <c r="BJ140" s="564"/>
      <c r="BK140" s="564"/>
      <c r="BL140" s="564"/>
      <c r="BM140" s="564"/>
      <c r="BN140" s="564"/>
      <c r="BO140" s="564"/>
      <c r="BP140" s="564"/>
      <c r="BQ140" s="564"/>
      <c r="BR140" s="564"/>
      <c r="BS140" s="564"/>
      <c r="BT140" s="564"/>
      <c r="BU140" s="564"/>
      <c r="BV140" s="564"/>
      <c r="BW140" s="564"/>
      <c r="BX140" s="564"/>
      <c r="BY140" s="564"/>
      <c r="BZ140" s="564"/>
      <c r="CA140" s="564"/>
      <c r="CB140" s="564"/>
      <c r="CC140" s="564"/>
      <c r="CD140" s="564"/>
      <c r="CE140" s="564"/>
      <c r="CF140" s="564"/>
      <c r="CG140" s="564"/>
      <c r="CH140" s="564"/>
      <c r="CI140" s="564"/>
      <c r="CJ140" s="564"/>
      <c r="CK140" s="564"/>
      <c r="CL140" s="564"/>
      <c r="CM140" s="564"/>
      <c r="CN140" s="564"/>
      <c r="CO140" s="564"/>
      <c r="CP140" s="564"/>
      <c r="CQ140" s="564"/>
      <c r="CR140" s="564"/>
      <c r="CS140" s="564"/>
      <c r="CT140" s="564"/>
      <c r="CU140" s="564"/>
      <c r="CV140" s="564"/>
      <c r="CW140" s="564"/>
      <c r="CX140" s="564"/>
      <c r="CY140" s="564"/>
      <c r="CZ140" s="564"/>
      <c r="DA140" s="564"/>
      <c r="DB140" s="564"/>
      <c r="DC140" s="564"/>
      <c r="DD140" s="564"/>
      <c r="DE140" s="564"/>
      <c r="DF140" s="564"/>
      <c r="DG140" s="564"/>
      <c r="DH140" s="564"/>
      <c r="DI140" s="564"/>
      <c r="DJ140" s="564"/>
      <c r="DK140" s="564"/>
      <c r="DL140" s="564"/>
      <c r="DM140" s="564"/>
      <c r="DN140" s="564"/>
      <c r="DO140" s="564"/>
      <c r="DP140" s="564"/>
      <c r="DQ140" s="564"/>
      <c r="DR140" s="564"/>
      <c r="DS140" s="564"/>
      <c r="DT140" s="564"/>
      <c r="DU140" s="564"/>
      <c r="DV140" s="564"/>
      <c r="DW140" s="564"/>
      <c r="DX140" s="564"/>
      <c r="DY140" s="564"/>
      <c r="DZ140" s="564"/>
      <c r="EA140" s="564"/>
      <c r="EB140" s="564"/>
      <c r="EC140" s="564"/>
      <c r="ED140" s="564"/>
      <c r="EE140" s="564"/>
      <c r="EF140" s="564"/>
      <c r="EG140" s="564"/>
      <c r="EH140" s="564"/>
      <c r="EI140" s="564"/>
      <c r="EJ140" s="564"/>
      <c r="EK140" s="564"/>
      <c r="EL140" s="564"/>
      <c r="EM140" s="564"/>
      <c r="EN140" s="564"/>
      <c r="EO140" s="564"/>
      <c r="EP140" s="564"/>
      <c r="EQ140" s="564"/>
      <c r="ER140" s="564"/>
      <c r="ES140" s="564"/>
      <c r="ET140" s="564"/>
      <c r="EU140" s="564"/>
      <c r="EV140" s="564"/>
      <c r="EW140" s="564"/>
      <c r="EX140" s="564"/>
      <c r="EY140" s="564"/>
      <c r="EZ140" s="564"/>
      <c r="FA140" s="564"/>
      <c r="FB140" s="564"/>
      <c r="FC140" s="564"/>
      <c r="FD140" s="564"/>
      <c r="FE140" s="564"/>
      <c r="FF140" s="564"/>
      <c r="FG140" s="564"/>
      <c r="FH140" s="564"/>
      <c r="FI140" s="564"/>
      <c r="FJ140" s="564"/>
      <c r="FK140" s="564"/>
      <c r="FL140" s="564"/>
      <c r="FM140" s="564"/>
      <c r="FN140" s="564"/>
      <c r="FO140" s="564"/>
      <c r="FP140" s="564"/>
      <c r="FQ140" s="564"/>
      <c r="FR140" s="564"/>
      <c r="FS140" s="564"/>
      <c r="FT140" s="564"/>
      <c r="FU140" s="564"/>
      <c r="FV140" s="564"/>
      <c r="FW140" s="564"/>
      <c r="FX140" s="564"/>
      <c r="FY140" s="564"/>
      <c r="FZ140" s="564"/>
      <c r="GA140" s="564"/>
      <c r="GB140" s="564"/>
      <c r="GC140" s="564"/>
      <c r="GD140" s="564"/>
      <c r="GE140" s="564"/>
      <c r="GF140" s="564"/>
      <c r="GG140" s="564"/>
      <c r="GH140" s="564"/>
      <c r="GI140" s="564"/>
      <c r="GJ140" s="564"/>
    </row>
    <row r="141" spans="1:192" s="538" customFormat="1" x14ac:dyDescent="0.2">
      <c r="B141" s="5"/>
      <c r="D141" s="5"/>
      <c r="E141" s="460"/>
      <c r="F141" s="16"/>
      <c r="G141" s="16"/>
      <c r="H141" s="16"/>
      <c r="I141" s="16"/>
      <c r="J141" s="16"/>
      <c r="K141" s="16"/>
      <c r="L141" s="16"/>
      <c r="M141" s="16"/>
      <c r="Q141" s="300"/>
      <c r="R141" s="300"/>
      <c r="S141" s="300"/>
      <c r="T141" s="300"/>
      <c r="U141" s="300"/>
      <c r="V141" s="300"/>
      <c r="W141" s="300"/>
      <c r="Z141" s="564"/>
      <c r="AA141" s="564"/>
      <c r="AB141" s="564"/>
      <c r="AC141" s="564"/>
      <c r="AD141" s="564"/>
      <c r="AE141" s="564"/>
      <c r="AF141" s="564"/>
      <c r="AG141" s="564"/>
      <c r="AH141" s="564"/>
      <c r="AI141" s="564"/>
      <c r="AJ141" s="564"/>
      <c r="AK141" s="564"/>
      <c r="AL141" s="564"/>
      <c r="AM141" s="564"/>
      <c r="AN141" s="564"/>
      <c r="AO141" s="564"/>
      <c r="AP141" s="564"/>
      <c r="AQ141" s="564"/>
      <c r="AR141" s="564"/>
      <c r="AS141" s="564"/>
      <c r="AT141" s="564"/>
      <c r="AU141" s="564"/>
      <c r="AV141" s="564"/>
      <c r="AW141" s="564"/>
      <c r="AX141" s="564"/>
      <c r="AY141" s="564"/>
      <c r="AZ141" s="564"/>
      <c r="BA141" s="564"/>
      <c r="BB141" s="564"/>
      <c r="BC141" s="564"/>
      <c r="BD141" s="564"/>
      <c r="BE141" s="564"/>
      <c r="BF141" s="564"/>
      <c r="BG141" s="564"/>
      <c r="BH141" s="564"/>
      <c r="BI141" s="564"/>
      <c r="BJ141" s="564"/>
      <c r="BK141" s="564"/>
      <c r="BL141" s="564"/>
      <c r="BM141" s="564"/>
      <c r="BN141" s="564"/>
      <c r="BO141" s="564"/>
      <c r="BP141" s="564"/>
      <c r="BQ141" s="564"/>
      <c r="BR141" s="564"/>
      <c r="BS141" s="564"/>
      <c r="BT141" s="564"/>
      <c r="BU141" s="564"/>
      <c r="BV141" s="564"/>
      <c r="BW141" s="564"/>
      <c r="BX141" s="564"/>
      <c r="BY141" s="564"/>
      <c r="BZ141" s="564"/>
      <c r="CA141" s="564"/>
      <c r="CB141" s="564"/>
      <c r="CC141" s="564"/>
      <c r="CD141" s="564"/>
      <c r="CE141" s="564"/>
      <c r="CF141" s="564"/>
      <c r="CG141" s="564"/>
      <c r="CH141" s="564"/>
      <c r="CI141" s="564"/>
      <c r="CJ141" s="564"/>
      <c r="CK141" s="564"/>
      <c r="CL141" s="564"/>
      <c r="CM141" s="564"/>
      <c r="CN141" s="564"/>
      <c r="CO141" s="564"/>
      <c r="CP141" s="564"/>
      <c r="CQ141" s="564"/>
      <c r="CR141" s="564"/>
      <c r="CS141" s="564"/>
      <c r="CT141" s="564"/>
      <c r="CU141" s="564"/>
      <c r="CV141" s="564"/>
      <c r="CW141" s="564"/>
      <c r="CX141" s="564"/>
      <c r="CY141" s="564"/>
      <c r="CZ141" s="564"/>
      <c r="DA141" s="564"/>
      <c r="DB141" s="564"/>
      <c r="DC141" s="564"/>
      <c r="DD141" s="564"/>
      <c r="DE141" s="564"/>
      <c r="DF141" s="564"/>
      <c r="DG141" s="564"/>
      <c r="DH141" s="564"/>
      <c r="DI141" s="564"/>
      <c r="DJ141" s="564"/>
      <c r="DK141" s="564"/>
      <c r="DL141" s="564"/>
      <c r="DM141" s="564"/>
      <c r="DN141" s="564"/>
      <c r="DO141" s="564"/>
      <c r="DP141" s="564"/>
      <c r="DQ141" s="564"/>
      <c r="DR141" s="564"/>
      <c r="DS141" s="564"/>
      <c r="DT141" s="564"/>
      <c r="DU141" s="564"/>
      <c r="DV141" s="564"/>
      <c r="DW141" s="564"/>
      <c r="DX141" s="564"/>
      <c r="DY141" s="564"/>
      <c r="DZ141" s="564"/>
      <c r="EA141" s="564"/>
      <c r="EB141" s="564"/>
      <c r="EC141" s="564"/>
      <c r="ED141" s="564"/>
      <c r="EE141" s="564"/>
      <c r="EF141" s="564"/>
      <c r="EG141" s="564"/>
      <c r="EH141" s="564"/>
      <c r="EI141" s="564"/>
      <c r="EJ141" s="564"/>
      <c r="EK141" s="564"/>
      <c r="EL141" s="564"/>
      <c r="EM141" s="564"/>
      <c r="EN141" s="564"/>
      <c r="EO141" s="564"/>
      <c r="EP141" s="564"/>
      <c r="EQ141" s="564"/>
      <c r="ER141" s="564"/>
      <c r="ES141" s="564"/>
      <c r="ET141" s="564"/>
      <c r="EU141" s="564"/>
      <c r="EV141" s="564"/>
      <c r="EW141" s="564"/>
      <c r="EX141" s="564"/>
      <c r="EY141" s="564"/>
      <c r="EZ141" s="564"/>
      <c r="FA141" s="564"/>
      <c r="FB141" s="564"/>
      <c r="FC141" s="564"/>
      <c r="FD141" s="564"/>
      <c r="FE141" s="564"/>
      <c r="FF141" s="564"/>
      <c r="FG141" s="564"/>
      <c r="FH141" s="564"/>
      <c r="FI141" s="564"/>
      <c r="FJ141" s="564"/>
      <c r="FK141" s="564"/>
      <c r="FL141" s="564"/>
      <c r="FM141" s="564"/>
      <c r="FN141" s="564"/>
      <c r="FO141" s="564"/>
      <c r="FP141" s="564"/>
      <c r="FQ141" s="564"/>
      <c r="FR141" s="564"/>
      <c r="FS141" s="564"/>
      <c r="FT141" s="564"/>
      <c r="FU141" s="564"/>
      <c r="FV141" s="564"/>
      <c r="FW141" s="564"/>
      <c r="FX141" s="564"/>
      <c r="FY141" s="564"/>
      <c r="FZ141" s="564"/>
      <c r="GA141" s="564"/>
      <c r="GB141" s="564"/>
      <c r="GC141" s="564"/>
      <c r="GD141" s="564"/>
      <c r="GE141" s="564"/>
      <c r="GF141" s="564"/>
      <c r="GG141" s="564"/>
      <c r="GH141" s="564"/>
      <c r="GI141" s="564"/>
      <c r="GJ141" s="564"/>
    </row>
    <row r="142" spans="1:192" s="538" customFormat="1" x14ac:dyDescent="0.2">
      <c r="B142" s="5" t="str">
        <f ca="1">IF(OFFSET(AB142,0,Lang_Order*Lang__B2)="","",OFFSET(AB142,0,Lang_Order*Lang__B2))</f>
        <v>New additional vaccinators</v>
      </c>
      <c r="D142" s="5"/>
      <c r="E142" s="460"/>
      <c r="F142" s="16" t="e">
        <f>'B5. Last Mile Delivery'!J57</f>
        <v>#N/A</v>
      </c>
      <c r="G142" s="16" t="e">
        <f>'B5. Last Mile Delivery'!K57</f>
        <v>#N/A</v>
      </c>
      <c r="H142" s="16" t="e">
        <f>'B5. Last Mile Delivery'!L57</f>
        <v>#N/A</v>
      </c>
      <c r="I142" s="16" t="e">
        <f>'B5. Last Mile Delivery'!M57</f>
        <v>#N/A</v>
      </c>
      <c r="J142" s="16" t="e">
        <f>'B5. Last Mile Delivery'!N57</f>
        <v>#N/A</v>
      </c>
      <c r="K142" s="16" t="e">
        <f>'B5. Last Mile Delivery'!O57</f>
        <v>#N/A</v>
      </c>
      <c r="L142" s="16" t="e">
        <f>'B5. Last Mile Delivery'!P57</f>
        <v>#N/A</v>
      </c>
      <c r="M142" s="16"/>
      <c r="Q142" s="300"/>
      <c r="R142" s="300"/>
      <c r="S142" s="300"/>
      <c r="T142" s="300"/>
      <c r="U142" s="300"/>
      <c r="V142" s="300"/>
      <c r="W142" s="300"/>
      <c r="Z142" s="564"/>
      <c r="AA142" s="564"/>
      <c r="AB142" s="564" t="s">
        <v>4593</v>
      </c>
      <c r="AC142" s="564"/>
      <c r="AD142" s="564"/>
      <c r="AE142" s="564"/>
      <c r="AF142" s="564"/>
      <c r="AG142" s="564"/>
      <c r="AH142" s="564"/>
      <c r="AI142" s="564"/>
      <c r="AJ142" s="564"/>
      <c r="AK142" s="564"/>
      <c r="AL142" s="564"/>
      <c r="AM142" s="564"/>
      <c r="AN142" s="564"/>
      <c r="AO142" s="564"/>
      <c r="AP142" s="564"/>
      <c r="AQ142" s="564"/>
      <c r="AR142" s="564"/>
      <c r="AS142" s="564"/>
      <c r="AT142" s="564"/>
      <c r="AU142" s="564"/>
      <c r="AV142" s="564"/>
      <c r="AW142" s="564"/>
      <c r="AX142" s="564"/>
      <c r="AY142" s="564"/>
      <c r="AZ142" s="564" t="s">
        <v>13563</v>
      </c>
      <c r="BA142" s="564"/>
      <c r="BB142" s="564"/>
      <c r="BC142" s="564"/>
      <c r="BD142" s="564"/>
      <c r="BE142" s="564"/>
      <c r="BF142" s="564"/>
      <c r="BG142" s="564"/>
      <c r="BH142" s="564"/>
      <c r="BI142" s="564"/>
      <c r="BJ142" s="564"/>
      <c r="BK142" s="564"/>
      <c r="BL142" s="564"/>
      <c r="BM142" s="564"/>
      <c r="BN142" s="564"/>
      <c r="BO142" s="564"/>
      <c r="BP142" s="564"/>
      <c r="BQ142" s="564"/>
      <c r="BR142" s="564"/>
      <c r="BS142" s="564"/>
      <c r="BT142" s="564"/>
      <c r="BU142" s="564"/>
      <c r="BV142" s="564"/>
      <c r="BW142" s="564"/>
      <c r="BX142" s="564" t="s">
        <v>13564</v>
      </c>
      <c r="BY142" s="564"/>
      <c r="BZ142" s="564"/>
      <c r="CA142" s="564"/>
      <c r="CB142" s="564"/>
      <c r="CC142" s="564"/>
      <c r="CD142" s="564"/>
      <c r="CE142" s="564"/>
      <c r="CF142" s="564"/>
      <c r="CG142" s="564"/>
      <c r="CH142" s="564"/>
      <c r="CI142" s="564"/>
      <c r="CJ142" s="564"/>
      <c r="CK142" s="564"/>
      <c r="CL142" s="564"/>
      <c r="CM142" s="564"/>
      <c r="CN142" s="564"/>
      <c r="CO142" s="564"/>
      <c r="CP142" s="564"/>
      <c r="CQ142" s="564"/>
      <c r="CR142" s="564"/>
      <c r="CS142" s="564"/>
      <c r="CT142" s="564"/>
      <c r="CU142" s="564"/>
      <c r="CV142" s="564" t="s">
        <v>13565</v>
      </c>
      <c r="CW142" s="564"/>
      <c r="CX142" s="564"/>
      <c r="CY142" s="564"/>
      <c r="CZ142" s="564"/>
      <c r="DA142" s="564"/>
      <c r="DB142" s="564"/>
      <c r="DC142" s="564"/>
      <c r="DD142" s="564"/>
      <c r="DE142" s="564"/>
      <c r="DF142" s="564"/>
      <c r="DG142" s="564"/>
      <c r="DH142" s="564"/>
      <c r="DI142" s="564"/>
      <c r="DJ142" s="564"/>
      <c r="DK142" s="564"/>
      <c r="DL142" s="564"/>
      <c r="DM142" s="564"/>
      <c r="DN142" s="564"/>
      <c r="DO142" s="564"/>
      <c r="DP142" s="564"/>
      <c r="DQ142" s="564"/>
      <c r="DR142" s="564"/>
      <c r="DS142" s="564"/>
      <c r="DT142" s="564" t="s">
        <v>13566</v>
      </c>
      <c r="DU142" s="564"/>
      <c r="DV142" s="564"/>
      <c r="DW142" s="564"/>
      <c r="DX142" s="564"/>
      <c r="DY142" s="564"/>
      <c r="DZ142" s="564"/>
      <c r="EA142" s="564"/>
      <c r="EB142" s="564"/>
      <c r="EC142" s="564"/>
      <c r="ED142" s="564"/>
      <c r="EE142" s="564"/>
      <c r="EF142" s="564"/>
      <c r="EG142" s="564"/>
      <c r="EH142" s="564"/>
      <c r="EI142" s="564"/>
      <c r="EJ142" s="564"/>
      <c r="EK142" s="564"/>
      <c r="EL142" s="564"/>
      <c r="EM142" s="564"/>
      <c r="EN142" s="564"/>
      <c r="EO142" s="564"/>
      <c r="EP142" s="564"/>
      <c r="EQ142" s="564"/>
      <c r="ER142" s="564" t="s">
        <v>13567</v>
      </c>
      <c r="ES142" s="564"/>
      <c r="ET142" s="564"/>
      <c r="EU142" s="564"/>
      <c r="EV142" s="564"/>
      <c r="EW142" s="564"/>
      <c r="EX142" s="564"/>
      <c r="EY142" s="564"/>
      <c r="EZ142" s="564"/>
      <c r="FA142" s="564"/>
      <c r="FB142" s="564"/>
      <c r="FC142" s="564"/>
      <c r="FD142" s="564"/>
      <c r="FE142" s="564"/>
      <c r="FF142" s="564"/>
      <c r="FG142" s="564"/>
      <c r="FH142" s="564"/>
      <c r="FI142" s="564"/>
      <c r="FJ142" s="564"/>
      <c r="FK142" s="564"/>
      <c r="FL142" s="564"/>
      <c r="FM142" s="564"/>
      <c r="FN142" s="564"/>
      <c r="FO142" s="564"/>
      <c r="FP142" s="564" t="s">
        <v>13568</v>
      </c>
      <c r="FQ142" s="564"/>
      <c r="FR142" s="564"/>
      <c r="FS142" s="564"/>
      <c r="FT142" s="564"/>
      <c r="FU142" s="564"/>
      <c r="FV142" s="564"/>
      <c r="FW142" s="564"/>
      <c r="FX142" s="564"/>
      <c r="FY142" s="564"/>
      <c r="FZ142" s="564"/>
      <c r="GA142" s="564"/>
      <c r="GB142" s="564"/>
      <c r="GC142" s="564"/>
      <c r="GD142" s="564"/>
      <c r="GE142" s="564"/>
      <c r="GF142" s="564"/>
      <c r="GG142" s="564"/>
      <c r="GH142" s="564"/>
      <c r="GI142" s="564"/>
      <c r="GJ142" s="564"/>
    </row>
    <row r="143" spans="1:192" s="538" customFormat="1" x14ac:dyDescent="0.2">
      <c r="B143" s="5"/>
      <c r="D143" s="365" t="str">
        <f t="shared" ref="D143:K143" ca="1" si="96">IF(OFFSET(AD143,0,Lang_Order*Lang__B2)="","",OFFSET(AD143,0,Lang_Order*Lang__B2))</f>
        <v>Quantity (per Vaccinator-Days)</v>
      </c>
      <c r="E143" s="573" t="str">
        <f t="shared" ca="1" si="96"/>
        <v>Unit Cost (USD)</v>
      </c>
      <c r="F143" s="704" t="str">
        <f t="shared" ca="1" si="96"/>
        <v>Quantity</v>
      </c>
      <c r="G143" s="704" t="str">
        <f t="shared" ca="1" si="96"/>
        <v/>
      </c>
      <c r="H143" s="704" t="str">
        <f t="shared" ca="1" si="96"/>
        <v/>
      </c>
      <c r="I143" s="704" t="str">
        <f t="shared" ca="1" si="96"/>
        <v/>
      </c>
      <c r="J143" s="704" t="str">
        <f t="shared" ca="1" si="96"/>
        <v/>
      </c>
      <c r="K143" s="704" t="str">
        <f t="shared" ca="1" si="96"/>
        <v/>
      </c>
      <c r="L143" s="497"/>
      <c r="M143" s="497"/>
      <c r="N143" s="34"/>
      <c r="O143" s="34"/>
      <c r="P143" s="34"/>
      <c r="Q143" s="705" t="str">
        <f t="shared" ref="Q143" ca="1" si="97">IF(OFFSET(AO143,0,Lang_Order*Lang__B2)="","",OFFSET(AO143,0,Lang_Order*Lang__B2))</f>
        <v>Cost</v>
      </c>
      <c r="R143" s="705" t="str">
        <f t="shared" ref="R143" ca="1" si="98">IF(OFFSET(AP143,0,Lang_Order*Lang__B2)="","",OFFSET(AP143,0,Lang_Order*Lang__B2))</f>
        <v/>
      </c>
      <c r="S143" s="705" t="str">
        <f t="shared" ref="S143" ca="1" si="99">IF(OFFSET(AQ143,0,Lang_Order*Lang__B2)="","",OFFSET(AQ143,0,Lang_Order*Lang__B2))</f>
        <v/>
      </c>
      <c r="T143" s="705" t="str">
        <f t="shared" ref="T143" ca="1" si="100">IF(OFFSET(AR143,0,Lang_Order*Lang__B2)="","",OFFSET(AR143,0,Lang_Order*Lang__B2))</f>
        <v/>
      </c>
      <c r="U143" s="705" t="str">
        <f t="shared" ref="U143" ca="1" si="101">IF(OFFSET(AS143,0,Lang_Order*Lang__B2)="","",OFFSET(AS143,0,Lang_Order*Lang__B2))</f>
        <v/>
      </c>
      <c r="V143" s="705" t="str">
        <f t="shared" ref="V143" ca="1" si="102">IF(OFFSET(AT143,0,Lang_Order*Lang__B2)="","",OFFSET(AT143,0,Lang_Order*Lang__B2))</f>
        <v/>
      </c>
      <c r="W143" s="152"/>
      <c r="Z143" s="564"/>
      <c r="AA143" s="564"/>
      <c r="AB143" s="564"/>
      <c r="AC143" s="564"/>
      <c r="AD143" s="564" t="s">
        <v>2961</v>
      </c>
      <c r="AE143" s="564" t="s">
        <v>2962</v>
      </c>
      <c r="AF143" s="564" t="s">
        <v>1596</v>
      </c>
      <c r="AG143" s="564"/>
      <c r="AH143" s="564"/>
      <c r="AI143" s="564"/>
      <c r="AJ143" s="564"/>
      <c r="AK143" s="564"/>
      <c r="AL143" s="564"/>
      <c r="AM143" s="564"/>
      <c r="AN143" s="564"/>
      <c r="AO143" s="564" t="s">
        <v>4594</v>
      </c>
      <c r="AP143" s="564"/>
      <c r="AQ143" s="564"/>
      <c r="AR143" s="564"/>
      <c r="AS143" s="564"/>
      <c r="AT143" s="564"/>
      <c r="AU143" s="564"/>
      <c r="AV143" s="564"/>
      <c r="AW143" s="564"/>
      <c r="AX143" s="564"/>
      <c r="AY143" s="564"/>
      <c r="AZ143" s="564"/>
      <c r="BA143" s="564"/>
      <c r="BB143" s="564" t="s">
        <v>13539</v>
      </c>
      <c r="BC143" s="564" t="s">
        <v>13545</v>
      </c>
      <c r="BD143" s="564" t="s">
        <v>8112</v>
      </c>
      <c r="BE143" s="564"/>
      <c r="BF143" s="564"/>
      <c r="BG143" s="564"/>
      <c r="BH143" s="564"/>
      <c r="BI143" s="564"/>
      <c r="BJ143" s="564"/>
      <c r="BK143" s="564"/>
      <c r="BL143" s="564"/>
      <c r="BM143" s="564" t="s">
        <v>13551</v>
      </c>
      <c r="BN143" s="564"/>
      <c r="BO143" s="564"/>
      <c r="BP143" s="564"/>
      <c r="BQ143" s="564"/>
      <c r="BR143" s="564"/>
      <c r="BS143" s="564"/>
      <c r="BT143" s="564"/>
      <c r="BU143" s="564"/>
      <c r="BV143" s="564"/>
      <c r="BW143" s="564"/>
      <c r="BX143" s="564"/>
      <c r="BY143" s="564"/>
      <c r="BZ143" s="564" t="s">
        <v>13540</v>
      </c>
      <c r="CA143" s="564" t="s">
        <v>13546</v>
      </c>
      <c r="CB143" s="564" t="s">
        <v>13538</v>
      </c>
      <c r="CC143" s="564"/>
      <c r="CD143" s="564"/>
      <c r="CE143" s="564"/>
      <c r="CF143" s="564"/>
      <c r="CG143" s="564"/>
      <c r="CH143" s="564"/>
      <c r="CI143" s="564"/>
      <c r="CJ143" s="564"/>
      <c r="CK143" s="564" t="s">
        <v>13552</v>
      </c>
      <c r="CL143" s="564"/>
      <c r="CM143" s="564"/>
      <c r="CN143" s="564"/>
      <c r="CO143" s="564"/>
      <c r="CP143" s="564"/>
      <c r="CQ143" s="564"/>
      <c r="CR143" s="564"/>
      <c r="CS143" s="564"/>
      <c r="CT143" s="564"/>
      <c r="CU143" s="564"/>
      <c r="CV143" s="564"/>
      <c r="CW143" s="564"/>
      <c r="CX143" s="564" t="s">
        <v>13541</v>
      </c>
      <c r="CY143" s="564" t="s">
        <v>13547</v>
      </c>
      <c r="CZ143" s="564" t="s">
        <v>8116</v>
      </c>
      <c r="DA143" s="564"/>
      <c r="DB143" s="564"/>
      <c r="DC143" s="564"/>
      <c r="DD143" s="564"/>
      <c r="DE143" s="564"/>
      <c r="DF143" s="564"/>
      <c r="DG143" s="564"/>
      <c r="DH143" s="564"/>
      <c r="DI143" s="564" t="s">
        <v>13553</v>
      </c>
      <c r="DJ143" s="564"/>
      <c r="DK143" s="564"/>
      <c r="DL143" s="564"/>
      <c r="DM143" s="564"/>
      <c r="DN143" s="564"/>
      <c r="DO143" s="564"/>
      <c r="DP143" s="564"/>
      <c r="DQ143" s="564"/>
      <c r="DR143" s="564"/>
      <c r="DS143" s="564"/>
      <c r="DT143" s="564"/>
      <c r="DU143" s="564"/>
      <c r="DV143" s="564" t="s">
        <v>13542</v>
      </c>
      <c r="DW143" s="564" t="s">
        <v>13548</v>
      </c>
      <c r="DX143" s="564" t="s">
        <v>8117</v>
      </c>
      <c r="DY143" s="564"/>
      <c r="DZ143" s="564"/>
      <c r="EA143" s="564"/>
      <c r="EB143" s="564"/>
      <c r="EC143" s="564"/>
      <c r="ED143" s="564"/>
      <c r="EE143" s="564"/>
      <c r="EF143" s="564"/>
      <c r="EG143" s="564" t="s">
        <v>13554</v>
      </c>
      <c r="EH143" s="564"/>
      <c r="EI143" s="564"/>
      <c r="EJ143" s="564"/>
      <c r="EK143" s="564"/>
      <c r="EL143" s="564"/>
      <c r="EM143" s="564"/>
      <c r="EN143" s="564"/>
      <c r="EO143" s="564"/>
      <c r="EP143" s="564"/>
      <c r="EQ143" s="564"/>
      <c r="ER143" s="564"/>
      <c r="ES143" s="564"/>
      <c r="ET143" s="564" t="s">
        <v>13543</v>
      </c>
      <c r="EU143" s="564" t="s">
        <v>13549</v>
      </c>
      <c r="EV143" s="564" t="s">
        <v>8119</v>
      </c>
      <c r="EW143" s="564"/>
      <c r="EX143" s="564"/>
      <c r="EY143" s="564"/>
      <c r="EZ143" s="564"/>
      <c r="FA143" s="564"/>
      <c r="FB143" s="564"/>
      <c r="FC143" s="564"/>
      <c r="FD143" s="564"/>
      <c r="FE143" s="564" t="s">
        <v>13555</v>
      </c>
      <c r="FF143" s="564"/>
      <c r="FG143" s="564"/>
      <c r="FH143" s="564"/>
      <c r="FI143" s="564"/>
      <c r="FJ143" s="564"/>
      <c r="FK143" s="564"/>
      <c r="FL143" s="564"/>
      <c r="FM143" s="564"/>
      <c r="FN143" s="564"/>
      <c r="FO143" s="564"/>
      <c r="FP143" s="564"/>
      <c r="FQ143" s="564"/>
      <c r="FR143" s="564" t="s">
        <v>13544</v>
      </c>
      <c r="FS143" s="564" t="s">
        <v>13550</v>
      </c>
      <c r="FT143" s="564" t="s">
        <v>8121</v>
      </c>
      <c r="FU143" s="564"/>
      <c r="FV143" s="564"/>
      <c r="FW143" s="564"/>
      <c r="FX143" s="564"/>
      <c r="FY143" s="564"/>
      <c r="FZ143" s="564"/>
      <c r="GA143" s="564"/>
      <c r="GB143" s="564"/>
      <c r="GC143" s="564" t="s">
        <v>13556</v>
      </c>
      <c r="GD143" s="564"/>
      <c r="GE143" s="564"/>
      <c r="GF143" s="564"/>
      <c r="GG143" s="564"/>
      <c r="GH143" s="564"/>
      <c r="GI143" s="564"/>
      <c r="GJ143" s="564"/>
    </row>
    <row r="144" spans="1:192" s="538" customFormat="1" x14ac:dyDescent="0.2">
      <c r="A144" s="165">
        <v>21</v>
      </c>
      <c r="B144" s="5" t="str">
        <f t="shared" ref="B144:B148" ca="1" si="103">OFFSET(_Offset_Index_VaccineSupplyPrices,1,A144)</f>
        <v>Eye protection</v>
      </c>
      <c r="D144" s="269">
        <f ca="1">'A3. INPUT Unit Costs'!G64</f>
        <v>0</v>
      </c>
      <c r="E144" s="460">
        <f ca="1">'A3. INPUT Unit Costs'!H64</f>
        <v>5</v>
      </c>
      <c r="F144" s="16" t="e">
        <f ca="1">$D144*F$142</f>
        <v>#N/A</v>
      </c>
      <c r="G144" s="16" t="e">
        <f t="shared" ref="G144:K153" ca="1" si="104">$D144*G$142</f>
        <v>#N/A</v>
      </c>
      <c r="H144" s="16" t="e">
        <f t="shared" ca="1" si="104"/>
        <v>#N/A</v>
      </c>
      <c r="I144" s="16" t="e">
        <f t="shared" ca="1" si="104"/>
        <v>#N/A</v>
      </c>
      <c r="J144" s="16" t="e">
        <f t="shared" ca="1" si="104"/>
        <v>#N/A</v>
      </c>
      <c r="K144" s="16" t="e">
        <f t="shared" ca="1" si="104"/>
        <v>#N/A</v>
      </c>
      <c r="L144" s="16" t="e">
        <f t="shared" ref="L144:L153" ca="1" si="105">SUM(F144:K144)</f>
        <v>#N/A</v>
      </c>
      <c r="M144" s="16"/>
      <c r="Q144" s="300" t="e">
        <f t="shared" ref="Q144:Q153" ca="1" si="106">$E144*F144</f>
        <v>#N/A</v>
      </c>
      <c r="R144" s="300" t="e">
        <f t="shared" ref="R144:R153" ca="1" si="107">$E144*G144</f>
        <v>#N/A</v>
      </c>
      <c r="S144" s="300" t="e">
        <f t="shared" ref="S144:S153" ca="1" si="108">$E144*H144</f>
        <v>#N/A</v>
      </c>
      <c r="T144" s="300" t="e">
        <f t="shared" ref="T144:T153" ca="1" si="109">$E144*I144</f>
        <v>#N/A</v>
      </c>
      <c r="U144" s="300" t="e">
        <f t="shared" ref="U144:U153" ca="1" si="110">$E144*J144</f>
        <v>#N/A</v>
      </c>
      <c r="V144" s="300" t="e">
        <f t="shared" ref="V144:V153" ca="1" si="111">$E144*K144</f>
        <v>#N/A</v>
      </c>
      <c r="W144" s="300" t="e">
        <f t="shared" ref="W144:W153" ca="1" si="112">SUM(Q144:V144)</f>
        <v>#N/A</v>
      </c>
      <c r="Z144" s="564"/>
      <c r="AA144" s="564"/>
      <c r="AB144" s="564"/>
      <c r="AC144" s="564"/>
      <c r="AD144" s="564"/>
      <c r="AE144" s="564"/>
      <c r="AF144" s="564"/>
      <c r="AG144" s="564"/>
      <c r="AH144" s="564"/>
      <c r="AI144" s="564"/>
      <c r="AJ144" s="564"/>
      <c r="AK144" s="564"/>
      <c r="AL144" s="564"/>
      <c r="AM144" s="564"/>
      <c r="AN144" s="564"/>
      <c r="AO144" s="564"/>
      <c r="AP144" s="564"/>
      <c r="AQ144" s="564"/>
      <c r="AR144" s="564"/>
      <c r="AS144" s="564"/>
      <c r="AT144" s="564"/>
      <c r="AU144" s="564"/>
      <c r="AV144" s="564"/>
      <c r="AW144" s="564"/>
      <c r="AX144" s="564"/>
      <c r="AY144" s="564"/>
      <c r="AZ144" s="564"/>
      <c r="BA144" s="564"/>
      <c r="BB144" s="564"/>
      <c r="BC144" s="564"/>
      <c r="BD144" s="564"/>
      <c r="BE144" s="564"/>
      <c r="BF144" s="564"/>
      <c r="BG144" s="564"/>
      <c r="BH144" s="564"/>
      <c r="BI144" s="564"/>
      <c r="BJ144" s="564"/>
      <c r="BK144" s="564"/>
      <c r="BL144" s="564"/>
      <c r="BM144" s="564"/>
      <c r="BN144" s="564"/>
      <c r="BO144" s="564"/>
      <c r="BP144" s="564"/>
      <c r="BQ144" s="564"/>
      <c r="BR144" s="564"/>
      <c r="BS144" s="564"/>
      <c r="BT144" s="564"/>
      <c r="BU144" s="564"/>
      <c r="BV144" s="564"/>
      <c r="BW144" s="564"/>
      <c r="BX144" s="564"/>
      <c r="BY144" s="564"/>
      <c r="BZ144" s="564"/>
      <c r="CA144" s="564"/>
      <c r="CB144" s="564"/>
      <c r="CC144" s="564"/>
      <c r="CD144" s="564"/>
      <c r="CE144" s="564"/>
      <c r="CF144" s="564"/>
      <c r="CG144" s="564"/>
      <c r="CH144" s="564"/>
      <c r="CI144" s="564"/>
      <c r="CJ144" s="564"/>
      <c r="CK144" s="564"/>
      <c r="CL144" s="564"/>
      <c r="CM144" s="564"/>
      <c r="CN144" s="564"/>
      <c r="CO144" s="564"/>
      <c r="CP144" s="564"/>
      <c r="CQ144" s="564"/>
      <c r="CR144" s="564"/>
      <c r="CS144" s="564"/>
      <c r="CT144" s="564"/>
      <c r="CU144" s="564"/>
      <c r="CV144" s="564"/>
      <c r="CW144" s="564"/>
      <c r="CX144" s="564"/>
      <c r="CY144" s="564"/>
      <c r="CZ144" s="564"/>
      <c r="DA144" s="564"/>
      <c r="DB144" s="564"/>
      <c r="DC144" s="564"/>
      <c r="DD144" s="564"/>
      <c r="DE144" s="564"/>
      <c r="DF144" s="564"/>
      <c r="DG144" s="564"/>
      <c r="DH144" s="564"/>
      <c r="DI144" s="564"/>
      <c r="DJ144" s="564"/>
      <c r="DK144" s="564"/>
      <c r="DL144" s="564"/>
      <c r="DM144" s="564"/>
      <c r="DN144" s="564"/>
      <c r="DO144" s="564"/>
      <c r="DP144" s="564"/>
      <c r="DQ144" s="564"/>
      <c r="DR144" s="564"/>
      <c r="DS144" s="564"/>
      <c r="DT144" s="564"/>
      <c r="DU144" s="564"/>
      <c r="DV144" s="564"/>
      <c r="DW144" s="564"/>
      <c r="DX144" s="564"/>
      <c r="DY144" s="564"/>
      <c r="DZ144" s="564"/>
      <c r="EA144" s="564"/>
      <c r="EB144" s="564"/>
      <c r="EC144" s="564"/>
      <c r="ED144" s="564"/>
      <c r="EE144" s="564"/>
      <c r="EF144" s="564"/>
      <c r="EG144" s="564"/>
      <c r="EH144" s="564"/>
      <c r="EI144" s="564"/>
      <c r="EJ144" s="564"/>
      <c r="EK144" s="564"/>
      <c r="EL144" s="564"/>
      <c r="EM144" s="564"/>
      <c r="EN144" s="564"/>
      <c r="EO144" s="564"/>
      <c r="EP144" s="564"/>
      <c r="EQ144" s="564"/>
      <c r="ER144" s="564"/>
      <c r="ES144" s="564"/>
      <c r="ET144" s="564"/>
      <c r="EU144" s="564"/>
      <c r="EV144" s="564"/>
      <c r="EW144" s="564"/>
      <c r="EX144" s="564"/>
      <c r="EY144" s="564"/>
      <c r="EZ144" s="564"/>
      <c r="FA144" s="564"/>
      <c r="FB144" s="564"/>
      <c r="FC144" s="564"/>
      <c r="FD144" s="564"/>
      <c r="FE144" s="564"/>
      <c r="FF144" s="564"/>
      <c r="FG144" s="564"/>
      <c r="FH144" s="564"/>
      <c r="FI144" s="564"/>
      <c r="FJ144" s="564"/>
      <c r="FK144" s="564"/>
      <c r="FL144" s="564"/>
      <c r="FM144" s="564"/>
      <c r="FN144" s="564"/>
      <c r="FO144" s="564"/>
      <c r="FP144" s="564"/>
      <c r="FQ144" s="564"/>
      <c r="FR144" s="564"/>
      <c r="FS144" s="564"/>
      <c r="FT144" s="564"/>
      <c r="FU144" s="564"/>
      <c r="FV144" s="564"/>
      <c r="FW144" s="564"/>
      <c r="FX144" s="564"/>
      <c r="FY144" s="564"/>
      <c r="FZ144" s="564"/>
      <c r="GA144" s="564"/>
      <c r="GB144" s="564"/>
      <c r="GC144" s="564"/>
      <c r="GD144" s="564"/>
      <c r="GE144" s="564"/>
      <c r="GF144" s="564"/>
      <c r="GG144" s="564"/>
      <c r="GH144" s="564"/>
      <c r="GI144" s="564"/>
      <c r="GJ144" s="564"/>
    </row>
    <row r="145" spans="1:192" s="538" customFormat="1" x14ac:dyDescent="0.2">
      <c r="A145" s="165">
        <v>22</v>
      </c>
      <c r="B145" s="5" t="str">
        <f t="shared" ca="1" si="103"/>
        <v>Face shield</v>
      </c>
      <c r="D145" s="269">
        <f ca="1">'A3. INPUT Unit Costs'!G65</f>
        <v>0</v>
      </c>
      <c r="E145" s="460">
        <f ca="1">'A3. INPUT Unit Costs'!H65</f>
        <v>5</v>
      </c>
      <c r="F145" s="16" t="e">
        <f t="shared" ref="F145:F153" ca="1" si="113">$D145*F$142</f>
        <v>#N/A</v>
      </c>
      <c r="G145" s="16" t="e">
        <f t="shared" ca="1" si="104"/>
        <v>#N/A</v>
      </c>
      <c r="H145" s="16" t="e">
        <f t="shared" ca="1" si="104"/>
        <v>#N/A</v>
      </c>
      <c r="I145" s="16" t="e">
        <f t="shared" ca="1" si="104"/>
        <v>#N/A</v>
      </c>
      <c r="J145" s="16" t="e">
        <f t="shared" ca="1" si="104"/>
        <v>#N/A</v>
      </c>
      <c r="K145" s="16" t="e">
        <f t="shared" ca="1" si="104"/>
        <v>#N/A</v>
      </c>
      <c r="L145" s="16" t="e">
        <f t="shared" ca="1" si="105"/>
        <v>#N/A</v>
      </c>
      <c r="M145" s="16"/>
      <c r="Q145" s="300" t="e">
        <f t="shared" ca="1" si="106"/>
        <v>#N/A</v>
      </c>
      <c r="R145" s="300" t="e">
        <f t="shared" ca="1" si="107"/>
        <v>#N/A</v>
      </c>
      <c r="S145" s="300" t="e">
        <f t="shared" ca="1" si="108"/>
        <v>#N/A</v>
      </c>
      <c r="T145" s="300" t="e">
        <f t="shared" ca="1" si="109"/>
        <v>#N/A</v>
      </c>
      <c r="U145" s="300" t="e">
        <f t="shared" ca="1" si="110"/>
        <v>#N/A</v>
      </c>
      <c r="V145" s="300" t="e">
        <f t="shared" ca="1" si="111"/>
        <v>#N/A</v>
      </c>
      <c r="W145" s="300" t="e">
        <f t="shared" ca="1" si="112"/>
        <v>#N/A</v>
      </c>
      <c r="Z145" s="564"/>
      <c r="AA145" s="564"/>
      <c r="AB145" s="564"/>
      <c r="AC145" s="564"/>
      <c r="AD145" s="564"/>
      <c r="AE145" s="564"/>
      <c r="AF145" s="564"/>
      <c r="AG145" s="564"/>
      <c r="AH145" s="564"/>
      <c r="AI145" s="564"/>
      <c r="AJ145" s="564"/>
      <c r="AK145" s="564"/>
      <c r="AL145" s="564"/>
      <c r="AM145" s="564"/>
      <c r="AN145" s="564"/>
      <c r="AO145" s="564"/>
      <c r="AP145" s="564"/>
      <c r="AQ145" s="564"/>
      <c r="AR145" s="564"/>
      <c r="AS145" s="564"/>
      <c r="AT145" s="564"/>
      <c r="AU145" s="564"/>
      <c r="AV145" s="564"/>
      <c r="AW145" s="564"/>
      <c r="AX145" s="564"/>
      <c r="AY145" s="564"/>
      <c r="AZ145" s="564"/>
      <c r="BA145" s="564"/>
      <c r="BB145" s="564"/>
      <c r="BC145" s="564"/>
      <c r="BD145" s="564"/>
      <c r="BE145" s="564"/>
      <c r="BF145" s="564"/>
      <c r="BG145" s="564"/>
      <c r="BH145" s="564"/>
      <c r="BI145" s="564"/>
      <c r="BJ145" s="564"/>
      <c r="BK145" s="564"/>
      <c r="BL145" s="564"/>
      <c r="BM145" s="564"/>
      <c r="BN145" s="564"/>
      <c r="BO145" s="564"/>
      <c r="BP145" s="564"/>
      <c r="BQ145" s="564"/>
      <c r="BR145" s="564"/>
      <c r="BS145" s="564"/>
      <c r="BT145" s="564"/>
      <c r="BU145" s="564"/>
      <c r="BV145" s="564"/>
      <c r="BW145" s="564"/>
      <c r="BX145" s="564"/>
      <c r="BY145" s="564"/>
      <c r="BZ145" s="564"/>
      <c r="CA145" s="564"/>
      <c r="CB145" s="564"/>
      <c r="CC145" s="564"/>
      <c r="CD145" s="564"/>
      <c r="CE145" s="564"/>
      <c r="CF145" s="564"/>
      <c r="CG145" s="564"/>
      <c r="CH145" s="564"/>
      <c r="CI145" s="564"/>
      <c r="CJ145" s="564"/>
      <c r="CK145" s="564"/>
      <c r="CL145" s="564"/>
      <c r="CM145" s="564"/>
      <c r="CN145" s="564"/>
      <c r="CO145" s="564"/>
      <c r="CP145" s="564"/>
      <c r="CQ145" s="564"/>
      <c r="CR145" s="564"/>
      <c r="CS145" s="564"/>
      <c r="CT145" s="564"/>
      <c r="CU145" s="564"/>
      <c r="CV145" s="564"/>
      <c r="CW145" s="564"/>
      <c r="CX145" s="564"/>
      <c r="CY145" s="564"/>
      <c r="CZ145" s="564"/>
      <c r="DA145" s="564"/>
      <c r="DB145" s="564"/>
      <c r="DC145" s="564"/>
      <c r="DD145" s="564"/>
      <c r="DE145" s="564"/>
      <c r="DF145" s="564"/>
      <c r="DG145" s="564"/>
      <c r="DH145" s="564"/>
      <c r="DI145" s="564"/>
      <c r="DJ145" s="564"/>
      <c r="DK145" s="564"/>
      <c r="DL145" s="564"/>
      <c r="DM145" s="564"/>
      <c r="DN145" s="564"/>
      <c r="DO145" s="564"/>
      <c r="DP145" s="564"/>
      <c r="DQ145" s="564"/>
      <c r="DR145" s="564"/>
      <c r="DS145" s="564"/>
      <c r="DT145" s="564"/>
      <c r="DU145" s="564"/>
      <c r="DV145" s="564"/>
      <c r="DW145" s="564"/>
      <c r="DX145" s="564"/>
      <c r="DY145" s="564"/>
      <c r="DZ145" s="564"/>
      <c r="EA145" s="564"/>
      <c r="EB145" s="564"/>
      <c r="EC145" s="564"/>
      <c r="ED145" s="564"/>
      <c r="EE145" s="564"/>
      <c r="EF145" s="564"/>
      <c r="EG145" s="564"/>
      <c r="EH145" s="564"/>
      <c r="EI145" s="564"/>
      <c r="EJ145" s="564"/>
      <c r="EK145" s="564"/>
      <c r="EL145" s="564"/>
      <c r="EM145" s="564"/>
      <c r="EN145" s="564"/>
      <c r="EO145" s="564"/>
      <c r="EP145" s="564"/>
      <c r="EQ145" s="564"/>
      <c r="ER145" s="564"/>
      <c r="ES145" s="564"/>
      <c r="ET145" s="564"/>
      <c r="EU145" s="564"/>
      <c r="EV145" s="564"/>
      <c r="EW145" s="564"/>
      <c r="EX145" s="564"/>
      <c r="EY145" s="564"/>
      <c r="EZ145" s="564"/>
      <c r="FA145" s="564"/>
      <c r="FB145" s="564"/>
      <c r="FC145" s="564"/>
      <c r="FD145" s="564"/>
      <c r="FE145" s="564"/>
      <c r="FF145" s="564"/>
      <c r="FG145" s="564"/>
      <c r="FH145" s="564"/>
      <c r="FI145" s="564"/>
      <c r="FJ145" s="564"/>
      <c r="FK145" s="564"/>
      <c r="FL145" s="564"/>
      <c r="FM145" s="564"/>
      <c r="FN145" s="564"/>
      <c r="FO145" s="564"/>
      <c r="FP145" s="564"/>
      <c r="FQ145" s="564"/>
      <c r="FR145" s="564"/>
      <c r="FS145" s="564"/>
      <c r="FT145" s="564"/>
      <c r="FU145" s="564"/>
      <c r="FV145" s="564"/>
      <c r="FW145" s="564"/>
      <c r="FX145" s="564"/>
      <c r="FY145" s="564"/>
      <c r="FZ145" s="564"/>
      <c r="GA145" s="564"/>
      <c r="GB145" s="564"/>
      <c r="GC145" s="564"/>
      <c r="GD145" s="564"/>
      <c r="GE145" s="564"/>
      <c r="GF145" s="564"/>
      <c r="GG145" s="564"/>
      <c r="GH145" s="564"/>
      <c r="GI145" s="564"/>
      <c r="GJ145" s="564"/>
    </row>
    <row r="146" spans="1:192" s="538" customFormat="1" x14ac:dyDescent="0.2">
      <c r="A146" s="165">
        <v>23</v>
      </c>
      <c r="B146" s="5" t="str">
        <f t="shared" ca="1" si="103"/>
        <v>…</v>
      </c>
      <c r="D146" s="269">
        <f ca="1">'A3. INPUT Unit Costs'!G66</f>
        <v>0</v>
      </c>
      <c r="E146" s="460">
        <f ca="1">'A3. INPUT Unit Costs'!H66</f>
        <v>0</v>
      </c>
      <c r="F146" s="16" t="e">
        <f t="shared" ca="1" si="113"/>
        <v>#N/A</v>
      </c>
      <c r="G146" s="16" t="e">
        <f t="shared" ca="1" si="104"/>
        <v>#N/A</v>
      </c>
      <c r="H146" s="16" t="e">
        <f t="shared" ca="1" si="104"/>
        <v>#N/A</v>
      </c>
      <c r="I146" s="16" t="e">
        <f t="shared" ca="1" si="104"/>
        <v>#N/A</v>
      </c>
      <c r="J146" s="16" t="e">
        <f t="shared" ca="1" si="104"/>
        <v>#N/A</v>
      </c>
      <c r="K146" s="16" t="e">
        <f t="shared" ca="1" si="104"/>
        <v>#N/A</v>
      </c>
      <c r="L146" s="16" t="e">
        <f t="shared" ca="1" si="105"/>
        <v>#N/A</v>
      </c>
      <c r="M146" s="16"/>
      <c r="Q146" s="300" t="e">
        <f t="shared" ca="1" si="106"/>
        <v>#N/A</v>
      </c>
      <c r="R146" s="300" t="e">
        <f t="shared" ca="1" si="107"/>
        <v>#N/A</v>
      </c>
      <c r="S146" s="300" t="e">
        <f t="shared" ca="1" si="108"/>
        <v>#N/A</v>
      </c>
      <c r="T146" s="300" t="e">
        <f t="shared" ca="1" si="109"/>
        <v>#N/A</v>
      </c>
      <c r="U146" s="300" t="e">
        <f t="shared" ca="1" si="110"/>
        <v>#N/A</v>
      </c>
      <c r="V146" s="300" t="e">
        <f t="shared" ca="1" si="111"/>
        <v>#N/A</v>
      </c>
      <c r="W146" s="300" t="e">
        <f t="shared" ca="1" si="112"/>
        <v>#N/A</v>
      </c>
      <c r="Z146" s="564"/>
      <c r="AA146" s="564"/>
      <c r="AB146" s="564"/>
      <c r="AC146" s="564"/>
      <c r="AD146" s="564"/>
      <c r="AE146" s="564"/>
      <c r="AF146" s="564"/>
      <c r="AG146" s="564"/>
      <c r="AH146" s="564"/>
      <c r="AI146" s="564"/>
      <c r="AJ146" s="564"/>
      <c r="AK146" s="564"/>
      <c r="AL146" s="564"/>
      <c r="AM146" s="564"/>
      <c r="AN146" s="564"/>
      <c r="AO146" s="564"/>
      <c r="AP146" s="564"/>
      <c r="AQ146" s="564"/>
      <c r="AR146" s="564"/>
      <c r="AS146" s="564"/>
      <c r="AT146" s="564"/>
      <c r="AU146" s="564"/>
      <c r="AV146" s="564"/>
      <c r="AW146" s="564"/>
      <c r="AX146" s="564"/>
      <c r="AY146" s="564"/>
      <c r="AZ146" s="564"/>
      <c r="BA146" s="564"/>
      <c r="BB146" s="564"/>
      <c r="BC146" s="564"/>
      <c r="BD146" s="564"/>
      <c r="BE146" s="564"/>
      <c r="BF146" s="564"/>
      <c r="BG146" s="564"/>
      <c r="BH146" s="564"/>
      <c r="BI146" s="564"/>
      <c r="BJ146" s="564"/>
      <c r="BK146" s="564"/>
      <c r="BL146" s="564"/>
      <c r="BM146" s="564"/>
      <c r="BN146" s="564"/>
      <c r="BO146" s="564"/>
      <c r="BP146" s="564"/>
      <c r="BQ146" s="564"/>
      <c r="BR146" s="564"/>
      <c r="BS146" s="564"/>
      <c r="BT146" s="564"/>
      <c r="BU146" s="564"/>
      <c r="BV146" s="564"/>
      <c r="BW146" s="564"/>
      <c r="BX146" s="564"/>
      <c r="BY146" s="564"/>
      <c r="BZ146" s="564"/>
      <c r="CA146" s="564"/>
      <c r="CB146" s="564"/>
      <c r="CC146" s="564"/>
      <c r="CD146" s="564"/>
      <c r="CE146" s="564"/>
      <c r="CF146" s="564"/>
      <c r="CG146" s="564"/>
      <c r="CH146" s="564"/>
      <c r="CI146" s="564"/>
      <c r="CJ146" s="564"/>
      <c r="CK146" s="564"/>
      <c r="CL146" s="564"/>
      <c r="CM146" s="564"/>
      <c r="CN146" s="564"/>
      <c r="CO146" s="564"/>
      <c r="CP146" s="564"/>
      <c r="CQ146" s="564"/>
      <c r="CR146" s="564"/>
      <c r="CS146" s="564"/>
      <c r="CT146" s="564"/>
      <c r="CU146" s="564"/>
      <c r="CV146" s="564"/>
      <c r="CW146" s="564"/>
      <c r="CX146" s="564"/>
      <c r="CY146" s="564"/>
      <c r="CZ146" s="564"/>
      <c r="DA146" s="564"/>
      <c r="DB146" s="564"/>
      <c r="DC146" s="564"/>
      <c r="DD146" s="564"/>
      <c r="DE146" s="564"/>
      <c r="DF146" s="564"/>
      <c r="DG146" s="564"/>
      <c r="DH146" s="564"/>
      <c r="DI146" s="564"/>
      <c r="DJ146" s="564"/>
      <c r="DK146" s="564"/>
      <c r="DL146" s="564"/>
      <c r="DM146" s="564"/>
      <c r="DN146" s="564"/>
      <c r="DO146" s="564"/>
      <c r="DP146" s="564"/>
      <c r="DQ146" s="564"/>
      <c r="DR146" s="564"/>
      <c r="DS146" s="564"/>
      <c r="DT146" s="564"/>
      <c r="DU146" s="564"/>
      <c r="DV146" s="564"/>
      <c r="DW146" s="564"/>
      <c r="DX146" s="564"/>
      <c r="DY146" s="564"/>
      <c r="DZ146" s="564"/>
      <c r="EA146" s="564"/>
      <c r="EB146" s="564"/>
      <c r="EC146" s="564"/>
      <c r="ED146" s="564"/>
      <c r="EE146" s="564"/>
      <c r="EF146" s="564"/>
      <c r="EG146" s="564"/>
      <c r="EH146" s="564"/>
      <c r="EI146" s="564"/>
      <c r="EJ146" s="564"/>
      <c r="EK146" s="564"/>
      <c r="EL146" s="564"/>
      <c r="EM146" s="564"/>
      <c r="EN146" s="564"/>
      <c r="EO146" s="564"/>
      <c r="EP146" s="564"/>
      <c r="EQ146" s="564"/>
      <c r="ER146" s="564"/>
      <c r="ES146" s="564"/>
      <c r="ET146" s="564"/>
      <c r="EU146" s="564"/>
      <c r="EV146" s="564"/>
      <c r="EW146" s="564"/>
      <c r="EX146" s="564"/>
      <c r="EY146" s="564"/>
      <c r="EZ146" s="564"/>
      <c r="FA146" s="564"/>
      <c r="FB146" s="564"/>
      <c r="FC146" s="564"/>
      <c r="FD146" s="564"/>
      <c r="FE146" s="564"/>
      <c r="FF146" s="564"/>
      <c r="FG146" s="564"/>
      <c r="FH146" s="564"/>
      <c r="FI146" s="564"/>
      <c r="FJ146" s="564"/>
      <c r="FK146" s="564"/>
      <c r="FL146" s="564"/>
      <c r="FM146" s="564"/>
      <c r="FN146" s="564"/>
      <c r="FO146" s="564"/>
      <c r="FP146" s="564"/>
      <c r="FQ146" s="564"/>
      <c r="FR146" s="564"/>
      <c r="FS146" s="564"/>
      <c r="FT146" s="564"/>
      <c r="FU146" s="564"/>
      <c r="FV146" s="564"/>
      <c r="FW146" s="564"/>
      <c r="FX146" s="564"/>
      <c r="FY146" s="564"/>
      <c r="FZ146" s="564"/>
      <c r="GA146" s="564"/>
      <c r="GB146" s="564"/>
      <c r="GC146" s="564"/>
      <c r="GD146" s="564"/>
      <c r="GE146" s="564"/>
      <c r="GF146" s="564"/>
      <c r="GG146" s="564"/>
      <c r="GH146" s="564"/>
      <c r="GI146" s="564"/>
      <c r="GJ146" s="564"/>
    </row>
    <row r="147" spans="1:192" s="538" customFormat="1" x14ac:dyDescent="0.2">
      <c r="A147" s="165">
        <v>24</v>
      </c>
      <c r="B147" s="5" t="str">
        <f t="shared" ca="1" si="103"/>
        <v>…</v>
      </c>
      <c r="D147" s="269">
        <f ca="1">'A3. INPUT Unit Costs'!G67</f>
        <v>0</v>
      </c>
      <c r="E147" s="460">
        <f ca="1">'A3. INPUT Unit Costs'!H67</f>
        <v>0</v>
      </c>
      <c r="F147" s="16" t="e">
        <f t="shared" ca="1" si="113"/>
        <v>#N/A</v>
      </c>
      <c r="G147" s="16" t="e">
        <f t="shared" ca="1" si="104"/>
        <v>#N/A</v>
      </c>
      <c r="H147" s="16" t="e">
        <f t="shared" ca="1" si="104"/>
        <v>#N/A</v>
      </c>
      <c r="I147" s="16" t="e">
        <f t="shared" ca="1" si="104"/>
        <v>#N/A</v>
      </c>
      <c r="J147" s="16" t="e">
        <f t="shared" ca="1" si="104"/>
        <v>#N/A</v>
      </c>
      <c r="K147" s="16" t="e">
        <f t="shared" ca="1" si="104"/>
        <v>#N/A</v>
      </c>
      <c r="L147" s="16" t="e">
        <f t="shared" ca="1" si="105"/>
        <v>#N/A</v>
      </c>
      <c r="M147" s="16"/>
      <c r="Q147" s="300" t="e">
        <f t="shared" ca="1" si="106"/>
        <v>#N/A</v>
      </c>
      <c r="R147" s="300" t="e">
        <f t="shared" ca="1" si="107"/>
        <v>#N/A</v>
      </c>
      <c r="S147" s="300" t="e">
        <f t="shared" ca="1" si="108"/>
        <v>#N/A</v>
      </c>
      <c r="T147" s="300" t="e">
        <f t="shared" ca="1" si="109"/>
        <v>#N/A</v>
      </c>
      <c r="U147" s="300" t="e">
        <f t="shared" ca="1" si="110"/>
        <v>#N/A</v>
      </c>
      <c r="V147" s="300" t="e">
        <f t="shared" ca="1" si="111"/>
        <v>#N/A</v>
      </c>
      <c r="W147" s="300" t="e">
        <f t="shared" ca="1" si="112"/>
        <v>#N/A</v>
      </c>
      <c r="Z147" s="564"/>
      <c r="AA147" s="564"/>
      <c r="AB147" s="564"/>
      <c r="AC147" s="564"/>
      <c r="AD147" s="564"/>
      <c r="AE147" s="564"/>
      <c r="AF147" s="564"/>
      <c r="AG147" s="564"/>
      <c r="AH147" s="564"/>
      <c r="AI147" s="564"/>
      <c r="AJ147" s="564"/>
      <c r="AK147" s="564"/>
      <c r="AL147" s="564"/>
      <c r="AM147" s="564"/>
      <c r="AN147" s="564"/>
      <c r="AO147" s="564"/>
      <c r="AP147" s="564"/>
      <c r="AQ147" s="564"/>
      <c r="AR147" s="564"/>
      <c r="AS147" s="564"/>
      <c r="AT147" s="564"/>
      <c r="AU147" s="564"/>
      <c r="AV147" s="564"/>
      <c r="AW147" s="564"/>
      <c r="AX147" s="564"/>
      <c r="AY147" s="564"/>
      <c r="AZ147" s="564"/>
      <c r="BA147" s="564"/>
      <c r="BB147" s="564"/>
      <c r="BC147" s="564"/>
      <c r="BD147" s="564"/>
      <c r="BE147" s="564"/>
      <c r="BF147" s="564"/>
      <c r="BG147" s="564"/>
      <c r="BH147" s="564"/>
      <c r="BI147" s="564"/>
      <c r="BJ147" s="564"/>
      <c r="BK147" s="564"/>
      <c r="BL147" s="564"/>
      <c r="BM147" s="564"/>
      <c r="BN147" s="564"/>
      <c r="BO147" s="564"/>
      <c r="BP147" s="564"/>
      <c r="BQ147" s="564"/>
      <c r="BR147" s="564"/>
      <c r="BS147" s="564"/>
      <c r="BT147" s="564"/>
      <c r="BU147" s="564"/>
      <c r="BV147" s="564"/>
      <c r="BW147" s="564"/>
      <c r="BX147" s="564"/>
      <c r="BY147" s="564"/>
      <c r="BZ147" s="564"/>
      <c r="CA147" s="564"/>
      <c r="CB147" s="564"/>
      <c r="CC147" s="564"/>
      <c r="CD147" s="564"/>
      <c r="CE147" s="564"/>
      <c r="CF147" s="564"/>
      <c r="CG147" s="564"/>
      <c r="CH147" s="564"/>
      <c r="CI147" s="564"/>
      <c r="CJ147" s="564"/>
      <c r="CK147" s="564"/>
      <c r="CL147" s="564"/>
      <c r="CM147" s="564"/>
      <c r="CN147" s="564"/>
      <c r="CO147" s="564"/>
      <c r="CP147" s="564"/>
      <c r="CQ147" s="564"/>
      <c r="CR147" s="564"/>
      <c r="CS147" s="564"/>
      <c r="CT147" s="564"/>
      <c r="CU147" s="564"/>
      <c r="CV147" s="564"/>
      <c r="CW147" s="564"/>
      <c r="CX147" s="564"/>
      <c r="CY147" s="564"/>
      <c r="CZ147" s="564"/>
      <c r="DA147" s="564"/>
      <c r="DB147" s="564"/>
      <c r="DC147" s="564"/>
      <c r="DD147" s="564"/>
      <c r="DE147" s="564"/>
      <c r="DF147" s="564"/>
      <c r="DG147" s="564"/>
      <c r="DH147" s="564"/>
      <c r="DI147" s="564"/>
      <c r="DJ147" s="564"/>
      <c r="DK147" s="564"/>
      <c r="DL147" s="564"/>
      <c r="DM147" s="564"/>
      <c r="DN147" s="564"/>
      <c r="DO147" s="564"/>
      <c r="DP147" s="564"/>
      <c r="DQ147" s="564"/>
      <c r="DR147" s="564"/>
      <c r="DS147" s="564"/>
      <c r="DT147" s="564"/>
      <c r="DU147" s="564"/>
      <c r="DV147" s="564"/>
      <c r="DW147" s="564"/>
      <c r="DX147" s="564"/>
      <c r="DY147" s="564"/>
      <c r="DZ147" s="564"/>
      <c r="EA147" s="564"/>
      <c r="EB147" s="564"/>
      <c r="EC147" s="564"/>
      <c r="ED147" s="564"/>
      <c r="EE147" s="564"/>
      <c r="EF147" s="564"/>
      <c r="EG147" s="564"/>
      <c r="EH147" s="564"/>
      <c r="EI147" s="564"/>
      <c r="EJ147" s="564"/>
      <c r="EK147" s="564"/>
      <c r="EL147" s="564"/>
      <c r="EM147" s="564"/>
      <c r="EN147" s="564"/>
      <c r="EO147" s="564"/>
      <c r="EP147" s="564"/>
      <c r="EQ147" s="564"/>
      <c r="ER147" s="564"/>
      <c r="ES147" s="564"/>
      <c r="ET147" s="564"/>
      <c r="EU147" s="564"/>
      <c r="EV147" s="564"/>
      <c r="EW147" s="564"/>
      <c r="EX147" s="564"/>
      <c r="EY147" s="564"/>
      <c r="EZ147" s="564"/>
      <c r="FA147" s="564"/>
      <c r="FB147" s="564"/>
      <c r="FC147" s="564"/>
      <c r="FD147" s="564"/>
      <c r="FE147" s="564"/>
      <c r="FF147" s="564"/>
      <c r="FG147" s="564"/>
      <c r="FH147" s="564"/>
      <c r="FI147" s="564"/>
      <c r="FJ147" s="564"/>
      <c r="FK147" s="564"/>
      <c r="FL147" s="564"/>
      <c r="FM147" s="564"/>
      <c r="FN147" s="564"/>
      <c r="FO147" s="564"/>
      <c r="FP147" s="564"/>
      <c r="FQ147" s="564"/>
      <c r="FR147" s="564"/>
      <c r="FS147" s="564"/>
      <c r="FT147" s="564"/>
      <c r="FU147" s="564"/>
      <c r="FV147" s="564"/>
      <c r="FW147" s="564"/>
      <c r="FX147" s="564"/>
      <c r="FY147" s="564"/>
      <c r="FZ147" s="564"/>
      <c r="GA147" s="564"/>
      <c r="GB147" s="564"/>
      <c r="GC147" s="564"/>
      <c r="GD147" s="564"/>
      <c r="GE147" s="564"/>
      <c r="GF147" s="564"/>
      <c r="GG147" s="564"/>
      <c r="GH147" s="564"/>
      <c r="GI147" s="564"/>
      <c r="GJ147" s="564"/>
    </row>
    <row r="148" spans="1:192" s="538" customFormat="1" x14ac:dyDescent="0.2">
      <c r="A148" s="165">
        <v>25</v>
      </c>
      <c r="B148" s="5" t="str">
        <f t="shared" ca="1" si="103"/>
        <v>…</v>
      </c>
      <c r="D148" s="269">
        <f ca="1">'A3. INPUT Unit Costs'!G68</f>
        <v>0</v>
      </c>
      <c r="E148" s="460">
        <f ca="1">'A3. INPUT Unit Costs'!H68</f>
        <v>0</v>
      </c>
      <c r="F148" s="16" t="e">
        <f t="shared" ca="1" si="113"/>
        <v>#N/A</v>
      </c>
      <c r="G148" s="16" t="e">
        <f t="shared" ca="1" si="104"/>
        <v>#N/A</v>
      </c>
      <c r="H148" s="16" t="e">
        <f t="shared" ca="1" si="104"/>
        <v>#N/A</v>
      </c>
      <c r="I148" s="16" t="e">
        <f t="shared" ca="1" si="104"/>
        <v>#N/A</v>
      </c>
      <c r="J148" s="16" t="e">
        <f t="shared" ca="1" si="104"/>
        <v>#N/A</v>
      </c>
      <c r="K148" s="16" t="e">
        <f t="shared" ca="1" si="104"/>
        <v>#N/A</v>
      </c>
      <c r="L148" s="16" t="e">
        <f t="shared" ca="1" si="105"/>
        <v>#N/A</v>
      </c>
      <c r="M148" s="16"/>
      <c r="Q148" s="300" t="e">
        <f t="shared" ca="1" si="106"/>
        <v>#N/A</v>
      </c>
      <c r="R148" s="300" t="e">
        <f t="shared" ca="1" si="107"/>
        <v>#N/A</v>
      </c>
      <c r="S148" s="300" t="e">
        <f t="shared" ca="1" si="108"/>
        <v>#N/A</v>
      </c>
      <c r="T148" s="300" t="e">
        <f t="shared" ca="1" si="109"/>
        <v>#N/A</v>
      </c>
      <c r="U148" s="300" t="e">
        <f t="shared" ca="1" si="110"/>
        <v>#N/A</v>
      </c>
      <c r="V148" s="300" t="e">
        <f t="shared" ca="1" si="111"/>
        <v>#N/A</v>
      </c>
      <c r="W148" s="300" t="e">
        <f t="shared" ca="1" si="112"/>
        <v>#N/A</v>
      </c>
      <c r="Z148" s="564"/>
      <c r="AA148" s="564"/>
      <c r="AB148" s="564"/>
      <c r="AC148" s="564"/>
      <c r="AD148" s="564"/>
      <c r="AE148" s="564"/>
      <c r="AF148" s="564"/>
      <c r="AG148" s="564"/>
      <c r="AH148" s="564"/>
      <c r="AI148" s="564"/>
      <c r="AJ148" s="564"/>
      <c r="AK148" s="564"/>
      <c r="AL148" s="564"/>
      <c r="AM148" s="564"/>
      <c r="AN148" s="564"/>
      <c r="AO148" s="564"/>
      <c r="AP148" s="564"/>
      <c r="AQ148" s="564"/>
      <c r="AR148" s="564"/>
      <c r="AS148" s="564"/>
      <c r="AT148" s="564"/>
      <c r="AU148" s="564"/>
      <c r="AV148" s="564"/>
      <c r="AW148" s="564"/>
      <c r="AX148" s="564"/>
      <c r="AY148" s="564"/>
      <c r="AZ148" s="564"/>
      <c r="BA148" s="564"/>
      <c r="BB148" s="564"/>
      <c r="BC148" s="564"/>
      <c r="BD148" s="564"/>
      <c r="BE148" s="564"/>
      <c r="BF148" s="564"/>
      <c r="BG148" s="564"/>
      <c r="BH148" s="564"/>
      <c r="BI148" s="564"/>
      <c r="BJ148" s="564"/>
      <c r="BK148" s="564"/>
      <c r="BL148" s="564"/>
      <c r="BM148" s="564"/>
      <c r="BN148" s="564"/>
      <c r="BO148" s="564"/>
      <c r="BP148" s="564"/>
      <c r="BQ148" s="564"/>
      <c r="BR148" s="564"/>
      <c r="BS148" s="564"/>
      <c r="BT148" s="564"/>
      <c r="BU148" s="564"/>
      <c r="BV148" s="564"/>
      <c r="BW148" s="564"/>
      <c r="BX148" s="564"/>
      <c r="BY148" s="564"/>
      <c r="BZ148" s="564"/>
      <c r="CA148" s="564"/>
      <c r="CB148" s="564"/>
      <c r="CC148" s="564"/>
      <c r="CD148" s="564"/>
      <c r="CE148" s="564"/>
      <c r="CF148" s="564"/>
      <c r="CG148" s="564"/>
      <c r="CH148" s="564"/>
      <c r="CI148" s="564"/>
      <c r="CJ148" s="564"/>
      <c r="CK148" s="564"/>
      <c r="CL148" s="564"/>
      <c r="CM148" s="564"/>
      <c r="CN148" s="564"/>
      <c r="CO148" s="564"/>
      <c r="CP148" s="564"/>
      <c r="CQ148" s="564"/>
      <c r="CR148" s="564"/>
      <c r="CS148" s="564"/>
      <c r="CT148" s="564"/>
      <c r="CU148" s="564"/>
      <c r="CV148" s="564"/>
      <c r="CW148" s="564"/>
      <c r="CX148" s="564"/>
      <c r="CY148" s="564"/>
      <c r="CZ148" s="564"/>
      <c r="DA148" s="564"/>
      <c r="DB148" s="564"/>
      <c r="DC148" s="564"/>
      <c r="DD148" s="564"/>
      <c r="DE148" s="564"/>
      <c r="DF148" s="564"/>
      <c r="DG148" s="564"/>
      <c r="DH148" s="564"/>
      <c r="DI148" s="564"/>
      <c r="DJ148" s="564"/>
      <c r="DK148" s="564"/>
      <c r="DL148" s="564"/>
      <c r="DM148" s="564"/>
      <c r="DN148" s="564"/>
      <c r="DO148" s="564"/>
      <c r="DP148" s="564"/>
      <c r="DQ148" s="564"/>
      <c r="DR148" s="564"/>
      <c r="DS148" s="564"/>
      <c r="DT148" s="564"/>
      <c r="DU148" s="564"/>
      <c r="DV148" s="564"/>
      <c r="DW148" s="564"/>
      <c r="DX148" s="564"/>
      <c r="DY148" s="564"/>
      <c r="DZ148" s="564"/>
      <c r="EA148" s="564"/>
      <c r="EB148" s="564"/>
      <c r="EC148" s="564"/>
      <c r="ED148" s="564"/>
      <c r="EE148" s="564"/>
      <c r="EF148" s="564"/>
      <c r="EG148" s="564"/>
      <c r="EH148" s="564"/>
      <c r="EI148" s="564"/>
      <c r="EJ148" s="564"/>
      <c r="EK148" s="564"/>
      <c r="EL148" s="564"/>
      <c r="EM148" s="564"/>
      <c r="EN148" s="564"/>
      <c r="EO148" s="564"/>
      <c r="EP148" s="564"/>
      <c r="EQ148" s="564"/>
      <c r="ER148" s="564"/>
      <c r="ES148" s="564"/>
      <c r="ET148" s="564"/>
      <c r="EU148" s="564"/>
      <c r="EV148" s="564"/>
      <c r="EW148" s="564"/>
      <c r="EX148" s="564"/>
      <c r="EY148" s="564"/>
      <c r="EZ148" s="564"/>
      <c r="FA148" s="564"/>
      <c r="FB148" s="564"/>
      <c r="FC148" s="564"/>
      <c r="FD148" s="564"/>
      <c r="FE148" s="564"/>
      <c r="FF148" s="564"/>
      <c r="FG148" s="564"/>
      <c r="FH148" s="564"/>
      <c r="FI148" s="564"/>
      <c r="FJ148" s="564"/>
      <c r="FK148" s="564"/>
      <c r="FL148" s="564"/>
      <c r="FM148" s="564"/>
      <c r="FN148" s="564"/>
      <c r="FO148" s="564"/>
      <c r="FP148" s="564"/>
      <c r="FQ148" s="564"/>
      <c r="FR148" s="564"/>
      <c r="FS148" s="564"/>
      <c r="FT148" s="564"/>
      <c r="FU148" s="564"/>
      <c r="FV148" s="564"/>
      <c r="FW148" s="564"/>
      <c r="FX148" s="564"/>
      <c r="FY148" s="564"/>
      <c r="FZ148" s="564"/>
      <c r="GA148" s="564"/>
      <c r="GB148" s="564"/>
      <c r="GC148" s="564"/>
      <c r="GD148" s="564"/>
      <c r="GE148" s="564"/>
      <c r="GF148" s="564"/>
      <c r="GG148" s="564"/>
      <c r="GH148" s="564"/>
      <c r="GI148" s="564"/>
      <c r="GJ148" s="564"/>
    </row>
    <row r="149" spans="1:192" s="538" customFormat="1" x14ac:dyDescent="0.2">
      <c r="B149" s="5" t="str">
        <f>IF('A3. INPUT Unit Costs'!C70="","",'A3. INPUT Unit Costs'!C70)</f>
        <v/>
      </c>
      <c r="D149" s="269">
        <f>'A3. INPUT Unit Costs'!D70</f>
        <v>0</v>
      </c>
      <c r="E149" s="460" t="e">
        <f>'A3. INPUT Unit Costs'!H70</f>
        <v>#N/A</v>
      </c>
      <c r="F149" s="16" t="e">
        <f t="shared" si="113"/>
        <v>#N/A</v>
      </c>
      <c r="G149" s="16" t="e">
        <f t="shared" si="104"/>
        <v>#N/A</v>
      </c>
      <c r="H149" s="16" t="e">
        <f t="shared" si="104"/>
        <v>#N/A</v>
      </c>
      <c r="I149" s="16" t="e">
        <f t="shared" si="104"/>
        <v>#N/A</v>
      </c>
      <c r="J149" s="16" t="e">
        <f t="shared" si="104"/>
        <v>#N/A</v>
      </c>
      <c r="K149" s="16" t="e">
        <f t="shared" si="104"/>
        <v>#N/A</v>
      </c>
      <c r="L149" s="16" t="e">
        <f t="shared" si="105"/>
        <v>#N/A</v>
      </c>
      <c r="M149" s="16"/>
      <c r="Q149" s="300" t="e">
        <f t="shared" si="106"/>
        <v>#N/A</v>
      </c>
      <c r="R149" s="300" t="e">
        <f t="shared" si="107"/>
        <v>#N/A</v>
      </c>
      <c r="S149" s="300" t="e">
        <f t="shared" si="108"/>
        <v>#N/A</v>
      </c>
      <c r="T149" s="300" t="e">
        <f t="shared" si="109"/>
        <v>#N/A</v>
      </c>
      <c r="U149" s="300" t="e">
        <f t="shared" si="110"/>
        <v>#N/A</v>
      </c>
      <c r="V149" s="300" t="e">
        <f t="shared" si="111"/>
        <v>#N/A</v>
      </c>
      <c r="W149" s="300" t="e">
        <f t="shared" si="112"/>
        <v>#N/A</v>
      </c>
      <c r="Z149" s="564"/>
      <c r="AA149" s="564"/>
      <c r="AB149" s="564"/>
      <c r="AC149" s="564"/>
      <c r="AD149" s="564"/>
      <c r="AE149" s="564"/>
      <c r="AF149" s="564"/>
      <c r="AG149" s="564"/>
      <c r="AH149" s="564"/>
      <c r="AI149" s="564"/>
      <c r="AJ149" s="564"/>
      <c r="AK149" s="564"/>
      <c r="AL149" s="564"/>
      <c r="AM149" s="564"/>
      <c r="AN149" s="564"/>
      <c r="AO149" s="564"/>
      <c r="AP149" s="564"/>
      <c r="AQ149" s="564"/>
      <c r="AR149" s="564"/>
      <c r="AS149" s="564"/>
      <c r="AT149" s="564"/>
      <c r="AU149" s="564"/>
      <c r="AV149" s="564"/>
      <c r="AW149" s="564"/>
      <c r="AX149" s="564"/>
      <c r="AY149" s="564"/>
      <c r="AZ149" s="564"/>
      <c r="BA149" s="564"/>
      <c r="BB149" s="564"/>
      <c r="BC149" s="564"/>
      <c r="BD149" s="564"/>
      <c r="BE149" s="564"/>
      <c r="BF149" s="564"/>
      <c r="BG149" s="564"/>
      <c r="BH149" s="564"/>
      <c r="BI149" s="564"/>
      <c r="BJ149" s="564"/>
      <c r="BK149" s="564"/>
      <c r="BL149" s="564"/>
      <c r="BM149" s="564"/>
      <c r="BN149" s="564"/>
      <c r="BO149" s="564"/>
      <c r="BP149" s="564"/>
      <c r="BQ149" s="564"/>
      <c r="BR149" s="564"/>
      <c r="BS149" s="564"/>
      <c r="BT149" s="564"/>
      <c r="BU149" s="564"/>
      <c r="BV149" s="564"/>
      <c r="BW149" s="564"/>
      <c r="BX149" s="564"/>
      <c r="BY149" s="564"/>
      <c r="BZ149" s="564"/>
      <c r="CA149" s="564"/>
      <c r="CB149" s="564"/>
      <c r="CC149" s="564"/>
      <c r="CD149" s="564"/>
      <c r="CE149" s="564"/>
      <c r="CF149" s="564"/>
      <c r="CG149" s="564"/>
      <c r="CH149" s="564"/>
      <c r="CI149" s="564"/>
      <c r="CJ149" s="564"/>
      <c r="CK149" s="564"/>
      <c r="CL149" s="564"/>
      <c r="CM149" s="564"/>
      <c r="CN149" s="564"/>
      <c r="CO149" s="564"/>
      <c r="CP149" s="564"/>
      <c r="CQ149" s="564"/>
      <c r="CR149" s="564"/>
      <c r="CS149" s="564"/>
      <c r="CT149" s="564"/>
      <c r="CU149" s="564"/>
      <c r="CV149" s="564"/>
      <c r="CW149" s="564"/>
      <c r="CX149" s="564"/>
      <c r="CY149" s="564"/>
      <c r="CZ149" s="564"/>
      <c r="DA149" s="564"/>
      <c r="DB149" s="564"/>
      <c r="DC149" s="564"/>
      <c r="DD149" s="564"/>
      <c r="DE149" s="564"/>
      <c r="DF149" s="564"/>
      <c r="DG149" s="564"/>
      <c r="DH149" s="564"/>
      <c r="DI149" s="564"/>
      <c r="DJ149" s="564"/>
      <c r="DK149" s="564"/>
      <c r="DL149" s="564"/>
      <c r="DM149" s="564"/>
      <c r="DN149" s="564"/>
      <c r="DO149" s="564"/>
      <c r="DP149" s="564"/>
      <c r="DQ149" s="564"/>
      <c r="DR149" s="564"/>
      <c r="DS149" s="564"/>
      <c r="DT149" s="564"/>
      <c r="DU149" s="564"/>
      <c r="DV149" s="564"/>
      <c r="DW149" s="564"/>
      <c r="DX149" s="564"/>
      <c r="DY149" s="564"/>
      <c r="DZ149" s="564"/>
      <c r="EA149" s="564"/>
      <c r="EB149" s="564"/>
      <c r="EC149" s="564"/>
      <c r="ED149" s="564"/>
      <c r="EE149" s="564"/>
      <c r="EF149" s="564"/>
      <c r="EG149" s="564"/>
      <c r="EH149" s="564"/>
      <c r="EI149" s="564"/>
      <c r="EJ149" s="564"/>
      <c r="EK149" s="564"/>
      <c r="EL149" s="564"/>
      <c r="EM149" s="564"/>
      <c r="EN149" s="564"/>
      <c r="EO149" s="564"/>
      <c r="EP149" s="564"/>
      <c r="EQ149" s="564"/>
      <c r="ER149" s="564"/>
      <c r="ES149" s="564"/>
      <c r="ET149" s="564"/>
      <c r="EU149" s="564"/>
      <c r="EV149" s="564"/>
      <c r="EW149" s="564"/>
      <c r="EX149" s="564"/>
      <c r="EY149" s="564"/>
      <c r="EZ149" s="564"/>
      <c r="FA149" s="564"/>
      <c r="FB149" s="564"/>
      <c r="FC149" s="564"/>
      <c r="FD149" s="564"/>
      <c r="FE149" s="564"/>
      <c r="FF149" s="564"/>
      <c r="FG149" s="564"/>
      <c r="FH149" s="564"/>
      <c r="FI149" s="564"/>
      <c r="FJ149" s="564"/>
      <c r="FK149" s="564"/>
      <c r="FL149" s="564"/>
      <c r="FM149" s="564"/>
      <c r="FN149" s="564"/>
      <c r="FO149" s="564"/>
      <c r="FP149" s="564"/>
      <c r="FQ149" s="564"/>
      <c r="FR149" s="564"/>
      <c r="FS149" s="564"/>
      <c r="FT149" s="564"/>
      <c r="FU149" s="564"/>
      <c r="FV149" s="564"/>
      <c r="FW149" s="564"/>
      <c r="FX149" s="564"/>
      <c r="FY149" s="564"/>
      <c r="FZ149" s="564"/>
      <c r="GA149" s="564"/>
      <c r="GB149" s="564"/>
      <c r="GC149" s="564"/>
      <c r="GD149" s="564"/>
      <c r="GE149" s="564"/>
      <c r="GF149" s="564"/>
      <c r="GG149" s="564"/>
      <c r="GH149" s="564"/>
      <c r="GI149" s="564"/>
      <c r="GJ149" s="564"/>
    </row>
    <row r="150" spans="1:192" s="538" customFormat="1" x14ac:dyDescent="0.2">
      <c r="B150" s="5" t="str">
        <f>IF('A3. INPUT Unit Costs'!C71="","",'A3. INPUT Unit Costs'!C71)</f>
        <v/>
      </c>
      <c r="D150" s="269">
        <f>'A3. INPUT Unit Costs'!D71</f>
        <v>0</v>
      </c>
      <c r="E150" s="460" t="e">
        <f>'A3. INPUT Unit Costs'!H71</f>
        <v>#N/A</v>
      </c>
      <c r="F150" s="16" t="e">
        <f t="shared" si="113"/>
        <v>#N/A</v>
      </c>
      <c r="G150" s="16" t="e">
        <f t="shared" si="104"/>
        <v>#N/A</v>
      </c>
      <c r="H150" s="16" t="e">
        <f t="shared" si="104"/>
        <v>#N/A</v>
      </c>
      <c r="I150" s="16" t="e">
        <f t="shared" si="104"/>
        <v>#N/A</v>
      </c>
      <c r="J150" s="16" t="e">
        <f t="shared" si="104"/>
        <v>#N/A</v>
      </c>
      <c r="K150" s="16" t="e">
        <f t="shared" si="104"/>
        <v>#N/A</v>
      </c>
      <c r="L150" s="16" t="e">
        <f t="shared" si="105"/>
        <v>#N/A</v>
      </c>
      <c r="M150" s="16"/>
      <c r="Q150" s="300" t="e">
        <f t="shared" si="106"/>
        <v>#N/A</v>
      </c>
      <c r="R150" s="300" t="e">
        <f t="shared" si="107"/>
        <v>#N/A</v>
      </c>
      <c r="S150" s="300" t="e">
        <f t="shared" si="108"/>
        <v>#N/A</v>
      </c>
      <c r="T150" s="300" t="e">
        <f t="shared" si="109"/>
        <v>#N/A</v>
      </c>
      <c r="U150" s="300" t="e">
        <f t="shared" si="110"/>
        <v>#N/A</v>
      </c>
      <c r="V150" s="300" t="e">
        <f t="shared" si="111"/>
        <v>#N/A</v>
      </c>
      <c r="W150" s="300" t="e">
        <f t="shared" si="112"/>
        <v>#N/A</v>
      </c>
      <c r="Z150" s="564"/>
      <c r="AA150" s="564"/>
      <c r="AB150" s="564"/>
      <c r="AC150" s="564"/>
      <c r="AD150" s="564"/>
      <c r="AE150" s="564"/>
      <c r="AF150" s="564"/>
      <c r="AG150" s="564"/>
      <c r="AH150" s="564"/>
      <c r="AI150" s="564"/>
      <c r="AJ150" s="564"/>
      <c r="AK150" s="564"/>
      <c r="AL150" s="564"/>
      <c r="AM150" s="564"/>
      <c r="AN150" s="564"/>
      <c r="AO150" s="564"/>
      <c r="AP150" s="564"/>
      <c r="AQ150" s="564"/>
      <c r="AR150" s="564"/>
      <c r="AS150" s="564"/>
      <c r="AT150" s="564"/>
      <c r="AU150" s="564"/>
      <c r="AV150" s="564"/>
      <c r="AW150" s="564"/>
      <c r="AX150" s="564"/>
      <c r="AY150" s="564"/>
      <c r="AZ150" s="564"/>
      <c r="BA150" s="564"/>
      <c r="BB150" s="564"/>
      <c r="BC150" s="564"/>
      <c r="BD150" s="564"/>
      <c r="BE150" s="564"/>
      <c r="BF150" s="564"/>
      <c r="BG150" s="564"/>
      <c r="BH150" s="564"/>
      <c r="BI150" s="564"/>
      <c r="BJ150" s="564"/>
      <c r="BK150" s="564"/>
      <c r="BL150" s="564"/>
      <c r="BM150" s="564"/>
      <c r="BN150" s="564"/>
      <c r="BO150" s="564"/>
      <c r="BP150" s="564"/>
      <c r="BQ150" s="564"/>
      <c r="BR150" s="564"/>
      <c r="BS150" s="564"/>
      <c r="BT150" s="564"/>
      <c r="BU150" s="564"/>
      <c r="BV150" s="564"/>
      <c r="BW150" s="564"/>
      <c r="BX150" s="564"/>
      <c r="BY150" s="564"/>
      <c r="BZ150" s="564"/>
      <c r="CA150" s="564"/>
      <c r="CB150" s="564"/>
      <c r="CC150" s="564"/>
      <c r="CD150" s="564"/>
      <c r="CE150" s="564"/>
      <c r="CF150" s="564"/>
      <c r="CG150" s="564"/>
      <c r="CH150" s="564"/>
      <c r="CI150" s="564"/>
      <c r="CJ150" s="564"/>
      <c r="CK150" s="564"/>
      <c r="CL150" s="564"/>
      <c r="CM150" s="564"/>
      <c r="CN150" s="564"/>
      <c r="CO150" s="564"/>
      <c r="CP150" s="564"/>
      <c r="CQ150" s="564"/>
      <c r="CR150" s="564"/>
      <c r="CS150" s="564"/>
      <c r="CT150" s="564"/>
      <c r="CU150" s="564"/>
      <c r="CV150" s="564"/>
      <c r="CW150" s="564"/>
      <c r="CX150" s="564"/>
      <c r="CY150" s="564"/>
      <c r="CZ150" s="564"/>
      <c r="DA150" s="564"/>
      <c r="DB150" s="564"/>
      <c r="DC150" s="564"/>
      <c r="DD150" s="564"/>
      <c r="DE150" s="564"/>
      <c r="DF150" s="564"/>
      <c r="DG150" s="564"/>
      <c r="DH150" s="564"/>
      <c r="DI150" s="564"/>
      <c r="DJ150" s="564"/>
      <c r="DK150" s="564"/>
      <c r="DL150" s="564"/>
      <c r="DM150" s="564"/>
      <c r="DN150" s="564"/>
      <c r="DO150" s="564"/>
      <c r="DP150" s="564"/>
      <c r="DQ150" s="564"/>
      <c r="DR150" s="564"/>
      <c r="DS150" s="564"/>
      <c r="DT150" s="564"/>
      <c r="DU150" s="564"/>
      <c r="DV150" s="564"/>
      <c r="DW150" s="564"/>
      <c r="DX150" s="564"/>
      <c r="DY150" s="564"/>
      <c r="DZ150" s="564"/>
      <c r="EA150" s="564"/>
      <c r="EB150" s="564"/>
      <c r="EC150" s="564"/>
      <c r="ED150" s="564"/>
      <c r="EE150" s="564"/>
      <c r="EF150" s="564"/>
      <c r="EG150" s="564"/>
      <c r="EH150" s="564"/>
      <c r="EI150" s="564"/>
      <c r="EJ150" s="564"/>
      <c r="EK150" s="564"/>
      <c r="EL150" s="564"/>
      <c r="EM150" s="564"/>
      <c r="EN150" s="564"/>
      <c r="EO150" s="564"/>
      <c r="EP150" s="564"/>
      <c r="EQ150" s="564"/>
      <c r="ER150" s="564"/>
      <c r="ES150" s="564"/>
      <c r="ET150" s="564"/>
      <c r="EU150" s="564"/>
      <c r="EV150" s="564"/>
      <c r="EW150" s="564"/>
      <c r="EX150" s="564"/>
      <c r="EY150" s="564"/>
      <c r="EZ150" s="564"/>
      <c r="FA150" s="564"/>
      <c r="FB150" s="564"/>
      <c r="FC150" s="564"/>
      <c r="FD150" s="564"/>
      <c r="FE150" s="564"/>
      <c r="FF150" s="564"/>
      <c r="FG150" s="564"/>
      <c r="FH150" s="564"/>
      <c r="FI150" s="564"/>
      <c r="FJ150" s="564"/>
      <c r="FK150" s="564"/>
      <c r="FL150" s="564"/>
      <c r="FM150" s="564"/>
      <c r="FN150" s="564"/>
      <c r="FO150" s="564"/>
      <c r="FP150" s="564"/>
      <c r="FQ150" s="564"/>
      <c r="FR150" s="564"/>
      <c r="FS150" s="564"/>
      <c r="FT150" s="564"/>
      <c r="FU150" s="564"/>
      <c r="FV150" s="564"/>
      <c r="FW150" s="564"/>
      <c r="FX150" s="564"/>
      <c r="FY150" s="564"/>
      <c r="FZ150" s="564"/>
      <c r="GA150" s="564"/>
      <c r="GB150" s="564"/>
      <c r="GC150" s="564"/>
      <c r="GD150" s="564"/>
      <c r="GE150" s="564"/>
      <c r="GF150" s="564"/>
      <c r="GG150" s="564"/>
      <c r="GH150" s="564"/>
      <c r="GI150" s="564"/>
      <c r="GJ150" s="564"/>
    </row>
    <row r="151" spans="1:192" s="538" customFormat="1" x14ac:dyDescent="0.2">
      <c r="B151" s="5" t="str">
        <f>IF('A3. INPUT Unit Costs'!C72="","",'A3. INPUT Unit Costs'!C72)</f>
        <v/>
      </c>
      <c r="D151" s="269">
        <f>'A3. INPUT Unit Costs'!D72</f>
        <v>0</v>
      </c>
      <c r="E151" s="460" t="e">
        <f>'A3. INPUT Unit Costs'!H72</f>
        <v>#N/A</v>
      </c>
      <c r="F151" s="16" t="e">
        <f t="shared" si="113"/>
        <v>#N/A</v>
      </c>
      <c r="G151" s="16" t="e">
        <f t="shared" si="104"/>
        <v>#N/A</v>
      </c>
      <c r="H151" s="16" t="e">
        <f t="shared" si="104"/>
        <v>#N/A</v>
      </c>
      <c r="I151" s="16" t="e">
        <f t="shared" si="104"/>
        <v>#N/A</v>
      </c>
      <c r="J151" s="16" t="e">
        <f t="shared" si="104"/>
        <v>#N/A</v>
      </c>
      <c r="K151" s="16" t="e">
        <f t="shared" si="104"/>
        <v>#N/A</v>
      </c>
      <c r="L151" s="16" t="e">
        <f t="shared" si="105"/>
        <v>#N/A</v>
      </c>
      <c r="M151" s="16"/>
      <c r="Q151" s="300" t="e">
        <f t="shared" si="106"/>
        <v>#N/A</v>
      </c>
      <c r="R151" s="300" t="e">
        <f t="shared" si="107"/>
        <v>#N/A</v>
      </c>
      <c r="S151" s="300" t="e">
        <f t="shared" si="108"/>
        <v>#N/A</v>
      </c>
      <c r="T151" s="300" t="e">
        <f t="shared" si="109"/>
        <v>#N/A</v>
      </c>
      <c r="U151" s="300" t="e">
        <f t="shared" si="110"/>
        <v>#N/A</v>
      </c>
      <c r="V151" s="300" t="e">
        <f t="shared" si="111"/>
        <v>#N/A</v>
      </c>
      <c r="W151" s="300" t="e">
        <f t="shared" si="112"/>
        <v>#N/A</v>
      </c>
      <c r="Z151" s="564"/>
      <c r="AA151" s="564"/>
      <c r="AB151" s="564"/>
      <c r="AC151" s="564"/>
      <c r="AD151" s="564"/>
      <c r="AE151" s="564"/>
      <c r="AF151" s="564"/>
      <c r="AG151" s="564"/>
      <c r="AH151" s="564"/>
      <c r="AI151" s="564"/>
      <c r="AJ151" s="564"/>
      <c r="AK151" s="564"/>
      <c r="AL151" s="564"/>
      <c r="AM151" s="564"/>
      <c r="AN151" s="564"/>
      <c r="AO151" s="564"/>
      <c r="AP151" s="564"/>
      <c r="AQ151" s="564"/>
      <c r="AR151" s="564"/>
      <c r="AS151" s="564"/>
      <c r="AT151" s="564"/>
      <c r="AU151" s="564"/>
      <c r="AV151" s="564"/>
      <c r="AW151" s="564"/>
      <c r="AX151" s="564"/>
      <c r="AY151" s="564"/>
      <c r="AZ151" s="564"/>
      <c r="BA151" s="564"/>
      <c r="BB151" s="564"/>
      <c r="BC151" s="564"/>
      <c r="BD151" s="564"/>
      <c r="BE151" s="564"/>
      <c r="BF151" s="564"/>
      <c r="BG151" s="564"/>
      <c r="BH151" s="564"/>
      <c r="BI151" s="564"/>
      <c r="BJ151" s="564"/>
      <c r="BK151" s="564"/>
      <c r="BL151" s="564"/>
      <c r="BM151" s="564"/>
      <c r="BN151" s="564"/>
      <c r="BO151" s="564"/>
      <c r="BP151" s="564"/>
      <c r="BQ151" s="564"/>
      <c r="BR151" s="564"/>
      <c r="BS151" s="564"/>
      <c r="BT151" s="564"/>
      <c r="BU151" s="564"/>
      <c r="BV151" s="564"/>
      <c r="BW151" s="564"/>
      <c r="BX151" s="564"/>
      <c r="BY151" s="564"/>
      <c r="BZ151" s="564"/>
      <c r="CA151" s="564"/>
      <c r="CB151" s="564"/>
      <c r="CC151" s="564"/>
      <c r="CD151" s="564"/>
      <c r="CE151" s="564"/>
      <c r="CF151" s="564"/>
      <c r="CG151" s="564"/>
      <c r="CH151" s="564"/>
      <c r="CI151" s="564"/>
      <c r="CJ151" s="564"/>
      <c r="CK151" s="564"/>
      <c r="CL151" s="564"/>
      <c r="CM151" s="564"/>
      <c r="CN151" s="564"/>
      <c r="CO151" s="564"/>
      <c r="CP151" s="564"/>
      <c r="CQ151" s="564"/>
      <c r="CR151" s="564"/>
      <c r="CS151" s="564"/>
      <c r="CT151" s="564"/>
      <c r="CU151" s="564"/>
      <c r="CV151" s="564"/>
      <c r="CW151" s="564"/>
      <c r="CX151" s="564"/>
      <c r="CY151" s="564"/>
      <c r="CZ151" s="564"/>
      <c r="DA151" s="564"/>
      <c r="DB151" s="564"/>
      <c r="DC151" s="564"/>
      <c r="DD151" s="564"/>
      <c r="DE151" s="564"/>
      <c r="DF151" s="564"/>
      <c r="DG151" s="564"/>
      <c r="DH151" s="564"/>
      <c r="DI151" s="564"/>
      <c r="DJ151" s="564"/>
      <c r="DK151" s="564"/>
      <c r="DL151" s="564"/>
      <c r="DM151" s="564"/>
      <c r="DN151" s="564"/>
      <c r="DO151" s="564"/>
      <c r="DP151" s="564"/>
      <c r="DQ151" s="564"/>
      <c r="DR151" s="564"/>
      <c r="DS151" s="564"/>
      <c r="DT151" s="564"/>
      <c r="DU151" s="564"/>
      <c r="DV151" s="564"/>
      <c r="DW151" s="564"/>
      <c r="DX151" s="564"/>
      <c r="DY151" s="564"/>
      <c r="DZ151" s="564"/>
      <c r="EA151" s="564"/>
      <c r="EB151" s="564"/>
      <c r="EC151" s="564"/>
      <c r="ED151" s="564"/>
      <c r="EE151" s="564"/>
      <c r="EF151" s="564"/>
      <c r="EG151" s="564"/>
      <c r="EH151" s="564"/>
      <c r="EI151" s="564"/>
      <c r="EJ151" s="564"/>
      <c r="EK151" s="564"/>
      <c r="EL151" s="564"/>
      <c r="EM151" s="564"/>
      <c r="EN151" s="564"/>
      <c r="EO151" s="564"/>
      <c r="EP151" s="564"/>
      <c r="EQ151" s="564"/>
      <c r="ER151" s="564"/>
      <c r="ES151" s="564"/>
      <c r="ET151" s="564"/>
      <c r="EU151" s="564"/>
      <c r="EV151" s="564"/>
      <c r="EW151" s="564"/>
      <c r="EX151" s="564"/>
      <c r="EY151" s="564"/>
      <c r="EZ151" s="564"/>
      <c r="FA151" s="564"/>
      <c r="FB151" s="564"/>
      <c r="FC151" s="564"/>
      <c r="FD151" s="564"/>
      <c r="FE151" s="564"/>
      <c r="FF151" s="564"/>
      <c r="FG151" s="564"/>
      <c r="FH151" s="564"/>
      <c r="FI151" s="564"/>
      <c r="FJ151" s="564"/>
      <c r="FK151" s="564"/>
      <c r="FL151" s="564"/>
      <c r="FM151" s="564"/>
      <c r="FN151" s="564"/>
      <c r="FO151" s="564"/>
      <c r="FP151" s="564"/>
      <c r="FQ151" s="564"/>
      <c r="FR151" s="564"/>
      <c r="FS151" s="564"/>
      <c r="FT151" s="564"/>
      <c r="FU151" s="564"/>
      <c r="FV151" s="564"/>
      <c r="FW151" s="564"/>
      <c r="FX151" s="564"/>
      <c r="FY151" s="564"/>
      <c r="FZ151" s="564"/>
      <c r="GA151" s="564"/>
      <c r="GB151" s="564"/>
      <c r="GC151" s="564"/>
      <c r="GD151" s="564"/>
      <c r="GE151" s="564"/>
      <c r="GF151" s="564"/>
      <c r="GG151" s="564"/>
      <c r="GH151" s="564"/>
      <c r="GI151" s="564"/>
      <c r="GJ151" s="564"/>
    </row>
    <row r="152" spans="1:192" s="538" customFormat="1" x14ac:dyDescent="0.2">
      <c r="B152" s="5" t="str">
        <f>IF('A3. INPUT Unit Costs'!C73="","",'A3. INPUT Unit Costs'!C73)</f>
        <v/>
      </c>
      <c r="D152" s="269">
        <f>'A3. INPUT Unit Costs'!D73</f>
        <v>0</v>
      </c>
      <c r="E152" s="460" t="e">
        <f>'A3. INPUT Unit Costs'!H73</f>
        <v>#N/A</v>
      </c>
      <c r="F152" s="16" t="e">
        <f t="shared" si="113"/>
        <v>#N/A</v>
      </c>
      <c r="G152" s="16" t="e">
        <f t="shared" si="104"/>
        <v>#N/A</v>
      </c>
      <c r="H152" s="16" t="e">
        <f t="shared" si="104"/>
        <v>#N/A</v>
      </c>
      <c r="I152" s="16" t="e">
        <f t="shared" si="104"/>
        <v>#N/A</v>
      </c>
      <c r="J152" s="16" t="e">
        <f t="shared" si="104"/>
        <v>#N/A</v>
      </c>
      <c r="K152" s="16" t="e">
        <f t="shared" si="104"/>
        <v>#N/A</v>
      </c>
      <c r="L152" s="16" t="e">
        <f t="shared" si="105"/>
        <v>#N/A</v>
      </c>
      <c r="M152" s="16"/>
      <c r="Q152" s="300" t="e">
        <f t="shared" si="106"/>
        <v>#N/A</v>
      </c>
      <c r="R152" s="300" t="e">
        <f t="shared" si="107"/>
        <v>#N/A</v>
      </c>
      <c r="S152" s="300" t="e">
        <f t="shared" si="108"/>
        <v>#N/A</v>
      </c>
      <c r="T152" s="300" t="e">
        <f t="shared" si="109"/>
        <v>#N/A</v>
      </c>
      <c r="U152" s="300" t="e">
        <f t="shared" si="110"/>
        <v>#N/A</v>
      </c>
      <c r="V152" s="300" t="e">
        <f t="shared" si="111"/>
        <v>#N/A</v>
      </c>
      <c r="W152" s="300" t="e">
        <f t="shared" si="112"/>
        <v>#N/A</v>
      </c>
      <c r="Z152" s="564"/>
      <c r="AA152" s="564"/>
      <c r="AB152" s="564"/>
      <c r="AC152" s="564"/>
      <c r="AD152" s="564"/>
      <c r="AE152" s="564"/>
      <c r="AF152" s="564"/>
      <c r="AG152" s="564"/>
      <c r="AH152" s="564"/>
      <c r="AI152" s="564"/>
      <c r="AJ152" s="564"/>
      <c r="AK152" s="564"/>
      <c r="AL152" s="564"/>
      <c r="AM152" s="564"/>
      <c r="AN152" s="564"/>
      <c r="AO152" s="564"/>
      <c r="AP152" s="564"/>
      <c r="AQ152" s="564"/>
      <c r="AR152" s="564"/>
      <c r="AS152" s="564"/>
      <c r="AT152" s="564"/>
      <c r="AU152" s="564"/>
      <c r="AV152" s="564"/>
      <c r="AW152" s="564"/>
      <c r="AX152" s="564"/>
      <c r="AY152" s="564"/>
      <c r="AZ152" s="564"/>
      <c r="BA152" s="564"/>
      <c r="BB152" s="564"/>
      <c r="BC152" s="564"/>
      <c r="BD152" s="564"/>
      <c r="BE152" s="564"/>
      <c r="BF152" s="564"/>
      <c r="BG152" s="564"/>
      <c r="BH152" s="564"/>
      <c r="BI152" s="564"/>
      <c r="BJ152" s="564"/>
      <c r="BK152" s="564"/>
      <c r="BL152" s="564"/>
      <c r="BM152" s="564"/>
      <c r="BN152" s="564"/>
      <c r="BO152" s="564"/>
      <c r="BP152" s="564"/>
      <c r="BQ152" s="564"/>
      <c r="BR152" s="564"/>
      <c r="BS152" s="564"/>
      <c r="BT152" s="564"/>
      <c r="BU152" s="564"/>
      <c r="BV152" s="564"/>
      <c r="BW152" s="564"/>
      <c r="BX152" s="564"/>
      <c r="BY152" s="564"/>
      <c r="BZ152" s="564"/>
      <c r="CA152" s="564"/>
      <c r="CB152" s="564"/>
      <c r="CC152" s="564"/>
      <c r="CD152" s="564"/>
      <c r="CE152" s="564"/>
      <c r="CF152" s="564"/>
      <c r="CG152" s="564"/>
      <c r="CH152" s="564"/>
      <c r="CI152" s="564"/>
      <c r="CJ152" s="564"/>
      <c r="CK152" s="564"/>
      <c r="CL152" s="564"/>
      <c r="CM152" s="564"/>
      <c r="CN152" s="564"/>
      <c r="CO152" s="564"/>
      <c r="CP152" s="564"/>
      <c r="CQ152" s="564"/>
      <c r="CR152" s="564"/>
      <c r="CS152" s="564"/>
      <c r="CT152" s="564"/>
      <c r="CU152" s="564"/>
      <c r="CV152" s="564"/>
      <c r="CW152" s="564"/>
      <c r="CX152" s="564"/>
      <c r="CY152" s="564"/>
      <c r="CZ152" s="564"/>
      <c r="DA152" s="564"/>
      <c r="DB152" s="564"/>
      <c r="DC152" s="564"/>
      <c r="DD152" s="564"/>
      <c r="DE152" s="564"/>
      <c r="DF152" s="564"/>
      <c r="DG152" s="564"/>
      <c r="DH152" s="564"/>
      <c r="DI152" s="564"/>
      <c r="DJ152" s="564"/>
      <c r="DK152" s="564"/>
      <c r="DL152" s="564"/>
      <c r="DM152" s="564"/>
      <c r="DN152" s="564"/>
      <c r="DO152" s="564"/>
      <c r="DP152" s="564"/>
      <c r="DQ152" s="564"/>
      <c r="DR152" s="564"/>
      <c r="DS152" s="564"/>
      <c r="DT152" s="564"/>
      <c r="DU152" s="564"/>
      <c r="DV152" s="564"/>
      <c r="DW152" s="564"/>
      <c r="DX152" s="564"/>
      <c r="DY152" s="564"/>
      <c r="DZ152" s="564"/>
      <c r="EA152" s="564"/>
      <c r="EB152" s="564"/>
      <c r="EC152" s="564"/>
      <c r="ED152" s="564"/>
      <c r="EE152" s="564"/>
      <c r="EF152" s="564"/>
      <c r="EG152" s="564"/>
      <c r="EH152" s="564"/>
      <c r="EI152" s="564"/>
      <c r="EJ152" s="564"/>
      <c r="EK152" s="564"/>
      <c r="EL152" s="564"/>
      <c r="EM152" s="564"/>
      <c r="EN152" s="564"/>
      <c r="EO152" s="564"/>
      <c r="EP152" s="564"/>
      <c r="EQ152" s="564"/>
      <c r="ER152" s="564"/>
      <c r="ES152" s="564"/>
      <c r="ET152" s="564"/>
      <c r="EU152" s="564"/>
      <c r="EV152" s="564"/>
      <c r="EW152" s="564"/>
      <c r="EX152" s="564"/>
      <c r="EY152" s="564"/>
      <c r="EZ152" s="564"/>
      <c r="FA152" s="564"/>
      <c r="FB152" s="564"/>
      <c r="FC152" s="564"/>
      <c r="FD152" s="564"/>
      <c r="FE152" s="564"/>
      <c r="FF152" s="564"/>
      <c r="FG152" s="564"/>
      <c r="FH152" s="564"/>
      <c r="FI152" s="564"/>
      <c r="FJ152" s="564"/>
      <c r="FK152" s="564"/>
      <c r="FL152" s="564"/>
      <c r="FM152" s="564"/>
      <c r="FN152" s="564"/>
      <c r="FO152" s="564"/>
      <c r="FP152" s="564"/>
      <c r="FQ152" s="564"/>
      <c r="FR152" s="564"/>
      <c r="FS152" s="564"/>
      <c r="FT152" s="564"/>
      <c r="FU152" s="564"/>
      <c r="FV152" s="564"/>
      <c r="FW152" s="564"/>
      <c r="FX152" s="564"/>
      <c r="FY152" s="564"/>
      <c r="FZ152" s="564"/>
      <c r="GA152" s="564"/>
      <c r="GB152" s="564"/>
      <c r="GC152" s="564"/>
      <c r="GD152" s="564"/>
      <c r="GE152" s="564"/>
      <c r="GF152" s="564"/>
      <c r="GG152" s="564"/>
      <c r="GH152" s="564"/>
      <c r="GI152" s="564"/>
      <c r="GJ152" s="564"/>
    </row>
    <row r="153" spans="1:192" s="538" customFormat="1" x14ac:dyDescent="0.2">
      <c r="B153" s="5" t="str">
        <f>IF('A3. INPUT Unit Costs'!C74="","",'A3. INPUT Unit Costs'!C74)</f>
        <v/>
      </c>
      <c r="D153" s="269">
        <f>'A3. INPUT Unit Costs'!D74</f>
        <v>0</v>
      </c>
      <c r="E153" s="460" t="e">
        <f>'A3. INPUT Unit Costs'!H74</f>
        <v>#N/A</v>
      </c>
      <c r="F153" s="16" t="e">
        <f t="shared" si="113"/>
        <v>#N/A</v>
      </c>
      <c r="G153" s="16" t="e">
        <f t="shared" si="104"/>
        <v>#N/A</v>
      </c>
      <c r="H153" s="16" t="e">
        <f t="shared" si="104"/>
        <v>#N/A</v>
      </c>
      <c r="I153" s="16" t="e">
        <f t="shared" si="104"/>
        <v>#N/A</v>
      </c>
      <c r="J153" s="16" t="e">
        <f t="shared" si="104"/>
        <v>#N/A</v>
      </c>
      <c r="K153" s="16" t="e">
        <f t="shared" si="104"/>
        <v>#N/A</v>
      </c>
      <c r="L153" s="16" t="e">
        <f t="shared" si="105"/>
        <v>#N/A</v>
      </c>
      <c r="M153" s="16"/>
      <c r="Q153" s="300" t="e">
        <f t="shared" si="106"/>
        <v>#N/A</v>
      </c>
      <c r="R153" s="300" t="e">
        <f t="shared" si="107"/>
        <v>#N/A</v>
      </c>
      <c r="S153" s="300" t="e">
        <f t="shared" si="108"/>
        <v>#N/A</v>
      </c>
      <c r="T153" s="300" t="e">
        <f t="shared" si="109"/>
        <v>#N/A</v>
      </c>
      <c r="U153" s="300" t="e">
        <f t="shared" si="110"/>
        <v>#N/A</v>
      </c>
      <c r="V153" s="300" t="e">
        <f t="shared" si="111"/>
        <v>#N/A</v>
      </c>
      <c r="W153" s="300" t="e">
        <f t="shared" si="112"/>
        <v>#N/A</v>
      </c>
      <c r="Z153" s="564"/>
      <c r="AA153" s="564"/>
      <c r="AB153" s="564"/>
      <c r="AC153" s="564"/>
      <c r="AD153" s="564"/>
      <c r="AE153" s="564"/>
      <c r="AF153" s="564"/>
      <c r="AG153" s="564"/>
      <c r="AH153" s="564"/>
      <c r="AI153" s="564"/>
      <c r="AJ153" s="564"/>
      <c r="AK153" s="564"/>
      <c r="AL153" s="564"/>
      <c r="AM153" s="564"/>
      <c r="AN153" s="564"/>
      <c r="AO153" s="564"/>
      <c r="AP153" s="564"/>
      <c r="AQ153" s="564"/>
      <c r="AR153" s="564"/>
      <c r="AS153" s="564"/>
      <c r="AT153" s="564"/>
      <c r="AU153" s="564"/>
      <c r="AV153" s="564"/>
      <c r="AW153" s="564"/>
      <c r="AX153" s="564"/>
      <c r="AY153" s="564"/>
      <c r="AZ153" s="564"/>
      <c r="BA153" s="564"/>
      <c r="BB153" s="564"/>
      <c r="BC153" s="564"/>
      <c r="BD153" s="564"/>
      <c r="BE153" s="564"/>
      <c r="BF153" s="564"/>
      <c r="BG153" s="564"/>
      <c r="BH153" s="564"/>
      <c r="BI153" s="564"/>
      <c r="BJ153" s="564"/>
      <c r="BK153" s="564"/>
      <c r="BL153" s="564"/>
      <c r="BM153" s="564"/>
      <c r="BN153" s="564"/>
      <c r="BO153" s="564"/>
      <c r="BP153" s="564"/>
      <c r="BQ153" s="564"/>
      <c r="BR153" s="564"/>
      <c r="BS153" s="564"/>
      <c r="BT153" s="564"/>
      <c r="BU153" s="564"/>
      <c r="BV153" s="564"/>
      <c r="BW153" s="564"/>
      <c r="BX153" s="564"/>
      <c r="BY153" s="564"/>
      <c r="BZ153" s="564"/>
      <c r="CA153" s="564"/>
      <c r="CB153" s="564"/>
      <c r="CC153" s="564"/>
      <c r="CD153" s="564"/>
      <c r="CE153" s="564"/>
      <c r="CF153" s="564"/>
      <c r="CG153" s="564"/>
      <c r="CH153" s="564"/>
      <c r="CI153" s="564"/>
      <c r="CJ153" s="564"/>
      <c r="CK153" s="564"/>
      <c r="CL153" s="564"/>
      <c r="CM153" s="564"/>
      <c r="CN153" s="564"/>
      <c r="CO153" s="564"/>
      <c r="CP153" s="564"/>
      <c r="CQ153" s="564"/>
      <c r="CR153" s="564"/>
      <c r="CS153" s="564"/>
      <c r="CT153" s="564"/>
      <c r="CU153" s="564"/>
      <c r="CV153" s="564"/>
      <c r="CW153" s="564"/>
      <c r="CX153" s="564"/>
      <c r="CY153" s="564"/>
      <c r="CZ153" s="564"/>
      <c r="DA153" s="564"/>
      <c r="DB153" s="564"/>
      <c r="DC153" s="564"/>
      <c r="DD153" s="564"/>
      <c r="DE153" s="564"/>
      <c r="DF153" s="564"/>
      <c r="DG153" s="564"/>
      <c r="DH153" s="564"/>
      <c r="DI153" s="564"/>
      <c r="DJ153" s="564"/>
      <c r="DK153" s="564"/>
      <c r="DL153" s="564"/>
      <c r="DM153" s="564"/>
      <c r="DN153" s="564"/>
      <c r="DO153" s="564"/>
      <c r="DP153" s="564"/>
      <c r="DQ153" s="564"/>
      <c r="DR153" s="564"/>
      <c r="DS153" s="564"/>
      <c r="DT153" s="564"/>
      <c r="DU153" s="564"/>
      <c r="DV153" s="564"/>
      <c r="DW153" s="564"/>
      <c r="DX153" s="564"/>
      <c r="DY153" s="564"/>
      <c r="DZ153" s="564"/>
      <c r="EA153" s="564"/>
      <c r="EB153" s="564"/>
      <c r="EC153" s="564"/>
      <c r="ED153" s="564"/>
      <c r="EE153" s="564"/>
      <c r="EF153" s="564"/>
      <c r="EG153" s="564"/>
      <c r="EH153" s="564"/>
      <c r="EI153" s="564"/>
      <c r="EJ153" s="564"/>
      <c r="EK153" s="564"/>
      <c r="EL153" s="564"/>
      <c r="EM153" s="564"/>
      <c r="EN153" s="564"/>
      <c r="EO153" s="564"/>
      <c r="EP153" s="564"/>
      <c r="EQ153" s="564"/>
      <c r="ER153" s="564"/>
      <c r="ES153" s="564"/>
      <c r="ET153" s="564"/>
      <c r="EU153" s="564"/>
      <c r="EV153" s="564"/>
      <c r="EW153" s="564"/>
      <c r="EX153" s="564"/>
      <c r="EY153" s="564"/>
      <c r="EZ153" s="564"/>
      <c r="FA153" s="564"/>
      <c r="FB153" s="564"/>
      <c r="FC153" s="564"/>
      <c r="FD153" s="564"/>
      <c r="FE153" s="564"/>
      <c r="FF153" s="564"/>
      <c r="FG153" s="564"/>
      <c r="FH153" s="564"/>
      <c r="FI153" s="564"/>
      <c r="FJ153" s="564"/>
      <c r="FK153" s="564"/>
      <c r="FL153" s="564"/>
      <c r="FM153" s="564"/>
      <c r="FN153" s="564"/>
      <c r="FO153" s="564"/>
      <c r="FP153" s="564"/>
      <c r="FQ153" s="564"/>
      <c r="FR153" s="564"/>
      <c r="FS153" s="564"/>
      <c r="FT153" s="564"/>
      <c r="FU153" s="564"/>
      <c r="FV153" s="564"/>
      <c r="FW153" s="564"/>
      <c r="FX153" s="564"/>
      <c r="FY153" s="564"/>
      <c r="FZ153" s="564"/>
      <c r="GA153" s="564"/>
      <c r="GB153" s="564"/>
      <c r="GC153" s="564"/>
      <c r="GD153" s="564"/>
      <c r="GE153" s="564"/>
      <c r="GF153" s="564"/>
      <c r="GG153" s="564"/>
      <c r="GH153" s="564"/>
      <c r="GI153" s="564"/>
      <c r="GJ153" s="564"/>
    </row>
    <row r="154" spans="1:192" s="538" customFormat="1" x14ac:dyDescent="0.2">
      <c r="B154" s="5"/>
      <c r="D154" s="5"/>
      <c r="F154" s="16"/>
      <c r="G154" s="16"/>
      <c r="H154" s="16"/>
      <c r="I154" s="16"/>
      <c r="J154" s="16"/>
      <c r="K154" s="16"/>
      <c r="L154" s="16"/>
      <c r="M154" s="16"/>
      <c r="Q154" s="300"/>
      <c r="R154" s="300"/>
      <c r="S154" s="300"/>
      <c r="T154" s="300"/>
      <c r="U154" s="300"/>
      <c r="V154" s="300"/>
      <c r="W154" s="300"/>
      <c r="Z154" s="564"/>
      <c r="AA154" s="564"/>
      <c r="AB154" s="564"/>
      <c r="AC154" s="564"/>
      <c r="AD154" s="564"/>
      <c r="AE154" s="564"/>
      <c r="AF154" s="564"/>
      <c r="AG154" s="564"/>
      <c r="AH154" s="564"/>
      <c r="AI154" s="564"/>
      <c r="AJ154" s="564"/>
      <c r="AK154" s="564"/>
      <c r="AL154" s="564"/>
      <c r="AM154" s="564"/>
      <c r="AN154" s="564"/>
      <c r="AO154" s="564"/>
      <c r="AP154" s="564"/>
      <c r="AQ154" s="564"/>
      <c r="AR154" s="564"/>
      <c r="AS154" s="564"/>
      <c r="AT154" s="564"/>
      <c r="AU154" s="564"/>
      <c r="AV154" s="564"/>
      <c r="AW154" s="564"/>
      <c r="AX154" s="564"/>
      <c r="AY154" s="564"/>
      <c r="AZ154" s="564"/>
      <c r="BA154" s="564"/>
      <c r="BB154" s="564"/>
      <c r="BC154" s="564"/>
      <c r="BD154" s="564"/>
      <c r="BE154" s="564"/>
      <c r="BF154" s="564"/>
      <c r="BG154" s="564"/>
      <c r="BH154" s="564"/>
      <c r="BI154" s="564"/>
      <c r="BJ154" s="564"/>
      <c r="BK154" s="564"/>
      <c r="BL154" s="564"/>
      <c r="BM154" s="564"/>
      <c r="BN154" s="564"/>
      <c r="BO154" s="564"/>
      <c r="BP154" s="564"/>
      <c r="BQ154" s="564"/>
      <c r="BR154" s="564"/>
      <c r="BS154" s="564"/>
      <c r="BT154" s="564"/>
      <c r="BU154" s="564"/>
      <c r="BV154" s="564"/>
      <c r="BW154" s="564"/>
      <c r="BX154" s="564"/>
      <c r="BY154" s="564"/>
      <c r="BZ154" s="564"/>
      <c r="CA154" s="564"/>
      <c r="CB154" s="564"/>
      <c r="CC154" s="564"/>
      <c r="CD154" s="564"/>
      <c r="CE154" s="564"/>
      <c r="CF154" s="564"/>
      <c r="CG154" s="564"/>
      <c r="CH154" s="564"/>
      <c r="CI154" s="564"/>
      <c r="CJ154" s="564"/>
      <c r="CK154" s="564"/>
      <c r="CL154" s="564"/>
      <c r="CM154" s="564"/>
      <c r="CN154" s="564"/>
      <c r="CO154" s="564"/>
      <c r="CP154" s="564"/>
      <c r="CQ154" s="564"/>
      <c r="CR154" s="564"/>
      <c r="CS154" s="564"/>
      <c r="CT154" s="564"/>
      <c r="CU154" s="564"/>
      <c r="CV154" s="564"/>
      <c r="CW154" s="564"/>
      <c r="CX154" s="564"/>
      <c r="CY154" s="564"/>
      <c r="CZ154" s="564"/>
      <c r="DA154" s="564"/>
      <c r="DB154" s="564"/>
      <c r="DC154" s="564"/>
      <c r="DD154" s="564"/>
      <c r="DE154" s="564"/>
      <c r="DF154" s="564"/>
      <c r="DG154" s="564"/>
      <c r="DH154" s="564"/>
      <c r="DI154" s="564"/>
      <c r="DJ154" s="564"/>
      <c r="DK154" s="564"/>
      <c r="DL154" s="564"/>
      <c r="DM154" s="564"/>
      <c r="DN154" s="564"/>
      <c r="DO154" s="564"/>
      <c r="DP154" s="564"/>
      <c r="DQ154" s="564"/>
      <c r="DR154" s="564"/>
      <c r="DS154" s="564"/>
      <c r="DT154" s="564"/>
      <c r="DU154" s="564"/>
      <c r="DV154" s="564"/>
      <c r="DW154" s="564"/>
      <c r="DX154" s="564"/>
      <c r="DY154" s="564"/>
      <c r="DZ154" s="564"/>
      <c r="EA154" s="564"/>
      <c r="EB154" s="564"/>
      <c r="EC154" s="564"/>
      <c r="ED154" s="564"/>
      <c r="EE154" s="564"/>
      <c r="EF154" s="564"/>
      <c r="EG154" s="564"/>
      <c r="EH154" s="564"/>
      <c r="EI154" s="564"/>
      <c r="EJ154" s="564"/>
      <c r="EK154" s="564"/>
      <c r="EL154" s="564"/>
      <c r="EM154" s="564"/>
      <c r="EN154" s="564"/>
      <c r="EO154" s="564"/>
      <c r="EP154" s="564"/>
      <c r="EQ154" s="564"/>
      <c r="ER154" s="564"/>
      <c r="ES154" s="564"/>
      <c r="ET154" s="564"/>
      <c r="EU154" s="564"/>
      <c r="EV154" s="564"/>
      <c r="EW154" s="564"/>
      <c r="EX154" s="564"/>
      <c r="EY154" s="564"/>
      <c r="EZ154" s="564"/>
      <c r="FA154" s="564"/>
      <c r="FB154" s="564"/>
      <c r="FC154" s="564"/>
      <c r="FD154" s="564"/>
      <c r="FE154" s="564"/>
      <c r="FF154" s="564"/>
      <c r="FG154" s="564"/>
      <c r="FH154" s="564"/>
      <c r="FI154" s="564"/>
      <c r="FJ154" s="564"/>
      <c r="FK154" s="564"/>
      <c r="FL154" s="564"/>
      <c r="FM154" s="564"/>
      <c r="FN154" s="564"/>
      <c r="FO154" s="564"/>
      <c r="FP154" s="564"/>
      <c r="FQ154" s="564"/>
      <c r="FR154" s="564"/>
      <c r="FS154" s="564"/>
      <c r="FT154" s="564"/>
      <c r="FU154" s="564"/>
      <c r="FV154" s="564"/>
      <c r="FW154" s="564"/>
      <c r="FX154" s="564"/>
      <c r="FY154" s="564"/>
      <c r="FZ154" s="564"/>
      <c r="GA154" s="564"/>
      <c r="GB154" s="564"/>
      <c r="GC154" s="564"/>
      <c r="GD154" s="564"/>
      <c r="GE154" s="564"/>
      <c r="GF154" s="564"/>
      <c r="GG154" s="564"/>
      <c r="GH154" s="564"/>
      <c r="GI154" s="564"/>
      <c r="GJ154" s="564"/>
    </row>
    <row r="155" spans="1:192" s="539" customFormat="1" ht="13.5" thickBot="1" x14ac:dyDescent="0.25">
      <c r="B155" s="5"/>
      <c r="D155" s="5"/>
      <c r="F155" s="16"/>
      <c r="G155" s="16"/>
      <c r="H155" s="16"/>
      <c r="I155" s="16"/>
      <c r="J155" s="16"/>
      <c r="K155" s="16"/>
      <c r="L155" s="16"/>
      <c r="M155" s="16"/>
      <c r="N155" s="21"/>
      <c r="O155" s="21"/>
      <c r="P155" s="21" t="str">
        <f ca="1">IF(OFFSET(AP155,0,Lang_Order*Lang__B2)="","",OFFSET(AP155,0,Lang_Order*Lang__B2))</f>
        <v>Total PPE</v>
      </c>
      <c r="Q155" s="118" t="e">
        <f ca="1">SUM(Q128:Q140,Q144:Q153)</f>
        <v>#N/A</v>
      </c>
      <c r="R155" s="118" t="e">
        <f t="shared" ref="R155:W155" ca="1" si="114">SUM(R128:R140,R144:R153)</f>
        <v>#N/A</v>
      </c>
      <c r="S155" s="118" t="e">
        <f t="shared" ca="1" si="114"/>
        <v>#N/A</v>
      </c>
      <c r="T155" s="118" t="e">
        <f t="shared" ca="1" si="114"/>
        <v>#N/A</v>
      </c>
      <c r="U155" s="118" t="e">
        <f t="shared" ca="1" si="114"/>
        <v>#N/A</v>
      </c>
      <c r="V155" s="118" t="e">
        <f t="shared" ca="1" si="114"/>
        <v>#N/A</v>
      </c>
      <c r="W155" s="118" t="e">
        <f t="shared" ca="1" si="114"/>
        <v>#N/A</v>
      </c>
      <c r="Z155" s="564"/>
      <c r="AA155" s="564"/>
      <c r="AB155" s="564"/>
      <c r="AC155" s="564"/>
      <c r="AD155" s="564"/>
      <c r="AE155" s="564"/>
      <c r="AF155" s="564"/>
      <c r="AG155" s="564"/>
      <c r="AH155" s="564"/>
      <c r="AI155" s="564"/>
      <c r="AJ155" s="564"/>
      <c r="AK155" s="564"/>
      <c r="AL155" s="564"/>
      <c r="AM155" s="564"/>
      <c r="AN155" s="564"/>
      <c r="AO155" s="564"/>
      <c r="AP155" s="564" t="s">
        <v>4595</v>
      </c>
      <c r="AQ155" s="564"/>
      <c r="AR155" s="564"/>
      <c r="AS155" s="564"/>
      <c r="AT155" s="564"/>
      <c r="AU155" s="564"/>
      <c r="AV155" s="564"/>
      <c r="AW155" s="564"/>
      <c r="AX155" s="564"/>
      <c r="AY155" s="564"/>
      <c r="AZ155" s="564"/>
      <c r="BA155" s="564"/>
      <c r="BB155" s="564"/>
      <c r="BC155" s="564"/>
      <c r="BD155" s="564"/>
      <c r="BE155" s="564"/>
      <c r="BF155" s="564"/>
      <c r="BG155" s="564"/>
      <c r="BH155" s="564"/>
      <c r="BI155" s="564"/>
      <c r="BJ155" s="564"/>
      <c r="BK155" s="564"/>
      <c r="BL155" s="564"/>
      <c r="BM155" s="564"/>
      <c r="BN155" s="564" t="s">
        <v>13532</v>
      </c>
      <c r="BO155" s="564"/>
      <c r="BP155" s="564"/>
      <c r="BQ155" s="564"/>
      <c r="BR155" s="564"/>
      <c r="BS155" s="564"/>
      <c r="BT155" s="564"/>
      <c r="BU155" s="564"/>
      <c r="BV155" s="564"/>
      <c r="BW155" s="564"/>
      <c r="BX155" s="564"/>
      <c r="BY155" s="564"/>
      <c r="BZ155" s="564"/>
      <c r="CA155" s="564"/>
      <c r="CB155" s="564"/>
      <c r="CC155" s="564"/>
      <c r="CD155" s="564"/>
      <c r="CE155" s="564"/>
      <c r="CF155" s="564"/>
      <c r="CG155" s="564"/>
      <c r="CH155" s="564"/>
      <c r="CI155" s="564"/>
      <c r="CJ155" s="564"/>
      <c r="CK155" s="564"/>
      <c r="CL155" s="564" t="s">
        <v>13533</v>
      </c>
      <c r="CM155" s="564"/>
      <c r="CN155" s="564"/>
      <c r="CO155" s="564"/>
      <c r="CP155" s="564"/>
      <c r="CQ155" s="564"/>
      <c r="CR155" s="564"/>
      <c r="CS155" s="564"/>
      <c r="CT155" s="564"/>
      <c r="CU155" s="564"/>
      <c r="CV155" s="564"/>
      <c r="CW155" s="564"/>
      <c r="CX155" s="564"/>
      <c r="CY155" s="564"/>
      <c r="CZ155" s="564"/>
      <c r="DA155" s="564"/>
      <c r="DB155" s="564"/>
      <c r="DC155" s="564"/>
      <c r="DD155" s="564"/>
      <c r="DE155" s="564"/>
      <c r="DF155" s="564"/>
      <c r="DG155" s="564"/>
      <c r="DH155" s="564"/>
      <c r="DI155" s="564"/>
      <c r="DJ155" s="564" t="s">
        <v>13534</v>
      </c>
      <c r="DK155" s="564"/>
      <c r="DL155" s="564"/>
      <c r="DM155" s="564"/>
      <c r="DN155" s="564"/>
      <c r="DO155" s="564"/>
      <c r="DP155" s="564"/>
      <c r="DQ155" s="564"/>
      <c r="DR155" s="564"/>
      <c r="DS155" s="564"/>
      <c r="DT155" s="564"/>
      <c r="DU155" s="564"/>
      <c r="DV155" s="564"/>
      <c r="DW155" s="564"/>
      <c r="DX155" s="564"/>
      <c r="DY155" s="564"/>
      <c r="DZ155" s="564"/>
      <c r="EA155" s="564"/>
      <c r="EB155" s="564"/>
      <c r="EC155" s="564"/>
      <c r="ED155" s="564"/>
      <c r="EE155" s="564"/>
      <c r="EF155" s="564"/>
      <c r="EG155" s="564"/>
      <c r="EH155" s="564" t="s">
        <v>13535</v>
      </c>
      <c r="EI155" s="564"/>
      <c r="EJ155" s="564"/>
      <c r="EK155" s="564"/>
      <c r="EL155" s="564"/>
      <c r="EM155" s="564"/>
      <c r="EN155" s="564"/>
      <c r="EO155" s="564"/>
      <c r="EP155" s="564"/>
      <c r="EQ155" s="564"/>
      <c r="ER155" s="564"/>
      <c r="ES155" s="564"/>
      <c r="ET155" s="564"/>
      <c r="EU155" s="564"/>
      <c r="EV155" s="564"/>
      <c r="EW155" s="564"/>
      <c r="EX155" s="564"/>
      <c r="EY155" s="564"/>
      <c r="EZ155" s="564"/>
      <c r="FA155" s="564"/>
      <c r="FB155" s="564"/>
      <c r="FC155" s="564"/>
      <c r="FD155" s="564"/>
      <c r="FE155" s="564"/>
      <c r="FF155" s="564" t="s">
        <v>13536</v>
      </c>
      <c r="FG155" s="564"/>
      <c r="FH155" s="564"/>
      <c r="FI155" s="564"/>
      <c r="FJ155" s="564"/>
      <c r="FK155" s="564"/>
      <c r="FL155" s="564"/>
      <c r="FM155" s="564"/>
      <c r="FN155" s="564"/>
      <c r="FO155" s="564"/>
      <c r="FP155" s="564"/>
      <c r="FQ155" s="564"/>
      <c r="FR155" s="564"/>
      <c r="FS155" s="564"/>
      <c r="FT155" s="564"/>
      <c r="FU155" s="564"/>
      <c r="FV155" s="564"/>
      <c r="FW155" s="564"/>
      <c r="FX155" s="564"/>
      <c r="FY155" s="564"/>
      <c r="FZ155" s="564"/>
      <c r="GA155" s="564"/>
      <c r="GB155" s="564"/>
      <c r="GC155" s="564"/>
      <c r="GD155" s="564" t="s">
        <v>13537</v>
      </c>
      <c r="GE155" s="564"/>
      <c r="GF155" s="564"/>
      <c r="GG155" s="564"/>
      <c r="GH155" s="564"/>
      <c r="GI155" s="564"/>
      <c r="GJ155" s="564"/>
    </row>
    <row r="156" spans="1:192" s="539" customFormat="1" ht="13.5" thickTop="1" x14ac:dyDescent="0.2">
      <c r="B156" s="5"/>
      <c r="D156" s="5"/>
      <c r="F156" s="16"/>
      <c r="G156" s="16"/>
      <c r="H156" s="16"/>
      <c r="I156" s="16"/>
      <c r="J156" s="16"/>
      <c r="K156" s="16"/>
      <c r="L156" s="16"/>
      <c r="M156" s="16"/>
      <c r="Q156" s="300"/>
      <c r="R156" s="300"/>
      <c r="S156" s="300"/>
      <c r="T156" s="300"/>
      <c r="U156" s="300"/>
      <c r="V156" s="300"/>
      <c r="W156" s="300"/>
      <c r="Z156" s="564"/>
      <c r="AA156" s="564"/>
      <c r="AB156" s="564"/>
      <c r="AC156" s="564"/>
      <c r="AD156" s="564"/>
      <c r="AE156" s="564"/>
      <c r="AF156" s="564"/>
      <c r="AG156" s="564"/>
      <c r="AH156" s="564"/>
      <c r="AI156" s="564"/>
      <c r="AJ156" s="564"/>
      <c r="AK156" s="564"/>
      <c r="AL156" s="564"/>
      <c r="AM156" s="564"/>
      <c r="AN156" s="564"/>
      <c r="AO156" s="564"/>
      <c r="AP156" s="564"/>
      <c r="AQ156" s="564"/>
      <c r="AR156" s="564"/>
      <c r="AS156" s="564"/>
      <c r="AT156" s="564"/>
      <c r="AU156" s="564"/>
      <c r="AV156" s="564"/>
      <c r="AW156" s="564"/>
      <c r="AX156" s="564"/>
      <c r="AY156" s="564"/>
      <c r="AZ156" s="564"/>
      <c r="BA156" s="564"/>
      <c r="BB156" s="564"/>
      <c r="BC156" s="564"/>
      <c r="BD156" s="564"/>
      <c r="BE156" s="564"/>
      <c r="BF156" s="564"/>
      <c r="BG156" s="564"/>
      <c r="BH156" s="564"/>
      <c r="BI156" s="564"/>
      <c r="BJ156" s="564"/>
      <c r="BK156" s="564"/>
      <c r="BL156" s="564"/>
      <c r="BM156" s="564"/>
      <c r="BN156" s="564"/>
      <c r="BO156" s="564"/>
      <c r="BP156" s="564"/>
      <c r="BQ156" s="564"/>
      <c r="BR156" s="564"/>
      <c r="BS156" s="564"/>
      <c r="BT156" s="564"/>
      <c r="BU156" s="564"/>
      <c r="BV156" s="564"/>
      <c r="BW156" s="564"/>
      <c r="BX156" s="564"/>
      <c r="BY156" s="564"/>
      <c r="BZ156" s="564"/>
      <c r="CA156" s="564"/>
      <c r="CB156" s="564"/>
      <c r="CC156" s="564"/>
      <c r="CD156" s="564"/>
      <c r="CE156" s="564"/>
      <c r="CF156" s="564"/>
      <c r="CG156" s="564"/>
      <c r="CH156" s="564"/>
      <c r="CI156" s="564"/>
      <c r="CJ156" s="564"/>
      <c r="CK156" s="564"/>
      <c r="CL156" s="564"/>
      <c r="CM156" s="564"/>
      <c r="CN156" s="564"/>
      <c r="CO156" s="564"/>
      <c r="CP156" s="564"/>
      <c r="CQ156" s="564"/>
      <c r="CR156" s="564"/>
      <c r="CS156" s="564"/>
      <c r="CT156" s="564"/>
      <c r="CU156" s="564"/>
      <c r="CV156" s="564"/>
      <c r="CW156" s="564"/>
      <c r="CX156" s="564"/>
      <c r="CY156" s="564"/>
      <c r="CZ156" s="564"/>
      <c r="DA156" s="564"/>
      <c r="DB156" s="564"/>
      <c r="DC156" s="564"/>
      <c r="DD156" s="564"/>
      <c r="DE156" s="564"/>
      <c r="DF156" s="564"/>
      <c r="DG156" s="564"/>
      <c r="DH156" s="564"/>
      <c r="DI156" s="564"/>
      <c r="DJ156" s="564"/>
      <c r="DK156" s="564"/>
      <c r="DL156" s="564"/>
      <c r="DM156" s="564"/>
      <c r="DN156" s="564"/>
      <c r="DO156" s="564"/>
      <c r="DP156" s="564"/>
      <c r="DQ156" s="564"/>
      <c r="DR156" s="564"/>
      <c r="DS156" s="564"/>
      <c r="DT156" s="564"/>
      <c r="DU156" s="564"/>
      <c r="DV156" s="564"/>
      <c r="DW156" s="564"/>
      <c r="DX156" s="564"/>
      <c r="DY156" s="564"/>
      <c r="DZ156" s="564"/>
      <c r="EA156" s="564"/>
      <c r="EB156" s="564"/>
      <c r="EC156" s="564"/>
      <c r="ED156" s="564"/>
      <c r="EE156" s="564"/>
      <c r="EF156" s="564"/>
      <c r="EG156" s="564"/>
      <c r="EH156" s="564"/>
      <c r="EI156" s="564"/>
      <c r="EJ156" s="564"/>
      <c r="EK156" s="564"/>
      <c r="EL156" s="564"/>
      <c r="EM156" s="564"/>
      <c r="EN156" s="564"/>
      <c r="EO156" s="564"/>
      <c r="EP156" s="564"/>
      <c r="EQ156" s="564"/>
      <c r="ER156" s="564"/>
      <c r="ES156" s="564"/>
      <c r="ET156" s="564"/>
      <c r="EU156" s="564"/>
      <c r="EV156" s="564"/>
      <c r="EW156" s="564"/>
      <c r="EX156" s="564"/>
      <c r="EY156" s="564"/>
      <c r="EZ156" s="564"/>
      <c r="FA156" s="564"/>
      <c r="FB156" s="564"/>
      <c r="FC156" s="564"/>
      <c r="FD156" s="564"/>
      <c r="FE156" s="564"/>
      <c r="FF156" s="564"/>
      <c r="FG156" s="564"/>
      <c r="FH156" s="564"/>
      <c r="FI156" s="564"/>
      <c r="FJ156" s="564"/>
      <c r="FK156" s="564"/>
      <c r="FL156" s="564"/>
      <c r="FM156" s="564"/>
      <c r="FN156" s="564"/>
      <c r="FO156" s="564"/>
      <c r="FP156" s="564"/>
      <c r="FQ156" s="564"/>
      <c r="FR156" s="564"/>
      <c r="FS156" s="564"/>
      <c r="FT156" s="564"/>
      <c r="FU156" s="564"/>
      <c r="FV156" s="564"/>
      <c r="FW156" s="564"/>
      <c r="FX156" s="564"/>
      <c r="FY156" s="564"/>
      <c r="FZ156" s="564"/>
      <c r="GA156" s="564"/>
      <c r="GB156" s="564"/>
      <c r="GC156" s="564"/>
      <c r="GD156" s="564"/>
      <c r="GE156" s="564"/>
      <c r="GF156" s="564"/>
      <c r="GG156" s="564"/>
      <c r="GH156" s="564"/>
      <c r="GI156" s="564"/>
      <c r="GJ156" s="564"/>
    </row>
    <row r="157" spans="1:192" s="27" customFormat="1" ht="19.5" x14ac:dyDescent="0.3">
      <c r="B157" s="28"/>
      <c r="D157" s="28"/>
      <c r="F157" s="29"/>
      <c r="G157" s="29"/>
      <c r="H157" s="29"/>
      <c r="I157" s="29"/>
      <c r="J157" s="29"/>
      <c r="K157" s="29"/>
      <c r="L157" s="29"/>
      <c r="M157" s="29"/>
      <c r="Q157" s="75"/>
      <c r="R157" s="75"/>
      <c r="S157" s="75"/>
      <c r="T157" s="75"/>
      <c r="U157" s="75"/>
      <c r="V157" s="75"/>
      <c r="W157" s="75"/>
      <c r="Y157" s="299"/>
      <c r="Z157" s="564"/>
      <c r="AA157" s="564"/>
      <c r="AB157" s="564"/>
      <c r="AC157" s="564"/>
      <c r="AD157" s="564"/>
      <c r="AE157" s="564"/>
      <c r="AF157" s="564"/>
      <c r="AG157" s="564"/>
      <c r="AH157" s="564"/>
      <c r="AI157" s="564"/>
      <c r="AJ157" s="564"/>
      <c r="AK157" s="564"/>
      <c r="AL157" s="564"/>
      <c r="AM157" s="564"/>
      <c r="AN157" s="564"/>
      <c r="AO157" s="564"/>
      <c r="AP157" s="564"/>
      <c r="AQ157" s="564"/>
      <c r="AR157" s="564"/>
      <c r="AS157" s="564"/>
      <c r="AT157" s="564"/>
      <c r="AU157" s="564"/>
      <c r="AV157" s="564"/>
      <c r="AW157" s="564"/>
      <c r="AX157" s="564"/>
      <c r="AY157" s="564"/>
      <c r="AZ157" s="564"/>
      <c r="BA157" s="564"/>
      <c r="BB157" s="564"/>
      <c r="BC157" s="564"/>
      <c r="BD157" s="564"/>
      <c r="BE157" s="564"/>
      <c r="BF157" s="564"/>
      <c r="BG157" s="564"/>
      <c r="BH157" s="564"/>
      <c r="BI157" s="564"/>
      <c r="BJ157" s="564"/>
      <c r="BK157" s="564"/>
      <c r="BL157" s="564"/>
      <c r="BM157" s="564"/>
      <c r="BN157" s="564"/>
      <c r="BO157" s="564"/>
      <c r="BP157" s="564"/>
      <c r="BQ157" s="564"/>
      <c r="BR157" s="564"/>
      <c r="BS157" s="564"/>
      <c r="BT157" s="564"/>
      <c r="BU157" s="564"/>
      <c r="BV157" s="564"/>
      <c r="BW157" s="564"/>
      <c r="BX157" s="564"/>
      <c r="BY157" s="564"/>
      <c r="BZ157" s="564"/>
      <c r="CA157" s="564"/>
      <c r="CB157" s="564"/>
      <c r="CC157" s="564"/>
      <c r="CD157" s="564"/>
      <c r="CE157" s="564"/>
      <c r="CF157" s="564"/>
      <c r="CG157" s="564"/>
      <c r="CH157" s="564"/>
      <c r="CI157" s="564"/>
      <c r="CJ157" s="564"/>
      <c r="CK157" s="564"/>
      <c r="CL157" s="564"/>
      <c r="CM157" s="564"/>
      <c r="CN157" s="564"/>
      <c r="CO157" s="564"/>
      <c r="CP157" s="564"/>
      <c r="CQ157" s="564"/>
      <c r="CR157" s="564"/>
      <c r="CS157" s="564"/>
      <c r="CT157" s="564"/>
      <c r="CU157" s="564"/>
      <c r="CV157" s="564"/>
      <c r="CW157" s="564"/>
      <c r="CX157" s="564"/>
      <c r="CY157" s="564"/>
      <c r="CZ157" s="564"/>
      <c r="DA157" s="564"/>
      <c r="DB157" s="564"/>
      <c r="DC157" s="564"/>
      <c r="DD157" s="564"/>
      <c r="DE157" s="564"/>
      <c r="DF157" s="564"/>
      <c r="DG157" s="564"/>
      <c r="DH157" s="564"/>
      <c r="DI157" s="564"/>
      <c r="DJ157" s="564"/>
      <c r="DK157" s="564"/>
      <c r="DL157" s="564"/>
      <c r="DM157" s="564"/>
      <c r="DN157" s="564"/>
      <c r="DO157" s="564"/>
      <c r="DP157" s="564"/>
      <c r="DQ157" s="564"/>
      <c r="DR157" s="564"/>
      <c r="DS157" s="564"/>
      <c r="DT157" s="564"/>
      <c r="DU157" s="564"/>
      <c r="DV157" s="564"/>
      <c r="DW157" s="564"/>
      <c r="DX157" s="564"/>
      <c r="DY157" s="564"/>
      <c r="DZ157" s="564"/>
      <c r="EA157" s="564"/>
      <c r="EB157" s="564"/>
      <c r="EC157" s="564"/>
      <c r="ED157" s="564"/>
      <c r="EE157" s="564"/>
      <c r="EF157" s="564"/>
      <c r="EG157" s="564"/>
      <c r="EH157" s="564"/>
      <c r="EI157" s="564"/>
      <c r="EJ157" s="564"/>
      <c r="EK157" s="564"/>
      <c r="EL157" s="564"/>
      <c r="EM157" s="564"/>
      <c r="EN157" s="564"/>
      <c r="EO157" s="564"/>
      <c r="EP157" s="564"/>
      <c r="EQ157" s="564"/>
      <c r="ER157" s="564"/>
      <c r="ES157" s="564"/>
      <c r="ET157" s="564"/>
      <c r="EU157" s="564"/>
      <c r="EV157" s="564"/>
      <c r="EW157" s="564"/>
      <c r="EX157" s="564"/>
      <c r="EY157" s="564"/>
      <c r="EZ157" s="564"/>
      <c r="FA157" s="564"/>
      <c r="FB157" s="564"/>
      <c r="FC157" s="564"/>
      <c r="FD157" s="564"/>
      <c r="FE157" s="564"/>
      <c r="FF157" s="564"/>
      <c r="FG157" s="564"/>
      <c r="FH157" s="564"/>
      <c r="FI157" s="564"/>
      <c r="FJ157" s="564"/>
      <c r="FK157" s="564"/>
      <c r="FL157" s="564"/>
      <c r="FM157" s="564"/>
      <c r="FN157" s="564"/>
      <c r="FO157" s="564"/>
      <c r="FP157" s="564"/>
      <c r="FQ157" s="564"/>
      <c r="FR157" s="564"/>
      <c r="FS157" s="564"/>
      <c r="FT157" s="564"/>
      <c r="FU157" s="564"/>
      <c r="FV157" s="564"/>
      <c r="FW157" s="564"/>
      <c r="FX157" s="564"/>
      <c r="FY157" s="564"/>
      <c r="FZ157" s="564"/>
      <c r="GA157" s="564"/>
      <c r="GB157" s="564"/>
      <c r="GC157" s="564"/>
      <c r="GD157" s="564"/>
      <c r="GE157" s="564"/>
      <c r="GF157" s="564"/>
      <c r="GG157" s="564"/>
      <c r="GH157" s="564"/>
      <c r="GI157" s="564"/>
      <c r="GJ157" s="564"/>
    </row>
    <row r="162" spans="1:10" x14ac:dyDescent="0.2">
      <c r="A162" s="684" t="str">
        <f>WHO_Copyright</f>
        <v>© World Health Organization and the United Nations Children’s Fund (UNICEF), 2022. Some rights reserved. This work is available under the CC BY-NC-SA 3.0 IGO licence.</v>
      </c>
      <c r="B162" s="684"/>
      <c r="C162" s="684"/>
      <c r="D162" s="684"/>
      <c r="E162" s="684"/>
      <c r="F162" s="684"/>
      <c r="G162" s="684"/>
      <c r="H162" s="684"/>
      <c r="I162" s="684"/>
      <c r="J162" s="684"/>
    </row>
    <row r="163" spans="1:10" x14ac:dyDescent="0.2">
      <c r="A163" s="671" t="str">
        <f>WHO_Reference</f>
        <v>WHO reference number: WHO/2019-nCoV/Vaccine_deployment_tool/2022.1</v>
      </c>
      <c r="B163" s="671"/>
      <c r="C163" s="671"/>
      <c r="D163" s="671"/>
      <c r="E163" s="671"/>
      <c r="F163" s="671"/>
      <c r="G163" s="671"/>
      <c r="H163" s="671"/>
      <c r="I163" s="671"/>
      <c r="J163" s="671"/>
    </row>
  </sheetData>
  <sheetProtection algorithmName="SHA-512" hashValue="26uU/fHFuuOcseaZtUs/l6kXK4uBMaoadBambFjy0l+ScqKFZBSwguEzMTAUlhjBdt0zveHYefLnzjeg4a4BDw==" saltValue="IXU8UycK82BwADiiFz5PEA==" spinCount="100000" sheet="1" objects="1" scenarios="1"/>
  <mergeCells count="8">
    <mergeCell ref="A162:J162"/>
    <mergeCell ref="A163:J163"/>
    <mergeCell ref="F5:L5"/>
    <mergeCell ref="Q5:W5"/>
    <mergeCell ref="F127:K127"/>
    <mergeCell ref="Q127:V127"/>
    <mergeCell ref="F143:K143"/>
    <mergeCell ref="Q143:V143"/>
  </mergeCells>
  <conditionalFormatting sqref="M2">
    <cfRule type="containsText" dxfId="211" priority="1" operator="containsText" text="Logic checks passed">
      <formula>NOT(ISERROR(SEARCH("Logic checks passed",M2)))</formula>
    </cfRule>
  </conditionalFormatting>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0ED54-2091-4F6E-8DCC-DFEC4E376291}">
  <sheetPr codeName="Sheet11">
    <tabColor rgb="FF008DC9"/>
  </sheetPr>
  <dimension ref="A1:XEP145"/>
  <sheetViews>
    <sheetView showGridLines="0" zoomScaleNormal="100" workbookViewId="0"/>
  </sheetViews>
  <sheetFormatPr defaultRowHeight="12.75" x14ac:dyDescent="0.2"/>
  <cols>
    <col min="1" max="1" width="5" customWidth="1"/>
    <col min="2" max="2" width="47.42578125" customWidth="1"/>
    <col min="3" max="3" width="30.7109375" customWidth="1"/>
    <col min="4" max="5" width="6.28515625" style="181" hidden="1" customWidth="1"/>
    <col min="6" max="8" width="2.5703125" style="181" hidden="1" customWidth="1"/>
    <col min="9" max="14" width="14.85546875" customWidth="1"/>
    <col min="15" max="15" width="14.85546875" style="15" customWidth="1"/>
    <col min="16" max="16" width="6.28515625" hidden="1" customWidth="1"/>
    <col min="17" max="17" width="106.28515625" customWidth="1"/>
    <col min="18" max="149" width="3.42578125" style="403" hidden="1" customWidth="1"/>
  </cols>
  <sheetData>
    <row r="1" spans="1:16370" s="194" customFormat="1" ht="45" customHeight="1" x14ac:dyDescent="0.2">
      <c r="A1" s="225" t="str">
        <f ca="1">IF(OFFSET(S1,0,Lang_Order*Lang__B3)="","",OFFSET(S1,0,Lang_Order*Lang__B3))</f>
        <v>NAVIGATION BAR:</v>
      </c>
      <c r="B1" s="224"/>
      <c r="C1" s="224"/>
      <c r="D1" s="224"/>
      <c r="E1" s="224"/>
      <c r="F1" s="224"/>
      <c r="G1" s="224"/>
      <c r="H1" s="224"/>
      <c r="I1" s="224"/>
      <c r="J1" s="224"/>
      <c r="K1" s="224"/>
      <c r="L1" s="224"/>
      <c r="M1" s="224"/>
      <c r="N1" s="224"/>
      <c r="O1" s="224"/>
      <c r="P1" s="488" t="s">
        <v>3031</v>
      </c>
      <c r="Q1" s="224"/>
      <c r="R1" s="403">
        <v>19</v>
      </c>
      <c r="S1" s="403" t="s">
        <v>2910</v>
      </c>
      <c r="T1" s="403"/>
      <c r="U1" s="403"/>
      <c r="V1" s="403"/>
      <c r="W1" s="403"/>
      <c r="X1" s="403"/>
      <c r="Y1" s="403"/>
      <c r="Z1" s="403"/>
      <c r="AA1" s="403"/>
      <c r="AB1" s="403"/>
      <c r="AC1" s="403"/>
      <c r="AD1" s="403"/>
      <c r="AE1" s="403"/>
      <c r="AF1" s="403"/>
      <c r="AG1" s="403"/>
      <c r="AH1" s="403"/>
      <c r="AI1" s="403"/>
      <c r="AJ1" s="403"/>
      <c r="AK1" s="403"/>
      <c r="AL1" s="403" t="s">
        <v>4634</v>
      </c>
      <c r="AM1" s="403"/>
      <c r="AN1" s="403"/>
      <c r="AO1" s="403"/>
      <c r="AP1" s="403"/>
      <c r="AQ1" s="403"/>
      <c r="AR1" s="403"/>
      <c r="AS1" s="403"/>
      <c r="AT1" s="403"/>
      <c r="AU1" s="403"/>
      <c r="AV1" s="403"/>
      <c r="AW1" s="403"/>
      <c r="AX1" s="403"/>
      <c r="AY1" s="403"/>
      <c r="AZ1" s="403"/>
      <c r="BA1" s="403"/>
      <c r="BB1" s="403"/>
      <c r="BC1" s="403"/>
      <c r="BD1" s="403"/>
      <c r="BE1" s="403" t="s">
        <v>4635</v>
      </c>
      <c r="BF1" s="403"/>
      <c r="BG1" s="403"/>
      <c r="BH1" s="403"/>
      <c r="BI1" s="403"/>
      <c r="BJ1" s="403"/>
      <c r="BK1" s="403"/>
      <c r="BL1" s="403"/>
      <c r="BM1" s="403"/>
      <c r="BN1" s="403"/>
      <c r="BO1" s="403"/>
      <c r="BP1" s="403"/>
      <c r="BQ1" s="403"/>
      <c r="BR1" s="403"/>
      <c r="BS1" s="403"/>
      <c r="BT1" s="403"/>
      <c r="BU1" s="403"/>
      <c r="BV1" s="403"/>
      <c r="BW1" s="403"/>
      <c r="BX1" s="403" t="s">
        <v>4636</v>
      </c>
      <c r="BY1" s="403"/>
      <c r="BZ1" s="403"/>
      <c r="CA1" s="403"/>
      <c r="CB1" s="403"/>
      <c r="CC1" s="403"/>
      <c r="CD1" s="403"/>
      <c r="CE1" s="403"/>
      <c r="CF1" s="403"/>
      <c r="CG1" s="403"/>
      <c r="CH1" s="403"/>
      <c r="CI1" s="403"/>
      <c r="CJ1" s="403"/>
      <c r="CK1" s="403"/>
      <c r="CL1" s="403"/>
      <c r="CM1" s="403"/>
      <c r="CN1" s="403"/>
      <c r="CO1" s="403"/>
      <c r="CP1" s="403"/>
      <c r="CQ1" s="403" t="s">
        <v>4637</v>
      </c>
      <c r="CR1" s="403"/>
      <c r="CS1" s="403"/>
      <c r="CT1" s="403"/>
      <c r="CU1" s="403"/>
      <c r="CV1" s="403"/>
      <c r="CW1" s="403"/>
      <c r="CX1" s="403"/>
      <c r="CY1" s="403"/>
      <c r="CZ1" s="403"/>
      <c r="DA1" s="403"/>
      <c r="DB1" s="403"/>
      <c r="DC1" s="403"/>
      <c r="DD1" s="403"/>
      <c r="DE1" s="403"/>
      <c r="DF1" s="403"/>
      <c r="DG1" s="403"/>
      <c r="DH1" s="403"/>
      <c r="DI1" s="403"/>
      <c r="DJ1" s="403" t="s">
        <v>4638</v>
      </c>
      <c r="DK1" s="403"/>
      <c r="DL1" s="403"/>
      <c r="DM1" s="403"/>
      <c r="DN1" s="403"/>
      <c r="DO1" s="403"/>
      <c r="DP1" s="403"/>
      <c r="DQ1" s="403"/>
      <c r="DR1" s="403"/>
      <c r="DS1" s="403"/>
      <c r="DT1" s="403"/>
      <c r="DU1" s="403"/>
      <c r="DV1" s="403"/>
      <c r="DW1" s="403"/>
      <c r="DX1" s="403"/>
      <c r="DY1" s="403"/>
      <c r="DZ1" s="403"/>
      <c r="EA1" s="403"/>
      <c r="EB1" s="403"/>
      <c r="EC1" s="403" t="s">
        <v>4639</v>
      </c>
      <c r="ED1" s="403"/>
      <c r="EE1" s="403"/>
      <c r="EF1" s="403"/>
      <c r="EG1" s="403"/>
      <c r="EH1" s="403"/>
      <c r="EI1" s="403"/>
      <c r="EJ1" s="403"/>
      <c r="EK1" s="403"/>
      <c r="EL1" s="403"/>
      <c r="EM1" s="403"/>
      <c r="EN1" s="403"/>
      <c r="EO1" s="403"/>
      <c r="EP1" s="403"/>
      <c r="EQ1" s="403"/>
      <c r="ER1" s="403"/>
      <c r="ES1" s="403"/>
      <c r="ET1" s="224"/>
      <c r="EU1" s="224"/>
      <c r="EV1" s="224"/>
      <c r="EW1" s="224"/>
      <c r="EX1" s="224"/>
      <c r="EY1" s="224"/>
      <c r="EZ1" s="224"/>
      <c r="FA1" s="224"/>
      <c r="FB1" s="224"/>
      <c r="FC1" s="224"/>
      <c r="FD1" s="224"/>
      <c r="FE1" s="224"/>
      <c r="FF1" s="224"/>
      <c r="FG1" s="224"/>
      <c r="FH1" s="224"/>
      <c r="FI1" s="224"/>
      <c r="FJ1" s="224"/>
      <c r="FK1" s="224"/>
      <c r="FL1" s="224"/>
      <c r="FM1" s="224"/>
      <c r="FN1" s="224"/>
      <c r="FO1" s="224"/>
      <c r="FP1" s="224"/>
      <c r="FQ1" s="224"/>
      <c r="FR1" s="224"/>
      <c r="FS1" s="224"/>
      <c r="FT1" s="224"/>
      <c r="FU1" s="224"/>
      <c r="FV1" s="224"/>
      <c r="FW1" s="224"/>
      <c r="FX1" s="224"/>
      <c r="FY1" s="224"/>
      <c r="FZ1" s="224"/>
      <c r="GA1" s="224"/>
      <c r="GB1" s="224"/>
      <c r="GC1" s="224"/>
      <c r="GD1" s="224"/>
      <c r="GE1" s="224"/>
      <c r="GF1" s="224"/>
      <c r="GG1" s="224"/>
      <c r="GH1" s="224"/>
      <c r="GI1" s="224"/>
      <c r="GJ1" s="224"/>
      <c r="GK1" s="224"/>
      <c r="GL1" s="224"/>
      <c r="GM1" s="224"/>
      <c r="GN1" s="224"/>
      <c r="GO1" s="224"/>
      <c r="GP1" s="224"/>
      <c r="GQ1" s="224"/>
      <c r="GR1" s="224"/>
      <c r="GS1" s="224"/>
      <c r="GT1" s="224"/>
      <c r="GU1" s="224"/>
      <c r="GV1" s="224"/>
      <c r="GW1" s="224"/>
      <c r="GX1" s="224"/>
      <c r="GY1" s="224"/>
      <c r="GZ1" s="224"/>
      <c r="HA1" s="224"/>
      <c r="HB1" s="224"/>
      <c r="HC1" s="224"/>
      <c r="HD1" s="224"/>
      <c r="HE1" s="224"/>
      <c r="HF1" s="224"/>
      <c r="HG1" s="224"/>
      <c r="HH1" s="224"/>
      <c r="HI1" s="224"/>
      <c r="HJ1" s="224"/>
      <c r="HK1" s="224"/>
      <c r="HL1" s="224"/>
      <c r="HM1" s="224"/>
      <c r="HN1" s="224"/>
      <c r="HO1" s="224"/>
      <c r="HP1" s="224"/>
      <c r="HQ1" s="224"/>
      <c r="HR1" s="224"/>
      <c r="HS1" s="224"/>
      <c r="HT1" s="224"/>
      <c r="HU1" s="224"/>
      <c r="HV1" s="224"/>
      <c r="HW1" s="224"/>
      <c r="HX1" s="224"/>
      <c r="HY1" s="224"/>
      <c r="HZ1" s="224"/>
      <c r="IA1" s="224"/>
      <c r="IB1" s="224"/>
      <c r="IC1" s="224"/>
      <c r="ID1" s="224"/>
      <c r="IE1" s="224"/>
      <c r="IF1" s="224"/>
      <c r="IG1" s="224"/>
      <c r="IH1" s="224"/>
      <c r="II1" s="224"/>
      <c r="IJ1" s="224"/>
      <c r="IK1" s="224"/>
      <c r="IL1" s="224"/>
      <c r="IM1" s="224"/>
      <c r="IN1" s="224"/>
      <c r="IO1" s="224"/>
      <c r="IP1" s="224"/>
      <c r="IQ1" s="224"/>
      <c r="IR1" s="224"/>
      <c r="IS1" s="224"/>
      <c r="IT1" s="224"/>
      <c r="IU1" s="224"/>
      <c r="IV1" s="224"/>
      <c r="IW1" s="224"/>
      <c r="IX1" s="224"/>
      <c r="IY1" s="224"/>
      <c r="IZ1" s="224"/>
      <c r="JA1" s="224"/>
      <c r="JB1" s="224"/>
      <c r="JC1" s="224"/>
      <c r="JD1" s="224"/>
      <c r="JE1" s="224"/>
      <c r="JF1" s="224"/>
      <c r="JG1" s="224"/>
      <c r="JH1" s="224"/>
      <c r="JI1" s="224"/>
      <c r="JJ1" s="224"/>
      <c r="JK1" s="224"/>
      <c r="JL1" s="224"/>
      <c r="JM1" s="224"/>
      <c r="JN1" s="224"/>
      <c r="JO1" s="224"/>
      <c r="JP1" s="224"/>
      <c r="JQ1" s="224"/>
      <c r="JR1" s="224"/>
      <c r="JS1" s="224"/>
      <c r="JT1" s="224"/>
      <c r="JU1" s="224"/>
      <c r="JV1" s="224"/>
      <c r="JW1" s="224"/>
      <c r="JX1" s="224"/>
      <c r="JY1" s="224"/>
      <c r="JZ1" s="224"/>
      <c r="KA1" s="224"/>
      <c r="KB1" s="224"/>
      <c r="KC1" s="224"/>
      <c r="KD1" s="224"/>
      <c r="KE1" s="224"/>
      <c r="KF1" s="224"/>
      <c r="KG1" s="224"/>
      <c r="KH1" s="224"/>
      <c r="KI1" s="224"/>
      <c r="KJ1" s="224"/>
      <c r="KK1" s="224"/>
      <c r="KL1" s="224"/>
      <c r="KM1" s="224"/>
      <c r="KN1" s="224"/>
      <c r="KO1" s="224"/>
      <c r="KP1" s="224"/>
      <c r="KQ1" s="224"/>
      <c r="KR1" s="224"/>
      <c r="KS1" s="224"/>
      <c r="KT1" s="224"/>
      <c r="KU1" s="224"/>
      <c r="KV1" s="224"/>
      <c r="KW1" s="224"/>
      <c r="KX1" s="224"/>
      <c r="KY1" s="224"/>
      <c r="KZ1" s="224"/>
      <c r="LA1" s="224"/>
      <c r="LB1" s="224"/>
      <c r="LC1" s="224"/>
      <c r="LD1" s="224"/>
      <c r="LE1" s="224"/>
      <c r="LF1" s="224"/>
      <c r="LG1" s="224"/>
      <c r="LH1" s="224"/>
      <c r="LI1" s="224"/>
      <c r="LJ1" s="224"/>
      <c r="LK1" s="224"/>
      <c r="LL1" s="224"/>
      <c r="LM1" s="224"/>
      <c r="LN1" s="224"/>
      <c r="LO1" s="224"/>
      <c r="LP1" s="224"/>
      <c r="LQ1" s="224"/>
      <c r="LR1" s="224"/>
      <c r="LS1" s="224"/>
      <c r="LT1" s="224"/>
      <c r="LU1" s="224"/>
      <c r="LV1" s="224"/>
      <c r="LW1" s="224"/>
      <c r="LX1" s="224"/>
      <c r="LY1" s="224"/>
      <c r="LZ1" s="224"/>
      <c r="MA1" s="224"/>
      <c r="MB1" s="224"/>
      <c r="MC1" s="224"/>
      <c r="MD1" s="224"/>
      <c r="ME1" s="224"/>
      <c r="MF1" s="224"/>
      <c r="MG1" s="224"/>
      <c r="MH1" s="224"/>
      <c r="MI1" s="224"/>
      <c r="MJ1" s="224"/>
      <c r="MK1" s="224"/>
      <c r="ML1" s="224"/>
      <c r="MM1" s="224"/>
      <c r="MN1" s="224"/>
      <c r="MO1" s="224"/>
      <c r="MP1" s="224"/>
      <c r="MQ1" s="224"/>
      <c r="MR1" s="224"/>
      <c r="MS1" s="224"/>
      <c r="MT1" s="224"/>
      <c r="MU1" s="224"/>
      <c r="MV1" s="224"/>
      <c r="MW1" s="224"/>
      <c r="MX1" s="224"/>
      <c r="MY1" s="224"/>
      <c r="MZ1" s="224"/>
      <c r="NA1" s="224"/>
      <c r="NB1" s="224"/>
      <c r="NC1" s="224"/>
      <c r="ND1" s="224"/>
      <c r="NE1" s="224"/>
      <c r="NF1" s="224"/>
      <c r="NG1" s="224"/>
      <c r="NH1" s="224"/>
      <c r="NI1" s="224"/>
      <c r="NJ1" s="224"/>
      <c r="NK1" s="224"/>
      <c r="NL1" s="224"/>
      <c r="NM1" s="224"/>
      <c r="NN1" s="224"/>
      <c r="NO1" s="224"/>
      <c r="NP1" s="224"/>
      <c r="NQ1" s="224"/>
      <c r="NR1" s="224"/>
      <c r="NS1" s="224"/>
      <c r="NT1" s="224"/>
      <c r="NU1" s="224"/>
      <c r="NV1" s="224"/>
      <c r="NW1" s="224"/>
      <c r="NX1" s="224"/>
      <c r="NY1" s="224"/>
      <c r="NZ1" s="224"/>
      <c r="OA1" s="224"/>
      <c r="OB1" s="224"/>
      <c r="OC1" s="224"/>
      <c r="OD1" s="224"/>
      <c r="OE1" s="224"/>
      <c r="OF1" s="224"/>
      <c r="OG1" s="224"/>
      <c r="OH1" s="224"/>
      <c r="OI1" s="224"/>
      <c r="OJ1" s="224"/>
      <c r="OK1" s="224"/>
      <c r="OL1" s="224"/>
      <c r="OM1" s="224"/>
      <c r="ON1" s="224"/>
      <c r="OO1" s="224"/>
      <c r="OP1" s="224"/>
      <c r="OQ1" s="224"/>
      <c r="OR1" s="224"/>
      <c r="OS1" s="224"/>
      <c r="OT1" s="224"/>
      <c r="OU1" s="224"/>
      <c r="OV1" s="224"/>
      <c r="OW1" s="224"/>
      <c r="OX1" s="224"/>
      <c r="OY1" s="224"/>
      <c r="OZ1" s="224"/>
      <c r="PA1" s="224"/>
      <c r="PB1" s="224"/>
      <c r="PC1" s="224"/>
      <c r="PD1" s="224"/>
      <c r="PE1" s="224"/>
      <c r="PF1" s="224"/>
      <c r="PG1" s="224"/>
      <c r="PH1" s="224"/>
      <c r="PI1" s="224"/>
      <c r="PJ1" s="224"/>
      <c r="PK1" s="224"/>
      <c r="PL1" s="224"/>
      <c r="PM1" s="224"/>
      <c r="PN1" s="224"/>
      <c r="PO1" s="224"/>
      <c r="PP1" s="224"/>
      <c r="PQ1" s="224"/>
      <c r="PR1" s="224"/>
      <c r="PS1" s="224"/>
      <c r="PT1" s="224"/>
      <c r="PU1" s="224"/>
      <c r="PV1" s="224"/>
      <c r="PW1" s="224"/>
      <c r="PX1" s="224"/>
      <c r="PY1" s="224"/>
      <c r="PZ1" s="224"/>
      <c r="QA1" s="224"/>
      <c r="QB1" s="224"/>
      <c r="QC1" s="224"/>
      <c r="QD1" s="224"/>
      <c r="QE1" s="224"/>
      <c r="QF1" s="224"/>
      <c r="QG1" s="224"/>
      <c r="QH1" s="224"/>
      <c r="QI1" s="224"/>
      <c r="QJ1" s="224"/>
      <c r="QK1" s="224"/>
      <c r="QL1" s="224"/>
      <c r="QM1" s="224"/>
      <c r="QN1" s="224"/>
      <c r="QO1" s="224"/>
      <c r="QP1" s="224"/>
      <c r="QQ1" s="224"/>
      <c r="QR1" s="224"/>
      <c r="QS1" s="224"/>
      <c r="QT1" s="224"/>
      <c r="QU1" s="224"/>
      <c r="QV1" s="224"/>
      <c r="QW1" s="224"/>
      <c r="QX1" s="224"/>
      <c r="QY1" s="224"/>
      <c r="QZ1" s="224"/>
      <c r="RA1" s="224"/>
      <c r="RB1" s="224"/>
      <c r="RC1" s="224"/>
      <c r="RD1" s="224"/>
      <c r="RE1" s="224"/>
      <c r="RF1" s="224"/>
      <c r="RG1" s="224"/>
      <c r="RH1" s="224"/>
      <c r="RI1" s="224"/>
      <c r="RJ1" s="224"/>
      <c r="RK1" s="224"/>
      <c r="RL1" s="224"/>
      <c r="RM1" s="224"/>
      <c r="RN1" s="224"/>
      <c r="RO1" s="224"/>
      <c r="RP1" s="224"/>
      <c r="RQ1" s="224"/>
      <c r="RR1" s="224"/>
      <c r="RS1" s="224"/>
      <c r="RT1" s="224"/>
      <c r="RU1" s="224"/>
      <c r="RV1" s="224"/>
      <c r="RW1" s="224"/>
      <c r="RX1" s="224"/>
      <c r="RY1" s="224"/>
      <c r="RZ1" s="224"/>
      <c r="SA1" s="224"/>
      <c r="SB1" s="224"/>
      <c r="SC1" s="224"/>
      <c r="SD1" s="224"/>
      <c r="SE1" s="224"/>
      <c r="SF1" s="224"/>
      <c r="SG1" s="224"/>
      <c r="SH1" s="224"/>
      <c r="SI1" s="224"/>
      <c r="SJ1" s="224"/>
      <c r="SK1" s="224"/>
      <c r="SL1" s="224"/>
      <c r="SM1" s="224"/>
      <c r="SN1" s="224"/>
      <c r="SO1" s="224"/>
      <c r="SP1" s="224"/>
      <c r="SQ1" s="224"/>
      <c r="SR1" s="224"/>
      <c r="SS1" s="224"/>
      <c r="ST1" s="224"/>
      <c r="SU1" s="224"/>
      <c r="SV1" s="224"/>
      <c r="SW1" s="224"/>
      <c r="SX1" s="224"/>
      <c r="SY1" s="224"/>
      <c r="SZ1" s="224"/>
      <c r="TA1" s="224"/>
      <c r="TB1" s="224"/>
      <c r="TC1" s="224"/>
      <c r="TD1" s="224"/>
      <c r="TE1" s="224"/>
      <c r="TF1" s="224"/>
      <c r="TG1" s="224"/>
      <c r="TH1" s="224"/>
      <c r="TI1" s="224"/>
      <c r="TJ1" s="224"/>
      <c r="TK1" s="224"/>
      <c r="TL1" s="224"/>
      <c r="TM1" s="224"/>
      <c r="TN1" s="224"/>
      <c r="TO1" s="224"/>
      <c r="TP1" s="224"/>
      <c r="TQ1" s="224"/>
      <c r="TR1" s="224"/>
      <c r="TS1" s="224"/>
      <c r="TT1" s="224"/>
      <c r="TU1" s="224"/>
      <c r="TV1" s="224"/>
      <c r="TW1" s="224"/>
      <c r="TX1" s="224"/>
      <c r="TY1" s="224"/>
      <c r="TZ1" s="224"/>
      <c r="UA1" s="224"/>
      <c r="UB1" s="224"/>
      <c r="UC1" s="224"/>
      <c r="UD1" s="224"/>
      <c r="UE1" s="224"/>
      <c r="UF1" s="224"/>
      <c r="UG1" s="224"/>
      <c r="UH1" s="224"/>
      <c r="UI1" s="224"/>
      <c r="UJ1" s="224"/>
      <c r="UK1" s="224"/>
      <c r="UL1" s="224"/>
      <c r="UM1" s="224"/>
      <c r="UN1" s="224"/>
      <c r="UO1" s="224"/>
      <c r="UP1" s="224"/>
      <c r="UQ1" s="224"/>
      <c r="UR1" s="224"/>
      <c r="US1" s="224"/>
      <c r="UT1" s="224"/>
      <c r="UU1" s="224"/>
      <c r="UV1" s="224"/>
      <c r="UW1" s="224"/>
      <c r="UX1" s="224"/>
      <c r="UY1" s="224"/>
      <c r="UZ1" s="224"/>
      <c r="VA1" s="224"/>
      <c r="VB1" s="224"/>
      <c r="VC1" s="224"/>
      <c r="VD1" s="224"/>
      <c r="VE1" s="224"/>
      <c r="VF1" s="224"/>
      <c r="VG1" s="224"/>
      <c r="VH1" s="224"/>
      <c r="VI1" s="224"/>
      <c r="VJ1" s="224"/>
      <c r="VK1" s="224"/>
      <c r="VL1" s="224"/>
      <c r="VM1" s="224"/>
      <c r="VN1" s="224"/>
      <c r="VO1" s="224"/>
      <c r="VP1" s="224"/>
      <c r="VQ1" s="224"/>
      <c r="VR1" s="224"/>
      <c r="VS1" s="224"/>
      <c r="VT1" s="224"/>
      <c r="VU1" s="224"/>
      <c r="VV1" s="224"/>
      <c r="VW1" s="224"/>
      <c r="VX1" s="224"/>
      <c r="VY1" s="224"/>
      <c r="VZ1" s="224"/>
      <c r="WA1" s="224"/>
      <c r="WB1" s="224"/>
      <c r="WC1" s="224"/>
      <c r="WD1" s="224"/>
      <c r="WE1" s="224"/>
      <c r="WF1" s="224"/>
      <c r="WG1" s="224"/>
      <c r="WH1" s="224"/>
      <c r="WI1" s="224"/>
      <c r="WJ1" s="224"/>
      <c r="WK1" s="224"/>
      <c r="WL1" s="224"/>
      <c r="WM1" s="224"/>
      <c r="WN1" s="224"/>
      <c r="WO1" s="224"/>
      <c r="WP1" s="224"/>
      <c r="WQ1" s="224"/>
      <c r="WR1" s="224"/>
      <c r="WS1" s="224"/>
      <c r="WT1" s="224"/>
      <c r="WU1" s="224"/>
      <c r="WV1" s="224"/>
      <c r="WW1" s="224"/>
      <c r="WX1" s="224"/>
      <c r="WY1" s="224"/>
      <c r="WZ1" s="224"/>
      <c r="XA1" s="224"/>
      <c r="XB1" s="224"/>
      <c r="XC1" s="224"/>
      <c r="XD1" s="224"/>
      <c r="XE1" s="224"/>
      <c r="XF1" s="224"/>
      <c r="XG1" s="224"/>
      <c r="XH1" s="224"/>
      <c r="XI1" s="224"/>
      <c r="XJ1" s="224"/>
      <c r="XK1" s="224"/>
      <c r="XL1" s="224"/>
      <c r="XM1" s="224"/>
      <c r="XN1" s="224"/>
      <c r="XO1" s="224"/>
      <c r="XP1" s="224"/>
      <c r="XQ1" s="224"/>
      <c r="XR1" s="224"/>
      <c r="XS1" s="224"/>
      <c r="XT1" s="224"/>
      <c r="XU1" s="224"/>
      <c r="XV1" s="224"/>
      <c r="XW1" s="224"/>
      <c r="XX1" s="224"/>
      <c r="XY1" s="224"/>
      <c r="XZ1" s="224"/>
      <c r="YA1" s="224"/>
      <c r="YB1" s="224"/>
      <c r="YC1" s="224"/>
      <c r="YD1" s="224"/>
      <c r="YE1" s="224"/>
      <c r="YF1" s="224"/>
      <c r="YG1" s="224"/>
      <c r="YH1" s="224"/>
      <c r="YI1" s="224"/>
      <c r="YJ1" s="224"/>
      <c r="YK1" s="224"/>
      <c r="YL1" s="224"/>
      <c r="YM1" s="224"/>
      <c r="YN1" s="224"/>
      <c r="YO1" s="224"/>
      <c r="YP1" s="224"/>
      <c r="YQ1" s="224"/>
      <c r="YR1" s="224"/>
      <c r="YS1" s="224"/>
      <c r="YT1" s="224"/>
      <c r="YU1" s="224"/>
      <c r="YV1" s="224"/>
      <c r="YW1" s="224"/>
      <c r="YX1" s="224"/>
      <c r="YY1" s="224"/>
      <c r="YZ1" s="224"/>
      <c r="ZA1" s="224"/>
      <c r="ZB1" s="224"/>
      <c r="ZC1" s="224"/>
      <c r="ZD1" s="224"/>
      <c r="ZE1" s="224"/>
      <c r="ZF1" s="224"/>
      <c r="ZG1" s="224"/>
      <c r="ZH1" s="224"/>
      <c r="ZI1" s="224"/>
      <c r="ZJ1" s="224"/>
      <c r="ZK1" s="224"/>
      <c r="ZL1" s="224"/>
      <c r="ZM1" s="224"/>
      <c r="ZN1" s="224"/>
      <c r="ZO1" s="224"/>
      <c r="ZP1" s="224"/>
      <c r="ZQ1" s="224"/>
      <c r="ZR1" s="224"/>
      <c r="ZS1" s="224"/>
      <c r="ZT1" s="224"/>
      <c r="ZU1" s="224"/>
      <c r="ZV1" s="224"/>
      <c r="ZW1" s="224"/>
      <c r="ZX1" s="224"/>
      <c r="ZY1" s="224"/>
      <c r="ZZ1" s="224"/>
      <c r="AAA1" s="224"/>
      <c r="AAB1" s="224"/>
      <c r="AAC1" s="224"/>
      <c r="AAD1" s="224"/>
      <c r="AAE1" s="224"/>
      <c r="AAF1" s="224"/>
      <c r="AAG1" s="224"/>
      <c r="AAH1" s="224"/>
      <c r="AAI1" s="224"/>
      <c r="AAJ1" s="224"/>
      <c r="AAK1" s="224"/>
      <c r="AAL1" s="224"/>
      <c r="AAM1" s="224"/>
      <c r="AAN1" s="224"/>
      <c r="AAO1" s="224"/>
      <c r="AAP1" s="224"/>
      <c r="AAQ1" s="224"/>
      <c r="AAR1" s="224"/>
      <c r="AAS1" s="224"/>
      <c r="AAT1" s="224"/>
      <c r="AAU1" s="224"/>
      <c r="AAV1" s="224"/>
      <c r="AAW1" s="224"/>
      <c r="AAX1" s="224"/>
      <c r="AAY1" s="224"/>
      <c r="AAZ1" s="224"/>
      <c r="ABA1" s="224"/>
      <c r="ABB1" s="224"/>
      <c r="ABC1" s="224"/>
      <c r="ABD1" s="224"/>
      <c r="ABE1" s="224"/>
      <c r="ABF1" s="224"/>
      <c r="ABG1" s="224"/>
      <c r="ABH1" s="224"/>
      <c r="ABI1" s="224"/>
      <c r="ABJ1" s="224"/>
      <c r="ABK1" s="224"/>
      <c r="ABL1" s="224"/>
      <c r="ABM1" s="224"/>
      <c r="ABN1" s="224"/>
      <c r="ABO1" s="224"/>
      <c r="ABP1" s="224"/>
      <c r="ABQ1" s="224"/>
      <c r="ABR1" s="224"/>
      <c r="ABS1" s="224"/>
      <c r="ABT1" s="224"/>
      <c r="ABU1" s="224"/>
      <c r="ABV1" s="224"/>
      <c r="ABW1" s="224"/>
      <c r="ABX1" s="224"/>
      <c r="ABY1" s="224"/>
      <c r="ABZ1" s="224"/>
      <c r="ACA1" s="224"/>
      <c r="ACB1" s="224"/>
      <c r="ACC1" s="224"/>
      <c r="ACD1" s="224"/>
      <c r="ACE1" s="224"/>
      <c r="ACF1" s="224"/>
      <c r="ACG1" s="224"/>
      <c r="ACH1" s="224"/>
      <c r="ACI1" s="224"/>
      <c r="ACJ1" s="224"/>
      <c r="ACK1" s="224"/>
      <c r="ACL1" s="224"/>
      <c r="ACM1" s="224"/>
      <c r="ACN1" s="224"/>
      <c r="ACO1" s="224"/>
      <c r="ACP1" s="224"/>
      <c r="ACQ1" s="224"/>
      <c r="ACR1" s="224"/>
      <c r="ACS1" s="224"/>
      <c r="ACT1" s="224"/>
      <c r="ACU1" s="224"/>
      <c r="ACV1" s="224"/>
      <c r="ACW1" s="224"/>
      <c r="ACX1" s="224"/>
      <c r="ACY1" s="224"/>
      <c r="ACZ1" s="224"/>
      <c r="ADA1" s="224"/>
      <c r="ADB1" s="224"/>
      <c r="ADC1" s="224"/>
      <c r="ADD1" s="224"/>
      <c r="ADE1" s="224"/>
      <c r="ADF1" s="224"/>
      <c r="ADG1" s="224"/>
      <c r="ADH1" s="224"/>
      <c r="ADI1" s="224"/>
      <c r="ADJ1" s="224"/>
      <c r="ADK1" s="224"/>
      <c r="ADL1" s="224"/>
      <c r="ADM1" s="224"/>
      <c r="ADN1" s="224"/>
      <c r="ADO1" s="224"/>
      <c r="ADP1" s="224"/>
      <c r="ADQ1" s="224"/>
      <c r="ADR1" s="224"/>
      <c r="ADS1" s="224"/>
      <c r="ADT1" s="224"/>
      <c r="ADU1" s="224"/>
      <c r="ADV1" s="224"/>
      <c r="ADW1" s="224"/>
      <c r="ADX1" s="224"/>
      <c r="ADY1" s="224"/>
      <c r="ADZ1" s="224"/>
      <c r="AEA1" s="224"/>
      <c r="AEB1" s="224"/>
      <c r="AEC1" s="224"/>
      <c r="AED1" s="224"/>
      <c r="AEE1" s="224"/>
      <c r="AEF1" s="224"/>
      <c r="AEG1" s="224"/>
      <c r="AEH1" s="224"/>
      <c r="AEI1" s="224"/>
      <c r="AEJ1" s="224"/>
      <c r="AEK1" s="224"/>
      <c r="AEL1" s="224"/>
      <c r="AEM1" s="224"/>
      <c r="AEN1" s="224"/>
      <c r="AEO1" s="224"/>
      <c r="AEP1" s="224"/>
      <c r="AEQ1" s="224"/>
      <c r="AER1" s="224"/>
      <c r="AES1" s="224"/>
      <c r="AET1" s="224"/>
      <c r="AEU1" s="224"/>
      <c r="AEV1" s="224"/>
      <c r="AEW1" s="224"/>
      <c r="AEX1" s="224"/>
      <c r="AEY1" s="224"/>
      <c r="AEZ1" s="224"/>
      <c r="AFA1" s="224"/>
      <c r="AFB1" s="224"/>
      <c r="AFC1" s="224"/>
      <c r="AFD1" s="224"/>
      <c r="AFE1" s="224"/>
      <c r="AFF1" s="224"/>
      <c r="AFG1" s="224"/>
      <c r="AFH1" s="224"/>
      <c r="AFI1" s="224"/>
      <c r="AFJ1" s="224"/>
      <c r="AFK1" s="224"/>
      <c r="AFL1" s="224"/>
      <c r="AFM1" s="224"/>
      <c r="AFN1" s="224"/>
      <c r="AFO1" s="224"/>
      <c r="AFP1" s="224"/>
      <c r="AFQ1" s="224"/>
      <c r="AFR1" s="224"/>
      <c r="AFS1" s="224"/>
      <c r="AFT1" s="224"/>
      <c r="AFU1" s="224"/>
      <c r="AFV1" s="224"/>
      <c r="AFW1" s="224"/>
      <c r="AFX1" s="224"/>
      <c r="AFY1" s="224"/>
      <c r="AFZ1" s="224"/>
      <c r="AGA1" s="224"/>
      <c r="AGB1" s="224"/>
      <c r="AGC1" s="224"/>
      <c r="AGD1" s="224"/>
      <c r="AGE1" s="224"/>
      <c r="AGF1" s="224"/>
      <c r="AGG1" s="224"/>
      <c r="AGH1" s="224"/>
      <c r="AGI1" s="224"/>
      <c r="AGJ1" s="224"/>
      <c r="AGK1" s="224"/>
      <c r="AGL1" s="224"/>
      <c r="AGM1" s="224"/>
      <c r="AGN1" s="224"/>
      <c r="AGO1" s="224"/>
      <c r="AGP1" s="224"/>
      <c r="AGQ1" s="224"/>
      <c r="AGR1" s="224"/>
      <c r="AGS1" s="224"/>
      <c r="AGT1" s="224"/>
      <c r="AGU1" s="224"/>
      <c r="AGV1" s="224"/>
      <c r="AGW1" s="224"/>
      <c r="AGX1" s="224"/>
      <c r="AGY1" s="224"/>
      <c r="AGZ1" s="224"/>
      <c r="AHA1" s="224"/>
      <c r="AHB1" s="224"/>
      <c r="AHC1" s="224"/>
      <c r="AHD1" s="224"/>
      <c r="AHE1" s="224"/>
      <c r="AHF1" s="224"/>
      <c r="AHG1" s="224"/>
      <c r="AHH1" s="224"/>
      <c r="AHI1" s="224"/>
      <c r="AHJ1" s="224"/>
      <c r="AHK1" s="224"/>
      <c r="AHL1" s="224"/>
      <c r="AHM1" s="224"/>
      <c r="AHN1" s="224"/>
      <c r="AHO1" s="224"/>
      <c r="AHP1" s="224"/>
      <c r="AHQ1" s="224"/>
      <c r="AHR1" s="224"/>
      <c r="AHS1" s="224"/>
      <c r="AHT1" s="224"/>
      <c r="AHU1" s="224"/>
      <c r="AHV1" s="224"/>
      <c r="AHW1" s="224"/>
      <c r="AHX1" s="224"/>
      <c r="AHY1" s="224"/>
      <c r="AHZ1" s="224"/>
      <c r="AIA1" s="224"/>
      <c r="AIB1" s="224"/>
      <c r="AIC1" s="224"/>
      <c r="AID1" s="224"/>
      <c r="AIE1" s="224"/>
      <c r="AIF1" s="224"/>
      <c r="AIG1" s="224"/>
      <c r="AIH1" s="224"/>
      <c r="AII1" s="224"/>
      <c r="AIJ1" s="224"/>
      <c r="AIK1" s="224"/>
      <c r="AIL1" s="224"/>
      <c r="AIM1" s="224"/>
      <c r="AIN1" s="224"/>
      <c r="AIO1" s="224"/>
      <c r="AIP1" s="224"/>
      <c r="AIQ1" s="224"/>
      <c r="AIR1" s="224"/>
      <c r="AIS1" s="224"/>
      <c r="AIT1" s="224"/>
      <c r="AIU1" s="224"/>
      <c r="AIV1" s="224"/>
      <c r="AIW1" s="224"/>
      <c r="AIX1" s="224"/>
      <c r="AIY1" s="224"/>
      <c r="AIZ1" s="224"/>
      <c r="AJA1" s="224"/>
      <c r="AJB1" s="224"/>
      <c r="AJC1" s="224"/>
      <c r="AJD1" s="224"/>
      <c r="AJE1" s="224"/>
      <c r="AJF1" s="224"/>
      <c r="AJG1" s="224"/>
      <c r="AJH1" s="224"/>
      <c r="AJI1" s="224"/>
      <c r="AJJ1" s="224"/>
      <c r="AJK1" s="224"/>
      <c r="AJL1" s="224"/>
      <c r="AJM1" s="224"/>
      <c r="AJN1" s="224"/>
      <c r="AJO1" s="224"/>
      <c r="AJP1" s="224"/>
      <c r="AJQ1" s="224"/>
      <c r="AJR1" s="224"/>
      <c r="AJS1" s="224"/>
      <c r="AJT1" s="224"/>
      <c r="AJU1" s="224"/>
      <c r="AJV1" s="224"/>
      <c r="AJW1" s="224"/>
      <c r="AJX1" s="224"/>
      <c r="AJY1" s="224"/>
      <c r="AJZ1" s="224"/>
      <c r="AKA1" s="224"/>
      <c r="AKB1" s="224"/>
      <c r="AKC1" s="224"/>
      <c r="AKD1" s="224"/>
      <c r="AKE1" s="224"/>
      <c r="AKF1" s="224"/>
      <c r="AKG1" s="224"/>
      <c r="AKH1" s="224"/>
      <c r="AKI1" s="224"/>
      <c r="AKJ1" s="224"/>
      <c r="AKK1" s="224"/>
      <c r="AKL1" s="224"/>
      <c r="AKM1" s="224"/>
      <c r="AKN1" s="224"/>
      <c r="AKO1" s="224"/>
      <c r="AKP1" s="224"/>
      <c r="AKQ1" s="224"/>
      <c r="AKR1" s="224"/>
      <c r="AKS1" s="224"/>
      <c r="AKT1" s="224"/>
      <c r="AKU1" s="224"/>
      <c r="AKV1" s="224"/>
      <c r="AKW1" s="224"/>
      <c r="AKX1" s="224"/>
      <c r="AKY1" s="224"/>
      <c r="AKZ1" s="224"/>
      <c r="ALA1" s="224"/>
      <c r="ALB1" s="224"/>
      <c r="ALC1" s="224"/>
      <c r="ALD1" s="224"/>
      <c r="ALE1" s="224"/>
      <c r="ALF1" s="224"/>
      <c r="ALG1" s="224"/>
      <c r="ALH1" s="224"/>
      <c r="ALI1" s="224"/>
      <c r="ALJ1" s="224"/>
      <c r="ALK1" s="224"/>
      <c r="ALL1" s="224"/>
      <c r="ALM1" s="224"/>
      <c r="ALN1" s="224"/>
      <c r="ALO1" s="224"/>
      <c r="ALP1" s="224"/>
      <c r="ALQ1" s="224"/>
      <c r="ALR1" s="224"/>
      <c r="ALS1" s="224"/>
      <c r="ALT1" s="224"/>
      <c r="ALU1" s="224"/>
      <c r="ALV1" s="224"/>
      <c r="ALW1" s="224"/>
      <c r="ALX1" s="224"/>
      <c r="ALY1" s="224"/>
      <c r="ALZ1" s="224"/>
      <c r="AMA1" s="224"/>
      <c r="AMB1" s="224"/>
      <c r="AMC1" s="224"/>
      <c r="AMD1" s="224"/>
      <c r="AME1" s="224"/>
      <c r="AMF1" s="224"/>
      <c r="AMG1" s="224"/>
      <c r="AMH1" s="224"/>
      <c r="AMI1" s="224"/>
      <c r="AMJ1" s="224"/>
      <c r="AMK1" s="224"/>
      <c r="AML1" s="224"/>
      <c r="AMM1" s="224"/>
      <c r="AMN1" s="224"/>
      <c r="AMO1" s="224"/>
      <c r="AMP1" s="224"/>
      <c r="AMQ1" s="224"/>
      <c r="AMR1" s="224"/>
      <c r="AMS1" s="224"/>
      <c r="AMT1" s="224"/>
      <c r="AMU1" s="224"/>
      <c r="AMV1" s="224"/>
      <c r="AMW1" s="224"/>
      <c r="AMX1" s="224"/>
      <c r="AMY1" s="224"/>
      <c r="AMZ1" s="224"/>
      <c r="ANA1" s="224"/>
      <c r="ANB1" s="224"/>
      <c r="ANC1" s="224"/>
      <c r="AND1" s="224"/>
      <c r="ANE1" s="224"/>
      <c r="ANF1" s="224"/>
      <c r="ANG1" s="224"/>
      <c r="ANH1" s="224"/>
      <c r="ANI1" s="224"/>
      <c r="ANJ1" s="224"/>
      <c r="ANK1" s="224"/>
      <c r="ANL1" s="224"/>
      <c r="ANM1" s="224"/>
      <c r="ANN1" s="224"/>
      <c r="ANO1" s="224"/>
      <c r="ANP1" s="224"/>
      <c r="ANQ1" s="224"/>
      <c r="ANR1" s="224"/>
      <c r="ANS1" s="224"/>
      <c r="ANT1" s="224"/>
      <c r="ANU1" s="224"/>
      <c r="ANV1" s="224"/>
      <c r="ANW1" s="224"/>
      <c r="ANX1" s="224"/>
      <c r="ANY1" s="224"/>
      <c r="ANZ1" s="224"/>
      <c r="AOA1" s="224"/>
      <c r="AOB1" s="224"/>
      <c r="AOC1" s="224"/>
      <c r="AOD1" s="224"/>
      <c r="AOE1" s="224"/>
      <c r="AOF1" s="224"/>
      <c r="AOG1" s="224"/>
      <c r="AOH1" s="224"/>
      <c r="AOI1" s="224"/>
      <c r="AOJ1" s="224"/>
      <c r="AOK1" s="224"/>
      <c r="AOL1" s="224"/>
      <c r="AOM1" s="224"/>
      <c r="AON1" s="224"/>
      <c r="AOO1" s="224"/>
      <c r="AOP1" s="224"/>
      <c r="AOQ1" s="224"/>
      <c r="AOR1" s="224"/>
      <c r="AOS1" s="224"/>
      <c r="AOT1" s="224"/>
      <c r="AOU1" s="224"/>
      <c r="AOV1" s="224"/>
      <c r="AOW1" s="224"/>
      <c r="AOX1" s="224"/>
      <c r="AOY1" s="224"/>
      <c r="AOZ1" s="224"/>
      <c r="APA1" s="224"/>
      <c r="APB1" s="224"/>
      <c r="APC1" s="224"/>
      <c r="APD1" s="224"/>
      <c r="APE1" s="224"/>
      <c r="APF1" s="224"/>
      <c r="APG1" s="224"/>
      <c r="APH1" s="224"/>
      <c r="API1" s="224"/>
      <c r="APJ1" s="224"/>
      <c r="APK1" s="224"/>
      <c r="APL1" s="224"/>
      <c r="APM1" s="224"/>
      <c r="APN1" s="224"/>
      <c r="APO1" s="224"/>
      <c r="APP1" s="224"/>
      <c r="APQ1" s="224"/>
      <c r="APR1" s="224"/>
      <c r="APS1" s="224"/>
      <c r="APT1" s="224"/>
      <c r="APU1" s="224"/>
      <c r="APV1" s="224"/>
      <c r="APW1" s="224"/>
      <c r="APX1" s="224"/>
      <c r="APY1" s="224"/>
      <c r="APZ1" s="224"/>
      <c r="AQA1" s="224"/>
      <c r="AQB1" s="224"/>
      <c r="AQC1" s="224"/>
      <c r="AQD1" s="224"/>
      <c r="AQE1" s="224"/>
      <c r="AQF1" s="224"/>
      <c r="AQG1" s="224"/>
      <c r="AQH1" s="224"/>
      <c r="AQI1" s="224"/>
      <c r="AQJ1" s="224"/>
      <c r="AQK1" s="224"/>
      <c r="AQL1" s="224"/>
      <c r="AQM1" s="224"/>
      <c r="AQN1" s="224"/>
      <c r="AQO1" s="224"/>
      <c r="AQP1" s="224"/>
      <c r="AQQ1" s="224"/>
      <c r="AQR1" s="224"/>
      <c r="AQS1" s="224"/>
      <c r="AQT1" s="224"/>
      <c r="AQU1" s="224"/>
      <c r="AQV1" s="224"/>
      <c r="AQW1" s="224"/>
      <c r="AQX1" s="224"/>
      <c r="AQY1" s="224"/>
      <c r="AQZ1" s="224"/>
      <c r="ARA1" s="224"/>
      <c r="ARB1" s="224"/>
      <c r="ARC1" s="224"/>
      <c r="ARD1" s="224"/>
      <c r="ARE1" s="224"/>
      <c r="ARF1" s="224"/>
      <c r="ARG1" s="224"/>
      <c r="ARH1" s="224"/>
      <c r="ARI1" s="224"/>
      <c r="ARJ1" s="224"/>
      <c r="ARK1" s="224"/>
      <c r="ARL1" s="224"/>
      <c r="ARM1" s="224"/>
      <c r="ARN1" s="224"/>
      <c r="ARO1" s="224"/>
      <c r="ARP1" s="224"/>
      <c r="ARQ1" s="224"/>
      <c r="ARR1" s="224"/>
      <c r="ARS1" s="224"/>
      <c r="ART1" s="224"/>
      <c r="ARU1" s="224"/>
      <c r="ARV1" s="224"/>
      <c r="ARW1" s="224"/>
      <c r="ARX1" s="224"/>
      <c r="ARY1" s="224"/>
      <c r="ARZ1" s="224"/>
      <c r="ASA1" s="224"/>
      <c r="ASB1" s="224"/>
      <c r="ASC1" s="224"/>
      <c r="ASD1" s="224"/>
      <c r="ASE1" s="224"/>
      <c r="ASF1" s="224"/>
      <c r="ASG1" s="224"/>
      <c r="ASH1" s="224"/>
      <c r="ASI1" s="224"/>
      <c r="ASJ1" s="224"/>
      <c r="ASK1" s="224"/>
      <c r="ASL1" s="224"/>
      <c r="ASM1" s="224"/>
      <c r="ASN1" s="224"/>
      <c r="ASO1" s="224"/>
      <c r="ASP1" s="224"/>
      <c r="ASQ1" s="224"/>
      <c r="ASR1" s="224"/>
      <c r="ASS1" s="224"/>
      <c r="AST1" s="224"/>
      <c r="ASU1" s="224"/>
      <c r="ASV1" s="224"/>
      <c r="ASW1" s="224"/>
      <c r="ASX1" s="224"/>
      <c r="ASY1" s="224"/>
      <c r="ASZ1" s="224"/>
      <c r="ATA1" s="224"/>
      <c r="ATB1" s="224"/>
      <c r="ATC1" s="224"/>
      <c r="ATD1" s="224"/>
      <c r="ATE1" s="224"/>
      <c r="ATF1" s="224"/>
      <c r="ATG1" s="224"/>
      <c r="ATH1" s="224"/>
      <c r="ATI1" s="224"/>
      <c r="ATJ1" s="224"/>
      <c r="ATK1" s="224"/>
      <c r="ATL1" s="224"/>
      <c r="ATM1" s="224"/>
      <c r="ATN1" s="224"/>
      <c r="ATO1" s="224"/>
      <c r="ATP1" s="224"/>
      <c r="ATQ1" s="224"/>
      <c r="ATR1" s="224"/>
      <c r="ATS1" s="224"/>
      <c r="ATT1" s="224"/>
      <c r="ATU1" s="224"/>
      <c r="ATV1" s="224"/>
      <c r="ATW1" s="224"/>
      <c r="ATX1" s="224"/>
      <c r="ATY1" s="224"/>
      <c r="ATZ1" s="224"/>
      <c r="AUA1" s="224"/>
      <c r="AUB1" s="224"/>
      <c r="AUC1" s="224"/>
      <c r="AUD1" s="224"/>
      <c r="AUE1" s="224"/>
      <c r="AUF1" s="224"/>
      <c r="AUG1" s="224"/>
      <c r="AUH1" s="224"/>
      <c r="AUI1" s="224"/>
      <c r="AUJ1" s="224"/>
      <c r="AUK1" s="224"/>
      <c r="AUL1" s="224"/>
      <c r="AUM1" s="224"/>
      <c r="AUN1" s="224"/>
      <c r="AUO1" s="224"/>
      <c r="AUP1" s="224"/>
      <c r="AUQ1" s="224"/>
      <c r="AUR1" s="224"/>
      <c r="AUS1" s="224"/>
      <c r="AUT1" s="224"/>
      <c r="AUU1" s="224"/>
      <c r="AUV1" s="224"/>
      <c r="AUW1" s="224"/>
      <c r="AUX1" s="224"/>
      <c r="AUY1" s="224"/>
      <c r="AUZ1" s="224"/>
      <c r="AVA1" s="224"/>
      <c r="AVB1" s="224"/>
      <c r="AVC1" s="224"/>
      <c r="AVD1" s="224"/>
      <c r="AVE1" s="224"/>
      <c r="AVF1" s="224"/>
      <c r="AVG1" s="224"/>
      <c r="AVH1" s="224"/>
      <c r="AVI1" s="224"/>
      <c r="AVJ1" s="224"/>
      <c r="AVK1" s="224"/>
      <c r="AVL1" s="224"/>
      <c r="AVM1" s="224"/>
      <c r="AVN1" s="224"/>
      <c r="AVO1" s="224"/>
      <c r="AVP1" s="224"/>
      <c r="AVQ1" s="224"/>
      <c r="AVR1" s="224"/>
      <c r="AVS1" s="224"/>
      <c r="AVT1" s="224"/>
      <c r="AVU1" s="224"/>
      <c r="AVV1" s="224"/>
      <c r="AVW1" s="224"/>
      <c r="AVX1" s="224"/>
      <c r="AVY1" s="224"/>
      <c r="AVZ1" s="224"/>
      <c r="AWA1" s="224"/>
      <c r="AWB1" s="224"/>
      <c r="AWC1" s="224"/>
      <c r="AWD1" s="224"/>
      <c r="AWE1" s="224"/>
      <c r="AWF1" s="224"/>
      <c r="AWG1" s="224"/>
      <c r="AWH1" s="224"/>
      <c r="AWI1" s="224"/>
      <c r="AWJ1" s="224"/>
      <c r="AWK1" s="224"/>
      <c r="AWL1" s="224"/>
      <c r="AWM1" s="224"/>
      <c r="AWN1" s="224"/>
      <c r="AWO1" s="224"/>
      <c r="AWP1" s="224"/>
      <c r="AWQ1" s="224"/>
      <c r="AWR1" s="224"/>
      <c r="AWS1" s="224"/>
      <c r="AWT1" s="224"/>
      <c r="AWU1" s="224"/>
      <c r="AWV1" s="224"/>
      <c r="AWW1" s="224"/>
      <c r="AWX1" s="224"/>
      <c r="AWY1" s="224"/>
      <c r="AWZ1" s="224"/>
      <c r="AXA1" s="224"/>
      <c r="AXB1" s="224"/>
      <c r="AXC1" s="224"/>
      <c r="AXD1" s="224"/>
      <c r="AXE1" s="224"/>
      <c r="AXF1" s="224"/>
      <c r="AXG1" s="224"/>
      <c r="AXH1" s="224"/>
      <c r="AXI1" s="224"/>
      <c r="AXJ1" s="224"/>
      <c r="AXK1" s="224"/>
      <c r="AXL1" s="224"/>
      <c r="AXM1" s="224"/>
      <c r="AXN1" s="224"/>
      <c r="AXO1" s="224"/>
      <c r="AXP1" s="224"/>
      <c r="AXQ1" s="224"/>
      <c r="AXR1" s="224"/>
      <c r="AXS1" s="224"/>
      <c r="AXT1" s="224"/>
      <c r="AXU1" s="224"/>
      <c r="AXV1" s="224"/>
      <c r="AXW1" s="224"/>
      <c r="AXX1" s="224"/>
      <c r="AXY1" s="224"/>
      <c r="AXZ1" s="224"/>
      <c r="AYA1" s="224"/>
      <c r="AYB1" s="224"/>
      <c r="AYC1" s="224"/>
      <c r="AYD1" s="224"/>
      <c r="AYE1" s="224"/>
      <c r="AYF1" s="224"/>
      <c r="AYG1" s="224"/>
      <c r="AYH1" s="224"/>
      <c r="AYI1" s="224"/>
      <c r="AYJ1" s="224"/>
      <c r="AYK1" s="224"/>
      <c r="AYL1" s="224"/>
      <c r="AYM1" s="224"/>
      <c r="AYN1" s="224"/>
      <c r="AYO1" s="224"/>
      <c r="AYP1" s="224"/>
      <c r="AYQ1" s="224"/>
      <c r="AYR1" s="224"/>
      <c r="AYS1" s="224"/>
      <c r="AYT1" s="224"/>
      <c r="AYU1" s="224"/>
      <c r="AYV1" s="224"/>
      <c r="AYW1" s="224"/>
      <c r="AYX1" s="224"/>
      <c r="AYY1" s="224"/>
      <c r="AYZ1" s="224"/>
      <c r="AZA1" s="224"/>
      <c r="AZB1" s="224"/>
      <c r="AZC1" s="224"/>
      <c r="AZD1" s="224"/>
      <c r="AZE1" s="224"/>
      <c r="AZF1" s="224"/>
      <c r="AZG1" s="224"/>
      <c r="AZH1" s="224"/>
      <c r="AZI1" s="224"/>
      <c r="AZJ1" s="224"/>
      <c r="AZK1" s="224"/>
      <c r="AZL1" s="224"/>
      <c r="AZM1" s="224"/>
      <c r="AZN1" s="224"/>
      <c r="AZO1" s="224"/>
      <c r="AZP1" s="224"/>
      <c r="AZQ1" s="224"/>
      <c r="AZR1" s="224"/>
      <c r="AZS1" s="224"/>
      <c r="AZT1" s="224"/>
      <c r="AZU1" s="224"/>
      <c r="AZV1" s="224"/>
      <c r="AZW1" s="224"/>
      <c r="AZX1" s="224"/>
      <c r="AZY1" s="224"/>
      <c r="AZZ1" s="224"/>
      <c r="BAA1" s="224"/>
      <c r="BAB1" s="224"/>
      <c r="BAC1" s="224"/>
      <c r="BAD1" s="224"/>
      <c r="BAE1" s="224"/>
      <c r="BAF1" s="224"/>
      <c r="BAG1" s="224"/>
      <c r="BAH1" s="224"/>
      <c r="BAI1" s="224"/>
      <c r="BAJ1" s="224"/>
      <c r="BAK1" s="224"/>
      <c r="BAL1" s="224"/>
      <c r="BAM1" s="224"/>
      <c r="BAN1" s="224"/>
      <c r="BAO1" s="224"/>
      <c r="BAP1" s="224"/>
      <c r="BAQ1" s="224"/>
      <c r="BAR1" s="224"/>
      <c r="BAS1" s="224"/>
      <c r="BAT1" s="224"/>
      <c r="BAU1" s="224"/>
      <c r="BAV1" s="224"/>
      <c r="BAW1" s="224"/>
      <c r="BAX1" s="224"/>
      <c r="BAY1" s="224"/>
      <c r="BAZ1" s="224"/>
      <c r="BBA1" s="224"/>
      <c r="BBB1" s="224"/>
      <c r="BBC1" s="224"/>
      <c r="BBD1" s="224"/>
      <c r="BBE1" s="224"/>
      <c r="BBF1" s="224"/>
      <c r="BBG1" s="224"/>
      <c r="BBH1" s="224"/>
      <c r="BBI1" s="224"/>
      <c r="BBJ1" s="224"/>
      <c r="BBK1" s="224"/>
      <c r="BBL1" s="224"/>
      <c r="BBM1" s="224"/>
      <c r="BBN1" s="224"/>
      <c r="BBO1" s="224"/>
      <c r="BBP1" s="224"/>
      <c r="BBQ1" s="224"/>
      <c r="BBR1" s="224"/>
      <c r="BBS1" s="224"/>
      <c r="BBT1" s="224"/>
      <c r="BBU1" s="224"/>
      <c r="BBV1" s="224"/>
      <c r="BBW1" s="224"/>
      <c r="BBX1" s="224"/>
      <c r="BBY1" s="224"/>
      <c r="BBZ1" s="224"/>
      <c r="BCA1" s="224"/>
      <c r="BCB1" s="224"/>
      <c r="BCC1" s="224"/>
      <c r="BCD1" s="224"/>
      <c r="BCE1" s="224"/>
      <c r="BCF1" s="224"/>
      <c r="BCG1" s="224"/>
      <c r="BCH1" s="224"/>
      <c r="BCI1" s="224"/>
      <c r="BCJ1" s="224"/>
      <c r="BCK1" s="224"/>
      <c r="BCL1" s="224"/>
      <c r="BCM1" s="224"/>
      <c r="BCN1" s="224"/>
      <c r="BCO1" s="224"/>
      <c r="BCP1" s="224"/>
      <c r="BCQ1" s="224"/>
      <c r="BCR1" s="224"/>
      <c r="BCS1" s="224"/>
      <c r="BCT1" s="224"/>
      <c r="BCU1" s="224"/>
      <c r="BCV1" s="224"/>
      <c r="BCW1" s="224"/>
      <c r="BCX1" s="224"/>
      <c r="BCY1" s="224"/>
      <c r="BCZ1" s="224"/>
      <c r="BDA1" s="224"/>
      <c r="BDB1" s="224"/>
      <c r="BDC1" s="224"/>
      <c r="BDD1" s="224"/>
      <c r="BDE1" s="224"/>
      <c r="BDF1" s="224"/>
      <c r="BDG1" s="224"/>
      <c r="BDH1" s="224"/>
      <c r="BDI1" s="224"/>
      <c r="BDJ1" s="224"/>
      <c r="BDK1" s="224"/>
      <c r="BDL1" s="224"/>
      <c r="BDM1" s="224"/>
      <c r="BDN1" s="224"/>
      <c r="BDO1" s="224"/>
      <c r="BDP1" s="224"/>
      <c r="BDQ1" s="224"/>
      <c r="BDR1" s="224"/>
      <c r="BDS1" s="224"/>
      <c r="BDT1" s="224"/>
      <c r="BDU1" s="224"/>
      <c r="BDV1" s="224"/>
      <c r="BDW1" s="224"/>
      <c r="BDX1" s="224"/>
      <c r="BDY1" s="224"/>
      <c r="BDZ1" s="224"/>
      <c r="BEA1" s="224"/>
      <c r="BEB1" s="224"/>
      <c r="BEC1" s="224"/>
      <c r="BED1" s="224"/>
      <c r="BEE1" s="224"/>
      <c r="BEF1" s="224"/>
      <c r="BEG1" s="224"/>
      <c r="BEH1" s="224"/>
      <c r="BEI1" s="224"/>
      <c r="BEJ1" s="224"/>
      <c r="BEK1" s="224"/>
      <c r="BEL1" s="224"/>
      <c r="BEM1" s="224"/>
      <c r="BEN1" s="224"/>
      <c r="BEO1" s="224"/>
      <c r="BEP1" s="224"/>
      <c r="BEQ1" s="224"/>
      <c r="BER1" s="224"/>
      <c r="BES1" s="224"/>
      <c r="BET1" s="224"/>
      <c r="BEU1" s="224"/>
      <c r="BEV1" s="224"/>
      <c r="BEW1" s="224"/>
      <c r="BEX1" s="224"/>
      <c r="BEY1" s="224"/>
      <c r="BEZ1" s="224"/>
      <c r="BFA1" s="224"/>
      <c r="BFB1" s="224"/>
      <c r="BFC1" s="224"/>
      <c r="BFD1" s="224"/>
      <c r="BFE1" s="224"/>
      <c r="BFF1" s="224"/>
      <c r="BFG1" s="224"/>
      <c r="BFH1" s="224"/>
      <c r="BFI1" s="224"/>
      <c r="BFJ1" s="224"/>
      <c r="BFK1" s="224"/>
      <c r="BFL1" s="224"/>
      <c r="BFM1" s="224"/>
      <c r="BFN1" s="224"/>
      <c r="BFO1" s="224"/>
      <c r="BFP1" s="224"/>
      <c r="BFQ1" s="224"/>
      <c r="BFR1" s="224"/>
      <c r="BFS1" s="224"/>
      <c r="BFT1" s="224"/>
      <c r="BFU1" s="224"/>
      <c r="BFV1" s="224"/>
      <c r="BFW1" s="224"/>
      <c r="BFX1" s="224"/>
      <c r="BFY1" s="224"/>
      <c r="BFZ1" s="224"/>
      <c r="BGA1" s="224"/>
      <c r="BGB1" s="224"/>
      <c r="BGC1" s="224"/>
      <c r="BGD1" s="224"/>
      <c r="BGE1" s="224"/>
      <c r="BGF1" s="224"/>
      <c r="BGG1" s="224"/>
      <c r="BGH1" s="224"/>
      <c r="BGI1" s="224"/>
      <c r="BGJ1" s="224"/>
      <c r="BGK1" s="224"/>
      <c r="BGL1" s="224"/>
      <c r="BGM1" s="224"/>
      <c r="BGN1" s="224"/>
      <c r="BGO1" s="224"/>
      <c r="BGP1" s="224"/>
      <c r="BGQ1" s="224"/>
      <c r="BGR1" s="224"/>
      <c r="BGS1" s="224"/>
      <c r="BGT1" s="224"/>
      <c r="BGU1" s="224"/>
      <c r="BGV1" s="224"/>
      <c r="BGW1" s="224"/>
      <c r="BGX1" s="224"/>
      <c r="BGY1" s="224"/>
      <c r="BGZ1" s="224"/>
      <c r="BHA1" s="224"/>
      <c r="BHB1" s="224"/>
      <c r="BHC1" s="224"/>
      <c r="BHD1" s="224"/>
      <c r="BHE1" s="224"/>
      <c r="BHF1" s="224"/>
      <c r="BHG1" s="224"/>
      <c r="BHH1" s="224"/>
      <c r="BHI1" s="224"/>
      <c r="BHJ1" s="224"/>
      <c r="BHK1" s="224"/>
      <c r="BHL1" s="224"/>
      <c r="BHM1" s="224"/>
      <c r="BHN1" s="224"/>
      <c r="BHO1" s="224"/>
      <c r="BHP1" s="224"/>
      <c r="BHQ1" s="224"/>
      <c r="BHR1" s="224"/>
      <c r="BHS1" s="224"/>
      <c r="BHT1" s="224"/>
      <c r="BHU1" s="224"/>
      <c r="BHV1" s="224"/>
      <c r="BHW1" s="224"/>
      <c r="BHX1" s="224"/>
      <c r="BHY1" s="224"/>
      <c r="BHZ1" s="224"/>
      <c r="BIA1" s="224"/>
      <c r="BIB1" s="224"/>
      <c r="BIC1" s="224"/>
      <c r="BID1" s="224"/>
      <c r="BIE1" s="224"/>
      <c r="BIF1" s="224"/>
      <c r="BIG1" s="224"/>
      <c r="BIH1" s="224"/>
      <c r="BII1" s="224"/>
      <c r="BIJ1" s="224"/>
      <c r="BIK1" s="224"/>
      <c r="BIL1" s="224"/>
      <c r="BIM1" s="224"/>
      <c r="BIN1" s="224"/>
      <c r="BIO1" s="224"/>
      <c r="BIP1" s="224"/>
      <c r="BIQ1" s="224"/>
      <c r="BIR1" s="224"/>
      <c r="BIS1" s="224"/>
      <c r="BIT1" s="224"/>
      <c r="BIU1" s="224"/>
      <c r="BIV1" s="224"/>
      <c r="BIW1" s="224"/>
      <c r="BIX1" s="224"/>
      <c r="BIY1" s="224"/>
      <c r="BIZ1" s="224"/>
      <c r="BJA1" s="224"/>
      <c r="BJB1" s="224"/>
      <c r="BJC1" s="224"/>
      <c r="BJD1" s="224"/>
      <c r="BJE1" s="224"/>
      <c r="BJF1" s="224"/>
      <c r="BJG1" s="224"/>
      <c r="BJH1" s="224"/>
      <c r="BJI1" s="224"/>
      <c r="BJJ1" s="224"/>
      <c r="BJK1" s="224"/>
      <c r="BJL1" s="224"/>
      <c r="BJM1" s="224"/>
      <c r="BJN1" s="224"/>
      <c r="BJO1" s="224"/>
      <c r="BJP1" s="224"/>
      <c r="BJQ1" s="224"/>
      <c r="BJR1" s="224"/>
      <c r="BJS1" s="224"/>
      <c r="BJT1" s="224"/>
      <c r="BJU1" s="224"/>
      <c r="BJV1" s="224"/>
      <c r="BJW1" s="224"/>
      <c r="BJX1" s="224"/>
      <c r="BJY1" s="224"/>
      <c r="BJZ1" s="224"/>
      <c r="BKA1" s="224"/>
      <c r="BKB1" s="224"/>
      <c r="BKC1" s="224"/>
      <c r="BKD1" s="224"/>
      <c r="BKE1" s="224"/>
      <c r="BKF1" s="224"/>
      <c r="BKG1" s="224"/>
      <c r="BKH1" s="224"/>
      <c r="BKI1" s="224"/>
      <c r="BKJ1" s="224"/>
      <c r="BKK1" s="224"/>
      <c r="BKL1" s="224"/>
      <c r="BKM1" s="224"/>
      <c r="BKN1" s="224"/>
      <c r="BKO1" s="224"/>
      <c r="BKP1" s="224"/>
      <c r="BKQ1" s="224"/>
      <c r="BKR1" s="224"/>
      <c r="BKS1" s="224"/>
      <c r="BKT1" s="224"/>
      <c r="BKU1" s="224"/>
      <c r="BKV1" s="224"/>
      <c r="BKW1" s="224"/>
      <c r="BKX1" s="224"/>
      <c r="BKY1" s="224"/>
      <c r="BKZ1" s="224"/>
      <c r="BLA1" s="224"/>
      <c r="BLB1" s="224"/>
      <c r="BLC1" s="224"/>
      <c r="BLD1" s="224"/>
      <c r="BLE1" s="224"/>
      <c r="BLF1" s="224"/>
      <c r="BLG1" s="224"/>
      <c r="BLH1" s="224"/>
      <c r="BLI1" s="224"/>
      <c r="BLJ1" s="224"/>
      <c r="BLK1" s="224"/>
      <c r="BLL1" s="224"/>
      <c r="BLM1" s="224"/>
      <c r="BLN1" s="224"/>
      <c r="BLO1" s="224"/>
      <c r="BLP1" s="224"/>
      <c r="BLQ1" s="224"/>
      <c r="BLR1" s="224"/>
      <c r="BLS1" s="224"/>
      <c r="BLT1" s="224"/>
      <c r="BLU1" s="224"/>
      <c r="BLV1" s="224"/>
      <c r="BLW1" s="224"/>
      <c r="BLX1" s="224"/>
      <c r="BLY1" s="224"/>
      <c r="BLZ1" s="224"/>
      <c r="BMA1" s="224"/>
      <c r="BMB1" s="224"/>
      <c r="BMC1" s="224"/>
      <c r="BMD1" s="224"/>
      <c r="BME1" s="224"/>
      <c r="BMF1" s="224"/>
      <c r="BMG1" s="224"/>
      <c r="BMH1" s="224"/>
      <c r="BMI1" s="224"/>
      <c r="BMJ1" s="224"/>
      <c r="BMK1" s="224"/>
      <c r="BML1" s="224"/>
      <c r="BMM1" s="224"/>
      <c r="BMN1" s="224"/>
      <c r="BMO1" s="224"/>
      <c r="BMP1" s="224"/>
      <c r="BMQ1" s="224"/>
      <c r="BMR1" s="224"/>
      <c r="BMS1" s="224"/>
      <c r="BMT1" s="224"/>
      <c r="BMU1" s="224"/>
      <c r="BMV1" s="224"/>
      <c r="BMW1" s="224"/>
      <c r="BMX1" s="224"/>
      <c r="BMY1" s="224"/>
      <c r="BMZ1" s="224"/>
      <c r="BNA1" s="224"/>
      <c r="BNB1" s="224"/>
      <c r="BNC1" s="224"/>
      <c r="BND1" s="224"/>
      <c r="BNE1" s="224"/>
      <c r="BNF1" s="224"/>
      <c r="BNG1" s="224"/>
      <c r="BNH1" s="224"/>
      <c r="BNI1" s="224"/>
      <c r="BNJ1" s="224"/>
      <c r="BNK1" s="224"/>
      <c r="BNL1" s="224"/>
      <c r="BNM1" s="224"/>
      <c r="BNN1" s="224"/>
      <c r="BNO1" s="224"/>
      <c r="BNP1" s="224"/>
      <c r="BNQ1" s="224"/>
      <c r="BNR1" s="224"/>
      <c r="BNS1" s="224"/>
      <c r="BNT1" s="224"/>
      <c r="BNU1" s="224"/>
      <c r="BNV1" s="224"/>
      <c r="BNW1" s="224"/>
      <c r="BNX1" s="224"/>
      <c r="BNY1" s="224"/>
      <c r="BNZ1" s="224"/>
      <c r="BOA1" s="224"/>
      <c r="BOB1" s="224"/>
      <c r="BOC1" s="224"/>
      <c r="BOD1" s="224"/>
      <c r="BOE1" s="224"/>
      <c r="BOF1" s="224"/>
      <c r="BOG1" s="224"/>
      <c r="BOH1" s="224"/>
      <c r="BOI1" s="224"/>
      <c r="BOJ1" s="224"/>
      <c r="BOK1" s="224"/>
      <c r="BOL1" s="224"/>
      <c r="BOM1" s="224"/>
      <c r="BON1" s="224"/>
      <c r="BOO1" s="224"/>
      <c r="BOP1" s="224"/>
      <c r="BOQ1" s="224"/>
      <c r="BOR1" s="224"/>
      <c r="BOS1" s="224"/>
      <c r="BOT1" s="224"/>
      <c r="BOU1" s="224"/>
      <c r="BOV1" s="224"/>
      <c r="BOW1" s="224"/>
      <c r="BOX1" s="224"/>
      <c r="BOY1" s="224"/>
      <c r="BOZ1" s="224"/>
      <c r="BPA1" s="224"/>
      <c r="BPB1" s="224"/>
      <c r="BPC1" s="224"/>
      <c r="BPD1" s="224"/>
      <c r="BPE1" s="224"/>
      <c r="BPF1" s="224"/>
      <c r="BPG1" s="224"/>
      <c r="BPH1" s="224"/>
      <c r="BPI1" s="224"/>
      <c r="BPJ1" s="224"/>
      <c r="BPK1" s="224"/>
      <c r="BPL1" s="224"/>
      <c r="BPM1" s="224"/>
      <c r="BPN1" s="224"/>
      <c r="BPO1" s="224"/>
      <c r="BPP1" s="224"/>
      <c r="BPQ1" s="224"/>
      <c r="BPR1" s="224"/>
      <c r="BPS1" s="224"/>
      <c r="BPT1" s="224"/>
      <c r="BPU1" s="224"/>
      <c r="BPV1" s="224"/>
      <c r="BPW1" s="224"/>
      <c r="BPX1" s="224"/>
      <c r="BPY1" s="224"/>
      <c r="BPZ1" s="224"/>
      <c r="BQA1" s="224"/>
      <c r="BQB1" s="224"/>
      <c r="BQC1" s="224"/>
      <c r="BQD1" s="224"/>
      <c r="BQE1" s="224"/>
      <c r="BQF1" s="224"/>
      <c r="BQG1" s="224"/>
      <c r="BQH1" s="224"/>
      <c r="BQI1" s="224"/>
      <c r="BQJ1" s="224"/>
      <c r="BQK1" s="224"/>
      <c r="BQL1" s="224"/>
      <c r="BQM1" s="224"/>
      <c r="BQN1" s="224"/>
      <c r="BQO1" s="224"/>
      <c r="BQP1" s="224"/>
      <c r="BQQ1" s="224"/>
      <c r="BQR1" s="224"/>
      <c r="BQS1" s="224"/>
      <c r="BQT1" s="224"/>
      <c r="BQU1" s="224"/>
      <c r="BQV1" s="224"/>
      <c r="BQW1" s="224"/>
      <c r="BQX1" s="224"/>
      <c r="BQY1" s="224"/>
      <c r="BQZ1" s="224"/>
      <c r="BRA1" s="224"/>
      <c r="BRB1" s="224"/>
      <c r="BRC1" s="224"/>
      <c r="BRD1" s="224"/>
      <c r="BRE1" s="224"/>
      <c r="BRF1" s="224"/>
      <c r="BRG1" s="224"/>
      <c r="BRH1" s="224"/>
      <c r="BRI1" s="224"/>
      <c r="BRJ1" s="224"/>
      <c r="BRK1" s="224"/>
      <c r="BRL1" s="224"/>
      <c r="BRM1" s="224"/>
      <c r="BRN1" s="224"/>
      <c r="BRO1" s="224"/>
      <c r="BRP1" s="224"/>
      <c r="BRQ1" s="224"/>
      <c r="BRR1" s="224"/>
      <c r="BRS1" s="224"/>
      <c r="BRT1" s="224"/>
      <c r="BRU1" s="224"/>
      <c r="BRV1" s="224"/>
      <c r="BRW1" s="224"/>
      <c r="BRX1" s="224"/>
      <c r="BRY1" s="224"/>
      <c r="BRZ1" s="224"/>
      <c r="BSA1" s="224"/>
      <c r="BSB1" s="224"/>
      <c r="BSC1" s="224"/>
      <c r="BSD1" s="224"/>
      <c r="BSE1" s="224"/>
      <c r="BSF1" s="224"/>
      <c r="BSG1" s="224"/>
      <c r="BSH1" s="224"/>
      <c r="BSI1" s="224"/>
      <c r="BSJ1" s="224"/>
      <c r="BSK1" s="224"/>
      <c r="BSL1" s="224"/>
      <c r="BSM1" s="224"/>
      <c r="BSN1" s="224"/>
      <c r="BSO1" s="224"/>
      <c r="BSP1" s="224"/>
      <c r="BSQ1" s="224"/>
      <c r="BSR1" s="224"/>
      <c r="BSS1" s="224"/>
      <c r="BST1" s="224"/>
      <c r="BSU1" s="224"/>
      <c r="BSV1" s="224"/>
      <c r="BSW1" s="224"/>
      <c r="BSX1" s="224"/>
      <c r="BSY1" s="224"/>
      <c r="BSZ1" s="224"/>
      <c r="BTA1" s="224"/>
      <c r="BTB1" s="224"/>
      <c r="BTC1" s="224"/>
      <c r="BTD1" s="224"/>
      <c r="BTE1" s="224"/>
      <c r="BTF1" s="224"/>
      <c r="BTG1" s="224"/>
      <c r="BTH1" s="224"/>
      <c r="BTI1" s="224"/>
      <c r="BTJ1" s="224"/>
      <c r="BTK1" s="224"/>
      <c r="BTL1" s="224"/>
      <c r="BTM1" s="224"/>
      <c r="BTN1" s="224"/>
      <c r="BTO1" s="224"/>
      <c r="BTP1" s="224"/>
      <c r="BTQ1" s="224"/>
      <c r="BTR1" s="224"/>
      <c r="BTS1" s="224"/>
      <c r="BTT1" s="224"/>
      <c r="BTU1" s="224"/>
      <c r="BTV1" s="224"/>
      <c r="BTW1" s="224"/>
      <c r="BTX1" s="224"/>
      <c r="BTY1" s="224"/>
      <c r="BTZ1" s="224"/>
      <c r="BUA1" s="224"/>
      <c r="BUB1" s="224"/>
      <c r="BUC1" s="224"/>
      <c r="BUD1" s="224"/>
      <c r="BUE1" s="224"/>
      <c r="BUF1" s="224"/>
      <c r="BUG1" s="224"/>
      <c r="BUH1" s="224"/>
      <c r="BUI1" s="224"/>
      <c r="BUJ1" s="224"/>
      <c r="BUK1" s="224"/>
      <c r="BUL1" s="224"/>
      <c r="BUM1" s="224"/>
      <c r="BUN1" s="224"/>
      <c r="BUO1" s="224"/>
      <c r="BUP1" s="224"/>
      <c r="BUQ1" s="224"/>
      <c r="BUR1" s="224"/>
      <c r="BUS1" s="224"/>
      <c r="BUT1" s="224"/>
      <c r="BUU1" s="224"/>
      <c r="BUV1" s="224"/>
      <c r="BUW1" s="224"/>
      <c r="BUX1" s="224"/>
      <c r="BUY1" s="224"/>
      <c r="BUZ1" s="224"/>
      <c r="BVA1" s="224"/>
      <c r="BVB1" s="224"/>
      <c r="BVC1" s="224"/>
      <c r="BVD1" s="224"/>
      <c r="BVE1" s="224"/>
      <c r="BVF1" s="224"/>
      <c r="BVG1" s="224"/>
      <c r="BVH1" s="224"/>
      <c r="BVI1" s="224"/>
      <c r="BVJ1" s="224"/>
      <c r="BVK1" s="224"/>
      <c r="BVL1" s="224"/>
      <c r="BVM1" s="224"/>
      <c r="BVN1" s="224"/>
      <c r="BVO1" s="224"/>
      <c r="BVP1" s="224"/>
      <c r="BVQ1" s="224"/>
      <c r="BVR1" s="224"/>
      <c r="BVS1" s="224"/>
      <c r="BVT1" s="224"/>
      <c r="BVU1" s="224"/>
      <c r="BVV1" s="224"/>
      <c r="BVW1" s="224"/>
      <c r="BVX1" s="224"/>
      <c r="BVY1" s="224"/>
      <c r="BVZ1" s="224"/>
      <c r="BWA1" s="224"/>
      <c r="BWB1" s="224"/>
      <c r="BWC1" s="224"/>
      <c r="BWD1" s="224"/>
      <c r="BWE1" s="224"/>
      <c r="BWF1" s="224"/>
      <c r="BWG1" s="224"/>
      <c r="BWH1" s="224"/>
      <c r="BWI1" s="224"/>
      <c r="BWJ1" s="224"/>
      <c r="BWK1" s="224"/>
      <c r="BWL1" s="224"/>
      <c r="BWM1" s="224"/>
      <c r="BWN1" s="224"/>
      <c r="BWO1" s="224"/>
      <c r="BWP1" s="224"/>
      <c r="BWQ1" s="224"/>
      <c r="BWR1" s="224"/>
      <c r="BWS1" s="224"/>
      <c r="BWT1" s="224"/>
      <c r="BWU1" s="224"/>
      <c r="BWV1" s="224"/>
      <c r="BWW1" s="224"/>
      <c r="BWX1" s="224"/>
      <c r="BWY1" s="224"/>
      <c r="BWZ1" s="224"/>
      <c r="BXA1" s="224"/>
      <c r="BXB1" s="224"/>
      <c r="BXC1" s="224"/>
      <c r="BXD1" s="224"/>
      <c r="BXE1" s="224"/>
      <c r="BXF1" s="224"/>
      <c r="BXG1" s="224"/>
      <c r="BXH1" s="224"/>
      <c r="BXI1" s="224"/>
      <c r="BXJ1" s="224"/>
      <c r="BXK1" s="224"/>
      <c r="BXL1" s="224"/>
      <c r="BXM1" s="224"/>
      <c r="BXN1" s="224"/>
      <c r="BXO1" s="224"/>
      <c r="BXP1" s="224"/>
      <c r="BXQ1" s="224"/>
      <c r="BXR1" s="224"/>
      <c r="BXS1" s="224"/>
      <c r="BXT1" s="224"/>
      <c r="BXU1" s="224"/>
      <c r="BXV1" s="224"/>
      <c r="BXW1" s="224"/>
      <c r="BXX1" s="224"/>
      <c r="BXY1" s="224"/>
      <c r="BXZ1" s="224"/>
      <c r="BYA1" s="224"/>
      <c r="BYB1" s="224"/>
      <c r="BYC1" s="224"/>
      <c r="BYD1" s="224"/>
      <c r="BYE1" s="224"/>
      <c r="BYF1" s="224"/>
      <c r="BYG1" s="224"/>
      <c r="BYH1" s="224"/>
      <c r="BYI1" s="224"/>
      <c r="BYJ1" s="224"/>
      <c r="BYK1" s="224"/>
      <c r="BYL1" s="224"/>
      <c r="BYM1" s="224"/>
      <c r="BYN1" s="224"/>
      <c r="BYO1" s="224"/>
      <c r="BYP1" s="224"/>
      <c r="BYQ1" s="224"/>
      <c r="BYR1" s="224"/>
      <c r="BYS1" s="224"/>
      <c r="BYT1" s="224"/>
      <c r="BYU1" s="224"/>
      <c r="BYV1" s="224"/>
      <c r="BYW1" s="224"/>
      <c r="BYX1" s="224"/>
      <c r="BYY1" s="224"/>
      <c r="BYZ1" s="224"/>
      <c r="BZA1" s="224"/>
      <c r="BZB1" s="224"/>
      <c r="BZC1" s="224"/>
      <c r="BZD1" s="224"/>
      <c r="BZE1" s="224"/>
      <c r="BZF1" s="224"/>
      <c r="BZG1" s="224"/>
      <c r="BZH1" s="224"/>
      <c r="BZI1" s="224"/>
      <c r="BZJ1" s="224"/>
      <c r="BZK1" s="224"/>
      <c r="BZL1" s="224"/>
      <c r="BZM1" s="224"/>
      <c r="BZN1" s="224"/>
      <c r="BZO1" s="224"/>
      <c r="BZP1" s="224"/>
      <c r="BZQ1" s="224"/>
      <c r="BZR1" s="224"/>
      <c r="BZS1" s="224"/>
      <c r="BZT1" s="224"/>
      <c r="BZU1" s="224"/>
      <c r="BZV1" s="224"/>
      <c r="BZW1" s="224"/>
      <c r="BZX1" s="224"/>
      <c r="BZY1" s="224"/>
      <c r="BZZ1" s="224"/>
      <c r="CAA1" s="224"/>
      <c r="CAB1" s="224"/>
      <c r="CAC1" s="224"/>
      <c r="CAD1" s="224"/>
      <c r="CAE1" s="224"/>
      <c r="CAF1" s="224"/>
      <c r="CAG1" s="224"/>
      <c r="CAH1" s="224"/>
      <c r="CAI1" s="224"/>
      <c r="CAJ1" s="224"/>
      <c r="CAK1" s="224"/>
      <c r="CAL1" s="224"/>
      <c r="CAM1" s="224"/>
      <c r="CAN1" s="224"/>
      <c r="CAO1" s="224"/>
      <c r="CAP1" s="224"/>
      <c r="CAQ1" s="224"/>
      <c r="CAR1" s="224"/>
      <c r="CAS1" s="224"/>
      <c r="CAT1" s="224"/>
      <c r="CAU1" s="224"/>
      <c r="CAV1" s="224"/>
      <c r="CAW1" s="224"/>
      <c r="CAX1" s="224"/>
      <c r="CAY1" s="224"/>
      <c r="CAZ1" s="224"/>
      <c r="CBA1" s="224"/>
      <c r="CBB1" s="224"/>
      <c r="CBC1" s="224"/>
      <c r="CBD1" s="224"/>
      <c r="CBE1" s="224"/>
      <c r="CBF1" s="224"/>
      <c r="CBG1" s="224"/>
      <c r="CBH1" s="224"/>
      <c r="CBI1" s="224"/>
      <c r="CBJ1" s="224"/>
      <c r="CBK1" s="224"/>
      <c r="CBL1" s="224"/>
      <c r="CBM1" s="224"/>
      <c r="CBN1" s="224"/>
      <c r="CBO1" s="224"/>
      <c r="CBP1" s="224"/>
      <c r="CBQ1" s="224"/>
      <c r="CBR1" s="224"/>
      <c r="CBS1" s="224"/>
      <c r="CBT1" s="224"/>
      <c r="CBU1" s="224"/>
      <c r="CBV1" s="224"/>
      <c r="CBW1" s="224"/>
      <c r="CBX1" s="224"/>
      <c r="CBY1" s="224"/>
      <c r="CBZ1" s="224"/>
      <c r="CCA1" s="224"/>
      <c r="CCB1" s="224"/>
      <c r="CCC1" s="224"/>
      <c r="CCD1" s="224"/>
      <c r="CCE1" s="224"/>
      <c r="CCF1" s="224"/>
      <c r="CCG1" s="224"/>
      <c r="CCH1" s="224"/>
      <c r="CCI1" s="224"/>
      <c r="CCJ1" s="224"/>
      <c r="CCK1" s="224"/>
      <c r="CCL1" s="224"/>
      <c r="CCM1" s="224"/>
      <c r="CCN1" s="224"/>
      <c r="CCO1" s="224"/>
      <c r="CCP1" s="224"/>
      <c r="CCQ1" s="224"/>
      <c r="CCR1" s="224"/>
      <c r="CCS1" s="224"/>
      <c r="CCT1" s="224"/>
      <c r="CCU1" s="224"/>
      <c r="CCV1" s="224"/>
      <c r="CCW1" s="224"/>
      <c r="CCX1" s="224"/>
      <c r="CCY1" s="224"/>
      <c r="CCZ1" s="224"/>
      <c r="CDA1" s="224"/>
      <c r="CDB1" s="224"/>
      <c r="CDC1" s="224"/>
      <c r="CDD1" s="224"/>
      <c r="CDE1" s="224"/>
      <c r="CDF1" s="224"/>
      <c r="CDG1" s="224"/>
      <c r="CDH1" s="224"/>
      <c r="CDI1" s="224"/>
      <c r="CDJ1" s="224"/>
      <c r="CDK1" s="224"/>
      <c r="CDL1" s="224"/>
      <c r="CDM1" s="224"/>
      <c r="CDN1" s="224"/>
      <c r="CDO1" s="224"/>
      <c r="CDP1" s="224"/>
      <c r="CDQ1" s="224"/>
      <c r="CDR1" s="224"/>
      <c r="CDS1" s="224"/>
      <c r="CDT1" s="224"/>
      <c r="CDU1" s="224"/>
      <c r="CDV1" s="224"/>
      <c r="CDW1" s="224"/>
      <c r="CDX1" s="224"/>
      <c r="CDY1" s="224"/>
      <c r="CDZ1" s="224"/>
      <c r="CEA1" s="224"/>
      <c r="CEB1" s="224"/>
      <c r="CEC1" s="224"/>
      <c r="CED1" s="224"/>
      <c r="CEE1" s="224"/>
      <c r="CEF1" s="224"/>
      <c r="CEG1" s="224"/>
      <c r="CEH1" s="224"/>
      <c r="CEI1" s="224"/>
      <c r="CEJ1" s="224"/>
      <c r="CEK1" s="224"/>
      <c r="CEL1" s="224"/>
      <c r="CEM1" s="224"/>
      <c r="CEN1" s="224"/>
      <c r="CEO1" s="224"/>
      <c r="CEP1" s="224"/>
      <c r="CEQ1" s="224"/>
      <c r="CER1" s="224"/>
      <c r="CES1" s="224"/>
      <c r="CET1" s="224"/>
      <c r="CEU1" s="224"/>
      <c r="CEV1" s="224"/>
      <c r="CEW1" s="224"/>
      <c r="CEX1" s="224"/>
      <c r="CEY1" s="224"/>
      <c r="CEZ1" s="224"/>
      <c r="CFA1" s="224"/>
      <c r="CFB1" s="224"/>
      <c r="CFC1" s="224"/>
      <c r="CFD1" s="224"/>
      <c r="CFE1" s="224"/>
      <c r="CFF1" s="224"/>
      <c r="CFG1" s="224"/>
      <c r="CFH1" s="224"/>
      <c r="CFI1" s="224"/>
      <c r="CFJ1" s="224"/>
      <c r="CFK1" s="224"/>
      <c r="CFL1" s="224"/>
      <c r="CFM1" s="224"/>
      <c r="CFN1" s="224"/>
      <c r="CFO1" s="224"/>
      <c r="CFP1" s="224"/>
      <c r="CFQ1" s="224"/>
      <c r="CFR1" s="224"/>
      <c r="CFS1" s="224"/>
      <c r="CFT1" s="224"/>
      <c r="CFU1" s="224"/>
      <c r="CFV1" s="224"/>
      <c r="CFW1" s="224"/>
      <c r="CFX1" s="224"/>
      <c r="CFY1" s="224"/>
      <c r="CFZ1" s="224"/>
      <c r="CGA1" s="224"/>
      <c r="CGB1" s="224"/>
      <c r="CGC1" s="224"/>
      <c r="CGD1" s="224"/>
      <c r="CGE1" s="224"/>
      <c r="CGF1" s="224"/>
      <c r="CGG1" s="224"/>
      <c r="CGH1" s="224"/>
      <c r="CGI1" s="224"/>
      <c r="CGJ1" s="224"/>
      <c r="CGK1" s="224"/>
      <c r="CGL1" s="224"/>
      <c r="CGM1" s="224"/>
      <c r="CGN1" s="224"/>
      <c r="CGO1" s="224"/>
      <c r="CGP1" s="224"/>
      <c r="CGQ1" s="224"/>
      <c r="CGR1" s="224"/>
      <c r="CGS1" s="224"/>
      <c r="CGT1" s="224"/>
      <c r="CGU1" s="224"/>
      <c r="CGV1" s="224"/>
      <c r="CGW1" s="224"/>
      <c r="CGX1" s="224"/>
      <c r="CGY1" s="224"/>
      <c r="CGZ1" s="224"/>
      <c r="CHA1" s="224"/>
      <c r="CHB1" s="224"/>
      <c r="CHC1" s="224"/>
      <c r="CHD1" s="224"/>
      <c r="CHE1" s="224"/>
      <c r="CHF1" s="224"/>
      <c r="CHG1" s="224"/>
      <c r="CHH1" s="224"/>
      <c r="CHI1" s="224"/>
      <c r="CHJ1" s="224"/>
      <c r="CHK1" s="224"/>
      <c r="CHL1" s="224"/>
      <c r="CHM1" s="224"/>
      <c r="CHN1" s="224"/>
      <c r="CHO1" s="224"/>
      <c r="CHP1" s="224"/>
      <c r="CHQ1" s="224"/>
      <c r="CHR1" s="224"/>
      <c r="CHS1" s="224"/>
      <c r="CHT1" s="224"/>
      <c r="CHU1" s="224"/>
      <c r="CHV1" s="224"/>
      <c r="CHW1" s="224"/>
      <c r="CHX1" s="224"/>
      <c r="CHY1" s="224"/>
      <c r="CHZ1" s="224"/>
      <c r="CIA1" s="224"/>
      <c r="CIB1" s="224"/>
      <c r="CIC1" s="224"/>
      <c r="CID1" s="224"/>
      <c r="CIE1" s="224"/>
      <c r="CIF1" s="224"/>
      <c r="CIG1" s="224"/>
      <c r="CIH1" s="224"/>
      <c r="CII1" s="224"/>
      <c r="CIJ1" s="224"/>
      <c r="CIK1" s="224"/>
      <c r="CIL1" s="224"/>
      <c r="CIM1" s="224"/>
      <c r="CIN1" s="224"/>
      <c r="CIO1" s="224"/>
      <c r="CIP1" s="224"/>
      <c r="CIQ1" s="224"/>
      <c r="CIR1" s="224"/>
      <c r="CIS1" s="224"/>
      <c r="CIT1" s="224"/>
      <c r="CIU1" s="224"/>
      <c r="CIV1" s="224"/>
      <c r="CIW1" s="224"/>
      <c r="CIX1" s="224"/>
      <c r="CIY1" s="224"/>
      <c r="CIZ1" s="224"/>
      <c r="CJA1" s="224"/>
      <c r="CJB1" s="224"/>
      <c r="CJC1" s="224"/>
      <c r="CJD1" s="224"/>
      <c r="CJE1" s="224"/>
      <c r="CJF1" s="224"/>
      <c r="CJG1" s="224"/>
      <c r="CJH1" s="224"/>
      <c r="CJI1" s="224"/>
      <c r="CJJ1" s="224"/>
      <c r="CJK1" s="224"/>
      <c r="CJL1" s="224"/>
      <c r="CJM1" s="224"/>
      <c r="CJN1" s="224"/>
      <c r="CJO1" s="224"/>
      <c r="CJP1" s="224"/>
      <c r="CJQ1" s="224"/>
      <c r="CJR1" s="224"/>
      <c r="CJS1" s="224"/>
      <c r="CJT1" s="224"/>
      <c r="CJU1" s="224"/>
      <c r="CJV1" s="224"/>
      <c r="CJW1" s="224"/>
      <c r="CJX1" s="224"/>
      <c r="CJY1" s="224"/>
      <c r="CJZ1" s="224"/>
      <c r="CKA1" s="224"/>
      <c r="CKB1" s="224"/>
      <c r="CKC1" s="224"/>
      <c r="CKD1" s="224"/>
      <c r="CKE1" s="224"/>
      <c r="CKF1" s="224"/>
      <c r="CKG1" s="224"/>
      <c r="CKH1" s="224"/>
      <c r="CKI1" s="224"/>
      <c r="CKJ1" s="224"/>
      <c r="CKK1" s="224"/>
      <c r="CKL1" s="224"/>
      <c r="CKM1" s="224"/>
      <c r="CKN1" s="224"/>
      <c r="CKO1" s="224"/>
      <c r="CKP1" s="224"/>
      <c r="CKQ1" s="224"/>
      <c r="CKR1" s="224"/>
      <c r="CKS1" s="224"/>
      <c r="CKT1" s="224"/>
      <c r="CKU1" s="224"/>
      <c r="CKV1" s="224"/>
      <c r="CKW1" s="224"/>
      <c r="CKX1" s="224"/>
      <c r="CKY1" s="224"/>
      <c r="CKZ1" s="224"/>
      <c r="CLA1" s="224"/>
      <c r="CLB1" s="224"/>
      <c r="CLC1" s="224"/>
      <c r="CLD1" s="224"/>
      <c r="CLE1" s="224"/>
      <c r="CLF1" s="224"/>
      <c r="CLG1" s="224"/>
      <c r="CLH1" s="224"/>
      <c r="CLI1" s="224"/>
      <c r="CLJ1" s="224"/>
      <c r="CLK1" s="224"/>
      <c r="CLL1" s="224"/>
      <c r="CLM1" s="224"/>
      <c r="CLN1" s="224"/>
      <c r="CLO1" s="224"/>
      <c r="CLP1" s="224"/>
      <c r="CLQ1" s="224"/>
      <c r="CLR1" s="224"/>
      <c r="CLS1" s="224"/>
      <c r="CLT1" s="224"/>
      <c r="CLU1" s="224"/>
      <c r="CLV1" s="224"/>
      <c r="CLW1" s="224"/>
      <c r="CLX1" s="224"/>
      <c r="CLY1" s="224"/>
      <c r="CLZ1" s="224"/>
      <c r="CMA1" s="224"/>
      <c r="CMB1" s="224"/>
      <c r="CMC1" s="224"/>
      <c r="CMD1" s="224"/>
      <c r="CME1" s="224"/>
      <c r="CMF1" s="224"/>
      <c r="CMG1" s="224"/>
      <c r="CMH1" s="224"/>
      <c r="CMI1" s="224"/>
      <c r="CMJ1" s="224"/>
      <c r="CMK1" s="224"/>
      <c r="CML1" s="224"/>
      <c r="CMM1" s="224"/>
      <c r="CMN1" s="224"/>
      <c r="CMO1" s="224"/>
      <c r="CMP1" s="224"/>
      <c r="CMQ1" s="224"/>
      <c r="CMR1" s="224"/>
      <c r="CMS1" s="224"/>
      <c r="CMT1" s="224"/>
      <c r="CMU1" s="224"/>
      <c r="CMV1" s="224"/>
      <c r="CMW1" s="224"/>
      <c r="CMX1" s="224"/>
      <c r="CMY1" s="224"/>
      <c r="CMZ1" s="224"/>
      <c r="CNA1" s="224"/>
      <c r="CNB1" s="224"/>
      <c r="CNC1" s="224"/>
      <c r="CND1" s="224"/>
      <c r="CNE1" s="224"/>
      <c r="CNF1" s="224"/>
      <c r="CNG1" s="224"/>
      <c r="CNH1" s="224"/>
      <c r="CNI1" s="224"/>
      <c r="CNJ1" s="224"/>
      <c r="CNK1" s="224"/>
      <c r="CNL1" s="224"/>
      <c r="CNM1" s="224"/>
      <c r="CNN1" s="224"/>
      <c r="CNO1" s="224"/>
      <c r="CNP1" s="224"/>
      <c r="CNQ1" s="224"/>
      <c r="CNR1" s="224"/>
      <c r="CNS1" s="224"/>
      <c r="CNT1" s="224"/>
      <c r="CNU1" s="224"/>
      <c r="CNV1" s="224"/>
      <c r="CNW1" s="224"/>
      <c r="CNX1" s="224"/>
      <c r="CNY1" s="224"/>
      <c r="CNZ1" s="224"/>
      <c r="COA1" s="224"/>
      <c r="COB1" s="224"/>
      <c r="COC1" s="224"/>
      <c r="COD1" s="224"/>
      <c r="COE1" s="224"/>
      <c r="COF1" s="224"/>
      <c r="COG1" s="224"/>
      <c r="COH1" s="224"/>
      <c r="COI1" s="224"/>
      <c r="COJ1" s="224"/>
      <c r="COK1" s="224"/>
      <c r="COL1" s="224"/>
      <c r="COM1" s="224"/>
      <c r="CON1" s="224"/>
      <c r="COO1" s="224"/>
      <c r="COP1" s="224"/>
      <c r="COQ1" s="224"/>
      <c r="COR1" s="224"/>
      <c r="COS1" s="224"/>
      <c r="COT1" s="224"/>
      <c r="COU1" s="224"/>
      <c r="COV1" s="224"/>
      <c r="COW1" s="224"/>
      <c r="COX1" s="224"/>
      <c r="COY1" s="224"/>
      <c r="COZ1" s="224"/>
      <c r="CPA1" s="224"/>
      <c r="CPB1" s="224"/>
      <c r="CPC1" s="224"/>
      <c r="CPD1" s="224"/>
      <c r="CPE1" s="224"/>
      <c r="CPF1" s="224"/>
      <c r="CPG1" s="224"/>
      <c r="CPH1" s="224"/>
      <c r="CPI1" s="224"/>
      <c r="CPJ1" s="224"/>
      <c r="CPK1" s="224"/>
      <c r="CPL1" s="224"/>
      <c r="CPM1" s="224"/>
      <c r="CPN1" s="224"/>
      <c r="CPO1" s="224"/>
      <c r="CPP1" s="224"/>
      <c r="CPQ1" s="224"/>
      <c r="CPR1" s="224"/>
      <c r="CPS1" s="224"/>
      <c r="CPT1" s="224"/>
      <c r="CPU1" s="224"/>
      <c r="CPV1" s="224"/>
      <c r="CPW1" s="224"/>
      <c r="CPX1" s="224"/>
      <c r="CPY1" s="224"/>
      <c r="CPZ1" s="224"/>
      <c r="CQA1" s="224"/>
      <c r="CQB1" s="224"/>
      <c r="CQC1" s="224"/>
      <c r="CQD1" s="224"/>
      <c r="CQE1" s="224"/>
      <c r="CQF1" s="224"/>
      <c r="CQG1" s="224"/>
      <c r="CQH1" s="224"/>
      <c r="CQI1" s="224"/>
      <c r="CQJ1" s="224"/>
      <c r="CQK1" s="224"/>
      <c r="CQL1" s="224"/>
      <c r="CQM1" s="224"/>
      <c r="CQN1" s="224"/>
      <c r="CQO1" s="224"/>
      <c r="CQP1" s="224"/>
      <c r="CQQ1" s="224"/>
      <c r="CQR1" s="224"/>
      <c r="CQS1" s="224"/>
      <c r="CQT1" s="224"/>
      <c r="CQU1" s="224"/>
      <c r="CQV1" s="224"/>
      <c r="CQW1" s="224"/>
      <c r="CQX1" s="224"/>
      <c r="CQY1" s="224"/>
      <c r="CQZ1" s="224"/>
      <c r="CRA1" s="224"/>
      <c r="CRB1" s="224"/>
      <c r="CRC1" s="224"/>
      <c r="CRD1" s="224"/>
      <c r="CRE1" s="224"/>
      <c r="CRF1" s="224"/>
      <c r="CRG1" s="224"/>
      <c r="CRH1" s="224"/>
      <c r="CRI1" s="224"/>
      <c r="CRJ1" s="224"/>
      <c r="CRK1" s="224"/>
      <c r="CRL1" s="224"/>
      <c r="CRM1" s="224"/>
      <c r="CRN1" s="224"/>
      <c r="CRO1" s="224"/>
      <c r="CRP1" s="224"/>
      <c r="CRQ1" s="224"/>
      <c r="CRR1" s="224"/>
      <c r="CRS1" s="224"/>
      <c r="CRT1" s="224"/>
      <c r="CRU1" s="224"/>
      <c r="CRV1" s="224"/>
      <c r="CRW1" s="224"/>
      <c r="CRX1" s="224"/>
      <c r="CRY1" s="224"/>
      <c r="CRZ1" s="224"/>
      <c r="CSA1" s="224"/>
      <c r="CSB1" s="224"/>
      <c r="CSC1" s="224"/>
      <c r="CSD1" s="224"/>
      <c r="CSE1" s="224"/>
      <c r="CSF1" s="224"/>
      <c r="CSG1" s="224"/>
      <c r="CSH1" s="224"/>
      <c r="CSI1" s="224"/>
      <c r="CSJ1" s="224"/>
      <c r="CSK1" s="224"/>
      <c r="CSL1" s="224"/>
      <c r="CSM1" s="224"/>
      <c r="CSN1" s="224"/>
      <c r="CSO1" s="224"/>
      <c r="CSP1" s="224"/>
      <c r="CSQ1" s="224"/>
      <c r="CSR1" s="224"/>
      <c r="CSS1" s="224"/>
      <c r="CST1" s="224"/>
      <c r="CSU1" s="224"/>
      <c r="CSV1" s="224"/>
      <c r="CSW1" s="224"/>
      <c r="CSX1" s="224"/>
      <c r="CSY1" s="224"/>
      <c r="CSZ1" s="224"/>
      <c r="CTA1" s="224"/>
      <c r="CTB1" s="224"/>
      <c r="CTC1" s="224"/>
      <c r="CTD1" s="224"/>
      <c r="CTE1" s="224"/>
      <c r="CTF1" s="224"/>
      <c r="CTG1" s="224"/>
      <c r="CTH1" s="224"/>
      <c r="CTI1" s="224"/>
      <c r="CTJ1" s="224"/>
      <c r="CTK1" s="224"/>
      <c r="CTL1" s="224"/>
      <c r="CTM1" s="224"/>
      <c r="CTN1" s="224"/>
      <c r="CTO1" s="224"/>
      <c r="CTP1" s="224"/>
      <c r="CTQ1" s="224"/>
      <c r="CTR1" s="224"/>
      <c r="CTS1" s="224"/>
      <c r="CTT1" s="224"/>
      <c r="CTU1" s="224"/>
      <c r="CTV1" s="224"/>
      <c r="CTW1" s="224"/>
      <c r="CTX1" s="224"/>
      <c r="CTY1" s="224"/>
      <c r="CTZ1" s="224"/>
      <c r="CUA1" s="224"/>
      <c r="CUB1" s="224"/>
      <c r="CUC1" s="224"/>
      <c r="CUD1" s="224"/>
      <c r="CUE1" s="224"/>
      <c r="CUF1" s="224"/>
      <c r="CUG1" s="224"/>
      <c r="CUH1" s="224"/>
      <c r="CUI1" s="224"/>
      <c r="CUJ1" s="224"/>
      <c r="CUK1" s="224"/>
      <c r="CUL1" s="224"/>
      <c r="CUM1" s="224"/>
      <c r="CUN1" s="224"/>
      <c r="CUO1" s="224"/>
      <c r="CUP1" s="224"/>
      <c r="CUQ1" s="224"/>
      <c r="CUR1" s="224"/>
      <c r="CUS1" s="224"/>
      <c r="CUT1" s="224"/>
      <c r="CUU1" s="224"/>
      <c r="CUV1" s="224"/>
      <c r="CUW1" s="224"/>
      <c r="CUX1" s="224"/>
      <c r="CUY1" s="224"/>
      <c r="CUZ1" s="224"/>
      <c r="CVA1" s="224"/>
      <c r="CVB1" s="224"/>
      <c r="CVC1" s="224"/>
      <c r="CVD1" s="224"/>
      <c r="CVE1" s="224"/>
      <c r="CVF1" s="224"/>
      <c r="CVG1" s="224"/>
      <c r="CVH1" s="224"/>
      <c r="CVI1" s="224"/>
      <c r="CVJ1" s="224"/>
      <c r="CVK1" s="224"/>
      <c r="CVL1" s="224"/>
      <c r="CVM1" s="224"/>
      <c r="CVN1" s="224"/>
      <c r="CVO1" s="224"/>
      <c r="CVP1" s="224"/>
      <c r="CVQ1" s="224"/>
      <c r="CVR1" s="224"/>
      <c r="CVS1" s="224"/>
      <c r="CVT1" s="224"/>
      <c r="CVU1" s="224"/>
      <c r="CVV1" s="224"/>
      <c r="CVW1" s="224"/>
      <c r="CVX1" s="224"/>
      <c r="CVY1" s="224"/>
      <c r="CVZ1" s="224"/>
      <c r="CWA1" s="224"/>
      <c r="CWB1" s="224"/>
      <c r="CWC1" s="224"/>
      <c r="CWD1" s="224"/>
      <c r="CWE1" s="224"/>
      <c r="CWF1" s="224"/>
      <c r="CWG1" s="224"/>
      <c r="CWH1" s="224"/>
      <c r="CWI1" s="224"/>
      <c r="CWJ1" s="224"/>
      <c r="CWK1" s="224"/>
      <c r="CWL1" s="224"/>
      <c r="CWM1" s="224"/>
      <c r="CWN1" s="224"/>
      <c r="CWO1" s="224"/>
      <c r="CWP1" s="224"/>
      <c r="CWQ1" s="224"/>
      <c r="CWR1" s="224"/>
      <c r="CWS1" s="224"/>
      <c r="CWT1" s="224"/>
      <c r="CWU1" s="224"/>
      <c r="CWV1" s="224"/>
      <c r="CWW1" s="224"/>
      <c r="CWX1" s="224"/>
      <c r="CWY1" s="224"/>
      <c r="CWZ1" s="224"/>
      <c r="CXA1" s="224"/>
      <c r="CXB1" s="224"/>
      <c r="CXC1" s="224"/>
      <c r="CXD1" s="224"/>
      <c r="CXE1" s="224"/>
      <c r="CXF1" s="224"/>
      <c r="CXG1" s="224"/>
      <c r="CXH1" s="224"/>
      <c r="CXI1" s="224"/>
      <c r="CXJ1" s="224"/>
      <c r="CXK1" s="224"/>
      <c r="CXL1" s="224"/>
      <c r="CXM1" s="224"/>
      <c r="CXN1" s="224"/>
      <c r="CXO1" s="224"/>
      <c r="CXP1" s="224"/>
      <c r="CXQ1" s="224"/>
      <c r="CXR1" s="224"/>
      <c r="CXS1" s="224"/>
      <c r="CXT1" s="224"/>
      <c r="CXU1" s="224"/>
      <c r="CXV1" s="224"/>
      <c r="CXW1" s="224"/>
      <c r="CXX1" s="224"/>
      <c r="CXY1" s="224"/>
      <c r="CXZ1" s="224"/>
      <c r="CYA1" s="224"/>
      <c r="CYB1" s="224"/>
      <c r="CYC1" s="224"/>
      <c r="CYD1" s="224"/>
      <c r="CYE1" s="224"/>
      <c r="CYF1" s="224"/>
      <c r="CYG1" s="224"/>
      <c r="CYH1" s="224"/>
      <c r="CYI1" s="224"/>
      <c r="CYJ1" s="224"/>
      <c r="CYK1" s="224"/>
      <c r="CYL1" s="224"/>
      <c r="CYM1" s="224"/>
      <c r="CYN1" s="224"/>
      <c r="CYO1" s="224"/>
      <c r="CYP1" s="224"/>
      <c r="CYQ1" s="224"/>
      <c r="CYR1" s="224"/>
      <c r="CYS1" s="224"/>
      <c r="CYT1" s="224"/>
      <c r="CYU1" s="224"/>
      <c r="CYV1" s="224"/>
      <c r="CYW1" s="224"/>
      <c r="CYX1" s="224"/>
      <c r="CYY1" s="224"/>
      <c r="CYZ1" s="224"/>
      <c r="CZA1" s="224"/>
      <c r="CZB1" s="224"/>
      <c r="CZC1" s="224"/>
      <c r="CZD1" s="224"/>
      <c r="CZE1" s="224"/>
      <c r="CZF1" s="224"/>
      <c r="CZG1" s="224"/>
      <c r="CZH1" s="224"/>
      <c r="CZI1" s="224"/>
      <c r="CZJ1" s="224"/>
      <c r="CZK1" s="224"/>
      <c r="CZL1" s="224"/>
      <c r="CZM1" s="224"/>
      <c r="CZN1" s="224"/>
      <c r="CZO1" s="224"/>
      <c r="CZP1" s="224"/>
      <c r="CZQ1" s="224"/>
      <c r="CZR1" s="224"/>
      <c r="CZS1" s="224"/>
      <c r="CZT1" s="224"/>
      <c r="CZU1" s="224"/>
      <c r="CZV1" s="224"/>
      <c r="CZW1" s="224"/>
      <c r="CZX1" s="224"/>
      <c r="CZY1" s="224"/>
      <c r="CZZ1" s="224"/>
      <c r="DAA1" s="224"/>
      <c r="DAB1" s="224"/>
      <c r="DAC1" s="224"/>
      <c r="DAD1" s="224"/>
      <c r="DAE1" s="224"/>
      <c r="DAF1" s="224"/>
      <c r="DAG1" s="224"/>
      <c r="DAH1" s="224"/>
      <c r="DAI1" s="224"/>
      <c r="DAJ1" s="224"/>
      <c r="DAK1" s="224"/>
      <c r="DAL1" s="224"/>
      <c r="DAM1" s="224"/>
      <c r="DAN1" s="224"/>
      <c r="DAO1" s="224"/>
      <c r="DAP1" s="224"/>
      <c r="DAQ1" s="224"/>
      <c r="DAR1" s="224"/>
      <c r="DAS1" s="224"/>
      <c r="DAT1" s="224"/>
      <c r="DAU1" s="224"/>
      <c r="DAV1" s="224"/>
      <c r="DAW1" s="224"/>
      <c r="DAX1" s="224"/>
      <c r="DAY1" s="224"/>
      <c r="DAZ1" s="224"/>
      <c r="DBA1" s="224"/>
      <c r="DBB1" s="224"/>
      <c r="DBC1" s="224"/>
      <c r="DBD1" s="224"/>
      <c r="DBE1" s="224"/>
      <c r="DBF1" s="224"/>
      <c r="DBG1" s="224"/>
      <c r="DBH1" s="224"/>
      <c r="DBI1" s="224"/>
      <c r="DBJ1" s="224"/>
      <c r="DBK1" s="224"/>
      <c r="DBL1" s="224"/>
      <c r="DBM1" s="224"/>
      <c r="DBN1" s="224"/>
      <c r="DBO1" s="224"/>
      <c r="DBP1" s="224"/>
      <c r="DBQ1" s="224"/>
      <c r="DBR1" s="224"/>
      <c r="DBS1" s="224"/>
      <c r="DBT1" s="224"/>
      <c r="DBU1" s="224"/>
      <c r="DBV1" s="224"/>
      <c r="DBW1" s="224"/>
      <c r="DBX1" s="224"/>
      <c r="DBY1" s="224"/>
      <c r="DBZ1" s="224"/>
      <c r="DCA1" s="224"/>
      <c r="DCB1" s="224"/>
      <c r="DCC1" s="224"/>
      <c r="DCD1" s="224"/>
      <c r="DCE1" s="224"/>
      <c r="DCF1" s="224"/>
      <c r="DCG1" s="224"/>
      <c r="DCH1" s="224"/>
      <c r="DCI1" s="224"/>
      <c r="DCJ1" s="224"/>
      <c r="DCK1" s="224"/>
      <c r="DCL1" s="224"/>
      <c r="DCM1" s="224"/>
      <c r="DCN1" s="224"/>
      <c r="DCO1" s="224"/>
      <c r="DCP1" s="224"/>
      <c r="DCQ1" s="224"/>
      <c r="DCR1" s="224"/>
      <c r="DCS1" s="224"/>
      <c r="DCT1" s="224"/>
      <c r="DCU1" s="224"/>
      <c r="DCV1" s="224"/>
      <c r="DCW1" s="224"/>
      <c r="DCX1" s="224"/>
      <c r="DCY1" s="224"/>
      <c r="DCZ1" s="224"/>
      <c r="DDA1" s="224"/>
      <c r="DDB1" s="224"/>
      <c r="DDC1" s="224"/>
      <c r="DDD1" s="224"/>
      <c r="DDE1" s="224"/>
      <c r="DDF1" s="224"/>
      <c r="DDG1" s="224"/>
      <c r="DDH1" s="224"/>
      <c r="DDI1" s="224"/>
      <c r="DDJ1" s="224"/>
      <c r="DDK1" s="224"/>
      <c r="DDL1" s="224"/>
      <c r="DDM1" s="224"/>
      <c r="DDN1" s="224"/>
      <c r="DDO1" s="224"/>
      <c r="DDP1" s="224"/>
      <c r="DDQ1" s="224"/>
      <c r="DDR1" s="224"/>
      <c r="DDS1" s="224"/>
      <c r="DDT1" s="224"/>
      <c r="DDU1" s="224"/>
      <c r="DDV1" s="224"/>
      <c r="DDW1" s="224"/>
      <c r="DDX1" s="224"/>
      <c r="DDY1" s="224"/>
      <c r="DDZ1" s="224"/>
      <c r="DEA1" s="224"/>
      <c r="DEB1" s="224"/>
      <c r="DEC1" s="224"/>
      <c r="DED1" s="224"/>
      <c r="DEE1" s="224"/>
      <c r="DEF1" s="224"/>
      <c r="DEG1" s="224"/>
      <c r="DEH1" s="224"/>
      <c r="DEI1" s="224"/>
      <c r="DEJ1" s="224"/>
      <c r="DEK1" s="224"/>
      <c r="DEL1" s="224"/>
      <c r="DEM1" s="224"/>
      <c r="DEN1" s="224"/>
      <c r="DEO1" s="224"/>
      <c r="DEP1" s="224"/>
      <c r="DEQ1" s="224"/>
      <c r="DER1" s="224"/>
      <c r="DES1" s="224"/>
      <c r="DET1" s="224"/>
      <c r="DEU1" s="224"/>
      <c r="DEV1" s="224"/>
      <c r="DEW1" s="224"/>
      <c r="DEX1" s="224"/>
      <c r="DEY1" s="224"/>
      <c r="DEZ1" s="224"/>
      <c r="DFA1" s="224"/>
      <c r="DFB1" s="224"/>
      <c r="DFC1" s="224"/>
      <c r="DFD1" s="224"/>
      <c r="DFE1" s="224"/>
      <c r="DFF1" s="224"/>
      <c r="DFG1" s="224"/>
      <c r="DFH1" s="224"/>
      <c r="DFI1" s="224"/>
      <c r="DFJ1" s="224"/>
      <c r="DFK1" s="224"/>
      <c r="DFL1" s="224"/>
      <c r="DFM1" s="224"/>
      <c r="DFN1" s="224"/>
      <c r="DFO1" s="224"/>
      <c r="DFP1" s="224"/>
      <c r="DFQ1" s="224"/>
      <c r="DFR1" s="224"/>
      <c r="DFS1" s="224"/>
      <c r="DFT1" s="224"/>
      <c r="DFU1" s="224"/>
      <c r="DFV1" s="224"/>
      <c r="DFW1" s="224"/>
      <c r="DFX1" s="224"/>
      <c r="DFY1" s="224"/>
      <c r="DFZ1" s="224"/>
      <c r="DGA1" s="224"/>
      <c r="DGB1" s="224"/>
      <c r="DGC1" s="224"/>
      <c r="DGD1" s="224"/>
      <c r="DGE1" s="224"/>
      <c r="DGF1" s="224"/>
      <c r="DGG1" s="224"/>
      <c r="DGH1" s="224"/>
      <c r="DGI1" s="224"/>
      <c r="DGJ1" s="224"/>
      <c r="DGK1" s="224"/>
      <c r="DGL1" s="224"/>
      <c r="DGM1" s="224"/>
      <c r="DGN1" s="224"/>
      <c r="DGO1" s="224"/>
      <c r="DGP1" s="224"/>
      <c r="DGQ1" s="224"/>
      <c r="DGR1" s="224"/>
      <c r="DGS1" s="224"/>
      <c r="DGT1" s="224"/>
      <c r="DGU1" s="224"/>
      <c r="DGV1" s="224"/>
      <c r="DGW1" s="224"/>
      <c r="DGX1" s="224"/>
      <c r="DGY1" s="224"/>
      <c r="DGZ1" s="224"/>
      <c r="DHA1" s="224"/>
      <c r="DHB1" s="224"/>
      <c r="DHC1" s="224"/>
      <c r="DHD1" s="224"/>
      <c r="DHE1" s="224"/>
      <c r="DHF1" s="224"/>
      <c r="DHG1" s="224"/>
      <c r="DHH1" s="224"/>
      <c r="DHI1" s="224"/>
      <c r="DHJ1" s="224"/>
      <c r="DHK1" s="224"/>
      <c r="DHL1" s="224"/>
      <c r="DHM1" s="224"/>
      <c r="DHN1" s="224"/>
      <c r="DHO1" s="224"/>
      <c r="DHP1" s="224"/>
      <c r="DHQ1" s="224"/>
      <c r="DHR1" s="224"/>
      <c r="DHS1" s="224"/>
      <c r="DHT1" s="224"/>
      <c r="DHU1" s="224"/>
      <c r="DHV1" s="224"/>
      <c r="DHW1" s="224"/>
      <c r="DHX1" s="224"/>
      <c r="DHY1" s="224"/>
      <c r="DHZ1" s="224"/>
      <c r="DIA1" s="224"/>
      <c r="DIB1" s="224"/>
      <c r="DIC1" s="224"/>
      <c r="DID1" s="224"/>
      <c r="DIE1" s="224"/>
      <c r="DIF1" s="224"/>
      <c r="DIG1" s="224"/>
      <c r="DIH1" s="224"/>
      <c r="DII1" s="224"/>
      <c r="DIJ1" s="224"/>
      <c r="DIK1" s="224"/>
      <c r="DIL1" s="224"/>
      <c r="DIM1" s="224"/>
      <c r="DIN1" s="224"/>
      <c r="DIO1" s="224"/>
      <c r="DIP1" s="224"/>
      <c r="DIQ1" s="224"/>
      <c r="DIR1" s="224"/>
      <c r="DIS1" s="224"/>
      <c r="DIT1" s="224"/>
      <c r="DIU1" s="224"/>
      <c r="DIV1" s="224"/>
      <c r="DIW1" s="224"/>
      <c r="DIX1" s="224"/>
      <c r="DIY1" s="224"/>
      <c r="DIZ1" s="224"/>
      <c r="DJA1" s="224"/>
      <c r="DJB1" s="224"/>
      <c r="DJC1" s="224"/>
      <c r="DJD1" s="224"/>
      <c r="DJE1" s="224"/>
      <c r="DJF1" s="224"/>
      <c r="DJG1" s="224"/>
      <c r="DJH1" s="224"/>
      <c r="DJI1" s="224"/>
      <c r="DJJ1" s="224"/>
      <c r="DJK1" s="224"/>
      <c r="DJL1" s="224"/>
      <c r="DJM1" s="224"/>
      <c r="DJN1" s="224"/>
      <c r="DJO1" s="224"/>
      <c r="DJP1" s="224"/>
      <c r="DJQ1" s="224"/>
      <c r="DJR1" s="224"/>
      <c r="DJS1" s="224"/>
      <c r="DJT1" s="224"/>
      <c r="DJU1" s="224"/>
      <c r="DJV1" s="224"/>
      <c r="DJW1" s="224"/>
      <c r="DJX1" s="224"/>
      <c r="DJY1" s="224"/>
      <c r="DJZ1" s="224"/>
      <c r="DKA1" s="224"/>
      <c r="DKB1" s="224"/>
      <c r="DKC1" s="224"/>
      <c r="DKD1" s="224"/>
      <c r="DKE1" s="224"/>
      <c r="DKF1" s="224"/>
      <c r="DKG1" s="224"/>
      <c r="DKH1" s="224"/>
      <c r="DKI1" s="224"/>
      <c r="DKJ1" s="224"/>
      <c r="DKK1" s="224"/>
      <c r="DKL1" s="224"/>
      <c r="DKM1" s="224"/>
      <c r="DKN1" s="224"/>
      <c r="DKO1" s="224"/>
      <c r="DKP1" s="224"/>
      <c r="DKQ1" s="224"/>
      <c r="DKR1" s="224"/>
      <c r="DKS1" s="224"/>
      <c r="DKT1" s="224"/>
      <c r="DKU1" s="224"/>
      <c r="DKV1" s="224"/>
      <c r="DKW1" s="224"/>
      <c r="DKX1" s="224"/>
      <c r="DKY1" s="224"/>
      <c r="DKZ1" s="224"/>
      <c r="DLA1" s="224"/>
      <c r="DLB1" s="224"/>
      <c r="DLC1" s="224"/>
      <c r="DLD1" s="224"/>
      <c r="DLE1" s="224"/>
      <c r="DLF1" s="224"/>
      <c r="DLG1" s="224"/>
      <c r="DLH1" s="224"/>
      <c r="DLI1" s="224"/>
      <c r="DLJ1" s="224"/>
      <c r="DLK1" s="224"/>
      <c r="DLL1" s="224"/>
      <c r="DLM1" s="224"/>
      <c r="DLN1" s="224"/>
      <c r="DLO1" s="224"/>
      <c r="DLP1" s="224"/>
      <c r="DLQ1" s="224"/>
      <c r="DLR1" s="224"/>
      <c r="DLS1" s="224"/>
      <c r="DLT1" s="224"/>
      <c r="DLU1" s="224"/>
      <c r="DLV1" s="224"/>
      <c r="DLW1" s="224"/>
      <c r="DLX1" s="224"/>
      <c r="DLY1" s="224"/>
      <c r="DLZ1" s="224"/>
      <c r="DMA1" s="224"/>
      <c r="DMB1" s="224"/>
      <c r="DMC1" s="224"/>
      <c r="DMD1" s="224"/>
      <c r="DME1" s="224"/>
      <c r="DMF1" s="224"/>
      <c r="DMG1" s="224"/>
      <c r="DMH1" s="224"/>
      <c r="DMI1" s="224"/>
      <c r="DMJ1" s="224"/>
      <c r="DMK1" s="224"/>
      <c r="DML1" s="224"/>
      <c r="DMM1" s="224"/>
      <c r="DMN1" s="224"/>
      <c r="DMO1" s="224"/>
      <c r="DMP1" s="224"/>
      <c r="DMQ1" s="224"/>
      <c r="DMR1" s="224"/>
      <c r="DMS1" s="224"/>
      <c r="DMT1" s="224"/>
      <c r="DMU1" s="224"/>
      <c r="DMV1" s="224"/>
      <c r="DMW1" s="224"/>
      <c r="DMX1" s="224"/>
      <c r="DMY1" s="224"/>
      <c r="DMZ1" s="224"/>
      <c r="DNA1" s="224"/>
      <c r="DNB1" s="224"/>
      <c r="DNC1" s="224"/>
      <c r="DND1" s="224"/>
      <c r="DNE1" s="224"/>
      <c r="DNF1" s="224"/>
      <c r="DNG1" s="224"/>
      <c r="DNH1" s="224"/>
      <c r="DNI1" s="224"/>
      <c r="DNJ1" s="224"/>
      <c r="DNK1" s="224"/>
      <c r="DNL1" s="224"/>
      <c r="DNM1" s="224"/>
      <c r="DNN1" s="224"/>
      <c r="DNO1" s="224"/>
      <c r="DNP1" s="224"/>
      <c r="DNQ1" s="224"/>
      <c r="DNR1" s="224"/>
      <c r="DNS1" s="224"/>
      <c r="DNT1" s="224"/>
      <c r="DNU1" s="224"/>
      <c r="DNV1" s="224"/>
      <c r="DNW1" s="224"/>
      <c r="DNX1" s="224"/>
      <c r="DNY1" s="224"/>
      <c r="DNZ1" s="224"/>
      <c r="DOA1" s="224"/>
      <c r="DOB1" s="224"/>
      <c r="DOC1" s="224"/>
      <c r="DOD1" s="224"/>
      <c r="DOE1" s="224"/>
      <c r="DOF1" s="224"/>
      <c r="DOG1" s="224"/>
      <c r="DOH1" s="224"/>
      <c r="DOI1" s="224"/>
      <c r="DOJ1" s="224"/>
      <c r="DOK1" s="224"/>
      <c r="DOL1" s="224"/>
      <c r="DOM1" s="224"/>
      <c r="DON1" s="224"/>
      <c r="DOO1" s="224"/>
      <c r="DOP1" s="224"/>
      <c r="DOQ1" s="224"/>
      <c r="DOR1" s="224"/>
      <c r="DOS1" s="224"/>
      <c r="DOT1" s="224"/>
      <c r="DOU1" s="224"/>
      <c r="DOV1" s="224"/>
      <c r="DOW1" s="224"/>
      <c r="DOX1" s="224"/>
      <c r="DOY1" s="224"/>
      <c r="DOZ1" s="224"/>
      <c r="DPA1" s="224"/>
      <c r="DPB1" s="224"/>
      <c r="DPC1" s="224"/>
      <c r="DPD1" s="224"/>
      <c r="DPE1" s="224"/>
      <c r="DPF1" s="224"/>
      <c r="DPG1" s="224"/>
      <c r="DPH1" s="224"/>
      <c r="DPI1" s="224"/>
      <c r="DPJ1" s="224"/>
      <c r="DPK1" s="224"/>
      <c r="DPL1" s="224"/>
      <c r="DPM1" s="224"/>
      <c r="DPN1" s="224"/>
      <c r="DPO1" s="224"/>
      <c r="DPP1" s="224"/>
      <c r="DPQ1" s="224"/>
      <c r="DPR1" s="224"/>
      <c r="DPS1" s="224"/>
      <c r="DPT1" s="224"/>
      <c r="DPU1" s="224"/>
      <c r="DPV1" s="224"/>
      <c r="DPW1" s="224"/>
      <c r="DPX1" s="224"/>
      <c r="DPY1" s="224"/>
      <c r="DPZ1" s="224"/>
      <c r="DQA1" s="224"/>
      <c r="DQB1" s="224"/>
      <c r="DQC1" s="224"/>
      <c r="DQD1" s="224"/>
      <c r="DQE1" s="224"/>
      <c r="DQF1" s="224"/>
      <c r="DQG1" s="224"/>
      <c r="DQH1" s="224"/>
      <c r="DQI1" s="224"/>
      <c r="DQJ1" s="224"/>
      <c r="DQK1" s="224"/>
      <c r="DQL1" s="224"/>
      <c r="DQM1" s="224"/>
      <c r="DQN1" s="224"/>
      <c r="DQO1" s="224"/>
      <c r="DQP1" s="224"/>
      <c r="DQQ1" s="224"/>
      <c r="DQR1" s="224"/>
      <c r="DQS1" s="224"/>
      <c r="DQT1" s="224"/>
      <c r="DQU1" s="224"/>
      <c r="DQV1" s="224"/>
      <c r="DQW1" s="224"/>
      <c r="DQX1" s="224"/>
      <c r="DQY1" s="224"/>
      <c r="DQZ1" s="224"/>
      <c r="DRA1" s="224"/>
      <c r="DRB1" s="224"/>
      <c r="DRC1" s="224"/>
      <c r="DRD1" s="224"/>
      <c r="DRE1" s="224"/>
      <c r="DRF1" s="224"/>
      <c r="DRG1" s="224"/>
      <c r="DRH1" s="224"/>
      <c r="DRI1" s="224"/>
      <c r="DRJ1" s="224"/>
      <c r="DRK1" s="224"/>
      <c r="DRL1" s="224"/>
      <c r="DRM1" s="224"/>
      <c r="DRN1" s="224"/>
      <c r="DRO1" s="224"/>
      <c r="DRP1" s="224"/>
      <c r="DRQ1" s="224"/>
      <c r="DRR1" s="224"/>
      <c r="DRS1" s="224"/>
      <c r="DRT1" s="224"/>
      <c r="DRU1" s="224"/>
      <c r="DRV1" s="224"/>
      <c r="DRW1" s="224"/>
      <c r="DRX1" s="224"/>
      <c r="DRY1" s="224"/>
      <c r="DRZ1" s="224"/>
      <c r="DSA1" s="224"/>
      <c r="DSB1" s="224"/>
      <c r="DSC1" s="224"/>
      <c r="DSD1" s="224"/>
      <c r="DSE1" s="224"/>
      <c r="DSF1" s="224"/>
      <c r="DSG1" s="224"/>
      <c r="DSH1" s="224"/>
      <c r="DSI1" s="224"/>
      <c r="DSJ1" s="224"/>
      <c r="DSK1" s="224"/>
      <c r="DSL1" s="224"/>
      <c r="DSM1" s="224"/>
      <c r="DSN1" s="224"/>
      <c r="DSO1" s="224"/>
      <c r="DSP1" s="224"/>
      <c r="DSQ1" s="224"/>
      <c r="DSR1" s="224"/>
      <c r="DSS1" s="224"/>
      <c r="DST1" s="224"/>
      <c r="DSU1" s="224"/>
      <c r="DSV1" s="224"/>
      <c r="DSW1" s="224"/>
      <c r="DSX1" s="224"/>
      <c r="DSY1" s="224"/>
      <c r="DSZ1" s="224"/>
      <c r="DTA1" s="224"/>
      <c r="DTB1" s="224"/>
      <c r="DTC1" s="224"/>
      <c r="DTD1" s="224"/>
      <c r="DTE1" s="224"/>
      <c r="DTF1" s="224"/>
      <c r="DTG1" s="224"/>
      <c r="DTH1" s="224"/>
      <c r="DTI1" s="224"/>
      <c r="DTJ1" s="224"/>
      <c r="DTK1" s="224"/>
      <c r="DTL1" s="224"/>
      <c r="DTM1" s="224"/>
      <c r="DTN1" s="224"/>
      <c r="DTO1" s="224"/>
      <c r="DTP1" s="224"/>
      <c r="DTQ1" s="224"/>
      <c r="DTR1" s="224"/>
      <c r="DTS1" s="224"/>
      <c r="DTT1" s="224"/>
      <c r="DTU1" s="224"/>
      <c r="DTV1" s="224"/>
      <c r="DTW1" s="224"/>
      <c r="DTX1" s="224"/>
      <c r="DTY1" s="224"/>
      <c r="DTZ1" s="224"/>
      <c r="DUA1" s="224"/>
      <c r="DUB1" s="224"/>
      <c r="DUC1" s="224"/>
      <c r="DUD1" s="224"/>
      <c r="DUE1" s="224"/>
      <c r="DUF1" s="224"/>
      <c r="DUG1" s="224"/>
      <c r="DUH1" s="224"/>
      <c r="DUI1" s="224"/>
      <c r="DUJ1" s="224"/>
      <c r="DUK1" s="224"/>
      <c r="DUL1" s="224"/>
      <c r="DUM1" s="224"/>
      <c r="DUN1" s="224"/>
      <c r="DUO1" s="224"/>
      <c r="DUP1" s="224"/>
      <c r="DUQ1" s="224"/>
      <c r="DUR1" s="224"/>
      <c r="DUS1" s="224"/>
      <c r="DUT1" s="224"/>
      <c r="DUU1" s="224"/>
      <c r="DUV1" s="224"/>
      <c r="DUW1" s="224"/>
      <c r="DUX1" s="224"/>
      <c r="DUY1" s="224"/>
      <c r="DUZ1" s="224"/>
      <c r="DVA1" s="224"/>
      <c r="DVB1" s="224"/>
      <c r="DVC1" s="224"/>
      <c r="DVD1" s="224"/>
      <c r="DVE1" s="224"/>
      <c r="DVF1" s="224"/>
      <c r="DVG1" s="224"/>
      <c r="DVH1" s="224"/>
      <c r="DVI1" s="224"/>
      <c r="DVJ1" s="224"/>
      <c r="DVK1" s="224"/>
      <c r="DVL1" s="224"/>
      <c r="DVM1" s="224"/>
      <c r="DVN1" s="224"/>
      <c r="DVO1" s="224"/>
      <c r="DVP1" s="224"/>
      <c r="DVQ1" s="224"/>
      <c r="DVR1" s="224"/>
      <c r="DVS1" s="224"/>
      <c r="DVT1" s="224"/>
      <c r="DVU1" s="224"/>
      <c r="DVV1" s="224"/>
      <c r="DVW1" s="224"/>
      <c r="DVX1" s="224"/>
      <c r="DVY1" s="224"/>
      <c r="DVZ1" s="224"/>
      <c r="DWA1" s="224"/>
      <c r="DWB1" s="224"/>
      <c r="DWC1" s="224"/>
      <c r="DWD1" s="224"/>
      <c r="DWE1" s="224"/>
      <c r="DWF1" s="224"/>
      <c r="DWG1" s="224"/>
      <c r="DWH1" s="224"/>
      <c r="DWI1" s="224"/>
      <c r="DWJ1" s="224"/>
      <c r="DWK1" s="224"/>
      <c r="DWL1" s="224"/>
      <c r="DWM1" s="224"/>
      <c r="DWN1" s="224"/>
      <c r="DWO1" s="224"/>
      <c r="DWP1" s="224"/>
      <c r="DWQ1" s="224"/>
      <c r="DWR1" s="224"/>
      <c r="DWS1" s="224"/>
      <c r="DWT1" s="224"/>
      <c r="DWU1" s="224"/>
      <c r="DWV1" s="224"/>
      <c r="DWW1" s="224"/>
      <c r="DWX1" s="224"/>
      <c r="DWY1" s="224"/>
      <c r="DWZ1" s="224"/>
      <c r="DXA1" s="224"/>
      <c r="DXB1" s="224"/>
      <c r="DXC1" s="224"/>
      <c r="DXD1" s="224"/>
      <c r="DXE1" s="224"/>
      <c r="DXF1" s="224"/>
      <c r="DXG1" s="224"/>
      <c r="DXH1" s="224"/>
      <c r="DXI1" s="224"/>
      <c r="DXJ1" s="224"/>
      <c r="DXK1" s="224"/>
      <c r="DXL1" s="224"/>
      <c r="DXM1" s="224"/>
      <c r="DXN1" s="224"/>
      <c r="DXO1" s="224"/>
      <c r="DXP1" s="224"/>
      <c r="DXQ1" s="224"/>
      <c r="DXR1" s="224"/>
      <c r="DXS1" s="224"/>
      <c r="DXT1" s="224"/>
      <c r="DXU1" s="224"/>
      <c r="DXV1" s="224"/>
      <c r="DXW1" s="224"/>
      <c r="DXX1" s="224"/>
      <c r="DXY1" s="224"/>
      <c r="DXZ1" s="224"/>
      <c r="DYA1" s="224"/>
      <c r="DYB1" s="224"/>
      <c r="DYC1" s="224"/>
      <c r="DYD1" s="224"/>
      <c r="DYE1" s="224"/>
      <c r="DYF1" s="224"/>
      <c r="DYG1" s="224"/>
      <c r="DYH1" s="224"/>
      <c r="DYI1" s="224"/>
      <c r="DYJ1" s="224"/>
      <c r="DYK1" s="224"/>
      <c r="DYL1" s="224"/>
      <c r="DYM1" s="224"/>
      <c r="DYN1" s="224"/>
      <c r="DYO1" s="224"/>
      <c r="DYP1" s="224"/>
      <c r="DYQ1" s="224"/>
      <c r="DYR1" s="224"/>
      <c r="DYS1" s="224"/>
      <c r="DYT1" s="224"/>
      <c r="DYU1" s="224"/>
      <c r="DYV1" s="224"/>
      <c r="DYW1" s="224"/>
      <c r="DYX1" s="224"/>
      <c r="DYY1" s="224"/>
      <c r="DYZ1" s="224"/>
      <c r="DZA1" s="224"/>
      <c r="DZB1" s="224"/>
      <c r="DZC1" s="224"/>
      <c r="DZD1" s="224"/>
      <c r="DZE1" s="224"/>
      <c r="DZF1" s="224"/>
      <c r="DZG1" s="224"/>
      <c r="DZH1" s="224"/>
      <c r="DZI1" s="224"/>
      <c r="DZJ1" s="224"/>
      <c r="DZK1" s="224"/>
      <c r="DZL1" s="224"/>
      <c r="DZM1" s="224"/>
      <c r="DZN1" s="224"/>
      <c r="DZO1" s="224"/>
      <c r="DZP1" s="224"/>
      <c r="DZQ1" s="224"/>
      <c r="DZR1" s="224"/>
      <c r="DZS1" s="224"/>
      <c r="DZT1" s="224"/>
      <c r="DZU1" s="224"/>
      <c r="DZV1" s="224"/>
      <c r="DZW1" s="224"/>
      <c r="DZX1" s="224"/>
      <c r="DZY1" s="224"/>
      <c r="DZZ1" s="224"/>
      <c r="EAA1" s="224"/>
      <c r="EAB1" s="224"/>
      <c r="EAC1" s="224"/>
      <c r="EAD1" s="224"/>
      <c r="EAE1" s="224"/>
      <c r="EAF1" s="224"/>
      <c r="EAG1" s="224"/>
      <c r="EAH1" s="224"/>
      <c r="EAI1" s="224"/>
      <c r="EAJ1" s="224"/>
      <c r="EAK1" s="224"/>
      <c r="EAL1" s="224"/>
      <c r="EAM1" s="224"/>
      <c r="EAN1" s="224"/>
      <c r="EAO1" s="224"/>
      <c r="EAP1" s="224"/>
      <c r="EAQ1" s="224"/>
      <c r="EAR1" s="224"/>
      <c r="EAS1" s="224"/>
      <c r="EAT1" s="224"/>
      <c r="EAU1" s="224"/>
      <c r="EAV1" s="224"/>
      <c r="EAW1" s="224"/>
      <c r="EAX1" s="224"/>
      <c r="EAY1" s="224"/>
      <c r="EAZ1" s="224"/>
      <c r="EBA1" s="224"/>
      <c r="EBB1" s="224"/>
      <c r="EBC1" s="224"/>
      <c r="EBD1" s="224"/>
      <c r="EBE1" s="224"/>
      <c r="EBF1" s="224"/>
      <c r="EBG1" s="224"/>
      <c r="EBH1" s="224"/>
      <c r="EBI1" s="224"/>
      <c r="EBJ1" s="224"/>
      <c r="EBK1" s="224"/>
      <c r="EBL1" s="224"/>
      <c r="EBM1" s="224"/>
      <c r="EBN1" s="224"/>
      <c r="EBO1" s="224"/>
      <c r="EBP1" s="224"/>
      <c r="EBQ1" s="224"/>
      <c r="EBR1" s="224"/>
      <c r="EBS1" s="224"/>
      <c r="EBT1" s="224"/>
      <c r="EBU1" s="224"/>
      <c r="EBV1" s="224"/>
      <c r="EBW1" s="224"/>
      <c r="EBX1" s="224"/>
      <c r="EBY1" s="224"/>
      <c r="EBZ1" s="224"/>
      <c r="ECA1" s="224"/>
      <c r="ECB1" s="224"/>
      <c r="ECC1" s="224"/>
      <c r="ECD1" s="224"/>
      <c r="ECE1" s="224"/>
      <c r="ECF1" s="224"/>
      <c r="ECG1" s="224"/>
      <c r="ECH1" s="224"/>
      <c r="ECI1" s="224"/>
      <c r="ECJ1" s="224"/>
      <c r="ECK1" s="224"/>
      <c r="ECL1" s="224"/>
      <c r="ECM1" s="224"/>
      <c r="ECN1" s="224"/>
      <c r="ECO1" s="224"/>
      <c r="ECP1" s="224"/>
      <c r="ECQ1" s="224"/>
      <c r="ECR1" s="224"/>
      <c r="ECS1" s="224"/>
      <c r="ECT1" s="224"/>
      <c r="ECU1" s="224"/>
      <c r="ECV1" s="224"/>
      <c r="ECW1" s="224"/>
      <c r="ECX1" s="224"/>
      <c r="ECY1" s="224"/>
      <c r="ECZ1" s="224"/>
      <c r="EDA1" s="224"/>
      <c r="EDB1" s="224"/>
      <c r="EDC1" s="224"/>
      <c r="EDD1" s="224"/>
      <c r="EDE1" s="224"/>
      <c r="EDF1" s="224"/>
      <c r="EDG1" s="224"/>
      <c r="EDH1" s="224"/>
      <c r="EDI1" s="224"/>
      <c r="EDJ1" s="224"/>
      <c r="EDK1" s="224"/>
      <c r="EDL1" s="224"/>
      <c r="EDM1" s="224"/>
      <c r="EDN1" s="224"/>
      <c r="EDO1" s="224"/>
      <c r="EDP1" s="224"/>
      <c r="EDQ1" s="224"/>
      <c r="EDR1" s="224"/>
      <c r="EDS1" s="224"/>
      <c r="EDT1" s="224"/>
      <c r="EDU1" s="224"/>
      <c r="EDV1" s="224"/>
      <c r="EDW1" s="224"/>
      <c r="EDX1" s="224"/>
      <c r="EDY1" s="224"/>
      <c r="EDZ1" s="224"/>
      <c r="EEA1" s="224"/>
      <c r="EEB1" s="224"/>
      <c r="EEC1" s="224"/>
      <c r="EED1" s="224"/>
      <c r="EEE1" s="224"/>
      <c r="EEF1" s="224"/>
      <c r="EEG1" s="224"/>
      <c r="EEH1" s="224"/>
      <c r="EEI1" s="224"/>
      <c r="EEJ1" s="224"/>
      <c r="EEK1" s="224"/>
      <c r="EEL1" s="224"/>
      <c r="EEM1" s="224"/>
      <c r="EEN1" s="224"/>
      <c r="EEO1" s="224"/>
      <c r="EEP1" s="224"/>
      <c r="EEQ1" s="224"/>
      <c r="EER1" s="224"/>
      <c r="EES1" s="224"/>
      <c r="EET1" s="224"/>
      <c r="EEU1" s="224"/>
      <c r="EEV1" s="224"/>
      <c r="EEW1" s="224"/>
      <c r="EEX1" s="224"/>
      <c r="EEY1" s="224"/>
      <c r="EEZ1" s="224"/>
      <c r="EFA1" s="224"/>
      <c r="EFB1" s="224"/>
      <c r="EFC1" s="224"/>
      <c r="EFD1" s="224"/>
      <c r="EFE1" s="224"/>
      <c r="EFF1" s="224"/>
      <c r="EFG1" s="224"/>
      <c r="EFH1" s="224"/>
      <c r="EFI1" s="224"/>
      <c r="EFJ1" s="224"/>
      <c r="EFK1" s="224"/>
      <c r="EFL1" s="224"/>
      <c r="EFM1" s="224"/>
      <c r="EFN1" s="224"/>
      <c r="EFO1" s="224"/>
      <c r="EFP1" s="224"/>
      <c r="EFQ1" s="224"/>
      <c r="EFR1" s="224"/>
      <c r="EFS1" s="224"/>
      <c r="EFT1" s="224"/>
      <c r="EFU1" s="224"/>
      <c r="EFV1" s="224"/>
      <c r="EFW1" s="224"/>
      <c r="EFX1" s="224"/>
      <c r="EFY1" s="224"/>
      <c r="EFZ1" s="224"/>
      <c r="EGA1" s="224"/>
      <c r="EGB1" s="224"/>
      <c r="EGC1" s="224"/>
      <c r="EGD1" s="224"/>
      <c r="EGE1" s="224"/>
      <c r="EGF1" s="224"/>
      <c r="EGG1" s="224"/>
      <c r="EGH1" s="224"/>
      <c r="EGI1" s="224"/>
      <c r="EGJ1" s="224"/>
      <c r="EGK1" s="224"/>
      <c r="EGL1" s="224"/>
      <c r="EGM1" s="224"/>
      <c r="EGN1" s="224"/>
      <c r="EGO1" s="224"/>
      <c r="EGP1" s="224"/>
      <c r="EGQ1" s="224"/>
      <c r="EGR1" s="224"/>
      <c r="EGS1" s="224"/>
      <c r="EGT1" s="224"/>
      <c r="EGU1" s="224"/>
      <c r="EGV1" s="224"/>
      <c r="EGW1" s="224"/>
      <c r="EGX1" s="224"/>
      <c r="EGY1" s="224"/>
      <c r="EGZ1" s="224"/>
      <c r="EHA1" s="224"/>
      <c r="EHB1" s="224"/>
      <c r="EHC1" s="224"/>
      <c r="EHD1" s="224"/>
      <c r="EHE1" s="224"/>
      <c r="EHF1" s="224"/>
      <c r="EHG1" s="224"/>
      <c r="EHH1" s="224"/>
      <c r="EHI1" s="224"/>
      <c r="EHJ1" s="224"/>
      <c r="EHK1" s="224"/>
      <c r="EHL1" s="224"/>
      <c r="EHM1" s="224"/>
      <c r="EHN1" s="224"/>
      <c r="EHO1" s="224"/>
      <c r="EHP1" s="224"/>
      <c r="EHQ1" s="224"/>
      <c r="EHR1" s="224"/>
      <c r="EHS1" s="224"/>
      <c r="EHT1" s="224"/>
      <c r="EHU1" s="224"/>
      <c r="EHV1" s="224"/>
      <c r="EHW1" s="224"/>
      <c r="EHX1" s="224"/>
      <c r="EHY1" s="224"/>
      <c r="EHZ1" s="224"/>
      <c r="EIA1" s="224"/>
      <c r="EIB1" s="224"/>
      <c r="EIC1" s="224"/>
      <c r="EID1" s="224"/>
      <c r="EIE1" s="224"/>
      <c r="EIF1" s="224"/>
      <c r="EIG1" s="224"/>
      <c r="EIH1" s="224"/>
      <c r="EII1" s="224"/>
      <c r="EIJ1" s="224"/>
      <c r="EIK1" s="224"/>
      <c r="EIL1" s="224"/>
      <c r="EIM1" s="224"/>
      <c r="EIN1" s="224"/>
      <c r="EIO1" s="224"/>
      <c r="EIP1" s="224"/>
      <c r="EIQ1" s="224"/>
      <c r="EIR1" s="224"/>
      <c r="EIS1" s="224"/>
      <c r="EIT1" s="224"/>
      <c r="EIU1" s="224"/>
      <c r="EIV1" s="224"/>
      <c r="EIW1" s="224"/>
      <c r="EIX1" s="224"/>
      <c r="EIY1" s="224"/>
      <c r="EIZ1" s="224"/>
      <c r="EJA1" s="224"/>
      <c r="EJB1" s="224"/>
      <c r="EJC1" s="224"/>
      <c r="EJD1" s="224"/>
      <c r="EJE1" s="224"/>
      <c r="EJF1" s="224"/>
      <c r="EJG1" s="224"/>
      <c r="EJH1" s="224"/>
      <c r="EJI1" s="224"/>
      <c r="EJJ1" s="224"/>
      <c r="EJK1" s="224"/>
      <c r="EJL1" s="224"/>
      <c r="EJM1" s="224"/>
      <c r="EJN1" s="224"/>
      <c r="EJO1" s="224"/>
      <c r="EJP1" s="224"/>
      <c r="EJQ1" s="224"/>
      <c r="EJR1" s="224"/>
      <c r="EJS1" s="224"/>
      <c r="EJT1" s="224"/>
      <c r="EJU1" s="224"/>
      <c r="EJV1" s="224"/>
      <c r="EJW1" s="224"/>
      <c r="EJX1" s="224"/>
      <c r="EJY1" s="224"/>
      <c r="EJZ1" s="224"/>
      <c r="EKA1" s="224"/>
      <c r="EKB1" s="224"/>
      <c r="EKC1" s="224"/>
      <c r="EKD1" s="224"/>
      <c r="EKE1" s="224"/>
      <c r="EKF1" s="224"/>
      <c r="EKG1" s="224"/>
      <c r="EKH1" s="224"/>
      <c r="EKI1" s="224"/>
      <c r="EKJ1" s="224"/>
      <c r="EKK1" s="224"/>
      <c r="EKL1" s="224"/>
      <c r="EKM1" s="224"/>
      <c r="EKN1" s="224"/>
      <c r="EKO1" s="224"/>
      <c r="EKP1" s="224"/>
      <c r="EKQ1" s="224"/>
      <c r="EKR1" s="224"/>
      <c r="EKS1" s="224"/>
      <c r="EKT1" s="224"/>
      <c r="EKU1" s="224"/>
      <c r="EKV1" s="224"/>
      <c r="EKW1" s="224"/>
      <c r="EKX1" s="224"/>
      <c r="EKY1" s="224"/>
      <c r="EKZ1" s="224"/>
      <c r="ELA1" s="224"/>
      <c r="ELB1" s="224"/>
      <c r="ELC1" s="224"/>
      <c r="ELD1" s="224"/>
      <c r="ELE1" s="224"/>
      <c r="ELF1" s="224"/>
      <c r="ELG1" s="224"/>
      <c r="ELH1" s="224"/>
      <c r="ELI1" s="224"/>
      <c r="ELJ1" s="224"/>
      <c r="ELK1" s="224"/>
      <c r="ELL1" s="224"/>
      <c r="ELM1" s="224"/>
      <c r="ELN1" s="224"/>
      <c r="ELO1" s="224"/>
      <c r="ELP1" s="224"/>
      <c r="ELQ1" s="224"/>
      <c r="ELR1" s="224"/>
      <c r="ELS1" s="224"/>
      <c r="ELT1" s="224"/>
      <c r="ELU1" s="224"/>
      <c r="ELV1" s="224"/>
      <c r="ELW1" s="224"/>
      <c r="ELX1" s="224"/>
      <c r="ELY1" s="224"/>
      <c r="ELZ1" s="224"/>
      <c r="EMA1" s="224"/>
      <c r="EMB1" s="224"/>
      <c r="EMC1" s="224"/>
      <c r="EMD1" s="224"/>
      <c r="EME1" s="224"/>
      <c r="EMF1" s="224"/>
      <c r="EMG1" s="224"/>
      <c r="EMH1" s="224"/>
      <c r="EMI1" s="224"/>
      <c r="EMJ1" s="224"/>
      <c r="EMK1" s="224"/>
      <c r="EML1" s="224"/>
      <c r="EMM1" s="224"/>
      <c r="EMN1" s="224"/>
      <c r="EMO1" s="224"/>
      <c r="EMP1" s="224"/>
      <c r="EMQ1" s="224"/>
      <c r="EMR1" s="224"/>
      <c r="EMS1" s="224"/>
      <c r="EMT1" s="224"/>
      <c r="EMU1" s="224"/>
      <c r="EMV1" s="224"/>
      <c r="EMW1" s="224"/>
      <c r="EMX1" s="224"/>
      <c r="EMY1" s="224"/>
      <c r="EMZ1" s="224"/>
      <c r="ENA1" s="224"/>
      <c r="ENB1" s="224"/>
      <c r="ENC1" s="224"/>
      <c r="END1" s="224"/>
      <c r="ENE1" s="224"/>
      <c r="ENF1" s="224"/>
      <c r="ENG1" s="224"/>
      <c r="ENH1" s="224"/>
      <c r="ENI1" s="224"/>
      <c r="ENJ1" s="224"/>
      <c r="ENK1" s="224"/>
      <c r="ENL1" s="224"/>
      <c r="ENM1" s="224"/>
      <c r="ENN1" s="224"/>
      <c r="ENO1" s="224"/>
      <c r="ENP1" s="224"/>
      <c r="ENQ1" s="224"/>
      <c r="ENR1" s="224"/>
      <c r="ENS1" s="224"/>
      <c r="ENT1" s="224"/>
      <c r="ENU1" s="224"/>
      <c r="ENV1" s="224"/>
      <c r="ENW1" s="224"/>
      <c r="ENX1" s="224"/>
      <c r="ENY1" s="224"/>
      <c r="ENZ1" s="224"/>
      <c r="EOA1" s="224"/>
      <c r="EOB1" s="224"/>
      <c r="EOC1" s="224"/>
      <c r="EOD1" s="224"/>
      <c r="EOE1" s="224"/>
      <c r="EOF1" s="224"/>
      <c r="EOG1" s="224"/>
      <c r="EOH1" s="224"/>
      <c r="EOI1" s="224"/>
      <c r="EOJ1" s="224"/>
      <c r="EOK1" s="224"/>
      <c r="EOL1" s="224"/>
      <c r="EOM1" s="224"/>
      <c r="EON1" s="224"/>
      <c r="EOO1" s="224"/>
      <c r="EOP1" s="224"/>
      <c r="EOQ1" s="224"/>
      <c r="EOR1" s="224"/>
      <c r="EOS1" s="224"/>
      <c r="EOT1" s="224"/>
      <c r="EOU1" s="224"/>
      <c r="EOV1" s="224"/>
      <c r="EOW1" s="224"/>
      <c r="EOX1" s="224"/>
      <c r="EOY1" s="224"/>
      <c r="EOZ1" s="224"/>
      <c r="EPA1" s="224"/>
      <c r="EPB1" s="224"/>
      <c r="EPC1" s="224"/>
      <c r="EPD1" s="224"/>
      <c r="EPE1" s="224"/>
      <c r="EPF1" s="224"/>
      <c r="EPG1" s="224"/>
      <c r="EPH1" s="224"/>
      <c r="EPI1" s="224"/>
      <c r="EPJ1" s="224"/>
      <c r="EPK1" s="224"/>
      <c r="EPL1" s="224"/>
      <c r="EPM1" s="224"/>
      <c r="EPN1" s="224"/>
      <c r="EPO1" s="224"/>
      <c r="EPP1" s="224"/>
      <c r="EPQ1" s="224"/>
      <c r="EPR1" s="224"/>
      <c r="EPS1" s="224"/>
      <c r="EPT1" s="224"/>
      <c r="EPU1" s="224"/>
      <c r="EPV1" s="224"/>
      <c r="EPW1" s="224"/>
      <c r="EPX1" s="224"/>
      <c r="EPY1" s="224"/>
      <c r="EPZ1" s="224"/>
      <c r="EQA1" s="224"/>
      <c r="EQB1" s="224"/>
      <c r="EQC1" s="224"/>
      <c r="EQD1" s="224"/>
      <c r="EQE1" s="224"/>
      <c r="EQF1" s="224"/>
      <c r="EQG1" s="224"/>
      <c r="EQH1" s="224"/>
      <c r="EQI1" s="224"/>
      <c r="EQJ1" s="224"/>
      <c r="EQK1" s="224"/>
      <c r="EQL1" s="224"/>
      <c r="EQM1" s="224"/>
      <c r="EQN1" s="224"/>
      <c r="EQO1" s="224"/>
      <c r="EQP1" s="224"/>
      <c r="EQQ1" s="224"/>
      <c r="EQR1" s="224"/>
      <c r="EQS1" s="224"/>
      <c r="EQT1" s="224"/>
      <c r="EQU1" s="224"/>
      <c r="EQV1" s="224"/>
      <c r="EQW1" s="224"/>
      <c r="EQX1" s="224"/>
      <c r="EQY1" s="224"/>
      <c r="EQZ1" s="224"/>
      <c r="ERA1" s="224"/>
      <c r="ERB1" s="224"/>
      <c r="ERC1" s="224"/>
      <c r="ERD1" s="224"/>
      <c r="ERE1" s="224"/>
      <c r="ERF1" s="224"/>
      <c r="ERG1" s="224"/>
      <c r="ERH1" s="224"/>
      <c r="ERI1" s="224"/>
      <c r="ERJ1" s="224"/>
      <c r="ERK1" s="224"/>
      <c r="ERL1" s="224"/>
      <c r="ERM1" s="224"/>
      <c r="ERN1" s="224"/>
      <c r="ERO1" s="224"/>
      <c r="ERP1" s="224"/>
      <c r="ERQ1" s="224"/>
      <c r="ERR1" s="224"/>
      <c r="ERS1" s="224"/>
      <c r="ERT1" s="224"/>
      <c r="ERU1" s="224"/>
      <c r="ERV1" s="224"/>
      <c r="ERW1" s="224"/>
      <c r="ERX1" s="224"/>
      <c r="ERY1" s="224"/>
      <c r="ERZ1" s="224"/>
      <c r="ESA1" s="224"/>
      <c r="ESB1" s="224"/>
      <c r="ESC1" s="224"/>
      <c r="ESD1" s="224"/>
      <c r="ESE1" s="224"/>
      <c r="ESF1" s="224"/>
      <c r="ESG1" s="224"/>
      <c r="ESH1" s="224"/>
      <c r="ESI1" s="224"/>
      <c r="ESJ1" s="224"/>
      <c r="ESK1" s="224"/>
      <c r="ESL1" s="224"/>
      <c r="ESM1" s="224"/>
      <c r="ESN1" s="224"/>
      <c r="ESO1" s="224"/>
      <c r="ESP1" s="224"/>
      <c r="ESQ1" s="224"/>
      <c r="ESR1" s="224"/>
      <c r="ESS1" s="224"/>
      <c r="EST1" s="224"/>
      <c r="ESU1" s="224"/>
      <c r="ESV1" s="224"/>
      <c r="ESW1" s="224"/>
      <c r="ESX1" s="224"/>
      <c r="ESY1" s="224"/>
      <c r="ESZ1" s="224"/>
      <c r="ETA1" s="224"/>
      <c r="ETB1" s="224"/>
      <c r="ETC1" s="224"/>
      <c r="ETD1" s="224"/>
      <c r="ETE1" s="224"/>
      <c r="ETF1" s="224"/>
      <c r="ETG1" s="224"/>
      <c r="ETH1" s="224"/>
      <c r="ETI1" s="224"/>
      <c r="ETJ1" s="224"/>
      <c r="ETK1" s="224"/>
      <c r="ETL1" s="224"/>
      <c r="ETM1" s="224"/>
      <c r="ETN1" s="224"/>
      <c r="ETO1" s="224"/>
      <c r="ETP1" s="224"/>
      <c r="ETQ1" s="224"/>
      <c r="ETR1" s="224"/>
      <c r="ETS1" s="224"/>
      <c r="ETT1" s="224"/>
      <c r="ETU1" s="224"/>
      <c r="ETV1" s="224"/>
      <c r="ETW1" s="224"/>
      <c r="ETX1" s="224"/>
      <c r="ETY1" s="224"/>
      <c r="ETZ1" s="224"/>
      <c r="EUA1" s="224"/>
      <c r="EUB1" s="224"/>
      <c r="EUC1" s="224"/>
      <c r="EUD1" s="224"/>
      <c r="EUE1" s="224"/>
      <c r="EUF1" s="224"/>
      <c r="EUG1" s="224"/>
      <c r="EUH1" s="224"/>
      <c r="EUI1" s="224"/>
      <c r="EUJ1" s="224"/>
      <c r="EUK1" s="224"/>
      <c r="EUL1" s="224"/>
      <c r="EUM1" s="224"/>
      <c r="EUN1" s="224"/>
      <c r="EUO1" s="224"/>
      <c r="EUP1" s="224"/>
      <c r="EUQ1" s="224"/>
      <c r="EUR1" s="224"/>
      <c r="EUS1" s="224"/>
      <c r="EUT1" s="224"/>
      <c r="EUU1" s="224"/>
      <c r="EUV1" s="224"/>
      <c r="EUW1" s="224"/>
      <c r="EUX1" s="224"/>
      <c r="EUY1" s="224"/>
      <c r="EUZ1" s="224"/>
      <c r="EVA1" s="224"/>
      <c r="EVB1" s="224"/>
      <c r="EVC1" s="224"/>
      <c r="EVD1" s="224"/>
      <c r="EVE1" s="224"/>
      <c r="EVF1" s="224"/>
      <c r="EVG1" s="224"/>
      <c r="EVH1" s="224"/>
      <c r="EVI1" s="224"/>
      <c r="EVJ1" s="224"/>
      <c r="EVK1" s="224"/>
      <c r="EVL1" s="224"/>
      <c r="EVM1" s="224"/>
      <c r="EVN1" s="224"/>
      <c r="EVO1" s="224"/>
      <c r="EVP1" s="224"/>
      <c r="EVQ1" s="224"/>
      <c r="EVR1" s="224"/>
      <c r="EVS1" s="224"/>
      <c r="EVT1" s="224"/>
      <c r="EVU1" s="224"/>
      <c r="EVV1" s="224"/>
      <c r="EVW1" s="224"/>
      <c r="EVX1" s="224"/>
      <c r="EVY1" s="224"/>
      <c r="EVZ1" s="224"/>
      <c r="EWA1" s="224"/>
      <c r="EWB1" s="224"/>
      <c r="EWC1" s="224"/>
      <c r="EWD1" s="224"/>
      <c r="EWE1" s="224"/>
      <c r="EWF1" s="224"/>
      <c r="EWG1" s="224"/>
      <c r="EWH1" s="224"/>
      <c r="EWI1" s="224"/>
      <c r="EWJ1" s="224"/>
      <c r="EWK1" s="224"/>
      <c r="EWL1" s="224"/>
      <c r="EWM1" s="224"/>
      <c r="EWN1" s="224"/>
      <c r="EWO1" s="224"/>
      <c r="EWP1" s="224"/>
      <c r="EWQ1" s="224"/>
      <c r="EWR1" s="224"/>
      <c r="EWS1" s="224"/>
      <c r="EWT1" s="224"/>
      <c r="EWU1" s="224"/>
      <c r="EWV1" s="224"/>
      <c r="EWW1" s="224"/>
      <c r="EWX1" s="224"/>
      <c r="EWY1" s="224"/>
      <c r="EWZ1" s="224"/>
      <c r="EXA1" s="224"/>
      <c r="EXB1" s="224"/>
      <c r="EXC1" s="224"/>
      <c r="EXD1" s="224"/>
      <c r="EXE1" s="224"/>
      <c r="EXF1" s="224"/>
      <c r="EXG1" s="224"/>
      <c r="EXH1" s="224"/>
      <c r="EXI1" s="224"/>
      <c r="EXJ1" s="224"/>
      <c r="EXK1" s="224"/>
      <c r="EXL1" s="224"/>
      <c r="EXM1" s="224"/>
      <c r="EXN1" s="224"/>
      <c r="EXO1" s="224"/>
      <c r="EXP1" s="224"/>
      <c r="EXQ1" s="224"/>
      <c r="EXR1" s="224"/>
      <c r="EXS1" s="224"/>
      <c r="EXT1" s="224"/>
      <c r="EXU1" s="224"/>
      <c r="EXV1" s="224"/>
      <c r="EXW1" s="224"/>
      <c r="EXX1" s="224"/>
      <c r="EXY1" s="224"/>
      <c r="EXZ1" s="224"/>
      <c r="EYA1" s="224"/>
      <c r="EYB1" s="224"/>
      <c r="EYC1" s="224"/>
      <c r="EYD1" s="224"/>
      <c r="EYE1" s="224"/>
      <c r="EYF1" s="224"/>
      <c r="EYG1" s="224"/>
      <c r="EYH1" s="224"/>
      <c r="EYI1" s="224"/>
      <c r="EYJ1" s="224"/>
      <c r="EYK1" s="224"/>
      <c r="EYL1" s="224"/>
      <c r="EYM1" s="224"/>
      <c r="EYN1" s="224"/>
      <c r="EYO1" s="224"/>
      <c r="EYP1" s="224"/>
      <c r="EYQ1" s="224"/>
      <c r="EYR1" s="224"/>
      <c r="EYS1" s="224"/>
      <c r="EYT1" s="224"/>
      <c r="EYU1" s="224"/>
      <c r="EYV1" s="224"/>
      <c r="EYW1" s="224"/>
      <c r="EYX1" s="224"/>
      <c r="EYY1" s="224"/>
      <c r="EYZ1" s="224"/>
      <c r="EZA1" s="224"/>
      <c r="EZB1" s="224"/>
      <c r="EZC1" s="224"/>
      <c r="EZD1" s="224"/>
      <c r="EZE1" s="224"/>
      <c r="EZF1" s="224"/>
      <c r="EZG1" s="224"/>
      <c r="EZH1" s="224"/>
      <c r="EZI1" s="224"/>
      <c r="EZJ1" s="224"/>
      <c r="EZK1" s="224"/>
      <c r="EZL1" s="224"/>
      <c r="EZM1" s="224"/>
      <c r="EZN1" s="224"/>
      <c r="EZO1" s="224"/>
      <c r="EZP1" s="224"/>
      <c r="EZQ1" s="224"/>
      <c r="EZR1" s="224"/>
      <c r="EZS1" s="224"/>
      <c r="EZT1" s="224"/>
      <c r="EZU1" s="224"/>
      <c r="EZV1" s="224"/>
      <c r="EZW1" s="224"/>
      <c r="EZX1" s="224"/>
      <c r="EZY1" s="224"/>
      <c r="EZZ1" s="224"/>
      <c r="FAA1" s="224"/>
      <c r="FAB1" s="224"/>
      <c r="FAC1" s="224"/>
      <c r="FAD1" s="224"/>
      <c r="FAE1" s="224"/>
      <c r="FAF1" s="224"/>
      <c r="FAG1" s="224"/>
      <c r="FAH1" s="224"/>
      <c r="FAI1" s="224"/>
      <c r="FAJ1" s="224"/>
      <c r="FAK1" s="224"/>
      <c r="FAL1" s="224"/>
      <c r="FAM1" s="224"/>
      <c r="FAN1" s="224"/>
      <c r="FAO1" s="224"/>
      <c r="FAP1" s="224"/>
      <c r="FAQ1" s="224"/>
      <c r="FAR1" s="224"/>
      <c r="FAS1" s="224"/>
      <c r="FAT1" s="224"/>
      <c r="FAU1" s="224"/>
      <c r="FAV1" s="224"/>
      <c r="FAW1" s="224"/>
      <c r="FAX1" s="224"/>
      <c r="FAY1" s="224"/>
      <c r="FAZ1" s="224"/>
      <c r="FBA1" s="224"/>
      <c r="FBB1" s="224"/>
      <c r="FBC1" s="224"/>
      <c r="FBD1" s="224"/>
      <c r="FBE1" s="224"/>
      <c r="FBF1" s="224"/>
      <c r="FBG1" s="224"/>
      <c r="FBH1" s="224"/>
      <c r="FBI1" s="224"/>
      <c r="FBJ1" s="224"/>
      <c r="FBK1" s="224"/>
      <c r="FBL1" s="224"/>
      <c r="FBM1" s="224"/>
      <c r="FBN1" s="224"/>
      <c r="FBO1" s="224"/>
      <c r="FBP1" s="224"/>
      <c r="FBQ1" s="224"/>
      <c r="FBR1" s="224"/>
      <c r="FBS1" s="224"/>
      <c r="FBT1" s="224"/>
      <c r="FBU1" s="224"/>
      <c r="FBV1" s="224"/>
      <c r="FBW1" s="224"/>
      <c r="FBX1" s="224"/>
      <c r="FBY1" s="224"/>
      <c r="FBZ1" s="224"/>
      <c r="FCA1" s="224"/>
      <c r="FCB1" s="224"/>
      <c r="FCC1" s="224"/>
      <c r="FCD1" s="224"/>
      <c r="FCE1" s="224"/>
      <c r="FCF1" s="224"/>
      <c r="FCG1" s="224"/>
      <c r="FCH1" s="224"/>
      <c r="FCI1" s="224"/>
      <c r="FCJ1" s="224"/>
      <c r="FCK1" s="224"/>
      <c r="FCL1" s="224"/>
      <c r="FCM1" s="224"/>
      <c r="FCN1" s="224"/>
      <c r="FCO1" s="224"/>
      <c r="FCP1" s="224"/>
      <c r="FCQ1" s="224"/>
      <c r="FCR1" s="224"/>
      <c r="FCS1" s="224"/>
      <c r="FCT1" s="224"/>
      <c r="FCU1" s="224"/>
      <c r="FCV1" s="224"/>
      <c r="FCW1" s="224"/>
      <c r="FCX1" s="224"/>
      <c r="FCY1" s="224"/>
      <c r="FCZ1" s="224"/>
      <c r="FDA1" s="224"/>
      <c r="FDB1" s="224"/>
      <c r="FDC1" s="224"/>
      <c r="FDD1" s="224"/>
      <c r="FDE1" s="224"/>
      <c r="FDF1" s="224"/>
      <c r="FDG1" s="224"/>
      <c r="FDH1" s="224"/>
      <c r="FDI1" s="224"/>
      <c r="FDJ1" s="224"/>
      <c r="FDK1" s="224"/>
      <c r="FDL1" s="224"/>
      <c r="FDM1" s="224"/>
      <c r="FDN1" s="224"/>
      <c r="FDO1" s="224"/>
      <c r="FDP1" s="224"/>
      <c r="FDQ1" s="224"/>
      <c r="FDR1" s="224"/>
      <c r="FDS1" s="224"/>
      <c r="FDT1" s="224"/>
      <c r="FDU1" s="224"/>
      <c r="FDV1" s="224"/>
      <c r="FDW1" s="224"/>
      <c r="FDX1" s="224"/>
      <c r="FDY1" s="224"/>
      <c r="FDZ1" s="224"/>
      <c r="FEA1" s="224"/>
      <c r="FEB1" s="224"/>
      <c r="FEC1" s="224"/>
      <c r="FED1" s="224"/>
      <c r="FEE1" s="224"/>
      <c r="FEF1" s="224"/>
      <c r="FEG1" s="224"/>
      <c r="FEH1" s="224"/>
      <c r="FEI1" s="224"/>
      <c r="FEJ1" s="224"/>
      <c r="FEK1" s="224"/>
      <c r="FEL1" s="224"/>
      <c r="FEM1" s="224"/>
      <c r="FEN1" s="224"/>
      <c r="FEO1" s="224"/>
      <c r="FEP1" s="224"/>
      <c r="FEQ1" s="224"/>
      <c r="FER1" s="224"/>
      <c r="FES1" s="224"/>
      <c r="FET1" s="224"/>
      <c r="FEU1" s="224"/>
      <c r="FEV1" s="224"/>
      <c r="FEW1" s="224"/>
      <c r="FEX1" s="224"/>
      <c r="FEY1" s="224"/>
      <c r="FEZ1" s="224"/>
      <c r="FFA1" s="224"/>
      <c r="FFB1" s="224"/>
      <c r="FFC1" s="224"/>
      <c r="FFD1" s="224"/>
      <c r="FFE1" s="224"/>
      <c r="FFF1" s="224"/>
      <c r="FFG1" s="224"/>
      <c r="FFH1" s="224"/>
      <c r="FFI1" s="224"/>
      <c r="FFJ1" s="224"/>
      <c r="FFK1" s="224"/>
      <c r="FFL1" s="224"/>
      <c r="FFM1" s="224"/>
      <c r="FFN1" s="224"/>
      <c r="FFO1" s="224"/>
      <c r="FFP1" s="224"/>
      <c r="FFQ1" s="224"/>
      <c r="FFR1" s="224"/>
      <c r="FFS1" s="224"/>
      <c r="FFT1" s="224"/>
      <c r="FFU1" s="224"/>
      <c r="FFV1" s="224"/>
      <c r="FFW1" s="224"/>
      <c r="FFX1" s="224"/>
      <c r="FFY1" s="224"/>
      <c r="FFZ1" s="224"/>
      <c r="FGA1" s="224"/>
      <c r="FGB1" s="224"/>
      <c r="FGC1" s="224"/>
      <c r="FGD1" s="224"/>
      <c r="FGE1" s="224"/>
      <c r="FGF1" s="224"/>
      <c r="FGG1" s="224"/>
      <c r="FGH1" s="224"/>
      <c r="FGI1" s="224"/>
      <c r="FGJ1" s="224"/>
      <c r="FGK1" s="224"/>
      <c r="FGL1" s="224"/>
      <c r="FGM1" s="224"/>
      <c r="FGN1" s="224"/>
      <c r="FGO1" s="224"/>
      <c r="FGP1" s="224"/>
      <c r="FGQ1" s="224"/>
      <c r="FGR1" s="224"/>
      <c r="FGS1" s="224"/>
      <c r="FGT1" s="224"/>
      <c r="FGU1" s="224"/>
      <c r="FGV1" s="224"/>
      <c r="FGW1" s="224"/>
      <c r="FGX1" s="224"/>
      <c r="FGY1" s="224"/>
      <c r="FGZ1" s="224"/>
      <c r="FHA1" s="224"/>
      <c r="FHB1" s="224"/>
      <c r="FHC1" s="224"/>
      <c r="FHD1" s="224"/>
      <c r="FHE1" s="224"/>
      <c r="FHF1" s="224"/>
      <c r="FHG1" s="224"/>
      <c r="FHH1" s="224"/>
      <c r="FHI1" s="224"/>
      <c r="FHJ1" s="224"/>
      <c r="FHK1" s="224"/>
      <c r="FHL1" s="224"/>
      <c r="FHM1" s="224"/>
      <c r="FHN1" s="224"/>
      <c r="FHO1" s="224"/>
      <c r="FHP1" s="224"/>
      <c r="FHQ1" s="224"/>
      <c r="FHR1" s="224"/>
      <c r="FHS1" s="224"/>
      <c r="FHT1" s="224"/>
      <c r="FHU1" s="224"/>
      <c r="FHV1" s="224"/>
      <c r="FHW1" s="224"/>
      <c r="FHX1" s="224"/>
      <c r="FHY1" s="224"/>
      <c r="FHZ1" s="224"/>
      <c r="FIA1" s="224"/>
      <c r="FIB1" s="224"/>
      <c r="FIC1" s="224"/>
      <c r="FID1" s="224"/>
      <c r="FIE1" s="224"/>
      <c r="FIF1" s="224"/>
      <c r="FIG1" s="224"/>
      <c r="FIH1" s="224"/>
      <c r="FII1" s="224"/>
      <c r="FIJ1" s="224"/>
      <c r="FIK1" s="224"/>
      <c r="FIL1" s="224"/>
      <c r="FIM1" s="224"/>
      <c r="FIN1" s="224"/>
      <c r="FIO1" s="224"/>
      <c r="FIP1" s="224"/>
      <c r="FIQ1" s="224"/>
      <c r="FIR1" s="224"/>
      <c r="FIS1" s="224"/>
      <c r="FIT1" s="224"/>
      <c r="FIU1" s="224"/>
      <c r="FIV1" s="224"/>
      <c r="FIW1" s="224"/>
      <c r="FIX1" s="224"/>
      <c r="FIY1" s="224"/>
      <c r="FIZ1" s="224"/>
      <c r="FJA1" s="224"/>
      <c r="FJB1" s="224"/>
      <c r="FJC1" s="224"/>
      <c r="FJD1" s="224"/>
      <c r="FJE1" s="224"/>
      <c r="FJF1" s="224"/>
      <c r="FJG1" s="224"/>
      <c r="FJH1" s="224"/>
      <c r="FJI1" s="224"/>
      <c r="FJJ1" s="224"/>
      <c r="FJK1" s="224"/>
      <c r="FJL1" s="224"/>
      <c r="FJM1" s="224"/>
      <c r="FJN1" s="224"/>
      <c r="FJO1" s="224"/>
      <c r="FJP1" s="224"/>
      <c r="FJQ1" s="224"/>
      <c r="FJR1" s="224"/>
      <c r="FJS1" s="224"/>
      <c r="FJT1" s="224"/>
      <c r="FJU1" s="224"/>
      <c r="FJV1" s="224"/>
      <c r="FJW1" s="224"/>
      <c r="FJX1" s="224"/>
      <c r="FJY1" s="224"/>
      <c r="FJZ1" s="224"/>
      <c r="FKA1" s="224"/>
      <c r="FKB1" s="224"/>
      <c r="FKC1" s="224"/>
      <c r="FKD1" s="224"/>
      <c r="FKE1" s="224"/>
      <c r="FKF1" s="224"/>
      <c r="FKG1" s="224"/>
      <c r="FKH1" s="224"/>
      <c r="FKI1" s="224"/>
      <c r="FKJ1" s="224"/>
      <c r="FKK1" s="224"/>
      <c r="FKL1" s="224"/>
      <c r="FKM1" s="224"/>
      <c r="FKN1" s="224"/>
      <c r="FKO1" s="224"/>
      <c r="FKP1" s="224"/>
      <c r="FKQ1" s="224"/>
      <c r="FKR1" s="224"/>
      <c r="FKS1" s="224"/>
      <c r="FKT1" s="224"/>
      <c r="FKU1" s="224"/>
      <c r="FKV1" s="224"/>
      <c r="FKW1" s="224"/>
      <c r="FKX1" s="224"/>
      <c r="FKY1" s="224"/>
      <c r="FKZ1" s="224"/>
      <c r="FLA1" s="224"/>
      <c r="FLB1" s="224"/>
      <c r="FLC1" s="224"/>
      <c r="FLD1" s="224"/>
      <c r="FLE1" s="224"/>
      <c r="FLF1" s="224"/>
      <c r="FLG1" s="224"/>
      <c r="FLH1" s="224"/>
      <c r="FLI1" s="224"/>
      <c r="FLJ1" s="224"/>
      <c r="FLK1" s="224"/>
      <c r="FLL1" s="224"/>
      <c r="FLM1" s="224"/>
      <c r="FLN1" s="224"/>
      <c r="FLO1" s="224"/>
      <c r="FLP1" s="224"/>
      <c r="FLQ1" s="224"/>
      <c r="FLR1" s="224"/>
      <c r="FLS1" s="224"/>
      <c r="FLT1" s="224"/>
      <c r="FLU1" s="224"/>
      <c r="FLV1" s="224"/>
      <c r="FLW1" s="224"/>
      <c r="FLX1" s="224"/>
      <c r="FLY1" s="224"/>
      <c r="FLZ1" s="224"/>
      <c r="FMA1" s="224"/>
      <c r="FMB1" s="224"/>
      <c r="FMC1" s="224"/>
      <c r="FMD1" s="224"/>
      <c r="FME1" s="224"/>
      <c r="FMF1" s="224"/>
      <c r="FMG1" s="224"/>
      <c r="FMH1" s="224"/>
      <c r="FMI1" s="224"/>
      <c r="FMJ1" s="224"/>
      <c r="FMK1" s="224"/>
      <c r="FML1" s="224"/>
      <c r="FMM1" s="224"/>
      <c r="FMN1" s="224"/>
      <c r="FMO1" s="224"/>
      <c r="FMP1" s="224"/>
      <c r="FMQ1" s="224"/>
      <c r="FMR1" s="224"/>
      <c r="FMS1" s="224"/>
      <c r="FMT1" s="224"/>
      <c r="FMU1" s="224"/>
      <c r="FMV1" s="224"/>
      <c r="FMW1" s="224"/>
      <c r="FMX1" s="224"/>
      <c r="FMY1" s="224"/>
      <c r="FMZ1" s="224"/>
      <c r="FNA1" s="224"/>
      <c r="FNB1" s="224"/>
      <c r="FNC1" s="224"/>
      <c r="FND1" s="224"/>
      <c r="FNE1" s="224"/>
      <c r="FNF1" s="224"/>
      <c r="FNG1" s="224"/>
      <c r="FNH1" s="224"/>
      <c r="FNI1" s="224"/>
      <c r="FNJ1" s="224"/>
      <c r="FNK1" s="224"/>
      <c r="FNL1" s="224"/>
      <c r="FNM1" s="224"/>
      <c r="FNN1" s="224"/>
      <c r="FNO1" s="224"/>
      <c r="FNP1" s="224"/>
      <c r="FNQ1" s="224"/>
      <c r="FNR1" s="224"/>
      <c r="FNS1" s="224"/>
      <c r="FNT1" s="224"/>
      <c r="FNU1" s="224"/>
      <c r="FNV1" s="224"/>
      <c r="FNW1" s="224"/>
      <c r="FNX1" s="224"/>
      <c r="FNY1" s="224"/>
      <c r="FNZ1" s="224"/>
      <c r="FOA1" s="224"/>
      <c r="FOB1" s="224"/>
      <c r="FOC1" s="224"/>
      <c r="FOD1" s="224"/>
      <c r="FOE1" s="224"/>
      <c r="FOF1" s="224"/>
      <c r="FOG1" s="224"/>
      <c r="FOH1" s="224"/>
      <c r="FOI1" s="224"/>
      <c r="FOJ1" s="224"/>
      <c r="FOK1" s="224"/>
      <c r="FOL1" s="224"/>
      <c r="FOM1" s="224"/>
      <c r="FON1" s="224"/>
      <c r="FOO1" s="224"/>
      <c r="FOP1" s="224"/>
      <c r="FOQ1" s="224"/>
      <c r="FOR1" s="224"/>
      <c r="FOS1" s="224"/>
      <c r="FOT1" s="224"/>
      <c r="FOU1" s="224"/>
      <c r="FOV1" s="224"/>
      <c r="FOW1" s="224"/>
      <c r="FOX1" s="224"/>
      <c r="FOY1" s="224"/>
      <c r="FOZ1" s="224"/>
      <c r="FPA1" s="224"/>
      <c r="FPB1" s="224"/>
      <c r="FPC1" s="224"/>
      <c r="FPD1" s="224"/>
      <c r="FPE1" s="224"/>
      <c r="FPF1" s="224"/>
      <c r="FPG1" s="224"/>
      <c r="FPH1" s="224"/>
      <c r="FPI1" s="224"/>
      <c r="FPJ1" s="224"/>
      <c r="FPK1" s="224"/>
      <c r="FPL1" s="224"/>
      <c r="FPM1" s="224"/>
      <c r="FPN1" s="224"/>
      <c r="FPO1" s="224"/>
      <c r="FPP1" s="224"/>
      <c r="FPQ1" s="224"/>
      <c r="FPR1" s="224"/>
      <c r="FPS1" s="224"/>
      <c r="FPT1" s="224"/>
      <c r="FPU1" s="224"/>
      <c r="FPV1" s="224"/>
      <c r="FPW1" s="224"/>
      <c r="FPX1" s="224"/>
      <c r="FPY1" s="224"/>
      <c r="FPZ1" s="224"/>
      <c r="FQA1" s="224"/>
      <c r="FQB1" s="224"/>
      <c r="FQC1" s="224"/>
      <c r="FQD1" s="224"/>
      <c r="FQE1" s="224"/>
      <c r="FQF1" s="224"/>
      <c r="FQG1" s="224"/>
      <c r="FQH1" s="224"/>
      <c r="FQI1" s="224"/>
      <c r="FQJ1" s="224"/>
      <c r="FQK1" s="224"/>
      <c r="FQL1" s="224"/>
      <c r="FQM1" s="224"/>
      <c r="FQN1" s="224"/>
      <c r="FQO1" s="224"/>
      <c r="FQP1" s="224"/>
      <c r="FQQ1" s="224"/>
      <c r="FQR1" s="224"/>
      <c r="FQS1" s="224"/>
      <c r="FQT1" s="224"/>
      <c r="FQU1" s="224"/>
      <c r="FQV1" s="224"/>
      <c r="FQW1" s="224"/>
      <c r="FQX1" s="224"/>
      <c r="FQY1" s="224"/>
      <c r="FQZ1" s="224"/>
      <c r="FRA1" s="224"/>
      <c r="FRB1" s="224"/>
      <c r="FRC1" s="224"/>
      <c r="FRD1" s="224"/>
      <c r="FRE1" s="224"/>
      <c r="FRF1" s="224"/>
      <c r="FRG1" s="224"/>
      <c r="FRH1" s="224"/>
      <c r="FRI1" s="224"/>
      <c r="FRJ1" s="224"/>
      <c r="FRK1" s="224"/>
      <c r="FRL1" s="224"/>
      <c r="FRM1" s="224"/>
      <c r="FRN1" s="224"/>
      <c r="FRO1" s="224"/>
      <c r="FRP1" s="224"/>
      <c r="FRQ1" s="224"/>
      <c r="FRR1" s="224"/>
      <c r="FRS1" s="224"/>
      <c r="FRT1" s="224"/>
      <c r="FRU1" s="224"/>
      <c r="FRV1" s="224"/>
      <c r="FRW1" s="224"/>
      <c r="FRX1" s="224"/>
      <c r="FRY1" s="224"/>
      <c r="FRZ1" s="224"/>
      <c r="FSA1" s="224"/>
      <c r="FSB1" s="224"/>
      <c r="FSC1" s="224"/>
      <c r="FSD1" s="224"/>
      <c r="FSE1" s="224"/>
      <c r="FSF1" s="224"/>
      <c r="FSG1" s="224"/>
      <c r="FSH1" s="224"/>
      <c r="FSI1" s="224"/>
      <c r="FSJ1" s="224"/>
      <c r="FSK1" s="224"/>
      <c r="FSL1" s="224"/>
      <c r="FSM1" s="224"/>
      <c r="FSN1" s="224"/>
      <c r="FSO1" s="224"/>
      <c r="FSP1" s="224"/>
      <c r="FSQ1" s="224"/>
      <c r="FSR1" s="224"/>
      <c r="FSS1" s="224"/>
      <c r="FST1" s="224"/>
      <c r="FSU1" s="224"/>
      <c r="FSV1" s="224"/>
      <c r="FSW1" s="224"/>
      <c r="FSX1" s="224"/>
      <c r="FSY1" s="224"/>
      <c r="FSZ1" s="224"/>
      <c r="FTA1" s="224"/>
      <c r="FTB1" s="224"/>
      <c r="FTC1" s="224"/>
      <c r="FTD1" s="224"/>
      <c r="FTE1" s="224"/>
      <c r="FTF1" s="224"/>
      <c r="FTG1" s="224"/>
      <c r="FTH1" s="224"/>
      <c r="FTI1" s="224"/>
      <c r="FTJ1" s="224"/>
      <c r="FTK1" s="224"/>
      <c r="FTL1" s="224"/>
      <c r="FTM1" s="224"/>
      <c r="FTN1" s="224"/>
      <c r="FTO1" s="224"/>
      <c r="FTP1" s="224"/>
      <c r="FTQ1" s="224"/>
      <c r="FTR1" s="224"/>
      <c r="FTS1" s="224"/>
      <c r="FTT1" s="224"/>
      <c r="FTU1" s="224"/>
      <c r="FTV1" s="224"/>
      <c r="FTW1" s="224"/>
      <c r="FTX1" s="224"/>
      <c r="FTY1" s="224"/>
      <c r="FTZ1" s="224"/>
      <c r="FUA1" s="224"/>
      <c r="FUB1" s="224"/>
      <c r="FUC1" s="224"/>
      <c r="FUD1" s="224"/>
      <c r="FUE1" s="224"/>
      <c r="FUF1" s="224"/>
      <c r="FUG1" s="224"/>
      <c r="FUH1" s="224"/>
      <c r="FUI1" s="224"/>
      <c r="FUJ1" s="224"/>
      <c r="FUK1" s="224"/>
      <c r="FUL1" s="224"/>
      <c r="FUM1" s="224"/>
      <c r="FUN1" s="224"/>
      <c r="FUO1" s="224"/>
      <c r="FUP1" s="224"/>
      <c r="FUQ1" s="224"/>
      <c r="FUR1" s="224"/>
      <c r="FUS1" s="224"/>
      <c r="FUT1" s="224"/>
      <c r="FUU1" s="224"/>
      <c r="FUV1" s="224"/>
      <c r="FUW1" s="224"/>
      <c r="FUX1" s="224"/>
      <c r="FUY1" s="224"/>
      <c r="FUZ1" s="224"/>
      <c r="FVA1" s="224"/>
      <c r="FVB1" s="224"/>
      <c r="FVC1" s="224"/>
      <c r="FVD1" s="224"/>
      <c r="FVE1" s="224"/>
      <c r="FVF1" s="224"/>
      <c r="FVG1" s="224"/>
      <c r="FVH1" s="224"/>
      <c r="FVI1" s="224"/>
      <c r="FVJ1" s="224"/>
      <c r="FVK1" s="224"/>
      <c r="FVL1" s="224"/>
      <c r="FVM1" s="224"/>
      <c r="FVN1" s="224"/>
      <c r="FVO1" s="224"/>
      <c r="FVP1" s="224"/>
      <c r="FVQ1" s="224"/>
      <c r="FVR1" s="224"/>
      <c r="FVS1" s="224"/>
      <c r="FVT1" s="224"/>
      <c r="FVU1" s="224"/>
      <c r="FVV1" s="224"/>
      <c r="FVW1" s="224"/>
      <c r="FVX1" s="224"/>
      <c r="FVY1" s="224"/>
      <c r="FVZ1" s="224"/>
      <c r="FWA1" s="224"/>
      <c r="FWB1" s="224"/>
      <c r="FWC1" s="224"/>
      <c r="FWD1" s="224"/>
      <c r="FWE1" s="224"/>
      <c r="FWF1" s="224"/>
      <c r="FWG1" s="224"/>
      <c r="FWH1" s="224"/>
      <c r="FWI1" s="224"/>
      <c r="FWJ1" s="224"/>
      <c r="FWK1" s="224"/>
      <c r="FWL1" s="224"/>
      <c r="FWM1" s="224"/>
      <c r="FWN1" s="224"/>
      <c r="FWO1" s="224"/>
      <c r="FWP1" s="224"/>
      <c r="FWQ1" s="224"/>
      <c r="FWR1" s="224"/>
      <c r="FWS1" s="224"/>
      <c r="FWT1" s="224"/>
      <c r="FWU1" s="224"/>
      <c r="FWV1" s="224"/>
      <c r="FWW1" s="224"/>
      <c r="FWX1" s="224"/>
      <c r="FWY1" s="224"/>
      <c r="FWZ1" s="224"/>
      <c r="FXA1" s="224"/>
      <c r="FXB1" s="224"/>
      <c r="FXC1" s="224"/>
      <c r="FXD1" s="224"/>
      <c r="FXE1" s="224"/>
      <c r="FXF1" s="224"/>
      <c r="FXG1" s="224"/>
      <c r="FXH1" s="224"/>
      <c r="FXI1" s="224"/>
      <c r="FXJ1" s="224"/>
      <c r="FXK1" s="224"/>
      <c r="FXL1" s="224"/>
      <c r="FXM1" s="224"/>
      <c r="FXN1" s="224"/>
      <c r="FXO1" s="224"/>
      <c r="FXP1" s="224"/>
      <c r="FXQ1" s="224"/>
      <c r="FXR1" s="224"/>
      <c r="FXS1" s="224"/>
      <c r="FXT1" s="224"/>
      <c r="FXU1" s="224"/>
      <c r="FXV1" s="224"/>
      <c r="FXW1" s="224"/>
      <c r="FXX1" s="224"/>
      <c r="FXY1" s="224"/>
      <c r="FXZ1" s="224"/>
      <c r="FYA1" s="224"/>
      <c r="FYB1" s="224"/>
      <c r="FYC1" s="224"/>
      <c r="FYD1" s="224"/>
      <c r="FYE1" s="224"/>
      <c r="FYF1" s="224"/>
      <c r="FYG1" s="224"/>
      <c r="FYH1" s="224"/>
      <c r="FYI1" s="224"/>
      <c r="FYJ1" s="224"/>
      <c r="FYK1" s="224"/>
      <c r="FYL1" s="224"/>
      <c r="FYM1" s="224"/>
      <c r="FYN1" s="224"/>
      <c r="FYO1" s="224"/>
      <c r="FYP1" s="224"/>
      <c r="FYQ1" s="224"/>
      <c r="FYR1" s="224"/>
      <c r="FYS1" s="224"/>
      <c r="FYT1" s="224"/>
      <c r="FYU1" s="224"/>
      <c r="FYV1" s="224"/>
      <c r="FYW1" s="224"/>
      <c r="FYX1" s="224"/>
      <c r="FYY1" s="224"/>
      <c r="FYZ1" s="224"/>
      <c r="FZA1" s="224"/>
      <c r="FZB1" s="224"/>
      <c r="FZC1" s="224"/>
      <c r="FZD1" s="224"/>
      <c r="FZE1" s="224"/>
      <c r="FZF1" s="224"/>
      <c r="FZG1" s="224"/>
      <c r="FZH1" s="224"/>
      <c r="FZI1" s="224"/>
      <c r="FZJ1" s="224"/>
      <c r="FZK1" s="224"/>
      <c r="FZL1" s="224"/>
      <c r="FZM1" s="224"/>
      <c r="FZN1" s="224"/>
      <c r="FZO1" s="224"/>
      <c r="FZP1" s="224"/>
      <c r="FZQ1" s="224"/>
      <c r="FZR1" s="224"/>
      <c r="FZS1" s="224"/>
      <c r="FZT1" s="224"/>
      <c r="FZU1" s="224"/>
      <c r="FZV1" s="224"/>
      <c r="FZW1" s="224"/>
      <c r="FZX1" s="224"/>
      <c r="FZY1" s="224"/>
      <c r="FZZ1" s="224"/>
      <c r="GAA1" s="224"/>
      <c r="GAB1" s="224"/>
      <c r="GAC1" s="224"/>
      <c r="GAD1" s="224"/>
      <c r="GAE1" s="224"/>
      <c r="GAF1" s="224"/>
      <c r="GAG1" s="224"/>
      <c r="GAH1" s="224"/>
      <c r="GAI1" s="224"/>
      <c r="GAJ1" s="224"/>
      <c r="GAK1" s="224"/>
      <c r="GAL1" s="224"/>
      <c r="GAM1" s="224"/>
      <c r="GAN1" s="224"/>
      <c r="GAO1" s="224"/>
      <c r="GAP1" s="224"/>
      <c r="GAQ1" s="224"/>
      <c r="GAR1" s="224"/>
      <c r="GAS1" s="224"/>
      <c r="GAT1" s="224"/>
      <c r="GAU1" s="224"/>
      <c r="GAV1" s="224"/>
      <c r="GAW1" s="224"/>
      <c r="GAX1" s="224"/>
      <c r="GAY1" s="224"/>
      <c r="GAZ1" s="224"/>
      <c r="GBA1" s="224"/>
      <c r="GBB1" s="224"/>
      <c r="GBC1" s="224"/>
      <c r="GBD1" s="224"/>
      <c r="GBE1" s="224"/>
      <c r="GBF1" s="224"/>
      <c r="GBG1" s="224"/>
      <c r="GBH1" s="224"/>
      <c r="GBI1" s="224"/>
      <c r="GBJ1" s="224"/>
      <c r="GBK1" s="224"/>
      <c r="GBL1" s="224"/>
      <c r="GBM1" s="224"/>
      <c r="GBN1" s="224"/>
      <c r="GBO1" s="224"/>
      <c r="GBP1" s="224"/>
      <c r="GBQ1" s="224"/>
      <c r="GBR1" s="224"/>
      <c r="GBS1" s="224"/>
      <c r="GBT1" s="224"/>
      <c r="GBU1" s="224"/>
      <c r="GBV1" s="224"/>
      <c r="GBW1" s="224"/>
      <c r="GBX1" s="224"/>
      <c r="GBY1" s="224"/>
      <c r="GBZ1" s="224"/>
      <c r="GCA1" s="224"/>
      <c r="GCB1" s="224"/>
      <c r="GCC1" s="224"/>
      <c r="GCD1" s="224"/>
      <c r="GCE1" s="224"/>
      <c r="GCF1" s="224"/>
      <c r="GCG1" s="224"/>
      <c r="GCH1" s="224"/>
      <c r="GCI1" s="224"/>
      <c r="GCJ1" s="224"/>
      <c r="GCK1" s="224"/>
      <c r="GCL1" s="224"/>
      <c r="GCM1" s="224"/>
      <c r="GCN1" s="224"/>
      <c r="GCO1" s="224"/>
      <c r="GCP1" s="224"/>
      <c r="GCQ1" s="224"/>
      <c r="GCR1" s="224"/>
      <c r="GCS1" s="224"/>
      <c r="GCT1" s="224"/>
      <c r="GCU1" s="224"/>
      <c r="GCV1" s="224"/>
      <c r="GCW1" s="224"/>
      <c r="GCX1" s="224"/>
      <c r="GCY1" s="224"/>
      <c r="GCZ1" s="224"/>
      <c r="GDA1" s="224"/>
      <c r="GDB1" s="224"/>
      <c r="GDC1" s="224"/>
      <c r="GDD1" s="224"/>
      <c r="GDE1" s="224"/>
      <c r="GDF1" s="224"/>
      <c r="GDG1" s="224"/>
      <c r="GDH1" s="224"/>
      <c r="GDI1" s="224"/>
      <c r="GDJ1" s="224"/>
      <c r="GDK1" s="224"/>
      <c r="GDL1" s="224"/>
      <c r="GDM1" s="224"/>
      <c r="GDN1" s="224"/>
      <c r="GDO1" s="224"/>
      <c r="GDP1" s="224"/>
      <c r="GDQ1" s="224"/>
      <c r="GDR1" s="224"/>
      <c r="GDS1" s="224"/>
      <c r="GDT1" s="224"/>
      <c r="GDU1" s="224"/>
      <c r="GDV1" s="224"/>
      <c r="GDW1" s="224"/>
      <c r="GDX1" s="224"/>
      <c r="GDY1" s="224"/>
      <c r="GDZ1" s="224"/>
      <c r="GEA1" s="224"/>
      <c r="GEB1" s="224"/>
      <c r="GEC1" s="224"/>
      <c r="GED1" s="224"/>
      <c r="GEE1" s="224"/>
      <c r="GEF1" s="224"/>
      <c r="GEG1" s="224"/>
      <c r="GEH1" s="224"/>
      <c r="GEI1" s="224"/>
      <c r="GEJ1" s="224"/>
      <c r="GEK1" s="224"/>
      <c r="GEL1" s="224"/>
      <c r="GEM1" s="224"/>
      <c r="GEN1" s="224"/>
      <c r="GEO1" s="224"/>
      <c r="GEP1" s="224"/>
      <c r="GEQ1" s="224"/>
      <c r="GER1" s="224"/>
      <c r="GES1" s="224"/>
      <c r="GET1" s="224"/>
      <c r="GEU1" s="224"/>
      <c r="GEV1" s="224"/>
      <c r="GEW1" s="224"/>
      <c r="GEX1" s="224"/>
      <c r="GEY1" s="224"/>
      <c r="GEZ1" s="224"/>
      <c r="GFA1" s="224"/>
      <c r="GFB1" s="224"/>
      <c r="GFC1" s="224"/>
      <c r="GFD1" s="224"/>
      <c r="GFE1" s="224"/>
      <c r="GFF1" s="224"/>
      <c r="GFG1" s="224"/>
      <c r="GFH1" s="224"/>
      <c r="GFI1" s="224"/>
      <c r="GFJ1" s="224"/>
      <c r="GFK1" s="224"/>
      <c r="GFL1" s="224"/>
      <c r="GFM1" s="224"/>
      <c r="GFN1" s="224"/>
      <c r="GFO1" s="224"/>
      <c r="GFP1" s="224"/>
      <c r="GFQ1" s="224"/>
      <c r="GFR1" s="224"/>
      <c r="GFS1" s="224"/>
      <c r="GFT1" s="224"/>
      <c r="GFU1" s="224"/>
      <c r="GFV1" s="224"/>
      <c r="GFW1" s="224"/>
      <c r="GFX1" s="224"/>
      <c r="GFY1" s="224"/>
      <c r="GFZ1" s="224"/>
      <c r="GGA1" s="224"/>
      <c r="GGB1" s="224"/>
      <c r="GGC1" s="224"/>
      <c r="GGD1" s="224"/>
      <c r="GGE1" s="224"/>
      <c r="GGF1" s="224"/>
      <c r="GGG1" s="224"/>
      <c r="GGH1" s="224"/>
      <c r="GGI1" s="224"/>
      <c r="GGJ1" s="224"/>
      <c r="GGK1" s="224"/>
      <c r="GGL1" s="224"/>
      <c r="GGM1" s="224"/>
      <c r="GGN1" s="224"/>
      <c r="GGO1" s="224"/>
      <c r="GGP1" s="224"/>
      <c r="GGQ1" s="224"/>
      <c r="GGR1" s="224"/>
      <c r="GGS1" s="224"/>
      <c r="GGT1" s="224"/>
      <c r="GGU1" s="224"/>
      <c r="GGV1" s="224"/>
      <c r="GGW1" s="224"/>
      <c r="GGX1" s="224"/>
      <c r="GGY1" s="224"/>
      <c r="GGZ1" s="224"/>
      <c r="GHA1" s="224"/>
      <c r="GHB1" s="224"/>
      <c r="GHC1" s="224"/>
      <c r="GHD1" s="224"/>
      <c r="GHE1" s="224"/>
      <c r="GHF1" s="224"/>
      <c r="GHG1" s="224"/>
      <c r="GHH1" s="224"/>
      <c r="GHI1" s="224"/>
      <c r="GHJ1" s="224"/>
      <c r="GHK1" s="224"/>
      <c r="GHL1" s="224"/>
      <c r="GHM1" s="224"/>
      <c r="GHN1" s="224"/>
      <c r="GHO1" s="224"/>
      <c r="GHP1" s="224"/>
      <c r="GHQ1" s="224"/>
      <c r="GHR1" s="224"/>
      <c r="GHS1" s="224"/>
      <c r="GHT1" s="224"/>
      <c r="GHU1" s="224"/>
      <c r="GHV1" s="224"/>
      <c r="GHW1" s="224"/>
      <c r="GHX1" s="224"/>
      <c r="GHY1" s="224"/>
      <c r="GHZ1" s="224"/>
      <c r="GIA1" s="224"/>
      <c r="GIB1" s="224"/>
      <c r="GIC1" s="224"/>
      <c r="GID1" s="224"/>
      <c r="GIE1" s="224"/>
      <c r="GIF1" s="224"/>
      <c r="GIG1" s="224"/>
      <c r="GIH1" s="224"/>
      <c r="GII1" s="224"/>
      <c r="GIJ1" s="224"/>
      <c r="GIK1" s="224"/>
      <c r="GIL1" s="224"/>
      <c r="GIM1" s="224"/>
      <c r="GIN1" s="224"/>
      <c r="GIO1" s="224"/>
      <c r="GIP1" s="224"/>
      <c r="GIQ1" s="224"/>
      <c r="GIR1" s="224"/>
      <c r="GIS1" s="224"/>
      <c r="GIT1" s="224"/>
      <c r="GIU1" s="224"/>
      <c r="GIV1" s="224"/>
      <c r="GIW1" s="224"/>
      <c r="GIX1" s="224"/>
      <c r="GIY1" s="224"/>
      <c r="GIZ1" s="224"/>
      <c r="GJA1" s="224"/>
      <c r="GJB1" s="224"/>
      <c r="GJC1" s="224"/>
      <c r="GJD1" s="224"/>
      <c r="GJE1" s="224"/>
      <c r="GJF1" s="224"/>
      <c r="GJG1" s="224"/>
      <c r="GJH1" s="224"/>
      <c r="GJI1" s="224"/>
      <c r="GJJ1" s="224"/>
      <c r="GJK1" s="224"/>
      <c r="GJL1" s="224"/>
      <c r="GJM1" s="224"/>
      <c r="GJN1" s="224"/>
      <c r="GJO1" s="224"/>
      <c r="GJP1" s="224"/>
      <c r="GJQ1" s="224"/>
      <c r="GJR1" s="224"/>
      <c r="GJS1" s="224"/>
      <c r="GJT1" s="224"/>
      <c r="GJU1" s="224"/>
      <c r="GJV1" s="224"/>
      <c r="GJW1" s="224"/>
      <c r="GJX1" s="224"/>
      <c r="GJY1" s="224"/>
      <c r="GJZ1" s="224"/>
      <c r="GKA1" s="224"/>
      <c r="GKB1" s="224"/>
      <c r="GKC1" s="224"/>
      <c r="GKD1" s="224"/>
      <c r="GKE1" s="224"/>
      <c r="GKF1" s="224"/>
      <c r="GKG1" s="224"/>
      <c r="GKH1" s="224"/>
      <c r="GKI1" s="224"/>
      <c r="GKJ1" s="224"/>
      <c r="GKK1" s="224"/>
      <c r="GKL1" s="224"/>
      <c r="GKM1" s="224"/>
      <c r="GKN1" s="224"/>
      <c r="GKO1" s="224"/>
      <c r="GKP1" s="224"/>
      <c r="GKQ1" s="224"/>
      <c r="GKR1" s="224"/>
      <c r="GKS1" s="224"/>
      <c r="GKT1" s="224"/>
      <c r="GKU1" s="224"/>
      <c r="GKV1" s="224"/>
      <c r="GKW1" s="224"/>
      <c r="GKX1" s="224"/>
      <c r="GKY1" s="224"/>
      <c r="GKZ1" s="224"/>
      <c r="GLA1" s="224"/>
      <c r="GLB1" s="224"/>
      <c r="GLC1" s="224"/>
      <c r="GLD1" s="224"/>
      <c r="GLE1" s="224"/>
      <c r="GLF1" s="224"/>
      <c r="GLG1" s="224"/>
      <c r="GLH1" s="224"/>
      <c r="GLI1" s="224"/>
      <c r="GLJ1" s="224"/>
      <c r="GLK1" s="224"/>
      <c r="GLL1" s="224"/>
      <c r="GLM1" s="224"/>
      <c r="GLN1" s="224"/>
      <c r="GLO1" s="224"/>
      <c r="GLP1" s="224"/>
      <c r="GLQ1" s="224"/>
      <c r="GLR1" s="224"/>
      <c r="GLS1" s="224"/>
      <c r="GLT1" s="224"/>
      <c r="GLU1" s="224"/>
      <c r="GLV1" s="224"/>
      <c r="GLW1" s="224"/>
      <c r="GLX1" s="224"/>
      <c r="GLY1" s="224"/>
      <c r="GLZ1" s="224"/>
      <c r="GMA1" s="224"/>
      <c r="GMB1" s="224"/>
      <c r="GMC1" s="224"/>
      <c r="GMD1" s="224"/>
      <c r="GME1" s="224"/>
      <c r="GMF1" s="224"/>
      <c r="GMG1" s="224"/>
      <c r="GMH1" s="224"/>
      <c r="GMI1" s="224"/>
      <c r="GMJ1" s="224"/>
      <c r="GMK1" s="224"/>
      <c r="GML1" s="224"/>
      <c r="GMM1" s="224"/>
      <c r="GMN1" s="224"/>
      <c r="GMO1" s="224"/>
      <c r="GMP1" s="224"/>
      <c r="GMQ1" s="224"/>
      <c r="GMR1" s="224"/>
      <c r="GMS1" s="224"/>
      <c r="GMT1" s="224"/>
      <c r="GMU1" s="224"/>
      <c r="GMV1" s="224"/>
      <c r="GMW1" s="224"/>
      <c r="GMX1" s="224"/>
      <c r="GMY1" s="224"/>
      <c r="GMZ1" s="224"/>
      <c r="GNA1" s="224"/>
      <c r="GNB1" s="224"/>
      <c r="GNC1" s="224"/>
      <c r="GND1" s="224"/>
      <c r="GNE1" s="224"/>
      <c r="GNF1" s="224"/>
      <c r="GNG1" s="224"/>
      <c r="GNH1" s="224"/>
      <c r="GNI1" s="224"/>
      <c r="GNJ1" s="224"/>
      <c r="GNK1" s="224"/>
      <c r="GNL1" s="224"/>
      <c r="GNM1" s="224"/>
      <c r="GNN1" s="224"/>
      <c r="GNO1" s="224"/>
      <c r="GNP1" s="224"/>
      <c r="GNQ1" s="224"/>
      <c r="GNR1" s="224"/>
      <c r="GNS1" s="224"/>
      <c r="GNT1" s="224"/>
      <c r="GNU1" s="224"/>
      <c r="GNV1" s="224"/>
      <c r="GNW1" s="224"/>
      <c r="GNX1" s="224"/>
      <c r="GNY1" s="224"/>
      <c r="GNZ1" s="224"/>
      <c r="GOA1" s="224"/>
      <c r="GOB1" s="224"/>
      <c r="GOC1" s="224"/>
      <c r="GOD1" s="224"/>
      <c r="GOE1" s="224"/>
      <c r="GOF1" s="224"/>
      <c r="GOG1" s="224"/>
      <c r="GOH1" s="224"/>
      <c r="GOI1" s="224"/>
      <c r="GOJ1" s="224"/>
      <c r="GOK1" s="224"/>
      <c r="GOL1" s="224"/>
      <c r="GOM1" s="224"/>
      <c r="GON1" s="224"/>
      <c r="GOO1" s="224"/>
      <c r="GOP1" s="224"/>
      <c r="GOQ1" s="224"/>
      <c r="GOR1" s="224"/>
      <c r="GOS1" s="224"/>
      <c r="GOT1" s="224"/>
      <c r="GOU1" s="224"/>
      <c r="GOV1" s="224"/>
      <c r="GOW1" s="224"/>
      <c r="GOX1" s="224"/>
      <c r="GOY1" s="224"/>
      <c r="GOZ1" s="224"/>
      <c r="GPA1" s="224"/>
      <c r="GPB1" s="224"/>
      <c r="GPC1" s="224"/>
      <c r="GPD1" s="224"/>
      <c r="GPE1" s="224"/>
      <c r="GPF1" s="224"/>
      <c r="GPG1" s="224"/>
      <c r="GPH1" s="224"/>
      <c r="GPI1" s="224"/>
      <c r="GPJ1" s="224"/>
      <c r="GPK1" s="224"/>
      <c r="GPL1" s="224"/>
      <c r="GPM1" s="224"/>
      <c r="GPN1" s="224"/>
      <c r="GPO1" s="224"/>
      <c r="GPP1" s="224"/>
      <c r="GPQ1" s="224"/>
      <c r="GPR1" s="224"/>
      <c r="GPS1" s="224"/>
      <c r="GPT1" s="224"/>
      <c r="GPU1" s="224"/>
      <c r="GPV1" s="224"/>
      <c r="GPW1" s="224"/>
      <c r="GPX1" s="224"/>
      <c r="GPY1" s="224"/>
      <c r="GPZ1" s="224"/>
      <c r="GQA1" s="224"/>
      <c r="GQB1" s="224"/>
      <c r="GQC1" s="224"/>
      <c r="GQD1" s="224"/>
      <c r="GQE1" s="224"/>
      <c r="GQF1" s="224"/>
      <c r="GQG1" s="224"/>
      <c r="GQH1" s="224"/>
      <c r="GQI1" s="224"/>
      <c r="GQJ1" s="224"/>
      <c r="GQK1" s="224"/>
      <c r="GQL1" s="224"/>
      <c r="GQM1" s="224"/>
      <c r="GQN1" s="224"/>
      <c r="GQO1" s="224"/>
      <c r="GQP1" s="224"/>
      <c r="GQQ1" s="224"/>
      <c r="GQR1" s="224"/>
      <c r="GQS1" s="224"/>
      <c r="GQT1" s="224"/>
      <c r="GQU1" s="224"/>
      <c r="GQV1" s="224"/>
      <c r="GQW1" s="224"/>
      <c r="GQX1" s="224"/>
      <c r="GQY1" s="224"/>
      <c r="GQZ1" s="224"/>
      <c r="GRA1" s="224"/>
      <c r="GRB1" s="224"/>
      <c r="GRC1" s="224"/>
      <c r="GRD1" s="224"/>
      <c r="GRE1" s="224"/>
      <c r="GRF1" s="224"/>
      <c r="GRG1" s="224"/>
      <c r="GRH1" s="224"/>
      <c r="GRI1" s="224"/>
      <c r="GRJ1" s="224"/>
      <c r="GRK1" s="224"/>
      <c r="GRL1" s="224"/>
      <c r="GRM1" s="224"/>
      <c r="GRN1" s="224"/>
      <c r="GRO1" s="224"/>
      <c r="GRP1" s="224"/>
      <c r="GRQ1" s="224"/>
      <c r="GRR1" s="224"/>
      <c r="GRS1" s="224"/>
      <c r="GRT1" s="224"/>
      <c r="GRU1" s="224"/>
      <c r="GRV1" s="224"/>
      <c r="GRW1" s="224"/>
      <c r="GRX1" s="224"/>
      <c r="GRY1" s="224"/>
      <c r="GRZ1" s="224"/>
      <c r="GSA1" s="224"/>
      <c r="GSB1" s="224"/>
      <c r="GSC1" s="224"/>
      <c r="GSD1" s="224"/>
      <c r="GSE1" s="224"/>
      <c r="GSF1" s="224"/>
      <c r="GSG1" s="224"/>
      <c r="GSH1" s="224"/>
      <c r="GSI1" s="224"/>
      <c r="GSJ1" s="224"/>
      <c r="GSK1" s="224"/>
      <c r="GSL1" s="224"/>
      <c r="GSM1" s="224"/>
      <c r="GSN1" s="224"/>
      <c r="GSO1" s="224"/>
      <c r="GSP1" s="224"/>
      <c r="GSQ1" s="224"/>
      <c r="GSR1" s="224"/>
      <c r="GSS1" s="224"/>
      <c r="GST1" s="224"/>
      <c r="GSU1" s="224"/>
      <c r="GSV1" s="224"/>
      <c r="GSW1" s="224"/>
      <c r="GSX1" s="224"/>
      <c r="GSY1" s="224"/>
      <c r="GSZ1" s="224"/>
      <c r="GTA1" s="224"/>
      <c r="GTB1" s="224"/>
      <c r="GTC1" s="224"/>
      <c r="GTD1" s="224"/>
      <c r="GTE1" s="224"/>
      <c r="GTF1" s="224"/>
      <c r="GTG1" s="224"/>
      <c r="GTH1" s="224"/>
      <c r="GTI1" s="224"/>
      <c r="GTJ1" s="224"/>
      <c r="GTK1" s="224"/>
      <c r="GTL1" s="224"/>
      <c r="GTM1" s="224"/>
      <c r="GTN1" s="224"/>
      <c r="GTO1" s="224"/>
      <c r="GTP1" s="224"/>
      <c r="GTQ1" s="224"/>
      <c r="GTR1" s="224"/>
      <c r="GTS1" s="224"/>
      <c r="GTT1" s="224"/>
      <c r="GTU1" s="224"/>
      <c r="GTV1" s="224"/>
      <c r="GTW1" s="224"/>
      <c r="GTX1" s="224"/>
      <c r="GTY1" s="224"/>
      <c r="GTZ1" s="224"/>
      <c r="GUA1" s="224"/>
      <c r="GUB1" s="224"/>
      <c r="GUC1" s="224"/>
      <c r="GUD1" s="224"/>
      <c r="GUE1" s="224"/>
      <c r="GUF1" s="224"/>
      <c r="GUG1" s="224"/>
      <c r="GUH1" s="224"/>
      <c r="GUI1" s="224"/>
      <c r="GUJ1" s="224"/>
      <c r="GUK1" s="224"/>
      <c r="GUL1" s="224"/>
      <c r="GUM1" s="224"/>
      <c r="GUN1" s="224"/>
      <c r="GUO1" s="224"/>
      <c r="GUP1" s="224"/>
      <c r="GUQ1" s="224"/>
      <c r="GUR1" s="224"/>
      <c r="GUS1" s="224"/>
      <c r="GUT1" s="224"/>
      <c r="GUU1" s="224"/>
      <c r="GUV1" s="224"/>
      <c r="GUW1" s="224"/>
      <c r="GUX1" s="224"/>
      <c r="GUY1" s="224"/>
      <c r="GUZ1" s="224"/>
      <c r="GVA1" s="224"/>
      <c r="GVB1" s="224"/>
      <c r="GVC1" s="224"/>
      <c r="GVD1" s="224"/>
      <c r="GVE1" s="224"/>
      <c r="GVF1" s="224"/>
      <c r="GVG1" s="224"/>
      <c r="GVH1" s="224"/>
      <c r="GVI1" s="224"/>
      <c r="GVJ1" s="224"/>
      <c r="GVK1" s="224"/>
      <c r="GVL1" s="224"/>
      <c r="GVM1" s="224"/>
      <c r="GVN1" s="224"/>
      <c r="GVO1" s="224"/>
      <c r="GVP1" s="224"/>
      <c r="GVQ1" s="224"/>
      <c r="GVR1" s="224"/>
      <c r="GVS1" s="224"/>
      <c r="GVT1" s="224"/>
      <c r="GVU1" s="224"/>
      <c r="GVV1" s="224"/>
      <c r="GVW1" s="224"/>
      <c r="GVX1" s="224"/>
      <c r="GVY1" s="224"/>
      <c r="GVZ1" s="224"/>
      <c r="GWA1" s="224"/>
      <c r="GWB1" s="224"/>
      <c r="GWC1" s="224"/>
      <c r="GWD1" s="224"/>
      <c r="GWE1" s="224"/>
      <c r="GWF1" s="224"/>
      <c r="GWG1" s="224"/>
      <c r="GWH1" s="224"/>
      <c r="GWI1" s="224"/>
      <c r="GWJ1" s="224"/>
      <c r="GWK1" s="224"/>
      <c r="GWL1" s="224"/>
      <c r="GWM1" s="224"/>
      <c r="GWN1" s="224"/>
      <c r="GWO1" s="224"/>
      <c r="GWP1" s="224"/>
      <c r="GWQ1" s="224"/>
      <c r="GWR1" s="224"/>
      <c r="GWS1" s="224"/>
      <c r="GWT1" s="224"/>
      <c r="GWU1" s="224"/>
      <c r="GWV1" s="224"/>
      <c r="GWW1" s="224"/>
      <c r="GWX1" s="224"/>
      <c r="GWY1" s="224"/>
      <c r="GWZ1" s="224"/>
      <c r="GXA1" s="224"/>
      <c r="GXB1" s="224"/>
      <c r="GXC1" s="224"/>
      <c r="GXD1" s="224"/>
      <c r="GXE1" s="224"/>
      <c r="GXF1" s="224"/>
      <c r="GXG1" s="224"/>
      <c r="GXH1" s="224"/>
      <c r="GXI1" s="224"/>
      <c r="GXJ1" s="224"/>
      <c r="GXK1" s="224"/>
      <c r="GXL1" s="224"/>
      <c r="GXM1" s="224"/>
      <c r="GXN1" s="224"/>
      <c r="GXO1" s="224"/>
      <c r="GXP1" s="224"/>
      <c r="GXQ1" s="224"/>
      <c r="GXR1" s="224"/>
      <c r="GXS1" s="224"/>
      <c r="GXT1" s="224"/>
      <c r="GXU1" s="224"/>
      <c r="GXV1" s="224"/>
      <c r="GXW1" s="224"/>
      <c r="GXX1" s="224"/>
      <c r="GXY1" s="224"/>
      <c r="GXZ1" s="224"/>
      <c r="GYA1" s="224"/>
      <c r="GYB1" s="224"/>
      <c r="GYC1" s="224"/>
      <c r="GYD1" s="224"/>
      <c r="GYE1" s="224"/>
      <c r="GYF1" s="224"/>
      <c r="GYG1" s="224"/>
      <c r="GYH1" s="224"/>
      <c r="GYI1" s="224"/>
      <c r="GYJ1" s="224"/>
      <c r="GYK1" s="224"/>
      <c r="GYL1" s="224"/>
      <c r="GYM1" s="224"/>
      <c r="GYN1" s="224"/>
      <c r="GYO1" s="224"/>
      <c r="GYP1" s="224"/>
      <c r="GYQ1" s="224"/>
      <c r="GYR1" s="224"/>
      <c r="GYS1" s="224"/>
      <c r="GYT1" s="224"/>
      <c r="GYU1" s="224"/>
      <c r="GYV1" s="224"/>
      <c r="GYW1" s="224"/>
      <c r="GYX1" s="224"/>
      <c r="GYY1" s="224"/>
      <c r="GYZ1" s="224"/>
      <c r="GZA1" s="224"/>
      <c r="GZB1" s="224"/>
      <c r="GZC1" s="224"/>
      <c r="GZD1" s="224"/>
      <c r="GZE1" s="224"/>
      <c r="GZF1" s="224"/>
      <c r="GZG1" s="224"/>
      <c r="GZH1" s="224"/>
      <c r="GZI1" s="224"/>
      <c r="GZJ1" s="224"/>
      <c r="GZK1" s="224"/>
      <c r="GZL1" s="224"/>
      <c r="GZM1" s="224"/>
      <c r="GZN1" s="224"/>
      <c r="GZO1" s="224"/>
      <c r="GZP1" s="224"/>
      <c r="GZQ1" s="224"/>
      <c r="GZR1" s="224"/>
      <c r="GZS1" s="224"/>
      <c r="GZT1" s="224"/>
      <c r="GZU1" s="224"/>
      <c r="GZV1" s="224"/>
      <c r="GZW1" s="224"/>
      <c r="GZX1" s="224"/>
      <c r="GZY1" s="224"/>
      <c r="GZZ1" s="224"/>
      <c r="HAA1" s="224"/>
      <c r="HAB1" s="224"/>
      <c r="HAC1" s="224"/>
      <c r="HAD1" s="224"/>
      <c r="HAE1" s="224"/>
      <c r="HAF1" s="224"/>
      <c r="HAG1" s="224"/>
      <c r="HAH1" s="224"/>
      <c r="HAI1" s="224"/>
      <c r="HAJ1" s="224"/>
      <c r="HAK1" s="224"/>
      <c r="HAL1" s="224"/>
      <c r="HAM1" s="224"/>
      <c r="HAN1" s="224"/>
      <c r="HAO1" s="224"/>
      <c r="HAP1" s="224"/>
      <c r="HAQ1" s="224"/>
      <c r="HAR1" s="224"/>
      <c r="HAS1" s="224"/>
      <c r="HAT1" s="224"/>
      <c r="HAU1" s="224"/>
      <c r="HAV1" s="224"/>
      <c r="HAW1" s="224"/>
      <c r="HAX1" s="224"/>
      <c r="HAY1" s="224"/>
      <c r="HAZ1" s="224"/>
      <c r="HBA1" s="224"/>
      <c r="HBB1" s="224"/>
      <c r="HBC1" s="224"/>
      <c r="HBD1" s="224"/>
      <c r="HBE1" s="224"/>
      <c r="HBF1" s="224"/>
      <c r="HBG1" s="224"/>
      <c r="HBH1" s="224"/>
      <c r="HBI1" s="224"/>
      <c r="HBJ1" s="224"/>
      <c r="HBK1" s="224"/>
      <c r="HBL1" s="224"/>
      <c r="HBM1" s="224"/>
      <c r="HBN1" s="224"/>
      <c r="HBO1" s="224"/>
      <c r="HBP1" s="224"/>
      <c r="HBQ1" s="224"/>
      <c r="HBR1" s="224"/>
      <c r="HBS1" s="224"/>
      <c r="HBT1" s="224"/>
      <c r="HBU1" s="224"/>
      <c r="HBV1" s="224"/>
      <c r="HBW1" s="224"/>
      <c r="HBX1" s="224"/>
      <c r="HBY1" s="224"/>
      <c r="HBZ1" s="224"/>
      <c r="HCA1" s="224"/>
      <c r="HCB1" s="224"/>
      <c r="HCC1" s="224"/>
      <c r="HCD1" s="224"/>
      <c r="HCE1" s="224"/>
      <c r="HCF1" s="224"/>
      <c r="HCG1" s="224"/>
      <c r="HCH1" s="224"/>
      <c r="HCI1" s="224"/>
      <c r="HCJ1" s="224"/>
      <c r="HCK1" s="224"/>
      <c r="HCL1" s="224"/>
      <c r="HCM1" s="224"/>
      <c r="HCN1" s="224"/>
      <c r="HCO1" s="224"/>
      <c r="HCP1" s="224"/>
      <c r="HCQ1" s="224"/>
      <c r="HCR1" s="224"/>
      <c r="HCS1" s="224"/>
      <c r="HCT1" s="224"/>
      <c r="HCU1" s="224"/>
      <c r="HCV1" s="224"/>
      <c r="HCW1" s="224"/>
      <c r="HCX1" s="224"/>
      <c r="HCY1" s="224"/>
      <c r="HCZ1" s="224"/>
      <c r="HDA1" s="224"/>
      <c r="HDB1" s="224"/>
      <c r="HDC1" s="224"/>
      <c r="HDD1" s="224"/>
      <c r="HDE1" s="224"/>
      <c r="HDF1" s="224"/>
      <c r="HDG1" s="224"/>
      <c r="HDH1" s="224"/>
      <c r="HDI1" s="224"/>
      <c r="HDJ1" s="224"/>
      <c r="HDK1" s="224"/>
      <c r="HDL1" s="224"/>
      <c r="HDM1" s="224"/>
      <c r="HDN1" s="224"/>
      <c r="HDO1" s="224"/>
      <c r="HDP1" s="224"/>
      <c r="HDQ1" s="224"/>
      <c r="HDR1" s="224"/>
      <c r="HDS1" s="224"/>
      <c r="HDT1" s="224"/>
      <c r="HDU1" s="224"/>
      <c r="HDV1" s="224"/>
      <c r="HDW1" s="224"/>
      <c r="HDX1" s="224"/>
      <c r="HDY1" s="224"/>
      <c r="HDZ1" s="224"/>
      <c r="HEA1" s="224"/>
      <c r="HEB1" s="224"/>
      <c r="HEC1" s="224"/>
      <c r="HED1" s="224"/>
      <c r="HEE1" s="224"/>
      <c r="HEF1" s="224"/>
      <c r="HEG1" s="224"/>
      <c r="HEH1" s="224"/>
      <c r="HEI1" s="224"/>
      <c r="HEJ1" s="224"/>
      <c r="HEK1" s="224"/>
      <c r="HEL1" s="224"/>
      <c r="HEM1" s="224"/>
      <c r="HEN1" s="224"/>
      <c r="HEO1" s="224"/>
      <c r="HEP1" s="224"/>
      <c r="HEQ1" s="224"/>
      <c r="HER1" s="224"/>
      <c r="HES1" s="224"/>
      <c r="HET1" s="224"/>
      <c r="HEU1" s="224"/>
      <c r="HEV1" s="224"/>
      <c r="HEW1" s="224"/>
      <c r="HEX1" s="224"/>
      <c r="HEY1" s="224"/>
      <c r="HEZ1" s="224"/>
      <c r="HFA1" s="224"/>
      <c r="HFB1" s="224"/>
      <c r="HFC1" s="224"/>
      <c r="HFD1" s="224"/>
      <c r="HFE1" s="224"/>
      <c r="HFF1" s="224"/>
      <c r="HFG1" s="224"/>
      <c r="HFH1" s="224"/>
      <c r="HFI1" s="224"/>
      <c r="HFJ1" s="224"/>
      <c r="HFK1" s="224"/>
      <c r="HFL1" s="224"/>
      <c r="HFM1" s="224"/>
      <c r="HFN1" s="224"/>
      <c r="HFO1" s="224"/>
      <c r="HFP1" s="224"/>
      <c r="HFQ1" s="224"/>
      <c r="HFR1" s="224"/>
      <c r="HFS1" s="224"/>
      <c r="HFT1" s="224"/>
      <c r="HFU1" s="224"/>
      <c r="HFV1" s="224"/>
      <c r="HFW1" s="224"/>
      <c r="HFX1" s="224"/>
      <c r="HFY1" s="224"/>
      <c r="HFZ1" s="224"/>
      <c r="HGA1" s="224"/>
      <c r="HGB1" s="224"/>
      <c r="HGC1" s="224"/>
      <c r="HGD1" s="224"/>
      <c r="HGE1" s="224"/>
      <c r="HGF1" s="224"/>
      <c r="HGG1" s="224"/>
      <c r="HGH1" s="224"/>
      <c r="HGI1" s="224"/>
      <c r="HGJ1" s="224"/>
      <c r="HGK1" s="224"/>
      <c r="HGL1" s="224"/>
      <c r="HGM1" s="224"/>
      <c r="HGN1" s="224"/>
      <c r="HGO1" s="224"/>
      <c r="HGP1" s="224"/>
      <c r="HGQ1" s="224"/>
      <c r="HGR1" s="224"/>
      <c r="HGS1" s="224"/>
      <c r="HGT1" s="224"/>
      <c r="HGU1" s="224"/>
      <c r="HGV1" s="224"/>
      <c r="HGW1" s="224"/>
      <c r="HGX1" s="224"/>
      <c r="HGY1" s="224"/>
      <c r="HGZ1" s="224"/>
      <c r="HHA1" s="224"/>
      <c r="HHB1" s="224"/>
      <c r="HHC1" s="224"/>
      <c r="HHD1" s="224"/>
      <c r="HHE1" s="224"/>
      <c r="HHF1" s="224"/>
      <c r="HHG1" s="224"/>
      <c r="HHH1" s="224"/>
      <c r="HHI1" s="224"/>
      <c r="HHJ1" s="224"/>
      <c r="HHK1" s="224"/>
      <c r="HHL1" s="224"/>
      <c r="HHM1" s="224"/>
      <c r="HHN1" s="224"/>
      <c r="HHO1" s="224"/>
      <c r="HHP1" s="224"/>
      <c r="HHQ1" s="224"/>
      <c r="HHR1" s="224"/>
      <c r="HHS1" s="224"/>
      <c r="HHT1" s="224"/>
      <c r="HHU1" s="224"/>
      <c r="HHV1" s="224"/>
      <c r="HHW1" s="224"/>
      <c r="HHX1" s="224"/>
      <c r="HHY1" s="224"/>
      <c r="HHZ1" s="224"/>
      <c r="HIA1" s="224"/>
      <c r="HIB1" s="224"/>
      <c r="HIC1" s="224"/>
      <c r="HID1" s="224"/>
      <c r="HIE1" s="224"/>
      <c r="HIF1" s="224"/>
      <c r="HIG1" s="224"/>
      <c r="HIH1" s="224"/>
      <c r="HII1" s="224"/>
      <c r="HIJ1" s="224"/>
      <c r="HIK1" s="224"/>
      <c r="HIL1" s="224"/>
      <c r="HIM1" s="224"/>
      <c r="HIN1" s="224"/>
      <c r="HIO1" s="224"/>
      <c r="HIP1" s="224"/>
      <c r="HIQ1" s="224"/>
      <c r="HIR1" s="224"/>
      <c r="HIS1" s="224"/>
      <c r="HIT1" s="224"/>
      <c r="HIU1" s="224"/>
      <c r="HIV1" s="224"/>
      <c r="HIW1" s="224"/>
      <c r="HIX1" s="224"/>
      <c r="HIY1" s="224"/>
      <c r="HIZ1" s="224"/>
      <c r="HJA1" s="224"/>
      <c r="HJB1" s="224"/>
      <c r="HJC1" s="224"/>
      <c r="HJD1" s="224"/>
      <c r="HJE1" s="224"/>
      <c r="HJF1" s="224"/>
      <c r="HJG1" s="224"/>
      <c r="HJH1" s="224"/>
      <c r="HJI1" s="224"/>
      <c r="HJJ1" s="224"/>
      <c r="HJK1" s="224"/>
      <c r="HJL1" s="224"/>
      <c r="HJM1" s="224"/>
      <c r="HJN1" s="224"/>
      <c r="HJO1" s="224"/>
      <c r="HJP1" s="224"/>
      <c r="HJQ1" s="224"/>
      <c r="HJR1" s="224"/>
      <c r="HJS1" s="224"/>
      <c r="HJT1" s="224"/>
      <c r="HJU1" s="224"/>
      <c r="HJV1" s="224"/>
      <c r="HJW1" s="224"/>
      <c r="HJX1" s="224"/>
      <c r="HJY1" s="224"/>
      <c r="HJZ1" s="224"/>
      <c r="HKA1" s="224"/>
      <c r="HKB1" s="224"/>
      <c r="HKC1" s="224"/>
      <c r="HKD1" s="224"/>
      <c r="HKE1" s="224"/>
      <c r="HKF1" s="224"/>
      <c r="HKG1" s="224"/>
      <c r="HKH1" s="224"/>
      <c r="HKI1" s="224"/>
      <c r="HKJ1" s="224"/>
      <c r="HKK1" s="224"/>
      <c r="HKL1" s="224"/>
      <c r="HKM1" s="224"/>
      <c r="HKN1" s="224"/>
      <c r="HKO1" s="224"/>
      <c r="HKP1" s="224"/>
      <c r="HKQ1" s="224"/>
      <c r="HKR1" s="224"/>
      <c r="HKS1" s="224"/>
      <c r="HKT1" s="224"/>
      <c r="HKU1" s="224"/>
      <c r="HKV1" s="224"/>
      <c r="HKW1" s="224"/>
      <c r="HKX1" s="224"/>
      <c r="HKY1" s="224"/>
      <c r="HKZ1" s="224"/>
      <c r="HLA1" s="224"/>
      <c r="HLB1" s="224"/>
      <c r="HLC1" s="224"/>
      <c r="HLD1" s="224"/>
      <c r="HLE1" s="224"/>
      <c r="HLF1" s="224"/>
      <c r="HLG1" s="224"/>
      <c r="HLH1" s="224"/>
      <c r="HLI1" s="224"/>
      <c r="HLJ1" s="224"/>
      <c r="HLK1" s="224"/>
      <c r="HLL1" s="224"/>
      <c r="HLM1" s="224"/>
      <c r="HLN1" s="224"/>
      <c r="HLO1" s="224"/>
      <c r="HLP1" s="224"/>
      <c r="HLQ1" s="224"/>
      <c r="HLR1" s="224"/>
      <c r="HLS1" s="224"/>
      <c r="HLT1" s="224"/>
      <c r="HLU1" s="224"/>
      <c r="HLV1" s="224"/>
      <c r="HLW1" s="224"/>
      <c r="HLX1" s="224"/>
      <c r="HLY1" s="224"/>
      <c r="HLZ1" s="224"/>
      <c r="HMA1" s="224"/>
      <c r="HMB1" s="224"/>
      <c r="HMC1" s="224"/>
      <c r="HMD1" s="224"/>
      <c r="HME1" s="224"/>
      <c r="HMF1" s="224"/>
      <c r="HMG1" s="224"/>
      <c r="HMH1" s="224"/>
      <c r="HMI1" s="224"/>
      <c r="HMJ1" s="224"/>
      <c r="HMK1" s="224"/>
      <c r="HML1" s="224"/>
      <c r="HMM1" s="224"/>
      <c r="HMN1" s="224"/>
      <c r="HMO1" s="224"/>
      <c r="HMP1" s="224"/>
      <c r="HMQ1" s="224"/>
      <c r="HMR1" s="224"/>
      <c r="HMS1" s="224"/>
      <c r="HMT1" s="224"/>
      <c r="HMU1" s="224"/>
      <c r="HMV1" s="224"/>
      <c r="HMW1" s="224"/>
      <c r="HMX1" s="224"/>
      <c r="HMY1" s="224"/>
      <c r="HMZ1" s="224"/>
      <c r="HNA1" s="224"/>
      <c r="HNB1" s="224"/>
      <c r="HNC1" s="224"/>
      <c r="HND1" s="224"/>
      <c r="HNE1" s="224"/>
      <c r="HNF1" s="224"/>
      <c r="HNG1" s="224"/>
      <c r="HNH1" s="224"/>
      <c r="HNI1" s="224"/>
      <c r="HNJ1" s="224"/>
      <c r="HNK1" s="224"/>
      <c r="HNL1" s="224"/>
      <c r="HNM1" s="224"/>
      <c r="HNN1" s="224"/>
      <c r="HNO1" s="224"/>
      <c r="HNP1" s="224"/>
      <c r="HNQ1" s="224"/>
      <c r="HNR1" s="224"/>
      <c r="HNS1" s="224"/>
      <c r="HNT1" s="224"/>
      <c r="HNU1" s="224"/>
      <c r="HNV1" s="224"/>
      <c r="HNW1" s="224"/>
      <c r="HNX1" s="224"/>
      <c r="HNY1" s="224"/>
      <c r="HNZ1" s="224"/>
      <c r="HOA1" s="224"/>
      <c r="HOB1" s="224"/>
      <c r="HOC1" s="224"/>
      <c r="HOD1" s="224"/>
      <c r="HOE1" s="224"/>
      <c r="HOF1" s="224"/>
      <c r="HOG1" s="224"/>
      <c r="HOH1" s="224"/>
      <c r="HOI1" s="224"/>
      <c r="HOJ1" s="224"/>
      <c r="HOK1" s="224"/>
      <c r="HOL1" s="224"/>
      <c r="HOM1" s="224"/>
      <c r="HON1" s="224"/>
      <c r="HOO1" s="224"/>
      <c r="HOP1" s="224"/>
      <c r="HOQ1" s="224"/>
      <c r="HOR1" s="224"/>
      <c r="HOS1" s="224"/>
      <c r="HOT1" s="224"/>
      <c r="HOU1" s="224"/>
      <c r="HOV1" s="224"/>
      <c r="HOW1" s="224"/>
      <c r="HOX1" s="224"/>
      <c r="HOY1" s="224"/>
      <c r="HOZ1" s="224"/>
      <c r="HPA1" s="224"/>
      <c r="HPB1" s="224"/>
      <c r="HPC1" s="224"/>
      <c r="HPD1" s="224"/>
      <c r="HPE1" s="224"/>
      <c r="HPF1" s="224"/>
      <c r="HPG1" s="224"/>
      <c r="HPH1" s="224"/>
      <c r="HPI1" s="224"/>
      <c r="HPJ1" s="224"/>
      <c r="HPK1" s="224"/>
      <c r="HPL1" s="224"/>
      <c r="HPM1" s="224"/>
      <c r="HPN1" s="224"/>
      <c r="HPO1" s="224"/>
      <c r="HPP1" s="224"/>
      <c r="HPQ1" s="224"/>
      <c r="HPR1" s="224"/>
      <c r="HPS1" s="224"/>
      <c r="HPT1" s="224"/>
      <c r="HPU1" s="224"/>
      <c r="HPV1" s="224"/>
      <c r="HPW1" s="224"/>
      <c r="HPX1" s="224"/>
      <c r="HPY1" s="224"/>
      <c r="HPZ1" s="224"/>
      <c r="HQA1" s="224"/>
      <c r="HQB1" s="224"/>
      <c r="HQC1" s="224"/>
      <c r="HQD1" s="224"/>
      <c r="HQE1" s="224"/>
      <c r="HQF1" s="224"/>
      <c r="HQG1" s="224"/>
      <c r="HQH1" s="224"/>
      <c r="HQI1" s="224"/>
      <c r="HQJ1" s="224"/>
      <c r="HQK1" s="224"/>
      <c r="HQL1" s="224"/>
      <c r="HQM1" s="224"/>
      <c r="HQN1" s="224"/>
      <c r="HQO1" s="224"/>
      <c r="HQP1" s="224"/>
      <c r="HQQ1" s="224"/>
      <c r="HQR1" s="224"/>
      <c r="HQS1" s="224"/>
      <c r="HQT1" s="224"/>
      <c r="HQU1" s="224"/>
      <c r="HQV1" s="224"/>
      <c r="HQW1" s="224"/>
      <c r="HQX1" s="224"/>
      <c r="HQY1" s="224"/>
      <c r="HQZ1" s="224"/>
      <c r="HRA1" s="224"/>
      <c r="HRB1" s="224"/>
      <c r="HRC1" s="224"/>
      <c r="HRD1" s="224"/>
      <c r="HRE1" s="224"/>
      <c r="HRF1" s="224"/>
      <c r="HRG1" s="224"/>
      <c r="HRH1" s="224"/>
      <c r="HRI1" s="224"/>
      <c r="HRJ1" s="224"/>
      <c r="HRK1" s="224"/>
      <c r="HRL1" s="224"/>
      <c r="HRM1" s="224"/>
      <c r="HRN1" s="224"/>
      <c r="HRO1" s="224"/>
      <c r="HRP1" s="224"/>
      <c r="HRQ1" s="224"/>
      <c r="HRR1" s="224"/>
      <c r="HRS1" s="224"/>
      <c r="HRT1" s="224"/>
      <c r="HRU1" s="224"/>
      <c r="HRV1" s="224"/>
      <c r="HRW1" s="224"/>
      <c r="HRX1" s="224"/>
      <c r="HRY1" s="224"/>
      <c r="HRZ1" s="224"/>
      <c r="HSA1" s="224"/>
      <c r="HSB1" s="224"/>
      <c r="HSC1" s="224"/>
      <c r="HSD1" s="224"/>
      <c r="HSE1" s="224"/>
      <c r="HSF1" s="224"/>
      <c r="HSG1" s="224"/>
      <c r="HSH1" s="224"/>
      <c r="HSI1" s="224"/>
      <c r="HSJ1" s="224"/>
      <c r="HSK1" s="224"/>
      <c r="HSL1" s="224"/>
      <c r="HSM1" s="224"/>
      <c r="HSN1" s="224"/>
      <c r="HSO1" s="224"/>
      <c r="HSP1" s="224"/>
      <c r="HSQ1" s="224"/>
      <c r="HSR1" s="224"/>
      <c r="HSS1" s="224"/>
      <c r="HST1" s="224"/>
      <c r="HSU1" s="224"/>
      <c r="HSV1" s="224"/>
      <c r="HSW1" s="224"/>
      <c r="HSX1" s="224"/>
      <c r="HSY1" s="224"/>
      <c r="HSZ1" s="224"/>
      <c r="HTA1" s="224"/>
      <c r="HTB1" s="224"/>
      <c r="HTC1" s="224"/>
      <c r="HTD1" s="224"/>
      <c r="HTE1" s="224"/>
      <c r="HTF1" s="224"/>
      <c r="HTG1" s="224"/>
      <c r="HTH1" s="224"/>
      <c r="HTI1" s="224"/>
      <c r="HTJ1" s="224"/>
      <c r="HTK1" s="224"/>
      <c r="HTL1" s="224"/>
      <c r="HTM1" s="224"/>
      <c r="HTN1" s="224"/>
      <c r="HTO1" s="224"/>
      <c r="HTP1" s="224"/>
      <c r="HTQ1" s="224"/>
      <c r="HTR1" s="224"/>
      <c r="HTS1" s="224"/>
      <c r="HTT1" s="224"/>
      <c r="HTU1" s="224"/>
      <c r="HTV1" s="224"/>
      <c r="HTW1" s="224"/>
      <c r="HTX1" s="224"/>
      <c r="HTY1" s="224"/>
      <c r="HTZ1" s="224"/>
      <c r="HUA1" s="224"/>
      <c r="HUB1" s="224"/>
      <c r="HUC1" s="224"/>
      <c r="HUD1" s="224"/>
      <c r="HUE1" s="224"/>
      <c r="HUF1" s="224"/>
      <c r="HUG1" s="224"/>
      <c r="HUH1" s="224"/>
      <c r="HUI1" s="224"/>
      <c r="HUJ1" s="224"/>
      <c r="HUK1" s="224"/>
      <c r="HUL1" s="224"/>
      <c r="HUM1" s="224"/>
      <c r="HUN1" s="224"/>
      <c r="HUO1" s="224"/>
      <c r="HUP1" s="224"/>
      <c r="HUQ1" s="224"/>
      <c r="HUR1" s="224"/>
      <c r="HUS1" s="224"/>
      <c r="HUT1" s="224"/>
      <c r="HUU1" s="224"/>
      <c r="HUV1" s="224"/>
      <c r="HUW1" s="224"/>
      <c r="HUX1" s="224"/>
      <c r="HUY1" s="224"/>
      <c r="HUZ1" s="224"/>
      <c r="HVA1" s="224"/>
      <c r="HVB1" s="224"/>
      <c r="HVC1" s="224"/>
      <c r="HVD1" s="224"/>
      <c r="HVE1" s="224"/>
      <c r="HVF1" s="224"/>
      <c r="HVG1" s="224"/>
      <c r="HVH1" s="224"/>
      <c r="HVI1" s="224"/>
      <c r="HVJ1" s="224"/>
      <c r="HVK1" s="224"/>
      <c r="HVL1" s="224"/>
      <c r="HVM1" s="224"/>
      <c r="HVN1" s="224"/>
      <c r="HVO1" s="224"/>
      <c r="HVP1" s="224"/>
      <c r="HVQ1" s="224"/>
      <c r="HVR1" s="224"/>
      <c r="HVS1" s="224"/>
      <c r="HVT1" s="224"/>
      <c r="HVU1" s="224"/>
      <c r="HVV1" s="224"/>
      <c r="HVW1" s="224"/>
      <c r="HVX1" s="224"/>
      <c r="HVY1" s="224"/>
      <c r="HVZ1" s="224"/>
      <c r="HWA1" s="224"/>
      <c r="HWB1" s="224"/>
      <c r="HWC1" s="224"/>
      <c r="HWD1" s="224"/>
      <c r="HWE1" s="224"/>
      <c r="HWF1" s="224"/>
      <c r="HWG1" s="224"/>
      <c r="HWH1" s="224"/>
      <c r="HWI1" s="224"/>
      <c r="HWJ1" s="224"/>
      <c r="HWK1" s="224"/>
      <c r="HWL1" s="224"/>
      <c r="HWM1" s="224"/>
      <c r="HWN1" s="224"/>
      <c r="HWO1" s="224"/>
      <c r="HWP1" s="224"/>
      <c r="HWQ1" s="224"/>
      <c r="HWR1" s="224"/>
      <c r="HWS1" s="224"/>
      <c r="HWT1" s="224"/>
      <c r="HWU1" s="224"/>
      <c r="HWV1" s="224"/>
      <c r="HWW1" s="224"/>
      <c r="HWX1" s="224"/>
      <c r="HWY1" s="224"/>
      <c r="HWZ1" s="224"/>
      <c r="HXA1" s="224"/>
      <c r="HXB1" s="224"/>
      <c r="HXC1" s="224"/>
      <c r="HXD1" s="224"/>
      <c r="HXE1" s="224"/>
      <c r="HXF1" s="224"/>
      <c r="HXG1" s="224"/>
      <c r="HXH1" s="224"/>
      <c r="HXI1" s="224"/>
      <c r="HXJ1" s="224"/>
      <c r="HXK1" s="224"/>
      <c r="HXL1" s="224"/>
      <c r="HXM1" s="224"/>
      <c r="HXN1" s="224"/>
      <c r="HXO1" s="224"/>
      <c r="HXP1" s="224"/>
      <c r="HXQ1" s="224"/>
      <c r="HXR1" s="224"/>
      <c r="HXS1" s="224"/>
      <c r="HXT1" s="224"/>
      <c r="HXU1" s="224"/>
      <c r="HXV1" s="224"/>
      <c r="HXW1" s="224"/>
      <c r="HXX1" s="224"/>
      <c r="HXY1" s="224"/>
      <c r="HXZ1" s="224"/>
      <c r="HYA1" s="224"/>
      <c r="HYB1" s="224"/>
      <c r="HYC1" s="224"/>
      <c r="HYD1" s="224"/>
      <c r="HYE1" s="224"/>
      <c r="HYF1" s="224"/>
      <c r="HYG1" s="224"/>
      <c r="HYH1" s="224"/>
      <c r="HYI1" s="224"/>
      <c r="HYJ1" s="224"/>
      <c r="HYK1" s="224"/>
      <c r="HYL1" s="224"/>
      <c r="HYM1" s="224"/>
      <c r="HYN1" s="224"/>
      <c r="HYO1" s="224"/>
      <c r="HYP1" s="224"/>
      <c r="HYQ1" s="224"/>
      <c r="HYR1" s="224"/>
      <c r="HYS1" s="224"/>
      <c r="HYT1" s="224"/>
      <c r="HYU1" s="224"/>
      <c r="HYV1" s="224"/>
      <c r="HYW1" s="224"/>
      <c r="HYX1" s="224"/>
      <c r="HYY1" s="224"/>
      <c r="HYZ1" s="224"/>
      <c r="HZA1" s="224"/>
      <c r="HZB1" s="224"/>
      <c r="HZC1" s="224"/>
      <c r="HZD1" s="224"/>
      <c r="HZE1" s="224"/>
      <c r="HZF1" s="224"/>
      <c r="HZG1" s="224"/>
      <c r="HZH1" s="224"/>
      <c r="HZI1" s="224"/>
      <c r="HZJ1" s="224"/>
      <c r="HZK1" s="224"/>
      <c r="HZL1" s="224"/>
      <c r="HZM1" s="224"/>
      <c r="HZN1" s="224"/>
      <c r="HZO1" s="224"/>
      <c r="HZP1" s="224"/>
      <c r="HZQ1" s="224"/>
      <c r="HZR1" s="224"/>
      <c r="HZS1" s="224"/>
      <c r="HZT1" s="224"/>
      <c r="HZU1" s="224"/>
      <c r="HZV1" s="224"/>
      <c r="HZW1" s="224"/>
      <c r="HZX1" s="224"/>
      <c r="HZY1" s="224"/>
      <c r="HZZ1" s="224"/>
      <c r="IAA1" s="224"/>
      <c r="IAB1" s="224"/>
      <c r="IAC1" s="224"/>
      <c r="IAD1" s="224"/>
      <c r="IAE1" s="224"/>
      <c r="IAF1" s="224"/>
      <c r="IAG1" s="224"/>
      <c r="IAH1" s="224"/>
      <c r="IAI1" s="224"/>
      <c r="IAJ1" s="224"/>
      <c r="IAK1" s="224"/>
      <c r="IAL1" s="224"/>
      <c r="IAM1" s="224"/>
      <c r="IAN1" s="224"/>
      <c r="IAO1" s="224"/>
      <c r="IAP1" s="224"/>
      <c r="IAQ1" s="224"/>
      <c r="IAR1" s="224"/>
      <c r="IAS1" s="224"/>
      <c r="IAT1" s="224"/>
      <c r="IAU1" s="224"/>
      <c r="IAV1" s="224"/>
      <c r="IAW1" s="224"/>
      <c r="IAX1" s="224"/>
      <c r="IAY1" s="224"/>
      <c r="IAZ1" s="224"/>
      <c r="IBA1" s="224"/>
      <c r="IBB1" s="224"/>
      <c r="IBC1" s="224"/>
      <c r="IBD1" s="224"/>
      <c r="IBE1" s="224"/>
      <c r="IBF1" s="224"/>
      <c r="IBG1" s="224"/>
      <c r="IBH1" s="224"/>
      <c r="IBI1" s="224"/>
      <c r="IBJ1" s="224"/>
      <c r="IBK1" s="224"/>
      <c r="IBL1" s="224"/>
      <c r="IBM1" s="224"/>
      <c r="IBN1" s="224"/>
      <c r="IBO1" s="224"/>
      <c r="IBP1" s="224"/>
      <c r="IBQ1" s="224"/>
      <c r="IBR1" s="224"/>
      <c r="IBS1" s="224"/>
      <c r="IBT1" s="224"/>
      <c r="IBU1" s="224"/>
      <c r="IBV1" s="224"/>
      <c r="IBW1" s="224"/>
      <c r="IBX1" s="224"/>
      <c r="IBY1" s="224"/>
      <c r="IBZ1" s="224"/>
      <c r="ICA1" s="224"/>
      <c r="ICB1" s="224"/>
      <c r="ICC1" s="224"/>
      <c r="ICD1" s="224"/>
      <c r="ICE1" s="224"/>
      <c r="ICF1" s="224"/>
      <c r="ICG1" s="224"/>
      <c r="ICH1" s="224"/>
      <c r="ICI1" s="224"/>
      <c r="ICJ1" s="224"/>
      <c r="ICK1" s="224"/>
      <c r="ICL1" s="224"/>
      <c r="ICM1" s="224"/>
      <c r="ICN1" s="224"/>
      <c r="ICO1" s="224"/>
      <c r="ICP1" s="224"/>
      <c r="ICQ1" s="224"/>
      <c r="ICR1" s="224"/>
      <c r="ICS1" s="224"/>
      <c r="ICT1" s="224"/>
      <c r="ICU1" s="224"/>
      <c r="ICV1" s="224"/>
      <c r="ICW1" s="224"/>
      <c r="ICX1" s="224"/>
      <c r="ICY1" s="224"/>
      <c r="ICZ1" s="224"/>
      <c r="IDA1" s="224"/>
      <c r="IDB1" s="224"/>
      <c r="IDC1" s="224"/>
      <c r="IDD1" s="224"/>
      <c r="IDE1" s="224"/>
      <c r="IDF1" s="224"/>
      <c r="IDG1" s="224"/>
      <c r="IDH1" s="224"/>
      <c r="IDI1" s="224"/>
      <c r="IDJ1" s="224"/>
      <c r="IDK1" s="224"/>
      <c r="IDL1" s="224"/>
      <c r="IDM1" s="224"/>
      <c r="IDN1" s="224"/>
      <c r="IDO1" s="224"/>
      <c r="IDP1" s="224"/>
      <c r="IDQ1" s="224"/>
      <c r="IDR1" s="224"/>
      <c r="IDS1" s="224"/>
      <c r="IDT1" s="224"/>
      <c r="IDU1" s="224"/>
      <c r="IDV1" s="224"/>
      <c r="IDW1" s="224"/>
      <c r="IDX1" s="224"/>
      <c r="IDY1" s="224"/>
      <c r="IDZ1" s="224"/>
      <c r="IEA1" s="224"/>
      <c r="IEB1" s="224"/>
      <c r="IEC1" s="224"/>
      <c r="IED1" s="224"/>
      <c r="IEE1" s="224"/>
      <c r="IEF1" s="224"/>
      <c r="IEG1" s="224"/>
      <c r="IEH1" s="224"/>
      <c r="IEI1" s="224"/>
      <c r="IEJ1" s="224"/>
      <c r="IEK1" s="224"/>
      <c r="IEL1" s="224"/>
      <c r="IEM1" s="224"/>
      <c r="IEN1" s="224"/>
      <c r="IEO1" s="224"/>
      <c r="IEP1" s="224"/>
      <c r="IEQ1" s="224"/>
      <c r="IER1" s="224"/>
      <c r="IES1" s="224"/>
      <c r="IET1" s="224"/>
      <c r="IEU1" s="224"/>
      <c r="IEV1" s="224"/>
      <c r="IEW1" s="224"/>
      <c r="IEX1" s="224"/>
      <c r="IEY1" s="224"/>
      <c r="IEZ1" s="224"/>
      <c r="IFA1" s="224"/>
      <c r="IFB1" s="224"/>
      <c r="IFC1" s="224"/>
      <c r="IFD1" s="224"/>
      <c r="IFE1" s="224"/>
      <c r="IFF1" s="224"/>
      <c r="IFG1" s="224"/>
      <c r="IFH1" s="224"/>
      <c r="IFI1" s="224"/>
      <c r="IFJ1" s="224"/>
      <c r="IFK1" s="224"/>
      <c r="IFL1" s="224"/>
      <c r="IFM1" s="224"/>
      <c r="IFN1" s="224"/>
      <c r="IFO1" s="224"/>
      <c r="IFP1" s="224"/>
      <c r="IFQ1" s="224"/>
      <c r="IFR1" s="224"/>
      <c r="IFS1" s="224"/>
      <c r="IFT1" s="224"/>
      <c r="IFU1" s="224"/>
      <c r="IFV1" s="224"/>
      <c r="IFW1" s="224"/>
      <c r="IFX1" s="224"/>
      <c r="IFY1" s="224"/>
      <c r="IFZ1" s="224"/>
      <c r="IGA1" s="224"/>
      <c r="IGB1" s="224"/>
      <c r="IGC1" s="224"/>
      <c r="IGD1" s="224"/>
      <c r="IGE1" s="224"/>
      <c r="IGF1" s="224"/>
      <c r="IGG1" s="224"/>
      <c r="IGH1" s="224"/>
      <c r="IGI1" s="224"/>
      <c r="IGJ1" s="224"/>
      <c r="IGK1" s="224"/>
      <c r="IGL1" s="224"/>
      <c r="IGM1" s="224"/>
      <c r="IGN1" s="224"/>
      <c r="IGO1" s="224"/>
      <c r="IGP1" s="224"/>
      <c r="IGQ1" s="224"/>
      <c r="IGR1" s="224"/>
      <c r="IGS1" s="224"/>
      <c r="IGT1" s="224"/>
      <c r="IGU1" s="224"/>
      <c r="IGV1" s="224"/>
      <c r="IGW1" s="224"/>
      <c r="IGX1" s="224"/>
      <c r="IGY1" s="224"/>
      <c r="IGZ1" s="224"/>
      <c r="IHA1" s="224"/>
      <c r="IHB1" s="224"/>
      <c r="IHC1" s="224"/>
      <c r="IHD1" s="224"/>
      <c r="IHE1" s="224"/>
      <c r="IHF1" s="224"/>
      <c r="IHG1" s="224"/>
      <c r="IHH1" s="224"/>
      <c r="IHI1" s="224"/>
      <c r="IHJ1" s="224"/>
      <c r="IHK1" s="224"/>
      <c r="IHL1" s="224"/>
      <c r="IHM1" s="224"/>
      <c r="IHN1" s="224"/>
      <c r="IHO1" s="224"/>
      <c r="IHP1" s="224"/>
      <c r="IHQ1" s="224"/>
      <c r="IHR1" s="224"/>
      <c r="IHS1" s="224"/>
      <c r="IHT1" s="224"/>
      <c r="IHU1" s="224"/>
      <c r="IHV1" s="224"/>
      <c r="IHW1" s="224"/>
      <c r="IHX1" s="224"/>
      <c r="IHY1" s="224"/>
      <c r="IHZ1" s="224"/>
      <c r="IIA1" s="224"/>
      <c r="IIB1" s="224"/>
      <c r="IIC1" s="224"/>
      <c r="IID1" s="224"/>
      <c r="IIE1" s="224"/>
      <c r="IIF1" s="224"/>
      <c r="IIG1" s="224"/>
      <c r="IIH1" s="224"/>
      <c r="III1" s="224"/>
      <c r="IIJ1" s="224"/>
      <c r="IIK1" s="224"/>
      <c r="IIL1" s="224"/>
      <c r="IIM1" s="224"/>
      <c r="IIN1" s="224"/>
      <c r="IIO1" s="224"/>
      <c r="IIP1" s="224"/>
      <c r="IIQ1" s="224"/>
      <c r="IIR1" s="224"/>
      <c r="IIS1" s="224"/>
      <c r="IIT1" s="224"/>
      <c r="IIU1" s="224"/>
      <c r="IIV1" s="224"/>
      <c r="IIW1" s="224"/>
      <c r="IIX1" s="224"/>
      <c r="IIY1" s="224"/>
      <c r="IIZ1" s="224"/>
      <c r="IJA1" s="224"/>
      <c r="IJB1" s="224"/>
      <c r="IJC1" s="224"/>
      <c r="IJD1" s="224"/>
      <c r="IJE1" s="224"/>
      <c r="IJF1" s="224"/>
      <c r="IJG1" s="224"/>
      <c r="IJH1" s="224"/>
      <c r="IJI1" s="224"/>
      <c r="IJJ1" s="224"/>
      <c r="IJK1" s="224"/>
      <c r="IJL1" s="224"/>
      <c r="IJM1" s="224"/>
      <c r="IJN1" s="224"/>
      <c r="IJO1" s="224"/>
      <c r="IJP1" s="224"/>
      <c r="IJQ1" s="224"/>
      <c r="IJR1" s="224"/>
      <c r="IJS1" s="224"/>
      <c r="IJT1" s="224"/>
      <c r="IJU1" s="224"/>
      <c r="IJV1" s="224"/>
      <c r="IJW1" s="224"/>
      <c r="IJX1" s="224"/>
      <c r="IJY1" s="224"/>
      <c r="IJZ1" s="224"/>
      <c r="IKA1" s="224"/>
      <c r="IKB1" s="224"/>
      <c r="IKC1" s="224"/>
      <c r="IKD1" s="224"/>
      <c r="IKE1" s="224"/>
      <c r="IKF1" s="224"/>
      <c r="IKG1" s="224"/>
      <c r="IKH1" s="224"/>
      <c r="IKI1" s="224"/>
      <c r="IKJ1" s="224"/>
      <c r="IKK1" s="224"/>
      <c r="IKL1" s="224"/>
      <c r="IKM1" s="224"/>
      <c r="IKN1" s="224"/>
      <c r="IKO1" s="224"/>
      <c r="IKP1" s="224"/>
      <c r="IKQ1" s="224"/>
      <c r="IKR1" s="224"/>
      <c r="IKS1" s="224"/>
      <c r="IKT1" s="224"/>
      <c r="IKU1" s="224"/>
      <c r="IKV1" s="224"/>
      <c r="IKW1" s="224"/>
      <c r="IKX1" s="224"/>
      <c r="IKY1" s="224"/>
      <c r="IKZ1" s="224"/>
      <c r="ILA1" s="224"/>
      <c r="ILB1" s="224"/>
      <c r="ILC1" s="224"/>
      <c r="ILD1" s="224"/>
      <c r="ILE1" s="224"/>
      <c r="ILF1" s="224"/>
      <c r="ILG1" s="224"/>
      <c r="ILH1" s="224"/>
      <c r="ILI1" s="224"/>
      <c r="ILJ1" s="224"/>
      <c r="ILK1" s="224"/>
      <c r="ILL1" s="224"/>
      <c r="ILM1" s="224"/>
      <c r="ILN1" s="224"/>
      <c r="ILO1" s="224"/>
      <c r="ILP1" s="224"/>
      <c r="ILQ1" s="224"/>
      <c r="ILR1" s="224"/>
      <c r="ILS1" s="224"/>
      <c r="ILT1" s="224"/>
      <c r="ILU1" s="224"/>
      <c r="ILV1" s="224"/>
      <c r="ILW1" s="224"/>
      <c r="ILX1" s="224"/>
      <c r="ILY1" s="224"/>
      <c r="ILZ1" s="224"/>
      <c r="IMA1" s="224"/>
      <c r="IMB1" s="224"/>
      <c r="IMC1" s="224"/>
      <c r="IMD1" s="224"/>
      <c r="IME1" s="224"/>
      <c r="IMF1" s="224"/>
      <c r="IMG1" s="224"/>
      <c r="IMH1" s="224"/>
      <c r="IMI1" s="224"/>
      <c r="IMJ1" s="224"/>
      <c r="IMK1" s="224"/>
      <c r="IML1" s="224"/>
      <c r="IMM1" s="224"/>
      <c r="IMN1" s="224"/>
      <c r="IMO1" s="224"/>
      <c r="IMP1" s="224"/>
      <c r="IMQ1" s="224"/>
      <c r="IMR1" s="224"/>
      <c r="IMS1" s="224"/>
      <c r="IMT1" s="224"/>
      <c r="IMU1" s="224"/>
      <c r="IMV1" s="224"/>
      <c r="IMW1" s="224"/>
      <c r="IMX1" s="224"/>
      <c r="IMY1" s="224"/>
      <c r="IMZ1" s="224"/>
      <c r="INA1" s="224"/>
      <c r="INB1" s="224"/>
      <c r="INC1" s="224"/>
      <c r="IND1" s="224"/>
      <c r="INE1" s="224"/>
      <c r="INF1" s="224"/>
      <c r="ING1" s="224"/>
      <c r="INH1" s="224"/>
      <c r="INI1" s="224"/>
      <c r="INJ1" s="224"/>
      <c r="INK1" s="224"/>
      <c r="INL1" s="224"/>
      <c r="INM1" s="224"/>
      <c r="INN1" s="224"/>
      <c r="INO1" s="224"/>
      <c r="INP1" s="224"/>
      <c r="INQ1" s="224"/>
      <c r="INR1" s="224"/>
      <c r="INS1" s="224"/>
      <c r="INT1" s="224"/>
      <c r="INU1" s="224"/>
      <c r="INV1" s="224"/>
      <c r="INW1" s="224"/>
      <c r="INX1" s="224"/>
      <c r="INY1" s="224"/>
      <c r="INZ1" s="224"/>
      <c r="IOA1" s="224"/>
      <c r="IOB1" s="224"/>
      <c r="IOC1" s="224"/>
      <c r="IOD1" s="224"/>
      <c r="IOE1" s="224"/>
      <c r="IOF1" s="224"/>
      <c r="IOG1" s="224"/>
      <c r="IOH1" s="224"/>
      <c r="IOI1" s="224"/>
      <c r="IOJ1" s="224"/>
      <c r="IOK1" s="224"/>
      <c r="IOL1" s="224"/>
      <c r="IOM1" s="224"/>
      <c r="ION1" s="224"/>
      <c r="IOO1" s="224"/>
      <c r="IOP1" s="224"/>
      <c r="IOQ1" s="224"/>
      <c r="IOR1" s="224"/>
      <c r="IOS1" s="224"/>
      <c r="IOT1" s="224"/>
      <c r="IOU1" s="224"/>
      <c r="IOV1" s="224"/>
      <c r="IOW1" s="224"/>
      <c r="IOX1" s="224"/>
      <c r="IOY1" s="224"/>
      <c r="IOZ1" s="224"/>
      <c r="IPA1" s="224"/>
      <c r="IPB1" s="224"/>
      <c r="IPC1" s="224"/>
      <c r="IPD1" s="224"/>
      <c r="IPE1" s="224"/>
      <c r="IPF1" s="224"/>
      <c r="IPG1" s="224"/>
      <c r="IPH1" s="224"/>
      <c r="IPI1" s="224"/>
      <c r="IPJ1" s="224"/>
      <c r="IPK1" s="224"/>
      <c r="IPL1" s="224"/>
      <c r="IPM1" s="224"/>
      <c r="IPN1" s="224"/>
      <c r="IPO1" s="224"/>
      <c r="IPP1" s="224"/>
      <c r="IPQ1" s="224"/>
      <c r="IPR1" s="224"/>
      <c r="IPS1" s="224"/>
      <c r="IPT1" s="224"/>
      <c r="IPU1" s="224"/>
      <c r="IPV1" s="224"/>
      <c r="IPW1" s="224"/>
      <c r="IPX1" s="224"/>
      <c r="IPY1" s="224"/>
      <c r="IPZ1" s="224"/>
      <c r="IQA1" s="224"/>
      <c r="IQB1" s="224"/>
      <c r="IQC1" s="224"/>
      <c r="IQD1" s="224"/>
      <c r="IQE1" s="224"/>
      <c r="IQF1" s="224"/>
      <c r="IQG1" s="224"/>
      <c r="IQH1" s="224"/>
      <c r="IQI1" s="224"/>
      <c r="IQJ1" s="224"/>
      <c r="IQK1" s="224"/>
      <c r="IQL1" s="224"/>
      <c r="IQM1" s="224"/>
      <c r="IQN1" s="224"/>
      <c r="IQO1" s="224"/>
      <c r="IQP1" s="224"/>
      <c r="IQQ1" s="224"/>
      <c r="IQR1" s="224"/>
      <c r="IQS1" s="224"/>
      <c r="IQT1" s="224"/>
      <c r="IQU1" s="224"/>
      <c r="IQV1" s="224"/>
      <c r="IQW1" s="224"/>
      <c r="IQX1" s="224"/>
      <c r="IQY1" s="224"/>
      <c r="IQZ1" s="224"/>
      <c r="IRA1" s="224"/>
      <c r="IRB1" s="224"/>
      <c r="IRC1" s="224"/>
      <c r="IRD1" s="224"/>
      <c r="IRE1" s="224"/>
      <c r="IRF1" s="224"/>
      <c r="IRG1" s="224"/>
      <c r="IRH1" s="224"/>
      <c r="IRI1" s="224"/>
      <c r="IRJ1" s="224"/>
      <c r="IRK1" s="224"/>
      <c r="IRL1" s="224"/>
      <c r="IRM1" s="224"/>
      <c r="IRN1" s="224"/>
      <c r="IRO1" s="224"/>
      <c r="IRP1" s="224"/>
      <c r="IRQ1" s="224"/>
      <c r="IRR1" s="224"/>
      <c r="IRS1" s="224"/>
      <c r="IRT1" s="224"/>
      <c r="IRU1" s="224"/>
      <c r="IRV1" s="224"/>
      <c r="IRW1" s="224"/>
      <c r="IRX1" s="224"/>
      <c r="IRY1" s="224"/>
      <c r="IRZ1" s="224"/>
      <c r="ISA1" s="224"/>
      <c r="ISB1" s="224"/>
      <c r="ISC1" s="224"/>
      <c r="ISD1" s="224"/>
      <c r="ISE1" s="224"/>
      <c r="ISF1" s="224"/>
      <c r="ISG1" s="224"/>
      <c r="ISH1" s="224"/>
      <c r="ISI1" s="224"/>
      <c r="ISJ1" s="224"/>
      <c r="ISK1" s="224"/>
      <c r="ISL1" s="224"/>
      <c r="ISM1" s="224"/>
      <c r="ISN1" s="224"/>
      <c r="ISO1" s="224"/>
      <c r="ISP1" s="224"/>
      <c r="ISQ1" s="224"/>
      <c r="ISR1" s="224"/>
      <c r="ISS1" s="224"/>
      <c r="IST1" s="224"/>
      <c r="ISU1" s="224"/>
      <c r="ISV1" s="224"/>
      <c r="ISW1" s="224"/>
      <c r="ISX1" s="224"/>
      <c r="ISY1" s="224"/>
      <c r="ISZ1" s="224"/>
      <c r="ITA1" s="224"/>
      <c r="ITB1" s="224"/>
      <c r="ITC1" s="224"/>
      <c r="ITD1" s="224"/>
      <c r="ITE1" s="224"/>
      <c r="ITF1" s="224"/>
      <c r="ITG1" s="224"/>
      <c r="ITH1" s="224"/>
      <c r="ITI1" s="224"/>
      <c r="ITJ1" s="224"/>
      <c r="ITK1" s="224"/>
      <c r="ITL1" s="224"/>
      <c r="ITM1" s="224"/>
      <c r="ITN1" s="224"/>
      <c r="ITO1" s="224"/>
      <c r="ITP1" s="224"/>
      <c r="ITQ1" s="224"/>
      <c r="ITR1" s="224"/>
      <c r="ITS1" s="224"/>
      <c r="ITT1" s="224"/>
      <c r="ITU1" s="224"/>
      <c r="ITV1" s="224"/>
      <c r="ITW1" s="224"/>
      <c r="ITX1" s="224"/>
      <c r="ITY1" s="224"/>
      <c r="ITZ1" s="224"/>
      <c r="IUA1" s="224"/>
      <c r="IUB1" s="224"/>
      <c r="IUC1" s="224"/>
      <c r="IUD1" s="224"/>
      <c r="IUE1" s="224"/>
      <c r="IUF1" s="224"/>
      <c r="IUG1" s="224"/>
      <c r="IUH1" s="224"/>
      <c r="IUI1" s="224"/>
      <c r="IUJ1" s="224"/>
      <c r="IUK1" s="224"/>
      <c r="IUL1" s="224"/>
      <c r="IUM1" s="224"/>
      <c r="IUN1" s="224"/>
      <c r="IUO1" s="224"/>
      <c r="IUP1" s="224"/>
      <c r="IUQ1" s="224"/>
      <c r="IUR1" s="224"/>
      <c r="IUS1" s="224"/>
      <c r="IUT1" s="224"/>
      <c r="IUU1" s="224"/>
      <c r="IUV1" s="224"/>
      <c r="IUW1" s="224"/>
      <c r="IUX1" s="224"/>
      <c r="IUY1" s="224"/>
      <c r="IUZ1" s="224"/>
      <c r="IVA1" s="224"/>
      <c r="IVB1" s="224"/>
      <c r="IVC1" s="224"/>
      <c r="IVD1" s="224"/>
      <c r="IVE1" s="224"/>
      <c r="IVF1" s="224"/>
      <c r="IVG1" s="224"/>
      <c r="IVH1" s="224"/>
      <c r="IVI1" s="224"/>
      <c r="IVJ1" s="224"/>
      <c r="IVK1" s="224"/>
      <c r="IVL1" s="224"/>
      <c r="IVM1" s="224"/>
      <c r="IVN1" s="224"/>
      <c r="IVO1" s="224"/>
      <c r="IVP1" s="224"/>
      <c r="IVQ1" s="224"/>
      <c r="IVR1" s="224"/>
      <c r="IVS1" s="224"/>
      <c r="IVT1" s="224"/>
      <c r="IVU1" s="224"/>
      <c r="IVV1" s="224"/>
      <c r="IVW1" s="224"/>
      <c r="IVX1" s="224"/>
      <c r="IVY1" s="224"/>
      <c r="IVZ1" s="224"/>
      <c r="IWA1" s="224"/>
      <c r="IWB1" s="224"/>
      <c r="IWC1" s="224"/>
      <c r="IWD1" s="224"/>
      <c r="IWE1" s="224"/>
      <c r="IWF1" s="224"/>
      <c r="IWG1" s="224"/>
      <c r="IWH1" s="224"/>
      <c r="IWI1" s="224"/>
      <c r="IWJ1" s="224"/>
      <c r="IWK1" s="224"/>
      <c r="IWL1" s="224"/>
      <c r="IWM1" s="224"/>
      <c r="IWN1" s="224"/>
      <c r="IWO1" s="224"/>
      <c r="IWP1" s="224"/>
      <c r="IWQ1" s="224"/>
      <c r="IWR1" s="224"/>
      <c r="IWS1" s="224"/>
      <c r="IWT1" s="224"/>
      <c r="IWU1" s="224"/>
      <c r="IWV1" s="224"/>
      <c r="IWW1" s="224"/>
      <c r="IWX1" s="224"/>
      <c r="IWY1" s="224"/>
      <c r="IWZ1" s="224"/>
      <c r="IXA1" s="224"/>
      <c r="IXB1" s="224"/>
      <c r="IXC1" s="224"/>
      <c r="IXD1" s="224"/>
      <c r="IXE1" s="224"/>
      <c r="IXF1" s="224"/>
      <c r="IXG1" s="224"/>
      <c r="IXH1" s="224"/>
      <c r="IXI1" s="224"/>
      <c r="IXJ1" s="224"/>
      <c r="IXK1" s="224"/>
      <c r="IXL1" s="224"/>
      <c r="IXM1" s="224"/>
      <c r="IXN1" s="224"/>
      <c r="IXO1" s="224"/>
      <c r="IXP1" s="224"/>
      <c r="IXQ1" s="224"/>
      <c r="IXR1" s="224"/>
      <c r="IXS1" s="224"/>
      <c r="IXT1" s="224"/>
      <c r="IXU1" s="224"/>
      <c r="IXV1" s="224"/>
      <c r="IXW1" s="224"/>
      <c r="IXX1" s="224"/>
      <c r="IXY1" s="224"/>
      <c r="IXZ1" s="224"/>
      <c r="IYA1" s="224"/>
      <c r="IYB1" s="224"/>
      <c r="IYC1" s="224"/>
      <c r="IYD1" s="224"/>
      <c r="IYE1" s="224"/>
      <c r="IYF1" s="224"/>
      <c r="IYG1" s="224"/>
      <c r="IYH1" s="224"/>
      <c r="IYI1" s="224"/>
      <c r="IYJ1" s="224"/>
      <c r="IYK1" s="224"/>
      <c r="IYL1" s="224"/>
      <c r="IYM1" s="224"/>
      <c r="IYN1" s="224"/>
      <c r="IYO1" s="224"/>
      <c r="IYP1" s="224"/>
      <c r="IYQ1" s="224"/>
      <c r="IYR1" s="224"/>
      <c r="IYS1" s="224"/>
      <c r="IYT1" s="224"/>
      <c r="IYU1" s="224"/>
      <c r="IYV1" s="224"/>
      <c r="IYW1" s="224"/>
      <c r="IYX1" s="224"/>
      <c r="IYY1" s="224"/>
      <c r="IYZ1" s="224"/>
      <c r="IZA1" s="224"/>
      <c r="IZB1" s="224"/>
      <c r="IZC1" s="224"/>
      <c r="IZD1" s="224"/>
      <c r="IZE1" s="224"/>
      <c r="IZF1" s="224"/>
      <c r="IZG1" s="224"/>
      <c r="IZH1" s="224"/>
      <c r="IZI1" s="224"/>
      <c r="IZJ1" s="224"/>
      <c r="IZK1" s="224"/>
      <c r="IZL1" s="224"/>
      <c r="IZM1" s="224"/>
      <c r="IZN1" s="224"/>
      <c r="IZO1" s="224"/>
      <c r="IZP1" s="224"/>
      <c r="IZQ1" s="224"/>
      <c r="IZR1" s="224"/>
      <c r="IZS1" s="224"/>
      <c r="IZT1" s="224"/>
      <c r="IZU1" s="224"/>
      <c r="IZV1" s="224"/>
      <c r="IZW1" s="224"/>
      <c r="IZX1" s="224"/>
      <c r="IZY1" s="224"/>
      <c r="IZZ1" s="224"/>
      <c r="JAA1" s="224"/>
      <c r="JAB1" s="224"/>
      <c r="JAC1" s="224"/>
      <c r="JAD1" s="224"/>
      <c r="JAE1" s="224"/>
      <c r="JAF1" s="224"/>
      <c r="JAG1" s="224"/>
      <c r="JAH1" s="224"/>
      <c r="JAI1" s="224"/>
      <c r="JAJ1" s="224"/>
      <c r="JAK1" s="224"/>
      <c r="JAL1" s="224"/>
      <c r="JAM1" s="224"/>
      <c r="JAN1" s="224"/>
      <c r="JAO1" s="224"/>
      <c r="JAP1" s="224"/>
      <c r="JAQ1" s="224"/>
      <c r="JAR1" s="224"/>
      <c r="JAS1" s="224"/>
      <c r="JAT1" s="224"/>
      <c r="JAU1" s="224"/>
      <c r="JAV1" s="224"/>
      <c r="JAW1" s="224"/>
      <c r="JAX1" s="224"/>
      <c r="JAY1" s="224"/>
      <c r="JAZ1" s="224"/>
      <c r="JBA1" s="224"/>
      <c r="JBB1" s="224"/>
      <c r="JBC1" s="224"/>
      <c r="JBD1" s="224"/>
      <c r="JBE1" s="224"/>
      <c r="JBF1" s="224"/>
      <c r="JBG1" s="224"/>
      <c r="JBH1" s="224"/>
      <c r="JBI1" s="224"/>
      <c r="JBJ1" s="224"/>
      <c r="JBK1" s="224"/>
      <c r="JBL1" s="224"/>
      <c r="JBM1" s="224"/>
      <c r="JBN1" s="224"/>
      <c r="JBO1" s="224"/>
      <c r="JBP1" s="224"/>
      <c r="JBQ1" s="224"/>
      <c r="JBR1" s="224"/>
      <c r="JBS1" s="224"/>
      <c r="JBT1" s="224"/>
      <c r="JBU1" s="224"/>
      <c r="JBV1" s="224"/>
      <c r="JBW1" s="224"/>
      <c r="JBX1" s="224"/>
      <c r="JBY1" s="224"/>
      <c r="JBZ1" s="224"/>
      <c r="JCA1" s="224"/>
      <c r="JCB1" s="224"/>
      <c r="JCC1" s="224"/>
      <c r="JCD1" s="224"/>
      <c r="JCE1" s="224"/>
      <c r="JCF1" s="224"/>
      <c r="JCG1" s="224"/>
      <c r="JCH1" s="224"/>
      <c r="JCI1" s="224"/>
      <c r="JCJ1" s="224"/>
      <c r="JCK1" s="224"/>
      <c r="JCL1" s="224"/>
      <c r="JCM1" s="224"/>
      <c r="JCN1" s="224"/>
      <c r="JCO1" s="224"/>
      <c r="JCP1" s="224"/>
      <c r="JCQ1" s="224"/>
      <c r="JCR1" s="224"/>
      <c r="JCS1" s="224"/>
      <c r="JCT1" s="224"/>
      <c r="JCU1" s="224"/>
      <c r="JCV1" s="224"/>
      <c r="JCW1" s="224"/>
      <c r="JCX1" s="224"/>
      <c r="JCY1" s="224"/>
      <c r="JCZ1" s="224"/>
      <c r="JDA1" s="224"/>
      <c r="JDB1" s="224"/>
      <c r="JDC1" s="224"/>
      <c r="JDD1" s="224"/>
      <c r="JDE1" s="224"/>
      <c r="JDF1" s="224"/>
      <c r="JDG1" s="224"/>
      <c r="JDH1" s="224"/>
      <c r="JDI1" s="224"/>
      <c r="JDJ1" s="224"/>
      <c r="JDK1" s="224"/>
      <c r="JDL1" s="224"/>
      <c r="JDM1" s="224"/>
      <c r="JDN1" s="224"/>
      <c r="JDO1" s="224"/>
      <c r="JDP1" s="224"/>
      <c r="JDQ1" s="224"/>
      <c r="JDR1" s="224"/>
      <c r="JDS1" s="224"/>
      <c r="JDT1" s="224"/>
      <c r="JDU1" s="224"/>
      <c r="JDV1" s="224"/>
      <c r="JDW1" s="224"/>
      <c r="JDX1" s="224"/>
      <c r="JDY1" s="224"/>
      <c r="JDZ1" s="224"/>
      <c r="JEA1" s="224"/>
      <c r="JEB1" s="224"/>
      <c r="JEC1" s="224"/>
      <c r="JED1" s="224"/>
      <c r="JEE1" s="224"/>
      <c r="JEF1" s="224"/>
      <c r="JEG1" s="224"/>
      <c r="JEH1" s="224"/>
      <c r="JEI1" s="224"/>
      <c r="JEJ1" s="224"/>
      <c r="JEK1" s="224"/>
      <c r="JEL1" s="224"/>
      <c r="JEM1" s="224"/>
      <c r="JEN1" s="224"/>
      <c r="JEO1" s="224"/>
      <c r="JEP1" s="224"/>
      <c r="JEQ1" s="224"/>
      <c r="JER1" s="224"/>
      <c r="JES1" s="224"/>
      <c r="JET1" s="224"/>
      <c r="JEU1" s="224"/>
      <c r="JEV1" s="224"/>
      <c r="JEW1" s="224"/>
      <c r="JEX1" s="224"/>
      <c r="JEY1" s="224"/>
      <c r="JEZ1" s="224"/>
      <c r="JFA1" s="224"/>
      <c r="JFB1" s="224"/>
      <c r="JFC1" s="224"/>
      <c r="JFD1" s="224"/>
      <c r="JFE1" s="224"/>
      <c r="JFF1" s="224"/>
      <c r="JFG1" s="224"/>
      <c r="JFH1" s="224"/>
      <c r="JFI1" s="224"/>
      <c r="JFJ1" s="224"/>
      <c r="JFK1" s="224"/>
      <c r="JFL1" s="224"/>
      <c r="JFM1" s="224"/>
      <c r="JFN1" s="224"/>
      <c r="JFO1" s="224"/>
      <c r="JFP1" s="224"/>
      <c r="JFQ1" s="224"/>
      <c r="JFR1" s="224"/>
      <c r="JFS1" s="224"/>
      <c r="JFT1" s="224"/>
      <c r="JFU1" s="224"/>
      <c r="JFV1" s="224"/>
      <c r="JFW1" s="224"/>
      <c r="JFX1" s="224"/>
      <c r="JFY1" s="224"/>
      <c r="JFZ1" s="224"/>
      <c r="JGA1" s="224"/>
      <c r="JGB1" s="224"/>
      <c r="JGC1" s="224"/>
      <c r="JGD1" s="224"/>
      <c r="JGE1" s="224"/>
      <c r="JGF1" s="224"/>
      <c r="JGG1" s="224"/>
      <c r="JGH1" s="224"/>
      <c r="JGI1" s="224"/>
      <c r="JGJ1" s="224"/>
      <c r="JGK1" s="224"/>
      <c r="JGL1" s="224"/>
      <c r="JGM1" s="224"/>
      <c r="JGN1" s="224"/>
      <c r="JGO1" s="224"/>
      <c r="JGP1" s="224"/>
      <c r="JGQ1" s="224"/>
      <c r="JGR1" s="224"/>
      <c r="JGS1" s="224"/>
      <c r="JGT1" s="224"/>
      <c r="JGU1" s="224"/>
      <c r="JGV1" s="224"/>
      <c r="JGW1" s="224"/>
      <c r="JGX1" s="224"/>
      <c r="JGY1" s="224"/>
      <c r="JGZ1" s="224"/>
      <c r="JHA1" s="224"/>
      <c r="JHB1" s="224"/>
      <c r="JHC1" s="224"/>
      <c r="JHD1" s="224"/>
      <c r="JHE1" s="224"/>
      <c r="JHF1" s="224"/>
      <c r="JHG1" s="224"/>
      <c r="JHH1" s="224"/>
      <c r="JHI1" s="224"/>
      <c r="JHJ1" s="224"/>
      <c r="JHK1" s="224"/>
      <c r="JHL1" s="224"/>
      <c r="JHM1" s="224"/>
      <c r="JHN1" s="224"/>
      <c r="JHO1" s="224"/>
      <c r="JHP1" s="224"/>
      <c r="JHQ1" s="224"/>
      <c r="JHR1" s="224"/>
      <c r="JHS1" s="224"/>
      <c r="JHT1" s="224"/>
      <c r="JHU1" s="224"/>
      <c r="JHV1" s="224"/>
      <c r="JHW1" s="224"/>
      <c r="JHX1" s="224"/>
      <c r="JHY1" s="224"/>
      <c r="JHZ1" s="224"/>
      <c r="JIA1" s="224"/>
      <c r="JIB1" s="224"/>
      <c r="JIC1" s="224"/>
      <c r="JID1" s="224"/>
      <c r="JIE1" s="224"/>
      <c r="JIF1" s="224"/>
      <c r="JIG1" s="224"/>
      <c r="JIH1" s="224"/>
      <c r="JII1" s="224"/>
      <c r="JIJ1" s="224"/>
      <c r="JIK1" s="224"/>
      <c r="JIL1" s="224"/>
      <c r="JIM1" s="224"/>
      <c r="JIN1" s="224"/>
      <c r="JIO1" s="224"/>
      <c r="JIP1" s="224"/>
      <c r="JIQ1" s="224"/>
      <c r="JIR1" s="224"/>
      <c r="JIS1" s="224"/>
      <c r="JIT1" s="224"/>
      <c r="JIU1" s="224"/>
      <c r="JIV1" s="224"/>
      <c r="JIW1" s="224"/>
      <c r="JIX1" s="224"/>
      <c r="JIY1" s="224"/>
      <c r="JIZ1" s="224"/>
      <c r="JJA1" s="224"/>
      <c r="JJB1" s="224"/>
      <c r="JJC1" s="224"/>
      <c r="JJD1" s="224"/>
      <c r="JJE1" s="224"/>
      <c r="JJF1" s="224"/>
      <c r="JJG1" s="224"/>
      <c r="JJH1" s="224"/>
      <c r="JJI1" s="224"/>
      <c r="JJJ1" s="224"/>
      <c r="JJK1" s="224"/>
      <c r="JJL1" s="224"/>
      <c r="JJM1" s="224"/>
      <c r="JJN1" s="224"/>
      <c r="JJO1" s="224"/>
      <c r="JJP1" s="224"/>
      <c r="JJQ1" s="224"/>
      <c r="JJR1" s="224"/>
      <c r="JJS1" s="224"/>
      <c r="JJT1" s="224"/>
      <c r="JJU1" s="224"/>
      <c r="JJV1" s="224"/>
      <c r="JJW1" s="224"/>
      <c r="JJX1" s="224"/>
      <c r="JJY1" s="224"/>
      <c r="JJZ1" s="224"/>
      <c r="JKA1" s="224"/>
      <c r="JKB1" s="224"/>
      <c r="JKC1" s="224"/>
      <c r="JKD1" s="224"/>
      <c r="JKE1" s="224"/>
      <c r="JKF1" s="224"/>
      <c r="JKG1" s="224"/>
      <c r="JKH1" s="224"/>
      <c r="JKI1" s="224"/>
      <c r="JKJ1" s="224"/>
      <c r="JKK1" s="224"/>
      <c r="JKL1" s="224"/>
      <c r="JKM1" s="224"/>
      <c r="JKN1" s="224"/>
      <c r="JKO1" s="224"/>
      <c r="JKP1" s="224"/>
      <c r="JKQ1" s="224"/>
      <c r="JKR1" s="224"/>
      <c r="JKS1" s="224"/>
      <c r="JKT1" s="224"/>
      <c r="JKU1" s="224"/>
      <c r="JKV1" s="224"/>
      <c r="JKW1" s="224"/>
      <c r="JKX1" s="224"/>
      <c r="JKY1" s="224"/>
      <c r="JKZ1" s="224"/>
      <c r="JLA1" s="224"/>
      <c r="JLB1" s="224"/>
      <c r="JLC1" s="224"/>
      <c r="JLD1" s="224"/>
      <c r="JLE1" s="224"/>
      <c r="JLF1" s="224"/>
      <c r="JLG1" s="224"/>
      <c r="JLH1" s="224"/>
      <c r="JLI1" s="224"/>
      <c r="JLJ1" s="224"/>
      <c r="JLK1" s="224"/>
      <c r="JLL1" s="224"/>
      <c r="JLM1" s="224"/>
      <c r="JLN1" s="224"/>
      <c r="JLO1" s="224"/>
      <c r="JLP1" s="224"/>
      <c r="JLQ1" s="224"/>
      <c r="JLR1" s="224"/>
      <c r="JLS1" s="224"/>
      <c r="JLT1" s="224"/>
      <c r="JLU1" s="224"/>
      <c r="JLV1" s="224"/>
      <c r="JLW1" s="224"/>
      <c r="JLX1" s="224"/>
      <c r="JLY1" s="224"/>
      <c r="JLZ1" s="224"/>
      <c r="JMA1" s="224"/>
      <c r="JMB1" s="224"/>
      <c r="JMC1" s="224"/>
      <c r="JMD1" s="224"/>
      <c r="JME1" s="224"/>
      <c r="JMF1" s="224"/>
      <c r="JMG1" s="224"/>
      <c r="JMH1" s="224"/>
      <c r="JMI1" s="224"/>
      <c r="JMJ1" s="224"/>
      <c r="JMK1" s="224"/>
      <c r="JML1" s="224"/>
      <c r="JMM1" s="224"/>
      <c r="JMN1" s="224"/>
      <c r="JMO1" s="224"/>
      <c r="JMP1" s="224"/>
      <c r="JMQ1" s="224"/>
      <c r="JMR1" s="224"/>
      <c r="JMS1" s="224"/>
      <c r="JMT1" s="224"/>
      <c r="JMU1" s="224"/>
      <c r="JMV1" s="224"/>
      <c r="JMW1" s="224"/>
      <c r="JMX1" s="224"/>
      <c r="JMY1" s="224"/>
      <c r="JMZ1" s="224"/>
      <c r="JNA1" s="224"/>
      <c r="JNB1" s="224"/>
      <c r="JNC1" s="224"/>
      <c r="JND1" s="224"/>
      <c r="JNE1" s="224"/>
      <c r="JNF1" s="224"/>
      <c r="JNG1" s="224"/>
      <c r="JNH1" s="224"/>
      <c r="JNI1" s="224"/>
      <c r="JNJ1" s="224"/>
      <c r="JNK1" s="224"/>
      <c r="JNL1" s="224"/>
      <c r="JNM1" s="224"/>
      <c r="JNN1" s="224"/>
      <c r="JNO1" s="224"/>
      <c r="JNP1" s="224"/>
      <c r="JNQ1" s="224"/>
      <c r="JNR1" s="224"/>
      <c r="JNS1" s="224"/>
      <c r="JNT1" s="224"/>
      <c r="JNU1" s="224"/>
      <c r="JNV1" s="224"/>
      <c r="JNW1" s="224"/>
      <c r="JNX1" s="224"/>
      <c r="JNY1" s="224"/>
      <c r="JNZ1" s="224"/>
      <c r="JOA1" s="224"/>
      <c r="JOB1" s="224"/>
      <c r="JOC1" s="224"/>
      <c r="JOD1" s="224"/>
      <c r="JOE1" s="224"/>
      <c r="JOF1" s="224"/>
      <c r="JOG1" s="224"/>
      <c r="JOH1" s="224"/>
      <c r="JOI1" s="224"/>
      <c r="JOJ1" s="224"/>
      <c r="JOK1" s="224"/>
      <c r="JOL1" s="224"/>
      <c r="JOM1" s="224"/>
      <c r="JON1" s="224"/>
      <c r="JOO1" s="224"/>
      <c r="JOP1" s="224"/>
      <c r="JOQ1" s="224"/>
      <c r="JOR1" s="224"/>
      <c r="JOS1" s="224"/>
      <c r="JOT1" s="224"/>
      <c r="JOU1" s="224"/>
      <c r="JOV1" s="224"/>
      <c r="JOW1" s="224"/>
      <c r="JOX1" s="224"/>
      <c r="JOY1" s="224"/>
      <c r="JOZ1" s="224"/>
      <c r="JPA1" s="224"/>
      <c r="JPB1" s="224"/>
      <c r="JPC1" s="224"/>
      <c r="JPD1" s="224"/>
      <c r="JPE1" s="224"/>
      <c r="JPF1" s="224"/>
      <c r="JPG1" s="224"/>
      <c r="JPH1" s="224"/>
      <c r="JPI1" s="224"/>
      <c r="JPJ1" s="224"/>
      <c r="JPK1" s="224"/>
      <c r="JPL1" s="224"/>
      <c r="JPM1" s="224"/>
      <c r="JPN1" s="224"/>
      <c r="JPO1" s="224"/>
      <c r="JPP1" s="224"/>
      <c r="JPQ1" s="224"/>
      <c r="JPR1" s="224"/>
      <c r="JPS1" s="224"/>
      <c r="JPT1" s="224"/>
      <c r="JPU1" s="224"/>
      <c r="JPV1" s="224"/>
      <c r="JPW1" s="224"/>
      <c r="JPX1" s="224"/>
      <c r="JPY1" s="224"/>
      <c r="JPZ1" s="224"/>
      <c r="JQA1" s="224"/>
      <c r="JQB1" s="224"/>
      <c r="JQC1" s="224"/>
      <c r="JQD1" s="224"/>
      <c r="JQE1" s="224"/>
      <c r="JQF1" s="224"/>
      <c r="JQG1" s="224"/>
      <c r="JQH1" s="224"/>
      <c r="JQI1" s="224"/>
      <c r="JQJ1" s="224"/>
      <c r="JQK1" s="224"/>
      <c r="JQL1" s="224"/>
      <c r="JQM1" s="224"/>
      <c r="JQN1" s="224"/>
      <c r="JQO1" s="224"/>
      <c r="JQP1" s="224"/>
      <c r="JQQ1" s="224"/>
      <c r="JQR1" s="224"/>
      <c r="JQS1" s="224"/>
      <c r="JQT1" s="224"/>
      <c r="JQU1" s="224"/>
      <c r="JQV1" s="224"/>
      <c r="JQW1" s="224"/>
      <c r="JQX1" s="224"/>
      <c r="JQY1" s="224"/>
      <c r="JQZ1" s="224"/>
      <c r="JRA1" s="224"/>
      <c r="JRB1" s="224"/>
      <c r="JRC1" s="224"/>
      <c r="JRD1" s="224"/>
      <c r="JRE1" s="224"/>
      <c r="JRF1" s="224"/>
      <c r="JRG1" s="224"/>
      <c r="JRH1" s="224"/>
      <c r="JRI1" s="224"/>
      <c r="JRJ1" s="224"/>
      <c r="JRK1" s="224"/>
      <c r="JRL1" s="224"/>
      <c r="JRM1" s="224"/>
      <c r="JRN1" s="224"/>
      <c r="JRO1" s="224"/>
      <c r="JRP1" s="224"/>
      <c r="JRQ1" s="224"/>
      <c r="JRR1" s="224"/>
      <c r="JRS1" s="224"/>
      <c r="JRT1" s="224"/>
      <c r="JRU1" s="224"/>
      <c r="JRV1" s="224"/>
      <c r="JRW1" s="224"/>
      <c r="JRX1" s="224"/>
      <c r="JRY1" s="224"/>
      <c r="JRZ1" s="224"/>
      <c r="JSA1" s="224"/>
      <c r="JSB1" s="224"/>
      <c r="JSC1" s="224"/>
      <c r="JSD1" s="224"/>
      <c r="JSE1" s="224"/>
      <c r="JSF1" s="224"/>
      <c r="JSG1" s="224"/>
      <c r="JSH1" s="224"/>
      <c r="JSI1" s="224"/>
      <c r="JSJ1" s="224"/>
      <c r="JSK1" s="224"/>
      <c r="JSL1" s="224"/>
      <c r="JSM1" s="224"/>
      <c r="JSN1" s="224"/>
      <c r="JSO1" s="224"/>
      <c r="JSP1" s="224"/>
      <c r="JSQ1" s="224"/>
      <c r="JSR1" s="224"/>
      <c r="JSS1" s="224"/>
      <c r="JST1" s="224"/>
      <c r="JSU1" s="224"/>
      <c r="JSV1" s="224"/>
      <c r="JSW1" s="224"/>
      <c r="JSX1" s="224"/>
      <c r="JSY1" s="224"/>
      <c r="JSZ1" s="224"/>
      <c r="JTA1" s="224"/>
      <c r="JTB1" s="224"/>
      <c r="JTC1" s="224"/>
      <c r="JTD1" s="224"/>
      <c r="JTE1" s="224"/>
      <c r="JTF1" s="224"/>
      <c r="JTG1" s="224"/>
      <c r="JTH1" s="224"/>
      <c r="JTI1" s="224"/>
      <c r="JTJ1" s="224"/>
      <c r="JTK1" s="224"/>
      <c r="JTL1" s="224"/>
      <c r="JTM1" s="224"/>
      <c r="JTN1" s="224"/>
      <c r="JTO1" s="224"/>
      <c r="JTP1" s="224"/>
      <c r="JTQ1" s="224"/>
      <c r="JTR1" s="224"/>
      <c r="JTS1" s="224"/>
      <c r="JTT1" s="224"/>
      <c r="JTU1" s="224"/>
      <c r="JTV1" s="224"/>
      <c r="JTW1" s="224"/>
      <c r="JTX1" s="224"/>
      <c r="JTY1" s="224"/>
      <c r="JTZ1" s="224"/>
      <c r="JUA1" s="224"/>
      <c r="JUB1" s="224"/>
      <c r="JUC1" s="224"/>
      <c r="JUD1" s="224"/>
      <c r="JUE1" s="224"/>
      <c r="JUF1" s="224"/>
      <c r="JUG1" s="224"/>
      <c r="JUH1" s="224"/>
      <c r="JUI1" s="224"/>
      <c r="JUJ1" s="224"/>
      <c r="JUK1" s="224"/>
      <c r="JUL1" s="224"/>
      <c r="JUM1" s="224"/>
      <c r="JUN1" s="224"/>
      <c r="JUO1" s="224"/>
      <c r="JUP1" s="224"/>
      <c r="JUQ1" s="224"/>
      <c r="JUR1" s="224"/>
      <c r="JUS1" s="224"/>
      <c r="JUT1" s="224"/>
      <c r="JUU1" s="224"/>
      <c r="JUV1" s="224"/>
      <c r="JUW1" s="224"/>
      <c r="JUX1" s="224"/>
      <c r="JUY1" s="224"/>
      <c r="JUZ1" s="224"/>
      <c r="JVA1" s="224"/>
      <c r="JVB1" s="224"/>
      <c r="JVC1" s="224"/>
      <c r="JVD1" s="224"/>
      <c r="JVE1" s="224"/>
      <c r="JVF1" s="224"/>
      <c r="JVG1" s="224"/>
      <c r="JVH1" s="224"/>
      <c r="JVI1" s="224"/>
      <c r="JVJ1" s="224"/>
      <c r="JVK1" s="224"/>
      <c r="JVL1" s="224"/>
      <c r="JVM1" s="224"/>
      <c r="JVN1" s="224"/>
      <c r="JVO1" s="224"/>
      <c r="JVP1" s="224"/>
      <c r="JVQ1" s="224"/>
      <c r="JVR1" s="224"/>
      <c r="JVS1" s="224"/>
      <c r="JVT1" s="224"/>
      <c r="JVU1" s="224"/>
      <c r="JVV1" s="224"/>
      <c r="JVW1" s="224"/>
      <c r="JVX1" s="224"/>
      <c r="JVY1" s="224"/>
      <c r="JVZ1" s="224"/>
      <c r="JWA1" s="224"/>
      <c r="JWB1" s="224"/>
      <c r="JWC1" s="224"/>
      <c r="JWD1" s="224"/>
      <c r="JWE1" s="224"/>
      <c r="JWF1" s="224"/>
      <c r="JWG1" s="224"/>
      <c r="JWH1" s="224"/>
      <c r="JWI1" s="224"/>
      <c r="JWJ1" s="224"/>
      <c r="JWK1" s="224"/>
      <c r="JWL1" s="224"/>
      <c r="JWM1" s="224"/>
      <c r="JWN1" s="224"/>
      <c r="JWO1" s="224"/>
      <c r="JWP1" s="224"/>
      <c r="JWQ1" s="224"/>
      <c r="JWR1" s="224"/>
      <c r="JWS1" s="224"/>
      <c r="JWT1" s="224"/>
      <c r="JWU1" s="224"/>
      <c r="JWV1" s="224"/>
      <c r="JWW1" s="224"/>
      <c r="JWX1" s="224"/>
      <c r="JWY1" s="224"/>
      <c r="JWZ1" s="224"/>
      <c r="JXA1" s="224"/>
      <c r="JXB1" s="224"/>
      <c r="JXC1" s="224"/>
      <c r="JXD1" s="224"/>
      <c r="JXE1" s="224"/>
      <c r="JXF1" s="224"/>
      <c r="JXG1" s="224"/>
      <c r="JXH1" s="224"/>
      <c r="JXI1" s="224"/>
      <c r="JXJ1" s="224"/>
      <c r="JXK1" s="224"/>
      <c r="JXL1" s="224"/>
      <c r="JXM1" s="224"/>
      <c r="JXN1" s="224"/>
      <c r="JXO1" s="224"/>
      <c r="JXP1" s="224"/>
      <c r="JXQ1" s="224"/>
      <c r="JXR1" s="224"/>
      <c r="JXS1" s="224"/>
      <c r="JXT1" s="224"/>
      <c r="JXU1" s="224"/>
      <c r="JXV1" s="224"/>
      <c r="JXW1" s="224"/>
      <c r="JXX1" s="224"/>
      <c r="JXY1" s="224"/>
      <c r="JXZ1" s="224"/>
      <c r="JYA1" s="224"/>
      <c r="JYB1" s="224"/>
      <c r="JYC1" s="224"/>
      <c r="JYD1" s="224"/>
      <c r="JYE1" s="224"/>
      <c r="JYF1" s="224"/>
      <c r="JYG1" s="224"/>
      <c r="JYH1" s="224"/>
      <c r="JYI1" s="224"/>
      <c r="JYJ1" s="224"/>
      <c r="JYK1" s="224"/>
      <c r="JYL1" s="224"/>
      <c r="JYM1" s="224"/>
      <c r="JYN1" s="224"/>
      <c r="JYO1" s="224"/>
      <c r="JYP1" s="224"/>
      <c r="JYQ1" s="224"/>
      <c r="JYR1" s="224"/>
      <c r="JYS1" s="224"/>
      <c r="JYT1" s="224"/>
      <c r="JYU1" s="224"/>
      <c r="JYV1" s="224"/>
      <c r="JYW1" s="224"/>
      <c r="JYX1" s="224"/>
      <c r="JYY1" s="224"/>
      <c r="JYZ1" s="224"/>
      <c r="JZA1" s="224"/>
      <c r="JZB1" s="224"/>
      <c r="JZC1" s="224"/>
      <c r="JZD1" s="224"/>
      <c r="JZE1" s="224"/>
      <c r="JZF1" s="224"/>
      <c r="JZG1" s="224"/>
      <c r="JZH1" s="224"/>
      <c r="JZI1" s="224"/>
      <c r="JZJ1" s="224"/>
      <c r="JZK1" s="224"/>
      <c r="JZL1" s="224"/>
      <c r="JZM1" s="224"/>
      <c r="JZN1" s="224"/>
      <c r="JZO1" s="224"/>
      <c r="JZP1" s="224"/>
      <c r="JZQ1" s="224"/>
      <c r="JZR1" s="224"/>
      <c r="JZS1" s="224"/>
      <c r="JZT1" s="224"/>
      <c r="JZU1" s="224"/>
      <c r="JZV1" s="224"/>
      <c r="JZW1" s="224"/>
      <c r="JZX1" s="224"/>
      <c r="JZY1" s="224"/>
      <c r="JZZ1" s="224"/>
      <c r="KAA1" s="224"/>
      <c r="KAB1" s="224"/>
      <c r="KAC1" s="224"/>
      <c r="KAD1" s="224"/>
      <c r="KAE1" s="224"/>
      <c r="KAF1" s="224"/>
      <c r="KAG1" s="224"/>
      <c r="KAH1" s="224"/>
      <c r="KAI1" s="224"/>
      <c r="KAJ1" s="224"/>
      <c r="KAK1" s="224"/>
      <c r="KAL1" s="224"/>
      <c r="KAM1" s="224"/>
      <c r="KAN1" s="224"/>
      <c r="KAO1" s="224"/>
      <c r="KAP1" s="224"/>
      <c r="KAQ1" s="224"/>
      <c r="KAR1" s="224"/>
      <c r="KAS1" s="224"/>
      <c r="KAT1" s="224"/>
      <c r="KAU1" s="224"/>
      <c r="KAV1" s="224"/>
      <c r="KAW1" s="224"/>
      <c r="KAX1" s="224"/>
      <c r="KAY1" s="224"/>
      <c r="KAZ1" s="224"/>
      <c r="KBA1" s="224"/>
      <c r="KBB1" s="224"/>
      <c r="KBC1" s="224"/>
      <c r="KBD1" s="224"/>
      <c r="KBE1" s="224"/>
      <c r="KBF1" s="224"/>
      <c r="KBG1" s="224"/>
      <c r="KBH1" s="224"/>
      <c r="KBI1" s="224"/>
      <c r="KBJ1" s="224"/>
      <c r="KBK1" s="224"/>
      <c r="KBL1" s="224"/>
      <c r="KBM1" s="224"/>
      <c r="KBN1" s="224"/>
      <c r="KBO1" s="224"/>
      <c r="KBP1" s="224"/>
      <c r="KBQ1" s="224"/>
      <c r="KBR1" s="224"/>
      <c r="KBS1" s="224"/>
      <c r="KBT1" s="224"/>
      <c r="KBU1" s="224"/>
      <c r="KBV1" s="224"/>
      <c r="KBW1" s="224"/>
      <c r="KBX1" s="224"/>
      <c r="KBY1" s="224"/>
      <c r="KBZ1" s="224"/>
      <c r="KCA1" s="224"/>
      <c r="KCB1" s="224"/>
      <c r="KCC1" s="224"/>
      <c r="KCD1" s="224"/>
      <c r="KCE1" s="224"/>
      <c r="KCF1" s="224"/>
      <c r="KCG1" s="224"/>
      <c r="KCH1" s="224"/>
      <c r="KCI1" s="224"/>
      <c r="KCJ1" s="224"/>
      <c r="KCK1" s="224"/>
      <c r="KCL1" s="224"/>
      <c r="KCM1" s="224"/>
      <c r="KCN1" s="224"/>
      <c r="KCO1" s="224"/>
      <c r="KCP1" s="224"/>
      <c r="KCQ1" s="224"/>
      <c r="KCR1" s="224"/>
      <c r="KCS1" s="224"/>
      <c r="KCT1" s="224"/>
      <c r="KCU1" s="224"/>
      <c r="KCV1" s="224"/>
      <c r="KCW1" s="224"/>
      <c r="KCX1" s="224"/>
      <c r="KCY1" s="224"/>
      <c r="KCZ1" s="224"/>
      <c r="KDA1" s="224"/>
      <c r="KDB1" s="224"/>
      <c r="KDC1" s="224"/>
      <c r="KDD1" s="224"/>
      <c r="KDE1" s="224"/>
      <c r="KDF1" s="224"/>
      <c r="KDG1" s="224"/>
      <c r="KDH1" s="224"/>
      <c r="KDI1" s="224"/>
      <c r="KDJ1" s="224"/>
      <c r="KDK1" s="224"/>
      <c r="KDL1" s="224"/>
      <c r="KDM1" s="224"/>
      <c r="KDN1" s="224"/>
      <c r="KDO1" s="224"/>
      <c r="KDP1" s="224"/>
      <c r="KDQ1" s="224"/>
      <c r="KDR1" s="224"/>
      <c r="KDS1" s="224"/>
      <c r="KDT1" s="224"/>
      <c r="KDU1" s="224"/>
      <c r="KDV1" s="224"/>
      <c r="KDW1" s="224"/>
      <c r="KDX1" s="224"/>
      <c r="KDY1" s="224"/>
      <c r="KDZ1" s="224"/>
      <c r="KEA1" s="224"/>
      <c r="KEB1" s="224"/>
      <c r="KEC1" s="224"/>
      <c r="KED1" s="224"/>
      <c r="KEE1" s="224"/>
      <c r="KEF1" s="224"/>
      <c r="KEG1" s="224"/>
      <c r="KEH1" s="224"/>
      <c r="KEI1" s="224"/>
      <c r="KEJ1" s="224"/>
      <c r="KEK1" s="224"/>
      <c r="KEL1" s="224"/>
      <c r="KEM1" s="224"/>
      <c r="KEN1" s="224"/>
      <c r="KEO1" s="224"/>
      <c r="KEP1" s="224"/>
      <c r="KEQ1" s="224"/>
      <c r="KER1" s="224"/>
      <c r="KES1" s="224"/>
      <c r="KET1" s="224"/>
      <c r="KEU1" s="224"/>
      <c r="KEV1" s="224"/>
      <c r="KEW1" s="224"/>
      <c r="KEX1" s="224"/>
      <c r="KEY1" s="224"/>
      <c r="KEZ1" s="224"/>
      <c r="KFA1" s="224"/>
      <c r="KFB1" s="224"/>
      <c r="KFC1" s="224"/>
      <c r="KFD1" s="224"/>
      <c r="KFE1" s="224"/>
      <c r="KFF1" s="224"/>
      <c r="KFG1" s="224"/>
      <c r="KFH1" s="224"/>
      <c r="KFI1" s="224"/>
      <c r="KFJ1" s="224"/>
      <c r="KFK1" s="224"/>
      <c r="KFL1" s="224"/>
      <c r="KFM1" s="224"/>
      <c r="KFN1" s="224"/>
      <c r="KFO1" s="224"/>
      <c r="KFP1" s="224"/>
      <c r="KFQ1" s="224"/>
      <c r="KFR1" s="224"/>
      <c r="KFS1" s="224"/>
      <c r="KFT1" s="224"/>
      <c r="KFU1" s="224"/>
      <c r="KFV1" s="224"/>
      <c r="KFW1" s="224"/>
      <c r="KFX1" s="224"/>
      <c r="KFY1" s="224"/>
      <c r="KFZ1" s="224"/>
      <c r="KGA1" s="224"/>
      <c r="KGB1" s="224"/>
      <c r="KGC1" s="224"/>
      <c r="KGD1" s="224"/>
      <c r="KGE1" s="224"/>
      <c r="KGF1" s="224"/>
      <c r="KGG1" s="224"/>
      <c r="KGH1" s="224"/>
      <c r="KGI1" s="224"/>
      <c r="KGJ1" s="224"/>
      <c r="KGK1" s="224"/>
      <c r="KGL1" s="224"/>
      <c r="KGM1" s="224"/>
      <c r="KGN1" s="224"/>
      <c r="KGO1" s="224"/>
      <c r="KGP1" s="224"/>
      <c r="KGQ1" s="224"/>
      <c r="KGR1" s="224"/>
      <c r="KGS1" s="224"/>
      <c r="KGT1" s="224"/>
      <c r="KGU1" s="224"/>
      <c r="KGV1" s="224"/>
      <c r="KGW1" s="224"/>
      <c r="KGX1" s="224"/>
      <c r="KGY1" s="224"/>
      <c r="KGZ1" s="224"/>
      <c r="KHA1" s="224"/>
      <c r="KHB1" s="224"/>
      <c r="KHC1" s="224"/>
      <c r="KHD1" s="224"/>
      <c r="KHE1" s="224"/>
      <c r="KHF1" s="224"/>
      <c r="KHG1" s="224"/>
      <c r="KHH1" s="224"/>
      <c r="KHI1" s="224"/>
      <c r="KHJ1" s="224"/>
      <c r="KHK1" s="224"/>
      <c r="KHL1" s="224"/>
      <c r="KHM1" s="224"/>
      <c r="KHN1" s="224"/>
      <c r="KHO1" s="224"/>
      <c r="KHP1" s="224"/>
      <c r="KHQ1" s="224"/>
      <c r="KHR1" s="224"/>
      <c r="KHS1" s="224"/>
      <c r="KHT1" s="224"/>
      <c r="KHU1" s="224"/>
      <c r="KHV1" s="224"/>
      <c r="KHW1" s="224"/>
      <c r="KHX1" s="224"/>
      <c r="KHY1" s="224"/>
      <c r="KHZ1" s="224"/>
      <c r="KIA1" s="224"/>
      <c r="KIB1" s="224"/>
      <c r="KIC1" s="224"/>
      <c r="KID1" s="224"/>
      <c r="KIE1" s="224"/>
      <c r="KIF1" s="224"/>
      <c r="KIG1" s="224"/>
      <c r="KIH1" s="224"/>
      <c r="KII1" s="224"/>
      <c r="KIJ1" s="224"/>
      <c r="KIK1" s="224"/>
      <c r="KIL1" s="224"/>
      <c r="KIM1" s="224"/>
      <c r="KIN1" s="224"/>
      <c r="KIO1" s="224"/>
      <c r="KIP1" s="224"/>
      <c r="KIQ1" s="224"/>
      <c r="KIR1" s="224"/>
      <c r="KIS1" s="224"/>
      <c r="KIT1" s="224"/>
      <c r="KIU1" s="224"/>
      <c r="KIV1" s="224"/>
      <c r="KIW1" s="224"/>
      <c r="KIX1" s="224"/>
      <c r="KIY1" s="224"/>
      <c r="KIZ1" s="224"/>
      <c r="KJA1" s="224"/>
      <c r="KJB1" s="224"/>
      <c r="KJC1" s="224"/>
      <c r="KJD1" s="224"/>
      <c r="KJE1" s="224"/>
      <c r="KJF1" s="224"/>
      <c r="KJG1" s="224"/>
      <c r="KJH1" s="224"/>
      <c r="KJI1" s="224"/>
      <c r="KJJ1" s="224"/>
      <c r="KJK1" s="224"/>
      <c r="KJL1" s="224"/>
      <c r="KJM1" s="224"/>
      <c r="KJN1" s="224"/>
      <c r="KJO1" s="224"/>
      <c r="KJP1" s="224"/>
      <c r="KJQ1" s="224"/>
      <c r="KJR1" s="224"/>
      <c r="KJS1" s="224"/>
      <c r="KJT1" s="224"/>
      <c r="KJU1" s="224"/>
      <c r="KJV1" s="224"/>
      <c r="KJW1" s="224"/>
      <c r="KJX1" s="224"/>
      <c r="KJY1" s="224"/>
      <c r="KJZ1" s="224"/>
      <c r="KKA1" s="224"/>
      <c r="KKB1" s="224"/>
      <c r="KKC1" s="224"/>
      <c r="KKD1" s="224"/>
      <c r="KKE1" s="224"/>
      <c r="KKF1" s="224"/>
      <c r="KKG1" s="224"/>
      <c r="KKH1" s="224"/>
      <c r="KKI1" s="224"/>
      <c r="KKJ1" s="224"/>
      <c r="KKK1" s="224"/>
      <c r="KKL1" s="224"/>
      <c r="KKM1" s="224"/>
      <c r="KKN1" s="224"/>
      <c r="KKO1" s="224"/>
      <c r="KKP1" s="224"/>
      <c r="KKQ1" s="224"/>
      <c r="KKR1" s="224"/>
      <c r="KKS1" s="224"/>
      <c r="KKT1" s="224"/>
      <c r="KKU1" s="224"/>
      <c r="KKV1" s="224"/>
      <c r="KKW1" s="224"/>
      <c r="KKX1" s="224"/>
      <c r="KKY1" s="224"/>
      <c r="KKZ1" s="224"/>
      <c r="KLA1" s="224"/>
      <c r="KLB1" s="224"/>
      <c r="KLC1" s="224"/>
      <c r="KLD1" s="224"/>
      <c r="KLE1" s="224"/>
      <c r="KLF1" s="224"/>
      <c r="KLG1" s="224"/>
      <c r="KLH1" s="224"/>
      <c r="KLI1" s="224"/>
      <c r="KLJ1" s="224"/>
      <c r="KLK1" s="224"/>
      <c r="KLL1" s="224"/>
      <c r="KLM1" s="224"/>
      <c r="KLN1" s="224"/>
      <c r="KLO1" s="224"/>
      <c r="KLP1" s="224"/>
      <c r="KLQ1" s="224"/>
      <c r="KLR1" s="224"/>
      <c r="KLS1" s="224"/>
      <c r="KLT1" s="224"/>
      <c r="KLU1" s="224"/>
      <c r="KLV1" s="224"/>
      <c r="KLW1" s="224"/>
      <c r="KLX1" s="224"/>
      <c r="KLY1" s="224"/>
      <c r="KLZ1" s="224"/>
      <c r="KMA1" s="224"/>
      <c r="KMB1" s="224"/>
      <c r="KMC1" s="224"/>
      <c r="KMD1" s="224"/>
      <c r="KME1" s="224"/>
      <c r="KMF1" s="224"/>
      <c r="KMG1" s="224"/>
      <c r="KMH1" s="224"/>
      <c r="KMI1" s="224"/>
      <c r="KMJ1" s="224"/>
      <c r="KMK1" s="224"/>
      <c r="KML1" s="224"/>
      <c r="KMM1" s="224"/>
      <c r="KMN1" s="224"/>
      <c r="KMO1" s="224"/>
      <c r="KMP1" s="224"/>
      <c r="KMQ1" s="224"/>
      <c r="KMR1" s="224"/>
      <c r="KMS1" s="224"/>
      <c r="KMT1" s="224"/>
      <c r="KMU1" s="224"/>
      <c r="KMV1" s="224"/>
      <c r="KMW1" s="224"/>
      <c r="KMX1" s="224"/>
      <c r="KMY1" s="224"/>
      <c r="KMZ1" s="224"/>
      <c r="KNA1" s="224"/>
      <c r="KNB1" s="224"/>
      <c r="KNC1" s="224"/>
      <c r="KND1" s="224"/>
      <c r="KNE1" s="224"/>
      <c r="KNF1" s="224"/>
      <c r="KNG1" s="224"/>
      <c r="KNH1" s="224"/>
      <c r="KNI1" s="224"/>
      <c r="KNJ1" s="224"/>
      <c r="KNK1" s="224"/>
      <c r="KNL1" s="224"/>
      <c r="KNM1" s="224"/>
      <c r="KNN1" s="224"/>
      <c r="KNO1" s="224"/>
      <c r="KNP1" s="224"/>
      <c r="KNQ1" s="224"/>
      <c r="KNR1" s="224"/>
      <c r="KNS1" s="224"/>
      <c r="KNT1" s="224"/>
      <c r="KNU1" s="224"/>
      <c r="KNV1" s="224"/>
      <c r="KNW1" s="224"/>
      <c r="KNX1" s="224"/>
      <c r="KNY1" s="224"/>
      <c r="KNZ1" s="224"/>
      <c r="KOA1" s="224"/>
      <c r="KOB1" s="224"/>
      <c r="KOC1" s="224"/>
      <c r="KOD1" s="224"/>
      <c r="KOE1" s="224"/>
      <c r="KOF1" s="224"/>
      <c r="KOG1" s="224"/>
      <c r="KOH1" s="224"/>
      <c r="KOI1" s="224"/>
      <c r="KOJ1" s="224"/>
      <c r="KOK1" s="224"/>
      <c r="KOL1" s="224"/>
      <c r="KOM1" s="224"/>
      <c r="KON1" s="224"/>
      <c r="KOO1" s="224"/>
      <c r="KOP1" s="224"/>
      <c r="KOQ1" s="224"/>
      <c r="KOR1" s="224"/>
      <c r="KOS1" s="224"/>
      <c r="KOT1" s="224"/>
      <c r="KOU1" s="224"/>
      <c r="KOV1" s="224"/>
      <c r="KOW1" s="224"/>
      <c r="KOX1" s="224"/>
      <c r="KOY1" s="224"/>
      <c r="KOZ1" s="224"/>
      <c r="KPA1" s="224"/>
      <c r="KPB1" s="224"/>
      <c r="KPC1" s="224"/>
      <c r="KPD1" s="224"/>
      <c r="KPE1" s="224"/>
      <c r="KPF1" s="224"/>
      <c r="KPG1" s="224"/>
      <c r="KPH1" s="224"/>
      <c r="KPI1" s="224"/>
      <c r="KPJ1" s="224"/>
      <c r="KPK1" s="224"/>
      <c r="KPL1" s="224"/>
      <c r="KPM1" s="224"/>
      <c r="KPN1" s="224"/>
      <c r="KPO1" s="224"/>
      <c r="KPP1" s="224"/>
      <c r="KPQ1" s="224"/>
      <c r="KPR1" s="224"/>
      <c r="KPS1" s="224"/>
      <c r="KPT1" s="224"/>
      <c r="KPU1" s="224"/>
      <c r="KPV1" s="224"/>
      <c r="KPW1" s="224"/>
      <c r="KPX1" s="224"/>
      <c r="KPY1" s="224"/>
      <c r="KPZ1" s="224"/>
      <c r="KQA1" s="224"/>
      <c r="KQB1" s="224"/>
      <c r="KQC1" s="224"/>
      <c r="KQD1" s="224"/>
      <c r="KQE1" s="224"/>
      <c r="KQF1" s="224"/>
      <c r="KQG1" s="224"/>
      <c r="KQH1" s="224"/>
      <c r="KQI1" s="224"/>
      <c r="KQJ1" s="224"/>
      <c r="KQK1" s="224"/>
      <c r="KQL1" s="224"/>
      <c r="KQM1" s="224"/>
      <c r="KQN1" s="224"/>
      <c r="KQO1" s="224"/>
      <c r="KQP1" s="224"/>
      <c r="KQQ1" s="224"/>
      <c r="KQR1" s="224"/>
      <c r="KQS1" s="224"/>
      <c r="KQT1" s="224"/>
      <c r="KQU1" s="224"/>
      <c r="KQV1" s="224"/>
      <c r="KQW1" s="224"/>
      <c r="KQX1" s="224"/>
      <c r="KQY1" s="224"/>
      <c r="KQZ1" s="224"/>
      <c r="KRA1" s="224"/>
      <c r="KRB1" s="224"/>
      <c r="KRC1" s="224"/>
      <c r="KRD1" s="224"/>
      <c r="KRE1" s="224"/>
      <c r="KRF1" s="224"/>
      <c r="KRG1" s="224"/>
      <c r="KRH1" s="224"/>
      <c r="KRI1" s="224"/>
      <c r="KRJ1" s="224"/>
      <c r="KRK1" s="224"/>
      <c r="KRL1" s="224"/>
      <c r="KRM1" s="224"/>
      <c r="KRN1" s="224"/>
      <c r="KRO1" s="224"/>
      <c r="KRP1" s="224"/>
      <c r="KRQ1" s="224"/>
      <c r="KRR1" s="224"/>
      <c r="KRS1" s="224"/>
      <c r="KRT1" s="224"/>
      <c r="KRU1" s="224"/>
      <c r="KRV1" s="224"/>
      <c r="KRW1" s="224"/>
      <c r="KRX1" s="224"/>
      <c r="KRY1" s="224"/>
      <c r="KRZ1" s="224"/>
      <c r="KSA1" s="224"/>
      <c r="KSB1" s="224"/>
      <c r="KSC1" s="224"/>
      <c r="KSD1" s="224"/>
      <c r="KSE1" s="224"/>
      <c r="KSF1" s="224"/>
      <c r="KSG1" s="224"/>
      <c r="KSH1" s="224"/>
      <c r="KSI1" s="224"/>
      <c r="KSJ1" s="224"/>
      <c r="KSK1" s="224"/>
      <c r="KSL1" s="224"/>
      <c r="KSM1" s="224"/>
      <c r="KSN1" s="224"/>
      <c r="KSO1" s="224"/>
      <c r="KSP1" s="224"/>
      <c r="KSQ1" s="224"/>
      <c r="KSR1" s="224"/>
      <c r="KSS1" s="224"/>
      <c r="KST1" s="224"/>
      <c r="KSU1" s="224"/>
      <c r="KSV1" s="224"/>
      <c r="KSW1" s="224"/>
      <c r="KSX1" s="224"/>
      <c r="KSY1" s="224"/>
      <c r="KSZ1" s="224"/>
      <c r="KTA1" s="224"/>
      <c r="KTB1" s="224"/>
      <c r="KTC1" s="224"/>
      <c r="KTD1" s="224"/>
      <c r="KTE1" s="224"/>
      <c r="KTF1" s="224"/>
      <c r="KTG1" s="224"/>
      <c r="KTH1" s="224"/>
      <c r="KTI1" s="224"/>
      <c r="KTJ1" s="224"/>
      <c r="KTK1" s="224"/>
      <c r="KTL1" s="224"/>
      <c r="KTM1" s="224"/>
      <c r="KTN1" s="224"/>
      <c r="KTO1" s="224"/>
      <c r="KTP1" s="224"/>
      <c r="KTQ1" s="224"/>
      <c r="KTR1" s="224"/>
      <c r="KTS1" s="224"/>
      <c r="KTT1" s="224"/>
      <c r="KTU1" s="224"/>
      <c r="KTV1" s="224"/>
      <c r="KTW1" s="224"/>
      <c r="KTX1" s="224"/>
      <c r="KTY1" s="224"/>
      <c r="KTZ1" s="224"/>
      <c r="KUA1" s="224"/>
      <c r="KUB1" s="224"/>
      <c r="KUC1" s="224"/>
      <c r="KUD1" s="224"/>
      <c r="KUE1" s="224"/>
      <c r="KUF1" s="224"/>
      <c r="KUG1" s="224"/>
      <c r="KUH1" s="224"/>
      <c r="KUI1" s="224"/>
      <c r="KUJ1" s="224"/>
      <c r="KUK1" s="224"/>
      <c r="KUL1" s="224"/>
      <c r="KUM1" s="224"/>
      <c r="KUN1" s="224"/>
      <c r="KUO1" s="224"/>
      <c r="KUP1" s="224"/>
      <c r="KUQ1" s="224"/>
      <c r="KUR1" s="224"/>
      <c r="KUS1" s="224"/>
      <c r="KUT1" s="224"/>
      <c r="KUU1" s="224"/>
      <c r="KUV1" s="224"/>
      <c r="KUW1" s="224"/>
      <c r="KUX1" s="224"/>
      <c r="KUY1" s="224"/>
      <c r="KUZ1" s="224"/>
      <c r="KVA1" s="224"/>
      <c r="KVB1" s="224"/>
      <c r="KVC1" s="224"/>
      <c r="KVD1" s="224"/>
      <c r="KVE1" s="224"/>
      <c r="KVF1" s="224"/>
      <c r="KVG1" s="224"/>
      <c r="KVH1" s="224"/>
      <c r="KVI1" s="224"/>
      <c r="KVJ1" s="224"/>
      <c r="KVK1" s="224"/>
      <c r="KVL1" s="224"/>
      <c r="KVM1" s="224"/>
      <c r="KVN1" s="224"/>
      <c r="KVO1" s="224"/>
      <c r="KVP1" s="224"/>
      <c r="KVQ1" s="224"/>
      <c r="KVR1" s="224"/>
      <c r="KVS1" s="224"/>
      <c r="KVT1" s="224"/>
      <c r="KVU1" s="224"/>
      <c r="KVV1" s="224"/>
      <c r="KVW1" s="224"/>
      <c r="KVX1" s="224"/>
      <c r="KVY1" s="224"/>
      <c r="KVZ1" s="224"/>
      <c r="KWA1" s="224"/>
      <c r="KWB1" s="224"/>
      <c r="KWC1" s="224"/>
      <c r="KWD1" s="224"/>
      <c r="KWE1" s="224"/>
      <c r="KWF1" s="224"/>
      <c r="KWG1" s="224"/>
      <c r="KWH1" s="224"/>
      <c r="KWI1" s="224"/>
      <c r="KWJ1" s="224"/>
      <c r="KWK1" s="224"/>
      <c r="KWL1" s="224"/>
      <c r="KWM1" s="224"/>
      <c r="KWN1" s="224"/>
      <c r="KWO1" s="224"/>
      <c r="KWP1" s="224"/>
      <c r="KWQ1" s="224"/>
      <c r="KWR1" s="224"/>
      <c r="KWS1" s="224"/>
      <c r="KWT1" s="224"/>
      <c r="KWU1" s="224"/>
      <c r="KWV1" s="224"/>
      <c r="KWW1" s="224"/>
      <c r="KWX1" s="224"/>
      <c r="KWY1" s="224"/>
      <c r="KWZ1" s="224"/>
      <c r="KXA1" s="224"/>
      <c r="KXB1" s="224"/>
      <c r="KXC1" s="224"/>
      <c r="KXD1" s="224"/>
      <c r="KXE1" s="224"/>
      <c r="KXF1" s="224"/>
      <c r="KXG1" s="224"/>
      <c r="KXH1" s="224"/>
      <c r="KXI1" s="224"/>
      <c r="KXJ1" s="224"/>
      <c r="KXK1" s="224"/>
      <c r="KXL1" s="224"/>
      <c r="KXM1" s="224"/>
      <c r="KXN1" s="224"/>
      <c r="KXO1" s="224"/>
      <c r="KXP1" s="224"/>
      <c r="KXQ1" s="224"/>
      <c r="KXR1" s="224"/>
      <c r="KXS1" s="224"/>
      <c r="KXT1" s="224"/>
      <c r="KXU1" s="224"/>
      <c r="KXV1" s="224"/>
      <c r="KXW1" s="224"/>
      <c r="KXX1" s="224"/>
      <c r="KXY1" s="224"/>
      <c r="KXZ1" s="224"/>
      <c r="KYA1" s="224"/>
      <c r="KYB1" s="224"/>
      <c r="KYC1" s="224"/>
      <c r="KYD1" s="224"/>
      <c r="KYE1" s="224"/>
      <c r="KYF1" s="224"/>
      <c r="KYG1" s="224"/>
      <c r="KYH1" s="224"/>
      <c r="KYI1" s="224"/>
      <c r="KYJ1" s="224"/>
      <c r="KYK1" s="224"/>
      <c r="KYL1" s="224"/>
      <c r="KYM1" s="224"/>
      <c r="KYN1" s="224"/>
      <c r="KYO1" s="224"/>
      <c r="KYP1" s="224"/>
      <c r="KYQ1" s="224"/>
      <c r="KYR1" s="224"/>
      <c r="KYS1" s="224"/>
      <c r="KYT1" s="224"/>
      <c r="KYU1" s="224"/>
      <c r="KYV1" s="224"/>
      <c r="KYW1" s="224"/>
      <c r="KYX1" s="224"/>
      <c r="KYY1" s="224"/>
      <c r="KYZ1" s="224"/>
      <c r="KZA1" s="224"/>
      <c r="KZB1" s="224"/>
      <c r="KZC1" s="224"/>
      <c r="KZD1" s="224"/>
      <c r="KZE1" s="224"/>
      <c r="KZF1" s="224"/>
      <c r="KZG1" s="224"/>
      <c r="KZH1" s="224"/>
      <c r="KZI1" s="224"/>
      <c r="KZJ1" s="224"/>
      <c r="KZK1" s="224"/>
      <c r="KZL1" s="224"/>
      <c r="KZM1" s="224"/>
      <c r="KZN1" s="224"/>
      <c r="KZO1" s="224"/>
      <c r="KZP1" s="224"/>
      <c r="KZQ1" s="224"/>
      <c r="KZR1" s="224"/>
      <c r="KZS1" s="224"/>
      <c r="KZT1" s="224"/>
      <c r="KZU1" s="224"/>
      <c r="KZV1" s="224"/>
      <c r="KZW1" s="224"/>
      <c r="KZX1" s="224"/>
      <c r="KZY1" s="224"/>
      <c r="KZZ1" s="224"/>
      <c r="LAA1" s="224"/>
      <c r="LAB1" s="224"/>
      <c r="LAC1" s="224"/>
      <c r="LAD1" s="224"/>
      <c r="LAE1" s="224"/>
      <c r="LAF1" s="224"/>
      <c r="LAG1" s="224"/>
      <c r="LAH1" s="224"/>
      <c r="LAI1" s="224"/>
      <c r="LAJ1" s="224"/>
      <c r="LAK1" s="224"/>
      <c r="LAL1" s="224"/>
      <c r="LAM1" s="224"/>
      <c r="LAN1" s="224"/>
      <c r="LAO1" s="224"/>
      <c r="LAP1" s="224"/>
      <c r="LAQ1" s="224"/>
      <c r="LAR1" s="224"/>
      <c r="LAS1" s="224"/>
      <c r="LAT1" s="224"/>
      <c r="LAU1" s="224"/>
      <c r="LAV1" s="224"/>
      <c r="LAW1" s="224"/>
      <c r="LAX1" s="224"/>
      <c r="LAY1" s="224"/>
      <c r="LAZ1" s="224"/>
      <c r="LBA1" s="224"/>
      <c r="LBB1" s="224"/>
      <c r="LBC1" s="224"/>
      <c r="LBD1" s="224"/>
      <c r="LBE1" s="224"/>
      <c r="LBF1" s="224"/>
      <c r="LBG1" s="224"/>
      <c r="LBH1" s="224"/>
      <c r="LBI1" s="224"/>
      <c r="LBJ1" s="224"/>
      <c r="LBK1" s="224"/>
      <c r="LBL1" s="224"/>
      <c r="LBM1" s="224"/>
      <c r="LBN1" s="224"/>
      <c r="LBO1" s="224"/>
      <c r="LBP1" s="224"/>
      <c r="LBQ1" s="224"/>
      <c r="LBR1" s="224"/>
      <c r="LBS1" s="224"/>
      <c r="LBT1" s="224"/>
      <c r="LBU1" s="224"/>
      <c r="LBV1" s="224"/>
      <c r="LBW1" s="224"/>
      <c r="LBX1" s="224"/>
      <c r="LBY1" s="224"/>
      <c r="LBZ1" s="224"/>
      <c r="LCA1" s="224"/>
      <c r="LCB1" s="224"/>
      <c r="LCC1" s="224"/>
      <c r="LCD1" s="224"/>
      <c r="LCE1" s="224"/>
      <c r="LCF1" s="224"/>
      <c r="LCG1" s="224"/>
      <c r="LCH1" s="224"/>
      <c r="LCI1" s="224"/>
      <c r="LCJ1" s="224"/>
      <c r="LCK1" s="224"/>
      <c r="LCL1" s="224"/>
      <c r="LCM1" s="224"/>
      <c r="LCN1" s="224"/>
      <c r="LCO1" s="224"/>
      <c r="LCP1" s="224"/>
      <c r="LCQ1" s="224"/>
      <c r="LCR1" s="224"/>
      <c r="LCS1" s="224"/>
      <c r="LCT1" s="224"/>
      <c r="LCU1" s="224"/>
      <c r="LCV1" s="224"/>
      <c r="LCW1" s="224"/>
      <c r="LCX1" s="224"/>
      <c r="LCY1" s="224"/>
      <c r="LCZ1" s="224"/>
      <c r="LDA1" s="224"/>
      <c r="LDB1" s="224"/>
      <c r="LDC1" s="224"/>
      <c r="LDD1" s="224"/>
      <c r="LDE1" s="224"/>
      <c r="LDF1" s="224"/>
      <c r="LDG1" s="224"/>
      <c r="LDH1" s="224"/>
      <c r="LDI1" s="224"/>
      <c r="LDJ1" s="224"/>
      <c r="LDK1" s="224"/>
      <c r="LDL1" s="224"/>
      <c r="LDM1" s="224"/>
      <c r="LDN1" s="224"/>
      <c r="LDO1" s="224"/>
      <c r="LDP1" s="224"/>
      <c r="LDQ1" s="224"/>
      <c r="LDR1" s="224"/>
      <c r="LDS1" s="224"/>
      <c r="LDT1" s="224"/>
      <c r="LDU1" s="224"/>
      <c r="LDV1" s="224"/>
      <c r="LDW1" s="224"/>
      <c r="LDX1" s="224"/>
      <c r="LDY1" s="224"/>
      <c r="LDZ1" s="224"/>
      <c r="LEA1" s="224"/>
      <c r="LEB1" s="224"/>
      <c r="LEC1" s="224"/>
      <c r="LED1" s="224"/>
      <c r="LEE1" s="224"/>
      <c r="LEF1" s="224"/>
      <c r="LEG1" s="224"/>
      <c r="LEH1" s="224"/>
      <c r="LEI1" s="224"/>
      <c r="LEJ1" s="224"/>
      <c r="LEK1" s="224"/>
      <c r="LEL1" s="224"/>
      <c r="LEM1" s="224"/>
      <c r="LEN1" s="224"/>
      <c r="LEO1" s="224"/>
      <c r="LEP1" s="224"/>
      <c r="LEQ1" s="224"/>
      <c r="LER1" s="224"/>
      <c r="LES1" s="224"/>
      <c r="LET1" s="224"/>
      <c r="LEU1" s="224"/>
      <c r="LEV1" s="224"/>
      <c r="LEW1" s="224"/>
      <c r="LEX1" s="224"/>
      <c r="LEY1" s="224"/>
      <c r="LEZ1" s="224"/>
      <c r="LFA1" s="224"/>
      <c r="LFB1" s="224"/>
      <c r="LFC1" s="224"/>
      <c r="LFD1" s="224"/>
      <c r="LFE1" s="224"/>
      <c r="LFF1" s="224"/>
      <c r="LFG1" s="224"/>
      <c r="LFH1" s="224"/>
      <c r="LFI1" s="224"/>
      <c r="LFJ1" s="224"/>
      <c r="LFK1" s="224"/>
      <c r="LFL1" s="224"/>
      <c r="LFM1" s="224"/>
      <c r="LFN1" s="224"/>
      <c r="LFO1" s="224"/>
      <c r="LFP1" s="224"/>
      <c r="LFQ1" s="224"/>
      <c r="LFR1" s="224"/>
      <c r="LFS1" s="224"/>
      <c r="LFT1" s="224"/>
      <c r="LFU1" s="224"/>
      <c r="LFV1" s="224"/>
      <c r="LFW1" s="224"/>
      <c r="LFX1" s="224"/>
      <c r="LFY1" s="224"/>
      <c r="LFZ1" s="224"/>
      <c r="LGA1" s="224"/>
      <c r="LGB1" s="224"/>
      <c r="LGC1" s="224"/>
      <c r="LGD1" s="224"/>
      <c r="LGE1" s="224"/>
      <c r="LGF1" s="224"/>
      <c r="LGG1" s="224"/>
      <c r="LGH1" s="224"/>
      <c r="LGI1" s="224"/>
      <c r="LGJ1" s="224"/>
      <c r="LGK1" s="224"/>
      <c r="LGL1" s="224"/>
      <c r="LGM1" s="224"/>
      <c r="LGN1" s="224"/>
      <c r="LGO1" s="224"/>
      <c r="LGP1" s="224"/>
      <c r="LGQ1" s="224"/>
      <c r="LGR1" s="224"/>
      <c r="LGS1" s="224"/>
      <c r="LGT1" s="224"/>
      <c r="LGU1" s="224"/>
      <c r="LGV1" s="224"/>
      <c r="LGW1" s="224"/>
      <c r="LGX1" s="224"/>
      <c r="LGY1" s="224"/>
      <c r="LGZ1" s="224"/>
      <c r="LHA1" s="224"/>
      <c r="LHB1" s="224"/>
      <c r="LHC1" s="224"/>
      <c r="LHD1" s="224"/>
      <c r="LHE1" s="224"/>
      <c r="LHF1" s="224"/>
      <c r="LHG1" s="224"/>
      <c r="LHH1" s="224"/>
      <c r="LHI1" s="224"/>
      <c r="LHJ1" s="224"/>
      <c r="LHK1" s="224"/>
      <c r="LHL1" s="224"/>
      <c r="LHM1" s="224"/>
      <c r="LHN1" s="224"/>
      <c r="LHO1" s="224"/>
      <c r="LHP1" s="224"/>
      <c r="LHQ1" s="224"/>
      <c r="LHR1" s="224"/>
      <c r="LHS1" s="224"/>
      <c r="LHT1" s="224"/>
      <c r="LHU1" s="224"/>
      <c r="LHV1" s="224"/>
      <c r="LHW1" s="224"/>
      <c r="LHX1" s="224"/>
      <c r="LHY1" s="224"/>
      <c r="LHZ1" s="224"/>
      <c r="LIA1" s="224"/>
      <c r="LIB1" s="224"/>
      <c r="LIC1" s="224"/>
      <c r="LID1" s="224"/>
      <c r="LIE1" s="224"/>
      <c r="LIF1" s="224"/>
      <c r="LIG1" s="224"/>
      <c r="LIH1" s="224"/>
      <c r="LII1" s="224"/>
      <c r="LIJ1" s="224"/>
      <c r="LIK1" s="224"/>
      <c r="LIL1" s="224"/>
      <c r="LIM1" s="224"/>
      <c r="LIN1" s="224"/>
      <c r="LIO1" s="224"/>
      <c r="LIP1" s="224"/>
      <c r="LIQ1" s="224"/>
      <c r="LIR1" s="224"/>
      <c r="LIS1" s="224"/>
      <c r="LIT1" s="224"/>
      <c r="LIU1" s="224"/>
      <c r="LIV1" s="224"/>
      <c r="LIW1" s="224"/>
      <c r="LIX1" s="224"/>
      <c r="LIY1" s="224"/>
      <c r="LIZ1" s="224"/>
      <c r="LJA1" s="224"/>
      <c r="LJB1" s="224"/>
      <c r="LJC1" s="224"/>
      <c r="LJD1" s="224"/>
      <c r="LJE1" s="224"/>
      <c r="LJF1" s="224"/>
      <c r="LJG1" s="224"/>
      <c r="LJH1" s="224"/>
      <c r="LJI1" s="224"/>
      <c r="LJJ1" s="224"/>
      <c r="LJK1" s="224"/>
      <c r="LJL1" s="224"/>
      <c r="LJM1" s="224"/>
      <c r="LJN1" s="224"/>
      <c r="LJO1" s="224"/>
      <c r="LJP1" s="224"/>
      <c r="LJQ1" s="224"/>
      <c r="LJR1" s="224"/>
      <c r="LJS1" s="224"/>
      <c r="LJT1" s="224"/>
      <c r="LJU1" s="224"/>
      <c r="LJV1" s="224"/>
      <c r="LJW1" s="224"/>
      <c r="LJX1" s="224"/>
      <c r="LJY1" s="224"/>
      <c r="LJZ1" s="224"/>
      <c r="LKA1" s="224"/>
      <c r="LKB1" s="224"/>
      <c r="LKC1" s="224"/>
      <c r="LKD1" s="224"/>
      <c r="LKE1" s="224"/>
      <c r="LKF1" s="224"/>
      <c r="LKG1" s="224"/>
      <c r="LKH1" s="224"/>
      <c r="LKI1" s="224"/>
      <c r="LKJ1" s="224"/>
      <c r="LKK1" s="224"/>
      <c r="LKL1" s="224"/>
      <c r="LKM1" s="224"/>
      <c r="LKN1" s="224"/>
      <c r="LKO1" s="224"/>
      <c r="LKP1" s="224"/>
      <c r="LKQ1" s="224"/>
      <c r="LKR1" s="224"/>
      <c r="LKS1" s="224"/>
      <c r="LKT1" s="224"/>
      <c r="LKU1" s="224"/>
      <c r="LKV1" s="224"/>
      <c r="LKW1" s="224"/>
      <c r="LKX1" s="224"/>
      <c r="LKY1" s="224"/>
      <c r="LKZ1" s="224"/>
      <c r="LLA1" s="224"/>
      <c r="LLB1" s="224"/>
      <c r="LLC1" s="224"/>
      <c r="LLD1" s="224"/>
      <c r="LLE1" s="224"/>
      <c r="LLF1" s="224"/>
      <c r="LLG1" s="224"/>
      <c r="LLH1" s="224"/>
      <c r="LLI1" s="224"/>
      <c r="LLJ1" s="224"/>
      <c r="LLK1" s="224"/>
      <c r="LLL1" s="224"/>
      <c r="LLM1" s="224"/>
      <c r="LLN1" s="224"/>
      <c r="LLO1" s="224"/>
      <c r="LLP1" s="224"/>
      <c r="LLQ1" s="224"/>
      <c r="LLR1" s="224"/>
      <c r="LLS1" s="224"/>
      <c r="LLT1" s="224"/>
      <c r="LLU1" s="224"/>
      <c r="LLV1" s="224"/>
      <c r="LLW1" s="224"/>
      <c r="LLX1" s="224"/>
      <c r="LLY1" s="224"/>
      <c r="LLZ1" s="224"/>
      <c r="LMA1" s="224"/>
      <c r="LMB1" s="224"/>
      <c r="LMC1" s="224"/>
      <c r="LMD1" s="224"/>
      <c r="LME1" s="224"/>
      <c r="LMF1" s="224"/>
      <c r="LMG1" s="224"/>
      <c r="LMH1" s="224"/>
      <c r="LMI1" s="224"/>
      <c r="LMJ1" s="224"/>
      <c r="LMK1" s="224"/>
      <c r="LML1" s="224"/>
      <c r="LMM1" s="224"/>
      <c r="LMN1" s="224"/>
      <c r="LMO1" s="224"/>
      <c r="LMP1" s="224"/>
      <c r="LMQ1" s="224"/>
      <c r="LMR1" s="224"/>
      <c r="LMS1" s="224"/>
      <c r="LMT1" s="224"/>
      <c r="LMU1" s="224"/>
      <c r="LMV1" s="224"/>
      <c r="LMW1" s="224"/>
      <c r="LMX1" s="224"/>
      <c r="LMY1" s="224"/>
      <c r="LMZ1" s="224"/>
      <c r="LNA1" s="224"/>
      <c r="LNB1" s="224"/>
      <c r="LNC1" s="224"/>
      <c r="LND1" s="224"/>
      <c r="LNE1" s="224"/>
      <c r="LNF1" s="224"/>
      <c r="LNG1" s="224"/>
      <c r="LNH1" s="224"/>
      <c r="LNI1" s="224"/>
      <c r="LNJ1" s="224"/>
      <c r="LNK1" s="224"/>
      <c r="LNL1" s="224"/>
      <c r="LNM1" s="224"/>
      <c r="LNN1" s="224"/>
      <c r="LNO1" s="224"/>
      <c r="LNP1" s="224"/>
      <c r="LNQ1" s="224"/>
      <c r="LNR1" s="224"/>
      <c r="LNS1" s="224"/>
      <c r="LNT1" s="224"/>
      <c r="LNU1" s="224"/>
      <c r="LNV1" s="224"/>
      <c r="LNW1" s="224"/>
      <c r="LNX1" s="224"/>
      <c r="LNY1" s="224"/>
      <c r="LNZ1" s="224"/>
      <c r="LOA1" s="224"/>
      <c r="LOB1" s="224"/>
      <c r="LOC1" s="224"/>
      <c r="LOD1" s="224"/>
      <c r="LOE1" s="224"/>
      <c r="LOF1" s="224"/>
      <c r="LOG1" s="224"/>
      <c r="LOH1" s="224"/>
      <c r="LOI1" s="224"/>
      <c r="LOJ1" s="224"/>
      <c r="LOK1" s="224"/>
      <c r="LOL1" s="224"/>
      <c r="LOM1" s="224"/>
      <c r="LON1" s="224"/>
      <c r="LOO1" s="224"/>
      <c r="LOP1" s="224"/>
      <c r="LOQ1" s="224"/>
      <c r="LOR1" s="224"/>
      <c r="LOS1" s="224"/>
      <c r="LOT1" s="224"/>
      <c r="LOU1" s="224"/>
      <c r="LOV1" s="224"/>
      <c r="LOW1" s="224"/>
      <c r="LOX1" s="224"/>
      <c r="LOY1" s="224"/>
      <c r="LOZ1" s="224"/>
      <c r="LPA1" s="224"/>
      <c r="LPB1" s="224"/>
      <c r="LPC1" s="224"/>
      <c r="LPD1" s="224"/>
      <c r="LPE1" s="224"/>
      <c r="LPF1" s="224"/>
      <c r="LPG1" s="224"/>
      <c r="LPH1" s="224"/>
      <c r="LPI1" s="224"/>
      <c r="LPJ1" s="224"/>
      <c r="LPK1" s="224"/>
      <c r="LPL1" s="224"/>
      <c r="LPM1" s="224"/>
      <c r="LPN1" s="224"/>
      <c r="LPO1" s="224"/>
      <c r="LPP1" s="224"/>
      <c r="LPQ1" s="224"/>
      <c r="LPR1" s="224"/>
      <c r="LPS1" s="224"/>
      <c r="LPT1" s="224"/>
      <c r="LPU1" s="224"/>
      <c r="LPV1" s="224"/>
      <c r="LPW1" s="224"/>
      <c r="LPX1" s="224"/>
      <c r="LPY1" s="224"/>
      <c r="LPZ1" s="224"/>
      <c r="LQA1" s="224"/>
      <c r="LQB1" s="224"/>
      <c r="LQC1" s="224"/>
      <c r="LQD1" s="224"/>
      <c r="LQE1" s="224"/>
      <c r="LQF1" s="224"/>
      <c r="LQG1" s="224"/>
      <c r="LQH1" s="224"/>
      <c r="LQI1" s="224"/>
      <c r="LQJ1" s="224"/>
      <c r="LQK1" s="224"/>
      <c r="LQL1" s="224"/>
      <c r="LQM1" s="224"/>
      <c r="LQN1" s="224"/>
      <c r="LQO1" s="224"/>
      <c r="LQP1" s="224"/>
      <c r="LQQ1" s="224"/>
      <c r="LQR1" s="224"/>
      <c r="LQS1" s="224"/>
      <c r="LQT1" s="224"/>
      <c r="LQU1" s="224"/>
      <c r="LQV1" s="224"/>
      <c r="LQW1" s="224"/>
      <c r="LQX1" s="224"/>
      <c r="LQY1" s="224"/>
      <c r="LQZ1" s="224"/>
      <c r="LRA1" s="224"/>
      <c r="LRB1" s="224"/>
      <c r="LRC1" s="224"/>
      <c r="LRD1" s="224"/>
      <c r="LRE1" s="224"/>
      <c r="LRF1" s="224"/>
      <c r="LRG1" s="224"/>
      <c r="LRH1" s="224"/>
      <c r="LRI1" s="224"/>
      <c r="LRJ1" s="224"/>
      <c r="LRK1" s="224"/>
      <c r="LRL1" s="224"/>
      <c r="LRM1" s="224"/>
      <c r="LRN1" s="224"/>
      <c r="LRO1" s="224"/>
      <c r="LRP1" s="224"/>
      <c r="LRQ1" s="224"/>
      <c r="LRR1" s="224"/>
      <c r="LRS1" s="224"/>
      <c r="LRT1" s="224"/>
      <c r="LRU1" s="224"/>
      <c r="LRV1" s="224"/>
      <c r="LRW1" s="224"/>
      <c r="LRX1" s="224"/>
      <c r="LRY1" s="224"/>
      <c r="LRZ1" s="224"/>
      <c r="LSA1" s="224"/>
      <c r="LSB1" s="224"/>
      <c r="LSC1" s="224"/>
      <c r="LSD1" s="224"/>
      <c r="LSE1" s="224"/>
      <c r="LSF1" s="224"/>
      <c r="LSG1" s="224"/>
      <c r="LSH1" s="224"/>
      <c r="LSI1" s="224"/>
      <c r="LSJ1" s="224"/>
      <c r="LSK1" s="224"/>
      <c r="LSL1" s="224"/>
      <c r="LSM1" s="224"/>
      <c r="LSN1" s="224"/>
      <c r="LSO1" s="224"/>
      <c r="LSP1" s="224"/>
      <c r="LSQ1" s="224"/>
      <c r="LSR1" s="224"/>
      <c r="LSS1" s="224"/>
      <c r="LST1" s="224"/>
      <c r="LSU1" s="224"/>
      <c r="LSV1" s="224"/>
      <c r="LSW1" s="224"/>
      <c r="LSX1" s="224"/>
      <c r="LSY1" s="224"/>
      <c r="LSZ1" s="224"/>
      <c r="LTA1" s="224"/>
      <c r="LTB1" s="224"/>
      <c r="LTC1" s="224"/>
      <c r="LTD1" s="224"/>
      <c r="LTE1" s="224"/>
      <c r="LTF1" s="224"/>
      <c r="LTG1" s="224"/>
      <c r="LTH1" s="224"/>
      <c r="LTI1" s="224"/>
      <c r="LTJ1" s="224"/>
      <c r="LTK1" s="224"/>
      <c r="LTL1" s="224"/>
      <c r="LTM1" s="224"/>
      <c r="LTN1" s="224"/>
      <c r="LTO1" s="224"/>
      <c r="LTP1" s="224"/>
      <c r="LTQ1" s="224"/>
      <c r="LTR1" s="224"/>
      <c r="LTS1" s="224"/>
      <c r="LTT1" s="224"/>
      <c r="LTU1" s="224"/>
      <c r="LTV1" s="224"/>
      <c r="LTW1" s="224"/>
      <c r="LTX1" s="224"/>
      <c r="LTY1" s="224"/>
      <c r="LTZ1" s="224"/>
      <c r="LUA1" s="224"/>
      <c r="LUB1" s="224"/>
      <c r="LUC1" s="224"/>
      <c r="LUD1" s="224"/>
      <c r="LUE1" s="224"/>
      <c r="LUF1" s="224"/>
      <c r="LUG1" s="224"/>
      <c r="LUH1" s="224"/>
      <c r="LUI1" s="224"/>
      <c r="LUJ1" s="224"/>
      <c r="LUK1" s="224"/>
      <c r="LUL1" s="224"/>
      <c r="LUM1" s="224"/>
      <c r="LUN1" s="224"/>
      <c r="LUO1" s="224"/>
      <c r="LUP1" s="224"/>
      <c r="LUQ1" s="224"/>
      <c r="LUR1" s="224"/>
      <c r="LUS1" s="224"/>
      <c r="LUT1" s="224"/>
      <c r="LUU1" s="224"/>
      <c r="LUV1" s="224"/>
      <c r="LUW1" s="224"/>
      <c r="LUX1" s="224"/>
      <c r="LUY1" s="224"/>
      <c r="LUZ1" s="224"/>
      <c r="LVA1" s="224"/>
      <c r="LVB1" s="224"/>
      <c r="LVC1" s="224"/>
      <c r="LVD1" s="224"/>
      <c r="LVE1" s="224"/>
      <c r="LVF1" s="224"/>
      <c r="LVG1" s="224"/>
      <c r="LVH1" s="224"/>
      <c r="LVI1" s="224"/>
      <c r="LVJ1" s="224"/>
      <c r="LVK1" s="224"/>
      <c r="LVL1" s="224"/>
      <c r="LVM1" s="224"/>
      <c r="LVN1" s="224"/>
      <c r="LVO1" s="224"/>
      <c r="LVP1" s="224"/>
      <c r="LVQ1" s="224"/>
      <c r="LVR1" s="224"/>
      <c r="LVS1" s="224"/>
      <c r="LVT1" s="224"/>
      <c r="LVU1" s="224"/>
      <c r="LVV1" s="224"/>
      <c r="LVW1" s="224"/>
      <c r="LVX1" s="224"/>
      <c r="LVY1" s="224"/>
      <c r="LVZ1" s="224"/>
      <c r="LWA1" s="224"/>
      <c r="LWB1" s="224"/>
      <c r="LWC1" s="224"/>
      <c r="LWD1" s="224"/>
      <c r="LWE1" s="224"/>
      <c r="LWF1" s="224"/>
      <c r="LWG1" s="224"/>
      <c r="LWH1" s="224"/>
      <c r="LWI1" s="224"/>
      <c r="LWJ1" s="224"/>
      <c r="LWK1" s="224"/>
      <c r="LWL1" s="224"/>
      <c r="LWM1" s="224"/>
      <c r="LWN1" s="224"/>
      <c r="LWO1" s="224"/>
      <c r="LWP1" s="224"/>
      <c r="LWQ1" s="224"/>
      <c r="LWR1" s="224"/>
      <c r="LWS1" s="224"/>
      <c r="LWT1" s="224"/>
      <c r="LWU1" s="224"/>
      <c r="LWV1" s="224"/>
      <c r="LWW1" s="224"/>
      <c r="LWX1" s="224"/>
      <c r="LWY1" s="224"/>
      <c r="LWZ1" s="224"/>
      <c r="LXA1" s="224"/>
      <c r="LXB1" s="224"/>
      <c r="LXC1" s="224"/>
      <c r="LXD1" s="224"/>
      <c r="LXE1" s="224"/>
      <c r="LXF1" s="224"/>
      <c r="LXG1" s="224"/>
      <c r="LXH1" s="224"/>
      <c r="LXI1" s="224"/>
      <c r="LXJ1" s="224"/>
      <c r="LXK1" s="224"/>
      <c r="LXL1" s="224"/>
      <c r="LXM1" s="224"/>
      <c r="LXN1" s="224"/>
      <c r="LXO1" s="224"/>
      <c r="LXP1" s="224"/>
      <c r="LXQ1" s="224"/>
      <c r="LXR1" s="224"/>
      <c r="LXS1" s="224"/>
      <c r="LXT1" s="224"/>
      <c r="LXU1" s="224"/>
      <c r="LXV1" s="224"/>
      <c r="LXW1" s="224"/>
      <c r="LXX1" s="224"/>
      <c r="LXY1" s="224"/>
      <c r="LXZ1" s="224"/>
      <c r="LYA1" s="224"/>
      <c r="LYB1" s="224"/>
      <c r="LYC1" s="224"/>
      <c r="LYD1" s="224"/>
      <c r="LYE1" s="224"/>
      <c r="LYF1" s="224"/>
      <c r="LYG1" s="224"/>
      <c r="LYH1" s="224"/>
      <c r="LYI1" s="224"/>
      <c r="LYJ1" s="224"/>
      <c r="LYK1" s="224"/>
      <c r="LYL1" s="224"/>
      <c r="LYM1" s="224"/>
      <c r="LYN1" s="224"/>
      <c r="LYO1" s="224"/>
      <c r="LYP1" s="224"/>
      <c r="LYQ1" s="224"/>
      <c r="LYR1" s="224"/>
      <c r="LYS1" s="224"/>
      <c r="LYT1" s="224"/>
      <c r="LYU1" s="224"/>
      <c r="LYV1" s="224"/>
      <c r="LYW1" s="224"/>
      <c r="LYX1" s="224"/>
      <c r="LYY1" s="224"/>
      <c r="LYZ1" s="224"/>
      <c r="LZA1" s="224"/>
      <c r="LZB1" s="224"/>
      <c r="LZC1" s="224"/>
      <c r="LZD1" s="224"/>
      <c r="LZE1" s="224"/>
      <c r="LZF1" s="224"/>
      <c r="LZG1" s="224"/>
      <c r="LZH1" s="224"/>
      <c r="LZI1" s="224"/>
      <c r="LZJ1" s="224"/>
      <c r="LZK1" s="224"/>
      <c r="LZL1" s="224"/>
      <c r="LZM1" s="224"/>
      <c r="LZN1" s="224"/>
      <c r="LZO1" s="224"/>
      <c r="LZP1" s="224"/>
      <c r="LZQ1" s="224"/>
      <c r="LZR1" s="224"/>
      <c r="LZS1" s="224"/>
      <c r="LZT1" s="224"/>
      <c r="LZU1" s="224"/>
      <c r="LZV1" s="224"/>
      <c r="LZW1" s="224"/>
      <c r="LZX1" s="224"/>
      <c r="LZY1" s="224"/>
      <c r="LZZ1" s="224"/>
      <c r="MAA1" s="224"/>
      <c r="MAB1" s="224"/>
      <c r="MAC1" s="224"/>
      <c r="MAD1" s="224"/>
      <c r="MAE1" s="224"/>
      <c r="MAF1" s="224"/>
      <c r="MAG1" s="224"/>
      <c r="MAH1" s="224"/>
      <c r="MAI1" s="224"/>
      <c r="MAJ1" s="224"/>
      <c r="MAK1" s="224"/>
      <c r="MAL1" s="224"/>
      <c r="MAM1" s="224"/>
      <c r="MAN1" s="224"/>
      <c r="MAO1" s="224"/>
      <c r="MAP1" s="224"/>
      <c r="MAQ1" s="224"/>
      <c r="MAR1" s="224"/>
      <c r="MAS1" s="224"/>
      <c r="MAT1" s="224"/>
      <c r="MAU1" s="224"/>
      <c r="MAV1" s="224"/>
      <c r="MAW1" s="224"/>
      <c r="MAX1" s="224"/>
      <c r="MAY1" s="224"/>
      <c r="MAZ1" s="224"/>
      <c r="MBA1" s="224"/>
      <c r="MBB1" s="224"/>
      <c r="MBC1" s="224"/>
      <c r="MBD1" s="224"/>
      <c r="MBE1" s="224"/>
      <c r="MBF1" s="224"/>
      <c r="MBG1" s="224"/>
      <c r="MBH1" s="224"/>
      <c r="MBI1" s="224"/>
      <c r="MBJ1" s="224"/>
      <c r="MBK1" s="224"/>
      <c r="MBL1" s="224"/>
      <c r="MBM1" s="224"/>
      <c r="MBN1" s="224"/>
      <c r="MBO1" s="224"/>
      <c r="MBP1" s="224"/>
      <c r="MBQ1" s="224"/>
      <c r="MBR1" s="224"/>
      <c r="MBS1" s="224"/>
      <c r="MBT1" s="224"/>
      <c r="MBU1" s="224"/>
      <c r="MBV1" s="224"/>
      <c r="MBW1" s="224"/>
      <c r="MBX1" s="224"/>
      <c r="MBY1" s="224"/>
      <c r="MBZ1" s="224"/>
      <c r="MCA1" s="224"/>
      <c r="MCB1" s="224"/>
      <c r="MCC1" s="224"/>
      <c r="MCD1" s="224"/>
      <c r="MCE1" s="224"/>
      <c r="MCF1" s="224"/>
      <c r="MCG1" s="224"/>
      <c r="MCH1" s="224"/>
      <c r="MCI1" s="224"/>
      <c r="MCJ1" s="224"/>
      <c r="MCK1" s="224"/>
      <c r="MCL1" s="224"/>
      <c r="MCM1" s="224"/>
      <c r="MCN1" s="224"/>
      <c r="MCO1" s="224"/>
      <c r="MCP1" s="224"/>
      <c r="MCQ1" s="224"/>
      <c r="MCR1" s="224"/>
      <c r="MCS1" s="224"/>
      <c r="MCT1" s="224"/>
      <c r="MCU1" s="224"/>
      <c r="MCV1" s="224"/>
      <c r="MCW1" s="224"/>
      <c r="MCX1" s="224"/>
      <c r="MCY1" s="224"/>
      <c r="MCZ1" s="224"/>
      <c r="MDA1" s="224"/>
      <c r="MDB1" s="224"/>
      <c r="MDC1" s="224"/>
      <c r="MDD1" s="224"/>
      <c r="MDE1" s="224"/>
      <c r="MDF1" s="224"/>
      <c r="MDG1" s="224"/>
      <c r="MDH1" s="224"/>
      <c r="MDI1" s="224"/>
      <c r="MDJ1" s="224"/>
      <c r="MDK1" s="224"/>
      <c r="MDL1" s="224"/>
      <c r="MDM1" s="224"/>
      <c r="MDN1" s="224"/>
      <c r="MDO1" s="224"/>
      <c r="MDP1" s="224"/>
      <c r="MDQ1" s="224"/>
      <c r="MDR1" s="224"/>
      <c r="MDS1" s="224"/>
      <c r="MDT1" s="224"/>
      <c r="MDU1" s="224"/>
      <c r="MDV1" s="224"/>
      <c r="MDW1" s="224"/>
      <c r="MDX1" s="224"/>
      <c r="MDY1" s="224"/>
      <c r="MDZ1" s="224"/>
      <c r="MEA1" s="224"/>
      <c r="MEB1" s="224"/>
      <c r="MEC1" s="224"/>
      <c r="MED1" s="224"/>
      <c r="MEE1" s="224"/>
      <c r="MEF1" s="224"/>
      <c r="MEG1" s="224"/>
      <c r="MEH1" s="224"/>
      <c r="MEI1" s="224"/>
      <c r="MEJ1" s="224"/>
      <c r="MEK1" s="224"/>
      <c r="MEL1" s="224"/>
      <c r="MEM1" s="224"/>
      <c r="MEN1" s="224"/>
      <c r="MEO1" s="224"/>
      <c r="MEP1" s="224"/>
      <c r="MEQ1" s="224"/>
      <c r="MER1" s="224"/>
      <c r="MES1" s="224"/>
      <c r="MET1" s="224"/>
      <c r="MEU1" s="224"/>
      <c r="MEV1" s="224"/>
      <c r="MEW1" s="224"/>
      <c r="MEX1" s="224"/>
      <c r="MEY1" s="224"/>
      <c r="MEZ1" s="224"/>
      <c r="MFA1" s="224"/>
      <c r="MFB1" s="224"/>
      <c r="MFC1" s="224"/>
      <c r="MFD1" s="224"/>
      <c r="MFE1" s="224"/>
      <c r="MFF1" s="224"/>
      <c r="MFG1" s="224"/>
      <c r="MFH1" s="224"/>
      <c r="MFI1" s="224"/>
      <c r="MFJ1" s="224"/>
      <c r="MFK1" s="224"/>
      <c r="MFL1" s="224"/>
      <c r="MFM1" s="224"/>
      <c r="MFN1" s="224"/>
      <c r="MFO1" s="224"/>
      <c r="MFP1" s="224"/>
      <c r="MFQ1" s="224"/>
      <c r="MFR1" s="224"/>
      <c r="MFS1" s="224"/>
      <c r="MFT1" s="224"/>
      <c r="MFU1" s="224"/>
      <c r="MFV1" s="224"/>
      <c r="MFW1" s="224"/>
      <c r="MFX1" s="224"/>
      <c r="MFY1" s="224"/>
      <c r="MFZ1" s="224"/>
      <c r="MGA1" s="224"/>
      <c r="MGB1" s="224"/>
      <c r="MGC1" s="224"/>
      <c r="MGD1" s="224"/>
      <c r="MGE1" s="224"/>
      <c r="MGF1" s="224"/>
      <c r="MGG1" s="224"/>
      <c r="MGH1" s="224"/>
      <c r="MGI1" s="224"/>
      <c r="MGJ1" s="224"/>
      <c r="MGK1" s="224"/>
      <c r="MGL1" s="224"/>
      <c r="MGM1" s="224"/>
      <c r="MGN1" s="224"/>
      <c r="MGO1" s="224"/>
      <c r="MGP1" s="224"/>
      <c r="MGQ1" s="224"/>
      <c r="MGR1" s="224"/>
      <c r="MGS1" s="224"/>
      <c r="MGT1" s="224"/>
      <c r="MGU1" s="224"/>
      <c r="MGV1" s="224"/>
      <c r="MGW1" s="224"/>
      <c r="MGX1" s="224"/>
      <c r="MGY1" s="224"/>
      <c r="MGZ1" s="224"/>
      <c r="MHA1" s="224"/>
      <c r="MHB1" s="224"/>
      <c r="MHC1" s="224"/>
      <c r="MHD1" s="224"/>
      <c r="MHE1" s="224"/>
      <c r="MHF1" s="224"/>
      <c r="MHG1" s="224"/>
      <c r="MHH1" s="224"/>
      <c r="MHI1" s="224"/>
      <c r="MHJ1" s="224"/>
      <c r="MHK1" s="224"/>
      <c r="MHL1" s="224"/>
      <c r="MHM1" s="224"/>
      <c r="MHN1" s="224"/>
      <c r="MHO1" s="224"/>
      <c r="MHP1" s="224"/>
      <c r="MHQ1" s="224"/>
      <c r="MHR1" s="224"/>
      <c r="MHS1" s="224"/>
      <c r="MHT1" s="224"/>
      <c r="MHU1" s="224"/>
      <c r="MHV1" s="224"/>
      <c r="MHW1" s="224"/>
      <c r="MHX1" s="224"/>
      <c r="MHY1" s="224"/>
      <c r="MHZ1" s="224"/>
      <c r="MIA1" s="224"/>
      <c r="MIB1" s="224"/>
      <c r="MIC1" s="224"/>
      <c r="MID1" s="224"/>
      <c r="MIE1" s="224"/>
      <c r="MIF1" s="224"/>
      <c r="MIG1" s="224"/>
      <c r="MIH1" s="224"/>
      <c r="MII1" s="224"/>
      <c r="MIJ1" s="224"/>
      <c r="MIK1" s="224"/>
      <c r="MIL1" s="224"/>
      <c r="MIM1" s="224"/>
      <c r="MIN1" s="224"/>
      <c r="MIO1" s="224"/>
      <c r="MIP1" s="224"/>
      <c r="MIQ1" s="224"/>
      <c r="MIR1" s="224"/>
      <c r="MIS1" s="224"/>
      <c r="MIT1" s="224"/>
      <c r="MIU1" s="224"/>
      <c r="MIV1" s="224"/>
      <c r="MIW1" s="224"/>
      <c r="MIX1" s="224"/>
      <c r="MIY1" s="224"/>
      <c r="MIZ1" s="224"/>
      <c r="MJA1" s="224"/>
      <c r="MJB1" s="224"/>
      <c r="MJC1" s="224"/>
      <c r="MJD1" s="224"/>
      <c r="MJE1" s="224"/>
      <c r="MJF1" s="224"/>
      <c r="MJG1" s="224"/>
      <c r="MJH1" s="224"/>
      <c r="MJI1" s="224"/>
      <c r="MJJ1" s="224"/>
      <c r="MJK1" s="224"/>
      <c r="MJL1" s="224"/>
      <c r="MJM1" s="224"/>
      <c r="MJN1" s="224"/>
      <c r="MJO1" s="224"/>
      <c r="MJP1" s="224"/>
      <c r="MJQ1" s="224"/>
      <c r="MJR1" s="224"/>
      <c r="MJS1" s="224"/>
      <c r="MJT1" s="224"/>
      <c r="MJU1" s="224"/>
      <c r="MJV1" s="224"/>
      <c r="MJW1" s="224"/>
      <c r="MJX1" s="224"/>
      <c r="MJY1" s="224"/>
      <c r="MJZ1" s="224"/>
      <c r="MKA1" s="224"/>
      <c r="MKB1" s="224"/>
      <c r="MKC1" s="224"/>
      <c r="MKD1" s="224"/>
      <c r="MKE1" s="224"/>
      <c r="MKF1" s="224"/>
      <c r="MKG1" s="224"/>
      <c r="MKH1" s="224"/>
      <c r="MKI1" s="224"/>
      <c r="MKJ1" s="224"/>
      <c r="MKK1" s="224"/>
      <c r="MKL1" s="224"/>
      <c r="MKM1" s="224"/>
      <c r="MKN1" s="224"/>
      <c r="MKO1" s="224"/>
      <c r="MKP1" s="224"/>
      <c r="MKQ1" s="224"/>
      <c r="MKR1" s="224"/>
      <c r="MKS1" s="224"/>
      <c r="MKT1" s="224"/>
      <c r="MKU1" s="224"/>
      <c r="MKV1" s="224"/>
      <c r="MKW1" s="224"/>
      <c r="MKX1" s="224"/>
      <c r="MKY1" s="224"/>
      <c r="MKZ1" s="224"/>
      <c r="MLA1" s="224"/>
      <c r="MLB1" s="224"/>
      <c r="MLC1" s="224"/>
      <c r="MLD1" s="224"/>
      <c r="MLE1" s="224"/>
      <c r="MLF1" s="224"/>
      <c r="MLG1" s="224"/>
      <c r="MLH1" s="224"/>
      <c r="MLI1" s="224"/>
      <c r="MLJ1" s="224"/>
      <c r="MLK1" s="224"/>
      <c r="MLL1" s="224"/>
      <c r="MLM1" s="224"/>
      <c r="MLN1" s="224"/>
      <c r="MLO1" s="224"/>
      <c r="MLP1" s="224"/>
      <c r="MLQ1" s="224"/>
      <c r="MLR1" s="224"/>
      <c r="MLS1" s="224"/>
      <c r="MLT1" s="224"/>
      <c r="MLU1" s="224"/>
      <c r="MLV1" s="224"/>
      <c r="MLW1" s="224"/>
      <c r="MLX1" s="224"/>
      <c r="MLY1" s="224"/>
      <c r="MLZ1" s="224"/>
      <c r="MMA1" s="224"/>
      <c r="MMB1" s="224"/>
      <c r="MMC1" s="224"/>
      <c r="MMD1" s="224"/>
      <c r="MME1" s="224"/>
      <c r="MMF1" s="224"/>
      <c r="MMG1" s="224"/>
      <c r="MMH1" s="224"/>
      <c r="MMI1" s="224"/>
      <c r="MMJ1" s="224"/>
      <c r="MMK1" s="224"/>
      <c r="MML1" s="224"/>
      <c r="MMM1" s="224"/>
      <c r="MMN1" s="224"/>
      <c r="MMO1" s="224"/>
      <c r="MMP1" s="224"/>
      <c r="MMQ1" s="224"/>
      <c r="MMR1" s="224"/>
      <c r="MMS1" s="224"/>
      <c r="MMT1" s="224"/>
      <c r="MMU1" s="224"/>
      <c r="MMV1" s="224"/>
      <c r="MMW1" s="224"/>
      <c r="MMX1" s="224"/>
      <c r="MMY1" s="224"/>
      <c r="MMZ1" s="224"/>
      <c r="MNA1" s="224"/>
      <c r="MNB1" s="224"/>
      <c r="MNC1" s="224"/>
      <c r="MND1" s="224"/>
      <c r="MNE1" s="224"/>
      <c r="MNF1" s="224"/>
      <c r="MNG1" s="224"/>
      <c r="MNH1" s="224"/>
      <c r="MNI1" s="224"/>
      <c r="MNJ1" s="224"/>
      <c r="MNK1" s="224"/>
      <c r="MNL1" s="224"/>
      <c r="MNM1" s="224"/>
      <c r="MNN1" s="224"/>
      <c r="MNO1" s="224"/>
      <c r="MNP1" s="224"/>
      <c r="MNQ1" s="224"/>
      <c r="MNR1" s="224"/>
      <c r="MNS1" s="224"/>
      <c r="MNT1" s="224"/>
      <c r="MNU1" s="224"/>
      <c r="MNV1" s="224"/>
      <c r="MNW1" s="224"/>
      <c r="MNX1" s="224"/>
      <c r="MNY1" s="224"/>
      <c r="MNZ1" s="224"/>
      <c r="MOA1" s="224"/>
      <c r="MOB1" s="224"/>
      <c r="MOC1" s="224"/>
      <c r="MOD1" s="224"/>
      <c r="MOE1" s="224"/>
      <c r="MOF1" s="224"/>
      <c r="MOG1" s="224"/>
      <c r="MOH1" s="224"/>
      <c r="MOI1" s="224"/>
      <c r="MOJ1" s="224"/>
      <c r="MOK1" s="224"/>
      <c r="MOL1" s="224"/>
      <c r="MOM1" s="224"/>
      <c r="MON1" s="224"/>
      <c r="MOO1" s="224"/>
      <c r="MOP1" s="224"/>
      <c r="MOQ1" s="224"/>
      <c r="MOR1" s="224"/>
      <c r="MOS1" s="224"/>
      <c r="MOT1" s="224"/>
      <c r="MOU1" s="224"/>
      <c r="MOV1" s="224"/>
      <c r="MOW1" s="224"/>
      <c r="MOX1" s="224"/>
      <c r="MOY1" s="224"/>
      <c r="MOZ1" s="224"/>
      <c r="MPA1" s="224"/>
      <c r="MPB1" s="224"/>
      <c r="MPC1" s="224"/>
      <c r="MPD1" s="224"/>
      <c r="MPE1" s="224"/>
      <c r="MPF1" s="224"/>
      <c r="MPG1" s="224"/>
      <c r="MPH1" s="224"/>
      <c r="MPI1" s="224"/>
      <c r="MPJ1" s="224"/>
      <c r="MPK1" s="224"/>
      <c r="MPL1" s="224"/>
      <c r="MPM1" s="224"/>
      <c r="MPN1" s="224"/>
      <c r="MPO1" s="224"/>
      <c r="MPP1" s="224"/>
      <c r="MPQ1" s="224"/>
      <c r="MPR1" s="224"/>
      <c r="MPS1" s="224"/>
      <c r="MPT1" s="224"/>
      <c r="MPU1" s="224"/>
      <c r="MPV1" s="224"/>
      <c r="MPW1" s="224"/>
      <c r="MPX1" s="224"/>
      <c r="MPY1" s="224"/>
      <c r="MPZ1" s="224"/>
      <c r="MQA1" s="224"/>
      <c r="MQB1" s="224"/>
      <c r="MQC1" s="224"/>
      <c r="MQD1" s="224"/>
      <c r="MQE1" s="224"/>
      <c r="MQF1" s="224"/>
      <c r="MQG1" s="224"/>
      <c r="MQH1" s="224"/>
      <c r="MQI1" s="224"/>
      <c r="MQJ1" s="224"/>
      <c r="MQK1" s="224"/>
      <c r="MQL1" s="224"/>
      <c r="MQM1" s="224"/>
      <c r="MQN1" s="224"/>
      <c r="MQO1" s="224"/>
      <c r="MQP1" s="224"/>
      <c r="MQQ1" s="224"/>
      <c r="MQR1" s="224"/>
      <c r="MQS1" s="224"/>
      <c r="MQT1" s="224"/>
      <c r="MQU1" s="224"/>
      <c r="MQV1" s="224"/>
      <c r="MQW1" s="224"/>
      <c r="MQX1" s="224"/>
      <c r="MQY1" s="224"/>
      <c r="MQZ1" s="224"/>
      <c r="MRA1" s="224"/>
      <c r="MRB1" s="224"/>
      <c r="MRC1" s="224"/>
      <c r="MRD1" s="224"/>
      <c r="MRE1" s="224"/>
      <c r="MRF1" s="224"/>
      <c r="MRG1" s="224"/>
      <c r="MRH1" s="224"/>
      <c r="MRI1" s="224"/>
      <c r="MRJ1" s="224"/>
      <c r="MRK1" s="224"/>
      <c r="MRL1" s="224"/>
      <c r="MRM1" s="224"/>
      <c r="MRN1" s="224"/>
      <c r="MRO1" s="224"/>
      <c r="MRP1" s="224"/>
      <c r="MRQ1" s="224"/>
      <c r="MRR1" s="224"/>
      <c r="MRS1" s="224"/>
      <c r="MRT1" s="224"/>
      <c r="MRU1" s="224"/>
      <c r="MRV1" s="224"/>
      <c r="MRW1" s="224"/>
      <c r="MRX1" s="224"/>
      <c r="MRY1" s="224"/>
      <c r="MRZ1" s="224"/>
      <c r="MSA1" s="224"/>
      <c r="MSB1" s="224"/>
      <c r="MSC1" s="224"/>
      <c r="MSD1" s="224"/>
      <c r="MSE1" s="224"/>
      <c r="MSF1" s="224"/>
      <c r="MSG1" s="224"/>
      <c r="MSH1" s="224"/>
      <c r="MSI1" s="224"/>
      <c r="MSJ1" s="224"/>
      <c r="MSK1" s="224"/>
      <c r="MSL1" s="224"/>
      <c r="MSM1" s="224"/>
      <c r="MSN1" s="224"/>
      <c r="MSO1" s="224"/>
      <c r="MSP1" s="224"/>
      <c r="MSQ1" s="224"/>
      <c r="MSR1" s="224"/>
      <c r="MSS1" s="224"/>
      <c r="MST1" s="224"/>
      <c r="MSU1" s="224"/>
      <c r="MSV1" s="224"/>
      <c r="MSW1" s="224"/>
      <c r="MSX1" s="224"/>
      <c r="MSY1" s="224"/>
      <c r="MSZ1" s="224"/>
      <c r="MTA1" s="224"/>
      <c r="MTB1" s="224"/>
      <c r="MTC1" s="224"/>
      <c r="MTD1" s="224"/>
      <c r="MTE1" s="224"/>
      <c r="MTF1" s="224"/>
      <c r="MTG1" s="224"/>
      <c r="MTH1" s="224"/>
      <c r="MTI1" s="224"/>
      <c r="MTJ1" s="224"/>
      <c r="MTK1" s="224"/>
      <c r="MTL1" s="224"/>
      <c r="MTM1" s="224"/>
      <c r="MTN1" s="224"/>
      <c r="MTO1" s="224"/>
      <c r="MTP1" s="224"/>
      <c r="MTQ1" s="224"/>
      <c r="MTR1" s="224"/>
      <c r="MTS1" s="224"/>
      <c r="MTT1" s="224"/>
      <c r="MTU1" s="224"/>
      <c r="MTV1" s="224"/>
      <c r="MTW1" s="224"/>
      <c r="MTX1" s="224"/>
      <c r="MTY1" s="224"/>
      <c r="MTZ1" s="224"/>
      <c r="MUA1" s="224"/>
      <c r="MUB1" s="224"/>
      <c r="MUC1" s="224"/>
      <c r="MUD1" s="224"/>
      <c r="MUE1" s="224"/>
      <c r="MUF1" s="224"/>
      <c r="MUG1" s="224"/>
      <c r="MUH1" s="224"/>
      <c r="MUI1" s="224"/>
      <c r="MUJ1" s="224"/>
      <c r="MUK1" s="224"/>
      <c r="MUL1" s="224"/>
      <c r="MUM1" s="224"/>
      <c r="MUN1" s="224"/>
      <c r="MUO1" s="224"/>
      <c r="MUP1" s="224"/>
      <c r="MUQ1" s="224"/>
      <c r="MUR1" s="224"/>
      <c r="MUS1" s="224"/>
      <c r="MUT1" s="224"/>
      <c r="MUU1" s="224"/>
      <c r="MUV1" s="224"/>
      <c r="MUW1" s="224"/>
      <c r="MUX1" s="224"/>
      <c r="MUY1" s="224"/>
      <c r="MUZ1" s="224"/>
      <c r="MVA1" s="224"/>
      <c r="MVB1" s="224"/>
      <c r="MVC1" s="224"/>
      <c r="MVD1" s="224"/>
      <c r="MVE1" s="224"/>
      <c r="MVF1" s="224"/>
      <c r="MVG1" s="224"/>
      <c r="MVH1" s="224"/>
      <c r="MVI1" s="224"/>
      <c r="MVJ1" s="224"/>
      <c r="MVK1" s="224"/>
      <c r="MVL1" s="224"/>
      <c r="MVM1" s="224"/>
      <c r="MVN1" s="224"/>
      <c r="MVO1" s="224"/>
      <c r="MVP1" s="224"/>
      <c r="MVQ1" s="224"/>
      <c r="MVR1" s="224"/>
      <c r="MVS1" s="224"/>
      <c r="MVT1" s="224"/>
      <c r="MVU1" s="224"/>
      <c r="MVV1" s="224"/>
      <c r="MVW1" s="224"/>
      <c r="MVX1" s="224"/>
      <c r="MVY1" s="224"/>
      <c r="MVZ1" s="224"/>
      <c r="MWA1" s="224"/>
      <c r="MWB1" s="224"/>
      <c r="MWC1" s="224"/>
      <c r="MWD1" s="224"/>
      <c r="MWE1" s="224"/>
      <c r="MWF1" s="224"/>
      <c r="MWG1" s="224"/>
      <c r="MWH1" s="224"/>
      <c r="MWI1" s="224"/>
      <c r="MWJ1" s="224"/>
      <c r="MWK1" s="224"/>
      <c r="MWL1" s="224"/>
      <c r="MWM1" s="224"/>
      <c r="MWN1" s="224"/>
      <c r="MWO1" s="224"/>
      <c r="MWP1" s="224"/>
      <c r="MWQ1" s="224"/>
      <c r="MWR1" s="224"/>
      <c r="MWS1" s="224"/>
      <c r="MWT1" s="224"/>
      <c r="MWU1" s="224"/>
      <c r="MWV1" s="224"/>
      <c r="MWW1" s="224"/>
      <c r="MWX1" s="224"/>
      <c r="MWY1" s="224"/>
      <c r="MWZ1" s="224"/>
      <c r="MXA1" s="224"/>
      <c r="MXB1" s="224"/>
      <c r="MXC1" s="224"/>
      <c r="MXD1" s="224"/>
      <c r="MXE1" s="224"/>
      <c r="MXF1" s="224"/>
      <c r="MXG1" s="224"/>
      <c r="MXH1" s="224"/>
      <c r="MXI1" s="224"/>
      <c r="MXJ1" s="224"/>
      <c r="MXK1" s="224"/>
      <c r="MXL1" s="224"/>
      <c r="MXM1" s="224"/>
      <c r="MXN1" s="224"/>
      <c r="MXO1" s="224"/>
      <c r="MXP1" s="224"/>
      <c r="MXQ1" s="224"/>
      <c r="MXR1" s="224"/>
      <c r="MXS1" s="224"/>
      <c r="MXT1" s="224"/>
      <c r="MXU1" s="224"/>
      <c r="MXV1" s="224"/>
      <c r="MXW1" s="224"/>
      <c r="MXX1" s="224"/>
      <c r="MXY1" s="224"/>
      <c r="MXZ1" s="224"/>
      <c r="MYA1" s="224"/>
      <c r="MYB1" s="224"/>
      <c r="MYC1" s="224"/>
      <c r="MYD1" s="224"/>
      <c r="MYE1" s="224"/>
      <c r="MYF1" s="224"/>
      <c r="MYG1" s="224"/>
      <c r="MYH1" s="224"/>
      <c r="MYI1" s="224"/>
      <c r="MYJ1" s="224"/>
      <c r="MYK1" s="224"/>
      <c r="MYL1" s="224"/>
      <c r="MYM1" s="224"/>
      <c r="MYN1" s="224"/>
      <c r="MYO1" s="224"/>
      <c r="MYP1" s="224"/>
      <c r="MYQ1" s="224"/>
      <c r="MYR1" s="224"/>
      <c r="MYS1" s="224"/>
      <c r="MYT1" s="224"/>
      <c r="MYU1" s="224"/>
      <c r="MYV1" s="224"/>
      <c r="MYW1" s="224"/>
      <c r="MYX1" s="224"/>
      <c r="MYY1" s="224"/>
      <c r="MYZ1" s="224"/>
      <c r="MZA1" s="224"/>
      <c r="MZB1" s="224"/>
      <c r="MZC1" s="224"/>
      <c r="MZD1" s="224"/>
      <c r="MZE1" s="224"/>
      <c r="MZF1" s="224"/>
      <c r="MZG1" s="224"/>
      <c r="MZH1" s="224"/>
      <c r="MZI1" s="224"/>
      <c r="MZJ1" s="224"/>
      <c r="MZK1" s="224"/>
      <c r="MZL1" s="224"/>
      <c r="MZM1" s="224"/>
      <c r="MZN1" s="224"/>
      <c r="MZO1" s="224"/>
      <c r="MZP1" s="224"/>
      <c r="MZQ1" s="224"/>
      <c r="MZR1" s="224"/>
      <c r="MZS1" s="224"/>
      <c r="MZT1" s="224"/>
      <c r="MZU1" s="224"/>
      <c r="MZV1" s="224"/>
      <c r="MZW1" s="224"/>
      <c r="MZX1" s="224"/>
      <c r="MZY1" s="224"/>
      <c r="MZZ1" s="224"/>
      <c r="NAA1" s="224"/>
      <c r="NAB1" s="224"/>
      <c r="NAC1" s="224"/>
      <c r="NAD1" s="224"/>
      <c r="NAE1" s="224"/>
      <c r="NAF1" s="224"/>
      <c r="NAG1" s="224"/>
      <c r="NAH1" s="224"/>
      <c r="NAI1" s="224"/>
      <c r="NAJ1" s="224"/>
      <c r="NAK1" s="224"/>
      <c r="NAL1" s="224"/>
      <c r="NAM1" s="224"/>
      <c r="NAN1" s="224"/>
      <c r="NAO1" s="224"/>
      <c r="NAP1" s="224"/>
      <c r="NAQ1" s="224"/>
      <c r="NAR1" s="224"/>
      <c r="NAS1" s="224"/>
      <c r="NAT1" s="224"/>
      <c r="NAU1" s="224"/>
      <c r="NAV1" s="224"/>
      <c r="NAW1" s="224"/>
      <c r="NAX1" s="224"/>
      <c r="NAY1" s="224"/>
      <c r="NAZ1" s="224"/>
      <c r="NBA1" s="224"/>
      <c r="NBB1" s="224"/>
      <c r="NBC1" s="224"/>
      <c r="NBD1" s="224"/>
      <c r="NBE1" s="224"/>
      <c r="NBF1" s="224"/>
      <c r="NBG1" s="224"/>
      <c r="NBH1" s="224"/>
      <c r="NBI1" s="224"/>
      <c r="NBJ1" s="224"/>
      <c r="NBK1" s="224"/>
      <c r="NBL1" s="224"/>
      <c r="NBM1" s="224"/>
      <c r="NBN1" s="224"/>
      <c r="NBO1" s="224"/>
      <c r="NBP1" s="224"/>
      <c r="NBQ1" s="224"/>
      <c r="NBR1" s="224"/>
      <c r="NBS1" s="224"/>
      <c r="NBT1" s="224"/>
      <c r="NBU1" s="224"/>
      <c r="NBV1" s="224"/>
      <c r="NBW1" s="224"/>
      <c r="NBX1" s="224"/>
      <c r="NBY1" s="224"/>
      <c r="NBZ1" s="224"/>
      <c r="NCA1" s="224"/>
      <c r="NCB1" s="224"/>
      <c r="NCC1" s="224"/>
      <c r="NCD1" s="224"/>
      <c r="NCE1" s="224"/>
      <c r="NCF1" s="224"/>
      <c r="NCG1" s="224"/>
      <c r="NCH1" s="224"/>
      <c r="NCI1" s="224"/>
      <c r="NCJ1" s="224"/>
      <c r="NCK1" s="224"/>
      <c r="NCL1" s="224"/>
      <c r="NCM1" s="224"/>
      <c r="NCN1" s="224"/>
      <c r="NCO1" s="224"/>
      <c r="NCP1" s="224"/>
      <c r="NCQ1" s="224"/>
      <c r="NCR1" s="224"/>
      <c r="NCS1" s="224"/>
      <c r="NCT1" s="224"/>
      <c r="NCU1" s="224"/>
      <c r="NCV1" s="224"/>
      <c r="NCW1" s="224"/>
      <c r="NCX1" s="224"/>
      <c r="NCY1" s="224"/>
      <c r="NCZ1" s="224"/>
      <c r="NDA1" s="224"/>
      <c r="NDB1" s="224"/>
      <c r="NDC1" s="224"/>
      <c r="NDD1" s="224"/>
      <c r="NDE1" s="224"/>
      <c r="NDF1" s="224"/>
      <c r="NDG1" s="224"/>
      <c r="NDH1" s="224"/>
      <c r="NDI1" s="224"/>
      <c r="NDJ1" s="224"/>
      <c r="NDK1" s="224"/>
      <c r="NDL1" s="224"/>
      <c r="NDM1" s="224"/>
      <c r="NDN1" s="224"/>
      <c r="NDO1" s="224"/>
      <c r="NDP1" s="224"/>
      <c r="NDQ1" s="224"/>
      <c r="NDR1" s="224"/>
      <c r="NDS1" s="224"/>
      <c r="NDT1" s="224"/>
      <c r="NDU1" s="224"/>
      <c r="NDV1" s="224"/>
      <c r="NDW1" s="224"/>
      <c r="NDX1" s="224"/>
      <c r="NDY1" s="224"/>
      <c r="NDZ1" s="224"/>
      <c r="NEA1" s="224"/>
      <c r="NEB1" s="224"/>
      <c r="NEC1" s="224"/>
      <c r="NED1" s="224"/>
      <c r="NEE1" s="224"/>
      <c r="NEF1" s="224"/>
      <c r="NEG1" s="224"/>
      <c r="NEH1" s="224"/>
      <c r="NEI1" s="224"/>
      <c r="NEJ1" s="224"/>
      <c r="NEK1" s="224"/>
      <c r="NEL1" s="224"/>
      <c r="NEM1" s="224"/>
      <c r="NEN1" s="224"/>
      <c r="NEO1" s="224"/>
      <c r="NEP1" s="224"/>
      <c r="NEQ1" s="224"/>
      <c r="NER1" s="224"/>
      <c r="NES1" s="224"/>
      <c r="NET1" s="224"/>
      <c r="NEU1" s="224"/>
      <c r="NEV1" s="224"/>
      <c r="NEW1" s="224"/>
      <c r="NEX1" s="224"/>
      <c r="NEY1" s="224"/>
      <c r="NEZ1" s="224"/>
      <c r="NFA1" s="224"/>
      <c r="NFB1" s="224"/>
      <c r="NFC1" s="224"/>
      <c r="NFD1" s="224"/>
      <c r="NFE1" s="224"/>
      <c r="NFF1" s="224"/>
      <c r="NFG1" s="224"/>
      <c r="NFH1" s="224"/>
      <c r="NFI1" s="224"/>
      <c r="NFJ1" s="224"/>
      <c r="NFK1" s="224"/>
      <c r="NFL1" s="224"/>
      <c r="NFM1" s="224"/>
      <c r="NFN1" s="224"/>
      <c r="NFO1" s="224"/>
      <c r="NFP1" s="224"/>
      <c r="NFQ1" s="224"/>
      <c r="NFR1" s="224"/>
      <c r="NFS1" s="224"/>
      <c r="NFT1" s="224"/>
      <c r="NFU1" s="224"/>
      <c r="NFV1" s="224"/>
      <c r="NFW1" s="224"/>
      <c r="NFX1" s="224"/>
      <c r="NFY1" s="224"/>
      <c r="NFZ1" s="224"/>
      <c r="NGA1" s="224"/>
      <c r="NGB1" s="224"/>
      <c r="NGC1" s="224"/>
      <c r="NGD1" s="224"/>
      <c r="NGE1" s="224"/>
      <c r="NGF1" s="224"/>
      <c r="NGG1" s="224"/>
      <c r="NGH1" s="224"/>
      <c r="NGI1" s="224"/>
      <c r="NGJ1" s="224"/>
      <c r="NGK1" s="224"/>
      <c r="NGL1" s="224"/>
      <c r="NGM1" s="224"/>
      <c r="NGN1" s="224"/>
      <c r="NGO1" s="224"/>
      <c r="NGP1" s="224"/>
      <c r="NGQ1" s="224"/>
      <c r="NGR1" s="224"/>
      <c r="NGS1" s="224"/>
      <c r="NGT1" s="224"/>
      <c r="NGU1" s="224"/>
      <c r="NGV1" s="224"/>
      <c r="NGW1" s="224"/>
      <c r="NGX1" s="224"/>
      <c r="NGY1" s="224"/>
      <c r="NGZ1" s="224"/>
      <c r="NHA1" s="224"/>
      <c r="NHB1" s="224"/>
      <c r="NHC1" s="224"/>
      <c r="NHD1" s="224"/>
      <c r="NHE1" s="224"/>
      <c r="NHF1" s="224"/>
      <c r="NHG1" s="224"/>
      <c r="NHH1" s="224"/>
      <c r="NHI1" s="224"/>
      <c r="NHJ1" s="224"/>
      <c r="NHK1" s="224"/>
      <c r="NHL1" s="224"/>
      <c r="NHM1" s="224"/>
      <c r="NHN1" s="224"/>
      <c r="NHO1" s="224"/>
      <c r="NHP1" s="224"/>
      <c r="NHQ1" s="224"/>
      <c r="NHR1" s="224"/>
      <c r="NHS1" s="224"/>
      <c r="NHT1" s="224"/>
      <c r="NHU1" s="224"/>
      <c r="NHV1" s="224"/>
      <c r="NHW1" s="224"/>
      <c r="NHX1" s="224"/>
      <c r="NHY1" s="224"/>
      <c r="NHZ1" s="224"/>
      <c r="NIA1" s="224"/>
      <c r="NIB1" s="224"/>
      <c r="NIC1" s="224"/>
      <c r="NID1" s="224"/>
      <c r="NIE1" s="224"/>
      <c r="NIF1" s="224"/>
      <c r="NIG1" s="224"/>
      <c r="NIH1" s="224"/>
      <c r="NII1" s="224"/>
      <c r="NIJ1" s="224"/>
      <c r="NIK1" s="224"/>
      <c r="NIL1" s="224"/>
      <c r="NIM1" s="224"/>
      <c r="NIN1" s="224"/>
      <c r="NIO1" s="224"/>
      <c r="NIP1" s="224"/>
      <c r="NIQ1" s="224"/>
      <c r="NIR1" s="224"/>
      <c r="NIS1" s="224"/>
      <c r="NIT1" s="224"/>
      <c r="NIU1" s="224"/>
      <c r="NIV1" s="224"/>
      <c r="NIW1" s="224"/>
      <c r="NIX1" s="224"/>
      <c r="NIY1" s="224"/>
      <c r="NIZ1" s="224"/>
      <c r="NJA1" s="224"/>
      <c r="NJB1" s="224"/>
      <c r="NJC1" s="224"/>
      <c r="NJD1" s="224"/>
      <c r="NJE1" s="224"/>
      <c r="NJF1" s="224"/>
      <c r="NJG1" s="224"/>
      <c r="NJH1" s="224"/>
      <c r="NJI1" s="224"/>
      <c r="NJJ1" s="224"/>
      <c r="NJK1" s="224"/>
      <c r="NJL1" s="224"/>
      <c r="NJM1" s="224"/>
      <c r="NJN1" s="224"/>
      <c r="NJO1" s="224"/>
      <c r="NJP1" s="224"/>
      <c r="NJQ1" s="224"/>
      <c r="NJR1" s="224"/>
      <c r="NJS1" s="224"/>
      <c r="NJT1" s="224"/>
      <c r="NJU1" s="224"/>
      <c r="NJV1" s="224"/>
      <c r="NJW1" s="224"/>
      <c r="NJX1" s="224"/>
      <c r="NJY1" s="224"/>
      <c r="NJZ1" s="224"/>
      <c r="NKA1" s="224"/>
      <c r="NKB1" s="224"/>
      <c r="NKC1" s="224"/>
      <c r="NKD1" s="224"/>
      <c r="NKE1" s="224"/>
      <c r="NKF1" s="224"/>
      <c r="NKG1" s="224"/>
      <c r="NKH1" s="224"/>
      <c r="NKI1" s="224"/>
      <c r="NKJ1" s="224"/>
      <c r="NKK1" s="224"/>
      <c r="NKL1" s="224"/>
      <c r="NKM1" s="224"/>
      <c r="NKN1" s="224"/>
      <c r="NKO1" s="224"/>
      <c r="NKP1" s="224"/>
      <c r="NKQ1" s="224"/>
      <c r="NKR1" s="224"/>
      <c r="NKS1" s="224"/>
      <c r="NKT1" s="224"/>
      <c r="NKU1" s="224"/>
      <c r="NKV1" s="224"/>
      <c r="NKW1" s="224"/>
      <c r="NKX1" s="224"/>
      <c r="NKY1" s="224"/>
      <c r="NKZ1" s="224"/>
      <c r="NLA1" s="224"/>
      <c r="NLB1" s="224"/>
      <c r="NLC1" s="224"/>
      <c r="NLD1" s="224"/>
      <c r="NLE1" s="224"/>
      <c r="NLF1" s="224"/>
      <c r="NLG1" s="224"/>
      <c r="NLH1" s="224"/>
      <c r="NLI1" s="224"/>
      <c r="NLJ1" s="224"/>
      <c r="NLK1" s="224"/>
      <c r="NLL1" s="224"/>
      <c r="NLM1" s="224"/>
      <c r="NLN1" s="224"/>
      <c r="NLO1" s="224"/>
      <c r="NLP1" s="224"/>
      <c r="NLQ1" s="224"/>
      <c r="NLR1" s="224"/>
      <c r="NLS1" s="224"/>
      <c r="NLT1" s="224"/>
      <c r="NLU1" s="224"/>
      <c r="NLV1" s="224"/>
      <c r="NLW1" s="224"/>
      <c r="NLX1" s="224"/>
      <c r="NLY1" s="224"/>
      <c r="NLZ1" s="224"/>
      <c r="NMA1" s="224"/>
      <c r="NMB1" s="224"/>
      <c r="NMC1" s="224"/>
      <c r="NMD1" s="224"/>
      <c r="NME1" s="224"/>
      <c r="NMF1" s="224"/>
      <c r="NMG1" s="224"/>
      <c r="NMH1" s="224"/>
      <c r="NMI1" s="224"/>
      <c r="NMJ1" s="224"/>
      <c r="NMK1" s="224"/>
      <c r="NML1" s="224"/>
      <c r="NMM1" s="224"/>
      <c r="NMN1" s="224"/>
      <c r="NMO1" s="224"/>
      <c r="NMP1" s="224"/>
      <c r="NMQ1" s="224"/>
      <c r="NMR1" s="224"/>
      <c r="NMS1" s="224"/>
      <c r="NMT1" s="224"/>
      <c r="NMU1" s="224"/>
      <c r="NMV1" s="224"/>
      <c r="NMW1" s="224"/>
      <c r="NMX1" s="224"/>
      <c r="NMY1" s="224"/>
      <c r="NMZ1" s="224"/>
      <c r="NNA1" s="224"/>
      <c r="NNB1" s="224"/>
      <c r="NNC1" s="224"/>
      <c r="NND1" s="224"/>
      <c r="NNE1" s="224"/>
      <c r="NNF1" s="224"/>
      <c r="NNG1" s="224"/>
      <c r="NNH1" s="224"/>
      <c r="NNI1" s="224"/>
      <c r="NNJ1" s="224"/>
      <c r="NNK1" s="224"/>
      <c r="NNL1" s="224"/>
      <c r="NNM1" s="224"/>
      <c r="NNN1" s="224"/>
      <c r="NNO1" s="224"/>
      <c r="NNP1" s="224"/>
      <c r="NNQ1" s="224"/>
      <c r="NNR1" s="224"/>
      <c r="NNS1" s="224"/>
      <c r="NNT1" s="224"/>
      <c r="NNU1" s="224"/>
      <c r="NNV1" s="224"/>
      <c r="NNW1" s="224"/>
      <c r="NNX1" s="224"/>
      <c r="NNY1" s="224"/>
      <c r="NNZ1" s="224"/>
      <c r="NOA1" s="224"/>
      <c r="NOB1" s="224"/>
      <c r="NOC1" s="224"/>
      <c r="NOD1" s="224"/>
      <c r="NOE1" s="224"/>
      <c r="NOF1" s="224"/>
      <c r="NOG1" s="224"/>
      <c r="NOH1" s="224"/>
      <c r="NOI1" s="224"/>
      <c r="NOJ1" s="224"/>
      <c r="NOK1" s="224"/>
      <c r="NOL1" s="224"/>
      <c r="NOM1" s="224"/>
      <c r="NON1" s="224"/>
      <c r="NOO1" s="224"/>
      <c r="NOP1" s="224"/>
      <c r="NOQ1" s="224"/>
      <c r="NOR1" s="224"/>
      <c r="NOS1" s="224"/>
      <c r="NOT1" s="224"/>
      <c r="NOU1" s="224"/>
      <c r="NOV1" s="224"/>
      <c r="NOW1" s="224"/>
      <c r="NOX1" s="224"/>
      <c r="NOY1" s="224"/>
      <c r="NOZ1" s="224"/>
      <c r="NPA1" s="224"/>
      <c r="NPB1" s="224"/>
      <c r="NPC1" s="224"/>
      <c r="NPD1" s="224"/>
      <c r="NPE1" s="224"/>
      <c r="NPF1" s="224"/>
      <c r="NPG1" s="224"/>
      <c r="NPH1" s="224"/>
      <c r="NPI1" s="224"/>
      <c r="NPJ1" s="224"/>
      <c r="NPK1" s="224"/>
      <c r="NPL1" s="224"/>
      <c r="NPM1" s="224"/>
      <c r="NPN1" s="224"/>
      <c r="NPO1" s="224"/>
      <c r="NPP1" s="224"/>
      <c r="NPQ1" s="224"/>
      <c r="NPR1" s="224"/>
      <c r="NPS1" s="224"/>
      <c r="NPT1" s="224"/>
      <c r="NPU1" s="224"/>
      <c r="NPV1" s="224"/>
      <c r="NPW1" s="224"/>
      <c r="NPX1" s="224"/>
      <c r="NPY1" s="224"/>
      <c r="NPZ1" s="224"/>
      <c r="NQA1" s="224"/>
      <c r="NQB1" s="224"/>
      <c r="NQC1" s="224"/>
      <c r="NQD1" s="224"/>
      <c r="NQE1" s="224"/>
      <c r="NQF1" s="224"/>
      <c r="NQG1" s="224"/>
      <c r="NQH1" s="224"/>
      <c r="NQI1" s="224"/>
      <c r="NQJ1" s="224"/>
      <c r="NQK1" s="224"/>
      <c r="NQL1" s="224"/>
      <c r="NQM1" s="224"/>
      <c r="NQN1" s="224"/>
      <c r="NQO1" s="224"/>
      <c r="NQP1" s="224"/>
      <c r="NQQ1" s="224"/>
      <c r="NQR1" s="224"/>
      <c r="NQS1" s="224"/>
      <c r="NQT1" s="224"/>
      <c r="NQU1" s="224"/>
      <c r="NQV1" s="224"/>
      <c r="NQW1" s="224"/>
      <c r="NQX1" s="224"/>
      <c r="NQY1" s="224"/>
      <c r="NQZ1" s="224"/>
      <c r="NRA1" s="224"/>
      <c r="NRB1" s="224"/>
      <c r="NRC1" s="224"/>
      <c r="NRD1" s="224"/>
      <c r="NRE1" s="224"/>
      <c r="NRF1" s="224"/>
      <c r="NRG1" s="224"/>
      <c r="NRH1" s="224"/>
      <c r="NRI1" s="224"/>
      <c r="NRJ1" s="224"/>
      <c r="NRK1" s="224"/>
      <c r="NRL1" s="224"/>
      <c r="NRM1" s="224"/>
      <c r="NRN1" s="224"/>
      <c r="NRO1" s="224"/>
      <c r="NRP1" s="224"/>
      <c r="NRQ1" s="224"/>
      <c r="NRR1" s="224"/>
      <c r="NRS1" s="224"/>
      <c r="NRT1" s="224"/>
      <c r="NRU1" s="224"/>
      <c r="NRV1" s="224"/>
      <c r="NRW1" s="224"/>
      <c r="NRX1" s="224"/>
      <c r="NRY1" s="224"/>
      <c r="NRZ1" s="224"/>
      <c r="NSA1" s="224"/>
      <c r="NSB1" s="224"/>
      <c r="NSC1" s="224"/>
      <c r="NSD1" s="224"/>
      <c r="NSE1" s="224"/>
      <c r="NSF1" s="224"/>
      <c r="NSG1" s="224"/>
      <c r="NSH1" s="224"/>
      <c r="NSI1" s="224"/>
      <c r="NSJ1" s="224"/>
      <c r="NSK1" s="224"/>
      <c r="NSL1" s="224"/>
      <c r="NSM1" s="224"/>
      <c r="NSN1" s="224"/>
      <c r="NSO1" s="224"/>
      <c r="NSP1" s="224"/>
      <c r="NSQ1" s="224"/>
      <c r="NSR1" s="224"/>
      <c r="NSS1" s="224"/>
      <c r="NST1" s="224"/>
      <c r="NSU1" s="224"/>
      <c r="NSV1" s="224"/>
      <c r="NSW1" s="224"/>
      <c r="NSX1" s="224"/>
      <c r="NSY1" s="224"/>
      <c r="NSZ1" s="224"/>
      <c r="NTA1" s="224"/>
      <c r="NTB1" s="224"/>
      <c r="NTC1" s="224"/>
      <c r="NTD1" s="224"/>
      <c r="NTE1" s="224"/>
      <c r="NTF1" s="224"/>
      <c r="NTG1" s="224"/>
      <c r="NTH1" s="224"/>
      <c r="NTI1" s="224"/>
      <c r="NTJ1" s="224"/>
      <c r="NTK1" s="224"/>
      <c r="NTL1" s="224"/>
      <c r="NTM1" s="224"/>
      <c r="NTN1" s="224"/>
      <c r="NTO1" s="224"/>
      <c r="NTP1" s="224"/>
      <c r="NTQ1" s="224"/>
      <c r="NTR1" s="224"/>
      <c r="NTS1" s="224"/>
      <c r="NTT1" s="224"/>
      <c r="NTU1" s="224"/>
      <c r="NTV1" s="224"/>
      <c r="NTW1" s="224"/>
      <c r="NTX1" s="224"/>
      <c r="NTY1" s="224"/>
      <c r="NTZ1" s="224"/>
      <c r="NUA1" s="224"/>
      <c r="NUB1" s="224"/>
      <c r="NUC1" s="224"/>
      <c r="NUD1" s="224"/>
      <c r="NUE1" s="224"/>
      <c r="NUF1" s="224"/>
      <c r="NUG1" s="224"/>
      <c r="NUH1" s="224"/>
      <c r="NUI1" s="224"/>
      <c r="NUJ1" s="224"/>
      <c r="NUK1" s="224"/>
      <c r="NUL1" s="224"/>
      <c r="NUM1" s="224"/>
      <c r="NUN1" s="224"/>
      <c r="NUO1" s="224"/>
      <c r="NUP1" s="224"/>
      <c r="NUQ1" s="224"/>
      <c r="NUR1" s="224"/>
      <c r="NUS1" s="224"/>
      <c r="NUT1" s="224"/>
      <c r="NUU1" s="224"/>
      <c r="NUV1" s="224"/>
      <c r="NUW1" s="224"/>
      <c r="NUX1" s="224"/>
      <c r="NUY1" s="224"/>
      <c r="NUZ1" s="224"/>
      <c r="NVA1" s="224"/>
      <c r="NVB1" s="224"/>
      <c r="NVC1" s="224"/>
      <c r="NVD1" s="224"/>
      <c r="NVE1" s="224"/>
      <c r="NVF1" s="224"/>
      <c r="NVG1" s="224"/>
      <c r="NVH1" s="224"/>
      <c r="NVI1" s="224"/>
      <c r="NVJ1" s="224"/>
      <c r="NVK1" s="224"/>
      <c r="NVL1" s="224"/>
      <c r="NVM1" s="224"/>
      <c r="NVN1" s="224"/>
      <c r="NVO1" s="224"/>
      <c r="NVP1" s="224"/>
      <c r="NVQ1" s="224"/>
      <c r="NVR1" s="224"/>
      <c r="NVS1" s="224"/>
      <c r="NVT1" s="224"/>
      <c r="NVU1" s="224"/>
      <c r="NVV1" s="224"/>
      <c r="NVW1" s="224"/>
      <c r="NVX1" s="224"/>
      <c r="NVY1" s="224"/>
      <c r="NVZ1" s="224"/>
      <c r="NWA1" s="224"/>
      <c r="NWB1" s="224"/>
      <c r="NWC1" s="224"/>
      <c r="NWD1" s="224"/>
      <c r="NWE1" s="224"/>
      <c r="NWF1" s="224"/>
      <c r="NWG1" s="224"/>
      <c r="NWH1" s="224"/>
      <c r="NWI1" s="224"/>
      <c r="NWJ1" s="224"/>
      <c r="NWK1" s="224"/>
      <c r="NWL1" s="224"/>
      <c r="NWM1" s="224"/>
      <c r="NWN1" s="224"/>
      <c r="NWO1" s="224"/>
      <c r="NWP1" s="224"/>
      <c r="NWQ1" s="224"/>
      <c r="NWR1" s="224"/>
      <c r="NWS1" s="224"/>
      <c r="NWT1" s="224"/>
      <c r="NWU1" s="224"/>
      <c r="NWV1" s="224"/>
      <c r="NWW1" s="224"/>
      <c r="NWX1" s="224"/>
      <c r="NWY1" s="224"/>
      <c r="NWZ1" s="224"/>
      <c r="NXA1" s="224"/>
      <c r="NXB1" s="224"/>
      <c r="NXC1" s="224"/>
      <c r="NXD1" s="224"/>
      <c r="NXE1" s="224"/>
      <c r="NXF1" s="224"/>
      <c r="NXG1" s="224"/>
      <c r="NXH1" s="224"/>
      <c r="NXI1" s="224"/>
      <c r="NXJ1" s="224"/>
      <c r="NXK1" s="224"/>
      <c r="NXL1" s="224"/>
      <c r="NXM1" s="224"/>
      <c r="NXN1" s="224"/>
      <c r="NXO1" s="224"/>
      <c r="NXP1" s="224"/>
      <c r="NXQ1" s="224"/>
      <c r="NXR1" s="224"/>
      <c r="NXS1" s="224"/>
      <c r="NXT1" s="224"/>
      <c r="NXU1" s="224"/>
      <c r="NXV1" s="224"/>
      <c r="NXW1" s="224"/>
      <c r="NXX1" s="224"/>
      <c r="NXY1" s="224"/>
      <c r="NXZ1" s="224"/>
      <c r="NYA1" s="224"/>
      <c r="NYB1" s="224"/>
      <c r="NYC1" s="224"/>
      <c r="NYD1" s="224"/>
      <c r="NYE1" s="224"/>
      <c r="NYF1" s="224"/>
      <c r="NYG1" s="224"/>
      <c r="NYH1" s="224"/>
      <c r="NYI1" s="224"/>
      <c r="NYJ1" s="224"/>
      <c r="NYK1" s="224"/>
      <c r="NYL1" s="224"/>
      <c r="NYM1" s="224"/>
      <c r="NYN1" s="224"/>
      <c r="NYO1" s="224"/>
      <c r="NYP1" s="224"/>
      <c r="NYQ1" s="224"/>
      <c r="NYR1" s="224"/>
      <c r="NYS1" s="224"/>
      <c r="NYT1" s="224"/>
      <c r="NYU1" s="224"/>
      <c r="NYV1" s="224"/>
      <c r="NYW1" s="224"/>
      <c r="NYX1" s="224"/>
      <c r="NYY1" s="224"/>
      <c r="NYZ1" s="224"/>
      <c r="NZA1" s="224"/>
      <c r="NZB1" s="224"/>
      <c r="NZC1" s="224"/>
      <c r="NZD1" s="224"/>
      <c r="NZE1" s="224"/>
      <c r="NZF1" s="224"/>
      <c r="NZG1" s="224"/>
      <c r="NZH1" s="224"/>
      <c r="NZI1" s="224"/>
      <c r="NZJ1" s="224"/>
      <c r="NZK1" s="224"/>
      <c r="NZL1" s="224"/>
      <c r="NZM1" s="224"/>
      <c r="NZN1" s="224"/>
      <c r="NZO1" s="224"/>
      <c r="NZP1" s="224"/>
      <c r="NZQ1" s="224"/>
      <c r="NZR1" s="224"/>
      <c r="NZS1" s="224"/>
      <c r="NZT1" s="224"/>
      <c r="NZU1" s="224"/>
      <c r="NZV1" s="224"/>
      <c r="NZW1" s="224"/>
      <c r="NZX1" s="224"/>
      <c r="NZY1" s="224"/>
      <c r="NZZ1" s="224"/>
      <c r="OAA1" s="224"/>
      <c r="OAB1" s="224"/>
      <c r="OAC1" s="224"/>
      <c r="OAD1" s="224"/>
      <c r="OAE1" s="224"/>
      <c r="OAF1" s="224"/>
      <c r="OAG1" s="224"/>
      <c r="OAH1" s="224"/>
      <c r="OAI1" s="224"/>
      <c r="OAJ1" s="224"/>
      <c r="OAK1" s="224"/>
      <c r="OAL1" s="224"/>
      <c r="OAM1" s="224"/>
      <c r="OAN1" s="224"/>
      <c r="OAO1" s="224"/>
      <c r="OAP1" s="224"/>
      <c r="OAQ1" s="224"/>
      <c r="OAR1" s="224"/>
      <c r="OAS1" s="224"/>
      <c r="OAT1" s="224"/>
      <c r="OAU1" s="224"/>
      <c r="OAV1" s="224"/>
      <c r="OAW1" s="224"/>
      <c r="OAX1" s="224"/>
      <c r="OAY1" s="224"/>
      <c r="OAZ1" s="224"/>
      <c r="OBA1" s="224"/>
      <c r="OBB1" s="224"/>
      <c r="OBC1" s="224"/>
      <c r="OBD1" s="224"/>
      <c r="OBE1" s="224"/>
      <c r="OBF1" s="224"/>
      <c r="OBG1" s="224"/>
      <c r="OBH1" s="224"/>
      <c r="OBI1" s="224"/>
      <c r="OBJ1" s="224"/>
      <c r="OBK1" s="224"/>
      <c r="OBL1" s="224"/>
      <c r="OBM1" s="224"/>
      <c r="OBN1" s="224"/>
      <c r="OBO1" s="224"/>
      <c r="OBP1" s="224"/>
      <c r="OBQ1" s="224"/>
      <c r="OBR1" s="224"/>
      <c r="OBS1" s="224"/>
      <c r="OBT1" s="224"/>
      <c r="OBU1" s="224"/>
      <c r="OBV1" s="224"/>
      <c r="OBW1" s="224"/>
      <c r="OBX1" s="224"/>
      <c r="OBY1" s="224"/>
      <c r="OBZ1" s="224"/>
      <c r="OCA1" s="224"/>
      <c r="OCB1" s="224"/>
      <c r="OCC1" s="224"/>
      <c r="OCD1" s="224"/>
      <c r="OCE1" s="224"/>
      <c r="OCF1" s="224"/>
      <c r="OCG1" s="224"/>
      <c r="OCH1" s="224"/>
      <c r="OCI1" s="224"/>
      <c r="OCJ1" s="224"/>
      <c r="OCK1" s="224"/>
      <c r="OCL1" s="224"/>
      <c r="OCM1" s="224"/>
      <c r="OCN1" s="224"/>
      <c r="OCO1" s="224"/>
      <c r="OCP1" s="224"/>
      <c r="OCQ1" s="224"/>
      <c r="OCR1" s="224"/>
      <c r="OCS1" s="224"/>
      <c r="OCT1" s="224"/>
      <c r="OCU1" s="224"/>
      <c r="OCV1" s="224"/>
      <c r="OCW1" s="224"/>
      <c r="OCX1" s="224"/>
      <c r="OCY1" s="224"/>
      <c r="OCZ1" s="224"/>
      <c r="ODA1" s="224"/>
      <c r="ODB1" s="224"/>
      <c r="ODC1" s="224"/>
      <c r="ODD1" s="224"/>
      <c r="ODE1" s="224"/>
      <c r="ODF1" s="224"/>
      <c r="ODG1" s="224"/>
      <c r="ODH1" s="224"/>
      <c r="ODI1" s="224"/>
      <c r="ODJ1" s="224"/>
      <c r="ODK1" s="224"/>
      <c r="ODL1" s="224"/>
      <c r="ODM1" s="224"/>
      <c r="ODN1" s="224"/>
      <c r="ODO1" s="224"/>
      <c r="ODP1" s="224"/>
      <c r="ODQ1" s="224"/>
      <c r="ODR1" s="224"/>
      <c r="ODS1" s="224"/>
      <c r="ODT1" s="224"/>
      <c r="ODU1" s="224"/>
      <c r="ODV1" s="224"/>
      <c r="ODW1" s="224"/>
      <c r="ODX1" s="224"/>
      <c r="ODY1" s="224"/>
      <c r="ODZ1" s="224"/>
      <c r="OEA1" s="224"/>
      <c r="OEB1" s="224"/>
      <c r="OEC1" s="224"/>
      <c r="OED1" s="224"/>
      <c r="OEE1" s="224"/>
      <c r="OEF1" s="224"/>
      <c r="OEG1" s="224"/>
      <c r="OEH1" s="224"/>
      <c r="OEI1" s="224"/>
      <c r="OEJ1" s="224"/>
      <c r="OEK1" s="224"/>
      <c r="OEL1" s="224"/>
      <c r="OEM1" s="224"/>
      <c r="OEN1" s="224"/>
      <c r="OEO1" s="224"/>
      <c r="OEP1" s="224"/>
      <c r="OEQ1" s="224"/>
      <c r="OER1" s="224"/>
      <c r="OES1" s="224"/>
      <c r="OET1" s="224"/>
      <c r="OEU1" s="224"/>
      <c r="OEV1" s="224"/>
      <c r="OEW1" s="224"/>
      <c r="OEX1" s="224"/>
      <c r="OEY1" s="224"/>
      <c r="OEZ1" s="224"/>
      <c r="OFA1" s="224"/>
      <c r="OFB1" s="224"/>
      <c r="OFC1" s="224"/>
      <c r="OFD1" s="224"/>
      <c r="OFE1" s="224"/>
      <c r="OFF1" s="224"/>
      <c r="OFG1" s="224"/>
      <c r="OFH1" s="224"/>
      <c r="OFI1" s="224"/>
      <c r="OFJ1" s="224"/>
      <c r="OFK1" s="224"/>
      <c r="OFL1" s="224"/>
      <c r="OFM1" s="224"/>
      <c r="OFN1" s="224"/>
      <c r="OFO1" s="224"/>
      <c r="OFP1" s="224"/>
      <c r="OFQ1" s="224"/>
      <c r="OFR1" s="224"/>
      <c r="OFS1" s="224"/>
      <c r="OFT1" s="224"/>
      <c r="OFU1" s="224"/>
      <c r="OFV1" s="224"/>
      <c r="OFW1" s="224"/>
      <c r="OFX1" s="224"/>
      <c r="OFY1" s="224"/>
      <c r="OFZ1" s="224"/>
      <c r="OGA1" s="224"/>
      <c r="OGB1" s="224"/>
      <c r="OGC1" s="224"/>
      <c r="OGD1" s="224"/>
      <c r="OGE1" s="224"/>
      <c r="OGF1" s="224"/>
      <c r="OGG1" s="224"/>
      <c r="OGH1" s="224"/>
      <c r="OGI1" s="224"/>
      <c r="OGJ1" s="224"/>
      <c r="OGK1" s="224"/>
      <c r="OGL1" s="224"/>
      <c r="OGM1" s="224"/>
      <c r="OGN1" s="224"/>
      <c r="OGO1" s="224"/>
      <c r="OGP1" s="224"/>
      <c r="OGQ1" s="224"/>
      <c r="OGR1" s="224"/>
      <c r="OGS1" s="224"/>
      <c r="OGT1" s="224"/>
      <c r="OGU1" s="224"/>
      <c r="OGV1" s="224"/>
      <c r="OGW1" s="224"/>
      <c r="OGX1" s="224"/>
      <c r="OGY1" s="224"/>
      <c r="OGZ1" s="224"/>
      <c r="OHA1" s="224"/>
      <c r="OHB1" s="224"/>
      <c r="OHC1" s="224"/>
      <c r="OHD1" s="224"/>
      <c r="OHE1" s="224"/>
      <c r="OHF1" s="224"/>
      <c r="OHG1" s="224"/>
      <c r="OHH1" s="224"/>
      <c r="OHI1" s="224"/>
      <c r="OHJ1" s="224"/>
      <c r="OHK1" s="224"/>
      <c r="OHL1" s="224"/>
      <c r="OHM1" s="224"/>
      <c r="OHN1" s="224"/>
      <c r="OHO1" s="224"/>
      <c r="OHP1" s="224"/>
      <c r="OHQ1" s="224"/>
      <c r="OHR1" s="224"/>
      <c r="OHS1" s="224"/>
      <c r="OHT1" s="224"/>
      <c r="OHU1" s="224"/>
      <c r="OHV1" s="224"/>
      <c r="OHW1" s="224"/>
      <c r="OHX1" s="224"/>
      <c r="OHY1" s="224"/>
      <c r="OHZ1" s="224"/>
      <c r="OIA1" s="224"/>
      <c r="OIB1" s="224"/>
      <c r="OIC1" s="224"/>
      <c r="OID1" s="224"/>
      <c r="OIE1" s="224"/>
      <c r="OIF1" s="224"/>
      <c r="OIG1" s="224"/>
      <c r="OIH1" s="224"/>
      <c r="OII1" s="224"/>
      <c r="OIJ1" s="224"/>
      <c r="OIK1" s="224"/>
      <c r="OIL1" s="224"/>
      <c r="OIM1" s="224"/>
      <c r="OIN1" s="224"/>
      <c r="OIO1" s="224"/>
      <c r="OIP1" s="224"/>
      <c r="OIQ1" s="224"/>
      <c r="OIR1" s="224"/>
      <c r="OIS1" s="224"/>
      <c r="OIT1" s="224"/>
      <c r="OIU1" s="224"/>
      <c r="OIV1" s="224"/>
      <c r="OIW1" s="224"/>
      <c r="OIX1" s="224"/>
      <c r="OIY1" s="224"/>
      <c r="OIZ1" s="224"/>
      <c r="OJA1" s="224"/>
      <c r="OJB1" s="224"/>
      <c r="OJC1" s="224"/>
      <c r="OJD1" s="224"/>
      <c r="OJE1" s="224"/>
      <c r="OJF1" s="224"/>
      <c r="OJG1" s="224"/>
      <c r="OJH1" s="224"/>
      <c r="OJI1" s="224"/>
      <c r="OJJ1" s="224"/>
      <c r="OJK1" s="224"/>
      <c r="OJL1" s="224"/>
      <c r="OJM1" s="224"/>
      <c r="OJN1" s="224"/>
      <c r="OJO1" s="224"/>
      <c r="OJP1" s="224"/>
      <c r="OJQ1" s="224"/>
      <c r="OJR1" s="224"/>
      <c r="OJS1" s="224"/>
      <c r="OJT1" s="224"/>
      <c r="OJU1" s="224"/>
      <c r="OJV1" s="224"/>
      <c r="OJW1" s="224"/>
      <c r="OJX1" s="224"/>
      <c r="OJY1" s="224"/>
      <c r="OJZ1" s="224"/>
      <c r="OKA1" s="224"/>
      <c r="OKB1" s="224"/>
      <c r="OKC1" s="224"/>
      <c r="OKD1" s="224"/>
      <c r="OKE1" s="224"/>
      <c r="OKF1" s="224"/>
      <c r="OKG1" s="224"/>
      <c r="OKH1" s="224"/>
      <c r="OKI1" s="224"/>
      <c r="OKJ1" s="224"/>
      <c r="OKK1" s="224"/>
      <c r="OKL1" s="224"/>
      <c r="OKM1" s="224"/>
      <c r="OKN1" s="224"/>
      <c r="OKO1" s="224"/>
      <c r="OKP1" s="224"/>
      <c r="OKQ1" s="224"/>
      <c r="OKR1" s="224"/>
      <c r="OKS1" s="224"/>
      <c r="OKT1" s="224"/>
      <c r="OKU1" s="224"/>
      <c r="OKV1" s="224"/>
      <c r="OKW1" s="224"/>
      <c r="OKX1" s="224"/>
      <c r="OKY1" s="224"/>
      <c r="OKZ1" s="224"/>
      <c r="OLA1" s="224"/>
      <c r="OLB1" s="224"/>
      <c r="OLC1" s="224"/>
      <c r="OLD1" s="224"/>
      <c r="OLE1" s="224"/>
      <c r="OLF1" s="224"/>
      <c r="OLG1" s="224"/>
      <c r="OLH1" s="224"/>
      <c r="OLI1" s="224"/>
      <c r="OLJ1" s="224"/>
      <c r="OLK1" s="224"/>
      <c r="OLL1" s="224"/>
      <c r="OLM1" s="224"/>
      <c r="OLN1" s="224"/>
      <c r="OLO1" s="224"/>
      <c r="OLP1" s="224"/>
      <c r="OLQ1" s="224"/>
      <c r="OLR1" s="224"/>
      <c r="OLS1" s="224"/>
      <c r="OLT1" s="224"/>
      <c r="OLU1" s="224"/>
      <c r="OLV1" s="224"/>
      <c r="OLW1" s="224"/>
      <c r="OLX1" s="224"/>
      <c r="OLY1" s="224"/>
      <c r="OLZ1" s="224"/>
      <c r="OMA1" s="224"/>
      <c r="OMB1" s="224"/>
      <c r="OMC1" s="224"/>
      <c r="OMD1" s="224"/>
      <c r="OME1" s="224"/>
      <c r="OMF1" s="224"/>
      <c r="OMG1" s="224"/>
      <c r="OMH1" s="224"/>
      <c r="OMI1" s="224"/>
      <c r="OMJ1" s="224"/>
      <c r="OMK1" s="224"/>
      <c r="OML1" s="224"/>
      <c r="OMM1" s="224"/>
      <c r="OMN1" s="224"/>
      <c r="OMO1" s="224"/>
      <c r="OMP1" s="224"/>
      <c r="OMQ1" s="224"/>
      <c r="OMR1" s="224"/>
      <c r="OMS1" s="224"/>
      <c r="OMT1" s="224"/>
      <c r="OMU1" s="224"/>
      <c r="OMV1" s="224"/>
      <c r="OMW1" s="224"/>
      <c r="OMX1" s="224"/>
      <c r="OMY1" s="224"/>
      <c r="OMZ1" s="224"/>
      <c r="ONA1" s="224"/>
      <c r="ONB1" s="224"/>
      <c r="ONC1" s="224"/>
      <c r="OND1" s="224"/>
      <c r="ONE1" s="224"/>
      <c r="ONF1" s="224"/>
      <c r="ONG1" s="224"/>
      <c r="ONH1" s="224"/>
      <c r="ONI1" s="224"/>
      <c r="ONJ1" s="224"/>
      <c r="ONK1" s="224"/>
      <c r="ONL1" s="224"/>
      <c r="ONM1" s="224"/>
      <c r="ONN1" s="224"/>
      <c r="ONO1" s="224"/>
      <c r="ONP1" s="224"/>
      <c r="ONQ1" s="224"/>
      <c r="ONR1" s="224"/>
      <c r="ONS1" s="224"/>
      <c r="ONT1" s="224"/>
      <c r="ONU1" s="224"/>
      <c r="ONV1" s="224"/>
      <c r="ONW1" s="224"/>
      <c r="ONX1" s="224"/>
      <c r="ONY1" s="224"/>
      <c r="ONZ1" s="224"/>
      <c r="OOA1" s="224"/>
      <c r="OOB1" s="224"/>
      <c r="OOC1" s="224"/>
      <c r="OOD1" s="224"/>
      <c r="OOE1" s="224"/>
      <c r="OOF1" s="224"/>
      <c r="OOG1" s="224"/>
      <c r="OOH1" s="224"/>
      <c r="OOI1" s="224"/>
      <c r="OOJ1" s="224"/>
      <c r="OOK1" s="224"/>
      <c r="OOL1" s="224"/>
      <c r="OOM1" s="224"/>
      <c r="OON1" s="224"/>
      <c r="OOO1" s="224"/>
      <c r="OOP1" s="224"/>
      <c r="OOQ1" s="224"/>
      <c r="OOR1" s="224"/>
      <c r="OOS1" s="224"/>
      <c r="OOT1" s="224"/>
      <c r="OOU1" s="224"/>
      <c r="OOV1" s="224"/>
      <c r="OOW1" s="224"/>
      <c r="OOX1" s="224"/>
      <c r="OOY1" s="224"/>
      <c r="OOZ1" s="224"/>
      <c r="OPA1" s="224"/>
      <c r="OPB1" s="224"/>
      <c r="OPC1" s="224"/>
      <c r="OPD1" s="224"/>
      <c r="OPE1" s="224"/>
      <c r="OPF1" s="224"/>
      <c r="OPG1" s="224"/>
      <c r="OPH1" s="224"/>
      <c r="OPI1" s="224"/>
      <c r="OPJ1" s="224"/>
      <c r="OPK1" s="224"/>
      <c r="OPL1" s="224"/>
      <c r="OPM1" s="224"/>
      <c r="OPN1" s="224"/>
      <c r="OPO1" s="224"/>
      <c r="OPP1" s="224"/>
      <c r="OPQ1" s="224"/>
      <c r="OPR1" s="224"/>
      <c r="OPS1" s="224"/>
      <c r="OPT1" s="224"/>
      <c r="OPU1" s="224"/>
      <c r="OPV1" s="224"/>
      <c r="OPW1" s="224"/>
      <c r="OPX1" s="224"/>
      <c r="OPY1" s="224"/>
      <c r="OPZ1" s="224"/>
      <c r="OQA1" s="224"/>
      <c r="OQB1" s="224"/>
      <c r="OQC1" s="224"/>
      <c r="OQD1" s="224"/>
      <c r="OQE1" s="224"/>
      <c r="OQF1" s="224"/>
      <c r="OQG1" s="224"/>
      <c r="OQH1" s="224"/>
      <c r="OQI1" s="224"/>
      <c r="OQJ1" s="224"/>
      <c r="OQK1" s="224"/>
      <c r="OQL1" s="224"/>
      <c r="OQM1" s="224"/>
      <c r="OQN1" s="224"/>
      <c r="OQO1" s="224"/>
      <c r="OQP1" s="224"/>
      <c r="OQQ1" s="224"/>
      <c r="OQR1" s="224"/>
      <c r="OQS1" s="224"/>
      <c r="OQT1" s="224"/>
      <c r="OQU1" s="224"/>
      <c r="OQV1" s="224"/>
      <c r="OQW1" s="224"/>
      <c r="OQX1" s="224"/>
      <c r="OQY1" s="224"/>
      <c r="OQZ1" s="224"/>
      <c r="ORA1" s="224"/>
      <c r="ORB1" s="224"/>
      <c r="ORC1" s="224"/>
      <c r="ORD1" s="224"/>
      <c r="ORE1" s="224"/>
      <c r="ORF1" s="224"/>
      <c r="ORG1" s="224"/>
      <c r="ORH1" s="224"/>
      <c r="ORI1" s="224"/>
      <c r="ORJ1" s="224"/>
      <c r="ORK1" s="224"/>
      <c r="ORL1" s="224"/>
      <c r="ORM1" s="224"/>
      <c r="ORN1" s="224"/>
      <c r="ORO1" s="224"/>
      <c r="ORP1" s="224"/>
      <c r="ORQ1" s="224"/>
      <c r="ORR1" s="224"/>
      <c r="ORS1" s="224"/>
      <c r="ORT1" s="224"/>
      <c r="ORU1" s="224"/>
      <c r="ORV1" s="224"/>
      <c r="ORW1" s="224"/>
      <c r="ORX1" s="224"/>
      <c r="ORY1" s="224"/>
      <c r="ORZ1" s="224"/>
      <c r="OSA1" s="224"/>
      <c r="OSB1" s="224"/>
      <c r="OSC1" s="224"/>
      <c r="OSD1" s="224"/>
      <c r="OSE1" s="224"/>
      <c r="OSF1" s="224"/>
      <c r="OSG1" s="224"/>
      <c r="OSH1" s="224"/>
      <c r="OSI1" s="224"/>
      <c r="OSJ1" s="224"/>
      <c r="OSK1" s="224"/>
      <c r="OSL1" s="224"/>
      <c r="OSM1" s="224"/>
      <c r="OSN1" s="224"/>
      <c r="OSO1" s="224"/>
      <c r="OSP1" s="224"/>
      <c r="OSQ1" s="224"/>
      <c r="OSR1" s="224"/>
      <c r="OSS1" s="224"/>
      <c r="OST1" s="224"/>
      <c r="OSU1" s="224"/>
      <c r="OSV1" s="224"/>
      <c r="OSW1" s="224"/>
      <c r="OSX1" s="224"/>
      <c r="OSY1" s="224"/>
      <c r="OSZ1" s="224"/>
      <c r="OTA1" s="224"/>
      <c r="OTB1" s="224"/>
      <c r="OTC1" s="224"/>
      <c r="OTD1" s="224"/>
      <c r="OTE1" s="224"/>
      <c r="OTF1" s="224"/>
      <c r="OTG1" s="224"/>
      <c r="OTH1" s="224"/>
      <c r="OTI1" s="224"/>
      <c r="OTJ1" s="224"/>
      <c r="OTK1" s="224"/>
      <c r="OTL1" s="224"/>
      <c r="OTM1" s="224"/>
      <c r="OTN1" s="224"/>
      <c r="OTO1" s="224"/>
      <c r="OTP1" s="224"/>
      <c r="OTQ1" s="224"/>
      <c r="OTR1" s="224"/>
      <c r="OTS1" s="224"/>
      <c r="OTT1" s="224"/>
      <c r="OTU1" s="224"/>
      <c r="OTV1" s="224"/>
      <c r="OTW1" s="224"/>
      <c r="OTX1" s="224"/>
      <c r="OTY1" s="224"/>
      <c r="OTZ1" s="224"/>
      <c r="OUA1" s="224"/>
      <c r="OUB1" s="224"/>
      <c r="OUC1" s="224"/>
      <c r="OUD1" s="224"/>
      <c r="OUE1" s="224"/>
      <c r="OUF1" s="224"/>
      <c r="OUG1" s="224"/>
      <c r="OUH1" s="224"/>
      <c r="OUI1" s="224"/>
      <c r="OUJ1" s="224"/>
      <c r="OUK1" s="224"/>
      <c r="OUL1" s="224"/>
      <c r="OUM1" s="224"/>
      <c r="OUN1" s="224"/>
      <c r="OUO1" s="224"/>
      <c r="OUP1" s="224"/>
      <c r="OUQ1" s="224"/>
      <c r="OUR1" s="224"/>
      <c r="OUS1" s="224"/>
      <c r="OUT1" s="224"/>
      <c r="OUU1" s="224"/>
      <c r="OUV1" s="224"/>
      <c r="OUW1" s="224"/>
      <c r="OUX1" s="224"/>
      <c r="OUY1" s="224"/>
      <c r="OUZ1" s="224"/>
      <c r="OVA1" s="224"/>
      <c r="OVB1" s="224"/>
      <c r="OVC1" s="224"/>
      <c r="OVD1" s="224"/>
      <c r="OVE1" s="224"/>
      <c r="OVF1" s="224"/>
      <c r="OVG1" s="224"/>
      <c r="OVH1" s="224"/>
      <c r="OVI1" s="224"/>
      <c r="OVJ1" s="224"/>
      <c r="OVK1" s="224"/>
      <c r="OVL1" s="224"/>
      <c r="OVM1" s="224"/>
      <c r="OVN1" s="224"/>
      <c r="OVO1" s="224"/>
      <c r="OVP1" s="224"/>
      <c r="OVQ1" s="224"/>
      <c r="OVR1" s="224"/>
      <c r="OVS1" s="224"/>
      <c r="OVT1" s="224"/>
      <c r="OVU1" s="224"/>
      <c r="OVV1" s="224"/>
      <c r="OVW1" s="224"/>
      <c r="OVX1" s="224"/>
      <c r="OVY1" s="224"/>
      <c r="OVZ1" s="224"/>
      <c r="OWA1" s="224"/>
      <c r="OWB1" s="224"/>
      <c r="OWC1" s="224"/>
      <c r="OWD1" s="224"/>
      <c r="OWE1" s="224"/>
      <c r="OWF1" s="224"/>
      <c r="OWG1" s="224"/>
      <c r="OWH1" s="224"/>
      <c r="OWI1" s="224"/>
      <c r="OWJ1" s="224"/>
      <c r="OWK1" s="224"/>
      <c r="OWL1" s="224"/>
      <c r="OWM1" s="224"/>
      <c r="OWN1" s="224"/>
      <c r="OWO1" s="224"/>
      <c r="OWP1" s="224"/>
      <c r="OWQ1" s="224"/>
      <c r="OWR1" s="224"/>
      <c r="OWS1" s="224"/>
      <c r="OWT1" s="224"/>
      <c r="OWU1" s="224"/>
      <c r="OWV1" s="224"/>
      <c r="OWW1" s="224"/>
      <c r="OWX1" s="224"/>
      <c r="OWY1" s="224"/>
      <c r="OWZ1" s="224"/>
      <c r="OXA1" s="224"/>
      <c r="OXB1" s="224"/>
      <c r="OXC1" s="224"/>
      <c r="OXD1" s="224"/>
      <c r="OXE1" s="224"/>
      <c r="OXF1" s="224"/>
      <c r="OXG1" s="224"/>
      <c r="OXH1" s="224"/>
      <c r="OXI1" s="224"/>
      <c r="OXJ1" s="224"/>
      <c r="OXK1" s="224"/>
      <c r="OXL1" s="224"/>
      <c r="OXM1" s="224"/>
      <c r="OXN1" s="224"/>
      <c r="OXO1" s="224"/>
      <c r="OXP1" s="224"/>
      <c r="OXQ1" s="224"/>
      <c r="OXR1" s="224"/>
      <c r="OXS1" s="224"/>
      <c r="OXT1" s="224"/>
      <c r="OXU1" s="224"/>
      <c r="OXV1" s="224"/>
      <c r="OXW1" s="224"/>
      <c r="OXX1" s="224"/>
      <c r="OXY1" s="224"/>
      <c r="OXZ1" s="224"/>
      <c r="OYA1" s="224"/>
      <c r="OYB1" s="224"/>
      <c r="OYC1" s="224"/>
      <c r="OYD1" s="224"/>
      <c r="OYE1" s="224"/>
      <c r="OYF1" s="224"/>
      <c r="OYG1" s="224"/>
      <c r="OYH1" s="224"/>
      <c r="OYI1" s="224"/>
      <c r="OYJ1" s="224"/>
      <c r="OYK1" s="224"/>
      <c r="OYL1" s="224"/>
      <c r="OYM1" s="224"/>
      <c r="OYN1" s="224"/>
      <c r="OYO1" s="224"/>
      <c r="OYP1" s="224"/>
      <c r="OYQ1" s="224"/>
      <c r="OYR1" s="224"/>
      <c r="OYS1" s="224"/>
      <c r="OYT1" s="224"/>
      <c r="OYU1" s="224"/>
      <c r="OYV1" s="224"/>
      <c r="OYW1" s="224"/>
      <c r="OYX1" s="224"/>
      <c r="OYY1" s="224"/>
      <c r="OYZ1" s="224"/>
      <c r="OZA1" s="224"/>
      <c r="OZB1" s="224"/>
      <c r="OZC1" s="224"/>
      <c r="OZD1" s="224"/>
      <c r="OZE1" s="224"/>
      <c r="OZF1" s="224"/>
      <c r="OZG1" s="224"/>
      <c r="OZH1" s="224"/>
      <c r="OZI1" s="224"/>
      <c r="OZJ1" s="224"/>
      <c r="OZK1" s="224"/>
      <c r="OZL1" s="224"/>
      <c r="OZM1" s="224"/>
      <c r="OZN1" s="224"/>
      <c r="OZO1" s="224"/>
      <c r="OZP1" s="224"/>
      <c r="OZQ1" s="224"/>
      <c r="OZR1" s="224"/>
      <c r="OZS1" s="224"/>
      <c r="OZT1" s="224"/>
      <c r="OZU1" s="224"/>
      <c r="OZV1" s="224"/>
      <c r="OZW1" s="224"/>
      <c r="OZX1" s="224"/>
      <c r="OZY1" s="224"/>
      <c r="OZZ1" s="224"/>
      <c r="PAA1" s="224"/>
      <c r="PAB1" s="224"/>
      <c r="PAC1" s="224"/>
      <c r="PAD1" s="224"/>
      <c r="PAE1" s="224"/>
      <c r="PAF1" s="224"/>
      <c r="PAG1" s="224"/>
      <c r="PAH1" s="224"/>
      <c r="PAI1" s="224"/>
      <c r="PAJ1" s="224"/>
      <c r="PAK1" s="224"/>
      <c r="PAL1" s="224"/>
      <c r="PAM1" s="224"/>
      <c r="PAN1" s="224"/>
      <c r="PAO1" s="224"/>
      <c r="PAP1" s="224"/>
      <c r="PAQ1" s="224"/>
      <c r="PAR1" s="224"/>
      <c r="PAS1" s="224"/>
      <c r="PAT1" s="224"/>
      <c r="PAU1" s="224"/>
      <c r="PAV1" s="224"/>
      <c r="PAW1" s="224"/>
      <c r="PAX1" s="224"/>
      <c r="PAY1" s="224"/>
      <c r="PAZ1" s="224"/>
      <c r="PBA1" s="224"/>
      <c r="PBB1" s="224"/>
      <c r="PBC1" s="224"/>
      <c r="PBD1" s="224"/>
      <c r="PBE1" s="224"/>
      <c r="PBF1" s="224"/>
      <c r="PBG1" s="224"/>
      <c r="PBH1" s="224"/>
      <c r="PBI1" s="224"/>
      <c r="PBJ1" s="224"/>
      <c r="PBK1" s="224"/>
      <c r="PBL1" s="224"/>
      <c r="PBM1" s="224"/>
      <c r="PBN1" s="224"/>
      <c r="PBO1" s="224"/>
      <c r="PBP1" s="224"/>
      <c r="PBQ1" s="224"/>
      <c r="PBR1" s="224"/>
      <c r="PBS1" s="224"/>
      <c r="PBT1" s="224"/>
      <c r="PBU1" s="224"/>
      <c r="PBV1" s="224"/>
      <c r="PBW1" s="224"/>
      <c r="PBX1" s="224"/>
      <c r="PBY1" s="224"/>
      <c r="PBZ1" s="224"/>
      <c r="PCA1" s="224"/>
      <c r="PCB1" s="224"/>
      <c r="PCC1" s="224"/>
      <c r="PCD1" s="224"/>
      <c r="PCE1" s="224"/>
      <c r="PCF1" s="224"/>
      <c r="PCG1" s="224"/>
      <c r="PCH1" s="224"/>
      <c r="PCI1" s="224"/>
      <c r="PCJ1" s="224"/>
      <c r="PCK1" s="224"/>
      <c r="PCL1" s="224"/>
      <c r="PCM1" s="224"/>
      <c r="PCN1" s="224"/>
      <c r="PCO1" s="224"/>
      <c r="PCP1" s="224"/>
      <c r="PCQ1" s="224"/>
      <c r="PCR1" s="224"/>
      <c r="PCS1" s="224"/>
      <c r="PCT1" s="224"/>
      <c r="PCU1" s="224"/>
      <c r="PCV1" s="224"/>
      <c r="PCW1" s="224"/>
      <c r="PCX1" s="224"/>
      <c r="PCY1" s="224"/>
      <c r="PCZ1" s="224"/>
      <c r="PDA1" s="224"/>
      <c r="PDB1" s="224"/>
      <c r="PDC1" s="224"/>
      <c r="PDD1" s="224"/>
      <c r="PDE1" s="224"/>
      <c r="PDF1" s="224"/>
      <c r="PDG1" s="224"/>
      <c r="PDH1" s="224"/>
      <c r="PDI1" s="224"/>
      <c r="PDJ1" s="224"/>
      <c r="PDK1" s="224"/>
      <c r="PDL1" s="224"/>
      <c r="PDM1" s="224"/>
      <c r="PDN1" s="224"/>
      <c r="PDO1" s="224"/>
      <c r="PDP1" s="224"/>
      <c r="PDQ1" s="224"/>
      <c r="PDR1" s="224"/>
      <c r="PDS1" s="224"/>
      <c r="PDT1" s="224"/>
      <c r="PDU1" s="224"/>
      <c r="PDV1" s="224"/>
      <c r="PDW1" s="224"/>
      <c r="PDX1" s="224"/>
      <c r="PDY1" s="224"/>
      <c r="PDZ1" s="224"/>
      <c r="PEA1" s="224"/>
      <c r="PEB1" s="224"/>
      <c r="PEC1" s="224"/>
      <c r="PED1" s="224"/>
      <c r="PEE1" s="224"/>
      <c r="PEF1" s="224"/>
      <c r="PEG1" s="224"/>
      <c r="PEH1" s="224"/>
      <c r="PEI1" s="224"/>
      <c r="PEJ1" s="224"/>
      <c r="PEK1" s="224"/>
      <c r="PEL1" s="224"/>
      <c r="PEM1" s="224"/>
      <c r="PEN1" s="224"/>
      <c r="PEO1" s="224"/>
      <c r="PEP1" s="224"/>
      <c r="PEQ1" s="224"/>
      <c r="PER1" s="224"/>
      <c r="PES1" s="224"/>
      <c r="PET1" s="224"/>
      <c r="PEU1" s="224"/>
      <c r="PEV1" s="224"/>
      <c r="PEW1" s="224"/>
      <c r="PEX1" s="224"/>
      <c r="PEY1" s="224"/>
      <c r="PEZ1" s="224"/>
      <c r="PFA1" s="224"/>
      <c r="PFB1" s="224"/>
      <c r="PFC1" s="224"/>
      <c r="PFD1" s="224"/>
      <c r="PFE1" s="224"/>
      <c r="PFF1" s="224"/>
      <c r="PFG1" s="224"/>
      <c r="PFH1" s="224"/>
      <c r="PFI1" s="224"/>
      <c r="PFJ1" s="224"/>
      <c r="PFK1" s="224"/>
      <c r="PFL1" s="224"/>
      <c r="PFM1" s="224"/>
      <c r="PFN1" s="224"/>
      <c r="PFO1" s="224"/>
      <c r="PFP1" s="224"/>
      <c r="PFQ1" s="224"/>
      <c r="PFR1" s="224"/>
      <c r="PFS1" s="224"/>
      <c r="PFT1" s="224"/>
      <c r="PFU1" s="224"/>
      <c r="PFV1" s="224"/>
      <c r="PFW1" s="224"/>
      <c r="PFX1" s="224"/>
      <c r="PFY1" s="224"/>
      <c r="PFZ1" s="224"/>
      <c r="PGA1" s="224"/>
      <c r="PGB1" s="224"/>
      <c r="PGC1" s="224"/>
      <c r="PGD1" s="224"/>
      <c r="PGE1" s="224"/>
      <c r="PGF1" s="224"/>
      <c r="PGG1" s="224"/>
      <c r="PGH1" s="224"/>
      <c r="PGI1" s="224"/>
      <c r="PGJ1" s="224"/>
      <c r="PGK1" s="224"/>
      <c r="PGL1" s="224"/>
      <c r="PGM1" s="224"/>
      <c r="PGN1" s="224"/>
      <c r="PGO1" s="224"/>
      <c r="PGP1" s="224"/>
      <c r="PGQ1" s="224"/>
      <c r="PGR1" s="224"/>
      <c r="PGS1" s="224"/>
      <c r="PGT1" s="224"/>
      <c r="PGU1" s="224"/>
      <c r="PGV1" s="224"/>
      <c r="PGW1" s="224"/>
      <c r="PGX1" s="224"/>
      <c r="PGY1" s="224"/>
      <c r="PGZ1" s="224"/>
      <c r="PHA1" s="224"/>
      <c r="PHB1" s="224"/>
      <c r="PHC1" s="224"/>
      <c r="PHD1" s="224"/>
      <c r="PHE1" s="224"/>
      <c r="PHF1" s="224"/>
      <c r="PHG1" s="224"/>
      <c r="PHH1" s="224"/>
      <c r="PHI1" s="224"/>
      <c r="PHJ1" s="224"/>
      <c r="PHK1" s="224"/>
      <c r="PHL1" s="224"/>
      <c r="PHM1" s="224"/>
      <c r="PHN1" s="224"/>
      <c r="PHO1" s="224"/>
      <c r="PHP1" s="224"/>
      <c r="PHQ1" s="224"/>
      <c r="PHR1" s="224"/>
      <c r="PHS1" s="224"/>
      <c r="PHT1" s="224"/>
      <c r="PHU1" s="224"/>
      <c r="PHV1" s="224"/>
      <c r="PHW1" s="224"/>
      <c r="PHX1" s="224"/>
      <c r="PHY1" s="224"/>
      <c r="PHZ1" s="224"/>
      <c r="PIA1" s="224"/>
      <c r="PIB1" s="224"/>
      <c r="PIC1" s="224"/>
      <c r="PID1" s="224"/>
      <c r="PIE1" s="224"/>
      <c r="PIF1" s="224"/>
      <c r="PIG1" s="224"/>
      <c r="PIH1" s="224"/>
      <c r="PII1" s="224"/>
      <c r="PIJ1" s="224"/>
      <c r="PIK1" s="224"/>
      <c r="PIL1" s="224"/>
      <c r="PIM1" s="224"/>
      <c r="PIN1" s="224"/>
      <c r="PIO1" s="224"/>
      <c r="PIP1" s="224"/>
      <c r="PIQ1" s="224"/>
      <c r="PIR1" s="224"/>
      <c r="PIS1" s="224"/>
      <c r="PIT1" s="224"/>
      <c r="PIU1" s="224"/>
      <c r="PIV1" s="224"/>
      <c r="PIW1" s="224"/>
      <c r="PIX1" s="224"/>
      <c r="PIY1" s="224"/>
      <c r="PIZ1" s="224"/>
      <c r="PJA1" s="224"/>
      <c r="PJB1" s="224"/>
      <c r="PJC1" s="224"/>
      <c r="PJD1" s="224"/>
      <c r="PJE1" s="224"/>
      <c r="PJF1" s="224"/>
      <c r="PJG1" s="224"/>
      <c r="PJH1" s="224"/>
      <c r="PJI1" s="224"/>
      <c r="PJJ1" s="224"/>
      <c r="PJK1" s="224"/>
      <c r="PJL1" s="224"/>
      <c r="PJM1" s="224"/>
      <c r="PJN1" s="224"/>
      <c r="PJO1" s="224"/>
      <c r="PJP1" s="224"/>
      <c r="PJQ1" s="224"/>
      <c r="PJR1" s="224"/>
      <c r="PJS1" s="224"/>
      <c r="PJT1" s="224"/>
      <c r="PJU1" s="224"/>
      <c r="PJV1" s="224"/>
      <c r="PJW1" s="224"/>
      <c r="PJX1" s="224"/>
      <c r="PJY1" s="224"/>
      <c r="PJZ1" s="224"/>
      <c r="PKA1" s="224"/>
      <c r="PKB1" s="224"/>
      <c r="PKC1" s="224"/>
      <c r="PKD1" s="224"/>
      <c r="PKE1" s="224"/>
      <c r="PKF1" s="224"/>
      <c r="PKG1" s="224"/>
      <c r="PKH1" s="224"/>
      <c r="PKI1" s="224"/>
      <c r="PKJ1" s="224"/>
      <c r="PKK1" s="224"/>
      <c r="PKL1" s="224"/>
      <c r="PKM1" s="224"/>
      <c r="PKN1" s="224"/>
      <c r="PKO1" s="224"/>
      <c r="PKP1" s="224"/>
      <c r="PKQ1" s="224"/>
      <c r="PKR1" s="224"/>
      <c r="PKS1" s="224"/>
      <c r="PKT1" s="224"/>
      <c r="PKU1" s="224"/>
      <c r="PKV1" s="224"/>
      <c r="PKW1" s="224"/>
      <c r="PKX1" s="224"/>
      <c r="PKY1" s="224"/>
      <c r="PKZ1" s="224"/>
      <c r="PLA1" s="224"/>
      <c r="PLB1" s="224"/>
      <c r="PLC1" s="224"/>
      <c r="PLD1" s="224"/>
      <c r="PLE1" s="224"/>
      <c r="PLF1" s="224"/>
      <c r="PLG1" s="224"/>
      <c r="PLH1" s="224"/>
      <c r="PLI1" s="224"/>
      <c r="PLJ1" s="224"/>
      <c r="PLK1" s="224"/>
      <c r="PLL1" s="224"/>
      <c r="PLM1" s="224"/>
      <c r="PLN1" s="224"/>
      <c r="PLO1" s="224"/>
      <c r="PLP1" s="224"/>
      <c r="PLQ1" s="224"/>
      <c r="PLR1" s="224"/>
      <c r="PLS1" s="224"/>
      <c r="PLT1" s="224"/>
      <c r="PLU1" s="224"/>
      <c r="PLV1" s="224"/>
      <c r="PLW1" s="224"/>
      <c r="PLX1" s="224"/>
      <c r="PLY1" s="224"/>
      <c r="PLZ1" s="224"/>
      <c r="PMA1" s="224"/>
      <c r="PMB1" s="224"/>
      <c r="PMC1" s="224"/>
      <c r="PMD1" s="224"/>
      <c r="PME1" s="224"/>
      <c r="PMF1" s="224"/>
      <c r="PMG1" s="224"/>
      <c r="PMH1" s="224"/>
      <c r="PMI1" s="224"/>
      <c r="PMJ1" s="224"/>
      <c r="PMK1" s="224"/>
      <c r="PML1" s="224"/>
      <c r="PMM1" s="224"/>
      <c r="PMN1" s="224"/>
      <c r="PMO1" s="224"/>
      <c r="PMP1" s="224"/>
      <c r="PMQ1" s="224"/>
      <c r="PMR1" s="224"/>
      <c r="PMS1" s="224"/>
      <c r="PMT1" s="224"/>
      <c r="PMU1" s="224"/>
      <c r="PMV1" s="224"/>
      <c r="PMW1" s="224"/>
      <c r="PMX1" s="224"/>
      <c r="PMY1" s="224"/>
      <c r="PMZ1" s="224"/>
      <c r="PNA1" s="224"/>
      <c r="PNB1" s="224"/>
      <c r="PNC1" s="224"/>
      <c r="PND1" s="224"/>
      <c r="PNE1" s="224"/>
      <c r="PNF1" s="224"/>
      <c r="PNG1" s="224"/>
      <c r="PNH1" s="224"/>
      <c r="PNI1" s="224"/>
      <c r="PNJ1" s="224"/>
      <c r="PNK1" s="224"/>
      <c r="PNL1" s="224"/>
      <c r="PNM1" s="224"/>
      <c r="PNN1" s="224"/>
      <c r="PNO1" s="224"/>
      <c r="PNP1" s="224"/>
      <c r="PNQ1" s="224"/>
      <c r="PNR1" s="224"/>
      <c r="PNS1" s="224"/>
      <c r="PNT1" s="224"/>
      <c r="PNU1" s="224"/>
      <c r="PNV1" s="224"/>
      <c r="PNW1" s="224"/>
      <c r="PNX1" s="224"/>
      <c r="PNY1" s="224"/>
      <c r="PNZ1" s="224"/>
      <c r="POA1" s="224"/>
      <c r="POB1" s="224"/>
      <c r="POC1" s="224"/>
      <c r="POD1" s="224"/>
      <c r="POE1" s="224"/>
      <c r="POF1" s="224"/>
      <c r="POG1" s="224"/>
      <c r="POH1" s="224"/>
      <c r="POI1" s="224"/>
      <c r="POJ1" s="224"/>
      <c r="POK1" s="224"/>
      <c r="POL1" s="224"/>
      <c r="POM1" s="224"/>
      <c r="PON1" s="224"/>
      <c r="POO1" s="224"/>
      <c r="POP1" s="224"/>
      <c r="POQ1" s="224"/>
      <c r="POR1" s="224"/>
      <c r="POS1" s="224"/>
      <c r="POT1" s="224"/>
      <c r="POU1" s="224"/>
      <c r="POV1" s="224"/>
      <c r="POW1" s="224"/>
      <c r="POX1" s="224"/>
      <c r="POY1" s="224"/>
      <c r="POZ1" s="224"/>
      <c r="PPA1" s="224"/>
      <c r="PPB1" s="224"/>
      <c r="PPC1" s="224"/>
      <c r="PPD1" s="224"/>
      <c r="PPE1" s="224"/>
      <c r="PPF1" s="224"/>
      <c r="PPG1" s="224"/>
      <c r="PPH1" s="224"/>
      <c r="PPI1" s="224"/>
      <c r="PPJ1" s="224"/>
      <c r="PPK1" s="224"/>
      <c r="PPL1" s="224"/>
      <c r="PPM1" s="224"/>
      <c r="PPN1" s="224"/>
      <c r="PPO1" s="224"/>
      <c r="PPP1" s="224"/>
      <c r="PPQ1" s="224"/>
      <c r="PPR1" s="224"/>
      <c r="PPS1" s="224"/>
      <c r="PPT1" s="224"/>
      <c r="PPU1" s="224"/>
      <c r="PPV1" s="224"/>
      <c r="PPW1" s="224"/>
      <c r="PPX1" s="224"/>
      <c r="PPY1" s="224"/>
      <c r="PPZ1" s="224"/>
      <c r="PQA1" s="224"/>
      <c r="PQB1" s="224"/>
      <c r="PQC1" s="224"/>
      <c r="PQD1" s="224"/>
      <c r="PQE1" s="224"/>
      <c r="PQF1" s="224"/>
      <c r="PQG1" s="224"/>
      <c r="PQH1" s="224"/>
      <c r="PQI1" s="224"/>
      <c r="PQJ1" s="224"/>
      <c r="PQK1" s="224"/>
      <c r="PQL1" s="224"/>
      <c r="PQM1" s="224"/>
      <c r="PQN1" s="224"/>
      <c r="PQO1" s="224"/>
      <c r="PQP1" s="224"/>
      <c r="PQQ1" s="224"/>
      <c r="PQR1" s="224"/>
      <c r="PQS1" s="224"/>
      <c r="PQT1" s="224"/>
      <c r="PQU1" s="224"/>
      <c r="PQV1" s="224"/>
      <c r="PQW1" s="224"/>
      <c r="PQX1" s="224"/>
      <c r="PQY1" s="224"/>
      <c r="PQZ1" s="224"/>
      <c r="PRA1" s="224"/>
      <c r="PRB1" s="224"/>
      <c r="PRC1" s="224"/>
      <c r="PRD1" s="224"/>
      <c r="PRE1" s="224"/>
      <c r="PRF1" s="224"/>
      <c r="PRG1" s="224"/>
      <c r="PRH1" s="224"/>
      <c r="PRI1" s="224"/>
      <c r="PRJ1" s="224"/>
      <c r="PRK1" s="224"/>
      <c r="PRL1" s="224"/>
      <c r="PRM1" s="224"/>
      <c r="PRN1" s="224"/>
      <c r="PRO1" s="224"/>
      <c r="PRP1" s="224"/>
      <c r="PRQ1" s="224"/>
      <c r="PRR1" s="224"/>
      <c r="PRS1" s="224"/>
      <c r="PRT1" s="224"/>
      <c r="PRU1" s="224"/>
      <c r="PRV1" s="224"/>
      <c r="PRW1" s="224"/>
      <c r="PRX1" s="224"/>
      <c r="PRY1" s="224"/>
      <c r="PRZ1" s="224"/>
      <c r="PSA1" s="224"/>
      <c r="PSB1" s="224"/>
      <c r="PSC1" s="224"/>
      <c r="PSD1" s="224"/>
      <c r="PSE1" s="224"/>
      <c r="PSF1" s="224"/>
      <c r="PSG1" s="224"/>
      <c r="PSH1" s="224"/>
      <c r="PSI1" s="224"/>
      <c r="PSJ1" s="224"/>
      <c r="PSK1" s="224"/>
      <c r="PSL1" s="224"/>
      <c r="PSM1" s="224"/>
      <c r="PSN1" s="224"/>
      <c r="PSO1" s="224"/>
      <c r="PSP1" s="224"/>
      <c r="PSQ1" s="224"/>
      <c r="PSR1" s="224"/>
      <c r="PSS1" s="224"/>
      <c r="PST1" s="224"/>
      <c r="PSU1" s="224"/>
      <c r="PSV1" s="224"/>
      <c r="PSW1" s="224"/>
      <c r="PSX1" s="224"/>
      <c r="PSY1" s="224"/>
      <c r="PSZ1" s="224"/>
      <c r="PTA1" s="224"/>
      <c r="PTB1" s="224"/>
      <c r="PTC1" s="224"/>
      <c r="PTD1" s="224"/>
      <c r="PTE1" s="224"/>
      <c r="PTF1" s="224"/>
      <c r="PTG1" s="224"/>
      <c r="PTH1" s="224"/>
      <c r="PTI1" s="224"/>
      <c r="PTJ1" s="224"/>
      <c r="PTK1" s="224"/>
      <c r="PTL1" s="224"/>
      <c r="PTM1" s="224"/>
      <c r="PTN1" s="224"/>
      <c r="PTO1" s="224"/>
      <c r="PTP1" s="224"/>
      <c r="PTQ1" s="224"/>
      <c r="PTR1" s="224"/>
      <c r="PTS1" s="224"/>
      <c r="PTT1" s="224"/>
      <c r="PTU1" s="224"/>
      <c r="PTV1" s="224"/>
      <c r="PTW1" s="224"/>
      <c r="PTX1" s="224"/>
      <c r="PTY1" s="224"/>
      <c r="PTZ1" s="224"/>
      <c r="PUA1" s="224"/>
      <c r="PUB1" s="224"/>
      <c r="PUC1" s="224"/>
      <c r="PUD1" s="224"/>
      <c r="PUE1" s="224"/>
      <c r="PUF1" s="224"/>
      <c r="PUG1" s="224"/>
      <c r="PUH1" s="224"/>
      <c r="PUI1" s="224"/>
      <c r="PUJ1" s="224"/>
      <c r="PUK1" s="224"/>
      <c r="PUL1" s="224"/>
      <c r="PUM1" s="224"/>
      <c r="PUN1" s="224"/>
      <c r="PUO1" s="224"/>
      <c r="PUP1" s="224"/>
      <c r="PUQ1" s="224"/>
      <c r="PUR1" s="224"/>
      <c r="PUS1" s="224"/>
      <c r="PUT1" s="224"/>
      <c r="PUU1" s="224"/>
      <c r="PUV1" s="224"/>
      <c r="PUW1" s="224"/>
      <c r="PUX1" s="224"/>
      <c r="PUY1" s="224"/>
      <c r="PUZ1" s="224"/>
      <c r="PVA1" s="224"/>
      <c r="PVB1" s="224"/>
      <c r="PVC1" s="224"/>
      <c r="PVD1" s="224"/>
      <c r="PVE1" s="224"/>
      <c r="PVF1" s="224"/>
      <c r="PVG1" s="224"/>
      <c r="PVH1" s="224"/>
      <c r="PVI1" s="224"/>
      <c r="PVJ1" s="224"/>
      <c r="PVK1" s="224"/>
      <c r="PVL1" s="224"/>
      <c r="PVM1" s="224"/>
      <c r="PVN1" s="224"/>
      <c r="PVO1" s="224"/>
      <c r="PVP1" s="224"/>
      <c r="PVQ1" s="224"/>
      <c r="PVR1" s="224"/>
      <c r="PVS1" s="224"/>
      <c r="PVT1" s="224"/>
      <c r="PVU1" s="224"/>
      <c r="PVV1" s="224"/>
      <c r="PVW1" s="224"/>
      <c r="PVX1" s="224"/>
      <c r="PVY1" s="224"/>
      <c r="PVZ1" s="224"/>
      <c r="PWA1" s="224"/>
      <c r="PWB1" s="224"/>
      <c r="PWC1" s="224"/>
      <c r="PWD1" s="224"/>
      <c r="PWE1" s="224"/>
      <c r="PWF1" s="224"/>
      <c r="PWG1" s="224"/>
      <c r="PWH1" s="224"/>
      <c r="PWI1" s="224"/>
      <c r="PWJ1" s="224"/>
      <c r="PWK1" s="224"/>
      <c r="PWL1" s="224"/>
      <c r="PWM1" s="224"/>
      <c r="PWN1" s="224"/>
      <c r="PWO1" s="224"/>
      <c r="PWP1" s="224"/>
      <c r="PWQ1" s="224"/>
      <c r="PWR1" s="224"/>
      <c r="PWS1" s="224"/>
      <c r="PWT1" s="224"/>
      <c r="PWU1" s="224"/>
      <c r="PWV1" s="224"/>
      <c r="PWW1" s="224"/>
      <c r="PWX1" s="224"/>
      <c r="PWY1" s="224"/>
      <c r="PWZ1" s="224"/>
      <c r="PXA1" s="224"/>
      <c r="PXB1" s="224"/>
      <c r="PXC1" s="224"/>
      <c r="PXD1" s="224"/>
      <c r="PXE1" s="224"/>
      <c r="PXF1" s="224"/>
      <c r="PXG1" s="224"/>
      <c r="PXH1" s="224"/>
      <c r="PXI1" s="224"/>
      <c r="PXJ1" s="224"/>
      <c r="PXK1" s="224"/>
      <c r="PXL1" s="224"/>
      <c r="PXM1" s="224"/>
      <c r="PXN1" s="224"/>
      <c r="PXO1" s="224"/>
      <c r="PXP1" s="224"/>
      <c r="PXQ1" s="224"/>
      <c r="PXR1" s="224"/>
      <c r="PXS1" s="224"/>
      <c r="PXT1" s="224"/>
      <c r="PXU1" s="224"/>
      <c r="PXV1" s="224"/>
      <c r="PXW1" s="224"/>
      <c r="PXX1" s="224"/>
      <c r="PXY1" s="224"/>
      <c r="PXZ1" s="224"/>
      <c r="PYA1" s="224"/>
      <c r="PYB1" s="224"/>
      <c r="PYC1" s="224"/>
      <c r="PYD1" s="224"/>
      <c r="PYE1" s="224"/>
      <c r="PYF1" s="224"/>
      <c r="PYG1" s="224"/>
      <c r="PYH1" s="224"/>
      <c r="PYI1" s="224"/>
      <c r="PYJ1" s="224"/>
      <c r="PYK1" s="224"/>
      <c r="PYL1" s="224"/>
      <c r="PYM1" s="224"/>
      <c r="PYN1" s="224"/>
      <c r="PYO1" s="224"/>
      <c r="PYP1" s="224"/>
      <c r="PYQ1" s="224"/>
      <c r="PYR1" s="224"/>
      <c r="PYS1" s="224"/>
      <c r="PYT1" s="224"/>
      <c r="PYU1" s="224"/>
      <c r="PYV1" s="224"/>
      <c r="PYW1" s="224"/>
      <c r="PYX1" s="224"/>
      <c r="PYY1" s="224"/>
      <c r="PYZ1" s="224"/>
      <c r="PZA1" s="224"/>
      <c r="PZB1" s="224"/>
      <c r="PZC1" s="224"/>
      <c r="PZD1" s="224"/>
      <c r="PZE1" s="224"/>
      <c r="PZF1" s="224"/>
      <c r="PZG1" s="224"/>
      <c r="PZH1" s="224"/>
      <c r="PZI1" s="224"/>
      <c r="PZJ1" s="224"/>
      <c r="PZK1" s="224"/>
      <c r="PZL1" s="224"/>
      <c r="PZM1" s="224"/>
      <c r="PZN1" s="224"/>
      <c r="PZO1" s="224"/>
      <c r="PZP1" s="224"/>
      <c r="PZQ1" s="224"/>
      <c r="PZR1" s="224"/>
      <c r="PZS1" s="224"/>
      <c r="PZT1" s="224"/>
      <c r="PZU1" s="224"/>
      <c r="PZV1" s="224"/>
      <c r="PZW1" s="224"/>
      <c r="PZX1" s="224"/>
      <c r="PZY1" s="224"/>
      <c r="PZZ1" s="224"/>
      <c r="QAA1" s="224"/>
      <c r="QAB1" s="224"/>
      <c r="QAC1" s="224"/>
      <c r="QAD1" s="224"/>
      <c r="QAE1" s="224"/>
      <c r="QAF1" s="224"/>
      <c r="QAG1" s="224"/>
      <c r="QAH1" s="224"/>
      <c r="QAI1" s="224"/>
      <c r="QAJ1" s="224"/>
      <c r="QAK1" s="224"/>
      <c r="QAL1" s="224"/>
      <c r="QAM1" s="224"/>
      <c r="QAN1" s="224"/>
      <c r="QAO1" s="224"/>
      <c r="QAP1" s="224"/>
      <c r="QAQ1" s="224"/>
      <c r="QAR1" s="224"/>
      <c r="QAS1" s="224"/>
      <c r="QAT1" s="224"/>
      <c r="QAU1" s="224"/>
      <c r="QAV1" s="224"/>
      <c r="QAW1" s="224"/>
      <c r="QAX1" s="224"/>
      <c r="QAY1" s="224"/>
      <c r="QAZ1" s="224"/>
      <c r="QBA1" s="224"/>
      <c r="QBB1" s="224"/>
      <c r="QBC1" s="224"/>
      <c r="QBD1" s="224"/>
      <c r="QBE1" s="224"/>
      <c r="QBF1" s="224"/>
      <c r="QBG1" s="224"/>
      <c r="QBH1" s="224"/>
      <c r="QBI1" s="224"/>
      <c r="QBJ1" s="224"/>
      <c r="QBK1" s="224"/>
      <c r="QBL1" s="224"/>
      <c r="QBM1" s="224"/>
      <c r="QBN1" s="224"/>
      <c r="QBO1" s="224"/>
      <c r="QBP1" s="224"/>
      <c r="QBQ1" s="224"/>
      <c r="QBR1" s="224"/>
      <c r="QBS1" s="224"/>
      <c r="QBT1" s="224"/>
      <c r="QBU1" s="224"/>
      <c r="QBV1" s="224"/>
      <c r="QBW1" s="224"/>
      <c r="QBX1" s="224"/>
      <c r="QBY1" s="224"/>
      <c r="QBZ1" s="224"/>
      <c r="QCA1" s="224"/>
      <c r="QCB1" s="224"/>
      <c r="QCC1" s="224"/>
      <c r="QCD1" s="224"/>
      <c r="QCE1" s="224"/>
      <c r="QCF1" s="224"/>
      <c r="QCG1" s="224"/>
      <c r="QCH1" s="224"/>
      <c r="QCI1" s="224"/>
      <c r="QCJ1" s="224"/>
      <c r="QCK1" s="224"/>
      <c r="QCL1" s="224"/>
      <c r="QCM1" s="224"/>
      <c r="QCN1" s="224"/>
      <c r="QCO1" s="224"/>
      <c r="QCP1" s="224"/>
      <c r="QCQ1" s="224"/>
      <c r="QCR1" s="224"/>
      <c r="QCS1" s="224"/>
      <c r="QCT1" s="224"/>
      <c r="QCU1" s="224"/>
      <c r="QCV1" s="224"/>
      <c r="QCW1" s="224"/>
      <c r="QCX1" s="224"/>
      <c r="QCY1" s="224"/>
      <c r="QCZ1" s="224"/>
      <c r="QDA1" s="224"/>
      <c r="QDB1" s="224"/>
      <c r="QDC1" s="224"/>
      <c r="QDD1" s="224"/>
      <c r="QDE1" s="224"/>
      <c r="QDF1" s="224"/>
      <c r="QDG1" s="224"/>
      <c r="QDH1" s="224"/>
      <c r="QDI1" s="224"/>
      <c r="QDJ1" s="224"/>
      <c r="QDK1" s="224"/>
      <c r="QDL1" s="224"/>
      <c r="QDM1" s="224"/>
      <c r="QDN1" s="224"/>
      <c r="QDO1" s="224"/>
      <c r="QDP1" s="224"/>
      <c r="QDQ1" s="224"/>
      <c r="QDR1" s="224"/>
      <c r="QDS1" s="224"/>
      <c r="QDT1" s="224"/>
      <c r="QDU1" s="224"/>
      <c r="QDV1" s="224"/>
      <c r="QDW1" s="224"/>
      <c r="QDX1" s="224"/>
      <c r="QDY1" s="224"/>
      <c r="QDZ1" s="224"/>
      <c r="QEA1" s="224"/>
      <c r="QEB1" s="224"/>
      <c r="QEC1" s="224"/>
      <c r="QED1" s="224"/>
      <c r="QEE1" s="224"/>
      <c r="QEF1" s="224"/>
      <c r="QEG1" s="224"/>
      <c r="QEH1" s="224"/>
      <c r="QEI1" s="224"/>
      <c r="QEJ1" s="224"/>
      <c r="QEK1" s="224"/>
      <c r="QEL1" s="224"/>
      <c r="QEM1" s="224"/>
      <c r="QEN1" s="224"/>
      <c r="QEO1" s="224"/>
      <c r="QEP1" s="224"/>
      <c r="QEQ1" s="224"/>
      <c r="QER1" s="224"/>
      <c r="QES1" s="224"/>
      <c r="QET1" s="224"/>
      <c r="QEU1" s="224"/>
      <c r="QEV1" s="224"/>
      <c r="QEW1" s="224"/>
      <c r="QEX1" s="224"/>
      <c r="QEY1" s="224"/>
      <c r="QEZ1" s="224"/>
      <c r="QFA1" s="224"/>
      <c r="QFB1" s="224"/>
      <c r="QFC1" s="224"/>
      <c r="QFD1" s="224"/>
      <c r="QFE1" s="224"/>
      <c r="QFF1" s="224"/>
      <c r="QFG1" s="224"/>
      <c r="QFH1" s="224"/>
      <c r="QFI1" s="224"/>
      <c r="QFJ1" s="224"/>
      <c r="QFK1" s="224"/>
      <c r="QFL1" s="224"/>
      <c r="QFM1" s="224"/>
      <c r="QFN1" s="224"/>
      <c r="QFO1" s="224"/>
      <c r="QFP1" s="224"/>
      <c r="QFQ1" s="224"/>
      <c r="QFR1" s="224"/>
      <c r="QFS1" s="224"/>
      <c r="QFT1" s="224"/>
      <c r="QFU1" s="224"/>
      <c r="QFV1" s="224"/>
      <c r="QFW1" s="224"/>
      <c r="QFX1" s="224"/>
      <c r="QFY1" s="224"/>
      <c r="QFZ1" s="224"/>
      <c r="QGA1" s="224"/>
      <c r="QGB1" s="224"/>
      <c r="QGC1" s="224"/>
      <c r="QGD1" s="224"/>
      <c r="QGE1" s="224"/>
      <c r="QGF1" s="224"/>
      <c r="QGG1" s="224"/>
      <c r="QGH1" s="224"/>
      <c r="QGI1" s="224"/>
      <c r="QGJ1" s="224"/>
      <c r="QGK1" s="224"/>
      <c r="QGL1" s="224"/>
      <c r="QGM1" s="224"/>
      <c r="QGN1" s="224"/>
      <c r="QGO1" s="224"/>
      <c r="QGP1" s="224"/>
      <c r="QGQ1" s="224"/>
      <c r="QGR1" s="224"/>
      <c r="QGS1" s="224"/>
      <c r="QGT1" s="224"/>
      <c r="QGU1" s="224"/>
      <c r="QGV1" s="224"/>
      <c r="QGW1" s="224"/>
      <c r="QGX1" s="224"/>
      <c r="QGY1" s="224"/>
      <c r="QGZ1" s="224"/>
      <c r="QHA1" s="224"/>
      <c r="QHB1" s="224"/>
      <c r="QHC1" s="224"/>
      <c r="QHD1" s="224"/>
      <c r="QHE1" s="224"/>
      <c r="QHF1" s="224"/>
      <c r="QHG1" s="224"/>
      <c r="QHH1" s="224"/>
      <c r="QHI1" s="224"/>
      <c r="QHJ1" s="224"/>
      <c r="QHK1" s="224"/>
      <c r="QHL1" s="224"/>
      <c r="QHM1" s="224"/>
      <c r="QHN1" s="224"/>
      <c r="QHO1" s="224"/>
      <c r="QHP1" s="224"/>
      <c r="QHQ1" s="224"/>
      <c r="QHR1" s="224"/>
      <c r="QHS1" s="224"/>
      <c r="QHT1" s="224"/>
      <c r="QHU1" s="224"/>
      <c r="QHV1" s="224"/>
      <c r="QHW1" s="224"/>
      <c r="QHX1" s="224"/>
      <c r="QHY1" s="224"/>
      <c r="QHZ1" s="224"/>
      <c r="QIA1" s="224"/>
      <c r="QIB1" s="224"/>
      <c r="QIC1" s="224"/>
      <c r="QID1" s="224"/>
      <c r="QIE1" s="224"/>
      <c r="QIF1" s="224"/>
      <c r="QIG1" s="224"/>
      <c r="QIH1" s="224"/>
      <c r="QII1" s="224"/>
      <c r="QIJ1" s="224"/>
      <c r="QIK1" s="224"/>
      <c r="QIL1" s="224"/>
      <c r="QIM1" s="224"/>
      <c r="QIN1" s="224"/>
      <c r="QIO1" s="224"/>
      <c r="QIP1" s="224"/>
      <c r="QIQ1" s="224"/>
      <c r="QIR1" s="224"/>
      <c r="QIS1" s="224"/>
      <c r="QIT1" s="224"/>
      <c r="QIU1" s="224"/>
      <c r="QIV1" s="224"/>
      <c r="QIW1" s="224"/>
      <c r="QIX1" s="224"/>
      <c r="QIY1" s="224"/>
      <c r="QIZ1" s="224"/>
      <c r="QJA1" s="224"/>
      <c r="QJB1" s="224"/>
      <c r="QJC1" s="224"/>
      <c r="QJD1" s="224"/>
      <c r="QJE1" s="224"/>
      <c r="QJF1" s="224"/>
      <c r="QJG1" s="224"/>
      <c r="QJH1" s="224"/>
      <c r="QJI1" s="224"/>
      <c r="QJJ1" s="224"/>
      <c r="QJK1" s="224"/>
      <c r="QJL1" s="224"/>
      <c r="QJM1" s="224"/>
      <c r="QJN1" s="224"/>
      <c r="QJO1" s="224"/>
      <c r="QJP1" s="224"/>
      <c r="QJQ1" s="224"/>
      <c r="QJR1" s="224"/>
      <c r="QJS1" s="224"/>
      <c r="QJT1" s="224"/>
      <c r="QJU1" s="224"/>
      <c r="QJV1" s="224"/>
      <c r="QJW1" s="224"/>
      <c r="QJX1" s="224"/>
      <c r="QJY1" s="224"/>
      <c r="QJZ1" s="224"/>
      <c r="QKA1" s="224"/>
      <c r="QKB1" s="224"/>
      <c r="QKC1" s="224"/>
      <c r="QKD1" s="224"/>
      <c r="QKE1" s="224"/>
      <c r="QKF1" s="224"/>
      <c r="QKG1" s="224"/>
      <c r="QKH1" s="224"/>
      <c r="QKI1" s="224"/>
      <c r="QKJ1" s="224"/>
      <c r="QKK1" s="224"/>
      <c r="QKL1" s="224"/>
      <c r="QKM1" s="224"/>
      <c r="QKN1" s="224"/>
      <c r="QKO1" s="224"/>
      <c r="QKP1" s="224"/>
      <c r="QKQ1" s="224"/>
      <c r="QKR1" s="224"/>
      <c r="QKS1" s="224"/>
      <c r="QKT1" s="224"/>
      <c r="QKU1" s="224"/>
      <c r="QKV1" s="224"/>
      <c r="QKW1" s="224"/>
      <c r="QKX1" s="224"/>
      <c r="QKY1" s="224"/>
      <c r="QKZ1" s="224"/>
      <c r="QLA1" s="224"/>
      <c r="QLB1" s="224"/>
      <c r="QLC1" s="224"/>
      <c r="QLD1" s="224"/>
      <c r="QLE1" s="224"/>
      <c r="QLF1" s="224"/>
      <c r="QLG1" s="224"/>
      <c r="QLH1" s="224"/>
      <c r="QLI1" s="224"/>
      <c r="QLJ1" s="224"/>
      <c r="QLK1" s="224"/>
      <c r="QLL1" s="224"/>
      <c r="QLM1" s="224"/>
      <c r="QLN1" s="224"/>
      <c r="QLO1" s="224"/>
      <c r="QLP1" s="224"/>
      <c r="QLQ1" s="224"/>
      <c r="QLR1" s="224"/>
      <c r="QLS1" s="224"/>
      <c r="QLT1" s="224"/>
      <c r="QLU1" s="224"/>
      <c r="QLV1" s="224"/>
      <c r="QLW1" s="224"/>
      <c r="QLX1" s="224"/>
      <c r="QLY1" s="224"/>
      <c r="QLZ1" s="224"/>
      <c r="QMA1" s="224"/>
      <c r="QMB1" s="224"/>
      <c r="QMC1" s="224"/>
      <c r="QMD1" s="224"/>
      <c r="QME1" s="224"/>
      <c r="QMF1" s="224"/>
      <c r="QMG1" s="224"/>
      <c r="QMH1" s="224"/>
      <c r="QMI1" s="224"/>
      <c r="QMJ1" s="224"/>
      <c r="QMK1" s="224"/>
      <c r="QML1" s="224"/>
      <c r="QMM1" s="224"/>
      <c r="QMN1" s="224"/>
      <c r="QMO1" s="224"/>
      <c r="QMP1" s="224"/>
      <c r="QMQ1" s="224"/>
      <c r="QMR1" s="224"/>
      <c r="QMS1" s="224"/>
      <c r="QMT1" s="224"/>
      <c r="QMU1" s="224"/>
      <c r="QMV1" s="224"/>
      <c r="QMW1" s="224"/>
      <c r="QMX1" s="224"/>
      <c r="QMY1" s="224"/>
      <c r="QMZ1" s="224"/>
      <c r="QNA1" s="224"/>
      <c r="QNB1" s="224"/>
      <c r="QNC1" s="224"/>
      <c r="QND1" s="224"/>
      <c r="QNE1" s="224"/>
      <c r="QNF1" s="224"/>
      <c r="QNG1" s="224"/>
      <c r="QNH1" s="224"/>
      <c r="QNI1" s="224"/>
      <c r="QNJ1" s="224"/>
      <c r="QNK1" s="224"/>
      <c r="QNL1" s="224"/>
      <c r="QNM1" s="224"/>
      <c r="QNN1" s="224"/>
      <c r="QNO1" s="224"/>
      <c r="QNP1" s="224"/>
      <c r="QNQ1" s="224"/>
      <c r="QNR1" s="224"/>
      <c r="QNS1" s="224"/>
      <c r="QNT1" s="224"/>
      <c r="QNU1" s="224"/>
      <c r="QNV1" s="224"/>
      <c r="QNW1" s="224"/>
      <c r="QNX1" s="224"/>
      <c r="QNY1" s="224"/>
      <c r="QNZ1" s="224"/>
      <c r="QOA1" s="224"/>
      <c r="QOB1" s="224"/>
      <c r="QOC1" s="224"/>
      <c r="QOD1" s="224"/>
      <c r="QOE1" s="224"/>
      <c r="QOF1" s="224"/>
      <c r="QOG1" s="224"/>
      <c r="QOH1" s="224"/>
      <c r="QOI1" s="224"/>
      <c r="QOJ1" s="224"/>
      <c r="QOK1" s="224"/>
      <c r="QOL1" s="224"/>
      <c r="QOM1" s="224"/>
      <c r="QON1" s="224"/>
      <c r="QOO1" s="224"/>
      <c r="QOP1" s="224"/>
      <c r="QOQ1" s="224"/>
      <c r="QOR1" s="224"/>
      <c r="QOS1" s="224"/>
      <c r="QOT1" s="224"/>
      <c r="QOU1" s="224"/>
      <c r="QOV1" s="224"/>
      <c r="QOW1" s="224"/>
      <c r="QOX1" s="224"/>
      <c r="QOY1" s="224"/>
      <c r="QOZ1" s="224"/>
      <c r="QPA1" s="224"/>
      <c r="QPB1" s="224"/>
      <c r="QPC1" s="224"/>
      <c r="QPD1" s="224"/>
      <c r="QPE1" s="224"/>
      <c r="QPF1" s="224"/>
      <c r="QPG1" s="224"/>
      <c r="QPH1" s="224"/>
      <c r="QPI1" s="224"/>
      <c r="QPJ1" s="224"/>
      <c r="QPK1" s="224"/>
      <c r="QPL1" s="224"/>
      <c r="QPM1" s="224"/>
      <c r="QPN1" s="224"/>
      <c r="QPO1" s="224"/>
      <c r="QPP1" s="224"/>
      <c r="QPQ1" s="224"/>
      <c r="QPR1" s="224"/>
      <c r="QPS1" s="224"/>
      <c r="QPT1" s="224"/>
      <c r="QPU1" s="224"/>
      <c r="QPV1" s="224"/>
      <c r="QPW1" s="224"/>
      <c r="QPX1" s="224"/>
      <c r="QPY1" s="224"/>
      <c r="QPZ1" s="224"/>
      <c r="QQA1" s="224"/>
      <c r="QQB1" s="224"/>
      <c r="QQC1" s="224"/>
      <c r="QQD1" s="224"/>
      <c r="QQE1" s="224"/>
      <c r="QQF1" s="224"/>
      <c r="QQG1" s="224"/>
      <c r="QQH1" s="224"/>
      <c r="QQI1" s="224"/>
      <c r="QQJ1" s="224"/>
      <c r="QQK1" s="224"/>
      <c r="QQL1" s="224"/>
      <c r="QQM1" s="224"/>
      <c r="QQN1" s="224"/>
      <c r="QQO1" s="224"/>
      <c r="QQP1" s="224"/>
      <c r="QQQ1" s="224"/>
      <c r="QQR1" s="224"/>
      <c r="QQS1" s="224"/>
      <c r="QQT1" s="224"/>
      <c r="QQU1" s="224"/>
      <c r="QQV1" s="224"/>
      <c r="QQW1" s="224"/>
      <c r="QQX1" s="224"/>
      <c r="QQY1" s="224"/>
      <c r="QQZ1" s="224"/>
      <c r="QRA1" s="224"/>
      <c r="QRB1" s="224"/>
      <c r="QRC1" s="224"/>
      <c r="QRD1" s="224"/>
      <c r="QRE1" s="224"/>
      <c r="QRF1" s="224"/>
      <c r="QRG1" s="224"/>
      <c r="QRH1" s="224"/>
      <c r="QRI1" s="224"/>
      <c r="QRJ1" s="224"/>
      <c r="QRK1" s="224"/>
      <c r="QRL1" s="224"/>
      <c r="QRM1" s="224"/>
      <c r="QRN1" s="224"/>
      <c r="QRO1" s="224"/>
      <c r="QRP1" s="224"/>
      <c r="QRQ1" s="224"/>
      <c r="QRR1" s="224"/>
      <c r="QRS1" s="224"/>
      <c r="QRT1" s="224"/>
      <c r="QRU1" s="224"/>
      <c r="QRV1" s="224"/>
      <c r="QRW1" s="224"/>
      <c r="QRX1" s="224"/>
      <c r="QRY1" s="224"/>
      <c r="QRZ1" s="224"/>
      <c r="QSA1" s="224"/>
      <c r="QSB1" s="224"/>
      <c r="QSC1" s="224"/>
      <c r="QSD1" s="224"/>
      <c r="QSE1" s="224"/>
      <c r="QSF1" s="224"/>
      <c r="QSG1" s="224"/>
      <c r="QSH1" s="224"/>
      <c r="QSI1" s="224"/>
      <c r="QSJ1" s="224"/>
      <c r="QSK1" s="224"/>
      <c r="QSL1" s="224"/>
      <c r="QSM1" s="224"/>
      <c r="QSN1" s="224"/>
      <c r="QSO1" s="224"/>
      <c r="QSP1" s="224"/>
      <c r="QSQ1" s="224"/>
      <c r="QSR1" s="224"/>
      <c r="QSS1" s="224"/>
      <c r="QST1" s="224"/>
      <c r="QSU1" s="224"/>
      <c r="QSV1" s="224"/>
      <c r="QSW1" s="224"/>
      <c r="QSX1" s="224"/>
      <c r="QSY1" s="224"/>
      <c r="QSZ1" s="224"/>
      <c r="QTA1" s="224"/>
      <c r="QTB1" s="224"/>
      <c r="QTC1" s="224"/>
      <c r="QTD1" s="224"/>
      <c r="QTE1" s="224"/>
      <c r="QTF1" s="224"/>
      <c r="QTG1" s="224"/>
      <c r="QTH1" s="224"/>
      <c r="QTI1" s="224"/>
      <c r="QTJ1" s="224"/>
      <c r="QTK1" s="224"/>
      <c r="QTL1" s="224"/>
      <c r="QTM1" s="224"/>
      <c r="QTN1" s="224"/>
      <c r="QTO1" s="224"/>
      <c r="QTP1" s="224"/>
      <c r="QTQ1" s="224"/>
      <c r="QTR1" s="224"/>
      <c r="QTS1" s="224"/>
      <c r="QTT1" s="224"/>
      <c r="QTU1" s="224"/>
      <c r="QTV1" s="224"/>
      <c r="QTW1" s="224"/>
      <c r="QTX1" s="224"/>
      <c r="QTY1" s="224"/>
      <c r="QTZ1" s="224"/>
      <c r="QUA1" s="224"/>
      <c r="QUB1" s="224"/>
      <c r="QUC1" s="224"/>
      <c r="QUD1" s="224"/>
      <c r="QUE1" s="224"/>
      <c r="QUF1" s="224"/>
      <c r="QUG1" s="224"/>
      <c r="QUH1" s="224"/>
      <c r="QUI1" s="224"/>
      <c r="QUJ1" s="224"/>
      <c r="QUK1" s="224"/>
      <c r="QUL1" s="224"/>
      <c r="QUM1" s="224"/>
      <c r="QUN1" s="224"/>
      <c r="QUO1" s="224"/>
      <c r="QUP1" s="224"/>
      <c r="QUQ1" s="224"/>
      <c r="QUR1" s="224"/>
      <c r="QUS1" s="224"/>
      <c r="QUT1" s="224"/>
      <c r="QUU1" s="224"/>
      <c r="QUV1" s="224"/>
      <c r="QUW1" s="224"/>
      <c r="QUX1" s="224"/>
      <c r="QUY1" s="224"/>
      <c r="QUZ1" s="224"/>
      <c r="QVA1" s="224"/>
      <c r="QVB1" s="224"/>
      <c r="QVC1" s="224"/>
      <c r="QVD1" s="224"/>
      <c r="QVE1" s="224"/>
      <c r="QVF1" s="224"/>
      <c r="QVG1" s="224"/>
      <c r="QVH1" s="224"/>
      <c r="QVI1" s="224"/>
      <c r="QVJ1" s="224"/>
      <c r="QVK1" s="224"/>
      <c r="QVL1" s="224"/>
      <c r="QVM1" s="224"/>
      <c r="QVN1" s="224"/>
      <c r="QVO1" s="224"/>
      <c r="QVP1" s="224"/>
      <c r="QVQ1" s="224"/>
      <c r="QVR1" s="224"/>
      <c r="QVS1" s="224"/>
      <c r="QVT1" s="224"/>
      <c r="QVU1" s="224"/>
      <c r="QVV1" s="224"/>
      <c r="QVW1" s="224"/>
      <c r="QVX1" s="224"/>
      <c r="QVY1" s="224"/>
      <c r="QVZ1" s="224"/>
      <c r="QWA1" s="224"/>
      <c r="QWB1" s="224"/>
      <c r="QWC1" s="224"/>
      <c r="QWD1" s="224"/>
      <c r="QWE1" s="224"/>
      <c r="QWF1" s="224"/>
      <c r="QWG1" s="224"/>
      <c r="QWH1" s="224"/>
      <c r="QWI1" s="224"/>
      <c r="QWJ1" s="224"/>
      <c r="QWK1" s="224"/>
      <c r="QWL1" s="224"/>
      <c r="QWM1" s="224"/>
      <c r="QWN1" s="224"/>
      <c r="QWO1" s="224"/>
      <c r="QWP1" s="224"/>
      <c r="QWQ1" s="224"/>
      <c r="QWR1" s="224"/>
      <c r="QWS1" s="224"/>
      <c r="QWT1" s="224"/>
      <c r="QWU1" s="224"/>
      <c r="QWV1" s="224"/>
      <c r="QWW1" s="224"/>
      <c r="QWX1" s="224"/>
      <c r="QWY1" s="224"/>
      <c r="QWZ1" s="224"/>
      <c r="QXA1" s="224"/>
      <c r="QXB1" s="224"/>
      <c r="QXC1" s="224"/>
      <c r="QXD1" s="224"/>
      <c r="QXE1" s="224"/>
      <c r="QXF1" s="224"/>
      <c r="QXG1" s="224"/>
      <c r="QXH1" s="224"/>
      <c r="QXI1" s="224"/>
      <c r="QXJ1" s="224"/>
      <c r="QXK1" s="224"/>
      <c r="QXL1" s="224"/>
      <c r="QXM1" s="224"/>
      <c r="QXN1" s="224"/>
      <c r="QXO1" s="224"/>
      <c r="QXP1" s="224"/>
      <c r="QXQ1" s="224"/>
      <c r="QXR1" s="224"/>
      <c r="QXS1" s="224"/>
      <c r="QXT1" s="224"/>
      <c r="QXU1" s="224"/>
      <c r="QXV1" s="224"/>
      <c r="QXW1" s="224"/>
      <c r="QXX1" s="224"/>
      <c r="QXY1" s="224"/>
      <c r="QXZ1" s="224"/>
      <c r="QYA1" s="224"/>
      <c r="QYB1" s="224"/>
      <c r="QYC1" s="224"/>
      <c r="QYD1" s="224"/>
      <c r="QYE1" s="224"/>
      <c r="QYF1" s="224"/>
      <c r="QYG1" s="224"/>
      <c r="QYH1" s="224"/>
      <c r="QYI1" s="224"/>
      <c r="QYJ1" s="224"/>
      <c r="QYK1" s="224"/>
      <c r="QYL1" s="224"/>
      <c r="QYM1" s="224"/>
      <c r="QYN1" s="224"/>
      <c r="QYO1" s="224"/>
      <c r="QYP1" s="224"/>
      <c r="QYQ1" s="224"/>
      <c r="QYR1" s="224"/>
      <c r="QYS1" s="224"/>
      <c r="QYT1" s="224"/>
      <c r="QYU1" s="224"/>
      <c r="QYV1" s="224"/>
      <c r="QYW1" s="224"/>
      <c r="QYX1" s="224"/>
      <c r="QYY1" s="224"/>
      <c r="QYZ1" s="224"/>
      <c r="QZA1" s="224"/>
      <c r="QZB1" s="224"/>
      <c r="QZC1" s="224"/>
      <c r="QZD1" s="224"/>
      <c r="QZE1" s="224"/>
      <c r="QZF1" s="224"/>
      <c r="QZG1" s="224"/>
      <c r="QZH1" s="224"/>
      <c r="QZI1" s="224"/>
      <c r="QZJ1" s="224"/>
      <c r="QZK1" s="224"/>
      <c r="QZL1" s="224"/>
      <c r="QZM1" s="224"/>
      <c r="QZN1" s="224"/>
      <c r="QZO1" s="224"/>
      <c r="QZP1" s="224"/>
      <c r="QZQ1" s="224"/>
      <c r="QZR1" s="224"/>
      <c r="QZS1" s="224"/>
      <c r="QZT1" s="224"/>
      <c r="QZU1" s="224"/>
      <c r="QZV1" s="224"/>
      <c r="QZW1" s="224"/>
      <c r="QZX1" s="224"/>
      <c r="QZY1" s="224"/>
      <c r="QZZ1" s="224"/>
      <c r="RAA1" s="224"/>
      <c r="RAB1" s="224"/>
      <c r="RAC1" s="224"/>
      <c r="RAD1" s="224"/>
      <c r="RAE1" s="224"/>
      <c r="RAF1" s="224"/>
      <c r="RAG1" s="224"/>
      <c r="RAH1" s="224"/>
      <c r="RAI1" s="224"/>
      <c r="RAJ1" s="224"/>
      <c r="RAK1" s="224"/>
      <c r="RAL1" s="224"/>
      <c r="RAM1" s="224"/>
      <c r="RAN1" s="224"/>
      <c r="RAO1" s="224"/>
      <c r="RAP1" s="224"/>
      <c r="RAQ1" s="224"/>
      <c r="RAR1" s="224"/>
      <c r="RAS1" s="224"/>
      <c r="RAT1" s="224"/>
      <c r="RAU1" s="224"/>
      <c r="RAV1" s="224"/>
      <c r="RAW1" s="224"/>
      <c r="RAX1" s="224"/>
      <c r="RAY1" s="224"/>
      <c r="RAZ1" s="224"/>
      <c r="RBA1" s="224"/>
      <c r="RBB1" s="224"/>
      <c r="RBC1" s="224"/>
      <c r="RBD1" s="224"/>
      <c r="RBE1" s="224"/>
      <c r="RBF1" s="224"/>
      <c r="RBG1" s="224"/>
      <c r="RBH1" s="224"/>
      <c r="RBI1" s="224"/>
      <c r="RBJ1" s="224"/>
      <c r="RBK1" s="224"/>
      <c r="RBL1" s="224"/>
      <c r="RBM1" s="224"/>
      <c r="RBN1" s="224"/>
      <c r="RBO1" s="224"/>
      <c r="RBP1" s="224"/>
      <c r="RBQ1" s="224"/>
      <c r="RBR1" s="224"/>
      <c r="RBS1" s="224"/>
      <c r="RBT1" s="224"/>
      <c r="RBU1" s="224"/>
      <c r="RBV1" s="224"/>
      <c r="RBW1" s="224"/>
      <c r="RBX1" s="224"/>
      <c r="RBY1" s="224"/>
      <c r="RBZ1" s="224"/>
      <c r="RCA1" s="224"/>
      <c r="RCB1" s="224"/>
      <c r="RCC1" s="224"/>
      <c r="RCD1" s="224"/>
      <c r="RCE1" s="224"/>
      <c r="RCF1" s="224"/>
      <c r="RCG1" s="224"/>
      <c r="RCH1" s="224"/>
      <c r="RCI1" s="224"/>
      <c r="RCJ1" s="224"/>
      <c r="RCK1" s="224"/>
      <c r="RCL1" s="224"/>
      <c r="RCM1" s="224"/>
      <c r="RCN1" s="224"/>
      <c r="RCO1" s="224"/>
      <c r="RCP1" s="224"/>
      <c r="RCQ1" s="224"/>
      <c r="RCR1" s="224"/>
      <c r="RCS1" s="224"/>
      <c r="RCT1" s="224"/>
      <c r="RCU1" s="224"/>
      <c r="RCV1" s="224"/>
      <c r="RCW1" s="224"/>
      <c r="RCX1" s="224"/>
      <c r="RCY1" s="224"/>
      <c r="RCZ1" s="224"/>
      <c r="RDA1" s="224"/>
      <c r="RDB1" s="224"/>
      <c r="RDC1" s="224"/>
      <c r="RDD1" s="224"/>
      <c r="RDE1" s="224"/>
      <c r="RDF1" s="224"/>
      <c r="RDG1" s="224"/>
      <c r="RDH1" s="224"/>
      <c r="RDI1" s="224"/>
      <c r="RDJ1" s="224"/>
      <c r="RDK1" s="224"/>
      <c r="RDL1" s="224"/>
      <c r="RDM1" s="224"/>
      <c r="RDN1" s="224"/>
      <c r="RDO1" s="224"/>
      <c r="RDP1" s="224"/>
      <c r="RDQ1" s="224"/>
      <c r="RDR1" s="224"/>
      <c r="RDS1" s="224"/>
      <c r="RDT1" s="224"/>
      <c r="RDU1" s="224"/>
      <c r="RDV1" s="224"/>
      <c r="RDW1" s="224"/>
      <c r="RDX1" s="224"/>
      <c r="RDY1" s="224"/>
      <c r="RDZ1" s="224"/>
      <c r="REA1" s="224"/>
      <c r="REB1" s="224"/>
      <c r="REC1" s="224"/>
      <c r="RED1" s="224"/>
      <c r="REE1" s="224"/>
      <c r="REF1" s="224"/>
      <c r="REG1" s="224"/>
      <c r="REH1" s="224"/>
      <c r="REI1" s="224"/>
      <c r="REJ1" s="224"/>
      <c r="REK1" s="224"/>
      <c r="REL1" s="224"/>
      <c r="REM1" s="224"/>
      <c r="REN1" s="224"/>
      <c r="REO1" s="224"/>
      <c r="REP1" s="224"/>
      <c r="REQ1" s="224"/>
      <c r="RER1" s="224"/>
      <c r="RES1" s="224"/>
      <c r="RET1" s="224"/>
      <c r="REU1" s="224"/>
      <c r="REV1" s="224"/>
      <c r="REW1" s="224"/>
      <c r="REX1" s="224"/>
      <c r="REY1" s="224"/>
      <c r="REZ1" s="224"/>
      <c r="RFA1" s="224"/>
      <c r="RFB1" s="224"/>
      <c r="RFC1" s="224"/>
      <c r="RFD1" s="224"/>
      <c r="RFE1" s="224"/>
      <c r="RFF1" s="224"/>
      <c r="RFG1" s="224"/>
      <c r="RFH1" s="224"/>
      <c r="RFI1" s="224"/>
      <c r="RFJ1" s="224"/>
      <c r="RFK1" s="224"/>
      <c r="RFL1" s="224"/>
      <c r="RFM1" s="224"/>
      <c r="RFN1" s="224"/>
      <c r="RFO1" s="224"/>
      <c r="RFP1" s="224"/>
      <c r="RFQ1" s="224"/>
      <c r="RFR1" s="224"/>
      <c r="RFS1" s="224"/>
      <c r="RFT1" s="224"/>
      <c r="RFU1" s="224"/>
      <c r="RFV1" s="224"/>
      <c r="RFW1" s="224"/>
      <c r="RFX1" s="224"/>
      <c r="RFY1" s="224"/>
      <c r="RFZ1" s="224"/>
      <c r="RGA1" s="224"/>
      <c r="RGB1" s="224"/>
      <c r="RGC1" s="224"/>
      <c r="RGD1" s="224"/>
      <c r="RGE1" s="224"/>
      <c r="RGF1" s="224"/>
      <c r="RGG1" s="224"/>
      <c r="RGH1" s="224"/>
      <c r="RGI1" s="224"/>
      <c r="RGJ1" s="224"/>
      <c r="RGK1" s="224"/>
      <c r="RGL1" s="224"/>
      <c r="RGM1" s="224"/>
      <c r="RGN1" s="224"/>
      <c r="RGO1" s="224"/>
      <c r="RGP1" s="224"/>
      <c r="RGQ1" s="224"/>
      <c r="RGR1" s="224"/>
      <c r="RGS1" s="224"/>
      <c r="RGT1" s="224"/>
      <c r="RGU1" s="224"/>
      <c r="RGV1" s="224"/>
      <c r="RGW1" s="224"/>
      <c r="RGX1" s="224"/>
      <c r="RGY1" s="224"/>
      <c r="RGZ1" s="224"/>
      <c r="RHA1" s="224"/>
      <c r="RHB1" s="224"/>
      <c r="RHC1" s="224"/>
      <c r="RHD1" s="224"/>
      <c r="RHE1" s="224"/>
      <c r="RHF1" s="224"/>
      <c r="RHG1" s="224"/>
      <c r="RHH1" s="224"/>
      <c r="RHI1" s="224"/>
      <c r="RHJ1" s="224"/>
      <c r="RHK1" s="224"/>
      <c r="RHL1" s="224"/>
      <c r="RHM1" s="224"/>
      <c r="RHN1" s="224"/>
      <c r="RHO1" s="224"/>
      <c r="RHP1" s="224"/>
      <c r="RHQ1" s="224"/>
      <c r="RHR1" s="224"/>
      <c r="RHS1" s="224"/>
      <c r="RHT1" s="224"/>
      <c r="RHU1" s="224"/>
      <c r="RHV1" s="224"/>
      <c r="RHW1" s="224"/>
      <c r="RHX1" s="224"/>
      <c r="RHY1" s="224"/>
      <c r="RHZ1" s="224"/>
      <c r="RIA1" s="224"/>
      <c r="RIB1" s="224"/>
      <c r="RIC1" s="224"/>
      <c r="RID1" s="224"/>
      <c r="RIE1" s="224"/>
      <c r="RIF1" s="224"/>
      <c r="RIG1" s="224"/>
      <c r="RIH1" s="224"/>
      <c r="RII1" s="224"/>
      <c r="RIJ1" s="224"/>
      <c r="RIK1" s="224"/>
      <c r="RIL1" s="224"/>
      <c r="RIM1" s="224"/>
      <c r="RIN1" s="224"/>
      <c r="RIO1" s="224"/>
      <c r="RIP1" s="224"/>
      <c r="RIQ1" s="224"/>
      <c r="RIR1" s="224"/>
      <c r="RIS1" s="224"/>
      <c r="RIT1" s="224"/>
      <c r="RIU1" s="224"/>
      <c r="RIV1" s="224"/>
      <c r="RIW1" s="224"/>
      <c r="RIX1" s="224"/>
      <c r="RIY1" s="224"/>
      <c r="RIZ1" s="224"/>
      <c r="RJA1" s="224"/>
      <c r="RJB1" s="224"/>
      <c r="RJC1" s="224"/>
      <c r="RJD1" s="224"/>
      <c r="RJE1" s="224"/>
      <c r="RJF1" s="224"/>
      <c r="RJG1" s="224"/>
      <c r="RJH1" s="224"/>
      <c r="RJI1" s="224"/>
      <c r="RJJ1" s="224"/>
      <c r="RJK1" s="224"/>
      <c r="RJL1" s="224"/>
      <c r="RJM1" s="224"/>
      <c r="RJN1" s="224"/>
      <c r="RJO1" s="224"/>
      <c r="RJP1" s="224"/>
      <c r="RJQ1" s="224"/>
      <c r="RJR1" s="224"/>
      <c r="RJS1" s="224"/>
      <c r="RJT1" s="224"/>
      <c r="RJU1" s="224"/>
      <c r="RJV1" s="224"/>
      <c r="RJW1" s="224"/>
      <c r="RJX1" s="224"/>
      <c r="RJY1" s="224"/>
      <c r="RJZ1" s="224"/>
      <c r="RKA1" s="224"/>
      <c r="RKB1" s="224"/>
      <c r="RKC1" s="224"/>
      <c r="RKD1" s="224"/>
      <c r="RKE1" s="224"/>
      <c r="RKF1" s="224"/>
      <c r="RKG1" s="224"/>
      <c r="RKH1" s="224"/>
      <c r="RKI1" s="224"/>
      <c r="RKJ1" s="224"/>
      <c r="RKK1" s="224"/>
      <c r="RKL1" s="224"/>
      <c r="RKM1" s="224"/>
      <c r="RKN1" s="224"/>
      <c r="RKO1" s="224"/>
      <c r="RKP1" s="224"/>
      <c r="RKQ1" s="224"/>
      <c r="RKR1" s="224"/>
      <c r="RKS1" s="224"/>
      <c r="RKT1" s="224"/>
      <c r="RKU1" s="224"/>
      <c r="RKV1" s="224"/>
      <c r="RKW1" s="224"/>
      <c r="RKX1" s="224"/>
      <c r="RKY1" s="224"/>
      <c r="RKZ1" s="224"/>
      <c r="RLA1" s="224"/>
      <c r="RLB1" s="224"/>
      <c r="RLC1" s="224"/>
      <c r="RLD1" s="224"/>
      <c r="RLE1" s="224"/>
      <c r="RLF1" s="224"/>
      <c r="RLG1" s="224"/>
      <c r="RLH1" s="224"/>
      <c r="RLI1" s="224"/>
      <c r="RLJ1" s="224"/>
      <c r="RLK1" s="224"/>
      <c r="RLL1" s="224"/>
      <c r="RLM1" s="224"/>
      <c r="RLN1" s="224"/>
      <c r="RLO1" s="224"/>
      <c r="RLP1" s="224"/>
      <c r="RLQ1" s="224"/>
      <c r="RLR1" s="224"/>
      <c r="RLS1" s="224"/>
      <c r="RLT1" s="224"/>
      <c r="RLU1" s="224"/>
      <c r="RLV1" s="224"/>
      <c r="RLW1" s="224"/>
      <c r="RLX1" s="224"/>
      <c r="RLY1" s="224"/>
      <c r="RLZ1" s="224"/>
      <c r="RMA1" s="224"/>
      <c r="RMB1" s="224"/>
      <c r="RMC1" s="224"/>
      <c r="RMD1" s="224"/>
      <c r="RME1" s="224"/>
      <c r="RMF1" s="224"/>
      <c r="RMG1" s="224"/>
      <c r="RMH1" s="224"/>
      <c r="RMI1" s="224"/>
      <c r="RMJ1" s="224"/>
      <c r="RMK1" s="224"/>
      <c r="RML1" s="224"/>
      <c r="RMM1" s="224"/>
      <c r="RMN1" s="224"/>
      <c r="RMO1" s="224"/>
      <c r="RMP1" s="224"/>
      <c r="RMQ1" s="224"/>
      <c r="RMR1" s="224"/>
      <c r="RMS1" s="224"/>
      <c r="RMT1" s="224"/>
      <c r="RMU1" s="224"/>
      <c r="RMV1" s="224"/>
      <c r="RMW1" s="224"/>
      <c r="RMX1" s="224"/>
      <c r="RMY1" s="224"/>
      <c r="RMZ1" s="224"/>
      <c r="RNA1" s="224"/>
      <c r="RNB1" s="224"/>
      <c r="RNC1" s="224"/>
      <c r="RND1" s="224"/>
      <c r="RNE1" s="224"/>
      <c r="RNF1" s="224"/>
      <c r="RNG1" s="224"/>
      <c r="RNH1" s="224"/>
      <c r="RNI1" s="224"/>
      <c r="RNJ1" s="224"/>
      <c r="RNK1" s="224"/>
      <c r="RNL1" s="224"/>
      <c r="RNM1" s="224"/>
      <c r="RNN1" s="224"/>
      <c r="RNO1" s="224"/>
      <c r="RNP1" s="224"/>
      <c r="RNQ1" s="224"/>
      <c r="RNR1" s="224"/>
      <c r="RNS1" s="224"/>
      <c r="RNT1" s="224"/>
      <c r="RNU1" s="224"/>
      <c r="RNV1" s="224"/>
      <c r="RNW1" s="224"/>
      <c r="RNX1" s="224"/>
      <c r="RNY1" s="224"/>
      <c r="RNZ1" s="224"/>
      <c r="ROA1" s="224"/>
      <c r="ROB1" s="224"/>
      <c r="ROC1" s="224"/>
      <c r="ROD1" s="224"/>
      <c r="ROE1" s="224"/>
      <c r="ROF1" s="224"/>
      <c r="ROG1" s="224"/>
      <c r="ROH1" s="224"/>
      <c r="ROI1" s="224"/>
      <c r="ROJ1" s="224"/>
      <c r="ROK1" s="224"/>
      <c r="ROL1" s="224"/>
      <c r="ROM1" s="224"/>
      <c r="RON1" s="224"/>
      <c r="ROO1" s="224"/>
      <c r="ROP1" s="224"/>
      <c r="ROQ1" s="224"/>
      <c r="ROR1" s="224"/>
      <c r="ROS1" s="224"/>
      <c r="ROT1" s="224"/>
      <c r="ROU1" s="224"/>
      <c r="ROV1" s="224"/>
      <c r="ROW1" s="224"/>
      <c r="ROX1" s="224"/>
      <c r="ROY1" s="224"/>
      <c r="ROZ1" s="224"/>
      <c r="RPA1" s="224"/>
      <c r="RPB1" s="224"/>
      <c r="RPC1" s="224"/>
      <c r="RPD1" s="224"/>
      <c r="RPE1" s="224"/>
      <c r="RPF1" s="224"/>
      <c r="RPG1" s="224"/>
      <c r="RPH1" s="224"/>
      <c r="RPI1" s="224"/>
      <c r="RPJ1" s="224"/>
      <c r="RPK1" s="224"/>
      <c r="RPL1" s="224"/>
      <c r="RPM1" s="224"/>
      <c r="RPN1" s="224"/>
      <c r="RPO1" s="224"/>
      <c r="RPP1" s="224"/>
      <c r="RPQ1" s="224"/>
      <c r="RPR1" s="224"/>
      <c r="RPS1" s="224"/>
      <c r="RPT1" s="224"/>
      <c r="RPU1" s="224"/>
      <c r="RPV1" s="224"/>
      <c r="RPW1" s="224"/>
      <c r="RPX1" s="224"/>
      <c r="RPY1" s="224"/>
      <c r="RPZ1" s="224"/>
      <c r="RQA1" s="224"/>
      <c r="RQB1" s="224"/>
      <c r="RQC1" s="224"/>
      <c r="RQD1" s="224"/>
      <c r="RQE1" s="224"/>
      <c r="RQF1" s="224"/>
      <c r="RQG1" s="224"/>
      <c r="RQH1" s="224"/>
      <c r="RQI1" s="224"/>
      <c r="RQJ1" s="224"/>
      <c r="RQK1" s="224"/>
      <c r="RQL1" s="224"/>
      <c r="RQM1" s="224"/>
      <c r="RQN1" s="224"/>
      <c r="RQO1" s="224"/>
      <c r="RQP1" s="224"/>
      <c r="RQQ1" s="224"/>
      <c r="RQR1" s="224"/>
      <c r="RQS1" s="224"/>
      <c r="RQT1" s="224"/>
      <c r="RQU1" s="224"/>
      <c r="RQV1" s="224"/>
      <c r="RQW1" s="224"/>
      <c r="RQX1" s="224"/>
      <c r="RQY1" s="224"/>
      <c r="RQZ1" s="224"/>
      <c r="RRA1" s="224"/>
      <c r="RRB1" s="224"/>
      <c r="RRC1" s="224"/>
      <c r="RRD1" s="224"/>
      <c r="RRE1" s="224"/>
      <c r="RRF1" s="224"/>
      <c r="RRG1" s="224"/>
      <c r="RRH1" s="224"/>
      <c r="RRI1" s="224"/>
      <c r="RRJ1" s="224"/>
      <c r="RRK1" s="224"/>
      <c r="RRL1" s="224"/>
      <c r="RRM1" s="224"/>
      <c r="RRN1" s="224"/>
      <c r="RRO1" s="224"/>
      <c r="RRP1" s="224"/>
      <c r="RRQ1" s="224"/>
      <c r="RRR1" s="224"/>
      <c r="RRS1" s="224"/>
      <c r="RRT1" s="224"/>
      <c r="RRU1" s="224"/>
      <c r="RRV1" s="224"/>
      <c r="RRW1" s="224"/>
      <c r="RRX1" s="224"/>
      <c r="RRY1" s="224"/>
      <c r="RRZ1" s="224"/>
      <c r="RSA1" s="224"/>
      <c r="RSB1" s="224"/>
      <c r="RSC1" s="224"/>
      <c r="RSD1" s="224"/>
      <c r="RSE1" s="224"/>
      <c r="RSF1" s="224"/>
      <c r="RSG1" s="224"/>
      <c r="RSH1" s="224"/>
      <c r="RSI1" s="224"/>
      <c r="RSJ1" s="224"/>
      <c r="RSK1" s="224"/>
      <c r="RSL1" s="224"/>
      <c r="RSM1" s="224"/>
      <c r="RSN1" s="224"/>
      <c r="RSO1" s="224"/>
      <c r="RSP1" s="224"/>
      <c r="RSQ1" s="224"/>
      <c r="RSR1" s="224"/>
      <c r="RSS1" s="224"/>
      <c r="RST1" s="224"/>
      <c r="RSU1" s="224"/>
      <c r="RSV1" s="224"/>
      <c r="RSW1" s="224"/>
      <c r="RSX1" s="224"/>
      <c r="RSY1" s="224"/>
      <c r="RSZ1" s="224"/>
      <c r="RTA1" s="224"/>
      <c r="RTB1" s="224"/>
      <c r="RTC1" s="224"/>
      <c r="RTD1" s="224"/>
      <c r="RTE1" s="224"/>
      <c r="RTF1" s="224"/>
      <c r="RTG1" s="224"/>
      <c r="RTH1" s="224"/>
      <c r="RTI1" s="224"/>
      <c r="RTJ1" s="224"/>
      <c r="RTK1" s="224"/>
      <c r="RTL1" s="224"/>
      <c r="RTM1" s="224"/>
      <c r="RTN1" s="224"/>
      <c r="RTO1" s="224"/>
      <c r="RTP1" s="224"/>
      <c r="RTQ1" s="224"/>
      <c r="RTR1" s="224"/>
      <c r="RTS1" s="224"/>
      <c r="RTT1" s="224"/>
      <c r="RTU1" s="224"/>
      <c r="RTV1" s="224"/>
      <c r="RTW1" s="224"/>
      <c r="RTX1" s="224"/>
      <c r="RTY1" s="224"/>
      <c r="RTZ1" s="224"/>
      <c r="RUA1" s="224"/>
      <c r="RUB1" s="224"/>
      <c r="RUC1" s="224"/>
      <c r="RUD1" s="224"/>
      <c r="RUE1" s="224"/>
      <c r="RUF1" s="224"/>
      <c r="RUG1" s="224"/>
      <c r="RUH1" s="224"/>
      <c r="RUI1" s="224"/>
      <c r="RUJ1" s="224"/>
      <c r="RUK1" s="224"/>
      <c r="RUL1" s="224"/>
      <c r="RUM1" s="224"/>
      <c r="RUN1" s="224"/>
      <c r="RUO1" s="224"/>
      <c r="RUP1" s="224"/>
      <c r="RUQ1" s="224"/>
      <c r="RUR1" s="224"/>
      <c r="RUS1" s="224"/>
      <c r="RUT1" s="224"/>
      <c r="RUU1" s="224"/>
      <c r="RUV1" s="224"/>
      <c r="RUW1" s="224"/>
      <c r="RUX1" s="224"/>
      <c r="RUY1" s="224"/>
      <c r="RUZ1" s="224"/>
      <c r="RVA1" s="224"/>
      <c r="RVB1" s="224"/>
      <c r="RVC1" s="224"/>
      <c r="RVD1" s="224"/>
      <c r="RVE1" s="224"/>
      <c r="RVF1" s="224"/>
      <c r="RVG1" s="224"/>
      <c r="RVH1" s="224"/>
      <c r="RVI1" s="224"/>
      <c r="RVJ1" s="224"/>
      <c r="RVK1" s="224"/>
      <c r="RVL1" s="224"/>
      <c r="RVM1" s="224"/>
      <c r="RVN1" s="224"/>
      <c r="RVO1" s="224"/>
      <c r="RVP1" s="224"/>
      <c r="RVQ1" s="224"/>
      <c r="RVR1" s="224"/>
      <c r="RVS1" s="224"/>
      <c r="RVT1" s="224"/>
      <c r="RVU1" s="224"/>
      <c r="RVV1" s="224"/>
      <c r="RVW1" s="224"/>
      <c r="RVX1" s="224"/>
      <c r="RVY1" s="224"/>
      <c r="RVZ1" s="224"/>
      <c r="RWA1" s="224"/>
      <c r="RWB1" s="224"/>
      <c r="RWC1" s="224"/>
      <c r="RWD1" s="224"/>
      <c r="RWE1" s="224"/>
      <c r="RWF1" s="224"/>
      <c r="RWG1" s="224"/>
      <c r="RWH1" s="224"/>
      <c r="RWI1" s="224"/>
      <c r="RWJ1" s="224"/>
      <c r="RWK1" s="224"/>
      <c r="RWL1" s="224"/>
      <c r="RWM1" s="224"/>
      <c r="RWN1" s="224"/>
      <c r="RWO1" s="224"/>
      <c r="RWP1" s="224"/>
      <c r="RWQ1" s="224"/>
      <c r="RWR1" s="224"/>
      <c r="RWS1" s="224"/>
      <c r="RWT1" s="224"/>
      <c r="RWU1" s="224"/>
      <c r="RWV1" s="224"/>
      <c r="RWW1" s="224"/>
      <c r="RWX1" s="224"/>
      <c r="RWY1" s="224"/>
      <c r="RWZ1" s="224"/>
      <c r="RXA1" s="224"/>
      <c r="RXB1" s="224"/>
      <c r="RXC1" s="224"/>
      <c r="RXD1" s="224"/>
      <c r="RXE1" s="224"/>
      <c r="RXF1" s="224"/>
      <c r="RXG1" s="224"/>
      <c r="RXH1" s="224"/>
      <c r="RXI1" s="224"/>
      <c r="RXJ1" s="224"/>
      <c r="RXK1" s="224"/>
      <c r="RXL1" s="224"/>
      <c r="RXM1" s="224"/>
      <c r="RXN1" s="224"/>
      <c r="RXO1" s="224"/>
      <c r="RXP1" s="224"/>
      <c r="RXQ1" s="224"/>
      <c r="RXR1" s="224"/>
      <c r="RXS1" s="224"/>
      <c r="RXT1" s="224"/>
      <c r="RXU1" s="224"/>
      <c r="RXV1" s="224"/>
      <c r="RXW1" s="224"/>
      <c r="RXX1" s="224"/>
      <c r="RXY1" s="224"/>
      <c r="RXZ1" s="224"/>
      <c r="RYA1" s="224"/>
      <c r="RYB1" s="224"/>
      <c r="RYC1" s="224"/>
      <c r="RYD1" s="224"/>
      <c r="RYE1" s="224"/>
      <c r="RYF1" s="224"/>
      <c r="RYG1" s="224"/>
      <c r="RYH1" s="224"/>
      <c r="RYI1" s="224"/>
      <c r="RYJ1" s="224"/>
      <c r="RYK1" s="224"/>
      <c r="RYL1" s="224"/>
      <c r="RYM1" s="224"/>
      <c r="RYN1" s="224"/>
      <c r="RYO1" s="224"/>
      <c r="RYP1" s="224"/>
      <c r="RYQ1" s="224"/>
      <c r="RYR1" s="224"/>
      <c r="RYS1" s="224"/>
      <c r="RYT1" s="224"/>
      <c r="RYU1" s="224"/>
      <c r="RYV1" s="224"/>
      <c r="RYW1" s="224"/>
      <c r="RYX1" s="224"/>
      <c r="RYY1" s="224"/>
      <c r="RYZ1" s="224"/>
      <c r="RZA1" s="224"/>
      <c r="RZB1" s="224"/>
      <c r="RZC1" s="224"/>
      <c r="RZD1" s="224"/>
      <c r="RZE1" s="224"/>
      <c r="RZF1" s="224"/>
      <c r="RZG1" s="224"/>
      <c r="RZH1" s="224"/>
      <c r="RZI1" s="224"/>
      <c r="RZJ1" s="224"/>
      <c r="RZK1" s="224"/>
      <c r="RZL1" s="224"/>
      <c r="RZM1" s="224"/>
      <c r="RZN1" s="224"/>
      <c r="RZO1" s="224"/>
      <c r="RZP1" s="224"/>
      <c r="RZQ1" s="224"/>
      <c r="RZR1" s="224"/>
      <c r="RZS1" s="224"/>
      <c r="RZT1" s="224"/>
      <c r="RZU1" s="224"/>
      <c r="RZV1" s="224"/>
      <c r="RZW1" s="224"/>
      <c r="RZX1" s="224"/>
      <c r="RZY1" s="224"/>
      <c r="RZZ1" s="224"/>
      <c r="SAA1" s="224"/>
      <c r="SAB1" s="224"/>
      <c r="SAC1" s="224"/>
      <c r="SAD1" s="224"/>
      <c r="SAE1" s="224"/>
      <c r="SAF1" s="224"/>
      <c r="SAG1" s="224"/>
      <c r="SAH1" s="224"/>
      <c r="SAI1" s="224"/>
      <c r="SAJ1" s="224"/>
      <c r="SAK1" s="224"/>
      <c r="SAL1" s="224"/>
      <c r="SAM1" s="224"/>
      <c r="SAN1" s="224"/>
      <c r="SAO1" s="224"/>
      <c r="SAP1" s="224"/>
      <c r="SAQ1" s="224"/>
      <c r="SAR1" s="224"/>
      <c r="SAS1" s="224"/>
      <c r="SAT1" s="224"/>
      <c r="SAU1" s="224"/>
      <c r="SAV1" s="224"/>
      <c r="SAW1" s="224"/>
      <c r="SAX1" s="224"/>
      <c r="SAY1" s="224"/>
      <c r="SAZ1" s="224"/>
      <c r="SBA1" s="224"/>
      <c r="SBB1" s="224"/>
      <c r="SBC1" s="224"/>
      <c r="SBD1" s="224"/>
      <c r="SBE1" s="224"/>
      <c r="SBF1" s="224"/>
      <c r="SBG1" s="224"/>
      <c r="SBH1" s="224"/>
      <c r="SBI1" s="224"/>
      <c r="SBJ1" s="224"/>
      <c r="SBK1" s="224"/>
      <c r="SBL1" s="224"/>
      <c r="SBM1" s="224"/>
      <c r="SBN1" s="224"/>
      <c r="SBO1" s="224"/>
      <c r="SBP1" s="224"/>
      <c r="SBQ1" s="224"/>
      <c r="SBR1" s="224"/>
      <c r="SBS1" s="224"/>
      <c r="SBT1" s="224"/>
      <c r="SBU1" s="224"/>
      <c r="SBV1" s="224"/>
      <c r="SBW1" s="224"/>
      <c r="SBX1" s="224"/>
      <c r="SBY1" s="224"/>
      <c r="SBZ1" s="224"/>
      <c r="SCA1" s="224"/>
      <c r="SCB1" s="224"/>
      <c r="SCC1" s="224"/>
      <c r="SCD1" s="224"/>
      <c r="SCE1" s="224"/>
      <c r="SCF1" s="224"/>
      <c r="SCG1" s="224"/>
      <c r="SCH1" s="224"/>
      <c r="SCI1" s="224"/>
      <c r="SCJ1" s="224"/>
      <c r="SCK1" s="224"/>
      <c r="SCL1" s="224"/>
      <c r="SCM1" s="224"/>
      <c r="SCN1" s="224"/>
      <c r="SCO1" s="224"/>
      <c r="SCP1" s="224"/>
      <c r="SCQ1" s="224"/>
      <c r="SCR1" s="224"/>
      <c r="SCS1" s="224"/>
      <c r="SCT1" s="224"/>
      <c r="SCU1" s="224"/>
      <c r="SCV1" s="224"/>
      <c r="SCW1" s="224"/>
      <c r="SCX1" s="224"/>
      <c r="SCY1" s="224"/>
      <c r="SCZ1" s="224"/>
      <c r="SDA1" s="224"/>
      <c r="SDB1" s="224"/>
      <c r="SDC1" s="224"/>
      <c r="SDD1" s="224"/>
      <c r="SDE1" s="224"/>
      <c r="SDF1" s="224"/>
      <c r="SDG1" s="224"/>
      <c r="SDH1" s="224"/>
      <c r="SDI1" s="224"/>
      <c r="SDJ1" s="224"/>
      <c r="SDK1" s="224"/>
      <c r="SDL1" s="224"/>
      <c r="SDM1" s="224"/>
      <c r="SDN1" s="224"/>
      <c r="SDO1" s="224"/>
      <c r="SDP1" s="224"/>
      <c r="SDQ1" s="224"/>
      <c r="SDR1" s="224"/>
      <c r="SDS1" s="224"/>
      <c r="SDT1" s="224"/>
      <c r="SDU1" s="224"/>
      <c r="SDV1" s="224"/>
      <c r="SDW1" s="224"/>
      <c r="SDX1" s="224"/>
      <c r="SDY1" s="224"/>
      <c r="SDZ1" s="224"/>
      <c r="SEA1" s="224"/>
      <c r="SEB1" s="224"/>
      <c r="SEC1" s="224"/>
      <c r="SED1" s="224"/>
      <c r="SEE1" s="224"/>
      <c r="SEF1" s="224"/>
      <c r="SEG1" s="224"/>
      <c r="SEH1" s="224"/>
      <c r="SEI1" s="224"/>
      <c r="SEJ1" s="224"/>
      <c r="SEK1" s="224"/>
      <c r="SEL1" s="224"/>
      <c r="SEM1" s="224"/>
      <c r="SEN1" s="224"/>
      <c r="SEO1" s="224"/>
      <c r="SEP1" s="224"/>
      <c r="SEQ1" s="224"/>
      <c r="SER1" s="224"/>
      <c r="SES1" s="224"/>
      <c r="SET1" s="224"/>
      <c r="SEU1" s="224"/>
      <c r="SEV1" s="224"/>
      <c r="SEW1" s="224"/>
      <c r="SEX1" s="224"/>
      <c r="SEY1" s="224"/>
      <c r="SEZ1" s="224"/>
      <c r="SFA1" s="224"/>
      <c r="SFB1" s="224"/>
      <c r="SFC1" s="224"/>
      <c r="SFD1" s="224"/>
      <c r="SFE1" s="224"/>
      <c r="SFF1" s="224"/>
      <c r="SFG1" s="224"/>
      <c r="SFH1" s="224"/>
      <c r="SFI1" s="224"/>
      <c r="SFJ1" s="224"/>
      <c r="SFK1" s="224"/>
      <c r="SFL1" s="224"/>
      <c r="SFM1" s="224"/>
      <c r="SFN1" s="224"/>
      <c r="SFO1" s="224"/>
      <c r="SFP1" s="224"/>
      <c r="SFQ1" s="224"/>
      <c r="SFR1" s="224"/>
      <c r="SFS1" s="224"/>
      <c r="SFT1" s="224"/>
      <c r="SFU1" s="224"/>
      <c r="SFV1" s="224"/>
      <c r="SFW1" s="224"/>
      <c r="SFX1" s="224"/>
      <c r="SFY1" s="224"/>
      <c r="SFZ1" s="224"/>
      <c r="SGA1" s="224"/>
      <c r="SGB1" s="224"/>
      <c r="SGC1" s="224"/>
      <c r="SGD1" s="224"/>
      <c r="SGE1" s="224"/>
      <c r="SGF1" s="224"/>
      <c r="SGG1" s="224"/>
      <c r="SGH1" s="224"/>
      <c r="SGI1" s="224"/>
      <c r="SGJ1" s="224"/>
      <c r="SGK1" s="224"/>
      <c r="SGL1" s="224"/>
      <c r="SGM1" s="224"/>
      <c r="SGN1" s="224"/>
      <c r="SGO1" s="224"/>
      <c r="SGP1" s="224"/>
      <c r="SGQ1" s="224"/>
      <c r="SGR1" s="224"/>
      <c r="SGS1" s="224"/>
      <c r="SGT1" s="224"/>
      <c r="SGU1" s="224"/>
      <c r="SGV1" s="224"/>
      <c r="SGW1" s="224"/>
      <c r="SGX1" s="224"/>
      <c r="SGY1" s="224"/>
      <c r="SGZ1" s="224"/>
      <c r="SHA1" s="224"/>
      <c r="SHB1" s="224"/>
      <c r="SHC1" s="224"/>
      <c r="SHD1" s="224"/>
      <c r="SHE1" s="224"/>
      <c r="SHF1" s="224"/>
      <c r="SHG1" s="224"/>
      <c r="SHH1" s="224"/>
      <c r="SHI1" s="224"/>
      <c r="SHJ1" s="224"/>
      <c r="SHK1" s="224"/>
      <c r="SHL1" s="224"/>
      <c r="SHM1" s="224"/>
      <c r="SHN1" s="224"/>
      <c r="SHO1" s="224"/>
      <c r="SHP1" s="224"/>
      <c r="SHQ1" s="224"/>
      <c r="SHR1" s="224"/>
      <c r="SHS1" s="224"/>
      <c r="SHT1" s="224"/>
      <c r="SHU1" s="224"/>
      <c r="SHV1" s="224"/>
      <c r="SHW1" s="224"/>
      <c r="SHX1" s="224"/>
      <c r="SHY1" s="224"/>
      <c r="SHZ1" s="224"/>
      <c r="SIA1" s="224"/>
      <c r="SIB1" s="224"/>
      <c r="SIC1" s="224"/>
      <c r="SID1" s="224"/>
      <c r="SIE1" s="224"/>
      <c r="SIF1" s="224"/>
      <c r="SIG1" s="224"/>
      <c r="SIH1" s="224"/>
      <c r="SII1" s="224"/>
      <c r="SIJ1" s="224"/>
      <c r="SIK1" s="224"/>
      <c r="SIL1" s="224"/>
      <c r="SIM1" s="224"/>
      <c r="SIN1" s="224"/>
      <c r="SIO1" s="224"/>
      <c r="SIP1" s="224"/>
      <c r="SIQ1" s="224"/>
      <c r="SIR1" s="224"/>
      <c r="SIS1" s="224"/>
      <c r="SIT1" s="224"/>
      <c r="SIU1" s="224"/>
      <c r="SIV1" s="224"/>
      <c r="SIW1" s="224"/>
      <c r="SIX1" s="224"/>
      <c r="SIY1" s="224"/>
      <c r="SIZ1" s="224"/>
      <c r="SJA1" s="224"/>
      <c r="SJB1" s="224"/>
      <c r="SJC1" s="224"/>
      <c r="SJD1" s="224"/>
      <c r="SJE1" s="224"/>
      <c r="SJF1" s="224"/>
      <c r="SJG1" s="224"/>
      <c r="SJH1" s="224"/>
      <c r="SJI1" s="224"/>
      <c r="SJJ1" s="224"/>
      <c r="SJK1" s="224"/>
      <c r="SJL1" s="224"/>
      <c r="SJM1" s="224"/>
      <c r="SJN1" s="224"/>
      <c r="SJO1" s="224"/>
      <c r="SJP1" s="224"/>
      <c r="SJQ1" s="224"/>
      <c r="SJR1" s="224"/>
      <c r="SJS1" s="224"/>
      <c r="SJT1" s="224"/>
      <c r="SJU1" s="224"/>
      <c r="SJV1" s="224"/>
      <c r="SJW1" s="224"/>
      <c r="SJX1" s="224"/>
      <c r="SJY1" s="224"/>
      <c r="SJZ1" s="224"/>
      <c r="SKA1" s="224"/>
      <c r="SKB1" s="224"/>
      <c r="SKC1" s="224"/>
      <c r="SKD1" s="224"/>
      <c r="SKE1" s="224"/>
      <c r="SKF1" s="224"/>
      <c r="SKG1" s="224"/>
      <c r="SKH1" s="224"/>
      <c r="SKI1" s="224"/>
      <c r="SKJ1" s="224"/>
      <c r="SKK1" s="224"/>
      <c r="SKL1" s="224"/>
      <c r="SKM1" s="224"/>
      <c r="SKN1" s="224"/>
      <c r="SKO1" s="224"/>
      <c r="SKP1" s="224"/>
      <c r="SKQ1" s="224"/>
      <c r="SKR1" s="224"/>
      <c r="SKS1" s="224"/>
      <c r="SKT1" s="224"/>
      <c r="SKU1" s="224"/>
      <c r="SKV1" s="224"/>
      <c r="SKW1" s="224"/>
      <c r="SKX1" s="224"/>
      <c r="SKY1" s="224"/>
      <c r="SKZ1" s="224"/>
      <c r="SLA1" s="224"/>
      <c r="SLB1" s="224"/>
      <c r="SLC1" s="224"/>
      <c r="SLD1" s="224"/>
      <c r="SLE1" s="224"/>
      <c r="SLF1" s="224"/>
      <c r="SLG1" s="224"/>
      <c r="SLH1" s="224"/>
      <c r="SLI1" s="224"/>
      <c r="SLJ1" s="224"/>
      <c r="SLK1" s="224"/>
      <c r="SLL1" s="224"/>
      <c r="SLM1" s="224"/>
      <c r="SLN1" s="224"/>
      <c r="SLO1" s="224"/>
      <c r="SLP1" s="224"/>
      <c r="SLQ1" s="224"/>
      <c r="SLR1" s="224"/>
      <c r="SLS1" s="224"/>
      <c r="SLT1" s="224"/>
      <c r="SLU1" s="224"/>
      <c r="SLV1" s="224"/>
      <c r="SLW1" s="224"/>
      <c r="SLX1" s="224"/>
      <c r="SLY1" s="224"/>
      <c r="SLZ1" s="224"/>
      <c r="SMA1" s="224"/>
      <c r="SMB1" s="224"/>
      <c r="SMC1" s="224"/>
      <c r="SMD1" s="224"/>
      <c r="SME1" s="224"/>
      <c r="SMF1" s="224"/>
      <c r="SMG1" s="224"/>
      <c r="SMH1" s="224"/>
      <c r="SMI1" s="224"/>
      <c r="SMJ1" s="224"/>
      <c r="SMK1" s="224"/>
      <c r="SML1" s="224"/>
      <c r="SMM1" s="224"/>
      <c r="SMN1" s="224"/>
      <c r="SMO1" s="224"/>
      <c r="SMP1" s="224"/>
      <c r="SMQ1" s="224"/>
      <c r="SMR1" s="224"/>
      <c r="SMS1" s="224"/>
      <c r="SMT1" s="224"/>
      <c r="SMU1" s="224"/>
      <c r="SMV1" s="224"/>
      <c r="SMW1" s="224"/>
      <c r="SMX1" s="224"/>
      <c r="SMY1" s="224"/>
      <c r="SMZ1" s="224"/>
      <c r="SNA1" s="224"/>
      <c r="SNB1" s="224"/>
      <c r="SNC1" s="224"/>
      <c r="SND1" s="224"/>
      <c r="SNE1" s="224"/>
      <c r="SNF1" s="224"/>
      <c r="SNG1" s="224"/>
      <c r="SNH1" s="224"/>
      <c r="SNI1" s="224"/>
      <c r="SNJ1" s="224"/>
      <c r="SNK1" s="224"/>
      <c r="SNL1" s="224"/>
      <c r="SNM1" s="224"/>
      <c r="SNN1" s="224"/>
      <c r="SNO1" s="224"/>
      <c r="SNP1" s="224"/>
      <c r="SNQ1" s="224"/>
      <c r="SNR1" s="224"/>
      <c r="SNS1" s="224"/>
      <c r="SNT1" s="224"/>
      <c r="SNU1" s="224"/>
      <c r="SNV1" s="224"/>
      <c r="SNW1" s="224"/>
      <c r="SNX1" s="224"/>
      <c r="SNY1" s="224"/>
      <c r="SNZ1" s="224"/>
      <c r="SOA1" s="224"/>
      <c r="SOB1" s="224"/>
      <c r="SOC1" s="224"/>
      <c r="SOD1" s="224"/>
      <c r="SOE1" s="224"/>
      <c r="SOF1" s="224"/>
      <c r="SOG1" s="224"/>
      <c r="SOH1" s="224"/>
      <c r="SOI1" s="224"/>
      <c r="SOJ1" s="224"/>
      <c r="SOK1" s="224"/>
      <c r="SOL1" s="224"/>
      <c r="SOM1" s="224"/>
      <c r="SON1" s="224"/>
      <c r="SOO1" s="224"/>
      <c r="SOP1" s="224"/>
      <c r="SOQ1" s="224"/>
      <c r="SOR1" s="224"/>
      <c r="SOS1" s="224"/>
      <c r="SOT1" s="224"/>
      <c r="SOU1" s="224"/>
      <c r="SOV1" s="224"/>
      <c r="SOW1" s="224"/>
      <c r="SOX1" s="224"/>
      <c r="SOY1" s="224"/>
      <c r="SOZ1" s="224"/>
      <c r="SPA1" s="224"/>
      <c r="SPB1" s="224"/>
      <c r="SPC1" s="224"/>
      <c r="SPD1" s="224"/>
      <c r="SPE1" s="224"/>
      <c r="SPF1" s="224"/>
      <c r="SPG1" s="224"/>
      <c r="SPH1" s="224"/>
      <c r="SPI1" s="224"/>
      <c r="SPJ1" s="224"/>
      <c r="SPK1" s="224"/>
      <c r="SPL1" s="224"/>
      <c r="SPM1" s="224"/>
      <c r="SPN1" s="224"/>
      <c r="SPO1" s="224"/>
      <c r="SPP1" s="224"/>
      <c r="SPQ1" s="224"/>
      <c r="SPR1" s="224"/>
      <c r="SPS1" s="224"/>
      <c r="SPT1" s="224"/>
      <c r="SPU1" s="224"/>
      <c r="SPV1" s="224"/>
      <c r="SPW1" s="224"/>
      <c r="SPX1" s="224"/>
      <c r="SPY1" s="224"/>
      <c r="SPZ1" s="224"/>
      <c r="SQA1" s="224"/>
      <c r="SQB1" s="224"/>
      <c r="SQC1" s="224"/>
      <c r="SQD1" s="224"/>
      <c r="SQE1" s="224"/>
      <c r="SQF1" s="224"/>
      <c r="SQG1" s="224"/>
      <c r="SQH1" s="224"/>
      <c r="SQI1" s="224"/>
      <c r="SQJ1" s="224"/>
      <c r="SQK1" s="224"/>
      <c r="SQL1" s="224"/>
      <c r="SQM1" s="224"/>
      <c r="SQN1" s="224"/>
      <c r="SQO1" s="224"/>
      <c r="SQP1" s="224"/>
      <c r="SQQ1" s="224"/>
      <c r="SQR1" s="224"/>
      <c r="SQS1" s="224"/>
      <c r="SQT1" s="224"/>
      <c r="SQU1" s="224"/>
      <c r="SQV1" s="224"/>
      <c r="SQW1" s="224"/>
      <c r="SQX1" s="224"/>
      <c r="SQY1" s="224"/>
      <c r="SQZ1" s="224"/>
      <c r="SRA1" s="224"/>
      <c r="SRB1" s="224"/>
      <c r="SRC1" s="224"/>
      <c r="SRD1" s="224"/>
      <c r="SRE1" s="224"/>
      <c r="SRF1" s="224"/>
      <c r="SRG1" s="224"/>
      <c r="SRH1" s="224"/>
      <c r="SRI1" s="224"/>
      <c r="SRJ1" s="224"/>
      <c r="SRK1" s="224"/>
      <c r="SRL1" s="224"/>
      <c r="SRM1" s="224"/>
      <c r="SRN1" s="224"/>
      <c r="SRO1" s="224"/>
      <c r="SRP1" s="224"/>
      <c r="SRQ1" s="224"/>
      <c r="SRR1" s="224"/>
      <c r="SRS1" s="224"/>
      <c r="SRT1" s="224"/>
      <c r="SRU1" s="224"/>
      <c r="SRV1" s="224"/>
      <c r="SRW1" s="224"/>
      <c r="SRX1" s="224"/>
      <c r="SRY1" s="224"/>
      <c r="SRZ1" s="224"/>
      <c r="SSA1" s="224"/>
      <c r="SSB1" s="224"/>
      <c r="SSC1" s="224"/>
      <c r="SSD1" s="224"/>
      <c r="SSE1" s="224"/>
      <c r="SSF1" s="224"/>
      <c r="SSG1" s="224"/>
      <c r="SSH1" s="224"/>
      <c r="SSI1" s="224"/>
      <c r="SSJ1" s="224"/>
      <c r="SSK1" s="224"/>
      <c r="SSL1" s="224"/>
      <c r="SSM1" s="224"/>
      <c r="SSN1" s="224"/>
      <c r="SSO1" s="224"/>
      <c r="SSP1" s="224"/>
      <c r="SSQ1" s="224"/>
      <c r="SSR1" s="224"/>
      <c r="SSS1" s="224"/>
      <c r="SST1" s="224"/>
      <c r="SSU1" s="224"/>
      <c r="SSV1" s="224"/>
      <c r="SSW1" s="224"/>
      <c r="SSX1" s="224"/>
      <c r="SSY1" s="224"/>
      <c r="SSZ1" s="224"/>
      <c r="STA1" s="224"/>
      <c r="STB1" s="224"/>
      <c r="STC1" s="224"/>
      <c r="STD1" s="224"/>
      <c r="STE1" s="224"/>
      <c r="STF1" s="224"/>
      <c r="STG1" s="224"/>
      <c r="STH1" s="224"/>
      <c r="STI1" s="224"/>
      <c r="STJ1" s="224"/>
      <c r="STK1" s="224"/>
      <c r="STL1" s="224"/>
      <c r="STM1" s="224"/>
      <c r="STN1" s="224"/>
      <c r="STO1" s="224"/>
      <c r="STP1" s="224"/>
      <c r="STQ1" s="224"/>
      <c r="STR1" s="224"/>
      <c r="STS1" s="224"/>
      <c r="STT1" s="224"/>
      <c r="STU1" s="224"/>
      <c r="STV1" s="224"/>
      <c r="STW1" s="224"/>
      <c r="STX1" s="224"/>
      <c r="STY1" s="224"/>
      <c r="STZ1" s="224"/>
      <c r="SUA1" s="224"/>
      <c r="SUB1" s="224"/>
      <c r="SUC1" s="224"/>
      <c r="SUD1" s="224"/>
      <c r="SUE1" s="224"/>
      <c r="SUF1" s="224"/>
      <c r="SUG1" s="224"/>
      <c r="SUH1" s="224"/>
      <c r="SUI1" s="224"/>
      <c r="SUJ1" s="224"/>
      <c r="SUK1" s="224"/>
      <c r="SUL1" s="224"/>
      <c r="SUM1" s="224"/>
      <c r="SUN1" s="224"/>
      <c r="SUO1" s="224"/>
      <c r="SUP1" s="224"/>
      <c r="SUQ1" s="224"/>
      <c r="SUR1" s="224"/>
      <c r="SUS1" s="224"/>
      <c r="SUT1" s="224"/>
      <c r="SUU1" s="224"/>
      <c r="SUV1" s="224"/>
      <c r="SUW1" s="224"/>
      <c r="SUX1" s="224"/>
      <c r="SUY1" s="224"/>
      <c r="SUZ1" s="224"/>
      <c r="SVA1" s="224"/>
      <c r="SVB1" s="224"/>
      <c r="SVC1" s="224"/>
      <c r="SVD1" s="224"/>
      <c r="SVE1" s="224"/>
      <c r="SVF1" s="224"/>
      <c r="SVG1" s="224"/>
      <c r="SVH1" s="224"/>
      <c r="SVI1" s="224"/>
      <c r="SVJ1" s="224"/>
      <c r="SVK1" s="224"/>
      <c r="SVL1" s="224"/>
      <c r="SVM1" s="224"/>
      <c r="SVN1" s="224"/>
      <c r="SVO1" s="224"/>
      <c r="SVP1" s="224"/>
      <c r="SVQ1" s="224"/>
      <c r="SVR1" s="224"/>
      <c r="SVS1" s="224"/>
      <c r="SVT1" s="224"/>
      <c r="SVU1" s="224"/>
      <c r="SVV1" s="224"/>
      <c r="SVW1" s="224"/>
      <c r="SVX1" s="224"/>
      <c r="SVY1" s="224"/>
      <c r="SVZ1" s="224"/>
      <c r="SWA1" s="224"/>
      <c r="SWB1" s="224"/>
      <c r="SWC1" s="224"/>
      <c r="SWD1" s="224"/>
      <c r="SWE1" s="224"/>
      <c r="SWF1" s="224"/>
      <c r="SWG1" s="224"/>
      <c r="SWH1" s="224"/>
      <c r="SWI1" s="224"/>
      <c r="SWJ1" s="224"/>
      <c r="SWK1" s="224"/>
      <c r="SWL1" s="224"/>
      <c r="SWM1" s="224"/>
      <c r="SWN1" s="224"/>
      <c r="SWO1" s="224"/>
      <c r="SWP1" s="224"/>
      <c r="SWQ1" s="224"/>
      <c r="SWR1" s="224"/>
      <c r="SWS1" s="224"/>
      <c r="SWT1" s="224"/>
      <c r="SWU1" s="224"/>
      <c r="SWV1" s="224"/>
      <c r="SWW1" s="224"/>
      <c r="SWX1" s="224"/>
      <c r="SWY1" s="224"/>
      <c r="SWZ1" s="224"/>
      <c r="SXA1" s="224"/>
      <c r="SXB1" s="224"/>
      <c r="SXC1" s="224"/>
      <c r="SXD1" s="224"/>
      <c r="SXE1" s="224"/>
      <c r="SXF1" s="224"/>
      <c r="SXG1" s="224"/>
      <c r="SXH1" s="224"/>
      <c r="SXI1" s="224"/>
      <c r="SXJ1" s="224"/>
      <c r="SXK1" s="224"/>
      <c r="SXL1" s="224"/>
      <c r="SXM1" s="224"/>
      <c r="SXN1" s="224"/>
      <c r="SXO1" s="224"/>
      <c r="SXP1" s="224"/>
      <c r="SXQ1" s="224"/>
      <c r="SXR1" s="224"/>
      <c r="SXS1" s="224"/>
      <c r="SXT1" s="224"/>
      <c r="SXU1" s="224"/>
      <c r="SXV1" s="224"/>
      <c r="SXW1" s="224"/>
      <c r="SXX1" s="224"/>
      <c r="SXY1" s="224"/>
      <c r="SXZ1" s="224"/>
      <c r="SYA1" s="224"/>
      <c r="SYB1" s="224"/>
      <c r="SYC1" s="224"/>
      <c r="SYD1" s="224"/>
      <c r="SYE1" s="224"/>
      <c r="SYF1" s="224"/>
      <c r="SYG1" s="224"/>
      <c r="SYH1" s="224"/>
      <c r="SYI1" s="224"/>
      <c r="SYJ1" s="224"/>
      <c r="SYK1" s="224"/>
      <c r="SYL1" s="224"/>
      <c r="SYM1" s="224"/>
      <c r="SYN1" s="224"/>
      <c r="SYO1" s="224"/>
      <c r="SYP1" s="224"/>
      <c r="SYQ1" s="224"/>
      <c r="SYR1" s="224"/>
      <c r="SYS1" s="224"/>
      <c r="SYT1" s="224"/>
      <c r="SYU1" s="224"/>
      <c r="SYV1" s="224"/>
      <c r="SYW1" s="224"/>
      <c r="SYX1" s="224"/>
      <c r="SYY1" s="224"/>
      <c r="SYZ1" s="224"/>
      <c r="SZA1" s="224"/>
      <c r="SZB1" s="224"/>
      <c r="SZC1" s="224"/>
      <c r="SZD1" s="224"/>
      <c r="SZE1" s="224"/>
      <c r="SZF1" s="224"/>
      <c r="SZG1" s="224"/>
      <c r="SZH1" s="224"/>
      <c r="SZI1" s="224"/>
      <c r="SZJ1" s="224"/>
      <c r="SZK1" s="224"/>
      <c r="SZL1" s="224"/>
      <c r="SZM1" s="224"/>
      <c r="SZN1" s="224"/>
      <c r="SZO1" s="224"/>
      <c r="SZP1" s="224"/>
      <c r="SZQ1" s="224"/>
      <c r="SZR1" s="224"/>
      <c r="SZS1" s="224"/>
      <c r="SZT1" s="224"/>
      <c r="SZU1" s="224"/>
      <c r="SZV1" s="224"/>
      <c r="SZW1" s="224"/>
      <c r="SZX1" s="224"/>
      <c r="SZY1" s="224"/>
      <c r="SZZ1" s="224"/>
      <c r="TAA1" s="224"/>
      <c r="TAB1" s="224"/>
      <c r="TAC1" s="224"/>
      <c r="TAD1" s="224"/>
      <c r="TAE1" s="224"/>
      <c r="TAF1" s="224"/>
      <c r="TAG1" s="224"/>
      <c r="TAH1" s="224"/>
      <c r="TAI1" s="224"/>
      <c r="TAJ1" s="224"/>
      <c r="TAK1" s="224"/>
      <c r="TAL1" s="224"/>
      <c r="TAM1" s="224"/>
      <c r="TAN1" s="224"/>
      <c r="TAO1" s="224"/>
      <c r="TAP1" s="224"/>
      <c r="TAQ1" s="224"/>
      <c r="TAR1" s="224"/>
      <c r="TAS1" s="224"/>
      <c r="TAT1" s="224"/>
      <c r="TAU1" s="224"/>
      <c r="TAV1" s="224"/>
      <c r="TAW1" s="224"/>
      <c r="TAX1" s="224"/>
      <c r="TAY1" s="224"/>
      <c r="TAZ1" s="224"/>
      <c r="TBA1" s="224"/>
      <c r="TBB1" s="224"/>
      <c r="TBC1" s="224"/>
      <c r="TBD1" s="224"/>
      <c r="TBE1" s="224"/>
      <c r="TBF1" s="224"/>
      <c r="TBG1" s="224"/>
      <c r="TBH1" s="224"/>
      <c r="TBI1" s="224"/>
      <c r="TBJ1" s="224"/>
      <c r="TBK1" s="224"/>
      <c r="TBL1" s="224"/>
      <c r="TBM1" s="224"/>
      <c r="TBN1" s="224"/>
      <c r="TBO1" s="224"/>
      <c r="TBP1" s="224"/>
      <c r="TBQ1" s="224"/>
      <c r="TBR1" s="224"/>
      <c r="TBS1" s="224"/>
      <c r="TBT1" s="224"/>
      <c r="TBU1" s="224"/>
      <c r="TBV1" s="224"/>
      <c r="TBW1" s="224"/>
      <c r="TBX1" s="224"/>
      <c r="TBY1" s="224"/>
      <c r="TBZ1" s="224"/>
      <c r="TCA1" s="224"/>
      <c r="TCB1" s="224"/>
      <c r="TCC1" s="224"/>
      <c r="TCD1" s="224"/>
      <c r="TCE1" s="224"/>
      <c r="TCF1" s="224"/>
      <c r="TCG1" s="224"/>
      <c r="TCH1" s="224"/>
      <c r="TCI1" s="224"/>
      <c r="TCJ1" s="224"/>
      <c r="TCK1" s="224"/>
      <c r="TCL1" s="224"/>
      <c r="TCM1" s="224"/>
      <c r="TCN1" s="224"/>
      <c r="TCO1" s="224"/>
      <c r="TCP1" s="224"/>
      <c r="TCQ1" s="224"/>
      <c r="TCR1" s="224"/>
      <c r="TCS1" s="224"/>
      <c r="TCT1" s="224"/>
      <c r="TCU1" s="224"/>
      <c r="TCV1" s="224"/>
      <c r="TCW1" s="224"/>
      <c r="TCX1" s="224"/>
      <c r="TCY1" s="224"/>
      <c r="TCZ1" s="224"/>
      <c r="TDA1" s="224"/>
      <c r="TDB1" s="224"/>
      <c r="TDC1" s="224"/>
      <c r="TDD1" s="224"/>
      <c r="TDE1" s="224"/>
      <c r="TDF1" s="224"/>
      <c r="TDG1" s="224"/>
      <c r="TDH1" s="224"/>
      <c r="TDI1" s="224"/>
      <c r="TDJ1" s="224"/>
      <c r="TDK1" s="224"/>
      <c r="TDL1" s="224"/>
      <c r="TDM1" s="224"/>
      <c r="TDN1" s="224"/>
      <c r="TDO1" s="224"/>
      <c r="TDP1" s="224"/>
      <c r="TDQ1" s="224"/>
      <c r="TDR1" s="224"/>
      <c r="TDS1" s="224"/>
      <c r="TDT1" s="224"/>
      <c r="TDU1" s="224"/>
      <c r="TDV1" s="224"/>
      <c r="TDW1" s="224"/>
      <c r="TDX1" s="224"/>
      <c r="TDY1" s="224"/>
      <c r="TDZ1" s="224"/>
      <c r="TEA1" s="224"/>
      <c r="TEB1" s="224"/>
      <c r="TEC1" s="224"/>
      <c r="TED1" s="224"/>
      <c r="TEE1" s="224"/>
      <c r="TEF1" s="224"/>
      <c r="TEG1" s="224"/>
      <c r="TEH1" s="224"/>
      <c r="TEI1" s="224"/>
      <c r="TEJ1" s="224"/>
      <c r="TEK1" s="224"/>
      <c r="TEL1" s="224"/>
      <c r="TEM1" s="224"/>
      <c r="TEN1" s="224"/>
      <c r="TEO1" s="224"/>
      <c r="TEP1" s="224"/>
      <c r="TEQ1" s="224"/>
      <c r="TER1" s="224"/>
      <c r="TES1" s="224"/>
      <c r="TET1" s="224"/>
      <c r="TEU1" s="224"/>
      <c r="TEV1" s="224"/>
      <c r="TEW1" s="224"/>
      <c r="TEX1" s="224"/>
      <c r="TEY1" s="224"/>
      <c r="TEZ1" s="224"/>
      <c r="TFA1" s="224"/>
      <c r="TFB1" s="224"/>
      <c r="TFC1" s="224"/>
      <c r="TFD1" s="224"/>
      <c r="TFE1" s="224"/>
      <c r="TFF1" s="224"/>
      <c r="TFG1" s="224"/>
      <c r="TFH1" s="224"/>
      <c r="TFI1" s="224"/>
      <c r="TFJ1" s="224"/>
      <c r="TFK1" s="224"/>
      <c r="TFL1" s="224"/>
      <c r="TFM1" s="224"/>
      <c r="TFN1" s="224"/>
      <c r="TFO1" s="224"/>
      <c r="TFP1" s="224"/>
      <c r="TFQ1" s="224"/>
      <c r="TFR1" s="224"/>
      <c r="TFS1" s="224"/>
      <c r="TFT1" s="224"/>
      <c r="TFU1" s="224"/>
      <c r="TFV1" s="224"/>
      <c r="TFW1" s="224"/>
      <c r="TFX1" s="224"/>
      <c r="TFY1" s="224"/>
      <c r="TFZ1" s="224"/>
      <c r="TGA1" s="224"/>
      <c r="TGB1" s="224"/>
      <c r="TGC1" s="224"/>
      <c r="TGD1" s="224"/>
      <c r="TGE1" s="224"/>
      <c r="TGF1" s="224"/>
      <c r="TGG1" s="224"/>
      <c r="TGH1" s="224"/>
      <c r="TGI1" s="224"/>
      <c r="TGJ1" s="224"/>
      <c r="TGK1" s="224"/>
      <c r="TGL1" s="224"/>
      <c r="TGM1" s="224"/>
      <c r="TGN1" s="224"/>
      <c r="TGO1" s="224"/>
      <c r="TGP1" s="224"/>
      <c r="TGQ1" s="224"/>
      <c r="TGR1" s="224"/>
      <c r="TGS1" s="224"/>
      <c r="TGT1" s="224"/>
      <c r="TGU1" s="224"/>
      <c r="TGV1" s="224"/>
      <c r="TGW1" s="224"/>
      <c r="TGX1" s="224"/>
      <c r="TGY1" s="224"/>
      <c r="TGZ1" s="224"/>
      <c r="THA1" s="224"/>
      <c r="THB1" s="224"/>
      <c r="THC1" s="224"/>
      <c r="THD1" s="224"/>
      <c r="THE1" s="224"/>
      <c r="THF1" s="224"/>
      <c r="THG1" s="224"/>
      <c r="THH1" s="224"/>
      <c r="THI1" s="224"/>
      <c r="THJ1" s="224"/>
      <c r="THK1" s="224"/>
      <c r="THL1" s="224"/>
      <c r="THM1" s="224"/>
      <c r="THN1" s="224"/>
      <c r="THO1" s="224"/>
      <c r="THP1" s="224"/>
      <c r="THQ1" s="224"/>
      <c r="THR1" s="224"/>
      <c r="THS1" s="224"/>
      <c r="THT1" s="224"/>
      <c r="THU1" s="224"/>
      <c r="THV1" s="224"/>
      <c r="THW1" s="224"/>
      <c r="THX1" s="224"/>
      <c r="THY1" s="224"/>
      <c r="THZ1" s="224"/>
      <c r="TIA1" s="224"/>
      <c r="TIB1" s="224"/>
      <c r="TIC1" s="224"/>
      <c r="TID1" s="224"/>
      <c r="TIE1" s="224"/>
      <c r="TIF1" s="224"/>
      <c r="TIG1" s="224"/>
      <c r="TIH1" s="224"/>
      <c r="TII1" s="224"/>
      <c r="TIJ1" s="224"/>
      <c r="TIK1" s="224"/>
      <c r="TIL1" s="224"/>
      <c r="TIM1" s="224"/>
      <c r="TIN1" s="224"/>
      <c r="TIO1" s="224"/>
      <c r="TIP1" s="224"/>
      <c r="TIQ1" s="224"/>
      <c r="TIR1" s="224"/>
      <c r="TIS1" s="224"/>
      <c r="TIT1" s="224"/>
      <c r="TIU1" s="224"/>
      <c r="TIV1" s="224"/>
      <c r="TIW1" s="224"/>
      <c r="TIX1" s="224"/>
      <c r="TIY1" s="224"/>
      <c r="TIZ1" s="224"/>
      <c r="TJA1" s="224"/>
      <c r="TJB1" s="224"/>
      <c r="TJC1" s="224"/>
      <c r="TJD1" s="224"/>
      <c r="TJE1" s="224"/>
      <c r="TJF1" s="224"/>
      <c r="TJG1" s="224"/>
      <c r="TJH1" s="224"/>
      <c r="TJI1" s="224"/>
      <c r="TJJ1" s="224"/>
      <c r="TJK1" s="224"/>
      <c r="TJL1" s="224"/>
      <c r="TJM1" s="224"/>
      <c r="TJN1" s="224"/>
      <c r="TJO1" s="224"/>
      <c r="TJP1" s="224"/>
      <c r="TJQ1" s="224"/>
      <c r="TJR1" s="224"/>
      <c r="TJS1" s="224"/>
      <c r="TJT1" s="224"/>
      <c r="TJU1" s="224"/>
      <c r="TJV1" s="224"/>
      <c r="TJW1" s="224"/>
      <c r="TJX1" s="224"/>
      <c r="TJY1" s="224"/>
      <c r="TJZ1" s="224"/>
      <c r="TKA1" s="224"/>
      <c r="TKB1" s="224"/>
      <c r="TKC1" s="224"/>
      <c r="TKD1" s="224"/>
      <c r="TKE1" s="224"/>
      <c r="TKF1" s="224"/>
      <c r="TKG1" s="224"/>
      <c r="TKH1" s="224"/>
      <c r="TKI1" s="224"/>
      <c r="TKJ1" s="224"/>
      <c r="TKK1" s="224"/>
      <c r="TKL1" s="224"/>
      <c r="TKM1" s="224"/>
      <c r="TKN1" s="224"/>
      <c r="TKO1" s="224"/>
      <c r="TKP1" s="224"/>
      <c r="TKQ1" s="224"/>
      <c r="TKR1" s="224"/>
      <c r="TKS1" s="224"/>
      <c r="TKT1" s="224"/>
      <c r="TKU1" s="224"/>
      <c r="TKV1" s="224"/>
      <c r="TKW1" s="224"/>
      <c r="TKX1" s="224"/>
      <c r="TKY1" s="224"/>
      <c r="TKZ1" s="224"/>
      <c r="TLA1" s="224"/>
      <c r="TLB1" s="224"/>
      <c r="TLC1" s="224"/>
      <c r="TLD1" s="224"/>
      <c r="TLE1" s="224"/>
      <c r="TLF1" s="224"/>
      <c r="TLG1" s="224"/>
      <c r="TLH1" s="224"/>
      <c r="TLI1" s="224"/>
      <c r="TLJ1" s="224"/>
      <c r="TLK1" s="224"/>
      <c r="TLL1" s="224"/>
      <c r="TLM1" s="224"/>
      <c r="TLN1" s="224"/>
      <c r="TLO1" s="224"/>
      <c r="TLP1" s="224"/>
      <c r="TLQ1" s="224"/>
      <c r="TLR1" s="224"/>
      <c r="TLS1" s="224"/>
      <c r="TLT1" s="224"/>
      <c r="TLU1" s="224"/>
      <c r="TLV1" s="224"/>
      <c r="TLW1" s="224"/>
      <c r="TLX1" s="224"/>
      <c r="TLY1" s="224"/>
      <c r="TLZ1" s="224"/>
      <c r="TMA1" s="224"/>
      <c r="TMB1" s="224"/>
      <c r="TMC1" s="224"/>
      <c r="TMD1" s="224"/>
      <c r="TME1" s="224"/>
      <c r="TMF1" s="224"/>
      <c r="TMG1" s="224"/>
      <c r="TMH1" s="224"/>
      <c r="TMI1" s="224"/>
      <c r="TMJ1" s="224"/>
      <c r="TMK1" s="224"/>
      <c r="TML1" s="224"/>
      <c r="TMM1" s="224"/>
      <c r="TMN1" s="224"/>
      <c r="TMO1" s="224"/>
      <c r="TMP1" s="224"/>
      <c r="TMQ1" s="224"/>
      <c r="TMR1" s="224"/>
      <c r="TMS1" s="224"/>
      <c r="TMT1" s="224"/>
      <c r="TMU1" s="224"/>
      <c r="TMV1" s="224"/>
      <c r="TMW1" s="224"/>
      <c r="TMX1" s="224"/>
      <c r="TMY1" s="224"/>
      <c r="TMZ1" s="224"/>
      <c r="TNA1" s="224"/>
      <c r="TNB1" s="224"/>
      <c r="TNC1" s="224"/>
      <c r="TND1" s="224"/>
      <c r="TNE1" s="224"/>
      <c r="TNF1" s="224"/>
      <c r="TNG1" s="224"/>
      <c r="TNH1" s="224"/>
      <c r="TNI1" s="224"/>
      <c r="TNJ1" s="224"/>
      <c r="TNK1" s="224"/>
      <c r="TNL1" s="224"/>
      <c r="TNM1" s="224"/>
      <c r="TNN1" s="224"/>
      <c r="TNO1" s="224"/>
      <c r="TNP1" s="224"/>
      <c r="TNQ1" s="224"/>
      <c r="TNR1" s="224"/>
      <c r="TNS1" s="224"/>
      <c r="TNT1" s="224"/>
      <c r="TNU1" s="224"/>
      <c r="TNV1" s="224"/>
      <c r="TNW1" s="224"/>
      <c r="TNX1" s="224"/>
      <c r="TNY1" s="224"/>
      <c r="TNZ1" s="224"/>
      <c r="TOA1" s="224"/>
      <c r="TOB1" s="224"/>
      <c r="TOC1" s="224"/>
      <c r="TOD1" s="224"/>
      <c r="TOE1" s="224"/>
      <c r="TOF1" s="224"/>
      <c r="TOG1" s="224"/>
      <c r="TOH1" s="224"/>
      <c r="TOI1" s="224"/>
      <c r="TOJ1" s="224"/>
      <c r="TOK1" s="224"/>
      <c r="TOL1" s="224"/>
      <c r="TOM1" s="224"/>
      <c r="TON1" s="224"/>
      <c r="TOO1" s="224"/>
      <c r="TOP1" s="224"/>
      <c r="TOQ1" s="224"/>
      <c r="TOR1" s="224"/>
      <c r="TOS1" s="224"/>
      <c r="TOT1" s="224"/>
      <c r="TOU1" s="224"/>
      <c r="TOV1" s="224"/>
      <c r="TOW1" s="224"/>
      <c r="TOX1" s="224"/>
      <c r="TOY1" s="224"/>
      <c r="TOZ1" s="224"/>
      <c r="TPA1" s="224"/>
      <c r="TPB1" s="224"/>
      <c r="TPC1" s="224"/>
      <c r="TPD1" s="224"/>
      <c r="TPE1" s="224"/>
      <c r="TPF1" s="224"/>
      <c r="TPG1" s="224"/>
      <c r="TPH1" s="224"/>
      <c r="TPI1" s="224"/>
      <c r="TPJ1" s="224"/>
      <c r="TPK1" s="224"/>
      <c r="TPL1" s="224"/>
      <c r="TPM1" s="224"/>
      <c r="TPN1" s="224"/>
      <c r="TPO1" s="224"/>
      <c r="TPP1" s="224"/>
      <c r="TPQ1" s="224"/>
      <c r="TPR1" s="224"/>
      <c r="TPS1" s="224"/>
      <c r="TPT1" s="224"/>
      <c r="TPU1" s="224"/>
      <c r="TPV1" s="224"/>
      <c r="TPW1" s="224"/>
      <c r="TPX1" s="224"/>
      <c r="TPY1" s="224"/>
      <c r="TPZ1" s="224"/>
      <c r="TQA1" s="224"/>
      <c r="TQB1" s="224"/>
      <c r="TQC1" s="224"/>
      <c r="TQD1" s="224"/>
      <c r="TQE1" s="224"/>
      <c r="TQF1" s="224"/>
      <c r="TQG1" s="224"/>
      <c r="TQH1" s="224"/>
      <c r="TQI1" s="224"/>
      <c r="TQJ1" s="224"/>
      <c r="TQK1" s="224"/>
      <c r="TQL1" s="224"/>
      <c r="TQM1" s="224"/>
      <c r="TQN1" s="224"/>
      <c r="TQO1" s="224"/>
      <c r="TQP1" s="224"/>
      <c r="TQQ1" s="224"/>
      <c r="TQR1" s="224"/>
      <c r="TQS1" s="224"/>
      <c r="TQT1" s="224"/>
      <c r="TQU1" s="224"/>
      <c r="TQV1" s="224"/>
      <c r="TQW1" s="224"/>
      <c r="TQX1" s="224"/>
      <c r="TQY1" s="224"/>
      <c r="TQZ1" s="224"/>
      <c r="TRA1" s="224"/>
      <c r="TRB1" s="224"/>
      <c r="TRC1" s="224"/>
      <c r="TRD1" s="224"/>
      <c r="TRE1" s="224"/>
      <c r="TRF1" s="224"/>
      <c r="TRG1" s="224"/>
      <c r="TRH1" s="224"/>
      <c r="TRI1" s="224"/>
      <c r="TRJ1" s="224"/>
      <c r="TRK1" s="224"/>
      <c r="TRL1" s="224"/>
      <c r="TRM1" s="224"/>
      <c r="TRN1" s="224"/>
      <c r="TRO1" s="224"/>
      <c r="TRP1" s="224"/>
      <c r="TRQ1" s="224"/>
      <c r="TRR1" s="224"/>
      <c r="TRS1" s="224"/>
      <c r="TRT1" s="224"/>
      <c r="TRU1" s="224"/>
      <c r="TRV1" s="224"/>
      <c r="TRW1" s="224"/>
      <c r="TRX1" s="224"/>
      <c r="TRY1" s="224"/>
      <c r="TRZ1" s="224"/>
      <c r="TSA1" s="224"/>
      <c r="TSB1" s="224"/>
      <c r="TSC1" s="224"/>
      <c r="TSD1" s="224"/>
      <c r="TSE1" s="224"/>
      <c r="TSF1" s="224"/>
      <c r="TSG1" s="224"/>
      <c r="TSH1" s="224"/>
      <c r="TSI1" s="224"/>
      <c r="TSJ1" s="224"/>
      <c r="TSK1" s="224"/>
      <c r="TSL1" s="224"/>
      <c r="TSM1" s="224"/>
      <c r="TSN1" s="224"/>
      <c r="TSO1" s="224"/>
      <c r="TSP1" s="224"/>
      <c r="TSQ1" s="224"/>
      <c r="TSR1" s="224"/>
      <c r="TSS1" s="224"/>
      <c r="TST1" s="224"/>
      <c r="TSU1" s="224"/>
      <c r="TSV1" s="224"/>
      <c r="TSW1" s="224"/>
      <c r="TSX1" s="224"/>
      <c r="TSY1" s="224"/>
      <c r="TSZ1" s="224"/>
      <c r="TTA1" s="224"/>
      <c r="TTB1" s="224"/>
      <c r="TTC1" s="224"/>
      <c r="TTD1" s="224"/>
      <c r="TTE1" s="224"/>
      <c r="TTF1" s="224"/>
      <c r="TTG1" s="224"/>
      <c r="TTH1" s="224"/>
      <c r="TTI1" s="224"/>
      <c r="TTJ1" s="224"/>
      <c r="TTK1" s="224"/>
      <c r="TTL1" s="224"/>
      <c r="TTM1" s="224"/>
      <c r="TTN1" s="224"/>
      <c r="TTO1" s="224"/>
      <c r="TTP1" s="224"/>
      <c r="TTQ1" s="224"/>
      <c r="TTR1" s="224"/>
      <c r="TTS1" s="224"/>
      <c r="TTT1" s="224"/>
      <c r="TTU1" s="224"/>
      <c r="TTV1" s="224"/>
      <c r="TTW1" s="224"/>
      <c r="TTX1" s="224"/>
      <c r="TTY1" s="224"/>
      <c r="TTZ1" s="224"/>
      <c r="TUA1" s="224"/>
      <c r="TUB1" s="224"/>
      <c r="TUC1" s="224"/>
      <c r="TUD1" s="224"/>
      <c r="TUE1" s="224"/>
      <c r="TUF1" s="224"/>
      <c r="TUG1" s="224"/>
      <c r="TUH1" s="224"/>
      <c r="TUI1" s="224"/>
      <c r="TUJ1" s="224"/>
      <c r="TUK1" s="224"/>
      <c r="TUL1" s="224"/>
      <c r="TUM1" s="224"/>
      <c r="TUN1" s="224"/>
      <c r="TUO1" s="224"/>
      <c r="TUP1" s="224"/>
      <c r="TUQ1" s="224"/>
      <c r="TUR1" s="224"/>
      <c r="TUS1" s="224"/>
      <c r="TUT1" s="224"/>
      <c r="TUU1" s="224"/>
      <c r="TUV1" s="224"/>
      <c r="TUW1" s="224"/>
      <c r="TUX1" s="224"/>
      <c r="TUY1" s="224"/>
      <c r="TUZ1" s="224"/>
      <c r="TVA1" s="224"/>
      <c r="TVB1" s="224"/>
      <c r="TVC1" s="224"/>
      <c r="TVD1" s="224"/>
      <c r="TVE1" s="224"/>
      <c r="TVF1" s="224"/>
      <c r="TVG1" s="224"/>
      <c r="TVH1" s="224"/>
      <c r="TVI1" s="224"/>
      <c r="TVJ1" s="224"/>
      <c r="TVK1" s="224"/>
      <c r="TVL1" s="224"/>
      <c r="TVM1" s="224"/>
      <c r="TVN1" s="224"/>
      <c r="TVO1" s="224"/>
      <c r="TVP1" s="224"/>
      <c r="TVQ1" s="224"/>
      <c r="TVR1" s="224"/>
      <c r="TVS1" s="224"/>
      <c r="TVT1" s="224"/>
      <c r="TVU1" s="224"/>
      <c r="TVV1" s="224"/>
      <c r="TVW1" s="224"/>
      <c r="TVX1" s="224"/>
      <c r="TVY1" s="224"/>
      <c r="TVZ1" s="224"/>
      <c r="TWA1" s="224"/>
      <c r="TWB1" s="224"/>
      <c r="TWC1" s="224"/>
      <c r="TWD1" s="224"/>
      <c r="TWE1" s="224"/>
      <c r="TWF1" s="224"/>
      <c r="TWG1" s="224"/>
      <c r="TWH1" s="224"/>
      <c r="TWI1" s="224"/>
      <c r="TWJ1" s="224"/>
      <c r="TWK1" s="224"/>
      <c r="TWL1" s="224"/>
      <c r="TWM1" s="224"/>
      <c r="TWN1" s="224"/>
      <c r="TWO1" s="224"/>
      <c r="TWP1" s="224"/>
      <c r="TWQ1" s="224"/>
      <c r="TWR1" s="224"/>
      <c r="TWS1" s="224"/>
      <c r="TWT1" s="224"/>
      <c r="TWU1" s="224"/>
      <c r="TWV1" s="224"/>
      <c r="TWW1" s="224"/>
      <c r="TWX1" s="224"/>
      <c r="TWY1" s="224"/>
      <c r="TWZ1" s="224"/>
      <c r="TXA1" s="224"/>
      <c r="TXB1" s="224"/>
      <c r="TXC1" s="224"/>
      <c r="TXD1" s="224"/>
      <c r="TXE1" s="224"/>
      <c r="TXF1" s="224"/>
      <c r="TXG1" s="224"/>
      <c r="TXH1" s="224"/>
      <c r="TXI1" s="224"/>
      <c r="TXJ1" s="224"/>
      <c r="TXK1" s="224"/>
      <c r="TXL1" s="224"/>
      <c r="TXM1" s="224"/>
      <c r="TXN1" s="224"/>
      <c r="TXO1" s="224"/>
      <c r="TXP1" s="224"/>
      <c r="TXQ1" s="224"/>
      <c r="TXR1" s="224"/>
      <c r="TXS1" s="224"/>
      <c r="TXT1" s="224"/>
      <c r="TXU1" s="224"/>
      <c r="TXV1" s="224"/>
      <c r="TXW1" s="224"/>
      <c r="TXX1" s="224"/>
      <c r="TXY1" s="224"/>
      <c r="TXZ1" s="224"/>
      <c r="TYA1" s="224"/>
      <c r="TYB1" s="224"/>
      <c r="TYC1" s="224"/>
      <c r="TYD1" s="224"/>
      <c r="TYE1" s="224"/>
      <c r="TYF1" s="224"/>
      <c r="TYG1" s="224"/>
      <c r="TYH1" s="224"/>
      <c r="TYI1" s="224"/>
      <c r="TYJ1" s="224"/>
      <c r="TYK1" s="224"/>
      <c r="TYL1" s="224"/>
      <c r="TYM1" s="224"/>
      <c r="TYN1" s="224"/>
      <c r="TYO1" s="224"/>
      <c r="TYP1" s="224"/>
      <c r="TYQ1" s="224"/>
      <c r="TYR1" s="224"/>
      <c r="TYS1" s="224"/>
      <c r="TYT1" s="224"/>
      <c r="TYU1" s="224"/>
      <c r="TYV1" s="224"/>
      <c r="TYW1" s="224"/>
      <c r="TYX1" s="224"/>
      <c r="TYY1" s="224"/>
      <c r="TYZ1" s="224"/>
      <c r="TZA1" s="224"/>
      <c r="TZB1" s="224"/>
      <c r="TZC1" s="224"/>
      <c r="TZD1" s="224"/>
      <c r="TZE1" s="224"/>
      <c r="TZF1" s="224"/>
      <c r="TZG1" s="224"/>
      <c r="TZH1" s="224"/>
      <c r="TZI1" s="224"/>
      <c r="TZJ1" s="224"/>
      <c r="TZK1" s="224"/>
      <c r="TZL1" s="224"/>
      <c r="TZM1" s="224"/>
      <c r="TZN1" s="224"/>
      <c r="TZO1" s="224"/>
      <c r="TZP1" s="224"/>
      <c r="TZQ1" s="224"/>
      <c r="TZR1" s="224"/>
      <c r="TZS1" s="224"/>
      <c r="TZT1" s="224"/>
      <c r="TZU1" s="224"/>
      <c r="TZV1" s="224"/>
      <c r="TZW1" s="224"/>
      <c r="TZX1" s="224"/>
      <c r="TZY1" s="224"/>
      <c r="TZZ1" s="224"/>
      <c r="UAA1" s="224"/>
      <c r="UAB1" s="224"/>
      <c r="UAC1" s="224"/>
      <c r="UAD1" s="224"/>
      <c r="UAE1" s="224"/>
      <c r="UAF1" s="224"/>
      <c r="UAG1" s="224"/>
      <c r="UAH1" s="224"/>
      <c r="UAI1" s="224"/>
      <c r="UAJ1" s="224"/>
      <c r="UAK1" s="224"/>
      <c r="UAL1" s="224"/>
      <c r="UAM1" s="224"/>
      <c r="UAN1" s="224"/>
      <c r="UAO1" s="224"/>
      <c r="UAP1" s="224"/>
      <c r="UAQ1" s="224"/>
      <c r="UAR1" s="224"/>
      <c r="UAS1" s="224"/>
      <c r="UAT1" s="224"/>
      <c r="UAU1" s="224"/>
      <c r="UAV1" s="224"/>
      <c r="UAW1" s="224"/>
      <c r="UAX1" s="224"/>
      <c r="UAY1" s="224"/>
      <c r="UAZ1" s="224"/>
      <c r="UBA1" s="224"/>
      <c r="UBB1" s="224"/>
      <c r="UBC1" s="224"/>
      <c r="UBD1" s="224"/>
      <c r="UBE1" s="224"/>
      <c r="UBF1" s="224"/>
      <c r="UBG1" s="224"/>
      <c r="UBH1" s="224"/>
      <c r="UBI1" s="224"/>
      <c r="UBJ1" s="224"/>
      <c r="UBK1" s="224"/>
      <c r="UBL1" s="224"/>
      <c r="UBM1" s="224"/>
      <c r="UBN1" s="224"/>
      <c r="UBO1" s="224"/>
      <c r="UBP1" s="224"/>
      <c r="UBQ1" s="224"/>
      <c r="UBR1" s="224"/>
      <c r="UBS1" s="224"/>
      <c r="UBT1" s="224"/>
      <c r="UBU1" s="224"/>
      <c r="UBV1" s="224"/>
      <c r="UBW1" s="224"/>
      <c r="UBX1" s="224"/>
      <c r="UBY1" s="224"/>
      <c r="UBZ1" s="224"/>
      <c r="UCA1" s="224"/>
      <c r="UCB1" s="224"/>
      <c r="UCC1" s="224"/>
      <c r="UCD1" s="224"/>
      <c r="UCE1" s="224"/>
      <c r="UCF1" s="224"/>
      <c r="UCG1" s="224"/>
      <c r="UCH1" s="224"/>
      <c r="UCI1" s="224"/>
      <c r="UCJ1" s="224"/>
      <c r="UCK1" s="224"/>
      <c r="UCL1" s="224"/>
      <c r="UCM1" s="224"/>
      <c r="UCN1" s="224"/>
      <c r="UCO1" s="224"/>
      <c r="UCP1" s="224"/>
      <c r="UCQ1" s="224"/>
      <c r="UCR1" s="224"/>
      <c r="UCS1" s="224"/>
      <c r="UCT1" s="224"/>
      <c r="UCU1" s="224"/>
      <c r="UCV1" s="224"/>
      <c r="UCW1" s="224"/>
      <c r="UCX1" s="224"/>
      <c r="UCY1" s="224"/>
      <c r="UCZ1" s="224"/>
      <c r="UDA1" s="224"/>
      <c r="UDB1" s="224"/>
      <c r="UDC1" s="224"/>
      <c r="UDD1" s="224"/>
      <c r="UDE1" s="224"/>
      <c r="UDF1" s="224"/>
      <c r="UDG1" s="224"/>
      <c r="UDH1" s="224"/>
      <c r="UDI1" s="224"/>
      <c r="UDJ1" s="224"/>
      <c r="UDK1" s="224"/>
      <c r="UDL1" s="224"/>
      <c r="UDM1" s="224"/>
      <c r="UDN1" s="224"/>
      <c r="UDO1" s="224"/>
      <c r="UDP1" s="224"/>
      <c r="UDQ1" s="224"/>
      <c r="UDR1" s="224"/>
      <c r="UDS1" s="224"/>
      <c r="UDT1" s="224"/>
      <c r="UDU1" s="224"/>
      <c r="UDV1" s="224"/>
      <c r="UDW1" s="224"/>
      <c r="UDX1" s="224"/>
      <c r="UDY1" s="224"/>
      <c r="UDZ1" s="224"/>
      <c r="UEA1" s="224"/>
      <c r="UEB1" s="224"/>
      <c r="UEC1" s="224"/>
      <c r="UED1" s="224"/>
      <c r="UEE1" s="224"/>
      <c r="UEF1" s="224"/>
      <c r="UEG1" s="224"/>
      <c r="UEH1" s="224"/>
      <c r="UEI1" s="224"/>
      <c r="UEJ1" s="224"/>
      <c r="UEK1" s="224"/>
      <c r="UEL1" s="224"/>
      <c r="UEM1" s="224"/>
      <c r="UEN1" s="224"/>
      <c r="UEO1" s="224"/>
      <c r="UEP1" s="224"/>
      <c r="UEQ1" s="224"/>
      <c r="UER1" s="224"/>
      <c r="UES1" s="224"/>
      <c r="UET1" s="224"/>
      <c r="UEU1" s="224"/>
      <c r="UEV1" s="224"/>
      <c r="UEW1" s="224"/>
      <c r="UEX1" s="224"/>
      <c r="UEY1" s="224"/>
      <c r="UEZ1" s="224"/>
      <c r="UFA1" s="224"/>
      <c r="UFB1" s="224"/>
      <c r="UFC1" s="224"/>
      <c r="UFD1" s="224"/>
      <c r="UFE1" s="224"/>
      <c r="UFF1" s="224"/>
      <c r="UFG1" s="224"/>
      <c r="UFH1" s="224"/>
      <c r="UFI1" s="224"/>
      <c r="UFJ1" s="224"/>
      <c r="UFK1" s="224"/>
      <c r="UFL1" s="224"/>
      <c r="UFM1" s="224"/>
      <c r="UFN1" s="224"/>
      <c r="UFO1" s="224"/>
      <c r="UFP1" s="224"/>
      <c r="UFQ1" s="224"/>
      <c r="UFR1" s="224"/>
      <c r="UFS1" s="224"/>
      <c r="UFT1" s="224"/>
      <c r="UFU1" s="224"/>
      <c r="UFV1" s="224"/>
      <c r="UFW1" s="224"/>
      <c r="UFX1" s="224"/>
      <c r="UFY1" s="224"/>
      <c r="UFZ1" s="224"/>
      <c r="UGA1" s="224"/>
      <c r="UGB1" s="224"/>
      <c r="UGC1" s="224"/>
      <c r="UGD1" s="224"/>
      <c r="UGE1" s="224"/>
      <c r="UGF1" s="224"/>
      <c r="UGG1" s="224"/>
      <c r="UGH1" s="224"/>
      <c r="UGI1" s="224"/>
      <c r="UGJ1" s="224"/>
      <c r="UGK1" s="224"/>
      <c r="UGL1" s="224"/>
      <c r="UGM1" s="224"/>
      <c r="UGN1" s="224"/>
      <c r="UGO1" s="224"/>
      <c r="UGP1" s="224"/>
      <c r="UGQ1" s="224"/>
      <c r="UGR1" s="224"/>
      <c r="UGS1" s="224"/>
      <c r="UGT1" s="224"/>
      <c r="UGU1" s="224"/>
      <c r="UGV1" s="224"/>
      <c r="UGW1" s="224"/>
      <c r="UGX1" s="224"/>
      <c r="UGY1" s="224"/>
      <c r="UGZ1" s="224"/>
      <c r="UHA1" s="224"/>
      <c r="UHB1" s="224"/>
      <c r="UHC1" s="224"/>
      <c r="UHD1" s="224"/>
      <c r="UHE1" s="224"/>
      <c r="UHF1" s="224"/>
      <c r="UHG1" s="224"/>
      <c r="UHH1" s="224"/>
      <c r="UHI1" s="224"/>
      <c r="UHJ1" s="224"/>
      <c r="UHK1" s="224"/>
      <c r="UHL1" s="224"/>
      <c r="UHM1" s="224"/>
      <c r="UHN1" s="224"/>
      <c r="UHO1" s="224"/>
      <c r="UHP1" s="224"/>
      <c r="UHQ1" s="224"/>
      <c r="UHR1" s="224"/>
      <c r="UHS1" s="224"/>
      <c r="UHT1" s="224"/>
      <c r="UHU1" s="224"/>
      <c r="UHV1" s="224"/>
      <c r="UHW1" s="224"/>
      <c r="UHX1" s="224"/>
      <c r="UHY1" s="224"/>
      <c r="UHZ1" s="224"/>
      <c r="UIA1" s="224"/>
      <c r="UIB1" s="224"/>
      <c r="UIC1" s="224"/>
      <c r="UID1" s="224"/>
      <c r="UIE1" s="224"/>
      <c r="UIF1" s="224"/>
      <c r="UIG1" s="224"/>
      <c r="UIH1" s="224"/>
      <c r="UII1" s="224"/>
      <c r="UIJ1" s="224"/>
      <c r="UIK1" s="224"/>
      <c r="UIL1" s="224"/>
      <c r="UIM1" s="224"/>
      <c r="UIN1" s="224"/>
      <c r="UIO1" s="224"/>
      <c r="UIP1" s="224"/>
      <c r="UIQ1" s="224"/>
      <c r="UIR1" s="224"/>
      <c r="UIS1" s="224"/>
      <c r="UIT1" s="224"/>
      <c r="UIU1" s="224"/>
      <c r="UIV1" s="224"/>
      <c r="UIW1" s="224"/>
      <c r="UIX1" s="224"/>
      <c r="UIY1" s="224"/>
      <c r="UIZ1" s="224"/>
      <c r="UJA1" s="224"/>
      <c r="UJB1" s="224"/>
      <c r="UJC1" s="224"/>
      <c r="UJD1" s="224"/>
      <c r="UJE1" s="224"/>
      <c r="UJF1" s="224"/>
      <c r="UJG1" s="224"/>
      <c r="UJH1" s="224"/>
      <c r="UJI1" s="224"/>
      <c r="UJJ1" s="224"/>
      <c r="UJK1" s="224"/>
      <c r="UJL1" s="224"/>
      <c r="UJM1" s="224"/>
      <c r="UJN1" s="224"/>
      <c r="UJO1" s="224"/>
      <c r="UJP1" s="224"/>
      <c r="UJQ1" s="224"/>
      <c r="UJR1" s="224"/>
      <c r="UJS1" s="224"/>
      <c r="UJT1" s="224"/>
      <c r="UJU1" s="224"/>
      <c r="UJV1" s="224"/>
      <c r="UJW1" s="224"/>
      <c r="UJX1" s="224"/>
      <c r="UJY1" s="224"/>
      <c r="UJZ1" s="224"/>
      <c r="UKA1" s="224"/>
      <c r="UKB1" s="224"/>
      <c r="UKC1" s="224"/>
      <c r="UKD1" s="224"/>
      <c r="UKE1" s="224"/>
      <c r="UKF1" s="224"/>
      <c r="UKG1" s="224"/>
      <c r="UKH1" s="224"/>
      <c r="UKI1" s="224"/>
      <c r="UKJ1" s="224"/>
      <c r="UKK1" s="224"/>
      <c r="UKL1" s="224"/>
      <c r="UKM1" s="224"/>
      <c r="UKN1" s="224"/>
      <c r="UKO1" s="224"/>
      <c r="UKP1" s="224"/>
      <c r="UKQ1" s="224"/>
      <c r="UKR1" s="224"/>
      <c r="UKS1" s="224"/>
      <c r="UKT1" s="224"/>
      <c r="UKU1" s="224"/>
      <c r="UKV1" s="224"/>
      <c r="UKW1" s="224"/>
      <c r="UKX1" s="224"/>
      <c r="UKY1" s="224"/>
      <c r="UKZ1" s="224"/>
      <c r="ULA1" s="224"/>
      <c r="ULB1" s="224"/>
      <c r="ULC1" s="224"/>
      <c r="ULD1" s="224"/>
      <c r="ULE1" s="224"/>
      <c r="ULF1" s="224"/>
      <c r="ULG1" s="224"/>
      <c r="ULH1" s="224"/>
      <c r="ULI1" s="224"/>
      <c r="ULJ1" s="224"/>
      <c r="ULK1" s="224"/>
      <c r="ULL1" s="224"/>
      <c r="ULM1" s="224"/>
      <c r="ULN1" s="224"/>
      <c r="ULO1" s="224"/>
      <c r="ULP1" s="224"/>
      <c r="ULQ1" s="224"/>
      <c r="ULR1" s="224"/>
      <c r="ULS1" s="224"/>
      <c r="ULT1" s="224"/>
      <c r="ULU1" s="224"/>
      <c r="ULV1" s="224"/>
      <c r="ULW1" s="224"/>
      <c r="ULX1" s="224"/>
      <c r="ULY1" s="224"/>
      <c r="ULZ1" s="224"/>
      <c r="UMA1" s="224"/>
      <c r="UMB1" s="224"/>
      <c r="UMC1" s="224"/>
      <c r="UMD1" s="224"/>
      <c r="UME1" s="224"/>
      <c r="UMF1" s="224"/>
      <c r="UMG1" s="224"/>
      <c r="UMH1" s="224"/>
      <c r="UMI1" s="224"/>
      <c r="UMJ1" s="224"/>
      <c r="UMK1" s="224"/>
      <c r="UML1" s="224"/>
      <c r="UMM1" s="224"/>
      <c r="UMN1" s="224"/>
      <c r="UMO1" s="224"/>
      <c r="UMP1" s="224"/>
      <c r="UMQ1" s="224"/>
      <c r="UMR1" s="224"/>
      <c r="UMS1" s="224"/>
      <c r="UMT1" s="224"/>
      <c r="UMU1" s="224"/>
      <c r="UMV1" s="224"/>
      <c r="UMW1" s="224"/>
      <c r="UMX1" s="224"/>
      <c r="UMY1" s="224"/>
      <c r="UMZ1" s="224"/>
      <c r="UNA1" s="224"/>
      <c r="UNB1" s="224"/>
      <c r="UNC1" s="224"/>
      <c r="UND1" s="224"/>
      <c r="UNE1" s="224"/>
      <c r="UNF1" s="224"/>
      <c r="UNG1" s="224"/>
      <c r="UNH1" s="224"/>
      <c r="UNI1" s="224"/>
      <c r="UNJ1" s="224"/>
      <c r="UNK1" s="224"/>
      <c r="UNL1" s="224"/>
      <c r="UNM1" s="224"/>
      <c r="UNN1" s="224"/>
      <c r="UNO1" s="224"/>
      <c r="UNP1" s="224"/>
      <c r="UNQ1" s="224"/>
      <c r="UNR1" s="224"/>
      <c r="UNS1" s="224"/>
      <c r="UNT1" s="224"/>
      <c r="UNU1" s="224"/>
      <c r="UNV1" s="224"/>
      <c r="UNW1" s="224"/>
      <c r="UNX1" s="224"/>
      <c r="UNY1" s="224"/>
      <c r="UNZ1" s="224"/>
      <c r="UOA1" s="224"/>
      <c r="UOB1" s="224"/>
      <c r="UOC1" s="224"/>
      <c r="UOD1" s="224"/>
      <c r="UOE1" s="224"/>
      <c r="UOF1" s="224"/>
      <c r="UOG1" s="224"/>
      <c r="UOH1" s="224"/>
      <c r="UOI1" s="224"/>
      <c r="UOJ1" s="224"/>
      <c r="UOK1" s="224"/>
      <c r="UOL1" s="224"/>
      <c r="UOM1" s="224"/>
      <c r="UON1" s="224"/>
      <c r="UOO1" s="224"/>
      <c r="UOP1" s="224"/>
      <c r="UOQ1" s="224"/>
      <c r="UOR1" s="224"/>
      <c r="UOS1" s="224"/>
      <c r="UOT1" s="224"/>
      <c r="UOU1" s="224"/>
      <c r="UOV1" s="224"/>
      <c r="UOW1" s="224"/>
      <c r="UOX1" s="224"/>
      <c r="UOY1" s="224"/>
      <c r="UOZ1" s="224"/>
      <c r="UPA1" s="224"/>
      <c r="UPB1" s="224"/>
      <c r="UPC1" s="224"/>
      <c r="UPD1" s="224"/>
      <c r="UPE1" s="224"/>
      <c r="UPF1" s="224"/>
      <c r="UPG1" s="224"/>
      <c r="UPH1" s="224"/>
      <c r="UPI1" s="224"/>
      <c r="UPJ1" s="224"/>
      <c r="UPK1" s="224"/>
      <c r="UPL1" s="224"/>
      <c r="UPM1" s="224"/>
      <c r="UPN1" s="224"/>
      <c r="UPO1" s="224"/>
      <c r="UPP1" s="224"/>
      <c r="UPQ1" s="224"/>
      <c r="UPR1" s="224"/>
      <c r="UPS1" s="224"/>
      <c r="UPT1" s="224"/>
      <c r="UPU1" s="224"/>
      <c r="UPV1" s="224"/>
      <c r="UPW1" s="224"/>
      <c r="UPX1" s="224"/>
      <c r="UPY1" s="224"/>
      <c r="UPZ1" s="224"/>
      <c r="UQA1" s="224"/>
      <c r="UQB1" s="224"/>
      <c r="UQC1" s="224"/>
      <c r="UQD1" s="224"/>
      <c r="UQE1" s="224"/>
      <c r="UQF1" s="224"/>
      <c r="UQG1" s="224"/>
      <c r="UQH1" s="224"/>
      <c r="UQI1" s="224"/>
      <c r="UQJ1" s="224"/>
      <c r="UQK1" s="224"/>
      <c r="UQL1" s="224"/>
      <c r="UQM1" s="224"/>
      <c r="UQN1" s="224"/>
      <c r="UQO1" s="224"/>
      <c r="UQP1" s="224"/>
      <c r="UQQ1" s="224"/>
      <c r="UQR1" s="224"/>
      <c r="UQS1" s="224"/>
      <c r="UQT1" s="224"/>
      <c r="UQU1" s="224"/>
      <c r="UQV1" s="224"/>
      <c r="UQW1" s="224"/>
      <c r="UQX1" s="224"/>
      <c r="UQY1" s="224"/>
      <c r="UQZ1" s="224"/>
      <c r="URA1" s="224"/>
      <c r="URB1" s="224"/>
      <c r="URC1" s="224"/>
      <c r="URD1" s="224"/>
      <c r="URE1" s="224"/>
      <c r="URF1" s="224"/>
      <c r="URG1" s="224"/>
      <c r="URH1" s="224"/>
      <c r="URI1" s="224"/>
      <c r="URJ1" s="224"/>
      <c r="URK1" s="224"/>
      <c r="URL1" s="224"/>
      <c r="URM1" s="224"/>
      <c r="URN1" s="224"/>
      <c r="URO1" s="224"/>
      <c r="URP1" s="224"/>
      <c r="URQ1" s="224"/>
      <c r="URR1" s="224"/>
      <c r="URS1" s="224"/>
      <c r="URT1" s="224"/>
      <c r="URU1" s="224"/>
      <c r="URV1" s="224"/>
      <c r="URW1" s="224"/>
      <c r="URX1" s="224"/>
      <c r="URY1" s="224"/>
      <c r="URZ1" s="224"/>
      <c r="USA1" s="224"/>
      <c r="USB1" s="224"/>
      <c r="USC1" s="224"/>
      <c r="USD1" s="224"/>
      <c r="USE1" s="224"/>
      <c r="USF1" s="224"/>
      <c r="USG1" s="224"/>
      <c r="USH1" s="224"/>
      <c r="USI1" s="224"/>
      <c r="USJ1" s="224"/>
      <c r="USK1" s="224"/>
      <c r="USL1" s="224"/>
      <c r="USM1" s="224"/>
      <c r="USN1" s="224"/>
      <c r="USO1" s="224"/>
      <c r="USP1" s="224"/>
      <c r="USQ1" s="224"/>
      <c r="USR1" s="224"/>
      <c r="USS1" s="224"/>
      <c r="UST1" s="224"/>
      <c r="USU1" s="224"/>
      <c r="USV1" s="224"/>
      <c r="USW1" s="224"/>
      <c r="USX1" s="224"/>
      <c r="USY1" s="224"/>
      <c r="USZ1" s="224"/>
      <c r="UTA1" s="224"/>
      <c r="UTB1" s="224"/>
      <c r="UTC1" s="224"/>
      <c r="UTD1" s="224"/>
      <c r="UTE1" s="224"/>
      <c r="UTF1" s="224"/>
      <c r="UTG1" s="224"/>
      <c r="UTH1" s="224"/>
      <c r="UTI1" s="224"/>
      <c r="UTJ1" s="224"/>
      <c r="UTK1" s="224"/>
      <c r="UTL1" s="224"/>
      <c r="UTM1" s="224"/>
      <c r="UTN1" s="224"/>
      <c r="UTO1" s="224"/>
      <c r="UTP1" s="224"/>
      <c r="UTQ1" s="224"/>
      <c r="UTR1" s="224"/>
      <c r="UTS1" s="224"/>
      <c r="UTT1" s="224"/>
      <c r="UTU1" s="224"/>
      <c r="UTV1" s="224"/>
      <c r="UTW1" s="224"/>
      <c r="UTX1" s="224"/>
      <c r="UTY1" s="224"/>
      <c r="UTZ1" s="224"/>
      <c r="UUA1" s="224"/>
      <c r="UUB1" s="224"/>
      <c r="UUC1" s="224"/>
      <c r="UUD1" s="224"/>
      <c r="UUE1" s="224"/>
      <c r="UUF1" s="224"/>
      <c r="UUG1" s="224"/>
      <c r="UUH1" s="224"/>
      <c r="UUI1" s="224"/>
      <c r="UUJ1" s="224"/>
      <c r="UUK1" s="224"/>
      <c r="UUL1" s="224"/>
      <c r="UUM1" s="224"/>
      <c r="UUN1" s="224"/>
      <c r="UUO1" s="224"/>
      <c r="UUP1" s="224"/>
      <c r="UUQ1" s="224"/>
      <c r="UUR1" s="224"/>
      <c r="UUS1" s="224"/>
      <c r="UUT1" s="224"/>
      <c r="UUU1" s="224"/>
      <c r="UUV1" s="224"/>
      <c r="UUW1" s="224"/>
      <c r="UUX1" s="224"/>
      <c r="UUY1" s="224"/>
      <c r="UUZ1" s="224"/>
      <c r="UVA1" s="224"/>
      <c r="UVB1" s="224"/>
      <c r="UVC1" s="224"/>
      <c r="UVD1" s="224"/>
      <c r="UVE1" s="224"/>
      <c r="UVF1" s="224"/>
      <c r="UVG1" s="224"/>
      <c r="UVH1" s="224"/>
      <c r="UVI1" s="224"/>
      <c r="UVJ1" s="224"/>
      <c r="UVK1" s="224"/>
      <c r="UVL1" s="224"/>
      <c r="UVM1" s="224"/>
      <c r="UVN1" s="224"/>
      <c r="UVO1" s="224"/>
      <c r="UVP1" s="224"/>
      <c r="UVQ1" s="224"/>
      <c r="UVR1" s="224"/>
      <c r="UVS1" s="224"/>
      <c r="UVT1" s="224"/>
      <c r="UVU1" s="224"/>
      <c r="UVV1" s="224"/>
      <c r="UVW1" s="224"/>
      <c r="UVX1" s="224"/>
      <c r="UVY1" s="224"/>
      <c r="UVZ1" s="224"/>
      <c r="UWA1" s="224"/>
      <c r="UWB1" s="224"/>
      <c r="UWC1" s="224"/>
      <c r="UWD1" s="224"/>
      <c r="UWE1" s="224"/>
      <c r="UWF1" s="224"/>
      <c r="UWG1" s="224"/>
      <c r="UWH1" s="224"/>
      <c r="UWI1" s="224"/>
      <c r="UWJ1" s="224"/>
      <c r="UWK1" s="224"/>
      <c r="UWL1" s="224"/>
      <c r="UWM1" s="224"/>
      <c r="UWN1" s="224"/>
      <c r="UWO1" s="224"/>
      <c r="UWP1" s="224"/>
      <c r="UWQ1" s="224"/>
      <c r="UWR1" s="224"/>
      <c r="UWS1" s="224"/>
      <c r="UWT1" s="224"/>
      <c r="UWU1" s="224"/>
      <c r="UWV1" s="224"/>
      <c r="UWW1" s="224"/>
      <c r="UWX1" s="224"/>
      <c r="UWY1" s="224"/>
      <c r="UWZ1" s="224"/>
      <c r="UXA1" s="224"/>
      <c r="UXB1" s="224"/>
      <c r="UXC1" s="224"/>
      <c r="UXD1" s="224"/>
      <c r="UXE1" s="224"/>
      <c r="UXF1" s="224"/>
      <c r="UXG1" s="224"/>
      <c r="UXH1" s="224"/>
      <c r="UXI1" s="224"/>
      <c r="UXJ1" s="224"/>
      <c r="UXK1" s="224"/>
      <c r="UXL1" s="224"/>
      <c r="UXM1" s="224"/>
      <c r="UXN1" s="224"/>
      <c r="UXO1" s="224"/>
      <c r="UXP1" s="224"/>
      <c r="UXQ1" s="224"/>
      <c r="UXR1" s="224"/>
      <c r="UXS1" s="224"/>
      <c r="UXT1" s="224"/>
      <c r="UXU1" s="224"/>
      <c r="UXV1" s="224"/>
      <c r="UXW1" s="224"/>
      <c r="UXX1" s="224"/>
      <c r="UXY1" s="224"/>
      <c r="UXZ1" s="224"/>
      <c r="UYA1" s="224"/>
      <c r="UYB1" s="224"/>
      <c r="UYC1" s="224"/>
      <c r="UYD1" s="224"/>
      <c r="UYE1" s="224"/>
      <c r="UYF1" s="224"/>
      <c r="UYG1" s="224"/>
      <c r="UYH1" s="224"/>
      <c r="UYI1" s="224"/>
      <c r="UYJ1" s="224"/>
      <c r="UYK1" s="224"/>
      <c r="UYL1" s="224"/>
      <c r="UYM1" s="224"/>
      <c r="UYN1" s="224"/>
      <c r="UYO1" s="224"/>
      <c r="UYP1" s="224"/>
      <c r="UYQ1" s="224"/>
      <c r="UYR1" s="224"/>
      <c r="UYS1" s="224"/>
      <c r="UYT1" s="224"/>
      <c r="UYU1" s="224"/>
      <c r="UYV1" s="224"/>
      <c r="UYW1" s="224"/>
      <c r="UYX1" s="224"/>
      <c r="UYY1" s="224"/>
      <c r="UYZ1" s="224"/>
      <c r="UZA1" s="224"/>
      <c r="UZB1" s="224"/>
      <c r="UZC1" s="224"/>
      <c r="UZD1" s="224"/>
      <c r="UZE1" s="224"/>
      <c r="UZF1" s="224"/>
      <c r="UZG1" s="224"/>
      <c r="UZH1" s="224"/>
      <c r="UZI1" s="224"/>
      <c r="UZJ1" s="224"/>
      <c r="UZK1" s="224"/>
      <c r="UZL1" s="224"/>
      <c r="UZM1" s="224"/>
      <c r="UZN1" s="224"/>
      <c r="UZO1" s="224"/>
      <c r="UZP1" s="224"/>
      <c r="UZQ1" s="224"/>
      <c r="UZR1" s="224"/>
      <c r="UZS1" s="224"/>
      <c r="UZT1" s="224"/>
      <c r="UZU1" s="224"/>
      <c r="UZV1" s="224"/>
      <c r="UZW1" s="224"/>
      <c r="UZX1" s="224"/>
      <c r="UZY1" s="224"/>
      <c r="UZZ1" s="224"/>
      <c r="VAA1" s="224"/>
      <c r="VAB1" s="224"/>
      <c r="VAC1" s="224"/>
      <c r="VAD1" s="224"/>
      <c r="VAE1" s="224"/>
      <c r="VAF1" s="224"/>
      <c r="VAG1" s="224"/>
      <c r="VAH1" s="224"/>
      <c r="VAI1" s="224"/>
      <c r="VAJ1" s="224"/>
      <c r="VAK1" s="224"/>
      <c r="VAL1" s="224"/>
      <c r="VAM1" s="224"/>
      <c r="VAN1" s="224"/>
      <c r="VAO1" s="224"/>
      <c r="VAP1" s="224"/>
      <c r="VAQ1" s="224"/>
      <c r="VAR1" s="224"/>
      <c r="VAS1" s="224"/>
      <c r="VAT1" s="224"/>
      <c r="VAU1" s="224"/>
      <c r="VAV1" s="224"/>
      <c r="VAW1" s="224"/>
      <c r="VAX1" s="224"/>
      <c r="VAY1" s="224"/>
      <c r="VAZ1" s="224"/>
      <c r="VBA1" s="224"/>
      <c r="VBB1" s="224"/>
      <c r="VBC1" s="224"/>
      <c r="VBD1" s="224"/>
      <c r="VBE1" s="224"/>
      <c r="VBF1" s="224"/>
      <c r="VBG1" s="224"/>
      <c r="VBH1" s="224"/>
      <c r="VBI1" s="224"/>
      <c r="VBJ1" s="224"/>
      <c r="VBK1" s="224"/>
      <c r="VBL1" s="224"/>
      <c r="VBM1" s="224"/>
      <c r="VBN1" s="224"/>
      <c r="VBO1" s="224"/>
      <c r="VBP1" s="224"/>
      <c r="VBQ1" s="224"/>
      <c r="VBR1" s="224"/>
      <c r="VBS1" s="224"/>
      <c r="VBT1" s="224"/>
      <c r="VBU1" s="224"/>
      <c r="VBV1" s="224"/>
      <c r="VBW1" s="224"/>
      <c r="VBX1" s="224"/>
      <c r="VBY1" s="224"/>
      <c r="VBZ1" s="224"/>
      <c r="VCA1" s="224"/>
      <c r="VCB1" s="224"/>
      <c r="VCC1" s="224"/>
      <c r="VCD1" s="224"/>
      <c r="VCE1" s="224"/>
      <c r="VCF1" s="224"/>
      <c r="VCG1" s="224"/>
      <c r="VCH1" s="224"/>
      <c r="VCI1" s="224"/>
      <c r="VCJ1" s="224"/>
      <c r="VCK1" s="224"/>
      <c r="VCL1" s="224"/>
      <c r="VCM1" s="224"/>
      <c r="VCN1" s="224"/>
      <c r="VCO1" s="224"/>
      <c r="VCP1" s="224"/>
      <c r="VCQ1" s="224"/>
      <c r="VCR1" s="224"/>
      <c r="VCS1" s="224"/>
      <c r="VCT1" s="224"/>
      <c r="VCU1" s="224"/>
      <c r="VCV1" s="224"/>
      <c r="VCW1" s="224"/>
      <c r="VCX1" s="224"/>
      <c r="VCY1" s="224"/>
      <c r="VCZ1" s="224"/>
      <c r="VDA1" s="224"/>
      <c r="VDB1" s="224"/>
      <c r="VDC1" s="224"/>
      <c r="VDD1" s="224"/>
      <c r="VDE1" s="224"/>
      <c r="VDF1" s="224"/>
      <c r="VDG1" s="224"/>
      <c r="VDH1" s="224"/>
      <c r="VDI1" s="224"/>
      <c r="VDJ1" s="224"/>
      <c r="VDK1" s="224"/>
      <c r="VDL1" s="224"/>
      <c r="VDM1" s="224"/>
      <c r="VDN1" s="224"/>
      <c r="VDO1" s="224"/>
      <c r="VDP1" s="224"/>
      <c r="VDQ1" s="224"/>
      <c r="VDR1" s="224"/>
      <c r="VDS1" s="224"/>
      <c r="VDT1" s="224"/>
      <c r="VDU1" s="224"/>
      <c r="VDV1" s="224"/>
      <c r="VDW1" s="224"/>
      <c r="VDX1" s="224"/>
      <c r="VDY1" s="224"/>
      <c r="VDZ1" s="224"/>
      <c r="VEA1" s="224"/>
      <c r="VEB1" s="224"/>
      <c r="VEC1" s="224"/>
      <c r="VED1" s="224"/>
      <c r="VEE1" s="224"/>
      <c r="VEF1" s="224"/>
      <c r="VEG1" s="224"/>
      <c r="VEH1" s="224"/>
      <c r="VEI1" s="224"/>
      <c r="VEJ1" s="224"/>
      <c r="VEK1" s="224"/>
      <c r="VEL1" s="224"/>
      <c r="VEM1" s="224"/>
      <c r="VEN1" s="224"/>
      <c r="VEO1" s="224"/>
      <c r="VEP1" s="224"/>
      <c r="VEQ1" s="224"/>
      <c r="VER1" s="224"/>
      <c r="VES1" s="224"/>
      <c r="VET1" s="224"/>
      <c r="VEU1" s="224"/>
      <c r="VEV1" s="224"/>
      <c r="VEW1" s="224"/>
      <c r="VEX1" s="224"/>
      <c r="VEY1" s="224"/>
      <c r="VEZ1" s="224"/>
      <c r="VFA1" s="224"/>
      <c r="VFB1" s="224"/>
      <c r="VFC1" s="224"/>
      <c r="VFD1" s="224"/>
      <c r="VFE1" s="224"/>
      <c r="VFF1" s="224"/>
      <c r="VFG1" s="224"/>
      <c r="VFH1" s="224"/>
      <c r="VFI1" s="224"/>
      <c r="VFJ1" s="224"/>
      <c r="VFK1" s="224"/>
      <c r="VFL1" s="224"/>
      <c r="VFM1" s="224"/>
      <c r="VFN1" s="224"/>
      <c r="VFO1" s="224"/>
      <c r="VFP1" s="224"/>
      <c r="VFQ1" s="224"/>
      <c r="VFR1" s="224"/>
      <c r="VFS1" s="224"/>
      <c r="VFT1" s="224"/>
      <c r="VFU1" s="224"/>
      <c r="VFV1" s="224"/>
      <c r="VFW1" s="224"/>
      <c r="VFX1" s="224"/>
      <c r="VFY1" s="224"/>
      <c r="VFZ1" s="224"/>
      <c r="VGA1" s="224"/>
      <c r="VGB1" s="224"/>
      <c r="VGC1" s="224"/>
      <c r="VGD1" s="224"/>
      <c r="VGE1" s="224"/>
      <c r="VGF1" s="224"/>
      <c r="VGG1" s="224"/>
      <c r="VGH1" s="224"/>
      <c r="VGI1" s="224"/>
      <c r="VGJ1" s="224"/>
      <c r="VGK1" s="224"/>
      <c r="VGL1" s="224"/>
      <c r="VGM1" s="224"/>
      <c r="VGN1" s="224"/>
      <c r="VGO1" s="224"/>
      <c r="VGP1" s="224"/>
      <c r="VGQ1" s="224"/>
      <c r="VGR1" s="224"/>
      <c r="VGS1" s="224"/>
      <c r="VGT1" s="224"/>
      <c r="VGU1" s="224"/>
      <c r="VGV1" s="224"/>
      <c r="VGW1" s="224"/>
      <c r="VGX1" s="224"/>
      <c r="VGY1" s="224"/>
      <c r="VGZ1" s="224"/>
      <c r="VHA1" s="224"/>
      <c r="VHB1" s="224"/>
      <c r="VHC1" s="224"/>
      <c r="VHD1" s="224"/>
      <c r="VHE1" s="224"/>
      <c r="VHF1" s="224"/>
      <c r="VHG1" s="224"/>
      <c r="VHH1" s="224"/>
      <c r="VHI1" s="224"/>
      <c r="VHJ1" s="224"/>
      <c r="VHK1" s="224"/>
      <c r="VHL1" s="224"/>
      <c r="VHM1" s="224"/>
      <c r="VHN1" s="224"/>
      <c r="VHO1" s="224"/>
      <c r="VHP1" s="224"/>
      <c r="VHQ1" s="224"/>
      <c r="VHR1" s="224"/>
      <c r="VHS1" s="224"/>
      <c r="VHT1" s="224"/>
      <c r="VHU1" s="224"/>
      <c r="VHV1" s="224"/>
      <c r="VHW1" s="224"/>
      <c r="VHX1" s="224"/>
      <c r="VHY1" s="224"/>
      <c r="VHZ1" s="224"/>
      <c r="VIA1" s="224"/>
      <c r="VIB1" s="224"/>
      <c r="VIC1" s="224"/>
      <c r="VID1" s="224"/>
      <c r="VIE1" s="224"/>
      <c r="VIF1" s="224"/>
      <c r="VIG1" s="224"/>
      <c r="VIH1" s="224"/>
      <c r="VII1" s="224"/>
      <c r="VIJ1" s="224"/>
      <c r="VIK1" s="224"/>
      <c r="VIL1" s="224"/>
      <c r="VIM1" s="224"/>
      <c r="VIN1" s="224"/>
      <c r="VIO1" s="224"/>
      <c r="VIP1" s="224"/>
      <c r="VIQ1" s="224"/>
      <c r="VIR1" s="224"/>
      <c r="VIS1" s="224"/>
      <c r="VIT1" s="224"/>
      <c r="VIU1" s="224"/>
      <c r="VIV1" s="224"/>
      <c r="VIW1" s="224"/>
      <c r="VIX1" s="224"/>
      <c r="VIY1" s="224"/>
      <c r="VIZ1" s="224"/>
      <c r="VJA1" s="224"/>
      <c r="VJB1" s="224"/>
      <c r="VJC1" s="224"/>
      <c r="VJD1" s="224"/>
      <c r="VJE1" s="224"/>
      <c r="VJF1" s="224"/>
      <c r="VJG1" s="224"/>
      <c r="VJH1" s="224"/>
      <c r="VJI1" s="224"/>
      <c r="VJJ1" s="224"/>
      <c r="VJK1" s="224"/>
      <c r="VJL1" s="224"/>
      <c r="VJM1" s="224"/>
      <c r="VJN1" s="224"/>
      <c r="VJO1" s="224"/>
      <c r="VJP1" s="224"/>
      <c r="VJQ1" s="224"/>
      <c r="VJR1" s="224"/>
      <c r="VJS1" s="224"/>
      <c r="VJT1" s="224"/>
      <c r="VJU1" s="224"/>
      <c r="VJV1" s="224"/>
      <c r="VJW1" s="224"/>
      <c r="VJX1" s="224"/>
      <c r="VJY1" s="224"/>
      <c r="VJZ1" s="224"/>
      <c r="VKA1" s="224"/>
      <c r="VKB1" s="224"/>
      <c r="VKC1" s="224"/>
      <c r="VKD1" s="224"/>
      <c r="VKE1" s="224"/>
      <c r="VKF1" s="224"/>
      <c r="VKG1" s="224"/>
      <c r="VKH1" s="224"/>
      <c r="VKI1" s="224"/>
      <c r="VKJ1" s="224"/>
      <c r="VKK1" s="224"/>
      <c r="VKL1" s="224"/>
      <c r="VKM1" s="224"/>
      <c r="VKN1" s="224"/>
      <c r="VKO1" s="224"/>
      <c r="VKP1" s="224"/>
      <c r="VKQ1" s="224"/>
      <c r="VKR1" s="224"/>
      <c r="VKS1" s="224"/>
      <c r="VKT1" s="224"/>
      <c r="VKU1" s="224"/>
      <c r="VKV1" s="224"/>
      <c r="VKW1" s="224"/>
      <c r="VKX1" s="224"/>
      <c r="VKY1" s="224"/>
      <c r="VKZ1" s="224"/>
      <c r="VLA1" s="224"/>
      <c r="VLB1" s="224"/>
      <c r="VLC1" s="224"/>
      <c r="VLD1" s="224"/>
      <c r="VLE1" s="224"/>
      <c r="VLF1" s="224"/>
      <c r="VLG1" s="224"/>
      <c r="VLH1" s="224"/>
      <c r="VLI1" s="224"/>
      <c r="VLJ1" s="224"/>
      <c r="VLK1" s="224"/>
      <c r="VLL1" s="224"/>
      <c r="VLM1" s="224"/>
      <c r="VLN1" s="224"/>
      <c r="VLO1" s="224"/>
      <c r="VLP1" s="224"/>
      <c r="VLQ1" s="224"/>
      <c r="VLR1" s="224"/>
      <c r="VLS1" s="224"/>
      <c r="VLT1" s="224"/>
      <c r="VLU1" s="224"/>
      <c r="VLV1" s="224"/>
      <c r="VLW1" s="224"/>
      <c r="VLX1" s="224"/>
      <c r="VLY1" s="224"/>
      <c r="VLZ1" s="224"/>
      <c r="VMA1" s="224"/>
      <c r="VMB1" s="224"/>
      <c r="VMC1" s="224"/>
      <c r="VMD1" s="224"/>
      <c r="VME1" s="224"/>
      <c r="VMF1" s="224"/>
      <c r="VMG1" s="224"/>
      <c r="VMH1" s="224"/>
      <c r="VMI1" s="224"/>
      <c r="VMJ1" s="224"/>
      <c r="VMK1" s="224"/>
      <c r="VML1" s="224"/>
      <c r="VMM1" s="224"/>
      <c r="VMN1" s="224"/>
      <c r="VMO1" s="224"/>
      <c r="VMP1" s="224"/>
      <c r="VMQ1" s="224"/>
      <c r="VMR1" s="224"/>
      <c r="VMS1" s="224"/>
      <c r="VMT1" s="224"/>
      <c r="VMU1" s="224"/>
      <c r="VMV1" s="224"/>
      <c r="VMW1" s="224"/>
      <c r="VMX1" s="224"/>
      <c r="VMY1" s="224"/>
      <c r="VMZ1" s="224"/>
      <c r="VNA1" s="224"/>
      <c r="VNB1" s="224"/>
      <c r="VNC1" s="224"/>
      <c r="VND1" s="224"/>
      <c r="VNE1" s="224"/>
      <c r="VNF1" s="224"/>
      <c r="VNG1" s="224"/>
      <c r="VNH1" s="224"/>
      <c r="VNI1" s="224"/>
      <c r="VNJ1" s="224"/>
      <c r="VNK1" s="224"/>
      <c r="VNL1" s="224"/>
      <c r="VNM1" s="224"/>
      <c r="VNN1" s="224"/>
      <c r="VNO1" s="224"/>
      <c r="VNP1" s="224"/>
      <c r="VNQ1" s="224"/>
      <c r="VNR1" s="224"/>
      <c r="VNS1" s="224"/>
      <c r="VNT1" s="224"/>
      <c r="VNU1" s="224"/>
      <c r="VNV1" s="224"/>
      <c r="VNW1" s="224"/>
      <c r="VNX1" s="224"/>
      <c r="VNY1" s="224"/>
      <c r="VNZ1" s="224"/>
      <c r="VOA1" s="224"/>
      <c r="VOB1" s="224"/>
      <c r="VOC1" s="224"/>
      <c r="VOD1" s="224"/>
      <c r="VOE1" s="224"/>
      <c r="VOF1" s="224"/>
      <c r="VOG1" s="224"/>
      <c r="VOH1" s="224"/>
      <c r="VOI1" s="224"/>
      <c r="VOJ1" s="224"/>
      <c r="VOK1" s="224"/>
      <c r="VOL1" s="224"/>
      <c r="VOM1" s="224"/>
      <c r="VON1" s="224"/>
      <c r="VOO1" s="224"/>
      <c r="VOP1" s="224"/>
      <c r="VOQ1" s="224"/>
      <c r="VOR1" s="224"/>
      <c r="VOS1" s="224"/>
      <c r="VOT1" s="224"/>
      <c r="VOU1" s="224"/>
      <c r="VOV1" s="224"/>
      <c r="VOW1" s="224"/>
      <c r="VOX1" s="224"/>
      <c r="VOY1" s="224"/>
      <c r="VOZ1" s="224"/>
      <c r="VPA1" s="224"/>
      <c r="VPB1" s="224"/>
      <c r="VPC1" s="224"/>
      <c r="VPD1" s="224"/>
      <c r="VPE1" s="224"/>
      <c r="VPF1" s="224"/>
      <c r="VPG1" s="224"/>
      <c r="VPH1" s="224"/>
      <c r="VPI1" s="224"/>
      <c r="VPJ1" s="224"/>
      <c r="VPK1" s="224"/>
      <c r="VPL1" s="224"/>
      <c r="VPM1" s="224"/>
      <c r="VPN1" s="224"/>
      <c r="VPO1" s="224"/>
      <c r="VPP1" s="224"/>
      <c r="VPQ1" s="224"/>
      <c r="VPR1" s="224"/>
      <c r="VPS1" s="224"/>
      <c r="VPT1" s="224"/>
      <c r="VPU1" s="224"/>
      <c r="VPV1" s="224"/>
      <c r="VPW1" s="224"/>
      <c r="VPX1" s="224"/>
      <c r="VPY1" s="224"/>
      <c r="VPZ1" s="224"/>
      <c r="VQA1" s="224"/>
      <c r="VQB1" s="224"/>
      <c r="VQC1" s="224"/>
      <c r="VQD1" s="224"/>
      <c r="VQE1" s="224"/>
      <c r="VQF1" s="224"/>
      <c r="VQG1" s="224"/>
      <c r="VQH1" s="224"/>
      <c r="VQI1" s="224"/>
      <c r="VQJ1" s="224"/>
      <c r="VQK1" s="224"/>
      <c r="VQL1" s="224"/>
      <c r="VQM1" s="224"/>
      <c r="VQN1" s="224"/>
      <c r="VQO1" s="224"/>
      <c r="VQP1" s="224"/>
      <c r="VQQ1" s="224"/>
      <c r="VQR1" s="224"/>
      <c r="VQS1" s="224"/>
      <c r="VQT1" s="224"/>
      <c r="VQU1" s="224"/>
      <c r="VQV1" s="224"/>
      <c r="VQW1" s="224"/>
      <c r="VQX1" s="224"/>
      <c r="VQY1" s="224"/>
      <c r="VQZ1" s="224"/>
      <c r="VRA1" s="224"/>
      <c r="VRB1" s="224"/>
      <c r="VRC1" s="224"/>
      <c r="VRD1" s="224"/>
      <c r="VRE1" s="224"/>
      <c r="VRF1" s="224"/>
      <c r="VRG1" s="224"/>
      <c r="VRH1" s="224"/>
      <c r="VRI1" s="224"/>
      <c r="VRJ1" s="224"/>
      <c r="VRK1" s="224"/>
      <c r="VRL1" s="224"/>
      <c r="VRM1" s="224"/>
      <c r="VRN1" s="224"/>
      <c r="VRO1" s="224"/>
      <c r="VRP1" s="224"/>
      <c r="VRQ1" s="224"/>
      <c r="VRR1" s="224"/>
      <c r="VRS1" s="224"/>
      <c r="VRT1" s="224"/>
      <c r="VRU1" s="224"/>
      <c r="VRV1" s="224"/>
      <c r="VRW1" s="224"/>
      <c r="VRX1" s="224"/>
      <c r="VRY1" s="224"/>
      <c r="VRZ1" s="224"/>
      <c r="VSA1" s="224"/>
      <c r="VSB1" s="224"/>
      <c r="VSC1" s="224"/>
      <c r="VSD1" s="224"/>
      <c r="VSE1" s="224"/>
      <c r="VSF1" s="224"/>
      <c r="VSG1" s="224"/>
      <c r="VSH1" s="224"/>
      <c r="VSI1" s="224"/>
      <c r="VSJ1" s="224"/>
      <c r="VSK1" s="224"/>
      <c r="VSL1" s="224"/>
      <c r="VSM1" s="224"/>
      <c r="VSN1" s="224"/>
      <c r="VSO1" s="224"/>
      <c r="VSP1" s="224"/>
      <c r="VSQ1" s="224"/>
      <c r="VSR1" s="224"/>
      <c r="VSS1" s="224"/>
      <c r="VST1" s="224"/>
      <c r="VSU1" s="224"/>
      <c r="VSV1" s="224"/>
      <c r="VSW1" s="224"/>
      <c r="VSX1" s="224"/>
      <c r="VSY1" s="224"/>
      <c r="VSZ1" s="224"/>
      <c r="VTA1" s="224"/>
      <c r="VTB1" s="224"/>
      <c r="VTC1" s="224"/>
      <c r="VTD1" s="224"/>
      <c r="VTE1" s="224"/>
      <c r="VTF1" s="224"/>
      <c r="VTG1" s="224"/>
      <c r="VTH1" s="224"/>
      <c r="VTI1" s="224"/>
      <c r="VTJ1" s="224"/>
      <c r="VTK1" s="224"/>
      <c r="VTL1" s="224"/>
      <c r="VTM1" s="224"/>
      <c r="VTN1" s="224"/>
      <c r="VTO1" s="224"/>
      <c r="VTP1" s="224"/>
      <c r="VTQ1" s="224"/>
      <c r="VTR1" s="224"/>
      <c r="VTS1" s="224"/>
      <c r="VTT1" s="224"/>
      <c r="VTU1" s="224"/>
      <c r="VTV1" s="224"/>
      <c r="VTW1" s="224"/>
      <c r="VTX1" s="224"/>
      <c r="VTY1" s="224"/>
      <c r="VTZ1" s="224"/>
      <c r="VUA1" s="224"/>
      <c r="VUB1" s="224"/>
      <c r="VUC1" s="224"/>
      <c r="VUD1" s="224"/>
      <c r="VUE1" s="224"/>
      <c r="VUF1" s="224"/>
      <c r="VUG1" s="224"/>
      <c r="VUH1" s="224"/>
      <c r="VUI1" s="224"/>
      <c r="VUJ1" s="224"/>
      <c r="VUK1" s="224"/>
      <c r="VUL1" s="224"/>
      <c r="VUM1" s="224"/>
      <c r="VUN1" s="224"/>
      <c r="VUO1" s="224"/>
      <c r="VUP1" s="224"/>
      <c r="VUQ1" s="224"/>
      <c r="VUR1" s="224"/>
      <c r="VUS1" s="224"/>
      <c r="VUT1" s="224"/>
      <c r="VUU1" s="224"/>
      <c r="VUV1" s="224"/>
      <c r="VUW1" s="224"/>
      <c r="VUX1" s="224"/>
      <c r="VUY1" s="224"/>
      <c r="VUZ1" s="224"/>
      <c r="VVA1" s="224"/>
      <c r="VVB1" s="224"/>
      <c r="VVC1" s="224"/>
      <c r="VVD1" s="224"/>
      <c r="VVE1" s="224"/>
      <c r="VVF1" s="224"/>
      <c r="VVG1" s="224"/>
      <c r="VVH1" s="224"/>
      <c r="VVI1" s="224"/>
      <c r="VVJ1" s="224"/>
      <c r="VVK1" s="224"/>
      <c r="VVL1" s="224"/>
      <c r="VVM1" s="224"/>
      <c r="VVN1" s="224"/>
      <c r="VVO1" s="224"/>
      <c r="VVP1" s="224"/>
      <c r="VVQ1" s="224"/>
      <c r="VVR1" s="224"/>
      <c r="VVS1" s="224"/>
      <c r="VVT1" s="224"/>
      <c r="VVU1" s="224"/>
      <c r="VVV1" s="224"/>
      <c r="VVW1" s="224"/>
      <c r="VVX1" s="224"/>
      <c r="VVY1" s="224"/>
      <c r="VVZ1" s="224"/>
      <c r="VWA1" s="224"/>
      <c r="VWB1" s="224"/>
      <c r="VWC1" s="224"/>
      <c r="VWD1" s="224"/>
      <c r="VWE1" s="224"/>
      <c r="VWF1" s="224"/>
      <c r="VWG1" s="224"/>
      <c r="VWH1" s="224"/>
      <c r="VWI1" s="224"/>
      <c r="VWJ1" s="224"/>
      <c r="VWK1" s="224"/>
      <c r="VWL1" s="224"/>
      <c r="VWM1" s="224"/>
      <c r="VWN1" s="224"/>
      <c r="VWO1" s="224"/>
      <c r="VWP1" s="224"/>
      <c r="VWQ1" s="224"/>
      <c r="VWR1" s="224"/>
      <c r="VWS1" s="224"/>
      <c r="VWT1" s="224"/>
      <c r="VWU1" s="224"/>
      <c r="VWV1" s="224"/>
      <c r="VWW1" s="224"/>
      <c r="VWX1" s="224"/>
      <c r="VWY1" s="224"/>
      <c r="VWZ1" s="224"/>
      <c r="VXA1" s="224"/>
      <c r="VXB1" s="224"/>
      <c r="VXC1" s="224"/>
      <c r="VXD1" s="224"/>
      <c r="VXE1" s="224"/>
      <c r="VXF1" s="224"/>
      <c r="VXG1" s="224"/>
      <c r="VXH1" s="224"/>
      <c r="VXI1" s="224"/>
      <c r="VXJ1" s="224"/>
      <c r="VXK1" s="224"/>
      <c r="VXL1" s="224"/>
      <c r="VXM1" s="224"/>
      <c r="VXN1" s="224"/>
      <c r="VXO1" s="224"/>
      <c r="VXP1" s="224"/>
      <c r="VXQ1" s="224"/>
      <c r="VXR1" s="224"/>
      <c r="VXS1" s="224"/>
      <c r="VXT1" s="224"/>
      <c r="VXU1" s="224"/>
      <c r="VXV1" s="224"/>
      <c r="VXW1" s="224"/>
      <c r="VXX1" s="224"/>
      <c r="VXY1" s="224"/>
      <c r="VXZ1" s="224"/>
      <c r="VYA1" s="224"/>
      <c r="VYB1" s="224"/>
      <c r="VYC1" s="224"/>
      <c r="VYD1" s="224"/>
      <c r="VYE1" s="224"/>
      <c r="VYF1" s="224"/>
      <c r="VYG1" s="224"/>
      <c r="VYH1" s="224"/>
      <c r="VYI1" s="224"/>
      <c r="VYJ1" s="224"/>
      <c r="VYK1" s="224"/>
      <c r="VYL1" s="224"/>
      <c r="VYM1" s="224"/>
      <c r="VYN1" s="224"/>
      <c r="VYO1" s="224"/>
      <c r="VYP1" s="224"/>
      <c r="VYQ1" s="224"/>
      <c r="VYR1" s="224"/>
      <c r="VYS1" s="224"/>
      <c r="VYT1" s="224"/>
      <c r="VYU1" s="224"/>
      <c r="VYV1" s="224"/>
      <c r="VYW1" s="224"/>
      <c r="VYX1" s="224"/>
      <c r="VYY1" s="224"/>
      <c r="VYZ1" s="224"/>
      <c r="VZA1" s="224"/>
      <c r="VZB1" s="224"/>
      <c r="VZC1" s="224"/>
      <c r="VZD1" s="224"/>
      <c r="VZE1" s="224"/>
      <c r="VZF1" s="224"/>
      <c r="VZG1" s="224"/>
      <c r="VZH1" s="224"/>
      <c r="VZI1" s="224"/>
      <c r="VZJ1" s="224"/>
      <c r="VZK1" s="224"/>
      <c r="VZL1" s="224"/>
      <c r="VZM1" s="224"/>
      <c r="VZN1" s="224"/>
      <c r="VZO1" s="224"/>
      <c r="VZP1" s="224"/>
      <c r="VZQ1" s="224"/>
      <c r="VZR1" s="224"/>
      <c r="VZS1" s="224"/>
      <c r="VZT1" s="224"/>
      <c r="VZU1" s="224"/>
      <c r="VZV1" s="224"/>
      <c r="VZW1" s="224"/>
      <c r="VZX1" s="224"/>
      <c r="VZY1" s="224"/>
      <c r="VZZ1" s="224"/>
      <c r="WAA1" s="224"/>
      <c r="WAB1" s="224"/>
      <c r="WAC1" s="224"/>
      <c r="WAD1" s="224"/>
      <c r="WAE1" s="224"/>
      <c r="WAF1" s="224"/>
      <c r="WAG1" s="224"/>
      <c r="WAH1" s="224"/>
      <c r="WAI1" s="224"/>
      <c r="WAJ1" s="224"/>
      <c r="WAK1" s="224"/>
      <c r="WAL1" s="224"/>
      <c r="WAM1" s="224"/>
      <c r="WAN1" s="224"/>
      <c r="WAO1" s="224"/>
      <c r="WAP1" s="224"/>
      <c r="WAQ1" s="224"/>
      <c r="WAR1" s="224"/>
      <c r="WAS1" s="224"/>
      <c r="WAT1" s="224"/>
      <c r="WAU1" s="224"/>
      <c r="WAV1" s="224"/>
      <c r="WAW1" s="224"/>
      <c r="WAX1" s="224"/>
      <c r="WAY1" s="224"/>
      <c r="WAZ1" s="224"/>
      <c r="WBA1" s="224"/>
      <c r="WBB1" s="224"/>
      <c r="WBC1" s="224"/>
      <c r="WBD1" s="224"/>
      <c r="WBE1" s="224"/>
      <c r="WBF1" s="224"/>
      <c r="WBG1" s="224"/>
      <c r="WBH1" s="224"/>
      <c r="WBI1" s="224"/>
      <c r="WBJ1" s="224"/>
      <c r="WBK1" s="224"/>
      <c r="WBL1" s="224"/>
      <c r="WBM1" s="224"/>
      <c r="WBN1" s="224"/>
      <c r="WBO1" s="224"/>
      <c r="WBP1" s="224"/>
      <c r="WBQ1" s="224"/>
      <c r="WBR1" s="224"/>
      <c r="WBS1" s="224"/>
      <c r="WBT1" s="224"/>
      <c r="WBU1" s="224"/>
      <c r="WBV1" s="224"/>
      <c r="WBW1" s="224"/>
      <c r="WBX1" s="224"/>
      <c r="WBY1" s="224"/>
      <c r="WBZ1" s="224"/>
      <c r="WCA1" s="224"/>
      <c r="WCB1" s="224"/>
      <c r="WCC1" s="224"/>
      <c r="WCD1" s="224"/>
      <c r="WCE1" s="224"/>
      <c r="WCF1" s="224"/>
      <c r="WCG1" s="224"/>
      <c r="WCH1" s="224"/>
      <c r="WCI1" s="224"/>
      <c r="WCJ1" s="224"/>
      <c r="WCK1" s="224"/>
      <c r="WCL1" s="224"/>
      <c r="WCM1" s="224"/>
      <c r="WCN1" s="224"/>
      <c r="WCO1" s="224"/>
      <c r="WCP1" s="224"/>
      <c r="WCQ1" s="224"/>
      <c r="WCR1" s="224"/>
      <c r="WCS1" s="224"/>
      <c r="WCT1" s="224"/>
      <c r="WCU1" s="224"/>
      <c r="WCV1" s="224"/>
      <c r="WCW1" s="224"/>
      <c r="WCX1" s="224"/>
      <c r="WCY1" s="224"/>
      <c r="WCZ1" s="224"/>
      <c r="WDA1" s="224"/>
      <c r="WDB1" s="224"/>
      <c r="WDC1" s="224"/>
      <c r="WDD1" s="224"/>
      <c r="WDE1" s="224"/>
      <c r="WDF1" s="224"/>
      <c r="WDG1" s="224"/>
      <c r="WDH1" s="224"/>
      <c r="WDI1" s="224"/>
      <c r="WDJ1" s="224"/>
      <c r="WDK1" s="224"/>
      <c r="WDL1" s="224"/>
      <c r="WDM1" s="224"/>
      <c r="WDN1" s="224"/>
      <c r="WDO1" s="224"/>
      <c r="WDP1" s="224"/>
      <c r="WDQ1" s="224"/>
      <c r="WDR1" s="224"/>
      <c r="WDS1" s="224"/>
      <c r="WDT1" s="224"/>
      <c r="WDU1" s="224"/>
      <c r="WDV1" s="224"/>
      <c r="WDW1" s="224"/>
      <c r="WDX1" s="224"/>
      <c r="WDY1" s="224"/>
      <c r="WDZ1" s="224"/>
      <c r="WEA1" s="224"/>
      <c r="WEB1" s="224"/>
      <c r="WEC1" s="224"/>
      <c r="WED1" s="224"/>
      <c r="WEE1" s="224"/>
      <c r="WEF1" s="224"/>
      <c r="WEG1" s="224"/>
      <c r="WEH1" s="224"/>
      <c r="WEI1" s="224"/>
      <c r="WEJ1" s="224"/>
      <c r="WEK1" s="224"/>
      <c r="WEL1" s="224"/>
      <c r="WEM1" s="224"/>
      <c r="WEN1" s="224"/>
      <c r="WEO1" s="224"/>
      <c r="WEP1" s="224"/>
      <c r="WEQ1" s="224"/>
      <c r="WER1" s="224"/>
      <c r="WES1" s="224"/>
      <c r="WET1" s="224"/>
      <c r="WEU1" s="224"/>
      <c r="WEV1" s="224"/>
      <c r="WEW1" s="224"/>
      <c r="WEX1" s="224"/>
      <c r="WEY1" s="224"/>
      <c r="WEZ1" s="224"/>
      <c r="WFA1" s="224"/>
      <c r="WFB1" s="224"/>
      <c r="WFC1" s="224"/>
      <c r="WFD1" s="224"/>
      <c r="WFE1" s="224"/>
      <c r="WFF1" s="224"/>
      <c r="WFG1" s="224"/>
      <c r="WFH1" s="224"/>
      <c r="WFI1" s="224"/>
      <c r="WFJ1" s="224"/>
      <c r="WFK1" s="224"/>
      <c r="WFL1" s="224"/>
      <c r="WFM1" s="224"/>
      <c r="WFN1" s="224"/>
      <c r="WFO1" s="224"/>
      <c r="WFP1" s="224"/>
      <c r="WFQ1" s="224"/>
      <c r="WFR1" s="224"/>
      <c r="WFS1" s="224"/>
      <c r="WFT1" s="224"/>
      <c r="WFU1" s="224"/>
      <c r="WFV1" s="224"/>
      <c r="WFW1" s="224"/>
      <c r="WFX1" s="224"/>
      <c r="WFY1" s="224"/>
      <c r="WFZ1" s="224"/>
      <c r="WGA1" s="224"/>
      <c r="WGB1" s="224"/>
      <c r="WGC1" s="224"/>
      <c r="WGD1" s="224"/>
      <c r="WGE1" s="224"/>
      <c r="WGF1" s="224"/>
      <c r="WGG1" s="224"/>
      <c r="WGH1" s="224"/>
      <c r="WGI1" s="224"/>
      <c r="WGJ1" s="224"/>
      <c r="WGK1" s="224"/>
      <c r="WGL1" s="224"/>
      <c r="WGM1" s="224"/>
      <c r="WGN1" s="224"/>
      <c r="WGO1" s="224"/>
      <c r="WGP1" s="224"/>
      <c r="WGQ1" s="224"/>
      <c r="WGR1" s="224"/>
      <c r="WGS1" s="224"/>
      <c r="WGT1" s="224"/>
      <c r="WGU1" s="224"/>
      <c r="WGV1" s="224"/>
      <c r="WGW1" s="224"/>
      <c r="WGX1" s="224"/>
      <c r="WGY1" s="224"/>
      <c r="WGZ1" s="224"/>
      <c r="WHA1" s="224"/>
      <c r="WHB1" s="224"/>
      <c r="WHC1" s="224"/>
      <c r="WHD1" s="224"/>
      <c r="WHE1" s="224"/>
      <c r="WHF1" s="224"/>
      <c r="WHG1" s="224"/>
      <c r="WHH1" s="224"/>
      <c r="WHI1" s="224"/>
      <c r="WHJ1" s="224"/>
      <c r="WHK1" s="224"/>
      <c r="WHL1" s="224"/>
      <c r="WHM1" s="224"/>
      <c r="WHN1" s="224"/>
      <c r="WHO1" s="224"/>
      <c r="WHP1" s="224"/>
      <c r="WHQ1" s="224"/>
      <c r="WHR1" s="224"/>
      <c r="WHS1" s="224"/>
      <c r="WHT1" s="224"/>
      <c r="WHU1" s="224"/>
      <c r="WHV1" s="224"/>
      <c r="WHW1" s="224"/>
      <c r="WHX1" s="224"/>
      <c r="WHY1" s="224"/>
      <c r="WHZ1" s="224"/>
      <c r="WIA1" s="224"/>
      <c r="WIB1" s="224"/>
      <c r="WIC1" s="224"/>
      <c r="WID1" s="224"/>
      <c r="WIE1" s="224"/>
      <c r="WIF1" s="224"/>
      <c r="WIG1" s="224"/>
      <c r="WIH1" s="224"/>
      <c r="WII1" s="224"/>
      <c r="WIJ1" s="224"/>
      <c r="WIK1" s="224"/>
      <c r="WIL1" s="224"/>
      <c r="WIM1" s="224"/>
      <c r="WIN1" s="224"/>
      <c r="WIO1" s="224"/>
      <c r="WIP1" s="224"/>
      <c r="WIQ1" s="224"/>
      <c r="WIR1" s="224"/>
      <c r="WIS1" s="224"/>
      <c r="WIT1" s="224"/>
      <c r="WIU1" s="224"/>
      <c r="WIV1" s="224"/>
      <c r="WIW1" s="224"/>
      <c r="WIX1" s="224"/>
      <c r="WIY1" s="224"/>
      <c r="WIZ1" s="224"/>
      <c r="WJA1" s="224"/>
      <c r="WJB1" s="224"/>
      <c r="WJC1" s="224"/>
      <c r="WJD1" s="224"/>
      <c r="WJE1" s="224"/>
      <c r="WJF1" s="224"/>
      <c r="WJG1" s="224"/>
      <c r="WJH1" s="224"/>
      <c r="WJI1" s="224"/>
      <c r="WJJ1" s="224"/>
      <c r="WJK1" s="224"/>
      <c r="WJL1" s="224"/>
      <c r="WJM1" s="224"/>
      <c r="WJN1" s="224"/>
      <c r="WJO1" s="224"/>
      <c r="WJP1" s="224"/>
      <c r="WJQ1" s="224"/>
      <c r="WJR1" s="224"/>
      <c r="WJS1" s="224"/>
      <c r="WJT1" s="224"/>
      <c r="WJU1" s="224"/>
      <c r="WJV1" s="224"/>
      <c r="WJW1" s="224"/>
      <c r="WJX1" s="224"/>
      <c r="WJY1" s="224"/>
      <c r="WJZ1" s="224"/>
      <c r="WKA1" s="224"/>
      <c r="WKB1" s="224"/>
      <c r="WKC1" s="224"/>
      <c r="WKD1" s="224"/>
      <c r="WKE1" s="224"/>
      <c r="WKF1" s="224"/>
      <c r="WKG1" s="224"/>
      <c r="WKH1" s="224"/>
      <c r="WKI1" s="224"/>
      <c r="WKJ1" s="224"/>
      <c r="WKK1" s="224"/>
      <c r="WKL1" s="224"/>
      <c r="WKM1" s="224"/>
      <c r="WKN1" s="224"/>
      <c r="WKO1" s="224"/>
      <c r="WKP1" s="224"/>
      <c r="WKQ1" s="224"/>
      <c r="WKR1" s="224"/>
      <c r="WKS1" s="224"/>
      <c r="WKT1" s="224"/>
      <c r="WKU1" s="224"/>
      <c r="WKV1" s="224"/>
      <c r="WKW1" s="224"/>
      <c r="WKX1" s="224"/>
      <c r="WKY1" s="224"/>
      <c r="WKZ1" s="224"/>
      <c r="WLA1" s="224"/>
      <c r="WLB1" s="224"/>
      <c r="WLC1" s="224"/>
      <c r="WLD1" s="224"/>
      <c r="WLE1" s="224"/>
      <c r="WLF1" s="224"/>
      <c r="WLG1" s="224"/>
      <c r="WLH1" s="224"/>
      <c r="WLI1" s="224"/>
      <c r="WLJ1" s="224"/>
      <c r="WLK1" s="224"/>
      <c r="WLL1" s="224"/>
      <c r="WLM1" s="224"/>
      <c r="WLN1" s="224"/>
      <c r="WLO1" s="224"/>
      <c r="WLP1" s="224"/>
      <c r="WLQ1" s="224"/>
      <c r="WLR1" s="224"/>
      <c r="WLS1" s="224"/>
      <c r="WLT1" s="224"/>
      <c r="WLU1" s="224"/>
      <c r="WLV1" s="224"/>
      <c r="WLW1" s="224"/>
      <c r="WLX1" s="224"/>
      <c r="WLY1" s="224"/>
      <c r="WLZ1" s="224"/>
      <c r="WMA1" s="224"/>
      <c r="WMB1" s="224"/>
      <c r="WMC1" s="224"/>
      <c r="WMD1" s="224"/>
      <c r="WME1" s="224"/>
      <c r="WMF1" s="224"/>
      <c r="WMG1" s="224"/>
      <c r="WMH1" s="224"/>
      <c r="WMI1" s="224"/>
      <c r="WMJ1" s="224"/>
      <c r="WMK1" s="224"/>
      <c r="WML1" s="224"/>
      <c r="WMM1" s="224"/>
      <c r="WMN1" s="224"/>
      <c r="WMO1" s="224"/>
      <c r="WMP1" s="224"/>
      <c r="WMQ1" s="224"/>
      <c r="WMR1" s="224"/>
      <c r="WMS1" s="224"/>
      <c r="WMT1" s="224"/>
      <c r="WMU1" s="224"/>
      <c r="WMV1" s="224"/>
      <c r="WMW1" s="224"/>
      <c r="WMX1" s="224"/>
      <c r="WMY1" s="224"/>
      <c r="WMZ1" s="224"/>
      <c r="WNA1" s="224"/>
      <c r="WNB1" s="224"/>
      <c r="WNC1" s="224"/>
      <c r="WND1" s="224"/>
      <c r="WNE1" s="224"/>
      <c r="WNF1" s="224"/>
      <c r="WNG1" s="224"/>
      <c r="WNH1" s="224"/>
      <c r="WNI1" s="224"/>
      <c r="WNJ1" s="224"/>
      <c r="WNK1" s="224"/>
      <c r="WNL1" s="224"/>
      <c r="WNM1" s="224"/>
      <c r="WNN1" s="224"/>
      <c r="WNO1" s="224"/>
      <c r="WNP1" s="224"/>
      <c r="WNQ1" s="224"/>
      <c r="WNR1" s="224"/>
      <c r="WNS1" s="224"/>
      <c r="WNT1" s="224"/>
      <c r="WNU1" s="224"/>
      <c r="WNV1" s="224"/>
      <c r="WNW1" s="224"/>
      <c r="WNX1" s="224"/>
      <c r="WNY1" s="224"/>
      <c r="WNZ1" s="224"/>
      <c r="WOA1" s="224"/>
      <c r="WOB1" s="224"/>
      <c r="WOC1" s="224"/>
      <c r="WOD1" s="224"/>
      <c r="WOE1" s="224"/>
      <c r="WOF1" s="224"/>
      <c r="WOG1" s="224"/>
      <c r="WOH1" s="224"/>
      <c r="WOI1" s="224"/>
      <c r="WOJ1" s="224"/>
      <c r="WOK1" s="224"/>
      <c r="WOL1" s="224"/>
      <c r="WOM1" s="224"/>
      <c r="WON1" s="224"/>
      <c r="WOO1" s="224"/>
      <c r="WOP1" s="224"/>
      <c r="WOQ1" s="224"/>
      <c r="WOR1" s="224"/>
      <c r="WOS1" s="224"/>
      <c r="WOT1" s="224"/>
      <c r="WOU1" s="224"/>
      <c r="WOV1" s="224"/>
      <c r="WOW1" s="224"/>
      <c r="WOX1" s="224"/>
      <c r="WOY1" s="224"/>
      <c r="WOZ1" s="224"/>
      <c r="WPA1" s="224"/>
      <c r="WPB1" s="224"/>
      <c r="WPC1" s="224"/>
      <c r="WPD1" s="224"/>
      <c r="WPE1" s="224"/>
      <c r="WPF1" s="224"/>
      <c r="WPG1" s="224"/>
      <c r="WPH1" s="224"/>
      <c r="WPI1" s="224"/>
      <c r="WPJ1" s="224"/>
      <c r="WPK1" s="224"/>
      <c r="WPL1" s="224"/>
      <c r="WPM1" s="224"/>
      <c r="WPN1" s="224"/>
      <c r="WPO1" s="224"/>
      <c r="WPP1" s="224"/>
      <c r="WPQ1" s="224"/>
      <c r="WPR1" s="224"/>
      <c r="WPS1" s="224"/>
      <c r="WPT1" s="224"/>
      <c r="WPU1" s="224"/>
      <c r="WPV1" s="224"/>
      <c r="WPW1" s="224"/>
      <c r="WPX1" s="224"/>
      <c r="WPY1" s="224"/>
      <c r="WPZ1" s="224"/>
      <c r="WQA1" s="224"/>
      <c r="WQB1" s="224"/>
      <c r="WQC1" s="224"/>
      <c r="WQD1" s="224"/>
      <c r="WQE1" s="224"/>
      <c r="WQF1" s="224"/>
      <c r="WQG1" s="224"/>
      <c r="WQH1" s="224"/>
      <c r="WQI1" s="224"/>
      <c r="WQJ1" s="224"/>
      <c r="WQK1" s="224"/>
      <c r="WQL1" s="224"/>
      <c r="WQM1" s="224"/>
      <c r="WQN1" s="224"/>
      <c r="WQO1" s="224"/>
      <c r="WQP1" s="224"/>
      <c r="WQQ1" s="224"/>
      <c r="WQR1" s="224"/>
      <c r="WQS1" s="224"/>
      <c r="WQT1" s="224"/>
      <c r="WQU1" s="224"/>
      <c r="WQV1" s="224"/>
      <c r="WQW1" s="224"/>
      <c r="WQX1" s="224"/>
      <c r="WQY1" s="224"/>
      <c r="WQZ1" s="224"/>
      <c r="WRA1" s="224"/>
      <c r="WRB1" s="224"/>
      <c r="WRC1" s="224"/>
      <c r="WRD1" s="224"/>
      <c r="WRE1" s="224"/>
      <c r="WRF1" s="224"/>
      <c r="WRG1" s="224"/>
      <c r="WRH1" s="224"/>
      <c r="WRI1" s="224"/>
      <c r="WRJ1" s="224"/>
      <c r="WRK1" s="224"/>
      <c r="WRL1" s="224"/>
      <c r="WRM1" s="224"/>
      <c r="WRN1" s="224"/>
      <c r="WRO1" s="224"/>
      <c r="WRP1" s="224"/>
      <c r="WRQ1" s="224"/>
      <c r="WRR1" s="224"/>
      <c r="WRS1" s="224"/>
      <c r="WRT1" s="224"/>
      <c r="WRU1" s="224"/>
      <c r="WRV1" s="224"/>
      <c r="WRW1" s="224"/>
      <c r="WRX1" s="224"/>
      <c r="WRY1" s="224"/>
      <c r="WRZ1" s="224"/>
      <c r="WSA1" s="224"/>
      <c r="WSB1" s="224"/>
      <c r="WSC1" s="224"/>
      <c r="WSD1" s="224"/>
      <c r="WSE1" s="224"/>
      <c r="WSF1" s="224"/>
      <c r="WSG1" s="224"/>
      <c r="WSH1" s="224"/>
      <c r="WSI1" s="224"/>
      <c r="WSJ1" s="224"/>
      <c r="WSK1" s="224"/>
      <c r="WSL1" s="224"/>
      <c r="WSM1" s="224"/>
      <c r="WSN1" s="224"/>
      <c r="WSO1" s="224"/>
      <c r="WSP1" s="224"/>
      <c r="WSQ1" s="224"/>
      <c r="WSR1" s="224"/>
      <c r="WSS1" s="224"/>
      <c r="WST1" s="224"/>
      <c r="WSU1" s="224"/>
      <c r="WSV1" s="224"/>
      <c r="WSW1" s="224"/>
      <c r="WSX1" s="224"/>
      <c r="WSY1" s="224"/>
      <c r="WSZ1" s="224"/>
      <c r="WTA1" s="224"/>
      <c r="WTB1" s="224"/>
      <c r="WTC1" s="224"/>
      <c r="WTD1" s="224"/>
      <c r="WTE1" s="224"/>
      <c r="WTF1" s="224"/>
      <c r="WTG1" s="224"/>
      <c r="WTH1" s="224"/>
      <c r="WTI1" s="224"/>
      <c r="WTJ1" s="224"/>
      <c r="WTK1" s="224"/>
      <c r="WTL1" s="224"/>
      <c r="WTM1" s="224"/>
      <c r="WTN1" s="224"/>
      <c r="WTO1" s="224"/>
      <c r="WTP1" s="224"/>
      <c r="WTQ1" s="224"/>
      <c r="WTR1" s="224"/>
      <c r="WTS1" s="224"/>
      <c r="WTT1" s="224"/>
      <c r="WTU1" s="224"/>
      <c r="WTV1" s="224"/>
      <c r="WTW1" s="224"/>
      <c r="WTX1" s="224"/>
      <c r="WTY1" s="224"/>
      <c r="WTZ1" s="224"/>
      <c r="WUA1" s="224"/>
      <c r="WUB1" s="224"/>
      <c r="WUC1" s="224"/>
      <c r="WUD1" s="224"/>
      <c r="WUE1" s="224"/>
      <c r="WUF1" s="224"/>
      <c r="WUG1" s="224"/>
      <c r="WUH1" s="224"/>
      <c r="WUI1" s="224"/>
      <c r="WUJ1" s="224"/>
      <c r="WUK1" s="224"/>
      <c r="WUL1" s="224"/>
      <c r="WUM1" s="224"/>
      <c r="WUN1" s="224"/>
      <c r="WUO1" s="224"/>
      <c r="WUP1" s="224"/>
      <c r="WUQ1" s="224"/>
      <c r="WUR1" s="224"/>
      <c r="WUS1" s="224"/>
      <c r="WUT1" s="224"/>
      <c r="WUU1" s="224"/>
      <c r="WUV1" s="224"/>
      <c r="WUW1" s="224"/>
      <c r="WUX1" s="224"/>
      <c r="WUY1" s="224"/>
      <c r="WUZ1" s="224"/>
      <c r="WVA1" s="224"/>
      <c r="WVB1" s="224"/>
      <c r="WVC1" s="224"/>
      <c r="WVD1" s="224"/>
      <c r="WVE1" s="224"/>
      <c r="WVF1" s="224"/>
      <c r="WVG1" s="224"/>
      <c r="WVH1" s="224"/>
      <c r="WVI1" s="224"/>
      <c r="WVJ1" s="224"/>
      <c r="WVK1" s="224"/>
      <c r="WVL1" s="224"/>
      <c r="WVM1" s="224"/>
      <c r="WVN1" s="224"/>
      <c r="WVO1" s="224"/>
      <c r="WVP1" s="224"/>
      <c r="WVQ1" s="224"/>
      <c r="WVR1" s="224"/>
      <c r="WVS1" s="224"/>
      <c r="WVT1" s="224"/>
      <c r="WVU1" s="224"/>
      <c r="WVV1" s="224"/>
      <c r="WVW1" s="224"/>
      <c r="WVX1" s="224"/>
      <c r="WVY1" s="224"/>
      <c r="WVZ1" s="224"/>
      <c r="WWA1" s="224"/>
      <c r="WWB1" s="224"/>
      <c r="WWC1" s="224"/>
      <c r="WWD1" s="224"/>
      <c r="WWE1" s="224"/>
      <c r="WWF1" s="224"/>
      <c r="WWG1" s="224"/>
      <c r="WWH1" s="224"/>
      <c r="WWI1" s="224"/>
      <c r="WWJ1" s="224"/>
      <c r="WWK1" s="224"/>
      <c r="WWL1" s="224"/>
      <c r="WWM1" s="224"/>
      <c r="WWN1" s="224"/>
      <c r="WWO1" s="224"/>
      <c r="WWP1" s="224"/>
      <c r="WWQ1" s="224"/>
      <c r="WWR1" s="224"/>
      <c r="WWS1" s="224"/>
      <c r="WWT1" s="224"/>
      <c r="WWU1" s="224"/>
      <c r="WWV1" s="224"/>
      <c r="WWW1" s="224"/>
      <c r="WWX1" s="224"/>
      <c r="WWY1" s="224"/>
      <c r="WWZ1" s="224"/>
      <c r="WXA1" s="224"/>
      <c r="WXB1" s="224"/>
      <c r="WXC1" s="224"/>
      <c r="WXD1" s="224"/>
      <c r="WXE1" s="224"/>
      <c r="WXF1" s="224"/>
      <c r="WXG1" s="224"/>
      <c r="WXH1" s="224"/>
      <c r="WXI1" s="224"/>
      <c r="WXJ1" s="224"/>
      <c r="WXK1" s="224"/>
      <c r="WXL1" s="224"/>
      <c r="WXM1" s="224"/>
      <c r="WXN1" s="224"/>
      <c r="WXO1" s="224"/>
      <c r="WXP1" s="224"/>
      <c r="WXQ1" s="224"/>
      <c r="WXR1" s="224"/>
      <c r="WXS1" s="224"/>
      <c r="WXT1" s="224"/>
      <c r="WXU1" s="224"/>
      <c r="WXV1" s="224"/>
      <c r="WXW1" s="224"/>
      <c r="WXX1" s="224"/>
      <c r="WXY1" s="224"/>
      <c r="WXZ1" s="224"/>
      <c r="WYA1" s="224"/>
      <c r="WYB1" s="224"/>
      <c r="WYC1" s="224"/>
      <c r="WYD1" s="224"/>
      <c r="WYE1" s="224"/>
      <c r="WYF1" s="224"/>
      <c r="WYG1" s="224"/>
      <c r="WYH1" s="224"/>
      <c r="WYI1" s="224"/>
      <c r="WYJ1" s="224"/>
      <c r="WYK1" s="224"/>
      <c r="WYL1" s="224"/>
      <c r="WYM1" s="224"/>
      <c r="WYN1" s="224"/>
      <c r="WYO1" s="224"/>
      <c r="WYP1" s="224"/>
      <c r="WYQ1" s="224"/>
      <c r="WYR1" s="224"/>
      <c r="WYS1" s="224"/>
      <c r="WYT1" s="224"/>
      <c r="WYU1" s="224"/>
      <c r="WYV1" s="224"/>
      <c r="WYW1" s="224"/>
      <c r="WYX1" s="224"/>
      <c r="WYY1" s="224"/>
      <c r="WYZ1" s="224"/>
      <c r="WZA1" s="224"/>
      <c r="WZB1" s="224"/>
      <c r="WZC1" s="224"/>
      <c r="WZD1" s="224"/>
      <c r="WZE1" s="224"/>
      <c r="WZF1" s="224"/>
      <c r="WZG1" s="224"/>
      <c r="WZH1" s="224"/>
      <c r="WZI1" s="224"/>
      <c r="WZJ1" s="224"/>
      <c r="WZK1" s="224"/>
      <c r="WZL1" s="224"/>
      <c r="WZM1" s="224"/>
      <c r="WZN1" s="224"/>
      <c r="WZO1" s="224"/>
      <c r="WZP1" s="224"/>
      <c r="WZQ1" s="224"/>
      <c r="WZR1" s="224"/>
      <c r="WZS1" s="224"/>
      <c r="WZT1" s="224"/>
      <c r="WZU1" s="224"/>
      <c r="WZV1" s="224"/>
      <c r="WZW1" s="224"/>
      <c r="WZX1" s="224"/>
      <c r="WZY1" s="224"/>
      <c r="WZZ1" s="224"/>
      <c r="XAA1" s="224"/>
      <c r="XAB1" s="224"/>
      <c r="XAC1" s="224"/>
      <c r="XAD1" s="224"/>
      <c r="XAE1" s="224"/>
      <c r="XAF1" s="224"/>
      <c r="XAG1" s="224"/>
      <c r="XAH1" s="224"/>
      <c r="XAI1" s="224"/>
      <c r="XAJ1" s="224"/>
      <c r="XAK1" s="224"/>
      <c r="XAL1" s="224"/>
      <c r="XAM1" s="224"/>
      <c r="XAN1" s="224"/>
      <c r="XAO1" s="224"/>
      <c r="XAP1" s="224"/>
      <c r="XAQ1" s="224"/>
      <c r="XAR1" s="224"/>
      <c r="XAS1" s="224"/>
      <c r="XAT1" s="224"/>
      <c r="XAU1" s="224"/>
      <c r="XAV1" s="224"/>
      <c r="XAW1" s="224"/>
      <c r="XAX1" s="224"/>
      <c r="XAY1" s="224"/>
      <c r="XAZ1" s="224"/>
      <c r="XBA1" s="224"/>
      <c r="XBB1" s="224"/>
      <c r="XBC1" s="224"/>
      <c r="XBD1" s="224"/>
      <c r="XBE1" s="224"/>
      <c r="XBF1" s="224"/>
      <c r="XBG1" s="224"/>
      <c r="XBH1" s="224"/>
      <c r="XBI1" s="224"/>
      <c r="XBJ1" s="224"/>
      <c r="XBK1" s="224"/>
      <c r="XBL1" s="224"/>
      <c r="XBM1" s="224"/>
      <c r="XBN1" s="224"/>
      <c r="XBO1" s="224"/>
      <c r="XBP1" s="224"/>
      <c r="XBQ1" s="224"/>
      <c r="XBR1" s="224"/>
      <c r="XBS1" s="224"/>
      <c r="XBT1" s="224"/>
      <c r="XBU1" s="224"/>
      <c r="XBV1" s="224"/>
      <c r="XBW1" s="224"/>
      <c r="XBX1" s="224"/>
      <c r="XBY1" s="224"/>
      <c r="XBZ1" s="224"/>
      <c r="XCA1" s="224"/>
      <c r="XCB1" s="224"/>
      <c r="XCC1" s="224"/>
      <c r="XCD1" s="224"/>
      <c r="XCE1" s="224"/>
      <c r="XCF1" s="224"/>
      <c r="XCG1" s="224"/>
      <c r="XCH1" s="224"/>
      <c r="XCI1" s="224"/>
      <c r="XCJ1" s="224"/>
      <c r="XCK1" s="224"/>
      <c r="XCL1" s="224"/>
      <c r="XCM1" s="224"/>
      <c r="XCN1" s="224"/>
      <c r="XCO1" s="224"/>
      <c r="XCP1" s="224"/>
      <c r="XCQ1" s="224"/>
      <c r="XCR1" s="224"/>
      <c r="XCS1" s="224"/>
      <c r="XCT1" s="224"/>
      <c r="XCU1" s="224"/>
      <c r="XCV1" s="224"/>
      <c r="XCW1" s="224"/>
      <c r="XCX1" s="224"/>
      <c r="XCY1" s="224"/>
      <c r="XCZ1" s="224"/>
      <c r="XDA1" s="224"/>
      <c r="XDB1" s="224"/>
      <c r="XDC1" s="224"/>
      <c r="XDD1" s="224"/>
      <c r="XDE1" s="224"/>
      <c r="XDF1" s="224"/>
      <c r="XDG1" s="224"/>
      <c r="XDH1" s="224"/>
      <c r="XDI1" s="224"/>
      <c r="XDJ1" s="224"/>
      <c r="XDK1" s="224"/>
      <c r="XDL1" s="224"/>
      <c r="XDM1" s="224"/>
      <c r="XDN1" s="224"/>
      <c r="XDO1" s="224"/>
      <c r="XDP1" s="224"/>
      <c r="XDQ1" s="224"/>
      <c r="XDR1" s="224"/>
      <c r="XDS1" s="224"/>
      <c r="XDT1" s="224"/>
      <c r="XDU1" s="224"/>
      <c r="XDV1" s="224"/>
      <c r="XDW1" s="224"/>
      <c r="XDX1" s="224"/>
      <c r="XDY1" s="224"/>
      <c r="XDZ1" s="224"/>
      <c r="XEA1" s="224"/>
      <c r="XEB1" s="224"/>
      <c r="XEC1" s="224"/>
      <c r="XED1" s="224"/>
      <c r="XEE1" s="224"/>
      <c r="XEF1" s="224"/>
      <c r="XEG1" s="224"/>
      <c r="XEH1" s="224"/>
      <c r="XEI1" s="224"/>
      <c r="XEJ1" s="224"/>
      <c r="XEK1" s="224"/>
      <c r="XEL1" s="224"/>
      <c r="XEM1" s="224"/>
      <c r="XEN1" s="224"/>
      <c r="XEO1" s="224"/>
      <c r="XEP1" s="224"/>
    </row>
    <row r="2" spans="1:16370" s="299" customFormat="1" ht="99.95" customHeight="1" x14ac:dyDescent="0.2">
      <c r="R2" s="403"/>
      <c r="S2" s="403"/>
      <c r="T2" s="403"/>
      <c r="U2" s="403"/>
      <c r="V2" s="403"/>
      <c r="W2" s="403"/>
      <c r="X2" s="403"/>
      <c r="Y2" s="403"/>
      <c r="Z2" s="403"/>
      <c r="AA2" s="403"/>
      <c r="AB2" s="403"/>
      <c r="AC2" s="403"/>
      <c r="AD2" s="403"/>
      <c r="AE2" s="403"/>
      <c r="AF2" s="403"/>
      <c r="AG2" s="403"/>
      <c r="AH2" s="403"/>
      <c r="AI2" s="403"/>
      <c r="AJ2" s="403"/>
      <c r="AK2" s="403"/>
      <c r="AL2" s="403"/>
      <c r="AM2" s="403"/>
      <c r="AN2" s="403"/>
      <c r="AO2" s="403"/>
      <c r="AP2" s="403"/>
      <c r="AQ2" s="403"/>
      <c r="AR2" s="403"/>
      <c r="AS2" s="403"/>
      <c r="AT2" s="403"/>
      <c r="AU2" s="403"/>
      <c r="AV2" s="403"/>
      <c r="AW2" s="403"/>
      <c r="AX2" s="403"/>
      <c r="AY2" s="403"/>
      <c r="AZ2" s="403"/>
      <c r="BA2" s="403"/>
      <c r="BB2" s="403"/>
      <c r="BC2" s="403"/>
      <c r="BD2" s="403"/>
      <c r="BE2" s="403"/>
      <c r="BF2" s="403"/>
      <c r="BG2" s="403"/>
      <c r="BH2" s="403"/>
      <c r="BI2" s="403"/>
      <c r="BJ2" s="403"/>
      <c r="BK2" s="403"/>
      <c r="BL2" s="403"/>
      <c r="BM2" s="403"/>
      <c r="BN2" s="403"/>
      <c r="BO2" s="403"/>
      <c r="BP2" s="403"/>
      <c r="BQ2" s="403"/>
      <c r="BR2" s="403"/>
      <c r="BS2" s="403"/>
      <c r="BT2" s="403"/>
      <c r="BU2" s="403"/>
      <c r="BV2" s="403"/>
      <c r="BW2" s="403"/>
      <c r="BX2" s="403"/>
      <c r="BY2" s="403"/>
      <c r="BZ2" s="403"/>
      <c r="CA2" s="403"/>
      <c r="CB2" s="403"/>
      <c r="CC2" s="403"/>
      <c r="CD2" s="403"/>
      <c r="CE2" s="403"/>
      <c r="CF2" s="403"/>
      <c r="CG2" s="403"/>
      <c r="CH2" s="403"/>
      <c r="CI2" s="403"/>
      <c r="CJ2" s="403"/>
      <c r="CK2" s="403"/>
      <c r="CL2" s="403"/>
      <c r="CM2" s="403"/>
      <c r="CN2" s="403"/>
      <c r="CO2" s="403"/>
      <c r="CP2" s="403"/>
      <c r="CQ2" s="403"/>
      <c r="CR2" s="403"/>
      <c r="CS2" s="403"/>
      <c r="CT2" s="403"/>
      <c r="CU2" s="403"/>
      <c r="CV2" s="403"/>
      <c r="CW2" s="403"/>
      <c r="CX2" s="403"/>
      <c r="CY2" s="403"/>
      <c r="CZ2" s="403"/>
      <c r="DA2" s="403"/>
      <c r="DB2" s="403"/>
      <c r="DC2" s="403"/>
      <c r="DD2" s="403"/>
      <c r="DE2" s="403"/>
      <c r="DF2" s="403"/>
      <c r="DG2" s="403"/>
      <c r="DH2" s="403"/>
      <c r="DI2" s="403"/>
      <c r="DJ2" s="403"/>
      <c r="DK2" s="403"/>
      <c r="DL2" s="403"/>
      <c r="DM2" s="403"/>
      <c r="DN2" s="403"/>
      <c r="DO2" s="403"/>
      <c r="DP2" s="403"/>
      <c r="DQ2" s="403"/>
      <c r="DR2" s="403"/>
      <c r="DS2" s="403"/>
      <c r="DT2" s="403"/>
      <c r="DU2" s="403"/>
      <c r="DV2" s="403"/>
      <c r="DW2" s="403"/>
      <c r="DX2" s="403"/>
      <c r="DY2" s="403"/>
      <c r="DZ2" s="403"/>
      <c r="EA2" s="403"/>
      <c r="EB2" s="403"/>
      <c r="EC2" s="403"/>
      <c r="ED2" s="403"/>
      <c r="EE2" s="403"/>
      <c r="EF2" s="403"/>
      <c r="EG2" s="403"/>
      <c r="EH2" s="403"/>
      <c r="EI2" s="403"/>
      <c r="EJ2" s="403"/>
      <c r="EK2" s="403"/>
      <c r="EL2" s="403"/>
      <c r="EM2" s="403"/>
      <c r="EN2" s="403"/>
      <c r="EO2" s="403"/>
      <c r="EP2" s="403"/>
      <c r="EQ2" s="403"/>
      <c r="ER2" s="403"/>
      <c r="ES2" s="403"/>
    </row>
    <row r="3" spans="1:16370" x14ac:dyDescent="0.2">
      <c r="B3" s="679" t="str">
        <f ca="1">IF(OFFSET(T3,0,Lang_Order*Lang__B3)="","",OFFSET(T3,0,Lang_Order*Lang__B3))</f>
        <v>Note: No user editable cells in this sheet - FYI only</v>
      </c>
      <c r="C3" s="679"/>
      <c r="D3" s="679"/>
      <c r="E3" s="679"/>
      <c r="F3" s="679"/>
      <c r="G3" s="679"/>
      <c r="H3" s="679"/>
      <c r="I3" s="679"/>
      <c r="J3" s="679"/>
      <c r="K3" s="679"/>
      <c r="L3" s="679"/>
      <c r="M3" s="679"/>
      <c r="N3" s="679"/>
      <c r="O3" s="679"/>
      <c r="Q3" s="2" t="s">
        <v>2731</v>
      </c>
      <c r="T3" s="403" t="s">
        <v>4175</v>
      </c>
      <c r="AM3" s="403" t="s">
        <v>9967</v>
      </c>
      <c r="BF3" s="403" t="s">
        <v>9968</v>
      </c>
      <c r="BY3" s="403" t="s">
        <v>9969</v>
      </c>
      <c r="CR3" s="403" t="s">
        <v>9970</v>
      </c>
      <c r="DK3" s="403" t="s">
        <v>9971</v>
      </c>
      <c r="ED3" s="403" t="s">
        <v>9972</v>
      </c>
    </row>
    <row r="4" spans="1:16370" s="27" customFormat="1" ht="19.5" x14ac:dyDescent="0.3">
      <c r="A4" s="27" t="str">
        <f ca="1">IF(OFFSET(S4,0,Lang_Order*Lang__B3)="","",OFFSET(S4,0,Lang_Order*Lang__B3))</f>
        <v>B3. International Logistics</v>
      </c>
      <c r="R4" s="564"/>
      <c r="S4" s="564" t="s">
        <v>14274</v>
      </c>
      <c r="T4" s="564"/>
      <c r="U4" s="564"/>
      <c r="V4" s="564"/>
      <c r="W4" s="564"/>
      <c r="X4" s="564"/>
      <c r="Y4" s="564"/>
      <c r="Z4" s="564"/>
      <c r="AA4" s="564"/>
      <c r="AB4" s="564"/>
      <c r="AC4" s="564"/>
      <c r="AD4" s="564"/>
      <c r="AE4" s="564"/>
      <c r="AF4" s="564"/>
      <c r="AG4" s="564"/>
      <c r="AH4" s="564"/>
      <c r="AI4" s="564"/>
      <c r="AJ4" s="564"/>
      <c r="AK4" s="564"/>
      <c r="AL4" s="564" t="s">
        <v>14321</v>
      </c>
      <c r="AM4" s="564"/>
      <c r="AN4" s="564"/>
      <c r="AO4" s="564"/>
      <c r="AP4" s="564"/>
      <c r="AQ4" s="564"/>
      <c r="AR4" s="564"/>
      <c r="AS4" s="564"/>
      <c r="AT4" s="564"/>
      <c r="AU4" s="564"/>
      <c r="AV4" s="564"/>
      <c r="AW4" s="564"/>
      <c r="AX4" s="564"/>
      <c r="AY4" s="564"/>
      <c r="AZ4" s="564"/>
      <c r="BA4" s="564"/>
      <c r="BB4" s="564"/>
      <c r="BC4" s="564"/>
      <c r="BD4" s="564"/>
      <c r="BE4" s="564" t="s">
        <v>14322</v>
      </c>
      <c r="BF4" s="564"/>
      <c r="BG4" s="564"/>
      <c r="BH4" s="564"/>
      <c r="BI4" s="564"/>
      <c r="BJ4" s="564"/>
      <c r="BK4" s="564"/>
      <c r="BL4" s="564"/>
      <c r="BM4" s="564"/>
      <c r="BN4" s="564"/>
      <c r="BO4" s="564"/>
      <c r="BP4" s="564"/>
      <c r="BQ4" s="564"/>
      <c r="BR4" s="564"/>
      <c r="BS4" s="564"/>
      <c r="BT4" s="564"/>
      <c r="BU4" s="564"/>
      <c r="BV4" s="564"/>
      <c r="BW4" s="564"/>
      <c r="BX4" s="564" t="s">
        <v>14323</v>
      </c>
      <c r="BY4" s="564"/>
      <c r="BZ4" s="564"/>
      <c r="CA4" s="564"/>
      <c r="CB4" s="564"/>
      <c r="CC4" s="564"/>
      <c r="CD4" s="564"/>
      <c r="CE4" s="564"/>
      <c r="CF4" s="564"/>
      <c r="CG4" s="564"/>
      <c r="CH4" s="564"/>
      <c r="CI4" s="564"/>
      <c r="CJ4" s="564"/>
      <c r="CK4" s="564"/>
      <c r="CL4" s="564"/>
      <c r="CM4" s="564"/>
      <c r="CN4" s="564"/>
      <c r="CO4" s="564"/>
      <c r="CP4" s="564"/>
      <c r="CQ4" s="564" t="s">
        <v>14324</v>
      </c>
      <c r="CR4" s="564"/>
      <c r="CS4" s="564"/>
      <c r="CT4" s="564"/>
      <c r="CU4" s="564"/>
      <c r="CV4" s="564"/>
      <c r="CW4" s="564"/>
      <c r="CX4" s="564"/>
      <c r="CY4" s="564"/>
      <c r="CZ4" s="564"/>
      <c r="DA4" s="564"/>
      <c r="DB4" s="564"/>
      <c r="DC4" s="564"/>
      <c r="DD4" s="564"/>
      <c r="DE4" s="564"/>
      <c r="DF4" s="564"/>
      <c r="DG4" s="564"/>
      <c r="DH4" s="564"/>
      <c r="DI4" s="564"/>
      <c r="DJ4" s="564" t="s">
        <v>14325</v>
      </c>
      <c r="DK4" s="564"/>
      <c r="DL4" s="564"/>
      <c r="DM4" s="564"/>
      <c r="DN4" s="564"/>
      <c r="DO4" s="564"/>
      <c r="DP4" s="564"/>
      <c r="DQ4" s="564"/>
      <c r="DR4" s="564"/>
      <c r="DS4" s="564"/>
      <c r="DT4" s="564"/>
      <c r="DU4" s="564"/>
      <c r="DV4" s="564"/>
      <c r="DW4" s="564"/>
      <c r="DX4" s="564"/>
      <c r="DY4" s="564"/>
      <c r="DZ4" s="564"/>
      <c r="EA4" s="564"/>
      <c r="EB4" s="564"/>
      <c r="EC4" s="564" t="s">
        <v>14326</v>
      </c>
      <c r="ED4" s="564"/>
      <c r="EE4" s="564"/>
      <c r="EF4" s="564"/>
      <c r="EG4" s="564"/>
      <c r="EH4" s="564"/>
      <c r="EI4" s="564"/>
      <c r="EJ4" s="564"/>
      <c r="EK4" s="564"/>
      <c r="EL4" s="564"/>
      <c r="EM4" s="564"/>
      <c r="EN4" s="564"/>
      <c r="EO4" s="564"/>
      <c r="EP4" s="564"/>
      <c r="EQ4" s="564"/>
      <c r="ER4" s="564"/>
      <c r="ES4" s="564"/>
    </row>
    <row r="5" spans="1:16370" s="15" customFormat="1" ht="15" x14ac:dyDescent="0.25">
      <c r="A5" s="660"/>
      <c r="B5" s="8" t="str">
        <f ca="1">IF(OFFSET(T5,0,Lang_Order*Lang__B3)="","",OFFSET(T5,0,Lang_Order*Lang__B3))</f>
        <v>B3.1 International Shipping (Based on demand estimates)</v>
      </c>
      <c r="C5" s="8"/>
      <c r="D5" s="8"/>
      <c r="E5" s="8"/>
      <c r="F5" s="8"/>
      <c r="G5" s="8"/>
      <c r="H5" s="8"/>
      <c r="I5" s="195" t="e">
        <f t="shared" ref="I5:O5" si="0">IF($C$6=Lang_Yes,I73,I120)</f>
        <v>#N/A</v>
      </c>
      <c r="J5" s="195" t="e">
        <f t="shared" si="0"/>
        <v>#N/A</v>
      </c>
      <c r="K5" s="195" t="e">
        <f t="shared" si="0"/>
        <v>#N/A</v>
      </c>
      <c r="L5" s="195" t="e">
        <f t="shared" si="0"/>
        <v>#N/A</v>
      </c>
      <c r="M5" s="195" t="e">
        <f t="shared" si="0"/>
        <v>#N/A</v>
      </c>
      <c r="N5" s="195" t="e">
        <f t="shared" si="0"/>
        <v>#N/A</v>
      </c>
      <c r="O5" s="195" t="e">
        <f t="shared" si="0"/>
        <v>#N/A</v>
      </c>
      <c r="P5" s="508"/>
      <c r="Q5" s="8"/>
      <c r="R5" s="403"/>
      <c r="S5" s="403"/>
      <c r="T5" s="403" t="s">
        <v>4179</v>
      </c>
      <c r="U5" s="403"/>
      <c r="V5" s="403"/>
      <c r="W5" s="403"/>
      <c r="X5" s="403"/>
      <c r="Y5" s="403"/>
      <c r="Z5" s="403"/>
      <c r="AA5" s="403"/>
      <c r="AB5" s="403"/>
      <c r="AC5" s="403"/>
      <c r="AD5" s="403"/>
      <c r="AE5" s="403"/>
      <c r="AF5" s="403"/>
      <c r="AG5" s="403"/>
      <c r="AH5" s="403"/>
      <c r="AI5" s="403"/>
      <c r="AJ5" s="403"/>
      <c r="AK5" s="403"/>
      <c r="AL5" s="403"/>
      <c r="AM5" s="403" t="s">
        <v>10139</v>
      </c>
      <c r="AN5" s="403"/>
      <c r="AO5" s="403"/>
      <c r="AP5" s="403"/>
      <c r="AQ5" s="403"/>
      <c r="AR5" s="403"/>
      <c r="AS5" s="403"/>
      <c r="AT5" s="403"/>
      <c r="AU5" s="403"/>
      <c r="AV5" s="403"/>
      <c r="AW5" s="403"/>
      <c r="AX5" s="403"/>
      <c r="AY5" s="403"/>
      <c r="AZ5" s="403"/>
      <c r="BA5" s="403"/>
      <c r="BB5" s="403"/>
      <c r="BC5" s="403"/>
      <c r="BD5" s="403"/>
      <c r="BE5" s="403"/>
      <c r="BF5" s="403" t="s">
        <v>10140</v>
      </c>
      <c r="BG5" s="403"/>
      <c r="BH5" s="403"/>
      <c r="BI5" s="403"/>
      <c r="BJ5" s="403"/>
      <c r="BK5" s="403"/>
      <c r="BL5" s="403"/>
      <c r="BM5" s="403"/>
      <c r="BN5" s="403"/>
      <c r="BO5" s="403"/>
      <c r="BP5" s="403"/>
      <c r="BQ5" s="403"/>
      <c r="BR5" s="403"/>
      <c r="BS5" s="403"/>
      <c r="BT5" s="403"/>
      <c r="BU5" s="403"/>
      <c r="BV5" s="403"/>
      <c r="BW5" s="403"/>
      <c r="BX5" s="403"/>
      <c r="BY5" s="403" t="s">
        <v>10141</v>
      </c>
      <c r="BZ5" s="403"/>
      <c r="CA5" s="403"/>
      <c r="CB5" s="403"/>
      <c r="CC5" s="403"/>
      <c r="CD5" s="403"/>
      <c r="CE5" s="403"/>
      <c r="CF5" s="403"/>
      <c r="CG5" s="403"/>
      <c r="CH5" s="403"/>
      <c r="CI5" s="403"/>
      <c r="CJ5" s="403"/>
      <c r="CK5" s="403"/>
      <c r="CL5" s="403"/>
      <c r="CM5" s="403"/>
      <c r="CN5" s="403"/>
      <c r="CO5" s="403"/>
      <c r="CP5" s="403"/>
      <c r="CQ5" s="403"/>
      <c r="CR5" s="403" t="s">
        <v>10142</v>
      </c>
      <c r="CS5" s="403"/>
      <c r="CT5" s="403"/>
      <c r="CU5" s="403"/>
      <c r="CV5" s="403"/>
      <c r="CW5" s="403"/>
      <c r="CX5" s="403"/>
      <c r="CY5" s="403"/>
      <c r="CZ5" s="403"/>
      <c r="DA5" s="403"/>
      <c r="DB5" s="403"/>
      <c r="DC5" s="403"/>
      <c r="DD5" s="403"/>
      <c r="DE5" s="403"/>
      <c r="DF5" s="403"/>
      <c r="DG5" s="403"/>
      <c r="DH5" s="403"/>
      <c r="DI5" s="403"/>
      <c r="DJ5" s="403"/>
      <c r="DK5" s="403" t="s">
        <v>10143</v>
      </c>
      <c r="DL5" s="403"/>
      <c r="DM5" s="403"/>
      <c r="DN5" s="403"/>
      <c r="DO5" s="403"/>
      <c r="DP5" s="403"/>
      <c r="DQ5" s="403"/>
      <c r="DR5" s="403"/>
      <c r="DS5" s="403"/>
      <c r="DT5" s="403"/>
      <c r="DU5" s="403"/>
      <c r="DV5" s="403"/>
      <c r="DW5" s="403"/>
      <c r="DX5" s="403"/>
      <c r="DY5" s="403"/>
      <c r="DZ5" s="403"/>
      <c r="EA5" s="403"/>
      <c r="EB5" s="403"/>
      <c r="EC5" s="403"/>
      <c r="ED5" s="403" t="s">
        <v>10144</v>
      </c>
      <c r="EE5" s="403"/>
      <c r="EF5" s="403"/>
      <c r="EG5" s="403"/>
      <c r="EH5" s="403"/>
      <c r="EI5" s="403"/>
      <c r="EJ5" s="403"/>
      <c r="EK5" s="403"/>
      <c r="EL5" s="403"/>
      <c r="EM5" s="403"/>
      <c r="EN5" s="403"/>
      <c r="EO5" s="403"/>
      <c r="EP5" s="403"/>
      <c r="EQ5" s="403"/>
      <c r="ER5" s="403"/>
      <c r="ES5" s="403"/>
    </row>
    <row r="6" spans="1:16370" s="181" customFormat="1" x14ac:dyDescent="0.2">
      <c r="B6" s="5" t="str">
        <f ca="1">IF(OFFSET(T6,0,Lang_Order*Lang__B3)="","",OFFSET(T6,0,Lang_Order*Lang__B3))</f>
        <v>Combine shipments?</v>
      </c>
      <c r="C6" s="3" t="str">
        <f>'A2. INPUT Population &amp; Delivery'!E213</f>
        <v>Yes</v>
      </c>
      <c r="P6" s="508"/>
      <c r="Q6" s="12" t="str">
        <f ca="1">IF(OFFSET(AI6,0,Lang_Order*Lang__B3)="","",OFFSET(AI6,0,Lang_Order*Lang__B3))</f>
        <v>Combine different vaccines types with similar cold-storage requirements into one shipment?</v>
      </c>
      <c r="R6" s="403"/>
      <c r="S6" s="403"/>
      <c r="T6" s="403" t="s">
        <v>2786</v>
      </c>
      <c r="U6" s="403"/>
      <c r="V6" s="403"/>
      <c r="W6" s="403"/>
      <c r="X6" s="403"/>
      <c r="Y6" s="403"/>
      <c r="Z6" s="403"/>
      <c r="AA6" s="403"/>
      <c r="AB6" s="403"/>
      <c r="AC6" s="403"/>
      <c r="AD6" s="403"/>
      <c r="AE6" s="403"/>
      <c r="AF6" s="403"/>
      <c r="AG6" s="403"/>
      <c r="AH6" s="403"/>
      <c r="AI6" s="403" t="s">
        <v>2787</v>
      </c>
      <c r="AJ6" s="403"/>
      <c r="AK6" s="403"/>
      <c r="AL6" s="403"/>
      <c r="AM6" s="403" t="s">
        <v>10145</v>
      </c>
      <c r="AN6" s="403"/>
      <c r="AO6" s="403"/>
      <c r="AP6" s="403"/>
      <c r="AQ6" s="403"/>
      <c r="AR6" s="403"/>
      <c r="AS6" s="403"/>
      <c r="AT6" s="403"/>
      <c r="AU6" s="403"/>
      <c r="AV6" s="403"/>
      <c r="AW6" s="403"/>
      <c r="AX6" s="403"/>
      <c r="AY6" s="403"/>
      <c r="AZ6" s="403"/>
      <c r="BA6" s="403"/>
      <c r="BB6" s="403" t="s">
        <v>10146</v>
      </c>
      <c r="BC6" s="403"/>
      <c r="BD6" s="403"/>
      <c r="BE6" s="403"/>
      <c r="BF6" s="403" t="s">
        <v>10147</v>
      </c>
      <c r="BG6" s="403"/>
      <c r="BH6" s="403"/>
      <c r="BI6" s="403"/>
      <c r="BJ6" s="403"/>
      <c r="BK6" s="403"/>
      <c r="BL6" s="403"/>
      <c r="BM6" s="403"/>
      <c r="BN6" s="403"/>
      <c r="BO6" s="403"/>
      <c r="BP6" s="403"/>
      <c r="BQ6" s="403"/>
      <c r="BR6" s="403"/>
      <c r="BS6" s="403"/>
      <c r="BT6" s="403"/>
      <c r="BU6" s="403" t="s">
        <v>10148</v>
      </c>
      <c r="BV6" s="403"/>
      <c r="BW6" s="403"/>
      <c r="BX6" s="403"/>
      <c r="BY6" s="403" t="s">
        <v>10149</v>
      </c>
      <c r="BZ6" s="403"/>
      <c r="CA6" s="403"/>
      <c r="CB6" s="403"/>
      <c r="CC6" s="403"/>
      <c r="CD6" s="403"/>
      <c r="CE6" s="403"/>
      <c r="CF6" s="403"/>
      <c r="CG6" s="403"/>
      <c r="CH6" s="403"/>
      <c r="CI6" s="403"/>
      <c r="CJ6" s="403"/>
      <c r="CK6" s="403"/>
      <c r="CL6" s="403"/>
      <c r="CM6" s="403"/>
      <c r="CN6" s="403" t="s">
        <v>10150</v>
      </c>
      <c r="CO6" s="403"/>
      <c r="CP6" s="403"/>
      <c r="CQ6" s="403"/>
      <c r="CR6" s="403" t="s">
        <v>10151</v>
      </c>
      <c r="CS6" s="403"/>
      <c r="CT6" s="403"/>
      <c r="CU6" s="403"/>
      <c r="CV6" s="403"/>
      <c r="CW6" s="403"/>
      <c r="CX6" s="403"/>
      <c r="CY6" s="403"/>
      <c r="CZ6" s="403"/>
      <c r="DA6" s="403"/>
      <c r="DB6" s="403"/>
      <c r="DC6" s="403"/>
      <c r="DD6" s="403"/>
      <c r="DE6" s="403"/>
      <c r="DF6" s="403"/>
      <c r="DG6" s="403" t="s">
        <v>10152</v>
      </c>
      <c r="DH6" s="403"/>
      <c r="DI6" s="403"/>
      <c r="DJ6" s="403"/>
      <c r="DK6" s="403" t="s">
        <v>10153</v>
      </c>
      <c r="DL6" s="403"/>
      <c r="DM6" s="403"/>
      <c r="DN6" s="403"/>
      <c r="DO6" s="403"/>
      <c r="DP6" s="403"/>
      <c r="DQ6" s="403"/>
      <c r="DR6" s="403"/>
      <c r="DS6" s="403"/>
      <c r="DT6" s="403"/>
      <c r="DU6" s="403"/>
      <c r="DV6" s="403"/>
      <c r="DW6" s="403"/>
      <c r="DX6" s="403"/>
      <c r="DY6" s="403"/>
      <c r="DZ6" s="403" t="s">
        <v>10154</v>
      </c>
      <c r="EA6" s="403"/>
      <c r="EB6" s="403"/>
      <c r="EC6" s="403"/>
      <c r="ED6" s="403" t="s">
        <v>10155</v>
      </c>
      <c r="EE6" s="403"/>
      <c r="EF6" s="403"/>
      <c r="EG6" s="403"/>
      <c r="EH6" s="403"/>
      <c r="EI6" s="403"/>
      <c r="EJ6" s="403"/>
      <c r="EK6" s="403"/>
      <c r="EL6" s="403"/>
      <c r="EM6" s="403"/>
      <c r="EN6" s="403"/>
      <c r="EO6" s="403"/>
      <c r="EP6" s="403"/>
      <c r="EQ6" s="403"/>
      <c r="ER6" s="403"/>
      <c r="ES6" s="403" t="s">
        <v>10156</v>
      </c>
    </row>
    <row r="7" spans="1:16370" x14ac:dyDescent="0.2">
      <c r="B7" s="5" t="str">
        <f ca="1">IF(OFFSET(T7,0,Lang_Order*Lang__B3)="","",OFFSET(T7,0,Lang_Order*Lang__B3))</f>
        <v>International shipments per period</v>
      </c>
      <c r="C7" s="503"/>
      <c r="I7" s="208">
        <f>'B4. Domestic Logistics'!J93</f>
        <v>2</v>
      </c>
      <c r="J7" s="208">
        <f>'B4. Domestic Logistics'!K93</f>
        <v>2</v>
      </c>
      <c r="K7" s="208">
        <f>'B4. Domestic Logistics'!L93</f>
        <v>2</v>
      </c>
      <c r="L7" s="208">
        <f>'B4. Domestic Logistics'!M93</f>
        <v>2</v>
      </c>
      <c r="M7" s="208">
        <f>'B4. Domestic Logistics'!N93</f>
        <v>2</v>
      </c>
      <c r="N7" s="208">
        <f>'B4. Domestic Logistics'!O93</f>
        <v>2</v>
      </c>
      <c r="P7" s="508"/>
      <c r="Q7" s="12" t="str">
        <f ca="1">IF(OFFSET(AI7,0,Lang_Order*Lang__B3)="","",OFFSET(AI7,0,Lang_Order*Lang__B3))</f>
        <v>Assumes shipments divided equally over a period (size and timing)</v>
      </c>
      <c r="T7" s="403" t="s">
        <v>2637</v>
      </c>
      <c r="AI7" s="403" t="s">
        <v>2661</v>
      </c>
      <c r="AM7" s="403" t="s">
        <v>10157</v>
      </c>
      <c r="BB7" s="403" t="s">
        <v>10158</v>
      </c>
      <c r="BF7" s="403" t="s">
        <v>10159</v>
      </c>
      <c r="BU7" s="403" t="s">
        <v>10160</v>
      </c>
      <c r="BY7" s="403" t="s">
        <v>7194</v>
      </c>
      <c r="CN7" s="403" t="s">
        <v>10161</v>
      </c>
      <c r="CR7" s="403" t="s">
        <v>7197</v>
      </c>
      <c r="DG7" s="403" t="s">
        <v>10162</v>
      </c>
      <c r="DK7" s="403" t="s">
        <v>7200</v>
      </c>
      <c r="DZ7" s="403" t="s">
        <v>10163</v>
      </c>
      <c r="ED7" s="403" t="s">
        <v>10164</v>
      </c>
      <c r="ES7" s="403" t="s">
        <v>10165</v>
      </c>
    </row>
    <row r="8" spans="1:16370" x14ac:dyDescent="0.2">
      <c r="B8" s="5" t="str">
        <f ca="1">IF(OFFSET(T8,0,Lang_Order*Lang__B3)="","",OFFSET(T8,0,Lang_Order*Lang__B3))</f>
        <v>Destination</v>
      </c>
      <c r="C8" s="3" t="str">
        <f>Country_Code</f>
        <v>CUS</v>
      </c>
      <c r="P8" s="508"/>
      <c r="Q8" s="12" t="str">
        <f ca="1">IF(OFFSET(AI8,0,Lang_Order*Lang__B3)="","",OFFSET(AI8,0,Lang_Order*Lang__B3))</f>
        <v>Assumes shipments are between one manufacturing country (per vaccine) and one central store/warehouse in the destination country</v>
      </c>
      <c r="T8" s="403" t="s">
        <v>2634</v>
      </c>
      <c r="AI8" s="403" t="s">
        <v>2662</v>
      </c>
      <c r="AM8" s="403" t="s">
        <v>2634</v>
      </c>
      <c r="BB8" s="403" t="s">
        <v>10166</v>
      </c>
      <c r="BF8" s="403" t="s">
        <v>10167</v>
      </c>
      <c r="BU8" s="403" t="s">
        <v>10168</v>
      </c>
      <c r="BY8" s="403" t="s">
        <v>10169</v>
      </c>
      <c r="CN8" s="403" t="s">
        <v>10170</v>
      </c>
      <c r="CR8" s="403" t="s">
        <v>10169</v>
      </c>
      <c r="DG8" s="403" t="s">
        <v>10171</v>
      </c>
      <c r="DK8" s="403" t="s">
        <v>10172</v>
      </c>
      <c r="DZ8" s="403" t="s">
        <v>10173</v>
      </c>
      <c r="ED8" s="403" t="s">
        <v>10174</v>
      </c>
      <c r="ES8" s="403" t="s">
        <v>10175</v>
      </c>
    </row>
    <row r="9" spans="1:16370" ht="15" x14ac:dyDescent="0.25">
      <c r="I9" s="41" t="str">
        <f t="shared" ref="I9:O9" ca="1" si="1">IF(OFFSET(AA9,0,Lang_Order*Lang__B3)="","",OFFSET(AA9,0,Lang_Order*Lang__B3))</f>
        <v>H1 2021</v>
      </c>
      <c r="J9" s="41" t="str">
        <f t="shared" ca="1" si="1"/>
        <v>H2 2021</v>
      </c>
      <c r="K9" s="41" t="str">
        <f t="shared" ca="1" si="1"/>
        <v>H1 2022</v>
      </c>
      <c r="L9" s="41" t="str">
        <f t="shared" ca="1" si="1"/>
        <v>H2 2022</v>
      </c>
      <c r="M9" s="41" t="str">
        <f t="shared" ca="1" si="1"/>
        <v>H1 2023</v>
      </c>
      <c r="N9" s="41" t="str">
        <f t="shared" ca="1" si="1"/>
        <v>H2 2023</v>
      </c>
      <c r="O9" s="41" t="str">
        <f t="shared" ca="1" si="1"/>
        <v>Total</v>
      </c>
      <c r="P9" s="508"/>
      <c r="AA9" s="403" t="s">
        <v>1597</v>
      </c>
      <c r="AB9" s="403" t="s">
        <v>1598</v>
      </c>
      <c r="AC9" s="403" t="s">
        <v>1599</v>
      </c>
      <c r="AD9" s="403" t="s">
        <v>1600</v>
      </c>
      <c r="AE9" s="403" t="s">
        <v>1602</v>
      </c>
      <c r="AF9" s="403" t="s">
        <v>1601</v>
      </c>
      <c r="AG9" s="403" t="s">
        <v>1605</v>
      </c>
      <c r="AT9" s="403" t="s">
        <v>4663</v>
      </c>
      <c r="AU9" s="403" t="s">
        <v>4664</v>
      </c>
      <c r="AV9" s="403" t="s">
        <v>4665</v>
      </c>
      <c r="AW9" s="403" t="s">
        <v>4666</v>
      </c>
      <c r="AX9" s="403" t="s">
        <v>4667</v>
      </c>
      <c r="AY9" s="403" t="s">
        <v>4668</v>
      </c>
      <c r="AZ9" s="403" t="s">
        <v>1605</v>
      </c>
      <c r="BM9" s="403" t="s">
        <v>4670</v>
      </c>
      <c r="BN9" s="403" t="s">
        <v>4671</v>
      </c>
      <c r="BO9" s="403" t="s">
        <v>4672</v>
      </c>
      <c r="BP9" s="403" t="s">
        <v>4673</v>
      </c>
      <c r="BQ9" s="403" t="s">
        <v>4674</v>
      </c>
      <c r="BR9" s="403" t="s">
        <v>4675</v>
      </c>
      <c r="BS9" s="403" t="s">
        <v>4676</v>
      </c>
      <c r="CF9" s="403" t="s">
        <v>1597</v>
      </c>
      <c r="CG9" s="403" t="s">
        <v>1598</v>
      </c>
      <c r="CH9" s="403" t="s">
        <v>1599</v>
      </c>
      <c r="CI9" s="403" t="s">
        <v>1600</v>
      </c>
      <c r="CJ9" s="403" t="s">
        <v>1602</v>
      </c>
      <c r="CK9" s="403" t="s">
        <v>1601</v>
      </c>
      <c r="CL9" s="403" t="s">
        <v>1605</v>
      </c>
      <c r="CY9" s="403" t="s">
        <v>4663</v>
      </c>
      <c r="CZ9" s="403" t="s">
        <v>4664</v>
      </c>
      <c r="DA9" s="403" t="s">
        <v>4665</v>
      </c>
      <c r="DB9" s="403" t="s">
        <v>4666</v>
      </c>
      <c r="DC9" s="403" t="s">
        <v>4667</v>
      </c>
      <c r="DD9" s="403" t="s">
        <v>4668</v>
      </c>
      <c r="DE9" s="403" t="s">
        <v>1605</v>
      </c>
      <c r="DR9" s="403" t="s">
        <v>4680</v>
      </c>
      <c r="DS9" s="403" t="s">
        <v>4681</v>
      </c>
      <c r="DT9" s="403" t="s">
        <v>4682</v>
      </c>
      <c r="DU9" s="403" t="s">
        <v>4683</v>
      </c>
      <c r="DV9" s="403" t="s">
        <v>4684</v>
      </c>
      <c r="DW9" s="403" t="s">
        <v>10176</v>
      </c>
      <c r="DX9" s="403" t="s">
        <v>4686</v>
      </c>
      <c r="EK9" s="403" t="s">
        <v>4688</v>
      </c>
      <c r="EL9" s="403" t="s">
        <v>4689</v>
      </c>
      <c r="EM9" s="403" t="s">
        <v>4690</v>
      </c>
      <c r="EN9" s="403" t="s">
        <v>4691</v>
      </c>
      <c r="EO9" s="403" t="s">
        <v>4692</v>
      </c>
      <c r="EP9" s="403" t="s">
        <v>4693</v>
      </c>
      <c r="EQ9" s="403" t="s">
        <v>6111</v>
      </c>
    </row>
    <row r="10" spans="1:16370" s="15" customFormat="1" ht="15" x14ac:dyDescent="0.25">
      <c r="C10" s="2" t="str">
        <f ca="1">IF(OFFSET(U10,0,Lang_Order*Lang__B3)="","",OFFSET(U10,0,Lang_Order*Lang__B3))</f>
        <v>Manufacturing source country</v>
      </c>
      <c r="D10" s="181"/>
      <c r="E10" s="181"/>
      <c r="F10" s="181"/>
      <c r="G10" s="181"/>
      <c r="H10" s="181"/>
      <c r="I10" s="148" t="str">
        <f ca="1">IF(OFFSET(AA10,0,Lang_Order*Lang__B3)="","",OFFSET(AA10,0,Lang_Order*Lang__B3))</f>
        <v>Doses Needed (Based on demand estimates)</v>
      </c>
      <c r="J10" s="148"/>
      <c r="K10" s="148"/>
      <c r="L10" s="148"/>
      <c r="M10" s="148"/>
      <c r="N10" s="148"/>
      <c r="O10" s="123"/>
      <c r="P10" s="508"/>
      <c r="R10" s="403"/>
      <c r="S10" s="403"/>
      <c r="T10" s="403"/>
      <c r="U10" s="403" t="s">
        <v>3190</v>
      </c>
      <c r="V10" s="403"/>
      <c r="W10" s="403"/>
      <c r="X10" s="403"/>
      <c r="Y10" s="403"/>
      <c r="Z10" s="403"/>
      <c r="AA10" s="403" t="s">
        <v>4180</v>
      </c>
      <c r="AB10" s="403"/>
      <c r="AC10" s="403"/>
      <c r="AD10" s="403"/>
      <c r="AE10" s="403"/>
      <c r="AF10" s="403"/>
      <c r="AG10" s="403"/>
      <c r="AH10" s="403"/>
      <c r="AI10" s="403"/>
      <c r="AJ10" s="403"/>
      <c r="AK10" s="403"/>
      <c r="AL10" s="403"/>
      <c r="AM10" s="403"/>
      <c r="AN10" s="403" t="s">
        <v>10177</v>
      </c>
      <c r="AO10" s="403"/>
      <c r="AP10" s="403"/>
      <c r="AQ10" s="403"/>
      <c r="AR10" s="403"/>
      <c r="AS10" s="403"/>
      <c r="AT10" s="403" t="s">
        <v>10178</v>
      </c>
      <c r="AU10" s="403"/>
      <c r="AV10" s="403"/>
      <c r="AW10" s="403"/>
      <c r="AX10" s="403"/>
      <c r="AY10" s="403"/>
      <c r="AZ10" s="403"/>
      <c r="BA10" s="403"/>
      <c r="BB10" s="403"/>
      <c r="BC10" s="403"/>
      <c r="BD10" s="403"/>
      <c r="BE10" s="403"/>
      <c r="BF10" s="403"/>
      <c r="BG10" s="403" t="s">
        <v>10179</v>
      </c>
      <c r="BH10" s="403"/>
      <c r="BI10" s="403"/>
      <c r="BJ10" s="403"/>
      <c r="BK10" s="403"/>
      <c r="BL10" s="403"/>
      <c r="BM10" s="403" t="s">
        <v>10180</v>
      </c>
      <c r="BN10" s="403"/>
      <c r="BO10" s="403"/>
      <c r="BP10" s="403"/>
      <c r="BQ10" s="403"/>
      <c r="BR10" s="403"/>
      <c r="BS10" s="403"/>
      <c r="BT10" s="403"/>
      <c r="BU10" s="403"/>
      <c r="BV10" s="403"/>
      <c r="BW10" s="403"/>
      <c r="BX10" s="403"/>
      <c r="BY10" s="403"/>
      <c r="BZ10" s="403" t="s">
        <v>5759</v>
      </c>
      <c r="CA10" s="403"/>
      <c r="CB10" s="403"/>
      <c r="CC10" s="403"/>
      <c r="CD10" s="403"/>
      <c r="CE10" s="403"/>
      <c r="CF10" s="403" t="s">
        <v>10181</v>
      </c>
      <c r="CG10" s="403"/>
      <c r="CH10" s="403"/>
      <c r="CI10" s="403"/>
      <c r="CJ10" s="403"/>
      <c r="CK10" s="403"/>
      <c r="CL10" s="403"/>
      <c r="CM10" s="403"/>
      <c r="CN10" s="403"/>
      <c r="CO10" s="403"/>
      <c r="CP10" s="403"/>
      <c r="CQ10" s="403"/>
      <c r="CR10" s="403"/>
      <c r="CS10" s="403" t="s">
        <v>10182</v>
      </c>
      <c r="CT10" s="403"/>
      <c r="CU10" s="403"/>
      <c r="CV10" s="403"/>
      <c r="CW10" s="403"/>
      <c r="CX10" s="403"/>
      <c r="CY10" s="403" t="s">
        <v>10183</v>
      </c>
      <c r="CZ10" s="403"/>
      <c r="DA10" s="403"/>
      <c r="DB10" s="403"/>
      <c r="DC10" s="403"/>
      <c r="DD10" s="403"/>
      <c r="DE10" s="403"/>
      <c r="DF10" s="403"/>
      <c r="DG10" s="403"/>
      <c r="DH10" s="403"/>
      <c r="DI10" s="403"/>
      <c r="DJ10" s="403"/>
      <c r="DK10" s="403"/>
      <c r="DL10" s="403" t="s">
        <v>10184</v>
      </c>
      <c r="DM10" s="403"/>
      <c r="DN10" s="403"/>
      <c r="DO10" s="403"/>
      <c r="DP10" s="403"/>
      <c r="DQ10" s="403"/>
      <c r="DR10" s="403" t="s">
        <v>10184</v>
      </c>
      <c r="DS10" s="403"/>
      <c r="DT10" s="403"/>
      <c r="DU10" s="403"/>
      <c r="DV10" s="403"/>
      <c r="DW10" s="403"/>
      <c r="DX10" s="403"/>
      <c r="DY10" s="403"/>
      <c r="DZ10" s="403"/>
      <c r="EA10" s="403"/>
      <c r="EB10" s="403"/>
      <c r="EC10" s="403"/>
      <c r="ED10" s="403"/>
      <c r="EE10" s="403" t="s">
        <v>10185</v>
      </c>
      <c r="EF10" s="403"/>
      <c r="EG10" s="403"/>
      <c r="EH10" s="403"/>
      <c r="EI10" s="403"/>
      <c r="EJ10" s="403"/>
      <c r="EK10" s="403" t="s">
        <v>10186</v>
      </c>
      <c r="EL10" s="403"/>
      <c r="EM10" s="403"/>
      <c r="EN10" s="403"/>
      <c r="EO10" s="403"/>
      <c r="EP10" s="403"/>
      <c r="EQ10" s="403"/>
      <c r="ER10" s="403"/>
      <c r="ES10" s="403"/>
    </row>
    <row r="11" spans="1:16370" x14ac:dyDescent="0.2">
      <c r="B11" s="23" t="str">
        <f>CONCATENATE("",DM1_Vaccine)</f>
        <v/>
      </c>
      <c r="C11" s="145" t="e">
        <f>VLOOKUP(DM1_Vaccine,'T1. Vaccines'!$C$8:$AD$37,D11,FALSE)</f>
        <v>#N/A</v>
      </c>
      <c r="D11" s="2">
        <f ca="1">OFFSET(_Offset_Index_VaccineSupplies_Index,0,E11)</f>
        <v>2</v>
      </c>
      <c r="E11" s="2">
        <v>-14</v>
      </c>
      <c r="I11" s="16" t="e">
        <f>'B2. Vaccines and Supplies'!F10</f>
        <v>#N/A</v>
      </c>
      <c r="J11" s="16" t="e">
        <f>'B2. Vaccines and Supplies'!G10</f>
        <v>#N/A</v>
      </c>
      <c r="K11" s="16" t="e">
        <f>'B2. Vaccines and Supplies'!H10</f>
        <v>#N/A</v>
      </c>
      <c r="L11" s="16" t="e">
        <f>'B2. Vaccines and Supplies'!I10</f>
        <v>#N/A</v>
      </c>
      <c r="M11" s="16" t="e">
        <f>'B2. Vaccines and Supplies'!J10</f>
        <v>#N/A</v>
      </c>
      <c r="N11" s="16" t="e">
        <f>'B2. Vaccines and Supplies'!K10</f>
        <v>#N/A</v>
      </c>
      <c r="O11" s="16" t="e">
        <f>SUM(I11:N11)</f>
        <v>#N/A</v>
      </c>
      <c r="P11" s="508"/>
      <c r="DR11" s="403" t="s">
        <v>10187</v>
      </c>
    </row>
    <row r="12" spans="1:16370" x14ac:dyDescent="0.2">
      <c r="B12" s="23" t="str">
        <f>CONCATENATE("",DM2_Vaccine)</f>
        <v/>
      </c>
      <c r="C12" s="145" t="e">
        <f>VLOOKUP(DM2_Vaccine,'T1. Vaccines'!$C$8:$AD$37,D12,FALSE)</f>
        <v>#N/A</v>
      </c>
      <c r="D12" s="2">
        <f ca="1">OFFSET(_Offset_Index_VaccineSupplies_Index,0,E12)</f>
        <v>2</v>
      </c>
      <c r="E12" s="2">
        <v>-14</v>
      </c>
      <c r="I12" s="16" t="e">
        <f>'B2. Vaccines and Supplies'!F31</f>
        <v>#N/A</v>
      </c>
      <c r="J12" s="16" t="e">
        <f>'B2. Vaccines and Supplies'!G31</f>
        <v>#N/A</v>
      </c>
      <c r="K12" s="16" t="e">
        <f>'B2. Vaccines and Supplies'!H31</f>
        <v>#N/A</v>
      </c>
      <c r="L12" s="16" t="e">
        <f>'B2. Vaccines and Supplies'!I31</f>
        <v>#N/A</v>
      </c>
      <c r="M12" s="16" t="e">
        <f>'B2. Vaccines and Supplies'!J31</f>
        <v>#N/A</v>
      </c>
      <c r="N12" s="16" t="e">
        <f>'B2. Vaccines and Supplies'!K31</f>
        <v>#N/A</v>
      </c>
      <c r="O12" s="16" t="e">
        <f t="shared" ref="O12:O14" si="2">SUM(I12:N12)</f>
        <v>#N/A</v>
      </c>
      <c r="P12" s="508"/>
    </row>
    <row r="13" spans="1:16370" x14ac:dyDescent="0.2">
      <c r="B13" s="23" t="str">
        <f>CONCATENATE("",DM3_Vaccine)</f>
        <v/>
      </c>
      <c r="C13" s="145" t="e">
        <f>VLOOKUP(DM3_Vaccine,'T1. Vaccines'!$C$8:$AD$37,D13,FALSE)</f>
        <v>#N/A</v>
      </c>
      <c r="D13" s="2">
        <f ca="1">OFFSET(_Offset_Index_VaccineSupplies_Index,0,E13)</f>
        <v>2</v>
      </c>
      <c r="E13" s="2">
        <v>-14</v>
      </c>
      <c r="I13" s="16" t="e">
        <f>'B2. Vaccines and Supplies'!F52</f>
        <v>#N/A</v>
      </c>
      <c r="J13" s="16" t="e">
        <f>'B2. Vaccines and Supplies'!G52</f>
        <v>#N/A</v>
      </c>
      <c r="K13" s="16" t="e">
        <f>'B2. Vaccines and Supplies'!H52</f>
        <v>#N/A</v>
      </c>
      <c r="L13" s="16" t="e">
        <f>'B2. Vaccines and Supplies'!I52</f>
        <v>#N/A</v>
      </c>
      <c r="M13" s="16" t="e">
        <f>'B2. Vaccines and Supplies'!J52</f>
        <v>#N/A</v>
      </c>
      <c r="N13" s="16" t="e">
        <f>'B2. Vaccines and Supplies'!K52</f>
        <v>#N/A</v>
      </c>
      <c r="O13" s="16" t="e">
        <f t="shared" si="2"/>
        <v>#N/A</v>
      </c>
      <c r="P13" s="508"/>
    </row>
    <row r="14" spans="1:16370" x14ac:dyDescent="0.2">
      <c r="B14" s="23" t="str">
        <f>CONCATENATE("",DM4_Vaccine)</f>
        <v/>
      </c>
      <c r="C14" s="145" t="e">
        <f>VLOOKUP(DM4_Vaccine,'T1. Vaccines'!$C$8:$AD$37,D14,FALSE)</f>
        <v>#N/A</v>
      </c>
      <c r="D14" s="2">
        <f ca="1">OFFSET(_Offset_Index_VaccineSupplies_Index,0,E14)</f>
        <v>2</v>
      </c>
      <c r="E14" s="2">
        <v>-14</v>
      </c>
      <c r="I14" s="16" t="e">
        <f>'B2. Vaccines and Supplies'!F73</f>
        <v>#N/A</v>
      </c>
      <c r="J14" s="16" t="e">
        <f>'B2. Vaccines and Supplies'!G73</f>
        <v>#N/A</v>
      </c>
      <c r="K14" s="16" t="e">
        <f>'B2. Vaccines and Supplies'!H73</f>
        <v>#N/A</v>
      </c>
      <c r="L14" s="16" t="e">
        <f>'B2. Vaccines and Supplies'!I73</f>
        <v>#N/A</v>
      </c>
      <c r="M14" s="16" t="e">
        <f>'B2. Vaccines and Supplies'!J73</f>
        <v>#N/A</v>
      </c>
      <c r="N14" s="16" t="e">
        <f>'B2. Vaccines and Supplies'!K73</f>
        <v>#N/A</v>
      </c>
      <c r="O14" s="16" t="e">
        <f t="shared" si="2"/>
        <v>#N/A</v>
      </c>
      <c r="P14" s="508"/>
    </row>
    <row r="15" spans="1:16370" x14ac:dyDescent="0.2">
      <c r="P15" s="508"/>
    </row>
    <row r="16" spans="1:16370" s="150" customFormat="1" ht="15" x14ac:dyDescent="0.25">
      <c r="C16" s="192" t="str">
        <f ca="1">IF(OFFSET(U16,0,Lang_Order*Lang__B3)="","",OFFSET(U16,0,Lang_Order*Lang__B3))</f>
        <v>Weight per dose (g) in secondary packaging</v>
      </c>
      <c r="D16" s="181"/>
      <c r="E16" s="181"/>
      <c r="F16" s="181"/>
      <c r="G16" s="181"/>
      <c r="H16" s="181"/>
      <c r="I16" s="148" t="str">
        <f ca="1">IF(OFFSET(AA16,0,Lang_Order*Lang__B3)="","",OFFSET(AA16,0,Lang_Order*Lang__B3))</f>
        <v>Weight of vaccines in secondary packaging (kg) per Shipment</v>
      </c>
      <c r="J16" s="148"/>
      <c r="K16" s="148"/>
      <c r="L16" s="148"/>
      <c r="M16" s="148"/>
      <c r="N16" s="148"/>
      <c r="O16" s="179"/>
      <c r="P16" s="508"/>
      <c r="R16" s="403"/>
      <c r="S16" s="403"/>
      <c r="T16" s="403"/>
      <c r="U16" s="403" t="s">
        <v>2761</v>
      </c>
      <c r="V16" s="403"/>
      <c r="W16" s="403"/>
      <c r="X16" s="403"/>
      <c r="Y16" s="403"/>
      <c r="Z16" s="403"/>
      <c r="AA16" s="403" t="s">
        <v>3191</v>
      </c>
      <c r="AB16" s="403"/>
      <c r="AC16" s="403"/>
      <c r="AD16" s="403"/>
      <c r="AE16" s="403"/>
      <c r="AF16" s="403"/>
      <c r="AG16" s="403"/>
      <c r="AH16" s="403"/>
      <c r="AI16" s="403"/>
      <c r="AJ16" s="403"/>
      <c r="AK16" s="403"/>
      <c r="AL16" s="403"/>
      <c r="AM16" s="403"/>
      <c r="AN16" s="403" t="s">
        <v>10188</v>
      </c>
      <c r="AO16" s="403"/>
      <c r="AP16" s="403"/>
      <c r="AQ16" s="403"/>
      <c r="AR16" s="403"/>
      <c r="AS16" s="403"/>
      <c r="AT16" s="403" t="s">
        <v>10189</v>
      </c>
      <c r="AU16" s="403"/>
      <c r="AV16" s="403"/>
      <c r="AW16" s="403"/>
      <c r="AX16" s="403"/>
      <c r="AY16" s="403"/>
      <c r="AZ16" s="403"/>
      <c r="BA16" s="403"/>
      <c r="BB16" s="403"/>
      <c r="BC16" s="403"/>
      <c r="BD16" s="403"/>
      <c r="BE16" s="403"/>
      <c r="BF16" s="403"/>
      <c r="BG16" s="403" t="s">
        <v>10190</v>
      </c>
      <c r="BH16" s="403"/>
      <c r="BI16" s="403"/>
      <c r="BJ16" s="403"/>
      <c r="BK16" s="403"/>
      <c r="BL16" s="403"/>
      <c r="BM16" s="403" t="s">
        <v>10191</v>
      </c>
      <c r="BN16" s="403"/>
      <c r="BO16" s="403"/>
      <c r="BP16" s="403"/>
      <c r="BQ16" s="403"/>
      <c r="BR16" s="403"/>
      <c r="BS16" s="403"/>
      <c r="BT16" s="403"/>
      <c r="BU16" s="403"/>
      <c r="BV16" s="403"/>
      <c r="BW16" s="403"/>
      <c r="BX16" s="403"/>
      <c r="BY16" s="403"/>
      <c r="BZ16" s="403" t="s">
        <v>10192</v>
      </c>
      <c r="CA16" s="403"/>
      <c r="CB16" s="403"/>
      <c r="CC16" s="403"/>
      <c r="CD16" s="403"/>
      <c r="CE16" s="403"/>
      <c r="CF16" s="403" t="s">
        <v>10193</v>
      </c>
      <c r="CG16" s="403"/>
      <c r="CH16" s="403"/>
      <c r="CI16" s="403"/>
      <c r="CJ16" s="403"/>
      <c r="CK16" s="403"/>
      <c r="CL16" s="403"/>
      <c r="CM16" s="403"/>
      <c r="CN16" s="403"/>
      <c r="CO16" s="403"/>
      <c r="CP16" s="403"/>
      <c r="CQ16" s="403"/>
      <c r="CR16" s="403"/>
      <c r="CS16" s="403" t="s">
        <v>10194</v>
      </c>
      <c r="CT16" s="403"/>
      <c r="CU16" s="403"/>
      <c r="CV16" s="403"/>
      <c r="CW16" s="403"/>
      <c r="CX16" s="403"/>
      <c r="CY16" s="403" t="s">
        <v>10195</v>
      </c>
      <c r="CZ16" s="403"/>
      <c r="DA16" s="403"/>
      <c r="DB16" s="403"/>
      <c r="DC16" s="403"/>
      <c r="DD16" s="403"/>
      <c r="DE16" s="403"/>
      <c r="DF16" s="403"/>
      <c r="DG16" s="403"/>
      <c r="DH16" s="403"/>
      <c r="DI16" s="403"/>
      <c r="DJ16" s="403"/>
      <c r="DK16" s="403"/>
      <c r="DL16" s="403" t="s">
        <v>10196</v>
      </c>
      <c r="DM16" s="403"/>
      <c r="DN16" s="403"/>
      <c r="DO16" s="403"/>
      <c r="DP16" s="403"/>
      <c r="DQ16" s="403"/>
      <c r="DR16" s="403" t="s">
        <v>10197</v>
      </c>
      <c r="DS16" s="403"/>
      <c r="DT16" s="403"/>
      <c r="DU16" s="403"/>
      <c r="DV16" s="403"/>
      <c r="DW16" s="403"/>
      <c r="DX16" s="403"/>
      <c r="DY16" s="403"/>
      <c r="DZ16" s="403"/>
      <c r="EA16" s="403"/>
      <c r="EB16" s="403"/>
      <c r="EC16" s="403"/>
      <c r="ED16" s="403"/>
      <c r="EE16" s="403" t="s">
        <v>10198</v>
      </c>
      <c r="EF16" s="403"/>
      <c r="EG16" s="403"/>
      <c r="EH16" s="403"/>
      <c r="EI16" s="403"/>
      <c r="EJ16" s="403"/>
      <c r="EK16" s="403" t="s">
        <v>10199</v>
      </c>
      <c r="EL16" s="403"/>
      <c r="EM16" s="403"/>
      <c r="EN16" s="403"/>
      <c r="EO16" s="403"/>
      <c r="EP16" s="403"/>
      <c r="EQ16" s="403"/>
      <c r="ER16" s="403"/>
      <c r="ES16" s="403"/>
    </row>
    <row r="17" spans="1:149" s="150" customFormat="1" x14ac:dyDescent="0.2">
      <c r="B17" s="23" t="str">
        <f>CONCATENATE("",DM1_Vaccine)</f>
        <v/>
      </c>
      <c r="C17" s="145" t="e">
        <f>VLOOKUP(DM1_Vaccine,'T1. Vaccines'!$C$8:$AD$37,D17,FALSE)</f>
        <v>#N/A</v>
      </c>
      <c r="D17" s="2">
        <f ca="1">OFFSET(_Offset_Index_VaccineSupplies_Index,0,E17)</f>
        <v>11</v>
      </c>
      <c r="E17" s="2">
        <v>-5</v>
      </c>
      <c r="F17" s="181"/>
      <c r="G17" s="181"/>
      <c r="H17" s="181"/>
      <c r="I17" s="89" t="e">
        <f>(I11*$C17)/(1000*I$7)</f>
        <v>#N/A</v>
      </c>
      <c r="J17" s="89" t="e">
        <f t="shared" ref="J17:N17" si="3">(J11*$C17)/(1000*J$7)</f>
        <v>#N/A</v>
      </c>
      <c r="K17" s="89" t="e">
        <f t="shared" si="3"/>
        <v>#N/A</v>
      </c>
      <c r="L17" s="89" t="e">
        <f t="shared" si="3"/>
        <v>#N/A</v>
      </c>
      <c r="M17" s="89" t="e">
        <f t="shared" si="3"/>
        <v>#N/A</v>
      </c>
      <c r="N17" s="89" t="e">
        <f t="shared" si="3"/>
        <v>#N/A</v>
      </c>
      <c r="O17" s="16" t="e">
        <f t="shared" ref="O17:O20" si="4">SUM(I17:N17)</f>
        <v>#N/A</v>
      </c>
      <c r="P17" s="508"/>
      <c r="R17" s="403"/>
      <c r="S17" s="403"/>
      <c r="T17" s="403"/>
      <c r="U17" s="403"/>
      <c r="V17" s="403"/>
      <c r="W17" s="403"/>
      <c r="X17" s="403"/>
      <c r="Y17" s="403"/>
      <c r="Z17" s="403"/>
      <c r="AA17" s="403"/>
      <c r="AB17" s="403"/>
      <c r="AC17" s="403"/>
      <c r="AD17" s="403"/>
      <c r="AE17" s="403"/>
      <c r="AF17" s="403"/>
      <c r="AG17" s="403"/>
      <c r="AH17" s="403"/>
      <c r="AI17" s="403"/>
      <c r="AJ17" s="403"/>
      <c r="AK17" s="403"/>
      <c r="AL17" s="403"/>
      <c r="AM17" s="403"/>
      <c r="AN17" s="403"/>
      <c r="AO17" s="403"/>
      <c r="AP17" s="403"/>
      <c r="AQ17" s="403"/>
      <c r="AR17" s="403"/>
      <c r="AS17" s="403"/>
      <c r="AT17" s="403"/>
      <c r="AU17" s="403"/>
      <c r="AV17" s="403"/>
      <c r="AW17" s="403"/>
      <c r="AX17" s="403"/>
      <c r="AY17" s="403"/>
      <c r="AZ17" s="403"/>
      <c r="BA17" s="403"/>
      <c r="BB17" s="403"/>
      <c r="BC17" s="403"/>
      <c r="BD17" s="403"/>
      <c r="BE17" s="403"/>
      <c r="BF17" s="403"/>
      <c r="BG17" s="403"/>
      <c r="BH17" s="403"/>
      <c r="BI17" s="403"/>
      <c r="BJ17" s="403"/>
      <c r="BK17" s="403"/>
      <c r="BL17" s="403"/>
      <c r="BM17" s="403"/>
      <c r="BN17" s="403"/>
      <c r="BO17" s="403"/>
      <c r="BP17" s="403"/>
      <c r="BQ17" s="403"/>
      <c r="BR17" s="403"/>
      <c r="BS17" s="403"/>
      <c r="BT17" s="403"/>
      <c r="BU17" s="403"/>
      <c r="BV17" s="403"/>
      <c r="BW17" s="403"/>
      <c r="BX17" s="403"/>
      <c r="BY17" s="403"/>
      <c r="BZ17" s="403"/>
      <c r="CA17" s="403"/>
      <c r="CB17" s="403"/>
      <c r="CC17" s="403"/>
      <c r="CD17" s="403"/>
      <c r="CE17" s="403"/>
      <c r="CF17" s="403"/>
      <c r="CG17" s="403"/>
      <c r="CH17" s="403"/>
      <c r="CI17" s="403"/>
      <c r="CJ17" s="403"/>
      <c r="CK17" s="403"/>
      <c r="CL17" s="403"/>
      <c r="CM17" s="403"/>
      <c r="CN17" s="403"/>
      <c r="CO17" s="403"/>
      <c r="CP17" s="403"/>
      <c r="CQ17" s="403"/>
      <c r="CR17" s="403"/>
      <c r="CS17" s="403"/>
      <c r="CT17" s="403"/>
      <c r="CU17" s="403"/>
      <c r="CV17" s="403"/>
      <c r="CW17" s="403"/>
      <c r="CX17" s="403"/>
      <c r="CY17" s="403"/>
      <c r="CZ17" s="403"/>
      <c r="DA17" s="403"/>
      <c r="DB17" s="403"/>
      <c r="DC17" s="403"/>
      <c r="DD17" s="403"/>
      <c r="DE17" s="403"/>
      <c r="DF17" s="403"/>
      <c r="DG17" s="403"/>
      <c r="DH17" s="403"/>
      <c r="DI17" s="403"/>
      <c r="DJ17" s="403"/>
      <c r="DK17" s="403"/>
      <c r="DL17" s="403"/>
      <c r="DM17" s="403"/>
      <c r="DN17" s="403"/>
      <c r="DO17" s="403"/>
      <c r="DP17" s="403"/>
      <c r="DQ17" s="403"/>
      <c r="DR17" s="403"/>
      <c r="DS17" s="403"/>
      <c r="DT17" s="403"/>
      <c r="DU17" s="403"/>
      <c r="DV17" s="403"/>
      <c r="DW17" s="403"/>
      <c r="DX17" s="403"/>
      <c r="DY17" s="403"/>
      <c r="DZ17" s="403"/>
      <c r="EA17" s="403"/>
      <c r="EB17" s="403"/>
      <c r="EC17" s="403"/>
      <c r="ED17" s="403"/>
      <c r="EE17" s="403"/>
      <c r="EF17" s="403"/>
      <c r="EG17" s="403"/>
      <c r="EH17" s="403"/>
      <c r="EI17" s="403"/>
      <c r="EJ17" s="403"/>
      <c r="EK17" s="403"/>
      <c r="EL17" s="403"/>
      <c r="EM17" s="403"/>
      <c r="EN17" s="403"/>
      <c r="EO17" s="403"/>
      <c r="EP17" s="403"/>
      <c r="EQ17" s="403"/>
      <c r="ER17" s="403"/>
      <c r="ES17" s="403"/>
    </row>
    <row r="18" spans="1:149" s="150" customFormat="1" x14ac:dyDescent="0.2">
      <c r="B18" s="23" t="str">
        <f>CONCATENATE("",DM2_Vaccine)</f>
        <v/>
      </c>
      <c r="C18" s="145" t="e">
        <f>VLOOKUP(DM2_Vaccine,'T1. Vaccines'!$C$8:$AD$37,D18,FALSE)</f>
        <v>#N/A</v>
      </c>
      <c r="D18" s="2">
        <f ca="1">OFFSET(_Offset_Index_VaccineSupplies_Index,0,E18)</f>
        <v>11</v>
      </c>
      <c r="E18" s="2">
        <v>-5</v>
      </c>
      <c r="F18" s="181"/>
      <c r="G18" s="181"/>
      <c r="H18" s="181"/>
      <c r="I18" s="89" t="e">
        <f t="shared" ref="I18:N18" si="5">(I12*$C18)/(1000*I$7)</f>
        <v>#N/A</v>
      </c>
      <c r="J18" s="89" t="e">
        <f t="shared" si="5"/>
        <v>#N/A</v>
      </c>
      <c r="K18" s="89" t="e">
        <f t="shared" si="5"/>
        <v>#N/A</v>
      </c>
      <c r="L18" s="89" t="e">
        <f t="shared" si="5"/>
        <v>#N/A</v>
      </c>
      <c r="M18" s="89" t="e">
        <f t="shared" si="5"/>
        <v>#N/A</v>
      </c>
      <c r="N18" s="89" t="e">
        <f t="shared" si="5"/>
        <v>#N/A</v>
      </c>
      <c r="O18" s="16" t="e">
        <f t="shared" si="4"/>
        <v>#N/A</v>
      </c>
      <c r="P18" s="508"/>
      <c r="R18" s="403"/>
      <c r="S18" s="403"/>
      <c r="T18" s="403"/>
      <c r="U18" s="403"/>
      <c r="V18" s="403"/>
      <c r="W18" s="403"/>
      <c r="X18" s="403"/>
      <c r="Y18" s="403"/>
      <c r="Z18" s="403"/>
      <c r="AA18" s="403"/>
      <c r="AB18" s="403"/>
      <c r="AC18" s="403"/>
      <c r="AD18" s="403"/>
      <c r="AE18" s="403"/>
      <c r="AF18" s="403"/>
      <c r="AG18" s="403"/>
      <c r="AH18" s="403"/>
      <c r="AI18" s="403"/>
      <c r="AJ18" s="403"/>
      <c r="AK18" s="403"/>
      <c r="AL18" s="403"/>
      <c r="AM18" s="403"/>
      <c r="AN18" s="403"/>
      <c r="AO18" s="403"/>
      <c r="AP18" s="403"/>
      <c r="AQ18" s="403"/>
      <c r="AR18" s="403"/>
      <c r="AS18" s="403"/>
      <c r="AT18" s="403"/>
      <c r="AU18" s="403"/>
      <c r="AV18" s="403"/>
      <c r="AW18" s="403"/>
      <c r="AX18" s="403"/>
      <c r="AY18" s="403"/>
      <c r="AZ18" s="403"/>
      <c r="BA18" s="403"/>
      <c r="BB18" s="403"/>
      <c r="BC18" s="403"/>
      <c r="BD18" s="403"/>
      <c r="BE18" s="403"/>
      <c r="BF18" s="403"/>
      <c r="BG18" s="403"/>
      <c r="BH18" s="403"/>
      <c r="BI18" s="403"/>
      <c r="BJ18" s="403"/>
      <c r="BK18" s="403"/>
      <c r="BL18" s="403"/>
      <c r="BM18" s="403"/>
      <c r="BN18" s="403"/>
      <c r="BO18" s="403"/>
      <c r="BP18" s="403"/>
      <c r="BQ18" s="403"/>
      <c r="BR18" s="403"/>
      <c r="BS18" s="403"/>
      <c r="BT18" s="403"/>
      <c r="BU18" s="403"/>
      <c r="BV18" s="403"/>
      <c r="BW18" s="403"/>
      <c r="BX18" s="403"/>
      <c r="BY18" s="403"/>
      <c r="BZ18" s="403"/>
      <c r="CA18" s="403"/>
      <c r="CB18" s="403"/>
      <c r="CC18" s="403"/>
      <c r="CD18" s="403"/>
      <c r="CE18" s="403"/>
      <c r="CF18" s="403"/>
      <c r="CG18" s="403"/>
      <c r="CH18" s="403"/>
      <c r="CI18" s="403"/>
      <c r="CJ18" s="403"/>
      <c r="CK18" s="403"/>
      <c r="CL18" s="403"/>
      <c r="CM18" s="403"/>
      <c r="CN18" s="403"/>
      <c r="CO18" s="403"/>
      <c r="CP18" s="403"/>
      <c r="CQ18" s="403"/>
      <c r="CR18" s="403"/>
      <c r="CS18" s="403"/>
      <c r="CT18" s="403"/>
      <c r="CU18" s="403"/>
      <c r="CV18" s="403"/>
      <c r="CW18" s="403"/>
      <c r="CX18" s="403"/>
      <c r="CY18" s="403"/>
      <c r="CZ18" s="403"/>
      <c r="DA18" s="403"/>
      <c r="DB18" s="403"/>
      <c r="DC18" s="403"/>
      <c r="DD18" s="403"/>
      <c r="DE18" s="403"/>
      <c r="DF18" s="403"/>
      <c r="DG18" s="403"/>
      <c r="DH18" s="403"/>
      <c r="DI18" s="403"/>
      <c r="DJ18" s="403"/>
      <c r="DK18" s="403"/>
      <c r="DL18" s="403"/>
      <c r="DM18" s="403"/>
      <c r="DN18" s="403"/>
      <c r="DO18" s="403"/>
      <c r="DP18" s="403"/>
      <c r="DQ18" s="403"/>
      <c r="DR18" s="403"/>
      <c r="DS18" s="403"/>
      <c r="DT18" s="403"/>
      <c r="DU18" s="403"/>
      <c r="DV18" s="403"/>
      <c r="DW18" s="403"/>
      <c r="DX18" s="403"/>
      <c r="DY18" s="403"/>
      <c r="DZ18" s="403"/>
      <c r="EA18" s="403"/>
      <c r="EB18" s="403"/>
      <c r="EC18" s="403"/>
      <c r="ED18" s="403"/>
      <c r="EE18" s="403"/>
      <c r="EF18" s="403"/>
      <c r="EG18" s="403"/>
      <c r="EH18" s="403"/>
      <c r="EI18" s="403"/>
      <c r="EJ18" s="403"/>
      <c r="EK18" s="403"/>
      <c r="EL18" s="403"/>
      <c r="EM18" s="403"/>
      <c r="EN18" s="403"/>
      <c r="EO18" s="403"/>
      <c r="EP18" s="403"/>
      <c r="EQ18" s="403"/>
      <c r="ER18" s="403"/>
      <c r="ES18" s="403"/>
    </row>
    <row r="19" spans="1:149" s="150" customFormat="1" x14ac:dyDescent="0.2">
      <c r="B19" s="23" t="str">
        <f>CONCATENATE("",DM3_Vaccine)</f>
        <v/>
      </c>
      <c r="C19" s="145" t="e">
        <f>VLOOKUP(DM3_Vaccine,'T1. Vaccines'!$C$8:$AD$37,D19,FALSE)</f>
        <v>#N/A</v>
      </c>
      <c r="D19" s="2">
        <f ca="1">OFFSET(_Offset_Index_VaccineSupplies_Index,0,E19)</f>
        <v>11</v>
      </c>
      <c r="E19" s="2">
        <v>-5</v>
      </c>
      <c r="F19" s="181"/>
      <c r="G19" s="181"/>
      <c r="H19" s="181"/>
      <c r="I19" s="89" t="e">
        <f t="shared" ref="I19:N19" si="6">(I13*$C19)/(1000*I$7)</f>
        <v>#N/A</v>
      </c>
      <c r="J19" s="89" t="e">
        <f t="shared" si="6"/>
        <v>#N/A</v>
      </c>
      <c r="K19" s="89" t="e">
        <f t="shared" si="6"/>
        <v>#N/A</v>
      </c>
      <c r="L19" s="89" t="e">
        <f t="shared" si="6"/>
        <v>#N/A</v>
      </c>
      <c r="M19" s="89" t="e">
        <f t="shared" si="6"/>
        <v>#N/A</v>
      </c>
      <c r="N19" s="89" t="e">
        <f t="shared" si="6"/>
        <v>#N/A</v>
      </c>
      <c r="O19" s="16" t="e">
        <f t="shared" si="4"/>
        <v>#N/A</v>
      </c>
      <c r="P19" s="508"/>
      <c r="R19" s="403"/>
      <c r="S19" s="403"/>
      <c r="T19" s="403"/>
      <c r="U19" s="403"/>
      <c r="V19" s="403"/>
      <c r="W19" s="403"/>
      <c r="X19" s="403"/>
      <c r="Y19" s="403"/>
      <c r="Z19" s="403"/>
      <c r="AA19" s="403"/>
      <c r="AB19" s="403"/>
      <c r="AC19" s="403"/>
      <c r="AD19" s="403"/>
      <c r="AE19" s="403"/>
      <c r="AF19" s="403"/>
      <c r="AG19" s="403"/>
      <c r="AH19" s="403"/>
      <c r="AI19" s="403"/>
      <c r="AJ19" s="403"/>
      <c r="AK19" s="403"/>
      <c r="AL19" s="403"/>
      <c r="AM19" s="403"/>
      <c r="AN19" s="403"/>
      <c r="AO19" s="403"/>
      <c r="AP19" s="403"/>
      <c r="AQ19" s="403"/>
      <c r="AR19" s="403"/>
      <c r="AS19" s="403"/>
      <c r="AT19" s="403"/>
      <c r="AU19" s="403"/>
      <c r="AV19" s="403"/>
      <c r="AW19" s="403"/>
      <c r="AX19" s="403"/>
      <c r="AY19" s="403"/>
      <c r="AZ19" s="403"/>
      <c r="BA19" s="403"/>
      <c r="BB19" s="403"/>
      <c r="BC19" s="403"/>
      <c r="BD19" s="403"/>
      <c r="BE19" s="403"/>
      <c r="BF19" s="403"/>
      <c r="BG19" s="403"/>
      <c r="BH19" s="403"/>
      <c r="BI19" s="403"/>
      <c r="BJ19" s="403"/>
      <c r="BK19" s="403"/>
      <c r="BL19" s="403"/>
      <c r="BM19" s="403"/>
      <c r="BN19" s="403"/>
      <c r="BO19" s="403"/>
      <c r="BP19" s="403"/>
      <c r="BQ19" s="403"/>
      <c r="BR19" s="403"/>
      <c r="BS19" s="403"/>
      <c r="BT19" s="403"/>
      <c r="BU19" s="403"/>
      <c r="BV19" s="403"/>
      <c r="BW19" s="403"/>
      <c r="BX19" s="403"/>
      <c r="BY19" s="403"/>
      <c r="BZ19" s="403"/>
      <c r="CA19" s="403"/>
      <c r="CB19" s="403"/>
      <c r="CC19" s="403"/>
      <c r="CD19" s="403"/>
      <c r="CE19" s="403"/>
      <c r="CF19" s="403"/>
      <c r="CG19" s="403"/>
      <c r="CH19" s="403"/>
      <c r="CI19" s="403"/>
      <c r="CJ19" s="403"/>
      <c r="CK19" s="403"/>
      <c r="CL19" s="403"/>
      <c r="CM19" s="403"/>
      <c r="CN19" s="403"/>
      <c r="CO19" s="403"/>
      <c r="CP19" s="403"/>
      <c r="CQ19" s="403"/>
      <c r="CR19" s="403"/>
      <c r="CS19" s="403"/>
      <c r="CT19" s="403"/>
      <c r="CU19" s="403"/>
      <c r="CV19" s="403"/>
      <c r="CW19" s="403"/>
      <c r="CX19" s="403"/>
      <c r="CY19" s="403"/>
      <c r="CZ19" s="403"/>
      <c r="DA19" s="403"/>
      <c r="DB19" s="403"/>
      <c r="DC19" s="403"/>
      <c r="DD19" s="403"/>
      <c r="DE19" s="403"/>
      <c r="DF19" s="403"/>
      <c r="DG19" s="403"/>
      <c r="DH19" s="403"/>
      <c r="DI19" s="403"/>
      <c r="DJ19" s="403"/>
      <c r="DK19" s="403"/>
      <c r="DL19" s="403"/>
      <c r="DM19" s="403"/>
      <c r="DN19" s="403"/>
      <c r="DO19" s="403"/>
      <c r="DP19" s="403"/>
      <c r="DQ19" s="403"/>
      <c r="DR19" s="403"/>
      <c r="DS19" s="403"/>
      <c r="DT19" s="403"/>
      <c r="DU19" s="403"/>
      <c r="DV19" s="403"/>
      <c r="DW19" s="403"/>
      <c r="DX19" s="403"/>
      <c r="DY19" s="403"/>
      <c r="DZ19" s="403"/>
      <c r="EA19" s="403"/>
      <c r="EB19" s="403"/>
      <c r="EC19" s="403"/>
      <c r="ED19" s="403"/>
      <c r="EE19" s="403"/>
      <c r="EF19" s="403"/>
      <c r="EG19" s="403"/>
      <c r="EH19" s="403"/>
      <c r="EI19" s="403"/>
      <c r="EJ19" s="403"/>
      <c r="EK19" s="403"/>
      <c r="EL19" s="403"/>
      <c r="EM19" s="403"/>
      <c r="EN19" s="403"/>
      <c r="EO19" s="403"/>
      <c r="EP19" s="403"/>
      <c r="EQ19" s="403"/>
      <c r="ER19" s="403"/>
      <c r="ES19" s="403"/>
    </row>
    <row r="20" spans="1:149" s="150" customFormat="1" x14ac:dyDescent="0.2">
      <c r="B20" s="23" t="str">
        <f>CONCATENATE("",DM4_Vaccine)</f>
        <v/>
      </c>
      <c r="C20" s="145" t="e">
        <f>VLOOKUP(DM4_Vaccine,'T1. Vaccines'!$C$8:$AD$37,D20,FALSE)</f>
        <v>#N/A</v>
      </c>
      <c r="D20" s="2">
        <f ca="1">OFFSET(_Offset_Index_VaccineSupplies_Index,0,E20)</f>
        <v>11</v>
      </c>
      <c r="E20" s="2">
        <v>-5</v>
      </c>
      <c r="F20" s="181"/>
      <c r="G20" s="181"/>
      <c r="H20" s="181"/>
      <c r="I20" s="89" t="e">
        <f t="shared" ref="I20:N20" si="7">(I14*$C20)/(1000*I$7)</f>
        <v>#N/A</v>
      </c>
      <c r="J20" s="89" t="e">
        <f t="shared" si="7"/>
        <v>#N/A</v>
      </c>
      <c r="K20" s="89" t="e">
        <f t="shared" si="7"/>
        <v>#N/A</v>
      </c>
      <c r="L20" s="89" t="e">
        <f t="shared" si="7"/>
        <v>#N/A</v>
      </c>
      <c r="M20" s="89" t="e">
        <f t="shared" si="7"/>
        <v>#N/A</v>
      </c>
      <c r="N20" s="89" t="e">
        <f t="shared" si="7"/>
        <v>#N/A</v>
      </c>
      <c r="O20" s="16" t="e">
        <f t="shared" si="4"/>
        <v>#N/A</v>
      </c>
      <c r="P20" s="508"/>
      <c r="R20" s="403"/>
      <c r="S20" s="403"/>
      <c r="T20" s="403"/>
      <c r="U20" s="403"/>
      <c r="V20" s="403"/>
      <c r="W20" s="403"/>
      <c r="X20" s="403"/>
      <c r="Y20" s="403"/>
      <c r="Z20" s="403"/>
      <c r="AA20" s="403"/>
      <c r="AB20" s="403"/>
      <c r="AC20" s="403"/>
      <c r="AD20" s="403"/>
      <c r="AE20" s="403"/>
      <c r="AF20" s="403"/>
      <c r="AG20" s="403"/>
      <c r="AH20" s="403"/>
      <c r="AI20" s="403"/>
      <c r="AJ20" s="403"/>
      <c r="AK20" s="403"/>
      <c r="AL20" s="403"/>
      <c r="AM20" s="403"/>
      <c r="AN20" s="403"/>
      <c r="AO20" s="403"/>
      <c r="AP20" s="403"/>
      <c r="AQ20" s="403"/>
      <c r="AR20" s="403"/>
      <c r="AS20" s="403"/>
      <c r="AT20" s="403"/>
      <c r="AU20" s="403"/>
      <c r="AV20" s="403"/>
      <c r="AW20" s="403"/>
      <c r="AX20" s="403"/>
      <c r="AY20" s="403"/>
      <c r="AZ20" s="403"/>
      <c r="BA20" s="403"/>
      <c r="BB20" s="403"/>
      <c r="BC20" s="403"/>
      <c r="BD20" s="403"/>
      <c r="BE20" s="403"/>
      <c r="BF20" s="403"/>
      <c r="BG20" s="403"/>
      <c r="BH20" s="403"/>
      <c r="BI20" s="403"/>
      <c r="BJ20" s="403"/>
      <c r="BK20" s="403"/>
      <c r="BL20" s="403"/>
      <c r="BM20" s="403"/>
      <c r="BN20" s="403"/>
      <c r="BO20" s="403"/>
      <c r="BP20" s="403"/>
      <c r="BQ20" s="403"/>
      <c r="BR20" s="403"/>
      <c r="BS20" s="403"/>
      <c r="BT20" s="403"/>
      <c r="BU20" s="403"/>
      <c r="BV20" s="403"/>
      <c r="BW20" s="403"/>
      <c r="BX20" s="403"/>
      <c r="BY20" s="403"/>
      <c r="BZ20" s="403"/>
      <c r="CA20" s="403"/>
      <c r="CB20" s="403"/>
      <c r="CC20" s="403"/>
      <c r="CD20" s="403"/>
      <c r="CE20" s="403"/>
      <c r="CF20" s="403"/>
      <c r="CG20" s="403"/>
      <c r="CH20" s="403"/>
      <c r="CI20" s="403"/>
      <c r="CJ20" s="403"/>
      <c r="CK20" s="403"/>
      <c r="CL20" s="403"/>
      <c r="CM20" s="403"/>
      <c r="CN20" s="403"/>
      <c r="CO20" s="403"/>
      <c r="CP20" s="403"/>
      <c r="CQ20" s="403"/>
      <c r="CR20" s="403"/>
      <c r="CS20" s="403"/>
      <c r="CT20" s="403"/>
      <c r="CU20" s="403"/>
      <c r="CV20" s="403"/>
      <c r="CW20" s="403"/>
      <c r="CX20" s="403"/>
      <c r="CY20" s="403"/>
      <c r="CZ20" s="403"/>
      <c r="DA20" s="403"/>
      <c r="DB20" s="403"/>
      <c r="DC20" s="403"/>
      <c r="DD20" s="403"/>
      <c r="DE20" s="403"/>
      <c r="DF20" s="403"/>
      <c r="DG20" s="403"/>
      <c r="DH20" s="403"/>
      <c r="DI20" s="403"/>
      <c r="DJ20" s="403"/>
      <c r="DK20" s="403"/>
      <c r="DL20" s="403"/>
      <c r="DM20" s="403"/>
      <c r="DN20" s="403"/>
      <c r="DO20" s="403"/>
      <c r="DP20" s="403"/>
      <c r="DQ20" s="403"/>
      <c r="DR20" s="403"/>
      <c r="DS20" s="403"/>
      <c r="DT20" s="403"/>
      <c r="DU20" s="403"/>
      <c r="DV20" s="403"/>
      <c r="DW20" s="403"/>
      <c r="DX20" s="403"/>
      <c r="DY20" s="403"/>
      <c r="DZ20" s="403"/>
      <c r="EA20" s="403"/>
      <c r="EB20" s="403"/>
      <c r="EC20" s="403"/>
      <c r="ED20" s="403"/>
      <c r="EE20" s="403"/>
      <c r="EF20" s="403"/>
      <c r="EG20" s="403"/>
      <c r="EH20" s="403"/>
      <c r="EI20" s="403"/>
      <c r="EJ20" s="403"/>
      <c r="EK20" s="403"/>
      <c r="EL20" s="403"/>
      <c r="EM20" s="403"/>
      <c r="EN20" s="403"/>
      <c r="EO20" s="403"/>
      <c r="EP20" s="403"/>
      <c r="EQ20" s="403"/>
      <c r="ER20" s="403"/>
      <c r="ES20" s="403"/>
    </row>
    <row r="21" spans="1:149" s="150" customFormat="1" x14ac:dyDescent="0.2">
      <c r="D21" s="181"/>
      <c r="E21" s="181"/>
      <c r="F21" s="181"/>
      <c r="G21" s="181"/>
      <c r="H21" s="181"/>
      <c r="I21" s="320" t="e">
        <f>SUM(I17:I20)</f>
        <v>#N/A</v>
      </c>
      <c r="J21" s="320" t="e">
        <f t="shared" ref="J21:N21" si="8">SUM(J17:J20)</f>
        <v>#N/A</v>
      </c>
      <c r="K21" s="320" t="e">
        <f t="shared" si="8"/>
        <v>#N/A</v>
      </c>
      <c r="L21" s="320" t="e">
        <f t="shared" si="8"/>
        <v>#N/A</v>
      </c>
      <c r="M21" s="320" t="e">
        <f t="shared" si="8"/>
        <v>#N/A</v>
      </c>
      <c r="N21" s="320" t="e">
        <f t="shared" si="8"/>
        <v>#N/A</v>
      </c>
      <c r="O21" s="2"/>
      <c r="P21" s="508"/>
      <c r="R21" s="403"/>
      <c r="S21" s="403"/>
      <c r="T21" s="403"/>
      <c r="U21" s="403"/>
      <c r="V21" s="403"/>
      <c r="W21" s="403"/>
      <c r="X21" s="403"/>
      <c r="Y21" s="403"/>
      <c r="Z21" s="403"/>
      <c r="AA21" s="403"/>
      <c r="AB21" s="403"/>
      <c r="AC21" s="403"/>
      <c r="AD21" s="403"/>
      <c r="AE21" s="403"/>
      <c r="AF21" s="403"/>
      <c r="AG21" s="403"/>
      <c r="AH21" s="403"/>
      <c r="AI21" s="403"/>
      <c r="AJ21" s="403"/>
      <c r="AK21" s="403"/>
      <c r="AL21" s="403"/>
      <c r="AM21" s="403"/>
      <c r="AN21" s="403"/>
      <c r="AO21" s="403"/>
      <c r="AP21" s="403"/>
      <c r="AQ21" s="403"/>
      <c r="AR21" s="403"/>
      <c r="AS21" s="403"/>
      <c r="AT21" s="403"/>
      <c r="AU21" s="403"/>
      <c r="AV21" s="403"/>
      <c r="AW21" s="403"/>
      <c r="AX21" s="403"/>
      <c r="AY21" s="403"/>
      <c r="AZ21" s="403"/>
      <c r="BA21" s="403"/>
      <c r="BB21" s="403"/>
      <c r="BC21" s="403"/>
      <c r="BD21" s="403"/>
      <c r="BE21" s="403"/>
      <c r="BF21" s="403"/>
      <c r="BG21" s="403"/>
      <c r="BH21" s="403"/>
      <c r="BI21" s="403"/>
      <c r="BJ21" s="403"/>
      <c r="BK21" s="403"/>
      <c r="BL21" s="403"/>
      <c r="BM21" s="403"/>
      <c r="BN21" s="403"/>
      <c r="BO21" s="403"/>
      <c r="BP21" s="403"/>
      <c r="BQ21" s="403"/>
      <c r="BR21" s="403"/>
      <c r="BS21" s="403"/>
      <c r="BT21" s="403"/>
      <c r="BU21" s="403"/>
      <c r="BV21" s="403"/>
      <c r="BW21" s="403"/>
      <c r="BX21" s="403"/>
      <c r="BY21" s="403"/>
      <c r="BZ21" s="403"/>
      <c r="CA21" s="403"/>
      <c r="CB21" s="403"/>
      <c r="CC21" s="403"/>
      <c r="CD21" s="403"/>
      <c r="CE21" s="403"/>
      <c r="CF21" s="403"/>
      <c r="CG21" s="403"/>
      <c r="CH21" s="403"/>
      <c r="CI21" s="403"/>
      <c r="CJ21" s="403"/>
      <c r="CK21" s="403"/>
      <c r="CL21" s="403"/>
      <c r="CM21" s="403"/>
      <c r="CN21" s="403"/>
      <c r="CO21" s="403"/>
      <c r="CP21" s="403"/>
      <c r="CQ21" s="403"/>
      <c r="CR21" s="403"/>
      <c r="CS21" s="403"/>
      <c r="CT21" s="403"/>
      <c r="CU21" s="403"/>
      <c r="CV21" s="403"/>
      <c r="CW21" s="403"/>
      <c r="CX21" s="403"/>
      <c r="CY21" s="403"/>
      <c r="CZ21" s="403"/>
      <c r="DA21" s="403"/>
      <c r="DB21" s="403"/>
      <c r="DC21" s="403"/>
      <c r="DD21" s="403"/>
      <c r="DE21" s="403"/>
      <c r="DF21" s="403"/>
      <c r="DG21" s="403"/>
      <c r="DH21" s="403"/>
      <c r="DI21" s="403"/>
      <c r="DJ21" s="403"/>
      <c r="DK21" s="403"/>
      <c r="DL21" s="403"/>
      <c r="DM21" s="403"/>
      <c r="DN21" s="403"/>
      <c r="DO21" s="403"/>
      <c r="DP21" s="403"/>
      <c r="DQ21" s="403"/>
      <c r="DR21" s="403"/>
      <c r="DS21" s="403"/>
      <c r="DT21" s="403"/>
      <c r="DU21" s="403"/>
      <c r="DV21" s="403"/>
      <c r="DW21" s="403"/>
      <c r="DX21" s="403"/>
      <c r="DY21" s="403"/>
      <c r="DZ21" s="403"/>
      <c r="EA21" s="403"/>
      <c r="EB21" s="403"/>
      <c r="EC21" s="403"/>
      <c r="ED21" s="403"/>
      <c r="EE21" s="403"/>
      <c r="EF21" s="403"/>
      <c r="EG21" s="403"/>
      <c r="EH21" s="403"/>
      <c r="EI21" s="403"/>
      <c r="EJ21" s="403"/>
      <c r="EK21" s="403"/>
      <c r="EL21" s="403"/>
      <c r="EM21" s="403"/>
      <c r="EN21" s="403"/>
      <c r="EO21" s="403"/>
      <c r="EP21" s="403"/>
      <c r="EQ21" s="403"/>
      <c r="ER21" s="403"/>
      <c r="ES21" s="403"/>
    </row>
    <row r="22" spans="1:149" ht="15" x14ac:dyDescent="0.25">
      <c r="B22" s="122"/>
      <c r="C22" s="192" t="str">
        <f t="shared" ref="C22:I22" ca="1" si="9">IF(OFFSET(U22,0,Lang_Order*Lang__B3)="","",OFFSET(U22,0,Lang_Order*Lang__B3))</f>
        <v>Volume per dose (cm3) in secondary packaging</v>
      </c>
      <c r="D22" s="181" t="str">
        <f t="shared" ca="1" si="9"/>
        <v/>
      </c>
      <c r="E22" s="181" t="str">
        <f t="shared" ca="1" si="9"/>
        <v/>
      </c>
      <c r="F22" s="181" t="str">
        <f t="shared" ca="1" si="9"/>
        <v/>
      </c>
      <c r="G22" s="181" t="str">
        <f t="shared" ca="1" si="9"/>
        <v/>
      </c>
      <c r="H22" s="181" t="str">
        <f t="shared" ca="1" si="9"/>
        <v/>
      </c>
      <c r="I22" s="148" t="str">
        <f t="shared" ca="1" si="9"/>
        <v>Volume  of vaccines in secondary packaging (liters) per Shipment, incl. buffer</v>
      </c>
      <c r="J22" s="148"/>
      <c r="K22" s="148"/>
      <c r="L22" s="148"/>
      <c r="M22" s="148"/>
      <c r="N22" s="148"/>
      <c r="O22" s="123">
        <f>Volume_Buffer</f>
        <v>1.25</v>
      </c>
      <c r="P22" s="508"/>
      <c r="U22" s="403" t="s">
        <v>2760</v>
      </c>
      <c r="AA22" s="403" t="s">
        <v>4181</v>
      </c>
      <c r="AN22" s="403" t="s">
        <v>10200</v>
      </c>
      <c r="AT22" s="403" t="s">
        <v>10201</v>
      </c>
      <c r="BG22" s="403" t="s">
        <v>10202</v>
      </c>
      <c r="BM22" s="403" t="s">
        <v>10203</v>
      </c>
      <c r="BZ22" s="403" t="s">
        <v>10204</v>
      </c>
      <c r="CF22" s="403" t="s">
        <v>10205</v>
      </c>
      <c r="CS22" s="403" t="s">
        <v>10206</v>
      </c>
      <c r="CY22" s="403" t="s">
        <v>10207</v>
      </c>
      <c r="DL22" s="403" t="s">
        <v>10196</v>
      </c>
      <c r="DR22" s="403" t="s">
        <v>10197</v>
      </c>
      <c r="EE22" s="403" t="s">
        <v>10208</v>
      </c>
      <c r="EK22" s="403" t="s">
        <v>10209</v>
      </c>
    </row>
    <row r="23" spans="1:149" x14ac:dyDescent="0.2">
      <c r="B23" s="23" t="str">
        <f>CONCATENATE("",DM1_Vaccine)</f>
        <v/>
      </c>
      <c r="C23" s="145" t="e">
        <f>VLOOKUP(DM1_Vaccine,'T1. Vaccines'!$C$8:$AD$37,D23,FALSE)</f>
        <v>#N/A</v>
      </c>
      <c r="D23" s="2">
        <f ca="1">OFFSET(_Offset_Index_VaccineSupplies_Index,0,E23)</f>
        <v>10</v>
      </c>
      <c r="E23" s="2">
        <v>-6</v>
      </c>
      <c r="I23" s="89" t="e">
        <f t="shared" ref="I23:N26" si="10">(Volume_Buffer*I11*$C23)/(1000*I$7)</f>
        <v>#N/A</v>
      </c>
      <c r="J23" s="89" t="e">
        <f t="shared" si="10"/>
        <v>#N/A</v>
      </c>
      <c r="K23" s="89" t="e">
        <f t="shared" si="10"/>
        <v>#N/A</v>
      </c>
      <c r="L23" s="89" t="e">
        <f t="shared" si="10"/>
        <v>#N/A</v>
      </c>
      <c r="M23" s="89" t="e">
        <f t="shared" si="10"/>
        <v>#N/A</v>
      </c>
      <c r="N23" s="89" t="e">
        <f t="shared" si="10"/>
        <v>#N/A</v>
      </c>
      <c r="O23" s="89" t="e">
        <f>SUM(I23:N23)</f>
        <v>#N/A</v>
      </c>
      <c r="P23" s="508"/>
    </row>
    <row r="24" spans="1:149" x14ac:dyDescent="0.2">
      <c r="B24" s="23" t="str">
        <f>CONCATENATE("",DM2_Vaccine)</f>
        <v/>
      </c>
      <c r="C24" s="145" t="e">
        <f>VLOOKUP(DM2_Vaccine,'T1. Vaccines'!$C$8:$AD$37,D24,FALSE)</f>
        <v>#N/A</v>
      </c>
      <c r="D24" s="2">
        <f ca="1">OFFSET(_Offset_Index_VaccineSupplies_Index,0,E24)</f>
        <v>10</v>
      </c>
      <c r="E24" s="2">
        <v>-6</v>
      </c>
      <c r="I24" s="89" t="e">
        <f t="shared" si="10"/>
        <v>#N/A</v>
      </c>
      <c r="J24" s="89" t="e">
        <f t="shared" si="10"/>
        <v>#N/A</v>
      </c>
      <c r="K24" s="89" t="e">
        <f t="shared" si="10"/>
        <v>#N/A</v>
      </c>
      <c r="L24" s="89" t="e">
        <f t="shared" si="10"/>
        <v>#N/A</v>
      </c>
      <c r="M24" s="89" t="e">
        <f t="shared" si="10"/>
        <v>#N/A</v>
      </c>
      <c r="N24" s="89" t="e">
        <f t="shared" si="10"/>
        <v>#N/A</v>
      </c>
      <c r="O24" s="89" t="e">
        <f t="shared" ref="O24:O26" si="11">SUM(I24:N24)</f>
        <v>#N/A</v>
      </c>
      <c r="P24" s="508"/>
    </row>
    <row r="25" spans="1:149" x14ac:dyDescent="0.2">
      <c r="B25" s="23" t="str">
        <f>CONCATENATE("",DM3_Vaccine)</f>
        <v/>
      </c>
      <c r="C25" s="145" t="e">
        <f>VLOOKUP(DM3_Vaccine,'T1. Vaccines'!$C$8:$AD$37,D25,FALSE)</f>
        <v>#N/A</v>
      </c>
      <c r="D25" s="2">
        <f ca="1">OFFSET(_Offset_Index_VaccineSupplies_Index,0,E25)</f>
        <v>10</v>
      </c>
      <c r="E25" s="2">
        <v>-6</v>
      </c>
      <c r="I25" s="89" t="e">
        <f t="shared" si="10"/>
        <v>#N/A</v>
      </c>
      <c r="J25" s="89" t="e">
        <f t="shared" si="10"/>
        <v>#N/A</v>
      </c>
      <c r="K25" s="89" t="e">
        <f t="shared" si="10"/>
        <v>#N/A</v>
      </c>
      <c r="L25" s="89" t="e">
        <f t="shared" si="10"/>
        <v>#N/A</v>
      </c>
      <c r="M25" s="89" t="e">
        <f t="shared" si="10"/>
        <v>#N/A</v>
      </c>
      <c r="N25" s="89" t="e">
        <f t="shared" si="10"/>
        <v>#N/A</v>
      </c>
      <c r="O25" s="89" t="e">
        <f t="shared" si="11"/>
        <v>#N/A</v>
      </c>
      <c r="P25" s="194"/>
    </row>
    <row r="26" spans="1:149" x14ac:dyDescent="0.2">
      <c r="B26" s="23" t="str">
        <f>CONCATENATE("",DM4_Vaccine)</f>
        <v/>
      </c>
      <c r="C26" s="145" t="e">
        <f>VLOOKUP(DM4_Vaccine,'T1. Vaccines'!$C$8:$AD$37,D26,FALSE)</f>
        <v>#N/A</v>
      </c>
      <c r="D26" s="2">
        <f ca="1">OFFSET(_Offset_Index_VaccineSupplies_Index,0,E26)</f>
        <v>10</v>
      </c>
      <c r="E26" s="2">
        <v>-6</v>
      </c>
      <c r="I26" s="89" t="e">
        <f t="shared" si="10"/>
        <v>#N/A</v>
      </c>
      <c r="J26" s="89" t="e">
        <f t="shared" si="10"/>
        <v>#N/A</v>
      </c>
      <c r="K26" s="89" t="e">
        <f t="shared" si="10"/>
        <v>#N/A</v>
      </c>
      <c r="L26" s="89" t="e">
        <f t="shared" si="10"/>
        <v>#N/A</v>
      </c>
      <c r="M26" s="89" t="e">
        <f t="shared" si="10"/>
        <v>#N/A</v>
      </c>
      <c r="N26" s="89" t="e">
        <f t="shared" si="10"/>
        <v>#N/A</v>
      </c>
      <c r="O26" s="89" t="e">
        <f t="shared" si="11"/>
        <v>#N/A</v>
      </c>
      <c r="P26" s="194"/>
    </row>
    <row r="28" spans="1:149" s="183" customFormat="1" ht="15" x14ac:dyDescent="0.25">
      <c r="C28" s="8" t="str">
        <f ca="1">IF(OFFSET(U28,0,Lang_Order*Lang__B3)="","",OFFSET(U28,0,Lang_Order*Lang__B3))</f>
        <v>Shipments Combined</v>
      </c>
      <c r="D28" s="8"/>
      <c r="E28" s="8"/>
      <c r="F28" s="8"/>
      <c r="G28" s="8"/>
      <c r="H28" s="8"/>
      <c r="I28" s="8"/>
      <c r="J28" s="8"/>
      <c r="K28" s="8"/>
      <c r="L28" s="8"/>
      <c r="M28" s="8"/>
      <c r="N28" s="8"/>
      <c r="O28" s="8"/>
      <c r="R28" s="403"/>
      <c r="S28" s="403"/>
      <c r="T28" s="403"/>
      <c r="U28" s="403" t="s">
        <v>2788</v>
      </c>
      <c r="V28" s="403"/>
      <c r="W28" s="403"/>
      <c r="X28" s="403"/>
      <c r="Y28" s="403"/>
      <c r="Z28" s="403"/>
      <c r="AA28" s="403"/>
      <c r="AB28" s="403"/>
      <c r="AC28" s="403"/>
      <c r="AD28" s="403"/>
      <c r="AE28" s="403"/>
      <c r="AF28" s="403"/>
      <c r="AG28" s="403"/>
      <c r="AH28" s="403"/>
      <c r="AI28" s="403"/>
      <c r="AJ28" s="403"/>
      <c r="AK28" s="403"/>
      <c r="AL28" s="403"/>
      <c r="AM28" s="403"/>
      <c r="AN28" s="403" t="s">
        <v>10210</v>
      </c>
      <c r="AO28" s="403"/>
      <c r="AP28" s="403"/>
      <c r="AQ28" s="403"/>
      <c r="AR28" s="403"/>
      <c r="AS28" s="403"/>
      <c r="AT28" s="403"/>
      <c r="AU28" s="403"/>
      <c r="AV28" s="403"/>
      <c r="AW28" s="403"/>
      <c r="AX28" s="403"/>
      <c r="AY28" s="403"/>
      <c r="AZ28" s="403"/>
      <c r="BA28" s="403"/>
      <c r="BB28" s="403"/>
      <c r="BC28" s="403"/>
      <c r="BD28" s="403"/>
      <c r="BE28" s="403"/>
      <c r="BF28" s="403"/>
      <c r="BG28" s="403" t="s">
        <v>10211</v>
      </c>
      <c r="BH28" s="403"/>
      <c r="BI28" s="403"/>
      <c r="BJ28" s="403"/>
      <c r="BK28" s="403"/>
      <c r="BL28" s="403"/>
      <c r="BM28" s="403"/>
      <c r="BN28" s="403"/>
      <c r="BO28" s="403"/>
      <c r="BP28" s="403"/>
      <c r="BQ28" s="403"/>
      <c r="BR28" s="403"/>
      <c r="BS28" s="403"/>
      <c r="BT28" s="403"/>
      <c r="BU28" s="403"/>
      <c r="BV28" s="403"/>
      <c r="BW28" s="403"/>
      <c r="BX28" s="403"/>
      <c r="BY28" s="403"/>
      <c r="BZ28" s="403" t="s">
        <v>10212</v>
      </c>
      <c r="CA28" s="403"/>
      <c r="CB28" s="403"/>
      <c r="CC28" s="403"/>
      <c r="CD28" s="403"/>
      <c r="CE28" s="403"/>
      <c r="CF28" s="403"/>
      <c r="CG28" s="403"/>
      <c r="CH28" s="403"/>
      <c r="CI28" s="403"/>
      <c r="CJ28" s="403"/>
      <c r="CK28" s="403"/>
      <c r="CL28" s="403"/>
      <c r="CM28" s="403"/>
      <c r="CN28" s="403"/>
      <c r="CO28" s="403"/>
      <c r="CP28" s="403"/>
      <c r="CQ28" s="403"/>
      <c r="CR28" s="403"/>
      <c r="CS28" s="403" t="s">
        <v>10213</v>
      </c>
      <c r="CT28" s="403"/>
      <c r="CU28" s="403"/>
      <c r="CV28" s="403"/>
      <c r="CW28" s="403"/>
      <c r="CX28" s="403"/>
      <c r="CY28" s="403"/>
      <c r="CZ28" s="403"/>
      <c r="DA28" s="403"/>
      <c r="DB28" s="403"/>
      <c r="DC28" s="403"/>
      <c r="DD28" s="403"/>
      <c r="DE28" s="403"/>
      <c r="DF28" s="403"/>
      <c r="DG28" s="403"/>
      <c r="DH28" s="403"/>
      <c r="DI28" s="403"/>
      <c r="DJ28" s="403"/>
      <c r="DK28" s="403"/>
      <c r="DL28" s="403" t="s">
        <v>10214</v>
      </c>
      <c r="DM28" s="403"/>
      <c r="DN28" s="403"/>
      <c r="DO28" s="403"/>
      <c r="DP28" s="403"/>
      <c r="DQ28" s="403"/>
      <c r="DR28" s="403"/>
      <c r="DS28" s="403"/>
      <c r="DT28" s="403"/>
      <c r="DU28" s="403"/>
      <c r="DV28" s="403"/>
      <c r="DW28" s="403"/>
      <c r="DX28" s="403"/>
      <c r="DY28" s="403"/>
      <c r="DZ28" s="403"/>
      <c r="EA28" s="403"/>
      <c r="EB28" s="403"/>
      <c r="EC28" s="403"/>
      <c r="ED28" s="403"/>
      <c r="EE28" s="403" t="s">
        <v>10215</v>
      </c>
      <c r="EF28" s="403"/>
      <c r="EG28" s="403"/>
      <c r="EH28" s="403"/>
      <c r="EI28" s="403"/>
      <c r="EJ28" s="403"/>
      <c r="EK28" s="403"/>
      <c r="EL28" s="403"/>
      <c r="EM28" s="403"/>
      <c r="EN28" s="403"/>
      <c r="EO28" s="403"/>
      <c r="EP28" s="403"/>
      <c r="EQ28" s="403"/>
      <c r="ER28" s="403"/>
      <c r="ES28" s="403"/>
    </row>
    <row r="29" spans="1:149" s="183" customFormat="1" x14ac:dyDescent="0.2">
      <c r="R29" s="403"/>
      <c r="S29" s="403"/>
      <c r="T29" s="403"/>
      <c r="U29" s="403"/>
      <c r="V29" s="403"/>
      <c r="W29" s="403"/>
      <c r="X29" s="403"/>
      <c r="Y29" s="403"/>
      <c r="Z29" s="403"/>
      <c r="AA29" s="403"/>
      <c r="AB29" s="403"/>
      <c r="AC29" s="403"/>
      <c r="AD29" s="403"/>
      <c r="AE29" s="403"/>
      <c r="AF29" s="403"/>
      <c r="AG29" s="403"/>
      <c r="AH29" s="403"/>
      <c r="AI29" s="403"/>
      <c r="AJ29" s="403"/>
      <c r="AK29" s="403"/>
      <c r="AL29" s="403"/>
      <c r="AM29" s="403"/>
      <c r="AN29" s="403"/>
      <c r="AO29" s="403"/>
      <c r="AP29" s="403"/>
      <c r="AQ29" s="403"/>
      <c r="AR29" s="403"/>
      <c r="AS29" s="403"/>
      <c r="AT29" s="403"/>
      <c r="AU29" s="403"/>
      <c r="AV29" s="403"/>
      <c r="AW29" s="403"/>
      <c r="AX29" s="403"/>
      <c r="AY29" s="403"/>
      <c r="AZ29" s="403"/>
      <c r="BA29" s="403"/>
      <c r="BB29" s="403"/>
      <c r="BC29" s="403"/>
      <c r="BD29" s="403"/>
      <c r="BE29" s="403"/>
      <c r="BF29" s="403"/>
      <c r="BG29" s="403"/>
      <c r="BH29" s="403"/>
      <c r="BI29" s="403"/>
      <c r="BJ29" s="403"/>
      <c r="BK29" s="403"/>
      <c r="BL29" s="403"/>
      <c r="BM29" s="403"/>
      <c r="BN29" s="403"/>
      <c r="BO29" s="403"/>
      <c r="BP29" s="403"/>
      <c r="BQ29" s="403"/>
      <c r="BR29" s="403"/>
      <c r="BS29" s="403"/>
      <c r="BT29" s="403"/>
      <c r="BU29" s="403"/>
      <c r="BV29" s="403"/>
      <c r="BW29" s="403"/>
      <c r="BX29" s="403"/>
      <c r="BY29" s="403"/>
      <c r="BZ29" s="403"/>
      <c r="CA29" s="403"/>
      <c r="CB29" s="403"/>
      <c r="CC29" s="403"/>
      <c r="CD29" s="403"/>
      <c r="CE29" s="403"/>
      <c r="CF29" s="403"/>
      <c r="CG29" s="403"/>
      <c r="CH29" s="403"/>
      <c r="CI29" s="403"/>
      <c r="CJ29" s="403"/>
      <c r="CK29" s="403"/>
      <c r="CL29" s="403"/>
      <c r="CM29" s="403"/>
      <c r="CN29" s="403"/>
      <c r="CO29" s="403"/>
      <c r="CP29" s="403"/>
      <c r="CQ29" s="403"/>
      <c r="CR29" s="403"/>
      <c r="CS29" s="403"/>
      <c r="CT29" s="403"/>
      <c r="CU29" s="403"/>
      <c r="CV29" s="403"/>
      <c r="CW29" s="403"/>
      <c r="CX29" s="403"/>
      <c r="CY29" s="403"/>
      <c r="CZ29" s="403"/>
      <c r="DA29" s="403"/>
      <c r="DB29" s="403"/>
      <c r="DC29" s="403"/>
      <c r="DD29" s="403"/>
      <c r="DE29" s="403"/>
      <c r="DF29" s="403"/>
      <c r="DG29" s="403"/>
      <c r="DH29" s="403"/>
      <c r="DI29" s="403"/>
      <c r="DJ29" s="403"/>
      <c r="DK29" s="403"/>
      <c r="DL29" s="403"/>
      <c r="DM29" s="403"/>
      <c r="DN29" s="403"/>
      <c r="DO29" s="403"/>
      <c r="DP29" s="403"/>
      <c r="DQ29" s="403"/>
      <c r="DR29" s="403"/>
      <c r="DS29" s="403"/>
      <c r="DT29" s="403"/>
      <c r="DU29" s="403"/>
      <c r="DV29" s="403"/>
      <c r="DW29" s="403"/>
      <c r="DX29" s="403"/>
      <c r="DY29" s="403"/>
      <c r="DZ29" s="403"/>
      <c r="EA29" s="403"/>
      <c r="EB29" s="403"/>
      <c r="EC29" s="403"/>
      <c r="ED29" s="403"/>
      <c r="EE29" s="403"/>
      <c r="EF29" s="403"/>
      <c r="EG29" s="403"/>
      <c r="EH29" s="403"/>
      <c r="EI29" s="403"/>
      <c r="EJ29" s="403"/>
      <c r="EK29" s="403"/>
      <c r="EL29" s="403"/>
      <c r="EM29" s="403"/>
      <c r="EN29" s="403"/>
      <c r="EO29" s="403"/>
      <c r="EP29" s="403"/>
      <c r="EQ29" s="403"/>
      <c r="ER29" s="403"/>
      <c r="ES29" s="403"/>
    </row>
    <row r="30" spans="1:149" s="181" customFormat="1" ht="15" x14ac:dyDescent="0.25">
      <c r="B30" s="55" t="str">
        <f t="shared" ref="B30:I30" ca="1" si="12">IF(OFFSET(T30,0,Lang_Order*Lang__B3)="","",OFFSET(T30,0,Lang_Order*Lang__B3))</f>
        <v>Vaccine</v>
      </c>
      <c r="C30" s="30" t="str">
        <f t="shared" ca="1" si="12"/>
        <v>Cold Storage Requirements</v>
      </c>
      <c r="D30" s="2" t="str">
        <f t="shared" ca="1" si="12"/>
        <v>Offset</v>
      </c>
      <c r="E30" s="90" t="str">
        <f t="shared" ca="1" si="12"/>
        <v>Room temperature</v>
      </c>
      <c r="F30" s="90" t="str">
        <f t="shared" ca="1" si="12"/>
        <v>Refrigerated (2 to 8C)</v>
      </c>
      <c r="G30" s="90" t="str">
        <f t="shared" ca="1" si="12"/>
        <v>Frozen (-20C)</v>
      </c>
      <c r="H30" s="90" t="str">
        <f t="shared" ca="1" si="12"/>
        <v>Ultra-cold (-60 to -80C)</v>
      </c>
      <c r="I30" s="148" t="str">
        <f t="shared" ca="1" si="12"/>
        <v>Number of pallet sized containers</v>
      </c>
      <c r="J30" s="148"/>
      <c r="K30" s="148"/>
      <c r="L30" s="148"/>
      <c r="M30" s="148"/>
      <c r="N30" s="19" t="str">
        <f ca="1">IF(OFFSET(AF30,0,Lang_Order*Lang__B3)="","",OFFSET(AF30,0,Lang_Order*Lang__B3))</f>
        <v>Max Payload</v>
      </c>
      <c r="O30" s="33">
        <f>'T9. Shipping'!N29</f>
        <v>1121</v>
      </c>
      <c r="P30" s="3">
        <f>P36*O36</f>
        <v>129</v>
      </c>
      <c r="Q30" s="12" t="str">
        <f ca="1">IF(OFFSET(AI30,0,Lang_Order*Lang__B3)="","",OFFSET(AI30,0,Lang_Order*Lang__B3))</f>
        <v>Volume threshold above which it is cheaper to use pallet</v>
      </c>
      <c r="R30" s="403"/>
      <c r="S30" s="403"/>
      <c r="T30" s="403" t="s">
        <v>1574</v>
      </c>
      <c r="U30" s="403" t="s">
        <v>2636</v>
      </c>
      <c r="V30" s="403" t="s">
        <v>1542</v>
      </c>
      <c r="W30" s="403" t="s">
        <v>10</v>
      </c>
      <c r="X30" s="403" t="s">
        <v>11</v>
      </c>
      <c r="Y30" s="403" t="s">
        <v>12</v>
      </c>
      <c r="Z30" s="403" t="s">
        <v>13</v>
      </c>
      <c r="AA30" s="403" t="s">
        <v>2763</v>
      </c>
      <c r="AB30" s="403"/>
      <c r="AC30" s="403"/>
      <c r="AD30" s="403"/>
      <c r="AE30" s="403"/>
      <c r="AF30" s="403" t="s">
        <v>2795</v>
      </c>
      <c r="AG30" s="403"/>
      <c r="AH30" s="403"/>
      <c r="AI30" s="403" t="s">
        <v>2805</v>
      </c>
      <c r="AJ30" s="403"/>
      <c r="AK30" s="403"/>
      <c r="AL30" s="403"/>
      <c r="AM30" s="403" t="s">
        <v>10216</v>
      </c>
      <c r="AN30" s="403" t="s">
        <v>10217</v>
      </c>
      <c r="AO30" s="403" t="s">
        <v>10218</v>
      </c>
      <c r="AP30" s="403" t="s">
        <v>8371</v>
      </c>
      <c r="AQ30" s="403" t="s">
        <v>10219</v>
      </c>
      <c r="AR30" s="403" t="s">
        <v>10220</v>
      </c>
      <c r="AS30" s="403" t="s">
        <v>8394</v>
      </c>
      <c r="AT30" s="403" t="s">
        <v>10221</v>
      </c>
      <c r="AU30" s="403"/>
      <c r="AV30" s="403"/>
      <c r="AW30" s="403"/>
      <c r="AX30" s="403"/>
      <c r="AY30" s="403" t="s">
        <v>10222</v>
      </c>
      <c r="AZ30" s="403"/>
      <c r="BA30" s="403"/>
      <c r="BB30" s="403" t="s">
        <v>10223</v>
      </c>
      <c r="BC30" s="403"/>
      <c r="BD30" s="403"/>
      <c r="BE30" s="403"/>
      <c r="BF30" s="403" t="s">
        <v>10224</v>
      </c>
      <c r="BG30" s="403" t="s">
        <v>5750</v>
      </c>
      <c r="BH30" s="403" t="s">
        <v>10225</v>
      </c>
      <c r="BI30" s="403" t="s">
        <v>10226</v>
      </c>
      <c r="BJ30" s="403" t="s">
        <v>10227</v>
      </c>
      <c r="BK30" s="403" t="s">
        <v>10228</v>
      </c>
      <c r="BL30" s="403" t="s">
        <v>10229</v>
      </c>
      <c r="BM30" s="403" t="s">
        <v>10230</v>
      </c>
      <c r="BN30" s="403"/>
      <c r="BO30" s="403"/>
      <c r="BP30" s="403"/>
      <c r="BQ30" s="403"/>
      <c r="BR30" s="403" t="s">
        <v>10231</v>
      </c>
      <c r="BS30" s="403"/>
      <c r="BT30" s="403"/>
      <c r="BU30" s="403" t="s">
        <v>10232</v>
      </c>
      <c r="BV30" s="403"/>
      <c r="BW30" s="403"/>
      <c r="BX30" s="403"/>
      <c r="BY30" s="403" t="s">
        <v>10233</v>
      </c>
      <c r="BZ30" s="403" t="s">
        <v>5766</v>
      </c>
      <c r="CA30" s="403" t="s">
        <v>10234</v>
      </c>
      <c r="CB30" s="403" t="s">
        <v>8375</v>
      </c>
      <c r="CC30" s="403" t="s">
        <v>10235</v>
      </c>
      <c r="CD30" s="403" t="s">
        <v>10236</v>
      </c>
      <c r="CE30" s="403" t="s">
        <v>10237</v>
      </c>
      <c r="CF30" s="403" t="s">
        <v>10238</v>
      </c>
      <c r="CG30" s="403"/>
      <c r="CH30" s="403"/>
      <c r="CI30" s="403"/>
      <c r="CJ30" s="403"/>
      <c r="CK30" s="403" t="s">
        <v>10239</v>
      </c>
      <c r="CL30" s="403"/>
      <c r="CM30" s="403"/>
      <c r="CN30" s="403" t="s">
        <v>10240</v>
      </c>
      <c r="CO30" s="403"/>
      <c r="CP30" s="403"/>
      <c r="CQ30" s="403"/>
      <c r="CR30" s="403" t="s">
        <v>10241</v>
      </c>
      <c r="CS30" s="403" t="s">
        <v>10242</v>
      </c>
      <c r="CT30" s="403" t="s">
        <v>1542</v>
      </c>
      <c r="CU30" s="403" t="s">
        <v>8375</v>
      </c>
      <c r="CV30" s="403" t="s">
        <v>8384</v>
      </c>
      <c r="CW30" s="403" t="s">
        <v>8391</v>
      </c>
      <c r="CX30" s="403" t="s">
        <v>8400</v>
      </c>
      <c r="CY30" s="403" t="s">
        <v>10243</v>
      </c>
      <c r="CZ30" s="403"/>
      <c r="DA30" s="403"/>
      <c r="DB30" s="403"/>
      <c r="DC30" s="403"/>
      <c r="DD30" s="403" t="s">
        <v>10239</v>
      </c>
      <c r="DE30" s="403"/>
      <c r="DF30" s="403"/>
      <c r="DG30" s="403" t="s">
        <v>10244</v>
      </c>
      <c r="DH30" s="403"/>
      <c r="DI30" s="403"/>
      <c r="DJ30" s="403"/>
      <c r="DK30" s="403" t="s">
        <v>10245</v>
      </c>
      <c r="DL30" s="403" t="s">
        <v>10246</v>
      </c>
      <c r="DM30" s="403" t="s">
        <v>10247</v>
      </c>
      <c r="DN30" s="403" t="s">
        <v>8378</v>
      </c>
      <c r="DO30" s="403" t="s">
        <v>10248</v>
      </c>
      <c r="DP30" s="403" t="s">
        <v>10249</v>
      </c>
      <c r="DQ30" s="403" t="s">
        <v>10250</v>
      </c>
      <c r="DR30" s="403" t="s">
        <v>10251</v>
      </c>
      <c r="DS30" s="403"/>
      <c r="DT30" s="403"/>
      <c r="DU30" s="403"/>
      <c r="DV30" s="403"/>
      <c r="DW30" s="403" t="s">
        <v>10252</v>
      </c>
      <c r="DX30" s="403"/>
      <c r="DY30" s="403"/>
      <c r="DZ30" s="403" t="s">
        <v>10253</v>
      </c>
      <c r="EA30" s="403"/>
      <c r="EB30" s="403"/>
      <c r="EC30" s="403"/>
      <c r="ED30" s="403" t="s">
        <v>5643</v>
      </c>
      <c r="EE30" s="403" t="s">
        <v>10254</v>
      </c>
      <c r="EF30" s="403" t="s">
        <v>10255</v>
      </c>
      <c r="EG30" s="403" t="s">
        <v>10256</v>
      </c>
      <c r="EH30" s="403" t="s">
        <v>8387</v>
      </c>
      <c r="EI30" s="403" t="s">
        <v>8393</v>
      </c>
      <c r="EJ30" s="403" t="s">
        <v>8404</v>
      </c>
      <c r="EK30" s="403" t="s">
        <v>10257</v>
      </c>
      <c r="EL30" s="403"/>
      <c r="EM30" s="403"/>
      <c r="EN30" s="403"/>
      <c r="EO30" s="403"/>
      <c r="EP30" s="403" t="s">
        <v>10258</v>
      </c>
      <c r="EQ30" s="403"/>
      <c r="ER30" s="403"/>
      <c r="ES30" s="403" t="s">
        <v>10259</v>
      </c>
    </row>
    <row r="31" spans="1:149" s="181" customFormat="1" x14ac:dyDescent="0.2">
      <c r="A31" s="198">
        <v>-7</v>
      </c>
      <c r="B31" s="23" t="str">
        <f>CONCATENATE("",DM1_Vaccine)</f>
        <v/>
      </c>
      <c r="C31" s="3" t="e">
        <f>VLOOKUP(DM1_Vaccine,'T1. Vaccines'!$C$8:$AD$37,D31,FALSE)</f>
        <v>#N/A</v>
      </c>
      <c r="D31" s="2">
        <f ca="1">OFFSET(_Offset_Index_VaccineSupplies_Index,0,A31)</f>
        <v>9</v>
      </c>
      <c r="E31" s="2" t="e">
        <f>IF($C31=$C$37,1,0)</f>
        <v>#N/A</v>
      </c>
      <c r="F31" s="2" t="e">
        <f>IF($C31=$C$38,1,0)</f>
        <v>#N/A</v>
      </c>
      <c r="G31" s="2" t="e">
        <f>IF($C31=$C$39,1,0)</f>
        <v>#N/A</v>
      </c>
      <c r="H31" s="2" t="e">
        <f>IF($C31=$C$40,1,0)</f>
        <v>#N/A</v>
      </c>
      <c r="I31" s="108" t="e">
        <f>ROUNDDOWN(I23/$O$30,0)+IF(MOD(I23,$O$30)&gt;$P$30,1,0)</f>
        <v>#N/A</v>
      </c>
      <c r="J31" s="108" t="e">
        <f t="shared" ref="J31:N31" si="13">ROUNDDOWN(J23/$O$30,0)+IF(MOD(J23,$O$30)&gt;$P$30,1,0)</f>
        <v>#N/A</v>
      </c>
      <c r="K31" s="108" t="e">
        <f t="shared" si="13"/>
        <v>#N/A</v>
      </c>
      <c r="L31" s="108" t="e">
        <f t="shared" si="13"/>
        <v>#N/A</v>
      </c>
      <c r="M31" s="108" t="e">
        <f t="shared" si="13"/>
        <v>#N/A</v>
      </c>
      <c r="N31" s="108" t="e">
        <f t="shared" si="13"/>
        <v>#N/A</v>
      </c>
      <c r="O31" s="108" t="e">
        <f>SUM(I31:N31)</f>
        <v>#N/A</v>
      </c>
      <c r="P31" s="194"/>
      <c r="R31" s="403"/>
      <c r="S31" s="403"/>
      <c r="T31" s="403"/>
      <c r="U31" s="403"/>
      <c r="V31" s="403"/>
      <c r="W31" s="403"/>
      <c r="X31" s="403"/>
      <c r="Y31" s="403"/>
      <c r="Z31" s="403"/>
      <c r="AA31" s="403"/>
      <c r="AB31" s="403"/>
      <c r="AC31" s="403"/>
      <c r="AD31" s="403"/>
      <c r="AE31" s="403"/>
      <c r="AF31" s="403"/>
      <c r="AG31" s="403"/>
      <c r="AH31" s="403"/>
      <c r="AI31" s="403"/>
      <c r="AJ31" s="403"/>
      <c r="AK31" s="403"/>
      <c r="AL31" s="403"/>
      <c r="AM31" s="403"/>
      <c r="AN31" s="403"/>
      <c r="AO31" s="403"/>
      <c r="AP31" s="403"/>
      <c r="AQ31" s="403"/>
      <c r="AR31" s="403"/>
      <c r="AS31" s="403"/>
      <c r="AT31" s="403"/>
      <c r="AU31" s="403"/>
      <c r="AV31" s="403"/>
      <c r="AW31" s="403"/>
      <c r="AX31" s="403"/>
      <c r="AY31" s="403"/>
      <c r="AZ31" s="403"/>
      <c r="BA31" s="403"/>
      <c r="BB31" s="403"/>
      <c r="BC31" s="403"/>
      <c r="BD31" s="403"/>
      <c r="BE31" s="403"/>
      <c r="BF31" s="403"/>
      <c r="BG31" s="403"/>
      <c r="BH31" s="403"/>
      <c r="BI31" s="403"/>
      <c r="BJ31" s="403"/>
      <c r="BK31" s="403"/>
      <c r="BL31" s="403"/>
      <c r="BM31" s="403"/>
      <c r="BN31" s="403"/>
      <c r="BO31" s="403"/>
      <c r="BP31" s="403"/>
      <c r="BQ31" s="403"/>
      <c r="BR31" s="403"/>
      <c r="BS31" s="403"/>
      <c r="BT31" s="403"/>
      <c r="BU31" s="403"/>
      <c r="BV31" s="403"/>
      <c r="BW31" s="403"/>
      <c r="BX31" s="403"/>
      <c r="BY31" s="403"/>
      <c r="BZ31" s="403"/>
      <c r="CA31" s="403"/>
      <c r="CB31" s="403"/>
      <c r="CC31" s="403"/>
      <c r="CD31" s="403"/>
      <c r="CE31" s="403"/>
      <c r="CF31" s="403"/>
      <c r="CG31" s="403"/>
      <c r="CH31" s="403"/>
      <c r="CI31" s="403"/>
      <c r="CJ31" s="403"/>
      <c r="CK31" s="403"/>
      <c r="CL31" s="403"/>
      <c r="CM31" s="403"/>
      <c r="CN31" s="403"/>
      <c r="CO31" s="403"/>
      <c r="CP31" s="403"/>
      <c r="CQ31" s="403"/>
      <c r="CR31" s="403"/>
      <c r="CS31" s="403"/>
      <c r="CT31" s="403"/>
      <c r="CU31" s="403"/>
      <c r="CV31" s="403"/>
      <c r="CW31" s="403"/>
      <c r="CX31" s="403"/>
      <c r="CY31" s="403"/>
      <c r="CZ31" s="403"/>
      <c r="DA31" s="403"/>
      <c r="DB31" s="403"/>
      <c r="DC31" s="403"/>
      <c r="DD31" s="403"/>
      <c r="DE31" s="403"/>
      <c r="DF31" s="403"/>
      <c r="DG31" s="403"/>
      <c r="DH31" s="403"/>
      <c r="DI31" s="403"/>
      <c r="DJ31" s="403"/>
      <c r="DK31" s="403"/>
      <c r="DL31" s="403"/>
      <c r="DM31" s="403"/>
      <c r="DN31" s="403"/>
      <c r="DO31" s="403"/>
      <c r="DP31" s="403"/>
      <c r="DQ31" s="403"/>
      <c r="DR31" s="403"/>
      <c r="DS31" s="403"/>
      <c r="DT31" s="403"/>
      <c r="DU31" s="403"/>
      <c r="DV31" s="403"/>
      <c r="DW31" s="403"/>
      <c r="DX31" s="403"/>
      <c r="DY31" s="403"/>
      <c r="DZ31" s="403"/>
      <c r="EA31" s="403"/>
      <c r="EB31" s="403"/>
      <c r="EC31" s="403"/>
      <c r="ED31" s="403"/>
      <c r="EE31" s="403"/>
      <c r="EF31" s="403"/>
      <c r="EG31" s="403"/>
      <c r="EH31" s="403"/>
      <c r="EI31" s="403"/>
      <c r="EJ31" s="403"/>
      <c r="EK31" s="403"/>
      <c r="EL31" s="403"/>
      <c r="EM31" s="403"/>
      <c r="EN31" s="403"/>
      <c r="EO31" s="403"/>
      <c r="EP31" s="403"/>
      <c r="EQ31" s="403"/>
      <c r="ER31" s="403"/>
      <c r="ES31" s="403"/>
    </row>
    <row r="32" spans="1:149" s="181" customFormat="1" x14ac:dyDescent="0.2">
      <c r="A32" s="198">
        <v>-7</v>
      </c>
      <c r="B32" s="23" t="str">
        <f>CONCATENATE("",DM2_Vaccine)</f>
        <v/>
      </c>
      <c r="C32" s="3" t="e">
        <f>VLOOKUP(DM2_Vaccine,'T1. Vaccines'!$C$8:$AD$37,D32,FALSE)</f>
        <v>#N/A</v>
      </c>
      <c r="D32" s="2">
        <f ca="1">OFFSET(_Offset_Index_VaccineSupplies_Index,0,A32)</f>
        <v>9</v>
      </c>
      <c r="E32" s="2" t="e">
        <f>IF($C32=$C$37,1,0)</f>
        <v>#N/A</v>
      </c>
      <c r="F32" s="2" t="e">
        <f>IF($C32=$C$38,1,0)</f>
        <v>#N/A</v>
      </c>
      <c r="G32" s="2" t="e">
        <f>IF($C32=$C$39,1,0)</f>
        <v>#N/A</v>
      </c>
      <c r="H32" s="2" t="e">
        <f>IF($C32=$C$40,1,0)</f>
        <v>#N/A</v>
      </c>
      <c r="I32" s="108" t="e">
        <f t="shared" ref="I32:N32" si="14">ROUNDDOWN(I24/$O$30,0)+IF(MOD(I24,$O$30)&gt;$P$30,1,0)</f>
        <v>#N/A</v>
      </c>
      <c r="J32" s="108" t="e">
        <f t="shared" si="14"/>
        <v>#N/A</v>
      </c>
      <c r="K32" s="108" t="e">
        <f t="shared" si="14"/>
        <v>#N/A</v>
      </c>
      <c r="L32" s="108" t="e">
        <f t="shared" si="14"/>
        <v>#N/A</v>
      </c>
      <c r="M32" s="108" t="e">
        <f t="shared" si="14"/>
        <v>#N/A</v>
      </c>
      <c r="N32" s="108" t="e">
        <f t="shared" si="14"/>
        <v>#N/A</v>
      </c>
      <c r="O32" s="108" t="e">
        <f t="shared" ref="O32:O34" si="15">SUM(I32:N32)</f>
        <v>#N/A</v>
      </c>
      <c r="P32" s="194"/>
      <c r="R32" s="403"/>
      <c r="S32" s="403"/>
      <c r="T32" s="403"/>
      <c r="U32" s="403"/>
      <c r="V32" s="403"/>
      <c r="W32" s="403"/>
      <c r="X32" s="403"/>
      <c r="Y32" s="403"/>
      <c r="Z32" s="403"/>
      <c r="AA32" s="403"/>
      <c r="AB32" s="403"/>
      <c r="AC32" s="403"/>
      <c r="AD32" s="403"/>
      <c r="AE32" s="403"/>
      <c r="AF32" s="403"/>
      <c r="AG32" s="403"/>
      <c r="AH32" s="403"/>
      <c r="AI32" s="403"/>
      <c r="AJ32" s="403"/>
      <c r="AK32" s="403"/>
      <c r="AL32" s="403"/>
      <c r="AM32" s="403"/>
      <c r="AN32" s="403"/>
      <c r="AO32" s="403"/>
      <c r="AP32" s="403"/>
      <c r="AQ32" s="403"/>
      <c r="AR32" s="403"/>
      <c r="AS32" s="403"/>
      <c r="AT32" s="403"/>
      <c r="AU32" s="403"/>
      <c r="AV32" s="403"/>
      <c r="AW32" s="403"/>
      <c r="AX32" s="403"/>
      <c r="AY32" s="403"/>
      <c r="AZ32" s="403"/>
      <c r="BA32" s="403"/>
      <c r="BB32" s="403"/>
      <c r="BC32" s="403"/>
      <c r="BD32" s="403"/>
      <c r="BE32" s="403"/>
      <c r="BF32" s="403"/>
      <c r="BG32" s="403"/>
      <c r="BH32" s="403"/>
      <c r="BI32" s="403"/>
      <c r="BJ32" s="403"/>
      <c r="BK32" s="403"/>
      <c r="BL32" s="403"/>
      <c r="BM32" s="403"/>
      <c r="BN32" s="403"/>
      <c r="BO32" s="403"/>
      <c r="BP32" s="403"/>
      <c r="BQ32" s="403"/>
      <c r="BR32" s="403"/>
      <c r="BS32" s="403"/>
      <c r="BT32" s="403"/>
      <c r="BU32" s="403"/>
      <c r="BV32" s="403"/>
      <c r="BW32" s="403"/>
      <c r="BX32" s="403"/>
      <c r="BY32" s="403"/>
      <c r="BZ32" s="403"/>
      <c r="CA32" s="403"/>
      <c r="CB32" s="403"/>
      <c r="CC32" s="403"/>
      <c r="CD32" s="403"/>
      <c r="CE32" s="403"/>
      <c r="CF32" s="403"/>
      <c r="CG32" s="403"/>
      <c r="CH32" s="403"/>
      <c r="CI32" s="403"/>
      <c r="CJ32" s="403"/>
      <c r="CK32" s="403"/>
      <c r="CL32" s="403"/>
      <c r="CM32" s="403"/>
      <c r="CN32" s="403"/>
      <c r="CO32" s="403"/>
      <c r="CP32" s="403"/>
      <c r="CQ32" s="403"/>
      <c r="CR32" s="403"/>
      <c r="CS32" s="403"/>
      <c r="CT32" s="403"/>
      <c r="CU32" s="403"/>
      <c r="CV32" s="403"/>
      <c r="CW32" s="403"/>
      <c r="CX32" s="403"/>
      <c r="CY32" s="403"/>
      <c r="CZ32" s="403"/>
      <c r="DA32" s="403"/>
      <c r="DB32" s="403"/>
      <c r="DC32" s="403"/>
      <c r="DD32" s="403"/>
      <c r="DE32" s="403"/>
      <c r="DF32" s="403"/>
      <c r="DG32" s="403"/>
      <c r="DH32" s="403"/>
      <c r="DI32" s="403"/>
      <c r="DJ32" s="403"/>
      <c r="DK32" s="403"/>
      <c r="DL32" s="403"/>
      <c r="DM32" s="403"/>
      <c r="DN32" s="403"/>
      <c r="DO32" s="403"/>
      <c r="DP32" s="403"/>
      <c r="DQ32" s="403"/>
      <c r="DR32" s="403"/>
      <c r="DS32" s="403"/>
      <c r="DT32" s="403"/>
      <c r="DU32" s="403"/>
      <c r="DV32" s="403"/>
      <c r="DW32" s="403"/>
      <c r="DX32" s="403"/>
      <c r="DY32" s="403"/>
      <c r="DZ32" s="403"/>
      <c r="EA32" s="403"/>
      <c r="EB32" s="403"/>
      <c r="EC32" s="403"/>
      <c r="ED32" s="403"/>
      <c r="EE32" s="403"/>
      <c r="EF32" s="403"/>
      <c r="EG32" s="403"/>
      <c r="EH32" s="403"/>
      <c r="EI32" s="403"/>
      <c r="EJ32" s="403"/>
      <c r="EK32" s="403"/>
      <c r="EL32" s="403"/>
      <c r="EM32" s="403"/>
      <c r="EN32" s="403"/>
      <c r="EO32" s="403"/>
      <c r="EP32" s="403"/>
      <c r="EQ32" s="403"/>
      <c r="ER32" s="403"/>
      <c r="ES32" s="403"/>
    </row>
    <row r="33" spans="1:149" s="181" customFormat="1" x14ac:dyDescent="0.2">
      <c r="A33" s="198">
        <v>-7</v>
      </c>
      <c r="B33" s="23" t="str">
        <f>CONCATENATE("",DM3_Vaccine)</f>
        <v/>
      </c>
      <c r="C33" s="3" t="e">
        <f>VLOOKUP(DM3_Vaccine,'T1. Vaccines'!$C$8:$AD$37,D33,FALSE)</f>
        <v>#N/A</v>
      </c>
      <c r="D33" s="2">
        <f ca="1">OFFSET(_Offset_Index_VaccineSupplies_Index,0,A33)</f>
        <v>9</v>
      </c>
      <c r="E33" s="2" t="e">
        <f>IF($C33=$C$37,1,0)</f>
        <v>#N/A</v>
      </c>
      <c r="F33" s="2" t="e">
        <f>IF($C33=$C$38,1,0)</f>
        <v>#N/A</v>
      </c>
      <c r="G33" s="2" t="e">
        <f>IF($C33=$C$39,1,0)</f>
        <v>#N/A</v>
      </c>
      <c r="H33" s="2" t="e">
        <f>IF($C33=$C$40,1,0)</f>
        <v>#N/A</v>
      </c>
      <c r="I33" s="108" t="e">
        <f t="shared" ref="I33:N33" si="16">ROUNDDOWN(I25/$O$30,0)+IF(MOD(I25,$O$30)&gt;$P$30,1,0)</f>
        <v>#N/A</v>
      </c>
      <c r="J33" s="108" t="e">
        <f t="shared" si="16"/>
        <v>#N/A</v>
      </c>
      <c r="K33" s="108" t="e">
        <f t="shared" si="16"/>
        <v>#N/A</v>
      </c>
      <c r="L33" s="108" t="e">
        <f t="shared" si="16"/>
        <v>#N/A</v>
      </c>
      <c r="M33" s="108" t="e">
        <f t="shared" si="16"/>
        <v>#N/A</v>
      </c>
      <c r="N33" s="108" t="e">
        <f t="shared" si="16"/>
        <v>#N/A</v>
      </c>
      <c r="O33" s="108" t="e">
        <f t="shared" si="15"/>
        <v>#N/A</v>
      </c>
      <c r="P33" s="194"/>
      <c r="R33" s="403"/>
      <c r="S33" s="403"/>
      <c r="T33" s="403"/>
      <c r="U33" s="403"/>
      <c r="V33" s="403"/>
      <c r="W33" s="403"/>
      <c r="X33" s="403"/>
      <c r="Y33" s="403"/>
      <c r="Z33" s="403"/>
      <c r="AA33" s="403"/>
      <c r="AB33" s="403"/>
      <c r="AC33" s="403"/>
      <c r="AD33" s="403"/>
      <c r="AE33" s="403"/>
      <c r="AF33" s="403"/>
      <c r="AG33" s="403"/>
      <c r="AH33" s="403"/>
      <c r="AI33" s="403"/>
      <c r="AJ33" s="403"/>
      <c r="AK33" s="403"/>
      <c r="AL33" s="403"/>
      <c r="AM33" s="403"/>
      <c r="AN33" s="403"/>
      <c r="AO33" s="403"/>
      <c r="AP33" s="403"/>
      <c r="AQ33" s="403"/>
      <c r="AR33" s="403"/>
      <c r="AS33" s="403"/>
      <c r="AT33" s="403"/>
      <c r="AU33" s="403"/>
      <c r="AV33" s="403"/>
      <c r="AW33" s="403"/>
      <c r="AX33" s="403"/>
      <c r="AY33" s="403"/>
      <c r="AZ33" s="403"/>
      <c r="BA33" s="403"/>
      <c r="BB33" s="403"/>
      <c r="BC33" s="403"/>
      <c r="BD33" s="403"/>
      <c r="BE33" s="403"/>
      <c r="BF33" s="403"/>
      <c r="BG33" s="403"/>
      <c r="BH33" s="403"/>
      <c r="BI33" s="403"/>
      <c r="BJ33" s="403"/>
      <c r="BK33" s="403"/>
      <c r="BL33" s="403"/>
      <c r="BM33" s="403"/>
      <c r="BN33" s="403"/>
      <c r="BO33" s="403"/>
      <c r="BP33" s="403"/>
      <c r="BQ33" s="403"/>
      <c r="BR33" s="403"/>
      <c r="BS33" s="403"/>
      <c r="BT33" s="403"/>
      <c r="BU33" s="403"/>
      <c r="BV33" s="403"/>
      <c r="BW33" s="403"/>
      <c r="BX33" s="403"/>
      <c r="BY33" s="403"/>
      <c r="BZ33" s="403"/>
      <c r="CA33" s="403"/>
      <c r="CB33" s="403"/>
      <c r="CC33" s="403"/>
      <c r="CD33" s="403"/>
      <c r="CE33" s="403"/>
      <c r="CF33" s="403"/>
      <c r="CG33" s="403"/>
      <c r="CH33" s="403"/>
      <c r="CI33" s="403"/>
      <c r="CJ33" s="403"/>
      <c r="CK33" s="403"/>
      <c r="CL33" s="403"/>
      <c r="CM33" s="403"/>
      <c r="CN33" s="403"/>
      <c r="CO33" s="403"/>
      <c r="CP33" s="403"/>
      <c r="CQ33" s="403"/>
      <c r="CR33" s="403"/>
      <c r="CS33" s="403"/>
      <c r="CT33" s="403"/>
      <c r="CU33" s="403"/>
      <c r="CV33" s="403"/>
      <c r="CW33" s="403"/>
      <c r="CX33" s="403"/>
      <c r="CY33" s="403"/>
      <c r="CZ33" s="403"/>
      <c r="DA33" s="403"/>
      <c r="DB33" s="403"/>
      <c r="DC33" s="403"/>
      <c r="DD33" s="403"/>
      <c r="DE33" s="403"/>
      <c r="DF33" s="403"/>
      <c r="DG33" s="403"/>
      <c r="DH33" s="403"/>
      <c r="DI33" s="403"/>
      <c r="DJ33" s="403"/>
      <c r="DK33" s="403"/>
      <c r="DL33" s="403"/>
      <c r="DM33" s="403"/>
      <c r="DN33" s="403"/>
      <c r="DO33" s="403"/>
      <c r="DP33" s="403"/>
      <c r="DQ33" s="403"/>
      <c r="DR33" s="403"/>
      <c r="DS33" s="403"/>
      <c r="DT33" s="403"/>
      <c r="DU33" s="403"/>
      <c r="DV33" s="403"/>
      <c r="DW33" s="403"/>
      <c r="DX33" s="403"/>
      <c r="DY33" s="403"/>
      <c r="DZ33" s="403"/>
      <c r="EA33" s="403"/>
      <c r="EB33" s="403"/>
      <c r="EC33" s="403"/>
      <c r="ED33" s="403"/>
      <c r="EE33" s="403"/>
      <c r="EF33" s="403"/>
      <c r="EG33" s="403"/>
      <c r="EH33" s="403"/>
      <c r="EI33" s="403"/>
      <c r="EJ33" s="403"/>
      <c r="EK33" s="403"/>
      <c r="EL33" s="403"/>
      <c r="EM33" s="403"/>
      <c r="EN33" s="403"/>
      <c r="EO33" s="403"/>
      <c r="EP33" s="403"/>
      <c r="EQ33" s="403"/>
      <c r="ER33" s="403"/>
      <c r="ES33" s="403"/>
    </row>
    <row r="34" spans="1:149" s="181" customFormat="1" x14ac:dyDescent="0.2">
      <c r="A34" s="198">
        <v>-7</v>
      </c>
      <c r="B34" s="23" t="str">
        <f>CONCATENATE("",DM4_Vaccine)</f>
        <v/>
      </c>
      <c r="C34" s="3" t="e">
        <f>VLOOKUP(DM4_Vaccine,'T1. Vaccines'!$C$8:$AD$37,D34,FALSE)</f>
        <v>#N/A</v>
      </c>
      <c r="D34" s="2">
        <f ca="1">OFFSET(_Offset_Index_VaccineSupplies_Index,0,A34)</f>
        <v>9</v>
      </c>
      <c r="E34" s="2" t="e">
        <f>IF($C34=$C$37,1,0)</f>
        <v>#N/A</v>
      </c>
      <c r="F34" s="2" t="e">
        <f>IF($C34=$C$38,1,0)</f>
        <v>#N/A</v>
      </c>
      <c r="G34" s="2" t="e">
        <f>IF($C34=$C$39,1,0)</f>
        <v>#N/A</v>
      </c>
      <c r="H34" s="2" t="e">
        <f>IF($C34=$C$40,1,0)</f>
        <v>#N/A</v>
      </c>
      <c r="I34" s="108" t="e">
        <f t="shared" ref="I34:N34" si="17">ROUNDDOWN(I26/$O$30,0)+IF(MOD(I26,$O$30)&gt;$P$30,1,0)</f>
        <v>#N/A</v>
      </c>
      <c r="J34" s="108" t="e">
        <f t="shared" si="17"/>
        <v>#N/A</v>
      </c>
      <c r="K34" s="108" t="e">
        <f t="shared" si="17"/>
        <v>#N/A</v>
      </c>
      <c r="L34" s="108" t="e">
        <f t="shared" si="17"/>
        <v>#N/A</v>
      </c>
      <c r="M34" s="108" t="e">
        <f t="shared" si="17"/>
        <v>#N/A</v>
      </c>
      <c r="N34" s="108" t="e">
        <f t="shared" si="17"/>
        <v>#N/A</v>
      </c>
      <c r="O34" s="108" t="e">
        <f t="shared" si="15"/>
        <v>#N/A</v>
      </c>
      <c r="P34" s="194"/>
      <c r="R34" s="403"/>
      <c r="S34" s="403"/>
      <c r="T34" s="403"/>
      <c r="U34" s="403"/>
      <c r="V34" s="403"/>
      <c r="W34" s="403"/>
      <c r="X34" s="403"/>
      <c r="Y34" s="403"/>
      <c r="Z34" s="403"/>
      <c r="AA34" s="403"/>
      <c r="AB34" s="403"/>
      <c r="AC34" s="403"/>
      <c r="AD34" s="403"/>
      <c r="AE34" s="403"/>
      <c r="AF34" s="403"/>
      <c r="AG34" s="403"/>
      <c r="AH34" s="403"/>
      <c r="AI34" s="403"/>
      <c r="AJ34" s="403"/>
      <c r="AK34" s="403"/>
      <c r="AL34" s="403"/>
      <c r="AM34" s="403"/>
      <c r="AN34" s="403"/>
      <c r="AO34" s="403"/>
      <c r="AP34" s="403"/>
      <c r="AQ34" s="403"/>
      <c r="AR34" s="403"/>
      <c r="AS34" s="403"/>
      <c r="AT34" s="403"/>
      <c r="AU34" s="403"/>
      <c r="AV34" s="403"/>
      <c r="AW34" s="403"/>
      <c r="AX34" s="403"/>
      <c r="AY34" s="403"/>
      <c r="AZ34" s="403"/>
      <c r="BA34" s="403"/>
      <c r="BB34" s="403"/>
      <c r="BC34" s="403"/>
      <c r="BD34" s="403"/>
      <c r="BE34" s="403"/>
      <c r="BF34" s="403"/>
      <c r="BG34" s="403"/>
      <c r="BH34" s="403"/>
      <c r="BI34" s="403"/>
      <c r="BJ34" s="403"/>
      <c r="BK34" s="403"/>
      <c r="BL34" s="403"/>
      <c r="BM34" s="403"/>
      <c r="BN34" s="403" t="s">
        <v>2642</v>
      </c>
      <c r="BO34" s="403"/>
      <c r="BP34" s="403"/>
      <c r="BQ34" s="403"/>
      <c r="BR34" s="403"/>
      <c r="BS34" s="403"/>
      <c r="BT34" s="403"/>
      <c r="BU34" s="403"/>
      <c r="BV34" s="403"/>
      <c r="BW34" s="403"/>
      <c r="BX34" s="403"/>
      <c r="BY34" s="403"/>
      <c r="BZ34" s="403"/>
      <c r="CA34" s="403"/>
      <c r="CB34" s="403"/>
      <c r="CC34" s="403"/>
      <c r="CD34" s="403"/>
      <c r="CE34" s="403"/>
      <c r="CF34" s="403"/>
      <c r="CG34" s="403"/>
      <c r="CH34" s="403"/>
      <c r="CI34" s="403"/>
      <c r="CJ34" s="403"/>
      <c r="CK34" s="403"/>
      <c r="CL34" s="403"/>
      <c r="CM34" s="403"/>
      <c r="CN34" s="403"/>
      <c r="CO34" s="403"/>
      <c r="CP34" s="403"/>
      <c r="CQ34" s="403"/>
      <c r="CR34" s="403"/>
      <c r="CS34" s="403"/>
      <c r="CT34" s="403"/>
      <c r="CU34" s="403"/>
      <c r="CV34" s="403"/>
      <c r="CW34" s="403"/>
      <c r="CX34" s="403"/>
      <c r="CY34" s="403"/>
      <c r="CZ34" s="403"/>
      <c r="DA34" s="403"/>
      <c r="DB34" s="403"/>
      <c r="DC34" s="403"/>
      <c r="DD34" s="403"/>
      <c r="DE34" s="403"/>
      <c r="DF34" s="403"/>
      <c r="DG34" s="403"/>
      <c r="DH34" s="403"/>
      <c r="DI34" s="403"/>
      <c r="DJ34" s="403"/>
      <c r="DK34" s="403"/>
      <c r="DL34" s="403"/>
      <c r="DM34" s="403"/>
      <c r="DN34" s="403"/>
      <c r="DO34" s="403"/>
      <c r="DP34" s="403"/>
      <c r="DQ34" s="403"/>
      <c r="DR34" s="403"/>
      <c r="DS34" s="403"/>
      <c r="DT34" s="403"/>
      <c r="DU34" s="403"/>
      <c r="DV34" s="403"/>
      <c r="DW34" s="403"/>
      <c r="DX34" s="403"/>
      <c r="DY34" s="403"/>
      <c r="DZ34" s="403"/>
      <c r="EA34" s="403"/>
      <c r="EB34" s="403"/>
      <c r="EC34" s="403"/>
      <c r="ED34" s="403"/>
      <c r="EE34" s="403"/>
      <c r="EF34" s="403"/>
      <c r="EG34" s="403"/>
      <c r="EH34" s="403"/>
      <c r="EI34" s="403"/>
      <c r="EJ34" s="403"/>
      <c r="EK34" s="403"/>
      <c r="EL34" s="403"/>
      <c r="EM34" s="403"/>
      <c r="EN34" s="403"/>
      <c r="EO34" s="403"/>
      <c r="EP34" s="403"/>
      <c r="EQ34" s="403"/>
      <c r="ER34" s="403"/>
      <c r="ES34" s="403"/>
    </row>
    <row r="35" spans="1:149" s="181" customFormat="1" x14ac:dyDescent="0.2">
      <c r="I35" s="108" t="e">
        <f t="shared" ref="I35:O35" si="18">SUM(I31:I34)</f>
        <v>#N/A</v>
      </c>
      <c r="J35" s="108" t="e">
        <f t="shared" si="18"/>
        <v>#N/A</v>
      </c>
      <c r="K35" s="108" t="e">
        <f t="shared" si="18"/>
        <v>#N/A</v>
      </c>
      <c r="L35" s="108" t="e">
        <f t="shared" si="18"/>
        <v>#N/A</v>
      </c>
      <c r="M35" s="108" t="e">
        <f t="shared" si="18"/>
        <v>#N/A</v>
      </c>
      <c r="N35" s="108" t="e">
        <f t="shared" si="18"/>
        <v>#N/A</v>
      </c>
      <c r="O35" s="108" t="e">
        <f t="shared" si="18"/>
        <v>#N/A</v>
      </c>
      <c r="R35" s="403"/>
      <c r="S35" s="403"/>
      <c r="T35" s="403"/>
      <c r="U35" s="403"/>
      <c r="V35" s="403"/>
      <c r="W35" s="403"/>
      <c r="X35" s="403"/>
      <c r="Y35" s="403"/>
      <c r="Z35" s="403"/>
      <c r="AA35" s="403"/>
      <c r="AB35" s="403"/>
      <c r="AC35" s="403"/>
      <c r="AD35" s="403"/>
      <c r="AE35" s="403"/>
      <c r="AF35" s="403"/>
      <c r="AG35" s="403"/>
      <c r="AH35" s="403"/>
      <c r="AI35" s="403"/>
      <c r="AJ35" s="403"/>
      <c r="AK35" s="403"/>
      <c r="AL35" s="403"/>
      <c r="AM35" s="403"/>
      <c r="AN35" s="403"/>
      <c r="AO35" s="403"/>
      <c r="AP35" s="403"/>
      <c r="AQ35" s="403"/>
      <c r="AR35" s="403"/>
      <c r="AS35" s="403"/>
      <c r="AT35" s="403"/>
      <c r="AU35" s="403"/>
      <c r="AV35" s="403"/>
      <c r="AW35" s="403"/>
      <c r="AX35" s="403"/>
      <c r="AY35" s="403"/>
      <c r="AZ35" s="403"/>
      <c r="BA35" s="403"/>
      <c r="BB35" s="403"/>
      <c r="BC35" s="403"/>
      <c r="BD35" s="403"/>
      <c r="BE35" s="403"/>
      <c r="BF35" s="403"/>
      <c r="BG35" s="403"/>
      <c r="BH35" s="403"/>
      <c r="BI35" s="403"/>
      <c r="BJ35" s="403"/>
      <c r="BK35" s="403"/>
      <c r="BL35" s="403"/>
      <c r="BM35" s="403"/>
      <c r="BN35" s="403"/>
      <c r="BO35" s="403"/>
      <c r="BP35" s="403"/>
      <c r="BQ35" s="403"/>
      <c r="BR35" s="403"/>
      <c r="BS35" s="403"/>
      <c r="BT35" s="403"/>
      <c r="BU35" s="403"/>
      <c r="BV35" s="403"/>
      <c r="BW35" s="403"/>
      <c r="BX35" s="403"/>
      <c r="BY35" s="403"/>
      <c r="BZ35" s="403"/>
      <c r="CA35" s="403"/>
      <c r="CB35" s="403"/>
      <c r="CC35" s="403"/>
      <c r="CD35" s="403"/>
      <c r="CE35" s="403"/>
      <c r="CF35" s="403"/>
      <c r="CG35" s="403"/>
      <c r="CH35" s="403"/>
      <c r="CI35" s="403"/>
      <c r="CJ35" s="403"/>
      <c r="CK35" s="403"/>
      <c r="CL35" s="403"/>
      <c r="CM35" s="403"/>
      <c r="CN35" s="403"/>
      <c r="CO35" s="403"/>
      <c r="CP35" s="403"/>
      <c r="CQ35" s="403"/>
      <c r="CR35" s="403"/>
      <c r="CS35" s="403"/>
      <c r="CT35" s="403"/>
      <c r="CU35" s="403"/>
      <c r="CV35" s="403"/>
      <c r="CW35" s="403"/>
      <c r="CX35" s="403"/>
      <c r="CY35" s="403"/>
      <c r="CZ35" s="403"/>
      <c r="DA35" s="403"/>
      <c r="DB35" s="403"/>
      <c r="DC35" s="403"/>
      <c r="DD35" s="403"/>
      <c r="DE35" s="403"/>
      <c r="DF35" s="403"/>
      <c r="DG35" s="403"/>
      <c r="DH35" s="403"/>
      <c r="DI35" s="403"/>
      <c r="DJ35" s="403"/>
      <c r="DK35" s="403"/>
      <c r="DL35" s="403"/>
      <c r="DM35" s="403"/>
      <c r="DN35" s="403"/>
      <c r="DO35" s="403"/>
      <c r="DP35" s="403"/>
      <c r="DQ35" s="403"/>
      <c r="DR35" s="403"/>
      <c r="DS35" s="403"/>
      <c r="DT35" s="403"/>
      <c r="DU35" s="403"/>
      <c r="DV35" s="403"/>
      <c r="DW35" s="403"/>
      <c r="DX35" s="403"/>
      <c r="DY35" s="403"/>
      <c r="DZ35" s="403"/>
      <c r="EA35" s="403"/>
      <c r="EB35" s="403"/>
      <c r="EC35" s="403"/>
      <c r="ED35" s="403"/>
      <c r="EE35" s="403"/>
      <c r="EF35" s="403"/>
      <c r="EG35" s="403"/>
      <c r="EH35" s="403"/>
      <c r="EI35" s="403"/>
      <c r="EJ35" s="403"/>
      <c r="EK35" s="403"/>
      <c r="EL35" s="403"/>
      <c r="EM35" s="403"/>
      <c r="EN35" s="403"/>
      <c r="EO35" s="403"/>
      <c r="EP35" s="403"/>
      <c r="EQ35" s="403"/>
      <c r="ER35" s="403"/>
      <c r="ES35" s="403"/>
    </row>
    <row r="36" spans="1:149" s="181" customFormat="1" ht="15" x14ac:dyDescent="0.25">
      <c r="I36" s="148" t="str">
        <f ca="1">IF(OFFSET(AA36,0,Lang_Order*Lang__B3)="","",OFFSET(AA36,0,Lang_Order*Lang__B3))</f>
        <v>Number of parcel sized containers</v>
      </c>
      <c r="J36" s="148"/>
      <c r="K36" s="148"/>
      <c r="L36" s="148"/>
      <c r="M36" s="148"/>
      <c r="N36" s="19" t="str">
        <f ca="1">IF(OFFSET(AF36,0,Lang_Order*Lang__B3)="","",OFFSET(AF36,0,Lang_Order*Lang__B3))</f>
        <v>Max Payload</v>
      </c>
      <c r="O36" s="33">
        <f>'T9. Shipping'!N19</f>
        <v>25.8</v>
      </c>
      <c r="P36" s="3">
        <f>'T9. Shipping'!AO36</f>
        <v>5</v>
      </c>
      <c r="Q36" s="12" t="str">
        <f ca="1">IF(OFFSET(AI36,0,Lang_Order*Lang__B3)="","",OFFSET(AI36,0,Lang_Order*Lang__B3))</f>
        <v>Once more than n parcels needed - cheaper to go for a pallet (as per simulation on T Shipping ~ variable assumptions are vaccine density and shipping rates )</v>
      </c>
      <c r="R36" s="403"/>
      <c r="S36" s="403"/>
      <c r="T36" s="403"/>
      <c r="U36" s="403"/>
      <c r="V36" s="403"/>
      <c r="W36" s="403"/>
      <c r="X36" s="403"/>
      <c r="Y36" s="403"/>
      <c r="Z36" s="403"/>
      <c r="AA36" s="403" t="s">
        <v>2764</v>
      </c>
      <c r="AB36" s="403"/>
      <c r="AC36" s="403"/>
      <c r="AD36" s="403"/>
      <c r="AE36" s="403"/>
      <c r="AF36" s="403" t="s">
        <v>2795</v>
      </c>
      <c r="AG36" s="403"/>
      <c r="AH36" s="403"/>
      <c r="AI36" s="403" t="s">
        <v>2824</v>
      </c>
      <c r="AJ36" s="403"/>
      <c r="AK36" s="403"/>
      <c r="AL36" s="403"/>
      <c r="AM36" s="403"/>
      <c r="AN36" s="403"/>
      <c r="AO36" s="403"/>
      <c r="AP36" s="403"/>
      <c r="AQ36" s="403"/>
      <c r="AR36" s="403"/>
      <c r="AS36" s="403"/>
      <c r="AT36" s="403" t="s">
        <v>10260</v>
      </c>
      <c r="AU36" s="403"/>
      <c r="AV36" s="403"/>
      <c r="AW36" s="403"/>
      <c r="AX36" s="403"/>
      <c r="AY36" s="403" t="s">
        <v>10222</v>
      </c>
      <c r="AZ36" s="403"/>
      <c r="BA36" s="403"/>
      <c r="BB36" s="403" t="s">
        <v>10261</v>
      </c>
      <c r="BC36" s="403"/>
      <c r="BD36" s="403"/>
      <c r="BE36" s="403"/>
      <c r="BF36" s="403"/>
      <c r="BG36" s="403"/>
      <c r="BH36" s="403"/>
      <c r="BI36" s="403"/>
      <c r="BJ36" s="403"/>
      <c r="BK36" s="403"/>
      <c r="BL36" s="403"/>
      <c r="BM36" s="403" t="s">
        <v>10262</v>
      </c>
      <c r="BN36" s="403"/>
      <c r="BO36" s="403"/>
      <c r="BP36" s="403"/>
      <c r="BQ36" s="403"/>
      <c r="BR36" s="403" t="s">
        <v>10231</v>
      </c>
      <c r="BS36" s="403"/>
      <c r="BT36" s="403"/>
      <c r="BU36" s="403" t="s">
        <v>10263</v>
      </c>
      <c r="BV36" s="403"/>
      <c r="BW36" s="403"/>
      <c r="BX36" s="403"/>
      <c r="BY36" s="403"/>
      <c r="BZ36" s="403"/>
      <c r="CA36" s="403"/>
      <c r="CB36" s="403"/>
      <c r="CC36" s="403"/>
      <c r="CD36" s="403"/>
      <c r="CE36" s="403"/>
      <c r="CF36" s="403" t="s">
        <v>10264</v>
      </c>
      <c r="CG36" s="403"/>
      <c r="CH36" s="403"/>
      <c r="CI36" s="403"/>
      <c r="CJ36" s="403"/>
      <c r="CK36" s="403" t="s">
        <v>10239</v>
      </c>
      <c r="CL36" s="403"/>
      <c r="CM36" s="403"/>
      <c r="CN36" s="403" t="s">
        <v>10265</v>
      </c>
      <c r="CO36" s="403"/>
      <c r="CP36" s="403"/>
      <c r="CQ36" s="403"/>
      <c r="CR36" s="403"/>
      <c r="CS36" s="403"/>
      <c r="CT36" s="403"/>
      <c r="CU36" s="403"/>
      <c r="CV36" s="403"/>
      <c r="CW36" s="403"/>
      <c r="CX36" s="403"/>
      <c r="CY36" s="403" t="s">
        <v>10266</v>
      </c>
      <c r="CZ36" s="403"/>
      <c r="DA36" s="403"/>
      <c r="DB36" s="403"/>
      <c r="DC36" s="403"/>
      <c r="DD36" s="403" t="s">
        <v>10239</v>
      </c>
      <c r="DE36" s="403"/>
      <c r="DF36" s="403"/>
      <c r="DG36" s="403" t="s">
        <v>10267</v>
      </c>
      <c r="DH36" s="403"/>
      <c r="DI36" s="403"/>
      <c r="DJ36" s="403"/>
      <c r="DK36" s="403"/>
      <c r="DL36" s="403"/>
      <c r="DM36" s="403"/>
      <c r="DN36" s="403"/>
      <c r="DO36" s="403"/>
      <c r="DP36" s="403"/>
      <c r="DQ36" s="403"/>
      <c r="DR36" s="403" t="s">
        <v>10268</v>
      </c>
      <c r="DS36" s="403"/>
      <c r="DT36" s="403"/>
      <c r="DU36" s="403"/>
      <c r="DV36" s="403"/>
      <c r="DW36" s="403" t="s">
        <v>10252</v>
      </c>
      <c r="DX36" s="403"/>
      <c r="DY36" s="403"/>
      <c r="DZ36" s="403" t="s">
        <v>10269</v>
      </c>
      <c r="EA36" s="403"/>
      <c r="EB36" s="403"/>
      <c r="EC36" s="403"/>
      <c r="ED36" s="403"/>
      <c r="EE36" s="403"/>
      <c r="EF36" s="403"/>
      <c r="EG36" s="403"/>
      <c r="EH36" s="403"/>
      <c r="EI36" s="403"/>
      <c r="EJ36" s="403"/>
      <c r="EK36" s="403" t="s">
        <v>10270</v>
      </c>
      <c r="EL36" s="403"/>
      <c r="EM36" s="403"/>
      <c r="EN36" s="403"/>
      <c r="EO36" s="403"/>
      <c r="EP36" s="403" t="s">
        <v>10258</v>
      </c>
      <c r="EQ36" s="403"/>
      <c r="ER36" s="403"/>
      <c r="ES36" s="403" t="s">
        <v>10271</v>
      </c>
    </row>
    <row r="37" spans="1:149" s="181" customFormat="1" x14ac:dyDescent="0.2">
      <c r="B37" s="5"/>
      <c r="C37" s="198" t="str">
        <f>'T2. Misc'!G9</f>
        <v>Room temperature</v>
      </c>
      <c r="I37" s="108" t="e">
        <f>ROUNDUP(MAX(0,I23-(I31*$O$30))/$O$36,0)</f>
        <v>#N/A</v>
      </c>
      <c r="J37" s="108" t="e">
        <f t="shared" ref="I37:N40" si="19">ROUNDUP(MAX(0,J23-(J31*$O$30))/$O$36,0)</f>
        <v>#N/A</v>
      </c>
      <c r="K37" s="108" t="e">
        <f t="shared" si="19"/>
        <v>#N/A</v>
      </c>
      <c r="L37" s="108" t="e">
        <f t="shared" si="19"/>
        <v>#N/A</v>
      </c>
      <c r="M37" s="108" t="e">
        <f t="shared" si="19"/>
        <v>#N/A</v>
      </c>
      <c r="N37" s="108" t="e">
        <f t="shared" si="19"/>
        <v>#N/A</v>
      </c>
      <c r="O37" s="108" t="e">
        <f>SUM(I37:N37)</f>
        <v>#N/A</v>
      </c>
      <c r="R37" s="403"/>
      <c r="S37" s="403"/>
      <c r="T37" s="403" t="s">
        <v>10</v>
      </c>
      <c r="U37" s="403"/>
      <c r="V37" s="403"/>
      <c r="W37" s="403"/>
      <c r="X37" s="403"/>
      <c r="Y37" s="403"/>
      <c r="Z37" s="403"/>
      <c r="AA37" s="403"/>
      <c r="AB37" s="403"/>
      <c r="AC37" s="403"/>
      <c r="AD37" s="403"/>
      <c r="AE37" s="403"/>
      <c r="AF37" s="403"/>
      <c r="AG37" s="403"/>
      <c r="AH37" s="403"/>
      <c r="AI37" s="403"/>
      <c r="AJ37" s="403"/>
      <c r="AK37" s="403"/>
      <c r="AL37" s="403"/>
      <c r="AM37" s="403" t="s">
        <v>8371</v>
      </c>
      <c r="AN37" s="403"/>
      <c r="AO37" s="403"/>
      <c r="AP37" s="403"/>
      <c r="AQ37" s="403"/>
      <c r="AR37" s="403"/>
      <c r="AS37" s="403"/>
      <c r="AT37" s="403"/>
      <c r="AU37" s="403"/>
      <c r="AV37" s="403"/>
      <c r="AW37" s="403"/>
      <c r="AX37" s="403"/>
      <c r="AY37" s="403"/>
      <c r="AZ37" s="403"/>
      <c r="BA37" s="403"/>
      <c r="BB37" s="403"/>
      <c r="BC37" s="403"/>
      <c r="BD37" s="403"/>
      <c r="BE37" s="403"/>
      <c r="BF37" s="403" t="s">
        <v>10226</v>
      </c>
      <c r="BG37" s="403"/>
      <c r="BH37" s="403"/>
      <c r="BI37" s="403"/>
      <c r="BJ37" s="403"/>
      <c r="BK37" s="403"/>
      <c r="BL37" s="403"/>
      <c r="BM37" s="403"/>
      <c r="BN37" s="403"/>
      <c r="BO37" s="403"/>
      <c r="BP37" s="403"/>
      <c r="BQ37" s="403"/>
      <c r="BR37" s="403"/>
      <c r="BS37" s="403"/>
      <c r="BT37" s="403"/>
      <c r="BU37" s="403"/>
      <c r="BV37" s="403"/>
      <c r="BW37" s="403"/>
      <c r="BX37" s="403"/>
      <c r="BY37" s="403" t="s">
        <v>8375</v>
      </c>
      <c r="BZ37" s="403"/>
      <c r="CA37" s="403"/>
      <c r="CB37" s="403"/>
      <c r="CC37" s="403"/>
      <c r="CD37" s="403"/>
      <c r="CE37" s="403"/>
      <c r="CF37" s="403"/>
      <c r="CG37" s="403"/>
      <c r="CH37" s="403"/>
      <c r="CI37" s="403"/>
      <c r="CJ37" s="403"/>
      <c r="CK37" s="403"/>
      <c r="CL37" s="403"/>
      <c r="CM37" s="403"/>
      <c r="CN37" s="403"/>
      <c r="CO37" s="403"/>
      <c r="CP37" s="403"/>
      <c r="CQ37" s="403"/>
      <c r="CR37" s="403" t="s">
        <v>8375</v>
      </c>
      <c r="CS37" s="403"/>
      <c r="CT37" s="403"/>
      <c r="CU37" s="403"/>
      <c r="CV37" s="403"/>
      <c r="CW37" s="403"/>
      <c r="CX37" s="403"/>
      <c r="CY37" s="403"/>
      <c r="CZ37" s="403"/>
      <c r="DA37" s="403"/>
      <c r="DB37" s="403"/>
      <c r="DC37" s="403"/>
      <c r="DD37" s="403"/>
      <c r="DE37" s="403"/>
      <c r="DF37" s="403"/>
      <c r="DG37" s="403"/>
      <c r="DH37" s="403"/>
      <c r="DI37" s="403"/>
      <c r="DJ37" s="403"/>
      <c r="DK37" s="403" t="s">
        <v>8378</v>
      </c>
      <c r="DL37" s="403"/>
      <c r="DM37" s="403" t="s">
        <v>2642</v>
      </c>
      <c r="DN37" s="403"/>
      <c r="DO37" s="403"/>
      <c r="DP37" s="403"/>
      <c r="DQ37" s="403"/>
      <c r="DR37" s="403"/>
      <c r="DS37" s="403"/>
      <c r="DT37" s="403"/>
      <c r="DU37" s="403"/>
      <c r="DV37" s="403"/>
      <c r="DW37" s="403"/>
      <c r="DX37" s="403"/>
      <c r="DY37" s="403"/>
      <c r="DZ37" s="403"/>
      <c r="EA37" s="403"/>
      <c r="EB37" s="403"/>
      <c r="EC37" s="403"/>
      <c r="ED37" s="403" t="s">
        <v>10256</v>
      </c>
      <c r="EE37" s="403"/>
      <c r="EF37" s="403"/>
      <c r="EG37" s="403"/>
      <c r="EH37" s="403"/>
      <c r="EI37" s="403"/>
      <c r="EJ37" s="403"/>
      <c r="EK37" s="403"/>
      <c r="EL37" s="403"/>
      <c r="EM37" s="403"/>
      <c r="EN37" s="403"/>
      <c r="EO37" s="403"/>
      <c r="EP37" s="403"/>
      <c r="EQ37" s="403"/>
      <c r="ER37" s="403"/>
      <c r="ES37" s="403"/>
    </row>
    <row r="38" spans="1:149" s="181" customFormat="1" x14ac:dyDescent="0.2">
      <c r="B38" s="5"/>
      <c r="C38" s="198" t="str">
        <f>'T2. Misc'!G10</f>
        <v>Refrigerated (2 to 8C)</v>
      </c>
      <c r="I38" s="108" t="e">
        <f t="shared" si="19"/>
        <v>#N/A</v>
      </c>
      <c r="J38" s="108" t="e">
        <f t="shared" si="19"/>
        <v>#N/A</v>
      </c>
      <c r="K38" s="108" t="e">
        <f t="shared" si="19"/>
        <v>#N/A</v>
      </c>
      <c r="L38" s="108" t="e">
        <f t="shared" si="19"/>
        <v>#N/A</v>
      </c>
      <c r="M38" s="108" t="e">
        <f t="shared" si="19"/>
        <v>#N/A</v>
      </c>
      <c r="N38" s="108" t="e">
        <f t="shared" si="19"/>
        <v>#N/A</v>
      </c>
      <c r="O38" s="108" t="e">
        <f t="shared" ref="O38:O40" si="20">SUM(I38:N38)</f>
        <v>#N/A</v>
      </c>
      <c r="R38" s="403"/>
      <c r="S38" s="403"/>
      <c r="T38" s="403" t="s">
        <v>11</v>
      </c>
      <c r="U38" s="403"/>
      <c r="V38" s="403"/>
      <c r="W38" s="403"/>
      <c r="X38" s="403"/>
      <c r="Y38" s="403"/>
      <c r="Z38" s="403"/>
      <c r="AA38" s="403"/>
      <c r="AB38" s="403"/>
      <c r="AC38" s="403"/>
      <c r="AD38" s="403"/>
      <c r="AE38" s="403"/>
      <c r="AF38" s="403"/>
      <c r="AG38" s="403"/>
      <c r="AH38" s="403"/>
      <c r="AI38" s="403"/>
      <c r="AJ38" s="403"/>
      <c r="AK38" s="403"/>
      <c r="AL38" s="403"/>
      <c r="AM38" s="403" t="s">
        <v>10219</v>
      </c>
      <c r="AN38" s="403"/>
      <c r="AO38" s="403"/>
      <c r="AP38" s="403"/>
      <c r="AQ38" s="403"/>
      <c r="AR38" s="403"/>
      <c r="AS38" s="403"/>
      <c r="AT38" s="403"/>
      <c r="AU38" s="403"/>
      <c r="AV38" s="403"/>
      <c r="AW38" s="403"/>
      <c r="AX38" s="403"/>
      <c r="AY38" s="403"/>
      <c r="AZ38" s="403"/>
      <c r="BA38" s="403"/>
      <c r="BB38" s="403"/>
      <c r="BC38" s="403"/>
      <c r="BD38" s="403"/>
      <c r="BE38" s="403"/>
      <c r="BF38" s="403" t="s">
        <v>10227</v>
      </c>
      <c r="BG38" s="403"/>
      <c r="BH38" s="403"/>
      <c r="BI38" s="403"/>
      <c r="BJ38" s="403"/>
      <c r="BK38" s="403"/>
      <c r="BL38" s="403"/>
      <c r="BM38" s="403"/>
      <c r="BN38" s="403"/>
      <c r="BO38" s="403"/>
      <c r="BP38" s="403"/>
      <c r="BQ38" s="403"/>
      <c r="BR38" s="403"/>
      <c r="BS38" s="403"/>
      <c r="BT38" s="403"/>
      <c r="BU38" s="403"/>
      <c r="BV38" s="403"/>
      <c r="BW38" s="403"/>
      <c r="BX38" s="403"/>
      <c r="BY38" s="403" t="s">
        <v>10235</v>
      </c>
      <c r="BZ38" s="403"/>
      <c r="CA38" s="403"/>
      <c r="CB38" s="403"/>
      <c r="CC38" s="403"/>
      <c r="CD38" s="403"/>
      <c r="CE38" s="403"/>
      <c r="CF38" s="403"/>
      <c r="CG38" s="403"/>
      <c r="CH38" s="403"/>
      <c r="CI38" s="403"/>
      <c r="CJ38" s="403"/>
      <c r="CK38" s="403"/>
      <c r="CL38" s="403"/>
      <c r="CM38" s="403"/>
      <c r="CN38" s="403"/>
      <c r="CO38" s="403"/>
      <c r="CP38" s="403"/>
      <c r="CQ38" s="403"/>
      <c r="CR38" s="403" t="s">
        <v>8384</v>
      </c>
      <c r="CS38" s="403"/>
      <c r="CT38" s="403"/>
      <c r="CU38" s="403"/>
      <c r="CV38" s="403"/>
      <c r="CW38" s="403"/>
      <c r="CX38" s="403"/>
      <c r="CY38" s="403"/>
      <c r="CZ38" s="403"/>
      <c r="DA38" s="403"/>
      <c r="DB38" s="403"/>
      <c r="DC38" s="403"/>
      <c r="DD38" s="403"/>
      <c r="DE38" s="403"/>
      <c r="DF38" s="403"/>
      <c r="DG38" s="403"/>
      <c r="DH38" s="403"/>
      <c r="DI38" s="403"/>
      <c r="DJ38" s="403"/>
      <c r="DK38" s="403" t="s">
        <v>10248</v>
      </c>
      <c r="DL38" s="403"/>
      <c r="DM38" s="403"/>
      <c r="DN38" s="403"/>
      <c r="DO38" s="403"/>
      <c r="DP38" s="403"/>
      <c r="DQ38" s="403"/>
      <c r="DR38" s="403"/>
      <c r="DS38" s="403"/>
      <c r="DT38" s="403"/>
      <c r="DU38" s="403"/>
      <c r="DV38" s="403"/>
      <c r="DW38" s="403"/>
      <c r="DX38" s="403"/>
      <c r="DY38" s="403"/>
      <c r="DZ38" s="403"/>
      <c r="EA38" s="403"/>
      <c r="EB38" s="403"/>
      <c r="EC38" s="403"/>
      <c r="ED38" s="403" t="s">
        <v>8387</v>
      </c>
      <c r="EE38" s="403"/>
      <c r="EF38" s="403"/>
      <c r="EG38" s="403"/>
      <c r="EH38" s="403"/>
      <c r="EI38" s="403"/>
      <c r="EJ38" s="403"/>
      <c r="EK38" s="403"/>
      <c r="EL38" s="403"/>
      <c r="EM38" s="403"/>
      <c r="EN38" s="403"/>
      <c r="EO38" s="403"/>
      <c r="EP38" s="403"/>
      <c r="EQ38" s="403"/>
      <c r="ER38" s="403"/>
      <c r="ES38" s="403"/>
    </row>
    <row r="39" spans="1:149" s="181" customFormat="1" x14ac:dyDescent="0.2">
      <c r="B39" s="5"/>
      <c r="C39" s="198" t="str">
        <f>'T2. Misc'!G11</f>
        <v>Frozen (-20C)</v>
      </c>
      <c r="I39" s="108" t="e">
        <f t="shared" si="19"/>
        <v>#N/A</v>
      </c>
      <c r="J39" s="108" t="e">
        <f t="shared" si="19"/>
        <v>#N/A</v>
      </c>
      <c r="K39" s="108" t="e">
        <f t="shared" si="19"/>
        <v>#N/A</v>
      </c>
      <c r="L39" s="108" t="e">
        <f t="shared" si="19"/>
        <v>#N/A</v>
      </c>
      <c r="M39" s="108" t="e">
        <f t="shared" si="19"/>
        <v>#N/A</v>
      </c>
      <c r="N39" s="108" t="e">
        <f t="shared" si="19"/>
        <v>#N/A</v>
      </c>
      <c r="O39" s="108" t="e">
        <f t="shared" si="20"/>
        <v>#N/A</v>
      </c>
      <c r="R39" s="403"/>
      <c r="S39" s="403"/>
      <c r="T39" s="403" t="s">
        <v>12</v>
      </c>
      <c r="U39" s="403"/>
      <c r="V39" s="403"/>
      <c r="W39" s="403"/>
      <c r="X39" s="403"/>
      <c r="Y39" s="403"/>
      <c r="Z39" s="403"/>
      <c r="AA39" s="403"/>
      <c r="AB39" s="403"/>
      <c r="AC39" s="403"/>
      <c r="AD39" s="403"/>
      <c r="AE39" s="403"/>
      <c r="AF39" s="403"/>
      <c r="AG39" s="403"/>
      <c r="AH39" s="403"/>
      <c r="AI39" s="403"/>
      <c r="AJ39" s="403"/>
      <c r="AK39" s="403"/>
      <c r="AL39" s="403"/>
      <c r="AM39" s="403" t="s">
        <v>10220</v>
      </c>
      <c r="AN39" s="403"/>
      <c r="AO39" s="403"/>
      <c r="AP39" s="403"/>
      <c r="AQ39" s="403"/>
      <c r="AR39" s="403"/>
      <c r="AS39" s="403"/>
      <c r="AT39" s="403"/>
      <c r="AU39" s="403"/>
      <c r="AV39" s="403"/>
      <c r="AW39" s="403"/>
      <c r="AX39" s="403"/>
      <c r="AY39" s="403"/>
      <c r="AZ39" s="403"/>
      <c r="BA39" s="403"/>
      <c r="BB39" s="403"/>
      <c r="BC39" s="403"/>
      <c r="BD39" s="403"/>
      <c r="BE39" s="403"/>
      <c r="BF39" s="403" t="s">
        <v>10228</v>
      </c>
      <c r="BG39" s="403"/>
      <c r="BH39" s="403"/>
      <c r="BI39" s="403"/>
      <c r="BJ39" s="403"/>
      <c r="BK39" s="403"/>
      <c r="BL39" s="403"/>
      <c r="BM39" s="403"/>
      <c r="BN39" s="403"/>
      <c r="BO39" s="403"/>
      <c r="BP39" s="403"/>
      <c r="BQ39" s="403"/>
      <c r="BR39" s="403"/>
      <c r="BS39" s="403"/>
      <c r="BT39" s="403"/>
      <c r="BU39" s="403"/>
      <c r="BV39" s="403"/>
      <c r="BW39" s="403"/>
      <c r="BX39" s="403"/>
      <c r="BY39" s="403" t="s">
        <v>10236</v>
      </c>
      <c r="BZ39" s="403"/>
      <c r="CA39" s="403"/>
      <c r="CB39" s="403"/>
      <c r="CC39" s="403"/>
      <c r="CD39" s="403"/>
      <c r="CE39" s="403"/>
      <c r="CF39" s="403"/>
      <c r="CG39" s="403"/>
      <c r="CH39" s="403"/>
      <c r="CI39" s="403"/>
      <c r="CJ39" s="403"/>
      <c r="CK39" s="403"/>
      <c r="CL39" s="403"/>
      <c r="CM39" s="403"/>
      <c r="CN39" s="403"/>
      <c r="CO39" s="403"/>
      <c r="CP39" s="403"/>
      <c r="CQ39" s="403"/>
      <c r="CR39" s="403" t="s">
        <v>8391</v>
      </c>
      <c r="CS39" s="403"/>
      <c r="CT39" s="403"/>
      <c r="CU39" s="403"/>
      <c r="CV39" s="403"/>
      <c r="CW39" s="403"/>
      <c r="CX39" s="403"/>
      <c r="CY39" s="403"/>
      <c r="CZ39" s="403"/>
      <c r="DA39" s="403"/>
      <c r="DB39" s="403"/>
      <c r="DC39" s="403"/>
      <c r="DD39" s="403"/>
      <c r="DE39" s="403"/>
      <c r="DF39" s="403"/>
      <c r="DG39" s="403"/>
      <c r="DH39" s="403"/>
      <c r="DI39" s="403"/>
      <c r="DJ39" s="403"/>
      <c r="DK39" s="403" t="s">
        <v>10249</v>
      </c>
      <c r="DL39" s="403"/>
      <c r="DM39" s="403"/>
      <c r="DN39" s="403"/>
      <c r="DO39" s="403"/>
      <c r="DP39" s="403"/>
      <c r="DQ39" s="403"/>
      <c r="DR39" s="403"/>
      <c r="DS39" s="403"/>
      <c r="DT39" s="403"/>
      <c r="DU39" s="403"/>
      <c r="DV39" s="403"/>
      <c r="DW39" s="403"/>
      <c r="DX39" s="403"/>
      <c r="DY39" s="403"/>
      <c r="DZ39" s="403"/>
      <c r="EA39" s="403"/>
      <c r="EB39" s="403"/>
      <c r="EC39" s="403"/>
      <c r="ED39" s="403" t="s">
        <v>8393</v>
      </c>
      <c r="EE39" s="403"/>
      <c r="EF39" s="403"/>
      <c r="EG39" s="403"/>
      <c r="EH39" s="403"/>
      <c r="EI39" s="403"/>
      <c r="EJ39" s="403"/>
      <c r="EK39" s="403"/>
      <c r="EL39" s="403"/>
      <c r="EM39" s="403"/>
      <c r="EN39" s="403"/>
      <c r="EO39" s="403"/>
      <c r="EP39" s="403"/>
      <c r="EQ39" s="403"/>
      <c r="ER39" s="403"/>
      <c r="ES39" s="403"/>
    </row>
    <row r="40" spans="1:149" s="181" customFormat="1" x14ac:dyDescent="0.2">
      <c r="B40" s="5"/>
      <c r="C40" s="198" t="str">
        <f>'T2. Misc'!G12</f>
        <v>Ultra-cold (-60 to -80C)</v>
      </c>
      <c r="I40" s="108" t="e">
        <f t="shared" si="19"/>
        <v>#N/A</v>
      </c>
      <c r="J40" s="108" t="e">
        <f t="shared" si="19"/>
        <v>#N/A</v>
      </c>
      <c r="K40" s="108" t="e">
        <f t="shared" si="19"/>
        <v>#N/A</v>
      </c>
      <c r="L40" s="108" t="e">
        <f t="shared" si="19"/>
        <v>#N/A</v>
      </c>
      <c r="M40" s="108" t="e">
        <f t="shared" si="19"/>
        <v>#N/A</v>
      </c>
      <c r="N40" s="108" t="e">
        <f t="shared" si="19"/>
        <v>#N/A</v>
      </c>
      <c r="O40" s="108" t="e">
        <f t="shared" si="20"/>
        <v>#N/A</v>
      </c>
      <c r="Q40" s="47"/>
      <c r="R40" s="403"/>
      <c r="S40" s="403"/>
      <c r="T40" s="403" t="s">
        <v>13</v>
      </c>
      <c r="U40" s="403"/>
      <c r="V40" s="403"/>
      <c r="W40" s="403"/>
      <c r="X40" s="403"/>
      <c r="Y40" s="403"/>
      <c r="Z40" s="403"/>
      <c r="AA40" s="403"/>
      <c r="AB40" s="403"/>
      <c r="AC40" s="403"/>
      <c r="AD40" s="403"/>
      <c r="AE40" s="403"/>
      <c r="AF40" s="403"/>
      <c r="AG40" s="403"/>
      <c r="AH40" s="403"/>
      <c r="AI40" s="403" t="s">
        <v>2765</v>
      </c>
      <c r="AJ40" s="403"/>
      <c r="AK40" s="403"/>
      <c r="AL40" s="403"/>
      <c r="AM40" s="403" t="s">
        <v>8394</v>
      </c>
      <c r="AN40" s="403"/>
      <c r="AO40" s="403"/>
      <c r="AP40" s="403"/>
      <c r="AQ40" s="403"/>
      <c r="AR40" s="403"/>
      <c r="AS40" s="403"/>
      <c r="AT40" s="403"/>
      <c r="AU40" s="403"/>
      <c r="AV40" s="403"/>
      <c r="AW40" s="403"/>
      <c r="AX40" s="403"/>
      <c r="AY40" s="403"/>
      <c r="AZ40" s="403"/>
      <c r="BA40" s="403"/>
      <c r="BB40" s="403" t="s">
        <v>10272</v>
      </c>
      <c r="BC40" s="403"/>
      <c r="BD40" s="403"/>
      <c r="BE40" s="403"/>
      <c r="BF40" s="403" t="s">
        <v>10229</v>
      </c>
      <c r="BG40" s="403"/>
      <c r="BH40" s="403"/>
      <c r="BI40" s="403"/>
      <c r="BJ40" s="403"/>
      <c r="BK40" s="403"/>
      <c r="BL40" s="403"/>
      <c r="BM40" s="403"/>
      <c r="BN40" s="403"/>
      <c r="BO40" s="403"/>
      <c r="BP40" s="403"/>
      <c r="BQ40" s="403"/>
      <c r="BR40" s="403"/>
      <c r="BS40" s="403"/>
      <c r="BT40" s="403"/>
      <c r="BU40" s="403" t="s">
        <v>10273</v>
      </c>
      <c r="BV40" s="403"/>
      <c r="BW40" s="403"/>
      <c r="BX40" s="403"/>
      <c r="BY40" s="403" t="s">
        <v>10237</v>
      </c>
      <c r="BZ40" s="403"/>
      <c r="CA40" s="403"/>
      <c r="CB40" s="403"/>
      <c r="CC40" s="403"/>
      <c r="CD40" s="403"/>
      <c r="CE40" s="403"/>
      <c r="CF40" s="403"/>
      <c r="CG40" s="403"/>
      <c r="CH40" s="403"/>
      <c r="CI40" s="403"/>
      <c r="CJ40" s="403"/>
      <c r="CK40" s="403"/>
      <c r="CL40" s="403"/>
      <c r="CM40" s="403"/>
      <c r="CN40" s="403" t="s">
        <v>10274</v>
      </c>
      <c r="CO40" s="403"/>
      <c r="CP40" s="403"/>
      <c r="CQ40" s="403"/>
      <c r="CR40" s="403" t="s">
        <v>8400</v>
      </c>
      <c r="CS40" s="403"/>
      <c r="CT40" s="403"/>
      <c r="CU40" s="403"/>
      <c r="CV40" s="403"/>
      <c r="CW40" s="403"/>
      <c r="CX40" s="403"/>
      <c r="CY40" s="403"/>
      <c r="CZ40" s="403"/>
      <c r="DA40" s="403"/>
      <c r="DB40" s="403"/>
      <c r="DC40" s="403"/>
      <c r="DD40" s="403"/>
      <c r="DE40" s="403"/>
      <c r="DF40" s="403"/>
      <c r="DG40" s="403" t="s">
        <v>10275</v>
      </c>
      <c r="DH40" s="403"/>
      <c r="DI40" s="403"/>
      <c r="DJ40" s="403"/>
      <c r="DK40" s="403" t="s">
        <v>10250</v>
      </c>
      <c r="DL40" s="403"/>
      <c r="DM40" s="403"/>
      <c r="DN40" s="403"/>
      <c r="DO40" s="403"/>
      <c r="DP40" s="403"/>
      <c r="DQ40" s="403"/>
      <c r="DR40" s="403"/>
      <c r="DS40" s="403"/>
      <c r="DT40" s="403"/>
      <c r="DU40" s="403"/>
      <c r="DV40" s="403"/>
      <c r="DW40" s="403"/>
      <c r="DX40" s="403"/>
      <c r="DY40" s="403"/>
      <c r="DZ40" s="403" t="s">
        <v>10276</v>
      </c>
      <c r="EA40" s="403"/>
      <c r="EB40" s="403"/>
      <c r="EC40" s="403"/>
      <c r="ED40" s="403" t="s">
        <v>8404</v>
      </c>
      <c r="EE40" s="403"/>
      <c r="EF40" s="403"/>
      <c r="EG40" s="403"/>
      <c r="EH40" s="403"/>
      <c r="EI40" s="403"/>
      <c r="EJ40" s="403"/>
      <c r="EK40" s="403"/>
      <c r="EL40" s="403"/>
      <c r="EM40" s="403"/>
      <c r="EN40" s="403"/>
      <c r="EO40" s="403"/>
      <c r="EP40" s="403"/>
      <c r="EQ40" s="403"/>
      <c r="ER40" s="403"/>
      <c r="ES40" s="403" t="s">
        <v>10277</v>
      </c>
    </row>
    <row r="41" spans="1:149" s="181" customFormat="1" x14ac:dyDescent="0.2">
      <c r="I41" s="108" t="e">
        <f>SUM(I37:I40)</f>
        <v>#N/A</v>
      </c>
      <c r="J41" s="108" t="e">
        <f t="shared" ref="J41:O41" si="21">SUM(J37:J40)</f>
        <v>#N/A</v>
      </c>
      <c r="K41" s="108" t="e">
        <f t="shared" si="21"/>
        <v>#N/A</v>
      </c>
      <c r="L41" s="108" t="e">
        <f t="shared" si="21"/>
        <v>#N/A</v>
      </c>
      <c r="M41" s="108" t="e">
        <f t="shared" si="21"/>
        <v>#N/A</v>
      </c>
      <c r="N41" s="108" t="e">
        <f t="shared" si="21"/>
        <v>#N/A</v>
      </c>
      <c r="O41" s="108" t="e">
        <f t="shared" si="21"/>
        <v>#N/A</v>
      </c>
      <c r="R41" s="403"/>
      <c r="S41" s="403"/>
      <c r="T41" s="403"/>
      <c r="U41" s="403"/>
      <c r="V41" s="403"/>
      <c r="W41" s="403"/>
      <c r="X41" s="403"/>
      <c r="Y41" s="403"/>
      <c r="Z41" s="403"/>
      <c r="AA41" s="403"/>
      <c r="AB41" s="403"/>
      <c r="AC41" s="403"/>
      <c r="AD41" s="403"/>
      <c r="AE41" s="403"/>
      <c r="AF41" s="403"/>
      <c r="AG41" s="403"/>
      <c r="AH41" s="403"/>
      <c r="AI41" s="403"/>
      <c r="AJ41" s="403"/>
      <c r="AK41" s="403"/>
      <c r="AL41" s="403"/>
      <c r="AM41" s="403"/>
      <c r="AN41" s="403"/>
      <c r="AO41" s="403"/>
      <c r="AP41" s="403"/>
      <c r="AQ41" s="403"/>
      <c r="AR41" s="403"/>
      <c r="AS41" s="403"/>
      <c r="AT41" s="403"/>
      <c r="AU41" s="403"/>
      <c r="AV41" s="403"/>
      <c r="AW41" s="403"/>
      <c r="AX41" s="403"/>
      <c r="AY41" s="403"/>
      <c r="AZ41" s="403"/>
      <c r="BA41" s="403"/>
      <c r="BB41" s="403"/>
      <c r="BC41" s="403"/>
      <c r="BD41" s="403"/>
      <c r="BE41" s="403"/>
      <c r="BF41" s="403"/>
      <c r="BG41" s="403"/>
      <c r="BH41" s="403"/>
      <c r="BI41" s="403"/>
      <c r="BJ41" s="403"/>
      <c r="BK41" s="403"/>
      <c r="BL41" s="403"/>
      <c r="BM41" s="403"/>
      <c r="BN41" s="403"/>
      <c r="BO41" s="403"/>
      <c r="BP41" s="403"/>
      <c r="BQ41" s="403"/>
      <c r="BR41" s="403"/>
      <c r="BS41" s="403"/>
      <c r="BT41" s="403"/>
      <c r="BU41" s="403"/>
      <c r="BV41" s="403"/>
      <c r="BW41" s="403"/>
      <c r="BX41" s="403"/>
      <c r="BY41" s="403"/>
      <c r="BZ41" s="403"/>
      <c r="CA41" s="403"/>
      <c r="CB41" s="403"/>
      <c r="CC41" s="403"/>
      <c r="CD41" s="403"/>
      <c r="CE41" s="403"/>
      <c r="CF41" s="403"/>
      <c r="CG41" s="403"/>
      <c r="CH41" s="403"/>
      <c r="CI41" s="403"/>
      <c r="CJ41" s="403"/>
      <c r="CK41" s="403"/>
      <c r="CL41" s="403"/>
      <c r="CM41" s="403"/>
      <c r="CN41" s="403"/>
      <c r="CO41" s="403"/>
      <c r="CP41" s="403"/>
      <c r="CQ41" s="403"/>
      <c r="CR41" s="403"/>
      <c r="CS41" s="403"/>
      <c r="CT41" s="403"/>
      <c r="CU41" s="403"/>
      <c r="CV41" s="403"/>
      <c r="CW41" s="403"/>
      <c r="CX41" s="403"/>
      <c r="CY41" s="403"/>
      <c r="CZ41" s="403"/>
      <c r="DA41" s="403"/>
      <c r="DB41" s="403"/>
      <c r="DC41" s="403"/>
      <c r="DD41" s="403"/>
      <c r="DE41" s="403"/>
      <c r="DF41" s="403"/>
      <c r="DG41" s="403"/>
      <c r="DH41" s="403"/>
      <c r="DI41" s="403"/>
      <c r="DJ41" s="403"/>
      <c r="DK41" s="403"/>
      <c r="DL41" s="403"/>
      <c r="DM41" s="403"/>
      <c r="DN41" s="403"/>
      <c r="DO41" s="403"/>
      <c r="DP41" s="403"/>
      <c r="DQ41" s="403"/>
      <c r="DR41" s="403"/>
      <c r="DS41" s="403"/>
      <c r="DT41" s="403"/>
      <c r="DU41" s="403"/>
      <c r="DV41" s="403"/>
      <c r="DW41" s="403"/>
      <c r="DX41" s="403"/>
      <c r="DY41" s="403"/>
      <c r="DZ41" s="403"/>
      <c r="EA41" s="403"/>
      <c r="EB41" s="403"/>
      <c r="EC41" s="403"/>
      <c r="ED41" s="403"/>
      <c r="EE41" s="403"/>
      <c r="EF41" s="403"/>
      <c r="EG41" s="403"/>
      <c r="EH41" s="403"/>
      <c r="EI41" s="403"/>
      <c r="EJ41" s="403"/>
      <c r="EK41" s="403"/>
      <c r="EL41" s="403"/>
      <c r="EM41" s="403"/>
      <c r="EN41" s="403"/>
      <c r="EO41" s="403"/>
      <c r="EP41" s="403"/>
      <c r="EQ41" s="403"/>
      <c r="ER41" s="403"/>
      <c r="ES41" s="403"/>
    </row>
    <row r="42" spans="1:149" s="150" customFormat="1" ht="15" x14ac:dyDescent="0.25">
      <c r="D42" s="181"/>
      <c r="E42" s="181"/>
      <c r="F42" s="181"/>
      <c r="G42" s="181"/>
      <c r="H42" s="181"/>
      <c r="I42" s="33" t="str">
        <f ca="1">IF(OFFSET(AA42,0,Lang_Order*Lang__B3)="","",OFFSET(AA42,0,Lang_Order*Lang__B3))</f>
        <v>Number of pallet sized containers</v>
      </c>
      <c r="J42" s="33"/>
      <c r="K42" s="33"/>
      <c r="L42" s="33"/>
      <c r="M42" s="33"/>
      <c r="N42" s="33"/>
      <c r="O42" s="179"/>
      <c r="R42" s="403"/>
      <c r="S42" s="403"/>
      <c r="T42" s="403"/>
      <c r="U42" s="403"/>
      <c r="V42" s="403"/>
      <c r="W42" s="403"/>
      <c r="X42" s="403"/>
      <c r="Y42" s="403"/>
      <c r="Z42" s="403"/>
      <c r="AA42" s="403" t="s">
        <v>2763</v>
      </c>
      <c r="AB42" s="403"/>
      <c r="AC42" s="403"/>
      <c r="AD42" s="403"/>
      <c r="AE42" s="403"/>
      <c r="AF42" s="403"/>
      <c r="AG42" s="403"/>
      <c r="AH42" s="403"/>
      <c r="AI42" s="403"/>
      <c r="AJ42" s="403"/>
      <c r="AK42" s="403"/>
      <c r="AL42" s="403"/>
      <c r="AM42" s="403"/>
      <c r="AN42" s="403"/>
      <c r="AO42" s="403"/>
      <c r="AP42" s="403"/>
      <c r="AQ42" s="403"/>
      <c r="AR42" s="403"/>
      <c r="AS42" s="403"/>
      <c r="AT42" s="403" t="s">
        <v>10221</v>
      </c>
      <c r="AU42" s="403"/>
      <c r="AV42" s="403"/>
      <c r="AW42" s="403"/>
      <c r="AX42" s="403"/>
      <c r="AY42" s="403"/>
      <c r="AZ42" s="403"/>
      <c r="BA42" s="403"/>
      <c r="BB42" s="403"/>
      <c r="BC42" s="403"/>
      <c r="BD42" s="403"/>
      <c r="BE42" s="403"/>
      <c r="BF42" s="403"/>
      <c r="BG42" s="403"/>
      <c r="BH42" s="403"/>
      <c r="BI42" s="403"/>
      <c r="BJ42" s="403"/>
      <c r="BK42" s="403"/>
      <c r="BL42" s="403"/>
      <c r="BM42" s="403" t="s">
        <v>10278</v>
      </c>
      <c r="BN42" s="403"/>
      <c r="BO42" s="403"/>
      <c r="BP42" s="403"/>
      <c r="BQ42" s="403"/>
      <c r="BR42" s="403"/>
      <c r="BS42" s="403"/>
      <c r="BT42" s="403"/>
      <c r="BU42" s="403"/>
      <c r="BV42" s="403"/>
      <c r="BW42" s="403"/>
      <c r="BX42" s="403"/>
      <c r="BY42" s="403"/>
      <c r="BZ42" s="403"/>
      <c r="CA42" s="403"/>
      <c r="CB42" s="403"/>
      <c r="CC42" s="403"/>
      <c r="CD42" s="403"/>
      <c r="CE42" s="403"/>
      <c r="CF42" s="403" t="s">
        <v>10238</v>
      </c>
      <c r="CG42" s="403"/>
      <c r="CH42" s="403"/>
      <c r="CI42" s="403"/>
      <c r="CJ42" s="403"/>
      <c r="CK42" s="403"/>
      <c r="CL42" s="403"/>
      <c r="CM42" s="403"/>
      <c r="CN42" s="403"/>
      <c r="CO42" s="403"/>
      <c r="CP42" s="403"/>
      <c r="CQ42" s="403"/>
      <c r="CR42" s="403"/>
      <c r="CS42" s="403"/>
      <c r="CT42" s="403"/>
      <c r="CU42" s="403"/>
      <c r="CV42" s="403"/>
      <c r="CW42" s="403"/>
      <c r="CX42" s="403"/>
      <c r="CY42" s="403" t="s">
        <v>10243</v>
      </c>
      <c r="CZ42" s="403"/>
      <c r="DA42" s="403"/>
      <c r="DB42" s="403"/>
      <c r="DC42" s="403"/>
      <c r="DD42" s="403"/>
      <c r="DE42" s="403"/>
      <c r="DF42" s="403"/>
      <c r="DG42" s="403"/>
      <c r="DH42" s="403"/>
      <c r="DI42" s="403"/>
      <c r="DJ42" s="403"/>
      <c r="DK42" s="403"/>
      <c r="DL42" s="403"/>
      <c r="DM42" s="403"/>
      <c r="DN42" s="403"/>
      <c r="DO42" s="403"/>
      <c r="DP42" s="403"/>
      <c r="DQ42" s="403"/>
      <c r="DR42" s="403" t="s">
        <v>10251</v>
      </c>
      <c r="DS42" s="403"/>
      <c r="DT42" s="403"/>
      <c r="DU42" s="403"/>
      <c r="DV42" s="403"/>
      <c r="DW42" s="403"/>
      <c r="DX42" s="403"/>
      <c r="DY42" s="403"/>
      <c r="DZ42" s="403"/>
      <c r="EA42" s="403"/>
      <c r="EB42" s="403"/>
      <c r="EC42" s="403"/>
      <c r="ED42" s="403"/>
      <c r="EE42" s="403"/>
      <c r="EF42" s="403"/>
      <c r="EG42" s="403"/>
      <c r="EH42" s="403"/>
      <c r="EI42" s="403"/>
      <c r="EJ42" s="403"/>
      <c r="EK42" s="403" t="s">
        <v>10257</v>
      </c>
      <c r="EL42" s="403"/>
      <c r="EM42" s="403"/>
      <c r="EN42" s="403"/>
      <c r="EO42" s="403"/>
      <c r="EP42" s="403"/>
      <c r="EQ42" s="403"/>
      <c r="ER42" s="403"/>
      <c r="ES42" s="403"/>
    </row>
    <row r="43" spans="1:149" s="150" customFormat="1" x14ac:dyDescent="0.2">
      <c r="B43" s="5" t="str">
        <f ca="1">IF(OFFSET(T43,0,Lang_Order*Lang__B3)="","",OFFSET(T43,0,Lang_Order*Lang__B3))</f>
        <v>Room temperature</v>
      </c>
      <c r="D43" s="181"/>
      <c r="E43" s="181"/>
      <c r="F43" s="181"/>
      <c r="G43" s="181"/>
      <c r="H43" s="181"/>
      <c r="I43" s="184" t="e">
        <f>SUMPRODUCT($E$31:$E$34,I$31:I$34)</f>
        <v>#N/A</v>
      </c>
      <c r="J43" s="184" t="e">
        <f t="shared" ref="J43:N43" si="22">SUMPRODUCT($E$31:$E$34,J$31:J$34)</f>
        <v>#N/A</v>
      </c>
      <c r="K43" s="184" t="e">
        <f t="shared" si="22"/>
        <v>#N/A</v>
      </c>
      <c r="L43" s="184" t="e">
        <f t="shared" si="22"/>
        <v>#N/A</v>
      </c>
      <c r="M43" s="184" t="e">
        <f t="shared" si="22"/>
        <v>#N/A</v>
      </c>
      <c r="N43" s="184" t="e">
        <f t="shared" si="22"/>
        <v>#N/A</v>
      </c>
      <c r="O43" s="108" t="e">
        <f>SUM(I43:N43)</f>
        <v>#N/A</v>
      </c>
      <c r="R43" s="403"/>
      <c r="S43" s="403"/>
      <c r="T43" s="403" t="s">
        <v>10</v>
      </c>
      <c r="U43" s="403"/>
      <c r="V43" s="403"/>
      <c r="W43" s="403"/>
      <c r="X43" s="403"/>
      <c r="Y43" s="403"/>
      <c r="Z43" s="403"/>
      <c r="AA43" s="403"/>
      <c r="AB43" s="403"/>
      <c r="AC43" s="403"/>
      <c r="AD43" s="403"/>
      <c r="AE43" s="403"/>
      <c r="AF43" s="403"/>
      <c r="AG43" s="403"/>
      <c r="AH43" s="403"/>
      <c r="AI43" s="403"/>
      <c r="AJ43" s="403"/>
      <c r="AK43" s="403"/>
      <c r="AL43" s="403"/>
      <c r="AM43" s="403" t="s">
        <v>8371</v>
      </c>
      <c r="AN43" s="403"/>
      <c r="AO43" s="403"/>
      <c r="AP43" s="403"/>
      <c r="AQ43" s="403"/>
      <c r="AR43" s="403"/>
      <c r="AS43" s="403"/>
      <c r="AT43" s="403"/>
      <c r="AU43" s="403"/>
      <c r="AV43" s="403"/>
      <c r="AW43" s="403"/>
      <c r="AX43" s="403"/>
      <c r="AY43" s="403"/>
      <c r="AZ43" s="403"/>
      <c r="BA43" s="403"/>
      <c r="BB43" s="403"/>
      <c r="BC43" s="403"/>
      <c r="BD43" s="403"/>
      <c r="BE43" s="403"/>
      <c r="BF43" s="403" t="s">
        <v>10226</v>
      </c>
      <c r="BG43" s="403"/>
      <c r="BH43" s="403"/>
      <c r="BI43" s="403"/>
      <c r="BJ43" s="403"/>
      <c r="BK43" s="403"/>
      <c r="BL43" s="403"/>
      <c r="BM43" s="403"/>
      <c r="BN43" s="403"/>
      <c r="BO43" s="403"/>
      <c r="BP43" s="403"/>
      <c r="BQ43" s="403"/>
      <c r="BR43" s="403"/>
      <c r="BS43" s="403"/>
      <c r="BT43" s="403"/>
      <c r="BU43" s="403"/>
      <c r="BV43" s="403"/>
      <c r="BW43" s="403"/>
      <c r="BX43" s="403"/>
      <c r="BY43" s="403" t="s">
        <v>8375</v>
      </c>
      <c r="BZ43" s="403"/>
      <c r="CA43" s="403"/>
      <c r="CB43" s="403"/>
      <c r="CC43" s="403"/>
      <c r="CD43" s="403"/>
      <c r="CE43" s="403"/>
      <c r="CF43" s="403"/>
      <c r="CG43" s="403"/>
      <c r="CH43" s="403"/>
      <c r="CI43" s="403"/>
      <c r="CJ43" s="403"/>
      <c r="CK43" s="403"/>
      <c r="CL43" s="403"/>
      <c r="CM43" s="403"/>
      <c r="CN43" s="403"/>
      <c r="CO43" s="403"/>
      <c r="CP43" s="403"/>
      <c r="CQ43" s="403"/>
      <c r="CR43" s="403" t="s">
        <v>8375</v>
      </c>
      <c r="CS43" s="403"/>
      <c r="CT43" s="403"/>
      <c r="CU43" s="403"/>
      <c r="CV43" s="403"/>
      <c r="CW43" s="403"/>
      <c r="CX43" s="403"/>
      <c r="CY43" s="403"/>
      <c r="CZ43" s="403"/>
      <c r="DA43" s="403"/>
      <c r="DB43" s="403"/>
      <c r="DC43" s="403"/>
      <c r="DD43" s="403"/>
      <c r="DE43" s="403"/>
      <c r="DF43" s="403"/>
      <c r="DG43" s="403"/>
      <c r="DH43" s="403"/>
      <c r="DI43" s="403"/>
      <c r="DJ43" s="403"/>
      <c r="DK43" s="403" t="s">
        <v>8378</v>
      </c>
      <c r="DL43" s="403"/>
      <c r="DM43" s="403"/>
      <c r="DN43" s="403"/>
      <c r="DO43" s="403"/>
      <c r="DP43" s="403"/>
      <c r="DQ43" s="403"/>
      <c r="DR43" s="403"/>
      <c r="DS43" s="403"/>
      <c r="DT43" s="403"/>
      <c r="DU43" s="403"/>
      <c r="DV43" s="403"/>
      <c r="DW43" s="403"/>
      <c r="DX43" s="403"/>
      <c r="DY43" s="403"/>
      <c r="DZ43" s="403"/>
      <c r="EA43" s="403"/>
      <c r="EB43" s="403"/>
      <c r="EC43" s="403"/>
      <c r="ED43" s="403" t="s">
        <v>10256</v>
      </c>
      <c r="EE43" s="403"/>
      <c r="EF43" s="403"/>
      <c r="EG43" s="403"/>
      <c r="EH43" s="403"/>
      <c r="EI43" s="403"/>
      <c r="EJ43" s="403"/>
      <c r="EK43" s="403"/>
      <c r="EL43" s="403"/>
      <c r="EM43" s="403"/>
      <c r="EN43" s="403"/>
      <c r="EO43" s="403"/>
      <c r="EP43" s="403"/>
      <c r="EQ43" s="403"/>
      <c r="ER43" s="403"/>
      <c r="ES43" s="403"/>
    </row>
    <row r="44" spans="1:149" s="150" customFormat="1" x14ac:dyDescent="0.2">
      <c r="B44" s="5" t="str">
        <f ca="1">IF(OFFSET(T44,0,Lang_Order*Lang__B3)="","",OFFSET(T44,0,Lang_Order*Lang__B3))</f>
        <v>Refrigerated (2 to 8C)</v>
      </c>
      <c r="D44" s="181"/>
      <c r="E44" s="181"/>
      <c r="F44" s="181"/>
      <c r="G44" s="181"/>
      <c r="H44" s="181"/>
      <c r="I44" s="184" t="e">
        <f>SUMPRODUCT($F$31:$F$34,I$31:I$34)</f>
        <v>#N/A</v>
      </c>
      <c r="J44" s="184" t="e">
        <f t="shared" ref="J44:N44" si="23">SUMPRODUCT($F$31:$F$34,J$31:J$34)</f>
        <v>#N/A</v>
      </c>
      <c r="K44" s="184" t="e">
        <f t="shared" si="23"/>
        <v>#N/A</v>
      </c>
      <c r="L44" s="184" t="e">
        <f t="shared" si="23"/>
        <v>#N/A</v>
      </c>
      <c r="M44" s="184" t="e">
        <f t="shared" si="23"/>
        <v>#N/A</v>
      </c>
      <c r="N44" s="184" t="e">
        <f t="shared" si="23"/>
        <v>#N/A</v>
      </c>
      <c r="O44" s="108" t="e">
        <f t="shared" ref="O44:O46" si="24">SUM(I44:N44)</f>
        <v>#N/A</v>
      </c>
      <c r="R44" s="403"/>
      <c r="S44" s="403"/>
      <c r="T44" s="403" t="s">
        <v>11</v>
      </c>
      <c r="U44" s="403"/>
      <c r="V44" s="403"/>
      <c r="W44" s="403"/>
      <c r="X44" s="403"/>
      <c r="Y44" s="403"/>
      <c r="Z44" s="403"/>
      <c r="AA44" s="403"/>
      <c r="AB44" s="403"/>
      <c r="AC44" s="403"/>
      <c r="AD44" s="403"/>
      <c r="AE44" s="403"/>
      <c r="AF44" s="403"/>
      <c r="AG44" s="403"/>
      <c r="AH44" s="403"/>
      <c r="AI44" s="403"/>
      <c r="AJ44" s="403"/>
      <c r="AK44" s="403"/>
      <c r="AL44" s="403"/>
      <c r="AM44" s="403" t="s">
        <v>10219</v>
      </c>
      <c r="AN44" s="403"/>
      <c r="AO44" s="403"/>
      <c r="AP44" s="403"/>
      <c r="AQ44" s="403"/>
      <c r="AR44" s="403"/>
      <c r="AS44" s="403"/>
      <c r="AT44" s="403"/>
      <c r="AU44" s="403"/>
      <c r="AV44" s="403"/>
      <c r="AW44" s="403"/>
      <c r="AX44" s="403"/>
      <c r="AY44" s="403"/>
      <c r="AZ44" s="403"/>
      <c r="BA44" s="403"/>
      <c r="BB44" s="403"/>
      <c r="BC44" s="403"/>
      <c r="BD44" s="403"/>
      <c r="BE44" s="403"/>
      <c r="BF44" s="403" t="s">
        <v>10227</v>
      </c>
      <c r="BG44" s="403"/>
      <c r="BH44" s="403"/>
      <c r="BI44" s="403"/>
      <c r="BJ44" s="403"/>
      <c r="BK44" s="403"/>
      <c r="BL44" s="403"/>
      <c r="BM44" s="403"/>
      <c r="BN44" s="403"/>
      <c r="BO44" s="403"/>
      <c r="BP44" s="403"/>
      <c r="BQ44" s="403"/>
      <c r="BR44" s="403"/>
      <c r="BS44" s="403"/>
      <c r="BT44" s="403"/>
      <c r="BU44" s="403"/>
      <c r="BV44" s="403"/>
      <c r="BW44" s="403"/>
      <c r="BX44" s="403"/>
      <c r="BY44" s="403" t="s">
        <v>10235</v>
      </c>
      <c r="BZ44" s="403"/>
      <c r="CA44" s="403"/>
      <c r="CB44" s="403"/>
      <c r="CC44" s="403"/>
      <c r="CD44" s="403"/>
      <c r="CE44" s="403"/>
      <c r="CF44" s="403"/>
      <c r="CG44" s="403"/>
      <c r="CH44" s="403"/>
      <c r="CI44" s="403"/>
      <c r="CJ44" s="403"/>
      <c r="CK44" s="403"/>
      <c r="CL44" s="403"/>
      <c r="CM44" s="403"/>
      <c r="CN44" s="403"/>
      <c r="CO44" s="403"/>
      <c r="CP44" s="403"/>
      <c r="CQ44" s="403"/>
      <c r="CR44" s="403" t="s">
        <v>8384</v>
      </c>
      <c r="CS44" s="403"/>
      <c r="CT44" s="403"/>
      <c r="CU44" s="403"/>
      <c r="CV44" s="403"/>
      <c r="CW44" s="403"/>
      <c r="CX44" s="403"/>
      <c r="CY44" s="403"/>
      <c r="CZ44" s="403"/>
      <c r="DA44" s="403"/>
      <c r="DB44" s="403"/>
      <c r="DC44" s="403"/>
      <c r="DD44" s="403"/>
      <c r="DE44" s="403"/>
      <c r="DF44" s="403"/>
      <c r="DG44" s="403"/>
      <c r="DH44" s="403"/>
      <c r="DI44" s="403"/>
      <c r="DJ44" s="403"/>
      <c r="DK44" s="403" t="s">
        <v>10248</v>
      </c>
      <c r="DL44" s="403"/>
      <c r="DM44" s="403"/>
      <c r="DN44" s="403"/>
      <c r="DO44" s="403"/>
      <c r="DP44" s="403"/>
      <c r="DQ44" s="403"/>
      <c r="DR44" s="403"/>
      <c r="DS44" s="403"/>
      <c r="DT44" s="403"/>
      <c r="DU44" s="403"/>
      <c r="DV44" s="403"/>
      <c r="DW44" s="403"/>
      <c r="DX44" s="403"/>
      <c r="DY44" s="403"/>
      <c r="DZ44" s="403"/>
      <c r="EA44" s="403"/>
      <c r="EB44" s="403"/>
      <c r="EC44" s="403"/>
      <c r="ED44" s="403" t="s">
        <v>8387</v>
      </c>
      <c r="EE44" s="403"/>
      <c r="EF44" s="403"/>
      <c r="EG44" s="403"/>
      <c r="EH44" s="403"/>
      <c r="EI44" s="403"/>
      <c r="EJ44" s="403"/>
      <c r="EK44" s="403"/>
      <c r="EL44" s="403"/>
      <c r="EM44" s="403"/>
      <c r="EN44" s="403"/>
      <c r="EO44" s="403"/>
      <c r="EP44" s="403"/>
      <c r="EQ44" s="403"/>
      <c r="ER44" s="403"/>
      <c r="ES44" s="403"/>
    </row>
    <row r="45" spans="1:149" s="150" customFormat="1" x14ac:dyDescent="0.2">
      <c r="B45" s="5" t="str">
        <f ca="1">IF(OFFSET(T45,0,Lang_Order*Lang__B3)="","",OFFSET(T45,0,Lang_Order*Lang__B3))</f>
        <v>Frozen (-20C)</v>
      </c>
      <c r="D45" s="181"/>
      <c r="E45" s="181"/>
      <c r="F45" s="181"/>
      <c r="G45" s="181"/>
      <c r="H45" s="181"/>
      <c r="I45" s="184" t="e">
        <f>SUMPRODUCT($G$31:$G$34,I$31:I$34)</f>
        <v>#N/A</v>
      </c>
      <c r="J45" s="184" t="e">
        <f t="shared" ref="J45:N45" si="25">SUMPRODUCT($G$31:$G$34,J$31:J$34)</f>
        <v>#N/A</v>
      </c>
      <c r="K45" s="184" t="e">
        <f t="shared" si="25"/>
        <v>#N/A</v>
      </c>
      <c r="L45" s="184" t="e">
        <f t="shared" si="25"/>
        <v>#N/A</v>
      </c>
      <c r="M45" s="184" t="e">
        <f t="shared" si="25"/>
        <v>#N/A</v>
      </c>
      <c r="N45" s="184" t="e">
        <f t="shared" si="25"/>
        <v>#N/A</v>
      </c>
      <c r="O45" s="108" t="e">
        <f t="shared" si="24"/>
        <v>#N/A</v>
      </c>
      <c r="R45" s="403"/>
      <c r="S45" s="403"/>
      <c r="T45" s="403" t="s">
        <v>12</v>
      </c>
      <c r="U45" s="403"/>
      <c r="V45" s="403"/>
      <c r="W45" s="403"/>
      <c r="X45" s="403"/>
      <c r="Y45" s="403"/>
      <c r="Z45" s="403"/>
      <c r="AA45" s="403"/>
      <c r="AB45" s="403"/>
      <c r="AC45" s="403"/>
      <c r="AD45" s="403"/>
      <c r="AE45" s="403"/>
      <c r="AF45" s="403"/>
      <c r="AG45" s="403"/>
      <c r="AH45" s="403"/>
      <c r="AI45" s="403"/>
      <c r="AJ45" s="403"/>
      <c r="AK45" s="403"/>
      <c r="AL45" s="403"/>
      <c r="AM45" s="403" t="s">
        <v>10220</v>
      </c>
      <c r="AN45" s="403"/>
      <c r="AO45" s="403"/>
      <c r="AP45" s="403"/>
      <c r="AQ45" s="403"/>
      <c r="AR45" s="403"/>
      <c r="AS45" s="403"/>
      <c r="AT45" s="403"/>
      <c r="AU45" s="403"/>
      <c r="AV45" s="403"/>
      <c r="AW45" s="403"/>
      <c r="AX45" s="403"/>
      <c r="AY45" s="403"/>
      <c r="AZ45" s="403"/>
      <c r="BA45" s="403"/>
      <c r="BB45" s="403"/>
      <c r="BC45" s="403"/>
      <c r="BD45" s="403"/>
      <c r="BE45" s="403"/>
      <c r="BF45" s="403" t="s">
        <v>10228</v>
      </c>
      <c r="BG45" s="403"/>
      <c r="BH45" s="403"/>
      <c r="BI45" s="403"/>
      <c r="BJ45" s="403"/>
      <c r="BK45" s="403"/>
      <c r="BL45" s="403"/>
      <c r="BM45" s="403"/>
      <c r="BN45" s="403"/>
      <c r="BO45" s="403"/>
      <c r="BP45" s="403"/>
      <c r="BQ45" s="403"/>
      <c r="BR45" s="403"/>
      <c r="BS45" s="403"/>
      <c r="BT45" s="403"/>
      <c r="BU45" s="403"/>
      <c r="BV45" s="403"/>
      <c r="BW45" s="403"/>
      <c r="BX45" s="403"/>
      <c r="BY45" s="403" t="s">
        <v>10236</v>
      </c>
      <c r="BZ45" s="403"/>
      <c r="CA45" s="403"/>
      <c r="CB45" s="403"/>
      <c r="CC45" s="403"/>
      <c r="CD45" s="403"/>
      <c r="CE45" s="403"/>
      <c r="CF45" s="403"/>
      <c r="CG45" s="403"/>
      <c r="CH45" s="403"/>
      <c r="CI45" s="403"/>
      <c r="CJ45" s="403"/>
      <c r="CK45" s="403"/>
      <c r="CL45" s="403"/>
      <c r="CM45" s="403"/>
      <c r="CN45" s="403"/>
      <c r="CO45" s="403"/>
      <c r="CP45" s="403"/>
      <c r="CQ45" s="403"/>
      <c r="CR45" s="403" t="s">
        <v>8391</v>
      </c>
      <c r="CS45" s="403"/>
      <c r="CT45" s="403"/>
      <c r="CU45" s="403"/>
      <c r="CV45" s="403"/>
      <c r="CW45" s="403"/>
      <c r="CX45" s="403"/>
      <c r="CY45" s="403"/>
      <c r="CZ45" s="403"/>
      <c r="DA45" s="403"/>
      <c r="DB45" s="403"/>
      <c r="DC45" s="403"/>
      <c r="DD45" s="403"/>
      <c r="DE45" s="403"/>
      <c r="DF45" s="403"/>
      <c r="DG45" s="403"/>
      <c r="DH45" s="403"/>
      <c r="DI45" s="403"/>
      <c r="DJ45" s="403"/>
      <c r="DK45" s="403" t="s">
        <v>10249</v>
      </c>
      <c r="DL45" s="403"/>
      <c r="DM45" s="403"/>
      <c r="DN45" s="403"/>
      <c r="DO45" s="403"/>
      <c r="DP45" s="403"/>
      <c r="DQ45" s="403"/>
      <c r="DR45" s="403"/>
      <c r="DS45" s="403"/>
      <c r="DT45" s="403"/>
      <c r="DU45" s="403"/>
      <c r="DV45" s="403"/>
      <c r="DW45" s="403"/>
      <c r="DX45" s="403"/>
      <c r="DY45" s="403"/>
      <c r="DZ45" s="403"/>
      <c r="EA45" s="403"/>
      <c r="EB45" s="403"/>
      <c r="EC45" s="403"/>
      <c r="ED45" s="403" t="s">
        <v>8393</v>
      </c>
      <c r="EE45" s="403"/>
      <c r="EF45" s="403"/>
      <c r="EG45" s="403"/>
      <c r="EH45" s="403"/>
      <c r="EI45" s="403"/>
      <c r="EJ45" s="403"/>
      <c r="EK45" s="403"/>
      <c r="EL45" s="403"/>
      <c r="EM45" s="403"/>
      <c r="EN45" s="403"/>
      <c r="EO45" s="403"/>
      <c r="EP45" s="403"/>
      <c r="EQ45" s="403"/>
      <c r="ER45" s="403"/>
      <c r="ES45" s="403"/>
    </row>
    <row r="46" spans="1:149" s="150" customFormat="1" x14ac:dyDescent="0.2">
      <c r="B46" s="5" t="str">
        <f ca="1">IF(OFFSET(T46,0,Lang_Order*Lang__B3)="","",OFFSET(T46,0,Lang_Order*Lang__B3))</f>
        <v>Ultra-cold (-60 to -80C)</v>
      </c>
      <c r="D46" s="181"/>
      <c r="E46" s="181"/>
      <c r="F46" s="181"/>
      <c r="G46" s="181"/>
      <c r="H46" s="181"/>
      <c r="I46" s="184" t="e">
        <f>SUMPRODUCT($H$31:$H$34,I$31:I$34)</f>
        <v>#N/A</v>
      </c>
      <c r="J46" s="184" t="e">
        <f t="shared" ref="J46:N46" si="26">SUMPRODUCT($H$31:$H$34,J$31:J$34)</f>
        <v>#N/A</v>
      </c>
      <c r="K46" s="184" t="e">
        <f t="shared" si="26"/>
        <v>#N/A</v>
      </c>
      <c r="L46" s="184" t="e">
        <f t="shared" si="26"/>
        <v>#N/A</v>
      </c>
      <c r="M46" s="184" t="e">
        <f t="shared" si="26"/>
        <v>#N/A</v>
      </c>
      <c r="N46" s="184" t="e">
        <f t="shared" si="26"/>
        <v>#N/A</v>
      </c>
      <c r="O46" s="108" t="e">
        <f t="shared" si="24"/>
        <v>#N/A</v>
      </c>
      <c r="Q46" s="47" t="str">
        <f ca="1">IF(OFFSET(AI46,0,Lang_Order*Lang__B3)="","",OFFSET(AI46,0,Lang_Order*Lang__B3))</f>
        <v>No costing information for this as ultracold services limited in availability</v>
      </c>
      <c r="R46" s="403"/>
      <c r="S46" s="403"/>
      <c r="T46" s="403" t="s">
        <v>13</v>
      </c>
      <c r="U46" s="403"/>
      <c r="V46" s="403"/>
      <c r="W46" s="403"/>
      <c r="X46" s="403"/>
      <c r="Y46" s="403"/>
      <c r="Z46" s="403"/>
      <c r="AA46" s="403"/>
      <c r="AB46" s="403"/>
      <c r="AC46" s="403"/>
      <c r="AD46" s="403"/>
      <c r="AE46" s="403"/>
      <c r="AF46" s="403"/>
      <c r="AG46" s="403"/>
      <c r="AH46" s="403"/>
      <c r="AI46" s="403" t="s">
        <v>2765</v>
      </c>
      <c r="AJ46" s="403"/>
      <c r="AK46" s="403"/>
      <c r="AL46" s="403"/>
      <c r="AM46" s="403" t="s">
        <v>8394</v>
      </c>
      <c r="AN46" s="403"/>
      <c r="AO46" s="403"/>
      <c r="AP46" s="403"/>
      <c r="AQ46" s="403"/>
      <c r="AR46" s="403"/>
      <c r="AS46" s="403"/>
      <c r="AT46" s="403"/>
      <c r="AU46" s="403"/>
      <c r="AV46" s="403"/>
      <c r="AW46" s="403"/>
      <c r="AX46" s="403"/>
      <c r="AY46" s="403"/>
      <c r="AZ46" s="403"/>
      <c r="BA46" s="403"/>
      <c r="BB46" s="403" t="s">
        <v>10272</v>
      </c>
      <c r="BC46" s="403"/>
      <c r="BD46" s="403"/>
      <c r="BE46" s="403"/>
      <c r="BF46" s="403" t="s">
        <v>10229</v>
      </c>
      <c r="BG46" s="403"/>
      <c r="BH46" s="403"/>
      <c r="BI46" s="403"/>
      <c r="BJ46" s="403"/>
      <c r="BK46" s="403"/>
      <c r="BL46" s="403"/>
      <c r="BM46" s="403"/>
      <c r="BN46" s="403"/>
      <c r="BO46" s="403"/>
      <c r="BP46" s="403"/>
      <c r="BQ46" s="403"/>
      <c r="BR46" s="403"/>
      <c r="BS46" s="403"/>
      <c r="BT46" s="403"/>
      <c r="BU46" s="403" t="s">
        <v>10273</v>
      </c>
      <c r="BV46" s="403"/>
      <c r="BW46" s="403"/>
      <c r="BX46" s="403"/>
      <c r="BY46" s="403" t="s">
        <v>10237</v>
      </c>
      <c r="BZ46" s="403"/>
      <c r="CA46" s="403"/>
      <c r="CB46" s="403"/>
      <c r="CC46" s="403"/>
      <c r="CD46" s="403"/>
      <c r="CE46" s="403"/>
      <c r="CF46" s="403"/>
      <c r="CG46" s="403"/>
      <c r="CH46" s="403"/>
      <c r="CI46" s="403"/>
      <c r="CJ46" s="403"/>
      <c r="CK46" s="403"/>
      <c r="CL46" s="403"/>
      <c r="CM46" s="403"/>
      <c r="CN46" s="403" t="s">
        <v>10274</v>
      </c>
      <c r="CO46" s="403"/>
      <c r="CP46" s="403"/>
      <c r="CQ46" s="403"/>
      <c r="CR46" s="403" t="s">
        <v>8400</v>
      </c>
      <c r="CS46" s="403"/>
      <c r="CT46" s="403"/>
      <c r="CU46" s="403"/>
      <c r="CV46" s="403"/>
      <c r="CW46" s="403"/>
      <c r="CX46" s="403"/>
      <c r="CY46" s="403"/>
      <c r="CZ46" s="403"/>
      <c r="DA46" s="403"/>
      <c r="DB46" s="403"/>
      <c r="DC46" s="403"/>
      <c r="DD46" s="403"/>
      <c r="DE46" s="403"/>
      <c r="DF46" s="403"/>
      <c r="DG46" s="403" t="s">
        <v>10275</v>
      </c>
      <c r="DH46" s="403"/>
      <c r="DI46" s="403"/>
      <c r="DJ46" s="403"/>
      <c r="DK46" s="403" t="s">
        <v>10250</v>
      </c>
      <c r="DL46" s="403"/>
      <c r="DM46" s="403"/>
      <c r="DN46" s="403"/>
      <c r="DO46" s="403"/>
      <c r="DP46" s="403"/>
      <c r="DQ46" s="403"/>
      <c r="DR46" s="403"/>
      <c r="DS46" s="403"/>
      <c r="DT46" s="403"/>
      <c r="DU46" s="403"/>
      <c r="DV46" s="403"/>
      <c r="DW46" s="403"/>
      <c r="DX46" s="403"/>
      <c r="DY46" s="403"/>
      <c r="DZ46" s="403" t="s">
        <v>10276</v>
      </c>
      <c r="EA46" s="403"/>
      <c r="EB46" s="403"/>
      <c r="EC46" s="403"/>
      <c r="ED46" s="403" t="s">
        <v>8404</v>
      </c>
      <c r="EE46" s="403"/>
      <c r="EF46" s="403"/>
      <c r="EG46" s="403"/>
      <c r="EH46" s="403"/>
      <c r="EI46" s="403"/>
      <c r="EJ46" s="403"/>
      <c r="EK46" s="403"/>
      <c r="EL46" s="403"/>
      <c r="EM46" s="403"/>
      <c r="EN46" s="403"/>
      <c r="EO46" s="403"/>
      <c r="EP46" s="403"/>
      <c r="EQ46" s="403"/>
      <c r="ER46" s="403"/>
      <c r="ES46" s="403" t="s">
        <v>10277</v>
      </c>
    </row>
    <row r="47" spans="1:149" s="150" customFormat="1" x14ac:dyDescent="0.2">
      <c r="B47" s="5"/>
      <c r="D47" s="181"/>
      <c r="E47" s="181"/>
      <c r="F47" s="181"/>
      <c r="G47" s="181"/>
      <c r="H47" s="181"/>
      <c r="I47" s="108" t="e">
        <f t="shared" ref="I47" si="27">SUM(I43:I46)</f>
        <v>#N/A</v>
      </c>
      <c r="J47" s="108" t="e">
        <f t="shared" ref="J47" si="28">SUM(J43:J46)</f>
        <v>#N/A</v>
      </c>
      <c r="K47" s="108" t="e">
        <f t="shared" ref="K47" si="29">SUM(K43:K46)</f>
        <v>#N/A</v>
      </c>
      <c r="L47" s="108" t="e">
        <f t="shared" ref="L47" si="30">SUM(L43:L46)</f>
        <v>#N/A</v>
      </c>
      <c r="M47" s="108" t="e">
        <f t="shared" ref="M47" si="31">SUM(M43:M46)</f>
        <v>#N/A</v>
      </c>
      <c r="N47" s="108" t="e">
        <f t="shared" ref="N47" si="32">SUM(N43:N46)</f>
        <v>#N/A</v>
      </c>
      <c r="O47" s="108" t="e">
        <f t="shared" ref="O47" si="33">SUM(O43:O46)</f>
        <v>#N/A</v>
      </c>
      <c r="R47" s="403"/>
      <c r="S47" s="403"/>
      <c r="T47" s="403"/>
      <c r="U47" s="403"/>
      <c r="V47" s="403"/>
      <c r="W47" s="403"/>
      <c r="X47" s="403"/>
      <c r="Y47" s="403"/>
      <c r="Z47" s="403"/>
      <c r="AA47" s="403"/>
      <c r="AB47" s="403"/>
      <c r="AC47" s="403"/>
      <c r="AD47" s="403"/>
      <c r="AE47" s="403"/>
      <c r="AF47" s="403"/>
      <c r="AG47" s="403"/>
      <c r="AH47" s="403"/>
      <c r="AI47" s="403"/>
      <c r="AJ47" s="403"/>
      <c r="AK47" s="403"/>
      <c r="AL47" s="403"/>
      <c r="AM47" s="403"/>
      <c r="AN47" s="403"/>
      <c r="AO47" s="403"/>
      <c r="AP47" s="403"/>
      <c r="AQ47" s="403"/>
      <c r="AR47" s="403"/>
      <c r="AS47" s="403"/>
      <c r="AT47" s="403"/>
      <c r="AU47" s="403"/>
      <c r="AV47" s="403"/>
      <c r="AW47" s="403"/>
      <c r="AX47" s="403"/>
      <c r="AY47" s="403"/>
      <c r="AZ47" s="403"/>
      <c r="BA47" s="403"/>
      <c r="BB47" s="403"/>
      <c r="BC47" s="403"/>
      <c r="BD47" s="403"/>
      <c r="BE47" s="403"/>
      <c r="BF47" s="403"/>
      <c r="BG47" s="403"/>
      <c r="BH47" s="403"/>
      <c r="BI47" s="403"/>
      <c r="BJ47" s="403"/>
      <c r="BK47" s="403"/>
      <c r="BL47" s="403"/>
      <c r="BM47" s="403"/>
      <c r="BN47" s="403"/>
      <c r="BO47" s="403"/>
      <c r="BP47" s="403"/>
      <c r="BQ47" s="403"/>
      <c r="BR47" s="403"/>
      <c r="BS47" s="403"/>
      <c r="BT47" s="403"/>
      <c r="BU47" s="403"/>
      <c r="BV47" s="403"/>
      <c r="BW47" s="403"/>
      <c r="BX47" s="403"/>
      <c r="BY47" s="403"/>
      <c r="BZ47" s="403"/>
      <c r="CA47" s="403"/>
      <c r="CB47" s="403"/>
      <c r="CC47" s="403"/>
      <c r="CD47" s="403"/>
      <c r="CE47" s="403"/>
      <c r="CF47" s="403"/>
      <c r="CG47" s="403"/>
      <c r="CH47" s="403"/>
      <c r="CI47" s="403"/>
      <c r="CJ47" s="403"/>
      <c r="CK47" s="403"/>
      <c r="CL47" s="403"/>
      <c r="CM47" s="403"/>
      <c r="CN47" s="403"/>
      <c r="CO47" s="403"/>
      <c r="CP47" s="403"/>
      <c r="CQ47" s="403"/>
      <c r="CR47" s="403"/>
      <c r="CS47" s="403"/>
      <c r="CT47" s="403"/>
      <c r="CU47" s="403"/>
      <c r="CV47" s="403"/>
      <c r="CW47" s="403"/>
      <c r="CX47" s="403"/>
      <c r="CY47" s="403"/>
      <c r="CZ47" s="403"/>
      <c r="DA47" s="403"/>
      <c r="DB47" s="403"/>
      <c r="DC47" s="403"/>
      <c r="DD47" s="403"/>
      <c r="DE47" s="403"/>
      <c r="DF47" s="403"/>
      <c r="DG47" s="403"/>
      <c r="DH47" s="403"/>
      <c r="DI47" s="403"/>
      <c r="DJ47" s="403"/>
      <c r="DK47" s="403"/>
      <c r="DL47" s="403"/>
      <c r="DM47" s="403"/>
      <c r="DN47" s="403"/>
      <c r="DO47" s="403"/>
      <c r="DP47" s="403"/>
      <c r="DQ47" s="403"/>
      <c r="DR47" s="403"/>
      <c r="DS47" s="403"/>
      <c r="DT47" s="403"/>
      <c r="DU47" s="403"/>
      <c r="DV47" s="403"/>
      <c r="DW47" s="403"/>
      <c r="DX47" s="403"/>
      <c r="DY47" s="403"/>
      <c r="DZ47" s="403"/>
      <c r="EA47" s="403"/>
      <c r="EB47" s="403"/>
      <c r="EC47" s="403"/>
      <c r="ED47" s="403"/>
      <c r="EE47" s="403"/>
      <c r="EF47" s="403"/>
      <c r="EG47" s="403"/>
      <c r="EH47" s="403"/>
      <c r="EI47" s="403"/>
      <c r="EJ47" s="403"/>
      <c r="EK47" s="403"/>
      <c r="EL47" s="403"/>
      <c r="EM47" s="403"/>
      <c r="EN47" s="403"/>
      <c r="EO47" s="403"/>
      <c r="EP47" s="403"/>
      <c r="EQ47" s="403"/>
      <c r="ER47" s="403"/>
      <c r="ES47" s="403"/>
    </row>
    <row r="48" spans="1:149" s="181" customFormat="1" ht="15" x14ac:dyDescent="0.25">
      <c r="B48" s="5"/>
      <c r="I48" s="33" t="str">
        <f ca="1">IF(OFFSET(AA48,0,Lang_Order*Lang__B3)="","",OFFSET(AA48,0,Lang_Order*Lang__B3))</f>
        <v>Number of parcel sized containers</v>
      </c>
      <c r="J48" s="33"/>
      <c r="K48" s="33"/>
      <c r="L48" s="33"/>
      <c r="M48" s="33"/>
      <c r="N48" s="33"/>
      <c r="O48" s="180"/>
      <c r="R48" s="403"/>
      <c r="S48" s="403"/>
      <c r="T48" s="403"/>
      <c r="U48" s="403"/>
      <c r="V48" s="403"/>
      <c r="W48" s="403"/>
      <c r="X48" s="403"/>
      <c r="Y48" s="403"/>
      <c r="Z48" s="403"/>
      <c r="AA48" s="403" t="s">
        <v>2764</v>
      </c>
      <c r="AB48" s="403"/>
      <c r="AC48" s="403"/>
      <c r="AD48" s="403"/>
      <c r="AE48" s="403"/>
      <c r="AF48" s="403"/>
      <c r="AG48" s="403"/>
      <c r="AH48" s="403"/>
      <c r="AI48" s="403"/>
      <c r="AJ48" s="403"/>
      <c r="AK48" s="403"/>
      <c r="AL48" s="403"/>
      <c r="AM48" s="403"/>
      <c r="AN48" s="403"/>
      <c r="AO48" s="403"/>
      <c r="AP48" s="403"/>
      <c r="AQ48" s="403"/>
      <c r="AR48" s="403"/>
      <c r="AS48" s="403"/>
      <c r="AT48" s="403" t="s">
        <v>10260</v>
      </c>
      <c r="AU48" s="403"/>
      <c r="AV48" s="403"/>
      <c r="AW48" s="403"/>
      <c r="AX48" s="403"/>
      <c r="AY48" s="403"/>
      <c r="AZ48" s="403"/>
      <c r="BA48" s="403"/>
      <c r="BB48" s="403"/>
      <c r="BC48" s="403"/>
      <c r="BD48" s="403"/>
      <c r="BE48" s="403"/>
      <c r="BF48" s="403"/>
      <c r="BG48" s="403"/>
      <c r="BH48" s="403"/>
      <c r="BI48" s="403"/>
      <c r="BJ48" s="403"/>
      <c r="BK48" s="403"/>
      <c r="BL48" s="403"/>
      <c r="BM48" s="403" t="s">
        <v>10262</v>
      </c>
      <c r="BN48" s="403"/>
      <c r="BO48" s="403"/>
      <c r="BP48" s="403"/>
      <c r="BQ48" s="403"/>
      <c r="BR48" s="403"/>
      <c r="BS48" s="403"/>
      <c r="BT48" s="403"/>
      <c r="BU48" s="403"/>
      <c r="BV48" s="403"/>
      <c r="BW48" s="403"/>
      <c r="BX48" s="403"/>
      <c r="BY48" s="403"/>
      <c r="BZ48" s="403"/>
      <c r="CA48" s="403"/>
      <c r="CB48" s="403"/>
      <c r="CC48" s="403"/>
      <c r="CD48" s="403"/>
      <c r="CE48" s="403"/>
      <c r="CF48" s="403" t="s">
        <v>10264</v>
      </c>
      <c r="CG48" s="403"/>
      <c r="CH48" s="403"/>
      <c r="CI48" s="403"/>
      <c r="CJ48" s="403"/>
      <c r="CK48" s="403"/>
      <c r="CL48" s="403"/>
      <c r="CM48" s="403"/>
      <c r="CN48" s="403"/>
      <c r="CO48" s="403"/>
      <c r="CP48" s="403"/>
      <c r="CQ48" s="403"/>
      <c r="CR48" s="403"/>
      <c r="CS48" s="403"/>
      <c r="CT48" s="403"/>
      <c r="CU48" s="403"/>
      <c r="CV48" s="403"/>
      <c r="CW48" s="403"/>
      <c r="CX48" s="403"/>
      <c r="CY48" s="403" t="s">
        <v>10266</v>
      </c>
      <c r="CZ48" s="403"/>
      <c r="DA48" s="403"/>
      <c r="DB48" s="403"/>
      <c r="DC48" s="403"/>
      <c r="DD48" s="403"/>
      <c r="DE48" s="403"/>
      <c r="DF48" s="403"/>
      <c r="DG48" s="403"/>
      <c r="DH48" s="403"/>
      <c r="DI48" s="403"/>
      <c r="DJ48" s="403"/>
      <c r="DK48" s="403"/>
      <c r="DL48" s="403"/>
      <c r="DM48" s="403"/>
      <c r="DN48" s="403"/>
      <c r="DO48" s="403"/>
      <c r="DP48" s="403"/>
      <c r="DQ48" s="403"/>
      <c r="DR48" s="403" t="s">
        <v>10268</v>
      </c>
      <c r="DS48" s="403"/>
      <c r="DT48" s="403"/>
      <c r="DU48" s="403"/>
      <c r="DV48" s="403"/>
      <c r="DW48" s="403"/>
      <c r="DX48" s="403"/>
      <c r="DY48" s="403"/>
      <c r="DZ48" s="403"/>
      <c r="EA48" s="403"/>
      <c r="EB48" s="403"/>
      <c r="EC48" s="403"/>
      <c r="ED48" s="403"/>
      <c r="EE48" s="403"/>
      <c r="EF48" s="403"/>
      <c r="EG48" s="403"/>
      <c r="EH48" s="403"/>
      <c r="EI48" s="403"/>
      <c r="EJ48" s="403"/>
      <c r="EK48" s="403" t="s">
        <v>10270</v>
      </c>
      <c r="EL48" s="403"/>
      <c r="EM48" s="403"/>
      <c r="EN48" s="403"/>
      <c r="EO48" s="403"/>
      <c r="EP48" s="403"/>
      <c r="EQ48" s="403"/>
      <c r="ER48" s="403"/>
      <c r="ES48" s="403"/>
    </row>
    <row r="49" spans="2:149" s="181" customFormat="1" x14ac:dyDescent="0.2">
      <c r="B49" s="5" t="str">
        <f ca="1">IF(OFFSET(T49,0,Lang_Order*Lang__B3)="","",OFFSET(T49,0,Lang_Order*Lang__B3))</f>
        <v>Room temperature</v>
      </c>
      <c r="I49" s="184" t="e">
        <f t="shared" ref="I49:N49" si="34">SUMPRODUCT($E$31:$E$34,I$37:I$40)</f>
        <v>#N/A</v>
      </c>
      <c r="J49" s="184" t="e">
        <f t="shared" si="34"/>
        <v>#N/A</v>
      </c>
      <c r="K49" s="184" t="e">
        <f t="shared" si="34"/>
        <v>#N/A</v>
      </c>
      <c r="L49" s="184" t="e">
        <f t="shared" si="34"/>
        <v>#N/A</v>
      </c>
      <c r="M49" s="184" t="e">
        <f t="shared" si="34"/>
        <v>#N/A</v>
      </c>
      <c r="N49" s="184" t="e">
        <f t="shared" si="34"/>
        <v>#N/A</v>
      </c>
      <c r="O49" s="108" t="e">
        <f>SUM(I49:N49)</f>
        <v>#N/A</v>
      </c>
      <c r="R49" s="403"/>
      <c r="S49" s="403"/>
      <c r="T49" s="403" t="s">
        <v>10</v>
      </c>
      <c r="U49" s="403"/>
      <c r="V49" s="403"/>
      <c r="W49" s="403"/>
      <c r="X49" s="403"/>
      <c r="Y49" s="403"/>
      <c r="Z49" s="403"/>
      <c r="AA49" s="403"/>
      <c r="AB49" s="403"/>
      <c r="AC49" s="403"/>
      <c r="AD49" s="403"/>
      <c r="AE49" s="403"/>
      <c r="AF49" s="403"/>
      <c r="AG49" s="403"/>
      <c r="AH49" s="403"/>
      <c r="AI49" s="403"/>
      <c r="AJ49" s="403"/>
      <c r="AK49" s="403"/>
      <c r="AL49" s="403"/>
      <c r="AM49" s="403" t="s">
        <v>8371</v>
      </c>
      <c r="AN49" s="403"/>
      <c r="AO49" s="403"/>
      <c r="AP49" s="403"/>
      <c r="AQ49" s="403"/>
      <c r="AR49" s="403"/>
      <c r="AS49" s="403"/>
      <c r="AT49" s="403"/>
      <c r="AU49" s="403"/>
      <c r="AV49" s="403"/>
      <c r="AW49" s="403"/>
      <c r="AX49" s="403"/>
      <c r="AY49" s="403"/>
      <c r="AZ49" s="403"/>
      <c r="BA49" s="403"/>
      <c r="BB49" s="403"/>
      <c r="BC49" s="403"/>
      <c r="BD49" s="403"/>
      <c r="BE49" s="403"/>
      <c r="BF49" s="403" t="s">
        <v>10226</v>
      </c>
      <c r="BG49" s="403"/>
      <c r="BH49" s="403"/>
      <c r="BI49" s="403"/>
      <c r="BJ49" s="403"/>
      <c r="BK49" s="403"/>
      <c r="BL49" s="403"/>
      <c r="BM49" s="403"/>
      <c r="BN49" s="403"/>
      <c r="BO49" s="403"/>
      <c r="BP49" s="403"/>
      <c r="BQ49" s="403"/>
      <c r="BR49" s="403"/>
      <c r="BS49" s="403"/>
      <c r="BT49" s="403"/>
      <c r="BU49" s="403"/>
      <c r="BV49" s="403"/>
      <c r="BW49" s="403"/>
      <c r="BX49" s="403"/>
      <c r="BY49" s="403" t="s">
        <v>8375</v>
      </c>
      <c r="BZ49" s="403"/>
      <c r="CA49" s="403"/>
      <c r="CB49" s="403"/>
      <c r="CC49" s="403"/>
      <c r="CD49" s="403"/>
      <c r="CE49" s="403"/>
      <c r="CF49" s="403"/>
      <c r="CG49" s="403"/>
      <c r="CH49" s="403"/>
      <c r="CI49" s="403"/>
      <c r="CJ49" s="403"/>
      <c r="CK49" s="403"/>
      <c r="CL49" s="403"/>
      <c r="CM49" s="403"/>
      <c r="CN49" s="403"/>
      <c r="CO49" s="403"/>
      <c r="CP49" s="403"/>
      <c r="CQ49" s="403"/>
      <c r="CR49" s="403" t="s">
        <v>8375</v>
      </c>
      <c r="CS49" s="403"/>
      <c r="CT49" s="403"/>
      <c r="CU49" s="403"/>
      <c r="CV49" s="403"/>
      <c r="CW49" s="403"/>
      <c r="CX49" s="403"/>
      <c r="CY49" s="403"/>
      <c r="CZ49" s="403"/>
      <c r="DA49" s="403"/>
      <c r="DB49" s="403"/>
      <c r="DC49" s="403"/>
      <c r="DD49" s="403"/>
      <c r="DE49" s="403"/>
      <c r="DF49" s="403"/>
      <c r="DG49" s="403"/>
      <c r="DH49" s="403"/>
      <c r="DI49" s="403"/>
      <c r="DJ49" s="403"/>
      <c r="DK49" s="403" t="s">
        <v>8378</v>
      </c>
      <c r="DL49" s="403"/>
      <c r="DM49" s="403"/>
      <c r="DN49" s="403"/>
      <c r="DO49" s="403"/>
      <c r="DP49" s="403"/>
      <c r="DQ49" s="403"/>
      <c r="DR49" s="403"/>
      <c r="DS49" s="403"/>
      <c r="DT49" s="403"/>
      <c r="DU49" s="403"/>
      <c r="DV49" s="403"/>
      <c r="DW49" s="403"/>
      <c r="DX49" s="403"/>
      <c r="DY49" s="403"/>
      <c r="DZ49" s="403"/>
      <c r="EA49" s="403"/>
      <c r="EB49" s="403"/>
      <c r="EC49" s="403"/>
      <c r="ED49" s="403" t="s">
        <v>10256</v>
      </c>
      <c r="EE49" s="403"/>
      <c r="EF49" s="403"/>
      <c r="EG49" s="403"/>
      <c r="EH49" s="403"/>
      <c r="EI49" s="403"/>
      <c r="EJ49" s="403"/>
      <c r="EK49" s="403"/>
      <c r="EL49" s="403"/>
      <c r="EM49" s="403"/>
      <c r="EN49" s="403"/>
      <c r="EO49" s="403"/>
      <c r="EP49" s="403"/>
      <c r="EQ49" s="403"/>
      <c r="ER49" s="403"/>
      <c r="ES49" s="403"/>
    </row>
    <row r="50" spans="2:149" s="181" customFormat="1" x14ac:dyDescent="0.2">
      <c r="B50" s="5" t="str">
        <f ca="1">IF(OFFSET(T50,0,Lang_Order*Lang__B3)="","",OFFSET(T50,0,Lang_Order*Lang__B3))</f>
        <v>Refrigerated (2 to 8C)</v>
      </c>
      <c r="I50" s="184" t="e">
        <f t="shared" ref="I50:N50" si="35">SUMPRODUCT($F$31:$F$34,I$37:I$40)</f>
        <v>#N/A</v>
      </c>
      <c r="J50" s="184" t="e">
        <f t="shared" si="35"/>
        <v>#N/A</v>
      </c>
      <c r="K50" s="184" t="e">
        <f t="shared" si="35"/>
        <v>#N/A</v>
      </c>
      <c r="L50" s="184" t="e">
        <f t="shared" si="35"/>
        <v>#N/A</v>
      </c>
      <c r="M50" s="184" t="e">
        <f t="shared" si="35"/>
        <v>#N/A</v>
      </c>
      <c r="N50" s="184" t="e">
        <f t="shared" si="35"/>
        <v>#N/A</v>
      </c>
      <c r="O50" s="108" t="e">
        <f t="shared" ref="O50:O52" si="36">SUM(I50:N50)</f>
        <v>#N/A</v>
      </c>
      <c r="R50" s="403"/>
      <c r="S50" s="403"/>
      <c r="T50" s="403" t="s">
        <v>11</v>
      </c>
      <c r="U50" s="403"/>
      <c r="V50" s="403"/>
      <c r="W50" s="403"/>
      <c r="X50" s="403"/>
      <c r="Y50" s="403"/>
      <c r="Z50" s="403"/>
      <c r="AA50" s="403"/>
      <c r="AB50" s="403"/>
      <c r="AC50" s="403"/>
      <c r="AD50" s="403"/>
      <c r="AE50" s="403"/>
      <c r="AF50" s="403"/>
      <c r="AG50" s="403"/>
      <c r="AH50" s="403"/>
      <c r="AI50" s="403"/>
      <c r="AJ50" s="403"/>
      <c r="AK50" s="403"/>
      <c r="AL50" s="403"/>
      <c r="AM50" s="403" t="s">
        <v>10219</v>
      </c>
      <c r="AN50" s="403"/>
      <c r="AO50" s="403"/>
      <c r="AP50" s="403"/>
      <c r="AQ50" s="403"/>
      <c r="AR50" s="403"/>
      <c r="AS50" s="403"/>
      <c r="AT50" s="403"/>
      <c r="AU50" s="403"/>
      <c r="AV50" s="403"/>
      <c r="AW50" s="403"/>
      <c r="AX50" s="403"/>
      <c r="AY50" s="403"/>
      <c r="AZ50" s="403"/>
      <c r="BA50" s="403"/>
      <c r="BB50" s="403"/>
      <c r="BC50" s="403"/>
      <c r="BD50" s="403"/>
      <c r="BE50" s="403"/>
      <c r="BF50" s="403" t="s">
        <v>10227</v>
      </c>
      <c r="BG50" s="403"/>
      <c r="BH50" s="403"/>
      <c r="BI50" s="403"/>
      <c r="BJ50" s="403"/>
      <c r="BK50" s="403"/>
      <c r="BL50" s="403"/>
      <c r="BM50" s="403"/>
      <c r="BN50" s="403"/>
      <c r="BO50" s="403"/>
      <c r="BP50" s="403"/>
      <c r="BQ50" s="403"/>
      <c r="BR50" s="403"/>
      <c r="BS50" s="403"/>
      <c r="BT50" s="403"/>
      <c r="BU50" s="403"/>
      <c r="BV50" s="403"/>
      <c r="BW50" s="403"/>
      <c r="BX50" s="403"/>
      <c r="BY50" s="403" t="s">
        <v>10235</v>
      </c>
      <c r="BZ50" s="403"/>
      <c r="CA50" s="403"/>
      <c r="CB50" s="403"/>
      <c r="CC50" s="403"/>
      <c r="CD50" s="403"/>
      <c r="CE50" s="403"/>
      <c r="CF50" s="403"/>
      <c r="CG50" s="403"/>
      <c r="CH50" s="403"/>
      <c r="CI50" s="403"/>
      <c r="CJ50" s="403"/>
      <c r="CK50" s="403"/>
      <c r="CL50" s="403"/>
      <c r="CM50" s="403"/>
      <c r="CN50" s="403"/>
      <c r="CO50" s="403"/>
      <c r="CP50" s="403"/>
      <c r="CQ50" s="403"/>
      <c r="CR50" s="403" t="s">
        <v>8384</v>
      </c>
      <c r="CS50" s="403"/>
      <c r="CT50" s="403"/>
      <c r="CU50" s="403"/>
      <c r="CV50" s="403"/>
      <c r="CW50" s="403"/>
      <c r="CX50" s="403"/>
      <c r="CY50" s="403"/>
      <c r="CZ50" s="403"/>
      <c r="DA50" s="403"/>
      <c r="DB50" s="403"/>
      <c r="DC50" s="403"/>
      <c r="DD50" s="403"/>
      <c r="DE50" s="403"/>
      <c r="DF50" s="403"/>
      <c r="DG50" s="403"/>
      <c r="DH50" s="403"/>
      <c r="DI50" s="403"/>
      <c r="DJ50" s="403"/>
      <c r="DK50" s="403" t="s">
        <v>10248</v>
      </c>
      <c r="DL50" s="403"/>
      <c r="DM50" s="403"/>
      <c r="DN50" s="403"/>
      <c r="DO50" s="403"/>
      <c r="DP50" s="403"/>
      <c r="DQ50" s="403"/>
      <c r="DR50" s="403"/>
      <c r="DS50" s="403"/>
      <c r="DT50" s="403"/>
      <c r="DU50" s="403"/>
      <c r="DV50" s="403"/>
      <c r="DW50" s="403"/>
      <c r="DX50" s="403"/>
      <c r="DY50" s="403"/>
      <c r="DZ50" s="403"/>
      <c r="EA50" s="403"/>
      <c r="EB50" s="403"/>
      <c r="EC50" s="403"/>
      <c r="ED50" s="403" t="s">
        <v>8387</v>
      </c>
      <c r="EE50" s="403"/>
      <c r="EF50" s="403"/>
      <c r="EG50" s="403"/>
      <c r="EH50" s="403"/>
      <c r="EI50" s="403"/>
      <c r="EJ50" s="403"/>
      <c r="EK50" s="403"/>
      <c r="EL50" s="403"/>
      <c r="EM50" s="403"/>
      <c r="EN50" s="403"/>
      <c r="EO50" s="403"/>
      <c r="EP50" s="403"/>
      <c r="EQ50" s="403"/>
      <c r="ER50" s="403"/>
      <c r="ES50" s="403"/>
    </row>
    <row r="51" spans="2:149" s="181" customFormat="1" x14ac:dyDescent="0.2">
      <c r="B51" s="5" t="str">
        <f ca="1">IF(OFFSET(T51,0,Lang_Order*Lang__B3)="","",OFFSET(T51,0,Lang_Order*Lang__B3))</f>
        <v>Frozen (-20C)</v>
      </c>
      <c r="I51" s="184" t="e">
        <f t="shared" ref="I51:N51" si="37">SUMPRODUCT($G$31:$G$34,I$37:I$40)</f>
        <v>#N/A</v>
      </c>
      <c r="J51" s="184" t="e">
        <f t="shared" si="37"/>
        <v>#N/A</v>
      </c>
      <c r="K51" s="184" t="e">
        <f t="shared" si="37"/>
        <v>#N/A</v>
      </c>
      <c r="L51" s="184" t="e">
        <f t="shared" si="37"/>
        <v>#N/A</v>
      </c>
      <c r="M51" s="184" t="e">
        <f t="shared" si="37"/>
        <v>#N/A</v>
      </c>
      <c r="N51" s="184" t="e">
        <f t="shared" si="37"/>
        <v>#N/A</v>
      </c>
      <c r="O51" s="108" t="e">
        <f t="shared" si="36"/>
        <v>#N/A</v>
      </c>
      <c r="R51" s="403"/>
      <c r="S51" s="403"/>
      <c r="T51" s="403" t="s">
        <v>12</v>
      </c>
      <c r="U51" s="403"/>
      <c r="V51" s="403"/>
      <c r="W51" s="403"/>
      <c r="X51" s="403"/>
      <c r="Y51" s="403"/>
      <c r="Z51" s="403"/>
      <c r="AA51" s="403"/>
      <c r="AB51" s="403"/>
      <c r="AC51" s="403"/>
      <c r="AD51" s="403"/>
      <c r="AE51" s="403"/>
      <c r="AF51" s="403"/>
      <c r="AG51" s="403"/>
      <c r="AH51" s="403"/>
      <c r="AI51" s="403"/>
      <c r="AJ51" s="403"/>
      <c r="AK51" s="403"/>
      <c r="AL51" s="403"/>
      <c r="AM51" s="403" t="s">
        <v>10220</v>
      </c>
      <c r="AN51" s="403"/>
      <c r="AO51" s="403"/>
      <c r="AP51" s="403"/>
      <c r="AQ51" s="403"/>
      <c r="AR51" s="403"/>
      <c r="AS51" s="403"/>
      <c r="AT51" s="403"/>
      <c r="AU51" s="403"/>
      <c r="AV51" s="403"/>
      <c r="AW51" s="403"/>
      <c r="AX51" s="403"/>
      <c r="AY51" s="403"/>
      <c r="AZ51" s="403"/>
      <c r="BA51" s="403"/>
      <c r="BB51" s="403"/>
      <c r="BC51" s="403"/>
      <c r="BD51" s="403"/>
      <c r="BE51" s="403"/>
      <c r="BF51" s="403" t="s">
        <v>10228</v>
      </c>
      <c r="BG51" s="403"/>
      <c r="BH51" s="403"/>
      <c r="BI51" s="403"/>
      <c r="BJ51" s="403"/>
      <c r="BK51" s="403"/>
      <c r="BL51" s="403"/>
      <c r="BM51" s="403"/>
      <c r="BN51" s="403"/>
      <c r="BO51" s="403"/>
      <c r="BP51" s="403"/>
      <c r="BQ51" s="403"/>
      <c r="BR51" s="403"/>
      <c r="BS51" s="403"/>
      <c r="BT51" s="403"/>
      <c r="BU51" s="403"/>
      <c r="BV51" s="403"/>
      <c r="BW51" s="403"/>
      <c r="BX51" s="403"/>
      <c r="BY51" s="403" t="s">
        <v>10236</v>
      </c>
      <c r="BZ51" s="403"/>
      <c r="CA51" s="403"/>
      <c r="CB51" s="403"/>
      <c r="CC51" s="403"/>
      <c r="CD51" s="403"/>
      <c r="CE51" s="403"/>
      <c r="CF51" s="403"/>
      <c r="CG51" s="403"/>
      <c r="CH51" s="403"/>
      <c r="CI51" s="403"/>
      <c r="CJ51" s="403"/>
      <c r="CK51" s="403"/>
      <c r="CL51" s="403"/>
      <c r="CM51" s="403"/>
      <c r="CN51" s="403"/>
      <c r="CO51" s="403"/>
      <c r="CP51" s="403"/>
      <c r="CQ51" s="403"/>
      <c r="CR51" s="403" t="s">
        <v>8391</v>
      </c>
      <c r="CS51" s="403"/>
      <c r="CT51" s="403"/>
      <c r="CU51" s="403"/>
      <c r="CV51" s="403"/>
      <c r="CW51" s="403"/>
      <c r="CX51" s="403"/>
      <c r="CY51" s="403"/>
      <c r="CZ51" s="403"/>
      <c r="DA51" s="403"/>
      <c r="DB51" s="403"/>
      <c r="DC51" s="403"/>
      <c r="DD51" s="403"/>
      <c r="DE51" s="403"/>
      <c r="DF51" s="403"/>
      <c r="DG51" s="403"/>
      <c r="DH51" s="403"/>
      <c r="DI51" s="403"/>
      <c r="DJ51" s="403"/>
      <c r="DK51" s="403" t="s">
        <v>10249</v>
      </c>
      <c r="DL51" s="403"/>
      <c r="DM51" s="403"/>
      <c r="DN51" s="403"/>
      <c r="DO51" s="403"/>
      <c r="DP51" s="403"/>
      <c r="DQ51" s="403"/>
      <c r="DR51" s="403"/>
      <c r="DS51" s="403"/>
      <c r="DT51" s="403"/>
      <c r="DU51" s="403"/>
      <c r="DV51" s="403"/>
      <c r="DW51" s="403"/>
      <c r="DX51" s="403"/>
      <c r="DY51" s="403"/>
      <c r="DZ51" s="403"/>
      <c r="EA51" s="403"/>
      <c r="EB51" s="403"/>
      <c r="EC51" s="403"/>
      <c r="ED51" s="403" t="s">
        <v>8393</v>
      </c>
      <c r="EE51" s="403"/>
      <c r="EF51" s="403"/>
      <c r="EG51" s="403"/>
      <c r="EH51" s="403"/>
      <c r="EI51" s="403"/>
      <c r="EJ51" s="403"/>
      <c r="EK51" s="403"/>
      <c r="EL51" s="403"/>
      <c r="EM51" s="403"/>
      <c r="EN51" s="403"/>
      <c r="EO51" s="403"/>
      <c r="EP51" s="403"/>
      <c r="EQ51" s="403"/>
      <c r="ER51" s="403"/>
      <c r="ES51" s="403"/>
    </row>
    <row r="52" spans="2:149" s="181" customFormat="1" x14ac:dyDescent="0.2">
      <c r="B52" s="5" t="str">
        <f ca="1">IF(OFFSET(T52,0,Lang_Order*Lang__B3)="","",OFFSET(T52,0,Lang_Order*Lang__B3))</f>
        <v>Ultra-cold (-60 to -80C)</v>
      </c>
      <c r="I52" s="184" t="e">
        <f t="shared" ref="I52:N52" si="38">SUMPRODUCT($H$31:$H$34,I$37:I$40)</f>
        <v>#N/A</v>
      </c>
      <c r="J52" s="184" t="e">
        <f t="shared" si="38"/>
        <v>#N/A</v>
      </c>
      <c r="K52" s="184" t="e">
        <f t="shared" si="38"/>
        <v>#N/A</v>
      </c>
      <c r="L52" s="184" t="e">
        <f t="shared" si="38"/>
        <v>#N/A</v>
      </c>
      <c r="M52" s="184" t="e">
        <f t="shared" si="38"/>
        <v>#N/A</v>
      </c>
      <c r="N52" s="184" t="e">
        <f t="shared" si="38"/>
        <v>#N/A</v>
      </c>
      <c r="O52" s="108" t="e">
        <f t="shared" si="36"/>
        <v>#N/A</v>
      </c>
      <c r="Q52" s="47" t="str">
        <f ca="1">IF(OFFSET(AI52,0,Lang_Order*Lang__B3)="","",OFFSET(AI52,0,Lang_Order*Lang__B3))</f>
        <v>No costing information for this as ultracold services limited in availability</v>
      </c>
      <c r="R52" s="403"/>
      <c r="S52" s="403"/>
      <c r="T52" s="403" t="s">
        <v>13</v>
      </c>
      <c r="U52" s="403"/>
      <c r="V52" s="403"/>
      <c r="W52" s="403"/>
      <c r="X52" s="403"/>
      <c r="Y52" s="403"/>
      <c r="Z52" s="403"/>
      <c r="AA52" s="403"/>
      <c r="AB52" s="403"/>
      <c r="AC52" s="403"/>
      <c r="AD52" s="403"/>
      <c r="AE52" s="403"/>
      <c r="AF52" s="403"/>
      <c r="AG52" s="403"/>
      <c r="AH52" s="403"/>
      <c r="AI52" s="403" t="s">
        <v>2765</v>
      </c>
      <c r="AJ52" s="403"/>
      <c r="AK52" s="403"/>
      <c r="AL52" s="403"/>
      <c r="AM52" s="403" t="s">
        <v>8394</v>
      </c>
      <c r="AN52" s="403"/>
      <c r="AO52" s="403"/>
      <c r="AP52" s="403"/>
      <c r="AQ52" s="403"/>
      <c r="AR52" s="403"/>
      <c r="AS52" s="403"/>
      <c r="AT52" s="403"/>
      <c r="AU52" s="403"/>
      <c r="AV52" s="403"/>
      <c r="AW52" s="403"/>
      <c r="AX52" s="403"/>
      <c r="AY52" s="403"/>
      <c r="AZ52" s="403"/>
      <c r="BA52" s="403"/>
      <c r="BB52" s="403" t="s">
        <v>10272</v>
      </c>
      <c r="BC52" s="403"/>
      <c r="BD52" s="403"/>
      <c r="BE52" s="403"/>
      <c r="BF52" s="403" t="s">
        <v>10229</v>
      </c>
      <c r="BG52" s="403"/>
      <c r="BH52" s="403"/>
      <c r="BI52" s="403"/>
      <c r="BJ52" s="403"/>
      <c r="BK52" s="403"/>
      <c r="BL52" s="403"/>
      <c r="BM52" s="403"/>
      <c r="BN52" s="403"/>
      <c r="BO52" s="403"/>
      <c r="BP52" s="403"/>
      <c r="BQ52" s="403"/>
      <c r="BR52" s="403"/>
      <c r="BS52" s="403"/>
      <c r="BT52" s="403"/>
      <c r="BU52" s="403" t="s">
        <v>10273</v>
      </c>
      <c r="BV52" s="403"/>
      <c r="BW52" s="403"/>
      <c r="BX52" s="403"/>
      <c r="BY52" s="403" t="s">
        <v>10237</v>
      </c>
      <c r="BZ52" s="403"/>
      <c r="CA52" s="403"/>
      <c r="CB52" s="403"/>
      <c r="CC52" s="403"/>
      <c r="CD52" s="403"/>
      <c r="CE52" s="403"/>
      <c r="CF52" s="403"/>
      <c r="CG52" s="403"/>
      <c r="CH52" s="403"/>
      <c r="CI52" s="403"/>
      <c r="CJ52" s="403"/>
      <c r="CK52" s="403"/>
      <c r="CL52" s="403"/>
      <c r="CM52" s="403"/>
      <c r="CN52" s="403" t="s">
        <v>10274</v>
      </c>
      <c r="CO52" s="403"/>
      <c r="CP52" s="403"/>
      <c r="CQ52" s="403"/>
      <c r="CR52" s="403" t="s">
        <v>8400</v>
      </c>
      <c r="CS52" s="403"/>
      <c r="CT52" s="403"/>
      <c r="CU52" s="403"/>
      <c r="CV52" s="403"/>
      <c r="CW52" s="403"/>
      <c r="CX52" s="403"/>
      <c r="CY52" s="403"/>
      <c r="CZ52" s="403"/>
      <c r="DA52" s="403"/>
      <c r="DB52" s="403"/>
      <c r="DC52" s="403"/>
      <c r="DD52" s="403"/>
      <c r="DE52" s="403"/>
      <c r="DF52" s="403"/>
      <c r="DG52" s="403" t="s">
        <v>10275</v>
      </c>
      <c r="DH52" s="403"/>
      <c r="DI52" s="403"/>
      <c r="DJ52" s="403"/>
      <c r="DK52" s="403" t="s">
        <v>10250</v>
      </c>
      <c r="DL52" s="403"/>
      <c r="DM52" s="403"/>
      <c r="DN52" s="403"/>
      <c r="DO52" s="403"/>
      <c r="DP52" s="403"/>
      <c r="DQ52" s="403"/>
      <c r="DR52" s="403"/>
      <c r="DS52" s="403"/>
      <c r="DT52" s="403"/>
      <c r="DU52" s="403"/>
      <c r="DV52" s="403"/>
      <c r="DW52" s="403"/>
      <c r="DX52" s="403"/>
      <c r="DY52" s="403"/>
      <c r="DZ52" s="403" t="s">
        <v>10276</v>
      </c>
      <c r="EA52" s="403"/>
      <c r="EB52" s="403"/>
      <c r="EC52" s="403"/>
      <c r="ED52" s="403" t="s">
        <v>8404</v>
      </c>
      <c r="EE52" s="403"/>
      <c r="EF52" s="403"/>
      <c r="EG52" s="403"/>
      <c r="EH52" s="403"/>
      <c r="EI52" s="403"/>
      <c r="EJ52" s="403"/>
      <c r="EK52" s="403"/>
      <c r="EL52" s="403"/>
      <c r="EM52" s="403"/>
      <c r="EN52" s="403"/>
      <c r="EO52" s="403"/>
      <c r="EP52" s="403"/>
      <c r="EQ52" s="403"/>
      <c r="ER52" s="403"/>
      <c r="ES52" s="403" t="s">
        <v>10277</v>
      </c>
    </row>
    <row r="53" spans="2:149" s="181" customFormat="1" x14ac:dyDescent="0.2">
      <c r="I53" s="108" t="e">
        <f t="shared" ref="I53" si="39">SUM(I49:I52)</f>
        <v>#N/A</v>
      </c>
      <c r="J53" s="108" t="e">
        <f t="shared" ref="J53" si="40">SUM(J49:J52)</f>
        <v>#N/A</v>
      </c>
      <c r="K53" s="108" t="e">
        <f t="shared" ref="K53" si="41">SUM(K49:K52)</f>
        <v>#N/A</v>
      </c>
      <c r="L53" s="108" t="e">
        <f t="shared" ref="L53" si="42">SUM(L49:L52)</f>
        <v>#N/A</v>
      </c>
      <c r="M53" s="108" t="e">
        <f t="shared" ref="M53" si="43">SUM(M49:M52)</f>
        <v>#N/A</v>
      </c>
      <c r="N53" s="108" t="e">
        <f t="shared" ref="N53" si="44">SUM(N49:N52)</f>
        <v>#N/A</v>
      </c>
      <c r="O53" s="108" t="e">
        <f t="shared" ref="O53" si="45">SUM(O49:O52)</f>
        <v>#N/A</v>
      </c>
      <c r="R53" s="403"/>
      <c r="S53" s="403"/>
      <c r="T53" s="403"/>
      <c r="U53" s="403"/>
      <c r="V53" s="403"/>
      <c r="W53" s="403"/>
      <c r="X53" s="403"/>
      <c r="Y53" s="403"/>
      <c r="Z53" s="403"/>
      <c r="AA53" s="403"/>
      <c r="AB53" s="403"/>
      <c r="AC53" s="403"/>
      <c r="AD53" s="403"/>
      <c r="AE53" s="403"/>
      <c r="AF53" s="403"/>
      <c r="AG53" s="403"/>
      <c r="AH53" s="403"/>
      <c r="AI53" s="403"/>
      <c r="AJ53" s="403"/>
      <c r="AK53" s="403"/>
      <c r="AL53" s="403"/>
      <c r="AM53" s="403"/>
      <c r="AN53" s="403"/>
      <c r="AO53" s="403"/>
      <c r="AP53" s="403"/>
      <c r="AQ53" s="403"/>
      <c r="AR53" s="403"/>
      <c r="AS53" s="403"/>
      <c r="AT53" s="403"/>
      <c r="AU53" s="403"/>
      <c r="AV53" s="403"/>
      <c r="AW53" s="403"/>
      <c r="AX53" s="403"/>
      <c r="AY53" s="403"/>
      <c r="AZ53" s="403"/>
      <c r="BA53" s="403"/>
      <c r="BB53" s="403"/>
      <c r="BC53" s="403"/>
      <c r="BD53" s="403"/>
      <c r="BE53" s="403"/>
      <c r="BF53" s="403"/>
      <c r="BG53" s="403"/>
      <c r="BH53" s="403"/>
      <c r="BI53" s="403"/>
      <c r="BJ53" s="403"/>
      <c r="BK53" s="403"/>
      <c r="BL53" s="403"/>
      <c r="BM53" s="403"/>
      <c r="BN53" s="403"/>
      <c r="BO53" s="403"/>
      <c r="BP53" s="403"/>
      <c r="BQ53" s="403"/>
      <c r="BR53" s="403"/>
      <c r="BS53" s="403"/>
      <c r="BT53" s="403"/>
      <c r="BU53" s="403"/>
      <c r="BV53" s="403"/>
      <c r="BW53" s="403"/>
      <c r="BX53" s="403"/>
      <c r="BY53" s="403"/>
      <c r="BZ53" s="403"/>
      <c r="CA53" s="403"/>
      <c r="CB53" s="403"/>
      <c r="CC53" s="403"/>
      <c r="CD53" s="403"/>
      <c r="CE53" s="403"/>
      <c r="CF53" s="403"/>
      <c r="CG53" s="403"/>
      <c r="CH53" s="403"/>
      <c r="CI53" s="403"/>
      <c r="CJ53" s="403"/>
      <c r="CK53" s="403"/>
      <c r="CL53" s="403"/>
      <c r="CM53" s="403"/>
      <c r="CN53" s="403"/>
      <c r="CO53" s="403"/>
      <c r="CP53" s="403"/>
      <c r="CQ53" s="403"/>
      <c r="CR53" s="403"/>
      <c r="CS53" s="403"/>
      <c r="CT53" s="403"/>
      <c r="CU53" s="403"/>
      <c r="CV53" s="403"/>
      <c r="CW53" s="403"/>
      <c r="CX53" s="403"/>
      <c r="CY53" s="403"/>
      <c r="CZ53" s="403"/>
      <c r="DA53" s="403"/>
      <c r="DB53" s="403"/>
      <c r="DC53" s="403"/>
      <c r="DD53" s="403"/>
      <c r="DE53" s="403"/>
      <c r="DF53" s="403"/>
      <c r="DG53" s="403"/>
      <c r="DH53" s="403"/>
      <c r="DI53" s="403"/>
      <c r="DJ53" s="403"/>
      <c r="DK53" s="403"/>
      <c r="DL53" s="403"/>
      <c r="DM53" s="403"/>
      <c r="DN53" s="403"/>
      <c r="DO53" s="403"/>
      <c r="DP53" s="403"/>
      <c r="DQ53" s="403"/>
      <c r="DR53" s="403"/>
      <c r="DS53" s="403"/>
      <c r="DT53" s="403"/>
      <c r="DU53" s="403"/>
      <c r="DV53" s="403"/>
      <c r="DW53" s="403"/>
      <c r="DX53" s="403"/>
      <c r="DY53" s="403"/>
      <c r="DZ53" s="403"/>
      <c r="EA53" s="403"/>
      <c r="EB53" s="403"/>
      <c r="EC53" s="403"/>
      <c r="ED53" s="403"/>
      <c r="EE53" s="403"/>
      <c r="EF53" s="403"/>
      <c r="EG53" s="403"/>
      <c r="EH53" s="403"/>
      <c r="EI53" s="403"/>
      <c r="EJ53" s="403"/>
      <c r="EK53" s="403"/>
      <c r="EL53" s="403"/>
      <c r="EM53" s="403"/>
      <c r="EN53" s="403"/>
      <c r="EO53" s="403"/>
      <c r="EP53" s="403"/>
      <c r="EQ53" s="403"/>
      <c r="ER53" s="403"/>
      <c r="ES53" s="403"/>
    </row>
    <row r="54" spans="2:149" s="150" customFormat="1" x14ac:dyDescent="0.2">
      <c r="D54" s="181" t="s">
        <v>2766</v>
      </c>
      <c r="E54" s="181" t="s">
        <v>2767</v>
      </c>
      <c r="F54" s="181"/>
      <c r="G54" s="181"/>
      <c r="H54" s="181"/>
      <c r="I54" s="183"/>
      <c r="J54" s="183"/>
      <c r="K54" s="183"/>
      <c r="L54" s="183"/>
      <c r="M54" s="183"/>
      <c r="N54" s="183"/>
      <c r="O54" s="183"/>
      <c r="R54" s="403"/>
      <c r="S54" s="403"/>
      <c r="T54" s="403"/>
      <c r="U54" s="403"/>
      <c r="V54" s="403" t="s">
        <v>2766</v>
      </c>
      <c r="W54" s="403" t="s">
        <v>2767</v>
      </c>
      <c r="X54" s="403"/>
      <c r="Y54" s="403"/>
      <c r="Z54" s="403"/>
      <c r="AA54" s="403"/>
      <c r="AB54" s="403"/>
      <c r="AC54" s="403"/>
      <c r="AD54" s="403"/>
      <c r="AE54" s="403"/>
      <c r="AF54" s="403"/>
      <c r="AG54" s="403"/>
      <c r="AH54" s="403"/>
      <c r="AI54" s="403"/>
      <c r="AJ54" s="403"/>
      <c r="AK54" s="403"/>
      <c r="AL54" s="403"/>
      <c r="AM54" s="403"/>
      <c r="AN54" s="403"/>
      <c r="AO54" s="403" t="s">
        <v>10279</v>
      </c>
      <c r="AP54" s="403" t="s">
        <v>10280</v>
      </c>
      <c r="AQ54" s="403"/>
      <c r="AR54" s="403"/>
      <c r="AS54" s="403"/>
      <c r="AT54" s="403"/>
      <c r="AU54" s="403"/>
      <c r="AV54" s="403"/>
      <c r="AW54" s="403"/>
      <c r="AX54" s="403"/>
      <c r="AY54" s="403"/>
      <c r="AZ54" s="403"/>
      <c r="BA54" s="403"/>
      <c r="BB54" s="403"/>
      <c r="BC54" s="403"/>
      <c r="BD54" s="403"/>
      <c r="BE54" s="403"/>
      <c r="BF54" s="403"/>
      <c r="BG54" s="403"/>
      <c r="BH54" s="403" t="s">
        <v>10281</v>
      </c>
      <c r="BI54" s="403" t="s">
        <v>10282</v>
      </c>
      <c r="BJ54" s="403"/>
      <c r="BK54" s="403"/>
      <c r="BL54" s="403"/>
      <c r="BM54" s="403"/>
      <c r="BN54" s="403"/>
      <c r="BO54" s="403"/>
      <c r="BP54" s="403"/>
      <c r="BQ54" s="403"/>
      <c r="BR54" s="403"/>
      <c r="BS54" s="403"/>
      <c r="BT54" s="403"/>
      <c r="BU54" s="403"/>
      <c r="BV54" s="403"/>
      <c r="BW54" s="403"/>
      <c r="BX54" s="403"/>
      <c r="BY54" s="403"/>
      <c r="BZ54" s="403"/>
      <c r="CA54" s="403" t="s">
        <v>2766</v>
      </c>
      <c r="CB54" s="403" t="s">
        <v>10283</v>
      </c>
      <c r="CC54" s="403"/>
      <c r="CD54" s="403"/>
      <c r="CE54" s="403"/>
      <c r="CF54" s="403"/>
      <c r="CG54" s="403"/>
      <c r="CH54" s="403"/>
      <c r="CI54" s="403"/>
      <c r="CJ54" s="403"/>
      <c r="CK54" s="403"/>
      <c r="CL54" s="403"/>
      <c r="CM54" s="403"/>
      <c r="CN54" s="403"/>
      <c r="CO54" s="403"/>
      <c r="CP54" s="403"/>
      <c r="CQ54" s="403"/>
      <c r="CR54" s="403"/>
      <c r="CS54" s="403"/>
      <c r="CT54" s="403" t="s">
        <v>10284</v>
      </c>
      <c r="CU54" s="403" t="s">
        <v>10285</v>
      </c>
      <c r="CV54" s="403"/>
      <c r="CW54" s="403"/>
      <c r="CX54" s="403"/>
      <c r="CY54" s="403"/>
      <c r="CZ54" s="403"/>
      <c r="DA54" s="403"/>
      <c r="DB54" s="403"/>
      <c r="DC54" s="403"/>
      <c r="DD54" s="403"/>
      <c r="DE54" s="403"/>
      <c r="DF54" s="403"/>
      <c r="DG54" s="403"/>
      <c r="DH54" s="403"/>
      <c r="DI54" s="403"/>
      <c r="DJ54" s="403"/>
      <c r="DK54" s="403"/>
      <c r="DL54" s="403"/>
      <c r="DM54" s="403" t="s">
        <v>10286</v>
      </c>
      <c r="DN54" s="403" t="s">
        <v>10287</v>
      </c>
      <c r="DO54" s="403"/>
      <c r="DP54" s="403"/>
      <c r="DQ54" s="403"/>
      <c r="DR54" s="403"/>
      <c r="DS54" s="403"/>
      <c r="DT54" s="403"/>
      <c r="DU54" s="403"/>
      <c r="DV54" s="403"/>
      <c r="DW54" s="403"/>
      <c r="DX54" s="403"/>
      <c r="DY54" s="403"/>
      <c r="DZ54" s="403"/>
      <c r="EA54" s="403"/>
      <c r="EB54" s="403"/>
      <c r="EC54" s="403"/>
      <c r="ED54" s="403"/>
      <c r="EE54" s="403"/>
      <c r="EF54" s="403" t="s">
        <v>10288</v>
      </c>
      <c r="EG54" s="403" t="s">
        <v>10289</v>
      </c>
      <c r="EH54" s="403"/>
      <c r="EI54" s="403"/>
      <c r="EJ54" s="403"/>
      <c r="EK54" s="403"/>
      <c r="EL54" s="403"/>
      <c r="EM54" s="403"/>
      <c r="EN54" s="403"/>
      <c r="EO54" s="403"/>
      <c r="EP54" s="403"/>
      <c r="EQ54" s="403"/>
      <c r="ER54" s="403"/>
      <c r="ES54" s="403"/>
    </row>
    <row r="55" spans="2:149" s="150" customFormat="1" x14ac:dyDescent="0.2">
      <c r="C55" s="197" t="str">
        <f>'T2. Misc'!G9</f>
        <v>Room temperature</v>
      </c>
      <c r="D55" s="3">
        <f>'T9. Shipping'!K29</f>
        <v>198</v>
      </c>
      <c r="E55" s="3">
        <f>'T9. Shipping'!K19</f>
        <v>28.9</v>
      </c>
      <c r="F55" s="181"/>
      <c r="G55" s="181"/>
      <c r="H55" s="181"/>
      <c r="I55" s="127"/>
      <c r="J55" s="127"/>
      <c r="K55" s="127"/>
      <c r="L55" s="127"/>
      <c r="M55" s="127"/>
      <c r="N55" s="127"/>
      <c r="O55" s="127"/>
      <c r="R55" s="403"/>
      <c r="S55" s="403"/>
      <c r="T55" s="403"/>
      <c r="U55" s="403"/>
      <c r="V55" s="403"/>
      <c r="W55" s="403"/>
      <c r="X55" s="403"/>
      <c r="Y55" s="403"/>
      <c r="Z55" s="403"/>
      <c r="AA55" s="403"/>
      <c r="AB55" s="403"/>
      <c r="AC55" s="403"/>
      <c r="AD55" s="403"/>
      <c r="AE55" s="403"/>
      <c r="AF55" s="403"/>
      <c r="AG55" s="403"/>
      <c r="AH55" s="403"/>
      <c r="AI55" s="403"/>
      <c r="AJ55" s="403"/>
      <c r="AK55" s="403"/>
      <c r="AL55" s="403"/>
      <c r="AM55" s="403"/>
      <c r="AN55" s="403"/>
      <c r="AO55" s="403"/>
      <c r="AP55" s="403"/>
      <c r="AQ55" s="403"/>
      <c r="AR55" s="403"/>
      <c r="AS55" s="403"/>
      <c r="AT55" s="403"/>
      <c r="AU55" s="403"/>
      <c r="AV55" s="403"/>
      <c r="AW55" s="403"/>
      <c r="AX55" s="403"/>
      <c r="AY55" s="403"/>
      <c r="AZ55" s="403"/>
      <c r="BA55" s="403"/>
      <c r="BB55" s="403"/>
      <c r="BC55" s="403"/>
      <c r="BD55" s="403"/>
      <c r="BE55" s="403"/>
      <c r="BF55" s="403"/>
      <c r="BG55" s="403"/>
      <c r="BH55" s="403"/>
      <c r="BI55" s="403"/>
      <c r="BJ55" s="403"/>
      <c r="BK55" s="403"/>
      <c r="BL55" s="403"/>
      <c r="BM55" s="403"/>
      <c r="BN55" s="403"/>
      <c r="BO55" s="403"/>
      <c r="BP55" s="403"/>
      <c r="BQ55" s="403"/>
      <c r="BR55" s="403"/>
      <c r="BS55" s="403"/>
      <c r="BT55" s="403"/>
      <c r="BU55" s="403"/>
      <c r="BV55" s="403"/>
      <c r="BW55" s="403"/>
      <c r="BX55" s="403"/>
      <c r="BY55" s="403"/>
      <c r="BZ55" s="403"/>
      <c r="CA55" s="403"/>
      <c r="CB55" s="403"/>
      <c r="CC55" s="403"/>
      <c r="CD55" s="403"/>
      <c r="CE55" s="403"/>
      <c r="CF55" s="403"/>
      <c r="CG55" s="403"/>
      <c r="CH55" s="403"/>
      <c r="CI55" s="403"/>
      <c r="CJ55" s="403"/>
      <c r="CK55" s="403"/>
      <c r="CL55" s="403"/>
      <c r="CM55" s="403"/>
      <c r="CN55" s="403"/>
      <c r="CO55" s="403"/>
      <c r="CP55" s="403"/>
      <c r="CQ55" s="403"/>
      <c r="CR55" s="403"/>
      <c r="CS55" s="403"/>
      <c r="CT55" s="403"/>
      <c r="CU55" s="403"/>
      <c r="CV55" s="403"/>
      <c r="CW55" s="403"/>
      <c r="CX55" s="403"/>
      <c r="CY55" s="403"/>
      <c r="CZ55" s="403"/>
      <c r="DA55" s="403"/>
      <c r="DB55" s="403"/>
      <c r="DC55" s="403"/>
      <c r="DD55" s="403"/>
      <c r="DE55" s="403"/>
      <c r="DF55" s="403"/>
      <c r="DG55" s="403"/>
      <c r="DH55" s="403"/>
      <c r="DI55" s="403"/>
      <c r="DJ55" s="403"/>
      <c r="DK55" s="403"/>
      <c r="DL55" s="403"/>
      <c r="DM55" s="403"/>
      <c r="DN55" s="403"/>
      <c r="DO55" s="403"/>
      <c r="DP55" s="403"/>
      <c r="DQ55" s="403"/>
      <c r="DR55" s="403"/>
      <c r="DS55" s="403"/>
      <c r="DT55" s="403"/>
      <c r="DU55" s="403"/>
      <c r="DV55" s="403"/>
      <c r="DW55" s="403"/>
      <c r="DX55" s="403"/>
      <c r="DY55" s="403"/>
      <c r="DZ55" s="403"/>
      <c r="EA55" s="403"/>
      <c r="EB55" s="403"/>
      <c r="EC55" s="403"/>
      <c r="ED55" s="403"/>
      <c r="EE55" s="403"/>
      <c r="EF55" s="403"/>
      <c r="EG55" s="403"/>
      <c r="EH55" s="403"/>
      <c r="EI55" s="403"/>
      <c r="EJ55" s="403"/>
      <c r="EK55" s="403"/>
      <c r="EL55" s="403"/>
      <c r="EM55" s="403"/>
      <c r="EN55" s="403"/>
      <c r="EO55" s="403"/>
      <c r="EP55" s="403"/>
      <c r="EQ55" s="403"/>
      <c r="ER55" s="403"/>
      <c r="ES55" s="403"/>
    </row>
    <row r="56" spans="2:149" s="150" customFormat="1" x14ac:dyDescent="0.2">
      <c r="C56" s="197" t="str">
        <f>'T2. Misc'!G10</f>
        <v>Refrigerated (2 to 8C)</v>
      </c>
      <c r="D56" s="3">
        <f>'T9. Shipping'!K30</f>
        <v>233</v>
      </c>
      <c r="E56" s="3">
        <f>'T9. Shipping'!K22</f>
        <v>29.4</v>
      </c>
      <c r="F56" s="181"/>
      <c r="G56" s="181"/>
      <c r="H56" s="181"/>
      <c r="I56" s="127"/>
      <c r="J56" s="127"/>
      <c r="K56" s="127"/>
      <c r="L56" s="127"/>
      <c r="M56" s="127"/>
      <c r="N56" s="127"/>
      <c r="O56" s="127"/>
      <c r="R56" s="403"/>
      <c r="S56" s="403"/>
      <c r="T56" s="403"/>
      <c r="U56" s="403"/>
      <c r="V56" s="403"/>
      <c r="W56" s="403"/>
      <c r="X56" s="403"/>
      <c r="Y56" s="403"/>
      <c r="Z56" s="403"/>
      <c r="AA56" s="403"/>
      <c r="AB56" s="403"/>
      <c r="AC56" s="403"/>
      <c r="AD56" s="403"/>
      <c r="AE56" s="403"/>
      <c r="AF56" s="403"/>
      <c r="AG56" s="403"/>
      <c r="AH56" s="403"/>
      <c r="AI56" s="403"/>
      <c r="AJ56" s="403"/>
      <c r="AK56" s="403"/>
      <c r="AL56" s="403"/>
      <c r="AM56" s="403"/>
      <c r="AN56" s="403"/>
      <c r="AO56" s="403"/>
      <c r="AP56" s="403"/>
      <c r="AQ56" s="403"/>
      <c r="AR56" s="403"/>
      <c r="AS56" s="403"/>
      <c r="AT56" s="403"/>
      <c r="AU56" s="403"/>
      <c r="AV56" s="403"/>
      <c r="AW56" s="403"/>
      <c r="AX56" s="403"/>
      <c r="AY56" s="403"/>
      <c r="AZ56" s="403"/>
      <c r="BA56" s="403"/>
      <c r="BB56" s="403"/>
      <c r="BC56" s="403"/>
      <c r="BD56" s="403"/>
      <c r="BE56" s="403"/>
      <c r="BF56" s="403"/>
      <c r="BG56" s="403"/>
      <c r="BH56" s="403"/>
      <c r="BI56" s="403"/>
      <c r="BJ56" s="403"/>
      <c r="BK56" s="403"/>
      <c r="BL56" s="403"/>
      <c r="BM56" s="403"/>
      <c r="BN56" s="403"/>
      <c r="BO56" s="403"/>
      <c r="BP56" s="403"/>
      <c r="BQ56" s="403"/>
      <c r="BR56" s="403"/>
      <c r="BS56" s="403"/>
      <c r="BT56" s="403"/>
      <c r="BU56" s="403"/>
      <c r="BV56" s="403"/>
      <c r="BW56" s="403"/>
      <c r="BX56" s="403"/>
      <c r="BY56" s="403"/>
      <c r="BZ56" s="403"/>
      <c r="CA56" s="403"/>
      <c r="CB56" s="403"/>
      <c r="CC56" s="403"/>
      <c r="CD56" s="403"/>
      <c r="CE56" s="403"/>
      <c r="CF56" s="403"/>
      <c r="CG56" s="403"/>
      <c r="CH56" s="403"/>
      <c r="CI56" s="403"/>
      <c r="CJ56" s="403"/>
      <c r="CK56" s="403"/>
      <c r="CL56" s="403"/>
      <c r="CM56" s="403"/>
      <c r="CN56" s="403"/>
      <c r="CO56" s="403"/>
      <c r="CP56" s="403"/>
      <c r="CQ56" s="403"/>
      <c r="CR56" s="403"/>
      <c r="CS56" s="403"/>
      <c r="CT56" s="403"/>
      <c r="CU56" s="403"/>
      <c r="CV56" s="403"/>
      <c r="CW56" s="403"/>
      <c r="CX56" s="403"/>
      <c r="CY56" s="403"/>
      <c r="CZ56" s="403"/>
      <c r="DA56" s="403"/>
      <c r="DB56" s="403"/>
      <c r="DC56" s="403"/>
      <c r="DD56" s="403"/>
      <c r="DE56" s="403"/>
      <c r="DF56" s="403"/>
      <c r="DG56" s="403"/>
      <c r="DH56" s="403"/>
      <c r="DI56" s="403"/>
      <c r="DJ56" s="403"/>
      <c r="DK56" s="403"/>
      <c r="DL56" s="403"/>
      <c r="DM56" s="403"/>
      <c r="DN56" s="403"/>
      <c r="DO56" s="403"/>
      <c r="DP56" s="403"/>
      <c r="DQ56" s="403"/>
      <c r="DR56" s="403"/>
      <c r="DS56" s="403"/>
      <c r="DT56" s="403"/>
      <c r="DU56" s="403"/>
      <c r="DV56" s="403"/>
      <c r="DW56" s="403"/>
      <c r="DX56" s="403"/>
      <c r="DY56" s="403"/>
      <c r="DZ56" s="403"/>
      <c r="EA56" s="403"/>
      <c r="EB56" s="403"/>
      <c r="EC56" s="403"/>
      <c r="ED56" s="403"/>
      <c r="EE56" s="403"/>
      <c r="EF56" s="403"/>
      <c r="EG56" s="403"/>
      <c r="EH56" s="403"/>
      <c r="EI56" s="403"/>
      <c r="EJ56" s="403"/>
      <c r="EK56" s="403"/>
      <c r="EL56" s="403"/>
      <c r="EM56" s="403"/>
      <c r="EN56" s="403"/>
      <c r="EO56" s="403"/>
      <c r="EP56" s="403"/>
      <c r="EQ56" s="403"/>
      <c r="ER56" s="403"/>
      <c r="ES56" s="403"/>
    </row>
    <row r="57" spans="2:149" s="150" customFormat="1" x14ac:dyDescent="0.2">
      <c r="C57" s="197" t="str">
        <f>'T2. Misc'!G11</f>
        <v>Frozen (-20C)</v>
      </c>
      <c r="D57" s="3">
        <f>'T9. Shipping'!K31</f>
        <v>245</v>
      </c>
      <c r="E57" s="3">
        <f>'T9. Shipping'!K25</f>
        <v>9</v>
      </c>
      <c r="F57" s="181"/>
      <c r="G57" s="181"/>
      <c r="H57" s="181"/>
      <c r="I57" s="127"/>
      <c r="J57" s="127"/>
      <c r="K57" s="127"/>
      <c r="L57" s="127"/>
      <c r="M57" s="127"/>
      <c r="N57" s="127"/>
      <c r="O57" s="127"/>
      <c r="R57" s="403"/>
      <c r="S57" s="403"/>
      <c r="T57" s="403"/>
      <c r="U57" s="403"/>
      <c r="V57" s="403"/>
      <c r="W57" s="403"/>
      <c r="X57" s="403"/>
      <c r="Y57" s="403"/>
      <c r="Z57" s="403"/>
      <c r="AA57" s="403"/>
      <c r="AB57" s="403"/>
      <c r="AC57" s="403"/>
      <c r="AD57" s="403"/>
      <c r="AE57" s="403"/>
      <c r="AF57" s="403"/>
      <c r="AG57" s="403"/>
      <c r="AH57" s="403"/>
      <c r="AI57" s="403"/>
      <c r="AJ57" s="403"/>
      <c r="AK57" s="403"/>
      <c r="AL57" s="403"/>
      <c r="AM57" s="403"/>
      <c r="AN57" s="403"/>
      <c r="AO57" s="403"/>
      <c r="AP57" s="403"/>
      <c r="AQ57" s="403"/>
      <c r="AR57" s="403"/>
      <c r="AS57" s="403"/>
      <c r="AT57" s="403"/>
      <c r="AU57" s="403"/>
      <c r="AV57" s="403"/>
      <c r="AW57" s="403"/>
      <c r="AX57" s="403"/>
      <c r="AY57" s="403"/>
      <c r="AZ57" s="403"/>
      <c r="BA57" s="403"/>
      <c r="BB57" s="403"/>
      <c r="BC57" s="403"/>
      <c r="BD57" s="403"/>
      <c r="BE57" s="403"/>
      <c r="BF57" s="403"/>
      <c r="BG57" s="403"/>
      <c r="BH57" s="403"/>
      <c r="BI57" s="403"/>
      <c r="BJ57" s="403"/>
      <c r="BK57" s="403"/>
      <c r="BL57" s="403"/>
      <c r="BM57" s="403"/>
      <c r="BN57" s="403"/>
      <c r="BO57" s="403"/>
      <c r="BP57" s="403"/>
      <c r="BQ57" s="403"/>
      <c r="BR57" s="403"/>
      <c r="BS57" s="403"/>
      <c r="BT57" s="403"/>
      <c r="BU57" s="403"/>
      <c r="BV57" s="403"/>
      <c r="BW57" s="403"/>
      <c r="BX57" s="403"/>
      <c r="BY57" s="403"/>
      <c r="BZ57" s="403"/>
      <c r="CA57" s="403"/>
      <c r="CB57" s="403"/>
      <c r="CC57" s="403"/>
      <c r="CD57" s="403"/>
      <c r="CE57" s="403"/>
      <c r="CF57" s="403"/>
      <c r="CG57" s="403"/>
      <c r="CH57" s="403"/>
      <c r="CI57" s="403"/>
      <c r="CJ57" s="403"/>
      <c r="CK57" s="403"/>
      <c r="CL57" s="403"/>
      <c r="CM57" s="403"/>
      <c r="CN57" s="403"/>
      <c r="CO57" s="403"/>
      <c r="CP57" s="403"/>
      <c r="CQ57" s="403"/>
      <c r="CR57" s="403"/>
      <c r="CS57" s="403"/>
      <c r="CT57" s="403"/>
      <c r="CU57" s="403"/>
      <c r="CV57" s="403"/>
      <c r="CW57" s="403"/>
      <c r="CX57" s="403"/>
      <c r="CY57" s="403"/>
      <c r="CZ57" s="403"/>
      <c r="DA57" s="403"/>
      <c r="DB57" s="403"/>
      <c r="DC57" s="403"/>
      <c r="DD57" s="403"/>
      <c r="DE57" s="403"/>
      <c r="DF57" s="403"/>
      <c r="DG57" s="403"/>
      <c r="DH57" s="403"/>
      <c r="DI57" s="403"/>
      <c r="DJ57" s="403"/>
      <c r="DK57" s="403"/>
      <c r="DL57" s="403"/>
      <c r="DM57" s="403"/>
      <c r="DN57" s="403"/>
      <c r="DO57" s="403"/>
      <c r="DP57" s="403"/>
      <c r="DQ57" s="403"/>
      <c r="DR57" s="403"/>
      <c r="DS57" s="403"/>
      <c r="DT57" s="403"/>
      <c r="DU57" s="403"/>
      <c r="DV57" s="403"/>
      <c r="DW57" s="403"/>
      <c r="DX57" s="403"/>
      <c r="DY57" s="403"/>
      <c r="DZ57" s="403"/>
      <c r="EA57" s="403"/>
      <c r="EB57" s="403"/>
      <c r="EC57" s="403"/>
      <c r="ED57" s="403"/>
      <c r="EE57" s="403"/>
      <c r="EF57" s="403"/>
      <c r="EG57" s="403"/>
      <c r="EH57" s="403"/>
      <c r="EI57" s="403"/>
      <c r="EJ57" s="403"/>
      <c r="EK57" s="403"/>
      <c r="EL57" s="403"/>
      <c r="EM57" s="403"/>
      <c r="EN57" s="403"/>
      <c r="EO57" s="403"/>
      <c r="EP57" s="403"/>
      <c r="EQ57" s="403"/>
      <c r="ER57" s="403"/>
      <c r="ES57" s="403"/>
    </row>
    <row r="58" spans="2:149" s="193" customFormat="1" x14ac:dyDescent="0.2">
      <c r="C58" s="197" t="str">
        <f>'T2. Misc'!G12</f>
        <v>Ultra-cold (-60 to -80C)</v>
      </c>
      <c r="D58" s="3">
        <v>0</v>
      </c>
      <c r="E58" s="3">
        <v>0</v>
      </c>
      <c r="I58" s="127"/>
      <c r="J58" s="127"/>
      <c r="K58" s="127"/>
      <c r="L58" s="127"/>
      <c r="M58" s="127"/>
      <c r="N58" s="127"/>
      <c r="O58" s="127"/>
      <c r="Q58" s="47" t="str">
        <f ca="1">IF(OFFSET(AI58,0,Lang_Order*Lang__B3)="","",OFFSET(AI58,0,Lang_Order*Lang__B3))</f>
        <v>No costing information for this as ultracold services limited in availability</v>
      </c>
      <c r="R58" s="403"/>
      <c r="S58" s="403"/>
      <c r="T58" s="403"/>
      <c r="U58" s="403"/>
      <c r="V58" s="403"/>
      <c r="W58" s="403"/>
      <c r="X58" s="403"/>
      <c r="Y58" s="403"/>
      <c r="Z58" s="403"/>
      <c r="AA58" s="403"/>
      <c r="AB58" s="403"/>
      <c r="AC58" s="403"/>
      <c r="AD58" s="403"/>
      <c r="AE58" s="403"/>
      <c r="AF58" s="403"/>
      <c r="AG58" s="403"/>
      <c r="AH58" s="403"/>
      <c r="AI58" s="403" t="s">
        <v>2765</v>
      </c>
      <c r="AJ58" s="403"/>
      <c r="AK58" s="403"/>
      <c r="AL58" s="403"/>
      <c r="AM58" s="403"/>
      <c r="AN58" s="403"/>
      <c r="AO58" s="403"/>
      <c r="AP58" s="403"/>
      <c r="AQ58" s="403"/>
      <c r="AR58" s="403"/>
      <c r="AS58" s="403"/>
      <c r="AT58" s="403"/>
      <c r="AU58" s="403"/>
      <c r="AV58" s="403"/>
      <c r="AW58" s="403"/>
      <c r="AX58" s="403"/>
      <c r="AY58" s="403"/>
      <c r="AZ58" s="403"/>
      <c r="BA58" s="403"/>
      <c r="BB58" s="403" t="s">
        <v>10272</v>
      </c>
      <c r="BC58" s="403"/>
      <c r="BD58" s="403"/>
      <c r="BE58" s="403"/>
      <c r="BF58" s="403"/>
      <c r="BG58" s="403"/>
      <c r="BH58" s="403"/>
      <c r="BI58" s="403"/>
      <c r="BJ58" s="403"/>
      <c r="BK58" s="403"/>
      <c r="BL58" s="403"/>
      <c r="BM58" s="403"/>
      <c r="BN58" s="403"/>
      <c r="BO58" s="403"/>
      <c r="BP58" s="403"/>
      <c r="BQ58" s="403"/>
      <c r="BR58" s="403"/>
      <c r="BS58" s="403"/>
      <c r="BT58" s="403"/>
      <c r="BU58" s="403" t="s">
        <v>10273</v>
      </c>
      <c r="BV58" s="403"/>
      <c r="BW58" s="403"/>
      <c r="BX58" s="403"/>
      <c r="BY58" s="403"/>
      <c r="BZ58" s="403"/>
      <c r="CA58" s="403"/>
      <c r="CB58" s="403"/>
      <c r="CC58" s="403"/>
      <c r="CD58" s="403"/>
      <c r="CE58" s="403"/>
      <c r="CF58" s="403"/>
      <c r="CG58" s="403"/>
      <c r="CH58" s="403"/>
      <c r="CI58" s="403"/>
      <c r="CJ58" s="403"/>
      <c r="CK58" s="403"/>
      <c r="CL58" s="403"/>
      <c r="CM58" s="403"/>
      <c r="CN58" s="403" t="s">
        <v>10274</v>
      </c>
      <c r="CO58" s="403"/>
      <c r="CP58" s="403"/>
      <c r="CQ58" s="403"/>
      <c r="CR58" s="403"/>
      <c r="CS58" s="403"/>
      <c r="CT58" s="403"/>
      <c r="CU58" s="403"/>
      <c r="CV58" s="403"/>
      <c r="CW58" s="403"/>
      <c r="CX58" s="403"/>
      <c r="CY58" s="403"/>
      <c r="CZ58" s="403"/>
      <c r="DA58" s="403"/>
      <c r="DB58" s="403"/>
      <c r="DC58" s="403"/>
      <c r="DD58" s="403"/>
      <c r="DE58" s="403"/>
      <c r="DF58" s="403"/>
      <c r="DG58" s="403" t="s">
        <v>10275</v>
      </c>
      <c r="DH58" s="403"/>
      <c r="DI58" s="403"/>
      <c r="DJ58" s="403"/>
      <c r="DK58" s="403"/>
      <c r="DL58" s="403"/>
      <c r="DM58" s="403"/>
      <c r="DN58" s="403"/>
      <c r="DO58" s="403"/>
      <c r="DP58" s="403"/>
      <c r="DQ58" s="403"/>
      <c r="DR58" s="403"/>
      <c r="DS58" s="403"/>
      <c r="DT58" s="403"/>
      <c r="DU58" s="403"/>
      <c r="DV58" s="403"/>
      <c r="DW58" s="403"/>
      <c r="DX58" s="403"/>
      <c r="DY58" s="403"/>
      <c r="DZ58" s="403" t="s">
        <v>10276</v>
      </c>
      <c r="EA58" s="403"/>
      <c r="EB58" s="403"/>
      <c r="EC58" s="403"/>
      <c r="ED58" s="403"/>
      <c r="EE58" s="403"/>
      <c r="EF58" s="403"/>
      <c r="EG58" s="403"/>
      <c r="EH58" s="403"/>
      <c r="EI58" s="403"/>
      <c r="EJ58" s="403"/>
      <c r="EK58" s="403"/>
      <c r="EL58" s="403"/>
      <c r="EM58" s="403"/>
      <c r="EN58" s="403"/>
      <c r="EO58" s="403"/>
      <c r="EP58" s="403"/>
      <c r="EQ58" s="403"/>
      <c r="ER58" s="403"/>
      <c r="ES58" s="403" t="s">
        <v>10277</v>
      </c>
    </row>
    <row r="59" spans="2:149" s="150" customFormat="1" x14ac:dyDescent="0.2">
      <c r="B59" s="5" t="str">
        <f ca="1">IF(OFFSET(T59,0,Lang_Order*Lang__B3)="","",OFFSET(T59,0,Lang_Order*Lang__B3))</f>
        <v>Weight of cold chain packaging (kg) per Shipment</v>
      </c>
      <c r="C59" s="165"/>
      <c r="D59" s="181"/>
      <c r="E59" s="181"/>
      <c r="F59" s="181"/>
      <c r="G59" s="181"/>
      <c r="H59" s="181"/>
      <c r="I59" s="16" t="e">
        <f>SUMPRODUCT($E$55:$E$57,I49:I51)+SUMPRODUCT($D$55:$D$57,I43:I45)</f>
        <v>#N/A</v>
      </c>
      <c r="J59" s="16" t="e">
        <f t="shared" ref="J59:N59" si="46">SUMPRODUCT($E$55:$E$57,J49:J51)+SUMPRODUCT($D$55:$D$57,J43:J45)</f>
        <v>#N/A</v>
      </c>
      <c r="K59" s="16" t="e">
        <f t="shared" si="46"/>
        <v>#N/A</v>
      </c>
      <c r="L59" s="16" t="e">
        <f t="shared" si="46"/>
        <v>#N/A</v>
      </c>
      <c r="M59" s="16" t="e">
        <f t="shared" si="46"/>
        <v>#N/A</v>
      </c>
      <c r="N59" s="16" t="e">
        <f t="shared" si="46"/>
        <v>#N/A</v>
      </c>
      <c r="O59" s="16"/>
      <c r="R59" s="403"/>
      <c r="S59" s="403"/>
      <c r="T59" s="403" t="s">
        <v>2781</v>
      </c>
      <c r="U59" s="403"/>
      <c r="V59" s="403"/>
      <c r="W59" s="403"/>
      <c r="X59" s="403"/>
      <c r="Y59" s="403"/>
      <c r="Z59" s="403"/>
      <c r="AA59" s="403"/>
      <c r="AB59" s="403"/>
      <c r="AC59" s="403"/>
      <c r="AD59" s="403"/>
      <c r="AE59" s="403"/>
      <c r="AF59" s="403"/>
      <c r="AG59" s="403"/>
      <c r="AH59" s="403"/>
      <c r="AI59" s="403"/>
      <c r="AJ59" s="403"/>
      <c r="AK59" s="403"/>
      <c r="AL59" s="403"/>
      <c r="AM59" s="403" t="s">
        <v>10290</v>
      </c>
      <c r="AN59" s="403"/>
      <c r="AO59" s="403"/>
      <c r="AP59" s="403"/>
      <c r="AQ59" s="403"/>
      <c r="AR59" s="403"/>
      <c r="AS59" s="403"/>
      <c r="AT59" s="403"/>
      <c r="AU59" s="403"/>
      <c r="AV59" s="403"/>
      <c r="AW59" s="403"/>
      <c r="AX59" s="403"/>
      <c r="AY59" s="403"/>
      <c r="AZ59" s="403"/>
      <c r="BA59" s="403"/>
      <c r="BB59" s="403"/>
      <c r="BC59" s="403"/>
      <c r="BD59" s="403"/>
      <c r="BE59" s="403"/>
      <c r="BF59" s="403" t="s">
        <v>10291</v>
      </c>
      <c r="BG59" s="403"/>
      <c r="BH59" s="403"/>
      <c r="BI59" s="403"/>
      <c r="BJ59" s="403"/>
      <c r="BK59" s="403"/>
      <c r="BL59" s="403"/>
      <c r="BM59" s="403"/>
      <c r="BN59" s="403"/>
      <c r="BO59" s="403"/>
      <c r="BP59" s="403"/>
      <c r="BQ59" s="403"/>
      <c r="BR59" s="403"/>
      <c r="BS59" s="403"/>
      <c r="BT59" s="403"/>
      <c r="BU59" s="403"/>
      <c r="BV59" s="403"/>
      <c r="BW59" s="403"/>
      <c r="BX59" s="403"/>
      <c r="BY59" s="403" t="s">
        <v>10292</v>
      </c>
      <c r="BZ59" s="403"/>
      <c r="CA59" s="403"/>
      <c r="CB59" s="403"/>
      <c r="CC59" s="403"/>
      <c r="CD59" s="403"/>
      <c r="CE59" s="403"/>
      <c r="CF59" s="403"/>
      <c r="CG59" s="403"/>
      <c r="CH59" s="403"/>
      <c r="CI59" s="403"/>
      <c r="CJ59" s="403"/>
      <c r="CK59" s="403"/>
      <c r="CL59" s="403"/>
      <c r="CM59" s="403"/>
      <c r="CN59" s="403"/>
      <c r="CO59" s="403"/>
      <c r="CP59" s="403"/>
      <c r="CQ59" s="403"/>
      <c r="CR59" s="403" t="s">
        <v>10293</v>
      </c>
      <c r="CS59" s="403"/>
      <c r="CT59" s="403"/>
      <c r="CU59" s="403"/>
      <c r="CV59" s="403"/>
      <c r="CW59" s="403"/>
      <c r="CX59" s="403"/>
      <c r="CY59" s="403"/>
      <c r="CZ59" s="403"/>
      <c r="DA59" s="403"/>
      <c r="DB59" s="403"/>
      <c r="DC59" s="403"/>
      <c r="DD59" s="403"/>
      <c r="DE59" s="403"/>
      <c r="DF59" s="403"/>
      <c r="DG59" s="403"/>
      <c r="DH59" s="403"/>
      <c r="DI59" s="403"/>
      <c r="DJ59" s="403"/>
      <c r="DK59" s="403" t="s">
        <v>10294</v>
      </c>
      <c r="DL59" s="403"/>
      <c r="DM59" s="403"/>
      <c r="DN59" s="403"/>
      <c r="DO59" s="403"/>
      <c r="DP59" s="403"/>
      <c r="DQ59" s="403"/>
      <c r="DR59" s="403"/>
      <c r="DS59" s="403"/>
      <c r="DT59" s="403"/>
      <c r="DU59" s="403"/>
      <c r="DV59" s="403"/>
      <c r="DW59" s="403"/>
      <c r="DX59" s="403"/>
      <c r="DY59" s="403"/>
      <c r="DZ59" s="403"/>
      <c r="EA59" s="403"/>
      <c r="EB59" s="403"/>
      <c r="EC59" s="403"/>
      <c r="ED59" s="403" t="s">
        <v>10295</v>
      </c>
      <c r="EE59" s="403"/>
      <c r="EF59" s="403"/>
      <c r="EG59" s="403"/>
      <c r="EH59" s="403"/>
      <c r="EI59" s="403"/>
      <c r="EJ59" s="403"/>
      <c r="EK59" s="403"/>
      <c r="EL59" s="403"/>
      <c r="EM59" s="403"/>
      <c r="EN59" s="403"/>
      <c r="EO59" s="403"/>
      <c r="EP59" s="403"/>
      <c r="EQ59" s="403"/>
      <c r="ER59" s="403"/>
      <c r="ES59" s="403"/>
    </row>
    <row r="60" spans="2:149" s="181" customFormat="1" x14ac:dyDescent="0.2">
      <c r="B60" s="5"/>
      <c r="C60" s="197" t="str">
        <f>'T2. Misc'!G9</f>
        <v>Room temperature</v>
      </c>
      <c r="D60" s="3">
        <f>'T9. Shipping'!P29</f>
        <v>1917.1</v>
      </c>
      <c r="E60" s="3">
        <f>'T9. Shipping'!P19</f>
        <v>702</v>
      </c>
      <c r="I60" s="37"/>
      <c r="J60" s="37"/>
      <c r="K60" s="37"/>
      <c r="L60" s="37"/>
      <c r="M60" s="37"/>
      <c r="N60" s="37"/>
      <c r="O60" s="37"/>
      <c r="R60" s="403"/>
      <c r="S60" s="403"/>
      <c r="T60" s="403"/>
      <c r="U60" s="403"/>
      <c r="V60" s="403"/>
      <c r="W60" s="403"/>
      <c r="X60" s="403"/>
      <c r="Y60" s="403"/>
      <c r="Z60" s="403"/>
      <c r="AA60" s="403"/>
      <c r="AB60" s="403"/>
      <c r="AC60" s="403"/>
      <c r="AD60" s="403"/>
      <c r="AE60" s="403"/>
      <c r="AF60" s="403"/>
      <c r="AG60" s="403"/>
      <c r="AH60" s="403"/>
      <c r="AI60" s="403"/>
      <c r="AJ60" s="403"/>
      <c r="AK60" s="403"/>
      <c r="AL60" s="403"/>
      <c r="AM60" s="403"/>
      <c r="AN60" s="403"/>
      <c r="AO60" s="403"/>
      <c r="AP60" s="403"/>
      <c r="AQ60" s="403"/>
      <c r="AR60" s="403"/>
      <c r="AS60" s="403"/>
      <c r="AT60" s="403"/>
      <c r="AU60" s="403"/>
      <c r="AV60" s="403"/>
      <c r="AW60" s="403"/>
      <c r="AX60" s="403"/>
      <c r="AY60" s="403"/>
      <c r="AZ60" s="403"/>
      <c r="BA60" s="403"/>
      <c r="BB60" s="403"/>
      <c r="BC60" s="403"/>
      <c r="BD60" s="403"/>
      <c r="BE60" s="403"/>
      <c r="BF60" s="403"/>
      <c r="BG60" s="403"/>
      <c r="BH60" s="403"/>
      <c r="BI60" s="403"/>
      <c r="BJ60" s="403"/>
      <c r="BK60" s="403"/>
      <c r="BL60" s="403"/>
      <c r="BM60" s="403"/>
      <c r="BN60" s="403"/>
      <c r="BO60" s="403"/>
      <c r="BP60" s="403"/>
      <c r="BQ60" s="403"/>
      <c r="BR60" s="403"/>
      <c r="BS60" s="403"/>
      <c r="BT60" s="403"/>
      <c r="BU60" s="403"/>
      <c r="BV60" s="403"/>
      <c r="BW60" s="403"/>
      <c r="BX60" s="403"/>
      <c r="BY60" s="403"/>
      <c r="BZ60" s="403"/>
      <c r="CA60" s="403"/>
      <c r="CB60" s="403"/>
      <c r="CC60" s="403"/>
      <c r="CD60" s="403"/>
      <c r="CE60" s="403"/>
      <c r="CF60" s="403"/>
      <c r="CG60" s="403"/>
      <c r="CH60" s="403"/>
      <c r="CI60" s="403"/>
      <c r="CJ60" s="403"/>
      <c r="CK60" s="403"/>
      <c r="CL60" s="403"/>
      <c r="CM60" s="403"/>
      <c r="CN60" s="403"/>
      <c r="CO60" s="403"/>
      <c r="CP60" s="403"/>
      <c r="CQ60" s="403"/>
      <c r="CR60" s="403"/>
      <c r="CS60" s="403"/>
      <c r="CT60" s="403"/>
      <c r="CU60" s="403"/>
      <c r="CV60" s="403"/>
      <c r="CW60" s="403"/>
      <c r="CX60" s="403"/>
      <c r="CY60" s="403"/>
      <c r="CZ60" s="403"/>
      <c r="DA60" s="403"/>
      <c r="DB60" s="403"/>
      <c r="DC60" s="403"/>
      <c r="DD60" s="403"/>
      <c r="DE60" s="403"/>
      <c r="DF60" s="403"/>
      <c r="DG60" s="403"/>
      <c r="DH60" s="403"/>
      <c r="DI60" s="403"/>
      <c r="DJ60" s="403"/>
      <c r="DK60" s="403"/>
      <c r="DL60" s="403"/>
      <c r="DM60" s="403"/>
      <c r="DN60" s="403"/>
      <c r="DO60" s="403"/>
      <c r="DP60" s="403"/>
      <c r="DQ60" s="403"/>
      <c r="DR60" s="403"/>
      <c r="DS60" s="403"/>
      <c r="DT60" s="403"/>
      <c r="DU60" s="403"/>
      <c r="DV60" s="403"/>
      <c r="DW60" s="403"/>
      <c r="DX60" s="403"/>
      <c r="DY60" s="403"/>
      <c r="DZ60" s="403"/>
      <c r="EA60" s="403"/>
      <c r="EB60" s="403"/>
      <c r="EC60" s="403"/>
      <c r="ED60" s="403"/>
      <c r="EE60" s="403"/>
      <c r="EF60" s="403"/>
      <c r="EG60" s="403"/>
      <c r="EH60" s="403"/>
      <c r="EI60" s="403"/>
      <c r="EJ60" s="403"/>
      <c r="EK60" s="403"/>
      <c r="EL60" s="403"/>
      <c r="EM60" s="403"/>
      <c r="EN60" s="403"/>
      <c r="EO60" s="403"/>
      <c r="EP60" s="403"/>
      <c r="EQ60" s="403"/>
      <c r="ER60" s="403"/>
      <c r="ES60" s="403"/>
    </row>
    <row r="61" spans="2:149" s="181" customFormat="1" x14ac:dyDescent="0.2">
      <c r="B61" s="5"/>
      <c r="C61" s="197" t="str">
        <f>'T2. Misc'!G10</f>
        <v>Refrigerated (2 to 8C)</v>
      </c>
      <c r="D61" s="3">
        <f>'T9. Shipping'!P30</f>
        <v>2106</v>
      </c>
      <c r="E61" s="3">
        <f>'T9. Shipping'!P22</f>
        <v>717</v>
      </c>
      <c r="I61" s="37"/>
      <c r="J61" s="37"/>
      <c r="K61" s="37"/>
      <c r="L61" s="37"/>
      <c r="M61" s="37"/>
      <c r="N61" s="37"/>
      <c r="O61" s="37"/>
      <c r="R61" s="403"/>
      <c r="S61" s="403"/>
      <c r="T61" s="403"/>
      <c r="U61" s="403"/>
      <c r="V61" s="403"/>
      <c r="W61" s="403"/>
      <c r="X61" s="403"/>
      <c r="Y61" s="403"/>
      <c r="Z61" s="403"/>
      <c r="AA61" s="403"/>
      <c r="AB61" s="403"/>
      <c r="AC61" s="403"/>
      <c r="AD61" s="403"/>
      <c r="AE61" s="403"/>
      <c r="AF61" s="403"/>
      <c r="AG61" s="403"/>
      <c r="AH61" s="403"/>
      <c r="AI61" s="403"/>
      <c r="AJ61" s="403"/>
      <c r="AK61" s="403"/>
      <c r="AL61" s="403"/>
      <c r="AM61" s="403"/>
      <c r="AN61" s="403"/>
      <c r="AO61" s="403"/>
      <c r="AP61" s="403"/>
      <c r="AQ61" s="403"/>
      <c r="AR61" s="403"/>
      <c r="AS61" s="403"/>
      <c r="AT61" s="403"/>
      <c r="AU61" s="403"/>
      <c r="AV61" s="403"/>
      <c r="AW61" s="403"/>
      <c r="AX61" s="403"/>
      <c r="AY61" s="403"/>
      <c r="AZ61" s="403"/>
      <c r="BA61" s="403"/>
      <c r="BB61" s="403"/>
      <c r="BC61" s="403"/>
      <c r="BD61" s="403"/>
      <c r="BE61" s="403"/>
      <c r="BF61" s="403"/>
      <c r="BG61" s="403"/>
      <c r="BH61" s="403"/>
      <c r="BI61" s="403"/>
      <c r="BJ61" s="403"/>
      <c r="BK61" s="403"/>
      <c r="BL61" s="403"/>
      <c r="BM61" s="403"/>
      <c r="BN61" s="403"/>
      <c r="BO61" s="403"/>
      <c r="BP61" s="403"/>
      <c r="BQ61" s="403"/>
      <c r="BR61" s="403"/>
      <c r="BS61" s="403"/>
      <c r="BT61" s="403"/>
      <c r="BU61" s="403"/>
      <c r="BV61" s="403"/>
      <c r="BW61" s="403"/>
      <c r="BX61" s="403"/>
      <c r="BY61" s="403"/>
      <c r="BZ61" s="403"/>
      <c r="CA61" s="403"/>
      <c r="CB61" s="403"/>
      <c r="CC61" s="403"/>
      <c r="CD61" s="403"/>
      <c r="CE61" s="403"/>
      <c r="CF61" s="403"/>
      <c r="CG61" s="403"/>
      <c r="CH61" s="403"/>
      <c r="CI61" s="403"/>
      <c r="CJ61" s="403"/>
      <c r="CK61" s="403"/>
      <c r="CL61" s="403"/>
      <c r="CM61" s="403"/>
      <c r="CN61" s="403"/>
      <c r="CO61" s="403"/>
      <c r="CP61" s="403"/>
      <c r="CQ61" s="403"/>
      <c r="CR61" s="403"/>
      <c r="CS61" s="403"/>
      <c r="CT61" s="403"/>
      <c r="CU61" s="403"/>
      <c r="CV61" s="403"/>
      <c r="CW61" s="403"/>
      <c r="CX61" s="403"/>
      <c r="CY61" s="403"/>
      <c r="CZ61" s="403"/>
      <c r="DA61" s="403"/>
      <c r="DB61" s="403"/>
      <c r="DC61" s="403"/>
      <c r="DD61" s="403"/>
      <c r="DE61" s="403"/>
      <c r="DF61" s="403"/>
      <c r="DG61" s="403"/>
      <c r="DH61" s="403"/>
      <c r="DI61" s="403"/>
      <c r="DJ61" s="403"/>
      <c r="DK61" s="403"/>
      <c r="DL61" s="403"/>
      <c r="DM61" s="403"/>
      <c r="DN61" s="403"/>
      <c r="DO61" s="403"/>
      <c r="DP61" s="403"/>
      <c r="DQ61" s="403"/>
      <c r="DR61" s="403"/>
      <c r="DS61" s="403"/>
      <c r="DT61" s="403"/>
      <c r="DU61" s="403"/>
      <c r="DV61" s="403"/>
      <c r="DW61" s="403"/>
      <c r="DX61" s="403"/>
      <c r="DY61" s="403"/>
      <c r="DZ61" s="403"/>
      <c r="EA61" s="403"/>
      <c r="EB61" s="403"/>
      <c r="EC61" s="403"/>
      <c r="ED61" s="403"/>
      <c r="EE61" s="403"/>
      <c r="EF61" s="403"/>
      <c r="EG61" s="403"/>
      <c r="EH61" s="403"/>
      <c r="EI61" s="403"/>
      <c r="EJ61" s="403"/>
      <c r="EK61" s="403"/>
      <c r="EL61" s="403"/>
      <c r="EM61" s="403"/>
      <c r="EN61" s="403"/>
      <c r="EO61" s="403"/>
      <c r="EP61" s="403"/>
      <c r="EQ61" s="403"/>
      <c r="ER61" s="403"/>
      <c r="ES61" s="403"/>
    </row>
    <row r="62" spans="2:149" s="181" customFormat="1" x14ac:dyDescent="0.2">
      <c r="B62" s="5"/>
      <c r="C62" s="197" t="str">
        <f>'T2. Misc'!G11</f>
        <v>Frozen (-20C)</v>
      </c>
      <c r="D62" s="3">
        <f>'T9. Shipping'!P31</f>
        <v>2390.5</v>
      </c>
      <c r="E62" s="3">
        <f>'T9. Shipping'!P25</f>
        <v>553</v>
      </c>
      <c r="I62" s="37"/>
      <c r="J62" s="37"/>
      <c r="K62" s="37"/>
      <c r="L62" s="37"/>
      <c r="M62" s="37"/>
      <c r="N62" s="37"/>
      <c r="O62" s="37"/>
      <c r="R62" s="403"/>
      <c r="S62" s="403"/>
      <c r="T62" s="403"/>
      <c r="U62" s="403"/>
      <c r="V62" s="403"/>
      <c r="W62" s="403"/>
      <c r="X62" s="403"/>
      <c r="Y62" s="403"/>
      <c r="Z62" s="403"/>
      <c r="AA62" s="403"/>
      <c r="AB62" s="403"/>
      <c r="AC62" s="403"/>
      <c r="AD62" s="403"/>
      <c r="AE62" s="403"/>
      <c r="AF62" s="403"/>
      <c r="AG62" s="403"/>
      <c r="AH62" s="403"/>
      <c r="AI62" s="403"/>
      <c r="AJ62" s="403"/>
      <c r="AK62" s="403"/>
      <c r="AL62" s="403"/>
      <c r="AM62" s="403"/>
      <c r="AN62" s="403"/>
      <c r="AO62" s="403"/>
      <c r="AP62" s="403"/>
      <c r="AQ62" s="403"/>
      <c r="AR62" s="403"/>
      <c r="AS62" s="403"/>
      <c r="AT62" s="403"/>
      <c r="AU62" s="403"/>
      <c r="AV62" s="403"/>
      <c r="AW62" s="403"/>
      <c r="AX62" s="403"/>
      <c r="AY62" s="403"/>
      <c r="AZ62" s="403"/>
      <c r="BA62" s="403"/>
      <c r="BB62" s="403"/>
      <c r="BC62" s="403"/>
      <c r="BD62" s="403"/>
      <c r="BE62" s="403"/>
      <c r="BF62" s="403"/>
      <c r="BG62" s="403"/>
      <c r="BH62" s="403"/>
      <c r="BI62" s="403"/>
      <c r="BJ62" s="403"/>
      <c r="BK62" s="403"/>
      <c r="BL62" s="403"/>
      <c r="BM62" s="403"/>
      <c r="BN62" s="403"/>
      <c r="BO62" s="403"/>
      <c r="BP62" s="403"/>
      <c r="BQ62" s="403"/>
      <c r="BR62" s="403"/>
      <c r="BS62" s="403"/>
      <c r="BT62" s="403"/>
      <c r="BU62" s="403"/>
      <c r="BV62" s="403"/>
      <c r="BW62" s="403"/>
      <c r="BX62" s="403"/>
      <c r="BY62" s="403"/>
      <c r="BZ62" s="403"/>
      <c r="CA62" s="403"/>
      <c r="CB62" s="403"/>
      <c r="CC62" s="403"/>
      <c r="CD62" s="403"/>
      <c r="CE62" s="403"/>
      <c r="CF62" s="403"/>
      <c r="CG62" s="403"/>
      <c r="CH62" s="403"/>
      <c r="CI62" s="403"/>
      <c r="CJ62" s="403"/>
      <c r="CK62" s="403"/>
      <c r="CL62" s="403"/>
      <c r="CM62" s="403"/>
      <c r="CN62" s="403"/>
      <c r="CO62" s="403"/>
      <c r="CP62" s="403"/>
      <c r="CQ62" s="403"/>
      <c r="CR62" s="403"/>
      <c r="CS62" s="403"/>
      <c r="CT62" s="403"/>
      <c r="CU62" s="403"/>
      <c r="CV62" s="403"/>
      <c r="CW62" s="403"/>
      <c r="CX62" s="403"/>
      <c r="CY62" s="403"/>
      <c r="CZ62" s="403"/>
      <c r="DA62" s="403"/>
      <c r="DB62" s="403"/>
      <c r="DC62" s="403"/>
      <c r="DD62" s="403"/>
      <c r="DE62" s="403"/>
      <c r="DF62" s="403"/>
      <c r="DG62" s="403"/>
      <c r="DH62" s="403"/>
      <c r="DI62" s="403"/>
      <c r="DJ62" s="403"/>
      <c r="DK62" s="403"/>
      <c r="DL62" s="403"/>
      <c r="DM62" s="403"/>
      <c r="DN62" s="403"/>
      <c r="DO62" s="403"/>
      <c r="DP62" s="403"/>
      <c r="DQ62" s="403"/>
      <c r="DR62" s="403"/>
      <c r="DS62" s="403"/>
      <c r="DT62" s="403"/>
      <c r="DU62" s="403"/>
      <c r="DV62" s="403"/>
      <c r="DW62" s="403"/>
      <c r="DX62" s="403"/>
      <c r="DY62" s="403"/>
      <c r="DZ62" s="403"/>
      <c r="EA62" s="403"/>
      <c r="EB62" s="403"/>
      <c r="EC62" s="403"/>
      <c r="ED62" s="403"/>
      <c r="EE62" s="403"/>
      <c r="EF62" s="403"/>
      <c r="EG62" s="403"/>
      <c r="EH62" s="403"/>
      <c r="EI62" s="403"/>
      <c r="EJ62" s="403"/>
      <c r="EK62" s="403"/>
      <c r="EL62" s="403"/>
      <c r="EM62" s="403"/>
      <c r="EN62" s="403"/>
      <c r="EO62" s="403"/>
      <c r="EP62" s="403"/>
      <c r="EQ62" s="403"/>
      <c r="ER62" s="403"/>
      <c r="ES62" s="403"/>
    </row>
    <row r="63" spans="2:149" s="193" customFormat="1" x14ac:dyDescent="0.2">
      <c r="B63" s="5"/>
      <c r="C63" s="197" t="str">
        <f>'T2. Misc'!G12</f>
        <v>Ultra-cold (-60 to -80C)</v>
      </c>
      <c r="D63" s="3">
        <v>0</v>
      </c>
      <c r="E63" s="3">
        <v>0</v>
      </c>
      <c r="I63" s="37"/>
      <c r="J63" s="37"/>
      <c r="K63" s="37"/>
      <c r="L63" s="37"/>
      <c r="M63" s="37"/>
      <c r="N63" s="37"/>
      <c r="O63" s="37"/>
      <c r="Q63" s="47" t="str">
        <f ca="1">IF(OFFSET(AI63,0,Lang_Order*Lang__B3)="","",OFFSET(AI63,0,Lang_Order*Lang__B3))</f>
        <v>No costing information for this as ultracold services limited in availability</v>
      </c>
      <c r="R63" s="403"/>
      <c r="S63" s="403"/>
      <c r="T63" s="403"/>
      <c r="U63" s="403"/>
      <c r="V63" s="403"/>
      <c r="W63" s="403"/>
      <c r="X63" s="403"/>
      <c r="Y63" s="403"/>
      <c r="Z63" s="403"/>
      <c r="AA63" s="403"/>
      <c r="AB63" s="403"/>
      <c r="AC63" s="403"/>
      <c r="AD63" s="403"/>
      <c r="AE63" s="403"/>
      <c r="AF63" s="403"/>
      <c r="AG63" s="403"/>
      <c r="AH63" s="403"/>
      <c r="AI63" s="403" t="s">
        <v>2765</v>
      </c>
      <c r="AJ63" s="403"/>
      <c r="AK63" s="403"/>
      <c r="AL63" s="403"/>
      <c r="AM63" s="403"/>
      <c r="AN63" s="403"/>
      <c r="AO63" s="403"/>
      <c r="AP63" s="403"/>
      <c r="AQ63" s="403"/>
      <c r="AR63" s="403"/>
      <c r="AS63" s="403"/>
      <c r="AT63" s="403"/>
      <c r="AU63" s="403"/>
      <c r="AV63" s="403"/>
      <c r="AW63" s="403"/>
      <c r="AX63" s="403"/>
      <c r="AY63" s="403"/>
      <c r="AZ63" s="403"/>
      <c r="BA63" s="403"/>
      <c r="BB63" s="403" t="s">
        <v>10272</v>
      </c>
      <c r="BC63" s="403"/>
      <c r="BD63" s="403"/>
      <c r="BE63" s="403"/>
      <c r="BF63" s="403"/>
      <c r="BG63" s="403"/>
      <c r="BH63" s="403"/>
      <c r="BI63" s="403"/>
      <c r="BJ63" s="403"/>
      <c r="BK63" s="403"/>
      <c r="BL63" s="403"/>
      <c r="BM63" s="403"/>
      <c r="BN63" s="403"/>
      <c r="BO63" s="403"/>
      <c r="BP63" s="403"/>
      <c r="BQ63" s="403"/>
      <c r="BR63" s="403"/>
      <c r="BS63" s="403"/>
      <c r="BT63" s="403"/>
      <c r="BU63" s="403" t="s">
        <v>10273</v>
      </c>
      <c r="BV63" s="403"/>
      <c r="BW63" s="403"/>
      <c r="BX63" s="403"/>
      <c r="BY63" s="403"/>
      <c r="BZ63" s="403"/>
      <c r="CA63" s="403"/>
      <c r="CB63" s="403"/>
      <c r="CC63" s="403"/>
      <c r="CD63" s="403"/>
      <c r="CE63" s="403"/>
      <c r="CF63" s="403"/>
      <c r="CG63" s="403"/>
      <c r="CH63" s="403"/>
      <c r="CI63" s="403"/>
      <c r="CJ63" s="403"/>
      <c r="CK63" s="403"/>
      <c r="CL63" s="403"/>
      <c r="CM63" s="403"/>
      <c r="CN63" s="403" t="s">
        <v>10274</v>
      </c>
      <c r="CO63" s="403"/>
      <c r="CP63" s="403"/>
      <c r="CQ63" s="403"/>
      <c r="CR63" s="403"/>
      <c r="CS63" s="403"/>
      <c r="CT63" s="403"/>
      <c r="CU63" s="403"/>
      <c r="CV63" s="403"/>
      <c r="CW63" s="403"/>
      <c r="CX63" s="403"/>
      <c r="CY63" s="403"/>
      <c r="CZ63" s="403"/>
      <c r="DA63" s="403"/>
      <c r="DB63" s="403"/>
      <c r="DC63" s="403"/>
      <c r="DD63" s="403"/>
      <c r="DE63" s="403"/>
      <c r="DF63" s="403"/>
      <c r="DG63" s="403" t="s">
        <v>10275</v>
      </c>
      <c r="DH63" s="403"/>
      <c r="DI63" s="403"/>
      <c r="DJ63" s="403"/>
      <c r="DK63" s="403"/>
      <c r="DL63" s="403"/>
      <c r="DM63" s="403"/>
      <c r="DN63" s="403"/>
      <c r="DO63" s="403"/>
      <c r="DP63" s="403"/>
      <c r="DQ63" s="403"/>
      <c r="DR63" s="403"/>
      <c r="DS63" s="403"/>
      <c r="DT63" s="403"/>
      <c r="DU63" s="403"/>
      <c r="DV63" s="403"/>
      <c r="DW63" s="403"/>
      <c r="DX63" s="403"/>
      <c r="DY63" s="403"/>
      <c r="DZ63" s="403" t="s">
        <v>10276</v>
      </c>
      <c r="EA63" s="403"/>
      <c r="EB63" s="403"/>
      <c r="EC63" s="403"/>
      <c r="ED63" s="403"/>
      <c r="EE63" s="403"/>
      <c r="EF63" s="403"/>
      <c r="EG63" s="403"/>
      <c r="EH63" s="403"/>
      <c r="EI63" s="403"/>
      <c r="EJ63" s="403"/>
      <c r="EK63" s="403"/>
      <c r="EL63" s="403"/>
      <c r="EM63" s="403"/>
      <c r="EN63" s="403"/>
      <c r="EO63" s="403"/>
      <c r="EP63" s="403"/>
      <c r="EQ63" s="403"/>
      <c r="ER63" s="403"/>
      <c r="ES63" s="403" t="s">
        <v>10277</v>
      </c>
    </row>
    <row r="64" spans="2:149" s="181" customFormat="1" x14ac:dyDescent="0.2">
      <c r="B64" s="5" t="str">
        <f ca="1">IF(OFFSET(T64,0,Lang_Order*Lang__B3)="","",OFFSET(T64,0,Lang_Order*Lang__B3))</f>
        <v>Price of cold chain packaging per Shipment</v>
      </c>
      <c r="I64" s="37" t="e">
        <f t="shared" ref="I64:N64" si="47">SUMPRODUCT($E$60:$E$62,I55:I57)+SUMPRODUCT($D$60:$D$62,I49:I51)</f>
        <v>#N/A</v>
      </c>
      <c r="J64" s="37" t="e">
        <f t="shared" si="47"/>
        <v>#N/A</v>
      </c>
      <c r="K64" s="37" t="e">
        <f t="shared" si="47"/>
        <v>#N/A</v>
      </c>
      <c r="L64" s="37" t="e">
        <f t="shared" si="47"/>
        <v>#N/A</v>
      </c>
      <c r="M64" s="37" t="e">
        <f t="shared" si="47"/>
        <v>#N/A</v>
      </c>
      <c r="N64" s="37" t="e">
        <f t="shared" si="47"/>
        <v>#N/A</v>
      </c>
      <c r="O64" s="37"/>
      <c r="R64" s="403"/>
      <c r="S64" s="403"/>
      <c r="T64" s="403" t="s">
        <v>2782</v>
      </c>
      <c r="U64" s="403"/>
      <c r="V64" s="403"/>
      <c r="W64" s="403"/>
      <c r="X64" s="403"/>
      <c r="Y64" s="403"/>
      <c r="Z64" s="403"/>
      <c r="AA64" s="403"/>
      <c r="AB64" s="403"/>
      <c r="AC64" s="403"/>
      <c r="AD64" s="403"/>
      <c r="AE64" s="403"/>
      <c r="AF64" s="403"/>
      <c r="AG64" s="403"/>
      <c r="AH64" s="403"/>
      <c r="AI64" s="403"/>
      <c r="AJ64" s="403"/>
      <c r="AK64" s="403"/>
      <c r="AL64" s="403"/>
      <c r="AM64" s="403" t="s">
        <v>10296</v>
      </c>
      <c r="AN64" s="403"/>
      <c r="AO64" s="403"/>
      <c r="AP64" s="403"/>
      <c r="AQ64" s="403"/>
      <c r="AR64" s="403"/>
      <c r="AS64" s="403"/>
      <c r="AT64" s="403"/>
      <c r="AU64" s="403"/>
      <c r="AV64" s="403"/>
      <c r="AW64" s="403"/>
      <c r="AX64" s="403"/>
      <c r="AY64" s="403"/>
      <c r="AZ64" s="403"/>
      <c r="BA64" s="403"/>
      <c r="BB64" s="403"/>
      <c r="BC64" s="403"/>
      <c r="BD64" s="403"/>
      <c r="BE64" s="403"/>
      <c r="BF64" s="403" t="s">
        <v>10297</v>
      </c>
      <c r="BG64" s="403"/>
      <c r="BH64" s="403"/>
      <c r="BI64" s="403"/>
      <c r="BJ64" s="403"/>
      <c r="BK64" s="403"/>
      <c r="BL64" s="403"/>
      <c r="BM64" s="403"/>
      <c r="BN64" s="403"/>
      <c r="BO64" s="403"/>
      <c r="BP64" s="403"/>
      <c r="BQ64" s="403"/>
      <c r="BR64" s="403"/>
      <c r="BS64" s="403"/>
      <c r="BT64" s="403"/>
      <c r="BU64" s="403"/>
      <c r="BV64" s="403"/>
      <c r="BW64" s="403"/>
      <c r="BX64" s="403"/>
      <c r="BY64" s="403" t="s">
        <v>10298</v>
      </c>
      <c r="BZ64" s="403"/>
      <c r="CA64" s="403"/>
      <c r="CB64" s="403"/>
      <c r="CC64" s="403"/>
      <c r="CD64" s="403"/>
      <c r="CE64" s="403"/>
      <c r="CF64" s="403"/>
      <c r="CG64" s="403"/>
      <c r="CH64" s="403"/>
      <c r="CI64" s="403"/>
      <c r="CJ64" s="403"/>
      <c r="CK64" s="403"/>
      <c r="CL64" s="403"/>
      <c r="CM64" s="403"/>
      <c r="CN64" s="403"/>
      <c r="CO64" s="403"/>
      <c r="CP64" s="403"/>
      <c r="CQ64" s="403"/>
      <c r="CR64" s="403" t="s">
        <v>10299</v>
      </c>
      <c r="CS64" s="403"/>
      <c r="CT64" s="403"/>
      <c r="CU64" s="403"/>
      <c r="CV64" s="403"/>
      <c r="CW64" s="403"/>
      <c r="CX64" s="403"/>
      <c r="CY64" s="403"/>
      <c r="CZ64" s="403"/>
      <c r="DA64" s="403"/>
      <c r="DB64" s="403"/>
      <c r="DC64" s="403"/>
      <c r="DD64" s="403"/>
      <c r="DE64" s="403"/>
      <c r="DF64" s="403"/>
      <c r="DG64" s="403"/>
      <c r="DH64" s="403"/>
      <c r="DI64" s="403"/>
      <c r="DJ64" s="403"/>
      <c r="DK64" s="403" t="s">
        <v>10300</v>
      </c>
      <c r="DL64" s="403"/>
      <c r="DM64" s="403"/>
      <c r="DN64" s="403"/>
      <c r="DO64" s="403"/>
      <c r="DP64" s="403"/>
      <c r="DQ64" s="403"/>
      <c r="DR64" s="403"/>
      <c r="DS64" s="403"/>
      <c r="DT64" s="403"/>
      <c r="DU64" s="403"/>
      <c r="DV64" s="403"/>
      <c r="DW64" s="403"/>
      <c r="DX64" s="403"/>
      <c r="DY64" s="403"/>
      <c r="DZ64" s="403"/>
      <c r="EA64" s="403"/>
      <c r="EB64" s="403"/>
      <c r="EC64" s="403"/>
      <c r="ED64" s="403" t="s">
        <v>10301</v>
      </c>
      <c r="EE64" s="403"/>
      <c r="EF64" s="403"/>
      <c r="EG64" s="403"/>
      <c r="EH64" s="403"/>
      <c r="EI64" s="403"/>
      <c r="EJ64" s="403"/>
      <c r="EK64" s="403"/>
      <c r="EL64" s="403"/>
      <c r="EM64" s="403"/>
      <c r="EN64" s="403"/>
      <c r="EO64" s="403"/>
      <c r="EP64" s="403"/>
      <c r="EQ64" s="403"/>
      <c r="ER64" s="403"/>
      <c r="ES64" s="403"/>
    </row>
    <row r="65" spans="1:149" s="181" customFormat="1" x14ac:dyDescent="0.2">
      <c r="R65" s="403"/>
      <c r="S65" s="403"/>
      <c r="T65" s="403"/>
      <c r="U65" s="403"/>
      <c r="V65" s="403"/>
      <c r="W65" s="403"/>
      <c r="X65" s="403"/>
      <c r="Y65" s="403"/>
      <c r="Z65" s="403"/>
      <c r="AA65" s="403"/>
      <c r="AB65" s="403"/>
      <c r="AC65" s="403"/>
      <c r="AD65" s="403"/>
      <c r="AE65" s="403"/>
      <c r="AF65" s="403"/>
      <c r="AG65" s="403"/>
      <c r="AH65" s="403"/>
      <c r="AI65" s="403"/>
      <c r="AJ65" s="403"/>
      <c r="AK65" s="403"/>
      <c r="AL65" s="403"/>
      <c r="AM65" s="403"/>
      <c r="AN65" s="403"/>
      <c r="AO65" s="403"/>
      <c r="AP65" s="403"/>
      <c r="AQ65" s="403"/>
      <c r="AR65" s="403"/>
      <c r="AS65" s="403"/>
      <c r="AT65" s="403"/>
      <c r="AU65" s="403"/>
      <c r="AV65" s="403"/>
      <c r="AW65" s="403"/>
      <c r="AX65" s="403"/>
      <c r="AY65" s="403"/>
      <c r="AZ65" s="403"/>
      <c r="BA65" s="403"/>
      <c r="BB65" s="403"/>
      <c r="BC65" s="403"/>
      <c r="BD65" s="403"/>
      <c r="BE65" s="403"/>
      <c r="BF65" s="403"/>
      <c r="BG65" s="403"/>
      <c r="BH65" s="403"/>
      <c r="BI65" s="403"/>
      <c r="BJ65" s="403"/>
      <c r="BK65" s="403"/>
      <c r="BL65" s="403"/>
      <c r="BM65" s="403"/>
      <c r="BN65" s="403"/>
      <c r="BO65" s="403"/>
      <c r="BP65" s="403"/>
      <c r="BQ65" s="403"/>
      <c r="BR65" s="403"/>
      <c r="BS65" s="403"/>
      <c r="BT65" s="403"/>
      <c r="BU65" s="403"/>
      <c r="BV65" s="403"/>
      <c r="BW65" s="403"/>
      <c r="BX65" s="403"/>
      <c r="BY65" s="403"/>
      <c r="BZ65" s="403"/>
      <c r="CA65" s="403"/>
      <c r="CB65" s="403"/>
      <c r="CC65" s="403"/>
      <c r="CD65" s="403"/>
      <c r="CE65" s="403"/>
      <c r="CF65" s="403"/>
      <c r="CG65" s="403"/>
      <c r="CH65" s="403"/>
      <c r="CI65" s="403"/>
      <c r="CJ65" s="403"/>
      <c r="CK65" s="403"/>
      <c r="CL65" s="403"/>
      <c r="CM65" s="403"/>
      <c r="CN65" s="403"/>
      <c r="CO65" s="403"/>
      <c r="CP65" s="403"/>
      <c r="CQ65" s="403"/>
      <c r="CR65" s="403"/>
      <c r="CS65" s="403"/>
      <c r="CT65" s="403"/>
      <c r="CU65" s="403"/>
      <c r="CV65" s="403"/>
      <c r="CW65" s="403"/>
      <c r="CX65" s="403"/>
      <c r="CY65" s="403"/>
      <c r="CZ65" s="403"/>
      <c r="DA65" s="403"/>
      <c r="DB65" s="403"/>
      <c r="DC65" s="403"/>
      <c r="DD65" s="403"/>
      <c r="DE65" s="403"/>
      <c r="DF65" s="403"/>
      <c r="DG65" s="403"/>
      <c r="DH65" s="403"/>
      <c r="DI65" s="403"/>
      <c r="DJ65" s="403"/>
      <c r="DK65" s="403"/>
      <c r="DL65" s="403"/>
      <c r="DM65" s="403"/>
      <c r="DN65" s="403"/>
      <c r="DO65" s="403"/>
      <c r="DP65" s="403"/>
      <c r="DQ65" s="403"/>
      <c r="DR65" s="403"/>
      <c r="DS65" s="403"/>
      <c r="DT65" s="403"/>
      <c r="DU65" s="403"/>
      <c r="DV65" s="403"/>
      <c r="DW65" s="403"/>
      <c r="DX65" s="403"/>
      <c r="DY65" s="403"/>
      <c r="DZ65" s="403"/>
      <c r="EA65" s="403"/>
      <c r="EB65" s="403"/>
      <c r="EC65" s="403"/>
      <c r="ED65" s="403"/>
      <c r="EE65" s="403"/>
      <c r="EF65" s="403"/>
      <c r="EG65" s="403"/>
      <c r="EH65" s="403"/>
      <c r="EI65" s="403"/>
      <c r="EJ65" s="403"/>
      <c r="EK65" s="403"/>
      <c r="EL65" s="403"/>
      <c r="EM65" s="403"/>
      <c r="EN65" s="403"/>
      <c r="EO65" s="403"/>
      <c r="EP65" s="403"/>
      <c r="EQ65" s="403"/>
      <c r="ER65" s="403"/>
      <c r="ES65" s="403"/>
    </row>
    <row r="66" spans="1:149" s="181" customFormat="1" ht="15" x14ac:dyDescent="0.25">
      <c r="I66" s="148" t="str">
        <f ca="1">IF(OFFSET(AA66,0,Lang_Order*Lang__B3)="","",OFFSET(AA66,0,Lang_Order*Lang__B3))</f>
        <v>Billing weight and Shipment Costs</v>
      </c>
      <c r="J66" s="148"/>
      <c r="K66" s="148"/>
      <c r="L66" s="148"/>
      <c r="M66" s="148"/>
      <c r="N66" s="148"/>
      <c r="O66" s="180"/>
      <c r="R66" s="403"/>
      <c r="S66" s="403"/>
      <c r="T66" s="403"/>
      <c r="U66" s="403"/>
      <c r="V66" s="403"/>
      <c r="W66" s="403"/>
      <c r="X66" s="403"/>
      <c r="Y66" s="403"/>
      <c r="Z66" s="403"/>
      <c r="AA66" s="403" t="s">
        <v>2790</v>
      </c>
      <c r="AB66" s="403"/>
      <c r="AC66" s="403"/>
      <c r="AD66" s="403"/>
      <c r="AE66" s="403"/>
      <c r="AF66" s="403"/>
      <c r="AG66" s="403"/>
      <c r="AH66" s="403"/>
      <c r="AI66" s="403"/>
      <c r="AJ66" s="403"/>
      <c r="AK66" s="403"/>
      <c r="AL66" s="403"/>
      <c r="AM66" s="403"/>
      <c r="AN66" s="403"/>
      <c r="AO66" s="403"/>
      <c r="AP66" s="403"/>
      <c r="AQ66" s="403"/>
      <c r="AR66" s="403"/>
      <c r="AS66" s="403"/>
      <c r="AT66" s="403" t="s">
        <v>10302</v>
      </c>
      <c r="AU66" s="403"/>
      <c r="AV66" s="403"/>
      <c r="AW66" s="403"/>
      <c r="AX66" s="403"/>
      <c r="AY66" s="403"/>
      <c r="AZ66" s="403"/>
      <c r="BA66" s="403"/>
      <c r="BB66" s="403"/>
      <c r="BC66" s="403"/>
      <c r="BD66" s="403"/>
      <c r="BE66" s="403"/>
      <c r="BF66" s="403"/>
      <c r="BG66" s="403"/>
      <c r="BH66" s="403"/>
      <c r="BI66" s="403"/>
      <c r="BJ66" s="403"/>
      <c r="BK66" s="403"/>
      <c r="BL66" s="403"/>
      <c r="BM66" s="403" t="s">
        <v>10303</v>
      </c>
      <c r="BN66" s="403"/>
      <c r="BO66" s="403"/>
      <c r="BP66" s="403"/>
      <c r="BQ66" s="403"/>
      <c r="BR66" s="403"/>
      <c r="BS66" s="403"/>
      <c r="BT66" s="403"/>
      <c r="BU66" s="403"/>
      <c r="BV66" s="403"/>
      <c r="BW66" s="403"/>
      <c r="BX66" s="403"/>
      <c r="BY66" s="403"/>
      <c r="BZ66" s="403"/>
      <c r="CA66" s="403"/>
      <c r="CB66" s="403"/>
      <c r="CC66" s="403"/>
      <c r="CD66" s="403"/>
      <c r="CE66" s="403"/>
      <c r="CF66" s="403" t="s">
        <v>10304</v>
      </c>
      <c r="CG66" s="403"/>
      <c r="CH66" s="403"/>
      <c r="CI66" s="403"/>
      <c r="CJ66" s="403"/>
      <c r="CK66" s="403"/>
      <c r="CL66" s="403"/>
      <c r="CM66" s="403"/>
      <c r="CN66" s="403"/>
      <c r="CO66" s="403"/>
      <c r="CP66" s="403"/>
      <c r="CQ66" s="403"/>
      <c r="CR66" s="403"/>
      <c r="CS66" s="403"/>
      <c r="CT66" s="403"/>
      <c r="CU66" s="403"/>
      <c r="CV66" s="403"/>
      <c r="CW66" s="403"/>
      <c r="CX66" s="403"/>
      <c r="CY66" s="403" t="s">
        <v>10305</v>
      </c>
      <c r="CZ66" s="403"/>
      <c r="DA66" s="403"/>
      <c r="DB66" s="403"/>
      <c r="DC66" s="403"/>
      <c r="DD66" s="403"/>
      <c r="DE66" s="403"/>
      <c r="DF66" s="403"/>
      <c r="DG66" s="403"/>
      <c r="DH66" s="403"/>
      <c r="DI66" s="403"/>
      <c r="DJ66" s="403"/>
      <c r="DK66" s="403"/>
      <c r="DL66" s="403"/>
      <c r="DM66" s="403"/>
      <c r="DN66" s="403"/>
      <c r="DO66" s="403"/>
      <c r="DP66" s="403"/>
      <c r="DQ66" s="403"/>
      <c r="DR66" s="403" t="s">
        <v>10306</v>
      </c>
      <c r="DS66" s="403"/>
      <c r="DT66" s="403"/>
      <c r="DU66" s="403"/>
      <c r="DV66" s="403"/>
      <c r="DW66" s="403"/>
      <c r="DX66" s="403"/>
      <c r="DY66" s="403"/>
      <c r="DZ66" s="403"/>
      <c r="EA66" s="403"/>
      <c r="EB66" s="403"/>
      <c r="EC66" s="403"/>
      <c r="ED66" s="403"/>
      <c r="EE66" s="403"/>
      <c r="EF66" s="403"/>
      <c r="EG66" s="403"/>
      <c r="EH66" s="403"/>
      <c r="EI66" s="403"/>
      <c r="EJ66" s="403"/>
      <c r="EK66" s="403" t="s">
        <v>10307</v>
      </c>
      <c r="EL66" s="403"/>
      <c r="EM66" s="403"/>
      <c r="EN66" s="403"/>
      <c r="EO66" s="403"/>
      <c r="EP66" s="403"/>
      <c r="EQ66" s="403"/>
      <c r="ER66" s="403"/>
      <c r="ES66" s="403"/>
    </row>
    <row r="67" spans="1:149" s="181" customFormat="1" x14ac:dyDescent="0.2">
      <c r="B67" s="5" t="str">
        <f t="shared" ref="B67:B74" ca="1" si="48">IF(OFFSET(T67,0,Lang_Order*Lang__B3)="","",OFFSET(T67,0,Lang_Order*Lang__B3))</f>
        <v>Pallet Volumetric Weight</v>
      </c>
      <c r="C67" s="142">
        <f>'T9. Shipping'!M29</f>
        <v>595.21331999999995</v>
      </c>
      <c r="I67" s="111"/>
      <c r="J67" s="111"/>
      <c r="K67" s="111"/>
      <c r="L67" s="111"/>
      <c r="M67" s="111"/>
      <c r="N67" s="111"/>
      <c r="O67" s="37"/>
      <c r="R67" s="403"/>
      <c r="S67" s="403"/>
      <c r="T67" s="403" t="s">
        <v>2784</v>
      </c>
      <c r="U67" s="403"/>
      <c r="V67" s="403"/>
      <c r="W67" s="403"/>
      <c r="X67" s="403"/>
      <c r="Y67" s="403"/>
      <c r="Z67" s="403"/>
      <c r="AA67" s="403"/>
      <c r="AB67" s="403"/>
      <c r="AC67" s="403"/>
      <c r="AD67" s="403"/>
      <c r="AE67" s="403"/>
      <c r="AF67" s="403"/>
      <c r="AG67" s="403"/>
      <c r="AH67" s="403"/>
      <c r="AI67" s="403"/>
      <c r="AJ67" s="403"/>
      <c r="AK67" s="403"/>
      <c r="AL67" s="403"/>
      <c r="AM67" s="403" t="s">
        <v>10308</v>
      </c>
      <c r="AN67" s="403"/>
      <c r="AO67" s="403"/>
      <c r="AP67" s="403"/>
      <c r="AQ67" s="403"/>
      <c r="AR67" s="403"/>
      <c r="AS67" s="403"/>
      <c r="AT67" s="403"/>
      <c r="AU67" s="403"/>
      <c r="AV67" s="403"/>
      <c r="AW67" s="403"/>
      <c r="AX67" s="403"/>
      <c r="AY67" s="403"/>
      <c r="AZ67" s="403"/>
      <c r="BA67" s="403"/>
      <c r="BB67" s="403"/>
      <c r="BC67" s="403"/>
      <c r="BD67" s="403"/>
      <c r="BE67" s="403"/>
      <c r="BF67" s="403" t="s">
        <v>10309</v>
      </c>
      <c r="BG67" s="403"/>
      <c r="BH67" s="403"/>
      <c r="BI67" s="403"/>
      <c r="BJ67" s="403"/>
      <c r="BK67" s="403"/>
      <c r="BL67" s="403"/>
      <c r="BM67" s="403"/>
      <c r="BN67" s="403"/>
      <c r="BO67" s="403"/>
      <c r="BP67" s="403"/>
      <c r="BQ67" s="403"/>
      <c r="BR67" s="403"/>
      <c r="BS67" s="403"/>
      <c r="BT67" s="403"/>
      <c r="BU67" s="403"/>
      <c r="BV67" s="403"/>
      <c r="BW67" s="403"/>
      <c r="BX67" s="403"/>
      <c r="BY67" s="403" t="s">
        <v>10310</v>
      </c>
      <c r="BZ67" s="403"/>
      <c r="CA67" s="403"/>
      <c r="CB67" s="403"/>
      <c r="CC67" s="403"/>
      <c r="CD67" s="403"/>
      <c r="CE67" s="403"/>
      <c r="CF67" s="403"/>
      <c r="CG67" s="403"/>
      <c r="CH67" s="403"/>
      <c r="CI67" s="403"/>
      <c r="CJ67" s="403"/>
      <c r="CK67" s="403"/>
      <c r="CL67" s="403"/>
      <c r="CM67" s="403"/>
      <c r="CN67" s="403"/>
      <c r="CO67" s="403"/>
      <c r="CP67" s="403"/>
      <c r="CQ67" s="403"/>
      <c r="CR67" s="403" t="s">
        <v>10311</v>
      </c>
      <c r="CS67" s="403"/>
      <c r="CT67" s="403"/>
      <c r="CU67" s="403"/>
      <c r="CV67" s="403"/>
      <c r="CW67" s="403"/>
      <c r="CX67" s="403"/>
      <c r="CY67" s="403"/>
      <c r="CZ67" s="403"/>
      <c r="DA67" s="403"/>
      <c r="DB67" s="403"/>
      <c r="DC67" s="403"/>
      <c r="DD67" s="403"/>
      <c r="DE67" s="403"/>
      <c r="DF67" s="403"/>
      <c r="DG67" s="403"/>
      <c r="DH67" s="403"/>
      <c r="DI67" s="403"/>
      <c r="DJ67" s="403"/>
      <c r="DK67" s="403" t="s">
        <v>10312</v>
      </c>
      <c r="DL67" s="403"/>
      <c r="DM67" s="403"/>
      <c r="DN67" s="403"/>
      <c r="DO67" s="403"/>
      <c r="DP67" s="403"/>
      <c r="DQ67" s="403"/>
      <c r="DR67" s="403"/>
      <c r="DS67" s="403"/>
      <c r="DT67" s="403"/>
      <c r="DU67" s="403"/>
      <c r="DV67" s="403"/>
      <c r="DW67" s="403"/>
      <c r="DX67" s="403"/>
      <c r="DY67" s="403"/>
      <c r="DZ67" s="403"/>
      <c r="EA67" s="403"/>
      <c r="EB67" s="403"/>
      <c r="EC67" s="403"/>
      <c r="ED67" s="403" t="s">
        <v>10313</v>
      </c>
      <c r="EE67" s="403"/>
      <c r="EF67" s="403"/>
      <c r="EG67" s="403"/>
      <c r="EH67" s="403"/>
      <c r="EI67" s="403"/>
      <c r="EJ67" s="403"/>
      <c r="EK67" s="403"/>
      <c r="EL67" s="403"/>
      <c r="EM67" s="403"/>
      <c r="EN67" s="403"/>
      <c r="EO67" s="403"/>
      <c r="EP67" s="403"/>
      <c r="EQ67" s="403"/>
      <c r="ER67" s="403"/>
      <c r="ES67" s="403"/>
    </row>
    <row r="68" spans="1:149" s="181" customFormat="1" x14ac:dyDescent="0.2">
      <c r="B68" s="5" t="str">
        <f t="shared" ca="1" si="48"/>
        <v>Parcel Volumetric Weight</v>
      </c>
      <c r="C68" s="142">
        <f>'T9. Shipping'!M19</f>
        <v>27.644975999999996</v>
      </c>
      <c r="I68" s="111"/>
      <c r="J68" s="111"/>
      <c r="K68" s="111"/>
      <c r="L68" s="111"/>
      <c r="M68" s="111"/>
      <c r="N68" s="111"/>
      <c r="O68" s="37"/>
      <c r="R68" s="403"/>
      <c r="S68" s="403"/>
      <c r="T68" s="403" t="s">
        <v>2785</v>
      </c>
      <c r="U68" s="403"/>
      <c r="V68" s="403"/>
      <c r="W68" s="403"/>
      <c r="X68" s="403"/>
      <c r="Y68" s="403"/>
      <c r="Z68" s="403"/>
      <c r="AA68" s="403"/>
      <c r="AB68" s="403"/>
      <c r="AC68" s="403"/>
      <c r="AD68" s="403"/>
      <c r="AE68" s="403"/>
      <c r="AF68" s="403"/>
      <c r="AG68" s="403"/>
      <c r="AH68" s="403"/>
      <c r="AI68" s="403"/>
      <c r="AJ68" s="403"/>
      <c r="AK68" s="403"/>
      <c r="AL68" s="403"/>
      <c r="AM68" s="403" t="s">
        <v>10314</v>
      </c>
      <c r="AN68" s="403"/>
      <c r="AO68" s="403"/>
      <c r="AP68" s="403"/>
      <c r="AQ68" s="403"/>
      <c r="AR68" s="403"/>
      <c r="AS68" s="403"/>
      <c r="AT68" s="403"/>
      <c r="AU68" s="403"/>
      <c r="AV68" s="403"/>
      <c r="AW68" s="403"/>
      <c r="AX68" s="403"/>
      <c r="AY68" s="403"/>
      <c r="AZ68" s="403"/>
      <c r="BA68" s="403"/>
      <c r="BB68" s="403"/>
      <c r="BC68" s="403"/>
      <c r="BD68" s="403"/>
      <c r="BE68" s="403"/>
      <c r="BF68" s="403" t="s">
        <v>10315</v>
      </c>
      <c r="BG68" s="403"/>
      <c r="BH68" s="403"/>
      <c r="BI68" s="403"/>
      <c r="BJ68" s="403"/>
      <c r="BK68" s="403"/>
      <c r="BL68" s="403"/>
      <c r="BM68" s="403"/>
      <c r="BN68" s="403"/>
      <c r="BO68" s="403"/>
      <c r="BP68" s="403"/>
      <c r="BQ68" s="403"/>
      <c r="BR68" s="403"/>
      <c r="BS68" s="403"/>
      <c r="BT68" s="403"/>
      <c r="BU68" s="403"/>
      <c r="BV68" s="403"/>
      <c r="BW68" s="403"/>
      <c r="BX68" s="403"/>
      <c r="BY68" s="403" t="s">
        <v>10316</v>
      </c>
      <c r="BZ68" s="403"/>
      <c r="CA68" s="403"/>
      <c r="CB68" s="403"/>
      <c r="CC68" s="403"/>
      <c r="CD68" s="403"/>
      <c r="CE68" s="403"/>
      <c r="CF68" s="403"/>
      <c r="CG68" s="403"/>
      <c r="CH68" s="403"/>
      <c r="CI68" s="403"/>
      <c r="CJ68" s="403"/>
      <c r="CK68" s="403"/>
      <c r="CL68" s="403"/>
      <c r="CM68" s="403"/>
      <c r="CN68" s="403"/>
      <c r="CO68" s="403"/>
      <c r="CP68" s="403"/>
      <c r="CQ68" s="403"/>
      <c r="CR68" s="403" t="s">
        <v>10317</v>
      </c>
      <c r="CS68" s="403"/>
      <c r="CT68" s="403"/>
      <c r="CU68" s="403"/>
      <c r="CV68" s="403"/>
      <c r="CW68" s="403"/>
      <c r="CX68" s="403"/>
      <c r="CY68" s="403"/>
      <c r="CZ68" s="403"/>
      <c r="DA68" s="403"/>
      <c r="DB68" s="403"/>
      <c r="DC68" s="403"/>
      <c r="DD68" s="403"/>
      <c r="DE68" s="403"/>
      <c r="DF68" s="403"/>
      <c r="DG68" s="403"/>
      <c r="DH68" s="403"/>
      <c r="DI68" s="403"/>
      <c r="DJ68" s="403"/>
      <c r="DK68" s="403" t="s">
        <v>10318</v>
      </c>
      <c r="DL68" s="403"/>
      <c r="DM68" s="403"/>
      <c r="DN68" s="403"/>
      <c r="DO68" s="403"/>
      <c r="DP68" s="403"/>
      <c r="DQ68" s="403"/>
      <c r="DR68" s="403"/>
      <c r="DS68" s="403"/>
      <c r="DT68" s="403"/>
      <c r="DU68" s="403"/>
      <c r="DV68" s="403"/>
      <c r="DW68" s="403"/>
      <c r="DX68" s="403"/>
      <c r="DY68" s="403"/>
      <c r="DZ68" s="403"/>
      <c r="EA68" s="403"/>
      <c r="EB68" s="403"/>
      <c r="EC68" s="403"/>
      <c r="ED68" s="403" t="s">
        <v>10319</v>
      </c>
      <c r="EE68" s="403"/>
      <c r="EF68" s="403"/>
      <c r="EG68" s="403"/>
      <c r="EH68" s="403"/>
      <c r="EI68" s="403"/>
      <c r="EJ68" s="403"/>
      <c r="EK68" s="403"/>
      <c r="EL68" s="403"/>
      <c r="EM68" s="403"/>
      <c r="EN68" s="403"/>
      <c r="EO68" s="403"/>
      <c r="EP68" s="403"/>
      <c r="EQ68" s="403"/>
      <c r="ER68" s="403"/>
      <c r="ES68" s="403"/>
    </row>
    <row r="69" spans="1:149" s="183" customFormat="1" x14ac:dyDescent="0.2">
      <c r="B69" s="5" t="str">
        <f t="shared" ca="1" si="48"/>
        <v>Volumetric Weight</v>
      </c>
      <c r="I69" s="146" t="e">
        <f>(I47*$C$67)+(I53*$C$68)</f>
        <v>#N/A</v>
      </c>
      <c r="J69" s="146" t="e">
        <f t="shared" ref="J69:N69" si="49">(J47*$C$67)+(J53*$C$68)</f>
        <v>#N/A</v>
      </c>
      <c r="K69" s="146" t="e">
        <f t="shared" si="49"/>
        <v>#N/A</v>
      </c>
      <c r="L69" s="146" t="e">
        <f t="shared" si="49"/>
        <v>#N/A</v>
      </c>
      <c r="M69" s="146" t="e">
        <f t="shared" si="49"/>
        <v>#N/A</v>
      </c>
      <c r="N69" s="146" t="e">
        <f t="shared" si="49"/>
        <v>#N/A</v>
      </c>
      <c r="R69" s="403"/>
      <c r="S69" s="403"/>
      <c r="T69" s="403" t="s">
        <v>2783</v>
      </c>
      <c r="U69" s="403"/>
      <c r="V69" s="403"/>
      <c r="W69" s="403"/>
      <c r="X69" s="403"/>
      <c r="Y69" s="403"/>
      <c r="Z69" s="403"/>
      <c r="AA69" s="403"/>
      <c r="AB69" s="403"/>
      <c r="AC69" s="403"/>
      <c r="AD69" s="403"/>
      <c r="AE69" s="403"/>
      <c r="AF69" s="403"/>
      <c r="AG69" s="403"/>
      <c r="AH69" s="403"/>
      <c r="AI69" s="403"/>
      <c r="AJ69" s="403"/>
      <c r="AK69" s="403"/>
      <c r="AL69" s="403"/>
      <c r="AM69" s="403" t="s">
        <v>10320</v>
      </c>
      <c r="AN69" s="403"/>
      <c r="AO69" s="403"/>
      <c r="AP69" s="403"/>
      <c r="AQ69" s="403"/>
      <c r="AR69" s="403"/>
      <c r="AS69" s="403"/>
      <c r="AT69" s="403"/>
      <c r="AU69" s="403"/>
      <c r="AV69" s="403"/>
      <c r="AW69" s="403"/>
      <c r="AX69" s="403"/>
      <c r="AY69" s="403"/>
      <c r="AZ69" s="403"/>
      <c r="BA69" s="403"/>
      <c r="BB69" s="403"/>
      <c r="BC69" s="403"/>
      <c r="BD69" s="403"/>
      <c r="BE69" s="403"/>
      <c r="BF69" s="403" t="s">
        <v>10321</v>
      </c>
      <c r="BG69" s="403"/>
      <c r="BH69" s="403"/>
      <c r="BI69" s="403"/>
      <c r="BJ69" s="403"/>
      <c r="BK69" s="403"/>
      <c r="BL69" s="403"/>
      <c r="BM69" s="403"/>
      <c r="BN69" s="403"/>
      <c r="BO69" s="403"/>
      <c r="BP69" s="403"/>
      <c r="BQ69" s="403"/>
      <c r="BR69" s="403"/>
      <c r="BS69" s="403"/>
      <c r="BT69" s="403"/>
      <c r="BU69" s="403"/>
      <c r="BV69" s="403"/>
      <c r="BW69" s="403"/>
      <c r="BX69" s="403"/>
      <c r="BY69" s="403" t="s">
        <v>10322</v>
      </c>
      <c r="BZ69" s="403"/>
      <c r="CA69" s="403"/>
      <c r="CB69" s="403"/>
      <c r="CC69" s="403"/>
      <c r="CD69" s="403"/>
      <c r="CE69" s="403"/>
      <c r="CF69" s="403"/>
      <c r="CG69" s="403"/>
      <c r="CH69" s="403"/>
      <c r="CI69" s="403"/>
      <c r="CJ69" s="403"/>
      <c r="CK69" s="403"/>
      <c r="CL69" s="403"/>
      <c r="CM69" s="403"/>
      <c r="CN69" s="403"/>
      <c r="CO69" s="403"/>
      <c r="CP69" s="403"/>
      <c r="CQ69" s="403"/>
      <c r="CR69" s="403" t="s">
        <v>10322</v>
      </c>
      <c r="CS69" s="403"/>
      <c r="CT69" s="403"/>
      <c r="CU69" s="403"/>
      <c r="CV69" s="403"/>
      <c r="CW69" s="403"/>
      <c r="CX69" s="403"/>
      <c r="CY69" s="403"/>
      <c r="CZ69" s="403"/>
      <c r="DA69" s="403"/>
      <c r="DB69" s="403"/>
      <c r="DC69" s="403"/>
      <c r="DD69" s="403"/>
      <c r="DE69" s="403"/>
      <c r="DF69" s="403"/>
      <c r="DG69" s="403"/>
      <c r="DH69" s="403"/>
      <c r="DI69" s="403"/>
      <c r="DJ69" s="403"/>
      <c r="DK69" s="403" t="s">
        <v>10323</v>
      </c>
      <c r="DL69" s="403"/>
      <c r="DM69" s="403"/>
      <c r="DN69" s="403"/>
      <c r="DO69" s="403"/>
      <c r="DP69" s="403"/>
      <c r="DQ69" s="403"/>
      <c r="DR69" s="403"/>
      <c r="DS69" s="403"/>
      <c r="DT69" s="403"/>
      <c r="DU69" s="403"/>
      <c r="DV69" s="403"/>
      <c r="DW69" s="403"/>
      <c r="DX69" s="403"/>
      <c r="DY69" s="403"/>
      <c r="DZ69" s="403"/>
      <c r="EA69" s="403"/>
      <c r="EB69" s="403"/>
      <c r="EC69" s="403"/>
      <c r="ED69" s="403" t="s">
        <v>10324</v>
      </c>
      <c r="EE69" s="403"/>
      <c r="EF69" s="403"/>
      <c r="EG69" s="403"/>
      <c r="EH69" s="403"/>
      <c r="EI69" s="403"/>
      <c r="EJ69" s="403"/>
      <c r="EK69" s="403"/>
      <c r="EL69" s="403"/>
      <c r="EM69" s="403"/>
      <c r="EN69" s="403"/>
      <c r="EO69" s="403"/>
      <c r="EP69" s="403"/>
      <c r="EQ69" s="403"/>
      <c r="ER69" s="403"/>
      <c r="ES69" s="403"/>
    </row>
    <row r="70" spans="1:149" s="183" customFormat="1" x14ac:dyDescent="0.2">
      <c r="B70" s="6" t="str">
        <f t="shared" ca="1" si="48"/>
        <v>Actual Weight</v>
      </c>
      <c r="I70" s="146" t="e">
        <f t="shared" ref="I70:N70" si="50">I21+I59</f>
        <v>#N/A</v>
      </c>
      <c r="J70" s="146" t="e">
        <f t="shared" si="50"/>
        <v>#N/A</v>
      </c>
      <c r="K70" s="146" t="e">
        <f t="shared" si="50"/>
        <v>#N/A</v>
      </c>
      <c r="L70" s="146" t="e">
        <f t="shared" si="50"/>
        <v>#N/A</v>
      </c>
      <c r="M70" s="146" t="e">
        <f t="shared" si="50"/>
        <v>#N/A</v>
      </c>
      <c r="N70" s="146" t="e">
        <f t="shared" si="50"/>
        <v>#N/A</v>
      </c>
      <c r="R70" s="403"/>
      <c r="S70" s="403"/>
      <c r="T70" s="403" t="s">
        <v>2789</v>
      </c>
      <c r="U70" s="403"/>
      <c r="V70" s="403"/>
      <c r="W70" s="403"/>
      <c r="X70" s="403"/>
      <c r="Y70" s="403"/>
      <c r="Z70" s="403"/>
      <c r="AA70" s="403"/>
      <c r="AB70" s="403"/>
      <c r="AC70" s="403"/>
      <c r="AD70" s="403"/>
      <c r="AE70" s="403"/>
      <c r="AF70" s="403"/>
      <c r="AG70" s="403"/>
      <c r="AH70" s="403"/>
      <c r="AI70" s="403"/>
      <c r="AJ70" s="403"/>
      <c r="AK70" s="403"/>
      <c r="AL70" s="403"/>
      <c r="AM70" s="403" t="s">
        <v>10325</v>
      </c>
      <c r="AN70" s="403"/>
      <c r="AO70" s="403"/>
      <c r="AP70" s="403"/>
      <c r="AQ70" s="403"/>
      <c r="AR70" s="403"/>
      <c r="AS70" s="403"/>
      <c r="AT70" s="403"/>
      <c r="AU70" s="403"/>
      <c r="AV70" s="403"/>
      <c r="AW70" s="403"/>
      <c r="AX70" s="403"/>
      <c r="AY70" s="403"/>
      <c r="AZ70" s="403"/>
      <c r="BA70" s="403"/>
      <c r="BB70" s="403"/>
      <c r="BC70" s="403"/>
      <c r="BD70" s="403"/>
      <c r="BE70" s="403"/>
      <c r="BF70" s="403" t="s">
        <v>10326</v>
      </c>
      <c r="BG70" s="403"/>
      <c r="BH70" s="403"/>
      <c r="BI70" s="403"/>
      <c r="BJ70" s="403"/>
      <c r="BK70" s="403"/>
      <c r="BL70" s="403"/>
      <c r="BM70" s="403"/>
      <c r="BN70" s="403"/>
      <c r="BO70" s="403"/>
      <c r="BP70" s="403"/>
      <c r="BQ70" s="403"/>
      <c r="BR70" s="403"/>
      <c r="BS70" s="403"/>
      <c r="BT70" s="403"/>
      <c r="BU70" s="403"/>
      <c r="BV70" s="403"/>
      <c r="BW70" s="403"/>
      <c r="BX70" s="403"/>
      <c r="BY70" s="403" t="s">
        <v>10327</v>
      </c>
      <c r="BZ70" s="403"/>
      <c r="CA70" s="403"/>
      <c r="CB70" s="403"/>
      <c r="CC70" s="403"/>
      <c r="CD70" s="403"/>
      <c r="CE70" s="403"/>
      <c r="CF70" s="403"/>
      <c r="CG70" s="403"/>
      <c r="CH70" s="403"/>
      <c r="CI70" s="403"/>
      <c r="CJ70" s="403"/>
      <c r="CK70" s="403"/>
      <c r="CL70" s="403"/>
      <c r="CM70" s="403"/>
      <c r="CN70" s="403"/>
      <c r="CO70" s="403"/>
      <c r="CP70" s="403"/>
      <c r="CQ70" s="403"/>
      <c r="CR70" s="403" t="s">
        <v>10327</v>
      </c>
      <c r="CS70" s="403"/>
      <c r="CT70" s="403"/>
      <c r="CU70" s="403"/>
      <c r="CV70" s="403"/>
      <c r="CW70" s="403"/>
      <c r="CX70" s="403"/>
      <c r="CY70" s="403"/>
      <c r="CZ70" s="403"/>
      <c r="DA70" s="403"/>
      <c r="DB70" s="403"/>
      <c r="DC70" s="403"/>
      <c r="DD70" s="403"/>
      <c r="DE70" s="403"/>
      <c r="DF70" s="403"/>
      <c r="DG70" s="403"/>
      <c r="DH70" s="403"/>
      <c r="DI70" s="403"/>
      <c r="DJ70" s="403"/>
      <c r="DK70" s="403" t="s">
        <v>10328</v>
      </c>
      <c r="DL70" s="403"/>
      <c r="DM70" s="403"/>
      <c r="DN70" s="403"/>
      <c r="DO70" s="403"/>
      <c r="DP70" s="403"/>
      <c r="DQ70" s="403"/>
      <c r="DR70" s="403"/>
      <c r="DS70" s="403"/>
      <c r="DT70" s="403"/>
      <c r="DU70" s="403"/>
      <c r="DV70" s="403"/>
      <c r="DW70" s="403"/>
      <c r="DX70" s="403"/>
      <c r="DY70" s="403"/>
      <c r="DZ70" s="403"/>
      <c r="EA70" s="403"/>
      <c r="EB70" s="403"/>
      <c r="EC70" s="403"/>
      <c r="ED70" s="403" t="s">
        <v>10329</v>
      </c>
      <c r="EE70" s="403"/>
      <c r="EF70" s="403"/>
      <c r="EG70" s="403"/>
      <c r="EH70" s="403"/>
      <c r="EI70" s="403"/>
      <c r="EJ70" s="403"/>
      <c r="EK70" s="403"/>
      <c r="EL70" s="403"/>
      <c r="EM70" s="403"/>
      <c r="EN70" s="403"/>
      <c r="EO70" s="403"/>
      <c r="EP70" s="403"/>
      <c r="EQ70" s="403"/>
      <c r="ER70" s="403"/>
      <c r="ES70" s="403"/>
    </row>
    <row r="71" spans="1:149" s="181" customFormat="1" x14ac:dyDescent="0.2">
      <c r="A71" s="183"/>
      <c r="B71" s="6" t="str">
        <f t="shared" ca="1" si="48"/>
        <v>Billing Weight</v>
      </c>
      <c r="I71" s="146" t="e">
        <f t="shared" ref="I71:N71" si="51">MAX(I69,I70)</f>
        <v>#N/A</v>
      </c>
      <c r="J71" s="146" t="e">
        <f t="shared" si="51"/>
        <v>#N/A</v>
      </c>
      <c r="K71" s="146" t="e">
        <f t="shared" si="51"/>
        <v>#N/A</v>
      </c>
      <c r="L71" s="146" t="e">
        <f t="shared" si="51"/>
        <v>#N/A</v>
      </c>
      <c r="M71" s="146" t="e">
        <f t="shared" si="51"/>
        <v>#N/A</v>
      </c>
      <c r="N71" s="146" t="e">
        <f t="shared" si="51"/>
        <v>#N/A</v>
      </c>
      <c r="O71" s="37"/>
      <c r="R71" s="403"/>
      <c r="S71" s="403"/>
      <c r="T71" s="403" t="s">
        <v>2791</v>
      </c>
      <c r="U71" s="403"/>
      <c r="V71" s="403"/>
      <c r="W71" s="403"/>
      <c r="X71" s="403"/>
      <c r="Y71" s="403"/>
      <c r="Z71" s="403"/>
      <c r="AA71" s="403"/>
      <c r="AB71" s="403"/>
      <c r="AC71" s="403"/>
      <c r="AD71" s="403"/>
      <c r="AE71" s="403"/>
      <c r="AF71" s="403"/>
      <c r="AG71" s="403"/>
      <c r="AH71" s="403"/>
      <c r="AI71" s="403"/>
      <c r="AJ71" s="403"/>
      <c r="AK71" s="403"/>
      <c r="AL71" s="403"/>
      <c r="AM71" s="403" t="s">
        <v>10330</v>
      </c>
      <c r="AN71" s="403"/>
      <c r="AO71" s="403"/>
      <c r="AP71" s="403"/>
      <c r="AQ71" s="403"/>
      <c r="AR71" s="403"/>
      <c r="AS71" s="403"/>
      <c r="AT71" s="403"/>
      <c r="AU71" s="403"/>
      <c r="AV71" s="403"/>
      <c r="AW71" s="403"/>
      <c r="AX71" s="403"/>
      <c r="AY71" s="403"/>
      <c r="AZ71" s="403"/>
      <c r="BA71" s="403"/>
      <c r="BB71" s="403"/>
      <c r="BC71" s="403"/>
      <c r="BD71" s="403"/>
      <c r="BE71" s="403"/>
      <c r="BF71" s="403" t="s">
        <v>10331</v>
      </c>
      <c r="BG71" s="403"/>
      <c r="BH71" s="403"/>
      <c r="BI71" s="403"/>
      <c r="BJ71" s="403"/>
      <c r="BK71" s="403"/>
      <c r="BL71" s="403"/>
      <c r="BM71" s="403"/>
      <c r="BN71" s="403"/>
      <c r="BO71" s="403"/>
      <c r="BP71" s="403"/>
      <c r="BQ71" s="403"/>
      <c r="BR71" s="403"/>
      <c r="BS71" s="403"/>
      <c r="BT71" s="403"/>
      <c r="BU71" s="403"/>
      <c r="BV71" s="403"/>
      <c r="BW71" s="403"/>
      <c r="BX71" s="403"/>
      <c r="BY71" s="403" t="s">
        <v>10332</v>
      </c>
      <c r="BZ71" s="403"/>
      <c r="CA71" s="403"/>
      <c r="CB71" s="403"/>
      <c r="CC71" s="403"/>
      <c r="CD71" s="403"/>
      <c r="CE71" s="403"/>
      <c r="CF71" s="403"/>
      <c r="CG71" s="403"/>
      <c r="CH71" s="403"/>
      <c r="CI71" s="403"/>
      <c r="CJ71" s="403"/>
      <c r="CK71" s="403"/>
      <c r="CL71" s="403"/>
      <c r="CM71" s="403"/>
      <c r="CN71" s="403"/>
      <c r="CO71" s="403"/>
      <c r="CP71" s="403"/>
      <c r="CQ71" s="403"/>
      <c r="CR71" s="403" t="s">
        <v>10333</v>
      </c>
      <c r="CS71" s="403"/>
      <c r="CT71" s="403"/>
      <c r="CU71" s="403"/>
      <c r="CV71" s="403"/>
      <c r="CW71" s="403"/>
      <c r="CX71" s="403"/>
      <c r="CY71" s="403"/>
      <c r="CZ71" s="403"/>
      <c r="DA71" s="403"/>
      <c r="DB71" s="403"/>
      <c r="DC71" s="403"/>
      <c r="DD71" s="403"/>
      <c r="DE71" s="403"/>
      <c r="DF71" s="403"/>
      <c r="DG71" s="403"/>
      <c r="DH71" s="403"/>
      <c r="DI71" s="403"/>
      <c r="DJ71" s="403"/>
      <c r="DK71" s="403" t="s">
        <v>10334</v>
      </c>
      <c r="DL71" s="403"/>
      <c r="DM71" s="403"/>
      <c r="DN71" s="403"/>
      <c r="DO71" s="403"/>
      <c r="DP71" s="403"/>
      <c r="DQ71" s="403"/>
      <c r="DR71" s="403"/>
      <c r="DS71" s="403"/>
      <c r="DT71" s="403"/>
      <c r="DU71" s="403"/>
      <c r="DV71" s="403"/>
      <c r="DW71" s="403"/>
      <c r="DX71" s="403"/>
      <c r="DY71" s="403"/>
      <c r="DZ71" s="403"/>
      <c r="EA71" s="403"/>
      <c r="EB71" s="403"/>
      <c r="EC71" s="403"/>
      <c r="ED71" s="403" t="s">
        <v>10335</v>
      </c>
      <c r="EE71" s="403"/>
      <c r="EF71" s="403"/>
      <c r="EG71" s="403"/>
      <c r="EH71" s="403"/>
      <c r="EI71" s="403"/>
      <c r="EJ71" s="403"/>
      <c r="EK71" s="403"/>
      <c r="EL71" s="403"/>
      <c r="EM71" s="403"/>
      <c r="EN71" s="403"/>
      <c r="EO71" s="403"/>
      <c r="EP71" s="403"/>
      <c r="EQ71" s="403"/>
      <c r="ER71" s="403"/>
      <c r="ES71" s="403"/>
    </row>
    <row r="72" spans="1:149" s="181" customFormat="1" x14ac:dyDescent="0.2">
      <c r="B72" s="6" t="str">
        <f t="shared" ca="1" si="48"/>
        <v>Shipping Costs per Shipment</v>
      </c>
      <c r="I72" s="37" t="e">
        <f t="shared" ref="I72:N72" si="52">IF(I71&lt;=100,I71*Shipping_perkg_first100,(Shipping_perkg_first100*100)+((I71-100)*Shipping_perkg_above100))</f>
        <v>#N/A</v>
      </c>
      <c r="J72" s="37" t="e">
        <f t="shared" si="52"/>
        <v>#N/A</v>
      </c>
      <c r="K72" s="37" t="e">
        <f t="shared" si="52"/>
        <v>#N/A</v>
      </c>
      <c r="L72" s="37" t="e">
        <f t="shared" si="52"/>
        <v>#N/A</v>
      </c>
      <c r="M72" s="37" t="e">
        <f t="shared" si="52"/>
        <v>#N/A</v>
      </c>
      <c r="N72" s="37" t="e">
        <f t="shared" si="52"/>
        <v>#N/A</v>
      </c>
      <c r="O72" s="37"/>
      <c r="R72" s="403"/>
      <c r="S72" s="403"/>
      <c r="T72" s="403" t="s">
        <v>2792</v>
      </c>
      <c r="U72" s="403"/>
      <c r="V72" s="403"/>
      <c r="W72" s="403"/>
      <c r="X72" s="403"/>
      <c r="Y72" s="403"/>
      <c r="Z72" s="403"/>
      <c r="AA72" s="403"/>
      <c r="AB72" s="403"/>
      <c r="AC72" s="403"/>
      <c r="AD72" s="403"/>
      <c r="AE72" s="403"/>
      <c r="AF72" s="403"/>
      <c r="AG72" s="403"/>
      <c r="AH72" s="403"/>
      <c r="AI72" s="403"/>
      <c r="AJ72" s="403"/>
      <c r="AK72" s="403"/>
      <c r="AL72" s="403"/>
      <c r="AM72" s="403" t="s">
        <v>10336</v>
      </c>
      <c r="AN72" s="403"/>
      <c r="AO72" s="403"/>
      <c r="AP72" s="403"/>
      <c r="AQ72" s="403"/>
      <c r="AR72" s="403"/>
      <c r="AS72" s="403"/>
      <c r="AT72" s="403"/>
      <c r="AU72" s="403"/>
      <c r="AV72" s="403"/>
      <c r="AW72" s="403"/>
      <c r="AX72" s="403"/>
      <c r="AY72" s="403"/>
      <c r="AZ72" s="403"/>
      <c r="BA72" s="403"/>
      <c r="BB72" s="403"/>
      <c r="BC72" s="403"/>
      <c r="BD72" s="403"/>
      <c r="BE72" s="403"/>
      <c r="BF72" s="403" t="s">
        <v>10337</v>
      </c>
      <c r="BG72" s="403"/>
      <c r="BH72" s="403"/>
      <c r="BI72" s="403"/>
      <c r="BJ72" s="403"/>
      <c r="BK72" s="403"/>
      <c r="BL72" s="403"/>
      <c r="BM72" s="403"/>
      <c r="BN72" s="403"/>
      <c r="BO72" s="403"/>
      <c r="BP72" s="403"/>
      <c r="BQ72" s="403"/>
      <c r="BR72" s="403"/>
      <c r="BS72" s="403"/>
      <c r="BT72" s="403"/>
      <c r="BU72" s="403"/>
      <c r="BV72" s="403"/>
      <c r="BW72" s="403"/>
      <c r="BX72" s="403"/>
      <c r="BY72" s="403" t="s">
        <v>10338</v>
      </c>
      <c r="BZ72" s="403"/>
      <c r="CA72" s="403"/>
      <c r="CB72" s="403"/>
      <c r="CC72" s="403"/>
      <c r="CD72" s="403"/>
      <c r="CE72" s="403"/>
      <c r="CF72" s="403"/>
      <c r="CG72" s="403"/>
      <c r="CH72" s="403"/>
      <c r="CI72" s="403"/>
      <c r="CJ72" s="403"/>
      <c r="CK72" s="403"/>
      <c r="CL72" s="403"/>
      <c r="CM72" s="403"/>
      <c r="CN72" s="403"/>
      <c r="CO72" s="403"/>
      <c r="CP72" s="403"/>
      <c r="CQ72" s="403"/>
      <c r="CR72" s="403" t="s">
        <v>10339</v>
      </c>
      <c r="CS72" s="403"/>
      <c r="CT72" s="403"/>
      <c r="CU72" s="403"/>
      <c r="CV72" s="403"/>
      <c r="CW72" s="403"/>
      <c r="CX72" s="403"/>
      <c r="CY72" s="403"/>
      <c r="CZ72" s="403"/>
      <c r="DA72" s="403"/>
      <c r="DB72" s="403"/>
      <c r="DC72" s="403"/>
      <c r="DD72" s="403"/>
      <c r="DE72" s="403"/>
      <c r="DF72" s="403"/>
      <c r="DG72" s="403"/>
      <c r="DH72" s="403"/>
      <c r="DI72" s="403"/>
      <c r="DJ72" s="403"/>
      <c r="DK72" s="403" t="s">
        <v>10340</v>
      </c>
      <c r="DL72" s="403"/>
      <c r="DM72" s="403"/>
      <c r="DN72" s="403"/>
      <c r="DO72" s="403"/>
      <c r="DP72" s="403"/>
      <c r="DQ72" s="403"/>
      <c r="DR72" s="403"/>
      <c r="DS72" s="403"/>
      <c r="DT72" s="403"/>
      <c r="DU72" s="403"/>
      <c r="DV72" s="403"/>
      <c r="DW72" s="403"/>
      <c r="DX72" s="403"/>
      <c r="DY72" s="403"/>
      <c r="DZ72" s="403"/>
      <c r="EA72" s="403"/>
      <c r="EB72" s="403"/>
      <c r="EC72" s="403"/>
      <c r="ED72" s="403" t="s">
        <v>10341</v>
      </c>
      <c r="EE72" s="403"/>
      <c r="EF72" s="403"/>
      <c r="EG72" s="403"/>
      <c r="EH72" s="403"/>
      <c r="EI72" s="403"/>
      <c r="EJ72" s="403"/>
      <c r="EK72" s="403"/>
      <c r="EL72" s="403"/>
      <c r="EM72" s="403"/>
      <c r="EN72" s="403"/>
      <c r="EO72" s="403"/>
      <c r="EP72" s="403"/>
      <c r="EQ72" s="403"/>
      <c r="ER72" s="403"/>
      <c r="ES72" s="403"/>
    </row>
    <row r="73" spans="1:149" ht="13.5" thickBot="1" x14ac:dyDescent="0.25">
      <c r="B73" s="190" t="str">
        <f t="shared" ca="1" si="48"/>
        <v>Shipping Costs per Period</v>
      </c>
      <c r="C73" s="20"/>
      <c r="D73" s="20"/>
      <c r="E73" s="20"/>
      <c r="F73" s="20"/>
      <c r="G73" s="20"/>
      <c r="H73" s="20"/>
      <c r="I73" s="118" t="e">
        <f>I72*I7</f>
        <v>#N/A</v>
      </c>
      <c r="J73" s="118" t="e">
        <f t="shared" ref="J73:N73" si="53">J72*J7</f>
        <v>#N/A</v>
      </c>
      <c r="K73" s="118" t="e">
        <f t="shared" si="53"/>
        <v>#N/A</v>
      </c>
      <c r="L73" s="118" t="e">
        <f t="shared" si="53"/>
        <v>#N/A</v>
      </c>
      <c r="M73" s="118" t="e">
        <f t="shared" si="53"/>
        <v>#N/A</v>
      </c>
      <c r="N73" s="118" t="e">
        <f t="shared" si="53"/>
        <v>#N/A</v>
      </c>
      <c r="O73" s="118" t="e">
        <f>SUM(I73:N73)</f>
        <v>#N/A</v>
      </c>
      <c r="T73" s="403" t="s">
        <v>2793</v>
      </c>
      <c r="AM73" s="403" t="s">
        <v>10342</v>
      </c>
      <c r="BF73" s="403" t="s">
        <v>10343</v>
      </c>
      <c r="BY73" s="403" t="s">
        <v>10344</v>
      </c>
      <c r="CR73" s="403" t="s">
        <v>10345</v>
      </c>
      <c r="DK73" s="403" t="s">
        <v>10346</v>
      </c>
      <c r="ED73" s="403" t="s">
        <v>10347</v>
      </c>
    </row>
    <row r="74" spans="1:149" s="2" customFormat="1" ht="13.5" thickTop="1" x14ac:dyDescent="0.2">
      <c r="B74" s="196" t="str">
        <f t="shared" ca="1" si="48"/>
        <v>Shipments</v>
      </c>
      <c r="I74" s="2" t="e">
        <f>I7*IF((I35+I41)&gt;0,1,0)</f>
        <v>#N/A</v>
      </c>
      <c r="J74" s="2" t="e">
        <f t="shared" ref="J74:N74" si="54">J7*IF((J35+J41)&gt;0,1,0)</f>
        <v>#N/A</v>
      </c>
      <c r="K74" s="2" t="e">
        <f t="shared" si="54"/>
        <v>#N/A</v>
      </c>
      <c r="L74" s="2" t="e">
        <f t="shared" si="54"/>
        <v>#N/A</v>
      </c>
      <c r="M74" s="2" t="e">
        <f t="shared" si="54"/>
        <v>#N/A</v>
      </c>
      <c r="N74" s="2" t="e">
        <f t="shared" si="54"/>
        <v>#N/A</v>
      </c>
      <c r="O74" s="199"/>
      <c r="R74" s="403"/>
      <c r="S74" s="403"/>
      <c r="T74" s="403" t="s">
        <v>2803</v>
      </c>
      <c r="U74" s="403"/>
      <c r="V74" s="403"/>
      <c r="W74" s="403"/>
      <c r="X74" s="403"/>
      <c r="Y74" s="403"/>
      <c r="Z74" s="403"/>
      <c r="AA74" s="403"/>
      <c r="AB74" s="403"/>
      <c r="AC74" s="403"/>
      <c r="AD74" s="403"/>
      <c r="AE74" s="403"/>
      <c r="AF74" s="403"/>
      <c r="AG74" s="403"/>
      <c r="AH74" s="403"/>
      <c r="AI74" s="403"/>
      <c r="AJ74" s="403"/>
      <c r="AK74" s="403"/>
      <c r="AL74" s="403"/>
      <c r="AM74" s="403" t="s">
        <v>10348</v>
      </c>
      <c r="AN74" s="403"/>
      <c r="AO74" s="403"/>
      <c r="AP74" s="403"/>
      <c r="AQ74" s="403"/>
      <c r="AR74" s="403"/>
      <c r="AS74" s="403"/>
      <c r="AT74" s="403"/>
      <c r="AU74" s="403"/>
      <c r="AV74" s="403"/>
      <c r="AW74" s="403"/>
      <c r="AX74" s="403"/>
      <c r="AY74" s="403"/>
      <c r="AZ74" s="403"/>
      <c r="BA74" s="403"/>
      <c r="BB74" s="403"/>
      <c r="BC74" s="403"/>
      <c r="BD74" s="403"/>
      <c r="BE74" s="403"/>
      <c r="BF74" s="403" t="s">
        <v>10349</v>
      </c>
      <c r="BG74" s="403"/>
      <c r="BH74" s="403"/>
      <c r="BI74" s="403"/>
      <c r="BJ74" s="403"/>
      <c r="BK74" s="403"/>
      <c r="BL74" s="403"/>
      <c r="BM74" s="403"/>
      <c r="BN74" s="403"/>
      <c r="BO74" s="403"/>
      <c r="BP74" s="403"/>
      <c r="BQ74" s="403"/>
      <c r="BR74" s="403"/>
      <c r="BS74" s="403"/>
      <c r="BT74" s="403"/>
      <c r="BU74" s="403"/>
      <c r="BV74" s="403"/>
      <c r="BW74" s="403"/>
      <c r="BX74" s="403"/>
      <c r="BY74" s="403" t="s">
        <v>10350</v>
      </c>
      <c r="BZ74" s="403"/>
      <c r="CA74" s="403"/>
      <c r="CB74" s="403"/>
      <c r="CC74" s="403"/>
      <c r="CD74" s="403"/>
      <c r="CE74" s="403"/>
      <c r="CF74" s="403"/>
      <c r="CG74" s="403"/>
      <c r="CH74" s="403"/>
      <c r="CI74" s="403"/>
      <c r="CJ74" s="403"/>
      <c r="CK74" s="403"/>
      <c r="CL74" s="403"/>
      <c r="CM74" s="403"/>
      <c r="CN74" s="403"/>
      <c r="CO74" s="403"/>
      <c r="CP74" s="403"/>
      <c r="CQ74" s="403"/>
      <c r="CR74" s="403" t="s">
        <v>10351</v>
      </c>
      <c r="CS74" s="403"/>
      <c r="CT74" s="403"/>
      <c r="CU74" s="403"/>
      <c r="CV74" s="403"/>
      <c r="CW74" s="403"/>
      <c r="CX74" s="403"/>
      <c r="CY74" s="403"/>
      <c r="CZ74" s="403"/>
      <c r="DA74" s="403"/>
      <c r="DB74" s="403"/>
      <c r="DC74" s="403"/>
      <c r="DD74" s="403"/>
      <c r="DE74" s="403"/>
      <c r="DF74" s="403"/>
      <c r="DG74" s="403"/>
      <c r="DH74" s="403"/>
      <c r="DI74" s="403"/>
      <c r="DJ74" s="403"/>
      <c r="DK74" s="403" t="s">
        <v>10352</v>
      </c>
      <c r="DL74" s="403"/>
      <c r="DM74" s="403"/>
      <c r="DN74" s="403"/>
      <c r="DO74" s="403"/>
      <c r="DP74" s="403"/>
      <c r="DQ74" s="403"/>
      <c r="DR74" s="403"/>
      <c r="DS74" s="403"/>
      <c r="DT74" s="403"/>
      <c r="DU74" s="403"/>
      <c r="DV74" s="403"/>
      <c r="DW74" s="403"/>
      <c r="DX74" s="403"/>
      <c r="DY74" s="403"/>
      <c r="DZ74" s="403"/>
      <c r="EA74" s="403"/>
      <c r="EB74" s="403"/>
      <c r="EC74" s="403"/>
      <c r="ED74" s="403" t="s">
        <v>10353</v>
      </c>
      <c r="EE74" s="403"/>
      <c r="EF74" s="403"/>
      <c r="EG74" s="403"/>
      <c r="EH74" s="403"/>
      <c r="EI74" s="403"/>
      <c r="EJ74" s="403"/>
      <c r="EK74" s="403"/>
      <c r="EL74" s="403"/>
      <c r="EM74" s="403"/>
      <c r="EN74" s="403"/>
      <c r="EO74" s="403"/>
      <c r="EP74" s="403"/>
      <c r="EQ74" s="403"/>
      <c r="ER74" s="403"/>
      <c r="ES74" s="403"/>
    </row>
    <row r="75" spans="1:149" s="193" customFormat="1" x14ac:dyDescent="0.2">
      <c r="I75" s="37"/>
      <c r="J75" s="37"/>
      <c r="K75" s="37"/>
      <c r="L75" s="37"/>
      <c r="M75" s="37"/>
      <c r="N75" s="37"/>
      <c r="O75" s="37"/>
      <c r="R75" s="403"/>
      <c r="S75" s="403"/>
      <c r="T75" s="403"/>
      <c r="U75" s="403"/>
      <c r="V75" s="403"/>
      <c r="W75" s="403"/>
      <c r="X75" s="403"/>
      <c r="Y75" s="403"/>
      <c r="Z75" s="403"/>
      <c r="AA75" s="403"/>
      <c r="AB75" s="403"/>
      <c r="AC75" s="403"/>
      <c r="AD75" s="403"/>
      <c r="AE75" s="403"/>
      <c r="AF75" s="403"/>
      <c r="AG75" s="403"/>
      <c r="AH75" s="403"/>
      <c r="AI75" s="403"/>
      <c r="AJ75" s="403"/>
      <c r="AK75" s="403"/>
      <c r="AL75" s="403"/>
      <c r="AM75" s="403"/>
      <c r="AN75" s="403"/>
      <c r="AO75" s="403"/>
      <c r="AP75" s="403"/>
      <c r="AQ75" s="403"/>
      <c r="AR75" s="403"/>
      <c r="AS75" s="403"/>
      <c r="AT75" s="403"/>
      <c r="AU75" s="403"/>
      <c r="AV75" s="403"/>
      <c r="AW75" s="403"/>
      <c r="AX75" s="403"/>
      <c r="AY75" s="403"/>
      <c r="AZ75" s="403"/>
      <c r="BA75" s="403"/>
      <c r="BB75" s="403"/>
      <c r="BC75" s="403"/>
      <c r="BD75" s="403"/>
      <c r="BE75" s="403"/>
      <c r="BF75" s="403"/>
      <c r="BG75" s="403"/>
      <c r="BH75" s="403"/>
      <c r="BI75" s="403"/>
      <c r="BJ75" s="403"/>
      <c r="BK75" s="403"/>
      <c r="BL75" s="403"/>
      <c r="BM75" s="403"/>
      <c r="BN75" s="403"/>
      <c r="BO75" s="403"/>
      <c r="BP75" s="403"/>
      <c r="BQ75" s="403"/>
      <c r="BR75" s="403"/>
      <c r="BS75" s="403"/>
      <c r="BT75" s="403"/>
      <c r="BU75" s="403"/>
      <c r="BV75" s="403"/>
      <c r="BW75" s="403"/>
      <c r="BX75" s="403"/>
      <c r="BY75" s="403"/>
      <c r="BZ75" s="403"/>
      <c r="CA75" s="403"/>
      <c r="CB75" s="403"/>
      <c r="CC75" s="403"/>
      <c r="CD75" s="403"/>
      <c r="CE75" s="403"/>
      <c r="CF75" s="403"/>
      <c r="CG75" s="403"/>
      <c r="CH75" s="403"/>
      <c r="CI75" s="403"/>
      <c r="CJ75" s="403"/>
      <c r="CK75" s="403"/>
      <c r="CL75" s="403"/>
      <c r="CM75" s="403"/>
      <c r="CN75" s="403"/>
      <c r="CO75" s="403"/>
      <c r="CP75" s="403"/>
      <c r="CQ75" s="403"/>
      <c r="CR75" s="403"/>
      <c r="CS75" s="403"/>
      <c r="CT75" s="403"/>
      <c r="CU75" s="403"/>
      <c r="CV75" s="403"/>
      <c r="CW75" s="403"/>
      <c r="CX75" s="403"/>
      <c r="CY75" s="403"/>
      <c r="CZ75" s="403"/>
      <c r="DA75" s="403"/>
      <c r="DB75" s="403"/>
      <c r="DC75" s="403"/>
      <c r="DD75" s="403"/>
      <c r="DE75" s="403"/>
      <c r="DF75" s="403"/>
      <c r="DG75" s="403"/>
      <c r="DH75" s="403"/>
      <c r="DI75" s="403"/>
      <c r="DJ75" s="403"/>
      <c r="DK75" s="403"/>
      <c r="DL75" s="403"/>
      <c r="DM75" s="403"/>
      <c r="DN75" s="403"/>
      <c r="DO75" s="403"/>
      <c r="DP75" s="403"/>
      <c r="DQ75" s="403"/>
      <c r="DR75" s="403"/>
      <c r="DS75" s="403"/>
      <c r="DT75" s="403"/>
      <c r="DU75" s="403"/>
      <c r="DV75" s="403"/>
      <c r="DW75" s="403"/>
      <c r="DX75" s="403"/>
      <c r="DY75" s="403"/>
      <c r="DZ75" s="403"/>
      <c r="EA75" s="403"/>
      <c r="EB75" s="403"/>
      <c r="EC75" s="403"/>
      <c r="ED75" s="403"/>
      <c r="EE75" s="403"/>
      <c r="EF75" s="403"/>
      <c r="EG75" s="403"/>
      <c r="EH75" s="403"/>
      <c r="EI75" s="403"/>
      <c r="EJ75" s="403"/>
      <c r="EK75" s="403"/>
      <c r="EL75" s="403"/>
      <c r="EM75" s="403"/>
      <c r="EN75" s="403"/>
      <c r="EO75" s="403"/>
      <c r="EP75" s="403"/>
      <c r="EQ75" s="403"/>
      <c r="ER75" s="403"/>
      <c r="ES75" s="403"/>
    </row>
    <row r="76" spans="1:149" s="183" customFormat="1" ht="15" x14ac:dyDescent="0.25">
      <c r="C76" s="8" t="str">
        <f ca="1">IF(OFFSET(U76,0,Lang_Order*Lang__B3)="","",OFFSET(U76,0,Lang_Order*Lang__B3))</f>
        <v>Shipments Separate</v>
      </c>
      <c r="D76" s="8"/>
      <c r="E76" s="8"/>
      <c r="F76" s="8"/>
      <c r="G76" s="8"/>
      <c r="H76" s="8"/>
      <c r="I76" s="8"/>
      <c r="J76" s="8"/>
      <c r="K76" s="8"/>
      <c r="L76" s="8"/>
      <c r="M76" s="8"/>
      <c r="N76" s="8"/>
      <c r="O76" s="8"/>
      <c r="R76" s="403"/>
      <c r="S76" s="403"/>
      <c r="T76" s="403"/>
      <c r="U76" s="403" t="s">
        <v>2794</v>
      </c>
      <c r="V76" s="403"/>
      <c r="W76" s="403"/>
      <c r="X76" s="403"/>
      <c r="Y76" s="403"/>
      <c r="Z76" s="403"/>
      <c r="AA76" s="403"/>
      <c r="AB76" s="403"/>
      <c r="AC76" s="403"/>
      <c r="AD76" s="403"/>
      <c r="AE76" s="403"/>
      <c r="AF76" s="403"/>
      <c r="AG76" s="403"/>
      <c r="AH76" s="403"/>
      <c r="AI76" s="403"/>
      <c r="AJ76" s="403"/>
      <c r="AK76" s="403"/>
      <c r="AL76" s="403"/>
      <c r="AM76" s="403"/>
      <c r="AN76" s="403" t="s">
        <v>10354</v>
      </c>
      <c r="AO76" s="403"/>
      <c r="AP76" s="403"/>
      <c r="AQ76" s="403"/>
      <c r="AR76" s="403"/>
      <c r="AS76" s="403"/>
      <c r="AT76" s="403"/>
      <c r="AU76" s="403"/>
      <c r="AV76" s="403"/>
      <c r="AW76" s="403"/>
      <c r="AX76" s="403"/>
      <c r="AY76" s="403"/>
      <c r="AZ76" s="403"/>
      <c r="BA76" s="403"/>
      <c r="BB76" s="403"/>
      <c r="BC76" s="403"/>
      <c r="BD76" s="403"/>
      <c r="BE76" s="403"/>
      <c r="BF76" s="403"/>
      <c r="BG76" s="403" t="s">
        <v>10355</v>
      </c>
      <c r="BH76" s="403"/>
      <c r="BI76" s="403"/>
      <c r="BJ76" s="403"/>
      <c r="BK76" s="403"/>
      <c r="BL76" s="403"/>
      <c r="BM76" s="403"/>
      <c r="BN76" s="403"/>
      <c r="BO76" s="403"/>
      <c r="BP76" s="403"/>
      <c r="BQ76" s="403"/>
      <c r="BR76" s="403"/>
      <c r="BS76" s="403"/>
      <c r="BT76" s="403"/>
      <c r="BU76" s="403"/>
      <c r="BV76" s="403"/>
      <c r="BW76" s="403"/>
      <c r="BX76" s="403"/>
      <c r="BY76" s="403"/>
      <c r="BZ76" s="403" t="s">
        <v>10356</v>
      </c>
      <c r="CA76" s="403"/>
      <c r="CB76" s="403"/>
      <c r="CC76" s="403"/>
      <c r="CD76" s="403"/>
      <c r="CE76" s="403"/>
      <c r="CF76" s="403"/>
      <c r="CG76" s="403"/>
      <c r="CH76" s="403"/>
      <c r="CI76" s="403"/>
      <c r="CJ76" s="403"/>
      <c r="CK76" s="403"/>
      <c r="CL76" s="403"/>
      <c r="CM76" s="403"/>
      <c r="CN76" s="403"/>
      <c r="CO76" s="403"/>
      <c r="CP76" s="403"/>
      <c r="CQ76" s="403"/>
      <c r="CR76" s="403"/>
      <c r="CS76" s="403" t="s">
        <v>10357</v>
      </c>
      <c r="CT76" s="403"/>
      <c r="CU76" s="403"/>
      <c r="CV76" s="403"/>
      <c r="CW76" s="403"/>
      <c r="CX76" s="403"/>
      <c r="CY76" s="403"/>
      <c r="CZ76" s="403"/>
      <c r="DA76" s="403"/>
      <c r="DB76" s="403"/>
      <c r="DC76" s="403"/>
      <c r="DD76" s="403"/>
      <c r="DE76" s="403"/>
      <c r="DF76" s="403"/>
      <c r="DG76" s="403"/>
      <c r="DH76" s="403"/>
      <c r="DI76" s="403"/>
      <c r="DJ76" s="403"/>
      <c r="DK76" s="403"/>
      <c r="DL76" s="403" t="s">
        <v>10358</v>
      </c>
      <c r="DM76" s="403"/>
      <c r="DN76" s="403"/>
      <c r="DO76" s="403"/>
      <c r="DP76" s="403"/>
      <c r="DQ76" s="403"/>
      <c r="DR76" s="403"/>
      <c r="DS76" s="403"/>
      <c r="DT76" s="403"/>
      <c r="DU76" s="403"/>
      <c r="DV76" s="403"/>
      <c r="DW76" s="403"/>
      <c r="DX76" s="403"/>
      <c r="DY76" s="403"/>
      <c r="DZ76" s="403"/>
      <c r="EA76" s="403"/>
      <c r="EB76" s="403"/>
      <c r="EC76" s="403"/>
      <c r="ED76" s="403"/>
      <c r="EE76" s="403" t="s">
        <v>10359</v>
      </c>
      <c r="EF76" s="403"/>
      <c r="EG76" s="403"/>
      <c r="EH76" s="403"/>
      <c r="EI76" s="403"/>
      <c r="EJ76" s="403"/>
      <c r="EK76" s="403"/>
      <c r="EL76" s="403"/>
      <c r="EM76" s="403"/>
      <c r="EN76" s="403"/>
      <c r="EO76" s="403"/>
      <c r="EP76" s="403"/>
      <c r="EQ76" s="403"/>
      <c r="ER76" s="403"/>
      <c r="ES76" s="403"/>
    </row>
    <row r="77" spans="1:149" s="193" customFormat="1" x14ac:dyDescent="0.2">
      <c r="R77" s="403"/>
      <c r="S77" s="403"/>
      <c r="T77" s="403"/>
      <c r="U77" s="403"/>
      <c r="V77" s="403"/>
      <c r="W77" s="403"/>
      <c r="X77" s="403"/>
      <c r="Y77" s="403"/>
      <c r="Z77" s="403"/>
      <c r="AA77" s="403"/>
      <c r="AB77" s="403"/>
      <c r="AC77" s="403"/>
      <c r="AD77" s="403"/>
      <c r="AE77" s="403"/>
      <c r="AF77" s="403"/>
      <c r="AG77" s="403"/>
      <c r="AH77" s="403"/>
      <c r="AI77" s="403"/>
      <c r="AJ77" s="403"/>
      <c r="AK77" s="403"/>
      <c r="AL77" s="403"/>
      <c r="AM77" s="403"/>
      <c r="AN77" s="403"/>
      <c r="AO77" s="403"/>
      <c r="AP77" s="403"/>
      <c r="AQ77" s="403"/>
      <c r="AR77" s="403"/>
      <c r="AS77" s="403"/>
      <c r="AT77" s="403"/>
      <c r="AU77" s="403"/>
      <c r="AV77" s="403"/>
      <c r="AW77" s="403"/>
      <c r="AX77" s="403"/>
      <c r="AY77" s="403"/>
      <c r="AZ77" s="403"/>
      <c r="BA77" s="403"/>
      <c r="BB77" s="403"/>
      <c r="BC77" s="403"/>
      <c r="BD77" s="403"/>
      <c r="BE77" s="403"/>
      <c r="BF77" s="403"/>
      <c r="BG77" s="403"/>
      <c r="BH77" s="403"/>
      <c r="BI77" s="403"/>
      <c r="BJ77" s="403"/>
      <c r="BK77" s="403"/>
      <c r="BL77" s="403"/>
      <c r="BM77" s="403"/>
      <c r="BN77" s="403"/>
      <c r="BO77" s="403"/>
      <c r="BP77" s="403"/>
      <c r="BQ77" s="403"/>
      <c r="BR77" s="403"/>
      <c r="BS77" s="403"/>
      <c r="BT77" s="403"/>
      <c r="BU77" s="403"/>
      <c r="BV77" s="403"/>
      <c r="BW77" s="403"/>
      <c r="BX77" s="403"/>
      <c r="BY77" s="403"/>
      <c r="BZ77" s="403"/>
      <c r="CA77" s="403"/>
      <c r="CB77" s="403"/>
      <c r="CC77" s="403"/>
      <c r="CD77" s="403"/>
      <c r="CE77" s="403"/>
      <c r="CF77" s="403"/>
      <c r="CG77" s="403"/>
      <c r="CH77" s="403"/>
      <c r="CI77" s="403"/>
      <c r="CJ77" s="403"/>
      <c r="CK77" s="403"/>
      <c r="CL77" s="403"/>
      <c r="CM77" s="403"/>
      <c r="CN77" s="403"/>
      <c r="CO77" s="403"/>
      <c r="CP77" s="403"/>
      <c r="CQ77" s="403"/>
      <c r="CR77" s="403"/>
      <c r="CS77" s="403"/>
      <c r="CT77" s="403"/>
      <c r="CU77" s="403"/>
      <c r="CV77" s="403"/>
      <c r="CW77" s="403"/>
      <c r="CX77" s="403"/>
      <c r="CY77" s="403"/>
      <c r="CZ77" s="403"/>
      <c r="DA77" s="403"/>
      <c r="DB77" s="403"/>
      <c r="DC77" s="403"/>
      <c r="DD77" s="403"/>
      <c r="DE77" s="403"/>
      <c r="DF77" s="403"/>
      <c r="DG77" s="403"/>
      <c r="DH77" s="403"/>
      <c r="DI77" s="403"/>
      <c r="DJ77" s="403"/>
      <c r="DK77" s="403"/>
      <c r="DL77" s="403"/>
      <c r="DM77" s="403"/>
      <c r="DN77" s="403"/>
      <c r="DO77" s="403"/>
      <c r="DP77" s="403"/>
      <c r="DQ77" s="403"/>
      <c r="DR77" s="403"/>
      <c r="DS77" s="403"/>
      <c r="DT77" s="403"/>
      <c r="DU77" s="403"/>
      <c r="DV77" s="403"/>
      <c r="DW77" s="403"/>
      <c r="DX77" s="403"/>
      <c r="DY77" s="403"/>
      <c r="DZ77" s="403"/>
      <c r="EA77" s="403"/>
      <c r="EB77" s="403"/>
      <c r="EC77" s="403"/>
      <c r="ED77" s="403"/>
      <c r="EE77" s="403"/>
      <c r="EF77" s="403"/>
      <c r="EG77" s="403"/>
      <c r="EH77" s="403"/>
      <c r="EI77" s="403"/>
      <c r="EJ77" s="403"/>
      <c r="EK77" s="403"/>
      <c r="EL77" s="403"/>
      <c r="EM77" s="403"/>
      <c r="EN77" s="403"/>
      <c r="EO77" s="403"/>
      <c r="EP77" s="403"/>
      <c r="EQ77" s="403"/>
      <c r="ER77" s="403"/>
      <c r="ES77" s="403"/>
    </row>
    <row r="78" spans="1:149" s="193" customFormat="1" ht="15" x14ac:dyDescent="0.25">
      <c r="B78" s="55" t="str">
        <f t="shared" ref="B78:I78" ca="1" si="55">IF(OFFSET(T78,0,Lang_Order*Lang__B3)="","",OFFSET(T78,0,Lang_Order*Lang__B3))</f>
        <v>Vaccine</v>
      </c>
      <c r="C78" s="30" t="str">
        <f t="shared" ca="1" si="55"/>
        <v>Cold Storage Requirements</v>
      </c>
      <c r="D78" s="2" t="str">
        <f t="shared" ca="1" si="55"/>
        <v/>
      </c>
      <c r="E78" s="90" t="str">
        <f t="shared" ca="1" si="55"/>
        <v>Room temperature</v>
      </c>
      <c r="F78" s="90" t="str">
        <f t="shared" ca="1" si="55"/>
        <v>Refrigerated (2 to 8C)</v>
      </c>
      <c r="G78" s="90" t="str">
        <f t="shared" ca="1" si="55"/>
        <v>Frozen (-20C)</v>
      </c>
      <c r="H78" s="90" t="str">
        <f t="shared" ca="1" si="55"/>
        <v>Ultra-cold (-60 to -80C)</v>
      </c>
      <c r="I78" s="148" t="str">
        <f t="shared" ca="1" si="55"/>
        <v>Number of pallet sized containers</v>
      </c>
      <c r="J78" s="148"/>
      <c r="K78" s="148"/>
      <c r="L78" s="148"/>
      <c r="M78" s="148"/>
      <c r="N78" s="19"/>
      <c r="O78" s="33"/>
      <c r="R78" s="403"/>
      <c r="S78" s="403"/>
      <c r="T78" s="403" t="s">
        <v>1574</v>
      </c>
      <c r="U78" s="403" t="s">
        <v>2636</v>
      </c>
      <c r="V78" s="403"/>
      <c r="W78" s="403" t="s">
        <v>10</v>
      </c>
      <c r="X78" s="403" t="s">
        <v>11</v>
      </c>
      <c r="Y78" s="403" t="s">
        <v>12</v>
      </c>
      <c r="Z78" s="403" t="s">
        <v>13</v>
      </c>
      <c r="AA78" s="403" t="s">
        <v>2763</v>
      </c>
      <c r="AB78" s="403"/>
      <c r="AC78" s="403"/>
      <c r="AD78" s="403"/>
      <c r="AE78" s="403"/>
      <c r="AF78" s="403"/>
      <c r="AG78" s="403"/>
      <c r="AH78" s="403"/>
      <c r="AI78" s="403"/>
      <c r="AJ78" s="403"/>
      <c r="AK78" s="403"/>
      <c r="AL78" s="403"/>
      <c r="AM78" s="403" t="s">
        <v>10216</v>
      </c>
      <c r="AN78" s="403" t="s">
        <v>10217</v>
      </c>
      <c r="AO78" s="403"/>
      <c r="AP78" s="403" t="s">
        <v>8371</v>
      </c>
      <c r="AQ78" s="403" t="s">
        <v>10219</v>
      </c>
      <c r="AR78" s="403" t="s">
        <v>10220</v>
      </c>
      <c r="AS78" s="403" t="s">
        <v>8394</v>
      </c>
      <c r="AT78" s="403" t="s">
        <v>10221</v>
      </c>
      <c r="AU78" s="403"/>
      <c r="AV78" s="403"/>
      <c r="AW78" s="403"/>
      <c r="AX78" s="403"/>
      <c r="AY78" s="403"/>
      <c r="AZ78" s="403"/>
      <c r="BA78" s="403"/>
      <c r="BB78" s="403"/>
      <c r="BC78" s="403"/>
      <c r="BD78" s="403"/>
      <c r="BE78" s="403"/>
      <c r="BF78" s="403" t="s">
        <v>10224</v>
      </c>
      <c r="BG78" s="403" t="s">
        <v>10360</v>
      </c>
      <c r="BH78" s="403"/>
      <c r="BI78" s="403" t="s">
        <v>10226</v>
      </c>
      <c r="BJ78" s="403" t="s">
        <v>10227</v>
      </c>
      <c r="BK78" s="403" t="s">
        <v>10228</v>
      </c>
      <c r="BL78" s="403" t="s">
        <v>10229</v>
      </c>
      <c r="BM78" s="403" t="s">
        <v>10278</v>
      </c>
      <c r="BN78" s="403"/>
      <c r="BO78" s="403"/>
      <c r="BP78" s="403"/>
      <c r="BQ78" s="403"/>
      <c r="BR78" s="403"/>
      <c r="BS78" s="403"/>
      <c r="BT78" s="403"/>
      <c r="BU78" s="403"/>
      <c r="BV78" s="403"/>
      <c r="BW78" s="403"/>
      <c r="BX78" s="403"/>
      <c r="BY78" s="403" t="s">
        <v>10233</v>
      </c>
      <c r="BZ78" s="403" t="s">
        <v>5766</v>
      </c>
      <c r="CA78" s="403"/>
      <c r="CB78" s="403" t="s">
        <v>8375</v>
      </c>
      <c r="CC78" s="403" t="s">
        <v>10361</v>
      </c>
      <c r="CD78" s="403" t="s">
        <v>10236</v>
      </c>
      <c r="CE78" s="403" t="s">
        <v>10237</v>
      </c>
      <c r="CF78" s="403" t="s">
        <v>10238</v>
      </c>
      <c r="CG78" s="403"/>
      <c r="CH78" s="403"/>
      <c r="CI78" s="403"/>
      <c r="CJ78" s="403"/>
      <c r="CK78" s="403"/>
      <c r="CL78" s="403"/>
      <c r="CM78" s="403"/>
      <c r="CN78" s="403"/>
      <c r="CO78" s="403"/>
      <c r="CP78" s="403"/>
      <c r="CQ78" s="403"/>
      <c r="CR78" s="403" t="s">
        <v>10241</v>
      </c>
      <c r="CS78" s="403" t="s">
        <v>10242</v>
      </c>
      <c r="CT78" s="403"/>
      <c r="CU78" s="403" t="s">
        <v>8375</v>
      </c>
      <c r="CV78" s="403" t="s">
        <v>8384</v>
      </c>
      <c r="CW78" s="403" t="s">
        <v>8391</v>
      </c>
      <c r="CX78" s="403" t="s">
        <v>8400</v>
      </c>
      <c r="CY78" s="403" t="s">
        <v>10243</v>
      </c>
      <c r="CZ78" s="403"/>
      <c r="DA78" s="403"/>
      <c r="DB78" s="403"/>
      <c r="DC78" s="403"/>
      <c r="DD78" s="403"/>
      <c r="DE78" s="403"/>
      <c r="DF78" s="403"/>
      <c r="DG78" s="403"/>
      <c r="DH78" s="403"/>
      <c r="DI78" s="403"/>
      <c r="DJ78" s="403"/>
      <c r="DK78" s="403" t="s">
        <v>10245</v>
      </c>
      <c r="DL78" s="403" t="s">
        <v>10246</v>
      </c>
      <c r="DM78" s="403" t="s">
        <v>10247</v>
      </c>
      <c r="DN78" s="403" t="s">
        <v>8378</v>
      </c>
      <c r="DO78" s="403" t="s">
        <v>10248</v>
      </c>
      <c r="DP78" s="403" t="s">
        <v>10249</v>
      </c>
      <c r="DQ78" s="403" t="s">
        <v>10250</v>
      </c>
      <c r="DR78" s="403" t="s">
        <v>10251</v>
      </c>
      <c r="DS78" s="403"/>
      <c r="DT78" s="403"/>
      <c r="DU78" s="403"/>
      <c r="DV78" s="403"/>
      <c r="DW78" s="403"/>
      <c r="DX78" s="403"/>
      <c r="DY78" s="403"/>
      <c r="DZ78" s="403"/>
      <c r="EA78" s="403"/>
      <c r="EB78" s="403"/>
      <c r="EC78" s="403"/>
      <c r="ED78" s="403" t="s">
        <v>5643</v>
      </c>
      <c r="EE78" s="403" t="s">
        <v>10254</v>
      </c>
      <c r="EF78" s="403"/>
      <c r="EG78" s="403" t="s">
        <v>10256</v>
      </c>
      <c r="EH78" s="403" t="s">
        <v>8387</v>
      </c>
      <c r="EI78" s="403" t="s">
        <v>8393</v>
      </c>
      <c r="EJ78" s="403" t="s">
        <v>8404</v>
      </c>
      <c r="EK78" s="403" t="s">
        <v>10257</v>
      </c>
      <c r="EL78" s="403"/>
      <c r="EM78" s="403"/>
      <c r="EN78" s="403"/>
      <c r="EO78" s="403"/>
      <c r="EP78" s="403"/>
      <c r="EQ78" s="403"/>
      <c r="ER78" s="403"/>
      <c r="ES78" s="403"/>
    </row>
    <row r="79" spans="1:149" s="193" customFormat="1" x14ac:dyDescent="0.2">
      <c r="A79" s="198">
        <v>-7</v>
      </c>
      <c r="B79" s="23" t="str">
        <f>CONCATENATE("",DM1_Vaccine)</f>
        <v/>
      </c>
      <c r="C79" s="3" t="e">
        <f>VLOOKUP(DM1_Vaccine,'T1. Vaccines'!$C$8:$AD$37,D79,FALSE)</f>
        <v>#N/A</v>
      </c>
      <c r="D79" s="2">
        <f ca="1">OFFSET(_Offset_Index_VaccineSupplies_Index,0,A79)</f>
        <v>9</v>
      </c>
      <c r="E79" s="2" t="e">
        <f>IF($C79=$C$37,1,0)</f>
        <v>#N/A</v>
      </c>
      <c r="F79" s="2" t="e">
        <f>IF($C79=$C$38,1,0)</f>
        <v>#N/A</v>
      </c>
      <c r="G79" s="2" t="e">
        <f>IF($C79=$C$39,1,0)</f>
        <v>#N/A</v>
      </c>
      <c r="H79" s="2" t="e">
        <f>IF($C79=$C$40,1,0)</f>
        <v>#N/A</v>
      </c>
      <c r="I79" s="108" t="e">
        <f t="shared" ref="I79:N82" si="56">ROUNDDOWN(I23/$O$30,0)+IF(MOD(I23,$O$30)&gt;$P$30,1,0)</f>
        <v>#N/A</v>
      </c>
      <c r="J79" s="108" t="e">
        <f t="shared" si="56"/>
        <v>#N/A</v>
      </c>
      <c r="K79" s="108" t="e">
        <f t="shared" si="56"/>
        <v>#N/A</v>
      </c>
      <c r="L79" s="108" t="e">
        <f t="shared" si="56"/>
        <v>#N/A</v>
      </c>
      <c r="M79" s="108" t="e">
        <f t="shared" si="56"/>
        <v>#N/A</v>
      </c>
      <c r="N79" s="108" t="e">
        <f t="shared" si="56"/>
        <v>#N/A</v>
      </c>
      <c r="O79" s="108" t="e">
        <f>SUM(I79:N79)</f>
        <v>#N/A</v>
      </c>
      <c r="P79" s="194"/>
      <c r="R79" s="403"/>
      <c r="S79" s="403"/>
      <c r="T79" s="403"/>
      <c r="U79" s="403"/>
      <c r="V79" s="403"/>
      <c r="W79" s="403"/>
      <c r="X79" s="403"/>
      <c r="Y79" s="403"/>
      <c r="Z79" s="403"/>
      <c r="AA79" s="403"/>
      <c r="AB79" s="403"/>
      <c r="AC79" s="403"/>
      <c r="AD79" s="403"/>
      <c r="AE79" s="403"/>
      <c r="AF79" s="403"/>
      <c r="AG79" s="403"/>
      <c r="AH79" s="403"/>
      <c r="AI79" s="403"/>
      <c r="AJ79" s="403"/>
      <c r="AK79" s="403"/>
      <c r="AL79" s="403"/>
      <c r="AM79" s="403"/>
      <c r="AN79" s="403"/>
      <c r="AO79" s="403"/>
      <c r="AP79" s="403"/>
      <c r="AQ79" s="403"/>
      <c r="AR79" s="403"/>
      <c r="AS79" s="403"/>
      <c r="AT79" s="403"/>
      <c r="AU79" s="403"/>
      <c r="AV79" s="403"/>
      <c r="AW79" s="403"/>
      <c r="AX79" s="403"/>
      <c r="AY79" s="403"/>
      <c r="AZ79" s="403"/>
      <c r="BA79" s="403"/>
      <c r="BB79" s="403"/>
      <c r="BC79" s="403"/>
      <c r="BD79" s="403"/>
      <c r="BE79" s="403"/>
      <c r="BF79" s="403"/>
      <c r="BG79" s="403"/>
      <c r="BH79" s="403"/>
      <c r="BI79" s="403"/>
      <c r="BJ79" s="403"/>
      <c r="BK79" s="403"/>
      <c r="BL79" s="403"/>
      <c r="BM79" s="403"/>
      <c r="BN79" s="403"/>
      <c r="BO79" s="403"/>
      <c r="BP79" s="403"/>
      <c r="BQ79" s="403"/>
      <c r="BR79" s="403"/>
      <c r="BS79" s="403"/>
      <c r="BT79" s="403"/>
      <c r="BU79" s="403"/>
      <c r="BV79" s="403"/>
      <c r="BW79" s="403"/>
      <c r="BX79" s="403"/>
      <c r="BY79" s="403"/>
      <c r="BZ79" s="403"/>
      <c r="CA79" s="403"/>
      <c r="CB79" s="403"/>
      <c r="CC79" s="403"/>
      <c r="CD79" s="403"/>
      <c r="CE79" s="403"/>
      <c r="CF79" s="403"/>
      <c r="CG79" s="403"/>
      <c r="CH79" s="403"/>
      <c r="CI79" s="403"/>
      <c r="CJ79" s="403"/>
      <c r="CK79" s="403"/>
      <c r="CL79" s="403"/>
      <c r="CM79" s="403"/>
      <c r="CN79" s="403"/>
      <c r="CO79" s="403"/>
      <c r="CP79" s="403"/>
      <c r="CQ79" s="403"/>
      <c r="CR79" s="403"/>
      <c r="CS79" s="403"/>
      <c r="CT79" s="403"/>
      <c r="CU79" s="403"/>
      <c r="CV79" s="403"/>
      <c r="CW79" s="403"/>
      <c r="CX79" s="403"/>
      <c r="CY79" s="403"/>
      <c r="CZ79" s="403"/>
      <c r="DA79" s="403"/>
      <c r="DB79" s="403"/>
      <c r="DC79" s="403"/>
      <c r="DD79" s="403"/>
      <c r="DE79" s="403"/>
      <c r="DF79" s="403"/>
      <c r="DG79" s="403"/>
      <c r="DH79" s="403"/>
      <c r="DI79" s="403"/>
      <c r="DJ79" s="403"/>
      <c r="DK79" s="403"/>
      <c r="DL79" s="403"/>
      <c r="DM79" s="403"/>
      <c r="DN79" s="403"/>
      <c r="DO79" s="403"/>
      <c r="DP79" s="403"/>
      <c r="DQ79" s="403"/>
      <c r="DR79" s="403"/>
      <c r="DS79" s="403"/>
      <c r="DT79" s="403"/>
      <c r="DU79" s="403"/>
      <c r="DV79" s="403"/>
      <c r="DW79" s="403"/>
      <c r="DX79" s="403"/>
      <c r="DY79" s="403"/>
      <c r="DZ79" s="403"/>
      <c r="EA79" s="403"/>
      <c r="EB79" s="403"/>
      <c r="EC79" s="403"/>
      <c r="ED79" s="403"/>
      <c r="EE79" s="403"/>
      <c r="EF79" s="403"/>
      <c r="EG79" s="403"/>
      <c r="EH79" s="403"/>
      <c r="EI79" s="403"/>
      <c r="EJ79" s="403"/>
      <c r="EK79" s="403"/>
      <c r="EL79" s="403"/>
      <c r="EM79" s="403"/>
      <c r="EN79" s="403"/>
      <c r="EO79" s="403"/>
      <c r="EP79" s="403"/>
      <c r="EQ79" s="403"/>
      <c r="ER79" s="403"/>
      <c r="ES79" s="403"/>
    </row>
    <row r="80" spans="1:149" s="193" customFormat="1" x14ac:dyDescent="0.2">
      <c r="A80" s="198">
        <v>-7</v>
      </c>
      <c r="B80" s="23" t="str">
        <f>CONCATENATE("",DM2_Vaccine)</f>
        <v/>
      </c>
      <c r="C80" s="3" t="e">
        <f>VLOOKUP(DM2_Vaccine,'T1. Vaccines'!$C$8:$AD$37,D80,FALSE)</f>
        <v>#N/A</v>
      </c>
      <c r="D80" s="2">
        <f ca="1">OFFSET(_Offset_Index_VaccineSupplies_Index,0,A80)</f>
        <v>9</v>
      </c>
      <c r="E80" s="2" t="e">
        <f>IF($C80=$C$37,1,0)</f>
        <v>#N/A</v>
      </c>
      <c r="F80" s="2" t="e">
        <f>IF($C80=$C$38,1,0)</f>
        <v>#N/A</v>
      </c>
      <c r="G80" s="2" t="e">
        <f>IF($C80=$C$39,1,0)</f>
        <v>#N/A</v>
      </c>
      <c r="H80" s="2" t="e">
        <f>IF($C80=$C$40,1,0)</f>
        <v>#N/A</v>
      </c>
      <c r="I80" s="108" t="e">
        <f t="shared" si="56"/>
        <v>#N/A</v>
      </c>
      <c r="J80" s="108" t="e">
        <f t="shared" si="56"/>
        <v>#N/A</v>
      </c>
      <c r="K80" s="108" t="e">
        <f t="shared" si="56"/>
        <v>#N/A</v>
      </c>
      <c r="L80" s="108" t="e">
        <f t="shared" si="56"/>
        <v>#N/A</v>
      </c>
      <c r="M80" s="108" t="e">
        <f t="shared" si="56"/>
        <v>#N/A</v>
      </c>
      <c r="N80" s="108" t="e">
        <f t="shared" si="56"/>
        <v>#N/A</v>
      </c>
      <c r="O80" s="108" t="e">
        <f t="shared" ref="O80:O82" si="57">SUM(I80:N80)</f>
        <v>#N/A</v>
      </c>
      <c r="P80" s="194"/>
      <c r="R80" s="403"/>
      <c r="S80" s="403"/>
      <c r="T80" s="403"/>
      <c r="U80" s="403"/>
      <c r="V80" s="403"/>
      <c r="W80" s="403"/>
      <c r="X80" s="403"/>
      <c r="Y80" s="403"/>
      <c r="Z80" s="403"/>
      <c r="AA80" s="403"/>
      <c r="AB80" s="403"/>
      <c r="AC80" s="403"/>
      <c r="AD80" s="403"/>
      <c r="AE80" s="403"/>
      <c r="AF80" s="403"/>
      <c r="AG80" s="403"/>
      <c r="AH80" s="403"/>
      <c r="AI80" s="403"/>
      <c r="AJ80" s="403"/>
      <c r="AK80" s="403"/>
      <c r="AL80" s="403"/>
      <c r="AM80" s="403"/>
      <c r="AN80" s="403"/>
      <c r="AO80" s="403"/>
      <c r="AP80" s="403"/>
      <c r="AQ80" s="403"/>
      <c r="AR80" s="403"/>
      <c r="AS80" s="403"/>
      <c r="AT80" s="403"/>
      <c r="AU80" s="403"/>
      <c r="AV80" s="403"/>
      <c r="AW80" s="403"/>
      <c r="AX80" s="403"/>
      <c r="AY80" s="403"/>
      <c r="AZ80" s="403"/>
      <c r="BA80" s="403"/>
      <c r="BB80" s="403"/>
      <c r="BC80" s="403"/>
      <c r="BD80" s="403"/>
      <c r="BE80" s="403"/>
      <c r="BF80" s="403"/>
      <c r="BG80" s="403"/>
      <c r="BH80" s="403"/>
      <c r="BI80" s="403"/>
      <c r="BJ80" s="403"/>
      <c r="BK80" s="403"/>
      <c r="BL80" s="403"/>
      <c r="BM80" s="403"/>
      <c r="BN80" s="403"/>
      <c r="BO80" s="403"/>
      <c r="BP80" s="403"/>
      <c r="BQ80" s="403"/>
      <c r="BR80" s="403"/>
      <c r="BS80" s="403"/>
      <c r="BT80" s="403"/>
      <c r="BU80" s="403"/>
      <c r="BV80" s="403"/>
      <c r="BW80" s="403"/>
      <c r="BX80" s="403"/>
      <c r="BY80" s="403"/>
      <c r="BZ80" s="403"/>
      <c r="CA80" s="403"/>
      <c r="CB80" s="403"/>
      <c r="CC80" s="403"/>
      <c r="CD80" s="403"/>
      <c r="CE80" s="403"/>
      <c r="CF80" s="403"/>
      <c r="CG80" s="403"/>
      <c r="CH80" s="403"/>
      <c r="CI80" s="403"/>
      <c r="CJ80" s="403"/>
      <c r="CK80" s="403"/>
      <c r="CL80" s="403"/>
      <c r="CM80" s="403"/>
      <c r="CN80" s="403"/>
      <c r="CO80" s="403"/>
      <c r="CP80" s="403"/>
      <c r="CQ80" s="403"/>
      <c r="CR80" s="403"/>
      <c r="CS80" s="403"/>
      <c r="CT80" s="403"/>
      <c r="CU80" s="403"/>
      <c r="CV80" s="403"/>
      <c r="CW80" s="403"/>
      <c r="CX80" s="403"/>
      <c r="CY80" s="403"/>
      <c r="CZ80" s="403"/>
      <c r="DA80" s="403"/>
      <c r="DB80" s="403"/>
      <c r="DC80" s="403"/>
      <c r="DD80" s="403"/>
      <c r="DE80" s="403"/>
      <c r="DF80" s="403"/>
      <c r="DG80" s="403"/>
      <c r="DH80" s="403"/>
      <c r="DI80" s="403"/>
      <c r="DJ80" s="403"/>
      <c r="DK80" s="403" t="s">
        <v>10245</v>
      </c>
      <c r="DL80" s="403" t="s">
        <v>10246</v>
      </c>
      <c r="DM80" s="403" t="s">
        <v>10247</v>
      </c>
      <c r="DN80" s="403" t="s">
        <v>8378</v>
      </c>
      <c r="DO80" s="403" t="s">
        <v>10248</v>
      </c>
      <c r="DP80" s="403" t="s">
        <v>10249</v>
      </c>
      <c r="DQ80" s="403" t="s">
        <v>10250</v>
      </c>
      <c r="DR80" s="403" t="s">
        <v>10251</v>
      </c>
      <c r="DS80" s="403"/>
      <c r="DT80" s="403"/>
      <c r="DU80" s="403"/>
      <c r="DV80" s="403"/>
      <c r="DW80" s="403"/>
      <c r="DX80" s="403"/>
      <c r="DY80" s="403"/>
      <c r="DZ80" s="403"/>
      <c r="EA80" s="403"/>
      <c r="EB80" s="403"/>
      <c r="EC80" s="403"/>
      <c r="ED80" s="403"/>
      <c r="EE80" s="403"/>
      <c r="EF80" s="403"/>
      <c r="EG80" s="403"/>
      <c r="EH80" s="403"/>
      <c r="EI80" s="403"/>
      <c r="EJ80" s="403"/>
      <c r="EK80" s="403"/>
      <c r="EL80" s="403"/>
      <c r="EM80" s="403"/>
      <c r="EN80" s="403"/>
      <c r="EO80" s="403"/>
      <c r="EP80" s="403"/>
      <c r="EQ80" s="403"/>
      <c r="ER80" s="403"/>
      <c r="ES80" s="403"/>
    </row>
    <row r="81" spans="1:149" s="193" customFormat="1" x14ac:dyDescent="0.2">
      <c r="A81" s="198">
        <v>-7</v>
      </c>
      <c r="B81" s="23" t="str">
        <f>CONCATENATE("",DM3_Vaccine)</f>
        <v/>
      </c>
      <c r="C81" s="3" t="e">
        <f>VLOOKUP(DM3_Vaccine,'T1. Vaccines'!$C$8:$AD$37,D81,FALSE)</f>
        <v>#N/A</v>
      </c>
      <c r="D81" s="2">
        <f ca="1">OFFSET(_Offset_Index_VaccineSupplies_Index,0,A81)</f>
        <v>9</v>
      </c>
      <c r="E81" s="2" t="e">
        <f>IF($C81=$C$37,1,0)</f>
        <v>#N/A</v>
      </c>
      <c r="F81" s="2" t="e">
        <f>IF($C81=$C$38,1,0)</f>
        <v>#N/A</v>
      </c>
      <c r="G81" s="2" t="e">
        <f>IF($C81=$C$39,1,0)</f>
        <v>#N/A</v>
      </c>
      <c r="H81" s="2" t="e">
        <f>IF($C81=$C$40,1,0)</f>
        <v>#N/A</v>
      </c>
      <c r="I81" s="108" t="e">
        <f t="shared" si="56"/>
        <v>#N/A</v>
      </c>
      <c r="J81" s="108" t="e">
        <f t="shared" si="56"/>
        <v>#N/A</v>
      </c>
      <c r="K81" s="108" t="e">
        <f t="shared" si="56"/>
        <v>#N/A</v>
      </c>
      <c r="L81" s="108" t="e">
        <f t="shared" si="56"/>
        <v>#N/A</v>
      </c>
      <c r="M81" s="108" t="e">
        <f t="shared" si="56"/>
        <v>#N/A</v>
      </c>
      <c r="N81" s="108" t="e">
        <f t="shared" si="56"/>
        <v>#N/A</v>
      </c>
      <c r="O81" s="108" t="e">
        <f t="shared" si="57"/>
        <v>#N/A</v>
      </c>
      <c r="P81" s="194"/>
      <c r="R81" s="403"/>
      <c r="S81" s="403"/>
      <c r="T81" s="403"/>
      <c r="U81" s="403"/>
      <c r="V81" s="403"/>
      <c r="W81" s="403"/>
      <c r="X81" s="403"/>
      <c r="Y81" s="403"/>
      <c r="Z81" s="403"/>
      <c r="AA81" s="403"/>
      <c r="AB81" s="403"/>
      <c r="AC81" s="403"/>
      <c r="AD81" s="403"/>
      <c r="AE81" s="403"/>
      <c r="AF81" s="403"/>
      <c r="AG81" s="403"/>
      <c r="AH81" s="403"/>
      <c r="AI81" s="403"/>
      <c r="AJ81" s="403"/>
      <c r="AK81" s="403"/>
      <c r="AL81" s="403"/>
      <c r="AM81" s="403"/>
      <c r="AN81" s="403"/>
      <c r="AO81" s="403"/>
      <c r="AP81" s="403"/>
      <c r="AQ81" s="403"/>
      <c r="AR81" s="403"/>
      <c r="AS81" s="403"/>
      <c r="AT81" s="403"/>
      <c r="AU81" s="403"/>
      <c r="AV81" s="403"/>
      <c r="AW81" s="403"/>
      <c r="AX81" s="403"/>
      <c r="AY81" s="403"/>
      <c r="AZ81" s="403"/>
      <c r="BA81" s="403"/>
      <c r="BB81" s="403"/>
      <c r="BC81" s="403"/>
      <c r="BD81" s="403"/>
      <c r="BE81" s="403"/>
      <c r="BF81" s="403"/>
      <c r="BG81" s="403"/>
      <c r="BH81" s="403"/>
      <c r="BI81" s="403"/>
      <c r="BJ81" s="403"/>
      <c r="BK81" s="403"/>
      <c r="BL81" s="403"/>
      <c r="BM81" s="403"/>
      <c r="BN81" s="403"/>
      <c r="BO81" s="403"/>
      <c r="BP81" s="403"/>
      <c r="BQ81" s="403"/>
      <c r="BR81" s="403"/>
      <c r="BS81" s="403"/>
      <c r="BT81" s="403"/>
      <c r="BU81" s="403"/>
      <c r="BV81" s="403"/>
      <c r="BW81" s="403"/>
      <c r="BX81" s="403"/>
      <c r="BY81" s="403"/>
      <c r="BZ81" s="403"/>
      <c r="CA81" s="403"/>
      <c r="CB81" s="403"/>
      <c r="CC81" s="403"/>
      <c r="CD81" s="403"/>
      <c r="CE81" s="403"/>
      <c r="CF81" s="403"/>
      <c r="CG81" s="403"/>
      <c r="CH81" s="403"/>
      <c r="CI81" s="403"/>
      <c r="CJ81" s="403"/>
      <c r="CK81" s="403"/>
      <c r="CL81" s="403"/>
      <c r="CM81" s="403"/>
      <c r="CN81" s="403"/>
      <c r="CO81" s="403"/>
      <c r="CP81" s="403"/>
      <c r="CQ81" s="403"/>
      <c r="CR81" s="403"/>
      <c r="CS81" s="403"/>
      <c r="CT81" s="403"/>
      <c r="CU81" s="403"/>
      <c r="CV81" s="403"/>
      <c r="CW81" s="403"/>
      <c r="CX81" s="403"/>
      <c r="CY81" s="403"/>
      <c r="CZ81" s="403"/>
      <c r="DA81" s="403"/>
      <c r="DB81" s="403"/>
      <c r="DC81" s="403"/>
      <c r="DD81" s="403"/>
      <c r="DE81" s="403"/>
      <c r="DF81" s="403"/>
      <c r="DG81" s="403"/>
      <c r="DH81" s="403"/>
      <c r="DI81" s="403"/>
      <c r="DJ81" s="403"/>
      <c r="DK81" s="403"/>
      <c r="DL81" s="403"/>
      <c r="DM81" s="403"/>
      <c r="DN81" s="403"/>
      <c r="DO81" s="403"/>
      <c r="DP81" s="403"/>
      <c r="DQ81" s="403"/>
      <c r="DR81" s="403"/>
      <c r="DS81" s="403"/>
      <c r="DT81" s="403"/>
      <c r="DU81" s="403"/>
      <c r="DV81" s="403"/>
      <c r="DW81" s="403"/>
      <c r="DX81" s="403"/>
      <c r="DY81" s="403"/>
      <c r="DZ81" s="403"/>
      <c r="EA81" s="403"/>
      <c r="EB81" s="403"/>
      <c r="EC81" s="403"/>
      <c r="ED81" s="403"/>
      <c r="EE81" s="403"/>
      <c r="EF81" s="403"/>
      <c r="EG81" s="403"/>
      <c r="EH81" s="403"/>
      <c r="EI81" s="403"/>
      <c r="EJ81" s="403"/>
      <c r="EK81" s="403"/>
      <c r="EL81" s="403"/>
      <c r="EM81" s="403"/>
      <c r="EN81" s="403"/>
      <c r="EO81" s="403"/>
      <c r="EP81" s="403"/>
      <c r="EQ81" s="403"/>
      <c r="ER81" s="403"/>
      <c r="ES81" s="403"/>
    </row>
    <row r="82" spans="1:149" s="193" customFormat="1" x14ac:dyDescent="0.2">
      <c r="A82" s="198">
        <v>-7</v>
      </c>
      <c r="B82" s="23" t="str">
        <f>CONCATENATE("",DM4_Vaccine)</f>
        <v/>
      </c>
      <c r="C82" s="3" t="e">
        <f>VLOOKUP(DM4_Vaccine,'T1. Vaccines'!$C$8:$AD$37,D82,FALSE)</f>
        <v>#N/A</v>
      </c>
      <c r="D82" s="2">
        <f ca="1">OFFSET(_Offset_Index_VaccineSupplies_Index,0,A82)</f>
        <v>9</v>
      </c>
      <c r="E82" s="2" t="e">
        <f>IF($C82=$C$37,1,0)</f>
        <v>#N/A</v>
      </c>
      <c r="F82" s="2" t="e">
        <f>IF($C82=$C$38,1,0)</f>
        <v>#N/A</v>
      </c>
      <c r="G82" s="2" t="e">
        <f>IF($C82=$C$39,1,0)</f>
        <v>#N/A</v>
      </c>
      <c r="H82" s="2" t="e">
        <f>IF($C82=$C$40,1,0)</f>
        <v>#N/A</v>
      </c>
      <c r="I82" s="108" t="e">
        <f t="shared" si="56"/>
        <v>#N/A</v>
      </c>
      <c r="J82" s="108" t="e">
        <f t="shared" si="56"/>
        <v>#N/A</v>
      </c>
      <c r="K82" s="108" t="e">
        <f t="shared" si="56"/>
        <v>#N/A</v>
      </c>
      <c r="L82" s="108" t="e">
        <f t="shared" si="56"/>
        <v>#N/A</v>
      </c>
      <c r="M82" s="108" t="e">
        <f t="shared" si="56"/>
        <v>#N/A</v>
      </c>
      <c r="N82" s="108" t="e">
        <f t="shared" si="56"/>
        <v>#N/A</v>
      </c>
      <c r="O82" s="108" t="e">
        <f t="shared" si="57"/>
        <v>#N/A</v>
      </c>
      <c r="P82" s="194"/>
      <c r="R82" s="403"/>
      <c r="S82" s="403"/>
      <c r="T82" s="403"/>
      <c r="U82" s="403"/>
      <c r="V82" s="403"/>
      <c r="W82" s="403"/>
      <c r="X82" s="403"/>
      <c r="Y82" s="403"/>
      <c r="Z82" s="403"/>
      <c r="AA82" s="403"/>
      <c r="AB82" s="403"/>
      <c r="AC82" s="403"/>
      <c r="AD82" s="403"/>
      <c r="AE82" s="403"/>
      <c r="AF82" s="403"/>
      <c r="AG82" s="403"/>
      <c r="AH82" s="403"/>
      <c r="AI82" s="403"/>
      <c r="AJ82" s="403"/>
      <c r="AK82" s="403"/>
      <c r="AL82" s="403"/>
      <c r="AM82" s="403"/>
      <c r="AN82" s="403"/>
      <c r="AO82" s="403"/>
      <c r="AP82" s="403"/>
      <c r="AQ82" s="403"/>
      <c r="AR82" s="403"/>
      <c r="AS82" s="403"/>
      <c r="AT82" s="403"/>
      <c r="AU82" s="403"/>
      <c r="AV82" s="403"/>
      <c r="AW82" s="403"/>
      <c r="AX82" s="403"/>
      <c r="AY82" s="403"/>
      <c r="AZ82" s="403"/>
      <c r="BA82" s="403"/>
      <c r="BB82" s="403"/>
      <c r="BC82" s="403"/>
      <c r="BD82" s="403"/>
      <c r="BE82" s="403"/>
      <c r="BF82" s="403"/>
      <c r="BG82" s="403"/>
      <c r="BH82" s="403"/>
      <c r="BI82" s="403"/>
      <c r="BJ82" s="403"/>
      <c r="BK82" s="403"/>
      <c r="BL82" s="403"/>
      <c r="BM82" s="403"/>
      <c r="BN82" s="403"/>
      <c r="BO82" s="403"/>
      <c r="BP82" s="403"/>
      <c r="BQ82" s="403"/>
      <c r="BR82" s="403"/>
      <c r="BS82" s="403"/>
      <c r="BT82" s="403"/>
      <c r="BU82" s="403"/>
      <c r="BV82" s="403"/>
      <c r="BW82" s="403"/>
      <c r="BX82" s="403"/>
      <c r="BY82" s="403"/>
      <c r="BZ82" s="403"/>
      <c r="CA82" s="403"/>
      <c r="CB82" s="403"/>
      <c r="CC82" s="403"/>
      <c r="CD82" s="403"/>
      <c r="CE82" s="403"/>
      <c r="CF82" s="403"/>
      <c r="CG82" s="403"/>
      <c r="CH82" s="403"/>
      <c r="CI82" s="403"/>
      <c r="CJ82" s="403"/>
      <c r="CK82" s="403"/>
      <c r="CL82" s="403"/>
      <c r="CM82" s="403"/>
      <c r="CN82" s="403"/>
      <c r="CO82" s="403"/>
      <c r="CP82" s="403"/>
      <c r="CQ82" s="403"/>
      <c r="CR82" s="403"/>
      <c r="CS82" s="403"/>
      <c r="CT82" s="403"/>
      <c r="CU82" s="403"/>
      <c r="CV82" s="403"/>
      <c r="CW82" s="403"/>
      <c r="CX82" s="403"/>
      <c r="CY82" s="403"/>
      <c r="CZ82" s="403"/>
      <c r="DA82" s="403"/>
      <c r="DB82" s="403"/>
      <c r="DC82" s="403"/>
      <c r="DD82" s="403"/>
      <c r="DE82" s="403"/>
      <c r="DF82" s="403"/>
      <c r="DG82" s="403"/>
      <c r="DH82" s="403"/>
      <c r="DI82" s="403"/>
      <c r="DJ82" s="403"/>
      <c r="DK82" s="403"/>
      <c r="DL82" s="403"/>
      <c r="DM82" s="403"/>
      <c r="DN82" s="403"/>
      <c r="DO82" s="403"/>
      <c r="DP82" s="403"/>
      <c r="DQ82" s="403"/>
      <c r="DR82" s="403"/>
      <c r="DS82" s="403"/>
      <c r="DT82" s="403"/>
      <c r="DU82" s="403"/>
      <c r="DV82" s="403"/>
      <c r="DW82" s="403"/>
      <c r="DX82" s="403"/>
      <c r="DY82" s="403"/>
      <c r="DZ82" s="403"/>
      <c r="EA82" s="403"/>
      <c r="EB82" s="403"/>
      <c r="EC82" s="403"/>
      <c r="ED82" s="403"/>
      <c r="EE82" s="403"/>
      <c r="EF82" s="403"/>
      <c r="EG82" s="403"/>
      <c r="EH82" s="403"/>
      <c r="EI82" s="403"/>
      <c r="EJ82" s="403"/>
      <c r="EK82" s="403"/>
      <c r="EL82" s="403"/>
      <c r="EM82" s="403"/>
      <c r="EN82" s="403"/>
      <c r="EO82" s="403"/>
      <c r="EP82" s="403"/>
      <c r="EQ82" s="403"/>
      <c r="ER82" s="403"/>
      <c r="ES82" s="403"/>
    </row>
    <row r="83" spans="1:149" s="193" customFormat="1" x14ac:dyDescent="0.2">
      <c r="I83" s="108"/>
      <c r="J83" s="108"/>
      <c r="K83" s="108"/>
      <c r="L83" s="108"/>
      <c r="M83" s="108"/>
      <c r="N83" s="108"/>
      <c r="O83" s="108"/>
      <c r="P83" s="194"/>
      <c r="R83" s="403"/>
      <c r="S83" s="403"/>
      <c r="T83" s="403"/>
      <c r="U83" s="403"/>
      <c r="V83" s="403"/>
      <c r="W83" s="403"/>
      <c r="X83" s="403"/>
      <c r="Y83" s="403"/>
      <c r="Z83" s="403"/>
      <c r="AA83" s="403"/>
      <c r="AB83" s="403"/>
      <c r="AC83" s="403"/>
      <c r="AD83" s="403"/>
      <c r="AE83" s="403"/>
      <c r="AF83" s="403"/>
      <c r="AG83" s="403"/>
      <c r="AH83" s="403"/>
      <c r="AI83" s="403"/>
      <c r="AJ83" s="403"/>
      <c r="AK83" s="403"/>
      <c r="AL83" s="403"/>
      <c r="AM83" s="403"/>
      <c r="AN83" s="403"/>
      <c r="AO83" s="403"/>
      <c r="AP83" s="403"/>
      <c r="AQ83" s="403"/>
      <c r="AR83" s="403"/>
      <c r="AS83" s="403"/>
      <c r="AT83" s="403"/>
      <c r="AU83" s="403"/>
      <c r="AV83" s="403"/>
      <c r="AW83" s="403"/>
      <c r="AX83" s="403"/>
      <c r="AY83" s="403"/>
      <c r="AZ83" s="403"/>
      <c r="BA83" s="403"/>
      <c r="BB83" s="403"/>
      <c r="BC83" s="403"/>
      <c r="BD83" s="403"/>
      <c r="BE83" s="403"/>
      <c r="BF83" s="403"/>
      <c r="BG83" s="403"/>
      <c r="BH83" s="403"/>
      <c r="BI83" s="403"/>
      <c r="BJ83" s="403"/>
      <c r="BK83" s="403"/>
      <c r="BL83" s="403"/>
      <c r="BM83" s="403"/>
      <c r="BN83" s="403"/>
      <c r="BO83" s="403"/>
      <c r="BP83" s="403"/>
      <c r="BQ83" s="403"/>
      <c r="BR83" s="403"/>
      <c r="BS83" s="403"/>
      <c r="BT83" s="403"/>
      <c r="BU83" s="403"/>
      <c r="BV83" s="403"/>
      <c r="BW83" s="403"/>
      <c r="BX83" s="403"/>
      <c r="BY83" s="403"/>
      <c r="BZ83" s="403"/>
      <c r="CA83" s="403"/>
      <c r="CB83" s="403"/>
      <c r="CC83" s="403"/>
      <c r="CD83" s="403"/>
      <c r="CE83" s="403"/>
      <c r="CF83" s="403"/>
      <c r="CG83" s="403"/>
      <c r="CH83" s="403"/>
      <c r="CI83" s="403"/>
      <c r="CJ83" s="403"/>
      <c r="CK83" s="403"/>
      <c r="CL83" s="403"/>
      <c r="CM83" s="403"/>
      <c r="CN83" s="403"/>
      <c r="CO83" s="403"/>
      <c r="CP83" s="403"/>
      <c r="CQ83" s="403"/>
      <c r="CR83" s="403"/>
      <c r="CS83" s="403"/>
      <c r="CT83" s="403"/>
      <c r="CU83" s="403"/>
      <c r="CV83" s="403"/>
      <c r="CW83" s="403"/>
      <c r="CX83" s="403"/>
      <c r="CY83" s="403"/>
      <c r="CZ83" s="403"/>
      <c r="DA83" s="403"/>
      <c r="DB83" s="403"/>
      <c r="DC83" s="403"/>
      <c r="DD83" s="403"/>
      <c r="DE83" s="403"/>
      <c r="DF83" s="403"/>
      <c r="DG83" s="403"/>
      <c r="DH83" s="403"/>
      <c r="DI83" s="403"/>
      <c r="DJ83" s="403"/>
      <c r="DK83" s="403"/>
      <c r="DL83" s="403"/>
      <c r="DM83" s="403"/>
      <c r="DN83" s="403"/>
      <c r="DO83" s="403"/>
      <c r="DP83" s="403"/>
      <c r="DQ83" s="403"/>
      <c r="DR83" s="403"/>
      <c r="DS83" s="403"/>
      <c r="DT83" s="403"/>
      <c r="DU83" s="403"/>
      <c r="DV83" s="403"/>
      <c r="DW83" s="403"/>
      <c r="DX83" s="403"/>
      <c r="DY83" s="403"/>
      <c r="DZ83" s="403"/>
      <c r="EA83" s="403"/>
      <c r="EB83" s="403"/>
      <c r="EC83" s="403"/>
      <c r="ED83" s="403"/>
      <c r="EE83" s="403"/>
      <c r="EF83" s="403"/>
      <c r="EG83" s="403"/>
      <c r="EH83" s="403"/>
      <c r="EI83" s="403"/>
      <c r="EJ83" s="403"/>
      <c r="EK83" s="403"/>
      <c r="EL83" s="403"/>
      <c r="EM83" s="403"/>
      <c r="EN83" s="403"/>
      <c r="EO83" s="403"/>
      <c r="EP83" s="403"/>
      <c r="EQ83" s="403"/>
      <c r="ER83" s="403"/>
      <c r="ES83" s="403"/>
    </row>
    <row r="84" spans="1:149" s="193" customFormat="1" ht="15" x14ac:dyDescent="0.25">
      <c r="I84" s="148" t="str">
        <f ca="1">IF(OFFSET(AA84,0,Lang_Order*Lang__B3)="","",OFFSET(AA84,0,Lang_Order*Lang__B3))</f>
        <v>Number of parcel sized containers</v>
      </c>
      <c r="J84" s="148"/>
      <c r="K84" s="148"/>
      <c r="L84" s="148"/>
      <c r="M84" s="148"/>
      <c r="N84" s="19"/>
      <c r="O84" s="33"/>
      <c r="R84" s="403"/>
      <c r="S84" s="403"/>
      <c r="T84" s="403"/>
      <c r="U84" s="403"/>
      <c r="V84" s="403"/>
      <c r="W84" s="403"/>
      <c r="X84" s="403"/>
      <c r="Y84" s="403"/>
      <c r="Z84" s="403"/>
      <c r="AA84" s="403" t="s">
        <v>2764</v>
      </c>
      <c r="AB84" s="403"/>
      <c r="AC84" s="403"/>
      <c r="AD84" s="403"/>
      <c r="AE84" s="403"/>
      <c r="AF84" s="403"/>
      <c r="AG84" s="403"/>
      <c r="AH84" s="403"/>
      <c r="AI84" s="403"/>
      <c r="AJ84" s="403"/>
      <c r="AK84" s="403"/>
      <c r="AL84" s="403"/>
      <c r="AM84" s="403"/>
      <c r="AN84" s="403"/>
      <c r="AO84" s="403"/>
      <c r="AP84" s="403"/>
      <c r="AQ84" s="403"/>
      <c r="AR84" s="403"/>
      <c r="AS84" s="403"/>
      <c r="AT84" s="403" t="s">
        <v>10260</v>
      </c>
      <c r="AU84" s="403"/>
      <c r="AV84" s="403"/>
      <c r="AW84" s="403"/>
      <c r="AX84" s="403"/>
      <c r="AY84" s="403"/>
      <c r="AZ84" s="403"/>
      <c r="BA84" s="403"/>
      <c r="BB84" s="403"/>
      <c r="BC84" s="403"/>
      <c r="BD84" s="403"/>
      <c r="BE84" s="403"/>
      <c r="BF84" s="403"/>
      <c r="BG84" s="403"/>
      <c r="BH84" s="403"/>
      <c r="BI84" s="403"/>
      <c r="BJ84" s="403"/>
      <c r="BK84" s="403"/>
      <c r="BL84" s="403"/>
      <c r="BM84" s="403" t="s">
        <v>10262</v>
      </c>
      <c r="BN84" s="403"/>
      <c r="BO84" s="403"/>
      <c r="BP84" s="403"/>
      <c r="BQ84" s="403"/>
      <c r="BR84" s="403"/>
      <c r="BS84" s="403"/>
      <c r="BT84" s="403"/>
      <c r="BU84" s="403"/>
      <c r="BV84" s="403"/>
      <c r="BW84" s="403"/>
      <c r="BX84" s="403"/>
      <c r="BY84" s="403"/>
      <c r="BZ84" s="403"/>
      <c r="CA84" s="403"/>
      <c r="CB84" s="403"/>
      <c r="CC84" s="403"/>
      <c r="CD84" s="403"/>
      <c r="CE84" s="403"/>
      <c r="CF84" s="403" t="s">
        <v>10264</v>
      </c>
      <c r="CG84" s="403"/>
      <c r="CH84" s="403"/>
      <c r="CI84" s="403"/>
      <c r="CJ84" s="403"/>
      <c r="CK84" s="403"/>
      <c r="CL84" s="403"/>
      <c r="CM84" s="403"/>
      <c r="CN84" s="403"/>
      <c r="CO84" s="403"/>
      <c r="CP84" s="403"/>
      <c r="CQ84" s="403"/>
      <c r="CR84" s="403"/>
      <c r="CS84" s="403"/>
      <c r="CT84" s="403"/>
      <c r="CU84" s="403"/>
      <c r="CV84" s="403"/>
      <c r="CW84" s="403"/>
      <c r="CX84" s="403"/>
      <c r="CY84" s="403" t="s">
        <v>10266</v>
      </c>
      <c r="CZ84" s="403"/>
      <c r="DA84" s="403"/>
      <c r="DB84" s="403"/>
      <c r="DC84" s="403"/>
      <c r="DD84" s="403"/>
      <c r="DE84" s="403"/>
      <c r="DF84" s="403"/>
      <c r="DG84" s="403"/>
      <c r="DH84" s="403"/>
      <c r="DI84" s="403"/>
      <c r="DJ84" s="403"/>
      <c r="DK84" s="403"/>
      <c r="DL84" s="403"/>
      <c r="DM84" s="403"/>
      <c r="DN84" s="403"/>
      <c r="DO84" s="403"/>
      <c r="DP84" s="403"/>
      <c r="DQ84" s="403"/>
      <c r="DR84" s="403" t="s">
        <v>10268</v>
      </c>
      <c r="DS84" s="403"/>
      <c r="DT84" s="403"/>
      <c r="DU84" s="403"/>
      <c r="DV84" s="403"/>
      <c r="DW84" s="403"/>
      <c r="DX84" s="403"/>
      <c r="DY84" s="403"/>
      <c r="DZ84" s="403"/>
      <c r="EA84" s="403"/>
      <c r="EB84" s="403"/>
      <c r="EC84" s="403"/>
      <c r="ED84" s="403"/>
      <c r="EE84" s="403"/>
      <c r="EF84" s="403"/>
      <c r="EG84" s="403"/>
      <c r="EH84" s="403"/>
      <c r="EI84" s="403"/>
      <c r="EJ84" s="403"/>
      <c r="EK84" s="403" t="s">
        <v>10270</v>
      </c>
      <c r="EL84" s="403"/>
      <c r="EM84" s="403"/>
      <c r="EN84" s="403"/>
      <c r="EO84" s="403"/>
      <c r="EP84" s="403"/>
      <c r="EQ84" s="403"/>
      <c r="ER84" s="403"/>
      <c r="ES84" s="403"/>
    </row>
    <row r="85" spans="1:149" s="193" customFormat="1" x14ac:dyDescent="0.2">
      <c r="C85" s="198" t="str">
        <f>'T2. Misc'!G9</f>
        <v>Room temperature</v>
      </c>
      <c r="I85" s="108" t="e">
        <f t="shared" ref="I85:N88" si="58">ROUNDUP(MAX(0,I23-(I79*$O$30))/$O$36,0)</f>
        <v>#N/A</v>
      </c>
      <c r="J85" s="108" t="e">
        <f t="shared" si="58"/>
        <v>#N/A</v>
      </c>
      <c r="K85" s="108" t="e">
        <f t="shared" si="58"/>
        <v>#N/A</v>
      </c>
      <c r="L85" s="108" t="e">
        <f t="shared" si="58"/>
        <v>#N/A</v>
      </c>
      <c r="M85" s="108" t="e">
        <f t="shared" si="58"/>
        <v>#N/A</v>
      </c>
      <c r="N85" s="108" t="e">
        <f t="shared" si="58"/>
        <v>#N/A</v>
      </c>
      <c r="O85" s="108" t="e">
        <f>SUM(I85:N85)</f>
        <v>#N/A</v>
      </c>
      <c r="R85" s="403"/>
      <c r="S85" s="403"/>
      <c r="T85" s="403"/>
      <c r="U85" s="403" t="s">
        <v>10</v>
      </c>
      <c r="V85" s="403"/>
      <c r="W85" s="403"/>
      <c r="X85" s="403"/>
      <c r="Y85" s="403"/>
      <c r="Z85" s="403"/>
      <c r="AA85" s="403"/>
      <c r="AB85" s="403"/>
      <c r="AC85" s="403"/>
      <c r="AD85" s="403"/>
      <c r="AE85" s="403"/>
      <c r="AF85" s="403"/>
      <c r="AG85" s="403"/>
      <c r="AH85" s="403"/>
      <c r="AI85" s="403"/>
      <c r="AJ85" s="403"/>
      <c r="AK85" s="403"/>
      <c r="AL85" s="403"/>
      <c r="AM85" s="403"/>
      <c r="AN85" s="403" t="s">
        <v>8371</v>
      </c>
      <c r="AO85" s="403"/>
      <c r="AP85" s="403"/>
      <c r="AQ85" s="403"/>
      <c r="AR85" s="403"/>
      <c r="AS85" s="403"/>
      <c r="AT85" s="403"/>
      <c r="AU85" s="403"/>
      <c r="AV85" s="403"/>
      <c r="AW85" s="403"/>
      <c r="AX85" s="403"/>
      <c r="AY85" s="403"/>
      <c r="AZ85" s="403"/>
      <c r="BA85" s="403"/>
      <c r="BB85" s="403"/>
      <c r="BC85" s="403"/>
      <c r="BD85" s="403"/>
      <c r="BE85" s="403"/>
      <c r="BF85" s="403"/>
      <c r="BG85" s="403" t="s">
        <v>10226</v>
      </c>
      <c r="BH85" s="403"/>
      <c r="BI85" s="403"/>
      <c r="BJ85" s="403"/>
      <c r="BK85" s="403"/>
      <c r="BL85" s="403"/>
      <c r="BM85" s="403"/>
      <c r="BN85" s="403"/>
      <c r="BO85" s="403"/>
      <c r="BP85" s="403"/>
      <c r="BQ85" s="403"/>
      <c r="BR85" s="403"/>
      <c r="BS85" s="403"/>
      <c r="BT85" s="403"/>
      <c r="BU85" s="403"/>
      <c r="BV85" s="403"/>
      <c r="BW85" s="403"/>
      <c r="BX85" s="403"/>
      <c r="BY85" s="403"/>
      <c r="BZ85" s="403" t="s">
        <v>8375</v>
      </c>
      <c r="CA85" s="403"/>
      <c r="CB85" s="403"/>
      <c r="CC85" s="403"/>
      <c r="CD85" s="403"/>
      <c r="CE85" s="403"/>
      <c r="CF85" s="403"/>
      <c r="CG85" s="403"/>
      <c r="CH85" s="403"/>
      <c r="CI85" s="403"/>
      <c r="CJ85" s="403"/>
      <c r="CK85" s="403"/>
      <c r="CL85" s="403"/>
      <c r="CM85" s="403"/>
      <c r="CN85" s="403"/>
      <c r="CO85" s="403"/>
      <c r="CP85" s="403"/>
      <c r="CQ85" s="403"/>
      <c r="CR85" s="403"/>
      <c r="CS85" s="403" t="s">
        <v>8375</v>
      </c>
      <c r="CT85" s="403"/>
      <c r="CU85" s="403"/>
      <c r="CV85" s="403"/>
      <c r="CW85" s="403"/>
      <c r="CX85" s="403"/>
      <c r="CY85" s="403"/>
      <c r="CZ85" s="403"/>
      <c r="DA85" s="403"/>
      <c r="DB85" s="403"/>
      <c r="DC85" s="403"/>
      <c r="DD85" s="403"/>
      <c r="DE85" s="403"/>
      <c r="DF85" s="403"/>
      <c r="DG85" s="403"/>
      <c r="DH85" s="403"/>
      <c r="DI85" s="403"/>
      <c r="DJ85" s="403"/>
      <c r="DK85" s="403"/>
      <c r="DL85" s="403" t="s">
        <v>8378</v>
      </c>
      <c r="DM85" s="403"/>
      <c r="DN85" s="403"/>
      <c r="DO85" s="403"/>
      <c r="DP85" s="403"/>
      <c r="DQ85" s="403"/>
      <c r="DR85" s="403"/>
      <c r="DS85" s="403"/>
      <c r="DT85" s="403"/>
      <c r="DU85" s="403"/>
      <c r="DV85" s="403"/>
      <c r="DW85" s="403"/>
      <c r="DX85" s="403"/>
      <c r="DY85" s="403"/>
      <c r="DZ85" s="403"/>
      <c r="EA85" s="403"/>
      <c r="EB85" s="403"/>
      <c r="EC85" s="403"/>
      <c r="ED85" s="403"/>
      <c r="EE85" s="403" t="s">
        <v>10256</v>
      </c>
      <c r="EF85" s="403"/>
      <c r="EG85" s="403"/>
      <c r="EH85" s="403"/>
      <c r="EI85" s="403"/>
      <c r="EJ85" s="403"/>
      <c r="EK85" s="403"/>
      <c r="EL85" s="403"/>
      <c r="EM85" s="403"/>
      <c r="EN85" s="403"/>
      <c r="EO85" s="403"/>
      <c r="EP85" s="403"/>
      <c r="EQ85" s="403"/>
      <c r="ER85" s="403"/>
      <c r="ES85" s="403"/>
    </row>
    <row r="86" spans="1:149" s="193" customFormat="1" x14ac:dyDescent="0.2">
      <c r="C86" s="198" t="str">
        <f>'T2. Misc'!G10</f>
        <v>Refrigerated (2 to 8C)</v>
      </c>
      <c r="I86" s="108" t="e">
        <f t="shared" si="58"/>
        <v>#N/A</v>
      </c>
      <c r="J86" s="108" t="e">
        <f t="shared" si="58"/>
        <v>#N/A</v>
      </c>
      <c r="K86" s="108" t="e">
        <f t="shared" si="58"/>
        <v>#N/A</v>
      </c>
      <c r="L86" s="108" t="e">
        <f t="shared" si="58"/>
        <v>#N/A</v>
      </c>
      <c r="M86" s="108" t="e">
        <f t="shared" si="58"/>
        <v>#N/A</v>
      </c>
      <c r="N86" s="108" t="e">
        <f t="shared" si="58"/>
        <v>#N/A</v>
      </c>
      <c r="O86" s="108" t="e">
        <f t="shared" ref="O86:O88" si="59">SUM(I86:N86)</f>
        <v>#N/A</v>
      </c>
      <c r="R86" s="403"/>
      <c r="S86" s="403"/>
      <c r="T86" s="403"/>
      <c r="U86" s="403" t="s">
        <v>11</v>
      </c>
      <c r="V86" s="403"/>
      <c r="W86" s="403"/>
      <c r="X86" s="403"/>
      <c r="Y86" s="403"/>
      <c r="Z86" s="403"/>
      <c r="AA86" s="403"/>
      <c r="AB86" s="403"/>
      <c r="AC86" s="403"/>
      <c r="AD86" s="403"/>
      <c r="AE86" s="403"/>
      <c r="AF86" s="403"/>
      <c r="AG86" s="403"/>
      <c r="AH86" s="403"/>
      <c r="AI86" s="403"/>
      <c r="AJ86" s="403"/>
      <c r="AK86" s="403"/>
      <c r="AL86" s="403"/>
      <c r="AM86" s="403"/>
      <c r="AN86" s="403" t="s">
        <v>10219</v>
      </c>
      <c r="AO86" s="403"/>
      <c r="AP86" s="403"/>
      <c r="AQ86" s="403"/>
      <c r="AR86" s="403"/>
      <c r="AS86" s="403"/>
      <c r="AT86" s="403"/>
      <c r="AU86" s="403"/>
      <c r="AV86" s="403"/>
      <c r="AW86" s="403"/>
      <c r="AX86" s="403"/>
      <c r="AY86" s="403"/>
      <c r="AZ86" s="403"/>
      <c r="BA86" s="403"/>
      <c r="BB86" s="403"/>
      <c r="BC86" s="403"/>
      <c r="BD86" s="403"/>
      <c r="BE86" s="403"/>
      <c r="BF86" s="403"/>
      <c r="BG86" s="403" t="s">
        <v>10227</v>
      </c>
      <c r="BH86" s="403"/>
      <c r="BI86" s="403"/>
      <c r="BJ86" s="403"/>
      <c r="BK86" s="403"/>
      <c r="BL86" s="403"/>
      <c r="BM86" s="403"/>
      <c r="BN86" s="403"/>
      <c r="BO86" s="403"/>
      <c r="BP86" s="403"/>
      <c r="BQ86" s="403"/>
      <c r="BR86" s="403"/>
      <c r="BS86" s="403"/>
      <c r="BT86" s="403"/>
      <c r="BU86" s="403"/>
      <c r="BV86" s="403"/>
      <c r="BW86" s="403"/>
      <c r="BX86" s="403"/>
      <c r="BY86" s="403"/>
      <c r="BZ86" s="403" t="s">
        <v>10235</v>
      </c>
      <c r="CA86" s="403"/>
      <c r="CB86" s="403"/>
      <c r="CC86" s="403"/>
      <c r="CD86" s="403"/>
      <c r="CE86" s="403"/>
      <c r="CF86" s="403"/>
      <c r="CG86" s="403"/>
      <c r="CH86" s="403"/>
      <c r="CI86" s="403"/>
      <c r="CJ86" s="403"/>
      <c r="CK86" s="403"/>
      <c r="CL86" s="403"/>
      <c r="CM86" s="403"/>
      <c r="CN86" s="403"/>
      <c r="CO86" s="403"/>
      <c r="CP86" s="403"/>
      <c r="CQ86" s="403"/>
      <c r="CR86" s="403"/>
      <c r="CS86" s="403" t="s">
        <v>8384</v>
      </c>
      <c r="CT86" s="403"/>
      <c r="CU86" s="403"/>
      <c r="CV86" s="403"/>
      <c r="CW86" s="403"/>
      <c r="CX86" s="403"/>
      <c r="CY86" s="403"/>
      <c r="CZ86" s="403"/>
      <c r="DA86" s="403"/>
      <c r="DB86" s="403"/>
      <c r="DC86" s="403"/>
      <c r="DD86" s="403"/>
      <c r="DE86" s="403"/>
      <c r="DF86" s="403"/>
      <c r="DG86" s="403"/>
      <c r="DH86" s="403"/>
      <c r="DI86" s="403"/>
      <c r="DJ86" s="403"/>
      <c r="DK86" s="403"/>
      <c r="DL86" s="403" t="s">
        <v>10248</v>
      </c>
      <c r="DM86" s="403"/>
      <c r="DN86" s="403"/>
      <c r="DO86" s="403"/>
      <c r="DP86" s="403"/>
      <c r="DQ86" s="403"/>
      <c r="DR86" s="403"/>
      <c r="DS86" s="403"/>
      <c r="DT86" s="403"/>
      <c r="DU86" s="403"/>
      <c r="DV86" s="403"/>
      <c r="DW86" s="403"/>
      <c r="DX86" s="403"/>
      <c r="DY86" s="403"/>
      <c r="DZ86" s="403"/>
      <c r="EA86" s="403"/>
      <c r="EB86" s="403"/>
      <c r="EC86" s="403"/>
      <c r="ED86" s="403"/>
      <c r="EE86" s="403" t="s">
        <v>8387</v>
      </c>
      <c r="EF86" s="403"/>
      <c r="EG86" s="403"/>
      <c r="EH86" s="403"/>
      <c r="EI86" s="403"/>
      <c r="EJ86" s="403"/>
      <c r="EK86" s="403"/>
      <c r="EL86" s="403"/>
      <c r="EM86" s="403"/>
      <c r="EN86" s="403"/>
      <c r="EO86" s="403"/>
      <c r="EP86" s="403"/>
      <c r="EQ86" s="403"/>
      <c r="ER86" s="403"/>
      <c r="ES86" s="403"/>
    </row>
    <row r="87" spans="1:149" s="193" customFormat="1" x14ac:dyDescent="0.2">
      <c r="C87" s="198" t="str">
        <f>'T2. Misc'!G11</f>
        <v>Frozen (-20C)</v>
      </c>
      <c r="I87" s="108" t="e">
        <f t="shared" si="58"/>
        <v>#N/A</v>
      </c>
      <c r="J87" s="108" t="e">
        <f t="shared" si="58"/>
        <v>#N/A</v>
      </c>
      <c r="K87" s="108" t="e">
        <f t="shared" si="58"/>
        <v>#N/A</v>
      </c>
      <c r="L87" s="108" t="e">
        <f t="shared" si="58"/>
        <v>#N/A</v>
      </c>
      <c r="M87" s="108" t="e">
        <f t="shared" si="58"/>
        <v>#N/A</v>
      </c>
      <c r="N87" s="108" t="e">
        <f t="shared" si="58"/>
        <v>#N/A</v>
      </c>
      <c r="O87" s="108" t="e">
        <f t="shared" si="59"/>
        <v>#N/A</v>
      </c>
      <c r="R87" s="403"/>
      <c r="S87" s="403"/>
      <c r="T87" s="403"/>
      <c r="U87" s="403" t="s">
        <v>12</v>
      </c>
      <c r="V87" s="403"/>
      <c r="W87" s="403"/>
      <c r="X87" s="403"/>
      <c r="Y87" s="403"/>
      <c r="Z87" s="403"/>
      <c r="AA87" s="403"/>
      <c r="AB87" s="403"/>
      <c r="AC87" s="403"/>
      <c r="AD87" s="403"/>
      <c r="AE87" s="403"/>
      <c r="AF87" s="403"/>
      <c r="AG87" s="403"/>
      <c r="AH87" s="403"/>
      <c r="AI87" s="403"/>
      <c r="AJ87" s="403"/>
      <c r="AK87" s="403"/>
      <c r="AL87" s="403"/>
      <c r="AM87" s="403"/>
      <c r="AN87" s="403" t="s">
        <v>10220</v>
      </c>
      <c r="AO87" s="403"/>
      <c r="AP87" s="403"/>
      <c r="AQ87" s="403"/>
      <c r="AR87" s="403"/>
      <c r="AS87" s="403"/>
      <c r="AT87" s="403"/>
      <c r="AU87" s="403"/>
      <c r="AV87" s="403"/>
      <c r="AW87" s="403"/>
      <c r="AX87" s="403"/>
      <c r="AY87" s="403"/>
      <c r="AZ87" s="403"/>
      <c r="BA87" s="403"/>
      <c r="BB87" s="403"/>
      <c r="BC87" s="403"/>
      <c r="BD87" s="403"/>
      <c r="BE87" s="403"/>
      <c r="BF87" s="403"/>
      <c r="BG87" s="403" t="s">
        <v>10228</v>
      </c>
      <c r="BH87" s="403"/>
      <c r="BI87" s="403"/>
      <c r="BJ87" s="403"/>
      <c r="BK87" s="403"/>
      <c r="BL87" s="403"/>
      <c r="BM87" s="403"/>
      <c r="BN87" s="403"/>
      <c r="BO87" s="403"/>
      <c r="BP87" s="403"/>
      <c r="BQ87" s="403"/>
      <c r="BR87" s="403"/>
      <c r="BS87" s="403"/>
      <c r="BT87" s="403"/>
      <c r="BU87" s="403"/>
      <c r="BV87" s="403"/>
      <c r="BW87" s="403"/>
      <c r="BX87" s="403"/>
      <c r="BY87" s="403"/>
      <c r="BZ87" s="403" t="s">
        <v>10236</v>
      </c>
      <c r="CA87" s="403"/>
      <c r="CB87" s="403"/>
      <c r="CC87" s="403"/>
      <c r="CD87" s="403"/>
      <c r="CE87" s="403"/>
      <c r="CF87" s="403"/>
      <c r="CG87" s="403"/>
      <c r="CH87" s="403"/>
      <c r="CI87" s="403"/>
      <c r="CJ87" s="403"/>
      <c r="CK87" s="403"/>
      <c r="CL87" s="403"/>
      <c r="CM87" s="403"/>
      <c r="CN87" s="403"/>
      <c r="CO87" s="403"/>
      <c r="CP87" s="403"/>
      <c r="CQ87" s="403"/>
      <c r="CR87" s="403"/>
      <c r="CS87" s="403" t="s">
        <v>8391</v>
      </c>
      <c r="CT87" s="403"/>
      <c r="CU87" s="403"/>
      <c r="CV87" s="403"/>
      <c r="CW87" s="403"/>
      <c r="CX87" s="403"/>
      <c r="CY87" s="403"/>
      <c r="CZ87" s="403"/>
      <c r="DA87" s="403"/>
      <c r="DB87" s="403"/>
      <c r="DC87" s="403"/>
      <c r="DD87" s="403"/>
      <c r="DE87" s="403"/>
      <c r="DF87" s="403"/>
      <c r="DG87" s="403"/>
      <c r="DH87" s="403"/>
      <c r="DI87" s="403"/>
      <c r="DJ87" s="403"/>
      <c r="DK87" s="403"/>
      <c r="DL87" s="403" t="s">
        <v>10249</v>
      </c>
      <c r="DM87" s="403"/>
      <c r="DN87" s="403"/>
      <c r="DO87" s="403"/>
      <c r="DP87" s="403"/>
      <c r="DQ87" s="403"/>
      <c r="DR87" s="403"/>
      <c r="DS87" s="403"/>
      <c r="DT87" s="403"/>
      <c r="DU87" s="403"/>
      <c r="DV87" s="403"/>
      <c r="DW87" s="403"/>
      <c r="DX87" s="403"/>
      <c r="DY87" s="403"/>
      <c r="DZ87" s="403"/>
      <c r="EA87" s="403"/>
      <c r="EB87" s="403"/>
      <c r="EC87" s="403"/>
      <c r="ED87" s="403"/>
      <c r="EE87" s="403" t="s">
        <v>8393</v>
      </c>
      <c r="EF87" s="403"/>
      <c r="EG87" s="403"/>
      <c r="EH87" s="403"/>
      <c r="EI87" s="403"/>
      <c r="EJ87" s="403"/>
      <c r="EK87" s="403"/>
      <c r="EL87" s="403"/>
      <c r="EM87" s="403"/>
      <c r="EN87" s="403"/>
      <c r="EO87" s="403"/>
      <c r="EP87" s="403"/>
      <c r="EQ87" s="403"/>
      <c r="ER87" s="403"/>
      <c r="ES87" s="403"/>
    </row>
    <row r="88" spans="1:149" s="193" customFormat="1" x14ac:dyDescent="0.2">
      <c r="C88" s="198" t="str">
        <f>'T2. Misc'!G12</f>
        <v>Ultra-cold (-60 to -80C)</v>
      </c>
      <c r="I88" s="108" t="e">
        <f t="shared" si="58"/>
        <v>#N/A</v>
      </c>
      <c r="J88" s="108" t="e">
        <f t="shared" si="58"/>
        <v>#N/A</v>
      </c>
      <c r="K88" s="108" t="e">
        <f t="shared" si="58"/>
        <v>#N/A</v>
      </c>
      <c r="L88" s="108" t="e">
        <f t="shared" si="58"/>
        <v>#N/A</v>
      </c>
      <c r="M88" s="108" t="e">
        <f t="shared" si="58"/>
        <v>#N/A</v>
      </c>
      <c r="N88" s="108" t="e">
        <f t="shared" si="58"/>
        <v>#N/A</v>
      </c>
      <c r="O88" s="108" t="e">
        <f t="shared" si="59"/>
        <v>#N/A</v>
      </c>
      <c r="Q88" s="47" t="str">
        <f ca="1">IF(OFFSET(AI88,0,Lang_Order*Lang__B3)="","",OFFSET(AI88,0,Lang_Order*Lang__B3))</f>
        <v>No costing information for this as ultracold services limited in availability</v>
      </c>
      <c r="R88" s="403"/>
      <c r="S88" s="403"/>
      <c r="T88" s="403"/>
      <c r="U88" s="403" t="s">
        <v>13</v>
      </c>
      <c r="V88" s="403"/>
      <c r="W88" s="403"/>
      <c r="X88" s="403"/>
      <c r="Y88" s="403"/>
      <c r="Z88" s="403"/>
      <c r="AA88" s="403"/>
      <c r="AB88" s="403"/>
      <c r="AC88" s="403"/>
      <c r="AD88" s="403"/>
      <c r="AE88" s="403"/>
      <c r="AF88" s="403"/>
      <c r="AG88" s="403"/>
      <c r="AH88" s="403"/>
      <c r="AI88" s="403" t="s">
        <v>2765</v>
      </c>
      <c r="AJ88" s="403"/>
      <c r="AK88" s="403"/>
      <c r="AL88" s="403"/>
      <c r="AM88" s="403"/>
      <c r="AN88" s="403" t="s">
        <v>8394</v>
      </c>
      <c r="AO88" s="403"/>
      <c r="AP88" s="403"/>
      <c r="AQ88" s="403"/>
      <c r="AR88" s="403"/>
      <c r="AS88" s="403"/>
      <c r="AT88" s="403"/>
      <c r="AU88" s="403"/>
      <c r="AV88" s="403"/>
      <c r="AW88" s="403"/>
      <c r="AX88" s="403"/>
      <c r="AY88" s="403"/>
      <c r="AZ88" s="403"/>
      <c r="BA88" s="403"/>
      <c r="BB88" s="403" t="s">
        <v>10272</v>
      </c>
      <c r="BC88" s="403"/>
      <c r="BD88" s="403"/>
      <c r="BE88" s="403"/>
      <c r="BF88" s="403"/>
      <c r="BG88" s="403" t="s">
        <v>10229</v>
      </c>
      <c r="BH88" s="403"/>
      <c r="BI88" s="403"/>
      <c r="BJ88" s="403"/>
      <c r="BK88" s="403"/>
      <c r="BL88" s="403"/>
      <c r="BM88" s="403"/>
      <c r="BN88" s="403"/>
      <c r="BO88" s="403"/>
      <c r="BP88" s="403"/>
      <c r="BQ88" s="403"/>
      <c r="BR88" s="403"/>
      <c r="BS88" s="403"/>
      <c r="BT88" s="403"/>
      <c r="BU88" s="403" t="s">
        <v>10273</v>
      </c>
      <c r="BV88" s="403"/>
      <c r="BW88" s="403"/>
      <c r="BX88" s="403"/>
      <c r="BY88" s="403"/>
      <c r="BZ88" s="403" t="s">
        <v>10237</v>
      </c>
      <c r="CA88" s="403"/>
      <c r="CB88" s="403"/>
      <c r="CC88" s="403"/>
      <c r="CD88" s="403"/>
      <c r="CE88" s="403"/>
      <c r="CF88" s="403"/>
      <c r="CG88" s="403"/>
      <c r="CH88" s="403"/>
      <c r="CI88" s="403"/>
      <c r="CJ88" s="403"/>
      <c r="CK88" s="403"/>
      <c r="CL88" s="403"/>
      <c r="CM88" s="403"/>
      <c r="CN88" s="403" t="s">
        <v>10274</v>
      </c>
      <c r="CO88" s="403"/>
      <c r="CP88" s="403"/>
      <c r="CQ88" s="403"/>
      <c r="CR88" s="403"/>
      <c r="CS88" s="403" t="s">
        <v>8400</v>
      </c>
      <c r="CT88" s="403"/>
      <c r="CU88" s="403"/>
      <c r="CV88" s="403"/>
      <c r="CW88" s="403"/>
      <c r="CX88" s="403"/>
      <c r="CY88" s="403"/>
      <c r="CZ88" s="403"/>
      <c r="DA88" s="403"/>
      <c r="DB88" s="403"/>
      <c r="DC88" s="403"/>
      <c r="DD88" s="403"/>
      <c r="DE88" s="403"/>
      <c r="DF88" s="403"/>
      <c r="DG88" s="403" t="s">
        <v>10275</v>
      </c>
      <c r="DH88" s="403"/>
      <c r="DI88" s="403"/>
      <c r="DJ88" s="403"/>
      <c r="DK88" s="403"/>
      <c r="DL88" s="403" t="s">
        <v>10250</v>
      </c>
      <c r="DM88" s="403"/>
      <c r="DN88" s="403"/>
      <c r="DO88" s="403"/>
      <c r="DP88" s="403"/>
      <c r="DQ88" s="403"/>
      <c r="DR88" s="403"/>
      <c r="DS88" s="403"/>
      <c r="DT88" s="403"/>
      <c r="DU88" s="403"/>
      <c r="DV88" s="403"/>
      <c r="DW88" s="403"/>
      <c r="DX88" s="403"/>
      <c r="DY88" s="403"/>
      <c r="DZ88" s="403" t="s">
        <v>10276</v>
      </c>
      <c r="EA88" s="403"/>
      <c r="EB88" s="403"/>
      <c r="EC88" s="403"/>
      <c r="ED88" s="403"/>
      <c r="EE88" s="403" t="s">
        <v>8404</v>
      </c>
      <c r="EF88" s="403"/>
      <c r="EG88" s="403"/>
      <c r="EH88" s="403"/>
      <c r="EI88" s="403"/>
      <c r="EJ88" s="403"/>
      <c r="EK88" s="403"/>
      <c r="EL88" s="403"/>
      <c r="EM88" s="403"/>
      <c r="EN88" s="403"/>
      <c r="EO88" s="403"/>
      <c r="EP88" s="403"/>
      <c r="EQ88" s="403"/>
      <c r="ER88" s="403"/>
      <c r="ES88" s="403" t="s">
        <v>10277</v>
      </c>
    </row>
    <row r="89" spans="1:149" s="193" customFormat="1" x14ac:dyDescent="0.2">
      <c r="I89" s="108"/>
      <c r="J89" s="108"/>
      <c r="K89" s="108"/>
      <c r="L89" s="108"/>
      <c r="M89" s="108"/>
      <c r="N89" s="108"/>
      <c r="O89" s="108"/>
      <c r="R89" s="403"/>
      <c r="S89" s="403"/>
      <c r="T89" s="403"/>
      <c r="U89" s="403"/>
      <c r="V89" s="403"/>
      <c r="W89" s="403"/>
      <c r="X89" s="403"/>
      <c r="Y89" s="403"/>
      <c r="Z89" s="403"/>
      <c r="AA89" s="403"/>
      <c r="AB89" s="403"/>
      <c r="AC89" s="403"/>
      <c r="AD89" s="403"/>
      <c r="AE89" s="403"/>
      <c r="AF89" s="403"/>
      <c r="AG89" s="403"/>
      <c r="AH89" s="403"/>
      <c r="AI89" s="403"/>
      <c r="AJ89" s="403"/>
      <c r="AK89" s="403"/>
      <c r="AL89" s="403"/>
      <c r="AM89" s="403"/>
      <c r="AN89" s="403"/>
      <c r="AO89" s="403"/>
      <c r="AP89" s="403"/>
      <c r="AQ89" s="403"/>
      <c r="AR89" s="403"/>
      <c r="AS89" s="403"/>
      <c r="AT89" s="403"/>
      <c r="AU89" s="403"/>
      <c r="AV89" s="403"/>
      <c r="AW89" s="403"/>
      <c r="AX89" s="403"/>
      <c r="AY89" s="403"/>
      <c r="AZ89" s="403"/>
      <c r="BA89" s="403"/>
      <c r="BB89" s="403"/>
      <c r="BC89" s="403"/>
      <c r="BD89" s="403"/>
      <c r="BE89" s="403"/>
      <c r="BF89" s="403"/>
      <c r="BG89" s="403"/>
      <c r="BH89" s="403"/>
      <c r="BI89" s="403"/>
      <c r="BJ89" s="403"/>
      <c r="BK89" s="403"/>
      <c r="BL89" s="403"/>
      <c r="BM89" s="403"/>
      <c r="BN89" s="403"/>
      <c r="BO89" s="403"/>
      <c r="BP89" s="403"/>
      <c r="BQ89" s="403"/>
      <c r="BR89" s="403"/>
      <c r="BS89" s="403"/>
      <c r="BT89" s="403"/>
      <c r="BU89" s="403"/>
      <c r="BV89" s="403"/>
      <c r="BW89" s="403"/>
      <c r="BX89" s="403"/>
      <c r="BY89" s="403"/>
      <c r="BZ89" s="403"/>
      <c r="CA89" s="403"/>
      <c r="CB89" s="403"/>
      <c r="CC89" s="403"/>
      <c r="CD89" s="403"/>
      <c r="CE89" s="403"/>
      <c r="CF89" s="403"/>
      <c r="CG89" s="403"/>
      <c r="CH89" s="403"/>
      <c r="CI89" s="403"/>
      <c r="CJ89" s="403"/>
      <c r="CK89" s="403"/>
      <c r="CL89" s="403"/>
      <c r="CM89" s="403"/>
      <c r="CN89" s="403"/>
      <c r="CO89" s="403"/>
      <c r="CP89" s="403"/>
      <c r="CQ89" s="403"/>
      <c r="CR89" s="403"/>
      <c r="CS89" s="403"/>
      <c r="CT89" s="403"/>
      <c r="CU89" s="403"/>
      <c r="CV89" s="403"/>
      <c r="CW89" s="403"/>
      <c r="CX89" s="403"/>
      <c r="CY89" s="403"/>
      <c r="CZ89" s="403"/>
      <c r="DA89" s="403"/>
      <c r="DB89" s="403"/>
      <c r="DC89" s="403"/>
      <c r="DD89" s="403"/>
      <c r="DE89" s="403"/>
      <c r="DF89" s="403"/>
      <c r="DG89" s="403"/>
      <c r="DH89" s="403"/>
      <c r="DI89" s="403"/>
      <c r="DJ89" s="403"/>
      <c r="DK89" s="403"/>
      <c r="DL89" s="403"/>
      <c r="DM89" s="403"/>
      <c r="DN89" s="403"/>
      <c r="DO89" s="403"/>
      <c r="DP89" s="403"/>
      <c r="DQ89" s="403"/>
      <c r="DR89" s="403"/>
      <c r="DS89" s="403"/>
      <c r="DT89" s="403"/>
      <c r="DU89" s="403"/>
      <c r="DV89" s="403"/>
      <c r="DW89" s="403"/>
      <c r="DX89" s="403"/>
      <c r="DY89" s="403"/>
      <c r="DZ89" s="403"/>
      <c r="EA89" s="403"/>
      <c r="EB89" s="403"/>
      <c r="EC89" s="403"/>
      <c r="ED89" s="403"/>
      <c r="EE89" s="403"/>
      <c r="EF89" s="403"/>
      <c r="EG89" s="403"/>
      <c r="EH89" s="403"/>
      <c r="EI89" s="403"/>
      <c r="EJ89" s="403"/>
      <c r="EK89" s="403"/>
      <c r="EL89" s="403"/>
      <c r="EM89" s="403"/>
      <c r="EN89" s="403"/>
      <c r="EO89" s="403"/>
      <c r="EP89" s="403"/>
      <c r="EQ89" s="403"/>
      <c r="ER89" s="403"/>
      <c r="ES89" s="403"/>
    </row>
    <row r="90" spans="1:149" s="193" customFormat="1" ht="15" x14ac:dyDescent="0.25">
      <c r="D90" s="193" t="s">
        <v>2766</v>
      </c>
      <c r="E90" s="193" t="s">
        <v>2767</v>
      </c>
      <c r="I90" s="8" t="str">
        <f ca="1">IF(OFFSET(AA90,0,Lang_Order*Lang__B3)="","",OFFSET(AA90,0,Lang_Order*Lang__B3))</f>
        <v>Weight of cold chain packaging (kg) per Shipment</v>
      </c>
      <c r="J90" s="8"/>
      <c r="K90" s="8"/>
      <c r="L90" s="8"/>
      <c r="M90" s="8"/>
      <c r="N90" s="8"/>
      <c r="O90" s="8"/>
      <c r="R90" s="403"/>
      <c r="S90" s="403"/>
      <c r="T90" s="403"/>
      <c r="U90" s="403"/>
      <c r="V90" s="403"/>
      <c r="W90" s="403"/>
      <c r="X90" s="403"/>
      <c r="Y90" s="403"/>
      <c r="Z90" s="403"/>
      <c r="AA90" s="403" t="s">
        <v>2781</v>
      </c>
      <c r="AB90" s="403"/>
      <c r="AC90" s="403"/>
      <c r="AD90" s="403"/>
      <c r="AE90" s="403"/>
      <c r="AF90" s="403"/>
      <c r="AG90" s="403"/>
      <c r="AH90" s="403"/>
      <c r="AI90" s="403"/>
      <c r="AJ90" s="403"/>
      <c r="AK90" s="403"/>
      <c r="AL90" s="403"/>
      <c r="AM90" s="403"/>
      <c r="AN90" s="403"/>
      <c r="AO90" s="403"/>
      <c r="AP90" s="403"/>
      <c r="AQ90" s="403"/>
      <c r="AR90" s="403"/>
      <c r="AS90" s="403"/>
      <c r="AT90" s="403" t="s">
        <v>10362</v>
      </c>
      <c r="AU90" s="403"/>
      <c r="AV90" s="403"/>
      <c r="AW90" s="403"/>
      <c r="AX90" s="403"/>
      <c r="AY90" s="403"/>
      <c r="AZ90" s="403"/>
      <c r="BA90" s="403"/>
      <c r="BB90" s="403"/>
      <c r="BC90" s="403"/>
      <c r="BD90" s="403"/>
      <c r="BE90" s="403"/>
      <c r="BF90" s="403"/>
      <c r="BG90" s="403"/>
      <c r="BH90" s="403"/>
      <c r="BI90" s="403"/>
      <c r="BJ90" s="403"/>
      <c r="BK90" s="403"/>
      <c r="BL90" s="403"/>
      <c r="BM90" s="403" t="s">
        <v>10291</v>
      </c>
      <c r="BN90" s="403"/>
      <c r="BO90" s="403"/>
      <c r="BP90" s="403"/>
      <c r="BQ90" s="403"/>
      <c r="BR90" s="403"/>
      <c r="BS90" s="403"/>
      <c r="BT90" s="403"/>
      <c r="BU90" s="403"/>
      <c r="BV90" s="403"/>
      <c r="BW90" s="403"/>
      <c r="BX90" s="403"/>
      <c r="BY90" s="403"/>
      <c r="BZ90" s="403"/>
      <c r="CA90" s="403"/>
      <c r="CB90" s="403"/>
      <c r="CC90" s="403"/>
      <c r="CD90" s="403"/>
      <c r="CE90" s="403"/>
      <c r="CF90" s="403" t="s">
        <v>10292</v>
      </c>
      <c r="CG90" s="403"/>
      <c r="CH90" s="403"/>
      <c r="CI90" s="403"/>
      <c r="CJ90" s="403"/>
      <c r="CK90" s="403"/>
      <c r="CL90" s="403"/>
      <c r="CM90" s="403"/>
      <c r="CN90" s="403"/>
      <c r="CO90" s="403"/>
      <c r="CP90" s="403"/>
      <c r="CQ90" s="403"/>
      <c r="CR90" s="403"/>
      <c r="CS90" s="403"/>
      <c r="CT90" s="403"/>
      <c r="CU90" s="403"/>
      <c r="CV90" s="403"/>
      <c r="CW90" s="403"/>
      <c r="CX90" s="403"/>
      <c r="CY90" s="403" t="s">
        <v>10293</v>
      </c>
      <c r="CZ90" s="403"/>
      <c r="DA90" s="403"/>
      <c r="DB90" s="403"/>
      <c r="DC90" s="403"/>
      <c r="DD90" s="403"/>
      <c r="DE90" s="403"/>
      <c r="DF90" s="403"/>
      <c r="DG90" s="403"/>
      <c r="DH90" s="403"/>
      <c r="DI90" s="403"/>
      <c r="DJ90" s="403"/>
      <c r="DK90" s="403"/>
      <c r="DL90" s="403"/>
      <c r="DM90" s="403"/>
      <c r="DN90" s="403"/>
      <c r="DO90" s="403"/>
      <c r="DP90" s="403"/>
      <c r="DQ90" s="403"/>
      <c r="DR90" s="403" t="s">
        <v>10294</v>
      </c>
      <c r="DS90" s="403"/>
      <c r="DT90" s="403"/>
      <c r="DU90" s="403"/>
      <c r="DV90" s="403"/>
      <c r="DW90" s="403"/>
      <c r="DX90" s="403"/>
      <c r="DY90" s="403"/>
      <c r="DZ90" s="403"/>
      <c r="EA90" s="403"/>
      <c r="EB90" s="403"/>
      <c r="EC90" s="403"/>
      <c r="ED90" s="403"/>
      <c r="EE90" s="403"/>
      <c r="EF90" s="403"/>
      <c r="EG90" s="403"/>
      <c r="EH90" s="403"/>
      <c r="EI90" s="403"/>
      <c r="EJ90" s="403"/>
      <c r="EK90" s="403" t="s">
        <v>10295</v>
      </c>
      <c r="EL90" s="403"/>
      <c r="EM90" s="403"/>
      <c r="EN90" s="403"/>
      <c r="EO90" s="403"/>
      <c r="EP90" s="403"/>
      <c r="EQ90" s="403"/>
      <c r="ER90" s="403"/>
      <c r="ES90" s="403"/>
    </row>
    <row r="91" spans="1:149" s="193" customFormat="1" x14ac:dyDescent="0.2">
      <c r="B91" s="23" t="str">
        <f>CONCATENATE("",DM1_Vaccine)</f>
        <v/>
      </c>
      <c r="D91" s="3" t="e">
        <f>VLOOKUP(C79,$C$55:$E$58,2,FALSE)</f>
        <v>#N/A</v>
      </c>
      <c r="E91" s="3" t="e">
        <f>VLOOKUP(C79,$C$55:$E$58,3,FALSE)</f>
        <v>#N/A</v>
      </c>
      <c r="I91" s="184" t="e">
        <f t="shared" ref="I91:N94" si="60">($D91*I79)+($E91*I85)</f>
        <v>#N/A</v>
      </c>
      <c r="J91" s="184" t="e">
        <f t="shared" si="60"/>
        <v>#N/A</v>
      </c>
      <c r="K91" s="184" t="e">
        <f t="shared" si="60"/>
        <v>#N/A</v>
      </c>
      <c r="L91" s="184" t="e">
        <f t="shared" si="60"/>
        <v>#N/A</v>
      </c>
      <c r="M91" s="184" t="e">
        <f t="shared" si="60"/>
        <v>#N/A</v>
      </c>
      <c r="N91" s="184" t="e">
        <f t="shared" si="60"/>
        <v>#N/A</v>
      </c>
      <c r="O91" s="108"/>
      <c r="R91" s="403"/>
      <c r="S91" s="403"/>
      <c r="T91" s="403"/>
      <c r="U91" s="403"/>
      <c r="V91" s="403"/>
      <c r="W91" s="403"/>
      <c r="X91" s="403"/>
      <c r="Y91" s="403"/>
      <c r="Z91" s="403"/>
      <c r="AA91" s="403"/>
      <c r="AB91" s="403"/>
      <c r="AC91" s="403"/>
      <c r="AD91" s="403"/>
      <c r="AE91" s="403"/>
      <c r="AF91" s="403"/>
      <c r="AG91" s="403"/>
      <c r="AH91" s="403"/>
      <c r="AI91" s="403"/>
      <c r="AJ91" s="403"/>
      <c r="AK91" s="403"/>
      <c r="AL91" s="403"/>
      <c r="AM91" s="403"/>
      <c r="AN91" s="403"/>
      <c r="AO91" s="403"/>
      <c r="AP91" s="403"/>
      <c r="AQ91" s="403"/>
      <c r="AR91" s="403"/>
      <c r="AS91" s="403"/>
      <c r="AT91" s="403"/>
      <c r="AU91" s="403"/>
      <c r="AV91" s="403"/>
      <c r="AW91" s="403"/>
      <c r="AX91" s="403"/>
      <c r="AY91" s="403"/>
      <c r="AZ91" s="403"/>
      <c r="BA91" s="403"/>
      <c r="BB91" s="403"/>
      <c r="BC91" s="403"/>
      <c r="BD91" s="403"/>
      <c r="BE91" s="403"/>
      <c r="BF91" s="403"/>
      <c r="BG91" s="403"/>
      <c r="BH91" s="403"/>
      <c r="BI91" s="403"/>
      <c r="BJ91" s="403"/>
      <c r="BK91" s="403"/>
      <c r="BL91" s="403"/>
      <c r="BM91" s="403"/>
      <c r="BN91" s="403"/>
      <c r="BO91" s="403"/>
      <c r="BP91" s="403"/>
      <c r="BQ91" s="403"/>
      <c r="BR91" s="403"/>
      <c r="BS91" s="403"/>
      <c r="BT91" s="403"/>
      <c r="BU91" s="403"/>
      <c r="BV91" s="403"/>
      <c r="BW91" s="403"/>
      <c r="BX91" s="403"/>
      <c r="BY91" s="403"/>
      <c r="BZ91" s="403"/>
      <c r="CA91" s="403"/>
      <c r="CB91" s="403"/>
      <c r="CC91" s="403"/>
      <c r="CD91" s="403"/>
      <c r="CE91" s="403"/>
      <c r="CF91" s="403"/>
      <c r="CG91" s="403"/>
      <c r="CH91" s="403"/>
      <c r="CI91" s="403"/>
      <c r="CJ91" s="403"/>
      <c r="CK91" s="403"/>
      <c r="CL91" s="403"/>
      <c r="CM91" s="403"/>
      <c r="CN91" s="403"/>
      <c r="CO91" s="403"/>
      <c r="CP91" s="403"/>
      <c r="CQ91" s="403"/>
      <c r="CR91" s="403"/>
      <c r="CS91" s="403"/>
      <c r="CT91" s="403"/>
      <c r="CU91" s="403"/>
      <c r="CV91" s="403"/>
      <c r="CW91" s="403"/>
      <c r="CX91" s="403"/>
      <c r="CY91" s="403"/>
      <c r="CZ91" s="403"/>
      <c r="DA91" s="403"/>
      <c r="DB91" s="403"/>
      <c r="DC91" s="403"/>
      <c r="DD91" s="403"/>
      <c r="DE91" s="403"/>
      <c r="DF91" s="403"/>
      <c r="DG91" s="403"/>
      <c r="DH91" s="403"/>
      <c r="DI91" s="403"/>
      <c r="DJ91" s="403"/>
      <c r="DK91" s="403"/>
      <c r="DL91" s="403"/>
      <c r="DM91" s="403"/>
      <c r="DN91" s="403"/>
      <c r="DO91" s="403"/>
      <c r="DP91" s="403"/>
      <c r="DQ91" s="403"/>
      <c r="DR91" s="403"/>
      <c r="DS91" s="403"/>
      <c r="DT91" s="403"/>
      <c r="DU91" s="403"/>
      <c r="DV91" s="403"/>
      <c r="DW91" s="403"/>
      <c r="DX91" s="403"/>
      <c r="DY91" s="403"/>
      <c r="DZ91" s="403"/>
      <c r="EA91" s="403"/>
      <c r="EB91" s="403"/>
      <c r="EC91" s="403"/>
      <c r="ED91" s="403"/>
      <c r="EE91" s="403"/>
      <c r="EF91" s="403"/>
      <c r="EG91" s="403"/>
      <c r="EH91" s="403"/>
      <c r="EI91" s="403"/>
      <c r="EJ91" s="403"/>
      <c r="EK91" s="403"/>
      <c r="EL91" s="403"/>
      <c r="EM91" s="403"/>
      <c r="EN91" s="403"/>
      <c r="EO91" s="403"/>
      <c r="EP91" s="403"/>
      <c r="EQ91" s="403"/>
      <c r="ER91" s="403"/>
      <c r="ES91" s="403"/>
    </row>
    <row r="92" spans="1:149" s="193" customFormat="1" x14ac:dyDescent="0.2">
      <c r="B92" s="23" t="str">
        <f>CONCATENATE("",DM2_Vaccine)</f>
        <v/>
      </c>
      <c r="D92" s="3" t="e">
        <f>VLOOKUP(C80,$C$55:$E$58,2,FALSE)</f>
        <v>#N/A</v>
      </c>
      <c r="E92" s="3" t="e">
        <f>VLOOKUP(C80,$C$55:$E$58,3,FALSE)</f>
        <v>#N/A</v>
      </c>
      <c r="I92" s="184" t="e">
        <f t="shared" si="60"/>
        <v>#N/A</v>
      </c>
      <c r="J92" s="184" t="e">
        <f t="shared" si="60"/>
        <v>#N/A</v>
      </c>
      <c r="K92" s="184" t="e">
        <f t="shared" si="60"/>
        <v>#N/A</v>
      </c>
      <c r="L92" s="184" t="e">
        <f t="shared" si="60"/>
        <v>#N/A</v>
      </c>
      <c r="M92" s="184" t="e">
        <f t="shared" si="60"/>
        <v>#N/A</v>
      </c>
      <c r="N92" s="184" t="e">
        <f t="shared" si="60"/>
        <v>#N/A</v>
      </c>
      <c r="O92" s="108"/>
      <c r="R92" s="403"/>
      <c r="S92" s="403"/>
      <c r="T92" s="403"/>
      <c r="U92" s="403"/>
      <c r="V92" s="403"/>
      <c r="W92" s="403"/>
      <c r="X92" s="403"/>
      <c r="Y92" s="403"/>
      <c r="Z92" s="403"/>
      <c r="AA92" s="403"/>
      <c r="AB92" s="403"/>
      <c r="AC92" s="403"/>
      <c r="AD92" s="403"/>
      <c r="AE92" s="403"/>
      <c r="AF92" s="403"/>
      <c r="AG92" s="403"/>
      <c r="AH92" s="403"/>
      <c r="AI92" s="403"/>
      <c r="AJ92" s="403"/>
      <c r="AK92" s="403"/>
      <c r="AL92" s="403"/>
      <c r="AM92" s="403"/>
      <c r="AN92" s="403"/>
      <c r="AO92" s="403"/>
      <c r="AP92" s="403"/>
      <c r="AQ92" s="403"/>
      <c r="AR92" s="403"/>
      <c r="AS92" s="403"/>
      <c r="AT92" s="403"/>
      <c r="AU92" s="403"/>
      <c r="AV92" s="403"/>
      <c r="AW92" s="403"/>
      <c r="AX92" s="403"/>
      <c r="AY92" s="403"/>
      <c r="AZ92" s="403"/>
      <c r="BA92" s="403"/>
      <c r="BB92" s="403"/>
      <c r="BC92" s="403"/>
      <c r="BD92" s="403"/>
      <c r="BE92" s="403"/>
      <c r="BF92" s="403"/>
      <c r="BG92" s="403"/>
      <c r="BH92" s="403"/>
      <c r="BI92" s="403"/>
      <c r="BJ92" s="403"/>
      <c r="BK92" s="403"/>
      <c r="BL92" s="403"/>
      <c r="BM92" s="403"/>
      <c r="BN92" s="403"/>
      <c r="BO92" s="403"/>
      <c r="BP92" s="403"/>
      <c r="BQ92" s="403"/>
      <c r="BR92" s="403"/>
      <c r="BS92" s="403"/>
      <c r="BT92" s="403"/>
      <c r="BU92" s="403"/>
      <c r="BV92" s="403"/>
      <c r="BW92" s="403"/>
      <c r="BX92" s="403"/>
      <c r="BY92" s="403"/>
      <c r="BZ92" s="403"/>
      <c r="CA92" s="403"/>
      <c r="CB92" s="403"/>
      <c r="CC92" s="403"/>
      <c r="CD92" s="403"/>
      <c r="CE92" s="403"/>
      <c r="CF92" s="403"/>
      <c r="CG92" s="403"/>
      <c r="CH92" s="403"/>
      <c r="CI92" s="403"/>
      <c r="CJ92" s="403"/>
      <c r="CK92" s="403"/>
      <c r="CL92" s="403"/>
      <c r="CM92" s="403"/>
      <c r="CN92" s="403"/>
      <c r="CO92" s="403"/>
      <c r="CP92" s="403"/>
      <c r="CQ92" s="403"/>
      <c r="CR92" s="403"/>
      <c r="CS92" s="403"/>
      <c r="CT92" s="403"/>
      <c r="CU92" s="403"/>
      <c r="CV92" s="403"/>
      <c r="CW92" s="403"/>
      <c r="CX92" s="403"/>
      <c r="CY92" s="403"/>
      <c r="CZ92" s="403"/>
      <c r="DA92" s="403"/>
      <c r="DB92" s="403"/>
      <c r="DC92" s="403"/>
      <c r="DD92" s="403"/>
      <c r="DE92" s="403"/>
      <c r="DF92" s="403"/>
      <c r="DG92" s="403"/>
      <c r="DH92" s="403"/>
      <c r="DI92" s="403"/>
      <c r="DJ92" s="403"/>
      <c r="DK92" s="403"/>
      <c r="DL92" s="403"/>
      <c r="DM92" s="403"/>
      <c r="DN92" s="403"/>
      <c r="DO92" s="403"/>
      <c r="DP92" s="403"/>
      <c r="DQ92" s="403"/>
      <c r="DR92" s="403"/>
      <c r="DS92" s="403"/>
      <c r="DT92" s="403"/>
      <c r="DU92" s="403"/>
      <c r="DV92" s="403"/>
      <c r="DW92" s="403"/>
      <c r="DX92" s="403"/>
      <c r="DY92" s="403"/>
      <c r="DZ92" s="403"/>
      <c r="EA92" s="403"/>
      <c r="EB92" s="403"/>
      <c r="EC92" s="403"/>
      <c r="ED92" s="403"/>
      <c r="EE92" s="403"/>
      <c r="EF92" s="403"/>
      <c r="EG92" s="403"/>
      <c r="EH92" s="403"/>
      <c r="EI92" s="403"/>
      <c r="EJ92" s="403"/>
      <c r="EK92" s="403"/>
      <c r="EL92" s="403"/>
      <c r="EM92" s="403"/>
      <c r="EN92" s="403"/>
      <c r="EO92" s="403"/>
      <c r="EP92" s="403"/>
      <c r="EQ92" s="403"/>
      <c r="ER92" s="403"/>
      <c r="ES92" s="403"/>
    </row>
    <row r="93" spans="1:149" s="193" customFormat="1" x14ac:dyDescent="0.2">
      <c r="B93" s="23" t="str">
        <f>CONCATENATE("",DM3_Vaccine)</f>
        <v/>
      </c>
      <c r="D93" s="3" t="e">
        <f>VLOOKUP(C81,$C$55:$E$58,2,FALSE)</f>
        <v>#N/A</v>
      </c>
      <c r="E93" s="3" t="e">
        <f>VLOOKUP(C81,$C$55:$E$58,3,FALSE)</f>
        <v>#N/A</v>
      </c>
      <c r="I93" s="184" t="e">
        <f t="shared" si="60"/>
        <v>#N/A</v>
      </c>
      <c r="J93" s="184" t="e">
        <f t="shared" si="60"/>
        <v>#N/A</v>
      </c>
      <c r="K93" s="184" t="e">
        <f t="shared" si="60"/>
        <v>#N/A</v>
      </c>
      <c r="L93" s="184" t="e">
        <f t="shared" si="60"/>
        <v>#N/A</v>
      </c>
      <c r="M93" s="184" t="e">
        <f t="shared" si="60"/>
        <v>#N/A</v>
      </c>
      <c r="N93" s="184" t="e">
        <f t="shared" si="60"/>
        <v>#N/A</v>
      </c>
      <c r="O93" s="108"/>
      <c r="R93" s="403"/>
      <c r="S93" s="403"/>
      <c r="T93" s="403"/>
      <c r="U93" s="403"/>
      <c r="V93" s="403"/>
      <c r="W93" s="403"/>
      <c r="X93" s="403"/>
      <c r="Y93" s="403"/>
      <c r="Z93" s="403"/>
      <c r="AA93" s="403"/>
      <c r="AB93" s="403"/>
      <c r="AC93" s="403"/>
      <c r="AD93" s="403"/>
      <c r="AE93" s="403"/>
      <c r="AF93" s="403"/>
      <c r="AG93" s="403"/>
      <c r="AH93" s="403"/>
      <c r="AI93" s="403"/>
      <c r="AJ93" s="403"/>
      <c r="AK93" s="403"/>
      <c r="AL93" s="403"/>
      <c r="AM93" s="403"/>
      <c r="AN93" s="403"/>
      <c r="AO93" s="403"/>
      <c r="AP93" s="403"/>
      <c r="AQ93" s="403"/>
      <c r="AR93" s="403"/>
      <c r="AS93" s="403"/>
      <c r="AT93" s="403"/>
      <c r="AU93" s="403"/>
      <c r="AV93" s="403"/>
      <c r="AW93" s="403"/>
      <c r="AX93" s="403"/>
      <c r="AY93" s="403"/>
      <c r="AZ93" s="403"/>
      <c r="BA93" s="403"/>
      <c r="BB93" s="403"/>
      <c r="BC93" s="403"/>
      <c r="BD93" s="403"/>
      <c r="BE93" s="403"/>
      <c r="BF93" s="403"/>
      <c r="BG93" s="403"/>
      <c r="BH93" s="403"/>
      <c r="BI93" s="403"/>
      <c r="BJ93" s="403"/>
      <c r="BK93" s="403"/>
      <c r="BL93" s="403"/>
      <c r="BM93" s="403"/>
      <c r="BN93" s="403"/>
      <c r="BO93" s="403"/>
      <c r="BP93" s="403"/>
      <c r="BQ93" s="403"/>
      <c r="BR93" s="403"/>
      <c r="BS93" s="403"/>
      <c r="BT93" s="403"/>
      <c r="BU93" s="403"/>
      <c r="BV93" s="403"/>
      <c r="BW93" s="403"/>
      <c r="BX93" s="403"/>
      <c r="BY93" s="403"/>
      <c r="BZ93" s="403"/>
      <c r="CA93" s="403"/>
      <c r="CB93" s="403"/>
      <c r="CC93" s="403"/>
      <c r="CD93" s="403"/>
      <c r="CE93" s="403"/>
      <c r="CF93" s="403"/>
      <c r="CG93" s="403"/>
      <c r="CH93" s="403"/>
      <c r="CI93" s="403"/>
      <c r="CJ93" s="403"/>
      <c r="CK93" s="403"/>
      <c r="CL93" s="403"/>
      <c r="CM93" s="403"/>
      <c r="CN93" s="403"/>
      <c r="CO93" s="403"/>
      <c r="CP93" s="403"/>
      <c r="CQ93" s="403"/>
      <c r="CR93" s="403"/>
      <c r="CS93" s="403"/>
      <c r="CT93" s="403"/>
      <c r="CU93" s="403"/>
      <c r="CV93" s="403"/>
      <c r="CW93" s="403"/>
      <c r="CX93" s="403"/>
      <c r="CY93" s="403"/>
      <c r="CZ93" s="403"/>
      <c r="DA93" s="403"/>
      <c r="DB93" s="403"/>
      <c r="DC93" s="403"/>
      <c r="DD93" s="403"/>
      <c r="DE93" s="403"/>
      <c r="DF93" s="403"/>
      <c r="DG93" s="403"/>
      <c r="DH93" s="403"/>
      <c r="DI93" s="403"/>
      <c r="DJ93" s="403"/>
      <c r="DK93" s="403"/>
      <c r="DL93" s="403"/>
      <c r="DM93" s="403"/>
      <c r="DN93" s="403"/>
      <c r="DO93" s="403"/>
      <c r="DP93" s="403"/>
      <c r="DQ93" s="403"/>
      <c r="DR93" s="403"/>
      <c r="DS93" s="403"/>
      <c r="DT93" s="403"/>
      <c r="DU93" s="403"/>
      <c r="DV93" s="403"/>
      <c r="DW93" s="403"/>
      <c r="DX93" s="403"/>
      <c r="DY93" s="403"/>
      <c r="DZ93" s="403"/>
      <c r="EA93" s="403"/>
      <c r="EB93" s="403"/>
      <c r="EC93" s="403"/>
      <c r="ED93" s="403"/>
      <c r="EE93" s="403"/>
      <c r="EF93" s="403"/>
      <c r="EG93" s="403"/>
      <c r="EH93" s="403"/>
      <c r="EI93" s="403"/>
      <c r="EJ93" s="403"/>
      <c r="EK93" s="403"/>
      <c r="EL93" s="403"/>
      <c r="EM93" s="403"/>
      <c r="EN93" s="403"/>
      <c r="EO93" s="403"/>
      <c r="EP93" s="403"/>
      <c r="EQ93" s="403"/>
      <c r="ER93" s="403"/>
      <c r="ES93" s="403"/>
    </row>
    <row r="94" spans="1:149" s="193" customFormat="1" x14ac:dyDescent="0.2">
      <c r="B94" s="23" t="str">
        <f>CONCATENATE("",DM4_Vaccine)</f>
        <v/>
      </c>
      <c r="D94" s="3" t="e">
        <f>VLOOKUP(C82,$C$55:$E$58,2,FALSE)</f>
        <v>#N/A</v>
      </c>
      <c r="E94" s="3" t="e">
        <f>VLOOKUP(C82,$C$55:$E$58,3,FALSE)</f>
        <v>#N/A</v>
      </c>
      <c r="I94" s="184" t="e">
        <f t="shared" si="60"/>
        <v>#N/A</v>
      </c>
      <c r="J94" s="184" t="e">
        <f t="shared" si="60"/>
        <v>#N/A</v>
      </c>
      <c r="K94" s="184" t="e">
        <f t="shared" si="60"/>
        <v>#N/A</v>
      </c>
      <c r="L94" s="184" t="e">
        <f t="shared" si="60"/>
        <v>#N/A</v>
      </c>
      <c r="M94" s="184" t="e">
        <f t="shared" si="60"/>
        <v>#N/A</v>
      </c>
      <c r="N94" s="184" t="e">
        <f t="shared" si="60"/>
        <v>#N/A</v>
      </c>
      <c r="O94" s="108"/>
      <c r="Q94" s="47"/>
      <c r="R94" s="403"/>
      <c r="S94" s="403"/>
      <c r="T94" s="403"/>
      <c r="U94" s="403"/>
      <c r="V94" s="403"/>
      <c r="W94" s="403"/>
      <c r="X94" s="403"/>
      <c r="Y94" s="403"/>
      <c r="Z94" s="403"/>
      <c r="AA94" s="403"/>
      <c r="AB94" s="403"/>
      <c r="AC94" s="403"/>
      <c r="AD94" s="403"/>
      <c r="AE94" s="403"/>
      <c r="AF94" s="403"/>
      <c r="AG94" s="403"/>
      <c r="AH94" s="403"/>
      <c r="AI94" s="403"/>
      <c r="AJ94" s="403"/>
      <c r="AK94" s="403"/>
      <c r="AL94" s="403"/>
      <c r="AM94" s="403"/>
      <c r="AN94" s="403"/>
      <c r="AO94" s="403"/>
      <c r="AP94" s="403"/>
      <c r="AQ94" s="403"/>
      <c r="AR94" s="403"/>
      <c r="AS94" s="403"/>
      <c r="AT94" s="403"/>
      <c r="AU94" s="403"/>
      <c r="AV94" s="403"/>
      <c r="AW94" s="403"/>
      <c r="AX94" s="403"/>
      <c r="AY94" s="403"/>
      <c r="AZ94" s="403"/>
      <c r="BA94" s="403"/>
      <c r="BB94" s="403"/>
      <c r="BC94" s="403"/>
      <c r="BD94" s="403"/>
      <c r="BE94" s="403"/>
      <c r="BF94" s="403"/>
      <c r="BG94" s="403"/>
      <c r="BH94" s="403"/>
      <c r="BI94" s="403"/>
      <c r="BJ94" s="403"/>
      <c r="BK94" s="403"/>
      <c r="BL94" s="403"/>
      <c r="BM94" s="403"/>
      <c r="BN94" s="403"/>
      <c r="BO94" s="403"/>
      <c r="BP94" s="403"/>
      <c r="BQ94" s="403"/>
      <c r="BR94" s="403"/>
      <c r="BS94" s="403"/>
      <c r="BT94" s="403"/>
      <c r="BU94" s="403"/>
      <c r="BV94" s="403"/>
      <c r="BW94" s="403"/>
      <c r="BX94" s="403"/>
      <c r="BY94" s="403"/>
      <c r="BZ94" s="403"/>
      <c r="CA94" s="403"/>
      <c r="CB94" s="403"/>
      <c r="CC94" s="403"/>
      <c r="CD94" s="403"/>
      <c r="CE94" s="403"/>
      <c r="CF94" s="403"/>
      <c r="CG94" s="403"/>
      <c r="CH94" s="403"/>
      <c r="CI94" s="403"/>
      <c r="CJ94" s="403"/>
      <c r="CK94" s="403"/>
      <c r="CL94" s="403"/>
      <c r="CM94" s="403"/>
      <c r="CN94" s="403"/>
      <c r="CO94" s="403"/>
      <c r="CP94" s="403"/>
      <c r="CQ94" s="403"/>
      <c r="CR94" s="403"/>
      <c r="CS94" s="403"/>
      <c r="CT94" s="403"/>
      <c r="CU94" s="403"/>
      <c r="CV94" s="403"/>
      <c r="CW94" s="403"/>
      <c r="CX94" s="403"/>
      <c r="CY94" s="403"/>
      <c r="CZ94" s="403"/>
      <c r="DA94" s="403"/>
      <c r="DB94" s="403"/>
      <c r="DC94" s="403"/>
      <c r="DD94" s="403"/>
      <c r="DE94" s="403"/>
      <c r="DF94" s="403"/>
      <c r="DG94" s="403"/>
      <c r="DH94" s="403"/>
      <c r="DI94" s="403"/>
      <c r="DJ94" s="403"/>
      <c r="DK94" s="403"/>
      <c r="DL94" s="403"/>
      <c r="DM94" s="403"/>
      <c r="DN94" s="403"/>
      <c r="DO94" s="403"/>
      <c r="DP94" s="403"/>
      <c r="DQ94" s="403"/>
      <c r="DR94" s="403"/>
      <c r="DS94" s="403"/>
      <c r="DT94" s="403"/>
      <c r="DU94" s="403"/>
      <c r="DV94" s="403"/>
      <c r="DW94" s="403"/>
      <c r="DX94" s="403"/>
      <c r="DY94" s="403"/>
      <c r="DZ94" s="403"/>
      <c r="EA94" s="403"/>
      <c r="EB94" s="403"/>
      <c r="EC94" s="403"/>
      <c r="ED94" s="403"/>
      <c r="EE94" s="403"/>
      <c r="EF94" s="403"/>
      <c r="EG94" s="403"/>
      <c r="EH94" s="403"/>
      <c r="EI94" s="403"/>
      <c r="EJ94" s="403"/>
      <c r="EK94" s="403"/>
      <c r="EL94" s="403"/>
      <c r="EM94" s="403"/>
      <c r="EN94" s="403"/>
      <c r="EO94" s="403"/>
      <c r="EP94" s="403"/>
      <c r="EQ94" s="403"/>
      <c r="ER94" s="403"/>
      <c r="ES94" s="403"/>
    </row>
    <row r="95" spans="1:149" s="193" customFormat="1" x14ac:dyDescent="0.2">
      <c r="B95" s="5"/>
      <c r="I95" s="16"/>
      <c r="J95" s="16"/>
      <c r="K95" s="16"/>
      <c r="L95" s="16"/>
      <c r="M95" s="16"/>
      <c r="N95" s="16"/>
      <c r="O95" s="16"/>
      <c r="R95" s="403"/>
      <c r="S95" s="403"/>
      <c r="T95" s="403"/>
      <c r="U95" s="403"/>
      <c r="V95" s="403"/>
      <c r="W95" s="403"/>
      <c r="X95" s="403"/>
      <c r="Y95" s="403"/>
      <c r="Z95" s="403"/>
      <c r="AA95" s="403"/>
      <c r="AB95" s="403"/>
      <c r="AC95" s="403"/>
      <c r="AD95" s="403"/>
      <c r="AE95" s="403"/>
      <c r="AF95" s="403"/>
      <c r="AG95" s="403"/>
      <c r="AH95" s="403"/>
      <c r="AI95" s="403"/>
      <c r="AJ95" s="403"/>
      <c r="AK95" s="403"/>
      <c r="AL95" s="403"/>
      <c r="AM95" s="403"/>
      <c r="AN95" s="403"/>
      <c r="AO95" s="403"/>
      <c r="AP95" s="403"/>
      <c r="AQ95" s="403"/>
      <c r="AR95" s="403"/>
      <c r="AS95" s="403"/>
      <c r="AT95" s="403"/>
      <c r="AU95" s="403"/>
      <c r="AV95" s="403"/>
      <c r="AW95" s="403"/>
      <c r="AX95" s="403"/>
      <c r="AY95" s="403"/>
      <c r="AZ95" s="403"/>
      <c r="BA95" s="403"/>
      <c r="BB95" s="403"/>
      <c r="BC95" s="403"/>
      <c r="BD95" s="403"/>
      <c r="BE95" s="403"/>
      <c r="BF95" s="403"/>
      <c r="BG95" s="403"/>
      <c r="BH95" s="403"/>
      <c r="BI95" s="403"/>
      <c r="BJ95" s="403"/>
      <c r="BK95" s="403"/>
      <c r="BL95" s="403"/>
      <c r="BM95" s="403"/>
      <c r="BN95" s="403"/>
      <c r="BO95" s="403"/>
      <c r="BP95" s="403"/>
      <c r="BQ95" s="403"/>
      <c r="BR95" s="403"/>
      <c r="BS95" s="403"/>
      <c r="BT95" s="403"/>
      <c r="BU95" s="403"/>
      <c r="BV95" s="403"/>
      <c r="BW95" s="403"/>
      <c r="BX95" s="403"/>
      <c r="BY95" s="403"/>
      <c r="BZ95" s="403"/>
      <c r="CA95" s="403"/>
      <c r="CB95" s="403"/>
      <c r="CC95" s="403"/>
      <c r="CD95" s="403"/>
      <c r="CE95" s="403"/>
      <c r="CF95" s="403"/>
      <c r="CG95" s="403"/>
      <c r="CH95" s="403"/>
      <c r="CI95" s="403"/>
      <c r="CJ95" s="403"/>
      <c r="CK95" s="403"/>
      <c r="CL95" s="403"/>
      <c r="CM95" s="403"/>
      <c r="CN95" s="403"/>
      <c r="CO95" s="403"/>
      <c r="CP95" s="403"/>
      <c r="CQ95" s="403"/>
      <c r="CR95" s="403"/>
      <c r="CS95" s="403"/>
      <c r="CT95" s="403"/>
      <c r="CU95" s="403"/>
      <c r="CV95" s="403"/>
      <c r="CW95" s="403"/>
      <c r="CX95" s="403"/>
      <c r="CY95" s="403"/>
      <c r="CZ95" s="403"/>
      <c r="DA95" s="403"/>
      <c r="DB95" s="403"/>
      <c r="DC95" s="403"/>
      <c r="DD95" s="403"/>
      <c r="DE95" s="403"/>
      <c r="DF95" s="403"/>
      <c r="DG95" s="403"/>
      <c r="DH95" s="403"/>
      <c r="DI95" s="403"/>
      <c r="DJ95" s="403"/>
      <c r="DK95" s="403"/>
      <c r="DL95" s="403"/>
      <c r="DM95" s="403"/>
      <c r="DN95" s="403"/>
      <c r="DO95" s="403"/>
      <c r="DP95" s="403"/>
      <c r="DQ95" s="403"/>
      <c r="DR95" s="403"/>
      <c r="DS95" s="403"/>
      <c r="DT95" s="403"/>
      <c r="DU95" s="403"/>
      <c r="DV95" s="403"/>
      <c r="DW95" s="403"/>
      <c r="DX95" s="403"/>
      <c r="DY95" s="403"/>
      <c r="DZ95" s="403"/>
      <c r="EA95" s="403"/>
      <c r="EB95" s="403"/>
      <c r="EC95" s="403"/>
      <c r="ED95" s="403"/>
      <c r="EE95" s="403"/>
      <c r="EF95" s="403"/>
      <c r="EG95" s="403"/>
      <c r="EH95" s="403"/>
      <c r="EI95" s="403"/>
      <c r="EJ95" s="403"/>
      <c r="EK95" s="403"/>
      <c r="EL95" s="403"/>
      <c r="EM95" s="403"/>
      <c r="EN95" s="403"/>
      <c r="EO95" s="403"/>
      <c r="EP95" s="403"/>
      <c r="EQ95" s="403"/>
      <c r="ER95" s="403"/>
      <c r="ES95" s="403"/>
    </row>
    <row r="96" spans="1:149" s="193" customFormat="1" ht="15" x14ac:dyDescent="0.25">
      <c r="B96" s="5"/>
      <c r="D96" s="193" t="s">
        <v>2766</v>
      </c>
      <c r="E96" s="193" t="s">
        <v>2767</v>
      </c>
      <c r="I96" s="8" t="str">
        <f ca="1">IF(OFFSET(AA96,0,Lang_Order*Lang__B3)="","",OFFSET(AA96,0,Lang_Order*Lang__B3))</f>
        <v>Price of cold chain packaging per Shipment</v>
      </c>
      <c r="J96" s="8"/>
      <c r="K96" s="8"/>
      <c r="L96" s="8"/>
      <c r="M96" s="8"/>
      <c r="N96" s="8"/>
      <c r="O96" s="8"/>
      <c r="R96" s="403"/>
      <c r="S96" s="403"/>
      <c r="T96" s="403"/>
      <c r="U96" s="403"/>
      <c r="V96" s="403"/>
      <c r="W96" s="403"/>
      <c r="X96" s="403"/>
      <c r="Y96" s="403"/>
      <c r="Z96" s="403"/>
      <c r="AA96" s="403" t="s">
        <v>2782</v>
      </c>
      <c r="AB96" s="403"/>
      <c r="AC96" s="403"/>
      <c r="AD96" s="403"/>
      <c r="AE96" s="403"/>
      <c r="AF96" s="403"/>
      <c r="AG96" s="403"/>
      <c r="AH96" s="403"/>
      <c r="AI96" s="403"/>
      <c r="AJ96" s="403"/>
      <c r="AK96" s="403"/>
      <c r="AL96" s="403"/>
      <c r="AM96" s="403"/>
      <c r="AN96" s="403"/>
      <c r="AO96" s="403"/>
      <c r="AP96" s="403"/>
      <c r="AQ96" s="403"/>
      <c r="AR96" s="403"/>
      <c r="AS96" s="403"/>
      <c r="AT96" s="403" t="s">
        <v>10296</v>
      </c>
      <c r="AU96" s="403"/>
      <c r="AV96" s="403"/>
      <c r="AW96" s="403"/>
      <c r="AX96" s="403"/>
      <c r="AY96" s="403"/>
      <c r="AZ96" s="403"/>
      <c r="BA96" s="403"/>
      <c r="BB96" s="403"/>
      <c r="BC96" s="403"/>
      <c r="BD96" s="403"/>
      <c r="BE96" s="403"/>
      <c r="BF96" s="403"/>
      <c r="BG96" s="403"/>
      <c r="BH96" s="403"/>
      <c r="BI96" s="403"/>
      <c r="BJ96" s="403"/>
      <c r="BK96" s="403"/>
      <c r="BL96" s="403"/>
      <c r="BM96" s="403" t="s">
        <v>10297</v>
      </c>
      <c r="BN96" s="403"/>
      <c r="BO96" s="403"/>
      <c r="BP96" s="403"/>
      <c r="BQ96" s="403"/>
      <c r="BR96" s="403"/>
      <c r="BS96" s="403"/>
      <c r="BT96" s="403"/>
      <c r="BU96" s="403"/>
      <c r="BV96" s="403"/>
      <c r="BW96" s="403"/>
      <c r="BX96" s="403"/>
      <c r="BY96" s="403"/>
      <c r="BZ96" s="403"/>
      <c r="CA96" s="403"/>
      <c r="CB96" s="403"/>
      <c r="CC96" s="403"/>
      <c r="CD96" s="403"/>
      <c r="CE96" s="403"/>
      <c r="CF96" s="403" t="s">
        <v>10298</v>
      </c>
      <c r="CG96" s="403"/>
      <c r="CH96" s="403"/>
      <c r="CI96" s="403"/>
      <c r="CJ96" s="403"/>
      <c r="CK96" s="403"/>
      <c r="CL96" s="403"/>
      <c r="CM96" s="403"/>
      <c r="CN96" s="403"/>
      <c r="CO96" s="403"/>
      <c r="CP96" s="403"/>
      <c r="CQ96" s="403"/>
      <c r="CR96" s="403"/>
      <c r="CS96" s="403"/>
      <c r="CT96" s="403"/>
      <c r="CU96" s="403"/>
      <c r="CV96" s="403"/>
      <c r="CW96" s="403"/>
      <c r="CX96" s="403"/>
      <c r="CY96" s="403" t="s">
        <v>10363</v>
      </c>
      <c r="CZ96" s="403"/>
      <c r="DA96" s="403"/>
      <c r="DB96" s="403"/>
      <c r="DC96" s="403"/>
      <c r="DD96" s="403"/>
      <c r="DE96" s="403"/>
      <c r="DF96" s="403"/>
      <c r="DG96" s="403"/>
      <c r="DH96" s="403"/>
      <c r="DI96" s="403"/>
      <c r="DJ96" s="403"/>
      <c r="DK96" s="403"/>
      <c r="DL96" s="403"/>
      <c r="DM96" s="403"/>
      <c r="DN96" s="403"/>
      <c r="DO96" s="403"/>
      <c r="DP96" s="403"/>
      <c r="DQ96" s="403"/>
      <c r="DR96" s="403" t="s">
        <v>10364</v>
      </c>
      <c r="DS96" s="403"/>
      <c r="DT96" s="403"/>
      <c r="DU96" s="403"/>
      <c r="DV96" s="403"/>
      <c r="DW96" s="403"/>
      <c r="DX96" s="403"/>
      <c r="DY96" s="403"/>
      <c r="DZ96" s="403"/>
      <c r="EA96" s="403"/>
      <c r="EB96" s="403"/>
      <c r="EC96" s="403"/>
      <c r="ED96" s="403"/>
      <c r="EE96" s="403"/>
      <c r="EF96" s="403"/>
      <c r="EG96" s="403"/>
      <c r="EH96" s="403"/>
      <c r="EI96" s="403"/>
      <c r="EJ96" s="403"/>
      <c r="EK96" s="403" t="s">
        <v>10301</v>
      </c>
      <c r="EL96" s="403"/>
      <c r="EM96" s="403"/>
      <c r="EN96" s="403"/>
      <c r="EO96" s="403"/>
      <c r="EP96" s="403"/>
      <c r="EQ96" s="403"/>
      <c r="ER96" s="403"/>
      <c r="ES96" s="403"/>
    </row>
    <row r="97" spans="2:149" s="193" customFormat="1" x14ac:dyDescent="0.2">
      <c r="B97" s="23" t="str">
        <f>CONCATENATE("",DM1_Vaccine)</f>
        <v/>
      </c>
      <c r="D97" s="3" t="e">
        <f>VLOOKUP(C79,$C$60:$E$63,2,FALSE)</f>
        <v>#N/A</v>
      </c>
      <c r="E97" s="3" t="e">
        <f>VLOOKUP(C79,$C$60:$E$63,3,FALSE)</f>
        <v>#N/A</v>
      </c>
      <c r="I97" s="79" t="e">
        <f t="shared" ref="I97:N100" si="61">($D97*I79)+($E97*I85)</f>
        <v>#N/A</v>
      </c>
      <c r="J97" s="79" t="e">
        <f t="shared" si="61"/>
        <v>#N/A</v>
      </c>
      <c r="K97" s="79" t="e">
        <f t="shared" si="61"/>
        <v>#N/A</v>
      </c>
      <c r="L97" s="79" t="e">
        <f t="shared" si="61"/>
        <v>#N/A</v>
      </c>
      <c r="M97" s="79" t="e">
        <f t="shared" si="61"/>
        <v>#N/A</v>
      </c>
      <c r="N97" s="79" t="e">
        <f t="shared" si="61"/>
        <v>#N/A</v>
      </c>
      <c r="O97" s="108"/>
      <c r="R97" s="403"/>
      <c r="S97" s="403"/>
      <c r="T97" s="403"/>
      <c r="U97" s="403"/>
      <c r="V97" s="403"/>
      <c r="W97" s="403"/>
      <c r="X97" s="403"/>
      <c r="Y97" s="403"/>
      <c r="Z97" s="403"/>
      <c r="AA97" s="403"/>
      <c r="AB97" s="403"/>
      <c r="AC97" s="403"/>
      <c r="AD97" s="403"/>
      <c r="AE97" s="403"/>
      <c r="AF97" s="403"/>
      <c r="AG97" s="403"/>
      <c r="AH97" s="403"/>
      <c r="AI97" s="403"/>
      <c r="AJ97" s="403"/>
      <c r="AK97" s="403"/>
      <c r="AL97" s="403"/>
      <c r="AM97" s="403"/>
      <c r="AN97" s="403"/>
      <c r="AO97" s="403"/>
      <c r="AP97" s="403"/>
      <c r="AQ97" s="403"/>
      <c r="AR97" s="403"/>
      <c r="AS97" s="403"/>
      <c r="AT97" s="403"/>
      <c r="AU97" s="403"/>
      <c r="AV97" s="403"/>
      <c r="AW97" s="403"/>
      <c r="AX97" s="403"/>
      <c r="AY97" s="403"/>
      <c r="AZ97" s="403"/>
      <c r="BA97" s="403"/>
      <c r="BB97" s="403"/>
      <c r="BC97" s="403"/>
      <c r="BD97" s="403"/>
      <c r="BE97" s="403"/>
      <c r="BF97" s="403"/>
      <c r="BG97" s="403"/>
      <c r="BH97" s="403"/>
      <c r="BI97" s="403"/>
      <c r="BJ97" s="403"/>
      <c r="BK97" s="403"/>
      <c r="BL97" s="403"/>
      <c r="BM97" s="403"/>
      <c r="BN97" s="403"/>
      <c r="BO97" s="403"/>
      <c r="BP97" s="403"/>
      <c r="BQ97" s="403"/>
      <c r="BR97" s="403"/>
      <c r="BS97" s="403"/>
      <c r="BT97" s="403"/>
      <c r="BU97" s="403"/>
      <c r="BV97" s="403"/>
      <c r="BW97" s="403"/>
      <c r="BX97" s="403"/>
      <c r="BY97" s="403"/>
      <c r="BZ97" s="403"/>
      <c r="CA97" s="403"/>
      <c r="CB97" s="403"/>
      <c r="CC97" s="403"/>
      <c r="CD97" s="403"/>
      <c r="CE97" s="403"/>
      <c r="CF97" s="403"/>
      <c r="CG97" s="403"/>
      <c r="CH97" s="403"/>
      <c r="CI97" s="403"/>
      <c r="CJ97" s="403"/>
      <c r="CK97" s="403"/>
      <c r="CL97" s="403"/>
      <c r="CM97" s="403"/>
      <c r="CN97" s="403"/>
      <c r="CO97" s="403"/>
      <c r="CP97" s="403"/>
      <c r="CQ97" s="403"/>
      <c r="CR97" s="403"/>
      <c r="CS97" s="403"/>
      <c r="CT97" s="403"/>
      <c r="CU97" s="403"/>
      <c r="CV97" s="403"/>
      <c r="CW97" s="403"/>
      <c r="CX97" s="403"/>
      <c r="CY97" s="403"/>
      <c r="CZ97" s="403"/>
      <c r="DA97" s="403"/>
      <c r="DB97" s="403"/>
      <c r="DC97" s="403"/>
      <c r="DD97" s="403"/>
      <c r="DE97" s="403"/>
      <c r="DF97" s="403"/>
      <c r="DG97" s="403"/>
      <c r="DH97" s="403"/>
      <c r="DI97" s="403"/>
      <c r="DJ97" s="403"/>
      <c r="DK97" s="403"/>
      <c r="DL97" s="403"/>
      <c r="DM97" s="403"/>
      <c r="DN97" s="403"/>
      <c r="DO97" s="403"/>
      <c r="DP97" s="403"/>
      <c r="DQ97" s="403"/>
      <c r="DR97" s="403"/>
      <c r="DS97" s="403"/>
      <c r="DT97" s="403"/>
      <c r="DU97" s="403"/>
      <c r="DV97" s="403"/>
      <c r="DW97" s="403"/>
      <c r="DX97" s="403"/>
      <c r="DY97" s="403"/>
      <c r="DZ97" s="403"/>
      <c r="EA97" s="403"/>
      <c r="EB97" s="403"/>
      <c r="EC97" s="403"/>
      <c r="ED97" s="403"/>
      <c r="EE97" s="403"/>
      <c r="EF97" s="403"/>
      <c r="EG97" s="403"/>
      <c r="EH97" s="403"/>
      <c r="EI97" s="403"/>
      <c r="EJ97" s="403"/>
      <c r="EK97" s="403"/>
      <c r="EL97" s="403"/>
      <c r="EM97" s="403"/>
      <c r="EN97" s="403"/>
      <c r="EO97" s="403"/>
      <c r="EP97" s="403"/>
      <c r="EQ97" s="403"/>
      <c r="ER97" s="403"/>
      <c r="ES97" s="403"/>
    </row>
    <row r="98" spans="2:149" s="193" customFormat="1" x14ac:dyDescent="0.2">
      <c r="B98" s="23" t="str">
        <f>CONCATENATE("",DM2_Vaccine)</f>
        <v/>
      </c>
      <c r="D98" s="3" t="e">
        <f>VLOOKUP(C80,$C$60:$E$63,2,FALSE)</f>
        <v>#N/A</v>
      </c>
      <c r="E98" s="3" t="e">
        <f>VLOOKUP(C80,$C$60:$E$63,3,FALSE)</f>
        <v>#N/A</v>
      </c>
      <c r="I98" s="79" t="e">
        <f t="shared" si="61"/>
        <v>#N/A</v>
      </c>
      <c r="J98" s="79" t="e">
        <f t="shared" si="61"/>
        <v>#N/A</v>
      </c>
      <c r="K98" s="79" t="e">
        <f t="shared" si="61"/>
        <v>#N/A</v>
      </c>
      <c r="L98" s="79" t="e">
        <f t="shared" si="61"/>
        <v>#N/A</v>
      </c>
      <c r="M98" s="79" t="e">
        <f t="shared" si="61"/>
        <v>#N/A</v>
      </c>
      <c r="N98" s="79" t="e">
        <f t="shared" si="61"/>
        <v>#N/A</v>
      </c>
      <c r="O98" s="108"/>
      <c r="R98" s="403"/>
      <c r="S98" s="403"/>
      <c r="T98" s="403"/>
      <c r="U98" s="403"/>
      <c r="V98" s="403"/>
      <c r="W98" s="403"/>
      <c r="X98" s="403"/>
      <c r="Y98" s="403"/>
      <c r="Z98" s="403"/>
      <c r="AA98" s="403"/>
      <c r="AB98" s="403"/>
      <c r="AC98" s="403"/>
      <c r="AD98" s="403"/>
      <c r="AE98" s="403"/>
      <c r="AF98" s="403"/>
      <c r="AG98" s="403"/>
      <c r="AH98" s="403"/>
      <c r="AI98" s="403"/>
      <c r="AJ98" s="403"/>
      <c r="AK98" s="403"/>
      <c r="AL98" s="403"/>
      <c r="AM98" s="403"/>
      <c r="AN98" s="403"/>
      <c r="AO98" s="403"/>
      <c r="AP98" s="403"/>
      <c r="AQ98" s="403"/>
      <c r="AR98" s="403"/>
      <c r="AS98" s="403"/>
      <c r="AT98" s="403"/>
      <c r="AU98" s="403"/>
      <c r="AV98" s="403"/>
      <c r="AW98" s="403"/>
      <c r="AX98" s="403"/>
      <c r="AY98" s="403"/>
      <c r="AZ98" s="403"/>
      <c r="BA98" s="403"/>
      <c r="BB98" s="403"/>
      <c r="BC98" s="403"/>
      <c r="BD98" s="403"/>
      <c r="BE98" s="403"/>
      <c r="BF98" s="403"/>
      <c r="BG98" s="403"/>
      <c r="BH98" s="403"/>
      <c r="BI98" s="403"/>
      <c r="BJ98" s="403"/>
      <c r="BK98" s="403"/>
      <c r="BL98" s="403"/>
      <c r="BM98" s="403"/>
      <c r="BN98" s="403"/>
      <c r="BO98" s="403"/>
      <c r="BP98" s="403"/>
      <c r="BQ98" s="403"/>
      <c r="BR98" s="403"/>
      <c r="BS98" s="403"/>
      <c r="BT98" s="403"/>
      <c r="BU98" s="403"/>
      <c r="BV98" s="403"/>
      <c r="BW98" s="403"/>
      <c r="BX98" s="403"/>
      <c r="BY98" s="403"/>
      <c r="BZ98" s="403"/>
      <c r="CA98" s="403"/>
      <c r="CB98" s="403"/>
      <c r="CC98" s="403"/>
      <c r="CD98" s="403"/>
      <c r="CE98" s="403"/>
      <c r="CF98" s="403"/>
      <c r="CG98" s="403"/>
      <c r="CH98" s="403"/>
      <c r="CI98" s="403"/>
      <c r="CJ98" s="403"/>
      <c r="CK98" s="403"/>
      <c r="CL98" s="403"/>
      <c r="CM98" s="403"/>
      <c r="CN98" s="403"/>
      <c r="CO98" s="403"/>
      <c r="CP98" s="403"/>
      <c r="CQ98" s="403"/>
      <c r="CR98" s="403"/>
      <c r="CS98" s="403"/>
      <c r="CT98" s="403"/>
      <c r="CU98" s="403"/>
      <c r="CV98" s="403"/>
      <c r="CW98" s="403"/>
      <c r="CX98" s="403"/>
      <c r="CY98" s="403"/>
      <c r="CZ98" s="403"/>
      <c r="DA98" s="403"/>
      <c r="DB98" s="403"/>
      <c r="DC98" s="403"/>
      <c r="DD98" s="403"/>
      <c r="DE98" s="403"/>
      <c r="DF98" s="403"/>
      <c r="DG98" s="403"/>
      <c r="DH98" s="403"/>
      <c r="DI98" s="403"/>
      <c r="DJ98" s="403"/>
      <c r="DK98" s="403"/>
      <c r="DL98" s="403"/>
      <c r="DM98" s="403"/>
      <c r="DN98" s="403"/>
      <c r="DO98" s="403"/>
      <c r="DP98" s="403"/>
      <c r="DQ98" s="403"/>
      <c r="DR98" s="403"/>
      <c r="DS98" s="403"/>
      <c r="DT98" s="403"/>
      <c r="DU98" s="403"/>
      <c r="DV98" s="403"/>
      <c r="DW98" s="403"/>
      <c r="DX98" s="403"/>
      <c r="DY98" s="403"/>
      <c r="DZ98" s="403"/>
      <c r="EA98" s="403"/>
      <c r="EB98" s="403"/>
      <c r="EC98" s="403"/>
      <c r="ED98" s="403"/>
      <c r="EE98" s="403"/>
      <c r="EF98" s="403"/>
      <c r="EG98" s="403"/>
      <c r="EH98" s="403"/>
      <c r="EI98" s="403"/>
      <c r="EJ98" s="403"/>
      <c r="EK98" s="403"/>
      <c r="EL98" s="403"/>
      <c r="EM98" s="403"/>
      <c r="EN98" s="403"/>
      <c r="EO98" s="403"/>
      <c r="EP98" s="403"/>
      <c r="EQ98" s="403"/>
      <c r="ER98" s="403"/>
      <c r="ES98" s="403"/>
    </row>
    <row r="99" spans="2:149" s="193" customFormat="1" x14ac:dyDescent="0.2">
      <c r="B99" s="23" t="str">
        <f>CONCATENATE("",DM3_Vaccine)</f>
        <v/>
      </c>
      <c r="D99" s="3" t="e">
        <f>VLOOKUP(C81,$C$60:$E$63,2,FALSE)</f>
        <v>#N/A</v>
      </c>
      <c r="E99" s="3" t="e">
        <f>VLOOKUP(C81,$C$60:$E$63,3,FALSE)</f>
        <v>#N/A</v>
      </c>
      <c r="I99" s="79" t="e">
        <f t="shared" si="61"/>
        <v>#N/A</v>
      </c>
      <c r="J99" s="79" t="e">
        <f t="shared" si="61"/>
        <v>#N/A</v>
      </c>
      <c r="K99" s="79" t="e">
        <f t="shared" si="61"/>
        <v>#N/A</v>
      </c>
      <c r="L99" s="79" t="e">
        <f t="shared" si="61"/>
        <v>#N/A</v>
      </c>
      <c r="M99" s="79" t="e">
        <f t="shared" si="61"/>
        <v>#N/A</v>
      </c>
      <c r="N99" s="79" t="e">
        <f t="shared" si="61"/>
        <v>#N/A</v>
      </c>
      <c r="O99" s="108"/>
      <c r="R99" s="403"/>
      <c r="S99" s="403"/>
      <c r="T99" s="403"/>
      <c r="U99" s="403"/>
      <c r="V99" s="403"/>
      <c r="W99" s="403"/>
      <c r="X99" s="403"/>
      <c r="Y99" s="403"/>
      <c r="Z99" s="403"/>
      <c r="AA99" s="403"/>
      <c r="AB99" s="403"/>
      <c r="AC99" s="403"/>
      <c r="AD99" s="403"/>
      <c r="AE99" s="403"/>
      <c r="AF99" s="403"/>
      <c r="AG99" s="403"/>
      <c r="AH99" s="403"/>
      <c r="AI99" s="403"/>
      <c r="AJ99" s="403"/>
      <c r="AK99" s="403"/>
      <c r="AL99" s="403"/>
      <c r="AM99" s="403"/>
      <c r="AN99" s="403"/>
      <c r="AO99" s="403"/>
      <c r="AP99" s="403"/>
      <c r="AQ99" s="403"/>
      <c r="AR99" s="403"/>
      <c r="AS99" s="403"/>
      <c r="AT99" s="403"/>
      <c r="AU99" s="403"/>
      <c r="AV99" s="403"/>
      <c r="AW99" s="403"/>
      <c r="AX99" s="403"/>
      <c r="AY99" s="403"/>
      <c r="AZ99" s="403"/>
      <c r="BA99" s="403"/>
      <c r="BB99" s="403"/>
      <c r="BC99" s="403"/>
      <c r="BD99" s="403"/>
      <c r="BE99" s="403"/>
      <c r="BF99" s="403"/>
      <c r="BG99" s="403"/>
      <c r="BH99" s="403"/>
      <c r="BI99" s="403"/>
      <c r="BJ99" s="403"/>
      <c r="BK99" s="403"/>
      <c r="BL99" s="403"/>
      <c r="BM99" s="403"/>
      <c r="BN99" s="403"/>
      <c r="BO99" s="403"/>
      <c r="BP99" s="403"/>
      <c r="BQ99" s="403"/>
      <c r="BR99" s="403"/>
      <c r="BS99" s="403"/>
      <c r="BT99" s="403"/>
      <c r="BU99" s="403"/>
      <c r="BV99" s="403"/>
      <c r="BW99" s="403"/>
      <c r="BX99" s="403"/>
      <c r="BY99" s="403"/>
      <c r="BZ99" s="403"/>
      <c r="CA99" s="403"/>
      <c r="CB99" s="403"/>
      <c r="CC99" s="403"/>
      <c r="CD99" s="403"/>
      <c r="CE99" s="403"/>
      <c r="CF99" s="403"/>
      <c r="CG99" s="403"/>
      <c r="CH99" s="403"/>
      <c r="CI99" s="403"/>
      <c r="CJ99" s="403"/>
      <c r="CK99" s="403"/>
      <c r="CL99" s="403"/>
      <c r="CM99" s="403"/>
      <c r="CN99" s="403"/>
      <c r="CO99" s="403"/>
      <c r="CP99" s="403"/>
      <c r="CQ99" s="403"/>
      <c r="CR99" s="403"/>
      <c r="CS99" s="403"/>
      <c r="CT99" s="403"/>
      <c r="CU99" s="403"/>
      <c r="CV99" s="403"/>
      <c r="CW99" s="403"/>
      <c r="CX99" s="403"/>
      <c r="CY99" s="403"/>
      <c r="CZ99" s="403"/>
      <c r="DA99" s="403"/>
      <c r="DB99" s="403"/>
      <c r="DC99" s="403"/>
      <c r="DD99" s="403"/>
      <c r="DE99" s="403"/>
      <c r="DF99" s="403"/>
      <c r="DG99" s="403"/>
      <c r="DH99" s="403"/>
      <c r="DI99" s="403"/>
      <c r="DJ99" s="403"/>
      <c r="DK99" s="403"/>
      <c r="DL99" s="403"/>
      <c r="DM99" s="403"/>
      <c r="DN99" s="403"/>
      <c r="DO99" s="403"/>
      <c r="DP99" s="403"/>
      <c r="DQ99" s="403"/>
      <c r="DR99" s="403"/>
      <c r="DS99" s="403"/>
      <c r="DT99" s="403"/>
      <c r="DU99" s="403"/>
      <c r="DV99" s="403"/>
      <c r="DW99" s="403"/>
      <c r="DX99" s="403"/>
      <c r="DY99" s="403"/>
      <c r="DZ99" s="403"/>
      <c r="EA99" s="403"/>
      <c r="EB99" s="403"/>
      <c r="EC99" s="403"/>
      <c r="ED99" s="403"/>
      <c r="EE99" s="403"/>
      <c r="EF99" s="403"/>
      <c r="EG99" s="403"/>
      <c r="EH99" s="403"/>
      <c r="EI99" s="403"/>
      <c r="EJ99" s="403"/>
      <c r="EK99" s="403"/>
      <c r="EL99" s="403"/>
      <c r="EM99" s="403"/>
      <c r="EN99" s="403"/>
      <c r="EO99" s="403"/>
      <c r="EP99" s="403"/>
      <c r="EQ99" s="403"/>
      <c r="ER99" s="403"/>
      <c r="ES99" s="403"/>
    </row>
    <row r="100" spans="2:149" s="193" customFormat="1" x14ac:dyDescent="0.2">
      <c r="B100" s="23" t="str">
        <f>CONCATENATE("",DM4_Vaccine)</f>
        <v/>
      </c>
      <c r="D100" s="3" t="e">
        <f>VLOOKUP(C82,$C$60:$E$63,2,FALSE)</f>
        <v>#N/A</v>
      </c>
      <c r="E100" s="3" t="e">
        <f>VLOOKUP(C82,$C$60:$E$63,3,FALSE)</f>
        <v>#N/A</v>
      </c>
      <c r="I100" s="79" t="e">
        <f t="shared" si="61"/>
        <v>#N/A</v>
      </c>
      <c r="J100" s="79" t="e">
        <f t="shared" si="61"/>
        <v>#N/A</v>
      </c>
      <c r="K100" s="79" t="e">
        <f t="shared" si="61"/>
        <v>#N/A</v>
      </c>
      <c r="L100" s="79" t="e">
        <f t="shared" si="61"/>
        <v>#N/A</v>
      </c>
      <c r="M100" s="79" t="e">
        <f t="shared" si="61"/>
        <v>#N/A</v>
      </c>
      <c r="N100" s="79" t="e">
        <f t="shared" si="61"/>
        <v>#N/A</v>
      </c>
      <c r="O100" s="108"/>
      <c r="R100" s="403"/>
      <c r="S100" s="403"/>
      <c r="T100" s="403"/>
      <c r="U100" s="403"/>
      <c r="V100" s="403"/>
      <c r="W100" s="403"/>
      <c r="X100" s="403"/>
      <c r="Y100" s="403"/>
      <c r="Z100" s="403"/>
      <c r="AA100" s="403"/>
      <c r="AB100" s="403"/>
      <c r="AC100" s="403"/>
      <c r="AD100" s="403"/>
      <c r="AE100" s="403"/>
      <c r="AF100" s="403"/>
      <c r="AG100" s="403"/>
      <c r="AH100" s="403"/>
      <c r="AI100" s="403"/>
      <c r="AJ100" s="403"/>
      <c r="AK100" s="403"/>
      <c r="AL100" s="403"/>
      <c r="AM100" s="403"/>
      <c r="AN100" s="403"/>
      <c r="AO100" s="403"/>
      <c r="AP100" s="403"/>
      <c r="AQ100" s="403"/>
      <c r="AR100" s="403"/>
      <c r="AS100" s="403"/>
      <c r="AT100" s="403"/>
      <c r="AU100" s="403"/>
      <c r="AV100" s="403"/>
      <c r="AW100" s="403"/>
      <c r="AX100" s="403"/>
      <c r="AY100" s="403"/>
      <c r="AZ100" s="403"/>
      <c r="BA100" s="403"/>
      <c r="BB100" s="403"/>
      <c r="BC100" s="403"/>
      <c r="BD100" s="403"/>
      <c r="BE100" s="403"/>
      <c r="BF100" s="403"/>
      <c r="BG100" s="403"/>
      <c r="BH100" s="403"/>
      <c r="BI100" s="403"/>
      <c r="BJ100" s="403"/>
      <c r="BK100" s="403"/>
      <c r="BL100" s="403"/>
      <c r="BM100" s="403"/>
      <c r="BN100" s="403"/>
      <c r="BO100" s="403"/>
      <c r="BP100" s="403"/>
      <c r="BQ100" s="403"/>
      <c r="BR100" s="403"/>
      <c r="BS100" s="403"/>
      <c r="BT100" s="403"/>
      <c r="BU100" s="403"/>
      <c r="BV100" s="403"/>
      <c r="BW100" s="403"/>
      <c r="BX100" s="403"/>
      <c r="BY100" s="403"/>
      <c r="BZ100" s="403"/>
      <c r="CA100" s="403"/>
      <c r="CB100" s="403"/>
      <c r="CC100" s="403"/>
      <c r="CD100" s="403"/>
      <c r="CE100" s="403"/>
      <c r="CF100" s="403"/>
      <c r="CG100" s="403"/>
      <c r="CH100" s="403"/>
      <c r="CI100" s="403"/>
      <c r="CJ100" s="403"/>
      <c r="CK100" s="403"/>
      <c r="CL100" s="403"/>
      <c r="CM100" s="403"/>
      <c r="CN100" s="403"/>
      <c r="CO100" s="403"/>
      <c r="CP100" s="403"/>
      <c r="CQ100" s="403"/>
      <c r="CR100" s="403"/>
      <c r="CS100" s="403"/>
      <c r="CT100" s="403"/>
      <c r="CU100" s="403"/>
      <c r="CV100" s="403"/>
      <c r="CW100" s="403"/>
      <c r="CX100" s="403"/>
      <c r="CY100" s="403"/>
      <c r="CZ100" s="403"/>
      <c r="DA100" s="403"/>
      <c r="DB100" s="403"/>
      <c r="DC100" s="403"/>
      <c r="DD100" s="403"/>
      <c r="DE100" s="403"/>
      <c r="DF100" s="403"/>
      <c r="DG100" s="403"/>
      <c r="DH100" s="403"/>
      <c r="DI100" s="403"/>
      <c r="DJ100" s="403"/>
      <c r="DK100" s="403"/>
      <c r="DL100" s="403"/>
      <c r="DM100" s="403"/>
      <c r="DN100" s="403"/>
      <c r="DO100" s="403"/>
      <c r="DP100" s="403"/>
      <c r="DQ100" s="403"/>
      <c r="DR100" s="403"/>
      <c r="DS100" s="403"/>
      <c r="DT100" s="403"/>
      <c r="DU100" s="403"/>
      <c r="DV100" s="403"/>
      <c r="DW100" s="403"/>
      <c r="DX100" s="403"/>
      <c r="DY100" s="403"/>
      <c r="DZ100" s="403"/>
      <c r="EA100" s="403"/>
      <c r="EB100" s="403"/>
      <c r="EC100" s="403"/>
      <c r="ED100" s="403"/>
      <c r="EE100" s="403"/>
      <c r="EF100" s="403"/>
      <c r="EG100" s="403"/>
      <c r="EH100" s="403"/>
      <c r="EI100" s="403"/>
      <c r="EJ100" s="403"/>
      <c r="EK100" s="403"/>
      <c r="EL100" s="403"/>
      <c r="EM100" s="403"/>
      <c r="EN100" s="403"/>
      <c r="EO100" s="403"/>
      <c r="EP100" s="403"/>
      <c r="EQ100" s="403"/>
      <c r="ER100" s="403"/>
      <c r="ES100" s="403"/>
    </row>
    <row r="101" spans="2:149" s="193" customFormat="1" x14ac:dyDescent="0.2">
      <c r="R101" s="403"/>
      <c r="S101" s="403"/>
      <c r="T101" s="403"/>
      <c r="U101" s="403"/>
      <c r="V101" s="403"/>
      <c r="W101" s="403"/>
      <c r="X101" s="403"/>
      <c r="Y101" s="403"/>
      <c r="Z101" s="403"/>
      <c r="AA101" s="403"/>
      <c r="AB101" s="403"/>
      <c r="AC101" s="403"/>
      <c r="AD101" s="403"/>
      <c r="AE101" s="403"/>
      <c r="AF101" s="403"/>
      <c r="AG101" s="403"/>
      <c r="AH101" s="403"/>
      <c r="AI101" s="403"/>
      <c r="AJ101" s="403"/>
      <c r="AK101" s="403"/>
      <c r="AL101" s="403"/>
      <c r="AM101" s="403"/>
      <c r="AN101" s="403"/>
      <c r="AO101" s="403"/>
      <c r="AP101" s="403"/>
      <c r="AQ101" s="403"/>
      <c r="AR101" s="403"/>
      <c r="AS101" s="403"/>
      <c r="AT101" s="403"/>
      <c r="AU101" s="403"/>
      <c r="AV101" s="403"/>
      <c r="AW101" s="403"/>
      <c r="AX101" s="403"/>
      <c r="AY101" s="403"/>
      <c r="AZ101" s="403"/>
      <c r="BA101" s="403"/>
      <c r="BB101" s="403"/>
      <c r="BC101" s="403"/>
      <c r="BD101" s="403"/>
      <c r="BE101" s="403"/>
      <c r="BF101" s="403"/>
      <c r="BG101" s="403"/>
      <c r="BH101" s="403"/>
      <c r="BI101" s="403"/>
      <c r="BJ101" s="403"/>
      <c r="BK101" s="403"/>
      <c r="BL101" s="403"/>
      <c r="BM101" s="403"/>
      <c r="BN101" s="403"/>
      <c r="BO101" s="403"/>
      <c r="BP101" s="403"/>
      <c r="BQ101" s="403"/>
      <c r="BR101" s="403"/>
      <c r="BS101" s="403"/>
      <c r="BT101" s="403"/>
      <c r="BU101" s="403"/>
      <c r="BV101" s="403"/>
      <c r="BW101" s="403"/>
      <c r="BX101" s="403"/>
      <c r="BY101" s="403"/>
      <c r="BZ101" s="403"/>
      <c r="CA101" s="403"/>
      <c r="CB101" s="403"/>
      <c r="CC101" s="403"/>
      <c r="CD101" s="403"/>
      <c r="CE101" s="403"/>
      <c r="CF101" s="403"/>
      <c r="CG101" s="403"/>
      <c r="CH101" s="403"/>
      <c r="CI101" s="403"/>
      <c r="CJ101" s="403"/>
      <c r="CK101" s="403"/>
      <c r="CL101" s="403"/>
      <c r="CM101" s="403"/>
      <c r="CN101" s="403"/>
      <c r="CO101" s="403"/>
      <c r="CP101" s="403"/>
      <c r="CQ101" s="403"/>
      <c r="CR101" s="403"/>
      <c r="CS101" s="403"/>
      <c r="CT101" s="403"/>
      <c r="CU101" s="403"/>
      <c r="CV101" s="403"/>
      <c r="CW101" s="403"/>
      <c r="CX101" s="403"/>
      <c r="CY101" s="403"/>
      <c r="CZ101" s="403"/>
      <c r="DA101" s="403"/>
      <c r="DB101" s="403"/>
      <c r="DC101" s="403"/>
      <c r="DD101" s="403"/>
      <c r="DE101" s="403"/>
      <c r="DF101" s="403"/>
      <c r="DG101" s="403"/>
      <c r="DH101" s="403"/>
      <c r="DI101" s="403"/>
      <c r="DJ101" s="403"/>
      <c r="DK101" s="403"/>
      <c r="DL101" s="403"/>
      <c r="DM101" s="403"/>
      <c r="DN101" s="403"/>
      <c r="DO101" s="403"/>
      <c r="DP101" s="403"/>
      <c r="DQ101" s="403"/>
      <c r="DR101" s="403"/>
      <c r="DS101" s="403"/>
      <c r="DT101" s="403"/>
      <c r="DU101" s="403"/>
      <c r="DV101" s="403"/>
      <c r="DW101" s="403"/>
      <c r="DX101" s="403"/>
      <c r="DY101" s="403"/>
      <c r="DZ101" s="403"/>
      <c r="EA101" s="403"/>
      <c r="EB101" s="403"/>
      <c r="EC101" s="403"/>
      <c r="ED101" s="403"/>
      <c r="EE101" s="403"/>
      <c r="EF101" s="403"/>
      <c r="EG101" s="403"/>
      <c r="EH101" s="403"/>
      <c r="EI101" s="403"/>
      <c r="EJ101" s="403"/>
      <c r="EK101" s="403"/>
      <c r="EL101" s="403"/>
      <c r="EM101" s="403"/>
      <c r="EN101" s="403"/>
      <c r="EO101" s="403"/>
      <c r="EP101" s="403"/>
      <c r="EQ101" s="403"/>
      <c r="ER101" s="403"/>
      <c r="ES101" s="403"/>
    </row>
    <row r="102" spans="2:149" s="193" customFormat="1" ht="15" x14ac:dyDescent="0.25">
      <c r="I102" s="148" t="str">
        <f ca="1">IF(OFFSET(AA102,0,Lang_Order*Lang__B3)="","",OFFSET(AA102,0,Lang_Order*Lang__B3))</f>
        <v>Billing weight and Shipment Costs</v>
      </c>
      <c r="J102" s="148"/>
      <c r="K102" s="148"/>
      <c r="L102" s="148"/>
      <c r="M102" s="148"/>
      <c r="N102" s="148"/>
      <c r="O102" s="191"/>
      <c r="R102" s="403"/>
      <c r="S102" s="403"/>
      <c r="T102" s="403"/>
      <c r="U102" s="403"/>
      <c r="V102" s="403"/>
      <c r="W102" s="403"/>
      <c r="X102" s="403"/>
      <c r="Y102" s="403"/>
      <c r="Z102" s="403"/>
      <c r="AA102" s="403" t="s">
        <v>2790</v>
      </c>
      <c r="AB102" s="403"/>
      <c r="AC102" s="403"/>
      <c r="AD102" s="403"/>
      <c r="AE102" s="403"/>
      <c r="AF102" s="403"/>
      <c r="AG102" s="403"/>
      <c r="AH102" s="403"/>
      <c r="AI102" s="403"/>
      <c r="AJ102" s="403"/>
      <c r="AK102" s="403"/>
      <c r="AL102" s="403"/>
      <c r="AM102" s="403"/>
      <c r="AN102" s="403"/>
      <c r="AO102" s="403"/>
      <c r="AP102" s="403"/>
      <c r="AQ102" s="403"/>
      <c r="AR102" s="403"/>
      <c r="AS102" s="403"/>
      <c r="AT102" s="403" t="s">
        <v>10302</v>
      </c>
      <c r="AU102" s="403"/>
      <c r="AV102" s="403"/>
      <c r="AW102" s="403"/>
      <c r="AX102" s="403"/>
      <c r="AY102" s="403"/>
      <c r="AZ102" s="403"/>
      <c r="BA102" s="403"/>
      <c r="BB102" s="403"/>
      <c r="BC102" s="403"/>
      <c r="BD102" s="403"/>
      <c r="BE102" s="403"/>
      <c r="BF102" s="403"/>
      <c r="BG102" s="403"/>
      <c r="BH102" s="403"/>
      <c r="BI102" s="403"/>
      <c r="BJ102" s="403"/>
      <c r="BK102" s="403"/>
      <c r="BL102" s="403"/>
      <c r="BM102" s="403" t="s">
        <v>10303</v>
      </c>
      <c r="BN102" s="403"/>
      <c r="BO102" s="403"/>
      <c r="BP102" s="403"/>
      <c r="BQ102" s="403"/>
      <c r="BR102" s="403"/>
      <c r="BS102" s="403"/>
      <c r="BT102" s="403"/>
      <c r="BU102" s="403"/>
      <c r="BV102" s="403"/>
      <c r="BW102" s="403"/>
      <c r="BX102" s="403"/>
      <c r="BY102" s="403"/>
      <c r="BZ102" s="403"/>
      <c r="CA102" s="403"/>
      <c r="CB102" s="403"/>
      <c r="CC102" s="403"/>
      <c r="CD102" s="403"/>
      <c r="CE102" s="403"/>
      <c r="CF102" s="403" t="s">
        <v>10304</v>
      </c>
      <c r="CG102" s="403"/>
      <c r="CH102" s="403"/>
      <c r="CI102" s="403"/>
      <c r="CJ102" s="403"/>
      <c r="CK102" s="403"/>
      <c r="CL102" s="403"/>
      <c r="CM102" s="403"/>
      <c r="CN102" s="403"/>
      <c r="CO102" s="403"/>
      <c r="CP102" s="403"/>
      <c r="CQ102" s="403"/>
      <c r="CR102" s="403"/>
      <c r="CS102" s="403"/>
      <c r="CT102" s="403"/>
      <c r="CU102" s="403"/>
      <c r="CV102" s="403"/>
      <c r="CW102" s="403"/>
      <c r="CX102" s="403"/>
      <c r="CY102" s="403" t="s">
        <v>10305</v>
      </c>
      <c r="CZ102" s="403"/>
      <c r="DA102" s="403"/>
      <c r="DB102" s="403"/>
      <c r="DC102" s="403"/>
      <c r="DD102" s="403"/>
      <c r="DE102" s="403"/>
      <c r="DF102" s="403"/>
      <c r="DG102" s="403"/>
      <c r="DH102" s="403"/>
      <c r="DI102" s="403"/>
      <c r="DJ102" s="403"/>
      <c r="DK102" s="403"/>
      <c r="DL102" s="403"/>
      <c r="DM102" s="403"/>
      <c r="DN102" s="403"/>
      <c r="DO102" s="403"/>
      <c r="DP102" s="403"/>
      <c r="DQ102" s="403"/>
      <c r="DR102" s="403" t="s">
        <v>10306</v>
      </c>
      <c r="DS102" s="403"/>
      <c r="DT102" s="403"/>
      <c r="DU102" s="403"/>
      <c r="DV102" s="403"/>
      <c r="DW102" s="403"/>
      <c r="DX102" s="403"/>
      <c r="DY102" s="403"/>
      <c r="DZ102" s="403"/>
      <c r="EA102" s="403"/>
      <c r="EB102" s="403"/>
      <c r="EC102" s="403"/>
      <c r="ED102" s="403"/>
      <c r="EE102" s="403"/>
      <c r="EF102" s="403"/>
      <c r="EG102" s="403"/>
      <c r="EH102" s="403"/>
      <c r="EI102" s="403"/>
      <c r="EJ102" s="403"/>
      <c r="EK102" s="403" t="s">
        <v>10307</v>
      </c>
      <c r="EL102" s="403"/>
      <c r="EM102" s="403"/>
      <c r="EN102" s="403"/>
      <c r="EO102" s="403"/>
      <c r="EP102" s="403"/>
      <c r="EQ102" s="403"/>
      <c r="ER102" s="403"/>
      <c r="ES102" s="403"/>
    </row>
    <row r="103" spans="2:149" s="193" customFormat="1" x14ac:dyDescent="0.2">
      <c r="B103" s="5" t="str">
        <f t="shared" ref="B103:B121" ca="1" si="62">IF(OFFSET(T103,0,Lang_Order*Lang__B3)="","",OFFSET(T103,0,Lang_Order*Lang__B3))</f>
        <v>Volumetric Weight</v>
      </c>
      <c r="I103" s="146" t="e">
        <f t="shared" ref="I103:N106" si="63">(I79*$C$67)+(I85*$C$68)</f>
        <v>#N/A</v>
      </c>
      <c r="J103" s="146" t="e">
        <f t="shared" si="63"/>
        <v>#N/A</v>
      </c>
      <c r="K103" s="146" t="e">
        <f t="shared" si="63"/>
        <v>#N/A</v>
      </c>
      <c r="L103" s="146" t="e">
        <f t="shared" si="63"/>
        <v>#N/A</v>
      </c>
      <c r="M103" s="146" t="e">
        <f t="shared" si="63"/>
        <v>#N/A</v>
      </c>
      <c r="N103" s="146" t="e">
        <f t="shared" si="63"/>
        <v>#N/A</v>
      </c>
      <c r="R103" s="403"/>
      <c r="S103" s="403"/>
      <c r="T103" s="403" t="s">
        <v>2783</v>
      </c>
      <c r="U103" s="403"/>
      <c r="V103" s="403"/>
      <c r="W103" s="403"/>
      <c r="X103" s="403"/>
      <c r="Y103" s="403"/>
      <c r="Z103" s="403"/>
      <c r="AA103" s="403"/>
      <c r="AB103" s="403"/>
      <c r="AC103" s="403"/>
      <c r="AD103" s="403"/>
      <c r="AE103" s="403"/>
      <c r="AF103" s="403"/>
      <c r="AG103" s="403"/>
      <c r="AH103" s="403"/>
      <c r="AI103" s="403"/>
      <c r="AJ103" s="403"/>
      <c r="AK103" s="403"/>
      <c r="AL103" s="403"/>
      <c r="AM103" s="403" t="s">
        <v>10320</v>
      </c>
      <c r="AN103" s="403"/>
      <c r="AO103" s="403"/>
      <c r="AP103" s="403"/>
      <c r="AQ103" s="403"/>
      <c r="AR103" s="403"/>
      <c r="AS103" s="403"/>
      <c r="AT103" s="403"/>
      <c r="AU103" s="403"/>
      <c r="AV103" s="403"/>
      <c r="AW103" s="403"/>
      <c r="AX103" s="403"/>
      <c r="AY103" s="403"/>
      <c r="AZ103" s="403"/>
      <c r="BA103" s="403"/>
      <c r="BB103" s="403"/>
      <c r="BC103" s="403"/>
      <c r="BD103" s="403"/>
      <c r="BE103" s="403"/>
      <c r="BF103" s="403" t="s">
        <v>10321</v>
      </c>
      <c r="BG103" s="403"/>
      <c r="BH103" s="403"/>
      <c r="BI103" s="403"/>
      <c r="BJ103" s="403"/>
      <c r="BK103" s="403"/>
      <c r="BL103" s="403"/>
      <c r="BM103" s="403"/>
      <c r="BN103" s="403"/>
      <c r="BO103" s="403"/>
      <c r="BP103" s="403"/>
      <c r="BQ103" s="403"/>
      <c r="BR103" s="403"/>
      <c r="BS103" s="403"/>
      <c r="BT103" s="403"/>
      <c r="BU103" s="403"/>
      <c r="BV103" s="403"/>
      <c r="BW103" s="403"/>
      <c r="BX103" s="403"/>
      <c r="BY103" s="403" t="s">
        <v>10322</v>
      </c>
      <c r="BZ103" s="403"/>
      <c r="CA103" s="403"/>
      <c r="CB103" s="403"/>
      <c r="CC103" s="403"/>
      <c r="CD103" s="403"/>
      <c r="CE103" s="403"/>
      <c r="CF103" s="403"/>
      <c r="CG103" s="403"/>
      <c r="CH103" s="403"/>
      <c r="CI103" s="403"/>
      <c r="CJ103" s="403"/>
      <c r="CK103" s="403"/>
      <c r="CL103" s="403"/>
      <c r="CM103" s="403"/>
      <c r="CN103" s="403"/>
      <c r="CO103" s="403"/>
      <c r="CP103" s="403"/>
      <c r="CQ103" s="403"/>
      <c r="CR103" s="403" t="s">
        <v>10322</v>
      </c>
      <c r="CS103" s="403"/>
      <c r="CT103" s="403"/>
      <c r="CU103" s="403"/>
      <c r="CV103" s="403"/>
      <c r="CW103" s="403"/>
      <c r="CX103" s="403"/>
      <c r="CY103" s="403"/>
      <c r="CZ103" s="403"/>
      <c r="DA103" s="403"/>
      <c r="DB103" s="403"/>
      <c r="DC103" s="403"/>
      <c r="DD103" s="403"/>
      <c r="DE103" s="403"/>
      <c r="DF103" s="403"/>
      <c r="DG103" s="403"/>
      <c r="DH103" s="403"/>
      <c r="DI103" s="403"/>
      <c r="DJ103" s="403"/>
      <c r="DK103" s="403" t="s">
        <v>10323</v>
      </c>
      <c r="DL103" s="403"/>
      <c r="DM103" s="403"/>
      <c r="DN103" s="403"/>
      <c r="DO103" s="403"/>
      <c r="DP103" s="403"/>
      <c r="DQ103" s="403"/>
      <c r="DR103" s="403"/>
      <c r="DS103" s="403"/>
      <c r="DT103" s="403"/>
      <c r="DU103" s="403"/>
      <c r="DV103" s="403"/>
      <c r="DW103" s="403"/>
      <c r="DX103" s="403"/>
      <c r="DY103" s="403"/>
      <c r="DZ103" s="403"/>
      <c r="EA103" s="403"/>
      <c r="EB103" s="403"/>
      <c r="EC103" s="403"/>
      <c r="ED103" s="403" t="s">
        <v>10324</v>
      </c>
      <c r="EE103" s="403"/>
      <c r="EF103" s="403"/>
      <c r="EG103" s="403"/>
      <c r="EH103" s="403"/>
      <c r="EI103" s="403"/>
      <c r="EJ103" s="403"/>
      <c r="EK103" s="403"/>
      <c r="EL103" s="403"/>
      <c r="EM103" s="403"/>
      <c r="EN103" s="403"/>
      <c r="EO103" s="403"/>
      <c r="EP103" s="403"/>
      <c r="EQ103" s="403"/>
      <c r="ER103" s="403"/>
      <c r="ES103" s="403"/>
    </row>
    <row r="104" spans="2:149" s="193" customFormat="1" x14ac:dyDescent="0.2">
      <c r="B104" s="5" t="str">
        <f t="shared" ca="1" si="62"/>
        <v>Volumetric Weight</v>
      </c>
      <c r="I104" s="146" t="e">
        <f t="shared" si="63"/>
        <v>#N/A</v>
      </c>
      <c r="J104" s="146" t="e">
        <f t="shared" si="63"/>
        <v>#N/A</v>
      </c>
      <c r="K104" s="146" t="e">
        <f t="shared" si="63"/>
        <v>#N/A</v>
      </c>
      <c r="L104" s="146" t="e">
        <f t="shared" si="63"/>
        <v>#N/A</v>
      </c>
      <c r="M104" s="146" t="e">
        <f t="shared" si="63"/>
        <v>#N/A</v>
      </c>
      <c r="N104" s="146" t="e">
        <f t="shared" si="63"/>
        <v>#N/A</v>
      </c>
      <c r="R104" s="403"/>
      <c r="S104" s="403"/>
      <c r="T104" s="403" t="s">
        <v>2783</v>
      </c>
      <c r="U104" s="403"/>
      <c r="V104" s="403"/>
      <c r="W104" s="403"/>
      <c r="X104" s="403"/>
      <c r="Y104" s="403"/>
      <c r="Z104" s="403"/>
      <c r="AA104" s="403"/>
      <c r="AB104" s="403"/>
      <c r="AC104" s="403"/>
      <c r="AD104" s="403"/>
      <c r="AE104" s="403"/>
      <c r="AF104" s="403"/>
      <c r="AG104" s="403"/>
      <c r="AH104" s="403"/>
      <c r="AI104" s="403"/>
      <c r="AJ104" s="403"/>
      <c r="AK104" s="403"/>
      <c r="AL104" s="403"/>
      <c r="AM104" s="403" t="s">
        <v>10320</v>
      </c>
      <c r="AN104" s="403"/>
      <c r="AO104" s="403"/>
      <c r="AP104" s="403"/>
      <c r="AQ104" s="403"/>
      <c r="AR104" s="403"/>
      <c r="AS104" s="403"/>
      <c r="AT104" s="403"/>
      <c r="AU104" s="403"/>
      <c r="AV104" s="403"/>
      <c r="AW104" s="403"/>
      <c r="AX104" s="403"/>
      <c r="AY104" s="403"/>
      <c r="AZ104" s="403"/>
      <c r="BA104" s="403"/>
      <c r="BB104" s="403"/>
      <c r="BC104" s="403"/>
      <c r="BD104" s="403"/>
      <c r="BE104" s="403"/>
      <c r="BF104" s="403" t="s">
        <v>10321</v>
      </c>
      <c r="BG104" s="403"/>
      <c r="BH104" s="403"/>
      <c r="BI104" s="403"/>
      <c r="BJ104" s="403"/>
      <c r="BK104" s="403"/>
      <c r="BL104" s="403"/>
      <c r="BM104" s="403"/>
      <c r="BN104" s="403"/>
      <c r="BO104" s="403"/>
      <c r="BP104" s="403"/>
      <c r="BQ104" s="403"/>
      <c r="BR104" s="403"/>
      <c r="BS104" s="403"/>
      <c r="BT104" s="403"/>
      <c r="BU104" s="403"/>
      <c r="BV104" s="403"/>
      <c r="BW104" s="403"/>
      <c r="BX104" s="403"/>
      <c r="BY104" s="403" t="s">
        <v>10322</v>
      </c>
      <c r="BZ104" s="403"/>
      <c r="CA104" s="403"/>
      <c r="CB104" s="403"/>
      <c r="CC104" s="403"/>
      <c r="CD104" s="403"/>
      <c r="CE104" s="403"/>
      <c r="CF104" s="403"/>
      <c r="CG104" s="403"/>
      <c r="CH104" s="403"/>
      <c r="CI104" s="403"/>
      <c r="CJ104" s="403"/>
      <c r="CK104" s="403"/>
      <c r="CL104" s="403"/>
      <c r="CM104" s="403"/>
      <c r="CN104" s="403"/>
      <c r="CO104" s="403"/>
      <c r="CP104" s="403"/>
      <c r="CQ104" s="403"/>
      <c r="CR104" s="403" t="s">
        <v>10322</v>
      </c>
      <c r="CS104" s="403"/>
      <c r="CT104" s="403"/>
      <c r="CU104" s="403"/>
      <c r="CV104" s="403"/>
      <c r="CW104" s="403"/>
      <c r="CX104" s="403"/>
      <c r="CY104" s="403"/>
      <c r="CZ104" s="403"/>
      <c r="DA104" s="403"/>
      <c r="DB104" s="403"/>
      <c r="DC104" s="403"/>
      <c r="DD104" s="403"/>
      <c r="DE104" s="403"/>
      <c r="DF104" s="403"/>
      <c r="DG104" s="403"/>
      <c r="DH104" s="403"/>
      <c r="DI104" s="403"/>
      <c r="DJ104" s="403"/>
      <c r="DK104" s="403" t="s">
        <v>10323</v>
      </c>
      <c r="DL104" s="403"/>
      <c r="DM104" s="403"/>
      <c r="DN104" s="403"/>
      <c r="DO104" s="403"/>
      <c r="DP104" s="403"/>
      <c r="DQ104" s="403"/>
      <c r="DR104" s="403"/>
      <c r="DS104" s="403"/>
      <c r="DT104" s="403"/>
      <c r="DU104" s="403"/>
      <c r="DV104" s="403"/>
      <c r="DW104" s="403"/>
      <c r="DX104" s="403"/>
      <c r="DY104" s="403"/>
      <c r="DZ104" s="403"/>
      <c r="EA104" s="403"/>
      <c r="EB104" s="403"/>
      <c r="EC104" s="403"/>
      <c r="ED104" s="403" t="s">
        <v>10324</v>
      </c>
      <c r="EE104" s="403"/>
      <c r="EF104" s="403"/>
      <c r="EG104" s="403"/>
      <c r="EH104" s="403"/>
      <c r="EI104" s="403"/>
      <c r="EJ104" s="403"/>
      <c r="EK104" s="403"/>
      <c r="EL104" s="403"/>
      <c r="EM104" s="403"/>
      <c r="EN104" s="403"/>
      <c r="EO104" s="403"/>
      <c r="EP104" s="403"/>
      <c r="EQ104" s="403"/>
      <c r="ER104" s="403"/>
      <c r="ES104" s="403"/>
    </row>
    <row r="105" spans="2:149" s="193" customFormat="1" x14ac:dyDescent="0.2">
      <c r="B105" s="5" t="str">
        <f t="shared" ca="1" si="62"/>
        <v>Volumetric Weight</v>
      </c>
      <c r="I105" s="146" t="e">
        <f t="shared" si="63"/>
        <v>#N/A</v>
      </c>
      <c r="J105" s="146" t="e">
        <f t="shared" si="63"/>
        <v>#N/A</v>
      </c>
      <c r="K105" s="146" t="e">
        <f t="shared" si="63"/>
        <v>#N/A</v>
      </c>
      <c r="L105" s="146" t="e">
        <f t="shared" si="63"/>
        <v>#N/A</v>
      </c>
      <c r="M105" s="146" t="e">
        <f t="shared" si="63"/>
        <v>#N/A</v>
      </c>
      <c r="N105" s="146" t="e">
        <f t="shared" si="63"/>
        <v>#N/A</v>
      </c>
      <c r="O105" s="37"/>
      <c r="R105" s="403"/>
      <c r="S105" s="403"/>
      <c r="T105" s="403" t="s">
        <v>2783</v>
      </c>
      <c r="U105" s="403"/>
      <c r="V105" s="403"/>
      <c r="W105" s="403"/>
      <c r="X105" s="403"/>
      <c r="Y105" s="403"/>
      <c r="Z105" s="403"/>
      <c r="AA105" s="403"/>
      <c r="AB105" s="403"/>
      <c r="AC105" s="403"/>
      <c r="AD105" s="403"/>
      <c r="AE105" s="403"/>
      <c r="AF105" s="403"/>
      <c r="AG105" s="403"/>
      <c r="AH105" s="403"/>
      <c r="AI105" s="403"/>
      <c r="AJ105" s="403"/>
      <c r="AK105" s="403"/>
      <c r="AL105" s="403"/>
      <c r="AM105" s="403" t="s">
        <v>10320</v>
      </c>
      <c r="AN105" s="403"/>
      <c r="AO105" s="403"/>
      <c r="AP105" s="403"/>
      <c r="AQ105" s="403"/>
      <c r="AR105" s="403"/>
      <c r="AS105" s="403"/>
      <c r="AT105" s="403"/>
      <c r="AU105" s="403"/>
      <c r="AV105" s="403"/>
      <c r="AW105" s="403"/>
      <c r="AX105" s="403"/>
      <c r="AY105" s="403"/>
      <c r="AZ105" s="403"/>
      <c r="BA105" s="403"/>
      <c r="BB105" s="403"/>
      <c r="BC105" s="403"/>
      <c r="BD105" s="403"/>
      <c r="BE105" s="403"/>
      <c r="BF105" s="403" t="s">
        <v>10321</v>
      </c>
      <c r="BG105" s="403"/>
      <c r="BH105" s="403"/>
      <c r="BI105" s="403"/>
      <c r="BJ105" s="403"/>
      <c r="BK105" s="403"/>
      <c r="BL105" s="403"/>
      <c r="BM105" s="403"/>
      <c r="BN105" s="403"/>
      <c r="BO105" s="403"/>
      <c r="BP105" s="403"/>
      <c r="BQ105" s="403"/>
      <c r="BR105" s="403"/>
      <c r="BS105" s="403"/>
      <c r="BT105" s="403"/>
      <c r="BU105" s="403"/>
      <c r="BV105" s="403"/>
      <c r="BW105" s="403"/>
      <c r="BX105" s="403"/>
      <c r="BY105" s="403" t="s">
        <v>10322</v>
      </c>
      <c r="BZ105" s="403"/>
      <c r="CA105" s="403"/>
      <c r="CB105" s="403"/>
      <c r="CC105" s="403"/>
      <c r="CD105" s="403"/>
      <c r="CE105" s="403"/>
      <c r="CF105" s="403"/>
      <c r="CG105" s="403"/>
      <c r="CH105" s="403"/>
      <c r="CI105" s="403"/>
      <c r="CJ105" s="403"/>
      <c r="CK105" s="403"/>
      <c r="CL105" s="403"/>
      <c r="CM105" s="403"/>
      <c r="CN105" s="403"/>
      <c r="CO105" s="403"/>
      <c r="CP105" s="403"/>
      <c r="CQ105" s="403"/>
      <c r="CR105" s="403" t="s">
        <v>10322</v>
      </c>
      <c r="CS105" s="403"/>
      <c r="CT105" s="403"/>
      <c r="CU105" s="403"/>
      <c r="CV105" s="403"/>
      <c r="CW105" s="403"/>
      <c r="CX105" s="403"/>
      <c r="CY105" s="403"/>
      <c r="CZ105" s="403"/>
      <c r="DA105" s="403"/>
      <c r="DB105" s="403"/>
      <c r="DC105" s="403"/>
      <c r="DD105" s="403"/>
      <c r="DE105" s="403"/>
      <c r="DF105" s="403"/>
      <c r="DG105" s="403"/>
      <c r="DH105" s="403"/>
      <c r="DI105" s="403"/>
      <c r="DJ105" s="403"/>
      <c r="DK105" s="403" t="s">
        <v>10323</v>
      </c>
      <c r="DL105" s="403"/>
      <c r="DM105" s="403"/>
      <c r="DN105" s="403"/>
      <c r="DO105" s="403"/>
      <c r="DP105" s="403"/>
      <c r="DQ105" s="403"/>
      <c r="DR105" s="403"/>
      <c r="DS105" s="403"/>
      <c r="DT105" s="403"/>
      <c r="DU105" s="403"/>
      <c r="DV105" s="403"/>
      <c r="DW105" s="403"/>
      <c r="DX105" s="403"/>
      <c r="DY105" s="403"/>
      <c r="DZ105" s="403"/>
      <c r="EA105" s="403"/>
      <c r="EB105" s="403"/>
      <c r="EC105" s="403"/>
      <c r="ED105" s="403" t="s">
        <v>10324</v>
      </c>
      <c r="EE105" s="403"/>
      <c r="EF105" s="403"/>
      <c r="EG105" s="403"/>
      <c r="EH105" s="403"/>
      <c r="EI105" s="403"/>
      <c r="EJ105" s="403"/>
      <c r="EK105" s="403"/>
      <c r="EL105" s="403"/>
      <c r="EM105" s="403"/>
      <c r="EN105" s="403"/>
      <c r="EO105" s="403"/>
      <c r="EP105" s="403"/>
      <c r="EQ105" s="403"/>
      <c r="ER105" s="403"/>
      <c r="ES105" s="403"/>
    </row>
    <row r="106" spans="2:149" s="193" customFormat="1" x14ac:dyDescent="0.2">
      <c r="B106" s="5" t="str">
        <f t="shared" ca="1" si="62"/>
        <v>Volumetric Weight</v>
      </c>
      <c r="I106" s="146" t="e">
        <f t="shared" si="63"/>
        <v>#N/A</v>
      </c>
      <c r="J106" s="146" t="e">
        <f t="shared" si="63"/>
        <v>#N/A</v>
      </c>
      <c r="K106" s="146" t="e">
        <f t="shared" si="63"/>
        <v>#N/A</v>
      </c>
      <c r="L106" s="146" t="e">
        <f t="shared" si="63"/>
        <v>#N/A</v>
      </c>
      <c r="M106" s="146" t="e">
        <f t="shared" si="63"/>
        <v>#N/A</v>
      </c>
      <c r="N106" s="146" t="e">
        <f t="shared" si="63"/>
        <v>#N/A</v>
      </c>
      <c r="O106" s="37"/>
      <c r="Q106" s="47"/>
      <c r="R106" s="403"/>
      <c r="S106" s="403"/>
      <c r="T106" s="403" t="s">
        <v>2783</v>
      </c>
      <c r="U106" s="403"/>
      <c r="V106" s="403"/>
      <c r="W106" s="403"/>
      <c r="X106" s="403"/>
      <c r="Y106" s="403"/>
      <c r="Z106" s="403"/>
      <c r="AA106" s="403"/>
      <c r="AB106" s="403"/>
      <c r="AC106" s="403"/>
      <c r="AD106" s="403"/>
      <c r="AE106" s="403"/>
      <c r="AF106" s="403"/>
      <c r="AG106" s="403"/>
      <c r="AH106" s="403"/>
      <c r="AI106" s="403"/>
      <c r="AJ106" s="403"/>
      <c r="AK106" s="403"/>
      <c r="AL106" s="403"/>
      <c r="AM106" s="403" t="s">
        <v>10320</v>
      </c>
      <c r="AN106" s="403"/>
      <c r="AO106" s="403"/>
      <c r="AP106" s="403"/>
      <c r="AQ106" s="403"/>
      <c r="AR106" s="403"/>
      <c r="AS106" s="403"/>
      <c r="AT106" s="403"/>
      <c r="AU106" s="403"/>
      <c r="AV106" s="403"/>
      <c r="AW106" s="403"/>
      <c r="AX106" s="403"/>
      <c r="AY106" s="403"/>
      <c r="AZ106" s="403"/>
      <c r="BA106" s="403"/>
      <c r="BB106" s="403"/>
      <c r="BC106" s="403"/>
      <c r="BD106" s="403"/>
      <c r="BE106" s="403"/>
      <c r="BF106" s="403" t="s">
        <v>10321</v>
      </c>
      <c r="BG106" s="403"/>
      <c r="BH106" s="403"/>
      <c r="BI106" s="403"/>
      <c r="BJ106" s="403"/>
      <c r="BK106" s="403"/>
      <c r="BL106" s="403"/>
      <c r="BM106" s="403"/>
      <c r="BN106" s="403"/>
      <c r="BO106" s="403"/>
      <c r="BP106" s="403"/>
      <c r="BQ106" s="403"/>
      <c r="BR106" s="403"/>
      <c r="BS106" s="403"/>
      <c r="BT106" s="403"/>
      <c r="BU106" s="403"/>
      <c r="BV106" s="403"/>
      <c r="BW106" s="403"/>
      <c r="BX106" s="403"/>
      <c r="BY106" s="403" t="s">
        <v>10322</v>
      </c>
      <c r="BZ106" s="403"/>
      <c r="CA106" s="403"/>
      <c r="CB106" s="403"/>
      <c r="CC106" s="403"/>
      <c r="CD106" s="403"/>
      <c r="CE106" s="403"/>
      <c r="CF106" s="403"/>
      <c r="CG106" s="403"/>
      <c r="CH106" s="403"/>
      <c r="CI106" s="403"/>
      <c r="CJ106" s="403"/>
      <c r="CK106" s="403"/>
      <c r="CL106" s="403"/>
      <c r="CM106" s="403"/>
      <c r="CN106" s="403"/>
      <c r="CO106" s="403"/>
      <c r="CP106" s="403"/>
      <c r="CQ106" s="403"/>
      <c r="CR106" s="403" t="s">
        <v>10322</v>
      </c>
      <c r="CS106" s="403"/>
      <c r="CT106" s="403"/>
      <c r="CU106" s="403"/>
      <c r="CV106" s="403"/>
      <c r="CW106" s="403"/>
      <c r="CX106" s="403"/>
      <c r="CY106" s="403"/>
      <c r="CZ106" s="403"/>
      <c r="DA106" s="403"/>
      <c r="DB106" s="403"/>
      <c r="DC106" s="403"/>
      <c r="DD106" s="403"/>
      <c r="DE106" s="403"/>
      <c r="DF106" s="403"/>
      <c r="DG106" s="403"/>
      <c r="DH106" s="403"/>
      <c r="DI106" s="403"/>
      <c r="DJ106" s="403"/>
      <c r="DK106" s="403" t="s">
        <v>10323</v>
      </c>
      <c r="DL106" s="403"/>
      <c r="DM106" s="403"/>
      <c r="DN106" s="403"/>
      <c r="DO106" s="403"/>
      <c r="DP106" s="403"/>
      <c r="DQ106" s="403"/>
      <c r="DR106" s="403"/>
      <c r="DS106" s="403"/>
      <c r="DT106" s="403"/>
      <c r="DU106" s="403"/>
      <c r="DV106" s="403"/>
      <c r="DW106" s="403"/>
      <c r="DX106" s="403"/>
      <c r="DY106" s="403"/>
      <c r="DZ106" s="403"/>
      <c r="EA106" s="403"/>
      <c r="EB106" s="403"/>
      <c r="EC106" s="403"/>
      <c r="ED106" s="403" t="s">
        <v>10324</v>
      </c>
      <c r="EE106" s="403"/>
      <c r="EF106" s="403"/>
      <c r="EG106" s="403"/>
      <c r="EH106" s="403"/>
      <c r="EI106" s="403"/>
      <c r="EJ106" s="403"/>
      <c r="EK106" s="403"/>
      <c r="EL106" s="403"/>
      <c r="EM106" s="403"/>
      <c r="EN106" s="403"/>
      <c r="EO106" s="403"/>
      <c r="EP106" s="403"/>
      <c r="EQ106" s="403"/>
      <c r="ER106" s="403"/>
      <c r="ES106" s="403"/>
    </row>
    <row r="107" spans="2:149" s="193" customFormat="1" x14ac:dyDescent="0.2">
      <c r="B107" s="6" t="str">
        <f t="shared" ca="1" si="62"/>
        <v>Actual Weight</v>
      </c>
      <c r="I107" s="146" t="e">
        <f t="shared" ref="I107:N110" si="64">I17+I91</f>
        <v>#N/A</v>
      </c>
      <c r="J107" s="146" t="e">
        <f t="shared" si="64"/>
        <v>#N/A</v>
      </c>
      <c r="K107" s="146" t="e">
        <f t="shared" si="64"/>
        <v>#N/A</v>
      </c>
      <c r="L107" s="146" t="e">
        <f t="shared" si="64"/>
        <v>#N/A</v>
      </c>
      <c r="M107" s="146" t="e">
        <f t="shared" si="64"/>
        <v>#N/A</v>
      </c>
      <c r="N107" s="146" t="e">
        <f t="shared" si="64"/>
        <v>#N/A</v>
      </c>
      <c r="O107" s="37"/>
      <c r="R107" s="403"/>
      <c r="S107" s="403"/>
      <c r="T107" s="403" t="s">
        <v>2789</v>
      </c>
      <c r="U107" s="403"/>
      <c r="V107" s="403"/>
      <c r="W107" s="403"/>
      <c r="X107" s="403"/>
      <c r="Y107" s="403"/>
      <c r="Z107" s="403"/>
      <c r="AA107" s="403"/>
      <c r="AB107" s="403"/>
      <c r="AC107" s="403"/>
      <c r="AD107" s="403"/>
      <c r="AE107" s="403"/>
      <c r="AF107" s="403"/>
      <c r="AG107" s="403"/>
      <c r="AH107" s="403"/>
      <c r="AI107" s="403"/>
      <c r="AJ107" s="403"/>
      <c r="AK107" s="403"/>
      <c r="AL107" s="403"/>
      <c r="AM107" s="403" t="s">
        <v>10325</v>
      </c>
      <c r="AN107" s="403"/>
      <c r="AO107" s="403"/>
      <c r="AP107" s="403"/>
      <c r="AQ107" s="403"/>
      <c r="AR107" s="403"/>
      <c r="AS107" s="403"/>
      <c r="AT107" s="403"/>
      <c r="AU107" s="403"/>
      <c r="AV107" s="403"/>
      <c r="AW107" s="403"/>
      <c r="AX107" s="403"/>
      <c r="AY107" s="403"/>
      <c r="AZ107" s="403"/>
      <c r="BA107" s="403"/>
      <c r="BB107" s="403"/>
      <c r="BC107" s="403"/>
      <c r="BD107" s="403"/>
      <c r="BE107" s="403"/>
      <c r="BF107" s="403" t="s">
        <v>10326</v>
      </c>
      <c r="BG107" s="403"/>
      <c r="BH107" s="403"/>
      <c r="BI107" s="403"/>
      <c r="BJ107" s="403"/>
      <c r="BK107" s="403"/>
      <c r="BL107" s="403"/>
      <c r="BM107" s="403"/>
      <c r="BN107" s="403"/>
      <c r="BO107" s="403"/>
      <c r="BP107" s="403"/>
      <c r="BQ107" s="403"/>
      <c r="BR107" s="403"/>
      <c r="BS107" s="403"/>
      <c r="BT107" s="403"/>
      <c r="BU107" s="403"/>
      <c r="BV107" s="403"/>
      <c r="BW107" s="403"/>
      <c r="BX107" s="403"/>
      <c r="BY107" s="403" t="s">
        <v>10327</v>
      </c>
      <c r="BZ107" s="403"/>
      <c r="CA107" s="403"/>
      <c r="CB107" s="403"/>
      <c r="CC107" s="403"/>
      <c r="CD107" s="403"/>
      <c r="CE107" s="403"/>
      <c r="CF107" s="403"/>
      <c r="CG107" s="403"/>
      <c r="CH107" s="403"/>
      <c r="CI107" s="403"/>
      <c r="CJ107" s="403"/>
      <c r="CK107" s="403"/>
      <c r="CL107" s="403"/>
      <c r="CM107" s="403"/>
      <c r="CN107" s="403"/>
      <c r="CO107" s="403"/>
      <c r="CP107" s="403"/>
      <c r="CQ107" s="403"/>
      <c r="CR107" s="403" t="s">
        <v>10327</v>
      </c>
      <c r="CS107" s="403"/>
      <c r="CT107" s="403"/>
      <c r="CU107" s="403"/>
      <c r="CV107" s="403"/>
      <c r="CW107" s="403"/>
      <c r="CX107" s="403"/>
      <c r="CY107" s="403"/>
      <c r="CZ107" s="403"/>
      <c r="DA107" s="403"/>
      <c r="DB107" s="403"/>
      <c r="DC107" s="403"/>
      <c r="DD107" s="403"/>
      <c r="DE107" s="403"/>
      <c r="DF107" s="403"/>
      <c r="DG107" s="403"/>
      <c r="DH107" s="403"/>
      <c r="DI107" s="403"/>
      <c r="DJ107" s="403"/>
      <c r="DK107" s="403" t="s">
        <v>10328</v>
      </c>
      <c r="DL107" s="403"/>
      <c r="DM107" s="403"/>
      <c r="DN107" s="403"/>
      <c r="DO107" s="403"/>
      <c r="DP107" s="403"/>
      <c r="DQ107" s="403"/>
      <c r="DR107" s="403"/>
      <c r="DS107" s="403"/>
      <c r="DT107" s="403"/>
      <c r="DU107" s="403"/>
      <c r="DV107" s="403"/>
      <c r="DW107" s="403"/>
      <c r="DX107" s="403"/>
      <c r="DY107" s="403"/>
      <c r="DZ107" s="403"/>
      <c r="EA107" s="403"/>
      <c r="EB107" s="403"/>
      <c r="EC107" s="403"/>
      <c r="ED107" s="403" t="s">
        <v>10329</v>
      </c>
      <c r="EE107" s="403"/>
      <c r="EF107" s="403"/>
      <c r="EG107" s="403"/>
      <c r="EH107" s="403"/>
      <c r="EI107" s="403"/>
      <c r="EJ107" s="403"/>
      <c r="EK107" s="403"/>
      <c r="EL107" s="403"/>
      <c r="EM107" s="403"/>
      <c r="EN107" s="403"/>
      <c r="EO107" s="403"/>
      <c r="EP107" s="403"/>
      <c r="EQ107" s="403"/>
      <c r="ER107" s="403"/>
      <c r="ES107" s="403"/>
    </row>
    <row r="108" spans="2:149" s="193" customFormat="1" x14ac:dyDescent="0.2">
      <c r="B108" s="6" t="str">
        <f t="shared" ca="1" si="62"/>
        <v>Actual Weight</v>
      </c>
      <c r="I108" s="146" t="e">
        <f t="shared" si="64"/>
        <v>#N/A</v>
      </c>
      <c r="J108" s="146" t="e">
        <f t="shared" si="64"/>
        <v>#N/A</v>
      </c>
      <c r="K108" s="146" t="e">
        <f t="shared" si="64"/>
        <v>#N/A</v>
      </c>
      <c r="L108" s="146" t="e">
        <f t="shared" si="64"/>
        <v>#N/A</v>
      </c>
      <c r="M108" s="146" t="e">
        <f t="shared" si="64"/>
        <v>#N/A</v>
      </c>
      <c r="N108" s="146" t="e">
        <f t="shared" si="64"/>
        <v>#N/A</v>
      </c>
      <c r="O108" s="37"/>
      <c r="R108" s="403"/>
      <c r="S108" s="403"/>
      <c r="T108" s="403" t="s">
        <v>2789</v>
      </c>
      <c r="U108" s="403"/>
      <c r="V108" s="403"/>
      <c r="W108" s="403"/>
      <c r="X108" s="403"/>
      <c r="Y108" s="403"/>
      <c r="Z108" s="403"/>
      <c r="AA108" s="403"/>
      <c r="AB108" s="403"/>
      <c r="AC108" s="403"/>
      <c r="AD108" s="403"/>
      <c r="AE108" s="403"/>
      <c r="AF108" s="403"/>
      <c r="AG108" s="403"/>
      <c r="AH108" s="403"/>
      <c r="AI108" s="403"/>
      <c r="AJ108" s="403"/>
      <c r="AK108" s="403"/>
      <c r="AL108" s="403"/>
      <c r="AM108" s="403" t="s">
        <v>10325</v>
      </c>
      <c r="AN108" s="403"/>
      <c r="AO108" s="403"/>
      <c r="AP108" s="403"/>
      <c r="AQ108" s="403"/>
      <c r="AR108" s="403"/>
      <c r="AS108" s="403"/>
      <c r="AT108" s="403"/>
      <c r="AU108" s="403"/>
      <c r="AV108" s="403"/>
      <c r="AW108" s="403"/>
      <c r="AX108" s="403"/>
      <c r="AY108" s="403"/>
      <c r="AZ108" s="403"/>
      <c r="BA108" s="403"/>
      <c r="BB108" s="403"/>
      <c r="BC108" s="403"/>
      <c r="BD108" s="403"/>
      <c r="BE108" s="403"/>
      <c r="BF108" s="403" t="s">
        <v>10326</v>
      </c>
      <c r="BG108" s="403"/>
      <c r="BH108" s="403"/>
      <c r="BI108" s="403"/>
      <c r="BJ108" s="403"/>
      <c r="BK108" s="403"/>
      <c r="BL108" s="403"/>
      <c r="BM108" s="403"/>
      <c r="BN108" s="403"/>
      <c r="BO108" s="403"/>
      <c r="BP108" s="403"/>
      <c r="BQ108" s="403"/>
      <c r="BR108" s="403"/>
      <c r="BS108" s="403"/>
      <c r="BT108" s="403"/>
      <c r="BU108" s="403"/>
      <c r="BV108" s="403"/>
      <c r="BW108" s="403"/>
      <c r="BX108" s="403"/>
      <c r="BY108" s="403" t="s">
        <v>10327</v>
      </c>
      <c r="BZ108" s="403"/>
      <c r="CA108" s="403"/>
      <c r="CB108" s="403"/>
      <c r="CC108" s="403"/>
      <c r="CD108" s="403"/>
      <c r="CE108" s="403"/>
      <c r="CF108" s="403"/>
      <c r="CG108" s="403"/>
      <c r="CH108" s="403"/>
      <c r="CI108" s="403"/>
      <c r="CJ108" s="403"/>
      <c r="CK108" s="403"/>
      <c r="CL108" s="403"/>
      <c r="CM108" s="403"/>
      <c r="CN108" s="403"/>
      <c r="CO108" s="403"/>
      <c r="CP108" s="403"/>
      <c r="CQ108" s="403"/>
      <c r="CR108" s="403" t="s">
        <v>10327</v>
      </c>
      <c r="CS108" s="403"/>
      <c r="CT108" s="403"/>
      <c r="CU108" s="403"/>
      <c r="CV108" s="403"/>
      <c r="CW108" s="403"/>
      <c r="CX108" s="403"/>
      <c r="CY108" s="403"/>
      <c r="CZ108" s="403"/>
      <c r="DA108" s="403"/>
      <c r="DB108" s="403"/>
      <c r="DC108" s="403"/>
      <c r="DD108" s="403"/>
      <c r="DE108" s="403"/>
      <c r="DF108" s="403"/>
      <c r="DG108" s="403"/>
      <c r="DH108" s="403"/>
      <c r="DI108" s="403"/>
      <c r="DJ108" s="403"/>
      <c r="DK108" s="403" t="s">
        <v>10328</v>
      </c>
      <c r="DL108" s="403"/>
      <c r="DM108" s="403"/>
      <c r="DN108" s="403"/>
      <c r="DO108" s="403"/>
      <c r="DP108" s="403"/>
      <c r="DQ108" s="403"/>
      <c r="DR108" s="403"/>
      <c r="DS108" s="403"/>
      <c r="DT108" s="403"/>
      <c r="DU108" s="403"/>
      <c r="DV108" s="403"/>
      <c r="DW108" s="403"/>
      <c r="DX108" s="403"/>
      <c r="DY108" s="403"/>
      <c r="DZ108" s="403"/>
      <c r="EA108" s="403"/>
      <c r="EB108" s="403"/>
      <c r="EC108" s="403"/>
      <c r="ED108" s="403" t="s">
        <v>10329</v>
      </c>
      <c r="EE108" s="403"/>
      <c r="EF108" s="403"/>
      <c r="EG108" s="403"/>
      <c r="EH108" s="403"/>
      <c r="EI108" s="403"/>
      <c r="EJ108" s="403"/>
      <c r="EK108" s="403"/>
      <c r="EL108" s="403"/>
      <c r="EM108" s="403"/>
      <c r="EN108" s="403"/>
      <c r="EO108" s="403"/>
      <c r="EP108" s="403"/>
      <c r="EQ108" s="403"/>
      <c r="ER108" s="403"/>
      <c r="ES108" s="403"/>
    </row>
    <row r="109" spans="2:149" s="193" customFormat="1" x14ac:dyDescent="0.2">
      <c r="B109" s="6" t="str">
        <f t="shared" ca="1" si="62"/>
        <v>Actual Weight</v>
      </c>
      <c r="I109" s="146" t="e">
        <f t="shared" si="64"/>
        <v>#N/A</v>
      </c>
      <c r="J109" s="146" t="e">
        <f t="shared" si="64"/>
        <v>#N/A</v>
      </c>
      <c r="K109" s="146" t="e">
        <f t="shared" si="64"/>
        <v>#N/A</v>
      </c>
      <c r="L109" s="146" t="e">
        <f t="shared" si="64"/>
        <v>#N/A</v>
      </c>
      <c r="M109" s="146" t="e">
        <f t="shared" si="64"/>
        <v>#N/A</v>
      </c>
      <c r="N109" s="146" t="e">
        <f t="shared" si="64"/>
        <v>#N/A</v>
      </c>
      <c r="O109" s="37"/>
      <c r="R109" s="403"/>
      <c r="S109" s="403"/>
      <c r="T109" s="403" t="s">
        <v>2789</v>
      </c>
      <c r="U109" s="403"/>
      <c r="V109" s="403"/>
      <c r="W109" s="403"/>
      <c r="X109" s="403"/>
      <c r="Y109" s="403"/>
      <c r="Z109" s="403"/>
      <c r="AA109" s="403"/>
      <c r="AB109" s="403"/>
      <c r="AC109" s="403"/>
      <c r="AD109" s="403"/>
      <c r="AE109" s="403"/>
      <c r="AF109" s="403"/>
      <c r="AG109" s="403"/>
      <c r="AH109" s="403"/>
      <c r="AI109" s="403"/>
      <c r="AJ109" s="403"/>
      <c r="AK109" s="403"/>
      <c r="AL109" s="403"/>
      <c r="AM109" s="403" t="s">
        <v>10325</v>
      </c>
      <c r="AN109" s="403"/>
      <c r="AO109" s="403"/>
      <c r="AP109" s="403"/>
      <c r="AQ109" s="403"/>
      <c r="AR109" s="403"/>
      <c r="AS109" s="403"/>
      <c r="AT109" s="403"/>
      <c r="AU109" s="403"/>
      <c r="AV109" s="403"/>
      <c r="AW109" s="403"/>
      <c r="AX109" s="403"/>
      <c r="AY109" s="403"/>
      <c r="AZ109" s="403"/>
      <c r="BA109" s="403"/>
      <c r="BB109" s="403"/>
      <c r="BC109" s="403"/>
      <c r="BD109" s="403"/>
      <c r="BE109" s="403"/>
      <c r="BF109" s="403" t="s">
        <v>10326</v>
      </c>
      <c r="BG109" s="403"/>
      <c r="BH109" s="403"/>
      <c r="BI109" s="403"/>
      <c r="BJ109" s="403"/>
      <c r="BK109" s="403"/>
      <c r="BL109" s="403"/>
      <c r="BM109" s="403"/>
      <c r="BN109" s="403"/>
      <c r="BO109" s="403"/>
      <c r="BP109" s="403"/>
      <c r="BQ109" s="403"/>
      <c r="BR109" s="403"/>
      <c r="BS109" s="403"/>
      <c r="BT109" s="403"/>
      <c r="BU109" s="403"/>
      <c r="BV109" s="403"/>
      <c r="BW109" s="403"/>
      <c r="BX109" s="403"/>
      <c r="BY109" s="403" t="s">
        <v>10327</v>
      </c>
      <c r="BZ109" s="403"/>
      <c r="CA109" s="403"/>
      <c r="CB109" s="403"/>
      <c r="CC109" s="403"/>
      <c r="CD109" s="403"/>
      <c r="CE109" s="403"/>
      <c r="CF109" s="403"/>
      <c r="CG109" s="403"/>
      <c r="CH109" s="403"/>
      <c r="CI109" s="403"/>
      <c r="CJ109" s="403"/>
      <c r="CK109" s="403"/>
      <c r="CL109" s="403"/>
      <c r="CM109" s="403"/>
      <c r="CN109" s="403"/>
      <c r="CO109" s="403"/>
      <c r="CP109" s="403"/>
      <c r="CQ109" s="403"/>
      <c r="CR109" s="403" t="s">
        <v>10327</v>
      </c>
      <c r="CS109" s="403"/>
      <c r="CT109" s="403"/>
      <c r="CU109" s="403"/>
      <c r="CV109" s="403"/>
      <c r="CW109" s="403"/>
      <c r="CX109" s="403"/>
      <c r="CY109" s="403"/>
      <c r="CZ109" s="403"/>
      <c r="DA109" s="403"/>
      <c r="DB109" s="403"/>
      <c r="DC109" s="403"/>
      <c r="DD109" s="403"/>
      <c r="DE109" s="403"/>
      <c r="DF109" s="403"/>
      <c r="DG109" s="403"/>
      <c r="DH109" s="403"/>
      <c r="DI109" s="403"/>
      <c r="DJ109" s="403"/>
      <c r="DK109" s="403" t="s">
        <v>10328</v>
      </c>
      <c r="DL109" s="403"/>
      <c r="DM109" s="403"/>
      <c r="DN109" s="403"/>
      <c r="DO109" s="403"/>
      <c r="DP109" s="403"/>
      <c r="DQ109" s="403"/>
      <c r="DR109" s="403"/>
      <c r="DS109" s="403"/>
      <c r="DT109" s="403"/>
      <c r="DU109" s="403"/>
      <c r="DV109" s="403"/>
      <c r="DW109" s="403"/>
      <c r="DX109" s="403"/>
      <c r="DY109" s="403"/>
      <c r="DZ109" s="403"/>
      <c r="EA109" s="403"/>
      <c r="EB109" s="403"/>
      <c r="EC109" s="403"/>
      <c r="ED109" s="403" t="s">
        <v>10329</v>
      </c>
      <c r="EE109" s="403"/>
      <c r="EF109" s="403"/>
      <c r="EG109" s="403"/>
      <c r="EH109" s="403"/>
      <c r="EI109" s="403"/>
      <c r="EJ109" s="403"/>
      <c r="EK109" s="403"/>
      <c r="EL109" s="403"/>
      <c r="EM109" s="403"/>
      <c r="EN109" s="403"/>
      <c r="EO109" s="403"/>
      <c r="EP109" s="403"/>
      <c r="EQ109" s="403"/>
      <c r="ER109" s="403"/>
      <c r="ES109" s="403"/>
    </row>
    <row r="110" spans="2:149" s="193" customFormat="1" x14ac:dyDescent="0.2">
      <c r="B110" s="6" t="str">
        <f t="shared" ca="1" si="62"/>
        <v>Actual Weight</v>
      </c>
      <c r="I110" s="146" t="e">
        <f t="shared" si="64"/>
        <v>#N/A</v>
      </c>
      <c r="J110" s="146" t="e">
        <f t="shared" si="64"/>
        <v>#N/A</v>
      </c>
      <c r="K110" s="146" t="e">
        <f t="shared" si="64"/>
        <v>#N/A</v>
      </c>
      <c r="L110" s="146" t="e">
        <f t="shared" si="64"/>
        <v>#N/A</v>
      </c>
      <c r="M110" s="146" t="e">
        <f t="shared" si="64"/>
        <v>#N/A</v>
      </c>
      <c r="N110" s="146" t="e">
        <f t="shared" si="64"/>
        <v>#N/A</v>
      </c>
      <c r="O110" s="37"/>
      <c r="Q110" s="47"/>
      <c r="R110" s="403"/>
      <c r="S110" s="403"/>
      <c r="T110" s="403" t="s">
        <v>2789</v>
      </c>
      <c r="U110" s="403"/>
      <c r="V110" s="403"/>
      <c r="W110" s="403"/>
      <c r="X110" s="403"/>
      <c r="Y110" s="403"/>
      <c r="Z110" s="403"/>
      <c r="AA110" s="403"/>
      <c r="AB110" s="403"/>
      <c r="AC110" s="403"/>
      <c r="AD110" s="403"/>
      <c r="AE110" s="403"/>
      <c r="AF110" s="403"/>
      <c r="AG110" s="403"/>
      <c r="AH110" s="403"/>
      <c r="AI110" s="403"/>
      <c r="AJ110" s="403"/>
      <c r="AK110" s="403"/>
      <c r="AL110" s="403"/>
      <c r="AM110" s="403" t="s">
        <v>10325</v>
      </c>
      <c r="AN110" s="403"/>
      <c r="AO110" s="403"/>
      <c r="AP110" s="403"/>
      <c r="AQ110" s="403"/>
      <c r="AR110" s="403"/>
      <c r="AS110" s="403"/>
      <c r="AT110" s="403"/>
      <c r="AU110" s="403"/>
      <c r="AV110" s="403"/>
      <c r="AW110" s="403"/>
      <c r="AX110" s="403"/>
      <c r="AY110" s="403"/>
      <c r="AZ110" s="403"/>
      <c r="BA110" s="403"/>
      <c r="BB110" s="403"/>
      <c r="BC110" s="403"/>
      <c r="BD110" s="403"/>
      <c r="BE110" s="403"/>
      <c r="BF110" s="403" t="s">
        <v>10326</v>
      </c>
      <c r="BG110" s="403"/>
      <c r="BH110" s="403"/>
      <c r="BI110" s="403"/>
      <c r="BJ110" s="403"/>
      <c r="BK110" s="403"/>
      <c r="BL110" s="403"/>
      <c r="BM110" s="403"/>
      <c r="BN110" s="403"/>
      <c r="BO110" s="403"/>
      <c r="BP110" s="403"/>
      <c r="BQ110" s="403"/>
      <c r="BR110" s="403"/>
      <c r="BS110" s="403"/>
      <c r="BT110" s="403"/>
      <c r="BU110" s="403"/>
      <c r="BV110" s="403"/>
      <c r="BW110" s="403"/>
      <c r="BX110" s="403"/>
      <c r="BY110" s="403" t="s">
        <v>10327</v>
      </c>
      <c r="BZ110" s="403"/>
      <c r="CA110" s="403"/>
      <c r="CB110" s="403"/>
      <c r="CC110" s="403"/>
      <c r="CD110" s="403"/>
      <c r="CE110" s="403"/>
      <c r="CF110" s="403"/>
      <c r="CG110" s="403"/>
      <c r="CH110" s="403"/>
      <c r="CI110" s="403"/>
      <c r="CJ110" s="403"/>
      <c r="CK110" s="403"/>
      <c r="CL110" s="403"/>
      <c r="CM110" s="403"/>
      <c r="CN110" s="403"/>
      <c r="CO110" s="403"/>
      <c r="CP110" s="403"/>
      <c r="CQ110" s="403"/>
      <c r="CR110" s="403" t="s">
        <v>10327</v>
      </c>
      <c r="CS110" s="403"/>
      <c r="CT110" s="403"/>
      <c r="CU110" s="403"/>
      <c r="CV110" s="403"/>
      <c r="CW110" s="403"/>
      <c r="CX110" s="403"/>
      <c r="CY110" s="403"/>
      <c r="CZ110" s="403"/>
      <c r="DA110" s="403"/>
      <c r="DB110" s="403"/>
      <c r="DC110" s="403"/>
      <c r="DD110" s="403"/>
      <c r="DE110" s="403"/>
      <c r="DF110" s="403"/>
      <c r="DG110" s="403"/>
      <c r="DH110" s="403"/>
      <c r="DI110" s="403"/>
      <c r="DJ110" s="403"/>
      <c r="DK110" s="403" t="s">
        <v>10328</v>
      </c>
      <c r="DL110" s="403"/>
      <c r="DM110" s="403"/>
      <c r="DN110" s="403"/>
      <c r="DO110" s="403"/>
      <c r="DP110" s="403"/>
      <c r="DQ110" s="403"/>
      <c r="DR110" s="403"/>
      <c r="DS110" s="403"/>
      <c r="DT110" s="403"/>
      <c r="DU110" s="403"/>
      <c r="DV110" s="403"/>
      <c r="DW110" s="403"/>
      <c r="DX110" s="403"/>
      <c r="DY110" s="403"/>
      <c r="DZ110" s="403"/>
      <c r="EA110" s="403"/>
      <c r="EB110" s="403"/>
      <c r="EC110" s="403"/>
      <c r="ED110" s="403" t="s">
        <v>10329</v>
      </c>
      <c r="EE110" s="403"/>
      <c r="EF110" s="403"/>
      <c r="EG110" s="403"/>
      <c r="EH110" s="403"/>
      <c r="EI110" s="403"/>
      <c r="EJ110" s="403"/>
      <c r="EK110" s="403"/>
      <c r="EL110" s="403"/>
      <c r="EM110" s="403"/>
      <c r="EN110" s="403"/>
      <c r="EO110" s="403"/>
      <c r="EP110" s="403"/>
      <c r="EQ110" s="403"/>
      <c r="ER110" s="403"/>
      <c r="ES110" s="403"/>
    </row>
    <row r="111" spans="2:149" s="193" customFormat="1" x14ac:dyDescent="0.2">
      <c r="B111" s="6" t="str">
        <f t="shared" ca="1" si="62"/>
        <v>Billing Weight</v>
      </c>
      <c r="I111" s="146" t="e">
        <f>MAX(I103,I107)</f>
        <v>#N/A</v>
      </c>
      <c r="J111" s="146" t="e">
        <f t="shared" ref="J111:N111" si="65">MAX(J103,J107)</f>
        <v>#N/A</v>
      </c>
      <c r="K111" s="146" t="e">
        <f t="shared" si="65"/>
        <v>#N/A</v>
      </c>
      <c r="L111" s="146" t="e">
        <f t="shared" si="65"/>
        <v>#N/A</v>
      </c>
      <c r="M111" s="146" t="e">
        <f t="shared" si="65"/>
        <v>#N/A</v>
      </c>
      <c r="N111" s="146" t="e">
        <f t="shared" si="65"/>
        <v>#N/A</v>
      </c>
      <c r="O111" s="37"/>
      <c r="R111" s="403"/>
      <c r="S111" s="403"/>
      <c r="T111" s="403" t="s">
        <v>2791</v>
      </c>
      <c r="U111" s="403"/>
      <c r="V111" s="403"/>
      <c r="W111" s="403"/>
      <c r="X111" s="403"/>
      <c r="Y111" s="403"/>
      <c r="Z111" s="403"/>
      <c r="AA111" s="403"/>
      <c r="AB111" s="403"/>
      <c r="AC111" s="403"/>
      <c r="AD111" s="403"/>
      <c r="AE111" s="403"/>
      <c r="AF111" s="403"/>
      <c r="AG111" s="403"/>
      <c r="AH111" s="403"/>
      <c r="AI111" s="403"/>
      <c r="AJ111" s="403"/>
      <c r="AK111" s="403"/>
      <c r="AL111" s="403"/>
      <c r="AM111" s="403" t="s">
        <v>10330</v>
      </c>
      <c r="AN111" s="403"/>
      <c r="AO111" s="403"/>
      <c r="AP111" s="403"/>
      <c r="AQ111" s="403"/>
      <c r="AR111" s="403"/>
      <c r="AS111" s="403"/>
      <c r="AT111" s="403"/>
      <c r="AU111" s="403"/>
      <c r="AV111" s="403"/>
      <c r="AW111" s="403"/>
      <c r="AX111" s="403"/>
      <c r="AY111" s="403"/>
      <c r="AZ111" s="403"/>
      <c r="BA111" s="403"/>
      <c r="BB111" s="403"/>
      <c r="BC111" s="403"/>
      <c r="BD111" s="403"/>
      <c r="BE111" s="403"/>
      <c r="BF111" s="403" t="s">
        <v>10331</v>
      </c>
      <c r="BG111" s="403"/>
      <c r="BH111" s="403"/>
      <c r="BI111" s="403"/>
      <c r="BJ111" s="403"/>
      <c r="BK111" s="403"/>
      <c r="BL111" s="403"/>
      <c r="BM111" s="403"/>
      <c r="BN111" s="403"/>
      <c r="BO111" s="403"/>
      <c r="BP111" s="403"/>
      <c r="BQ111" s="403"/>
      <c r="BR111" s="403"/>
      <c r="BS111" s="403"/>
      <c r="BT111" s="403"/>
      <c r="BU111" s="403"/>
      <c r="BV111" s="403"/>
      <c r="BW111" s="403"/>
      <c r="BX111" s="403"/>
      <c r="BY111" s="403" t="s">
        <v>10332</v>
      </c>
      <c r="BZ111" s="403"/>
      <c r="CA111" s="403"/>
      <c r="CB111" s="403"/>
      <c r="CC111" s="403"/>
      <c r="CD111" s="403"/>
      <c r="CE111" s="403"/>
      <c r="CF111" s="403"/>
      <c r="CG111" s="403"/>
      <c r="CH111" s="403"/>
      <c r="CI111" s="403"/>
      <c r="CJ111" s="403"/>
      <c r="CK111" s="403"/>
      <c r="CL111" s="403"/>
      <c r="CM111" s="403"/>
      <c r="CN111" s="403"/>
      <c r="CO111" s="403"/>
      <c r="CP111" s="403"/>
      <c r="CQ111" s="403"/>
      <c r="CR111" s="403" t="s">
        <v>10333</v>
      </c>
      <c r="CS111" s="403"/>
      <c r="CT111" s="403"/>
      <c r="CU111" s="403"/>
      <c r="CV111" s="403"/>
      <c r="CW111" s="403"/>
      <c r="CX111" s="403"/>
      <c r="CY111" s="403"/>
      <c r="CZ111" s="403"/>
      <c r="DA111" s="403"/>
      <c r="DB111" s="403"/>
      <c r="DC111" s="403"/>
      <c r="DD111" s="403"/>
      <c r="DE111" s="403"/>
      <c r="DF111" s="403"/>
      <c r="DG111" s="403"/>
      <c r="DH111" s="403"/>
      <c r="DI111" s="403"/>
      <c r="DJ111" s="403"/>
      <c r="DK111" s="403" t="s">
        <v>10334</v>
      </c>
      <c r="DL111" s="403"/>
      <c r="DM111" s="403"/>
      <c r="DN111" s="403"/>
      <c r="DO111" s="403"/>
      <c r="DP111" s="403"/>
      <c r="DQ111" s="403"/>
      <c r="DR111" s="403"/>
      <c r="DS111" s="403"/>
      <c r="DT111" s="403"/>
      <c r="DU111" s="403"/>
      <c r="DV111" s="403"/>
      <c r="DW111" s="403"/>
      <c r="DX111" s="403"/>
      <c r="DY111" s="403"/>
      <c r="DZ111" s="403"/>
      <c r="EA111" s="403"/>
      <c r="EB111" s="403"/>
      <c r="EC111" s="403"/>
      <c r="ED111" s="403" t="s">
        <v>10335</v>
      </c>
      <c r="EE111" s="403"/>
      <c r="EF111" s="403"/>
      <c r="EG111" s="403"/>
      <c r="EH111" s="403"/>
      <c r="EI111" s="403"/>
      <c r="EJ111" s="403"/>
      <c r="EK111" s="403"/>
      <c r="EL111" s="403"/>
      <c r="EM111" s="403"/>
      <c r="EN111" s="403"/>
      <c r="EO111" s="403"/>
      <c r="EP111" s="403"/>
      <c r="EQ111" s="403"/>
      <c r="ER111" s="403"/>
      <c r="ES111" s="403"/>
    </row>
    <row r="112" spans="2:149" s="193" customFormat="1" x14ac:dyDescent="0.2">
      <c r="B112" s="6" t="str">
        <f t="shared" ca="1" si="62"/>
        <v>Billing Weight</v>
      </c>
      <c r="I112" s="146" t="e">
        <f t="shared" ref="I112:N112" si="66">MAX(I104,I108)</f>
        <v>#N/A</v>
      </c>
      <c r="J112" s="146" t="e">
        <f t="shared" si="66"/>
        <v>#N/A</v>
      </c>
      <c r="K112" s="146" t="e">
        <f t="shared" si="66"/>
        <v>#N/A</v>
      </c>
      <c r="L112" s="146" t="e">
        <f t="shared" si="66"/>
        <v>#N/A</v>
      </c>
      <c r="M112" s="146" t="e">
        <f t="shared" si="66"/>
        <v>#N/A</v>
      </c>
      <c r="N112" s="146" t="e">
        <f t="shared" si="66"/>
        <v>#N/A</v>
      </c>
      <c r="O112" s="37"/>
      <c r="R112" s="403"/>
      <c r="S112" s="403"/>
      <c r="T112" s="403" t="s">
        <v>2791</v>
      </c>
      <c r="U112" s="403"/>
      <c r="V112" s="403"/>
      <c r="W112" s="403"/>
      <c r="X112" s="403"/>
      <c r="Y112" s="403"/>
      <c r="Z112" s="403"/>
      <c r="AA112" s="403"/>
      <c r="AB112" s="403"/>
      <c r="AC112" s="403"/>
      <c r="AD112" s="403"/>
      <c r="AE112" s="403"/>
      <c r="AF112" s="403"/>
      <c r="AG112" s="403"/>
      <c r="AH112" s="403"/>
      <c r="AI112" s="403"/>
      <c r="AJ112" s="403"/>
      <c r="AK112" s="403"/>
      <c r="AL112" s="403"/>
      <c r="AM112" s="403" t="s">
        <v>10330</v>
      </c>
      <c r="AN112" s="403"/>
      <c r="AO112" s="403"/>
      <c r="AP112" s="403"/>
      <c r="AQ112" s="403"/>
      <c r="AR112" s="403"/>
      <c r="AS112" s="403"/>
      <c r="AT112" s="403"/>
      <c r="AU112" s="403"/>
      <c r="AV112" s="403"/>
      <c r="AW112" s="403"/>
      <c r="AX112" s="403"/>
      <c r="AY112" s="403"/>
      <c r="AZ112" s="403"/>
      <c r="BA112" s="403"/>
      <c r="BB112" s="403"/>
      <c r="BC112" s="403"/>
      <c r="BD112" s="403"/>
      <c r="BE112" s="403"/>
      <c r="BF112" s="403" t="s">
        <v>10331</v>
      </c>
      <c r="BG112" s="403"/>
      <c r="BH112" s="403"/>
      <c r="BI112" s="403"/>
      <c r="BJ112" s="403"/>
      <c r="BK112" s="403"/>
      <c r="BL112" s="403"/>
      <c r="BM112" s="403"/>
      <c r="BN112" s="403"/>
      <c r="BO112" s="403"/>
      <c r="BP112" s="403"/>
      <c r="BQ112" s="403"/>
      <c r="BR112" s="403"/>
      <c r="BS112" s="403"/>
      <c r="BT112" s="403"/>
      <c r="BU112" s="403"/>
      <c r="BV112" s="403"/>
      <c r="BW112" s="403"/>
      <c r="BX112" s="403"/>
      <c r="BY112" s="403" t="s">
        <v>10332</v>
      </c>
      <c r="BZ112" s="403"/>
      <c r="CA112" s="403"/>
      <c r="CB112" s="403"/>
      <c r="CC112" s="403"/>
      <c r="CD112" s="403"/>
      <c r="CE112" s="403"/>
      <c r="CF112" s="403"/>
      <c r="CG112" s="403"/>
      <c r="CH112" s="403"/>
      <c r="CI112" s="403"/>
      <c r="CJ112" s="403"/>
      <c r="CK112" s="403"/>
      <c r="CL112" s="403"/>
      <c r="CM112" s="403"/>
      <c r="CN112" s="403"/>
      <c r="CO112" s="403"/>
      <c r="CP112" s="403"/>
      <c r="CQ112" s="403"/>
      <c r="CR112" s="403" t="s">
        <v>10333</v>
      </c>
      <c r="CS112" s="403"/>
      <c r="CT112" s="403"/>
      <c r="CU112" s="403"/>
      <c r="CV112" s="403"/>
      <c r="CW112" s="403"/>
      <c r="CX112" s="403"/>
      <c r="CY112" s="403"/>
      <c r="CZ112" s="403"/>
      <c r="DA112" s="403"/>
      <c r="DB112" s="403"/>
      <c r="DC112" s="403"/>
      <c r="DD112" s="403"/>
      <c r="DE112" s="403"/>
      <c r="DF112" s="403"/>
      <c r="DG112" s="403"/>
      <c r="DH112" s="403"/>
      <c r="DI112" s="403"/>
      <c r="DJ112" s="403"/>
      <c r="DK112" s="403" t="s">
        <v>10334</v>
      </c>
      <c r="DL112" s="403"/>
      <c r="DM112" s="403"/>
      <c r="DN112" s="403"/>
      <c r="DO112" s="403"/>
      <c r="DP112" s="403"/>
      <c r="DQ112" s="403"/>
      <c r="DR112" s="403"/>
      <c r="DS112" s="403"/>
      <c r="DT112" s="403"/>
      <c r="DU112" s="403"/>
      <c r="DV112" s="403"/>
      <c r="DW112" s="403"/>
      <c r="DX112" s="403"/>
      <c r="DY112" s="403"/>
      <c r="DZ112" s="403"/>
      <c r="EA112" s="403"/>
      <c r="EB112" s="403"/>
      <c r="EC112" s="403"/>
      <c r="ED112" s="403" t="s">
        <v>10335</v>
      </c>
      <c r="EE112" s="403"/>
      <c r="EF112" s="403"/>
      <c r="EG112" s="403"/>
      <c r="EH112" s="403"/>
      <c r="EI112" s="403"/>
      <c r="EJ112" s="403"/>
      <c r="EK112" s="403"/>
      <c r="EL112" s="403"/>
      <c r="EM112" s="403"/>
      <c r="EN112" s="403"/>
      <c r="EO112" s="403"/>
      <c r="EP112" s="403"/>
      <c r="EQ112" s="403"/>
      <c r="ER112" s="403"/>
      <c r="ES112" s="403"/>
    </row>
    <row r="113" spans="1:149" s="193" customFormat="1" x14ac:dyDescent="0.2">
      <c r="B113" s="6" t="str">
        <f t="shared" ca="1" si="62"/>
        <v>Billing Weight</v>
      </c>
      <c r="I113" s="146" t="e">
        <f t="shared" ref="I113:N113" si="67">MAX(I105,I109)</f>
        <v>#N/A</v>
      </c>
      <c r="J113" s="146" t="e">
        <f t="shared" si="67"/>
        <v>#N/A</v>
      </c>
      <c r="K113" s="146" t="e">
        <f t="shared" si="67"/>
        <v>#N/A</v>
      </c>
      <c r="L113" s="146" t="e">
        <f t="shared" si="67"/>
        <v>#N/A</v>
      </c>
      <c r="M113" s="146" t="e">
        <f t="shared" si="67"/>
        <v>#N/A</v>
      </c>
      <c r="N113" s="146" t="e">
        <f t="shared" si="67"/>
        <v>#N/A</v>
      </c>
      <c r="O113" s="37"/>
      <c r="R113" s="403"/>
      <c r="S113" s="403"/>
      <c r="T113" s="403" t="s">
        <v>2791</v>
      </c>
      <c r="U113" s="403"/>
      <c r="V113" s="403"/>
      <c r="W113" s="403"/>
      <c r="X113" s="403"/>
      <c r="Y113" s="403"/>
      <c r="Z113" s="403"/>
      <c r="AA113" s="403"/>
      <c r="AB113" s="403"/>
      <c r="AC113" s="403"/>
      <c r="AD113" s="403"/>
      <c r="AE113" s="403"/>
      <c r="AF113" s="403"/>
      <c r="AG113" s="403"/>
      <c r="AH113" s="403"/>
      <c r="AI113" s="403"/>
      <c r="AJ113" s="403"/>
      <c r="AK113" s="403"/>
      <c r="AL113" s="403"/>
      <c r="AM113" s="403" t="s">
        <v>10330</v>
      </c>
      <c r="AN113" s="403"/>
      <c r="AO113" s="403"/>
      <c r="AP113" s="403"/>
      <c r="AQ113" s="403"/>
      <c r="AR113" s="403"/>
      <c r="AS113" s="403"/>
      <c r="AT113" s="403"/>
      <c r="AU113" s="403"/>
      <c r="AV113" s="403"/>
      <c r="AW113" s="403"/>
      <c r="AX113" s="403"/>
      <c r="AY113" s="403"/>
      <c r="AZ113" s="403"/>
      <c r="BA113" s="403"/>
      <c r="BB113" s="403"/>
      <c r="BC113" s="403"/>
      <c r="BD113" s="403"/>
      <c r="BE113" s="403"/>
      <c r="BF113" s="403" t="s">
        <v>10331</v>
      </c>
      <c r="BG113" s="403"/>
      <c r="BH113" s="403"/>
      <c r="BI113" s="403"/>
      <c r="BJ113" s="403"/>
      <c r="BK113" s="403"/>
      <c r="BL113" s="403"/>
      <c r="BM113" s="403"/>
      <c r="BN113" s="403"/>
      <c r="BO113" s="403"/>
      <c r="BP113" s="403"/>
      <c r="BQ113" s="403"/>
      <c r="BR113" s="403"/>
      <c r="BS113" s="403"/>
      <c r="BT113" s="403"/>
      <c r="BU113" s="403"/>
      <c r="BV113" s="403"/>
      <c r="BW113" s="403"/>
      <c r="BX113" s="403"/>
      <c r="BY113" s="403" t="s">
        <v>10332</v>
      </c>
      <c r="BZ113" s="403"/>
      <c r="CA113" s="403"/>
      <c r="CB113" s="403"/>
      <c r="CC113" s="403"/>
      <c r="CD113" s="403"/>
      <c r="CE113" s="403"/>
      <c r="CF113" s="403"/>
      <c r="CG113" s="403"/>
      <c r="CH113" s="403"/>
      <c r="CI113" s="403"/>
      <c r="CJ113" s="403"/>
      <c r="CK113" s="403"/>
      <c r="CL113" s="403"/>
      <c r="CM113" s="403"/>
      <c r="CN113" s="403"/>
      <c r="CO113" s="403"/>
      <c r="CP113" s="403"/>
      <c r="CQ113" s="403"/>
      <c r="CR113" s="403" t="s">
        <v>10333</v>
      </c>
      <c r="CS113" s="403"/>
      <c r="CT113" s="403"/>
      <c r="CU113" s="403"/>
      <c r="CV113" s="403"/>
      <c r="CW113" s="403"/>
      <c r="CX113" s="403"/>
      <c r="CY113" s="403"/>
      <c r="CZ113" s="403"/>
      <c r="DA113" s="403"/>
      <c r="DB113" s="403"/>
      <c r="DC113" s="403"/>
      <c r="DD113" s="403"/>
      <c r="DE113" s="403"/>
      <c r="DF113" s="403"/>
      <c r="DG113" s="403"/>
      <c r="DH113" s="403"/>
      <c r="DI113" s="403"/>
      <c r="DJ113" s="403"/>
      <c r="DK113" s="403" t="s">
        <v>10334</v>
      </c>
      <c r="DL113" s="403"/>
      <c r="DM113" s="403"/>
      <c r="DN113" s="403"/>
      <c r="DO113" s="403"/>
      <c r="DP113" s="403"/>
      <c r="DQ113" s="403"/>
      <c r="DR113" s="403"/>
      <c r="DS113" s="403"/>
      <c r="DT113" s="403"/>
      <c r="DU113" s="403"/>
      <c r="DV113" s="403"/>
      <c r="DW113" s="403"/>
      <c r="DX113" s="403"/>
      <c r="DY113" s="403"/>
      <c r="DZ113" s="403"/>
      <c r="EA113" s="403"/>
      <c r="EB113" s="403"/>
      <c r="EC113" s="403"/>
      <c r="ED113" s="403" t="s">
        <v>10335</v>
      </c>
      <c r="EE113" s="403"/>
      <c r="EF113" s="403"/>
      <c r="EG113" s="403"/>
      <c r="EH113" s="403"/>
      <c r="EI113" s="403"/>
      <c r="EJ113" s="403"/>
      <c r="EK113" s="403"/>
      <c r="EL113" s="403"/>
      <c r="EM113" s="403"/>
      <c r="EN113" s="403"/>
      <c r="EO113" s="403"/>
      <c r="EP113" s="403"/>
      <c r="EQ113" s="403"/>
      <c r="ER113" s="403"/>
      <c r="ES113" s="403"/>
    </row>
    <row r="114" spans="1:149" s="193" customFormat="1" x14ac:dyDescent="0.2">
      <c r="B114" s="6" t="str">
        <f t="shared" ca="1" si="62"/>
        <v>Billing Weight</v>
      </c>
      <c r="I114" s="146" t="e">
        <f t="shared" ref="I114:N114" si="68">MAX(I106,I110)</f>
        <v>#N/A</v>
      </c>
      <c r="J114" s="146" t="e">
        <f t="shared" si="68"/>
        <v>#N/A</v>
      </c>
      <c r="K114" s="146" t="e">
        <f t="shared" si="68"/>
        <v>#N/A</v>
      </c>
      <c r="L114" s="146" t="e">
        <f t="shared" si="68"/>
        <v>#N/A</v>
      </c>
      <c r="M114" s="146" t="e">
        <f t="shared" si="68"/>
        <v>#N/A</v>
      </c>
      <c r="N114" s="146" t="e">
        <f t="shared" si="68"/>
        <v>#N/A</v>
      </c>
      <c r="O114" s="37"/>
      <c r="Q114" s="47"/>
      <c r="R114" s="403"/>
      <c r="S114" s="403"/>
      <c r="T114" s="403" t="s">
        <v>2791</v>
      </c>
      <c r="U114" s="403"/>
      <c r="V114" s="403"/>
      <c r="W114" s="403"/>
      <c r="X114" s="403"/>
      <c r="Y114" s="403"/>
      <c r="Z114" s="403"/>
      <c r="AA114" s="403"/>
      <c r="AB114" s="403"/>
      <c r="AC114" s="403"/>
      <c r="AD114" s="403"/>
      <c r="AE114" s="403"/>
      <c r="AF114" s="403"/>
      <c r="AG114" s="403"/>
      <c r="AH114" s="403"/>
      <c r="AI114" s="403"/>
      <c r="AJ114" s="403"/>
      <c r="AK114" s="403"/>
      <c r="AL114" s="403"/>
      <c r="AM114" s="403" t="s">
        <v>10330</v>
      </c>
      <c r="AN114" s="403"/>
      <c r="AO114" s="403"/>
      <c r="AP114" s="403"/>
      <c r="AQ114" s="403"/>
      <c r="AR114" s="403"/>
      <c r="AS114" s="403"/>
      <c r="AT114" s="403"/>
      <c r="AU114" s="403"/>
      <c r="AV114" s="403"/>
      <c r="AW114" s="403"/>
      <c r="AX114" s="403"/>
      <c r="AY114" s="403"/>
      <c r="AZ114" s="403"/>
      <c r="BA114" s="403"/>
      <c r="BB114" s="403"/>
      <c r="BC114" s="403"/>
      <c r="BD114" s="403"/>
      <c r="BE114" s="403"/>
      <c r="BF114" s="403" t="s">
        <v>10331</v>
      </c>
      <c r="BG114" s="403"/>
      <c r="BH114" s="403"/>
      <c r="BI114" s="403"/>
      <c r="BJ114" s="403"/>
      <c r="BK114" s="403"/>
      <c r="BL114" s="403"/>
      <c r="BM114" s="403"/>
      <c r="BN114" s="403"/>
      <c r="BO114" s="403"/>
      <c r="BP114" s="403"/>
      <c r="BQ114" s="403"/>
      <c r="BR114" s="403"/>
      <c r="BS114" s="403"/>
      <c r="BT114" s="403"/>
      <c r="BU114" s="403"/>
      <c r="BV114" s="403"/>
      <c r="BW114" s="403"/>
      <c r="BX114" s="403"/>
      <c r="BY114" s="403" t="s">
        <v>10332</v>
      </c>
      <c r="BZ114" s="403"/>
      <c r="CA114" s="403"/>
      <c r="CB114" s="403"/>
      <c r="CC114" s="403"/>
      <c r="CD114" s="403"/>
      <c r="CE114" s="403"/>
      <c r="CF114" s="403"/>
      <c r="CG114" s="403"/>
      <c r="CH114" s="403"/>
      <c r="CI114" s="403"/>
      <c r="CJ114" s="403"/>
      <c r="CK114" s="403"/>
      <c r="CL114" s="403"/>
      <c r="CM114" s="403"/>
      <c r="CN114" s="403"/>
      <c r="CO114" s="403"/>
      <c r="CP114" s="403"/>
      <c r="CQ114" s="403"/>
      <c r="CR114" s="403" t="s">
        <v>10333</v>
      </c>
      <c r="CS114" s="403"/>
      <c r="CT114" s="403"/>
      <c r="CU114" s="403"/>
      <c r="CV114" s="403"/>
      <c r="CW114" s="403"/>
      <c r="CX114" s="403"/>
      <c r="CY114" s="403"/>
      <c r="CZ114" s="403"/>
      <c r="DA114" s="403"/>
      <c r="DB114" s="403"/>
      <c r="DC114" s="403"/>
      <c r="DD114" s="403"/>
      <c r="DE114" s="403"/>
      <c r="DF114" s="403"/>
      <c r="DG114" s="403"/>
      <c r="DH114" s="403"/>
      <c r="DI114" s="403"/>
      <c r="DJ114" s="403"/>
      <c r="DK114" s="403" t="s">
        <v>10334</v>
      </c>
      <c r="DL114" s="403"/>
      <c r="DM114" s="403"/>
      <c r="DN114" s="403"/>
      <c r="DO114" s="403"/>
      <c r="DP114" s="403"/>
      <c r="DQ114" s="403"/>
      <c r="DR114" s="403"/>
      <c r="DS114" s="403"/>
      <c r="DT114" s="403"/>
      <c r="DU114" s="403"/>
      <c r="DV114" s="403"/>
      <c r="DW114" s="403"/>
      <c r="DX114" s="403"/>
      <c r="DY114" s="403"/>
      <c r="DZ114" s="403"/>
      <c r="EA114" s="403"/>
      <c r="EB114" s="403"/>
      <c r="EC114" s="403"/>
      <c r="ED114" s="403" t="s">
        <v>10335</v>
      </c>
      <c r="EE114" s="403"/>
      <c r="EF114" s="403"/>
      <c r="EG114" s="403"/>
      <c r="EH114" s="403"/>
      <c r="EI114" s="403"/>
      <c r="EJ114" s="403"/>
      <c r="EK114" s="403"/>
      <c r="EL114" s="403"/>
      <c r="EM114" s="403"/>
      <c r="EN114" s="403"/>
      <c r="EO114" s="403"/>
      <c r="EP114" s="403"/>
      <c r="EQ114" s="403"/>
      <c r="ER114" s="403"/>
      <c r="ES114" s="403"/>
    </row>
    <row r="115" spans="1:149" s="193" customFormat="1" x14ac:dyDescent="0.2">
      <c r="B115" s="6" t="str">
        <f t="shared" ca="1" si="62"/>
        <v>Shipping Costs per Shipment</v>
      </c>
      <c r="I115" s="37" t="e">
        <f t="shared" ref="I115:N118" si="69">IF(I111&lt;=100,I111*Shipping_perkg_first100,(Shipping_perkg_first100*100)+((I111-100)*Shipping_perkg_above100))</f>
        <v>#N/A</v>
      </c>
      <c r="J115" s="37" t="e">
        <f t="shared" si="69"/>
        <v>#N/A</v>
      </c>
      <c r="K115" s="37" t="e">
        <f t="shared" si="69"/>
        <v>#N/A</v>
      </c>
      <c r="L115" s="37" t="e">
        <f t="shared" si="69"/>
        <v>#N/A</v>
      </c>
      <c r="M115" s="37" t="e">
        <f t="shared" si="69"/>
        <v>#N/A</v>
      </c>
      <c r="N115" s="37" t="e">
        <f t="shared" si="69"/>
        <v>#N/A</v>
      </c>
      <c r="O115" s="37"/>
      <c r="R115" s="403"/>
      <c r="S115" s="403"/>
      <c r="T115" s="403" t="s">
        <v>2792</v>
      </c>
      <c r="U115" s="403"/>
      <c r="V115" s="403"/>
      <c r="W115" s="403"/>
      <c r="X115" s="403"/>
      <c r="Y115" s="403"/>
      <c r="Z115" s="403"/>
      <c r="AA115" s="403"/>
      <c r="AB115" s="403"/>
      <c r="AC115" s="403"/>
      <c r="AD115" s="403"/>
      <c r="AE115" s="403"/>
      <c r="AF115" s="403"/>
      <c r="AG115" s="403"/>
      <c r="AH115" s="403"/>
      <c r="AI115" s="403"/>
      <c r="AJ115" s="403"/>
      <c r="AK115" s="403"/>
      <c r="AL115" s="403"/>
      <c r="AM115" s="403" t="s">
        <v>10336</v>
      </c>
      <c r="AN115" s="403"/>
      <c r="AO115" s="403"/>
      <c r="AP115" s="403"/>
      <c r="AQ115" s="403"/>
      <c r="AR115" s="403"/>
      <c r="AS115" s="403"/>
      <c r="AT115" s="403"/>
      <c r="AU115" s="403"/>
      <c r="AV115" s="403"/>
      <c r="AW115" s="403"/>
      <c r="AX115" s="403"/>
      <c r="AY115" s="403"/>
      <c r="AZ115" s="403"/>
      <c r="BA115" s="403"/>
      <c r="BB115" s="403"/>
      <c r="BC115" s="403"/>
      <c r="BD115" s="403"/>
      <c r="BE115" s="403"/>
      <c r="BF115" s="403" t="s">
        <v>10337</v>
      </c>
      <c r="BG115" s="403"/>
      <c r="BH115" s="403"/>
      <c r="BI115" s="403"/>
      <c r="BJ115" s="403"/>
      <c r="BK115" s="403"/>
      <c r="BL115" s="403"/>
      <c r="BM115" s="403"/>
      <c r="BN115" s="403"/>
      <c r="BO115" s="403"/>
      <c r="BP115" s="403"/>
      <c r="BQ115" s="403"/>
      <c r="BR115" s="403"/>
      <c r="BS115" s="403"/>
      <c r="BT115" s="403"/>
      <c r="BU115" s="403"/>
      <c r="BV115" s="403"/>
      <c r="BW115" s="403"/>
      <c r="BX115" s="403"/>
      <c r="BY115" s="403" t="s">
        <v>10338</v>
      </c>
      <c r="BZ115" s="403"/>
      <c r="CA115" s="403"/>
      <c r="CB115" s="403"/>
      <c r="CC115" s="403"/>
      <c r="CD115" s="403"/>
      <c r="CE115" s="403"/>
      <c r="CF115" s="403"/>
      <c r="CG115" s="403"/>
      <c r="CH115" s="403"/>
      <c r="CI115" s="403"/>
      <c r="CJ115" s="403"/>
      <c r="CK115" s="403"/>
      <c r="CL115" s="403"/>
      <c r="CM115" s="403"/>
      <c r="CN115" s="403"/>
      <c r="CO115" s="403"/>
      <c r="CP115" s="403"/>
      <c r="CQ115" s="403"/>
      <c r="CR115" s="403" t="s">
        <v>10339</v>
      </c>
      <c r="CS115" s="403"/>
      <c r="CT115" s="403"/>
      <c r="CU115" s="403"/>
      <c r="CV115" s="403"/>
      <c r="CW115" s="403"/>
      <c r="CX115" s="403"/>
      <c r="CY115" s="403"/>
      <c r="CZ115" s="403"/>
      <c r="DA115" s="403"/>
      <c r="DB115" s="403"/>
      <c r="DC115" s="403"/>
      <c r="DD115" s="403"/>
      <c r="DE115" s="403"/>
      <c r="DF115" s="403"/>
      <c r="DG115" s="403"/>
      <c r="DH115" s="403"/>
      <c r="DI115" s="403"/>
      <c r="DJ115" s="403"/>
      <c r="DK115" s="403" t="s">
        <v>10340</v>
      </c>
      <c r="DL115" s="403"/>
      <c r="DM115" s="403"/>
      <c r="DN115" s="403"/>
      <c r="DO115" s="403"/>
      <c r="DP115" s="403"/>
      <c r="DQ115" s="403"/>
      <c r="DR115" s="403"/>
      <c r="DS115" s="403"/>
      <c r="DT115" s="403"/>
      <c r="DU115" s="403"/>
      <c r="DV115" s="403"/>
      <c r="DW115" s="403"/>
      <c r="DX115" s="403"/>
      <c r="DY115" s="403"/>
      <c r="DZ115" s="403"/>
      <c r="EA115" s="403"/>
      <c r="EB115" s="403"/>
      <c r="EC115" s="403"/>
      <c r="ED115" s="403" t="s">
        <v>10341</v>
      </c>
      <c r="EE115" s="403"/>
      <c r="EF115" s="403"/>
      <c r="EG115" s="403"/>
      <c r="EH115" s="403"/>
      <c r="EI115" s="403"/>
      <c r="EJ115" s="403"/>
      <c r="EK115" s="403"/>
      <c r="EL115" s="403"/>
      <c r="EM115" s="403"/>
      <c r="EN115" s="403"/>
      <c r="EO115" s="403"/>
      <c r="EP115" s="403"/>
      <c r="EQ115" s="403"/>
      <c r="ER115" s="403"/>
      <c r="ES115" s="403"/>
    </row>
    <row r="116" spans="1:149" s="193" customFormat="1" x14ac:dyDescent="0.2">
      <c r="B116" s="6" t="str">
        <f t="shared" ca="1" si="62"/>
        <v>Shipping Costs per Shipment</v>
      </c>
      <c r="I116" s="37" t="e">
        <f t="shared" si="69"/>
        <v>#N/A</v>
      </c>
      <c r="J116" s="37" t="e">
        <f t="shared" si="69"/>
        <v>#N/A</v>
      </c>
      <c r="K116" s="37" t="e">
        <f t="shared" si="69"/>
        <v>#N/A</v>
      </c>
      <c r="L116" s="37" t="e">
        <f t="shared" si="69"/>
        <v>#N/A</v>
      </c>
      <c r="M116" s="37" t="e">
        <f t="shared" si="69"/>
        <v>#N/A</v>
      </c>
      <c r="N116" s="37" t="e">
        <f t="shared" si="69"/>
        <v>#N/A</v>
      </c>
      <c r="O116" s="37"/>
      <c r="R116" s="403"/>
      <c r="S116" s="403"/>
      <c r="T116" s="403" t="s">
        <v>2792</v>
      </c>
      <c r="U116" s="403"/>
      <c r="V116" s="403"/>
      <c r="W116" s="403"/>
      <c r="X116" s="403"/>
      <c r="Y116" s="403"/>
      <c r="Z116" s="403"/>
      <c r="AA116" s="403"/>
      <c r="AB116" s="403"/>
      <c r="AC116" s="403"/>
      <c r="AD116" s="403"/>
      <c r="AE116" s="403"/>
      <c r="AF116" s="403"/>
      <c r="AG116" s="403"/>
      <c r="AH116" s="403"/>
      <c r="AI116" s="403"/>
      <c r="AJ116" s="403"/>
      <c r="AK116" s="403"/>
      <c r="AL116" s="403"/>
      <c r="AM116" s="403" t="s">
        <v>10336</v>
      </c>
      <c r="AN116" s="403"/>
      <c r="AO116" s="403"/>
      <c r="AP116" s="403"/>
      <c r="AQ116" s="403"/>
      <c r="AR116" s="403"/>
      <c r="AS116" s="403"/>
      <c r="AT116" s="403"/>
      <c r="AU116" s="403"/>
      <c r="AV116" s="403"/>
      <c r="AW116" s="403"/>
      <c r="AX116" s="403"/>
      <c r="AY116" s="403"/>
      <c r="AZ116" s="403"/>
      <c r="BA116" s="403"/>
      <c r="BB116" s="403"/>
      <c r="BC116" s="403"/>
      <c r="BD116" s="403"/>
      <c r="BE116" s="403"/>
      <c r="BF116" s="403" t="s">
        <v>10337</v>
      </c>
      <c r="BG116" s="403"/>
      <c r="BH116" s="403"/>
      <c r="BI116" s="403"/>
      <c r="BJ116" s="403"/>
      <c r="BK116" s="403"/>
      <c r="BL116" s="403"/>
      <c r="BM116" s="403"/>
      <c r="BN116" s="403"/>
      <c r="BO116" s="403"/>
      <c r="BP116" s="403"/>
      <c r="BQ116" s="403"/>
      <c r="BR116" s="403"/>
      <c r="BS116" s="403"/>
      <c r="BT116" s="403"/>
      <c r="BU116" s="403"/>
      <c r="BV116" s="403"/>
      <c r="BW116" s="403"/>
      <c r="BX116" s="403"/>
      <c r="BY116" s="403" t="s">
        <v>10338</v>
      </c>
      <c r="BZ116" s="403"/>
      <c r="CA116" s="403"/>
      <c r="CB116" s="403"/>
      <c r="CC116" s="403"/>
      <c r="CD116" s="403"/>
      <c r="CE116" s="403"/>
      <c r="CF116" s="403"/>
      <c r="CG116" s="403"/>
      <c r="CH116" s="403"/>
      <c r="CI116" s="403"/>
      <c r="CJ116" s="403"/>
      <c r="CK116" s="403"/>
      <c r="CL116" s="403"/>
      <c r="CM116" s="403"/>
      <c r="CN116" s="403"/>
      <c r="CO116" s="403"/>
      <c r="CP116" s="403"/>
      <c r="CQ116" s="403"/>
      <c r="CR116" s="403" t="s">
        <v>10339</v>
      </c>
      <c r="CS116" s="403"/>
      <c r="CT116" s="403"/>
      <c r="CU116" s="403"/>
      <c r="CV116" s="403"/>
      <c r="CW116" s="403"/>
      <c r="CX116" s="403"/>
      <c r="CY116" s="403"/>
      <c r="CZ116" s="403"/>
      <c r="DA116" s="403"/>
      <c r="DB116" s="403"/>
      <c r="DC116" s="403"/>
      <c r="DD116" s="403"/>
      <c r="DE116" s="403"/>
      <c r="DF116" s="403"/>
      <c r="DG116" s="403"/>
      <c r="DH116" s="403"/>
      <c r="DI116" s="403"/>
      <c r="DJ116" s="403"/>
      <c r="DK116" s="403" t="s">
        <v>10340</v>
      </c>
      <c r="DL116" s="403"/>
      <c r="DM116" s="403"/>
      <c r="DN116" s="403"/>
      <c r="DO116" s="403"/>
      <c r="DP116" s="403"/>
      <c r="DQ116" s="403"/>
      <c r="DR116" s="403"/>
      <c r="DS116" s="403"/>
      <c r="DT116" s="403"/>
      <c r="DU116" s="403"/>
      <c r="DV116" s="403"/>
      <c r="DW116" s="403"/>
      <c r="DX116" s="403"/>
      <c r="DY116" s="403"/>
      <c r="DZ116" s="403"/>
      <c r="EA116" s="403"/>
      <c r="EB116" s="403"/>
      <c r="EC116" s="403"/>
      <c r="ED116" s="403" t="s">
        <v>10341</v>
      </c>
      <c r="EE116" s="403"/>
      <c r="EF116" s="403"/>
      <c r="EG116" s="403"/>
      <c r="EH116" s="403"/>
      <c r="EI116" s="403"/>
      <c r="EJ116" s="403"/>
      <c r="EK116" s="403"/>
      <c r="EL116" s="403"/>
      <c r="EM116" s="403"/>
      <c r="EN116" s="403"/>
      <c r="EO116" s="403"/>
      <c r="EP116" s="403"/>
      <c r="EQ116" s="403"/>
      <c r="ER116" s="403"/>
      <c r="ES116" s="403"/>
    </row>
    <row r="117" spans="1:149" s="193" customFormat="1" x14ac:dyDescent="0.2">
      <c r="B117" s="6" t="str">
        <f t="shared" ca="1" si="62"/>
        <v>Shipping Costs per Shipment</v>
      </c>
      <c r="I117" s="37" t="e">
        <f t="shared" si="69"/>
        <v>#N/A</v>
      </c>
      <c r="J117" s="37" t="e">
        <f t="shared" si="69"/>
        <v>#N/A</v>
      </c>
      <c r="K117" s="37" t="e">
        <f t="shared" si="69"/>
        <v>#N/A</v>
      </c>
      <c r="L117" s="37" t="e">
        <f t="shared" si="69"/>
        <v>#N/A</v>
      </c>
      <c r="M117" s="37" t="e">
        <f t="shared" si="69"/>
        <v>#N/A</v>
      </c>
      <c r="N117" s="37" t="e">
        <f t="shared" si="69"/>
        <v>#N/A</v>
      </c>
      <c r="O117" s="37"/>
      <c r="R117" s="403"/>
      <c r="S117" s="403"/>
      <c r="T117" s="403" t="s">
        <v>2792</v>
      </c>
      <c r="U117" s="403"/>
      <c r="V117" s="403"/>
      <c r="W117" s="403"/>
      <c r="X117" s="403"/>
      <c r="Y117" s="403"/>
      <c r="Z117" s="403"/>
      <c r="AA117" s="403"/>
      <c r="AB117" s="403"/>
      <c r="AC117" s="403"/>
      <c r="AD117" s="403"/>
      <c r="AE117" s="403"/>
      <c r="AF117" s="403"/>
      <c r="AG117" s="403"/>
      <c r="AH117" s="403"/>
      <c r="AI117" s="403"/>
      <c r="AJ117" s="403"/>
      <c r="AK117" s="403"/>
      <c r="AL117" s="403"/>
      <c r="AM117" s="403" t="s">
        <v>10336</v>
      </c>
      <c r="AN117" s="403"/>
      <c r="AO117" s="403"/>
      <c r="AP117" s="403"/>
      <c r="AQ117" s="403"/>
      <c r="AR117" s="403"/>
      <c r="AS117" s="403"/>
      <c r="AT117" s="403"/>
      <c r="AU117" s="403"/>
      <c r="AV117" s="403"/>
      <c r="AW117" s="403"/>
      <c r="AX117" s="403"/>
      <c r="AY117" s="403"/>
      <c r="AZ117" s="403"/>
      <c r="BA117" s="403"/>
      <c r="BB117" s="403"/>
      <c r="BC117" s="403"/>
      <c r="BD117" s="403"/>
      <c r="BE117" s="403"/>
      <c r="BF117" s="403" t="s">
        <v>10337</v>
      </c>
      <c r="BG117" s="403"/>
      <c r="BH117" s="403"/>
      <c r="BI117" s="403"/>
      <c r="BJ117" s="403"/>
      <c r="BK117" s="403"/>
      <c r="BL117" s="403"/>
      <c r="BM117" s="403"/>
      <c r="BN117" s="403"/>
      <c r="BO117" s="403"/>
      <c r="BP117" s="403"/>
      <c r="BQ117" s="403"/>
      <c r="BR117" s="403"/>
      <c r="BS117" s="403"/>
      <c r="BT117" s="403"/>
      <c r="BU117" s="403"/>
      <c r="BV117" s="403"/>
      <c r="BW117" s="403"/>
      <c r="BX117" s="403"/>
      <c r="BY117" s="403" t="s">
        <v>10338</v>
      </c>
      <c r="BZ117" s="403"/>
      <c r="CA117" s="403"/>
      <c r="CB117" s="403"/>
      <c r="CC117" s="403"/>
      <c r="CD117" s="403"/>
      <c r="CE117" s="403"/>
      <c r="CF117" s="403"/>
      <c r="CG117" s="403"/>
      <c r="CH117" s="403"/>
      <c r="CI117" s="403"/>
      <c r="CJ117" s="403"/>
      <c r="CK117" s="403"/>
      <c r="CL117" s="403"/>
      <c r="CM117" s="403"/>
      <c r="CN117" s="403"/>
      <c r="CO117" s="403"/>
      <c r="CP117" s="403"/>
      <c r="CQ117" s="403"/>
      <c r="CR117" s="403" t="s">
        <v>10339</v>
      </c>
      <c r="CS117" s="403"/>
      <c r="CT117" s="403"/>
      <c r="CU117" s="403"/>
      <c r="CV117" s="403"/>
      <c r="CW117" s="403"/>
      <c r="CX117" s="403"/>
      <c r="CY117" s="403"/>
      <c r="CZ117" s="403"/>
      <c r="DA117" s="403"/>
      <c r="DB117" s="403"/>
      <c r="DC117" s="403"/>
      <c r="DD117" s="403"/>
      <c r="DE117" s="403"/>
      <c r="DF117" s="403"/>
      <c r="DG117" s="403"/>
      <c r="DH117" s="403"/>
      <c r="DI117" s="403"/>
      <c r="DJ117" s="403"/>
      <c r="DK117" s="403" t="s">
        <v>10340</v>
      </c>
      <c r="DL117" s="403"/>
      <c r="DM117" s="403"/>
      <c r="DN117" s="403"/>
      <c r="DO117" s="403"/>
      <c r="DP117" s="403"/>
      <c r="DQ117" s="403"/>
      <c r="DR117" s="403"/>
      <c r="DS117" s="403"/>
      <c r="DT117" s="403"/>
      <c r="DU117" s="403"/>
      <c r="DV117" s="403"/>
      <c r="DW117" s="403"/>
      <c r="DX117" s="403"/>
      <c r="DY117" s="403"/>
      <c r="DZ117" s="403"/>
      <c r="EA117" s="403"/>
      <c r="EB117" s="403"/>
      <c r="EC117" s="403"/>
      <c r="ED117" s="403" t="s">
        <v>10341</v>
      </c>
      <c r="EE117" s="403"/>
      <c r="EF117" s="403"/>
      <c r="EG117" s="403"/>
      <c r="EH117" s="403"/>
      <c r="EI117" s="403"/>
      <c r="EJ117" s="403"/>
      <c r="EK117" s="403"/>
      <c r="EL117" s="403"/>
      <c r="EM117" s="403"/>
      <c r="EN117" s="403"/>
      <c r="EO117" s="403"/>
      <c r="EP117" s="403"/>
      <c r="EQ117" s="403"/>
      <c r="ER117" s="403"/>
      <c r="ES117" s="403"/>
    </row>
    <row r="118" spans="1:149" s="193" customFormat="1" x14ac:dyDescent="0.2">
      <c r="B118" s="6" t="str">
        <f t="shared" ca="1" si="62"/>
        <v>Shipping Costs per Shipment</v>
      </c>
      <c r="I118" s="37" t="e">
        <f t="shared" si="69"/>
        <v>#N/A</v>
      </c>
      <c r="J118" s="37" t="e">
        <f t="shared" si="69"/>
        <v>#N/A</v>
      </c>
      <c r="K118" s="37" t="e">
        <f t="shared" si="69"/>
        <v>#N/A</v>
      </c>
      <c r="L118" s="37" t="e">
        <f t="shared" si="69"/>
        <v>#N/A</v>
      </c>
      <c r="M118" s="37" t="e">
        <f t="shared" si="69"/>
        <v>#N/A</v>
      </c>
      <c r="N118" s="37" t="e">
        <f t="shared" si="69"/>
        <v>#N/A</v>
      </c>
      <c r="O118" s="37"/>
      <c r="Q118" s="47"/>
      <c r="R118" s="403"/>
      <c r="S118" s="403"/>
      <c r="T118" s="403" t="s">
        <v>2792</v>
      </c>
      <c r="U118" s="403"/>
      <c r="V118" s="403"/>
      <c r="W118" s="403"/>
      <c r="X118" s="403"/>
      <c r="Y118" s="403"/>
      <c r="Z118" s="403"/>
      <c r="AA118" s="403"/>
      <c r="AB118" s="403"/>
      <c r="AC118" s="403"/>
      <c r="AD118" s="403"/>
      <c r="AE118" s="403"/>
      <c r="AF118" s="403"/>
      <c r="AG118" s="403"/>
      <c r="AH118" s="403"/>
      <c r="AI118" s="403"/>
      <c r="AJ118" s="403"/>
      <c r="AK118" s="403"/>
      <c r="AL118" s="403"/>
      <c r="AM118" s="403" t="s">
        <v>10336</v>
      </c>
      <c r="AN118" s="403"/>
      <c r="AO118" s="403"/>
      <c r="AP118" s="403"/>
      <c r="AQ118" s="403"/>
      <c r="AR118" s="403"/>
      <c r="AS118" s="403"/>
      <c r="AT118" s="403"/>
      <c r="AU118" s="403"/>
      <c r="AV118" s="403"/>
      <c r="AW118" s="403"/>
      <c r="AX118" s="403"/>
      <c r="AY118" s="403"/>
      <c r="AZ118" s="403"/>
      <c r="BA118" s="403"/>
      <c r="BB118" s="403"/>
      <c r="BC118" s="403"/>
      <c r="BD118" s="403"/>
      <c r="BE118" s="403"/>
      <c r="BF118" s="403" t="s">
        <v>10337</v>
      </c>
      <c r="BG118" s="403"/>
      <c r="BH118" s="403"/>
      <c r="BI118" s="403"/>
      <c r="BJ118" s="403"/>
      <c r="BK118" s="403"/>
      <c r="BL118" s="403"/>
      <c r="BM118" s="403"/>
      <c r="BN118" s="403"/>
      <c r="BO118" s="403"/>
      <c r="BP118" s="403"/>
      <c r="BQ118" s="403"/>
      <c r="BR118" s="403"/>
      <c r="BS118" s="403"/>
      <c r="BT118" s="403"/>
      <c r="BU118" s="403"/>
      <c r="BV118" s="403"/>
      <c r="BW118" s="403"/>
      <c r="BX118" s="403"/>
      <c r="BY118" s="403" t="s">
        <v>10338</v>
      </c>
      <c r="BZ118" s="403"/>
      <c r="CA118" s="403"/>
      <c r="CB118" s="403"/>
      <c r="CC118" s="403"/>
      <c r="CD118" s="403"/>
      <c r="CE118" s="403"/>
      <c r="CF118" s="403"/>
      <c r="CG118" s="403"/>
      <c r="CH118" s="403"/>
      <c r="CI118" s="403"/>
      <c r="CJ118" s="403"/>
      <c r="CK118" s="403"/>
      <c r="CL118" s="403"/>
      <c r="CM118" s="403"/>
      <c r="CN118" s="403"/>
      <c r="CO118" s="403"/>
      <c r="CP118" s="403"/>
      <c r="CQ118" s="403"/>
      <c r="CR118" s="403" t="s">
        <v>10339</v>
      </c>
      <c r="CS118" s="403"/>
      <c r="CT118" s="403"/>
      <c r="CU118" s="403"/>
      <c r="CV118" s="403"/>
      <c r="CW118" s="403"/>
      <c r="CX118" s="403"/>
      <c r="CY118" s="403"/>
      <c r="CZ118" s="403"/>
      <c r="DA118" s="403"/>
      <c r="DB118" s="403"/>
      <c r="DC118" s="403"/>
      <c r="DD118" s="403"/>
      <c r="DE118" s="403"/>
      <c r="DF118" s="403"/>
      <c r="DG118" s="403"/>
      <c r="DH118" s="403"/>
      <c r="DI118" s="403"/>
      <c r="DJ118" s="403"/>
      <c r="DK118" s="403" t="s">
        <v>10340</v>
      </c>
      <c r="DL118" s="403"/>
      <c r="DM118" s="403"/>
      <c r="DN118" s="403"/>
      <c r="DO118" s="403"/>
      <c r="DP118" s="403"/>
      <c r="DQ118" s="403"/>
      <c r="DR118" s="403"/>
      <c r="DS118" s="403"/>
      <c r="DT118" s="403"/>
      <c r="DU118" s="403"/>
      <c r="DV118" s="403"/>
      <c r="DW118" s="403"/>
      <c r="DX118" s="403"/>
      <c r="DY118" s="403"/>
      <c r="DZ118" s="403"/>
      <c r="EA118" s="403"/>
      <c r="EB118" s="403"/>
      <c r="EC118" s="403"/>
      <c r="ED118" s="403" t="s">
        <v>10341</v>
      </c>
      <c r="EE118" s="403"/>
      <c r="EF118" s="403"/>
      <c r="EG118" s="403"/>
      <c r="EH118" s="403"/>
      <c r="EI118" s="403"/>
      <c r="EJ118" s="403"/>
      <c r="EK118" s="403"/>
      <c r="EL118" s="403"/>
      <c r="EM118" s="403"/>
      <c r="EN118" s="403"/>
      <c r="EO118" s="403"/>
      <c r="EP118" s="403"/>
      <c r="EQ118" s="403"/>
      <c r="ER118" s="403"/>
      <c r="ES118" s="403"/>
    </row>
    <row r="119" spans="1:149" s="193" customFormat="1" x14ac:dyDescent="0.2">
      <c r="B119" s="5" t="str">
        <f t="shared" ca="1" si="62"/>
        <v>Shipping Costs per Shipment (all vaccine types)</v>
      </c>
      <c r="I119" s="37" t="e">
        <f>SUM(I115:I118)</f>
        <v>#N/A</v>
      </c>
      <c r="J119" s="37" t="e">
        <f t="shared" ref="J119:N119" si="70">SUM(J115:J118)</f>
        <v>#N/A</v>
      </c>
      <c r="K119" s="37" t="e">
        <f t="shared" si="70"/>
        <v>#N/A</v>
      </c>
      <c r="L119" s="37" t="e">
        <f t="shared" si="70"/>
        <v>#N/A</v>
      </c>
      <c r="M119" s="37" t="e">
        <f t="shared" si="70"/>
        <v>#N/A</v>
      </c>
      <c r="N119" s="37" t="e">
        <f t="shared" si="70"/>
        <v>#N/A</v>
      </c>
      <c r="O119" s="37"/>
      <c r="R119" s="403"/>
      <c r="S119" s="403"/>
      <c r="T119" s="403" t="s">
        <v>2796</v>
      </c>
      <c r="U119" s="403"/>
      <c r="V119" s="403"/>
      <c r="W119" s="403"/>
      <c r="X119" s="403"/>
      <c r="Y119" s="403"/>
      <c r="Z119" s="403"/>
      <c r="AA119" s="403"/>
      <c r="AB119" s="403"/>
      <c r="AC119" s="403"/>
      <c r="AD119" s="403"/>
      <c r="AE119" s="403"/>
      <c r="AF119" s="403"/>
      <c r="AG119" s="403"/>
      <c r="AH119" s="403"/>
      <c r="AI119" s="403"/>
      <c r="AJ119" s="403"/>
      <c r="AK119" s="403"/>
      <c r="AL119" s="403"/>
      <c r="AM119" s="403" t="s">
        <v>10365</v>
      </c>
      <c r="AN119" s="403"/>
      <c r="AO119" s="403"/>
      <c r="AP119" s="403"/>
      <c r="AQ119" s="403"/>
      <c r="AR119" s="403"/>
      <c r="AS119" s="403"/>
      <c r="AT119" s="403"/>
      <c r="AU119" s="403"/>
      <c r="AV119" s="403"/>
      <c r="AW119" s="403"/>
      <c r="AX119" s="403"/>
      <c r="AY119" s="403"/>
      <c r="AZ119" s="403"/>
      <c r="BA119" s="403"/>
      <c r="BB119" s="403"/>
      <c r="BC119" s="403"/>
      <c r="BD119" s="403"/>
      <c r="BE119" s="403"/>
      <c r="BF119" s="403" t="s">
        <v>10366</v>
      </c>
      <c r="BG119" s="403"/>
      <c r="BH119" s="403"/>
      <c r="BI119" s="403"/>
      <c r="BJ119" s="403"/>
      <c r="BK119" s="403"/>
      <c r="BL119" s="403"/>
      <c r="BM119" s="403"/>
      <c r="BN119" s="403"/>
      <c r="BO119" s="403"/>
      <c r="BP119" s="403"/>
      <c r="BQ119" s="403"/>
      <c r="BR119" s="403"/>
      <c r="BS119" s="403"/>
      <c r="BT119" s="403"/>
      <c r="BU119" s="403"/>
      <c r="BV119" s="403"/>
      <c r="BW119" s="403"/>
      <c r="BX119" s="403"/>
      <c r="BY119" s="403" t="s">
        <v>10367</v>
      </c>
      <c r="BZ119" s="403"/>
      <c r="CA119" s="403"/>
      <c r="CB119" s="403"/>
      <c r="CC119" s="403"/>
      <c r="CD119" s="403"/>
      <c r="CE119" s="403"/>
      <c r="CF119" s="403"/>
      <c r="CG119" s="403"/>
      <c r="CH119" s="403"/>
      <c r="CI119" s="403"/>
      <c r="CJ119" s="403"/>
      <c r="CK119" s="403"/>
      <c r="CL119" s="403"/>
      <c r="CM119" s="403"/>
      <c r="CN119" s="403"/>
      <c r="CO119" s="403"/>
      <c r="CP119" s="403"/>
      <c r="CQ119" s="403"/>
      <c r="CR119" s="403" t="s">
        <v>10368</v>
      </c>
      <c r="CS119" s="403"/>
      <c r="CT119" s="403"/>
      <c r="CU119" s="403"/>
      <c r="CV119" s="403"/>
      <c r="CW119" s="403"/>
      <c r="CX119" s="403"/>
      <c r="CY119" s="403"/>
      <c r="CZ119" s="403"/>
      <c r="DA119" s="403"/>
      <c r="DB119" s="403"/>
      <c r="DC119" s="403"/>
      <c r="DD119" s="403"/>
      <c r="DE119" s="403"/>
      <c r="DF119" s="403"/>
      <c r="DG119" s="403"/>
      <c r="DH119" s="403"/>
      <c r="DI119" s="403"/>
      <c r="DJ119" s="403"/>
      <c r="DK119" s="403" t="s">
        <v>10369</v>
      </c>
      <c r="DL119" s="403"/>
      <c r="DM119" s="403"/>
      <c r="DN119" s="403"/>
      <c r="DO119" s="403"/>
      <c r="DP119" s="403"/>
      <c r="DQ119" s="403"/>
      <c r="DR119" s="403"/>
      <c r="DS119" s="403"/>
      <c r="DT119" s="403"/>
      <c r="DU119" s="403"/>
      <c r="DV119" s="403"/>
      <c r="DW119" s="403"/>
      <c r="DX119" s="403"/>
      <c r="DY119" s="403"/>
      <c r="DZ119" s="403"/>
      <c r="EA119" s="403"/>
      <c r="EB119" s="403"/>
      <c r="EC119" s="403"/>
      <c r="ED119" s="403" t="s">
        <v>10370</v>
      </c>
      <c r="EE119" s="403"/>
      <c r="EF119" s="403"/>
      <c r="EG119" s="403"/>
      <c r="EH119" s="403"/>
      <c r="EI119" s="403"/>
      <c r="EJ119" s="403"/>
      <c r="EK119" s="403"/>
      <c r="EL119" s="403"/>
      <c r="EM119" s="403"/>
      <c r="EN119" s="403"/>
      <c r="EO119" s="403"/>
      <c r="EP119" s="403"/>
      <c r="EQ119" s="403"/>
      <c r="ER119" s="403"/>
      <c r="ES119" s="403"/>
    </row>
    <row r="120" spans="1:149" s="193" customFormat="1" ht="13.5" thickBot="1" x14ac:dyDescent="0.25">
      <c r="B120" s="21" t="str">
        <f t="shared" ca="1" si="62"/>
        <v>Shipping Costs per Period</v>
      </c>
      <c r="C120" s="20"/>
      <c r="D120" s="20"/>
      <c r="E120" s="20"/>
      <c r="F120" s="20"/>
      <c r="G120" s="20"/>
      <c r="H120" s="20"/>
      <c r="I120" s="118" t="e">
        <f>I119*I7</f>
        <v>#N/A</v>
      </c>
      <c r="J120" s="118" t="e">
        <f t="shared" ref="J120:N120" si="71">J119*J7</f>
        <v>#N/A</v>
      </c>
      <c r="K120" s="118" t="e">
        <f t="shared" si="71"/>
        <v>#N/A</v>
      </c>
      <c r="L120" s="118" t="e">
        <f t="shared" si="71"/>
        <v>#N/A</v>
      </c>
      <c r="M120" s="118" t="e">
        <f t="shared" si="71"/>
        <v>#N/A</v>
      </c>
      <c r="N120" s="118" t="e">
        <f t="shared" si="71"/>
        <v>#N/A</v>
      </c>
      <c r="O120" s="118" t="e">
        <f>SUM(I120:N120)</f>
        <v>#N/A</v>
      </c>
      <c r="R120" s="403"/>
      <c r="S120" s="403"/>
      <c r="T120" s="403" t="s">
        <v>2793</v>
      </c>
      <c r="U120" s="403"/>
      <c r="V120" s="403"/>
      <c r="W120" s="403"/>
      <c r="X120" s="403"/>
      <c r="Y120" s="403"/>
      <c r="Z120" s="403"/>
      <c r="AA120" s="403"/>
      <c r="AB120" s="403"/>
      <c r="AC120" s="403"/>
      <c r="AD120" s="403"/>
      <c r="AE120" s="403"/>
      <c r="AF120" s="403"/>
      <c r="AG120" s="403"/>
      <c r="AH120" s="403"/>
      <c r="AI120" s="403"/>
      <c r="AJ120" s="403"/>
      <c r="AK120" s="403"/>
      <c r="AL120" s="403"/>
      <c r="AM120" s="403" t="s">
        <v>10342</v>
      </c>
      <c r="AN120" s="403"/>
      <c r="AO120" s="403"/>
      <c r="AP120" s="403"/>
      <c r="AQ120" s="403"/>
      <c r="AR120" s="403"/>
      <c r="AS120" s="403"/>
      <c r="AT120" s="403"/>
      <c r="AU120" s="403"/>
      <c r="AV120" s="403"/>
      <c r="AW120" s="403"/>
      <c r="AX120" s="403"/>
      <c r="AY120" s="403"/>
      <c r="AZ120" s="403"/>
      <c r="BA120" s="403"/>
      <c r="BB120" s="403"/>
      <c r="BC120" s="403"/>
      <c r="BD120" s="403"/>
      <c r="BE120" s="403"/>
      <c r="BF120" s="403" t="s">
        <v>10371</v>
      </c>
      <c r="BG120" s="403"/>
      <c r="BH120" s="403"/>
      <c r="BI120" s="403"/>
      <c r="BJ120" s="403"/>
      <c r="BK120" s="403"/>
      <c r="BL120" s="403"/>
      <c r="BM120" s="403"/>
      <c r="BN120" s="403"/>
      <c r="BO120" s="403"/>
      <c r="BP120" s="403"/>
      <c r="BQ120" s="403"/>
      <c r="BR120" s="403"/>
      <c r="BS120" s="403"/>
      <c r="BT120" s="403"/>
      <c r="BU120" s="403"/>
      <c r="BV120" s="403"/>
      <c r="BW120" s="403"/>
      <c r="BX120" s="403"/>
      <c r="BY120" s="403" t="s">
        <v>10344</v>
      </c>
      <c r="BZ120" s="403"/>
      <c r="CA120" s="403"/>
      <c r="CB120" s="403"/>
      <c r="CC120" s="403"/>
      <c r="CD120" s="403"/>
      <c r="CE120" s="403"/>
      <c r="CF120" s="403"/>
      <c r="CG120" s="403"/>
      <c r="CH120" s="403"/>
      <c r="CI120" s="403"/>
      <c r="CJ120" s="403"/>
      <c r="CK120" s="403"/>
      <c r="CL120" s="403"/>
      <c r="CM120" s="403"/>
      <c r="CN120" s="403"/>
      <c r="CO120" s="403"/>
      <c r="CP120" s="403"/>
      <c r="CQ120" s="403"/>
      <c r="CR120" s="403" t="s">
        <v>10345</v>
      </c>
      <c r="CS120" s="403"/>
      <c r="CT120" s="403"/>
      <c r="CU120" s="403"/>
      <c r="CV120" s="403"/>
      <c r="CW120" s="403"/>
      <c r="CX120" s="403"/>
      <c r="CY120" s="403"/>
      <c r="CZ120" s="403"/>
      <c r="DA120" s="403"/>
      <c r="DB120" s="403"/>
      <c r="DC120" s="403"/>
      <c r="DD120" s="403"/>
      <c r="DE120" s="403"/>
      <c r="DF120" s="403"/>
      <c r="DG120" s="403"/>
      <c r="DH120" s="403"/>
      <c r="DI120" s="403"/>
      <c r="DJ120" s="403"/>
      <c r="DK120" s="403" t="s">
        <v>10346</v>
      </c>
      <c r="DL120" s="403"/>
      <c r="DM120" s="403"/>
      <c r="DN120" s="403"/>
      <c r="DO120" s="403"/>
      <c r="DP120" s="403"/>
      <c r="DQ120" s="403"/>
      <c r="DR120" s="403"/>
      <c r="DS120" s="403"/>
      <c r="DT120" s="403"/>
      <c r="DU120" s="403"/>
      <c r="DV120" s="403"/>
      <c r="DW120" s="403"/>
      <c r="DX120" s="403"/>
      <c r="DY120" s="403"/>
      <c r="DZ120" s="403"/>
      <c r="EA120" s="403"/>
      <c r="EB120" s="403"/>
      <c r="EC120" s="403"/>
      <c r="ED120" s="403" t="s">
        <v>10347</v>
      </c>
      <c r="EE120" s="403"/>
      <c r="EF120" s="403"/>
      <c r="EG120" s="403"/>
      <c r="EH120" s="403"/>
      <c r="EI120" s="403"/>
      <c r="EJ120" s="403"/>
      <c r="EK120" s="403"/>
      <c r="EL120" s="403"/>
      <c r="EM120" s="403"/>
      <c r="EN120" s="403"/>
      <c r="EO120" s="403"/>
      <c r="EP120" s="403"/>
      <c r="EQ120" s="403"/>
      <c r="ER120" s="403"/>
      <c r="ES120" s="403"/>
    </row>
    <row r="121" spans="1:149" s="2" customFormat="1" ht="13.5" thickTop="1" x14ac:dyDescent="0.2">
      <c r="B121" s="196" t="str">
        <f t="shared" ca="1" si="62"/>
        <v>Shipments</v>
      </c>
      <c r="I121" s="2">
        <f>I7*COUNTIF(I91:I94,"&gt;0")</f>
        <v>0</v>
      </c>
      <c r="J121" s="2">
        <f t="shared" ref="J121:N121" si="72">J7*COUNTIF(J91:J94,"&gt;0")</f>
        <v>0</v>
      </c>
      <c r="K121" s="2">
        <f t="shared" si="72"/>
        <v>0</v>
      </c>
      <c r="L121" s="2">
        <f t="shared" si="72"/>
        <v>0</v>
      </c>
      <c r="M121" s="2">
        <f t="shared" si="72"/>
        <v>0</v>
      </c>
      <c r="N121" s="2">
        <f t="shared" si="72"/>
        <v>0</v>
      </c>
      <c r="O121" s="199"/>
      <c r="R121" s="403"/>
      <c r="S121" s="403"/>
      <c r="T121" s="403" t="s">
        <v>2803</v>
      </c>
      <c r="U121" s="403"/>
      <c r="V121" s="403"/>
      <c r="W121" s="403"/>
      <c r="X121" s="403"/>
      <c r="Y121" s="403"/>
      <c r="Z121" s="403"/>
      <c r="AA121" s="403"/>
      <c r="AB121" s="403"/>
      <c r="AC121" s="403"/>
      <c r="AD121" s="403"/>
      <c r="AE121" s="403"/>
      <c r="AF121" s="403"/>
      <c r="AG121" s="403"/>
      <c r="AH121" s="403"/>
      <c r="AI121" s="403"/>
      <c r="AJ121" s="403"/>
      <c r="AK121" s="403"/>
      <c r="AL121" s="403"/>
      <c r="AM121" s="403" t="s">
        <v>10348</v>
      </c>
      <c r="AN121" s="403"/>
      <c r="AO121" s="403"/>
      <c r="AP121" s="403"/>
      <c r="AQ121" s="403"/>
      <c r="AR121" s="403"/>
      <c r="AS121" s="403"/>
      <c r="AT121" s="403"/>
      <c r="AU121" s="403"/>
      <c r="AV121" s="403"/>
      <c r="AW121" s="403"/>
      <c r="AX121" s="403"/>
      <c r="AY121" s="403"/>
      <c r="AZ121" s="403"/>
      <c r="BA121" s="403"/>
      <c r="BB121" s="403"/>
      <c r="BC121" s="403"/>
      <c r="BD121" s="403"/>
      <c r="BE121" s="403"/>
      <c r="BF121" s="403" t="s">
        <v>10349</v>
      </c>
      <c r="BG121" s="403"/>
      <c r="BH121" s="403"/>
      <c r="BI121" s="403"/>
      <c r="BJ121" s="403"/>
      <c r="BK121" s="403"/>
      <c r="BL121" s="403"/>
      <c r="BM121" s="403"/>
      <c r="BN121" s="403"/>
      <c r="BO121" s="403"/>
      <c r="BP121" s="403"/>
      <c r="BQ121" s="403"/>
      <c r="BR121" s="403"/>
      <c r="BS121" s="403"/>
      <c r="BT121" s="403"/>
      <c r="BU121" s="403"/>
      <c r="BV121" s="403"/>
      <c r="BW121" s="403"/>
      <c r="BX121" s="403"/>
      <c r="BY121" s="403" t="s">
        <v>10350</v>
      </c>
      <c r="BZ121" s="403"/>
      <c r="CA121" s="403"/>
      <c r="CB121" s="403"/>
      <c r="CC121" s="403"/>
      <c r="CD121" s="403"/>
      <c r="CE121" s="403"/>
      <c r="CF121" s="403"/>
      <c r="CG121" s="403"/>
      <c r="CH121" s="403"/>
      <c r="CI121" s="403"/>
      <c r="CJ121" s="403"/>
      <c r="CK121" s="403"/>
      <c r="CL121" s="403"/>
      <c r="CM121" s="403"/>
      <c r="CN121" s="403"/>
      <c r="CO121" s="403"/>
      <c r="CP121" s="403"/>
      <c r="CQ121" s="403"/>
      <c r="CR121" s="403" t="s">
        <v>10351</v>
      </c>
      <c r="CS121" s="403"/>
      <c r="CT121" s="403"/>
      <c r="CU121" s="403"/>
      <c r="CV121" s="403"/>
      <c r="CW121" s="403"/>
      <c r="CX121" s="403"/>
      <c r="CY121" s="403"/>
      <c r="CZ121" s="403"/>
      <c r="DA121" s="403"/>
      <c r="DB121" s="403"/>
      <c r="DC121" s="403"/>
      <c r="DD121" s="403"/>
      <c r="DE121" s="403"/>
      <c r="DF121" s="403"/>
      <c r="DG121" s="403"/>
      <c r="DH121" s="403"/>
      <c r="DI121" s="403"/>
      <c r="DJ121" s="403"/>
      <c r="DK121" s="403" t="s">
        <v>10352</v>
      </c>
      <c r="DL121" s="403"/>
      <c r="DM121" s="403"/>
      <c r="DN121" s="403"/>
      <c r="DO121" s="403"/>
      <c r="DP121" s="403"/>
      <c r="DQ121" s="403"/>
      <c r="DR121" s="403"/>
      <c r="DS121" s="403"/>
      <c r="DT121" s="403"/>
      <c r="DU121" s="403"/>
      <c r="DV121" s="403"/>
      <c r="DW121" s="403"/>
      <c r="DX121" s="403"/>
      <c r="DY121" s="403"/>
      <c r="DZ121" s="403"/>
      <c r="EA121" s="403"/>
      <c r="EB121" s="403"/>
      <c r="EC121" s="403"/>
      <c r="ED121" s="403" t="s">
        <v>10353</v>
      </c>
      <c r="EE121" s="403"/>
      <c r="EF121" s="403"/>
      <c r="EG121" s="403"/>
      <c r="EH121" s="403"/>
      <c r="EI121" s="403"/>
      <c r="EJ121" s="403"/>
      <c r="EK121" s="403"/>
      <c r="EL121" s="403"/>
      <c r="EM121" s="403"/>
      <c r="EN121" s="403"/>
      <c r="EO121" s="403"/>
      <c r="EP121" s="403"/>
      <c r="EQ121" s="403"/>
      <c r="ER121" s="403"/>
      <c r="ES121" s="403"/>
    </row>
    <row r="122" spans="1:149" s="183" customFormat="1" x14ac:dyDescent="0.2">
      <c r="I122" s="37"/>
      <c r="J122" s="37"/>
      <c r="K122" s="37"/>
      <c r="L122" s="37"/>
      <c r="M122" s="37"/>
      <c r="N122" s="37"/>
      <c r="O122" s="37"/>
      <c r="R122" s="403"/>
      <c r="S122" s="403"/>
      <c r="T122" s="403"/>
      <c r="U122" s="403"/>
      <c r="V122" s="403"/>
      <c r="W122" s="403"/>
      <c r="X122" s="403"/>
      <c r="Y122" s="403"/>
      <c r="Z122" s="403"/>
      <c r="AA122" s="403"/>
      <c r="AB122" s="403"/>
      <c r="AC122" s="403"/>
      <c r="AD122" s="403"/>
      <c r="AE122" s="403"/>
      <c r="AF122" s="403"/>
      <c r="AG122" s="403"/>
      <c r="AH122" s="403"/>
      <c r="AI122" s="403"/>
      <c r="AJ122" s="403"/>
      <c r="AK122" s="403"/>
      <c r="AL122" s="403"/>
      <c r="AM122" s="403"/>
      <c r="AN122" s="403"/>
      <c r="AO122" s="403"/>
      <c r="AP122" s="403"/>
      <c r="AQ122" s="403"/>
      <c r="AR122" s="403"/>
      <c r="AS122" s="403"/>
      <c r="AT122" s="403"/>
      <c r="AU122" s="403"/>
      <c r="AV122" s="403"/>
      <c r="AW122" s="403"/>
      <c r="AX122" s="403"/>
      <c r="AY122" s="403"/>
      <c r="AZ122" s="403"/>
      <c r="BA122" s="403"/>
      <c r="BB122" s="403"/>
      <c r="BC122" s="403"/>
      <c r="BD122" s="403"/>
      <c r="BE122" s="403"/>
      <c r="BF122" s="403"/>
      <c r="BG122" s="403"/>
      <c r="BH122" s="403"/>
      <c r="BI122" s="403"/>
      <c r="BJ122" s="403"/>
      <c r="BK122" s="403"/>
      <c r="BL122" s="403"/>
      <c r="BM122" s="403"/>
      <c r="BN122" s="403"/>
      <c r="BO122" s="403"/>
      <c r="BP122" s="403"/>
      <c r="BQ122" s="403"/>
      <c r="BR122" s="403"/>
      <c r="BS122" s="403"/>
      <c r="BT122" s="403"/>
      <c r="BU122" s="403"/>
      <c r="BV122" s="403"/>
      <c r="BW122" s="403"/>
      <c r="BX122" s="403"/>
      <c r="BY122" s="403"/>
      <c r="BZ122" s="403"/>
      <c r="CA122" s="403"/>
      <c r="CB122" s="403"/>
      <c r="CC122" s="403"/>
      <c r="CD122" s="403"/>
      <c r="CE122" s="403"/>
      <c r="CF122" s="403"/>
      <c r="CG122" s="403"/>
      <c r="CH122" s="403"/>
      <c r="CI122" s="403"/>
      <c r="CJ122" s="403"/>
      <c r="CK122" s="403"/>
      <c r="CL122" s="403"/>
      <c r="CM122" s="403"/>
      <c r="CN122" s="403"/>
      <c r="CO122" s="403"/>
      <c r="CP122" s="403"/>
      <c r="CQ122" s="403"/>
      <c r="CR122" s="403"/>
      <c r="CS122" s="403"/>
      <c r="CT122" s="403"/>
      <c r="CU122" s="403"/>
      <c r="CV122" s="403"/>
      <c r="CW122" s="403"/>
      <c r="CX122" s="403"/>
      <c r="CY122" s="403"/>
      <c r="CZ122" s="403"/>
      <c r="DA122" s="403"/>
      <c r="DB122" s="403"/>
      <c r="DC122" s="403"/>
      <c r="DD122" s="403"/>
      <c r="DE122" s="403"/>
      <c r="DF122" s="403"/>
      <c r="DG122" s="403"/>
      <c r="DH122" s="403"/>
      <c r="DI122" s="403"/>
      <c r="DJ122" s="403"/>
      <c r="DK122" s="403"/>
      <c r="DL122" s="403"/>
      <c r="DM122" s="403"/>
      <c r="DN122" s="403"/>
      <c r="DO122" s="403"/>
      <c r="DP122" s="403"/>
      <c r="DQ122" s="403"/>
      <c r="DR122" s="403"/>
      <c r="DS122" s="403"/>
      <c r="DT122" s="403"/>
      <c r="DU122" s="403"/>
      <c r="DV122" s="403"/>
      <c r="DW122" s="403"/>
      <c r="DX122" s="403"/>
      <c r="DY122" s="403"/>
      <c r="DZ122" s="403"/>
      <c r="EA122" s="403"/>
      <c r="EB122" s="403"/>
      <c r="EC122" s="403"/>
      <c r="ED122" s="403"/>
      <c r="EE122" s="403"/>
      <c r="EF122" s="403"/>
      <c r="EG122" s="403"/>
      <c r="EH122" s="403"/>
      <c r="EI122" s="403"/>
      <c r="EJ122" s="403"/>
      <c r="EK122" s="403"/>
      <c r="EL122" s="403"/>
      <c r="EM122" s="403"/>
      <c r="EN122" s="403"/>
      <c r="EO122" s="403"/>
      <c r="EP122" s="403"/>
      <c r="EQ122" s="403"/>
      <c r="ER122" s="403"/>
      <c r="ES122" s="403"/>
    </row>
    <row r="123" spans="1:149" s="299" customFormat="1" ht="15" x14ac:dyDescent="0.25">
      <c r="A123" s="660"/>
      <c r="B123" s="8" t="str">
        <f ca="1">IF(OFFSET(T123,0,Lang_Order*Lang__B3)="","",OFFSET(T123,0,Lang_Order*Lang__B3))</f>
        <v>B3.2 Electronic Temperature Monitoring Device</v>
      </c>
      <c r="C123" s="8"/>
      <c r="D123" s="8"/>
      <c r="E123" s="8"/>
      <c r="F123" s="8"/>
      <c r="G123" s="8"/>
      <c r="H123" s="8"/>
      <c r="I123" s="195" t="e">
        <f ca="1">I125</f>
        <v>#N/A</v>
      </c>
      <c r="J123" s="195" t="e">
        <f t="shared" ref="J123:O123" ca="1" si="73">J125</f>
        <v>#N/A</v>
      </c>
      <c r="K123" s="195" t="e">
        <f t="shared" ca="1" si="73"/>
        <v>#N/A</v>
      </c>
      <c r="L123" s="195" t="e">
        <f t="shared" ca="1" si="73"/>
        <v>#N/A</v>
      </c>
      <c r="M123" s="195" t="e">
        <f t="shared" ca="1" si="73"/>
        <v>#N/A</v>
      </c>
      <c r="N123" s="195" t="e">
        <f t="shared" ca="1" si="73"/>
        <v>#N/A</v>
      </c>
      <c r="O123" s="195" t="e">
        <f t="shared" ca="1" si="73"/>
        <v>#N/A</v>
      </c>
      <c r="R123" s="403"/>
      <c r="S123" s="403"/>
      <c r="T123" s="403" t="s">
        <v>3948</v>
      </c>
      <c r="U123" s="403"/>
      <c r="V123" s="403"/>
      <c r="W123" s="403"/>
      <c r="X123" s="403"/>
      <c r="Y123" s="403"/>
      <c r="Z123" s="403"/>
      <c r="AA123" s="403"/>
      <c r="AB123" s="403"/>
      <c r="AC123" s="403"/>
      <c r="AD123" s="403"/>
      <c r="AE123" s="403"/>
      <c r="AF123" s="403"/>
      <c r="AG123" s="403"/>
      <c r="AH123" s="403"/>
      <c r="AI123" s="403"/>
      <c r="AJ123" s="403"/>
      <c r="AK123" s="403"/>
      <c r="AL123" s="403"/>
      <c r="AM123" s="403" t="s">
        <v>10372</v>
      </c>
      <c r="AN123" s="403"/>
      <c r="AO123" s="403"/>
      <c r="AP123" s="403"/>
      <c r="AQ123" s="403"/>
      <c r="AR123" s="403"/>
      <c r="AS123" s="403"/>
      <c r="AT123" s="403"/>
      <c r="AU123" s="403"/>
      <c r="AV123" s="403"/>
      <c r="AW123" s="403"/>
      <c r="AX123" s="403"/>
      <c r="AY123" s="403"/>
      <c r="AZ123" s="403"/>
      <c r="BA123" s="403"/>
      <c r="BB123" s="403"/>
      <c r="BC123" s="403"/>
      <c r="BD123" s="403"/>
      <c r="BE123" s="403"/>
      <c r="BF123" s="403" t="s">
        <v>10373</v>
      </c>
      <c r="BG123" s="403"/>
      <c r="BH123" s="403"/>
      <c r="BI123" s="403"/>
      <c r="BJ123" s="403"/>
      <c r="BK123" s="403"/>
      <c r="BL123" s="403"/>
      <c r="BM123" s="403"/>
      <c r="BN123" s="403"/>
      <c r="BO123" s="403"/>
      <c r="BP123" s="403"/>
      <c r="BQ123" s="403"/>
      <c r="BR123" s="403"/>
      <c r="BS123" s="403"/>
      <c r="BT123" s="403"/>
      <c r="BU123" s="403"/>
      <c r="BV123" s="403"/>
      <c r="BW123" s="403"/>
      <c r="BX123" s="403"/>
      <c r="BY123" s="403" t="s">
        <v>10374</v>
      </c>
      <c r="BZ123" s="403"/>
      <c r="CA123" s="403"/>
      <c r="CB123" s="403"/>
      <c r="CC123" s="403"/>
      <c r="CD123" s="403"/>
      <c r="CE123" s="403"/>
      <c r="CF123" s="403"/>
      <c r="CG123" s="403"/>
      <c r="CH123" s="403"/>
      <c r="CI123" s="403"/>
      <c r="CJ123" s="403"/>
      <c r="CK123" s="403"/>
      <c r="CL123" s="403"/>
      <c r="CM123" s="403"/>
      <c r="CN123" s="403"/>
      <c r="CO123" s="403"/>
      <c r="CP123" s="403"/>
      <c r="CQ123" s="403"/>
      <c r="CR123" s="403" t="s">
        <v>10375</v>
      </c>
      <c r="CS123" s="403"/>
      <c r="CT123" s="403"/>
      <c r="CU123" s="403"/>
      <c r="CV123" s="403"/>
      <c r="CW123" s="403"/>
      <c r="CX123" s="403"/>
      <c r="CY123" s="403"/>
      <c r="CZ123" s="403"/>
      <c r="DA123" s="403"/>
      <c r="DB123" s="403"/>
      <c r="DC123" s="403"/>
      <c r="DD123" s="403"/>
      <c r="DE123" s="403"/>
      <c r="DF123" s="403"/>
      <c r="DG123" s="403"/>
      <c r="DH123" s="403"/>
      <c r="DI123" s="403"/>
      <c r="DJ123" s="403"/>
      <c r="DK123" s="403" t="s">
        <v>10376</v>
      </c>
      <c r="DL123" s="403"/>
      <c r="DM123" s="403"/>
      <c r="DN123" s="403"/>
      <c r="DO123" s="403"/>
      <c r="DP123" s="403"/>
      <c r="DQ123" s="403"/>
      <c r="DR123" s="403"/>
      <c r="DS123" s="403"/>
      <c r="DT123" s="403"/>
      <c r="DU123" s="403"/>
      <c r="DV123" s="403"/>
      <c r="DW123" s="403"/>
      <c r="DX123" s="403"/>
      <c r="DY123" s="403"/>
      <c r="DZ123" s="403"/>
      <c r="EA123" s="403"/>
      <c r="EB123" s="403"/>
      <c r="EC123" s="403"/>
      <c r="ED123" s="403" t="s">
        <v>10377</v>
      </c>
      <c r="EE123" s="403"/>
      <c r="EF123" s="403"/>
      <c r="EG123" s="403"/>
      <c r="EH123" s="403"/>
      <c r="EI123" s="403"/>
      <c r="EJ123" s="403"/>
      <c r="EK123" s="403"/>
      <c r="EL123" s="403"/>
      <c r="EM123" s="403"/>
      <c r="EN123" s="403"/>
      <c r="EO123" s="403"/>
      <c r="EP123" s="403"/>
      <c r="EQ123" s="403"/>
      <c r="ER123" s="403"/>
      <c r="ES123" s="403"/>
    </row>
    <row r="124" spans="1:149" s="299" customFormat="1" x14ac:dyDescent="0.2">
      <c r="I124" s="300"/>
      <c r="J124" s="300"/>
      <c r="K124" s="300"/>
      <c r="L124" s="300"/>
      <c r="M124" s="300"/>
      <c r="N124" s="300"/>
      <c r="O124" s="300"/>
      <c r="R124" s="403"/>
      <c r="S124" s="403"/>
      <c r="T124" s="403"/>
      <c r="U124" s="403"/>
      <c r="V124" s="403"/>
      <c r="W124" s="403"/>
      <c r="X124" s="403"/>
      <c r="Y124" s="403"/>
      <c r="Z124" s="403"/>
      <c r="AA124" s="403"/>
      <c r="AB124" s="403"/>
      <c r="AC124" s="403"/>
      <c r="AD124" s="403"/>
      <c r="AE124" s="403"/>
      <c r="AF124" s="403"/>
      <c r="AG124" s="403"/>
      <c r="AH124" s="403"/>
      <c r="AI124" s="403"/>
      <c r="AJ124" s="403"/>
      <c r="AK124" s="403"/>
      <c r="AL124" s="403"/>
      <c r="AM124" s="403"/>
      <c r="AN124" s="403"/>
      <c r="AO124" s="403"/>
      <c r="AP124" s="403"/>
      <c r="AQ124" s="403"/>
      <c r="AR124" s="403"/>
      <c r="AS124" s="403"/>
      <c r="AT124" s="403"/>
      <c r="AU124" s="403"/>
      <c r="AV124" s="403"/>
      <c r="AW124" s="403"/>
      <c r="AX124" s="403"/>
      <c r="AY124" s="403"/>
      <c r="AZ124" s="403"/>
      <c r="BA124" s="403"/>
      <c r="BB124" s="403"/>
      <c r="BC124" s="403"/>
      <c r="BD124" s="403"/>
      <c r="BE124" s="403"/>
      <c r="BF124" s="403"/>
      <c r="BG124" s="403"/>
      <c r="BH124" s="403"/>
      <c r="BI124" s="403"/>
      <c r="BJ124" s="403"/>
      <c r="BK124" s="403"/>
      <c r="BL124" s="403"/>
      <c r="BM124" s="403"/>
      <c r="BN124" s="403"/>
      <c r="BO124" s="403"/>
      <c r="BP124" s="403"/>
      <c r="BQ124" s="403"/>
      <c r="BR124" s="403"/>
      <c r="BS124" s="403"/>
      <c r="BT124" s="403"/>
      <c r="BU124" s="403"/>
      <c r="BV124" s="403"/>
      <c r="BW124" s="403"/>
      <c r="BX124" s="403"/>
      <c r="BY124" s="403"/>
      <c r="BZ124" s="403"/>
      <c r="CA124" s="403"/>
      <c r="CB124" s="403"/>
      <c r="CC124" s="403"/>
      <c r="CD124" s="403"/>
      <c r="CE124" s="403"/>
      <c r="CF124" s="403"/>
      <c r="CG124" s="403"/>
      <c r="CH124" s="403"/>
      <c r="CI124" s="403"/>
      <c r="CJ124" s="403"/>
      <c r="CK124" s="403"/>
      <c r="CL124" s="403"/>
      <c r="CM124" s="403"/>
      <c r="CN124" s="403"/>
      <c r="CO124" s="403"/>
      <c r="CP124" s="403"/>
      <c r="CQ124" s="403"/>
      <c r="CR124" s="403"/>
      <c r="CS124" s="403"/>
      <c r="CT124" s="403"/>
      <c r="CU124" s="403"/>
      <c r="CV124" s="403"/>
      <c r="CW124" s="403"/>
      <c r="CX124" s="403"/>
      <c r="CY124" s="403"/>
      <c r="CZ124" s="403"/>
      <c r="DA124" s="403"/>
      <c r="DB124" s="403"/>
      <c r="DC124" s="403"/>
      <c r="DD124" s="403"/>
      <c r="DE124" s="403"/>
      <c r="DF124" s="403"/>
      <c r="DG124" s="403"/>
      <c r="DH124" s="403"/>
      <c r="DI124" s="403"/>
      <c r="DJ124" s="403"/>
      <c r="DK124" s="403"/>
      <c r="DL124" s="403"/>
      <c r="DM124" s="403"/>
      <c r="DN124" s="403"/>
      <c r="DO124" s="403"/>
      <c r="DP124" s="403"/>
      <c r="DQ124" s="403"/>
      <c r="DR124" s="403"/>
      <c r="DS124" s="403"/>
      <c r="DT124" s="403"/>
      <c r="DU124" s="403"/>
      <c r="DV124" s="403"/>
      <c r="DW124" s="403"/>
      <c r="DX124" s="403"/>
      <c r="DY124" s="403"/>
      <c r="DZ124" s="403"/>
      <c r="EA124" s="403"/>
      <c r="EB124" s="403"/>
      <c r="EC124" s="403"/>
      <c r="ED124" s="403"/>
      <c r="EE124" s="403"/>
      <c r="EF124" s="403"/>
      <c r="EG124" s="403"/>
      <c r="EH124" s="403"/>
      <c r="EI124" s="403"/>
      <c r="EJ124" s="403"/>
      <c r="EK124" s="403"/>
      <c r="EL124" s="403"/>
      <c r="EM124" s="403"/>
      <c r="EN124" s="403"/>
      <c r="EO124" s="403"/>
      <c r="EP124" s="403"/>
      <c r="EQ124" s="403"/>
      <c r="ER124" s="403"/>
      <c r="ES124" s="403"/>
    </row>
    <row r="125" spans="1:149" ht="13.5" thickBot="1" x14ac:dyDescent="0.25">
      <c r="B125" s="21" t="str">
        <f ca="1">IF(OFFSET(T125,0,Lang_Order*Lang__B3)="","",OFFSET(T125,0,Lang_Order*Lang__B3))</f>
        <v>Electronic temperature monitoring device</v>
      </c>
      <c r="C125" s="324" t="str">
        <f ca="1">IF(OFFSET(U125,0,Lang_Order*Lang__B3)="","",OFFSET(U125,0,Lang_Order*Lang__B3))</f>
        <v>per container per period</v>
      </c>
      <c r="I125" s="118" t="e">
        <f t="shared" ref="I125:N125" ca="1" si="74">Temperature_Electronic_Device_USD*SUM(I35+I41)*I7</f>
        <v>#N/A</v>
      </c>
      <c r="J125" s="118" t="e">
        <f t="shared" ca="1" si="74"/>
        <v>#N/A</v>
      </c>
      <c r="K125" s="118" t="e">
        <f t="shared" ca="1" si="74"/>
        <v>#N/A</v>
      </c>
      <c r="L125" s="118" t="e">
        <f t="shared" ca="1" si="74"/>
        <v>#N/A</v>
      </c>
      <c r="M125" s="118" t="e">
        <f t="shared" ca="1" si="74"/>
        <v>#N/A</v>
      </c>
      <c r="N125" s="118" t="e">
        <f t="shared" ca="1" si="74"/>
        <v>#N/A</v>
      </c>
      <c r="O125" s="118" t="e">
        <f ca="1">SUM(I125:N125)</f>
        <v>#N/A</v>
      </c>
      <c r="Q125" s="12" t="str">
        <f ca="1">IF(OFFSET(AI125,0,Lang_Order*Lang__B3)="","",OFFSET(AI125,0,Lang_Order*Lang__B3))</f>
        <v>https://www.who.int/immunization_standards/vaccine_quality/Vaccines_Shipping_Guidelines082019.pdf</v>
      </c>
      <c r="T125" s="403" t="s">
        <v>2710</v>
      </c>
      <c r="U125" s="403" t="s">
        <v>2797</v>
      </c>
      <c r="AI125" s="403" t="s">
        <v>2711</v>
      </c>
      <c r="AM125" s="403" t="s">
        <v>10378</v>
      </c>
      <c r="AN125" s="403" t="s">
        <v>10379</v>
      </c>
      <c r="BB125" s="403" t="s">
        <v>2711</v>
      </c>
      <c r="BF125" s="403" t="s">
        <v>10380</v>
      </c>
      <c r="BG125" s="403" t="s">
        <v>10381</v>
      </c>
      <c r="BU125" s="403" t="s">
        <v>2711</v>
      </c>
      <c r="BY125" s="403" t="s">
        <v>10382</v>
      </c>
      <c r="BZ125" s="403" t="s">
        <v>10383</v>
      </c>
      <c r="CN125" s="403" t="s">
        <v>2711</v>
      </c>
      <c r="CR125" s="403" t="s">
        <v>10384</v>
      </c>
      <c r="CS125" s="403" t="s">
        <v>10385</v>
      </c>
      <c r="DG125" s="403" t="s">
        <v>2711</v>
      </c>
      <c r="DK125" s="403" t="s">
        <v>10386</v>
      </c>
      <c r="DL125" s="403" t="s">
        <v>10387</v>
      </c>
      <c r="DZ125" s="403" t="s">
        <v>8209</v>
      </c>
      <c r="ED125" s="403" t="s">
        <v>10388</v>
      </c>
      <c r="EE125" s="403" t="s">
        <v>10389</v>
      </c>
      <c r="ES125" s="403" t="s">
        <v>2711</v>
      </c>
    </row>
    <row r="126" spans="1:149" s="299" customFormat="1" ht="13.5" thickTop="1" x14ac:dyDescent="0.2">
      <c r="B126" s="5"/>
      <c r="C126" s="2"/>
      <c r="I126" s="300"/>
      <c r="J126" s="300"/>
      <c r="K126" s="300"/>
      <c r="L126" s="300"/>
      <c r="M126" s="300"/>
      <c r="N126" s="300"/>
      <c r="O126" s="300"/>
      <c r="P126" s="508"/>
      <c r="Q126" s="463"/>
      <c r="R126" s="403"/>
      <c r="S126" s="403"/>
      <c r="T126" s="403"/>
      <c r="U126" s="403"/>
      <c r="V126" s="403"/>
      <c r="W126" s="403"/>
      <c r="X126" s="403"/>
      <c r="Y126" s="403"/>
      <c r="Z126" s="403"/>
      <c r="AA126" s="403"/>
      <c r="AB126" s="403"/>
      <c r="AC126" s="403"/>
      <c r="AD126" s="403"/>
      <c r="AE126" s="403"/>
      <c r="AF126" s="403"/>
      <c r="AG126" s="403"/>
      <c r="AH126" s="403"/>
      <c r="AI126" s="403"/>
      <c r="AJ126" s="403"/>
      <c r="AK126" s="403"/>
      <c r="AL126" s="403"/>
      <c r="AM126" s="403"/>
      <c r="AN126" s="403"/>
      <c r="AO126" s="403"/>
      <c r="AP126" s="403"/>
      <c r="AQ126" s="403"/>
      <c r="AR126" s="403"/>
      <c r="AS126" s="403"/>
      <c r="AT126" s="403"/>
      <c r="AU126" s="403"/>
      <c r="AV126" s="403"/>
      <c r="AW126" s="403"/>
      <c r="AX126" s="403"/>
      <c r="AY126" s="403"/>
      <c r="AZ126" s="403"/>
      <c r="BA126" s="403"/>
      <c r="BB126" s="403"/>
      <c r="BC126" s="403"/>
      <c r="BD126" s="403"/>
      <c r="BE126" s="403"/>
      <c r="BF126" s="403"/>
      <c r="BG126" s="403"/>
      <c r="BH126" s="403"/>
      <c r="BI126" s="403"/>
      <c r="BJ126" s="403"/>
      <c r="BK126" s="403"/>
      <c r="BL126" s="403"/>
      <c r="BM126" s="403"/>
      <c r="BN126" s="403"/>
      <c r="BO126" s="403"/>
      <c r="BP126" s="403"/>
      <c r="BQ126" s="403"/>
      <c r="BR126" s="403"/>
      <c r="BS126" s="403"/>
      <c r="BT126" s="403"/>
      <c r="BU126" s="403"/>
      <c r="BV126" s="403"/>
      <c r="BW126" s="403"/>
      <c r="BX126" s="403"/>
      <c r="BY126" s="403"/>
      <c r="BZ126" s="403"/>
      <c r="CA126" s="403"/>
      <c r="CB126" s="403"/>
      <c r="CC126" s="403"/>
      <c r="CD126" s="403"/>
      <c r="CE126" s="403"/>
      <c r="CF126" s="403"/>
      <c r="CG126" s="403"/>
      <c r="CH126" s="403"/>
      <c r="CI126" s="403"/>
      <c r="CJ126" s="403"/>
      <c r="CK126" s="403"/>
      <c r="CL126" s="403"/>
      <c r="CM126" s="403"/>
      <c r="CN126" s="403"/>
      <c r="CO126" s="403"/>
      <c r="CP126" s="403"/>
      <c r="CQ126" s="403"/>
      <c r="CR126" s="403"/>
      <c r="CS126" s="403"/>
      <c r="CT126" s="403"/>
      <c r="CU126" s="403"/>
      <c r="CV126" s="403"/>
      <c r="CW126" s="403"/>
      <c r="CX126" s="403"/>
      <c r="CY126" s="403"/>
      <c r="CZ126" s="403"/>
      <c r="DA126" s="403"/>
      <c r="DB126" s="403"/>
      <c r="DC126" s="403"/>
      <c r="DD126" s="403"/>
      <c r="DE126" s="403"/>
      <c r="DF126" s="403"/>
      <c r="DG126" s="403"/>
      <c r="DH126" s="403"/>
      <c r="DI126" s="403"/>
      <c r="DJ126" s="403"/>
      <c r="DK126" s="403"/>
      <c r="DL126" s="403"/>
      <c r="DM126" s="403"/>
      <c r="DN126" s="403"/>
      <c r="DO126" s="403"/>
      <c r="DP126" s="403"/>
      <c r="DQ126" s="403"/>
      <c r="DR126" s="403"/>
      <c r="DS126" s="403"/>
      <c r="DT126" s="403"/>
      <c r="DU126" s="403"/>
      <c r="DV126" s="403"/>
      <c r="DW126" s="403"/>
      <c r="DX126" s="403"/>
      <c r="DY126" s="403"/>
      <c r="DZ126" s="403"/>
      <c r="EA126" s="403"/>
      <c r="EB126" s="403"/>
      <c r="EC126" s="403"/>
      <c r="ED126" s="403"/>
      <c r="EE126" s="403"/>
      <c r="EF126" s="403"/>
      <c r="EG126" s="403"/>
      <c r="EH126" s="403"/>
      <c r="EI126" s="403"/>
      <c r="EJ126" s="403"/>
      <c r="EK126" s="403"/>
      <c r="EL126" s="403"/>
      <c r="EM126" s="403"/>
      <c r="EN126" s="403"/>
      <c r="EO126" s="403"/>
      <c r="EP126" s="403"/>
      <c r="EQ126" s="403"/>
      <c r="ER126" s="403"/>
      <c r="ES126" s="403"/>
    </row>
    <row r="127" spans="1:149" ht="15" hidden="1" x14ac:dyDescent="0.25">
      <c r="A127" s="645" t="s">
        <v>14119</v>
      </c>
      <c r="B127" s="8" t="str">
        <f ca="1">IF(OFFSET(T127,0,Lang_Order*Lang__B3)="","",OFFSET(T127,0,Lang_Order*Lang__B3))</f>
        <v>B3.3 Customs clearance</v>
      </c>
      <c r="C127" s="8"/>
      <c r="D127" s="8"/>
      <c r="E127" s="8"/>
      <c r="F127" s="8"/>
      <c r="G127" s="8"/>
      <c r="H127" s="8"/>
      <c r="I127" s="195" t="e">
        <f>I131</f>
        <v>#N/A</v>
      </c>
      <c r="J127" s="195" t="e">
        <f t="shared" ref="J127:O127" si="75">J131</f>
        <v>#N/A</v>
      </c>
      <c r="K127" s="195" t="e">
        <f t="shared" si="75"/>
        <v>#N/A</v>
      </c>
      <c r="L127" s="195" t="e">
        <f t="shared" si="75"/>
        <v>#N/A</v>
      </c>
      <c r="M127" s="195" t="e">
        <f t="shared" si="75"/>
        <v>#N/A</v>
      </c>
      <c r="N127" s="195" t="e">
        <f t="shared" si="75"/>
        <v>#N/A</v>
      </c>
      <c r="O127" s="195" t="e">
        <f t="shared" si="75"/>
        <v>#N/A</v>
      </c>
      <c r="P127" s="508"/>
      <c r="T127" s="403" t="s">
        <v>3949</v>
      </c>
      <c r="AM127" s="403" t="s">
        <v>10390</v>
      </c>
      <c r="BF127" s="403" t="s">
        <v>10391</v>
      </c>
      <c r="BY127" s="403" t="s">
        <v>10392</v>
      </c>
      <c r="CR127" s="403" t="s">
        <v>10393</v>
      </c>
      <c r="DK127" s="403" t="s">
        <v>10394</v>
      </c>
      <c r="ED127" s="403" t="s">
        <v>10395</v>
      </c>
    </row>
    <row r="128" spans="1:149" ht="15" hidden="1" x14ac:dyDescent="0.25">
      <c r="A128" s="645" t="s">
        <v>14119</v>
      </c>
      <c r="B128" s="72" t="s">
        <v>2802</v>
      </c>
      <c r="I128" s="319" t="str">
        <f t="shared" ref="I128:O128" ca="1" si="76">IF(OFFSET(AA128,0,Lang_Order*Lang__B3)="","",OFFSET(AA128,0,Lang_Order*Lang__B3))</f>
        <v>H1 2021</v>
      </c>
      <c r="J128" s="319" t="str">
        <f t="shared" ca="1" si="76"/>
        <v>H2 2021</v>
      </c>
      <c r="K128" s="319" t="str">
        <f t="shared" ca="1" si="76"/>
        <v>H1 2022</v>
      </c>
      <c r="L128" s="319" t="str">
        <f t="shared" ca="1" si="76"/>
        <v>H2 2022</v>
      </c>
      <c r="M128" s="319" t="str">
        <f t="shared" ca="1" si="76"/>
        <v>H1 2023</v>
      </c>
      <c r="N128" s="319" t="str">
        <f t="shared" ca="1" si="76"/>
        <v>H2 2023</v>
      </c>
      <c r="O128" s="319" t="str">
        <f t="shared" ca="1" si="76"/>
        <v>Total</v>
      </c>
      <c r="P128" s="508"/>
      <c r="AA128" s="403" t="s">
        <v>1597</v>
      </c>
      <c r="AB128" s="403" t="s">
        <v>1598</v>
      </c>
      <c r="AC128" s="403" t="s">
        <v>1599</v>
      </c>
      <c r="AD128" s="403" t="s">
        <v>1600</v>
      </c>
      <c r="AE128" s="403" t="s">
        <v>1602</v>
      </c>
      <c r="AF128" s="403" t="s">
        <v>1601</v>
      </c>
      <c r="AG128" s="403" t="s">
        <v>1605</v>
      </c>
      <c r="AT128" s="403" t="s">
        <v>4663</v>
      </c>
      <c r="AU128" s="403" t="s">
        <v>4664</v>
      </c>
      <c r="AV128" s="403" t="s">
        <v>4665</v>
      </c>
      <c r="AW128" s="403" t="s">
        <v>4666</v>
      </c>
      <c r="AX128" s="403" t="s">
        <v>4667</v>
      </c>
      <c r="AY128" s="403" t="s">
        <v>4668</v>
      </c>
      <c r="AZ128" s="403" t="s">
        <v>1605</v>
      </c>
      <c r="BM128" s="403" t="s">
        <v>4670</v>
      </c>
      <c r="BN128" s="403" t="s">
        <v>4671</v>
      </c>
      <c r="BO128" s="403" t="s">
        <v>4672</v>
      </c>
      <c r="BP128" s="403" t="s">
        <v>4673</v>
      </c>
      <c r="BQ128" s="403" t="s">
        <v>4674</v>
      </c>
      <c r="BR128" s="403" t="s">
        <v>4675</v>
      </c>
      <c r="BS128" s="403" t="s">
        <v>4676</v>
      </c>
      <c r="CF128" s="403" t="s">
        <v>1597</v>
      </c>
      <c r="CG128" s="403" t="s">
        <v>1598</v>
      </c>
      <c r="CH128" s="403" t="s">
        <v>1599</v>
      </c>
      <c r="CI128" s="403" t="s">
        <v>1600</v>
      </c>
      <c r="CJ128" s="403" t="s">
        <v>1602</v>
      </c>
      <c r="CK128" s="403" t="s">
        <v>1601</v>
      </c>
      <c r="CL128" s="403" t="s">
        <v>1605</v>
      </c>
      <c r="CY128" s="403" t="s">
        <v>4663</v>
      </c>
      <c r="CZ128" s="403" t="s">
        <v>4664</v>
      </c>
      <c r="DA128" s="403" t="s">
        <v>4665</v>
      </c>
      <c r="DB128" s="403" t="s">
        <v>4666</v>
      </c>
      <c r="DC128" s="403" t="s">
        <v>4667</v>
      </c>
      <c r="DD128" s="403" t="s">
        <v>4668</v>
      </c>
      <c r="DE128" s="403" t="s">
        <v>1605</v>
      </c>
      <c r="DR128" s="403" t="s">
        <v>4680</v>
      </c>
      <c r="DS128" s="403" t="s">
        <v>4681</v>
      </c>
      <c r="DT128" s="403" t="s">
        <v>4682</v>
      </c>
      <c r="DU128" s="403" t="s">
        <v>4683</v>
      </c>
      <c r="DV128" s="403" t="s">
        <v>4684</v>
      </c>
      <c r="DW128" s="403" t="s">
        <v>10176</v>
      </c>
      <c r="DX128" s="403" t="s">
        <v>4686</v>
      </c>
      <c r="EK128" s="403" t="s">
        <v>4688</v>
      </c>
      <c r="EL128" s="403" t="s">
        <v>4689</v>
      </c>
      <c r="EM128" s="403" t="s">
        <v>4690</v>
      </c>
      <c r="EN128" s="403" t="s">
        <v>4691</v>
      </c>
      <c r="EO128" s="403" t="s">
        <v>4692</v>
      </c>
      <c r="EP128" s="403" t="s">
        <v>4693</v>
      </c>
      <c r="EQ128" s="403" t="s">
        <v>6111</v>
      </c>
    </row>
    <row r="129" spans="1:149" hidden="1" x14ac:dyDescent="0.2">
      <c r="A129" s="645" t="s">
        <v>14119</v>
      </c>
      <c r="B129" s="5" t="str">
        <f ca="1">IF(OFFSET(T129,0,Lang_Order*Lang__B3)="","",OFFSET(T129,0,Lang_Order*Lang__B3))</f>
        <v>Special tariff</v>
      </c>
      <c r="C129" s="2" t="str">
        <f ca="1">IF(OFFSET(U129,0,Lang_Order*Lang__B3)="","",OFFSET(U129,0,Lang_Order*Lang__B3))</f>
        <v>per dose</v>
      </c>
      <c r="I129" s="14" t="e">
        <f t="shared" ref="I129:N129" si="77">Special_tariff*SUM(I11:I14)</f>
        <v>#N/A</v>
      </c>
      <c r="J129" s="14" t="e">
        <f t="shared" si="77"/>
        <v>#N/A</v>
      </c>
      <c r="K129" s="14" t="e">
        <f t="shared" si="77"/>
        <v>#N/A</v>
      </c>
      <c r="L129" s="14" t="e">
        <f t="shared" si="77"/>
        <v>#N/A</v>
      </c>
      <c r="M129" s="14" t="e">
        <f t="shared" si="77"/>
        <v>#N/A</v>
      </c>
      <c r="N129" s="14" t="e">
        <f t="shared" si="77"/>
        <v>#N/A</v>
      </c>
      <c r="O129" s="37" t="e">
        <f>SUM(I129:N129)</f>
        <v>#N/A</v>
      </c>
      <c r="P129" s="508"/>
      <c r="Q129" s="47"/>
      <c r="T129" s="403" t="s">
        <v>2798</v>
      </c>
      <c r="U129" s="403" t="s">
        <v>2799</v>
      </c>
      <c r="AM129" s="403" t="s">
        <v>10396</v>
      </c>
      <c r="AN129" s="403" t="s">
        <v>8219</v>
      </c>
      <c r="BF129" s="403" t="s">
        <v>10397</v>
      </c>
      <c r="BG129" s="403" t="s">
        <v>10398</v>
      </c>
      <c r="BY129" s="403" t="s">
        <v>10399</v>
      </c>
      <c r="BZ129" s="403" t="s">
        <v>10400</v>
      </c>
      <c r="CR129" s="403" t="s">
        <v>10401</v>
      </c>
      <c r="CS129" s="403" t="s">
        <v>10402</v>
      </c>
      <c r="DK129" s="403" t="s">
        <v>10403</v>
      </c>
      <c r="DL129" s="403" t="s">
        <v>10404</v>
      </c>
      <c r="ED129" s="403" t="s">
        <v>10405</v>
      </c>
      <c r="EE129" s="403" t="s">
        <v>8234</v>
      </c>
    </row>
    <row r="130" spans="1:149" hidden="1" x14ac:dyDescent="0.2">
      <c r="A130" s="645" t="s">
        <v>14119</v>
      </c>
      <c r="B130" s="5" t="str">
        <f ca="1">IF(OFFSET(T130,0,Lang_Order*Lang__B3)="","",OFFSET(T130,0,Lang_Order*Lang__B3))</f>
        <v>Ad Valorem</v>
      </c>
      <c r="C130" s="2" t="str">
        <f ca="1">IF(OFFSET(U130,0,Lang_Order*Lang__B3)="","",OFFSET(U130,0,Lang_Order*Lang__B3))</f>
        <v>per value</v>
      </c>
      <c r="I130" s="14" t="e">
        <f>Ad_valorem*'R2. Resource Mapping'!C95</f>
        <v>#N/A</v>
      </c>
      <c r="J130" s="460" t="e">
        <f>Ad_valorem*'R2. Resource Mapping'!D95</f>
        <v>#N/A</v>
      </c>
      <c r="K130" s="460" t="e">
        <f>Ad_valorem*'R2. Resource Mapping'!E95</f>
        <v>#N/A</v>
      </c>
      <c r="L130" s="460" t="e">
        <f>Ad_valorem*'R2. Resource Mapping'!F95</f>
        <v>#N/A</v>
      </c>
      <c r="M130" s="460" t="e">
        <f>Ad_valorem*'R2. Resource Mapping'!G95</f>
        <v>#N/A</v>
      </c>
      <c r="N130" s="460" t="e">
        <f>Ad_valorem*'R2. Resource Mapping'!H95</f>
        <v>#N/A</v>
      </c>
      <c r="O130" s="37" t="e">
        <f t="shared" ref="O130" si="78">SUM(I130:N130)</f>
        <v>#N/A</v>
      </c>
      <c r="P130" s="508"/>
      <c r="Q130" s="47"/>
      <c r="T130" s="403" t="s">
        <v>2800</v>
      </c>
      <c r="U130" s="403" t="s">
        <v>2801</v>
      </c>
      <c r="AM130" s="403" t="s">
        <v>10406</v>
      </c>
      <c r="AN130" s="403" t="s">
        <v>10406</v>
      </c>
      <c r="BF130" s="403" t="s">
        <v>10407</v>
      </c>
      <c r="BG130" s="403" t="s">
        <v>10408</v>
      </c>
      <c r="BY130" s="403" t="s">
        <v>2800</v>
      </c>
      <c r="BZ130" s="403" t="s">
        <v>10409</v>
      </c>
      <c r="CR130" s="403" t="s">
        <v>2800</v>
      </c>
      <c r="CS130" s="403" t="s">
        <v>10409</v>
      </c>
      <c r="DK130" s="403" t="s">
        <v>10410</v>
      </c>
      <c r="DL130" s="403" t="s">
        <v>10411</v>
      </c>
      <c r="ED130" s="403" t="s">
        <v>10412</v>
      </c>
      <c r="EE130" s="403" t="s">
        <v>8247</v>
      </c>
    </row>
    <row r="131" spans="1:149" s="194" customFormat="1" ht="13.5" hidden="1" thickBot="1" x14ac:dyDescent="0.25">
      <c r="A131" s="645" t="s">
        <v>14119</v>
      </c>
      <c r="B131" s="21" t="str">
        <f ca="1">IF(OFFSET(T131,0,Lang_Order*Lang__B3)="","",OFFSET(T131,0,Lang_Order*Lang__B3))</f>
        <v>Customs clearance for vaccine doses per period</v>
      </c>
      <c r="C131" s="20"/>
      <c r="D131" s="20"/>
      <c r="E131" s="20"/>
      <c r="F131" s="20"/>
      <c r="G131" s="20"/>
      <c r="H131" s="20"/>
      <c r="I131" s="118" t="e">
        <f>SUM(I129:I130)</f>
        <v>#N/A</v>
      </c>
      <c r="J131" s="118" t="e">
        <f t="shared" ref="J131:N131" si="79">SUM(J129:J130)</f>
        <v>#N/A</v>
      </c>
      <c r="K131" s="118" t="e">
        <f t="shared" si="79"/>
        <v>#N/A</v>
      </c>
      <c r="L131" s="118" t="e">
        <f t="shared" si="79"/>
        <v>#N/A</v>
      </c>
      <c r="M131" s="118" t="e">
        <f t="shared" si="79"/>
        <v>#N/A</v>
      </c>
      <c r="N131" s="118" t="e">
        <f t="shared" si="79"/>
        <v>#N/A</v>
      </c>
      <c r="O131" s="118" t="e">
        <f t="shared" ref="O131" si="80">SUM(I131:N131)</f>
        <v>#N/A</v>
      </c>
      <c r="P131" s="508"/>
      <c r="Q131" s="47"/>
      <c r="R131" s="403"/>
      <c r="S131" s="403"/>
      <c r="T131" s="403" t="s">
        <v>3741</v>
      </c>
      <c r="U131" s="403"/>
      <c r="V131" s="403"/>
      <c r="W131" s="403"/>
      <c r="X131" s="403"/>
      <c r="Y131" s="403"/>
      <c r="Z131" s="403"/>
      <c r="AA131" s="403"/>
      <c r="AB131" s="403"/>
      <c r="AC131" s="403"/>
      <c r="AD131" s="403"/>
      <c r="AE131" s="403"/>
      <c r="AF131" s="403"/>
      <c r="AG131" s="403"/>
      <c r="AH131" s="403"/>
      <c r="AI131" s="403"/>
      <c r="AJ131" s="403"/>
      <c r="AK131" s="403"/>
      <c r="AL131" s="403"/>
      <c r="AM131" s="403" t="s">
        <v>10413</v>
      </c>
      <c r="AN131" s="403"/>
      <c r="AO131" s="403"/>
      <c r="AP131" s="403"/>
      <c r="AQ131" s="403"/>
      <c r="AR131" s="403"/>
      <c r="AS131" s="403"/>
      <c r="AT131" s="403"/>
      <c r="AU131" s="403"/>
      <c r="AV131" s="403"/>
      <c r="AW131" s="403"/>
      <c r="AX131" s="403"/>
      <c r="AY131" s="403"/>
      <c r="AZ131" s="403"/>
      <c r="BA131" s="403"/>
      <c r="BB131" s="403"/>
      <c r="BC131" s="403"/>
      <c r="BD131" s="403"/>
      <c r="BE131" s="403"/>
      <c r="BF131" s="403" t="s">
        <v>10414</v>
      </c>
      <c r="BG131" s="403"/>
      <c r="BH131" s="403"/>
      <c r="BI131" s="403"/>
      <c r="BJ131" s="403"/>
      <c r="BK131" s="403"/>
      <c r="BL131" s="403"/>
      <c r="BM131" s="403"/>
      <c r="BN131" s="403"/>
      <c r="BO131" s="403"/>
      <c r="BP131" s="403"/>
      <c r="BQ131" s="403"/>
      <c r="BR131" s="403"/>
      <c r="BS131" s="403"/>
      <c r="BT131" s="403"/>
      <c r="BU131" s="403"/>
      <c r="BV131" s="403"/>
      <c r="BW131" s="403"/>
      <c r="BX131" s="403"/>
      <c r="BY131" s="403" t="s">
        <v>10415</v>
      </c>
      <c r="BZ131" s="403"/>
      <c r="CA131" s="403"/>
      <c r="CB131" s="403"/>
      <c r="CC131" s="403"/>
      <c r="CD131" s="403"/>
      <c r="CE131" s="403"/>
      <c r="CF131" s="403"/>
      <c r="CG131" s="403"/>
      <c r="CH131" s="403"/>
      <c r="CI131" s="403"/>
      <c r="CJ131" s="403"/>
      <c r="CK131" s="403"/>
      <c r="CL131" s="403"/>
      <c r="CM131" s="403"/>
      <c r="CN131" s="403"/>
      <c r="CO131" s="403"/>
      <c r="CP131" s="403"/>
      <c r="CQ131" s="403"/>
      <c r="CR131" s="403" t="s">
        <v>10416</v>
      </c>
      <c r="CS131" s="403"/>
      <c r="CT131" s="403"/>
      <c r="CU131" s="403"/>
      <c r="CV131" s="403"/>
      <c r="CW131" s="403"/>
      <c r="CX131" s="403"/>
      <c r="CY131" s="403"/>
      <c r="CZ131" s="403"/>
      <c r="DA131" s="403"/>
      <c r="DB131" s="403"/>
      <c r="DC131" s="403"/>
      <c r="DD131" s="403"/>
      <c r="DE131" s="403"/>
      <c r="DF131" s="403"/>
      <c r="DG131" s="403"/>
      <c r="DH131" s="403"/>
      <c r="DI131" s="403"/>
      <c r="DJ131" s="403"/>
      <c r="DK131" s="403" t="s">
        <v>10417</v>
      </c>
      <c r="DL131" s="403"/>
      <c r="DM131" s="403"/>
      <c r="DN131" s="403"/>
      <c r="DO131" s="403"/>
      <c r="DP131" s="403"/>
      <c r="DQ131" s="403"/>
      <c r="DR131" s="403"/>
      <c r="DS131" s="403"/>
      <c r="DT131" s="403"/>
      <c r="DU131" s="403"/>
      <c r="DV131" s="403"/>
      <c r="DW131" s="403"/>
      <c r="DX131" s="403"/>
      <c r="DY131" s="403"/>
      <c r="DZ131" s="403"/>
      <c r="EA131" s="403"/>
      <c r="EB131" s="403"/>
      <c r="EC131" s="403"/>
      <c r="ED131" s="403" t="s">
        <v>10418</v>
      </c>
      <c r="EE131" s="403"/>
      <c r="EF131" s="403"/>
      <c r="EG131" s="403"/>
      <c r="EH131" s="403"/>
      <c r="EI131" s="403"/>
      <c r="EJ131" s="403"/>
      <c r="EK131" s="403"/>
      <c r="EL131" s="403"/>
      <c r="EM131" s="403"/>
      <c r="EN131" s="403"/>
      <c r="EO131" s="403"/>
      <c r="EP131" s="403"/>
      <c r="EQ131" s="403"/>
      <c r="ER131" s="403"/>
      <c r="ES131" s="403"/>
    </row>
    <row r="132" spans="1:149" ht="13.5" hidden="1" thickTop="1" x14ac:dyDescent="0.2">
      <c r="A132" s="645" t="s">
        <v>14119</v>
      </c>
      <c r="B132" s="5"/>
      <c r="P132" s="508"/>
    </row>
    <row r="133" spans="1:149" ht="15" x14ac:dyDescent="0.25">
      <c r="A133" s="660"/>
      <c r="B133" s="8" t="str">
        <f ca="1">IF(OFFSET(T133,0,Lang_Order*Lang__B3)="","",OFFSET(T133,0,Lang_Order*Lang__B3))</f>
        <v>B3.4 Ground Handling</v>
      </c>
      <c r="C133" s="8"/>
      <c r="D133" s="8"/>
      <c r="E133" s="8"/>
      <c r="F133" s="8"/>
      <c r="G133" s="8"/>
      <c r="H133" s="8"/>
      <c r="I133" s="195">
        <f>I135</f>
        <v>0</v>
      </c>
      <c r="J133" s="195">
        <f t="shared" ref="J133:O133" si="81">J135</f>
        <v>0</v>
      </c>
      <c r="K133" s="195">
        <f t="shared" si="81"/>
        <v>0</v>
      </c>
      <c r="L133" s="195">
        <f t="shared" si="81"/>
        <v>0</v>
      </c>
      <c r="M133" s="195">
        <f t="shared" si="81"/>
        <v>0</v>
      </c>
      <c r="N133" s="195">
        <f t="shared" si="81"/>
        <v>0</v>
      </c>
      <c r="O133" s="195">
        <f t="shared" si="81"/>
        <v>0</v>
      </c>
      <c r="P133" s="508"/>
      <c r="T133" s="403" t="s">
        <v>3950</v>
      </c>
      <c r="AM133" s="403" t="s">
        <v>10419</v>
      </c>
      <c r="BF133" s="403" t="s">
        <v>10420</v>
      </c>
      <c r="BY133" s="403" t="s">
        <v>10421</v>
      </c>
      <c r="CR133" s="403" t="s">
        <v>10422</v>
      </c>
      <c r="DK133" s="403" t="s">
        <v>10423</v>
      </c>
      <c r="ED133" s="403" t="s">
        <v>10424</v>
      </c>
    </row>
    <row r="134" spans="1:149" x14ac:dyDescent="0.2">
      <c r="B134" s="5" t="str">
        <f ca="1">IF(OFFSET(T134,0,Lang_Order*Lang__B3)="","",OFFSET(T134,0,Lang_Order*Lang__B3))</f>
        <v>Ground handling costs</v>
      </c>
      <c r="C134" s="2"/>
      <c r="I134" s="37">
        <f t="shared" ref="I134:N134" si="82">Handling_perShipment_USD*IF($C$7="Yes",I74,I121)</f>
        <v>0</v>
      </c>
      <c r="J134" s="37">
        <f t="shared" si="82"/>
        <v>0</v>
      </c>
      <c r="K134" s="37">
        <f t="shared" si="82"/>
        <v>0</v>
      </c>
      <c r="L134" s="37">
        <f t="shared" si="82"/>
        <v>0</v>
      </c>
      <c r="M134" s="37">
        <f t="shared" si="82"/>
        <v>0</v>
      </c>
      <c r="N134" s="37">
        <f t="shared" si="82"/>
        <v>0</v>
      </c>
      <c r="O134" s="37">
        <f>SUM(I134:N134)</f>
        <v>0</v>
      </c>
      <c r="Q134" s="12" t="str">
        <f ca="1">IF(OFFSET(AI134,0,Lang_Order*Lang__B3)="","",OFFSET(AI134,0,Lang_Order*Lang__B3))</f>
        <v/>
      </c>
      <c r="T134" s="403" t="s">
        <v>3138</v>
      </c>
      <c r="AM134" s="403" t="s">
        <v>10425</v>
      </c>
      <c r="BF134" s="403" t="s">
        <v>10426</v>
      </c>
      <c r="BY134" s="403" t="s">
        <v>10427</v>
      </c>
      <c r="CR134" s="403" t="s">
        <v>10428</v>
      </c>
      <c r="DK134" s="403" t="s">
        <v>10429</v>
      </c>
      <c r="ED134" s="403" t="s">
        <v>10430</v>
      </c>
    </row>
    <row r="135" spans="1:149" s="193" customFormat="1" ht="13.5" thickBot="1" x14ac:dyDescent="0.25">
      <c r="B135" s="21" t="str">
        <f ca="1">IF(OFFSET(T135,0,Lang_Order*Lang__B3)="","",OFFSET(T135,0,Lang_Order*Lang__B3))</f>
        <v>Total handling and other</v>
      </c>
      <c r="C135" s="20"/>
      <c r="D135" s="20"/>
      <c r="E135" s="20"/>
      <c r="F135" s="20"/>
      <c r="G135" s="20"/>
      <c r="H135" s="20"/>
      <c r="I135" s="118">
        <f t="shared" ref="I135:N135" si="83">SUM(I134:I134)</f>
        <v>0</v>
      </c>
      <c r="J135" s="118">
        <f t="shared" si="83"/>
        <v>0</v>
      </c>
      <c r="K135" s="118">
        <f t="shared" si="83"/>
        <v>0</v>
      </c>
      <c r="L135" s="118">
        <f t="shared" si="83"/>
        <v>0</v>
      </c>
      <c r="M135" s="118">
        <f t="shared" si="83"/>
        <v>0</v>
      </c>
      <c r="N135" s="118">
        <f t="shared" si="83"/>
        <v>0</v>
      </c>
      <c r="O135" s="118">
        <f t="shared" ref="O135" si="84">SUM(I135:N135)</f>
        <v>0</v>
      </c>
      <c r="R135" s="403"/>
      <c r="S135" s="403"/>
      <c r="T135" s="403" t="s">
        <v>2804</v>
      </c>
      <c r="U135" s="403"/>
      <c r="V135" s="403"/>
      <c r="W135" s="403"/>
      <c r="X135" s="403"/>
      <c r="Y135" s="403"/>
      <c r="Z135" s="403"/>
      <c r="AA135" s="403"/>
      <c r="AB135" s="403"/>
      <c r="AC135" s="403"/>
      <c r="AD135" s="403"/>
      <c r="AE135" s="403"/>
      <c r="AF135" s="403"/>
      <c r="AG135" s="403"/>
      <c r="AH135" s="403"/>
      <c r="AI135" s="403"/>
      <c r="AJ135" s="403"/>
      <c r="AK135" s="403"/>
      <c r="AL135" s="403"/>
      <c r="AM135" s="403" t="s">
        <v>10431</v>
      </c>
      <c r="AN135" s="403"/>
      <c r="AO135" s="403"/>
      <c r="AP135" s="403"/>
      <c r="AQ135" s="403"/>
      <c r="AR135" s="403"/>
      <c r="AS135" s="403"/>
      <c r="AT135" s="403"/>
      <c r="AU135" s="403"/>
      <c r="AV135" s="403"/>
      <c r="AW135" s="403"/>
      <c r="AX135" s="403"/>
      <c r="AY135" s="403"/>
      <c r="AZ135" s="403"/>
      <c r="BA135" s="403"/>
      <c r="BB135" s="403"/>
      <c r="BC135" s="403"/>
      <c r="BD135" s="403"/>
      <c r="BE135" s="403"/>
      <c r="BF135" s="403" t="s">
        <v>10432</v>
      </c>
      <c r="BG135" s="403"/>
      <c r="BH135" s="403"/>
      <c r="BI135" s="403"/>
      <c r="BJ135" s="403"/>
      <c r="BK135" s="403"/>
      <c r="BL135" s="403"/>
      <c r="BM135" s="403"/>
      <c r="BN135" s="403"/>
      <c r="BO135" s="403"/>
      <c r="BP135" s="403"/>
      <c r="BQ135" s="403"/>
      <c r="BR135" s="403"/>
      <c r="BS135" s="403"/>
      <c r="BT135" s="403"/>
      <c r="BU135" s="403"/>
      <c r="BV135" s="403"/>
      <c r="BW135" s="403"/>
      <c r="BX135" s="403"/>
      <c r="BY135" s="403" t="s">
        <v>10433</v>
      </c>
      <c r="BZ135" s="403"/>
      <c r="CA135" s="403"/>
      <c r="CB135" s="403"/>
      <c r="CC135" s="403"/>
      <c r="CD135" s="403"/>
      <c r="CE135" s="403"/>
      <c r="CF135" s="403"/>
      <c r="CG135" s="403"/>
      <c r="CH135" s="403"/>
      <c r="CI135" s="403"/>
      <c r="CJ135" s="403"/>
      <c r="CK135" s="403"/>
      <c r="CL135" s="403"/>
      <c r="CM135" s="403"/>
      <c r="CN135" s="403"/>
      <c r="CO135" s="403"/>
      <c r="CP135" s="403"/>
      <c r="CQ135" s="403"/>
      <c r="CR135" s="403" t="s">
        <v>10434</v>
      </c>
      <c r="CS135" s="403"/>
      <c r="CT135" s="403"/>
      <c r="CU135" s="403"/>
      <c r="CV135" s="403"/>
      <c r="CW135" s="403"/>
      <c r="CX135" s="403"/>
      <c r="CY135" s="403"/>
      <c r="CZ135" s="403"/>
      <c r="DA135" s="403"/>
      <c r="DB135" s="403"/>
      <c r="DC135" s="403"/>
      <c r="DD135" s="403"/>
      <c r="DE135" s="403"/>
      <c r="DF135" s="403"/>
      <c r="DG135" s="403"/>
      <c r="DH135" s="403"/>
      <c r="DI135" s="403"/>
      <c r="DJ135" s="403"/>
      <c r="DK135" s="403" t="s">
        <v>10435</v>
      </c>
      <c r="DL135" s="403"/>
      <c r="DM135" s="403"/>
      <c r="DN135" s="403"/>
      <c r="DO135" s="403"/>
      <c r="DP135" s="403"/>
      <c r="DQ135" s="403"/>
      <c r="DR135" s="403"/>
      <c r="DS135" s="403"/>
      <c r="DT135" s="403"/>
      <c r="DU135" s="403"/>
      <c r="DV135" s="403"/>
      <c r="DW135" s="403"/>
      <c r="DX135" s="403"/>
      <c r="DY135" s="403"/>
      <c r="DZ135" s="403"/>
      <c r="EA135" s="403"/>
      <c r="EB135" s="403"/>
      <c r="EC135" s="403"/>
      <c r="ED135" s="403" t="s">
        <v>10436</v>
      </c>
      <c r="EE135" s="403"/>
      <c r="EF135" s="403"/>
      <c r="EG135" s="403"/>
      <c r="EH135" s="403"/>
      <c r="EI135" s="403"/>
      <c r="EJ135" s="403"/>
      <c r="EK135" s="403"/>
      <c r="EL135" s="403"/>
      <c r="EM135" s="403"/>
      <c r="EN135" s="403"/>
      <c r="EO135" s="403"/>
      <c r="EP135" s="403"/>
      <c r="EQ135" s="403"/>
      <c r="ER135" s="403"/>
      <c r="ES135" s="403"/>
    </row>
    <row r="136" spans="1:149" ht="13.5" thickTop="1" x14ac:dyDescent="0.2">
      <c r="B136" s="5"/>
    </row>
    <row r="137" spans="1:149" s="27" customFormat="1" ht="19.5" x14ac:dyDescent="0.3">
      <c r="R137" s="403"/>
      <c r="S137" s="403"/>
      <c r="T137" s="403"/>
      <c r="U137" s="403"/>
      <c r="V137" s="403"/>
      <c r="W137" s="403"/>
      <c r="X137" s="403"/>
      <c r="Y137" s="403"/>
      <c r="Z137" s="403"/>
      <c r="AA137" s="403"/>
      <c r="AB137" s="403"/>
      <c r="AC137" s="403"/>
      <c r="AD137" s="403"/>
      <c r="AE137" s="403"/>
      <c r="AF137" s="403"/>
      <c r="AG137" s="403"/>
      <c r="AH137" s="403"/>
      <c r="AI137" s="403"/>
      <c r="AJ137" s="403"/>
      <c r="AK137" s="403"/>
      <c r="AL137" s="403"/>
      <c r="AM137" s="403"/>
      <c r="AN137" s="403"/>
      <c r="AO137" s="403"/>
      <c r="AP137" s="403"/>
      <c r="AQ137" s="403"/>
      <c r="AR137" s="403"/>
      <c r="AS137" s="403"/>
      <c r="AT137" s="403"/>
      <c r="AU137" s="403"/>
      <c r="AV137" s="403"/>
      <c r="AW137" s="403"/>
      <c r="AX137" s="403"/>
      <c r="AY137" s="403"/>
      <c r="AZ137" s="403"/>
      <c r="BA137" s="403"/>
      <c r="BB137" s="403"/>
      <c r="BC137" s="403"/>
      <c r="BD137" s="403"/>
      <c r="BE137" s="403"/>
      <c r="BF137" s="403"/>
      <c r="BG137" s="403"/>
      <c r="BH137" s="403"/>
      <c r="BI137" s="403"/>
      <c r="BJ137" s="403"/>
      <c r="BK137" s="403"/>
      <c r="BL137" s="403"/>
      <c r="BM137" s="403"/>
      <c r="BN137" s="403"/>
      <c r="BO137" s="403"/>
      <c r="BP137" s="403"/>
      <c r="BQ137" s="403"/>
      <c r="BR137" s="403"/>
      <c r="BS137" s="403"/>
      <c r="BT137" s="403"/>
      <c r="BU137" s="403"/>
      <c r="BV137" s="403"/>
      <c r="BW137" s="403"/>
      <c r="BX137" s="403"/>
      <c r="BY137" s="403"/>
      <c r="BZ137" s="403"/>
      <c r="CA137" s="403"/>
      <c r="CB137" s="403"/>
      <c r="CC137" s="403"/>
      <c r="CD137" s="403"/>
      <c r="CE137" s="403"/>
      <c r="CF137" s="403"/>
      <c r="CG137" s="403"/>
      <c r="CH137" s="403"/>
      <c r="CI137" s="403"/>
      <c r="CJ137" s="403"/>
      <c r="CK137" s="403"/>
      <c r="CL137" s="403"/>
      <c r="CM137" s="403"/>
      <c r="CN137" s="403"/>
      <c r="CO137" s="403"/>
      <c r="CP137" s="403"/>
      <c r="CQ137" s="403"/>
      <c r="CR137" s="403"/>
      <c r="CS137" s="403"/>
      <c r="CT137" s="403"/>
      <c r="CU137" s="403"/>
      <c r="CV137" s="403"/>
      <c r="CW137" s="403"/>
      <c r="CX137" s="403"/>
      <c r="CY137" s="403"/>
      <c r="CZ137" s="403"/>
      <c r="DA137" s="403"/>
      <c r="DB137" s="403"/>
      <c r="DC137" s="403"/>
      <c r="DD137" s="403"/>
      <c r="DE137" s="403"/>
      <c r="DF137" s="403"/>
      <c r="DG137" s="403"/>
      <c r="DH137" s="403"/>
      <c r="DI137" s="403"/>
      <c r="DJ137" s="403"/>
      <c r="DK137" s="403"/>
      <c r="DL137" s="403"/>
      <c r="DM137" s="403"/>
      <c r="DN137" s="403"/>
      <c r="DO137" s="403"/>
      <c r="DP137" s="403"/>
      <c r="DQ137" s="403"/>
      <c r="DR137" s="403"/>
      <c r="DS137" s="403"/>
      <c r="DT137" s="403"/>
      <c r="DU137" s="403"/>
      <c r="DV137" s="403"/>
      <c r="DW137" s="403"/>
      <c r="DX137" s="403"/>
      <c r="DY137" s="403"/>
      <c r="DZ137" s="403"/>
      <c r="EA137" s="403"/>
      <c r="EB137" s="403"/>
      <c r="EC137" s="403"/>
      <c r="ED137" s="403"/>
      <c r="EE137" s="403"/>
      <c r="EF137" s="403"/>
      <c r="EG137" s="403"/>
      <c r="EH137" s="403"/>
      <c r="EI137" s="403"/>
      <c r="EJ137" s="403"/>
      <c r="EK137" s="403"/>
      <c r="EL137" s="403"/>
      <c r="EM137" s="403"/>
      <c r="EN137" s="403"/>
      <c r="EO137" s="403"/>
      <c r="EP137" s="403"/>
      <c r="EQ137" s="403"/>
      <c r="ER137" s="403"/>
      <c r="ES137" s="403"/>
    </row>
    <row r="139" spans="1:149" x14ac:dyDescent="0.2">
      <c r="C139" s="72" t="str">
        <f ca="1">IF(OFFSET(U139,0,Lang_Order*Lang__B3)="","",OFFSET(U139,0,Lang_Order*Lang__B3))</f>
        <v>Shipping per dose (to estimate / unbundle Covax fully-loaded vaccine doses)</v>
      </c>
      <c r="I139" s="544" t="e">
        <f>SUM(I5:J5,I123:J123,I133:J133)/SUM('B1. Target Population'!D200:E200)</f>
        <v>#N/A</v>
      </c>
      <c r="U139" s="403" t="s">
        <v>4387</v>
      </c>
      <c r="AN139" s="403" t="s">
        <v>10437</v>
      </c>
      <c r="BG139" s="403" t="s">
        <v>10438</v>
      </c>
      <c r="BZ139" s="403" t="s">
        <v>10439</v>
      </c>
      <c r="CS139" s="403" t="s">
        <v>10440</v>
      </c>
      <c r="DL139" s="403" t="s">
        <v>10441</v>
      </c>
      <c r="EE139" s="403" t="s">
        <v>10442</v>
      </c>
    </row>
    <row r="140" spans="1:149" x14ac:dyDescent="0.2">
      <c r="C140" s="72"/>
      <c r="I140" s="547"/>
    </row>
    <row r="144" spans="1:149" x14ac:dyDescent="0.2">
      <c r="A144" s="684" t="str">
        <f>WHO_Copyright</f>
        <v>© World Health Organization and the United Nations Children’s Fund (UNICEF), 2022. Some rights reserved. This work is available under the CC BY-NC-SA 3.0 IGO licence.</v>
      </c>
      <c r="B144" s="684"/>
      <c r="C144" s="684"/>
      <c r="D144" s="684"/>
      <c r="E144" s="684"/>
      <c r="F144" s="684"/>
      <c r="G144" s="684"/>
      <c r="H144" s="684"/>
      <c r="I144" s="684"/>
      <c r="J144" s="684"/>
      <c r="K144" s="684"/>
      <c r="L144" s="684"/>
      <c r="M144" s="684"/>
      <c r="N144" s="684"/>
    </row>
    <row r="145" spans="1:14" x14ac:dyDescent="0.2">
      <c r="A145" s="671" t="str">
        <f>WHO_Reference</f>
        <v>WHO reference number: WHO/2019-nCoV/Vaccine_deployment_tool/2022.1</v>
      </c>
      <c r="B145" s="671"/>
      <c r="C145" s="671"/>
      <c r="D145" s="671"/>
      <c r="E145" s="671"/>
      <c r="F145" s="671"/>
      <c r="G145" s="671"/>
      <c r="H145" s="671"/>
      <c r="I145" s="671"/>
      <c r="J145" s="671"/>
      <c r="K145" s="671"/>
      <c r="L145" s="671"/>
      <c r="M145" s="671"/>
      <c r="N145" s="671"/>
    </row>
  </sheetData>
  <sheetProtection algorithmName="SHA-512" hashValue="FH2RM44INptLkEp7PSS/BvH8RpncJ6O+TgHPrb5ysKVy+jCBoazqwcgpV04er2eJqnSle49M47frTMH9e1wEnA==" saltValue="8p99gtlBjMt+3akyAgKlHQ==" spinCount="100000" sheet="1" objects="1" scenarios="1"/>
  <mergeCells count="3">
    <mergeCell ref="B3:O3"/>
    <mergeCell ref="A144:N144"/>
    <mergeCell ref="A145:N145"/>
  </mergeCells>
  <conditionalFormatting sqref="M2">
    <cfRule type="containsText" dxfId="210" priority="1" operator="containsText" text="Logic checks passed">
      <formula>NOT(ISERROR(SEARCH("Logic checks passed",M2)))</formula>
    </cfRule>
  </conditionalFormatting>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8A4B9-1929-446C-8219-2E7DD470DC0D}">
  <sheetPr codeName="Sheet12">
    <tabColor rgb="FF008DC9"/>
  </sheetPr>
  <dimension ref="A1:XEN427"/>
  <sheetViews>
    <sheetView showGridLines="0" workbookViewId="0"/>
  </sheetViews>
  <sheetFormatPr defaultRowHeight="12.75" x14ac:dyDescent="0.2"/>
  <cols>
    <col min="1" max="1" width="3" customWidth="1"/>
    <col min="2" max="2" width="7.28515625" customWidth="1"/>
    <col min="3" max="3" width="56.42578125" customWidth="1"/>
    <col min="4" max="4" width="45.85546875" customWidth="1"/>
    <col min="5" max="9" width="2.28515625" hidden="1" customWidth="1"/>
    <col min="10" max="16" width="18" customWidth="1"/>
    <col min="17" max="17" width="102.85546875" bestFit="1" customWidth="1"/>
    <col min="18" max="18" width="2.85546875" style="403" hidden="1" customWidth="1"/>
    <col min="19" max="150" width="2.28515625" style="403" hidden="1" customWidth="1"/>
  </cols>
  <sheetData>
    <row r="1" spans="1:16368" s="194" customFormat="1" ht="45" customHeight="1" x14ac:dyDescent="0.2">
      <c r="A1" s="225" t="str">
        <f ca="1">IF(OFFSET(S1,0,Lang_Order*Lang__B4)="","",OFFSET(S1,0,Lang_Order*Lang__B4))</f>
        <v>NAVIGATION BAR:</v>
      </c>
      <c r="B1" s="224"/>
      <c r="C1" s="224"/>
      <c r="D1" s="224"/>
      <c r="E1" s="614" t="s">
        <v>3031</v>
      </c>
      <c r="F1" s="614"/>
      <c r="G1" s="614"/>
      <c r="H1" s="614"/>
      <c r="I1" s="614"/>
      <c r="J1" s="224"/>
      <c r="K1" s="224"/>
      <c r="L1" s="224"/>
      <c r="M1" s="224"/>
      <c r="N1" s="224"/>
      <c r="O1" s="224"/>
      <c r="P1" s="396" t="str">
        <f>IF(COUNTIF(P197:P199,Lang_CHECK)=0,Lang_LogicPassed,CONCATENATE(Lang_LogicFailed,COUNTIF(P197:P199,Lang_CHECK)))</f>
        <v>Logic checks passed</v>
      </c>
      <c r="Q1" s="224"/>
      <c r="R1" s="403">
        <v>19</v>
      </c>
      <c r="S1" s="403" t="s">
        <v>2910</v>
      </c>
      <c r="T1" s="403"/>
      <c r="U1" s="403"/>
      <c r="V1" s="403"/>
      <c r="W1" s="403"/>
      <c r="X1" s="403"/>
      <c r="Y1" s="403"/>
      <c r="Z1" s="403"/>
      <c r="AA1" s="403"/>
      <c r="AB1" s="403"/>
      <c r="AC1" s="403"/>
      <c r="AD1" s="403"/>
      <c r="AE1" s="403"/>
      <c r="AF1" s="403"/>
      <c r="AG1" s="403"/>
      <c r="AH1" s="403"/>
      <c r="AI1" s="403"/>
      <c r="AJ1" s="403"/>
      <c r="AK1" s="403"/>
      <c r="AL1" s="403" t="s">
        <v>4634</v>
      </c>
      <c r="AM1" s="403"/>
      <c r="AN1" s="403"/>
      <c r="AO1" s="403"/>
      <c r="AP1" s="403"/>
      <c r="AQ1" s="403"/>
      <c r="AR1" s="403"/>
      <c r="AS1" s="403"/>
      <c r="AT1" s="403"/>
      <c r="AU1" s="403"/>
      <c r="AV1" s="403"/>
      <c r="AW1" s="403"/>
      <c r="AX1" s="403"/>
      <c r="AY1" s="403"/>
      <c r="AZ1" s="403"/>
      <c r="BA1" s="403"/>
      <c r="BB1" s="403"/>
      <c r="BC1" s="403"/>
      <c r="BD1" s="403"/>
      <c r="BE1" s="403" t="s">
        <v>4635</v>
      </c>
      <c r="BF1" s="403"/>
      <c r="BG1" s="403"/>
      <c r="BH1" s="403"/>
      <c r="BI1" s="403"/>
      <c r="BJ1" s="403"/>
      <c r="BK1" s="403"/>
      <c r="BL1" s="403"/>
      <c r="BM1" s="403"/>
      <c r="BN1" s="403"/>
      <c r="BO1" s="403"/>
      <c r="BP1" s="403"/>
      <c r="BQ1" s="403"/>
      <c r="BR1" s="403"/>
      <c r="BS1" s="403"/>
      <c r="BT1" s="403"/>
      <c r="BU1" s="403"/>
      <c r="BV1" s="403"/>
      <c r="BW1" s="403"/>
      <c r="BX1" s="403" t="s">
        <v>4636</v>
      </c>
      <c r="BY1" s="403"/>
      <c r="BZ1" s="403"/>
      <c r="CA1" s="403"/>
      <c r="CB1" s="403"/>
      <c r="CC1" s="403"/>
      <c r="CD1" s="403"/>
      <c r="CE1" s="403"/>
      <c r="CF1" s="403"/>
      <c r="CG1" s="403"/>
      <c r="CH1" s="403"/>
      <c r="CI1" s="403"/>
      <c r="CJ1" s="403"/>
      <c r="CK1" s="403"/>
      <c r="CL1" s="403"/>
      <c r="CM1" s="403"/>
      <c r="CN1" s="403"/>
      <c r="CO1" s="403"/>
      <c r="CP1" s="403"/>
      <c r="CQ1" s="403" t="s">
        <v>4637</v>
      </c>
      <c r="CR1" s="403"/>
      <c r="CS1" s="403"/>
      <c r="CT1" s="403"/>
      <c r="CU1" s="403"/>
      <c r="CV1" s="403"/>
      <c r="CW1" s="403"/>
      <c r="CX1" s="403"/>
      <c r="CY1" s="403"/>
      <c r="CZ1" s="403"/>
      <c r="DA1" s="403"/>
      <c r="DB1" s="403"/>
      <c r="DC1" s="403"/>
      <c r="DD1" s="403"/>
      <c r="DE1" s="403"/>
      <c r="DF1" s="403"/>
      <c r="DG1" s="403"/>
      <c r="DH1" s="403"/>
      <c r="DI1" s="403"/>
      <c r="DJ1" s="403" t="s">
        <v>4638</v>
      </c>
      <c r="DK1" s="403"/>
      <c r="DL1" s="403"/>
      <c r="DM1" s="403"/>
      <c r="DN1" s="403"/>
      <c r="DO1" s="403"/>
      <c r="DP1" s="403"/>
      <c r="DQ1" s="403"/>
      <c r="DR1" s="403"/>
      <c r="DS1" s="403"/>
      <c r="DT1" s="403"/>
      <c r="DU1" s="403"/>
      <c r="DV1" s="403"/>
      <c r="DW1" s="403"/>
      <c r="DX1" s="403"/>
      <c r="DY1" s="403"/>
      <c r="DZ1" s="403"/>
      <c r="EA1" s="403"/>
      <c r="EB1" s="403"/>
      <c r="EC1" s="403" t="s">
        <v>4639</v>
      </c>
      <c r="ED1" s="403"/>
      <c r="EE1" s="403"/>
      <c r="EF1" s="403"/>
      <c r="EG1" s="403"/>
      <c r="EH1" s="403"/>
      <c r="EI1" s="403"/>
      <c r="EJ1" s="403"/>
      <c r="EK1" s="403"/>
      <c r="EL1" s="403"/>
      <c r="EM1" s="403"/>
      <c r="EN1" s="403"/>
      <c r="EO1" s="403"/>
      <c r="EP1" s="403"/>
      <c r="EQ1" s="403"/>
      <c r="ER1" s="403"/>
      <c r="ES1" s="403"/>
      <c r="ET1" s="403"/>
      <c r="EU1" s="224"/>
      <c r="EV1" s="224"/>
      <c r="EW1" s="224"/>
      <c r="EX1" s="224"/>
      <c r="EY1" s="224"/>
      <c r="EZ1" s="224"/>
      <c r="FA1" s="224"/>
      <c r="FB1" s="224"/>
      <c r="FC1" s="224"/>
      <c r="FD1" s="224"/>
      <c r="FE1" s="224"/>
      <c r="FF1" s="224"/>
      <c r="FG1" s="224"/>
      <c r="FH1" s="224"/>
      <c r="FI1" s="224"/>
      <c r="FJ1" s="224"/>
      <c r="FK1" s="224"/>
      <c r="FL1" s="224"/>
      <c r="FM1" s="224"/>
      <c r="FN1" s="224"/>
      <c r="FO1" s="224"/>
      <c r="FP1" s="224"/>
      <c r="FQ1" s="224"/>
      <c r="FR1" s="224"/>
      <c r="FS1" s="224"/>
      <c r="FT1" s="224"/>
      <c r="FU1" s="224"/>
      <c r="FV1" s="224"/>
      <c r="FW1" s="224"/>
      <c r="FX1" s="224"/>
      <c r="FY1" s="224"/>
      <c r="FZ1" s="224"/>
      <c r="GA1" s="224"/>
      <c r="GB1" s="224"/>
      <c r="GC1" s="224"/>
      <c r="GD1" s="224"/>
      <c r="GE1" s="224"/>
      <c r="GF1" s="224"/>
      <c r="GG1" s="224"/>
      <c r="GH1" s="224"/>
      <c r="GI1" s="224"/>
      <c r="GJ1" s="224"/>
      <c r="GK1" s="224"/>
      <c r="GL1" s="224"/>
      <c r="GM1" s="224"/>
      <c r="GN1" s="224"/>
      <c r="GO1" s="224"/>
      <c r="GP1" s="224"/>
      <c r="GQ1" s="224"/>
      <c r="GR1" s="224"/>
      <c r="GS1" s="224"/>
      <c r="GT1" s="224"/>
      <c r="GU1" s="224"/>
      <c r="GV1" s="224"/>
      <c r="GW1" s="224"/>
      <c r="GX1" s="224"/>
      <c r="GY1" s="224"/>
      <c r="GZ1" s="224"/>
      <c r="HA1" s="224"/>
      <c r="HB1" s="224"/>
      <c r="HC1" s="224"/>
      <c r="HD1" s="224"/>
      <c r="HE1" s="224"/>
      <c r="HF1" s="224"/>
      <c r="HG1" s="224"/>
      <c r="HH1" s="224"/>
      <c r="HI1" s="224"/>
      <c r="HJ1" s="224"/>
      <c r="HK1" s="224"/>
      <c r="HL1" s="224"/>
      <c r="HM1" s="224"/>
      <c r="HN1" s="224"/>
      <c r="HO1" s="224"/>
      <c r="HP1" s="224"/>
      <c r="HQ1" s="224"/>
      <c r="HR1" s="224"/>
      <c r="HS1" s="224"/>
      <c r="HT1" s="224"/>
      <c r="HU1" s="224"/>
      <c r="HV1" s="224"/>
      <c r="HW1" s="224"/>
      <c r="HX1" s="224"/>
      <c r="HY1" s="224"/>
      <c r="HZ1" s="224"/>
      <c r="IA1" s="224"/>
      <c r="IB1" s="224"/>
      <c r="IC1" s="224"/>
      <c r="ID1" s="224"/>
      <c r="IE1" s="224"/>
      <c r="IF1" s="224"/>
      <c r="IG1" s="224"/>
      <c r="IH1" s="224"/>
      <c r="II1" s="224"/>
      <c r="IJ1" s="224"/>
      <c r="IK1" s="224"/>
      <c r="IL1" s="224"/>
      <c r="IM1" s="224"/>
      <c r="IN1" s="224"/>
      <c r="IO1" s="224"/>
      <c r="IP1" s="224"/>
      <c r="IQ1" s="224"/>
      <c r="IR1" s="224"/>
      <c r="IS1" s="224"/>
      <c r="IT1" s="224"/>
      <c r="IU1" s="224"/>
      <c r="IV1" s="224"/>
      <c r="IW1" s="224"/>
      <c r="IX1" s="224"/>
      <c r="IY1" s="224"/>
      <c r="IZ1" s="224"/>
      <c r="JA1" s="224"/>
      <c r="JB1" s="224"/>
      <c r="JC1" s="224"/>
      <c r="JD1" s="224"/>
      <c r="JE1" s="224"/>
      <c r="JF1" s="224"/>
      <c r="JG1" s="224"/>
      <c r="JH1" s="224"/>
      <c r="JI1" s="224"/>
      <c r="JJ1" s="224"/>
      <c r="JK1" s="224"/>
      <c r="JL1" s="224"/>
      <c r="JM1" s="224"/>
      <c r="JN1" s="224"/>
      <c r="JO1" s="224"/>
      <c r="JP1" s="224"/>
      <c r="JQ1" s="224"/>
      <c r="JR1" s="224"/>
      <c r="JS1" s="224"/>
      <c r="JT1" s="224"/>
      <c r="JU1" s="224"/>
      <c r="JV1" s="224"/>
      <c r="JW1" s="224"/>
      <c r="JX1" s="224"/>
      <c r="JY1" s="224"/>
      <c r="JZ1" s="224"/>
      <c r="KA1" s="224"/>
      <c r="KB1" s="224"/>
      <c r="KC1" s="224"/>
      <c r="KD1" s="224"/>
      <c r="KE1" s="224"/>
      <c r="KF1" s="224"/>
      <c r="KG1" s="224"/>
      <c r="KH1" s="224"/>
      <c r="KI1" s="224"/>
      <c r="KJ1" s="224"/>
      <c r="KK1" s="224"/>
      <c r="KL1" s="224"/>
      <c r="KM1" s="224"/>
      <c r="KN1" s="224"/>
      <c r="KO1" s="224"/>
      <c r="KP1" s="224"/>
      <c r="KQ1" s="224"/>
      <c r="KR1" s="224"/>
      <c r="KS1" s="224"/>
      <c r="KT1" s="224"/>
      <c r="KU1" s="224"/>
      <c r="KV1" s="224"/>
      <c r="KW1" s="224"/>
      <c r="KX1" s="224"/>
      <c r="KY1" s="224"/>
      <c r="KZ1" s="224"/>
      <c r="LA1" s="224"/>
      <c r="LB1" s="224"/>
      <c r="LC1" s="224"/>
      <c r="LD1" s="224"/>
      <c r="LE1" s="224"/>
      <c r="LF1" s="224"/>
      <c r="LG1" s="224"/>
      <c r="LH1" s="224"/>
      <c r="LI1" s="224"/>
      <c r="LJ1" s="224"/>
      <c r="LK1" s="224"/>
      <c r="LL1" s="224"/>
      <c r="LM1" s="224"/>
      <c r="LN1" s="224"/>
      <c r="LO1" s="224"/>
      <c r="LP1" s="224"/>
      <c r="LQ1" s="224"/>
      <c r="LR1" s="224"/>
      <c r="LS1" s="224"/>
      <c r="LT1" s="224"/>
      <c r="LU1" s="224"/>
      <c r="LV1" s="224"/>
      <c r="LW1" s="224"/>
      <c r="LX1" s="224"/>
      <c r="LY1" s="224"/>
      <c r="LZ1" s="224"/>
      <c r="MA1" s="224"/>
      <c r="MB1" s="224"/>
      <c r="MC1" s="224"/>
      <c r="MD1" s="224"/>
      <c r="ME1" s="224"/>
      <c r="MF1" s="224"/>
      <c r="MG1" s="224"/>
      <c r="MH1" s="224"/>
      <c r="MI1" s="224"/>
      <c r="MJ1" s="224"/>
      <c r="MK1" s="224"/>
      <c r="ML1" s="224"/>
      <c r="MM1" s="224"/>
      <c r="MN1" s="224"/>
      <c r="MO1" s="224"/>
      <c r="MP1" s="224"/>
      <c r="MQ1" s="224"/>
      <c r="MR1" s="224"/>
      <c r="MS1" s="224"/>
      <c r="MT1" s="224"/>
      <c r="MU1" s="224"/>
      <c r="MV1" s="224"/>
      <c r="MW1" s="224"/>
      <c r="MX1" s="224"/>
      <c r="MY1" s="224"/>
      <c r="MZ1" s="224"/>
      <c r="NA1" s="224"/>
      <c r="NB1" s="224"/>
      <c r="NC1" s="224"/>
      <c r="ND1" s="224"/>
      <c r="NE1" s="224"/>
      <c r="NF1" s="224"/>
      <c r="NG1" s="224"/>
      <c r="NH1" s="224"/>
      <c r="NI1" s="224"/>
      <c r="NJ1" s="224"/>
      <c r="NK1" s="224"/>
      <c r="NL1" s="224"/>
      <c r="NM1" s="224"/>
      <c r="NN1" s="224"/>
      <c r="NO1" s="224"/>
      <c r="NP1" s="224"/>
      <c r="NQ1" s="224"/>
      <c r="NR1" s="224"/>
      <c r="NS1" s="224"/>
      <c r="NT1" s="224"/>
      <c r="NU1" s="224"/>
      <c r="NV1" s="224"/>
      <c r="NW1" s="224"/>
      <c r="NX1" s="224"/>
      <c r="NY1" s="224"/>
      <c r="NZ1" s="224"/>
      <c r="OA1" s="224"/>
      <c r="OB1" s="224"/>
      <c r="OC1" s="224"/>
      <c r="OD1" s="224"/>
      <c r="OE1" s="224"/>
      <c r="OF1" s="224"/>
      <c r="OG1" s="224"/>
      <c r="OH1" s="224"/>
      <c r="OI1" s="224"/>
      <c r="OJ1" s="224"/>
      <c r="OK1" s="224"/>
      <c r="OL1" s="224"/>
      <c r="OM1" s="224"/>
      <c r="ON1" s="224"/>
      <c r="OO1" s="224"/>
      <c r="OP1" s="224"/>
      <c r="OQ1" s="224"/>
      <c r="OR1" s="224"/>
      <c r="OS1" s="224"/>
      <c r="OT1" s="224"/>
      <c r="OU1" s="224"/>
      <c r="OV1" s="224"/>
      <c r="OW1" s="224"/>
      <c r="OX1" s="224"/>
      <c r="OY1" s="224"/>
      <c r="OZ1" s="224"/>
      <c r="PA1" s="224"/>
      <c r="PB1" s="224"/>
      <c r="PC1" s="224"/>
      <c r="PD1" s="224"/>
      <c r="PE1" s="224"/>
      <c r="PF1" s="224"/>
      <c r="PG1" s="224"/>
      <c r="PH1" s="224"/>
      <c r="PI1" s="224"/>
      <c r="PJ1" s="224"/>
      <c r="PK1" s="224"/>
      <c r="PL1" s="224"/>
      <c r="PM1" s="224"/>
      <c r="PN1" s="224"/>
      <c r="PO1" s="224"/>
      <c r="PP1" s="224"/>
      <c r="PQ1" s="224"/>
      <c r="PR1" s="224"/>
      <c r="PS1" s="224"/>
      <c r="PT1" s="224"/>
      <c r="PU1" s="224"/>
      <c r="PV1" s="224"/>
      <c r="PW1" s="224"/>
      <c r="PX1" s="224"/>
      <c r="PY1" s="224"/>
      <c r="PZ1" s="224"/>
      <c r="QA1" s="224"/>
      <c r="QB1" s="224"/>
      <c r="QC1" s="224"/>
      <c r="QD1" s="224"/>
      <c r="QE1" s="224"/>
      <c r="QF1" s="224"/>
      <c r="QG1" s="224"/>
      <c r="QH1" s="224"/>
      <c r="QI1" s="224"/>
      <c r="QJ1" s="224"/>
      <c r="QK1" s="224"/>
      <c r="QL1" s="224"/>
      <c r="QM1" s="224"/>
      <c r="QN1" s="224"/>
      <c r="QO1" s="224"/>
      <c r="QP1" s="224"/>
      <c r="QQ1" s="224"/>
      <c r="QR1" s="224"/>
      <c r="QS1" s="224"/>
      <c r="QT1" s="224"/>
      <c r="QU1" s="224"/>
      <c r="QV1" s="224"/>
      <c r="QW1" s="224"/>
      <c r="QX1" s="224"/>
      <c r="QY1" s="224"/>
      <c r="QZ1" s="224"/>
      <c r="RA1" s="224"/>
      <c r="RB1" s="224"/>
      <c r="RC1" s="224"/>
      <c r="RD1" s="224"/>
      <c r="RE1" s="224"/>
      <c r="RF1" s="224"/>
      <c r="RG1" s="224"/>
      <c r="RH1" s="224"/>
      <c r="RI1" s="224"/>
      <c r="RJ1" s="224"/>
      <c r="RK1" s="224"/>
      <c r="RL1" s="224"/>
      <c r="RM1" s="224"/>
      <c r="RN1" s="224"/>
      <c r="RO1" s="224"/>
      <c r="RP1" s="224"/>
      <c r="RQ1" s="224"/>
      <c r="RR1" s="224"/>
      <c r="RS1" s="224"/>
      <c r="RT1" s="224"/>
      <c r="RU1" s="224"/>
      <c r="RV1" s="224"/>
      <c r="RW1" s="224"/>
      <c r="RX1" s="224"/>
      <c r="RY1" s="224"/>
      <c r="RZ1" s="224"/>
      <c r="SA1" s="224"/>
      <c r="SB1" s="224"/>
      <c r="SC1" s="224"/>
      <c r="SD1" s="224"/>
      <c r="SE1" s="224"/>
      <c r="SF1" s="224"/>
      <c r="SG1" s="224"/>
      <c r="SH1" s="224"/>
      <c r="SI1" s="224"/>
      <c r="SJ1" s="224"/>
      <c r="SK1" s="224"/>
      <c r="SL1" s="224"/>
      <c r="SM1" s="224"/>
      <c r="SN1" s="224"/>
      <c r="SO1" s="224"/>
      <c r="SP1" s="224"/>
      <c r="SQ1" s="224"/>
      <c r="SR1" s="224"/>
      <c r="SS1" s="224"/>
      <c r="ST1" s="224"/>
      <c r="SU1" s="224"/>
      <c r="SV1" s="224"/>
      <c r="SW1" s="224"/>
      <c r="SX1" s="224"/>
      <c r="SY1" s="224"/>
      <c r="SZ1" s="224"/>
      <c r="TA1" s="224"/>
      <c r="TB1" s="224"/>
      <c r="TC1" s="224"/>
      <c r="TD1" s="224"/>
      <c r="TE1" s="224"/>
      <c r="TF1" s="224"/>
      <c r="TG1" s="224"/>
      <c r="TH1" s="224"/>
      <c r="TI1" s="224"/>
      <c r="TJ1" s="224"/>
      <c r="TK1" s="224"/>
      <c r="TL1" s="224"/>
      <c r="TM1" s="224"/>
      <c r="TN1" s="224"/>
      <c r="TO1" s="224"/>
      <c r="TP1" s="224"/>
      <c r="TQ1" s="224"/>
      <c r="TR1" s="224"/>
      <c r="TS1" s="224"/>
      <c r="TT1" s="224"/>
      <c r="TU1" s="224"/>
      <c r="TV1" s="224"/>
      <c r="TW1" s="224"/>
      <c r="TX1" s="224"/>
      <c r="TY1" s="224"/>
      <c r="TZ1" s="224"/>
      <c r="UA1" s="224"/>
      <c r="UB1" s="224"/>
      <c r="UC1" s="224"/>
      <c r="UD1" s="224"/>
      <c r="UE1" s="224"/>
      <c r="UF1" s="224"/>
      <c r="UG1" s="224"/>
      <c r="UH1" s="224"/>
      <c r="UI1" s="224"/>
      <c r="UJ1" s="224"/>
      <c r="UK1" s="224"/>
      <c r="UL1" s="224"/>
      <c r="UM1" s="224"/>
      <c r="UN1" s="224"/>
      <c r="UO1" s="224"/>
      <c r="UP1" s="224"/>
      <c r="UQ1" s="224"/>
      <c r="UR1" s="224"/>
      <c r="US1" s="224"/>
      <c r="UT1" s="224"/>
      <c r="UU1" s="224"/>
      <c r="UV1" s="224"/>
      <c r="UW1" s="224"/>
      <c r="UX1" s="224"/>
      <c r="UY1" s="224"/>
      <c r="UZ1" s="224"/>
      <c r="VA1" s="224"/>
      <c r="VB1" s="224"/>
      <c r="VC1" s="224"/>
      <c r="VD1" s="224"/>
      <c r="VE1" s="224"/>
      <c r="VF1" s="224"/>
      <c r="VG1" s="224"/>
      <c r="VH1" s="224"/>
      <c r="VI1" s="224"/>
      <c r="VJ1" s="224"/>
      <c r="VK1" s="224"/>
      <c r="VL1" s="224"/>
      <c r="VM1" s="224"/>
      <c r="VN1" s="224"/>
      <c r="VO1" s="224"/>
      <c r="VP1" s="224"/>
      <c r="VQ1" s="224"/>
      <c r="VR1" s="224"/>
      <c r="VS1" s="224"/>
      <c r="VT1" s="224"/>
      <c r="VU1" s="224"/>
      <c r="VV1" s="224"/>
      <c r="VW1" s="224"/>
      <c r="VX1" s="224"/>
      <c r="VY1" s="224"/>
      <c r="VZ1" s="224"/>
      <c r="WA1" s="224"/>
      <c r="WB1" s="224"/>
      <c r="WC1" s="224"/>
      <c r="WD1" s="224"/>
      <c r="WE1" s="224"/>
      <c r="WF1" s="224"/>
      <c r="WG1" s="224"/>
      <c r="WH1" s="224"/>
      <c r="WI1" s="224"/>
      <c r="WJ1" s="224"/>
      <c r="WK1" s="224"/>
      <c r="WL1" s="224"/>
      <c r="WM1" s="224"/>
      <c r="WN1" s="224"/>
      <c r="WO1" s="224"/>
      <c r="WP1" s="224"/>
      <c r="WQ1" s="224"/>
      <c r="WR1" s="224"/>
      <c r="WS1" s="224"/>
      <c r="WT1" s="224"/>
      <c r="WU1" s="224"/>
      <c r="WV1" s="224"/>
      <c r="WW1" s="224"/>
      <c r="WX1" s="224"/>
      <c r="WY1" s="224"/>
      <c r="WZ1" s="224"/>
      <c r="XA1" s="224"/>
      <c r="XB1" s="224"/>
      <c r="XC1" s="224"/>
      <c r="XD1" s="224"/>
      <c r="XE1" s="224"/>
      <c r="XF1" s="224"/>
      <c r="XG1" s="224"/>
      <c r="XH1" s="224"/>
      <c r="XI1" s="224"/>
      <c r="XJ1" s="224"/>
      <c r="XK1" s="224"/>
      <c r="XL1" s="224"/>
      <c r="XM1" s="224"/>
      <c r="XN1" s="224"/>
      <c r="XO1" s="224"/>
      <c r="XP1" s="224"/>
      <c r="XQ1" s="224"/>
      <c r="XR1" s="224"/>
      <c r="XS1" s="224"/>
      <c r="XT1" s="224"/>
      <c r="XU1" s="224"/>
      <c r="XV1" s="224"/>
      <c r="XW1" s="224"/>
      <c r="XX1" s="224"/>
      <c r="XY1" s="224"/>
      <c r="XZ1" s="224"/>
      <c r="YA1" s="224"/>
      <c r="YB1" s="224"/>
      <c r="YC1" s="224"/>
      <c r="YD1" s="224"/>
      <c r="YE1" s="224"/>
      <c r="YF1" s="224"/>
      <c r="YG1" s="224"/>
      <c r="YH1" s="224"/>
      <c r="YI1" s="224"/>
      <c r="YJ1" s="224"/>
      <c r="YK1" s="224"/>
      <c r="YL1" s="224"/>
      <c r="YM1" s="224"/>
      <c r="YN1" s="224"/>
      <c r="YO1" s="224"/>
      <c r="YP1" s="224"/>
      <c r="YQ1" s="224"/>
      <c r="YR1" s="224"/>
      <c r="YS1" s="224"/>
      <c r="YT1" s="224"/>
      <c r="YU1" s="224"/>
      <c r="YV1" s="224"/>
      <c r="YW1" s="224"/>
      <c r="YX1" s="224"/>
      <c r="YY1" s="224"/>
      <c r="YZ1" s="224"/>
      <c r="ZA1" s="224"/>
      <c r="ZB1" s="224"/>
      <c r="ZC1" s="224"/>
      <c r="ZD1" s="224"/>
      <c r="ZE1" s="224"/>
      <c r="ZF1" s="224"/>
      <c r="ZG1" s="224"/>
      <c r="ZH1" s="224"/>
      <c r="ZI1" s="224"/>
      <c r="ZJ1" s="224"/>
      <c r="ZK1" s="224"/>
      <c r="ZL1" s="224"/>
      <c r="ZM1" s="224"/>
      <c r="ZN1" s="224"/>
      <c r="ZO1" s="224"/>
      <c r="ZP1" s="224"/>
      <c r="ZQ1" s="224"/>
      <c r="ZR1" s="224"/>
      <c r="ZS1" s="224"/>
      <c r="ZT1" s="224"/>
      <c r="ZU1" s="224"/>
      <c r="ZV1" s="224"/>
      <c r="ZW1" s="224"/>
      <c r="ZX1" s="224"/>
      <c r="ZY1" s="224"/>
      <c r="ZZ1" s="224"/>
      <c r="AAA1" s="224"/>
      <c r="AAB1" s="224"/>
      <c r="AAC1" s="224"/>
      <c r="AAD1" s="224"/>
      <c r="AAE1" s="224"/>
      <c r="AAF1" s="224"/>
      <c r="AAG1" s="224"/>
      <c r="AAH1" s="224"/>
      <c r="AAI1" s="224"/>
      <c r="AAJ1" s="224"/>
      <c r="AAK1" s="224"/>
      <c r="AAL1" s="224"/>
      <c r="AAM1" s="224"/>
      <c r="AAN1" s="224"/>
      <c r="AAO1" s="224"/>
      <c r="AAP1" s="224"/>
      <c r="AAQ1" s="224"/>
      <c r="AAR1" s="224"/>
      <c r="AAS1" s="224"/>
      <c r="AAT1" s="224"/>
      <c r="AAU1" s="224"/>
      <c r="AAV1" s="224"/>
      <c r="AAW1" s="224"/>
      <c r="AAX1" s="224"/>
      <c r="AAY1" s="224"/>
      <c r="AAZ1" s="224"/>
      <c r="ABA1" s="224"/>
      <c r="ABB1" s="224"/>
      <c r="ABC1" s="224"/>
      <c r="ABD1" s="224"/>
      <c r="ABE1" s="224"/>
      <c r="ABF1" s="224"/>
      <c r="ABG1" s="224"/>
      <c r="ABH1" s="224"/>
      <c r="ABI1" s="224"/>
      <c r="ABJ1" s="224"/>
      <c r="ABK1" s="224"/>
      <c r="ABL1" s="224"/>
      <c r="ABM1" s="224"/>
      <c r="ABN1" s="224"/>
      <c r="ABO1" s="224"/>
      <c r="ABP1" s="224"/>
      <c r="ABQ1" s="224"/>
      <c r="ABR1" s="224"/>
      <c r="ABS1" s="224"/>
      <c r="ABT1" s="224"/>
      <c r="ABU1" s="224"/>
      <c r="ABV1" s="224"/>
      <c r="ABW1" s="224"/>
      <c r="ABX1" s="224"/>
      <c r="ABY1" s="224"/>
      <c r="ABZ1" s="224"/>
      <c r="ACA1" s="224"/>
      <c r="ACB1" s="224"/>
      <c r="ACC1" s="224"/>
      <c r="ACD1" s="224"/>
      <c r="ACE1" s="224"/>
      <c r="ACF1" s="224"/>
      <c r="ACG1" s="224"/>
      <c r="ACH1" s="224"/>
      <c r="ACI1" s="224"/>
      <c r="ACJ1" s="224"/>
      <c r="ACK1" s="224"/>
      <c r="ACL1" s="224"/>
      <c r="ACM1" s="224"/>
      <c r="ACN1" s="224"/>
      <c r="ACO1" s="224"/>
      <c r="ACP1" s="224"/>
      <c r="ACQ1" s="224"/>
      <c r="ACR1" s="224"/>
      <c r="ACS1" s="224"/>
      <c r="ACT1" s="224"/>
      <c r="ACU1" s="224"/>
      <c r="ACV1" s="224"/>
      <c r="ACW1" s="224"/>
      <c r="ACX1" s="224"/>
      <c r="ACY1" s="224"/>
      <c r="ACZ1" s="224"/>
      <c r="ADA1" s="224"/>
      <c r="ADB1" s="224"/>
      <c r="ADC1" s="224"/>
      <c r="ADD1" s="224"/>
      <c r="ADE1" s="224"/>
      <c r="ADF1" s="224"/>
      <c r="ADG1" s="224"/>
      <c r="ADH1" s="224"/>
      <c r="ADI1" s="224"/>
      <c r="ADJ1" s="224"/>
      <c r="ADK1" s="224"/>
      <c r="ADL1" s="224"/>
      <c r="ADM1" s="224"/>
      <c r="ADN1" s="224"/>
      <c r="ADO1" s="224"/>
      <c r="ADP1" s="224"/>
      <c r="ADQ1" s="224"/>
      <c r="ADR1" s="224"/>
      <c r="ADS1" s="224"/>
      <c r="ADT1" s="224"/>
      <c r="ADU1" s="224"/>
      <c r="ADV1" s="224"/>
      <c r="ADW1" s="224"/>
      <c r="ADX1" s="224"/>
      <c r="ADY1" s="224"/>
      <c r="ADZ1" s="224"/>
      <c r="AEA1" s="224"/>
      <c r="AEB1" s="224"/>
      <c r="AEC1" s="224"/>
      <c r="AED1" s="224"/>
      <c r="AEE1" s="224"/>
      <c r="AEF1" s="224"/>
      <c r="AEG1" s="224"/>
      <c r="AEH1" s="224"/>
      <c r="AEI1" s="224"/>
      <c r="AEJ1" s="224"/>
      <c r="AEK1" s="224"/>
      <c r="AEL1" s="224"/>
      <c r="AEM1" s="224"/>
      <c r="AEN1" s="224"/>
      <c r="AEO1" s="224"/>
      <c r="AEP1" s="224"/>
      <c r="AEQ1" s="224"/>
      <c r="AER1" s="224"/>
      <c r="AES1" s="224"/>
      <c r="AET1" s="224"/>
      <c r="AEU1" s="224"/>
      <c r="AEV1" s="224"/>
      <c r="AEW1" s="224"/>
      <c r="AEX1" s="224"/>
      <c r="AEY1" s="224"/>
      <c r="AEZ1" s="224"/>
      <c r="AFA1" s="224"/>
      <c r="AFB1" s="224"/>
      <c r="AFC1" s="224"/>
      <c r="AFD1" s="224"/>
      <c r="AFE1" s="224"/>
      <c r="AFF1" s="224"/>
      <c r="AFG1" s="224"/>
      <c r="AFH1" s="224"/>
      <c r="AFI1" s="224"/>
      <c r="AFJ1" s="224"/>
      <c r="AFK1" s="224"/>
      <c r="AFL1" s="224"/>
      <c r="AFM1" s="224"/>
      <c r="AFN1" s="224"/>
      <c r="AFO1" s="224"/>
      <c r="AFP1" s="224"/>
      <c r="AFQ1" s="224"/>
      <c r="AFR1" s="224"/>
      <c r="AFS1" s="224"/>
      <c r="AFT1" s="224"/>
      <c r="AFU1" s="224"/>
      <c r="AFV1" s="224"/>
      <c r="AFW1" s="224"/>
      <c r="AFX1" s="224"/>
      <c r="AFY1" s="224"/>
      <c r="AFZ1" s="224"/>
      <c r="AGA1" s="224"/>
      <c r="AGB1" s="224"/>
      <c r="AGC1" s="224"/>
      <c r="AGD1" s="224"/>
      <c r="AGE1" s="224"/>
      <c r="AGF1" s="224"/>
      <c r="AGG1" s="224"/>
      <c r="AGH1" s="224"/>
      <c r="AGI1" s="224"/>
      <c r="AGJ1" s="224"/>
      <c r="AGK1" s="224"/>
      <c r="AGL1" s="224"/>
      <c r="AGM1" s="224"/>
      <c r="AGN1" s="224"/>
      <c r="AGO1" s="224"/>
      <c r="AGP1" s="224"/>
      <c r="AGQ1" s="224"/>
      <c r="AGR1" s="224"/>
      <c r="AGS1" s="224"/>
      <c r="AGT1" s="224"/>
      <c r="AGU1" s="224"/>
      <c r="AGV1" s="224"/>
      <c r="AGW1" s="224"/>
      <c r="AGX1" s="224"/>
      <c r="AGY1" s="224"/>
      <c r="AGZ1" s="224"/>
      <c r="AHA1" s="224"/>
      <c r="AHB1" s="224"/>
      <c r="AHC1" s="224"/>
      <c r="AHD1" s="224"/>
      <c r="AHE1" s="224"/>
      <c r="AHF1" s="224"/>
      <c r="AHG1" s="224"/>
      <c r="AHH1" s="224"/>
      <c r="AHI1" s="224"/>
      <c r="AHJ1" s="224"/>
      <c r="AHK1" s="224"/>
      <c r="AHL1" s="224"/>
      <c r="AHM1" s="224"/>
      <c r="AHN1" s="224"/>
      <c r="AHO1" s="224"/>
      <c r="AHP1" s="224"/>
      <c r="AHQ1" s="224"/>
      <c r="AHR1" s="224"/>
      <c r="AHS1" s="224"/>
      <c r="AHT1" s="224"/>
      <c r="AHU1" s="224"/>
      <c r="AHV1" s="224"/>
      <c r="AHW1" s="224"/>
      <c r="AHX1" s="224"/>
      <c r="AHY1" s="224"/>
      <c r="AHZ1" s="224"/>
      <c r="AIA1" s="224"/>
      <c r="AIB1" s="224"/>
      <c r="AIC1" s="224"/>
      <c r="AID1" s="224"/>
      <c r="AIE1" s="224"/>
      <c r="AIF1" s="224"/>
      <c r="AIG1" s="224"/>
      <c r="AIH1" s="224"/>
      <c r="AII1" s="224"/>
      <c r="AIJ1" s="224"/>
      <c r="AIK1" s="224"/>
      <c r="AIL1" s="224"/>
      <c r="AIM1" s="224"/>
      <c r="AIN1" s="224"/>
      <c r="AIO1" s="224"/>
      <c r="AIP1" s="224"/>
      <c r="AIQ1" s="224"/>
      <c r="AIR1" s="224"/>
      <c r="AIS1" s="224"/>
      <c r="AIT1" s="224"/>
      <c r="AIU1" s="224"/>
      <c r="AIV1" s="224"/>
      <c r="AIW1" s="224"/>
      <c r="AIX1" s="224"/>
      <c r="AIY1" s="224"/>
      <c r="AIZ1" s="224"/>
      <c r="AJA1" s="224"/>
      <c r="AJB1" s="224"/>
      <c r="AJC1" s="224"/>
      <c r="AJD1" s="224"/>
      <c r="AJE1" s="224"/>
      <c r="AJF1" s="224"/>
      <c r="AJG1" s="224"/>
      <c r="AJH1" s="224"/>
      <c r="AJI1" s="224"/>
      <c r="AJJ1" s="224"/>
      <c r="AJK1" s="224"/>
      <c r="AJL1" s="224"/>
      <c r="AJM1" s="224"/>
      <c r="AJN1" s="224"/>
      <c r="AJO1" s="224"/>
      <c r="AJP1" s="224"/>
      <c r="AJQ1" s="224"/>
      <c r="AJR1" s="224"/>
      <c r="AJS1" s="224"/>
      <c r="AJT1" s="224"/>
      <c r="AJU1" s="224"/>
      <c r="AJV1" s="224"/>
      <c r="AJW1" s="224"/>
      <c r="AJX1" s="224"/>
      <c r="AJY1" s="224"/>
      <c r="AJZ1" s="224"/>
      <c r="AKA1" s="224"/>
      <c r="AKB1" s="224"/>
      <c r="AKC1" s="224"/>
      <c r="AKD1" s="224"/>
      <c r="AKE1" s="224"/>
      <c r="AKF1" s="224"/>
      <c r="AKG1" s="224"/>
      <c r="AKH1" s="224"/>
      <c r="AKI1" s="224"/>
      <c r="AKJ1" s="224"/>
      <c r="AKK1" s="224"/>
      <c r="AKL1" s="224"/>
      <c r="AKM1" s="224"/>
      <c r="AKN1" s="224"/>
      <c r="AKO1" s="224"/>
      <c r="AKP1" s="224"/>
      <c r="AKQ1" s="224"/>
      <c r="AKR1" s="224"/>
      <c r="AKS1" s="224"/>
      <c r="AKT1" s="224"/>
      <c r="AKU1" s="224"/>
      <c r="AKV1" s="224"/>
      <c r="AKW1" s="224"/>
      <c r="AKX1" s="224"/>
      <c r="AKY1" s="224"/>
      <c r="AKZ1" s="224"/>
      <c r="ALA1" s="224"/>
      <c r="ALB1" s="224"/>
      <c r="ALC1" s="224"/>
      <c r="ALD1" s="224"/>
      <c r="ALE1" s="224"/>
      <c r="ALF1" s="224"/>
      <c r="ALG1" s="224"/>
      <c r="ALH1" s="224"/>
      <c r="ALI1" s="224"/>
      <c r="ALJ1" s="224"/>
      <c r="ALK1" s="224"/>
      <c r="ALL1" s="224"/>
      <c r="ALM1" s="224"/>
      <c r="ALN1" s="224"/>
      <c r="ALO1" s="224"/>
      <c r="ALP1" s="224"/>
      <c r="ALQ1" s="224"/>
      <c r="ALR1" s="224"/>
      <c r="ALS1" s="224"/>
      <c r="ALT1" s="224"/>
      <c r="ALU1" s="224"/>
      <c r="ALV1" s="224"/>
      <c r="ALW1" s="224"/>
      <c r="ALX1" s="224"/>
      <c r="ALY1" s="224"/>
      <c r="ALZ1" s="224"/>
      <c r="AMA1" s="224"/>
      <c r="AMB1" s="224"/>
      <c r="AMC1" s="224"/>
      <c r="AMD1" s="224"/>
      <c r="AME1" s="224"/>
      <c r="AMF1" s="224"/>
      <c r="AMG1" s="224"/>
      <c r="AMH1" s="224"/>
      <c r="AMI1" s="224"/>
      <c r="AMJ1" s="224"/>
      <c r="AMK1" s="224"/>
      <c r="AML1" s="224"/>
      <c r="AMM1" s="224"/>
      <c r="AMN1" s="224"/>
      <c r="AMO1" s="224"/>
      <c r="AMP1" s="224"/>
      <c r="AMQ1" s="224"/>
      <c r="AMR1" s="224"/>
      <c r="AMS1" s="224"/>
      <c r="AMT1" s="224"/>
      <c r="AMU1" s="224"/>
      <c r="AMV1" s="224"/>
      <c r="AMW1" s="224"/>
      <c r="AMX1" s="224"/>
      <c r="AMY1" s="224"/>
      <c r="AMZ1" s="224"/>
      <c r="ANA1" s="224"/>
      <c r="ANB1" s="224"/>
      <c r="ANC1" s="224"/>
      <c r="AND1" s="224"/>
      <c r="ANE1" s="224"/>
      <c r="ANF1" s="224"/>
      <c r="ANG1" s="224"/>
      <c r="ANH1" s="224"/>
      <c r="ANI1" s="224"/>
      <c r="ANJ1" s="224"/>
      <c r="ANK1" s="224"/>
      <c r="ANL1" s="224"/>
      <c r="ANM1" s="224"/>
      <c r="ANN1" s="224"/>
      <c r="ANO1" s="224"/>
      <c r="ANP1" s="224"/>
      <c r="ANQ1" s="224"/>
      <c r="ANR1" s="224"/>
      <c r="ANS1" s="224"/>
      <c r="ANT1" s="224"/>
      <c r="ANU1" s="224"/>
      <c r="ANV1" s="224"/>
      <c r="ANW1" s="224"/>
      <c r="ANX1" s="224"/>
      <c r="ANY1" s="224"/>
      <c r="ANZ1" s="224"/>
      <c r="AOA1" s="224"/>
      <c r="AOB1" s="224"/>
      <c r="AOC1" s="224"/>
      <c r="AOD1" s="224"/>
      <c r="AOE1" s="224"/>
      <c r="AOF1" s="224"/>
      <c r="AOG1" s="224"/>
      <c r="AOH1" s="224"/>
      <c r="AOI1" s="224"/>
      <c r="AOJ1" s="224"/>
      <c r="AOK1" s="224"/>
      <c r="AOL1" s="224"/>
      <c r="AOM1" s="224"/>
      <c r="AON1" s="224"/>
      <c r="AOO1" s="224"/>
      <c r="AOP1" s="224"/>
      <c r="AOQ1" s="224"/>
      <c r="AOR1" s="224"/>
      <c r="AOS1" s="224"/>
      <c r="AOT1" s="224"/>
      <c r="AOU1" s="224"/>
      <c r="AOV1" s="224"/>
      <c r="AOW1" s="224"/>
      <c r="AOX1" s="224"/>
      <c r="AOY1" s="224"/>
      <c r="AOZ1" s="224"/>
      <c r="APA1" s="224"/>
      <c r="APB1" s="224"/>
      <c r="APC1" s="224"/>
      <c r="APD1" s="224"/>
      <c r="APE1" s="224"/>
      <c r="APF1" s="224"/>
      <c r="APG1" s="224"/>
      <c r="APH1" s="224"/>
      <c r="API1" s="224"/>
      <c r="APJ1" s="224"/>
      <c r="APK1" s="224"/>
      <c r="APL1" s="224"/>
      <c r="APM1" s="224"/>
      <c r="APN1" s="224"/>
      <c r="APO1" s="224"/>
      <c r="APP1" s="224"/>
      <c r="APQ1" s="224"/>
      <c r="APR1" s="224"/>
      <c r="APS1" s="224"/>
      <c r="APT1" s="224"/>
      <c r="APU1" s="224"/>
      <c r="APV1" s="224"/>
      <c r="APW1" s="224"/>
      <c r="APX1" s="224"/>
      <c r="APY1" s="224"/>
      <c r="APZ1" s="224"/>
      <c r="AQA1" s="224"/>
      <c r="AQB1" s="224"/>
      <c r="AQC1" s="224"/>
      <c r="AQD1" s="224"/>
      <c r="AQE1" s="224"/>
      <c r="AQF1" s="224"/>
      <c r="AQG1" s="224"/>
      <c r="AQH1" s="224"/>
      <c r="AQI1" s="224"/>
      <c r="AQJ1" s="224"/>
      <c r="AQK1" s="224"/>
      <c r="AQL1" s="224"/>
      <c r="AQM1" s="224"/>
      <c r="AQN1" s="224"/>
      <c r="AQO1" s="224"/>
      <c r="AQP1" s="224"/>
      <c r="AQQ1" s="224"/>
      <c r="AQR1" s="224"/>
      <c r="AQS1" s="224"/>
      <c r="AQT1" s="224"/>
      <c r="AQU1" s="224"/>
      <c r="AQV1" s="224"/>
      <c r="AQW1" s="224"/>
      <c r="AQX1" s="224"/>
      <c r="AQY1" s="224"/>
      <c r="AQZ1" s="224"/>
      <c r="ARA1" s="224"/>
      <c r="ARB1" s="224"/>
      <c r="ARC1" s="224"/>
      <c r="ARD1" s="224"/>
      <c r="ARE1" s="224"/>
      <c r="ARF1" s="224"/>
      <c r="ARG1" s="224"/>
      <c r="ARH1" s="224"/>
      <c r="ARI1" s="224"/>
      <c r="ARJ1" s="224"/>
      <c r="ARK1" s="224"/>
      <c r="ARL1" s="224"/>
      <c r="ARM1" s="224"/>
      <c r="ARN1" s="224"/>
      <c r="ARO1" s="224"/>
      <c r="ARP1" s="224"/>
      <c r="ARQ1" s="224"/>
      <c r="ARR1" s="224"/>
      <c r="ARS1" s="224"/>
      <c r="ART1" s="224"/>
      <c r="ARU1" s="224"/>
      <c r="ARV1" s="224"/>
      <c r="ARW1" s="224"/>
      <c r="ARX1" s="224"/>
      <c r="ARY1" s="224"/>
      <c r="ARZ1" s="224"/>
      <c r="ASA1" s="224"/>
      <c r="ASB1" s="224"/>
      <c r="ASC1" s="224"/>
      <c r="ASD1" s="224"/>
      <c r="ASE1" s="224"/>
      <c r="ASF1" s="224"/>
      <c r="ASG1" s="224"/>
      <c r="ASH1" s="224"/>
      <c r="ASI1" s="224"/>
      <c r="ASJ1" s="224"/>
      <c r="ASK1" s="224"/>
      <c r="ASL1" s="224"/>
      <c r="ASM1" s="224"/>
      <c r="ASN1" s="224"/>
      <c r="ASO1" s="224"/>
      <c r="ASP1" s="224"/>
      <c r="ASQ1" s="224"/>
      <c r="ASR1" s="224"/>
      <c r="ASS1" s="224"/>
      <c r="AST1" s="224"/>
      <c r="ASU1" s="224"/>
      <c r="ASV1" s="224"/>
      <c r="ASW1" s="224"/>
      <c r="ASX1" s="224"/>
      <c r="ASY1" s="224"/>
      <c r="ASZ1" s="224"/>
      <c r="ATA1" s="224"/>
      <c r="ATB1" s="224"/>
      <c r="ATC1" s="224"/>
      <c r="ATD1" s="224"/>
      <c r="ATE1" s="224"/>
      <c r="ATF1" s="224"/>
      <c r="ATG1" s="224"/>
      <c r="ATH1" s="224"/>
      <c r="ATI1" s="224"/>
      <c r="ATJ1" s="224"/>
      <c r="ATK1" s="224"/>
      <c r="ATL1" s="224"/>
      <c r="ATM1" s="224"/>
      <c r="ATN1" s="224"/>
      <c r="ATO1" s="224"/>
      <c r="ATP1" s="224"/>
      <c r="ATQ1" s="224"/>
      <c r="ATR1" s="224"/>
      <c r="ATS1" s="224"/>
      <c r="ATT1" s="224"/>
      <c r="ATU1" s="224"/>
      <c r="ATV1" s="224"/>
      <c r="ATW1" s="224"/>
      <c r="ATX1" s="224"/>
      <c r="ATY1" s="224"/>
      <c r="ATZ1" s="224"/>
      <c r="AUA1" s="224"/>
      <c r="AUB1" s="224"/>
      <c r="AUC1" s="224"/>
      <c r="AUD1" s="224"/>
      <c r="AUE1" s="224"/>
      <c r="AUF1" s="224"/>
      <c r="AUG1" s="224"/>
      <c r="AUH1" s="224"/>
      <c r="AUI1" s="224"/>
      <c r="AUJ1" s="224"/>
      <c r="AUK1" s="224"/>
      <c r="AUL1" s="224"/>
      <c r="AUM1" s="224"/>
      <c r="AUN1" s="224"/>
      <c r="AUO1" s="224"/>
      <c r="AUP1" s="224"/>
      <c r="AUQ1" s="224"/>
      <c r="AUR1" s="224"/>
      <c r="AUS1" s="224"/>
      <c r="AUT1" s="224"/>
      <c r="AUU1" s="224"/>
      <c r="AUV1" s="224"/>
      <c r="AUW1" s="224"/>
      <c r="AUX1" s="224"/>
      <c r="AUY1" s="224"/>
      <c r="AUZ1" s="224"/>
      <c r="AVA1" s="224"/>
      <c r="AVB1" s="224"/>
      <c r="AVC1" s="224"/>
      <c r="AVD1" s="224"/>
      <c r="AVE1" s="224"/>
      <c r="AVF1" s="224"/>
      <c r="AVG1" s="224"/>
      <c r="AVH1" s="224"/>
      <c r="AVI1" s="224"/>
      <c r="AVJ1" s="224"/>
      <c r="AVK1" s="224"/>
      <c r="AVL1" s="224"/>
      <c r="AVM1" s="224"/>
      <c r="AVN1" s="224"/>
      <c r="AVO1" s="224"/>
      <c r="AVP1" s="224"/>
      <c r="AVQ1" s="224"/>
      <c r="AVR1" s="224"/>
      <c r="AVS1" s="224"/>
      <c r="AVT1" s="224"/>
      <c r="AVU1" s="224"/>
      <c r="AVV1" s="224"/>
      <c r="AVW1" s="224"/>
      <c r="AVX1" s="224"/>
      <c r="AVY1" s="224"/>
      <c r="AVZ1" s="224"/>
      <c r="AWA1" s="224"/>
      <c r="AWB1" s="224"/>
      <c r="AWC1" s="224"/>
      <c r="AWD1" s="224"/>
      <c r="AWE1" s="224"/>
      <c r="AWF1" s="224"/>
      <c r="AWG1" s="224"/>
      <c r="AWH1" s="224"/>
      <c r="AWI1" s="224"/>
      <c r="AWJ1" s="224"/>
      <c r="AWK1" s="224"/>
      <c r="AWL1" s="224"/>
      <c r="AWM1" s="224"/>
      <c r="AWN1" s="224"/>
      <c r="AWO1" s="224"/>
      <c r="AWP1" s="224"/>
      <c r="AWQ1" s="224"/>
      <c r="AWR1" s="224"/>
      <c r="AWS1" s="224"/>
      <c r="AWT1" s="224"/>
      <c r="AWU1" s="224"/>
      <c r="AWV1" s="224"/>
      <c r="AWW1" s="224"/>
      <c r="AWX1" s="224"/>
      <c r="AWY1" s="224"/>
      <c r="AWZ1" s="224"/>
      <c r="AXA1" s="224"/>
      <c r="AXB1" s="224"/>
      <c r="AXC1" s="224"/>
      <c r="AXD1" s="224"/>
      <c r="AXE1" s="224"/>
      <c r="AXF1" s="224"/>
      <c r="AXG1" s="224"/>
      <c r="AXH1" s="224"/>
      <c r="AXI1" s="224"/>
      <c r="AXJ1" s="224"/>
      <c r="AXK1" s="224"/>
      <c r="AXL1" s="224"/>
      <c r="AXM1" s="224"/>
      <c r="AXN1" s="224"/>
      <c r="AXO1" s="224"/>
      <c r="AXP1" s="224"/>
      <c r="AXQ1" s="224"/>
      <c r="AXR1" s="224"/>
      <c r="AXS1" s="224"/>
      <c r="AXT1" s="224"/>
      <c r="AXU1" s="224"/>
      <c r="AXV1" s="224"/>
      <c r="AXW1" s="224"/>
      <c r="AXX1" s="224"/>
      <c r="AXY1" s="224"/>
      <c r="AXZ1" s="224"/>
      <c r="AYA1" s="224"/>
      <c r="AYB1" s="224"/>
      <c r="AYC1" s="224"/>
      <c r="AYD1" s="224"/>
      <c r="AYE1" s="224"/>
      <c r="AYF1" s="224"/>
      <c r="AYG1" s="224"/>
      <c r="AYH1" s="224"/>
      <c r="AYI1" s="224"/>
      <c r="AYJ1" s="224"/>
      <c r="AYK1" s="224"/>
      <c r="AYL1" s="224"/>
      <c r="AYM1" s="224"/>
      <c r="AYN1" s="224"/>
      <c r="AYO1" s="224"/>
      <c r="AYP1" s="224"/>
      <c r="AYQ1" s="224"/>
      <c r="AYR1" s="224"/>
      <c r="AYS1" s="224"/>
      <c r="AYT1" s="224"/>
      <c r="AYU1" s="224"/>
      <c r="AYV1" s="224"/>
      <c r="AYW1" s="224"/>
      <c r="AYX1" s="224"/>
      <c r="AYY1" s="224"/>
      <c r="AYZ1" s="224"/>
      <c r="AZA1" s="224"/>
      <c r="AZB1" s="224"/>
      <c r="AZC1" s="224"/>
      <c r="AZD1" s="224"/>
      <c r="AZE1" s="224"/>
      <c r="AZF1" s="224"/>
      <c r="AZG1" s="224"/>
      <c r="AZH1" s="224"/>
      <c r="AZI1" s="224"/>
      <c r="AZJ1" s="224"/>
      <c r="AZK1" s="224"/>
      <c r="AZL1" s="224"/>
      <c r="AZM1" s="224"/>
      <c r="AZN1" s="224"/>
      <c r="AZO1" s="224"/>
      <c r="AZP1" s="224"/>
      <c r="AZQ1" s="224"/>
      <c r="AZR1" s="224"/>
      <c r="AZS1" s="224"/>
      <c r="AZT1" s="224"/>
      <c r="AZU1" s="224"/>
      <c r="AZV1" s="224"/>
      <c r="AZW1" s="224"/>
      <c r="AZX1" s="224"/>
      <c r="AZY1" s="224"/>
      <c r="AZZ1" s="224"/>
      <c r="BAA1" s="224"/>
      <c r="BAB1" s="224"/>
      <c r="BAC1" s="224"/>
      <c r="BAD1" s="224"/>
      <c r="BAE1" s="224"/>
      <c r="BAF1" s="224"/>
      <c r="BAG1" s="224"/>
      <c r="BAH1" s="224"/>
      <c r="BAI1" s="224"/>
      <c r="BAJ1" s="224"/>
      <c r="BAK1" s="224"/>
      <c r="BAL1" s="224"/>
      <c r="BAM1" s="224"/>
      <c r="BAN1" s="224"/>
      <c r="BAO1" s="224"/>
      <c r="BAP1" s="224"/>
      <c r="BAQ1" s="224"/>
      <c r="BAR1" s="224"/>
      <c r="BAS1" s="224"/>
      <c r="BAT1" s="224"/>
      <c r="BAU1" s="224"/>
      <c r="BAV1" s="224"/>
      <c r="BAW1" s="224"/>
      <c r="BAX1" s="224"/>
      <c r="BAY1" s="224"/>
      <c r="BAZ1" s="224"/>
      <c r="BBA1" s="224"/>
      <c r="BBB1" s="224"/>
      <c r="BBC1" s="224"/>
      <c r="BBD1" s="224"/>
      <c r="BBE1" s="224"/>
      <c r="BBF1" s="224"/>
      <c r="BBG1" s="224"/>
      <c r="BBH1" s="224"/>
      <c r="BBI1" s="224"/>
      <c r="BBJ1" s="224"/>
      <c r="BBK1" s="224"/>
      <c r="BBL1" s="224"/>
      <c r="BBM1" s="224"/>
      <c r="BBN1" s="224"/>
      <c r="BBO1" s="224"/>
      <c r="BBP1" s="224"/>
      <c r="BBQ1" s="224"/>
      <c r="BBR1" s="224"/>
      <c r="BBS1" s="224"/>
      <c r="BBT1" s="224"/>
      <c r="BBU1" s="224"/>
      <c r="BBV1" s="224"/>
      <c r="BBW1" s="224"/>
      <c r="BBX1" s="224"/>
      <c r="BBY1" s="224"/>
      <c r="BBZ1" s="224"/>
      <c r="BCA1" s="224"/>
      <c r="BCB1" s="224"/>
      <c r="BCC1" s="224"/>
      <c r="BCD1" s="224"/>
      <c r="BCE1" s="224"/>
      <c r="BCF1" s="224"/>
      <c r="BCG1" s="224"/>
      <c r="BCH1" s="224"/>
      <c r="BCI1" s="224"/>
      <c r="BCJ1" s="224"/>
      <c r="BCK1" s="224"/>
      <c r="BCL1" s="224"/>
      <c r="BCM1" s="224"/>
      <c r="BCN1" s="224"/>
      <c r="BCO1" s="224"/>
      <c r="BCP1" s="224"/>
      <c r="BCQ1" s="224"/>
      <c r="BCR1" s="224"/>
      <c r="BCS1" s="224"/>
      <c r="BCT1" s="224"/>
      <c r="BCU1" s="224"/>
      <c r="BCV1" s="224"/>
      <c r="BCW1" s="224"/>
      <c r="BCX1" s="224"/>
      <c r="BCY1" s="224"/>
      <c r="BCZ1" s="224"/>
      <c r="BDA1" s="224"/>
      <c r="BDB1" s="224"/>
      <c r="BDC1" s="224"/>
      <c r="BDD1" s="224"/>
      <c r="BDE1" s="224"/>
      <c r="BDF1" s="224"/>
      <c r="BDG1" s="224"/>
      <c r="BDH1" s="224"/>
      <c r="BDI1" s="224"/>
      <c r="BDJ1" s="224"/>
      <c r="BDK1" s="224"/>
      <c r="BDL1" s="224"/>
      <c r="BDM1" s="224"/>
      <c r="BDN1" s="224"/>
      <c r="BDO1" s="224"/>
      <c r="BDP1" s="224"/>
      <c r="BDQ1" s="224"/>
      <c r="BDR1" s="224"/>
      <c r="BDS1" s="224"/>
      <c r="BDT1" s="224"/>
      <c r="BDU1" s="224"/>
      <c r="BDV1" s="224"/>
      <c r="BDW1" s="224"/>
      <c r="BDX1" s="224"/>
      <c r="BDY1" s="224"/>
      <c r="BDZ1" s="224"/>
      <c r="BEA1" s="224"/>
      <c r="BEB1" s="224"/>
      <c r="BEC1" s="224"/>
      <c r="BED1" s="224"/>
      <c r="BEE1" s="224"/>
      <c r="BEF1" s="224"/>
      <c r="BEG1" s="224"/>
      <c r="BEH1" s="224"/>
      <c r="BEI1" s="224"/>
      <c r="BEJ1" s="224"/>
      <c r="BEK1" s="224"/>
      <c r="BEL1" s="224"/>
      <c r="BEM1" s="224"/>
      <c r="BEN1" s="224"/>
      <c r="BEO1" s="224"/>
      <c r="BEP1" s="224"/>
      <c r="BEQ1" s="224"/>
      <c r="BER1" s="224"/>
      <c r="BES1" s="224"/>
      <c r="BET1" s="224"/>
      <c r="BEU1" s="224"/>
      <c r="BEV1" s="224"/>
      <c r="BEW1" s="224"/>
      <c r="BEX1" s="224"/>
      <c r="BEY1" s="224"/>
      <c r="BEZ1" s="224"/>
      <c r="BFA1" s="224"/>
      <c r="BFB1" s="224"/>
      <c r="BFC1" s="224"/>
      <c r="BFD1" s="224"/>
      <c r="BFE1" s="224"/>
      <c r="BFF1" s="224"/>
      <c r="BFG1" s="224"/>
      <c r="BFH1" s="224"/>
      <c r="BFI1" s="224"/>
      <c r="BFJ1" s="224"/>
      <c r="BFK1" s="224"/>
      <c r="BFL1" s="224"/>
      <c r="BFM1" s="224"/>
      <c r="BFN1" s="224"/>
      <c r="BFO1" s="224"/>
      <c r="BFP1" s="224"/>
      <c r="BFQ1" s="224"/>
      <c r="BFR1" s="224"/>
      <c r="BFS1" s="224"/>
      <c r="BFT1" s="224"/>
      <c r="BFU1" s="224"/>
      <c r="BFV1" s="224"/>
      <c r="BFW1" s="224"/>
      <c r="BFX1" s="224"/>
      <c r="BFY1" s="224"/>
      <c r="BFZ1" s="224"/>
      <c r="BGA1" s="224"/>
      <c r="BGB1" s="224"/>
      <c r="BGC1" s="224"/>
      <c r="BGD1" s="224"/>
      <c r="BGE1" s="224"/>
      <c r="BGF1" s="224"/>
      <c r="BGG1" s="224"/>
      <c r="BGH1" s="224"/>
      <c r="BGI1" s="224"/>
      <c r="BGJ1" s="224"/>
      <c r="BGK1" s="224"/>
      <c r="BGL1" s="224"/>
      <c r="BGM1" s="224"/>
      <c r="BGN1" s="224"/>
      <c r="BGO1" s="224"/>
      <c r="BGP1" s="224"/>
      <c r="BGQ1" s="224"/>
      <c r="BGR1" s="224"/>
      <c r="BGS1" s="224"/>
      <c r="BGT1" s="224"/>
      <c r="BGU1" s="224"/>
      <c r="BGV1" s="224"/>
      <c r="BGW1" s="224"/>
      <c r="BGX1" s="224"/>
      <c r="BGY1" s="224"/>
      <c r="BGZ1" s="224"/>
      <c r="BHA1" s="224"/>
      <c r="BHB1" s="224"/>
      <c r="BHC1" s="224"/>
      <c r="BHD1" s="224"/>
      <c r="BHE1" s="224"/>
      <c r="BHF1" s="224"/>
      <c r="BHG1" s="224"/>
      <c r="BHH1" s="224"/>
      <c r="BHI1" s="224"/>
      <c r="BHJ1" s="224"/>
      <c r="BHK1" s="224"/>
      <c r="BHL1" s="224"/>
      <c r="BHM1" s="224"/>
      <c r="BHN1" s="224"/>
      <c r="BHO1" s="224"/>
      <c r="BHP1" s="224"/>
      <c r="BHQ1" s="224"/>
      <c r="BHR1" s="224"/>
      <c r="BHS1" s="224"/>
      <c r="BHT1" s="224"/>
      <c r="BHU1" s="224"/>
      <c r="BHV1" s="224"/>
      <c r="BHW1" s="224"/>
      <c r="BHX1" s="224"/>
      <c r="BHY1" s="224"/>
      <c r="BHZ1" s="224"/>
      <c r="BIA1" s="224"/>
      <c r="BIB1" s="224"/>
      <c r="BIC1" s="224"/>
      <c r="BID1" s="224"/>
      <c r="BIE1" s="224"/>
      <c r="BIF1" s="224"/>
      <c r="BIG1" s="224"/>
      <c r="BIH1" s="224"/>
      <c r="BII1" s="224"/>
      <c r="BIJ1" s="224"/>
      <c r="BIK1" s="224"/>
      <c r="BIL1" s="224"/>
      <c r="BIM1" s="224"/>
      <c r="BIN1" s="224"/>
      <c r="BIO1" s="224"/>
      <c r="BIP1" s="224"/>
      <c r="BIQ1" s="224"/>
      <c r="BIR1" s="224"/>
      <c r="BIS1" s="224"/>
      <c r="BIT1" s="224"/>
      <c r="BIU1" s="224"/>
      <c r="BIV1" s="224"/>
      <c r="BIW1" s="224"/>
      <c r="BIX1" s="224"/>
      <c r="BIY1" s="224"/>
      <c r="BIZ1" s="224"/>
      <c r="BJA1" s="224"/>
      <c r="BJB1" s="224"/>
      <c r="BJC1" s="224"/>
      <c r="BJD1" s="224"/>
      <c r="BJE1" s="224"/>
      <c r="BJF1" s="224"/>
      <c r="BJG1" s="224"/>
      <c r="BJH1" s="224"/>
      <c r="BJI1" s="224"/>
      <c r="BJJ1" s="224"/>
      <c r="BJK1" s="224"/>
      <c r="BJL1" s="224"/>
      <c r="BJM1" s="224"/>
      <c r="BJN1" s="224"/>
      <c r="BJO1" s="224"/>
      <c r="BJP1" s="224"/>
      <c r="BJQ1" s="224"/>
      <c r="BJR1" s="224"/>
      <c r="BJS1" s="224"/>
      <c r="BJT1" s="224"/>
      <c r="BJU1" s="224"/>
      <c r="BJV1" s="224"/>
      <c r="BJW1" s="224"/>
      <c r="BJX1" s="224"/>
      <c r="BJY1" s="224"/>
      <c r="BJZ1" s="224"/>
      <c r="BKA1" s="224"/>
      <c r="BKB1" s="224"/>
      <c r="BKC1" s="224"/>
      <c r="BKD1" s="224"/>
      <c r="BKE1" s="224"/>
      <c r="BKF1" s="224"/>
      <c r="BKG1" s="224"/>
      <c r="BKH1" s="224"/>
      <c r="BKI1" s="224"/>
      <c r="BKJ1" s="224"/>
      <c r="BKK1" s="224"/>
      <c r="BKL1" s="224"/>
      <c r="BKM1" s="224"/>
      <c r="BKN1" s="224"/>
      <c r="BKO1" s="224"/>
      <c r="BKP1" s="224"/>
      <c r="BKQ1" s="224"/>
      <c r="BKR1" s="224"/>
      <c r="BKS1" s="224"/>
      <c r="BKT1" s="224"/>
      <c r="BKU1" s="224"/>
      <c r="BKV1" s="224"/>
      <c r="BKW1" s="224"/>
      <c r="BKX1" s="224"/>
      <c r="BKY1" s="224"/>
      <c r="BKZ1" s="224"/>
      <c r="BLA1" s="224"/>
      <c r="BLB1" s="224"/>
      <c r="BLC1" s="224"/>
      <c r="BLD1" s="224"/>
      <c r="BLE1" s="224"/>
      <c r="BLF1" s="224"/>
      <c r="BLG1" s="224"/>
      <c r="BLH1" s="224"/>
      <c r="BLI1" s="224"/>
      <c r="BLJ1" s="224"/>
      <c r="BLK1" s="224"/>
      <c r="BLL1" s="224"/>
      <c r="BLM1" s="224"/>
      <c r="BLN1" s="224"/>
      <c r="BLO1" s="224"/>
      <c r="BLP1" s="224"/>
      <c r="BLQ1" s="224"/>
      <c r="BLR1" s="224"/>
      <c r="BLS1" s="224"/>
      <c r="BLT1" s="224"/>
      <c r="BLU1" s="224"/>
      <c r="BLV1" s="224"/>
      <c r="BLW1" s="224"/>
      <c r="BLX1" s="224"/>
      <c r="BLY1" s="224"/>
      <c r="BLZ1" s="224"/>
      <c r="BMA1" s="224"/>
      <c r="BMB1" s="224"/>
      <c r="BMC1" s="224"/>
      <c r="BMD1" s="224"/>
      <c r="BME1" s="224"/>
      <c r="BMF1" s="224"/>
      <c r="BMG1" s="224"/>
      <c r="BMH1" s="224"/>
      <c r="BMI1" s="224"/>
      <c r="BMJ1" s="224"/>
      <c r="BMK1" s="224"/>
      <c r="BML1" s="224"/>
      <c r="BMM1" s="224"/>
      <c r="BMN1" s="224"/>
      <c r="BMO1" s="224"/>
      <c r="BMP1" s="224"/>
      <c r="BMQ1" s="224"/>
      <c r="BMR1" s="224"/>
      <c r="BMS1" s="224"/>
      <c r="BMT1" s="224"/>
      <c r="BMU1" s="224"/>
      <c r="BMV1" s="224"/>
      <c r="BMW1" s="224"/>
      <c r="BMX1" s="224"/>
      <c r="BMY1" s="224"/>
      <c r="BMZ1" s="224"/>
      <c r="BNA1" s="224"/>
      <c r="BNB1" s="224"/>
      <c r="BNC1" s="224"/>
      <c r="BND1" s="224"/>
      <c r="BNE1" s="224"/>
      <c r="BNF1" s="224"/>
      <c r="BNG1" s="224"/>
      <c r="BNH1" s="224"/>
      <c r="BNI1" s="224"/>
      <c r="BNJ1" s="224"/>
      <c r="BNK1" s="224"/>
      <c r="BNL1" s="224"/>
      <c r="BNM1" s="224"/>
      <c r="BNN1" s="224"/>
      <c r="BNO1" s="224"/>
      <c r="BNP1" s="224"/>
      <c r="BNQ1" s="224"/>
      <c r="BNR1" s="224"/>
      <c r="BNS1" s="224"/>
      <c r="BNT1" s="224"/>
      <c r="BNU1" s="224"/>
      <c r="BNV1" s="224"/>
      <c r="BNW1" s="224"/>
      <c r="BNX1" s="224"/>
      <c r="BNY1" s="224"/>
      <c r="BNZ1" s="224"/>
      <c r="BOA1" s="224"/>
      <c r="BOB1" s="224"/>
      <c r="BOC1" s="224"/>
      <c r="BOD1" s="224"/>
      <c r="BOE1" s="224"/>
      <c r="BOF1" s="224"/>
      <c r="BOG1" s="224"/>
      <c r="BOH1" s="224"/>
      <c r="BOI1" s="224"/>
      <c r="BOJ1" s="224"/>
      <c r="BOK1" s="224"/>
      <c r="BOL1" s="224"/>
      <c r="BOM1" s="224"/>
      <c r="BON1" s="224"/>
      <c r="BOO1" s="224"/>
      <c r="BOP1" s="224"/>
      <c r="BOQ1" s="224"/>
      <c r="BOR1" s="224"/>
      <c r="BOS1" s="224"/>
      <c r="BOT1" s="224"/>
      <c r="BOU1" s="224"/>
      <c r="BOV1" s="224"/>
      <c r="BOW1" s="224"/>
      <c r="BOX1" s="224"/>
      <c r="BOY1" s="224"/>
      <c r="BOZ1" s="224"/>
      <c r="BPA1" s="224"/>
      <c r="BPB1" s="224"/>
      <c r="BPC1" s="224"/>
      <c r="BPD1" s="224"/>
      <c r="BPE1" s="224"/>
      <c r="BPF1" s="224"/>
      <c r="BPG1" s="224"/>
      <c r="BPH1" s="224"/>
      <c r="BPI1" s="224"/>
      <c r="BPJ1" s="224"/>
      <c r="BPK1" s="224"/>
      <c r="BPL1" s="224"/>
      <c r="BPM1" s="224"/>
      <c r="BPN1" s="224"/>
      <c r="BPO1" s="224"/>
      <c r="BPP1" s="224"/>
      <c r="BPQ1" s="224"/>
      <c r="BPR1" s="224"/>
      <c r="BPS1" s="224"/>
      <c r="BPT1" s="224"/>
      <c r="BPU1" s="224"/>
      <c r="BPV1" s="224"/>
      <c r="BPW1" s="224"/>
      <c r="BPX1" s="224"/>
      <c r="BPY1" s="224"/>
      <c r="BPZ1" s="224"/>
      <c r="BQA1" s="224"/>
      <c r="BQB1" s="224"/>
      <c r="BQC1" s="224"/>
      <c r="BQD1" s="224"/>
      <c r="BQE1" s="224"/>
      <c r="BQF1" s="224"/>
      <c r="BQG1" s="224"/>
      <c r="BQH1" s="224"/>
      <c r="BQI1" s="224"/>
      <c r="BQJ1" s="224"/>
      <c r="BQK1" s="224"/>
      <c r="BQL1" s="224"/>
      <c r="BQM1" s="224"/>
      <c r="BQN1" s="224"/>
      <c r="BQO1" s="224"/>
      <c r="BQP1" s="224"/>
      <c r="BQQ1" s="224"/>
      <c r="BQR1" s="224"/>
      <c r="BQS1" s="224"/>
      <c r="BQT1" s="224"/>
      <c r="BQU1" s="224"/>
      <c r="BQV1" s="224"/>
      <c r="BQW1" s="224"/>
      <c r="BQX1" s="224"/>
      <c r="BQY1" s="224"/>
      <c r="BQZ1" s="224"/>
      <c r="BRA1" s="224"/>
      <c r="BRB1" s="224"/>
      <c r="BRC1" s="224"/>
      <c r="BRD1" s="224"/>
      <c r="BRE1" s="224"/>
      <c r="BRF1" s="224"/>
      <c r="BRG1" s="224"/>
      <c r="BRH1" s="224"/>
      <c r="BRI1" s="224"/>
      <c r="BRJ1" s="224"/>
      <c r="BRK1" s="224"/>
      <c r="BRL1" s="224"/>
      <c r="BRM1" s="224"/>
      <c r="BRN1" s="224"/>
      <c r="BRO1" s="224"/>
      <c r="BRP1" s="224"/>
      <c r="BRQ1" s="224"/>
      <c r="BRR1" s="224"/>
      <c r="BRS1" s="224"/>
      <c r="BRT1" s="224"/>
      <c r="BRU1" s="224"/>
      <c r="BRV1" s="224"/>
      <c r="BRW1" s="224"/>
      <c r="BRX1" s="224"/>
      <c r="BRY1" s="224"/>
      <c r="BRZ1" s="224"/>
      <c r="BSA1" s="224"/>
      <c r="BSB1" s="224"/>
      <c r="BSC1" s="224"/>
      <c r="BSD1" s="224"/>
      <c r="BSE1" s="224"/>
      <c r="BSF1" s="224"/>
      <c r="BSG1" s="224"/>
      <c r="BSH1" s="224"/>
      <c r="BSI1" s="224"/>
      <c r="BSJ1" s="224"/>
      <c r="BSK1" s="224"/>
      <c r="BSL1" s="224"/>
      <c r="BSM1" s="224"/>
      <c r="BSN1" s="224"/>
      <c r="BSO1" s="224"/>
      <c r="BSP1" s="224"/>
      <c r="BSQ1" s="224"/>
      <c r="BSR1" s="224"/>
      <c r="BSS1" s="224"/>
      <c r="BST1" s="224"/>
      <c r="BSU1" s="224"/>
      <c r="BSV1" s="224"/>
      <c r="BSW1" s="224"/>
      <c r="BSX1" s="224"/>
      <c r="BSY1" s="224"/>
      <c r="BSZ1" s="224"/>
      <c r="BTA1" s="224"/>
      <c r="BTB1" s="224"/>
      <c r="BTC1" s="224"/>
      <c r="BTD1" s="224"/>
      <c r="BTE1" s="224"/>
      <c r="BTF1" s="224"/>
      <c r="BTG1" s="224"/>
      <c r="BTH1" s="224"/>
      <c r="BTI1" s="224"/>
      <c r="BTJ1" s="224"/>
      <c r="BTK1" s="224"/>
      <c r="BTL1" s="224"/>
      <c r="BTM1" s="224"/>
      <c r="BTN1" s="224"/>
      <c r="BTO1" s="224"/>
      <c r="BTP1" s="224"/>
      <c r="BTQ1" s="224"/>
      <c r="BTR1" s="224"/>
      <c r="BTS1" s="224"/>
      <c r="BTT1" s="224"/>
      <c r="BTU1" s="224"/>
      <c r="BTV1" s="224"/>
      <c r="BTW1" s="224"/>
      <c r="BTX1" s="224"/>
      <c r="BTY1" s="224"/>
      <c r="BTZ1" s="224"/>
      <c r="BUA1" s="224"/>
      <c r="BUB1" s="224"/>
      <c r="BUC1" s="224"/>
      <c r="BUD1" s="224"/>
      <c r="BUE1" s="224"/>
      <c r="BUF1" s="224"/>
      <c r="BUG1" s="224"/>
      <c r="BUH1" s="224"/>
      <c r="BUI1" s="224"/>
      <c r="BUJ1" s="224"/>
      <c r="BUK1" s="224"/>
      <c r="BUL1" s="224"/>
      <c r="BUM1" s="224"/>
      <c r="BUN1" s="224"/>
      <c r="BUO1" s="224"/>
      <c r="BUP1" s="224"/>
      <c r="BUQ1" s="224"/>
      <c r="BUR1" s="224"/>
      <c r="BUS1" s="224"/>
      <c r="BUT1" s="224"/>
      <c r="BUU1" s="224"/>
      <c r="BUV1" s="224"/>
      <c r="BUW1" s="224"/>
      <c r="BUX1" s="224"/>
      <c r="BUY1" s="224"/>
      <c r="BUZ1" s="224"/>
      <c r="BVA1" s="224"/>
      <c r="BVB1" s="224"/>
      <c r="BVC1" s="224"/>
      <c r="BVD1" s="224"/>
      <c r="BVE1" s="224"/>
      <c r="BVF1" s="224"/>
      <c r="BVG1" s="224"/>
      <c r="BVH1" s="224"/>
      <c r="BVI1" s="224"/>
      <c r="BVJ1" s="224"/>
      <c r="BVK1" s="224"/>
      <c r="BVL1" s="224"/>
      <c r="BVM1" s="224"/>
      <c r="BVN1" s="224"/>
      <c r="BVO1" s="224"/>
      <c r="BVP1" s="224"/>
      <c r="BVQ1" s="224"/>
      <c r="BVR1" s="224"/>
      <c r="BVS1" s="224"/>
      <c r="BVT1" s="224"/>
      <c r="BVU1" s="224"/>
      <c r="BVV1" s="224"/>
      <c r="BVW1" s="224"/>
      <c r="BVX1" s="224"/>
      <c r="BVY1" s="224"/>
      <c r="BVZ1" s="224"/>
      <c r="BWA1" s="224"/>
      <c r="BWB1" s="224"/>
      <c r="BWC1" s="224"/>
      <c r="BWD1" s="224"/>
      <c r="BWE1" s="224"/>
      <c r="BWF1" s="224"/>
      <c r="BWG1" s="224"/>
      <c r="BWH1" s="224"/>
      <c r="BWI1" s="224"/>
      <c r="BWJ1" s="224"/>
      <c r="BWK1" s="224"/>
      <c r="BWL1" s="224"/>
      <c r="BWM1" s="224"/>
      <c r="BWN1" s="224"/>
      <c r="BWO1" s="224"/>
      <c r="BWP1" s="224"/>
      <c r="BWQ1" s="224"/>
      <c r="BWR1" s="224"/>
      <c r="BWS1" s="224"/>
      <c r="BWT1" s="224"/>
      <c r="BWU1" s="224"/>
      <c r="BWV1" s="224"/>
      <c r="BWW1" s="224"/>
      <c r="BWX1" s="224"/>
      <c r="BWY1" s="224"/>
      <c r="BWZ1" s="224"/>
      <c r="BXA1" s="224"/>
      <c r="BXB1" s="224"/>
      <c r="BXC1" s="224"/>
      <c r="BXD1" s="224"/>
      <c r="BXE1" s="224"/>
      <c r="BXF1" s="224"/>
      <c r="BXG1" s="224"/>
      <c r="BXH1" s="224"/>
      <c r="BXI1" s="224"/>
      <c r="BXJ1" s="224"/>
      <c r="BXK1" s="224"/>
      <c r="BXL1" s="224"/>
      <c r="BXM1" s="224"/>
      <c r="BXN1" s="224"/>
      <c r="BXO1" s="224"/>
      <c r="BXP1" s="224"/>
      <c r="BXQ1" s="224"/>
      <c r="BXR1" s="224"/>
      <c r="BXS1" s="224"/>
      <c r="BXT1" s="224"/>
      <c r="BXU1" s="224"/>
      <c r="BXV1" s="224"/>
      <c r="BXW1" s="224"/>
      <c r="BXX1" s="224"/>
      <c r="BXY1" s="224"/>
      <c r="BXZ1" s="224"/>
      <c r="BYA1" s="224"/>
      <c r="BYB1" s="224"/>
      <c r="BYC1" s="224"/>
      <c r="BYD1" s="224"/>
      <c r="BYE1" s="224"/>
      <c r="BYF1" s="224"/>
      <c r="BYG1" s="224"/>
      <c r="BYH1" s="224"/>
      <c r="BYI1" s="224"/>
      <c r="BYJ1" s="224"/>
      <c r="BYK1" s="224"/>
      <c r="BYL1" s="224"/>
      <c r="BYM1" s="224"/>
      <c r="BYN1" s="224"/>
      <c r="BYO1" s="224"/>
      <c r="BYP1" s="224"/>
      <c r="BYQ1" s="224"/>
      <c r="BYR1" s="224"/>
      <c r="BYS1" s="224"/>
      <c r="BYT1" s="224"/>
      <c r="BYU1" s="224"/>
      <c r="BYV1" s="224"/>
      <c r="BYW1" s="224"/>
      <c r="BYX1" s="224"/>
      <c r="BYY1" s="224"/>
      <c r="BYZ1" s="224"/>
      <c r="BZA1" s="224"/>
      <c r="BZB1" s="224"/>
      <c r="BZC1" s="224"/>
      <c r="BZD1" s="224"/>
      <c r="BZE1" s="224"/>
      <c r="BZF1" s="224"/>
      <c r="BZG1" s="224"/>
      <c r="BZH1" s="224"/>
      <c r="BZI1" s="224"/>
      <c r="BZJ1" s="224"/>
      <c r="BZK1" s="224"/>
      <c r="BZL1" s="224"/>
      <c r="BZM1" s="224"/>
      <c r="BZN1" s="224"/>
      <c r="BZO1" s="224"/>
      <c r="BZP1" s="224"/>
      <c r="BZQ1" s="224"/>
      <c r="BZR1" s="224"/>
      <c r="BZS1" s="224"/>
      <c r="BZT1" s="224"/>
      <c r="BZU1" s="224"/>
      <c r="BZV1" s="224"/>
      <c r="BZW1" s="224"/>
      <c r="BZX1" s="224"/>
      <c r="BZY1" s="224"/>
      <c r="BZZ1" s="224"/>
      <c r="CAA1" s="224"/>
      <c r="CAB1" s="224"/>
      <c r="CAC1" s="224"/>
      <c r="CAD1" s="224"/>
      <c r="CAE1" s="224"/>
      <c r="CAF1" s="224"/>
      <c r="CAG1" s="224"/>
      <c r="CAH1" s="224"/>
      <c r="CAI1" s="224"/>
      <c r="CAJ1" s="224"/>
      <c r="CAK1" s="224"/>
      <c r="CAL1" s="224"/>
      <c r="CAM1" s="224"/>
      <c r="CAN1" s="224"/>
      <c r="CAO1" s="224"/>
      <c r="CAP1" s="224"/>
      <c r="CAQ1" s="224"/>
      <c r="CAR1" s="224"/>
      <c r="CAS1" s="224"/>
      <c r="CAT1" s="224"/>
      <c r="CAU1" s="224"/>
      <c r="CAV1" s="224"/>
      <c r="CAW1" s="224"/>
      <c r="CAX1" s="224"/>
      <c r="CAY1" s="224"/>
      <c r="CAZ1" s="224"/>
      <c r="CBA1" s="224"/>
      <c r="CBB1" s="224"/>
      <c r="CBC1" s="224"/>
      <c r="CBD1" s="224"/>
      <c r="CBE1" s="224"/>
      <c r="CBF1" s="224"/>
      <c r="CBG1" s="224"/>
      <c r="CBH1" s="224"/>
      <c r="CBI1" s="224"/>
      <c r="CBJ1" s="224"/>
      <c r="CBK1" s="224"/>
      <c r="CBL1" s="224"/>
      <c r="CBM1" s="224"/>
      <c r="CBN1" s="224"/>
      <c r="CBO1" s="224"/>
      <c r="CBP1" s="224"/>
      <c r="CBQ1" s="224"/>
      <c r="CBR1" s="224"/>
      <c r="CBS1" s="224"/>
      <c r="CBT1" s="224"/>
      <c r="CBU1" s="224"/>
      <c r="CBV1" s="224"/>
      <c r="CBW1" s="224"/>
      <c r="CBX1" s="224"/>
      <c r="CBY1" s="224"/>
      <c r="CBZ1" s="224"/>
      <c r="CCA1" s="224"/>
      <c r="CCB1" s="224"/>
      <c r="CCC1" s="224"/>
      <c r="CCD1" s="224"/>
      <c r="CCE1" s="224"/>
      <c r="CCF1" s="224"/>
      <c r="CCG1" s="224"/>
      <c r="CCH1" s="224"/>
      <c r="CCI1" s="224"/>
      <c r="CCJ1" s="224"/>
      <c r="CCK1" s="224"/>
      <c r="CCL1" s="224"/>
      <c r="CCM1" s="224"/>
      <c r="CCN1" s="224"/>
      <c r="CCO1" s="224"/>
      <c r="CCP1" s="224"/>
      <c r="CCQ1" s="224"/>
      <c r="CCR1" s="224"/>
      <c r="CCS1" s="224"/>
      <c r="CCT1" s="224"/>
      <c r="CCU1" s="224"/>
      <c r="CCV1" s="224"/>
      <c r="CCW1" s="224"/>
      <c r="CCX1" s="224"/>
      <c r="CCY1" s="224"/>
      <c r="CCZ1" s="224"/>
      <c r="CDA1" s="224"/>
      <c r="CDB1" s="224"/>
      <c r="CDC1" s="224"/>
      <c r="CDD1" s="224"/>
      <c r="CDE1" s="224"/>
      <c r="CDF1" s="224"/>
      <c r="CDG1" s="224"/>
      <c r="CDH1" s="224"/>
      <c r="CDI1" s="224"/>
      <c r="CDJ1" s="224"/>
      <c r="CDK1" s="224"/>
      <c r="CDL1" s="224"/>
      <c r="CDM1" s="224"/>
      <c r="CDN1" s="224"/>
      <c r="CDO1" s="224"/>
      <c r="CDP1" s="224"/>
      <c r="CDQ1" s="224"/>
      <c r="CDR1" s="224"/>
      <c r="CDS1" s="224"/>
      <c r="CDT1" s="224"/>
      <c r="CDU1" s="224"/>
      <c r="CDV1" s="224"/>
      <c r="CDW1" s="224"/>
      <c r="CDX1" s="224"/>
      <c r="CDY1" s="224"/>
      <c r="CDZ1" s="224"/>
      <c r="CEA1" s="224"/>
      <c r="CEB1" s="224"/>
      <c r="CEC1" s="224"/>
      <c r="CED1" s="224"/>
      <c r="CEE1" s="224"/>
      <c r="CEF1" s="224"/>
      <c r="CEG1" s="224"/>
      <c r="CEH1" s="224"/>
      <c r="CEI1" s="224"/>
      <c r="CEJ1" s="224"/>
      <c r="CEK1" s="224"/>
      <c r="CEL1" s="224"/>
      <c r="CEM1" s="224"/>
      <c r="CEN1" s="224"/>
      <c r="CEO1" s="224"/>
      <c r="CEP1" s="224"/>
      <c r="CEQ1" s="224"/>
      <c r="CER1" s="224"/>
      <c r="CES1" s="224"/>
      <c r="CET1" s="224"/>
      <c r="CEU1" s="224"/>
      <c r="CEV1" s="224"/>
      <c r="CEW1" s="224"/>
      <c r="CEX1" s="224"/>
      <c r="CEY1" s="224"/>
      <c r="CEZ1" s="224"/>
      <c r="CFA1" s="224"/>
      <c r="CFB1" s="224"/>
      <c r="CFC1" s="224"/>
      <c r="CFD1" s="224"/>
      <c r="CFE1" s="224"/>
      <c r="CFF1" s="224"/>
      <c r="CFG1" s="224"/>
      <c r="CFH1" s="224"/>
      <c r="CFI1" s="224"/>
      <c r="CFJ1" s="224"/>
      <c r="CFK1" s="224"/>
      <c r="CFL1" s="224"/>
      <c r="CFM1" s="224"/>
      <c r="CFN1" s="224"/>
      <c r="CFO1" s="224"/>
      <c r="CFP1" s="224"/>
      <c r="CFQ1" s="224"/>
      <c r="CFR1" s="224"/>
      <c r="CFS1" s="224"/>
      <c r="CFT1" s="224"/>
      <c r="CFU1" s="224"/>
      <c r="CFV1" s="224"/>
      <c r="CFW1" s="224"/>
      <c r="CFX1" s="224"/>
      <c r="CFY1" s="224"/>
      <c r="CFZ1" s="224"/>
      <c r="CGA1" s="224"/>
      <c r="CGB1" s="224"/>
      <c r="CGC1" s="224"/>
      <c r="CGD1" s="224"/>
      <c r="CGE1" s="224"/>
      <c r="CGF1" s="224"/>
      <c r="CGG1" s="224"/>
      <c r="CGH1" s="224"/>
      <c r="CGI1" s="224"/>
      <c r="CGJ1" s="224"/>
      <c r="CGK1" s="224"/>
      <c r="CGL1" s="224"/>
      <c r="CGM1" s="224"/>
      <c r="CGN1" s="224"/>
      <c r="CGO1" s="224"/>
      <c r="CGP1" s="224"/>
      <c r="CGQ1" s="224"/>
      <c r="CGR1" s="224"/>
      <c r="CGS1" s="224"/>
      <c r="CGT1" s="224"/>
      <c r="CGU1" s="224"/>
      <c r="CGV1" s="224"/>
      <c r="CGW1" s="224"/>
      <c r="CGX1" s="224"/>
      <c r="CGY1" s="224"/>
      <c r="CGZ1" s="224"/>
      <c r="CHA1" s="224"/>
      <c r="CHB1" s="224"/>
      <c r="CHC1" s="224"/>
      <c r="CHD1" s="224"/>
      <c r="CHE1" s="224"/>
      <c r="CHF1" s="224"/>
      <c r="CHG1" s="224"/>
      <c r="CHH1" s="224"/>
      <c r="CHI1" s="224"/>
      <c r="CHJ1" s="224"/>
      <c r="CHK1" s="224"/>
      <c r="CHL1" s="224"/>
      <c r="CHM1" s="224"/>
      <c r="CHN1" s="224"/>
      <c r="CHO1" s="224"/>
      <c r="CHP1" s="224"/>
      <c r="CHQ1" s="224"/>
      <c r="CHR1" s="224"/>
      <c r="CHS1" s="224"/>
      <c r="CHT1" s="224"/>
      <c r="CHU1" s="224"/>
      <c r="CHV1" s="224"/>
      <c r="CHW1" s="224"/>
      <c r="CHX1" s="224"/>
      <c r="CHY1" s="224"/>
      <c r="CHZ1" s="224"/>
      <c r="CIA1" s="224"/>
      <c r="CIB1" s="224"/>
      <c r="CIC1" s="224"/>
      <c r="CID1" s="224"/>
      <c r="CIE1" s="224"/>
      <c r="CIF1" s="224"/>
      <c r="CIG1" s="224"/>
      <c r="CIH1" s="224"/>
      <c r="CII1" s="224"/>
      <c r="CIJ1" s="224"/>
      <c r="CIK1" s="224"/>
      <c r="CIL1" s="224"/>
      <c r="CIM1" s="224"/>
      <c r="CIN1" s="224"/>
      <c r="CIO1" s="224"/>
      <c r="CIP1" s="224"/>
      <c r="CIQ1" s="224"/>
      <c r="CIR1" s="224"/>
      <c r="CIS1" s="224"/>
      <c r="CIT1" s="224"/>
      <c r="CIU1" s="224"/>
      <c r="CIV1" s="224"/>
      <c r="CIW1" s="224"/>
      <c r="CIX1" s="224"/>
      <c r="CIY1" s="224"/>
      <c r="CIZ1" s="224"/>
      <c r="CJA1" s="224"/>
      <c r="CJB1" s="224"/>
      <c r="CJC1" s="224"/>
      <c r="CJD1" s="224"/>
      <c r="CJE1" s="224"/>
      <c r="CJF1" s="224"/>
      <c r="CJG1" s="224"/>
      <c r="CJH1" s="224"/>
      <c r="CJI1" s="224"/>
      <c r="CJJ1" s="224"/>
      <c r="CJK1" s="224"/>
      <c r="CJL1" s="224"/>
      <c r="CJM1" s="224"/>
      <c r="CJN1" s="224"/>
      <c r="CJO1" s="224"/>
      <c r="CJP1" s="224"/>
      <c r="CJQ1" s="224"/>
      <c r="CJR1" s="224"/>
      <c r="CJS1" s="224"/>
      <c r="CJT1" s="224"/>
      <c r="CJU1" s="224"/>
      <c r="CJV1" s="224"/>
      <c r="CJW1" s="224"/>
      <c r="CJX1" s="224"/>
      <c r="CJY1" s="224"/>
      <c r="CJZ1" s="224"/>
      <c r="CKA1" s="224"/>
      <c r="CKB1" s="224"/>
      <c r="CKC1" s="224"/>
      <c r="CKD1" s="224"/>
      <c r="CKE1" s="224"/>
      <c r="CKF1" s="224"/>
      <c r="CKG1" s="224"/>
      <c r="CKH1" s="224"/>
      <c r="CKI1" s="224"/>
      <c r="CKJ1" s="224"/>
      <c r="CKK1" s="224"/>
      <c r="CKL1" s="224"/>
      <c r="CKM1" s="224"/>
      <c r="CKN1" s="224"/>
      <c r="CKO1" s="224"/>
      <c r="CKP1" s="224"/>
      <c r="CKQ1" s="224"/>
      <c r="CKR1" s="224"/>
      <c r="CKS1" s="224"/>
      <c r="CKT1" s="224"/>
      <c r="CKU1" s="224"/>
      <c r="CKV1" s="224"/>
      <c r="CKW1" s="224"/>
      <c r="CKX1" s="224"/>
      <c r="CKY1" s="224"/>
      <c r="CKZ1" s="224"/>
      <c r="CLA1" s="224"/>
      <c r="CLB1" s="224"/>
      <c r="CLC1" s="224"/>
      <c r="CLD1" s="224"/>
      <c r="CLE1" s="224"/>
      <c r="CLF1" s="224"/>
      <c r="CLG1" s="224"/>
      <c r="CLH1" s="224"/>
      <c r="CLI1" s="224"/>
      <c r="CLJ1" s="224"/>
      <c r="CLK1" s="224"/>
      <c r="CLL1" s="224"/>
      <c r="CLM1" s="224"/>
      <c r="CLN1" s="224"/>
      <c r="CLO1" s="224"/>
      <c r="CLP1" s="224"/>
      <c r="CLQ1" s="224"/>
      <c r="CLR1" s="224"/>
      <c r="CLS1" s="224"/>
      <c r="CLT1" s="224"/>
      <c r="CLU1" s="224"/>
      <c r="CLV1" s="224"/>
      <c r="CLW1" s="224"/>
      <c r="CLX1" s="224"/>
      <c r="CLY1" s="224"/>
      <c r="CLZ1" s="224"/>
      <c r="CMA1" s="224"/>
      <c r="CMB1" s="224"/>
      <c r="CMC1" s="224"/>
      <c r="CMD1" s="224"/>
      <c r="CME1" s="224"/>
      <c r="CMF1" s="224"/>
      <c r="CMG1" s="224"/>
      <c r="CMH1" s="224"/>
      <c r="CMI1" s="224"/>
      <c r="CMJ1" s="224"/>
      <c r="CMK1" s="224"/>
      <c r="CML1" s="224"/>
      <c r="CMM1" s="224"/>
      <c r="CMN1" s="224"/>
      <c r="CMO1" s="224"/>
      <c r="CMP1" s="224"/>
      <c r="CMQ1" s="224"/>
      <c r="CMR1" s="224"/>
      <c r="CMS1" s="224"/>
      <c r="CMT1" s="224"/>
      <c r="CMU1" s="224"/>
      <c r="CMV1" s="224"/>
      <c r="CMW1" s="224"/>
      <c r="CMX1" s="224"/>
      <c r="CMY1" s="224"/>
      <c r="CMZ1" s="224"/>
      <c r="CNA1" s="224"/>
      <c r="CNB1" s="224"/>
      <c r="CNC1" s="224"/>
      <c r="CND1" s="224"/>
      <c r="CNE1" s="224"/>
      <c r="CNF1" s="224"/>
      <c r="CNG1" s="224"/>
      <c r="CNH1" s="224"/>
      <c r="CNI1" s="224"/>
      <c r="CNJ1" s="224"/>
      <c r="CNK1" s="224"/>
      <c r="CNL1" s="224"/>
      <c r="CNM1" s="224"/>
      <c r="CNN1" s="224"/>
      <c r="CNO1" s="224"/>
      <c r="CNP1" s="224"/>
      <c r="CNQ1" s="224"/>
      <c r="CNR1" s="224"/>
      <c r="CNS1" s="224"/>
      <c r="CNT1" s="224"/>
      <c r="CNU1" s="224"/>
      <c r="CNV1" s="224"/>
      <c r="CNW1" s="224"/>
      <c r="CNX1" s="224"/>
      <c r="CNY1" s="224"/>
      <c r="CNZ1" s="224"/>
      <c r="COA1" s="224"/>
      <c r="COB1" s="224"/>
      <c r="COC1" s="224"/>
      <c r="COD1" s="224"/>
      <c r="COE1" s="224"/>
      <c r="COF1" s="224"/>
      <c r="COG1" s="224"/>
      <c r="COH1" s="224"/>
      <c r="COI1" s="224"/>
      <c r="COJ1" s="224"/>
      <c r="COK1" s="224"/>
      <c r="COL1" s="224"/>
      <c r="COM1" s="224"/>
      <c r="CON1" s="224"/>
      <c r="COO1" s="224"/>
      <c r="COP1" s="224"/>
      <c r="COQ1" s="224"/>
      <c r="COR1" s="224"/>
      <c r="COS1" s="224"/>
      <c r="COT1" s="224"/>
      <c r="COU1" s="224"/>
      <c r="COV1" s="224"/>
      <c r="COW1" s="224"/>
      <c r="COX1" s="224"/>
      <c r="COY1" s="224"/>
      <c r="COZ1" s="224"/>
      <c r="CPA1" s="224"/>
      <c r="CPB1" s="224"/>
      <c r="CPC1" s="224"/>
      <c r="CPD1" s="224"/>
      <c r="CPE1" s="224"/>
      <c r="CPF1" s="224"/>
      <c r="CPG1" s="224"/>
      <c r="CPH1" s="224"/>
      <c r="CPI1" s="224"/>
      <c r="CPJ1" s="224"/>
      <c r="CPK1" s="224"/>
      <c r="CPL1" s="224"/>
      <c r="CPM1" s="224"/>
      <c r="CPN1" s="224"/>
      <c r="CPO1" s="224"/>
      <c r="CPP1" s="224"/>
      <c r="CPQ1" s="224"/>
      <c r="CPR1" s="224"/>
      <c r="CPS1" s="224"/>
      <c r="CPT1" s="224"/>
      <c r="CPU1" s="224"/>
      <c r="CPV1" s="224"/>
      <c r="CPW1" s="224"/>
      <c r="CPX1" s="224"/>
      <c r="CPY1" s="224"/>
      <c r="CPZ1" s="224"/>
      <c r="CQA1" s="224"/>
      <c r="CQB1" s="224"/>
      <c r="CQC1" s="224"/>
      <c r="CQD1" s="224"/>
      <c r="CQE1" s="224"/>
      <c r="CQF1" s="224"/>
      <c r="CQG1" s="224"/>
      <c r="CQH1" s="224"/>
      <c r="CQI1" s="224"/>
      <c r="CQJ1" s="224"/>
      <c r="CQK1" s="224"/>
      <c r="CQL1" s="224"/>
      <c r="CQM1" s="224"/>
      <c r="CQN1" s="224"/>
      <c r="CQO1" s="224"/>
      <c r="CQP1" s="224"/>
      <c r="CQQ1" s="224"/>
      <c r="CQR1" s="224"/>
      <c r="CQS1" s="224"/>
      <c r="CQT1" s="224"/>
      <c r="CQU1" s="224"/>
      <c r="CQV1" s="224"/>
      <c r="CQW1" s="224"/>
      <c r="CQX1" s="224"/>
      <c r="CQY1" s="224"/>
      <c r="CQZ1" s="224"/>
      <c r="CRA1" s="224"/>
      <c r="CRB1" s="224"/>
      <c r="CRC1" s="224"/>
      <c r="CRD1" s="224"/>
      <c r="CRE1" s="224"/>
      <c r="CRF1" s="224"/>
      <c r="CRG1" s="224"/>
      <c r="CRH1" s="224"/>
      <c r="CRI1" s="224"/>
      <c r="CRJ1" s="224"/>
      <c r="CRK1" s="224"/>
      <c r="CRL1" s="224"/>
      <c r="CRM1" s="224"/>
      <c r="CRN1" s="224"/>
      <c r="CRO1" s="224"/>
      <c r="CRP1" s="224"/>
      <c r="CRQ1" s="224"/>
      <c r="CRR1" s="224"/>
      <c r="CRS1" s="224"/>
      <c r="CRT1" s="224"/>
      <c r="CRU1" s="224"/>
      <c r="CRV1" s="224"/>
      <c r="CRW1" s="224"/>
      <c r="CRX1" s="224"/>
      <c r="CRY1" s="224"/>
      <c r="CRZ1" s="224"/>
      <c r="CSA1" s="224"/>
      <c r="CSB1" s="224"/>
      <c r="CSC1" s="224"/>
      <c r="CSD1" s="224"/>
      <c r="CSE1" s="224"/>
      <c r="CSF1" s="224"/>
      <c r="CSG1" s="224"/>
      <c r="CSH1" s="224"/>
      <c r="CSI1" s="224"/>
      <c r="CSJ1" s="224"/>
      <c r="CSK1" s="224"/>
      <c r="CSL1" s="224"/>
      <c r="CSM1" s="224"/>
      <c r="CSN1" s="224"/>
      <c r="CSO1" s="224"/>
      <c r="CSP1" s="224"/>
      <c r="CSQ1" s="224"/>
      <c r="CSR1" s="224"/>
      <c r="CSS1" s="224"/>
      <c r="CST1" s="224"/>
      <c r="CSU1" s="224"/>
      <c r="CSV1" s="224"/>
      <c r="CSW1" s="224"/>
      <c r="CSX1" s="224"/>
      <c r="CSY1" s="224"/>
      <c r="CSZ1" s="224"/>
      <c r="CTA1" s="224"/>
      <c r="CTB1" s="224"/>
      <c r="CTC1" s="224"/>
      <c r="CTD1" s="224"/>
      <c r="CTE1" s="224"/>
      <c r="CTF1" s="224"/>
      <c r="CTG1" s="224"/>
      <c r="CTH1" s="224"/>
      <c r="CTI1" s="224"/>
      <c r="CTJ1" s="224"/>
      <c r="CTK1" s="224"/>
      <c r="CTL1" s="224"/>
      <c r="CTM1" s="224"/>
      <c r="CTN1" s="224"/>
      <c r="CTO1" s="224"/>
      <c r="CTP1" s="224"/>
      <c r="CTQ1" s="224"/>
      <c r="CTR1" s="224"/>
      <c r="CTS1" s="224"/>
      <c r="CTT1" s="224"/>
      <c r="CTU1" s="224"/>
      <c r="CTV1" s="224"/>
      <c r="CTW1" s="224"/>
      <c r="CTX1" s="224"/>
      <c r="CTY1" s="224"/>
      <c r="CTZ1" s="224"/>
      <c r="CUA1" s="224"/>
      <c r="CUB1" s="224"/>
      <c r="CUC1" s="224"/>
      <c r="CUD1" s="224"/>
      <c r="CUE1" s="224"/>
      <c r="CUF1" s="224"/>
      <c r="CUG1" s="224"/>
      <c r="CUH1" s="224"/>
      <c r="CUI1" s="224"/>
      <c r="CUJ1" s="224"/>
      <c r="CUK1" s="224"/>
      <c r="CUL1" s="224"/>
      <c r="CUM1" s="224"/>
      <c r="CUN1" s="224"/>
      <c r="CUO1" s="224"/>
      <c r="CUP1" s="224"/>
      <c r="CUQ1" s="224"/>
      <c r="CUR1" s="224"/>
      <c r="CUS1" s="224"/>
      <c r="CUT1" s="224"/>
      <c r="CUU1" s="224"/>
      <c r="CUV1" s="224"/>
      <c r="CUW1" s="224"/>
      <c r="CUX1" s="224"/>
      <c r="CUY1" s="224"/>
      <c r="CUZ1" s="224"/>
      <c r="CVA1" s="224"/>
      <c r="CVB1" s="224"/>
      <c r="CVC1" s="224"/>
      <c r="CVD1" s="224"/>
      <c r="CVE1" s="224"/>
      <c r="CVF1" s="224"/>
      <c r="CVG1" s="224"/>
      <c r="CVH1" s="224"/>
      <c r="CVI1" s="224"/>
      <c r="CVJ1" s="224"/>
      <c r="CVK1" s="224"/>
      <c r="CVL1" s="224"/>
      <c r="CVM1" s="224"/>
      <c r="CVN1" s="224"/>
      <c r="CVO1" s="224"/>
      <c r="CVP1" s="224"/>
      <c r="CVQ1" s="224"/>
      <c r="CVR1" s="224"/>
      <c r="CVS1" s="224"/>
      <c r="CVT1" s="224"/>
      <c r="CVU1" s="224"/>
      <c r="CVV1" s="224"/>
      <c r="CVW1" s="224"/>
      <c r="CVX1" s="224"/>
      <c r="CVY1" s="224"/>
      <c r="CVZ1" s="224"/>
      <c r="CWA1" s="224"/>
      <c r="CWB1" s="224"/>
      <c r="CWC1" s="224"/>
      <c r="CWD1" s="224"/>
      <c r="CWE1" s="224"/>
      <c r="CWF1" s="224"/>
      <c r="CWG1" s="224"/>
      <c r="CWH1" s="224"/>
      <c r="CWI1" s="224"/>
      <c r="CWJ1" s="224"/>
      <c r="CWK1" s="224"/>
      <c r="CWL1" s="224"/>
      <c r="CWM1" s="224"/>
      <c r="CWN1" s="224"/>
      <c r="CWO1" s="224"/>
      <c r="CWP1" s="224"/>
      <c r="CWQ1" s="224"/>
      <c r="CWR1" s="224"/>
      <c r="CWS1" s="224"/>
      <c r="CWT1" s="224"/>
      <c r="CWU1" s="224"/>
      <c r="CWV1" s="224"/>
      <c r="CWW1" s="224"/>
      <c r="CWX1" s="224"/>
      <c r="CWY1" s="224"/>
      <c r="CWZ1" s="224"/>
      <c r="CXA1" s="224"/>
      <c r="CXB1" s="224"/>
      <c r="CXC1" s="224"/>
      <c r="CXD1" s="224"/>
      <c r="CXE1" s="224"/>
      <c r="CXF1" s="224"/>
      <c r="CXG1" s="224"/>
      <c r="CXH1" s="224"/>
      <c r="CXI1" s="224"/>
      <c r="CXJ1" s="224"/>
      <c r="CXK1" s="224"/>
      <c r="CXL1" s="224"/>
      <c r="CXM1" s="224"/>
      <c r="CXN1" s="224"/>
      <c r="CXO1" s="224"/>
      <c r="CXP1" s="224"/>
      <c r="CXQ1" s="224"/>
      <c r="CXR1" s="224"/>
      <c r="CXS1" s="224"/>
      <c r="CXT1" s="224"/>
      <c r="CXU1" s="224"/>
      <c r="CXV1" s="224"/>
      <c r="CXW1" s="224"/>
      <c r="CXX1" s="224"/>
      <c r="CXY1" s="224"/>
      <c r="CXZ1" s="224"/>
      <c r="CYA1" s="224"/>
      <c r="CYB1" s="224"/>
      <c r="CYC1" s="224"/>
      <c r="CYD1" s="224"/>
      <c r="CYE1" s="224"/>
      <c r="CYF1" s="224"/>
      <c r="CYG1" s="224"/>
      <c r="CYH1" s="224"/>
      <c r="CYI1" s="224"/>
      <c r="CYJ1" s="224"/>
      <c r="CYK1" s="224"/>
      <c r="CYL1" s="224"/>
      <c r="CYM1" s="224"/>
      <c r="CYN1" s="224"/>
      <c r="CYO1" s="224"/>
      <c r="CYP1" s="224"/>
      <c r="CYQ1" s="224"/>
      <c r="CYR1" s="224"/>
      <c r="CYS1" s="224"/>
      <c r="CYT1" s="224"/>
      <c r="CYU1" s="224"/>
      <c r="CYV1" s="224"/>
      <c r="CYW1" s="224"/>
      <c r="CYX1" s="224"/>
      <c r="CYY1" s="224"/>
      <c r="CYZ1" s="224"/>
      <c r="CZA1" s="224"/>
      <c r="CZB1" s="224"/>
      <c r="CZC1" s="224"/>
      <c r="CZD1" s="224"/>
      <c r="CZE1" s="224"/>
      <c r="CZF1" s="224"/>
      <c r="CZG1" s="224"/>
      <c r="CZH1" s="224"/>
      <c r="CZI1" s="224"/>
      <c r="CZJ1" s="224"/>
      <c r="CZK1" s="224"/>
      <c r="CZL1" s="224"/>
      <c r="CZM1" s="224"/>
      <c r="CZN1" s="224"/>
      <c r="CZO1" s="224"/>
      <c r="CZP1" s="224"/>
      <c r="CZQ1" s="224"/>
      <c r="CZR1" s="224"/>
      <c r="CZS1" s="224"/>
      <c r="CZT1" s="224"/>
      <c r="CZU1" s="224"/>
      <c r="CZV1" s="224"/>
      <c r="CZW1" s="224"/>
      <c r="CZX1" s="224"/>
      <c r="CZY1" s="224"/>
      <c r="CZZ1" s="224"/>
      <c r="DAA1" s="224"/>
      <c r="DAB1" s="224"/>
      <c r="DAC1" s="224"/>
      <c r="DAD1" s="224"/>
      <c r="DAE1" s="224"/>
      <c r="DAF1" s="224"/>
      <c r="DAG1" s="224"/>
      <c r="DAH1" s="224"/>
      <c r="DAI1" s="224"/>
      <c r="DAJ1" s="224"/>
      <c r="DAK1" s="224"/>
      <c r="DAL1" s="224"/>
      <c r="DAM1" s="224"/>
      <c r="DAN1" s="224"/>
      <c r="DAO1" s="224"/>
      <c r="DAP1" s="224"/>
      <c r="DAQ1" s="224"/>
      <c r="DAR1" s="224"/>
      <c r="DAS1" s="224"/>
      <c r="DAT1" s="224"/>
      <c r="DAU1" s="224"/>
      <c r="DAV1" s="224"/>
      <c r="DAW1" s="224"/>
      <c r="DAX1" s="224"/>
      <c r="DAY1" s="224"/>
      <c r="DAZ1" s="224"/>
      <c r="DBA1" s="224"/>
      <c r="DBB1" s="224"/>
      <c r="DBC1" s="224"/>
      <c r="DBD1" s="224"/>
      <c r="DBE1" s="224"/>
      <c r="DBF1" s="224"/>
      <c r="DBG1" s="224"/>
      <c r="DBH1" s="224"/>
      <c r="DBI1" s="224"/>
      <c r="DBJ1" s="224"/>
      <c r="DBK1" s="224"/>
      <c r="DBL1" s="224"/>
      <c r="DBM1" s="224"/>
      <c r="DBN1" s="224"/>
      <c r="DBO1" s="224"/>
      <c r="DBP1" s="224"/>
      <c r="DBQ1" s="224"/>
      <c r="DBR1" s="224"/>
      <c r="DBS1" s="224"/>
      <c r="DBT1" s="224"/>
      <c r="DBU1" s="224"/>
      <c r="DBV1" s="224"/>
      <c r="DBW1" s="224"/>
      <c r="DBX1" s="224"/>
      <c r="DBY1" s="224"/>
      <c r="DBZ1" s="224"/>
      <c r="DCA1" s="224"/>
      <c r="DCB1" s="224"/>
      <c r="DCC1" s="224"/>
      <c r="DCD1" s="224"/>
      <c r="DCE1" s="224"/>
      <c r="DCF1" s="224"/>
      <c r="DCG1" s="224"/>
      <c r="DCH1" s="224"/>
      <c r="DCI1" s="224"/>
      <c r="DCJ1" s="224"/>
      <c r="DCK1" s="224"/>
      <c r="DCL1" s="224"/>
      <c r="DCM1" s="224"/>
      <c r="DCN1" s="224"/>
      <c r="DCO1" s="224"/>
      <c r="DCP1" s="224"/>
      <c r="DCQ1" s="224"/>
      <c r="DCR1" s="224"/>
      <c r="DCS1" s="224"/>
      <c r="DCT1" s="224"/>
      <c r="DCU1" s="224"/>
      <c r="DCV1" s="224"/>
      <c r="DCW1" s="224"/>
      <c r="DCX1" s="224"/>
      <c r="DCY1" s="224"/>
      <c r="DCZ1" s="224"/>
      <c r="DDA1" s="224"/>
      <c r="DDB1" s="224"/>
      <c r="DDC1" s="224"/>
      <c r="DDD1" s="224"/>
      <c r="DDE1" s="224"/>
      <c r="DDF1" s="224"/>
      <c r="DDG1" s="224"/>
      <c r="DDH1" s="224"/>
      <c r="DDI1" s="224"/>
      <c r="DDJ1" s="224"/>
      <c r="DDK1" s="224"/>
      <c r="DDL1" s="224"/>
      <c r="DDM1" s="224"/>
      <c r="DDN1" s="224"/>
      <c r="DDO1" s="224"/>
      <c r="DDP1" s="224"/>
      <c r="DDQ1" s="224"/>
      <c r="DDR1" s="224"/>
      <c r="DDS1" s="224"/>
      <c r="DDT1" s="224"/>
      <c r="DDU1" s="224"/>
      <c r="DDV1" s="224"/>
      <c r="DDW1" s="224"/>
      <c r="DDX1" s="224"/>
      <c r="DDY1" s="224"/>
      <c r="DDZ1" s="224"/>
      <c r="DEA1" s="224"/>
      <c r="DEB1" s="224"/>
      <c r="DEC1" s="224"/>
      <c r="DED1" s="224"/>
      <c r="DEE1" s="224"/>
      <c r="DEF1" s="224"/>
      <c r="DEG1" s="224"/>
      <c r="DEH1" s="224"/>
      <c r="DEI1" s="224"/>
      <c r="DEJ1" s="224"/>
      <c r="DEK1" s="224"/>
      <c r="DEL1" s="224"/>
      <c r="DEM1" s="224"/>
      <c r="DEN1" s="224"/>
      <c r="DEO1" s="224"/>
      <c r="DEP1" s="224"/>
      <c r="DEQ1" s="224"/>
      <c r="DER1" s="224"/>
      <c r="DES1" s="224"/>
      <c r="DET1" s="224"/>
      <c r="DEU1" s="224"/>
      <c r="DEV1" s="224"/>
      <c r="DEW1" s="224"/>
      <c r="DEX1" s="224"/>
      <c r="DEY1" s="224"/>
      <c r="DEZ1" s="224"/>
      <c r="DFA1" s="224"/>
      <c r="DFB1" s="224"/>
      <c r="DFC1" s="224"/>
      <c r="DFD1" s="224"/>
      <c r="DFE1" s="224"/>
      <c r="DFF1" s="224"/>
      <c r="DFG1" s="224"/>
      <c r="DFH1" s="224"/>
      <c r="DFI1" s="224"/>
      <c r="DFJ1" s="224"/>
      <c r="DFK1" s="224"/>
      <c r="DFL1" s="224"/>
      <c r="DFM1" s="224"/>
      <c r="DFN1" s="224"/>
      <c r="DFO1" s="224"/>
      <c r="DFP1" s="224"/>
      <c r="DFQ1" s="224"/>
      <c r="DFR1" s="224"/>
      <c r="DFS1" s="224"/>
      <c r="DFT1" s="224"/>
      <c r="DFU1" s="224"/>
      <c r="DFV1" s="224"/>
      <c r="DFW1" s="224"/>
      <c r="DFX1" s="224"/>
      <c r="DFY1" s="224"/>
      <c r="DFZ1" s="224"/>
      <c r="DGA1" s="224"/>
      <c r="DGB1" s="224"/>
      <c r="DGC1" s="224"/>
      <c r="DGD1" s="224"/>
      <c r="DGE1" s="224"/>
      <c r="DGF1" s="224"/>
      <c r="DGG1" s="224"/>
      <c r="DGH1" s="224"/>
      <c r="DGI1" s="224"/>
      <c r="DGJ1" s="224"/>
      <c r="DGK1" s="224"/>
      <c r="DGL1" s="224"/>
      <c r="DGM1" s="224"/>
      <c r="DGN1" s="224"/>
      <c r="DGO1" s="224"/>
      <c r="DGP1" s="224"/>
      <c r="DGQ1" s="224"/>
      <c r="DGR1" s="224"/>
      <c r="DGS1" s="224"/>
      <c r="DGT1" s="224"/>
      <c r="DGU1" s="224"/>
      <c r="DGV1" s="224"/>
      <c r="DGW1" s="224"/>
      <c r="DGX1" s="224"/>
      <c r="DGY1" s="224"/>
      <c r="DGZ1" s="224"/>
      <c r="DHA1" s="224"/>
      <c r="DHB1" s="224"/>
      <c r="DHC1" s="224"/>
      <c r="DHD1" s="224"/>
      <c r="DHE1" s="224"/>
      <c r="DHF1" s="224"/>
      <c r="DHG1" s="224"/>
      <c r="DHH1" s="224"/>
      <c r="DHI1" s="224"/>
      <c r="DHJ1" s="224"/>
      <c r="DHK1" s="224"/>
      <c r="DHL1" s="224"/>
      <c r="DHM1" s="224"/>
      <c r="DHN1" s="224"/>
      <c r="DHO1" s="224"/>
      <c r="DHP1" s="224"/>
      <c r="DHQ1" s="224"/>
      <c r="DHR1" s="224"/>
      <c r="DHS1" s="224"/>
      <c r="DHT1" s="224"/>
      <c r="DHU1" s="224"/>
      <c r="DHV1" s="224"/>
      <c r="DHW1" s="224"/>
      <c r="DHX1" s="224"/>
      <c r="DHY1" s="224"/>
      <c r="DHZ1" s="224"/>
      <c r="DIA1" s="224"/>
      <c r="DIB1" s="224"/>
      <c r="DIC1" s="224"/>
      <c r="DID1" s="224"/>
      <c r="DIE1" s="224"/>
      <c r="DIF1" s="224"/>
      <c r="DIG1" s="224"/>
      <c r="DIH1" s="224"/>
      <c r="DII1" s="224"/>
      <c r="DIJ1" s="224"/>
      <c r="DIK1" s="224"/>
      <c r="DIL1" s="224"/>
      <c r="DIM1" s="224"/>
      <c r="DIN1" s="224"/>
      <c r="DIO1" s="224"/>
      <c r="DIP1" s="224"/>
      <c r="DIQ1" s="224"/>
      <c r="DIR1" s="224"/>
      <c r="DIS1" s="224"/>
      <c r="DIT1" s="224"/>
      <c r="DIU1" s="224"/>
      <c r="DIV1" s="224"/>
      <c r="DIW1" s="224"/>
      <c r="DIX1" s="224"/>
      <c r="DIY1" s="224"/>
      <c r="DIZ1" s="224"/>
      <c r="DJA1" s="224"/>
      <c r="DJB1" s="224"/>
      <c r="DJC1" s="224"/>
      <c r="DJD1" s="224"/>
      <c r="DJE1" s="224"/>
      <c r="DJF1" s="224"/>
      <c r="DJG1" s="224"/>
      <c r="DJH1" s="224"/>
      <c r="DJI1" s="224"/>
      <c r="DJJ1" s="224"/>
      <c r="DJK1" s="224"/>
      <c r="DJL1" s="224"/>
      <c r="DJM1" s="224"/>
      <c r="DJN1" s="224"/>
      <c r="DJO1" s="224"/>
      <c r="DJP1" s="224"/>
      <c r="DJQ1" s="224"/>
      <c r="DJR1" s="224"/>
      <c r="DJS1" s="224"/>
      <c r="DJT1" s="224"/>
      <c r="DJU1" s="224"/>
      <c r="DJV1" s="224"/>
      <c r="DJW1" s="224"/>
      <c r="DJX1" s="224"/>
      <c r="DJY1" s="224"/>
      <c r="DJZ1" s="224"/>
      <c r="DKA1" s="224"/>
      <c r="DKB1" s="224"/>
      <c r="DKC1" s="224"/>
      <c r="DKD1" s="224"/>
      <c r="DKE1" s="224"/>
      <c r="DKF1" s="224"/>
      <c r="DKG1" s="224"/>
      <c r="DKH1" s="224"/>
      <c r="DKI1" s="224"/>
      <c r="DKJ1" s="224"/>
      <c r="DKK1" s="224"/>
      <c r="DKL1" s="224"/>
      <c r="DKM1" s="224"/>
      <c r="DKN1" s="224"/>
      <c r="DKO1" s="224"/>
      <c r="DKP1" s="224"/>
      <c r="DKQ1" s="224"/>
      <c r="DKR1" s="224"/>
      <c r="DKS1" s="224"/>
      <c r="DKT1" s="224"/>
      <c r="DKU1" s="224"/>
      <c r="DKV1" s="224"/>
      <c r="DKW1" s="224"/>
      <c r="DKX1" s="224"/>
      <c r="DKY1" s="224"/>
      <c r="DKZ1" s="224"/>
      <c r="DLA1" s="224"/>
      <c r="DLB1" s="224"/>
      <c r="DLC1" s="224"/>
      <c r="DLD1" s="224"/>
      <c r="DLE1" s="224"/>
      <c r="DLF1" s="224"/>
      <c r="DLG1" s="224"/>
      <c r="DLH1" s="224"/>
      <c r="DLI1" s="224"/>
      <c r="DLJ1" s="224"/>
      <c r="DLK1" s="224"/>
      <c r="DLL1" s="224"/>
      <c r="DLM1" s="224"/>
      <c r="DLN1" s="224"/>
      <c r="DLO1" s="224"/>
      <c r="DLP1" s="224"/>
      <c r="DLQ1" s="224"/>
      <c r="DLR1" s="224"/>
      <c r="DLS1" s="224"/>
      <c r="DLT1" s="224"/>
      <c r="DLU1" s="224"/>
      <c r="DLV1" s="224"/>
      <c r="DLW1" s="224"/>
      <c r="DLX1" s="224"/>
      <c r="DLY1" s="224"/>
      <c r="DLZ1" s="224"/>
      <c r="DMA1" s="224"/>
      <c r="DMB1" s="224"/>
      <c r="DMC1" s="224"/>
      <c r="DMD1" s="224"/>
      <c r="DME1" s="224"/>
      <c r="DMF1" s="224"/>
      <c r="DMG1" s="224"/>
      <c r="DMH1" s="224"/>
      <c r="DMI1" s="224"/>
      <c r="DMJ1" s="224"/>
      <c r="DMK1" s="224"/>
      <c r="DML1" s="224"/>
      <c r="DMM1" s="224"/>
      <c r="DMN1" s="224"/>
      <c r="DMO1" s="224"/>
      <c r="DMP1" s="224"/>
      <c r="DMQ1" s="224"/>
      <c r="DMR1" s="224"/>
      <c r="DMS1" s="224"/>
      <c r="DMT1" s="224"/>
      <c r="DMU1" s="224"/>
      <c r="DMV1" s="224"/>
      <c r="DMW1" s="224"/>
      <c r="DMX1" s="224"/>
      <c r="DMY1" s="224"/>
      <c r="DMZ1" s="224"/>
      <c r="DNA1" s="224"/>
      <c r="DNB1" s="224"/>
      <c r="DNC1" s="224"/>
      <c r="DND1" s="224"/>
      <c r="DNE1" s="224"/>
      <c r="DNF1" s="224"/>
      <c r="DNG1" s="224"/>
      <c r="DNH1" s="224"/>
      <c r="DNI1" s="224"/>
      <c r="DNJ1" s="224"/>
      <c r="DNK1" s="224"/>
      <c r="DNL1" s="224"/>
      <c r="DNM1" s="224"/>
      <c r="DNN1" s="224"/>
      <c r="DNO1" s="224"/>
      <c r="DNP1" s="224"/>
      <c r="DNQ1" s="224"/>
      <c r="DNR1" s="224"/>
      <c r="DNS1" s="224"/>
      <c r="DNT1" s="224"/>
      <c r="DNU1" s="224"/>
      <c r="DNV1" s="224"/>
      <c r="DNW1" s="224"/>
      <c r="DNX1" s="224"/>
      <c r="DNY1" s="224"/>
      <c r="DNZ1" s="224"/>
      <c r="DOA1" s="224"/>
      <c r="DOB1" s="224"/>
      <c r="DOC1" s="224"/>
      <c r="DOD1" s="224"/>
      <c r="DOE1" s="224"/>
      <c r="DOF1" s="224"/>
      <c r="DOG1" s="224"/>
      <c r="DOH1" s="224"/>
      <c r="DOI1" s="224"/>
      <c r="DOJ1" s="224"/>
      <c r="DOK1" s="224"/>
      <c r="DOL1" s="224"/>
      <c r="DOM1" s="224"/>
      <c r="DON1" s="224"/>
      <c r="DOO1" s="224"/>
      <c r="DOP1" s="224"/>
      <c r="DOQ1" s="224"/>
      <c r="DOR1" s="224"/>
      <c r="DOS1" s="224"/>
      <c r="DOT1" s="224"/>
      <c r="DOU1" s="224"/>
      <c r="DOV1" s="224"/>
      <c r="DOW1" s="224"/>
      <c r="DOX1" s="224"/>
      <c r="DOY1" s="224"/>
      <c r="DOZ1" s="224"/>
      <c r="DPA1" s="224"/>
      <c r="DPB1" s="224"/>
      <c r="DPC1" s="224"/>
      <c r="DPD1" s="224"/>
      <c r="DPE1" s="224"/>
      <c r="DPF1" s="224"/>
      <c r="DPG1" s="224"/>
      <c r="DPH1" s="224"/>
      <c r="DPI1" s="224"/>
      <c r="DPJ1" s="224"/>
      <c r="DPK1" s="224"/>
      <c r="DPL1" s="224"/>
      <c r="DPM1" s="224"/>
      <c r="DPN1" s="224"/>
      <c r="DPO1" s="224"/>
      <c r="DPP1" s="224"/>
      <c r="DPQ1" s="224"/>
      <c r="DPR1" s="224"/>
      <c r="DPS1" s="224"/>
      <c r="DPT1" s="224"/>
      <c r="DPU1" s="224"/>
      <c r="DPV1" s="224"/>
      <c r="DPW1" s="224"/>
      <c r="DPX1" s="224"/>
      <c r="DPY1" s="224"/>
      <c r="DPZ1" s="224"/>
      <c r="DQA1" s="224"/>
      <c r="DQB1" s="224"/>
      <c r="DQC1" s="224"/>
      <c r="DQD1" s="224"/>
      <c r="DQE1" s="224"/>
      <c r="DQF1" s="224"/>
      <c r="DQG1" s="224"/>
      <c r="DQH1" s="224"/>
      <c r="DQI1" s="224"/>
      <c r="DQJ1" s="224"/>
      <c r="DQK1" s="224"/>
      <c r="DQL1" s="224"/>
      <c r="DQM1" s="224"/>
      <c r="DQN1" s="224"/>
      <c r="DQO1" s="224"/>
      <c r="DQP1" s="224"/>
      <c r="DQQ1" s="224"/>
      <c r="DQR1" s="224"/>
      <c r="DQS1" s="224"/>
      <c r="DQT1" s="224"/>
      <c r="DQU1" s="224"/>
      <c r="DQV1" s="224"/>
      <c r="DQW1" s="224"/>
      <c r="DQX1" s="224"/>
      <c r="DQY1" s="224"/>
      <c r="DQZ1" s="224"/>
      <c r="DRA1" s="224"/>
      <c r="DRB1" s="224"/>
      <c r="DRC1" s="224"/>
      <c r="DRD1" s="224"/>
      <c r="DRE1" s="224"/>
      <c r="DRF1" s="224"/>
      <c r="DRG1" s="224"/>
      <c r="DRH1" s="224"/>
      <c r="DRI1" s="224"/>
      <c r="DRJ1" s="224"/>
      <c r="DRK1" s="224"/>
      <c r="DRL1" s="224"/>
      <c r="DRM1" s="224"/>
      <c r="DRN1" s="224"/>
      <c r="DRO1" s="224"/>
      <c r="DRP1" s="224"/>
      <c r="DRQ1" s="224"/>
      <c r="DRR1" s="224"/>
      <c r="DRS1" s="224"/>
      <c r="DRT1" s="224"/>
      <c r="DRU1" s="224"/>
      <c r="DRV1" s="224"/>
      <c r="DRW1" s="224"/>
      <c r="DRX1" s="224"/>
      <c r="DRY1" s="224"/>
      <c r="DRZ1" s="224"/>
      <c r="DSA1" s="224"/>
      <c r="DSB1" s="224"/>
      <c r="DSC1" s="224"/>
      <c r="DSD1" s="224"/>
      <c r="DSE1" s="224"/>
      <c r="DSF1" s="224"/>
      <c r="DSG1" s="224"/>
      <c r="DSH1" s="224"/>
      <c r="DSI1" s="224"/>
      <c r="DSJ1" s="224"/>
      <c r="DSK1" s="224"/>
      <c r="DSL1" s="224"/>
      <c r="DSM1" s="224"/>
      <c r="DSN1" s="224"/>
      <c r="DSO1" s="224"/>
      <c r="DSP1" s="224"/>
      <c r="DSQ1" s="224"/>
      <c r="DSR1" s="224"/>
      <c r="DSS1" s="224"/>
      <c r="DST1" s="224"/>
      <c r="DSU1" s="224"/>
      <c r="DSV1" s="224"/>
      <c r="DSW1" s="224"/>
      <c r="DSX1" s="224"/>
      <c r="DSY1" s="224"/>
      <c r="DSZ1" s="224"/>
      <c r="DTA1" s="224"/>
      <c r="DTB1" s="224"/>
      <c r="DTC1" s="224"/>
      <c r="DTD1" s="224"/>
      <c r="DTE1" s="224"/>
      <c r="DTF1" s="224"/>
      <c r="DTG1" s="224"/>
      <c r="DTH1" s="224"/>
      <c r="DTI1" s="224"/>
      <c r="DTJ1" s="224"/>
      <c r="DTK1" s="224"/>
      <c r="DTL1" s="224"/>
      <c r="DTM1" s="224"/>
      <c r="DTN1" s="224"/>
      <c r="DTO1" s="224"/>
      <c r="DTP1" s="224"/>
      <c r="DTQ1" s="224"/>
      <c r="DTR1" s="224"/>
      <c r="DTS1" s="224"/>
      <c r="DTT1" s="224"/>
      <c r="DTU1" s="224"/>
      <c r="DTV1" s="224"/>
      <c r="DTW1" s="224"/>
      <c r="DTX1" s="224"/>
      <c r="DTY1" s="224"/>
      <c r="DTZ1" s="224"/>
      <c r="DUA1" s="224"/>
      <c r="DUB1" s="224"/>
      <c r="DUC1" s="224"/>
      <c r="DUD1" s="224"/>
      <c r="DUE1" s="224"/>
      <c r="DUF1" s="224"/>
      <c r="DUG1" s="224"/>
      <c r="DUH1" s="224"/>
      <c r="DUI1" s="224"/>
      <c r="DUJ1" s="224"/>
      <c r="DUK1" s="224"/>
      <c r="DUL1" s="224"/>
      <c r="DUM1" s="224"/>
      <c r="DUN1" s="224"/>
      <c r="DUO1" s="224"/>
      <c r="DUP1" s="224"/>
      <c r="DUQ1" s="224"/>
      <c r="DUR1" s="224"/>
      <c r="DUS1" s="224"/>
      <c r="DUT1" s="224"/>
      <c r="DUU1" s="224"/>
      <c r="DUV1" s="224"/>
      <c r="DUW1" s="224"/>
      <c r="DUX1" s="224"/>
      <c r="DUY1" s="224"/>
      <c r="DUZ1" s="224"/>
      <c r="DVA1" s="224"/>
      <c r="DVB1" s="224"/>
      <c r="DVC1" s="224"/>
      <c r="DVD1" s="224"/>
      <c r="DVE1" s="224"/>
      <c r="DVF1" s="224"/>
      <c r="DVG1" s="224"/>
      <c r="DVH1" s="224"/>
      <c r="DVI1" s="224"/>
      <c r="DVJ1" s="224"/>
      <c r="DVK1" s="224"/>
      <c r="DVL1" s="224"/>
      <c r="DVM1" s="224"/>
      <c r="DVN1" s="224"/>
      <c r="DVO1" s="224"/>
      <c r="DVP1" s="224"/>
      <c r="DVQ1" s="224"/>
      <c r="DVR1" s="224"/>
      <c r="DVS1" s="224"/>
      <c r="DVT1" s="224"/>
      <c r="DVU1" s="224"/>
      <c r="DVV1" s="224"/>
      <c r="DVW1" s="224"/>
      <c r="DVX1" s="224"/>
      <c r="DVY1" s="224"/>
      <c r="DVZ1" s="224"/>
      <c r="DWA1" s="224"/>
      <c r="DWB1" s="224"/>
      <c r="DWC1" s="224"/>
      <c r="DWD1" s="224"/>
      <c r="DWE1" s="224"/>
      <c r="DWF1" s="224"/>
      <c r="DWG1" s="224"/>
      <c r="DWH1" s="224"/>
      <c r="DWI1" s="224"/>
      <c r="DWJ1" s="224"/>
      <c r="DWK1" s="224"/>
      <c r="DWL1" s="224"/>
      <c r="DWM1" s="224"/>
      <c r="DWN1" s="224"/>
      <c r="DWO1" s="224"/>
      <c r="DWP1" s="224"/>
      <c r="DWQ1" s="224"/>
      <c r="DWR1" s="224"/>
      <c r="DWS1" s="224"/>
      <c r="DWT1" s="224"/>
      <c r="DWU1" s="224"/>
      <c r="DWV1" s="224"/>
      <c r="DWW1" s="224"/>
      <c r="DWX1" s="224"/>
      <c r="DWY1" s="224"/>
      <c r="DWZ1" s="224"/>
      <c r="DXA1" s="224"/>
      <c r="DXB1" s="224"/>
      <c r="DXC1" s="224"/>
      <c r="DXD1" s="224"/>
      <c r="DXE1" s="224"/>
      <c r="DXF1" s="224"/>
      <c r="DXG1" s="224"/>
      <c r="DXH1" s="224"/>
      <c r="DXI1" s="224"/>
      <c r="DXJ1" s="224"/>
      <c r="DXK1" s="224"/>
      <c r="DXL1" s="224"/>
      <c r="DXM1" s="224"/>
      <c r="DXN1" s="224"/>
      <c r="DXO1" s="224"/>
      <c r="DXP1" s="224"/>
      <c r="DXQ1" s="224"/>
      <c r="DXR1" s="224"/>
      <c r="DXS1" s="224"/>
      <c r="DXT1" s="224"/>
      <c r="DXU1" s="224"/>
      <c r="DXV1" s="224"/>
      <c r="DXW1" s="224"/>
      <c r="DXX1" s="224"/>
      <c r="DXY1" s="224"/>
      <c r="DXZ1" s="224"/>
      <c r="DYA1" s="224"/>
      <c r="DYB1" s="224"/>
      <c r="DYC1" s="224"/>
      <c r="DYD1" s="224"/>
      <c r="DYE1" s="224"/>
      <c r="DYF1" s="224"/>
      <c r="DYG1" s="224"/>
      <c r="DYH1" s="224"/>
      <c r="DYI1" s="224"/>
      <c r="DYJ1" s="224"/>
      <c r="DYK1" s="224"/>
      <c r="DYL1" s="224"/>
      <c r="DYM1" s="224"/>
      <c r="DYN1" s="224"/>
      <c r="DYO1" s="224"/>
      <c r="DYP1" s="224"/>
      <c r="DYQ1" s="224"/>
      <c r="DYR1" s="224"/>
      <c r="DYS1" s="224"/>
      <c r="DYT1" s="224"/>
      <c r="DYU1" s="224"/>
      <c r="DYV1" s="224"/>
      <c r="DYW1" s="224"/>
      <c r="DYX1" s="224"/>
      <c r="DYY1" s="224"/>
      <c r="DYZ1" s="224"/>
      <c r="DZA1" s="224"/>
      <c r="DZB1" s="224"/>
      <c r="DZC1" s="224"/>
      <c r="DZD1" s="224"/>
      <c r="DZE1" s="224"/>
      <c r="DZF1" s="224"/>
      <c r="DZG1" s="224"/>
      <c r="DZH1" s="224"/>
      <c r="DZI1" s="224"/>
      <c r="DZJ1" s="224"/>
      <c r="DZK1" s="224"/>
      <c r="DZL1" s="224"/>
      <c r="DZM1" s="224"/>
      <c r="DZN1" s="224"/>
      <c r="DZO1" s="224"/>
      <c r="DZP1" s="224"/>
      <c r="DZQ1" s="224"/>
      <c r="DZR1" s="224"/>
      <c r="DZS1" s="224"/>
      <c r="DZT1" s="224"/>
      <c r="DZU1" s="224"/>
      <c r="DZV1" s="224"/>
      <c r="DZW1" s="224"/>
      <c r="DZX1" s="224"/>
      <c r="DZY1" s="224"/>
      <c r="DZZ1" s="224"/>
      <c r="EAA1" s="224"/>
      <c r="EAB1" s="224"/>
      <c r="EAC1" s="224"/>
      <c r="EAD1" s="224"/>
      <c r="EAE1" s="224"/>
      <c r="EAF1" s="224"/>
      <c r="EAG1" s="224"/>
      <c r="EAH1" s="224"/>
      <c r="EAI1" s="224"/>
      <c r="EAJ1" s="224"/>
      <c r="EAK1" s="224"/>
      <c r="EAL1" s="224"/>
      <c r="EAM1" s="224"/>
      <c r="EAN1" s="224"/>
      <c r="EAO1" s="224"/>
      <c r="EAP1" s="224"/>
      <c r="EAQ1" s="224"/>
      <c r="EAR1" s="224"/>
      <c r="EAS1" s="224"/>
      <c r="EAT1" s="224"/>
      <c r="EAU1" s="224"/>
      <c r="EAV1" s="224"/>
      <c r="EAW1" s="224"/>
      <c r="EAX1" s="224"/>
      <c r="EAY1" s="224"/>
      <c r="EAZ1" s="224"/>
      <c r="EBA1" s="224"/>
      <c r="EBB1" s="224"/>
      <c r="EBC1" s="224"/>
      <c r="EBD1" s="224"/>
      <c r="EBE1" s="224"/>
      <c r="EBF1" s="224"/>
      <c r="EBG1" s="224"/>
      <c r="EBH1" s="224"/>
      <c r="EBI1" s="224"/>
      <c r="EBJ1" s="224"/>
      <c r="EBK1" s="224"/>
      <c r="EBL1" s="224"/>
      <c r="EBM1" s="224"/>
      <c r="EBN1" s="224"/>
      <c r="EBO1" s="224"/>
      <c r="EBP1" s="224"/>
      <c r="EBQ1" s="224"/>
      <c r="EBR1" s="224"/>
      <c r="EBS1" s="224"/>
      <c r="EBT1" s="224"/>
      <c r="EBU1" s="224"/>
      <c r="EBV1" s="224"/>
      <c r="EBW1" s="224"/>
      <c r="EBX1" s="224"/>
      <c r="EBY1" s="224"/>
      <c r="EBZ1" s="224"/>
      <c r="ECA1" s="224"/>
      <c r="ECB1" s="224"/>
      <c r="ECC1" s="224"/>
      <c r="ECD1" s="224"/>
      <c r="ECE1" s="224"/>
      <c r="ECF1" s="224"/>
      <c r="ECG1" s="224"/>
      <c r="ECH1" s="224"/>
      <c r="ECI1" s="224"/>
      <c r="ECJ1" s="224"/>
      <c r="ECK1" s="224"/>
      <c r="ECL1" s="224"/>
      <c r="ECM1" s="224"/>
      <c r="ECN1" s="224"/>
      <c r="ECO1" s="224"/>
      <c r="ECP1" s="224"/>
      <c r="ECQ1" s="224"/>
      <c r="ECR1" s="224"/>
      <c r="ECS1" s="224"/>
      <c r="ECT1" s="224"/>
      <c r="ECU1" s="224"/>
      <c r="ECV1" s="224"/>
      <c r="ECW1" s="224"/>
      <c r="ECX1" s="224"/>
      <c r="ECY1" s="224"/>
      <c r="ECZ1" s="224"/>
      <c r="EDA1" s="224"/>
      <c r="EDB1" s="224"/>
      <c r="EDC1" s="224"/>
      <c r="EDD1" s="224"/>
      <c r="EDE1" s="224"/>
      <c r="EDF1" s="224"/>
      <c r="EDG1" s="224"/>
      <c r="EDH1" s="224"/>
      <c r="EDI1" s="224"/>
      <c r="EDJ1" s="224"/>
      <c r="EDK1" s="224"/>
      <c r="EDL1" s="224"/>
      <c r="EDM1" s="224"/>
      <c r="EDN1" s="224"/>
      <c r="EDO1" s="224"/>
      <c r="EDP1" s="224"/>
      <c r="EDQ1" s="224"/>
      <c r="EDR1" s="224"/>
      <c r="EDS1" s="224"/>
      <c r="EDT1" s="224"/>
      <c r="EDU1" s="224"/>
      <c r="EDV1" s="224"/>
      <c r="EDW1" s="224"/>
      <c r="EDX1" s="224"/>
      <c r="EDY1" s="224"/>
      <c r="EDZ1" s="224"/>
      <c r="EEA1" s="224"/>
      <c r="EEB1" s="224"/>
      <c r="EEC1" s="224"/>
      <c r="EED1" s="224"/>
      <c r="EEE1" s="224"/>
      <c r="EEF1" s="224"/>
      <c r="EEG1" s="224"/>
      <c r="EEH1" s="224"/>
      <c r="EEI1" s="224"/>
      <c r="EEJ1" s="224"/>
      <c r="EEK1" s="224"/>
      <c r="EEL1" s="224"/>
      <c r="EEM1" s="224"/>
      <c r="EEN1" s="224"/>
      <c r="EEO1" s="224"/>
      <c r="EEP1" s="224"/>
      <c r="EEQ1" s="224"/>
      <c r="EER1" s="224"/>
      <c r="EES1" s="224"/>
      <c r="EET1" s="224"/>
      <c r="EEU1" s="224"/>
      <c r="EEV1" s="224"/>
      <c r="EEW1" s="224"/>
      <c r="EEX1" s="224"/>
      <c r="EEY1" s="224"/>
      <c r="EEZ1" s="224"/>
      <c r="EFA1" s="224"/>
      <c r="EFB1" s="224"/>
      <c r="EFC1" s="224"/>
      <c r="EFD1" s="224"/>
      <c r="EFE1" s="224"/>
      <c r="EFF1" s="224"/>
      <c r="EFG1" s="224"/>
      <c r="EFH1" s="224"/>
      <c r="EFI1" s="224"/>
      <c r="EFJ1" s="224"/>
      <c r="EFK1" s="224"/>
      <c r="EFL1" s="224"/>
      <c r="EFM1" s="224"/>
      <c r="EFN1" s="224"/>
      <c r="EFO1" s="224"/>
      <c r="EFP1" s="224"/>
      <c r="EFQ1" s="224"/>
      <c r="EFR1" s="224"/>
      <c r="EFS1" s="224"/>
      <c r="EFT1" s="224"/>
      <c r="EFU1" s="224"/>
      <c r="EFV1" s="224"/>
      <c r="EFW1" s="224"/>
      <c r="EFX1" s="224"/>
      <c r="EFY1" s="224"/>
      <c r="EFZ1" s="224"/>
      <c r="EGA1" s="224"/>
      <c r="EGB1" s="224"/>
      <c r="EGC1" s="224"/>
      <c r="EGD1" s="224"/>
      <c r="EGE1" s="224"/>
      <c r="EGF1" s="224"/>
      <c r="EGG1" s="224"/>
      <c r="EGH1" s="224"/>
      <c r="EGI1" s="224"/>
      <c r="EGJ1" s="224"/>
      <c r="EGK1" s="224"/>
      <c r="EGL1" s="224"/>
      <c r="EGM1" s="224"/>
      <c r="EGN1" s="224"/>
      <c r="EGO1" s="224"/>
      <c r="EGP1" s="224"/>
      <c r="EGQ1" s="224"/>
      <c r="EGR1" s="224"/>
      <c r="EGS1" s="224"/>
      <c r="EGT1" s="224"/>
      <c r="EGU1" s="224"/>
      <c r="EGV1" s="224"/>
      <c r="EGW1" s="224"/>
      <c r="EGX1" s="224"/>
      <c r="EGY1" s="224"/>
      <c r="EGZ1" s="224"/>
      <c r="EHA1" s="224"/>
      <c r="EHB1" s="224"/>
      <c r="EHC1" s="224"/>
      <c r="EHD1" s="224"/>
      <c r="EHE1" s="224"/>
      <c r="EHF1" s="224"/>
      <c r="EHG1" s="224"/>
      <c r="EHH1" s="224"/>
      <c r="EHI1" s="224"/>
      <c r="EHJ1" s="224"/>
      <c r="EHK1" s="224"/>
      <c r="EHL1" s="224"/>
      <c r="EHM1" s="224"/>
      <c r="EHN1" s="224"/>
      <c r="EHO1" s="224"/>
      <c r="EHP1" s="224"/>
      <c r="EHQ1" s="224"/>
      <c r="EHR1" s="224"/>
      <c r="EHS1" s="224"/>
      <c r="EHT1" s="224"/>
      <c r="EHU1" s="224"/>
      <c r="EHV1" s="224"/>
      <c r="EHW1" s="224"/>
      <c r="EHX1" s="224"/>
      <c r="EHY1" s="224"/>
      <c r="EHZ1" s="224"/>
      <c r="EIA1" s="224"/>
      <c r="EIB1" s="224"/>
      <c r="EIC1" s="224"/>
      <c r="EID1" s="224"/>
      <c r="EIE1" s="224"/>
      <c r="EIF1" s="224"/>
      <c r="EIG1" s="224"/>
      <c r="EIH1" s="224"/>
      <c r="EII1" s="224"/>
      <c r="EIJ1" s="224"/>
      <c r="EIK1" s="224"/>
      <c r="EIL1" s="224"/>
      <c r="EIM1" s="224"/>
      <c r="EIN1" s="224"/>
      <c r="EIO1" s="224"/>
      <c r="EIP1" s="224"/>
      <c r="EIQ1" s="224"/>
      <c r="EIR1" s="224"/>
      <c r="EIS1" s="224"/>
      <c r="EIT1" s="224"/>
      <c r="EIU1" s="224"/>
      <c r="EIV1" s="224"/>
      <c r="EIW1" s="224"/>
      <c r="EIX1" s="224"/>
      <c r="EIY1" s="224"/>
      <c r="EIZ1" s="224"/>
      <c r="EJA1" s="224"/>
      <c r="EJB1" s="224"/>
      <c r="EJC1" s="224"/>
      <c r="EJD1" s="224"/>
      <c r="EJE1" s="224"/>
      <c r="EJF1" s="224"/>
      <c r="EJG1" s="224"/>
      <c r="EJH1" s="224"/>
      <c r="EJI1" s="224"/>
      <c r="EJJ1" s="224"/>
      <c r="EJK1" s="224"/>
      <c r="EJL1" s="224"/>
      <c r="EJM1" s="224"/>
      <c r="EJN1" s="224"/>
      <c r="EJO1" s="224"/>
      <c r="EJP1" s="224"/>
      <c r="EJQ1" s="224"/>
      <c r="EJR1" s="224"/>
      <c r="EJS1" s="224"/>
      <c r="EJT1" s="224"/>
      <c r="EJU1" s="224"/>
      <c r="EJV1" s="224"/>
      <c r="EJW1" s="224"/>
      <c r="EJX1" s="224"/>
      <c r="EJY1" s="224"/>
      <c r="EJZ1" s="224"/>
      <c r="EKA1" s="224"/>
      <c r="EKB1" s="224"/>
      <c r="EKC1" s="224"/>
      <c r="EKD1" s="224"/>
      <c r="EKE1" s="224"/>
      <c r="EKF1" s="224"/>
      <c r="EKG1" s="224"/>
      <c r="EKH1" s="224"/>
      <c r="EKI1" s="224"/>
      <c r="EKJ1" s="224"/>
      <c r="EKK1" s="224"/>
      <c r="EKL1" s="224"/>
      <c r="EKM1" s="224"/>
      <c r="EKN1" s="224"/>
      <c r="EKO1" s="224"/>
      <c r="EKP1" s="224"/>
      <c r="EKQ1" s="224"/>
      <c r="EKR1" s="224"/>
      <c r="EKS1" s="224"/>
      <c r="EKT1" s="224"/>
      <c r="EKU1" s="224"/>
      <c r="EKV1" s="224"/>
      <c r="EKW1" s="224"/>
      <c r="EKX1" s="224"/>
      <c r="EKY1" s="224"/>
      <c r="EKZ1" s="224"/>
      <c r="ELA1" s="224"/>
      <c r="ELB1" s="224"/>
      <c r="ELC1" s="224"/>
      <c r="ELD1" s="224"/>
      <c r="ELE1" s="224"/>
      <c r="ELF1" s="224"/>
      <c r="ELG1" s="224"/>
      <c r="ELH1" s="224"/>
      <c r="ELI1" s="224"/>
      <c r="ELJ1" s="224"/>
      <c r="ELK1" s="224"/>
      <c r="ELL1" s="224"/>
      <c r="ELM1" s="224"/>
      <c r="ELN1" s="224"/>
      <c r="ELO1" s="224"/>
      <c r="ELP1" s="224"/>
      <c r="ELQ1" s="224"/>
      <c r="ELR1" s="224"/>
      <c r="ELS1" s="224"/>
      <c r="ELT1" s="224"/>
      <c r="ELU1" s="224"/>
      <c r="ELV1" s="224"/>
      <c r="ELW1" s="224"/>
      <c r="ELX1" s="224"/>
      <c r="ELY1" s="224"/>
      <c r="ELZ1" s="224"/>
      <c r="EMA1" s="224"/>
      <c r="EMB1" s="224"/>
      <c r="EMC1" s="224"/>
      <c r="EMD1" s="224"/>
      <c r="EME1" s="224"/>
      <c r="EMF1" s="224"/>
      <c r="EMG1" s="224"/>
      <c r="EMH1" s="224"/>
      <c r="EMI1" s="224"/>
      <c r="EMJ1" s="224"/>
      <c r="EMK1" s="224"/>
      <c r="EML1" s="224"/>
      <c r="EMM1" s="224"/>
      <c r="EMN1" s="224"/>
      <c r="EMO1" s="224"/>
      <c r="EMP1" s="224"/>
      <c r="EMQ1" s="224"/>
      <c r="EMR1" s="224"/>
      <c r="EMS1" s="224"/>
      <c r="EMT1" s="224"/>
      <c r="EMU1" s="224"/>
      <c r="EMV1" s="224"/>
      <c r="EMW1" s="224"/>
      <c r="EMX1" s="224"/>
      <c r="EMY1" s="224"/>
      <c r="EMZ1" s="224"/>
      <c r="ENA1" s="224"/>
      <c r="ENB1" s="224"/>
      <c r="ENC1" s="224"/>
      <c r="END1" s="224"/>
      <c r="ENE1" s="224"/>
      <c r="ENF1" s="224"/>
      <c r="ENG1" s="224"/>
      <c r="ENH1" s="224"/>
      <c r="ENI1" s="224"/>
      <c r="ENJ1" s="224"/>
      <c r="ENK1" s="224"/>
      <c r="ENL1" s="224"/>
      <c r="ENM1" s="224"/>
      <c r="ENN1" s="224"/>
      <c r="ENO1" s="224"/>
      <c r="ENP1" s="224"/>
      <c r="ENQ1" s="224"/>
      <c r="ENR1" s="224"/>
      <c r="ENS1" s="224"/>
      <c r="ENT1" s="224"/>
      <c r="ENU1" s="224"/>
      <c r="ENV1" s="224"/>
      <c r="ENW1" s="224"/>
      <c r="ENX1" s="224"/>
      <c r="ENY1" s="224"/>
      <c r="ENZ1" s="224"/>
      <c r="EOA1" s="224"/>
      <c r="EOB1" s="224"/>
      <c r="EOC1" s="224"/>
      <c r="EOD1" s="224"/>
      <c r="EOE1" s="224"/>
      <c r="EOF1" s="224"/>
      <c r="EOG1" s="224"/>
      <c r="EOH1" s="224"/>
      <c r="EOI1" s="224"/>
      <c r="EOJ1" s="224"/>
      <c r="EOK1" s="224"/>
      <c r="EOL1" s="224"/>
      <c r="EOM1" s="224"/>
      <c r="EON1" s="224"/>
      <c r="EOO1" s="224"/>
      <c r="EOP1" s="224"/>
      <c r="EOQ1" s="224"/>
      <c r="EOR1" s="224"/>
      <c r="EOS1" s="224"/>
      <c r="EOT1" s="224"/>
      <c r="EOU1" s="224"/>
      <c r="EOV1" s="224"/>
      <c r="EOW1" s="224"/>
      <c r="EOX1" s="224"/>
      <c r="EOY1" s="224"/>
      <c r="EOZ1" s="224"/>
      <c r="EPA1" s="224"/>
      <c r="EPB1" s="224"/>
      <c r="EPC1" s="224"/>
      <c r="EPD1" s="224"/>
      <c r="EPE1" s="224"/>
      <c r="EPF1" s="224"/>
      <c r="EPG1" s="224"/>
      <c r="EPH1" s="224"/>
      <c r="EPI1" s="224"/>
      <c r="EPJ1" s="224"/>
      <c r="EPK1" s="224"/>
      <c r="EPL1" s="224"/>
      <c r="EPM1" s="224"/>
      <c r="EPN1" s="224"/>
      <c r="EPO1" s="224"/>
      <c r="EPP1" s="224"/>
      <c r="EPQ1" s="224"/>
      <c r="EPR1" s="224"/>
      <c r="EPS1" s="224"/>
      <c r="EPT1" s="224"/>
      <c r="EPU1" s="224"/>
      <c r="EPV1" s="224"/>
      <c r="EPW1" s="224"/>
      <c r="EPX1" s="224"/>
      <c r="EPY1" s="224"/>
      <c r="EPZ1" s="224"/>
      <c r="EQA1" s="224"/>
      <c r="EQB1" s="224"/>
      <c r="EQC1" s="224"/>
      <c r="EQD1" s="224"/>
      <c r="EQE1" s="224"/>
      <c r="EQF1" s="224"/>
      <c r="EQG1" s="224"/>
      <c r="EQH1" s="224"/>
      <c r="EQI1" s="224"/>
      <c r="EQJ1" s="224"/>
      <c r="EQK1" s="224"/>
      <c r="EQL1" s="224"/>
      <c r="EQM1" s="224"/>
      <c r="EQN1" s="224"/>
      <c r="EQO1" s="224"/>
      <c r="EQP1" s="224"/>
      <c r="EQQ1" s="224"/>
      <c r="EQR1" s="224"/>
      <c r="EQS1" s="224"/>
      <c r="EQT1" s="224"/>
      <c r="EQU1" s="224"/>
      <c r="EQV1" s="224"/>
      <c r="EQW1" s="224"/>
      <c r="EQX1" s="224"/>
      <c r="EQY1" s="224"/>
      <c r="EQZ1" s="224"/>
      <c r="ERA1" s="224"/>
      <c r="ERB1" s="224"/>
      <c r="ERC1" s="224"/>
      <c r="ERD1" s="224"/>
      <c r="ERE1" s="224"/>
      <c r="ERF1" s="224"/>
      <c r="ERG1" s="224"/>
      <c r="ERH1" s="224"/>
      <c r="ERI1" s="224"/>
      <c r="ERJ1" s="224"/>
      <c r="ERK1" s="224"/>
      <c r="ERL1" s="224"/>
      <c r="ERM1" s="224"/>
      <c r="ERN1" s="224"/>
      <c r="ERO1" s="224"/>
      <c r="ERP1" s="224"/>
      <c r="ERQ1" s="224"/>
      <c r="ERR1" s="224"/>
      <c r="ERS1" s="224"/>
      <c r="ERT1" s="224"/>
      <c r="ERU1" s="224"/>
      <c r="ERV1" s="224"/>
      <c r="ERW1" s="224"/>
      <c r="ERX1" s="224"/>
      <c r="ERY1" s="224"/>
      <c r="ERZ1" s="224"/>
      <c r="ESA1" s="224"/>
      <c r="ESB1" s="224"/>
      <c r="ESC1" s="224"/>
      <c r="ESD1" s="224"/>
      <c r="ESE1" s="224"/>
      <c r="ESF1" s="224"/>
      <c r="ESG1" s="224"/>
      <c r="ESH1" s="224"/>
      <c r="ESI1" s="224"/>
      <c r="ESJ1" s="224"/>
      <c r="ESK1" s="224"/>
      <c r="ESL1" s="224"/>
      <c r="ESM1" s="224"/>
      <c r="ESN1" s="224"/>
      <c r="ESO1" s="224"/>
      <c r="ESP1" s="224"/>
      <c r="ESQ1" s="224"/>
      <c r="ESR1" s="224"/>
      <c r="ESS1" s="224"/>
      <c r="EST1" s="224"/>
      <c r="ESU1" s="224"/>
      <c r="ESV1" s="224"/>
      <c r="ESW1" s="224"/>
      <c r="ESX1" s="224"/>
      <c r="ESY1" s="224"/>
      <c r="ESZ1" s="224"/>
      <c r="ETA1" s="224"/>
      <c r="ETB1" s="224"/>
      <c r="ETC1" s="224"/>
      <c r="ETD1" s="224"/>
      <c r="ETE1" s="224"/>
      <c r="ETF1" s="224"/>
      <c r="ETG1" s="224"/>
      <c r="ETH1" s="224"/>
      <c r="ETI1" s="224"/>
      <c r="ETJ1" s="224"/>
      <c r="ETK1" s="224"/>
      <c r="ETL1" s="224"/>
      <c r="ETM1" s="224"/>
      <c r="ETN1" s="224"/>
      <c r="ETO1" s="224"/>
      <c r="ETP1" s="224"/>
      <c r="ETQ1" s="224"/>
      <c r="ETR1" s="224"/>
      <c r="ETS1" s="224"/>
      <c r="ETT1" s="224"/>
      <c r="ETU1" s="224"/>
      <c r="ETV1" s="224"/>
      <c r="ETW1" s="224"/>
      <c r="ETX1" s="224"/>
      <c r="ETY1" s="224"/>
      <c r="ETZ1" s="224"/>
      <c r="EUA1" s="224"/>
      <c r="EUB1" s="224"/>
      <c r="EUC1" s="224"/>
      <c r="EUD1" s="224"/>
      <c r="EUE1" s="224"/>
      <c r="EUF1" s="224"/>
      <c r="EUG1" s="224"/>
      <c r="EUH1" s="224"/>
      <c r="EUI1" s="224"/>
      <c r="EUJ1" s="224"/>
      <c r="EUK1" s="224"/>
      <c r="EUL1" s="224"/>
      <c r="EUM1" s="224"/>
      <c r="EUN1" s="224"/>
      <c r="EUO1" s="224"/>
      <c r="EUP1" s="224"/>
      <c r="EUQ1" s="224"/>
      <c r="EUR1" s="224"/>
      <c r="EUS1" s="224"/>
      <c r="EUT1" s="224"/>
      <c r="EUU1" s="224"/>
      <c r="EUV1" s="224"/>
      <c r="EUW1" s="224"/>
      <c r="EUX1" s="224"/>
      <c r="EUY1" s="224"/>
      <c r="EUZ1" s="224"/>
      <c r="EVA1" s="224"/>
      <c r="EVB1" s="224"/>
      <c r="EVC1" s="224"/>
      <c r="EVD1" s="224"/>
      <c r="EVE1" s="224"/>
      <c r="EVF1" s="224"/>
      <c r="EVG1" s="224"/>
      <c r="EVH1" s="224"/>
      <c r="EVI1" s="224"/>
      <c r="EVJ1" s="224"/>
      <c r="EVK1" s="224"/>
      <c r="EVL1" s="224"/>
      <c r="EVM1" s="224"/>
      <c r="EVN1" s="224"/>
      <c r="EVO1" s="224"/>
      <c r="EVP1" s="224"/>
      <c r="EVQ1" s="224"/>
      <c r="EVR1" s="224"/>
      <c r="EVS1" s="224"/>
      <c r="EVT1" s="224"/>
      <c r="EVU1" s="224"/>
      <c r="EVV1" s="224"/>
      <c r="EVW1" s="224"/>
      <c r="EVX1" s="224"/>
      <c r="EVY1" s="224"/>
      <c r="EVZ1" s="224"/>
      <c r="EWA1" s="224"/>
      <c r="EWB1" s="224"/>
      <c r="EWC1" s="224"/>
      <c r="EWD1" s="224"/>
      <c r="EWE1" s="224"/>
      <c r="EWF1" s="224"/>
      <c r="EWG1" s="224"/>
      <c r="EWH1" s="224"/>
      <c r="EWI1" s="224"/>
      <c r="EWJ1" s="224"/>
      <c r="EWK1" s="224"/>
      <c r="EWL1" s="224"/>
      <c r="EWM1" s="224"/>
      <c r="EWN1" s="224"/>
      <c r="EWO1" s="224"/>
      <c r="EWP1" s="224"/>
      <c r="EWQ1" s="224"/>
      <c r="EWR1" s="224"/>
      <c r="EWS1" s="224"/>
      <c r="EWT1" s="224"/>
      <c r="EWU1" s="224"/>
      <c r="EWV1" s="224"/>
      <c r="EWW1" s="224"/>
      <c r="EWX1" s="224"/>
      <c r="EWY1" s="224"/>
      <c r="EWZ1" s="224"/>
      <c r="EXA1" s="224"/>
      <c r="EXB1" s="224"/>
      <c r="EXC1" s="224"/>
      <c r="EXD1" s="224"/>
      <c r="EXE1" s="224"/>
      <c r="EXF1" s="224"/>
      <c r="EXG1" s="224"/>
      <c r="EXH1" s="224"/>
      <c r="EXI1" s="224"/>
      <c r="EXJ1" s="224"/>
      <c r="EXK1" s="224"/>
      <c r="EXL1" s="224"/>
      <c r="EXM1" s="224"/>
      <c r="EXN1" s="224"/>
      <c r="EXO1" s="224"/>
      <c r="EXP1" s="224"/>
      <c r="EXQ1" s="224"/>
      <c r="EXR1" s="224"/>
      <c r="EXS1" s="224"/>
      <c r="EXT1" s="224"/>
      <c r="EXU1" s="224"/>
      <c r="EXV1" s="224"/>
      <c r="EXW1" s="224"/>
      <c r="EXX1" s="224"/>
      <c r="EXY1" s="224"/>
      <c r="EXZ1" s="224"/>
      <c r="EYA1" s="224"/>
      <c r="EYB1" s="224"/>
      <c r="EYC1" s="224"/>
      <c r="EYD1" s="224"/>
      <c r="EYE1" s="224"/>
      <c r="EYF1" s="224"/>
      <c r="EYG1" s="224"/>
      <c r="EYH1" s="224"/>
      <c r="EYI1" s="224"/>
      <c r="EYJ1" s="224"/>
      <c r="EYK1" s="224"/>
      <c r="EYL1" s="224"/>
      <c r="EYM1" s="224"/>
      <c r="EYN1" s="224"/>
      <c r="EYO1" s="224"/>
      <c r="EYP1" s="224"/>
      <c r="EYQ1" s="224"/>
      <c r="EYR1" s="224"/>
      <c r="EYS1" s="224"/>
      <c r="EYT1" s="224"/>
      <c r="EYU1" s="224"/>
      <c r="EYV1" s="224"/>
      <c r="EYW1" s="224"/>
      <c r="EYX1" s="224"/>
      <c r="EYY1" s="224"/>
      <c r="EYZ1" s="224"/>
      <c r="EZA1" s="224"/>
      <c r="EZB1" s="224"/>
      <c r="EZC1" s="224"/>
      <c r="EZD1" s="224"/>
      <c r="EZE1" s="224"/>
      <c r="EZF1" s="224"/>
      <c r="EZG1" s="224"/>
      <c r="EZH1" s="224"/>
      <c r="EZI1" s="224"/>
      <c r="EZJ1" s="224"/>
      <c r="EZK1" s="224"/>
      <c r="EZL1" s="224"/>
      <c r="EZM1" s="224"/>
      <c r="EZN1" s="224"/>
      <c r="EZO1" s="224"/>
      <c r="EZP1" s="224"/>
      <c r="EZQ1" s="224"/>
      <c r="EZR1" s="224"/>
      <c r="EZS1" s="224"/>
      <c r="EZT1" s="224"/>
      <c r="EZU1" s="224"/>
      <c r="EZV1" s="224"/>
      <c r="EZW1" s="224"/>
      <c r="EZX1" s="224"/>
      <c r="EZY1" s="224"/>
      <c r="EZZ1" s="224"/>
      <c r="FAA1" s="224"/>
      <c r="FAB1" s="224"/>
      <c r="FAC1" s="224"/>
      <c r="FAD1" s="224"/>
      <c r="FAE1" s="224"/>
      <c r="FAF1" s="224"/>
      <c r="FAG1" s="224"/>
      <c r="FAH1" s="224"/>
      <c r="FAI1" s="224"/>
      <c r="FAJ1" s="224"/>
      <c r="FAK1" s="224"/>
      <c r="FAL1" s="224"/>
      <c r="FAM1" s="224"/>
      <c r="FAN1" s="224"/>
      <c r="FAO1" s="224"/>
      <c r="FAP1" s="224"/>
      <c r="FAQ1" s="224"/>
      <c r="FAR1" s="224"/>
      <c r="FAS1" s="224"/>
      <c r="FAT1" s="224"/>
      <c r="FAU1" s="224"/>
      <c r="FAV1" s="224"/>
      <c r="FAW1" s="224"/>
      <c r="FAX1" s="224"/>
      <c r="FAY1" s="224"/>
      <c r="FAZ1" s="224"/>
      <c r="FBA1" s="224"/>
      <c r="FBB1" s="224"/>
      <c r="FBC1" s="224"/>
      <c r="FBD1" s="224"/>
      <c r="FBE1" s="224"/>
      <c r="FBF1" s="224"/>
      <c r="FBG1" s="224"/>
      <c r="FBH1" s="224"/>
      <c r="FBI1" s="224"/>
      <c r="FBJ1" s="224"/>
      <c r="FBK1" s="224"/>
      <c r="FBL1" s="224"/>
      <c r="FBM1" s="224"/>
      <c r="FBN1" s="224"/>
      <c r="FBO1" s="224"/>
      <c r="FBP1" s="224"/>
      <c r="FBQ1" s="224"/>
      <c r="FBR1" s="224"/>
      <c r="FBS1" s="224"/>
      <c r="FBT1" s="224"/>
      <c r="FBU1" s="224"/>
      <c r="FBV1" s="224"/>
      <c r="FBW1" s="224"/>
      <c r="FBX1" s="224"/>
      <c r="FBY1" s="224"/>
      <c r="FBZ1" s="224"/>
      <c r="FCA1" s="224"/>
      <c r="FCB1" s="224"/>
      <c r="FCC1" s="224"/>
      <c r="FCD1" s="224"/>
      <c r="FCE1" s="224"/>
      <c r="FCF1" s="224"/>
      <c r="FCG1" s="224"/>
      <c r="FCH1" s="224"/>
      <c r="FCI1" s="224"/>
      <c r="FCJ1" s="224"/>
      <c r="FCK1" s="224"/>
      <c r="FCL1" s="224"/>
      <c r="FCM1" s="224"/>
      <c r="FCN1" s="224"/>
      <c r="FCO1" s="224"/>
      <c r="FCP1" s="224"/>
      <c r="FCQ1" s="224"/>
      <c r="FCR1" s="224"/>
      <c r="FCS1" s="224"/>
      <c r="FCT1" s="224"/>
      <c r="FCU1" s="224"/>
      <c r="FCV1" s="224"/>
      <c r="FCW1" s="224"/>
      <c r="FCX1" s="224"/>
      <c r="FCY1" s="224"/>
      <c r="FCZ1" s="224"/>
      <c r="FDA1" s="224"/>
      <c r="FDB1" s="224"/>
      <c r="FDC1" s="224"/>
      <c r="FDD1" s="224"/>
      <c r="FDE1" s="224"/>
      <c r="FDF1" s="224"/>
      <c r="FDG1" s="224"/>
      <c r="FDH1" s="224"/>
      <c r="FDI1" s="224"/>
      <c r="FDJ1" s="224"/>
      <c r="FDK1" s="224"/>
      <c r="FDL1" s="224"/>
      <c r="FDM1" s="224"/>
      <c r="FDN1" s="224"/>
      <c r="FDO1" s="224"/>
      <c r="FDP1" s="224"/>
      <c r="FDQ1" s="224"/>
      <c r="FDR1" s="224"/>
      <c r="FDS1" s="224"/>
      <c r="FDT1" s="224"/>
      <c r="FDU1" s="224"/>
      <c r="FDV1" s="224"/>
      <c r="FDW1" s="224"/>
      <c r="FDX1" s="224"/>
      <c r="FDY1" s="224"/>
      <c r="FDZ1" s="224"/>
      <c r="FEA1" s="224"/>
      <c r="FEB1" s="224"/>
      <c r="FEC1" s="224"/>
      <c r="FED1" s="224"/>
      <c r="FEE1" s="224"/>
      <c r="FEF1" s="224"/>
      <c r="FEG1" s="224"/>
      <c r="FEH1" s="224"/>
      <c r="FEI1" s="224"/>
      <c r="FEJ1" s="224"/>
      <c r="FEK1" s="224"/>
      <c r="FEL1" s="224"/>
      <c r="FEM1" s="224"/>
      <c r="FEN1" s="224"/>
      <c r="FEO1" s="224"/>
      <c r="FEP1" s="224"/>
      <c r="FEQ1" s="224"/>
      <c r="FER1" s="224"/>
      <c r="FES1" s="224"/>
      <c r="FET1" s="224"/>
      <c r="FEU1" s="224"/>
      <c r="FEV1" s="224"/>
      <c r="FEW1" s="224"/>
      <c r="FEX1" s="224"/>
      <c r="FEY1" s="224"/>
      <c r="FEZ1" s="224"/>
      <c r="FFA1" s="224"/>
      <c r="FFB1" s="224"/>
      <c r="FFC1" s="224"/>
      <c r="FFD1" s="224"/>
      <c r="FFE1" s="224"/>
      <c r="FFF1" s="224"/>
      <c r="FFG1" s="224"/>
      <c r="FFH1" s="224"/>
      <c r="FFI1" s="224"/>
      <c r="FFJ1" s="224"/>
      <c r="FFK1" s="224"/>
      <c r="FFL1" s="224"/>
      <c r="FFM1" s="224"/>
      <c r="FFN1" s="224"/>
      <c r="FFO1" s="224"/>
      <c r="FFP1" s="224"/>
      <c r="FFQ1" s="224"/>
      <c r="FFR1" s="224"/>
      <c r="FFS1" s="224"/>
      <c r="FFT1" s="224"/>
      <c r="FFU1" s="224"/>
      <c r="FFV1" s="224"/>
      <c r="FFW1" s="224"/>
      <c r="FFX1" s="224"/>
      <c r="FFY1" s="224"/>
      <c r="FFZ1" s="224"/>
      <c r="FGA1" s="224"/>
      <c r="FGB1" s="224"/>
      <c r="FGC1" s="224"/>
      <c r="FGD1" s="224"/>
      <c r="FGE1" s="224"/>
      <c r="FGF1" s="224"/>
      <c r="FGG1" s="224"/>
      <c r="FGH1" s="224"/>
      <c r="FGI1" s="224"/>
      <c r="FGJ1" s="224"/>
      <c r="FGK1" s="224"/>
      <c r="FGL1" s="224"/>
      <c r="FGM1" s="224"/>
      <c r="FGN1" s="224"/>
      <c r="FGO1" s="224"/>
      <c r="FGP1" s="224"/>
      <c r="FGQ1" s="224"/>
      <c r="FGR1" s="224"/>
      <c r="FGS1" s="224"/>
      <c r="FGT1" s="224"/>
      <c r="FGU1" s="224"/>
      <c r="FGV1" s="224"/>
      <c r="FGW1" s="224"/>
      <c r="FGX1" s="224"/>
      <c r="FGY1" s="224"/>
      <c r="FGZ1" s="224"/>
      <c r="FHA1" s="224"/>
      <c r="FHB1" s="224"/>
      <c r="FHC1" s="224"/>
      <c r="FHD1" s="224"/>
      <c r="FHE1" s="224"/>
      <c r="FHF1" s="224"/>
      <c r="FHG1" s="224"/>
      <c r="FHH1" s="224"/>
      <c r="FHI1" s="224"/>
      <c r="FHJ1" s="224"/>
      <c r="FHK1" s="224"/>
      <c r="FHL1" s="224"/>
      <c r="FHM1" s="224"/>
      <c r="FHN1" s="224"/>
      <c r="FHO1" s="224"/>
      <c r="FHP1" s="224"/>
      <c r="FHQ1" s="224"/>
      <c r="FHR1" s="224"/>
      <c r="FHS1" s="224"/>
      <c r="FHT1" s="224"/>
      <c r="FHU1" s="224"/>
      <c r="FHV1" s="224"/>
      <c r="FHW1" s="224"/>
      <c r="FHX1" s="224"/>
      <c r="FHY1" s="224"/>
      <c r="FHZ1" s="224"/>
      <c r="FIA1" s="224"/>
      <c r="FIB1" s="224"/>
      <c r="FIC1" s="224"/>
      <c r="FID1" s="224"/>
      <c r="FIE1" s="224"/>
      <c r="FIF1" s="224"/>
      <c r="FIG1" s="224"/>
      <c r="FIH1" s="224"/>
      <c r="FII1" s="224"/>
      <c r="FIJ1" s="224"/>
      <c r="FIK1" s="224"/>
      <c r="FIL1" s="224"/>
      <c r="FIM1" s="224"/>
      <c r="FIN1" s="224"/>
      <c r="FIO1" s="224"/>
      <c r="FIP1" s="224"/>
      <c r="FIQ1" s="224"/>
      <c r="FIR1" s="224"/>
      <c r="FIS1" s="224"/>
      <c r="FIT1" s="224"/>
      <c r="FIU1" s="224"/>
      <c r="FIV1" s="224"/>
      <c r="FIW1" s="224"/>
      <c r="FIX1" s="224"/>
      <c r="FIY1" s="224"/>
      <c r="FIZ1" s="224"/>
      <c r="FJA1" s="224"/>
      <c r="FJB1" s="224"/>
      <c r="FJC1" s="224"/>
      <c r="FJD1" s="224"/>
      <c r="FJE1" s="224"/>
      <c r="FJF1" s="224"/>
      <c r="FJG1" s="224"/>
      <c r="FJH1" s="224"/>
      <c r="FJI1" s="224"/>
      <c r="FJJ1" s="224"/>
      <c r="FJK1" s="224"/>
      <c r="FJL1" s="224"/>
      <c r="FJM1" s="224"/>
      <c r="FJN1" s="224"/>
      <c r="FJO1" s="224"/>
      <c r="FJP1" s="224"/>
      <c r="FJQ1" s="224"/>
      <c r="FJR1" s="224"/>
      <c r="FJS1" s="224"/>
      <c r="FJT1" s="224"/>
      <c r="FJU1" s="224"/>
      <c r="FJV1" s="224"/>
      <c r="FJW1" s="224"/>
      <c r="FJX1" s="224"/>
      <c r="FJY1" s="224"/>
      <c r="FJZ1" s="224"/>
      <c r="FKA1" s="224"/>
      <c r="FKB1" s="224"/>
      <c r="FKC1" s="224"/>
      <c r="FKD1" s="224"/>
      <c r="FKE1" s="224"/>
      <c r="FKF1" s="224"/>
      <c r="FKG1" s="224"/>
      <c r="FKH1" s="224"/>
      <c r="FKI1" s="224"/>
      <c r="FKJ1" s="224"/>
      <c r="FKK1" s="224"/>
      <c r="FKL1" s="224"/>
      <c r="FKM1" s="224"/>
      <c r="FKN1" s="224"/>
      <c r="FKO1" s="224"/>
      <c r="FKP1" s="224"/>
      <c r="FKQ1" s="224"/>
      <c r="FKR1" s="224"/>
      <c r="FKS1" s="224"/>
      <c r="FKT1" s="224"/>
      <c r="FKU1" s="224"/>
      <c r="FKV1" s="224"/>
      <c r="FKW1" s="224"/>
      <c r="FKX1" s="224"/>
      <c r="FKY1" s="224"/>
      <c r="FKZ1" s="224"/>
      <c r="FLA1" s="224"/>
      <c r="FLB1" s="224"/>
      <c r="FLC1" s="224"/>
      <c r="FLD1" s="224"/>
      <c r="FLE1" s="224"/>
      <c r="FLF1" s="224"/>
      <c r="FLG1" s="224"/>
      <c r="FLH1" s="224"/>
      <c r="FLI1" s="224"/>
      <c r="FLJ1" s="224"/>
      <c r="FLK1" s="224"/>
      <c r="FLL1" s="224"/>
      <c r="FLM1" s="224"/>
      <c r="FLN1" s="224"/>
      <c r="FLO1" s="224"/>
      <c r="FLP1" s="224"/>
      <c r="FLQ1" s="224"/>
      <c r="FLR1" s="224"/>
      <c r="FLS1" s="224"/>
      <c r="FLT1" s="224"/>
      <c r="FLU1" s="224"/>
      <c r="FLV1" s="224"/>
      <c r="FLW1" s="224"/>
      <c r="FLX1" s="224"/>
      <c r="FLY1" s="224"/>
      <c r="FLZ1" s="224"/>
      <c r="FMA1" s="224"/>
      <c r="FMB1" s="224"/>
      <c r="FMC1" s="224"/>
      <c r="FMD1" s="224"/>
      <c r="FME1" s="224"/>
      <c r="FMF1" s="224"/>
      <c r="FMG1" s="224"/>
      <c r="FMH1" s="224"/>
      <c r="FMI1" s="224"/>
      <c r="FMJ1" s="224"/>
      <c r="FMK1" s="224"/>
      <c r="FML1" s="224"/>
      <c r="FMM1" s="224"/>
      <c r="FMN1" s="224"/>
      <c r="FMO1" s="224"/>
      <c r="FMP1" s="224"/>
      <c r="FMQ1" s="224"/>
      <c r="FMR1" s="224"/>
      <c r="FMS1" s="224"/>
      <c r="FMT1" s="224"/>
      <c r="FMU1" s="224"/>
      <c r="FMV1" s="224"/>
      <c r="FMW1" s="224"/>
      <c r="FMX1" s="224"/>
      <c r="FMY1" s="224"/>
      <c r="FMZ1" s="224"/>
      <c r="FNA1" s="224"/>
      <c r="FNB1" s="224"/>
      <c r="FNC1" s="224"/>
      <c r="FND1" s="224"/>
      <c r="FNE1" s="224"/>
      <c r="FNF1" s="224"/>
      <c r="FNG1" s="224"/>
      <c r="FNH1" s="224"/>
      <c r="FNI1" s="224"/>
      <c r="FNJ1" s="224"/>
      <c r="FNK1" s="224"/>
      <c r="FNL1" s="224"/>
      <c r="FNM1" s="224"/>
      <c r="FNN1" s="224"/>
      <c r="FNO1" s="224"/>
      <c r="FNP1" s="224"/>
      <c r="FNQ1" s="224"/>
      <c r="FNR1" s="224"/>
      <c r="FNS1" s="224"/>
      <c r="FNT1" s="224"/>
      <c r="FNU1" s="224"/>
      <c r="FNV1" s="224"/>
      <c r="FNW1" s="224"/>
      <c r="FNX1" s="224"/>
      <c r="FNY1" s="224"/>
      <c r="FNZ1" s="224"/>
      <c r="FOA1" s="224"/>
      <c r="FOB1" s="224"/>
      <c r="FOC1" s="224"/>
      <c r="FOD1" s="224"/>
      <c r="FOE1" s="224"/>
      <c r="FOF1" s="224"/>
      <c r="FOG1" s="224"/>
      <c r="FOH1" s="224"/>
      <c r="FOI1" s="224"/>
      <c r="FOJ1" s="224"/>
      <c r="FOK1" s="224"/>
      <c r="FOL1" s="224"/>
      <c r="FOM1" s="224"/>
      <c r="FON1" s="224"/>
      <c r="FOO1" s="224"/>
      <c r="FOP1" s="224"/>
      <c r="FOQ1" s="224"/>
      <c r="FOR1" s="224"/>
      <c r="FOS1" s="224"/>
      <c r="FOT1" s="224"/>
      <c r="FOU1" s="224"/>
      <c r="FOV1" s="224"/>
      <c r="FOW1" s="224"/>
      <c r="FOX1" s="224"/>
      <c r="FOY1" s="224"/>
      <c r="FOZ1" s="224"/>
      <c r="FPA1" s="224"/>
      <c r="FPB1" s="224"/>
      <c r="FPC1" s="224"/>
      <c r="FPD1" s="224"/>
      <c r="FPE1" s="224"/>
      <c r="FPF1" s="224"/>
      <c r="FPG1" s="224"/>
      <c r="FPH1" s="224"/>
      <c r="FPI1" s="224"/>
      <c r="FPJ1" s="224"/>
      <c r="FPK1" s="224"/>
      <c r="FPL1" s="224"/>
      <c r="FPM1" s="224"/>
      <c r="FPN1" s="224"/>
      <c r="FPO1" s="224"/>
      <c r="FPP1" s="224"/>
      <c r="FPQ1" s="224"/>
      <c r="FPR1" s="224"/>
      <c r="FPS1" s="224"/>
      <c r="FPT1" s="224"/>
      <c r="FPU1" s="224"/>
      <c r="FPV1" s="224"/>
      <c r="FPW1" s="224"/>
      <c r="FPX1" s="224"/>
      <c r="FPY1" s="224"/>
      <c r="FPZ1" s="224"/>
      <c r="FQA1" s="224"/>
      <c r="FQB1" s="224"/>
      <c r="FQC1" s="224"/>
      <c r="FQD1" s="224"/>
      <c r="FQE1" s="224"/>
      <c r="FQF1" s="224"/>
      <c r="FQG1" s="224"/>
      <c r="FQH1" s="224"/>
      <c r="FQI1" s="224"/>
      <c r="FQJ1" s="224"/>
      <c r="FQK1" s="224"/>
      <c r="FQL1" s="224"/>
      <c r="FQM1" s="224"/>
      <c r="FQN1" s="224"/>
      <c r="FQO1" s="224"/>
      <c r="FQP1" s="224"/>
      <c r="FQQ1" s="224"/>
      <c r="FQR1" s="224"/>
      <c r="FQS1" s="224"/>
      <c r="FQT1" s="224"/>
      <c r="FQU1" s="224"/>
      <c r="FQV1" s="224"/>
      <c r="FQW1" s="224"/>
      <c r="FQX1" s="224"/>
      <c r="FQY1" s="224"/>
      <c r="FQZ1" s="224"/>
      <c r="FRA1" s="224"/>
      <c r="FRB1" s="224"/>
      <c r="FRC1" s="224"/>
      <c r="FRD1" s="224"/>
      <c r="FRE1" s="224"/>
      <c r="FRF1" s="224"/>
      <c r="FRG1" s="224"/>
      <c r="FRH1" s="224"/>
      <c r="FRI1" s="224"/>
      <c r="FRJ1" s="224"/>
      <c r="FRK1" s="224"/>
      <c r="FRL1" s="224"/>
      <c r="FRM1" s="224"/>
      <c r="FRN1" s="224"/>
      <c r="FRO1" s="224"/>
      <c r="FRP1" s="224"/>
      <c r="FRQ1" s="224"/>
      <c r="FRR1" s="224"/>
      <c r="FRS1" s="224"/>
      <c r="FRT1" s="224"/>
      <c r="FRU1" s="224"/>
      <c r="FRV1" s="224"/>
      <c r="FRW1" s="224"/>
      <c r="FRX1" s="224"/>
      <c r="FRY1" s="224"/>
      <c r="FRZ1" s="224"/>
      <c r="FSA1" s="224"/>
      <c r="FSB1" s="224"/>
      <c r="FSC1" s="224"/>
      <c r="FSD1" s="224"/>
      <c r="FSE1" s="224"/>
      <c r="FSF1" s="224"/>
      <c r="FSG1" s="224"/>
      <c r="FSH1" s="224"/>
      <c r="FSI1" s="224"/>
      <c r="FSJ1" s="224"/>
      <c r="FSK1" s="224"/>
      <c r="FSL1" s="224"/>
      <c r="FSM1" s="224"/>
      <c r="FSN1" s="224"/>
      <c r="FSO1" s="224"/>
      <c r="FSP1" s="224"/>
      <c r="FSQ1" s="224"/>
      <c r="FSR1" s="224"/>
      <c r="FSS1" s="224"/>
      <c r="FST1" s="224"/>
      <c r="FSU1" s="224"/>
      <c r="FSV1" s="224"/>
      <c r="FSW1" s="224"/>
      <c r="FSX1" s="224"/>
      <c r="FSY1" s="224"/>
      <c r="FSZ1" s="224"/>
      <c r="FTA1" s="224"/>
      <c r="FTB1" s="224"/>
      <c r="FTC1" s="224"/>
      <c r="FTD1" s="224"/>
      <c r="FTE1" s="224"/>
      <c r="FTF1" s="224"/>
      <c r="FTG1" s="224"/>
      <c r="FTH1" s="224"/>
      <c r="FTI1" s="224"/>
      <c r="FTJ1" s="224"/>
      <c r="FTK1" s="224"/>
      <c r="FTL1" s="224"/>
      <c r="FTM1" s="224"/>
      <c r="FTN1" s="224"/>
      <c r="FTO1" s="224"/>
      <c r="FTP1" s="224"/>
      <c r="FTQ1" s="224"/>
      <c r="FTR1" s="224"/>
      <c r="FTS1" s="224"/>
      <c r="FTT1" s="224"/>
      <c r="FTU1" s="224"/>
      <c r="FTV1" s="224"/>
      <c r="FTW1" s="224"/>
      <c r="FTX1" s="224"/>
      <c r="FTY1" s="224"/>
      <c r="FTZ1" s="224"/>
      <c r="FUA1" s="224"/>
      <c r="FUB1" s="224"/>
      <c r="FUC1" s="224"/>
      <c r="FUD1" s="224"/>
      <c r="FUE1" s="224"/>
      <c r="FUF1" s="224"/>
      <c r="FUG1" s="224"/>
      <c r="FUH1" s="224"/>
      <c r="FUI1" s="224"/>
      <c r="FUJ1" s="224"/>
      <c r="FUK1" s="224"/>
      <c r="FUL1" s="224"/>
      <c r="FUM1" s="224"/>
      <c r="FUN1" s="224"/>
      <c r="FUO1" s="224"/>
      <c r="FUP1" s="224"/>
      <c r="FUQ1" s="224"/>
      <c r="FUR1" s="224"/>
      <c r="FUS1" s="224"/>
      <c r="FUT1" s="224"/>
      <c r="FUU1" s="224"/>
      <c r="FUV1" s="224"/>
      <c r="FUW1" s="224"/>
      <c r="FUX1" s="224"/>
      <c r="FUY1" s="224"/>
      <c r="FUZ1" s="224"/>
      <c r="FVA1" s="224"/>
      <c r="FVB1" s="224"/>
      <c r="FVC1" s="224"/>
      <c r="FVD1" s="224"/>
      <c r="FVE1" s="224"/>
      <c r="FVF1" s="224"/>
      <c r="FVG1" s="224"/>
      <c r="FVH1" s="224"/>
      <c r="FVI1" s="224"/>
      <c r="FVJ1" s="224"/>
      <c r="FVK1" s="224"/>
      <c r="FVL1" s="224"/>
      <c r="FVM1" s="224"/>
      <c r="FVN1" s="224"/>
      <c r="FVO1" s="224"/>
      <c r="FVP1" s="224"/>
      <c r="FVQ1" s="224"/>
      <c r="FVR1" s="224"/>
      <c r="FVS1" s="224"/>
      <c r="FVT1" s="224"/>
      <c r="FVU1" s="224"/>
      <c r="FVV1" s="224"/>
      <c r="FVW1" s="224"/>
      <c r="FVX1" s="224"/>
      <c r="FVY1" s="224"/>
      <c r="FVZ1" s="224"/>
      <c r="FWA1" s="224"/>
      <c r="FWB1" s="224"/>
      <c r="FWC1" s="224"/>
      <c r="FWD1" s="224"/>
      <c r="FWE1" s="224"/>
      <c r="FWF1" s="224"/>
      <c r="FWG1" s="224"/>
      <c r="FWH1" s="224"/>
      <c r="FWI1" s="224"/>
      <c r="FWJ1" s="224"/>
      <c r="FWK1" s="224"/>
      <c r="FWL1" s="224"/>
      <c r="FWM1" s="224"/>
      <c r="FWN1" s="224"/>
      <c r="FWO1" s="224"/>
      <c r="FWP1" s="224"/>
      <c r="FWQ1" s="224"/>
      <c r="FWR1" s="224"/>
      <c r="FWS1" s="224"/>
      <c r="FWT1" s="224"/>
      <c r="FWU1" s="224"/>
      <c r="FWV1" s="224"/>
      <c r="FWW1" s="224"/>
      <c r="FWX1" s="224"/>
      <c r="FWY1" s="224"/>
      <c r="FWZ1" s="224"/>
      <c r="FXA1" s="224"/>
      <c r="FXB1" s="224"/>
      <c r="FXC1" s="224"/>
      <c r="FXD1" s="224"/>
      <c r="FXE1" s="224"/>
      <c r="FXF1" s="224"/>
      <c r="FXG1" s="224"/>
      <c r="FXH1" s="224"/>
      <c r="FXI1" s="224"/>
      <c r="FXJ1" s="224"/>
      <c r="FXK1" s="224"/>
      <c r="FXL1" s="224"/>
      <c r="FXM1" s="224"/>
      <c r="FXN1" s="224"/>
      <c r="FXO1" s="224"/>
      <c r="FXP1" s="224"/>
      <c r="FXQ1" s="224"/>
      <c r="FXR1" s="224"/>
      <c r="FXS1" s="224"/>
      <c r="FXT1" s="224"/>
      <c r="FXU1" s="224"/>
      <c r="FXV1" s="224"/>
      <c r="FXW1" s="224"/>
      <c r="FXX1" s="224"/>
      <c r="FXY1" s="224"/>
      <c r="FXZ1" s="224"/>
      <c r="FYA1" s="224"/>
      <c r="FYB1" s="224"/>
      <c r="FYC1" s="224"/>
      <c r="FYD1" s="224"/>
      <c r="FYE1" s="224"/>
      <c r="FYF1" s="224"/>
      <c r="FYG1" s="224"/>
      <c r="FYH1" s="224"/>
      <c r="FYI1" s="224"/>
      <c r="FYJ1" s="224"/>
      <c r="FYK1" s="224"/>
      <c r="FYL1" s="224"/>
      <c r="FYM1" s="224"/>
      <c r="FYN1" s="224"/>
      <c r="FYO1" s="224"/>
      <c r="FYP1" s="224"/>
      <c r="FYQ1" s="224"/>
      <c r="FYR1" s="224"/>
      <c r="FYS1" s="224"/>
      <c r="FYT1" s="224"/>
      <c r="FYU1" s="224"/>
      <c r="FYV1" s="224"/>
      <c r="FYW1" s="224"/>
      <c r="FYX1" s="224"/>
      <c r="FYY1" s="224"/>
      <c r="FYZ1" s="224"/>
      <c r="FZA1" s="224"/>
      <c r="FZB1" s="224"/>
      <c r="FZC1" s="224"/>
      <c r="FZD1" s="224"/>
      <c r="FZE1" s="224"/>
      <c r="FZF1" s="224"/>
      <c r="FZG1" s="224"/>
      <c r="FZH1" s="224"/>
      <c r="FZI1" s="224"/>
      <c r="FZJ1" s="224"/>
      <c r="FZK1" s="224"/>
      <c r="FZL1" s="224"/>
      <c r="FZM1" s="224"/>
      <c r="FZN1" s="224"/>
      <c r="FZO1" s="224"/>
      <c r="FZP1" s="224"/>
      <c r="FZQ1" s="224"/>
      <c r="FZR1" s="224"/>
      <c r="FZS1" s="224"/>
      <c r="FZT1" s="224"/>
      <c r="FZU1" s="224"/>
      <c r="FZV1" s="224"/>
      <c r="FZW1" s="224"/>
      <c r="FZX1" s="224"/>
      <c r="FZY1" s="224"/>
      <c r="FZZ1" s="224"/>
      <c r="GAA1" s="224"/>
      <c r="GAB1" s="224"/>
      <c r="GAC1" s="224"/>
      <c r="GAD1" s="224"/>
      <c r="GAE1" s="224"/>
      <c r="GAF1" s="224"/>
      <c r="GAG1" s="224"/>
      <c r="GAH1" s="224"/>
      <c r="GAI1" s="224"/>
      <c r="GAJ1" s="224"/>
      <c r="GAK1" s="224"/>
      <c r="GAL1" s="224"/>
      <c r="GAM1" s="224"/>
      <c r="GAN1" s="224"/>
      <c r="GAO1" s="224"/>
      <c r="GAP1" s="224"/>
      <c r="GAQ1" s="224"/>
      <c r="GAR1" s="224"/>
      <c r="GAS1" s="224"/>
      <c r="GAT1" s="224"/>
      <c r="GAU1" s="224"/>
      <c r="GAV1" s="224"/>
      <c r="GAW1" s="224"/>
      <c r="GAX1" s="224"/>
      <c r="GAY1" s="224"/>
      <c r="GAZ1" s="224"/>
      <c r="GBA1" s="224"/>
      <c r="GBB1" s="224"/>
      <c r="GBC1" s="224"/>
      <c r="GBD1" s="224"/>
      <c r="GBE1" s="224"/>
      <c r="GBF1" s="224"/>
      <c r="GBG1" s="224"/>
      <c r="GBH1" s="224"/>
      <c r="GBI1" s="224"/>
      <c r="GBJ1" s="224"/>
      <c r="GBK1" s="224"/>
      <c r="GBL1" s="224"/>
      <c r="GBM1" s="224"/>
      <c r="GBN1" s="224"/>
      <c r="GBO1" s="224"/>
      <c r="GBP1" s="224"/>
      <c r="GBQ1" s="224"/>
      <c r="GBR1" s="224"/>
      <c r="GBS1" s="224"/>
      <c r="GBT1" s="224"/>
      <c r="GBU1" s="224"/>
      <c r="GBV1" s="224"/>
      <c r="GBW1" s="224"/>
      <c r="GBX1" s="224"/>
      <c r="GBY1" s="224"/>
      <c r="GBZ1" s="224"/>
      <c r="GCA1" s="224"/>
      <c r="GCB1" s="224"/>
      <c r="GCC1" s="224"/>
      <c r="GCD1" s="224"/>
      <c r="GCE1" s="224"/>
      <c r="GCF1" s="224"/>
      <c r="GCG1" s="224"/>
      <c r="GCH1" s="224"/>
      <c r="GCI1" s="224"/>
      <c r="GCJ1" s="224"/>
      <c r="GCK1" s="224"/>
      <c r="GCL1" s="224"/>
      <c r="GCM1" s="224"/>
      <c r="GCN1" s="224"/>
      <c r="GCO1" s="224"/>
      <c r="GCP1" s="224"/>
      <c r="GCQ1" s="224"/>
      <c r="GCR1" s="224"/>
      <c r="GCS1" s="224"/>
      <c r="GCT1" s="224"/>
      <c r="GCU1" s="224"/>
      <c r="GCV1" s="224"/>
      <c r="GCW1" s="224"/>
      <c r="GCX1" s="224"/>
      <c r="GCY1" s="224"/>
      <c r="GCZ1" s="224"/>
      <c r="GDA1" s="224"/>
      <c r="GDB1" s="224"/>
      <c r="GDC1" s="224"/>
      <c r="GDD1" s="224"/>
      <c r="GDE1" s="224"/>
      <c r="GDF1" s="224"/>
      <c r="GDG1" s="224"/>
      <c r="GDH1" s="224"/>
      <c r="GDI1" s="224"/>
      <c r="GDJ1" s="224"/>
      <c r="GDK1" s="224"/>
      <c r="GDL1" s="224"/>
      <c r="GDM1" s="224"/>
      <c r="GDN1" s="224"/>
      <c r="GDO1" s="224"/>
      <c r="GDP1" s="224"/>
      <c r="GDQ1" s="224"/>
      <c r="GDR1" s="224"/>
      <c r="GDS1" s="224"/>
      <c r="GDT1" s="224"/>
      <c r="GDU1" s="224"/>
      <c r="GDV1" s="224"/>
      <c r="GDW1" s="224"/>
      <c r="GDX1" s="224"/>
      <c r="GDY1" s="224"/>
      <c r="GDZ1" s="224"/>
      <c r="GEA1" s="224"/>
      <c r="GEB1" s="224"/>
      <c r="GEC1" s="224"/>
      <c r="GED1" s="224"/>
      <c r="GEE1" s="224"/>
      <c r="GEF1" s="224"/>
      <c r="GEG1" s="224"/>
      <c r="GEH1" s="224"/>
      <c r="GEI1" s="224"/>
      <c r="GEJ1" s="224"/>
      <c r="GEK1" s="224"/>
      <c r="GEL1" s="224"/>
      <c r="GEM1" s="224"/>
      <c r="GEN1" s="224"/>
      <c r="GEO1" s="224"/>
      <c r="GEP1" s="224"/>
      <c r="GEQ1" s="224"/>
      <c r="GER1" s="224"/>
      <c r="GES1" s="224"/>
      <c r="GET1" s="224"/>
      <c r="GEU1" s="224"/>
      <c r="GEV1" s="224"/>
      <c r="GEW1" s="224"/>
      <c r="GEX1" s="224"/>
      <c r="GEY1" s="224"/>
      <c r="GEZ1" s="224"/>
      <c r="GFA1" s="224"/>
      <c r="GFB1" s="224"/>
      <c r="GFC1" s="224"/>
      <c r="GFD1" s="224"/>
      <c r="GFE1" s="224"/>
      <c r="GFF1" s="224"/>
      <c r="GFG1" s="224"/>
      <c r="GFH1" s="224"/>
      <c r="GFI1" s="224"/>
      <c r="GFJ1" s="224"/>
      <c r="GFK1" s="224"/>
      <c r="GFL1" s="224"/>
      <c r="GFM1" s="224"/>
      <c r="GFN1" s="224"/>
      <c r="GFO1" s="224"/>
      <c r="GFP1" s="224"/>
      <c r="GFQ1" s="224"/>
      <c r="GFR1" s="224"/>
      <c r="GFS1" s="224"/>
      <c r="GFT1" s="224"/>
      <c r="GFU1" s="224"/>
      <c r="GFV1" s="224"/>
      <c r="GFW1" s="224"/>
      <c r="GFX1" s="224"/>
      <c r="GFY1" s="224"/>
      <c r="GFZ1" s="224"/>
      <c r="GGA1" s="224"/>
      <c r="GGB1" s="224"/>
      <c r="GGC1" s="224"/>
      <c r="GGD1" s="224"/>
      <c r="GGE1" s="224"/>
      <c r="GGF1" s="224"/>
      <c r="GGG1" s="224"/>
      <c r="GGH1" s="224"/>
      <c r="GGI1" s="224"/>
      <c r="GGJ1" s="224"/>
      <c r="GGK1" s="224"/>
      <c r="GGL1" s="224"/>
      <c r="GGM1" s="224"/>
      <c r="GGN1" s="224"/>
      <c r="GGO1" s="224"/>
      <c r="GGP1" s="224"/>
      <c r="GGQ1" s="224"/>
      <c r="GGR1" s="224"/>
      <c r="GGS1" s="224"/>
      <c r="GGT1" s="224"/>
      <c r="GGU1" s="224"/>
      <c r="GGV1" s="224"/>
      <c r="GGW1" s="224"/>
      <c r="GGX1" s="224"/>
      <c r="GGY1" s="224"/>
      <c r="GGZ1" s="224"/>
      <c r="GHA1" s="224"/>
      <c r="GHB1" s="224"/>
      <c r="GHC1" s="224"/>
      <c r="GHD1" s="224"/>
      <c r="GHE1" s="224"/>
      <c r="GHF1" s="224"/>
      <c r="GHG1" s="224"/>
      <c r="GHH1" s="224"/>
      <c r="GHI1" s="224"/>
      <c r="GHJ1" s="224"/>
      <c r="GHK1" s="224"/>
      <c r="GHL1" s="224"/>
      <c r="GHM1" s="224"/>
      <c r="GHN1" s="224"/>
      <c r="GHO1" s="224"/>
      <c r="GHP1" s="224"/>
      <c r="GHQ1" s="224"/>
      <c r="GHR1" s="224"/>
      <c r="GHS1" s="224"/>
      <c r="GHT1" s="224"/>
      <c r="GHU1" s="224"/>
      <c r="GHV1" s="224"/>
      <c r="GHW1" s="224"/>
      <c r="GHX1" s="224"/>
      <c r="GHY1" s="224"/>
      <c r="GHZ1" s="224"/>
      <c r="GIA1" s="224"/>
      <c r="GIB1" s="224"/>
      <c r="GIC1" s="224"/>
      <c r="GID1" s="224"/>
      <c r="GIE1" s="224"/>
      <c r="GIF1" s="224"/>
      <c r="GIG1" s="224"/>
      <c r="GIH1" s="224"/>
      <c r="GII1" s="224"/>
      <c r="GIJ1" s="224"/>
      <c r="GIK1" s="224"/>
      <c r="GIL1" s="224"/>
      <c r="GIM1" s="224"/>
      <c r="GIN1" s="224"/>
      <c r="GIO1" s="224"/>
      <c r="GIP1" s="224"/>
      <c r="GIQ1" s="224"/>
      <c r="GIR1" s="224"/>
      <c r="GIS1" s="224"/>
      <c r="GIT1" s="224"/>
      <c r="GIU1" s="224"/>
      <c r="GIV1" s="224"/>
      <c r="GIW1" s="224"/>
      <c r="GIX1" s="224"/>
      <c r="GIY1" s="224"/>
      <c r="GIZ1" s="224"/>
      <c r="GJA1" s="224"/>
      <c r="GJB1" s="224"/>
      <c r="GJC1" s="224"/>
      <c r="GJD1" s="224"/>
      <c r="GJE1" s="224"/>
      <c r="GJF1" s="224"/>
      <c r="GJG1" s="224"/>
      <c r="GJH1" s="224"/>
      <c r="GJI1" s="224"/>
      <c r="GJJ1" s="224"/>
      <c r="GJK1" s="224"/>
      <c r="GJL1" s="224"/>
      <c r="GJM1" s="224"/>
      <c r="GJN1" s="224"/>
      <c r="GJO1" s="224"/>
      <c r="GJP1" s="224"/>
      <c r="GJQ1" s="224"/>
      <c r="GJR1" s="224"/>
      <c r="GJS1" s="224"/>
      <c r="GJT1" s="224"/>
      <c r="GJU1" s="224"/>
      <c r="GJV1" s="224"/>
      <c r="GJW1" s="224"/>
      <c r="GJX1" s="224"/>
      <c r="GJY1" s="224"/>
      <c r="GJZ1" s="224"/>
      <c r="GKA1" s="224"/>
      <c r="GKB1" s="224"/>
      <c r="GKC1" s="224"/>
      <c r="GKD1" s="224"/>
      <c r="GKE1" s="224"/>
      <c r="GKF1" s="224"/>
      <c r="GKG1" s="224"/>
      <c r="GKH1" s="224"/>
      <c r="GKI1" s="224"/>
      <c r="GKJ1" s="224"/>
      <c r="GKK1" s="224"/>
      <c r="GKL1" s="224"/>
      <c r="GKM1" s="224"/>
      <c r="GKN1" s="224"/>
      <c r="GKO1" s="224"/>
      <c r="GKP1" s="224"/>
      <c r="GKQ1" s="224"/>
      <c r="GKR1" s="224"/>
      <c r="GKS1" s="224"/>
      <c r="GKT1" s="224"/>
      <c r="GKU1" s="224"/>
      <c r="GKV1" s="224"/>
      <c r="GKW1" s="224"/>
      <c r="GKX1" s="224"/>
      <c r="GKY1" s="224"/>
      <c r="GKZ1" s="224"/>
      <c r="GLA1" s="224"/>
      <c r="GLB1" s="224"/>
      <c r="GLC1" s="224"/>
      <c r="GLD1" s="224"/>
      <c r="GLE1" s="224"/>
      <c r="GLF1" s="224"/>
      <c r="GLG1" s="224"/>
      <c r="GLH1" s="224"/>
      <c r="GLI1" s="224"/>
      <c r="GLJ1" s="224"/>
      <c r="GLK1" s="224"/>
      <c r="GLL1" s="224"/>
      <c r="GLM1" s="224"/>
      <c r="GLN1" s="224"/>
      <c r="GLO1" s="224"/>
      <c r="GLP1" s="224"/>
      <c r="GLQ1" s="224"/>
      <c r="GLR1" s="224"/>
      <c r="GLS1" s="224"/>
      <c r="GLT1" s="224"/>
      <c r="GLU1" s="224"/>
      <c r="GLV1" s="224"/>
      <c r="GLW1" s="224"/>
      <c r="GLX1" s="224"/>
      <c r="GLY1" s="224"/>
      <c r="GLZ1" s="224"/>
      <c r="GMA1" s="224"/>
      <c r="GMB1" s="224"/>
      <c r="GMC1" s="224"/>
      <c r="GMD1" s="224"/>
      <c r="GME1" s="224"/>
      <c r="GMF1" s="224"/>
      <c r="GMG1" s="224"/>
      <c r="GMH1" s="224"/>
      <c r="GMI1" s="224"/>
      <c r="GMJ1" s="224"/>
      <c r="GMK1" s="224"/>
      <c r="GML1" s="224"/>
      <c r="GMM1" s="224"/>
      <c r="GMN1" s="224"/>
      <c r="GMO1" s="224"/>
      <c r="GMP1" s="224"/>
      <c r="GMQ1" s="224"/>
      <c r="GMR1" s="224"/>
      <c r="GMS1" s="224"/>
      <c r="GMT1" s="224"/>
      <c r="GMU1" s="224"/>
      <c r="GMV1" s="224"/>
      <c r="GMW1" s="224"/>
      <c r="GMX1" s="224"/>
      <c r="GMY1" s="224"/>
      <c r="GMZ1" s="224"/>
      <c r="GNA1" s="224"/>
      <c r="GNB1" s="224"/>
      <c r="GNC1" s="224"/>
      <c r="GND1" s="224"/>
      <c r="GNE1" s="224"/>
      <c r="GNF1" s="224"/>
      <c r="GNG1" s="224"/>
      <c r="GNH1" s="224"/>
      <c r="GNI1" s="224"/>
      <c r="GNJ1" s="224"/>
      <c r="GNK1" s="224"/>
      <c r="GNL1" s="224"/>
      <c r="GNM1" s="224"/>
      <c r="GNN1" s="224"/>
      <c r="GNO1" s="224"/>
      <c r="GNP1" s="224"/>
      <c r="GNQ1" s="224"/>
      <c r="GNR1" s="224"/>
      <c r="GNS1" s="224"/>
      <c r="GNT1" s="224"/>
      <c r="GNU1" s="224"/>
      <c r="GNV1" s="224"/>
      <c r="GNW1" s="224"/>
      <c r="GNX1" s="224"/>
      <c r="GNY1" s="224"/>
      <c r="GNZ1" s="224"/>
      <c r="GOA1" s="224"/>
      <c r="GOB1" s="224"/>
      <c r="GOC1" s="224"/>
      <c r="GOD1" s="224"/>
      <c r="GOE1" s="224"/>
      <c r="GOF1" s="224"/>
      <c r="GOG1" s="224"/>
      <c r="GOH1" s="224"/>
      <c r="GOI1" s="224"/>
      <c r="GOJ1" s="224"/>
      <c r="GOK1" s="224"/>
      <c r="GOL1" s="224"/>
      <c r="GOM1" s="224"/>
      <c r="GON1" s="224"/>
      <c r="GOO1" s="224"/>
      <c r="GOP1" s="224"/>
      <c r="GOQ1" s="224"/>
      <c r="GOR1" s="224"/>
      <c r="GOS1" s="224"/>
      <c r="GOT1" s="224"/>
      <c r="GOU1" s="224"/>
      <c r="GOV1" s="224"/>
      <c r="GOW1" s="224"/>
      <c r="GOX1" s="224"/>
      <c r="GOY1" s="224"/>
      <c r="GOZ1" s="224"/>
      <c r="GPA1" s="224"/>
      <c r="GPB1" s="224"/>
      <c r="GPC1" s="224"/>
      <c r="GPD1" s="224"/>
      <c r="GPE1" s="224"/>
      <c r="GPF1" s="224"/>
      <c r="GPG1" s="224"/>
      <c r="GPH1" s="224"/>
      <c r="GPI1" s="224"/>
      <c r="GPJ1" s="224"/>
      <c r="GPK1" s="224"/>
      <c r="GPL1" s="224"/>
      <c r="GPM1" s="224"/>
      <c r="GPN1" s="224"/>
      <c r="GPO1" s="224"/>
      <c r="GPP1" s="224"/>
      <c r="GPQ1" s="224"/>
      <c r="GPR1" s="224"/>
      <c r="GPS1" s="224"/>
      <c r="GPT1" s="224"/>
      <c r="GPU1" s="224"/>
      <c r="GPV1" s="224"/>
      <c r="GPW1" s="224"/>
      <c r="GPX1" s="224"/>
      <c r="GPY1" s="224"/>
      <c r="GPZ1" s="224"/>
      <c r="GQA1" s="224"/>
      <c r="GQB1" s="224"/>
      <c r="GQC1" s="224"/>
      <c r="GQD1" s="224"/>
      <c r="GQE1" s="224"/>
      <c r="GQF1" s="224"/>
      <c r="GQG1" s="224"/>
      <c r="GQH1" s="224"/>
      <c r="GQI1" s="224"/>
      <c r="GQJ1" s="224"/>
      <c r="GQK1" s="224"/>
      <c r="GQL1" s="224"/>
      <c r="GQM1" s="224"/>
      <c r="GQN1" s="224"/>
      <c r="GQO1" s="224"/>
      <c r="GQP1" s="224"/>
      <c r="GQQ1" s="224"/>
      <c r="GQR1" s="224"/>
      <c r="GQS1" s="224"/>
      <c r="GQT1" s="224"/>
      <c r="GQU1" s="224"/>
      <c r="GQV1" s="224"/>
      <c r="GQW1" s="224"/>
      <c r="GQX1" s="224"/>
      <c r="GQY1" s="224"/>
      <c r="GQZ1" s="224"/>
      <c r="GRA1" s="224"/>
      <c r="GRB1" s="224"/>
      <c r="GRC1" s="224"/>
      <c r="GRD1" s="224"/>
      <c r="GRE1" s="224"/>
      <c r="GRF1" s="224"/>
      <c r="GRG1" s="224"/>
      <c r="GRH1" s="224"/>
      <c r="GRI1" s="224"/>
      <c r="GRJ1" s="224"/>
      <c r="GRK1" s="224"/>
      <c r="GRL1" s="224"/>
      <c r="GRM1" s="224"/>
      <c r="GRN1" s="224"/>
      <c r="GRO1" s="224"/>
      <c r="GRP1" s="224"/>
      <c r="GRQ1" s="224"/>
      <c r="GRR1" s="224"/>
      <c r="GRS1" s="224"/>
      <c r="GRT1" s="224"/>
      <c r="GRU1" s="224"/>
      <c r="GRV1" s="224"/>
      <c r="GRW1" s="224"/>
      <c r="GRX1" s="224"/>
      <c r="GRY1" s="224"/>
      <c r="GRZ1" s="224"/>
      <c r="GSA1" s="224"/>
      <c r="GSB1" s="224"/>
      <c r="GSC1" s="224"/>
      <c r="GSD1" s="224"/>
      <c r="GSE1" s="224"/>
      <c r="GSF1" s="224"/>
      <c r="GSG1" s="224"/>
      <c r="GSH1" s="224"/>
      <c r="GSI1" s="224"/>
      <c r="GSJ1" s="224"/>
      <c r="GSK1" s="224"/>
      <c r="GSL1" s="224"/>
      <c r="GSM1" s="224"/>
      <c r="GSN1" s="224"/>
      <c r="GSO1" s="224"/>
      <c r="GSP1" s="224"/>
      <c r="GSQ1" s="224"/>
      <c r="GSR1" s="224"/>
      <c r="GSS1" s="224"/>
      <c r="GST1" s="224"/>
      <c r="GSU1" s="224"/>
      <c r="GSV1" s="224"/>
      <c r="GSW1" s="224"/>
      <c r="GSX1" s="224"/>
      <c r="GSY1" s="224"/>
      <c r="GSZ1" s="224"/>
      <c r="GTA1" s="224"/>
      <c r="GTB1" s="224"/>
      <c r="GTC1" s="224"/>
      <c r="GTD1" s="224"/>
      <c r="GTE1" s="224"/>
      <c r="GTF1" s="224"/>
      <c r="GTG1" s="224"/>
      <c r="GTH1" s="224"/>
      <c r="GTI1" s="224"/>
      <c r="GTJ1" s="224"/>
      <c r="GTK1" s="224"/>
      <c r="GTL1" s="224"/>
      <c r="GTM1" s="224"/>
      <c r="GTN1" s="224"/>
      <c r="GTO1" s="224"/>
      <c r="GTP1" s="224"/>
      <c r="GTQ1" s="224"/>
      <c r="GTR1" s="224"/>
      <c r="GTS1" s="224"/>
      <c r="GTT1" s="224"/>
      <c r="GTU1" s="224"/>
      <c r="GTV1" s="224"/>
      <c r="GTW1" s="224"/>
      <c r="GTX1" s="224"/>
      <c r="GTY1" s="224"/>
      <c r="GTZ1" s="224"/>
      <c r="GUA1" s="224"/>
      <c r="GUB1" s="224"/>
      <c r="GUC1" s="224"/>
      <c r="GUD1" s="224"/>
      <c r="GUE1" s="224"/>
      <c r="GUF1" s="224"/>
      <c r="GUG1" s="224"/>
      <c r="GUH1" s="224"/>
      <c r="GUI1" s="224"/>
      <c r="GUJ1" s="224"/>
      <c r="GUK1" s="224"/>
      <c r="GUL1" s="224"/>
      <c r="GUM1" s="224"/>
      <c r="GUN1" s="224"/>
      <c r="GUO1" s="224"/>
      <c r="GUP1" s="224"/>
      <c r="GUQ1" s="224"/>
      <c r="GUR1" s="224"/>
      <c r="GUS1" s="224"/>
      <c r="GUT1" s="224"/>
      <c r="GUU1" s="224"/>
      <c r="GUV1" s="224"/>
      <c r="GUW1" s="224"/>
      <c r="GUX1" s="224"/>
      <c r="GUY1" s="224"/>
      <c r="GUZ1" s="224"/>
      <c r="GVA1" s="224"/>
      <c r="GVB1" s="224"/>
      <c r="GVC1" s="224"/>
      <c r="GVD1" s="224"/>
      <c r="GVE1" s="224"/>
      <c r="GVF1" s="224"/>
      <c r="GVG1" s="224"/>
      <c r="GVH1" s="224"/>
      <c r="GVI1" s="224"/>
      <c r="GVJ1" s="224"/>
      <c r="GVK1" s="224"/>
      <c r="GVL1" s="224"/>
      <c r="GVM1" s="224"/>
      <c r="GVN1" s="224"/>
      <c r="GVO1" s="224"/>
      <c r="GVP1" s="224"/>
      <c r="GVQ1" s="224"/>
      <c r="GVR1" s="224"/>
      <c r="GVS1" s="224"/>
      <c r="GVT1" s="224"/>
      <c r="GVU1" s="224"/>
      <c r="GVV1" s="224"/>
      <c r="GVW1" s="224"/>
      <c r="GVX1" s="224"/>
      <c r="GVY1" s="224"/>
      <c r="GVZ1" s="224"/>
      <c r="GWA1" s="224"/>
      <c r="GWB1" s="224"/>
      <c r="GWC1" s="224"/>
      <c r="GWD1" s="224"/>
      <c r="GWE1" s="224"/>
      <c r="GWF1" s="224"/>
      <c r="GWG1" s="224"/>
      <c r="GWH1" s="224"/>
      <c r="GWI1" s="224"/>
      <c r="GWJ1" s="224"/>
      <c r="GWK1" s="224"/>
      <c r="GWL1" s="224"/>
      <c r="GWM1" s="224"/>
      <c r="GWN1" s="224"/>
      <c r="GWO1" s="224"/>
      <c r="GWP1" s="224"/>
      <c r="GWQ1" s="224"/>
      <c r="GWR1" s="224"/>
      <c r="GWS1" s="224"/>
      <c r="GWT1" s="224"/>
      <c r="GWU1" s="224"/>
      <c r="GWV1" s="224"/>
      <c r="GWW1" s="224"/>
      <c r="GWX1" s="224"/>
      <c r="GWY1" s="224"/>
      <c r="GWZ1" s="224"/>
      <c r="GXA1" s="224"/>
      <c r="GXB1" s="224"/>
      <c r="GXC1" s="224"/>
      <c r="GXD1" s="224"/>
      <c r="GXE1" s="224"/>
      <c r="GXF1" s="224"/>
      <c r="GXG1" s="224"/>
      <c r="GXH1" s="224"/>
      <c r="GXI1" s="224"/>
      <c r="GXJ1" s="224"/>
      <c r="GXK1" s="224"/>
      <c r="GXL1" s="224"/>
      <c r="GXM1" s="224"/>
      <c r="GXN1" s="224"/>
      <c r="GXO1" s="224"/>
      <c r="GXP1" s="224"/>
      <c r="GXQ1" s="224"/>
      <c r="GXR1" s="224"/>
      <c r="GXS1" s="224"/>
      <c r="GXT1" s="224"/>
      <c r="GXU1" s="224"/>
      <c r="GXV1" s="224"/>
      <c r="GXW1" s="224"/>
      <c r="GXX1" s="224"/>
      <c r="GXY1" s="224"/>
      <c r="GXZ1" s="224"/>
      <c r="GYA1" s="224"/>
      <c r="GYB1" s="224"/>
      <c r="GYC1" s="224"/>
      <c r="GYD1" s="224"/>
      <c r="GYE1" s="224"/>
      <c r="GYF1" s="224"/>
      <c r="GYG1" s="224"/>
      <c r="GYH1" s="224"/>
      <c r="GYI1" s="224"/>
      <c r="GYJ1" s="224"/>
      <c r="GYK1" s="224"/>
      <c r="GYL1" s="224"/>
      <c r="GYM1" s="224"/>
      <c r="GYN1" s="224"/>
      <c r="GYO1" s="224"/>
      <c r="GYP1" s="224"/>
      <c r="GYQ1" s="224"/>
      <c r="GYR1" s="224"/>
      <c r="GYS1" s="224"/>
      <c r="GYT1" s="224"/>
      <c r="GYU1" s="224"/>
      <c r="GYV1" s="224"/>
      <c r="GYW1" s="224"/>
      <c r="GYX1" s="224"/>
      <c r="GYY1" s="224"/>
      <c r="GYZ1" s="224"/>
      <c r="GZA1" s="224"/>
      <c r="GZB1" s="224"/>
      <c r="GZC1" s="224"/>
      <c r="GZD1" s="224"/>
      <c r="GZE1" s="224"/>
      <c r="GZF1" s="224"/>
      <c r="GZG1" s="224"/>
      <c r="GZH1" s="224"/>
      <c r="GZI1" s="224"/>
      <c r="GZJ1" s="224"/>
      <c r="GZK1" s="224"/>
      <c r="GZL1" s="224"/>
      <c r="GZM1" s="224"/>
      <c r="GZN1" s="224"/>
      <c r="GZO1" s="224"/>
      <c r="GZP1" s="224"/>
      <c r="GZQ1" s="224"/>
      <c r="GZR1" s="224"/>
      <c r="GZS1" s="224"/>
      <c r="GZT1" s="224"/>
      <c r="GZU1" s="224"/>
      <c r="GZV1" s="224"/>
      <c r="GZW1" s="224"/>
      <c r="GZX1" s="224"/>
      <c r="GZY1" s="224"/>
      <c r="GZZ1" s="224"/>
      <c r="HAA1" s="224"/>
      <c r="HAB1" s="224"/>
      <c r="HAC1" s="224"/>
      <c r="HAD1" s="224"/>
      <c r="HAE1" s="224"/>
      <c r="HAF1" s="224"/>
      <c r="HAG1" s="224"/>
      <c r="HAH1" s="224"/>
      <c r="HAI1" s="224"/>
      <c r="HAJ1" s="224"/>
      <c r="HAK1" s="224"/>
      <c r="HAL1" s="224"/>
      <c r="HAM1" s="224"/>
      <c r="HAN1" s="224"/>
      <c r="HAO1" s="224"/>
      <c r="HAP1" s="224"/>
      <c r="HAQ1" s="224"/>
      <c r="HAR1" s="224"/>
      <c r="HAS1" s="224"/>
      <c r="HAT1" s="224"/>
      <c r="HAU1" s="224"/>
      <c r="HAV1" s="224"/>
      <c r="HAW1" s="224"/>
      <c r="HAX1" s="224"/>
      <c r="HAY1" s="224"/>
      <c r="HAZ1" s="224"/>
      <c r="HBA1" s="224"/>
      <c r="HBB1" s="224"/>
      <c r="HBC1" s="224"/>
      <c r="HBD1" s="224"/>
      <c r="HBE1" s="224"/>
      <c r="HBF1" s="224"/>
      <c r="HBG1" s="224"/>
      <c r="HBH1" s="224"/>
      <c r="HBI1" s="224"/>
      <c r="HBJ1" s="224"/>
      <c r="HBK1" s="224"/>
      <c r="HBL1" s="224"/>
      <c r="HBM1" s="224"/>
      <c r="HBN1" s="224"/>
      <c r="HBO1" s="224"/>
      <c r="HBP1" s="224"/>
      <c r="HBQ1" s="224"/>
      <c r="HBR1" s="224"/>
      <c r="HBS1" s="224"/>
      <c r="HBT1" s="224"/>
      <c r="HBU1" s="224"/>
      <c r="HBV1" s="224"/>
      <c r="HBW1" s="224"/>
      <c r="HBX1" s="224"/>
      <c r="HBY1" s="224"/>
      <c r="HBZ1" s="224"/>
      <c r="HCA1" s="224"/>
      <c r="HCB1" s="224"/>
      <c r="HCC1" s="224"/>
      <c r="HCD1" s="224"/>
      <c r="HCE1" s="224"/>
      <c r="HCF1" s="224"/>
      <c r="HCG1" s="224"/>
      <c r="HCH1" s="224"/>
      <c r="HCI1" s="224"/>
      <c r="HCJ1" s="224"/>
      <c r="HCK1" s="224"/>
      <c r="HCL1" s="224"/>
      <c r="HCM1" s="224"/>
      <c r="HCN1" s="224"/>
      <c r="HCO1" s="224"/>
      <c r="HCP1" s="224"/>
      <c r="HCQ1" s="224"/>
      <c r="HCR1" s="224"/>
      <c r="HCS1" s="224"/>
      <c r="HCT1" s="224"/>
      <c r="HCU1" s="224"/>
      <c r="HCV1" s="224"/>
      <c r="HCW1" s="224"/>
      <c r="HCX1" s="224"/>
      <c r="HCY1" s="224"/>
      <c r="HCZ1" s="224"/>
      <c r="HDA1" s="224"/>
      <c r="HDB1" s="224"/>
      <c r="HDC1" s="224"/>
      <c r="HDD1" s="224"/>
      <c r="HDE1" s="224"/>
      <c r="HDF1" s="224"/>
      <c r="HDG1" s="224"/>
      <c r="HDH1" s="224"/>
      <c r="HDI1" s="224"/>
      <c r="HDJ1" s="224"/>
      <c r="HDK1" s="224"/>
      <c r="HDL1" s="224"/>
      <c r="HDM1" s="224"/>
      <c r="HDN1" s="224"/>
      <c r="HDO1" s="224"/>
      <c r="HDP1" s="224"/>
      <c r="HDQ1" s="224"/>
      <c r="HDR1" s="224"/>
      <c r="HDS1" s="224"/>
      <c r="HDT1" s="224"/>
      <c r="HDU1" s="224"/>
      <c r="HDV1" s="224"/>
      <c r="HDW1" s="224"/>
      <c r="HDX1" s="224"/>
      <c r="HDY1" s="224"/>
      <c r="HDZ1" s="224"/>
      <c r="HEA1" s="224"/>
      <c r="HEB1" s="224"/>
      <c r="HEC1" s="224"/>
      <c r="HED1" s="224"/>
      <c r="HEE1" s="224"/>
      <c r="HEF1" s="224"/>
      <c r="HEG1" s="224"/>
      <c r="HEH1" s="224"/>
      <c r="HEI1" s="224"/>
      <c r="HEJ1" s="224"/>
      <c r="HEK1" s="224"/>
      <c r="HEL1" s="224"/>
      <c r="HEM1" s="224"/>
      <c r="HEN1" s="224"/>
      <c r="HEO1" s="224"/>
      <c r="HEP1" s="224"/>
      <c r="HEQ1" s="224"/>
      <c r="HER1" s="224"/>
      <c r="HES1" s="224"/>
      <c r="HET1" s="224"/>
      <c r="HEU1" s="224"/>
      <c r="HEV1" s="224"/>
      <c r="HEW1" s="224"/>
      <c r="HEX1" s="224"/>
      <c r="HEY1" s="224"/>
      <c r="HEZ1" s="224"/>
      <c r="HFA1" s="224"/>
      <c r="HFB1" s="224"/>
      <c r="HFC1" s="224"/>
      <c r="HFD1" s="224"/>
      <c r="HFE1" s="224"/>
      <c r="HFF1" s="224"/>
      <c r="HFG1" s="224"/>
      <c r="HFH1" s="224"/>
      <c r="HFI1" s="224"/>
      <c r="HFJ1" s="224"/>
      <c r="HFK1" s="224"/>
      <c r="HFL1" s="224"/>
      <c r="HFM1" s="224"/>
      <c r="HFN1" s="224"/>
      <c r="HFO1" s="224"/>
      <c r="HFP1" s="224"/>
      <c r="HFQ1" s="224"/>
      <c r="HFR1" s="224"/>
      <c r="HFS1" s="224"/>
      <c r="HFT1" s="224"/>
      <c r="HFU1" s="224"/>
      <c r="HFV1" s="224"/>
      <c r="HFW1" s="224"/>
      <c r="HFX1" s="224"/>
      <c r="HFY1" s="224"/>
      <c r="HFZ1" s="224"/>
      <c r="HGA1" s="224"/>
      <c r="HGB1" s="224"/>
      <c r="HGC1" s="224"/>
      <c r="HGD1" s="224"/>
      <c r="HGE1" s="224"/>
      <c r="HGF1" s="224"/>
      <c r="HGG1" s="224"/>
      <c r="HGH1" s="224"/>
      <c r="HGI1" s="224"/>
      <c r="HGJ1" s="224"/>
      <c r="HGK1" s="224"/>
      <c r="HGL1" s="224"/>
      <c r="HGM1" s="224"/>
      <c r="HGN1" s="224"/>
      <c r="HGO1" s="224"/>
      <c r="HGP1" s="224"/>
      <c r="HGQ1" s="224"/>
      <c r="HGR1" s="224"/>
      <c r="HGS1" s="224"/>
      <c r="HGT1" s="224"/>
      <c r="HGU1" s="224"/>
      <c r="HGV1" s="224"/>
      <c r="HGW1" s="224"/>
      <c r="HGX1" s="224"/>
      <c r="HGY1" s="224"/>
      <c r="HGZ1" s="224"/>
      <c r="HHA1" s="224"/>
      <c r="HHB1" s="224"/>
      <c r="HHC1" s="224"/>
      <c r="HHD1" s="224"/>
      <c r="HHE1" s="224"/>
      <c r="HHF1" s="224"/>
      <c r="HHG1" s="224"/>
      <c r="HHH1" s="224"/>
      <c r="HHI1" s="224"/>
      <c r="HHJ1" s="224"/>
      <c r="HHK1" s="224"/>
      <c r="HHL1" s="224"/>
      <c r="HHM1" s="224"/>
      <c r="HHN1" s="224"/>
      <c r="HHO1" s="224"/>
      <c r="HHP1" s="224"/>
      <c r="HHQ1" s="224"/>
      <c r="HHR1" s="224"/>
      <c r="HHS1" s="224"/>
      <c r="HHT1" s="224"/>
      <c r="HHU1" s="224"/>
      <c r="HHV1" s="224"/>
      <c r="HHW1" s="224"/>
      <c r="HHX1" s="224"/>
      <c r="HHY1" s="224"/>
      <c r="HHZ1" s="224"/>
      <c r="HIA1" s="224"/>
      <c r="HIB1" s="224"/>
      <c r="HIC1" s="224"/>
      <c r="HID1" s="224"/>
      <c r="HIE1" s="224"/>
      <c r="HIF1" s="224"/>
      <c r="HIG1" s="224"/>
      <c r="HIH1" s="224"/>
      <c r="HII1" s="224"/>
      <c r="HIJ1" s="224"/>
      <c r="HIK1" s="224"/>
      <c r="HIL1" s="224"/>
      <c r="HIM1" s="224"/>
      <c r="HIN1" s="224"/>
      <c r="HIO1" s="224"/>
      <c r="HIP1" s="224"/>
      <c r="HIQ1" s="224"/>
      <c r="HIR1" s="224"/>
      <c r="HIS1" s="224"/>
      <c r="HIT1" s="224"/>
      <c r="HIU1" s="224"/>
      <c r="HIV1" s="224"/>
      <c r="HIW1" s="224"/>
      <c r="HIX1" s="224"/>
      <c r="HIY1" s="224"/>
      <c r="HIZ1" s="224"/>
      <c r="HJA1" s="224"/>
      <c r="HJB1" s="224"/>
      <c r="HJC1" s="224"/>
      <c r="HJD1" s="224"/>
      <c r="HJE1" s="224"/>
      <c r="HJF1" s="224"/>
      <c r="HJG1" s="224"/>
      <c r="HJH1" s="224"/>
      <c r="HJI1" s="224"/>
      <c r="HJJ1" s="224"/>
      <c r="HJK1" s="224"/>
      <c r="HJL1" s="224"/>
      <c r="HJM1" s="224"/>
      <c r="HJN1" s="224"/>
      <c r="HJO1" s="224"/>
      <c r="HJP1" s="224"/>
      <c r="HJQ1" s="224"/>
      <c r="HJR1" s="224"/>
      <c r="HJS1" s="224"/>
      <c r="HJT1" s="224"/>
      <c r="HJU1" s="224"/>
      <c r="HJV1" s="224"/>
      <c r="HJW1" s="224"/>
      <c r="HJX1" s="224"/>
      <c r="HJY1" s="224"/>
      <c r="HJZ1" s="224"/>
      <c r="HKA1" s="224"/>
      <c r="HKB1" s="224"/>
      <c r="HKC1" s="224"/>
      <c r="HKD1" s="224"/>
      <c r="HKE1" s="224"/>
      <c r="HKF1" s="224"/>
      <c r="HKG1" s="224"/>
      <c r="HKH1" s="224"/>
      <c r="HKI1" s="224"/>
      <c r="HKJ1" s="224"/>
      <c r="HKK1" s="224"/>
      <c r="HKL1" s="224"/>
      <c r="HKM1" s="224"/>
      <c r="HKN1" s="224"/>
      <c r="HKO1" s="224"/>
      <c r="HKP1" s="224"/>
      <c r="HKQ1" s="224"/>
      <c r="HKR1" s="224"/>
      <c r="HKS1" s="224"/>
      <c r="HKT1" s="224"/>
      <c r="HKU1" s="224"/>
      <c r="HKV1" s="224"/>
      <c r="HKW1" s="224"/>
      <c r="HKX1" s="224"/>
      <c r="HKY1" s="224"/>
      <c r="HKZ1" s="224"/>
      <c r="HLA1" s="224"/>
      <c r="HLB1" s="224"/>
      <c r="HLC1" s="224"/>
      <c r="HLD1" s="224"/>
      <c r="HLE1" s="224"/>
      <c r="HLF1" s="224"/>
      <c r="HLG1" s="224"/>
      <c r="HLH1" s="224"/>
      <c r="HLI1" s="224"/>
      <c r="HLJ1" s="224"/>
      <c r="HLK1" s="224"/>
      <c r="HLL1" s="224"/>
      <c r="HLM1" s="224"/>
      <c r="HLN1" s="224"/>
      <c r="HLO1" s="224"/>
      <c r="HLP1" s="224"/>
      <c r="HLQ1" s="224"/>
      <c r="HLR1" s="224"/>
      <c r="HLS1" s="224"/>
      <c r="HLT1" s="224"/>
      <c r="HLU1" s="224"/>
      <c r="HLV1" s="224"/>
      <c r="HLW1" s="224"/>
      <c r="HLX1" s="224"/>
      <c r="HLY1" s="224"/>
      <c r="HLZ1" s="224"/>
      <c r="HMA1" s="224"/>
      <c r="HMB1" s="224"/>
      <c r="HMC1" s="224"/>
      <c r="HMD1" s="224"/>
      <c r="HME1" s="224"/>
      <c r="HMF1" s="224"/>
      <c r="HMG1" s="224"/>
      <c r="HMH1" s="224"/>
      <c r="HMI1" s="224"/>
      <c r="HMJ1" s="224"/>
      <c r="HMK1" s="224"/>
      <c r="HML1" s="224"/>
      <c r="HMM1" s="224"/>
      <c r="HMN1" s="224"/>
      <c r="HMO1" s="224"/>
      <c r="HMP1" s="224"/>
      <c r="HMQ1" s="224"/>
      <c r="HMR1" s="224"/>
      <c r="HMS1" s="224"/>
      <c r="HMT1" s="224"/>
      <c r="HMU1" s="224"/>
      <c r="HMV1" s="224"/>
      <c r="HMW1" s="224"/>
      <c r="HMX1" s="224"/>
      <c r="HMY1" s="224"/>
      <c r="HMZ1" s="224"/>
      <c r="HNA1" s="224"/>
      <c r="HNB1" s="224"/>
      <c r="HNC1" s="224"/>
      <c r="HND1" s="224"/>
      <c r="HNE1" s="224"/>
      <c r="HNF1" s="224"/>
      <c r="HNG1" s="224"/>
      <c r="HNH1" s="224"/>
      <c r="HNI1" s="224"/>
      <c r="HNJ1" s="224"/>
      <c r="HNK1" s="224"/>
      <c r="HNL1" s="224"/>
      <c r="HNM1" s="224"/>
      <c r="HNN1" s="224"/>
      <c r="HNO1" s="224"/>
      <c r="HNP1" s="224"/>
      <c r="HNQ1" s="224"/>
      <c r="HNR1" s="224"/>
      <c r="HNS1" s="224"/>
      <c r="HNT1" s="224"/>
      <c r="HNU1" s="224"/>
      <c r="HNV1" s="224"/>
      <c r="HNW1" s="224"/>
      <c r="HNX1" s="224"/>
      <c r="HNY1" s="224"/>
      <c r="HNZ1" s="224"/>
      <c r="HOA1" s="224"/>
      <c r="HOB1" s="224"/>
      <c r="HOC1" s="224"/>
      <c r="HOD1" s="224"/>
      <c r="HOE1" s="224"/>
      <c r="HOF1" s="224"/>
      <c r="HOG1" s="224"/>
      <c r="HOH1" s="224"/>
      <c r="HOI1" s="224"/>
      <c r="HOJ1" s="224"/>
      <c r="HOK1" s="224"/>
      <c r="HOL1" s="224"/>
      <c r="HOM1" s="224"/>
      <c r="HON1" s="224"/>
      <c r="HOO1" s="224"/>
      <c r="HOP1" s="224"/>
      <c r="HOQ1" s="224"/>
      <c r="HOR1" s="224"/>
      <c r="HOS1" s="224"/>
      <c r="HOT1" s="224"/>
      <c r="HOU1" s="224"/>
      <c r="HOV1" s="224"/>
      <c r="HOW1" s="224"/>
      <c r="HOX1" s="224"/>
      <c r="HOY1" s="224"/>
      <c r="HOZ1" s="224"/>
      <c r="HPA1" s="224"/>
      <c r="HPB1" s="224"/>
      <c r="HPC1" s="224"/>
      <c r="HPD1" s="224"/>
      <c r="HPE1" s="224"/>
      <c r="HPF1" s="224"/>
      <c r="HPG1" s="224"/>
      <c r="HPH1" s="224"/>
      <c r="HPI1" s="224"/>
      <c r="HPJ1" s="224"/>
      <c r="HPK1" s="224"/>
      <c r="HPL1" s="224"/>
      <c r="HPM1" s="224"/>
      <c r="HPN1" s="224"/>
      <c r="HPO1" s="224"/>
      <c r="HPP1" s="224"/>
      <c r="HPQ1" s="224"/>
      <c r="HPR1" s="224"/>
      <c r="HPS1" s="224"/>
      <c r="HPT1" s="224"/>
      <c r="HPU1" s="224"/>
      <c r="HPV1" s="224"/>
      <c r="HPW1" s="224"/>
      <c r="HPX1" s="224"/>
      <c r="HPY1" s="224"/>
      <c r="HPZ1" s="224"/>
      <c r="HQA1" s="224"/>
      <c r="HQB1" s="224"/>
      <c r="HQC1" s="224"/>
      <c r="HQD1" s="224"/>
      <c r="HQE1" s="224"/>
      <c r="HQF1" s="224"/>
      <c r="HQG1" s="224"/>
      <c r="HQH1" s="224"/>
      <c r="HQI1" s="224"/>
      <c r="HQJ1" s="224"/>
      <c r="HQK1" s="224"/>
      <c r="HQL1" s="224"/>
      <c r="HQM1" s="224"/>
      <c r="HQN1" s="224"/>
      <c r="HQO1" s="224"/>
      <c r="HQP1" s="224"/>
      <c r="HQQ1" s="224"/>
      <c r="HQR1" s="224"/>
      <c r="HQS1" s="224"/>
      <c r="HQT1" s="224"/>
      <c r="HQU1" s="224"/>
      <c r="HQV1" s="224"/>
      <c r="HQW1" s="224"/>
      <c r="HQX1" s="224"/>
      <c r="HQY1" s="224"/>
      <c r="HQZ1" s="224"/>
      <c r="HRA1" s="224"/>
      <c r="HRB1" s="224"/>
      <c r="HRC1" s="224"/>
      <c r="HRD1" s="224"/>
      <c r="HRE1" s="224"/>
      <c r="HRF1" s="224"/>
      <c r="HRG1" s="224"/>
      <c r="HRH1" s="224"/>
      <c r="HRI1" s="224"/>
      <c r="HRJ1" s="224"/>
      <c r="HRK1" s="224"/>
      <c r="HRL1" s="224"/>
      <c r="HRM1" s="224"/>
      <c r="HRN1" s="224"/>
      <c r="HRO1" s="224"/>
      <c r="HRP1" s="224"/>
      <c r="HRQ1" s="224"/>
      <c r="HRR1" s="224"/>
      <c r="HRS1" s="224"/>
      <c r="HRT1" s="224"/>
      <c r="HRU1" s="224"/>
      <c r="HRV1" s="224"/>
      <c r="HRW1" s="224"/>
      <c r="HRX1" s="224"/>
      <c r="HRY1" s="224"/>
      <c r="HRZ1" s="224"/>
      <c r="HSA1" s="224"/>
      <c r="HSB1" s="224"/>
      <c r="HSC1" s="224"/>
      <c r="HSD1" s="224"/>
      <c r="HSE1" s="224"/>
      <c r="HSF1" s="224"/>
      <c r="HSG1" s="224"/>
      <c r="HSH1" s="224"/>
      <c r="HSI1" s="224"/>
      <c r="HSJ1" s="224"/>
      <c r="HSK1" s="224"/>
      <c r="HSL1" s="224"/>
      <c r="HSM1" s="224"/>
      <c r="HSN1" s="224"/>
      <c r="HSO1" s="224"/>
      <c r="HSP1" s="224"/>
      <c r="HSQ1" s="224"/>
      <c r="HSR1" s="224"/>
      <c r="HSS1" s="224"/>
      <c r="HST1" s="224"/>
      <c r="HSU1" s="224"/>
      <c r="HSV1" s="224"/>
      <c r="HSW1" s="224"/>
      <c r="HSX1" s="224"/>
      <c r="HSY1" s="224"/>
      <c r="HSZ1" s="224"/>
      <c r="HTA1" s="224"/>
      <c r="HTB1" s="224"/>
      <c r="HTC1" s="224"/>
      <c r="HTD1" s="224"/>
      <c r="HTE1" s="224"/>
      <c r="HTF1" s="224"/>
      <c r="HTG1" s="224"/>
      <c r="HTH1" s="224"/>
      <c r="HTI1" s="224"/>
      <c r="HTJ1" s="224"/>
      <c r="HTK1" s="224"/>
      <c r="HTL1" s="224"/>
      <c r="HTM1" s="224"/>
      <c r="HTN1" s="224"/>
      <c r="HTO1" s="224"/>
      <c r="HTP1" s="224"/>
      <c r="HTQ1" s="224"/>
      <c r="HTR1" s="224"/>
      <c r="HTS1" s="224"/>
      <c r="HTT1" s="224"/>
      <c r="HTU1" s="224"/>
      <c r="HTV1" s="224"/>
      <c r="HTW1" s="224"/>
      <c r="HTX1" s="224"/>
      <c r="HTY1" s="224"/>
      <c r="HTZ1" s="224"/>
      <c r="HUA1" s="224"/>
      <c r="HUB1" s="224"/>
      <c r="HUC1" s="224"/>
      <c r="HUD1" s="224"/>
      <c r="HUE1" s="224"/>
      <c r="HUF1" s="224"/>
      <c r="HUG1" s="224"/>
      <c r="HUH1" s="224"/>
      <c r="HUI1" s="224"/>
      <c r="HUJ1" s="224"/>
      <c r="HUK1" s="224"/>
      <c r="HUL1" s="224"/>
      <c r="HUM1" s="224"/>
      <c r="HUN1" s="224"/>
      <c r="HUO1" s="224"/>
      <c r="HUP1" s="224"/>
      <c r="HUQ1" s="224"/>
      <c r="HUR1" s="224"/>
      <c r="HUS1" s="224"/>
      <c r="HUT1" s="224"/>
      <c r="HUU1" s="224"/>
      <c r="HUV1" s="224"/>
      <c r="HUW1" s="224"/>
      <c r="HUX1" s="224"/>
      <c r="HUY1" s="224"/>
      <c r="HUZ1" s="224"/>
      <c r="HVA1" s="224"/>
      <c r="HVB1" s="224"/>
      <c r="HVC1" s="224"/>
      <c r="HVD1" s="224"/>
      <c r="HVE1" s="224"/>
      <c r="HVF1" s="224"/>
      <c r="HVG1" s="224"/>
      <c r="HVH1" s="224"/>
      <c r="HVI1" s="224"/>
      <c r="HVJ1" s="224"/>
      <c r="HVK1" s="224"/>
      <c r="HVL1" s="224"/>
      <c r="HVM1" s="224"/>
      <c r="HVN1" s="224"/>
      <c r="HVO1" s="224"/>
      <c r="HVP1" s="224"/>
      <c r="HVQ1" s="224"/>
      <c r="HVR1" s="224"/>
      <c r="HVS1" s="224"/>
      <c r="HVT1" s="224"/>
      <c r="HVU1" s="224"/>
      <c r="HVV1" s="224"/>
      <c r="HVW1" s="224"/>
      <c r="HVX1" s="224"/>
      <c r="HVY1" s="224"/>
      <c r="HVZ1" s="224"/>
      <c r="HWA1" s="224"/>
      <c r="HWB1" s="224"/>
      <c r="HWC1" s="224"/>
      <c r="HWD1" s="224"/>
      <c r="HWE1" s="224"/>
      <c r="HWF1" s="224"/>
      <c r="HWG1" s="224"/>
      <c r="HWH1" s="224"/>
      <c r="HWI1" s="224"/>
      <c r="HWJ1" s="224"/>
      <c r="HWK1" s="224"/>
      <c r="HWL1" s="224"/>
      <c r="HWM1" s="224"/>
      <c r="HWN1" s="224"/>
      <c r="HWO1" s="224"/>
      <c r="HWP1" s="224"/>
      <c r="HWQ1" s="224"/>
      <c r="HWR1" s="224"/>
      <c r="HWS1" s="224"/>
      <c r="HWT1" s="224"/>
      <c r="HWU1" s="224"/>
      <c r="HWV1" s="224"/>
      <c r="HWW1" s="224"/>
      <c r="HWX1" s="224"/>
      <c r="HWY1" s="224"/>
      <c r="HWZ1" s="224"/>
      <c r="HXA1" s="224"/>
      <c r="HXB1" s="224"/>
      <c r="HXC1" s="224"/>
      <c r="HXD1" s="224"/>
      <c r="HXE1" s="224"/>
      <c r="HXF1" s="224"/>
      <c r="HXG1" s="224"/>
      <c r="HXH1" s="224"/>
      <c r="HXI1" s="224"/>
      <c r="HXJ1" s="224"/>
      <c r="HXK1" s="224"/>
      <c r="HXL1" s="224"/>
      <c r="HXM1" s="224"/>
      <c r="HXN1" s="224"/>
      <c r="HXO1" s="224"/>
      <c r="HXP1" s="224"/>
      <c r="HXQ1" s="224"/>
      <c r="HXR1" s="224"/>
      <c r="HXS1" s="224"/>
      <c r="HXT1" s="224"/>
      <c r="HXU1" s="224"/>
      <c r="HXV1" s="224"/>
      <c r="HXW1" s="224"/>
      <c r="HXX1" s="224"/>
      <c r="HXY1" s="224"/>
      <c r="HXZ1" s="224"/>
      <c r="HYA1" s="224"/>
      <c r="HYB1" s="224"/>
      <c r="HYC1" s="224"/>
      <c r="HYD1" s="224"/>
      <c r="HYE1" s="224"/>
      <c r="HYF1" s="224"/>
      <c r="HYG1" s="224"/>
      <c r="HYH1" s="224"/>
      <c r="HYI1" s="224"/>
      <c r="HYJ1" s="224"/>
      <c r="HYK1" s="224"/>
      <c r="HYL1" s="224"/>
      <c r="HYM1" s="224"/>
      <c r="HYN1" s="224"/>
      <c r="HYO1" s="224"/>
      <c r="HYP1" s="224"/>
      <c r="HYQ1" s="224"/>
      <c r="HYR1" s="224"/>
      <c r="HYS1" s="224"/>
      <c r="HYT1" s="224"/>
      <c r="HYU1" s="224"/>
      <c r="HYV1" s="224"/>
      <c r="HYW1" s="224"/>
      <c r="HYX1" s="224"/>
      <c r="HYY1" s="224"/>
      <c r="HYZ1" s="224"/>
      <c r="HZA1" s="224"/>
      <c r="HZB1" s="224"/>
      <c r="HZC1" s="224"/>
      <c r="HZD1" s="224"/>
      <c r="HZE1" s="224"/>
      <c r="HZF1" s="224"/>
      <c r="HZG1" s="224"/>
      <c r="HZH1" s="224"/>
      <c r="HZI1" s="224"/>
      <c r="HZJ1" s="224"/>
      <c r="HZK1" s="224"/>
      <c r="HZL1" s="224"/>
      <c r="HZM1" s="224"/>
      <c r="HZN1" s="224"/>
      <c r="HZO1" s="224"/>
      <c r="HZP1" s="224"/>
      <c r="HZQ1" s="224"/>
      <c r="HZR1" s="224"/>
      <c r="HZS1" s="224"/>
      <c r="HZT1" s="224"/>
      <c r="HZU1" s="224"/>
      <c r="HZV1" s="224"/>
      <c r="HZW1" s="224"/>
      <c r="HZX1" s="224"/>
      <c r="HZY1" s="224"/>
      <c r="HZZ1" s="224"/>
      <c r="IAA1" s="224"/>
      <c r="IAB1" s="224"/>
      <c r="IAC1" s="224"/>
      <c r="IAD1" s="224"/>
      <c r="IAE1" s="224"/>
      <c r="IAF1" s="224"/>
      <c r="IAG1" s="224"/>
      <c r="IAH1" s="224"/>
      <c r="IAI1" s="224"/>
      <c r="IAJ1" s="224"/>
      <c r="IAK1" s="224"/>
      <c r="IAL1" s="224"/>
      <c r="IAM1" s="224"/>
      <c r="IAN1" s="224"/>
      <c r="IAO1" s="224"/>
      <c r="IAP1" s="224"/>
      <c r="IAQ1" s="224"/>
      <c r="IAR1" s="224"/>
      <c r="IAS1" s="224"/>
      <c r="IAT1" s="224"/>
      <c r="IAU1" s="224"/>
      <c r="IAV1" s="224"/>
      <c r="IAW1" s="224"/>
      <c r="IAX1" s="224"/>
      <c r="IAY1" s="224"/>
      <c r="IAZ1" s="224"/>
      <c r="IBA1" s="224"/>
      <c r="IBB1" s="224"/>
      <c r="IBC1" s="224"/>
      <c r="IBD1" s="224"/>
      <c r="IBE1" s="224"/>
      <c r="IBF1" s="224"/>
      <c r="IBG1" s="224"/>
      <c r="IBH1" s="224"/>
      <c r="IBI1" s="224"/>
      <c r="IBJ1" s="224"/>
      <c r="IBK1" s="224"/>
      <c r="IBL1" s="224"/>
      <c r="IBM1" s="224"/>
      <c r="IBN1" s="224"/>
      <c r="IBO1" s="224"/>
      <c r="IBP1" s="224"/>
      <c r="IBQ1" s="224"/>
      <c r="IBR1" s="224"/>
      <c r="IBS1" s="224"/>
      <c r="IBT1" s="224"/>
      <c r="IBU1" s="224"/>
      <c r="IBV1" s="224"/>
      <c r="IBW1" s="224"/>
      <c r="IBX1" s="224"/>
      <c r="IBY1" s="224"/>
      <c r="IBZ1" s="224"/>
      <c r="ICA1" s="224"/>
      <c r="ICB1" s="224"/>
      <c r="ICC1" s="224"/>
      <c r="ICD1" s="224"/>
      <c r="ICE1" s="224"/>
      <c r="ICF1" s="224"/>
      <c r="ICG1" s="224"/>
      <c r="ICH1" s="224"/>
      <c r="ICI1" s="224"/>
      <c r="ICJ1" s="224"/>
      <c r="ICK1" s="224"/>
      <c r="ICL1" s="224"/>
      <c r="ICM1" s="224"/>
      <c r="ICN1" s="224"/>
      <c r="ICO1" s="224"/>
      <c r="ICP1" s="224"/>
      <c r="ICQ1" s="224"/>
      <c r="ICR1" s="224"/>
      <c r="ICS1" s="224"/>
      <c r="ICT1" s="224"/>
      <c r="ICU1" s="224"/>
      <c r="ICV1" s="224"/>
      <c r="ICW1" s="224"/>
      <c r="ICX1" s="224"/>
      <c r="ICY1" s="224"/>
      <c r="ICZ1" s="224"/>
      <c r="IDA1" s="224"/>
      <c r="IDB1" s="224"/>
      <c r="IDC1" s="224"/>
      <c r="IDD1" s="224"/>
      <c r="IDE1" s="224"/>
      <c r="IDF1" s="224"/>
      <c r="IDG1" s="224"/>
      <c r="IDH1" s="224"/>
      <c r="IDI1" s="224"/>
      <c r="IDJ1" s="224"/>
      <c r="IDK1" s="224"/>
      <c r="IDL1" s="224"/>
      <c r="IDM1" s="224"/>
      <c r="IDN1" s="224"/>
      <c r="IDO1" s="224"/>
      <c r="IDP1" s="224"/>
      <c r="IDQ1" s="224"/>
      <c r="IDR1" s="224"/>
      <c r="IDS1" s="224"/>
      <c r="IDT1" s="224"/>
      <c r="IDU1" s="224"/>
      <c r="IDV1" s="224"/>
      <c r="IDW1" s="224"/>
      <c r="IDX1" s="224"/>
      <c r="IDY1" s="224"/>
      <c r="IDZ1" s="224"/>
      <c r="IEA1" s="224"/>
      <c r="IEB1" s="224"/>
      <c r="IEC1" s="224"/>
      <c r="IED1" s="224"/>
      <c r="IEE1" s="224"/>
      <c r="IEF1" s="224"/>
      <c r="IEG1" s="224"/>
      <c r="IEH1" s="224"/>
      <c r="IEI1" s="224"/>
      <c r="IEJ1" s="224"/>
      <c r="IEK1" s="224"/>
      <c r="IEL1" s="224"/>
      <c r="IEM1" s="224"/>
      <c r="IEN1" s="224"/>
      <c r="IEO1" s="224"/>
      <c r="IEP1" s="224"/>
      <c r="IEQ1" s="224"/>
      <c r="IER1" s="224"/>
      <c r="IES1" s="224"/>
      <c r="IET1" s="224"/>
      <c r="IEU1" s="224"/>
      <c r="IEV1" s="224"/>
      <c r="IEW1" s="224"/>
      <c r="IEX1" s="224"/>
      <c r="IEY1" s="224"/>
      <c r="IEZ1" s="224"/>
      <c r="IFA1" s="224"/>
      <c r="IFB1" s="224"/>
      <c r="IFC1" s="224"/>
      <c r="IFD1" s="224"/>
      <c r="IFE1" s="224"/>
      <c r="IFF1" s="224"/>
      <c r="IFG1" s="224"/>
      <c r="IFH1" s="224"/>
      <c r="IFI1" s="224"/>
      <c r="IFJ1" s="224"/>
      <c r="IFK1" s="224"/>
      <c r="IFL1" s="224"/>
      <c r="IFM1" s="224"/>
      <c r="IFN1" s="224"/>
      <c r="IFO1" s="224"/>
      <c r="IFP1" s="224"/>
      <c r="IFQ1" s="224"/>
      <c r="IFR1" s="224"/>
      <c r="IFS1" s="224"/>
      <c r="IFT1" s="224"/>
      <c r="IFU1" s="224"/>
      <c r="IFV1" s="224"/>
      <c r="IFW1" s="224"/>
      <c r="IFX1" s="224"/>
      <c r="IFY1" s="224"/>
      <c r="IFZ1" s="224"/>
      <c r="IGA1" s="224"/>
      <c r="IGB1" s="224"/>
      <c r="IGC1" s="224"/>
      <c r="IGD1" s="224"/>
      <c r="IGE1" s="224"/>
      <c r="IGF1" s="224"/>
      <c r="IGG1" s="224"/>
      <c r="IGH1" s="224"/>
      <c r="IGI1" s="224"/>
      <c r="IGJ1" s="224"/>
      <c r="IGK1" s="224"/>
      <c r="IGL1" s="224"/>
      <c r="IGM1" s="224"/>
      <c r="IGN1" s="224"/>
      <c r="IGO1" s="224"/>
      <c r="IGP1" s="224"/>
      <c r="IGQ1" s="224"/>
      <c r="IGR1" s="224"/>
      <c r="IGS1" s="224"/>
      <c r="IGT1" s="224"/>
      <c r="IGU1" s="224"/>
      <c r="IGV1" s="224"/>
      <c r="IGW1" s="224"/>
      <c r="IGX1" s="224"/>
      <c r="IGY1" s="224"/>
      <c r="IGZ1" s="224"/>
      <c r="IHA1" s="224"/>
      <c r="IHB1" s="224"/>
      <c r="IHC1" s="224"/>
      <c r="IHD1" s="224"/>
      <c r="IHE1" s="224"/>
      <c r="IHF1" s="224"/>
      <c r="IHG1" s="224"/>
      <c r="IHH1" s="224"/>
      <c r="IHI1" s="224"/>
      <c r="IHJ1" s="224"/>
      <c r="IHK1" s="224"/>
      <c r="IHL1" s="224"/>
      <c r="IHM1" s="224"/>
      <c r="IHN1" s="224"/>
      <c r="IHO1" s="224"/>
      <c r="IHP1" s="224"/>
      <c r="IHQ1" s="224"/>
      <c r="IHR1" s="224"/>
      <c r="IHS1" s="224"/>
      <c r="IHT1" s="224"/>
      <c r="IHU1" s="224"/>
      <c r="IHV1" s="224"/>
      <c r="IHW1" s="224"/>
      <c r="IHX1" s="224"/>
      <c r="IHY1" s="224"/>
      <c r="IHZ1" s="224"/>
      <c r="IIA1" s="224"/>
      <c r="IIB1" s="224"/>
      <c r="IIC1" s="224"/>
      <c r="IID1" s="224"/>
      <c r="IIE1" s="224"/>
      <c r="IIF1" s="224"/>
      <c r="IIG1" s="224"/>
      <c r="IIH1" s="224"/>
      <c r="III1" s="224"/>
      <c r="IIJ1" s="224"/>
      <c r="IIK1" s="224"/>
      <c r="IIL1" s="224"/>
      <c r="IIM1" s="224"/>
      <c r="IIN1" s="224"/>
      <c r="IIO1" s="224"/>
      <c r="IIP1" s="224"/>
      <c r="IIQ1" s="224"/>
      <c r="IIR1" s="224"/>
      <c r="IIS1" s="224"/>
      <c r="IIT1" s="224"/>
      <c r="IIU1" s="224"/>
      <c r="IIV1" s="224"/>
      <c r="IIW1" s="224"/>
      <c r="IIX1" s="224"/>
      <c r="IIY1" s="224"/>
      <c r="IIZ1" s="224"/>
      <c r="IJA1" s="224"/>
      <c r="IJB1" s="224"/>
      <c r="IJC1" s="224"/>
      <c r="IJD1" s="224"/>
      <c r="IJE1" s="224"/>
      <c r="IJF1" s="224"/>
      <c r="IJG1" s="224"/>
      <c r="IJH1" s="224"/>
      <c r="IJI1" s="224"/>
      <c r="IJJ1" s="224"/>
      <c r="IJK1" s="224"/>
      <c r="IJL1" s="224"/>
      <c r="IJM1" s="224"/>
      <c r="IJN1" s="224"/>
      <c r="IJO1" s="224"/>
      <c r="IJP1" s="224"/>
      <c r="IJQ1" s="224"/>
      <c r="IJR1" s="224"/>
      <c r="IJS1" s="224"/>
      <c r="IJT1" s="224"/>
      <c r="IJU1" s="224"/>
      <c r="IJV1" s="224"/>
      <c r="IJW1" s="224"/>
      <c r="IJX1" s="224"/>
      <c r="IJY1" s="224"/>
      <c r="IJZ1" s="224"/>
      <c r="IKA1" s="224"/>
      <c r="IKB1" s="224"/>
      <c r="IKC1" s="224"/>
      <c r="IKD1" s="224"/>
      <c r="IKE1" s="224"/>
      <c r="IKF1" s="224"/>
      <c r="IKG1" s="224"/>
      <c r="IKH1" s="224"/>
      <c r="IKI1" s="224"/>
      <c r="IKJ1" s="224"/>
      <c r="IKK1" s="224"/>
      <c r="IKL1" s="224"/>
      <c r="IKM1" s="224"/>
      <c r="IKN1" s="224"/>
      <c r="IKO1" s="224"/>
      <c r="IKP1" s="224"/>
      <c r="IKQ1" s="224"/>
      <c r="IKR1" s="224"/>
      <c r="IKS1" s="224"/>
      <c r="IKT1" s="224"/>
      <c r="IKU1" s="224"/>
      <c r="IKV1" s="224"/>
      <c r="IKW1" s="224"/>
      <c r="IKX1" s="224"/>
      <c r="IKY1" s="224"/>
      <c r="IKZ1" s="224"/>
      <c r="ILA1" s="224"/>
      <c r="ILB1" s="224"/>
      <c r="ILC1" s="224"/>
      <c r="ILD1" s="224"/>
      <c r="ILE1" s="224"/>
      <c r="ILF1" s="224"/>
      <c r="ILG1" s="224"/>
      <c r="ILH1" s="224"/>
      <c r="ILI1" s="224"/>
      <c r="ILJ1" s="224"/>
      <c r="ILK1" s="224"/>
      <c r="ILL1" s="224"/>
      <c r="ILM1" s="224"/>
      <c r="ILN1" s="224"/>
      <c r="ILO1" s="224"/>
      <c r="ILP1" s="224"/>
      <c r="ILQ1" s="224"/>
      <c r="ILR1" s="224"/>
      <c r="ILS1" s="224"/>
      <c r="ILT1" s="224"/>
      <c r="ILU1" s="224"/>
      <c r="ILV1" s="224"/>
      <c r="ILW1" s="224"/>
      <c r="ILX1" s="224"/>
      <c r="ILY1" s="224"/>
      <c r="ILZ1" s="224"/>
      <c r="IMA1" s="224"/>
      <c r="IMB1" s="224"/>
      <c r="IMC1" s="224"/>
      <c r="IMD1" s="224"/>
      <c r="IME1" s="224"/>
      <c r="IMF1" s="224"/>
      <c r="IMG1" s="224"/>
      <c r="IMH1" s="224"/>
      <c r="IMI1" s="224"/>
      <c r="IMJ1" s="224"/>
      <c r="IMK1" s="224"/>
      <c r="IML1" s="224"/>
      <c r="IMM1" s="224"/>
      <c r="IMN1" s="224"/>
      <c r="IMO1" s="224"/>
      <c r="IMP1" s="224"/>
      <c r="IMQ1" s="224"/>
      <c r="IMR1" s="224"/>
      <c r="IMS1" s="224"/>
      <c r="IMT1" s="224"/>
      <c r="IMU1" s="224"/>
      <c r="IMV1" s="224"/>
      <c r="IMW1" s="224"/>
      <c r="IMX1" s="224"/>
      <c r="IMY1" s="224"/>
      <c r="IMZ1" s="224"/>
      <c r="INA1" s="224"/>
      <c r="INB1" s="224"/>
      <c r="INC1" s="224"/>
      <c r="IND1" s="224"/>
      <c r="INE1" s="224"/>
      <c r="INF1" s="224"/>
      <c r="ING1" s="224"/>
      <c r="INH1" s="224"/>
      <c r="INI1" s="224"/>
      <c r="INJ1" s="224"/>
      <c r="INK1" s="224"/>
      <c r="INL1" s="224"/>
      <c r="INM1" s="224"/>
      <c r="INN1" s="224"/>
      <c r="INO1" s="224"/>
      <c r="INP1" s="224"/>
      <c r="INQ1" s="224"/>
      <c r="INR1" s="224"/>
      <c r="INS1" s="224"/>
      <c r="INT1" s="224"/>
      <c r="INU1" s="224"/>
      <c r="INV1" s="224"/>
      <c r="INW1" s="224"/>
      <c r="INX1" s="224"/>
      <c r="INY1" s="224"/>
      <c r="INZ1" s="224"/>
      <c r="IOA1" s="224"/>
      <c r="IOB1" s="224"/>
      <c r="IOC1" s="224"/>
      <c r="IOD1" s="224"/>
      <c r="IOE1" s="224"/>
      <c r="IOF1" s="224"/>
      <c r="IOG1" s="224"/>
      <c r="IOH1" s="224"/>
      <c r="IOI1" s="224"/>
      <c r="IOJ1" s="224"/>
      <c r="IOK1" s="224"/>
      <c r="IOL1" s="224"/>
      <c r="IOM1" s="224"/>
      <c r="ION1" s="224"/>
      <c r="IOO1" s="224"/>
      <c r="IOP1" s="224"/>
      <c r="IOQ1" s="224"/>
      <c r="IOR1" s="224"/>
      <c r="IOS1" s="224"/>
      <c r="IOT1" s="224"/>
      <c r="IOU1" s="224"/>
      <c r="IOV1" s="224"/>
      <c r="IOW1" s="224"/>
      <c r="IOX1" s="224"/>
      <c r="IOY1" s="224"/>
      <c r="IOZ1" s="224"/>
      <c r="IPA1" s="224"/>
      <c r="IPB1" s="224"/>
      <c r="IPC1" s="224"/>
      <c r="IPD1" s="224"/>
      <c r="IPE1" s="224"/>
      <c r="IPF1" s="224"/>
      <c r="IPG1" s="224"/>
      <c r="IPH1" s="224"/>
      <c r="IPI1" s="224"/>
      <c r="IPJ1" s="224"/>
      <c r="IPK1" s="224"/>
      <c r="IPL1" s="224"/>
      <c r="IPM1" s="224"/>
      <c r="IPN1" s="224"/>
      <c r="IPO1" s="224"/>
      <c r="IPP1" s="224"/>
      <c r="IPQ1" s="224"/>
      <c r="IPR1" s="224"/>
      <c r="IPS1" s="224"/>
      <c r="IPT1" s="224"/>
      <c r="IPU1" s="224"/>
      <c r="IPV1" s="224"/>
      <c r="IPW1" s="224"/>
      <c r="IPX1" s="224"/>
      <c r="IPY1" s="224"/>
      <c r="IPZ1" s="224"/>
      <c r="IQA1" s="224"/>
      <c r="IQB1" s="224"/>
      <c r="IQC1" s="224"/>
      <c r="IQD1" s="224"/>
      <c r="IQE1" s="224"/>
      <c r="IQF1" s="224"/>
      <c r="IQG1" s="224"/>
      <c r="IQH1" s="224"/>
      <c r="IQI1" s="224"/>
      <c r="IQJ1" s="224"/>
      <c r="IQK1" s="224"/>
      <c r="IQL1" s="224"/>
      <c r="IQM1" s="224"/>
      <c r="IQN1" s="224"/>
      <c r="IQO1" s="224"/>
      <c r="IQP1" s="224"/>
      <c r="IQQ1" s="224"/>
      <c r="IQR1" s="224"/>
      <c r="IQS1" s="224"/>
      <c r="IQT1" s="224"/>
      <c r="IQU1" s="224"/>
      <c r="IQV1" s="224"/>
      <c r="IQW1" s="224"/>
      <c r="IQX1" s="224"/>
      <c r="IQY1" s="224"/>
      <c r="IQZ1" s="224"/>
      <c r="IRA1" s="224"/>
      <c r="IRB1" s="224"/>
      <c r="IRC1" s="224"/>
      <c r="IRD1" s="224"/>
      <c r="IRE1" s="224"/>
      <c r="IRF1" s="224"/>
      <c r="IRG1" s="224"/>
      <c r="IRH1" s="224"/>
      <c r="IRI1" s="224"/>
      <c r="IRJ1" s="224"/>
      <c r="IRK1" s="224"/>
      <c r="IRL1" s="224"/>
      <c r="IRM1" s="224"/>
      <c r="IRN1" s="224"/>
      <c r="IRO1" s="224"/>
      <c r="IRP1" s="224"/>
      <c r="IRQ1" s="224"/>
      <c r="IRR1" s="224"/>
      <c r="IRS1" s="224"/>
      <c r="IRT1" s="224"/>
      <c r="IRU1" s="224"/>
      <c r="IRV1" s="224"/>
      <c r="IRW1" s="224"/>
      <c r="IRX1" s="224"/>
      <c r="IRY1" s="224"/>
      <c r="IRZ1" s="224"/>
      <c r="ISA1" s="224"/>
      <c r="ISB1" s="224"/>
      <c r="ISC1" s="224"/>
      <c r="ISD1" s="224"/>
      <c r="ISE1" s="224"/>
      <c r="ISF1" s="224"/>
      <c r="ISG1" s="224"/>
      <c r="ISH1" s="224"/>
      <c r="ISI1" s="224"/>
      <c r="ISJ1" s="224"/>
      <c r="ISK1" s="224"/>
      <c r="ISL1" s="224"/>
      <c r="ISM1" s="224"/>
      <c r="ISN1" s="224"/>
      <c r="ISO1" s="224"/>
      <c r="ISP1" s="224"/>
      <c r="ISQ1" s="224"/>
      <c r="ISR1" s="224"/>
      <c r="ISS1" s="224"/>
      <c r="IST1" s="224"/>
      <c r="ISU1" s="224"/>
      <c r="ISV1" s="224"/>
      <c r="ISW1" s="224"/>
      <c r="ISX1" s="224"/>
      <c r="ISY1" s="224"/>
      <c r="ISZ1" s="224"/>
      <c r="ITA1" s="224"/>
      <c r="ITB1" s="224"/>
      <c r="ITC1" s="224"/>
      <c r="ITD1" s="224"/>
      <c r="ITE1" s="224"/>
      <c r="ITF1" s="224"/>
      <c r="ITG1" s="224"/>
      <c r="ITH1" s="224"/>
      <c r="ITI1" s="224"/>
      <c r="ITJ1" s="224"/>
      <c r="ITK1" s="224"/>
      <c r="ITL1" s="224"/>
      <c r="ITM1" s="224"/>
      <c r="ITN1" s="224"/>
      <c r="ITO1" s="224"/>
      <c r="ITP1" s="224"/>
      <c r="ITQ1" s="224"/>
      <c r="ITR1" s="224"/>
      <c r="ITS1" s="224"/>
      <c r="ITT1" s="224"/>
      <c r="ITU1" s="224"/>
      <c r="ITV1" s="224"/>
      <c r="ITW1" s="224"/>
      <c r="ITX1" s="224"/>
      <c r="ITY1" s="224"/>
      <c r="ITZ1" s="224"/>
      <c r="IUA1" s="224"/>
      <c r="IUB1" s="224"/>
      <c r="IUC1" s="224"/>
      <c r="IUD1" s="224"/>
      <c r="IUE1" s="224"/>
      <c r="IUF1" s="224"/>
      <c r="IUG1" s="224"/>
      <c r="IUH1" s="224"/>
      <c r="IUI1" s="224"/>
      <c r="IUJ1" s="224"/>
      <c r="IUK1" s="224"/>
      <c r="IUL1" s="224"/>
      <c r="IUM1" s="224"/>
      <c r="IUN1" s="224"/>
      <c r="IUO1" s="224"/>
      <c r="IUP1" s="224"/>
      <c r="IUQ1" s="224"/>
      <c r="IUR1" s="224"/>
      <c r="IUS1" s="224"/>
      <c r="IUT1" s="224"/>
      <c r="IUU1" s="224"/>
      <c r="IUV1" s="224"/>
      <c r="IUW1" s="224"/>
      <c r="IUX1" s="224"/>
      <c r="IUY1" s="224"/>
      <c r="IUZ1" s="224"/>
      <c r="IVA1" s="224"/>
      <c r="IVB1" s="224"/>
      <c r="IVC1" s="224"/>
      <c r="IVD1" s="224"/>
      <c r="IVE1" s="224"/>
      <c r="IVF1" s="224"/>
      <c r="IVG1" s="224"/>
      <c r="IVH1" s="224"/>
      <c r="IVI1" s="224"/>
      <c r="IVJ1" s="224"/>
      <c r="IVK1" s="224"/>
      <c r="IVL1" s="224"/>
      <c r="IVM1" s="224"/>
      <c r="IVN1" s="224"/>
      <c r="IVO1" s="224"/>
      <c r="IVP1" s="224"/>
      <c r="IVQ1" s="224"/>
      <c r="IVR1" s="224"/>
      <c r="IVS1" s="224"/>
      <c r="IVT1" s="224"/>
      <c r="IVU1" s="224"/>
      <c r="IVV1" s="224"/>
      <c r="IVW1" s="224"/>
      <c r="IVX1" s="224"/>
      <c r="IVY1" s="224"/>
      <c r="IVZ1" s="224"/>
      <c r="IWA1" s="224"/>
      <c r="IWB1" s="224"/>
      <c r="IWC1" s="224"/>
      <c r="IWD1" s="224"/>
      <c r="IWE1" s="224"/>
      <c r="IWF1" s="224"/>
      <c r="IWG1" s="224"/>
      <c r="IWH1" s="224"/>
      <c r="IWI1" s="224"/>
      <c r="IWJ1" s="224"/>
      <c r="IWK1" s="224"/>
      <c r="IWL1" s="224"/>
      <c r="IWM1" s="224"/>
      <c r="IWN1" s="224"/>
      <c r="IWO1" s="224"/>
      <c r="IWP1" s="224"/>
      <c r="IWQ1" s="224"/>
      <c r="IWR1" s="224"/>
      <c r="IWS1" s="224"/>
      <c r="IWT1" s="224"/>
      <c r="IWU1" s="224"/>
      <c r="IWV1" s="224"/>
      <c r="IWW1" s="224"/>
      <c r="IWX1" s="224"/>
      <c r="IWY1" s="224"/>
      <c r="IWZ1" s="224"/>
      <c r="IXA1" s="224"/>
      <c r="IXB1" s="224"/>
      <c r="IXC1" s="224"/>
      <c r="IXD1" s="224"/>
      <c r="IXE1" s="224"/>
      <c r="IXF1" s="224"/>
      <c r="IXG1" s="224"/>
      <c r="IXH1" s="224"/>
      <c r="IXI1" s="224"/>
      <c r="IXJ1" s="224"/>
      <c r="IXK1" s="224"/>
      <c r="IXL1" s="224"/>
      <c r="IXM1" s="224"/>
      <c r="IXN1" s="224"/>
      <c r="IXO1" s="224"/>
      <c r="IXP1" s="224"/>
      <c r="IXQ1" s="224"/>
      <c r="IXR1" s="224"/>
      <c r="IXS1" s="224"/>
      <c r="IXT1" s="224"/>
      <c r="IXU1" s="224"/>
      <c r="IXV1" s="224"/>
      <c r="IXW1" s="224"/>
      <c r="IXX1" s="224"/>
      <c r="IXY1" s="224"/>
      <c r="IXZ1" s="224"/>
      <c r="IYA1" s="224"/>
      <c r="IYB1" s="224"/>
      <c r="IYC1" s="224"/>
      <c r="IYD1" s="224"/>
      <c r="IYE1" s="224"/>
      <c r="IYF1" s="224"/>
      <c r="IYG1" s="224"/>
      <c r="IYH1" s="224"/>
      <c r="IYI1" s="224"/>
      <c r="IYJ1" s="224"/>
      <c r="IYK1" s="224"/>
      <c r="IYL1" s="224"/>
      <c r="IYM1" s="224"/>
      <c r="IYN1" s="224"/>
      <c r="IYO1" s="224"/>
      <c r="IYP1" s="224"/>
      <c r="IYQ1" s="224"/>
      <c r="IYR1" s="224"/>
      <c r="IYS1" s="224"/>
      <c r="IYT1" s="224"/>
      <c r="IYU1" s="224"/>
      <c r="IYV1" s="224"/>
      <c r="IYW1" s="224"/>
      <c r="IYX1" s="224"/>
      <c r="IYY1" s="224"/>
      <c r="IYZ1" s="224"/>
      <c r="IZA1" s="224"/>
      <c r="IZB1" s="224"/>
      <c r="IZC1" s="224"/>
      <c r="IZD1" s="224"/>
      <c r="IZE1" s="224"/>
      <c r="IZF1" s="224"/>
      <c r="IZG1" s="224"/>
      <c r="IZH1" s="224"/>
      <c r="IZI1" s="224"/>
      <c r="IZJ1" s="224"/>
      <c r="IZK1" s="224"/>
      <c r="IZL1" s="224"/>
      <c r="IZM1" s="224"/>
      <c r="IZN1" s="224"/>
      <c r="IZO1" s="224"/>
      <c r="IZP1" s="224"/>
      <c r="IZQ1" s="224"/>
      <c r="IZR1" s="224"/>
      <c r="IZS1" s="224"/>
      <c r="IZT1" s="224"/>
      <c r="IZU1" s="224"/>
      <c r="IZV1" s="224"/>
      <c r="IZW1" s="224"/>
      <c r="IZX1" s="224"/>
      <c r="IZY1" s="224"/>
      <c r="IZZ1" s="224"/>
      <c r="JAA1" s="224"/>
      <c r="JAB1" s="224"/>
      <c r="JAC1" s="224"/>
      <c r="JAD1" s="224"/>
      <c r="JAE1" s="224"/>
      <c r="JAF1" s="224"/>
      <c r="JAG1" s="224"/>
      <c r="JAH1" s="224"/>
      <c r="JAI1" s="224"/>
      <c r="JAJ1" s="224"/>
      <c r="JAK1" s="224"/>
      <c r="JAL1" s="224"/>
      <c r="JAM1" s="224"/>
      <c r="JAN1" s="224"/>
      <c r="JAO1" s="224"/>
      <c r="JAP1" s="224"/>
      <c r="JAQ1" s="224"/>
      <c r="JAR1" s="224"/>
      <c r="JAS1" s="224"/>
      <c r="JAT1" s="224"/>
      <c r="JAU1" s="224"/>
      <c r="JAV1" s="224"/>
      <c r="JAW1" s="224"/>
      <c r="JAX1" s="224"/>
      <c r="JAY1" s="224"/>
      <c r="JAZ1" s="224"/>
      <c r="JBA1" s="224"/>
      <c r="JBB1" s="224"/>
      <c r="JBC1" s="224"/>
      <c r="JBD1" s="224"/>
      <c r="JBE1" s="224"/>
      <c r="JBF1" s="224"/>
      <c r="JBG1" s="224"/>
      <c r="JBH1" s="224"/>
      <c r="JBI1" s="224"/>
      <c r="JBJ1" s="224"/>
      <c r="JBK1" s="224"/>
      <c r="JBL1" s="224"/>
      <c r="JBM1" s="224"/>
      <c r="JBN1" s="224"/>
      <c r="JBO1" s="224"/>
      <c r="JBP1" s="224"/>
      <c r="JBQ1" s="224"/>
      <c r="JBR1" s="224"/>
      <c r="JBS1" s="224"/>
      <c r="JBT1" s="224"/>
      <c r="JBU1" s="224"/>
      <c r="JBV1" s="224"/>
      <c r="JBW1" s="224"/>
      <c r="JBX1" s="224"/>
      <c r="JBY1" s="224"/>
      <c r="JBZ1" s="224"/>
      <c r="JCA1" s="224"/>
      <c r="JCB1" s="224"/>
      <c r="JCC1" s="224"/>
      <c r="JCD1" s="224"/>
      <c r="JCE1" s="224"/>
      <c r="JCF1" s="224"/>
      <c r="JCG1" s="224"/>
      <c r="JCH1" s="224"/>
      <c r="JCI1" s="224"/>
      <c r="JCJ1" s="224"/>
      <c r="JCK1" s="224"/>
      <c r="JCL1" s="224"/>
      <c r="JCM1" s="224"/>
      <c r="JCN1" s="224"/>
      <c r="JCO1" s="224"/>
      <c r="JCP1" s="224"/>
      <c r="JCQ1" s="224"/>
      <c r="JCR1" s="224"/>
      <c r="JCS1" s="224"/>
      <c r="JCT1" s="224"/>
      <c r="JCU1" s="224"/>
      <c r="JCV1" s="224"/>
      <c r="JCW1" s="224"/>
      <c r="JCX1" s="224"/>
      <c r="JCY1" s="224"/>
      <c r="JCZ1" s="224"/>
      <c r="JDA1" s="224"/>
      <c r="JDB1" s="224"/>
      <c r="JDC1" s="224"/>
      <c r="JDD1" s="224"/>
      <c r="JDE1" s="224"/>
      <c r="JDF1" s="224"/>
      <c r="JDG1" s="224"/>
      <c r="JDH1" s="224"/>
      <c r="JDI1" s="224"/>
      <c r="JDJ1" s="224"/>
      <c r="JDK1" s="224"/>
      <c r="JDL1" s="224"/>
      <c r="JDM1" s="224"/>
      <c r="JDN1" s="224"/>
      <c r="JDO1" s="224"/>
      <c r="JDP1" s="224"/>
      <c r="JDQ1" s="224"/>
      <c r="JDR1" s="224"/>
      <c r="JDS1" s="224"/>
      <c r="JDT1" s="224"/>
      <c r="JDU1" s="224"/>
      <c r="JDV1" s="224"/>
      <c r="JDW1" s="224"/>
      <c r="JDX1" s="224"/>
      <c r="JDY1" s="224"/>
      <c r="JDZ1" s="224"/>
      <c r="JEA1" s="224"/>
      <c r="JEB1" s="224"/>
      <c r="JEC1" s="224"/>
      <c r="JED1" s="224"/>
      <c r="JEE1" s="224"/>
      <c r="JEF1" s="224"/>
      <c r="JEG1" s="224"/>
      <c r="JEH1" s="224"/>
      <c r="JEI1" s="224"/>
      <c r="JEJ1" s="224"/>
      <c r="JEK1" s="224"/>
      <c r="JEL1" s="224"/>
      <c r="JEM1" s="224"/>
      <c r="JEN1" s="224"/>
      <c r="JEO1" s="224"/>
      <c r="JEP1" s="224"/>
      <c r="JEQ1" s="224"/>
      <c r="JER1" s="224"/>
      <c r="JES1" s="224"/>
      <c r="JET1" s="224"/>
      <c r="JEU1" s="224"/>
      <c r="JEV1" s="224"/>
      <c r="JEW1" s="224"/>
      <c r="JEX1" s="224"/>
      <c r="JEY1" s="224"/>
      <c r="JEZ1" s="224"/>
      <c r="JFA1" s="224"/>
      <c r="JFB1" s="224"/>
      <c r="JFC1" s="224"/>
      <c r="JFD1" s="224"/>
      <c r="JFE1" s="224"/>
      <c r="JFF1" s="224"/>
      <c r="JFG1" s="224"/>
      <c r="JFH1" s="224"/>
      <c r="JFI1" s="224"/>
      <c r="JFJ1" s="224"/>
      <c r="JFK1" s="224"/>
      <c r="JFL1" s="224"/>
      <c r="JFM1" s="224"/>
      <c r="JFN1" s="224"/>
      <c r="JFO1" s="224"/>
      <c r="JFP1" s="224"/>
      <c r="JFQ1" s="224"/>
      <c r="JFR1" s="224"/>
      <c r="JFS1" s="224"/>
      <c r="JFT1" s="224"/>
      <c r="JFU1" s="224"/>
      <c r="JFV1" s="224"/>
      <c r="JFW1" s="224"/>
      <c r="JFX1" s="224"/>
      <c r="JFY1" s="224"/>
      <c r="JFZ1" s="224"/>
      <c r="JGA1" s="224"/>
      <c r="JGB1" s="224"/>
      <c r="JGC1" s="224"/>
      <c r="JGD1" s="224"/>
      <c r="JGE1" s="224"/>
      <c r="JGF1" s="224"/>
      <c r="JGG1" s="224"/>
      <c r="JGH1" s="224"/>
      <c r="JGI1" s="224"/>
      <c r="JGJ1" s="224"/>
      <c r="JGK1" s="224"/>
      <c r="JGL1" s="224"/>
      <c r="JGM1" s="224"/>
      <c r="JGN1" s="224"/>
      <c r="JGO1" s="224"/>
      <c r="JGP1" s="224"/>
      <c r="JGQ1" s="224"/>
      <c r="JGR1" s="224"/>
      <c r="JGS1" s="224"/>
      <c r="JGT1" s="224"/>
      <c r="JGU1" s="224"/>
      <c r="JGV1" s="224"/>
      <c r="JGW1" s="224"/>
      <c r="JGX1" s="224"/>
      <c r="JGY1" s="224"/>
      <c r="JGZ1" s="224"/>
      <c r="JHA1" s="224"/>
      <c r="JHB1" s="224"/>
      <c r="JHC1" s="224"/>
      <c r="JHD1" s="224"/>
      <c r="JHE1" s="224"/>
      <c r="JHF1" s="224"/>
      <c r="JHG1" s="224"/>
      <c r="JHH1" s="224"/>
      <c r="JHI1" s="224"/>
      <c r="JHJ1" s="224"/>
      <c r="JHK1" s="224"/>
      <c r="JHL1" s="224"/>
      <c r="JHM1" s="224"/>
      <c r="JHN1" s="224"/>
      <c r="JHO1" s="224"/>
      <c r="JHP1" s="224"/>
      <c r="JHQ1" s="224"/>
      <c r="JHR1" s="224"/>
      <c r="JHS1" s="224"/>
      <c r="JHT1" s="224"/>
      <c r="JHU1" s="224"/>
      <c r="JHV1" s="224"/>
      <c r="JHW1" s="224"/>
      <c r="JHX1" s="224"/>
      <c r="JHY1" s="224"/>
      <c r="JHZ1" s="224"/>
      <c r="JIA1" s="224"/>
      <c r="JIB1" s="224"/>
      <c r="JIC1" s="224"/>
      <c r="JID1" s="224"/>
      <c r="JIE1" s="224"/>
      <c r="JIF1" s="224"/>
      <c r="JIG1" s="224"/>
      <c r="JIH1" s="224"/>
      <c r="JII1" s="224"/>
      <c r="JIJ1" s="224"/>
      <c r="JIK1" s="224"/>
      <c r="JIL1" s="224"/>
      <c r="JIM1" s="224"/>
      <c r="JIN1" s="224"/>
      <c r="JIO1" s="224"/>
      <c r="JIP1" s="224"/>
      <c r="JIQ1" s="224"/>
      <c r="JIR1" s="224"/>
      <c r="JIS1" s="224"/>
      <c r="JIT1" s="224"/>
      <c r="JIU1" s="224"/>
      <c r="JIV1" s="224"/>
      <c r="JIW1" s="224"/>
      <c r="JIX1" s="224"/>
      <c r="JIY1" s="224"/>
      <c r="JIZ1" s="224"/>
      <c r="JJA1" s="224"/>
      <c r="JJB1" s="224"/>
      <c r="JJC1" s="224"/>
      <c r="JJD1" s="224"/>
      <c r="JJE1" s="224"/>
      <c r="JJF1" s="224"/>
      <c r="JJG1" s="224"/>
      <c r="JJH1" s="224"/>
      <c r="JJI1" s="224"/>
      <c r="JJJ1" s="224"/>
      <c r="JJK1" s="224"/>
      <c r="JJL1" s="224"/>
      <c r="JJM1" s="224"/>
      <c r="JJN1" s="224"/>
      <c r="JJO1" s="224"/>
      <c r="JJP1" s="224"/>
      <c r="JJQ1" s="224"/>
      <c r="JJR1" s="224"/>
      <c r="JJS1" s="224"/>
      <c r="JJT1" s="224"/>
      <c r="JJU1" s="224"/>
      <c r="JJV1" s="224"/>
      <c r="JJW1" s="224"/>
      <c r="JJX1" s="224"/>
      <c r="JJY1" s="224"/>
      <c r="JJZ1" s="224"/>
      <c r="JKA1" s="224"/>
      <c r="JKB1" s="224"/>
      <c r="JKC1" s="224"/>
      <c r="JKD1" s="224"/>
      <c r="JKE1" s="224"/>
      <c r="JKF1" s="224"/>
      <c r="JKG1" s="224"/>
      <c r="JKH1" s="224"/>
      <c r="JKI1" s="224"/>
      <c r="JKJ1" s="224"/>
      <c r="JKK1" s="224"/>
      <c r="JKL1" s="224"/>
      <c r="JKM1" s="224"/>
      <c r="JKN1" s="224"/>
      <c r="JKO1" s="224"/>
      <c r="JKP1" s="224"/>
      <c r="JKQ1" s="224"/>
      <c r="JKR1" s="224"/>
      <c r="JKS1" s="224"/>
      <c r="JKT1" s="224"/>
      <c r="JKU1" s="224"/>
      <c r="JKV1" s="224"/>
      <c r="JKW1" s="224"/>
      <c r="JKX1" s="224"/>
      <c r="JKY1" s="224"/>
      <c r="JKZ1" s="224"/>
      <c r="JLA1" s="224"/>
      <c r="JLB1" s="224"/>
      <c r="JLC1" s="224"/>
      <c r="JLD1" s="224"/>
      <c r="JLE1" s="224"/>
      <c r="JLF1" s="224"/>
      <c r="JLG1" s="224"/>
      <c r="JLH1" s="224"/>
      <c r="JLI1" s="224"/>
      <c r="JLJ1" s="224"/>
      <c r="JLK1" s="224"/>
      <c r="JLL1" s="224"/>
      <c r="JLM1" s="224"/>
      <c r="JLN1" s="224"/>
      <c r="JLO1" s="224"/>
      <c r="JLP1" s="224"/>
      <c r="JLQ1" s="224"/>
      <c r="JLR1" s="224"/>
      <c r="JLS1" s="224"/>
      <c r="JLT1" s="224"/>
      <c r="JLU1" s="224"/>
      <c r="JLV1" s="224"/>
      <c r="JLW1" s="224"/>
      <c r="JLX1" s="224"/>
      <c r="JLY1" s="224"/>
      <c r="JLZ1" s="224"/>
      <c r="JMA1" s="224"/>
      <c r="JMB1" s="224"/>
      <c r="JMC1" s="224"/>
      <c r="JMD1" s="224"/>
      <c r="JME1" s="224"/>
      <c r="JMF1" s="224"/>
      <c r="JMG1" s="224"/>
      <c r="JMH1" s="224"/>
      <c r="JMI1" s="224"/>
      <c r="JMJ1" s="224"/>
      <c r="JMK1" s="224"/>
      <c r="JML1" s="224"/>
      <c r="JMM1" s="224"/>
      <c r="JMN1" s="224"/>
      <c r="JMO1" s="224"/>
      <c r="JMP1" s="224"/>
      <c r="JMQ1" s="224"/>
      <c r="JMR1" s="224"/>
      <c r="JMS1" s="224"/>
      <c r="JMT1" s="224"/>
      <c r="JMU1" s="224"/>
      <c r="JMV1" s="224"/>
      <c r="JMW1" s="224"/>
      <c r="JMX1" s="224"/>
      <c r="JMY1" s="224"/>
      <c r="JMZ1" s="224"/>
      <c r="JNA1" s="224"/>
      <c r="JNB1" s="224"/>
      <c r="JNC1" s="224"/>
      <c r="JND1" s="224"/>
      <c r="JNE1" s="224"/>
      <c r="JNF1" s="224"/>
      <c r="JNG1" s="224"/>
      <c r="JNH1" s="224"/>
      <c r="JNI1" s="224"/>
      <c r="JNJ1" s="224"/>
      <c r="JNK1" s="224"/>
      <c r="JNL1" s="224"/>
      <c r="JNM1" s="224"/>
      <c r="JNN1" s="224"/>
      <c r="JNO1" s="224"/>
      <c r="JNP1" s="224"/>
      <c r="JNQ1" s="224"/>
      <c r="JNR1" s="224"/>
      <c r="JNS1" s="224"/>
      <c r="JNT1" s="224"/>
      <c r="JNU1" s="224"/>
      <c r="JNV1" s="224"/>
      <c r="JNW1" s="224"/>
      <c r="JNX1" s="224"/>
      <c r="JNY1" s="224"/>
      <c r="JNZ1" s="224"/>
      <c r="JOA1" s="224"/>
      <c r="JOB1" s="224"/>
      <c r="JOC1" s="224"/>
      <c r="JOD1" s="224"/>
      <c r="JOE1" s="224"/>
      <c r="JOF1" s="224"/>
      <c r="JOG1" s="224"/>
      <c r="JOH1" s="224"/>
      <c r="JOI1" s="224"/>
      <c r="JOJ1" s="224"/>
      <c r="JOK1" s="224"/>
      <c r="JOL1" s="224"/>
      <c r="JOM1" s="224"/>
      <c r="JON1" s="224"/>
      <c r="JOO1" s="224"/>
      <c r="JOP1" s="224"/>
      <c r="JOQ1" s="224"/>
      <c r="JOR1" s="224"/>
      <c r="JOS1" s="224"/>
      <c r="JOT1" s="224"/>
      <c r="JOU1" s="224"/>
      <c r="JOV1" s="224"/>
      <c r="JOW1" s="224"/>
      <c r="JOX1" s="224"/>
      <c r="JOY1" s="224"/>
      <c r="JOZ1" s="224"/>
      <c r="JPA1" s="224"/>
      <c r="JPB1" s="224"/>
      <c r="JPC1" s="224"/>
      <c r="JPD1" s="224"/>
      <c r="JPE1" s="224"/>
      <c r="JPF1" s="224"/>
      <c r="JPG1" s="224"/>
      <c r="JPH1" s="224"/>
      <c r="JPI1" s="224"/>
      <c r="JPJ1" s="224"/>
      <c r="JPK1" s="224"/>
      <c r="JPL1" s="224"/>
      <c r="JPM1" s="224"/>
      <c r="JPN1" s="224"/>
      <c r="JPO1" s="224"/>
      <c r="JPP1" s="224"/>
      <c r="JPQ1" s="224"/>
      <c r="JPR1" s="224"/>
      <c r="JPS1" s="224"/>
      <c r="JPT1" s="224"/>
      <c r="JPU1" s="224"/>
      <c r="JPV1" s="224"/>
      <c r="JPW1" s="224"/>
      <c r="JPX1" s="224"/>
      <c r="JPY1" s="224"/>
      <c r="JPZ1" s="224"/>
      <c r="JQA1" s="224"/>
      <c r="JQB1" s="224"/>
      <c r="JQC1" s="224"/>
      <c r="JQD1" s="224"/>
      <c r="JQE1" s="224"/>
      <c r="JQF1" s="224"/>
      <c r="JQG1" s="224"/>
      <c r="JQH1" s="224"/>
      <c r="JQI1" s="224"/>
      <c r="JQJ1" s="224"/>
      <c r="JQK1" s="224"/>
      <c r="JQL1" s="224"/>
      <c r="JQM1" s="224"/>
      <c r="JQN1" s="224"/>
      <c r="JQO1" s="224"/>
      <c r="JQP1" s="224"/>
      <c r="JQQ1" s="224"/>
      <c r="JQR1" s="224"/>
      <c r="JQS1" s="224"/>
      <c r="JQT1" s="224"/>
      <c r="JQU1" s="224"/>
      <c r="JQV1" s="224"/>
      <c r="JQW1" s="224"/>
      <c r="JQX1" s="224"/>
      <c r="JQY1" s="224"/>
      <c r="JQZ1" s="224"/>
      <c r="JRA1" s="224"/>
      <c r="JRB1" s="224"/>
      <c r="JRC1" s="224"/>
      <c r="JRD1" s="224"/>
      <c r="JRE1" s="224"/>
      <c r="JRF1" s="224"/>
      <c r="JRG1" s="224"/>
      <c r="JRH1" s="224"/>
      <c r="JRI1" s="224"/>
      <c r="JRJ1" s="224"/>
      <c r="JRK1" s="224"/>
      <c r="JRL1" s="224"/>
      <c r="JRM1" s="224"/>
      <c r="JRN1" s="224"/>
      <c r="JRO1" s="224"/>
      <c r="JRP1" s="224"/>
      <c r="JRQ1" s="224"/>
      <c r="JRR1" s="224"/>
      <c r="JRS1" s="224"/>
      <c r="JRT1" s="224"/>
      <c r="JRU1" s="224"/>
      <c r="JRV1" s="224"/>
      <c r="JRW1" s="224"/>
      <c r="JRX1" s="224"/>
      <c r="JRY1" s="224"/>
      <c r="JRZ1" s="224"/>
      <c r="JSA1" s="224"/>
      <c r="JSB1" s="224"/>
      <c r="JSC1" s="224"/>
      <c r="JSD1" s="224"/>
      <c r="JSE1" s="224"/>
      <c r="JSF1" s="224"/>
      <c r="JSG1" s="224"/>
      <c r="JSH1" s="224"/>
      <c r="JSI1" s="224"/>
      <c r="JSJ1" s="224"/>
      <c r="JSK1" s="224"/>
      <c r="JSL1" s="224"/>
      <c r="JSM1" s="224"/>
      <c r="JSN1" s="224"/>
      <c r="JSO1" s="224"/>
      <c r="JSP1" s="224"/>
      <c r="JSQ1" s="224"/>
      <c r="JSR1" s="224"/>
      <c r="JSS1" s="224"/>
      <c r="JST1" s="224"/>
      <c r="JSU1" s="224"/>
      <c r="JSV1" s="224"/>
      <c r="JSW1" s="224"/>
      <c r="JSX1" s="224"/>
      <c r="JSY1" s="224"/>
      <c r="JSZ1" s="224"/>
      <c r="JTA1" s="224"/>
      <c r="JTB1" s="224"/>
      <c r="JTC1" s="224"/>
      <c r="JTD1" s="224"/>
      <c r="JTE1" s="224"/>
      <c r="JTF1" s="224"/>
      <c r="JTG1" s="224"/>
      <c r="JTH1" s="224"/>
      <c r="JTI1" s="224"/>
      <c r="JTJ1" s="224"/>
      <c r="JTK1" s="224"/>
      <c r="JTL1" s="224"/>
      <c r="JTM1" s="224"/>
      <c r="JTN1" s="224"/>
      <c r="JTO1" s="224"/>
      <c r="JTP1" s="224"/>
      <c r="JTQ1" s="224"/>
      <c r="JTR1" s="224"/>
      <c r="JTS1" s="224"/>
      <c r="JTT1" s="224"/>
      <c r="JTU1" s="224"/>
      <c r="JTV1" s="224"/>
      <c r="JTW1" s="224"/>
      <c r="JTX1" s="224"/>
      <c r="JTY1" s="224"/>
      <c r="JTZ1" s="224"/>
      <c r="JUA1" s="224"/>
      <c r="JUB1" s="224"/>
      <c r="JUC1" s="224"/>
      <c r="JUD1" s="224"/>
      <c r="JUE1" s="224"/>
      <c r="JUF1" s="224"/>
      <c r="JUG1" s="224"/>
      <c r="JUH1" s="224"/>
      <c r="JUI1" s="224"/>
      <c r="JUJ1" s="224"/>
      <c r="JUK1" s="224"/>
      <c r="JUL1" s="224"/>
      <c r="JUM1" s="224"/>
      <c r="JUN1" s="224"/>
      <c r="JUO1" s="224"/>
      <c r="JUP1" s="224"/>
      <c r="JUQ1" s="224"/>
      <c r="JUR1" s="224"/>
      <c r="JUS1" s="224"/>
      <c r="JUT1" s="224"/>
      <c r="JUU1" s="224"/>
      <c r="JUV1" s="224"/>
      <c r="JUW1" s="224"/>
      <c r="JUX1" s="224"/>
      <c r="JUY1" s="224"/>
      <c r="JUZ1" s="224"/>
      <c r="JVA1" s="224"/>
      <c r="JVB1" s="224"/>
      <c r="JVC1" s="224"/>
      <c r="JVD1" s="224"/>
      <c r="JVE1" s="224"/>
      <c r="JVF1" s="224"/>
      <c r="JVG1" s="224"/>
      <c r="JVH1" s="224"/>
      <c r="JVI1" s="224"/>
      <c r="JVJ1" s="224"/>
      <c r="JVK1" s="224"/>
      <c r="JVL1" s="224"/>
      <c r="JVM1" s="224"/>
      <c r="JVN1" s="224"/>
      <c r="JVO1" s="224"/>
      <c r="JVP1" s="224"/>
      <c r="JVQ1" s="224"/>
      <c r="JVR1" s="224"/>
      <c r="JVS1" s="224"/>
      <c r="JVT1" s="224"/>
      <c r="JVU1" s="224"/>
      <c r="JVV1" s="224"/>
      <c r="JVW1" s="224"/>
      <c r="JVX1" s="224"/>
      <c r="JVY1" s="224"/>
      <c r="JVZ1" s="224"/>
      <c r="JWA1" s="224"/>
      <c r="JWB1" s="224"/>
      <c r="JWC1" s="224"/>
      <c r="JWD1" s="224"/>
      <c r="JWE1" s="224"/>
      <c r="JWF1" s="224"/>
      <c r="JWG1" s="224"/>
      <c r="JWH1" s="224"/>
      <c r="JWI1" s="224"/>
      <c r="JWJ1" s="224"/>
      <c r="JWK1" s="224"/>
      <c r="JWL1" s="224"/>
      <c r="JWM1" s="224"/>
      <c r="JWN1" s="224"/>
      <c r="JWO1" s="224"/>
      <c r="JWP1" s="224"/>
      <c r="JWQ1" s="224"/>
      <c r="JWR1" s="224"/>
      <c r="JWS1" s="224"/>
      <c r="JWT1" s="224"/>
      <c r="JWU1" s="224"/>
      <c r="JWV1" s="224"/>
      <c r="JWW1" s="224"/>
      <c r="JWX1" s="224"/>
      <c r="JWY1" s="224"/>
      <c r="JWZ1" s="224"/>
      <c r="JXA1" s="224"/>
      <c r="JXB1" s="224"/>
      <c r="JXC1" s="224"/>
      <c r="JXD1" s="224"/>
      <c r="JXE1" s="224"/>
      <c r="JXF1" s="224"/>
      <c r="JXG1" s="224"/>
      <c r="JXH1" s="224"/>
      <c r="JXI1" s="224"/>
      <c r="JXJ1" s="224"/>
      <c r="JXK1" s="224"/>
      <c r="JXL1" s="224"/>
      <c r="JXM1" s="224"/>
      <c r="JXN1" s="224"/>
      <c r="JXO1" s="224"/>
      <c r="JXP1" s="224"/>
      <c r="JXQ1" s="224"/>
      <c r="JXR1" s="224"/>
      <c r="JXS1" s="224"/>
      <c r="JXT1" s="224"/>
      <c r="JXU1" s="224"/>
      <c r="JXV1" s="224"/>
      <c r="JXW1" s="224"/>
      <c r="JXX1" s="224"/>
      <c r="JXY1" s="224"/>
      <c r="JXZ1" s="224"/>
      <c r="JYA1" s="224"/>
      <c r="JYB1" s="224"/>
      <c r="JYC1" s="224"/>
      <c r="JYD1" s="224"/>
      <c r="JYE1" s="224"/>
      <c r="JYF1" s="224"/>
      <c r="JYG1" s="224"/>
      <c r="JYH1" s="224"/>
      <c r="JYI1" s="224"/>
      <c r="JYJ1" s="224"/>
      <c r="JYK1" s="224"/>
      <c r="JYL1" s="224"/>
      <c r="JYM1" s="224"/>
      <c r="JYN1" s="224"/>
      <c r="JYO1" s="224"/>
      <c r="JYP1" s="224"/>
      <c r="JYQ1" s="224"/>
      <c r="JYR1" s="224"/>
      <c r="JYS1" s="224"/>
      <c r="JYT1" s="224"/>
      <c r="JYU1" s="224"/>
      <c r="JYV1" s="224"/>
      <c r="JYW1" s="224"/>
      <c r="JYX1" s="224"/>
      <c r="JYY1" s="224"/>
      <c r="JYZ1" s="224"/>
      <c r="JZA1" s="224"/>
      <c r="JZB1" s="224"/>
      <c r="JZC1" s="224"/>
      <c r="JZD1" s="224"/>
      <c r="JZE1" s="224"/>
      <c r="JZF1" s="224"/>
      <c r="JZG1" s="224"/>
      <c r="JZH1" s="224"/>
      <c r="JZI1" s="224"/>
      <c r="JZJ1" s="224"/>
      <c r="JZK1" s="224"/>
      <c r="JZL1" s="224"/>
      <c r="JZM1" s="224"/>
      <c r="JZN1" s="224"/>
      <c r="JZO1" s="224"/>
      <c r="JZP1" s="224"/>
      <c r="JZQ1" s="224"/>
      <c r="JZR1" s="224"/>
      <c r="JZS1" s="224"/>
      <c r="JZT1" s="224"/>
      <c r="JZU1" s="224"/>
      <c r="JZV1" s="224"/>
      <c r="JZW1" s="224"/>
      <c r="JZX1" s="224"/>
      <c r="JZY1" s="224"/>
      <c r="JZZ1" s="224"/>
      <c r="KAA1" s="224"/>
      <c r="KAB1" s="224"/>
      <c r="KAC1" s="224"/>
      <c r="KAD1" s="224"/>
      <c r="KAE1" s="224"/>
      <c r="KAF1" s="224"/>
      <c r="KAG1" s="224"/>
      <c r="KAH1" s="224"/>
      <c r="KAI1" s="224"/>
      <c r="KAJ1" s="224"/>
      <c r="KAK1" s="224"/>
      <c r="KAL1" s="224"/>
      <c r="KAM1" s="224"/>
      <c r="KAN1" s="224"/>
      <c r="KAO1" s="224"/>
      <c r="KAP1" s="224"/>
      <c r="KAQ1" s="224"/>
      <c r="KAR1" s="224"/>
      <c r="KAS1" s="224"/>
      <c r="KAT1" s="224"/>
      <c r="KAU1" s="224"/>
      <c r="KAV1" s="224"/>
      <c r="KAW1" s="224"/>
      <c r="KAX1" s="224"/>
      <c r="KAY1" s="224"/>
      <c r="KAZ1" s="224"/>
      <c r="KBA1" s="224"/>
      <c r="KBB1" s="224"/>
      <c r="KBC1" s="224"/>
      <c r="KBD1" s="224"/>
      <c r="KBE1" s="224"/>
      <c r="KBF1" s="224"/>
      <c r="KBG1" s="224"/>
      <c r="KBH1" s="224"/>
      <c r="KBI1" s="224"/>
      <c r="KBJ1" s="224"/>
      <c r="KBK1" s="224"/>
      <c r="KBL1" s="224"/>
      <c r="KBM1" s="224"/>
      <c r="KBN1" s="224"/>
      <c r="KBO1" s="224"/>
      <c r="KBP1" s="224"/>
      <c r="KBQ1" s="224"/>
      <c r="KBR1" s="224"/>
      <c r="KBS1" s="224"/>
      <c r="KBT1" s="224"/>
      <c r="KBU1" s="224"/>
      <c r="KBV1" s="224"/>
      <c r="KBW1" s="224"/>
      <c r="KBX1" s="224"/>
      <c r="KBY1" s="224"/>
      <c r="KBZ1" s="224"/>
      <c r="KCA1" s="224"/>
      <c r="KCB1" s="224"/>
      <c r="KCC1" s="224"/>
      <c r="KCD1" s="224"/>
      <c r="KCE1" s="224"/>
      <c r="KCF1" s="224"/>
      <c r="KCG1" s="224"/>
      <c r="KCH1" s="224"/>
      <c r="KCI1" s="224"/>
      <c r="KCJ1" s="224"/>
      <c r="KCK1" s="224"/>
      <c r="KCL1" s="224"/>
      <c r="KCM1" s="224"/>
      <c r="KCN1" s="224"/>
      <c r="KCO1" s="224"/>
      <c r="KCP1" s="224"/>
      <c r="KCQ1" s="224"/>
      <c r="KCR1" s="224"/>
      <c r="KCS1" s="224"/>
      <c r="KCT1" s="224"/>
      <c r="KCU1" s="224"/>
      <c r="KCV1" s="224"/>
      <c r="KCW1" s="224"/>
      <c r="KCX1" s="224"/>
      <c r="KCY1" s="224"/>
      <c r="KCZ1" s="224"/>
      <c r="KDA1" s="224"/>
      <c r="KDB1" s="224"/>
      <c r="KDC1" s="224"/>
      <c r="KDD1" s="224"/>
      <c r="KDE1" s="224"/>
      <c r="KDF1" s="224"/>
      <c r="KDG1" s="224"/>
      <c r="KDH1" s="224"/>
      <c r="KDI1" s="224"/>
      <c r="KDJ1" s="224"/>
      <c r="KDK1" s="224"/>
      <c r="KDL1" s="224"/>
      <c r="KDM1" s="224"/>
      <c r="KDN1" s="224"/>
      <c r="KDO1" s="224"/>
      <c r="KDP1" s="224"/>
      <c r="KDQ1" s="224"/>
      <c r="KDR1" s="224"/>
      <c r="KDS1" s="224"/>
      <c r="KDT1" s="224"/>
      <c r="KDU1" s="224"/>
      <c r="KDV1" s="224"/>
      <c r="KDW1" s="224"/>
      <c r="KDX1" s="224"/>
      <c r="KDY1" s="224"/>
      <c r="KDZ1" s="224"/>
      <c r="KEA1" s="224"/>
      <c r="KEB1" s="224"/>
      <c r="KEC1" s="224"/>
      <c r="KED1" s="224"/>
      <c r="KEE1" s="224"/>
      <c r="KEF1" s="224"/>
      <c r="KEG1" s="224"/>
      <c r="KEH1" s="224"/>
      <c r="KEI1" s="224"/>
      <c r="KEJ1" s="224"/>
      <c r="KEK1" s="224"/>
      <c r="KEL1" s="224"/>
      <c r="KEM1" s="224"/>
      <c r="KEN1" s="224"/>
      <c r="KEO1" s="224"/>
      <c r="KEP1" s="224"/>
      <c r="KEQ1" s="224"/>
      <c r="KER1" s="224"/>
      <c r="KES1" s="224"/>
      <c r="KET1" s="224"/>
      <c r="KEU1" s="224"/>
      <c r="KEV1" s="224"/>
      <c r="KEW1" s="224"/>
      <c r="KEX1" s="224"/>
      <c r="KEY1" s="224"/>
      <c r="KEZ1" s="224"/>
      <c r="KFA1" s="224"/>
      <c r="KFB1" s="224"/>
      <c r="KFC1" s="224"/>
      <c r="KFD1" s="224"/>
      <c r="KFE1" s="224"/>
      <c r="KFF1" s="224"/>
      <c r="KFG1" s="224"/>
      <c r="KFH1" s="224"/>
      <c r="KFI1" s="224"/>
      <c r="KFJ1" s="224"/>
      <c r="KFK1" s="224"/>
      <c r="KFL1" s="224"/>
      <c r="KFM1" s="224"/>
      <c r="KFN1" s="224"/>
      <c r="KFO1" s="224"/>
      <c r="KFP1" s="224"/>
      <c r="KFQ1" s="224"/>
      <c r="KFR1" s="224"/>
      <c r="KFS1" s="224"/>
      <c r="KFT1" s="224"/>
      <c r="KFU1" s="224"/>
      <c r="KFV1" s="224"/>
      <c r="KFW1" s="224"/>
      <c r="KFX1" s="224"/>
      <c r="KFY1" s="224"/>
      <c r="KFZ1" s="224"/>
      <c r="KGA1" s="224"/>
      <c r="KGB1" s="224"/>
      <c r="KGC1" s="224"/>
      <c r="KGD1" s="224"/>
      <c r="KGE1" s="224"/>
      <c r="KGF1" s="224"/>
      <c r="KGG1" s="224"/>
      <c r="KGH1" s="224"/>
      <c r="KGI1" s="224"/>
      <c r="KGJ1" s="224"/>
      <c r="KGK1" s="224"/>
      <c r="KGL1" s="224"/>
      <c r="KGM1" s="224"/>
      <c r="KGN1" s="224"/>
      <c r="KGO1" s="224"/>
      <c r="KGP1" s="224"/>
      <c r="KGQ1" s="224"/>
      <c r="KGR1" s="224"/>
      <c r="KGS1" s="224"/>
      <c r="KGT1" s="224"/>
      <c r="KGU1" s="224"/>
      <c r="KGV1" s="224"/>
      <c r="KGW1" s="224"/>
      <c r="KGX1" s="224"/>
      <c r="KGY1" s="224"/>
      <c r="KGZ1" s="224"/>
      <c r="KHA1" s="224"/>
      <c r="KHB1" s="224"/>
      <c r="KHC1" s="224"/>
      <c r="KHD1" s="224"/>
      <c r="KHE1" s="224"/>
      <c r="KHF1" s="224"/>
      <c r="KHG1" s="224"/>
      <c r="KHH1" s="224"/>
      <c r="KHI1" s="224"/>
      <c r="KHJ1" s="224"/>
      <c r="KHK1" s="224"/>
      <c r="KHL1" s="224"/>
      <c r="KHM1" s="224"/>
      <c r="KHN1" s="224"/>
      <c r="KHO1" s="224"/>
      <c r="KHP1" s="224"/>
      <c r="KHQ1" s="224"/>
      <c r="KHR1" s="224"/>
      <c r="KHS1" s="224"/>
      <c r="KHT1" s="224"/>
      <c r="KHU1" s="224"/>
      <c r="KHV1" s="224"/>
      <c r="KHW1" s="224"/>
      <c r="KHX1" s="224"/>
      <c r="KHY1" s="224"/>
      <c r="KHZ1" s="224"/>
      <c r="KIA1" s="224"/>
      <c r="KIB1" s="224"/>
      <c r="KIC1" s="224"/>
      <c r="KID1" s="224"/>
      <c r="KIE1" s="224"/>
      <c r="KIF1" s="224"/>
      <c r="KIG1" s="224"/>
      <c r="KIH1" s="224"/>
      <c r="KII1" s="224"/>
      <c r="KIJ1" s="224"/>
      <c r="KIK1" s="224"/>
      <c r="KIL1" s="224"/>
      <c r="KIM1" s="224"/>
      <c r="KIN1" s="224"/>
      <c r="KIO1" s="224"/>
      <c r="KIP1" s="224"/>
      <c r="KIQ1" s="224"/>
      <c r="KIR1" s="224"/>
      <c r="KIS1" s="224"/>
      <c r="KIT1" s="224"/>
      <c r="KIU1" s="224"/>
      <c r="KIV1" s="224"/>
      <c r="KIW1" s="224"/>
      <c r="KIX1" s="224"/>
      <c r="KIY1" s="224"/>
      <c r="KIZ1" s="224"/>
      <c r="KJA1" s="224"/>
      <c r="KJB1" s="224"/>
      <c r="KJC1" s="224"/>
      <c r="KJD1" s="224"/>
      <c r="KJE1" s="224"/>
      <c r="KJF1" s="224"/>
      <c r="KJG1" s="224"/>
      <c r="KJH1" s="224"/>
      <c r="KJI1" s="224"/>
      <c r="KJJ1" s="224"/>
      <c r="KJK1" s="224"/>
      <c r="KJL1" s="224"/>
      <c r="KJM1" s="224"/>
      <c r="KJN1" s="224"/>
      <c r="KJO1" s="224"/>
      <c r="KJP1" s="224"/>
      <c r="KJQ1" s="224"/>
      <c r="KJR1" s="224"/>
      <c r="KJS1" s="224"/>
      <c r="KJT1" s="224"/>
      <c r="KJU1" s="224"/>
      <c r="KJV1" s="224"/>
      <c r="KJW1" s="224"/>
      <c r="KJX1" s="224"/>
      <c r="KJY1" s="224"/>
      <c r="KJZ1" s="224"/>
      <c r="KKA1" s="224"/>
      <c r="KKB1" s="224"/>
      <c r="KKC1" s="224"/>
      <c r="KKD1" s="224"/>
      <c r="KKE1" s="224"/>
      <c r="KKF1" s="224"/>
      <c r="KKG1" s="224"/>
      <c r="KKH1" s="224"/>
      <c r="KKI1" s="224"/>
      <c r="KKJ1" s="224"/>
      <c r="KKK1" s="224"/>
      <c r="KKL1" s="224"/>
      <c r="KKM1" s="224"/>
      <c r="KKN1" s="224"/>
      <c r="KKO1" s="224"/>
      <c r="KKP1" s="224"/>
      <c r="KKQ1" s="224"/>
      <c r="KKR1" s="224"/>
      <c r="KKS1" s="224"/>
      <c r="KKT1" s="224"/>
      <c r="KKU1" s="224"/>
      <c r="KKV1" s="224"/>
      <c r="KKW1" s="224"/>
      <c r="KKX1" s="224"/>
      <c r="KKY1" s="224"/>
      <c r="KKZ1" s="224"/>
      <c r="KLA1" s="224"/>
      <c r="KLB1" s="224"/>
      <c r="KLC1" s="224"/>
      <c r="KLD1" s="224"/>
      <c r="KLE1" s="224"/>
      <c r="KLF1" s="224"/>
      <c r="KLG1" s="224"/>
      <c r="KLH1" s="224"/>
      <c r="KLI1" s="224"/>
      <c r="KLJ1" s="224"/>
      <c r="KLK1" s="224"/>
      <c r="KLL1" s="224"/>
      <c r="KLM1" s="224"/>
      <c r="KLN1" s="224"/>
      <c r="KLO1" s="224"/>
      <c r="KLP1" s="224"/>
      <c r="KLQ1" s="224"/>
      <c r="KLR1" s="224"/>
      <c r="KLS1" s="224"/>
      <c r="KLT1" s="224"/>
      <c r="KLU1" s="224"/>
      <c r="KLV1" s="224"/>
      <c r="KLW1" s="224"/>
      <c r="KLX1" s="224"/>
      <c r="KLY1" s="224"/>
      <c r="KLZ1" s="224"/>
      <c r="KMA1" s="224"/>
      <c r="KMB1" s="224"/>
      <c r="KMC1" s="224"/>
      <c r="KMD1" s="224"/>
      <c r="KME1" s="224"/>
      <c r="KMF1" s="224"/>
      <c r="KMG1" s="224"/>
      <c r="KMH1" s="224"/>
      <c r="KMI1" s="224"/>
      <c r="KMJ1" s="224"/>
      <c r="KMK1" s="224"/>
      <c r="KML1" s="224"/>
      <c r="KMM1" s="224"/>
      <c r="KMN1" s="224"/>
      <c r="KMO1" s="224"/>
      <c r="KMP1" s="224"/>
      <c r="KMQ1" s="224"/>
      <c r="KMR1" s="224"/>
      <c r="KMS1" s="224"/>
      <c r="KMT1" s="224"/>
      <c r="KMU1" s="224"/>
      <c r="KMV1" s="224"/>
      <c r="KMW1" s="224"/>
      <c r="KMX1" s="224"/>
      <c r="KMY1" s="224"/>
      <c r="KMZ1" s="224"/>
      <c r="KNA1" s="224"/>
      <c r="KNB1" s="224"/>
      <c r="KNC1" s="224"/>
      <c r="KND1" s="224"/>
      <c r="KNE1" s="224"/>
      <c r="KNF1" s="224"/>
      <c r="KNG1" s="224"/>
      <c r="KNH1" s="224"/>
      <c r="KNI1" s="224"/>
      <c r="KNJ1" s="224"/>
      <c r="KNK1" s="224"/>
      <c r="KNL1" s="224"/>
      <c r="KNM1" s="224"/>
      <c r="KNN1" s="224"/>
      <c r="KNO1" s="224"/>
      <c r="KNP1" s="224"/>
      <c r="KNQ1" s="224"/>
      <c r="KNR1" s="224"/>
      <c r="KNS1" s="224"/>
      <c r="KNT1" s="224"/>
      <c r="KNU1" s="224"/>
      <c r="KNV1" s="224"/>
      <c r="KNW1" s="224"/>
      <c r="KNX1" s="224"/>
      <c r="KNY1" s="224"/>
      <c r="KNZ1" s="224"/>
      <c r="KOA1" s="224"/>
      <c r="KOB1" s="224"/>
      <c r="KOC1" s="224"/>
      <c r="KOD1" s="224"/>
      <c r="KOE1" s="224"/>
      <c r="KOF1" s="224"/>
      <c r="KOG1" s="224"/>
      <c r="KOH1" s="224"/>
      <c r="KOI1" s="224"/>
      <c r="KOJ1" s="224"/>
      <c r="KOK1" s="224"/>
      <c r="KOL1" s="224"/>
      <c r="KOM1" s="224"/>
      <c r="KON1" s="224"/>
      <c r="KOO1" s="224"/>
      <c r="KOP1" s="224"/>
      <c r="KOQ1" s="224"/>
      <c r="KOR1" s="224"/>
      <c r="KOS1" s="224"/>
      <c r="KOT1" s="224"/>
      <c r="KOU1" s="224"/>
      <c r="KOV1" s="224"/>
      <c r="KOW1" s="224"/>
      <c r="KOX1" s="224"/>
      <c r="KOY1" s="224"/>
      <c r="KOZ1" s="224"/>
      <c r="KPA1" s="224"/>
      <c r="KPB1" s="224"/>
      <c r="KPC1" s="224"/>
      <c r="KPD1" s="224"/>
      <c r="KPE1" s="224"/>
      <c r="KPF1" s="224"/>
      <c r="KPG1" s="224"/>
      <c r="KPH1" s="224"/>
      <c r="KPI1" s="224"/>
      <c r="KPJ1" s="224"/>
      <c r="KPK1" s="224"/>
      <c r="KPL1" s="224"/>
      <c r="KPM1" s="224"/>
      <c r="KPN1" s="224"/>
      <c r="KPO1" s="224"/>
      <c r="KPP1" s="224"/>
      <c r="KPQ1" s="224"/>
      <c r="KPR1" s="224"/>
      <c r="KPS1" s="224"/>
      <c r="KPT1" s="224"/>
      <c r="KPU1" s="224"/>
      <c r="KPV1" s="224"/>
      <c r="KPW1" s="224"/>
      <c r="KPX1" s="224"/>
      <c r="KPY1" s="224"/>
      <c r="KPZ1" s="224"/>
      <c r="KQA1" s="224"/>
      <c r="KQB1" s="224"/>
      <c r="KQC1" s="224"/>
      <c r="KQD1" s="224"/>
      <c r="KQE1" s="224"/>
      <c r="KQF1" s="224"/>
      <c r="KQG1" s="224"/>
      <c r="KQH1" s="224"/>
      <c r="KQI1" s="224"/>
      <c r="KQJ1" s="224"/>
      <c r="KQK1" s="224"/>
      <c r="KQL1" s="224"/>
      <c r="KQM1" s="224"/>
      <c r="KQN1" s="224"/>
      <c r="KQO1" s="224"/>
      <c r="KQP1" s="224"/>
      <c r="KQQ1" s="224"/>
      <c r="KQR1" s="224"/>
      <c r="KQS1" s="224"/>
      <c r="KQT1" s="224"/>
      <c r="KQU1" s="224"/>
      <c r="KQV1" s="224"/>
      <c r="KQW1" s="224"/>
      <c r="KQX1" s="224"/>
      <c r="KQY1" s="224"/>
      <c r="KQZ1" s="224"/>
      <c r="KRA1" s="224"/>
      <c r="KRB1" s="224"/>
      <c r="KRC1" s="224"/>
      <c r="KRD1" s="224"/>
      <c r="KRE1" s="224"/>
      <c r="KRF1" s="224"/>
      <c r="KRG1" s="224"/>
      <c r="KRH1" s="224"/>
      <c r="KRI1" s="224"/>
      <c r="KRJ1" s="224"/>
      <c r="KRK1" s="224"/>
      <c r="KRL1" s="224"/>
      <c r="KRM1" s="224"/>
      <c r="KRN1" s="224"/>
      <c r="KRO1" s="224"/>
      <c r="KRP1" s="224"/>
      <c r="KRQ1" s="224"/>
      <c r="KRR1" s="224"/>
      <c r="KRS1" s="224"/>
      <c r="KRT1" s="224"/>
      <c r="KRU1" s="224"/>
      <c r="KRV1" s="224"/>
      <c r="KRW1" s="224"/>
      <c r="KRX1" s="224"/>
      <c r="KRY1" s="224"/>
      <c r="KRZ1" s="224"/>
      <c r="KSA1" s="224"/>
      <c r="KSB1" s="224"/>
      <c r="KSC1" s="224"/>
      <c r="KSD1" s="224"/>
      <c r="KSE1" s="224"/>
      <c r="KSF1" s="224"/>
      <c r="KSG1" s="224"/>
      <c r="KSH1" s="224"/>
      <c r="KSI1" s="224"/>
      <c r="KSJ1" s="224"/>
      <c r="KSK1" s="224"/>
      <c r="KSL1" s="224"/>
      <c r="KSM1" s="224"/>
      <c r="KSN1" s="224"/>
      <c r="KSO1" s="224"/>
      <c r="KSP1" s="224"/>
      <c r="KSQ1" s="224"/>
      <c r="KSR1" s="224"/>
      <c r="KSS1" s="224"/>
      <c r="KST1" s="224"/>
      <c r="KSU1" s="224"/>
      <c r="KSV1" s="224"/>
      <c r="KSW1" s="224"/>
      <c r="KSX1" s="224"/>
      <c r="KSY1" s="224"/>
      <c r="KSZ1" s="224"/>
      <c r="KTA1" s="224"/>
      <c r="KTB1" s="224"/>
      <c r="KTC1" s="224"/>
      <c r="KTD1" s="224"/>
      <c r="KTE1" s="224"/>
      <c r="KTF1" s="224"/>
      <c r="KTG1" s="224"/>
      <c r="KTH1" s="224"/>
      <c r="KTI1" s="224"/>
      <c r="KTJ1" s="224"/>
      <c r="KTK1" s="224"/>
      <c r="KTL1" s="224"/>
      <c r="KTM1" s="224"/>
      <c r="KTN1" s="224"/>
      <c r="KTO1" s="224"/>
      <c r="KTP1" s="224"/>
      <c r="KTQ1" s="224"/>
      <c r="KTR1" s="224"/>
      <c r="KTS1" s="224"/>
      <c r="KTT1" s="224"/>
      <c r="KTU1" s="224"/>
      <c r="KTV1" s="224"/>
      <c r="KTW1" s="224"/>
      <c r="KTX1" s="224"/>
      <c r="KTY1" s="224"/>
      <c r="KTZ1" s="224"/>
      <c r="KUA1" s="224"/>
      <c r="KUB1" s="224"/>
      <c r="KUC1" s="224"/>
      <c r="KUD1" s="224"/>
      <c r="KUE1" s="224"/>
      <c r="KUF1" s="224"/>
      <c r="KUG1" s="224"/>
      <c r="KUH1" s="224"/>
      <c r="KUI1" s="224"/>
      <c r="KUJ1" s="224"/>
      <c r="KUK1" s="224"/>
      <c r="KUL1" s="224"/>
      <c r="KUM1" s="224"/>
      <c r="KUN1" s="224"/>
      <c r="KUO1" s="224"/>
      <c r="KUP1" s="224"/>
      <c r="KUQ1" s="224"/>
      <c r="KUR1" s="224"/>
      <c r="KUS1" s="224"/>
      <c r="KUT1" s="224"/>
      <c r="KUU1" s="224"/>
      <c r="KUV1" s="224"/>
      <c r="KUW1" s="224"/>
      <c r="KUX1" s="224"/>
      <c r="KUY1" s="224"/>
      <c r="KUZ1" s="224"/>
      <c r="KVA1" s="224"/>
      <c r="KVB1" s="224"/>
      <c r="KVC1" s="224"/>
      <c r="KVD1" s="224"/>
      <c r="KVE1" s="224"/>
      <c r="KVF1" s="224"/>
      <c r="KVG1" s="224"/>
      <c r="KVH1" s="224"/>
      <c r="KVI1" s="224"/>
      <c r="KVJ1" s="224"/>
      <c r="KVK1" s="224"/>
      <c r="KVL1" s="224"/>
      <c r="KVM1" s="224"/>
      <c r="KVN1" s="224"/>
      <c r="KVO1" s="224"/>
      <c r="KVP1" s="224"/>
      <c r="KVQ1" s="224"/>
      <c r="KVR1" s="224"/>
      <c r="KVS1" s="224"/>
      <c r="KVT1" s="224"/>
      <c r="KVU1" s="224"/>
      <c r="KVV1" s="224"/>
      <c r="KVW1" s="224"/>
      <c r="KVX1" s="224"/>
      <c r="KVY1" s="224"/>
      <c r="KVZ1" s="224"/>
      <c r="KWA1" s="224"/>
      <c r="KWB1" s="224"/>
      <c r="KWC1" s="224"/>
      <c r="KWD1" s="224"/>
      <c r="KWE1" s="224"/>
      <c r="KWF1" s="224"/>
      <c r="KWG1" s="224"/>
      <c r="KWH1" s="224"/>
      <c r="KWI1" s="224"/>
      <c r="KWJ1" s="224"/>
      <c r="KWK1" s="224"/>
      <c r="KWL1" s="224"/>
      <c r="KWM1" s="224"/>
      <c r="KWN1" s="224"/>
      <c r="KWO1" s="224"/>
      <c r="KWP1" s="224"/>
      <c r="KWQ1" s="224"/>
      <c r="KWR1" s="224"/>
      <c r="KWS1" s="224"/>
      <c r="KWT1" s="224"/>
      <c r="KWU1" s="224"/>
      <c r="KWV1" s="224"/>
      <c r="KWW1" s="224"/>
      <c r="KWX1" s="224"/>
      <c r="KWY1" s="224"/>
      <c r="KWZ1" s="224"/>
      <c r="KXA1" s="224"/>
      <c r="KXB1" s="224"/>
      <c r="KXC1" s="224"/>
      <c r="KXD1" s="224"/>
      <c r="KXE1" s="224"/>
      <c r="KXF1" s="224"/>
      <c r="KXG1" s="224"/>
      <c r="KXH1" s="224"/>
      <c r="KXI1" s="224"/>
      <c r="KXJ1" s="224"/>
      <c r="KXK1" s="224"/>
      <c r="KXL1" s="224"/>
      <c r="KXM1" s="224"/>
      <c r="KXN1" s="224"/>
      <c r="KXO1" s="224"/>
      <c r="KXP1" s="224"/>
      <c r="KXQ1" s="224"/>
      <c r="KXR1" s="224"/>
      <c r="KXS1" s="224"/>
      <c r="KXT1" s="224"/>
      <c r="KXU1" s="224"/>
      <c r="KXV1" s="224"/>
      <c r="KXW1" s="224"/>
      <c r="KXX1" s="224"/>
      <c r="KXY1" s="224"/>
      <c r="KXZ1" s="224"/>
      <c r="KYA1" s="224"/>
      <c r="KYB1" s="224"/>
      <c r="KYC1" s="224"/>
      <c r="KYD1" s="224"/>
      <c r="KYE1" s="224"/>
      <c r="KYF1" s="224"/>
      <c r="KYG1" s="224"/>
      <c r="KYH1" s="224"/>
      <c r="KYI1" s="224"/>
      <c r="KYJ1" s="224"/>
      <c r="KYK1" s="224"/>
      <c r="KYL1" s="224"/>
      <c r="KYM1" s="224"/>
      <c r="KYN1" s="224"/>
      <c r="KYO1" s="224"/>
      <c r="KYP1" s="224"/>
      <c r="KYQ1" s="224"/>
      <c r="KYR1" s="224"/>
      <c r="KYS1" s="224"/>
      <c r="KYT1" s="224"/>
      <c r="KYU1" s="224"/>
      <c r="KYV1" s="224"/>
      <c r="KYW1" s="224"/>
      <c r="KYX1" s="224"/>
      <c r="KYY1" s="224"/>
      <c r="KYZ1" s="224"/>
      <c r="KZA1" s="224"/>
      <c r="KZB1" s="224"/>
      <c r="KZC1" s="224"/>
      <c r="KZD1" s="224"/>
      <c r="KZE1" s="224"/>
      <c r="KZF1" s="224"/>
      <c r="KZG1" s="224"/>
      <c r="KZH1" s="224"/>
      <c r="KZI1" s="224"/>
      <c r="KZJ1" s="224"/>
      <c r="KZK1" s="224"/>
      <c r="KZL1" s="224"/>
      <c r="KZM1" s="224"/>
      <c r="KZN1" s="224"/>
      <c r="KZO1" s="224"/>
      <c r="KZP1" s="224"/>
      <c r="KZQ1" s="224"/>
      <c r="KZR1" s="224"/>
      <c r="KZS1" s="224"/>
      <c r="KZT1" s="224"/>
      <c r="KZU1" s="224"/>
      <c r="KZV1" s="224"/>
      <c r="KZW1" s="224"/>
      <c r="KZX1" s="224"/>
      <c r="KZY1" s="224"/>
      <c r="KZZ1" s="224"/>
      <c r="LAA1" s="224"/>
      <c r="LAB1" s="224"/>
      <c r="LAC1" s="224"/>
      <c r="LAD1" s="224"/>
      <c r="LAE1" s="224"/>
      <c r="LAF1" s="224"/>
      <c r="LAG1" s="224"/>
      <c r="LAH1" s="224"/>
      <c r="LAI1" s="224"/>
      <c r="LAJ1" s="224"/>
      <c r="LAK1" s="224"/>
      <c r="LAL1" s="224"/>
      <c r="LAM1" s="224"/>
      <c r="LAN1" s="224"/>
      <c r="LAO1" s="224"/>
      <c r="LAP1" s="224"/>
      <c r="LAQ1" s="224"/>
      <c r="LAR1" s="224"/>
      <c r="LAS1" s="224"/>
      <c r="LAT1" s="224"/>
      <c r="LAU1" s="224"/>
      <c r="LAV1" s="224"/>
      <c r="LAW1" s="224"/>
      <c r="LAX1" s="224"/>
      <c r="LAY1" s="224"/>
      <c r="LAZ1" s="224"/>
      <c r="LBA1" s="224"/>
      <c r="LBB1" s="224"/>
      <c r="LBC1" s="224"/>
      <c r="LBD1" s="224"/>
      <c r="LBE1" s="224"/>
      <c r="LBF1" s="224"/>
      <c r="LBG1" s="224"/>
      <c r="LBH1" s="224"/>
      <c r="LBI1" s="224"/>
      <c r="LBJ1" s="224"/>
      <c r="LBK1" s="224"/>
      <c r="LBL1" s="224"/>
      <c r="LBM1" s="224"/>
      <c r="LBN1" s="224"/>
      <c r="LBO1" s="224"/>
      <c r="LBP1" s="224"/>
      <c r="LBQ1" s="224"/>
      <c r="LBR1" s="224"/>
      <c r="LBS1" s="224"/>
      <c r="LBT1" s="224"/>
      <c r="LBU1" s="224"/>
      <c r="LBV1" s="224"/>
      <c r="LBW1" s="224"/>
      <c r="LBX1" s="224"/>
      <c r="LBY1" s="224"/>
      <c r="LBZ1" s="224"/>
      <c r="LCA1" s="224"/>
      <c r="LCB1" s="224"/>
      <c r="LCC1" s="224"/>
      <c r="LCD1" s="224"/>
      <c r="LCE1" s="224"/>
      <c r="LCF1" s="224"/>
      <c r="LCG1" s="224"/>
      <c r="LCH1" s="224"/>
      <c r="LCI1" s="224"/>
      <c r="LCJ1" s="224"/>
      <c r="LCK1" s="224"/>
      <c r="LCL1" s="224"/>
      <c r="LCM1" s="224"/>
      <c r="LCN1" s="224"/>
      <c r="LCO1" s="224"/>
      <c r="LCP1" s="224"/>
      <c r="LCQ1" s="224"/>
      <c r="LCR1" s="224"/>
      <c r="LCS1" s="224"/>
      <c r="LCT1" s="224"/>
      <c r="LCU1" s="224"/>
      <c r="LCV1" s="224"/>
      <c r="LCW1" s="224"/>
      <c r="LCX1" s="224"/>
      <c r="LCY1" s="224"/>
      <c r="LCZ1" s="224"/>
      <c r="LDA1" s="224"/>
      <c r="LDB1" s="224"/>
      <c r="LDC1" s="224"/>
      <c r="LDD1" s="224"/>
      <c r="LDE1" s="224"/>
      <c r="LDF1" s="224"/>
      <c r="LDG1" s="224"/>
      <c r="LDH1" s="224"/>
      <c r="LDI1" s="224"/>
      <c r="LDJ1" s="224"/>
      <c r="LDK1" s="224"/>
      <c r="LDL1" s="224"/>
      <c r="LDM1" s="224"/>
      <c r="LDN1" s="224"/>
      <c r="LDO1" s="224"/>
      <c r="LDP1" s="224"/>
      <c r="LDQ1" s="224"/>
      <c r="LDR1" s="224"/>
      <c r="LDS1" s="224"/>
      <c r="LDT1" s="224"/>
      <c r="LDU1" s="224"/>
      <c r="LDV1" s="224"/>
      <c r="LDW1" s="224"/>
      <c r="LDX1" s="224"/>
      <c r="LDY1" s="224"/>
      <c r="LDZ1" s="224"/>
      <c r="LEA1" s="224"/>
      <c r="LEB1" s="224"/>
      <c r="LEC1" s="224"/>
      <c r="LED1" s="224"/>
      <c r="LEE1" s="224"/>
      <c r="LEF1" s="224"/>
      <c r="LEG1" s="224"/>
      <c r="LEH1" s="224"/>
      <c r="LEI1" s="224"/>
      <c r="LEJ1" s="224"/>
      <c r="LEK1" s="224"/>
      <c r="LEL1" s="224"/>
      <c r="LEM1" s="224"/>
      <c r="LEN1" s="224"/>
      <c r="LEO1" s="224"/>
      <c r="LEP1" s="224"/>
      <c r="LEQ1" s="224"/>
      <c r="LER1" s="224"/>
      <c r="LES1" s="224"/>
      <c r="LET1" s="224"/>
      <c r="LEU1" s="224"/>
      <c r="LEV1" s="224"/>
      <c r="LEW1" s="224"/>
      <c r="LEX1" s="224"/>
      <c r="LEY1" s="224"/>
      <c r="LEZ1" s="224"/>
      <c r="LFA1" s="224"/>
      <c r="LFB1" s="224"/>
      <c r="LFC1" s="224"/>
      <c r="LFD1" s="224"/>
      <c r="LFE1" s="224"/>
      <c r="LFF1" s="224"/>
      <c r="LFG1" s="224"/>
      <c r="LFH1" s="224"/>
      <c r="LFI1" s="224"/>
      <c r="LFJ1" s="224"/>
      <c r="LFK1" s="224"/>
      <c r="LFL1" s="224"/>
      <c r="LFM1" s="224"/>
      <c r="LFN1" s="224"/>
      <c r="LFO1" s="224"/>
      <c r="LFP1" s="224"/>
      <c r="LFQ1" s="224"/>
      <c r="LFR1" s="224"/>
      <c r="LFS1" s="224"/>
      <c r="LFT1" s="224"/>
      <c r="LFU1" s="224"/>
      <c r="LFV1" s="224"/>
      <c r="LFW1" s="224"/>
      <c r="LFX1" s="224"/>
      <c r="LFY1" s="224"/>
      <c r="LFZ1" s="224"/>
      <c r="LGA1" s="224"/>
      <c r="LGB1" s="224"/>
      <c r="LGC1" s="224"/>
      <c r="LGD1" s="224"/>
      <c r="LGE1" s="224"/>
      <c r="LGF1" s="224"/>
      <c r="LGG1" s="224"/>
      <c r="LGH1" s="224"/>
      <c r="LGI1" s="224"/>
      <c r="LGJ1" s="224"/>
      <c r="LGK1" s="224"/>
      <c r="LGL1" s="224"/>
      <c r="LGM1" s="224"/>
      <c r="LGN1" s="224"/>
      <c r="LGO1" s="224"/>
      <c r="LGP1" s="224"/>
      <c r="LGQ1" s="224"/>
      <c r="LGR1" s="224"/>
      <c r="LGS1" s="224"/>
      <c r="LGT1" s="224"/>
      <c r="LGU1" s="224"/>
      <c r="LGV1" s="224"/>
      <c r="LGW1" s="224"/>
      <c r="LGX1" s="224"/>
      <c r="LGY1" s="224"/>
      <c r="LGZ1" s="224"/>
      <c r="LHA1" s="224"/>
      <c r="LHB1" s="224"/>
      <c r="LHC1" s="224"/>
      <c r="LHD1" s="224"/>
      <c r="LHE1" s="224"/>
      <c r="LHF1" s="224"/>
      <c r="LHG1" s="224"/>
      <c r="LHH1" s="224"/>
      <c r="LHI1" s="224"/>
      <c r="LHJ1" s="224"/>
      <c r="LHK1" s="224"/>
      <c r="LHL1" s="224"/>
      <c r="LHM1" s="224"/>
      <c r="LHN1" s="224"/>
      <c r="LHO1" s="224"/>
      <c r="LHP1" s="224"/>
      <c r="LHQ1" s="224"/>
      <c r="LHR1" s="224"/>
      <c r="LHS1" s="224"/>
      <c r="LHT1" s="224"/>
      <c r="LHU1" s="224"/>
      <c r="LHV1" s="224"/>
      <c r="LHW1" s="224"/>
      <c r="LHX1" s="224"/>
      <c r="LHY1" s="224"/>
      <c r="LHZ1" s="224"/>
      <c r="LIA1" s="224"/>
      <c r="LIB1" s="224"/>
      <c r="LIC1" s="224"/>
      <c r="LID1" s="224"/>
      <c r="LIE1" s="224"/>
      <c r="LIF1" s="224"/>
      <c r="LIG1" s="224"/>
      <c r="LIH1" s="224"/>
      <c r="LII1" s="224"/>
      <c r="LIJ1" s="224"/>
      <c r="LIK1" s="224"/>
      <c r="LIL1" s="224"/>
      <c r="LIM1" s="224"/>
      <c r="LIN1" s="224"/>
      <c r="LIO1" s="224"/>
      <c r="LIP1" s="224"/>
      <c r="LIQ1" s="224"/>
      <c r="LIR1" s="224"/>
      <c r="LIS1" s="224"/>
      <c r="LIT1" s="224"/>
      <c r="LIU1" s="224"/>
      <c r="LIV1" s="224"/>
      <c r="LIW1" s="224"/>
      <c r="LIX1" s="224"/>
      <c r="LIY1" s="224"/>
      <c r="LIZ1" s="224"/>
      <c r="LJA1" s="224"/>
      <c r="LJB1" s="224"/>
      <c r="LJC1" s="224"/>
      <c r="LJD1" s="224"/>
      <c r="LJE1" s="224"/>
      <c r="LJF1" s="224"/>
      <c r="LJG1" s="224"/>
      <c r="LJH1" s="224"/>
      <c r="LJI1" s="224"/>
      <c r="LJJ1" s="224"/>
      <c r="LJK1" s="224"/>
      <c r="LJL1" s="224"/>
      <c r="LJM1" s="224"/>
      <c r="LJN1" s="224"/>
      <c r="LJO1" s="224"/>
      <c r="LJP1" s="224"/>
      <c r="LJQ1" s="224"/>
      <c r="LJR1" s="224"/>
      <c r="LJS1" s="224"/>
      <c r="LJT1" s="224"/>
      <c r="LJU1" s="224"/>
      <c r="LJV1" s="224"/>
      <c r="LJW1" s="224"/>
      <c r="LJX1" s="224"/>
      <c r="LJY1" s="224"/>
      <c r="LJZ1" s="224"/>
      <c r="LKA1" s="224"/>
      <c r="LKB1" s="224"/>
      <c r="LKC1" s="224"/>
      <c r="LKD1" s="224"/>
      <c r="LKE1" s="224"/>
      <c r="LKF1" s="224"/>
      <c r="LKG1" s="224"/>
      <c r="LKH1" s="224"/>
      <c r="LKI1" s="224"/>
      <c r="LKJ1" s="224"/>
      <c r="LKK1" s="224"/>
      <c r="LKL1" s="224"/>
      <c r="LKM1" s="224"/>
      <c r="LKN1" s="224"/>
      <c r="LKO1" s="224"/>
      <c r="LKP1" s="224"/>
      <c r="LKQ1" s="224"/>
      <c r="LKR1" s="224"/>
      <c r="LKS1" s="224"/>
      <c r="LKT1" s="224"/>
      <c r="LKU1" s="224"/>
      <c r="LKV1" s="224"/>
      <c r="LKW1" s="224"/>
      <c r="LKX1" s="224"/>
      <c r="LKY1" s="224"/>
      <c r="LKZ1" s="224"/>
      <c r="LLA1" s="224"/>
      <c r="LLB1" s="224"/>
      <c r="LLC1" s="224"/>
      <c r="LLD1" s="224"/>
      <c r="LLE1" s="224"/>
      <c r="LLF1" s="224"/>
      <c r="LLG1" s="224"/>
      <c r="LLH1" s="224"/>
      <c r="LLI1" s="224"/>
      <c r="LLJ1" s="224"/>
      <c r="LLK1" s="224"/>
      <c r="LLL1" s="224"/>
      <c r="LLM1" s="224"/>
      <c r="LLN1" s="224"/>
      <c r="LLO1" s="224"/>
      <c r="LLP1" s="224"/>
      <c r="LLQ1" s="224"/>
      <c r="LLR1" s="224"/>
      <c r="LLS1" s="224"/>
      <c r="LLT1" s="224"/>
      <c r="LLU1" s="224"/>
      <c r="LLV1" s="224"/>
      <c r="LLW1" s="224"/>
      <c r="LLX1" s="224"/>
      <c r="LLY1" s="224"/>
      <c r="LLZ1" s="224"/>
      <c r="LMA1" s="224"/>
      <c r="LMB1" s="224"/>
      <c r="LMC1" s="224"/>
      <c r="LMD1" s="224"/>
      <c r="LME1" s="224"/>
      <c r="LMF1" s="224"/>
      <c r="LMG1" s="224"/>
      <c r="LMH1" s="224"/>
      <c r="LMI1" s="224"/>
      <c r="LMJ1" s="224"/>
      <c r="LMK1" s="224"/>
      <c r="LML1" s="224"/>
      <c r="LMM1" s="224"/>
      <c r="LMN1" s="224"/>
      <c r="LMO1" s="224"/>
      <c r="LMP1" s="224"/>
      <c r="LMQ1" s="224"/>
      <c r="LMR1" s="224"/>
      <c r="LMS1" s="224"/>
      <c r="LMT1" s="224"/>
      <c r="LMU1" s="224"/>
      <c r="LMV1" s="224"/>
      <c r="LMW1" s="224"/>
      <c r="LMX1" s="224"/>
      <c r="LMY1" s="224"/>
      <c r="LMZ1" s="224"/>
      <c r="LNA1" s="224"/>
      <c r="LNB1" s="224"/>
      <c r="LNC1" s="224"/>
      <c r="LND1" s="224"/>
      <c r="LNE1" s="224"/>
      <c r="LNF1" s="224"/>
      <c r="LNG1" s="224"/>
      <c r="LNH1" s="224"/>
      <c r="LNI1" s="224"/>
      <c r="LNJ1" s="224"/>
      <c r="LNK1" s="224"/>
      <c r="LNL1" s="224"/>
      <c r="LNM1" s="224"/>
      <c r="LNN1" s="224"/>
      <c r="LNO1" s="224"/>
      <c r="LNP1" s="224"/>
      <c r="LNQ1" s="224"/>
      <c r="LNR1" s="224"/>
      <c r="LNS1" s="224"/>
      <c r="LNT1" s="224"/>
      <c r="LNU1" s="224"/>
      <c r="LNV1" s="224"/>
      <c r="LNW1" s="224"/>
      <c r="LNX1" s="224"/>
      <c r="LNY1" s="224"/>
      <c r="LNZ1" s="224"/>
      <c r="LOA1" s="224"/>
      <c r="LOB1" s="224"/>
      <c r="LOC1" s="224"/>
      <c r="LOD1" s="224"/>
      <c r="LOE1" s="224"/>
      <c r="LOF1" s="224"/>
      <c r="LOG1" s="224"/>
      <c r="LOH1" s="224"/>
      <c r="LOI1" s="224"/>
      <c r="LOJ1" s="224"/>
      <c r="LOK1" s="224"/>
      <c r="LOL1" s="224"/>
      <c r="LOM1" s="224"/>
      <c r="LON1" s="224"/>
      <c r="LOO1" s="224"/>
      <c r="LOP1" s="224"/>
      <c r="LOQ1" s="224"/>
      <c r="LOR1" s="224"/>
      <c r="LOS1" s="224"/>
      <c r="LOT1" s="224"/>
      <c r="LOU1" s="224"/>
      <c r="LOV1" s="224"/>
      <c r="LOW1" s="224"/>
      <c r="LOX1" s="224"/>
      <c r="LOY1" s="224"/>
      <c r="LOZ1" s="224"/>
      <c r="LPA1" s="224"/>
      <c r="LPB1" s="224"/>
      <c r="LPC1" s="224"/>
      <c r="LPD1" s="224"/>
      <c r="LPE1" s="224"/>
      <c r="LPF1" s="224"/>
      <c r="LPG1" s="224"/>
      <c r="LPH1" s="224"/>
      <c r="LPI1" s="224"/>
      <c r="LPJ1" s="224"/>
      <c r="LPK1" s="224"/>
      <c r="LPL1" s="224"/>
      <c r="LPM1" s="224"/>
      <c r="LPN1" s="224"/>
      <c r="LPO1" s="224"/>
      <c r="LPP1" s="224"/>
      <c r="LPQ1" s="224"/>
      <c r="LPR1" s="224"/>
      <c r="LPS1" s="224"/>
      <c r="LPT1" s="224"/>
      <c r="LPU1" s="224"/>
      <c r="LPV1" s="224"/>
      <c r="LPW1" s="224"/>
      <c r="LPX1" s="224"/>
      <c r="LPY1" s="224"/>
      <c r="LPZ1" s="224"/>
      <c r="LQA1" s="224"/>
      <c r="LQB1" s="224"/>
      <c r="LQC1" s="224"/>
      <c r="LQD1" s="224"/>
      <c r="LQE1" s="224"/>
      <c r="LQF1" s="224"/>
      <c r="LQG1" s="224"/>
      <c r="LQH1" s="224"/>
      <c r="LQI1" s="224"/>
      <c r="LQJ1" s="224"/>
      <c r="LQK1" s="224"/>
      <c r="LQL1" s="224"/>
      <c r="LQM1" s="224"/>
      <c r="LQN1" s="224"/>
      <c r="LQO1" s="224"/>
      <c r="LQP1" s="224"/>
      <c r="LQQ1" s="224"/>
      <c r="LQR1" s="224"/>
      <c r="LQS1" s="224"/>
      <c r="LQT1" s="224"/>
      <c r="LQU1" s="224"/>
      <c r="LQV1" s="224"/>
      <c r="LQW1" s="224"/>
      <c r="LQX1" s="224"/>
      <c r="LQY1" s="224"/>
      <c r="LQZ1" s="224"/>
      <c r="LRA1" s="224"/>
      <c r="LRB1" s="224"/>
      <c r="LRC1" s="224"/>
      <c r="LRD1" s="224"/>
      <c r="LRE1" s="224"/>
      <c r="LRF1" s="224"/>
      <c r="LRG1" s="224"/>
      <c r="LRH1" s="224"/>
      <c r="LRI1" s="224"/>
      <c r="LRJ1" s="224"/>
      <c r="LRK1" s="224"/>
      <c r="LRL1" s="224"/>
      <c r="LRM1" s="224"/>
      <c r="LRN1" s="224"/>
      <c r="LRO1" s="224"/>
      <c r="LRP1" s="224"/>
      <c r="LRQ1" s="224"/>
      <c r="LRR1" s="224"/>
      <c r="LRS1" s="224"/>
      <c r="LRT1" s="224"/>
      <c r="LRU1" s="224"/>
      <c r="LRV1" s="224"/>
      <c r="LRW1" s="224"/>
      <c r="LRX1" s="224"/>
      <c r="LRY1" s="224"/>
      <c r="LRZ1" s="224"/>
      <c r="LSA1" s="224"/>
      <c r="LSB1" s="224"/>
      <c r="LSC1" s="224"/>
      <c r="LSD1" s="224"/>
      <c r="LSE1" s="224"/>
      <c r="LSF1" s="224"/>
      <c r="LSG1" s="224"/>
      <c r="LSH1" s="224"/>
      <c r="LSI1" s="224"/>
      <c r="LSJ1" s="224"/>
      <c r="LSK1" s="224"/>
      <c r="LSL1" s="224"/>
      <c r="LSM1" s="224"/>
      <c r="LSN1" s="224"/>
      <c r="LSO1" s="224"/>
      <c r="LSP1" s="224"/>
      <c r="LSQ1" s="224"/>
      <c r="LSR1" s="224"/>
      <c r="LSS1" s="224"/>
      <c r="LST1" s="224"/>
      <c r="LSU1" s="224"/>
      <c r="LSV1" s="224"/>
      <c r="LSW1" s="224"/>
      <c r="LSX1" s="224"/>
      <c r="LSY1" s="224"/>
      <c r="LSZ1" s="224"/>
      <c r="LTA1" s="224"/>
      <c r="LTB1" s="224"/>
      <c r="LTC1" s="224"/>
      <c r="LTD1" s="224"/>
      <c r="LTE1" s="224"/>
      <c r="LTF1" s="224"/>
      <c r="LTG1" s="224"/>
      <c r="LTH1" s="224"/>
      <c r="LTI1" s="224"/>
      <c r="LTJ1" s="224"/>
      <c r="LTK1" s="224"/>
      <c r="LTL1" s="224"/>
      <c r="LTM1" s="224"/>
      <c r="LTN1" s="224"/>
      <c r="LTO1" s="224"/>
      <c r="LTP1" s="224"/>
      <c r="LTQ1" s="224"/>
      <c r="LTR1" s="224"/>
      <c r="LTS1" s="224"/>
      <c r="LTT1" s="224"/>
      <c r="LTU1" s="224"/>
      <c r="LTV1" s="224"/>
      <c r="LTW1" s="224"/>
      <c r="LTX1" s="224"/>
      <c r="LTY1" s="224"/>
      <c r="LTZ1" s="224"/>
      <c r="LUA1" s="224"/>
      <c r="LUB1" s="224"/>
      <c r="LUC1" s="224"/>
      <c r="LUD1" s="224"/>
      <c r="LUE1" s="224"/>
      <c r="LUF1" s="224"/>
      <c r="LUG1" s="224"/>
      <c r="LUH1" s="224"/>
      <c r="LUI1" s="224"/>
      <c r="LUJ1" s="224"/>
      <c r="LUK1" s="224"/>
      <c r="LUL1" s="224"/>
      <c r="LUM1" s="224"/>
      <c r="LUN1" s="224"/>
      <c r="LUO1" s="224"/>
      <c r="LUP1" s="224"/>
      <c r="LUQ1" s="224"/>
      <c r="LUR1" s="224"/>
      <c r="LUS1" s="224"/>
      <c r="LUT1" s="224"/>
      <c r="LUU1" s="224"/>
      <c r="LUV1" s="224"/>
      <c r="LUW1" s="224"/>
      <c r="LUX1" s="224"/>
      <c r="LUY1" s="224"/>
      <c r="LUZ1" s="224"/>
      <c r="LVA1" s="224"/>
      <c r="LVB1" s="224"/>
      <c r="LVC1" s="224"/>
      <c r="LVD1" s="224"/>
      <c r="LVE1" s="224"/>
      <c r="LVF1" s="224"/>
      <c r="LVG1" s="224"/>
      <c r="LVH1" s="224"/>
      <c r="LVI1" s="224"/>
      <c r="LVJ1" s="224"/>
      <c r="LVK1" s="224"/>
      <c r="LVL1" s="224"/>
      <c r="LVM1" s="224"/>
      <c r="LVN1" s="224"/>
      <c r="LVO1" s="224"/>
      <c r="LVP1" s="224"/>
      <c r="LVQ1" s="224"/>
      <c r="LVR1" s="224"/>
      <c r="LVS1" s="224"/>
      <c r="LVT1" s="224"/>
      <c r="LVU1" s="224"/>
      <c r="LVV1" s="224"/>
      <c r="LVW1" s="224"/>
      <c r="LVX1" s="224"/>
      <c r="LVY1" s="224"/>
      <c r="LVZ1" s="224"/>
      <c r="LWA1" s="224"/>
      <c r="LWB1" s="224"/>
      <c r="LWC1" s="224"/>
      <c r="LWD1" s="224"/>
      <c r="LWE1" s="224"/>
      <c r="LWF1" s="224"/>
      <c r="LWG1" s="224"/>
      <c r="LWH1" s="224"/>
      <c r="LWI1" s="224"/>
      <c r="LWJ1" s="224"/>
      <c r="LWK1" s="224"/>
      <c r="LWL1" s="224"/>
      <c r="LWM1" s="224"/>
      <c r="LWN1" s="224"/>
      <c r="LWO1" s="224"/>
      <c r="LWP1" s="224"/>
      <c r="LWQ1" s="224"/>
      <c r="LWR1" s="224"/>
      <c r="LWS1" s="224"/>
      <c r="LWT1" s="224"/>
      <c r="LWU1" s="224"/>
      <c r="LWV1" s="224"/>
      <c r="LWW1" s="224"/>
      <c r="LWX1" s="224"/>
      <c r="LWY1" s="224"/>
      <c r="LWZ1" s="224"/>
      <c r="LXA1" s="224"/>
      <c r="LXB1" s="224"/>
      <c r="LXC1" s="224"/>
      <c r="LXD1" s="224"/>
      <c r="LXE1" s="224"/>
      <c r="LXF1" s="224"/>
      <c r="LXG1" s="224"/>
      <c r="LXH1" s="224"/>
      <c r="LXI1" s="224"/>
      <c r="LXJ1" s="224"/>
      <c r="LXK1" s="224"/>
      <c r="LXL1" s="224"/>
      <c r="LXM1" s="224"/>
      <c r="LXN1" s="224"/>
      <c r="LXO1" s="224"/>
      <c r="LXP1" s="224"/>
      <c r="LXQ1" s="224"/>
      <c r="LXR1" s="224"/>
      <c r="LXS1" s="224"/>
      <c r="LXT1" s="224"/>
      <c r="LXU1" s="224"/>
      <c r="LXV1" s="224"/>
      <c r="LXW1" s="224"/>
      <c r="LXX1" s="224"/>
      <c r="LXY1" s="224"/>
      <c r="LXZ1" s="224"/>
      <c r="LYA1" s="224"/>
      <c r="LYB1" s="224"/>
      <c r="LYC1" s="224"/>
      <c r="LYD1" s="224"/>
      <c r="LYE1" s="224"/>
      <c r="LYF1" s="224"/>
      <c r="LYG1" s="224"/>
      <c r="LYH1" s="224"/>
      <c r="LYI1" s="224"/>
      <c r="LYJ1" s="224"/>
      <c r="LYK1" s="224"/>
      <c r="LYL1" s="224"/>
      <c r="LYM1" s="224"/>
      <c r="LYN1" s="224"/>
      <c r="LYO1" s="224"/>
      <c r="LYP1" s="224"/>
      <c r="LYQ1" s="224"/>
      <c r="LYR1" s="224"/>
      <c r="LYS1" s="224"/>
      <c r="LYT1" s="224"/>
      <c r="LYU1" s="224"/>
      <c r="LYV1" s="224"/>
      <c r="LYW1" s="224"/>
      <c r="LYX1" s="224"/>
      <c r="LYY1" s="224"/>
      <c r="LYZ1" s="224"/>
      <c r="LZA1" s="224"/>
      <c r="LZB1" s="224"/>
      <c r="LZC1" s="224"/>
      <c r="LZD1" s="224"/>
      <c r="LZE1" s="224"/>
      <c r="LZF1" s="224"/>
      <c r="LZG1" s="224"/>
      <c r="LZH1" s="224"/>
      <c r="LZI1" s="224"/>
      <c r="LZJ1" s="224"/>
      <c r="LZK1" s="224"/>
      <c r="LZL1" s="224"/>
      <c r="LZM1" s="224"/>
      <c r="LZN1" s="224"/>
      <c r="LZO1" s="224"/>
      <c r="LZP1" s="224"/>
      <c r="LZQ1" s="224"/>
      <c r="LZR1" s="224"/>
      <c r="LZS1" s="224"/>
      <c r="LZT1" s="224"/>
      <c r="LZU1" s="224"/>
      <c r="LZV1" s="224"/>
      <c r="LZW1" s="224"/>
      <c r="LZX1" s="224"/>
      <c r="LZY1" s="224"/>
      <c r="LZZ1" s="224"/>
      <c r="MAA1" s="224"/>
      <c r="MAB1" s="224"/>
      <c r="MAC1" s="224"/>
      <c r="MAD1" s="224"/>
      <c r="MAE1" s="224"/>
      <c r="MAF1" s="224"/>
      <c r="MAG1" s="224"/>
      <c r="MAH1" s="224"/>
      <c r="MAI1" s="224"/>
      <c r="MAJ1" s="224"/>
      <c r="MAK1" s="224"/>
      <c r="MAL1" s="224"/>
      <c r="MAM1" s="224"/>
      <c r="MAN1" s="224"/>
      <c r="MAO1" s="224"/>
      <c r="MAP1" s="224"/>
      <c r="MAQ1" s="224"/>
      <c r="MAR1" s="224"/>
      <c r="MAS1" s="224"/>
      <c r="MAT1" s="224"/>
      <c r="MAU1" s="224"/>
      <c r="MAV1" s="224"/>
      <c r="MAW1" s="224"/>
      <c r="MAX1" s="224"/>
      <c r="MAY1" s="224"/>
      <c r="MAZ1" s="224"/>
      <c r="MBA1" s="224"/>
      <c r="MBB1" s="224"/>
      <c r="MBC1" s="224"/>
      <c r="MBD1" s="224"/>
      <c r="MBE1" s="224"/>
      <c r="MBF1" s="224"/>
      <c r="MBG1" s="224"/>
      <c r="MBH1" s="224"/>
      <c r="MBI1" s="224"/>
      <c r="MBJ1" s="224"/>
      <c r="MBK1" s="224"/>
      <c r="MBL1" s="224"/>
      <c r="MBM1" s="224"/>
      <c r="MBN1" s="224"/>
      <c r="MBO1" s="224"/>
      <c r="MBP1" s="224"/>
      <c r="MBQ1" s="224"/>
      <c r="MBR1" s="224"/>
      <c r="MBS1" s="224"/>
      <c r="MBT1" s="224"/>
      <c r="MBU1" s="224"/>
      <c r="MBV1" s="224"/>
      <c r="MBW1" s="224"/>
      <c r="MBX1" s="224"/>
      <c r="MBY1" s="224"/>
      <c r="MBZ1" s="224"/>
      <c r="MCA1" s="224"/>
      <c r="MCB1" s="224"/>
      <c r="MCC1" s="224"/>
      <c r="MCD1" s="224"/>
      <c r="MCE1" s="224"/>
      <c r="MCF1" s="224"/>
      <c r="MCG1" s="224"/>
      <c r="MCH1" s="224"/>
      <c r="MCI1" s="224"/>
      <c r="MCJ1" s="224"/>
      <c r="MCK1" s="224"/>
      <c r="MCL1" s="224"/>
      <c r="MCM1" s="224"/>
      <c r="MCN1" s="224"/>
      <c r="MCO1" s="224"/>
      <c r="MCP1" s="224"/>
      <c r="MCQ1" s="224"/>
      <c r="MCR1" s="224"/>
      <c r="MCS1" s="224"/>
      <c r="MCT1" s="224"/>
      <c r="MCU1" s="224"/>
      <c r="MCV1" s="224"/>
      <c r="MCW1" s="224"/>
      <c r="MCX1" s="224"/>
      <c r="MCY1" s="224"/>
      <c r="MCZ1" s="224"/>
      <c r="MDA1" s="224"/>
      <c r="MDB1" s="224"/>
      <c r="MDC1" s="224"/>
      <c r="MDD1" s="224"/>
      <c r="MDE1" s="224"/>
      <c r="MDF1" s="224"/>
      <c r="MDG1" s="224"/>
      <c r="MDH1" s="224"/>
      <c r="MDI1" s="224"/>
      <c r="MDJ1" s="224"/>
      <c r="MDK1" s="224"/>
      <c r="MDL1" s="224"/>
      <c r="MDM1" s="224"/>
      <c r="MDN1" s="224"/>
      <c r="MDO1" s="224"/>
      <c r="MDP1" s="224"/>
      <c r="MDQ1" s="224"/>
      <c r="MDR1" s="224"/>
      <c r="MDS1" s="224"/>
      <c r="MDT1" s="224"/>
      <c r="MDU1" s="224"/>
      <c r="MDV1" s="224"/>
      <c r="MDW1" s="224"/>
      <c r="MDX1" s="224"/>
      <c r="MDY1" s="224"/>
      <c r="MDZ1" s="224"/>
      <c r="MEA1" s="224"/>
      <c r="MEB1" s="224"/>
      <c r="MEC1" s="224"/>
      <c r="MED1" s="224"/>
      <c r="MEE1" s="224"/>
      <c r="MEF1" s="224"/>
      <c r="MEG1" s="224"/>
      <c r="MEH1" s="224"/>
      <c r="MEI1" s="224"/>
      <c r="MEJ1" s="224"/>
      <c r="MEK1" s="224"/>
      <c r="MEL1" s="224"/>
      <c r="MEM1" s="224"/>
      <c r="MEN1" s="224"/>
      <c r="MEO1" s="224"/>
      <c r="MEP1" s="224"/>
      <c r="MEQ1" s="224"/>
      <c r="MER1" s="224"/>
      <c r="MES1" s="224"/>
      <c r="MET1" s="224"/>
      <c r="MEU1" s="224"/>
      <c r="MEV1" s="224"/>
      <c r="MEW1" s="224"/>
      <c r="MEX1" s="224"/>
      <c r="MEY1" s="224"/>
      <c r="MEZ1" s="224"/>
      <c r="MFA1" s="224"/>
      <c r="MFB1" s="224"/>
      <c r="MFC1" s="224"/>
      <c r="MFD1" s="224"/>
      <c r="MFE1" s="224"/>
      <c r="MFF1" s="224"/>
      <c r="MFG1" s="224"/>
      <c r="MFH1" s="224"/>
      <c r="MFI1" s="224"/>
      <c r="MFJ1" s="224"/>
      <c r="MFK1" s="224"/>
      <c r="MFL1" s="224"/>
      <c r="MFM1" s="224"/>
      <c r="MFN1" s="224"/>
      <c r="MFO1" s="224"/>
      <c r="MFP1" s="224"/>
      <c r="MFQ1" s="224"/>
      <c r="MFR1" s="224"/>
      <c r="MFS1" s="224"/>
      <c r="MFT1" s="224"/>
      <c r="MFU1" s="224"/>
      <c r="MFV1" s="224"/>
      <c r="MFW1" s="224"/>
      <c r="MFX1" s="224"/>
      <c r="MFY1" s="224"/>
      <c r="MFZ1" s="224"/>
      <c r="MGA1" s="224"/>
      <c r="MGB1" s="224"/>
      <c r="MGC1" s="224"/>
      <c r="MGD1" s="224"/>
      <c r="MGE1" s="224"/>
      <c r="MGF1" s="224"/>
      <c r="MGG1" s="224"/>
      <c r="MGH1" s="224"/>
      <c r="MGI1" s="224"/>
      <c r="MGJ1" s="224"/>
      <c r="MGK1" s="224"/>
      <c r="MGL1" s="224"/>
      <c r="MGM1" s="224"/>
      <c r="MGN1" s="224"/>
      <c r="MGO1" s="224"/>
      <c r="MGP1" s="224"/>
      <c r="MGQ1" s="224"/>
      <c r="MGR1" s="224"/>
      <c r="MGS1" s="224"/>
      <c r="MGT1" s="224"/>
      <c r="MGU1" s="224"/>
      <c r="MGV1" s="224"/>
      <c r="MGW1" s="224"/>
      <c r="MGX1" s="224"/>
      <c r="MGY1" s="224"/>
      <c r="MGZ1" s="224"/>
      <c r="MHA1" s="224"/>
      <c r="MHB1" s="224"/>
      <c r="MHC1" s="224"/>
      <c r="MHD1" s="224"/>
      <c r="MHE1" s="224"/>
      <c r="MHF1" s="224"/>
      <c r="MHG1" s="224"/>
      <c r="MHH1" s="224"/>
      <c r="MHI1" s="224"/>
      <c r="MHJ1" s="224"/>
      <c r="MHK1" s="224"/>
      <c r="MHL1" s="224"/>
      <c r="MHM1" s="224"/>
      <c r="MHN1" s="224"/>
      <c r="MHO1" s="224"/>
      <c r="MHP1" s="224"/>
      <c r="MHQ1" s="224"/>
      <c r="MHR1" s="224"/>
      <c r="MHS1" s="224"/>
      <c r="MHT1" s="224"/>
      <c r="MHU1" s="224"/>
      <c r="MHV1" s="224"/>
      <c r="MHW1" s="224"/>
      <c r="MHX1" s="224"/>
      <c r="MHY1" s="224"/>
      <c r="MHZ1" s="224"/>
      <c r="MIA1" s="224"/>
      <c r="MIB1" s="224"/>
      <c r="MIC1" s="224"/>
      <c r="MID1" s="224"/>
      <c r="MIE1" s="224"/>
      <c r="MIF1" s="224"/>
      <c r="MIG1" s="224"/>
      <c r="MIH1" s="224"/>
      <c r="MII1" s="224"/>
      <c r="MIJ1" s="224"/>
      <c r="MIK1" s="224"/>
      <c r="MIL1" s="224"/>
      <c r="MIM1" s="224"/>
      <c r="MIN1" s="224"/>
      <c r="MIO1" s="224"/>
      <c r="MIP1" s="224"/>
      <c r="MIQ1" s="224"/>
      <c r="MIR1" s="224"/>
      <c r="MIS1" s="224"/>
      <c r="MIT1" s="224"/>
      <c r="MIU1" s="224"/>
      <c r="MIV1" s="224"/>
      <c r="MIW1" s="224"/>
      <c r="MIX1" s="224"/>
      <c r="MIY1" s="224"/>
      <c r="MIZ1" s="224"/>
      <c r="MJA1" s="224"/>
      <c r="MJB1" s="224"/>
      <c r="MJC1" s="224"/>
      <c r="MJD1" s="224"/>
      <c r="MJE1" s="224"/>
      <c r="MJF1" s="224"/>
      <c r="MJG1" s="224"/>
      <c r="MJH1" s="224"/>
      <c r="MJI1" s="224"/>
      <c r="MJJ1" s="224"/>
      <c r="MJK1" s="224"/>
      <c r="MJL1" s="224"/>
      <c r="MJM1" s="224"/>
      <c r="MJN1" s="224"/>
      <c r="MJO1" s="224"/>
      <c r="MJP1" s="224"/>
      <c r="MJQ1" s="224"/>
      <c r="MJR1" s="224"/>
      <c r="MJS1" s="224"/>
      <c r="MJT1" s="224"/>
      <c r="MJU1" s="224"/>
      <c r="MJV1" s="224"/>
      <c r="MJW1" s="224"/>
      <c r="MJX1" s="224"/>
      <c r="MJY1" s="224"/>
      <c r="MJZ1" s="224"/>
      <c r="MKA1" s="224"/>
      <c r="MKB1" s="224"/>
      <c r="MKC1" s="224"/>
      <c r="MKD1" s="224"/>
      <c r="MKE1" s="224"/>
      <c r="MKF1" s="224"/>
      <c r="MKG1" s="224"/>
      <c r="MKH1" s="224"/>
      <c r="MKI1" s="224"/>
      <c r="MKJ1" s="224"/>
      <c r="MKK1" s="224"/>
      <c r="MKL1" s="224"/>
      <c r="MKM1" s="224"/>
      <c r="MKN1" s="224"/>
      <c r="MKO1" s="224"/>
      <c r="MKP1" s="224"/>
      <c r="MKQ1" s="224"/>
      <c r="MKR1" s="224"/>
      <c r="MKS1" s="224"/>
      <c r="MKT1" s="224"/>
      <c r="MKU1" s="224"/>
      <c r="MKV1" s="224"/>
      <c r="MKW1" s="224"/>
      <c r="MKX1" s="224"/>
      <c r="MKY1" s="224"/>
      <c r="MKZ1" s="224"/>
      <c r="MLA1" s="224"/>
      <c r="MLB1" s="224"/>
      <c r="MLC1" s="224"/>
      <c r="MLD1" s="224"/>
      <c r="MLE1" s="224"/>
      <c r="MLF1" s="224"/>
      <c r="MLG1" s="224"/>
      <c r="MLH1" s="224"/>
      <c r="MLI1" s="224"/>
      <c r="MLJ1" s="224"/>
      <c r="MLK1" s="224"/>
      <c r="MLL1" s="224"/>
      <c r="MLM1" s="224"/>
      <c r="MLN1" s="224"/>
      <c r="MLO1" s="224"/>
      <c r="MLP1" s="224"/>
      <c r="MLQ1" s="224"/>
      <c r="MLR1" s="224"/>
      <c r="MLS1" s="224"/>
      <c r="MLT1" s="224"/>
      <c r="MLU1" s="224"/>
      <c r="MLV1" s="224"/>
      <c r="MLW1" s="224"/>
      <c r="MLX1" s="224"/>
      <c r="MLY1" s="224"/>
      <c r="MLZ1" s="224"/>
      <c r="MMA1" s="224"/>
      <c r="MMB1" s="224"/>
      <c r="MMC1" s="224"/>
      <c r="MMD1" s="224"/>
      <c r="MME1" s="224"/>
      <c r="MMF1" s="224"/>
      <c r="MMG1" s="224"/>
      <c r="MMH1" s="224"/>
      <c r="MMI1" s="224"/>
      <c r="MMJ1" s="224"/>
      <c r="MMK1" s="224"/>
      <c r="MML1" s="224"/>
      <c r="MMM1" s="224"/>
      <c r="MMN1" s="224"/>
      <c r="MMO1" s="224"/>
      <c r="MMP1" s="224"/>
      <c r="MMQ1" s="224"/>
      <c r="MMR1" s="224"/>
      <c r="MMS1" s="224"/>
      <c r="MMT1" s="224"/>
      <c r="MMU1" s="224"/>
      <c r="MMV1" s="224"/>
      <c r="MMW1" s="224"/>
      <c r="MMX1" s="224"/>
      <c r="MMY1" s="224"/>
      <c r="MMZ1" s="224"/>
      <c r="MNA1" s="224"/>
      <c r="MNB1" s="224"/>
      <c r="MNC1" s="224"/>
      <c r="MND1" s="224"/>
      <c r="MNE1" s="224"/>
      <c r="MNF1" s="224"/>
      <c r="MNG1" s="224"/>
      <c r="MNH1" s="224"/>
      <c r="MNI1" s="224"/>
      <c r="MNJ1" s="224"/>
      <c r="MNK1" s="224"/>
      <c r="MNL1" s="224"/>
      <c r="MNM1" s="224"/>
      <c r="MNN1" s="224"/>
      <c r="MNO1" s="224"/>
      <c r="MNP1" s="224"/>
      <c r="MNQ1" s="224"/>
      <c r="MNR1" s="224"/>
      <c r="MNS1" s="224"/>
      <c r="MNT1" s="224"/>
      <c r="MNU1" s="224"/>
      <c r="MNV1" s="224"/>
      <c r="MNW1" s="224"/>
      <c r="MNX1" s="224"/>
      <c r="MNY1" s="224"/>
      <c r="MNZ1" s="224"/>
      <c r="MOA1" s="224"/>
      <c r="MOB1" s="224"/>
      <c r="MOC1" s="224"/>
      <c r="MOD1" s="224"/>
      <c r="MOE1" s="224"/>
      <c r="MOF1" s="224"/>
      <c r="MOG1" s="224"/>
      <c r="MOH1" s="224"/>
      <c r="MOI1" s="224"/>
      <c r="MOJ1" s="224"/>
      <c r="MOK1" s="224"/>
      <c r="MOL1" s="224"/>
      <c r="MOM1" s="224"/>
      <c r="MON1" s="224"/>
      <c r="MOO1" s="224"/>
      <c r="MOP1" s="224"/>
      <c r="MOQ1" s="224"/>
      <c r="MOR1" s="224"/>
      <c r="MOS1" s="224"/>
      <c r="MOT1" s="224"/>
      <c r="MOU1" s="224"/>
      <c r="MOV1" s="224"/>
      <c r="MOW1" s="224"/>
      <c r="MOX1" s="224"/>
      <c r="MOY1" s="224"/>
      <c r="MOZ1" s="224"/>
      <c r="MPA1" s="224"/>
      <c r="MPB1" s="224"/>
      <c r="MPC1" s="224"/>
      <c r="MPD1" s="224"/>
      <c r="MPE1" s="224"/>
      <c r="MPF1" s="224"/>
      <c r="MPG1" s="224"/>
      <c r="MPH1" s="224"/>
      <c r="MPI1" s="224"/>
      <c r="MPJ1" s="224"/>
      <c r="MPK1" s="224"/>
      <c r="MPL1" s="224"/>
      <c r="MPM1" s="224"/>
      <c r="MPN1" s="224"/>
      <c r="MPO1" s="224"/>
      <c r="MPP1" s="224"/>
      <c r="MPQ1" s="224"/>
      <c r="MPR1" s="224"/>
      <c r="MPS1" s="224"/>
      <c r="MPT1" s="224"/>
      <c r="MPU1" s="224"/>
      <c r="MPV1" s="224"/>
      <c r="MPW1" s="224"/>
      <c r="MPX1" s="224"/>
      <c r="MPY1" s="224"/>
      <c r="MPZ1" s="224"/>
      <c r="MQA1" s="224"/>
      <c r="MQB1" s="224"/>
      <c r="MQC1" s="224"/>
      <c r="MQD1" s="224"/>
      <c r="MQE1" s="224"/>
      <c r="MQF1" s="224"/>
      <c r="MQG1" s="224"/>
      <c r="MQH1" s="224"/>
      <c r="MQI1" s="224"/>
      <c r="MQJ1" s="224"/>
      <c r="MQK1" s="224"/>
      <c r="MQL1" s="224"/>
      <c r="MQM1" s="224"/>
      <c r="MQN1" s="224"/>
      <c r="MQO1" s="224"/>
      <c r="MQP1" s="224"/>
      <c r="MQQ1" s="224"/>
      <c r="MQR1" s="224"/>
      <c r="MQS1" s="224"/>
      <c r="MQT1" s="224"/>
      <c r="MQU1" s="224"/>
      <c r="MQV1" s="224"/>
      <c r="MQW1" s="224"/>
      <c r="MQX1" s="224"/>
      <c r="MQY1" s="224"/>
      <c r="MQZ1" s="224"/>
      <c r="MRA1" s="224"/>
      <c r="MRB1" s="224"/>
      <c r="MRC1" s="224"/>
      <c r="MRD1" s="224"/>
      <c r="MRE1" s="224"/>
      <c r="MRF1" s="224"/>
      <c r="MRG1" s="224"/>
      <c r="MRH1" s="224"/>
      <c r="MRI1" s="224"/>
      <c r="MRJ1" s="224"/>
      <c r="MRK1" s="224"/>
      <c r="MRL1" s="224"/>
      <c r="MRM1" s="224"/>
      <c r="MRN1" s="224"/>
      <c r="MRO1" s="224"/>
      <c r="MRP1" s="224"/>
      <c r="MRQ1" s="224"/>
      <c r="MRR1" s="224"/>
      <c r="MRS1" s="224"/>
      <c r="MRT1" s="224"/>
      <c r="MRU1" s="224"/>
      <c r="MRV1" s="224"/>
      <c r="MRW1" s="224"/>
      <c r="MRX1" s="224"/>
      <c r="MRY1" s="224"/>
      <c r="MRZ1" s="224"/>
      <c r="MSA1" s="224"/>
      <c r="MSB1" s="224"/>
      <c r="MSC1" s="224"/>
      <c r="MSD1" s="224"/>
      <c r="MSE1" s="224"/>
      <c r="MSF1" s="224"/>
      <c r="MSG1" s="224"/>
      <c r="MSH1" s="224"/>
      <c r="MSI1" s="224"/>
      <c r="MSJ1" s="224"/>
      <c r="MSK1" s="224"/>
      <c r="MSL1" s="224"/>
      <c r="MSM1" s="224"/>
      <c r="MSN1" s="224"/>
      <c r="MSO1" s="224"/>
      <c r="MSP1" s="224"/>
      <c r="MSQ1" s="224"/>
      <c r="MSR1" s="224"/>
      <c r="MSS1" s="224"/>
      <c r="MST1" s="224"/>
      <c r="MSU1" s="224"/>
      <c r="MSV1" s="224"/>
      <c r="MSW1" s="224"/>
      <c r="MSX1" s="224"/>
      <c r="MSY1" s="224"/>
      <c r="MSZ1" s="224"/>
      <c r="MTA1" s="224"/>
      <c r="MTB1" s="224"/>
      <c r="MTC1" s="224"/>
      <c r="MTD1" s="224"/>
      <c r="MTE1" s="224"/>
      <c r="MTF1" s="224"/>
      <c r="MTG1" s="224"/>
      <c r="MTH1" s="224"/>
      <c r="MTI1" s="224"/>
      <c r="MTJ1" s="224"/>
      <c r="MTK1" s="224"/>
      <c r="MTL1" s="224"/>
      <c r="MTM1" s="224"/>
      <c r="MTN1" s="224"/>
      <c r="MTO1" s="224"/>
      <c r="MTP1" s="224"/>
      <c r="MTQ1" s="224"/>
      <c r="MTR1" s="224"/>
      <c r="MTS1" s="224"/>
      <c r="MTT1" s="224"/>
      <c r="MTU1" s="224"/>
      <c r="MTV1" s="224"/>
      <c r="MTW1" s="224"/>
      <c r="MTX1" s="224"/>
      <c r="MTY1" s="224"/>
      <c r="MTZ1" s="224"/>
      <c r="MUA1" s="224"/>
      <c r="MUB1" s="224"/>
      <c r="MUC1" s="224"/>
      <c r="MUD1" s="224"/>
      <c r="MUE1" s="224"/>
      <c r="MUF1" s="224"/>
      <c r="MUG1" s="224"/>
      <c r="MUH1" s="224"/>
      <c r="MUI1" s="224"/>
      <c r="MUJ1" s="224"/>
      <c r="MUK1" s="224"/>
      <c r="MUL1" s="224"/>
      <c r="MUM1" s="224"/>
      <c r="MUN1" s="224"/>
      <c r="MUO1" s="224"/>
      <c r="MUP1" s="224"/>
      <c r="MUQ1" s="224"/>
      <c r="MUR1" s="224"/>
      <c r="MUS1" s="224"/>
      <c r="MUT1" s="224"/>
      <c r="MUU1" s="224"/>
      <c r="MUV1" s="224"/>
      <c r="MUW1" s="224"/>
      <c r="MUX1" s="224"/>
      <c r="MUY1" s="224"/>
      <c r="MUZ1" s="224"/>
      <c r="MVA1" s="224"/>
      <c r="MVB1" s="224"/>
      <c r="MVC1" s="224"/>
      <c r="MVD1" s="224"/>
      <c r="MVE1" s="224"/>
      <c r="MVF1" s="224"/>
      <c r="MVG1" s="224"/>
      <c r="MVH1" s="224"/>
      <c r="MVI1" s="224"/>
      <c r="MVJ1" s="224"/>
      <c r="MVK1" s="224"/>
      <c r="MVL1" s="224"/>
      <c r="MVM1" s="224"/>
      <c r="MVN1" s="224"/>
      <c r="MVO1" s="224"/>
      <c r="MVP1" s="224"/>
      <c r="MVQ1" s="224"/>
      <c r="MVR1" s="224"/>
      <c r="MVS1" s="224"/>
      <c r="MVT1" s="224"/>
      <c r="MVU1" s="224"/>
      <c r="MVV1" s="224"/>
      <c r="MVW1" s="224"/>
      <c r="MVX1" s="224"/>
      <c r="MVY1" s="224"/>
      <c r="MVZ1" s="224"/>
      <c r="MWA1" s="224"/>
      <c r="MWB1" s="224"/>
      <c r="MWC1" s="224"/>
      <c r="MWD1" s="224"/>
      <c r="MWE1" s="224"/>
      <c r="MWF1" s="224"/>
      <c r="MWG1" s="224"/>
      <c r="MWH1" s="224"/>
      <c r="MWI1" s="224"/>
      <c r="MWJ1" s="224"/>
      <c r="MWK1" s="224"/>
      <c r="MWL1" s="224"/>
      <c r="MWM1" s="224"/>
      <c r="MWN1" s="224"/>
      <c r="MWO1" s="224"/>
      <c r="MWP1" s="224"/>
      <c r="MWQ1" s="224"/>
      <c r="MWR1" s="224"/>
      <c r="MWS1" s="224"/>
      <c r="MWT1" s="224"/>
      <c r="MWU1" s="224"/>
      <c r="MWV1" s="224"/>
      <c r="MWW1" s="224"/>
      <c r="MWX1" s="224"/>
      <c r="MWY1" s="224"/>
      <c r="MWZ1" s="224"/>
      <c r="MXA1" s="224"/>
      <c r="MXB1" s="224"/>
      <c r="MXC1" s="224"/>
      <c r="MXD1" s="224"/>
      <c r="MXE1" s="224"/>
      <c r="MXF1" s="224"/>
      <c r="MXG1" s="224"/>
      <c r="MXH1" s="224"/>
      <c r="MXI1" s="224"/>
      <c r="MXJ1" s="224"/>
      <c r="MXK1" s="224"/>
      <c r="MXL1" s="224"/>
      <c r="MXM1" s="224"/>
      <c r="MXN1" s="224"/>
      <c r="MXO1" s="224"/>
      <c r="MXP1" s="224"/>
      <c r="MXQ1" s="224"/>
      <c r="MXR1" s="224"/>
      <c r="MXS1" s="224"/>
      <c r="MXT1" s="224"/>
      <c r="MXU1" s="224"/>
      <c r="MXV1" s="224"/>
      <c r="MXW1" s="224"/>
      <c r="MXX1" s="224"/>
      <c r="MXY1" s="224"/>
      <c r="MXZ1" s="224"/>
      <c r="MYA1" s="224"/>
      <c r="MYB1" s="224"/>
      <c r="MYC1" s="224"/>
      <c r="MYD1" s="224"/>
      <c r="MYE1" s="224"/>
      <c r="MYF1" s="224"/>
      <c r="MYG1" s="224"/>
      <c r="MYH1" s="224"/>
      <c r="MYI1" s="224"/>
      <c r="MYJ1" s="224"/>
      <c r="MYK1" s="224"/>
      <c r="MYL1" s="224"/>
      <c r="MYM1" s="224"/>
      <c r="MYN1" s="224"/>
      <c r="MYO1" s="224"/>
      <c r="MYP1" s="224"/>
      <c r="MYQ1" s="224"/>
      <c r="MYR1" s="224"/>
      <c r="MYS1" s="224"/>
      <c r="MYT1" s="224"/>
      <c r="MYU1" s="224"/>
      <c r="MYV1" s="224"/>
      <c r="MYW1" s="224"/>
      <c r="MYX1" s="224"/>
      <c r="MYY1" s="224"/>
      <c r="MYZ1" s="224"/>
      <c r="MZA1" s="224"/>
      <c r="MZB1" s="224"/>
      <c r="MZC1" s="224"/>
      <c r="MZD1" s="224"/>
      <c r="MZE1" s="224"/>
      <c r="MZF1" s="224"/>
      <c r="MZG1" s="224"/>
      <c r="MZH1" s="224"/>
      <c r="MZI1" s="224"/>
      <c r="MZJ1" s="224"/>
      <c r="MZK1" s="224"/>
      <c r="MZL1" s="224"/>
      <c r="MZM1" s="224"/>
      <c r="MZN1" s="224"/>
      <c r="MZO1" s="224"/>
      <c r="MZP1" s="224"/>
      <c r="MZQ1" s="224"/>
      <c r="MZR1" s="224"/>
      <c r="MZS1" s="224"/>
      <c r="MZT1" s="224"/>
      <c r="MZU1" s="224"/>
      <c r="MZV1" s="224"/>
      <c r="MZW1" s="224"/>
      <c r="MZX1" s="224"/>
      <c r="MZY1" s="224"/>
      <c r="MZZ1" s="224"/>
      <c r="NAA1" s="224"/>
      <c r="NAB1" s="224"/>
      <c r="NAC1" s="224"/>
      <c r="NAD1" s="224"/>
      <c r="NAE1" s="224"/>
      <c r="NAF1" s="224"/>
      <c r="NAG1" s="224"/>
      <c r="NAH1" s="224"/>
      <c r="NAI1" s="224"/>
      <c r="NAJ1" s="224"/>
      <c r="NAK1" s="224"/>
      <c r="NAL1" s="224"/>
      <c r="NAM1" s="224"/>
      <c r="NAN1" s="224"/>
      <c r="NAO1" s="224"/>
      <c r="NAP1" s="224"/>
      <c r="NAQ1" s="224"/>
      <c r="NAR1" s="224"/>
      <c r="NAS1" s="224"/>
      <c r="NAT1" s="224"/>
      <c r="NAU1" s="224"/>
      <c r="NAV1" s="224"/>
      <c r="NAW1" s="224"/>
      <c r="NAX1" s="224"/>
      <c r="NAY1" s="224"/>
      <c r="NAZ1" s="224"/>
      <c r="NBA1" s="224"/>
      <c r="NBB1" s="224"/>
      <c r="NBC1" s="224"/>
      <c r="NBD1" s="224"/>
      <c r="NBE1" s="224"/>
      <c r="NBF1" s="224"/>
      <c r="NBG1" s="224"/>
      <c r="NBH1" s="224"/>
      <c r="NBI1" s="224"/>
      <c r="NBJ1" s="224"/>
      <c r="NBK1" s="224"/>
      <c r="NBL1" s="224"/>
      <c r="NBM1" s="224"/>
      <c r="NBN1" s="224"/>
      <c r="NBO1" s="224"/>
      <c r="NBP1" s="224"/>
      <c r="NBQ1" s="224"/>
      <c r="NBR1" s="224"/>
      <c r="NBS1" s="224"/>
      <c r="NBT1" s="224"/>
      <c r="NBU1" s="224"/>
      <c r="NBV1" s="224"/>
      <c r="NBW1" s="224"/>
      <c r="NBX1" s="224"/>
      <c r="NBY1" s="224"/>
      <c r="NBZ1" s="224"/>
      <c r="NCA1" s="224"/>
      <c r="NCB1" s="224"/>
      <c r="NCC1" s="224"/>
      <c r="NCD1" s="224"/>
      <c r="NCE1" s="224"/>
      <c r="NCF1" s="224"/>
      <c r="NCG1" s="224"/>
      <c r="NCH1" s="224"/>
      <c r="NCI1" s="224"/>
      <c r="NCJ1" s="224"/>
      <c r="NCK1" s="224"/>
      <c r="NCL1" s="224"/>
      <c r="NCM1" s="224"/>
      <c r="NCN1" s="224"/>
      <c r="NCO1" s="224"/>
      <c r="NCP1" s="224"/>
      <c r="NCQ1" s="224"/>
      <c r="NCR1" s="224"/>
      <c r="NCS1" s="224"/>
      <c r="NCT1" s="224"/>
      <c r="NCU1" s="224"/>
      <c r="NCV1" s="224"/>
      <c r="NCW1" s="224"/>
      <c r="NCX1" s="224"/>
      <c r="NCY1" s="224"/>
      <c r="NCZ1" s="224"/>
      <c r="NDA1" s="224"/>
      <c r="NDB1" s="224"/>
      <c r="NDC1" s="224"/>
      <c r="NDD1" s="224"/>
      <c r="NDE1" s="224"/>
      <c r="NDF1" s="224"/>
      <c r="NDG1" s="224"/>
      <c r="NDH1" s="224"/>
      <c r="NDI1" s="224"/>
      <c r="NDJ1" s="224"/>
      <c r="NDK1" s="224"/>
      <c r="NDL1" s="224"/>
      <c r="NDM1" s="224"/>
      <c r="NDN1" s="224"/>
      <c r="NDO1" s="224"/>
      <c r="NDP1" s="224"/>
      <c r="NDQ1" s="224"/>
      <c r="NDR1" s="224"/>
      <c r="NDS1" s="224"/>
      <c r="NDT1" s="224"/>
      <c r="NDU1" s="224"/>
      <c r="NDV1" s="224"/>
      <c r="NDW1" s="224"/>
      <c r="NDX1" s="224"/>
      <c r="NDY1" s="224"/>
      <c r="NDZ1" s="224"/>
      <c r="NEA1" s="224"/>
      <c r="NEB1" s="224"/>
      <c r="NEC1" s="224"/>
      <c r="NED1" s="224"/>
      <c r="NEE1" s="224"/>
      <c r="NEF1" s="224"/>
      <c r="NEG1" s="224"/>
      <c r="NEH1" s="224"/>
      <c r="NEI1" s="224"/>
      <c r="NEJ1" s="224"/>
      <c r="NEK1" s="224"/>
      <c r="NEL1" s="224"/>
      <c r="NEM1" s="224"/>
      <c r="NEN1" s="224"/>
      <c r="NEO1" s="224"/>
      <c r="NEP1" s="224"/>
      <c r="NEQ1" s="224"/>
      <c r="NER1" s="224"/>
      <c r="NES1" s="224"/>
      <c r="NET1" s="224"/>
      <c r="NEU1" s="224"/>
      <c r="NEV1" s="224"/>
      <c r="NEW1" s="224"/>
      <c r="NEX1" s="224"/>
      <c r="NEY1" s="224"/>
      <c r="NEZ1" s="224"/>
      <c r="NFA1" s="224"/>
      <c r="NFB1" s="224"/>
      <c r="NFC1" s="224"/>
      <c r="NFD1" s="224"/>
      <c r="NFE1" s="224"/>
      <c r="NFF1" s="224"/>
      <c r="NFG1" s="224"/>
      <c r="NFH1" s="224"/>
      <c r="NFI1" s="224"/>
      <c r="NFJ1" s="224"/>
      <c r="NFK1" s="224"/>
      <c r="NFL1" s="224"/>
      <c r="NFM1" s="224"/>
      <c r="NFN1" s="224"/>
      <c r="NFO1" s="224"/>
      <c r="NFP1" s="224"/>
      <c r="NFQ1" s="224"/>
      <c r="NFR1" s="224"/>
      <c r="NFS1" s="224"/>
      <c r="NFT1" s="224"/>
      <c r="NFU1" s="224"/>
      <c r="NFV1" s="224"/>
      <c r="NFW1" s="224"/>
      <c r="NFX1" s="224"/>
      <c r="NFY1" s="224"/>
      <c r="NFZ1" s="224"/>
      <c r="NGA1" s="224"/>
      <c r="NGB1" s="224"/>
      <c r="NGC1" s="224"/>
      <c r="NGD1" s="224"/>
      <c r="NGE1" s="224"/>
      <c r="NGF1" s="224"/>
      <c r="NGG1" s="224"/>
      <c r="NGH1" s="224"/>
      <c r="NGI1" s="224"/>
      <c r="NGJ1" s="224"/>
      <c r="NGK1" s="224"/>
      <c r="NGL1" s="224"/>
      <c r="NGM1" s="224"/>
      <c r="NGN1" s="224"/>
      <c r="NGO1" s="224"/>
      <c r="NGP1" s="224"/>
      <c r="NGQ1" s="224"/>
      <c r="NGR1" s="224"/>
      <c r="NGS1" s="224"/>
      <c r="NGT1" s="224"/>
      <c r="NGU1" s="224"/>
      <c r="NGV1" s="224"/>
      <c r="NGW1" s="224"/>
      <c r="NGX1" s="224"/>
      <c r="NGY1" s="224"/>
      <c r="NGZ1" s="224"/>
      <c r="NHA1" s="224"/>
      <c r="NHB1" s="224"/>
      <c r="NHC1" s="224"/>
      <c r="NHD1" s="224"/>
      <c r="NHE1" s="224"/>
      <c r="NHF1" s="224"/>
      <c r="NHG1" s="224"/>
      <c r="NHH1" s="224"/>
      <c r="NHI1" s="224"/>
      <c r="NHJ1" s="224"/>
      <c r="NHK1" s="224"/>
      <c r="NHL1" s="224"/>
      <c r="NHM1" s="224"/>
      <c r="NHN1" s="224"/>
      <c r="NHO1" s="224"/>
      <c r="NHP1" s="224"/>
      <c r="NHQ1" s="224"/>
      <c r="NHR1" s="224"/>
      <c r="NHS1" s="224"/>
      <c r="NHT1" s="224"/>
      <c r="NHU1" s="224"/>
      <c r="NHV1" s="224"/>
      <c r="NHW1" s="224"/>
      <c r="NHX1" s="224"/>
      <c r="NHY1" s="224"/>
      <c r="NHZ1" s="224"/>
      <c r="NIA1" s="224"/>
      <c r="NIB1" s="224"/>
      <c r="NIC1" s="224"/>
      <c r="NID1" s="224"/>
      <c r="NIE1" s="224"/>
      <c r="NIF1" s="224"/>
      <c r="NIG1" s="224"/>
      <c r="NIH1" s="224"/>
      <c r="NII1" s="224"/>
      <c r="NIJ1" s="224"/>
      <c r="NIK1" s="224"/>
      <c r="NIL1" s="224"/>
      <c r="NIM1" s="224"/>
      <c r="NIN1" s="224"/>
      <c r="NIO1" s="224"/>
      <c r="NIP1" s="224"/>
      <c r="NIQ1" s="224"/>
      <c r="NIR1" s="224"/>
      <c r="NIS1" s="224"/>
      <c r="NIT1" s="224"/>
      <c r="NIU1" s="224"/>
      <c r="NIV1" s="224"/>
      <c r="NIW1" s="224"/>
      <c r="NIX1" s="224"/>
      <c r="NIY1" s="224"/>
      <c r="NIZ1" s="224"/>
      <c r="NJA1" s="224"/>
      <c r="NJB1" s="224"/>
      <c r="NJC1" s="224"/>
      <c r="NJD1" s="224"/>
      <c r="NJE1" s="224"/>
      <c r="NJF1" s="224"/>
      <c r="NJG1" s="224"/>
      <c r="NJH1" s="224"/>
      <c r="NJI1" s="224"/>
      <c r="NJJ1" s="224"/>
      <c r="NJK1" s="224"/>
      <c r="NJL1" s="224"/>
      <c r="NJM1" s="224"/>
      <c r="NJN1" s="224"/>
      <c r="NJO1" s="224"/>
      <c r="NJP1" s="224"/>
      <c r="NJQ1" s="224"/>
      <c r="NJR1" s="224"/>
      <c r="NJS1" s="224"/>
      <c r="NJT1" s="224"/>
      <c r="NJU1" s="224"/>
      <c r="NJV1" s="224"/>
      <c r="NJW1" s="224"/>
      <c r="NJX1" s="224"/>
      <c r="NJY1" s="224"/>
      <c r="NJZ1" s="224"/>
      <c r="NKA1" s="224"/>
      <c r="NKB1" s="224"/>
      <c r="NKC1" s="224"/>
      <c r="NKD1" s="224"/>
      <c r="NKE1" s="224"/>
      <c r="NKF1" s="224"/>
      <c r="NKG1" s="224"/>
      <c r="NKH1" s="224"/>
      <c r="NKI1" s="224"/>
      <c r="NKJ1" s="224"/>
      <c r="NKK1" s="224"/>
      <c r="NKL1" s="224"/>
      <c r="NKM1" s="224"/>
      <c r="NKN1" s="224"/>
      <c r="NKO1" s="224"/>
      <c r="NKP1" s="224"/>
      <c r="NKQ1" s="224"/>
      <c r="NKR1" s="224"/>
      <c r="NKS1" s="224"/>
      <c r="NKT1" s="224"/>
      <c r="NKU1" s="224"/>
      <c r="NKV1" s="224"/>
      <c r="NKW1" s="224"/>
      <c r="NKX1" s="224"/>
      <c r="NKY1" s="224"/>
      <c r="NKZ1" s="224"/>
      <c r="NLA1" s="224"/>
      <c r="NLB1" s="224"/>
      <c r="NLC1" s="224"/>
      <c r="NLD1" s="224"/>
      <c r="NLE1" s="224"/>
      <c r="NLF1" s="224"/>
      <c r="NLG1" s="224"/>
      <c r="NLH1" s="224"/>
      <c r="NLI1" s="224"/>
      <c r="NLJ1" s="224"/>
      <c r="NLK1" s="224"/>
      <c r="NLL1" s="224"/>
      <c r="NLM1" s="224"/>
      <c r="NLN1" s="224"/>
      <c r="NLO1" s="224"/>
      <c r="NLP1" s="224"/>
      <c r="NLQ1" s="224"/>
      <c r="NLR1" s="224"/>
      <c r="NLS1" s="224"/>
      <c r="NLT1" s="224"/>
      <c r="NLU1" s="224"/>
      <c r="NLV1" s="224"/>
      <c r="NLW1" s="224"/>
      <c r="NLX1" s="224"/>
      <c r="NLY1" s="224"/>
      <c r="NLZ1" s="224"/>
      <c r="NMA1" s="224"/>
      <c r="NMB1" s="224"/>
      <c r="NMC1" s="224"/>
      <c r="NMD1" s="224"/>
      <c r="NME1" s="224"/>
      <c r="NMF1" s="224"/>
      <c r="NMG1" s="224"/>
      <c r="NMH1" s="224"/>
      <c r="NMI1" s="224"/>
      <c r="NMJ1" s="224"/>
      <c r="NMK1" s="224"/>
      <c r="NML1" s="224"/>
      <c r="NMM1" s="224"/>
      <c r="NMN1" s="224"/>
      <c r="NMO1" s="224"/>
      <c r="NMP1" s="224"/>
      <c r="NMQ1" s="224"/>
      <c r="NMR1" s="224"/>
      <c r="NMS1" s="224"/>
      <c r="NMT1" s="224"/>
      <c r="NMU1" s="224"/>
      <c r="NMV1" s="224"/>
      <c r="NMW1" s="224"/>
      <c r="NMX1" s="224"/>
      <c r="NMY1" s="224"/>
      <c r="NMZ1" s="224"/>
      <c r="NNA1" s="224"/>
      <c r="NNB1" s="224"/>
      <c r="NNC1" s="224"/>
      <c r="NND1" s="224"/>
      <c r="NNE1" s="224"/>
      <c r="NNF1" s="224"/>
      <c r="NNG1" s="224"/>
      <c r="NNH1" s="224"/>
      <c r="NNI1" s="224"/>
      <c r="NNJ1" s="224"/>
      <c r="NNK1" s="224"/>
      <c r="NNL1" s="224"/>
      <c r="NNM1" s="224"/>
      <c r="NNN1" s="224"/>
      <c r="NNO1" s="224"/>
      <c r="NNP1" s="224"/>
      <c r="NNQ1" s="224"/>
      <c r="NNR1" s="224"/>
      <c r="NNS1" s="224"/>
      <c r="NNT1" s="224"/>
      <c r="NNU1" s="224"/>
      <c r="NNV1" s="224"/>
      <c r="NNW1" s="224"/>
      <c r="NNX1" s="224"/>
      <c r="NNY1" s="224"/>
      <c r="NNZ1" s="224"/>
      <c r="NOA1" s="224"/>
      <c r="NOB1" s="224"/>
      <c r="NOC1" s="224"/>
      <c r="NOD1" s="224"/>
      <c r="NOE1" s="224"/>
      <c r="NOF1" s="224"/>
      <c r="NOG1" s="224"/>
      <c r="NOH1" s="224"/>
      <c r="NOI1" s="224"/>
      <c r="NOJ1" s="224"/>
      <c r="NOK1" s="224"/>
      <c r="NOL1" s="224"/>
      <c r="NOM1" s="224"/>
      <c r="NON1" s="224"/>
      <c r="NOO1" s="224"/>
      <c r="NOP1" s="224"/>
      <c r="NOQ1" s="224"/>
      <c r="NOR1" s="224"/>
      <c r="NOS1" s="224"/>
      <c r="NOT1" s="224"/>
      <c r="NOU1" s="224"/>
      <c r="NOV1" s="224"/>
      <c r="NOW1" s="224"/>
      <c r="NOX1" s="224"/>
      <c r="NOY1" s="224"/>
      <c r="NOZ1" s="224"/>
      <c r="NPA1" s="224"/>
      <c r="NPB1" s="224"/>
      <c r="NPC1" s="224"/>
      <c r="NPD1" s="224"/>
      <c r="NPE1" s="224"/>
      <c r="NPF1" s="224"/>
      <c r="NPG1" s="224"/>
      <c r="NPH1" s="224"/>
      <c r="NPI1" s="224"/>
      <c r="NPJ1" s="224"/>
      <c r="NPK1" s="224"/>
      <c r="NPL1" s="224"/>
      <c r="NPM1" s="224"/>
      <c r="NPN1" s="224"/>
      <c r="NPO1" s="224"/>
      <c r="NPP1" s="224"/>
      <c r="NPQ1" s="224"/>
      <c r="NPR1" s="224"/>
      <c r="NPS1" s="224"/>
      <c r="NPT1" s="224"/>
      <c r="NPU1" s="224"/>
      <c r="NPV1" s="224"/>
      <c r="NPW1" s="224"/>
      <c r="NPX1" s="224"/>
      <c r="NPY1" s="224"/>
      <c r="NPZ1" s="224"/>
      <c r="NQA1" s="224"/>
      <c r="NQB1" s="224"/>
      <c r="NQC1" s="224"/>
      <c r="NQD1" s="224"/>
      <c r="NQE1" s="224"/>
      <c r="NQF1" s="224"/>
      <c r="NQG1" s="224"/>
      <c r="NQH1" s="224"/>
      <c r="NQI1" s="224"/>
      <c r="NQJ1" s="224"/>
      <c r="NQK1" s="224"/>
      <c r="NQL1" s="224"/>
      <c r="NQM1" s="224"/>
      <c r="NQN1" s="224"/>
      <c r="NQO1" s="224"/>
      <c r="NQP1" s="224"/>
      <c r="NQQ1" s="224"/>
      <c r="NQR1" s="224"/>
      <c r="NQS1" s="224"/>
      <c r="NQT1" s="224"/>
      <c r="NQU1" s="224"/>
      <c r="NQV1" s="224"/>
      <c r="NQW1" s="224"/>
      <c r="NQX1" s="224"/>
      <c r="NQY1" s="224"/>
      <c r="NQZ1" s="224"/>
      <c r="NRA1" s="224"/>
      <c r="NRB1" s="224"/>
      <c r="NRC1" s="224"/>
      <c r="NRD1" s="224"/>
      <c r="NRE1" s="224"/>
      <c r="NRF1" s="224"/>
      <c r="NRG1" s="224"/>
      <c r="NRH1" s="224"/>
      <c r="NRI1" s="224"/>
      <c r="NRJ1" s="224"/>
      <c r="NRK1" s="224"/>
      <c r="NRL1" s="224"/>
      <c r="NRM1" s="224"/>
      <c r="NRN1" s="224"/>
      <c r="NRO1" s="224"/>
      <c r="NRP1" s="224"/>
      <c r="NRQ1" s="224"/>
      <c r="NRR1" s="224"/>
      <c r="NRS1" s="224"/>
      <c r="NRT1" s="224"/>
      <c r="NRU1" s="224"/>
      <c r="NRV1" s="224"/>
      <c r="NRW1" s="224"/>
      <c r="NRX1" s="224"/>
      <c r="NRY1" s="224"/>
      <c r="NRZ1" s="224"/>
      <c r="NSA1" s="224"/>
      <c r="NSB1" s="224"/>
      <c r="NSC1" s="224"/>
      <c r="NSD1" s="224"/>
      <c r="NSE1" s="224"/>
      <c r="NSF1" s="224"/>
      <c r="NSG1" s="224"/>
      <c r="NSH1" s="224"/>
      <c r="NSI1" s="224"/>
      <c r="NSJ1" s="224"/>
      <c r="NSK1" s="224"/>
      <c r="NSL1" s="224"/>
      <c r="NSM1" s="224"/>
      <c r="NSN1" s="224"/>
      <c r="NSO1" s="224"/>
      <c r="NSP1" s="224"/>
      <c r="NSQ1" s="224"/>
      <c r="NSR1" s="224"/>
      <c r="NSS1" s="224"/>
      <c r="NST1" s="224"/>
      <c r="NSU1" s="224"/>
      <c r="NSV1" s="224"/>
      <c r="NSW1" s="224"/>
      <c r="NSX1" s="224"/>
      <c r="NSY1" s="224"/>
      <c r="NSZ1" s="224"/>
      <c r="NTA1" s="224"/>
      <c r="NTB1" s="224"/>
      <c r="NTC1" s="224"/>
      <c r="NTD1" s="224"/>
      <c r="NTE1" s="224"/>
      <c r="NTF1" s="224"/>
      <c r="NTG1" s="224"/>
      <c r="NTH1" s="224"/>
      <c r="NTI1" s="224"/>
      <c r="NTJ1" s="224"/>
      <c r="NTK1" s="224"/>
      <c r="NTL1" s="224"/>
      <c r="NTM1" s="224"/>
      <c r="NTN1" s="224"/>
      <c r="NTO1" s="224"/>
      <c r="NTP1" s="224"/>
      <c r="NTQ1" s="224"/>
      <c r="NTR1" s="224"/>
      <c r="NTS1" s="224"/>
      <c r="NTT1" s="224"/>
      <c r="NTU1" s="224"/>
      <c r="NTV1" s="224"/>
      <c r="NTW1" s="224"/>
      <c r="NTX1" s="224"/>
      <c r="NTY1" s="224"/>
      <c r="NTZ1" s="224"/>
      <c r="NUA1" s="224"/>
      <c r="NUB1" s="224"/>
      <c r="NUC1" s="224"/>
      <c r="NUD1" s="224"/>
      <c r="NUE1" s="224"/>
      <c r="NUF1" s="224"/>
      <c r="NUG1" s="224"/>
      <c r="NUH1" s="224"/>
      <c r="NUI1" s="224"/>
      <c r="NUJ1" s="224"/>
      <c r="NUK1" s="224"/>
      <c r="NUL1" s="224"/>
      <c r="NUM1" s="224"/>
      <c r="NUN1" s="224"/>
      <c r="NUO1" s="224"/>
      <c r="NUP1" s="224"/>
      <c r="NUQ1" s="224"/>
      <c r="NUR1" s="224"/>
      <c r="NUS1" s="224"/>
      <c r="NUT1" s="224"/>
      <c r="NUU1" s="224"/>
      <c r="NUV1" s="224"/>
      <c r="NUW1" s="224"/>
      <c r="NUX1" s="224"/>
      <c r="NUY1" s="224"/>
      <c r="NUZ1" s="224"/>
      <c r="NVA1" s="224"/>
      <c r="NVB1" s="224"/>
      <c r="NVC1" s="224"/>
      <c r="NVD1" s="224"/>
      <c r="NVE1" s="224"/>
      <c r="NVF1" s="224"/>
      <c r="NVG1" s="224"/>
      <c r="NVH1" s="224"/>
      <c r="NVI1" s="224"/>
      <c r="NVJ1" s="224"/>
      <c r="NVK1" s="224"/>
      <c r="NVL1" s="224"/>
      <c r="NVM1" s="224"/>
      <c r="NVN1" s="224"/>
      <c r="NVO1" s="224"/>
      <c r="NVP1" s="224"/>
      <c r="NVQ1" s="224"/>
      <c r="NVR1" s="224"/>
      <c r="NVS1" s="224"/>
      <c r="NVT1" s="224"/>
      <c r="NVU1" s="224"/>
      <c r="NVV1" s="224"/>
      <c r="NVW1" s="224"/>
      <c r="NVX1" s="224"/>
      <c r="NVY1" s="224"/>
      <c r="NVZ1" s="224"/>
      <c r="NWA1" s="224"/>
      <c r="NWB1" s="224"/>
      <c r="NWC1" s="224"/>
      <c r="NWD1" s="224"/>
      <c r="NWE1" s="224"/>
      <c r="NWF1" s="224"/>
      <c r="NWG1" s="224"/>
      <c r="NWH1" s="224"/>
      <c r="NWI1" s="224"/>
      <c r="NWJ1" s="224"/>
      <c r="NWK1" s="224"/>
      <c r="NWL1" s="224"/>
      <c r="NWM1" s="224"/>
      <c r="NWN1" s="224"/>
      <c r="NWO1" s="224"/>
      <c r="NWP1" s="224"/>
      <c r="NWQ1" s="224"/>
      <c r="NWR1" s="224"/>
      <c r="NWS1" s="224"/>
      <c r="NWT1" s="224"/>
      <c r="NWU1" s="224"/>
      <c r="NWV1" s="224"/>
      <c r="NWW1" s="224"/>
      <c r="NWX1" s="224"/>
      <c r="NWY1" s="224"/>
      <c r="NWZ1" s="224"/>
      <c r="NXA1" s="224"/>
      <c r="NXB1" s="224"/>
      <c r="NXC1" s="224"/>
      <c r="NXD1" s="224"/>
      <c r="NXE1" s="224"/>
      <c r="NXF1" s="224"/>
      <c r="NXG1" s="224"/>
      <c r="NXH1" s="224"/>
      <c r="NXI1" s="224"/>
      <c r="NXJ1" s="224"/>
      <c r="NXK1" s="224"/>
      <c r="NXL1" s="224"/>
      <c r="NXM1" s="224"/>
      <c r="NXN1" s="224"/>
      <c r="NXO1" s="224"/>
      <c r="NXP1" s="224"/>
      <c r="NXQ1" s="224"/>
      <c r="NXR1" s="224"/>
      <c r="NXS1" s="224"/>
      <c r="NXT1" s="224"/>
      <c r="NXU1" s="224"/>
      <c r="NXV1" s="224"/>
      <c r="NXW1" s="224"/>
      <c r="NXX1" s="224"/>
      <c r="NXY1" s="224"/>
      <c r="NXZ1" s="224"/>
      <c r="NYA1" s="224"/>
      <c r="NYB1" s="224"/>
      <c r="NYC1" s="224"/>
      <c r="NYD1" s="224"/>
      <c r="NYE1" s="224"/>
      <c r="NYF1" s="224"/>
      <c r="NYG1" s="224"/>
      <c r="NYH1" s="224"/>
      <c r="NYI1" s="224"/>
      <c r="NYJ1" s="224"/>
      <c r="NYK1" s="224"/>
      <c r="NYL1" s="224"/>
      <c r="NYM1" s="224"/>
      <c r="NYN1" s="224"/>
      <c r="NYO1" s="224"/>
      <c r="NYP1" s="224"/>
      <c r="NYQ1" s="224"/>
      <c r="NYR1" s="224"/>
      <c r="NYS1" s="224"/>
      <c r="NYT1" s="224"/>
      <c r="NYU1" s="224"/>
      <c r="NYV1" s="224"/>
      <c r="NYW1" s="224"/>
      <c r="NYX1" s="224"/>
      <c r="NYY1" s="224"/>
      <c r="NYZ1" s="224"/>
      <c r="NZA1" s="224"/>
      <c r="NZB1" s="224"/>
      <c r="NZC1" s="224"/>
      <c r="NZD1" s="224"/>
      <c r="NZE1" s="224"/>
      <c r="NZF1" s="224"/>
      <c r="NZG1" s="224"/>
      <c r="NZH1" s="224"/>
      <c r="NZI1" s="224"/>
      <c r="NZJ1" s="224"/>
      <c r="NZK1" s="224"/>
      <c r="NZL1" s="224"/>
      <c r="NZM1" s="224"/>
      <c r="NZN1" s="224"/>
      <c r="NZO1" s="224"/>
      <c r="NZP1" s="224"/>
      <c r="NZQ1" s="224"/>
      <c r="NZR1" s="224"/>
      <c r="NZS1" s="224"/>
      <c r="NZT1" s="224"/>
      <c r="NZU1" s="224"/>
      <c r="NZV1" s="224"/>
      <c r="NZW1" s="224"/>
      <c r="NZX1" s="224"/>
      <c r="NZY1" s="224"/>
      <c r="NZZ1" s="224"/>
      <c r="OAA1" s="224"/>
      <c r="OAB1" s="224"/>
      <c r="OAC1" s="224"/>
      <c r="OAD1" s="224"/>
      <c r="OAE1" s="224"/>
      <c r="OAF1" s="224"/>
      <c r="OAG1" s="224"/>
      <c r="OAH1" s="224"/>
      <c r="OAI1" s="224"/>
      <c r="OAJ1" s="224"/>
      <c r="OAK1" s="224"/>
      <c r="OAL1" s="224"/>
      <c r="OAM1" s="224"/>
      <c r="OAN1" s="224"/>
      <c r="OAO1" s="224"/>
      <c r="OAP1" s="224"/>
      <c r="OAQ1" s="224"/>
      <c r="OAR1" s="224"/>
      <c r="OAS1" s="224"/>
      <c r="OAT1" s="224"/>
      <c r="OAU1" s="224"/>
      <c r="OAV1" s="224"/>
      <c r="OAW1" s="224"/>
      <c r="OAX1" s="224"/>
      <c r="OAY1" s="224"/>
      <c r="OAZ1" s="224"/>
      <c r="OBA1" s="224"/>
      <c r="OBB1" s="224"/>
      <c r="OBC1" s="224"/>
      <c r="OBD1" s="224"/>
      <c r="OBE1" s="224"/>
      <c r="OBF1" s="224"/>
      <c r="OBG1" s="224"/>
      <c r="OBH1" s="224"/>
      <c r="OBI1" s="224"/>
      <c r="OBJ1" s="224"/>
      <c r="OBK1" s="224"/>
      <c r="OBL1" s="224"/>
      <c r="OBM1" s="224"/>
      <c r="OBN1" s="224"/>
      <c r="OBO1" s="224"/>
      <c r="OBP1" s="224"/>
      <c r="OBQ1" s="224"/>
      <c r="OBR1" s="224"/>
      <c r="OBS1" s="224"/>
      <c r="OBT1" s="224"/>
      <c r="OBU1" s="224"/>
      <c r="OBV1" s="224"/>
      <c r="OBW1" s="224"/>
      <c r="OBX1" s="224"/>
      <c r="OBY1" s="224"/>
      <c r="OBZ1" s="224"/>
      <c r="OCA1" s="224"/>
      <c r="OCB1" s="224"/>
      <c r="OCC1" s="224"/>
      <c r="OCD1" s="224"/>
      <c r="OCE1" s="224"/>
      <c r="OCF1" s="224"/>
      <c r="OCG1" s="224"/>
      <c r="OCH1" s="224"/>
      <c r="OCI1" s="224"/>
      <c r="OCJ1" s="224"/>
      <c r="OCK1" s="224"/>
      <c r="OCL1" s="224"/>
      <c r="OCM1" s="224"/>
      <c r="OCN1" s="224"/>
      <c r="OCO1" s="224"/>
      <c r="OCP1" s="224"/>
      <c r="OCQ1" s="224"/>
      <c r="OCR1" s="224"/>
      <c r="OCS1" s="224"/>
      <c r="OCT1" s="224"/>
      <c r="OCU1" s="224"/>
      <c r="OCV1" s="224"/>
      <c r="OCW1" s="224"/>
      <c r="OCX1" s="224"/>
      <c r="OCY1" s="224"/>
      <c r="OCZ1" s="224"/>
      <c r="ODA1" s="224"/>
      <c r="ODB1" s="224"/>
      <c r="ODC1" s="224"/>
      <c r="ODD1" s="224"/>
      <c r="ODE1" s="224"/>
      <c r="ODF1" s="224"/>
      <c r="ODG1" s="224"/>
      <c r="ODH1" s="224"/>
      <c r="ODI1" s="224"/>
      <c r="ODJ1" s="224"/>
      <c r="ODK1" s="224"/>
      <c r="ODL1" s="224"/>
      <c r="ODM1" s="224"/>
      <c r="ODN1" s="224"/>
      <c r="ODO1" s="224"/>
      <c r="ODP1" s="224"/>
      <c r="ODQ1" s="224"/>
      <c r="ODR1" s="224"/>
      <c r="ODS1" s="224"/>
      <c r="ODT1" s="224"/>
      <c r="ODU1" s="224"/>
      <c r="ODV1" s="224"/>
      <c r="ODW1" s="224"/>
      <c r="ODX1" s="224"/>
      <c r="ODY1" s="224"/>
      <c r="ODZ1" s="224"/>
      <c r="OEA1" s="224"/>
      <c r="OEB1" s="224"/>
      <c r="OEC1" s="224"/>
      <c r="OED1" s="224"/>
      <c r="OEE1" s="224"/>
      <c r="OEF1" s="224"/>
      <c r="OEG1" s="224"/>
      <c r="OEH1" s="224"/>
      <c r="OEI1" s="224"/>
      <c r="OEJ1" s="224"/>
      <c r="OEK1" s="224"/>
      <c r="OEL1" s="224"/>
      <c r="OEM1" s="224"/>
      <c r="OEN1" s="224"/>
      <c r="OEO1" s="224"/>
      <c r="OEP1" s="224"/>
      <c r="OEQ1" s="224"/>
      <c r="OER1" s="224"/>
      <c r="OES1" s="224"/>
      <c r="OET1" s="224"/>
      <c r="OEU1" s="224"/>
      <c r="OEV1" s="224"/>
      <c r="OEW1" s="224"/>
      <c r="OEX1" s="224"/>
      <c r="OEY1" s="224"/>
      <c r="OEZ1" s="224"/>
      <c r="OFA1" s="224"/>
      <c r="OFB1" s="224"/>
      <c r="OFC1" s="224"/>
      <c r="OFD1" s="224"/>
      <c r="OFE1" s="224"/>
      <c r="OFF1" s="224"/>
      <c r="OFG1" s="224"/>
      <c r="OFH1" s="224"/>
      <c r="OFI1" s="224"/>
      <c r="OFJ1" s="224"/>
      <c r="OFK1" s="224"/>
      <c r="OFL1" s="224"/>
      <c r="OFM1" s="224"/>
      <c r="OFN1" s="224"/>
      <c r="OFO1" s="224"/>
      <c r="OFP1" s="224"/>
      <c r="OFQ1" s="224"/>
      <c r="OFR1" s="224"/>
      <c r="OFS1" s="224"/>
      <c r="OFT1" s="224"/>
      <c r="OFU1" s="224"/>
      <c r="OFV1" s="224"/>
      <c r="OFW1" s="224"/>
      <c r="OFX1" s="224"/>
      <c r="OFY1" s="224"/>
      <c r="OFZ1" s="224"/>
      <c r="OGA1" s="224"/>
      <c r="OGB1" s="224"/>
      <c r="OGC1" s="224"/>
      <c r="OGD1" s="224"/>
      <c r="OGE1" s="224"/>
      <c r="OGF1" s="224"/>
      <c r="OGG1" s="224"/>
      <c r="OGH1" s="224"/>
      <c r="OGI1" s="224"/>
      <c r="OGJ1" s="224"/>
      <c r="OGK1" s="224"/>
      <c r="OGL1" s="224"/>
      <c r="OGM1" s="224"/>
      <c r="OGN1" s="224"/>
      <c r="OGO1" s="224"/>
      <c r="OGP1" s="224"/>
      <c r="OGQ1" s="224"/>
      <c r="OGR1" s="224"/>
      <c r="OGS1" s="224"/>
      <c r="OGT1" s="224"/>
      <c r="OGU1" s="224"/>
      <c r="OGV1" s="224"/>
      <c r="OGW1" s="224"/>
      <c r="OGX1" s="224"/>
      <c r="OGY1" s="224"/>
      <c r="OGZ1" s="224"/>
      <c r="OHA1" s="224"/>
      <c r="OHB1" s="224"/>
      <c r="OHC1" s="224"/>
      <c r="OHD1" s="224"/>
      <c r="OHE1" s="224"/>
      <c r="OHF1" s="224"/>
      <c r="OHG1" s="224"/>
      <c r="OHH1" s="224"/>
      <c r="OHI1" s="224"/>
      <c r="OHJ1" s="224"/>
      <c r="OHK1" s="224"/>
      <c r="OHL1" s="224"/>
      <c r="OHM1" s="224"/>
      <c r="OHN1" s="224"/>
      <c r="OHO1" s="224"/>
      <c r="OHP1" s="224"/>
      <c r="OHQ1" s="224"/>
      <c r="OHR1" s="224"/>
      <c r="OHS1" s="224"/>
      <c r="OHT1" s="224"/>
      <c r="OHU1" s="224"/>
      <c r="OHV1" s="224"/>
      <c r="OHW1" s="224"/>
      <c r="OHX1" s="224"/>
      <c r="OHY1" s="224"/>
      <c r="OHZ1" s="224"/>
      <c r="OIA1" s="224"/>
      <c r="OIB1" s="224"/>
      <c r="OIC1" s="224"/>
      <c r="OID1" s="224"/>
      <c r="OIE1" s="224"/>
      <c r="OIF1" s="224"/>
      <c r="OIG1" s="224"/>
      <c r="OIH1" s="224"/>
      <c r="OII1" s="224"/>
      <c r="OIJ1" s="224"/>
      <c r="OIK1" s="224"/>
      <c r="OIL1" s="224"/>
      <c r="OIM1" s="224"/>
      <c r="OIN1" s="224"/>
      <c r="OIO1" s="224"/>
      <c r="OIP1" s="224"/>
      <c r="OIQ1" s="224"/>
      <c r="OIR1" s="224"/>
      <c r="OIS1" s="224"/>
      <c r="OIT1" s="224"/>
      <c r="OIU1" s="224"/>
      <c r="OIV1" s="224"/>
      <c r="OIW1" s="224"/>
      <c r="OIX1" s="224"/>
      <c r="OIY1" s="224"/>
      <c r="OIZ1" s="224"/>
      <c r="OJA1" s="224"/>
      <c r="OJB1" s="224"/>
      <c r="OJC1" s="224"/>
      <c r="OJD1" s="224"/>
      <c r="OJE1" s="224"/>
      <c r="OJF1" s="224"/>
      <c r="OJG1" s="224"/>
      <c r="OJH1" s="224"/>
      <c r="OJI1" s="224"/>
      <c r="OJJ1" s="224"/>
      <c r="OJK1" s="224"/>
      <c r="OJL1" s="224"/>
      <c r="OJM1" s="224"/>
      <c r="OJN1" s="224"/>
      <c r="OJO1" s="224"/>
      <c r="OJP1" s="224"/>
      <c r="OJQ1" s="224"/>
      <c r="OJR1" s="224"/>
      <c r="OJS1" s="224"/>
      <c r="OJT1" s="224"/>
      <c r="OJU1" s="224"/>
      <c r="OJV1" s="224"/>
      <c r="OJW1" s="224"/>
      <c r="OJX1" s="224"/>
      <c r="OJY1" s="224"/>
      <c r="OJZ1" s="224"/>
      <c r="OKA1" s="224"/>
      <c r="OKB1" s="224"/>
      <c r="OKC1" s="224"/>
      <c r="OKD1" s="224"/>
      <c r="OKE1" s="224"/>
      <c r="OKF1" s="224"/>
      <c r="OKG1" s="224"/>
      <c r="OKH1" s="224"/>
      <c r="OKI1" s="224"/>
      <c r="OKJ1" s="224"/>
      <c r="OKK1" s="224"/>
      <c r="OKL1" s="224"/>
      <c r="OKM1" s="224"/>
      <c r="OKN1" s="224"/>
      <c r="OKO1" s="224"/>
      <c r="OKP1" s="224"/>
      <c r="OKQ1" s="224"/>
      <c r="OKR1" s="224"/>
      <c r="OKS1" s="224"/>
      <c r="OKT1" s="224"/>
      <c r="OKU1" s="224"/>
      <c r="OKV1" s="224"/>
      <c r="OKW1" s="224"/>
      <c r="OKX1" s="224"/>
      <c r="OKY1" s="224"/>
      <c r="OKZ1" s="224"/>
      <c r="OLA1" s="224"/>
      <c r="OLB1" s="224"/>
      <c r="OLC1" s="224"/>
      <c r="OLD1" s="224"/>
      <c r="OLE1" s="224"/>
      <c r="OLF1" s="224"/>
      <c r="OLG1" s="224"/>
      <c r="OLH1" s="224"/>
      <c r="OLI1" s="224"/>
      <c r="OLJ1" s="224"/>
      <c r="OLK1" s="224"/>
      <c r="OLL1" s="224"/>
      <c r="OLM1" s="224"/>
      <c r="OLN1" s="224"/>
      <c r="OLO1" s="224"/>
      <c r="OLP1" s="224"/>
      <c r="OLQ1" s="224"/>
      <c r="OLR1" s="224"/>
      <c r="OLS1" s="224"/>
      <c r="OLT1" s="224"/>
      <c r="OLU1" s="224"/>
      <c r="OLV1" s="224"/>
      <c r="OLW1" s="224"/>
      <c r="OLX1" s="224"/>
      <c r="OLY1" s="224"/>
      <c r="OLZ1" s="224"/>
      <c r="OMA1" s="224"/>
      <c r="OMB1" s="224"/>
      <c r="OMC1" s="224"/>
      <c r="OMD1" s="224"/>
      <c r="OME1" s="224"/>
      <c r="OMF1" s="224"/>
      <c r="OMG1" s="224"/>
      <c r="OMH1" s="224"/>
      <c r="OMI1" s="224"/>
      <c r="OMJ1" s="224"/>
      <c r="OMK1" s="224"/>
      <c r="OML1" s="224"/>
      <c r="OMM1" s="224"/>
      <c r="OMN1" s="224"/>
      <c r="OMO1" s="224"/>
      <c r="OMP1" s="224"/>
      <c r="OMQ1" s="224"/>
      <c r="OMR1" s="224"/>
      <c r="OMS1" s="224"/>
      <c r="OMT1" s="224"/>
      <c r="OMU1" s="224"/>
      <c r="OMV1" s="224"/>
      <c r="OMW1" s="224"/>
      <c r="OMX1" s="224"/>
      <c r="OMY1" s="224"/>
      <c r="OMZ1" s="224"/>
      <c r="ONA1" s="224"/>
      <c r="ONB1" s="224"/>
      <c r="ONC1" s="224"/>
      <c r="OND1" s="224"/>
      <c r="ONE1" s="224"/>
      <c r="ONF1" s="224"/>
      <c r="ONG1" s="224"/>
      <c r="ONH1" s="224"/>
      <c r="ONI1" s="224"/>
      <c r="ONJ1" s="224"/>
      <c r="ONK1" s="224"/>
      <c r="ONL1" s="224"/>
      <c r="ONM1" s="224"/>
      <c r="ONN1" s="224"/>
      <c r="ONO1" s="224"/>
      <c r="ONP1" s="224"/>
      <c r="ONQ1" s="224"/>
      <c r="ONR1" s="224"/>
      <c r="ONS1" s="224"/>
      <c r="ONT1" s="224"/>
      <c r="ONU1" s="224"/>
      <c r="ONV1" s="224"/>
      <c r="ONW1" s="224"/>
      <c r="ONX1" s="224"/>
      <c r="ONY1" s="224"/>
      <c r="ONZ1" s="224"/>
      <c r="OOA1" s="224"/>
      <c r="OOB1" s="224"/>
      <c r="OOC1" s="224"/>
      <c r="OOD1" s="224"/>
      <c r="OOE1" s="224"/>
      <c r="OOF1" s="224"/>
      <c r="OOG1" s="224"/>
      <c r="OOH1" s="224"/>
      <c r="OOI1" s="224"/>
      <c r="OOJ1" s="224"/>
      <c r="OOK1" s="224"/>
      <c r="OOL1" s="224"/>
      <c r="OOM1" s="224"/>
      <c r="OON1" s="224"/>
      <c r="OOO1" s="224"/>
      <c r="OOP1" s="224"/>
      <c r="OOQ1" s="224"/>
      <c r="OOR1" s="224"/>
      <c r="OOS1" s="224"/>
      <c r="OOT1" s="224"/>
      <c r="OOU1" s="224"/>
      <c r="OOV1" s="224"/>
      <c r="OOW1" s="224"/>
      <c r="OOX1" s="224"/>
      <c r="OOY1" s="224"/>
      <c r="OOZ1" s="224"/>
      <c r="OPA1" s="224"/>
      <c r="OPB1" s="224"/>
      <c r="OPC1" s="224"/>
      <c r="OPD1" s="224"/>
      <c r="OPE1" s="224"/>
      <c r="OPF1" s="224"/>
      <c r="OPG1" s="224"/>
      <c r="OPH1" s="224"/>
      <c r="OPI1" s="224"/>
      <c r="OPJ1" s="224"/>
      <c r="OPK1" s="224"/>
      <c r="OPL1" s="224"/>
      <c r="OPM1" s="224"/>
      <c r="OPN1" s="224"/>
      <c r="OPO1" s="224"/>
      <c r="OPP1" s="224"/>
      <c r="OPQ1" s="224"/>
      <c r="OPR1" s="224"/>
      <c r="OPS1" s="224"/>
      <c r="OPT1" s="224"/>
      <c r="OPU1" s="224"/>
      <c r="OPV1" s="224"/>
      <c r="OPW1" s="224"/>
      <c r="OPX1" s="224"/>
      <c r="OPY1" s="224"/>
      <c r="OPZ1" s="224"/>
      <c r="OQA1" s="224"/>
      <c r="OQB1" s="224"/>
      <c r="OQC1" s="224"/>
      <c r="OQD1" s="224"/>
      <c r="OQE1" s="224"/>
      <c r="OQF1" s="224"/>
      <c r="OQG1" s="224"/>
      <c r="OQH1" s="224"/>
      <c r="OQI1" s="224"/>
      <c r="OQJ1" s="224"/>
      <c r="OQK1" s="224"/>
      <c r="OQL1" s="224"/>
      <c r="OQM1" s="224"/>
      <c r="OQN1" s="224"/>
      <c r="OQO1" s="224"/>
      <c r="OQP1" s="224"/>
      <c r="OQQ1" s="224"/>
      <c r="OQR1" s="224"/>
      <c r="OQS1" s="224"/>
      <c r="OQT1" s="224"/>
      <c r="OQU1" s="224"/>
      <c r="OQV1" s="224"/>
      <c r="OQW1" s="224"/>
      <c r="OQX1" s="224"/>
      <c r="OQY1" s="224"/>
      <c r="OQZ1" s="224"/>
      <c r="ORA1" s="224"/>
      <c r="ORB1" s="224"/>
      <c r="ORC1" s="224"/>
      <c r="ORD1" s="224"/>
      <c r="ORE1" s="224"/>
      <c r="ORF1" s="224"/>
      <c r="ORG1" s="224"/>
      <c r="ORH1" s="224"/>
      <c r="ORI1" s="224"/>
      <c r="ORJ1" s="224"/>
      <c r="ORK1" s="224"/>
      <c r="ORL1" s="224"/>
      <c r="ORM1" s="224"/>
      <c r="ORN1" s="224"/>
      <c r="ORO1" s="224"/>
      <c r="ORP1" s="224"/>
      <c r="ORQ1" s="224"/>
      <c r="ORR1" s="224"/>
      <c r="ORS1" s="224"/>
      <c r="ORT1" s="224"/>
      <c r="ORU1" s="224"/>
      <c r="ORV1" s="224"/>
      <c r="ORW1" s="224"/>
      <c r="ORX1" s="224"/>
      <c r="ORY1" s="224"/>
      <c r="ORZ1" s="224"/>
      <c r="OSA1" s="224"/>
      <c r="OSB1" s="224"/>
      <c r="OSC1" s="224"/>
      <c r="OSD1" s="224"/>
      <c r="OSE1" s="224"/>
      <c r="OSF1" s="224"/>
      <c r="OSG1" s="224"/>
      <c r="OSH1" s="224"/>
      <c r="OSI1" s="224"/>
      <c r="OSJ1" s="224"/>
      <c r="OSK1" s="224"/>
      <c r="OSL1" s="224"/>
      <c r="OSM1" s="224"/>
      <c r="OSN1" s="224"/>
      <c r="OSO1" s="224"/>
      <c r="OSP1" s="224"/>
      <c r="OSQ1" s="224"/>
      <c r="OSR1" s="224"/>
      <c r="OSS1" s="224"/>
      <c r="OST1" s="224"/>
      <c r="OSU1" s="224"/>
      <c r="OSV1" s="224"/>
      <c r="OSW1" s="224"/>
      <c r="OSX1" s="224"/>
      <c r="OSY1" s="224"/>
      <c r="OSZ1" s="224"/>
      <c r="OTA1" s="224"/>
      <c r="OTB1" s="224"/>
      <c r="OTC1" s="224"/>
      <c r="OTD1" s="224"/>
      <c r="OTE1" s="224"/>
      <c r="OTF1" s="224"/>
      <c r="OTG1" s="224"/>
      <c r="OTH1" s="224"/>
      <c r="OTI1" s="224"/>
      <c r="OTJ1" s="224"/>
      <c r="OTK1" s="224"/>
      <c r="OTL1" s="224"/>
      <c r="OTM1" s="224"/>
      <c r="OTN1" s="224"/>
      <c r="OTO1" s="224"/>
      <c r="OTP1" s="224"/>
      <c r="OTQ1" s="224"/>
      <c r="OTR1" s="224"/>
      <c r="OTS1" s="224"/>
      <c r="OTT1" s="224"/>
      <c r="OTU1" s="224"/>
      <c r="OTV1" s="224"/>
      <c r="OTW1" s="224"/>
      <c r="OTX1" s="224"/>
      <c r="OTY1" s="224"/>
      <c r="OTZ1" s="224"/>
      <c r="OUA1" s="224"/>
      <c r="OUB1" s="224"/>
      <c r="OUC1" s="224"/>
      <c r="OUD1" s="224"/>
      <c r="OUE1" s="224"/>
      <c r="OUF1" s="224"/>
      <c r="OUG1" s="224"/>
      <c r="OUH1" s="224"/>
      <c r="OUI1" s="224"/>
      <c r="OUJ1" s="224"/>
      <c r="OUK1" s="224"/>
      <c r="OUL1" s="224"/>
      <c r="OUM1" s="224"/>
      <c r="OUN1" s="224"/>
      <c r="OUO1" s="224"/>
      <c r="OUP1" s="224"/>
      <c r="OUQ1" s="224"/>
      <c r="OUR1" s="224"/>
      <c r="OUS1" s="224"/>
      <c r="OUT1" s="224"/>
      <c r="OUU1" s="224"/>
      <c r="OUV1" s="224"/>
      <c r="OUW1" s="224"/>
      <c r="OUX1" s="224"/>
      <c r="OUY1" s="224"/>
      <c r="OUZ1" s="224"/>
      <c r="OVA1" s="224"/>
      <c r="OVB1" s="224"/>
      <c r="OVC1" s="224"/>
      <c r="OVD1" s="224"/>
      <c r="OVE1" s="224"/>
      <c r="OVF1" s="224"/>
      <c r="OVG1" s="224"/>
      <c r="OVH1" s="224"/>
      <c r="OVI1" s="224"/>
      <c r="OVJ1" s="224"/>
      <c r="OVK1" s="224"/>
      <c r="OVL1" s="224"/>
      <c r="OVM1" s="224"/>
      <c r="OVN1" s="224"/>
      <c r="OVO1" s="224"/>
      <c r="OVP1" s="224"/>
      <c r="OVQ1" s="224"/>
      <c r="OVR1" s="224"/>
      <c r="OVS1" s="224"/>
      <c r="OVT1" s="224"/>
      <c r="OVU1" s="224"/>
      <c r="OVV1" s="224"/>
      <c r="OVW1" s="224"/>
      <c r="OVX1" s="224"/>
      <c r="OVY1" s="224"/>
      <c r="OVZ1" s="224"/>
      <c r="OWA1" s="224"/>
      <c r="OWB1" s="224"/>
      <c r="OWC1" s="224"/>
      <c r="OWD1" s="224"/>
      <c r="OWE1" s="224"/>
      <c r="OWF1" s="224"/>
      <c r="OWG1" s="224"/>
      <c r="OWH1" s="224"/>
      <c r="OWI1" s="224"/>
      <c r="OWJ1" s="224"/>
      <c r="OWK1" s="224"/>
      <c r="OWL1" s="224"/>
      <c r="OWM1" s="224"/>
      <c r="OWN1" s="224"/>
      <c r="OWO1" s="224"/>
      <c r="OWP1" s="224"/>
      <c r="OWQ1" s="224"/>
      <c r="OWR1" s="224"/>
      <c r="OWS1" s="224"/>
      <c r="OWT1" s="224"/>
      <c r="OWU1" s="224"/>
      <c r="OWV1" s="224"/>
      <c r="OWW1" s="224"/>
      <c r="OWX1" s="224"/>
      <c r="OWY1" s="224"/>
      <c r="OWZ1" s="224"/>
      <c r="OXA1" s="224"/>
      <c r="OXB1" s="224"/>
      <c r="OXC1" s="224"/>
      <c r="OXD1" s="224"/>
      <c r="OXE1" s="224"/>
      <c r="OXF1" s="224"/>
      <c r="OXG1" s="224"/>
      <c r="OXH1" s="224"/>
      <c r="OXI1" s="224"/>
      <c r="OXJ1" s="224"/>
      <c r="OXK1" s="224"/>
      <c r="OXL1" s="224"/>
      <c r="OXM1" s="224"/>
      <c r="OXN1" s="224"/>
      <c r="OXO1" s="224"/>
      <c r="OXP1" s="224"/>
      <c r="OXQ1" s="224"/>
      <c r="OXR1" s="224"/>
      <c r="OXS1" s="224"/>
      <c r="OXT1" s="224"/>
      <c r="OXU1" s="224"/>
      <c r="OXV1" s="224"/>
      <c r="OXW1" s="224"/>
      <c r="OXX1" s="224"/>
      <c r="OXY1" s="224"/>
      <c r="OXZ1" s="224"/>
      <c r="OYA1" s="224"/>
      <c r="OYB1" s="224"/>
      <c r="OYC1" s="224"/>
      <c r="OYD1" s="224"/>
      <c r="OYE1" s="224"/>
      <c r="OYF1" s="224"/>
      <c r="OYG1" s="224"/>
      <c r="OYH1" s="224"/>
      <c r="OYI1" s="224"/>
      <c r="OYJ1" s="224"/>
      <c r="OYK1" s="224"/>
      <c r="OYL1" s="224"/>
      <c r="OYM1" s="224"/>
      <c r="OYN1" s="224"/>
      <c r="OYO1" s="224"/>
      <c r="OYP1" s="224"/>
      <c r="OYQ1" s="224"/>
      <c r="OYR1" s="224"/>
      <c r="OYS1" s="224"/>
      <c r="OYT1" s="224"/>
      <c r="OYU1" s="224"/>
      <c r="OYV1" s="224"/>
      <c r="OYW1" s="224"/>
      <c r="OYX1" s="224"/>
      <c r="OYY1" s="224"/>
      <c r="OYZ1" s="224"/>
      <c r="OZA1" s="224"/>
      <c r="OZB1" s="224"/>
      <c r="OZC1" s="224"/>
      <c r="OZD1" s="224"/>
      <c r="OZE1" s="224"/>
      <c r="OZF1" s="224"/>
      <c r="OZG1" s="224"/>
      <c r="OZH1" s="224"/>
      <c r="OZI1" s="224"/>
      <c r="OZJ1" s="224"/>
      <c r="OZK1" s="224"/>
      <c r="OZL1" s="224"/>
      <c r="OZM1" s="224"/>
      <c r="OZN1" s="224"/>
      <c r="OZO1" s="224"/>
      <c r="OZP1" s="224"/>
      <c r="OZQ1" s="224"/>
      <c r="OZR1" s="224"/>
      <c r="OZS1" s="224"/>
      <c r="OZT1" s="224"/>
      <c r="OZU1" s="224"/>
      <c r="OZV1" s="224"/>
      <c r="OZW1" s="224"/>
      <c r="OZX1" s="224"/>
      <c r="OZY1" s="224"/>
      <c r="OZZ1" s="224"/>
      <c r="PAA1" s="224"/>
      <c r="PAB1" s="224"/>
      <c r="PAC1" s="224"/>
      <c r="PAD1" s="224"/>
      <c r="PAE1" s="224"/>
      <c r="PAF1" s="224"/>
      <c r="PAG1" s="224"/>
      <c r="PAH1" s="224"/>
      <c r="PAI1" s="224"/>
      <c r="PAJ1" s="224"/>
      <c r="PAK1" s="224"/>
      <c r="PAL1" s="224"/>
      <c r="PAM1" s="224"/>
      <c r="PAN1" s="224"/>
      <c r="PAO1" s="224"/>
      <c r="PAP1" s="224"/>
      <c r="PAQ1" s="224"/>
      <c r="PAR1" s="224"/>
      <c r="PAS1" s="224"/>
      <c r="PAT1" s="224"/>
      <c r="PAU1" s="224"/>
      <c r="PAV1" s="224"/>
      <c r="PAW1" s="224"/>
      <c r="PAX1" s="224"/>
      <c r="PAY1" s="224"/>
      <c r="PAZ1" s="224"/>
      <c r="PBA1" s="224"/>
      <c r="PBB1" s="224"/>
      <c r="PBC1" s="224"/>
      <c r="PBD1" s="224"/>
      <c r="PBE1" s="224"/>
      <c r="PBF1" s="224"/>
      <c r="PBG1" s="224"/>
      <c r="PBH1" s="224"/>
      <c r="PBI1" s="224"/>
      <c r="PBJ1" s="224"/>
      <c r="PBK1" s="224"/>
      <c r="PBL1" s="224"/>
      <c r="PBM1" s="224"/>
      <c r="PBN1" s="224"/>
      <c r="PBO1" s="224"/>
      <c r="PBP1" s="224"/>
      <c r="PBQ1" s="224"/>
      <c r="PBR1" s="224"/>
      <c r="PBS1" s="224"/>
      <c r="PBT1" s="224"/>
      <c r="PBU1" s="224"/>
      <c r="PBV1" s="224"/>
      <c r="PBW1" s="224"/>
      <c r="PBX1" s="224"/>
      <c r="PBY1" s="224"/>
      <c r="PBZ1" s="224"/>
      <c r="PCA1" s="224"/>
      <c r="PCB1" s="224"/>
      <c r="PCC1" s="224"/>
      <c r="PCD1" s="224"/>
      <c r="PCE1" s="224"/>
      <c r="PCF1" s="224"/>
      <c r="PCG1" s="224"/>
      <c r="PCH1" s="224"/>
      <c r="PCI1" s="224"/>
      <c r="PCJ1" s="224"/>
      <c r="PCK1" s="224"/>
      <c r="PCL1" s="224"/>
      <c r="PCM1" s="224"/>
      <c r="PCN1" s="224"/>
      <c r="PCO1" s="224"/>
      <c r="PCP1" s="224"/>
      <c r="PCQ1" s="224"/>
      <c r="PCR1" s="224"/>
      <c r="PCS1" s="224"/>
      <c r="PCT1" s="224"/>
      <c r="PCU1" s="224"/>
      <c r="PCV1" s="224"/>
      <c r="PCW1" s="224"/>
      <c r="PCX1" s="224"/>
      <c r="PCY1" s="224"/>
      <c r="PCZ1" s="224"/>
      <c r="PDA1" s="224"/>
      <c r="PDB1" s="224"/>
      <c r="PDC1" s="224"/>
      <c r="PDD1" s="224"/>
      <c r="PDE1" s="224"/>
      <c r="PDF1" s="224"/>
      <c r="PDG1" s="224"/>
      <c r="PDH1" s="224"/>
      <c r="PDI1" s="224"/>
      <c r="PDJ1" s="224"/>
      <c r="PDK1" s="224"/>
      <c r="PDL1" s="224"/>
      <c r="PDM1" s="224"/>
      <c r="PDN1" s="224"/>
      <c r="PDO1" s="224"/>
      <c r="PDP1" s="224"/>
      <c r="PDQ1" s="224"/>
      <c r="PDR1" s="224"/>
      <c r="PDS1" s="224"/>
      <c r="PDT1" s="224"/>
      <c r="PDU1" s="224"/>
      <c r="PDV1" s="224"/>
      <c r="PDW1" s="224"/>
      <c r="PDX1" s="224"/>
      <c r="PDY1" s="224"/>
      <c r="PDZ1" s="224"/>
      <c r="PEA1" s="224"/>
      <c r="PEB1" s="224"/>
      <c r="PEC1" s="224"/>
      <c r="PED1" s="224"/>
      <c r="PEE1" s="224"/>
      <c r="PEF1" s="224"/>
      <c r="PEG1" s="224"/>
      <c r="PEH1" s="224"/>
      <c r="PEI1" s="224"/>
      <c r="PEJ1" s="224"/>
      <c r="PEK1" s="224"/>
      <c r="PEL1" s="224"/>
      <c r="PEM1" s="224"/>
      <c r="PEN1" s="224"/>
      <c r="PEO1" s="224"/>
      <c r="PEP1" s="224"/>
      <c r="PEQ1" s="224"/>
      <c r="PER1" s="224"/>
      <c r="PES1" s="224"/>
      <c r="PET1" s="224"/>
      <c r="PEU1" s="224"/>
      <c r="PEV1" s="224"/>
      <c r="PEW1" s="224"/>
      <c r="PEX1" s="224"/>
      <c r="PEY1" s="224"/>
      <c r="PEZ1" s="224"/>
      <c r="PFA1" s="224"/>
      <c r="PFB1" s="224"/>
      <c r="PFC1" s="224"/>
      <c r="PFD1" s="224"/>
      <c r="PFE1" s="224"/>
      <c r="PFF1" s="224"/>
      <c r="PFG1" s="224"/>
      <c r="PFH1" s="224"/>
      <c r="PFI1" s="224"/>
      <c r="PFJ1" s="224"/>
      <c r="PFK1" s="224"/>
      <c r="PFL1" s="224"/>
      <c r="PFM1" s="224"/>
      <c r="PFN1" s="224"/>
      <c r="PFO1" s="224"/>
      <c r="PFP1" s="224"/>
      <c r="PFQ1" s="224"/>
      <c r="PFR1" s="224"/>
      <c r="PFS1" s="224"/>
      <c r="PFT1" s="224"/>
      <c r="PFU1" s="224"/>
      <c r="PFV1" s="224"/>
      <c r="PFW1" s="224"/>
      <c r="PFX1" s="224"/>
      <c r="PFY1" s="224"/>
      <c r="PFZ1" s="224"/>
      <c r="PGA1" s="224"/>
      <c r="PGB1" s="224"/>
      <c r="PGC1" s="224"/>
      <c r="PGD1" s="224"/>
      <c r="PGE1" s="224"/>
      <c r="PGF1" s="224"/>
      <c r="PGG1" s="224"/>
      <c r="PGH1" s="224"/>
      <c r="PGI1" s="224"/>
      <c r="PGJ1" s="224"/>
      <c r="PGK1" s="224"/>
      <c r="PGL1" s="224"/>
      <c r="PGM1" s="224"/>
      <c r="PGN1" s="224"/>
      <c r="PGO1" s="224"/>
      <c r="PGP1" s="224"/>
      <c r="PGQ1" s="224"/>
      <c r="PGR1" s="224"/>
      <c r="PGS1" s="224"/>
      <c r="PGT1" s="224"/>
      <c r="PGU1" s="224"/>
      <c r="PGV1" s="224"/>
      <c r="PGW1" s="224"/>
      <c r="PGX1" s="224"/>
      <c r="PGY1" s="224"/>
      <c r="PGZ1" s="224"/>
      <c r="PHA1" s="224"/>
      <c r="PHB1" s="224"/>
      <c r="PHC1" s="224"/>
      <c r="PHD1" s="224"/>
      <c r="PHE1" s="224"/>
      <c r="PHF1" s="224"/>
      <c r="PHG1" s="224"/>
      <c r="PHH1" s="224"/>
      <c r="PHI1" s="224"/>
      <c r="PHJ1" s="224"/>
      <c r="PHK1" s="224"/>
      <c r="PHL1" s="224"/>
      <c r="PHM1" s="224"/>
      <c r="PHN1" s="224"/>
      <c r="PHO1" s="224"/>
      <c r="PHP1" s="224"/>
      <c r="PHQ1" s="224"/>
      <c r="PHR1" s="224"/>
      <c r="PHS1" s="224"/>
      <c r="PHT1" s="224"/>
      <c r="PHU1" s="224"/>
      <c r="PHV1" s="224"/>
      <c r="PHW1" s="224"/>
      <c r="PHX1" s="224"/>
      <c r="PHY1" s="224"/>
      <c r="PHZ1" s="224"/>
      <c r="PIA1" s="224"/>
      <c r="PIB1" s="224"/>
      <c r="PIC1" s="224"/>
      <c r="PID1" s="224"/>
      <c r="PIE1" s="224"/>
      <c r="PIF1" s="224"/>
      <c r="PIG1" s="224"/>
      <c r="PIH1" s="224"/>
      <c r="PII1" s="224"/>
      <c r="PIJ1" s="224"/>
      <c r="PIK1" s="224"/>
      <c r="PIL1" s="224"/>
      <c r="PIM1" s="224"/>
      <c r="PIN1" s="224"/>
      <c r="PIO1" s="224"/>
      <c r="PIP1" s="224"/>
      <c r="PIQ1" s="224"/>
      <c r="PIR1" s="224"/>
      <c r="PIS1" s="224"/>
      <c r="PIT1" s="224"/>
      <c r="PIU1" s="224"/>
      <c r="PIV1" s="224"/>
      <c r="PIW1" s="224"/>
      <c r="PIX1" s="224"/>
      <c r="PIY1" s="224"/>
      <c r="PIZ1" s="224"/>
      <c r="PJA1" s="224"/>
      <c r="PJB1" s="224"/>
      <c r="PJC1" s="224"/>
      <c r="PJD1" s="224"/>
      <c r="PJE1" s="224"/>
      <c r="PJF1" s="224"/>
      <c r="PJG1" s="224"/>
      <c r="PJH1" s="224"/>
      <c r="PJI1" s="224"/>
      <c r="PJJ1" s="224"/>
      <c r="PJK1" s="224"/>
      <c r="PJL1" s="224"/>
      <c r="PJM1" s="224"/>
      <c r="PJN1" s="224"/>
      <c r="PJO1" s="224"/>
      <c r="PJP1" s="224"/>
      <c r="PJQ1" s="224"/>
      <c r="PJR1" s="224"/>
      <c r="PJS1" s="224"/>
      <c r="PJT1" s="224"/>
      <c r="PJU1" s="224"/>
      <c r="PJV1" s="224"/>
      <c r="PJW1" s="224"/>
      <c r="PJX1" s="224"/>
      <c r="PJY1" s="224"/>
      <c r="PJZ1" s="224"/>
      <c r="PKA1" s="224"/>
      <c r="PKB1" s="224"/>
      <c r="PKC1" s="224"/>
      <c r="PKD1" s="224"/>
      <c r="PKE1" s="224"/>
      <c r="PKF1" s="224"/>
      <c r="PKG1" s="224"/>
      <c r="PKH1" s="224"/>
      <c r="PKI1" s="224"/>
      <c r="PKJ1" s="224"/>
      <c r="PKK1" s="224"/>
      <c r="PKL1" s="224"/>
      <c r="PKM1" s="224"/>
      <c r="PKN1" s="224"/>
      <c r="PKO1" s="224"/>
      <c r="PKP1" s="224"/>
      <c r="PKQ1" s="224"/>
      <c r="PKR1" s="224"/>
      <c r="PKS1" s="224"/>
      <c r="PKT1" s="224"/>
      <c r="PKU1" s="224"/>
      <c r="PKV1" s="224"/>
      <c r="PKW1" s="224"/>
      <c r="PKX1" s="224"/>
      <c r="PKY1" s="224"/>
      <c r="PKZ1" s="224"/>
      <c r="PLA1" s="224"/>
      <c r="PLB1" s="224"/>
      <c r="PLC1" s="224"/>
      <c r="PLD1" s="224"/>
      <c r="PLE1" s="224"/>
      <c r="PLF1" s="224"/>
      <c r="PLG1" s="224"/>
      <c r="PLH1" s="224"/>
      <c r="PLI1" s="224"/>
      <c r="PLJ1" s="224"/>
      <c r="PLK1" s="224"/>
      <c r="PLL1" s="224"/>
      <c r="PLM1" s="224"/>
      <c r="PLN1" s="224"/>
      <c r="PLO1" s="224"/>
      <c r="PLP1" s="224"/>
      <c r="PLQ1" s="224"/>
      <c r="PLR1" s="224"/>
      <c r="PLS1" s="224"/>
      <c r="PLT1" s="224"/>
      <c r="PLU1" s="224"/>
      <c r="PLV1" s="224"/>
      <c r="PLW1" s="224"/>
      <c r="PLX1" s="224"/>
      <c r="PLY1" s="224"/>
      <c r="PLZ1" s="224"/>
      <c r="PMA1" s="224"/>
      <c r="PMB1" s="224"/>
      <c r="PMC1" s="224"/>
      <c r="PMD1" s="224"/>
      <c r="PME1" s="224"/>
      <c r="PMF1" s="224"/>
      <c r="PMG1" s="224"/>
      <c r="PMH1" s="224"/>
      <c r="PMI1" s="224"/>
      <c r="PMJ1" s="224"/>
      <c r="PMK1" s="224"/>
      <c r="PML1" s="224"/>
      <c r="PMM1" s="224"/>
      <c r="PMN1" s="224"/>
      <c r="PMO1" s="224"/>
      <c r="PMP1" s="224"/>
      <c r="PMQ1" s="224"/>
      <c r="PMR1" s="224"/>
      <c r="PMS1" s="224"/>
      <c r="PMT1" s="224"/>
      <c r="PMU1" s="224"/>
      <c r="PMV1" s="224"/>
      <c r="PMW1" s="224"/>
      <c r="PMX1" s="224"/>
      <c r="PMY1" s="224"/>
      <c r="PMZ1" s="224"/>
      <c r="PNA1" s="224"/>
      <c r="PNB1" s="224"/>
      <c r="PNC1" s="224"/>
      <c r="PND1" s="224"/>
      <c r="PNE1" s="224"/>
      <c r="PNF1" s="224"/>
      <c r="PNG1" s="224"/>
      <c r="PNH1" s="224"/>
      <c r="PNI1" s="224"/>
      <c r="PNJ1" s="224"/>
      <c r="PNK1" s="224"/>
      <c r="PNL1" s="224"/>
      <c r="PNM1" s="224"/>
      <c r="PNN1" s="224"/>
      <c r="PNO1" s="224"/>
      <c r="PNP1" s="224"/>
      <c r="PNQ1" s="224"/>
      <c r="PNR1" s="224"/>
      <c r="PNS1" s="224"/>
      <c r="PNT1" s="224"/>
      <c r="PNU1" s="224"/>
      <c r="PNV1" s="224"/>
      <c r="PNW1" s="224"/>
      <c r="PNX1" s="224"/>
      <c r="PNY1" s="224"/>
      <c r="PNZ1" s="224"/>
      <c r="POA1" s="224"/>
      <c r="POB1" s="224"/>
      <c r="POC1" s="224"/>
      <c r="POD1" s="224"/>
      <c r="POE1" s="224"/>
      <c r="POF1" s="224"/>
      <c r="POG1" s="224"/>
      <c r="POH1" s="224"/>
      <c r="POI1" s="224"/>
      <c r="POJ1" s="224"/>
      <c r="POK1" s="224"/>
      <c r="POL1" s="224"/>
      <c r="POM1" s="224"/>
      <c r="PON1" s="224"/>
      <c r="POO1" s="224"/>
      <c r="POP1" s="224"/>
      <c r="POQ1" s="224"/>
      <c r="POR1" s="224"/>
      <c r="POS1" s="224"/>
      <c r="POT1" s="224"/>
      <c r="POU1" s="224"/>
      <c r="POV1" s="224"/>
      <c r="POW1" s="224"/>
      <c r="POX1" s="224"/>
      <c r="POY1" s="224"/>
      <c r="POZ1" s="224"/>
      <c r="PPA1" s="224"/>
      <c r="PPB1" s="224"/>
      <c r="PPC1" s="224"/>
      <c r="PPD1" s="224"/>
      <c r="PPE1" s="224"/>
      <c r="PPF1" s="224"/>
      <c r="PPG1" s="224"/>
      <c r="PPH1" s="224"/>
      <c r="PPI1" s="224"/>
      <c r="PPJ1" s="224"/>
      <c r="PPK1" s="224"/>
      <c r="PPL1" s="224"/>
      <c r="PPM1" s="224"/>
      <c r="PPN1" s="224"/>
      <c r="PPO1" s="224"/>
      <c r="PPP1" s="224"/>
      <c r="PPQ1" s="224"/>
      <c r="PPR1" s="224"/>
      <c r="PPS1" s="224"/>
      <c r="PPT1" s="224"/>
      <c r="PPU1" s="224"/>
      <c r="PPV1" s="224"/>
      <c r="PPW1" s="224"/>
      <c r="PPX1" s="224"/>
      <c r="PPY1" s="224"/>
      <c r="PPZ1" s="224"/>
      <c r="PQA1" s="224"/>
      <c r="PQB1" s="224"/>
      <c r="PQC1" s="224"/>
      <c r="PQD1" s="224"/>
      <c r="PQE1" s="224"/>
      <c r="PQF1" s="224"/>
      <c r="PQG1" s="224"/>
      <c r="PQH1" s="224"/>
      <c r="PQI1" s="224"/>
      <c r="PQJ1" s="224"/>
      <c r="PQK1" s="224"/>
      <c r="PQL1" s="224"/>
      <c r="PQM1" s="224"/>
      <c r="PQN1" s="224"/>
      <c r="PQO1" s="224"/>
      <c r="PQP1" s="224"/>
      <c r="PQQ1" s="224"/>
      <c r="PQR1" s="224"/>
      <c r="PQS1" s="224"/>
      <c r="PQT1" s="224"/>
      <c r="PQU1" s="224"/>
      <c r="PQV1" s="224"/>
      <c r="PQW1" s="224"/>
      <c r="PQX1" s="224"/>
      <c r="PQY1" s="224"/>
      <c r="PQZ1" s="224"/>
      <c r="PRA1" s="224"/>
      <c r="PRB1" s="224"/>
      <c r="PRC1" s="224"/>
      <c r="PRD1" s="224"/>
      <c r="PRE1" s="224"/>
      <c r="PRF1" s="224"/>
      <c r="PRG1" s="224"/>
      <c r="PRH1" s="224"/>
      <c r="PRI1" s="224"/>
      <c r="PRJ1" s="224"/>
      <c r="PRK1" s="224"/>
      <c r="PRL1" s="224"/>
      <c r="PRM1" s="224"/>
      <c r="PRN1" s="224"/>
      <c r="PRO1" s="224"/>
      <c r="PRP1" s="224"/>
      <c r="PRQ1" s="224"/>
      <c r="PRR1" s="224"/>
      <c r="PRS1" s="224"/>
      <c r="PRT1" s="224"/>
      <c r="PRU1" s="224"/>
      <c r="PRV1" s="224"/>
      <c r="PRW1" s="224"/>
      <c r="PRX1" s="224"/>
      <c r="PRY1" s="224"/>
      <c r="PRZ1" s="224"/>
      <c r="PSA1" s="224"/>
      <c r="PSB1" s="224"/>
      <c r="PSC1" s="224"/>
      <c r="PSD1" s="224"/>
      <c r="PSE1" s="224"/>
      <c r="PSF1" s="224"/>
      <c r="PSG1" s="224"/>
      <c r="PSH1" s="224"/>
      <c r="PSI1" s="224"/>
      <c r="PSJ1" s="224"/>
      <c r="PSK1" s="224"/>
      <c r="PSL1" s="224"/>
      <c r="PSM1" s="224"/>
      <c r="PSN1" s="224"/>
      <c r="PSO1" s="224"/>
      <c r="PSP1" s="224"/>
      <c r="PSQ1" s="224"/>
      <c r="PSR1" s="224"/>
      <c r="PSS1" s="224"/>
      <c r="PST1" s="224"/>
      <c r="PSU1" s="224"/>
      <c r="PSV1" s="224"/>
      <c r="PSW1" s="224"/>
      <c r="PSX1" s="224"/>
      <c r="PSY1" s="224"/>
      <c r="PSZ1" s="224"/>
      <c r="PTA1" s="224"/>
      <c r="PTB1" s="224"/>
      <c r="PTC1" s="224"/>
      <c r="PTD1" s="224"/>
      <c r="PTE1" s="224"/>
      <c r="PTF1" s="224"/>
      <c r="PTG1" s="224"/>
      <c r="PTH1" s="224"/>
      <c r="PTI1" s="224"/>
      <c r="PTJ1" s="224"/>
      <c r="PTK1" s="224"/>
      <c r="PTL1" s="224"/>
      <c r="PTM1" s="224"/>
      <c r="PTN1" s="224"/>
      <c r="PTO1" s="224"/>
      <c r="PTP1" s="224"/>
      <c r="PTQ1" s="224"/>
      <c r="PTR1" s="224"/>
      <c r="PTS1" s="224"/>
      <c r="PTT1" s="224"/>
      <c r="PTU1" s="224"/>
      <c r="PTV1" s="224"/>
      <c r="PTW1" s="224"/>
      <c r="PTX1" s="224"/>
      <c r="PTY1" s="224"/>
      <c r="PTZ1" s="224"/>
      <c r="PUA1" s="224"/>
      <c r="PUB1" s="224"/>
      <c r="PUC1" s="224"/>
      <c r="PUD1" s="224"/>
      <c r="PUE1" s="224"/>
      <c r="PUF1" s="224"/>
      <c r="PUG1" s="224"/>
      <c r="PUH1" s="224"/>
      <c r="PUI1" s="224"/>
      <c r="PUJ1" s="224"/>
      <c r="PUK1" s="224"/>
      <c r="PUL1" s="224"/>
      <c r="PUM1" s="224"/>
      <c r="PUN1" s="224"/>
      <c r="PUO1" s="224"/>
      <c r="PUP1" s="224"/>
      <c r="PUQ1" s="224"/>
      <c r="PUR1" s="224"/>
      <c r="PUS1" s="224"/>
      <c r="PUT1" s="224"/>
      <c r="PUU1" s="224"/>
      <c r="PUV1" s="224"/>
      <c r="PUW1" s="224"/>
      <c r="PUX1" s="224"/>
      <c r="PUY1" s="224"/>
      <c r="PUZ1" s="224"/>
      <c r="PVA1" s="224"/>
      <c r="PVB1" s="224"/>
      <c r="PVC1" s="224"/>
      <c r="PVD1" s="224"/>
      <c r="PVE1" s="224"/>
      <c r="PVF1" s="224"/>
      <c r="PVG1" s="224"/>
      <c r="PVH1" s="224"/>
      <c r="PVI1" s="224"/>
      <c r="PVJ1" s="224"/>
      <c r="PVK1" s="224"/>
      <c r="PVL1" s="224"/>
      <c r="PVM1" s="224"/>
      <c r="PVN1" s="224"/>
      <c r="PVO1" s="224"/>
      <c r="PVP1" s="224"/>
      <c r="PVQ1" s="224"/>
      <c r="PVR1" s="224"/>
      <c r="PVS1" s="224"/>
      <c r="PVT1" s="224"/>
      <c r="PVU1" s="224"/>
      <c r="PVV1" s="224"/>
      <c r="PVW1" s="224"/>
      <c r="PVX1" s="224"/>
      <c r="PVY1" s="224"/>
      <c r="PVZ1" s="224"/>
      <c r="PWA1" s="224"/>
      <c r="PWB1" s="224"/>
      <c r="PWC1" s="224"/>
      <c r="PWD1" s="224"/>
      <c r="PWE1" s="224"/>
      <c r="PWF1" s="224"/>
      <c r="PWG1" s="224"/>
      <c r="PWH1" s="224"/>
      <c r="PWI1" s="224"/>
      <c r="PWJ1" s="224"/>
      <c r="PWK1" s="224"/>
      <c r="PWL1" s="224"/>
      <c r="PWM1" s="224"/>
      <c r="PWN1" s="224"/>
      <c r="PWO1" s="224"/>
      <c r="PWP1" s="224"/>
      <c r="PWQ1" s="224"/>
      <c r="PWR1" s="224"/>
      <c r="PWS1" s="224"/>
      <c r="PWT1" s="224"/>
      <c r="PWU1" s="224"/>
      <c r="PWV1" s="224"/>
      <c r="PWW1" s="224"/>
      <c r="PWX1" s="224"/>
      <c r="PWY1" s="224"/>
      <c r="PWZ1" s="224"/>
      <c r="PXA1" s="224"/>
      <c r="PXB1" s="224"/>
      <c r="PXC1" s="224"/>
      <c r="PXD1" s="224"/>
      <c r="PXE1" s="224"/>
      <c r="PXF1" s="224"/>
      <c r="PXG1" s="224"/>
      <c r="PXH1" s="224"/>
      <c r="PXI1" s="224"/>
      <c r="PXJ1" s="224"/>
      <c r="PXK1" s="224"/>
      <c r="PXL1" s="224"/>
      <c r="PXM1" s="224"/>
      <c r="PXN1" s="224"/>
      <c r="PXO1" s="224"/>
      <c r="PXP1" s="224"/>
      <c r="PXQ1" s="224"/>
      <c r="PXR1" s="224"/>
      <c r="PXS1" s="224"/>
      <c r="PXT1" s="224"/>
      <c r="PXU1" s="224"/>
      <c r="PXV1" s="224"/>
      <c r="PXW1" s="224"/>
      <c r="PXX1" s="224"/>
      <c r="PXY1" s="224"/>
      <c r="PXZ1" s="224"/>
      <c r="PYA1" s="224"/>
      <c r="PYB1" s="224"/>
      <c r="PYC1" s="224"/>
      <c r="PYD1" s="224"/>
      <c r="PYE1" s="224"/>
      <c r="PYF1" s="224"/>
      <c r="PYG1" s="224"/>
      <c r="PYH1" s="224"/>
      <c r="PYI1" s="224"/>
      <c r="PYJ1" s="224"/>
      <c r="PYK1" s="224"/>
      <c r="PYL1" s="224"/>
      <c r="PYM1" s="224"/>
      <c r="PYN1" s="224"/>
      <c r="PYO1" s="224"/>
      <c r="PYP1" s="224"/>
      <c r="PYQ1" s="224"/>
      <c r="PYR1" s="224"/>
      <c r="PYS1" s="224"/>
      <c r="PYT1" s="224"/>
      <c r="PYU1" s="224"/>
      <c r="PYV1" s="224"/>
      <c r="PYW1" s="224"/>
      <c r="PYX1" s="224"/>
      <c r="PYY1" s="224"/>
      <c r="PYZ1" s="224"/>
      <c r="PZA1" s="224"/>
      <c r="PZB1" s="224"/>
      <c r="PZC1" s="224"/>
      <c r="PZD1" s="224"/>
      <c r="PZE1" s="224"/>
      <c r="PZF1" s="224"/>
      <c r="PZG1" s="224"/>
      <c r="PZH1" s="224"/>
      <c r="PZI1" s="224"/>
      <c r="PZJ1" s="224"/>
      <c r="PZK1" s="224"/>
      <c r="PZL1" s="224"/>
      <c r="PZM1" s="224"/>
      <c r="PZN1" s="224"/>
      <c r="PZO1" s="224"/>
      <c r="PZP1" s="224"/>
      <c r="PZQ1" s="224"/>
      <c r="PZR1" s="224"/>
      <c r="PZS1" s="224"/>
      <c r="PZT1" s="224"/>
      <c r="PZU1" s="224"/>
      <c r="PZV1" s="224"/>
      <c r="PZW1" s="224"/>
      <c r="PZX1" s="224"/>
      <c r="PZY1" s="224"/>
      <c r="PZZ1" s="224"/>
      <c r="QAA1" s="224"/>
      <c r="QAB1" s="224"/>
      <c r="QAC1" s="224"/>
      <c r="QAD1" s="224"/>
      <c r="QAE1" s="224"/>
      <c r="QAF1" s="224"/>
      <c r="QAG1" s="224"/>
      <c r="QAH1" s="224"/>
      <c r="QAI1" s="224"/>
      <c r="QAJ1" s="224"/>
      <c r="QAK1" s="224"/>
      <c r="QAL1" s="224"/>
      <c r="QAM1" s="224"/>
      <c r="QAN1" s="224"/>
      <c r="QAO1" s="224"/>
      <c r="QAP1" s="224"/>
      <c r="QAQ1" s="224"/>
      <c r="QAR1" s="224"/>
      <c r="QAS1" s="224"/>
      <c r="QAT1" s="224"/>
      <c r="QAU1" s="224"/>
      <c r="QAV1" s="224"/>
      <c r="QAW1" s="224"/>
      <c r="QAX1" s="224"/>
      <c r="QAY1" s="224"/>
      <c r="QAZ1" s="224"/>
      <c r="QBA1" s="224"/>
      <c r="QBB1" s="224"/>
      <c r="QBC1" s="224"/>
      <c r="QBD1" s="224"/>
      <c r="QBE1" s="224"/>
      <c r="QBF1" s="224"/>
      <c r="QBG1" s="224"/>
      <c r="QBH1" s="224"/>
      <c r="QBI1" s="224"/>
      <c r="QBJ1" s="224"/>
      <c r="QBK1" s="224"/>
      <c r="QBL1" s="224"/>
      <c r="QBM1" s="224"/>
      <c r="QBN1" s="224"/>
      <c r="QBO1" s="224"/>
      <c r="QBP1" s="224"/>
      <c r="QBQ1" s="224"/>
      <c r="QBR1" s="224"/>
      <c r="QBS1" s="224"/>
      <c r="QBT1" s="224"/>
      <c r="QBU1" s="224"/>
      <c r="QBV1" s="224"/>
      <c r="QBW1" s="224"/>
      <c r="QBX1" s="224"/>
      <c r="QBY1" s="224"/>
      <c r="QBZ1" s="224"/>
      <c r="QCA1" s="224"/>
      <c r="QCB1" s="224"/>
      <c r="QCC1" s="224"/>
      <c r="QCD1" s="224"/>
      <c r="QCE1" s="224"/>
      <c r="QCF1" s="224"/>
      <c r="QCG1" s="224"/>
      <c r="QCH1" s="224"/>
      <c r="QCI1" s="224"/>
      <c r="QCJ1" s="224"/>
      <c r="QCK1" s="224"/>
      <c r="QCL1" s="224"/>
      <c r="QCM1" s="224"/>
      <c r="QCN1" s="224"/>
      <c r="QCO1" s="224"/>
      <c r="QCP1" s="224"/>
      <c r="QCQ1" s="224"/>
      <c r="QCR1" s="224"/>
      <c r="QCS1" s="224"/>
      <c r="QCT1" s="224"/>
      <c r="QCU1" s="224"/>
      <c r="QCV1" s="224"/>
      <c r="QCW1" s="224"/>
      <c r="QCX1" s="224"/>
      <c r="QCY1" s="224"/>
      <c r="QCZ1" s="224"/>
      <c r="QDA1" s="224"/>
      <c r="QDB1" s="224"/>
      <c r="QDC1" s="224"/>
      <c r="QDD1" s="224"/>
      <c r="QDE1" s="224"/>
      <c r="QDF1" s="224"/>
      <c r="QDG1" s="224"/>
      <c r="QDH1" s="224"/>
      <c r="QDI1" s="224"/>
      <c r="QDJ1" s="224"/>
      <c r="QDK1" s="224"/>
      <c r="QDL1" s="224"/>
      <c r="QDM1" s="224"/>
      <c r="QDN1" s="224"/>
      <c r="QDO1" s="224"/>
      <c r="QDP1" s="224"/>
      <c r="QDQ1" s="224"/>
      <c r="QDR1" s="224"/>
      <c r="QDS1" s="224"/>
      <c r="QDT1" s="224"/>
      <c r="QDU1" s="224"/>
      <c r="QDV1" s="224"/>
      <c r="QDW1" s="224"/>
      <c r="QDX1" s="224"/>
      <c r="QDY1" s="224"/>
      <c r="QDZ1" s="224"/>
      <c r="QEA1" s="224"/>
      <c r="QEB1" s="224"/>
      <c r="QEC1" s="224"/>
      <c r="QED1" s="224"/>
      <c r="QEE1" s="224"/>
      <c r="QEF1" s="224"/>
      <c r="QEG1" s="224"/>
      <c r="QEH1" s="224"/>
      <c r="QEI1" s="224"/>
      <c r="QEJ1" s="224"/>
      <c r="QEK1" s="224"/>
      <c r="QEL1" s="224"/>
      <c r="QEM1" s="224"/>
      <c r="QEN1" s="224"/>
      <c r="QEO1" s="224"/>
      <c r="QEP1" s="224"/>
      <c r="QEQ1" s="224"/>
      <c r="QER1" s="224"/>
      <c r="QES1" s="224"/>
      <c r="QET1" s="224"/>
      <c r="QEU1" s="224"/>
      <c r="QEV1" s="224"/>
      <c r="QEW1" s="224"/>
      <c r="QEX1" s="224"/>
      <c r="QEY1" s="224"/>
      <c r="QEZ1" s="224"/>
      <c r="QFA1" s="224"/>
      <c r="QFB1" s="224"/>
      <c r="QFC1" s="224"/>
      <c r="QFD1" s="224"/>
      <c r="QFE1" s="224"/>
      <c r="QFF1" s="224"/>
      <c r="QFG1" s="224"/>
      <c r="QFH1" s="224"/>
      <c r="QFI1" s="224"/>
      <c r="QFJ1" s="224"/>
      <c r="QFK1" s="224"/>
      <c r="QFL1" s="224"/>
      <c r="QFM1" s="224"/>
      <c r="QFN1" s="224"/>
      <c r="QFO1" s="224"/>
      <c r="QFP1" s="224"/>
      <c r="QFQ1" s="224"/>
      <c r="QFR1" s="224"/>
      <c r="QFS1" s="224"/>
      <c r="QFT1" s="224"/>
      <c r="QFU1" s="224"/>
      <c r="QFV1" s="224"/>
      <c r="QFW1" s="224"/>
      <c r="QFX1" s="224"/>
      <c r="QFY1" s="224"/>
      <c r="QFZ1" s="224"/>
      <c r="QGA1" s="224"/>
      <c r="QGB1" s="224"/>
      <c r="QGC1" s="224"/>
      <c r="QGD1" s="224"/>
      <c r="QGE1" s="224"/>
      <c r="QGF1" s="224"/>
      <c r="QGG1" s="224"/>
      <c r="QGH1" s="224"/>
      <c r="QGI1" s="224"/>
      <c r="QGJ1" s="224"/>
      <c r="QGK1" s="224"/>
      <c r="QGL1" s="224"/>
      <c r="QGM1" s="224"/>
      <c r="QGN1" s="224"/>
      <c r="QGO1" s="224"/>
      <c r="QGP1" s="224"/>
      <c r="QGQ1" s="224"/>
      <c r="QGR1" s="224"/>
      <c r="QGS1" s="224"/>
      <c r="QGT1" s="224"/>
      <c r="QGU1" s="224"/>
      <c r="QGV1" s="224"/>
      <c r="QGW1" s="224"/>
      <c r="QGX1" s="224"/>
      <c r="QGY1" s="224"/>
      <c r="QGZ1" s="224"/>
      <c r="QHA1" s="224"/>
      <c r="QHB1" s="224"/>
      <c r="QHC1" s="224"/>
      <c r="QHD1" s="224"/>
      <c r="QHE1" s="224"/>
      <c r="QHF1" s="224"/>
      <c r="QHG1" s="224"/>
      <c r="QHH1" s="224"/>
      <c r="QHI1" s="224"/>
      <c r="QHJ1" s="224"/>
      <c r="QHK1" s="224"/>
      <c r="QHL1" s="224"/>
      <c r="QHM1" s="224"/>
      <c r="QHN1" s="224"/>
      <c r="QHO1" s="224"/>
      <c r="QHP1" s="224"/>
      <c r="QHQ1" s="224"/>
      <c r="QHR1" s="224"/>
      <c r="QHS1" s="224"/>
      <c r="QHT1" s="224"/>
      <c r="QHU1" s="224"/>
      <c r="QHV1" s="224"/>
      <c r="QHW1" s="224"/>
      <c r="QHX1" s="224"/>
      <c r="QHY1" s="224"/>
      <c r="QHZ1" s="224"/>
      <c r="QIA1" s="224"/>
      <c r="QIB1" s="224"/>
      <c r="QIC1" s="224"/>
      <c r="QID1" s="224"/>
      <c r="QIE1" s="224"/>
      <c r="QIF1" s="224"/>
      <c r="QIG1" s="224"/>
      <c r="QIH1" s="224"/>
      <c r="QII1" s="224"/>
      <c r="QIJ1" s="224"/>
      <c r="QIK1" s="224"/>
      <c r="QIL1" s="224"/>
      <c r="QIM1" s="224"/>
      <c r="QIN1" s="224"/>
      <c r="QIO1" s="224"/>
      <c r="QIP1" s="224"/>
      <c r="QIQ1" s="224"/>
      <c r="QIR1" s="224"/>
      <c r="QIS1" s="224"/>
      <c r="QIT1" s="224"/>
      <c r="QIU1" s="224"/>
      <c r="QIV1" s="224"/>
      <c r="QIW1" s="224"/>
      <c r="QIX1" s="224"/>
      <c r="QIY1" s="224"/>
      <c r="QIZ1" s="224"/>
      <c r="QJA1" s="224"/>
      <c r="QJB1" s="224"/>
      <c r="QJC1" s="224"/>
      <c r="QJD1" s="224"/>
      <c r="QJE1" s="224"/>
      <c r="QJF1" s="224"/>
      <c r="QJG1" s="224"/>
      <c r="QJH1" s="224"/>
      <c r="QJI1" s="224"/>
      <c r="QJJ1" s="224"/>
      <c r="QJK1" s="224"/>
      <c r="QJL1" s="224"/>
      <c r="QJM1" s="224"/>
      <c r="QJN1" s="224"/>
      <c r="QJO1" s="224"/>
      <c r="QJP1" s="224"/>
      <c r="QJQ1" s="224"/>
      <c r="QJR1" s="224"/>
      <c r="QJS1" s="224"/>
      <c r="QJT1" s="224"/>
      <c r="QJU1" s="224"/>
      <c r="QJV1" s="224"/>
      <c r="QJW1" s="224"/>
      <c r="QJX1" s="224"/>
      <c r="QJY1" s="224"/>
      <c r="QJZ1" s="224"/>
      <c r="QKA1" s="224"/>
      <c r="QKB1" s="224"/>
      <c r="QKC1" s="224"/>
      <c r="QKD1" s="224"/>
      <c r="QKE1" s="224"/>
      <c r="QKF1" s="224"/>
      <c r="QKG1" s="224"/>
      <c r="QKH1" s="224"/>
      <c r="QKI1" s="224"/>
      <c r="QKJ1" s="224"/>
      <c r="QKK1" s="224"/>
      <c r="QKL1" s="224"/>
      <c r="QKM1" s="224"/>
      <c r="QKN1" s="224"/>
      <c r="QKO1" s="224"/>
      <c r="QKP1" s="224"/>
      <c r="QKQ1" s="224"/>
      <c r="QKR1" s="224"/>
      <c r="QKS1" s="224"/>
      <c r="QKT1" s="224"/>
      <c r="QKU1" s="224"/>
      <c r="QKV1" s="224"/>
      <c r="QKW1" s="224"/>
      <c r="QKX1" s="224"/>
      <c r="QKY1" s="224"/>
      <c r="QKZ1" s="224"/>
      <c r="QLA1" s="224"/>
      <c r="QLB1" s="224"/>
      <c r="QLC1" s="224"/>
      <c r="QLD1" s="224"/>
      <c r="QLE1" s="224"/>
      <c r="QLF1" s="224"/>
      <c r="QLG1" s="224"/>
      <c r="QLH1" s="224"/>
      <c r="QLI1" s="224"/>
      <c r="QLJ1" s="224"/>
      <c r="QLK1" s="224"/>
      <c r="QLL1" s="224"/>
      <c r="QLM1" s="224"/>
      <c r="QLN1" s="224"/>
      <c r="QLO1" s="224"/>
      <c r="QLP1" s="224"/>
      <c r="QLQ1" s="224"/>
      <c r="QLR1" s="224"/>
      <c r="QLS1" s="224"/>
      <c r="QLT1" s="224"/>
      <c r="QLU1" s="224"/>
      <c r="QLV1" s="224"/>
      <c r="QLW1" s="224"/>
      <c r="QLX1" s="224"/>
      <c r="QLY1" s="224"/>
      <c r="QLZ1" s="224"/>
      <c r="QMA1" s="224"/>
      <c r="QMB1" s="224"/>
      <c r="QMC1" s="224"/>
      <c r="QMD1" s="224"/>
      <c r="QME1" s="224"/>
      <c r="QMF1" s="224"/>
      <c r="QMG1" s="224"/>
      <c r="QMH1" s="224"/>
      <c r="QMI1" s="224"/>
      <c r="QMJ1" s="224"/>
      <c r="QMK1" s="224"/>
      <c r="QML1" s="224"/>
      <c r="QMM1" s="224"/>
      <c r="QMN1" s="224"/>
      <c r="QMO1" s="224"/>
      <c r="QMP1" s="224"/>
      <c r="QMQ1" s="224"/>
      <c r="QMR1" s="224"/>
      <c r="QMS1" s="224"/>
      <c r="QMT1" s="224"/>
      <c r="QMU1" s="224"/>
      <c r="QMV1" s="224"/>
      <c r="QMW1" s="224"/>
      <c r="QMX1" s="224"/>
      <c r="QMY1" s="224"/>
      <c r="QMZ1" s="224"/>
      <c r="QNA1" s="224"/>
      <c r="QNB1" s="224"/>
      <c r="QNC1" s="224"/>
      <c r="QND1" s="224"/>
      <c r="QNE1" s="224"/>
      <c r="QNF1" s="224"/>
      <c r="QNG1" s="224"/>
      <c r="QNH1" s="224"/>
      <c r="QNI1" s="224"/>
      <c r="QNJ1" s="224"/>
      <c r="QNK1" s="224"/>
      <c r="QNL1" s="224"/>
      <c r="QNM1" s="224"/>
      <c r="QNN1" s="224"/>
      <c r="QNO1" s="224"/>
      <c r="QNP1" s="224"/>
      <c r="QNQ1" s="224"/>
      <c r="QNR1" s="224"/>
      <c r="QNS1" s="224"/>
      <c r="QNT1" s="224"/>
      <c r="QNU1" s="224"/>
      <c r="QNV1" s="224"/>
      <c r="QNW1" s="224"/>
      <c r="QNX1" s="224"/>
      <c r="QNY1" s="224"/>
      <c r="QNZ1" s="224"/>
      <c r="QOA1" s="224"/>
      <c r="QOB1" s="224"/>
      <c r="QOC1" s="224"/>
      <c r="QOD1" s="224"/>
      <c r="QOE1" s="224"/>
      <c r="QOF1" s="224"/>
      <c r="QOG1" s="224"/>
      <c r="QOH1" s="224"/>
      <c r="QOI1" s="224"/>
      <c r="QOJ1" s="224"/>
      <c r="QOK1" s="224"/>
      <c r="QOL1" s="224"/>
      <c r="QOM1" s="224"/>
      <c r="QON1" s="224"/>
      <c r="QOO1" s="224"/>
      <c r="QOP1" s="224"/>
      <c r="QOQ1" s="224"/>
      <c r="QOR1" s="224"/>
      <c r="QOS1" s="224"/>
      <c r="QOT1" s="224"/>
      <c r="QOU1" s="224"/>
      <c r="QOV1" s="224"/>
      <c r="QOW1" s="224"/>
      <c r="QOX1" s="224"/>
      <c r="QOY1" s="224"/>
      <c r="QOZ1" s="224"/>
      <c r="QPA1" s="224"/>
      <c r="QPB1" s="224"/>
      <c r="QPC1" s="224"/>
      <c r="QPD1" s="224"/>
      <c r="QPE1" s="224"/>
      <c r="QPF1" s="224"/>
      <c r="QPG1" s="224"/>
      <c r="QPH1" s="224"/>
      <c r="QPI1" s="224"/>
      <c r="QPJ1" s="224"/>
      <c r="QPK1" s="224"/>
      <c r="QPL1" s="224"/>
      <c r="QPM1" s="224"/>
      <c r="QPN1" s="224"/>
      <c r="QPO1" s="224"/>
      <c r="QPP1" s="224"/>
      <c r="QPQ1" s="224"/>
      <c r="QPR1" s="224"/>
      <c r="QPS1" s="224"/>
      <c r="QPT1" s="224"/>
      <c r="QPU1" s="224"/>
      <c r="QPV1" s="224"/>
      <c r="QPW1" s="224"/>
      <c r="QPX1" s="224"/>
      <c r="QPY1" s="224"/>
      <c r="QPZ1" s="224"/>
      <c r="QQA1" s="224"/>
      <c r="QQB1" s="224"/>
      <c r="QQC1" s="224"/>
      <c r="QQD1" s="224"/>
      <c r="QQE1" s="224"/>
      <c r="QQF1" s="224"/>
      <c r="QQG1" s="224"/>
      <c r="QQH1" s="224"/>
      <c r="QQI1" s="224"/>
      <c r="QQJ1" s="224"/>
      <c r="QQK1" s="224"/>
      <c r="QQL1" s="224"/>
      <c r="QQM1" s="224"/>
      <c r="QQN1" s="224"/>
      <c r="QQO1" s="224"/>
      <c r="QQP1" s="224"/>
      <c r="QQQ1" s="224"/>
      <c r="QQR1" s="224"/>
      <c r="QQS1" s="224"/>
      <c r="QQT1" s="224"/>
      <c r="QQU1" s="224"/>
      <c r="QQV1" s="224"/>
      <c r="QQW1" s="224"/>
      <c r="QQX1" s="224"/>
      <c r="QQY1" s="224"/>
      <c r="QQZ1" s="224"/>
      <c r="QRA1" s="224"/>
      <c r="QRB1" s="224"/>
      <c r="QRC1" s="224"/>
      <c r="QRD1" s="224"/>
      <c r="QRE1" s="224"/>
      <c r="QRF1" s="224"/>
      <c r="QRG1" s="224"/>
      <c r="QRH1" s="224"/>
      <c r="QRI1" s="224"/>
      <c r="QRJ1" s="224"/>
      <c r="QRK1" s="224"/>
      <c r="QRL1" s="224"/>
      <c r="QRM1" s="224"/>
      <c r="QRN1" s="224"/>
      <c r="QRO1" s="224"/>
      <c r="QRP1" s="224"/>
      <c r="QRQ1" s="224"/>
      <c r="QRR1" s="224"/>
      <c r="QRS1" s="224"/>
      <c r="QRT1" s="224"/>
      <c r="QRU1" s="224"/>
      <c r="QRV1" s="224"/>
      <c r="QRW1" s="224"/>
      <c r="QRX1" s="224"/>
      <c r="QRY1" s="224"/>
      <c r="QRZ1" s="224"/>
      <c r="QSA1" s="224"/>
      <c r="QSB1" s="224"/>
      <c r="QSC1" s="224"/>
      <c r="QSD1" s="224"/>
      <c r="QSE1" s="224"/>
      <c r="QSF1" s="224"/>
      <c r="QSG1" s="224"/>
      <c r="QSH1" s="224"/>
      <c r="QSI1" s="224"/>
      <c r="QSJ1" s="224"/>
      <c r="QSK1" s="224"/>
      <c r="QSL1" s="224"/>
      <c r="QSM1" s="224"/>
      <c r="QSN1" s="224"/>
      <c r="QSO1" s="224"/>
      <c r="QSP1" s="224"/>
      <c r="QSQ1" s="224"/>
      <c r="QSR1" s="224"/>
      <c r="QSS1" s="224"/>
      <c r="QST1" s="224"/>
      <c r="QSU1" s="224"/>
      <c r="QSV1" s="224"/>
      <c r="QSW1" s="224"/>
      <c r="QSX1" s="224"/>
      <c r="QSY1" s="224"/>
      <c r="QSZ1" s="224"/>
      <c r="QTA1" s="224"/>
      <c r="QTB1" s="224"/>
      <c r="QTC1" s="224"/>
      <c r="QTD1" s="224"/>
      <c r="QTE1" s="224"/>
      <c r="QTF1" s="224"/>
      <c r="QTG1" s="224"/>
      <c r="QTH1" s="224"/>
      <c r="QTI1" s="224"/>
      <c r="QTJ1" s="224"/>
      <c r="QTK1" s="224"/>
      <c r="QTL1" s="224"/>
      <c r="QTM1" s="224"/>
      <c r="QTN1" s="224"/>
      <c r="QTO1" s="224"/>
      <c r="QTP1" s="224"/>
      <c r="QTQ1" s="224"/>
      <c r="QTR1" s="224"/>
      <c r="QTS1" s="224"/>
      <c r="QTT1" s="224"/>
      <c r="QTU1" s="224"/>
      <c r="QTV1" s="224"/>
      <c r="QTW1" s="224"/>
      <c r="QTX1" s="224"/>
      <c r="QTY1" s="224"/>
      <c r="QTZ1" s="224"/>
      <c r="QUA1" s="224"/>
      <c r="QUB1" s="224"/>
      <c r="QUC1" s="224"/>
      <c r="QUD1" s="224"/>
      <c r="QUE1" s="224"/>
      <c r="QUF1" s="224"/>
      <c r="QUG1" s="224"/>
      <c r="QUH1" s="224"/>
      <c r="QUI1" s="224"/>
      <c r="QUJ1" s="224"/>
      <c r="QUK1" s="224"/>
      <c r="QUL1" s="224"/>
      <c r="QUM1" s="224"/>
      <c r="QUN1" s="224"/>
      <c r="QUO1" s="224"/>
      <c r="QUP1" s="224"/>
      <c r="QUQ1" s="224"/>
      <c r="QUR1" s="224"/>
      <c r="QUS1" s="224"/>
      <c r="QUT1" s="224"/>
      <c r="QUU1" s="224"/>
      <c r="QUV1" s="224"/>
      <c r="QUW1" s="224"/>
      <c r="QUX1" s="224"/>
      <c r="QUY1" s="224"/>
      <c r="QUZ1" s="224"/>
      <c r="QVA1" s="224"/>
      <c r="QVB1" s="224"/>
      <c r="QVC1" s="224"/>
      <c r="QVD1" s="224"/>
      <c r="QVE1" s="224"/>
      <c r="QVF1" s="224"/>
      <c r="QVG1" s="224"/>
      <c r="QVH1" s="224"/>
      <c r="QVI1" s="224"/>
      <c r="QVJ1" s="224"/>
      <c r="QVK1" s="224"/>
      <c r="QVL1" s="224"/>
      <c r="QVM1" s="224"/>
      <c r="QVN1" s="224"/>
      <c r="QVO1" s="224"/>
      <c r="QVP1" s="224"/>
      <c r="QVQ1" s="224"/>
      <c r="QVR1" s="224"/>
      <c r="QVS1" s="224"/>
      <c r="QVT1" s="224"/>
      <c r="QVU1" s="224"/>
      <c r="QVV1" s="224"/>
      <c r="QVW1" s="224"/>
      <c r="QVX1" s="224"/>
      <c r="QVY1" s="224"/>
      <c r="QVZ1" s="224"/>
      <c r="QWA1" s="224"/>
      <c r="QWB1" s="224"/>
      <c r="QWC1" s="224"/>
      <c r="QWD1" s="224"/>
      <c r="QWE1" s="224"/>
      <c r="QWF1" s="224"/>
      <c r="QWG1" s="224"/>
      <c r="QWH1" s="224"/>
      <c r="QWI1" s="224"/>
      <c r="QWJ1" s="224"/>
      <c r="QWK1" s="224"/>
      <c r="QWL1" s="224"/>
      <c r="QWM1" s="224"/>
      <c r="QWN1" s="224"/>
      <c r="QWO1" s="224"/>
      <c r="QWP1" s="224"/>
      <c r="QWQ1" s="224"/>
      <c r="QWR1" s="224"/>
      <c r="QWS1" s="224"/>
      <c r="QWT1" s="224"/>
      <c r="QWU1" s="224"/>
      <c r="QWV1" s="224"/>
      <c r="QWW1" s="224"/>
      <c r="QWX1" s="224"/>
      <c r="QWY1" s="224"/>
      <c r="QWZ1" s="224"/>
      <c r="QXA1" s="224"/>
      <c r="QXB1" s="224"/>
      <c r="QXC1" s="224"/>
      <c r="QXD1" s="224"/>
      <c r="QXE1" s="224"/>
      <c r="QXF1" s="224"/>
      <c r="QXG1" s="224"/>
      <c r="QXH1" s="224"/>
      <c r="QXI1" s="224"/>
      <c r="QXJ1" s="224"/>
      <c r="QXK1" s="224"/>
      <c r="QXL1" s="224"/>
      <c r="QXM1" s="224"/>
      <c r="QXN1" s="224"/>
      <c r="QXO1" s="224"/>
      <c r="QXP1" s="224"/>
      <c r="QXQ1" s="224"/>
      <c r="QXR1" s="224"/>
      <c r="QXS1" s="224"/>
      <c r="QXT1" s="224"/>
      <c r="QXU1" s="224"/>
      <c r="QXV1" s="224"/>
      <c r="QXW1" s="224"/>
      <c r="QXX1" s="224"/>
      <c r="QXY1" s="224"/>
      <c r="QXZ1" s="224"/>
      <c r="QYA1" s="224"/>
      <c r="QYB1" s="224"/>
      <c r="QYC1" s="224"/>
      <c r="QYD1" s="224"/>
      <c r="QYE1" s="224"/>
      <c r="QYF1" s="224"/>
      <c r="QYG1" s="224"/>
      <c r="QYH1" s="224"/>
      <c r="QYI1" s="224"/>
      <c r="QYJ1" s="224"/>
      <c r="QYK1" s="224"/>
      <c r="QYL1" s="224"/>
      <c r="QYM1" s="224"/>
      <c r="QYN1" s="224"/>
      <c r="QYO1" s="224"/>
      <c r="QYP1" s="224"/>
      <c r="QYQ1" s="224"/>
      <c r="QYR1" s="224"/>
      <c r="QYS1" s="224"/>
      <c r="QYT1" s="224"/>
      <c r="QYU1" s="224"/>
      <c r="QYV1" s="224"/>
      <c r="QYW1" s="224"/>
      <c r="QYX1" s="224"/>
      <c r="QYY1" s="224"/>
      <c r="QYZ1" s="224"/>
      <c r="QZA1" s="224"/>
      <c r="QZB1" s="224"/>
      <c r="QZC1" s="224"/>
      <c r="QZD1" s="224"/>
      <c r="QZE1" s="224"/>
      <c r="QZF1" s="224"/>
      <c r="QZG1" s="224"/>
      <c r="QZH1" s="224"/>
      <c r="QZI1" s="224"/>
      <c r="QZJ1" s="224"/>
      <c r="QZK1" s="224"/>
      <c r="QZL1" s="224"/>
      <c r="QZM1" s="224"/>
      <c r="QZN1" s="224"/>
      <c r="QZO1" s="224"/>
      <c r="QZP1" s="224"/>
      <c r="QZQ1" s="224"/>
      <c r="QZR1" s="224"/>
      <c r="QZS1" s="224"/>
      <c r="QZT1" s="224"/>
      <c r="QZU1" s="224"/>
      <c r="QZV1" s="224"/>
      <c r="QZW1" s="224"/>
      <c r="QZX1" s="224"/>
      <c r="QZY1" s="224"/>
      <c r="QZZ1" s="224"/>
      <c r="RAA1" s="224"/>
      <c r="RAB1" s="224"/>
      <c r="RAC1" s="224"/>
      <c r="RAD1" s="224"/>
      <c r="RAE1" s="224"/>
      <c r="RAF1" s="224"/>
      <c r="RAG1" s="224"/>
      <c r="RAH1" s="224"/>
      <c r="RAI1" s="224"/>
      <c r="RAJ1" s="224"/>
      <c r="RAK1" s="224"/>
      <c r="RAL1" s="224"/>
      <c r="RAM1" s="224"/>
      <c r="RAN1" s="224"/>
      <c r="RAO1" s="224"/>
      <c r="RAP1" s="224"/>
      <c r="RAQ1" s="224"/>
      <c r="RAR1" s="224"/>
      <c r="RAS1" s="224"/>
      <c r="RAT1" s="224"/>
      <c r="RAU1" s="224"/>
      <c r="RAV1" s="224"/>
      <c r="RAW1" s="224"/>
      <c r="RAX1" s="224"/>
      <c r="RAY1" s="224"/>
      <c r="RAZ1" s="224"/>
      <c r="RBA1" s="224"/>
      <c r="RBB1" s="224"/>
      <c r="RBC1" s="224"/>
      <c r="RBD1" s="224"/>
      <c r="RBE1" s="224"/>
      <c r="RBF1" s="224"/>
      <c r="RBG1" s="224"/>
      <c r="RBH1" s="224"/>
      <c r="RBI1" s="224"/>
      <c r="RBJ1" s="224"/>
      <c r="RBK1" s="224"/>
      <c r="RBL1" s="224"/>
      <c r="RBM1" s="224"/>
      <c r="RBN1" s="224"/>
      <c r="RBO1" s="224"/>
      <c r="RBP1" s="224"/>
      <c r="RBQ1" s="224"/>
      <c r="RBR1" s="224"/>
      <c r="RBS1" s="224"/>
      <c r="RBT1" s="224"/>
      <c r="RBU1" s="224"/>
      <c r="RBV1" s="224"/>
      <c r="RBW1" s="224"/>
      <c r="RBX1" s="224"/>
      <c r="RBY1" s="224"/>
      <c r="RBZ1" s="224"/>
      <c r="RCA1" s="224"/>
      <c r="RCB1" s="224"/>
      <c r="RCC1" s="224"/>
      <c r="RCD1" s="224"/>
      <c r="RCE1" s="224"/>
      <c r="RCF1" s="224"/>
      <c r="RCG1" s="224"/>
      <c r="RCH1" s="224"/>
      <c r="RCI1" s="224"/>
      <c r="RCJ1" s="224"/>
      <c r="RCK1" s="224"/>
      <c r="RCL1" s="224"/>
      <c r="RCM1" s="224"/>
      <c r="RCN1" s="224"/>
      <c r="RCO1" s="224"/>
      <c r="RCP1" s="224"/>
      <c r="RCQ1" s="224"/>
      <c r="RCR1" s="224"/>
      <c r="RCS1" s="224"/>
      <c r="RCT1" s="224"/>
      <c r="RCU1" s="224"/>
      <c r="RCV1" s="224"/>
      <c r="RCW1" s="224"/>
      <c r="RCX1" s="224"/>
      <c r="RCY1" s="224"/>
      <c r="RCZ1" s="224"/>
      <c r="RDA1" s="224"/>
      <c r="RDB1" s="224"/>
      <c r="RDC1" s="224"/>
      <c r="RDD1" s="224"/>
      <c r="RDE1" s="224"/>
      <c r="RDF1" s="224"/>
      <c r="RDG1" s="224"/>
      <c r="RDH1" s="224"/>
      <c r="RDI1" s="224"/>
      <c r="RDJ1" s="224"/>
      <c r="RDK1" s="224"/>
      <c r="RDL1" s="224"/>
      <c r="RDM1" s="224"/>
      <c r="RDN1" s="224"/>
      <c r="RDO1" s="224"/>
      <c r="RDP1" s="224"/>
      <c r="RDQ1" s="224"/>
      <c r="RDR1" s="224"/>
      <c r="RDS1" s="224"/>
      <c r="RDT1" s="224"/>
      <c r="RDU1" s="224"/>
      <c r="RDV1" s="224"/>
      <c r="RDW1" s="224"/>
      <c r="RDX1" s="224"/>
      <c r="RDY1" s="224"/>
      <c r="RDZ1" s="224"/>
      <c r="REA1" s="224"/>
      <c r="REB1" s="224"/>
      <c r="REC1" s="224"/>
      <c r="RED1" s="224"/>
      <c r="REE1" s="224"/>
      <c r="REF1" s="224"/>
      <c r="REG1" s="224"/>
      <c r="REH1" s="224"/>
      <c r="REI1" s="224"/>
      <c r="REJ1" s="224"/>
      <c r="REK1" s="224"/>
      <c r="REL1" s="224"/>
      <c r="REM1" s="224"/>
      <c r="REN1" s="224"/>
      <c r="REO1" s="224"/>
      <c r="REP1" s="224"/>
      <c r="REQ1" s="224"/>
      <c r="RER1" s="224"/>
      <c r="RES1" s="224"/>
      <c r="RET1" s="224"/>
      <c r="REU1" s="224"/>
      <c r="REV1" s="224"/>
      <c r="REW1" s="224"/>
      <c r="REX1" s="224"/>
      <c r="REY1" s="224"/>
      <c r="REZ1" s="224"/>
      <c r="RFA1" s="224"/>
      <c r="RFB1" s="224"/>
      <c r="RFC1" s="224"/>
      <c r="RFD1" s="224"/>
      <c r="RFE1" s="224"/>
      <c r="RFF1" s="224"/>
      <c r="RFG1" s="224"/>
      <c r="RFH1" s="224"/>
      <c r="RFI1" s="224"/>
      <c r="RFJ1" s="224"/>
      <c r="RFK1" s="224"/>
      <c r="RFL1" s="224"/>
      <c r="RFM1" s="224"/>
      <c r="RFN1" s="224"/>
      <c r="RFO1" s="224"/>
      <c r="RFP1" s="224"/>
      <c r="RFQ1" s="224"/>
      <c r="RFR1" s="224"/>
      <c r="RFS1" s="224"/>
      <c r="RFT1" s="224"/>
      <c r="RFU1" s="224"/>
      <c r="RFV1" s="224"/>
      <c r="RFW1" s="224"/>
      <c r="RFX1" s="224"/>
      <c r="RFY1" s="224"/>
      <c r="RFZ1" s="224"/>
      <c r="RGA1" s="224"/>
      <c r="RGB1" s="224"/>
      <c r="RGC1" s="224"/>
      <c r="RGD1" s="224"/>
      <c r="RGE1" s="224"/>
      <c r="RGF1" s="224"/>
      <c r="RGG1" s="224"/>
      <c r="RGH1" s="224"/>
      <c r="RGI1" s="224"/>
      <c r="RGJ1" s="224"/>
      <c r="RGK1" s="224"/>
      <c r="RGL1" s="224"/>
      <c r="RGM1" s="224"/>
      <c r="RGN1" s="224"/>
      <c r="RGO1" s="224"/>
      <c r="RGP1" s="224"/>
      <c r="RGQ1" s="224"/>
      <c r="RGR1" s="224"/>
      <c r="RGS1" s="224"/>
      <c r="RGT1" s="224"/>
      <c r="RGU1" s="224"/>
      <c r="RGV1" s="224"/>
      <c r="RGW1" s="224"/>
      <c r="RGX1" s="224"/>
      <c r="RGY1" s="224"/>
      <c r="RGZ1" s="224"/>
      <c r="RHA1" s="224"/>
      <c r="RHB1" s="224"/>
      <c r="RHC1" s="224"/>
      <c r="RHD1" s="224"/>
      <c r="RHE1" s="224"/>
      <c r="RHF1" s="224"/>
      <c r="RHG1" s="224"/>
      <c r="RHH1" s="224"/>
      <c r="RHI1" s="224"/>
      <c r="RHJ1" s="224"/>
      <c r="RHK1" s="224"/>
      <c r="RHL1" s="224"/>
      <c r="RHM1" s="224"/>
      <c r="RHN1" s="224"/>
      <c r="RHO1" s="224"/>
      <c r="RHP1" s="224"/>
      <c r="RHQ1" s="224"/>
      <c r="RHR1" s="224"/>
      <c r="RHS1" s="224"/>
      <c r="RHT1" s="224"/>
      <c r="RHU1" s="224"/>
      <c r="RHV1" s="224"/>
      <c r="RHW1" s="224"/>
      <c r="RHX1" s="224"/>
      <c r="RHY1" s="224"/>
      <c r="RHZ1" s="224"/>
      <c r="RIA1" s="224"/>
      <c r="RIB1" s="224"/>
      <c r="RIC1" s="224"/>
      <c r="RID1" s="224"/>
      <c r="RIE1" s="224"/>
      <c r="RIF1" s="224"/>
      <c r="RIG1" s="224"/>
      <c r="RIH1" s="224"/>
      <c r="RII1" s="224"/>
      <c r="RIJ1" s="224"/>
      <c r="RIK1" s="224"/>
      <c r="RIL1" s="224"/>
      <c r="RIM1" s="224"/>
      <c r="RIN1" s="224"/>
      <c r="RIO1" s="224"/>
      <c r="RIP1" s="224"/>
      <c r="RIQ1" s="224"/>
      <c r="RIR1" s="224"/>
      <c r="RIS1" s="224"/>
      <c r="RIT1" s="224"/>
      <c r="RIU1" s="224"/>
      <c r="RIV1" s="224"/>
      <c r="RIW1" s="224"/>
      <c r="RIX1" s="224"/>
      <c r="RIY1" s="224"/>
      <c r="RIZ1" s="224"/>
      <c r="RJA1" s="224"/>
      <c r="RJB1" s="224"/>
      <c r="RJC1" s="224"/>
      <c r="RJD1" s="224"/>
      <c r="RJE1" s="224"/>
      <c r="RJF1" s="224"/>
      <c r="RJG1" s="224"/>
      <c r="RJH1" s="224"/>
      <c r="RJI1" s="224"/>
      <c r="RJJ1" s="224"/>
      <c r="RJK1" s="224"/>
      <c r="RJL1" s="224"/>
      <c r="RJM1" s="224"/>
      <c r="RJN1" s="224"/>
      <c r="RJO1" s="224"/>
      <c r="RJP1" s="224"/>
      <c r="RJQ1" s="224"/>
      <c r="RJR1" s="224"/>
      <c r="RJS1" s="224"/>
      <c r="RJT1" s="224"/>
      <c r="RJU1" s="224"/>
      <c r="RJV1" s="224"/>
      <c r="RJW1" s="224"/>
      <c r="RJX1" s="224"/>
      <c r="RJY1" s="224"/>
      <c r="RJZ1" s="224"/>
      <c r="RKA1" s="224"/>
      <c r="RKB1" s="224"/>
      <c r="RKC1" s="224"/>
      <c r="RKD1" s="224"/>
      <c r="RKE1" s="224"/>
      <c r="RKF1" s="224"/>
      <c r="RKG1" s="224"/>
      <c r="RKH1" s="224"/>
      <c r="RKI1" s="224"/>
      <c r="RKJ1" s="224"/>
      <c r="RKK1" s="224"/>
      <c r="RKL1" s="224"/>
      <c r="RKM1" s="224"/>
      <c r="RKN1" s="224"/>
      <c r="RKO1" s="224"/>
      <c r="RKP1" s="224"/>
      <c r="RKQ1" s="224"/>
      <c r="RKR1" s="224"/>
      <c r="RKS1" s="224"/>
      <c r="RKT1" s="224"/>
      <c r="RKU1" s="224"/>
      <c r="RKV1" s="224"/>
      <c r="RKW1" s="224"/>
      <c r="RKX1" s="224"/>
      <c r="RKY1" s="224"/>
      <c r="RKZ1" s="224"/>
      <c r="RLA1" s="224"/>
      <c r="RLB1" s="224"/>
      <c r="RLC1" s="224"/>
      <c r="RLD1" s="224"/>
      <c r="RLE1" s="224"/>
      <c r="RLF1" s="224"/>
      <c r="RLG1" s="224"/>
      <c r="RLH1" s="224"/>
      <c r="RLI1" s="224"/>
      <c r="RLJ1" s="224"/>
      <c r="RLK1" s="224"/>
      <c r="RLL1" s="224"/>
      <c r="RLM1" s="224"/>
      <c r="RLN1" s="224"/>
      <c r="RLO1" s="224"/>
      <c r="RLP1" s="224"/>
      <c r="RLQ1" s="224"/>
      <c r="RLR1" s="224"/>
      <c r="RLS1" s="224"/>
      <c r="RLT1" s="224"/>
      <c r="RLU1" s="224"/>
      <c r="RLV1" s="224"/>
      <c r="RLW1" s="224"/>
      <c r="RLX1" s="224"/>
      <c r="RLY1" s="224"/>
      <c r="RLZ1" s="224"/>
      <c r="RMA1" s="224"/>
      <c r="RMB1" s="224"/>
      <c r="RMC1" s="224"/>
      <c r="RMD1" s="224"/>
      <c r="RME1" s="224"/>
      <c r="RMF1" s="224"/>
      <c r="RMG1" s="224"/>
      <c r="RMH1" s="224"/>
      <c r="RMI1" s="224"/>
      <c r="RMJ1" s="224"/>
      <c r="RMK1" s="224"/>
      <c r="RML1" s="224"/>
      <c r="RMM1" s="224"/>
      <c r="RMN1" s="224"/>
      <c r="RMO1" s="224"/>
      <c r="RMP1" s="224"/>
      <c r="RMQ1" s="224"/>
      <c r="RMR1" s="224"/>
      <c r="RMS1" s="224"/>
      <c r="RMT1" s="224"/>
      <c r="RMU1" s="224"/>
      <c r="RMV1" s="224"/>
      <c r="RMW1" s="224"/>
      <c r="RMX1" s="224"/>
      <c r="RMY1" s="224"/>
      <c r="RMZ1" s="224"/>
      <c r="RNA1" s="224"/>
      <c r="RNB1" s="224"/>
      <c r="RNC1" s="224"/>
      <c r="RND1" s="224"/>
      <c r="RNE1" s="224"/>
      <c r="RNF1" s="224"/>
      <c r="RNG1" s="224"/>
      <c r="RNH1" s="224"/>
      <c r="RNI1" s="224"/>
      <c r="RNJ1" s="224"/>
      <c r="RNK1" s="224"/>
      <c r="RNL1" s="224"/>
      <c r="RNM1" s="224"/>
      <c r="RNN1" s="224"/>
      <c r="RNO1" s="224"/>
      <c r="RNP1" s="224"/>
      <c r="RNQ1" s="224"/>
      <c r="RNR1" s="224"/>
      <c r="RNS1" s="224"/>
      <c r="RNT1" s="224"/>
      <c r="RNU1" s="224"/>
      <c r="RNV1" s="224"/>
      <c r="RNW1" s="224"/>
      <c r="RNX1" s="224"/>
      <c r="RNY1" s="224"/>
      <c r="RNZ1" s="224"/>
      <c r="ROA1" s="224"/>
      <c r="ROB1" s="224"/>
      <c r="ROC1" s="224"/>
      <c r="ROD1" s="224"/>
      <c r="ROE1" s="224"/>
      <c r="ROF1" s="224"/>
      <c r="ROG1" s="224"/>
      <c r="ROH1" s="224"/>
      <c r="ROI1" s="224"/>
      <c r="ROJ1" s="224"/>
      <c r="ROK1" s="224"/>
      <c r="ROL1" s="224"/>
      <c r="ROM1" s="224"/>
      <c r="RON1" s="224"/>
      <c r="ROO1" s="224"/>
      <c r="ROP1" s="224"/>
      <c r="ROQ1" s="224"/>
      <c r="ROR1" s="224"/>
      <c r="ROS1" s="224"/>
      <c r="ROT1" s="224"/>
      <c r="ROU1" s="224"/>
      <c r="ROV1" s="224"/>
      <c r="ROW1" s="224"/>
      <c r="ROX1" s="224"/>
      <c r="ROY1" s="224"/>
      <c r="ROZ1" s="224"/>
      <c r="RPA1" s="224"/>
      <c r="RPB1" s="224"/>
      <c r="RPC1" s="224"/>
      <c r="RPD1" s="224"/>
      <c r="RPE1" s="224"/>
      <c r="RPF1" s="224"/>
      <c r="RPG1" s="224"/>
      <c r="RPH1" s="224"/>
      <c r="RPI1" s="224"/>
      <c r="RPJ1" s="224"/>
      <c r="RPK1" s="224"/>
      <c r="RPL1" s="224"/>
      <c r="RPM1" s="224"/>
      <c r="RPN1" s="224"/>
      <c r="RPO1" s="224"/>
      <c r="RPP1" s="224"/>
      <c r="RPQ1" s="224"/>
      <c r="RPR1" s="224"/>
      <c r="RPS1" s="224"/>
      <c r="RPT1" s="224"/>
      <c r="RPU1" s="224"/>
      <c r="RPV1" s="224"/>
      <c r="RPW1" s="224"/>
      <c r="RPX1" s="224"/>
      <c r="RPY1" s="224"/>
      <c r="RPZ1" s="224"/>
      <c r="RQA1" s="224"/>
      <c r="RQB1" s="224"/>
      <c r="RQC1" s="224"/>
      <c r="RQD1" s="224"/>
      <c r="RQE1" s="224"/>
      <c r="RQF1" s="224"/>
      <c r="RQG1" s="224"/>
      <c r="RQH1" s="224"/>
      <c r="RQI1" s="224"/>
      <c r="RQJ1" s="224"/>
      <c r="RQK1" s="224"/>
      <c r="RQL1" s="224"/>
      <c r="RQM1" s="224"/>
      <c r="RQN1" s="224"/>
      <c r="RQO1" s="224"/>
      <c r="RQP1" s="224"/>
      <c r="RQQ1" s="224"/>
      <c r="RQR1" s="224"/>
      <c r="RQS1" s="224"/>
      <c r="RQT1" s="224"/>
      <c r="RQU1" s="224"/>
      <c r="RQV1" s="224"/>
      <c r="RQW1" s="224"/>
      <c r="RQX1" s="224"/>
      <c r="RQY1" s="224"/>
      <c r="RQZ1" s="224"/>
      <c r="RRA1" s="224"/>
      <c r="RRB1" s="224"/>
      <c r="RRC1" s="224"/>
      <c r="RRD1" s="224"/>
      <c r="RRE1" s="224"/>
      <c r="RRF1" s="224"/>
      <c r="RRG1" s="224"/>
      <c r="RRH1" s="224"/>
      <c r="RRI1" s="224"/>
      <c r="RRJ1" s="224"/>
      <c r="RRK1" s="224"/>
      <c r="RRL1" s="224"/>
      <c r="RRM1" s="224"/>
      <c r="RRN1" s="224"/>
      <c r="RRO1" s="224"/>
      <c r="RRP1" s="224"/>
      <c r="RRQ1" s="224"/>
      <c r="RRR1" s="224"/>
      <c r="RRS1" s="224"/>
      <c r="RRT1" s="224"/>
      <c r="RRU1" s="224"/>
      <c r="RRV1" s="224"/>
      <c r="RRW1" s="224"/>
      <c r="RRX1" s="224"/>
      <c r="RRY1" s="224"/>
      <c r="RRZ1" s="224"/>
      <c r="RSA1" s="224"/>
      <c r="RSB1" s="224"/>
      <c r="RSC1" s="224"/>
      <c r="RSD1" s="224"/>
      <c r="RSE1" s="224"/>
      <c r="RSF1" s="224"/>
      <c r="RSG1" s="224"/>
      <c r="RSH1" s="224"/>
      <c r="RSI1" s="224"/>
      <c r="RSJ1" s="224"/>
      <c r="RSK1" s="224"/>
      <c r="RSL1" s="224"/>
      <c r="RSM1" s="224"/>
      <c r="RSN1" s="224"/>
      <c r="RSO1" s="224"/>
      <c r="RSP1" s="224"/>
      <c r="RSQ1" s="224"/>
      <c r="RSR1" s="224"/>
      <c r="RSS1" s="224"/>
      <c r="RST1" s="224"/>
      <c r="RSU1" s="224"/>
      <c r="RSV1" s="224"/>
      <c r="RSW1" s="224"/>
      <c r="RSX1" s="224"/>
      <c r="RSY1" s="224"/>
      <c r="RSZ1" s="224"/>
      <c r="RTA1" s="224"/>
      <c r="RTB1" s="224"/>
      <c r="RTC1" s="224"/>
      <c r="RTD1" s="224"/>
      <c r="RTE1" s="224"/>
      <c r="RTF1" s="224"/>
      <c r="RTG1" s="224"/>
      <c r="RTH1" s="224"/>
      <c r="RTI1" s="224"/>
      <c r="RTJ1" s="224"/>
      <c r="RTK1" s="224"/>
      <c r="RTL1" s="224"/>
      <c r="RTM1" s="224"/>
      <c r="RTN1" s="224"/>
      <c r="RTO1" s="224"/>
      <c r="RTP1" s="224"/>
      <c r="RTQ1" s="224"/>
      <c r="RTR1" s="224"/>
      <c r="RTS1" s="224"/>
      <c r="RTT1" s="224"/>
      <c r="RTU1" s="224"/>
      <c r="RTV1" s="224"/>
      <c r="RTW1" s="224"/>
      <c r="RTX1" s="224"/>
      <c r="RTY1" s="224"/>
      <c r="RTZ1" s="224"/>
      <c r="RUA1" s="224"/>
      <c r="RUB1" s="224"/>
      <c r="RUC1" s="224"/>
      <c r="RUD1" s="224"/>
      <c r="RUE1" s="224"/>
      <c r="RUF1" s="224"/>
      <c r="RUG1" s="224"/>
      <c r="RUH1" s="224"/>
      <c r="RUI1" s="224"/>
      <c r="RUJ1" s="224"/>
      <c r="RUK1" s="224"/>
      <c r="RUL1" s="224"/>
      <c r="RUM1" s="224"/>
      <c r="RUN1" s="224"/>
      <c r="RUO1" s="224"/>
      <c r="RUP1" s="224"/>
      <c r="RUQ1" s="224"/>
      <c r="RUR1" s="224"/>
      <c r="RUS1" s="224"/>
      <c r="RUT1" s="224"/>
      <c r="RUU1" s="224"/>
      <c r="RUV1" s="224"/>
      <c r="RUW1" s="224"/>
      <c r="RUX1" s="224"/>
      <c r="RUY1" s="224"/>
      <c r="RUZ1" s="224"/>
      <c r="RVA1" s="224"/>
      <c r="RVB1" s="224"/>
      <c r="RVC1" s="224"/>
      <c r="RVD1" s="224"/>
      <c r="RVE1" s="224"/>
      <c r="RVF1" s="224"/>
      <c r="RVG1" s="224"/>
      <c r="RVH1" s="224"/>
      <c r="RVI1" s="224"/>
      <c r="RVJ1" s="224"/>
      <c r="RVK1" s="224"/>
      <c r="RVL1" s="224"/>
      <c r="RVM1" s="224"/>
      <c r="RVN1" s="224"/>
      <c r="RVO1" s="224"/>
      <c r="RVP1" s="224"/>
      <c r="RVQ1" s="224"/>
      <c r="RVR1" s="224"/>
      <c r="RVS1" s="224"/>
      <c r="RVT1" s="224"/>
      <c r="RVU1" s="224"/>
      <c r="RVV1" s="224"/>
      <c r="RVW1" s="224"/>
      <c r="RVX1" s="224"/>
      <c r="RVY1" s="224"/>
      <c r="RVZ1" s="224"/>
      <c r="RWA1" s="224"/>
      <c r="RWB1" s="224"/>
      <c r="RWC1" s="224"/>
      <c r="RWD1" s="224"/>
      <c r="RWE1" s="224"/>
      <c r="RWF1" s="224"/>
      <c r="RWG1" s="224"/>
      <c r="RWH1" s="224"/>
      <c r="RWI1" s="224"/>
      <c r="RWJ1" s="224"/>
      <c r="RWK1" s="224"/>
      <c r="RWL1" s="224"/>
      <c r="RWM1" s="224"/>
      <c r="RWN1" s="224"/>
      <c r="RWO1" s="224"/>
      <c r="RWP1" s="224"/>
      <c r="RWQ1" s="224"/>
      <c r="RWR1" s="224"/>
      <c r="RWS1" s="224"/>
      <c r="RWT1" s="224"/>
      <c r="RWU1" s="224"/>
      <c r="RWV1" s="224"/>
      <c r="RWW1" s="224"/>
      <c r="RWX1" s="224"/>
      <c r="RWY1" s="224"/>
      <c r="RWZ1" s="224"/>
      <c r="RXA1" s="224"/>
      <c r="RXB1" s="224"/>
      <c r="RXC1" s="224"/>
      <c r="RXD1" s="224"/>
      <c r="RXE1" s="224"/>
      <c r="RXF1" s="224"/>
      <c r="RXG1" s="224"/>
      <c r="RXH1" s="224"/>
      <c r="RXI1" s="224"/>
      <c r="RXJ1" s="224"/>
      <c r="RXK1" s="224"/>
      <c r="RXL1" s="224"/>
      <c r="RXM1" s="224"/>
      <c r="RXN1" s="224"/>
      <c r="RXO1" s="224"/>
      <c r="RXP1" s="224"/>
      <c r="RXQ1" s="224"/>
      <c r="RXR1" s="224"/>
      <c r="RXS1" s="224"/>
      <c r="RXT1" s="224"/>
      <c r="RXU1" s="224"/>
      <c r="RXV1" s="224"/>
      <c r="RXW1" s="224"/>
      <c r="RXX1" s="224"/>
      <c r="RXY1" s="224"/>
      <c r="RXZ1" s="224"/>
      <c r="RYA1" s="224"/>
      <c r="RYB1" s="224"/>
      <c r="RYC1" s="224"/>
      <c r="RYD1" s="224"/>
      <c r="RYE1" s="224"/>
      <c r="RYF1" s="224"/>
      <c r="RYG1" s="224"/>
      <c r="RYH1" s="224"/>
      <c r="RYI1" s="224"/>
      <c r="RYJ1" s="224"/>
      <c r="RYK1" s="224"/>
      <c r="RYL1" s="224"/>
      <c r="RYM1" s="224"/>
      <c r="RYN1" s="224"/>
      <c r="RYO1" s="224"/>
      <c r="RYP1" s="224"/>
      <c r="RYQ1" s="224"/>
      <c r="RYR1" s="224"/>
      <c r="RYS1" s="224"/>
      <c r="RYT1" s="224"/>
      <c r="RYU1" s="224"/>
      <c r="RYV1" s="224"/>
      <c r="RYW1" s="224"/>
      <c r="RYX1" s="224"/>
      <c r="RYY1" s="224"/>
      <c r="RYZ1" s="224"/>
      <c r="RZA1" s="224"/>
      <c r="RZB1" s="224"/>
      <c r="RZC1" s="224"/>
      <c r="RZD1" s="224"/>
      <c r="RZE1" s="224"/>
      <c r="RZF1" s="224"/>
      <c r="RZG1" s="224"/>
      <c r="RZH1" s="224"/>
      <c r="RZI1" s="224"/>
      <c r="RZJ1" s="224"/>
      <c r="RZK1" s="224"/>
      <c r="RZL1" s="224"/>
      <c r="RZM1" s="224"/>
      <c r="RZN1" s="224"/>
      <c r="RZO1" s="224"/>
      <c r="RZP1" s="224"/>
      <c r="RZQ1" s="224"/>
      <c r="RZR1" s="224"/>
      <c r="RZS1" s="224"/>
      <c r="RZT1" s="224"/>
      <c r="RZU1" s="224"/>
      <c r="RZV1" s="224"/>
      <c r="RZW1" s="224"/>
      <c r="RZX1" s="224"/>
      <c r="RZY1" s="224"/>
      <c r="RZZ1" s="224"/>
      <c r="SAA1" s="224"/>
      <c r="SAB1" s="224"/>
      <c r="SAC1" s="224"/>
      <c r="SAD1" s="224"/>
      <c r="SAE1" s="224"/>
      <c r="SAF1" s="224"/>
      <c r="SAG1" s="224"/>
      <c r="SAH1" s="224"/>
      <c r="SAI1" s="224"/>
      <c r="SAJ1" s="224"/>
      <c r="SAK1" s="224"/>
      <c r="SAL1" s="224"/>
      <c r="SAM1" s="224"/>
      <c r="SAN1" s="224"/>
      <c r="SAO1" s="224"/>
      <c r="SAP1" s="224"/>
      <c r="SAQ1" s="224"/>
      <c r="SAR1" s="224"/>
      <c r="SAS1" s="224"/>
      <c r="SAT1" s="224"/>
      <c r="SAU1" s="224"/>
      <c r="SAV1" s="224"/>
      <c r="SAW1" s="224"/>
      <c r="SAX1" s="224"/>
      <c r="SAY1" s="224"/>
      <c r="SAZ1" s="224"/>
      <c r="SBA1" s="224"/>
      <c r="SBB1" s="224"/>
      <c r="SBC1" s="224"/>
      <c r="SBD1" s="224"/>
      <c r="SBE1" s="224"/>
      <c r="SBF1" s="224"/>
      <c r="SBG1" s="224"/>
      <c r="SBH1" s="224"/>
      <c r="SBI1" s="224"/>
      <c r="SBJ1" s="224"/>
      <c r="SBK1" s="224"/>
      <c r="SBL1" s="224"/>
      <c r="SBM1" s="224"/>
      <c r="SBN1" s="224"/>
      <c r="SBO1" s="224"/>
      <c r="SBP1" s="224"/>
      <c r="SBQ1" s="224"/>
      <c r="SBR1" s="224"/>
      <c r="SBS1" s="224"/>
      <c r="SBT1" s="224"/>
      <c r="SBU1" s="224"/>
      <c r="SBV1" s="224"/>
      <c r="SBW1" s="224"/>
      <c r="SBX1" s="224"/>
      <c r="SBY1" s="224"/>
      <c r="SBZ1" s="224"/>
      <c r="SCA1" s="224"/>
      <c r="SCB1" s="224"/>
      <c r="SCC1" s="224"/>
      <c r="SCD1" s="224"/>
      <c r="SCE1" s="224"/>
      <c r="SCF1" s="224"/>
      <c r="SCG1" s="224"/>
      <c r="SCH1" s="224"/>
      <c r="SCI1" s="224"/>
      <c r="SCJ1" s="224"/>
      <c r="SCK1" s="224"/>
      <c r="SCL1" s="224"/>
      <c r="SCM1" s="224"/>
      <c r="SCN1" s="224"/>
      <c r="SCO1" s="224"/>
      <c r="SCP1" s="224"/>
      <c r="SCQ1" s="224"/>
      <c r="SCR1" s="224"/>
      <c r="SCS1" s="224"/>
      <c r="SCT1" s="224"/>
      <c r="SCU1" s="224"/>
      <c r="SCV1" s="224"/>
      <c r="SCW1" s="224"/>
      <c r="SCX1" s="224"/>
      <c r="SCY1" s="224"/>
      <c r="SCZ1" s="224"/>
      <c r="SDA1" s="224"/>
      <c r="SDB1" s="224"/>
      <c r="SDC1" s="224"/>
      <c r="SDD1" s="224"/>
      <c r="SDE1" s="224"/>
      <c r="SDF1" s="224"/>
      <c r="SDG1" s="224"/>
      <c r="SDH1" s="224"/>
      <c r="SDI1" s="224"/>
      <c r="SDJ1" s="224"/>
      <c r="SDK1" s="224"/>
      <c r="SDL1" s="224"/>
      <c r="SDM1" s="224"/>
      <c r="SDN1" s="224"/>
      <c r="SDO1" s="224"/>
      <c r="SDP1" s="224"/>
      <c r="SDQ1" s="224"/>
      <c r="SDR1" s="224"/>
      <c r="SDS1" s="224"/>
      <c r="SDT1" s="224"/>
      <c r="SDU1" s="224"/>
      <c r="SDV1" s="224"/>
      <c r="SDW1" s="224"/>
      <c r="SDX1" s="224"/>
      <c r="SDY1" s="224"/>
      <c r="SDZ1" s="224"/>
      <c r="SEA1" s="224"/>
      <c r="SEB1" s="224"/>
      <c r="SEC1" s="224"/>
      <c r="SED1" s="224"/>
      <c r="SEE1" s="224"/>
      <c r="SEF1" s="224"/>
      <c r="SEG1" s="224"/>
      <c r="SEH1" s="224"/>
      <c r="SEI1" s="224"/>
      <c r="SEJ1" s="224"/>
      <c r="SEK1" s="224"/>
      <c r="SEL1" s="224"/>
      <c r="SEM1" s="224"/>
      <c r="SEN1" s="224"/>
      <c r="SEO1" s="224"/>
      <c r="SEP1" s="224"/>
      <c r="SEQ1" s="224"/>
      <c r="SER1" s="224"/>
      <c r="SES1" s="224"/>
      <c r="SET1" s="224"/>
      <c r="SEU1" s="224"/>
      <c r="SEV1" s="224"/>
      <c r="SEW1" s="224"/>
      <c r="SEX1" s="224"/>
      <c r="SEY1" s="224"/>
      <c r="SEZ1" s="224"/>
      <c r="SFA1" s="224"/>
      <c r="SFB1" s="224"/>
      <c r="SFC1" s="224"/>
      <c r="SFD1" s="224"/>
      <c r="SFE1" s="224"/>
      <c r="SFF1" s="224"/>
      <c r="SFG1" s="224"/>
      <c r="SFH1" s="224"/>
      <c r="SFI1" s="224"/>
      <c r="SFJ1" s="224"/>
      <c r="SFK1" s="224"/>
      <c r="SFL1" s="224"/>
      <c r="SFM1" s="224"/>
      <c r="SFN1" s="224"/>
      <c r="SFO1" s="224"/>
      <c r="SFP1" s="224"/>
      <c r="SFQ1" s="224"/>
      <c r="SFR1" s="224"/>
      <c r="SFS1" s="224"/>
      <c r="SFT1" s="224"/>
      <c r="SFU1" s="224"/>
      <c r="SFV1" s="224"/>
      <c r="SFW1" s="224"/>
      <c r="SFX1" s="224"/>
      <c r="SFY1" s="224"/>
      <c r="SFZ1" s="224"/>
      <c r="SGA1" s="224"/>
      <c r="SGB1" s="224"/>
      <c r="SGC1" s="224"/>
      <c r="SGD1" s="224"/>
      <c r="SGE1" s="224"/>
      <c r="SGF1" s="224"/>
      <c r="SGG1" s="224"/>
      <c r="SGH1" s="224"/>
      <c r="SGI1" s="224"/>
      <c r="SGJ1" s="224"/>
      <c r="SGK1" s="224"/>
      <c r="SGL1" s="224"/>
      <c r="SGM1" s="224"/>
      <c r="SGN1" s="224"/>
      <c r="SGO1" s="224"/>
      <c r="SGP1" s="224"/>
      <c r="SGQ1" s="224"/>
      <c r="SGR1" s="224"/>
      <c r="SGS1" s="224"/>
      <c r="SGT1" s="224"/>
      <c r="SGU1" s="224"/>
      <c r="SGV1" s="224"/>
      <c r="SGW1" s="224"/>
      <c r="SGX1" s="224"/>
      <c r="SGY1" s="224"/>
      <c r="SGZ1" s="224"/>
      <c r="SHA1" s="224"/>
      <c r="SHB1" s="224"/>
      <c r="SHC1" s="224"/>
      <c r="SHD1" s="224"/>
      <c r="SHE1" s="224"/>
      <c r="SHF1" s="224"/>
      <c r="SHG1" s="224"/>
      <c r="SHH1" s="224"/>
      <c r="SHI1" s="224"/>
      <c r="SHJ1" s="224"/>
      <c r="SHK1" s="224"/>
      <c r="SHL1" s="224"/>
      <c r="SHM1" s="224"/>
      <c r="SHN1" s="224"/>
      <c r="SHO1" s="224"/>
      <c r="SHP1" s="224"/>
      <c r="SHQ1" s="224"/>
      <c r="SHR1" s="224"/>
      <c r="SHS1" s="224"/>
      <c r="SHT1" s="224"/>
      <c r="SHU1" s="224"/>
      <c r="SHV1" s="224"/>
      <c r="SHW1" s="224"/>
      <c r="SHX1" s="224"/>
      <c r="SHY1" s="224"/>
      <c r="SHZ1" s="224"/>
      <c r="SIA1" s="224"/>
      <c r="SIB1" s="224"/>
      <c r="SIC1" s="224"/>
      <c r="SID1" s="224"/>
      <c r="SIE1" s="224"/>
      <c r="SIF1" s="224"/>
      <c r="SIG1" s="224"/>
      <c r="SIH1" s="224"/>
      <c r="SII1" s="224"/>
      <c r="SIJ1" s="224"/>
      <c r="SIK1" s="224"/>
      <c r="SIL1" s="224"/>
      <c r="SIM1" s="224"/>
      <c r="SIN1" s="224"/>
      <c r="SIO1" s="224"/>
      <c r="SIP1" s="224"/>
      <c r="SIQ1" s="224"/>
      <c r="SIR1" s="224"/>
      <c r="SIS1" s="224"/>
      <c r="SIT1" s="224"/>
      <c r="SIU1" s="224"/>
      <c r="SIV1" s="224"/>
      <c r="SIW1" s="224"/>
      <c r="SIX1" s="224"/>
      <c r="SIY1" s="224"/>
      <c r="SIZ1" s="224"/>
      <c r="SJA1" s="224"/>
      <c r="SJB1" s="224"/>
      <c r="SJC1" s="224"/>
      <c r="SJD1" s="224"/>
      <c r="SJE1" s="224"/>
      <c r="SJF1" s="224"/>
      <c r="SJG1" s="224"/>
      <c r="SJH1" s="224"/>
      <c r="SJI1" s="224"/>
      <c r="SJJ1" s="224"/>
      <c r="SJK1" s="224"/>
      <c r="SJL1" s="224"/>
      <c r="SJM1" s="224"/>
      <c r="SJN1" s="224"/>
      <c r="SJO1" s="224"/>
      <c r="SJP1" s="224"/>
      <c r="SJQ1" s="224"/>
      <c r="SJR1" s="224"/>
      <c r="SJS1" s="224"/>
      <c r="SJT1" s="224"/>
      <c r="SJU1" s="224"/>
      <c r="SJV1" s="224"/>
      <c r="SJW1" s="224"/>
      <c r="SJX1" s="224"/>
      <c r="SJY1" s="224"/>
      <c r="SJZ1" s="224"/>
      <c r="SKA1" s="224"/>
      <c r="SKB1" s="224"/>
      <c r="SKC1" s="224"/>
      <c r="SKD1" s="224"/>
      <c r="SKE1" s="224"/>
      <c r="SKF1" s="224"/>
      <c r="SKG1" s="224"/>
      <c r="SKH1" s="224"/>
      <c r="SKI1" s="224"/>
      <c r="SKJ1" s="224"/>
      <c r="SKK1" s="224"/>
      <c r="SKL1" s="224"/>
      <c r="SKM1" s="224"/>
      <c r="SKN1" s="224"/>
      <c r="SKO1" s="224"/>
      <c r="SKP1" s="224"/>
      <c r="SKQ1" s="224"/>
      <c r="SKR1" s="224"/>
      <c r="SKS1" s="224"/>
      <c r="SKT1" s="224"/>
      <c r="SKU1" s="224"/>
      <c r="SKV1" s="224"/>
      <c r="SKW1" s="224"/>
      <c r="SKX1" s="224"/>
      <c r="SKY1" s="224"/>
      <c r="SKZ1" s="224"/>
      <c r="SLA1" s="224"/>
      <c r="SLB1" s="224"/>
      <c r="SLC1" s="224"/>
      <c r="SLD1" s="224"/>
      <c r="SLE1" s="224"/>
      <c r="SLF1" s="224"/>
      <c r="SLG1" s="224"/>
      <c r="SLH1" s="224"/>
      <c r="SLI1" s="224"/>
      <c r="SLJ1" s="224"/>
      <c r="SLK1" s="224"/>
      <c r="SLL1" s="224"/>
      <c r="SLM1" s="224"/>
      <c r="SLN1" s="224"/>
      <c r="SLO1" s="224"/>
      <c r="SLP1" s="224"/>
      <c r="SLQ1" s="224"/>
      <c r="SLR1" s="224"/>
      <c r="SLS1" s="224"/>
      <c r="SLT1" s="224"/>
      <c r="SLU1" s="224"/>
      <c r="SLV1" s="224"/>
      <c r="SLW1" s="224"/>
      <c r="SLX1" s="224"/>
      <c r="SLY1" s="224"/>
      <c r="SLZ1" s="224"/>
      <c r="SMA1" s="224"/>
      <c r="SMB1" s="224"/>
      <c r="SMC1" s="224"/>
      <c r="SMD1" s="224"/>
      <c r="SME1" s="224"/>
      <c r="SMF1" s="224"/>
      <c r="SMG1" s="224"/>
      <c r="SMH1" s="224"/>
      <c r="SMI1" s="224"/>
      <c r="SMJ1" s="224"/>
      <c r="SMK1" s="224"/>
      <c r="SML1" s="224"/>
      <c r="SMM1" s="224"/>
      <c r="SMN1" s="224"/>
      <c r="SMO1" s="224"/>
      <c r="SMP1" s="224"/>
      <c r="SMQ1" s="224"/>
      <c r="SMR1" s="224"/>
      <c r="SMS1" s="224"/>
      <c r="SMT1" s="224"/>
      <c r="SMU1" s="224"/>
      <c r="SMV1" s="224"/>
      <c r="SMW1" s="224"/>
      <c r="SMX1" s="224"/>
      <c r="SMY1" s="224"/>
      <c r="SMZ1" s="224"/>
      <c r="SNA1" s="224"/>
      <c r="SNB1" s="224"/>
      <c r="SNC1" s="224"/>
      <c r="SND1" s="224"/>
      <c r="SNE1" s="224"/>
      <c r="SNF1" s="224"/>
      <c r="SNG1" s="224"/>
      <c r="SNH1" s="224"/>
      <c r="SNI1" s="224"/>
      <c r="SNJ1" s="224"/>
      <c r="SNK1" s="224"/>
      <c r="SNL1" s="224"/>
      <c r="SNM1" s="224"/>
      <c r="SNN1" s="224"/>
      <c r="SNO1" s="224"/>
      <c r="SNP1" s="224"/>
      <c r="SNQ1" s="224"/>
      <c r="SNR1" s="224"/>
      <c r="SNS1" s="224"/>
      <c r="SNT1" s="224"/>
      <c r="SNU1" s="224"/>
      <c r="SNV1" s="224"/>
      <c r="SNW1" s="224"/>
      <c r="SNX1" s="224"/>
      <c r="SNY1" s="224"/>
      <c r="SNZ1" s="224"/>
      <c r="SOA1" s="224"/>
      <c r="SOB1" s="224"/>
      <c r="SOC1" s="224"/>
      <c r="SOD1" s="224"/>
      <c r="SOE1" s="224"/>
      <c r="SOF1" s="224"/>
      <c r="SOG1" s="224"/>
      <c r="SOH1" s="224"/>
      <c r="SOI1" s="224"/>
      <c r="SOJ1" s="224"/>
      <c r="SOK1" s="224"/>
      <c r="SOL1" s="224"/>
      <c r="SOM1" s="224"/>
      <c r="SON1" s="224"/>
      <c r="SOO1" s="224"/>
      <c r="SOP1" s="224"/>
      <c r="SOQ1" s="224"/>
      <c r="SOR1" s="224"/>
      <c r="SOS1" s="224"/>
      <c r="SOT1" s="224"/>
      <c r="SOU1" s="224"/>
      <c r="SOV1" s="224"/>
      <c r="SOW1" s="224"/>
      <c r="SOX1" s="224"/>
      <c r="SOY1" s="224"/>
      <c r="SOZ1" s="224"/>
      <c r="SPA1" s="224"/>
      <c r="SPB1" s="224"/>
      <c r="SPC1" s="224"/>
      <c r="SPD1" s="224"/>
      <c r="SPE1" s="224"/>
      <c r="SPF1" s="224"/>
      <c r="SPG1" s="224"/>
      <c r="SPH1" s="224"/>
      <c r="SPI1" s="224"/>
      <c r="SPJ1" s="224"/>
      <c r="SPK1" s="224"/>
      <c r="SPL1" s="224"/>
      <c r="SPM1" s="224"/>
      <c r="SPN1" s="224"/>
      <c r="SPO1" s="224"/>
      <c r="SPP1" s="224"/>
      <c r="SPQ1" s="224"/>
      <c r="SPR1" s="224"/>
      <c r="SPS1" s="224"/>
      <c r="SPT1" s="224"/>
      <c r="SPU1" s="224"/>
      <c r="SPV1" s="224"/>
      <c r="SPW1" s="224"/>
      <c r="SPX1" s="224"/>
      <c r="SPY1" s="224"/>
      <c r="SPZ1" s="224"/>
      <c r="SQA1" s="224"/>
      <c r="SQB1" s="224"/>
      <c r="SQC1" s="224"/>
      <c r="SQD1" s="224"/>
      <c r="SQE1" s="224"/>
      <c r="SQF1" s="224"/>
      <c r="SQG1" s="224"/>
      <c r="SQH1" s="224"/>
      <c r="SQI1" s="224"/>
      <c r="SQJ1" s="224"/>
      <c r="SQK1" s="224"/>
      <c r="SQL1" s="224"/>
      <c r="SQM1" s="224"/>
      <c r="SQN1" s="224"/>
      <c r="SQO1" s="224"/>
      <c r="SQP1" s="224"/>
      <c r="SQQ1" s="224"/>
      <c r="SQR1" s="224"/>
      <c r="SQS1" s="224"/>
      <c r="SQT1" s="224"/>
      <c r="SQU1" s="224"/>
      <c r="SQV1" s="224"/>
      <c r="SQW1" s="224"/>
      <c r="SQX1" s="224"/>
      <c r="SQY1" s="224"/>
      <c r="SQZ1" s="224"/>
      <c r="SRA1" s="224"/>
      <c r="SRB1" s="224"/>
      <c r="SRC1" s="224"/>
      <c r="SRD1" s="224"/>
      <c r="SRE1" s="224"/>
      <c r="SRF1" s="224"/>
      <c r="SRG1" s="224"/>
      <c r="SRH1" s="224"/>
      <c r="SRI1" s="224"/>
      <c r="SRJ1" s="224"/>
      <c r="SRK1" s="224"/>
      <c r="SRL1" s="224"/>
      <c r="SRM1" s="224"/>
      <c r="SRN1" s="224"/>
      <c r="SRO1" s="224"/>
      <c r="SRP1" s="224"/>
      <c r="SRQ1" s="224"/>
      <c r="SRR1" s="224"/>
      <c r="SRS1" s="224"/>
      <c r="SRT1" s="224"/>
      <c r="SRU1" s="224"/>
      <c r="SRV1" s="224"/>
      <c r="SRW1" s="224"/>
      <c r="SRX1" s="224"/>
      <c r="SRY1" s="224"/>
      <c r="SRZ1" s="224"/>
      <c r="SSA1" s="224"/>
      <c r="SSB1" s="224"/>
      <c r="SSC1" s="224"/>
      <c r="SSD1" s="224"/>
      <c r="SSE1" s="224"/>
      <c r="SSF1" s="224"/>
      <c r="SSG1" s="224"/>
      <c r="SSH1" s="224"/>
      <c r="SSI1" s="224"/>
      <c r="SSJ1" s="224"/>
      <c r="SSK1" s="224"/>
      <c r="SSL1" s="224"/>
      <c r="SSM1" s="224"/>
      <c r="SSN1" s="224"/>
      <c r="SSO1" s="224"/>
      <c r="SSP1" s="224"/>
      <c r="SSQ1" s="224"/>
      <c r="SSR1" s="224"/>
      <c r="SSS1" s="224"/>
      <c r="SST1" s="224"/>
      <c r="SSU1" s="224"/>
      <c r="SSV1" s="224"/>
      <c r="SSW1" s="224"/>
      <c r="SSX1" s="224"/>
      <c r="SSY1" s="224"/>
      <c r="SSZ1" s="224"/>
      <c r="STA1" s="224"/>
      <c r="STB1" s="224"/>
      <c r="STC1" s="224"/>
      <c r="STD1" s="224"/>
      <c r="STE1" s="224"/>
      <c r="STF1" s="224"/>
      <c r="STG1" s="224"/>
      <c r="STH1" s="224"/>
      <c r="STI1" s="224"/>
      <c r="STJ1" s="224"/>
      <c r="STK1" s="224"/>
      <c r="STL1" s="224"/>
      <c r="STM1" s="224"/>
      <c r="STN1" s="224"/>
      <c r="STO1" s="224"/>
      <c r="STP1" s="224"/>
      <c r="STQ1" s="224"/>
      <c r="STR1" s="224"/>
      <c r="STS1" s="224"/>
      <c r="STT1" s="224"/>
      <c r="STU1" s="224"/>
      <c r="STV1" s="224"/>
      <c r="STW1" s="224"/>
      <c r="STX1" s="224"/>
      <c r="STY1" s="224"/>
      <c r="STZ1" s="224"/>
      <c r="SUA1" s="224"/>
      <c r="SUB1" s="224"/>
      <c r="SUC1" s="224"/>
      <c r="SUD1" s="224"/>
      <c r="SUE1" s="224"/>
      <c r="SUF1" s="224"/>
      <c r="SUG1" s="224"/>
      <c r="SUH1" s="224"/>
      <c r="SUI1" s="224"/>
      <c r="SUJ1" s="224"/>
      <c r="SUK1" s="224"/>
      <c r="SUL1" s="224"/>
      <c r="SUM1" s="224"/>
      <c r="SUN1" s="224"/>
      <c r="SUO1" s="224"/>
      <c r="SUP1" s="224"/>
      <c r="SUQ1" s="224"/>
      <c r="SUR1" s="224"/>
      <c r="SUS1" s="224"/>
      <c r="SUT1" s="224"/>
      <c r="SUU1" s="224"/>
      <c r="SUV1" s="224"/>
      <c r="SUW1" s="224"/>
      <c r="SUX1" s="224"/>
      <c r="SUY1" s="224"/>
      <c r="SUZ1" s="224"/>
      <c r="SVA1" s="224"/>
      <c r="SVB1" s="224"/>
      <c r="SVC1" s="224"/>
      <c r="SVD1" s="224"/>
      <c r="SVE1" s="224"/>
      <c r="SVF1" s="224"/>
      <c r="SVG1" s="224"/>
      <c r="SVH1" s="224"/>
      <c r="SVI1" s="224"/>
      <c r="SVJ1" s="224"/>
      <c r="SVK1" s="224"/>
      <c r="SVL1" s="224"/>
      <c r="SVM1" s="224"/>
      <c r="SVN1" s="224"/>
      <c r="SVO1" s="224"/>
      <c r="SVP1" s="224"/>
      <c r="SVQ1" s="224"/>
      <c r="SVR1" s="224"/>
      <c r="SVS1" s="224"/>
      <c r="SVT1" s="224"/>
      <c r="SVU1" s="224"/>
      <c r="SVV1" s="224"/>
      <c r="SVW1" s="224"/>
      <c r="SVX1" s="224"/>
      <c r="SVY1" s="224"/>
      <c r="SVZ1" s="224"/>
      <c r="SWA1" s="224"/>
      <c r="SWB1" s="224"/>
      <c r="SWC1" s="224"/>
      <c r="SWD1" s="224"/>
      <c r="SWE1" s="224"/>
      <c r="SWF1" s="224"/>
      <c r="SWG1" s="224"/>
      <c r="SWH1" s="224"/>
      <c r="SWI1" s="224"/>
      <c r="SWJ1" s="224"/>
      <c r="SWK1" s="224"/>
      <c r="SWL1" s="224"/>
      <c r="SWM1" s="224"/>
      <c r="SWN1" s="224"/>
      <c r="SWO1" s="224"/>
      <c r="SWP1" s="224"/>
      <c r="SWQ1" s="224"/>
      <c r="SWR1" s="224"/>
      <c r="SWS1" s="224"/>
      <c r="SWT1" s="224"/>
      <c r="SWU1" s="224"/>
      <c r="SWV1" s="224"/>
      <c r="SWW1" s="224"/>
      <c r="SWX1" s="224"/>
      <c r="SWY1" s="224"/>
      <c r="SWZ1" s="224"/>
      <c r="SXA1" s="224"/>
      <c r="SXB1" s="224"/>
      <c r="SXC1" s="224"/>
      <c r="SXD1" s="224"/>
      <c r="SXE1" s="224"/>
      <c r="SXF1" s="224"/>
      <c r="SXG1" s="224"/>
      <c r="SXH1" s="224"/>
      <c r="SXI1" s="224"/>
      <c r="SXJ1" s="224"/>
      <c r="SXK1" s="224"/>
      <c r="SXL1" s="224"/>
      <c r="SXM1" s="224"/>
      <c r="SXN1" s="224"/>
      <c r="SXO1" s="224"/>
      <c r="SXP1" s="224"/>
      <c r="SXQ1" s="224"/>
      <c r="SXR1" s="224"/>
      <c r="SXS1" s="224"/>
      <c r="SXT1" s="224"/>
      <c r="SXU1" s="224"/>
      <c r="SXV1" s="224"/>
      <c r="SXW1" s="224"/>
      <c r="SXX1" s="224"/>
      <c r="SXY1" s="224"/>
      <c r="SXZ1" s="224"/>
      <c r="SYA1" s="224"/>
      <c r="SYB1" s="224"/>
      <c r="SYC1" s="224"/>
      <c r="SYD1" s="224"/>
      <c r="SYE1" s="224"/>
      <c r="SYF1" s="224"/>
      <c r="SYG1" s="224"/>
      <c r="SYH1" s="224"/>
      <c r="SYI1" s="224"/>
      <c r="SYJ1" s="224"/>
      <c r="SYK1" s="224"/>
      <c r="SYL1" s="224"/>
      <c r="SYM1" s="224"/>
      <c r="SYN1" s="224"/>
      <c r="SYO1" s="224"/>
      <c r="SYP1" s="224"/>
      <c r="SYQ1" s="224"/>
      <c r="SYR1" s="224"/>
      <c r="SYS1" s="224"/>
      <c r="SYT1" s="224"/>
      <c r="SYU1" s="224"/>
      <c r="SYV1" s="224"/>
      <c r="SYW1" s="224"/>
      <c r="SYX1" s="224"/>
      <c r="SYY1" s="224"/>
      <c r="SYZ1" s="224"/>
      <c r="SZA1" s="224"/>
      <c r="SZB1" s="224"/>
      <c r="SZC1" s="224"/>
      <c r="SZD1" s="224"/>
      <c r="SZE1" s="224"/>
      <c r="SZF1" s="224"/>
      <c r="SZG1" s="224"/>
      <c r="SZH1" s="224"/>
      <c r="SZI1" s="224"/>
      <c r="SZJ1" s="224"/>
      <c r="SZK1" s="224"/>
      <c r="SZL1" s="224"/>
      <c r="SZM1" s="224"/>
      <c r="SZN1" s="224"/>
      <c r="SZO1" s="224"/>
      <c r="SZP1" s="224"/>
      <c r="SZQ1" s="224"/>
      <c r="SZR1" s="224"/>
      <c r="SZS1" s="224"/>
      <c r="SZT1" s="224"/>
      <c r="SZU1" s="224"/>
      <c r="SZV1" s="224"/>
      <c r="SZW1" s="224"/>
      <c r="SZX1" s="224"/>
      <c r="SZY1" s="224"/>
      <c r="SZZ1" s="224"/>
      <c r="TAA1" s="224"/>
      <c r="TAB1" s="224"/>
      <c r="TAC1" s="224"/>
      <c r="TAD1" s="224"/>
      <c r="TAE1" s="224"/>
      <c r="TAF1" s="224"/>
      <c r="TAG1" s="224"/>
      <c r="TAH1" s="224"/>
      <c r="TAI1" s="224"/>
      <c r="TAJ1" s="224"/>
      <c r="TAK1" s="224"/>
      <c r="TAL1" s="224"/>
      <c r="TAM1" s="224"/>
      <c r="TAN1" s="224"/>
      <c r="TAO1" s="224"/>
      <c r="TAP1" s="224"/>
      <c r="TAQ1" s="224"/>
      <c r="TAR1" s="224"/>
      <c r="TAS1" s="224"/>
      <c r="TAT1" s="224"/>
      <c r="TAU1" s="224"/>
      <c r="TAV1" s="224"/>
      <c r="TAW1" s="224"/>
      <c r="TAX1" s="224"/>
      <c r="TAY1" s="224"/>
      <c r="TAZ1" s="224"/>
      <c r="TBA1" s="224"/>
      <c r="TBB1" s="224"/>
      <c r="TBC1" s="224"/>
      <c r="TBD1" s="224"/>
      <c r="TBE1" s="224"/>
      <c r="TBF1" s="224"/>
      <c r="TBG1" s="224"/>
      <c r="TBH1" s="224"/>
      <c r="TBI1" s="224"/>
      <c r="TBJ1" s="224"/>
      <c r="TBK1" s="224"/>
      <c r="TBL1" s="224"/>
      <c r="TBM1" s="224"/>
      <c r="TBN1" s="224"/>
      <c r="TBO1" s="224"/>
      <c r="TBP1" s="224"/>
      <c r="TBQ1" s="224"/>
      <c r="TBR1" s="224"/>
      <c r="TBS1" s="224"/>
      <c r="TBT1" s="224"/>
      <c r="TBU1" s="224"/>
      <c r="TBV1" s="224"/>
      <c r="TBW1" s="224"/>
      <c r="TBX1" s="224"/>
      <c r="TBY1" s="224"/>
      <c r="TBZ1" s="224"/>
      <c r="TCA1" s="224"/>
      <c r="TCB1" s="224"/>
      <c r="TCC1" s="224"/>
      <c r="TCD1" s="224"/>
      <c r="TCE1" s="224"/>
      <c r="TCF1" s="224"/>
      <c r="TCG1" s="224"/>
      <c r="TCH1" s="224"/>
      <c r="TCI1" s="224"/>
      <c r="TCJ1" s="224"/>
      <c r="TCK1" s="224"/>
      <c r="TCL1" s="224"/>
      <c r="TCM1" s="224"/>
      <c r="TCN1" s="224"/>
      <c r="TCO1" s="224"/>
      <c r="TCP1" s="224"/>
      <c r="TCQ1" s="224"/>
      <c r="TCR1" s="224"/>
      <c r="TCS1" s="224"/>
      <c r="TCT1" s="224"/>
      <c r="TCU1" s="224"/>
      <c r="TCV1" s="224"/>
      <c r="TCW1" s="224"/>
      <c r="TCX1" s="224"/>
      <c r="TCY1" s="224"/>
      <c r="TCZ1" s="224"/>
      <c r="TDA1" s="224"/>
      <c r="TDB1" s="224"/>
      <c r="TDC1" s="224"/>
      <c r="TDD1" s="224"/>
      <c r="TDE1" s="224"/>
      <c r="TDF1" s="224"/>
      <c r="TDG1" s="224"/>
      <c r="TDH1" s="224"/>
      <c r="TDI1" s="224"/>
      <c r="TDJ1" s="224"/>
      <c r="TDK1" s="224"/>
      <c r="TDL1" s="224"/>
      <c r="TDM1" s="224"/>
      <c r="TDN1" s="224"/>
      <c r="TDO1" s="224"/>
      <c r="TDP1" s="224"/>
      <c r="TDQ1" s="224"/>
      <c r="TDR1" s="224"/>
      <c r="TDS1" s="224"/>
      <c r="TDT1" s="224"/>
      <c r="TDU1" s="224"/>
      <c r="TDV1" s="224"/>
      <c r="TDW1" s="224"/>
      <c r="TDX1" s="224"/>
      <c r="TDY1" s="224"/>
      <c r="TDZ1" s="224"/>
      <c r="TEA1" s="224"/>
      <c r="TEB1" s="224"/>
      <c r="TEC1" s="224"/>
      <c r="TED1" s="224"/>
      <c r="TEE1" s="224"/>
      <c r="TEF1" s="224"/>
      <c r="TEG1" s="224"/>
      <c r="TEH1" s="224"/>
      <c r="TEI1" s="224"/>
      <c r="TEJ1" s="224"/>
      <c r="TEK1" s="224"/>
      <c r="TEL1" s="224"/>
      <c r="TEM1" s="224"/>
      <c r="TEN1" s="224"/>
      <c r="TEO1" s="224"/>
      <c r="TEP1" s="224"/>
      <c r="TEQ1" s="224"/>
      <c r="TER1" s="224"/>
      <c r="TES1" s="224"/>
      <c r="TET1" s="224"/>
      <c r="TEU1" s="224"/>
      <c r="TEV1" s="224"/>
      <c r="TEW1" s="224"/>
      <c r="TEX1" s="224"/>
      <c r="TEY1" s="224"/>
      <c r="TEZ1" s="224"/>
      <c r="TFA1" s="224"/>
      <c r="TFB1" s="224"/>
      <c r="TFC1" s="224"/>
      <c r="TFD1" s="224"/>
      <c r="TFE1" s="224"/>
      <c r="TFF1" s="224"/>
      <c r="TFG1" s="224"/>
      <c r="TFH1" s="224"/>
      <c r="TFI1" s="224"/>
      <c r="TFJ1" s="224"/>
      <c r="TFK1" s="224"/>
      <c r="TFL1" s="224"/>
      <c r="TFM1" s="224"/>
      <c r="TFN1" s="224"/>
      <c r="TFO1" s="224"/>
      <c r="TFP1" s="224"/>
      <c r="TFQ1" s="224"/>
      <c r="TFR1" s="224"/>
      <c r="TFS1" s="224"/>
      <c r="TFT1" s="224"/>
      <c r="TFU1" s="224"/>
      <c r="TFV1" s="224"/>
      <c r="TFW1" s="224"/>
      <c r="TFX1" s="224"/>
      <c r="TFY1" s="224"/>
      <c r="TFZ1" s="224"/>
      <c r="TGA1" s="224"/>
      <c r="TGB1" s="224"/>
      <c r="TGC1" s="224"/>
      <c r="TGD1" s="224"/>
      <c r="TGE1" s="224"/>
      <c r="TGF1" s="224"/>
      <c r="TGG1" s="224"/>
      <c r="TGH1" s="224"/>
      <c r="TGI1" s="224"/>
      <c r="TGJ1" s="224"/>
      <c r="TGK1" s="224"/>
      <c r="TGL1" s="224"/>
      <c r="TGM1" s="224"/>
      <c r="TGN1" s="224"/>
      <c r="TGO1" s="224"/>
      <c r="TGP1" s="224"/>
      <c r="TGQ1" s="224"/>
      <c r="TGR1" s="224"/>
      <c r="TGS1" s="224"/>
      <c r="TGT1" s="224"/>
      <c r="TGU1" s="224"/>
      <c r="TGV1" s="224"/>
      <c r="TGW1" s="224"/>
      <c r="TGX1" s="224"/>
      <c r="TGY1" s="224"/>
      <c r="TGZ1" s="224"/>
      <c r="THA1" s="224"/>
      <c r="THB1" s="224"/>
      <c r="THC1" s="224"/>
      <c r="THD1" s="224"/>
      <c r="THE1" s="224"/>
      <c r="THF1" s="224"/>
      <c r="THG1" s="224"/>
      <c r="THH1" s="224"/>
      <c r="THI1" s="224"/>
      <c r="THJ1" s="224"/>
      <c r="THK1" s="224"/>
      <c r="THL1" s="224"/>
      <c r="THM1" s="224"/>
      <c r="THN1" s="224"/>
      <c r="THO1" s="224"/>
      <c r="THP1" s="224"/>
      <c r="THQ1" s="224"/>
      <c r="THR1" s="224"/>
      <c r="THS1" s="224"/>
      <c r="THT1" s="224"/>
      <c r="THU1" s="224"/>
      <c r="THV1" s="224"/>
      <c r="THW1" s="224"/>
      <c r="THX1" s="224"/>
      <c r="THY1" s="224"/>
      <c r="THZ1" s="224"/>
      <c r="TIA1" s="224"/>
      <c r="TIB1" s="224"/>
      <c r="TIC1" s="224"/>
      <c r="TID1" s="224"/>
      <c r="TIE1" s="224"/>
      <c r="TIF1" s="224"/>
      <c r="TIG1" s="224"/>
      <c r="TIH1" s="224"/>
      <c r="TII1" s="224"/>
      <c r="TIJ1" s="224"/>
      <c r="TIK1" s="224"/>
      <c r="TIL1" s="224"/>
      <c r="TIM1" s="224"/>
      <c r="TIN1" s="224"/>
      <c r="TIO1" s="224"/>
      <c r="TIP1" s="224"/>
      <c r="TIQ1" s="224"/>
      <c r="TIR1" s="224"/>
      <c r="TIS1" s="224"/>
      <c r="TIT1" s="224"/>
      <c r="TIU1" s="224"/>
      <c r="TIV1" s="224"/>
      <c r="TIW1" s="224"/>
      <c r="TIX1" s="224"/>
      <c r="TIY1" s="224"/>
      <c r="TIZ1" s="224"/>
      <c r="TJA1" s="224"/>
      <c r="TJB1" s="224"/>
      <c r="TJC1" s="224"/>
      <c r="TJD1" s="224"/>
      <c r="TJE1" s="224"/>
      <c r="TJF1" s="224"/>
      <c r="TJG1" s="224"/>
      <c r="TJH1" s="224"/>
      <c r="TJI1" s="224"/>
      <c r="TJJ1" s="224"/>
      <c r="TJK1" s="224"/>
      <c r="TJL1" s="224"/>
      <c r="TJM1" s="224"/>
      <c r="TJN1" s="224"/>
      <c r="TJO1" s="224"/>
      <c r="TJP1" s="224"/>
      <c r="TJQ1" s="224"/>
      <c r="TJR1" s="224"/>
      <c r="TJS1" s="224"/>
      <c r="TJT1" s="224"/>
      <c r="TJU1" s="224"/>
      <c r="TJV1" s="224"/>
      <c r="TJW1" s="224"/>
      <c r="TJX1" s="224"/>
      <c r="TJY1" s="224"/>
      <c r="TJZ1" s="224"/>
      <c r="TKA1" s="224"/>
      <c r="TKB1" s="224"/>
      <c r="TKC1" s="224"/>
      <c r="TKD1" s="224"/>
      <c r="TKE1" s="224"/>
      <c r="TKF1" s="224"/>
      <c r="TKG1" s="224"/>
      <c r="TKH1" s="224"/>
      <c r="TKI1" s="224"/>
      <c r="TKJ1" s="224"/>
      <c r="TKK1" s="224"/>
      <c r="TKL1" s="224"/>
      <c r="TKM1" s="224"/>
      <c r="TKN1" s="224"/>
      <c r="TKO1" s="224"/>
      <c r="TKP1" s="224"/>
      <c r="TKQ1" s="224"/>
      <c r="TKR1" s="224"/>
      <c r="TKS1" s="224"/>
      <c r="TKT1" s="224"/>
      <c r="TKU1" s="224"/>
      <c r="TKV1" s="224"/>
      <c r="TKW1" s="224"/>
      <c r="TKX1" s="224"/>
      <c r="TKY1" s="224"/>
      <c r="TKZ1" s="224"/>
      <c r="TLA1" s="224"/>
      <c r="TLB1" s="224"/>
      <c r="TLC1" s="224"/>
      <c r="TLD1" s="224"/>
      <c r="TLE1" s="224"/>
      <c r="TLF1" s="224"/>
      <c r="TLG1" s="224"/>
      <c r="TLH1" s="224"/>
      <c r="TLI1" s="224"/>
      <c r="TLJ1" s="224"/>
      <c r="TLK1" s="224"/>
      <c r="TLL1" s="224"/>
      <c r="TLM1" s="224"/>
      <c r="TLN1" s="224"/>
      <c r="TLO1" s="224"/>
      <c r="TLP1" s="224"/>
      <c r="TLQ1" s="224"/>
      <c r="TLR1" s="224"/>
      <c r="TLS1" s="224"/>
      <c r="TLT1" s="224"/>
      <c r="TLU1" s="224"/>
      <c r="TLV1" s="224"/>
      <c r="TLW1" s="224"/>
      <c r="TLX1" s="224"/>
      <c r="TLY1" s="224"/>
      <c r="TLZ1" s="224"/>
      <c r="TMA1" s="224"/>
      <c r="TMB1" s="224"/>
      <c r="TMC1" s="224"/>
      <c r="TMD1" s="224"/>
      <c r="TME1" s="224"/>
      <c r="TMF1" s="224"/>
      <c r="TMG1" s="224"/>
      <c r="TMH1" s="224"/>
      <c r="TMI1" s="224"/>
      <c r="TMJ1" s="224"/>
      <c r="TMK1" s="224"/>
      <c r="TML1" s="224"/>
      <c r="TMM1" s="224"/>
      <c r="TMN1" s="224"/>
      <c r="TMO1" s="224"/>
      <c r="TMP1" s="224"/>
      <c r="TMQ1" s="224"/>
      <c r="TMR1" s="224"/>
      <c r="TMS1" s="224"/>
      <c r="TMT1" s="224"/>
      <c r="TMU1" s="224"/>
      <c r="TMV1" s="224"/>
      <c r="TMW1" s="224"/>
      <c r="TMX1" s="224"/>
      <c r="TMY1" s="224"/>
      <c r="TMZ1" s="224"/>
      <c r="TNA1" s="224"/>
      <c r="TNB1" s="224"/>
      <c r="TNC1" s="224"/>
      <c r="TND1" s="224"/>
      <c r="TNE1" s="224"/>
      <c r="TNF1" s="224"/>
      <c r="TNG1" s="224"/>
      <c r="TNH1" s="224"/>
      <c r="TNI1" s="224"/>
      <c r="TNJ1" s="224"/>
      <c r="TNK1" s="224"/>
      <c r="TNL1" s="224"/>
      <c r="TNM1" s="224"/>
      <c r="TNN1" s="224"/>
      <c r="TNO1" s="224"/>
      <c r="TNP1" s="224"/>
      <c r="TNQ1" s="224"/>
      <c r="TNR1" s="224"/>
      <c r="TNS1" s="224"/>
      <c r="TNT1" s="224"/>
      <c r="TNU1" s="224"/>
      <c r="TNV1" s="224"/>
      <c r="TNW1" s="224"/>
      <c r="TNX1" s="224"/>
      <c r="TNY1" s="224"/>
      <c r="TNZ1" s="224"/>
      <c r="TOA1" s="224"/>
      <c r="TOB1" s="224"/>
      <c r="TOC1" s="224"/>
      <c r="TOD1" s="224"/>
      <c r="TOE1" s="224"/>
      <c r="TOF1" s="224"/>
      <c r="TOG1" s="224"/>
      <c r="TOH1" s="224"/>
      <c r="TOI1" s="224"/>
      <c r="TOJ1" s="224"/>
      <c r="TOK1" s="224"/>
      <c r="TOL1" s="224"/>
      <c r="TOM1" s="224"/>
      <c r="TON1" s="224"/>
      <c r="TOO1" s="224"/>
      <c r="TOP1" s="224"/>
      <c r="TOQ1" s="224"/>
      <c r="TOR1" s="224"/>
      <c r="TOS1" s="224"/>
      <c r="TOT1" s="224"/>
      <c r="TOU1" s="224"/>
      <c r="TOV1" s="224"/>
      <c r="TOW1" s="224"/>
      <c r="TOX1" s="224"/>
      <c r="TOY1" s="224"/>
      <c r="TOZ1" s="224"/>
      <c r="TPA1" s="224"/>
      <c r="TPB1" s="224"/>
      <c r="TPC1" s="224"/>
      <c r="TPD1" s="224"/>
      <c r="TPE1" s="224"/>
      <c r="TPF1" s="224"/>
      <c r="TPG1" s="224"/>
      <c r="TPH1" s="224"/>
      <c r="TPI1" s="224"/>
      <c r="TPJ1" s="224"/>
      <c r="TPK1" s="224"/>
      <c r="TPL1" s="224"/>
      <c r="TPM1" s="224"/>
      <c r="TPN1" s="224"/>
      <c r="TPO1" s="224"/>
      <c r="TPP1" s="224"/>
      <c r="TPQ1" s="224"/>
      <c r="TPR1" s="224"/>
      <c r="TPS1" s="224"/>
      <c r="TPT1" s="224"/>
      <c r="TPU1" s="224"/>
      <c r="TPV1" s="224"/>
      <c r="TPW1" s="224"/>
      <c r="TPX1" s="224"/>
      <c r="TPY1" s="224"/>
      <c r="TPZ1" s="224"/>
      <c r="TQA1" s="224"/>
      <c r="TQB1" s="224"/>
      <c r="TQC1" s="224"/>
      <c r="TQD1" s="224"/>
      <c r="TQE1" s="224"/>
      <c r="TQF1" s="224"/>
      <c r="TQG1" s="224"/>
      <c r="TQH1" s="224"/>
      <c r="TQI1" s="224"/>
      <c r="TQJ1" s="224"/>
      <c r="TQK1" s="224"/>
      <c r="TQL1" s="224"/>
      <c r="TQM1" s="224"/>
      <c r="TQN1" s="224"/>
      <c r="TQO1" s="224"/>
      <c r="TQP1" s="224"/>
      <c r="TQQ1" s="224"/>
      <c r="TQR1" s="224"/>
      <c r="TQS1" s="224"/>
      <c r="TQT1" s="224"/>
      <c r="TQU1" s="224"/>
      <c r="TQV1" s="224"/>
      <c r="TQW1" s="224"/>
      <c r="TQX1" s="224"/>
      <c r="TQY1" s="224"/>
      <c r="TQZ1" s="224"/>
      <c r="TRA1" s="224"/>
      <c r="TRB1" s="224"/>
      <c r="TRC1" s="224"/>
      <c r="TRD1" s="224"/>
      <c r="TRE1" s="224"/>
      <c r="TRF1" s="224"/>
      <c r="TRG1" s="224"/>
      <c r="TRH1" s="224"/>
      <c r="TRI1" s="224"/>
      <c r="TRJ1" s="224"/>
      <c r="TRK1" s="224"/>
      <c r="TRL1" s="224"/>
      <c r="TRM1" s="224"/>
      <c r="TRN1" s="224"/>
      <c r="TRO1" s="224"/>
      <c r="TRP1" s="224"/>
      <c r="TRQ1" s="224"/>
      <c r="TRR1" s="224"/>
      <c r="TRS1" s="224"/>
      <c r="TRT1" s="224"/>
      <c r="TRU1" s="224"/>
      <c r="TRV1" s="224"/>
      <c r="TRW1" s="224"/>
      <c r="TRX1" s="224"/>
      <c r="TRY1" s="224"/>
      <c r="TRZ1" s="224"/>
      <c r="TSA1" s="224"/>
      <c r="TSB1" s="224"/>
      <c r="TSC1" s="224"/>
      <c r="TSD1" s="224"/>
      <c r="TSE1" s="224"/>
      <c r="TSF1" s="224"/>
      <c r="TSG1" s="224"/>
      <c r="TSH1" s="224"/>
      <c r="TSI1" s="224"/>
      <c r="TSJ1" s="224"/>
      <c r="TSK1" s="224"/>
      <c r="TSL1" s="224"/>
      <c r="TSM1" s="224"/>
      <c r="TSN1" s="224"/>
      <c r="TSO1" s="224"/>
      <c r="TSP1" s="224"/>
      <c r="TSQ1" s="224"/>
      <c r="TSR1" s="224"/>
      <c r="TSS1" s="224"/>
      <c r="TST1" s="224"/>
      <c r="TSU1" s="224"/>
      <c r="TSV1" s="224"/>
      <c r="TSW1" s="224"/>
      <c r="TSX1" s="224"/>
      <c r="TSY1" s="224"/>
      <c r="TSZ1" s="224"/>
      <c r="TTA1" s="224"/>
      <c r="TTB1" s="224"/>
      <c r="TTC1" s="224"/>
      <c r="TTD1" s="224"/>
      <c r="TTE1" s="224"/>
      <c r="TTF1" s="224"/>
      <c r="TTG1" s="224"/>
      <c r="TTH1" s="224"/>
      <c r="TTI1" s="224"/>
      <c r="TTJ1" s="224"/>
      <c r="TTK1" s="224"/>
      <c r="TTL1" s="224"/>
      <c r="TTM1" s="224"/>
      <c r="TTN1" s="224"/>
      <c r="TTO1" s="224"/>
      <c r="TTP1" s="224"/>
      <c r="TTQ1" s="224"/>
      <c r="TTR1" s="224"/>
      <c r="TTS1" s="224"/>
      <c r="TTT1" s="224"/>
      <c r="TTU1" s="224"/>
      <c r="TTV1" s="224"/>
      <c r="TTW1" s="224"/>
      <c r="TTX1" s="224"/>
      <c r="TTY1" s="224"/>
      <c r="TTZ1" s="224"/>
      <c r="TUA1" s="224"/>
      <c r="TUB1" s="224"/>
      <c r="TUC1" s="224"/>
      <c r="TUD1" s="224"/>
      <c r="TUE1" s="224"/>
      <c r="TUF1" s="224"/>
      <c r="TUG1" s="224"/>
      <c r="TUH1" s="224"/>
      <c r="TUI1" s="224"/>
      <c r="TUJ1" s="224"/>
      <c r="TUK1" s="224"/>
      <c r="TUL1" s="224"/>
      <c r="TUM1" s="224"/>
      <c r="TUN1" s="224"/>
      <c r="TUO1" s="224"/>
      <c r="TUP1" s="224"/>
      <c r="TUQ1" s="224"/>
      <c r="TUR1" s="224"/>
      <c r="TUS1" s="224"/>
      <c r="TUT1" s="224"/>
      <c r="TUU1" s="224"/>
      <c r="TUV1" s="224"/>
      <c r="TUW1" s="224"/>
      <c r="TUX1" s="224"/>
      <c r="TUY1" s="224"/>
      <c r="TUZ1" s="224"/>
      <c r="TVA1" s="224"/>
      <c r="TVB1" s="224"/>
      <c r="TVC1" s="224"/>
      <c r="TVD1" s="224"/>
      <c r="TVE1" s="224"/>
      <c r="TVF1" s="224"/>
      <c r="TVG1" s="224"/>
      <c r="TVH1" s="224"/>
      <c r="TVI1" s="224"/>
      <c r="TVJ1" s="224"/>
      <c r="TVK1" s="224"/>
      <c r="TVL1" s="224"/>
      <c r="TVM1" s="224"/>
      <c r="TVN1" s="224"/>
      <c r="TVO1" s="224"/>
      <c r="TVP1" s="224"/>
      <c r="TVQ1" s="224"/>
      <c r="TVR1" s="224"/>
      <c r="TVS1" s="224"/>
      <c r="TVT1" s="224"/>
      <c r="TVU1" s="224"/>
      <c r="TVV1" s="224"/>
      <c r="TVW1" s="224"/>
      <c r="TVX1" s="224"/>
      <c r="TVY1" s="224"/>
      <c r="TVZ1" s="224"/>
      <c r="TWA1" s="224"/>
      <c r="TWB1" s="224"/>
      <c r="TWC1" s="224"/>
      <c r="TWD1" s="224"/>
      <c r="TWE1" s="224"/>
      <c r="TWF1" s="224"/>
      <c r="TWG1" s="224"/>
      <c r="TWH1" s="224"/>
      <c r="TWI1" s="224"/>
      <c r="TWJ1" s="224"/>
      <c r="TWK1" s="224"/>
      <c r="TWL1" s="224"/>
      <c r="TWM1" s="224"/>
      <c r="TWN1" s="224"/>
      <c r="TWO1" s="224"/>
      <c r="TWP1" s="224"/>
      <c r="TWQ1" s="224"/>
      <c r="TWR1" s="224"/>
      <c r="TWS1" s="224"/>
      <c r="TWT1" s="224"/>
      <c r="TWU1" s="224"/>
      <c r="TWV1" s="224"/>
      <c r="TWW1" s="224"/>
      <c r="TWX1" s="224"/>
      <c r="TWY1" s="224"/>
      <c r="TWZ1" s="224"/>
      <c r="TXA1" s="224"/>
      <c r="TXB1" s="224"/>
      <c r="TXC1" s="224"/>
      <c r="TXD1" s="224"/>
      <c r="TXE1" s="224"/>
      <c r="TXF1" s="224"/>
      <c r="TXG1" s="224"/>
      <c r="TXH1" s="224"/>
      <c r="TXI1" s="224"/>
      <c r="TXJ1" s="224"/>
      <c r="TXK1" s="224"/>
      <c r="TXL1" s="224"/>
      <c r="TXM1" s="224"/>
      <c r="TXN1" s="224"/>
      <c r="TXO1" s="224"/>
      <c r="TXP1" s="224"/>
      <c r="TXQ1" s="224"/>
      <c r="TXR1" s="224"/>
      <c r="TXS1" s="224"/>
      <c r="TXT1" s="224"/>
      <c r="TXU1" s="224"/>
      <c r="TXV1" s="224"/>
      <c r="TXW1" s="224"/>
      <c r="TXX1" s="224"/>
      <c r="TXY1" s="224"/>
      <c r="TXZ1" s="224"/>
      <c r="TYA1" s="224"/>
      <c r="TYB1" s="224"/>
      <c r="TYC1" s="224"/>
      <c r="TYD1" s="224"/>
      <c r="TYE1" s="224"/>
      <c r="TYF1" s="224"/>
      <c r="TYG1" s="224"/>
      <c r="TYH1" s="224"/>
      <c r="TYI1" s="224"/>
      <c r="TYJ1" s="224"/>
      <c r="TYK1" s="224"/>
      <c r="TYL1" s="224"/>
      <c r="TYM1" s="224"/>
      <c r="TYN1" s="224"/>
      <c r="TYO1" s="224"/>
      <c r="TYP1" s="224"/>
      <c r="TYQ1" s="224"/>
      <c r="TYR1" s="224"/>
      <c r="TYS1" s="224"/>
      <c r="TYT1" s="224"/>
      <c r="TYU1" s="224"/>
      <c r="TYV1" s="224"/>
      <c r="TYW1" s="224"/>
      <c r="TYX1" s="224"/>
      <c r="TYY1" s="224"/>
      <c r="TYZ1" s="224"/>
      <c r="TZA1" s="224"/>
      <c r="TZB1" s="224"/>
      <c r="TZC1" s="224"/>
      <c r="TZD1" s="224"/>
      <c r="TZE1" s="224"/>
      <c r="TZF1" s="224"/>
      <c r="TZG1" s="224"/>
      <c r="TZH1" s="224"/>
      <c r="TZI1" s="224"/>
      <c r="TZJ1" s="224"/>
      <c r="TZK1" s="224"/>
      <c r="TZL1" s="224"/>
      <c r="TZM1" s="224"/>
      <c r="TZN1" s="224"/>
      <c r="TZO1" s="224"/>
      <c r="TZP1" s="224"/>
      <c r="TZQ1" s="224"/>
      <c r="TZR1" s="224"/>
      <c r="TZS1" s="224"/>
      <c r="TZT1" s="224"/>
      <c r="TZU1" s="224"/>
      <c r="TZV1" s="224"/>
      <c r="TZW1" s="224"/>
      <c r="TZX1" s="224"/>
      <c r="TZY1" s="224"/>
      <c r="TZZ1" s="224"/>
      <c r="UAA1" s="224"/>
      <c r="UAB1" s="224"/>
      <c r="UAC1" s="224"/>
      <c r="UAD1" s="224"/>
      <c r="UAE1" s="224"/>
      <c r="UAF1" s="224"/>
      <c r="UAG1" s="224"/>
      <c r="UAH1" s="224"/>
      <c r="UAI1" s="224"/>
      <c r="UAJ1" s="224"/>
      <c r="UAK1" s="224"/>
      <c r="UAL1" s="224"/>
      <c r="UAM1" s="224"/>
      <c r="UAN1" s="224"/>
      <c r="UAO1" s="224"/>
      <c r="UAP1" s="224"/>
      <c r="UAQ1" s="224"/>
      <c r="UAR1" s="224"/>
      <c r="UAS1" s="224"/>
      <c r="UAT1" s="224"/>
      <c r="UAU1" s="224"/>
      <c r="UAV1" s="224"/>
      <c r="UAW1" s="224"/>
      <c r="UAX1" s="224"/>
      <c r="UAY1" s="224"/>
      <c r="UAZ1" s="224"/>
      <c r="UBA1" s="224"/>
      <c r="UBB1" s="224"/>
      <c r="UBC1" s="224"/>
      <c r="UBD1" s="224"/>
      <c r="UBE1" s="224"/>
      <c r="UBF1" s="224"/>
      <c r="UBG1" s="224"/>
      <c r="UBH1" s="224"/>
      <c r="UBI1" s="224"/>
      <c r="UBJ1" s="224"/>
      <c r="UBK1" s="224"/>
      <c r="UBL1" s="224"/>
      <c r="UBM1" s="224"/>
      <c r="UBN1" s="224"/>
      <c r="UBO1" s="224"/>
      <c r="UBP1" s="224"/>
      <c r="UBQ1" s="224"/>
      <c r="UBR1" s="224"/>
      <c r="UBS1" s="224"/>
      <c r="UBT1" s="224"/>
      <c r="UBU1" s="224"/>
      <c r="UBV1" s="224"/>
      <c r="UBW1" s="224"/>
      <c r="UBX1" s="224"/>
      <c r="UBY1" s="224"/>
      <c r="UBZ1" s="224"/>
      <c r="UCA1" s="224"/>
      <c r="UCB1" s="224"/>
      <c r="UCC1" s="224"/>
      <c r="UCD1" s="224"/>
      <c r="UCE1" s="224"/>
      <c r="UCF1" s="224"/>
      <c r="UCG1" s="224"/>
      <c r="UCH1" s="224"/>
      <c r="UCI1" s="224"/>
      <c r="UCJ1" s="224"/>
      <c r="UCK1" s="224"/>
      <c r="UCL1" s="224"/>
      <c r="UCM1" s="224"/>
      <c r="UCN1" s="224"/>
      <c r="UCO1" s="224"/>
      <c r="UCP1" s="224"/>
      <c r="UCQ1" s="224"/>
      <c r="UCR1" s="224"/>
      <c r="UCS1" s="224"/>
      <c r="UCT1" s="224"/>
      <c r="UCU1" s="224"/>
      <c r="UCV1" s="224"/>
      <c r="UCW1" s="224"/>
      <c r="UCX1" s="224"/>
      <c r="UCY1" s="224"/>
      <c r="UCZ1" s="224"/>
      <c r="UDA1" s="224"/>
      <c r="UDB1" s="224"/>
      <c r="UDC1" s="224"/>
      <c r="UDD1" s="224"/>
      <c r="UDE1" s="224"/>
      <c r="UDF1" s="224"/>
      <c r="UDG1" s="224"/>
      <c r="UDH1" s="224"/>
      <c r="UDI1" s="224"/>
      <c r="UDJ1" s="224"/>
      <c r="UDK1" s="224"/>
      <c r="UDL1" s="224"/>
      <c r="UDM1" s="224"/>
      <c r="UDN1" s="224"/>
      <c r="UDO1" s="224"/>
      <c r="UDP1" s="224"/>
      <c r="UDQ1" s="224"/>
      <c r="UDR1" s="224"/>
      <c r="UDS1" s="224"/>
      <c r="UDT1" s="224"/>
      <c r="UDU1" s="224"/>
      <c r="UDV1" s="224"/>
      <c r="UDW1" s="224"/>
      <c r="UDX1" s="224"/>
      <c r="UDY1" s="224"/>
      <c r="UDZ1" s="224"/>
      <c r="UEA1" s="224"/>
      <c r="UEB1" s="224"/>
      <c r="UEC1" s="224"/>
      <c r="UED1" s="224"/>
      <c r="UEE1" s="224"/>
      <c r="UEF1" s="224"/>
      <c r="UEG1" s="224"/>
      <c r="UEH1" s="224"/>
      <c r="UEI1" s="224"/>
      <c r="UEJ1" s="224"/>
      <c r="UEK1" s="224"/>
      <c r="UEL1" s="224"/>
      <c r="UEM1" s="224"/>
      <c r="UEN1" s="224"/>
      <c r="UEO1" s="224"/>
      <c r="UEP1" s="224"/>
      <c r="UEQ1" s="224"/>
      <c r="UER1" s="224"/>
      <c r="UES1" s="224"/>
      <c r="UET1" s="224"/>
      <c r="UEU1" s="224"/>
      <c r="UEV1" s="224"/>
      <c r="UEW1" s="224"/>
      <c r="UEX1" s="224"/>
      <c r="UEY1" s="224"/>
      <c r="UEZ1" s="224"/>
      <c r="UFA1" s="224"/>
      <c r="UFB1" s="224"/>
      <c r="UFC1" s="224"/>
      <c r="UFD1" s="224"/>
      <c r="UFE1" s="224"/>
      <c r="UFF1" s="224"/>
      <c r="UFG1" s="224"/>
      <c r="UFH1" s="224"/>
      <c r="UFI1" s="224"/>
      <c r="UFJ1" s="224"/>
      <c r="UFK1" s="224"/>
      <c r="UFL1" s="224"/>
      <c r="UFM1" s="224"/>
      <c r="UFN1" s="224"/>
      <c r="UFO1" s="224"/>
      <c r="UFP1" s="224"/>
      <c r="UFQ1" s="224"/>
      <c r="UFR1" s="224"/>
      <c r="UFS1" s="224"/>
      <c r="UFT1" s="224"/>
      <c r="UFU1" s="224"/>
      <c r="UFV1" s="224"/>
      <c r="UFW1" s="224"/>
      <c r="UFX1" s="224"/>
      <c r="UFY1" s="224"/>
      <c r="UFZ1" s="224"/>
      <c r="UGA1" s="224"/>
      <c r="UGB1" s="224"/>
      <c r="UGC1" s="224"/>
      <c r="UGD1" s="224"/>
      <c r="UGE1" s="224"/>
      <c r="UGF1" s="224"/>
      <c r="UGG1" s="224"/>
      <c r="UGH1" s="224"/>
      <c r="UGI1" s="224"/>
      <c r="UGJ1" s="224"/>
      <c r="UGK1" s="224"/>
      <c r="UGL1" s="224"/>
      <c r="UGM1" s="224"/>
      <c r="UGN1" s="224"/>
      <c r="UGO1" s="224"/>
      <c r="UGP1" s="224"/>
      <c r="UGQ1" s="224"/>
      <c r="UGR1" s="224"/>
      <c r="UGS1" s="224"/>
      <c r="UGT1" s="224"/>
      <c r="UGU1" s="224"/>
      <c r="UGV1" s="224"/>
      <c r="UGW1" s="224"/>
      <c r="UGX1" s="224"/>
      <c r="UGY1" s="224"/>
      <c r="UGZ1" s="224"/>
      <c r="UHA1" s="224"/>
      <c r="UHB1" s="224"/>
      <c r="UHC1" s="224"/>
      <c r="UHD1" s="224"/>
      <c r="UHE1" s="224"/>
      <c r="UHF1" s="224"/>
      <c r="UHG1" s="224"/>
      <c r="UHH1" s="224"/>
      <c r="UHI1" s="224"/>
      <c r="UHJ1" s="224"/>
      <c r="UHK1" s="224"/>
      <c r="UHL1" s="224"/>
      <c r="UHM1" s="224"/>
      <c r="UHN1" s="224"/>
      <c r="UHO1" s="224"/>
      <c r="UHP1" s="224"/>
      <c r="UHQ1" s="224"/>
      <c r="UHR1" s="224"/>
      <c r="UHS1" s="224"/>
      <c r="UHT1" s="224"/>
      <c r="UHU1" s="224"/>
      <c r="UHV1" s="224"/>
      <c r="UHW1" s="224"/>
      <c r="UHX1" s="224"/>
      <c r="UHY1" s="224"/>
      <c r="UHZ1" s="224"/>
      <c r="UIA1" s="224"/>
      <c r="UIB1" s="224"/>
      <c r="UIC1" s="224"/>
      <c r="UID1" s="224"/>
      <c r="UIE1" s="224"/>
      <c r="UIF1" s="224"/>
      <c r="UIG1" s="224"/>
      <c r="UIH1" s="224"/>
      <c r="UII1" s="224"/>
      <c r="UIJ1" s="224"/>
      <c r="UIK1" s="224"/>
      <c r="UIL1" s="224"/>
      <c r="UIM1" s="224"/>
      <c r="UIN1" s="224"/>
      <c r="UIO1" s="224"/>
      <c r="UIP1" s="224"/>
      <c r="UIQ1" s="224"/>
      <c r="UIR1" s="224"/>
      <c r="UIS1" s="224"/>
      <c r="UIT1" s="224"/>
      <c r="UIU1" s="224"/>
      <c r="UIV1" s="224"/>
      <c r="UIW1" s="224"/>
      <c r="UIX1" s="224"/>
      <c r="UIY1" s="224"/>
      <c r="UIZ1" s="224"/>
      <c r="UJA1" s="224"/>
      <c r="UJB1" s="224"/>
      <c r="UJC1" s="224"/>
      <c r="UJD1" s="224"/>
      <c r="UJE1" s="224"/>
      <c r="UJF1" s="224"/>
      <c r="UJG1" s="224"/>
      <c r="UJH1" s="224"/>
      <c r="UJI1" s="224"/>
      <c r="UJJ1" s="224"/>
      <c r="UJK1" s="224"/>
      <c r="UJL1" s="224"/>
      <c r="UJM1" s="224"/>
      <c r="UJN1" s="224"/>
      <c r="UJO1" s="224"/>
      <c r="UJP1" s="224"/>
      <c r="UJQ1" s="224"/>
      <c r="UJR1" s="224"/>
      <c r="UJS1" s="224"/>
      <c r="UJT1" s="224"/>
      <c r="UJU1" s="224"/>
      <c r="UJV1" s="224"/>
      <c r="UJW1" s="224"/>
      <c r="UJX1" s="224"/>
      <c r="UJY1" s="224"/>
      <c r="UJZ1" s="224"/>
      <c r="UKA1" s="224"/>
      <c r="UKB1" s="224"/>
      <c r="UKC1" s="224"/>
      <c r="UKD1" s="224"/>
      <c r="UKE1" s="224"/>
      <c r="UKF1" s="224"/>
      <c r="UKG1" s="224"/>
      <c r="UKH1" s="224"/>
      <c r="UKI1" s="224"/>
      <c r="UKJ1" s="224"/>
      <c r="UKK1" s="224"/>
      <c r="UKL1" s="224"/>
      <c r="UKM1" s="224"/>
      <c r="UKN1" s="224"/>
      <c r="UKO1" s="224"/>
      <c r="UKP1" s="224"/>
      <c r="UKQ1" s="224"/>
      <c r="UKR1" s="224"/>
      <c r="UKS1" s="224"/>
      <c r="UKT1" s="224"/>
      <c r="UKU1" s="224"/>
      <c r="UKV1" s="224"/>
      <c r="UKW1" s="224"/>
      <c r="UKX1" s="224"/>
      <c r="UKY1" s="224"/>
      <c r="UKZ1" s="224"/>
      <c r="ULA1" s="224"/>
      <c r="ULB1" s="224"/>
      <c r="ULC1" s="224"/>
      <c r="ULD1" s="224"/>
      <c r="ULE1" s="224"/>
      <c r="ULF1" s="224"/>
      <c r="ULG1" s="224"/>
      <c r="ULH1" s="224"/>
      <c r="ULI1" s="224"/>
      <c r="ULJ1" s="224"/>
      <c r="ULK1" s="224"/>
      <c r="ULL1" s="224"/>
      <c r="ULM1" s="224"/>
      <c r="ULN1" s="224"/>
      <c r="ULO1" s="224"/>
      <c r="ULP1" s="224"/>
      <c r="ULQ1" s="224"/>
      <c r="ULR1" s="224"/>
      <c r="ULS1" s="224"/>
      <c r="ULT1" s="224"/>
      <c r="ULU1" s="224"/>
      <c r="ULV1" s="224"/>
      <c r="ULW1" s="224"/>
      <c r="ULX1" s="224"/>
      <c r="ULY1" s="224"/>
      <c r="ULZ1" s="224"/>
      <c r="UMA1" s="224"/>
      <c r="UMB1" s="224"/>
      <c r="UMC1" s="224"/>
      <c r="UMD1" s="224"/>
      <c r="UME1" s="224"/>
      <c r="UMF1" s="224"/>
      <c r="UMG1" s="224"/>
      <c r="UMH1" s="224"/>
      <c r="UMI1" s="224"/>
      <c r="UMJ1" s="224"/>
      <c r="UMK1" s="224"/>
      <c r="UML1" s="224"/>
      <c r="UMM1" s="224"/>
      <c r="UMN1" s="224"/>
      <c r="UMO1" s="224"/>
      <c r="UMP1" s="224"/>
      <c r="UMQ1" s="224"/>
      <c r="UMR1" s="224"/>
      <c r="UMS1" s="224"/>
      <c r="UMT1" s="224"/>
      <c r="UMU1" s="224"/>
      <c r="UMV1" s="224"/>
      <c r="UMW1" s="224"/>
      <c r="UMX1" s="224"/>
      <c r="UMY1" s="224"/>
      <c r="UMZ1" s="224"/>
      <c r="UNA1" s="224"/>
      <c r="UNB1" s="224"/>
      <c r="UNC1" s="224"/>
      <c r="UND1" s="224"/>
      <c r="UNE1" s="224"/>
      <c r="UNF1" s="224"/>
      <c r="UNG1" s="224"/>
      <c r="UNH1" s="224"/>
      <c r="UNI1" s="224"/>
      <c r="UNJ1" s="224"/>
      <c r="UNK1" s="224"/>
      <c r="UNL1" s="224"/>
      <c r="UNM1" s="224"/>
      <c r="UNN1" s="224"/>
      <c r="UNO1" s="224"/>
      <c r="UNP1" s="224"/>
      <c r="UNQ1" s="224"/>
      <c r="UNR1" s="224"/>
      <c r="UNS1" s="224"/>
      <c r="UNT1" s="224"/>
      <c r="UNU1" s="224"/>
      <c r="UNV1" s="224"/>
      <c r="UNW1" s="224"/>
      <c r="UNX1" s="224"/>
      <c r="UNY1" s="224"/>
      <c r="UNZ1" s="224"/>
      <c r="UOA1" s="224"/>
      <c r="UOB1" s="224"/>
      <c r="UOC1" s="224"/>
      <c r="UOD1" s="224"/>
      <c r="UOE1" s="224"/>
      <c r="UOF1" s="224"/>
      <c r="UOG1" s="224"/>
      <c r="UOH1" s="224"/>
      <c r="UOI1" s="224"/>
      <c r="UOJ1" s="224"/>
      <c r="UOK1" s="224"/>
      <c r="UOL1" s="224"/>
      <c r="UOM1" s="224"/>
      <c r="UON1" s="224"/>
      <c r="UOO1" s="224"/>
      <c r="UOP1" s="224"/>
      <c r="UOQ1" s="224"/>
      <c r="UOR1" s="224"/>
      <c r="UOS1" s="224"/>
      <c r="UOT1" s="224"/>
      <c r="UOU1" s="224"/>
      <c r="UOV1" s="224"/>
      <c r="UOW1" s="224"/>
      <c r="UOX1" s="224"/>
      <c r="UOY1" s="224"/>
      <c r="UOZ1" s="224"/>
      <c r="UPA1" s="224"/>
      <c r="UPB1" s="224"/>
      <c r="UPC1" s="224"/>
      <c r="UPD1" s="224"/>
      <c r="UPE1" s="224"/>
      <c r="UPF1" s="224"/>
      <c r="UPG1" s="224"/>
      <c r="UPH1" s="224"/>
      <c r="UPI1" s="224"/>
      <c r="UPJ1" s="224"/>
      <c r="UPK1" s="224"/>
      <c r="UPL1" s="224"/>
      <c r="UPM1" s="224"/>
      <c r="UPN1" s="224"/>
      <c r="UPO1" s="224"/>
      <c r="UPP1" s="224"/>
      <c r="UPQ1" s="224"/>
      <c r="UPR1" s="224"/>
      <c r="UPS1" s="224"/>
      <c r="UPT1" s="224"/>
      <c r="UPU1" s="224"/>
      <c r="UPV1" s="224"/>
      <c r="UPW1" s="224"/>
      <c r="UPX1" s="224"/>
      <c r="UPY1" s="224"/>
      <c r="UPZ1" s="224"/>
      <c r="UQA1" s="224"/>
      <c r="UQB1" s="224"/>
      <c r="UQC1" s="224"/>
      <c r="UQD1" s="224"/>
      <c r="UQE1" s="224"/>
      <c r="UQF1" s="224"/>
      <c r="UQG1" s="224"/>
      <c r="UQH1" s="224"/>
      <c r="UQI1" s="224"/>
      <c r="UQJ1" s="224"/>
      <c r="UQK1" s="224"/>
      <c r="UQL1" s="224"/>
      <c r="UQM1" s="224"/>
      <c r="UQN1" s="224"/>
      <c r="UQO1" s="224"/>
      <c r="UQP1" s="224"/>
      <c r="UQQ1" s="224"/>
      <c r="UQR1" s="224"/>
      <c r="UQS1" s="224"/>
      <c r="UQT1" s="224"/>
      <c r="UQU1" s="224"/>
      <c r="UQV1" s="224"/>
      <c r="UQW1" s="224"/>
      <c r="UQX1" s="224"/>
      <c r="UQY1" s="224"/>
      <c r="UQZ1" s="224"/>
      <c r="URA1" s="224"/>
      <c r="URB1" s="224"/>
      <c r="URC1" s="224"/>
      <c r="URD1" s="224"/>
      <c r="URE1" s="224"/>
      <c r="URF1" s="224"/>
      <c r="URG1" s="224"/>
      <c r="URH1" s="224"/>
      <c r="URI1" s="224"/>
      <c r="URJ1" s="224"/>
      <c r="URK1" s="224"/>
      <c r="URL1" s="224"/>
      <c r="URM1" s="224"/>
      <c r="URN1" s="224"/>
      <c r="URO1" s="224"/>
      <c r="URP1" s="224"/>
      <c r="URQ1" s="224"/>
      <c r="URR1" s="224"/>
      <c r="URS1" s="224"/>
      <c r="URT1" s="224"/>
      <c r="URU1" s="224"/>
      <c r="URV1" s="224"/>
      <c r="URW1" s="224"/>
      <c r="URX1" s="224"/>
      <c r="URY1" s="224"/>
      <c r="URZ1" s="224"/>
      <c r="USA1" s="224"/>
      <c r="USB1" s="224"/>
      <c r="USC1" s="224"/>
      <c r="USD1" s="224"/>
      <c r="USE1" s="224"/>
      <c r="USF1" s="224"/>
      <c r="USG1" s="224"/>
      <c r="USH1" s="224"/>
      <c r="USI1" s="224"/>
      <c r="USJ1" s="224"/>
      <c r="USK1" s="224"/>
      <c r="USL1" s="224"/>
      <c r="USM1" s="224"/>
      <c r="USN1" s="224"/>
      <c r="USO1" s="224"/>
      <c r="USP1" s="224"/>
      <c r="USQ1" s="224"/>
      <c r="USR1" s="224"/>
      <c r="USS1" s="224"/>
      <c r="UST1" s="224"/>
      <c r="USU1" s="224"/>
      <c r="USV1" s="224"/>
      <c r="USW1" s="224"/>
      <c r="USX1" s="224"/>
      <c r="USY1" s="224"/>
      <c r="USZ1" s="224"/>
      <c r="UTA1" s="224"/>
      <c r="UTB1" s="224"/>
      <c r="UTC1" s="224"/>
      <c r="UTD1" s="224"/>
      <c r="UTE1" s="224"/>
      <c r="UTF1" s="224"/>
      <c r="UTG1" s="224"/>
      <c r="UTH1" s="224"/>
      <c r="UTI1" s="224"/>
      <c r="UTJ1" s="224"/>
      <c r="UTK1" s="224"/>
      <c r="UTL1" s="224"/>
      <c r="UTM1" s="224"/>
      <c r="UTN1" s="224"/>
      <c r="UTO1" s="224"/>
      <c r="UTP1" s="224"/>
      <c r="UTQ1" s="224"/>
      <c r="UTR1" s="224"/>
      <c r="UTS1" s="224"/>
      <c r="UTT1" s="224"/>
      <c r="UTU1" s="224"/>
      <c r="UTV1" s="224"/>
      <c r="UTW1" s="224"/>
      <c r="UTX1" s="224"/>
      <c r="UTY1" s="224"/>
      <c r="UTZ1" s="224"/>
      <c r="UUA1" s="224"/>
      <c r="UUB1" s="224"/>
      <c r="UUC1" s="224"/>
      <c r="UUD1" s="224"/>
      <c r="UUE1" s="224"/>
      <c r="UUF1" s="224"/>
      <c r="UUG1" s="224"/>
      <c r="UUH1" s="224"/>
      <c r="UUI1" s="224"/>
      <c r="UUJ1" s="224"/>
      <c r="UUK1" s="224"/>
      <c r="UUL1" s="224"/>
      <c r="UUM1" s="224"/>
      <c r="UUN1" s="224"/>
      <c r="UUO1" s="224"/>
      <c r="UUP1" s="224"/>
      <c r="UUQ1" s="224"/>
      <c r="UUR1" s="224"/>
      <c r="UUS1" s="224"/>
      <c r="UUT1" s="224"/>
      <c r="UUU1" s="224"/>
      <c r="UUV1" s="224"/>
      <c r="UUW1" s="224"/>
      <c r="UUX1" s="224"/>
      <c r="UUY1" s="224"/>
      <c r="UUZ1" s="224"/>
      <c r="UVA1" s="224"/>
      <c r="UVB1" s="224"/>
      <c r="UVC1" s="224"/>
      <c r="UVD1" s="224"/>
      <c r="UVE1" s="224"/>
      <c r="UVF1" s="224"/>
      <c r="UVG1" s="224"/>
      <c r="UVH1" s="224"/>
      <c r="UVI1" s="224"/>
      <c r="UVJ1" s="224"/>
      <c r="UVK1" s="224"/>
      <c r="UVL1" s="224"/>
      <c r="UVM1" s="224"/>
      <c r="UVN1" s="224"/>
      <c r="UVO1" s="224"/>
      <c r="UVP1" s="224"/>
      <c r="UVQ1" s="224"/>
      <c r="UVR1" s="224"/>
      <c r="UVS1" s="224"/>
      <c r="UVT1" s="224"/>
      <c r="UVU1" s="224"/>
      <c r="UVV1" s="224"/>
      <c r="UVW1" s="224"/>
      <c r="UVX1" s="224"/>
      <c r="UVY1" s="224"/>
      <c r="UVZ1" s="224"/>
      <c r="UWA1" s="224"/>
      <c r="UWB1" s="224"/>
      <c r="UWC1" s="224"/>
      <c r="UWD1" s="224"/>
      <c r="UWE1" s="224"/>
      <c r="UWF1" s="224"/>
      <c r="UWG1" s="224"/>
      <c r="UWH1" s="224"/>
      <c r="UWI1" s="224"/>
      <c r="UWJ1" s="224"/>
      <c r="UWK1" s="224"/>
      <c r="UWL1" s="224"/>
      <c r="UWM1" s="224"/>
      <c r="UWN1" s="224"/>
      <c r="UWO1" s="224"/>
      <c r="UWP1" s="224"/>
      <c r="UWQ1" s="224"/>
      <c r="UWR1" s="224"/>
      <c r="UWS1" s="224"/>
      <c r="UWT1" s="224"/>
      <c r="UWU1" s="224"/>
      <c r="UWV1" s="224"/>
      <c r="UWW1" s="224"/>
      <c r="UWX1" s="224"/>
      <c r="UWY1" s="224"/>
      <c r="UWZ1" s="224"/>
      <c r="UXA1" s="224"/>
      <c r="UXB1" s="224"/>
      <c r="UXC1" s="224"/>
      <c r="UXD1" s="224"/>
      <c r="UXE1" s="224"/>
      <c r="UXF1" s="224"/>
      <c r="UXG1" s="224"/>
      <c r="UXH1" s="224"/>
      <c r="UXI1" s="224"/>
      <c r="UXJ1" s="224"/>
      <c r="UXK1" s="224"/>
      <c r="UXL1" s="224"/>
      <c r="UXM1" s="224"/>
      <c r="UXN1" s="224"/>
      <c r="UXO1" s="224"/>
      <c r="UXP1" s="224"/>
      <c r="UXQ1" s="224"/>
      <c r="UXR1" s="224"/>
      <c r="UXS1" s="224"/>
      <c r="UXT1" s="224"/>
      <c r="UXU1" s="224"/>
      <c r="UXV1" s="224"/>
      <c r="UXW1" s="224"/>
      <c r="UXX1" s="224"/>
      <c r="UXY1" s="224"/>
      <c r="UXZ1" s="224"/>
      <c r="UYA1" s="224"/>
      <c r="UYB1" s="224"/>
      <c r="UYC1" s="224"/>
      <c r="UYD1" s="224"/>
      <c r="UYE1" s="224"/>
      <c r="UYF1" s="224"/>
      <c r="UYG1" s="224"/>
      <c r="UYH1" s="224"/>
      <c r="UYI1" s="224"/>
      <c r="UYJ1" s="224"/>
      <c r="UYK1" s="224"/>
      <c r="UYL1" s="224"/>
      <c r="UYM1" s="224"/>
      <c r="UYN1" s="224"/>
      <c r="UYO1" s="224"/>
      <c r="UYP1" s="224"/>
      <c r="UYQ1" s="224"/>
      <c r="UYR1" s="224"/>
      <c r="UYS1" s="224"/>
      <c r="UYT1" s="224"/>
      <c r="UYU1" s="224"/>
      <c r="UYV1" s="224"/>
      <c r="UYW1" s="224"/>
      <c r="UYX1" s="224"/>
      <c r="UYY1" s="224"/>
      <c r="UYZ1" s="224"/>
      <c r="UZA1" s="224"/>
      <c r="UZB1" s="224"/>
      <c r="UZC1" s="224"/>
      <c r="UZD1" s="224"/>
      <c r="UZE1" s="224"/>
      <c r="UZF1" s="224"/>
      <c r="UZG1" s="224"/>
      <c r="UZH1" s="224"/>
      <c r="UZI1" s="224"/>
      <c r="UZJ1" s="224"/>
      <c r="UZK1" s="224"/>
      <c r="UZL1" s="224"/>
      <c r="UZM1" s="224"/>
      <c r="UZN1" s="224"/>
      <c r="UZO1" s="224"/>
      <c r="UZP1" s="224"/>
      <c r="UZQ1" s="224"/>
      <c r="UZR1" s="224"/>
      <c r="UZS1" s="224"/>
      <c r="UZT1" s="224"/>
      <c r="UZU1" s="224"/>
      <c r="UZV1" s="224"/>
      <c r="UZW1" s="224"/>
      <c r="UZX1" s="224"/>
      <c r="UZY1" s="224"/>
      <c r="UZZ1" s="224"/>
      <c r="VAA1" s="224"/>
      <c r="VAB1" s="224"/>
      <c r="VAC1" s="224"/>
      <c r="VAD1" s="224"/>
      <c r="VAE1" s="224"/>
      <c r="VAF1" s="224"/>
      <c r="VAG1" s="224"/>
      <c r="VAH1" s="224"/>
      <c r="VAI1" s="224"/>
      <c r="VAJ1" s="224"/>
      <c r="VAK1" s="224"/>
      <c r="VAL1" s="224"/>
      <c r="VAM1" s="224"/>
      <c r="VAN1" s="224"/>
      <c r="VAO1" s="224"/>
      <c r="VAP1" s="224"/>
      <c r="VAQ1" s="224"/>
      <c r="VAR1" s="224"/>
      <c r="VAS1" s="224"/>
      <c r="VAT1" s="224"/>
      <c r="VAU1" s="224"/>
      <c r="VAV1" s="224"/>
      <c r="VAW1" s="224"/>
      <c r="VAX1" s="224"/>
      <c r="VAY1" s="224"/>
      <c r="VAZ1" s="224"/>
      <c r="VBA1" s="224"/>
      <c r="VBB1" s="224"/>
      <c r="VBC1" s="224"/>
      <c r="VBD1" s="224"/>
      <c r="VBE1" s="224"/>
      <c r="VBF1" s="224"/>
      <c r="VBG1" s="224"/>
      <c r="VBH1" s="224"/>
      <c r="VBI1" s="224"/>
      <c r="VBJ1" s="224"/>
      <c r="VBK1" s="224"/>
      <c r="VBL1" s="224"/>
      <c r="VBM1" s="224"/>
      <c r="VBN1" s="224"/>
      <c r="VBO1" s="224"/>
      <c r="VBP1" s="224"/>
      <c r="VBQ1" s="224"/>
      <c r="VBR1" s="224"/>
      <c r="VBS1" s="224"/>
      <c r="VBT1" s="224"/>
      <c r="VBU1" s="224"/>
      <c r="VBV1" s="224"/>
      <c r="VBW1" s="224"/>
      <c r="VBX1" s="224"/>
      <c r="VBY1" s="224"/>
      <c r="VBZ1" s="224"/>
      <c r="VCA1" s="224"/>
      <c r="VCB1" s="224"/>
      <c r="VCC1" s="224"/>
      <c r="VCD1" s="224"/>
      <c r="VCE1" s="224"/>
      <c r="VCF1" s="224"/>
      <c r="VCG1" s="224"/>
      <c r="VCH1" s="224"/>
      <c r="VCI1" s="224"/>
      <c r="VCJ1" s="224"/>
      <c r="VCK1" s="224"/>
      <c r="VCL1" s="224"/>
      <c r="VCM1" s="224"/>
      <c r="VCN1" s="224"/>
      <c r="VCO1" s="224"/>
      <c r="VCP1" s="224"/>
      <c r="VCQ1" s="224"/>
      <c r="VCR1" s="224"/>
      <c r="VCS1" s="224"/>
      <c r="VCT1" s="224"/>
      <c r="VCU1" s="224"/>
      <c r="VCV1" s="224"/>
      <c r="VCW1" s="224"/>
      <c r="VCX1" s="224"/>
      <c r="VCY1" s="224"/>
      <c r="VCZ1" s="224"/>
      <c r="VDA1" s="224"/>
      <c r="VDB1" s="224"/>
      <c r="VDC1" s="224"/>
      <c r="VDD1" s="224"/>
      <c r="VDE1" s="224"/>
      <c r="VDF1" s="224"/>
      <c r="VDG1" s="224"/>
      <c r="VDH1" s="224"/>
      <c r="VDI1" s="224"/>
      <c r="VDJ1" s="224"/>
      <c r="VDK1" s="224"/>
      <c r="VDL1" s="224"/>
      <c r="VDM1" s="224"/>
      <c r="VDN1" s="224"/>
      <c r="VDO1" s="224"/>
      <c r="VDP1" s="224"/>
      <c r="VDQ1" s="224"/>
      <c r="VDR1" s="224"/>
      <c r="VDS1" s="224"/>
      <c r="VDT1" s="224"/>
      <c r="VDU1" s="224"/>
      <c r="VDV1" s="224"/>
      <c r="VDW1" s="224"/>
      <c r="VDX1" s="224"/>
      <c r="VDY1" s="224"/>
      <c r="VDZ1" s="224"/>
      <c r="VEA1" s="224"/>
      <c r="VEB1" s="224"/>
      <c r="VEC1" s="224"/>
      <c r="VED1" s="224"/>
      <c r="VEE1" s="224"/>
      <c r="VEF1" s="224"/>
      <c r="VEG1" s="224"/>
      <c r="VEH1" s="224"/>
      <c r="VEI1" s="224"/>
      <c r="VEJ1" s="224"/>
      <c r="VEK1" s="224"/>
      <c r="VEL1" s="224"/>
      <c r="VEM1" s="224"/>
      <c r="VEN1" s="224"/>
      <c r="VEO1" s="224"/>
      <c r="VEP1" s="224"/>
      <c r="VEQ1" s="224"/>
      <c r="VER1" s="224"/>
      <c r="VES1" s="224"/>
      <c r="VET1" s="224"/>
      <c r="VEU1" s="224"/>
      <c r="VEV1" s="224"/>
      <c r="VEW1" s="224"/>
      <c r="VEX1" s="224"/>
      <c r="VEY1" s="224"/>
      <c r="VEZ1" s="224"/>
      <c r="VFA1" s="224"/>
      <c r="VFB1" s="224"/>
      <c r="VFC1" s="224"/>
      <c r="VFD1" s="224"/>
      <c r="VFE1" s="224"/>
      <c r="VFF1" s="224"/>
      <c r="VFG1" s="224"/>
      <c r="VFH1" s="224"/>
      <c r="VFI1" s="224"/>
      <c r="VFJ1" s="224"/>
      <c r="VFK1" s="224"/>
      <c r="VFL1" s="224"/>
      <c r="VFM1" s="224"/>
      <c r="VFN1" s="224"/>
      <c r="VFO1" s="224"/>
      <c r="VFP1" s="224"/>
      <c r="VFQ1" s="224"/>
      <c r="VFR1" s="224"/>
      <c r="VFS1" s="224"/>
      <c r="VFT1" s="224"/>
      <c r="VFU1" s="224"/>
      <c r="VFV1" s="224"/>
      <c r="VFW1" s="224"/>
      <c r="VFX1" s="224"/>
      <c r="VFY1" s="224"/>
      <c r="VFZ1" s="224"/>
      <c r="VGA1" s="224"/>
      <c r="VGB1" s="224"/>
      <c r="VGC1" s="224"/>
      <c r="VGD1" s="224"/>
      <c r="VGE1" s="224"/>
      <c r="VGF1" s="224"/>
      <c r="VGG1" s="224"/>
      <c r="VGH1" s="224"/>
      <c r="VGI1" s="224"/>
      <c r="VGJ1" s="224"/>
      <c r="VGK1" s="224"/>
      <c r="VGL1" s="224"/>
      <c r="VGM1" s="224"/>
      <c r="VGN1" s="224"/>
      <c r="VGO1" s="224"/>
      <c r="VGP1" s="224"/>
      <c r="VGQ1" s="224"/>
      <c r="VGR1" s="224"/>
      <c r="VGS1" s="224"/>
      <c r="VGT1" s="224"/>
      <c r="VGU1" s="224"/>
      <c r="VGV1" s="224"/>
      <c r="VGW1" s="224"/>
      <c r="VGX1" s="224"/>
      <c r="VGY1" s="224"/>
      <c r="VGZ1" s="224"/>
      <c r="VHA1" s="224"/>
      <c r="VHB1" s="224"/>
      <c r="VHC1" s="224"/>
      <c r="VHD1" s="224"/>
      <c r="VHE1" s="224"/>
      <c r="VHF1" s="224"/>
      <c r="VHG1" s="224"/>
      <c r="VHH1" s="224"/>
      <c r="VHI1" s="224"/>
      <c r="VHJ1" s="224"/>
      <c r="VHK1" s="224"/>
      <c r="VHL1" s="224"/>
      <c r="VHM1" s="224"/>
      <c r="VHN1" s="224"/>
      <c r="VHO1" s="224"/>
      <c r="VHP1" s="224"/>
      <c r="VHQ1" s="224"/>
      <c r="VHR1" s="224"/>
      <c r="VHS1" s="224"/>
      <c r="VHT1" s="224"/>
      <c r="VHU1" s="224"/>
      <c r="VHV1" s="224"/>
      <c r="VHW1" s="224"/>
      <c r="VHX1" s="224"/>
      <c r="VHY1" s="224"/>
      <c r="VHZ1" s="224"/>
      <c r="VIA1" s="224"/>
      <c r="VIB1" s="224"/>
      <c r="VIC1" s="224"/>
      <c r="VID1" s="224"/>
      <c r="VIE1" s="224"/>
      <c r="VIF1" s="224"/>
      <c r="VIG1" s="224"/>
      <c r="VIH1" s="224"/>
      <c r="VII1" s="224"/>
      <c r="VIJ1" s="224"/>
      <c r="VIK1" s="224"/>
      <c r="VIL1" s="224"/>
      <c r="VIM1" s="224"/>
      <c r="VIN1" s="224"/>
      <c r="VIO1" s="224"/>
      <c r="VIP1" s="224"/>
      <c r="VIQ1" s="224"/>
      <c r="VIR1" s="224"/>
      <c r="VIS1" s="224"/>
      <c r="VIT1" s="224"/>
      <c r="VIU1" s="224"/>
      <c r="VIV1" s="224"/>
      <c r="VIW1" s="224"/>
      <c r="VIX1" s="224"/>
      <c r="VIY1" s="224"/>
      <c r="VIZ1" s="224"/>
      <c r="VJA1" s="224"/>
      <c r="VJB1" s="224"/>
      <c r="VJC1" s="224"/>
      <c r="VJD1" s="224"/>
      <c r="VJE1" s="224"/>
      <c r="VJF1" s="224"/>
      <c r="VJG1" s="224"/>
      <c r="VJH1" s="224"/>
      <c r="VJI1" s="224"/>
      <c r="VJJ1" s="224"/>
      <c r="VJK1" s="224"/>
      <c r="VJL1" s="224"/>
      <c r="VJM1" s="224"/>
      <c r="VJN1" s="224"/>
      <c r="VJO1" s="224"/>
      <c r="VJP1" s="224"/>
      <c r="VJQ1" s="224"/>
      <c r="VJR1" s="224"/>
      <c r="VJS1" s="224"/>
      <c r="VJT1" s="224"/>
      <c r="VJU1" s="224"/>
      <c r="VJV1" s="224"/>
      <c r="VJW1" s="224"/>
      <c r="VJX1" s="224"/>
      <c r="VJY1" s="224"/>
      <c r="VJZ1" s="224"/>
      <c r="VKA1" s="224"/>
      <c r="VKB1" s="224"/>
      <c r="VKC1" s="224"/>
      <c r="VKD1" s="224"/>
      <c r="VKE1" s="224"/>
      <c r="VKF1" s="224"/>
      <c r="VKG1" s="224"/>
      <c r="VKH1" s="224"/>
      <c r="VKI1" s="224"/>
      <c r="VKJ1" s="224"/>
      <c r="VKK1" s="224"/>
      <c r="VKL1" s="224"/>
      <c r="VKM1" s="224"/>
      <c r="VKN1" s="224"/>
      <c r="VKO1" s="224"/>
      <c r="VKP1" s="224"/>
      <c r="VKQ1" s="224"/>
      <c r="VKR1" s="224"/>
      <c r="VKS1" s="224"/>
      <c r="VKT1" s="224"/>
      <c r="VKU1" s="224"/>
      <c r="VKV1" s="224"/>
      <c r="VKW1" s="224"/>
      <c r="VKX1" s="224"/>
      <c r="VKY1" s="224"/>
      <c r="VKZ1" s="224"/>
      <c r="VLA1" s="224"/>
      <c r="VLB1" s="224"/>
      <c r="VLC1" s="224"/>
      <c r="VLD1" s="224"/>
      <c r="VLE1" s="224"/>
      <c r="VLF1" s="224"/>
      <c r="VLG1" s="224"/>
      <c r="VLH1" s="224"/>
      <c r="VLI1" s="224"/>
      <c r="VLJ1" s="224"/>
      <c r="VLK1" s="224"/>
      <c r="VLL1" s="224"/>
      <c r="VLM1" s="224"/>
      <c r="VLN1" s="224"/>
      <c r="VLO1" s="224"/>
      <c r="VLP1" s="224"/>
      <c r="VLQ1" s="224"/>
      <c r="VLR1" s="224"/>
      <c r="VLS1" s="224"/>
      <c r="VLT1" s="224"/>
      <c r="VLU1" s="224"/>
      <c r="VLV1" s="224"/>
      <c r="VLW1" s="224"/>
      <c r="VLX1" s="224"/>
      <c r="VLY1" s="224"/>
      <c r="VLZ1" s="224"/>
      <c r="VMA1" s="224"/>
      <c r="VMB1" s="224"/>
      <c r="VMC1" s="224"/>
      <c r="VMD1" s="224"/>
      <c r="VME1" s="224"/>
      <c r="VMF1" s="224"/>
      <c r="VMG1" s="224"/>
      <c r="VMH1" s="224"/>
      <c r="VMI1" s="224"/>
      <c r="VMJ1" s="224"/>
      <c r="VMK1" s="224"/>
      <c r="VML1" s="224"/>
      <c r="VMM1" s="224"/>
      <c r="VMN1" s="224"/>
      <c r="VMO1" s="224"/>
      <c r="VMP1" s="224"/>
      <c r="VMQ1" s="224"/>
      <c r="VMR1" s="224"/>
      <c r="VMS1" s="224"/>
      <c r="VMT1" s="224"/>
      <c r="VMU1" s="224"/>
      <c r="VMV1" s="224"/>
      <c r="VMW1" s="224"/>
      <c r="VMX1" s="224"/>
      <c r="VMY1" s="224"/>
      <c r="VMZ1" s="224"/>
      <c r="VNA1" s="224"/>
      <c r="VNB1" s="224"/>
      <c r="VNC1" s="224"/>
      <c r="VND1" s="224"/>
      <c r="VNE1" s="224"/>
      <c r="VNF1" s="224"/>
      <c r="VNG1" s="224"/>
      <c r="VNH1" s="224"/>
      <c r="VNI1" s="224"/>
      <c r="VNJ1" s="224"/>
      <c r="VNK1" s="224"/>
      <c r="VNL1" s="224"/>
      <c r="VNM1" s="224"/>
      <c r="VNN1" s="224"/>
      <c r="VNO1" s="224"/>
      <c r="VNP1" s="224"/>
      <c r="VNQ1" s="224"/>
      <c r="VNR1" s="224"/>
      <c r="VNS1" s="224"/>
      <c r="VNT1" s="224"/>
      <c r="VNU1" s="224"/>
      <c r="VNV1" s="224"/>
      <c r="VNW1" s="224"/>
      <c r="VNX1" s="224"/>
      <c r="VNY1" s="224"/>
      <c r="VNZ1" s="224"/>
      <c r="VOA1" s="224"/>
      <c r="VOB1" s="224"/>
      <c r="VOC1" s="224"/>
      <c r="VOD1" s="224"/>
      <c r="VOE1" s="224"/>
      <c r="VOF1" s="224"/>
      <c r="VOG1" s="224"/>
      <c r="VOH1" s="224"/>
      <c r="VOI1" s="224"/>
      <c r="VOJ1" s="224"/>
      <c r="VOK1" s="224"/>
      <c r="VOL1" s="224"/>
      <c r="VOM1" s="224"/>
      <c r="VON1" s="224"/>
      <c r="VOO1" s="224"/>
      <c r="VOP1" s="224"/>
      <c r="VOQ1" s="224"/>
      <c r="VOR1" s="224"/>
      <c r="VOS1" s="224"/>
      <c r="VOT1" s="224"/>
      <c r="VOU1" s="224"/>
      <c r="VOV1" s="224"/>
      <c r="VOW1" s="224"/>
      <c r="VOX1" s="224"/>
      <c r="VOY1" s="224"/>
      <c r="VOZ1" s="224"/>
      <c r="VPA1" s="224"/>
      <c r="VPB1" s="224"/>
      <c r="VPC1" s="224"/>
      <c r="VPD1" s="224"/>
      <c r="VPE1" s="224"/>
      <c r="VPF1" s="224"/>
      <c r="VPG1" s="224"/>
      <c r="VPH1" s="224"/>
      <c r="VPI1" s="224"/>
      <c r="VPJ1" s="224"/>
      <c r="VPK1" s="224"/>
      <c r="VPL1" s="224"/>
      <c r="VPM1" s="224"/>
      <c r="VPN1" s="224"/>
      <c r="VPO1" s="224"/>
      <c r="VPP1" s="224"/>
      <c r="VPQ1" s="224"/>
      <c r="VPR1" s="224"/>
      <c r="VPS1" s="224"/>
      <c r="VPT1" s="224"/>
      <c r="VPU1" s="224"/>
      <c r="VPV1" s="224"/>
      <c r="VPW1" s="224"/>
      <c r="VPX1" s="224"/>
      <c r="VPY1" s="224"/>
      <c r="VPZ1" s="224"/>
      <c r="VQA1" s="224"/>
      <c r="VQB1" s="224"/>
      <c r="VQC1" s="224"/>
      <c r="VQD1" s="224"/>
      <c r="VQE1" s="224"/>
      <c r="VQF1" s="224"/>
      <c r="VQG1" s="224"/>
      <c r="VQH1" s="224"/>
      <c r="VQI1" s="224"/>
      <c r="VQJ1" s="224"/>
      <c r="VQK1" s="224"/>
      <c r="VQL1" s="224"/>
      <c r="VQM1" s="224"/>
      <c r="VQN1" s="224"/>
      <c r="VQO1" s="224"/>
      <c r="VQP1" s="224"/>
      <c r="VQQ1" s="224"/>
      <c r="VQR1" s="224"/>
      <c r="VQS1" s="224"/>
      <c r="VQT1" s="224"/>
      <c r="VQU1" s="224"/>
      <c r="VQV1" s="224"/>
      <c r="VQW1" s="224"/>
      <c r="VQX1" s="224"/>
      <c r="VQY1" s="224"/>
      <c r="VQZ1" s="224"/>
      <c r="VRA1" s="224"/>
      <c r="VRB1" s="224"/>
      <c r="VRC1" s="224"/>
      <c r="VRD1" s="224"/>
      <c r="VRE1" s="224"/>
      <c r="VRF1" s="224"/>
      <c r="VRG1" s="224"/>
      <c r="VRH1" s="224"/>
      <c r="VRI1" s="224"/>
      <c r="VRJ1" s="224"/>
      <c r="VRK1" s="224"/>
      <c r="VRL1" s="224"/>
      <c r="VRM1" s="224"/>
      <c r="VRN1" s="224"/>
      <c r="VRO1" s="224"/>
      <c r="VRP1" s="224"/>
      <c r="VRQ1" s="224"/>
      <c r="VRR1" s="224"/>
      <c r="VRS1" s="224"/>
      <c r="VRT1" s="224"/>
      <c r="VRU1" s="224"/>
      <c r="VRV1" s="224"/>
      <c r="VRW1" s="224"/>
      <c r="VRX1" s="224"/>
      <c r="VRY1" s="224"/>
      <c r="VRZ1" s="224"/>
      <c r="VSA1" s="224"/>
      <c r="VSB1" s="224"/>
      <c r="VSC1" s="224"/>
      <c r="VSD1" s="224"/>
      <c r="VSE1" s="224"/>
      <c r="VSF1" s="224"/>
      <c r="VSG1" s="224"/>
      <c r="VSH1" s="224"/>
      <c r="VSI1" s="224"/>
      <c r="VSJ1" s="224"/>
      <c r="VSK1" s="224"/>
      <c r="VSL1" s="224"/>
      <c r="VSM1" s="224"/>
      <c r="VSN1" s="224"/>
      <c r="VSO1" s="224"/>
      <c r="VSP1" s="224"/>
      <c r="VSQ1" s="224"/>
      <c r="VSR1" s="224"/>
      <c r="VSS1" s="224"/>
      <c r="VST1" s="224"/>
      <c r="VSU1" s="224"/>
      <c r="VSV1" s="224"/>
      <c r="VSW1" s="224"/>
      <c r="VSX1" s="224"/>
      <c r="VSY1" s="224"/>
      <c r="VSZ1" s="224"/>
      <c r="VTA1" s="224"/>
      <c r="VTB1" s="224"/>
      <c r="VTC1" s="224"/>
      <c r="VTD1" s="224"/>
      <c r="VTE1" s="224"/>
      <c r="VTF1" s="224"/>
      <c r="VTG1" s="224"/>
      <c r="VTH1" s="224"/>
      <c r="VTI1" s="224"/>
      <c r="VTJ1" s="224"/>
      <c r="VTK1" s="224"/>
      <c r="VTL1" s="224"/>
      <c r="VTM1" s="224"/>
      <c r="VTN1" s="224"/>
      <c r="VTO1" s="224"/>
      <c r="VTP1" s="224"/>
      <c r="VTQ1" s="224"/>
      <c r="VTR1" s="224"/>
      <c r="VTS1" s="224"/>
      <c r="VTT1" s="224"/>
      <c r="VTU1" s="224"/>
      <c r="VTV1" s="224"/>
      <c r="VTW1" s="224"/>
      <c r="VTX1" s="224"/>
      <c r="VTY1" s="224"/>
      <c r="VTZ1" s="224"/>
      <c r="VUA1" s="224"/>
      <c r="VUB1" s="224"/>
      <c r="VUC1" s="224"/>
      <c r="VUD1" s="224"/>
      <c r="VUE1" s="224"/>
      <c r="VUF1" s="224"/>
      <c r="VUG1" s="224"/>
      <c r="VUH1" s="224"/>
      <c r="VUI1" s="224"/>
      <c r="VUJ1" s="224"/>
      <c r="VUK1" s="224"/>
      <c r="VUL1" s="224"/>
      <c r="VUM1" s="224"/>
      <c r="VUN1" s="224"/>
      <c r="VUO1" s="224"/>
      <c r="VUP1" s="224"/>
      <c r="VUQ1" s="224"/>
      <c r="VUR1" s="224"/>
      <c r="VUS1" s="224"/>
      <c r="VUT1" s="224"/>
      <c r="VUU1" s="224"/>
      <c r="VUV1" s="224"/>
      <c r="VUW1" s="224"/>
      <c r="VUX1" s="224"/>
      <c r="VUY1" s="224"/>
      <c r="VUZ1" s="224"/>
      <c r="VVA1" s="224"/>
      <c r="VVB1" s="224"/>
      <c r="VVC1" s="224"/>
      <c r="VVD1" s="224"/>
      <c r="VVE1" s="224"/>
      <c r="VVF1" s="224"/>
      <c r="VVG1" s="224"/>
      <c r="VVH1" s="224"/>
      <c r="VVI1" s="224"/>
      <c r="VVJ1" s="224"/>
      <c r="VVK1" s="224"/>
      <c r="VVL1" s="224"/>
      <c r="VVM1" s="224"/>
      <c r="VVN1" s="224"/>
      <c r="VVO1" s="224"/>
      <c r="VVP1" s="224"/>
      <c r="VVQ1" s="224"/>
      <c r="VVR1" s="224"/>
      <c r="VVS1" s="224"/>
      <c r="VVT1" s="224"/>
      <c r="VVU1" s="224"/>
      <c r="VVV1" s="224"/>
      <c r="VVW1" s="224"/>
      <c r="VVX1" s="224"/>
      <c r="VVY1" s="224"/>
      <c r="VVZ1" s="224"/>
      <c r="VWA1" s="224"/>
      <c r="VWB1" s="224"/>
      <c r="VWC1" s="224"/>
      <c r="VWD1" s="224"/>
      <c r="VWE1" s="224"/>
      <c r="VWF1" s="224"/>
      <c r="VWG1" s="224"/>
      <c r="VWH1" s="224"/>
      <c r="VWI1" s="224"/>
      <c r="VWJ1" s="224"/>
      <c r="VWK1" s="224"/>
      <c r="VWL1" s="224"/>
      <c r="VWM1" s="224"/>
      <c r="VWN1" s="224"/>
      <c r="VWO1" s="224"/>
      <c r="VWP1" s="224"/>
      <c r="VWQ1" s="224"/>
      <c r="VWR1" s="224"/>
      <c r="VWS1" s="224"/>
      <c r="VWT1" s="224"/>
      <c r="VWU1" s="224"/>
      <c r="VWV1" s="224"/>
      <c r="VWW1" s="224"/>
      <c r="VWX1" s="224"/>
      <c r="VWY1" s="224"/>
      <c r="VWZ1" s="224"/>
      <c r="VXA1" s="224"/>
      <c r="VXB1" s="224"/>
      <c r="VXC1" s="224"/>
      <c r="VXD1" s="224"/>
      <c r="VXE1" s="224"/>
      <c r="VXF1" s="224"/>
      <c r="VXG1" s="224"/>
      <c r="VXH1" s="224"/>
      <c r="VXI1" s="224"/>
      <c r="VXJ1" s="224"/>
      <c r="VXK1" s="224"/>
      <c r="VXL1" s="224"/>
      <c r="VXM1" s="224"/>
      <c r="VXN1" s="224"/>
      <c r="VXO1" s="224"/>
      <c r="VXP1" s="224"/>
      <c r="VXQ1" s="224"/>
      <c r="VXR1" s="224"/>
      <c r="VXS1" s="224"/>
      <c r="VXT1" s="224"/>
      <c r="VXU1" s="224"/>
      <c r="VXV1" s="224"/>
      <c r="VXW1" s="224"/>
      <c r="VXX1" s="224"/>
      <c r="VXY1" s="224"/>
      <c r="VXZ1" s="224"/>
      <c r="VYA1" s="224"/>
      <c r="VYB1" s="224"/>
      <c r="VYC1" s="224"/>
      <c r="VYD1" s="224"/>
      <c r="VYE1" s="224"/>
      <c r="VYF1" s="224"/>
      <c r="VYG1" s="224"/>
      <c r="VYH1" s="224"/>
      <c r="VYI1" s="224"/>
      <c r="VYJ1" s="224"/>
      <c r="VYK1" s="224"/>
      <c r="VYL1" s="224"/>
      <c r="VYM1" s="224"/>
      <c r="VYN1" s="224"/>
      <c r="VYO1" s="224"/>
      <c r="VYP1" s="224"/>
      <c r="VYQ1" s="224"/>
      <c r="VYR1" s="224"/>
      <c r="VYS1" s="224"/>
      <c r="VYT1" s="224"/>
      <c r="VYU1" s="224"/>
      <c r="VYV1" s="224"/>
      <c r="VYW1" s="224"/>
      <c r="VYX1" s="224"/>
      <c r="VYY1" s="224"/>
      <c r="VYZ1" s="224"/>
      <c r="VZA1" s="224"/>
      <c r="VZB1" s="224"/>
      <c r="VZC1" s="224"/>
      <c r="VZD1" s="224"/>
      <c r="VZE1" s="224"/>
      <c r="VZF1" s="224"/>
      <c r="VZG1" s="224"/>
      <c r="VZH1" s="224"/>
      <c r="VZI1" s="224"/>
      <c r="VZJ1" s="224"/>
      <c r="VZK1" s="224"/>
      <c r="VZL1" s="224"/>
      <c r="VZM1" s="224"/>
      <c r="VZN1" s="224"/>
      <c r="VZO1" s="224"/>
      <c r="VZP1" s="224"/>
      <c r="VZQ1" s="224"/>
      <c r="VZR1" s="224"/>
      <c r="VZS1" s="224"/>
      <c r="VZT1" s="224"/>
      <c r="VZU1" s="224"/>
      <c r="VZV1" s="224"/>
      <c r="VZW1" s="224"/>
      <c r="VZX1" s="224"/>
      <c r="VZY1" s="224"/>
      <c r="VZZ1" s="224"/>
      <c r="WAA1" s="224"/>
      <c r="WAB1" s="224"/>
      <c r="WAC1" s="224"/>
      <c r="WAD1" s="224"/>
      <c r="WAE1" s="224"/>
      <c r="WAF1" s="224"/>
      <c r="WAG1" s="224"/>
      <c r="WAH1" s="224"/>
      <c r="WAI1" s="224"/>
      <c r="WAJ1" s="224"/>
      <c r="WAK1" s="224"/>
      <c r="WAL1" s="224"/>
      <c r="WAM1" s="224"/>
      <c r="WAN1" s="224"/>
      <c r="WAO1" s="224"/>
      <c r="WAP1" s="224"/>
      <c r="WAQ1" s="224"/>
      <c r="WAR1" s="224"/>
      <c r="WAS1" s="224"/>
      <c r="WAT1" s="224"/>
      <c r="WAU1" s="224"/>
      <c r="WAV1" s="224"/>
      <c r="WAW1" s="224"/>
      <c r="WAX1" s="224"/>
      <c r="WAY1" s="224"/>
      <c r="WAZ1" s="224"/>
      <c r="WBA1" s="224"/>
      <c r="WBB1" s="224"/>
      <c r="WBC1" s="224"/>
      <c r="WBD1" s="224"/>
      <c r="WBE1" s="224"/>
      <c r="WBF1" s="224"/>
      <c r="WBG1" s="224"/>
      <c r="WBH1" s="224"/>
      <c r="WBI1" s="224"/>
      <c r="WBJ1" s="224"/>
      <c r="WBK1" s="224"/>
      <c r="WBL1" s="224"/>
      <c r="WBM1" s="224"/>
      <c r="WBN1" s="224"/>
      <c r="WBO1" s="224"/>
      <c r="WBP1" s="224"/>
      <c r="WBQ1" s="224"/>
      <c r="WBR1" s="224"/>
      <c r="WBS1" s="224"/>
      <c r="WBT1" s="224"/>
      <c r="WBU1" s="224"/>
      <c r="WBV1" s="224"/>
      <c r="WBW1" s="224"/>
      <c r="WBX1" s="224"/>
      <c r="WBY1" s="224"/>
      <c r="WBZ1" s="224"/>
      <c r="WCA1" s="224"/>
      <c r="WCB1" s="224"/>
      <c r="WCC1" s="224"/>
      <c r="WCD1" s="224"/>
      <c r="WCE1" s="224"/>
      <c r="WCF1" s="224"/>
      <c r="WCG1" s="224"/>
      <c r="WCH1" s="224"/>
      <c r="WCI1" s="224"/>
      <c r="WCJ1" s="224"/>
      <c r="WCK1" s="224"/>
      <c r="WCL1" s="224"/>
      <c r="WCM1" s="224"/>
      <c r="WCN1" s="224"/>
      <c r="WCO1" s="224"/>
      <c r="WCP1" s="224"/>
      <c r="WCQ1" s="224"/>
      <c r="WCR1" s="224"/>
      <c r="WCS1" s="224"/>
      <c r="WCT1" s="224"/>
      <c r="WCU1" s="224"/>
      <c r="WCV1" s="224"/>
      <c r="WCW1" s="224"/>
      <c r="WCX1" s="224"/>
      <c r="WCY1" s="224"/>
      <c r="WCZ1" s="224"/>
      <c r="WDA1" s="224"/>
      <c r="WDB1" s="224"/>
      <c r="WDC1" s="224"/>
      <c r="WDD1" s="224"/>
      <c r="WDE1" s="224"/>
      <c r="WDF1" s="224"/>
      <c r="WDG1" s="224"/>
      <c r="WDH1" s="224"/>
      <c r="WDI1" s="224"/>
      <c r="WDJ1" s="224"/>
      <c r="WDK1" s="224"/>
      <c r="WDL1" s="224"/>
      <c r="WDM1" s="224"/>
      <c r="WDN1" s="224"/>
      <c r="WDO1" s="224"/>
      <c r="WDP1" s="224"/>
      <c r="WDQ1" s="224"/>
      <c r="WDR1" s="224"/>
      <c r="WDS1" s="224"/>
      <c r="WDT1" s="224"/>
      <c r="WDU1" s="224"/>
      <c r="WDV1" s="224"/>
      <c r="WDW1" s="224"/>
      <c r="WDX1" s="224"/>
      <c r="WDY1" s="224"/>
      <c r="WDZ1" s="224"/>
      <c r="WEA1" s="224"/>
      <c r="WEB1" s="224"/>
      <c r="WEC1" s="224"/>
      <c r="WED1" s="224"/>
      <c r="WEE1" s="224"/>
      <c r="WEF1" s="224"/>
      <c r="WEG1" s="224"/>
      <c r="WEH1" s="224"/>
      <c r="WEI1" s="224"/>
      <c r="WEJ1" s="224"/>
      <c r="WEK1" s="224"/>
      <c r="WEL1" s="224"/>
      <c r="WEM1" s="224"/>
      <c r="WEN1" s="224"/>
      <c r="WEO1" s="224"/>
      <c r="WEP1" s="224"/>
      <c r="WEQ1" s="224"/>
      <c r="WER1" s="224"/>
      <c r="WES1" s="224"/>
      <c r="WET1" s="224"/>
      <c r="WEU1" s="224"/>
      <c r="WEV1" s="224"/>
      <c r="WEW1" s="224"/>
      <c r="WEX1" s="224"/>
      <c r="WEY1" s="224"/>
      <c r="WEZ1" s="224"/>
      <c r="WFA1" s="224"/>
      <c r="WFB1" s="224"/>
      <c r="WFC1" s="224"/>
      <c r="WFD1" s="224"/>
      <c r="WFE1" s="224"/>
      <c r="WFF1" s="224"/>
      <c r="WFG1" s="224"/>
      <c r="WFH1" s="224"/>
      <c r="WFI1" s="224"/>
      <c r="WFJ1" s="224"/>
      <c r="WFK1" s="224"/>
      <c r="WFL1" s="224"/>
      <c r="WFM1" s="224"/>
      <c r="WFN1" s="224"/>
      <c r="WFO1" s="224"/>
      <c r="WFP1" s="224"/>
      <c r="WFQ1" s="224"/>
      <c r="WFR1" s="224"/>
      <c r="WFS1" s="224"/>
      <c r="WFT1" s="224"/>
      <c r="WFU1" s="224"/>
      <c r="WFV1" s="224"/>
      <c r="WFW1" s="224"/>
      <c r="WFX1" s="224"/>
      <c r="WFY1" s="224"/>
      <c r="WFZ1" s="224"/>
      <c r="WGA1" s="224"/>
      <c r="WGB1" s="224"/>
      <c r="WGC1" s="224"/>
      <c r="WGD1" s="224"/>
      <c r="WGE1" s="224"/>
      <c r="WGF1" s="224"/>
      <c r="WGG1" s="224"/>
      <c r="WGH1" s="224"/>
      <c r="WGI1" s="224"/>
      <c r="WGJ1" s="224"/>
      <c r="WGK1" s="224"/>
      <c r="WGL1" s="224"/>
      <c r="WGM1" s="224"/>
      <c r="WGN1" s="224"/>
      <c r="WGO1" s="224"/>
      <c r="WGP1" s="224"/>
      <c r="WGQ1" s="224"/>
      <c r="WGR1" s="224"/>
      <c r="WGS1" s="224"/>
      <c r="WGT1" s="224"/>
      <c r="WGU1" s="224"/>
      <c r="WGV1" s="224"/>
      <c r="WGW1" s="224"/>
      <c r="WGX1" s="224"/>
      <c r="WGY1" s="224"/>
      <c r="WGZ1" s="224"/>
      <c r="WHA1" s="224"/>
      <c r="WHB1" s="224"/>
      <c r="WHC1" s="224"/>
      <c r="WHD1" s="224"/>
      <c r="WHE1" s="224"/>
      <c r="WHF1" s="224"/>
      <c r="WHG1" s="224"/>
      <c r="WHH1" s="224"/>
      <c r="WHI1" s="224"/>
      <c r="WHJ1" s="224"/>
      <c r="WHK1" s="224"/>
      <c r="WHL1" s="224"/>
      <c r="WHM1" s="224"/>
      <c r="WHN1" s="224"/>
      <c r="WHO1" s="224"/>
      <c r="WHP1" s="224"/>
      <c r="WHQ1" s="224"/>
      <c r="WHR1" s="224"/>
      <c r="WHS1" s="224"/>
      <c r="WHT1" s="224"/>
      <c r="WHU1" s="224"/>
      <c r="WHV1" s="224"/>
      <c r="WHW1" s="224"/>
      <c r="WHX1" s="224"/>
      <c r="WHY1" s="224"/>
      <c r="WHZ1" s="224"/>
      <c r="WIA1" s="224"/>
      <c r="WIB1" s="224"/>
      <c r="WIC1" s="224"/>
      <c r="WID1" s="224"/>
      <c r="WIE1" s="224"/>
      <c r="WIF1" s="224"/>
      <c r="WIG1" s="224"/>
      <c r="WIH1" s="224"/>
      <c r="WII1" s="224"/>
      <c r="WIJ1" s="224"/>
      <c r="WIK1" s="224"/>
      <c r="WIL1" s="224"/>
      <c r="WIM1" s="224"/>
      <c r="WIN1" s="224"/>
      <c r="WIO1" s="224"/>
      <c r="WIP1" s="224"/>
      <c r="WIQ1" s="224"/>
      <c r="WIR1" s="224"/>
      <c r="WIS1" s="224"/>
      <c r="WIT1" s="224"/>
      <c r="WIU1" s="224"/>
      <c r="WIV1" s="224"/>
      <c r="WIW1" s="224"/>
      <c r="WIX1" s="224"/>
      <c r="WIY1" s="224"/>
      <c r="WIZ1" s="224"/>
      <c r="WJA1" s="224"/>
      <c r="WJB1" s="224"/>
      <c r="WJC1" s="224"/>
      <c r="WJD1" s="224"/>
      <c r="WJE1" s="224"/>
      <c r="WJF1" s="224"/>
      <c r="WJG1" s="224"/>
      <c r="WJH1" s="224"/>
      <c r="WJI1" s="224"/>
      <c r="WJJ1" s="224"/>
      <c r="WJK1" s="224"/>
      <c r="WJL1" s="224"/>
      <c r="WJM1" s="224"/>
      <c r="WJN1" s="224"/>
      <c r="WJO1" s="224"/>
      <c r="WJP1" s="224"/>
      <c r="WJQ1" s="224"/>
      <c r="WJR1" s="224"/>
      <c r="WJS1" s="224"/>
      <c r="WJT1" s="224"/>
      <c r="WJU1" s="224"/>
      <c r="WJV1" s="224"/>
      <c r="WJW1" s="224"/>
      <c r="WJX1" s="224"/>
      <c r="WJY1" s="224"/>
      <c r="WJZ1" s="224"/>
      <c r="WKA1" s="224"/>
      <c r="WKB1" s="224"/>
      <c r="WKC1" s="224"/>
      <c r="WKD1" s="224"/>
      <c r="WKE1" s="224"/>
      <c r="WKF1" s="224"/>
      <c r="WKG1" s="224"/>
      <c r="WKH1" s="224"/>
      <c r="WKI1" s="224"/>
      <c r="WKJ1" s="224"/>
      <c r="WKK1" s="224"/>
      <c r="WKL1" s="224"/>
      <c r="WKM1" s="224"/>
      <c r="WKN1" s="224"/>
      <c r="WKO1" s="224"/>
      <c r="WKP1" s="224"/>
      <c r="WKQ1" s="224"/>
      <c r="WKR1" s="224"/>
      <c r="WKS1" s="224"/>
      <c r="WKT1" s="224"/>
      <c r="WKU1" s="224"/>
      <c r="WKV1" s="224"/>
      <c r="WKW1" s="224"/>
      <c r="WKX1" s="224"/>
      <c r="WKY1" s="224"/>
      <c r="WKZ1" s="224"/>
      <c r="WLA1" s="224"/>
      <c r="WLB1" s="224"/>
      <c r="WLC1" s="224"/>
      <c r="WLD1" s="224"/>
      <c r="WLE1" s="224"/>
      <c r="WLF1" s="224"/>
      <c r="WLG1" s="224"/>
      <c r="WLH1" s="224"/>
      <c r="WLI1" s="224"/>
      <c r="WLJ1" s="224"/>
      <c r="WLK1" s="224"/>
      <c r="WLL1" s="224"/>
      <c r="WLM1" s="224"/>
      <c r="WLN1" s="224"/>
      <c r="WLO1" s="224"/>
      <c r="WLP1" s="224"/>
      <c r="WLQ1" s="224"/>
      <c r="WLR1" s="224"/>
      <c r="WLS1" s="224"/>
      <c r="WLT1" s="224"/>
      <c r="WLU1" s="224"/>
      <c r="WLV1" s="224"/>
      <c r="WLW1" s="224"/>
      <c r="WLX1" s="224"/>
      <c r="WLY1" s="224"/>
      <c r="WLZ1" s="224"/>
      <c r="WMA1" s="224"/>
      <c r="WMB1" s="224"/>
      <c r="WMC1" s="224"/>
      <c r="WMD1" s="224"/>
      <c r="WME1" s="224"/>
      <c r="WMF1" s="224"/>
      <c r="WMG1" s="224"/>
      <c r="WMH1" s="224"/>
      <c r="WMI1" s="224"/>
      <c r="WMJ1" s="224"/>
      <c r="WMK1" s="224"/>
      <c r="WML1" s="224"/>
      <c r="WMM1" s="224"/>
      <c r="WMN1" s="224"/>
      <c r="WMO1" s="224"/>
      <c r="WMP1" s="224"/>
      <c r="WMQ1" s="224"/>
      <c r="WMR1" s="224"/>
      <c r="WMS1" s="224"/>
      <c r="WMT1" s="224"/>
      <c r="WMU1" s="224"/>
      <c r="WMV1" s="224"/>
      <c r="WMW1" s="224"/>
      <c r="WMX1" s="224"/>
      <c r="WMY1" s="224"/>
      <c r="WMZ1" s="224"/>
      <c r="WNA1" s="224"/>
      <c r="WNB1" s="224"/>
      <c r="WNC1" s="224"/>
      <c r="WND1" s="224"/>
      <c r="WNE1" s="224"/>
      <c r="WNF1" s="224"/>
      <c r="WNG1" s="224"/>
      <c r="WNH1" s="224"/>
      <c r="WNI1" s="224"/>
      <c r="WNJ1" s="224"/>
      <c r="WNK1" s="224"/>
      <c r="WNL1" s="224"/>
      <c r="WNM1" s="224"/>
      <c r="WNN1" s="224"/>
      <c r="WNO1" s="224"/>
      <c r="WNP1" s="224"/>
      <c r="WNQ1" s="224"/>
      <c r="WNR1" s="224"/>
      <c r="WNS1" s="224"/>
      <c r="WNT1" s="224"/>
      <c r="WNU1" s="224"/>
      <c r="WNV1" s="224"/>
      <c r="WNW1" s="224"/>
      <c r="WNX1" s="224"/>
      <c r="WNY1" s="224"/>
      <c r="WNZ1" s="224"/>
      <c r="WOA1" s="224"/>
      <c r="WOB1" s="224"/>
      <c r="WOC1" s="224"/>
      <c r="WOD1" s="224"/>
      <c r="WOE1" s="224"/>
      <c r="WOF1" s="224"/>
      <c r="WOG1" s="224"/>
      <c r="WOH1" s="224"/>
      <c r="WOI1" s="224"/>
      <c r="WOJ1" s="224"/>
      <c r="WOK1" s="224"/>
      <c r="WOL1" s="224"/>
      <c r="WOM1" s="224"/>
      <c r="WON1" s="224"/>
      <c r="WOO1" s="224"/>
      <c r="WOP1" s="224"/>
      <c r="WOQ1" s="224"/>
      <c r="WOR1" s="224"/>
      <c r="WOS1" s="224"/>
      <c r="WOT1" s="224"/>
      <c r="WOU1" s="224"/>
      <c r="WOV1" s="224"/>
      <c r="WOW1" s="224"/>
      <c r="WOX1" s="224"/>
      <c r="WOY1" s="224"/>
      <c r="WOZ1" s="224"/>
      <c r="WPA1" s="224"/>
      <c r="WPB1" s="224"/>
      <c r="WPC1" s="224"/>
      <c r="WPD1" s="224"/>
      <c r="WPE1" s="224"/>
      <c r="WPF1" s="224"/>
      <c r="WPG1" s="224"/>
      <c r="WPH1" s="224"/>
      <c r="WPI1" s="224"/>
      <c r="WPJ1" s="224"/>
      <c r="WPK1" s="224"/>
      <c r="WPL1" s="224"/>
      <c r="WPM1" s="224"/>
      <c r="WPN1" s="224"/>
      <c r="WPO1" s="224"/>
      <c r="WPP1" s="224"/>
      <c r="WPQ1" s="224"/>
      <c r="WPR1" s="224"/>
      <c r="WPS1" s="224"/>
      <c r="WPT1" s="224"/>
      <c r="WPU1" s="224"/>
      <c r="WPV1" s="224"/>
      <c r="WPW1" s="224"/>
      <c r="WPX1" s="224"/>
      <c r="WPY1" s="224"/>
      <c r="WPZ1" s="224"/>
      <c r="WQA1" s="224"/>
      <c r="WQB1" s="224"/>
      <c r="WQC1" s="224"/>
      <c r="WQD1" s="224"/>
      <c r="WQE1" s="224"/>
      <c r="WQF1" s="224"/>
      <c r="WQG1" s="224"/>
      <c r="WQH1" s="224"/>
      <c r="WQI1" s="224"/>
      <c r="WQJ1" s="224"/>
      <c r="WQK1" s="224"/>
      <c r="WQL1" s="224"/>
      <c r="WQM1" s="224"/>
      <c r="WQN1" s="224"/>
      <c r="WQO1" s="224"/>
      <c r="WQP1" s="224"/>
      <c r="WQQ1" s="224"/>
      <c r="WQR1" s="224"/>
      <c r="WQS1" s="224"/>
      <c r="WQT1" s="224"/>
      <c r="WQU1" s="224"/>
      <c r="WQV1" s="224"/>
      <c r="WQW1" s="224"/>
      <c r="WQX1" s="224"/>
      <c r="WQY1" s="224"/>
      <c r="WQZ1" s="224"/>
      <c r="WRA1" s="224"/>
      <c r="WRB1" s="224"/>
      <c r="WRC1" s="224"/>
      <c r="WRD1" s="224"/>
      <c r="WRE1" s="224"/>
      <c r="WRF1" s="224"/>
      <c r="WRG1" s="224"/>
      <c r="WRH1" s="224"/>
      <c r="WRI1" s="224"/>
      <c r="WRJ1" s="224"/>
      <c r="WRK1" s="224"/>
      <c r="WRL1" s="224"/>
      <c r="WRM1" s="224"/>
      <c r="WRN1" s="224"/>
      <c r="WRO1" s="224"/>
      <c r="WRP1" s="224"/>
      <c r="WRQ1" s="224"/>
      <c r="WRR1" s="224"/>
      <c r="WRS1" s="224"/>
      <c r="WRT1" s="224"/>
      <c r="WRU1" s="224"/>
      <c r="WRV1" s="224"/>
      <c r="WRW1" s="224"/>
      <c r="WRX1" s="224"/>
      <c r="WRY1" s="224"/>
      <c r="WRZ1" s="224"/>
      <c r="WSA1" s="224"/>
      <c r="WSB1" s="224"/>
      <c r="WSC1" s="224"/>
      <c r="WSD1" s="224"/>
      <c r="WSE1" s="224"/>
      <c r="WSF1" s="224"/>
      <c r="WSG1" s="224"/>
      <c r="WSH1" s="224"/>
      <c r="WSI1" s="224"/>
      <c r="WSJ1" s="224"/>
      <c r="WSK1" s="224"/>
      <c r="WSL1" s="224"/>
      <c r="WSM1" s="224"/>
      <c r="WSN1" s="224"/>
      <c r="WSO1" s="224"/>
      <c r="WSP1" s="224"/>
      <c r="WSQ1" s="224"/>
      <c r="WSR1" s="224"/>
      <c r="WSS1" s="224"/>
      <c r="WST1" s="224"/>
      <c r="WSU1" s="224"/>
      <c r="WSV1" s="224"/>
      <c r="WSW1" s="224"/>
      <c r="WSX1" s="224"/>
      <c r="WSY1" s="224"/>
      <c r="WSZ1" s="224"/>
      <c r="WTA1" s="224"/>
      <c r="WTB1" s="224"/>
      <c r="WTC1" s="224"/>
      <c r="WTD1" s="224"/>
      <c r="WTE1" s="224"/>
      <c r="WTF1" s="224"/>
      <c r="WTG1" s="224"/>
      <c r="WTH1" s="224"/>
      <c r="WTI1" s="224"/>
      <c r="WTJ1" s="224"/>
      <c r="WTK1" s="224"/>
      <c r="WTL1" s="224"/>
      <c r="WTM1" s="224"/>
      <c r="WTN1" s="224"/>
      <c r="WTO1" s="224"/>
      <c r="WTP1" s="224"/>
      <c r="WTQ1" s="224"/>
      <c r="WTR1" s="224"/>
      <c r="WTS1" s="224"/>
      <c r="WTT1" s="224"/>
      <c r="WTU1" s="224"/>
      <c r="WTV1" s="224"/>
      <c r="WTW1" s="224"/>
      <c r="WTX1" s="224"/>
      <c r="WTY1" s="224"/>
      <c r="WTZ1" s="224"/>
      <c r="WUA1" s="224"/>
      <c r="WUB1" s="224"/>
      <c r="WUC1" s="224"/>
      <c r="WUD1" s="224"/>
      <c r="WUE1" s="224"/>
      <c r="WUF1" s="224"/>
      <c r="WUG1" s="224"/>
      <c r="WUH1" s="224"/>
      <c r="WUI1" s="224"/>
      <c r="WUJ1" s="224"/>
      <c r="WUK1" s="224"/>
      <c r="WUL1" s="224"/>
      <c r="WUM1" s="224"/>
      <c r="WUN1" s="224"/>
      <c r="WUO1" s="224"/>
      <c r="WUP1" s="224"/>
      <c r="WUQ1" s="224"/>
      <c r="WUR1" s="224"/>
      <c r="WUS1" s="224"/>
      <c r="WUT1" s="224"/>
      <c r="WUU1" s="224"/>
      <c r="WUV1" s="224"/>
      <c r="WUW1" s="224"/>
      <c r="WUX1" s="224"/>
      <c r="WUY1" s="224"/>
      <c r="WUZ1" s="224"/>
      <c r="WVA1" s="224"/>
      <c r="WVB1" s="224"/>
      <c r="WVC1" s="224"/>
      <c r="WVD1" s="224"/>
      <c r="WVE1" s="224"/>
      <c r="WVF1" s="224"/>
      <c r="WVG1" s="224"/>
      <c r="WVH1" s="224"/>
      <c r="WVI1" s="224"/>
      <c r="WVJ1" s="224"/>
      <c r="WVK1" s="224"/>
      <c r="WVL1" s="224"/>
      <c r="WVM1" s="224"/>
      <c r="WVN1" s="224"/>
      <c r="WVO1" s="224"/>
      <c r="WVP1" s="224"/>
      <c r="WVQ1" s="224"/>
      <c r="WVR1" s="224"/>
      <c r="WVS1" s="224"/>
      <c r="WVT1" s="224"/>
      <c r="WVU1" s="224"/>
      <c r="WVV1" s="224"/>
      <c r="WVW1" s="224"/>
      <c r="WVX1" s="224"/>
      <c r="WVY1" s="224"/>
      <c r="WVZ1" s="224"/>
      <c r="WWA1" s="224"/>
      <c r="WWB1" s="224"/>
      <c r="WWC1" s="224"/>
      <c r="WWD1" s="224"/>
      <c r="WWE1" s="224"/>
      <c r="WWF1" s="224"/>
      <c r="WWG1" s="224"/>
      <c r="WWH1" s="224"/>
      <c r="WWI1" s="224"/>
      <c r="WWJ1" s="224"/>
      <c r="WWK1" s="224"/>
      <c r="WWL1" s="224"/>
      <c r="WWM1" s="224"/>
      <c r="WWN1" s="224"/>
      <c r="WWO1" s="224"/>
      <c r="WWP1" s="224"/>
      <c r="WWQ1" s="224"/>
      <c r="WWR1" s="224"/>
      <c r="WWS1" s="224"/>
      <c r="WWT1" s="224"/>
      <c r="WWU1" s="224"/>
      <c r="WWV1" s="224"/>
      <c r="WWW1" s="224"/>
      <c r="WWX1" s="224"/>
      <c r="WWY1" s="224"/>
      <c r="WWZ1" s="224"/>
      <c r="WXA1" s="224"/>
      <c r="WXB1" s="224"/>
      <c r="WXC1" s="224"/>
      <c r="WXD1" s="224"/>
      <c r="WXE1" s="224"/>
      <c r="WXF1" s="224"/>
      <c r="WXG1" s="224"/>
      <c r="WXH1" s="224"/>
      <c r="WXI1" s="224"/>
      <c r="WXJ1" s="224"/>
      <c r="WXK1" s="224"/>
      <c r="WXL1" s="224"/>
      <c r="WXM1" s="224"/>
      <c r="WXN1" s="224"/>
      <c r="WXO1" s="224"/>
      <c r="WXP1" s="224"/>
      <c r="WXQ1" s="224"/>
      <c r="WXR1" s="224"/>
      <c r="WXS1" s="224"/>
      <c r="WXT1" s="224"/>
      <c r="WXU1" s="224"/>
      <c r="WXV1" s="224"/>
      <c r="WXW1" s="224"/>
      <c r="WXX1" s="224"/>
      <c r="WXY1" s="224"/>
      <c r="WXZ1" s="224"/>
      <c r="WYA1" s="224"/>
      <c r="WYB1" s="224"/>
      <c r="WYC1" s="224"/>
      <c r="WYD1" s="224"/>
      <c r="WYE1" s="224"/>
      <c r="WYF1" s="224"/>
      <c r="WYG1" s="224"/>
      <c r="WYH1" s="224"/>
      <c r="WYI1" s="224"/>
      <c r="WYJ1" s="224"/>
      <c r="WYK1" s="224"/>
      <c r="WYL1" s="224"/>
      <c r="WYM1" s="224"/>
      <c r="WYN1" s="224"/>
      <c r="WYO1" s="224"/>
      <c r="WYP1" s="224"/>
      <c r="WYQ1" s="224"/>
      <c r="WYR1" s="224"/>
      <c r="WYS1" s="224"/>
      <c r="WYT1" s="224"/>
      <c r="WYU1" s="224"/>
      <c r="WYV1" s="224"/>
      <c r="WYW1" s="224"/>
      <c r="WYX1" s="224"/>
      <c r="WYY1" s="224"/>
      <c r="WYZ1" s="224"/>
      <c r="WZA1" s="224"/>
      <c r="WZB1" s="224"/>
      <c r="WZC1" s="224"/>
      <c r="WZD1" s="224"/>
      <c r="WZE1" s="224"/>
      <c r="WZF1" s="224"/>
      <c r="WZG1" s="224"/>
      <c r="WZH1" s="224"/>
      <c r="WZI1" s="224"/>
      <c r="WZJ1" s="224"/>
      <c r="WZK1" s="224"/>
      <c r="WZL1" s="224"/>
      <c r="WZM1" s="224"/>
      <c r="WZN1" s="224"/>
      <c r="WZO1" s="224"/>
      <c r="WZP1" s="224"/>
      <c r="WZQ1" s="224"/>
      <c r="WZR1" s="224"/>
      <c r="WZS1" s="224"/>
      <c r="WZT1" s="224"/>
      <c r="WZU1" s="224"/>
      <c r="WZV1" s="224"/>
      <c r="WZW1" s="224"/>
      <c r="WZX1" s="224"/>
      <c r="WZY1" s="224"/>
      <c r="WZZ1" s="224"/>
      <c r="XAA1" s="224"/>
      <c r="XAB1" s="224"/>
      <c r="XAC1" s="224"/>
      <c r="XAD1" s="224"/>
      <c r="XAE1" s="224"/>
      <c r="XAF1" s="224"/>
      <c r="XAG1" s="224"/>
      <c r="XAH1" s="224"/>
      <c r="XAI1" s="224"/>
      <c r="XAJ1" s="224"/>
      <c r="XAK1" s="224"/>
      <c r="XAL1" s="224"/>
      <c r="XAM1" s="224"/>
      <c r="XAN1" s="224"/>
      <c r="XAO1" s="224"/>
      <c r="XAP1" s="224"/>
      <c r="XAQ1" s="224"/>
      <c r="XAR1" s="224"/>
      <c r="XAS1" s="224"/>
      <c r="XAT1" s="224"/>
      <c r="XAU1" s="224"/>
      <c r="XAV1" s="224"/>
      <c r="XAW1" s="224"/>
      <c r="XAX1" s="224"/>
      <c r="XAY1" s="224"/>
      <c r="XAZ1" s="224"/>
      <c r="XBA1" s="224"/>
      <c r="XBB1" s="224"/>
      <c r="XBC1" s="224"/>
      <c r="XBD1" s="224"/>
      <c r="XBE1" s="224"/>
      <c r="XBF1" s="224"/>
      <c r="XBG1" s="224"/>
      <c r="XBH1" s="224"/>
      <c r="XBI1" s="224"/>
      <c r="XBJ1" s="224"/>
      <c r="XBK1" s="224"/>
      <c r="XBL1" s="224"/>
      <c r="XBM1" s="224"/>
      <c r="XBN1" s="224"/>
      <c r="XBO1" s="224"/>
      <c r="XBP1" s="224"/>
      <c r="XBQ1" s="224"/>
      <c r="XBR1" s="224"/>
      <c r="XBS1" s="224"/>
      <c r="XBT1" s="224"/>
      <c r="XBU1" s="224"/>
      <c r="XBV1" s="224"/>
      <c r="XBW1" s="224"/>
      <c r="XBX1" s="224"/>
      <c r="XBY1" s="224"/>
      <c r="XBZ1" s="224"/>
      <c r="XCA1" s="224"/>
      <c r="XCB1" s="224"/>
      <c r="XCC1" s="224"/>
      <c r="XCD1" s="224"/>
      <c r="XCE1" s="224"/>
      <c r="XCF1" s="224"/>
      <c r="XCG1" s="224"/>
      <c r="XCH1" s="224"/>
      <c r="XCI1" s="224"/>
      <c r="XCJ1" s="224"/>
      <c r="XCK1" s="224"/>
      <c r="XCL1" s="224"/>
      <c r="XCM1" s="224"/>
      <c r="XCN1" s="224"/>
      <c r="XCO1" s="224"/>
      <c r="XCP1" s="224"/>
      <c r="XCQ1" s="224"/>
      <c r="XCR1" s="224"/>
      <c r="XCS1" s="224"/>
      <c r="XCT1" s="224"/>
      <c r="XCU1" s="224"/>
      <c r="XCV1" s="224"/>
      <c r="XCW1" s="224"/>
      <c r="XCX1" s="224"/>
      <c r="XCY1" s="224"/>
      <c r="XCZ1" s="224"/>
      <c r="XDA1" s="224"/>
      <c r="XDB1" s="224"/>
      <c r="XDC1" s="224"/>
      <c r="XDD1" s="224"/>
      <c r="XDE1" s="224"/>
      <c r="XDF1" s="224"/>
      <c r="XDG1" s="224"/>
      <c r="XDH1" s="224"/>
      <c r="XDI1" s="224"/>
      <c r="XDJ1" s="224"/>
      <c r="XDK1" s="224"/>
      <c r="XDL1" s="224"/>
      <c r="XDM1" s="224"/>
      <c r="XDN1" s="224"/>
      <c r="XDO1" s="224"/>
      <c r="XDP1" s="224"/>
      <c r="XDQ1" s="224"/>
      <c r="XDR1" s="224"/>
      <c r="XDS1" s="224"/>
      <c r="XDT1" s="224"/>
      <c r="XDU1" s="224"/>
      <c r="XDV1" s="224"/>
      <c r="XDW1" s="224"/>
      <c r="XDX1" s="224"/>
      <c r="XDY1" s="224"/>
      <c r="XDZ1" s="224"/>
      <c r="XEA1" s="224"/>
      <c r="XEB1" s="224"/>
      <c r="XEC1" s="224"/>
      <c r="XED1" s="224"/>
      <c r="XEE1" s="224"/>
      <c r="XEF1" s="224"/>
      <c r="XEG1" s="224"/>
      <c r="XEH1" s="224"/>
      <c r="XEI1" s="224"/>
      <c r="XEJ1" s="224"/>
      <c r="XEK1" s="224"/>
      <c r="XEL1" s="224"/>
      <c r="XEM1" s="224"/>
      <c r="XEN1" s="224"/>
    </row>
    <row r="2" spans="1:16368" s="299" customFormat="1" ht="99.95" customHeight="1" x14ac:dyDescent="0.2">
      <c r="R2" s="403"/>
      <c r="S2" s="403"/>
      <c r="T2" s="403"/>
      <c r="U2" s="403"/>
      <c r="V2" s="403"/>
      <c r="W2" s="403"/>
      <c r="X2" s="403"/>
      <c r="Y2" s="403"/>
      <c r="Z2" s="403"/>
      <c r="AA2" s="403"/>
      <c r="AB2" s="403"/>
      <c r="AC2" s="403"/>
      <c r="AD2" s="403"/>
      <c r="AE2" s="403"/>
      <c r="AF2" s="403"/>
      <c r="AG2" s="403"/>
      <c r="AH2" s="403"/>
      <c r="AI2" s="403"/>
      <c r="AJ2" s="403"/>
      <c r="AK2" s="403"/>
      <c r="AL2" s="403"/>
      <c r="AM2" s="403"/>
      <c r="AN2" s="403"/>
      <c r="AO2" s="403"/>
      <c r="AP2" s="403"/>
      <c r="AQ2" s="403"/>
      <c r="AR2" s="403"/>
      <c r="AS2" s="403"/>
      <c r="AT2" s="403"/>
      <c r="AU2" s="403"/>
      <c r="AV2" s="403"/>
      <c r="AW2" s="403"/>
      <c r="AX2" s="403"/>
      <c r="AY2" s="403"/>
      <c r="AZ2" s="403"/>
      <c r="BA2" s="403"/>
      <c r="BB2" s="403"/>
      <c r="BC2" s="403"/>
      <c r="BD2" s="403"/>
      <c r="BE2" s="403"/>
      <c r="BF2" s="403"/>
      <c r="BG2" s="403"/>
      <c r="BH2" s="403"/>
      <c r="BI2" s="403"/>
      <c r="BJ2" s="403"/>
      <c r="BK2" s="403"/>
      <c r="BL2" s="403"/>
      <c r="BM2" s="403"/>
      <c r="BN2" s="403"/>
      <c r="BO2" s="403"/>
      <c r="BP2" s="403"/>
      <c r="BQ2" s="403"/>
      <c r="BR2" s="403"/>
      <c r="BS2" s="403"/>
      <c r="BT2" s="403"/>
      <c r="BU2" s="403"/>
      <c r="BV2" s="403"/>
      <c r="BW2" s="403"/>
      <c r="BX2" s="403"/>
      <c r="BY2" s="403"/>
      <c r="BZ2" s="403"/>
      <c r="CA2" s="403"/>
      <c r="CB2" s="403"/>
      <c r="CC2" s="403"/>
      <c r="CD2" s="403"/>
      <c r="CE2" s="403"/>
      <c r="CF2" s="403"/>
      <c r="CG2" s="403"/>
      <c r="CH2" s="403"/>
      <c r="CI2" s="403"/>
      <c r="CJ2" s="403"/>
      <c r="CK2" s="403"/>
      <c r="CL2" s="403"/>
      <c r="CM2" s="403"/>
      <c r="CN2" s="403"/>
      <c r="CO2" s="403"/>
      <c r="CP2" s="403"/>
      <c r="CQ2" s="403"/>
      <c r="CR2" s="403"/>
      <c r="CS2" s="403"/>
      <c r="CT2" s="403"/>
      <c r="CU2" s="403"/>
      <c r="CV2" s="403"/>
      <c r="CW2" s="403"/>
      <c r="CX2" s="403"/>
      <c r="CY2" s="403"/>
      <c r="CZ2" s="403"/>
      <c r="DA2" s="403"/>
      <c r="DB2" s="403"/>
      <c r="DC2" s="403"/>
      <c r="DD2" s="403"/>
      <c r="DE2" s="403"/>
      <c r="DF2" s="403"/>
      <c r="DG2" s="403"/>
      <c r="DH2" s="403"/>
      <c r="DI2" s="403"/>
      <c r="DJ2" s="403"/>
      <c r="DK2" s="403"/>
      <c r="DL2" s="403"/>
      <c r="DM2" s="403"/>
      <c r="DN2" s="403"/>
      <c r="DO2" s="403"/>
      <c r="DP2" s="403"/>
      <c r="DQ2" s="403"/>
      <c r="DR2" s="403"/>
      <c r="DS2" s="403"/>
      <c r="DT2" s="403"/>
      <c r="DU2" s="403"/>
      <c r="DV2" s="403"/>
      <c r="DW2" s="403"/>
      <c r="DX2" s="403"/>
      <c r="DY2" s="403"/>
      <c r="DZ2" s="403"/>
      <c r="EA2" s="403"/>
      <c r="EB2" s="403"/>
      <c r="EC2" s="403"/>
      <c r="ED2" s="403"/>
      <c r="EE2" s="403"/>
      <c r="EF2" s="403"/>
      <c r="EG2" s="403"/>
      <c r="EH2" s="403"/>
      <c r="EI2" s="403"/>
      <c r="EJ2" s="403"/>
      <c r="EK2" s="403"/>
      <c r="EL2" s="403"/>
      <c r="EM2" s="403"/>
      <c r="EN2" s="403"/>
      <c r="EO2" s="403"/>
      <c r="EP2" s="403"/>
      <c r="EQ2" s="403"/>
      <c r="ER2" s="403"/>
      <c r="ES2" s="403"/>
      <c r="ET2" s="403"/>
    </row>
    <row r="3" spans="1:16368" s="27" customFormat="1" ht="19.5" x14ac:dyDescent="0.3">
      <c r="A3" s="27" t="str">
        <f ca="1">IF(OFFSET(S3,0,Lang_Order*Lang__B4)="","",OFFSET(S3,0,Lang_Order*Lang__B4))</f>
        <v>B4. Domestic Logistics - Cold Chain and Security</v>
      </c>
      <c r="J3" s="322" t="e">
        <f t="shared" ref="J3:O3" si="0">SUM(J5,J415)</f>
        <v>#N/A</v>
      </c>
      <c r="K3" s="322" t="e">
        <f t="shared" si="0"/>
        <v>#N/A</v>
      </c>
      <c r="L3" s="322" t="e">
        <f t="shared" si="0"/>
        <v>#N/A</v>
      </c>
      <c r="M3" s="322" t="e">
        <f t="shared" si="0"/>
        <v>#N/A</v>
      </c>
      <c r="N3" s="322" t="e">
        <f t="shared" si="0"/>
        <v>#N/A</v>
      </c>
      <c r="O3" s="322" t="e">
        <f t="shared" si="0"/>
        <v>#N/A</v>
      </c>
      <c r="P3" s="322" t="e">
        <f>SUM(J3:O3)</f>
        <v>#N/A</v>
      </c>
      <c r="R3" s="403"/>
      <c r="S3" s="403" t="s">
        <v>3740</v>
      </c>
      <c r="T3" s="403"/>
      <c r="U3" s="403"/>
      <c r="V3" s="403"/>
      <c r="W3" s="403"/>
      <c r="X3" s="403"/>
      <c r="Y3" s="403"/>
      <c r="Z3" s="403"/>
      <c r="AA3" s="403"/>
      <c r="AB3" s="403"/>
      <c r="AC3" s="403"/>
      <c r="AD3" s="403"/>
      <c r="AE3" s="403"/>
      <c r="AF3" s="403"/>
      <c r="AG3" s="403"/>
      <c r="AH3" s="403"/>
      <c r="AI3" s="403"/>
      <c r="AJ3" s="403"/>
      <c r="AK3" s="403"/>
      <c r="AL3" s="403" t="s">
        <v>10443</v>
      </c>
      <c r="AM3" s="403"/>
      <c r="AN3" s="403"/>
      <c r="AO3" s="403"/>
      <c r="AP3" s="403"/>
      <c r="AQ3" s="403"/>
      <c r="AR3" s="403"/>
      <c r="AS3" s="403"/>
      <c r="AT3" s="403"/>
      <c r="AU3" s="403"/>
      <c r="AV3" s="403"/>
      <c r="AW3" s="403"/>
      <c r="AX3" s="403"/>
      <c r="AY3" s="403"/>
      <c r="AZ3" s="403"/>
      <c r="BA3" s="403"/>
      <c r="BB3" s="403"/>
      <c r="BC3" s="403"/>
      <c r="BD3" s="403"/>
      <c r="BE3" s="403" t="s">
        <v>10444</v>
      </c>
      <c r="BF3" s="403"/>
      <c r="BG3" s="403"/>
      <c r="BH3" s="403"/>
      <c r="BI3" s="403"/>
      <c r="BJ3" s="403"/>
      <c r="BK3" s="403"/>
      <c r="BL3" s="403"/>
      <c r="BM3" s="403"/>
      <c r="BN3" s="403"/>
      <c r="BO3" s="403"/>
      <c r="BP3" s="403"/>
      <c r="BQ3" s="403"/>
      <c r="BR3" s="403"/>
      <c r="BS3" s="403"/>
      <c r="BT3" s="403"/>
      <c r="BU3" s="403"/>
      <c r="BV3" s="403"/>
      <c r="BW3" s="403"/>
      <c r="BX3" s="403" t="s">
        <v>10445</v>
      </c>
      <c r="BY3" s="403"/>
      <c r="BZ3" s="403"/>
      <c r="CA3" s="403"/>
      <c r="CB3" s="403"/>
      <c r="CC3" s="403"/>
      <c r="CD3" s="403"/>
      <c r="CE3" s="403"/>
      <c r="CF3" s="403"/>
      <c r="CG3" s="403"/>
      <c r="CH3" s="403"/>
      <c r="CI3" s="403"/>
      <c r="CJ3" s="403"/>
      <c r="CK3" s="403"/>
      <c r="CL3" s="403"/>
      <c r="CM3" s="403"/>
      <c r="CN3" s="403"/>
      <c r="CO3" s="403"/>
      <c r="CP3" s="403"/>
      <c r="CQ3" s="403" t="s">
        <v>10446</v>
      </c>
      <c r="CR3" s="403"/>
      <c r="CS3" s="403"/>
      <c r="CT3" s="403"/>
      <c r="CU3" s="403"/>
      <c r="CV3" s="403"/>
      <c r="CW3" s="403"/>
      <c r="CX3" s="403"/>
      <c r="CY3" s="403"/>
      <c r="CZ3" s="403"/>
      <c r="DA3" s="403"/>
      <c r="DB3" s="403"/>
      <c r="DC3" s="403"/>
      <c r="DD3" s="403"/>
      <c r="DE3" s="403"/>
      <c r="DF3" s="403"/>
      <c r="DG3" s="403"/>
      <c r="DH3" s="403"/>
      <c r="DI3" s="403"/>
      <c r="DJ3" s="403" t="s">
        <v>10447</v>
      </c>
      <c r="DK3" s="403"/>
      <c r="DL3" s="403"/>
      <c r="DM3" s="403"/>
      <c r="DN3" s="403"/>
      <c r="DO3" s="403"/>
      <c r="DP3" s="403"/>
      <c r="DQ3" s="403"/>
      <c r="DR3" s="403"/>
      <c r="DS3" s="403"/>
      <c r="DT3" s="403"/>
      <c r="DU3" s="403"/>
      <c r="DV3" s="403"/>
      <c r="DW3" s="403"/>
      <c r="DX3" s="403"/>
      <c r="DY3" s="403"/>
      <c r="DZ3" s="403"/>
      <c r="EA3" s="403"/>
      <c r="EB3" s="403"/>
      <c r="EC3" s="403" t="s">
        <v>10448</v>
      </c>
      <c r="ED3" s="403"/>
      <c r="EE3" s="403"/>
      <c r="EF3" s="403"/>
      <c r="EG3" s="403"/>
      <c r="EH3" s="403"/>
      <c r="EI3" s="403"/>
      <c r="EJ3" s="403"/>
      <c r="EK3" s="403"/>
      <c r="EL3" s="403"/>
      <c r="EM3" s="403"/>
      <c r="EN3" s="403"/>
      <c r="EO3" s="403"/>
      <c r="EP3" s="403"/>
      <c r="EQ3" s="403"/>
      <c r="ER3" s="403"/>
      <c r="ES3" s="403"/>
      <c r="ET3" s="403"/>
    </row>
    <row r="4" spans="1:16368" x14ac:dyDescent="0.2">
      <c r="A4" s="34" t="str">
        <f ca="1">IF(OFFSET(S4,0,Lang_Order*Lang__B4)="","",OFFSET(S4,0,Lang_Order*Lang__B4))</f>
        <v/>
      </c>
      <c r="C4" s="81" t="str">
        <f ca="1">IF(OFFSET(U4,0,Lang_Order*Lang__B4)="","",OFFSET(U4,0,Lang_Order*Lang__B4))</f>
        <v>ADVANCED USERS: Cold chain parameters can be adjusted here.</v>
      </c>
      <c r="D4" s="299"/>
      <c r="E4" s="299"/>
      <c r="F4" s="299"/>
      <c r="G4" s="299"/>
      <c r="H4" s="299"/>
      <c r="I4" s="299"/>
      <c r="J4" s="299"/>
      <c r="K4" s="299"/>
      <c r="L4" s="299"/>
      <c r="M4" s="299"/>
      <c r="N4" s="299"/>
      <c r="O4" s="299"/>
      <c r="P4" s="299"/>
      <c r="Q4" s="299"/>
      <c r="U4" s="403" t="s">
        <v>4182</v>
      </c>
      <c r="AN4" s="403" t="s">
        <v>10449</v>
      </c>
      <c r="BG4" s="403" t="s">
        <v>10450</v>
      </c>
      <c r="BZ4" s="403" t="s">
        <v>10451</v>
      </c>
      <c r="CS4" s="403" t="s">
        <v>10452</v>
      </c>
      <c r="DL4" s="403" t="s">
        <v>10453</v>
      </c>
      <c r="EE4" s="403" t="s">
        <v>10454</v>
      </c>
    </row>
    <row r="5" spans="1:16368" s="17" customFormat="1" ht="17.25" x14ac:dyDescent="0.3">
      <c r="A5" s="623" t="str">
        <f ca="1">IF(OFFSET(S5,0,Lang_Order*Lang__B4)="","",OFFSET(S5,0,Lang_Order*Lang__B4))</f>
        <v>B4.1 Cold Chain</v>
      </c>
      <c r="J5" s="316" t="e">
        <f t="shared" ref="J5:O5" si="1">SUM(J90,J141,J191,J263,J364)</f>
        <v>#N/A</v>
      </c>
      <c r="K5" s="316" t="e">
        <f t="shared" si="1"/>
        <v>#N/A</v>
      </c>
      <c r="L5" s="316" t="e">
        <f t="shared" si="1"/>
        <v>#N/A</v>
      </c>
      <c r="M5" s="316" t="e">
        <f t="shared" si="1"/>
        <v>#N/A</v>
      </c>
      <c r="N5" s="316" t="e">
        <f t="shared" si="1"/>
        <v>#N/A</v>
      </c>
      <c r="O5" s="316" t="e">
        <f t="shared" si="1"/>
        <v>#N/A</v>
      </c>
      <c r="P5" s="316" t="e">
        <f>SUM(J5:O5)</f>
        <v>#N/A</v>
      </c>
      <c r="R5" s="403"/>
      <c r="S5" s="403" t="s">
        <v>3193</v>
      </c>
      <c r="T5" s="403"/>
      <c r="U5" s="403"/>
      <c r="V5" s="403"/>
      <c r="W5" s="403"/>
      <c r="X5" s="403"/>
      <c r="Y5" s="403"/>
      <c r="Z5" s="403"/>
      <c r="AA5" s="403"/>
      <c r="AB5" s="403"/>
      <c r="AC5" s="403"/>
      <c r="AD5" s="403"/>
      <c r="AE5" s="403"/>
      <c r="AF5" s="403"/>
      <c r="AG5" s="403"/>
      <c r="AH5" s="403"/>
      <c r="AI5" s="403"/>
      <c r="AJ5" s="403"/>
      <c r="AK5" s="403"/>
      <c r="AL5" s="403" t="s">
        <v>10455</v>
      </c>
      <c r="AM5" s="403"/>
      <c r="AN5" s="403"/>
      <c r="AO5" s="403"/>
      <c r="AP5" s="403"/>
      <c r="AQ5" s="403"/>
      <c r="AR5" s="403"/>
      <c r="AS5" s="403"/>
      <c r="AT5" s="403"/>
      <c r="AU5" s="403"/>
      <c r="AV5" s="403"/>
      <c r="AW5" s="403"/>
      <c r="AX5" s="403"/>
      <c r="AY5" s="403"/>
      <c r="AZ5" s="403"/>
      <c r="BA5" s="403"/>
      <c r="BB5" s="403"/>
      <c r="BC5" s="403"/>
      <c r="BD5" s="403"/>
      <c r="BE5" s="403" t="s">
        <v>10456</v>
      </c>
      <c r="BF5" s="403"/>
      <c r="BG5" s="403"/>
      <c r="BH5" s="403"/>
      <c r="BI5" s="403"/>
      <c r="BJ5" s="403"/>
      <c r="BK5" s="403"/>
      <c r="BL5" s="403"/>
      <c r="BM5" s="403"/>
      <c r="BN5" s="403"/>
      <c r="BO5" s="403"/>
      <c r="BP5" s="403"/>
      <c r="BQ5" s="403"/>
      <c r="BR5" s="403"/>
      <c r="BS5" s="403"/>
      <c r="BT5" s="403"/>
      <c r="BU5" s="403"/>
      <c r="BV5" s="403"/>
      <c r="BW5" s="403"/>
      <c r="BX5" s="403" t="s">
        <v>10457</v>
      </c>
      <c r="BY5" s="403"/>
      <c r="BZ5" s="403"/>
      <c r="CA5" s="403"/>
      <c r="CB5" s="403"/>
      <c r="CC5" s="403"/>
      <c r="CD5" s="403"/>
      <c r="CE5" s="403"/>
      <c r="CF5" s="403"/>
      <c r="CG5" s="403"/>
      <c r="CH5" s="403"/>
      <c r="CI5" s="403"/>
      <c r="CJ5" s="403"/>
      <c r="CK5" s="403"/>
      <c r="CL5" s="403"/>
      <c r="CM5" s="403"/>
      <c r="CN5" s="403"/>
      <c r="CO5" s="403"/>
      <c r="CP5" s="403"/>
      <c r="CQ5" s="403" t="s">
        <v>10458</v>
      </c>
      <c r="CR5" s="403"/>
      <c r="CS5" s="403"/>
      <c r="CT5" s="403"/>
      <c r="CU5" s="403"/>
      <c r="CV5" s="403"/>
      <c r="CW5" s="403"/>
      <c r="CX5" s="403"/>
      <c r="CY5" s="403"/>
      <c r="CZ5" s="403"/>
      <c r="DA5" s="403"/>
      <c r="DB5" s="403"/>
      <c r="DC5" s="403"/>
      <c r="DD5" s="403"/>
      <c r="DE5" s="403"/>
      <c r="DF5" s="403"/>
      <c r="DG5" s="403"/>
      <c r="DH5" s="403"/>
      <c r="DI5" s="403"/>
      <c r="DJ5" s="403" t="s">
        <v>10459</v>
      </c>
      <c r="DK5" s="403"/>
      <c r="DL5" s="403"/>
      <c r="DM5" s="403"/>
      <c r="DN5" s="403"/>
      <c r="DO5" s="403"/>
      <c r="DP5" s="403"/>
      <c r="DQ5" s="403"/>
      <c r="DR5" s="403"/>
      <c r="DS5" s="403"/>
      <c r="DT5" s="403"/>
      <c r="DU5" s="403"/>
      <c r="DV5" s="403"/>
      <c r="DW5" s="403"/>
      <c r="DX5" s="403"/>
      <c r="DY5" s="403"/>
      <c r="DZ5" s="403"/>
      <c r="EA5" s="403"/>
      <c r="EB5" s="403"/>
      <c r="EC5" s="403" t="s">
        <v>10460</v>
      </c>
      <c r="ED5" s="403"/>
      <c r="EE5" s="403"/>
      <c r="EF5" s="403"/>
      <c r="EG5" s="403"/>
      <c r="EH5" s="403"/>
      <c r="EI5" s="403"/>
      <c r="EJ5" s="403"/>
      <c r="EK5" s="403"/>
      <c r="EL5" s="403"/>
      <c r="EM5" s="403"/>
      <c r="EN5" s="403"/>
      <c r="EO5" s="403"/>
      <c r="EP5" s="403"/>
      <c r="EQ5" s="403"/>
      <c r="ER5" s="403"/>
      <c r="ES5" s="403"/>
      <c r="ET5" s="403"/>
    </row>
    <row r="6" spans="1:16368" s="299" customFormat="1" x14ac:dyDescent="0.2">
      <c r="B6" s="90" t="str">
        <f ca="1">IF(OFFSET(T6,0,Lang_Order*Lang__B4)="","",OFFSET(T6,0,Lang_Order*Lang__B4))</f>
        <v>Logistics Assumptions and Pre-calculations</v>
      </c>
      <c r="R6" s="403"/>
      <c r="S6" s="403"/>
      <c r="T6" s="403" t="s">
        <v>3730</v>
      </c>
      <c r="U6" s="403"/>
      <c r="V6" s="403"/>
      <c r="W6" s="403"/>
      <c r="X6" s="403"/>
      <c r="Y6" s="403"/>
      <c r="Z6" s="403"/>
      <c r="AA6" s="403"/>
      <c r="AB6" s="403"/>
      <c r="AC6" s="403"/>
      <c r="AD6" s="403"/>
      <c r="AE6" s="403"/>
      <c r="AF6" s="403"/>
      <c r="AG6" s="403"/>
      <c r="AH6" s="403"/>
      <c r="AI6" s="403"/>
      <c r="AJ6" s="403"/>
      <c r="AK6" s="403"/>
      <c r="AL6" s="403"/>
      <c r="AM6" s="403" t="s">
        <v>10461</v>
      </c>
      <c r="AN6" s="403"/>
      <c r="AO6" s="403"/>
      <c r="AP6" s="403"/>
      <c r="AQ6" s="403"/>
      <c r="AR6" s="403"/>
      <c r="AS6" s="403"/>
      <c r="AT6" s="403"/>
      <c r="AU6" s="403"/>
      <c r="AV6" s="403"/>
      <c r="AW6" s="403"/>
      <c r="AX6" s="403"/>
      <c r="AY6" s="403"/>
      <c r="AZ6" s="403"/>
      <c r="BA6" s="403"/>
      <c r="BB6" s="403"/>
      <c r="BC6" s="403"/>
      <c r="BD6" s="403"/>
      <c r="BE6" s="403"/>
      <c r="BF6" s="403" t="s">
        <v>10462</v>
      </c>
      <c r="BG6" s="403"/>
      <c r="BH6" s="403"/>
      <c r="BI6" s="403"/>
      <c r="BJ6" s="403"/>
      <c r="BK6" s="403"/>
      <c r="BL6" s="403"/>
      <c r="BM6" s="403"/>
      <c r="BN6" s="403"/>
      <c r="BO6" s="403"/>
      <c r="BP6" s="403"/>
      <c r="BQ6" s="403"/>
      <c r="BR6" s="403"/>
      <c r="BS6" s="403"/>
      <c r="BT6" s="403"/>
      <c r="BU6" s="403"/>
      <c r="BV6" s="403"/>
      <c r="BW6" s="403"/>
      <c r="BX6" s="403"/>
      <c r="BY6" s="403" t="s">
        <v>10463</v>
      </c>
      <c r="BZ6" s="403"/>
      <c r="CA6" s="403"/>
      <c r="CB6" s="403"/>
      <c r="CC6" s="403"/>
      <c r="CD6" s="403"/>
      <c r="CE6" s="403"/>
      <c r="CF6" s="403"/>
      <c r="CG6" s="403"/>
      <c r="CH6" s="403"/>
      <c r="CI6" s="403"/>
      <c r="CJ6" s="403"/>
      <c r="CK6" s="403"/>
      <c r="CL6" s="403"/>
      <c r="CM6" s="403"/>
      <c r="CN6" s="403"/>
      <c r="CO6" s="403"/>
      <c r="CP6" s="403"/>
      <c r="CQ6" s="403"/>
      <c r="CR6" s="403" t="s">
        <v>10464</v>
      </c>
      <c r="CS6" s="403"/>
      <c r="CT6" s="403"/>
      <c r="CU6" s="403"/>
      <c r="CV6" s="403"/>
      <c r="CW6" s="403"/>
      <c r="CX6" s="403"/>
      <c r="CY6" s="403"/>
      <c r="CZ6" s="403"/>
      <c r="DA6" s="403"/>
      <c r="DB6" s="403"/>
      <c r="DC6" s="403"/>
      <c r="DD6" s="403"/>
      <c r="DE6" s="403"/>
      <c r="DF6" s="403"/>
      <c r="DG6" s="403"/>
      <c r="DH6" s="403"/>
      <c r="DI6" s="403"/>
      <c r="DJ6" s="403"/>
      <c r="DK6" s="403" t="s">
        <v>10465</v>
      </c>
      <c r="DL6" s="403"/>
      <c r="DM6" s="403"/>
      <c r="DN6" s="403"/>
      <c r="DO6" s="403"/>
      <c r="DP6" s="403"/>
      <c r="DQ6" s="403"/>
      <c r="DR6" s="403"/>
      <c r="DS6" s="403"/>
      <c r="DT6" s="403"/>
      <c r="DU6" s="403"/>
      <c r="DV6" s="403"/>
      <c r="DW6" s="403"/>
      <c r="DX6" s="403"/>
      <c r="DY6" s="403"/>
      <c r="DZ6" s="403"/>
      <c r="EA6" s="403"/>
      <c r="EB6" s="403"/>
      <c r="EC6" s="403"/>
      <c r="ED6" s="403" t="s">
        <v>10466</v>
      </c>
      <c r="EE6" s="403"/>
      <c r="EF6" s="403"/>
      <c r="EG6" s="403"/>
      <c r="EH6" s="403"/>
      <c r="EI6" s="403"/>
      <c r="EJ6" s="403"/>
      <c r="EK6" s="403"/>
      <c r="EL6" s="403"/>
      <c r="EM6" s="403"/>
      <c r="EN6" s="403"/>
      <c r="EO6" s="403"/>
      <c r="EP6" s="403"/>
      <c r="EQ6" s="403"/>
      <c r="ER6" s="403"/>
      <c r="ES6" s="403"/>
      <c r="ET6" s="403"/>
    </row>
    <row r="7" spans="1:16368" ht="25.5" x14ac:dyDescent="0.2">
      <c r="C7" s="335" t="str">
        <f t="shared" ref="C7:C11" ca="1" si="2">IF(OFFSET(U7,0,Lang_Order*Lang__B4)="","",OFFSET(U7,0,Lang_Order*Lang__B4))</f>
        <v>Number of health facilities with cold-storage - Fixed sites with cold-storage</v>
      </c>
      <c r="D7" s="3">
        <f>Pop_HCW_CS_Sites</f>
        <v>0</v>
      </c>
      <c r="U7" s="403" t="s">
        <v>2633</v>
      </c>
      <c r="AN7" s="403" t="s">
        <v>10467</v>
      </c>
      <c r="BG7" s="403" t="s">
        <v>10468</v>
      </c>
      <c r="BZ7" s="403" t="s">
        <v>10469</v>
      </c>
      <c r="CS7" s="403" t="s">
        <v>10470</v>
      </c>
      <c r="DL7" s="403" t="s">
        <v>10471</v>
      </c>
      <c r="EE7" s="403" t="s">
        <v>10472</v>
      </c>
    </row>
    <row r="8" spans="1:16368" s="15" customFormat="1" x14ac:dyDescent="0.2">
      <c r="C8" s="335" t="str">
        <f t="shared" ca="1" si="2"/>
        <v>Vaccination deliveries from central to fixed sites, per time period</v>
      </c>
      <c r="D8" s="3">
        <f>Vaccine_Supplies_PerPeriod</f>
        <v>2</v>
      </c>
      <c r="R8" s="403"/>
      <c r="S8" s="403"/>
      <c r="T8" s="403"/>
      <c r="U8" s="403" t="s">
        <v>1660</v>
      </c>
      <c r="V8" s="403"/>
      <c r="W8" s="403"/>
      <c r="X8" s="403"/>
      <c r="Y8" s="403"/>
      <c r="Z8" s="403"/>
      <c r="AA8" s="403"/>
      <c r="AB8" s="403"/>
      <c r="AC8" s="403"/>
      <c r="AD8" s="403"/>
      <c r="AE8" s="403"/>
      <c r="AF8" s="403"/>
      <c r="AG8" s="403"/>
      <c r="AH8" s="403"/>
      <c r="AI8" s="403"/>
      <c r="AJ8" s="403"/>
      <c r="AK8" s="403"/>
      <c r="AL8" s="403"/>
      <c r="AM8" s="403"/>
      <c r="AN8" s="403" t="s">
        <v>10473</v>
      </c>
      <c r="AO8" s="403"/>
      <c r="AP8" s="403"/>
      <c r="AQ8" s="403"/>
      <c r="AR8" s="403"/>
      <c r="AS8" s="403"/>
      <c r="AT8" s="403"/>
      <c r="AU8" s="403"/>
      <c r="AV8" s="403"/>
      <c r="AW8" s="403"/>
      <c r="AX8" s="403"/>
      <c r="AY8" s="403"/>
      <c r="AZ8" s="403"/>
      <c r="BA8" s="403"/>
      <c r="BB8" s="403"/>
      <c r="BC8" s="403"/>
      <c r="BD8" s="403"/>
      <c r="BE8" s="403"/>
      <c r="BF8" s="403"/>
      <c r="BG8" s="403" t="s">
        <v>10474</v>
      </c>
      <c r="BH8" s="403"/>
      <c r="BI8" s="403"/>
      <c r="BJ8" s="403"/>
      <c r="BK8" s="403"/>
      <c r="BL8" s="403"/>
      <c r="BM8" s="403"/>
      <c r="BN8" s="403"/>
      <c r="BO8" s="403"/>
      <c r="BP8" s="403"/>
      <c r="BQ8" s="403"/>
      <c r="BR8" s="403"/>
      <c r="BS8" s="403"/>
      <c r="BT8" s="403"/>
      <c r="BU8" s="403"/>
      <c r="BV8" s="403"/>
      <c r="BW8" s="403"/>
      <c r="BX8" s="403"/>
      <c r="BY8" s="403"/>
      <c r="BZ8" s="403" t="s">
        <v>10475</v>
      </c>
      <c r="CA8" s="403"/>
      <c r="CB8" s="403"/>
      <c r="CC8" s="403"/>
      <c r="CD8" s="403"/>
      <c r="CE8" s="403"/>
      <c r="CF8" s="403"/>
      <c r="CG8" s="403"/>
      <c r="CH8" s="403"/>
      <c r="CI8" s="403"/>
      <c r="CJ8" s="403"/>
      <c r="CK8" s="403"/>
      <c r="CL8" s="403"/>
      <c r="CM8" s="403"/>
      <c r="CN8" s="403"/>
      <c r="CO8" s="403"/>
      <c r="CP8" s="403"/>
      <c r="CQ8" s="403"/>
      <c r="CR8" s="403"/>
      <c r="CS8" s="403" t="s">
        <v>10476</v>
      </c>
      <c r="CT8" s="403"/>
      <c r="CU8" s="403"/>
      <c r="CV8" s="403"/>
      <c r="CW8" s="403"/>
      <c r="CX8" s="403"/>
      <c r="CY8" s="403"/>
      <c r="CZ8" s="403"/>
      <c r="DA8" s="403"/>
      <c r="DB8" s="403"/>
      <c r="DC8" s="403"/>
      <c r="DD8" s="403"/>
      <c r="DE8" s="403"/>
      <c r="DF8" s="403"/>
      <c r="DG8" s="403"/>
      <c r="DH8" s="403"/>
      <c r="DI8" s="403"/>
      <c r="DJ8" s="403"/>
      <c r="DK8" s="403"/>
      <c r="DL8" s="403" t="s">
        <v>10477</v>
      </c>
      <c r="DM8" s="403"/>
      <c r="DN8" s="403"/>
      <c r="DO8" s="403"/>
      <c r="DP8" s="403"/>
      <c r="DQ8" s="403"/>
      <c r="DR8" s="403"/>
      <c r="DS8" s="403"/>
      <c r="DT8" s="403"/>
      <c r="DU8" s="403"/>
      <c r="DV8" s="403"/>
      <c r="DW8" s="403"/>
      <c r="DX8" s="403"/>
      <c r="DY8" s="403"/>
      <c r="DZ8" s="403"/>
      <c r="EA8" s="403"/>
      <c r="EB8" s="403"/>
      <c r="EC8" s="403"/>
      <c r="ED8" s="403"/>
      <c r="EE8" s="403" t="s">
        <v>10478</v>
      </c>
      <c r="EF8" s="403"/>
      <c r="EG8" s="403"/>
      <c r="EH8" s="403"/>
      <c r="EI8" s="403"/>
      <c r="EJ8" s="403"/>
      <c r="EK8" s="403"/>
      <c r="EL8" s="403"/>
      <c r="EM8" s="403"/>
      <c r="EN8" s="403"/>
      <c r="EO8" s="403"/>
      <c r="EP8" s="403"/>
      <c r="EQ8" s="403"/>
      <c r="ER8" s="403"/>
      <c r="ES8" s="403"/>
      <c r="ET8" s="403"/>
    </row>
    <row r="9" spans="1:16368" hidden="1" x14ac:dyDescent="0.2">
      <c r="C9" s="5" t="str">
        <f t="shared" ca="1" si="2"/>
        <v>Rural Population %</v>
      </c>
      <c r="D9" s="57" t="e">
        <f>1-Urban_Population_Percent</f>
        <v>#N/A</v>
      </c>
      <c r="U9" s="403" t="s">
        <v>2643</v>
      </c>
      <c r="AN9" s="403" t="s">
        <v>10479</v>
      </c>
      <c r="BG9" s="403" t="s">
        <v>10480</v>
      </c>
      <c r="BZ9" s="403" t="s">
        <v>10481</v>
      </c>
      <c r="CS9" s="403" t="s">
        <v>10482</v>
      </c>
      <c r="DL9" s="403" t="s">
        <v>10483</v>
      </c>
      <c r="EE9" s="403" t="s">
        <v>10484</v>
      </c>
    </row>
    <row r="10" spans="1:16368" s="15" customFormat="1" hidden="1" x14ac:dyDescent="0.2">
      <c r="C10" s="5" t="str">
        <f t="shared" ca="1" si="2"/>
        <v>Population in the largest city %</v>
      </c>
      <c r="D10" s="57" t="e">
        <f>Urban_Population_Percent*Urban_Population_LargestCity_Percent</f>
        <v>#N/A</v>
      </c>
      <c r="R10" s="403"/>
      <c r="S10" s="403"/>
      <c r="T10" s="403"/>
      <c r="U10" s="403" t="s">
        <v>2644</v>
      </c>
      <c r="V10" s="403"/>
      <c r="W10" s="403"/>
      <c r="X10" s="403"/>
      <c r="Y10" s="403"/>
      <c r="Z10" s="403"/>
      <c r="AA10" s="403"/>
      <c r="AB10" s="403"/>
      <c r="AC10" s="403"/>
      <c r="AD10" s="403"/>
      <c r="AE10" s="403"/>
      <c r="AF10" s="403"/>
      <c r="AG10" s="403"/>
      <c r="AH10" s="403"/>
      <c r="AI10" s="403"/>
      <c r="AJ10" s="403"/>
      <c r="AK10" s="403"/>
      <c r="AL10" s="403"/>
      <c r="AM10" s="403"/>
      <c r="AN10" s="403" t="s">
        <v>10485</v>
      </c>
      <c r="AO10" s="403"/>
      <c r="AP10" s="403"/>
      <c r="AQ10" s="403"/>
      <c r="AR10" s="403"/>
      <c r="AS10" s="403"/>
      <c r="AT10" s="403"/>
      <c r="AU10" s="403"/>
      <c r="AV10" s="403"/>
      <c r="AW10" s="403"/>
      <c r="AX10" s="403"/>
      <c r="AY10" s="403"/>
      <c r="AZ10" s="403"/>
      <c r="BA10" s="403"/>
      <c r="BB10" s="403"/>
      <c r="BC10" s="403"/>
      <c r="BD10" s="403"/>
      <c r="BE10" s="403"/>
      <c r="BF10" s="403"/>
      <c r="BG10" s="403" t="s">
        <v>10486</v>
      </c>
      <c r="BH10" s="403"/>
      <c r="BI10" s="403"/>
      <c r="BJ10" s="403"/>
      <c r="BK10" s="403"/>
      <c r="BL10" s="403"/>
      <c r="BM10" s="403"/>
      <c r="BN10" s="403"/>
      <c r="BO10" s="403"/>
      <c r="BP10" s="403"/>
      <c r="BQ10" s="403"/>
      <c r="BR10" s="403"/>
      <c r="BS10" s="403"/>
      <c r="BT10" s="403"/>
      <c r="BU10" s="403"/>
      <c r="BV10" s="403"/>
      <c r="BW10" s="403"/>
      <c r="BX10" s="403"/>
      <c r="BY10" s="403"/>
      <c r="BZ10" s="403" t="s">
        <v>10487</v>
      </c>
      <c r="CA10" s="403"/>
      <c r="CB10" s="403"/>
      <c r="CC10" s="403"/>
      <c r="CD10" s="403"/>
      <c r="CE10" s="403"/>
      <c r="CF10" s="403"/>
      <c r="CG10" s="403"/>
      <c r="CH10" s="403"/>
      <c r="CI10" s="403"/>
      <c r="CJ10" s="403"/>
      <c r="CK10" s="403"/>
      <c r="CL10" s="403"/>
      <c r="CM10" s="403"/>
      <c r="CN10" s="403"/>
      <c r="CO10" s="403"/>
      <c r="CP10" s="403"/>
      <c r="CQ10" s="403"/>
      <c r="CR10" s="403"/>
      <c r="CS10" s="403" t="s">
        <v>10488</v>
      </c>
      <c r="CT10" s="403"/>
      <c r="CU10" s="403"/>
      <c r="CV10" s="403"/>
      <c r="CW10" s="403"/>
      <c r="CX10" s="403"/>
      <c r="CY10" s="403"/>
      <c r="CZ10" s="403"/>
      <c r="DA10" s="403"/>
      <c r="DB10" s="403"/>
      <c r="DC10" s="403"/>
      <c r="DD10" s="403"/>
      <c r="DE10" s="403"/>
      <c r="DF10" s="403"/>
      <c r="DG10" s="403"/>
      <c r="DH10" s="403"/>
      <c r="DI10" s="403"/>
      <c r="DJ10" s="403"/>
      <c r="DK10" s="403"/>
      <c r="DL10" s="403" t="s">
        <v>10489</v>
      </c>
      <c r="DM10" s="403"/>
      <c r="DN10" s="403"/>
      <c r="DO10" s="403"/>
      <c r="DP10" s="403"/>
      <c r="DQ10" s="403"/>
      <c r="DR10" s="403"/>
      <c r="DS10" s="403"/>
      <c r="DT10" s="403"/>
      <c r="DU10" s="403"/>
      <c r="DV10" s="403"/>
      <c r="DW10" s="403"/>
      <c r="DX10" s="403"/>
      <c r="DY10" s="403"/>
      <c r="DZ10" s="403"/>
      <c r="EA10" s="403"/>
      <c r="EB10" s="403"/>
      <c r="EC10" s="403"/>
      <c r="ED10" s="403"/>
      <c r="EE10" s="403" t="s">
        <v>10490</v>
      </c>
      <c r="EF10" s="403"/>
      <c r="EG10" s="403"/>
      <c r="EH10" s="403"/>
      <c r="EI10" s="403"/>
      <c r="EJ10" s="403"/>
      <c r="EK10" s="403"/>
      <c r="EL10" s="403"/>
      <c r="EM10" s="403"/>
      <c r="EN10" s="403"/>
      <c r="EO10" s="403"/>
      <c r="EP10" s="403"/>
      <c r="EQ10" s="403"/>
      <c r="ER10" s="403"/>
      <c r="ES10" s="403"/>
      <c r="ET10" s="403"/>
    </row>
    <row r="11" spans="1:16368" s="15" customFormat="1" x14ac:dyDescent="0.2">
      <c r="C11" s="5" t="str">
        <f t="shared" ca="1" si="2"/>
        <v>Surface Area (sqkm)</v>
      </c>
      <c r="D11" s="178">
        <f>Surface_Area_sqkm</f>
        <v>0</v>
      </c>
      <c r="R11" s="403"/>
      <c r="S11" s="403"/>
      <c r="T11" s="403"/>
      <c r="U11" s="403" t="s">
        <v>2654</v>
      </c>
      <c r="V11" s="403"/>
      <c r="W11" s="403"/>
      <c r="X11" s="403"/>
      <c r="Y11" s="403"/>
      <c r="Z11" s="403"/>
      <c r="AA11" s="403"/>
      <c r="AB11" s="403"/>
      <c r="AC11" s="403"/>
      <c r="AD11" s="403"/>
      <c r="AE11" s="403"/>
      <c r="AF11" s="403"/>
      <c r="AG11" s="403"/>
      <c r="AH11" s="403"/>
      <c r="AI11" s="403"/>
      <c r="AJ11" s="403"/>
      <c r="AK11" s="403"/>
      <c r="AL11" s="403"/>
      <c r="AM11" s="403"/>
      <c r="AN11" s="403" t="s">
        <v>10491</v>
      </c>
      <c r="AO11" s="403"/>
      <c r="AP11" s="403"/>
      <c r="AQ11" s="403"/>
      <c r="AR11" s="403"/>
      <c r="AS11" s="403"/>
      <c r="AT11" s="403"/>
      <c r="AU11" s="403"/>
      <c r="AV11" s="403"/>
      <c r="AW11" s="403"/>
      <c r="AX11" s="403"/>
      <c r="AY11" s="403"/>
      <c r="AZ11" s="403"/>
      <c r="BA11" s="403"/>
      <c r="BB11" s="403"/>
      <c r="BC11" s="403"/>
      <c r="BD11" s="403"/>
      <c r="BE11" s="403"/>
      <c r="BF11" s="403"/>
      <c r="BG11" s="403" t="s">
        <v>10492</v>
      </c>
      <c r="BH11" s="403"/>
      <c r="BI11" s="403"/>
      <c r="BJ11" s="403"/>
      <c r="BK11" s="403"/>
      <c r="BL11" s="403"/>
      <c r="BM11" s="403"/>
      <c r="BN11" s="403"/>
      <c r="BO11" s="403"/>
      <c r="BP11" s="403"/>
      <c r="BQ11" s="403"/>
      <c r="BR11" s="403"/>
      <c r="BS11" s="403"/>
      <c r="BT11" s="403"/>
      <c r="BU11" s="403"/>
      <c r="BV11" s="403"/>
      <c r="BW11" s="403"/>
      <c r="BX11" s="403"/>
      <c r="BY11" s="403"/>
      <c r="BZ11" s="403" t="s">
        <v>10493</v>
      </c>
      <c r="CA11" s="403"/>
      <c r="CB11" s="403"/>
      <c r="CC11" s="403"/>
      <c r="CD11" s="403"/>
      <c r="CE11" s="403"/>
      <c r="CF11" s="403"/>
      <c r="CG11" s="403"/>
      <c r="CH11" s="403"/>
      <c r="CI11" s="403"/>
      <c r="CJ11" s="403"/>
      <c r="CK11" s="403"/>
      <c r="CL11" s="403"/>
      <c r="CM11" s="403"/>
      <c r="CN11" s="403"/>
      <c r="CO11" s="403"/>
      <c r="CP11" s="403"/>
      <c r="CQ11" s="403"/>
      <c r="CR11" s="403"/>
      <c r="CS11" s="403" t="s">
        <v>10494</v>
      </c>
      <c r="CT11" s="403"/>
      <c r="CU11" s="403"/>
      <c r="CV11" s="403"/>
      <c r="CW11" s="403"/>
      <c r="CX11" s="403"/>
      <c r="CY11" s="403"/>
      <c r="CZ11" s="403"/>
      <c r="DA11" s="403"/>
      <c r="DB11" s="403"/>
      <c r="DC11" s="403"/>
      <c r="DD11" s="403"/>
      <c r="DE11" s="403"/>
      <c r="DF11" s="403"/>
      <c r="DG11" s="403"/>
      <c r="DH11" s="403"/>
      <c r="DI11" s="403"/>
      <c r="DJ11" s="403"/>
      <c r="DK11" s="403"/>
      <c r="DL11" s="403" t="s">
        <v>10495</v>
      </c>
      <c r="DM11" s="403"/>
      <c r="DN11" s="403"/>
      <c r="DO11" s="403"/>
      <c r="DP11" s="403"/>
      <c r="DQ11" s="403"/>
      <c r="DR11" s="403"/>
      <c r="DS11" s="403"/>
      <c r="DT11" s="403"/>
      <c r="DU11" s="403"/>
      <c r="DV11" s="403"/>
      <c r="DW11" s="403"/>
      <c r="DX11" s="403"/>
      <c r="DY11" s="403"/>
      <c r="DZ11" s="403"/>
      <c r="EA11" s="403"/>
      <c r="EB11" s="403"/>
      <c r="EC11" s="403"/>
      <c r="ED11" s="403"/>
      <c r="EE11" s="403" t="s">
        <v>10496</v>
      </c>
      <c r="EF11" s="403"/>
      <c r="EG11" s="403"/>
      <c r="EH11" s="403"/>
      <c r="EI11" s="403"/>
      <c r="EJ11" s="403"/>
      <c r="EK11" s="403"/>
      <c r="EL11" s="403"/>
      <c r="EM11" s="403"/>
      <c r="EN11" s="403"/>
      <c r="EO11" s="403"/>
      <c r="EP11" s="403"/>
      <c r="EQ11" s="403"/>
      <c r="ER11" s="403"/>
      <c r="ES11" s="403"/>
      <c r="ET11" s="403"/>
    </row>
    <row r="13" spans="1:16368" x14ac:dyDescent="0.2">
      <c r="C13" s="31" t="str">
        <f ca="1">IF(OFFSET(U13,0,Lang_Order*Lang__B4)="","",OFFSET(U13,0,Lang_Order*Lang__B4))</f>
        <v>For population outside the largest city</v>
      </c>
      <c r="U13" s="403" t="s">
        <v>2646</v>
      </c>
      <c r="AN13" s="403" t="s">
        <v>10497</v>
      </c>
      <c r="BG13" s="403" t="s">
        <v>10498</v>
      </c>
      <c r="BZ13" s="403" t="s">
        <v>10499</v>
      </c>
      <c r="CS13" s="403" t="s">
        <v>10500</v>
      </c>
      <c r="DL13" s="403" t="s">
        <v>10501</v>
      </c>
      <c r="EE13" s="403" t="s">
        <v>10502</v>
      </c>
    </row>
    <row r="14" spans="1:16368" x14ac:dyDescent="0.2">
      <c r="C14" s="370" t="str">
        <f ca="1">IF(OFFSET(U14,0,Lang_Order*Lang__B4)="","",OFFSET(U14,0,Lang_Order*Lang__B4))</f>
        <v>Half of the radius, assume country is a circle</v>
      </c>
      <c r="D14" s="151">
        <f>SQRT(D11/PI())/2</f>
        <v>0</v>
      </c>
      <c r="U14" s="403" t="s">
        <v>2645</v>
      </c>
      <c r="AN14" s="403" t="s">
        <v>10503</v>
      </c>
      <c r="BG14" s="403" t="s">
        <v>10504</v>
      </c>
      <c r="BZ14" s="403" t="s">
        <v>10505</v>
      </c>
      <c r="CS14" s="403" t="s">
        <v>10506</v>
      </c>
      <c r="DL14" s="403" t="s">
        <v>10507</v>
      </c>
      <c r="EE14" s="403" t="s">
        <v>10508</v>
      </c>
    </row>
    <row r="15" spans="1:16368" s="194" customFormat="1" x14ac:dyDescent="0.2">
      <c r="C15" s="5"/>
      <c r="D15" s="5"/>
      <c r="R15" s="403"/>
      <c r="S15" s="403"/>
      <c r="T15" s="403"/>
      <c r="U15" s="403"/>
      <c r="V15" s="403"/>
      <c r="W15" s="403"/>
      <c r="X15" s="403"/>
      <c r="Y15" s="403"/>
      <c r="Z15" s="403"/>
      <c r="AA15" s="403"/>
      <c r="AB15" s="403"/>
      <c r="AC15" s="403"/>
      <c r="AD15" s="403"/>
      <c r="AE15" s="403"/>
      <c r="AF15" s="403"/>
      <c r="AG15" s="403"/>
      <c r="AH15" s="403"/>
      <c r="AI15" s="403"/>
      <c r="AJ15" s="403"/>
      <c r="AK15" s="403"/>
      <c r="AL15" s="403"/>
      <c r="AM15" s="403"/>
      <c r="AN15" s="403"/>
      <c r="AO15" s="403"/>
      <c r="AP15" s="403"/>
      <c r="AQ15" s="403"/>
      <c r="AR15" s="403"/>
      <c r="AS15" s="403"/>
      <c r="AT15" s="403"/>
      <c r="AU15" s="403"/>
      <c r="AV15" s="403"/>
      <c r="AW15" s="403"/>
      <c r="AX15" s="403"/>
      <c r="AY15" s="403"/>
      <c r="AZ15" s="403"/>
      <c r="BA15" s="403"/>
      <c r="BB15" s="403"/>
      <c r="BC15" s="403"/>
      <c r="BD15" s="403"/>
      <c r="BE15" s="403"/>
      <c r="BF15" s="403"/>
      <c r="BG15" s="403"/>
      <c r="BH15" s="403"/>
      <c r="BI15" s="403"/>
      <c r="BJ15" s="403"/>
      <c r="BK15" s="403"/>
      <c r="BL15" s="403"/>
      <c r="BM15" s="403"/>
      <c r="BN15" s="403"/>
      <c r="BO15" s="403"/>
      <c r="BP15" s="403"/>
      <c r="BQ15" s="403"/>
      <c r="BR15" s="403"/>
      <c r="BS15" s="403"/>
      <c r="BT15" s="403"/>
      <c r="BU15" s="403"/>
      <c r="BV15" s="403"/>
      <c r="BW15" s="403"/>
      <c r="BX15" s="403"/>
      <c r="BY15" s="403"/>
      <c r="BZ15" s="403"/>
      <c r="CA15" s="403"/>
      <c r="CB15" s="403"/>
      <c r="CC15" s="403"/>
      <c r="CD15" s="403"/>
      <c r="CE15" s="403"/>
      <c r="CF15" s="403"/>
      <c r="CG15" s="403"/>
      <c r="CH15" s="403"/>
      <c r="CI15" s="403"/>
      <c r="CJ15" s="403"/>
      <c r="CK15" s="403"/>
      <c r="CL15" s="403"/>
      <c r="CM15" s="403"/>
      <c r="CN15" s="403"/>
      <c r="CO15" s="403"/>
      <c r="CP15" s="403"/>
      <c r="CQ15" s="403"/>
      <c r="CR15" s="403"/>
      <c r="CS15" s="403"/>
      <c r="CT15" s="403"/>
      <c r="CU15" s="403"/>
      <c r="CV15" s="403"/>
      <c r="CW15" s="403"/>
      <c r="CX15" s="403"/>
      <c r="CY15" s="403"/>
      <c r="CZ15" s="403"/>
      <c r="DA15" s="403"/>
      <c r="DB15" s="403"/>
      <c r="DC15" s="403"/>
      <c r="DD15" s="403"/>
      <c r="DE15" s="403"/>
      <c r="DF15" s="403"/>
      <c r="DG15" s="403"/>
      <c r="DH15" s="403"/>
      <c r="DI15" s="403"/>
      <c r="DJ15" s="403"/>
      <c r="DK15" s="403"/>
      <c r="DL15" s="403"/>
      <c r="DM15" s="403"/>
      <c r="DN15" s="403"/>
      <c r="DO15" s="403"/>
      <c r="DP15" s="403"/>
      <c r="DQ15" s="403"/>
      <c r="DR15" s="403"/>
      <c r="DS15" s="403"/>
      <c r="DT15" s="403"/>
      <c r="DU15" s="403"/>
      <c r="DV15" s="403"/>
      <c r="DW15" s="403"/>
      <c r="DX15" s="403"/>
      <c r="DY15" s="403"/>
      <c r="DZ15" s="403"/>
      <c r="EA15" s="403"/>
      <c r="EB15" s="403"/>
      <c r="EC15" s="403"/>
      <c r="ED15" s="403"/>
      <c r="EE15" s="403"/>
      <c r="EF15" s="403"/>
      <c r="EG15" s="403"/>
      <c r="EH15" s="403"/>
      <c r="EI15" s="403"/>
      <c r="EJ15" s="403"/>
      <c r="EK15" s="403"/>
      <c r="EL15" s="403"/>
      <c r="EM15" s="403"/>
      <c r="EN15" s="403"/>
      <c r="EO15" s="403"/>
      <c r="EP15" s="403"/>
      <c r="EQ15" s="403"/>
      <c r="ER15" s="403"/>
      <c r="ES15" s="403"/>
      <c r="ET15" s="403"/>
    </row>
    <row r="16" spans="1:16368" x14ac:dyDescent="0.2">
      <c r="C16" s="31" t="str">
        <f ca="1">IF(OFFSET(U16,0,Lang_Order*Lang__B4)="","",OFFSET(U16,0,Lang_Order*Lang__B4))</f>
        <v>For population inside the largest city</v>
      </c>
      <c r="U16" s="403" t="s">
        <v>2647</v>
      </c>
      <c r="AN16" s="403" t="s">
        <v>10509</v>
      </c>
      <c r="BG16" s="403" t="s">
        <v>10510</v>
      </c>
      <c r="BZ16" s="403" t="s">
        <v>10511</v>
      </c>
      <c r="CS16" s="403" t="s">
        <v>10512</v>
      </c>
      <c r="DL16" s="403" t="s">
        <v>10513</v>
      </c>
      <c r="EE16" s="403" t="s">
        <v>10514</v>
      </c>
    </row>
    <row r="17" spans="1:150" x14ac:dyDescent="0.2">
      <c r="C17" s="5"/>
    </row>
    <row r="18" spans="1:150" x14ac:dyDescent="0.2">
      <c r="A18" s="350">
        <v>2</v>
      </c>
      <c r="C18" s="5" t="str">
        <f ca="1">IF(OFFSET(U18,0,Lang_Order*Lang__B4)="","",OFFSET(U18,0,Lang_Order*Lang__B4))</f>
        <v>Assume distance is 10km</v>
      </c>
      <c r="D18" s="35">
        <v>10</v>
      </c>
      <c r="J18" s="81">
        <v>10</v>
      </c>
      <c r="K18" s="2" t="str">
        <f ca="1">IF(OFFSET(AC18,0,Lang_Order*Lang__B4)="","",OFFSET(AC18,0,Lang_Order*Lang__B4))</f>
        <v>Advanced Users: This largest city distance assumption can be modified</v>
      </c>
      <c r="Q18" s="12" t="str">
        <f ca="1">IF(OFFSET(AI18,0,Lang_Order*Lang__B4)="","",OFFSET(AI18,0,Lang_Order*Lang__B4))</f>
        <v>Typical distance between the central logistics hub and DM1 sites within the largest city</v>
      </c>
      <c r="U18" s="403" t="s">
        <v>2651</v>
      </c>
      <c r="AC18" s="403" t="s">
        <v>3731</v>
      </c>
      <c r="AI18" s="403" t="s">
        <v>2820</v>
      </c>
      <c r="AN18" s="403" t="s">
        <v>10515</v>
      </c>
      <c r="AV18" s="403" t="s">
        <v>10516</v>
      </c>
      <c r="BB18" s="403" t="s">
        <v>10517</v>
      </c>
      <c r="BG18" s="403" t="s">
        <v>10518</v>
      </c>
      <c r="BO18" s="403" t="s">
        <v>10519</v>
      </c>
      <c r="BU18" s="403" t="s">
        <v>10520</v>
      </c>
      <c r="BZ18" s="403" t="s">
        <v>10521</v>
      </c>
      <c r="CH18" s="403" t="s">
        <v>10522</v>
      </c>
      <c r="CN18" s="403" t="s">
        <v>10523</v>
      </c>
      <c r="CS18" s="403" t="s">
        <v>10524</v>
      </c>
      <c r="DA18" s="403" t="s">
        <v>10525</v>
      </c>
      <c r="DG18" s="403" t="s">
        <v>10526</v>
      </c>
      <c r="DL18" s="403" t="s">
        <v>10527</v>
      </c>
      <c r="DT18" s="403" t="s">
        <v>10528</v>
      </c>
      <c r="DZ18" s="403" t="s">
        <v>10529</v>
      </c>
      <c r="EE18" s="403" t="s">
        <v>10530</v>
      </c>
      <c r="EM18" s="403" t="s">
        <v>10531</v>
      </c>
      <c r="ES18" s="403" t="s">
        <v>10532</v>
      </c>
    </row>
    <row r="19" spans="1:150" x14ac:dyDescent="0.2">
      <c r="C19" s="5"/>
    </row>
    <row r="20" spans="1:150" hidden="1" x14ac:dyDescent="0.2">
      <c r="C20" s="5" t="str">
        <f ca="1">IF(OFFSET(U20,0,Lang_Order*Lang__B4)="","",OFFSET(U20,0,Lang_Order*Lang__B4))</f>
        <v>Weighted (inside and outside largest city) average distance (km)</v>
      </c>
      <c r="D20" s="142" t="e">
        <f>(D18*D10)+(D14*(1-D10))</f>
        <v>#N/A</v>
      </c>
      <c r="Q20" s="12" t="str">
        <f ca="1">IF(OFFSET(AI20,0,Lang_Order*Lang__B4)="","",OFFSET(AI20,0,Lang_Order*Lang__B4))</f>
        <v>Note: This is a very simple model to estimate the average distance from the central store to fixed sites with cold storage</v>
      </c>
      <c r="U20" s="403" t="s">
        <v>2890</v>
      </c>
      <c r="AI20" s="403" t="s">
        <v>2655</v>
      </c>
      <c r="AN20" s="403" t="s">
        <v>10533</v>
      </c>
      <c r="BB20" s="403" t="s">
        <v>10534</v>
      </c>
      <c r="BG20" s="403" t="s">
        <v>10535</v>
      </c>
      <c r="BU20" s="403" t="s">
        <v>10536</v>
      </c>
      <c r="BZ20" s="403" t="s">
        <v>10537</v>
      </c>
      <c r="CN20" s="403" t="s">
        <v>10538</v>
      </c>
      <c r="CS20" s="403" t="s">
        <v>10539</v>
      </c>
      <c r="DG20" s="403" t="s">
        <v>10540</v>
      </c>
      <c r="DL20" s="403" t="s">
        <v>10541</v>
      </c>
      <c r="DZ20" s="403" t="s">
        <v>10542</v>
      </c>
      <c r="EE20" s="403" t="s">
        <v>10543</v>
      </c>
      <c r="ES20" s="403" t="s">
        <v>10544</v>
      </c>
    </row>
    <row r="21" spans="1:150" x14ac:dyDescent="0.2">
      <c r="J21" s="2" t="str">
        <f ca="1">IF(OFFSET(AB21,0,Lang_Order*Lang__B4)="","",OFFSET(AB21,0,Lang_Order*Lang__B4))</f>
        <v>District-equivalent</v>
      </c>
      <c r="AB21" s="403" t="s">
        <v>4537</v>
      </c>
      <c r="AU21" s="403" t="s">
        <v>13262</v>
      </c>
      <c r="BN21" s="403" t="s">
        <v>13263</v>
      </c>
      <c r="CG21" s="403" t="s">
        <v>13264</v>
      </c>
      <c r="CZ21" s="403" t="s">
        <v>13265</v>
      </c>
      <c r="DS21" s="403" t="s">
        <v>13266</v>
      </c>
      <c r="EL21" s="403" t="s">
        <v>13267</v>
      </c>
    </row>
    <row r="22" spans="1:150" s="299" customFormat="1" x14ac:dyDescent="0.2">
      <c r="C22" s="6" t="str">
        <f ca="1">IF(OFFSET(U22,0,Lang_Order*Lang__B4)="","",OFFSET(U22,0,Lang_Order*Lang__B4))</f>
        <v>Surface Area (sqkm) covered by each region on average</v>
      </c>
      <c r="D22" s="178" t="e">
        <f>D11/Regional_Stores</f>
        <v>#DIV/0!</v>
      </c>
      <c r="J22" s="513" t="e">
        <f>D11/District_Stores</f>
        <v>#DIV/0!</v>
      </c>
      <c r="K22" s="567"/>
      <c r="R22" s="403"/>
      <c r="S22" s="403"/>
      <c r="T22" s="403"/>
      <c r="U22" s="403" t="s">
        <v>3727</v>
      </c>
      <c r="V22" s="403"/>
      <c r="W22" s="403"/>
      <c r="X22" s="403"/>
      <c r="Y22" s="403"/>
      <c r="Z22" s="403"/>
      <c r="AA22" s="403"/>
      <c r="AB22" s="403"/>
      <c r="AC22" s="403"/>
      <c r="AD22" s="403"/>
      <c r="AE22" s="403"/>
      <c r="AF22" s="403"/>
      <c r="AG22" s="403"/>
      <c r="AH22" s="403"/>
      <c r="AI22" s="403"/>
      <c r="AJ22" s="403"/>
      <c r="AK22" s="403"/>
      <c r="AL22" s="403"/>
      <c r="AM22" s="403"/>
      <c r="AN22" s="403" t="s">
        <v>10545</v>
      </c>
      <c r="AO22" s="403"/>
      <c r="AP22" s="403"/>
      <c r="AQ22" s="403"/>
      <c r="AR22" s="403"/>
      <c r="AS22" s="403"/>
      <c r="AT22" s="403"/>
      <c r="AU22" s="403"/>
      <c r="AV22" s="403"/>
      <c r="AW22" s="403"/>
      <c r="AX22" s="403"/>
      <c r="AY22" s="403"/>
      <c r="AZ22" s="403"/>
      <c r="BA22" s="403"/>
      <c r="BB22" s="403"/>
      <c r="BC22" s="403"/>
      <c r="BD22" s="403"/>
      <c r="BE22" s="403"/>
      <c r="BF22" s="403"/>
      <c r="BG22" s="403" t="s">
        <v>10546</v>
      </c>
      <c r="BH22" s="403"/>
      <c r="BI22" s="403"/>
      <c r="BJ22" s="403"/>
      <c r="BK22" s="403"/>
      <c r="BL22" s="403"/>
      <c r="BM22" s="403"/>
      <c r="BN22" s="403"/>
      <c r="BO22" s="403"/>
      <c r="BP22" s="403"/>
      <c r="BQ22" s="403"/>
      <c r="BR22" s="403"/>
      <c r="BS22" s="403"/>
      <c r="BT22" s="403"/>
      <c r="BU22" s="403"/>
      <c r="BV22" s="403"/>
      <c r="BW22" s="403"/>
      <c r="BX22" s="403"/>
      <c r="BY22" s="403"/>
      <c r="BZ22" s="403" t="s">
        <v>10547</v>
      </c>
      <c r="CA22" s="403"/>
      <c r="CB22" s="403"/>
      <c r="CC22" s="403"/>
      <c r="CD22" s="403"/>
      <c r="CE22" s="403"/>
      <c r="CF22" s="403"/>
      <c r="CG22" s="403"/>
      <c r="CH22" s="403"/>
      <c r="CI22" s="403"/>
      <c r="CJ22" s="403"/>
      <c r="CK22" s="403"/>
      <c r="CL22" s="403"/>
      <c r="CM22" s="403"/>
      <c r="CN22" s="403"/>
      <c r="CO22" s="403"/>
      <c r="CP22" s="403"/>
      <c r="CQ22" s="403"/>
      <c r="CR22" s="403"/>
      <c r="CS22" s="403" t="s">
        <v>10548</v>
      </c>
      <c r="CT22" s="403"/>
      <c r="CU22" s="403"/>
      <c r="CV22" s="403"/>
      <c r="CW22" s="403"/>
      <c r="CX22" s="403"/>
      <c r="CY22" s="403"/>
      <c r="CZ22" s="403"/>
      <c r="DA22" s="403"/>
      <c r="DB22" s="403"/>
      <c r="DC22" s="403"/>
      <c r="DD22" s="403"/>
      <c r="DE22" s="403"/>
      <c r="DF22" s="403"/>
      <c r="DG22" s="403"/>
      <c r="DH22" s="403"/>
      <c r="DI22" s="403"/>
      <c r="DJ22" s="403"/>
      <c r="DK22" s="403"/>
      <c r="DL22" s="403" t="s">
        <v>10549</v>
      </c>
      <c r="DM22" s="403"/>
      <c r="DN22" s="403"/>
      <c r="DO22" s="403"/>
      <c r="DP22" s="403"/>
      <c r="DQ22" s="403"/>
      <c r="DR22" s="403"/>
      <c r="DS22" s="403"/>
      <c r="DT22" s="403"/>
      <c r="DU22" s="403"/>
      <c r="DV22" s="403"/>
      <c r="DW22" s="403"/>
      <c r="DX22" s="403"/>
      <c r="DY22" s="403"/>
      <c r="DZ22" s="403"/>
      <c r="EA22" s="403"/>
      <c r="EB22" s="403"/>
      <c r="EC22" s="403"/>
      <c r="ED22" s="403"/>
      <c r="EE22" s="403" t="s">
        <v>10550</v>
      </c>
      <c r="EF22" s="403"/>
      <c r="EG22" s="403"/>
      <c r="EH22" s="403"/>
      <c r="EI22" s="403"/>
      <c r="EJ22" s="403"/>
      <c r="EK22" s="403"/>
      <c r="EL22" s="403"/>
      <c r="EM22" s="403"/>
      <c r="EN22" s="403"/>
      <c r="EO22" s="403"/>
      <c r="EP22" s="403"/>
      <c r="EQ22" s="403"/>
      <c r="ER22" s="403"/>
      <c r="ES22" s="403"/>
      <c r="ET22" s="403"/>
    </row>
    <row r="23" spans="1:150" s="299" customFormat="1" x14ac:dyDescent="0.2">
      <c r="C23" s="5" t="str">
        <f ca="1">IF(OFFSET(U23,0,Lang_Order*Lang__B4)="","",OFFSET(U23,0,Lang_Order*Lang__B4))</f>
        <v>Half of the radius, assumption for regional to district travel (km))</v>
      </c>
      <c r="D23" s="151" t="e">
        <f>SQRT(D22/PI())/2</f>
        <v>#DIV/0!</v>
      </c>
      <c r="J23" s="513" t="e">
        <f>SQRT(J22/PI())/2</f>
        <v>#DIV/0!</v>
      </c>
      <c r="K23" s="567"/>
      <c r="R23" s="403"/>
      <c r="S23" s="403"/>
      <c r="T23" s="403"/>
      <c r="U23" s="403" t="s">
        <v>3728</v>
      </c>
      <c r="V23" s="403"/>
      <c r="W23" s="403"/>
      <c r="X23" s="403"/>
      <c r="Y23" s="403"/>
      <c r="Z23" s="403"/>
      <c r="AA23" s="403"/>
      <c r="AB23" s="403"/>
      <c r="AC23" s="403"/>
      <c r="AD23" s="403"/>
      <c r="AE23" s="403"/>
      <c r="AF23" s="403"/>
      <c r="AG23" s="403"/>
      <c r="AH23" s="403"/>
      <c r="AI23" s="403"/>
      <c r="AJ23" s="403"/>
      <c r="AK23" s="403"/>
      <c r="AL23" s="403"/>
      <c r="AM23" s="403"/>
      <c r="AN23" s="403" t="s">
        <v>10551</v>
      </c>
      <c r="AO23" s="403"/>
      <c r="AP23" s="403"/>
      <c r="AQ23" s="403"/>
      <c r="AR23" s="403"/>
      <c r="AS23" s="403"/>
      <c r="AT23" s="403"/>
      <c r="AU23" s="403"/>
      <c r="AV23" s="403"/>
      <c r="AW23" s="403"/>
      <c r="AX23" s="403"/>
      <c r="AY23" s="403"/>
      <c r="AZ23" s="403"/>
      <c r="BA23" s="403"/>
      <c r="BB23" s="403"/>
      <c r="BC23" s="403"/>
      <c r="BD23" s="403"/>
      <c r="BE23" s="403"/>
      <c r="BF23" s="403"/>
      <c r="BG23" s="403" t="s">
        <v>10552</v>
      </c>
      <c r="BH23" s="403"/>
      <c r="BI23" s="403"/>
      <c r="BJ23" s="403"/>
      <c r="BK23" s="403"/>
      <c r="BL23" s="403"/>
      <c r="BM23" s="403"/>
      <c r="BN23" s="403"/>
      <c r="BO23" s="403"/>
      <c r="BP23" s="403"/>
      <c r="BQ23" s="403"/>
      <c r="BR23" s="403"/>
      <c r="BS23" s="403"/>
      <c r="BT23" s="403"/>
      <c r="BU23" s="403"/>
      <c r="BV23" s="403"/>
      <c r="BW23" s="403"/>
      <c r="BX23" s="403"/>
      <c r="BY23" s="403"/>
      <c r="BZ23" s="403" t="s">
        <v>10553</v>
      </c>
      <c r="CA23" s="403"/>
      <c r="CB23" s="403"/>
      <c r="CC23" s="403"/>
      <c r="CD23" s="403"/>
      <c r="CE23" s="403"/>
      <c r="CF23" s="403"/>
      <c r="CG23" s="403"/>
      <c r="CH23" s="403"/>
      <c r="CI23" s="403"/>
      <c r="CJ23" s="403"/>
      <c r="CK23" s="403"/>
      <c r="CL23" s="403"/>
      <c r="CM23" s="403"/>
      <c r="CN23" s="403"/>
      <c r="CO23" s="403"/>
      <c r="CP23" s="403"/>
      <c r="CQ23" s="403"/>
      <c r="CR23" s="403"/>
      <c r="CS23" s="403" t="s">
        <v>10554</v>
      </c>
      <c r="CT23" s="403"/>
      <c r="CU23" s="403"/>
      <c r="CV23" s="403"/>
      <c r="CW23" s="403"/>
      <c r="CX23" s="403"/>
      <c r="CY23" s="403"/>
      <c r="CZ23" s="403"/>
      <c r="DA23" s="403"/>
      <c r="DB23" s="403"/>
      <c r="DC23" s="403"/>
      <c r="DD23" s="403"/>
      <c r="DE23" s="403"/>
      <c r="DF23" s="403"/>
      <c r="DG23" s="403"/>
      <c r="DH23" s="403"/>
      <c r="DI23" s="403"/>
      <c r="DJ23" s="403"/>
      <c r="DK23" s="403"/>
      <c r="DL23" s="403" t="s">
        <v>10555</v>
      </c>
      <c r="DM23" s="403"/>
      <c r="DN23" s="403"/>
      <c r="DO23" s="403"/>
      <c r="DP23" s="403"/>
      <c r="DQ23" s="403"/>
      <c r="DR23" s="403"/>
      <c r="DS23" s="403"/>
      <c r="DT23" s="403"/>
      <c r="DU23" s="403"/>
      <c r="DV23" s="403"/>
      <c r="DW23" s="403"/>
      <c r="DX23" s="403"/>
      <c r="DY23" s="403"/>
      <c r="DZ23" s="403"/>
      <c r="EA23" s="403"/>
      <c r="EB23" s="403"/>
      <c r="EC23" s="403"/>
      <c r="ED23" s="403"/>
      <c r="EE23" s="403" t="s">
        <v>10556</v>
      </c>
      <c r="EF23" s="403"/>
      <c r="EG23" s="403"/>
      <c r="EH23" s="403"/>
      <c r="EI23" s="403"/>
      <c r="EJ23" s="403"/>
      <c r="EK23" s="403"/>
      <c r="EL23" s="403"/>
      <c r="EM23" s="403"/>
      <c r="EN23" s="403"/>
      <c r="EO23" s="403"/>
      <c r="EP23" s="403"/>
      <c r="EQ23" s="403"/>
      <c r="ER23" s="403"/>
      <c r="ES23" s="403"/>
      <c r="ET23" s="403"/>
    </row>
    <row r="24" spans="1:150" s="299" customFormat="1" x14ac:dyDescent="0.2">
      <c r="R24" s="403"/>
      <c r="S24" s="403"/>
      <c r="T24" s="403"/>
      <c r="U24" s="403"/>
      <c r="V24" s="403"/>
      <c r="W24" s="403"/>
      <c r="X24" s="403"/>
      <c r="Y24" s="403"/>
      <c r="Z24" s="403"/>
      <c r="AA24" s="403"/>
      <c r="AB24" s="403"/>
      <c r="AC24" s="403"/>
      <c r="AD24" s="403"/>
      <c r="AE24" s="403"/>
      <c r="AF24" s="403"/>
      <c r="AG24" s="403"/>
      <c r="AH24" s="403"/>
      <c r="AI24" s="403"/>
      <c r="AJ24" s="403"/>
      <c r="AK24" s="403"/>
      <c r="AL24" s="403"/>
      <c r="AM24" s="403"/>
      <c r="AN24" s="403"/>
      <c r="AO24" s="403"/>
      <c r="AP24" s="403"/>
      <c r="AQ24" s="403"/>
      <c r="AR24" s="403"/>
      <c r="AS24" s="403"/>
      <c r="AT24" s="403"/>
      <c r="AU24" s="403"/>
      <c r="AV24" s="403"/>
      <c r="AW24" s="403"/>
      <c r="AX24" s="403"/>
      <c r="AY24" s="403"/>
      <c r="AZ24" s="403"/>
      <c r="BA24" s="403"/>
      <c r="BB24" s="403"/>
      <c r="BC24" s="403"/>
      <c r="BD24" s="403"/>
      <c r="BE24" s="403"/>
      <c r="BF24" s="403"/>
      <c r="BG24" s="403"/>
      <c r="BH24" s="403"/>
      <c r="BI24" s="403"/>
      <c r="BJ24" s="403"/>
      <c r="BK24" s="403"/>
      <c r="BL24" s="403"/>
      <c r="BM24" s="403"/>
      <c r="BN24" s="403"/>
      <c r="BO24" s="403"/>
      <c r="BP24" s="403"/>
      <c r="BQ24" s="403"/>
      <c r="BR24" s="403"/>
      <c r="BS24" s="403"/>
      <c r="BT24" s="403"/>
      <c r="BU24" s="403"/>
      <c r="BV24" s="403"/>
      <c r="BW24" s="403"/>
      <c r="BX24" s="403"/>
      <c r="BY24" s="403"/>
      <c r="BZ24" s="403"/>
      <c r="CA24" s="403"/>
      <c r="CB24" s="403"/>
      <c r="CC24" s="403"/>
      <c r="CD24" s="403"/>
      <c r="CE24" s="403"/>
      <c r="CF24" s="403"/>
      <c r="CG24" s="403"/>
      <c r="CH24" s="403"/>
      <c r="CI24" s="403"/>
      <c r="CJ24" s="403"/>
      <c r="CK24" s="403"/>
      <c r="CL24" s="403"/>
      <c r="CM24" s="403"/>
      <c r="CN24" s="403"/>
      <c r="CO24" s="403"/>
      <c r="CP24" s="403"/>
      <c r="CQ24" s="403"/>
      <c r="CR24" s="403"/>
      <c r="CS24" s="403"/>
      <c r="CT24" s="403"/>
      <c r="CU24" s="403"/>
      <c r="CV24" s="403"/>
      <c r="CW24" s="403"/>
      <c r="CX24" s="403"/>
      <c r="CY24" s="403"/>
      <c r="CZ24" s="403"/>
      <c r="DA24" s="403"/>
      <c r="DB24" s="403"/>
      <c r="DC24" s="403"/>
      <c r="DD24" s="403"/>
      <c r="DE24" s="403"/>
      <c r="DF24" s="403"/>
      <c r="DG24" s="403"/>
      <c r="DH24" s="403"/>
      <c r="DI24" s="403"/>
      <c r="DJ24" s="403"/>
      <c r="DK24" s="403"/>
      <c r="DL24" s="403"/>
      <c r="DM24" s="403"/>
      <c r="DN24" s="403"/>
      <c r="DO24" s="403"/>
      <c r="DP24" s="403"/>
      <c r="DQ24" s="403"/>
      <c r="DR24" s="403"/>
      <c r="DS24" s="403"/>
      <c r="DT24" s="403"/>
      <c r="DU24" s="403"/>
      <c r="DV24" s="403"/>
      <c r="DW24" s="403"/>
      <c r="DX24" s="403"/>
      <c r="DY24" s="403"/>
      <c r="DZ24" s="403"/>
      <c r="EA24" s="403"/>
      <c r="EB24" s="403"/>
      <c r="EC24" s="403"/>
      <c r="ED24" s="403"/>
      <c r="EE24" s="403"/>
      <c r="EF24" s="403"/>
      <c r="EG24" s="403"/>
      <c r="EH24" s="403"/>
      <c r="EI24" s="403"/>
      <c r="EJ24" s="403"/>
      <c r="EK24" s="403"/>
      <c r="EL24" s="403"/>
      <c r="EM24" s="403"/>
      <c r="EN24" s="403"/>
      <c r="EO24" s="403"/>
      <c r="EP24" s="403"/>
      <c r="EQ24" s="403"/>
      <c r="ER24" s="403"/>
      <c r="ES24" s="403"/>
      <c r="ET24" s="403"/>
    </row>
    <row r="25" spans="1:150" s="194" customFormat="1" x14ac:dyDescent="0.2">
      <c r="C25" s="611" t="str">
        <f ca="1">IF(OFFSET(U25,0,Lang_Order*Lang__B4)="","",OFFSET(U25,0,Lang_Order*Lang__B4))</f>
        <v>Surface Area (sqkm) covered by each fixed site</v>
      </c>
      <c r="D25" s="178" t="e">
        <f>D11/Pop_HCW_CS_Sites</f>
        <v>#DIV/0!</v>
      </c>
      <c r="R25" s="403"/>
      <c r="S25" s="403"/>
      <c r="T25" s="403"/>
      <c r="U25" s="403" t="s">
        <v>2841</v>
      </c>
      <c r="V25" s="403"/>
      <c r="W25" s="403"/>
      <c r="X25" s="403"/>
      <c r="Y25" s="403"/>
      <c r="Z25" s="403"/>
      <c r="AA25" s="403"/>
      <c r="AB25" s="403"/>
      <c r="AC25" s="403"/>
      <c r="AD25" s="403"/>
      <c r="AE25" s="403"/>
      <c r="AF25" s="403"/>
      <c r="AG25" s="403"/>
      <c r="AH25" s="403"/>
      <c r="AI25" s="403"/>
      <c r="AJ25" s="403"/>
      <c r="AK25" s="403"/>
      <c r="AL25" s="403"/>
      <c r="AM25" s="403"/>
      <c r="AN25" s="403" t="s">
        <v>10557</v>
      </c>
      <c r="AO25" s="403"/>
      <c r="AP25" s="403"/>
      <c r="AQ25" s="403"/>
      <c r="AR25" s="403"/>
      <c r="AS25" s="403"/>
      <c r="AT25" s="403"/>
      <c r="AU25" s="403"/>
      <c r="AV25" s="403"/>
      <c r="AW25" s="403"/>
      <c r="AX25" s="403"/>
      <c r="AY25" s="403"/>
      <c r="AZ25" s="403"/>
      <c r="BA25" s="403"/>
      <c r="BB25" s="403"/>
      <c r="BC25" s="403"/>
      <c r="BD25" s="403"/>
      <c r="BE25" s="403"/>
      <c r="BF25" s="403"/>
      <c r="BG25" s="403" t="s">
        <v>10558</v>
      </c>
      <c r="BH25" s="403"/>
      <c r="BI25" s="403"/>
      <c r="BJ25" s="403"/>
      <c r="BK25" s="403"/>
      <c r="BL25" s="403"/>
      <c r="BM25" s="403"/>
      <c r="BN25" s="403"/>
      <c r="BO25" s="403"/>
      <c r="BP25" s="403"/>
      <c r="BQ25" s="403"/>
      <c r="BR25" s="403"/>
      <c r="BS25" s="403"/>
      <c r="BT25" s="403"/>
      <c r="BU25" s="403"/>
      <c r="BV25" s="403"/>
      <c r="BW25" s="403"/>
      <c r="BX25" s="403"/>
      <c r="BY25" s="403"/>
      <c r="BZ25" s="403" t="s">
        <v>10559</v>
      </c>
      <c r="CA25" s="403"/>
      <c r="CB25" s="403"/>
      <c r="CC25" s="403"/>
      <c r="CD25" s="403"/>
      <c r="CE25" s="403"/>
      <c r="CF25" s="403"/>
      <c r="CG25" s="403"/>
      <c r="CH25" s="403"/>
      <c r="CI25" s="403"/>
      <c r="CJ25" s="403"/>
      <c r="CK25" s="403"/>
      <c r="CL25" s="403"/>
      <c r="CM25" s="403"/>
      <c r="CN25" s="403"/>
      <c r="CO25" s="403"/>
      <c r="CP25" s="403"/>
      <c r="CQ25" s="403"/>
      <c r="CR25" s="403"/>
      <c r="CS25" s="403" t="s">
        <v>10560</v>
      </c>
      <c r="CT25" s="403"/>
      <c r="CU25" s="403"/>
      <c r="CV25" s="403"/>
      <c r="CW25" s="403"/>
      <c r="CX25" s="403"/>
      <c r="CY25" s="403"/>
      <c r="CZ25" s="403"/>
      <c r="DA25" s="403"/>
      <c r="DB25" s="403"/>
      <c r="DC25" s="403"/>
      <c r="DD25" s="403"/>
      <c r="DE25" s="403"/>
      <c r="DF25" s="403"/>
      <c r="DG25" s="403"/>
      <c r="DH25" s="403"/>
      <c r="DI25" s="403"/>
      <c r="DJ25" s="403"/>
      <c r="DK25" s="403"/>
      <c r="DL25" s="403" t="s">
        <v>10561</v>
      </c>
      <c r="DM25" s="403"/>
      <c r="DN25" s="403"/>
      <c r="DO25" s="403"/>
      <c r="DP25" s="403"/>
      <c r="DQ25" s="403"/>
      <c r="DR25" s="403"/>
      <c r="DS25" s="403"/>
      <c r="DT25" s="403"/>
      <c r="DU25" s="403"/>
      <c r="DV25" s="403"/>
      <c r="DW25" s="403"/>
      <c r="DX25" s="403"/>
      <c r="DY25" s="403"/>
      <c r="DZ25" s="403"/>
      <c r="EA25" s="403"/>
      <c r="EB25" s="403"/>
      <c r="EC25" s="403"/>
      <c r="ED25" s="403"/>
      <c r="EE25" s="403" t="s">
        <v>10562</v>
      </c>
      <c r="EF25" s="403"/>
      <c r="EG25" s="403"/>
      <c r="EH25" s="403"/>
      <c r="EI25" s="403"/>
      <c r="EJ25" s="403"/>
      <c r="EK25" s="403"/>
      <c r="EL25" s="403"/>
      <c r="EM25" s="403"/>
      <c r="EN25" s="403"/>
      <c r="EO25" s="403"/>
      <c r="EP25" s="403"/>
      <c r="EQ25" s="403"/>
      <c r="ER25" s="403"/>
      <c r="ES25" s="403"/>
      <c r="ET25" s="403"/>
    </row>
    <row r="26" spans="1:150" s="194" customFormat="1" x14ac:dyDescent="0.2">
      <c r="C26" s="370" t="str">
        <f ca="1">IF(OFFSET(U26,0,Lang_Order*Lang__B4)="","",OFFSET(U26,0,Lang_Order*Lang__B4))</f>
        <v>Half of the radius, assume fixed site catchment area is round (km)</v>
      </c>
      <c r="D26" s="151" t="e">
        <f>SQRT(D25/PI())/2</f>
        <v>#DIV/0!</v>
      </c>
      <c r="R26" s="403"/>
      <c r="S26" s="403"/>
      <c r="T26" s="403"/>
      <c r="U26" s="403" t="s">
        <v>2836</v>
      </c>
      <c r="V26" s="403"/>
      <c r="W26" s="403"/>
      <c r="X26" s="403"/>
      <c r="Y26" s="403"/>
      <c r="Z26" s="403"/>
      <c r="AA26" s="403"/>
      <c r="AB26" s="403"/>
      <c r="AC26" s="403"/>
      <c r="AD26" s="403"/>
      <c r="AE26" s="403"/>
      <c r="AF26" s="403"/>
      <c r="AG26" s="403"/>
      <c r="AH26" s="403"/>
      <c r="AI26" s="403"/>
      <c r="AJ26" s="403"/>
      <c r="AK26" s="403"/>
      <c r="AL26" s="403"/>
      <c r="AM26" s="403"/>
      <c r="AN26" s="403" t="s">
        <v>10563</v>
      </c>
      <c r="AO26" s="403"/>
      <c r="AP26" s="403"/>
      <c r="AQ26" s="403"/>
      <c r="AR26" s="403"/>
      <c r="AS26" s="403"/>
      <c r="AT26" s="403"/>
      <c r="AU26" s="403"/>
      <c r="AV26" s="403"/>
      <c r="AW26" s="403"/>
      <c r="AX26" s="403"/>
      <c r="AY26" s="403"/>
      <c r="AZ26" s="403"/>
      <c r="BA26" s="403"/>
      <c r="BB26" s="403"/>
      <c r="BC26" s="403"/>
      <c r="BD26" s="403"/>
      <c r="BE26" s="403"/>
      <c r="BF26" s="403"/>
      <c r="BG26" s="403" t="s">
        <v>10564</v>
      </c>
      <c r="BH26" s="403"/>
      <c r="BI26" s="403"/>
      <c r="BJ26" s="403"/>
      <c r="BK26" s="403"/>
      <c r="BL26" s="403"/>
      <c r="BM26" s="403"/>
      <c r="BN26" s="403"/>
      <c r="BO26" s="403"/>
      <c r="BP26" s="403"/>
      <c r="BQ26" s="403"/>
      <c r="BR26" s="403"/>
      <c r="BS26" s="403"/>
      <c r="BT26" s="403"/>
      <c r="BU26" s="403"/>
      <c r="BV26" s="403"/>
      <c r="BW26" s="403"/>
      <c r="BX26" s="403"/>
      <c r="BY26" s="403"/>
      <c r="BZ26" s="403" t="s">
        <v>10565</v>
      </c>
      <c r="CA26" s="403"/>
      <c r="CB26" s="403"/>
      <c r="CC26" s="403"/>
      <c r="CD26" s="403"/>
      <c r="CE26" s="403"/>
      <c r="CF26" s="403"/>
      <c r="CG26" s="403"/>
      <c r="CH26" s="403"/>
      <c r="CI26" s="403"/>
      <c r="CJ26" s="403"/>
      <c r="CK26" s="403"/>
      <c r="CL26" s="403"/>
      <c r="CM26" s="403"/>
      <c r="CN26" s="403"/>
      <c r="CO26" s="403"/>
      <c r="CP26" s="403"/>
      <c r="CQ26" s="403"/>
      <c r="CR26" s="403"/>
      <c r="CS26" s="403" t="s">
        <v>10566</v>
      </c>
      <c r="CT26" s="403"/>
      <c r="CU26" s="403"/>
      <c r="CV26" s="403"/>
      <c r="CW26" s="403"/>
      <c r="CX26" s="403"/>
      <c r="CY26" s="403"/>
      <c r="CZ26" s="403"/>
      <c r="DA26" s="403"/>
      <c r="DB26" s="403"/>
      <c r="DC26" s="403"/>
      <c r="DD26" s="403"/>
      <c r="DE26" s="403"/>
      <c r="DF26" s="403"/>
      <c r="DG26" s="403"/>
      <c r="DH26" s="403"/>
      <c r="DI26" s="403"/>
      <c r="DJ26" s="403"/>
      <c r="DK26" s="403"/>
      <c r="DL26" s="403" t="s">
        <v>10567</v>
      </c>
      <c r="DM26" s="403"/>
      <c r="DN26" s="403"/>
      <c r="DO26" s="403"/>
      <c r="DP26" s="403"/>
      <c r="DQ26" s="403"/>
      <c r="DR26" s="403"/>
      <c r="DS26" s="403"/>
      <c r="DT26" s="403"/>
      <c r="DU26" s="403"/>
      <c r="DV26" s="403"/>
      <c r="DW26" s="403"/>
      <c r="DX26" s="403"/>
      <c r="DY26" s="403"/>
      <c r="DZ26" s="403"/>
      <c r="EA26" s="403"/>
      <c r="EB26" s="403"/>
      <c r="EC26" s="403"/>
      <c r="ED26" s="403"/>
      <c r="EE26" s="403" t="s">
        <v>10568</v>
      </c>
      <c r="EF26" s="403"/>
      <c r="EG26" s="403"/>
      <c r="EH26" s="403"/>
      <c r="EI26" s="403"/>
      <c r="EJ26" s="403"/>
      <c r="EK26" s="403"/>
      <c r="EL26" s="403"/>
      <c r="EM26" s="403"/>
      <c r="EN26" s="403"/>
      <c r="EO26" s="403"/>
      <c r="EP26" s="403"/>
      <c r="EQ26" s="403"/>
      <c r="ER26" s="403"/>
      <c r="ES26" s="403"/>
      <c r="ET26" s="403"/>
    </row>
    <row r="27" spans="1:150" s="194" customFormat="1" x14ac:dyDescent="0.2">
      <c r="C27" s="6" t="str">
        <f ca="1">IF(OFFSET(U27,0,Lang_Order*Lang__B4)="","",OFFSET(U27,0,Lang_Order*Lang__B4))</f>
        <v>DM2 site distances</v>
      </c>
      <c r="D27" s="151" t="e">
        <f>D26/2</f>
        <v>#DIV/0!</v>
      </c>
      <c r="R27" s="403"/>
      <c r="S27" s="403"/>
      <c r="T27" s="403"/>
      <c r="U27" s="403" t="s">
        <v>2837</v>
      </c>
      <c r="V27" s="403"/>
      <c r="W27" s="403"/>
      <c r="X27" s="403"/>
      <c r="Y27" s="403"/>
      <c r="Z27" s="403"/>
      <c r="AA27" s="403"/>
      <c r="AB27" s="403"/>
      <c r="AC27" s="403"/>
      <c r="AD27" s="403"/>
      <c r="AE27" s="403"/>
      <c r="AF27" s="403"/>
      <c r="AG27" s="403"/>
      <c r="AH27" s="403"/>
      <c r="AI27" s="403"/>
      <c r="AJ27" s="403"/>
      <c r="AK27" s="403"/>
      <c r="AL27" s="403"/>
      <c r="AM27" s="403"/>
      <c r="AN27" s="403" t="s">
        <v>10569</v>
      </c>
      <c r="AO27" s="403"/>
      <c r="AP27" s="403"/>
      <c r="AQ27" s="403"/>
      <c r="AR27" s="403"/>
      <c r="AS27" s="403"/>
      <c r="AT27" s="403"/>
      <c r="AU27" s="403"/>
      <c r="AV27" s="403"/>
      <c r="AW27" s="403"/>
      <c r="AX27" s="403"/>
      <c r="AY27" s="403"/>
      <c r="AZ27" s="403"/>
      <c r="BA27" s="403"/>
      <c r="BB27" s="403"/>
      <c r="BC27" s="403"/>
      <c r="BD27" s="403"/>
      <c r="BE27" s="403"/>
      <c r="BF27" s="403"/>
      <c r="BG27" s="403" t="s">
        <v>10570</v>
      </c>
      <c r="BH27" s="403"/>
      <c r="BI27" s="403"/>
      <c r="BJ27" s="403"/>
      <c r="BK27" s="403"/>
      <c r="BL27" s="403"/>
      <c r="BM27" s="403"/>
      <c r="BN27" s="403"/>
      <c r="BO27" s="403"/>
      <c r="BP27" s="403"/>
      <c r="BQ27" s="403"/>
      <c r="BR27" s="403"/>
      <c r="BS27" s="403"/>
      <c r="BT27" s="403"/>
      <c r="BU27" s="403"/>
      <c r="BV27" s="403"/>
      <c r="BW27" s="403"/>
      <c r="BX27" s="403"/>
      <c r="BY27" s="403"/>
      <c r="BZ27" s="403" t="s">
        <v>10571</v>
      </c>
      <c r="CA27" s="403"/>
      <c r="CB27" s="403"/>
      <c r="CC27" s="403"/>
      <c r="CD27" s="403"/>
      <c r="CE27" s="403"/>
      <c r="CF27" s="403"/>
      <c r="CG27" s="403"/>
      <c r="CH27" s="403"/>
      <c r="CI27" s="403"/>
      <c r="CJ27" s="403"/>
      <c r="CK27" s="403"/>
      <c r="CL27" s="403"/>
      <c r="CM27" s="403"/>
      <c r="CN27" s="403"/>
      <c r="CO27" s="403"/>
      <c r="CP27" s="403"/>
      <c r="CQ27" s="403"/>
      <c r="CR27" s="403"/>
      <c r="CS27" s="403" t="s">
        <v>10572</v>
      </c>
      <c r="CT27" s="403"/>
      <c r="CU27" s="403"/>
      <c r="CV27" s="403"/>
      <c r="CW27" s="403"/>
      <c r="CX27" s="403"/>
      <c r="CY27" s="403"/>
      <c r="CZ27" s="403"/>
      <c r="DA27" s="403"/>
      <c r="DB27" s="403"/>
      <c r="DC27" s="403"/>
      <c r="DD27" s="403"/>
      <c r="DE27" s="403"/>
      <c r="DF27" s="403"/>
      <c r="DG27" s="403"/>
      <c r="DH27" s="403"/>
      <c r="DI27" s="403"/>
      <c r="DJ27" s="403"/>
      <c r="DK27" s="403"/>
      <c r="DL27" s="403" t="s">
        <v>10573</v>
      </c>
      <c r="DM27" s="403"/>
      <c r="DN27" s="403"/>
      <c r="DO27" s="403"/>
      <c r="DP27" s="403"/>
      <c r="DQ27" s="403"/>
      <c r="DR27" s="403"/>
      <c r="DS27" s="403"/>
      <c r="DT27" s="403"/>
      <c r="DU27" s="403"/>
      <c r="DV27" s="403"/>
      <c r="DW27" s="403"/>
      <c r="DX27" s="403"/>
      <c r="DY27" s="403"/>
      <c r="DZ27" s="403"/>
      <c r="EA27" s="403"/>
      <c r="EB27" s="403"/>
      <c r="EC27" s="403"/>
      <c r="ED27" s="403"/>
      <c r="EE27" s="403" t="s">
        <v>10574</v>
      </c>
      <c r="EF27" s="403"/>
      <c r="EG27" s="403"/>
      <c r="EH27" s="403"/>
      <c r="EI27" s="403"/>
      <c r="EJ27" s="403"/>
      <c r="EK27" s="403"/>
      <c r="EL27" s="403"/>
      <c r="EM27" s="403"/>
      <c r="EN27" s="403"/>
      <c r="EO27" s="403"/>
      <c r="EP27" s="403"/>
      <c r="EQ27" s="403"/>
      <c r="ER27" s="403"/>
      <c r="ES27" s="403"/>
      <c r="ET27" s="403"/>
    </row>
    <row r="28" spans="1:150" s="194" customFormat="1" x14ac:dyDescent="0.2">
      <c r="C28" s="6" t="str">
        <f ca="1">IF(OFFSET(U28,0,Lang_Order*Lang__B4)="","",OFFSET(U28,0,Lang_Order*Lang__B4))</f>
        <v>DM4 site distances</v>
      </c>
      <c r="D28" s="151" t="e">
        <f>D26+D27</f>
        <v>#DIV/0!</v>
      </c>
      <c r="R28" s="403"/>
      <c r="S28" s="403"/>
      <c r="T28" s="403"/>
      <c r="U28" s="403" t="s">
        <v>2838</v>
      </c>
      <c r="V28" s="403"/>
      <c r="W28" s="403"/>
      <c r="X28" s="403"/>
      <c r="Y28" s="403"/>
      <c r="Z28" s="403"/>
      <c r="AA28" s="403"/>
      <c r="AB28" s="403"/>
      <c r="AC28" s="403"/>
      <c r="AD28" s="403"/>
      <c r="AE28" s="403"/>
      <c r="AF28" s="403"/>
      <c r="AG28" s="403"/>
      <c r="AH28" s="403"/>
      <c r="AI28" s="403"/>
      <c r="AJ28" s="403"/>
      <c r="AK28" s="403"/>
      <c r="AL28" s="403"/>
      <c r="AM28" s="403"/>
      <c r="AN28" s="403" t="s">
        <v>10569</v>
      </c>
      <c r="AO28" s="403"/>
      <c r="AP28" s="403"/>
      <c r="AQ28" s="403"/>
      <c r="AR28" s="403"/>
      <c r="AS28" s="403"/>
      <c r="AT28" s="403"/>
      <c r="AU28" s="403"/>
      <c r="AV28" s="403"/>
      <c r="AW28" s="403"/>
      <c r="AX28" s="403"/>
      <c r="AY28" s="403"/>
      <c r="AZ28" s="403"/>
      <c r="BA28" s="403"/>
      <c r="BB28" s="403"/>
      <c r="BC28" s="403"/>
      <c r="BD28" s="403"/>
      <c r="BE28" s="403"/>
      <c r="BF28" s="403"/>
      <c r="BG28" s="403" t="s">
        <v>10575</v>
      </c>
      <c r="BH28" s="403"/>
      <c r="BI28" s="403"/>
      <c r="BJ28" s="403"/>
      <c r="BK28" s="403"/>
      <c r="BL28" s="403"/>
      <c r="BM28" s="403"/>
      <c r="BN28" s="403"/>
      <c r="BO28" s="403"/>
      <c r="BP28" s="403"/>
      <c r="BQ28" s="403"/>
      <c r="BR28" s="403"/>
      <c r="BS28" s="403"/>
      <c r="BT28" s="403"/>
      <c r="BU28" s="403"/>
      <c r="BV28" s="403"/>
      <c r="BW28" s="403"/>
      <c r="BX28" s="403"/>
      <c r="BY28" s="403"/>
      <c r="BZ28" s="403" t="s">
        <v>10576</v>
      </c>
      <c r="CA28" s="403"/>
      <c r="CB28" s="403"/>
      <c r="CC28" s="403"/>
      <c r="CD28" s="403"/>
      <c r="CE28" s="403"/>
      <c r="CF28" s="403"/>
      <c r="CG28" s="403"/>
      <c r="CH28" s="403"/>
      <c r="CI28" s="403"/>
      <c r="CJ28" s="403"/>
      <c r="CK28" s="403"/>
      <c r="CL28" s="403"/>
      <c r="CM28" s="403"/>
      <c r="CN28" s="403"/>
      <c r="CO28" s="403"/>
      <c r="CP28" s="403"/>
      <c r="CQ28" s="403"/>
      <c r="CR28" s="403"/>
      <c r="CS28" s="403" t="s">
        <v>10577</v>
      </c>
      <c r="CT28" s="403"/>
      <c r="CU28" s="403"/>
      <c r="CV28" s="403"/>
      <c r="CW28" s="403"/>
      <c r="CX28" s="403"/>
      <c r="CY28" s="403"/>
      <c r="CZ28" s="403"/>
      <c r="DA28" s="403"/>
      <c r="DB28" s="403"/>
      <c r="DC28" s="403"/>
      <c r="DD28" s="403"/>
      <c r="DE28" s="403"/>
      <c r="DF28" s="403"/>
      <c r="DG28" s="403"/>
      <c r="DH28" s="403"/>
      <c r="DI28" s="403"/>
      <c r="DJ28" s="403"/>
      <c r="DK28" s="403"/>
      <c r="DL28" s="403" t="s">
        <v>10578</v>
      </c>
      <c r="DM28" s="403"/>
      <c r="DN28" s="403"/>
      <c r="DO28" s="403"/>
      <c r="DP28" s="403"/>
      <c r="DQ28" s="403"/>
      <c r="DR28" s="403"/>
      <c r="DS28" s="403"/>
      <c r="DT28" s="403"/>
      <c r="DU28" s="403"/>
      <c r="DV28" s="403"/>
      <c r="DW28" s="403"/>
      <c r="DX28" s="403"/>
      <c r="DY28" s="403"/>
      <c r="DZ28" s="403"/>
      <c r="EA28" s="403"/>
      <c r="EB28" s="403"/>
      <c r="EC28" s="403"/>
      <c r="ED28" s="403"/>
      <c r="EE28" s="403" t="s">
        <v>10579</v>
      </c>
      <c r="EF28" s="403"/>
      <c r="EG28" s="403"/>
      <c r="EH28" s="403"/>
      <c r="EI28" s="403"/>
      <c r="EJ28" s="403"/>
      <c r="EK28" s="403"/>
      <c r="EL28" s="403"/>
      <c r="EM28" s="403"/>
      <c r="EN28" s="403"/>
      <c r="EO28" s="403"/>
      <c r="EP28" s="403"/>
      <c r="EQ28" s="403"/>
      <c r="ER28" s="403"/>
      <c r="ES28" s="403"/>
      <c r="ET28" s="403"/>
    </row>
    <row r="29" spans="1:150" s="194" customFormat="1" x14ac:dyDescent="0.2">
      <c r="C29" s="6"/>
      <c r="D29" s="6"/>
      <c r="R29" s="403"/>
      <c r="S29" s="403"/>
      <c r="T29" s="403"/>
      <c r="U29" s="403"/>
      <c r="V29" s="403"/>
      <c r="W29" s="403"/>
      <c r="X29" s="403"/>
      <c r="Y29" s="403"/>
      <c r="Z29" s="403"/>
      <c r="AA29" s="403"/>
      <c r="AB29" s="403"/>
      <c r="AC29" s="403"/>
      <c r="AD29" s="403"/>
      <c r="AE29" s="403"/>
      <c r="AF29" s="403"/>
      <c r="AG29" s="403"/>
      <c r="AH29" s="403"/>
      <c r="AI29" s="403"/>
      <c r="AJ29" s="403"/>
      <c r="AK29" s="403"/>
      <c r="AL29" s="403"/>
      <c r="AM29" s="403"/>
      <c r="AN29" s="403"/>
      <c r="AO29" s="403"/>
      <c r="AP29" s="403"/>
      <c r="AQ29" s="403"/>
      <c r="AR29" s="403"/>
      <c r="AS29" s="403"/>
      <c r="AT29" s="403"/>
      <c r="AU29" s="403"/>
      <c r="AV29" s="403"/>
      <c r="AW29" s="403"/>
      <c r="AX29" s="403"/>
      <c r="AY29" s="403"/>
      <c r="AZ29" s="403"/>
      <c r="BA29" s="403"/>
      <c r="BB29" s="403"/>
      <c r="BC29" s="403"/>
      <c r="BD29" s="403"/>
      <c r="BE29" s="403"/>
      <c r="BF29" s="403"/>
      <c r="BG29" s="403"/>
      <c r="BH29" s="403"/>
      <c r="BI29" s="403"/>
      <c r="BJ29" s="403"/>
      <c r="BK29" s="403"/>
      <c r="BL29" s="403"/>
      <c r="BM29" s="403"/>
      <c r="BN29" s="403"/>
      <c r="BO29" s="403"/>
      <c r="BP29" s="403"/>
      <c r="BQ29" s="403"/>
      <c r="BR29" s="403"/>
      <c r="BS29" s="403"/>
      <c r="BT29" s="403"/>
      <c r="BU29" s="403"/>
      <c r="BV29" s="403"/>
      <c r="BW29" s="403"/>
      <c r="BX29" s="403"/>
      <c r="BY29" s="403"/>
      <c r="BZ29" s="403"/>
      <c r="CA29" s="403"/>
      <c r="CB29" s="403"/>
      <c r="CC29" s="403"/>
      <c r="CD29" s="403"/>
      <c r="CE29" s="403"/>
      <c r="CF29" s="403"/>
      <c r="CG29" s="403"/>
      <c r="CH29" s="403"/>
      <c r="CI29" s="403"/>
      <c r="CJ29" s="403"/>
      <c r="CK29" s="403"/>
      <c r="CL29" s="403"/>
      <c r="CM29" s="403"/>
      <c r="CN29" s="403"/>
      <c r="CO29" s="403"/>
      <c r="CP29" s="403"/>
      <c r="CQ29" s="403"/>
      <c r="CR29" s="403"/>
      <c r="CS29" s="403"/>
      <c r="CT29" s="403"/>
      <c r="CU29" s="403"/>
      <c r="CV29" s="403"/>
      <c r="CW29" s="403"/>
      <c r="CX29" s="403"/>
      <c r="CY29" s="403"/>
      <c r="CZ29" s="403"/>
      <c r="DA29" s="403"/>
      <c r="DB29" s="403"/>
      <c r="DC29" s="403"/>
      <c r="DD29" s="403"/>
      <c r="DE29" s="403"/>
      <c r="DF29" s="403"/>
      <c r="DG29" s="403"/>
      <c r="DH29" s="403"/>
      <c r="DI29" s="403"/>
      <c r="DJ29" s="403"/>
      <c r="DK29" s="403"/>
      <c r="DL29" s="403"/>
      <c r="DM29" s="403"/>
      <c r="DN29" s="403"/>
      <c r="DO29" s="403"/>
      <c r="DP29" s="403"/>
      <c r="DQ29" s="403"/>
      <c r="DR29" s="403"/>
      <c r="DS29" s="403"/>
      <c r="DT29" s="403"/>
      <c r="DU29" s="403"/>
      <c r="DV29" s="403"/>
      <c r="DW29" s="403"/>
      <c r="DX29" s="403"/>
      <c r="DY29" s="403"/>
      <c r="DZ29" s="403"/>
      <c r="EA29" s="403"/>
      <c r="EB29" s="403"/>
      <c r="EC29" s="403"/>
      <c r="ED29" s="403"/>
      <c r="EE29" s="403"/>
      <c r="EF29" s="403"/>
      <c r="EG29" s="403"/>
      <c r="EH29" s="403"/>
      <c r="EI29" s="403"/>
      <c r="EJ29" s="403"/>
      <c r="EK29" s="403"/>
      <c r="EL29" s="403"/>
      <c r="EM29" s="403"/>
      <c r="EN29" s="403"/>
      <c r="EO29" s="403"/>
      <c r="EP29" s="403"/>
      <c r="EQ29" s="403"/>
      <c r="ER29" s="403"/>
      <c r="ES29" s="403"/>
      <c r="ET29" s="403"/>
    </row>
    <row r="30" spans="1:150" s="194" customFormat="1" x14ac:dyDescent="0.2">
      <c r="A30" s="350">
        <v>2</v>
      </c>
      <c r="C30" s="611" t="str">
        <f ca="1">IF(OFFSET(U30,0,Lang_Order*Lang__B4)="","",OFFSET(U30,0,Lang_Order*Lang__B4))</f>
        <v>Distance from fixed sites to DM3 Institutions (km)</v>
      </c>
      <c r="D30" s="205">
        <v>5</v>
      </c>
      <c r="J30" s="81">
        <v>5</v>
      </c>
      <c r="K30" s="2" t="str">
        <f ca="1">IF(OFFSET(AC30,0,Lang_Order*Lang__B4)="","",OFFSET(AC30,0,Lang_Order*Lang__B4))</f>
        <v>Advanced Users: This distance assumption can be modified</v>
      </c>
      <c r="Q30" s="12" t="str">
        <f ca="1">IF(OFFSET(AI30,0,Lang_Order*Lang__B4)="","",OFFSET(AI30,0,Lang_Order*Lang__B4))</f>
        <v>Assumes that institutions (detention centers, nursing homes) will not be far from fixed sites by design</v>
      </c>
      <c r="R30" s="403"/>
      <c r="S30" s="403"/>
      <c r="T30" s="403"/>
      <c r="U30" s="403" t="s">
        <v>2975</v>
      </c>
      <c r="V30" s="403"/>
      <c r="W30" s="403"/>
      <c r="X30" s="403"/>
      <c r="Y30" s="403"/>
      <c r="Z30" s="403"/>
      <c r="AA30" s="403"/>
      <c r="AB30" s="403"/>
      <c r="AC30" s="403" t="s">
        <v>3732</v>
      </c>
      <c r="AD30" s="403"/>
      <c r="AE30" s="403"/>
      <c r="AF30" s="403"/>
      <c r="AG30" s="403"/>
      <c r="AH30" s="403"/>
      <c r="AI30" s="403" t="s">
        <v>2839</v>
      </c>
      <c r="AJ30" s="403"/>
      <c r="AK30" s="403"/>
      <c r="AL30" s="403"/>
      <c r="AM30" s="403"/>
      <c r="AN30" s="403" t="s">
        <v>10580</v>
      </c>
      <c r="AO30" s="403"/>
      <c r="AP30" s="403"/>
      <c r="AQ30" s="403"/>
      <c r="AR30" s="403"/>
      <c r="AS30" s="403"/>
      <c r="AT30" s="403"/>
      <c r="AU30" s="403"/>
      <c r="AV30" s="403" t="s">
        <v>10581</v>
      </c>
      <c r="AW30" s="403"/>
      <c r="AX30" s="403"/>
      <c r="AY30" s="403"/>
      <c r="AZ30" s="403"/>
      <c r="BA30" s="403"/>
      <c r="BB30" s="403" t="s">
        <v>10582</v>
      </c>
      <c r="BC30" s="403"/>
      <c r="BD30" s="403"/>
      <c r="BE30" s="403"/>
      <c r="BF30" s="403"/>
      <c r="BG30" s="403" t="s">
        <v>10583</v>
      </c>
      <c r="BH30" s="403"/>
      <c r="BI30" s="403"/>
      <c r="BJ30" s="403"/>
      <c r="BK30" s="403"/>
      <c r="BL30" s="403"/>
      <c r="BM30" s="403"/>
      <c r="BN30" s="403"/>
      <c r="BO30" s="403" t="s">
        <v>10584</v>
      </c>
      <c r="BP30" s="403"/>
      <c r="BQ30" s="403"/>
      <c r="BR30" s="403"/>
      <c r="BS30" s="403"/>
      <c r="BT30" s="403"/>
      <c r="BU30" s="403" t="s">
        <v>10585</v>
      </c>
      <c r="BV30" s="403"/>
      <c r="BW30" s="403"/>
      <c r="BX30" s="403"/>
      <c r="BY30" s="403"/>
      <c r="BZ30" s="403" t="s">
        <v>10586</v>
      </c>
      <c r="CA30" s="403"/>
      <c r="CB30" s="403"/>
      <c r="CC30" s="403"/>
      <c r="CD30" s="403"/>
      <c r="CE30" s="403"/>
      <c r="CF30" s="403"/>
      <c r="CG30" s="403"/>
      <c r="CH30" s="403" t="s">
        <v>10587</v>
      </c>
      <c r="CI30" s="403"/>
      <c r="CJ30" s="403"/>
      <c r="CK30" s="403"/>
      <c r="CL30" s="403"/>
      <c r="CM30" s="403"/>
      <c r="CN30" s="403" t="s">
        <v>10588</v>
      </c>
      <c r="CO30" s="403"/>
      <c r="CP30" s="403"/>
      <c r="CQ30" s="403"/>
      <c r="CR30" s="403"/>
      <c r="CS30" s="403" t="s">
        <v>10589</v>
      </c>
      <c r="CT30" s="403"/>
      <c r="CU30" s="403"/>
      <c r="CV30" s="403"/>
      <c r="CW30" s="403"/>
      <c r="CX30" s="403"/>
      <c r="CY30" s="403"/>
      <c r="CZ30" s="403"/>
      <c r="DA30" s="403" t="s">
        <v>10590</v>
      </c>
      <c r="DB30" s="403"/>
      <c r="DC30" s="403"/>
      <c r="DD30" s="403"/>
      <c r="DE30" s="403"/>
      <c r="DF30" s="403"/>
      <c r="DG30" s="403" t="s">
        <v>10591</v>
      </c>
      <c r="DH30" s="403"/>
      <c r="DI30" s="403"/>
      <c r="DJ30" s="403"/>
      <c r="DK30" s="403"/>
      <c r="DL30" s="403" t="s">
        <v>10592</v>
      </c>
      <c r="DM30" s="403"/>
      <c r="DN30" s="403"/>
      <c r="DO30" s="403"/>
      <c r="DP30" s="403"/>
      <c r="DQ30" s="403"/>
      <c r="DR30" s="403"/>
      <c r="DS30" s="403"/>
      <c r="DT30" s="403" t="s">
        <v>10593</v>
      </c>
      <c r="DU30" s="403"/>
      <c r="DV30" s="403"/>
      <c r="DW30" s="403"/>
      <c r="DX30" s="403"/>
      <c r="DY30" s="403"/>
      <c r="DZ30" s="403" t="s">
        <v>10594</v>
      </c>
      <c r="EA30" s="403"/>
      <c r="EB30" s="403"/>
      <c r="EC30" s="403"/>
      <c r="ED30" s="403"/>
      <c r="EE30" s="403" t="s">
        <v>10595</v>
      </c>
      <c r="EF30" s="403"/>
      <c r="EG30" s="403"/>
      <c r="EH30" s="403"/>
      <c r="EI30" s="403"/>
      <c r="EJ30" s="403"/>
      <c r="EK30" s="403"/>
      <c r="EL30" s="403"/>
      <c r="EM30" s="403" t="s">
        <v>10596</v>
      </c>
      <c r="EN30" s="403"/>
      <c r="EO30" s="403"/>
      <c r="EP30" s="403"/>
      <c r="EQ30" s="403"/>
      <c r="ER30" s="403"/>
      <c r="ES30" s="403" t="s">
        <v>10597</v>
      </c>
      <c r="ET30" s="403"/>
    </row>
    <row r="31" spans="1:150" s="194" customFormat="1" x14ac:dyDescent="0.2">
      <c r="B31" s="2" t="str">
        <f ca="1">IF(OFFSET(T31,0,Lang_Order*Lang__B4)="","",OFFSET(T31,0,Lang_Order*Lang__B4))</f>
        <v>Cold chain assumptions and precalculations</v>
      </c>
      <c r="R31" s="403"/>
      <c r="S31" s="403"/>
      <c r="T31" s="403" t="s">
        <v>3957</v>
      </c>
      <c r="U31" s="403"/>
      <c r="V31" s="403"/>
      <c r="W31" s="403"/>
      <c r="X31" s="403"/>
      <c r="Y31" s="403"/>
      <c r="Z31" s="403"/>
      <c r="AA31" s="403"/>
      <c r="AB31" s="403"/>
      <c r="AC31" s="403"/>
      <c r="AD31" s="403"/>
      <c r="AE31" s="403"/>
      <c r="AF31" s="403"/>
      <c r="AG31" s="403"/>
      <c r="AH31" s="403"/>
      <c r="AI31" s="403"/>
      <c r="AJ31" s="403"/>
      <c r="AK31" s="403"/>
      <c r="AL31" s="403"/>
      <c r="AM31" s="403" t="s">
        <v>10598</v>
      </c>
      <c r="AN31" s="403"/>
      <c r="AO31" s="403"/>
      <c r="AP31" s="403"/>
      <c r="AQ31" s="403"/>
      <c r="AR31" s="403"/>
      <c r="AS31" s="403"/>
      <c r="AT31" s="403"/>
      <c r="AU31" s="403"/>
      <c r="AV31" s="403"/>
      <c r="AW31" s="403"/>
      <c r="AX31" s="403"/>
      <c r="AY31" s="403"/>
      <c r="AZ31" s="403"/>
      <c r="BA31" s="403"/>
      <c r="BB31" s="403"/>
      <c r="BC31" s="403"/>
      <c r="BD31" s="403"/>
      <c r="BE31" s="403"/>
      <c r="BF31" s="403" t="s">
        <v>10599</v>
      </c>
      <c r="BG31" s="403"/>
      <c r="BH31" s="403"/>
      <c r="BI31" s="403"/>
      <c r="BJ31" s="403"/>
      <c r="BK31" s="403"/>
      <c r="BL31" s="403"/>
      <c r="BM31" s="403"/>
      <c r="BN31" s="403"/>
      <c r="BO31" s="403"/>
      <c r="BP31" s="403"/>
      <c r="BQ31" s="403"/>
      <c r="BR31" s="403"/>
      <c r="BS31" s="403"/>
      <c r="BT31" s="403"/>
      <c r="BU31" s="403"/>
      <c r="BV31" s="403"/>
      <c r="BW31" s="403"/>
      <c r="BX31" s="403"/>
      <c r="BY31" s="403" t="s">
        <v>10600</v>
      </c>
      <c r="BZ31" s="403"/>
      <c r="CA31" s="403"/>
      <c r="CB31" s="403"/>
      <c r="CC31" s="403"/>
      <c r="CD31" s="403"/>
      <c r="CE31" s="403"/>
      <c r="CF31" s="403"/>
      <c r="CG31" s="403"/>
      <c r="CH31" s="403"/>
      <c r="CI31" s="403"/>
      <c r="CJ31" s="403"/>
      <c r="CK31" s="403"/>
      <c r="CL31" s="403"/>
      <c r="CM31" s="403"/>
      <c r="CN31" s="403"/>
      <c r="CO31" s="403"/>
      <c r="CP31" s="403"/>
      <c r="CQ31" s="403"/>
      <c r="CR31" s="403" t="s">
        <v>10601</v>
      </c>
      <c r="CS31" s="403"/>
      <c r="CT31" s="403"/>
      <c r="CU31" s="403"/>
      <c r="CV31" s="403"/>
      <c r="CW31" s="403"/>
      <c r="CX31" s="403"/>
      <c r="CY31" s="403"/>
      <c r="CZ31" s="403"/>
      <c r="DA31" s="403"/>
      <c r="DB31" s="403"/>
      <c r="DC31" s="403"/>
      <c r="DD31" s="403"/>
      <c r="DE31" s="403"/>
      <c r="DF31" s="403"/>
      <c r="DG31" s="403"/>
      <c r="DH31" s="403"/>
      <c r="DI31" s="403"/>
      <c r="DJ31" s="403"/>
      <c r="DK31" s="403"/>
      <c r="DL31" s="403"/>
      <c r="DM31" s="403"/>
      <c r="DN31" s="403"/>
      <c r="DO31" s="403"/>
      <c r="DP31" s="403"/>
      <c r="DQ31" s="403"/>
      <c r="DR31" s="403"/>
      <c r="DS31" s="403"/>
      <c r="DT31" s="403"/>
      <c r="DU31" s="403"/>
      <c r="DV31" s="403"/>
      <c r="DW31" s="403"/>
      <c r="DX31" s="403"/>
      <c r="DY31" s="403"/>
      <c r="DZ31" s="403"/>
      <c r="EA31" s="403"/>
      <c r="EB31" s="403"/>
      <c r="EC31" s="403"/>
      <c r="ED31" s="403" t="s">
        <v>10602</v>
      </c>
      <c r="EE31" s="403"/>
      <c r="EF31" s="403"/>
      <c r="EG31" s="403"/>
      <c r="EH31" s="403"/>
      <c r="EI31" s="403"/>
      <c r="EJ31" s="403"/>
      <c r="EK31" s="403"/>
      <c r="EL31" s="403"/>
      <c r="EM31" s="403"/>
      <c r="EN31" s="403"/>
      <c r="EO31" s="403"/>
      <c r="EP31" s="403"/>
      <c r="EQ31" s="403"/>
      <c r="ER31" s="403"/>
      <c r="ES31" s="403"/>
      <c r="ET31" s="403"/>
    </row>
    <row r="32" spans="1:150" s="281" customFormat="1" x14ac:dyDescent="0.2">
      <c r="B32" s="51" t="str">
        <f ca="1">IF(OFFSET(T32,0,Lang_Order*Lang__B4)="","",OFFSET(T32,0,Lang_Order*Lang__B4))</f>
        <v>Volume of COVID-19 vaccines in secondary packaging (liters) per Period, incl. buffer</v>
      </c>
      <c r="D32" s="2"/>
      <c r="E32" s="2" t="s">
        <v>1542</v>
      </c>
      <c r="F32" s="90" t="str">
        <f>C40</f>
        <v/>
      </c>
      <c r="G32" s="90" t="str">
        <f>C41</f>
        <v/>
      </c>
      <c r="H32" s="90" t="str">
        <f>C42</f>
        <v/>
      </c>
      <c r="I32" s="90" t="str">
        <f>C43</f>
        <v/>
      </c>
      <c r="R32" s="403"/>
      <c r="S32" s="403"/>
      <c r="T32" s="403" t="s">
        <v>3716</v>
      </c>
      <c r="U32" s="403"/>
      <c r="V32" s="403"/>
      <c r="W32" s="403"/>
      <c r="X32" s="403"/>
      <c r="Y32" s="403"/>
      <c r="Z32" s="403"/>
      <c r="AA32" s="403"/>
      <c r="AB32" s="403"/>
      <c r="AC32" s="403"/>
      <c r="AD32" s="403"/>
      <c r="AE32" s="403"/>
      <c r="AF32" s="403"/>
      <c r="AG32" s="403"/>
      <c r="AH32" s="403"/>
      <c r="AI32" s="403"/>
      <c r="AJ32" s="403"/>
      <c r="AK32" s="403"/>
      <c r="AL32" s="403"/>
      <c r="AM32" s="403" t="s">
        <v>10603</v>
      </c>
      <c r="AN32" s="403"/>
      <c r="AO32" s="403"/>
      <c r="AP32" s="403"/>
      <c r="AQ32" s="403"/>
      <c r="AR32" s="403"/>
      <c r="AS32" s="403"/>
      <c r="AT32" s="403"/>
      <c r="AU32" s="403"/>
      <c r="AV32" s="403"/>
      <c r="AW32" s="403"/>
      <c r="AX32" s="403"/>
      <c r="AY32" s="403"/>
      <c r="AZ32" s="403"/>
      <c r="BA32" s="403"/>
      <c r="BB32" s="403"/>
      <c r="BC32" s="403"/>
      <c r="BD32" s="403"/>
      <c r="BE32" s="403"/>
      <c r="BF32" s="403" t="s">
        <v>10604</v>
      </c>
      <c r="BG32" s="403"/>
      <c r="BH32" s="403"/>
      <c r="BI32" s="403"/>
      <c r="BJ32" s="403"/>
      <c r="BK32" s="403"/>
      <c r="BL32" s="403"/>
      <c r="BM32" s="403"/>
      <c r="BN32" s="403"/>
      <c r="BO32" s="403"/>
      <c r="BP32" s="403"/>
      <c r="BQ32" s="403"/>
      <c r="BR32" s="403"/>
      <c r="BS32" s="403"/>
      <c r="BT32" s="403"/>
      <c r="BU32" s="403"/>
      <c r="BV32" s="403"/>
      <c r="BW32" s="403"/>
      <c r="BX32" s="403"/>
      <c r="BY32" s="403" t="s">
        <v>10605</v>
      </c>
      <c r="BZ32" s="403"/>
      <c r="CA32" s="403"/>
      <c r="CB32" s="403"/>
      <c r="CC32" s="403"/>
      <c r="CD32" s="403"/>
      <c r="CE32" s="403"/>
      <c r="CF32" s="403"/>
      <c r="CG32" s="403"/>
      <c r="CH32" s="403"/>
      <c r="CI32" s="403"/>
      <c r="CJ32" s="403"/>
      <c r="CK32" s="403"/>
      <c r="CL32" s="403"/>
      <c r="CM32" s="403"/>
      <c r="CN32" s="403"/>
      <c r="CO32" s="403"/>
      <c r="CP32" s="403"/>
      <c r="CQ32" s="403"/>
      <c r="CR32" s="403" t="s">
        <v>10606</v>
      </c>
      <c r="CS32" s="403"/>
      <c r="CT32" s="403"/>
      <c r="CU32" s="403"/>
      <c r="CV32" s="403"/>
      <c r="CW32" s="403"/>
      <c r="CX32" s="403"/>
      <c r="CY32" s="403"/>
      <c r="CZ32" s="403"/>
      <c r="DA32" s="403"/>
      <c r="DB32" s="403"/>
      <c r="DC32" s="403"/>
      <c r="DD32" s="403"/>
      <c r="DE32" s="403"/>
      <c r="DF32" s="403"/>
      <c r="DG32" s="403"/>
      <c r="DH32" s="403"/>
      <c r="DI32" s="403"/>
      <c r="DJ32" s="403"/>
      <c r="DK32" s="403" t="s">
        <v>10607</v>
      </c>
      <c r="DL32" s="403"/>
      <c r="DM32" s="403"/>
      <c r="DN32" s="403"/>
      <c r="DO32" s="403"/>
      <c r="DP32" s="403"/>
      <c r="DQ32" s="403"/>
      <c r="DR32" s="403"/>
      <c r="DS32" s="403"/>
      <c r="DT32" s="403"/>
      <c r="DU32" s="403"/>
      <c r="DV32" s="403"/>
      <c r="DW32" s="403"/>
      <c r="DX32" s="403"/>
      <c r="DY32" s="403"/>
      <c r="DZ32" s="403"/>
      <c r="EA32" s="403"/>
      <c r="EB32" s="403"/>
      <c r="EC32" s="403"/>
      <c r="ED32" s="403" t="s">
        <v>10608</v>
      </c>
      <c r="EE32" s="403"/>
      <c r="EF32" s="403"/>
      <c r="EG32" s="403"/>
      <c r="EH32" s="403"/>
      <c r="EI32" s="403"/>
      <c r="EJ32" s="403"/>
      <c r="EK32" s="403"/>
      <c r="EL32" s="403"/>
      <c r="EM32" s="403"/>
      <c r="EN32" s="403"/>
      <c r="EO32" s="403"/>
      <c r="EP32" s="403"/>
      <c r="EQ32" s="403"/>
      <c r="ER32" s="403"/>
      <c r="ES32" s="403"/>
      <c r="ET32" s="403"/>
    </row>
    <row r="33" spans="1:150" s="15" customFormat="1" x14ac:dyDescent="0.2">
      <c r="B33" s="165">
        <v>-7</v>
      </c>
      <c r="C33" s="72" t="str">
        <f>CONCATENATE("",DM1_Vaccine)</f>
        <v/>
      </c>
      <c r="D33" s="3" t="e">
        <f>VLOOKUP(DM1_Vaccine,'T1. Vaccines'!$C$8:$AD$37,E33,FALSE)</f>
        <v>#N/A</v>
      </c>
      <c r="E33" s="2">
        <f ca="1">OFFSET(_Offset_Index_VaccineSupplies_Index,0,B33)</f>
        <v>9</v>
      </c>
      <c r="F33" s="2" t="e">
        <f t="shared" ref="F33:I36" si="3">IF($D33=F$94,1,0)</f>
        <v>#N/A</v>
      </c>
      <c r="G33" s="2" t="e">
        <f t="shared" si="3"/>
        <v>#N/A</v>
      </c>
      <c r="H33" s="2" t="e">
        <f t="shared" si="3"/>
        <v>#N/A</v>
      </c>
      <c r="I33" s="2" t="e">
        <f t="shared" si="3"/>
        <v>#N/A</v>
      </c>
      <c r="J33" s="146" t="e">
        <f>Reserve_Buffer*J$93*'B3. International Logistics'!I23</f>
        <v>#N/A</v>
      </c>
      <c r="K33" s="146" t="e">
        <f>Reserve_Buffer*K$93*'B3. International Logistics'!J23</f>
        <v>#N/A</v>
      </c>
      <c r="L33" s="146" t="e">
        <f>Reserve_Buffer*L$93*'B3. International Logistics'!K23</f>
        <v>#N/A</v>
      </c>
      <c r="M33" s="146" t="e">
        <f>Reserve_Buffer*M$93*'B3. International Logistics'!L23</f>
        <v>#N/A</v>
      </c>
      <c r="N33" s="146" t="e">
        <f>Reserve_Buffer*N$93*'B3. International Logistics'!M23</f>
        <v>#N/A</v>
      </c>
      <c r="O33" s="146" t="e">
        <f>Reserve_Buffer*O$93*'B3. International Logistics'!N23</f>
        <v>#N/A</v>
      </c>
      <c r="Q33" s="12" t="str">
        <f ca="1">IF(OFFSET(AI33,0,Lang_Order*Lang__B4)="","",OFFSET(AI33,0,Lang_Order*Lang__B4))</f>
        <v>These are maximal volume need assumptions - i.e. that all shipments arrive and need storage but the vaccines not distributed domestically yet</v>
      </c>
      <c r="R33" s="403"/>
      <c r="S33" s="403"/>
      <c r="T33" s="403"/>
      <c r="U33" s="403"/>
      <c r="V33" s="403"/>
      <c r="W33" s="403"/>
      <c r="X33" s="403"/>
      <c r="Y33" s="403"/>
      <c r="Z33" s="403"/>
      <c r="AA33" s="403"/>
      <c r="AB33" s="403"/>
      <c r="AC33" s="403"/>
      <c r="AD33" s="403"/>
      <c r="AE33" s="403"/>
      <c r="AF33" s="403"/>
      <c r="AG33" s="403"/>
      <c r="AH33" s="403"/>
      <c r="AI33" s="403" t="s">
        <v>2641</v>
      </c>
      <c r="AJ33" s="403"/>
      <c r="AK33" s="403"/>
      <c r="AL33" s="403"/>
      <c r="AM33" s="403"/>
      <c r="AN33" s="403"/>
      <c r="AO33" s="403"/>
      <c r="AP33" s="403"/>
      <c r="AQ33" s="403"/>
      <c r="AR33" s="403"/>
      <c r="AS33" s="403"/>
      <c r="AT33" s="403"/>
      <c r="AU33" s="403"/>
      <c r="AV33" s="403"/>
      <c r="AW33" s="403"/>
      <c r="AX33" s="403"/>
      <c r="AY33" s="403"/>
      <c r="AZ33" s="403"/>
      <c r="BA33" s="403"/>
      <c r="BB33" s="403" t="s">
        <v>10609</v>
      </c>
      <c r="BC33" s="403"/>
      <c r="BD33" s="403"/>
      <c r="BE33" s="403"/>
      <c r="BF33" s="403"/>
      <c r="BG33" s="403"/>
      <c r="BH33" s="403"/>
      <c r="BI33" s="403"/>
      <c r="BJ33" s="403"/>
      <c r="BK33" s="403"/>
      <c r="BL33" s="403"/>
      <c r="BM33" s="403"/>
      <c r="BN33" s="403"/>
      <c r="BO33" s="403"/>
      <c r="BP33" s="403"/>
      <c r="BQ33" s="403"/>
      <c r="BR33" s="403"/>
      <c r="BS33" s="403"/>
      <c r="BT33" s="403"/>
      <c r="BU33" s="403" t="s">
        <v>10610</v>
      </c>
      <c r="BV33" s="403"/>
      <c r="BW33" s="403"/>
      <c r="BX33" s="403"/>
      <c r="BY33" s="403"/>
      <c r="BZ33" s="403"/>
      <c r="CA33" s="403"/>
      <c r="CB33" s="403"/>
      <c r="CC33" s="403"/>
      <c r="CD33" s="403"/>
      <c r="CE33" s="403"/>
      <c r="CF33" s="403"/>
      <c r="CG33" s="403"/>
      <c r="CH33" s="403"/>
      <c r="CI33" s="403"/>
      <c r="CJ33" s="403"/>
      <c r="CK33" s="403"/>
      <c r="CL33" s="403"/>
      <c r="CM33" s="403"/>
      <c r="CN33" s="403" t="s">
        <v>10611</v>
      </c>
      <c r="CO33" s="403"/>
      <c r="CP33" s="403"/>
      <c r="CQ33" s="403"/>
      <c r="CR33" s="403"/>
      <c r="CS33" s="403"/>
      <c r="CT33" s="403"/>
      <c r="CU33" s="403"/>
      <c r="CV33" s="403"/>
      <c r="CW33" s="403"/>
      <c r="CX33" s="403"/>
      <c r="CY33" s="403"/>
      <c r="CZ33" s="403"/>
      <c r="DA33" s="403"/>
      <c r="DB33" s="403"/>
      <c r="DC33" s="403"/>
      <c r="DD33" s="403"/>
      <c r="DE33" s="403"/>
      <c r="DF33" s="403"/>
      <c r="DG33" s="403" t="s">
        <v>10612</v>
      </c>
      <c r="DH33" s="403"/>
      <c r="DI33" s="403"/>
      <c r="DJ33" s="403"/>
      <c r="DK33" s="403"/>
      <c r="DL33" s="403"/>
      <c r="DM33" s="403"/>
      <c r="DN33" s="403"/>
      <c r="DO33" s="403"/>
      <c r="DP33" s="403"/>
      <c r="DQ33" s="403"/>
      <c r="DR33" s="403"/>
      <c r="DS33" s="403"/>
      <c r="DT33" s="403"/>
      <c r="DU33" s="403"/>
      <c r="DV33" s="403"/>
      <c r="DW33" s="403"/>
      <c r="DX33" s="403"/>
      <c r="DY33" s="403"/>
      <c r="DZ33" s="403" t="s">
        <v>10613</v>
      </c>
      <c r="EA33" s="403"/>
      <c r="EB33" s="403"/>
      <c r="EC33" s="403"/>
      <c r="ED33" s="403"/>
      <c r="EE33" s="403"/>
      <c r="EF33" s="403"/>
      <c r="EG33" s="403"/>
      <c r="EH33" s="403"/>
      <c r="EI33" s="403"/>
      <c r="EJ33" s="403"/>
      <c r="EK33" s="403"/>
      <c r="EL33" s="403"/>
      <c r="EM33" s="403"/>
      <c r="EN33" s="403"/>
      <c r="EO33" s="403"/>
      <c r="EP33" s="403"/>
      <c r="EQ33" s="403"/>
      <c r="ER33" s="403"/>
      <c r="ES33" s="403" t="s">
        <v>10614</v>
      </c>
      <c r="ET33" s="403"/>
    </row>
    <row r="34" spans="1:150" s="15" customFormat="1" x14ac:dyDescent="0.2">
      <c r="B34" s="165">
        <v>-7</v>
      </c>
      <c r="C34" s="72" t="str">
        <f>CONCATENATE("",DM2_Vaccine)</f>
        <v/>
      </c>
      <c r="D34" s="3" t="e">
        <f>VLOOKUP(DM2_Vaccine,'T1. Vaccines'!$C$8:$AD$37,E34,FALSE)</f>
        <v>#N/A</v>
      </c>
      <c r="E34" s="2">
        <f ca="1">OFFSET(_Offset_Index_VaccineSupplies_Index,0,B34)</f>
        <v>9</v>
      </c>
      <c r="F34" s="2" t="e">
        <f t="shared" si="3"/>
        <v>#N/A</v>
      </c>
      <c r="G34" s="2" t="e">
        <f t="shared" si="3"/>
        <v>#N/A</v>
      </c>
      <c r="H34" s="2" t="e">
        <f t="shared" si="3"/>
        <v>#N/A</v>
      </c>
      <c r="I34" s="2" t="e">
        <f t="shared" si="3"/>
        <v>#N/A</v>
      </c>
      <c r="J34" s="146" t="e">
        <f>Reserve_Buffer*J$93*'B3. International Logistics'!I24</f>
        <v>#N/A</v>
      </c>
      <c r="K34" s="146" t="e">
        <f>Reserve_Buffer*K$93*'B3. International Logistics'!J24</f>
        <v>#N/A</v>
      </c>
      <c r="L34" s="146" t="e">
        <f>Reserve_Buffer*L$93*'B3. International Logistics'!K24</f>
        <v>#N/A</v>
      </c>
      <c r="M34" s="146" t="e">
        <f>Reserve_Buffer*M$93*'B3. International Logistics'!L24</f>
        <v>#N/A</v>
      </c>
      <c r="N34" s="146" t="e">
        <f>Reserve_Buffer*N$93*'B3. International Logistics'!M24</f>
        <v>#N/A</v>
      </c>
      <c r="O34" s="146" t="e">
        <f>Reserve_Buffer*O$93*'B3. International Logistics'!N24</f>
        <v>#N/A</v>
      </c>
      <c r="R34" s="403"/>
      <c r="S34" s="403"/>
      <c r="T34" s="403"/>
      <c r="U34" s="403"/>
      <c r="V34" s="403"/>
      <c r="W34" s="403"/>
      <c r="X34" s="403"/>
      <c r="Y34" s="403"/>
      <c r="Z34" s="403"/>
      <c r="AA34" s="403"/>
      <c r="AB34" s="403"/>
      <c r="AC34" s="403"/>
      <c r="AD34" s="403"/>
      <c r="AE34" s="403"/>
      <c r="AF34" s="403"/>
      <c r="AG34" s="403"/>
      <c r="AH34" s="403"/>
      <c r="AI34" s="403"/>
      <c r="AJ34" s="403"/>
      <c r="AK34" s="403"/>
      <c r="AL34" s="403"/>
      <c r="AM34" s="403"/>
      <c r="AN34" s="403"/>
      <c r="AO34" s="403"/>
      <c r="AP34" s="403"/>
      <c r="AQ34" s="403"/>
      <c r="AR34" s="403"/>
      <c r="AS34" s="403"/>
      <c r="AT34" s="403"/>
      <c r="AU34" s="403"/>
      <c r="AV34" s="403"/>
      <c r="AW34" s="403"/>
      <c r="AX34" s="403"/>
      <c r="AY34" s="403"/>
      <c r="AZ34" s="403"/>
      <c r="BA34" s="403"/>
      <c r="BB34" s="403"/>
      <c r="BC34" s="403"/>
      <c r="BD34" s="403"/>
      <c r="BE34" s="403"/>
      <c r="BF34" s="403"/>
      <c r="BG34" s="403"/>
      <c r="BH34" s="403"/>
      <c r="BI34" s="403"/>
      <c r="BJ34" s="403"/>
      <c r="BK34" s="403"/>
      <c r="BL34" s="403"/>
      <c r="BM34" s="403"/>
      <c r="BN34" s="403"/>
      <c r="BO34" s="403"/>
      <c r="BP34" s="403"/>
      <c r="BQ34" s="403"/>
      <c r="BR34" s="403"/>
      <c r="BS34" s="403"/>
      <c r="BT34" s="403"/>
      <c r="BU34" s="403"/>
      <c r="BV34" s="403"/>
      <c r="BW34" s="403"/>
      <c r="BX34" s="403"/>
      <c r="BY34" s="403"/>
      <c r="BZ34" s="403"/>
      <c r="CA34" s="403"/>
      <c r="CB34" s="403"/>
      <c r="CC34" s="403"/>
      <c r="CD34" s="403"/>
      <c r="CE34" s="403"/>
      <c r="CF34" s="403"/>
      <c r="CG34" s="403"/>
      <c r="CH34" s="403"/>
      <c r="CI34" s="403"/>
      <c r="CJ34" s="403"/>
      <c r="CK34" s="403"/>
      <c r="CL34" s="403"/>
      <c r="CM34" s="403"/>
      <c r="CN34" s="403"/>
      <c r="CO34" s="403"/>
      <c r="CP34" s="403"/>
      <c r="CQ34" s="403"/>
      <c r="CR34" s="403"/>
      <c r="CS34" s="403"/>
      <c r="CT34" s="403"/>
      <c r="CU34" s="403"/>
      <c r="CV34" s="403"/>
      <c r="CW34" s="403"/>
      <c r="CX34" s="403"/>
      <c r="CY34" s="403"/>
      <c r="CZ34" s="403"/>
      <c r="DA34" s="403"/>
      <c r="DB34" s="403"/>
      <c r="DC34" s="403"/>
      <c r="DD34" s="403"/>
      <c r="DE34" s="403"/>
      <c r="DF34" s="403"/>
      <c r="DG34" s="403"/>
      <c r="DH34" s="403"/>
      <c r="DI34" s="403"/>
      <c r="DJ34" s="403"/>
      <c r="DK34" s="403"/>
      <c r="DL34" s="403"/>
      <c r="DM34" s="403"/>
      <c r="DN34" s="403"/>
      <c r="DO34" s="403"/>
      <c r="DP34" s="403"/>
      <c r="DQ34" s="403"/>
      <c r="DR34" s="403"/>
      <c r="DS34" s="403"/>
      <c r="DT34" s="403"/>
      <c r="DU34" s="403"/>
      <c r="DV34" s="403"/>
      <c r="DW34" s="403"/>
      <c r="DX34" s="403"/>
      <c r="DY34" s="403"/>
      <c r="DZ34" s="403"/>
      <c r="EA34" s="403"/>
      <c r="EB34" s="403"/>
      <c r="EC34" s="403"/>
      <c r="ED34" s="403"/>
      <c r="EE34" s="403"/>
      <c r="EF34" s="403"/>
      <c r="EG34" s="403"/>
      <c r="EH34" s="403"/>
      <c r="EI34" s="403"/>
      <c r="EJ34" s="403"/>
      <c r="EK34" s="403"/>
      <c r="EL34" s="403"/>
      <c r="EM34" s="403"/>
      <c r="EN34" s="403"/>
      <c r="EO34" s="403"/>
      <c r="EP34" s="403"/>
      <c r="EQ34" s="403"/>
      <c r="ER34" s="403"/>
      <c r="ES34" s="403"/>
      <c r="ET34" s="403"/>
    </row>
    <row r="35" spans="1:150" s="15" customFormat="1" x14ac:dyDescent="0.2">
      <c r="B35" s="165">
        <v>-7</v>
      </c>
      <c r="C35" s="72" t="str">
        <f>CONCATENATE("",DM3_Vaccine)</f>
        <v/>
      </c>
      <c r="D35" s="3" t="e">
        <f>VLOOKUP(DM3_Vaccine,'T1. Vaccines'!$C$8:$AD$37,E35,FALSE)</f>
        <v>#N/A</v>
      </c>
      <c r="E35" s="2">
        <f ca="1">OFFSET(_Offset_Index_VaccineSupplies_Index,0,B35)</f>
        <v>9</v>
      </c>
      <c r="F35" s="2" t="e">
        <f t="shared" si="3"/>
        <v>#N/A</v>
      </c>
      <c r="G35" s="2" t="e">
        <f t="shared" si="3"/>
        <v>#N/A</v>
      </c>
      <c r="H35" s="2" t="e">
        <f t="shared" si="3"/>
        <v>#N/A</v>
      </c>
      <c r="I35" s="2" t="e">
        <f t="shared" si="3"/>
        <v>#N/A</v>
      </c>
      <c r="J35" s="146" t="e">
        <f>Reserve_Buffer*J$93*'B3. International Logistics'!I25</f>
        <v>#N/A</v>
      </c>
      <c r="K35" s="146" t="e">
        <f>Reserve_Buffer*K$93*'B3. International Logistics'!J25</f>
        <v>#N/A</v>
      </c>
      <c r="L35" s="146" t="e">
        <f>Reserve_Buffer*L$93*'B3. International Logistics'!K25</f>
        <v>#N/A</v>
      </c>
      <c r="M35" s="146" t="e">
        <f>Reserve_Buffer*M$93*'B3. International Logistics'!L25</f>
        <v>#N/A</v>
      </c>
      <c r="N35" s="146" t="e">
        <f>Reserve_Buffer*N$93*'B3. International Logistics'!M25</f>
        <v>#N/A</v>
      </c>
      <c r="O35" s="146" t="e">
        <f>Reserve_Buffer*O$93*'B3. International Logistics'!N25</f>
        <v>#N/A</v>
      </c>
      <c r="R35" s="403"/>
      <c r="S35" s="403"/>
      <c r="T35" s="403"/>
      <c r="U35" s="403"/>
      <c r="V35" s="403"/>
      <c r="W35" s="403"/>
      <c r="X35" s="403"/>
      <c r="Y35" s="403"/>
      <c r="Z35" s="403"/>
      <c r="AA35" s="403"/>
      <c r="AB35" s="403"/>
      <c r="AC35" s="403"/>
      <c r="AD35" s="403"/>
      <c r="AE35" s="403"/>
      <c r="AF35" s="403"/>
      <c r="AG35" s="403"/>
      <c r="AH35" s="403"/>
      <c r="AI35" s="403"/>
      <c r="AJ35" s="403"/>
      <c r="AK35" s="403"/>
      <c r="AL35" s="403"/>
      <c r="AM35" s="403"/>
      <c r="AN35" s="403"/>
      <c r="AO35" s="403"/>
      <c r="AP35" s="403"/>
      <c r="AQ35" s="403"/>
      <c r="AR35" s="403"/>
      <c r="AS35" s="403"/>
      <c r="AT35" s="403"/>
      <c r="AU35" s="403"/>
      <c r="AV35" s="403"/>
      <c r="AW35" s="403"/>
      <c r="AX35" s="403"/>
      <c r="AY35" s="403"/>
      <c r="AZ35" s="403"/>
      <c r="BA35" s="403"/>
      <c r="BB35" s="403"/>
      <c r="BC35" s="403"/>
      <c r="BD35" s="403"/>
      <c r="BE35" s="403"/>
      <c r="BF35" s="403"/>
      <c r="BG35" s="403"/>
      <c r="BH35" s="403"/>
      <c r="BI35" s="403"/>
      <c r="BJ35" s="403"/>
      <c r="BK35" s="403"/>
      <c r="BL35" s="403"/>
      <c r="BM35" s="403"/>
      <c r="BN35" s="403"/>
      <c r="BO35" s="403"/>
      <c r="BP35" s="403"/>
      <c r="BQ35" s="403"/>
      <c r="BR35" s="403"/>
      <c r="BS35" s="403"/>
      <c r="BT35" s="403"/>
      <c r="BU35" s="403"/>
      <c r="BV35" s="403"/>
      <c r="BW35" s="403"/>
      <c r="BX35" s="403"/>
      <c r="BY35" s="403"/>
      <c r="BZ35" s="403"/>
      <c r="CA35" s="403"/>
      <c r="CB35" s="403"/>
      <c r="CC35" s="403"/>
      <c r="CD35" s="403"/>
      <c r="CE35" s="403"/>
      <c r="CF35" s="403"/>
      <c r="CG35" s="403"/>
      <c r="CH35" s="403"/>
      <c r="CI35" s="403"/>
      <c r="CJ35" s="403"/>
      <c r="CK35" s="403"/>
      <c r="CL35" s="403"/>
      <c r="CM35" s="403"/>
      <c r="CN35" s="403"/>
      <c r="CO35" s="403"/>
      <c r="CP35" s="403"/>
      <c r="CQ35" s="403"/>
      <c r="CR35" s="403"/>
      <c r="CS35" s="403"/>
      <c r="CT35" s="403"/>
      <c r="CU35" s="403"/>
      <c r="CV35" s="403"/>
      <c r="CW35" s="403"/>
      <c r="CX35" s="403"/>
      <c r="CY35" s="403"/>
      <c r="CZ35" s="403"/>
      <c r="DA35" s="403"/>
      <c r="DB35" s="403"/>
      <c r="DC35" s="403"/>
      <c r="DD35" s="403"/>
      <c r="DE35" s="403"/>
      <c r="DF35" s="403"/>
      <c r="DG35" s="403"/>
      <c r="DH35" s="403"/>
      <c r="DI35" s="403"/>
      <c r="DJ35" s="403"/>
      <c r="DK35" s="403"/>
      <c r="DL35" s="403"/>
      <c r="DM35" s="403"/>
      <c r="DN35" s="403"/>
      <c r="DO35" s="403"/>
      <c r="DP35" s="403"/>
      <c r="DQ35" s="403"/>
      <c r="DR35" s="403"/>
      <c r="DS35" s="403"/>
      <c r="DT35" s="403"/>
      <c r="DU35" s="403"/>
      <c r="DV35" s="403"/>
      <c r="DW35" s="403"/>
      <c r="DX35" s="403"/>
      <c r="DY35" s="403"/>
      <c r="DZ35" s="403"/>
      <c r="EA35" s="403"/>
      <c r="EB35" s="403"/>
      <c r="EC35" s="403"/>
      <c r="ED35" s="403"/>
      <c r="EE35" s="403"/>
      <c r="EF35" s="403"/>
      <c r="EG35" s="403"/>
      <c r="EH35" s="403"/>
      <c r="EI35" s="403"/>
      <c r="EJ35" s="403"/>
      <c r="EK35" s="403"/>
      <c r="EL35" s="403"/>
      <c r="EM35" s="403"/>
      <c r="EN35" s="403"/>
      <c r="EO35" s="403"/>
      <c r="EP35" s="403"/>
      <c r="EQ35" s="403"/>
      <c r="ER35" s="403"/>
      <c r="ES35" s="403"/>
      <c r="ET35" s="403"/>
    </row>
    <row r="36" spans="1:150" s="15" customFormat="1" x14ac:dyDescent="0.2">
      <c r="B36" s="165">
        <v>-7</v>
      </c>
      <c r="C36" s="72" t="str">
        <f>CONCATENATE("",DM4_Vaccine)</f>
        <v/>
      </c>
      <c r="D36" s="3" t="e">
        <f>VLOOKUP(DM4_Vaccine,'T1. Vaccines'!$C$8:$AD$37,E36,FALSE)</f>
        <v>#N/A</v>
      </c>
      <c r="E36" s="2">
        <f ca="1">OFFSET(_Offset_Index_VaccineSupplies_Index,0,B36)</f>
        <v>9</v>
      </c>
      <c r="F36" s="2" t="e">
        <f t="shared" si="3"/>
        <v>#N/A</v>
      </c>
      <c r="G36" s="2" t="e">
        <f t="shared" si="3"/>
        <v>#N/A</v>
      </c>
      <c r="H36" s="2" t="e">
        <f t="shared" si="3"/>
        <v>#N/A</v>
      </c>
      <c r="I36" s="2" t="e">
        <f t="shared" si="3"/>
        <v>#N/A</v>
      </c>
      <c r="J36" s="146" t="e">
        <f>Reserve_Buffer*J$93*'B3. International Logistics'!I26</f>
        <v>#N/A</v>
      </c>
      <c r="K36" s="146" t="e">
        <f>Reserve_Buffer*K$93*'B3. International Logistics'!J26</f>
        <v>#N/A</v>
      </c>
      <c r="L36" s="146" t="e">
        <f>Reserve_Buffer*L$93*'B3. International Logistics'!K26</f>
        <v>#N/A</v>
      </c>
      <c r="M36" s="146" t="e">
        <f>Reserve_Buffer*M$93*'B3. International Logistics'!L26</f>
        <v>#N/A</v>
      </c>
      <c r="N36" s="146" t="e">
        <f>Reserve_Buffer*N$93*'B3. International Logistics'!M26</f>
        <v>#N/A</v>
      </c>
      <c r="O36" s="146" t="e">
        <f>Reserve_Buffer*O$93*'B3. International Logistics'!N26</f>
        <v>#N/A</v>
      </c>
      <c r="R36" s="403"/>
      <c r="S36" s="403"/>
      <c r="T36" s="403"/>
      <c r="U36" s="403"/>
      <c r="V36" s="403"/>
      <c r="W36" s="403"/>
      <c r="X36" s="403"/>
      <c r="Y36" s="403"/>
      <c r="Z36" s="403"/>
      <c r="AA36" s="403"/>
      <c r="AB36" s="403"/>
      <c r="AC36" s="403"/>
      <c r="AD36" s="403"/>
      <c r="AE36" s="403"/>
      <c r="AF36" s="403"/>
      <c r="AG36" s="403"/>
      <c r="AH36" s="403"/>
      <c r="AI36" s="403"/>
      <c r="AJ36" s="403"/>
      <c r="AK36" s="403"/>
      <c r="AL36" s="403"/>
      <c r="AM36" s="403"/>
      <c r="AN36" s="403"/>
      <c r="AO36" s="403"/>
      <c r="AP36" s="403"/>
      <c r="AQ36" s="403"/>
      <c r="AR36" s="403"/>
      <c r="AS36" s="403"/>
      <c r="AT36" s="403"/>
      <c r="AU36" s="403"/>
      <c r="AV36" s="403"/>
      <c r="AW36" s="403"/>
      <c r="AX36" s="403"/>
      <c r="AY36" s="403"/>
      <c r="AZ36" s="403"/>
      <c r="BA36" s="403"/>
      <c r="BB36" s="403"/>
      <c r="BC36" s="403"/>
      <c r="BD36" s="403"/>
      <c r="BE36" s="403"/>
      <c r="BF36" s="403"/>
      <c r="BG36" s="403"/>
      <c r="BH36" s="403"/>
      <c r="BI36" s="403"/>
      <c r="BJ36" s="403"/>
      <c r="BK36" s="403"/>
      <c r="BL36" s="403"/>
      <c r="BM36" s="403"/>
      <c r="BN36" s="403"/>
      <c r="BO36" s="403"/>
      <c r="BP36" s="403"/>
      <c r="BQ36" s="403"/>
      <c r="BR36" s="403"/>
      <c r="BS36" s="403"/>
      <c r="BT36" s="403"/>
      <c r="BU36" s="403"/>
      <c r="BV36" s="403"/>
      <c r="BW36" s="403"/>
      <c r="BX36" s="403"/>
      <c r="BY36" s="403"/>
      <c r="BZ36" s="403"/>
      <c r="CA36" s="403"/>
      <c r="CB36" s="403"/>
      <c r="CC36" s="403"/>
      <c r="CD36" s="403"/>
      <c r="CE36" s="403"/>
      <c r="CF36" s="403"/>
      <c r="CG36" s="403"/>
      <c r="CH36" s="403"/>
      <c r="CI36" s="403"/>
      <c r="CJ36" s="403"/>
      <c r="CK36" s="403"/>
      <c r="CL36" s="403"/>
      <c r="CM36" s="403"/>
      <c r="CN36" s="403"/>
      <c r="CO36" s="403"/>
      <c r="CP36" s="403"/>
      <c r="CQ36" s="403"/>
      <c r="CR36" s="403"/>
      <c r="CS36" s="403"/>
      <c r="CT36" s="403"/>
      <c r="CU36" s="403"/>
      <c r="CV36" s="403"/>
      <c r="CW36" s="403"/>
      <c r="CX36" s="403"/>
      <c r="CY36" s="403"/>
      <c r="CZ36" s="403"/>
      <c r="DA36" s="403"/>
      <c r="DB36" s="403"/>
      <c r="DC36" s="403"/>
      <c r="DD36" s="403"/>
      <c r="DE36" s="403"/>
      <c r="DF36" s="403"/>
      <c r="DG36" s="403"/>
      <c r="DH36" s="403"/>
      <c r="DI36" s="403"/>
      <c r="DJ36" s="403"/>
      <c r="DK36" s="403"/>
      <c r="DL36" s="403"/>
      <c r="DM36" s="403"/>
      <c r="DN36" s="403"/>
      <c r="DO36" s="403"/>
      <c r="DP36" s="403"/>
      <c r="DQ36" s="403"/>
      <c r="DR36" s="403"/>
      <c r="DS36" s="403"/>
      <c r="DT36" s="403"/>
      <c r="DU36" s="403"/>
      <c r="DV36" s="403"/>
      <c r="DW36" s="403"/>
      <c r="DX36" s="403"/>
      <c r="DY36" s="403"/>
      <c r="DZ36" s="403"/>
      <c r="EA36" s="403"/>
      <c r="EB36" s="403"/>
      <c r="EC36" s="403"/>
      <c r="ED36" s="403"/>
      <c r="EE36" s="403"/>
      <c r="EF36" s="403"/>
      <c r="EG36" s="403"/>
      <c r="EH36" s="403"/>
      <c r="EI36" s="403"/>
      <c r="EJ36" s="403"/>
      <c r="EK36" s="403"/>
      <c r="EL36" s="403"/>
      <c r="EM36" s="403"/>
      <c r="EN36" s="403"/>
      <c r="EO36" s="403"/>
      <c r="EP36" s="403"/>
      <c r="EQ36" s="403"/>
      <c r="ER36" s="403"/>
      <c r="ES36" s="403"/>
      <c r="ET36" s="403"/>
    </row>
    <row r="37" spans="1:150" s="299" customFormat="1" x14ac:dyDescent="0.2">
      <c r="A37" s="567"/>
      <c r="C37" s="72" t="str">
        <f ca="1">IF(OFFSET(U37,0,Lang_Order*Lang__B4)="","",OFFSET(U37,0,Lang_Order*Lang__B4))</f>
        <v>Any</v>
      </c>
      <c r="J37" s="2" t="e">
        <f>IF(SUM(J33:J36)&gt;0,1,0)</f>
        <v>#N/A</v>
      </c>
      <c r="K37" s="2" t="e">
        <f t="shared" ref="K37:O37" si="4">IF(SUM(K33:K36)&gt;0,1,0)</f>
        <v>#N/A</v>
      </c>
      <c r="L37" s="2" t="e">
        <f t="shared" si="4"/>
        <v>#N/A</v>
      </c>
      <c r="M37" s="2" t="e">
        <f t="shared" si="4"/>
        <v>#N/A</v>
      </c>
      <c r="N37" s="2" t="e">
        <f t="shared" si="4"/>
        <v>#N/A</v>
      </c>
      <c r="O37" s="2" t="e">
        <f t="shared" si="4"/>
        <v>#N/A</v>
      </c>
      <c r="R37" s="403"/>
      <c r="S37" s="403"/>
      <c r="T37" s="403"/>
      <c r="U37" s="403" t="s">
        <v>4445</v>
      </c>
      <c r="V37" s="403"/>
      <c r="W37" s="403"/>
      <c r="X37" s="403"/>
      <c r="Y37" s="403"/>
      <c r="Z37" s="403"/>
      <c r="AA37" s="403"/>
      <c r="AB37" s="403"/>
      <c r="AC37" s="403"/>
      <c r="AD37" s="403"/>
      <c r="AE37" s="403"/>
      <c r="AF37" s="403"/>
      <c r="AG37" s="403"/>
      <c r="AH37" s="403"/>
      <c r="AI37" s="403"/>
      <c r="AJ37" s="403"/>
      <c r="AK37" s="403"/>
      <c r="AL37" s="403"/>
      <c r="AM37" s="403"/>
      <c r="AN37" s="403" t="s">
        <v>13268</v>
      </c>
      <c r="AO37" s="403"/>
      <c r="AP37" s="403"/>
      <c r="AQ37" s="403"/>
      <c r="AR37" s="403"/>
      <c r="AS37" s="403"/>
      <c r="AT37" s="403"/>
      <c r="AU37" s="403"/>
      <c r="AV37" s="403"/>
      <c r="AW37" s="403"/>
      <c r="AX37" s="403"/>
      <c r="AY37" s="403"/>
      <c r="AZ37" s="403"/>
      <c r="BA37" s="403"/>
      <c r="BB37" s="403"/>
      <c r="BC37" s="403"/>
      <c r="BD37" s="403"/>
      <c r="BE37" s="403"/>
      <c r="BF37" s="403"/>
      <c r="BG37" s="403" t="s">
        <v>13269</v>
      </c>
      <c r="BH37" s="403"/>
      <c r="BI37" s="403"/>
      <c r="BJ37" s="403"/>
      <c r="BK37" s="403"/>
      <c r="BL37" s="403"/>
      <c r="BM37" s="403"/>
      <c r="BN37" s="403"/>
      <c r="BO37" s="403"/>
      <c r="BP37" s="403"/>
      <c r="BQ37" s="403"/>
      <c r="BR37" s="403"/>
      <c r="BS37" s="403"/>
      <c r="BT37" s="403"/>
      <c r="BU37" s="403"/>
      <c r="BV37" s="403"/>
      <c r="BW37" s="403"/>
      <c r="BX37" s="403"/>
      <c r="BY37" s="403"/>
      <c r="BZ37" s="403" t="s">
        <v>13270</v>
      </c>
      <c r="CA37" s="403"/>
      <c r="CB37" s="403"/>
      <c r="CC37" s="403"/>
      <c r="CD37" s="403"/>
      <c r="CE37" s="403"/>
      <c r="CF37" s="403"/>
      <c r="CG37" s="403"/>
      <c r="CH37" s="403"/>
      <c r="CI37" s="403"/>
      <c r="CJ37" s="403"/>
      <c r="CK37" s="403"/>
      <c r="CL37" s="403"/>
      <c r="CM37" s="403"/>
      <c r="CN37" s="403"/>
      <c r="CO37" s="403"/>
      <c r="CP37" s="403"/>
      <c r="CQ37" s="403"/>
      <c r="CR37" s="403"/>
      <c r="CS37" s="403" t="s">
        <v>13271</v>
      </c>
      <c r="CT37" s="403"/>
      <c r="CU37" s="403"/>
      <c r="CV37" s="403"/>
      <c r="CW37" s="403"/>
      <c r="CX37" s="403"/>
      <c r="CY37" s="403"/>
      <c r="CZ37" s="403"/>
      <c r="DA37" s="403"/>
      <c r="DB37" s="403"/>
      <c r="DC37" s="403"/>
      <c r="DD37" s="403"/>
      <c r="DE37" s="403"/>
      <c r="DF37" s="403"/>
      <c r="DG37" s="403"/>
      <c r="DH37" s="403"/>
      <c r="DI37" s="403"/>
      <c r="DJ37" s="403"/>
      <c r="DK37" s="403"/>
      <c r="DL37" s="403" t="s">
        <v>13272</v>
      </c>
      <c r="DM37" s="403"/>
      <c r="DN37" s="403"/>
      <c r="DO37" s="403"/>
      <c r="DP37" s="403"/>
      <c r="DQ37" s="403"/>
      <c r="DR37" s="403"/>
      <c r="DS37" s="403"/>
      <c r="DT37" s="403"/>
      <c r="DU37" s="403"/>
      <c r="DV37" s="403"/>
      <c r="DW37" s="403"/>
      <c r="DX37" s="403"/>
      <c r="DY37" s="403"/>
      <c r="DZ37" s="403"/>
      <c r="EA37" s="403"/>
      <c r="EB37" s="403"/>
      <c r="EC37" s="403"/>
      <c r="ED37" s="403"/>
      <c r="EE37" s="403" t="s">
        <v>13273</v>
      </c>
      <c r="EF37" s="403"/>
      <c r="EG37" s="403"/>
      <c r="EH37" s="403"/>
      <c r="EI37" s="403"/>
      <c r="EJ37" s="403"/>
      <c r="EK37" s="403"/>
      <c r="EL37" s="403"/>
      <c r="EM37" s="403"/>
      <c r="EN37" s="403"/>
      <c r="EO37" s="403"/>
      <c r="EP37" s="403"/>
      <c r="EQ37" s="403"/>
      <c r="ER37" s="403"/>
      <c r="ES37" s="403"/>
      <c r="ET37" s="403"/>
    </row>
    <row r="38" spans="1:150" s="299" customFormat="1" x14ac:dyDescent="0.2">
      <c r="R38" s="403"/>
      <c r="S38" s="403"/>
      <c r="T38" s="403"/>
      <c r="U38" s="403"/>
      <c r="V38" s="403"/>
      <c r="W38" s="403"/>
      <c r="X38" s="403"/>
      <c r="Y38" s="403"/>
      <c r="Z38" s="403"/>
      <c r="AA38" s="403"/>
      <c r="AB38" s="403"/>
      <c r="AC38" s="403"/>
      <c r="AD38" s="403"/>
      <c r="AE38" s="403"/>
      <c r="AF38" s="403"/>
      <c r="AG38" s="403"/>
      <c r="AH38" s="403"/>
      <c r="AI38" s="403"/>
      <c r="AJ38" s="403"/>
      <c r="AK38" s="403"/>
      <c r="AL38" s="403"/>
      <c r="AM38" s="403"/>
      <c r="AN38" s="403"/>
      <c r="AO38" s="403"/>
      <c r="AP38" s="403"/>
      <c r="AQ38" s="403"/>
      <c r="AR38" s="403"/>
      <c r="AS38" s="403"/>
      <c r="AT38" s="403"/>
      <c r="AU38" s="403"/>
      <c r="AV38" s="403"/>
      <c r="AW38" s="403"/>
      <c r="AX38" s="403"/>
      <c r="AY38" s="403"/>
      <c r="AZ38" s="403"/>
      <c r="BA38" s="403"/>
      <c r="BB38" s="403"/>
      <c r="BC38" s="403"/>
      <c r="BD38" s="403"/>
      <c r="BE38" s="403"/>
      <c r="BF38" s="403"/>
      <c r="BG38" s="403"/>
      <c r="BH38" s="403"/>
      <c r="BI38" s="403"/>
      <c r="BJ38" s="403"/>
      <c r="BK38" s="403"/>
      <c r="BL38" s="403"/>
      <c r="BM38" s="403"/>
      <c r="BN38" s="403"/>
      <c r="BO38" s="403"/>
      <c r="BP38" s="403"/>
      <c r="BQ38" s="403"/>
      <c r="BR38" s="403"/>
      <c r="BS38" s="403"/>
      <c r="BT38" s="403"/>
      <c r="BU38" s="403"/>
      <c r="BV38" s="403"/>
      <c r="BW38" s="403"/>
      <c r="BX38" s="403"/>
      <c r="BY38" s="403"/>
      <c r="BZ38" s="403"/>
      <c r="CA38" s="403"/>
      <c r="CB38" s="403"/>
      <c r="CC38" s="403"/>
      <c r="CD38" s="403"/>
      <c r="CE38" s="403"/>
      <c r="CF38" s="403"/>
      <c r="CG38" s="403"/>
      <c r="CH38" s="403"/>
      <c r="CI38" s="403"/>
      <c r="CJ38" s="403"/>
      <c r="CK38" s="403"/>
      <c r="CL38" s="403"/>
      <c r="CM38" s="403"/>
      <c r="CN38" s="403"/>
      <c r="CO38" s="403"/>
      <c r="CP38" s="403"/>
      <c r="CQ38" s="403"/>
      <c r="CR38" s="403"/>
      <c r="CS38" s="403"/>
      <c r="CT38" s="403"/>
      <c r="CU38" s="403"/>
      <c r="CV38" s="403"/>
      <c r="CW38" s="403"/>
      <c r="CX38" s="403"/>
      <c r="CY38" s="403"/>
      <c r="CZ38" s="403"/>
      <c r="DA38" s="403"/>
      <c r="DB38" s="403"/>
      <c r="DC38" s="403"/>
      <c r="DD38" s="403"/>
      <c r="DE38" s="403"/>
      <c r="DF38" s="403"/>
      <c r="DG38" s="403"/>
      <c r="DH38" s="403"/>
      <c r="DI38" s="403"/>
      <c r="DJ38" s="403"/>
      <c r="DK38" s="403"/>
      <c r="DL38" s="403"/>
      <c r="DM38" s="403"/>
      <c r="DN38" s="403"/>
      <c r="DO38" s="403"/>
      <c r="DP38" s="403"/>
      <c r="DQ38" s="403"/>
      <c r="DR38" s="403"/>
      <c r="DS38" s="403"/>
      <c r="DT38" s="403"/>
      <c r="DU38" s="403"/>
      <c r="DV38" s="403"/>
      <c r="DW38" s="403"/>
      <c r="DX38" s="403"/>
      <c r="DY38" s="403"/>
      <c r="DZ38" s="403"/>
      <c r="EA38" s="403"/>
      <c r="EB38" s="403"/>
      <c r="EC38" s="403"/>
      <c r="ED38" s="403"/>
      <c r="EE38" s="403"/>
      <c r="EF38" s="403"/>
      <c r="EG38" s="403"/>
      <c r="EH38" s="403"/>
      <c r="EI38" s="403"/>
      <c r="EJ38" s="403"/>
      <c r="EK38" s="403"/>
      <c r="EL38" s="403"/>
      <c r="EM38" s="403"/>
      <c r="EN38" s="403"/>
      <c r="EO38" s="403"/>
      <c r="EP38" s="403"/>
      <c r="EQ38" s="403"/>
      <c r="ER38" s="403"/>
      <c r="ES38" s="403"/>
      <c r="ET38" s="403"/>
    </row>
    <row r="39" spans="1:150" s="299" customFormat="1" x14ac:dyDescent="0.2">
      <c r="B39" s="624" t="str">
        <f ca="1">IF(OFFSET(T39,0,Lang_Order*Lang__B4)="","",OFFSET(T39,0,Lang_Order*Lang__B4))</f>
        <v>For each delivery modality, just prior to use in on-site or by outreach, where are vaccines stored?</v>
      </c>
      <c r="J39" s="245" t="str">
        <f ca="1">IF(OFFSET(AB39,0,Lang_Order*Lang__B4)="","",OFFSET(AB39,0,Lang_Order*Lang__B4))</f>
        <v>Regions</v>
      </c>
      <c r="K39" s="245" t="str">
        <f ca="1">IF(OFFSET(AC39,0,Lang_Order*Lang__B4)="","",OFFSET(AC39,0,Lang_Order*Lang__B4))</f>
        <v>Districts</v>
      </c>
      <c r="L39" s="245" t="str">
        <f ca="1">IF(OFFSET(AD39,0,Lang_Order*Lang__B4)="","",OFFSET(AD39,0,Lang_Order*Lang__B4))</f>
        <v>Fixed Sites</v>
      </c>
      <c r="R39" s="403"/>
      <c r="S39" s="403"/>
      <c r="T39" s="403" t="s">
        <v>3720</v>
      </c>
      <c r="U39" s="403"/>
      <c r="V39" s="403"/>
      <c r="W39" s="403"/>
      <c r="X39" s="403"/>
      <c r="Y39" s="403"/>
      <c r="Z39" s="403"/>
      <c r="AA39" s="403"/>
      <c r="AB39" s="403" t="s">
        <v>3647</v>
      </c>
      <c r="AC39" s="403" t="s">
        <v>2900</v>
      </c>
      <c r="AD39" s="403" t="s">
        <v>3717</v>
      </c>
      <c r="AE39" s="403"/>
      <c r="AF39" s="403"/>
      <c r="AG39" s="403"/>
      <c r="AH39" s="403"/>
      <c r="AI39" s="403"/>
      <c r="AJ39" s="403"/>
      <c r="AK39" s="403"/>
      <c r="AL39" s="403"/>
      <c r="AM39" s="403" t="s">
        <v>10615</v>
      </c>
      <c r="AN39" s="403"/>
      <c r="AO39" s="403"/>
      <c r="AP39" s="403"/>
      <c r="AQ39" s="403"/>
      <c r="AR39" s="403"/>
      <c r="AS39" s="403"/>
      <c r="AT39" s="403"/>
      <c r="AU39" s="403" t="s">
        <v>10616</v>
      </c>
      <c r="AV39" s="403" t="s">
        <v>2900</v>
      </c>
      <c r="AW39" s="403" t="s">
        <v>10617</v>
      </c>
      <c r="AX39" s="403"/>
      <c r="AY39" s="403"/>
      <c r="AZ39" s="403"/>
      <c r="BA39" s="403"/>
      <c r="BB39" s="403"/>
      <c r="BC39" s="403"/>
      <c r="BD39" s="403"/>
      <c r="BE39" s="403"/>
      <c r="BF39" s="403" t="s">
        <v>10618</v>
      </c>
      <c r="BG39" s="403"/>
      <c r="BH39" s="403"/>
      <c r="BI39" s="403"/>
      <c r="BJ39" s="403"/>
      <c r="BK39" s="403"/>
      <c r="BL39" s="403"/>
      <c r="BM39" s="403"/>
      <c r="BN39" s="403" t="s">
        <v>10619</v>
      </c>
      <c r="BO39" s="403" t="s">
        <v>10620</v>
      </c>
      <c r="BP39" s="403" t="s">
        <v>10621</v>
      </c>
      <c r="BQ39" s="403"/>
      <c r="BR39" s="403"/>
      <c r="BS39" s="403"/>
      <c r="BT39" s="403"/>
      <c r="BU39" s="403"/>
      <c r="BV39" s="403"/>
      <c r="BW39" s="403"/>
      <c r="BX39" s="403"/>
      <c r="BY39" s="403" t="s">
        <v>10622</v>
      </c>
      <c r="BZ39" s="403"/>
      <c r="CA39" s="403"/>
      <c r="CB39" s="403"/>
      <c r="CC39" s="403"/>
      <c r="CD39" s="403"/>
      <c r="CE39" s="403"/>
      <c r="CF39" s="403"/>
      <c r="CG39" s="403" t="s">
        <v>10623</v>
      </c>
      <c r="CH39" s="403" t="s">
        <v>10624</v>
      </c>
      <c r="CI39" s="403" t="s">
        <v>10625</v>
      </c>
      <c r="CJ39" s="403"/>
      <c r="CK39" s="403"/>
      <c r="CL39" s="403"/>
      <c r="CM39" s="403"/>
      <c r="CN39" s="403"/>
      <c r="CO39" s="403"/>
      <c r="CP39" s="403"/>
      <c r="CQ39" s="403"/>
      <c r="CR39" s="403" t="s">
        <v>10626</v>
      </c>
      <c r="CS39" s="403"/>
      <c r="CT39" s="403"/>
      <c r="CU39" s="403"/>
      <c r="CV39" s="403"/>
      <c r="CW39" s="403"/>
      <c r="CX39" s="403"/>
      <c r="CY39" s="403"/>
      <c r="CZ39" s="403" t="s">
        <v>10627</v>
      </c>
      <c r="DA39" s="403" t="s">
        <v>10628</v>
      </c>
      <c r="DB39" s="403" t="s">
        <v>10629</v>
      </c>
      <c r="DC39" s="403"/>
      <c r="DD39" s="403"/>
      <c r="DE39" s="403"/>
      <c r="DF39" s="403"/>
      <c r="DG39" s="403"/>
      <c r="DH39" s="403"/>
      <c r="DI39" s="403"/>
      <c r="DJ39" s="403"/>
      <c r="DK39" s="403" t="s">
        <v>10630</v>
      </c>
      <c r="DL39" s="403"/>
      <c r="DM39" s="403"/>
      <c r="DN39" s="403"/>
      <c r="DO39" s="403"/>
      <c r="DP39" s="403"/>
      <c r="DQ39" s="403"/>
      <c r="DR39" s="403"/>
      <c r="DS39" s="403" t="s">
        <v>10631</v>
      </c>
      <c r="DT39" s="403" t="s">
        <v>10632</v>
      </c>
      <c r="DU39" s="403" t="s">
        <v>10633</v>
      </c>
      <c r="DV39" s="403"/>
      <c r="DW39" s="403"/>
      <c r="DX39" s="403"/>
      <c r="DY39" s="403"/>
      <c r="DZ39" s="403"/>
      <c r="EA39" s="403"/>
      <c r="EB39" s="403"/>
      <c r="EC39" s="403"/>
      <c r="ED39" s="403" t="s">
        <v>10634</v>
      </c>
      <c r="EE39" s="403"/>
      <c r="EF39" s="403"/>
      <c r="EG39" s="403"/>
      <c r="EH39" s="403"/>
      <c r="EI39" s="403"/>
      <c r="EJ39" s="403"/>
      <c r="EK39" s="403"/>
      <c r="EL39" s="403" t="s">
        <v>10635</v>
      </c>
      <c r="EM39" s="403" t="s">
        <v>10636</v>
      </c>
      <c r="EN39" s="403" t="s">
        <v>10637</v>
      </c>
      <c r="EO39" s="403"/>
      <c r="EP39" s="403"/>
      <c r="EQ39" s="403"/>
      <c r="ER39" s="403"/>
      <c r="ES39" s="403"/>
      <c r="ET39" s="403"/>
    </row>
    <row r="40" spans="1:150" s="299" customFormat="1" x14ac:dyDescent="0.2">
      <c r="C40" s="72" t="str">
        <f>CONCATENATE("",DM1_Vaccine)</f>
        <v/>
      </c>
      <c r="D40" s="159" t="str">
        <f ca="1">IF(OFFSET(V40,0,Lang_Order*Lang__B4)="","",OFFSET(V40,0,Lang_Order*Lang__B4))</f>
        <v>Fixed Sites</v>
      </c>
      <c r="J40" s="44">
        <v>0</v>
      </c>
      <c r="K40" s="44">
        <v>0</v>
      </c>
      <c r="L40" s="44">
        <v>1</v>
      </c>
      <c r="Q40" s="12" t="str">
        <f ca="1">IF(OFFSET(AI40,0,Lang_Order*Lang__B4)="","",OFFSET(AI40,0,Lang_Order*Lang__B4))</f>
        <v>By definition</v>
      </c>
      <c r="R40" s="403"/>
      <c r="S40" s="403"/>
      <c r="T40" s="403"/>
      <c r="U40" s="403"/>
      <c r="V40" s="403" t="s">
        <v>3717</v>
      </c>
      <c r="W40" s="403"/>
      <c r="X40" s="403"/>
      <c r="Y40" s="403"/>
      <c r="Z40" s="403"/>
      <c r="AA40" s="403"/>
      <c r="AB40" s="403"/>
      <c r="AC40" s="403"/>
      <c r="AD40" s="403"/>
      <c r="AE40" s="403"/>
      <c r="AF40" s="403"/>
      <c r="AG40" s="403"/>
      <c r="AH40" s="403"/>
      <c r="AI40" s="403" t="s">
        <v>3719</v>
      </c>
      <c r="AJ40" s="403"/>
      <c r="AK40" s="403"/>
      <c r="AL40" s="403"/>
      <c r="AM40" s="403"/>
      <c r="AN40" s="403"/>
      <c r="AO40" s="403" t="s">
        <v>10617</v>
      </c>
      <c r="AP40" s="403"/>
      <c r="AQ40" s="403"/>
      <c r="AR40" s="403"/>
      <c r="AS40" s="403"/>
      <c r="AT40" s="403"/>
      <c r="AU40" s="403"/>
      <c r="AV40" s="403"/>
      <c r="AW40" s="403"/>
      <c r="AX40" s="403"/>
      <c r="AY40" s="403"/>
      <c r="AZ40" s="403"/>
      <c r="BA40" s="403"/>
      <c r="BB40" s="403" t="s">
        <v>10638</v>
      </c>
      <c r="BC40" s="403"/>
      <c r="BD40" s="403"/>
      <c r="BE40" s="403"/>
      <c r="BF40" s="403"/>
      <c r="BG40" s="403"/>
      <c r="BH40" s="403" t="s">
        <v>10639</v>
      </c>
      <c r="BI40" s="403"/>
      <c r="BJ40" s="403"/>
      <c r="BK40" s="403"/>
      <c r="BL40" s="403"/>
      <c r="BM40" s="403"/>
      <c r="BN40" s="403"/>
      <c r="BO40" s="403"/>
      <c r="BP40" s="403"/>
      <c r="BQ40" s="403"/>
      <c r="BR40" s="403"/>
      <c r="BS40" s="403"/>
      <c r="BT40" s="403"/>
      <c r="BU40" s="403" t="s">
        <v>10640</v>
      </c>
      <c r="BV40" s="403"/>
      <c r="BW40" s="403"/>
      <c r="BX40" s="403"/>
      <c r="BY40" s="403"/>
      <c r="BZ40" s="403"/>
      <c r="CA40" s="403" t="s">
        <v>10625</v>
      </c>
      <c r="CB40" s="403"/>
      <c r="CC40" s="403"/>
      <c r="CD40" s="403"/>
      <c r="CE40" s="403"/>
      <c r="CF40" s="403"/>
      <c r="CG40" s="403"/>
      <c r="CH40" s="403"/>
      <c r="CI40" s="403"/>
      <c r="CJ40" s="403"/>
      <c r="CK40" s="403"/>
      <c r="CL40" s="403"/>
      <c r="CM40" s="403"/>
      <c r="CN40" s="403" t="s">
        <v>10641</v>
      </c>
      <c r="CO40" s="403"/>
      <c r="CP40" s="403"/>
      <c r="CQ40" s="403"/>
      <c r="CR40" s="403"/>
      <c r="CS40" s="403"/>
      <c r="CT40" s="403" t="s">
        <v>10629</v>
      </c>
      <c r="CU40" s="403"/>
      <c r="CV40" s="403"/>
      <c r="CW40" s="403"/>
      <c r="CX40" s="403"/>
      <c r="CY40" s="403"/>
      <c r="CZ40" s="403"/>
      <c r="DA40" s="403"/>
      <c r="DB40" s="403"/>
      <c r="DC40" s="403"/>
      <c r="DD40" s="403"/>
      <c r="DE40" s="403"/>
      <c r="DF40" s="403"/>
      <c r="DG40" s="403" t="s">
        <v>10642</v>
      </c>
      <c r="DH40" s="403"/>
      <c r="DI40" s="403"/>
      <c r="DJ40" s="403"/>
      <c r="DK40" s="403"/>
      <c r="DL40" s="403"/>
      <c r="DM40" s="403" t="s">
        <v>10633</v>
      </c>
      <c r="DN40" s="403"/>
      <c r="DO40" s="403"/>
      <c r="DP40" s="403"/>
      <c r="DQ40" s="403"/>
      <c r="DR40" s="403"/>
      <c r="DS40" s="403"/>
      <c r="DT40" s="403"/>
      <c r="DU40" s="403"/>
      <c r="DV40" s="403"/>
      <c r="DW40" s="403"/>
      <c r="DX40" s="403"/>
      <c r="DY40" s="403"/>
      <c r="DZ40" s="403" t="s">
        <v>10643</v>
      </c>
      <c r="EA40" s="403"/>
      <c r="EB40" s="403"/>
      <c r="EC40" s="403"/>
      <c r="ED40" s="403"/>
      <c r="EE40" s="403"/>
      <c r="EF40" s="403" t="s">
        <v>10637</v>
      </c>
      <c r="EG40" s="403"/>
      <c r="EH40" s="403"/>
      <c r="EI40" s="403"/>
      <c r="EJ40" s="403"/>
      <c r="EK40" s="403"/>
      <c r="EL40" s="403"/>
      <c r="EM40" s="403"/>
      <c r="EN40" s="403"/>
      <c r="EO40" s="403"/>
      <c r="EP40" s="403"/>
      <c r="EQ40" s="403"/>
      <c r="ER40" s="403"/>
      <c r="ES40" s="403" t="s">
        <v>10644</v>
      </c>
      <c r="ET40" s="403"/>
    </row>
    <row r="41" spans="1:150" s="299" customFormat="1" x14ac:dyDescent="0.2">
      <c r="C41" s="72" t="str">
        <f>CONCATENATE("",DM2_Vaccine)</f>
        <v/>
      </c>
      <c r="D41" s="159" t="str">
        <f ca="1">IF(OFFSET(V41,0,Lang_Order*Lang__B4)="","",OFFSET(V41,0,Lang_Order*Lang__B4))</f>
        <v>Campaigns</v>
      </c>
      <c r="J41" s="264">
        <f>'A2. INPUT Population &amp; Delivery'!H204</f>
        <v>0.30000000000000004</v>
      </c>
      <c r="K41" s="264">
        <f>'A2. INPUT Population &amp; Delivery'!E203</f>
        <v>0.4</v>
      </c>
      <c r="L41" s="264">
        <f>'A2. INPUT Population &amp; Delivery'!E202</f>
        <v>0.3</v>
      </c>
      <c r="R41" s="403"/>
      <c r="S41" s="403"/>
      <c r="T41" s="403"/>
      <c r="U41" s="403"/>
      <c r="V41" s="403" t="s">
        <v>3723</v>
      </c>
      <c r="W41" s="403"/>
      <c r="X41" s="403"/>
      <c r="Y41" s="403"/>
      <c r="Z41" s="403"/>
      <c r="AA41" s="403"/>
      <c r="AB41" s="403"/>
      <c r="AC41" s="403"/>
      <c r="AD41" s="403"/>
      <c r="AE41" s="403"/>
      <c r="AF41" s="403"/>
      <c r="AG41" s="403"/>
      <c r="AH41" s="403"/>
      <c r="AI41" s="403"/>
      <c r="AJ41" s="403"/>
      <c r="AK41" s="403"/>
      <c r="AL41" s="403"/>
      <c r="AM41" s="403"/>
      <c r="AN41" s="403"/>
      <c r="AO41" s="403" t="s">
        <v>10645</v>
      </c>
      <c r="AP41" s="403"/>
      <c r="AQ41" s="403"/>
      <c r="AR41" s="403"/>
      <c r="AS41" s="403"/>
      <c r="AT41" s="403"/>
      <c r="AU41" s="403"/>
      <c r="AV41" s="403"/>
      <c r="AW41" s="403"/>
      <c r="AX41" s="403"/>
      <c r="AY41" s="403"/>
      <c r="AZ41" s="403"/>
      <c r="BA41" s="403"/>
      <c r="BB41" s="403"/>
      <c r="BC41" s="403"/>
      <c r="BD41" s="403"/>
      <c r="BE41" s="403"/>
      <c r="BF41" s="403"/>
      <c r="BG41" s="403"/>
      <c r="BH41" s="403" t="s">
        <v>10646</v>
      </c>
      <c r="BI41" s="403"/>
      <c r="BJ41" s="403"/>
      <c r="BK41" s="403"/>
      <c r="BL41" s="403"/>
      <c r="BM41" s="403"/>
      <c r="BN41" s="403"/>
      <c r="BO41" s="403"/>
      <c r="BP41" s="403"/>
      <c r="BQ41" s="403"/>
      <c r="BR41" s="403"/>
      <c r="BS41" s="403"/>
      <c r="BT41" s="403"/>
      <c r="BU41" s="403"/>
      <c r="BV41" s="403"/>
      <c r="BW41" s="403"/>
      <c r="BX41" s="403"/>
      <c r="BY41" s="403"/>
      <c r="BZ41" s="403"/>
      <c r="CA41" s="403" t="s">
        <v>10647</v>
      </c>
      <c r="CB41" s="403"/>
      <c r="CC41" s="403"/>
      <c r="CD41" s="403"/>
      <c r="CE41" s="403"/>
      <c r="CF41" s="403"/>
      <c r="CG41" s="403"/>
      <c r="CH41" s="403"/>
      <c r="CI41" s="403"/>
      <c r="CJ41" s="403"/>
      <c r="CK41" s="403"/>
      <c r="CL41" s="403"/>
      <c r="CM41" s="403"/>
      <c r="CN41" s="403"/>
      <c r="CO41" s="403"/>
      <c r="CP41" s="403"/>
      <c r="CQ41" s="403"/>
      <c r="CR41" s="403"/>
      <c r="CS41" s="403"/>
      <c r="CT41" s="403" t="s">
        <v>10648</v>
      </c>
      <c r="CU41" s="403"/>
      <c r="CV41" s="403"/>
      <c r="CW41" s="403"/>
      <c r="CX41" s="403"/>
      <c r="CY41" s="403"/>
      <c r="CZ41" s="403"/>
      <c r="DA41" s="403"/>
      <c r="DB41" s="403"/>
      <c r="DC41" s="403"/>
      <c r="DD41" s="403"/>
      <c r="DE41" s="403"/>
      <c r="DF41" s="403"/>
      <c r="DG41" s="403"/>
      <c r="DH41" s="403"/>
      <c r="DI41" s="403"/>
      <c r="DJ41" s="403"/>
      <c r="DK41" s="403"/>
      <c r="DL41" s="403"/>
      <c r="DM41" s="403" t="s">
        <v>10649</v>
      </c>
      <c r="DN41" s="403"/>
      <c r="DO41" s="403"/>
      <c r="DP41" s="403"/>
      <c r="DQ41" s="403"/>
      <c r="DR41" s="403"/>
      <c r="DS41" s="403"/>
      <c r="DT41" s="403"/>
      <c r="DU41" s="403"/>
      <c r="DV41" s="403"/>
      <c r="DW41" s="403"/>
      <c r="DX41" s="403"/>
      <c r="DY41" s="403"/>
      <c r="DZ41" s="403"/>
      <c r="EA41" s="403"/>
      <c r="EB41" s="403"/>
      <c r="EC41" s="403"/>
      <c r="ED41" s="403"/>
      <c r="EE41" s="403"/>
      <c r="EF41" s="403" t="s">
        <v>10650</v>
      </c>
      <c r="EG41" s="403"/>
      <c r="EH41" s="403"/>
      <c r="EI41" s="403"/>
      <c r="EJ41" s="403"/>
      <c r="EK41" s="403"/>
      <c r="EL41" s="403"/>
      <c r="EM41" s="403"/>
      <c r="EN41" s="403"/>
      <c r="EO41" s="403"/>
      <c r="EP41" s="403"/>
      <c r="EQ41" s="403"/>
      <c r="ER41" s="403"/>
      <c r="ES41" s="403"/>
      <c r="ET41" s="403"/>
    </row>
    <row r="42" spans="1:150" s="299" customFormat="1" x14ac:dyDescent="0.2">
      <c r="C42" s="72" t="str">
        <f>CONCATENATE("",DM3_Vaccine)</f>
        <v/>
      </c>
      <c r="D42" s="159" t="str">
        <f ca="1">IF(OFFSET(V42,0,Lang_Order*Lang__B4)="","",OFFSET(V42,0,Lang_Order*Lang__B4))</f>
        <v>Residential Institutions</v>
      </c>
      <c r="J42" s="44">
        <f>J41</f>
        <v>0.30000000000000004</v>
      </c>
      <c r="K42" s="44">
        <f t="shared" ref="K42:L42" si="5">K41</f>
        <v>0.4</v>
      </c>
      <c r="L42" s="44">
        <f t="shared" si="5"/>
        <v>0.3</v>
      </c>
      <c r="R42" s="403"/>
      <c r="S42" s="403"/>
      <c r="T42" s="403"/>
      <c r="U42" s="403"/>
      <c r="V42" s="403" t="s">
        <v>3722</v>
      </c>
      <c r="W42" s="403"/>
      <c r="X42" s="403"/>
      <c r="Y42" s="403"/>
      <c r="Z42" s="403"/>
      <c r="AA42" s="403"/>
      <c r="AB42" s="403"/>
      <c r="AC42" s="403"/>
      <c r="AD42" s="403"/>
      <c r="AE42" s="403"/>
      <c r="AF42" s="403"/>
      <c r="AG42" s="403"/>
      <c r="AH42" s="403"/>
      <c r="AI42" s="403"/>
      <c r="AJ42" s="403"/>
      <c r="AK42" s="403"/>
      <c r="AL42" s="403"/>
      <c r="AM42" s="403"/>
      <c r="AN42" s="403"/>
      <c r="AO42" s="403" t="s">
        <v>10651</v>
      </c>
      <c r="AP42" s="403"/>
      <c r="AQ42" s="403"/>
      <c r="AR42" s="403"/>
      <c r="AS42" s="403"/>
      <c r="AT42" s="403"/>
      <c r="AU42" s="403"/>
      <c r="AV42" s="403"/>
      <c r="AW42" s="403"/>
      <c r="AX42" s="403"/>
      <c r="AY42" s="403"/>
      <c r="AZ42" s="403"/>
      <c r="BA42" s="403"/>
      <c r="BB42" s="403"/>
      <c r="BC42" s="403"/>
      <c r="BD42" s="403"/>
      <c r="BE42" s="403"/>
      <c r="BF42" s="403"/>
      <c r="BG42" s="403"/>
      <c r="BH42" s="403" t="s">
        <v>10652</v>
      </c>
      <c r="BI42" s="403"/>
      <c r="BJ42" s="403"/>
      <c r="BK42" s="403"/>
      <c r="BL42" s="403"/>
      <c r="BM42" s="403"/>
      <c r="BN42" s="403"/>
      <c r="BO42" s="403"/>
      <c r="BP42" s="403"/>
      <c r="BQ42" s="403"/>
      <c r="BR42" s="403"/>
      <c r="BS42" s="403"/>
      <c r="BT42" s="403"/>
      <c r="BU42" s="403"/>
      <c r="BV42" s="403"/>
      <c r="BW42" s="403"/>
      <c r="BX42" s="403"/>
      <c r="BY42" s="403"/>
      <c r="BZ42" s="403"/>
      <c r="CA42" s="403" t="s">
        <v>10653</v>
      </c>
      <c r="CB42" s="403"/>
      <c r="CC42" s="403"/>
      <c r="CD42" s="403"/>
      <c r="CE42" s="403"/>
      <c r="CF42" s="403"/>
      <c r="CG42" s="403"/>
      <c r="CH42" s="403"/>
      <c r="CI42" s="403"/>
      <c r="CJ42" s="403"/>
      <c r="CK42" s="403"/>
      <c r="CL42" s="403"/>
      <c r="CM42" s="403"/>
      <c r="CN42" s="403"/>
      <c r="CO42" s="403"/>
      <c r="CP42" s="403"/>
      <c r="CQ42" s="403"/>
      <c r="CR42" s="403"/>
      <c r="CS42" s="403"/>
      <c r="CT42" s="403" t="s">
        <v>10654</v>
      </c>
      <c r="CU42" s="403"/>
      <c r="CV42" s="403"/>
      <c r="CW42" s="403"/>
      <c r="CX42" s="403"/>
      <c r="CY42" s="403"/>
      <c r="CZ42" s="403"/>
      <c r="DA42" s="403"/>
      <c r="DB42" s="403"/>
      <c r="DC42" s="403"/>
      <c r="DD42" s="403"/>
      <c r="DE42" s="403"/>
      <c r="DF42" s="403"/>
      <c r="DG42" s="403"/>
      <c r="DH42" s="403"/>
      <c r="DI42" s="403"/>
      <c r="DJ42" s="403"/>
      <c r="DK42" s="403"/>
      <c r="DL42" s="403"/>
      <c r="DM42" s="403" t="s">
        <v>10655</v>
      </c>
      <c r="DN42" s="403"/>
      <c r="DO42" s="403"/>
      <c r="DP42" s="403"/>
      <c r="DQ42" s="403"/>
      <c r="DR42" s="403"/>
      <c r="DS42" s="403"/>
      <c r="DT42" s="403"/>
      <c r="DU42" s="403"/>
      <c r="DV42" s="403"/>
      <c r="DW42" s="403"/>
      <c r="DX42" s="403"/>
      <c r="DY42" s="403"/>
      <c r="DZ42" s="403"/>
      <c r="EA42" s="403"/>
      <c r="EB42" s="403"/>
      <c r="EC42" s="403"/>
      <c r="ED42" s="403"/>
      <c r="EE42" s="403"/>
      <c r="EF42" s="403" t="s">
        <v>10656</v>
      </c>
      <c r="EG42" s="403"/>
      <c r="EH42" s="403"/>
      <c r="EI42" s="403"/>
      <c r="EJ42" s="403"/>
      <c r="EK42" s="403"/>
      <c r="EL42" s="403"/>
      <c r="EM42" s="403"/>
      <c r="EN42" s="403"/>
      <c r="EO42" s="403"/>
      <c r="EP42" s="403"/>
      <c r="EQ42" s="403"/>
      <c r="ER42" s="403"/>
      <c r="ES42" s="403"/>
      <c r="ET42" s="403"/>
    </row>
    <row r="43" spans="1:150" s="299" customFormat="1" x14ac:dyDescent="0.2">
      <c r="C43" s="72" t="str">
        <f>CONCATENATE("",DM4_Vaccine)</f>
        <v/>
      </c>
      <c r="D43" s="159" t="str">
        <f ca="1">IF(OFFSET(V43,0,Lang_Order*Lang__B4)="","",OFFSET(V43,0,Lang_Order*Lang__B4))</f>
        <v>Outreach</v>
      </c>
      <c r="J43" s="264">
        <f>'A2. INPUT Population &amp; Delivery'!H209</f>
        <v>0.30000000000000004</v>
      </c>
      <c r="K43" s="264">
        <f>'A2. INPUT Population &amp; Delivery'!E208</f>
        <v>0.4</v>
      </c>
      <c r="L43" s="264">
        <f>'A2. INPUT Population &amp; Delivery'!E207</f>
        <v>0.3</v>
      </c>
      <c r="Q43" s="12" t="str">
        <f ca="1">IF(OFFSET(AI43,0,Lang_Order*Lang__B4)="","",OFFSET(AI43,0,Lang_Order*Lang__B4))</f>
        <v>i.e., where does the outreach team leave from?</v>
      </c>
      <c r="R43" s="403"/>
      <c r="S43" s="403"/>
      <c r="T43" s="403"/>
      <c r="U43" s="403"/>
      <c r="V43" s="403" t="s">
        <v>3721</v>
      </c>
      <c r="W43" s="403"/>
      <c r="X43" s="403"/>
      <c r="Y43" s="403"/>
      <c r="Z43" s="403"/>
      <c r="AA43" s="403"/>
      <c r="AB43" s="403"/>
      <c r="AC43" s="403"/>
      <c r="AD43" s="403"/>
      <c r="AE43" s="403"/>
      <c r="AF43" s="403"/>
      <c r="AG43" s="403"/>
      <c r="AH43" s="403"/>
      <c r="AI43" s="403" t="s">
        <v>3718</v>
      </c>
      <c r="AJ43" s="403"/>
      <c r="AK43" s="403"/>
      <c r="AL43" s="403"/>
      <c r="AM43" s="403"/>
      <c r="AN43" s="403"/>
      <c r="AO43" s="403" t="s">
        <v>8272</v>
      </c>
      <c r="AP43" s="403"/>
      <c r="AQ43" s="403"/>
      <c r="AR43" s="403"/>
      <c r="AS43" s="403"/>
      <c r="AT43" s="403"/>
      <c r="AU43" s="403"/>
      <c r="AV43" s="403"/>
      <c r="AW43" s="403"/>
      <c r="AX43" s="403"/>
      <c r="AY43" s="403"/>
      <c r="AZ43" s="403"/>
      <c r="BA43" s="403"/>
      <c r="BB43" s="403" t="s">
        <v>10657</v>
      </c>
      <c r="BC43" s="403"/>
      <c r="BD43" s="403"/>
      <c r="BE43" s="403"/>
      <c r="BF43" s="403"/>
      <c r="BG43" s="403"/>
      <c r="BH43" s="403" t="s">
        <v>8273</v>
      </c>
      <c r="BI43" s="403"/>
      <c r="BJ43" s="403"/>
      <c r="BK43" s="403"/>
      <c r="BL43" s="403"/>
      <c r="BM43" s="403"/>
      <c r="BN43" s="403"/>
      <c r="BO43" s="403"/>
      <c r="BP43" s="403"/>
      <c r="BQ43" s="403"/>
      <c r="BR43" s="403"/>
      <c r="BS43" s="403"/>
      <c r="BT43" s="403"/>
      <c r="BU43" s="403" t="s">
        <v>10658</v>
      </c>
      <c r="BV43" s="403"/>
      <c r="BW43" s="403"/>
      <c r="BX43" s="403"/>
      <c r="BY43" s="403"/>
      <c r="BZ43" s="403"/>
      <c r="CA43" s="403" t="s">
        <v>8274</v>
      </c>
      <c r="CB43" s="403"/>
      <c r="CC43" s="403"/>
      <c r="CD43" s="403"/>
      <c r="CE43" s="403"/>
      <c r="CF43" s="403"/>
      <c r="CG43" s="403"/>
      <c r="CH43" s="403"/>
      <c r="CI43" s="403"/>
      <c r="CJ43" s="403"/>
      <c r="CK43" s="403"/>
      <c r="CL43" s="403"/>
      <c r="CM43" s="403"/>
      <c r="CN43" s="403" t="s">
        <v>10659</v>
      </c>
      <c r="CO43" s="403"/>
      <c r="CP43" s="403"/>
      <c r="CQ43" s="403"/>
      <c r="CR43" s="403"/>
      <c r="CS43" s="403"/>
      <c r="CT43" s="403" t="s">
        <v>8275</v>
      </c>
      <c r="CU43" s="403"/>
      <c r="CV43" s="403"/>
      <c r="CW43" s="403"/>
      <c r="CX43" s="403"/>
      <c r="CY43" s="403"/>
      <c r="CZ43" s="403"/>
      <c r="DA43" s="403"/>
      <c r="DB43" s="403"/>
      <c r="DC43" s="403"/>
      <c r="DD43" s="403"/>
      <c r="DE43" s="403"/>
      <c r="DF43" s="403"/>
      <c r="DG43" s="403" t="s">
        <v>10660</v>
      </c>
      <c r="DH43" s="403"/>
      <c r="DI43" s="403"/>
      <c r="DJ43" s="403"/>
      <c r="DK43" s="403"/>
      <c r="DL43" s="403"/>
      <c r="DM43" s="403" t="s">
        <v>10661</v>
      </c>
      <c r="DN43" s="403"/>
      <c r="DO43" s="403"/>
      <c r="DP43" s="403"/>
      <c r="DQ43" s="403"/>
      <c r="DR43" s="403"/>
      <c r="DS43" s="403"/>
      <c r="DT43" s="403"/>
      <c r="DU43" s="403"/>
      <c r="DV43" s="403"/>
      <c r="DW43" s="403"/>
      <c r="DX43" s="403"/>
      <c r="DY43" s="403"/>
      <c r="DZ43" s="403" t="s">
        <v>10662</v>
      </c>
      <c r="EA43" s="403"/>
      <c r="EB43" s="403"/>
      <c r="EC43" s="403"/>
      <c r="ED43" s="403"/>
      <c r="EE43" s="403"/>
      <c r="EF43" s="403" t="s">
        <v>10663</v>
      </c>
      <c r="EG43" s="403"/>
      <c r="EH43" s="403"/>
      <c r="EI43" s="403"/>
      <c r="EJ43" s="403"/>
      <c r="EK43" s="403"/>
      <c r="EL43" s="403"/>
      <c r="EM43" s="403"/>
      <c r="EN43" s="403"/>
      <c r="EO43" s="403"/>
      <c r="EP43" s="403"/>
      <c r="EQ43" s="403"/>
      <c r="ER43" s="403"/>
      <c r="ES43" s="403" t="s">
        <v>10664</v>
      </c>
      <c r="ET43" s="403"/>
    </row>
    <row r="44" spans="1:150" s="299" customFormat="1" x14ac:dyDescent="0.2">
      <c r="J44" s="2" t="str">
        <f ca="1">IF(OFFSET(AB44,0,Lang_Order*Lang__B4)="","",OFFSET(AB44,0,Lang_Order*Lang__B4))</f>
        <v>Methodological note: All vaccines flow through the regions. All vaccines going to fixed sites flow through districts.</v>
      </c>
      <c r="O44" s="499"/>
      <c r="R44" s="403"/>
      <c r="S44" s="403"/>
      <c r="T44" s="403"/>
      <c r="U44" s="403"/>
      <c r="V44" s="403"/>
      <c r="W44" s="403"/>
      <c r="X44" s="403"/>
      <c r="Y44" s="403"/>
      <c r="Z44" s="403"/>
      <c r="AA44" s="403"/>
      <c r="AB44" s="403" t="s">
        <v>3724</v>
      </c>
      <c r="AC44" s="403"/>
      <c r="AD44" s="403"/>
      <c r="AE44" s="403"/>
      <c r="AF44" s="403"/>
      <c r="AG44" s="403"/>
      <c r="AH44" s="403"/>
      <c r="AI44" s="403"/>
      <c r="AJ44" s="403"/>
      <c r="AK44" s="403"/>
      <c r="AL44" s="403"/>
      <c r="AM44" s="403"/>
      <c r="AN44" s="403"/>
      <c r="AO44" s="403"/>
      <c r="AP44" s="403"/>
      <c r="AQ44" s="403"/>
      <c r="AR44" s="403"/>
      <c r="AS44" s="403"/>
      <c r="AT44" s="403"/>
      <c r="AU44" s="403" t="s">
        <v>10665</v>
      </c>
      <c r="AV44" s="403"/>
      <c r="AW44" s="403"/>
      <c r="AX44" s="403"/>
      <c r="AY44" s="403"/>
      <c r="AZ44" s="403"/>
      <c r="BA44" s="403"/>
      <c r="BB44" s="403"/>
      <c r="BC44" s="403"/>
      <c r="BD44" s="403"/>
      <c r="BE44" s="403"/>
      <c r="BF44" s="403"/>
      <c r="BG44" s="403"/>
      <c r="BH44" s="403"/>
      <c r="BI44" s="403"/>
      <c r="BJ44" s="403"/>
      <c r="BK44" s="403"/>
      <c r="BL44" s="403"/>
      <c r="BM44" s="403"/>
      <c r="BN44" s="403" t="s">
        <v>10666</v>
      </c>
      <c r="BO44" s="403"/>
      <c r="BP44" s="403"/>
      <c r="BQ44" s="403"/>
      <c r="BR44" s="403"/>
      <c r="BS44" s="403"/>
      <c r="BT44" s="403"/>
      <c r="BU44" s="403"/>
      <c r="BV44" s="403"/>
      <c r="BW44" s="403"/>
      <c r="BX44" s="403"/>
      <c r="BY44" s="403"/>
      <c r="BZ44" s="403"/>
      <c r="CA44" s="403"/>
      <c r="CB44" s="403"/>
      <c r="CC44" s="403"/>
      <c r="CD44" s="403"/>
      <c r="CE44" s="403"/>
      <c r="CF44" s="403"/>
      <c r="CG44" s="403" t="s">
        <v>10667</v>
      </c>
      <c r="CH44" s="403"/>
      <c r="CI44" s="403"/>
      <c r="CJ44" s="403"/>
      <c r="CK44" s="403"/>
      <c r="CL44" s="403"/>
      <c r="CM44" s="403"/>
      <c r="CN44" s="403"/>
      <c r="CO44" s="403"/>
      <c r="CP44" s="403"/>
      <c r="CQ44" s="403"/>
      <c r="CR44" s="403"/>
      <c r="CS44" s="403"/>
      <c r="CT44" s="403"/>
      <c r="CU44" s="403"/>
      <c r="CV44" s="403"/>
      <c r="CW44" s="403"/>
      <c r="CX44" s="403"/>
      <c r="CY44" s="403"/>
      <c r="CZ44" s="403" t="s">
        <v>10668</v>
      </c>
      <c r="DA44" s="403"/>
      <c r="DB44" s="403"/>
      <c r="DC44" s="403"/>
      <c r="DD44" s="403"/>
      <c r="DE44" s="403"/>
      <c r="DF44" s="403"/>
      <c r="DG44" s="403"/>
      <c r="DH44" s="403"/>
      <c r="DI44" s="403"/>
      <c r="DJ44" s="403"/>
      <c r="DK44" s="403"/>
      <c r="DL44" s="403"/>
      <c r="DM44" s="403"/>
      <c r="DN44" s="403"/>
      <c r="DO44" s="403"/>
      <c r="DP44" s="403"/>
      <c r="DQ44" s="403"/>
      <c r="DR44" s="403"/>
      <c r="DS44" s="403" t="s">
        <v>10669</v>
      </c>
      <c r="DT44" s="403"/>
      <c r="DU44" s="403"/>
      <c r="DV44" s="403"/>
      <c r="DW44" s="403"/>
      <c r="DX44" s="403"/>
      <c r="DY44" s="403"/>
      <c r="DZ44" s="403"/>
      <c r="EA44" s="403"/>
      <c r="EB44" s="403"/>
      <c r="EC44" s="403"/>
      <c r="ED44" s="403"/>
      <c r="EE44" s="403"/>
      <c r="EF44" s="403"/>
      <c r="EG44" s="403"/>
      <c r="EH44" s="403"/>
      <c r="EI44" s="403"/>
      <c r="EJ44" s="403"/>
      <c r="EK44" s="403"/>
      <c r="EL44" s="403" t="s">
        <v>10670</v>
      </c>
      <c r="EM44" s="403"/>
      <c r="EN44" s="403"/>
      <c r="EO44" s="403"/>
      <c r="EP44" s="403"/>
      <c r="EQ44" s="403"/>
      <c r="ER44" s="403"/>
      <c r="ES44" s="403"/>
      <c r="ET44" s="403"/>
    </row>
    <row r="45" spans="1:150" s="299" customFormat="1" x14ac:dyDescent="0.2">
      <c r="B45" s="51" t="str">
        <f ca="1">IF(OFFSET(T45,0,Lang_Order*Lang__B4)="","",OFFSET(T45,0,Lang_Order*Lang__B4))</f>
        <v>Volume of COVID-19 vaccines in secondary packaging (liters) per Period, incl. buffer, in ALL DISTRICTS, by delivery modality</v>
      </c>
      <c r="D45" s="34"/>
      <c r="R45" s="403"/>
      <c r="S45" s="403"/>
      <c r="T45" s="403" t="s">
        <v>4194</v>
      </c>
      <c r="U45" s="403"/>
      <c r="V45" s="403"/>
      <c r="W45" s="403"/>
      <c r="X45" s="403"/>
      <c r="Y45" s="403"/>
      <c r="Z45" s="403"/>
      <c r="AA45" s="403"/>
      <c r="AB45" s="403"/>
      <c r="AC45" s="403"/>
      <c r="AD45" s="403"/>
      <c r="AE45" s="403"/>
      <c r="AF45" s="403"/>
      <c r="AG45" s="403"/>
      <c r="AH45" s="403"/>
      <c r="AI45" s="403"/>
      <c r="AJ45" s="403"/>
      <c r="AK45" s="403"/>
      <c r="AL45" s="403"/>
      <c r="AM45" s="403" t="s">
        <v>10671</v>
      </c>
      <c r="AN45" s="403"/>
      <c r="AO45" s="403"/>
      <c r="AP45" s="403"/>
      <c r="AQ45" s="403"/>
      <c r="AR45" s="403"/>
      <c r="AS45" s="403"/>
      <c r="AT45" s="403"/>
      <c r="AU45" s="403"/>
      <c r="AV45" s="403"/>
      <c r="AW45" s="403"/>
      <c r="AX45" s="403"/>
      <c r="AY45" s="403"/>
      <c r="AZ45" s="403"/>
      <c r="BA45" s="403"/>
      <c r="BB45" s="403"/>
      <c r="BC45" s="403"/>
      <c r="BD45" s="403"/>
      <c r="BE45" s="403"/>
      <c r="BF45" s="403" t="s">
        <v>10672</v>
      </c>
      <c r="BG45" s="403"/>
      <c r="BH45" s="403"/>
      <c r="BI45" s="403"/>
      <c r="BJ45" s="403"/>
      <c r="BK45" s="403"/>
      <c r="BL45" s="403"/>
      <c r="BM45" s="403"/>
      <c r="BN45" s="403"/>
      <c r="BO45" s="403"/>
      <c r="BP45" s="403"/>
      <c r="BQ45" s="403"/>
      <c r="BR45" s="403"/>
      <c r="BS45" s="403"/>
      <c r="BT45" s="403"/>
      <c r="BU45" s="403"/>
      <c r="BV45" s="403"/>
      <c r="BW45" s="403"/>
      <c r="BX45" s="403"/>
      <c r="BY45" s="403" t="s">
        <v>10673</v>
      </c>
      <c r="BZ45" s="403"/>
      <c r="CA45" s="403"/>
      <c r="CB45" s="403"/>
      <c r="CC45" s="403"/>
      <c r="CD45" s="403"/>
      <c r="CE45" s="403"/>
      <c r="CF45" s="403"/>
      <c r="CG45" s="403"/>
      <c r="CH45" s="403"/>
      <c r="CI45" s="403"/>
      <c r="CJ45" s="403"/>
      <c r="CK45" s="403"/>
      <c r="CL45" s="403"/>
      <c r="CM45" s="403"/>
      <c r="CN45" s="403"/>
      <c r="CO45" s="403"/>
      <c r="CP45" s="403"/>
      <c r="CQ45" s="403"/>
      <c r="CR45" s="403" t="s">
        <v>10674</v>
      </c>
      <c r="CS45" s="403"/>
      <c r="CT45" s="403"/>
      <c r="CU45" s="403"/>
      <c r="CV45" s="403"/>
      <c r="CW45" s="403"/>
      <c r="CX45" s="403"/>
      <c r="CY45" s="403"/>
      <c r="CZ45" s="403"/>
      <c r="DA45" s="403"/>
      <c r="DB45" s="403"/>
      <c r="DC45" s="403"/>
      <c r="DD45" s="403"/>
      <c r="DE45" s="403"/>
      <c r="DF45" s="403"/>
      <c r="DG45" s="403"/>
      <c r="DH45" s="403"/>
      <c r="DI45" s="403"/>
      <c r="DJ45" s="403"/>
      <c r="DK45" s="403" t="s">
        <v>10675</v>
      </c>
      <c r="DL45" s="403"/>
      <c r="DM45" s="403"/>
      <c r="DN45" s="403"/>
      <c r="DO45" s="403"/>
      <c r="DP45" s="403"/>
      <c r="DQ45" s="403"/>
      <c r="DR45" s="403"/>
      <c r="DS45" s="403"/>
      <c r="DT45" s="403"/>
      <c r="DU45" s="403"/>
      <c r="DV45" s="403"/>
      <c r="DW45" s="403"/>
      <c r="DX45" s="403"/>
      <c r="DY45" s="403"/>
      <c r="DZ45" s="403"/>
      <c r="EA45" s="403"/>
      <c r="EB45" s="403"/>
      <c r="EC45" s="403"/>
      <c r="ED45" s="403" t="s">
        <v>10676</v>
      </c>
      <c r="EE45" s="403"/>
      <c r="EF45" s="403"/>
      <c r="EG45" s="403"/>
      <c r="EH45" s="403"/>
      <c r="EI45" s="403"/>
      <c r="EJ45" s="403"/>
      <c r="EK45" s="403"/>
      <c r="EL45" s="403"/>
      <c r="EM45" s="403"/>
      <c r="EN45" s="403"/>
      <c r="EO45" s="403"/>
      <c r="EP45" s="403"/>
      <c r="EQ45" s="403"/>
      <c r="ER45" s="403"/>
      <c r="ES45" s="403"/>
      <c r="ET45" s="403"/>
    </row>
    <row r="46" spans="1:150" s="2" customFormat="1" x14ac:dyDescent="0.2">
      <c r="C46" s="72" t="str">
        <f>CONCATENATE("",DM1_Vaccine)</f>
        <v/>
      </c>
      <c r="J46" s="321" t="e">
        <f>($K40*J33)+J52</f>
        <v>#N/A</v>
      </c>
      <c r="K46" s="321" t="e">
        <f t="shared" ref="J46:O49" si="6">($K40*K33)+K52</f>
        <v>#N/A</v>
      </c>
      <c r="L46" s="321" t="e">
        <f t="shared" si="6"/>
        <v>#N/A</v>
      </c>
      <c r="M46" s="321" t="e">
        <f t="shared" si="6"/>
        <v>#N/A</v>
      </c>
      <c r="N46" s="321" t="e">
        <f t="shared" si="6"/>
        <v>#N/A</v>
      </c>
      <c r="O46" s="321" t="e">
        <f t="shared" si="6"/>
        <v>#N/A</v>
      </c>
      <c r="R46" s="403"/>
      <c r="S46" s="403"/>
      <c r="T46" s="403"/>
      <c r="U46" s="403"/>
      <c r="V46" s="403"/>
      <c r="W46" s="403"/>
      <c r="X46" s="403"/>
      <c r="Y46" s="403"/>
      <c r="Z46" s="403"/>
      <c r="AA46" s="403"/>
      <c r="AB46" s="403"/>
      <c r="AC46" s="403"/>
      <c r="AD46" s="403"/>
      <c r="AE46" s="403"/>
      <c r="AF46" s="403"/>
      <c r="AG46" s="403"/>
      <c r="AH46" s="403"/>
      <c r="AI46" s="403"/>
      <c r="AJ46" s="403"/>
      <c r="AK46" s="403"/>
      <c r="AL46" s="403"/>
      <c r="AM46" s="403"/>
      <c r="AN46" s="403"/>
      <c r="AO46" s="403"/>
      <c r="AP46" s="403"/>
      <c r="AQ46" s="403"/>
      <c r="AR46" s="403"/>
      <c r="AS46" s="403"/>
      <c r="AT46" s="403"/>
      <c r="AU46" s="403"/>
      <c r="AV46" s="403"/>
      <c r="AW46" s="403"/>
      <c r="AX46" s="403"/>
      <c r="AY46" s="403"/>
      <c r="AZ46" s="403"/>
      <c r="BA46" s="403"/>
      <c r="BB46" s="403"/>
      <c r="BC46" s="403"/>
      <c r="BD46" s="403"/>
      <c r="BE46" s="403"/>
      <c r="BF46" s="403"/>
      <c r="BG46" s="403"/>
      <c r="BH46" s="403"/>
      <c r="BI46" s="403"/>
      <c r="BJ46" s="403"/>
      <c r="BK46" s="403"/>
      <c r="BL46" s="403"/>
      <c r="BM46" s="403"/>
      <c r="BN46" s="403"/>
      <c r="BO46" s="403"/>
      <c r="BP46" s="403"/>
      <c r="BQ46" s="403"/>
      <c r="BR46" s="403"/>
      <c r="BS46" s="403"/>
      <c r="BT46" s="403"/>
      <c r="BU46" s="403"/>
      <c r="BV46" s="403"/>
      <c r="BW46" s="403"/>
      <c r="BX46" s="403"/>
      <c r="BY46" s="403"/>
      <c r="BZ46" s="403"/>
      <c r="CA46" s="403"/>
      <c r="CB46" s="403"/>
      <c r="CC46" s="403"/>
      <c r="CD46" s="403"/>
      <c r="CE46" s="403"/>
      <c r="CF46" s="403"/>
      <c r="CG46" s="403"/>
      <c r="CH46" s="403"/>
      <c r="CI46" s="403"/>
      <c r="CJ46" s="403"/>
      <c r="CK46" s="403"/>
      <c r="CL46" s="403"/>
      <c r="CM46" s="403"/>
      <c r="CN46" s="403"/>
      <c r="CO46" s="403"/>
      <c r="CP46" s="403"/>
      <c r="CQ46" s="403"/>
      <c r="CR46" s="403"/>
      <c r="CS46" s="403"/>
      <c r="CT46" s="403"/>
      <c r="CU46" s="403"/>
      <c r="CV46" s="403"/>
      <c r="CW46" s="403"/>
      <c r="CX46" s="403"/>
      <c r="CY46" s="403"/>
      <c r="CZ46" s="403"/>
      <c r="DA46" s="403"/>
      <c r="DB46" s="403"/>
      <c r="DC46" s="403"/>
      <c r="DD46" s="403"/>
      <c r="DE46" s="403"/>
      <c r="DF46" s="403"/>
      <c r="DG46" s="403"/>
      <c r="DH46" s="403"/>
      <c r="DI46" s="403"/>
      <c r="DJ46" s="403"/>
      <c r="DK46" s="403"/>
      <c r="DL46" s="403"/>
      <c r="DM46" s="403"/>
      <c r="DN46" s="403"/>
      <c r="DO46" s="403"/>
      <c r="DP46" s="403"/>
      <c r="DQ46" s="403"/>
      <c r="DR46" s="403"/>
      <c r="DS46" s="403"/>
      <c r="DT46" s="403"/>
      <c r="DU46" s="403"/>
      <c r="DV46" s="403"/>
      <c r="DW46" s="403"/>
      <c r="DX46" s="403"/>
      <c r="DY46" s="403"/>
      <c r="DZ46" s="403"/>
      <c r="EA46" s="403"/>
      <c r="EB46" s="403"/>
      <c r="EC46" s="403"/>
      <c r="ED46" s="403"/>
      <c r="EE46" s="403"/>
      <c r="EF46" s="403"/>
      <c r="EG46" s="403"/>
      <c r="EH46" s="403"/>
      <c r="EI46" s="403"/>
      <c r="EJ46" s="403"/>
      <c r="EK46" s="403"/>
      <c r="EL46" s="403"/>
      <c r="EM46" s="403"/>
      <c r="EN46" s="403"/>
      <c r="EO46" s="403"/>
      <c r="EP46" s="403"/>
      <c r="EQ46" s="403"/>
      <c r="ER46" s="403"/>
      <c r="ES46" s="403"/>
      <c r="ET46" s="403"/>
    </row>
    <row r="47" spans="1:150" s="2" customFormat="1" x14ac:dyDescent="0.2">
      <c r="C47" s="72" t="str">
        <f>CONCATENATE("",DM2_Vaccine)</f>
        <v/>
      </c>
      <c r="J47" s="321" t="e">
        <f t="shared" si="6"/>
        <v>#N/A</v>
      </c>
      <c r="K47" s="321" t="e">
        <f t="shared" si="6"/>
        <v>#N/A</v>
      </c>
      <c r="L47" s="321" t="e">
        <f t="shared" si="6"/>
        <v>#N/A</v>
      </c>
      <c r="M47" s="321" t="e">
        <f t="shared" si="6"/>
        <v>#N/A</v>
      </c>
      <c r="N47" s="321" t="e">
        <f t="shared" si="6"/>
        <v>#N/A</v>
      </c>
      <c r="O47" s="321" t="e">
        <f t="shared" si="6"/>
        <v>#N/A</v>
      </c>
      <c r="R47" s="403"/>
      <c r="S47" s="403"/>
      <c r="T47" s="403"/>
      <c r="U47" s="403"/>
      <c r="V47" s="403"/>
      <c r="W47" s="403"/>
      <c r="X47" s="403"/>
      <c r="Y47" s="403"/>
      <c r="Z47" s="403"/>
      <c r="AA47" s="403"/>
      <c r="AB47" s="403"/>
      <c r="AC47" s="403"/>
      <c r="AD47" s="403"/>
      <c r="AE47" s="403"/>
      <c r="AF47" s="403"/>
      <c r="AG47" s="403"/>
      <c r="AH47" s="403"/>
      <c r="AI47" s="403"/>
      <c r="AJ47" s="403"/>
      <c r="AK47" s="403"/>
      <c r="AL47" s="403"/>
      <c r="AM47" s="403"/>
      <c r="AN47" s="403"/>
      <c r="AO47" s="403"/>
      <c r="AP47" s="403"/>
      <c r="AQ47" s="403"/>
      <c r="AR47" s="403"/>
      <c r="AS47" s="403"/>
      <c r="AT47" s="403"/>
      <c r="AU47" s="403"/>
      <c r="AV47" s="403"/>
      <c r="AW47" s="403"/>
      <c r="AX47" s="403"/>
      <c r="AY47" s="403"/>
      <c r="AZ47" s="403"/>
      <c r="BA47" s="403"/>
      <c r="BB47" s="403"/>
      <c r="BC47" s="403"/>
      <c r="BD47" s="403"/>
      <c r="BE47" s="403"/>
      <c r="BF47" s="403"/>
      <c r="BG47" s="403"/>
      <c r="BH47" s="403"/>
      <c r="BI47" s="403"/>
      <c r="BJ47" s="403"/>
      <c r="BK47" s="403"/>
      <c r="BL47" s="403"/>
      <c r="BM47" s="403"/>
      <c r="BN47" s="403"/>
      <c r="BO47" s="403"/>
      <c r="BP47" s="403"/>
      <c r="BQ47" s="403"/>
      <c r="BR47" s="403"/>
      <c r="BS47" s="403"/>
      <c r="BT47" s="403"/>
      <c r="BU47" s="403"/>
      <c r="BV47" s="403"/>
      <c r="BW47" s="403"/>
      <c r="BX47" s="403"/>
      <c r="BY47" s="403"/>
      <c r="BZ47" s="403"/>
      <c r="CA47" s="403"/>
      <c r="CB47" s="403"/>
      <c r="CC47" s="403"/>
      <c r="CD47" s="403"/>
      <c r="CE47" s="403"/>
      <c r="CF47" s="403"/>
      <c r="CG47" s="403"/>
      <c r="CH47" s="403"/>
      <c r="CI47" s="403"/>
      <c r="CJ47" s="403"/>
      <c r="CK47" s="403"/>
      <c r="CL47" s="403"/>
      <c r="CM47" s="403"/>
      <c r="CN47" s="403"/>
      <c r="CO47" s="403"/>
      <c r="CP47" s="403"/>
      <c r="CQ47" s="403"/>
      <c r="CR47" s="403"/>
      <c r="CS47" s="403"/>
      <c r="CT47" s="403"/>
      <c r="CU47" s="403"/>
      <c r="CV47" s="403"/>
      <c r="CW47" s="403"/>
      <c r="CX47" s="403"/>
      <c r="CY47" s="403"/>
      <c r="CZ47" s="403"/>
      <c r="DA47" s="403"/>
      <c r="DB47" s="403"/>
      <c r="DC47" s="403"/>
      <c r="DD47" s="403"/>
      <c r="DE47" s="403"/>
      <c r="DF47" s="403"/>
      <c r="DG47" s="403"/>
      <c r="DH47" s="403"/>
      <c r="DI47" s="403"/>
      <c r="DJ47" s="403"/>
      <c r="DK47" s="403"/>
      <c r="DL47" s="403"/>
      <c r="DM47" s="403"/>
      <c r="DN47" s="403"/>
      <c r="DO47" s="403"/>
      <c r="DP47" s="403"/>
      <c r="DQ47" s="403"/>
      <c r="DR47" s="403"/>
      <c r="DS47" s="403"/>
      <c r="DT47" s="403"/>
      <c r="DU47" s="403"/>
      <c r="DV47" s="403"/>
      <c r="DW47" s="403"/>
      <c r="DX47" s="403"/>
      <c r="DY47" s="403"/>
      <c r="DZ47" s="403"/>
      <c r="EA47" s="403"/>
      <c r="EB47" s="403"/>
      <c r="EC47" s="403"/>
      <c r="ED47" s="403"/>
      <c r="EE47" s="403"/>
      <c r="EF47" s="403"/>
      <c r="EG47" s="403"/>
      <c r="EH47" s="403"/>
      <c r="EI47" s="403"/>
      <c r="EJ47" s="403"/>
      <c r="EK47" s="403"/>
      <c r="EL47" s="403"/>
      <c r="EM47" s="403"/>
      <c r="EN47" s="403"/>
      <c r="EO47" s="403"/>
      <c r="EP47" s="403"/>
      <c r="EQ47" s="403"/>
      <c r="ER47" s="403"/>
      <c r="ES47" s="403"/>
      <c r="ET47" s="403"/>
    </row>
    <row r="48" spans="1:150" s="2" customFormat="1" x14ac:dyDescent="0.2">
      <c r="C48" s="72" t="str">
        <f>CONCATENATE("",DM3_Vaccine)</f>
        <v/>
      </c>
      <c r="J48" s="321" t="e">
        <f t="shared" si="6"/>
        <v>#N/A</v>
      </c>
      <c r="K48" s="321" t="e">
        <f t="shared" si="6"/>
        <v>#N/A</v>
      </c>
      <c r="L48" s="321" t="e">
        <f t="shared" si="6"/>
        <v>#N/A</v>
      </c>
      <c r="M48" s="321" t="e">
        <f t="shared" si="6"/>
        <v>#N/A</v>
      </c>
      <c r="N48" s="321" t="e">
        <f t="shared" si="6"/>
        <v>#N/A</v>
      </c>
      <c r="O48" s="321" t="e">
        <f t="shared" si="6"/>
        <v>#N/A</v>
      </c>
      <c r="R48" s="403"/>
      <c r="S48" s="403"/>
      <c r="T48" s="403"/>
      <c r="U48" s="403"/>
      <c r="V48" s="403"/>
      <c r="W48" s="403"/>
      <c r="X48" s="403"/>
      <c r="Y48" s="403"/>
      <c r="Z48" s="403"/>
      <c r="AA48" s="403"/>
      <c r="AB48" s="403"/>
      <c r="AC48" s="403"/>
      <c r="AD48" s="403"/>
      <c r="AE48" s="403"/>
      <c r="AF48" s="403"/>
      <c r="AG48" s="403"/>
      <c r="AH48" s="403"/>
      <c r="AI48" s="403"/>
      <c r="AJ48" s="403"/>
      <c r="AK48" s="403"/>
      <c r="AL48" s="403"/>
      <c r="AM48" s="403"/>
      <c r="AN48" s="403"/>
      <c r="AO48" s="403"/>
      <c r="AP48" s="403"/>
      <c r="AQ48" s="403"/>
      <c r="AR48" s="403"/>
      <c r="AS48" s="403"/>
      <c r="AT48" s="403"/>
      <c r="AU48" s="403"/>
      <c r="AV48" s="403"/>
      <c r="AW48" s="403"/>
      <c r="AX48" s="403"/>
      <c r="AY48" s="403"/>
      <c r="AZ48" s="403"/>
      <c r="BA48" s="403"/>
      <c r="BB48" s="403"/>
      <c r="BC48" s="403"/>
      <c r="BD48" s="403"/>
      <c r="BE48" s="403"/>
      <c r="BF48" s="403"/>
      <c r="BG48" s="403"/>
      <c r="BH48" s="403"/>
      <c r="BI48" s="403"/>
      <c r="BJ48" s="403"/>
      <c r="BK48" s="403"/>
      <c r="BL48" s="403"/>
      <c r="BM48" s="403"/>
      <c r="BN48" s="403"/>
      <c r="BO48" s="403"/>
      <c r="BP48" s="403"/>
      <c r="BQ48" s="403"/>
      <c r="BR48" s="403"/>
      <c r="BS48" s="403"/>
      <c r="BT48" s="403"/>
      <c r="BU48" s="403"/>
      <c r="BV48" s="403"/>
      <c r="BW48" s="403"/>
      <c r="BX48" s="403"/>
      <c r="BY48" s="403"/>
      <c r="BZ48" s="403"/>
      <c r="CA48" s="403"/>
      <c r="CB48" s="403"/>
      <c r="CC48" s="403"/>
      <c r="CD48" s="403"/>
      <c r="CE48" s="403"/>
      <c r="CF48" s="403"/>
      <c r="CG48" s="403"/>
      <c r="CH48" s="403"/>
      <c r="CI48" s="403"/>
      <c r="CJ48" s="403"/>
      <c r="CK48" s="403"/>
      <c r="CL48" s="403"/>
      <c r="CM48" s="403"/>
      <c r="CN48" s="403"/>
      <c r="CO48" s="403"/>
      <c r="CP48" s="403"/>
      <c r="CQ48" s="403"/>
      <c r="CR48" s="403"/>
      <c r="CS48" s="403"/>
      <c r="CT48" s="403"/>
      <c r="CU48" s="403"/>
      <c r="CV48" s="403"/>
      <c r="CW48" s="403"/>
      <c r="CX48" s="403"/>
      <c r="CY48" s="403"/>
      <c r="CZ48" s="403"/>
      <c r="DA48" s="403"/>
      <c r="DB48" s="403"/>
      <c r="DC48" s="403"/>
      <c r="DD48" s="403"/>
      <c r="DE48" s="403"/>
      <c r="DF48" s="403"/>
      <c r="DG48" s="403"/>
      <c r="DH48" s="403"/>
      <c r="DI48" s="403"/>
      <c r="DJ48" s="403"/>
      <c r="DK48" s="403"/>
      <c r="DL48" s="403"/>
      <c r="DM48" s="403"/>
      <c r="DN48" s="403"/>
      <c r="DO48" s="403"/>
      <c r="DP48" s="403"/>
      <c r="DQ48" s="403"/>
      <c r="DR48" s="403"/>
      <c r="DS48" s="403"/>
      <c r="DT48" s="403"/>
      <c r="DU48" s="403"/>
      <c r="DV48" s="403"/>
      <c r="DW48" s="403"/>
      <c r="DX48" s="403"/>
      <c r="DY48" s="403"/>
      <c r="DZ48" s="403"/>
      <c r="EA48" s="403"/>
      <c r="EB48" s="403"/>
      <c r="EC48" s="403"/>
      <c r="ED48" s="403"/>
      <c r="EE48" s="403"/>
      <c r="EF48" s="403"/>
      <c r="EG48" s="403"/>
      <c r="EH48" s="403"/>
      <c r="EI48" s="403"/>
      <c r="EJ48" s="403"/>
      <c r="EK48" s="403"/>
      <c r="EL48" s="403"/>
      <c r="EM48" s="403"/>
      <c r="EN48" s="403"/>
      <c r="EO48" s="403"/>
      <c r="EP48" s="403"/>
      <c r="EQ48" s="403"/>
      <c r="ER48" s="403"/>
      <c r="ES48" s="403"/>
      <c r="ET48" s="403"/>
    </row>
    <row r="49" spans="2:150" s="2" customFormat="1" x14ac:dyDescent="0.2">
      <c r="C49" s="72" t="str">
        <f>CONCATENATE("",DM4_Vaccine)</f>
        <v/>
      </c>
      <c r="J49" s="321" t="e">
        <f t="shared" si="6"/>
        <v>#N/A</v>
      </c>
      <c r="K49" s="321" t="e">
        <f t="shared" si="6"/>
        <v>#N/A</v>
      </c>
      <c r="L49" s="321" t="e">
        <f t="shared" si="6"/>
        <v>#N/A</v>
      </c>
      <c r="M49" s="321" t="e">
        <f t="shared" si="6"/>
        <v>#N/A</v>
      </c>
      <c r="N49" s="321" t="e">
        <f t="shared" si="6"/>
        <v>#N/A</v>
      </c>
      <c r="O49" s="321" t="e">
        <f t="shared" si="6"/>
        <v>#N/A</v>
      </c>
      <c r="R49" s="403"/>
      <c r="S49" s="403"/>
      <c r="T49" s="403"/>
      <c r="U49" s="403"/>
      <c r="V49" s="403"/>
      <c r="W49" s="403"/>
      <c r="X49" s="403"/>
      <c r="Y49" s="403"/>
      <c r="Z49" s="403"/>
      <c r="AA49" s="403"/>
      <c r="AB49" s="403"/>
      <c r="AC49" s="403"/>
      <c r="AD49" s="403"/>
      <c r="AE49" s="403"/>
      <c r="AF49" s="403"/>
      <c r="AG49" s="403"/>
      <c r="AH49" s="403"/>
      <c r="AI49" s="403"/>
      <c r="AJ49" s="403"/>
      <c r="AK49" s="403"/>
      <c r="AL49" s="403"/>
      <c r="AM49" s="403"/>
      <c r="AN49" s="403"/>
      <c r="AO49" s="403"/>
      <c r="AP49" s="403"/>
      <c r="AQ49" s="403"/>
      <c r="AR49" s="403"/>
      <c r="AS49" s="403"/>
      <c r="AT49" s="403"/>
      <c r="AU49" s="403"/>
      <c r="AV49" s="403"/>
      <c r="AW49" s="403"/>
      <c r="AX49" s="403"/>
      <c r="AY49" s="403"/>
      <c r="AZ49" s="403"/>
      <c r="BA49" s="403"/>
      <c r="BB49" s="403"/>
      <c r="BC49" s="403"/>
      <c r="BD49" s="403"/>
      <c r="BE49" s="403"/>
      <c r="BF49" s="403"/>
      <c r="BG49" s="403"/>
      <c r="BH49" s="403"/>
      <c r="BI49" s="403"/>
      <c r="BJ49" s="403"/>
      <c r="BK49" s="403"/>
      <c r="BL49" s="403"/>
      <c r="BM49" s="403"/>
      <c r="BN49" s="403"/>
      <c r="BO49" s="403"/>
      <c r="BP49" s="403"/>
      <c r="BQ49" s="403"/>
      <c r="BR49" s="403"/>
      <c r="BS49" s="403"/>
      <c r="BT49" s="403"/>
      <c r="BU49" s="403"/>
      <c r="BV49" s="403"/>
      <c r="BW49" s="403"/>
      <c r="BX49" s="403"/>
      <c r="BY49" s="403"/>
      <c r="BZ49" s="403"/>
      <c r="CA49" s="403"/>
      <c r="CB49" s="403"/>
      <c r="CC49" s="403"/>
      <c r="CD49" s="403"/>
      <c r="CE49" s="403"/>
      <c r="CF49" s="403"/>
      <c r="CG49" s="403"/>
      <c r="CH49" s="403"/>
      <c r="CI49" s="403"/>
      <c r="CJ49" s="403"/>
      <c r="CK49" s="403"/>
      <c r="CL49" s="403"/>
      <c r="CM49" s="403"/>
      <c r="CN49" s="403"/>
      <c r="CO49" s="403"/>
      <c r="CP49" s="403"/>
      <c r="CQ49" s="403"/>
      <c r="CR49" s="403"/>
      <c r="CS49" s="403"/>
      <c r="CT49" s="403"/>
      <c r="CU49" s="403"/>
      <c r="CV49" s="403"/>
      <c r="CW49" s="403"/>
      <c r="CX49" s="403"/>
      <c r="CY49" s="403"/>
      <c r="CZ49" s="403"/>
      <c r="DA49" s="403"/>
      <c r="DB49" s="403"/>
      <c r="DC49" s="403"/>
      <c r="DD49" s="403"/>
      <c r="DE49" s="403"/>
      <c r="DF49" s="403"/>
      <c r="DG49" s="403"/>
      <c r="DH49" s="403"/>
      <c r="DI49" s="403"/>
      <c r="DJ49" s="403"/>
      <c r="DK49" s="403"/>
      <c r="DL49" s="403"/>
      <c r="DM49" s="403"/>
      <c r="DN49" s="403"/>
      <c r="DO49" s="403"/>
      <c r="DP49" s="403"/>
      <c r="DQ49" s="403"/>
      <c r="DR49" s="403"/>
      <c r="DS49" s="403"/>
      <c r="DT49" s="403"/>
      <c r="DU49" s="403"/>
      <c r="DV49" s="403"/>
      <c r="DW49" s="403"/>
      <c r="DX49" s="403"/>
      <c r="DY49" s="403"/>
      <c r="DZ49" s="403"/>
      <c r="EA49" s="403"/>
      <c r="EB49" s="403"/>
      <c r="EC49" s="403"/>
      <c r="ED49" s="403"/>
      <c r="EE49" s="403"/>
      <c r="EF49" s="403"/>
      <c r="EG49" s="403"/>
      <c r="EH49" s="403"/>
      <c r="EI49" s="403"/>
      <c r="EJ49" s="403"/>
      <c r="EK49" s="403"/>
      <c r="EL49" s="403"/>
      <c r="EM49" s="403"/>
      <c r="EN49" s="403"/>
      <c r="EO49" s="403"/>
      <c r="EP49" s="403"/>
      <c r="EQ49" s="403"/>
      <c r="ER49" s="403"/>
      <c r="ES49" s="403"/>
      <c r="ET49" s="403"/>
    </row>
    <row r="50" spans="2:150" s="299" customFormat="1" x14ac:dyDescent="0.2">
      <c r="R50" s="403"/>
      <c r="S50" s="403"/>
      <c r="T50" s="403"/>
      <c r="U50" s="403"/>
      <c r="V50" s="403"/>
      <c r="W50" s="403"/>
      <c r="X50" s="403"/>
      <c r="Y50" s="403"/>
      <c r="Z50" s="403"/>
      <c r="AA50" s="403"/>
      <c r="AB50" s="403"/>
      <c r="AC50" s="403"/>
      <c r="AD50" s="403"/>
      <c r="AE50" s="403"/>
      <c r="AF50" s="403"/>
      <c r="AG50" s="403"/>
      <c r="AH50" s="403"/>
      <c r="AI50" s="403"/>
      <c r="AJ50" s="403"/>
      <c r="AK50" s="403"/>
      <c r="AL50" s="403"/>
      <c r="AM50" s="403"/>
      <c r="AN50" s="403"/>
      <c r="AO50" s="403"/>
      <c r="AP50" s="403"/>
      <c r="AQ50" s="403"/>
      <c r="AR50" s="403"/>
      <c r="AS50" s="403"/>
      <c r="AT50" s="403"/>
      <c r="AU50" s="403"/>
      <c r="AV50" s="403"/>
      <c r="AW50" s="403"/>
      <c r="AX50" s="403"/>
      <c r="AY50" s="403"/>
      <c r="AZ50" s="403"/>
      <c r="BA50" s="403"/>
      <c r="BB50" s="403"/>
      <c r="BC50" s="403"/>
      <c r="BD50" s="403"/>
      <c r="BE50" s="403"/>
      <c r="BF50" s="403"/>
      <c r="BG50" s="403"/>
      <c r="BH50" s="403"/>
      <c r="BI50" s="403"/>
      <c r="BJ50" s="403"/>
      <c r="BK50" s="403"/>
      <c r="BL50" s="403"/>
      <c r="BM50" s="403"/>
      <c r="BN50" s="403"/>
      <c r="BO50" s="403"/>
      <c r="BP50" s="403"/>
      <c r="BQ50" s="403"/>
      <c r="BR50" s="403"/>
      <c r="BS50" s="403"/>
      <c r="BT50" s="403"/>
      <c r="BU50" s="403"/>
      <c r="BV50" s="403"/>
      <c r="BW50" s="403"/>
      <c r="BX50" s="403"/>
      <c r="BY50" s="403"/>
      <c r="BZ50" s="403"/>
      <c r="CA50" s="403"/>
      <c r="CB50" s="403"/>
      <c r="CC50" s="403"/>
      <c r="CD50" s="403"/>
      <c r="CE50" s="403"/>
      <c r="CF50" s="403"/>
      <c r="CG50" s="403"/>
      <c r="CH50" s="403"/>
      <c r="CI50" s="403"/>
      <c r="CJ50" s="403"/>
      <c r="CK50" s="403"/>
      <c r="CL50" s="403"/>
      <c r="CM50" s="403"/>
      <c r="CN50" s="403"/>
      <c r="CO50" s="403"/>
      <c r="CP50" s="403"/>
      <c r="CQ50" s="403"/>
      <c r="CR50" s="403"/>
      <c r="CS50" s="403"/>
      <c r="CT50" s="403"/>
      <c r="CU50" s="403"/>
      <c r="CV50" s="403"/>
      <c r="CW50" s="403"/>
      <c r="CX50" s="403"/>
      <c r="CY50" s="403"/>
      <c r="CZ50" s="403"/>
      <c r="DA50" s="403"/>
      <c r="DB50" s="403"/>
      <c r="DC50" s="403"/>
      <c r="DD50" s="403"/>
      <c r="DE50" s="403"/>
      <c r="DF50" s="403"/>
      <c r="DG50" s="403"/>
      <c r="DH50" s="403"/>
      <c r="DI50" s="403"/>
      <c r="DJ50" s="403"/>
      <c r="DK50" s="403"/>
      <c r="DL50" s="403"/>
      <c r="DM50" s="403"/>
      <c r="DN50" s="403"/>
      <c r="DO50" s="403"/>
      <c r="DP50" s="403"/>
      <c r="DQ50" s="403"/>
      <c r="DR50" s="403"/>
      <c r="DS50" s="403"/>
      <c r="DT50" s="403"/>
      <c r="DU50" s="403"/>
      <c r="DV50" s="403"/>
      <c r="DW50" s="403"/>
      <c r="DX50" s="403"/>
      <c r="DY50" s="403"/>
      <c r="DZ50" s="403"/>
      <c r="EA50" s="403"/>
      <c r="EB50" s="403"/>
      <c r="EC50" s="403"/>
      <c r="ED50" s="403"/>
      <c r="EE50" s="403"/>
      <c r="EF50" s="403"/>
      <c r="EG50" s="403"/>
      <c r="EH50" s="403"/>
      <c r="EI50" s="403"/>
      <c r="EJ50" s="403"/>
      <c r="EK50" s="403"/>
      <c r="EL50" s="403"/>
      <c r="EM50" s="403"/>
      <c r="EN50" s="403"/>
      <c r="EO50" s="403"/>
      <c r="EP50" s="403"/>
      <c r="EQ50" s="403"/>
      <c r="ER50" s="403"/>
      <c r="ES50" s="403"/>
      <c r="ET50" s="403"/>
    </row>
    <row r="51" spans="2:150" s="299" customFormat="1" x14ac:dyDescent="0.2">
      <c r="B51" s="51" t="str">
        <f ca="1">IF(OFFSET(T51,0,Lang_Order*Lang__B4)="","",OFFSET(T51,0,Lang_Order*Lang__B4))</f>
        <v>Volume of COVID-19 vaccines in secondary packaging (liters) per Period, incl. buffer, in ALL FIXED SITES, by delivery modality</v>
      </c>
      <c r="D51" s="34"/>
      <c r="R51" s="403"/>
      <c r="S51" s="403"/>
      <c r="T51" s="403" t="s">
        <v>4195</v>
      </c>
      <c r="U51" s="403"/>
      <c r="V51" s="403"/>
      <c r="W51" s="403"/>
      <c r="X51" s="403"/>
      <c r="Y51" s="403"/>
      <c r="Z51" s="403"/>
      <c r="AA51" s="403"/>
      <c r="AB51" s="403"/>
      <c r="AC51" s="403"/>
      <c r="AD51" s="403"/>
      <c r="AE51" s="403"/>
      <c r="AF51" s="403"/>
      <c r="AG51" s="403"/>
      <c r="AH51" s="403"/>
      <c r="AI51" s="403"/>
      <c r="AJ51" s="403"/>
      <c r="AK51" s="403"/>
      <c r="AL51" s="403"/>
      <c r="AM51" s="403" t="s">
        <v>10677</v>
      </c>
      <c r="AN51" s="403"/>
      <c r="AO51" s="403"/>
      <c r="AP51" s="403"/>
      <c r="AQ51" s="403"/>
      <c r="AR51" s="403"/>
      <c r="AS51" s="403"/>
      <c r="AT51" s="403"/>
      <c r="AU51" s="403"/>
      <c r="AV51" s="403"/>
      <c r="AW51" s="403"/>
      <c r="AX51" s="403"/>
      <c r="AY51" s="403"/>
      <c r="AZ51" s="403"/>
      <c r="BA51" s="403"/>
      <c r="BB51" s="403"/>
      <c r="BC51" s="403"/>
      <c r="BD51" s="403"/>
      <c r="BE51" s="403"/>
      <c r="BF51" s="403" t="s">
        <v>10678</v>
      </c>
      <c r="BG51" s="403"/>
      <c r="BH51" s="403"/>
      <c r="BI51" s="403"/>
      <c r="BJ51" s="403"/>
      <c r="BK51" s="403"/>
      <c r="BL51" s="403"/>
      <c r="BM51" s="403"/>
      <c r="BN51" s="403"/>
      <c r="BO51" s="403"/>
      <c r="BP51" s="403"/>
      <c r="BQ51" s="403"/>
      <c r="BR51" s="403"/>
      <c r="BS51" s="403"/>
      <c r="BT51" s="403"/>
      <c r="BU51" s="403"/>
      <c r="BV51" s="403"/>
      <c r="BW51" s="403"/>
      <c r="BX51" s="403"/>
      <c r="BY51" s="403" t="s">
        <v>10679</v>
      </c>
      <c r="BZ51" s="403"/>
      <c r="CA51" s="403"/>
      <c r="CB51" s="403"/>
      <c r="CC51" s="403"/>
      <c r="CD51" s="403"/>
      <c r="CE51" s="403"/>
      <c r="CF51" s="403"/>
      <c r="CG51" s="403"/>
      <c r="CH51" s="403"/>
      <c r="CI51" s="403"/>
      <c r="CJ51" s="403"/>
      <c r="CK51" s="403"/>
      <c r="CL51" s="403"/>
      <c r="CM51" s="403"/>
      <c r="CN51" s="403"/>
      <c r="CO51" s="403"/>
      <c r="CP51" s="403"/>
      <c r="CQ51" s="403"/>
      <c r="CR51" s="403" t="s">
        <v>10680</v>
      </c>
      <c r="CS51" s="403"/>
      <c r="CT51" s="403"/>
      <c r="CU51" s="403"/>
      <c r="CV51" s="403"/>
      <c r="CW51" s="403"/>
      <c r="CX51" s="403"/>
      <c r="CY51" s="403"/>
      <c r="CZ51" s="403"/>
      <c r="DA51" s="403"/>
      <c r="DB51" s="403"/>
      <c r="DC51" s="403"/>
      <c r="DD51" s="403"/>
      <c r="DE51" s="403"/>
      <c r="DF51" s="403"/>
      <c r="DG51" s="403"/>
      <c r="DH51" s="403"/>
      <c r="DI51" s="403"/>
      <c r="DJ51" s="403"/>
      <c r="DK51" s="403" t="s">
        <v>10681</v>
      </c>
      <c r="DL51" s="403"/>
      <c r="DM51" s="403"/>
      <c r="DN51" s="403"/>
      <c r="DO51" s="403"/>
      <c r="DP51" s="403"/>
      <c r="DQ51" s="403"/>
      <c r="DR51" s="403"/>
      <c r="DS51" s="403"/>
      <c r="DT51" s="403"/>
      <c r="DU51" s="403"/>
      <c r="DV51" s="403"/>
      <c r="DW51" s="403"/>
      <c r="DX51" s="403"/>
      <c r="DY51" s="403"/>
      <c r="DZ51" s="403"/>
      <c r="EA51" s="403"/>
      <c r="EB51" s="403"/>
      <c r="EC51" s="403"/>
      <c r="ED51" s="403" t="s">
        <v>10682</v>
      </c>
      <c r="EE51" s="403"/>
      <c r="EF51" s="403"/>
      <c r="EG51" s="403"/>
      <c r="EH51" s="403"/>
      <c r="EI51" s="403"/>
      <c r="EJ51" s="403"/>
      <c r="EK51" s="403"/>
      <c r="EL51" s="403"/>
      <c r="EM51" s="403"/>
      <c r="EN51" s="403"/>
      <c r="EO51" s="403"/>
      <c r="EP51" s="403"/>
      <c r="EQ51" s="403"/>
      <c r="ER51" s="403"/>
      <c r="ES51" s="403"/>
      <c r="ET51" s="403"/>
    </row>
    <row r="52" spans="2:150" s="2" customFormat="1" x14ac:dyDescent="0.2">
      <c r="C52" s="72" t="str">
        <f>CONCATENATE("",DM1_Vaccine)</f>
        <v/>
      </c>
      <c r="J52" s="321" t="e">
        <f t="shared" ref="J52:O55" si="7">$L40*J33</f>
        <v>#N/A</v>
      </c>
      <c r="K52" s="321" t="e">
        <f t="shared" si="7"/>
        <v>#N/A</v>
      </c>
      <c r="L52" s="321" t="e">
        <f t="shared" si="7"/>
        <v>#N/A</v>
      </c>
      <c r="M52" s="321" t="e">
        <f t="shared" si="7"/>
        <v>#N/A</v>
      </c>
      <c r="N52" s="321" t="e">
        <f t="shared" si="7"/>
        <v>#N/A</v>
      </c>
      <c r="O52" s="321" t="e">
        <f t="shared" si="7"/>
        <v>#N/A</v>
      </c>
      <c r="R52" s="403"/>
      <c r="S52" s="403"/>
      <c r="T52" s="403"/>
      <c r="U52" s="403"/>
      <c r="V52" s="403"/>
      <c r="W52" s="403"/>
      <c r="X52" s="403"/>
      <c r="Y52" s="403"/>
      <c r="Z52" s="403"/>
      <c r="AA52" s="403"/>
      <c r="AB52" s="403"/>
      <c r="AC52" s="403"/>
      <c r="AD52" s="403"/>
      <c r="AE52" s="403"/>
      <c r="AF52" s="403"/>
      <c r="AG52" s="403"/>
      <c r="AH52" s="403"/>
      <c r="AI52" s="403"/>
      <c r="AJ52" s="403"/>
      <c r="AK52" s="403"/>
      <c r="AL52" s="403"/>
      <c r="AM52" s="403"/>
      <c r="AN52" s="403"/>
      <c r="AO52" s="403"/>
      <c r="AP52" s="403"/>
      <c r="AQ52" s="403"/>
      <c r="AR52" s="403"/>
      <c r="AS52" s="403"/>
      <c r="AT52" s="403"/>
      <c r="AU52" s="403"/>
      <c r="AV52" s="403"/>
      <c r="AW52" s="403"/>
      <c r="AX52" s="403"/>
      <c r="AY52" s="403"/>
      <c r="AZ52" s="403"/>
      <c r="BA52" s="403"/>
      <c r="BB52" s="403"/>
      <c r="BC52" s="403"/>
      <c r="BD52" s="403"/>
      <c r="BE52" s="403"/>
      <c r="BF52" s="403"/>
      <c r="BG52" s="403"/>
      <c r="BH52" s="403"/>
      <c r="BI52" s="403"/>
      <c r="BJ52" s="403"/>
      <c r="BK52" s="403"/>
      <c r="BL52" s="403"/>
      <c r="BM52" s="403"/>
      <c r="BN52" s="403"/>
      <c r="BO52" s="403"/>
      <c r="BP52" s="403"/>
      <c r="BQ52" s="403"/>
      <c r="BR52" s="403"/>
      <c r="BS52" s="403"/>
      <c r="BT52" s="403"/>
      <c r="BU52" s="403"/>
      <c r="BV52" s="403"/>
      <c r="BW52" s="403"/>
      <c r="BX52" s="403"/>
      <c r="BY52" s="403"/>
      <c r="BZ52" s="403"/>
      <c r="CA52" s="403"/>
      <c r="CB52" s="403"/>
      <c r="CC52" s="403"/>
      <c r="CD52" s="403"/>
      <c r="CE52" s="403"/>
      <c r="CF52" s="403"/>
      <c r="CG52" s="403"/>
      <c r="CH52" s="403"/>
      <c r="CI52" s="403"/>
      <c r="CJ52" s="403"/>
      <c r="CK52" s="403"/>
      <c r="CL52" s="403"/>
      <c r="CM52" s="403"/>
      <c r="CN52" s="403"/>
      <c r="CO52" s="403"/>
      <c r="CP52" s="403"/>
      <c r="CQ52" s="403"/>
      <c r="CR52" s="403"/>
      <c r="CS52" s="403"/>
      <c r="CT52" s="403"/>
      <c r="CU52" s="403"/>
      <c r="CV52" s="403"/>
      <c r="CW52" s="403"/>
      <c r="CX52" s="403"/>
      <c r="CY52" s="403"/>
      <c r="CZ52" s="403"/>
      <c r="DA52" s="403"/>
      <c r="DB52" s="403"/>
      <c r="DC52" s="403"/>
      <c r="DD52" s="403"/>
      <c r="DE52" s="403"/>
      <c r="DF52" s="403"/>
      <c r="DG52" s="403"/>
      <c r="DH52" s="403"/>
      <c r="DI52" s="403"/>
      <c r="DJ52" s="403"/>
      <c r="DK52" s="403"/>
      <c r="DL52" s="403"/>
      <c r="DM52" s="403"/>
      <c r="DN52" s="403"/>
      <c r="DO52" s="403"/>
      <c r="DP52" s="403"/>
      <c r="DQ52" s="403"/>
      <c r="DR52" s="403"/>
      <c r="DS52" s="403"/>
      <c r="DT52" s="403"/>
      <c r="DU52" s="403"/>
      <c r="DV52" s="403"/>
      <c r="DW52" s="403"/>
      <c r="DX52" s="403"/>
      <c r="DY52" s="403"/>
      <c r="DZ52" s="403"/>
      <c r="EA52" s="403"/>
      <c r="EB52" s="403"/>
      <c r="EC52" s="403"/>
      <c r="ED52" s="403"/>
      <c r="EE52" s="403"/>
      <c r="EF52" s="403"/>
      <c r="EG52" s="403"/>
      <c r="EH52" s="403"/>
      <c r="EI52" s="403"/>
      <c r="EJ52" s="403"/>
      <c r="EK52" s="403"/>
      <c r="EL52" s="403"/>
      <c r="EM52" s="403"/>
      <c r="EN52" s="403"/>
      <c r="EO52" s="403"/>
      <c r="EP52" s="403"/>
      <c r="EQ52" s="403"/>
      <c r="ER52" s="403"/>
      <c r="ES52" s="403"/>
      <c r="ET52" s="403"/>
    </row>
    <row r="53" spans="2:150" s="2" customFormat="1" x14ac:dyDescent="0.2">
      <c r="C53" s="72" t="str">
        <f>CONCATENATE("",DM2_Vaccine)</f>
        <v/>
      </c>
      <c r="J53" s="321" t="e">
        <f t="shared" si="7"/>
        <v>#N/A</v>
      </c>
      <c r="K53" s="321" t="e">
        <f t="shared" si="7"/>
        <v>#N/A</v>
      </c>
      <c r="L53" s="321" t="e">
        <f t="shared" si="7"/>
        <v>#N/A</v>
      </c>
      <c r="M53" s="321" t="e">
        <f t="shared" si="7"/>
        <v>#N/A</v>
      </c>
      <c r="N53" s="321" t="e">
        <f t="shared" si="7"/>
        <v>#N/A</v>
      </c>
      <c r="O53" s="321" t="e">
        <f t="shared" si="7"/>
        <v>#N/A</v>
      </c>
      <c r="R53" s="403"/>
      <c r="S53" s="403"/>
      <c r="T53" s="403"/>
      <c r="U53" s="403"/>
      <c r="V53" s="403"/>
      <c r="W53" s="403"/>
      <c r="X53" s="403"/>
      <c r="Y53" s="403"/>
      <c r="Z53" s="403"/>
      <c r="AA53" s="403"/>
      <c r="AB53" s="403"/>
      <c r="AC53" s="403"/>
      <c r="AD53" s="403"/>
      <c r="AE53" s="403"/>
      <c r="AF53" s="403"/>
      <c r="AG53" s="403"/>
      <c r="AH53" s="403"/>
      <c r="AI53" s="403"/>
      <c r="AJ53" s="403"/>
      <c r="AK53" s="403"/>
      <c r="AL53" s="403"/>
      <c r="AM53" s="403"/>
      <c r="AN53" s="403"/>
      <c r="AO53" s="403"/>
      <c r="AP53" s="403"/>
      <c r="AQ53" s="403"/>
      <c r="AR53" s="403"/>
      <c r="AS53" s="403"/>
      <c r="AT53" s="403"/>
      <c r="AU53" s="403"/>
      <c r="AV53" s="403"/>
      <c r="AW53" s="403"/>
      <c r="AX53" s="403"/>
      <c r="AY53" s="403"/>
      <c r="AZ53" s="403"/>
      <c r="BA53" s="403"/>
      <c r="BB53" s="403"/>
      <c r="BC53" s="403"/>
      <c r="BD53" s="403"/>
      <c r="BE53" s="403"/>
      <c r="BF53" s="403"/>
      <c r="BG53" s="403"/>
      <c r="BH53" s="403"/>
      <c r="BI53" s="403"/>
      <c r="BJ53" s="403"/>
      <c r="BK53" s="403"/>
      <c r="BL53" s="403"/>
      <c r="BM53" s="403"/>
      <c r="BN53" s="403"/>
      <c r="BO53" s="403"/>
      <c r="BP53" s="403"/>
      <c r="BQ53" s="403"/>
      <c r="BR53" s="403"/>
      <c r="BS53" s="403"/>
      <c r="BT53" s="403"/>
      <c r="BU53" s="403"/>
      <c r="BV53" s="403"/>
      <c r="BW53" s="403"/>
      <c r="BX53" s="403"/>
      <c r="BY53" s="403"/>
      <c r="BZ53" s="403"/>
      <c r="CA53" s="403"/>
      <c r="CB53" s="403"/>
      <c r="CC53" s="403"/>
      <c r="CD53" s="403"/>
      <c r="CE53" s="403"/>
      <c r="CF53" s="403"/>
      <c r="CG53" s="403"/>
      <c r="CH53" s="403"/>
      <c r="CI53" s="403"/>
      <c r="CJ53" s="403"/>
      <c r="CK53" s="403"/>
      <c r="CL53" s="403"/>
      <c r="CM53" s="403"/>
      <c r="CN53" s="403"/>
      <c r="CO53" s="403"/>
      <c r="CP53" s="403"/>
      <c r="CQ53" s="403"/>
      <c r="CR53" s="403"/>
      <c r="CS53" s="403"/>
      <c r="CT53" s="403"/>
      <c r="CU53" s="403"/>
      <c r="CV53" s="403"/>
      <c r="CW53" s="403"/>
      <c r="CX53" s="403"/>
      <c r="CY53" s="403"/>
      <c r="CZ53" s="403"/>
      <c r="DA53" s="403"/>
      <c r="DB53" s="403"/>
      <c r="DC53" s="403"/>
      <c r="DD53" s="403"/>
      <c r="DE53" s="403"/>
      <c r="DF53" s="403"/>
      <c r="DG53" s="403"/>
      <c r="DH53" s="403"/>
      <c r="DI53" s="403"/>
      <c r="DJ53" s="403"/>
      <c r="DK53" s="403"/>
      <c r="DL53" s="403"/>
      <c r="DM53" s="403"/>
      <c r="DN53" s="403"/>
      <c r="DO53" s="403"/>
      <c r="DP53" s="403"/>
      <c r="DQ53" s="403"/>
      <c r="DR53" s="403"/>
      <c r="DS53" s="403"/>
      <c r="DT53" s="403"/>
      <c r="DU53" s="403"/>
      <c r="DV53" s="403"/>
      <c r="DW53" s="403"/>
      <c r="DX53" s="403"/>
      <c r="DY53" s="403"/>
      <c r="DZ53" s="403"/>
      <c r="EA53" s="403"/>
      <c r="EB53" s="403"/>
      <c r="EC53" s="403"/>
      <c r="ED53" s="403"/>
      <c r="EE53" s="403"/>
      <c r="EF53" s="403"/>
      <c r="EG53" s="403"/>
      <c r="EH53" s="403"/>
      <c r="EI53" s="403"/>
      <c r="EJ53" s="403"/>
      <c r="EK53" s="403"/>
      <c r="EL53" s="403"/>
      <c r="EM53" s="403"/>
      <c r="EN53" s="403"/>
      <c r="EO53" s="403"/>
      <c r="EP53" s="403"/>
      <c r="EQ53" s="403"/>
      <c r="ER53" s="403"/>
      <c r="ES53" s="403"/>
      <c r="ET53" s="403"/>
    </row>
    <row r="54" spans="2:150" s="2" customFormat="1" x14ac:dyDescent="0.2">
      <c r="C54" s="72" t="str">
        <f>CONCATENATE("",DM3_Vaccine)</f>
        <v/>
      </c>
      <c r="J54" s="321" t="e">
        <f t="shared" si="7"/>
        <v>#N/A</v>
      </c>
      <c r="K54" s="321" t="e">
        <f t="shared" si="7"/>
        <v>#N/A</v>
      </c>
      <c r="L54" s="321" t="e">
        <f t="shared" si="7"/>
        <v>#N/A</v>
      </c>
      <c r="M54" s="321" t="e">
        <f t="shared" si="7"/>
        <v>#N/A</v>
      </c>
      <c r="N54" s="321" t="e">
        <f t="shared" si="7"/>
        <v>#N/A</v>
      </c>
      <c r="O54" s="321" t="e">
        <f t="shared" si="7"/>
        <v>#N/A</v>
      </c>
      <c r="R54" s="403"/>
      <c r="S54" s="403"/>
      <c r="T54" s="403"/>
      <c r="U54" s="403"/>
      <c r="V54" s="403"/>
      <c r="W54" s="403"/>
      <c r="X54" s="403"/>
      <c r="Y54" s="403"/>
      <c r="Z54" s="403"/>
      <c r="AA54" s="403"/>
      <c r="AB54" s="403"/>
      <c r="AC54" s="403"/>
      <c r="AD54" s="403"/>
      <c r="AE54" s="403"/>
      <c r="AF54" s="403"/>
      <c r="AG54" s="403"/>
      <c r="AH54" s="403"/>
      <c r="AI54" s="403"/>
      <c r="AJ54" s="403"/>
      <c r="AK54" s="403"/>
      <c r="AL54" s="403"/>
      <c r="AM54" s="403"/>
      <c r="AN54" s="403"/>
      <c r="AO54" s="403"/>
      <c r="AP54" s="403"/>
      <c r="AQ54" s="403"/>
      <c r="AR54" s="403"/>
      <c r="AS54" s="403"/>
      <c r="AT54" s="403"/>
      <c r="AU54" s="403"/>
      <c r="AV54" s="403"/>
      <c r="AW54" s="403"/>
      <c r="AX54" s="403"/>
      <c r="AY54" s="403"/>
      <c r="AZ54" s="403"/>
      <c r="BA54" s="403"/>
      <c r="BB54" s="403"/>
      <c r="BC54" s="403"/>
      <c r="BD54" s="403"/>
      <c r="BE54" s="403"/>
      <c r="BF54" s="403"/>
      <c r="BG54" s="403"/>
      <c r="BH54" s="403"/>
      <c r="BI54" s="403"/>
      <c r="BJ54" s="403"/>
      <c r="BK54" s="403"/>
      <c r="BL54" s="403"/>
      <c r="BM54" s="403"/>
      <c r="BN54" s="403"/>
      <c r="BO54" s="403"/>
      <c r="BP54" s="403"/>
      <c r="BQ54" s="403"/>
      <c r="BR54" s="403"/>
      <c r="BS54" s="403"/>
      <c r="BT54" s="403"/>
      <c r="BU54" s="403"/>
      <c r="BV54" s="403"/>
      <c r="BW54" s="403"/>
      <c r="BX54" s="403"/>
      <c r="BY54" s="403"/>
      <c r="BZ54" s="403"/>
      <c r="CA54" s="403"/>
      <c r="CB54" s="403"/>
      <c r="CC54" s="403"/>
      <c r="CD54" s="403"/>
      <c r="CE54" s="403"/>
      <c r="CF54" s="403"/>
      <c r="CG54" s="403"/>
      <c r="CH54" s="403"/>
      <c r="CI54" s="403"/>
      <c r="CJ54" s="403"/>
      <c r="CK54" s="403"/>
      <c r="CL54" s="403"/>
      <c r="CM54" s="403"/>
      <c r="CN54" s="403"/>
      <c r="CO54" s="403"/>
      <c r="CP54" s="403"/>
      <c r="CQ54" s="403"/>
      <c r="CR54" s="403"/>
      <c r="CS54" s="403"/>
      <c r="CT54" s="403"/>
      <c r="CU54" s="403"/>
      <c r="CV54" s="403"/>
      <c r="CW54" s="403"/>
      <c r="CX54" s="403"/>
      <c r="CY54" s="403"/>
      <c r="CZ54" s="403"/>
      <c r="DA54" s="403"/>
      <c r="DB54" s="403"/>
      <c r="DC54" s="403"/>
      <c r="DD54" s="403"/>
      <c r="DE54" s="403"/>
      <c r="DF54" s="403"/>
      <c r="DG54" s="403"/>
      <c r="DH54" s="403"/>
      <c r="DI54" s="403"/>
      <c r="DJ54" s="403"/>
      <c r="DK54" s="403"/>
      <c r="DL54" s="403"/>
      <c r="DM54" s="403"/>
      <c r="DN54" s="403"/>
      <c r="DO54" s="403"/>
      <c r="DP54" s="403"/>
      <c r="DQ54" s="403"/>
      <c r="DR54" s="403"/>
      <c r="DS54" s="403"/>
      <c r="DT54" s="403"/>
      <c r="DU54" s="403"/>
      <c r="DV54" s="403"/>
      <c r="DW54" s="403"/>
      <c r="DX54" s="403"/>
      <c r="DY54" s="403"/>
      <c r="DZ54" s="403"/>
      <c r="EA54" s="403"/>
      <c r="EB54" s="403"/>
      <c r="EC54" s="403"/>
      <c r="ED54" s="403"/>
      <c r="EE54" s="403"/>
      <c r="EF54" s="403"/>
      <c r="EG54" s="403"/>
      <c r="EH54" s="403"/>
      <c r="EI54" s="403"/>
      <c r="EJ54" s="403"/>
      <c r="EK54" s="403"/>
      <c r="EL54" s="403"/>
      <c r="EM54" s="403"/>
      <c r="EN54" s="403"/>
      <c r="EO54" s="403"/>
      <c r="EP54" s="403"/>
      <c r="EQ54" s="403"/>
      <c r="ER54" s="403"/>
      <c r="ES54" s="403"/>
      <c r="ET54" s="403"/>
    </row>
    <row r="55" spans="2:150" s="2" customFormat="1" x14ac:dyDescent="0.2">
      <c r="C55" s="72" t="str">
        <f>CONCATENATE("",DM4_Vaccine)</f>
        <v/>
      </c>
      <c r="J55" s="321" t="e">
        <f t="shared" si="7"/>
        <v>#N/A</v>
      </c>
      <c r="K55" s="321" t="e">
        <f t="shared" si="7"/>
        <v>#N/A</v>
      </c>
      <c r="L55" s="321" t="e">
        <f t="shared" si="7"/>
        <v>#N/A</v>
      </c>
      <c r="M55" s="321" t="e">
        <f t="shared" si="7"/>
        <v>#N/A</v>
      </c>
      <c r="N55" s="321" t="e">
        <f t="shared" si="7"/>
        <v>#N/A</v>
      </c>
      <c r="O55" s="321" t="e">
        <f t="shared" si="7"/>
        <v>#N/A</v>
      </c>
      <c r="R55" s="403"/>
      <c r="S55" s="403"/>
      <c r="T55" s="403"/>
      <c r="U55" s="403"/>
      <c r="V55" s="403"/>
      <c r="W55" s="403"/>
      <c r="X55" s="403"/>
      <c r="Y55" s="403"/>
      <c r="Z55" s="403"/>
      <c r="AA55" s="403"/>
      <c r="AB55" s="403"/>
      <c r="AC55" s="403"/>
      <c r="AD55" s="403"/>
      <c r="AE55" s="403"/>
      <c r="AF55" s="403"/>
      <c r="AG55" s="403"/>
      <c r="AH55" s="403"/>
      <c r="AI55" s="403"/>
      <c r="AJ55" s="403"/>
      <c r="AK55" s="403"/>
      <c r="AL55" s="403"/>
      <c r="AM55" s="403"/>
      <c r="AN55" s="403"/>
      <c r="AO55" s="403"/>
      <c r="AP55" s="403"/>
      <c r="AQ55" s="403"/>
      <c r="AR55" s="403"/>
      <c r="AS55" s="403"/>
      <c r="AT55" s="403"/>
      <c r="AU55" s="403"/>
      <c r="AV55" s="403"/>
      <c r="AW55" s="403"/>
      <c r="AX55" s="403"/>
      <c r="AY55" s="403"/>
      <c r="AZ55" s="403"/>
      <c r="BA55" s="403"/>
      <c r="BB55" s="403"/>
      <c r="BC55" s="403"/>
      <c r="BD55" s="403"/>
      <c r="BE55" s="403"/>
      <c r="BF55" s="403"/>
      <c r="BG55" s="403"/>
      <c r="BH55" s="403"/>
      <c r="BI55" s="403"/>
      <c r="BJ55" s="403"/>
      <c r="BK55" s="403"/>
      <c r="BL55" s="403"/>
      <c r="BM55" s="403"/>
      <c r="BN55" s="403"/>
      <c r="BO55" s="403"/>
      <c r="BP55" s="403"/>
      <c r="BQ55" s="403"/>
      <c r="BR55" s="403"/>
      <c r="BS55" s="403"/>
      <c r="BT55" s="403"/>
      <c r="BU55" s="403"/>
      <c r="BV55" s="403"/>
      <c r="BW55" s="403"/>
      <c r="BX55" s="403"/>
      <c r="BY55" s="403"/>
      <c r="BZ55" s="403"/>
      <c r="CA55" s="403"/>
      <c r="CB55" s="403"/>
      <c r="CC55" s="403"/>
      <c r="CD55" s="403"/>
      <c r="CE55" s="403"/>
      <c r="CF55" s="403"/>
      <c r="CG55" s="403"/>
      <c r="CH55" s="403"/>
      <c r="CI55" s="403"/>
      <c r="CJ55" s="403"/>
      <c r="CK55" s="403"/>
      <c r="CL55" s="403"/>
      <c r="CM55" s="403"/>
      <c r="CN55" s="403"/>
      <c r="CO55" s="403"/>
      <c r="CP55" s="403"/>
      <c r="CQ55" s="403"/>
      <c r="CR55" s="403"/>
      <c r="CS55" s="403"/>
      <c r="CT55" s="403"/>
      <c r="CU55" s="403"/>
      <c r="CV55" s="403"/>
      <c r="CW55" s="403"/>
      <c r="CX55" s="403"/>
      <c r="CY55" s="403"/>
      <c r="CZ55" s="403"/>
      <c r="DA55" s="403"/>
      <c r="DB55" s="403"/>
      <c r="DC55" s="403"/>
      <c r="DD55" s="403"/>
      <c r="DE55" s="403"/>
      <c r="DF55" s="403"/>
      <c r="DG55" s="403"/>
      <c r="DH55" s="403"/>
      <c r="DI55" s="403"/>
      <c r="DJ55" s="403"/>
      <c r="DK55" s="403"/>
      <c r="DL55" s="403"/>
      <c r="DM55" s="403"/>
      <c r="DN55" s="403"/>
      <c r="DO55" s="403"/>
      <c r="DP55" s="403"/>
      <c r="DQ55" s="403"/>
      <c r="DR55" s="403"/>
      <c r="DS55" s="403"/>
      <c r="DT55" s="403"/>
      <c r="DU55" s="403"/>
      <c r="DV55" s="403"/>
      <c r="DW55" s="403"/>
      <c r="DX55" s="403"/>
      <c r="DY55" s="403"/>
      <c r="DZ55" s="403"/>
      <c r="EA55" s="403"/>
      <c r="EB55" s="403"/>
      <c r="EC55" s="403"/>
      <c r="ED55" s="403"/>
      <c r="EE55" s="403"/>
      <c r="EF55" s="403"/>
      <c r="EG55" s="403"/>
      <c r="EH55" s="403"/>
      <c r="EI55" s="403"/>
      <c r="EJ55" s="403"/>
      <c r="EK55" s="403"/>
      <c r="EL55" s="403"/>
      <c r="EM55" s="403"/>
      <c r="EN55" s="403"/>
      <c r="EO55" s="403"/>
      <c r="EP55" s="403"/>
      <c r="EQ55" s="403"/>
      <c r="ER55" s="403"/>
      <c r="ES55" s="403"/>
      <c r="ET55" s="403"/>
    </row>
    <row r="56" spans="2:150" s="299" customFormat="1" x14ac:dyDescent="0.2">
      <c r="R56" s="403"/>
      <c r="S56" s="403"/>
      <c r="T56" s="403"/>
      <c r="U56" s="403"/>
      <c r="V56" s="403"/>
      <c r="W56" s="403"/>
      <c r="X56" s="403"/>
      <c r="Y56" s="403"/>
      <c r="Z56" s="403"/>
      <c r="AA56" s="403"/>
      <c r="AB56" s="403"/>
      <c r="AC56" s="403"/>
      <c r="AD56" s="403"/>
      <c r="AE56" s="403"/>
      <c r="AF56" s="403"/>
      <c r="AG56" s="403"/>
      <c r="AH56" s="403"/>
      <c r="AI56" s="403"/>
      <c r="AJ56" s="403"/>
      <c r="AK56" s="403"/>
      <c r="AL56" s="403"/>
      <c r="AM56" s="403"/>
      <c r="AN56" s="403"/>
      <c r="AO56" s="403"/>
      <c r="AP56" s="403"/>
      <c r="AQ56" s="403"/>
      <c r="AR56" s="403"/>
      <c r="AS56" s="403"/>
      <c r="AT56" s="403"/>
      <c r="AU56" s="403"/>
      <c r="AV56" s="403"/>
      <c r="AW56" s="403"/>
      <c r="AX56" s="403"/>
      <c r="AY56" s="403"/>
      <c r="AZ56" s="403"/>
      <c r="BA56" s="403"/>
      <c r="BB56" s="403"/>
      <c r="BC56" s="403"/>
      <c r="BD56" s="403"/>
      <c r="BE56" s="403"/>
      <c r="BF56" s="403"/>
      <c r="BG56" s="403"/>
      <c r="BH56" s="403"/>
      <c r="BI56" s="403"/>
      <c r="BJ56" s="403"/>
      <c r="BK56" s="403"/>
      <c r="BL56" s="403"/>
      <c r="BM56" s="403"/>
      <c r="BN56" s="403"/>
      <c r="BO56" s="403"/>
      <c r="BP56" s="403"/>
      <c r="BQ56" s="403"/>
      <c r="BR56" s="403"/>
      <c r="BS56" s="403"/>
      <c r="BT56" s="403"/>
      <c r="BU56" s="403"/>
      <c r="BV56" s="403"/>
      <c r="BW56" s="403"/>
      <c r="BX56" s="403"/>
      <c r="BY56" s="403"/>
      <c r="BZ56" s="403"/>
      <c r="CA56" s="403"/>
      <c r="CB56" s="403"/>
      <c r="CC56" s="403"/>
      <c r="CD56" s="403"/>
      <c r="CE56" s="403"/>
      <c r="CF56" s="403"/>
      <c r="CG56" s="403"/>
      <c r="CH56" s="403"/>
      <c r="CI56" s="403"/>
      <c r="CJ56" s="403"/>
      <c r="CK56" s="403"/>
      <c r="CL56" s="403"/>
      <c r="CM56" s="403"/>
      <c r="CN56" s="403"/>
      <c r="CO56" s="403"/>
      <c r="CP56" s="403"/>
      <c r="CQ56" s="403"/>
      <c r="CR56" s="403"/>
      <c r="CS56" s="403"/>
      <c r="CT56" s="403"/>
      <c r="CU56" s="403"/>
      <c r="CV56" s="403"/>
      <c r="CW56" s="403"/>
      <c r="CX56" s="403"/>
      <c r="CY56" s="403"/>
      <c r="CZ56" s="403"/>
      <c r="DA56" s="403"/>
      <c r="DB56" s="403"/>
      <c r="DC56" s="403"/>
      <c r="DD56" s="403"/>
      <c r="DE56" s="403"/>
      <c r="DF56" s="403"/>
      <c r="DG56" s="403"/>
      <c r="DH56" s="403"/>
      <c r="DI56" s="403"/>
      <c r="DJ56" s="403"/>
      <c r="DK56" s="403"/>
      <c r="DL56" s="403"/>
      <c r="DM56" s="403"/>
      <c r="DN56" s="403"/>
      <c r="DO56" s="403"/>
      <c r="DP56" s="403"/>
      <c r="DQ56" s="403"/>
      <c r="DR56" s="403"/>
      <c r="DS56" s="403"/>
      <c r="DT56" s="403"/>
      <c r="DU56" s="403"/>
      <c r="DV56" s="403"/>
      <c r="DW56" s="403"/>
      <c r="DX56" s="403"/>
      <c r="DY56" s="403"/>
      <c r="DZ56" s="403"/>
      <c r="EA56" s="403"/>
      <c r="EB56" s="403"/>
      <c r="EC56" s="403"/>
      <c r="ED56" s="403"/>
      <c r="EE56" s="403"/>
      <c r="EF56" s="403"/>
      <c r="EG56" s="403"/>
      <c r="EH56" s="403"/>
      <c r="EI56" s="403"/>
      <c r="EJ56" s="403"/>
      <c r="EK56" s="403"/>
      <c r="EL56" s="403"/>
      <c r="EM56" s="403"/>
      <c r="EN56" s="403"/>
      <c r="EO56" s="403"/>
      <c r="EP56" s="403"/>
      <c r="EQ56" s="403"/>
      <c r="ER56" s="403"/>
      <c r="ES56" s="403"/>
      <c r="ET56" s="403"/>
    </row>
    <row r="57" spans="2:150" s="299" customFormat="1" x14ac:dyDescent="0.2">
      <c r="B57" s="51" t="str">
        <f ca="1">IF(OFFSET(T57,0,Lang_Order*Lang__B4)="","",OFFSET(T57,0,Lang_Order*Lang__B4))</f>
        <v>Population vaccinated by regions directly, by delivery modality</v>
      </c>
      <c r="E57" s="2" t="s">
        <v>1542</v>
      </c>
      <c r="F57" s="90" t="s">
        <v>10</v>
      </c>
      <c r="G57" s="90" t="s">
        <v>11</v>
      </c>
      <c r="H57" s="90" t="s">
        <v>12</v>
      </c>
      <c r="I57" s="90" t="s">
        <v>13</v>
      </c>
      <c r="R57" s="403"/>
      <c r="S57" s="403"/>
      <c r="T57" s="403" t="s">
        <v>4189</v>
      </c>
      <c r="U57" s="403"/>
      <c r="V57" s="403"/>
      <c r="W57" s="403"/>
      <c r="X57" s="403"/>
      <c r="Y57" s="403"/>
      <c r="Z57" s="403"/>
      <c r="AA57" s="403"/>
      <c r="AB57" s="403"/>
      <c r="AC57" s="403"/>
      <c r="AD57" s="403"/>
      <c r="AE57" s="403"/>
      <c r="AF57" s="403"/>
      <c r="AG57" s="403"/>
      <c r="AH57" s="403"/>
      <c r="AI57" s="403"/>
      <c r="AJ57" s="403"/>
      <c r="AK57" s="403"/>
      <c r="AL57" s="403"/>
      <c r="AM57" s="403" t="s">
        <v>10683</v>
      </c>
      <c r="AN57" s="403"/>
      <c r="AO57" s="403"/>
      <c r="AP57" s="403"/>
      <c r="AQ57" s="403"/>
      <c r="AR57" s="403"/>
      <c r="AS57" s="403"/>
      <c r="AT57" s="403"/>
      <c r="AU57" s="403"/>
      <c r="AV57" s="403"/>
      <c r="AW57" s="403"/>
      <c r="AX57" s="403"/>
      <c r="AY57" s="403"/>
      <c r="AZ57" s="403"/>
      <c r="BA57" s="403"/>
      <c r="BB57" s="403"/>
      <c r="BC57" s="403"/>
      <c r="BD57" s="403"/>
      <c r="BE57" s="403"/>
      <c r="BF57" s="403" t="s">
        <v>10684</v>
      </c>
      <c r="BG57" s="403"/>
      <c r="BH57" s="403"/>
      <c r="BI57" s="403"/>
      <c r="BJ57" s="403"/>
      <c r="BK57" s="403"/>
      <c r="BL57" s="403"/>
      <c r="BM57" s="403"/>
      <c r="BN57" s="403"/>
      <c r="BO57" s="403"/>
      <c r="BP57" s="403"/>
      <c r="BQ57" s="403"/>
      <c r="BR57" s="403"/>
      <c r="BS57" s="403"/>
      <c r="BT57" s="403"/>
      <c r="BU57" s="403"/>
      <c r="BV57" s="403"/>
      <c r="BW57" s="403"/>
      <c r="BX57" s="403"/>
      <c r="BY57" s="403" t="s">
        <v>10685</v>
      </c>
      <c r="BZ57" s="403"/>
      <c r="CA57" s="403"/>
      <c r="CB57" s="403"/>
      <c r="CC57" s="403"/>
      <c r="CD57" s="403"/>
      <c r="CE57" s="403"/>
      <c r="CF57" s="403"/>
      <c r="CG57" s="403"/>
      <c r="CH57" s="403"/>
      <c r="CI57" s="403"/>
      <c r="CJ57" s="403"/>
      <c r="CK57" s="403"/>
      <c r="CL57" s="403"/>
      <c r="CM57" s="403"/>
      <c r="CN57" s="403"/>
      <c r="CO57" s="403"/>
      <c r="CP57" s="403"/>
      <c r="CQ57" s="403"/>
      <c r="CR57" s="403" t="s">
        <v>10686</v>
      </c>
      <c r="CS57" s="403"/>
      <c r="CT57" s="403"/>
      <c r="CU57" s="403"/>
      <c r="CV57" s="403"/>
      <c r="CW57" s="403"/>
      <c r="CX57" s="403"/>
      <c r="CY57" s="403"/>
      <c r="CZ57" s="403"/>
      <c r="DA57" s="403"/>
      <c r="DB57" s="403"/>
      <c r="DC57" s="403"/>
      <c r="DD57" s="403"/>
      <c r="DE57" s="403"/>
      <c r="DF57" s="403"/>
      <c r="DG57" s="403"/>
      <c r="DH57" s="403"/>
      <c r="DI57" s="403"/>
      <c r="DJ57" s="403"/>
      <c r="DK57" s="403" t="s">
        <v>10687</v>
      </c>
      <c r="DL57" s="403"/>
      <c r="DM57" s="403"/>
      <c r="DN57" s="403"/>
      <c r="DO57" s="403"/>
      <c r="DP57" s="403"/>
      <c r="DQ57" s="403"/>
      <c r="DR57" s="403"/>
      <c r="DS57" s="403"/>
      <c r="DT57" s="403"/>
      <c r="DU57" s="403"/>
      <c r="DV57" s="403"/>
      <c r="DW57" s="403"/>
      <c r="DX57" s="403"/>
      <c r="DY57" s="403"/>
      <c r="DZ57" s="403"/>
      <c r="EA57" s="403"/>
      <c r="EB57" s="403"/>
      <c r="EC57" s="403"/>
      <c r="ED57" s="403" t="s">
        <v>10688</v>
      </c>
      <c r="EE57" s="403"/>
      <c r="EF57" s="403"/>
      <c r="EG57" s="403"/>
      <c r="EH57" s="403"/>
      <c r="EI57" s="403"/>
      <c r="EJ57" s="403"/>
      <c r="EK57" s="403"/>
      <c r="EL57" s="403"/>
      <c r="EM57" s="403"/>
      <c r="EN57" s="403"/>
      <c r="EO57" s="403"/>
      <c r="EP57" s="403"/>
      <c r="EQ57" s="403"/>
      <c r="ER57" s="403"/>
      <c r="ES57" s="403"/>
      <c r="ET57" s="403"/>
    </row>
    <row r="58" spans="2:150" s="299" customFormat="1" x14ac:dyDescent="0.2">
      <c r="B58" s="165">
        <v>-7</v>
      </c>
      <c r="C58" s="72" t="str">
        <f>CONCATENATE("",DM1_Vaccine)</f>
        <v/>
      </c>
      <c r="D58" s="3" t="e">
        <f>VLOOKUP(DM1_Vaccine,'T1. Vaccines'!$C$8:$AD$37,E58,FALSE)</f>
        <v>#N/A</v>
      </c>
      <c r="E58" s="2">
        <f ca="1">OFFSET(_Offset_Index_VaccineSupplies_Index,0,B58)</f>
        <v>9</v>
      </c>
      <c r="F58" s="2" t="e">
        <f t="shared" ref="F58:I61" si="8">IF($D58=F$94,1,0)</f>
        <v>#N/A</v>
      </c>
      <c r="G58" s="2" t="e">
        <f t="shared" si="8"/>
        <v>#N/A</v>
      </c>
      <c r="H58" s="2" t="e">
        <f t="shared" si="8"/>
        <v>#N/A</v>
      </c>
      <c r="I58" s="2" t="e">
        <f t="shared" si="8"/>
        <v>#N/A</v>
      </c>
      <c r="J58" s="16" t="e">
        <f>'B1. Target Population'!D181*$J40</f>
        <v>#N/A</v>
      </c>
      <c r="K58" s="16" t="e">
        <f>'B1. Target Population'!E181*$J40</f>
        <v>#N/A</v>
      </c>
      <c r="L58" s="16" t="e">
        <f>'B1. Target Population'!F181*$J40</f>
        <v>#N/A</v>
      </c>
      <c r="M58" s="16" t="e">
        <f>'B1. Target Population'!G181*$J40</f>
        <v>#N/A</v>
      </c>
      <c r="N58" s="16" t="e">
        <f>'B1. Target Population'!H181*$J40</f>
        <v>#N/A</v>
      </c>
      <c r="O58" s="16" t="e">
        <f>'B1. Target Population'!I181*$J40</f>
        <v>#N/A</v>
      </c>
      <c r="P58" s="26" t="e">
        <f>SUM(J58:O58)</f>
        <v>#N/A</v>
      </c>
      <c r="R58" s="403"/>
      <c r="S58" s="403"/>
      <c r="T58" s="403"/>
      <c r="U58" s="403"/>
      <c r="V58" s="403"/>
      <c r="W58" s="403"/>
      <c r="X58" s="403"/>
      <c r="Y58" s="403"/>
      <c r="Z58" s="403"/>
      <c r="AA58" s="403"/>
      <c r="AB58" s="403"/>
      <c r="AC58" s="403"/>
      <c r="AD58" s="403"/>
      <c r="AE58" s="403"/>
      <c r="AF58" s="403"/>
      <c r="AG58" s="403"/>
      <c r="AH58" s="403"/>
      <c r="AI58" s="403"/>
      <c r="AJ58" s="403"/>
      <c r="AK58" s="403"/>
      <c r="AL58" s="403"/>
      <c r="AM58" s="403"/>
      <c r="AN58" s="403"/>
      <c r="AO58" s="403"/>
      <c r="AP58" s="403"/>
      <c r="AQ58" s="403"/>
      <c r="AR58" s="403"/>
      <c r="AS58" s="403"/>
      <c r="AT58" s="403"/>
      <c r="AU58" s="403"/>
      <c r="AV58" s="403"/>
      <c r="AW58" s="403"/>
      <c r="AX58" s="403"/>
      <c r="AY58" s="403"/>
      <c r="AZ58" s="403"/>
      <c r="BA58" s="403"/>
      <c r="BB58" s="403"/>
      <c r="BC58" s="403"/>
      <c r="BD58" s="403"/>
      <c r="BE58" s="403"/>
      <c r="BF58" s="403"/>
      <c r="BG58" s="403"/>
      <c r="BH58" s="403"/>
      <c r="BI58" s="403"/>
      <c r="BJ58" s="403"/>
      <c r="BK58" s="403"/>
      <c r="BL58" s="403"/>
      <c r="BM58" s="403"/>
      <c r="BN58" s="403"/>
      <c r="BO58" s="403"/>
      <c r="BP58" s="403"/>
      <c r="BQ58" s="403"/>
      <c r="BR58" s="403"/>
      <c r="BS58" s="403"/>
      <c r="BT58" s="403"/>
      <c r="BU58" s="403"/>
      <c r="BV58" s="403"/>
      <c r="BW58" s="403"/>
      <c r="BX58" s="403"/>
      <c r="BY58" s="403"/>
      <c r="BZ58" s="403"/>
      <c r="CA58" s="403"/>
      <c r="CB58" s="403"/>
      <c r="CC58" s="403"/>
      <c r="CD58" s="403"/>
      <c r="CE58" s="403"/>
      <c r="CF58" s="403"/>
      <c r="CG58" s="403"/>
      <c r="CH58" s="403"/>
      <c r="CI58" s="403"/>
      <c r="CJ58" s="403"/>
      <c r="CK58" s="403"/>
      <c r="CL58" s="403"/>
      <c r="CM58" s="403"/>
      <c r="CN58" s="403"/>
      <c r="CO58" s="403"/>
      <c r="CP58" s="403"/>
      <c r="CQ58" s="403"/>
      <c r="CR58" s="403"/>
      <c r="CS58" s="403"/>
      <c r="CT58" s="403"/>
      <c r="CU58" s="403"/>
      <c r="CV58" s="403"/>
      <c r="CW58" s="403"/>
      <c r="CX58" s="403"/>
      <c r="CY58" s="403"/>
      <c r="CZ58" s="403"/>
      <c r="DA58" s="403"/>
      <c r="DB58" s="403"/>
      <c r="DC58" s="403"/>
      <c r="DD58" s="403"/>
      <c r="DE58" s="403"/>
      <c r="DF58" s="403"/>
      <c r="DG58" s="403"/>
      <c r="DH58" s="403"/>
      <c r="DI58" s="403"/>
      <c r="DJ58" s="403"/>
      <c r="DK58" s="403"/>
      <c r="DL58" s="403"/>
      <c r="DM58" s="403"/>
      <c r="DN58" s="403"/>
      <c r="DO58" s="403"/>
      <c r="DP58" s="403"/>
      <c r="DQ58" s="403"/>
      <c r="DR58" s="403"/>
      <c r="DS58" s="403"/>
      <c r="DT58" s="403"/>
      <c r="DU58" s="403"/>
      <c r="DV58" s="403"/>
      <c r="DW58" s="403"/>
      <c r="DX58" s="403"/>
      <c r="DY58" s="403"/>
      <c r="DZ58" s="403"/>
      <c r="EA58" s="403"/>
      <c r="EB58" s="403"/>
      <c r="EC58" s="403"/>
      <c r="ED58" s="403"/>
      <c r="EE58" s="403"/>
      <c r="EF58" s="403"/>
      <c r="EG58" s="403"/>
      <c r="EH58" s="403"/>
      <c r="EI58" s="403"/>
      <c r="EJ58" s="403"/>
      <c r="EK58" s="403"/>
      <c r="EL58" s="403"/>
      <c r="EM58" s="403"/>
      <c r="EN58" s="403"/>
      <c r="EO58" s="403"/>
      <c r="EP58" s="403"/>
      <c r="EQ58" s="403"/>
      <c r="ER58" s="403"/>
      <c r="ES58" s="403"/>
      <c r="ET58" s="403"/>
    </row>
    <row r="59" spans="2:150" s="299" customFormat="1" x14ac:dyDescent="0.2">
      <c r="B59" s="165">
        <v>-7</v>
      </c>
      <c r="C59" s="72" t="str">
        <f>CONCATENATE("",DM2_Vaccine)</f>
        <v/>
      </c>
      <c r="D59" s="3" t="e">
        <f>VLOOKUP(DM2_Vaccine,'T1. Vaccines'!$C$8:$AD$37,E59,FALSE)</f>
        <v>#N/A</v>
      </c>
      <c r="E59" s="2">
        <f ca="1">OFFSET(_Offset_Index_VaccineSupplies_Index,0,B59)</f>
        <v>9</v>
      </c>
      <c r="F59" s="2" t="e">
        <f t="shared" si="8"/>
        <v>#N/A</v>
      </c>
      <c r="G59" s="2" t="e">
        <f t="shared" si="8"/>
        <v>#N/A</v>
      </c>
      <c r="H59" s="2" t="e">
        <f t="shared" si="8"/>
        <v>#N/A</v>
      </c>
      <c r="I59" s="2" t="e">
        <f t="shared" si="8"/>
        <v>#N/A</v>
      </c>
      <c r="J59" s="16" t="e">
        <f>'B1. Target Population'!D182*$J41</f>
        <v>#N/A</v>
      </c>
      <c r="K59" s="16" t="e">
        <f>'B1. Target Population'!E182*$J41</f>
        <v>#N/A</v>
      </c>
      <c r="L59" s="16" t="e">
        <f>'B1. Target Population'!F182*$J41</f>
        <v>#N/A</v>
      </c>
      <c r="M59" s="16" t="e">
        <f>'B1. Target Population'!G182*$J41</f>
        <v>#N/A</v>
      </c>
      <c r="N59" s="16" t="e">
        <f>'B1. Target Population'!H182*$J41</f>
        <v>#N/A</v>
      </c>
      <c r="O59" s="16" t="e">
        <f>'B1. Target Population'!I182*$J41</f>
        <v>#N/A</v>
      </c>
      <c r="P59" s="26" t="e">
        <f>SUM(J59:O59)</f>
        <v>#N/A</v>
      </c>
      <c r="R59" s="403"/>
      <c r="S59" s="403"/>
      <c r="T59" s="403"/>
      <c r="U59" s="403"/>
      <c r="V59" s="403"/>
      <c r="W59" s="403"/>
      <c r="X59" s="403"/>
      <c r="Y59" s="403"/>
      <c r="Z59" s="403"/>
      <c r="AA59" s="403"/>
      <c r="AB59" s="403"/>
      <c r="AC59" s="403"/>
      <c r="AD59" s="403"/>
      <c r="AE59" s="403"/>
      <c r="AF59" s="403"/>
      <c r="AG59" s="403"/>
      <c r="AH59" s="403"/>
      <c r="AI59" s="403"/>
      <c r="AJ59" s="403"/>
      <c r="AK59" s="403"/>
      <c r="AL59" s="403"/>
      <c r="AM59" s="403"/>
      <c r="AN59" s="403"/>
      <c r="AO59" s="403"/>
      <c r="AP59" s="403"/>
      <c r="AQ59" s="403"/>
      <c r="AR59" s="403"/>
      <c r="AS59" s="403"/>
      <c r="AT59" s="403"/>
      <c r="AU59" s="403"/>
      <c r="AV59" s="403"/>
      <c r="AW59" s="403"/>
      <c r="AX59" s="403"/>
      <c r="AY59" s="403"/>
      <c r="AZ59" s="403"/>
      <c r="BA59" s="403"/>
      <c r="BB59" s="403"/>
      <c r="BC59" s="403"/>
      <c r="BD59" s="403"/>
      <c r="BE59" s="403"/>
      <c r="BF59" s="403"/>
      <c r="BG59" s="403"/>
      <c r="BH59" s="403"/>
      <c r="BI59" s="403"/>
      <c r="BJ59" s="403"/>
      <c r="BK59" s="403"/>
      <c r="BL59" s="403"/>
      <c r="BM59" s="403"/>
      <c r="BN59" s="403"/>
      <c r="BO59" s="403"/>
      <c r="BP59" s="403"/>
      <c r="BQ59" s="403"/>
      <c r="BR59" s="403"/>
      <c r="BS59" s="403"/>
      <c r="BT59" s="403"/>
      <c r="BU59" s="403"/>
      <c r="BV59" s="403"/>
      <c r="BW59" s="403"/>
      <c r="BX59" s="403"/>
      <c r="BY59" s="403"/>
      <c r="BZ59" s="403"/>
      <c r="CA59" s="403"/>
      <c r="CB59" s="403"/>
      <c r="CC59" s="403"/>
      <c r="CD59" s="403"/>
      <c r="CE59" s="403"/>
      <c r="CF59" s="403"/>
      <c r="CG59" s="403"/>
      <c r="CH59" s="403"/>
      <c r="CI59" s="403"/>
      <c r="CJ59" s="403"/>
      <c r="CK59" s="403"/>
      <c r="CL59" s="403"/>
      <c r="CM59" s="403"/>
      <c r="CN59" s="403"/>
      <c r="CO59" s="403"/>
      <c r="CP59" s="403"/>
      <c r="CQ59" s="403"/>
      <c r="CR59" s="403"/>
      <c r="CS59" s="403"/>
      <c r="CT59" s="403"/>
      <c r="CU59" s="403"/>
      <c r="CV59" s="403"/>
      <c r="CW59" s="403"/>
      <c r="CX59" s="403"/>
      <c r="CY59" s="403"/>
      <c r="CZ59" s="403"/>
      <c r="DA59" s="403"/>
      <c r="DB59" s="403"/>
      <c r="DC59" s="403"/>
      <c r="DD59" s="403"/>
      <c r="DE59" s="403"/>
      <c r="DF59" s="403"/>
      <c r="DG59" s="403"/>
      <c r="DH59" s="403"/>
      <c r="DI59" s="403"/>
      <c r="DJ59" s="403"/>
      <c r="DK59" s="403"/>
      <c r="DL59" s="403"/>
      <c r="DM59" s="403"/>
      <c r="DN59" s="403"/>
      <c r="DO59" s="403"/>
      <c r="DP59" s="403"/>
      <c r="DQ59" s="403"/>
      <c r="DR59" s="403"/>
      <c r="DS59" s="403"/>
      <c r="DT59" s="403"/>
      <c r="DU59" s="403"/>
      <c r="DV59" s="403"/>
      <c r="DW59" s="403"/>
      <c r="DX59" s="403"/>
      <c r="DY59" s="403"/>
      <c r="DZ59" s="403"/>
      <c r="EA59" s="403"/>
      <c r="EB59" s="403"/>
      <c r="EC59" s="403"/>
      <c r="ED59" s="403"/>
      <c r="EE59" s="403"/>
      <c r="EF59" s="403"/>
      <c r="EG59" s="403"/>
      <c r="EH59" s="403"/>
      <c r="EI59" s="403"/>
      <c r="EJ59" s="403"/>
      <c r="EK59" s="403"/>
      <c r="EL59" s="403"/>
      <c r="EM59" s="403"/>
      <c r="EN59" s="403"/>
      <c r="EO59" s="403"/>
      <c r="EP59" s="403"/>
      <c r="EQ59" s="403"/>
      <c r="ER59" s="403"/>
      <c r="ES59" s="403"/>
      <c r="ET59" s="403"/>
    </row>
    <row r="60" spans="2:150" s="299" customFormat="1" x14ac:dyDescent="0.2">
      <c r="B60" s="165">
        <v>-7</v>
      </c>
      <c r="C60" s="72" t="str">
        <f>CONCATENATE("",DM3_Vaccine)</f>
        <v/>
      </c>
      <c r="D60" s="3" t="e">
        <f>VLOOKUP(DM3_Vaccine,'T1. Vaccines'!$C$8:$AD$37,E60,FALSE)</f>
        <v>#N/A</v>
      </c>
      <c r="E60" s="2">
        <f ca="1">OFFSET(_Offset_Index_VaccineSupplies_Index,0,B60)</f>
        <v>9</v>
      </c>
      <c r="F60" s="2" t="e">
        <f t="shared" si="8"/>
        <v>#N/A</v>
      </c>
      <c r="G60" s="2" t="e">
        <f t="shared" si="8"/>
        <v>#N/A</v>
      </c>
      <c r="H60" s="2" t="e">
        <f t="shared" si="8"/>
        <v>#N/A</v>
      </c>
      <c r="I60" s="2" t="e">
        <f t="shared" si="8"/>
        <v>#N/A</v>
      </c>
      <c r="J60" s="16" t="e">
        <f>'B1. Target Population'!D183*$J42</f>
        <v>#N/A</v>
      </c>
      <c r="K60" s="16" t="e">
        <f>'B1. Target Population'!E183*$J42</f>
        <v>#N/A</v>
      </c>
      <c r="L60" s="16" t="e">
        <f>'B1. Target Population'!F183*$J42</f>
        <v>#N/A</v>
      </c>
      <c r="M60" s="16" t="e">
        <f>'B1. Target Population'!G183*$J42</f>
        <v>#N/A</v>
      </c>
      <c r="N60" s="16" t="e">
        <f>'B1. Target Population'!H183*$J42</f>
        <v>#N/A</v>
      </c>
      <c r="O60" s="16" t="e">
        <f>'B1. Target Population'!I183*$J42</f>
        <v>#N/A</v>
      </c>
      <c r="P60" s="26" t="e">
        <f>SUM(J60:O60)</f>
        <v>#N/A</v>
      </c>
      <c r="R60" s="403"/>
      <c r="S60" s="403"/>
      <c r="T60" s="403"/>
      <c r="U60" s="403"/>
      <c r="V60" s="403"/>
      <c r="W60" s="403"/>
      <c r="X60" s="403"/>
      <c r="Y60" s="403"/>
      <c r="Z60" s="403"/>
      <c r="AA60" s="403"/>
      <c r="AB60" s="403"/>
      <c r="AC60" s="403"/>
      <c r="AD60" s="403"/>
      <c r="AE60" s="403"/>
      <c r="AF60" s="403"/>
      <c r="AG60" s="403"/>
      <c r="AH60" s="403"/>
      <c r="AI60" s="403"/>
      <c r="AJ60" s="403"/>
      <c r="AK60" s="403"/>
      <c r="AL60" s="403"/>
      <c r="AM60" s="403"/>
      <c r="AN60" s="403"/>
      <c r="AO60" s="403"/>
      <c r="AP60" s="403"/>
      <c r="AQ60" s="403"/>
      <c r="AR60" s="403"/>
      <c r="AS60" s="403"/>
      <c r="AT60" s="403"/>
      <c r="AU60" s="403"/>
      <c r="AV60" s="403"/>
      <c r="AW60" s="403"/>
      <c r="AX60" s="403"/>
      <c r="AY60" s="403"/>
      <c r="AZ60" s="403"/>
      <c r="BA60" s="403"/>
      <c r="BB60" s="403"/>
      <c r="BC60" s="403"/>
      <c r="BD60" s="403"/>
      <c r="BE60" s="403"/>
      <c r="BF60" s="403"/>
      <c r="BG60" s="403"/>
      <c r="BH60" s="403"/>
      <c r="BI60" s="403"/>
      <c r="BJ60" s="403"/>
      <c r="BK60" s="403"/>
      <c r="BL60" s="403"/>
      <c r="BM60" s="403"/>
      <c r="BN60" s="403"/>
      <c r="BO60" s="403"/>
      <c r="BP60" s="403"/>
      <c r="BQ60" s="403"/>
      <c r="BR60" s="403"/>
      <c r="BS60" s="403"/>
      <c r="BT60" s="403"/>
      <c r="BU60" s="403"/>
      <c r="BV60" s="403"/>
      <c r="BW60" s="403"/>
      <c r="BX60" s="403"/>
      <c r="BY60" s="403"/>
      <c r="BZ60" s="403"/>
      <c r="CA60" s="403"/>
      <c r="CB60" s="403"/>
      <c r="CC60" s="403"/>
      <c r="CD60" s="403"/>
      <c r="CE60" s="403"/>
      <c r="CF60" s="403"/>
      <c r="CG60" s="403"/>
      <c r="CH60" s="403"/>
      <c r="CI60" s="403"/>
      <c r="CJ60" s="403"/>
      <c r="CK60" s="403"/>
      <c r="CL60" s="403"/>
      <c r="CM60" s="403"/>
      <c r="CN60" s="403"/>
      <c r="CO60" s="403"/>
      <c r="CP60" s="403"/>
      <c r="CQ60" s="403"/>
      <c r="CR60" s="403"/>
      <c r="CS60" s="403"/>
      <c r="CT60" s="403"/>
      <c r="CU60" s="403"/>
      <c r="CV60" s="403"/>
      <c r="CW60" s="403"/>
      <c r="CX60" s="403"/>
      <c r="CY60" s="403"/>
      <c r="CZ60" s="403"/>
      <c r="DA60" s="403"/>
      <c r="DB60" s="403"/>
      <c r="DC60" s="403"/>
      <c r="DD60" s="403"/>
      <c r="DE60" s="403"/>
      <c r="DF60" s="403"/>
      <c r="DG60" s="403"/>
      <c r="DH60" s="403"/>
      <c r="DI60" s="403"/>
      <c r="DJ60" s="403"/>
      <c r="DK60" s="403"/>
      <c r="DL60" s="403"/>
      <c r="DM60" s="403"/>
      <c r="DN60" s="403"/>
      <c r="DO60" s="403"/>
      <c r="DP60" s="403"/>
      <c r="DQ60" s="403"/>
      <c r="DR60" s="403"/>
      <c r="DS60" s="403"/>
      <c r="DT60" s="403"/>
      <c r="DU60" s="403"/>
      <c r="DV60" s="403"/>
      <c r="DW60" s="403"/>
      <c r="DX60" s="403"/>
      <c r="DY60" s="403"/>
      <c r="DZ60" s="403"/>
      <c r="EA60" s="403"/>
      <c r="EB60" s="403"/>
      <c r="EC60" s="403"/>
      <c r="ED60" s="403"/>
      <c r="EE60" s="403"/>
      <c r="EF60" s="403"/>
      <c r="EG60" s="403"/>
      <c r="EH60" s="403"/>
      <c r="EI60" s="403"/>
      <c r="EJ60" s="403"/>
      <c r="EK60" s="403"/>
      <c r="EL60" s="403"/>
      <c r="EM60" s="403"/>
      <c r="EN60" s="403"/>
      <c r="EO60" s="403"/>
      <c r="EP60" s="403"/>
      <c r="EQ60" s="403"/>
      <c r="ER60" s="403"/>
      <c r="ES60" s="403"/>
      <c r="ET60" s="403"/>
    </row>
    <row r="61" spans="2:150" s="299" customFormat="1" x14ac:dyDescent="0.2">
      <c r="B61" s="165">
        <v>-7</v>
      </c>
      <c r="C61" s="72" t="str">
        <f>CONCATENATE("",DM4_Vaccine)</f>
        <v/>
      </c>
      <c r="D61" s="3" t="e">
        <f>VLOOKUP(DM4_Vaccine,'T1. Vaccines'!$C$8:$AD$37,E61,FALSE)</f>
        <v>#N/A</v>
      </c>
      <c r="E61" s="2">
        <f ca="1">OFFSET(_Offset_Index_VaccineSupplies_Index,0,B61)</f>
        <v>9</v>
      </c>
      <c r="F61" s="2" t="e">
        <f t="shared" si="8"/>
        <v>#N/A</v>
      </c>
      <c r="G61" s="2" t="e">
        <f t="shared" si="8"/>
        <v>#N/A</v>
      </c>
      <c r="H61" s="2" t="e">
        <f t="shared" si="8"/>
        <v>#N/A</v>
      </c>
      <c r="I61" s="2" t="e">
        <f t="shared" si="8"/>
        <v>#N/A</v>
      </c>
      <c r="J61" s="16" t="e">
        <f>'B1. Target Population'!D184*$J43</f>
        <v>#N/A</v>
      </c>
      <c r="K61" s="16" t="e">
        <f>'B1. Target Population'!E184*$J43</f>
        <v>#N/A</v>
      </c>
      <c r="L61" s="16" t="e">
        <f>'B1. Target Population'!F184*$J43</f>
        <v>#N/A</v>
      </c>
      <c r="M61" s="16" t="e">
        <f>'B1. Target Population'!G184*$J43</f>
        <v>#N/A</v>
      </c>
      <c r="N61" s="16" t="e">
        <f>'B1. Target Population'!H184*$J43</f>
        <v>#N/A</v>
      </c>
      <c r="O61" s="16" t="e">
        <f>'B1. Target Population'!I184*$J43</f>
        <v>#N/A</v>
      </c>
      <c r="P61" s="26" t="e">
        <f>SUM(J61:O61)</f>
        <v>#N/A</v>
      </c>
      <c r="R61" s="403"/>
      <c r="S61" s="403"/>
      <c r="T61" s="403"/>
      <c r="U61" s="403"/>
      <c r="V61" s="403"/>
      <c r="W61" s="403"/>
      <c r="X61" s="403"/>
      <c r="Y61" s="403"/>
      <c r="Z61" s="403"/>
      <c r="AA61" s="403"/>
      <c r="AB61" s="403"/>
      <c r="AC61" s="403"/>
      <c r="AD61" s="403"/>
      <c r="AE61" s="403"/>
      <c r="AF61" s="403"/>
      <c r="AG61" s="403"/>
      <c r="AH61" s="403"/>
      <c r="AI61" s="403"/>
      <c r="AJ61" s="403"/>
      <c r="AK61" s="403"/>
      <c r="AL61" s="403"/>
      <c r="AM61" s="403"/>
      <c r="AN61" s="403"/>
      <c r="AO61" s="403"/>
      <c r="AP61" s="403"/>
      <c r="AQ61" s="403"/>
      <c r="AR61" s="403"/>
      <c r="AS61" s="403"/>
      <c r="AT61" s="403"/>
      <c r="AU61" s="403"/>
      <c r="AV61" s="403"/>
      <c r="AW61" s="403"/>
      <c r="AX61" s="403"/>
      <c r="AY61" s="403"/>
      <c r="AZ61" s="403"/>
      <c r="BA61" s="403"/>
      <c r="BB61" s="403"/>
      <c r="BC61" s="403"/>
      <c r="BD61" s="403"/>
      <c r="BE61" s="403"/>
      <c r="BF61" s="403"/>
      <c r="BG61" s="403"/>
      <c r="BH61" s="403"/>
      <c r="BI61" s="403"/>
      <c r="BJ61" s="403"/>
      <c r="BK61" s="403"/>
      <c r="BL61" s="403"/>
      <c r="BM61" s="403"/>
      <c r="BN61" s="403"/>
      <c r="BO61" s="403"/>
      <c r="BP61" s="403"/>
      <c r="BQ61" s="403"/>
      <c r="BR61" s="403"/>
      <c r="BS61" s="403"/>
      <c r="BT61" s="403"/>
      <c r="BU61" s="403"/>
      <c r="BV61" s="403"/>
      <c r="BW61" s="403"/>
      <c r="BX61" s="403"/>
      <c r="BY61" s="403"/>
      <c r="BZ61" s="403"/>
      <c r="CA61" s="403"/>
      <c r="CB61" s="403"/>
      <c r="CC61" s="403"/>
      <c r="CD61" s="403"/>
      <c r="CE61" s="403"/>
      <c r="CF61" s="403"/>
      <c r="CG61" s="403"/>
      <c r="CH61" s="403"/>
      <c r="CI61" s="403"/>
      <c r="CJ61" s="403"/>
      <c r="CK61" s="403"/>
      <c r="CL61" s="403"/>
      <c r="CM61" s="403"/>
      <c r="CN61" s="403"/>
      <c r="CO61" s="403"/>
      <c r="CP61" s="403"/>
      <c r="CQ61" s="403"/>
      <c r="CR61" s="403"/>
      <c r="CS61" s="403"/>
      <c r="CT61" s="403"/>
      <c r="CU61" s="403"/>
      <c r="CV61" s="403"/>
      <c r="CW61" s="403"/>
      <c r="CX61" s="403"/>
      <c r="CY61" s="403"/>
      <c r="CZ61" s="403"/>
      <c r="DA61" s="403"/>
      <c r="DB61" s="403"/>
      <c r="DC61" s="403"/>
      <c r="DD61" s="403"/>
      <c r="DE61" s="403"/>
      <c r="DF61" s="403"/>
      <c r="DG61" s="403"/>
      <c r="DH61" s="403"/>
      <c r="DI61" s="403"/>
      <c r="DJ61" s="403"/>
      <c r="DK61" s="403"/>
      <c r="DL61" s="403"/>
      <c r="DM61" s="403"/>
      <c r="DN61" s="403"/>
      <c r="DO61" s="403"/>
      <c r="DP61" s="403"/>
      <c r="DQ61" s="403"/>
      <c r="DR61" s="403"/>
      <c r="DS61" s="403"/>
      <c r="DT61" s="403"/>
      <c r="DU61" s="403"/>
      <c r="DV61" s="403"/>
      <c r="DW61" s="403"/>
      <c r="DX61" s="403"/>
      <c r="DY61" s="403"/>
      <c r="DZ61" s="403"/>
      <c r="EA61" s="403"/>
      <c r="EB61" s="403"/>
      <c r="EC61" s="403"/>
      <c r="ED61" s="403"/>
      <c r="EE61" s="403"/>
      <c r="EF61" s="403"/>
      <c r="EG61" s="403"/>
      <c r="EH61" s="403"/>
      <c r="EI61" s="403"/>
      <c r="EJ61" s="403"/>
      <c r="EK61" s="403"/>
      <c r="EL61" s="403"/>
      <c r="EM61" s="403"/>
      <c r="EN61" s="403"/>
      <c r="EO61" s="403"/>
      <c r="EP61" s="403"/>
      <c r="EQ61" s="403"/>
      <c r="ER61" s="403"/>
      <c r="ES61" s="403"/>
      <c r="ET61" s="403"/>
    </row>
    <row r="62" spans="2:150" s="299" customFormat="1" x14ac:dyDescent="0.2">
      <c r="J62" s="16"/>
      <c r="K62" s="16"/>
      <c r="L62" s="16"/>
      <c r="M62" s="16"/>
      <c r="N62" s="16"/>
      <c r="O62" s="16"/>
      <c r="R62" s="403"/>
      <c r="S62" s="403"/>
      <c r="T62" s="403"/>
      <c r="U62" s="403"/>
      <c r="V62" s="403"/>
      <c r="W62" s="403"/>
      <c r="X62" s="403"/>
      <c r="Y62" s="403"/>
      <c r="Z62" s="403"/>
      <c r="AA62" s="403"/>
      <c r="AB62" s="403"/>
      <c r="AC62" s="403"/>
      <c r="AD62" s="403"/>
      <c r="AE62" s="403"/>
      <c r="AF62" s="403"/>
      <c r="AG62" s="403"/>
      <c r="AH62" s="403"/>
      <c r="AI62" s="403"/>
      <c r="AJ62" s="403"/>
      <c r="AK62" s="403"/>
      <c r="AL62" s="403"/>
      <c r="AM62" s="403"/>
      <c r="AN62" s="403"/>
      <c r="AO62" s="403"/>
      <c r="AP62" s="403"/>
      <c r="AQ62" s="403"/>
      <c r="AR62" s="403"/>
      <c r="AS62" s="403"/>
      <c r="AT62" s="403"/>
      <c r="AU62" s="403"/>
      <c r="AV62" s="403"/>
      <c r="AW62" s="403"/>
      <c r="AX62" s="403"/>
      <c r="AY62" s="403"/>
      <c r="AZ62" s="403"/>
      <c r="BA62" s="403"/>
      <c r="BB62" s="403"/>
      <c r="BC62" s="403"/>
      <c r="BD62" s="403"/>
      <c r="BE62" s="403"/>
      <c r="BF62" s="403"/>
      <c r="BG62" s="403"/>
      <c r="BH62" s="403"/>
      <c r="BI62" s="403"/>
      <c r="BJ62" s="403"/>
      <c r="BK62" s="403"/>
      <c r="BL62" s="403"/>
      <c r="BM62" s="403"/>
      <c r="BN62" s="403"/>
      <c r="BO62" s="403"/>
      <c r="BP62" s="403"/>
      <c r="BQ62" s="403"/>
      <c r="BR62" s="403"/>
      <c r="BS62" s="403"/>
      <c r="BT62" s="403"/>
      <c r="BU62" s="403"/>
      <c r="BV62" s="403"/>
      <c r="BW62" s="403"/>
      <c r="BX62" s="403"/>
      <c r="BY62" s="403"/>
      <c r="BZ62" s="403"/>
      <c r="CA62" s="403"/>
      <c r="CB62" s="403"/>
      <c r="CC62" s="403"/>
      <c r="CD62" s="403"/>
      <c r="CE62" s="403"/>
      <c r="CF62" s="403"/>
      <c r="CG62" s="403"/>
      <c r="CH62" s="403"/>
      <c r="CI62" s="403"/>
      <c r="CJ62" s="403"/>
      <c r="CK62" s="403"/>
      <c r="CL62" s="403"/>
      <c r="CM62" s="403"/>
      <c r="CN62" s="403"/>
      <c r="CO62" s="403"/>
      <c r="CP62" s="403"/>
      <c r="CQ62" s="403"/>
      <c r="CR62" s="403"/>
      <c r="CS62" s="403"/>
      <c r="CT62" s="403"/>
      <c r="CU62" s="403"/>
      <c r="CV62" s="403"/>
      <c r="CW62" s="403"/>
      <c r="CX62" s="403"/>
      <c r="CY62" s="403"/>
      <c r="CZ62" s="403"/>
      <c r="DA62" s="403"/>
      <c r="DB62" s="403"/>
      <c r="DC62" s="403"/>
      <c r="DD62" s="403"/>
      <c r="DE62" s="403"/>
      <c r="DF62" s="403"/>
      <c r="DG62" s="403"/>
      <c r="DH62" s="403"/>
      <c r="DI62" s="403"/>
      <c r="DJ62" s="403"/>
      <c r="DK62" s="403"/>
      <c r="DL62" s="403"/>
      <c r="DM62" s="403"/>
      <c r="DN62" s="403"/>
      <c r="DO62" s="403"/>
      <c r="DP62" s="403"/>
      <c r="DQ62" s="403"/>
      <c r="DR62" s="403"/>
      <c r="DS62" s="403"/>
      <c r="DT62" s="403"/>
      <c r="DU62" s="403"/>
      <c r="DV62" s="403"/>
      <c r="DW62" s="403"/>
      <c r="DX62" s="403"/>
      <c r="DY62" s="403"/>
      <c r="DZ62" s="403"/>
      <c r="EA62" s="403"/>
      <c r="EB62" s="403"/>
      <c r="EC62" s="403"/>
      <c r="ED62" s="403"/>
      <c r="EE62" s="403"/>
      <c r="EF62" s="403"/>
      <c r="EG62" s="403"/>
      <c r="EH62" s="403"/>
      <c r="EI62" s="403"/>
      <c r="EJ62" s="403"/>
      <c r="EK62" s="403"/>
      <c r="EL62" s="403"/>
      <c r="EM62" s="403"/>
      <c r="EN62" s="403"/>
      <c r="EO62" s="403"/>
      <c r="EP62" s="403"/>
      <c r="EQ62" s="403"/>
      <c r="ER62" s="403"/>
      <c r="ES62" s="403"/>
      <c r="ET62" s="403"/>
    </row>
    <row r="63" spans="2:150" s="299" customFormat="1" x14ac:dyDescent="0.2">
      <c r="B63" s="51" t="str">
        <f ca="1">IF(OFFSET(T63,0,Lang_Order*Lang__B4)="","",OFFSET(T63,0,Lang_Order*Lang__B4))</f>
        <v>Population vaccinated by district directly, by delivery modality</v>
      </c>
      <c r="E63" s="2" t="s">
        <v>1542</v>
      </c>
      <c r="F63" s="90" t="s">
        <v>10</v>
      </c>
      <c r="G63" s="90" t="s">
        <v>11</v>
      </c>
      <c r="H63" s="90" t="s">
        <v>12</v>
      </c>
      <c r="I63" s="90" t="s">
        <v>13</v>
      </c>
      <c r="R63" s="403"/>
      <c r="S63" s="403"/>
      <c r="T63" s="403" t="s">
        <v>4190</v>
      </c>
      <c r="U63" s="403"/>
      <c r="V63" s="403"/>
      <c r="W63" s="403"/>
      <c r="X63" s="403"/>
      <c r="Y63" s="403"/>
      <c r="Z63" s="403"/>
      <c r="AA63" s="403"/>
      <c r="AB63" s="403"/>
      <c r="AC63" s="403"/>
      <c r="AD63" s="403"/>
      <c r="AE63" s="403"/>
      <c r="AF63" s="403"/>
      <c r="AG63" s="403"/>
      <c r="AH63" s="403"/>
      <c r="AI63" s="403"/>
      <c r="AJ63" s="403"/>
      <c r="AK63" s="403"/>
      <c r="AL63" s="403"/>
      <c r="AM63" s="403" t="s">
        <v>10689</v>
      </c>
      <c r="AN63" s="403"/>
      <c r="AO63" s="403"/>
      <c r="AP63" s="403"/>
      <c r="AQ63" s="403"/>
      <c r="AR63" s="403"/>
      <c r="AS63" s="403"/>
      <c r="AT63" s="403"/>
      <c r="AU63" s="403"/>
      <c r="AV63" s="403"/>
      <c r="AW63" s="403"/>
      <c r="AX63" s="403"/>
      <c r="AY63" s="403"/>
      <c r="AZ63" s="403"/>
      <c r="BA63" s="403"/>
      <c r="BB63" s="403"/>
      <c r="BC63" s="403"/>
      <c r="BD63" s="403"/>
      <c r="BE63" s="403"/>
      <c r="BF63" s="403" t="s">
        <v>10690</v>
      </c>
      <c r="BG63" s="403"/>
      <c r="BH63" s="403"/>
      <c r="BI63" s="403"/>
      <c r="BJ63" s="403"/>
      <c r="BK63" s="403"/>
      <c r="BL63" s="403"/>
      <c r="BM63" s="403"/>
      <c r="BN63" s="403"/>
      <c r="BO63" s="403"/>
      <c r="BP63" s="403"/>
      <c r="BQ63" s="403"/>
      <c r="BR63" s="403"/>
      <c r="BS63" s="403"/>
      <c r="BT63" s="403"/>
      <c r="BU63" s="403"/>
      <c r="BV63" s="403"/>
      <c r="BW63" s="403"/>
      <c r="BX63" s="403"/>
      <c r="BY63" s="403" t="s">
        <v>10691</v>
      </c>
      <c r="BZ63" s="403"/>
      <c r="CA63" s="403"/>
      <c r="CB63" s="403"/>
      <c r="CC63" s="403"/>
      <c r="CD63" s="403"/>
      <c r="CE63" s="403"/>
      <c r="CF63" s="403"/>
      <c r="CG63" s="403"/>
      <c r="CH63" s="403"/>
      <c r="CI63" s="403"/>
      <c r="CJ63" s="403"/>
      <c r="CK63" s="403"/>
      <c r="CL63" s="403"/>
      <c r="CM63" s="403"/>
      <c r="CN63" s="403"/>
      <c r="CO63" s="403"/>
      <c r="CP63" s="403"/>
      <c r="CQ63" s="403"/>
      <c r="CR63" s="403" t="s">
        <v>10692</v>
      </c>
      <c r="CS63" s="403"/>
      <c r="CT63" s="403"/>
      <c r="CU63" s="403"/>
      <c r="CV63" s="403"/>
      <c r="CW63" s="403"/>
      <c r="CX63" s="403"/>
      <c r="CY63" s="403"/>
      <c r="CZ63" s="403"/>
      <c r="DA63" s="403"/>
      <c r="DB63" s="403"/>
      <c r="DC63" s="403"/>
      <c r="DD63" s="403"/>
      <c r="DE63" s="403"/>
      <c r="DF63" s="403"/>
      <c r="DG63" s="403"/>
      <c r="DH63" s="403"/>
      <c r="DI63" s="403"/>
      <c r="DJ63" s="403"/>
      <c r="DK63" s="403" t="s">
        <v>10693</v>
      </c>
      <c r="DL63" s="403"/>
      <c r="DM63" s="403"/>
      <c r="DN63" s="403"/>
      <c r="DO63" s="403"/>
      <c r="DP63" s="403"/>
      <c r="DQ63" s="403"/>
      <c r="DR63" s="403"/>
      <c r="DS63" s="403"/>
      <c r="DT63" s="403"/>
      <c r="DU63" s="403"/>
      <c r="DV63" s="403"/>
      <c r="DW63" s="403"/>
      <c r="DX63" s="403"/>
      <c r="DY63" s="403"/>
      <c r="DZ63" s="403"/>
      <c r="EA63" s="403"/>
      <c r="EB63" s="403"/>
      <c r="EC63" s="403"/>
      <c r="ED63" s="403" t="s">
        <v>10694</v>
      </c>
      <c r="EE63" s="403"/>
      <c r="EF63" s="403"/>
      <c r="EG63" s="403"/>
      <c r="EH63" s="403"/>
      <c r="EI63" s="403"/>
      <c r="EJ63" s="403"/>
      <c r="EK63" s="403"/>
      <c r="EL63" s="403"/>
      <c r="EM63" s="403"/>
      <c r="EN63" s="403"/>
      <c r="EO63" s="403"/>
      <c r="EP63" s="403"/>
      <c r="EQ63" s="403"/>
      <c r="ER63" s="403"/>
      <c r="ES63" s="403"/>
      <c r="ET63" s="403"/>
    </row>
    <row r="64" spans="2:150" s="299" customFormat="1" x14ac:dyDescent="0.2">
      <c r="B64" s="165">
        <v>-7</v>
      </c>
      <c r="C64" s="72" t="str">
        <f>CONCATENATE("",DM1_Vaccine)</f>
        <v/>
      </c>
      <c r="D64" s="3" t="e">
        <f>VLOOKUP(DM1_Vaccine,'T1. Vaccines'!$C$8:$AD$37,E64,FALSE)</f>
        <v>#N/A</v>
      </c>
      <c r="E64" s="2">
        <f ca="1">OFFSET(_Offset_Index_VaccineSupplies_Index,0,B64)</f>
        <v>9</v>
      </c>
      <c r="F64" s="2" t="e">
        <f t="shared" ref="F64:I67" si="9">IF($D64=F$94,1,0)</f>
        <v>#N/A</v>
      </c>
      <c r="G64" s="2" t="e">
        <f t="shared" si="9"/>
        <v>#N/A</v>
      </c>
      <c r="H64" s="2" t="e">
        <f t="shared" si="9"/>
        <v>#N/A</v>
      </c>
      <c r="I64" s="2" t="e">
        <f t="shared" si="9"/>
        <v>#N/A</v>
      </c>
      <c r="J64" s="16" t="e">
        <f>'B1. Target Population'!D181*$K40</f>
        <v>#N/A</v>
      </c>
      <c r="K64" s="16" t="e">
        <f>'B1. Target Population'!E181*$K40</f>
        <v>#N/A</v>
      </c>
      <c r="L64" s="16" t="e">
        <f>'B1. Target Population'!F181*$K40</f>
        <v>#N/A</v>
      </c>
      <c r="M64" s="16" t="e">
        <f>'B1. Target Population'!G181*$K40</f>
        <v>#N/A</v>
      </c>
      <c r="N64" s="16" t="e">
        <f>'B1. Target Population'!H181*$K40</f>
        <v>#N/A</v>
      </c>
      <c r="O64" s="16" t="e">
        <f>'B1. Target Population'!I181*$K40</f>
        <v>#N/A</v>
      </c>
      <c r="P64" s="26" t="e">
        <f>SUM(J64:O64)</f>
        <v>#N/A</v>
      </c>
      <c r="R64" s="403"/>
      <c r="S64" s="403"/>
      <c r="T64" s="403"/>
      <c r="U64" s="403"/>
      <c r="V64" s="403"/>
      <c r="W64" s="403"/>
      <c r="X64" s="403"/>
      <c r="Y64" s="403"/>
      <c r="Z64" s="403"/>
      <c r="AA64" s="403"/>
      <c r="AB64" s="403"/>
      <c r="AC64" s="403"/>
      <c r="AD64" s="403"/>
      <c r="AE64" s="403"/>
      <c r="AF64" s="403"/>
      <c r="AG64" s="403"/>
      <c r="AH64" s="403"/>
      <c r="AI64" s="403"/>
      <c r="AJ64" s="403"/>
      <c r="AK64" s="403"/>
      <c r="AL64" s="403"/>
      <c r="AM64" s="403"/>
      <c r="AN64" s="403"/>
      <c r="AO64" s="403"/>
      <c r="AP64" s="403"/>
      <c r="AQ64" s="403"/>
      <c r="AR64" s="403"/>
      <c r="AS64" s="403"/>
      <c r="AT64" s="403"/>
      <c r="AU64" s="403"/>
      <c r="AV64" s="403"/>
      <c r="AW64" s="403"/>
      <c r="AX64" s="403"/>
      <c r="AY64" s="403"/>
      <c r="AZ64" s="403"/>
      <c r="BA64" s="403"/>
      <c r="BB64" s="403"/>
      <c r="BC64" s="403"/>
      <c r="BD64" s="403"/>
      <c r="BE64" s="403"/>
      <c r="BF64" s="403"/>
      <c r="BG64" s="403"/>
      <c r="BH64" s="403"/>
      <c r="BI64" s="403"/>
      <c r="BJ64" s="403"/>
      <c r="BK64" s="403"/>
      <c r="BL64" s="403"/>
      <c r="BM64" s="403"/>
      <c r="BN64" s="403"/>
      <c r="BO64" s="403"/>
      <c r="BP64" s="403"/>
      <c r="BQ64" s="403"/>
      <c r="BR64" s="403"/>
      <c r="BS64" s="403"/>
      <c r="BT64" s="403"/>
      <c r="BU64" s="403"/>
      <c r="BV64" s="403"/>
      <c r="BW64" s="403"/>
      <c r="BX64" s="403"/>
      <c r="BY64" s="403"/>
      <c r="BZ64" s="403"/>
      <c r="CA64" s="403"/>
      <c r="CB64" s="403"/>
      <c r="CC64" s="403"/>
      <c r="CD64" s="403"/>
      <c r="CE64" s="403"/>
      <c r="CF64" s="403"/>
      <c r="CG64" s="403"/>
      <c r="CH64" s="403"/>
      <c r="CI64" s="403"/>
      <c r="CJ64" s="403"/>
      <c r="CK64" s="403"/>
      <c r="CL64" s="403"/>
      <c r="CM64" s="403"/>
      <c r="CN64" s="403"/>
      <c r="CO64" s="403"/>
      <c r="CP64" s="403"/>
      <c r="CQ64" s="403"/>
      <c r="CR64" s="403"/>
      <c r="CS64" s="403"/>
      <c r="CT64" s="403"/>
      <c r="CU64" s="403"/>
      <c r="CV64" s="403"/>
      <c r="CW64" s="403"/>
      <c r="CX64" s="403"/>
      <c r="CY64" s="403"/>
      <c r="CZ64" s="403"/>
      <c r="DA64" s="403"/>
      <c r="DB64" s="403"/>
      <c r="DC64" s="403"/>
      <c r="DD64" s="403"/>
      <c r="DE64" s="403"/>
      <c r="DF64" s="403"/>
      <c r="DG64" s="403"/>
      <c r="DH64" s="403"/>
      <c r="DI64" s="403"/>
      <c r="DJ64" s="403"/>
      <c r="DK64" s="403"/>
      <c r="DL64" s="403"/>
      <c r="DM64" s="403"/>
      <c r="DN64" s="403"/>
      <c r="DO64" s="403"/>
      <c r="DP64" s="403"/>
      <c r="DQ64" s="403"/>
      <c r="DR64" s="403"/>
      <c r="DS64" s="403"/>
      <c r="DT64" s="403"/>
      <c r="DU64" s="403"/>
      <c r="DV64" s="403"/>
      <c r="DW64" s="403"/>
      <c r="DX64" s="403"/>
      <c r="DY64" s="403"/>
      <c r="DZ64" s="403"/>
      <c r="EA64" s="403"/>
      <c r="EB64" s="403"/>
      <c r="EC64" s="403"/>
      <c r="ED64" s="403"/>
      <c r="EE64" s="403"/>
      <c r="EF64" s="403"/>
      <c r="EG64" s="403"/>
      <c r="EH64" s="403"/>
      <c r="EI64" s="403"/>
      <c r="EJ64" s="403"/>
      <c r="EK64" s="403"/>
      <c r="EL64" s="403"/>
      <c r="EM64" s="403"/>
      <c r="EN64" s="403"/>
      <c r="EO64" s="403"/>
      <c r="EP64" s="403"/>
      <c r="EQ64" s="403"/>
      <c r="ER64" s="403"/>
      <c r="ES64" s="403"/>
      <c r="ET64" s="403"/>
    </row>
    <row r="65" spans="1:150" s="299" customFormat="1" x14ac:dyDescent="0.2">
      <c r="B65" s="165">
        <v>-7</v>
      </c>
      <c r="C65" s="72" t="str">
        <f>CONCATENATE("",DM2_Vaccine)</f>
        <v/>
      </c>
      <c r="D65" s="3" t="e">
        <f>VLOOKUP(DM2_Vaccine,'T1. Vaccines'!$C$8:$AD$37,E65,FALSE)</f>
        <v>#N/A</v>
      </c>
      <c r="E65" s="2">
        <f ca="1">OFFSET(_Offset_Index_VaccineSupplies_Index,0,B65)</f>
        <v>9</v>
      </c>
      <c r="F65" s="2" t="e">
        <f t="shared" si="9"/>
        <v>#N/A</v>
      </c>
      <c r="G65" s="2" t="e">
        <f t="shared" si="9"/>
        <v>#N/A</v>
      </c>
      <c r="H65" s="2" t="e">
        <f t="shared" si="9"/>
        <v>#N/A</v>
      </c>
      <c r="I65" s="2" t="e">
        <f t="shared" si="9"/>
        <v>#N/A</v>
      </c>
      <c r="J65" s="16" t="e">
        <f>'B1. Target Population'!D182*$K41</f>
        <v>#N/A</v>
      </c>
      <c r="K65" s="16" t="e">
        <f>'B1. Target Population'!E182*$K41</f>
        <v>#N/A</v>
      </c>
      <c r="L65" s="16" t="e">
        <f>'B1. Target Population'!F182*$K41</f>
        <v>#N/A</v>
      </c>
      <c r="M65" s="16" t="e">
        <f>'B1. Target Population'!G182*$K41</f>
        <v>#N/A</v>
      </c>
      <c r="N65" s="16" t="e">
        <f>'B1. Target Population'!H182*$K41</f>
        <v>#N/A</v>
      </c>
      <c r="O65" s="16" t="e">
        <f>'B1. Target Population'!I182*$K41</f>
        <v>#N/A</v>
      </c>
      <c r="P65" s="26" t="e">
        <f>SUM(J65:O65)</f>
        <v>#N/A</v>
      </c>
      <c r="R65" s="403"/>
      <c r="S65" s="403"/>
      <c r="T65" s="403"/>
      <c r="U65" s="403"/>
      <c r="V65" s="403"/>
      <c r="W65" s="403"/>
      <c r="X65" s="403"/>
      <c r="Y65" s="403"/>
      <c r="Z65" s="403"/>
      <c r="AA65" s="403"/>
      <c r="AB65" s="403"/>
      <c r="AC65" s="403"/>
      <c r="AD65" s="403"/>
      <c r="AE65" s="403"/>
      <c r="AF65" s="403"/>
      <c r="AG65" s="403"/>
      <c r="AH65" s="403"/>
      <c r="AI65" s="403"/>
      <c r="AJ65" s="403"/>
      <c r="AK65" s="403"/>
      <c r="AL65" s="403"/>
      <c r="AM65" s="403"/>
      <c r="AN65" s="403"/>
      <c r="AO65" s="403"/>
      <c r="AP65" s="403"/>
      <c r="AQ65" s="403"/>
      <c r="AR65" s="403"/>
      <c r="AS65" s="403"/>
      <c r="AT65" s="403"/>
      <c r="AU65" s="403"/>
      <c r="AV65" s="403"/>
      <c r="AW65" s="403"/>
      <c r="AX65" s="403"/>
      <c r="AY65" s="403"/>
      <c r="AZ65" s="403"/>
      <c r="BA65" s="403"/>
      <c r="BB65" s="403"/>
      <c r="BC65" s="403"/>
      <c r="BD65" s="403"/>
      <c r="BE65" s="403"/>
      <c r="BF65" s="403"/>
      <c r="BG65" s="403"/>
      <c r="BH65" s="403"/>
      <c r="BI65" s="403"/>
      <c r="BJ65" s="403"/>
      <c r="BK65" s="403"/>
      <c r="BL65" s="403"/>
      <c r="BM65" s="403"/>
      <c r="BN65" s="403"/>
      <c r="BO65" s="403"/>
      <c r="BP65" s="403"/>
      <c r="BQ65" s="403"/>
      <c r="BR65" s="403"/>
      <c r="BS65" s="403"/>
      <c r="BT65" s="403"/>
      <c r="BU65" s="403"/>
      <c r="BV65" s="403"/>
      <c r="BW65" s="403"/>
      <c r="BX65" s="403"/>
      <c r="BY65" s="403"/>
      <c r="BZ65" s="403"/>
      <c r="CA65" s="403"/>
      <c r="CB65" s="403"/>
      <c r="CC65" s="403"/>
      <c r="CD65" s="403"/>
      <c r="CE65" s="403"/>
      <c r="CF65" s="403"/>
      <c r="CG65" s="403"/>
      <c r="CH65" s="403"/>
      <c r="CI65" s="403"/>
      <c r="CJ65" s="403"/>
      <c r="CK65" s="403"/>
      <c r="CL65" s="403"/>
      <c r="CM65" s="403"/>
      <c r="CN65" s="403"/>
      <c r="CO65" s="403"/>
      <c r="CP65" s="403"/>
      <c r="CQ65" s="403"/>
      <c r="CR65" s="403"/>
      <c r="CS65" s="403"/>
      <c r="CT65" s="403"/>
      <c r="CU65" s="403"/>
      <c r="CV65" s="403"/>
      <c r="CW65" s="403"/>
      <c r="CX65" s="403"/>
      <c r="CY65" s="403"/>
      <c r="CZ65" s="403"/>
      <c r="DA65" s="403"/>
      <c r="DB65" s="403"/>
      <c r="DC65" s="403"/>
      <c r="DD65" s="403"/>
      <c r="DE65" s="403"/>
      <c r="DF65" s="403"/>
      <c r="DG65" s="403"/>
      <c r="DH65" s="403"/>
      <c r="DI65" s="403"/>
      <c r="DJ65" s="403"/>
      <c r="DK65" s="403"/>
      <c r="DL65" s="403"/>
      <c r="DM65" s="403"/>
      <c r="DN65" s="403"/>
      <c r="DO65" s="403"/>
      <c r="DP65" s="403"/>
      <c r="DQ65" s="403"/>
      <c r="DR65" s="403"/>
      <c r="DS65" s="403"/>
      <c r="DT65" s="403"/>
      <c r="DU65" s="403"/>
      <c r="DV65" s="403"/>
      <c r="DW65" s="403"/>
      <c r="DX65" s="403"/>
      <c r="DY65" s="403"/>
      <c r="DZ65" s="403"/>
      <c r="EA65" s="403"/>
      <c r="EB65" s="403"/>
      <c r="EC65" s="403"/>
      <c r="ED65" s="403"/>
      <c r="EE65" s="403"/>
      <c r="EF65" s="403"/>
      <c r="EG65" s="403"/>
      <c r="EH65" s="403"/>
      <c r="EI65" s="403"/>
      <c r="EJ65" s="403"/>
      <c r="EK65" s="403"/>
      <c r="EL65" s="403"/>
      <c r="EM65" s="403"/>
      <c r="EN65" s="403"/>
      <c r="EO65" s="403"/>
      <c r="EP65" s="403"/>
      <c r="EQ65" s="403"/>
      <c r="ER65" s="403"/>
      <c r="ES65" s="403"/>
      <c r="ET65" s="403"/>
    </row>
    <row r="66" spans="1:150" s="299" customFormat="1" x14ac:dyDescent="0.2">
      <c r="B66" s="165">
        <v>-7</v>
      </c>
      <c r="C66" s="72" t="str">
        <f>CONCATENATE("",DM3_Vaccine)</f>
        <v/>
      </c>
      <c r="D66" s="3" t="e">
        <f>VLOOKUP(DM3_Vaccine,'T1. Vaccines'!$C$8:$AD$37,E66,FALSE)</f>
        <v>#N/A</v>
      </c>
      <c r="E66" s="2">
        <f ca="1">OFFSET(_Offset_Index_VaccineSupplies_Index,0,B66)</f>
        <v>9</v>
      </c>
      <c r="F66" s="2" t="e">
        <f t="shared" si="9"/>
        <v>#N/A</v>
      </c>
      <c r="G66" s="2" t="e">
        <f t="shared" si="9"/>
        <v>#N/A</v>
      </c>
      <c r="H66" s="2" t="e">
        <f t="shared" si="9"/>
        <v>#N/A</v>
      </c>
      <c r="I66" s="2" t="e">
        <f t="shared" si="9"/>
        <v>#N/A</v>
      </c>
      <c r="J66" s="16" t="e">
        <f>'B1. Target Population'!D183*$K42</f>
        <v>#N/A</v>
      </c>
      <c r="K66" s="16" t="e">
        <f>'B1. Target Population'!E183*$K42</f>
        <v>#N/A</v>
      </c>
      <c r="L66" s="16" t="e">
        <f>'B1. Target Population'!F183*$K42</f>
        <v>#N/A</v>
      </c>
      <c r="M66" s="16" t="e">
        <f>'B1. Target Population'!G183*$K42</f>
        <v>#N/A</v>
      </c>
      <c r="N66" s="16" t="e">
        <f>'B1. Target Population'!H183*$K42</f>
        <v>#N/A</v>
      </c>
      <c r="O66" s="16" t="e">
        <f>'B1. Target Population'!I183*$K42</f>
        <v>#N/A</v>
      </c>
      <c r="P66" s="26" t="e">
        <f>SUM(J66:O66)</f>
        <v>#N/A</v>
      </c>
      <c r="R66" s="403"/>
      <c r="S66" s="403"/>
      <c r="T66" s="403"/>
      <c r="U66" s="403"/>
      <c r="V66" s="403"/>
      <c r="W66" s="403"/>
      <c r="X66" s="403"/>
      <c r="Y66" s="403"/>
      <c r="Z66" s="403"/>
      <c r="AA66" s="403"/>
      <c r="AB66" s="403"/>
      <c r="AC66" s="403"/>
      <c r="AD66" s="403"/>
      <c r="AE66" s="403"/>
      <c r="AF66" s="403"/>
      <c r="AG66" s="403"/>
      <c r="AH66" s="403"/>
      <c r="AI66" s="403"/>
      <c r="AJ66" s="403"/>
      <c r="AK66" s="403"/>
      <c r="AL66" s="403"/>
      <c r="AM66" s="403"/>
      <c r="AN66" s="403"/>
      <c r="AO66" s="403"/>
      <c r="AP66" s="403"/>
      <c r="AQ66" s="403"/>
      <c r="AR66" s="403"/>
      <c r="AS66" s="403"/>
      <c r="AT66" s="403"/>
      <c r="AU66" s="403"/>
      <c r="AV66" s="403"/>
      <c r="AW66" s="403"/>
      <c r="AX66" s="403"/>
      <c r="AY66" s="403"/>
      <c r="AZ66" s="403"/>
      <c r="BA66" s="403"/>
      <c r="BB66" s="403"/>
      <c r="BC66" s="403"/>
      <c r="BD66" s="403"/>
      <c r="BE66" s="403"/>
      <c r="BF66" s="403"/>
      <c r="BG66" s="403"/>
      <c r="BH66" s="403"/>
      <c r="BI66" s="403"/>
      <c r="BJ66" s="403"/>
      <c r="BK66" s="403"/>
      <c r="BL66" s="403"/>
      <c r="BM66" s="403"/>
      <c r="BN66" s="403"/>
      <c r="BO66" s="403"/>
      <c r="BP66" s="403"/>
      <c r="BQ66" s="403"/>
      <c r="BR66" s="403"/>
      <c r="BS66" s="403"/>
      <c r="BT66" s="403"/>
      <c r="BU66" s="403"/>
      <c r="BV66" s="403"/>
      <c r="BW66" s="403"/>
      <c r="BX66" s="403"/>
      <c r="BY66" s="403"/>
      <c r="BZ66" s="403"/>
      <c r="CA66" s="403"/>
      <c r="CB66" s="403"/>
      <c r="CC66" s="403"/>
      <c r="CD66" s="403"/>
      <c r="CE66" s="403"/>
      <c r="CF66" s="403"/>
      <c r="CG66" s="403"/>
      <c r="CH66" s="403"/>
      <c r="CI66" s="403"/>
      <c r="CJ66" s="403"/>
      <c r="CK66" s="403"/>
      <c r="CL66" s="403"/>
      <c r="CM66" s="403"/>
      <c r="CN66" s="403"/>
      <c r="CO66" s="403"/>
      <c r="CP66" s="403"/>
      <c r="CQ66" s="403"/>
      <c r="CR66" s="403"/>
      <c r="CS66" s="403"/>
      <c r="CT66" s="403"/>
      <c r="CU66" s="403"/>
      <c r="CV66" s="403"/>
      <c r="CW66" s="403"/>
      <c r="CX66" s="403"/>
      <c r="CY66" s="403"/>
      <c r="CZ66" s="403"/>
      <c r="DA66" s="403"/>
      <c r="DB66" s="403"/>
      <c r="DC66" s="403"/>
      <c r="DD66" s="403"/>
      <c r="DE66" s="403"/>
      <c r="DF66" s="403"/>
      <c r="DG66" s="403"/>
      <c r="DH66" s="403"/>
      <c r="DI66" s="403"/>
      <c r="DJ66" s="403"/>
      <c r="DK66" s="403"/>
      <c r="DL66" s="403"/>
      <c r="DM66" s="403"/>
      <c r="DN66" s="403"/>
      <c r="DO66" s="403"/>
      <c r="DP66" s="403"/>
      <c r="DQ66" s="403"/>
      <c r="DR66" s="403"/>
      <c r="DS66" s="403"/>
      <c r="DT66" s="403"/>
      <c r="DU66" s="403"/>
      <c r="DV66" s="403"/>
      <c r="DW66" s="403"/>
      <c r="DX66" s="403"/>
      <c r="DY66" s="403"/>
      <c r="DZ66" s="403"/>
      <c r="EA66" s="403"/>
      <c r="EB66" s="403"/>
      <c r="EC66" s="403"/>
      <c r="ED66" s="403"/>
      <c r="EE66" s="403"/>
      <c r="EF66" s="403"/>
      <c r="EG66" s="403"/>
      <c r="EH66" s="403"/>
      <c r="EI66" s="403"/>
      <c r="EJ66" s="403"/>
      <c r="EK66" s="403"/>
      <c r="EL66" s="403"/>
      <c r="EM66" s="403"/>
      <c r="EN66" s="403"/>
      <c r="EO66" s="403"/>
      <c r="EP66" s="403"/>
      <c r="EQ66" s="403"/>
      <c r="ER66" s="403"/>
      <c r="ES66" s="403"/>
      <c r="ET66" s="403"/>
    </row>
    <row r="67" spans="1:150" s="299" customFormat="1" x14ac:dyDescent="0.2">
      <c r="B67" s="165">
        <v>-7</v>
      </c>
      <c r="C67" s="72" t="str">
        <f>CONCATENATE("",DM4_Vaccine)</f>
        <v/>
      </c>
      <c r="D67" s="3" t="e">
        <f>VLOOKUP(DM4_Vaccine,'T1. Vaccines'!$C$8:$AD$37,E67,FALSE)</f>
        <v>#N/A</v>
      </c>
      <c r="E67" s="2">
        <f ca="1">OFFSET(_Offset_Index_VaccineSupplies_Index,0,B67)</f>
        <v>9</v>
      </c>
      <c r="F67" s="2" t="e">
        <f t="shared" si="9"/>
        <v>#N/A</v>
      </c>
      <c r="G67" s="2" t="e">
        <f t="shared" si="9"/>
        <v>#N/A</v>
      </c>
      <c r="H67" s="2" t="e">
        <f t="shared" si="9"/>
        <v>#N/A</v>
      </c>
      <c r="I67" s="2" t="e">
        <f t="shared" si="9"/>
        <v>#N/A</v>
      </c>
      <c r="J67" s="16" t="e">
        <f>'B1. Target Population'!D184*$K43</f>
        <v>#N/A</v>
      </c>
      <c r="K67" s="16" t="e">
        <f>'B1. Target Population'!E184*$K43</f>
        <v>#N/A</v>
      </c>
      <c r="L67" s="16" t="e">
        <f>'B1. Target Population'!F184*$K43</f>
        <v>#N/A</v>
      </c>
      <c r="M67" s="16" t="e">
        <f>'B1. Target Population'!G184*$K43</f>
        <v>#N/A</v>
      </c>
      <c r="N67" s="16" t="e">
        <f>'B1. Target Population'!H184*$K43</f>
        <v>#N/A</v>
      </c>
      <c r="O67" s="16" t="e">
        <f>'B1. Target Population'!I184*$K43</f>
        <v>#N/A</v>
      </c>
      <c r="P67" s="26" t="e">
        <f>SUM(J67:O67)</f>
        <v>#N/A</v>
      </c>
      <c r="R67" s="403"/>
      <c r="S67" s="403"/>
      <c r="T67" s="403"/>
      <c r="U67" s="403"/>
      <c r="V67" s="403"/>
      <c r="W67" s="403"/>
      <c r="X67" s="403"/>
      <c r="Y67" s="403"/>
      <c r="Z67" s="403"/>
      <c r="AA67" s="403"/>
      <c r="AB67" s="403"/>
      <c r="AC67" s="403"/>
      <c r="AD67" s="403"/>
      <c r="AE67" s="403"/>
      <c r="AF67" s="403"/>
      <c r="AG67" s="403"/>
      <c r="AH67" s="403"/>
      <c r="AI67" s="403"/>
      <c r="AJ67" s="403"/>
      <c r="AK67" s="403"/>
      <c r="AL67" s="403"/>
      <c r="AM67" s="403"/>
      <c r="AN67" s="403"/>
      <c r="AO67" s="403"/>
      <c r="AP67" s="403"/>
      <c r="AQ67" s="403"/>
      <c r="AR67" s="403"/>
      <c r="AS67" s="403"/>
      <c r="AT67" s="403"/>
      <c r="AU67" s="403"/>
      <c r="AV67" s="403"/>
      <c r="AW67" s="403"/>
      <c r="AX67" s="403"/>
      <c r="AY67" s="403"/>
      <c r="AZ67" s="403"/>
      <c r="BA67" s="403"/>
      <c r="BB67" s="403"/>
      <c r="BC67" s="403"/>
      <c r="BD67" s="403"/>
      <c r="BE67" s="403"/>
      <c r="BF67" s="403"/>
      <c r="BG67" s="403"/>
      <c r="BH67" s="403"/>
      <c r="BI67" s="403"/>
      <c r="BJ67" s="403"/>
      <c r="BK67" s="403"/>
      <c r="BL67" s="403"/>
      <c r="BM67" s="403"/>
      <c r="BN67" s="403"/>
      <c r="BO67" s="403"/>
      <c r="BP67" s="403"/>
      <c r="BQ67" s="403"/>
      <c r="BR67" s="403"/>
      <c r="BS67" s="403"/>
      <c r="BT67" s="403"/>
      <c r="BU67" s="403"/>
      <c r="BV67" s="403"/>
      <c r="BW67" s="403"/>
      <c r="BX67" s="403"/>
      <c r="BY67" s="403"/>
      <c r="BZ67" s="403"/>
      <c r="CA67" s="403"/>
      <c r="CB67" s="403"/>
      <c r="CC67" s="403"/>
      <c r="CD67" s="403"/>
      <c r="CE67" s="403"/>
      <c r="CF67" s="403"/>
      <c r="CG67" s="403"/>
      <c r="CH67" s="403"/>
      <c r="CI67" s="403"/>
      <c r="CJ67" s="403"/>
      <c r="CK67" s="403"/>
      <c r="CL67" s="403"/>
      <c r="CM67" s="403"/>
      <c r="CN67" s="403"/>
      <c r="CO67" s="403"/>
      <c r="CP67" s="403"/>
      <c r="CQ67" s="403"/>
      <c r="CR67" s="403"/>
      <c r="CS67" s="403"/>
      <c r="CT67" s="403"/>
      <c r="CU67" s="403"/>
      <c r="CV67" s="403"/>
      <c r="CW67" s="403"/>
      <c r="CX67" s="403"/>
      <c r="CY67" s="403"/>
      <c r="CZ67" s="403"/>
      <c r="DA67" s="403"/>
      <c r="DB67" s="403"/>
      <c r="DC67" s="403"/>
      <c r="DD67" s="403"/>
      <c r="DE67" s="403"/>
      <c r="DF67" s="403"/>
      <c r="DG67" s="403"/>
      <c r="DH67" s="403"/>
      <c r="DI67" s="403"/>
      <c r="DJ67" s="403"/>
      <c r="DK67" s="403"/>
      <c r="DL67" s="403"/>
      <c r="DM67" s="403"/>
      <c r="DN67" s="403"/>
      <c r="DO67" s="403"/>
      <c r="DP67" s="403"/>
      <c r="DQ67" s="403"/>
      <c r="DR67" s="403"/>
      <c r="DS67" s="403"/>
      <c r="DT67" s="403"/>
      <c r="DU67" s="403"/>
      <c r="DV67" s="403"/>
      <c r="DW67" s="403"/>
      <c r="DX67" s="403"/>
      <c r="DY67" s="403"/>
      <c r="DZ67" s="403"/>
      <c r="EA67" s="403"/>
      <c r="EB67" s="403"/>
      <c r="EC67" s="403"/>
      <c r="ED67" s="403"/>
      <c r="EE67" s="403"/>
      <c r="EF67" s="403"/>
      <c r="EG67" s="403"/>
      <c r="EH67" s="403"/>
      <c r="EI67" s="403"/>
      <c r="EJ67" s="403"/>
      <c r="EK67" s="403"/>
      <c r="EL67" s="403"/>
      <c r="EM67" s="403"/>
      <c r="EN67" s="403"/>
      <c r="EO67" s="403"/>
      <c r="EP67" s="403"/>
      <c r="EQ67" s="403"/>
      <c r="ER67" s="403"/>
      <c r="ES67" s="403"/>
      <c r="ET67" s="403"/>
    </row>
    <row r="68" spans="1:150" s="299" customFormat="1" x14ac:dyDescent="0.2">
      <c r="J68" s="16"/>
      <c r="K68" s="16"/>
      <c r="L68" s="16"/>
      <c r="M68" s="16"/>
      <c r="N68" s="16"/>
      <c r="O68" s="16"/>
      <c r="R68" s="403"/>
      <c r="S68" s="403"/>
      <c r="T68" s="403"/>
      <c r="U68" s="403"/>
      <c r="V68" s="403"/>
      <c r="W68" s="403"/>
      <c r="X68" s="403"/>
      <c r="Y68" s="403"/>
      <c r="Z68" s="403"/>
      <c r="AA68" s="403"/>
      <c r="AB68" s="403"/>
      <c r="AC68" s="403"/>
      <c r="AD68" s="403"/>
      <c r="AE68" s="403"/>
      <c r="AF68" s="403"/>
      <c r="AG68" s="403"/>
      <c r="AH68" s="403"/>
      <c r="AI68" s="403"/>
      <c r="AJ68" s="403"/>
      <c r="AK68" s="403"/>
      <c r="AL68" s="403"/>
      <c r="AM68" s="403"/>
      <c r="AN68" s="403"/>
      <c r="AO68" s="403"/>
      <c r="AP68" s="403"/>
      <c r="AQ68" s="403"/>
      <c r="AR68" s="403"/>
      <c r="AS68" s="403"/>
      <c r="AT68" s="403"/>
      <c r="AU68" s="403"/>
      <c r="AV68" s="403"/>
      <c r="AW68" s="403"/>
      <c r="AX68" s="403"/>
      <c r="AY68" s="403"/>
      <c r="AZ68" s="403"/>
      <c r="BA68" s="403"/>
      <c r="BB68" s="403"/>
      <c r="BC68" s="403"/>
      <c r="BD68" s="403"/>
      <c r="BE68" s="403"/>
      <c r="BF68" s="403"/>
      <c r="BG68" s="403"/>
      <c r="BH68" s="403"/>
      <c r="BI68" s="403"/>
      <c r="BJ68" s="403"/>
      <c r="BK68" s="403"/>
      <c r="BL68" s="403"/>
      <c r="BM68" s="403"/>
      <c r="BN68" s="403"/>
      <c r="BO68" s="403"/>
      <c r="BP68" s="403"/>
      <c r="BQ68" s="403"/>
      <c r="BR68" s="403"/>
      <c r="BS68" s="403"/>
      <c r="BT68" s="403"/>
      <c r="BU68" s="403"/>
      <c r="BV68" s="403"/>
      <c r="BW68" s="403"/>
      <c r="BX68" s="403"/>
      <c r="BY68" s="403"/>
      <c r="BZ68" s="403"/>
      <c r="CA68" s="403"/>
      <c r="CB68" s="403"/>
      <c r="CC68" s="403"/>
      <c r="CD68" s="403"/>
      <c r="CE68" s="403"/>
      <c r="CF68" s="403"/>
      <c r="CG68" s="403"/>
      <c r="CH68" s="403"/>
      <c r="CI68" s="403"/>
      <c r="CJ68" s="403"/>
      <c r="CK68" s="403"/>
      <c r="CL68" s="403"/>
      <c r="CM68" s="403"/>
      <c r="CN68" s="403"/>
      <c r="CO68" s="403"/>
      <c r="CP68" s="403"/>
      <c r="CQ68" s="403"/>
      <c r="CR68" s="403"/>
      <c r="CS68" s="403"/>
      <c r="CT68" s="403"/>
      <c r="CU68" s="403"/>
      <c r="CV68" s="403"/>
      <c r="CW68" s="403"/>
      <c r="CX68" s="403"/>
      <c r="CY68" s="403"/>
      <c r="CZ68" s="403"/>
      <c r="DA68" s="403"/>
      <c r="DB68" s="403"/>
      <c r="DC68" s="403"/>
      <c r="DD68" s="403"/>
      <c r="DE68" s="403"/>
      <c r="DF68" s="403"/>
      <c r="DG68" s="403"/>
      <c r="DH68" s="403"/>
      <c r="DI68" s="403"/>
      <c r="DJ68" s="403"/>
      <c r="DK68" s="403"/>
      <c r="DL68" s="403"/>
      <c r="DM68" s="403"/>
      <c r="DN68" s="403"/>
      <c r="DO68" s="403"/>
      <c r="DP68" s="403"/>
      <c r="DQ68" s="403"/>
      <c r="DR68" s="403"/>
      <c r="DS68" s="403"/>
      <c r="DT68" s="403"/>
      <c r="DU68" s="403"/>
      <c r="DV68" s="403"/>
      <c r="DW68" s="403"/>
      <c r="DX68" s="403"/>
      <c r="DY68" s="403"/>
      <c r="DZ68" s="403"/>
      <c r="EA68" s="403"/>
      <c r="EB68" s="403"/>
      <c r="EC68" s="403"/>
      <c r="ED68" s="403"/>
      <c r="EE68" s="403"/>
      <c r="EF68" s="403"/>
      <c r="EG68" s="403"/>
      <c r="EH68" s="403"/>
      <c r="EI68" s="403"/>
      <c r="EJ68" s="403"/>
      <c r="EK68" s="403"/>
      <c r="EL68" s="403"/>
      <c r="EM68" s="403"/>
      <c r="EN68" s="403"/>
      <c r="EO68" s="403"/>
      <c r="EP68" s="403"/>
      <c r="EQ68" s="403"/>
      <c r="ER68" s="403"/>
      <c r="ES68" s="403"/>
      <c r="ET68" s="403"/>
    </row>
    <row r="69" spans="1:150" s="299" customFormat="1" x14ac:dyDescent="0.2">
      <c r="B69" s="51" t="str">
        <f ca="1">IF(OFFSET(T69,0,Lang_Order*Lang__B4)="","",OFFSET(T69,0,Lang_Order*Lang__B4))</f>
        <v>Population vaccinated by fixed sites, by delivery modality</v>
      </c>
      <c r="D69" s="2" t="str">
        <f ca="1">IF(OFFSET(V69,0,Lang_Order*Lang__B4)="","",OFFSET(V69,0,Lang_Order*Lang__B4))</f>
        <v>Cold storage requirements</v>
      </c>
      <c r="E69" s="2" t="s">
        <v>1542</v>
      </c>
      <c r="F69" s="90" t="s">
        <v>10</v>
      </c>
      <c r="G69" s="90" t="s">
        <v>11</v>
      </c>
      <c r="H69" s="90" t="s">
        <v>12</v>
      </c>
      <c r="I69" s="90" t="s">
        <v>13</v>
      </c>
      <c r="J69" s="16"/>
      <c r="K69" s="16"/>
      <c r="L69" s="16"/>
      <c r="M69" s="16"/>
      <c r="N69" s="16"/>
      <c r="O69" s="16"/>
      <c r="R69" s="403"/>
      <c r="S69" s="403"/>
      <c r="T69" s="403" t="s">
        <v>4196</v>
      </c>
      <c r="U69" s="403"/>
      <c r="V69" s="403" t="s">
        <v>3194</v>
      </c>
      <c r="W69" s="403"/>
      <c r="X69" s="403"/>
      <c r="Y69" s="403"/>
      <c r="Z69" s="403"/>
      <c r="AA69" s="403"/>
      <c r="AB69" s="403"/>
      <c r="AC69" s="403"/>
      <c r="AD69" s="403"/>
      <c r="AE69" s="403"/>
      <c r="AF69" s="403"/>
      <c r="AG69" s="403"/>
      <c r="AH69" s="403"/>
      <c r="AI69" s="403"/>
      <c r="AJ69" s="403"/>
      <c r="AK69" s="403"/>
      <c r="AL69" s="403"/>
      <c r="AM69" s="403" t="s">
        <v>10695</v>
      </c>
      <c r="AN69" s="403"/>
      <c r="AO69" s="403" t="s">
        <v>10217</v>
      </c>
      <c r="AP69" s="403"/>
      <c r="AQ69" s="403"/>
      <c r="AR69" s="403"/>
      <c r="AS69" s="403"/>
      <c r="AT69" s="403"/>
      <c r="AU69" s="403"/>
      <c r="AV69" s="403"/>
      <c r="AW69" s="403"/>
      <c r="AX69" s="403"/>
      <c r="AY69" s="403"/>
      <c r="AZ69" s="403"/>
      <c r="BA69" s="403"/>
      <c r="BB69" s="403"/>
      <c r="BC69" s="403"/>
      <c r="BD69" s="403"/>
      <c r="BE69" s="403"/>
      <c r="BF69" s="403" t="s">
        <v>10696</v>
      </c>
      <c r="BG69" s="403"/>
      <c r="BH69" s="403" t="s">
        <v>10697</v>
      </c>
      <c r="BI69" s="403"/>
      <c r="BJ69" s="403"/>
      <c r="BK69" s="403"/>
      <c r="BL69" s="403"/>
      <c r="BM69" s="403"/>
      <c r="BN69" s="403"/>
      <c r="BO69" s="403"/>
      <c r="BP69" s="403"/>
      <c r="BQ69" s="403"/>
      <c r="BR69" s="403"/>
      <c r="BS69" s="403"/>
      <c r="BT69" s="403"/>
      <c r="BU69" s="403"/>
      <c r="BV69" s="403"/>
      <c r="BW69" s="403"/>
      <c r="BX69" s="403"/>
      <c r="BY69" s="403" t="s">
        <v>10698</v>
      </c>
      <c r="BZ69" s="403"/>
      <c r="CA69" s="403" t="s">
        <v>10699</v>
      </c>
      <c r="CB69" s="403"/>
      <c r="CC69" s="403"/>
      <c r="CD69" s="403"/>
      <c r="CE69" s="403"/>
      <c r="CF69" s="403"/>
      <c r="CG69" s="403"/>
      <c r="CH69" s="403"/>
      <c r="CI69" s="403"/>
      <c r="CJ69" s="403"/>
      <c r="CK69" s="403"/>
      <c r="CL69" s="403"/>
      <c r="CM69" s="403"/>
      <c r="CN69" s="403"/>
      <c r="CO69" s="403"/>
      <c r="CP69" s="403"/>
      <c r="CQ69" s="403"/>
      <c r="CR69" s="403" t="s">
        <v>10700</v>
      </c>
      <c r="CS69" s="403"/>
      <c r="CT69" s="403" t="s">
        <v>10242</v>
      </c>
      <c r="CU69" s="403"/>
      <c r="CV69" s="403"/>
      <c r="CW69" s="403"/>
      <c r="CX69" s="403"/>
      <c r="CY69" s="403"/>
      <c r="CZ69" s="403"/>
      <c r="DA69" s="403"/>
      <c r="DB69" s="403"/>
      <c r="DC69" s="403"/>
      <c r="DD69" s="403"/>
      <c r="DE69" s="403"/>
      <c r="DF69" s="403"/>
      <c r="DG69" s="403"/>
      <c r="DH69" s="403"/>
      <c r="DI69" s="403"/>
      <c r="DJ69" s="403"/>
      <c r="DK69" s="403" t="s">
        <v>10701</v>
      </c>
      <c r="DL69" s="403"/>
      <c r="DM69" s="403"/>
      <c r="DN69" s="403"/>
      <c r="DO69" s="403"/>
      <c r="DP69" s="403"/>
      <c r="DQ69" s="403"/>
      <c r="DR69" s="403"/>
      <c r="DS69" s="403"/>
      <c r="DT69" s="403"/>
      <c r="DU69" s="403"/>
      <c r="DV69" s="403"/>
      <c r="DW69" s="403"/>
      <c r="DX69" s="403"/>
      <c r="DY69" s="403"/>
      <c r="DZ69" s="403"/>
      <c r="EA69" s="403"/>
      <c r="EB69" s="403"/>
      <c r="EC69" s="403"/>
      <c r="ED69" s="403" t="s">
        <v>10702</v>
      </c>
      <c r="EE69" s="403"/>
      <c r="EF69" s="403" t="s">
        <v>10254</v>
      </c>
      <c r="EG69" s="403"/>
      <c r="EH69" s="403"/>
      <c r="EI69" s="403"/>
      <c r="EJ69" s="403"/>
      <c r="EK69" s="403"/>
      <c r="EL69" s="403"/>
      <c r="EM69" s="403"/>
      <c r="EN69" s="403"/>
      <c r="EO69" s="403"/>
      <c r="EP69" s="403"/>
      <c r="EQ69" s="403"/>
      <c r="ER69" s="403"/>
      <c r="ES69" s="403"/>
      <c r="ET69" s="403"/>
    </row>
    <row r="70" spans="1:150" s="299" customFormat="1" x14ac:dyDescent="0.2">
      <c r="B70" s="165">
        <v>-7</v>
      </c>
      <c r="C70" s="72" t="str">
        <f>CONCATENATE("",DM1_Vaccine)</f>
        <v/>
      </c>
      <c r="D70" s="3" t="e">
        <f>VLOOKUP(DM1_Vaccine,'T1. Vaccines'!$C$8:$AD$37,E70,FALSE)</f>
        <v>#N/A</v>
      </c>
      <c r="E70" s="2">
        <f ca="1">OFFSET(_Offset_Index_VaccineSupplies_Index,0,B70)</f>
        <v>9</v>
      </c>
      <c r="F70" s="2" t="e">
        <f t="shared" ref="F70:I73" si="10">IF($D70=F$94,1,0)</f>
        <v>#N/A</v>
      </c>
      <c r="G70" s="2" t="e">
        <f t="shared" si="10"/>
        <v>#N/A</v>
      </c>
      <c r="H70" s="2" t="e">
        <f t="shared" si="10"/>
        <v>#N/A</v>
      </c>
      <c r="I70" s="2" t="e">
        <f t="shared" si="10"/>
        <v>#N/A</v>
      </c>
      <c r="J70" s="16" t="e">
        <f>'B1. Target Population'!D181*$L40</f>
        <v>#N/A</v>
      </c>
      <c r="K70" s="16" t="e">
        <f>'B1. Target Population'!E181*$L40</f>
        <v>#N/A</v>
      </c>
      <c r="L70" s="16" t="e">
        <f>'B1. Target Population'!F181*$L40</f>
        <v>#N/A</v>
      </c>
      <c r="M70" s="16" t="e">
        <f>'B1. Target Population'!G181*$L40</f>
        <v>#N/A</v>
      </c>
      <c r="N70" s="16" t="e">
        <f>'B1. Target Population'!H181*$L40</f>
        <v>#N/A</v>
      </c>
      <c r="O70" s="16" t="e">
        <f>'B1. Target Population'!I181*$L40</f>
        <v>#N/A</v>
      </c>
      <c r="P70" s="26" t="e">
        <f>SUM(J70:O70)</f>
        <v>#N/A</v>
      </c>
      <c r="R70" s="403"/>
      <c r="S70" s="403"/>
      <c r="T70" s="403"/>
      <c r="U70" s="403"/>
      <c r="V70" s="403"/>
      <c r="W70" s="403"/>
      <c r="X70" s="403"/>
      <c r="Y70" s="403"/>
      <c r="Z70" s="403"/>
      <c r="AA70" s="403"/>
      <c r="AB70" s="403"/>
      <c r="AC70" s="403"/>
      <c r="AD70" s="403"/>
      <c r="AE70" s="403"/>
      <c r="AF70" s="403"/>
      <c r="AG70" s="403"/>
      <c r="AH70" s="403"/>
      <c r="AI70" s="403"/>
      <c r="AJ70" s="403"/>
      <c r="AK70" s="403"/>
      <c r="AL70" s="403"/>
      <c r="AM70" s="403"/>
      <c r="AN70" s="403"/>
      <c r="AO70" s="403"/>
      <c r="AP70" s="403"/>
      <c r="AQ70" s="403"/>
      <c r="AR70" s="403"/>
      <c r="AS70" s="403"/>
      <c r="AT70" s="403"/>
      <c r="AU70" s="403"/>
      <c r="AV70" s="403"/>
      <c r="AW70" s="403"/>
      <c r="AX70" s="403"/>
      <c r="AY70" s="403"/>
      <c r="AZ70" s="403"/>
      <c r="BA70" s="403"/>
      <c r="BB70" s="403"/>
      <c r="BC70" s="403"/>
      <c r="BD70" s="403"/>
      <c r="BE70" s="403"/>
      <c r="BF70" s="403"/>
      <c r="BG70" s="403"/>
      <c r="BH70" s="403"/>
      <c r="BI70" s="403"/>
      <c r="BJ70" s="403"/>
      <c r="BK70" s="403"/>
      <c r="BL70" s="403"/>
      <c r="BM70" s="403"/>
      <c r="BN70" s="403"/>
      <c r="BO70" s="403"/>
      <c r="BP70" s="403"/>
      <c r="BQ70" s="403"/>
      <c r="BR70" s="403"/>
      <c r="BS70" s="403"/>
      <c r="BT70" s="403"/>
      <c r="BU70" s="403"/>
      <c r="BV70" s="403"/>
      <c r="BW70" s="403"/>
      <c r="BX70" s="403"/>
      <c r="BY70" s="403"/>
      <c r="BZ70" s="403"/>
      <c r="CA70" s="403"/>
      <c r="CB70" s="403"/>
      <c r="CC70" s="403"/>
      <c r="CD70" s="403"/>
      <c r="CE70" s="403"/>
      <c r="CF70" s="403"/>
      <c r="CG70" s="403"/>
      <c r="CH70" s="403"/>
      <c r="CI70" s="403"/>
      <c r="CJ70" s="403"/>
      <c r="CK70" s="403"/>
      <c r="CL70" s="403"/>
      <c r="CM70" s="403"/>
      <c r="CN70" s="403"/>
      <c r="CO70" s="403"/>
      <c r="CP70" s="403"/>
      <c r="CQ70" s="403"/>
      <c r="CR70" s="403"/>
      <c r="CS70" s="403"/>
      <c r="CT70" s="403"/>
      <c r="CU70" s="403"/>
      <c r="CV70" s="403"/>
      <c r="CW70" s="403"/>
      <c r="CX70" s="403"/>
      <c r="CY70" s="403"/>
      <c r="CZ70" s="403"/>
      <c r="DA70" s="403"/>
      <c r="DB70" s="403"/>
      <c r="DC70" s="403"/>
      <c r="DD70" s="403"/>
      <c r="DE70" s="403"/>
      <c r="DF70" s="403"/>
      <c r="DG70" s="403"/>
      <c r="DH70" s="403"/>
      <c r="DI70" s="403"/>
      <c r="DJ70" s="403"/>
      <c r="DK70" s="403"/>
      <c r="DL70" s="403"/>
      <c r="DM70" s="403"/>
      <c r="DN70" s="403"/>
      <c r="DO70" s="403"/>
      <c r="DP70" s="403"/>
      <c r="DQ70" s="403"/>
      <c r="DR70" s="403"/>
      <c r="DS70" s="403"/>
      <c r="DT70" s="403"/>
      <c r="DU70" s="403"/>
      <c r="DV70" s="403"/>
      <c r="DW70" s="403"/>
      <c r="DX70" s="403"/>
      <c r="DY70" s="403"/>
      <c r="DZ70" s="403"/>
      <c r="EA70" s="403"/>
      <c r="EB70" s="403"/>
      <c r="EC70" s="403"/>
      <c r="ED70" s="403"/>
      <c r="EE70" s="403"/>
      <c r="EF70" s="403"/>
      <c r="EG70" s="403"/>
      <c r="EH70" s="403"/>
      <c r="EI70" s="403"/>
      <c r="EJ70" s="403"/>
      <c r="EK70" s="403"/>
      <c r="EL70" s="403"/>
      <c r="EM70" s="403"/>
      <c r="EN70" s="403"/>
      <c r="EO70" s="403"/>
      <c r="EP70" s="403"/>
      <c r="EQ70" s="403"/>
      <c r="ER70" s="403"/>
      <c r="ES70" s="403"/>
      <c r="ET70" s="403"/>
    </row>
    <row r="71" spans="1:150" s="299" customFormat="1" x14ac:dyDescent="0.2">
      <c r="B71" s="165">
        <v>-7</v>
      </c>
      <c r="C71" s="72" t="str">
        <f>CONCATENATE("",DM2_Vaccine)</f>
        <v/>
      </c>
      <c r="D71" s="3" t="e">
        <f>VLOOKUP(DM2_Vaccine,'T1. Vaccines'!$C$8:$AD$37,E71,FALSE)</f>
        <v>#N/A</v>
      </c>
      <c r="E71" s="2">
        <f ca="1">OFFSET(_Offset_Index_VaccineSupplies_Index,0,B71)</f>
        <v>9</v>
      </c>
      <c r="F71" s="2" t="e">
        <f t="shared" si="10"/>
        <v>#N/A</v>
      </c>
      <c r="G71" s="2" t="e">
        <f t="shared" si="10"/>
        <v>#N/A</v>
      </c>
      <c r="H71" s="2" t="e">
        <f t="shared" si="10"/>
        <v>#N/A</v>
      </c>
      <c r="I71" s="2" t="e">
        <f t="shared" si="10"/>
        <v>#N/A</v>
      </c>
      <c r="J71" s="16" t="e">
        <f>'B1. Target Population'!D182*$L41</f>
        <v>#N/A</v>
      </c>
      <c r="K71" s="16" t="e">
        <f>'B1. Target Population'!E182*$L41</f>
        <v>#N/A</v>
      </c>
      <c r="L71" s="16" t="e">
        <f>'B1. Target Population'!F182*$L41</f>
        <v>#N/A</v>
      </c>
      <c r="M71" s="16" t="e">
        <f>'B1. Target Population'!G182*$L41</f>
        <v>#N/A</v>
      </c>
      <c r="N71" s="16" t="e">
        <f>'B1. Target Population'!H182*$L41</f>
        <v>#N/A</v>
      </c>
      <c r="O71" s="16" t="e">
        <f>'B1. Target Population'!I182*$L41</f>
        <v>#N/A</v>
      </c>
      <c r="P71" s="26" t="e">
        <f>SUM(J71:O71)</f>
        <v>#N/A</v>
      </c>
      <c r="R71" s="403"/>
      <c r="S71" s="403"/>
      <c r="T71" s="403"/>
      <c r="U71" s="403"/>
      <c r="V71" s="403"/>
      <c r="W71" s="403"/>
      <c r="X71" s="403"/>
      <c r="Y71" s="403"/>
      <c r="Z71" s="403"/>
      <c r="AA71" s="403"/>
      <c r="AB71" s="403"/>
      <c r="AC71" s="403"/>
      <c r="AD71" s="403"/>
      <c r="AE71" s="403"/>
      <c r="AF71" s="403"/>
      <c r="AG71" s="403"/>
      <c r="AH71" s="403"/>
      <c r="AI71" s="403"/>
      <c r="AJ71" s="403"/>
      <c r="AK71" s="403"/>
      <c r="AL71" s="403"/>
      <c r="AM71" s="403"/>
      <c r="AN71" s="403"/>
      <c r="AO71" s="403"/>
      <c r="AP71" s="403"/>
      <c r="AQ71" s="403"/>
      <c r="AR71" s="403"/>
      <c r="AS71" s="403"/>
      <c r="AT71" s="403"/>
      <c r="AU71" s="403"/>
      <c r="AV71" s="403"/>
      <c r="AW71" s="403"/>
      <c r="AX71" s="403"/>
      <c r="AY71" s="403"/>
      <c r="AZ71" s="403"/>
      <c r="BA71" s="403"/>
      <c r="BB71" s="403"/>
      <c r="BC71" s="403"/>
      <c r="BD71" s="403"/>
      <c r="BE71" s="403"/>
      <c r="BF71" s="403"/>
      <c r="BG71" s="403"/>
      <c r="BH71" s="403"/>
      <c r="BI71" s="403"/>
      <c r="BJ71" s="403"/>
      <c r="BK71" s="403"/>
      <c r="BL71" s="403"/>
      <c r="BM71" s="403"/>
      <c r="BN71" s="403"/>
      <c r="BO71" s="403"/>
      <c r="BP71" s="403"/>
      <c r="BQ71" s="403"/>
      <c r="BR71" s="403"/>
      <c r="BS71" s="403"/>
      <c r="BT71" s="403"/>
      <c r="BU71" s="403"/>
      <c r="BV71" s="403"/>
      <c r="BW71" s="403"/>
      <c r="BX71" s="403"/>
      <c r="BY71" s="403"/>
      <c r="BZ71" s="403"/>
      <c r="CA71" s="403"/>
      <c r="CB71" s="403"/>
      <c r="CC71" s="403"/>
      <c r="CD71" s="403"/>
      <c r="CE71" s="403"/>
      <c r="CF71" s="403"/>
      <c r="CG71" s="403"/>
      <c r="CH71" s="403"/>
      <c r="CI71" s="403"/>
      <c r="CJ71" s="403"/>
      <c r="CK71" s="403"/>
      <c r="CL71" s="403"/>
      <c r="CM71" s="403"/>
      <c r="CN71" s="403"/>
      <c r="CO71" s="403"/>
      <c r="CP71" s="403"/>
      <c r="CQ71" s="403"/>
      <c r="CR71" s="403"/>
      <c r="CS71" s="403"/>
      <c r="CT71" s="403"/>
      <c r="CU71" s="403"/>
      <c r="CV71" s="403"/>
      <c r="CW71" s="403"/>
      <c r="CX71" s="403"/>
      <c r="CY71" s="403"/>
      <c r="CZ71" s="403"/>
      <c r="DA71" s="403"/>
      <c r="DB71" s="403"/>
      <c r="DC71" s="403"/>
      <c r="DD71" s="403"/>
      <c r="DE71" s="403"/>
      <c r="DF71" s="403"/>
      <c r="DG71" s="403"/>
      <c r="DH71" s="403"/>
      <c r="DI71" s="403"/>
      <c r="DJ71" s="403"/>
      <c r="DK71" s="403"/>
      <c r="DL71" s="403"/>
      <c r="DM71" s="403"/>
      <c r="DN71" s="403"/>
      <c r="DO71" s="403"/>
      <c r="DP71" s="403"/>
      <c r="DQ71" s="403"/>
      <c r="DR71" s="403"/>
      <c r="DS71" s="403"/>
      <c r="DT71" s="403"/>
      <c r="DU71" s="403"/>
      <c r="DV71" s="403"/>
      <c r="DW71" s="403"/>
      <c r="DX71" s="403"/>
      <c r="DY71" s="403"/>
      <c r="DZ71" s="403"/>
      <c r="EA71" s="403"/>
      <c r="EB71" s="403"/>
      <c r="EC71" s="403"/>
      <c r="ED71" s="403"/>
      <c r="EE71" s="403"/>
      <c r="EF71" s="403"/>
      <c r="EG71" s="403"/>
      <c r="EH71" s="403"/>
      <c r="EI71" s="403"/>
      <c r="EJ71" s="403"/>
      <c r="EK71" s="403"/>
      <c r="EL71" s="403"/>
      <c r="EM71" s="403"/>
      <c r="EN71" s="403"/>
      <c r="EO71" s="403"/>
      <c r="EP71" s="403"/>
      <c r="EQ71" s="403"/>
      <c r="ER71" s="403"/>
      <c r="ES71" s="403"/>
      <c r="ET71" s="403"/>
    </row>
    <row r="72" spans="1:150" s="299" customFormat="1" x14ac:dyDescent="0.2">
      <c r="B72" s="165">
        <v>-7</v>
      </c>
      <c r="C72" s="72" t="str">
        <f>CONCATENATE("",DM3_Vaccine)</f>
        <v/>
      </c>
      <c r="D72" s="3" t="e">
        <f>VLOOKUP(DM3_Vaccine,'T1. Vaccines'!$C$8:$AD$37,E72,FALSE)</f>
        <v>#N/A</v>
      </c>
      <c r="E72" s="2">
        <f ca="1">OFFSET(_Offset_Index_VaccineSupplies_Index,0,B72)</f>
        <v>9</v>
      </c>
      <c r="F72" s="2" t="e">
        <f t="shared" si="10"/>
        <v>#N/A</v>
      </c>
      <c r="G72" s="2" t="e">
        <f t="shared" si="10"/>
        <v>#N/A</v>
      </c>
      <c r="H72" s="2" t="e">
        <f t="shared" si="10"/>
        <v>#N/A</v>
      </c>
      <c r="I72" s="2" t="e">
        <f t="shared" si="10"/>
        <v>#N/A</v>
      </c>
      <c r="J72" s="16" t="e">
        <f>'B1. Target Population'!D183*$L42</f>
        <v>#N/A</v>
      </c>
      <c r="K72" s="16" t="e">
        <f>'B1. Target Population'!E183*$L42</f>
        <v>#N/A</v>
      </c>
      <c r="L72" s="16" t="e">
        <f>'B1. Target Population'!F183*$L42</f>
        <v>#N/A</v>
      </c>
      <c r="M72" s="16" t="e">
        <f>'B1. Target Population'!G183*$L42</f>
        <v>#N/A</v>
      </c>
      <c r="N72" s="16" t="e">
        <f>'B1. Target Population'!H183*$L42</f>
        <v>#N/A</v>
      </c>
      <c r="O72" s="16" t="e">
        <f>'B1. Target Population'!I183*$L42</f>
        <v>#N/A</v>
      </c>
      <c r="P72" s="26" t="e">
        <f>SUM(J72:O72)</f>
        <v>#N/A</v>
      </c>
      <c r="R72" s="403"/>
      <c r="S72" s="403"/>
      <c r="T72" s="403"/>
      <c r="U72" s="403"/>
      <c r="V72" s="403"/>
      <c r="W72" s="403"/>
      <c r="X72" s="403"/>
      <c r="Y72" s="403"/>
      <c r="Z72" s="403"/>
      <c r="AA72" s="403"/>
      <c r="AB72" s="403"/>
      <c r="AC72" s="403"/>
      <c r="AD72" s="403"/>
      <c r="AE72" s="403"/>
      <c r="AF72" s="403"/>
      <c r="AG72" s="403"/>
      <c r="AH72" s="403"/>
      <c r="AI72" s="403"/>
      <c r="AJ72" s="403"/>
      <c r="AK72" s="403"/>
      <c r="AL72" s="403"/>
      <c r="AM72" s="403"/>
      <c r="AN72" s="403"/>
      <c r="AO72" s="403"/>
      <c r="AP72" s="403"/>
      <c r="AQ72" s="403"/>
      <c r="AR72" s="403"/>
      <c r="AS72" s="403"/>
      <c r="AT72" s="403"/>
      <c r="AU72" s="403"/>
      <c r="AV72" s="403"/>
      <c r="AW72" s="403"/>
      <c r="AX72" s="403"/>
      <c r="AY72" s="403"/>
      <c r="AZ72" s="403"/>
      <c r="BA72" s="403"/>
      <c r="BB72" s="403"/>
      <c r="BC72" s="403"/>
      <c r="BD72" s="403"/>
      <c r="BE72" s="403"/>
      <c r="BF72" s="403"/>
      <c r="BG72" s="403"/>
      <c r="BH72" s="403"/>
      <c r="BI72" s="403"/>
      <c r="BJ72" s="403"/>
      <c r="BK72" s="403"/>
      <c r="BL72" s="403"/>
      <c r="BM72" s="403"/>
      <c r="BN72" s="403"/>
      <c r="BO72" s="403"/>
      <c r="BP72" s="403"/>
      <c r="BQ72" s="403"/>
      <c r="BR72" s="403"/>
      <c r="BS72" s="403"/>
      <c r="BT72" s="403"/>
      <c r="BU72" s="403"/>
      <c r="BV72" s="403"/>
      <c r="BW72" s="403"/>
      <c r="BX72" s="403"/>
      <c r="BY72" s="403"/>
      <c r="BZ72" s="403"/>
      <c r="CA72" s="403"/>
      <c r="CB72" s="403"/>
      <c r="CC72" s="403"/>
      <c r="CD72" s="403"/>
      <c r="CE72" s="403"/>
      <c r="CF72" s="403"/>
      <c r="CG72" s="403"/>
      <c r="CH72" s="403"/>
      <c r="CI72" s="403"/>
      <c r="CJ72" s="403"/>
      <c r="CK72" s="403"/>
      <c r="CL72" s="403"/>
      <c r="CM72" s="403"/>
      <c r="CN72" s="403"/>
      <c r="CO72" s="403"/>
      <c r="CP72" s="403"/>
      <c r="CQ72" s="403"/>
      <c r="CR72" s="403"/>
      <c r="CS72" s="403"/>
      <c r="CT72" s="403"/>
      <c r="CU72" s="403"/>
      <c r="CV72" s="403"/>
      <c r="CW72" s="403"/>
      <c r="CX72" s="403"/>
      <c r="CY72" s="403"/>
      <c r="CZ72" s="403"/>
      <c r="DA72" s="403"/>
      <c r="DB72" s="403"/>
      <c r="DC72" s="403"/>
      <c r="DD72" s="403"/>
      <c r="DE72" s="403"/>
      <c r="DF72" s="403"/>
      <c r="DG72" s="403"/>
      <c r="DH72" s="403"/>
      <c r="DI72" s="403"/>
      <c r="DJ72" s="403"/>
      <c r="DK72" s="403"/>
      <c r="DL72" s="403"/>
      <c r="DM72" s="403"/>
      <c r="DN72" s="403"/>
      <c r="DO72" s="403"/>
      <c r="DP72" s="403"/>
      <c r="DQ72" s="403"/>
      <c r="DR72" s="403"/>
      <c r="DS72" s="403"/>
      <c r="DT72" s="403"/>
      <c r="DU72" s="403"/>
      <c r="DV72" s="403"/>
      <c r="DW72" s="403"/>
      <c r="DX72" s="403"/>
      <c r="DY72" s="403"/>
      <c r="DZ72" s="403"/>
      <c r="EA72" s="403"/>
      <c r="EB72" s="403"/>
      <c r="EC72" s="403"/>
      <c r="ED72" s="403"/>
      <c r="EE72" s="403"/>
      <c r="EF72" s="403"/>
      <c r="EG72" s="403"/>
      <c r="EH72" s="403"/>
      <c r="EI72" s="403"/>
      <c r="EJ72" s="403"/>
      <c r="EK72" s="403"/>
      <c r="EL72" s="403"/>
      <c r="EM72" s="403"/>
      <c r="EN72" s="403"/>
      <c r="EO72" s="403"/>
      <c r="EP72" s="403"/>
      <c r="EQ72" s="403"/>
      <c r="ER72" s="403"/>
      <c r="ES72" s="403"/>
      <c r="ET72" s="403"/>
    </row>
    <row r="73" spans="1:150" s="299" customFormat="1" x14ac:dyDescent="0.2">
      <c r="B73" s="165">
        <v>-7</v>
      </c>
      <c r="C73" s="72" t="str">
        <f>CONCATENATE("",DM4_Vaccine)</f>
        <v/>
      </c>
      <c r="D73" s="3" t="e">
        <f>VLOOKUP(DM4_Vaccine,'T1. Vaccines'!$C$8:$AD$37,E73,FALSE)</f>
        <v>#N/A</v>
      </c>
      <c r="E73" s="2">
        <f ca="1">OFFSET(_Offset_Index_VaccineSupplies_Index,0,B73)</f>
        <v>9</v>
      </c>
      <c r="F73" s="2" t="e">
        <f t="shared" si="10"/>
        <v>#N/A</v>
      </c>
      <c r="G73" s="2" t="e">
        <f t="shared" si="10"/>
        <v>#N/A</v>
      </c>
      <c r="H73" s="2" t="e">
        <f t="shared" si="10"/>
        <v>#N/A</v>
      </c>
      <c r="I73" s="2" t="e">
        <f t="shared" si="10"/>
        <v>#N/A</v>
      </c>
      <c r="J73" s="16" t="e">
        <f>'B1. Target Population'!D184*$L43</f>
        <v>#N/A</v>
      </c>
      <c r="K73" s="16" t="e">
        <f>'B1. Target Population'!E184*$L43</f>
        <v>#N/A</v>
      </c>
      <c r="L73" s="16" t="e">
        <f>'B1. Target Population'!F184*$L43</f>
        <v>#N/A</v>
      </c>
      <c r="M73" s="16" t="e">
        <f>'B1. Target Population'!G184*$L43</f>
        <v>#N/A</v>
      </c>
      <c r="N73" s="16" t="e">
        <f>'B1. Target Population'!H184*$L43</f>
        <v>#N/A</v>
      </c>
      <c r="O73" s="16" t="e">
        <f>'B1. Target Population'!I184*$L43</f>
        <v>#N/A</v>
      </c>
      <c r="P73" s="26" t="e">
        <f>SUM(J73:O73)</f>
        <v>#N/A</v>
      </c>
      <c r="R73" s="403"/>
      <c r="S73" s="403"/>
      <c r="T73" s="403"/>
      <c r="U73" s="403"/>
      <c r="V73" s="403"/>
      <c r="W73" s="403"/>
      <c r="X73" s="403"/>
      <c r="Y73" s="403"/>
      <c r="Z73" s="403"/>
      <c r="AA73" s="403"/>
      <c r="AB73" s="403"/>
      <c r="AC73" s="403"/>
      <c r="AD73" s="403"/>
      <c r="AE73" s="403"/>
      <c r="AF73" s="403"/>
      <c r="AG73" s="403"/>
      <c r="AH73" s="403"/>
      <c r="AI73" s="403"/>
      <c r="AJ73" s="403"/>
      <c r="AK73" s="403"/>
      <c r="AL73" s="403"/>
      <c r="AM73" s="403"/>
      <c r="AN73" s="403"/>
      <c r="AO73" s="403"/>
      <c r="AP73" s="403"/>
      <c r="AQ73" s="403"/>
      <c r="AR73" s="403"/>
      <c r="AS73" s="403"/>
      <c r="AT73" s="403"/>
      <c r="AU73" s="403"/>
      <c r="AV73" s="403"/>
      <c r="AW73" s="403"/>
      <c r="AX73" s="403"/>
      <c r="AY73" s="403"/>
      <c r="AZ73" s="403"/>
      <c r="BA73" s="403"/>
      <c r="BB73" s="403"/>
      <c r="BC73" s="403"/>
      <c r="BD73" s="403"/>
      <c r="BE73" s="403"/>
      <c r="BF73" s="403"/>
      <c r="BG73" s="403"/>
      <c r="BH73" s="403"/>
      <c r="BI73" s="403"/>
      <c r="BJ73" s="403"/>
      <c r="BK73" s="403"/>
      <c r="BL73" s="403"/>
      <c r="BM73" s="403"/>
      <c r="BN73" s="403"/>
      <c r="BO73" s="403"/>
      <c r="BP73" s="403"/>
      <c r="BQ73" s="403"/>
      <c r="BR73" s="403"/>
      <c r="BS73" s="403"/>
      <c r="BT73" s="403"/>
      <c r="BU73" s="403"/>
      <c r="BV73" s="403"/>
      <c r="BW73" s="403"/>
      <c r="BX73" s="403"/>
      <c r="BY73" s="403"/>
      <c r="BZ73" s="403"/>
      <c r="CA73" s="403"/>
      <c r="CB73" s="403"/>
      <c r="CC73" s="403"/>
      <c r="CD73" s="403"/>
      <c r="CE73" s="403"/>
      <c r="CF73" s="403"/>
      <c r="CG73" s="403"/>
      <c r="CH73" s="403"/>
      <c r="CI73" s="403"/>
      <c r="CJ73" s="403"/>
      <c r="CK73" s="403"/>
      <c r="CL73" s="403"/>
      <c r="CM73" s="403"/>
      <c r="CN73" s="403"/>
      <c r="CO73" s="403"/>
      <c r="CP73" s="403"/>
      <c r="CQ73" s="403"/>
      <c r="CR73" s="403"/>
      <c r="CS73" s="403"/>
      <c r="CT73" s="403"/>
      <c r="CU73" s="403"/>
      <c r="CV73" s="403"/>
      <c r="CW73" s="403"/>
      <c r="CX73" s="403"/>
      <c r="CY73" s="403"/>
      <c r="CZ73" s="403"/>
      <c r="DA73" s="403"/>
      <c r="DB73" s="403"/>
      <c r="DC73" s="403"/>
      <c r="DD73" s="403"/>
      <c r="DE73" s="403"/>
      <c r="DF73" s="403"/>
      <c r="DG73" s="403"/>
      <c r="DH73" s="403"/>
      <c r="DI73" s="403"/>
      <c r="DJ73" s="403"/>
      <c r="DK73" s="403"/>
      <c r="DL73" s="403"/>
      <c r="DM73" s="403"/>
      <c r="DN73" s="403"/>
      <c r="DO73" s="403"/>
      <c r="DP73" s="403"/>
      <c r="DQ73" s="403"/>
      <c r="DR73" s="403"/>
      <c r="DS73" s="403"/>
      <c r="DT73" s="403"/>
      <c r="DU73" s="403"/>
      <c r="DV73" s="403"/>
      <c r="DW73" s="403"/>
      <c r="DX73" s="403"/>
      <c r="DY73" s="403"/>
      <c r="DZ73" s="403"/>
      <c r="EA73" s="403"/>
      <c r="EB73" s="403"/>
      <c r="EC73" s="403"/>
      <c r="ED73" s="403"/>
      <c r="EE73" s="403"/>
      <c r="EF73" s="403"/>
      <c r="EG73" s="403"/>
      <c r="EH73" s="403"/>
      <c r="EI73" s="403"/>
      <c r="EJ73" s="403"/>
      <c r="EK73" s="403"/>
      <c r="EL73" s="403"/>
      <c r="EM73" s="403"/>
      <c r="EN73" s="403"/>
      <c r="EO73" s="403"/>
      <c r="EP73" s="403"/>
      <c r="EQ73" s="403"/>
      <c r="ER73" s="403"/>
      <c r="ES73" s="403"/>
      <c r="ET73" s="403"/>
    </row>
    <row r="74" spans="1:150" s="299" customFormat="1" x14ac:dyDescent="0.2">
      <c r="R74" s="403"/>
      <c r="S74" s="403"/>
      <c r="T74" s="403"/>
      <c r="U74" s="403"/>
      <c r="V74" s="403"/>
      <c r="W74" s="403"/>
      <c r="X74" s="403"/>
      <c r="Y74" s="403"/>
      <c r="Z74" s="403"/>
      <c r="AA74" s="403"/>
      <c r="AB74" s="403"/>
      <c r="AC74" s="403"/>
      <c r="AD74" s="403"/>
      <c r="AE74" s="403"/>
      <c r="AF74" s="403"/>
      <c r="AG74" s="403"/>
      <c r="AH74" s="403"/>
      <c r="AI74" s="403"/>
      <c r="AJ74" s="403"/>
      <c r="AK74" s="403"/>
      <c r="AL74" s="403"/>
      <c r="AM74" s="403"/>
      <c r="AN74" s="403"/>
      <c r="AO74" s="403"/>
      <c r="AP74" s="403"/>
      <c r="AQ74" s="403"/>
      <c r="AR74" s="403"/>
      <c r="AS74" s="403"/>
      <c r="AT74" s="403"/>
      <c r="AU74" s="403"/>
      <c r="AV74" s="403"/>
      <c r="AW74" s="403"/>
      <c r="AX74" s="403"/>
      <c r="AY74" s="403"/>
      <c r="AZ74" s="403"/>
      <c r="BA74" s="403"/>
      <c r="BB74" s="403"/>
      <c r="BC74" s="403"/>
      <c r="BD74" s="403"/>
      <c r="BE74" s="403"/>
      <c r="BF74" s="403"/>
      <c r="BG74" s="403"/>
      <c r="BH74" s="403"/>
      <c r="BI74" s="403"/>
      <c r="BJ74" s="403"/>
      <c r="BK74" s="403"/>
      <c r="BL74" s="403"/>
      <c r="BM74" s="403"/>
      <c r="BN74" s="403"/>
      <c r="BO74" s="403"/>
      <c r="BP74" s="403"/>
      <c r="BQ74" s="403"/>
      <c r="BR74" s="403"/>
      <c r="BS74" s="403"/>
      <c r="BT74" s="403"/>
      <c r="BU74" s="403"/>
      <c r="BV74" s="403"/>
      <c r="BW74" s="403"/>
      <c r="BX74" s="403"/>
      <c r="BY74" s="403"/>
      <c r="BZ74" s="403"/>
      <c r="CA74" s="403"/>
      <c r="CB74" s="403"/>
      <c r="CC74" s="403"/>
      <c r="CD74" s="403"/>
      <c r="CE74" s="403"/>
      <c r="CF74" s="403"/>
      <c r="CG74" s="403"/>
      <c r="CH74" s="403"/>
      <c r="CI74" s="403"/>
      <c r="CJ74" s="403"/>
      <c r="CK74" s="403"/>
      <c r="CL74" s="403"/>
      <c r="CM74" s="403"/>
      <c r="CN74" s="403"/>
      <c r="CO74" s="403"/>
      <c r="CP74" s="403"/>
      <c r="CQ74" s="403"/>
      <c r="CR74" s="403"/>
      <c r="CS74" s="403"/>
      <c r="CT74" s="403"/>
      <c r="CU74" s="403"/>
      <c r="CV74" s="403"/>
      <c r="CW74" s="403"/>
      <c r="CX74" s="403"/>
      <c r="CY74" s="403"/>
      <c r="CZ74" s="403"/>
      <c r="DA74" s="403"/>
      <c r="DB74" s="403"/>
      <c r="DC74" s="403"/>
      <c r="DD74" s="403"/>
      <c r="DE74" s="403"/>
      <c r="DF74" s="403"/>
      <c r="DG74" s="403"/>
      <c r="DH74" s="403"/>
      <c r="DI74" s="403"/>
      <c r="DJ74" s="403"/>
      <c r="DK74" s="403"/>
      <c r="DL74" s="403"/>
      <c r="DM74" s="403"/>
      <c r="DN74" s="403"/>
      <c r="DO74" s="403"/>
      <c r="DP74" s="403"/>
      <c r="DQ74" s="403"/>
      <c r="DR74" s="403"/>
      <c r="DS74" s="403"/>
      <c r="DT74" s="403"/>
      <c r="DU74" s="403"/>
      <c r="DV74" s="403"/>
      <c r="DW74" s="403"/>
      <c r="DX74" s="403"/>
      <c r="DY74" s="403"/>
      <c r="DZ74" s="403"/>
      <c r="EA74" s="403"/>
      <c r="EB74" s="403"/>
      <c r="EC74" s="403"/>
      <c r="ED74" s="403"/>
      <c r="EE74" s="403"/>
      <c r="EF74" s="403"/>
      <c r="EG74" s="403"/>
      <c r="EH74" s="403"/>
      <c r="EI74" s="403"/>
      <c r="EJ74" s="403"/>
      <c r="EK74" s="403"/>
      <c r="EL74" s="403"/>
      <c r="EM74" s="403"/>
      <c r="EN74" s="403"/>
      <c r="EO74" s="403"/>
      <c r="EP74" s="403"/>
      <c r="EQ74" s="403"/>
      <c r="ER74" s="403"/>
      <c r="ES74" s="403"/>
      <c r="ET74" s="403"/>
    </row>
    <row r="75" spans="1:150" s="299" customFormat="1" x14ac:dyDescent="0.2">
      <c r="B75" s="165"/>
      <c r="C75" s="23"/>
      <c r="D75" s="23"/>
      <c r="E75" s="2"/>
      <c r="F75" s="2"/>
      <c r="G75" s="2"/>
      <c r="H75" s="2"/>
      <c r="I75" s="2"/>
      <c r="J75" s="146"/>
      <c r="K75" s="146"/>
      <c r="L75" s="146"/>
      <c r="M75" s="146"/>
      <c r="N75" s="146"/>
      <c r="O75" s="146"/>
      <c r="Q75" s="16"/>
      <c r="R75" s="403"/>
      <c r="S75" s="403"/>
      <c r="T75" s="403"/>
      <c r="U75" s="403"/>
      <c r="V75" s="403"/>
      <c r="W75" s="403"/>
      <c r="X75" s="403"/>
      <c r="Y75" s="403"/>
      <c r="Z75" s="403"/>
      <c r="AA75" s="403"/>
      <c r="AB75" s="403"/>
      <c r="AC75" s="403"/>
      <c r="AD75" s="403"/>
      <c r="AE75" s="403"/>
      <c r="AF75" s="403"/>
      <c r="AG75" s="403"/>
      <c r="AH75" s="403"/>
      <c r="AI75" s="403"/>
      <c r="AJ75" s="403"/>
      <c r="AK75" s="403"/>
      <c r="AL75" s="403"/>
      <c r="AM75" s="403"/>
      <c r="AN75" s="403"/>
      <c r="AO75" s="403"/>
      <c r="AP75" s="403"/>
      <c r="AQ75" s="403"/>
      <c r="AR75" s="403"/>
      <c r="AS75" s="403"/>
      <c r="AT75" s="403"/>
      <c r="AU75" s="403"/>
      <c r="AV75" s="403"/>
      <c r="AW75" s="403"/>
      <c r="AX75" s="403"/>
      <c r="AY75" s="403"/>
      <c r="AZ75" s="403"/>
      <c r="BA75" s="403"/>
      <c r="BB75" s="403"/>
      <c r="BC75" s="403"/>
      <c r="BD75" s="403"/>
      <c r="BE75" s="403"/>
      <c r="BF75" s="403"/>
      <c r="BG75" s="403"/>
      <c r="BH75" s="403"/>
      <c r="BI75" s="403"/>
      <c r="BJ75" s="403"/>
      <c r="BK75" s="403"/>
      <c r="BL75" s="403"/>
      <c r="BM75" s="403"/>
      <c r="BN75" s="403"/>
      <c r="BO75" s="403"/>
      <c r="BP75" s="403"/>
      <c r="BQ75" s="403"/>
      <c r="BR75" s="403"/>
      <c r="BS75" s="403"/>
      <c r="BT75" s="403"/>
      <c r="BU75" s="403"/>
      <c r="BV75" s="403"/>
      <c r="BW75" s="403"/>
      <c r="BX75" s="403"/>
      <c r="BY75" s="403"/>
      <c r="BZ75" s="403"/>
      <c r="CA75" s="403"/>
      <c r="CB75" s="403"/>
      <c r="CC75" s="403"/>
      <c r="CD75" s="403"/>
      <c r="CE75" s="403"/>
      <c r="CF75" s="403"/>
      <c r="CG75" s="403"/>
      <c r="CH75" s="403"/>
      <c r="CI75" s="403"/>
      <c r="CJ75" s="403"/>
      <c r="CK75" s="403"/>
      <c r="CL75" s="403"/>
      <c r="CM75" s="403"/>
      <c r="CN75" s="403"/>
      <c r="CO75" s="403"/>
      <c r="CP75" s="403"/>
      <c r="CQ75" s="403"/>
      <c r="CR75" s="403"/>
      <c r="CS75" s="403"/>
      <c r="CT75" s="403"/>
      <c r="CU75" s="403"/>
      <c r="CV75" s="403"/>
      <c r="CW75" s="403"/>
      <c r="CX75" s="403"/>
      <c r="CY75" s="403"/>
      <c r="CZ75" s="403"/>
      <c r="DA75" s="403"/>
      <c r="DB75" s="403"/>
      <c r="DC75" s="403"/>
      <c r="DD75" s="403"/>
      <c r="DE75" s="403"/>
      <c r="DF75" s="403"/>
      <c r="DG75" s="403"/>
      <c r="DH75" s="403"/>
      <c r="DI75" s="403"/>
      <c r="DJ75" s="403"/>
      <c r="DK75" s="403"/>
      <c r="DL75" s="403"/>
      <c r="DM75" s="403"/>
      <c r="DN75" s="403"/>
      <c r="DO75" s="403"/>
      <c r="DP75" s="403"/>
      <c r="DQ75" s="403"/>
      <c r="DR75" s="403"/>
      <c r="DS75" s="403"/>
      <c r="DT75" s="403"/>
      <c r="DU75" s="403"/>
      <c r="DV75" s="403"/>
      <c r="DW75" s="403"/>
      <c r="DX75" s="403"/>
      <c r="DY75" s="403"/>
      <c r="DZ75" s="403"/>
      <c r="EA75" s="403"/>
      <c r="EB75" s="403"/>
      <c r="EC75" s="403"/>
      <c r="ED75" s="403"/>
      <c r="EE75" s="403"/>
      <c r="EF75" s="403"/>
      <c r="EG75" s="403"/>
      <c r="EH75" s="403"/>
      <c r="EI75" s="403"/>
      <c r="EJ75" s="403"/>
      <c r="EK75" s="403"/>
      <c r="EL75" s="403"/>
      <c r="EM75" s="403"/>
      <c r="EN75" s="403"/>
      <c r="EO75" s="403"/>
      <c r="EP75" s="403"/>
      <c r="EQ75" s="403"/>
      <c r="ER75" s="403"/>
      <c r="ES75" s="403"/>
      <c r="ET75" s="403"/>
    </row>
    <row r="76" spans="1:150" s="299" customFormat="1" x14ac:dyDescent="0.2">
      <c r="B76" s="51" t="str">
        <f ca="1">IF(OFFSET(T76,0,Lang_Order*Lang__B4)="","",OFFSET(T76,0,Lang_Order*Lang__B4))</f>
        <v>Population vaccinated at fixed sites, using which vaccine cold chain requirements?</v>
      </c>
      <c r="C76" s="5"/>
      <c r="J76" s="16"/>
      <c r="K76" s="16"/>
      <c r="L76" s="16"/>
      <c r="M76" s="16"/>
      <c r="N76" s="16"/>
      <c r="O76" s="16"/>
      <c r="P76" s="2"/>
      <c r="Q76" s="16"/>
      <c r="R76" s="403"/>
      <c r="S76" s="403"/>
      <c r="T76" s="403" t="s">
        <v>4197</v>
      </c>
      <c r="U76" s="403"/>
      <c r="V76" s="403"/>
      <c r="W76" s="403"/>
      <c r="X76" s="403"/>
      <c r="Y76" s="403"/>
      <c r="Z76" s="403"/>
      <c r="AA76" s="403"/>
      <c r="AB76" s="403"/>
      <c r="AC76" s="403"/>
      <c r="AD76" s="403"/>
      <c r="AE76" s="403"/>
      <c r="AF76" s="403"/>
      <c r="AG76" s="403"/>
      <c r="AH76" s="403"/>
      <c r="AI76" s="403"/>
      <c r="AJ76" s="403"/>
      <c r="AK76" s="403"/>
      <c r="AL76" s="403"/>
      <c r="AM76" s="403" t="s">
        <v>10703</v>
      </c>
      <c r="AN76" s="403"/>
      <c r="AO76" s="403"/>
      <c r="AP76" s="403"/>
      <c r="AQ76" s="403"/>
      <c r="AR76" s="403"/>
      <c r="AS76" s="403"/>
      <c r="AT76" s="403"/>
      <c r="AU76" s="403"/>
      <c r="AV76" s="403"/>
      <c r="AW76" s="403"/>
      <c r="AX76" s="403"/>
      <c r="AY76" s="403"/>
      <c r="AZ76" s="403"/>
      <c r="BA76" s="403"/>
      <c r="BB76" s="403"/>
      <c r="BC76" s="403"/>
      <c r="BD76" s="403"/>
      <c r="BE76" s="403"/>
      <c r="BF76" s="403" t="s">
        <v>10704</v>
      </c>
      <c r="BG76" s="403"/>
      <c r="BH76" s="403"/>
      <c r="BI76" s="403"/>
      <c r="BJ76" s="403"/>
      <c r="BK76" s="403"/>
      <c r="BL76" s="403"/>
      <c r="BM76" s="403"/>
      <c r="BN76" s="403"/>
      <c r="BO76" s="403"/>
      <c r="BP76" s="403"/>
      <c r="BQ76" s="403"/>
      <c r="BR76" s="403"/>
      <c r="BS76" s="403"/>
      <c r="BT76" s="403"/>
      <c r="BU76" s="403"/>
      <c r="BV76" s="403"/>
      <c r="BW76" s="403"/>
      <c r="BX76" s="403"/>
      <c r="BY76" s="403" t="s">
        <v>10705</v>
      </c>
      <c r="BZ76" s="403"/>
      <c r="CA76" s="403"/>
      <c r="CB76" s="403"/>
      <c r="CC76" s="403"/>
      <c r="CD76" s="403"/>
      <c r="CE76" s="403"/>
      <c r="CF76" s="403"/>
      <c r="CG76" s="403"/>
      <c r="CH76" s="403"/>
      <c r="CI76" s="403"/>
      <c r="CJ76" s="403"/>
      <c r="CK76" s="403"/>
      <c r="CL76" s="403"/>
      <c r="CM76" s="403"/>
      <c r="CN76" s="403"/>
      <c r="CO76" s="403"/>
      <c r="CP76" s="403"/>
      <c r="CQ76" s="403"/>
      <c r="CR76" s="403" t="s">
        <v>10706</v>
      </c>
      <c r="CS76" s="403"/>
      <c r="CT76" s="403"/>
      <c r="CU76" s="403"/>
      <c r="CV76" s="403"/>
      <c r="CW76" s="403"/>
      <c r="CX76" s="403"/>
      <c r="CY76" s="403"/>
      <c r="CZ76" s="403"/>
      <c r="DA76" s="403"/>
      <c r="DB76" s="403"/>
      <c r="DC76" s="403"/>
      <c r="DD76" s="403"/>
      <c r="DE76" s="403"/>
      <c r="DF76" s="403"/>
      <c r="DG76" s="403"/>
      <c r="DH76" s="403"/>
      <c r="DI76" s="403"/>
      <c r="DJ76" s="403"/>
      <c r="DK76" s="403" t="s">
        <v>10707</v>
      </c>
      <c r="DL76" s="403"/>
      <c r="DM76" s="403"/>
      <c r="DN76" s="403"/>
      <c r="DO76" s="403"/>
      <c r="DP76" s="403"/>
      <c r="DQ76" s="403"/>
      <c r="DR76" s="403"/>
      <c r="DS76" s="403"/>
      <c r="DT76" s="403"/>
      <c r="DU76" s="403"/>
      <c r="DV76" s="403"/>
      <c r="DW76" s="403"/>
      <c r="DX76" s="403"/>
      <c r="DY76" s="403"/>
      <c r="DZ76" s="403"/>
      <c r="EA76" s="403"/>
      <c r="EB76" s="403"/>
      <c r="EC76" s="403"/>
      <c r="ED76" s="403" t="s">
        <v>10708</v>
      </c>
      <c r="EE76" s="403"/>
      <c r="EF76" s="403"/>
      <c r="EG76" s="403"/>
      <c r="EH76" s="403"/>
      <c r="EI76" s="403"/>
      <c r="EJ76" s="403"/>
      <c r="EK76" s="403"/>
      <c r="EL76" s="403"/>
      <c r="EM76" s="403"/>
      <c r="EN76" s="403"/>
      <c r="EO76" s="403"/>
      <c r="EP76" s="403"/>
      <c r="EQ76" s="403"/>
      <c r="ER76" s="403"/>
      <c r="ES76" s="403"/>
      <c r="ET76" s="403"/>
    </row>
    <row r="77" spans="1:150" s="299" customFormat="1" hidden="1" x14ac:dyDescent="0.2">
      <c r="A77" s="346" t="s">
        <v>14118</v>
      </c>
      <c r="C77" s="72" t="str">
        <f ca="1">IF(OFFSET(U77,0,Lang_Order*Lang__B4)="","",OFFSET(U77,0,Lang_Order*Lang__B4))</f>
        <v>Room temperature</v>
      </c>
      <c r="J77" s="146" t="e">
        <f t="shared" ref="J77:O77" si="11">SUMPRODUCT($F$95:$F$98,J$95:J$98)</f>
        <v>#N/A</v>
      </c>
      <c r="K77" s="146" t="e">
        <f t="shared" si="11"/>
        <v>#N/A</v>
      </c>
      <c r="L77" s="146" t="e">
        <f t="shared" si="11"/>
        <v>#N/A</v>
      </c>
      <c r="M77" s="146" t="e">
        <f t="shared" si="11"/>
        <v>#N/A</v>
      </c>
      <c r="N77" s="146" t="e">
        <f t="shared" si="11"/>
        <v>#N/A</v>
      </c>
      <c r="O77" s="146" t="e">
        <f t="shared" si="11"/>
        <v>#N/A</v>
      </c>
      <c r="P77" s="287"/>
      <c r="Q77" s="157" t="str">
        <f ca="1">IF(OFFSET(AI77,0,Lang_Order*Lang__B4)="","",OFFSET(AI77,0,Lang_Order*Lang__B4))</f>
        <v>Vaccines which can be stored in dry storage assumed as no storage cost</v>
      </c>
      <c r="R77" s="403"/>
      <c r="S77" s="403"/>
      <c r="T77" s="403"/>
      <c r="U77" s="403" t="s">
        <v>10</v>
      </c>
      <c r="V77" s="403"/>
      <c r="W77" s="403"/>
      <c r="X77" s="403"/>
      <c r="Y77" s="403"/>
      <c r="Z77" s="403"/>
      <c r="AA77" s="403"/>
      <c r="AB77" s="403"/>
      <c r="AC77" s="403"/>
      <c r="AD77" s="403"/>
      <c r="AE77" s="403"/>
      <c r="AF77" s="403"/>
      <c r="AG77" s="403"/>
      <c r="AH77" s="403"/>
      <c r="AI77" s="403" t="s">
        <v>3195</v>
      </c>
      <c r="AJ77" s="403"/>
      <c r="AK77" s="403"/>
      <c r="AL77" s="403"/>
      <c r="AM77" s="403"/>
      <c r="AN77" s="403" t="s">
        <v>8371</v>
      </c>
      <c r="AO77" s="403"/>
      <c r="AP77" s="403"/>
      <c r="AQ77" s="403"/>
      <c r="AR77" s="403"/>
      <c r="AS77" s="403"/>
      <c r="AT77" s="403"/>
      <c r="AU77" s="403"/>
      <c r="AV77" s="403"/>
      <c r="AW77" s="403"/>
      <c r="AX77" s="403"/>
      <c r="AY77" s="403"/>
      <c r="AZ77" s="403"/>
      <c r="BA77" s="403"/>
      <c r="BB77" s="403" t="s">
        <v>10709</v>
      </c>
      <c r="BC77" s="403"/>
      <c r="BD77" s="403"/>
      <c r="BE77" s="403"/>
      <c r="BF77" s="403"/>
      <c r="BG77" s="403" t="s">
        <v>10226</v>
      </c>
      <c r="BH77" s="403"/>
      <c r="BI77" s="403"/>
      <c r="BJ77" s="403"/>
      <c r="BK77" s="403"/>
      <c r="BL77" s="403"/>
      <c r="BM77" s="403"/>
      <c r="BN77" s="403"/>
      <c r="BO77" s="403"/>
      <c r="BP77" s="403"/>
      <c r="BQ77" s="403"/>
      <c r="BR77" s="403"/>
      <c r="BS77" s="403"/>
      <c r="BT77" s="403"/>
      <c r="BU77" s="403" t="s">
        <v>10710</v>
      </c>
      <c r="BV77" s="403"/>
      <c r="BW77" s="403"/>
      <c r="BX77" s="403"/>
      <c r="BY77" s="403"/>
      <c r="BZ77" s="403" t="s">
        <v>8375</v>
      </c>
      <c r="CA77" s="403"/>
      <c r="CB77" s="403"/>
      <c r="CC77" s="403"/>
      <c r="CD77" s="403"/>
      <c r="CE77" s="403"/>
      <c r="CF77" s="403"/>
      <c r="CG77" s="403"/>
      <c r="CH77" s="403"/>
      <c r="CI77" s="403"/>
      <c r="CJ77" s="403"/>
      <c r="CK77" s="403"/>
      <c r="CL77" s="403"/>
      <c r="CM77" s="403"/>
      <c r="CN77" s="403" t="s">
        <v>10711</v>
      </c>
      <c r="CO77" s="403"/>
      <c r="CP77" s="403"/>
      <c r="CQ77" s="403"/>
      <c r="CR77" s="403"/>
      <c r="CS77" s="403" t="s">
        <v>8375</v>
      </c>
      <c r="CT77" s="403"/>
      <c r="CU77" s="403"/>
      <c r="CV77" s="403"/>
      <c r="CW77" s="403"/>
      <c r="CX77" s="403"/>
      <c r="CY77" s="403"/>
      <c r="CZ77" s="403"/>
      <c r="DA77" s="403"/>
      <c r="DB77" s="403"/>
      <c r="DC77" s="403"/>
      <c r="DD77" s="403"/>
      <c r="DE77" s="403"/>
      <c r="DF77" s="403"/>
      <c r="DG77" s="403" t="s">
        <v>10712</v>
      </c>
      <c r="DH77" s="403"/>
      <c r="DI77" s="403"/>
      <c r="DJ77" s="403"/>
      <c r="DK77" s="403"/>
      <c r="DL77" s="403" t="s">
        <v>8378</v>
      </c>
      <c r="DM77" s="403"/>
      <c r="DN77" s="403"/>
      <c r="DO77" s="403"/>
      <c r="DP77" s="403"/>
      <c r="DQ77" s="403"/>
      <c r="DR77" s="403"/>
      <c r="DS77" s="403"/>
      <c r="DT77" s="403"/>
      <c r="DU77" s="403"/>
      <c r="DV77" s="403"/>
      <c r="DW77" s="403"/>
      <c r="DX77" s="403"/>
      <c r="DY77" s="403"/>
      <c r="DZ77" s="403"/>
      <c r="EA77" s="403"/>
      <c r="EB77" s="403"/>
      <c r="EC77" s="403"/>
      <c r="ED77" s="403"/>
      <c r="EE77" s="403" t="s">
        <v>10256</v>
      </c>
      <c r="EF77" s="403"/>
      <c r="EG77" s="403"/>
      <c r="EH77" s="403"/>
      <c r="EI77" s="403"/>
      <c r="EJ77" s="403"/>
      <c r="EK77" s="403"/>
      <c r="EL77" s="403"/>
      <c r="EM77" s="403"/>
      <c r="EN77" s="403"/>
      <c r="EO77" s="403"/>
      <c r="EP77" s="403"/>
      <c r="EQ77" s="403"/>
      <c r="ER77" s="403"/>
      <c r="ES77" s="403" t="s">
        <v>10713</v>
      </c>
      <c r="ET77" s="403"/>
    </row>
    <row r="78" spans="1:150" s="299" customFormat="1" x14ac:dyDescent="0.2">
      <c r="C78" s="5" t="str">
        <f ca="1">IF(OFFSET(U78,0,Lang_Order*Lang__B4)="","",OFFSET(U78,0,Lang_Order*Lang__B4))</f>
        <v>Refrigerated (2 to 8C)</v>
      </c>
      <c r="J78" s="146" t="e">
        <f t="shared" ref="J78:O78" si="12">SUMPRODUCT($G$70:$G$73,J$70:J$73)</f>
        <v>#N/A</v>
      </c>
      <c r="K78" s="146" t="e">
        <f t="shared" si="12"/>
        <v>#N/A</v>
      </c>
      <c r="L78" s="146" t="e">
        <f t="shared" si="12"/>
        <v>#N/A</v>
      </c>
      <c r="M78" s="146" t="e">
        <f t="shared" si="12"/>
        <v>#N/A</v>
      </c>
      <c r="N78" s="146" t="e">
        <f t="shared" si="12"/>
        <v>#N/A</v>
      </c>
      <c r="O78" s="146" t="e">
        <f t="shared" si="12"/>
        <v>#N/A</v>
      </c>
      <c r="P78" s="26" t="e">
        <f>SUM(J78:O78)</f>
        <v>#N/A</v>
      </c>
      <c r="Q78" s="567"/>
      <c r="R78" s="403"/>
      <c r="S78" s="403"/>
      <c r="T78" s="403"/>
      <c r="U78" s="403" t="s">
        <v>11</v>
      </c>
      <c r="V78" s="403"/>
      <c r="W78" s="403"/>
      <c r="X78" s="403"/>
      <c r="Y78" s="403"/>
      <c r="Z78" s="403"/>
      <c r="AA78" s="403"/>
      <c r="AB78" s="403"/>
      <c r="AC78" s="403"/>
      <c r="AD78" s="403"/>
      <c r="AE78" s="403"/>
      <c r="AF78" s="403"/>
      <c r="AG78" s="403"/>
      <c r="AH78" s="403"/>
      <c r="AI78" s="403"/>
      <c r="AJ78" s="403"/>
      <c r="AK78" s="403"/>
      <c r="AL78" s="403"/>
      <c r="AM78" s="403"/>
      <c r="AN78" s="403" t="s">
        <v>10714</v>
      </c>
      <c r="AO78" s="403"/>
      <c r="AP78" s="403"/>
      <c r="AQ78" s="403"/>
      <c r="AR78" s="403"/>
      <c r="AS78" s="403"/>
      <c r="AT78" s="403"/>
      <c r="AU78" s="403"/>
      <c r="AV78" s="403"/>
      <c r="AW78" s="403"/>
      <c r="AX78" s="403"/>
      <c r="AY78" s="403"/>
      <c r="AZ78" s="403"/>
      <c r="BA78" s="403"/>
      <c r="BB78" s="403"/>
      <c r="BC78" s="403"/>
      <c r="BD78" s="403"/>
      <c r="BE78" s="403"/>
      <c r="BF78" s="403"/>
      <c r="BG78" s="403" t="s">
        <v>10227</v>
      </c>
      <c r="BH78" s="403"/>
      <c r="BI78" s="403"/>
      <c r="BJ78" s="403"/>
      <c r="BK78" s="403"/>
      <c r="BL78" s="403"/>
      <c r="BM78" s="403"/>
      <c r="BN78" s="403"/>
      <c r="BO78" s="403"/>
      <c r="BP78" s="403"/>
      <c r="BQ78" s="403"/>
      <c r="BR78" s="403"/>
      <c r="BS78" s="403"/>
      <c r="BT78" s="403"/>
      <c r="BU78" s="403"/>
      <c r="BV78" s="403"/>
      <c r="BW78" s="403"/>
      <c r="BX78" s="403"/>
      <c r="BY78" s="403"/>
      <c r="BZ78" s="403" t="s">
        <v>10715</v>
      </c>
      <c r="CA78" s="403"/>
      <c r="CB78" s="403"/>
      <c r="CC78" s="403"/>
      <c r="CD78" s="403"/>
      <c r="CE78" s="403"/>
      <c r="CF78" s="403"/>
      <c r="CG78" s="403"/>
      <c r="CH78" s="403"/>
      <c r="CI78" s="403"/>
      <c r="CJ78" s="403"/>
      <c r="CK78" s="403"/>
      <c r="CL78" s="403"/>
      <c r="CM78" s="403"/>
      <c r="CN78" s="403"/>
      <c r="CO78" s="403"/>
      <c r="CP78" s="403"/>
      <c r="CQ78" s="403"/>
      <c r="CR78" s="403"/>
      <c r="CS78" s="403" t="s">
        <v>8384</v>
      </c>
      <c r="CT78" s="403"/>
      <c r="CU78" s="403"/>
      <c r="CV78" s="403"/>
      <c r="CW78" s="403"/>
      <c r="CX78" s="403"/>
      <c r="CY78" s="403"/>
      <c r="CZ78" s="403"/>
      <c r="DA78" s="403"/>
      <c r="DB78" s="403"/>
      <c r="DC78" s="403"/>
      <c r="DD78" s="403"/>
      <c r="DE78" s="403"/>
      <c r="DF78" s="403"/>
      <c r="DG78" s="403"/>
      <c r="DH78" s="403"/>
      <c r="DI78" s="403"/>
      <c r="DJ78" s="403"/>
      <c r="DK78" s="403"/>
      <c r="DL78" s="403" t="s">
        <v>10248</v>
      </c>
      <c r="DM78" s="403"/>
      <c r="DN78" s="403"/>
      <c r="DO78" s="403"/>
      <c r="DP78" s="403"/>
      <c r="DQ78" s="403"/>
      <c r="DR78" s="403"/>
      <c r="DS78" s="403"/>
      <c r="DT78" s="403"/>
      <c r="DU78" s="403"/>
      <c r="DV78" s="403"/>
      <c r="DW78" s="403"/>
      <c r="DX78" s="403"/>
      <c r="DY78" s="403"/>
      <c r="DZ78" s="403" t="s">
        <v>10716</v>
      </c>
      <c r="EA78" s="403"/>
      <c r="EB78" s="403"/>
      <c r="EC78" s="403"/>
      <c r="ED78" s="403"/>
      <c r="EE78" s="403" t="s">
        <v>8387</v>
      </c>
      <c r="EF78" s="403"/>
      <c r="EG78" s="403"/>
      <c r="EH78" s="403"/>
      <c r="EI78" s="403"/>
      <c r="EJ78" s="403"/>
      <c r="EK78" s="403"/>
      <c r="EL78" s="403"/>
      <c r="EM78" s="403"/>
      <c r="EN78" s="403"/>
      <c r="EO78" s="403"/>
      <c r="EP78" s="403"/>
      <c r="EQ78" s="403"/>
      <c r="ER78" s="403"/>
      <c r="ES78" s="403"/>
      <c r="ET78" s="403"/>
    </row>
    <row r="79" spans="1:150" s="299" customFormat="1" x14ac:dyDescent="0.2">
      <c r="C79" s="5" t="str">
        <f ca="1">IF(OFFSET(U79,0,Lang_Order*Lang__B4)="","",OFFSET(U79,0,Lang_Order*Lang__B4))</f>
        <v>Frozen (-20C)</v>
      </c>
      <c r="J79" s="146" t="e">
        <f t="shared" ref="J79:O79" si="13">SUMPRODUCT($H$70:$H$73,J$70:J$73)</f>
        <v>#N/A</v>
      </c>
      <c r="K79" s="146" t="e">
        <f t="shared" si="13"/>
        <v>#N/A</v>
      </c>
      <c r="L79" s="146" t="e">
        <f t="shared" si="13"/>
        <v>#N/A</v>
      </c>
      <c r="M79" s="146" t="e">
        <f t="shared" si="13"/>
        <v>#N/A</v>
      </c>
      <c r="N79" s="146" t="e">
        <f t="shared" si="13"/>
        <v>#N/A</v>
      </c>
      <c r="O79" s="146" t="e">
        <f t="shared" si="13"/>
        <v>#N/A</v>
      </c>
      <c r="P79" s="26" t="e">
        <f>SUM(J79:O79)</f>
        <v>#N/A</v>
      </c>
      <c r="Q79" s="567"/>
      <c r="R79" s="403"/>
      <c r="S79" s="403"/>
      <c r="T79" s="403"/>
      <c r="U79" s="403" t="s">
        <v>12</v>
      </c>
      <c r="V79" s="403"/>
      <c r="W79" s="403"/>
      <c r="X79" s="403"/>
      <c r="Y79" s="403"/>
      <c r="Z79" s="403"/>
      <c r="AA79" s="403"/>
      <c r="AB79" s="403"/>
      <c r="AC79" s="403"/>
      <c r="AD79" s="403"/>
      <c r="AE79" s="403"/>
      <c r="AF79" s="403"/>
      <c r="AG79" s="403"/>
      <c r="AH79" s="403"/>
      <c r="AI79" s="403"/>
      <c r="AJ79" s="403"/>
      <c r="AK79" s="403"/>
      <c r="AL79" s="403"/>
      <c r="AM79" s="403"/>
      <c r="AN79" s="403" t="s">
        <v>10717</v>
      </c>
      <c r="AO79" s="403"/>
      <c r="AP79" s="403"/>
      <c r="AQ79" s="403"/>
      <c r="AR79" s="403"/>
      <c r="AS79" s="403"/>
      <c r="AT79" s="403"/>
      <c r="AU79" s="403"/>
      <c r="AV79" s="403"/>
      <c r="AW79" s="403"/>
      <c r="AX79" s="403"/>
      <c r="AY79" s="403"/>
      <c r="AZ79" s="403"/>
      <c r="BA79" s="403"/>
      <c r="BB79" s="403"/>
      <c r="BC79" s="403"/>
      <c r="BD79" s="403"/>
      <c r="BE79" s="403"/>
      <c r="BF79" s="403"/>
      <c r="BG79" s="403" t="s">
        <v>10228</v>
      </c>
      <c r="BH79" s="403"/>
      <c r="BI79" s="403"/>
      <c r="BJ79" s="403"/>
      <c r="BK79" s="403"/>
      <c r="BL79" s="403"/>
      <c r="BM79" s="403"/>
      <c r="BN79" s="403"/>
      <c r="BO79" s="403"/>
      <c r="BP79" s="403"/>
      <c r="BQ79" s="403"/>
      <c r="BR79" s="403"/>
      <c r="BS79" s="403"/>
      <c r="BT79" s="403"/>
      <c r="BU79" s="403"/>
      <c r="BV79" s="403"/>
      <c r="BW79" s="403"/>
      <c r="BX79" s="403"/>
      <c r="BY79" s="403"/>
      <c r="BZ79" s="403" t="s">
        <v>10718</v>
      </c>
      <c r="CA79" s="403"/>
      <c r="CB79" s="403"/>
      <c r="CC79" s="403"/>
      <c r="CD79" s="403"/>
      <c r="CE79" s="403"/>
      <c r="CF79" s="403"/>
      <c r="CG79" s="403"/>
      <c r="CH79" s="403"/>
      <c r="CI79" s="403"/>
      <c r="CJ79" s="403"/>
      <c r="CK79" s="403"/>
      <c r="CL79" s="403"/>
      <c r="CM79" s="403"/>
      <c r="CN79" s="403"/>
      <c r="CO79" s="403"/>
      <c r="CP79" s="403"/>
      <c r="CQ79" s="403"/>
      <c r="CR79" s="403"/>
      <c r="CS79" s="403" t="s">
        <v>8391</v>
      </c>
      <c r="CT79" s="403"/>
      <c r="CU79" s="403"/>
      <c r="CV79" s="403"/>
      <c r="CW79" s="403"/>
      <c r="CX79" s="403"/>
      <c r="CY79" s="403"/>
      <c r="CZ79" s="403"/>
      <c r="DA79" s="403"/>
      <c r="DB79" s="403"/>
      <c r="DC79" s="403"/>
      <c r="DD79" s="403"/>
      <c r="DE79" s="403"/>
      <c r="DF79" s="403"/>
      <c r="DG79" s="403"/>
      <c r="DH79" s="403"/>
      <c r="DI79" s="403"/>
      <c r="DJ79" s="403"/>
      <c r="DK79" s="403"/>
      <c r="DL79" s="403" t="s">
        <v>10249</v>
      </c>
      <c r="DM79" s="403"/>
      <c r="DN79" s="403"/>
      <c r="DO79" s="403"/>
      <c r="DP79" s="403"/>
      <c r="DQ79" s="403"/>
      <c r="DR79" s="403"/>
      <c r="DS79" s="403"/>
      <c r="DT79" s="403"/>
      <c r="DU79" s="403"/>
      <c r="DV79" s="403"/>
      <c r="DW79" s="403"/>
      <c r="DX79" s="403"/>
      <c r="DY79" s="403"/>
      <c r="DZ79" s="403"/>
      <c r="EA79" s="403"/>
      <c r="EB79" s="403"/>
      <c r="EC79" s="403"/>
      <c r="ED79" s="403"/>
      <c r="EE79" s="403" t="s">
        <v>8393</v>
      </c>
      <c r="EF79" s="403"/>
      <c r="EG79" s="403"/>
      <c r="EH79" s="403"/>
      <c r="EI79" s="403"/>
      <c r="EJ79" s="403"/>
      <c r="EK79" s="403"/>
      <c r="EL79" s="403"/>
      <c r="EM79" s="403"/>
      <c r="EN79" s="403"/>
      <c r="EO79" s="403"/>
      <c r="EP79" s="403"/>
      <c r="EQ79" s="403"/>
      <c r="ER79" s="403"/>
      <c r="ES79" s="403"/>
      <c r="ET79" s="403"/>
    </row>
    <row r="80" spans="1:150" s="299" customFormat="1" x14ac:dyDescent="0.2">
      <c r="A80" s="567"/>
      <c r="C80" s="5" t="str">
        <f ca="1">IF(OFFSET(U80,0,Lang_Order*Lang__B4)="","",OFFSET(U80,0,Lang_Order*Lang__B4))</f>
        <v>Ultra-cold (-60 to -80C)</v>
      </c>
      <c r="J80" s="146" t="e">
        <f>SUMPRODUCT($I$70:$I$73,J$70:J$73)</f>
        <v>#N/A</v>
      </c>
      <c r="K80" s="146" t="e">
        <f t="shared" ref="K80:O80" si="14">SUMPRODUCT($I$70:$I$73,K$70:K$73)</f>
        <v>#N/A</v>
      </c>
      <c r="L80" s="146" t="e">
        <f t="shared" si="14"/>
        <v>#N/A</v>
      </c>
      <c r="M80" s="146" t="e">
        <f t="shared" si="14"/>
        <v>#N/A</v>
      </c>
      <c r="N80" s="146" t="e">
        <f t="shared" si="14"/>
        <v>#N/A</v>
      </c>
      <c r="O80" s="146" t="e">
        <f t="shared" si="14"/>
        <v>#N/A</v>
      </c>
      <c r="P80" s="26" t="e">
        <f>SUM(J80:O80)</f>
        <v>#N/A</v>
      </c>
      <c r="R80" s="403"/>
      <c r="S80" s="403"/>
      <c r="T80" s="403"/>
      <c r="U80" s="403" t="s">
        <v>13</v>
      </c>
      <c r="V80" s="403"/>
      <c r="W80" s="403"/>
      <c r="X80" s="403"/>
      <c r="Y80" s="403"/>
      <c r="Z80" s="403"/>
      <c r="AA80" s="403"/>
      <c r="AB80" s="403"/>
      <c r="AC80" s="403"/>
      <c r="AD80" s="403"/>
      <c r="AE80" s="403"/>
      <c r="AF80" s="403"/>
      <c r="AG80" s="403"/>
      <c r="AH80" s="403"/>
      <c r="AI80" s="403"/>
      <c r="AJ80" s="403"/>
      <c r="AK80" s="403"/>
      <c r="AL80" s="403"/>
      <c r="AM80" s="403"/>
      <c r="AN80" s="403" t="s">
        <v>8394</v>
      </c>
      <c r="AO80" s="403"/>
      <c r="AP80" s="403"/>
      <c r="AQ80" s="403"/>
      <c r="AR80" s="403"/>
      <c r="AS80" s="403"/>
      <c r="AT80" s="403"/>
      <c r="AU80" s="403"/>
      <c r="AV80" s="403"/>
      <c r="AW80" s="403"/>
      <c r="AX80" s="403"/>
      <c r="AY80" s="403"/>
      <c r="AZ80" s="403"/>
      <c r="BA80" s="403"/>
      <c r="BB80" s="403"/>
      <c r="BC80" s="403"/>
      <c r="BD80" s="403"/>
      <c r="BE80" s="403"/>
      <c r="BF80" s="403"/>
      <c r="BG80" s="403" t="s">
        <v>10229</v>
      </c>
      <c r="BH80" s="403"/>
      <c r="BI80" s="403"/>
      <c r="BJ80" s="403"/>
      <c r="BK80" s="403"/>
      <c r="BL80" s="403"/>
      <c r="BM80" s="403"/>
      <c r="BN80" s="403"/>
      <c r="BO80" s="403"/>
      <c r="BP80" s="403"/>
      <c r="BQ80" s="403"/>
      <c r="BR80" s="403"/>
      <c r="BS80" s="403"/>
      <c r="BT80" s="403"/>
      <c r="BU80" s="403"/>
      <c r="BV80" s="403"/>
      <c r="BW80" s="403"/>
      <c r="BX80" s="403"/>
      <c r="BY80" s="403"/>
      <c r="BZ80" s="403" t="s">
        <v>10237</v>
      </c>
      <c r="CA80" s="403"/>
      <c r="CB80" s="403"/>
      <c r="CC80" s="403"/>
      <c r="CD80" s="403"/>
      <c r="CE80" s="403"/>
      <c r="CF80" s="403"/>
      <c r="CG80" s="403"/>
      <c r="CH80" s="403"/>
      <c r="CI80" s="403"/>
      <c r="CJ80" s="403"/>
      <c r="CK80" s="403"/>
      <c r="CL80" s="403"/>
      <c r="CM80" s="403"/>
      <c r="CN80" s="403"/>
      <c r="CO80" s="403"/>
      <c r="CP80" s="403"/>
      <c r="CQ80" s="403"/>
      <c r="CR80" s="403"/>
      <c r="CS80" s="403" t="s">
        <v>8400</v>
      </c>
      <c r="CT80" s="403"/>
      <c r="CU80" s="403"/>
      <c r="CV80" s="403"/>
      <c r="CW80" s="403"/>
      <c r="CX80" s="403"/>
      <c r="CY80" s="403"/>
      <c r="CZ80" s="403"/>
      <c r="DA80" s="403"/>
      <c r="DB80" s="403"/>
      <c r="DC80" s="403"/>
      <c r="DD80" s="403"/>
      <c r="DE80" s="403"/>
      <c r="DF80" s="403"/>
      <c r="DG80" s="403"/>
      <c r="DH80" s="403"/>
      <c r="DI80" s="403"/>
      <c r="DJ80" s="403"/>
      <c r="DK80" s="403"/>
      <c r="DL80" s="403" t="s">
        <v>10250</v>
      </c>
      <c r="DM80" s="403"/>
      <c r="DN80" s="403"/>
      <c r="DO80" s="403"/>
      <c r="DP80" s="403"/>
      <c r="DQ80" s="403"/>
      <c r="DR80" s="403"/>
      <c r="DS80" s="403"/>
      <c r="DT80" s="403"/>
      <c r="DU80" s="403"/>
      <c r="DV80" s="403"/>
      <c r="DW80" s="403"/>
      <c r="DX80" s="403"/>
      <c r="DY80" s="403"/>
      <c r="DZ80" s="403"/>
      <c r="EA80" s="403"/>
      <c r="EB80" s="403"/>
      <c r="EC80" s="403"/>
      <c r="ED80" s="403"/>
      <c r="EE80" s="403" t="s">
        <v>8404</v>
      </c>
      <c r="EF80" s="403"/>
      <c r="EG80" s="403"/>
      <c r="EH80" s="403"/>
      <c r="EI80" s="403"/>
      <c r="EJ80" s="403"/>
      <c r="EK80" s="403"/>
      <c r="EL80" s="403"/>
      <c r="EM80" s="403"/>
      <c r="EN80" s="403"/>
      <c r="EO80" s="403"/>
      <c r="EP80" s="403"/>
      <c r="EQ80" s="403"/>
      <c r="ER80" s="403"/>
      <c r="ES80" s="403"/>
      <c r="ET80" s="403"/>
    </row>
    <row r="81" spans="1:150" s="299" customFormat="1" hidden="1" x14ac:dyDescent="0.2">
      <c r="A81" s="346" t="s">
        <v>14118</v>
      </c>
      <c r="C81" s="72" t="str">
        <f ca="1">IF(OFFSET(U81,0,Lang_Order*Lang__B4)="","",OFFSET(U81,0,Lang_Order*Lang__B4))</f>
        <v>Is ultra-cold chain (UCC) used this period?</v>
      </c>
      <c r="J81" s="2" t="e">
        <f>IF(J80&gt;0,1,0)</f>
        <v>#N/A</v>
      </c>
      <c r="K81" s="2" t="e">
        <f t="shared" ref="K81:O81" si="15">IF(K80&gt;0,1,0)</f>
        <v>#N/A</v>
      </c>
      <c r="L81" s="2" t="e">
        <f t="shared" si="15"/>
        <v>#N/A</v>
      </c>
      <c r="M81" s="2" t="e">
        <f t="shared" si="15"/>
        <v>#N/A</v>
      </c>
      <c r="N81" s="2" t="e">
        <f t="shared" si="15"/>
        <v>#N/A</v>
      </c>
      <c r="O81" s="2" t="e">
        <f t="shared" si="15"/>
        <v>#N/A</v>
      </c>
      <c r="P81" s="256" t="e">
        <f>P78/(Pop_HCW_CS_Sites*P278)</f>
        <v>#N/A</v>
      </c>
      <c r="Q81" s="489" t="s">
        <v>3951</v>
      </c>
      <c r="R81" s="403"/>
      <c r="S81" s="403"/>
      <c r="T81" s="403"/>
      <c r="U81" s="403" t="s">
        <v>13274</v>
      </c>
      <c r="V81" s="403"/>
      <c r="W81" s="403"/>
      <c r="X81" s="403"/>
      <c r="Y81" s="403"/>
      <c r="Z81" s="403"/>
      <c r="AA81" s="403"/>
      <c r="AB81" s="403"/>
      <c r="AC81" s="403"/>
      <c r="AD81" s="403"/>
      <c r="AE81" s="403"/>
      <c r="AF81" s="403"/>
      <c r="AG81" s="403"/>
      <c r="AH81" s="403"/>
      <c r="AI81" s="403"/>
      <c r="AJ81" s="403"/>
      <c r="AK81" s="403"/>
      <c r="AL81" s="403"/>
      <c r="AM81" s="403"/>
      <c r="AN81" s="403" t="s">
        <v>13285</v>
      </c>
      <c r="AO81" s="403"/>
      <c r="AP81" s="403"/>
      <c r="AQ81" s="403"/>
      <c r="AR81" s="403"/>
      <c r="AS81" s="403"/>
      <c r="AT81" s="403"/>
      <c r="AU81" s="403"/>
      <c r="AV81" s="403"/>
      <c r="AW81" s="403"/>
      <c r="AX81" s="403"/>
      <c r="AY81" s="403"/>
      <c r="AZ81" s="403"/>
      <c r="BA81" s="403"/>
      <c r="BB81" s="403"/>
      <c r="BC81" s="403"/>
      <c r="BD81" s="403"/>
      <c r="BE81" s="403"/>
      <c r="BF81" s="403"/>
      <c r="BG81" s="403" t="s">
        <v>13286</v>
      </c>
      <c r="BH81" s="403"/>
      <c r="BI81" s="403"/>
      <c r="BJ81" s="403"/>
      <c r="BK81" s="403"/>
      <c r="BL81" s="403"/>
      <c r="BM81" s="403"/>
      <c r="BN81" s="403"/>
      <c r="BO81" s="403"/>
      <c r="BP81" s="403"/>
      <c r="BQ81" s="403"/>
      <c r="BR81" s="403"/>
      <c r="BS81" s="403"/>
      <c r="BT81" s="403"/>
      <c r="BU81" s="403"/>
      <c r="BV81" s="403"/>
      <c r="BW81" s="403"/>
      <c r="BX81" s="403"/>
      <c r="BY81" s="403"/>
      <c r="BZ81" s="403" t="s">
        <v>13275</v>
      </c>
      <c r="CA81" s="403"/>
      <c r="CB81" s="403"/>
      <c r="CC81" s="403"/>
      <c r="CD81" s="403"/>
      <c r="CE81" s="403"/>
      <c r="CF81" s="403"/>
      <c r="CG81" s="403"/>
      <c r="CH81" s="403"/>
      <c r="CI81" s="403"/>
      <c r="CJ81" s="403"/>
      <c r="CK81" s="403"/>
      <c r="CL81" s="403"/>
      <c r="CM81" s="403"/>
      <c r="CN81" s="403"/>
      <c r="CO81" s="403"/>
      <c r="CP81" s="403"/>
      <c r="CQ81" s="403"/>
      <c r="CR81" s="403"/>
      <c r="CS81" s="403" t="s">
        <v>13276</v>
      </c>
      <c r="CT81" s="403"/>
      <c r="CU81" s="403"/>
      <c r="CV81" s="403"/>
      <c r="CW81" s="403"/>
      <c r="CX81" s="403"/>
      <c r="CY81" s="403"/>
      <c r="CZ81" s="403"/>
      <c r="DA81" s="403"/>
      <c r="DB81" s="403"/>
      <c r="DC81" s="403"/>
      <c r="DD81" s="403"/>
      <c r="DE81" s="403"/>
      <c r="DF81" s="403"/>
      <c r="DG81" s="403"/>
      <c r="DH81" s="403"/>
      <c r="DI81" s="403"/>
      <c r="DJ81" s="403"/>
      <c r="DK81" s="403"/>
      <c r="DL81" s="403" t="s">
        <v>13277</v>
      </c>
      <c r="DM81" s="403"/>
      <c r="DN81" s="403"/>
      <c r="DO81" s="403"/>
      <c r="DP81" s="403"/>
      <c r="DQ81" s="403"/>
      <c r="DR81" s="403"/>
      <c r="DS81" s="403"/>
      <c r="DT81" s="403"/>
      <c r="DU81" s="403"/>
      <c r="DV81" s="403"/>
      <c r="DW81" s="403"/>
      <c r="DX81" s="403"/>
      <c r="DY81" s="403"/>
      <c r="DZ81" s="403"/>
      <c r="EA81" s="403"/>
      <c r="EB81" s="403"/>
      <c r="EC81" s="403"/>
      <c r="ED81" s="403"/>
      <c r="EE81" s="403" t="s">
        <v>13278</v>
      </c>
      <c r="EF81" s="403"/>
      <c r="EG81" s="403"/>
      <c r="EH81" s="403"/>
      <c r="EI81" s="403"/>
      <c r="EJ81" s="403"/>
      <c r="EK81" s="403"/>
      <c r="EL81" s="403"/>
      <c r="EM81" s="403"/>
      <c r="EN81" s="403"/>
      <c r="EO81" s="403"/>
      <c r="EP81" s="403"/>
      <c r="EQ81" s="403"/>
      <c r="ER81" s="403"/>
      <c r="ES81" s="403"/>
      <c r="ET81" s="403"/>
    </row>
    <row r="82" spans="1:150" s="299" customFormat="1" x14ac:dyDescent="0.2">
      <c r="P82" s="256" t="e">
        <f>P79/(Pop_HCW_CS_Sites*P279)</f>
        <v>#N/A</v>
      </c>
      <c r="Q82" s="489" t="s">
        <v>3951</v>
      </c>
      <c r="R82" s="403"/>
      <c r="S82" s="403"/>
      <c r="T82" s="403"/>
      <c r="U82" s="403"/>
      <c r="V82" s="403"/>
      <c r="W82" s="403"/>
      <c r="X82" s="403"/>
      <c r="Y82" s="403"/>
      <c r="Z82" s="403"/>
      <c r="AA82" s="403"/>
      <c r="AB82" s="403"/>
      <c r="AC82" s="403"/>
      <c r="AD82" s="403"/>
      <c r="AE82" s="403"/>
      <c r="AF82" s="403"/>
      <c r="AG82" s="403"/>
      <c r="AH82" s="403"/>
      <c r="AI82" s="403"/>
      <c r="AJ82" s="403"/>
      <c r="AK82" s="403"/>
      <c r="AL82" s="403"/>
      <c r="AM82" s="403"/>
      <c r="AN82" s="403"/>
      <c r="AO82" s="403"/>
      <c r="AP82" s="403"/>
      <c r="AQ82" s="403"/>
      <c r="AR82" s="403"/>
      <c r="AS82" s="403"/>
      <c r="AT82" s="403"/>
      <c r="AU82" s="403"/>
      <c r="AV82" s="403"/>
      <c r="AW82" s="403"/>
      <c r="AX82" s="403"/>
      <c r="AY82" s="403"/>
      <c r="AZ82" s="403"/>
      <c r="BA82" s="403"/>
      <c r="BB82" s="403"/>
      <c r="BC82" s="403"/>
      <c r="BD82" s="403"/>
      <c r="BE82" s="403"/>
      <c r="BF82" s="403"/>
      <c r="BG82" s="403"/>
      <c r="BH82" s="403"/>
      <c r="BI82" s="403"/>
      <c r="BJ82" s="403"/>
      <c r="BK82" s="403"/>
      <c r="BL82" s="403"/>
      <c r="BM82" s="403"/>
      <c r="BN82" s="403"/>
      <c r="BO82" s="403"/>
      <c r="BP82" s="403"/>
      <c r="BQ82" s="403"/>
      <c r="BR82" s="403"/>
      <c r="BS82" s="403"/>
      <c r="BT82" s="403"/>
      <c r="BU82" s="403"/>
      <c r="BV82" s="403"/>
      <c r="BW82" s="403"/>
      <c r="BX82" s="403"/>
      <c r="BY82" s="403"/>
      <c r="BZ82" s="403"/>
      <c r="CA82" s="403"/>
      <c r="CB82" s="403"/>
      <c r="CC82" s="403"/>
      <c r="CD82" s="403"/>
      <c r="CE82" s="403"/>
      <c r="CF82" s="403"/>
      <c r="CG82" s="403"/>
      <c r="CH82" s="403"/>
      <c r="CI82" s="403"/>
      <c r="CJ82" s="403"/>
      <c r="CK82" s="403"/>
      <c r="CL82" s="403"/>
      <c r="CM82" s="403"/>
      <c r="CN82" s="403"/>
      <c r="CO82" s="403"/>
      <c r="CP82" s="403"/>
      <c r="CQ82" s="403"/>
      <c r="CR82" s="403"/>
      <c r="CS82" s="403"/>
      <c r="CT82" s="403"/>
      <c r="CU82" s="403"/>
      <c r="CV82" s="403"/>
      <c r="CW82" s="403"/>
      <c r="CX82" s="403"/>
      <c r="CY82" s="403"/>
      <c r="CZ82" s="403"/>
      <c r="DA82" s="403"/>
      <c r="DB82" s="403"/>
      <c r="DC82" s="403"/>
      <c r="DD82" s="403"/>
      <c r="DE82" s="403"/>
      <c r="DF82" s="403"/>
      <c r="DG82" s="403"/>
      <c r="DH82" s="403"/>
      <c r="DI82" s="403"/>
      <c r="DJ82" s="403"/>
      <c r="DK82" s="403"/>
      <c r="DL82" s="403"/>
      <c r="DM82" s="403"/>
      <c r="DN82" s="403"/>
      <c r="DO82" s="403"/>
      <c r="DP82" s="403"/>
      <c r="DQ82" s="403"/>
      <c r="DR82" s="403"/>
      <c r="DS82" s="403"/>
      <c r="DT82" s="403"/>
      <c r="DU82" s="403"/>
      <c r="DV82" s="403"/>
      <c r="DW82" s="403"/>
      <c r="DX82" s="403"/>
      <c r="DY82" s="403"/>
      <c r="DZ82" s="403"/>
      <c r="EA82" s="403"/>
      <c r="EB82" s="403"/>
      <c r="EC82" s="403"/>
      <c r="ED82" s="403"/>
      <c r="EE82" s="403"/>
      <c r="EF82" s="403"/>
      <c r="EG82" s="403"/>
      <c r="EH82" s="403"/>
      <c r="EI82" s="403"/>
      <c r="EJ82" s="403"/>
      <c r="EK82" s="403"/>
      <c r="EL82" s="403"/>
      <c r="EM82" s="403"/>
      <c r="EN82" s="403"/>
      <c r="EO82" s="403"/>
      <c r="EP82" s="403"/>
      <c r="EQ82" s="403"/>
      <c r="ER82" s="403"/>
      <c r="ES82" s="403"/>
      <c r="ET82" s="403"/>
    </row>
    <row r="83" spans="1:150" s="299" customFormat="1" x14ac:dyDescent="0.2">
      <c r="B83" s="624" t="str">
        <f ca="1">IF(OFFSET(T83,0,Lang_Order*Lang__B4)="","",OFFSET(T83,0,Lang_Order*Lang__B4))</f>
        <v>Maintenance costs from PATH TCO tool http://www.coldchaintco.org/calculate?t=TCO_DETAILED</v>
      </c>
      <c r="J83" s="34" t="str">
        <f ca="1">IF(OFFSET(AB83,0,Lang_Order*Lang__B4)="","",OFFSET(AB83,0,Lang_Order*Lang__B4))</f>
        <v>Spare Parts Per 10-years</v>
      </c>
      <c r="K83" s="34" t="str">
        <f ca="1">IF(OFFSET(AC83,0,Lang_Order*Lang__B4)="","",OFFSET(AC83,0,Lang_Order*Lang__B4))</f>
        <v>Maintenance &amp; Repairs per 10 years</v>
      </c>
      <c r="L83" s="34" t="str">
        <f ca="1">IF(OFFSET(AD83,0,Lang_Order*Lang__B4)="","",OFFSET(AD83,0,Lang_Order*Lang__B4))</f>
        <v>Per Time Period</v>
      </c>
      <c r="R83" s="403"/>
      <c r="S83" s="403"/>
      <c r="T83" s="403" t="s">
        <v>4183</v>
      </c>
      <c r="U83" s="403"/>
      <c r="V83" s="403"/>
      <c r="W83" s="403"/>
      <c r="X83" s="403"/>
      <c r="Y83" s="403"/>
      <c r="Z83" s="403"/>
      <c r="AA83" s="403"/>
      <c r="AB83" s="403" t="s">
        <v>3953</v>
      </c>
      <c r="AC83" s="403" t="s">
        <v>3954</v>
      </c>
      <c r="AD83" s="403" t="s">
        <v>3952</v>
      </c>
      <c r="AE83" s="403"/>
      <c r="AF83" s="403"/>
      <c r="AG83" s="403"/>
      <c r="AH83" s="403"/>
      <c r="AI83" s="403"/>
      <c r="AJ83" s="403"/>
      <c r="AK83" s="403"/>
      <c r="AL83" s="403"/>
      <c r="AM83" s="403" t="s">
        <v>10719</v>
      </c>
      <c r="AN83" s="403"/>
      <c r="AO83" s="403"/>
      <c r="AP83" s="403"/>
      <c r="AQ83" s="403"/>
      <c r="AR83" s="403"/>
      <c r="AS83" s="403"/>
      <c r="AT83" s="403"/>
      <c r="AU83" s="403" t="s">
        <v>10720</v>
      </c>
      <c r="AV83" s="403" t="s">
        <v>10721</v>
      </c>
      <c r="AW83" s="403" t="s">
        <v>10722</v>
      </c>
      <c r="AX83" s="403"/>
      <c r="AY83" s="403"/>
      <c r="AZ83" s="403"/>
      <c r="BA83" s="403"/>
      <c r="BB83" s="403"/>
      <c r="BC83" s="403"/>
      <c r="BD83" s="403"/>
      <c r="BE83" s="403"/>
      <c r="BF83" s="403" t="s">
        <v>10723</v>
      </c>
      <c r="BG83" s="403"/>
      <c r="BH83" s="403"/>
      <c r="BI83" s="403"/>
      <c r="BJ83" s="403"/>
      <c r="BK83" s="403"/>
      <c r="BL83" s="403"/>
      <c r="BM83" s="403"/>
      <c r="BN83" s="403" t="s">
        <v>10724</v>
      </c>
      <c r="BO83" s="403" t="s">
        <v>10725</v>
      </c>
      <c r="BP83" s="403" t="s">
        <v>10726</v>
      </c>
      <c r="BQ83" s="403"/>
      <c r="BR83" s="403"/>
      <c r="BS83" s="403"/>
      <c r="BT83" s="403"/>
      <c r="BU83" s="403"/>
      <c r="BV83" s="403"/>
      <c r="BW83" s="403"/>
      <c r="BX83" s="403"/>
      <c r="BY83" s="403" t="s">
        <v>10727</v>
      </c>
      <c r="BZ83" s="403"/>
      <c r="CA83" s="403"/>
      <c r="CB83" s="403"/>
      <c r="CC83" s="403"/>
      <c r="CD83" s="403"/>
      <c r="CE83" s="403"/>
      <c r="CF83" s="403"/>
      <c r="CG83" s="403" t="s">
        <v>10728</v>
      </c>
      <c r="CH83" s="403" t="s">
        <v>10729</v>
      </c>
      <c r="CI83" s="403" t="s">
        <v>10730</v>
      </c>
      <c r="CJ83" s="403"/>
      <c r="CK83" s="403"/>
      <c r="CL83" s="403"/>
      <c r="CM83" s="403"/>
      <c r="CN83" s="403"/>
      <c r="CO83" s="403"/>
      <c r="CP83" s="403"/>
      <c r="CQ83" s="403"/>
      <c r="CR83" s="403" t="s">
        <v>10731</v>
      </c>
      <c r="CS83" s="403"/>
      <c r="CT83" s="403"/>
      <c r="CU83" s="403"/>
      <c r="CV83" s="403"/>
      <c r="CW83" s="403"/>
      <c r="CX83" s="403"/>
      <c r="CY83" s="403"/>
      <c r="CZ83" s="403" t="s">
        <v>10732</v>
      </c>
      <c r="DA83" s="403" t="s">
        <v>10733</v>
      </c>
      <c r="DB83" s="403" t="s">
        <v>10734</v>
      </c>
      <c r="DC83" s="403"/>
      <c r="DD83" s="403"/>
      <c r="DE83" s="403"/>
      <c r="DF83" s="403"/>
      <c r="DG83" s="403"/>
      <c r="DH83" s="403"/>
      <c r="DI83" s="403"/>
      <c r="DJ83" s="403"/>
      <c r="DK83" s="403" t="s">
        <v>10735</v>
      </c>
      <c r="DL83" s="403"/>
      <c r="DM83" s="403"/>
      <c r="DN83" s="403"/>
      <c r="DO83" s="403"/>
      <c r="DP83" s="403"/>
      <c r="DQ83" s="403"/>
      <c r="DR83" s="403"/>
      <c r="DS83" s="403" t="s">
        <v>10736</v>
      </c>
      <c r="DT83" s="403" t="s">
        <v>10737</v>
      </c>
      <c r="DU83" s="403" t="s">
        <v>10738</v>
      </c>
      <c r="DV83" s="403"/>
      <c r="DW83" s="403"/>
      <c r="DX83" s="403"/>
      <c r="DY83" s="403"/>
      <c r="DZ83" s="403"/>
      <c r="EA83" s="403"/>
      <c r="EB83" s="403"/>
      <c r="EC83" s="403"/>
      <c r="ED83" s="403" t="s">
        <v>10739</v>
      </c>
      <c r="EE83" s="403"/>
      <c r="EF83" s="403"/>
      <c r="EG83" s="403"/>
      <c r="EH83" s="403"/>
      <c r="EI83" s="403"/>
      <c r="EJ83" s="403"/>
      <c r="EK83" s="403"/>
      <c r="EL83" s="403" t="s">
        <v>10740</v>
      </c>
      <c r="EM83" s="403" t="s">
        <v>10741</v>
      </c>
      <c r="EN83" s="403" t="s">
        <v>10742</v>
      </c>
      <c r="EO83" s="403"/>
      <c r="EP83" s="403"/>
      <c r="EQ83" s="403"/>
      <c r="ER83" s="403"/>
      <c r="ES83" s="403"/>
      <c r="ET83" s="403"/>
    </row>
    <row r="84" spans="1:150" s="299" customFormat="1" x14ac:dyDescent="0.2">
      <c r="D84" s="299" t="str">
        <f ca="1">IF(OFFSET(V84,0,Lang_Order*Lang__B4)="","",OFFSET(V84,0,Lang_Order*Lang__B4))</f>
        <v>Walk-in Cold Room or Freezer Room (WICR/FR)</v>
      </c>
      <c r="J84" s="243">
        <v>0</v>
      </c>
      <c r="K84" s="243">
        <v>840</v>
      </c>
      <c r="L84" s="11">
        <f>(J84+K84)/20</f>
        <v>42</v>
      </c>
      <c r="R84" s="403"/>
      <c r="S84" s="403"/>
      <c r="T84" s="403"/>
      <c r="U84" s="403"/>
      <c r="V84" s="403" t="s">
        <v>4191</v>
      </c>
      <c r="W84" s="403"/>
      <c r="X84" s="403"/>
      <c r="Y84" s="403"/>
      <c r="Z84" s="403"/>
      <c r="AA84" s="403"/>
      <c r="AB84" s="403"/>
      <c r="AC84" s="403"/>
      <c r="AD84" s="403"/>
      <c r="AE84" s="403"/>
      <c r="AF84" s="403"/>
      <c r="AG84" s="403"/>
      <c r="AH84" s="403"/>
      <c r="AI84" s="403"/>
      <c r="AJ84" s="403"/>
      <c r="AK84" s="403"/>
      <c r="AL84" s="403"/>
      <c r="AM84" s="403"/>
      <c r="AN84" s="403"/>
      <c r="AO84" s="403" t="s">
        <v>10743</v>
      </c>
      <c r="AP84" s="403"/>
      <c r="AQ84" s="403"/>
      <c r="AR84" s="403"/>
      <c r="AS84" s="403"/>
      <c r="AT84" s="403"/>
      <c r="AU84" s="403"/>
      <c r="AV84" s="403"/>
      <c r="AW84" s="403"/>
      <c r="AX84" s="403"/>
      <c r="AY84" s="403"/>
      <c r="AZ84" s="403"/>
      <c r="BA84" s="403"/>
      <c r="BB84" s="403"/>
      <c r="BC84" s="403"/>
      <c r="BD84" s="403"/>
      <c r="BE84" s="403"/>
      <c r="BF84" s="403"/>
      <c r="BG84" s="403"/>
      <c r="BH84" s="403" t="s">
        <v>10744</v>
      </c>
      <c r="BI84" s="403"/>
      <c r="BJ84" s="403"/>
      <c r="BK84" s="403"/>
      <c r="BL84" s="403"/>
      <c r="BM84" s="403"/>
      <c r="BN84" s="403"/>
      <c r="BO84" s="403"/>
      <c r="BP84" s="403"/>
      <c r="BQ84" s="403"/>
      <c r="BR84" s="403"/>
      <c r="BS84" s="403"/>
      <c r="BT84" s="403"/>
      <c r="BU84" s="403"/>
      <c r="BV84" s="403"/>
      <c r="BW84" s="403"/>
      <c r="BX84" s="403"/>
      <c r="BY84" s="403"/>
      <c r="BZ84" s="403"/>
      <c r="CA84" s="403" t="s">
        <v>10745</v>
      </c>
      <c r="CB84" s="403"/>
      <c r="CC84" s="403"/>
      <c r="CD84" s="403"/>
      <c r="CE84" s="403"/>
      <c r="CF84" s="403"/>
      <c r="CG84" s="403"/>
      <c r="CH84" s="403"/>
      <c r="CI84" s="403"/>
      <c r="CJ84" s="403"/>
      <c r="CK84" s="403"/>
      <c r="CL84" s="403"/>
      <c r="CM84" s="403"/>
      <c r="CN84" s="403"/>
      <c r="CO84" s="403"/>
      <c r="CP84" s="403"/>
      <c r="CQ84" s="403"/>
      <c r="CR84" s="403"/>
      <c r="CS84" s="403"/>
      <c r="CT84" s="403" t="s">
        <v>10746</v>
      </c>
      <c r="CU84" s="403"/>
      <c r="CV84" s="403"/>
      <c r="CW84" s="403"/>
      <c r="CX84" s="403"/>
      <c r="CY84" s="403"/>
      <c r="CZ84" s="403"/>
      <c r="DA84" s="403"/>
      <c r="DB84" s="403"/>
      <c r="DC84" s="403"/>
      <c r="DD84" s="403"/>
      <c r="DE84" s="403"/>
      <c r="DF84" s="403"/>
      <c r="DG84" s="403"/>
      <c r="DH84" s="403"/>
      <c r="DI84" s="403"/>
      <c r="DJ84" s="403"/>
      <c r="DK84" s="403"/>
      <c r="DL84" s="403"/>
      <c r="DM84" s="403" t="s">
        <v>10747</v>
      </c>
      <c r="DN84" s="403"/>
      <c r="DO84" s="403"/>
      <c r="DP84" s="403"/>
      <c r="DQ84" s="403"/>
      <c r="DR84" s="403"/>
      <c r="DS84" s="403"/>
      <c r="DT84" s="403"/>
      <c r="DU84" s="403"/>
      <c r="DV84" s="403"/>
      <c r="DW84" s="403"/>
      <c r="DX84" s="403"/>
      <c r="DY84" s="403"/>
      <c r="DZ84" s="403"/>
      <c r="EA84" s="403"/>
      <c r="EB84" s="403"/>
      <c r="EC84" s="403"/>
      <c r="ED84" s="403"/>
      <c r="EE84" s="403"/>
      <c r="EF84" s="403" t="s">
        <v>10748</v>
      </c>
      <c r="EG84" s="403"/>
      <c r="EH84" s="403"/>
      <c r="EI84" s="403"/>
      <c r="EJ84" s="403"/>
      <c r="EK84" s="403"/>
      <c r="EL84" s="403"/>
      <c r="EM84" s="403"/>
      <c r="EN84" s="403"/>
      <c r="EO84" s="403"/>
      <c r="EP84" s="403"/>
      <c r="EQ84" s="403"/>
      <c r="ER84" s="403"/>
      <c r="ES84" s="403"/>
      <c r="ET84" s="403"/>
    </row>
    <row r="85" spans="1:150" s="299" customFormat="1" x14ac:dyDescent="0.2">
      <c r="D85" s="299" t="str">
        <f ca="1">IF(OFFSET(V85,0,Lang_Order*Lang__B4)="","",OFFSET(V85,0,Lang_Order*Lang__B4))</f>
        <v>Ice-lined Refridgerator (ILR)</v>
      </c>
      <c r="J85" s="243">
        <v>51</v>
      </c>
      <c r="K85" s="243">
        <v>983</v>
      </c>
      <c r="L85" s="11">
        <f t="shared" ref="L85:L88" si="16">(J85+K85)/20</f>
        <v>51.7</v>
      </c>
      <c r="R85" s="403"/>
      <c r="S85" s="403"/>
      <c r="T85" s="403"/>
      <c r="U85" s="403"/>
      <c r="V85" s="403" t="s">
        <v>4192</v>
      </c>
      <c r="W85" s="403"/>
      <c r="X85" s="403"/>
      <c r="Y85" s="403"/>
      <c r="Z85" s="403"/>
      <c r="AA85" s="403"/>
      <c r="AB85" s="403"/>
      <c r="AC85" s="403"/>
      <c r="AD85" s="403"/>
      <c r="AE85" s="403"/>
      <c r="AF85" s="403"/>
      <c r="AG85" s="403"/>
      <c r="AH85" s="403"/>
      <c r="AI85" s="403"/>
      <c r="AJ85" s="403"/>
      <c r="AK85" s="403"/>
      <c r="AL85" s="403"/>
      <c r="AM85" s="403"/>
      <c r="AN85" s="403"/>
      <c r="AO85" s="403" t="s">
        <v>10749</v>
      </c>
      <c r="AP85" s="403"/>
      <c r="AQ85" s="403"/>
      <c r="AR85" s="403"/>
      <c r="AS85" s="403"/>
      <c r="AT85" s="403"/>
      <c r="AU85" s="403"/>
      <c r="AV85" s="403"/>
      <c r="AW85" s="403"/>
      <c r="AX85" s="403"/>
      <c r="AY85" s="403"/>
      <c r="AZ85" s="403"/>
      <c r="BA85" s="403"/>
      <c r="BB85" s="403"/>
      <c r="BC85" s="403"/>
      <c r="BD85" s="403"/>
      <c r="BE85" s="403"/>
      <c r="BF85" s="403"/>
      <c r="BG85" s="403"/>
      <c r="BH85" s="403" t="s">
        <v>10750</v>
      </c>
      <c r="BI85" s="403"/>
      <c r="BJ85" s="403"/>
      <c r="BK85" s="403"/>
      <c r="BL85" s="403"/>
      <c r="BM85" s="403"/>
      <c r="BN85" s="403"/>
      <c r="BO85" s="403"/>
      <c r="BP85" s="403"/>
      <c r="BQ85" s="403"/>
      <c r="BR85" s="403"/>
      <c r="BS85" s="403"/>
      <c r="BT85" s="403"/>
      <c r="BU85" s="403"/>
      <c r="BV85" s="403"/>
      <c r="BW85" s="403"/>
      <c r="BX85" s="403"/>
      <c r="BY85" s="403"/>
      <c r="BZ85" s="403"/>
      <c r="CA85" s="403" t="s">
        <v>10751</v>
      </c>
      <c r="CB85" s="403"/>
      <c r="CC85" s="403"/>
      <c r="CD85" s="403"/>
      <c r="CE85" s="403"/>
      <c r="CF85" s="403"/>
      <c r="CG85" s="403"/>
      <c r="CH85" s="403"/>
      <c r="CI85" s="403"/>
      <c r="CJ85" s="403"/>
      <c r="CK85" s="403"/>
      <c r="CL85" s="403"/>
      <c r="CM85" s="403"/>
      <c r="CN85" s="403"/>
      <c r="CO85" s="403"/>
      <c r="CP85" s="403"/>
      <c r="CQ85" s="403"/>
      <c r="CR85" s="403"/>
      <c r="CS85" s="403"/>
      <c r="CT85" s="403" t="s">
        <v>10752</v>
      </c>
      <c r="CU85" s="403"/>
      <c r="CV85" s="403"/>
      <c r="CW85" s="403"/>
      <c r="CX85" s="403"/>
      <c r="CY85" s="403"/>
      <c r="CZ85" s="403"/>
      <c r="DA85" s="403"/>
      <c r="DB85" s="403"/>
      <c r="DC85" s="403"/>
      <c r="DD85" s="403"/>
      <c r="DE85" s="403"/>
      <c r="DF85" s="403"/>
      <c r="DG85" s="403"/>
      <c r="DH85" s="403"/>
      <c r="DI85" s="403"/>
      <c r="DJ85" s="403"/>
      <c r="DK85" s="403"/>
      <c r="DL85" s="403"/>
      <c r="DM85" s="403" t="s">
        <v>10753</v>
      </c>
      <c r="DN85" s="403"/>
      <c r="DO85" s="403"/>
      <c r="DP85" s="403"/>
      <c r="DQ85" s="403"/>
      <c r="DR85" s="403"/>
      <c r="DS85" s="403"/>
      <c r="DT85" s="403"/>
      <c r="DU85" s="403"/>
      <c r="DV85" s="403"/>
      <c r="DW85" s="403"/>
      <c r="DX85" s="403"/>
      <c r="DY85" s="403"/>
      <c r="DZ85" s="403"/>
      <c r="EA85" s="403"/>
      <c r="EB85" s="403"/>
      <c r="EC85" s="403"/>
      <c r="ED85" s="403"/>
      <c r="EE85" s="403"/>
      <c r="EF85" s="403" t="s">
        <v>10754</v>
      </c>
      <c r="EG85" s="403"/>
      <c r="EH85" s="403"/>
      <c r="EI85" s="403"/>
      <c r="EJ85" s="403"/>
      <c r="EK85" s="403"/>
      <c r="EL85" s="403"/>
      <c r="EM85" s="403"/>
      <c r="EN85" s="403"/>
      <c r="EO85" s="403"/>
      <c r="EP85" s="403"/>
      <c r="EQ85" s="403"/>
      <c r="ER85" s="403"/>
      <c r="ES85" s="403"/>
      <c r="ET85" s="403"/>
    </row>
    <row r="86" spans="1:150" s="299" customFormat="1" x14ac:dyDescent="0.2">
      <c r="D86" s="299" t="str">
        <f ca="1">IF(OFFSET(V86,0,Lang_Order*Lang__B4)="","",OFFSET(V86,0,Lang_Order*Lang__B4))</f>
        <v>Freezer</v>
      </c>
      <c r="J86" s="243">
        <v>42</v>
      </c>
      <c r="K86" s="243">
        <v>997</v>
      </c>
      <c r="L86" s="11">
        <f t="shared" si="16"/>
        <v>51.95</v>
      </c>
      <c r="R86" s="403"/>
      <c r="S86" s="403"/>
      <c r="T86" s="403"/>
      <c r="U86" s="403"/>
      <c r="V86" s="403" t="s">
        <v>3955</v>
      </c>
      <c r="W86" s="403"/>
      <c r="X86" s="403"/>
      <c r="Y86" s="403"/>
      <c r="Z86" s="403"/>
      <c r="AA86" s="403"/>
      <c r="AB86" s="403"/>
      <c r="AC86" s="403"/>
      <c r="AD86" s="403"/>
      <c r="AE86" s="403"/>
      <c r="AF86" s="403"/>
      <c r="AG86" s="403"/>
      <c r="AH86" s="403"/>
      <c r="AI86" s="403"/>
      <c r="AJ86" s="403"/>
      <c r="AK86" s="403"/>
      <c r="AL86" s="403"/>
      <c r="AM86" s="403"/>
      <c r="AN86" s="403"/>
      <c r="AO86" s="403" t="s">
        <v>10755</v>
      </c>
      <c r="AP86" s="403"/>
      <c r="AQ86" s="403"/>
      <c r="AR86" s="403"/>
      <c r="AS86" s="403"/>
      <c r="AT86" s="403"/>
      <c r="AU86" s="403"/>
      <c r="AV86" s="403"/>
      <c r="AW86" s="403"/>
      <c r="AX86" s="403"/>
      <c r="AY86" s="403"/>
      <c r="AZ86" s="403"/>
      <c r="BA86" s="403"/>
      <c r="BB86" s="403"/>
      <c r="BC86" s="403"/>
      <c r="BD86" s="403"/>
      <c r="BE86" s="403"/>
      <c r="BF86" s="403"/>
      <c r="BG86" s="403"/>
      <c r="BH86" s="403" t="s">
        <v>10756</v>
      </c>
      <c r="BI86" s="403"/>
      <c r="BJ86" s="403"/>
      <c r="BK86" s="403"/>
      <c r="BL86" s="403"/>
      <c r="BM86" s="403"/>
      <c r="BN86" s="403"/>
      <c r="BO86" s="403"/>
      <c r="BP86" s="403"/>
      <c r="BQ86" s="403"/>
      <c r="BR86" s="403"/>
      <c r="BS86" s="403"/>
      <c r="BT86" s="403"/>
      <c r="BU86" s="403"/>
      <c r="BV86" s="403"/>
      <c r="BW86" s="403"/>
      <c r="BX86" s="403"/>
      <c r="BY86" s="403"/>
      <c r="BZ86" s="403"/>
      <c r="CA86" s="403" t="s">
        <v>10757</v>
      </c>
      <c r="CB86" s="403"/>
      <c r="CC86" s="403"/>
      <c r="CD86" s="403"/>
      <c r="CE86" s="403"/>
      <c r="CF86" s="403"/>
      <c r="CG86" s="403"/>
      <c r="CH86" s="403"/>
      <c r="CI86" s="403"/>
      <c r="CJ86" s="403"/>
      <c r="CK86" s="403"/>
      <c r="CL86" s="403"/>
      <c r="CM86" s="403"/>
      <c r="CN86" s="403"/>
      <c r="CO86" s="403"/>
      <c r="CP86" s="403"/>
      <c r="CQ86" s="403"/>
      <c r="CR86" s="403"/>
      <c r="CS86" s="403"/>
      <c r="CT86" s="403" t="s">
        <v>10758</v>
      </c>
      <c r="CU86" s="403"/>
      <c r="CV86" s="403"/>
      <c r="CW86" s="403"/>
      <c r="CX86" s="403"/>
      <c r="CY86" s="403"/>
      <c r="CZ86" s="403"/>
      <c r="DA86" s="403"/>
      <c r="DB86" s="403"/>
      <c r="DC86" s="403"/>
      <c r="DD86" s="403"/>
      <c r="DE86" s="403"/>
      <c r="DF86" s="403"/>
      <c r="DG86" s="403"/>
      <c r="DH86" s="403"/>
      <c r="DI86" s="403"/>
      <c r="DJ86" s="403"/>
      <c r="DK86" s="403"/>
      <c r="DL86" s="403"/>
      <c r="DM86" s="403" t="s">
        <v>10759</v>
      </c>
      <c r="DN86" s="403"/>
      <c r="DO86" s="403"/>
      <c r="DP86" s="403"/>
      <c r="DQ86" s="403"/>
      <c r="DR86" s="403"/>
      <c r="DS86" s="403"/>
      <c r="DT86" s="403"/>
      <c r="DU86" s="403"/>
      <c r="DV86" s="403"/>
      <c r="DW86" s="403"/>
      <c r="DX86" s="403"/>
      <c r="DY86" s="403"/>
      <c r="DZ86" s="403"/>
      <c r="EA86" s="403"/>
      <c r="EB86" s="403"/>
      <c r="EC86" s="403"/>
      <c r="ED86" s="403"/>
      <c r="EE86" s="403"/>
      <c r="EF86" s="403" t="s">
        <v>10760</v>
      </c>
      <c r="EG86" s="403"/>
      <c r="EH86" s="403"/>
      <c r="EI86" s="403"/>
      <c r="EJ86" s="403"/>
      <c r="EK86" s="403"/>
      <c r="EL86" s="403"/>
      <c r="EM86" s="403"/>
      <c r="EN86" s="403"/>
      <c r="EO86" s="403"/>
      <c r="EP86" s="403"/>
      <c r="EQ86" s="403"/>
      <c r="ER86" s="403"/>
      <c r="ES86" s="403"/>
      <c r="ET86" s="403"/>
    </row>
    <row r="87" spans="1:150" s="299" customFormat="1" x14ac:dyDescent="0.2">
      <c r="D87" s="299" t="str">
        <f ca="1">IF(OFFSET(V87,0,Lang_Order*Lang__B4)="","",OFFSET(V87,0,Lang_Order*Lang__B4))</f>
        <v>Solar Direct Drive (SDD) Refridgerator or Freezer</v>
      </c>
      <c r="J87" s="243">
        <v>58</v>
      </c>
      <c r="K87" s="243">
        <v>693</v>
      </c>
      <c r="L87" s="11">
        <f>(J87+K87)/20</f>
        <v>37.549999999999997</v>
      </c>
      <c r="R87" s="403"/>
      <c r="S87" s="403"/>
      <c r="T87" s="403"/>
      <c r="U87" s="403"/>
      <c r="V87" s="403" t="s">
        <v>4193</v>
      </c>
      <c r="W87" s="403"/>
      <c r="X87" s="403"/>
      <c r="Y87" s="403"/>
      <c r="Z87" s="403"/>
      <c r="AA87" s="403"/>
      <c r="AB87" s="403"/>
      <c r="AC87" s="403"/>
      <c r="AD87" s="403"/>
      <c r="AE87" s="403"/>
      <c r="AF87" s="403"/>
      <c r="AG87" s="403"/>
      <c r="AH87" s="403"/>
      <c r="AI87" s="403"/>
      <c r="AJ87" s="403"/>
      <c r="AK87" s="403"/>
      <c r="AL87" s="403"/>
      <c r="AM87" s="403"/>
      <c r="AN87" s="403"/>
      <c r="AO87" s="403" t="s">
        <v>10761</v>
      </c>
      <c r="AP87" s="403"/>
      <c r="AQ87" s="403"/>
      <c r="AR87" s="403"/>
      <c r="AS87" s="403"/>
      <c r="AT87" s="403"/>
      <c r="AU87" s="403"/>
      <c r="AV87" s="403"/>
      <c r="AW87" s="403"/>
      <c r="AX87" s="403"/>
      <c r="AY87" s="403"/>
      <c r="AZ87" s="403"/>
      <c r="BA87" s="403"/>
      <c r="BB87" s="403"/>
      <c r="BC87" s="403"/>
      <c r="BD87" s="403"/>
      <c r="BE87" s="403"/>
      <c r="BF87" s="403"/>
      <c r="BG87" s="403"/>
      <c r="BH87" s="403" t="s">
        <v>10762</v>
      </c>
      <c r="BI87" s="403"/>
      <c r="BJ87" s="403"/>
      <c r="BK87" s="403"/>
      <c r="BL87" s="403"/>
      <c r="BM87" s="403"/>
      <c r="BN87" s="403"/>
      <c r="BO87" s="403"/>
      <c r="BP87" s="403"/>
      <c r="BQ87" s="403"/>
      <c r="BR87" s="403"/>
      <c r="BS87" s="403"/>
      <c r="BT87" s="403"/>
      <c r="BU87" s="403"/>
      <c r="BV87" s="403"/>
      <c r="BW87" s="403"/>
      <c r="BX87" s="403"/>
      <c r="BY87" s="403"/>
      <c r="BZ87" s="403"/>
      <c r="CA87" s="403" t="s">
        <v>10763</v>
      </c>
      <c r="CB87" s="403"/>
      <c r="CC87" s="403"/>
      <c r="CD87" s="403"/>
      <c r="CE87" s="403"/>
      <c r="CF87" s="403"/>
      <c r="CG87" s="403"/>
      <c r="CH87" s="403"/>
      <c r="CI87" s="403"/>
      <c r="CJ87" s="403"/>
      <c r="CK87" s="403"/>
      <c r="CL87" s="403"/>
      <c r="CM87" s="403"/>
      <c r="CN87" s="403"/>
      <c r="CO87" s="403"/>
      <c r="CP87" s="403"/>
      <c r="CQ87" s="403"/>
      <c r="CR87" s="403"/>
      <c r="CS87" s="403"/>
      <c r="CT87" s="403" t="s">
        <v>10764</v>
      </c>
      <c r="CU87" s="403"/>
      <c r="CV87" s="403"/>
      <c r="CW87" s="403"/>
      <c r="CX87" s="403"/>
      <c r="CY87" s="403"/>
      <c r="CZ87" s="403"/>
      <c r="DA87" s="403"/>
      <c r="DB87" s="403"/>
      <c r="DC87" s="403"/>
      <c r="DD87" s="403"/>
      <c r="DE87" s="403"/>
      <c r="DF87" s="403"/>
      <c r="DG87" s="403"/>
      <c r="DH87" s="403"/>
      <c r="DI87" s="403"/>
      <c r="DJ87" s="403"/>
      <c r="DK87" s="403"/>
      <c r="DL87" s="403"/>
      <c r="DM87" s="403" t="s">
        <v>10765</v>
      </c>
      <c r="DN87" s="403"/>
      <c r="DO87" s="403"/>
      <c r="DP87" s="403"/>
      <c r="DQ87" s="403"/>
      <c r="DR87" s="403"/>
      <c r="DS87" s="403"/>
      <c r="DT87" s="403"/>
      <c r="DU87" s="403"/>
      <c r="DV87" s="403"/>
      <c r="DW87" s="403"/>
      <c r="DX87" s="403"/>
      <c r="DY87" s="403"/>
      <c r="DZ87" s="403"/>
      <c r="EA87" s="403"/>
      <c r="EB87" s="403"/>
      <c r="EC87" s="403"/>
      <c r="ED87" s="403"/>
      <c r="EE87" s="403"/>
      <c r="EF87" s="403" t="s">
        <v>10766</v>
      </c>
      <c r="EG87" s="403"/>
      <c r="EH87" s="403"/>
      <c r="EI87" s="403"/>
      <c r="EJ87" s="403"/>
      <c r="EK87" s="403"/>
      <c r="EL87" s="403"/>
      <c r="EM87" s="403"/>
      <c r="EN87" s="403"/>
      <c r="EO87" s="403"/>
      <c r="EP87" s="403"/>
      <c r="EQ87" s="403"/>
      <c r="ER87" s="403"/>
      <c r="ES87" s="403"/>
      <c r="ET87" s="403"/>
    </row>
    <row r="88" spans="1:150" s="299" customFormat="1" x14ac:dyDescent="0.2">
      <c r="A88" s="567"/>
      <c r="D88" s="299" t="s">
        <v>4507</v>
      </c>
      <c r="J88" s="502">
        <f>J86*$P88</f>
        <v>126</v>
      </c>
      <c r="K88" s="502">
        <f>K86*$P88</f>
        <v>2991</v>
      </c>
      <c r="L88" s="11">
        <f t="shared" si="16"/>
        <v>155.85</v>
      </c>
      <c r="P88" s="2">
        <v>3</v>
      </c>
      <c r="Q88" s="157" t="str">
        <f ca="1">IF(OFFSET(AI88,0,Lang_Order*Lang__B4)="","",OFFSET(AI88,0,Lang_Order*Lang__B4))</f>
        <v>No data on this available - assumption: 3x that of a non-UCC freezer (based on the approximate cost differences)</v>
      </c>
      <c r="R88" s="403"/>
      <c r="S88" s="403"/>
      <c r="T88" s="403"/>
      <c r="U88" s="403"/>
      <c r="V88" s="403"/>
      <c r="W88" s="403"/>
      <c r="X88" s="403"/>
      <c r="Y88" s="403"/>
      <c r="Z88" s="403"/>
      <c r="AA88" s="403"/>
      <c r="AB88" s="403"/>
      <c r="AC88" s="403"/>
      <c r="AD88" s="403"/>
      <c r="AE88" s="403"/>
      <c r="AF88" s="403"/>
      <c r="AG88" s="403"/>
      <c r="AH88" s="403"/>
      <c r="AI88" s="403" t="s">
        <v>4513</v>
      </c>
      <c r="AJ88" s="403"/>
      <c r="AK88" s="403"/>
      <c r="AL88" s="403"/>
      <c r="AM88" s="403"/>
      <c r="AN88" s="403"/>
      <c r="AO88" s="403"/>
      <c r="AP88" s="403"/>
      <c r="AQ88" s="403"/>
      <c r="AR88" s="403"/>
      <c r="AS88" s="403"/>
      <c r="AT88" s="403"/>
      <c r="AU88" s="403"/>
      <c r="AV88" s="403"/>
      <c r="AW88" s="403"/>
      <c r="AX88" s="403"/>
      <c r="AY88" s="403"/>
      <c r="AZ88" s="403"/>
      <c r="BA88" s="403"/>
      <c r="BB88" s="403" t="s">
        <v>13279</v>
      </c>
      <c r="BC88" s="403"/>
      <c r="BD88" s="403"/>
      <c r="BE88" s="403"/>
      <c r="BF88" s="403"/>
      <c r="BG88" s="403"/>
      <c r="BH88" s="403"/>
      <c r="BI88" s="403"/>
      <c r="BJ88" s="403"/>
      <c r="BK88" s="403"/>
      <c r="BL88" s="403"/>
      <c r="BM88" s="403"/>
      <c r="BN88" s="403"/>
      <c r="BO88" s="403"/>
      <c r="BP88" s="403"/>
      <c r="BQ88" s="403"/>
      <c r="BR88" s="403"/>
      <c r="BS88" s="403"/>
      <c r="BT88" s="403"/>
      <c r="BU88" s="403" t="s">
        <v>13280</v>
      </c>
      <c r="BV88" s="403"/>
      <c r="BW88" s="403"/>
      <c r="BX88" s="403"/>
      <c r="BY88" s="403"/>
      <c r="BZ88" s="403"/>
      <c r="CA88" s="403"/>
      <c r="CB88" s="403"/>
      <c r="CC88" s="403"/>
      <c r="CD88" s="403"/>
      <c r="CE88" s="403"/>
      <c r="CF88" s="403"/>
      <c r="CG88" s="403"/>
      <c r="CH88" s="403"/>
      <c r="CI88" s="403"/>
      <c r="CJ88" s="403"/>
      <c r="CK88" s="403"/>
      <c r="CL88" s="403"/>
      <c r="CM88" s="403"/>
      <c r="CN88" s="403" t="s">
        <v>13281</v>
      </c>
      <c r="CO88" s="403"/>
      <c r="CP88" s="403"/>
      <c r="CQ88" s="403"/>
      <c r="CR88" s="403"/>
      <c r="CS88" s="403"/>
      <c r="CT88" s="403"/>
      <c r="CU88" s="403"/>
      <c r="CV88" s="403"/>
      <c r="CW88" s="403"/>
      <c r="CX88" s="403"/>
      <c r="CY88" s="403"/>
      <c r="CZ88" s="403"/>
      <c r="DA88" s="403"/>
      <c r="DB88" s="403"/>
      <c r="DC88" s="403"/>
      <c r="DD88" s="403"/>
      <c r="DE88" s="403"/>
      <c r="DF88" s="403"/>
      <c r="DG88" s="403" t="s">
        <v>13282</v>
      </c>
      <c r="DH88" s="403"/>
      <c r="DI88" s="403"/>
      <c r="DJ88" s="403"/>
      <c r="DK88" s="403"/>
      <c r="DL88" s="403"/>
      <c r="DM88" s="403"/>
      <c r="DN88" s="403"/>
      <c r="DO88" s="403"/>
      <c r="DP88" s="403"/>
      <c r="DQ88" s="403"/>
      <c r="DR88" s="403"/>
      <c r="DS88" s="403"/>
      <c r="DT88" s="403"/>
      <c r="DU88" s="403"/>
      <c r="DV88" s="403"/>
      <c r="DW88" s="403"/>
      <c r="DX88" s="403"/>
      <c r="DY88" s="403"/>
      <c r="DZ88" s="403" t="s">
        <v>13283</v>
      </c>
      <c r="EA88" s="403"/>
      <c r="EB88" s="403"/>
      <c r="EC88" s="403"/>
      <c r="ED88" s="403"/>
      <c r="EE88" s="403"/>
      <c r="EF88" s="403"/>
      <c r="EG88" s="403"/>
      <c r="EH88" s="403"/>
      <c r="EI88" s="403"/>
      <c r="EJ88" s="403"/>
      <c r="EK88" s="403"/>
      <c r="EL88" s="403"/>
      <c r="EM88" s="403"/>
      <c r="EN88" s="403"/>
      <c r="EO88" s="403"/>
      <c r="EP88" s="403"/>
      <c r="EQ88" s="403"/>
      <c r="ER88" s="403"/>
      <c r="ES88" s="403" t="s">
        <v>13284</v>
      </c>
      <c r="ET88" s="403"/>
    </row>
    <row r="89" spans="1:150" s="567" customFormat="1" x14ac:dyDescent="0.2"/>
    <row r="90" spans="1:150" s="15" customFormat="1" ht="15" x14ac:dyDescent="0.25">
      <c r="B90" s="8" t="str">
        <f ca="1">IF(OFFSET(T90,0,Lang_Order*Lang__B4)="","",OFFSET(T90,0,Lang_Order*Lang__B4))</f>
        <v>B4.1.1 Central Store Cold Chain (WICR and/or WIFR)</v>
      </c>
      <c r="C90" s="19"/>
      <c r="D90" s="8"/>
      <c r="E90" s="8"/>
      <c r="F90" s="8"/>
      <c r="G90" s="8"/>
      <c r="H90" s="8"/>
      <c r="I90" s="8"/>
      <c r="J90" s="149" t="e">
        <f t="shared" ref="J90:O90" si="17">SUM(J133,J139)</f>
        <v>#N/A</v>
      </c>
      <c r="K90" s="149" t="e">
        <f t="shared" si="17"/>
        <v>#N/A</v>
      </c>
      <c r="L90" s="149" t="e">
        <f t="shared" si="17"/>
        <v>#N/A</v>
      </c>
      <c r="M90" s="149" t="e">
        <f t="shared" si="17"/>
        <v>#N/A</v>
      </c>
      <c r="N90" s="149" t="e">
        <f t="shared" si="17"/>
        <v>#N/A</v>
      </c>
      <c r="O90" s="149" t="e">
        <f t="shared" si="17"/>
        <v>#N/A</v>
      </c>
      <c r="P90" s="149" t="e">
        <f>SUM(J90:O90)</f>
        <v>#N/A</v>
      </c>
      <c r="Q90" s="42"/>
      <c r="R90" s="403"/>
      <c r="S90" s="403"/>
      <c r="T90" s="403" t="s">
        <v>14257</v>
      </c>
      <c r="U90" s="403"/>
      <c r="V90" s="403"/>
      <c r="W90" s="403"/>
      <c r="X90" s="403"/>
      <c r="Y90" s="403"/>
      <c r="Z90" s="403"/>
      <c r="AA90" s="403"/>
      <c r="AB90" s="403"/>
      <c r="AC90" s="403"/>
      <c r="AD90" s="403"/>
      <c r="AE90" s="403"/>
      <c r="AF90" s="403"/>
      <c r="AG90" s="403"/>
      <c r="AH90" s="403"/>
      <c r="AI90" s="403"/>
      <c r="AJ90" s="403"/>
      <c r="AK90" s="403"/>
      <c r="AL90" s="403"/>
      <c r="AM90" s="403" t="s">
        <v>10767</v>
      </c>
      <c r="AN90" s="403"/>
      <c r="AO90" s="403"/>
      <c r="AP90" s="403"/>
      <c r="AQ90" s="403"/>
      <c r="AR90" s="403"/>
      <c r="AS90" s="403"/>
      <c r="AT90" s="403"/>
      <c r="AU90" s="403"/>
      <c r="AV90" s="403"/>
      <c r="AW90" s="403"/>
      <c r="AX90" s="403"/>
      <c r="AY90" s="403"/>
      <c r="AZ90" s="403"/>
      <c r="BA90" s="403"/>
      <c r="BB90" s="403"/>
      <c r="BC90" s="403"/>
      <c r="BD90" s="403"/>
      <c r="BE90" s="403"/>
      <c r="BF90" s="403" t="s">
        <v>10768</v>
      </c>
      <c r="BG90" s="403"/>
      <c r="BH90" s="403"/>
      <c r="BI90" s="403"/>
      <c r="BJ90" s="403"/>
      <c r="BK90" s="403"/>
      <c r="BL90" s="403"/>
      <c r="BM90" s="403"/>
      <c r="BN90" s="403"/>
      <c r="BO90" s="403"/>
      <c r="BP90" s="403"/>
      <c r="BQ90" s="403"/>
      <c r="BR90" s="403"/>
      <c r="BS90" s="403"/>
      <c r="BT90" s="403"/>
      <c r="BU90" s="403"/>
      <c r="BV90" s="403"/>
      <c r="BW90" s="403"/>
      <c r="BX90" s="403"/>
      <c r="BY90" s="403" t="s">
        <v>10769</v>
      </c>
      <c r="BZ90" s="403"/>
      <c r="CA90" s="403"/>
      <c r="CB90" s="403"/>
      <c r="CC90" s="403"/>
      <c r="CD90" s="403"/>
      <c r="CE90" s="403"/>
      <c r="CF90" s="403"/>
      <c r="CG90" s="403"/>
      <c r="CH90" s="403"/>
      <c r="CI90" s="403"/>
      <c r="CJ90" s="403"/>
      <c r="CK90" s="403"/>
      <c r="CL90" s="403"/>
      <c r="CM90" s="403"/>
      <c r="CN90" s="403"/>
      <c r="CO90" s="403"/>
      <c r="CP90" s="403"/>
      <c r="CQ90" s="403"/>
      <c r="CR90" s="403" t="s">
        <v>10770</v>
      </c>
      <c r="CS90" s="403"/>
      <c r="CT90" s="403"/>
      <c r="CU90" s="403"/>
      <c r="CV90" s="403"/>
      <c r="CW90" s="403"/>
      <c r="CX90" s="403"/>
      <c r="CY90" s="403"/>
      <c r="CZ90" s="403"/>
      <c r="DA90" s="403"/>
      <c r="DB90" s="403"/>
      <c r="DC90" s="403"/>
      <c r="DD90" s="403"/>
      <c r="DE90" s="403"/>
      <c r="DF90" s="403"/>
      <c r="DG90" s="403"/>
      <c r="DH90" s="403"/>
      <c r="DI90" s="403"/>
      <c r="DJ90" s="403"/>
      <c r="DK90" s="403" t="s">
        <v>10771</v>
      </c>
      <c r="DL90" s="403"/>
      <c r="DM90" s="403"/>
      <c r="DN90" s="403"/>
      <c r="DO90" s="403"/>
      <c r="DP90" s="403"/>
      <c r="DQ90" s="403"/>
      <c r="DR90" s="403"/>
      <c r="DS90" s="403"/>
      <c r="DT90" s="403"/>
      <c r="DU90" s="403"/>
      <c r="DV90" s="403"/>
      <c r="DW90" s="403"/>
      <c r="DX90" s="403"/>
      <c r="DY90" s="403"/>
      <c r="DZ90" s="403"/>
      <c r="EA90" s="403"/>
      <c r="EB90" s="403"/>
      <c r="EC90" s="403"/>
      <c r="ED90" s="403" t="s">
        <v>10772</v>
      </c>
      <c r="EE90" s="403"/>
      <c r="EF90" s="403"/>
      <c r="EG90" s="403"/>
      <c r="EH90" s="403"/>
      <c r="EI90" s="403"/>
      <c r="EJ90" s="403"/>
      <c r="EK90" s="403"/>
      <c r="EL90" s="403"/>
      <c r="EM90" s="403"/>
      <c r="EN90" s="403"/>
      <c r="EO90" s="403"/>
      <c r="EP90" s="403"/>
      <c r="EQ90" s="403"/>
      <c r="ER90" s="403"/>
      <c r="ES90" s="403"/>
      <c r="ET90" s="403"/>
    </row>
    <row r="91" spans="1:150" s="15" customFormat="1" ht="15" x14ac:dyDescent="0.25">
      <c r="A91" s="567"/>
      <c r="C91" s="503"/>
      <c r="D91" s="503"/>
      <c r="J91" s="286" t="s">
        <v>1597</v>
      </c>
      <c r="K91" s="286" t="s">
        <v>1598</v>
      </c>
      <c r="L91" s="286" t="s">
        <v>1599</v>
      </c>
      <c r="M91" s="286" t="s">
        <v>1600</v>
      </c>
      <c r="N91" s="286" t="s">
        <v>1602</v>
      </c>
      <c r="O91" s="286" t="s">
        <v>1601</v>
      </c>
      <c r="P91" s="177" t="str">
        <f ca="1">IF(OFFSET(AH91,0,Lang_Order*Lang__B4)="","",OFFSET(AH91,0,Lang_Order*Lang__B4))</f>
        <v>Peak in Central Store</v>
      </c>
      <c r="R91" s="403"/>
      <c r="S91" s="403"/>
      <c r="T91" s="403"/>
      <c r="U91" s="403" t="s">
        <v>2637</v>
      </c>
      <c r="V91" s="403"/>
      <c r="W91" s="403"/>
      <c r="X91" s="403"/>
      <c r="Y91" s="403"/>
      <c r="Z91" s="403"/>
      <c r="AA91" s="403"/>
      <c r="AB91" s="403" t="s">
        <v>1597</v>
      </c>
      <c r="AC91" s="403" t="s">
        <v>1598</v>
      </c>
      <c r="AD91" s="403" t="s">
        <v>1599</v>
      </c>
      <c r="AE91" s="403" t="s">
        <v>1600</v>
      </c>
      <c r="AF91" s="403" t="s">
        <v>1602</v>
      </c>
      <c r="AG91" s="403" t="s">
        <v>1601</v>
      </c>
      <c r="AH91" s="403" t="s">
        <v>3641</v>
      </c>
      <c r="AI91" s="403"/>
      <c r="AJ91" s="403"/>
      <c r="AK91" s="403"/>
      <c r="AL91" s="403"/>
      <c r="AM91" s="403"/>
      <c r="AN91" s="403" t="s">
        <v>10157</v>
      </c>
      <c r="AO91" s="403"/>
      <c r="AP91" s="403"/>
      <c r="AQ91" s="403"/>
      <c r="AR91" s="403"/>
      <c r="AS91" s="403"/>
      <c r="AT91" s="403"/>
      <c r="AU91" s="403" t="s">
        <v>4663</v>
      </c>
      <c r="AV91" s="403" t="s">
        <v>4664</v>
      </c>
      <c r="AW91" s="403" t="s">
        <v>4665</v>
      </c>
      <c r="AX91" s="403" t="s">
        <v>4666</v>
      </c>
      <c r="AY91" s="403" t="s">
        <v>4667</v>
      </c>
      <c r="AZ91" s="403" t="s">
        <v>4668</v>
      </c>
      <c r="BA91" s="403" t="s">
        <v>10773</v>
      </c>
      <c r="BB91" s="403"/>
      <c r="BC91" s="403"/>
      <c r="BD91" s="403"/>
      <c r="BE91" s="403"/>
      <c r="BF91" s="403"/>
      <c r="BG91" s="403" t="s">
        <v>10774</v>
      </c>
      <c r="BH91" s="403"/>
      <c r="BI91" s="403"/>
      <c r="BJ91" s="403"/>
      <c r="BK91" s="403"/>
      <c r="BL91" s="403"/>
      <c r="BM91" s="403"/>
      <c r="BN91" s="403" t="s">
        <v>4670</v>
      </c>
      <c r="BO91" s="403" t="s">
        <v>4671</v>
      </c>
      <c r="BP91" s="403" t="s">
        <v>4672</v>
      </c>
      <c r="BQ91" s="403" t="s">
        <v>4673</v>
      </c>
      <c r="BR91" s="403" t="s">
        <v>4674</v>
      </c>
      <c r="BS91" s="403" t="s">
        <v>4675</v>
      </c>
      <c r="BT91" s="403" t="s">
        <v>10775</v>
      </c>
      <c r="BU91" s="403"/>
      <c r="BV91" s="403"/>
      <c r="BW91" s="403"/>
      <c r="BX91" s="403"/>
      <c r="BY91" s="403"/>
      <c r="BZ91" s="403" t="s">
        <v>7194</v>
      </c>
      <c r="CA91" s="403"/>
      <c r="CB91" s="403"/>
      <c r="CC91" s="403"/>
      <c r="CD91" s="403"/>
      <c r="CE91" s="403"/>
      <c r="CF91" s="403"/>
      <c r="CG91" s="403" t="s">
        <v>1597</v>
      </c>
      <c r="CH91" s="403" t="s">
        <v>1598</v>
      </c>
      <c r="CI91" s="403" t="s">
        <v>1599</v>
      </c>
      <c r="CJ91" s="403" t="s">
        <v>1600</v>
      </c>
      <c r="CK91" s="403" t="s">
        <v>1602</v>
      </c>
      <c r="CL91" s="403" t="s">
        <v>1601</v>
      </c>
      <c r="CM91" s="403" t="s">
        <v>10776</v>
      </c>
      <c r="CN91" s="403"/>
      <c r="CO91" s="403"/>
      <c r="CP91" s="403"/>
      <c r="CQ91" s="403"/>
      <c r="CR91" s="403"/>
      <c r="CS91" s="403" t="s">
        <v>7197</v>
      </c>
      <c r="CT91" s="403"/>
      <c r="CU91" s="403"/>
      <c r="CV91" s="403"/>
      <c r="CW91" s="403"/>
      <c r="CX91" s="403"/>
      <c r="CY91" s="403"/>
      <c r="CZ91" s="403" t="s">
        <v>4663</v>
      </c>
      <c r="DA91" s="403" t="s">
        <v>4664</v>
      </c>
      <c r="DB91" s="403" t="s">
        <v>4665</v>
      </c>
      <c r="DC91" s="403" t="s">
        <v>4666</v>
      </c>
      <c r="DD91" s="403" t="s">
        <v>4667</v>
      </c>
      <c r="DE91" s="403" t="s">
        <v>4668</v>
      </c>
      <c r="DF91" s="403" t="s">
        <v>10777</v>
      </c>
      <c r="DG91" s="403"/>
      <c r="DH91" s="403"/>
      <c r="DI91" s="403"/>
      <c r="DJ91" s="403"/>
      <c r="DK91" s="403"/>
      <c r="DL91" s="403" t="s">
        <v>10778</v>
      </c>
      <c r="DM91" s="403"/>
      <c r="DN91" s="403"/>
      <c r="DO91" s="403"/>
      <c r="DP91" s="403"/>
      <c r="DQ91" s="403"/>
      <c r="DR91" s="403"/>
      <c r="DS91" s="403" t="s">
        <v>4680</v>
      </c>
      <c r="DT91" s="403" t="s">
        <v>10779</v>
      </c>
      <c r="DU91" s="403" t="s">
        <v>4682</v>
      </c>
      <c r="DV91" s="403" t="s">
        <v>4683</v>
      </c>
      <c r="DW91" s="403" t="s">
        <v>4684</v>
      </c>
      <c r="DX91" s="403" t="s">
        <v>10176</v>
      </c>
      <c r="DY91" s="403" t="s">
        <v>10780</v>
      </c>
      <c r="DZ91" s="403"/>
      <c r="EA91" s="403"/>
      <c r="EB91" s="403"/>
      <c r="EC91" s="403"/>
      <c r="ED91" s="403"/>
      <c r="EE91" s="403" t="s">
        <v>10164</v>
      </c>
      <c r="EF91" s="403"/>
      <c r="EG91" s="403"/>
      <c r="EH91" s="403"/>
      <c r="EI91" s="403"/>
      <c r="EJ91" s="403"/>
      <c r="EK91" s="403"/>
      <c r="EL91" s="403" t="s">
        <v>4688</v>
      </c>
      <c r="EM91" s="403" t="s">
        <v>4689</v>
      </c>
      <c r="EN91" s="403" t="s">
        <v>4690</v>
      </c>
      <c r="EO91" s="403" t="s">
        <v>4691</v>
      </c>
      <c r="EP91" s="403" t="s">
        <v>4692</v>
      </c>
      <c r="EQ91" s="403" t="s">
        <v>4693</v>
      </c>
      <c r="ER91" s="403" t="s">
        <v>10781</v>
      </c>
      <c r="ES91" s="403"/>
      <c r="ET91" s="403"/>
    </row>
    <row r="92" spans="1:150" s="499" customFormat="1" x14ac:dyDescent="0.2">
      <c r="A92" s="350">
        <v>2</v>
      </c>
      <c r="B92" s="567"/>
      <c r="D92" s="5" t="str">
        <f ca="1">IF(OFFSET(V92,0,Lang_Order*Lang__B4)="","",OFFSET(V92,0,Lang_Order*Lang__B4))</f>
        <v>International shipments per period (User customization)</v>
      </c>
      <c r="J92" s="35"/>
      <c r="K92" s="35"/>
      <c r="L92" s="35"/>
      <c r="M92" s="35"/>
      <c r="N92" s="35"/>
      <c r="O92" s="35"/>
      <c r="P92" s="81" t="str">
        <f t="shared" ref="P92" si="18">Lang_LeaveBlank</f>
        <v>Leave Blank</v>
      </c>
      <c r="Q92" s="157" t="str">
        <f ca="1">IF(OFFSET(AI92,0,Lang_Order*Lang__B4)="","",OFFSET(AI92,0,Lang_Order*Lang__B4))</f>
        <v>International shipments per period can be also specified here for each period separately to optimize.</v>
      </c>
      <c r="U92" s="564"/>
      <c r="V92" s="564" t="s">
        <v>4574</v>
      </c>
      <c r="W92" s="564"/>
      <c r="X92" s="564"/>
      <c r="Y92" s="564"/>
      <c r="Z92" s="564"/>
      <c r="AA92" s="564"/>
      <c r="AB92" s="564"/>
      <c r="AC92" s="564"/>
      <c r="AD92" s="564"/>
      <c r="AE92" s="564"/>
      <c r="AF92" s="564"/>
      <c r="AG92" s="564"/>
      <c r="AH92" s="564"/>
      <c r="AI92" s="564" t="s">
        <v>4514</v>
      </c>
      <c r="AJ92" s="564"/>
      <c r="AK92" s="564"/>
      <c r="AL92" s="564"/>
      <c r="AM92" s="564"/>
      <c r="AN92" s="564"/>
      <c r="AO92" s="564" t="s">
        <v>13287</v>
      </c>
      <c r="AP92" s="564"/>
      <c r="AQ92" s="564"/>
      <c r="AR92" s="564"/>
      <c r="AS92" s="564"/>
      <c r="AT92" s="564"/>
      <c r="AU92" s="564"/>
      <c r="AV92" s="564"/>
      <c r="AW92" s="564"/>
      <c r="AX92" s="564"/>
      <c r="AY92" s="564"/>
      <c r="AZ92" s="564"/>
      <c r="BA92" s="564"/>
      <c r="BB92" s="564" t="s">
        <v>13293</v>
      </c>
      <c r="BC92" s="564"/>
      <c r="BD92" s="564"/>
      <c r="BE92" s="564"/>
      <c r="BF92" s="564"/>
      <c r="BG92" s="564"/>
      <c r="BH92" s="564" t="s">
        <v>13288</v>
      </c>
      <c r="BI92" s="564"/>
      <c r="BJ92" s="564"/>
      <c r="BK92" s="564"/>
      <c r="BL92" s="564"/>
      <c r="BM92" s="564"/>
      <c r="BN92" s="564"/>
      <c r="BO92" s="564"/>
      <c r="BP92" s="564"/>
      <c r="BQ92" s="564"/>
      <c r="BR92" s="564"/>
      <c r="BS92" s="564"/>
      <c r="BT92" s="564"/>
      <c r="BU92" s="564" t="s">
        <v>13294</v>
      </c>
      <c r="BV92" s="564"/>
      <c r="BW92" s="564"/>
      <c r="BX92" s="564"/>
      <c r="BY92" s="564"/>
      <c r="BZ92" s="564"/>
      <c r="CA92" s="564" t="s">
        <v>13289</v>
      </c>
      <c r="CB92" s="564"/>
      <c r="CC92" s="564"/>
      <c r="CD92" s="564"/>
      <c r="CE92" s="564"/>
      <c r="CF92" s="564"/>
      <c r="CG92" s="564"/>
      <c r="CH92" s="564"/>
      <c r="CI92" s="564"/>
      <c r="CJ92" s="564"/>
      <c r="CK92" s="564"/>
      <c r="CL92" s="564"/>
      <c r="CM92" s="564"/>
      <c r="CN92" s="564" t="s">
        <v>13295</v>
      </c>
      <c r="CO92" s="564"/>
      <c r="CP92" s="564"/>
      <c r="CQ92" s="564"/>
      <c r="CR92" s="564"/>
      <c r="CS92" s="564"/>
      <c r="CT92" s="564" t="s">
        <v>13290</v>
      </c>
      <c r="CU92" s="564"/>
      <c r="CV92" s="564"/>
      <c r="CW92" s="564"/>
      <c r="CX92" s="564"/>
      <c r="CY92" s="564"/>
      <c r="CZ92" s="564"/>
      <c r="DA92" s="564"/>
      <c r="DB92" s="564"/>
      <c r="DC92" s="564"/>
      <c r="DD92" s="564"/>
      <c r="DE92" s="564"/>
      <c r="DF92" s="564"/>
      <c r="DG92" s="564" t="s">
        <v>13296</v>
      </c>
      <c r="DH92" s="564"/>
      <c r="DI92" s="564"/>
      <c r="DJ92" s="564"/>
      <c r="DK92" s="564"/>
      <c r="DL92" s="564"/>
      <c r="DM92" s="564" t="s">
        <v>13291</v>
      </c>
      <c r="DN92" s="564"/>
      <c r="DO92" s="564"/>
      <c r="DP92" s="564"/>
      <c r="DQ92" s="564"/>
      <c r="DR92" s="564"/>
      <c r="DS92" s="564"/>
      <c r="DT92" s="564"/>
      <c r="DU92" s="564"/>
      <c r="DV92" s="564"/>
      <c r="DW92" s="564"/>
      <c r="DX92" s="564"/>
      <c r="DY92" s="564"/>
      <c r="DZ92" s="564" t="s">
        <v>13297</v>
      </c>
      <c r="EA92" s="564"/>
      <c r="EB92" s="564"/>
      <c r="EC92" s="564"/>
      <c r="ED92" s="564"/>
      <c r="EE92" s="564"/>
      <c r="EF92" s="564" t="s">
        <v>13292</v>
      </c>
      <c r="EG92" s="564"/>
      <c r="EH92" s="564"/>
      <c r="EI92" s="564"/>
      <c r="EJ92" s="564"/>
      <c r="EK92" s="564"/>
      <c r="EL92" s="564"/>
      <c r="EM92" s="564"/>
      <c r="EN92" s="564"/>
      <c r="EO92" s="564"/>
      <c r="EP92" s="564"/>
      <c r="EQ92" s="564"/>
      <c r="ER92" s="564"/>
      <c r="ES92" s="564" t="s">
        <v>13298</v>
      </c>
      <c r="ET92" s="564"/>
    </row>
    <row r="93" spans="1:150" s="15" customFormat="1" x14ac:dyDescent="0.2">
      <c r="B93" s="51" t="str">
        <f ca="1">IF(OFFSET(T93,0,Lang_Order*Lang__B4)="","",OFFSET(T93,0,Lang_Order*Lang__B4))</f>
        <v>Volume of COVID-19 vaccines in secondary packaging (liters) per Shipment, incl. buffer</v>
      </c>
      <c r="J93" s="2">
        <f t="shared" ref="J93:O93" si="19">IF(ISBLANK(J92),Int_Shipments_perPeriod,J92)</f>
        <v>2</v>
      </c>
      <c r="K93" s="2">
        <f t="shared" si="19"/>
        <v>2</v>
      </c>
      <c r="L93" s="2">
        <f t="shared" si="19"/>
        <v>2</v>
      </c>
      <c r="M93" s="2">
        <f t="shared" si="19"/>
        <v>2</v>
      </c>
      <c r="N93" s="2">
        <f t="shared" si="19"/>
        <v>2</v>
      </c>
      <c r="O93" s="2">
        <f t="shared" si="19"/>
        <v>2</v>
      </c>
      <c r="R93" s="403"/>
      <c r="S93" s="403"/>
      <c r="T93" s="403" t="s">
        <v>3202</v>
      </c>
      <c r="U93" s="564"/>
      <c r="V93" s="564"/>
      <c r="W93" s="564"/>
      <c r="X93" s="564"/>
      <c r="Y93" s="564"/>
      <c r="Z93" s="564"/>
      <c r="AA93" s="564"/>
      <c r="AB93" s="564"/>
      <c r="AC93" s="564"/>
      <c r="AD93" s="564"/>
      <c r="AE93" s="564"/>
      <c r="AF93" s="564"/>
      <c r="AG93" s="564"/>
      <c r="AH93" s="564"/>
      <c r="AI93" s="564"/>
      <c r="AJ93" s="564"/>
      <c r="AK93" s="564"/>
      <c r="AL93" s="564"/>
      <c r="AM93" s="564" t="s">
        <v>10782</v>
      </c>
      <c r="AN93" s="564"/>
      <c r="AO93" s="564"/>
      <c r="AP93" s="564"/>
      <c r="AQ93" s="564"/>
      <c r="AR93" s="564"/>
      <c r="AS93" s="564"/>
      <c r="AT93" s="564"/>
      <c r="AU93" s="564"/>
      <c r="AV93" s="564"/>
      <c r="AW93" s="564"/>
      <c r="AX93" s="564"/>
      <c r="AY93" s="564"/>
      <c r="AZ93" s="564"/>
      <c r="BA93" s="564"/>
      <c r="BB93" s="564"/>
      <c r="BC93" s="564"/>
      <c r="BD93" s="564"/>
      <c r="BE93" s="564"/>
      <c r="BF93" s="564" t="s">
        <v>10783</v>
      </c>
      <c r="BG93" s="564"/>
      <c r="BH93" s="564"/>
      <c r="BI93" s="564"/>
      <c r="BJ93" s="564"/>
      <c r="BK93" s="564"/>
      <c r="BL93" s="564"/>
      <c r="BM93" s="564"/>
      <c r="BN93" s="564"/>
      <c r="BO93" s="564"/>
      <c r="BP93" s="564"/>
      <c r="BQ93" s="564"/>
      <c r="BR93" s="564"/>
      <c r="BS93" s="564"/>
      <c r="BT93" s="564"/>
      <c r="BU93" s="564"/>
      <c r="BV93" s="564"/>
      <c r="BW93" s="564"/>
      <c r="BX93" s="564"/>
      <c r="BY93" s="564" t="s">
        <v>10784</v>
      </c>
      <c r="BZ93" s="564"/>
      <c r="CA93" s="564"/>
      <c r="CB93" s="564"/>
      <c r="CC93" s="564"/>
      <c r="CD93" s="564"/>
      <c r="CE93" s="564"/>
      <c r="CF93" s="564"/>
      <c r="CG93" s="564"/>
      <c r="CH93" s="564"/>
      <c r="CI93" s="564"/>
      <c r="CJ93" s="564"/>
      <c r="CK93" s="564"/>
      <c r="CL93" s="564"/>
      <c r="CM93" s="564"/>
      <c r="CN93" s="564"/>
      <c r="CO93" s="564"/>
      <c r="CP93" s="564"/>
      <c r="CQ93" s="564"/>
      <c r="CR93" s="564" t="s">
        <v>10785</v>
      </c>
      <c r="CS93" s="564"/>
      <c r="CT93" s="564"/>
      <c r="CU93" s="564"/>
      <c r="CV93" s="564"/>
      <c r="CW93" s="564"/>
      <c r="CX93" s="564"/>
      <c r="CY93" s="564"/>
      <c r="CZ93" s="564"/>
      <c r="DA93" s="564"/>
      <c r="DB93" s="564"/>
      <c r="DC93" s="564"/>
      <c r="DD93" s="564"/>
      <c r="DE93" s="564"/>
      <c r="DF93" s="564"/>
      <c r="DG93" s="564"/>
      <c r="DH93" s="564"/>
      <c r="DI93" s="564"/>
      <c r="DJ93" s="564"/>
      <c r="DK93" s="564" t="s">
        <v>10786</v>
      </c>
      <c r="DL93" s="564"/>
      <c r="DM93" s="564"/>
      <c r="DN93" s="564"/>
      <c r="DO93" s="564"/>
      <c r="DP93" s="564"/>
      <c r="DQ93" s="564"/>
      <c r="DR93" s="564"/>
      <c r="DS93" s="564"/>
      <c r="DT93" s="564"/>
      <c r="DU93" s="564"/>
      <c r="DV93" s="564"/>
      <c r="DW93" s="564"/>
      <c r="DX93" s="564"/>
      <c r="DY93" s="564"/>
      <c r="DZ93" s="564"/>
      <c r="EA93" s="564"/>
      <c r="EB93" s="564"/>
      <c r="EC93" s="564"/>
      <c r="ED93" s="564" t="s">
        <v>10787</v>
      </c>
      <c r="EE93" s="564"/>
      <c r="EF93" s="564"/>
      <c r="EG93" s="564"/>
      <c r="EH93" s="564"/>
      <c r="EI93" s="564"/>
      <c r="EJ93" s="564"/>
      <c r="EK93" s="564"/>
      <c r="EL93" s="564"/>
      <c r="EM93" s="564"/>
      <c r="EN93" s="564"/>
      <c r="EO93" s="564"/>
      <c r="EP93" s="564"/>
      <c r="EQ93" s="564"/>
      <c r="ER93" s="564"/>
      <c r="ES93" s="564"/>
      <c r="ET93" s="564"/>
    </row>
    <row r="94" spans="1:150" s="15" customFormat="1" x14ac:dyDescent="0.2">
      <c r="B94" s="34"/>
      <c r="C94" s="5"/>
      <c r="D94" s="2" t="str">
        <f ca="1">IF(OFFSET(V94,0,Lang_Order*Lang__B4)="","",OFFSET(V94,0,Lang_Order*Lang__B4))</f>
        <v>Cold storage requirements</v>
      </c>
      <c r="E94" s="2" t="s">
        <v>1542</v>
      </c>
      <c r="F94" s="90" t="str">
        <f>D101</f>
        <v>Room temperature</v>
      </c>
      <c r="G94" s="90" t="str">
        <f>D102</f>
        <v>Refrigerated (2 to 8C)</v>
      </c>
      <c r="H94" s="90" t="str">
        <f>D103</f>
        <v>Frozen (-20C)</v>
      </c>
      <c r="I94" s="90" t="str">
        <f>D104</f>
        <v>Ultra-cold (-60 to -80C)</v>
      </c>
      <c r="J94" s="16" t="s">
        <v>2642</v>
      </c>
      <c r="K94" s="16"/>
      <c r="L94" s="16"/>
      <c r="M94" s="16"/>
      <c r="N94" s="16"/>
      <c r="O94" s="16"/>
      <c r="P94" s="16"/>
      <c r="Q94" s="16"/>
      <c r="R94" s="403"/>
      <c r="S94" s="403"/>
      <c r="T94" s="403"/>
      <c r="U94" s="403"/>
      <c r="V94" s="403" t="s">
        <v>3194</v>
      </c>
      <c r="W94" s="403"/>
      <c r="X94" s="403"/>
      <c r="Y94" s="403"/>
      <c r="Z94" s="403"/>
      <c r="AA94" s="403"/>
      <c r="AB94" s="403" t="s">
        <v>2642</v>
      </c>
      <c r="AC94" s="403"/>
      <c r="AD94" s="403"/>
      <c r="AE94" s="403"/>
      <c r="AF94" s="403"/>
      <c r="AG94" s="403"/>
      <c r="AH94" s="403"/>
      <c r="AI94" s="403"/>
      <c r="AJ94" s="403"/>
      <c r="AK94" s="403"/>
      <c r="AL94" s="403"/>
      <c r="AM94" s="403"/>
      <c r="AN94" s="403"/>
      <c r="AO94" s="403" t="s">
        <v>10217</v>
      </c>
      <c r="AP94" s="403"/>
      <c r="AQ94" s="403"/>
      <c r="AR94" s="403"/>
      <c r="AS94" s="403"/>
      <c r="AT94" s="403"/>
      <c r="AU94" s="403"/>
      <c r="AV94" s="403"/>
      <c r="AW94" s="403"/>
      <c r="AX94" s="403"/>
      <c r="AY94" s="403"/>
      <c r="AZ94" s="403"/>
      <c r="BA94" s="403"/>
      <c r="BB94" s="403"/>
      <c r="BC94" s="403"/>
      <c r="BD94" s="403"/>
      <c r="BE94" s="403"/>
      <c r="BF94" s="403"/>
      <c r="BG94" s="403"/>
      <c r="BH94" s="403" t="s">
        <v>10697</v>
      </c>
      <c r="BI94" s="403"/>
      <c r="BJ94" s="403"/>
      <c r="BK94" s="403"/>
      <c r="BL94" s="403"/>
      <c r="BM94" s="403"/>
      <c r="BN94" s="403"/>
      <c r="BO94" s="403"/>
      <c r="BP94" s="403"/>
      <c r="BQ94" s="403"/>
      <c r="BR94" s="403"/>
      <c r="BS94" s="403"/>
      <c r="BT94" s="403"/>
      <c r="BU94" s="403"/>
      <c r="BV94" s="403"/>
      <c r="BW94" s="403"/>
      <c r="BX94" s="403"/>
      <c r="BY94" s="403"/>
      <c r="BZ94" s="403"/>
      <c r="CA94" s="403" t="s">
        <v>10699</v>
      </c>
      <c r="CB94" s="403"/>
      <c r="CC94" s="403"/>
      <c r="CD94" s="403"/>
      <c r="CE94" s="403"/>
      <c r="CF94" s="403"/>
      <c r="CG94" s="403"/>
      <c r="CH94" s="403"/>
      <c r="CI94" s="403"/>
      <c r="CJ94" s="403"/>
      <c r="CK94" s="403"/>
      <c r="CL94" s="403"/>
      <c r="CM94" s="403"/>
      <c r="CN94" s="403"/>
      <c r="CO94" s="403"/>
      <c r="CP94" s="403"/>
      <c r="CQ94" s="403"/>
      <c r="CR94" s="403"/>
      <c r="CS94" s="403"/>
      <c r="CT94" s="403" t="s">
        <v>10242</v>
      </c>
      <c r="CU94" s="403"/>
      <c r="CV94" s="403"/>
      <c r="CW94" s="403"/>
      <c r="CX94" s="403"/>
      <c r="CY94" s="403"/>
      <c r="CZ94" s="403" t="s">
        <v>10788</v>
      </c>
      <c r="DA94" s="403"/>
      <c r="DB94" s="403"/>
      <c r="DC94" s="403"/>
      <c r="DD94" s="403"/>
      <c r="DE94" s="403"/>
      <c r="DF94" s="403"/>
      <c r="DG94" s="403"/>
      <c r="DH94" s="403"/>
      <c r="DI94" s="403"/>
      <c r="DJ94" s="403"/>
      <c r="DK94" s="403"/>
      <c r="DL94" s="403"/>
      <c r="DM94" s="403" t="s">
        <v>10789</v>
      </c>
      <c r="DN94" s="403"/>
      <c r="DO94" s="403"/>
      <c r="DP94" s="403"/>
      <c r="DQ94" s="403"/>
      <c r="DR94" s="403"/>
      <c r="DS94" s="403" t="s">
        <v>4403</v>
      </c>
      <c r="DT94" s="403"/>
      <c r="DU94" s="403"/>
      <c r="DV94" s="403"/>
      <c r="DW94" s="403"/>
      <c r="DX94" s="403"/>
      <c r="DY94" s="403"/>
      <c r="DZ94" s="403"/>
      <c r="EA94" s="403"/>
      <c r="EB94" s="403"/>
      <c r="EC94" s="403"/>
      <c r="ED94" s="403"/>
      <c r="EE94" s="403"/>
      <c r="EF94" s="403" t="s">
        <v>10254</v>
      </c>
      <c r="EG94" s="403"/>
      <c r="EH94" s="403"/>
      <c r="EI94" s="403"/>
      <c r="EJ94" s="403"/>
      <c r="EK94" s="403"/>
      <c r="EL94" s="403" t="s">
        <v>2642</v>
      </c>
      <c r="EM94" s="403"/>
      <c r="EN94" s="403"/>
      <c r="EO94" s="403"/>
      <c r="EP94" s="403"/>
      <c r="EQ94" s="403"/>
      <c r="ER94" s="403"/>
      <c r="ES94" s="403"/>
      <c r="ET94" s="403"/>
    </row>
    <row r="95" spans="1:150" s="15" customFormat="1" x14ac:dyDescent="0.2">
      <c r="B95" s="165">
        <v>-7</v>
      </c>
      <c r="C95" s="23" t="str">
        <f>CONCATENATE("",DM1_Vaccine)</f>
        <v/>
      </c>
      <c r="D95" s="3" t="e">
        <f>VLOOKUP(DM1_Vaccine,'T1. Vaccines'!$C$8:$AD$37,E95,FALSE)</f>
        <v>#N/A</v>
      </c>
      <c r="E95" s="2">
        <f ca="1">OFFSET(_Offset_Index_VaccineSupplies_Index,0,B95)</f>
        <v>9</v>
      </c>
      <c r="F95" s="2" t="e">
        <f t="shared" ref="F95:I98" si="20">IF($D95=F$94,1,0)</f>
        <v>#N/A</v>
      </c>
      <c r="G95" s="2" t="e">
        <f t="shared" si="20"/>
        <v>#N/A</v>
      </c>
      <c r="H95" s="2" t="e">
        <f t="shared" si="20"/>
        <v>#N/A</v>
      </c>
      <c r="I95" s="2" t="e">
        <f t="shared" si="20"/>
        <v>#N/A</v>
      </c>
      <c r="J95" s="146" t="e">
        <f>J33/J$93</f>
        <v>#N/A</v>
      </c>
      <c r="K95" s="146" t="e">
        <f t="shared" ref="K95:O95" si="21">K33/K$93</f>
        <v>#N/A</v>
      </c>
      <c r="L95" s="146" t="e">
        <f t="shared" si="21"/>
        <v>#N/A</v>
      </c>
      <c r="M95" s="146" t="e">
        <f t="shared" si="21"/>
        <v>#N/A</v>
      </c>
      <c r="N95" s="146" t="e">
        <f t="shared" si="21"/>
        <v>#N/A</v>
      </c>
      <c r="O95" s="146" t="e">
        <f t="shared" si="21"/>
        <v>#N/A</v>
      </c>
      <c r="P95" s="281"/>
      <c r="Q95" s="16"/>
      <c r="R95" s="403"/>
      <c r="S95" s="403"/>
      <c r="T95" s="403"/>
      <c r="U95" s="403"/>
      <c r="V95" s="403"/>
      <c r="W95" s="403"/>
      <c r="X95" s="403"/>
      <c r="Y95" s="403"/>
      <c r="Z95" s="403"/>
      <c r="AA95" s="403"/>
      <c r="AB95" s="403"/>
      <c r="AC95" s="403"/>
      <c r="AD95" s="403"/>
      <c r="AE95" s="403"/>
      <c r="AF95" s="403"/>
      <c r="AG95" s="403"/>
      <c r="AH95" s="403"/>
      <c r="AI95" s="403"/>
      <c r="AJ95" s="403"/>
      <c r="AK95" s="403"/>
      <c r="AL95" s="403"/>
      <c r="AM95" s="403"/>
      <c r="AN95" s="403"/>
      <c r="AO95" s="403"/>
      <c r="AP95" s="403"/>
      <c r="AQ95" s="403"/>
      <c r="AR95" s="403"/>
      <c r="AS95" s="403"/>
      <c r="AT95" s="403"/>
      <c r="AU95" s="403"/>
      <c r="AV95" s="403"/>
      <c r="AW95" s="403"/>
      <c r="AX95" s="403"/>
      <c r="AY95" s="403"/>
      <c r="AZ95" s="403"/>
      <c r="BA95" s="403"/>
      <c r="BB95" s="403"/>
      <c r="BC95" s="403"/>
      <c r="BD95" s="403"/>
      <c r="BE95" s="403"/>
      <c r="BF95" s="403"/>
      <c r="BG95" s="403"/>
      <c r="BH95" s="403"/>
      <c r="BI95" s="403"/>
      <c r="BJ95" s="403"/>
      <c r="BK95" s="403"/>
      <c r="BL95" s="403"/>
      <c r="BM95" s="403"/>
      <c r="BN95" s="403"/>
      <c r="BO95" s="403"/>
      <c r="BP95" s="403"/>
      <c r="BQ95" s="403"/>
      <c r="BR95" s="403"/>
      <c r="BS95" s="403"/>
      <c r="BT95" s="403"/>
      <c r="BU95" s="403"/>
      <c r="BV95" s="403"/>
      <c r="BW95" s="403"/>
      <c r="BX95" s="403"/>
      <c r="BY95" s="403"/>
      <c r="BZ95" s="403"/>
      <c r="CA95" s="403"/>
      <c r="CB95" s="403"/>
      <c r="CC95" s="403"/>
      <c r="CD95" s="403"/>
      <c r="CE95" s="403"/>
      <c r="CF95" s="403"/>
      <c r="CG95" s="403"/>
      <c r="CH95" s="403"/>
      <c r="CI95" s="403"/>
      <c r="CJ95" s="403"/>
      <c r="CK95" s="403"/>
      <c r="CL95" s="403"/>
      <c r="CM95" s="403"/>
      <c r="CN95" s="403"/>
      <c r="CO95" s="403"/>
      <c r="CP95" s="403"/>
      <c r="CQ95" s="403"/>
      <c r="CR95" s="403"/>
      <c r="CS95" s="403"/>
      <c r="CT95" s="403"/>
      <c r="CU95" s="403"/>
      <c r="CV95" s="403"/>
      <c r="CW95" s="403"/>
      <c r="CX95" s="403"/>
      <c r="CY95" s="403"/>
      <c r="CZ95" s="403"/>
      <c r="DA95" s="403"/>
      <c r="DB95" s="403"/>
      <c r="DC95" s="403"/>
      <c r="DD95" s="403"/>
      <c r="DE95" s="403"/>
      <c r="DF95" s="403"/>
      <c r="DG95" s="403"/>
      <c r="DH95" s="403"/>
      <c r="DI95" s="403"/>
      <c r="DJ95" s="403"/>
      <c r="DK95" s="403"/>
      <c r="DL95" s="403"/>
      <c r="DM95" s="403"/>
      <c r="DN95" s="403"/>
      <c r="DO95" s="403"/>
      <c r="DP95" s="403"/>
      <c r="DQ95" s="403"/>
      <c r="DR95" s="403"/>
      <c r="DS95" s="403"/>
      <c r="DT95" s="403"/>
      <c r="DU95" s="403"/>
      <c r="DV95" s="403"/>
      <c r="DW95" s="403"/>
      <c r="DX95" s="403"/>
      <c r="DY95" s="403"/>
      <c r="DZ95" s="403"/>
      <c r="EA95" s="403"/>
      <c r="EB95" s="403"/>
      <c r="EC95" s="403"/>
      <c r="ED95" s="403"/>
      <c r="EE95" s="403"/>
      <c r="EF95" s="403"/>
      <c r="EG95" s="403"/>
      <c r="EH95" s="403"/>
      <c r="EI95" s="403"/>
      <c r="EJ95" s="403"/>
      <c r="EK95" s="403"/>
      <c r="EL95" s="403"/>
      <c r="EM95" s="403"/>
      <c r="EN95" s="403"/>
      <c r="EO95" s="403"/>
      <c r="EP95" s="403"/>
      <c r="EQ95" s="403"/>
      <c r="ER95" s="403"/>
      <c r="ES95" s="403"/>
      <c r="ET95" s="403"/>
    </row>
    <row r="96" spans="1:150" s="15" customFormat="1" x14ac:dyDescent="0.2">
      <c r="B96" s="165">
        <v>-7</v>
      </c>
      <c r="C96" s="23" t="str">
        <f>CONCATENATE("",DM2_Vaccine)</f>
        <v/>
      </c>
      <c r="D96" s="3" t="e">
        <f>VLOOKUP(DM2_Vaccine,'T1. Vaccines'!$C$8:$AD$37,E96,FALSE)</f>
        <v>#N/A</v>
      </c>
      <c r="E96" s="2">
        <f ca="1">OFFSET(_Offset_Index_VaccineSupplies_Index,0,B96)</f>
        <v>9</v>
      </c>
      <c r="F96" s="2" t="e">
        <f t="shared" si="20"/>
        <v>#N/A</v>
      </c>
      <c r="G96" s="2" t="e">
        <f t="shared" si="20"/>
        <v>#N/A</v>
      </c>
      <c r="H96" s="2" t="e">
        <f t="shared" si="20"/>
        <v>#N/A</v>
      </c>
      <c r="I96" s="2" t="e">
        <f t="shared" si="20"/>
        <v>#N/A</v>
      </c>
      <c r="J96" s="146" t="e">
        <f t="shared" ref="J96:O96" si="22">J34/J$93</f>
        <v>#N/A</v>
      </c>
      <c r="K96" s="146" t="e">
        <f t="shared" si="22"/>
        <v>#N/A</v>
      </c>
      <c r="L96" s="146" t="e">
        <f t="shared" si="22"/>
        <v>#N/A</v>
      </c>
      <c r="M96" s="146" t="e">
        <f t="shared" si="22"/>
        <v>#N/A</v>
      </c>
      <c r="N96" s="146" t="e">
        <f t="shared" si="22"/>
        <v>#N/A</v>
      </c>
      <c r="O96" s="146" t="e">
        <f t="shared" si="22"/>
        <v>#N/A</v>
      </c>
      <c r="P96" s="281"/>
      <c r="Q96" s="16"/>
      <c r="R96" s="403"/>
      <c r="S96" s="403"/>
      <c r="T96" s="403"/>
      <c r="U96" s="403"/>
      <c r="V96" s="403"/>
      <c r="W96" s="403"/>
      <c r="X96" s="403"/>
      <c r="Y96" s="403"/>
      <c r="Z96" s="403"/>
      <c r="AA96" s="403"/>
      <c r="AB96" s="403"/>
      <c r="AC96" s="403"/>
      <c r="AD96" s="403"/>
      <c r="AE96" s="403"/>
      <c r="AF96" s="403"/>
      <c r="AG96" s="403"/>
      <c r="AH96" s="403"/>
      <c r="AI96" s="403"/>
      <c r="AJ96" s="403"/>
      <c r="AK96" s="403"/>
      <c r="AL96" s="403"/>
      <c r="AM96" s="403"/>
      <c r="AN96" s="403"/>
      <c r="AO96" s="403"/>
      <c r="AP96" s="403"/>
      <c r="AQ96" s="403"/>
      <c r="AR96" s="403"/>
      <c r="AS96" s="403"/>
      <c r="AT96" s="403"/>
      <c r="AU96" s="403"/>
      <c r="AV96" s="403"/>
      <c r="AW96" s="403"/>
      <c r="AX96" s="403"/>
      <c r="AY96" s="403"/>
      <c r="AZ96" s="403"/>
      <c r="BA96" s="403"/>
      <c r="BB96" s="403"/>
      <c r="BC96" s="403"/>
      <c r="BD96" s="403"/>
      <c r="BE96" s="403"/>
      <c r="BF96" s="403"/>
      <c r="BG96" s="403"/>
      <c r="BH96" s="403"/>
      <c r="BI96" s="403"/>
      <c r="BJ96" s="403"/>
      <c r="BK96" s="403"/>
      <c r="BL96" s="403"/>
      <c r="BM96" s="403"/>
      <c r="BN96" s="403"/>
      <c r="BO96" s="403"/>
      <c r="BP96" s="403"/>
      <c r="BQ96" s="403"/>
      <c r="BR96" s="403"/>
      <c r="BS96" s="403"/>
      <c r="BT96" s="403"/>
      <c r="BU96" s="403"/>
      <c r="BV96" s="403"/>
      <c r="BW96" s="403"/>
      <c r="BX96" s="403"/>
      <c r="BY96" s="403"/>
      <c r="BZ96" s="403"/>
      <c r="CA96" s="403"/>
      <c r="CB96" s="403"/>
      <c r="CC96" s="403"/>
      <c r="CD96" s="403"/>
      <c r="CE96" s="403"/>
      <c r="CF96" s="403"/>
      <c r="CG96" s="403"/>
      <c r="CH96" s="403"/>
      <c r="CI96" s="403"/>
      <c r="CJ96" s="403"/>
      <c r="CK96" s="403"/>
      <c r="CL96" s="403"/>
      <c r="CM96" s="403"/>
      <c r="CN96" s="403"/>
      <c r="CO96" s="403"/>
      <c r="CP96" s="403"/>
      <c r="CQ96" s="403"/>
      <c r="CR96" s="403"/>
      <c r="CS96" s="403"/>
      <c r="CT96" s="403"/>
      <c r="CU96" s="403"/>
      <c r="CV96" s="403"/>
      <c r="CW96" s="403"/>
      <c r="CX96" s="403"/>
      <c r="CY96" s="403"/>
      <c r="CZ96" s="403"/>
      <c r="DA96" s="403"/>
      <c r="DB96" s="403"/>
      <c r="DC96" s="403"/>
      <c r="DD96" s="403"/>
      <c r="DE96" s="403"/>
      <c r="DF96" s="403"/>
      <c r="DG96" s="403"/>
      <c r="DH96" s="403"/>
      <c r="DI96" s="403"/>
      <c r="DJ96" s="403"/>
      <c r="DK96" s="403"/>
      <c r="DL96" s="403"/>
      <c r="DM96" s="403"/>
      <c r="DN96" s="403"/>
      <c r="DO96" s="403"/>
      <c r="DP96" s="403"/>
      <c r="DQ96" s="403"/>
      <c r="DR96" s="403"/>
      <c r="DS96" s="403"/>
      <c r="DT96" s="403"/>
      <c r="DU96" s="403"/>
      <c r="DV96" s="403"/>
      <c r="DW96" s="403"/>
      <c r="DX96" s="403"/>
      <c r="DY96" s="403"/>
      <c r="DZ96" s="403"/>
      <c r="EA96" s="403"/>
      <c r="EB96" s="403"/>
      <c r="EC96" s="403"/>
      <c r="ED96" s="403"/>
      <c r="EE96" s="403"/>
      <c r="EF96" s="403"/>
      <c r="EG96" s="403"/>
      <c r="EH96" s="403"/>
      <c r="EI96" s="403"/>
      <c r="EJ96" s="403"/>
      <c r="EK96" s="403"/>
      <c r="EL96" s="403"/>
      <c r="EM96" s="403"/>
      <c r="EN96" s="403"/>
      <c r="EO96" s="403"/>
      <c r="EP96" s="403"/>
      <c r="EQ96" s="403"/>
      <c r="ER96" s="403"/>
      <c r="ES96" s="403"/>
      <c r="ET96" s="403"/>
    </row>
    <row r="97" spans="1:150" s="15" customFormat="1" x14ac:dyDescent="0.2">
      <c r="B97" s="165">
        <v>-7</v>
      </c>
      <c r="C97" s="23" t="str">
        <f>CONCATENATE("",DM3_Vaccine)</f>
        <v/>
      </c>
      <c r="D97" s="3" t="e">
        <f>VLOOKUP(DM3_Vaccine,'T1. Vaccines'!$C$8:$AD$37,E97,FALSE)</f>
        <v>#N/A</v>
      </c>
      <c r="E97" s="2">
        <f ca="1">OFFSET(_Offset_Index_VaccineSupplies_Index,0,B97)</f>
        <v>9</v>
      </c>
      <c r="F97" s="2" t="e">
        <f t="shared" si="20"/>
        <v>#N/A</v>
      </c>
      <c r="G97" s="2" t="e">
        <f t="shared" si="20"/>
        <v>#N/A</v>
      </c>
      <c r="H97" s="2" t="e">
        <f t="shared" si="20"/>
        <v>#N/A</v>
      </c>
      <c r="I97" s="2" t="e">
        <f t="shared" si="20"/>
        <v>#N/A</v>
      </c>
      <c r="J97" s="146" t="e">
        <f t="shared" ref="J97:O97" si="23">J35/J$93</f>
        <v>#N/A</v>
      </c>
      <c r="K97" s="146" t="e">
        <f t="shared" si="23"/>
        <v>#N/A</v>
      </c>
      <c r="L97" s="146" t="e">
        <f t="shared" si="23"/>
        <v>#N/A</v>
      </c>
      <c r="M97" s="146" t="e">
        <f t="shared" si="23"/>
        <v>#N/A</v>
      </c>
      <c r="N97" s="146" t="e">
        <f t="shared" si="23"/>
        <v>#N/A</v>
      </c>
      <c r="O97" s="146" t="e">
        <f t="shared" si="23"/>
        <v>#N/A</v>
      </c>
      <c r="P97" s="281"/>
      <c r="Q97" s="16"/>
      <c r="R97" s="403"/>
      <c r="S97" s="403"/>
      <c r="T97" s="403"/>
      <c r="U97" s="403"/>
      <c r="V97" s="403"/>
      <c r="W97" s="403"/>
      <c r="X97" s="403"/>
      <c r="Y97" s="403"/>
      <c r="Z97" s="403"/>
      <c r="AA97" s="403"/>
      <c r="AB97" s="403"/>
      <c r="AC97" s="403"/>
      <c r="AD97" s="403"/>
      <c r="AE97" s="403"/>
      <c r="AF97" s="403"/>
      <c r="AG97" s="403"/>
      <c r="AH97" s="403"/>
      <c r="AI97" s="403"/>
      <c r="AJ97" s="403"/>
      <c r="AK97" s="403"/>
      <c r="AL97" s="403"/>
      <c r="AM97" s="403"/>
      <c r="AN97" s="403"/>
      <c r="AO97" s="403"/>
      <c r="AP97" s="403"/>
      <c r="AQ97" s="403"/>
      <c r="AR97" s="403"/>
      <c r="AS97" s="403"/>
      <c r="AT97" s="403"/>
      <c r="AU97" s="403"/>
      <c r="AV97" s="403"/>
      <c r="AW97" s="403"/>
      <c r="AX97" s="403"/>
      <c r="AY97" s="403"/>
      <c r="AZ97" s="403"/>
      <c r="BA97" s="403"/>
      <c r="BB97" s="403"/>
      <c r="BC97" s="403"/>
      <c r="BD97" s="403"/>
      <c r="BE97" s="403"/>
      <c r="BF97" s="403"/>
      <c r="BG97" s="403"/>
      <c r="BH97" s="403"/>
      <c r="BI97" s="403"/>
      <c r="BJ97" s="403"/>
      <c r="BK97" s="403"/>
      <c r="BL97" s="403"/>
      <c r="BM97" s="403"/>
      <c r="BN97" s="403"/>
      <c r="BO97" s="403"/>
      <c r="BP97" s="403"/>
      <c r="BQ97" s="403"/>
      <c r="BR97" s="403"/>
      <c r="BS97" s="403"/>
      <c r="BT97" s="403"/>
      <c r="BU97" s="403"/>
      <c r="BV97" s="403"/>
      <c r="BW97" s="403"/>
      <c r="BX97" s="403"/>
      <c r="BY97" s="403"/>
      <c r="BZ97" s="403"/>
      <c r="CA97" s="403"/>
      <c r="CB97" s="403"/>
      <c r="CC97" s="403"/>
      <c r="CD97" s="403"/>
      <c r="CE97" s="403"/>
      <c r="CF97" s="403"/>
      <c r="CG97" s="403"/>
      <c r="CH97" s="403"/>
      <c r="CI97" s="403"/>
      <c r="CJ97" s="403"/>
      <c r="CK97" s="403"/>
      <c r="CL97" s="403"/>
      <c r="CM97" s="403"/>
      <c r="CN97" s="403"/>
      <c r="CO97" s="403"/>
      <c r="CP97" s="403"/>
      <c r="CQ97" s="403"/>
      <c r="CR97" s="403"/>
      <c r="CS97" s="403"/>
      <c r="CT97" s="403"/>
      <c r="CU97" s="403"/>
      <c r="CV97" s="403"/>
      <c r="CW97" s="403"/>
      <c r="CX97" s="403"/>
      <c r="CY97" s="403"/>
      <c r="CZ97" s="403"/>
      <c r="DA97" s="403"/>
      <c r="DB97" s="403"/>
      <c r="DC97" s="403"/>
      <c r="DD97" s="403"/>
      <c r="DE97" s="403"/>
      <c r="DF97" s="403"/>
      <c r="DG97" s="403"/>
      <c r="DH97" s="403"/>
      <c r="DI97" s="403"/>
      <c r="DJ97" s="403"/>
      <c r="DK97" s="403"/>
      <c r="DL97" s="403"/>
      <c r="DM97" s="403"/>
      <c r="DN97" s="403"/>
      <c r="DO97" s="403"/>
      <c r="DP97" s="403"/>
      <c r="DQ97" s="403"/>
      <c r="DR97" s="403"/>
      <c r="DS97" s="403"/>
      <c r="DT97" s="403"/>
      <c r="DU97" s="403"/>
      <c r="DV97" s="403"/>
      <c r="DW97" s="403"/>
      <c r="DX97" s="403"/>
      <c r="DY97" s="403"/>
      <c r="DZ97" s="403"/>
      <c r="EA97" s="403"/>
      <c r="EB97" s="403"/>
      <c r="EC97" s="403"/>
      <c r="ED97" s="403"/>
      <c r="EE97" s="403"/>
      <c r="EF97" s="403"/>
      <c r="EG97" s="403"/>
      <c r="EH97" s="403"/>
      <c r="EI97" s="403"/>
      <c r="EJ97" s="403"/>
      <c r="EK97" s="403"/>
      <c r="EL97" s="403"/>
      <c r="EM97" s="403"/>
      <c r="EN97" s="403"/>
      <c r="EO97" s="403"/>
      <c r="EP97" s="403"/>
      <c r="EQ97" s="403"/>
      <c r="ER97" s="403"/>
      <c r="ES97" s="403"/>
      <c r="ET97" s="403"/>
    </row>
    <row r="98" spans="1:150" s="15" customFormat="1" x14ac:dyDescent="0.2">
      <c r="B98" s="165">
        <v>-7</v>
      </c>
      <c r="C98" s="23" t="str">
        <f>CONCATENATE("",DM4_Vaccine)</f>
        <v/>
      </c>
      <c r="D98" s="3" t="e">
        <f>VLOOKUP(DM4_Vaccine,'T1. Vaccines'!$C$8:$AD$37,E98,FALSE)</f>
        <v>#N/A</v>
      </c>
      <c r="E98" s="2">
        <f ca="1">OFFSET(_Offset_Index_VaccineSupplies_Index,0,B98)</f>
        <v>9</v>
      </c>
      <c r="F98" s="2" t="e">
        <f t="shared" si="20"/>
        <v>#N/A</v>
      </c>
      <c r="G98" s="2" t="e">
        <f t="shared" si="20"/>
        <v>#N/A</v>
      </c>
      <c r="H98" s="2" t="e">
        <f t="shared" si="20"/>
        <v>#N/A</v>
      </c>
      <c r="I98" s="2" t="e">
        <f t="shared" si="20"/>
        <v>#N/A</v>
      </c>
      <c r="J98" s="146" t="e">
        <f t="shared" ref="J98:O98" si="24">J36/J$93</f>
        <v>#N/A</v>
      </c>
      <c r="K98" s="146" t="e">
        <f t="shared" si="24"/>
        <v>#N/A</v>
      </c>
      <c r="L98" s="146" t="e">
        <f t="shared" si="24"/>
        <v>#N/A</v>
      </c>
      <c r="M98" s="146" t="e">
        <f t="shared" si="24"/>
        <v>#N/A</v>
      </c>
      <c r="N98" s="146" t="e">
        <f t="shared" si="24"/>
        <v>#N/A</v>
      </c>
      <c r="O98" s="146" t="e">
        <f t="shared" si="24"/>
        <v>#N/A</v>
      </c>
      <c r="P98" s="281"/>
      <c r="Q98" s="16"/>
      <c r="R98" s="403"/>
      <c r="S98" s="403"/>
      <c r="T98" s="403"/>
      <c r="U98" s="403"/>
      <c r="V98" s="403"/>
      <c r="W98" s="403"/>
      <c r="X98" s="403"/>
      <c r="Y98" s="403"/>
      <c r="Z98" s="403"/>
      <c r="AA98" s="403"/>
      <c r="AB98" s="403"/>
      <c r="AC98" s="403"/>
      <c r="AD98" s="403"/>
      <c r="AE98" s="403"/>
      <c r="AF98" s="403"/>
      <c r="AG98" s="403"/>
      <c r="AH98" s="403"/>
      <c r="AI98" s="403"/>
      <c r="AJ98" s="403"/>
      <c r="AK98" s="403"/>
      <c r="AL98" s="403"/>
      <c r="AM98" s="403"/>
      <c r="AN98" s="403"/>
      <c r="AO98" s="403"/>
      <c r="AP98" s="403"/>
      <c r="AQ98" s="403"/>
      <c r="AR98" s="403"/>
      <c r="AS98" s="403"/>
      <c r="AT98" s="403"/>
      <c r="AU98" s="403"/>
      <c r="AV98" s="403"/>
      <c r="AW98" s="403"/>
      <c r="AX98" s="403"/>
      <c r="AY98" s="403"/>
      <c r="AZ98" s="403"/>
      <c r="BA98" s="403"/>
      <c r="BB98" s="403"/>
      <c r="BC98" s="403"/>
      <c r="BD98" s="403"/>
      <c r="BE98" s="403"/>
      <c r="BF98" s="403"/>
      <c r="BG98" s="403"/>
      <c r="BH98" s="403"/>
      <c r="BI98" s="403"/>
      <c r="BJ98" s="403"/>
      <c r="BK98" s="403"/>
      <c r="BL98" s="403"/>
      <c r="BM98" s="403"/>
      <c r="BN98" s="403"/>
      <c r="BO98" s="403"/>
      <c r="BP98" s="403"/>
      <c r="BQ98" s="403"/>
      <c r="BR98" s="403"/>
      <c r="BS98" s="403"/>
      <c r="BT98" s="403"/>
      <c r="BU98" s="403"/>
      <c r="BV98" s="403"/>
      <c r="BW98" s="403"/>
      <c r="BX98" s="403"/>
      <c r="BY98" s="403"/>
      <c r="BZ98" s="403"/>
      <c r="CA98" s="403"/>
      <c r="CB98" s="403"/>
      <c r="CC98" s="403"/>
      <c r="CD98" s="403"/>
      <c r="CE98" s="403"/>
      <c r="CF98" s="403"/>
      <c r="CG98" s="403"/>
      <c r="CH98" s="403"/>
      <c r="CI98" s="403"/>
      <c r="CJ98" s="403"/>
      <c r="CK98" s="403"/>
      <c r="CL98" s="403"/>
      <c r="CM98" s="403"/>
      <c r="CN98" s="403"/>
      <c r="CO98" s="403"/>
      <c r="CP98" s="403"/>
      <c r="CQ98" s="403"/>
      <c r="CR98" s="403"/>
      <c r="CS98" s="403"/>
      <c r="CT98" s="403"/>
      <c r="CU98" s="403"/>
      <c r="CV98" s="403"/>
      <c r="CW98" s="403"/>
      <c r="CX98" s="403"/>
      <c r="CY98" s="403"/>
      <c r="CZ98" s="403"/>
      <c r="DA98" s="403"/>
      <c r="DB98" s="403"/>
      <c r="DC98" s="403"/>
      <c r="DD98" s="403"/>
      <c r="DE98" s="403"/>
      <c r="DF98" s="403"/>
      <c r="DG98" s="403"/>
      <c r="DH98" s="403"/>
      <c r="DI98" s="403"/>
      <c r="DJ98" s="403"/>
      <c r="DK98" s="403"/>
      <c r="DL98" s="403"/>
      <c r="DM98" s="403"/>
      <c r="DN98" s="403"/>
      <c r="DO98" s="403"/>
      <c r="DP98" s="403"/>
      <c r="DQ98" s="403"/>
      <c r="DR98" s="403"/>
      <c r="DS98" s="403"/>
      <c r="DT98" s="403"/>
      <c r="DU98" s="403"/>
      <c r="DV98" s="403"/>
      <c r="DW98" s="403"/>
      <c r="DX98" s="403"/>
      <c r="DY98" s="403"/>
      <c r="DZ98" s="403"/>
      <c r="EA98" s="403"/>
      <c r="EB98" s="403"/>
      <c r="EC98" s="403"/>
      <c r="ED98" s="403"/>
      <c r="EE98" s="403"/>
      <c r="EF98" s="403"/>
      <c r="EG98" s="403"/>
      <c r="EH98" s="403"/>
      <c r="EI98" s="403"/>
      <c r="EJ98" s="403"/>
      <c r="EK98" s="403"/>
      <c r="EL98" s="403"/>
      <c r="EM98" s="403"/>
      <c r="EN98" s="403"/>
      <c r="EO98" s="403"/>
      <c r="EP98" s="403"/>
      <c r="EQ98" s="403"/>
      <c r="ER98" s="403"/>
      <c r="ES98" s="403"/>
      <c r="ET98" s="403"/>
    </row>
    <row r="99" spans="1:150" s="281" customFormat="1" x14ac:dyDescent="0.2">
      <c r="B99" s="165"/>
      <c r="C99" s="23"/>
      <c r="D99" s="23"/>
      <c r="E99" s="2"/>
      <c r="F99" s="2"/>
      <c r="G99" s="2"/>
      <c r="H99" s="2"/>
      <c r="I99" s="2"/>
      <c r="J99" s="146"/>
      <c r="K99" s="146"/>
      <c r="L99" s="146"/>
      <c r="M99" s="146"/>
      <c r="N99" s="146"/>
      <c r="O99" s="146"/>
      <c r="Q99" s="16"/>
      <c r="R99" s="403"/>
      <c r="S99" s="403"/>
      <c r="T99" s="403"/>
      <c r="U99" s="403"/>
      <c r="V99" s="403"/>
      <c r="W99" s="403"/>
      <c r="X99" s="403"/>
      <c r="Y99" s="403"/>
      <c r="Z99" s="403"/>
      <c r="AA99" s="403"/>
      <c r="AB99" s="403"/>
      <c r="AC99" s="403"/>
      <c r="AD99" s="403"/>
      <c r="AE99" s="403"/>
      <c r="AF99" s="403"/>
      <c r="AG99" s="403"/>
      <c r="AH99" s="403"/>
      <c r="AI99" s="403"/>
      <c r="AJ99" s="403"/>
      <c r="AK99" s="403"/>
      <c r="AL99" s="403"/>
      <c r="AM99" s="403"/>
      <c r="AN99" s="403"/>
      <c r="AO99" s="403"/>
      <c r="AP99" s="403"/>
      <c r="AQ99" s="403"/>
      <c r="AR99" s="403"/>
      <c r="AS99" s="403"/>
      <c r="AT99" s="403"/>
      <c r="AU99" s="403"/>
      <c r="AV99" s="403"/>
      <c r="AW99" s="403"/>
      <c r="AX99" s="403"/>
      <c r="AY99" s="403"/>
      <c r="AZ99" s="403"/>
      <c r="BA99" s="403"/>
      <c r="BB99" s="403"/>
      <c r="BC99" s="403"/>
      <c r="BD99" s="403"/>
      <c r="BE99" s="403"/>
      <c r="BF99" s="403"/>
      <c r="BG99" s="403"/>
      <c r="BH99" s="403"/>
      <c r="BI99" s="403"/>
      <c r="BJ99" s="403"/>
      <c r="BK99" s="403"/>
      <c r="BL99" s="403"/>
      <c r="BM99" s="403"/>
      <c r="BN99" s="403"/>
      <c r="BO99" s="403"/>
      <c r="BP99" s="403"/>
      <c r="BQ99" s="403"/>
      <c r="BR99" s="403"/>
      <c r="BS99" s="403"/>
      <c r="BT99" s="403"/>
      <c r="BU99" s="403"/>
      <c r="BV99" s="403"/>
      <c r="BW99" s="403"/>
      <c r="BX99" s="403"/>
      <c r="BY99" s="403"/>
      <c r="BZ99" s="403"/>
      <c r="CA99" s="403"/>
      <c r="CB99" s="403"/>
      <c r="CC99" s="403"/>
      <c r="CD99" s="403"/>
      <c r="CE99" s="403"/>
      <c r="CF99" s="403"/>
      <c r="CG99" s="403"/>
      <c r="CH99" s="403"/>
      <c r="CI99" s="403"/>
      <c r="CJ99" s="403"/>
      <c r="CK99" s="403"/>
      <c r="CL99" s="403"/>
      <c r="CM99" s="403"/>
      <c r="CN99" s="403"/>
      <c r="CO99" s="403"/>
      <c r="CP99" s="403"/>
      <c r="CQ99" s="403"/>
      <c r="CR99" s="403"/>
      <c r="CS99" s="403"/>
      <c r="CT99" s="403"/>
      <c r="CU99" s="403"/>
      <c r="CV99" s="403"/>
      <c r="CW99" s="403"/>
      <c r="CX99" s="403"/>
      <c r="CY99" s="403"/>
      <c r="CZ99" s="403"/>
      <c r="DA99" s="403"/>
      <c r="DB99" s="403"/>
      <c r="DC99" s="403"/>
      <c r="DD99" s="403"/>
      <c r="DE99" s="403"/>
      <c r="DF99" s="403"/>
      <c r="DG99" s="403"/>
      <c r="DH99" s="403"/>
      <c r="DI99" s="403"/>
      <c r="DJ99" s="403"/>
      <c r="DK99" s="403"/>
      <c r="DL99" s="403"/>
      <c r="DM99" s="403"/>
      <c r="DN99" s="403"/>
      <c r="DO99" s="403"/>
      <c r="DP99" s="403"/>
      <c r="DQ99" s="403"/>
      <c r="DR99" s="403"/>
      <c r="DS99" s="403"/>
      <c r="DT99" s="403"/>
      <c r="DU99" s="403"/>
      <c r="DV99" s="403"/>
      <c r="DW99" s="403"/>
      <c r="DX99" s="403"/>
      <c r="DY99" s="403"/>
      <c r="DZ99" s="403"/>
      <c r="EA99" s="403"/>
      <c r="EB99" s="403"/>
      <c r="EC99" s="403"/>
      <c r="ED99" s="403"/>
      <c r="EE99" s="403"/>
      <c r="EF99" s="403"/>
      <c r="EG99" s="403"/>
      <c r="EH99" s="403"/>
      <c r="EI99" s="403"/>
      <c r="EJ99" s="403"/>
      <c r="EK99" s="403"/>
      <c r="EL99" s="403"/>
      <c r="EM99" s="403"/>
      <c r="EN99" s="403"/>
      <c r="EO99" s="403"/>
      <c r="EP99" s="403"/>
      <c r="EQ99" s="403"/>
      <c r="ER99" s="403"/>
      <c r="ES99" s="403"/>
      <c r="ET99" s="403"/>
    </row>
    <row r="100" spans="1:150" s="15" customFormat="1" x14ac:dyDescent="0.2">
      <c r="B100" s="51" t="str">
        <f ca="1">IF(OFFSET(T100,0,Lang_Order*Lang__B4)="","",OFFSET(T100,0,Lang_Order*Lang__B4))</f>
        <v>Volume of COVID-19 vaccines in secondary packaging (liters) per Shipment, incl. buffer</v>
      </c>
      <c r="C100" s="5"/>
      <c r="J100" s="16"/>
      <c r="K100" s="16"/>
      <c r="L100" s="16"/>
      <c r="M100" s="16"/>
      <c r="N100" s="16"/>
      <c r="O100" s="16"/>
      <c r="P100" s="2" t="str">
        <f ca="1">IF(OFFSET(AH100,0,Lang_Order*Lang__B4)="","",OFFSET(AH100,0,Lang_Order*Lang__B4))</f>
        <v>Methodological note: The largest shipment size (plus buffer) is taken as the capacity required</v>
      </c>
      <c r="Q100" s="16"/>
      <c r="R100" s="403"/>
      <c r="S100" s="403"/>
      <c r="T100" s="403" t="s">
        <v>3202</v>
      </c>
      <c r="U100" s="403"/>
      <c r="V100" s="403"/>
      <c r="W100" s="403"/>
      <c r="X100" s="403"/>
      <c r="Y100" s="403"/>
      <c r="Z100" s="403"/>
      <c r="AA100" s="403"/>
      <c r="AB100" s="403"/>
      <c r="AC100" s="403"/>
      <c r="AD100" s="403"/>
      <c r="AE100" s="403"/>
      <c r="AF100" s="403"/>
      <c r="AG100" s="403"/>
      <c r="AH100" s="403" t="s">
        <v>3198</v>
      </c>
      <c r="AI100" s="403"/>
      <c r="AJ100" s="403"/>
      <c r="AK100" s="403"/>
      <c r="AL100" s="403"/>
      <c r="AM100" s="403" t="s">
        <v>10782</v>
      </c>
      <c r="AN100" s="403"/>
      <c r="AO100" s="403"/>
      <c r="AP100" s="403"/>
      <c r="AQ100" s="403"/>
      <c r="AR100" s="403"/>
      <c r="AS100" s="403"/>
      <c r="AT100" s="403"/>
      <c r="AU100" s="403"/>
      <c r="AV100" s="403"/>
      <c r="AW100" s="403"/>
      <c r="AX100" s="403"/>
      <c r="AY100" s="403"/>
      <c r="AZ100" s="403"/>
      <c r="BA100" s="403" t="s">
        <v>10790</v>
      </c>
      <c r="BB100" s="403"/>
      <c r="BC100" s="403"/>
      <c r="BD100" s="403"/>
      <c r="BE100" s="403"/>
      <c r="BF100" s="403" t="s">
        <v>10783</v>
      </c>
      <c r="BG100" s="403"/>
      <c r="BH100" s="403"/>
      <c r="BI100" s="403"/>
      <c r="BJ100" s="403"/>
      <c r="BK100" s="403"/>
      <c r="BL100" s="403"/>
      <c r="BM100" s="403"/>
      <c r="BN100" s="403"/>
      <c r="BO100" s="403"/>
      <c r="BP100" s="403"/>
      <c r="BQ100" s="403"/>
      <c r="BR100" s="403"/>
      <c r="BS100" s="403"/>
      <c r="BT100" s="403" t="s">
        <v>10791</v>
      </c>
      <c r="BU100" s="403"/>
      <c r="BV100" s="403"/>
      <c r="BW100" s="403"/>
      <c r="BX100" s="403"/>
      <c r="BY100" s="403" t="s">
        <v>10784</v>
      </c>
      <c r="BZ100" s="403"/>
      <c r="CA100" s="403"/>
      <c r="CB100" s="403"/>
      <c r="CC100" s="403"/>
      <c r="CD100" s="403"/>
      <c r="CE100" s="403"/>
      <c r="CF100" s="403"/>
      <c r="CG100" s="403"/>
      <c r="CH100" s="403"/>
      <c r="CI100" s="403"/>
      <c r="CJ100" s="403"/>
      <c r="CK100" s="403"/>
      <c r="CL100" s="403"/>
      <c r="CM100" s="403" t="s">
        <v>10792</v>
      </c>
      <c r="CN100" s="403"/>
      <c r="CO100" s="403"/>
      <c r="CP100" s="403"/>
      <c r="CQ100" s="403"/>
      <c r="CR100" s="403" t="s">
        <v>10785</v>
      </c>
      <c r="CS100" s="403"/>
      <c r="CT100" s="403"/>
      <c r="CU100" s="403"/>
      <c r="CV100" s="403"/>
      <c r="CW100" s="403"/>
      <c r="CX100" s="403"/>
      <c r="CY100" s="403"/>
      <c r="CZ100" s="403"/>
      <c r="DA100" s="403"/>
      <c r="DB100" s="403"/>
      <c r="DC100" s="403"/>
      <c r="DD100" s="403"/>
      <c r="DE100" s="403"/>
      <c r="DF100" s="403" t="s">
        <v>10793</v>
      </c>
      <c r="DG100" s="403"/>
      <c r="DH100" s="403"/>
      <c r="DI100" s="403"/>
      <c r="DJ100" s="403"/>
      <c r="DK100" s="403" t="s">
        <v>10786</v>
      </c>
      <c r="DL100" s="403"/>
      <c r="DM100" s="403"/>
      <c r="DN100" s="403"/>
      <c r="DO100" s="403"/>
      <c r="DP100" s="403"/>
      <c r="DQ100" s="403"/>
      <c r="DR100" s="403"/>
      <c r="DS100" s="403"/>
      <c r="DT100" s="403"/>
      <c r="DU100" s="403"/>
      <c r="DV100" s="403"/>
      <c r="DW100" s="403"/>
      <c r="DX100" s="403"/>
      <c r="DY100" s="403" t="s">
        <v>10794</v>
      </c>
      <c r="DZ100" s="403"/>
      <c r="EA100" s="403"/>
      <c r="EB100" s="403"/>
      <c r="EC100" s="403"/>
      <c r="ED100" s="403" t="s">
        <v>10787</v>
      </c>
      <c r="EE100" s="403"/>
      <c r="EF100" s="403"/>
      <c r="EG100" s="403"/>
      <c r="EH100" s="403"/>
      <c r="EI100" s="403"/>
      <c r="EJ100" s="403"/>
      <c r="EK100" s="403"/>
      <c r="EL100" s="403"/>
      <c r="EM100" s="403"/>
      <c r="EN100" s="403"/>
      <c r="EO100" s="403"/>
      <c r="EP100" s="403"/>
      <c r="EQ100" s="403"/>
      <c r="ER100" s="403" t="s">
        <v>10795</v>
      </c>
      <c r="ES100" s="403"/>
      <c r="ET100" s="403"/>
    </row>
    <row r="101" spans="1:150" s="15" customFormat="1" x14ac:dyDescent="0.2">
      <c r="A101" s="346" t="s">
        <v>14118</v>
      </c>
      <c r="C101" s="72" t="str">
        <f ca="1">IF(OFFSET(U101,0,Lang_Order*Lang__B4)="","",OFFSET(U101,0,Lang_Order*Lang__B4))</f>
        <v>Room temperature</v>
      </c>
      <c r="D101" s="165" t="str">
        <f>'T2. Misc'!G9</f>
        <v>Room temperature</v>
      </c>
      <c r="J101" s="146" t="e">
        <f t="shared" ref="J101:O101" si="25">SUMPRODUCT($F$95:$F$98,J$95:J$98)</f>
        <v>#N/A</v>
      </c>
      <c r="K101" s="146" t="e">
        <f t="shared" si="25"/>
        <v>#N/A</v>
      </c>
      <c r="L101" s="146" t="e">
        <f t="shared" si="25"/>
        <v>#N/A</v>
      </c>
      <c r="M101" s="146" t="e">
        <f t="shared" si="25"/>
        <v>#N/A</v>
      </c>
      <c r="N101" s="146" t="e">
        <f t="shared" si="25"/>
        <v>#N/A</v>
      </c>
      <c r="O101" s="146" t="e">
        <f t="shared" si="25"/>
        <v>#N/A</v>
      </c>
      <c r="P101" s="287"/>
      <c r="Q101" s="157" t="str">
        <f ca="1">IF(OFFSET(AI101,0,Lang_Order*Lang__B4)="","",OFFSET(AI101,0,Lang_Order*Lang__B4))</f>
        <v>Vaccines which can be stored in dry storage assumed as no storage cost</v>
      </c>
      <c r="R101" s="403"/>
      <c r="S101" s="403"/>
      <c r="T101" s="403"/>
      <c r="U101" s="403" t="s">
        <v>10</v>
      </c>
      <c r="V101" s="403"/>
      <c r="W101" s="403"/>
      <c r="X101" s="403"/>
      <c r="Y101" s="403"/>
      <c r="Z101" s="403"/>
      <c r="AA101" s="403"/>
      <c r="AB101" s="403"/>
      <c r="AC101" s="403"/>
      <c r="AD101" s="403"/>
      <c r="AE101" s="403"/>
      <c r="AF101" s="403"/>
      <c r="AG101" s="403"/>
      <c r="AH101" s="403"/>
      <c r="AI101" s="403" t="s">
        <v>3195</v>
      </c>
      <c r="AJ101" s="403"/>
      <c r="AK101" s="403"/>
      <c r="AL101" s="403"/>
      <c r="AM101" s="403"/>
      <c r="AN101" s="403" t="s">
        <v>8371</v>
      </c>
      <c r="AO101" s="403"/>
      <c r="AP101" s="403"/>
      <c r="AQ101" s="403"/>
      <c r="AR101" s="403"/>
      <c r="AS101" s="403"/>
      <c r="AT101" s="403"/>
      <c r="AU101" s="403"/>
      <c r="AV101" s="403"/>
      <c r="AW101" s="403"/>
      <c r="AX101" s="403"/>
      <c r="AY101" s="403"/>
      <c r="AZ101" s="403"/>
      <c r="BA101" s="403"/>
      <c r="BB101" s="403" t="s">
        <v>10709</v>
      </c>
      <c r="BC101" s="403"/>
      <c r="BD101" s="403"/>
      <c r="BE101" s="403"/>
      <c r="BF101" s="403"/>
      <c r="BG101" s="403" t="s">
        <v>10226</v>
      </c>
      <c r="BH101" s="403"/>
      <c r="BI101" s="403"/>
      <c r="BJ101" s="403"/>
      <c r="BK101" s="403"/>
      <c r="BL101" s="403"/>
      <c r="BM101" s="403"/>
      <c r="BN101" s="403"/>
      <c r="BO101" s="403"/>
      <c r="BP101" s="403"/>
      <c r="BQ101" s="403"/>
      <c r="BR101" s="403"/>
      <c r="BS101" s="403"/>
      <c r="BT101" s="403"/>
      <c r="BU101" s="403" t="s">
        <v>10710</v>
      </c>
      <c r="BV101" s="403"/>
      <c r="BW101" s="403"/>
      <c r="BX101" s="403"/>
      <c r="BY101" s="403"/>
      <c r="BZ101" s="403" t="s">
        <v>8375</v>
      </c>
      <c r="CA101" s="403"/>
      <c r="CB101" s="403"/>
      <c r="CC101" s="403"/>
      <c r="CD101" s="403"/>
      <c r="CE101" s="403"/>
      <c r="CF101" s="403"/>
      <c r="CG101" s="403"/>
      <c r="CH101" s="403"/>
      <c r="CI101" s="403"/>
      <c r="CJ101" s="403"/>
      <c r="CK101" s="403"/>
      <c r="CL101" s="403"/>
      <c r="CM101" s="403"/>
      <c r="CN101" s="403" t="s">
        <v>10711</v>
      </c>
      <c r="CO101" s="403"/>
      <c r="CP101" s="403"/>
      <c r="CQ101" s="403"/>
      <c r="CR101" s="403"/>
      <c r="CS101" s="403" t="s">
        <v>8375</v>
      </c>
      <c r="CT101" s="403"/>
      <c r="CU101" s="403"/>
      <c r="CV101" s="403"/>
      <c r="CW101" s="403"/>
      <c r="CX101" s="403"/>
      <c r="CY101" s="403"/>
      <c r="CZ101" s="403"/>
      <c r="DA101" s="403"/>
      <c r="DB101" s="403"/>
      <c r="DC101" s="403"/>
      <c r="DD101" s="403"/>
      <c r="DE101" s="403"/>
      <c r="DF101" s="403"/>
      <c r="DG101" s="403" t="s">
        <v>10712</v>
      </c>
      <c r="DH101" s="403"/>
      <c r="DI101" s="403"/>
      <c r="DJ101" s="403"/>
      <c r="DK101" s="403"/>
      <c r="DL101" s="403" t="s">
        <v>8378</v>
      </c>
      <c r="DM101" s="403"/>
      <c r="DN101" s="403"/>
      <c r="DO101" s="403"/>
      <c r="DP101" s="403"/>
      <c r="DQ101" s="403"/>
      <c r="DR101" s="403"/>
      <c r="DS101" s="403"/>
      <c r="DT101" s="403"/>
      <c r="DU101" s="403"/>
      <c r="DV101" s="403"/>
      <c r="DW101" s="403"/>
      <c r="DX101" s="403"/>
      <c r="DY101" s="403"/>
      <c r="DZ101" s="403" t="s">
        <v>10716</v>
      </c>
      <c r="EA101" s="403"/>
      <c r="EB101" s="403"/>
      <c r="EC101" s="403"/>
      <c r="ED101" s="403"/>
      <c r="EE101" s="403" t="s">
        <v>10256</v>
      </c>
      <c r="EF101" s="403"/>
      <c r="EG101" s="403"/>
      <c r="EH101" s="403"/>
      <c r="EI101" s="403"/>
      <c r="EJ101" s="403"/>
      <c r="EK101" s="403"/>
      <c r="EL101" s="403"/>
      <c r="EM101" s="403"/>
      <c r="EN101" s="403"/>
      <c r="EO101" s="403"/>
      <c r="EP101" s="403"/>
      <c r="EQ101" s="403"/>
      <c r="ER101" s="403"/>
      <c r="ES101" s="403" t="s">
        <v>10713</v>
      </c>
      <c r="ET101" s="403"/>
    </row>
    <row r="102" spans="1:150" s="15" customFormat="1" x14ac:dyDescent="0.2">
      <c r="C102" s="5" t="str">
        <f ca="1">IF(OFFSET(U102,0,Lang_Order*Lang__B4)="","",OFFSET(U102,0,Lang_Order*Lang__B4))</f>
        <v>Refrigerated (2 to 8C)</v>
      </c>
      <c r="D102" s="165" t="str">
        <f>'T2. Misc'!G10</f>
        <v>Refrigerated (2 to 8C)</v>
      </c>
      <c r="J102" s="146" t="e">
        <f t="shared" ref="J102:O102" si="26">SUMPRODUCT($G$95:$G$98,J$95:J$98)</f>
        <v>#N/A</v>
      </c>
      <c r="K102" s="146" t="e">
        <f t="shared" si="26"/>
        <v>#N/A</v>
      </c>
      <c r="L102" s="146" t="e">
        <f t="shared" si="26"/>
        <v>#N/A</v>
      </c>
      <c r="M102" s="146" t="e">
        <f t="shared" si="26"/>
        <v>#N/A</v>
      </c>
      <c r="N102" s="146" t="e">
        <f t="shared" si="26"/>
        <v>#N/A</v>
      </c>
      <c r="O102" s="146" t="e">
        <f t="shared" si="26"/>
        <v>#N/A</v>
      </c>
      <c r="P102" s="287" t="e">
        <f>MAX(J102:O102)</f>
        <v>#N/A</v>
      </c>
      <c r="Q102" s="567"/>
      <c r="R102" s="403"/>
      <c r="S102" s="403"/>
      <c r="T102" s="403"/>
      <c r="U102" s="403" t="s">
        <v>11</v>
      </c>
      <c r="V102" s="403"/>
      <c r="W102" s="403"/>
      <c r="X102" s="403"/>
      <c r="Y102" s="403"/>
      <c r="Z102" s="403"/>
      <c r="AA102" s="403"/>
      <c r="AB102" s="403"/>
      <c r="AC102" s="403"/>
      <c r="AD102" s="403"/>
      <c r="AE102" s="403"/>
      <c r="AF102" s="403"/>
      <c r="AG102" s="403"/>
      <c r="AH102" s="403"/>
      <c r="AI102" s="403"/>
      <c r="AJ102" s="403"/>
      <c r="AK102" s="403"/>
      <c r="AL102" s="403"/>
      <c r="AM102" s="403"/>
      <c r="AN102" s="403" t="s">
        <v>10714</v>
      </c>
      <c r="AO102" s="403"/>
      <c r="AP102" s="403"/>
      <c r="AQ102" s="403"/>
      <c r="AR102" s="403"/>
      <c r="AS102" s="403"/>
      <c r="AT102" s="403"/>
      <c r="AU102" s="403"/>
      <c r="AV102" s="403"/>
      <c r="AW102" s="403"/>
      <c r="AX102" s="403"/>
      <c r="AY102" s="403"/>
      <c r="AZ102" s="403"/>
      <c r="BA102" s="403"/>
      <c r="BB102" s="403"/>
      <c r="BC102" s="403"/>
      <c r="BD102" s="403"/>
      <c r="BE102" s="403"/>
      <c r="BF102" s="403"/>
      <c r="BG102" s="403" t="s">
        <v>10227</v>
      </c>
      <c r="BH102" s="403"/>
      <c r="BI102" s="403"/>
      <c r="BJ102" s="403"/>
      <c r="BK102" s="403"/>
      <c r="BL102" s="403"/>
      <c r="BM102" s="403"/>
      <c r="BN102" s="403"/>
      <c r="BO102" s="403"/>
      <c r="BP102" s="403"/>
      <c r="BQ102" s="403"/>
      <c r="BR102" s="403"/>
      <c r="BS102" s="403"/>
      <c r="BT102" s="403"/>
      <c r="BU102" s="403"/>
      <c r="BV102" s="403"/>
      <c r="BW102" s="403"/>
      <c r="BX102" s="403"/>
      <c r="BY102" s="403"/>
      <c r="BZ102" s="403" t="s">
        <v>10715</v>
      </c>
      <c r="CA102" s="403"/>
      <c r="CB102" s="403"/>
      <c r="CC102" s="403"/>
      <c r="CD102" s="403"/>
      <c r="CE102" s="403"/>
      <c r="CF102" s="403"/>
      <c r="CG102" s="403"/>
      <c r="CH102" s="403"/>
      <c r="CI102" s="403"/>
      <c r="CJ102" s="403"/>
      <c r="CK102" s="403"/>
      <c r="CL102" s="403"/>
      <c r="CM102" s="403"/>
      <c r="CN102" s="403"/>
      <c r="CO102" s="403"/>
      <c r="CP102" s="403"/>
      <c r="CQ102" s="403"/>
      <c r="CR102" s="403"/>
      <c r="CS102" s="403" t="s">
        <v>8384</v>
      </c>
      <c r="CT102" s="403"/>
      <c r="CU102" s="403"/>
      <c r="CV102" s="403"/>
      <c r="CW102" s="403"/>
      <c r="CX102" s="403"/>
      <c r="CY102" s="403"/>
      <c r="CZ102" s="403"/>
      <c r="DA102" s="403"/>
      <c r="DB102" s="403"/>
      <c r="DC102" s="403"/>
      <c r="DD102" s="403"/>
      <c r="DE102" s="403"/>
      <c r="DF102" s="403"/>
      <c r="DG102" s="403"/>
      <c r="DH102" s="403"/>
      <c r="DI102" s="403"/>
      <c r="DJ102" s="403"/>
      <c r="DK102" s="403"/>
      <c r="DL102" s="403" t="s">
        <v>10248</v>
      </c>
      <c r="DM102" s="403"/>
      <c r="DN102" s="403"/>
      <c r="DO102" s="403"/>
      <c r="DP102" s="403"/>
      <c r="DQ102" s="403"/>
      <c r="DR102" s="403"/>
      <c r="DS102" s="403"/>
      <c r="DT102" s="403"/>
      <c r="DU102" s="403"/>
      <c r="DV102" s="403"/>
      <c r="DW102" s="403"/>
      <c r="DX102" s="403"/>
      <c r="DY102" s="403"/>
      <c r="DZ102" s="403"/>
      <c r="EA102" s="403"/>
      <c r="EB102" s="403"/>
      <c r="EC102" s="403"/>
      <c r="ED102" s="403"/>
      <c r="EE102" s="403" t="s">
        <v>8387</v>
      </c>
      <c r="EF102" s="403"/>
      <c r="EG102" s="403"/>
      <c r="EH102" s="403"/>
      <c r="EI102" s="403"/>
      <c r="EJ102" s="403"/>
      <c r="EK102" s="403"/>
      <c r="EL102" s="403"/>
      <c r="EM102" s="403"/>
      <c r="EN102" s="403"/>
      <c r="EO102" s="403"/>
      <c r="EP102" s="403"/>
      <c r="EQ102" s="403"/>
      <c r="ER102" s="403"/>
      <c r="ES102" s="403"/>
      <c r="ET102" s="403"/>
    </row>
    <row r="103" spans="1:150" s="15" customFormat="1" x14ac:dyDescent="0.2">
      <c r="C103" s="5" t="str">
        <f ca="1">IF(OFFSET(U103,0,Lang_Order*Lang__B4)="","",OFFSET(U103,0,Lang_Order*Lang__B4))</f>
        <v>Frozen (-20C)</v>
      </c>
      <c r="D103" s="165" t="str">
        <f>'T2. Misc'!G11</f>
        <v>Frozen (-20C)</v>
      </c>
      <c r="J103" s="146" t="e">
        <f t="shared" ref="J103:O103" si="27">SUMPRODUCT($H$95:$H$98,J$95:J$98)</f>
        <v>#N/A</v>
      </c>
      <c r="K103" s="146" t="e">
        <f t="shared" si="27"/>
        <v>#N/A</v>
      </c>
      <c r="L103" s="146" t="e">
        <f t="shared" si="27"/>
        <v>#N/A</v>
      </c>
      <c r="M103" s="146" t="e">
        <f t="shared" si="27"/>
        <v>#N/A</v>
      </c>
      <c r="N103" s="146" t="e">
        <f t="shared" si="27"/>
        <v>#N/A</v>
      </c>
      <c r="O103" s="146" t="e">
        <f t="shared" si="27"/>
        <v>#N/A</v>
      </c>
      <c r="P103" s="287" t="e">
        <f>MAX(J103:O103)</f>
        <v>#N/A</v>
      </c>
      <c r="Q103" s="567"/>
      <c r="R103" s="403"/>
      <c r="S103" s="403"/>
      <c r="T103" s="403"/>
      <c r="U103" s="403" t="s">
        <v>12</v>
      </c>
      <c r="V103" s="403"/>
      <c r="W103" s="403"/>
      <c r="X103" s="403"/>
      <c r="Y103" s="403"/>
      <c r="Z103" s="403"/>
      <c r="AA103" s="403"/>
      <c r="AB103" s="403"/>
      <c r="AC103" s="403"/>
      <c r="AD103" s="403"/>
      <c r="AE103" s="403"/>
      <c r="AF103" s="403"/>
      <c r="AG103" s="403"/>
      <c r="AH103" s="403"/>
      <c r="AI103" s="403"/>
      <c r="AJ103" s="403"/>
      <c r="AK103" s="403"/>
      <c r="AL103" s="403"/>
      <c r="AM103" s="403"/>
      <c r="AN103" s="403" t="s">
        <v>10717</v>
      </c>
      <c r="AO103" s="403"/>
      <c r="AP103" s="403"/>
      <c r="AQ103" s="403"/>
      <c r="AR103" s="403"/>
      <c r="AS103" s="403"/>
      <c r="AT103" s="403"/>
      <c r="AU103" s="403"/>
      <c r="AV103" s="403"/>
      <c r="AW103" s="403"/>
      <c r="AX103" s="403"/>
      <c r="AY103" s="403"/>
      <c r="AZ103" s="403"/>
      <c r="BA103" s="403"/>
      <c r="BB103" s="403"/>
      <c r="BC103" s="403"/>
      <c r="BD103" s="403"/>
      <c r="BE103" s="403"/>
      <c r="BF103" s="403"/>
      <c r="BG103" s="403" t="s">
        <v>10228</v>
      </c>
      <c r="BH103" s="403"/>
      <c r="BI103" s="403"/>
      <c r="BJ103" s="403"/>
      <c r="BK103" s="403"/>
      <c r="BL103" s="403"/>
      <c r="BM103" s="403"/>
      <c r="BN103" s="403"/>
      <c r="BO103" s="403"/>
      <c r="BP103" s="403"/>
      <c r="BQ103" s="403"/>
      <c r="BR103" s="403"/>
      <c r="BS103" s="403"/>
      <c r="BT103" s="403"/>
      <c r="BU103" s="403"/>
      <c r="BV103" s="403"/>
      <c r="BW103" s="403"/>
      <c r="BX103" s="403"/>
      <c r="BY103" s="403"/>
      <c r="BZ103" s="403" t="s">
        <v>10718</v>
      </c>
      <c r="CA103" s="403"/>
      <c r="CB103" s="403"/>
      <c r="CC103" s="403"/>
      <c r="CD103" s="403"/>
      <c r="CE103" s="403"/>
      <c r="CF103" s="403"/>
      <c r="CG103" s="403"/>
      <c r="CH103" s="403"/>
      <c r="CI103" s="403"/>
      <c r="CJ103" s="403"/>
      <c r="CK103" s="403"/>
      <c r="CL103" s="403"/>
      <c r="CM103" s="403"/>
      <c r="CN103" s="403"/>
      <c r="CO103" s="403"/>
      <c r="CP103" s="403"/>
      <c r="CQ103" s="403"/>
      <c r="CR103" s="403"/>
      <c r="CS103" s="403" t="s">
        <v>8391</v>
      </c>
      <c r="CT103" s="403"/>
      <c r="CU103" s="403"/>
      <c r="CV103" s="403"/>
      <c r="CW103" s="403"/>
      <c r="CX103" s="403"/>
      <c r="CY103" s="403"/>
      <c r="CZ103" s="403"/>
      <c r="DA103" s="403"/>
      <c r="DB103" s="403"/>
      <c r="DC103" s="403"/>
      <c r="DD103" s="403"/>
      <c r="DE103" s="403"/>
      <c r="DF103" s="403"/>
      <c r="DG103" s="403"/>
      <c r="DH103" s="403"/>
      <c r="DI103" s="403"/>
      <c r="DJ103" s="403"/>
      <c r="DK103" s="403"/>
      <c r="DL103" s="403" t="s">
        <v>10249</v>
      </c>
      <c r="DM103" s="403"/>
      <c r="DN103" s="403"/>
      <c r="DO103" s="403"/>
      <c r="DP103" s="403"/>
      <c r="DQ103" s="403"/>
      <c r="DR103" s="403"/>
      <c r="DS103" s="403"/>
      <c r="DT103" s="403"/>
      <c r="DU103" s="403"/>
      <c r="DV103" s="403"/>
      <c r="DW103" s="403"/>
      <c r="DX103" s="403"/>
      <c r="DY103" s="403"/>
      <c r="DZ103" s="403"/>
      <c r="EA103" s="403"/>
      <c r="EB103" s="403"/>
      <c r="EC103" s="403"/>
      <c r="ED103" s="403"/>
      <c r="EE103" s="403" t="s">
        <v>8393</v>
      </c>
      <c r="EF103" s="403"/>
      <c r="EG103" s="403"/>
      <c r="EH103" s="403"/>
      <c r="EI103" s="403"/>
      <c r="EJ103" s="403"/>
      <c r="EK103" s="403"/>
      <c r="EL103" s="403"/>
      <c r="EM103" s="403"/>
      <c r="EN103" s="403"/>
      <c r="EO103" s="403"/>
      <c r="EP103" s="403"/>
      <c r="EQ103" s="403"/>
      <c r="ER103" s="403"/>
      <c r="ES103" s="403"/>
      <c r="ET103" s="403"/>
    </row>
    <row r="104" spans="1:150" s="15" customFormat="1" x14ac:dyDescent="0.2">
      <c r="A104" s="567"/>
      <c r="C104" s="5" t="str">
        <f ca="1">IF(OFFSET(U104,0,Lang_Order*Lang__B4)="","",OFFSET(U104,0,Lang_Order*Lang__B4))</f>
        <v>Ultra-cold (-60 to -80C)</v>
      </c>
      <c r="D104" s="165" t="str">
        <f>'T2. Misc'!G12</f>
        <v>Ultra-cold (-60 to -80C)</v>
      </c>
      <c r="J104" s="146" t="e">
        <f t="shared" ref="J104:O104" si="28">SUMPRODUCT($I$95:$I$98,J$95:J$98)</f>
        <v>#N/A</v>
      </c>
      <c r="K104" s="146" t="e">
        <f t="shared" si="28"/>
        <v>#N/A</v>
      </c>
      <c r="L104" s="146" t="e">
        <f t="shared" si="28"/>
        <v>#N/A</v>
      </c>
      <c r="M104" s="146" t="e">
        <f t="shared" si="28"/>
        <v>#N/A</v>
      </c>
      <c r="N104" s="146" t="e">
        <f t="shared" si="28"/>
        <v>#N/A</v>
      </c>
      <c r="O104" s="146" t="e">
        <f t="shared" si="28"/>
        <v>#N/A</v>
      </c>
      <c r="P104" s="287" t="e">
        <f>MAX(J104:O104)</f>
        <v>#N/A</v>
      </c>
      <c r="Q104" s="567"/>
      <c r="R104" s="403"/>
      <c r="S104" s="403"/>
      <c r="T104" s="403"/>
      <c r="U104" s="403" t="s">
        <v>13</v>
      </c>
      <c r="V104" s="403"/>
      <c r="W104" s="403"/>
      <c r="X104" s="403"/>
      <c r="Y104" s="403"/>
      <c r="Z104" s="403"/>
      <c r="AA104" s="403"/>
      <c r="AB104" s="403"/>
      <c r="AC104" s="403"/>
      <c r="AD104" s="403"/>
      <c r="AE104" s="403"/>
      <c r="AF104" s="403"/>
      <c r="AG104" s="403"/>
      <c r="AH104" s="403"/>
      <c r="AI104" s="403"/>
      <c r="AJ104" s="403"/>
      <c r="AK104" s="403"/>
      <c r="AL104" s="403"/>
      <c r="AM104" s="403"/>
      <c r="AN104" s="403" t="s">
        <v>8394</v>
      </c>
      <c r="AO104" s="403"/>
      <c r="AP104" s="403"/>
      <c r="AQ104" s="403"/>
      <c r="AR104" s="403"/>
      <c r="AS104" s="403"/>
      <c r="AT104" s="403"/>
      <c r="AU104" s="403"/>
      <c r="AV104" s="403"/>
      <c r="AW104" s="403"/>
      <c r="AX104" s="403"/>
      <c r="AY104" s="403"/>
      <c r="AZ104" s="403"/>
      <c r="BA104" s="403"/>
      <c r="BB104" s="403"/>
      <c r="BC104" s="403"/>
      <c r="BD104" s="403"/>
      <c r="BE104" s="403"/>
      <c r="BF104" s="403"/>
      <c r="BG104" s="403" t="s">
        <v>10229</v>
      </c>
      <c r="BH104" s="403"/>
      <c r="BI104" s="403"/>
      <c r="BJ104" s="403"/>
      <c r="BK104" s="403"/>
      <c r="BL104" s="403"/>
      <c r="BM104" s="403"/>
      <c r="BN104" s="403"/>
      <c r="BO104" s="403"/>
      <c r="BP104" s="403"/>
      <c r="BQ104" s="403"/>
      <c r="BR104" s="403"/>
      <c r="BS104" s="403"/>
      <c r="BT104" s="403"/>
      <c r="BU104" s="403"/>
      <c r="BV104" s="403"/>
      <c r="BW104" s="403"/>
      <c r="BX104" s="403"/>
      <c r="BY104" s="403"/>
      <c r="BZ104" s="403" t="s">
        <v>10237</v>
      </c>
      <c r="CA104" s="403"/>
      <c r="CB104" s="403"/>
      <c r="CC104" s="403"/>
      <c r="CD104" s="403"/>
      <c r="CE104" s="403"/>
      <c r="CF104" s="403"/>
      <c r="CG104" s="403"/>
      <c r="CH104" s="403"/>
      <c r="CI104" s="403"/>
      <c r="CJ104" s="403"/>
      <c r="CK104" s="403"/>
      <c r="CL104" s="403"/>
      <c r="CM104" s="403"/>
      <c r="CN104" s="403"/>
      <c r="CO104" s="403"/>
      <c r="CP104" s="403"/>
      <c r="CQ104" s="403"/>
      <c r="CR104" s="403"/>
      <c r="CS104" s="403" t="s">
        <v>8400</v>
      </c>
      <c r="CT104" s="403"/>
      <c r="CU104" s="403"/>
      <c r="CV104" s="403"/>
      <c r="CW104" s="403"/>
      <c r="CX104" s="403"/>
      <c r="CY104" s="403"/>
      <c r="CZ104" s="403"/>
      <c r="DA104" s="403"/>
      <c r="DB104" s="403"/>
      <c r="DC104" s="403"/>
      <c r="DD104" s="403"/>
      <c r="DE104" s="403"/>
      <c r="DF104" s="403"/>
      <c r="DG104" s="403"/>
      <c r="DH104" s="403"/>
      <c r="DI104" s="403"/>
      <c r="DJ104" s="403"/>
      <c r="DK104" s="403"/>
      <c r="DL104" s="403" t="s">
        <v>10250</v>
      </c>
      <c r="DM104" s="403"/>
      <c r="DN104" s="403"/>
      <c r="DO104" s="403"/>
      <c r="DP104" s="403"/>
      <c r="DQ104" s="403"/>
      <c r="DR104" s="403"/>
      <c r="DS104" s="403"/>
      <c r="DT104" s="403"/>
      <c r="DU104" s="403"/>
      <c r="DV104" s="403"/>
      <c r="DW104" s="403"/>
      <c r="DX104" s="403"/>
      <c r="DY104" s="403"/>
      <c r="DZ104" s="403"/>
      <c r="EA104" s="403"/>
      <c r="EB104" s="403"/>
      <c r="EC104" s="403"/>
      <c r="ED104" s="403"/>
      <c r="EE104" s="403" t="s">
        <v>8404</v>
      </c>
      <c r="EF104" s="403"/>
      <c r="EG104" s="403"/>
      <c r="EH104" s="403"/>
      <c r="EI104" s="403"/>
      <c r="EJ104" s="403"/>
      <c r="EK104" s="403"/>
      <c r="EL104" s="403"/>
      <c r="EM104" s="403"/>
      <c r="EN104" s="403"/>
      <c r="EO104" s="403"/>
      <c r="EP104" s="403"/>
      <c r="EQ104" s="403"/>
      <c r="ER104" s="403"/>
      <c r="ES104" s="403"/>
      <c r="ET104" s="403"/>
    </row>
    <row r="105" spans="1:150" s="281" customFormat="1" x14ac:dyDescent="0.2">
      <c r="C105" s="5"/>
      <c r="J105" s="146"/>
      <c r="K105" s="146"/>
      <c r="L105" s="146"/>
      <c r="M105" s="146"/>
      <c r="N105" s="146"/>
      <c r="O105" s="146"/>
      <c r="P105" s="287"/>
      <c r="Q105" s="16"/>
      <c r="R105" s="403"/>
      <c r="S105" s="403"/>
      <c r="T105" s="403"/>
      <c r="U105" s="403"/>
      <c r="V105" s="403"/>
      <c r="W105" s="403"/>
      <c r="X105" s="403"/>
      <c r="Y105" s="403"/>
      <c r="Z105" s="403"/>
      <c r="AA105" s="403"/>
      <c r="AB105" s="403"/>
      <c r="AC105" s="403"/>
      <c r="AD105" s="403"/>
      <c r="AE105" s="403"/>
      <c r="AF105" s="403"/>
      <c r="AG105" s="403"/>
      <c r="AH105" s="403"/>
      <c r="AI105" s="403"/>
      <c r="AJ105" s="403"/>
      <c r="AK105" s="403"/>
      <c r="AL105" s="403"/>
      <c r="AM105" s="403"/>
      <c r="AN105" s="403"/>
      <c r="AO105" s="403"/>
      <c r="AP105" s="403"/>
      <c r="AQ105" s="403"/>
      <c r="AR105" s="403"/>
      <c r="AS105" s="403"/>
      <c r="AT105" s="403"/>
      <c r="AU105" s="403"/>
      <c r="AV105" s="403"/>
      <c r="AW105" s="403"/>
      <c r="AX105" s="403"/>
      <c r="AY105" s="403"/>
      <c r="AZ105" s="403"/>
      <c r="BA105" s="403"/>
      <c r="BB105" s="403"/>
      <c r="BC105" s="403"/>
      <c r="BD105" s="403"/>
      <c r="BE105" s="403"/>
      <c r="BF105" s="403"/>
      <c r="BG105" s="403"/>
      <c r="BH105" s="403"/>
      <c r="BI105" s="403"/>
      <c r="BJ105" s="403"/>
      <c r="BK105" s="403"/>
      <c r="BL105" s="403"/>
      <c r="BM105" s="403"/>
      <c r="BN105" s="403"/>
      <c r="BO105" s="403"/>
      <c r="BP105" s="403"/>
      <c r="BQ105" s="403"/>
      <c r="BR105" s="403"/>
      <c r="BS105" s="403"/>
      <c r="BT105" s="403"/>
      <c r="BU105" s="403"/>
      <c r="BV105" s="403"/>
      <c r="BW105" s="403"/>
      <c r="BX105" s="403"/>
      <c r="BY105" s="403"/>
      <c r="BZ105" s="403"/>
      <c r="CA105" s="403"/>
      <c r="CB105" s="403"/>
      <c r="CC105" s="403"/>
      <c r="CD105" s="403"/>
      <c r="CE105" s="403"/>
      <c r="CF105" s="403"/>
      <c r="CG105" s="403"/>
      <c r="CH105" s="403"/>
      <c r="CI105" s="403"/>
      <c r="CJ105" s="403"/>
      <c r="CK105" s="403"/>
      <c r="CL105" s="403"/>
      <c r="CM105" s="403"/>
      <c r="CN105" s="403"/>
      <c r="CO105" s="403"/>
      <c r="CP105" s="403"/>
      <c r="CQ105" s="403"/>
      <c r="CR105" s="403"/>
      <c r="CS105" s="403"/>
      <c r="CT105" s="403"/>
      <c r="CU105" s="403"/>
      <c r="CV105" s="403"/>
      <c r="CW105" s="403"/>
      <c r="CX105" s="403"/>
      <c r="CY105" s="403"/>
      <c r="CZ105" s="403"/>
      <c r="DA105" s="403"/>
      <c r="DB105" s="403"/>
      <c r="DC105" s="403"/>
      <c r="DD105" s="403"/>
      <c r="DE105" s="403"/>
      <c r="DF105" s="403"/>
      <c r="DG105" s="403"/>
      <c r="DH105" s="403"/>
      <c r="DI105" s="403"/>
      <c r="DJ105" s="403"/>
      <c r="DK105" s="403"/>
      <c r="DL105" s="403"/>
      <c r="DM105" s="403"/>
      <c r="DN105" s="403"/>
      <c r="DO105" s="403"/>
      <c r="DP105" s="403"/>
      <c r="DQ105" s="403"/>
      <c r="DR105" s="403"/>
      <c r="DS105" s="403"/>
      <c r="DT105" s="403"/>
      <c r="DU105" s="403"/>
      <c r="DV105" s="403"/>
      <c r="DW105" s="403"/>
      <c r="DX105" s="403"/>
      <c r="DY105" s="403"/>
      <c r="DZ105" s="403"/>
      <c r="EA105" s="403"/>
      <c r="EB105" s="403"/>
      <c r="EC105" s="403"/>
      <c r="ED105" s="403"/>
      <c r="EE105" s="403"/>
      <c r="EF105" s="403"/>
      <c r="EG105" s="403"/>
      <c r="EH105" s="403"/>
      <c r="EI105" s="403"/>
      <c r="EJ105" s="403"/>
      <c r="EK105" s="403"/>
      <c r="EL105" s="403"/>
      <c r="EM105" s="403"/>
      <c r="EN105" s="403"/>
      <c r="EO105" s="403"/>
      <c r="EP105" s="403"/>
      <c r="EQ105" s="403"/>
      <c r="ER105" s="403"/>
      <c r="ES105" s="403"/>
      <c r="ET105" s="403"/>
    </row>
    <row r="106" spans="1:150" s="281" customFormat="1" ht="15" x14ac:dyDescent="0.25">
      <c r="B106" s="92" t="str">
        <f ca="1">IF(OFFSET(T106,0,Lang_Order*Lang__B4)="","",OFFSET(T106,0,Lang_Order*Lang__B4))</f>
        <v>Volume of existing routine vaccines required (liters)</v>
      </c>
      <c r="C106" s="270"/>
      <c r="J106" s="16"/>
      <c r="K106" s="16"/>
      <c r="L106" s="16"/>
      <c r="M106" s="16"/>
      <c r="N106" s="16"/>
      <c r="O106" s="16"/>
      <c r="P106" s="297" t="str">
        <f ca="1">IF(OFFSET(AH106,0,Lang_Order*Lang__B4)="","",OFFSET(AH106,0,Lang_Order*Lang__B4))</f>
        <v>Liters</v>
      </c>
      <c r="Q106" s="16"/>
      <c r="R106" s="403"/>
      <c r="S106" s="403"/>
      <c r="T106" s="403" t="s">
        <v>3203</v>
      </c>
      <c r="U106" s="403"/>
      <c r="V106" s="403"/>
      <c r="W106" s="403"/>
      <c r="X106" s="403"/>
      <c r="Y106" s="403"/>
      <c r="Z106" s="403"/>
      <c r="AA106" s="403"/>
      <c r="AB106" s="403"/>
      <c r="AC106" s="403"/>
      <c r="AD106" s="403"/>
      <c r="AE106" s="403"/>
      <c r="AF106" s="403"/>
      <c r="AG106" s="403"/>
      <c r="AH106" s="403" t="s">
        <v>3204</v>
      </c>
      <c r="AI106" s="403"/>
      <c r="AJ106" s="403"/>
      <c r="AK106" s="403"/>
      <c r="AL106" s="403"/>
      <c r="AM106" s="403" t="s">
        <v>10796</v>
      </c>
      <c r="AN106" s="403"/>
      <c r="AO106" s="403"/>
      <c r="AP106" s="403"/>
      <c r="AQ106" s="403"/>
      <c r="AR106" s="403"/>
      <c r="AS106" s="403"/>
      <c r="AT106" s="403"/>
      <c r="AU106" s="403"/>
      <c r="AV106" s="403"/>
      <c r="AW106" s="403"/>
      <c r="AX106" s="403"/>
      <c r="AY106" s="403"/>
      <c r="AZ106" s="403"/>
      <c r="BA106" s="403" t="s">
        <v>10797</v>
      </c>
      <c r="BB106" s="403"/>
      <c r="BC106" s="403"/>
      <c r="BD106" s="403"/>
      <c r="BE106" s="403"/>
      <c r="BF106" s="403" t="s">
        <v>10798</v>
      </c>
      <c r="BG106" s="403"/>
      <c r="BH106" s="403"/>
      <c r="BI106" s="403"/>
      <c r="BJ106" s="403"/>
      <c r="BK106" s="403"/>
      <c r="BL106" s="403"/>
      <c r="BM106" s="403"/>
      <c r="BN106" s="403"/>
      <c r="BO106" s="403"/>
      <c r="BP106" s="403"/>
      <c r="BQ106" s="403"/>
      <c r="BR106" s="403"/>
      <c r="BS106" s="403"/>
      <c r="BT106" s="403" t="s">
        <v>10799</v>
      </c>
      <c r="BU106" s="403"/>
      <c r="BV106" s="403"/>
      <c r="BW106" s="403"/>
      <c r="BX106" s="403"/>
      <c r="BY106" s="403" t="s">
        <v>10800</v>
      </c>
      <c r="BZ106" s="403"/>
      <c r="CA106" s="403"/>
      <c r="CB106" s="403"/>
      <c r="CC106" s="403"/>
      <c r="CD106" s="403"/>
      <c r="CE106" s="403"/>
      <c r="CF106" s="403"/>
      <c r="CG106" s="403"/>
      <c r="CH106" s="403"/>
      <c r="CI106" s="403"/>
      <c r="CJ106" s="403"/>
      <c r="CK106" s="403"/>
      <c r="CL106" s="403"/>
      <c r="CM106" s="403" t="s">
        <v>10801</v>
      </c>
      <c r="CN106" s="403"/>
      <c r="CO106" s="403"/>
      <c r="CP106" s="403"/>
      <c r="CQ106" s="403"/>
      <c r="CR106" s="403" t="s">
        <v>10802</v>
      </c>
      <c r="CS106" s="403"/>
      <c r="CT106" s="403"/>
      <c r="CU106" s="403"/>
      <c r="CV106" s="403"/>
      <c r="CW106" s="403"/>
      <c r="CX106" s="403"/>
      <c r="CY106" s="403"/>
      <c r="CZ106" s="403"/>
      <c r="DA106" s="403"/>
      <c r="DB106" s="403"/>
      <c r="DC106" s="403"/>
      <c r="DD106" s="403"/>
      <c r="DE106" s="403"/>
      <c r="DF106" s="403" t="s">
        <v>10801</v>
      </c>
      <c r="DG106" s="403"/>
      <c r="DH106" s="403"/>
      <c r="DI106" s="403"/>
      <c r="DJ106" s="403"/>
      <c r="DK106" s="403" t="s">
        <v>10803</v>
      </c>
      <c r="DL106" s="403"/>
      <c r="DM106" s="403"/>
      <c r="DN106" s="403"/>
      <c r="DO106" s="403"/>
      <c r="DP106" s="403"/>
      <c r="DQ106" s="403"/>
      <c r="DR106" s="403"/>
      <c r="DS106" s="403"/>
      <c r="DT106" s="403"/>
      <c r="DU106" s="403"/>
      <c r="DV106" s="403"/>
      <c r="DW106" s="403"/>
      <c r="DX106" s="403"/>
      <c r="DY106" s="403" t="s">
        <v>10804</v>
      </c>
      <c r="DZ106" s="403"/>
      <c r="EA106" s="403"/>
      <c r="EB106" s="403"/>
      <c r="EC106" s="403"/>
      <c r="ED106" s="403" t="s">
        <v>10805</v>
      </c>
      <c r="EE106" s="403"/>
      <c r="EF106" s="403"/>
      <c r="EG106" s="403"/>
      <c r="EH106" s="403"/>
      <c r="EI106" s="403"/>
      <c r="EJ106" s="403"/>
      <c r="EK106" s="403"/>
      <c r="EL106" s="403"/>
      <c r="EM106" s="403"/>
      <c r="EN106" s="403"/>
      <c r="EO106" s="403"/>
      <c r="EP106" s="403"/>
      <c r="EQ106" s="403"/>
      <c r="ER106" s="403" t="s">
        <v>10806</v>
      </c>
      <c r="ES106" s="403"/>
      <c r="ET106" s="403"/>
    </row>
    <row r="107" spans="1:150" s="281" customFormat="1" x14ac:dyDescent="0.2">
      <c r="C107" s="72" t="str">
        <f ca="1">IF(OFFSET(U107,0,Lang_Order*Lang__B4)="","",OFFSET(U107,0,Lang_Order*Lang__B4))</f>
        <v/>
      </c>
      <c r="J107" s="146"/>
      <c r="K107" s="146"/>
      <c r="L107" s="146"/>
      <c r="M107" s="146"/>
      <c r="N107" s="146"/>
      <c r="O107" s="146"/>
      <c r="P107" s="307" t="str">
        <f ca="1">IF(OFFSET(AH107,0,Lang_Order*Lang__B4)="","",OFFSET(AH107,0,Lang_Order*Lang__B4))</f>
        <v>Fill here if known</v>
      </c>
      <c r="Q107" s="16"/>
      <c r="R107" s="403"/>
      <c r="S107" s="403"/>
      <c r="T107" s="403"/>
      <c r="U107" s="403"/>
      <c r="V107" s="403"/>
      <c r="W107" s="403"/>
      <c r="X107" s="403"/>
      <c r="Y107" s="403"/>
      <c r="Z107" s="403"/>
      <c r="AA107" s="403"/>
      <c r="AB107" s="403"/>
      <c r="AC107" s="403"/>
      <c r="AD107" s="403"/>
      <c r="AE107" s="403"/>
      <c r="AF107" s="403"/>
      <c r="AG107" s="403"/>
      <c r="AH107" s="403" t="s">
        <v>3666</v>
      </c>
      <c r="AI107" s="403"/>
      <c r="AJ107" s="403"/>
      <c r="AK107" s="403"/>
      <c r="AL107" s="403"/>
      <c r="AM107" s="403"/>
      <c r="AN107" s="403"/>
      <c r="AO107" s="403"/>
      <c r="AP107" s="403"/>
      <c r="AQ107" s="403"/>
      <c r="AR107" s="403"/>
      <c r="AS107" s="403"/>
      <c r="AT107" s="403"/>
      <c r="AU107" s="403"/>
      <c r="AV107" s="403"/>
      <c r="AW107" s="403"/>
      <c r="AX107" s="403"/>
      <c r="AY107" s="403"/>
      <c r="AZ107" s="403"/>
      <c r="BA107" s="403" t="s">
        <v>10807</v>
      </c>
      <c r="BB107" s="403"/>
      <c r="BC107" s="403"/>
      <c r="BD107" s="403"/>
      <c r="BE107" s="403"/>
      <c r="BF107" s="403"/>
      <c r="BG107" s="403"/>
      <c r="BH107" s="403"/>
      <c r="BI107" s="403"/>
      <c r="BJ107" s="403"/>
      <c r="BK107" s="403"/>
      <c r="BL107" s="403"/>
      <c r="BM107" s="403"/>
      <c r="BN107" s="403"/>
      <c r="BO107" s="403"/>
      <c r="BP107" s="403"/>
      <c r="BQ107" s="403"/>
      <c r="BR107" s="403"/>
      <c r="BS107" s="403"/>
      <c r="BT107" s="403" t="s">
        <v>10808</v>
      </c>
      <c r="BU107" s="403"/>
      <c r="BV107" s="403"/>
      <c r="BW107" s="403"/>
      <c r="BX107" s="403"/>
      <c r="BY107" s="403"/>
      <c r="BZ107" s="403"/>
      <c r="CA107" s="403"/>
      <c r="CB107" s="403"/>
      <c r="CC107" s="403"/>
      <c r="CD107" s="403"/>
      <c r="CE107" s="403"/>
      <c r="CF107" s="403"/>
      <c r="CG107" s="403"/>
      <c r="CH107" s="403"/>
      <c r="CI107" s="403"/>
      <c r="CJ107" s="403"/>
      <c r="CK107" s="403"/>
      <c r="CL107" s="403"/>
      <c r="CM107" s="403" t="s">
        <v>10809</v>
      </c>
      <c r="CN107" s="403"/>
      <c r="CO107" s="403"/>
      <c r="CP107" s="403"/>
      <c r="CQ107" s="403"/>
      <c r="CR107" s="403"/>
      <c r="CS107" s="403"/>
      <c r="CT107" s="403"/>
      <c r="CU107" s="403"/>
      <c r="CV107" s="403"/>
      <c r="CW107" s="403"/>
      <c r="CX107" s="403"/>
      <c r="CY107" s="403"/>
      <c r="CZ107" s="403"/>
      <c r="DA107" s="403"/>
      <c r="DB107" s="403"/>
      <c r="DC107" s="403"/>
      <c r="DD107" s="403"/>
      <c r="DE107" s="403"/>
      <c r="DF107" s="403" t="s">
        <v>10810</v>
      </c>
      <c r="DG107" s="403"/>
      <c r="DH107" s="403"/>
      <c r="DI107" s="403"/>
      <c r="DJ107" s="403"/>
      <c r="DK107" s="403"/>
      <c r="DL107" s="403"/>
      <c r="DM107" s="403"/>
      <c r="DN107" s="403"/>
      <c r="DO107" s="403"/>
      <c r="DP107" s="403"/>
      <c r="DQ107" s="403"/>
      <c r="DR107" s="403"/>
      <c r="DS107" s="403"/>
      <c r="DT107" s="403"/>
      <c r="DU107" s="403"/>
      <c r="DV107" s="403"/>
      <c r="DW107" s="403"/>
      <c r="DX107" s="403"/>
      <c r="DY107" s="403" t="s">
        <v>10811</v>
      </c>
      <c r="DZ107" s="403"/>
      <c r="EA107" s="403"/>
      <c r="EB107" s="403"/>
      <c r="EC107" s="403"/>
      <c r="ED107" s="403"/>
      <c r="EE107" s="403"/>
      <c r="EF107" s="403"/>
      <c r="EG107" s="403"/>
      <c r="EH107" s="403"/>
      <c r="EI107" s="403"/>
      <c r="EJ107" s="403"/>
      <c r="EK107" s="403"/>
      <c r="EL107" s="403"/>
      <c r="EM107" s="403"/>
      <c r="EN107" s="403"/>
      <c r="EO107" s="403"/>
      <c r="EP107" s="403"/>
      <c r="EQ107" s="403"/>
      <c r="ER107" s="403" t="s">
        <v>10812</v>
      </c>
      <c r="ES107" s="403"/>
      <c r="ET107" s="403"/>
    </row>
    <row r="108" spans="1:150" s="281" customFormat="1" x14ac:dyDescent="0.2">
      <c r="A108" s="350">
        <v>2</v>
      </c>
      <c r="C108" s="5" t="str">
        <f ca="1">IF(OFFSET(U108,0,Lang_Order*Lang__B4)="","",OFFSET(U108,0,Lang_Order*Lang__B4))</f>
        <v>Refrigerated (2 to 8C)</v>
      </c>
      <c r="J108" s="146"/>
      <c r="K108" s="146"/>
      <c r="L108" s="146"/>
      <c r="M108" s="146"/>
      <c r="N108" s="146"/>
      <c r="O108" s="146"/>
      <c r="P108" s="205">
        <v>0</v>
      </c>
      <c r="Q108" s="157" t="str">
        <f ca="1">IF(OFFSET(AI108,0,Lang_Order*Lang__B4)="","",OFFSET(AI108,0,Lang_Order*Lang__B4))</f>
        <v>If the volume of existing routine vaccines required is known, can be inputed here</v>
      </c>
      <c r="R108" s="403"/>
      <c r="S108" s="403"/>
      <c r="T108" s="403"/>
      <c r="U108" s="403" t="s">
        <v>11</v>
      </c>
      <c r="V108" s="403"/>
      <c r="W108" s="403"/>
      <c r="X108" s="403"/>
      <c r="Y108" s="403"/>
      <c r="Z108" s="403"/>
      <c r="AA108" s="403"/>
      <c r="AB108" s="403"/>
      <c r="AC108" s="403"/>
      <c r="AD108" s="403"/>
      <c r="AE108" s="403"/>
      <c r="AF108" s="403"/>
      <c r="AG108" s="403"/>
      <c r="AH108" s="403"/>
      <c r="AI108" s="403" t="s">
        <v>3205</v>
      </c>
      <c r="AJ108" s="403"/>
      <c r="AK108" s="403"/>
      <c r="AL108" s="403"/>
      <c r="AM108" s="403"/>
      <c r="AN108" s="403" t="s">
        <v>10714</v>
      </c>
      <c r="AO108" s="403"/>
      <c r="AP108" s="403"/>
      <c r="AQ108" s="403"/>
      <c r="AR108" s="403"/>
      <c r="AS108" s="403"/>
      <c r="AT108" s="403"/>
      <c r="AU108" s="403"/>
      <c r="AV108" s="403"/>
      <c r="AW108" s="403"/>
      <c r="AX108" s="403"/>
      <c r="AY108" s="403"/>
      <c r="AZ108" s="403"/>
      <c r="BA108" s="403"/>
      <c r="BB108" s="403" t="s">
        <v>10813</v>
      </c>
      <c r="BC108" s="403"/>
      <c r="BD108" s="403"/>
      <c r="BE108" s="403"/>
      <c r="BF108" s="403"/>
      <c r="BG108" s="403" t="s">
        <v>10227</v>
      </c>
      <c r="BH108" s="403"/>
      <c r="BI108" s="403"/>
      <c r="BJ108" s="403"/>
      <c r="BK108" s="403"/>
      <c r="BL108" s="403"/>
      <c r="BM108" s="403"/>
      <c r="BN108" s="403"/>
      <c r="BO108" s="403"/>
      <c r="BP108" s="403"/>
      <c r="BQ108" s="403"/>
      <c r="BR108" s="403"/>
      <c r="BS108" s="403"/>
      <c r="BT108" s="403"/>
      <c r="BU108" s="403" t="s">
        <v>10814</v>
      </c>
      <c r="BV108" s="403"/>
      <c r="BW108" s="403"/>
      <c r="BX108" s="403"/>
      <c r="BY108" s="403"/>
      <c r="BZ108" s="403" t="s">
        <v>10715</v>
      </c>
      <c r="CA108" s="403"/>
      <c r="CB108" s="403"/>
      <c r="CC108" s="403"/>
      <c r="CD108" s="403"/>
      <c r="CE108" s="403"/>
      <c r="CF108" s="403"/>
      <c r="CG108" s="403"/>
      <c r="CH108" s="403"/>
      <c r="CI108" s="403"/>
      <c r="CJ108" s="403"/>
      <c r="CK108" s="403"/>
      <c r="CL108" s="403"/>
      <c r="CM108" s="403"/>
      <c r="CN108" s="403" t="s">
        <v>10815</v>
      </c>
      <c r="CO108" s="403"/>
      <c r="CP108" s="403"/>
      <c r="CQ108" s="403"/>
      <c r="CR108" s="403"/>
      <c r="CS108" s="403" t="s">
        <v>8384</v>
      </c>
      <c r="CT108" s="403"/>
      <c r="CU108" s="403"/>
      <c r="CV108" s="403"/>
      <c r="CW108" s="403"/>
      <c r="CX108" s="403"/>
      <c r="CY108" s="403"/>
      <c r="CZ108" s="403"/>
      <c r="DA108" s="403"/>
      <c r="DB108" s="403"/>
      <c r="DC108" s="403"/>
      <c r="DD108" s="403"/>
      <c r="DE108" s="403"/>
      <c r="DF108" s="403"/>
      <c r="DG108" s="403" t="s">
        <v>10816</v>
      </c>
      <c r="DH108" s="403"/>
      <c r="DI108" s="403"/>
      <c r="DJ108" s="403"/>
      <c r="DK108" s="403"/>
      <c r="DL108" s="403" t="s">
        <v>10248</v>
      </c>
      <c r="DM108" s="403"/>
      <c r="DN108" s="403"/>
      <c r="DO108" s="403"/>
      <c r="DP108" s="403"/>
      <c r="DQ108" s="403"/>
      <c r="DR108" s="403"/>
      <c r="DS108" s="403"/>
      <c r="DT108" s="403"/>
      <c r="DU108" s="403"/>
      <c r="DV108" s="403"/>
      <c r="DW108" s="403"/>
      <c r="DX108" s="403"/>
      <c r="DY108" s="403"/>
      <c r="DZ108" s="403" t="s">
        <v>10817</v>
      </c>
      <c r="EA108" s="403"/>
      <c r="EB108" s="403"/>
      <c r="EC108" s="403"/>
      <c r="ED108" s="403"/>
      <c r="EE108" s="403" t="s">
        <v>8387</v>
      </c>
      <c r="EF108" s="403"/>
      <c r="EG108" s="403"/>
      <c r="EH108" s="403"/>
      <c r="EI108" s="403"/>
      <c r="EJ108" s="403"/>
      <c r="EK108" s="403"/>
      <c r="EL108" s="403"/>
      <c r="EM108" s="403"/>
      <c r="EN108" s="403"/>
      <c r="EO108" s="403"/>
      <c r="EP108" s="403"/>
      <c r="EQ108" s="403"/>
      <c r="ER108" s="403"/>
      <c r="ES108" s="403" t="s">
        <v>10818</v>
      </c>
      <c r="ET108" s="403"/>
    </row>
    <row r="109" spans="1:150" s="281" customFormat="1" x14ac:dyDescent="0.2">
      <c r="A109" s="350">
        <v>2</v>
      </c>
      <c r="C109" s="5" t="str">
        <f ca="1">IF(OFFSET(U109,0,Lang_Order*Lang__B4)="","",OFFSET(U109,0,Lang_Order*Lang__B4))</f>
        <v>Frozen (-20C)</v>
      </c>
      <c r="J109" s="146"/>
      <c r="K109" s="146"/>
      <c r="L109" s="146"/>
      <c r="M109" s="146"/>
      <c r="N109" s="146"/>
      <c r="O109" s="146"/>
      <c r="P109" s="205">
        <v>0</v>
      </c>
      <c r="Q109" s="157" t="str">
        <f ca="1">IF(OFFSET(AI109,0,Lang_Order*Lang__B4)="","",OFFSET(AI109,0,Lang_Order*Lang__B4))</f>
        <v>If the volume of existing routine vaccines required is known, can be inputed here</v>
      </c>
      <c r="R109" s="403"/>
      <c r="S109" s="403"/>
      <c r="T109" s="403"/>
      <c r="U109" s="403" t="s">
        <v>12</v>
      </c>
      <c r="V109" s="403"/>
      <c r="W109" s="403"/>
      <c r="X109" s="403"/>
      <c r="Y109" s="403"/>
      <c r="Z109" s="403"/>
      <c r="AA109" s="403"/>
      <c r="AB109" s="403"/>
      <c r="AC109" s="403"/>
      <c r="AD109" s="403"/>
      <c r="AE109" s="403"/>
      <c r="AF109" s="403"/>
      <c r="AG109" s="403"/>
      <c r="AH109" s="403"/>
      <c r="AI109" s="403" t="s">
        <v>3205</v>
      </c>
      <c r="AJ109" s="403"/>
      <c r="AK109" s="403"/>
      <c r="AL109" s="403"/>
      <c r="AM109" s="403"/>
      <c r="AN109" s="403" t="s">
        <v>10717</v>
      </c>
      <c r="AO109" s="403"/>
      <c r="AP109" s="403"/>
      <c r="AQ109" s="403"/>
      <c r="AR109" s="403"/>
      <c r="AS109" s="403"/>
      <c r="AT109" s="403"/>
      <c r="AU109" s="403"/>
      <c r="AV109" s="403"/>
      <c r="AW109" s="403"/>
      <c r="AX109" s="403"/>
      <c r="AY109" s="403"/>
      <c r="AZ109" s="403"/>
      <c r="BA109" s="403"/>
      <c r="BB109" s="403" t="s">
        <v>10813</v>
      </c>
      <c r="BC109" s="403"/>
      <c r="BD109" s="403"/>
      <c r="BE109" s="403"/>
      <c r="BF109" s="403"/>
      <c r="BG109" s="403" t="s">
        <v>10228</v>
      </c>
      <c r="BH109" s="403"/>
      <c r="BI109" s="403"/>
      <c r="BJ109" s="403"/>
      <c r="BK109" s="403"/>
      <c r="BL109" s="403"/>
      <c r="BM109" s="403"/>
      <c r="BN109" s="403"/>
      <c r="BO109" s="403"/>
      <c r="BP109" s="403"/>
      <c r="BQ109" s="403"/>
      <c r="BR109" s="403"/>
      <c r="BS109" s="403"/>
      <c r="BT109" s="403"/>
      <c r="BU109" s="403" t="s">
        <v>10814</v>
      </c>
      <c r="BV109" s="403"/>
      <c r="BW109" s="403"/>
      <c r="BX109" s="403"/>
      <c r="BY109" s="403"/>
      <c r="BZ109" s="403" t="s">
        <v>10718</v>
      </c>
      <c r="CA109" s="403"/>
      <c r="CB109" s="403"/>
      <c r="CC109" s="403"/>
      <c r="CD109" s="403"/>
      <c r="CE109" s="403"/>
      <c r="CF109" s="403"/>
      <c r="CG109" s="403"/>
      <c r="CH109" s="403"/>
      <c r="CI109" s="403"/>
      <c r="CJ109" s="403"/>
      <c r="CK109" s="403"/>
      <c r="CL109" s="403"/>
      <c r="CM109" s="403"/>
      <c r="CN109" s="403" t="s">
        <v>10815</v>
      </c>
      <c r="CO109" s="403"/>
      <c r="CP109" s="403"/>
      <c r="CQ109" s="403"/>
      <c r="CR109" s="403"/>
      <c r="CS109" s="403" t="s">
        <v>8391</v>
      </c>
      <c r="CT109" s="403"/>
      <c r="CU109" s="403"/>
      <c r="CV109" s="403"/>
      <c r="CW109" s="403"/>
      <c r="CX109" s="403"/>
      <c r="CY109" s="403"/>
      <c r="CZ109" s="403"/>
      <c r="DA109" s="403"/>
      <c r="DB109" s="403"/>
      <c r="DC109" s="403"/>
      <c r="DD109" s="403"/>
      <c r="DE109" s="403"/>
      <c r="DF109" s="403"/>
      <c r="DG109" s="403" t="s">
        <v>10816</v>
      </c>
      <c r="DH109" s="403"/>
      <c r="DI109" s="403"/>
      <c r="DJ109" s="403"/>
      <c r="DK109" s="403"/>
      <c r="DL109" s="403" t="s">
        <v>10249</v>
      </c>
      <c r="DM109" s="403"/>
      <c r="DN109" s="403"/>
      <c r="DO109" s="403"/>
      <c r="DP109" s="403"/>
      <c r="DQ109" s="403"/>
      <c r="DR109" s="403"/>
      <c r="DS109" s="403"/>
      <c r="DT109" s="403"/>
      <c r="DU109" s="403"/>
      <c r="DV109" s="403"/>
      <c r="DW109" s="403"/>
      <c r="DX109" s="403"/>
      <c r="DY109" s="403"/>
      <c r="DZ109" s="403" t="s">
        <v>10817</v>
      </c>
      <c r="EA109" s="403"/>
      <c r="EB109" s="403"/>
      <c r="EC109" s="403"/>
      <c r="ED109" s="403"/>
      <c r="EE109" s="403" t="s">
        <v>8393</v>
      </c>
      <c r="EF109" s="403"/>
      <c r="EG109" s="403"/>
      <c r="EH109" s="403"/>
      <c r="EI109" s="403"/>
      <c r="EJ109" s="403"/>
      <c r="EK109" s="403"/>
      <c r="EL109" s="403"/>
      <c r="EM109" s="403"/>
      <c r="EN109" s="403"/>
      <c r="EO109" s="403"/>
      <c r="EP109" s="403"/>
      <c r="EQ109" s="403"/>
      <c r="ER109" s="403"/>
      <c r="ES109" s="403" t="s">
        <v>10818</v>
      </c>
      <c r="ET109" s="403"/>
    </row>
    <row r="110" spans="1:150" s="281" customFormat="1" x14ac:dyDescent="0.2">
      <c r="A110" s="350">
        <v>2</v>
      </c>
      <c r="B110" s="567"/>
      <c r="C110" s="5" t="str">
        <f ca="1">IF(OFFSET(U110,0,Lang_Order*Lang__B4)="","",OFFSET(U110,0,Lang_Order*Lang__B4))</f>
        <v>Ultra-cold (-60 to -80C)</v>
      </c>
      <c r="J110" s="146"/>
      <c r="K110" s="146"/>
      <c r="L110" s="146"/>
      <c r="M110" s="146"/>
      <c r="N110" s="146"/>
      <c r="O110" s="146"/>
      <c r="P110" s="205">
        <v>0</v>
      </c>
      <c r="Q110" s="157" t="str">
        <f ca="1">IF(OFFSET(AI109,0,Lang_Order*Lang__B4)="","",OFFSET(AI109,0,Lang_Order*Lang__B4))</f>
        <v>If the volume of existing routine vaccines required is known, can be inputed here</v>
      </c>
      <c r="R110" s="403"/>
      <c r="S110" s="403"/>
      <c r="T110" s="403"/>
      <c r="U110" s="403" t="s">
        <v>13</v>
      </c>
      <c r="V110" s="403"/>
      <c r="W110" s="403"/>
      <c r="X110" s="403"/>
      <c r="Y110" s="403"/>
      <c r="Z110" s="403"/>
      <c r="AA110" s="403"/>
      <c r="AB110" s="403"/>
      <c r="AC110" s="403"/>
      <c r="AD110" s="403"/>
      <c r="AE110" s="403"/>
      <c r="AF110" s="403"/>
      <c r="AG110" s="403"/>
      <c r="AH110" s="403"/>
      <c r="AI110" s="403"/>
      <c r="AJ110" s="403"/>
      <c r="AK110" s="403"/>
      <c r="AL110" s="403"/>
      <c r="AM110" s="403"/>
      <c r="AN110" s="403" t="s">
        <v>8394</v>
      </c>
      <c r="AO110" s="403"/>
      <c r="AP110" s="403"/>
      <c r="AQ110" s="403"/>
      <c r="AR110" s="403"/>
      <c r="AS110" s="403"/>
      <c r="AT110" s="403"/>
      <c r="AU110" s="403"/>
      <c r="AV110" s="403"/>
      <c r="AW110" s="403"/>
      <c r="AX110" s="403"/>
      <c r="AY110" s="403"/>
      <c r="AZ110" s="403"/>
      <c r="BA110" s="403"/>
      <c r="BB110" s="403"/>
      <c r="BC110" s="403"/>
      <c r="BD110" s="403"/>
      <c r="BE110" s="403"/>
      <c r="BF110" s="403"/>
      <c r="BG110" s="403" t="s">
        <v>10229</v>
      </c>
      <c r="BH110" s="403"/>
      <c r="BI110" s="403"/>
      <c r="BJ110" s="403"/>
      <c r="BK110" s="403"/>
      <c r="BL110" s="403"/>
      <c r="BM110" s="403"/>
      <c r="BN110" s="403"/>
      <c r="BO110" s="403"/>
      <c r="BP110" s="403"/>
      <c r="BQ110" s="403"/>
      <c r="BR110" s="403"/>
      <c r="BS110" s="403"/>
      <c r="BT110" s="403"/>
      <c r="BU110" s="403"/>
      <c r="BV110" s="403"/>
      <c r="BW110" s="403"/>
      <c r="BX110" s="403"/>
      <c r="BY110" s="403"/>
      <c r="BZ110" s="403" t="s">
        <v>10237</v>
      </c>
      <c r="CA110" s="403"/>
      <c r="CB110" s="403"/>
      <c r="CC110" s="403"/>
      <c r="CD110" s="403"/>
      <c r="CE110" s="403"/>
      <c r="CF110" s="403"/>
      <c r="CG110" s="403"/>
      <c r="CH110" s="403"/>
      <c r="CI110" s="403"/>
      <c r="CJ110" s="403"/>
      <c r="CK110" s="403"/>
      <c r="CL110" s="403"/>
      <c r="CM110" s="403"/>
      <c r="CN110" s="403"/>
      <c r="CO110" s="403"/>
      <c r="CP110" s="403"/>
      <c r="CQ110" s="403"/>
      <c r="CR110" s="403"/>
      <c r="CS110" s="403" t="s">
        <v>8400</v>
      </c>
      <c r="CT110" s="403"/>
      <c r="CU110" s="403"/>
      <c r="CV110" s="403"/>
      <c r="CW110" s="403"/>
      <c r="CX110" s="403"/>
      <c r="CY110" s="403"/>
      <c r="CZ110" s="403"/>
      <c r="DA110" s="403"/>
      <c r="DB110" s="403"/>
      <c r="DC110" s="403"/>
      <c r="DD110" s="403"/>
      <c r="DE110" s="403"/>
      <c r="DF110" s="403"/>
      <c r="DG110" s="403"/>
      <c r="DH110" s="403"/>
      <c r="DI110" s="403"/>
      <c r="DJ110" s="403"/>
      <c r="DK110" s="403"/>
      <c r="DL110" s="403" t="s">
        <v>10250</v>
      </c>
      <c r="DM110" s="403"/>
      <c r="DN110" s="403"/>
      <c r="DO110" s="403"/>
      <c r="DP110" s="403"/>
      <c r="DQ110" s="403"/>
      <c r="DR110" s="403"/>
      <c r="DS110" s="403"/>
      <c r="DT110" s="403"/>
      <c r="DU110" s="403"/>
      <c r="DV110" s="403"/>
      <c r="DW110" s="403"/>
      <c r="DX110" s="403"/>
      <c r="DY110" s="403"/>
      <c r="DZ110" s="403"/>
      <c r="EA110" s="403"/>
      <c r="EB110" s="403"/>
      <c r="EC110" s="403"/>
      <c r="ED110" s="403"/>
      <c r="EE110" s="403" t="s">
        <v>8404</v>
      </c>
      <c r="EF110" s="403"/>
      <c r="EG110" s="403"/>
      <c r="EH110" s="403"/>
      <c r="EI110" s="403"/>
      <c r="EJ110" s="403"/>
      <c r="EK110" s="403"/>
      <c r="EL110" s="403"/>
      <c r="EM110" s="403"/>
      <c r="EN110" s="403"/>
      <c r="EO110" s="403"/>
      <c r="EP110" s="403"/>
      <c r="EQ110" s="403"/>
      <c r="ER110" s="403"/>
      <c r="ES110" s="403"/>
      <c r="ET110" s="403"/>
    </row>
    <row r="111" spans="1:150" s="281" customFormat="1" x14ac:dyDescent="0.2">
      <c r="C111" s="5"/>
      <c r="J111" s="146"/>
      <c r="K111" s="146"/>
      <c r="L111" s="146"/>
      <c r="M111" s="146"/>
      <c r="N111" s="146"/>
      <c r="O111" s="146"/>
      <c r="P111" s="287"/>
      <c r="Q111" s="16"/>
      <c r="R111" s="403"/>
      <c r="S111" s="403"/>
      <c r="T111" s="403"/>
      <c r="U111" s="403"/>
      <c r="V111" s="403"/>
      <c r="W111" s="403"/>
      <c r="X111" s="403"/>
      <c r="Y111" s="403"/>
      <c r="Z111" s="403"/>
      <c r="AA111" s="403"/>
      <c r="AB111" s="403"/>
      <c r="AC111" s="403"/>
      <c r="AD111" s="403"/>
      <c r="AE111" s="403"/>
      <c r="AF111" s="403"/>
      <c r="AG111" s="403"/>
      <c r="AH111" s="403"/>
      <c r="AI111" s="403"/>
      <c r="AJ111" s="403"/>
      <c r="AK111" s="403"/>
      <c r="AL111" s="403"/>
      <c r="AM111" s="403"/>
      <c r="AN111" s="403"/>
      <c r="AO111" s="403"/>
      <c r="AP111" s="403"/>
      <c r="AQ111" s="403"/>
      <c r="AR111" s="403"/>
      <c r="AS111" s="403"/>
      <c r="AT111" s="403"/>
      <c r="AU111" s="403"/>
      <c r="AV111" s="403"/>
      <c r="AW111" s="403"/>
      <c r="AX111" s="403"/>
      <c r="AY111" s="403"/>
      <c r="AZ111" s="403"/>
      <c r="BA111" s="403"/>
      <c r="BB111" s="403"/>
      <c r="BC111" s="403"/>
      <c r="BD111" s="403"/>
      <c r="BE111" s="403"/>
      <c r="BF111" s="403"/>
      <c r="BG111" s="403"/>
      <c r="BH111" s="403"/>
      <c r="BI111" s="403"/>
      <c r="BJ111" s="403"/>
      <c r="BK111" s="403"/>
      <c r="BL111" s="403"/>
      <c r="BM111" s="403"/>
      <c r="BN111" s="403"/>
      <c r="BO111" s="403"/>
      <c r="BP111" s="403"/>
      <c r="BQ111" s="403"/>
      <c r="BR111" s="403"/>
      <c r="BS111" s="403"/>
      <c r="BT111" s="403"/>
      <c r="BU111" s="403"/>
      <c r="BV111" s="403"/>
      <c r="BW111" s="403"/>
      <c r="BX111" s="403"/>
      <c r="BY111" s="403"/>
      <c r="BZ111" s="403"/>
      <c r="CA111" s="403"/>
      <c r="CB111" s="403"/>
      <c r="CC111" s="403"/>
      <c r="CD111" s="403"/>
      <c r="CE111" s="403"/>
      <c r="CF111" s="403"/>
      <c r="CG111" s="403"/>
      <c r="CH111" s="403"/>
      <c r="CI111" s="403"/>
      <c r="CJ111" s="403"/>
      <c r="CK111" s="403"/>
      <c r="CL111" s="403"/>
      <c r="CM111" s="403"/>
      <c r="CN111" s="403"/>
      <c r="CO111" s="403"/>
      <c r="CP111" s="403"/>
      <c r="CQ111" s="403"/>
      <c r="CR111" s="403"/>
      <c r="CS111" s="403"/>
      <c r="CT111" s="403"/>
      <c r="CU111" s="403"/>
      <c r="CV111" s="403"/>
      <c r="CW111" s="403"/>
      <c r="CX111" s="403"/>
      <c r="CY111" s="403"/>
      <c r="CZ111" s="403"/>
      <c r="DA111" s="403"/>
      <c r="DB111" s="403"/>
      <c r="DC111" s="403"/>
      <c r="DD111" s="403"/>
      <c r="DE111" s="403"/>
      <c r="DF111" s="403"/>
      <c r="DG111" s="403"/>
      <c r="DH111" s="403"/>
      <c r="DI111" s="403"/>
      <c r="DJ111" s="403"/>
      <c r="DK111" s="403"/>
      <c r="DL111" s="403"/>
      <c r="DM111" s="403"/>
      <c r="DN111" s="403"/>
      <c r="DO111" s="403"/>
      <c r="DP111" s="403"/>
      <c r="DQ111" s="403"/>
      <c r="DR111" s="403"/>
      <c r="DS111" s="403"/>
      <c r="DT111" s="403"/>
      <c r="DU111" s="403"/>
      <c r="DV111" s="403"/>
      <c r="DW111" s="403"/>
      <c r="DX111" s="403"/>
      <c r="DY111" s="403"/>
      <c r="DZ111" s="403"/>
      <c r="EA111" s="403"/>
      <c r="EB111" s="403"/>
      <c r="EC111" s="403"/>
      <c r="ED111" s="403"/>
      <c r="EE111" s="403"/>
      <c r="EF111" s="403"/>
      <c r="EG111" s="403"/>
      <c r="EH111" s="403"/>
      <c r="EI111" s="403"/>
      <c r="EJ111" s="403"/>
      <c r="EK111" s="403"/>
      <c r="EL111" s="403"/>
      <c r="EM111" s="403"/>
      <c r="EN111" s="403"/>
      <c r="EO111" s="403"/>
      <c r="EP111" s="403"/>
      <c r="EQ111" s="403"/>
      <c r="ER111" s="403"/>
      <c r="ES111" s="403"/>
      <c r="ET111" s="403"/>
    </row>
    <row r="112" spans="1:150" s="281" customFormat="1" ht="15" x14ac:dyDescent="0.25">
      <c r="B112" s="624" t="str">
        <f ca="1">IF(OFFSET(T112,0,Lang_Order*Lang__B4)="","",OFFSET(T112,0,Lang_Order*Lang__B4))</f>
        <v>Cold storage units required (WICR and WIFR) for COVID-19 + routine vaccines</v>
      </c>
      <c r="C112" s="5"/>
      <c r="J112" s="294" t="str">
        <f t="shared" ref="J112:P112" ca="1" si="29">IF(OFFSET(AB112,0,Lang_Order*Lang__B4)="","",OFFSET(AB112,0,Lang_Order*Lang__B4))</f>
        <v>Refridgerator capacity per unit</v>
      </c>
      <c r="K112" s="294" t="str">
        <f t="shared" ca="1" si="29"/>
        <v>Freezer capacity per unit</v>
      </c>
      <c r="L112" s="294" t="str">
        <f t="shared" ca="1" si="29"/>
        <v>kWh per period per unit</v>
      </c>
      <c r="M112" s="294" t="str">
        <f t="shared" ca="1" si="29"/>
        <v>Lower Price</v>
      </c>
      <c r="N112" s="294" t="str">
        <f t="shared" ca="1" si="29"/>
        <v>Upper Price</v>
      </c>
      <c r="O112" s="294" t="str">
        <f t="shared" ca="1" si="29"/>
        <v>Prequalified Price</v>
      </c>
      <c r="P112" s="297" t="str">
        <f t="shared" ca="1" si="29"/>
        <v>Units</v>
      </c>
      <c r="Q112" s="91"/>
      <c r="R112" s="403"/>
      <c r="S112" s="403"/>
      <c r="T112" s="403" t="s">
        <v>4184</v>
      </c>
      <c r="U112" s="403"/>
      <c r="V112" s="403"/>
      <c r="W112" s="403"/>
      <c r="X112" s="403"/>
      <c r="Y112" s="403"/>
      <c r="Z112" s="403"/>
      <c r="AA112" s="403"/>
      <c r="AB112" s="403" t="s">
        <v>3575</v>
      </c>
      <c r="AC112" s="403" t="s">
        <v>3576</v>
      </c>
      <c r="AD112" s="403" t="s">
        <v>3624</v>
      </c>
      <c r="AE112" s="403" t="s">
        <v>3591</v>
      </c>
      <c r="AF112" s="403" t="s">
        <v>3590</v>
      </c>
      <c r="AG112" s="403" t="s">
        <v>4618</v>
      </c>
      <c r="AH112" s="403" t="s">
        <v>37</v>
      </c>
      <c r="AI112" s="403"/>
      <c r="AJ112" s="403"/>
      <c r="AK112" s="403"/>
      <c r="AL112" s="403"/>
      <c r="AM112" s="403" t="s">
        <v>10819</v>
      </c>
      <c r="AN112" s="403"/>
      <c r="AO112" s="403"/>
      <c r="AP112" s="403"/>
      <c r="AQ112" s="403"/>
      <c r="AR112" s="403"/>
      <c r="AS112" s="403"/>
      <c r="AT112" s="403"/>
      <c r="AU112" s="403" t="s">
        <v>10820</v>
      </c>
      <c r="AV112" s="403" t="s">
        <v>10821</v>
      </c>
      <c r="AW112" s="403" t="s">
        <v>10822</v>
      </c>
      <c r="AX112" s="403" t="s">
        <v>10823</v>
      </c>
      <c r="AY112" s="403" t="s">
        <v>10824</v>
      </c>
      <c r="AZ112" s="403" t="s">
        <v>10825</v>
      </c>
      <c r="BA112" s="403" t="s">
        <v>8153</v>
      </c>
      <c r="BB112" s="403"/>
      <c r="BC112" s="403"/>
      <c r="BD112" s="403"/>
      <c r="BE112" s="403"/>
      <c r="BF112" s="403" t="s">
        <v>10826</v>
      </c>
      <c r="BG112" s="403"/>
      <c r="BH112" s="403"/>
      <c r="BI112" s="403"/>
      <c r="BJ112" s="403"/>
      <c r="BK112" s="403"/>
      <c r="BL112" s="403"/>
      <c r="BM112" s="403"/>
      <c r="BN112" s="403" t="s">
        <v>10827</v>
      </c>
      <c r="BO112" s="403" t="s">
        <v>10828</v>
      </c>
      <c r="BP112" s="403" t="s">
        <v>10829</v>
      </c>
      <c r="BQ112" s="403" t="s">
        <v>10830</v>
      </c>
      <c r="BR112" s="403" t="s">
        <v>10831</v>
      </c>
      <c r="BS112" s="403" t="s">
        <v>13305</v>
      </c>
      <c r="BT112" s="403" t="s">
        <v>10832</v>
      </c>
      <c r="BU112" s="403"/>
      <c r="BV112" s="403"/>
      <c r="BW112" s="403"/>
      <c r="BX112" s="403"/>
      <c r="BY112" s="403" t="s">
        <v>10833</v>
      </c>
      <c r="BZ112" s="403"/>
      <c r="CA112" s="403"/>
      <c r="CB112" s="403"/>
      <c r="CC112" s="403"/>
      <c r="CD112" s="403"/>
      <c r="CE112" s="403"/>
      <c r="CF112" s="403"/>
      <c r="CG112" s="403" t="s">
        <v>10834</v>
      </c>
      <c r="CH112" s="403" t="s">
        <v>10835</v>
      </c>
      <c r="CI112" s="403" t="s">
        <v>10836</v>
      </c>
      <c r="CJ112" s="403" t="s">
        <v>10837</v>
      </c>
      <c r="CK112" s="403" t="s">
        <v>10838</v>
      </c>
      <c r="CL112" s="403" t="s">
        <v>13306</v>
      </c>
      <c r="CM112" s="403" t="s">
        <v>8159</v>
      </c>
      <c r="CN112" s="403"/>
      <c r="CO112" s="403"/>
      <c r="CP112" s="403"/>
      <c r="CQ112" s="403"/>
      <c r="CR112" s="403" t="s">
        <v>10839</v>
      </c>
      <c r="CS112" s="403"/>
      <c r="CT112" s="403"/>
      <c r="CU112" s="403"/>
      <c r="CV112" s="403"/>
      <c r="CW112" s="403"/>
      <c r="CX112" s="403"/>
      <c r="CY112" s="403"/>
      <c r="CZ112" s="403" t="s">
        <v>10840</v>
      </c>
      <c r="DA112" s="403" t="s">
        <v>10841</v>
      </c>
      <c r="DB112" s="403" t="s">
        <v>10842</v>
      </c>
      <c r="DC112" s="403" t="s">
        <v>10843</v>
      </c>
      <c r="DD112" s="403" t="s">
        <v>10844</v>
      </c>
      <c r="DE112" s="403" t="s">
        <v>10845</v>
      </c>
      <c r="DF112" s="403" t="s">
        <v>8159</v>
      </c>
      <c r="DG112" s="403"/>
      <c r="DH112" s="403"/>
      <c r="DI112" s="403"/>
      <c r="DJ112" s="403"/>
      <c r="DK112" s="403" t="s">
        <v>10846</v>
      </c>
      <c r="DL112" s="403"/>
      <c r="DM112" s="403"/>
      <c r="DN112" s="403"/>
      <c r="DO112" s="403"/>
      <c r="DP112" s="403"/>
      <c r="DQ112" s="403"/>
      <c r="DR112" s="403"/>
      <c r="DS112" s="403" t="s">
        <v>10847</v>
      </c>
      <c r="DT112" s="403" t="s">
        <v>10848</v>
      </c>
      <c r="DU112" s="403" t="s">
        <v>10849</v>
      </c>
      <c r="DV112" s="403" t="s">
        <v>10850</v>
      </c>
      <c r="DW112" s="403" t="s">
        <v>10851</v>
      </c>
      <c r="DX112" s="403" t="s">
        <v>13307</v>
      </c>
      <c r="DY112" s="403" t="s">
        <v>5709</v>
      </c>
      <c r="DZ112" s="403"/>
      <c r="EA112" s="403"/>
      <c r="EB112" s="403"/>
      <c r="EC112" s="403"/>
      <c r="ED112" s="403" t="s">
        <v>10852</v>
      </c>
      <c r="EE112" s="403"/>
      <c r="EF112" s="403"/>
      <c r="EG112" s="403"/>
      <c r="EH112" s="403"/>
      <c r="EI112" s="403"/>
      <c r="EJ112" s="403"/>
      <c r="EK112" s="403"/>
      <c r="EL112" s="403" t="s">
        <v>10853</v>
      </c>
      <c r="EM112" s="403" t="s">
        <v>10854</v>
      </c>
      <c r="EN112" s="403" t="s">
        <v>10855</v>
      </c>
      <c r="EO112" s="403" t="s">
        <v>10856</v>
      </c>
      <c r="EP112" s="403" t="s">
        <v>10857</v>
      </c>
      <c r="EQ112" s="403" t="s">
        <v>13308</v>
      </c>
      <c r="ER112" s="403" t="s">
        <v>10858</v>
      </c>
      <c r="ES112" s="403"/>
      <c r="ET112" s="403"/>
    </row>
    <row r="113" spans="1:150" s="281" customFormat="1" x14ac:dyDescent="0.2">
      <c r="A113" s="350">
        <v>2</v>
      </c>
      <c r="C113" s="72" t="str">
        <f ca="1">IF(OFFSET(U113,0,Lang_Order*Lang__B4)="","",OFFSET(U113,0,Lang_Order*Lang__B4))</f>
        <v/>
      </c>
      <c r="D113" s="78" t="str">
        <f ca="1">IF(OFFSET(V113,0,Lang_Order*Lang__B4)="","",OFFSET(V113,0,Lang_Order*Lang__B4))</f>
        <v>WHO PQS CCEs - NO ENDORSEMENT OF ANY PRODUCT - USER TO CHOOSE PRODUCT AS DESIRED</v>
      </c>
      <c r="L113" s="146"/>
      <c r="M113" s="146"/>
      <c r="N113" s="146"/>
      <c r="O113" s="146"/>
      <c r="P113" s="287"/>
      <c r="Q113" s="91"/>
      <c r="R113" s="403"/>
      <c r="S113" s="403"/>
      <c r="T113" s="403"/>
      <c r="U113" s="403"/>
      <c r="V113" s="403" t="s">
        <v>3656</v>
      </c>
      <c r="W113" s="403"/>
      <c r="X113" s="403"/>
      <c r="Y113" s="403"/>
      <c r="Z113" s="403"/>
      <c r="AA113" s="403"/>
      <c r="AB113" s="403"/>
      <c r="AC113" s="403"/>
      <c r="AD113" s="403"/>
      <c r="AE113" s="403"/>
      <c r="AF113" s="403"/>
      <c r="AG113" s="403"/>
      <c r="AH113" s="403"/>
      <c r="AI113" s="403"/>
      <c r="AJ113" s="403"/>
      <c r="AK113" s="403"/>
      <c r="AL113" s="403"/>
      <c r="AM113" s="403"/>
      <c r="AN113" s="403"/>
      <c r="AO113" s="403" t="s">
        <v>10859</v>
      </c>
      <c r="AP113" s="403"/>
      <c r="AQ113" s="403"/>
      <c r="AR113" s="403"/>
      <c r="AS113" s="403"/>
      <c r="AT113" s="403"/>
      <c r="AU113" s="403"/>
      <c r="AV113" s="403"/>
      <c r="AW113" s="403"/>
      <c r="AX113" s="403"/>
      <c r="AY113" s="403"/>
      <c r="AZ113" s="403"/>
      <c r="BA113" s="403"/>
      <c r="BB113" s="403"/>
      <c r="BC113" s="403"/>
      <c r="BD113" s="403"/>
      <c r="BE113" s="403"/>
      <c r="BF113" s="403"/>
      <c r="BG113" s="403"/>
      <c r="BH113" s="403" t="s">
        <v>10860</v>
      </c>
      <c r="BI113" s="403"/>
      <c r="BJ113" s="403"/>
      <c r="BK113" s="403"/>
      <c r="BL113" s="403"/>
      <c r="BM113" s="403"/>
      <c r="BN113" s="403"/>
      <c r="BO113" s="403"/>
      <c r="BP113" s="403"/>
      <c r="BQ113" s="403"/>
      <c r="BR113" s="403"/>
      <c r="BS113" s="403"/>
      <c r="BT113" s="403"/>
      <c r="BU113" s="403"/>
      <c r="BV113" s="403"/>
      <c r="BW113" s="403"/>
      <c r="BX113" s="403"/>
      <c r="BY113" s="403"/>
      <c r="BZ113" s="403"/>
      <c r="CA113" s="403" t="s">
        <v>10861</v>
      </c>
      <c r="CB113" s="403"/>
      <c r="CC113" s="403"/>
      <c r="CD113" s="403"/>
      <c r="CE113" s="403"/>
      <c r="CF113" s="403"/>
      <c r="CG113" s="403"/>
      <c r="CH113" s="403"/>
      <c r="CI113" s="403"/>
      <c r="CJ113" s="403"/>
      <c r="CK113" s="403"/>
      <c r="CL113" s="403"/>
      <c r="CM113" s="403"/>
      <c r="CN113" s="403"/>
      <c r="CO113" s="403"/>
      <c r="CP113" s="403"/>
      <c r="CQ113" s="403"/>
      <c r="CR113" s="403"/>
      <c r="CS113" s="403"/>
      <c r="CT113" s="403" t="s">
        <v>10862</v>
      </c>
      <c r="CU113" s="403"/>
      <c r="CV113" s="403"/>
      <c r="CW113" s="403"/>
      <c r="CX113" s="403"/>
      <c r="CY113" s="403"/>
      <c r="CZ113" s="403"/>
      <c r="DA113" s="403"/>
      <c r="DB113" s="403"/>
      <c r="DC113" s="403"/>
      <c r="DD113" s="403"/>
      <c r="DE113" s="403"/>
      <c r="DF113" s="403"/>
      <c r="DG113" s="403"/>
      <c r="DH113" s="403"/>
      <c r="DI113" s="403"/>
      <c r="DJ113" s="403"/>
      <c r="DK113" s="403"/>
      <c r="DL113" s="403"/>
      <c r="DM113" s="403" t="s">
        <v>10863</v>
      </c>
      <c r="DN113" s="403"/>
      <c r="DO113" s="403"/>
      <c r="DP113" s="403"/>
      <c r="DQ113" s="403"/>
      <c r="DR113" s="403"/>
      <c r="DS113" s="403"/>
      <c r="DT113" s="403"/>
      <c r="DU113" s="403"/>
      <c r="DV113" s="403"/>
      <c r="DW113" s="403"/>
      <c r="DX113" s="403"/>
      <c r="DY113" s="403"/>
      <c r="DZ113" s="403"/>
      <c r="EA113" s="403"/>
      <c r="EB113" s="403"/>
      <c r="EC113" s="403"/>
      <c r="ED113" s="403"/>
      <c r="EE113" s="403"/>
      <c r="EF113" s="403" t="s">
        <v>10864</v>
      </c>
      <c r="EG113" s="403"/>
      <c r="EH113" s="403"/>
      <c r="EI113" s="403"/>
      <c r="EJ113" s="403"/>
      <c r="EK113" s="403"/>
      <c r="EL113" s="403"/>
      <c r="EM113" s="403"/>
      <c r="EN113" s="403"/>
      <c r="EO113" s="403"/>
      <c r="EP113" s="403"/>
      <c r="EQ113" s="403"/>
      <c r="ER113" s="403"/>
      <c r="ES113" s="403"/>
      <c r="ET113" s="403"/>
    </row>
    <row r="114" spans="1:150" s="281" customFormat="1" x14ac:dyDescent="0.2">
      <c r="A114" s="350">
        <v>2</v>
      </c>
      <c r="C114" s="5" t="str">
        <f ca="1">IF(OFFSET(U114,0,Lang_Order*Lang__B4)="","",OFFSET(U114,0,Lang_Order*Lang__B4))</f>
        <v>Refrigerated (2 to 8C)</v>
      </c>
      <c r="D114" s="500" t="s">
        <v>3707</v>
      </c>
      <c r="J114" s="293">
        <f>VLOOKUP($D114,CCE[],7,FALSE)</f>
        <v>40000</v>
      </c>
      <c r="K114" s="293">
        <f>VLOOKUP($D114,CCE[],8,FALSE)</f>
        <v>0</v>
      </c>
      <c r="L114" s="501">
        <f>VLOOKUP($D114,CCE[],21,FALSE)*Time_period</f>
        <v>9180</v>
      </c>
      <c r="M114" s="207">
        <f>VLOOKUP($D114,CCE[],13,FALSE)</f>
        <v>43507.85</v>
      </c>
      <c r="N114" s="207">
        <f>VLOOKUP($D114,CCE[],14,FALSE)</f>
        <v>51007.85</v>
      </c>
      <c r="O114" s="207">
        <f>VLOOKUP($D114,CCE[],10,FALSE)</f>
        <v>25007.85</v>
      </c>
      <c r="P114" s="208" t="e">
        <f>MAX(0,ROUNDUP((P102+P108-(J115*P115))/J114,0))</f>
        <v>#N/A</v>
      </c>
      <c r="Q114" s="157" t="str">
        <f ca="1">IF(OFFSET(AI114,0,Lang_Order*Lang__B4)="","",OFFSET(AI114,0,Lang_Order*Lang__B4))</f>
        <v>Source: GAVI [Covax-CCE-Budget-Template.xlsx], WHO PQS Catalogue [ http://apps.who.int/immunization_standards/vaccine_quality/pqs_catalogue/ ]</v>
      </c>
      <c r="R114" s="403"/>
      <c r="S114" s="403"/>
      <c r="T114" s="403"/>
      <c r="U114" s="403" t="s">
        <v>11</v>
      </c>
      <c r="V114" s="403"/>
      <c r="W114" s="403"/>
      <c r="X114" s="403"/>
      <c r="Y114" s="403"/>
      <c r="Z114" s="403"/>
      <c r="AA114" s="403"/>
      <c r="AB114" s="403"/>
      <c r="AC114" s="403"/>
      <c r="AD114" s="403"/>
      <c r="AE114" s="403"/>
      <c r="AF114" s="403"/>
      <c r="AG114" s="403"/>
      <c r="AH114" s="403"/>
      <c r="AI114" s="403" t="s">
        <v>3595</v>
      </c>
      <c r="AJ114" s="403"/>
      <c r="AK114" s="403"/>
      <c r="AL114" s="403"/>
      <c r="AM114" s="403"/>
      <c r="AN114" s="403" t="s">
        <v>10714</v>
      </c>
      <c r="AO114" s="403"/>
      <c r="AP114" s="403"/>
      <c r="AQ114" s="403"/>
      <c r="AR114" s="403"/>
      <c r="AS114" s="403"/>
      <c r="AT114" s="403"/>
      <c r="AU114" s="403"/>
      <c r="AV114" s="403"/>
      <c r="AW114" s="403"/>
      <c r="AX114" s="403"/>
      <c r="AY114" s="403"/>
      <c r="AZ114" s="403"/>
      <c r="BA114" s="403"/>
      <c r="BB114" s="403" t="s">
        <v>10865</v>
      </c>
      <c r="BC114" s="403"/>
      <c r="BD114" s="403"/>
      <c r="BE114" s="403"/>
      <c r="BF114" s="403"/>
      <c r="BG114" s="403" t="s">
        <v>10227</v>
      </c>
      <c r="BH114" s="403"/>
      <c r="BI114" s="403"/>
      <c r="BJ114" s="403"/>
      <c r="BK114" s="403"/>
      <c r="BL114" s="403"/>
      <c r="BM114" s="403"/>
      <c r="BN114" s="403"/>
      <c r="BO114" s="403"/>
      <c r="BP114" s="403"/>
      <c r="BQ114" s="403"/>
      <c r="BR114" s="403"/>
      <c r="BS114" s="403"/>
      <c r="BT114" s="403"/>
      <c r="BU114" s="403" t="s">
        <v>10866</v>
      </c>
      <c r="BV114" s="403"/>
      <c r="BW114" s="403"/>
      <c r="BX114" s="403"/>
      <c r="BY114" s="403"/>
      <c r="BZ114" s="403" t="s">
        <v>10715</v>
      </c>
      <c r="CA114" s="403"/>
      <c r="CB114" s="403"/>
      <c r="CC114" s="403"/>
      <c r="CD114" s="403"/>
      <c r="CE114" s="403"/>
      <c r="CF114" s="403"/>
      <c r="CG114" s="403"/>
      <c r="CH114" s="403"/>
      <c r="CI114" s="403"/>
      <c r="CJ114" s="403"/>
      <c r="CK114" s="403"/>
      <c r="CL114" s="403"/>
      <c r="CM114" s="403"/>
      <c r="CN114" s="403" t="s">
        <v>10867</v>
      </c>
      <c r="CO114" s="403"/>
      <c r="CP114" s="403"/>
      <c r="CQ114" s="403"/>
      <c r="CR114" s="403"/>
      <c r="CS114" s="403" t="s">
        <v>8384</v>
      </c>
      <c r="CT114" s="403"/>
      <c r="CU114" s="403"/>
      <c r="CV114" s="403"/>
      <c r="CW114" s="403"/>
      <c r="CX114" s="403"/>
      <c r="CY114" s="403"/>
      <c r="CZ114" s="403"/>
      <c r="DA114" s="403"/>
      <c r="DB114" s="403"/>
      <c r="DC114" s="403"/>
      <c r="DD114" s="403"/>
      <c r="DE114" s="403"/>
      <c r="DF114" s="403"/>
      <c r="DG114" s="403" t="s">
        <v>10868</v>
      </c>
      <c r="DH114" s="403"/>
      <c r="DI114" s="403"/>
      <c r="DJ114" s="403"/>
      <c r="DK114" s="403"/>
      <c r="DL114" s="403" t="s">
        <v>10248</v>
      </c>
      <c r="DM114" s="403"/>
      <c r="DN114" s="403"/>
      <c r="DO114" s="403"/>
      <c r="DP114" s="403"/>
      <c r="DQ114" s="403"/>
      <c r="DR114" s="403"/>
      <c r="DS114" s="403"/>
      <c r="DT114" s="403"/>
      <c r="DU114" s="403"/>
      <c r="DV114" s="403"/>
      <c r="DW114" s="403"/>
      <c r="DX114" s="403"/>
      <c r="DY114" s="403"/>
      <c r="DZ114" s="403" t="s">
        <v>10869</v>
      </c>
      <c r="EA114" s="403"/>
      <c r="EB114" s="403"/>
      <c r="EC114" s="403"/>
      <c r="ED114" s="403"/>
      <c r="EE114" s="403" t="s">
        <v>8387</v>
      </c>
      <c r="EF114" s="403"/>
      <c r="EG114" s="403"/>
      <c r="EH114" s="403"/>
      <c r="EI114" s="403"/>
      <c r="EJ114" s="403"/>
      <c r="EK114" s="403"/>
      <c r="EL114" s="403"/>
      <c r="EM114" s="403"/>
      <c r="EN114" s="403"/>
      <c r="EO114" s="403"/>
      <c r="EP114" s="403"/>
      <c r="EQ114" s="403"/>
      <c r="ER114" s="403"/>
      <c r="ES114" s="403" t="s">
        <v>10870</v>
      </c>
      <c r="ET114" s="403"/>
    </row>
    <row r="115" spans="1:150" s="281" customFormat="1" x14ac:dyDescent="0.2">
      <c r="A115" s="350">
        <v>2</v>
      </c>
      <c r="C115" s="5" t="str">
        <f ca="1">IF(OFFSET(U115,0,Lang_Order*Lang__B4)="","",OFFSET(U115,0,Lang_Order*Lang__B4))</f>
        <v>Frozen (-20C)</v>
      </c>
      <c r="D115" s="500" t="s">
        <v>3708</v>
      </c>
      <c r="J115" s="293">
        <f>VLOOKUP($D115,CCE[],7,FALSE)</f>
        <v>25000</v>
      </c>
      <c r="K115" s="293">
        <f>VLOOKUP($D115,CCE[],8,FALSE)</f>
        <v>15000</v>
      </c>
      <c r="L115" s="501">
        <f>VLOOKUP($D115,CCE[],21,FALSE)*Time_period</f>
        <v>9180</v>
      </c>
      <c r="M115" s="207">
        <f>VLOOKUP($D115,CCE[],13,FALSE)</f>
        <v>61200.2</v>
      </c>
      <c r="N115" s="207">
        <f>VLOOKUP($D115,CCE[],14,FALSE)</f>
        <v>73200.2</v>
      </c>
      <c r="O115" s="207">
        <f>VLOOKUP($D115,CCE[],10,FALSE)</f>
        <v>35200.199999999997</v>
      </c>
      <c r="P115" s="208" t="e">
        <f>ROUNDUP((P103+P109)/K115,0)</f>
        <v>#N/A</v>
      </c>
      <c r="Q115" s="157" t="str">
        <f ca="1">IF(OFFSET(AI115,0,Lang_Order*Lang__B4)="","",OFFSET(AI115,0,Lang_Order*Lang__B4))</f>
        <v>Source: GAVI [Covax-CCE-Budget-Template.xlsx], WHO PQS Catalogue [ http://apps.who.int/immunization_standards/vaccine_quality/pqs_catalogue/ ]</v>
      </c>
      <c r="R115" s="403"/>
      <c r="S115" s="403"/>
      <c r="T115" s="403"/>
      <c r="U115" s="403" t="s">
        <v>12</v>
      </c>
      <c r="V115" s="403"/>
      <c r="W115" s="403"/>
      <c r="X115" s="403"/>
      <c r="Y115" s="403"/>
      <c r="Z115" s="403"/>
      <c r="AA115" s="403"/>
      <c r="AB115" s="403"/>
      <c r="AC115" s="403"/>
      <c r="AD115" s="403"/>
      <c r="AE115" s="403"/>
      <c r="AF115" s="403"/>
      <c r="AG115" s="403"/>
      <c r="AH115" s="403"/>
      <c r="AI115" s="403" t="s">
        <v>3595</v>
      </c>
      <c r="AJ115" s="403"/>
      <c r="AK115" s="403"/>
      <c r="AL115" s="403"/>
      <c r="AM115" s="403"/>
      <c r="AN115" s="403" t="s">
        <v>10717</v>
      </c>
      <c r="AO115" s="403"/>
      <c r="AP115" s="403"/>
      <c r="AQ115" s="403"/>
      <c r="AR115" s="403"/>
      <c r="AS115" s="403"/>
      <c r="AT115" s="403"/>
      <c r="AU115" s="403"/>
      <c r="AV115" s="403"/>
      <c r="AW115" s="403"/>
      <c r="AX115" s="403"/>
      <c r="AY115" s="403"/>
      <c r="AZ115" s="403"/>
      <c r="BA115" s="403"/>
      <c r="BB115" s="403" t="s">
        <v>3595</v>
      </c>
      <c r="BC115" s="403"/>
      <c r="BD115" s="403"/>
      <c r="BE115" s="403"/>
      <c r="BF115" s="403"/>
      <c r="BG115" s="403" t="s">
        <v>10228</v>
      </c>
      <c r="BH115" s="403"/>
      <c r="BI115" s="403"/>
      <c r="BJ115" s="403"/>
      <c r="BK115" s="403"/>
      <c r="BL115" s="403"/>
      <c r="BM115" s="403"/>
      <c r="BN115" s="403"/>
      <c r="BO115" s="403"/>
      <c r="BP115" s="403"/>
      <c r="BQ115" s="403"/>
      <c r="BR115" s="403"/>
      <c r="BS115" s="403"/>
      <c r="BT115" s="403"/>
      <c r="BU115" s="403" t="s">
        <v>10866</v>
      </c>
      <c r="BV115" s="403"/>
      <c r="BW115" s="403"/>
      <c r="BX115" s="403"/>
      <c r="BY115" s="403"/>
      <c r="BZ115" s="403" t="s">
        <v>10718</v>
      </c>
      <c r="CA115" s="403"/>
      <c r="CB115" s="403"/>
      <c r="CC115" s="403"/>
      <c r="CD115" s="403"/>
      <c r="CE115" s="403"/>
      <c r="CF115" s="403"/>
      <c r="CG115" s="403"/>
      <c r="CH115" s="403"/>
      <c r="CI115" s="403"/>
      <c r="CJ115" s="403"/>
      <c r="CK115" s="403"/>
      <c r="CL115" s="403"/>
      <c r="CM115" s="403"/>
      <c r="CN115" s="403" t="s">
        <v>10867</v>
      </c>
      <c r="CO115" s="403"/>
      <c r="CP115" s="403"/>
      <c r="CQ115" s="403"/>
      <c r="CR115" s="403"/>
      <c r="CS115" s="403" t="s">
        <v>8391</v>
      </c>
      <c r="CT115" s="403"/>
      <c r="CU115" s="403"/>
      <c r="CV115" s="403"/>
      <c r="CW115" s="403"/>
      <c r="CX115" s="403"/>
      <c r="CY115" s="403"/>
      <c r="CZ115" s="403"/>
      <c r="DA115" s="403"/>
      <c r="DB115" s="403"/>
      <c r="DC115" s="403"/>
      <c r="DD115" s="403"/>
      <c r="DE115" s="403"/>
      <c r="DF115" s="403"/>
      <c r="DG115" s="403" t="s">
        <v>10868</v>
      </c>
      <c r="DH115" s="403"/>
      <c r="DI115" s="403"/>
      <c r="DJ115" s="403"/>
      <c r="DK115" s="403"/>
      <c r="DL115" s="403" t="s">
        <v>10249</v>
      </c>
      <c r="DM115" s="403"/>
      <c r="DN115" s="403"/>
      <c r="DO115" s="403"/>
      <c r="DP115" s="403"/>
      <c r="DQ115" s="403"/>
      <c r="DR115" s="403"/>
      <c r="DS115" s="403"/>
      <c r="DT115" s="403"/>
      <c r="DU115" s="403"/>
      <c r="DV115" s="403"/>
      <c r="DW115" s="403"/>
      <c r="DX115" s="403"/>
      <c r="DY115" s="403"/>
      <c r="DZ115" s="403" t="s">
        <v>10869</v>
      </c>
      <c r="EA115" s="403"/>
      <c r="EB115" s="403"/>
      <c r="EC115" s="403"/>
      <c r="ED115" s="403"/>
      <c r="EE115" s="403" t="s">
        <v>8393</v>
      </c>
      <c r="EF115" s="403"/>
      <c r="EG115" s="403"/>
      <c r="EH115" s="403"/>
      <c r="EI115" s="403"/>
      <c r="EJ115" s="403"/>
      <c r="EK115" s="403"/>
      <c r="EL115" s="403"/>
      <c r="EM115" s="403"/>
      <c r="EN115" s="403"/>
      <c r="EO115" s="403"/>
      <c r="EP115" s="403"/>
      <c r="EQ115" s="403"/>
      <c r="ER115" s="403"/>
      <c r="ES115" s="403" t="s">
        <v>10870</v>
      </c>
      <c r="ET115" s="403"/>
    </row>
    <row r="116" spans="1:150" s="281" customFormat="1" x14ac:dyDescent="0.2">
      <c r="A116" s="350">
        <v>2</v>
      </c>
      <c r="B116" s="567"/>
      <c r="C116" s="5" t="str">
        <f ca="1">IF(OFFSET(U116,0,Lang_Order*Lang__B4)="","",OFFSET(U116,0,Lang_Order*Lang__B4))</f>
        <v>Ultra-cold (-60 to -80C)</v>
      </c>
      <c r="D116" s="500" t="s">
        <v>4509</v>
      </c>
      <c r="J116" s="146"/>
      <c r="K116" s="293">
        <f>VLOOKUP($D116,CCE[],8,FALSE)</f>
        <v>900</v>
      </c>
      <c r="L116" s="501">
        <f>VLOOKUP($D116,CCE[],21,FALSE)*Time_period</f>
        <v>1872</v>
      </c>
      <c r="M116" s="207">
        <f>VLOOKUP($D116,CCE[],13,FALSE)</f>
        <v>8212</v>
      </c>
      <c r="N116" s="207">
        <f>VLOOKUP($D116,CCE[],14,FALSE)</f>
        <v>8212</v>
      </c>
      <c r="O116" s="207">
        <f>VLOOKUP($D116,CCE[],10,FALSE)</f>
        <v>6912</v>
      </c>
      <c r="P116" s="208" t="e">
        <f>ROUNDUP((P104+P110)/K116,0)</f>
        <v>#N/A</v>
      </c>
      <c r="Q116" s="12" t="str">
        <f ca="1">IF(OFFSET(AI116,0,Lang_Order*Lang__B4)="","",OFFSET(AI116,0,Lang_Order*Lang__B4))</f>
        <v>Source: PATH | No generator as electricity assumed to be reliable | Room air-conditioning for hot climates not included</v>
      </c>
      <c r="R116" s="403"/>
      <c r="S116" s="403"/>
      <c r="T116" s="403"/>
      <c r="U116" s="403" t="s">
        <v>13</v>
      </c>
      <c r="V116" s="403"/>
      <c r="W116" s="403"/>
      <c r="X116" s="403"/>
      <c r="Y116" s="403"/>
      <c r="Z116" s="403"/>
      <c r="AA116" s="403"/>
      <c r="AB116" s="403"/>
      <c r="AC116" s="403"/>
      <c r="AD116" s="403"/>
      <c r="AE116" s="403"/>
      <c r="AF116" s="403"/>
      <c r="AG116" s="403"/>
      <c r="AH116" s="403"/>
      <c r="AI116" s="403" t="s">
        <v>4510</v>
      </c>
      <c r="AJ116" s="403"/>
      <c r="AK116" s="403"/>
      <c r="AL116" s="403"/>
      <c r="AM116" s="403"/>
      <c r="AN116" s="403" t="s">
        <v>8394</v>
      </c>
      <c r="AO116" s="403"/>
      <c r="AP116" s="403"/>
      <c r="AQ116" s="403"/>
      <c r="AR116" s="403"/>
      <c r="AS116" s="403"/>
      <c r="AT116" s="403"/>
      <c r="AU116" s="403"/>
      <c r="AV116" s="403"/>
      <c r="AW116" s="403"/>
      <c r="AX116" s="403"/>
      <c r="AY116" s="403"/>
      <c r="AZ116" s="403"/>
      <c r="BA116" s="403"/>
      <c r="BB116" s="403" t="s">
        <v>13299</v>
      </c>
      <c r="BC116" s="403"/>
      <c r="BD116" s="403"/>
      <c r="BE116" s="403"/>
      <c r="BF116" s="403"/>
      <c r="BG116" s="403" t="s">
        <v>10229</v>
      </c>
      <c r="BH116" s="403"/>
      <c r="BI116" s="403"/>
      <c r="BJ116" s="403"/>
      <c r="BK116" s="403"/>
      <c r="BL116" s="403"/>
      <c r="BM116" s="403"/>
      <c r="BN116" s="403"/>
      <c r="BO116" s="403"/>
      <c r="BP116" s="403"/>
      <c r="BQ116" s="403"/>
      <c r="BR116" s="403"/>
      <c r="BS116" s="403"/>
      <c r="BT116" s="403"/>
      <c r="BU116" s="403" t="s">
        <v>13300</v>
      </c>
      <c r="BV116" s="403"/>
      <c r="BW116" s="403"/>
      <c r="BX116" s="403"/>
      <c r="BY116" s="403"/>
      <c r="BZ116" s="403" t="s">
        <v>10237</v>
      </c>
      <c r="CA116" s="403"/>
      <c r="CB116" s="403"/>
      <c r="CC116" s="403"/>
      <c r="CD116" s="403"/>
      <c r="CE116" s="403"/>
      <c r="CF116" s="403"/>
      <c r="CG116" s="403"/>
      <c r="CH116" s="403"/>
      <c r="CI116" s="403"/>
      <c r="CJ116" s="403"/>
      <c r="CK116" s="403"/>
      <c r="CL116" s="403"/>
      <c r="CM116" s="403"/>
      <c r="CN116" s="403" t="s">
        <v>13301</v>
      </c>
      <c r="CO116" s="403"/>
      <c r="CP116" s="403"/>
      <c r="CQ116" s="403"/>
      <c r="CR116" s="403"/>
      <c r="CS116" s="403" t="s">
        <v>8400</v>
      </c>
      <c r="CT116" s="403"/>
      <c r="CU116" s="403"/>
      <c r="CV116" s="403"/>
      <c r="CW116" s="403"/>
      <c r="CX116" s="403"/>
      <c r="CY116" s="403"/>
      <c r="CZ116" s="403"/>
      <c r="DA116" s="403"/>
      <c r="DB116" s="403"/>
      <c r="DC116" s="403"/>
      <c r="DD116" s="403"/>
      <c r="DE116" s="403"/>
      <c r="DF116" s="403"/>
      <c r="DG116" s="403" t="s">
        <v>13302</v>
      </c>
      <c r="DH116" s="403"/>
      <c r="DI116" s="403"/>
      <c r="DJ116" s="403"/>
      <c r="DK116" s="403"/>
      <c r="DL116" s="403" t="s">
        <v>10250</v>
      </c>
      <c r="DM116" s="403"/>
      <c r="DN116" s="403"/>
      <c r="DO116" s="403"/>
      <c r="DP116" s="403"/>
      <c r="DQ116" s="403"/>
      <c r="DR116" s="403"/>
      <c r="DS116" s="403"/>
      <c r="DT116" s="403"/>
      <c r="DU116" s="403"/>
      <c r="DV116" s="403"/>
      <c r="DW116" s="403"/>
      <c r="DX116" s="403"/>
      <c r="DY116" s="403"/>
      <c r="DZ116" s="403" t="s">
        <v>13303</v>
      </c>
      <c r="EA116" s="403"/>
      <c r="EB116" s="403"/>
      <c r="EC116" s="403"/>
      <c r="ED116" s="403"/>
      <c r="EE116" s="403" t="s">
        <v>8404</v>
      </c>
      <c r="EF116" s="403"/>
      <c r="EG116" s="403"/>
      <c r="EH116" s="403"/>
      <c r="EI116" s="403"/>
      <c r="EJ116" s="403"/>
      <c r="EK116" s="403"/>
      <c r="EL116" s="403"/>
      <c r="EM116" s="403"/>
      <c r="EN116" s="403"/>
      <c r="EO116" s="403"/>
      <c r="EP116" s="403"/>
      <c r="EQ116" s="403"/>
      <c r="ER116" s="403"/>
      <c r="ES116" s="403" t="s">
        <v>13304</v>
      </c>
      <c r="ET116" s="403"/>
    </row>
    <row r="117" spans="1:150" s="281" customFormat="1" x14ac:dyDescent="0.2">
      <c r="A117" s="350">
        <v>2</v>
      </c>
      <c r="C117" s="5" t="str">
        <f ca="1">IF(OFFSET(U117,0,Lang_Order*Lang__B4)="","",OFFSET(U117,0,Lang_Order*Lang__B4))</f>
        <v>Remote Temperature Monitoring Devices</v>
      </c>
      <c r="D117" s="500" t="s">
        <v>3408</v>
      </c>
      <c r="J117" s="146"/>
      <c r="K117" s="146"/>
      <c r="L117" s="146"/>
      <c r="M117" s="207">
        <f>VLOOKUP($D117,CCE[],13,FALSE)</f>
        <v>650</v>
      </c>
      <c r="N117" s="207">
        <f>VLOOKUP($D117,CCE[],14,FALSE)</f>
        <v>850</v>
      </c>
      <c r="O117" s="207">
        <f>VLOOKUP($D117,CCE[],10,FALSE)</f>
        <v>450</v>
      </c>
      <c r="P117" s="231" t="e">
        <f>SUM(P113:P116)</f>
        <v>#N/A</v>
      </c>
      <c r="Q117" s="157" t="str">
        <f ca="1">IF(OFFSET(AI117,0,Lang_Order*Lang__B4)="","",OFFSET(AI117,0,Lang_Order*Lang__B4))</f>
        <v>Source: GAVI [Covax-CCE-Budget-Template.xlsx], WHO PQS Catalogue [ http://apps.who.int/immunization_standards/vaccine_quality/pqs_catalogue/ ]</v>
      </c>
      <c r="R117" s="403"/>
      <c r="S117" s="403"/>
      <c r="T117" s="403"/>
      <c r="U117" s="403" t="s">
        <v>3593</v>
      </c>
      <c r="V117" s="403"/>
      <c r="W117" s="403"/>
      <c r="X117" s="403"/>
      <c r="Y117" s="403"/>
      <c r="Z117" s="403"/>
      <c r="AA117" s="403"/>
      <c r="AB117" s="403"/>
      <c r="AC117" s="403"/>
      <c r="AD117" s="403"/>
      <c r="AE117" s="403"/>
      <c r="AF117" s="403"/>
      <c r="AG117" s="403"/>
      <c r="AH117" s="403"/>
      <c r="AI117" s="403" t="s">
        <v>3595</v>
      </c>
      <c r="AJ117" s="403"/>
      <c r="AK117" s="403"/>
      <c r="AL117" s="403"/>
      <c r="AM117" s="403"/>
      <c r="AN117" s="403" t="s">
        <v>10871</v>
      </c>
      <c r="AO117" s="403"/>
      <c r="AP117" s="403"/>
      <c r="AQ117" s="403"/>
      <c r="AR117" s="403"/>
      <c r="AS117" s="403"/>
      <c r="AT117" s="403"/>
      <c r="AU117" s="403"/>
      <c r="AV117" s="403"/>
      <c r="AW117" s="403"/>
      <c r="AX117" s="403"/>
      <c r="AY117" s="403"/>
      <c r="AZ117" s="403"/>
      <c r="BA117" s="403"/>
      <c r="BB117" s="403" t="s">
        <v>3595</v>
      </c>
      <c r="BC117" s="403"/>
      <c r="BD117" s="403"/>
      <c r="BE117" s="403"/>
      <c r="BF117" s="403"/>
      <c r="BG117" s="403" t="s">
        <v>10872</v>
      </c>
      <c r="BH117" s="403"/>
      <c r="BI117" s="403"/>
      <c r="BJ117" s="403"/>
      <c r="BK117" s="403"/>
      <c r="BL117" s="403"/>
      <c r="BM117" s="403"/>
      <c r="BN117" s="403"/>
      <c r="BO117" s="403"/>
      <c r="BP117" s="403"/>
      <c r="BQ117" s="403"/>
      <c r="BR117" s="403"/>
      <c r="BS117" s="403"/>
      <c r="BT117" s="403"/>
      <c r="BU117" s="403" t="s">
        <v>10866</v>
      </c>
      <c r="BV117" s="403"/>
      <c r="BW117" s="403"/>
      <c r="BX117" s="403"/>
      <c r="BY117" s="403"/>
      <c r="BZ117" s="403" t="s">
        <v>10873</v>
      </c>
      <c r="CA117" s="403"/>
      <c r="CB117" s="403"/>
      <c r="CC117" s="403"/>
      <c r="CD117" s="403"/>
      <c r="CE117" s="403"/>
      <c r="CF117" s="403"/>
      <c r="CG117" s="403"/>
      <c r="CH117" s="403"/>
      <c r="CI117" s="403"/>
      <c r="CJ117" s="403"/>
      <c r="CK117" s="403"/>
      <c r="CL117" s="403"/>
      <c r="CM117" s="403"/>
      <c r="CN117" s="403" t="s">
        <v>10867</v>
      </c>
      <c r="CO117" s="403"/>
      <c r="CP117" s="403"/>
      <c r="CQ117" s="403"/>
      <c r="CR117" s="403"/>
      <c r="CS117" s="403" t="s">
        <v>10874</v>
      </c>
      <c r="CT117" s="403"/>
      <c r="CU117" s="403"/>
      <c r="CV117" s="403"/>
      <c r="CW117" s="403"/>
      <c r="CX117" s="403"/>
      <c r="CY117" s="403"/>
      <c r="CZ117" s="403"/>
      <c r="DA117" s="403"/>
      <c r="DB117" s="403"/>
      <c r="DC117" s="403"/>
      <c r="DD117" s="403"/>
      <c r="DE117" s="403"/>
      <c r="DF117" s="403"/>
      <c r="DG117" s="403" t="s">
        <v>10868</v>
      </c>
      <c r="DH117" s="403"/>
      <c r="DI117" s="403"/>
      <c r="DJ117" s="403"/>
      <c r="DK117" s="403"/>
      <c r="DL117" s="403" t="s">
        <v>10875</v>
      </c>
      <c r="DM117" s="403"/>
      <c r="DN117" s="403"/>
      <c r="DO117" s="403"/>
      <c r="DP117" s="403"/>
      <c r="DQ117" s="403"/>
      <c r="DR117" s="403"/>
      <c r="DS117" s="403"/>
      <c r="DT117" s="403"/>
      <c r="DU117" s="403"/>
      <c r="DV117" s="403"/>
      <c r="DW117" s="403"/>
      <c r="DX117" s="403"/>
      <c r="DY117" s="403"/>
      <c r="DZ117" s="403" t="s">
        <v>10869</v>
      </c>
      <c r="EA117" s="403"/>
      <c r="EB117" s="403"/>
      <c r="EC117" s="403"/>
      <c r="ED117" s="403"/>
      <c r="EE117" s="403" t="s">
        <v>10876</v>
      </c>
      <c r="EF117" s="403"/>
      <c r="EG117" s="403"/>
      <c r="EH117" s="403"/>
      <c r="EI117" s="403"/>
      <c r="EJ117" s="403"/>
      <c r="EK117" s="403"/>
      <c r="EL117" s="403"/>
      <c r="EM117" s="403"/>
      <c r="EN117" s="403"/>
      <c r="EO117" s="403"/>
      <c r="EP117" s="403"/>
      <c r="EQ117" s="403"/>
      <c r="ER117" s="403"/>
      <c r="ES117" s="403" t="s">
        <v>10870</v>
      </c>
      <c r="ET117" s="403"/>
    </row>
    <row r="118" spans="1:150" s="281" customFormat="1" x14ac:dyDescent="0.2">
      <c r="R118" s="403"/>
      <c r="S118" s="403"/>
      <c r="T118" s="403"/>
      <c r="U118" s="403"/>
      <c r="V118" s="403"/>
      <c r="W118" s="403"/>
      <c r="X118" s="403"/>
      <c r="Y118" s="403"/>
      <c r="Z118" s="403"/>
      <c r="AA118" s="403"/>
      <c r="AB118" s="403"/>
      <c r="AC118" s="403"/>
      <c r="AD118" s="403"/>
      <c r="AE118" s="403"/>
      <c r="AF118" s="403"/>
      <c r="AG118" s="403"/>
      <c r="AH118" s="403"/>
      <c r="AI118" s="403"/>
      <c r="AJ118" s="403"/>
      <c r="AK118" s="403"/>
      <c r="AL118" s="403"/>
      <c r="AM118" s="403"/>
      <c r="AN118" s="403"/>
      <c r="AO118" s="403"/>
      <c r="AP118" s="403"/>
      <c r="AQ118" s="403"/>
      <c r="AR118" s="403"/>
      <c r="AS118" s="403"/>
      <c r="AT118" s="403"/>
      <c r="AU118" s="403"/>
      <c r="AV118" s="403"/>
      <c r="AW118" s="403"/>
      <c r="AX118" s="403"/>
      <c r="AY118" s="403"/>
      <c r="AZ118" s="403"/>
      <c r="BA118" s="403"/>
      <c r="BB118" s="403"/>
      <c r="BC118" s="403"/>
      <c r="BD118" s="403"/>
      <c r="BE118" s="403"/>
      <c r="BF118" s="403"/>
      <c r="BG118" s="403"/>
      <c r="BH118" s="403"/>
      <c r="BI118" s="403"/>
      <c r="BJ118" s="403"/>
      <c r="BK118" s="403"/>
      <c r="BL118" s="403"/>
      <c r="BM118" s="403"/>
      <c r="BN118" s="403"/>
      <c r="BO118" s="403"/>
      <c r="BP118" s="403"/>
      <c r="BQ118" s="403"/>
      <c r="BR118" s="403"/>
      <c r="BS118" s="403"/>
      <c r="BT118" s="403"/>
      <c r="BU118" s="403"/>
      <c r="BV118" s="403"/>
      <c r="BW118" s="403"/>
      <c r="BX118" s="403"/>
      <c r="BY118" s="403"/>
      <c r="BZ118" s="403"/>
      <c r="CA118" s="403"/>
      <c r="CB118" s="403"/>
      <c r="CC118" s="403"/>
      <c r="CD118" s="403"/>
      <c r="CE118" s="403"/>
      <c r="CF118" s="403"/>
      <c r="CG118" s="403"/>
      <c r="CH118" s="403"/>
      <c r="CI118" s="403"/>
      <c r="CJ118" s="403"/>
      <c r="CK118" s="403"/>
      <c r="CL118" s="403"/>
      <c r="CM118" s="403"/>
      <c r="CN118" s="403"/>
      <c r="CO118" s="403"/>
      <c r="CP118" s="403"/>
      <c r="CQ118" s="403"/>
      <c r="CR118" s="403"/>
      <c r="CS118" s="403"/>
      <c r="CT118" s="403"/>
      <c r="CU118" s="403"/>
      <c r="CV118" s="403"/>
      <c r="CW118" s="403"/>
      <c r="CX118" s="403"/>
      <c r="CY118" s="403"/>
      <c r="CZ118" s="403"/>
      <c r="DA118" s="403"/>
      <c r="DB118" s="403"/>
      <c r="DC118" s="403"/>
      <c r="DD118" s="403"/>
      <c r="DE118" s="403"/>
      <c r="DF118" s="403"/>
      <c r="DG118" s="403"/>
      <c r="DH118" s="403"/>
      <c r="DI118" s="403"/>
      <c r="DJ118" s="403"/>
      <c r="DK118" s="403"/>
      <c r="DL118" s="403"/>
      <c r="DM118" s="403"/>
      <c r="DN118" s="403"/>
      <c r="DO118" s="403"/>
      <c r="DP118" s="403"/>
      <c r="DQ118" s="403"/>
      <c r="DR118" s="403"/>
      <c r="DS118" s="403"/>
      <c r="DT118" s="403"/>
      <c r="DU118" s="403"/>
      <c r="DV118" s="403"/>
      <c r="DW118" s="403"/>
      <c r="DX118" s="403"/>
      <c r="DY118" s="403"/>
      <c r="DZ118" s="403"/>
      <c r="EA118" s="403"/>
      <c r="EB118" s="403"/>
      <c r="EC118" s="403"/>
      <c r="ED118" s="403"/>
      <c r="EE118" s="403"/>
      <c r="EF118" s="403"/>
      <c r="EG118" s="403"/>
      <c r="EH118" s="403"/>
      <c r="EI118" s="403"/>
      <c r="EJ118" s="403"/>
      <c r="EK118" s="403"/>
      <c r="EL118" s="403"/>
      <c r="EM118" s="403"/>
      <c r="EN118" s="403"/>
      <c r="EO118" s="403"/>
      <c r="EP118" s="403"/>
      <c r="EQ118" s="403"/>
      <c r="ER118" s="403"/>
      <c r="ES118" s="403"/>
      <c r="ET118" s="403"/>
    </row>
    <row r="119" spans="1:150" s="281" customFormat="1" x14ac:dyDescent="0.2">
      <c r="B119" s="624" t="str">
        <f ca="1">IF(OFFSET(T119,0,Lang_Order*Lang__B4)="","",OFFSET(T119,0,Lang_Order*Lang__B4))</f>
        <v>MINUS existing cold-storage units (WICR and WIFR)</v>
      </c>
      <c r="C119" s="5"/>
      <c r="J119" s="290"/>
      <c r="K119" s="289"/>
      <c r="L119" s="289"/>
      <c r="M119" s="289"/>
      <c r="N119" s="289"/>
      <c r="O119" s="289"/>
      <c r="Q119" s="306" t="str">
        <f ca="1">IF(OFFSET(AI119,0,Lang_Order*Lang__B4)="","",OFFSET(AI119,0,Lang_Order*Lang__B4))</f>
        <v>NOTE: This part affects the capital expenditure calculationes NOT operational expenditures</v>
      </c>
      <c r="R119" s="403"/>
      <c r="S119" s="403"/>
      <c r="T119" s="403" t="s">
        <v>4185</v>
      </c>
      <c r="U119" s="403"/>
      <c r="V119" s="403"/>
      <c r="W119" s="403"/>
      <c r="X119" s="403"/>
      <c r="Y119" s="403"/>
      <c r="Z119" s="403"/>
      <c r="AA119" s="403"/>
      <c r="AB119" s="403"/>
      <c r="AC119" s="403"/>
      <c r="AD119" s="403"/>
      <c r="AE119" s="403"/>
      <c r="AF119" s="403"/>
      <c r="AG119" s="403"/>
      <c r="AH119" s="403"/>
      <c r="AI119" s="403" t="s">
        <v>3665</v>
      </c>
      <c r="AJ119" s="403"/>
      <c r="AK119" s="403"/>
      <c r="AL119" s="403"/>
      <c r="AM119" s="403" t="s">
        <v>10877</v>
      </c>
      <c r="AN119" s="403"/>
      <c r="AO119" s="403"/>
      <c r="AP119" s="403"/>
      <c r="AQ119" s="403"/>
      <c r="AR119" s="403"/>
      <c r="AS119" s="403"/>
      <c r="AT119" s="403"/>
      <c r="AU119" s="403"/>
      <c r="AV119" s="403"/>
      <c r="AW119" s="403"/>
      <c r="AX119" s="403"/>
      <c r="AY119" s="403"/>
      <c r="AZ119" s="403"/>
      <c r="BA119" s="403"/>
      <c r="BB119" s="403" t="s">
        <v>10878</v>
      </c>
      <c r="BC119" s="403"/>
      <c r="BD119" s="403"/>
      <c r="BE119" s="403"/>
      <c r="BF119" s="403" t="s">
        <v>10879</v>
      </c>
      <c r="BG119" s="403"/>
      <c r="BH119" s="403"/>
      <c r="BI119" s="403"/>
      <c r="BJ119" s="403"/>
      <c r="BK119" s="403"/>
      <c r="BL119" s="403"/>
      <c r="BM119" s="403"/>
      <c r="BN119" s="403"/>
      <c r="BO119" s="403"/>
      <c r="BP119" s="403"/>
      <c r="BQ119" s="403"/>
      <c r="BR119" s="403"/>
      <c r="BS119" s="403"/>
      <c r="BT119" s="403"/>
      <c r="BU119" s="403" t="s">
        <v>10880</v>
      </c>
      <c r="BV119" s="403"/>
      <c r="BW119" s="403"/>
      <c r="BX119" s="403"/>
      <c r="BY119" s="403" t="s">
        <v>10881</v>
      </c>
      <c r="BZ119" s="403"/>
      <c r="CA119" s="403"/>
      <c r="CB119" s="403"/>
      <c r="CC119" s="403"/>
      <c r="CD119" s="403"/>
      <c r="CE119" s="403"/>
      <c r="CF119" s="403"/>
      <c r="CG119" s="403"/>
      <c r="CH119" s="403"/>
      <c r="CI119" s="403"/>
      <c r="CJ119" s="403"/>
      <c r="CK119" s="403"/>
      <c r="CL119" s="403"/>
      <c r="CM119" s="403"/>
      <c r="CN119" s="403" t="s">
        <v>10882</v>
      </c>
      <c r="CO119" s="403"/>
      <c r="CP119" s="403"/>
      <c r="CQ119" s="403"/>
      <c r="CR119" s="403" t="s">
        <v>10883</v>
      </c>
      <c r="CS119" s="403"/>
      <c r="CT119" s="403"/>
      <c r="CU119" s="403"/>
      <c r="CV119" s="403"/>
      <c r="CW119" s="403"/>
      <c r="CX119" s="403"/>
      <c r="CY119" s="403"/>
      <c r="CZ119" s="403"/>
      <c r="DA119" s="403"/>
      <c r="DB119" s="403"/>
      <c r="DC119" s="403"/>
      <c r="DD119" s="403"/>
      <c r="DE119" s="403"/>
      <c r="DF119" s="403"/>
      <c r="DG119" s="403" t="s">
        <v>10884</v>
      </c>
      <c r="DH119" s="403"/>
      <c r="DI119" s="403"/>
      <c r="DJ119" s="403"/>
      <c r="DK119" s="403" t="s">
        <v>10885</v>
      </c>
      <c r="DL119" s="403"/>
      <c r="DM119" s="403"/>
      <c r="DN119" s="403"/>
      <c r="DO119" s="403"/>
      <c r="DP119" s="403"/>
      <c r="DQ119" s="403"/>
      <c r="DR119" s="403"/>
      <c r="DS119" s="403"/>
      <c r="DT119" s="403"/>
      <c r="DU119" s="403"/>
      <c r="DV119" s="403"/>
      <c r="DW119" s="403"/>
      <c r="DX119" s="403"/>
      <c r="DY119" s="403"/>
      <c r="DZ119" s="403" t="s">
        <v>10886</v>
      </c>
      <c r="EA119" s="403"/>
      <c r="EB119" s="403"/>
      <c r="EC119" s="403"/>
      <c r="ED119" s="403" t="s">
        <v>10887</v>
      </c>
      <c r="EE119" s="403"/>
      <c r="EF119" s="403"/>
      <c r="EG119" s="403"/>
      <c r="EH119" s="403"/>
      <c r="EI119" s="403"/>
      <c r="EJ119" s="403"/>
      <c r="EK119" s="403"/>
      <c r="EL119" s="403"/>
      <c r="EM119" s="403"/>
      <c r="EN119" s="403"/>
      <c r="EO119" s="403"/>
      <c r="EP119" s="403"/>
      <c r="EQ119" s="403"/>
      <c r="ER119" s="403"/>
      <c r="ES119" s="403" t="s">
        <v>10888</v>
      </c>
      <c r="ET119" s="403"/>
    </row>
    <row r="120" spans="1:150" s="281" customFormat="1" x14ac:dyDescent="0.2">
      <c r="C120" s="72"/>
      <c r="D120" s="47"/>
      <c r="J120" s="146"/>
      <c r="K120" s="146"/>
      <c r="L120" s="146"/>
      <c r="M120" s="308" t="str">
        <f ca="1">IF(OFFSET(AE120,0,Lang_Order*Lang__B4)="","",OFFSET(AE120,0,Lang_Order*Lang__B4))</f>
        <v>Total Pre-existing in Central Store (FILL HERE)</v>
      </c>
      <c r="N120" s="146"/>
      <c r="O120" s="146"/>
      <c r="P120" s="305" t="str">
        <f ca="1">IF(OFFSET(AH120,0,Lang_Order*Lang__B4)="","",OFFSET(AH120,0,Lang_Order*Lang__B4))</f>
        <v>Remainder Required in Central Store</v>
      </c>
      <c r="Q120" s="91"/>
      <c r="R120" s="403"/>
      <c r="S120" s="403"/>
      <c r="T120" s="403"/>
      <c r="U120" s="403"/>
      <c r="V120" s="403"/>
      <c r="W120" s="403"/>
      <c r="X120" s="403"/>
      <c r="Y120" s="403"/>
      <c r="Z120" s="403"/>
      <c r="AA120" s="403"/>
      <c r="AB120" s="403"/>
      <c r="AC120" s="403"/>
      <c r="AD120" s="403"/>
      <c r="AE120" s="403" t="s">
        <v>3663</v>
      </c>
      <c r="AF120" s="403"/>
      <c r="AG120" s="403"/>
      <c r="AH120" s="403" t="s">
        <v>3664</v>
      </c>
      <c r="AI120" s="403"/>
      <c r="AJ120" s="403"/>
      <c r="AK120" s="403"/>
      <c r="AL120" s="403"/>
      <c r="AM120" s="403"/>
      <c r="AN120" s="403"/>
      <c r="AO120" s="403"/>
      <c r="AP120" s="403"/>
      <c r="AQ120" s="403"/>
      <c r="AR120" s="403"/>
      <c r="AS120" s="403"/>
      <c r="AT120" s="403"/>
      <c r="AU120" s="403"/>
      <c r="AV120" s="403"/>
      <c r="AW120" s="403"/>
      <c r="AX120" s="403" t="s">
        <v>10889</v>
      </c>
      <c r="AY120" s="403"/>
      <c r="AZ120" s="403"/>
      <c r="BA120" s="403" t="s">
        <v>10890</v>
      </c>
      <c r="BB120" s="403"/>
      <c r="BC120" s="403"/>
      <c r="BD120" s="403"/>
      <c r="BE120" s="403"/>
      <c r="BF120" s="403"/>
      <c r="BG120" s="403"/>
      <c r="BH120" s="403"/>
      <c r="BI120" s="403"/>
      <c r="BJ120" s="403"/>
      <c r="BK120" s="403"/>
      <c r="BL120" s="403"/>
      <c r="BM120" s="403"/>
      <c r="BN120" s="403"/>
      <c r="BO120" s="403"/>
      <c r="BP120" s="403"/>
      <c r="BQ120" s="403" t="s">
        <v>10891</v>
      </c>
      <c r="BR120" s="403"/>
      <c r="BS120" s="403"/>
      <c r="BT120" s="403" t="s">
        <v>10892</v>
      </c>
      <c r="BU120" s="403"/>
      <c r="BV120" s="403"/>
      <c r="BW120" s="403"/>
      <c r="BX120" s="403"/>
      <c r="BY120" s="403"/>
      <c r="BZ120" s="403"/>
      <c r="CA120" s="403"/>
      <c r="CB120" s="403"/>
      <c r="CC120" s="403"/>
      <c r="CD120" s="403"/>
      <c r="CE120" s="403"/>
      <c r="CF120" s="403"/>
      <c r="CG120" s="403"/>
      <c r="CH120" s="403"/>
      <c r="CI120" s="403"/>
      <c r="CJ120" s="403" t="s">
        <v>10893</v>
      </c>
      <c r="CK120" s="403"/>
      <c r="CL120" s="403"/>
      <c r="CM120" s="403" t="s">
        <v>10894</v>
      </c>
      <c r="CN120" s="403"/>
      <c r="CO120" s="403"/>
      <c r="CP120" s="403"/>
      <c r="CQ120" s="403"/>
      <c r="CR120" s="403"/>
      <c r="CS120" s="403"/>
      <c r="CT120" s="403"/>
      <c r="CU120" s="403"/>
      <c r="CV120" s="403"/>
      <c r="CW120" s="403"/>
      <c r="CX120" s="403"/>
      <c r="CY120" s="403"/>
      <c r="CZ120" s="403"/>
      <c r="DA120" s="403"/>
      <c r="DB120" s="403"/>
      <c r="DC120" s="403" t="s">
        <v>10895</v>
      </c>
      <c r="DD120" s="403"/>
      <c r="DE120" s="403"/>
      <c r="DF120" s="403" t="s">
        <v>10896</v>
      </c>
      <c r="DG120" s="403"/>
      <c r="DH120" s="403"/>
      <c r="DI120" s="403"/>
      <c r="DJ120" s="403"/>
      <c r="DK120" s="403"/>
      <c r="DL120" s="403"/>
      <c r="DM120" s="403"/>
      <c r="DN120" s="403"/>
      <c r="DO120" s="403"/>
      <c r="DP120" s="403"/>
      <c r="DQ120" s="403"/>
      <c r="DR120" s="403"/>
      <c r="DS120" s="403"/>
      <c r="DT120" s="403"/>
      <c r="DU120" s="403"/>
      <c r="DV120" s="403" t="s">
        <v>10897</v>
      </c>
      <c r="DW120" s="403"/>
      <c r="DX120" s="403"/>
      <c r="DY120" s="403" t="s">
        <v>10898</v>
      </c>
      <c r="DZ120" s="403"/>
      <c r="EA120" s="403"/>
      <c r="EB120" s="403"/>
      <c r="EC120" s="403"/>
      <c r="ED120" s="403"/>
      <c r="EE120" s="403"/>
      <c r="EF120" s="403"/>
      <c r="EG120" s="403"/>
      <c r="EH120" s="403"/>
      <c r="EI120" s="403"/>
      <c r="EJ120" s="403"/>
      <c r="EK120" s="403"/>
      <c r="EL120" s="403"/>
      <c r="EM120" s="403"/>
      <c r="EN120" s="403"/>
      <c r="EO120" s="403" t="s">
        <v>10899</v>
      </c>
      <c r="EP120" s="403"/>
      <c r="EQ120" s="403"/>
      <c r="ER120" s="403" t="s">
        <v>10900</v>
      </c>
      <c r="ES120" s="403"/>
      <c r="ET120" s="403"/>
    </row>
    <row r="121" spans="1:150" s="281" customFormat="1" x14ac:dyDescent="0.2">
      <c r="A121" s="350">
        <v>2</v>
      </c>
      <c r="C121" s="5" t="str">
        <f ca="1">IF(OFFSET(U121,0,Lang_Order*Lang__B4)="","",OFFSET(U121,0,Lang_Order*Lang__B4))</f>
        <v>Refrigerated (2 to 8C)</v>
      </c>
      <c r="D121" s="281" t="str">
        <f>D114</f>
        <v>40 cbm - Zhendre 40 cbm  (Mono cooling unit)</v>
      </c>
      <c r="M121" s="35">
        <v>0</v>
      </c>
      <c r="P121" s="208" t="e">
        <f>MAX(0,P114-M121)</f>
        <v>#N/A</v>
      </c>
      <c r="Q121" s="91"/>
      <c r="R121" s="403"/>
      <c r="S121" s="403"/>
      <c r="T121" s="403"/>
      <c r="U121" s="403" t="s">
        <v>11</v>
      </c>
      <c r="V121" s="403"/>
      <c r="W121" s="403"/>
      <c r="X121" s="403"/>
      <c r="Y121" s="403"/>
      <c r="Z121" s="403"/>
      <c r="AA121" s="403"/>
      <c r="AB121" s="403"/>
      <c r="AC121" s="403"/>
      <c r="AD121" s="403"/>
      <c r="AE121" s="403"/>
      <c r="AF121" s="403"/>
      <c r="AG121" s="403"/>
      <c r="AH121" s="403"/>
      <c r="AI121" s="403"/>
      <c r="AJ121" s="403"/>
      <c r="AK121" s="403"/>
      <c r="AL121" s="403"/>
      <c r="AM121" s="403"/>
      <c r="AN121" s="403" t="s">
        <v>10714</v>
      </c>
      <c r="AO121" s="403"/>
      <c r="AP121" s="403"/>
      <c r="AQ121" s="403"/>
      <c r="AR121" s="403"/>
      <c r="AS121" s="403"/>
      <c r="AT121" s="403"/>
      <c r="AU121" s="403"/>
      <c r="AV121" s="403"/>
      <c r="AW121" s="403"/>
      <c r="AX121" s="403"/>
      <c r="AY121" s="403"/>
      <c r="AZ121" s="403"/>
      <c r="BA121" s="403"/>
      <c r="BB121" s="403"/>
      <c r="BC121" s="403"/>
      <c r="BD121" s="403"/>
      <c r="BE121" s="403"/>
      <c r="BF121" s="403"/>
      <c r="BG121" s="403" t="s">
        <v>10227</v>
      </c>
      <c r="BH121" s="403"/>
      <c r="BI121" s="403"/>
      <c r="BJ121" s="403"/>
      <c r="BK121" s="403"/>
      <c r="BL121" s="403"/>
      <c r="BM121" s="403"/>
      <c r="BN121" s="403"/>
      <c r="BO121" s="403"/>
      <c r="BP121" s="403"/>
      <c r="BQ121" s="403"/>
      <c r="BR121" s="403"/>
      <c r="BS121" s="403"/>
      <c r="BT121" s="403"/>
      <c r="BU121" s="403"/>
      <c r="BV121" s="403"/>
      <c r="BW121" s="403"/>
      <c r="BX121" s="403"/>
      <c r="BY121" s="403"/>
      <c r="BZ121" s="403" t="s">
        <v>10715</v>
      </c>
      <c r="CA121" s="403"/>
      <c r="CB121" s="403"/>
      <c r="CC121" s="403"/>
      <c r="CD121" s="403"/>
      <c r="CE121" s="403"/>
      <c r="CF121" s="403"/>
      <c r="CG121" s="403"/>
      <c r="CH121" s="403"/>
      <c r="CI121" s="403"/>
      <c r="CJ121" s="403"/>
      <c r="CK121" s="403"/>
      <c r="CL121" s="403"/>
      <c r="CM121" s="403"/>
      <c r="CN121" s="403"/>
      <c r="CO121" s="403"/>
      <c r="CP121" s="403"/>
      <c r="CQ121" s="403"/>
      <c r="CR121" s="403"/>
      <c r="CS121" s="403" t="s">
        <v>8384</v>
      </c>
      <c r="CT121" s="403"/>
      <c r="CU121" s="403"/>
      <c r="CV121" s="403"/>
      <c r="CW121" s="403"/>
      <c r="CX121" s="403"/>
      <c r="CY121" s="403"/>
      <c r="CZ121" s="403"/>
      <c r="DA121" s="403"/>
      <c r="DB121" s="403"/>
      <c r="DC121" s="403"/>
      <c r="DD121" s="403"/>
      <c r="DE121" s="403"/>
      <c r="DF121" s="403"/>
      <c r="DG121" s="403"/>
      <c r="DH121" s="403"/>
      <c r="DI121" s="403"/>
      <c r="DJ121" s="403"/>
      <c r="DK121" s="403"/>
      <c r="DL121" s="403" t="s">
        <v>10248</v>
      </c>
      <c r="DM121" s="403"/>
      <c r="DN121" s="403"/>
      <c r="DO121" s="403"/>
      <c r="DP121" s="403"/>
      <c r="DQ121" s="403"/>
      <c r="DR121" s="403"/>
      <c r="DS121" s="403"/>
      <c r="DT121" s="403"/>
      <c r="DU121" s="403"/>
      <c r="DV121" s="403"/>
      <c r="DW121" s="403"/>
      <c r="DX121" s="403"/>
      <c r="DY121" s="403"/>
      <c r="DZ121" s="403"/>
      <c r="EA121" s="403"/>
      <c r="EB121" s="403"/>
      <c r="EC121" s="403"/>
      <c r="ED121" s="403"/>
      <c r="EE121" s="403" t="s">
        <v>8387</v>
      </c>
      <c r="EF121" s="403"/>
      <c r="EG121" s="403"/>
      <c r="EH121" s="403"/>
      <c r="EI121" s="403"/>
      <c r="EJ121" s="403"/>
      <c r="EK121" s="403"/>
      <c r="EL121" s="403"/>
      <c r="EM121" s="403"/>
      <c r="EN121" s="403"/>
      <c r="EO121" s="403"/>
      <c r="EP121" s="403"/>
      <c r="EQ121" s="403"/>
      <c r="ER121" s="403"/>
      <c r="ES121" s="403"/>
      <c r="ET121" s="403"/>
    </row>
    <row r="122" spans="1:150" s="281" customFormat="1" x14ac:dyDescent="0.2">
      <c r="A122" s="350">
        <v>2</v>
      </c>
      <c r="C122" s="5" t="str">
        <f ca="1">IF(OFFSET(U122,0,Lang_Order*Lang__B4)="","",OFFSET(U122,0,Lang_Order*Lang__B4))</f>
        <v>Frozen (-20C)</v>
      </c>
      <c r="D122" s="281" t="str">
        <f>D115</f>
        <v>40 cbm - Porkka 40cbm (Mono cooling unit)</v>
      </c>
      <c r="M122" s="35">
        <v>0</v>
      </c>
      <c r="P122" s="208" t="e">
        <f>MAX(0,P115-M122)</f>
        <v>#N/A</v>
      </c>
      <c r="Q122" s="91"/>
      <c r="R122" s="403"/>
      <c r="S122" s="403"/>
      <c r="T122" s="403"/>
      <c r="U122" s="403" t="s">
        <v>12</v>
      </c>
      <c r="V122" s="403"/>
      <c r="W122" s="403"/>
      <c r="X122" s="403"/>
      <c r="Y122" s="403"/>
      <c r="Z122" s="403"/>
      <c r="AA122" s="403"/>
      <c r="AB122" s="403"/>
      <c r="AC122" s="403"/>
      <c r="AD122" s="403"/>
      <c r="AE122" s="403"/>
      <c r="AF122" s="403"/>
      <c r="AG122" s="403"/>
      <c r="AH122" s="403"/>
      <c r="AI122" s="403"/>
      <c r="AJ122" s="403"/>
      <c r="AK122" s="403"/>
      <c r="AL122" s="403"/>
      <c r="AM122" s="403"/>
      <c r="AN122" s="403" t="s">
        <v>10717</v>
      </c>
      <c r="AO122" s="403"/>
      <c r="AP122" s="403"/>
      <c r="AQ122" s="403"/>
      <c r="AR122" s="403"/>
      <c r="AS122" s="403"/>
      <c r="AT122" s="403"/>
      <c r="AU122" s="403"/>
      <c r="AV122" s="403"/>
      <c r="AW122" s="403"/>
      <c r="AX122" s="403"/>
      <c r="AY122" s="403"/>
      <c r="AZ122" s="403"/>
      <c r="BA122" s="403"/>
      <c r="BB122" s="403"/>
      <c r="BC122" s="403"/>
      <c r="BD122" s="403"/>
      <c r="BE122" s="403"/>
      <c r="BF122" s="403"/>
      <c r="BG122" s="403" t="s">
        <v>10228</v>
      </c>
      <c r="BH122" s="403"/>
      <c r="BI122" s="403"/>
      <c r="BJ122" s="403"/>
      <c r="BK122" s="403"/>
      <c r="BL122" s="403"/>
      <c r="BM122" s="403"/>
      <c r="BN122" s="403"/>
      <c r="BO122" s="403"/>
      <c r="BP122" s="403"/>
      <c r="BQ122" s="403"/>
      <c r="BR122" s="403"/>
      <c r="BS122" s="403"/>
      <c r="BT122" s="403"/>
      <c r="BU122" s="403"/>
      <c r="BV122" s="403"/>
      <c r="BW122" s="403"/>
      <c r="BX122" s="403"/>
      <c r="BY122" s="403"/>
      <c r="BZ122" s="403" t="s">
        <v>10718</v>
      </c>
      <c r="CA122" s="403"/>
      <c r="CB122" s="403"/>
      <c r="CC122" s="403"/>
      <c r="CD122" s="403"/>
      <c r="CE122" s="403"/>
      <c r="CF122" s="403"/>
      <c r="CG122" s="403"/>
      <c r="CH122" s="403"/>
      <c r="CI122" s="403"/>
      <c r="CJ122" s="403"/>
      <c r="CK122" s="403"/>
      <c r="CL122" s="403"/>
      <c r="CM122" s="403"/>
      <c r="CN122" s="403"/>
      <c r="CO122" s="403"/>
      <c r="CP122" s="403"/>
      <c r="CQ122" s="403"/>
      <c r="CR122" s="403"/>
      <c r="CS122" s="403" t="s">
        <v>8391</v>
      </c>
      <c r="CT122" s="403"/>
      <c r="CU122" s="403"/>
      <c r="CV122" s="403"/>
      <c r="CW122" s="403"/>
      <c r="CX122" s="403"/>
      <c r="CY122" s="403"/>
      <c r="CZ122" s="403"/>
      <c r="DA122" s="403"/>
      <c r="DB122" s="403"/>
      <c r="DC122" s="403"/>
      <c r="DD122" s="403"/>
      <c r="DE122" s="403"/>
      <c r="DF122" s="403"/>
      <c r="DG122" s="403"/>
      <c r="DH122" s="403"/>
      <c r="DI122" s="403"/>
      <c r="DJ122" s="403"/>
      <c r="DK122" s="403"/>
      <c r="DL122" s="403" t="s">
        <v>10249</v>
      </c>
      <c r="DM122" s="403"/>
      <c r="DN122" s="403"/>
      <c r="DO122" s="403"/>
      <c r="DP122" s="403"/>
      <c r="DQ122" s="403"/>
      <c r="DR122" s="403"/>
      <c r="DS122" s="403"/>
      <c r="DT122" s="403"/>
      <c r="DU122" s="403"/>
      <c r="DV122" s="403"/>
      <c r="DW122" s="403"/>
      <c r="DX122" s="403"/>
      <c r="DY122" s="403"/>
      <c r="DZ122" s="403"/>
      <c r="EA122" s="403"/>
      <c r="EB122" s="403"/>
      <c r="EC122" s="403"/>
      <c r="ED122" s="403"/>
      <c r="EE122" s="403" t="s">
        <v>8393</v>
      </c>
      <c r="EF122" s="403"/>
      <c r="EG122" s="403"/>
      <c r="EH122" s="403"/>
      <c r="EI122" s="403"/>
      <c r="EJ122" s="403"/>
      <c r="EK122" s="403"/>
      <c r="EL122" s="403"/>
      <c r="EM122" s="403"/>
      <c r="EN122" s="403"/>
      <c r="EO122" s="403"/>
      <c r="EP122" s="403"/>
      <c r="EQ122" s="403"/>
      <c r="ER122" s="403"/>
      <c r="ES122" s="403"/>
      <c r="ET122" s="403"/>
    </row>
    <row r="123" spans="1:150" s="281" customFormat="1" x14ac:dyDescent="0.2">
      <c r="A123" s="350">
        <v>2</v>
      </c>
      <c r="B123" s="567"/>
      <c r="C123" s="5" t="str">
        <f ca="1">IF(OFFSET(U123,0,Lang_Order*Lang__B4)="","",OFFSET(U123,0,Lang_Order*Lang__B4))</f>
        <v>Ultra-cold (-60 to -80C)</v>
      </c>
      <c r="J123" s="146"/>
      <c r="K123" s="146"/>
      <c r="L123" s="146"/>
      <c r="M123" s="35">
        <v>0</v>
      </c>
      <c r="N123" s="146"/>
      <c r="O123" s="146"/>
      <c r="P123" s="208" t="e">
        <f>MAX(0,P116-M123)</f>
        <v>#N/A</v>
      </c>
      <c r="Q123" s="47"/>
      <c r="R123" s="403"/>
      <c r="S123" s="403"/>
      <c r="T123" s="403"/>
      <c r="U123" s="403" t="s">
        <v>13</v>
      </c>
      <c r="V123" s="403"/>
      <c r="W123" s="403"/>
      <c r="X123" s="403"/>
      <c r="Y123" s="403"/>
      <c r="Z123" s="403"/>
      <c r="AA123" s="403"/>
      <c r="AB123" s="403"/>
      <c r="AC123" s="403"/>
      <c r="AD123" s="403"/>
      <c r="AE123" s="403"/>
      <c r="AF123" s="403"/>
      <c r="AG123" s="403"/>
      <c r="AH123" s="403"/>
      <c r="AI123" s="403"/>
      <c r="AJ123" s="403"/>
      <c r="AK123" s="403"/>
      <c r="AL123" s="403"/>
      <c r="AM123" s="403"/>
      <c r="AN123" s="403" t="s">
        <v>8394</v>
      </c>
      <c r="AO123" s="403"/>
      <c r="AP123" s="403"/>
      <c r="AQ123" s="403"/>
      <c r="AR123" s="403"/>
      <c r="AS123" s="403"/>
      <c r="AT123" s="403"/>
      <c r="AU123" s="403"/>
      <c r="AV123" s="403"/>
      <c r="AW123" s="403"/>
      <c r="AX123" s="403"/>
      <c r="AY123" s="403"/>
      <c r="AZ123" s="403"/>
      <c r="BA123" s="403"/>
      <c r="BB123" s="403"/>
      <c r="BC123" s="403"/>
      <c r="BD123" s="403"/>
      <c r="BE123" s="403"/>
      <c r="BF123" s="403"/>
      <c r="BG123" s="403" t="s">
        <v>10229</v>
      </c>
      <c r="BH123" s="403"/>
      <c r="BI123" s="403"/>
      <c r="BJ123" s="403"/>
      <c r="BK123" s="403"/>
      <c r="BL123" s="403"/>
      <c r="BM123" s="403"/>
      <c r="BN123" s="403"/>
      <c r="BO123" s="403"/>
      <c r="BP123" s="403"/>
      <c r="BQ123" s="403"/>
      <c r="BR123" s="403"/>
      <c r="BS123" s="403"/>
      <c r="BT123" s="403"/>
      <c r="BU123" s="403"/>
      <c r="BV123" s="403"/>
      <c r="BW123" s="403"/>
      <c r="BX123" s="403"/>
      <c r="BY123" s="403"/>
      <c r="BZ123" s="403" t="s">
        <v>10237</v>
      </c>
      <c r="CA123" s="403"/>
      <c r="CB123" s="403"/>
      <c r="CC123" s="403"/>
      <c r="CD123" s="403"/>
      <c r="CE123" s="403"/>
      <c r="CF123" s="403"/>
      <c r="CG123" s="403"/>
      <c r="CH123" s="403"/>
      <c r="CI123" s="403"/>
      <c r="CJ123" s="403"/>
      <c r="CK123" s="403"/>
      <c r="CL123" s="403"/>
      <c r="CM123" s="403"/>
      <c r="CN123" s="403"/>
      <c r="CO123" s="403"/>
      <c r="CP123" s="403"/>
      <c r="CQ123" s="403"/>
      <c r="CR123" s="403"/>
      <c r="CS123" s="403" t="s">
        <v>8400</v>
      </c>
      <c r="CT123" s="403"/>
      <c r="CU123" s="403"/>
      <c r="CV123" s="403"/>
      <c r="CW123" s="403"/>
      <c r="CX123" s="403"/>
      <c r="CY123" s="403"/>
      <c r="CZ123" s="403"/>
      <c r="DA123" s="403"/>
      <c r="DB123" s="403"/>
      <c r="DC123" s="403"/>
      <c r="DD123" s="403"/>
      <c r="DE123" s="403"/>
      <c r="DF123" s="403"/>
      <c r="DG123" s="403"/>
      <c r="DH123" s="403"/>
      <c r="DI123" s="403"/>
      <c r="DJ123" s="403"/>
      <c r="DK123" s="403"/>
      <c r="DL123" s="403" t="s">
        <v>10250</v>
      </c>
      <c r="DM123" s="403"/>
      <c r="DN123" s="403"/>
      <c r="DO123" s="403"/>
      <c r="DP123" s="403"/>
      <c r="DQ123" s="403"/>
      <c r="DR123" s="403"/>
      <c r="DS123" s="403"/>
      <c r="DT123" s="403"/>
      <c r="DU123" s="403"/>
      <c r="DV123" s="403"/>
      <c r="DW123" s="403"/>
      <c r="DX123" s="403"/>
      <c r="DY123" s="403"/>
      <c r="DZ123" s="403"/>
      <c r="EA123" s="403"/>
      <c r="EB123" s="403"/>
      <c r="EC123" s="403"/>
      <c r="ED123" s="403"/>
      <c r="EE123" s="403" t="s">
        <v>8404</v>
      </c>
      <c r="EF123" s="403"/>
      <c r="EG123" s="403"/>
      <c r="EH123" s="403"/>
      <c r="EI123" s="403"/>
      <c r="EJ123" s="403"/>
      <c r="EK123" s="403"/>
      <c r="EL123" s="403"/>
      <c r="EM123" s="403"/>
      <c r="EN123" s="403"/>
      <c r="EO123" s="403"/>
      <c r="EP123" s="403"/>
      <c r="EQ123" s="403"/>
      <c r="ER123" s="403"/>
      <c r="ES123" s="403"/>
      <c r="ET123" s="403"/>
    </row>
    <row r="124" spans="1:150" s="281" customFormat="1" x14ac:dyDescent="0.2">
      <c r="A124" s="350">
        <v>2</v>
      </c>
      <c r="C124" s="5" t="str">
        <f ca="1">IF(OFFSET(U124,0,Lang_Order*Lang__B4)="","",OFFSET(U124,0,Lang_Order*Lang__B4))</f>
        <v>Remote Temperature Monitoring Devices</v>
      </c>
      <c r="D124" s="281" t="str">
        <f>D117</f>
        <v>Haier U-Cool (Refrigerator model)+ 3 years data/portal access</v>
      </c>
      <c r="J124" s="146"/>
      <c r="K124" s="146"/>
      <c r="L124" s="146"/>
      <c r="M124" s="35">
        <v>0</v>
      </c>
      <c r="N124" s="146"/>
      <c r="O124" s="146"/>
      <c r="P124" s="231" t="e">
        <f>MAX(0,P117-M124)</f>
        <v>#N/A</v>
      </c>
      <c r="Q124" s="47"/>
      <c r="R124" s="403"/>
      <c r="S124" s="403"/>
      <c r="T124" s="403"/>
      <c r="U124" s="403" t="s">
        <v>3593</v>
      </c>
      <c r="V124" s="403"/>
      <c r="W124" s="403"/>
      <c r="X124" s="403"/>
      <c r="Y124" s="403"/>
      <c r="Z124" s="403"/>
      <c r="AA124" s="403"/>
      <c r="AB124" s="403"/>
      <c r="AC124" s="403"/>
      <c r="AD124" s="403"/>
      <c r="AE124" s="403"/>
      <c r="AF124" s="403"/>
      <c r="AG124" s="403"/>
      <c r="AH124" s="403"/>
      <c r="AI124" s="403"/>
      <c r="AJ124" s="403"/>
      <c r="AK124" s="403"/>
      <c r="AL124" s="403"/>
      <c r="AM124" s="403"/>
      <c r="AN124" s="403" t="s">
        <v>10871</v>
      </c>
      <c r="AO124" s="403"/>
      <c r="AP124" s="403"/>
      <c r="AQ124" s="403"/>
      <c r="AR124" s="403"/>
      <c r="AS124" s="403"/>
      <c r="AT124" s="403"/>
      <c r="AU124" s="403"/>
      <c r="AV124" s="403"/>
      <c r="AW124" s="403"/>
      <c r="AX124" s="403"/>
      <c r="AY124" s="403"/>
      <c r="AZ124" s="403"/>
      <c r="BA124" s="403"/>
      <c r="BB124" s="403"/>
      <c r="BC124" s="403"/>
      <c r="BD124" s="403"/>
      <c r="BE124" s="403"/>
      <c r="BF124" s="403"/>
      <c r="BG124" s="403" t="s">
        <v>10872</v>
      </c>
      <c r="BH124" s="403"/>
      <c r="BI124" s="403"/>
      <c r="BJ124" s="403"/>
      <c r="BK124" s="403"/>
      <c r="BL124" s="403"/>
      <c r="BM124" s="403"/>
      <c r="BN124" s="403"/>
      <c r="BO124" s="403"/>
      <c r="BP124" s="403"/>
      <c r="BQ124" s="403"/>
      <c r="BR124" s="403"/>
      <c r="BS124" s="403"/>
      <c r="BT124" s="403"/>
      <c r="BU124" s="403"/>
      <c r="BV124" s="403"/>
      <c r="BW124" s="403"/>
      <c r="BX124" s="403"/>
      <c r="BY124" s="403"/>
      <c r="BZ124" s="403" t="s">
        <v>10873</v>
      </c>
      <c r="CA124" s="403"/>
      <c r="CB124" s="403"/>
      <c r="CC124" s="403"/>
      <c r="CD124" s="403"/>
      <c r="CE124" s="403"/>
      <c r="CF124" s="403"/>
      <c r="CG124" s="403"/>
      <c r="CH124" s="403"/>
      <c r="CI124" s="403"/>
      <c r="CJ124" s="403"/>
      <c r="CK124" s="403"/>
      <c r="CL124" s="403"/>
      <c r="CM124" s="403"/>
      <c r="CN124" s="403"/>
      <c r="CO124" s="403"/>
      <c r="CP124" s="403"/>
      <c r="CQ124" s="403"/>
      <c r="CR124" s="403"/>
      <c r="CS124" s="403" t="s">
        <v>10874</v>
      </c>
      <c r="CT124" s="403"/>
      <c r="CU124" s="403"/>
      <c r="CV124" s="403"/>
      <c r="CW124" s="403"/>
      <c r="CX124" s="403"/>
      <c r="CY124" s="403"/>
      <c r="CZ124" s="403"/>
      <c r="DA124" s="403"/>
      <c r="DB124" s="403"/>
      <c r="DC124" s="403"/>
      <c r="DD124" s="403"/>
      <c r="DE124" s="403"/>
      <c r="DF124" s="403"/>
      <c r="DG124" s="403"/>
      <c r="DH124" s="403"/>
      <c r="DI124" s="403"/>
      <c r="DJ124" s="403"/>
      <c r="DK124" s="403"/>
      <c r="DL124" s="403" t="s">
        <v>10901</v>
      </c>
      <c r="DM124" s="403"/>
      <c r="DN124" s="403"/>
      <c r="DO124" s="403"/>
      <c r="DP124" s="403"/>
      <c r="DQ124" s="403"/>
      <c r="DR124" s="403"/>
      <c r="DS124" s="403"/>
      <c r="DT124" s="403"/>
      <c r="DU124" s="403"/>
      <c r="DV124" s="403"/>
      <c r="DW124" s="403"/>
      <c r="DX124" s="403"/>
      <c r="DY124" s="403"/>
      <c r="DZ124" s="403"/>
      <c r="EA124" s="403"/>
      <c r="EB124" s="403"/>
      <c r="EC124" s="403"/>
      <c r="ED124" s="403"/>
      <c r="EE124" s="403" t="s">
        <v>10876</v>
      </c>
      <c r="EF124" s="403"/>
      <c r="EG124" s="403"/>
      <c r="EH124" s="403"/>
      <c r="EI124" s="403"/>
      <c r="EJ124" s="403"/>
      <c r="EK124" s="403"/>
      <c r="EL124" s="403"/>
      <c r="EM124" s="403"/>
      <c r="EN124" s="403"/>
      <c r="EO124" s="403"/>
      <c r="EP124" s="403"/>
      <c r="EQ124" s="403"/>
      <c r="ER124" s="403"/>
      <c r="ES124" s="403"/>
      <c r="ET124" s="403"/>
    </row>
    <row r="125" spans="1:150" s="281" customFormat="1" x14ac:dyDescent="0.2">
      <c r="J125" s="85"/>
      <c r="R125" s="403"/>
      <c r="S125" s="403"/>
      <c r="T125" s="403"/>
      <c r="U125" s="403"/>
      <c r="V125" s="403"/>
      <c r="W125" s="403"/>
      <c r="X125" s="403"/>
      <c r="Y125" s="403"/>
      <c r="Z125" s="403"/>
      <c r="AA125" s="403"/>
      <c r="AB125" s="403"/>
      <c r="AC125" s="403"/>
      <c r="AD125" s="403"/>
      <c r="AE125" s="403"/>
      <c r="AF125" s="403"/>
      <c r="AG125" s="403"/>
      <c r="AH125" s="403"/>
      <c r="AI125" s="403"/>
      <c r="AJ125" s="403"/>
      <c r="AK125" s="403"/>
      <c r="AL125" s="403"/>
      <c r="AM125" s="403"/>
      <c r="AN125" s="403"/>
      <c r="AO125" s="403"/>
      <c r="AP125" s="403"/>
      <c r="AQ125" s="403"/>
      <c r="AR125" s="403"/>
      <c r="AS125" s="403"/>
      <c r="AT125" s="403"/>
      <c r="AU125" s="403"/>
      <c r="AV125" s="403"/>
      <c r="AW125" s="403"/>
      <c r="AX125" s="403"/>
      <c r="AY125" s="403"/>
      <c r="AZ125" s="403"/>
      <c r="BA125" s="403"/>
      <c r="BB125" s="403"/>
      <c r="BC125" s="403"/>
      <c r="BD125" s="403"/>
      <c r="BE125" s="403"/>
      <c r="BF125" s="403"/>
      <c r="BG125" s="403"/>
      <c r="BH125" s="403"/>
      <c r="BI125" s="403"/>
      <c r="BJ125" s="403"/>
      <c r="BK125" s="403"/>
      <c r="BL125" s="403"/>
      <c r="BM125" s="403"/>
      <c r="BN125" s="403"/>
      <c r="BO125" s="403"/>
      <c r="BP125" s="403"/>
      <c r="BQ125" s="403"/>
      <c r="BR125" s="403"/>
      <c r="BS125" s="403"/>
      <c r="BT125" s="403"/>
      <c r="BU125" s="403"/>
      <c r="BV125" s="403"/>
      <c r="BW125" s="403"/>
      <c r="BX125" s="403"/>
      <c r="BY125" s="403"/>
      <c r="BZ125" s="403"/>
      <c r="CA125" s="403"/>
      <c r="CB125" s="403"/>
      <c r="CC125" s="403"/>
      <c r="CD125" s="403"/>
      <c r="CE125" s="403"/>
      <c r="CF125" s="403"/>
      <c r="CG125" s="403"/>
      <c r="CH125" s="403"/>
      <c r="CI125" s="403"/>
      <c r="CJ125" s="403"/>
      <c r="CK125" s="403"/>
      <c r="CL125" s="403"/>
      <c r="CM125" s="403"/>
      <c r="CN125" s="403"/>
      <c r="CO125" s="403"/>
      <c r="CP125" s="403"/>
      <c r="CQ125" s="403"/>
      <c r="CR125" s="403"/>
      <c r="CS125" s="403"/>
      <c r="CT125" s="403"/>
      <c r="CU125" s="403"/>
      <c r="CV125" s="403"/>
      <c r="CW125" s="403"/>
      <c r="CX125" s="403"/>
      <c r="CY125" s="403"/>
      <c r="CZ125" s="403"/>
      <c r="DA125" s="403"/>
      <c r="DB125" s="403"/>
      <c r="DC125" s="403"/>
      <c r="DD125" s="403"/>
      <c r="DE125" s="403"/>
      <c r="DF125" s="403"/>
      <c r="DG125" s="403"/>
      <c r="DH125" s="403"/>
      <c r="DI125" s="403"/>
      <c r="DJ125" s="403"/>
      <c r="DK125" s="403"/>
      <c r="DL125" s="403"/>
      <c r="DM125" s="403"/>
      <c r="DN125" s="403"/>
      <c r="DO125" s="403"/>
      <c r="DP125" s="403"/>
      <c r="DQ125" s="403"/>
      <c r="DR125" s="403"/>
      <c r="DS125" s="403"/>
      <c r="DT125" s="403"/>
      <c r="DU125" s="403"/>
      <c r="DV125" s="403"/>
      <c r="DW125" s="403"/>
      <c r="DX125" s="403"/>
      <c r="DY125" s="403"/>
      <c r="DZ125" s="403"/>
      <c r="EA125" s="403"/>
      <c r="EB125" s="403"/>
      <c r="EC125" s="403"/>
      <c r="ED125" s="403"/>
      <c r="EE125" s="403"/>
      <c r="EF125" s="403"/>
      <c r="EG125" s="403"/>
      <c r="EH125" s="403"/>
      <c r="EI125" s="403"/>
      <c r="EJ125" s="403"/>
      <c r="EK125" s="403"/>
      <c r="EL125" s="403"/>
      <c r="EM125" s="403"/>
      <c r="EN125" s="403"/>
      <c r="EO125" s="403"/>
      <c r="EP125" s="403"/>
      <c r="EQ125" s="403"/>
      <c r="ER125" s="403"/>
      <c r="ES125" s="403"/>
      <c r="ET125" s="403"/>
    </row>
    <row r="126" spans="1:150" s="281" customFormat="1" x14ac:dyDescent="0.2">
      <c r="A126" s="350">
        <v>2</v>
      </c>
      <c r="C126" s="5" t="str">
        <f ca="1">IF(OFFSET(U126,0,Lang_Order*Lang__B4)="","",OFFSET(U126,0,Lang_Order*Lang__B4))</f>
        <v>Use Lower [1] or Upper [2] price?</v>
      </c>
      <c r="D126" s="35">
        <v>1</v>
      </c>
      <c r="J126" s="81" t="str">
        <f ca="1">IF(OFFSET(AB126,0,Lang_Order*Lang__B4)="","",OFFSET(AB126,0,Lang_Order*Lang__B4))</f>
        <v>Lower (Easier to access facilities)</v>
      </c>
      <c r="K126" s="81"/>
      <c r="L126" s="81"/>
      <c r="R126" s="403"/>
      <c r="S126" s="403"/>
      <c r="T126" s="403"/>
      <c r="U126" s="403" t="s">
        <v>4271</v>
      </c>
      <c r="V126" s="403"/>
      <c r="W126" s="403"/>
      <c r="X126" s="403"/>
      <c r="Y126" s="403"/>
      <c r="Z126" s="403"/>
      <c r="AA126" s="403"/>
      <c r="AB126" s="403" t="s">
        <v>13309</v>
      </c>
      <c r="AC126" s="403"/>
      <c r="AD126" s="403"/>
      <c r="AE126" s="403"/>
      <c r="AF126" s="403"/>
      <c r="AG126" s="403"/>
      <c r="AH126" s="403"/>
      <c r="AI126" s="403"/>
      <c r="AJ126" s="403"/>
      <c r="AK126" s="403"/>
      <c r="AL126" s="403"/>
      <c r="AM126" s="403"/>
      <c r="AN126" s="403" t="s">
        <v>10902</v>
      </c>
      <c r="AO126" s="403"/>
      <c r="AP126" s="403"/>
      <c r="AQ126" s="403"/>
      <c r="AR126" s="403"/>
      <c r="AS126" s="403"/>
      <c r="AT126" s="403"/>
      <c r="AU126" s="403" t="s">
        <v>13310</v>
      </c>
      <c r="AV126" s="403"/>
      <c r="AW126" s="403"/>
      <c r="AX126" s="403"/>
      <c r="AY126" s="403"/>
      <c r="AZ126" s="403"/>
      <c r="BA126" s="403"/>
      <c r="BB126" s="403"/>
      <c r="BC126" s="403"/>
      <c r="BD126" s="403"/>
      <c r="BE126" s="403"/>
      <c r="BF126" s="403"/>
      <c r="BG126" s="403" t="s">
        <v>10903</v>
      </c>
      <c r="BH126" s="403"/>
      <c r="BI126" s="403"/>
      <c r="BJ126" s="403"/>
      <c r="BK126" s="403"/>
      <c r="BL126" s="403"/>
      <c r="BM126" s="403"/>
      <c r="BN126" s="403" t="s">
        <v>13311</v>
      </c>
      <c r="BO126" s="403"/>
      <c r="BP126" s="403"/>
      <c r="BQ126" s="403"/>
      <c r="BR126" s="403"/>
      <c r="BS126" s="403"/>
      <c r="BT126" s="403"/>
      <c r="BU126" s="403"/>
      <c r="BV126" s="403"/>
      <c r="BW126" s="403"/>
      <c r="BX126" s="403"/>
      <c r="BY126" s="403"/>
      <c r="BZ126" s="403" t="s">
        <v>10904</v>
      </c>
      <c r="CA126" s="403"/>
      <c r="CB126" s="403"/>
      <c r="CC126" s="403"/>
      <c r="CD126" s="403"/>
      <c r="CE126" s="403"/>
      <c r="CF126" s="403"/>
      <c r="CG126" s="403" t="s">
        <v>13312</v>
      </c>
      <c r="CH126" s="403"/>
      <c r="CI126" s="403"/>
      <c r="CJ126" s="403"/>
      <c r="CK126" s="403"/>
      <c r="CL126" s="403"/>
      <c r="CM126" s="403"/>
      <c r="CN126" s="403"/>
      <c r="CO126" s="403"/>
      <c r="CP126" s="403"/>
      <c r="CQ126" s="403"/>
      <c r="CR126" s="403"/>
      <c r="CS126" s="403" t="s">
        <v>10905</v>
      </c>
      <c r="CT126" s="403"/>
      <c r="CU126" s="403"/>
      <c r="CV126" s="403"/>
      <c r="CW126" s="403"/>
      <c r="CX126" s="403"/>
      <c r="CY126" s="403"/>
      <c r="CZ126" s="403" t="s">
        <v>10906</v>
      </c>
      <c r="DA126" s="403"/>
      <c r="DB126" s="403"/>
      <c r="DC126" s="403"/>
      <c r="DD126" s="403"/>
      <c r="DE126" s="403"/>
      <c r="DF126" s="403"/>
      <c r="DG126" s="403"/>
      <c r="DH126" s="403"/>
      <c r="DI126" s="403"/>
      <c r="DJ126" s="403"/>
      <c r="DK126" s="403"/>
      <c r="DL126" s="403" t="s">
        <v>10907</v>
      </c>
      <c r="DM126" s="403"/>
      <c r="DN126" s="403"/>
      <c r="DO126" s="403"/>
      <c r="DP126" s="403"/>
      <c r="DQ126" s="403"/>
      <c r="DR126" s="403"/>
      <c r="DS126" s="403" t="s">
        <v>13313</v>
      </c>
      <c r="DT126" s="403"/>
      <c r="DU126" s="403"/>
      <c r="DV126" s="403"/>
      <c r="DW126" s="403"/>
      <c r="DX126" s="403"/>
      <c r="DY126" s="403"/>
      <c r="DZ126" s="403"/>
      <c r="EA126" s="403"/>
      <c r="EB126" s="403"/>
      <c r="EC126" s="403"/>
      <c r="ED126" s="403"/>
      <c r="EE126" s="403" t="s">
        <v>10908</v>
      </c>
      <c r="EF126" s="403"/>
      <c r="EG126" s="403"/>
      <c r="EH126" s="403"/>
      <c r="EI126" s="403"/>
      <c r="EJ126" s="403"/>
      <c r="EK126" s="403"/>
      <c r="EL126" s="403" t="s">
        <v>13314</v>
      </c>
      <c r="EM126" s="403"/>
      <c r="EN126" s="403"/>
      <c r="EO126" s="403"/>
      <c r="EP126" s="403"/>
      <c r="EQ126" s="403"/>
      <c r="ER126" s="403"/>
      <c r="ES126" s="403"/>
      <c r="ET126" s="403"/>
    </row>
    <row r="127" spans="1:150" s="281" customFormat="1" x14ac:dyDescent="0.2">
      <c r="B127" s="624" t="str">
        <f ca="1">IF(OFFSET(T127,0,Lang_Order*Lang__B4)="","",OFFSET(T127,0,Lang_Order*Lang__B4))</f>
        <v>Capital and Operational Expenditures</v>
      </c>
      <c r="C127" s="5"/>
      <c r="J127" s="146"/>
      <c r="K127" s="146"/>
      <c r="L127" s="146"/>
      <c r="M127" s="294" t="str">
        <f ca="1">IF(OFFSET(AE127,0,Lang_Order*Lang__B4)="","",OFFSET(AE127,0,Lang_Order*Lang__B4))</f>
        <v>Lower Price</v>
      </c>
      <c r="N127" s="294" t="str">
        <f ca="1">IF(OFFSET(AF127,0,Lang_Order*Lang__B4)="","",OFFSET(AF127,0,Lang_Order*Lang__B4))</f>
        <v>Upper Price</v>
      </c>
      <c r="O127" s="146"/>
      <c r="Q127" s="91"/>
      <c r="R127" s="403"/>
      <c r="S127" s="403"/>
      <c r="T127" s="403" t="s">
        <v>3210</v>
      </c>
      <c r="U127" s="403"/>
      <c r="V127" s="403"/>
      <c r="W127" s="403"/>
      <c r="X127" s="403"/>
      <c r="Y127" s="403"/>
      <c r="Z127" s="403"/>
      <c r="AA127" s="403"/>
      <c r="AB127" s="403"/>
      <c r="AC127" s="403"/>
      <c r="AD127" s="403"/>
      <c r="AE127" s="403" t="s">
        <v>3591</v>
      </c>
      <c r="AF127" s="403" t="s">
        <v>3590</v>
      </c>
      <c r="AG127" s="403"/>
      <c r="AH127" s="403"/>
      <c r="AI127" s="403"/>
      <c r="AJ127" s="403"/>
      <c r="AK127" s="403"/>
      <c r="AL127" s="403"/>
      <c r="AM127" s="403" t="s">
        <v>10909</v>
      </c>
      <c r="AN127" s="403"/>
      <c r="AO127" s="403"/>
      <c r="AP127" s="403"/>
      <c r="AQ127" s="403"/>
      <c r="AR127" s="403"/>
      <c r="AS127" s="403"/>
      <c r="AT127" s="403"/>
      <c r="AU127" s="403"/>
      <c r="AV127" s="403"/>
      <c r="AW127" s="403"/>
      <c r="AX127" s="403" t="s">
        <v>10823</v>
      </c>
      <c r="AY127" s="403" t="s">
        <v>10824</v>
      </c>
      <c r="AZ127" s="403"/>
      <c r="BA127" s="403"/>
      <c r="BB127" s="403"/>
      <c r="BC127" s="403"/>
      <c r="BD127" s="403"/>
      <c r="BE127" s="403"/>
      <c r="BF127" s="403" t="s">
        <v>10910</v>
      </c>
      <c r="BG127" s="403"/>
      <c r="BH127" s="403"/>
      <c r="BI127" s="403"/>
      <c r="BJ127" s="403"/>
      <c r="BK127" s="403"/>
      <c r="BL127" s="403"/>
      <c r="BM127" s="403"/>
      <c r="BN127" s="403"/>
      <c r="BO127" s="403"/>
      <c r="BP127" s="403"/>
      <c r="BQ127" s="403" t="s">
        <v>10911</v>
      </c>
      <c r="BR127" s="403" t="s">
        <v>10831</v>
      </c>
      <c r="BS127" s="403"/>
      <c r="BT127" s="403"/>
      <c r="BU127" s="403"/>
      <c r="BV127" s="403"/>
      <c r="BW127" s="403"/>
      <c r="BX127" s="403"/>
      <c r="BY127" s="403" t="s">
        <v>10912</v>
      </c>
      <c r="BZ127" s="403"/>
      <c r="CA127" s="403"/>
      <c r="CB127" s="403"/>
      <c r="CC127" s="403"/>
      <c r="CD127" s="403"/>
      <c r="CE127" s="403"/>
      <c r="CF127" s="403"/>
      <c r="CG127" s="403"/>
      <c r="CH127" s="403"/>
      <c r="CI127" s="403"/>
      <c r="CJ127" s="403" t="s">
        <v>10837</v>
      </c>
      <c r="CK127" s="403" t="s">
        <v>10838</v>
      </c>
      <c r="CL127" s="403"/>
      <c r="CM127" s="403"/>
      <c r="CN127" s="403"/>
      <c r="CO127" s="403"/>
      <c r="CP127" s="403"/>
      <c r="CQ127" s="403"/>
      <c r="CR127" s="403" t="s">
        <v>10913</v>
      </c>
      <c r="CS127" s="403"/>
      <c r="CT127" s="403"/>
      <c r="CU127" s="403"/>
      <c r="CV127" s="403"/>
      <c r="CW127" s="403"/>
      <c r="CX127" s="403"/>
      <c r="CY127" s="403"/>
      <c r="CZ127" s="403"/>
      <c r="DA127" s="403"/>
      <c r="DB127" s="403"/>
      <c r="DC127" s="403" t="s">
        <v>10843</v>
      </c>
      <c r="DD127" s="403" t="s">
        <v>10844</v>
      </c>
      <c r="DE127" s="403"/>
      <c r="DF127" s="403"/>
      <c r="DG127" s="403"/>
      <c r="DH127" s="403"/>
      <c r="DI127" s="403"/>
      <c r="DJ127" s="403"/>
      <c r="DK127" s="403" t="s">
        <v>10914</v>
      </c>
      <c r="DL127" s="403"/>
      <c r="DM127" s="403"/>
      <c r="DN127" s="403"/>
      <c r="DO127" s="403"/>
      <c r="DP127" s="403"/>
      <c r="DQ127" s="403"/>
      <c r="DR127" s="403"/>
      <c r="DS127" s="403"/>
      <c r="DT127" s="403"/>
      <c r="DU127" s="403"/>
      <c r="DV127" s="403" t="s">
        <v>10915</v>
      </c>
      <c r="DW127" s="403" t="s">
        <v>10916</v>
      </c>
      <c r="DX127" s="403"/>
      <c r="DY127" s="403"/>
      <c r="DZ127" s="403"/>
      <c r="EA127" s="403"/>
      <c r="EB127" s="403"/>
      <c r="EC127" s="403"/>
      <c r="ED127" s="403" t="s">
        <v>10917</v>
      </c>
      <c r="EE127" s="403"/>
      <c r="EF127" s="403"/>
      <c r="EG127" s="403"/>
      <c r="EH127" s="403"/>
      <c r="EI127" s="403"/>
      <c r="EJ127" s="403"/>
      <c r="EK127" s="403"/>
      <c r="EL127" s="403"/>
      <c r="EM127" s="403"/>
      <c r="EN127" s="403"/>
      <c r="EO127" s="403" t="s">
        <v>10856</v>
      </c>
      <c r="EP127" s="403" t="s">
        <v>10857</v>
      </c>
      <c r="EQ127" s="403"/>
      <c r="ER127" s="403"/>
      <c r="ES127" s="403"/>
      <c r="ET127" s="403"/>
    </row>
    <row r="128" spans="1:150" s="281" customFormat="1" x14ac:dyDescent="0.2">
      <c r="C128" s="72"/>
      <c r="J128" s="146"/>
      <c r="K128" s="146"/>
      <c r="L128" s="146"/>
      <c r="M128" s="79"/>
      <c r="N128" s="79"/>
      <c r="O128" s="146"/>
      <c r="Q128" s="91"/>
      <c r="R128" s="403"/>
      <c r="S128" s="403"/>
      <c r="T128" s="403"/>
      <c r="U128" s="403"/>
      <c r="V128" s="403"/>
      <c r="W128" s="403"/>
      <c r="X128" s="403"/>
      <c r="Y128" s="403"/>
      <c r="Z128" s="403"/>
      <c r="AA128" s="403"/>
      <c r="AB128" s="403"/>
      <c r="AC128" s="403"/>
      <c r="AD128" s="403"/>
      <c r="AE128" s="403"/>
      <c r="AF128" s="403"/>
      <c r="AG128" s="403"/>
      <c r="AH128" s="403"/>
      <c r="AI128" s="403"/>
      <c r="AJ128" s="403"/>
      <c r="AK128" s="403"/>
      <c r="AL128" s="403"/>
      <c r="AM128" s="403"/>
      <c r="AN128" s="403"/>
      <c r="AO128" s="403"/>
      <c r="AP128" s="403"/>
      <c r="AQ128" s="403"/>
      <c r="AR128" s="403"/>
      <c r="AS128" s="403"/>
      <c r="AT128" s="403"/>
      <c r="AU128" s="403"/>
      <c r="AV128" s="403"/>
      <c r="AW128" s="403"/>
      <c r="AX128" s="403"/>
      <c r="AY128" s="403"/>
      <c r="AZ128" s="403"/>
      <c r="BA128" s="403"/>
      <c r="BB128" s="403"/>
      <c r="BC128" s="403"/>
      <c r="BD128" s="403"/>
      <c r="BE128" s="403"/>
      <c r="BF128" s="403"/>
      <c r="BG128" s="403"/>
      <c r="BH128" s="403"/>
      <c r="BI128" s="403"/>
      <c r="BJ128" s="403"/>
      <c r="BK128" s="403"/>
      <c r="BL128" s="403"/>
      <c r="BM128" s="403"/>
      <c r="BN128" s="403"/>
      <c r="BO128" s="403"/>
      <c r="BP128" s="403"/>
      <c r="BQ128" s="403"/>
      <c r="BR128" s="403"/>
      <c r="BS128" s="403"/>
      <c r="BT128" s="403"/>
      <c r="BU128" s="403"/>
      <c r="BV128" s="403"/>
      <c r="BW128" s="403"/>
      <c r="BX128" s="403"/>
      <c r="BY128" s="403"/>
      <c r="BZ128" s="403"/>
      <c r="CA128" s="403"/>
      <c r="CB128" s="403"/>
      <c r="CC128" s="403"/>
      <c r="CD128" s="403"/>
      <c r="CE128" s="403"/>
      <c r="CF128" s="403"/>
      <c r="CG128" s="403"/>
      <c r="CH128" s="403"/>
      <c r="CI128" s="403"/>
      <c r="CJ128" s="403"/>
      <c r="CK128" s="403"/>
      <c r="CL128" s="403"/>
      <c r="CM128" s="403"/>
      <c r="CN128" s="403"/>
      <c r="CO128" s="403"/>
      <c r="CP128" s="403"/>
      <c r="CQ128" s="403"/>
      <c r="CR128" s="403"/>
      <c r="CS128" s="403"/>
      <c r="CT128" s="403"/>
      <c r="CU128" s="403"/>
      <c r="CV128" s="403"/>
      <c r="CW128" s="403"/>
      <c r="CX128" s="403"/>
      <c r="CY128" s="403"/>
      <c r="CZ128" s="403"/>
      <c r="DA128" s="403"/>
      <c r="DB128" s="403"/>
      <c r="DC128" s="403"/>
      <c r="DD128" s="403"/>
      <c r="DE128" s="403"/>
      <c r="DF128" s="403"/>
      <c r="DG128" s="403"/>
      <c r="DH128" s="403"/>
      <c r="DI128" s="403"/>
      <c r="DJ128" s="403"/>
      <c r="DK128" s="403"/>
      <c r="DL128" s="403"/>
      <c r="DM128" s="403"/>
      <c r="DN128" s="403"/>
      <c r="DO128" s="403"/>
      <c r="DP128" s="403"/>
      <c r="DQ128" s="403"/>
      <c r="DR128" s="403"/>
      <c r="DS128" s="403"/>
      <c r="DT128" s="403"/>
      <c r="DU128" s="403"/>
      <c r="DV128" s="403"/>
      <c r="DW128" s="403"/>
      <c r="DX128" s="403"/>
      <c r="DY128" s="403"/>
      <c r="DZ128" s="403"/>
      <c r="EA128" s="403"/>
      <c r="EB128" s="403"/>
      <c r="EC128" s="403"/>
      <c r="ED128" s="403"/>
      <c r="EE128" s="403"/>
      <c r="EF128" s="403"/>
      <c r="EG128" s="403"/>
      <c r="EH128" s="403"/>
      <c r="EI128" s="403"/>
      <c r="EJ128" s="403"/>
      <c r="EK128" s="403"/>
      <c r="EL128" s="403"/>
      <c r="EM128" s="403"/>
      <c r="EN128" s="403"/>
      <c r="EO128" s="403"/>
      <c r="EP128" s="403"/>
      <c r="EQ128" s="403"/>
      <c r="ER128" s="403"/>
      <c r="ES128" s="403"/>
      <c r="ET128" s="403"/>
    </row>
    <row r="129" spans="1:150" s="281" customFormat="1" x14ac:dyDescent="0.2">
      <c r="C129" s="5" t="str">
        <f ca="1">IF(OFFSET(U129,0,Lang_Order*Lang__B4)="","",OFFSET(U129,0,Lang_Order*Lang__B4))</f>
        <v>Refrigerated (2 to 8C)</v>
      </c>
      <c r="J129" s="146"/>
      <c r="K129" s="146"/>
      <c r="L129" s="146"/>
      <c r="M129" s="79" t="e">
        <f t="shared" ref="M129:N132" si="30">M114*$P121</f>
        <v>#N/A</v>
      </c>
      <c r="N129" s="79" t="e">
        <f t="shared" si="30"/>
        <v>#N/A</v>
      </c>
      <c r="O129" s="146"/>
      <c r="Q129" s="91"/>
      <c r="R129" s="403"/>
      <c r="S129" s="403"/>
      <c r="T129" s="403"/>
      <c r="U129" s="403" t="s">
        <v>11</v>
      </c>
      <c r="V129" s="403"/>
      <c r="W129" s="403"/>
      <c r="X129" s="403"/>
      <c r="Y129" s="403"/>
      <c r="Z129" s="403"/>
      <c r="AA129" s="403"/>
      <c r="AB129" s="403"/>
      <c r="AC129" s="403"/>
      <c r="AD129" s="403"/>
      <c r="AE129" s="403"/>
      <c r="AF129" s="403"/>
      <c r="AG129" s="403"/>
      <c r="AH129" s="403"/>
      <c r="AI129" s="403"/>
      <c r="AJ129" s="403"/>
      <c r="AK129" s="403"/>
      <c r="AL129" s="403"/>
      <c r="AM129" s="403"/>
      <c r="AN129" s="403" t="s">
        <v>10714</v>
      </c>
      <c r="AO129" s="403"/>
      <c r="AP129" s="403"/>
      <c r="AQ129" s="403"/>
      <c r="AR129" s="403"/>
      <c r="AS129" s="403"/>
      <c r="AT129" s="403"/>
      <c r="AU129" s="403"/>
      <c r="AV129" s="403"/>
      <c r="AW129" s="403"/>
      <c r="AX129" s="403"/>
      <c r="AY129" s="403"/>
      <c r="AZ129" s="403"/>
      <c r="BA129" s="403"/>
      <c r="BB129" s="403"/>
      <c r="BC129" s="403"/>
      <c r="BD129" s="403"/>
      <c r="BE129" s="403"/>
      <c r="BF129" s="403"/>
      <c r="BG129" s="403" t="s">
        <v>10227</v>
      </c>
      <c r="BH129" s="403"/>
      <c r="BI129" s="403"/>
      <c r="BJ129" s="403"/>
      <c r="BK129" s="403"/>
      <c r="BL129" s="403"/>
      <c r="BM129" s="403"/>
      <c r="BN129" s="403"/>
      <c r="BO129" s="403"/>
      <c r="BP129" s="403"/>
      <c r="BQ129" s="403"/>
      <c r="BR129" s="403"/>
      <c r="BS129" s="403"/>
      <c r="BT129" s="403"/>
      <c r="BU129" s="403"/>
      <c r="BV129" s="403"/>
      <c r="BW129" s="403"/>
      <c r="BX129" s="403"/>
      <c r="BY129" s="403"/>
      <c r="BZ129" s="403" t="s">
        <v>10715</v>
      </c>
      <c r="CA129" s="403"/>
      <c r="CB129" s="403"/>
      <c r="CC129" s="403"/>
      <c r="CD129" s="403"/>
      <c r="CE129" s="403"/>
      <c r="CF129" s="403"/>
      <c r="CG129" s="403"/>
      <c r="CH129" s="403"/>
      <c r="CI129" s="403"/>
      <c r="CJ129" s="403"/>
      <c r="CK129" s="403"/>
      <c r="CL129" s="403"/>
      <c r="CM129" s="403"/>
      <c r="CN129" s="403"/>
      <c r="CO129" s="403"/>
      <c r="CP129" s="403"/>
      <c r="CQ129" s="403"/>
      <c r="CR129" s="403"/>
      <c r="CS129" s="403" t="s">
        <v>8384</v>
      </c>
      <c r="CT129" s="403"/>
      <c r="CU129" s="403"/>
      <c r="CV129" s="403"/>
      <c r="CW129" s="403"/>
      <c r="CX129" s="403"/>
      <c r="CY129" s="403"/>
      <c r="CZ129" s="403"/>
      <c r="DA129" s="403"/>
      <c r="DB129" s="403"/>
      <c r="DC129" s="403"/>
      <c r="DD129" s="403"/>
      <c r="DE129" s="403"/>
      <c r="DF129" s="403"/>
      <c r="DG129" s="403"/>
      <c r="DH129" s="403"/>
      <c r="DI129" s="403"/>
      <c r="DJ129" s="403"/>
      <c r="DK129" s="403"/>
      <c r="DL129" s="403" t="s">
        <v>10248</v>
      </c>
      <c r="DM129" s="403"/>
      <c r="DN129" s="403"/>
      <c r="DO129" s="403"/>
      <c r="DP129" s="403"/>
      <c r="DQ129" s="403"/>
      <c r="DR129" s="403"/>
      <c r="DS129" s="403"/>
      <c r="DT129" s="403"/>
      <c r="DU129" s="403"/>
      <c r="DV129" s="403"/>
      <c r="DW129" s="403"/>
      <c r="DX129" s="403"/>
      <c r="DY129" s="403"/>
      <c r="DZ129" s="403"/>
      <c r="EA129" s="403"/>
      <c r="EB129" s="403"/>
      <c r="EC129" s="403"/>
      <c r="ED129" s="403"/>
      <c r="EE129" s="403" t="s">
        <v>8387</v>
      </c>
      <c r="EF129" s="403"/>
      <c r="EG129" s="403"/>
      <c r="EH129" s="403"/>
      <c r="EI129" s="403"/>
      <c r="EJ129" s="403"/>
      <c r="EK129" s="403"/>
      <c r="EL129" s="403"/>
      <c r="EM129" s="403"/>
      <c r="EN129" s="403"/>
      <c r="EO129" s="403"/>
      <c r="EP129" s="403"/>
      <c r="EQ129" s="403"/>
      <c r="ER129" s="403"/>
      <c r="ES129" s="403"/>
      <c r="ET129" s="403"/>
    </row>
    <row r="130" spans="1:150" s="281" customFormat="1" x14ac:dyDescent="0.2">
      <c r="A130" s="567"/>
      <c r="C130" s="5" t="str">
        <f ca="1">IF(OFFSET(U130,0,Lang_Order*Lang__B4)="","",OFFSET(U130,0,Lang_Order*Lang__B4))</f>
        <v>Frozen (-20C)</v>
      </c>
      <c r="J130" s="146"/>
      <c r="K130" s="146"/>
      <c r="L130" s="146"/>
      <c r="M130" s="79" t="e">
        <f t="shared" si="30"/>
        <v>#N/A</v>
      </c>
      <c r="N130" s="79" t="e">
        <f t="shared" si="30"/>
        <v>#N/A</v>
      </c>
      <c r="O130" s="146"/>
      <c r="Q130" s="91"/>
      <c r="R130" s="403"/>
      <c r="S130" s="403"/>
      <c r="T130" s="403"/>
      <c r="U130" s="403" t="s">
        <v>12</v>
      </c>
      <c r="V130" s="403"/>
      <c r="W130" s="403"/>
      <c r="X130" s="403"/>
      <c r="Y130" s="403"/>
      <c r="Z130" s="403"/>
      <c r="AA130" s="403"/>
      <c r="AB130" s="403"/>
      <c r="AC130" s="403"/>
      <c r="AD130" s="403"/>
      <c r="AE130" s="403"/>
      <c r="AF130" s="403"/>
      <c r="AG130" s="403"/>
      <c r="AH130" s="403"/>
      <c r="AI130" s="403"/>
      <c r="AJ130" s="403"/>
      <c r="AK130" s="403"/>
      <c r="AL130" s="403"/>
      <c r="AM130" s="403"/>
      <c r="AN130" s="403" t="s">
        <v>10717</v>
      </c>
      <c r="AO130" s="403"/>
      <c r="AP130" s="403"/>
      <c r="AQ130" s="403"/>
      <c r="AR130" s="403"/>
      <c r="AS130" s="403"/>
      <c r="AT130" s="403"/>
      <c r="AU130" s="403"/>
      <c r="AV130" s="403"/>
      <c r="AW130" s="403"/>
      <c r="AX130" s="403"/>
      <c r="AY130" s="403"/>
      <c r="AZ130" s="403"/>
      <c r="BA130" s="403"/>
      <c r="BB130" s="403"/>
      <c r="BC130" s="403"/>
      <c r="BD130" s="403"/>
      <c r="BE130" s="403"/>
      <c r="BF130" s="403"/>
      <c r="BG130" s="403" t="s">
        <v>10228</v>
      </c>
      <c r="BH130" s="403"/>
      <c r="BI130" s="403"/>
      <c r="BJ130" s="403"/>
      <c r="BK130" s="403"/>
      <c r="BL130" s="403"/>
      <c r="BM130" s="403"/>
      <c r="BN130" s="403"/>
      <c r="BO130" s="403"/>
      <c r="BP130" s="403"/>
      <c r="BQ130" s="403"/>
      <c r="BR130" s="403"/>
      <c r="BS130" s="403"/>
      <c r="BT130" s="403"/>
      <c r="BU130" s="403"/>
      <c r="BV130" s="403"/>
      <c r="BW130" s="403"/>
      <c r="BX130" s="403"/>
      <c r="BY130" s="403"/>
      <c r="BZ130" s="403" t="s">
        <v>10718</v>
      </c>
      <c r="CA130" s="403"/>
      <c r="CB130" s="403"/>
      <c r="CC130" s="403"/>
      <c r="CD130" s="403"/>
      <c r="CE130" s="403"/>
      <c r="CF130" s="403"/>
      <c r="CG130" s="403"/>
      <c r="CH130" s="403"/>
      <c r="CI130" s="403"/>
      <c r="CJ130" s="403"/>
      <c r="CK130" s="403"/>
      <c r="CL130" s="403"/>
      <c r="CM130" s="403"/>
      <c r="CN130" s="403"/>
      <c r="CO130" s="403"/>
      <c r="CP130" s="403"/>
      <c r="CQ130" s="403"/>
      <c r="CR130" s="403"/>
      <c r="CS130" s="403" t="s">
        <v>8391</v>
      </c>
      <c r="CT130" s="403"/>
      <c r="CU130" s="403"/>
      <c r="CV130" s="403"/>
      <c r="CW130" s="403"/>
      <c r="CX130" s="403"/>
      <c r="CY130" s="403"/>
      <c r="CZ130" s="403"/>
      <c r="DA130" s="403"/>
      <c r="DB130" s="403"/>
      <c r="DC130" s="403"/>
      <c r="DD130" s="403"/>
      <c r="DE130" s="403"/>
      <c r="DF130" s="403"/>
      <c r="DG130" s="403"/>
      <c r="DH130" s="403"/>
      <c r="DI130" s="403"/>
      <c r="DJ130" s="403"/>
      <c r="DK130" s="403"/>
      <c r="DL130" s="403" t="s">
        <v>10249</v>
      </c>
      <c r="DM130" s="403"/>
      <c r="DN130" s="403"/>
      <c r="DO130" s="403"/>
      <c r="DP130" s="403"/>
      <c r="DQ130" s="403"/>
      <c r="DR130" s="403"/>
      <c r="DS130" s="403"/>
      <c r="DT130" s="403"/>
      <c r="DU130" s="403"/>
      <c r="DV130" s="403"/>
      <c r="DW130" s="403"/>
      <c r="DX130" s="403"/>
      <c r="DY130" s="403"/>
      <c r="DZ130" s="403"/>
      <c r="EA130" s="403"/>
      <c r="EB130" s="403"/>
      <c r="EC130" s="403"/>
      <c r="ED130" s="403"/>
      <c r="EE130" s="403" t="s">
        <v>8393</v>
      </c>
      <c r="EF130" s="403"/>
      <c r="EG130" s="403"/>
      <c r="EH130" s="403"/>
      <c r="EI130" s="403"/>
      <c r="EJ130" s="403"/>
      <c r="EK130" s="403"/>
      <c r="EL130" s="403"/>
      <c r="EM130" s="403"/>
      <c r="EN130" s="403"/>
      <c r="EO130" s="403"/>
      <c r="EP130" s="403"/>
      <c r="EQ130" s="403"/>
      <c r="ER130" s="403"/>
      <c r="ES130" s="403"/>
      <c r="ET130" s="403"/>
    </row>
    <row r="131" spans="1:150" s="281" customFormat="1" x14ac:dyDescent="0.2">
      <c r="A131" s="567"/>
      <c r="C131" s="5" t="str">
        <f ca="1">IF(OFFSET(U131,0,Lang_Order*Lang__B4)="","",OFFSET(U131,0,Lang_Order*Lang__B4))</f>
        <v>Ultra-cold (-60 to -80C)</v>
      </c>
      <c r="J131" s="146"/>
      <c r="K131" s="146"/>
      <c r="L131" s="146"/>
      <c r="M131" s="79" t="e">
        <f t="shared" si="30"/>
        <v>#N/A</v>
      </c>
      <c r="N131" s="79" t="e">
        <f t="shared" si="30"/>
        <v>#N/A</v>
      </c>
      <c r="O131" s="146"/>
      <c r="Q131" s="91"/>
      <c r="R131" s="403"/>
      <c r="S131" s="403"/>
      <c r="T131" s="403"/>
      <c r="U131" s="403" t="s">
        <v>13</v>
      </c>
      <c r="V131" s="403"/>
      <c r="W131" s="403"/>
      <c r="X131" s="403"/>
      <c r="Y131" s="403"/>
      <c r="Z131" s="403"/>
      <c r="AA131" s="403"/>
      <c r="AB131" s="403"/>
      <c r="AC131" s="403"/>
      <c r="AD131" s="403"/>
      <c r="AE131" s="403"/>
      <c r="AF131" s="403"/>
      <c r="AG131" s="403"/>
      <c r="AH131" s="403"/>
      <c r="AI131" s="403" t="s">
        <v>2765</v>
      </c>
      <c r="AJ131" s="403"/>
      <c r="AK131" s="403"/>
      <c r="AL131" s="403"/>
      <c r="AM131" s="403"/>
      <c r="AN131" s="403" t="s">
        <v>8394</v>
      </c>
      <c r="AO131" s="403"/>
      <c r="AP131" s="403"/>
      <c r="AQ131" s="403"/>
      <c r="AR131" s="403"/>
      <c r="AS131" s="403"/>
      <c r="AT131" s="403"/>
      <c r="AU131" s="403"/>
      <c r="AV131" s="403"/>
      <c r="AW131" s="403"/>
      <c r="AX131" s="403"/>
      <c r="AY131" s="403"/>
      <c r="AZ131" s="403"/>
      <c r="BA131" s="403"/>
      <c r="BB131" s="403" t="s">
        <v>10918</v>
      </c>
      <c r="BC131" s="403"/>
      <c r="BD131" s="403"/>
      <c r="BE131" s="403"/>
      <c r="BF131" s="403"/>
      <c r="BG131" s="403" t="s">
        <v>10229</v>
      </c>
      <c r="BH131" s="403"/>
      <c r="BI131" s="403"/>
      <c r="BJ131" s="403"/>
      <c r="BK131" s="403"/>
      <c r="BL131" s="403"/>
      <c r="BM131" s="403"/>
      <c r="BN131" s="403"/>
      <c r="BO131" s="403"/>
      <c r="BP131" s="403"/>
      <c r="BQ131" s="403"/>
      <c r="BR131" s="403"/>
      <c r="BS131" s="403"/>
      <c r="BT131" s="403"/>
      <c r="BU131" s="403" t="s">
        <v>10273</v>
      </c>
      <c r="BV131" s="403"/>
      <c r="BW131" s="403"/>
      <c r="BX131" s="403"/>
      <c r="BY131" s="403"/>
      <c r="BZ131" s="403" t="s">
        <v>10237</v>
      </c>
      <c r="CA131" s="403"/>
      <c r="CB131" s="403"/>
      <c r="CC131" s="403"/>
      <c r="CD131" s="403"/>
      <c r="CE131" s="403"/>
      <c r="CF131" s="403"/>
      <c r="CG131" s="403"/>
      <c r="CH131" s="403"/>
      <c r="CI131" s="403"/>
      <c r="CJ131" s="403"/>
      <c r="CK131" s="403"/>
      <c r="CL131" s="403"/>
      <c r="CM131" s="403"/>
      <c r="CN131" s="403" t="s">
        <v>10274</v>
      </c>
      <c r="CO131" s="403"/>
      <c r="CP131" s="403"/>
      <c r="CQ131" s="403"/>
      <c r="CR131" s="403"/>
      <c r="CS131" s="403" t="s">
        <v>8400</v>
      </c>
      <c r="CT131" s="403"/>
      <c r="CU131" s="403"/>
      <c r="CV131" s="403"/>
      <c r="CW131" s="403"/>
      <c r="CX131" s="403"/>
      <c r="CY131" s="403"/>
      <c r="CZ131" s="403"/>
      <c r="DA131" s="403"/>
      <c r="DB131" s="403"/>
      <c r="DC131" s="403"/>
      <c r="DD131" s="403"/>
      <c r="DE131" s="403"/>
      <c r="DF131" s="403"/>
      <c r="DG131" s="403" t="s">
        <v>10275</v>
      </c>
      <c r="DH131" s="403"/>
      <c r="DI131" s="403"/>
      <c r="DJ131" s="403"/>
      <c r="DK131" s="403"/>
      <c r="DL131" s="403" t="s">
        <v>10250</v>
      </c>
      <c r="DM131" s="403"/>
      <c r="DN131" s="403"/>
      <c r="DO131" s="403"/>
      <c r="DP131" s="403"/>
      <c r="DQ131" s="403"/>
      <c r="DR131" s="403"/>
      <c r="DS131" s="403"/>
      <c r="DT131" s="403"/>
      <c r="DU131" s="403"/>
      <c r="DV131" s="403"/>
      <c r="DW131" s="403"/>
      <c r="DX131" s="403"/>
      <c r="DY131" s="403"/>
      <c r="DZ131" s="403" t="s">
        <v>10276</v>
      </c>
      <c r="EA131" s="403"/>
      <c r="EB131" s="403"/>
      <c r="EC131" s="403"/>
      <c r="ED131" s="403"/>
      <c r="EE131" s="403" t="s">
        <v>8404</v>
      </c>
      <c r="EF131" s="403"/>
      <c r="EG131" s="403"/>
      <c r="EH131" s="403"/>
      <c r="EI131" s="403"/>
      <c r="EJ131" s="403"/>
      <c r="EK131" s="403"/>
      <c r="EL131" s="403"/>
      <c r="EM131" s="403"/>
      <c r="EN131" s="403"/>
      <c r="EO131" s="403"/>
      <c r="EP131" s="403"/>
      <c r="EQ131" s="403"/>
      <c r="ER131" s="403"/>
      <c r="ES131" s="403" t="s">
        <v>10919</v>
      </c>
      <c r="ET131" s="403"/>
    </row>
    <row r="132" spans="1:150" s="281" customFormat="1" x14ac:dyDescent="0.2">
      <c r="A132" s="567"/>
      <c r="C132" s="5" t="str">
        <f ca="1">IF(OFFSET(U132,0,Lang_Order*Lang__B4)="","",OFFSET(U132,0,Lang_Order*Lang__B4))</f>
        <v>Remote Temperature Monitoring Devices</v>
      </c>
      <c r="J132" s="146"/>
      <c r="K132" s="146"/>
      <c r="L132" s="146"/>
      <c r="M132" s="79" t="e">
        <f t="shared" si="30"/>
        <v>#N/A</v>
      </c>
      <c r="N132" s="79" t="e">
        <f t="shared" si="30"/>
        <v>#N/A</v>
      </c>
      <c r="O132" s="146"/>
      <c r="Q132" s="47"/>
      <c r="R132" s="403"/>
      <c r="S132" s="403"/>
      <c r="T132" s="403"/>
      <c r="U132" s="403" t="s">
        <v>3593</v>
      </c>
      <c r="V132" s="403"/>
      <c r="W132" s="403"/>
      <c r="X132" s="403"/>
      <c r="Y132" s="403"/>
      <c r="Z132" s="403"/>
      <c r="AA132" s="403"/>
      <c r="AB132" s="403"/>
      <c r="AC132" s="403"/>
      <c r="AD132" s="403"/>
      <c r="AE132" s="403"/>
      <c r="AF132" s="403"/>
      <c r="AG132" s="403"/>
      <c r="AH132" s="403"/>
      <c r="AI132" s="403"/>
      <c r="AJ132" s="403"/>
      <c r="AK132" s="403"/>
      <c r="AL132" s="403"/>
      <c r="AM132" s="403"/>
      <c r="AN132" s="403" t="s">
        <v>10871</v>
      </c>
      <c r="AO132" s="403"/>
      <c r="AP132" s="403"/>
      <c r="AQ132" s="403"/>
      <c r="AR132" s="403"/>
      <c r="AS132" s="403"/>
      <c r="AT132" s="403"/>
      <c r="AU132" s="403"/>
      <c r="AV132" s="403"/>
      <c r="AW132" s="403"/>
      <c r="AX132" s="403"/>
      <c r="AY132" s="403"/>
      <c r="AZ132" s="403"/>
      <c r="BA132" s="403"/>
      <c r="BB132" s="403"/>
      <c r="BC132" s="403"/>
      <c r="BD132" s="403"/>
      <c r="BE132" s="403"/>
      <c r="BF132" s="403"/>
      <c r="BG132" s="403" t="s">
        <v>10872</v>
      </c>
      <c r="BH132" s="403"/>
      <c r="BI132" s="403"/>
      <c r="BJ132" s="403"/>
      <c r="BK132" s="403"/>
      <c r="BL132" s="403"/>
      <c r="BM132" s="403"/>
      <c r="BN132" s="403"/>
      <c r="BO132" s="403"/>
      <c r="BP132" s="403"/>
      <c r="BQ132" s="403"/>
      <c r="BR132" s="403"/>
      <c r="BS132" s="403"/>
      <c r="BT132" s="403"/>
      <c r="BU132" s="403"/>
      <c r="BV132" s="403"/>
      <c r="BW132" s="403"/>
      <c r="BX132" s="403"/>
      <c r="BY132" s="403"/>
      <c r="BZ132" s="403" t="s">
        <v>10873</v>
      </c>
      <c r="CA132" s="403"/>
      <c r="CB132" s="403"/>
      <c r="CC132" s="403"/>
      <c r="CD132" s="403"/>
      <c r="CE132" s="403"/>
      <c r="CF132" s="403"/>
      <c r="CG132" s="403"/>
      <c r="CH132" s="403"/>
      <c r="CI132" s="403"/>
      <c r="CJ132" s="403"/>
      <c r="CK132" s="403"/>
      <c r="CL132" s="403"/>
      <c r="CM132" s="403"/>
      <c r="CN132" s="403"/>
      <c r="CO132" s="403"/>
      <c r="CP132" s="403"/>
      <c r="CQ132" s="403"/>
      <c r="CR132" s="403"/>
      <c r="CS132" s="403" t="s">
        <v>10874</v>
      </c>
      <c r="CT132" s="403"/>
      <c r="CU132" s="403"/>
      <c r="CV132" s="403"/>
      <c r="CW132" s="403"/>
      <c r="CX132" s="403"/>
      <c r="CY132" s="403"/>
      <c r="CZ132" s="403"/>
      <c r="DA132" s="403"/>
      <c r="DB132" s="403"/>
      <c r="DC132" s="403"/>
      <c r="DD132" s="403"/>
      <c r="DE132" s="403"/>
      <c r="DF132" s="403"/>
      <c r="DG132" s="403"/>
      <c r="DH132" s="403"/>
      <c r="DI132" s="403"/>
      <c r="DJ132" s="403"/>
      <c r="DK132" s="403"/>
      <c r="DL132" s="403" t="s">
        <v>10901</v>
      </c>
      <c r="DM132" s="403"/>
      <c r="DN132" s="403"/>
      <c r="DO132" s="403"/>
      <c r="DP132" s="403"/>
      <c r="DQ132" s="403"/>
      <c r="DR132" s="403"/>
      <c r="DS132" s="403"/>
      <c r="DT132" s="403"/>
      <c r="DU132" s="403"/>
      <c r="DV132" s="403"/>
      <c r="DW132" s="403"/>
      <c r="DX132" s="403"/>
      <c r="DY132" s="403"/>
      <c r="DZ132" s="403"/>
      <c r="EA132" s="403"/>
      <c r="EB132" s="403"/>
      <c r="EC132" s="403"/>
      <c r="ED132" s="403"/>
      <c r="EE132" s="403" t="s">
        <v>10876</v>
      </c>
      <c r="EF132" s="403"/>
      <c r="EG132" s="403"/>
      <c r="EH132" s="403"/>
      <c r="EI132" s="403"/>
      <c r="EJ132" s="403"/>
      <c r="EK132" s="403"/>
      <c r="EL132" s="403"/>
      <c r="EM132" s="403"/>
      <c r="EN132" s="403"/>
      <c r="EO132" s="403"/>
      <c r="EP132" s="403"/>
      <c r="EQ132" s="403"/>
      <c r="ER132" s="403"/>
      <c r="ES132" s="403"/>
      <c r="ET132" s="403"/>
    </row>
    <row r="133" spans="1:150" s="281" customFormat="1" ht="13.5" thickBot="1" x14ac:dyDescent="0.25">
      <c r="A133" s="567"/>
      <c r="D133" s="21" t="str">
        <f ca="1">IF(OFFSET(V133,0,Lang_Order*Lang__B4)="","",OFFSET(V133,0,Lang_Order*Lang__B4))</f>
        <v>Central Cold Storage - Capital Expenditures</v>
      </c>
      <c r="E133" s="20"/>
      <c r="F133" s="20"/>
      <c r="G133" s="20"/>
      <c r="H133" s="20"/>
      <c r="I133" s="20"/>
      <c r="J133" s="118" t="e">
        <f>IF(D126=2,SUM(N128:N132),SUM(M128:M132))</f>
        <v>#N/A</v>
      </c>
      <c r="K133" s="288"/>
      <c r="L133" s="288"/>
      <c r="M133" s="288"/>
      <c r="N133" s="288"/>
      <c r="O133" s="288"/>
      <c r="P133" s="118" t="e">
        <f>SUM(J133:O133)</f>
        <v>#N/A</v>
      </c>
      <c r="Q133" s="91"/>
      <c r="R133" s="403"/>
      <c r="S133" s="403"/>
      <c r="T133" s="403"/>
      <c r="U133" s="403"/>
      <c r="V133" s="403" t="s">
        <v>3691</v>
      </c>
      <c r="W133" s="403"/>
      <c r="X133" s="403"/>
      <c r="Y133" s="403"/>
      <c r="Z133" s="403"/>
      <c r="AA133" s="403"/>
      <c r="AB133" s="403"/>
      <c r="AC133" s="403"/>
      <c r="AD133" s="403"/>
      <c r="AE133" s="403"/>
      <c r="AF133" s="403"/>
      <c r="AG133" s="403"/>
      <c r="AH133" s="403"/>
      <c r="AI133" s="403"/>
      <c r="AJ133" s="403"/>
      <c r="AK133" s="403"/>
      <c r="AL133" s="403"/>
      <c r="AM133" s="403"/>
      <c r="AN133" s="403"/>
      <c r="AO133" s="403" t="s">
        <v>10920</v>
      </c>
      <c r="AP133" s="403"/>
      <c r="AQ133" s="403"/>
      <c r="AR133" s="403"/>
      <c r="AS133" s="403"/>
      <c r="AT133" s="403"/>
      <c r="AU133" s="403"/>
      <c r="AV133" s="403"/>
      <c r="AW133" s="403"/>
      <c r="AX133" s="403"/>
      <c r="AY133" s="403"/>
      <c r="AZ133" s="403"/>
      <c r="BA133" s="403"/>
      <c r="BB133" s="403"/>
      <c r="BC133" s="403"/>
      <c r="BD133" s="403"/>
      <c r="BE133" s="403"/>
      <c r="BF133" s="403"/>
      <c r="BG133" s="403"/>
      <c r="BH133" s="403" t="s">
        <v>10921</v>
      </c>
      <c r="BI133" s="403"/>
      <c r="BJ133" s="403"/>
      <c r="BK133" s="403"/>
      <c r="BL133" s="403"/>
      <c r="BM133" s="403"/>
      <c r="BN133" s="403"/>
      <c r="BO133" s="403"/>
      <c r="BP133" s="403"/>
      <c r="BQ133" s="403"/>
      <c r="BR133" s="403"/>
      <c r="BS133" s="403"/>
      <c r="BT133" s="403"/>
      <c r="BU133" s="403"/>
      <c r="BV133" s="403"/>
      <c r="BW133" s="403"/>
      <c r="BX133" s="403"/>
      <c r="BY133" s="403"/>
      <c r="BZ133" s="403"/>
      <c r="CA133" s="403" t="s">
        <v>10922</v>
      </c>
      <c r="CB133" s="403"/>
      <c r="CC133" s="403"/>
      <c r="CD133" s="403"/>
      <c r="CE133" s="403"/>
      <c r="CF133" s="403"/>
      <c r="CG133" s="403"/>
      <c r="CH133" s="403"/>
      <c r="CI133" s="403"/>
      <c r="CJ133" s="403"/>
      <c r="CK133" s="403"/>
      <c r="CL133" s="403"/>
      <c r="CM133" s="403"/>
      <c r="CN133" s="403"/>
      <c r="CO133" s="403"/>
      <c r="CP133" s="403"/>
      <c r="CQ133" s="403"/>
      <c r="CR133" s="403"/>
      <c r="CS133" s="403"/>
      <c r="CT133" s="403" t="s">
        <v>10923</v>
      </c>
      <c r="CU133" s="403"/>
      <c r="CV133" s="403"/>
      <c r="CW133" s="403"/>
      <c r="CX133" s="403"/>
      <c r="CY133" s="403"/>
      <c r="CZ133" s="403"/>
      <c r="DA133" s="403"/>
      <c r="DB133" s="403"/>
      <c r="DC133" s="403"/>
      <c r="DD133" s="403"/>
      <c r="DE133" s="403"/>
      <c r="DF133" s="403"/>
      <c r="DG133" s="403"/>
      <c r="DH133" s="403"/>
      <c r="DI133" s="403"/>
      <c r="DJ133" s="403"/>
      <c r="DK133" s="403"/>
      <c r="DL133" s="403"/>
      <c r="DM133" s="403" t="s">
        <v>10924</v>
      </c>
      <c r="DN133" s="403"/>
      <c r="DO133" s="403"/>
      <c r="DP133" s="403"/>
      <c r="DQ133" s="403"/>
      <c r="DR133" s="403"/>
      <c r="DS133" s="403"/>
      <c r="DT133" s="403"/>
      <c r="DU133" s="403"/>
      <c r="DV133" s="403"/>
      <c r="DW133" s="403"/>
      <c r="DX133" s="403"/>
      <c r="DY133" s="403"/>
      <c r="DZ133" s="403"/>
      <c r="EA133" s="403"/>
      <c r="EB133" s="403"/>
      <c r="EC133" s="403"/>
      <c r="ED133" s="403"/>
      <c r="EE133" s="403"/>
      <c r="EF133" s="403" t="s">
        <v>10925</v>
      </c>
      <c r="EG133" s="403"/>
      <c r="EH133" s="403"/>
      <c r="EI133" s="403"/>
      <c r="EJ133" s="403"/>
      <c r="EK133" s="403"/>
      <c r="EL133" s="403"/>
      <c r="EM133" s="403"/>
      <c r="EN133" s="403"/>
      <c r="EO133" s="403"/>
      <c r="EP133" s="403"/>
      <c r="EQ133" s="403"/>
      <c r="ER133" s="403"/>
      <c r="ES133" s="403"/>
      <c r="ET133" s="403"/>
    </row>
    <row r="134" spans="1:150" s="281" customFormat="1" ht="13.5" thickTop="1" x14ac:dyDescent="0.2">
      <c r="A134" s="567"/>
      <c r="C134" s="5"/>
      <c r="J134" s="146"/>
      <c r="K134" s="146"/>
      <c r="L134" s="146"/>
      <c r="M134" s="146"/>
      <c r="N134" s="309" t="str">
        <f ca="1">IF(OFFSET(AF134,0,Lang_Order*Lang__B4)="","",OFFSET(AF134,0,Lang_Order*Lang__B4))</f>
        <v>Value (for customs clearance)</v>
      </c>
      <c r="O134" s="79" t="e">
        <f>SUMPRODUCT(O114:O117,P121:P124)</f>
        <v>#N/A</v>
      </c>
      <c r="P134" s="287"/>
      <c r="Q134" s="91"/>
      <c r="R134" s="403"/>
      <c r="S134" s="403"/>
      <c r="T134" s="403"/>
      <c r="U134" s="403"/>
      <c r="V134" s="403"/>
      <c r="W134" s="403"/>
      <c r="X134" s="403"/>
      <c r="Y134" s="403"/>
      <c r="Z134" s="403"/>
      <c r="AA134" s="403"/>
      <c r="AB134" s="403"/>
      <c r="AC134" s="403"/>
      <c r="AD134" s="403"/>
      <c r="AE134" s="403"/>
      <c r="AF134" s="403" t="s">
        <v>3675</v>
      </c>
      <c r="AG134" s="403"/>
      <c r="AH134" s="403"/>
      <c r="AI134" s="403"/>
      <c r="AJ134" s="403"/>
      <c r="AK134" s="403"/>
      <c r="AL134" s="403"/>
      <c r="AM134" s="403"/>
      <c r="AN134" s="403"/>
      <c r="AO134" s="403"/>
      <c r="AP134" s="403"/>
      <c r="AQ134" s="403"/>
      <c r="AR134" s="403"/>
      <c r="AS134" s="403"/>
      <c r="AT134" s="403"/>
      <c r="AU134" s="403"/>
      <c r="AV134" s="403"/>
      <c r="AW134" s="403"/>
      <c r="AX134" s="403"/>
      <c r="AY134" s="403" t="s">
        <v>10926</v>
      </c>
      <c r="AZ134" s="403"/>
      <c r="BA134" s="403"/>
      <c r="BB134" s="403"/>
      <c r="BC134" s="403"/>
      <c r="BD134" s="403"/>
      <c r="BE134" s="403"/>
      <c r="BF134" s="403"/>
      <c r="BG134" s="403"/>
      <c r="BH134" s="403"/>
      <c r="BI134" s="403"/>
      <c r="BJ134" s="403"/>
      <c r="BK134" s="403"/>
      <c r="BL134" s="403"/>
      <c r="BM134" s="403"/>
      <c r="BN134" s="403"/>
      <c r="BO134" s="403"/>
      <c r="BP134" s="403"/>
      <c r="BQ134" s="403"/>
      <c r="BR134" s="403" t="s">
        <v>10927</v>
      </c>
      <c r="BS134" s="403"/>
      <c r="BT134" s="403"/>
      <c r="BU134" s="403"/>
      <c r="BV134" s="403"/>
      <c r="BW134" s="403"/>
      <c r="BX134" s="403"/>
      <c r="BY134" s="403"/>
      <c r="BZ134" s="403"/>
      <c r="CA134" s="403"/>
      <c r="CB134" s="403"/>
      <c r="CC134" s="403"/>
      <c r="CD134" s="403"/>
      <c r="CE134" s="403"/>
      <c r="CF134" s="403"/>
      <c r="CG134" s="403"/>
      <c r="CH134" s="403"/>
      <c r="CI134" s="403"/>
      <c r="CJ134" s="403"/>
      <c r="CK134" s="403" t="s">
        <v>10928</v>
      </c>
      <c r="CL134" s="403"/>
      <c r="CM134" s="403"/>
      <c r="CN134" s="403"/>
      <c r="CO134" s="403"/>
      <c r="CP134" s="403"/>
      <c r="CQ134" s="403"/>
      <c r="CR134" s="403"/>
      <c r="CS134" s="403"/>
      <c r="CT134" s="403"/>
      <c r="CU134" s="403"/>
      <c r="CV134" s="403"/>
      <c r="CW134" s="403"/>
      <c r="CX134" s="403"/>
      <c r="CY134" s="403"/>
      <c r="CZ134" s="403"/>
      <c r="DA134" s="403"/>
      <c r="DB134" s="403"/>
      <c r="DC134" s="403"/>
      <c r="DD134" s="403" t="s">
        <v>10929</v>
      </c>
      <c r="DE134" s="403"/>
      <c r="DF134" s="403"/>
      <c r="DG134" s="403"/>
      <c r="DH134" s="403"/>
      <c r="DI134" s="403"/>
      <c r="DJ134" s="403"/>
      <c r="DK134" s="403"/>
      <c r="DL134" s="403"/>
      <c r="DM134" s="403"/>
      <c r="DN134" s="403"/>
      <c r="DO134" s="403"/>
      <c r="DP134" s="403"/>
      <c r="DQ134" s="403"/>
      <c r="DR134" s="403"/>
      <c r="DS134" s="403"/>
      <c r="DT134" s="403"/>
      <c r="DU134" s="403"/>
      <c r="DV134" s="403"/>
      <c r="DW134" s="403" t="s">
        <v>10930</v>
      </c>
      <c r="DX134" s="403"/>
      <c r="DY134" s="403"/>
      <c r="DZ134" s="403"/>
      <c r="EA134" s="403"/>
      <c r="EB134" s="403"/>
      <c r="EC134" s="403"/>
      <c r="ED134" s="403"/>
      <c r="EE134" s="403"/>
      <c r="EF134" s="403"/>
      <c r="EG134" s="403"/>
      <c r="EH134" s="403"/>
      <c r="EI134" s="403"/>
      <c r="EJ134" s="403"/>
      <c r="EK134" s="403"/>
      <c r="EL134" s="403"/>
      <c r="EM134" s="403"/>
      <c r="EN134" s="403"/>
      <c r="EO134" s="403"/>
      <c r="EP134" s="403" t="s">
        <v>10931</v>
      </c>
      <c r="EQ134" s="403"/>
      <c r="ER134" s="403"/>
      <c r="ES134" s="403"/>
      <c r="ET134" s="403"/>
    </row>
    <row r="135" spans="1:150" s="281" customFormat="1" x14ac:dyDescent="0.2">
      <c r="A135" s="567"/>
      <c r="C135" s="5" t="str">
        <f ca="1">IF(OFFSET(U135,0,Lang_Order*Lang__B4)="","",OFFSET(U135,0,Lang_Order*Lang__B4))</f>
        <v>Refrigerated (2 to 8C)</v>
      </c>
      <c r="D135" s="11">
        <f>$L$84</f>
        <v>42</v>
      </c>
      <c r="J135" s="79" t="e">
        <f>$D135*$P114</f>
        <v>#N/A</v>
      </c>
      <c r="K135" s="79" t="e">
        <f t="shared" ref="K135:O135" si="31">$D135*$P114</f>
        <v>#N/A</v>
      </c>
      <c r="L135" s="79" t="e">
        <f t="shared" si="31"/>
        <v>#N/A</v>
      </c>
      <c r="M135" s="79" t="e">
        <f t="shared" si="31"/>
        <v>#N/A</v>
      </c>
      <c r="N135" s="79" t="e">
        <f t="shared" si="31"/>
        <v>#N/A</v>
      </c>
      <c r="O135" s="79" t="e">
        <f t="shared" si="31"/>
        <v>#N/A</v>
      </c>
      <c r="P135" s="380" t="e">
        <f t="shared" ref="P135:P138" si="32">SUM(J135:O135)</f>
        <v>#N/A</v>
      </c>
      <c r="Q135" s="91"/>
      <c r="R135" s="403"/>
      <c r="S135" s="403"/>
      <c r="T135" s="403"/>
      <c r="U135" s="403" t="s">
        <v>11</v>
      </c>
      <c r="V135" s="403"/>
      <c r="W135" s="403"/>
      <c r="X135" s="403"/>
      <c r="Y135" s="403"/>
      <c r="Z135" s="403"/>
      <c r="AA135" s="403"/>
      <c r="AB135" s="403"/>
      <c r="AC135" s="403"/>
      <c r="AD135" s="403"/>
      <c r="AE135" s="403"/>
      <c r="AF135" s="403"/>
      <c r="AG135" s="403"/>
      <c r="AH135" s="403"/>
      <c r="AI135" s="403"/>
      <c r="AJ135" s="403"/>
      <c r="AK135" s="403"/>
      <c r="AL135" s="403"/>
      <c r="AM135" s="403"/>
      <c r="AN135" s="403" t="s">
        <v>10714</v>
      </c>
      <c r="AO135" s="403"/>
      <c r="AP135" s="403"/>
      <c r="AQ135" s="403"/>
      <c r="AR135" s="403"/>
      <c r="AS135" s="403"/>
      <c r="AT135" s="403"/>
      <c r="AU135" s="403"/>
      <c r="AV135" s="403"/>
      <c r="AW135" s="403"/>
      <c r="AX135" s="403"/>
      <c r="AY135" s="403"/>
      <c r="AZ135" s="403"/>
      <c r="BA135" s="403"/>
      <c r="BB135" s="403"/>
      <c r="BC135" s="403"/>
      <c r="BD135" s="403"/>
      <c r="BE135" s="403"/>
      <c r="BF135" s="403"/>
      <c r="BG135" s="403" t="s">
        <v>10227</v>
      </c>
      <c r="BH135" s="403"/>
      <c r="BI135" s="403"/>
      <c r="BJ135" s="403"/>
      <c r="BK135" s="403"/>
      <c r="BL135" s="403"/>
      <c r="BM135" s="403"/>
      <c r="BN135" s="403"/>
      <c r="BO135" s="403"/>
      <c r="BP135" s="403"/>
      <c r="BQ135" s="403"/>
      <c r="BR135" s="403"/>
      <c r="BS135" s="403"/>
      <c r="BT135" s="403"/>
      <c r="BU135" s="403"/>
      <c r="BV135" s="403"/>
      <c r="BW135" s="403"/>
      <c r="BX135" s="403"/>
      <c r="BY135" s="403"/>
      <c r="BZ135" s="403" t="s">
        <v>10715</v>
      </c>
      <c r="CA135" s="403"/>
      <c r="CB135" s="403"/>
      <c r="CC135" s="403"/>
      <c r="CD135" s="403"/>
      <c r="CE135" s="403"/>
      <c r="CF135" s="403"/>
      <c r="CG135" s="403"/>
      <c r="CH135" s="403"/>
      <c r="CI135" s="403"/>
      <c r="CJ135" s="403"/>
      <c r="CK135" s="403"/>
      <c r="CL135" s="403"/>
      <c r="CM135" s="403"/>
      <c r="CN135" s="403"/>
      <c r="CO135" s="403"/>
      <c r="CP135" s="403"/>
      <c r="CQ135" s="403"/>
      <c r="CR135" s="403"/>
      <c r="CS135" s="403" t="s">
        <v>8384</v>
      </c>
      <c r="CT135" s="403"/>
      <c r="CU135" s="403"/>
      <c r="CV135" s="403"/>
      <c r="CW135" s="403"/>
      <c r="CX135" s="403"/>
      <c r="CY135" s="403"/>
      <c r="CZ135" s="403"/>
      <c r="DA135" s="403"/>
      <c r="DB135" s="403"/>
      <c r="DC135" s="403"/>
      <c r="DD135" s="403"/>
      <c r="DE135" s="403"/>
      <c r="DF135" s="403"/>
      <c r="DG135" s="403"/>
      <c r="DH135" s="403"/>
      <c r="DI135" s="403"/>
      <c r="DJ135" s="403"/>
      <c r="DK135" s="403"/>
      <c r="DL135" s="403" t="s">
        <v>10248</v>
      </c>
      <c r="DM135" s="403"/>
      <c r="DN135" s="403"/>
      <c r="DO135" s="403"/>
      <c r="DP135" s="403"/>
      <c r="DQ135" s="403"/>
      <c r="DR135" s="403"/>
      <c r="DS135" s="403"/>
      <c r="DT135" s="403"/>
      <c r="DU135" s="403"/>
      <c r="DV135" s="403"/>
      <c r="DW135" s="403"/>
      <c r="DX135" s="403"/>
      <c r="DY135" s="403"/>
      <c r="DZ135" s="403"/>
      <c r="EA135" s="403"/>
      <c r="EB135" s="403"/>
      <c r="EC135" s="403"/>
      <c r="ED135" s="403"/>
      <c r="EE135" s="403" t="s">
        <v>8387</v>
      </c>
      <c r="EF135" s="403"/>
      <c r="EG135" s="403"/>
      <c r="EH135" s="403"/>
      <c r="EI135" s="403"/>
      <c r="EJ135" s="403"/>
      <c r="EK135" s="403"/>
      <c r="EL135" s="403"/>
      <c r="EM135" s="403"/>
      <c r="EN135" s="403"/>
      <c r="EO135" s="403"/>
      <c r="EP135" s="403"/>
      <c r="EQ135" s="403"/>
      <c r="ER135" s="403"/>
      <c r="ES135" s="403"/>
      <c r="ET135" s="403"/>
    </row>
    <row r="136" spans="1:150" s="281" customFormat="1" x14ac:dyDescent="0.2">
      <c r="A136" s="567"/>
      <c r="C136" s="5" t="str">
        <f ca="1">IF(OFFSET(U136,0,Lang_Order*Lang__B4)="","",OFFSET(U136,0,Lang_Order*Lang__B4))</f>
        <v>Frozen (-20C)</v>
      </c>
      <c r="D136" s="11">
        <f>$L$84</f>
        <v>42</v>
      </c>
      <c r="J136" s="79" t="e">
        <f t="shared" ref="J136:O137" si="33">$D136*$P115</f>
        <v>#N/A</v>
      </c>
      <c r="K136" s="79" t="e">
        <f t="shared" si="33"/>
        <v>#N/A</v>
      </c>
      <c r="L136" s="79" t="e">
        <f t="shared" si="33"/>
        <v>#N/A</v>
      </c>
      <c r="M136" s="79" t="e">
        <f t="shared" si="33"/>
        <v>#N/A</v>
      </c>
      <c r="N136" s="79" t="e">
        <f t="shared" si="33"/>
        <v>#N/A</v>
      </c>
      <c r="O136" s="79" t="e">
        <f t="shared" si="33"/>
        <v>#N/A</v>
      </c>
      <c r="P136" s="380" t="e">
        <f t="shared" si="32"/>
        <v>#N/A</v>
      </c>
      <c r="Q136" s="91"/>
      <c r="R136" s="403"/>
      <c r="S136" s="403"/>
      <c r="T136" s="403"/>
      <c r="U136" s="403" t="s">
        <v>12</v>
      </c>
      <c r="V136" s="403"/>
      <c r="W136" s="403"/>
      <c r="X136" s="403"/>
      <c r="Y136" s="403"/>
      <c r="Z136" s="403"/>
      <c r="AA136" s="403"/>
      <c r="AB136" s="403"/>
      <c r="AC136" s="403"/>
      <c r="AD136" s="403"/>
      <c r="AE136" s="403"/>
      <c r="AF136" s="403"/>
      <c r="AG136" s="403"/>
      <c r="AH136" s="403"/>
      <c r="AI136" s="403"/>
      <c r="AJ136" s="403"/>
      <c r="AK136" s="403"/>
      <c r="AL136" s="403"/>
      <c r="AM136" s="403"/>
      <c r="AN136" s="403" t="s">
        <v>10717</v>
      </c>
      <c r="AO136" s="403"/>
      <c r="AP136" s="403"/>
      <c r="AQ136" s="403"/>
      <c r="AR136" s="403"/>
      <c r="AS136" s="403"/>
      <c r="AT136" s="403"/>
      <c r="AU136" s="403"/>
      <c r="AV136" s="403"/>
      <c r="AW136" s="403"/>
      <c r="AX136" s="403"/>
      <c r="AY136" s="403"/>
      <c r="AZ136" s="403"/>
      <c r="BA136" s="403"/>
      <c r="BB136" s="403"/>
      <c r="BC136" s="403"/>
      <c r="BD136" s="403"/>
      <c r="BE136" s="403"/>
      <c r="BF136" s="403"/>
      <c r="BG136" s="403" t="s">
        <v>10228</v>
      </c>
      <c r="BH136" s="403"/>
      <c r="BI136" s="403"/>
      <c r="BJ136" s="403"/>
      <c r="BK136" s="403"/>
      <c r="BL136" s="403"/>
      <c r="BM136" s="403"/>
      <c r="BN136" s="403"/>
      <c r="BO136" s="403"/>
      <c r="BP136" s="403"/>
      <c r="BQ136" s="403"/>
      <c r="BR136" s="403"/>
      <c r="BS136" s="403"/>
      <c r="BT136" s="403"/>
      <c r="BU136" s="403"/>
      <c r="BV136" s="403"/>
      <c r="BW136" s="403"/>
      <c r="BX136" s="403"/>
      <c r="BY136" s="403"/>
      <c r="BZ136" s="403" t="s">
        <v>10718</v>
      </c>
      <c r="CA136" s="403"/>
      <c r="CB136" s="403"/>
      <c r="CC136" s="403"/>
      <c r="CD136" s="403"/>
      <c r="CE136" s="403"/>
      <c r="CF136" s="403"/>
      <c r="CG136" s="403"/>
      <c r="CH136" s="403"/>
      <c r="CI136" s="403"/>
      <c r="CJ136" s="403"/>
      <c r="CK136" s="403"/>
      <c r="CL136" s="403"/>
      <c r="CM136" s="403"/>
      <c r="CN136" s="403"/>
      <c r="CO136" s="403"/>
      <c r="CP136" s="403"/>
      <c r="CQ136" s="403"/>
      <c r="CR136" s="403"/>
      <c r="CS136" s="403" t="s">
        <v>8391</v>
      </c>
      <c r="CT136" s="403"/>
      <c r="CU136" s="403"/>
      <c r="CV136" s="403"/>
      <c r="CW136" s="403"/>
      <c r="CX136" s="403"/>
      <c r="CY136" s="403"/>
      <c r="CZ136" s="403"/>
      <c r="DA136" s="403"/>
      <c r="DB136" s="403"/>
      <c r="DC136" s="403"/>
      <c r="DD136" s="403"/>
      <c r="DE136" s="403"/>
      <c r="DF136" s="403"/>
      <c r="DG136" s="403"/>
      <c r="DH136" s="403"/>
      <c r="DI136" s="403"/>
      <c r="DJ136" s="403"/>
      <c r="DK136" s="403"/>
      <c r="DL136" s="403" t="s">
        <v>10249</v>
      </c>
      <c r="DM136" s="403"/>
      <c r="DN136" s="403"/>
      <c r="DO136" s="403"/>
      <c r="DP136" s="403"/>
      <c r="DQ136" s="403"/>
      <c r="DR136" s="403"/>
      <c r="DS136" s="403"/>
      <c r="DT136" s="403"/>
      <c r="DU136" s="403"/>
      <c r="DV136" s="403"/>
      <c r="DW136" s="403"/>
      <c r="DX136" s="403"/>
      <c r="DY136" s="403"/>
      <c r="DZ136" s="403"/>
      <c r="EA136" s="403"/>
      <c r="EB136" s="403"/>
      <c r="EC136" s="403"/>
      <c r="ED136" s="403"/>
      <c r="EE136" s="403" t="s">
        <v>8393</v>
      </c>
      <c r="EF136" s="403"/>
      <c r="EG136" s="403"/>
      <c r="EH136" s="403"/>
      <c r="EI136" s="403"/>
      <c r="EJ136" s="403"/>
      <c r="EK136" s="403"/>
      <c r="EL136" s="403"/>
      <c r="EM136" s="403"/>
      <c r="EN136" s="403"/>
      <c r="EO136" s="403"/>
      <c r="EP136" s="403"/>
      <c r="EQ136" s="403"/>
      <c r="ER136" s="403"/>
      <c r="ES136" s="403"/>
      <c r="ET136" s="403"/>
    </row>
    <row r="137" spans="1:150" s="281" customFormat="1" x14ac:dyDescent="0.2">
      <c r="A137" s="567"/>
      <c r="C137" s="5" t="str">
        <f ca="1">IF(OFFSET(U137,0,Lang_Order*Lang__B4)="","",OFFSET(U137,0,Lang_Order*Lang__B4))</f>
        <v>Ultra-cold (-60 to -80C)</v>
      </c>
      <c r="D137" s="11">
        <f>$L$88</f>
        <v>155.85</v>
      </c>
      <c r="J137" s="79" t="e">
        <f t="shared" si="33"/>
        <v>#N/A</v>
      </c>
      <c r="K137" s="79" t="e">
        <f t="shared" si="33"/>
        <v>#N/A</v>
      </c>
      <c r="L137" s="79" t="e">
        <f t="shared" si="33"/>
        <v>#N/A</v>
      </c>
      <c r="M137" s="79" t="e">
        <f t="shared" si="33"/>
        <v>#N/A</v>
      </c>
      <c r="N137" s="79" t="e">
        <f t="shared" si="33"/>
        <v>#N/A</v>
      </c>
      <c r="O137" s="79" t="e">
        <f t="shared" si="33"/>
        <v>#N/A</v>
      </c>
      <c r="P137" s="380" t="e">
        <f t="shared" si="32"/>
        <v>#N/A</v>
      </c>
      <c r="Q137" s="91"/>
      <c r="R137" s="403"/>
      <c r="S137" s="403"/>
      <c r="T137" s="403"/>
      <c r="U137" s="403" t="s">
        <v>13</v>
      </c>
      <c r="V137" s="403"/>
      <c r="W137" s="403"/>
      <c r="X137" s="403"/>
      <c r="Y137" s="403"/>
      <c r="Z137" s="403"/>
      <c r="AA137" s="403"/>
      <c r="AB137" s="403"/>
      <c r="AC137" s="403"/>
      <c r="AD137" s="403"/>
      <c r="AE137" s="403"/>
      <c r="AF137" s="403"/>
      <c r="AG137" s="403"/>
      <c r="AH137" s="403"/>
      <c r="AI137" s="403" t="s">
        <v>2765</v>
      </c>
      <c r="AJ137" s="403"/>
      <c r="AK137" s="403"/>
      <c r="AL137" s="403"/>
      <c r="AM137" s="403"/>
      <c r="AN137" s="403" t="s">
        <v>8394</v>
      </c>
      <c r="AO137" s="403"/>
      <c r="AP137" s="403"/>
      <c r="AQ137" s="403"/>
      <c r="AR137" s="403"/>
      <c r="AS137" s="403"/>
      <c r="AT137" s="403"/>
      <c r="AU137" s="403"/>
      <c r="AV137" s="403"/>
      <c r="AW137" s="403"/>
      <c r="AX137" s="403"/>
      <c r="AY137" s="403"/>
      <c r="AZ137" s="403"/>
      <c r="BA137" s="403"/>
      <c r="BB137" s="403" t="s">
        <v>10918</v>
      </c>
      <c r="BC137" s="403"/>
      <c r="BD137" s="403"/>
      <c r="BE137" s="403"/>
      <c r="BF137" s="403"/>
      <c r="BG137" s="403" t="s">
        <v>10229</v>
      </c>
      <c r="BH137" s="403"/>
      <c r="BI137" s="403"/>
      <c r="BJ137" s="403"/>
      <c r="BK137" s="403"/>
      <c r="BL137" s="403"/>
      <c r="BM137" s="403"/>
      <c r="BN137" s="403"/>
      <c r="BO137" s="403"/>
      <c r="BP137" s="403"/>
      <c r="BQ137" s="403"/>
      <c r="BR137" s="403"/>
      <c r="BS137" s="403"/>
      <c r="BT137" s="403"/>
      <c r="BU137" s="403" t="s">
        <v>10273</v>
      </c>
      <c r="BV137" s="403"/>
      <c r="BW137" s="403"/>
      <c r="BX137" s="403"/>
      <c r="BY137" s="403"/>
      <c r="BZ137" s="403" t="s">
        <v>10237</v>
      </c>
      <c r="CA137" s="403"/>
      <c r="CB137" s="403"/>
      <c r="CC137" s="403"/>
      <c r="CD137" s="403"/>
      <c r="CE137" s="403"/>
      <c r="CF137" s="403"/>
      <c r="CG137" s="403"/>
      <c r="CH137" s="403"/>
      <c r="CI137" s="403"/>
      <c r="CJ137" s="403"/>
      <c r="CK137" s="403"/>
      <c r="CL137" s="403"/>
      <c r="CM137" s="403"/>
      <c r="CN137" s="403" t="s">
        <v>10932</v>
      </c>
      <c r="CO137" s="403"/>
      <c r="CP137" s="403"/>
      <c r="CQ137" s="403"/>
      <c r="CR137" s="403"/>
      <c r="CS137" s="403" t="s">
        <v>8400</v>
      </c>
      <c r="CT137" s="403"/>
      <c r="CU137" s="403"/>
      <c r="CV137" s="403"/>
      <c r="CW137" s="403"/>
      <c r="CX137" s="403"/>
      <c r="CY137" s="403"/>
      <c r="CZ137" s="403"/>
      <c r="DA137" s="403"/>
      <c r="DB137" s="403"/>
      <c r="DC137" s="403"/>
      <c r="DD137" s="403"/>
      <c r="DE137" s="403"/>
      <c r="DF137" s="403"/>
      <c r="DG137" s="403" t="s">
        <v>10275</v>
      </c>
      <c r="DH137" s="403"/>
      <c r="DI137" s="403"/>
      <c r="DJ137" s="403"/>
      <c r="DK137" s="403"/>
      <c r="DL137" s="403" t="s">
        <v>10250</v>
      </c>
      <c r="DM137" s="403"/>
      <c r="DN137" s="403"/>
      <c r="DO137" s="403"/>
      <c r="DP137" s="403"/>
      <c r="DQ137" s="403"/>
      <c r="DR137" s="403"/>
      <c r="DS137" s="403"/>
      <c r="DT137" s="403"/>
      <c r="DU137" s="403"/>
      <c r="DV137" s="403"/>
      <c r="DW137" s="403"/>
      <c r="DX137" s="403"/>
      <c r="DY137" s="403"/>
      <c r="DZ137" s="403" t="s">
        <v>10276</v>
      </c>
      <c r="EA137" s="403"/>
      <c r="EB137" s="403"/>
      <c r="EC137" s="403"/>
      <c r="ED137" s="403"/>
      <c r="EE137" s="403" t="s">
        <v>8404</v>
      </c>
      <c r="EF137" s="403"/>
      <c r="EG137" s="403"/>
      <c r="EH137" s="403"/>
      <c r="EI137" s="403"/>
      <c r="EJ137" s="403"/>
      <c r="EK137" s="403"/>
      <c r="EL137" s="403"/>
      <c r="EM137" s="403"/>
      <c r="EN137" s="403"/>
      <c r="EO137" s="403"/>
      <c r="EP137" s="403"/>
      <c r="EQ137" s="403"/>
      <c r="ER137" s="403"/>
      <c r="ES137" s="403" t="s">
        <v>10919</v>
      </c>
      <c r="ET137" s="403"/>
    </row>
    <row r="138" spans="1:150" s="281" customFormat="1" x14ac:dyDescent="0.2">
      <c r="A138" s="567"/>
      <c r="C138" s="5" t="str">
        <f ca="1">IF(OFFSET(U138,0,Lang_Order*Lang__B4)="","",OFFSET(U138,0,Lang_Order*Lang__B4))</f>
        <v>Electricity</v>
      </c>
      <c r="J138" s="79" t="e">
        <f t="shared" ref="J138:O138" si="34">SUMPRODUCT($L114:$L116,$P114:$P116)*kWh_USD</f>
        <v>#N/A</v>
      </c>
      <c r="K138" s="79" t="e">
        <f t="shared" si="34"/>
        <v>#N/A</v>
      </c>
      <c r="L138" s="79" t="e">
        <f t="shared" si="34"/>
        <v>#N/A</v>
      </c>
      <c r="M138" s="79" t="e">
        <f t="shared" si="34"/>
        <v>#N/A</v>
      </c>
      <c r="N138" s="79" t="e">
        <f t="shared" si="34"/>
        <v>#N/A</v>
      </c>
      <c r="O138" s="79" t="e">
        <f t="shared" si="34"/>
        <v>#N/A</v>
      </c>
      <c r="P138" s="300" t="e">
        <f t="shared" si="32"/>
        <v>#N/A</v>
      </c>
      <c r="Q138" s="47"/>
      <c r="R138" s="403"/>
      <c r="S138" s="403"/>
      <c r="T138" s="403"/>
      <c r="U138" s="403" t="s">
        <v>2721</v>
      </c>
      <c r="V138" s="403"/>
      <c r="W138" s="403"/>
      <c r="X138" s="403"/>
      <c r="Y138" s="403"/>
      <c r="Z138" s="403"/>
      <c r="AA138" s="403"/>
      <c r="AB138" s="403"/>
      <c r="AC138" s="403"/>
      <c r="AD138" s="403"/>
      <c r="AE138" s="403"/>
      <c r="AF138" s="403"/>
      <c r="AG138" s="403"/>
      <c r="AH138" s="403"/>
      <c r="AI138" s="403"/>
      <c r="AJ138" s="403"/>
      <c r="AK138" s="403"/>
      <c r="AL138" s="403"/>
      <c r="AM138" s="403"/>
      <c r="AN138" s="403" t="s">
        <v>8325</v>
      </c>
      <c r="AO138" s="403"/>
      <c r="AP138" s="403"/>
      <c r="AQ138" s="403"/>
      <c r="AR138" s="403"/>
      <c r="AS138" s="403"/>
      <c r="AT138" s="403"/>
      <c r="AU138" s="403"/>
      <c r="AV138" s="403"/>
      <c r="AW138" s="403"/>
      <c r="AX138" s="403"/>
      <c r="AY138" s="403"/>
      <c r="AZ138" s="403"/>
      <c r="BA138" s="403"/>
      <c r="BB138" s="403"/>
      <c r="BC138" s="403"/>
      <c r="BD138" s="403"/>
      <c r="BE138" s="403"/>
      <c r="BF138" s="403"/>
      <c r="BG138" s="403" t="s">
        <v>10933</v>
      </c>
      <c r="BH138" s="403"/>
      <c r="BI138" s="403"/>
      <c r="BJ138" s="403"/>
      <c r="BK138" s="403"/>
      <c r="BL138" s="403"/>
      <c r="BM138" s="403"/>
      <c r="BN138" s="403"/>
      <c r="BO138" s="403"/>
      <c r="BP138" s="403"/>
      <c r="BQ138" s="403"/>
      <c r="BR138" s="403"/>
      <c r="BS138" s="403"/>
      <c r="BT138" s="403"/>
      <c r="BU138" s="403"/>
      <c r="BV138" s="403"/>
      <c r="BW138" s="403"/>
      <c r="BX138" s="403"/>
      <c r="BY138" s="403"/>
      <c r="BZ138" s="403" t="s">
        <v>10934</v>
      </c>
      <c r="CA138" s="403"/>
      <c r="CB138" s="403"/>
      <c r="CC138" s="403"/>
      <c r="CD138" s="403"/>
      <c r="CE138" s="403"/>
      <c r="CF138" s="403"/>
      <c r="CG138" s="403"/>
      <c r="CH138" s="403"/>
      <c r="CI138" s="403"/>
      <c r="CJ138" s="403"/>
      <c r="CK138" s="403"/>
      <c r="CL138" s="403"/>
      <c r="CM138" s="403"/>
      <c r="CN138" s="403"/>
      <c r="CO138" s="403"/>
      <c r="CP138" s="403"/>
      <c r="CQ138" s="403"/>
      <c r="CR138" s="403"/>
      <c r="CS138" s="403" t="s">
        <v>10935</v>
      </c>
      <c r="CT138" s="403"/>
      <c r="CU138" s="403"/>
      <c r="CV138" s="403"/>
      <c r="CW138" s="403"/>
      <c r="CX138" s="403"/>
      <c r="CY138" s="403"/>
      <c r="CZ138" s="403"/>
      <c r="DA138" s="403"/>
      <c r="DB138" s="403"/>
      <c r="DC138" s="403"/>
      <c r="DD138" s="403"/>
      <c r="DE138" s="403"/>
      <c r="DF138" s="403"/>
      <c r="DG138" s="403"/>
      <c r="DH138" s="403"/>
      <c r="DI138" s="403"/>
      <c r="DJ138" s="403"/>
      <c r="DK138" s="403"/>
      <c r="DL138" s="403" t="s">
        <v>10936</v>
      </c>
      <c r="DM138" s="403"/>
      <c r="DN138" s="403"/>
      <c r="DO138" s="403"/>
      <c r="DP138" s="403"/>
      <c r="DQ138" s="403"/>
      <c r="DR138" s="403"/>
      <c r="DS138" s="403"/>
      <c r="DT138" s="403"/>
      <c r="DU138" s="403"/>
      <c r="DV138" s="403"/>
      <c r="DW138" s="403"/>
      <c r="DX138" s="403"/>
      <c r="DY138" s="403"/>
      <c r="DZ138" s="403"/>
      <c r="EA138" s="403"/>
      <c r="EB138" s="403"/>
      <c r="EC138" s="403"/>
      <c r="ED138" s="403"/>
      <c r="EE138" s="403" t="s">
        <v>8330</v>
      </c>
      <c r="EF138" s="403"/>
      <c r="EG138" s="403"/>
      <c r="EH138" s="403"/>
      <c r="EI138" s="403"/>
      <c r="EJ138" s="403"/>
      <c r="EK138" s="403"/>
      <c r="EL138" s="403"/>
      <c r="EM138" s="403"/>
      <c r="EN138" s="403"/>
      <c r="EO138" s="403"/>
      <c r="EP138" s="403"/>
      <c r="EQ138" s="403"/>
      <c r="ER138" s="403"/>
      <c r="ES138" s="403"/>
      <c r="ET138" s="403"/>
    </row>
    <row r="139" spans="1:150" s="281" customFormat="1" ht="13.5" thickBot="1" x14ac:dyDescent="0.25">
      <c r="D139" s="21" t="str">
        <f ca="1">IF(OFFSET(V139,0,Lang_Order*Lang__B4)="","",OFFSET(V139,0,Lang_Order*Lang__B4))</f>
        <v>Central Cold Storage - Operational Expenditures</v>
      </c>
      <c r="E139" s="20"/>
      <c r="F139" s="20"/>
      <c r="G139" s="20"/>
      <c r="H139" s="20"/>
      <c r="I139" s="20"/>
      <c r="J139" s="118" t="e">
        <f>J37*SUM(J135:J138)</f>
        <v>#N/A</v>
      </c>
      <c r="K139" s="118" t="e">
        <f t="shared" ref="K139:O139" si="35">K37*SUM(K135:K138)</f>
        <v>#N/A</v>
      </c>
      <c r="L139" s="118" t="e">
        <f t="shared" si="35"/>
        <v>#N/A</v>
      </c>
      <c r="M139" s="118" t="e">
        <f t="shared" si="35"/>
        <v>#N/A</v>
      </c>
      <c r="N139" s="118" t="e">
        <f t="shared" si="35"/>
        <v>#N/A</v>
      </c>
      <c r="O139" s="118" t="e">
        <f t="shared" si="35"/>
        <v>#N/A</v>
      </c>
      <c r="P139" s="118" t="e">
        <f>SUM(J139:O139)</f>
        <v>#N/A</v>
      </c>
      <c r="Q139" s="157" t="str">
        <f ca="1">IF(OFFSET(AI139,0,Lang_Order*Lang__B4)="","",OFFSET(AI139,0,Lang_Order*Lang__B4))</f>
        <v>For all the CCE equipment needed for COVID-19 vaccination, not just the newly purchased</v>
      </c>
      <c r="R139" s="403"/>
      <c r="S139" s="403"/>
      <c r="T139" s="403"/>
      <c r="U139" s="403"/>
      <c r="V139" s="403" t="s">
        <v>3216</v>
      </c>
      <c r="W139" s="403"/>
      <c r="X139" s="403"/>
      <c r="Y139" s="403"/>
      <c r="Z139" s="403"/>
      <c r="AA139" s="403"/>
      <c r="AB139" s="403"/>
      <c r="AC139" s="403"/>
      <c r="AD139" s="403"/>
      <c r="AE139" s="403"/>
      <c r="AF139" s="403"/>
      <c r="AG139" s="403"/>
      <c r="AH139" s="403"/>
      <c r="AI139" s="403" t="s">
        <v>3657</v>
      </c>
      <c r="AJ139" s="403"/>
      <c r="AK139" s="403"/>
      <c r="AL139" s="403"/>
      <c r="AM139" s="403"/>
      <c r="AN139" s="403"/>
      <c r="AO139" s="403" t="s">
        <v>10937</v>
      </c>
      <c r="AP139" s="403"/>
      <c r="AQ139" s="403"/>
      <c r="AR139" s="403"/>
      <c r="AS139" s="403"/>
      <c r="AT139" s="403"/>
      <c r="AU139" s="403"/>
      <c r="AV139" s="403"/>
      <c r="AW139" s="403"/>
      <c r="AX139" s="403"/>
      <c r="AY139" s="403"/>
      <c r="AZ139" s="403"/>
      <c r="BA139" s="403"/>
      <c r="BB139" s="403" t="s">
        <v>10938</v>
      </c>
      <c r="BC139" s="403"/>
      <c r="BD139" s="403"/>
      <c r="BE139" s="403"/>
      <c r="BF139" s="403"/>
      <c r="BG139" s="403"/>
      <c r="BH139" s="403" t="s">
        <v>10939</v>
      </c>
      <c r="BI139" s="403"/>
      <c r="BJ139" s="403"/>
      <c r="BK139" s="403"/>
      <c r="BL139" s="403"/>
      <c r="BM139" s="403"/>
      <c r="BN139" s="403"/>
      <c r="BO139" s="403"/>
      <c r="BP139" s="403"/>
      <c r="BQ139" s="403"/>
      <c r="BR139" s="403"/>
      <c r="BS139" s="403"/>
      <c r="BT139" s="403"/>
      <c r="BU139" s="403" t="s">
        <v>10940</v>
      </c>
      <c r="BV139" s="403"/>
      <c r="BW139" s="403"/>
      <c r="BX139" s="403"/>
      <c r="BY139" s="403"/>
      <c r="BZ139" s="403"/>
      <c r="CA139" s="403" t="s">
        <v>10941</v>
      </c>
      <c r="CB139" s="403"/>
      <c r="CC139" s="403"/>
      <c r="CD139" s="403"/>
      <c r="CE139" s="403"/>
      <c r="CF139" s="403"/>
      <c r="CG139" s="403"/>
      <c r="CH139" s="403"/>
      <c r="CI139" s="403"/>
      <c r="CJ139" s="403"/>
      <c r="CK139" s="403"/>
      <c r="CL139" s="403"/>
      <c r="CM139" s="403"/>
      <c r="CN139" s="403" t="s">
        <v>10942</v>
      </c>
      <c r="CO139" s="403"/>
      <c r="CP139" s="403"/>
      <c r="CQ139" s="403"/>
      <c r="CR139" s="403"/>
      <c r="CS139" s="403"/>
      <c r="CT139" s="403" t="s">
        <v>10943</v>
      </c>
      <c r="CU139" s="403"/>
      <c r="CV139" s="403"/>
      <c r="CW139" s="403"/>
      <c r="CX139" s="403"/>
      <c r="CY139" s="403"/>
      <c r="CZ139" s="403"/>
      <c r="DA139" s="403"/>
      <c r="DB139" s="403"/>
      <c r="DC139" s="403"/>
      <c r="DD139" s="403"/>
      <c r="DE139" s="403"/>
      <c r="DF139" s="403"/>
      <c r="DG139" s="403" t="s">
        <v>10944</v>
      </c>
      <c r="DH139" s="403"/>
      <c r="DI139" s="403"/>
      <c r="DJ139" s="403"/>
      <c r="DK139" s="403"/>
      <c r="DL139" s="403"/>
      <c r="DM139" s="403" t="s">
        <v>10924</v>
      </c>
      <c r="DN139" s="403"/>
      <c r="DO139" s="403"/>
      <c r="DP139" s="403"/>
      <c r="DQ139" s="403"/>
      <c r="DR139" s="403"/>
      <c r="DS139" s="403"/>
      <c r="DT139" s="403"/>
      <c r="DU139" s="403"/>
      <c r="DV139" s="403"/>
      <c r="DW139" s="403"/>
      <c r="DX139" s="403"/>
      <c r="DY139" s="403"/>
      <c r="DZ139" s="403" t="s">
        <v>10945</v>
      </c>
      <c r="EA139" s="403"/>
      <c r="EB139" s="403"/>
      <c r="EC139" s="403"/>
      <c r="ED139" s="403"/>
      <c r="EE139" s="403"/>
      <c r="EF139" s="403" t="s">
        <v>10946</v>
      </c>
      <c r="EG139" s="403"/>
      <c r="EH139" s="403"/>
      <c r="EI139" s="403"/>
      <c r="EJ139" s="403"/>
      <c r="EK139" s="403"/>
      <c r="EL139" s="403"/>
      <c r="EM139" s="403"/>
      <c r="EN139" s="403"/>
      <c r="EO139" s="403"/>
      <c r="EP139" s="403"/>
      <c r="EQ139" s="403"/>
      <c r="ER139" s="403"/>
      <c r="ES139" s="403" t="s">
        <v>10947</v>
      </c>
      <c r="ET139" s="403"/>
    </row>
    <row r="140" spans="1:150" ht="13.5" thickTop="1" x14ac:dyDescent="0.2"/>
    <row r="141" spans="1:150" s="281" customFormat="1" ht="15" x14ac:dyDescent="0.25">
      <c r="B141" s="8" t="str">
        <f ca="1">IF(OFFSET(T141,0,Lang_Order*Lang__B4)="","",OFFSET(T141,0,Lang_Order*Lang__B4))</f>
        <v>B4.1.2 Regional Cold Chain</v>
      </c>
      <c r="C141" s="19"/>
      <c r="D141" s="8"/>
      <c r="E141" s="8"/>
      <c r="F141" s="8"/>
      <c r="G141" s="8"/>
      <c r="H141" s="8"/>
      <c r="I141" s="8"/>
      <c r="J141" s="149" t="e">
        <f t="shared" ref="J141:O141" si="36">SUM(J181,J189)</f>
        <v>#N/A</v>
      </c>
      <c r="K141" s="149" t="e">
        <f t="shared" si="36"/>
        <v>#N/A</v>
      </c>
      <c r="L141" s="149" t="e">
        <f t="shared" si="36"/>
        <v>#N/A</v>
      </c>
      <c r="M141" s="149" t="e">
        <f t="shared" si="36"/>
        <v>#N/A</v>
      </c>
      <c r="N141" s="149" t="e">
        <f t="shared" si="36"/>
        <v>#N/A</v>
      </c>
      <c r="O141" s="149" t="e">
        <f t="shared" si="36"/>
        <v>#N/A</v>
      </c>
      <c r="P141" s="149" t="e">
        <f>SUM(J141:O141)</f>
        <v>#N/A</v>
      </c>
      <c r="Q141" s="42"/>
      <c r="R141" s="403"/>
      <c r="S141" s="403"/>
      <c r="T141" s="403" t="s">
        <v>3206</v>
      </c>
      <c r="U141" s="403"/>
      <c r="V141" s="403"/>
      <c r="W141" s="403"/>
      <c r="X141" s="403"/>
      <c r="Y141" s="403"/>
      <c r="Z141" s="403"/>
      <c r="AA141" s="403"/>
      <c r="AB141" s="403"/>
      <c r="AC141" s="403"/>
      <c r="AD141" s="403"/>
      <c r="AE141" s="403"/>
      <c r="AF141" s="403"/>
      <c r="AG141" s="403"/>
      <c r="AH141" s="403"/>
      <c r="AI141" s="403"/>
      <c r="AJ141" s="403"/>
      <c r="AK141" s="403"/>
      <c r="AL141" s="403"/>
      <c r="AM141" s="403" t="s">
        <v>10948</v>
      </c>
      <c r="AN141" s="403"/>
      <c r="AO141" s="403"/>
      <c r="AP141" s="403"/>
      <c r="AQ141" s="403"/>
      <c r="AR141" s="403"/>
      <c r="AS141" s="403"/>
      <c r="AT141" s="403"/>
      <c r="AU141" s="403"/>
      <c r="AV141" s="403"/>
      <c r="AW141" s="403"/>
      <c r="AX141" s="403"/>
      <c r="AY141" s="403"/>
      <c r="AZ141" s="403"/>
      <c r="BA141" s="403"/>
      <c r="BB141" s="403"/>
      <c r="BC141" s="403"/>
      <c r="BD141" s="403"/>
      <c r="BE141" s="403"/>
      <c r="BF141" s="403" t="s">
        <v>10949</v>
      </c>
      <c r="BG141" s="403"/>
      <c r="BH141" s="403"/>
      <c r="BI141" s="403"/>
      <c r="BJ141" s="403"/>
      <c r="BK141" s="403"/>
      <c r="BL141" s="403"/>
      <c r="BM141" s="403"/>
      <c r="BN141" s="403"/>
      <c r="BO141" s="403"/>
      <c r="BP141" s="403"/>
      <c r="BQ141" s="403"/>
      <c r="BR141" s="403"/>
      <c r="BS141" s="403"/>
      <c r="BT141" s="403"/>
      <c r="BU141" s="403"/>
      <c r="BV141" s="403"/>
      <c r="BW141" s="403"/>
      <c r="BX141" s="403"/>
      <c r="BY141" s="403" t="s">
        <v>10950</v>
      </c>
      <c r="BZ141" s="403"/>
      <c r="CA141" s="403"/>
      <c r="CB141" s="403"/>
      <c r="CC141" s="403"/>
      <c r="CD141" s="403"/>
      <c r="CE141" s="403"/>
      <c r="CF141" s="403"/>
      <c r="CG141" s="403"/>
      <c r="CH141" s="403"/>
      <c r="CI141" s="403"/>
      <c r="CJ141" s="403"/>
      <c r="CK141" s="403"/>
      <c r="CL141" s="403"/>
      <c r="CM141" s="403"/>
      <c r="CN141" s="403"/>
      <c r="CO141" s="403"/>
      <c r="CP141" s="403"/>
      <c r="CQ141" s="403"/>
      <c r="CR141" s="403" t="s">
        <v>10951</v>
      </c>
      <c r="CS141" s="403"/>
      <c r="CT141" s="403"/>
      <c r="CU141" s="403"/>
      <c r="CV141" s="403"/>
      <c r="CW141" s="403"/>
      <c r="CX141" s="403"/>
      <c r="CY141" s="403"/>
      <c r="CZ141" s="403"/>
      <c r="DA141" s="403"/>
      <c r="DB141" s="403"/>
      <c r="DC141" s="403"/>
      <c r="DD141" s="403"/>
      <c r="DE141" s="403"/>
      <c r="DF141" s="403"/>
      <c r="DG141" s="403"/>
      <c r="DH141" s="403"/>
      <c r="DI141" s="403"/>
      <c r="DJ141" s="403"/>
      <c r="DK141" s="403" t="s">
        <v>10952</v>
      </c>
      <c r="DL141" s="403"/>
      <c r="DM141" s="403"/>
      <c r="DN141" s="403"/>
      <c r="DO141" s="403"/>
      <c r="DP141" s="403"/>
      <c r="DQ141" s="403"/>
      <c r="DR141" s="403"/>
      <c r="DS141" s="403"/>
      <c r="DT141" s="403"/>
      <c r="DU141" s="403"/>
      <c r="DV141" s="403"/>
      <c r="DW141" s="403"/>
      <c r="DX141" s="403"/>
      <c r="DY141" s="403"/>
      <c r="DZ141" s="403"/>
      <c r="EA141" s="403"/>
      <c r="EB141" s="403"/>
      <c r="EC141" s="403"/>
      <c r="ED141" s="403" t="s">
        <v>10953</v>
      </c>
      <c r="EE141" s="403"/>
      <c r="EF141" s="403"/>
      <c r="EG141" s="403"/>
      <c r="EH141" s="403"/>
      <c r="EI141" s="403"/>
      <c r="EJ141" s="403"/>
      <c r="EK141" s="403"/>
      <c r="EL141" s="403"/>
      <c r="EM141" s="403"/>
      <c r="EN141" s="403"/>
      <c r="EO141" s="403"/>
      <c r="EP141" s="403"/>
      <c r="EQ141" s="403"/>
      <c r="ER141" s="403"/>
      <c r="ES141" s="403"/>
      <c r="ET141" s="403"/>
    </row>
    <row r="142" spans="1:150" s="281" customFormat="1" x14ac:dyDescent="0.2">
      <c r="B142" s="342" t="str">
        <f ca="1">IF(OFFSET(T142,0,Lang_Order*Lang__B4)="","",OFFSET(T142,0,Lang_Order*Lang__B4))</f>
        <v>Assumptions: 100% on-grid; ice pack freezer needs user-defined</v>
      </c>
      <c r="R142" s="403"/>
      <c r="S142" s="403"/>
      <c r="T142" s="403" t="s">
        <v>3217</v>
      </c>
      <c r="U142" s="403"/>
      <c r="V142" s="403"/>
      <c r="W142" s="403"/>
      <c r="X142" s="403"/>
      <c r="Y142" s="403"/>
      <c r="Z142" s="403"/>
      <c r="AA142" s="403"/>
      <c r="AB142" s="403"/>
      <c r="AC142" s="403"/>
      <c r="AD142" s="403"/>
      <c r="AE142" s="403"/>
      <c r="AF142" s="403"/>
      <c r="AG142" s="403"/>
      <c r="AH142" s="403"/>
      <c r="AI142" s="403"/>
      <c r="AJ142" s="403"/>
      <c r="AK142" s="403"/>
      <c r="AL142" s="403"/>
      <c r="AM142" s="403" t="s">
        <v>10954</v>
      </c>
      <c r="AN142" s="403"/>
      <c r="AO142" s="403"/>
      <c r="AP142" s="403"/>
      <c r="AQ142" s="403"/>
      <c r="AR142" s="403"/>
      <c r="AS142" s="403"/>
      <c r="AT142" s="403"/>
      <c r="AU142" s="403"/>
      <c r="AV142" s="403"/>
      <c r="AW142" s="403"/>
      <c r="AX142" s="403"/>
      <c r="AY142" s="403"/>
      <c r="AZ142" s="403"/>
      <c r="BA142" s="403"/>
      <c r="BB142" s="403"/>
      <c r="BC142" s="403"/>
      <c r="BD142" s="403"/>
      <c r="BE142" s="403"/>
      <c r="BF142" s="403" t="s">
        <v>10955</v>
      </c>
      <c r="BG142" s="403"/>
      <c r="BH142" s="403"/>
      <c r="BI142" s="403"/>
      <c r="BJ142" s="403"/>
      <c r="BK142" s="403"/>
      <c r="BL142" s="403"/>
      <c r="BM142" s="403"/>
      <c r="BN142" s="403"/>
      <c r="BO142" s="403"/>
      <c r="BP142" s="403"/>
      <c r="BQ142" s="403"/>
      <c r="BR142" s="403"/>
      <c r="BS142" s="403"/>
      <c r="BT142" s="403"/>
      <c r="BU142" s="403"/>
      <c r="BV142" s="403"/>
      <c r="BW142" s="403"/>
      <c r="BX142" s="403"/>
      <c r="BY142" s="403" t="s">
        <v>10956</v>
      </c>
      <c r="BZ142" s="403"/>
      <c r="CA142" s="403"/>
      <c r="CB142" s="403"/>
      <c r="CC142" s="403"/>
      <c r="CD142" s="403"/>
      <c r="CE142" s="403"/>
      <c r="CF142" s="403"/>
      <c r="CG142" s="403"/>
      <c r="CH142" s="403"/>
      <c r="CI142" s="403"/>
      <c r="CJ142" s="403"/>
      <c r="CK142" s="403"/>
      <c r="CL142" s="403"/>
      <c r="CM142" s="403"/>
      <c r="CN142" s="403"/>
      <c r="CO142" s="403"/>
      <c r="CP142" s="403"/>
      <c r="CQ142" s="403"/>
      <c r="CR142" s="403" t="s">
        <v>10957</v>
      </c>
      <c r="CS142" s="403"/>
      <c r="CT142" s="403"/>
      <c r="CU142" s="403"/>
      <c r="CV142" s="403"/>
      <c r="CW142" s="403"/>
      <c r="CX142" s="403"/>
      <c r="CY142" s="403"/>
      <c r="CZ142" s="403"/>
      <c r="DA142" s="403"/>
      <c r="DB142" s="403"/>
      <c r="DC142" s="403"/>
      <c r="DD142" s="403"/>
      <c r="DE142" s="403"/>
      <c r="DF142" s="403"/>
      <c r="DG142" s="403"/>
      <c r="DH142" s="403"/>
      <c r="DI142" s="403"/>
      <c r="DJ142" s="403"/>
      <c r="DK142" s="403" t="s">
        <v>10958</v>
      </c>
      <c r="DL142" s="403"/>
      <c r="DM142" s="403"/>
      <c r="DN142" s="403"/>
      <c r="DO142" s="403"/>
      <c r="DP142" s="403"/>
      <c r="DQ142" s="403"/>
      <c r="DR142" s="403"/>
      <c r="DS142" s="403"/>
      <c r="DT142" s="403"/>
      <c r="DU142" s="403"/>
      <c r="DV142" s="403"/>
      <c r="DW142" s="403"/>
      <c r="DX142" s="403"/>
      <c r="DY142" s="403"/>
      <c r="DZ142" s="403"/>
      <c r="EA142" s="403"/>
      <c r="EB142" s="403"/>
      <c r="EC142" s="403"/>
      <c r="ED142" s="403" t="s">
        <v>10959</v>
      </c>
      <c r="EE142" s="403"/>
      <c r="EF142" s="403"/>
      <c r="EG142" s="403"/>
      <c r="EH142" s="403"/>
      <c r="EI142" s="403"/>
      <c r="EJ142" s="403"/>
      <c r="EK142" s="403"/>
      <c r="EL142" s="403"/>
      <c r="EM142" s="403"/>
      <c r="EN142" s="403"/>
      <c r="EO142" s="403"/>
      <c r="EP142" s="403"/>
      <c r="EQ142" s="403"/>
      <c r="ER142" s="403"/>
      <c r="ES142" s="403"/>
      <c r="ET142" s="403"/>
    </row>
    <row r="143" spans="1:150" s="281" customFormat="1" x14ac:dyDescent="0.2">
      <c r="A143" s="350">
        <v>2</v>
      </c>
      <c r="B143" s="47"/>
      <c r="C143" s="5" t="str">
        <f ca="1">IF(OFFSET(U143,0,Lang_Order*Lang__B4)="","",OFFSET(U143,0,Lang_Order*Lang__B4))</f>
        <v>#of ice pack freezers per region</v>
      </c>
      <c r="D143" s="35">
        <v>2</v>
      </c>
      <c r="J143" s="81">
        <v>2</v>
      </c>
      <c r="R143" s="403"/>
      <c r="S143" s="403"/>
      <c r="T143" s="403"/>
      <c r="U143" s="403" t="s">
        <v>3611</v>
      </c>
      <c r="V143" s="403"/>
      <c r="W143" s="403"/>
      <c r="X143" s="403"/>
      <c r="Y143" s="403"/>
      <c r="Z143" s="403"/>
      <c r="AA143" s="403"/>
      <c r="AB143" s="403"/>
      <c r="AC143" s="403"/>
      <c r="AD143" s="403"/>
      <c r="AE143" s="403"/>
      <c r="AF143" s="403"/>
      <c r="AG143" s="403"/>
      <c r="AH143" s="403"/>
      <c r="AI143" s="403"/>
      <c r="AJ143" s="403"/>
      <c r="AK143" s="403"/>
      <c r="AL143" s="403"/>
      <c r="AM143" s="403"/>
      <c r="AN143" s="403" t="s">
        <v>10960</v>
      </c>
      <c r="AO143" s="403"/>
      <c r="AP143" s="403"/>
      <c r="AQ143" s="403"/>
      <c r="AR143" s="403"/>
      <c r="AS143" s="403"/>
      <c r="AT143" s="403"/>
      <c r="AU143" s="403"/>
      <c r="AV143" s="403"/>
      <c r="AW143" s="403"/>
      <c r="AX143" s="403"/>
      <c r="AY143" s="403"/>
      <c r="AZ143" s="403"/>
      <c r="BA143" s="403"/>
      <c r="BB143" s="403"/>
      <c r="BC143" s="403"/>
      <c r="BD143" s="403"/>
      <c r="BE143" s="403"/>
      <c r="BF143" s="403"/>
      <c r="BG143" s="403" t="s">
        <v>10961</v>
      </c>
      <c r="BH143" s="403"/>
      <c r="BI143" s="403"/>
      <c r="BJ143" s="403"/>
      <c r="BK143" s="403"/>
      <c r="BL143" s="403"/>
      <c r="BM143" s="403"/>
      <c r="BN143" s="403"/>
      <c r="BO143" s="403"/>
      <c r="BP143" s="403"/>
      <c r="BQ143" s="403"/>
      <c r="BR143" s="403"/>
      <c r="BS143" s="403"/>
      <c r="BT143" s="403"/>
      <c r="BU143" s="403"/>
      <c r="BV143" s="403"/>
      <c r="BW143" s="403"/>
      <c r="BX143" s="403"/>
      <c r="BY143" s="403"/>
      <c r="BZ143" s="403" t="s">
        <v>10962</v>
      </c>
      <c r="CA143" s="403"/>
      <c r="CB143" s="403"/>
      <c r="CC143" s="403"/>
      <c r="CD143" s="403"/>
      <c r="CE143" s="403"/>
      <c r="CF143" s="403"/>
      <c r="CG143" s="403"/>
      <c r="CH143" s="403"/>
      <c r="CI143" s="403"/>
      <c r="CJ143" s="403"/>
      <c r="CK143" s="403"/>
      <c r="CL143" s="403"/>
      <c r="CM143" s="403"/>
      <c r="CN143" s="403"/>
      <c r="CO143" s="403"/>
      <c r="CP143" s="403"/>
      <c r="CQ143" s="403"/>
      <c r="CR143" s="403"/>
      <c r="CS143" s="403" t="s">
        <v>10963</v>
      </c>
      <c r="CT143" s="403"/>
      <c r="CU143" s="403"/>
      <c r="CV143" s="403"/>
      <c r="CW143" s="403"/>
      <c r="CX143" s="403"/>
      <c r="CY143" s="403"/>
      <c r="CZ143" s="403"/>
      <c r="DA143" s="403"/>
      <c r="DB143" s="403"/>
      <c r="DC143" s="403"/>
      <c r="DD143" s="403"/>
      <c r="DE143" s="403"/>
      <c r="DF143" s="403"/>
      <c r="DG143" s="403"/>
      <c r="DH143" s="403"/>
      <c r="DI143" s="403"/>
      <c r="DJ143" s="403"/>
      <c r="DK143" s="403"/>
      <c r="DL143" s="403" t="s">
        <v>10964</v>
      </c>
      <c r="DM143" s="403"/>
      <c r="DN143" s="403"/>
      <c r="DO143" s="403"/>
      <c r="DP143" s="403"/>
      <c r="DQ143" s="403"/>
      <c r="DR143" s="403"/>
      <c r="DS143" s="403"/>
      <c r="DT143" s="403"/>
      <c r="DU143" s="403"/>
      <c r="DV143" s="403"/>
      <c r="DW143" s="403"/>
      <c r="DX143" s="403"/>
      <c r="DY143" s="403"/>
      <c r="DZ143" s="403"/>
      <c r="EA143" s="403"/>
      <c r="EB143" s="403"/>
      <c r="EC143" s="403"/>
      <c r="ED143" s="403"/>
      <c r="EE143" s="403" t="s">
        <v>10965</v>
      </c>
      <c r="EF143" s="403"/>
      <c r="EG143" s="403"/>
      <c r="EH143" s="403"/>
      <c r="EI143" s="403"/>
      <c r="EJ143" s="403"/>
      <c r="EK143" s="403"/>
      <c r="EL143" s="403"/>
      <c r="EM143" s="403"/>
      <c r="EN143" s="403"/>
      <c r="EO143" s="403"/>
      <c r="EP143" s="403"/>
      <c r="EQ143" s="403"/>
      <c r="ER143" s="403"/>
      <c r="ES143" s="403"/>
      <c r="ET143" s="403"/>
    </row>
    <row r="144" spans="1:150" s="281" customFormat="1" ht="15" x14ac:dyDescent="0.25">
      <c r="C144" s="503"/>
      <c r="D144" s="503"/>
      <c r="J144" s="292" t="str">
        <f t="shared" ref="J144:P144" ca="1" si="37">IF(OFFSET(AB144,0,Lang_Order*Lang__B4)="","",OFFSET(AB144,0,Lang_Order*Lang__B4))</f>
        <v>H1 2021</v>
      </c>
      <c r="K144" s="292" t="str">
        <f t="shared" ca="1" si="37"/>
        <v>H2 2021</v>
      </c>
      <c r="L144" s="292" t="str">
        <f t="shared" ca="1" si="37"/>
        <v>H1 2022</v>
      </c>
      <c r="M144" s="292" t="str">
        <f t="shared" ca="1" si="37"/>
        <v>H2 2022</v>
      </c>
      <c r="N144" s="292" t="str">
        <f t="shared" ca="1" si="37"/>
        <v>H1 2023</v>
      </c>
      <c r="O144" s="292" t="str">
        <f t="shared" ca="1" si="37"/>
        <v>H2 2023</v>
      </c>
      <c r="P144" s="177" t="str">
        <f t="shared" ca="1" si="37"/>
        <v>Peak in Average Region</v>
      </c>
      <c r="R144" s="403"/>
      <c r="S144" s="403"/>
      <c r="T144" s="403"/>
      <c r="U144" s="403" t="s">
        <v>3207</v>
      </c>
      <c r="V144" s="403"/>
      <c r="W144" s="403"/>
      <c r="X144" s="403"/>
      <c r="Y144" s="403"/>
      <c r="Z144" s="403"/>
      <c r="AA144" s="403"/>
      <c r="AB144" s="403" t="s">
        <v>1597</v>
      </c>
      <c r="AC144" s="403" t="s">
        <v>1598</v>
      </c>
      <c r="AD144" s="403" t="s">
        <v>1599</v>
      </c>
      <c r="AE144" s="403" t="s">
        <v>1600</v>
      </c>
      <c r="AF144" s="403" t="s">
        <v>1602</v>
      </c>
      <c r="AG144" s="403" t="s">
        <v>1601</v>
      </c>
      <c r="AH144" s="403" t="s">
        <v>3213</v>
      </c>
      <c r="AI144" s="403"/>
      <c r="AJ144" s="403"/>
      <c r="AK144" s="403"/>
      <c r="AL144" s="403"/>
      <c r="AM144" s="403"/>
      <c r="AN144" s="403" t="s">
        <v>10966</v>
      </c>
      <c r="AO144" s="403"/>
      <c r="AP144" s="403"/>
      <c r="AQ144" s="403"/>
      <c r="AR144" s="403"/>
      <c r="AS144" s="403"/>
      <c r="AT144" s="403"/>
      <c r="AU144" s="403" t="s">
        <v>4663</v>
      </c>
      <c r="AV144" s="403" t="s">
        <v>4664</v>
      </c>
      <c r="AW144" s="403" t="s">
        <v>4665</v>
      </c>
      <c r="AX144" s="403" t="s">
        <v>4666</v>
      </c>
      <c r="AY144" s="403" t="s">
        <v>4667</v>
      </c>
      <c r="AZ144" s="403" t="s">
        <v>4668</v>
      </c>
      <c r="BA144" s="403" t="s">
        <v>10967</v>
      </c>
      <c r="BB144" s="403"/>
      <c r="BC144" s="403"/>
      <c r="BD144" s="403"/>
      <c r="BE144" s="403"/>
      <c r="BF144" s="403"/>
      <c r="BG144" s="403" t="s">
        <v>10968</v>
      </c>
      <c r="BH144" s="403"/>
      <c r="BI144" s="403"/>
      <c r="BJ144" s="403"/>
      <c r="BK144" s="403"/>
      <c r="BL144" s="403"/>
      <c r="BM144" s="403"/>
      <c r="BN144" s="403" t="s">
        <v>4670</v>
      </c>
      <c r="BO144" s="403" t="s">
        <v>4671</v>
      </c>
      <c r="BP144" s="403" t="s">
        <v>4672</v>
      </c>
      <c r="BQ144" s="403" t="s">
        <v>4673</v>
      </c>
      <c r="BR144" s="403" t="s">
        <v>4674</v>
      </c>
      <c r="BS144" s="403" t="s">
        <v>4675</v>
      </c>
      <c r="BT144" s="403" t="s">
        <v>10969</v>
      </c>
      <c r="BU144" s="403"/>
      <c r="BV144" s="403"/>
      <c r="BW144" s="403"/>
      <c r="BX144" s="403"/>
      <c r="BY144" s="403"/>
      <c r="BZ144" s="403" t="s">
        <v>10970</v>
      </c>
      <c r="CA144" s="403"/>
      <c r="CB144" s="403"/>
      <c r="CC144" s="403"/>
      <c r="CD144" s="403"/>
      <c r="CE144" s="403"/>
      <c r="CF144" s="403"/>
      <c r="CG144" s="403" t="s">
        <v>1597</v>
      </c>
      <c r="CH144" s="403" t="s">
        <v>1598</v>
      </c>
      <c r="CI144" s="403" t="s">
        <v>1599</v>
      </c>
      <c r="CJ144" s="403" t="s">
        <v>1600</v>
      </c>
      <c r="CK144" s="403" t="s">
        <v>1602</v>
      </c>
      <c r="CL144" s="403" t="s">
        <v>1601</v>
      </c>
      <c r="CM144" s="403" t="s">
        <v>10971</v>
      </c>
      <c r="CN144" s="403"/>
      <c r="CO144" s="403"/>
      <c r="CP144" s="403"/>
      <c r="CQ144" s="403"/>
      <c r="CR144" s="403"/>
      <c r="CS144" s="403" t="s">
        <v>10972</v>
      </c>
      <c r="CT144" s="403"/>
      <c r="CU144" s="403"/>
      <c r="CV144" s="403"/>
      <c r="CW144" s="403"/>
      <c r="CX144" s="403"/>
      <c r="CY144" s="403"/>
      <c r="CZ144" s="403" t="s">
        <v>4663</v>
      </c>
      <c r="DA144" s="403" t="s">
        <v>4664</v>
      </c>
      <c r="DB144" s="403" t="s">
        <v>4665</v>
      </c>
      <c r="DC144" s="403" t="s">
        <v>4666</v>
      </c>
      <c r="DD144" s="403" t="s">
        <v>4667</v>
      </c>
      <c r="DE144" s="403" t="s">
        <v>4668</v>
      </c>
      <c r="DF144" s="403" t="s">
        <v>10973</v>
      </c>
      <c r="DG144" s="403"/>
      <c r="DH144" s="403"/>
      <c r="DI144" s="403"/>
      <c r="DJ144" s="403"/>
      <c r="DK144" s="403"/>
      <c r="DL144" s="403" t="s">
        <v>10974</v>
      </c>
      <c r="DM144" s="403"/>
      <c r="DN144" s="403"/>
      <c r="DO144" s="403"/>
      <c r="DP144" s="403"/>
      <c r="DQ144" s="403"/>
      <c r="DR144" s="403"/>
      <c r="DS144" s="403" t="s">
        <v>10975</v>
      </c>
      <c r="DT144" s="403" t="s">
        <v>4681</v>
      </c>
      <c r="DU144" s="403" t="s">
        <v>9985</v>
      </c>
      <c r="DV144" s="403" t="s">
        <v>4683</v>
      </c>
      <c r="DW144" s="403" t="s">
        <v>4684</v>
      </c>
      <c r="DX144" s="403" t="s">
        <v>4685</v>
      </c>
      <c r="DY144" s="403" t="s">
        <v>10976</v>
      </c>
      <c r="DZ144" s="403"/>
      <c r="EA144" s="403"/>
      <c r="EB144" s="403"/>
      <c r="EC144" s="403"/>
      <c r="ED144" s="403"/>
      <c r="EE144" s="403" t="s">
        <v>10977</v>
      </c>
      <c r="EF144" s="403"/>
      <c r="EG144" s="403"/>
      <c r="EH144" s="403"/>
      <c r="EI144" s="403"/>
      <c r="EJ144" s="403"/>
      <c r="EK144" s="403"/>
      <c r="EL144" s="403" t="s">
        <v>4688</v>
      </c>
      <c r="EM144" s="403" t="s">
        <v>4689</v>
      </c>
      <c r="EN144" s="403" t="s">
        <v>4690</v>
      </c>
      <c r="EO144" s="403" t="s">
        <v>4691</v>
      </c>
      <c r="EP144" s="403" t="s">
        <v>4692</v>
      </c>
      <c r="EQ144" s="403" t="s">
        <v>4693</v>
      </c>
      <c r="ER144" s="403" t="s">
        <v>10978</v>
      </c>
      <c r="ES144" s="403"/>
      <c r="ET144" s="403"/>
    </row>
    <row r="145" spans="1:150" s="499" customFormat="1" x14ac:dyDescent="0.2">
      <c r="A145" s="350">
        <v>2</v>
      </c>
      <c r="B145" s="567"/>
      <c r="D145" s="5" t="str">
        <f ca="1">IF(OFFSET(V145,0,Lang_Order*Lang__B4)="","",OFFSET(V145,0,Lang_Order*Lang__B4))</f>
        <v>Shipments from central to regional per period (User customization)</v>
      </c>
      <c r="J145" s="35"/>
      <c r="K145" s="35"/>
      <c r="L145" s="35"/>
      <c r="M145" s="35"/>
      <c r="N145" s="35"/>
      <c r="O145" s="35"/>
      <c r="P145" s="81" t="str">
        <f t="shared" ref="P145" si="38">Lang_LeaveBlank</f>
        <v>Leave Blank</v>
      </c>
      <c r="Q145" s="157" t="str">
        <f ca="1">IF(OFFSET(AI145,0,Lang_Order*Lang__B4)="","",OFFSET(AI145,0,Lang_Order*Lang__B4))</f>
        <v>Shipments per period can be also specified here for each period separately to optimize.</v>
      </c>
      <c r="V145" s="564" t="s">
        <v>4575</v>
      </c>
      <c r="W145" s="564"/>
      <c r="X145" s="564"/>
      <c r="Y145" s="564"/>
      <c r="Z145" s="564"/>
      <c r="AA145" s="564"/>
      <c r="AB145" s="564"/>
      <c r="AC145" s="564"/>
      <c r="AD145" s="564"/>
      <c r="AE145" s="564"/>
      <c r="AF145" s="564"/>
      <c r="AG145" s="564"/>
      <c r="AH145" s="564"/>
      <c r="AI145" s="564" t="s">
        <v>4515</v>
      </c>
      <c r="AJ145" s="564"/>
      <c r="AK145" s="564"/>
      <c r="AL145" s="564"/>
      <c r="AM145" s="564"/>
      <c r="AN145" s="564"/>
      <c r="AO145" s="564" t="s">
        <v>13321</v>
      </c>
      <c r="AP145" s="564"/>
      <c r="AQ145" s="564"/>
      <c r="AR145" s="564"/>
      <c r="AS145" s="564"/>
      <c r="AT145" s="564"/>
      <c r="AU145" s="564"/>
      <c r="AV145" s="564"/>
      <c r="AW145" s="564"/>
      <c r="AX145" s="564"/>
      <c r="AY145" s="564"/>
      <c r="AZ145" s="564"/>
      <c r="BA145" s="564"/>
      <c r="BB145" s="564" t="s">
        <v>13327</v>
      </c>
      <c r="BC145" s="564"/>
      <c r="BD145" s="564"/>
      <c r="BE145" s="564"/>
      <c r="BF145" s="564"/>
      <c r="BG145" s="564"/>
      <c r="BH145" s="564" t="s">
        <v>13322</v>
      </c>
      <c r="BI145" s="564"/>
      <c r="BJ145" s="564"/>
      <c r="BK145" s="564"/>
      <c r="BL145" s="564"/>
      <c r="BM145" s="564"/>
      <c r="BN145" s="564"/>
      <c r="BO145" s="564"/>
      <c r="BP145" s="564"/>
      <c r="BQ145" s="564"/>
      <c r="BR145" s="564"/>
      <c r="BS145" s="564"/>
      <c r="BT145" s="564"/>
      <c r="BU145" s="564" t="s">
        <v>13328</v>
      </c>
      <c r="BV145" s="564"/>
      <c r="BW145" s="564"/>
      <c r="BX145" s="564"/>
      <c r="BY145" s="564"/>
      <c r="BZ145" s="564"/>
      <c r="CA145" s="564" t="s">
        <v>13323</v>
      </c>
      <c r="CB145" s="564"/>
      <c r="CC145" s="564"/>
      <c r="CD145" s="564"/>
      <c r="CE145" s="564"/>
      <c r="CF145" s="564"/>
      <c r="CG145" s="564"/>
      <c r="CH145" s="564"/>
      <c r="CI145" s="564"/>
      <c r="CJ145" s="564"/>
      <c r="CK145" s="564"/>
      <c r="CL145" s="564"/>
      <c r="CM145" s="564"/>
      <c r="CN145" s="564" t="s">
        <v>13329</v>
      </c>
      <c r="CO145" s="564"/>
      <c r="CP145" s="564"/>
      <c r="CQ145" s="564"/>
      <c r="CR145" s="564"/>
      <c r="CS145" s="564"/>
      <c r="CT145" s="564" t="s">
        <v>13324</v>
      </c>
      <c r="CU145" s="564"/>
      <c r="CV145" s="564"/>
      <c r="CW145" s="564"/>
      <c r="CX145" s="564"/>
      <c r="CY145" s="564"/>
      <c r="CZ145" s="564"/>
      <c r="DA145" s="564"/>
      <c r="DB145" s="564"/>
      <c r="DC145" s="564"/>
      <c r="DD145" s="564"/>
      <c r="DE145" s="564"/>
      <c r="DF145" s="564"/>
      <c r="DG145" s="564" t="s">
        <v>13330</v>
      </c>
      <c r="DH145" s="564"/>
      <c r="DI145" s="564"/>
      <c r="DJ145" s="564"/>
      <c r="DK145" s="564"/>
      <c r="DL145" s="564"/>
      <c r="DM145" s="564" t="s">
        <v>13325</v>
      </c>
      <c r="DN145" s="564"/>
      <c r="DO145" s="564"/>
      <c r="DP145" s="564"/>
      <c r="DQ145" s="564"/>
      <c r="DR145" s="564"/>
      <c r="DS145" s="564"/>
      <c r="DT145" s="564"/>
      <c r="DU145" s="564"/>
      <c r="DV145" s="564"/>
      <c r="DW145" s="564"/>
      <c r="DX145" s="564"/>
      <c r="DY145" s="564"/>
      <c r="DZ145" s="564" t="s">
        <v>13331</v>
      </c>
      <c r="EA145" s="564"/>
      <c r="EB145" s="564"/>
      <c r="EC145" s="564"/>
      <c r="ED145" s="564"/>
      <c r="EE145" s="564"/>
      <c r="EF145" s="564" t="s">
        <v>13326</v>
      </c>
      <c r="EG145" s="564"/>
      <c r="EH145" s="564"/>
      <c r="EI145" s="564"/>
      <c r="EJ145" s="564"/>
      <c r="EK145" s="564"/>
      <c r="EL145" s="564"/>
      <c r="EM145" s="564"/>
      <c r="EN145" s="564"/>
      <c r="EO145" s="564"/>
      <c r="EP145" s="564"/>
      <c r="EQ145" s="564"/>
      <c r="ER145" s="564"/>
      <c r="ES145" s="564" t="s">
        <v>13332</v>
      </c>
    </row>
    <row r="146" spans="1:150" s="281" customFormat="1" x14ac:dyDescent="0.2">
      <c r="B146" s="51" t="str">
        <f ca="1">IF(OFFSET(T146,0,Lang_Order*Lang__B4)="","",OFFSET(T146,0,Lang_Order*Lang__B4))</f>
        <v>Volume of COVID-19 vaccines in secondary packaging (liters) per Shipment, incl. buffer [PER REGION}</v>
      </c>
      <c r="J146" s="2">
        <f t="shared" ref="J146:O146" si="39">IF(ISBLANK(J145),Vaccine_Supplies_PerPeriod,J145)</f>
        <v>2</v>
      </c>
      <c r="K146" s="2">
        <f t="shared" si="39"/>
        <v>2</v>
      </c>
      <c r="L146" s="2">
        <f t="shared" si="39"/>
        <v>2</v>
      </c>
      <c r="M146" s="2">
        <f t="shared" si="39"/>
        <v>2</v>
      </c>
      <c r="N146" s="2">
        <f t="shared" si="39"/>
        <v>2</v>
      </c>
      <c r="O146" s="2">
        <f t="shared" si="39"/>
        <v>2</v>
      </c>
      <c r="R146" s="403"/>
      <c r="S146" s="403"/>
      <c r="T146" s="403" t="s">
        <v>3605</v>
      </c>
      <c r="U146" s="403"/>
      <c r="V146" s="403"/>
      <c r="W146" s="403"/>
      <c r="X146" s="403"/>
      <c r="Y146" s="403"/>
      <c r="Z146" s="403"/>
      <c r="AA146" s="403"/>
      <c r="AB146" s="403"/>
      <c r="AC146" s="403"/>
      <c r="AD146" s="403"/>
      <c r="AE146" s="403"/>
      <c r="AF146" s="403"/>
      <c r="AG146" s="403"/>
      <c r="AH146" s="403"/>
      <c r="AI146" s="403"/>
      <c r="AJ146" s="403"/>
      <c r="AK146" s="403"/>
      <c r="AL146" s="403"/>
      <c r="AM146" s="403" t="s">
        <v>10979</v>
      </c>
      <c r="AN146" s="403"/>
      <c r="AO146" s="403"/>
      <c r="AP146" s="403"/>
      <c r="AQ146" s="403"/>
      <c r="AR146" s="403"/>
      <c r="AS146" s="403"/>
      <c r="AT146" s="403"/>
      <c r="AU146" s="403"/>
      <c r="AV146" s="403"/>
      <c r="AW146" s="403"/>
      <c r="AX146" s="403"/>
      <c r="AY146" s="403"/>
      <c r="AZ146" s="403"/>
      <c r="BA146" s="403"/>
      <c r="BB146" s="403"/>
      <c r="BC146" s="403"/>
      <c r="BD146" s="403"/>
      <c r="BE146" s="403"/>
      <c r="BF146" s="403" t="s">
        <v>10980</v>
      </c>
      <c r="BG146" s="403"/>
      <c r="BH146" s="403"/>
      <c r="BI146" s="403"/>
      <c r="BJ146" s="403"/>
      <c r="BK146" s="403"/>
      <c r="BL146" s="403"/>
      <c r="BM146" s="403"/>
      <c r="BN146" s="403"/>
      <c r="BO146" s="403"/>
      <c r="BP146" s="403"/>
      <c r="BQ146" s="403"/>
      <c r="BR146" s="403"/>
      <c r="BS146" s="403"/>
      <c r="BT146" s="403"/>
      <c r="BU146" s="403"/>
      <c r="BV146" s="403"/>
      <c r="BW146" s="403"/>
      <c r="BX146" s="403"/>
      <c r="BY146" s="403" t="s">
        <v>10981</v>
      </c>
      <c r="BZ146" s="403"/>
      <c r="CA146" s="403"/>
      <c r="CB146" s="403"/>
      <c r="CC146" s="403"/>
      <c r="CD146" s="403"/>
      <c r="CE146" s="403"/>
      <c r="CF146" s="403"/>
      <c r="CG146" s="403"/>
      <c r="CH146" s="403"/>
      <c r="CI146" s="403"/>
      <c r="CJ146" s="403"/>
      <c r="CK146" s="403"/>
      <c r="CL146" s="403"/>
      <c r="CM146" s="403"/>
      <c r="CN146" s="403"/>
      <c r="CO146" s="403"/>
      <c r="CP146" s="403"/>
      <c r="CQ146" s="403"/>
      <c r="CR146" s="403" t="s">
        <v>10982</v>
      </c>
      <c r="CS146" s="403"/>
      <c r="CT146" s="403"/>
      <c r="CU146" s="403"/>
      <c r="CV146" s="403"/>
      <c r="CW146" s="403"/>
      <c r="CX146" s="403"/>
      <c r="CY146" s="403"/>
      <c r="CZ146" s="403"/>
      <c r="DA146" s="403"/>
      <c r="DB146" s="403"/>
      <c r="DC146" s="403"/>
      <c r="DD146" s="403"/>
      <c r="DE146" s="403"/>
      <c r="DF146" s="403"/>
      <c r="DG146" s="403"/>
      <c r="DH146" s="403"/>
      <c r="DI146" s="403"/>
      <c r="DJ146" s="403"/>
      <c r="DK146" s="403" t="s">
        <v>10983</v>
      </c>
      <c r="DL146" s="403"/>
      <c r="DM146" s="403"/>
      <c r="DN146" s="403"/>
      <c r="DO146" s="403"/>
      <c r="DP146" s="403"/>
      <c r="DQ146" s="403"/>
      <c r="DR146" s="403"/>
      <c r="DS146" s="403"/>
      <c r="DT146" s="403"/>
      <c r="DU146" s="403"/>
      <c r="DV146" s="403"/>
      <c r="DW146" s="403"/>
      <c r="DX146" s="403"/>
      <c r="DY146" s="403"/>
      <c r="DZ146" s="403"/>
      <c r="EA146" s="403"/>
      <c r="EB146" s="403"/>
      <c r="EC146" s="403"/>
      <c r="ED146" s="403" t="s">
        <v>10984</v>
      </c>
      <c r="EE146" s="403"/>
      <c r="EF146" s="403"/>
      <c r="EG146" s="403"/>
      <c r="EH146" s="403"/>
      <c r="EI146" s="403"/>
      <c r="EJ146" s="403"/>
      <c r="EK146" s="403"/>
      <c r="EL146" s="403"/>
      <c r="EM146" s="403"/>
      <c r="EN146" s="403"/>
      <c r="EO146" s="403"/>
      <c r="EP146" s="403"/>
      <c r="EQ146" s="403"/>
      <c r="ER146" s="403"/>
      <c r="ES146" s="403"/>
      <c r="ET146" s="403"/>
    </row>
    <row r="147" spans="1:150" s="281" customFormat="1" x14ac:dyDescent="0.2">
      <c r="C147" s="5" t="str">
        <f ca="1">IF(OFFSET(U147,0,Lang_Order*Lang__B4)="","",OFFSET(U147,0,Lang_Order*Lang__B4))</f>
        <v>Refrigerated (2 to 8C)</v>
      </c>
      <c r="J147" s="295" t="e">
        <f t="shared" ref="J147:O149" si="40">(J102*J$93)/(J$146*Regional_Stores)</f>
        <v>#N/A</v>
      </c>
      <c r="K147" s="295" t="e">
        <f t="shared" si="40"/>
        <v>#N/A</v>
      </c>
      <c r="L147" s="295" t="e">
        <f t="shared" si="40"/>
        <v>#N/A</v>
      </c>
      <c r="M147" s="295" t="e">
        <f t="shared" si="40"/>
        <v>#N/A</v>
      </c>
      <c r="N147" s="295" t="e">
        <f t="shared" si="40"/>
        <v>#N/A</v>
      </c>
      <c r="O147" s="295" t="e">
        <f t="shared" si="40"/>
        <v>#N/A</v>
      </c>
      <c r="P147" s="287" t="e">
        <f>MAX(J147:O147)</f>
        <v>#N/A</v>
      </c>
      <c r="R147" s="403"/>
      <c r="S147" s="403"/>
      <c r="T147" s="403"/>
      <c r="U147" s="403" t="s">
        <v>11</v>
      </c>
      <c r="V147" s="403"/>
      <c r="W147" s="403"/>
      <c r="X147" s="403"/>
      <c r="Y147" s="403"/>
      <c r="Z147" s="403"/>
      <c r="AA147" s="403"/>
      <c r="AB147" s="403"/>
      <c r="AC147" s="403"/>
      <c r="AD147" s="403"/>
      <c r="AE147" s="403"/>
      <c r="AF147" s="403"/>
      <c r="AG147" s="403"/>
      <c r="AH147" s="403"/>
      <c r="AI147" s="403"/>
      <c r="AJ147" s="403"/>
      <c r="AK147" s="403"/>
      <c r="AL147" s="403"/>
      <c r="AM147" s="403"/>
      <c r="AN147" s="403" t="s">
        <v>10714</v>
      </c>
      <c r="AO147" s="403"/>
      <c r="AP147" s="403"/>
      <c r="AQ147" s="403"/>
      <c r="AR147" s="403"/>
      <c r="AS147" s="403"/>
      <c r="AT147" s="403"/>
      <c r="AU147" s="403"/>
      <c r="AV147" s="403"/>
      <c r="AW147" s="403"/>
      <c r="AX147" s="403"/>
      <c r="AY147" s="403"/>
      <c r="AZ147" s="403"/>
      <c r="BA147" s="403"/>
      <c r="BB147" s="403"/>
      <c r="BC147" s="403"/>
      <c r="BD147" s="403"/>
      <c r="BE147" s="403"/>
      <c r="BF147" s="403"/>
      <c r="BG147" s="403" t="s">
        <v>10227</v>
      </c>
      <c r="BH147" s="403"/>
      <c r="BI147" s="403"/>
      <c r="BJ147" s="403"/>
      <c r="BK147" s="403"/>
      <c r="BL147" s="403"/>
      <c r="BM147" s="403"/>
      <c r="BN147" s="403"/>
      <c r="BO147" s="403"/>
      <c r="BP147" s="403"/>
      <c r="BQ147" s="403"/>
      <c r="BR147" s="403"/>
      <c r="BS147" s="403"/>
      <c r="BT147" s="403"/>
      <c r="BU147" s="403"/>
      <c r="BV147" s="403"/>
      <c r="BW147" s="403"/>
      <c r="BX147" s="403"/>
      <c r="BY147" s="403"/>
      <c r="BZ147" s="403" t="s">
        <v>10715</v>
      </c>
      <c r="CA147" s="403"/>
      <c r="CB147" s="403"/>
      <c r="CC147" s="403"/>
      <c r="CD147" s="403"/>
      <c r="CE147" s="403"/>
      <c r="CF147" s="403"/>
      <c r="CG147" s="403"/>
      <c r="CH147" s="403"/>
      <c r="CI147" s="403"/>
      <c r="CJ147" s="403"/>
      <c r="CK147" s="403"/>
      <c r="CL147" s="403"/>
      <c r="CM147" s="403"/>
      <c r="CN147" s="403"/>
      <c r="CO147" s="403"/>
      <c r="CP147" s="403"/>
      <c r="CQ147" s="403"/>
      <c r="CR147" s="403"/>
      <c r="CS147" s="403" t="s">
        <v>8384</v>
      </c>
      <c r="CT147" s="403"/>
      <c r="CU147" s="403"/>
      <c r="CV147" s="403"/>
      <c r="CW147" s="403"/>
      <c r="CX147" s="403"/>
      <c r="CY147" s="403"/>
      <c r="CZ147" s="403"/>
      <c r="DA147" s="403"/>
      <c r="DB147" s="403"/>
      <c r="DC147" s="403"/>
      <c r="DD147" s="403"/>
      <c r="DE147" s="403"/>
      <c r="DF147" s="403"/>
      <c r="DG147" s="403"/>
      <c r="DH147" s="403"/>
      <c r="DI147" s="403"/>
      <c r="DJ147" s="403"/>
      <c r="DK147" s="403"/>
      <c r="DL147" s="403" t="s">
        <v>10248</v>
      </c>
      <c r="DM147" s="403"/>
      <c r="DN147" s="403"/>
      <c r="DO147" s="403"/>
      <c r="DP147" s="403"/>
      <c r="DQ147" s="403"/>
      <c r="DR147" s="403"/>
      <c r="DS147" s="403"/>
      <c r="DT147" s="403"/>
      <c r="DU147" s="403"/>
      <c r="DV147" s="403"/>
      <c r="DW147" s="403"/>
      <c r="DX147" s="403"/>
      <c r="DY147" s="403"/>
      <c r="DZ147" s="403"/>
      <c r="EA147" s="403"/>
      <c r="EB147" s="403"/>
      <c r="EC147" s="403"/>
      <c r="ED147" s="403"/>
      <c r="EE147" s="403" t="s">
        <v>8387</v>
      </c>
      <c r="EF147" s="403"/>
      <c r="EG147" s="403"/>
      <c r="EH147" s="403"/>
      <c r="EI147" s="403"/>
      <c r="EJ147" s="403"/>
      <c r="EK147" s="403"/>
      <c r="EL147" s="403"/>
      <c r="EM147" s="403"/>
      <c r="EN147" s="403"/>
      <c r="EO147" s="403"/>
      <c r="EP147" s="403"/>
      <c r="EQ147" s="403"/>
      <c r="ER147" s="403"/>
      <c r="ES147" s="403"/>
      <c r="ET147" s="403"/>
    </row>
    <row r="148" spans="1:150" s="281" customFormat="1" x14ac:dyDescent="0.2">
      <c r="C148" s="5" t="str">
        <f ca="1">IF(OFFSET(U148,0,Lang_Order*Lang__B4)="","",OFFSET(U148,0,Lang_Order*Lang__B4))</f>
        <v>Frozen (-20C)</v>
      </c>
      <c r="J148" s="295" t="e">
        <f t="shared" si="40"/>
        <v>#N/A</v>
      </c>
      <c r="K148" s="295" t="e">
        <f t="shared" si="40"/>
        <v>#N/A</v>
      </c>
      <c r="L148" s="295" t="e">
        <f t="shared" si="40"/>
        <v>#N/A</v>
      </c>
      <c r="M148" s="295" t="e">
        <f t="shared" si="40"/>
        <v>#N/A</v>
      </c>
      <c r="N148" s="295" t="e">
        <f t="shared" si="40"/>
        <v>#N/A</v>
      </c>
      <c r="O148" s="295" t="e">
        <f t="shared" si="40"/>
        <v>#N/A</v>
      </c>
      <c r="P148" s="287" t="e">
        <f>MAX(J148:O148)</f>
        <v>#N/A</v>
      </c>
      <c r="R148" s="403"/>
      <c r="S148" s="403"/>
      <c r="T148" s="403"/>
      <c r="U148" s="403" t="s">
        <v>12</v>
      </c>
      <c r="V148" s="403"/>
      <c r="W148" s="403"/>
      <c r="X148" s="403"/>
      <c r="Y148" s="403"/>
      <c r="Z148" s="403"/>
      <c r="AA148" s="403"/>
      <c r="AB148" s="403"/>
      <c r="AC148" s="403"/>
      <c r="AD148" s="403"/>
      <c r="AE148" s="403"/>
      <c r="AF148" s="403"/>
      <c r="AG148" s="403"/>
      <c r="AH148" s="403"/>
      <c r="AI148" s="403"/>
      <c r="AJ148" s="403"/>
      <c r="AK148" s="403"/>
      <c r="AL148" s="403"/>
      <c r="AM148" s="403"/>
      <c r="AN148" s="403" t="s">
        <v>10717</v>
      </c>
      <c r="AO148" s="403"/>
      <c r="AP148" s="403"/>
      <c r="AQ148" s="403"/>
      <c r="AR148" s="403"/>
      <c r="AS148" s="403"/>
      <c r="AT148" s="403"/>
      <c r="AU148" s="403"/>
      <c r="AV148" s="403"/>
      <c r="AW148" s="403"/>
      <c r="AX148" s="403"/>
      <c r="AY148" s="403"/>
      <c r="AZ148" s="403"/>
      <c r="BA148" s="403"/>
      <c r="BB148" s="403"/>
      <c r="BC148" s="403"/>
      <c r="BD148" s="403"/>
      <c r="BE148" s="403"/>
      <c r="BF148" s="403"/>
      <c r="BG148" s="403" t="s">
        <v>10228</v>
      </c>
      <c r="BH148" s="403"/>
      <c r="BI148" s="403"/>
      <c r="BJ148" s="403"/>
      <c r="BK148" s="403"/>
      <c r="BL148" s="403"/>
      <c r="BM148" s="403"/>
      <c r="BN148" s="403"/>
      <c r="BO148" s="403"/>
      <c r="BP148" s="403"/>
      <c r="BQ148" s="403"/>
      <c r="BR148" s="403"/>
      <c r="BS148" s="403"/>
      <c r="BT148" s="403"/>
      <c r="BU148" s="403"/>
      <c r="BV148" s="403"/>
      <c r="BW148" s="403"/>
      <c r="BX148" s="403"/>
      <c r="BY148" s="403"/>
      <c r="BZ148" s="403" t="s">
        <v>10718</v>
      </c>
      <c r="CA148" s="403"/>
      <c r="CB148" s="403"/>
      <c r="CC148" s="403"/>
      <c r="CD148" s="403"/>
      <c r="CE148" s="403"/>
      <c r="CF148" s="403"/>
      <c r="CG148" s="403"/>
      <c r="CH148" s="403"/>
      <c r="CI148" s="403"/>
      <c r="CJ148" s="403"/>
      <c r="CK148" s="403"/>
      <c r="CL148" s="403"/>
      <c r="CM148" s="403"/>
      <c r="CN148" s="403"/>
      <c r="CO148" s="403"/>
      <c r="CP148" s="403"/>
      <c r="CQ148" s="403"/>
      <c r="CR148" s="403"/>
      <c r="CS148" s="403" t="s">
        <v>8391</v>
      </c>
      <c r="CT148" s="403"/>
      <c r="CU148" s="403"/>
      <c r="CV148" s="403"/>
      <c r="CW148" s="403"/>
      <c r="CX148" s="403"/>
      <c r="CY148" s="403"/>
      <c r="CZ148" s="403"/>
      <c r="DA148" s="403"/>
      <c r="DB148" s="403"/>
      <c r="DC148" s="403"/>
      <c r="DD148" s="403"/>
      <c r="DE148" s="403"/>
      <c r="DF148" s="403"/>
      <c r="DG148" s="403"/>
      <c r="DH148" s="403"/>
      <c r="DI148" s="403"/>
      <c r="DJ148" s="403"/>
      <c r="DK148" s="403"/>
      <c r="DL148" s="403" t="s">
        <v>10249</v>
      </c>
      <c r="DM148" s="403"/>
      <c r="DN148" s="403"/>
      <c r="DO148" s="403"/>
      <c r="DP148" s="403"/>
      <c r="DQ148" s="403"/>
      <c r="DR148" s="403"/>
      <c r="DS148" s="403"/>
      <c r="DT148" s="403"/>
      <c r="DU148" s="403"/>
      <c r="DV148" s="403"/>
      <c r="DW148" s="403"/>
      <c r="DX148" s="403"/>
      <c r="DY148" s="403"/>
      <c r="DZ148" s="403"/>
      <c r="EA148" s="403"/>
      <c r="EB148" s="403"/>
      <c r="EC148" s="403"/>
      <c r="ED148" s="403"/>
      <c r="EE148" s="403" t="s">
        <v>8393</v>
      </c>
      <c r="EF148" s="403"/>
      <c r="EG148" s="403"/>
      <c r="EH148" s="403"/>
      <c r="EI148" s="403"/>
      <c r="EJ148" s="403"/>
      <c r="EK148" s="403"/>
      <c r="EL148" s="403"/>
      <c r="EM148" s="403"/>
      <c r="EN148" s="403"/>
      <c r="EO148" s="403"/>
      <c r="EP148" s="403"/>
      <c r="EQ148" s="403"/>
      <c r="ER148" s="403"/>
      <c r="ES148" s="403"/>
      <c r="ET148" s="403"/>
    </row>
    <row r="149" spans="1:150" s="281" customFormat="1" x14ac:dyDescent="0.2">
      <c r="C149" s="5" t="str">
        <f ca="1">IF(OFFSET(U149,0,Lang_Order*Lang__B4)="","",OFFSET(U149,0,Lang_Order*Lang__B4))</f>
        <v>Ultra-cold (-60 to -80C)</v>
      </c>
      <c r="J149" s="295" t="e">
        <f t="shared" si="40"/>
        <v>#N/A</v>
      </c>
      <c r="K149" s="295" t="e">
        <f t="shared" si="40"/>
        <v>#N/A</v>
      </c>
      <c r="L149" s="295" t="e">
        <f t="shared" si="40"/>
        <v>#N/A</v>
      </c>
      <c r="M149" s="295" t="e">
        <f t="shared" si="40"/>
        <v>#N/A</v>
      </c>
      <c r="N149" s="295" t="e">
        <f t="shared" si="40"/>
        <v>#N/A</v>
      </c>
      <c r="O149" s="295" t="e">
        <f t="shared" si="40"/>
        <v>#N/A</v>
      </c>
      <c r="P149" s="287" t="e">
        <f>MAX(J149:O149)</f>
        <v>#N/A</v>
      </c>
      <c r="R149" s="403"/>
      <c r="S149" s="403"/>
      <c r="T149" s="403"/>
      <c r="U149" s="403" t="s">
        <v>13</v>
      </c>
      <c r="V149" s="403"/>
      <c r="W149" s="403"/>
      <c r="X149" s="403"/>
      <c r="Y149" s="403"/>
      <c r="Z149" s="403"/>
      <c r="AA149" s="403"/>
      <c r="AB149" s="403"/>
      <c r="AC149" s="403"/>
      <c r="AD149" s="403"/>
      <c r="AE149" s="403"/>
      <c r="AF149" s="403"/>
      <c r="AG149" s="403"/>
      <c r="AH149" s="403"/>
      <c r="AI149" s="403"/>
      <c r="AJ149" s="403"/>
      <c r="AK149" s="403"/>
      <c r="AL149" s="403"/>
      <c r="AM149" s="403"/>
      <c r="AN149" s="403" t="s">
        <v>8394</v>
      </c>
      <c r="AO149" s="403"/>
      <c r="AP149" s="403"/>
      <c r="AQ149" s="403"/>
      <c r="AR149" s="403"/>
      <c r="AS149" s="403"/>
      <c r="AT149" s="403"/>
      <c r="AU149" s="403"/>
      <c r="AV149" s="403"/>
      <c r="AW149" s="403"/>
      <c r="AX149" s="403"/>
      <c r="AY149" s="403"/>
      <c r="AZ149" s="403"/>
      <c r="BA149" s="403"/>
      <c r="BB149" s="403"/>
      <c r="BC149" s="403"/>
      <c r="BD149" s="403"/>
      <c r="BE149" s="403"/>
      <c r="BF149" s="403"/>
      <c r="BG149" s="403" t="s">
        <v>10229</v>
      </c>
      <c r="BH149" s="403"/>
      <c r="BI149" s="403"/>
      <c r="BJ149" s="403"/>
      <c r="BK149" s="403"/>
      <c r="BL149" s="403"/>
      <c r="BM149" s="403"/>
      <c r="BN149" s="403"/>
      <c r="BO149" s="403"/>
      <c r="BP149" s="403"/>
      <c r="BQ149" s="403"/>
      <c r="BR149" s="403"/>
      <c r="BS149" s="403"/>
      <c r="BT149" s="403"/>
      <c r="BU149" s="403"/>
      <c r="BV149" s="403"/>
      <c r="BW149" s="403"/>
      <c r="BX149" s="403"/>
      <c r="BY149" s="403"/>
      <c r="BZ149" s="403" t="s">
        <v>10237</v>
      </c>
      <c r="CA149" s="403"/>
      <c r="CB149" s="403"/>
      <c r="CC149" s="403"/>
      <c r="CD149" s="403"/>
      <c r="CE149" s="403"/>
      <c r="CF149" s="403"/>
      <c r="CG149" s="403"/>
      <c r="CH149" s="403"/>
      <c r="CI149" s="403"/>
      <c r="CJ149" s="403"/>
      <c r="CK149" s="403"/>
      <c r="CL149" s="403"/>
      <c r="CM149" s="403"/>
      <c r="CN149" s="403"/>
      <c r="CO149" s="403"/>
      <c r="CP149" s="403"/>
      <c r="CQ149" s="403"/>
      <c r="CR149" s="403"/>
      <c r="CS149" s="403" t="s">
        <v>8400</v>
      </c>
      <c r="CT149" s="403"/>
      <c r="CU149" s="403"/>
      <c r="CV149" s="403"/>
      <c r="CW149" s="403"/>
      <c r="CX149" s="403"/>
      <c r="CY149" s="403"/>
      <c r="CZ149" s="403"/>
      <c r="DA149" s="403"/>
      <c r="DB149" s="403"/>
      <c r="DC149" s="403"/>
      <c r="DD149" s="403"/>
      <c r="DE149" s="403"/>
      <c r="DF149" s="403"/>
      <c r="DG149" s="403"/>
      <c r="DH149" s="403"/>
      <c r="DI149" s="403"/>
      <c r="DJ149" s="403"/>
      <c r="DK149" s="403"/>
      <c r="DL149" s="403" t="s">
        <v>10250</v>
      </c>
      <c r="DM149" s="403"/>
      <c r="DN149" s="403"/>
      <c r="DO149" s="403"/>
      <c r="DP149" s="403"/>
      <c r="DQ149" s="403"/>
      <c r="DR149" s="403"/>
      <c r="DS149" s="403"/>
      <c r="DT149" s="403"/>
      <c r="DU149" s="403"/>
      <c r="DV149" s="403"/>
      <c r="DW149" s="403"/>
      <c r="DX149" s="403"/>
      <c r="DY149" s="403"/>
      <c r="DZ149" s="403"/>
      <c r="EA149" s="403"/>
      <c r="EB149" s="403"/>
      <c r="EC149" s="403"/>
      <c r="ED149" s="403"/>
      <c r="EE149" s="403" t="s">
        <v>8404</v>
      </c>
      <c r="EF149" s="403"/>
      <c r="EG149" s="403"/>
      <c r="EH149" s="403"/>
      <c r="EI149" s="403"/>
      <c r="EJ149" s="403"/>
      <c r="EK149" s="403"/>
      <c r="EL149" s="403"/>
      <c r="EM149" s="403"/>
      <c r="EN149" s="403"/>
      <c r="EO149" s="403"/>
      <c r="EP149" s="403"/>
      <c r="EQ149" s="403"/>
      <c r="ER149" s="403"/>
      <c r="ES149" s="403"/>
      <c r="ET149" s="403"/>
    </row>
    <row r="150" spans="1:150" s="281" customFormat="1" x14ac:dyDescent="0.2">
      <c r="R150" s="403"/>
      <c r="S150" s="403"/>
      <c r="T150" s="403"/>
      <c r="U150" s="403"/>
      <c r="V150" s="403"/>
      <c r="W150" s="403"/>
      <c r="X150" s="403"/>
      <c r="Y150" s="403"/>
      <c r="Z150" s="403"/>
      <c r="AA150" s="403"/>
      <c r="AB150" s="403"/>
      <c r="AC150" s="403"/>
      <c r="AD150" s="403"/>
      <c r="AE150" s="403"/>
      <c r="AF150" s="403"/>
      <c r="AG150" s="403"/>
      <c r="AH150" s="403"/>
      <c r="AI150" s="403"/>
      <c r="AJ150" s="403"/>
      <c r="AK150" s="403"/>
      <c r="AL150" s="403"/>
      <c r="AM150" s="403"/>
      <c r="AN150" s="403"/>
      <c r="AO150" s="403"/>
      <c r="AP150" s="403"/>
      <c r="AQ150" s="403"/>
      <c r="AR150" s="403"/>
      <c r="AS150" s="403"/>
      <c r="AT150" s="403"/>
      <c r="AU150" s="403"/>
      <c r="AV150" s="403"/>
      <c r="AW150" s="403"/>
      <c r="AX150" s="403"/>
      <c r="AY150" s="403"/>
      <c r="AZ150" s="403"/>
      <c r="BA150" s="403"/>
      <c r="BB150" s="403"/>
      <c r="BC150" s="403"/>
      <c r="BD150" s="403"/>
      <c r="BE150" s="403"/>
      <c r="BF150" s="403"/>
      <c r="BG150" s="403"/>
      <c r="BH150" s="403"/>
      <c r="BI150" s="403"/>
      <c r="BJ150" s="403"/>
      <c r="BK150" s="403"/>
      <c r="BL150" s="403"/>
      <c r="BM150" s="403"/>
      <c r="BN150" s="403"/>
      <c r="BO150" s="403"/>
      <c r="BP150" s="403"/>
      <c r="BQ150" s="403"/>
      <c r="BR150" s="403"/>
      <c r="BS150" s="403"/>
      <c r="BT150" s="403"/>
      <c r="BU150" s="403"/>
      <c r="BV150" s="403"/>
      <c r="BW150" s="403"/>
      <c r="BX150" s="403"/>
      <c r="BY150" s="403"/>
      <c r="BZ150" s="403"/>
      <c r="CA150" s="403"/>
      <c r="CB150" s="403"/>
      <c r="CC150" s="403"/>
      <c r="CD150" s="403"/>
      <c r="CE150" s="403"/>
      <c r="CF150" s="403"/>
      <c r="CG150" s="403"/>
      <c r="CH150" s="403"/>
      <c r="CI150" s="403"/>
      <c r="CJ150" s="403"/>
      <c r="CK150" s="403"/>
      <c r="CL150" s="403"/>
      <c r="CM150" s="403"/>
      <c r="CN150" s="403"/>
      <c r="CO150" s="403"/>
      <c r="CP150" s="403"/>
      <c r="CQ150" s="403"/>
      <c r="CR150" s="403"/>
      <c r="CS150" s="403"/>
      <c r="CT150" s="403"/>
      <c r="CU150" s="403"/>
      <c r="CV150" s="403"/>
      <c r="CW150" s="403"/>
      <c r="CX150" s="403"/>
      <c r="CY150" s="403"/>
      <c r="CZ150" s="403"/>
      <c r="DA150" s="403"/>
      <c r="DB150" s="403"/>
      <c r="DC150" s="403"/>
      <c r="DD150" s="403"/>
      <c r="DE150" s="403"/>
      <c r="DF150" s="403"/>
      <c r="DG150" s="403"/>
      <c r="DH150" s="403"/>
      <c r="DI150" s="403"/>
      <c r="DJ150" s="403"/>
      <c r="DK150" s="403"/>
      <c r="DL150" s="403"/>
      <c r="DM150" s="403"/>
      <c r="DN150" s="403"/>
      <c r="DO150" s="403"/>
      <c r="DP150" s="403"/>
      <c r="DQ150" s="403"/>
      <c r="DR150" s="403"/>
      <c r="DS150" s="403"/>
      <c r="DT150" s="403"/>
      <c r="DU150" s="403"/>
      <c r="DV150" s="403"/>
      <c r="DW150" s="403"/>
      <c r="DX150" s="403"/>
      <c r="DY150" s="403"/>
      <c r="DZ150" s="403"/>
      <c r="EA150" s="403"/>
      <c r="EB150" s="403"/>
      <c r="EC150" s="403"/>
      <c r="ED150" s="403"/>
      <c r="EE150" s="403"/>
      <c r="EF150" s="403"/>
      <c r="EG150" s="403"/>
      <c r="EH150" s="403"/>
      <c r="EI150" s="403"/>
      <c r="EJ150" s="403"/>
      <c r="EK150" s="403"/>
      <c r="EL150" s="403"/>
      <c r="EM150" s="403"/>
      <c r="EN150" s="403"/>
      <c r="EO150" s="403"/>
      <c r="EP150" s="403"/>
      <c r="EQ150" s="403"/>
      <c r="ER150" s="403"/>
      <c r="ES150" s="403"/>
      <c r="ET150" s="403"/>
    </row>
    <row r="151" spans="1:150" s="281" customFormat="1" ht="15" x14ac:dyDescent="0.25">
      <c r="B151" s="92" t="str">
        <f ca="1">IF(OFFSET(T151,0,Lang_Order*Lang__B4)="","",OFFSET(T151,0,Lang_Order*Lang__B4))</f>
        <v>Volume of existing routine vaccines required (liters) [PER REGION]</v>
      </c>
      <c r="C151" s="270"/>
      <c r="J151" s="16"/>
      <c r="K151" s="16"/>
      <c r="L151" s="16"/>
      <c r="M151" s="16"/>
      <c r="N151" s="16"/>
      <c r="O151" s="16"/>
      <c r="P151" s="297" t="str">
        <f ca="1">IF(OFFSET(AH151,0,Lang_Order*Lang__B4)="","",OFFSET(AH151,0,Lang_Order*Lang__B4))</f>
        <v>Liters</v>
      </c>
      <c r="Q151" s="16"/>
      <c r="R151" s="403"/>
      <c r="S151" s="403"/>
      <c r="T151" s="403" t="s">
        <v>3606</v>
      </c>
      <c r="U151" s="403"/>
      <c r="V151" s="403"/>
      <c r="W151" s="403"/>
      <c r="X151" s="403"/>
      <c r="Y151" s="403"/>
      <c r="Z151" s="403"/>
      <c r="AA151" s="403"/>
      <c r="AB151" s="403"/>
      <c r="AC151" s="403"/>
      <c r="AD151" s="403"/>
      <c r="AE151" s="403"/>
      <c r="AF151" s="403"/>
      <c r="AG151" s="403"/>
      <c r="AH151" s="403" t="s">
        <v>3204</v>
      </c>
      <c r="AI151" s="403"/>
      <c r="AJ151" s="403"/>
      <c r="AK151" s="403"/>
      <c r="AL151" s="403"/>
      <c r="AM151" s="403" t="s">
        <v>10985</v>
      </c>
      <c r="AN151" s="403"/>
      <c r="AO151" s="403"/>
      <c r="AP151" s="403"/>
      <c r="AQ151" s="403"/>
      <c r="AR151" s="403"/>
      <c r="AS151" s="403"/>
      <c r="AT151" s="403"/>
      <c r="AU151" s="403"/>
      <c r="AV151" s="403"/>
      <c r="AW151" s="403"/>
      <c r="AX151" s="403"/>
      <c r="AY151" s="403"/>
      <c r="AZ151" s="403"/>
      <c r="BA151" s="403" t="s">
        <v>10797</v>
      </c>
      <c r="BB151" s="403"/>
      <c r="BC151" s="403"/>
      <c r="BD151" s="403"/>
      <c r="BE151" s="403"/>
      <c r="BF151" s="403" t="s">
        <v>10986</v>
      </c>
      <c r="BG151" s="403"/>
      <c r="BH151" s="403"/>
      <c r="BI151" s="403"/>
      <c r="BJ151" s="403"/>
      <c r="BK151" s="403"/>
      <c r="BL151" s="403"/>
      <c r="BM151" s="403"/>
      <c r="BN151" s="403"/>
      <c r="BO151" s="403"/>
      <c r="BP151" s="403"/>
      <c r="BQ151" s="403"/>
      <c r="BR151" s="403"/>
      <c r="BS151" s="403"/>
      <c r="BT151" s="403" t="s">
        <v>10987</v>
      </c>
      <c r="BU151" s="403"/>
      <c r="BV151" s="403"/>
      <c r="BW151" s="403"/>
      <c r="BX151" s="403"/>
      <c r="BY151" s="403" t="s">
        <v>10988</v>
      </c>
      <c r="BZ151" s="403"/>
      <c r="CA151" s="403"/>
      <c r="CB151" s="403"/>
      <c r="CC151" s="403"/>
      <c r="CD151" s="403"/>
      <c r="CE151" s="403"/>
      <c r="CF151" s="403"/>
      <c r="CG151" s="403"/>
      <c r="CH151" s="403"/>
      <c r="CI151" s="403"/>
      <c r="CJ151" s="403"/>
      <c r="CK151" s="403"/>
      <c r="CL151" s="403"/>
      <c r="CM151" s="403" t="s">
        <v>10801</v>
      </c>
      <c r="CN151" s="403"/>
      <c r="CO151" s="403"/>
      <c r="CP151" s="403"/>
      <c r="CQ151" s="403"/>
      <c r="CR151" s="403" t="s">
        <v>10989</v>
      </c>
      <c r="CS151" s="403"/>
      <c r="CT151" s="403"/>
      <c r="CU151" s="403"/>
      <c r="CV151" s="403"/>
      <c r="CW151" s="403"/>
      <c r="CX151" s="403"/>
      <c r="CY151" s="403"/>
      <c r="CZ151" s="403"/>
      <c r="DA151" s="403"/>
      <c r="DB151" s="403"/>
      <c r="DC151" s="403"/>
      <c r="DD151" s="403"/>
      <c r="DE151" s="403"/>
      <c r="DF151" s="403" t="s">
        <v>10801</v>
      </c>
      <c r="DG151" s="403"/>
      <c r="DH151" s="403"/>
      <c r="DI151" s="403"/>
      <c r="DJ151" s="403"/>
      <c r="DK151" s="403" t="s">
        <v>10990</v>
      </c>
      <c r="DL151" s="403"/>
      <c r="DM151" s="403"/>
      <c r="DN151" s="403"/>
      <c r="DO151" s="403"/>
      <c r="DP151" s="403"/>
      <c r="DQ151" s="403"/>
      <c r="DR151" s="403"/>
      <c r="DS151" s="403"/>
      <c r="DT151" s="403"/>
      <c r="DU151" s="403"/>
      <c r="DV151" s="403"/>
      <c r="DW151" s="403"/>
      <c r="DX151" s="403"/>
      <c r="DY151" s="403" t="s">
        <v>10804</v>
      </c>
      <c r="DZ151" s="403"/>
      <c r="EA151" s="403"/>
      <c r="EB151" s="403"/>
      <c r="EC151" s="403"/>
      <c r="ED151" s="403" t="s">
        <v>10991</v>
      </c>
      <c r="EE151" s="403"/>
      <c r="EF151" s="403"/>
      <c r="EG151" s="403"/>
      <c r="EH151" s="403"/>
      <c r="EI151" s="403"/>
      <c r="EJ151" s="403"/>
      <c r="EK151" s="403"/>
      <c r="EL151" s="403"/>
      <c r="EM151" s="403"/>
      <c r="EN151" s="403"/>
      <c r="EO151" s="403"/>
      <c r="EP151" s="403"/>
      <c r="EQ151" s="403"/>
      <c r="ER151" s="403" t="s">
        <v>10806</v>
      </c>
      <c r="ES151" s="403"/>
      <c r="ET151" s="403"/>
    </row>
    <row r="152" spans="1:150" s="281" customFormat="1" x14ac:dyDescent="0.2">
      <c r="C152" s="72"/>
      <c r="J152" s="146"/>
      <c r="K152" s="146"/>
      <c r="L152" s="146"/>
      <c r="M152" s="146"/>
      <c r="N152" s="146"/>
      <c r="O152" s="146"/>
      <c r="P152" s="307" t="str">
        <f ca="1">IF(OFFSET(AH152,0,Lang_Order*Lang__B4)="","",OFFSET(AH152,0,Lang_Order*Lang__B4))</f>
        <v>Fill here if known</v>
      </c>
      <c r="Q152" s="16"/>
      <c r="R152" s="403"/>
      <c r="S152" s="403"/>
      <c r="T152" s="403"/>
      <c r="U152" s="403"/>
      <c r="V152" s="403"/>
      <c r="W152" s="403"/>
      <c r="X152" s="403"/>
      <c r="Y152" s="403"/>
      <c r="Z152" s="403"/>
      <c r="AA152" s="403"/>
      <c r="AB152" s="403"/>
      <c r="AC152" s="403"/>
      <c r="AD152" s="403"/>
      <c r="AE152" s="403"/>
      <c r="AF152" s="403"/>
      <c r="AG152" s="403"/>
      <c r="AH152" s="403" t="s">
        <v>3666</v>
      </c>
      <c r="AI152" s="403"/>
      <c r="AJ152" s="403"/>
      <c r="AK152" s="403"/>
      <c r="AL152" s="403"/>
      <c r="AM152" s="403"/>
      <c r="AN152" s="403"/>
      <c r="AO152" s="403"/>
      <c r="AP152" s="403"/>
      <c r="AQ152" s="403"/>
      <c r="AR152" s="403"/>
      <c r="AS152" s="403"/>
      <c r="AT152" s="403"/>
      <c r="AU152" s="403"/>
      <c r="AV152" s="403"/>
      <c r="AW152" s="403"/>
      <c r="AX152" s="403"/>
      <c r="AY152" s="403"/>
      <c r="AZ152" s="403"/>
      <c r="BA152" s="403" t="s">
        <v>10807</v>
      </c>
      <c r="BB152" s="403"/>
      <c r="BC152" s="403"/>
      <c r="BD152" s="403"/>
      <c r="BE152" s="403"/>
      <c r="BF152" s="403"/>
      <c r="BG152" s="403"/>
      <c r="BH152" s="403"/>
      <c r="BI152" s="403"/>
      <c r="BJ152" s="403"/>
      <c r="BK152" s="403"/>
      <c r="BL152" s="403"/>
      <c r="BM152" s="403"/>
      <c r="BN152" s="403"/>
      <c r="BO152" s="403"/>
      <c r="BP152" s="403"/>
      <c r="BQ152" s="403"/>
      <c r="BR152" s="403"/>
      <c r="BS152" s="403"/>
      <c r="BT152" s="403" t="s">
        <v>10992</v>
      </c>
      <c r="BU152" s="403"/>
      <c r="BV152" s="403"/>
      <c r="BW152" s="403"/>
      <c r="BX152" s="403"/>
      <c r="BY152" s="403"/>
      <c r="BZ152" s="403"/>
      <c r="CA152" s="403"/>
      <c r="CB152" s="403"/>
      <c r="CC152" s="403"/>
      <c r="CD152" s="403"/>
      <c r="CE152" s="403"/>
      <c r="CF152" s="403"/>
      <c r="CG152" s="403"/>
      <c r="CH152" s="403"/>
      <c r="CI152" s="403"/>
      <c r="CJ152" s="403"/>
      <c r="CK152" s="403"/>
      <c r="CL152" s="403"/>
      <c r="CM152" s="403" t="s">
        <v>10993</v>
      </c>
      <c r="CN152" s="403"/>
      <c r="CO152" s="403"/>
      <c r="CP152" s="403"/>
      <c r="CQ152" s="403"/>
      <c r="CR152" s="403"/>
      <c r="CS152" s="403"/>
      <c r="CT152" s="403"/>
      <c r="CU152" s="403"/>
      <c r="CV152" s="403"/>
      <c r="CW152" s="403"/>
      <c r="CX152" s="403"/>
      <c r="CY152" s="403"/>
      <c r="CZ152" s="403"/>
      <c r="DA152" s="403"/>
      <c r="DB152" s="403"/>
      <c r="DC152" s="403"/>
      <c r="DD152" s="403"/>
      <c r="DE152" s="403"/>
      <c r="DF152" s="403" t="s">
        <v>10810</v>
      </c>
      <c r="DG152" s="403"/>
      <c r="DH152" s="403"/>
      <c r="DI152" s="403"/>
      <c r="DJ152" s="403"/>
      <c r="DK152" s="403"/>
      <c r="DL152" s="403"/>
      <c r="DM152" s="403"/>
      <c r="DN152" s="403"/>
      <c r="DO152" s="403"/>
      <c r="DP152" s="403"/>
      <c r="DQ152" s="403"/>
      <c r="DR152" s="403"/>
      <c r="DS152" s="403"/>
      <c r="DT152" s="403"/>
      <c r="DU152" s="403"/>
      <c r="DV152" s="403"/>
      <c r="DW152" s="403"/>
      <c r="DX152" s="403"/>
      <c r="DY152" s="403" t="s">
        <v>10994</v>
      </c>
      <c r="DZ152" s="403"/>
      <c r="EA152" s="403"/>
      <c r="EB152" s="403"/>
      <c r="EC152" s="403"/>
      <c r="ED152" s="403"/>
      <c r="EE152" s="403"/>
      <c r="EF152" s="403"/>
      <c r="EG152" s="403"/>
      <c r="EH152" s="403"/>
      <c r="EI152" s="403"/>
      <c r="EJ152" s="403"/>
      <c r="EK152" s="403"/>
      <c r="EL152" s="403"/>
      <c r="EM152" s="403"/>
      <c r="EN152" s="403"/>
      <c r="EO152" s="403"/>
      <c r="EP152" s="403"/>
      <c r="EQ152" s="403"/>
      <c r="ER152" s="403" t="s">
        <v>10812</v>
      </c>
      <c r="ES152" s="403"/>
      <c r="ET152" s="403"/>
    </row>
    <row r="153" spans="1:150" s="281" customFormat="1" x14ac:dyDescent="0.2">
      <c r="A153" s="350">
        <v>2</v>
      </c>
      <c r="C153" s="5" t="str">
        <f ca="1">IF(OFFSET(U153,0,Lang_Order*Lang__B4)="","",OFFSET(U153,0,Lang_Order*Lang__B4))</f>
        <v>Refrigerated (2 to 8C)</v>
      </c>
      <c r="J153" s="146"/>
      <c r="K153" s="146"/>
      <c r="L153" s="146"/>
      <c r="M153" s="146"/>
      <c r="N153" s="146"/>
      <c r="O153" s="146"/>
      <c r="P153" s="205">
        <v>0</v>
      </c>
      <c r="Q153" s="157" t="str">
        <f ca="1">IF(OFFSET(AI153,0,Lang_Order*Lang__B4)="","",OFFSET(AI153,0,Lang_Order*Lang__B4))</f>
        <v>If the volume of existing routine vaccines required is known, can be inputed here</v>
      </c>
      <c r="R153" s="403"/>
      <c r="S153" s="403"/>
      <c r="T153" s="403"/>
      <c r="U153" s="403" t="s">
        <v>11</v>
      </c>
      <c r="V153" s="403"/>
      <c r="W153" s="403"/>
      <c r="X153" s="403"/>
      <c r="Y153" s="403"/>
      <c r="Z153" s="403"/>
      <c r="AA153" s="403"/>
      <c r="AB153" s="403"/>
      <c r="AC153" s="403"/>
      <c r="AD153" s="403"/>
      <c r="AE153" s="403"/>
      <c r="AF153" s="403"/>
      <c r="AG153" s="403"/>
      <c r="AH153" s="403"/>
      <c r="AI153" s="403" t="s">
        <v>3205</v>
      </c>
      <c r="AJ153" s="403"/>
      <c r="AK153" s="403"/>
      <c r="AL153" s="403"/>
      <c r="AM153" s="403"/>
      <c r="AN153" s="403" t="s">
        <v>10714</v>
      </c>
      <c r="AO153" s="403"/>
      <c r="AP153" s="403"/>
      <c r="AQ153" s="403"/>
      <c r="AR153" s="403"/>
      <c r="AS153" s="403"/>
      <c r="AT153" s="403"/>
      <c r="AU153" s="403"/>
      <c r="AV153" s="403"/>
      <c r="AW153" s="403"/>
      <c r="AX153" s="403"/>
      <c r="AY153" s="403"/>
      <c r="AZ153" s="403"/>
      <c r="BA153" s="403"/>
      <c r="BB153" s="403" t="s">
        <v>10813</v>
      </c>
      <c r="BC153" s="403"/>
      <c r="BD153" s="403"/>
      <c r="BE153" s="403"/>
      <c r="BF153" s="403"/>
      <c r="BG153" s="403" t="s">
        <v>10227</v>
      </c>
      <c r="BH153" s="403"/>
      <c r="BI153" s="403"/>
      <c r="BJ153" s="403"/>
      <c r="BK153" s="403"/>
      <c r="BL153" s="403"/>
      <c r="BM153" s="403"/>
      <c r="BN153" s="403"/>
      <c r="BO153" s="403"/>
      <c r="BP153" s="403"/>
      <c r="BQ153" s="403"/>
      <c r="BR153" s="403"/>
      <c r="BS153" s="403"/>
      <c r="BT153" s="403"/>
      <c r="BU153" s="403" t="s">
        <v>10814</v>
      </c>
      <c r="BV153" s="403"/>
      <c r="BW153" s="403"/>
      <c r="BX153" s="403"/>
      <c r="BY153" s="403"/>
      <c r="BZ153" s="403" t="s">
        <v>10715</v>
      </c>
      <c r="CA153" s="403"/>
      <c r="CB153" s="403"/>
      <c r="CC153" s="403"/>
      <c r="CD153" s="403"/>
      <c r="CE153" s="403"/>
      <c r="CF153" s="403"/>
      <c r="CG153" s="403"/>
      <c r="CH153" s="403"/>
      <c r="CI153" s="403"/>
      <c r="CJ153" s="403"/>
      <c r="CK153" s="403"/>
      <c r="CL153" s="403"/>
      <c r="CM153" s="403"/>
      <c r="CN153" s="403" t="s">
        <v>10815</v>
      </c>
      <c r="CO153" s="403"/>
      <c r="CP153" s="403"/>
      <c r="CQ153" s="403"/>
      <c r="CR153" s="403"/>
      <c r="CS153" s="403" t="s">
        <v>8384</v>
      </c>
      <c r="CT153" s="403"/>
      <c r="CU153" s="403"/>
      <c r="CV153" s="403"/>
      <c r="CW153" s="403"/>
      <c r="CX153" s="403"/>
      <c r="CY153" s="403"/>
      <c r="CZ153" s="403"/>
      <c r="DA153" s="403"/>
      <c r="DB153" s="403"/>
      <c r="DC153" s="403"/>
      <c r="DD153" s="403"/>
      <c r="DE153" s="403"/>
      <c r="DF153" s="403"/>
      <c r="DG153" s="403" t="s">
        <v>10816</v>
      </c>
      <c r="DH153" s="403"/>
      <c r="DI153" s="403"/>
      <c r="DJ153" s="403"/>
      <c r="DK153" s="403"/>
      <c r="DL153" s="403" t="s">
        <v>10248</v>
      </c>
      <c r="DM153" s="403"/>
      <c r="DN153" s="403"/>
      <c r="DO153" s="403"/>
      <c r="DP153" s="403"/>
      <c r="DQ153" s="403"/>
      <c r="DR153" s="403"/>
      <c r="DS153" s="403"/>
      <c r="DT153" s="403"/>
      <c r="DU153" s="403"/>
      <c r="DV153" s="403"/>
      <c r="DW153" s="403"/>
      <c r="DX153" s="403"/>
      <c r="DY153" s="403"/>
      <c r="DZ153" s="403"/>
      <c r="EA153" s="403"/>
      <c r="EB153" s="403"/>
      <c r="EC153" s="403"/>
      <c r="ED153" s="403"/>
      <c r="EE153" s="403" t="s">
        <v>8387</v>
      </c>
      <c r="EF153" s="403"/>
      <c r="EG153" s="403"/>
      <c r="EH153" s="403"/>
      <c r="EI153" s="403"/>
      <c r="EJ153" s="403"/>
      <c r="EK153" s="403"/>
      <c r="EL153" s="403"/>
      <c r="EM153" s="403"/>
      <c r="EN153" s="403"/>
      <c r="EO153" s="403"/>
      <c r="EP153" s="403"/>
      <c r="EQ153" s="403"/>
      <c r="ER153" s="403"/>
      <c r="ES153" s="403" t="s">
        <v>10818</v>
      </c>
      <c r="ET153" s="403"/>
    </row>
    <row r="154" spans="1:150" s="281" customFormat="1" x14ac:dyDescent="0.2">
      <c r="A154" s="350">
        <v>2</v>
      </c>
      <c r="C154" s="5" t="str">
        <f ca="1">IF(OFFSET(U154,0,Lang_Order*Lang__B4)="","",OFFSET(U154,0,Lang_Order*Lang__B4))</f>
        <v>Frozen (-20C)</v>
      </c>
      <c r="J154" s="146"/>
      <c r="K154" s="146"/>
      <c r="L154" s="146"/>
      <c r="M154" s="146"/>
      <c r="N154" s="146"/>
      <c r="O154" s="146"/>
      <c r="P154" s="205">
        <v>0</v>
      </c>
      <c r="Q154" s="157" t="str">
        <f ca="1">IF(OFFSET(AI154,0,Lang_Order*Lang__B4)="","",OFFSET(AI154,0,Lang_Order*Lang__B4))</f>
        <v>If the volume of existing routine vaccines required is known, can be inputed here</v>
      </c>
      <c r="R154" s="403"/>
      <c r="S154" s="403"/>
      <c r="T154" s="403"/>
      <c r="U154" s="403" t="s">
        <v>12</v>
      </c>
      <c r="V154" s="403"/>
      <c r="W154" s="403"/>
      <c r="X154" s="403"/>
      <c r="Y154" s="403"/>
      <c r="Z154" s="403"/>
      <c r="AA154" s="403"/>
      <c r="AB154" s="403"/>
      <c r="AC154" s="403"/>
      <c r="AD154" s="403"/>
      <c r="AE154" s="403"/>
      <c r="AF154" s="403"/>
      <c r="AG154" s="403"/>
      <c r="AH154" s="403"/>
      <c r="AI154" s="403" t="s">
        <v>3205</v>
      </c>
      <c r="AJ154" s="403"/>
      <c r="AK154" s="403"/>
      <c r="AL154" s="403"/>
      <c r="AM154" s="403"/>
      <c r="AN154" s="403" t="s">
        <v>10717</v>
      </c>
      <c r="AO154" s="403"/>
      <c r="AP154" s="403"/>
      <c r="AQ154" s="403"/>
      <c r="AR154" s="403"/>
      <c r="AS154" s="403"/>
      <c r="AT154" s="403"/>
      <c r="AU154" s="403"/>
      <c r="AV154" s="403"/>
      <c r="AW154" s="403"/>
      <c r="AX154" s="403"/>
      <c r="AY154" s="403"/>
      <c r="AZ154" s="403"/>
      <c r="BA154" s="403"/>
      <c r="BB154" s="403" t="s">
        <v>10813</v>
      </c>
      <c r="BC154" s="403"/>
      <c r="BD154" s="403"/>
      <c r="BE154" s="403"/>
      <c r="BF154" s="403"/>
      <c r="BG154" s="403" t="s">
        <v>10228</v>
      </c>
      <c r="BH154" s="403"/>
      <c r="BI154" s="403"/>
      <c r="BJ154" s="403"/>
      <c r="BK154" s="403"/>
      <c r="BL154" s="403"/>
      <c r="BM154" s="403"/>
      <c r="BN154" s="403"/>
      <c r="BO154" s="403"/>
      <c r="BP154" s="403"/>
      <c r="BQ154" s="403"/>
      <c r="BR154" s="403"/>
      <c r="BS154" s="403"/>
      <c r="BT154" s="403"/>
      <c r="BU154" s="403" t="s">
        <v>10814</v>
      </c>
      <c r="BV154" s="403"/>
      <c r="BW154" s="403"/>
      <c r="BX154" s="403"/>
      <c r="BY154" s="403"/>
      <c r="BZ154" s="403" t="s">
        <v>10718</v>
      </c>
      <c r="CA154" s="403"/>
      <c r="CB154" s="403"/>
      <c r="CC154" s="403"/>
      <c r="CD154" s="403"/>
      <c r="CE154" s="403"/>
      <c r="CF154" s="403"/>
      <c r="CG154" s="403"/>
      <c r="CH154" s="403"/>
      <c r="CI154" s="403"/>
      <c r="CJ154" s="403"/>
      <c r="CK154" s="403"/>
      <c r="CL154" s="403"/>
      <c r="CM154" s="403"/>
      <c r="CN154" s="403" t="s">
        <v>10815</v>
      </c>
      <c r="CO154" s="403"/>
      <c r="CP154" s="403"/>
      <c r="CQ154" s="403"/>
      <c r="CR154" s="403"/>
      <c r="CS154" s="403" t="s">
        <v>8391</v>
      </c>
      <c r="CT154" s="403"/>
      <c r="CU154" s="403"/>
      <c r="CV154" s="403"/>
      <c r="CW154" s="403"/>
      <c r="CX154" s="403"/>
      <c r="CY154" s="403"/>
      <c r="CZ154" s="403"/>
      <c r="DA154" s="403"/>
      <c r="DB154" s="403"/>
      <c r="DC154" s="403"/>
      <c r="DD154" s="403"/>
      <c r="DE154" s="403"/>
      <c r="DF154" s="403"/>
      <c r="DG154" s="403" t="s">
        <v>10816</v>
      </c>
      <c r="DH154" s="403"/>
      <c r="DI154" s="403"/>
      <c r="DJ154" s="403"/>
      <c r="DK154" s="403"/>
      <c r="DL154" s="403" t="s">
        <v>10249</v>
      </c>
      <c r="DM154" s="403"/>
      <c r="DN154" s="403"/>
      <c r="DO154" s="403"/>
      <c r="DP154" s="403"/>
      <c r="DQ154" s="403"/>
      <c r="DR154" s="403"/>
      <c r="DS154" s="403"/>
      <c r="DT154" s="403"/>
      <c r="DU154" s="403"/>
      <c r="DV154" s="403"/>
      <c r="DW154" s="403"/>
      <c r="DX154" s="403"/>
      <c r="DY154" s="403"/>
      <c r="DZ154" s="403" t="s">
        <v>10817</v>
      </c>
      <c r="EA154" s="403"/>
      <c r="EB154" s="403"/>
      <c r="EC154" s="403"/>
      <c r="ED154" s="403"/>
      <c r="EE154" s="403" t="s">
        <v>8393</v>
      </c>
      <c r="EF154" s="403"/>
      <c r="EG154" s="403"/>
      <c r="EH154" s="403"/>
      <c r="EI154" s="403"/>
      <c r="EJ154" s="403"/>
      <c r="EK154" s="403"/>
      <c r="EL154" s="403"/>
      <c r="EM154" s="403"/>
      <c r="EN154" s="403"/>
      <c r="EO154" s="403"/>
      <c r="EP154" s="403"/>
      <c r="EQ154" s="403"/>
      <c r="ER154" s="403"/>
      <c r="ES154" s="403" t="s">
        <v>10818</v>
      </c>
      <c r="ET154" s="403"/>
    </row>
    <row r="155" spans="1:150" s="281" customFormat="1" x14ac:dyDescent="0.2">
      <c r="A155" s="350">
        <v>2</v>
      </c>
      <c r="C155" s="5" t="str">
        <f ca="1">IF(OFFSET(U155,0,Lang_Order*Lang__B4)="","",OFFSET(U155,0,Lang_Order*Lang__B4))</f>
        <v>Ultra-cold (-60 to -80C)</v>
      </c>
      <c r="J155" s="146"/>
      <c r="K155" s="146"/>
      <c r="L155" s="146"/>
      <c r="M155" s="146"/>
      <c r="N155" s="146"/>
      <c r="O155" s="146"/>
      <c r="P155" s="205">
        <v>0</v>
      </c>
      <c r="Q155" s="157" t="str">
        <f ca="1">IF(OFFSET(AI154,0,Lang_Order*Lang__B4)="","",OFFSET(AI154,0,Lang_Order*Lang__B4))</f>
        <v>If the volume of existing routine vaccines required is known, can be inputed here</v>
      </c>
      <c r="R155" s="403"/>
      <c r="S155" s="403"/>
      <c r="T155" s="403"/>
      <c r="U155" s="403" t="s">
        <v>13</v>
      </c>
      <c r="V155" s="403"/>
      <c r="W155" s="403"/>
      <c r="X155" s="403"/>
      <c r="Y155" s="403"/>
      <c r="Z155" s="403"/>
      <c r="AA155" s="403"/>
      <c r="AB155" s="403"/>
      <c r="AC155" s="403"/>
      <c r="AD155" s="403"/>
      <c r="AE155" s="403"/>
      <c r="AF155" s="403"/>
      <c r="AG155" s="403"/>
      <c r="AH155" s="403"/>
      <c r="AI155" s="403"/>
      <c r="AJ155" s="403"/>
      <c r="AK155" s="403"/>
      <c r="AL155" s="403"/>
      <c r="AM155" s="403"/>
      <c r="AN155" s="403" t="s">
        <v>8394</v>
      </c>
      <c r="AO155" s="403"/>
      <c r="AP155" s="403"/>
      <c r="AQ155" s="403"/>
      <c r="AR155" s="403"/>
      <c r="AS155" s="403"/>
      <c r="AT155" s="403"/>
      <c r="AU155" s="403"/>
      <c r="AV155" s="403"/>
      <c r="AW155" s="403"/>
      <c r="AX155" s="403"/>
      <c r="AY155" s="403"/>
      <c r="AZ155" s="403"/>
      <c r="BA155" s="403"/>
      <c r="BB155" s="403"/>
      <c r="BC155" s="403"/>
      <c r="BD155" s="403"/>
      <c r="BE155" s="403"/>
      <c r="BF155" s="403"/>
      <c r="BG155" s="403" t="s">
        <v>10229</v>
      </c>
      <c r="BH155" s="403"/>
      <c r="BI155" s="403"/>
      <c r="BJ155" s="403"/>
      <c r="BK155" s="403"/>
      <c r="BL155" s="403"/>
      <c r="BM155" s="403"/>
      <c r="BN155" s="403"/>
      <c r="BO155" s="403"/>
      <c r="BP155" s="403"/>
      <c r="BQ155" s="403"/>
      <c r="BR155" s="403"/>
      <c r="BS155" s="403"/>
      <c r="BT155" s="403"/>
      <c r="BU155" s="403"/>
      <c r="BV155" s="403"/>
      <c r="BW155" s="403"/>
      <c r="BX155" s="403"/>
      <c r="BY155" s="403"/>
      <c r="BZ155" s="403" t="s">
        <v>10237</v>
      </c>
      <c r="CA155" s="403"/>
      <c r="CB155" s="403"/>
      <c r="CC155" s="403"/>
      <c r="CD155" s="403"/>
      <c r="CE155" s="403"/>
      <c r="CF155" s="403"/>
      <c r="CG155" s="403"/>
      <c r="CH155" s="403"/>
      <c r="CI155" s="403"/>
      <c r="CJ155" s="403"/>
      <c r="CK155" s="403"/>
      <c r="CL155" s="403"/>
      <c r="CM155" s="403"/>
      <c r="CN155" s="403"/>
      <c r="CO155" s="403"/>
      <c r="CP155" s="403"/>
      <c r="CQ155" s="403"/>
      <c r="CR155" s="403"/>
      <c r="CS155" s="403" t="s">
        <v>8400</v>
      </c>
      <c r="CT155" s="403"/>
      <c r="CU155" s="403"/>
      <c r="CV155" s="403"/>
      <c r="CW155" s="403"/>
      <c r="CX155" s="403"/>
      <c r="CY155" s="403"/>
      <c r="CZ155" s="403"/>
      <c r="DA155" s="403"/>
      <c r="DB155" s="403"/>
      <c r="DC155" s="403"/>
      <c r="DD155" s="403"/>
      <c r="DE155" s="403"/>
      <c r="DF155" s="403"/>
      <c r="DG155" s="403"/>
      <c r="DH155" s="403"/>
      <c r="DI155" s="403"/>
      <c r="DJ155" s="403"/>
      <c r="DK155" s="403"/>
      <c r="DL155" s="403" t="s">
        <v>10250</v>
      </c>
      <c r="DM155" s="403"/>
      <c r="DN155" s="403"/>
      <c r="DO155" s="403"/>
      <c r="DP155" s="403"/>
      <c r="DQ155" s="403"/>
      <c r="DR155" s="403"/>
      <c r="DS155" s="403"/>
      <c r="DT155" s="403"/>
      <c r="DU155" s="403"/>
      <c r="DV155" s="403"/>
      <c r="DW155" s="403"/>
      <c r="DX155" s="403"/>
      <c r="DY155" s="403"/>
      <c r="DZ155" s="403"/>
      <c r="EA155" s="403"/>
      <c r="EB155" s="403"/>
      <c r="EC155" s="403"/>
      <c r="ED155" s="403"/>
      <c r="EE155" s="403" t="s">
        <v>8404</v>
      </c>
      <c r="EF155" s="403"/>
      <c r="EG155" s="403"/>
      <c r="EH155" s="403"/>
      <c r="EI155" s="403"/>
      <c r="EJ155" s="403"/>
      <c r="EK155" s="403"/>
      <c r="EL155" s="403"/>
      <c r="EM155" s="403"/>
      <c r="EN155" s="403"/>
      <c r="EO155" s="403"/>
      <c r="EP155" s="403"/>
      <c r="EQ155" s="403"/>
      <c r="ER155" s="403"/>
      <c r="ES155" s="403"/>
      <c r="ET155" s="403"/>
    </row>
    <row r="156" spans="1:150" s="281" customFormat="1" x14ac:dyDescent="0.2">
      <c r="C156" s="5"/>
      <c r="J156" s="146"/>
      <c r="K156" s="146"/>
      <c r="L156" s="146"/>
      <c r="M156" s="146"/>
      <c r="N156" s="146"/>
      <c r="O156" s="146"/>
      <c r="P156" s="287"/>
      <c r="Q156" s="16"/>
      <c r="R156" s="403"/>
      <c r="S156" s="403"/>
      <c r="T156" s="403"/>
      <c r="U156" s="403"/>
      <c r="V156" s="403"/>
      <c r="W156" s="403"/>
      <c r="X156" s="403"/>
      <c r="Y156" s="403"/>
      <c r="Z156" s="403"/>
      <c r="AA156" s="403"/>
      <c r="AB156" s="403"/>
      <c r="AC156" s="403"/>
      <c r="AD156" s="403"/>
      <c r="AE156" s="403"/>
      <c r="AF156" s="403"/>
      <c r="AG156" s="403"/>
      <c r="AH156" s="403"/>
      <c r="AI156" s="403"/>
      <c r="AJ156" s="403"/>
      <c r="AK156" s="403"/>
      <c r="AL156" s="403"/>
      <c r="AM156" s="403"/>
      <c r="AN156" s="403"/>
      <c r="AO156" s="403"/>
      <c r="AP156" s="403"/>
      <c r="AQ156" s="403"/>
      <c r="AR156" s="403"/>
      <c r="AS156" s="403"/>
      <c r="AT156" s="403"/>
      <c r="AU156" s="403"/>
      <c r="AV156" s="403"/>
      <c r="AW156" s="403"/>
      <c r="AX156" s="403"/>
      <c r="AY156" s="403"/>
      <c r="AZ156" s="403"/>
      <c r="BA156" s="403"/>
      <c r="BB156" s="403"/>
      <c r="BC156" s="403"/>
      <c r="BD156" s="403"/>
      <c r="BE156" s="403"/>
      <c r="BF156" s="403"/>
      <c r="BG156" s="403"/>
      <c r="BH156" s="403"/>
      <c r="BI156" s="403"/>
      <c r="BJ156" s="403"/>
      <c r="BK156" s="403"/>
      <c r="BL156" s="403"/>
      <c r="BM156" s="403"/>
      <c r="BN156" s="403"/>
      <c r="BO156" s="403"/>
      <c r="BP156" s="403"/>
      <c r="BQ156" s="403"/>
      <c r="BR156" s="403"/>
      <c r="BS156" s="403"/>
      <c r="BT156" s="403"/>
      <c r="BU156" s="403"/>
      <c r="BV156" s="403"/>
      <c r="BW156" s="403"/>
      <c r="BX156" s="403"/>
      <c r="BY156" s="403"/>
      <c r="BZ156" s="403"/>
      <c r="CA156" s="403"/>
      <c r="CB156" s="403"/>
      <c r="CC156" s="403"/>
      <c r="CD156" s="403"/>
      <c r="CE156" s="403"/>
      <c r="CF156" s="403"/>
      <c r="CG156" s="403"/>
      <c r="CH156" s="403"/>
      <c r="CI156" s="403"/>
      <c r="CJ156" s="403"/>
      <c r="CK156" s="403"/>
      <c r="CL156" s="403"/>
      <c r="CM156" s="403"/>
      <c r="CN156" s="403"/>
      <c r="CO156" s="403"/>
      <c r="CP156" s="403"/>
      <c r="CQ156" s="403"/>
      <c r="CR156" s="403"/>
      <c r="CS156" s="403"/>
      <c r="CT156" s="403"/>
      <c r="CU156" s="403"/>
      <c r="CV156" s="403"/>
      <c r="CW156" s="403"/>
      <c r="CX156" s="403"/>
      <c r="CY156" s="403"/>
      <c r="CZ156" s="403"/>
      <c r="DA156" s="403"/>
      <c r="DB156" s="403"/>
      <c r="DC156" s="403"/>
      <c r="DD156" s="403"/>
      <c r="DE156" s="403"/>
      <c r="DF156" s="403"/>
      <c r="DG156" s="403"/>
      <c r="DH156" s="403"/>
      <c r="DI156" s="403"/>
      <c r="DJ156" s="403"/>
      <c r="DK156" s="403"/>
      <c r="DL156" s="403"/>
      <c r="DM156" s="403"/>
      <c r="DN156" s="403"/>
      <c r="DO156" s="403"/>
      <c r="DP156" s="403"/>
      <c r="DQ156" s="403"/>
      <c r="DR156" s="403"/>
      <c r="DS156" s="403"/>
      <c r="DT156" s="403"/>
      <c r="DU156" s="403"/>
      <c r="DV156" s="403"/>
      <c r="DW156" s="403"/>
      <c r="DX156" s="403"/>
      <c r="DY156" s="403"/>
      <c r="DZ156" s="403"/>
      <c r="EA156" s="403"/>
      <c r="EB156" s="403"/>
      <c r="EC156" s="403"/>
      <c r="ED156" s="403"/>
      <c r="EE156" s="403"/>
      <c r="EF156" s="403"/>
      <c r="EG156" s="403"/>
      <c r="EH156" s="403"/>
      <c r="EI156" s="403"/>
      <c r="EJ156" s="403"/>
      <c r="EK156" s="403"/>
      <c r="EL156" s="403"/>
      <c r="EM156" s="403"/>
      <c r="EN156" s="403"/>
      <c r="EO156" s="403"/>
      <c r="EP156" s="403"/>
      <c r="EQ156" s="403"/>
      <c r="ER156" s="403"/>
      <c r="ES156" s="403"/>
      <c r="ET156" s="403"/>
    </row>
    <row r="157" spans="1:150" s="281" customFormat="1" ht="15" x14ac:dyDescent="0.25">
      <c r="B157" s="624" t="str">
        <f ca="1">IF(OFFSET(T157,0,Lang_Order*Lang__B4)="","",OFFSET(T157,0,Lang_Order*Lang__B4))</f>
        <v>Cold storage units required [PER REGION]</v>
      </c>
      <c r="C157" s="5"/>
      <c r="J157" s="294" t="str">
        <f t="shared" ref="J157:P157" ca="1" si="41">IF(OFFSET(AB157,0,Lang_Order*Lang__B4)="","",OFFSET(AB157,0,Lang_Order*Lang__B4))</f>
        <v>Refridgerator capacity per unit</v>
      </c>
      <c r="K157" s="294" t="str">
        <f t="shared" ca="1" si="41"/>
        <v>Freezer capacity per unit</v>
      </c>
      <c r="L157" s="294" t="str">
        <f t="shared" ca="1" si="41"/>
        <v>kWh per period</v>
      </c>
      <c r="M157" s="294" t="str">
        <f t="shared" ca="1" si="41"/>
        <v>Lower Price</v>
      </c>
      <c r="N157" s="294" t="str">
        <f t="shared" ca="1" si="41"/>
        <v>Upper Price</v>
      </c>
      <c r="O157" s="294" t="str">
        <f t="shared" ca="1" si="41"/>
        <v>Prequalified Price</v>
      </c>
      <c r="P157" s="297" t="str">
        <f t="shared" ca="1" si="41"/>
        <v>Units</v>
      </c>
      <c r="Q157" s="91"/>
      <c r="R157" s="403"/>
      <c r="S157" s="403"/>
      <c r="T157" s="403" t="s">
        <v>3607</v>
      </c>
      <c r="U157" s="403"/>
      <c r="V157" s="403"/>
      <c r="W157" s="403"/>
      <c r="X157" s="403"/>
      <c r="Y157" s="403"/>
      <c r="Z157" s="403"/>
      <c r="AA157" s="403"/>
      <c r="AB157" s="403" t="s">
        <v>3575</v>
      </c>
      <c r="AC157" s="403" t="s">
        <v>3576</v>
      </c>
      <c r="AD157" s="403" t="s">
        <v>3212</v>
      </c>
      <c r="AE157" s="403" t="s">
        <v>3591</v>
      </c>
      <c r="AF157" s="403" t="s">
        <v>3590</v>
      </c>
      <c r="AG157" s="403" t="s">
        <v>4618</v>
      </c>
      <c r="AH157" s="403" t="s">
        <v>37</v>
      </c>
      <c r="AI157" s="403"/>
      <c r="AJ157" s="403"/>
      <c r="AK157" s="403"/>
      <c r="AL157" s="403"/>
      <c r="AM157" s="403" t="s">
        <v>10995</v>
      </c>
      <c r="AN157" s="403"/>
      <c r="AO157" s="403"/>
      <c r="AP157" s="403"/>
      <c r="AQ157" s="403"/>
      <c r="AR157" s="403"/>
      <c r="AS157" s="403"/>
      <c r="AT157" s="403"/>
      <c r="AU157" s="403" t="s">
        <v>10820</v>
      </c>
      <c r="AV157" s="403" t="s">
        <v>10821</v>
      </c>
      <c r="AW157" s="403" t="s">
        <v>10996</v>
      </c>
      <c r="AX157" s="403" t="s">
        <v>10823</v>
      </c>
      <c r="AY157" s="403" t="s">
        <v>10824</v>
      </c>
      <c r="AZ157" s="403" t="s">
        <v>10825</v>
      </c>
      <c r="BA157" s="403" t="s">
        <v>8153</v>
      </c>
      <c r="BB157" s="403"/>
      <c r="BC157" s="403"/>
      <c r="BD157" s="403"/>
      <c r="BE157" s="403"/>
      <c r="BF157" s="403" t="s">
        <v>10997</v>
      </c>
      <c r="BG157" s="403"/>
      <c r="BH157" s="403"/>
      <c r="BI157" s="403"/>
      <c r="BJ157" s="403"/>
      <c r="BK157" s="403"/>
      <c r="BL157" s="403"/>
      <c r="BM157" s="403"/>
      <c r="BN157" s="403" t="s">
        <v>10827</v>
      </c>
      <c r="BO157" s="403" t="s">
        <v>10828</v>
      </c>
      <c r="BP157" s="403" t="s">
        <v>10829</v>
      </c>
      <c r="BQ157" s="403" t="s">
        <v>10830</v>
      </c>
      <c r="BR157" s="403" t="s">
        <v>10831</v>
      </c>
      <c r="BS157" s="403" t="s">
        <v>13305</v>
      </c>
      <c r="BT157" s="403" t="s">
        <v>10832</v>
      </c>
      <c r="BU157" s="403"/>
      <c r="BV157" s="403"/>
      <c r="BW157" s="403"/>
      <c r="BX157" s="403"/>
      <c r="BY157" s="403" t="s">
        <v>10998</v>
      </c>
      <c r="BZ157" s="403"/>
      <c r="CA157" s="403"/>
      <c r="CB157" s="403"/>
      <c r="CC157" s="403"/>
      <c r="CD157" s="403"/>
      <c r="CE157" s="403"/>
      <c r="CF157" s="403"/>
      <c r="CG157" s="403" t="s">
        <v>10834</v>
      </c>
      <c r="CH157" s="403" t="s">
        <v>10835</v>
      </c>
      <c r="CI157" s="403" t="s">
        <v>10999</v>
      </c>
      <c r="CJ157" s="403" t="s">
        <v>10837</v>
      </c>
      <c r="CK157" s="403" t="s">
        <v>10838</v>
      </c>
      <c r="CL157" s="403" t="s">
        <v>13306</v>
      </c>
      <c r="CM157" s="403" t="s">
        <v>8159</v>
      </c>
      <c r="CN157" s="403"/>
      <c r="CO157" s="403"/>
      <c r="CP157" s="403"/>
      <c r="CQ157" s="403"/>
      <c r="CR157" s="403" t="s">
        <v>11000</v>
      </c>
      <c r="CS157" s="403"/>
      <c r="CT157" s="403"/>
      <c r="CU157" s="403"/>
      <c r="CV157" s="403"/>
      <c r="CW157" s="403"/>
      <c r="CX157" s="403"/>
      <c r="CY157" s="403"/>
      <c r="CZ157" s="403" t="s">
        <v>10840</v>
      </c>
      <c r="DA157" s="403" t="s">
        <v>10841</v>
      </c>
      <c r="DB157" s="403" t="s">
        <v>11001</v>
      </c>
      <c r="DC157" s="403" t="s">
        <v>10843</v>
      </c>
      <c r="DD157" s="403" t="s">
        <v>10844</v>
      </c>
      <c r="DE157" s="403" t="s">
        <v>10845</v>
      </c>
      <c r="DF157" s="403" t="s">
        <v>8159</v>
      </c>
      <c r="DG157" s="403"/>
      <c r="DH157" s="403"/>
      <c r="DI157" s="403"/>
      <c r="DJ157" s="403"/>
      <c r="DK157" s="403" t="s">
        <v>11002</v>
      </c>
      <c r="DL157" s="403"/>
      <c r="DM157" s="403"/>
      <c r="DN157" s="403"/>
      <c r="DO157" s="403"/>
      <c r="DP157" s="403"/>
      <c r="DQ157" s="403"/>
      <c r="DR157" s="403"/>
      <c r="DS157" s="403" t="s">
        <v>11003</v>
      </c>
      <c r="DT157" s="403" t="s">
        <v>11004</v>
      </c>
      <c r="DU157" s="403" t="s">
        <v>11005</v>
      </c>
      <c r="DV157" s="403" t="s">
        <v>10915</v>
      </c>
      <c r="DW157" s="403" t="s">
        <v>10916</v>
      </c>
      <c r="DX157" s="403" t="s">
        <v>13307</v>
      </c>
      <c r="DY157" s="403" t="s">
        <v>5709</v>
      </c>
      <c r="DZ157" s="403"/>
      <c r="EA157" s="403"/>
      <c r="EB157" s="403"/>
      <c r="EC157" s="403"/>
      <c r="ED157" s="403" t="s">
        <v>11006</v>
      </c>
      <c r="EE157" s="403"/>
      <c r="EF157" s="403"/>
      <c r="EG157" s="403"/>
      <c r="EH157" s="403"/>
      <c r="EI157" s="403"/>
      <c r="EJ157" s="403"/>
      <c r="EK157" s="403"/>
      <c r="EL157" s="403" t="s">
        <v>10853</v>
      </c>
      <c r="EM157" s="403" t="s">
        <v>11007</v>
      </c>
      <c r="EN157" s="403" t="s">
        <v>11008</v>
      </c>
      <c r="EO157" s="403" t="s">
        <v>10856</v>
      </c>
      <c r="EP157" s="403" t="s">
        <v>10857</v>
      </c>
      <c r="EQ157" s="403" t="s">
        <v>13308</v>
      </c>
      <c r="ER157" s="403" t="s">
        <v>10858</v>
      </c>
      <c r="ES157" s="403"/>
      <c r="ET157" s="403"/>
    </row>
    <row r="158" spans="1:150" s="281" customFormat="1" x14ac:dyDescent="0.2">
      <c r="C158" s="72"/>
      <c r="D158" s="78" t="str">
        <f ca="1">IF(OFFSET(V158,0,Lang_Order*Lang__B4)="","",OFFSET(V158,0,Lang_Order*Lang__B4))</f>
        <v>WHO PQS CCEs - NO ENDORSEMENT OF ANY PRODUCT - USER TO CHOOSE PRODUCT AS DESIRED</v>
      </c>
      <c r="L158" s="146"/>
      <c r="M158" s="146"/>
      <c r="N158" s="146"/>
      <c r="O158" s="146"/>
      <c r="P158" s="287"/>
      <c r="Q158" s="91"/>
      <c r="R158" s="403"/>
      <c r="S158" s="403"/>
      <c r="T158" s="403"/>
      <c r="U158" s="403"/>
      <c r="V158" s="403" t="s">
        <v>3656</v>
      </c>
      <c r="W158" s="403"/>
      <c r="X158" s="403"/>
      <c r="Y158" s="403"/>
      <c r="Z158" s="403"/>
      <c r="AA158" s="403"/>
      <c r="AB158" s="403"/>
      <c r="AC158" s="403"/>
      <c r="AD158" s="403"/>
      <c r="AE158" s="403"/>
      <c r="AF158" s="403"/>
      <c r="AG158" s="403"/>
      <c r="AH158" s="403"/>
      <c r="AI158" s="403"/>
      <c r="AJ158" s="403"/>
      <c r="AK158" s="403"/>
      <c r="AL158" s="403"/>
      <c r="AM158" s="403"/>
      <c r="AN158" s="403"/>
      <c r="AO158" s="403" t="s">
        <v>11009</v>
      </c>
      <c r="AP158" s="403"/>
      <c r="AQ158" s="403"/>
      <c r="AR158" s="403"/>
      <c r="AS158" s="403"/>
      <c r="AT158" s="403"/>
      <c r="AU158" s="403"/>
      <c r="AV158" s="403"/>
      <c r="AW158" s="403"/>
      <c r="AX158" s="403"/>
      <c r="AY158" s="403"/>
      <c r="AZ158" s="403"/>
      <c r="BA158" s="403"/>
      <c r="BB158" s="403"/>
      <c r="BC158" s="403"/>
      <c r="BD158" s="403"/>
      <c r="BE158" s="403"/>
      <c r="BF158" s="403"/>
      <c r="BG158" s="403"/>
      <c r="BH158" s="403" t="s">
        <v>11010</v>
      </c>
      <c r="BI158" s="403"/>
      <c r="BJ158" s="403"/>
      <c r="BK158" s="403"/>
      <c r="BL158" s="403"/>
      <c r="BM158" s="403"/>
      <c r="BN158" s="403"/>
      <c r="BO158" s="403"/>
      <c r="BP158" s="403"/>
      <c r="BQ158" s="403"/>
      <c r="BR158" s="403"/>
      <c r="BS158" s="403"/>
      <c r="BT158" s="403"/>
      <c r="BU158" s="403"/>
      <c r="BV158" s="403"/>
      <c r="BW158" s="403"/>
      <c r="BX158" s="403"/>
      <c r="BY158" s="403"/>
      <c r="BZ158" s="403"/>
      <c r="CA158" s="403" t="s">
        <v>10861</v>
      </c>
      <c r="CB158" s="403"/>
      <c r="CC158" s="403"/>
      <c r="CD158" s="403"/>
      <c r="CE158" s="403"/>
      <c r="CF158" s="403"/>
      <c r="CG158" s="403"/>
      <c r="CH158" s="403"/>
      <c r="CI158" s="403"/>
      <c r="CJ158" s="403"/>
      <c r="CK158" s="403"/>
      <c r="CL158" s="403"/>
      <c r="CM158" s="403"/>
      <c r="CN158" s="403"/>
      <c r="CO158" s="403"/>
      <c r="CP158" s="403"/>
      <c r="CQ158" s="403"/>
      <c r="CR158" s="403"/>
      <c r="CS158" s="403"/>
      <c r="CT158" s="403" t="s">
        <v>11011</v>
      </c>
      <c r="CU158" s="403"/>
      <c r="CV158" s="403"/>
      <c r="CW158" s="403"/>
      <c r="CX158" s="403"/>
      <c r="CY158" s="403"/>
      <c r="CZ158" s="403"/>
      <c r="DA158" s="403"/>
      <c r="DB158" s="403"/>
      <c r="DC158" s="403"/>
      <c r="DD158" s="403"/>
      <c r="DE158" s="403"/>
      <c r="DF158" s="403"/>
      <c r="DG158" s="403"/>
      <c r="DH158" s="403"/>
      <c r="DI158" s="403"/>
      <c r="DJ158" s="403"/>
      <c r="DK158" s="403"/>
      <c r="DL158" s="403"/>
      <c r="DM158" s="403" t="s">
        <v>10863</v>
      </c>
      <c r="DN158" s="403"/>
      <c r="DO158" s="403"/>
      <c r="DP158" s="403"/>
      <c r="DQ158" s="403"/>
      <c r="DR158" s="403"/>
      <c r="DS158" s="403"/>
      <c r="DT158" s="403"/>
      <c r="DU158" s="403"/>
      <c r="DV158" s="403"/>
      <c r="DW158" s="403"/>
      <c r="DX158" s="403"/>
      <c r="DY158" s="403"/>
      <c r="DZ158" s="403"/>
      <c r="EA158" s="403"/>
      <c r="EB158" s="403"/>
      <c r="EC158" s="403"/>
      <c r="ED158" s="403"/>
      <c r="EE158" s="403"/>
      <c r="EF158" s="403" t="s">
        <v>10864</v>
      </c>
      <c r="EG158" s="403"/>
      <c r="EH158" s="403"/>
      <c r="EI158" s="403"/>
      <c r="EJ158" s="403"/>
      <c r="EK158" s="403"/>
      <c r="EL158" s="403"/>
      <c r="EM158" s="403"/>
      <c r="EN158" s="403"/>
      <c r="EO158" s="403"/>
      <c r="EP158" s="403"/>
      <c r="EQ158" s="403"/>
      <c r="ER158" s="403"/>
      <c r="ES158" s="403"/>
      <c r="ET158" s="403"/>
    </row>
    <row r="159" spans="1:150" s="281" customFormat="1" x14ac:dyDescent="0.2">
      <c r="A159" s="350">
        <v>2</v>
      </c>
      <c r="C159" s="5" t="str">
        <f ca="1">IF(OFFSET(U159,0,Lang_Order*Lang__B4)="","",OFFSET(U159,0,Lang_Order*Lang__B4))</f>
        <v>Refrigerated (2 to 8C)</v>
      </c>
      <c r="D159" s="500" t="s">
        <v>3709</v>
      </c>
      <c r="J159" s="293">
        <f>VLOOKUP($D159,CCE[],7,FALSE)</f>
        <v>211</v>
      </c>
      <c r="K159" s="293">
        <f>VLOOKUP($D159,CCE[],8,FALSE)</f>
        <v>0</v>
      </c>
      <c r="L159" s="501">
        <f>VLOOKUP($D159,CCE[],21,FALSE)*Time_period</f>
        <v>291.60000000000002</v>
      </c>
      <c r="M159" s="207">
        <f>VLOOKUP($D159,CCE[],13,FALSE)</f>
        <v>1468</v>
      </c>
      <c r="N159" s="207">
        <f>VLOOKUP($D159,CCE[],14,FALSE)</f>
        <v>2418</v>
      </c>
      <c r="O159" s="207">
        <f>VLOOKUP($D159,CCE[],10,FALSE)</f>
        <v>1068</v>
      </c>
      <c r="P159" s="208" t="e">
        <f>MAX(0,ROUNDUP((P147+P153-(J160*P160))/J159,0))</f>
        <v>#N/A</v>
      </c>
      <c r="Q159" s="91"/>
      <c r="R159" s="403"/>
      <c r="S159" s="403"/>
      <c r="T159" s="403"/>
      <c r="U159" s="403" t="s">
        <v>11</v>
      </c>
      <c r="V159" s="403"/>
      <c r="W159" s="403"/>
      <c r="X159" s="403"/>
      <c r="Y159" s="403"/>
      <c r="Z159" s="403"/>
      <c r="AA159" s="403"/>
      <c r="AB159" s="403"/>
      <c r="AC159" s="403"/>
      <c r="AD159" s="403"/>
      <c r="AE159" s="403"/>
      <c r="AF159" s="403"/>
      <c r="AG159" s="403"/>
      <c r="AH159" s="403"/>
      <c r="AI159" s="403"/>
      <c r="AJ159" s="403"/>
      <c r="AK159" s="403"/>
      <c r="AL159" s="403"/>
      <c r="AM159" s="403"/>
      <c r="AN159" s="403" t="s">
        <v>10714</v>
      </c>
      <c r="AO159" s="403"/>
      <c r="AP159" s="403"/>
      <c r="AQ159" s="403"/>
      <c r="AR159" s="403"/>
      <c r="AS159" s="403"/>
      <c r="AT159" s="403"/>
      <c r="AU159" s="403"/>
      <c r="AV159" s="403"/>
      <c r="AW159" s="403"/>
      <c r="AX159" s="403"/>
      <c r="AY159" s="403"/>
      <c r="AZ159" s="403"/>
      <c r="BA159" s="403"/>
      <c r="BB159" s="403"/>
      <c r="BC159" s="403"/>
      <c r="BD159" s="403"/>
      <c r="BE159" s="403"/>
      <c r="BF159" s="403"/>
      <c r="BG159" s="403" t="s">
        <v>10227</v>
      </c>
      <c r="BH159" s="403"/>
      <c r="BI159" s="403"/>
      <c r="BJ159" s="403"/>
      <c r="BK159" s="403"/>
      <c r="BL159" s="403"/>
      <c r="BM159" s="403"/>
      <c r="BN159" s="403"/>
      <c r="BO159" s="403"/>
      <c r="BP159" s="403"/>
      <c r="BQ159" s="403"/>
      <c r="BR159" s="403"/>
      <c r="BS159" s="403"/>
      <c r="BT159" s="403"/>
      <c r="BU159" s="403"/>
      <c r="BV159" s="403"/>
      <c r="BW159" s="403"/>
      <c r="BX159" s="403"/>
      <c r="BY159" s="403"/>
      <c r="BZ159" s="403" t="s">
        <v>10715</v>
      </c>
      <c r="CA159" s="403"/>
      <c r="CB159" s="403"/>
      <c r="CC159" s="403"/>
      <c r="CD159" s="403"/>
      <c r="CE159" s="403"/>
      <c r="CF159" s="403"/>
      <c r="CG159" s="403"/>
      <c r="CH159" s="403"/>
      <c r="CI159" s="403"/>
      <c r="CJ159" s="403"/>
      <c r="CK159" s="403"/>
      <c r="CL159" s="403"/>
      <c r="CM159" s="403"/>
      <c r="CN159" s="403"/>
      <c r="CO159" s="403"/>
      <c r="CP159" s="403"/>
      <c r="CQ159" s="403"/>
      <c r="CR159" s="403"/>
      <c r="CS159" s="403" t="s">
        <v>8384</v>
      </c>
      <c r="CT159" s="403"/>
      <c r="CU159" s="403"/>
      <c r="CV159" s="403"/>
      <c r="CW159" s="403"/>
      <c r="CX159" s="403"/>
      <c r="CY159" s="403"/>
      <c r="CZ159" s="403"/>
      <c r="DA159" s="403"/>
      <c r="DB159" s="403"/>
      <c r="DC159" s="403"/>
      <c r="DD159" s="403"/>
      <c r="DE159" s="403"/>
      <c r="DF159" s="403"/>
      <c r="DG159" s="403"/>
      <c r="DH159" s="403"/>
      <c r="DI159" s="403"/>
      <c r="DJ159" s="403"/>
      <c r="DK159" s="403"/>
      <c r="DL159" s="403" t="s">
        <v>10248</v>
      </c>
      <c r="DM159" s="403"/>
      <c r="DN159" s="403"/>
      <c r="DO159" s="403"/>
      <c r="DP159" s="403"/>
      <c r="DQ159" s="403"/>
      <c r="DR159" s="403"/>
      <c r="DS159" s="403"/>
      <c r="DT159" s="403"/>
      <c r="DU159" s="403"/>
      <c r="DV159" s="403"/>
      <c r="DW159" s="403"/>
      <c r="DX159" s="403"/>
      <c r="DY159" s="403"/>
      <c r="DZ159" s="403"/>
      <c r="EA159" s="403"/>
      <c r="EB159" s="403"/>
      <c r="EC159" s="403"/>
      <c r="ED159" s="403"/>
      <c r="EE159" s="403" t="s">
        <v>8387</v>
      </c>
      <c r="EF159" s="403"/>
      <c r="EG159" s="403"/>
      <c r="EH159" s="403"/>
      <c r="EI159" s="403"/>
      <c r="EJ159" s="403"/>
      <c r="EK159" s="403"/>
      <c r="EL159" s="403"/>
      <c r="EM159" s="403"/>
      <c r="EN159" s="403"/>
      <c r="EO159" s="403"/>
      <c r="EP159" s="403"/>
      <c r="EQ159" s="403"/>
      <c r="ER159" s="403"/>
      <c r="ES159" s="403"/>
      <c r="ET159" s="403"/>
    </row>
    <row r="160" spans="1:150" s="281" customFormat="1" x14ac:dyDescent="0.2">
      <c r="A160" s="350">
        <v>2</v>
      </c>
      <c r="C160" s="5" t="str">
        <f ca="1">IF(OFFSET(U160,0,Lang_Order*Lang__B4)="","",OFFSET(U160,0,Lang_Order*Lang__B4))</f>
        <v>Frozen (-20C)</v>
      </c>
      <c r="D160" s="500" t="s">
        <v>4511</v>
      </c>
      <c r="J160" s="293">
        <f>VLOOKUP($D160,CCE[],7,FALSE)</f>
        <v>0</v>
      </c>
      <c r="K160" s="293">
        <f>VLOOKUP($D160,CCE[],8,FALSE)</f>
        <v>298</v>
      </c>
      <c r="L160" s="501">
        <f>VLOOKUP($D160,CCE[],21,FALSE)*Time_period</f>
        <v>784.80000000000007</v>
      </c>
      <c r="M160" s="207">
        <f>VLOOKUP($D160,CCE[],13,FALSE)</f>
        <v>1028</v>
      </c>
      <c r="N160" s="207">
        <f>VLOOKUP($D160,CCE[],14,FALSE)</f>
        <v>1978</v>
      </c>
      <c r="O160" s="207">
        <f>VLOOKUP($D160,CCE[],10,FALSE)</f>
        <v>628</v>
      </c>
      <c r="P160" s="208" t="e">
        <f>ROUNDUP((P148+P154)/K160,0)</f>
        <v>#N/A</v>
      </c>
      <c r="Q160" s="91"/>
      <c r="R160" s="403"/>
      <c r="S160" s="403"/>
      <c r="T160" s="403"/>
      <c r="U160" s="403" t="s">
        <v>12</v>
      </c>
      <c r="V160" s="403"/>
      <c r="W160" s="403"/>
      <c r="X160" s="403"/>
      <c r="Y160" s="403"/>
      <c r="Z160" s="403"/>
      <c r="AA160" s="403"/>
      <c r="AB160" s="403"/>
      <c r="AC160" s="403"/>
      <c r="AD160" s="403"/>
      <c r="AE160" s="403"/>
      <c r="AF160" s="403"/>
      <c r="AG160" s="403"/>
      <c r="AH160" s="403"/>
      <c r="AI160" s="403"/>
      <c r="AJ160" s="403"/>
      <c r="AK160" s="403"/>
      <c r="AL160" s="403"/>
      <c r="AM160" s="403"/>
      <c r="AN160" s="403" t="s">
        <v>10717</v>
      </c>
      <c r="AO160" s="403"/>
      <c r="AP160" s="403"/>
      <c r="AQ160" s="403"/>
      <c r="AR160" s="403"/>
      <c r="AS160" s="403"/>
      <c r="AT160" s="403"/>
      <c r="AU160" s="403"/>
      <c r="AV160" s="403"/>
      <c r="AW160" s="403"/>
      <c r="AX160" s="403"/>
      <c r="AY160" s="403"/>
      <c r="AZ160" s="403"/>
      <c r="BA160" s="403"/>
      <c r="BB160" s="403"/>
      <c r="BC160" s="403"/>
      <c r="BD160" s="403"/>
      <c r="BE160" s="403"/>
      <c r="BF160" s="403"/>
      <c r="BG160" s="403" t="s">
        <v>10228</v>
      </c>
      <c r="BH160" s="403"/>
      <c r="BI160" s="403"/>
      <c r="BJ160" s="403"/>
      <c r="BK160" s="403"/>
      <c r="BL160" s="403"/>
      <c r="BM160" s="403"/>
      <c r="BN160" s="403"/>
      <c r="BO160" s="403"/>
      <c r="BP160" s="403"/>
      <c r="BQ160" s="403"/>
      <c r="BR160" s="403"/>
      <c r="BS160" s="403"/>
      <c r="BT160" s="403"/>
      <c r="BU160" s="403"/>
      <c r="BV160" s="403"/>
      <c r="BW160" s="403"/>
      <c r="BX160" s="403"/>
      <c r="BY160" s="403"/>
      <c r="BZ160" s="403" t="s">
        <v>10718</v>
      </c>
      <c r="CA160" s="403"/>
      <c r="CB160" s="403"/>
      <c r="CC160" s="403"/>
      <c r="CD160" s="403"/>
      <c r="CE160" s="403"/>
      <c r="CF160" s="403"/>
      <c r="CG160" s="403"/>
      <c r="CH160" s="403"/>
      <c r="CI160" s="403"/>
      <c r="CJ160" s="403"/>
      <c r="CK160" s="403"/>
      <c r="CL160" s="403"/>
      <c r="CM160" s="403"/>
      <c r="CN160" s="403"/>
      <c r="CO160" s="403"/>
      <c r="CP160" s="403"/>
      <c r="CQ160" s="403"/>
      <c r="CR160" s="403"/>
      <c r="CS160" s="403" t="s">
        <v>8391</v>
      </c>
      <c r="CT160" s="403"/>
      <c r="CU160" s="403"/>
      <c r="CV160" s="403"/>
      <c r="CW160" s="403"/>
      <c r="CX160" s="403"/>
      <c r="CY160" s="403"/>
      <c r="CZ160" s="403"/>
      <c r="DA160" s="403"/>
      <c r="DB160" s="403"/>
      <c r="DC160" s="403"/>
      <c r="DD160" s="403"/>
      <c r="DE160" s="403"/>
      <c r="DF160" s="403"/>
      <c r="DG160" s="403"/>
      <c r="DH160" s="403"/>
      <c r="DI160" s="403"/>
      <c r="DJ160" s="403"/>
      <c r="DK160" s="403"/>
      <c r="DL160" s="403" t="s">
        <v>10249</v>
      </c>
      <c r="DM160" s="403"/>
      <c r="DN160" s="403"/>
      <c r="DO160" s="403"/>
      <c r="DP160" s="403"/>
      <c r="DQ160" s="403"/>
      <c r="DR160" s="403"/>
      <c r="DS160" s="403"/>
      <c r="DT160" s="403"/>
      <c r="DU160" s="403"/>
      <c r="DV160" s="403"/>
      <c r="DW160" s="403"/>
      <c r="DX160" s="403"/>
      <c r="DY160" s="403"/>
      <c r="DZ160" s="403"/>
      <c r="EA160" s="403"/>
      <c r="EB160" s="403"/>
      <c r="EC160" s="403"/>
      <c r="ED160" s="403"/>
      <c r="EE160" s="403" t="s">
        <v>8393</v>
      </c>
      <c r="EF160" s="403"/>
      <c r="EG160" s="403"/>
      <c r="EH160" s="403"/>
      <c r="EI160" s="403"/>
      <c r="EJ160" s="403"/>
      <c r="EK160" s="403"/>
      <c r="EL160" s="403"/>
      <c r="EM160" s="403"/>
      <c r="EN160" s="403"/>
      <c r="EO160" s="403"/>
      <c r="EP160" s="403"/>
      <c r="EQ160" s="403"/>
      <c r="ER160" s="403"/>
      <c r="ES160" s="403"/>
      <c r="ET160" s="403"/>
    </row>
    <row r="161" spans="1:150" s="281" customFormat="1" x14ac:dyDescent="0.2">
      <c r="A161" s="350">
        <v>2</v>
      </c>
      <c r="B161" s="567"/>
      <c r="C161" s="5" t="str">
        <f ca="1">IF(OFFSET(U161,0,Lang_Order*Lang__B4)="","",OFFSET(U161,0,Lang_Order*Lang__B4))</f>
        <v>Ultra-cold (-60 to -80C)</v>
      </c>
      <c r="D161" s="500" t="s">
        <v>4509</v>
      </c>
      <c r="K161" s="293">
        <f>VLOOKUP($D161,CCE[],8,FALSE)</f>
        <v>900</v>
      </c>
      <c r="L161" s="501">
        <f>VLOOKUP($D161,CCE[],21,FALSE)*Time_period</f>
        <v>1872</v>
      </c>
      <c r="M161" s="207">
        <f>VLOOKUP($D161,CCE[],13,FALSE)</f>
        <v>8212</v>
      </c>
      <c r="N161" s="207">
        <f>VLOOKUP($D161,CCE[],14,FALSE)</f>
        <v>8212</v>
      </c>
      <c r="O161" s="207">
        <f>VLOOKUP($D161,CCE[],10,FALSE)</f>
        <v>6912</v>
      </c>
      <c r="P161" s="208" t="e">
        <f>ROUNDUP((P149+P155)/K161,0)</f>
        <v>#N/A</v>
      </c>
      <c r="Q161" s="47"/>
      <c r="R161" s="403"/>
      <c r="S161" s="403"/>
      <c r="T161" s="403"/>
      <c r="U161" s="403" t="s">
        <v>13</v>
      </c>
      <c r="V161" s="403"/>
      <c r="W161" s="403"/>
      <c r="X161" s="403"/>
      <c r="Y161" s="403"/>
      <c r="Z161" s="403"/>
      <c r="AA161" s="403"/>
      <c r="AB161" s="403"/>
      <c r="AC161" s="403"/>
      <c r="AD161" s="403"/>
      <c r="AE161" s="403"/>
      <c r="AF161" s="403"/>
      <c r="AG161" s="403"/>
      <c r="AH161" s="403"/>
      <c r="AI161" s="403"/>
      <c r="AJ161" s="403"/>
      <c r="AK161" s="403"/>
      <c r="AL161" s="403"/>
      <c r="AM161" s="403"/>
      <c r="AN161" s="403" t="s">
        <v>8394</v>
      </c>
      <c r="AO161" s="403"/>
      <c r="AP161" s="403"/>
      <c r="AQ161" s="403"/>
      <c r="AR161" s="403"/>
      <c r="AS161" s="403"/>
      <c r="AT161" s="403"/>
      <c r="AU161" s="403"/>
      <c r="AV161" s="403"/>
      <c r="AW161" s="403"/>
      <c r="AX161" s="403"/>
      <c r="AY161" s="403"/>
      <c r="AZ161" s="403"/>
      <c r="BA161" s="403"/>
      <c r="BB161" s="403"/>
      <c r="BC161" s="403"/>
      <c r="BD161" s="403"/>
      <c r="BE161" s="403"/>
      <c r="BF161" s="403"/>
      <c r="BG161" s="403" t="s">
        <v>10229</v>
      </c>
      <c r="BH161" s="403"/>
      <c r="BI161" s="403"/>
      <c r="BJ161" s="403"/>
      <c r="BK161" s="403"/>
      <c r="BL161" s="403"/>
      <c r="BM161" s="403"/>
      <c r="BN161" s="403"/>
      <c r="BO161" s="403"/>
      <c r="BP161" s="403"/>
      <c r="BQ161" s="403"/>
      <c r="BR161" s="403"/>
      <c r="BS161" s="403"/>
      <c r="BT161" s="403"/>
      <c r="BU161" s="403"/>
      <c r="BV161" s="403"/>
      <c r="BW161" s="403"/>
      <c r="BX161" s="403"/>
      <c r="BY161" s="403"/>
      <c r="BZ161" s="403" t="s">
        <v>10237</v>
      </c>
      <c r="CA161" s="403"/>
      <c r="CB161" s="403"/>
      <c r="CC161" s="403"/>
      <c r="CD161" s="403"/>
      <c r="CE161" s="403"/>
      <c r="CF161" s="403"/>
      <c r="CG161" s="403"/>
      <c r="CH161" s="403"/>
      <c r="CI161" s="403"/>
      <c r="CJ161" s="403"/>
      <c r="CK161" s="403"/>
      <c r="CL161" s="403"/>
      <c r="CM161" s="403"/>
      <c r="CN161" s="403"/>
      <c r="CO161" s="403"/>
      <c r="CP161" s="403"/>
      <c r="CQ161" s="403"/>
      <c r="CR161" s="403"/>
      <c r="CS161" s="403" t="s">
        <v>8400</v>
      </c>
      <c r="CT161" s="403"/>
      <c r="CU161" s="403"/>
      <c r="CV161" s="403"/>
      <c r="CW161" s="403"/>
      <c r="CX161" s="403"/>
      <c r="CY161" s="403"/>
      <c r="CZ161" s="403"/>
      <c r="DA161" s="403"/>
      <c r="DB161" s="403"/>
      <c r="DC161" s="403"/>
      <c r="DD161" s="403"/>
      <c r="DE161" s="403"/>
      <c r="DF161" s="403"/>
      <c r="DG161" s="403"/>
      <c r="DH161" s="403"/>
      <c r="DI161" s="403"/>
      <c r="DJ161" s="403"/>
      <c r="DK161" s="403"/>
      <c r="DL161" s="403" t="s">
        <v>10250</v>
      </c>
      <c r="DM161" s="403"/>
      <c r="DN161" s="403"/>
      <c r="DO161" s="403"/>
      <c r="DP161" s="403"/>
      <c r="DQ161" s="403"/>
      <c r="DR161" s="403"/>
      <c r="DS161" s="403"/>
      <c r="DT161" s="403"/>
      <c r="DU161" s="403"/>
      <c r="DV161" s="403"/>
      <c r="DW161" s="403"/>
      <c r="DX161" s="403"/>
      <c r="DY161" s="403"/>
      <c r="DZ161" s="403"/>
      <c r="EA161" s="403"/>
      <c r="EB161" s="403"/>
      <c r="EC161" s="403"/>
      <c r="ED161" s="403"/>
      <c r="EE161" s="403" t="s">
        <v>8404</v>
      </c>
      <c r="EF161" s="403"/>
      <c r="EG161" s="403"/>
      <c r="EH161" s="403"/>
      <c r="EI161" s="403"/>
      <c r="EJ161" s="403"/>
      <c r="EK161" s="403"/>
      <c r="EL161" s="403"/>
      <c r="EM161" s="403"/>
      <c r="EN161" s="403"/>
      <c r="EO161" s="403"/>
      <c r="EP161" s="403"/>
      <c r="EQ161" s="403"/>
      <c r="ER161" s="403"/>
      <c r="ES161" s="403"/>
      <c r="ET161" s="403"/>
    </row>
    <row r="162" spans="1:150" s="281" customFormat="1" x14ac:dyDescent="0.2">
      <c r="C162" s="5" t="str">
        <f ca="1">IF(OFFSET(U162,0,Lang_Order*Lang__B4)="","",OFFSET(U162,0,Lang_Order*Lang__B4))</f>
        <v>Ice pack freezers</v>
      </c>
      <c r="D162" s="567" t="str">
        <f ca="1">IF(OFFSET(V162,0,Lang_Order*Lang__B4)="","",OFFSET(V162,0,Lang_Order*Lang__B4))</f>
        <v>No model choice</v>
      </c>
      <c r="J162" s="146"/>
      <c r="L162" s="501">
        <v>360</v>
      </c>
      <c r="M162" s="207">
        <v>1600</v>
      </c>
      <c r="N162" s="207">
        <v>1600</v>
      </c>
      <c r="O162" s="79">
        <v>1600</v>
      </c>
      <c r="P162" s="231">
        <f>D143</f>
        <v>2</v>
      </c>
      <c r="Q162" s="12" t="str">
        <f ca="1">IF(OFFSET(AI162,0,Lang_Order*Lang__B4)="","",OFFSET(AI162,0,Lang_Order*Lang__B4))</f>
        <v>Source: Cold chain costing assumptions 10 Nov 2020</v>
      </c>
      <c r="R162" s="403"/>
      <c r="S162" s="403"/>
      <c r="T162" s="403"/>
      <c r="U162" s="403" t="s">
        <v>3211</v>
      </c>
      <c r="V162" s="403" t="s">
        <v>3597</v>
      </c>
      <c r="W162" s="403"/>
      <c r="X162" s="403"/>
      <c r="Y162" s="403"/>
      <c r="Z162" s="403"/>
      <c r="AA162" s="403"/>
      <c r="AB162" s="403"/>
      <c r="AC162" s="403"/>
      <c r="AD162" s="403"/>
      <c r="AE162" s="403"/>
      <c r="AF162" s="403"/>
      <c r="AG162" s="403"/>
      <c r="AH162" s="403"/>
      <c r="AI162" s="403" t="s">
        <v>3598</v>
      </c>
      <c r="AJ162" s="403"/>
      <c r="AK162" s="403"/>
      <c r="AL162" s="403"/>
      <c r="AM162" s="403"/>
      <c r="AN162" s="403" t="s">
        <v>11012</v>
      </c>
      <c r="AO162" s="403" t="s">
        <v>13333</v>
      </c>
      <c r="AP162" s="403"/>
      <c r="AQ162" s="403"/>
      <c r="AR162" s="403"/>
      <c r="AS162" s="403"/>
      <c r="AT162" s="403"/>
      <c r="AU162" s="403"/>
      <c r="AV162" s="403"/>
      <c r="AW162" s="403"/>
      <c r="AX162" s="403"/>
      <c r="AY162" s="403"/>
      <c r="AZ162" s="403"/>
      <c r="BA162" s="403"/>
      <c r="BB162" s="403" t="s">
        <v>11013</v>
      </c>
      <c r="BC162" s="403"/>
      <c r="BD162" s="403"/>
      <c r="BE162" s="403"/>
      <c r="BF162" s="403"/>
      <c r="BG162" s="403" t="s">
        <v>11014</v>
      </c>
      <c r="BH162" s="403" t="s">
        <v>13334</v>
      </c>
      <c r="BI162" s="403"/>
      <c r="BJ162" s="403"/>
      <c r="BK162" s="403"/>
      <c r="BL162" s="403"/>
      <c r="BM162" s="403"/>
      <c r="BN162" s="403"/>
      <c r="BO162" s="403"/>
      <c r="BP162" s="403"/>
      <c r="BQ162" s="403"/>
      <c r="BR162" s="403"/>
      <c r="BS162" s="403"/>
      <c r="BT162" s="403"/>
      <c r="BU162" s="403" t="s">
        <v>11015</v>
      </c>
      <c r="BV162" s="403"/>
      <c r="BW162" s="403"/>
      <c r="BX162" s="403"/>
      <c r="BY162" s="403"/>
      <c r="BZ162" s="403" t="s">
        <v>11016</v>
      </c>
      <c r="CA162" s="403" t="s">
        <v>13335</v>
      </c>
      <c r="CB162" s="403"/>
      <c r="CC162" s="403"/>
      <c r="CD162" s="403"/>
      <c r="CE162" s="403"/>
      <c r="CF162" s="403"/>
      <c r="CG162" s="403"/>
      <c r="CH162" s="403"/>
      <c r="CI162" s="403"/>
      <c r="CJ162" s="403"/>
      <c r="CK162" s="403"/>
      <c r="CL162" s="403"/>
      <c r="CM162" s="403"/>
      <c r="CN162" s="403" t="s">
        <v>11017</v>
      </c>
      <c r="CO162" s="403"/>
      <c r="CP162" s="403"/>
      <c r="CQ162" s="403"/>
      <c r="CR162" s="403"/>
      <c r="CS162" s="403" t="s">
        <v>11018</v>
      </c>
      <c r="CT162" s="403" t="s">
        <v>13336</v>
      </c>
      <c r="CU162" s="403"/>
      <c r="CV162" s="403"/>
      <c r="CW162" s="403"/>
      <c r="CX162" s="403"/>
      <c r="CY162" s="403"/>
      <c r="CZ162" s="403"/>
      <c r="DA162" s="403"/>
      <c r="DB162" s="403"/>
      <c r="DC162" s="403"/>
      <c r="DD162" s="403"/>
      <c r="DE162" s="403"/>
      <c r="DF162" s="403"/>
      <c r="DG162" s="403" t="s">
        <v>11019</v>
      </c>
      <c r="DH162" s="403"/>
      <c r="DI162" s="403"/>
      <c r="DJ162" s="403"/>
      <c r="DK162" s="403"/>
      <c r="DL162" s="403" t="s">
        <v>11020</v>
      </c>
      <c r="DM162" s="403" t="s">
        <v>13337</v>
      </c>
      <c r="DN162" s="403"/>
      <c r="DO162" s="403"/>
      <c r="DP162" s="403"/>
      <c r="DQ162" s="403"/>
      <c r="DR162" s="403"/>
      <c r="DS162" s="403"/>
      <c r="DT162" s="403"/>
      <c r="DU162" s="403"/>
      <c r="DV162" s="403"/>
      <c r="DW162" s="403"/>
      <c r="DX162" s="403"/>
      <c r="DY162" s="403"/>
      <c r="DZ162" s="403"/>
      <c r="EA162" s="403"/>
      <c r="EB162" s="403"/>
      <c r="EC162" s="403"/>
      <c r="ED162" s="403"/>
      <c r="EE162" s="403" t="s">
        <v>11021</v>
      </c>
      <c r="EF162" s="403" t="s">
        <v>13338</v>
      </c>
      <c r="EG162" s="403"/>
      <c r="EH162" s="403"/>
      <c r="EI162" s="403"/>
      <c r="EJ162" s="403"/>
      <c r="EK162" s="403"/>
      <c r="EL162" s="403"/>
      <c r="EM162" s="403"/>
      <c r="EN162" s="403"/>
      <c r="EO162" s="403"/>
      <c r="EP162" s="403"/>
      <c r="EQ162" s="403"/>
      <c r="ER162" s="403"/>
      <c r="ES162" s="403" t="s">
        <v>11022</v>
      </c>
      <c r="ET162" s="403"/>
    </row>
    <row r="163" spans="1:150" s="281" customFormat="1" x14ac:dyDescent="0.2">
      <c r="A163" s="350">
        <v>2</v>
      </c>
      <c r="C163" s="5" t="str">
        <f ca="1">IF(OFFSET(U163,0,Lang_Order*Lang__B4)="","",OFFSET(U163,0,Lang_Order*Lang__B4))</f>
        <v>Remote Temperature Monitoring Devices</v>
      </c>
      <c r="D163" s="500" t="s">
        <v>3408</v>
      </c>
      <c r="J163" s="146"/>
      <c r="K163" s="146"/>
      <c r="L163" s="146"/>
      <c r="M163" s="207">
        <f>VLOOKUP($D163,CCE[],13,FALSE)</f>
        <v>650</v>
      </c>
      <c r="N163" s="207">
        <f>VLOOKUP($D163,CCE[],14,FALSE)</f>
        <v>850</v>
      </c>
      <c r="O163" s="207">
        <f>VLOOKUP($D163,CCE[],10,FALSE)</f>
        <v>450</v>
      </c>
      <c r="P163" s="231" t="e">
        <f>SUM(P159:P161)</f>
        <v>#N/A</v>
      </c>
      <c r="Q163" s="47"/>
      <c r="R163" s="403"/>
      <c r="S163" s="403"/>
      <c r="T163" s="403"/>
      <c r="U163" s="403" t="s">
        <v>3593</v>
      </c>
      <c r="V163" s="403"/>
      <c r="W163" s="403"/>
      <c r="X163" s="403"/>
      <c r="Y163" s="403"/>
      <c r="Z163" s="403"/>
      <c r="AA163" s="403"/>
      <c r="AB163" s="403"/>
      <c r="AC163" s="403"/>
      <c r="AD163" s="403"/>
      <c r="AE163" s="403"/>
      <c r="AF163" s="403"/>
      <c r="AG163" s="403"/>
      <c r="AH163" s="403"/>
      <c r="AI163" s="403"/>
      <c r="AJ163" s="403"/>
      <c r="AK163" s="403"/>
      <c r="AL163" s="403"/>
      <c r="AM163" s="403"/>
      <c r="AN163" s="403" t="s">
        <v>10871</v>
      </c>
      <c r="AO163" s="403"/>
      <c r="AP163" s="403"/>
      <c r="AQ163" s="403"/>
      <c r="AR163" s="403"/>
      <c r="AS163" s="403"/>
      <c r="AT163" s="403"/>
      <c r="AU163" s="403"/>
      <c r="AV163" s="403"/>
      <c r="AW163" s="403"/>
      <c r="AX163" s="403"/>
      <c r="AY163" s="403"/>
      <c r="AZ163" s="403"/>
      <c r="BA163" s="403"/>
      <c r="BB163" s="403"/>
      <c r="BC163" s="403"/>
      <c r="BD163" s="403"/>
      <c r="BE163" s="403"/>
      <c r="BF163" s="403"/>
      <c r="BG163" s="403" t="s">
        <v>10872</v>
      </c>
      <c r="BH163" s="403"/>
      <c r="BI163" s="403"/>
      <c r="BJ163" s="403"/>
      <c r="BK163" s="403"/>
      <c r="BL163" s="403"/>
      <c r="BM163" s="403"/>
      <c r="BN163" s="403"/>
      <c r="BO163" s="403"/>
      <c r="BP163" s="403"/>
      <c r="BQ163" s="403"/>
      <c r="BR163" s="403"/>
      <c r="BS163" s="403"/>
      <c r="BT163" s="403"/>
      <c r="BU163" s="403"/>
      <c r="BV163" s="403"/>
      <c r="BW163" s="403"/>
      <c r="BX163" s="403"/>
      <c r="BY163" s="403"/>
      <c r="BZ163" s="403" t="s">
        <v>10873</v>
      </c>
      <c r="CA163" s="403"/>
      <c r="CB163" s="403"/>
      <c r="CC163" s="403"/>
      <c r="CD163" s="403"/>
      <c r="CE163" s="403"/>
      <c r="CF163" s="403"/>
      <c r="CG163" s="403"/>
      <c r="CH163" s="403"/>
      <c r="CI163" s="403"/>
      <c r="CJ163" s="403"/>
      <c r="CK163" s="403"/>
      <c r="CL163" s="403"/>
      <c r="CM163" s="403"/>
      <c r="CN163" s="403"/>
      <c r="CO163" s="403"/>
      <c r="CP163" s="403"/>
      <c r="CQ163" s="403"/>
      <c r="CR163" s="403"/>
      <c r="CS163" s="403" t="s">
        <v>10874</v>
      </c>
      <c r="CT163" s="403"/>
      <c r="CU163" s="403"/>
      <c r="CV163" s="403"/>
      <c r="CW163" s="403"/>
      <c r="CX163" s="403"/>
      <c r="CY163" s="403"/>
      <c r="CZ163" s="403"/>
      <c r="DA163" s="403"/>
      <c r="DB163" s="403"/>
      <c r="DC163" s="403"/>
      <c r="DD163" s="403"/>
      <c r="DE163" s="403"/>
      <c r="DF163" s="403"/>
      <c r="DG163" s="403"/>
      <c r="DH163" s="403"/>
      <c r="DI163" s="403"/>
      <c r="DJ163" s="403"/>
      <c r="DK163" s="403"/>
      <c r="DL163" s="403" t="s">
        <v>10901</v>
      </c>
      <c r="DM163" s="403"/>
      <c r="DN163" s="403"/>
      <c r="DO163" s="403"/>
      <c r="DP163" s="403"/>
      <c r="DQ163" s="403"/>
      <c r="DR163" s="403"/>
      <c r="DS163" s="403"/>
      <c r="DT163" s="403"/>
      <c r="DU163" s="403"/>
      <c r="DV163" s="403"/>
      <c r="DW163" s="403"/>
      <c r="DX163" s="403"/>
      <c r="DY163" s="403"/>
      <c r="DZ163" s="403" t="s">
        <v>11023</v>
      </c>
      <c r="EA163" s="403"/>
      <c r="EB163" s="403"/>
      <c r="EC163" s="403"/>
      <c r="ED163" s="403"/>
      <c r="EE163" s="403" t="s">
        <v>10876</v>
      </c>
      <c r="EF163" s="403"/>
      <c r="EG163" s="403"/>
      <c r="EH163" s="403"/>
      <c r="EI163" s="403"/>
      <c r="EJ163" s="403"/>
      <c r="EK163" s="403"/>
      <c r="EL163" s="403"/>
      <c r="EM163" s="403"/>
      <c r="EN163" s="403"/>
      <c r="EO163" s="403"/>
      <c r="EP163" s="403"/>
      <c r="EQ163" s="403"/>
      <c r="ER163" s="403"/>
      <c r="ES163" s="403"/>
      <c r="ET163" s="403"/>
    </row>
    <row r="164" spans="1:150" s="281" customFormat="1" x14ac:dyDescent="0.2">
      <c r="R164" s="403"/>
      <c r="S164" s="403"/>
      <c r="T164" s="403"/>
      <c r="U164" s="403"/>
      <c r="V164" s="403"/>
      <c r="W164" s="403"/>
      <c r="X164" s="403"/>
      <c r="Y164" s="403"/>
      <c r="Z164" s="403"/>
      <c r="AA164" s="403"/>
      <c r="AB164" s="403"/>
      <c r="AC164" s="403"/>
      <c r="AD164" s="403"/>
      <c r="AE164" s="403"/>
      <c r="AF164" s="403"/>
      <c r="AG164" s="403"/>
      <c r="AH164" s="403"/>
      <c r="AI164" s="403"/>
      <c r="AJ164" s="403"/>
      <c r="AK164" s="403"/>
      <c r="AL164" s="403"/>
      <c r="AM164" s="403"/>
      <c r="AN164" s="403"/>
      <c r="AO164" s="403"/>
      <c r="AP164" s="403"/>
      <c r="AQ164" s="403"/>
      <c r="AR164" s="403"/>
      <c r="AS164" s="403"/>
      <c r="AT164" s="403"/>
      <c r="AU164" s="403"/>
      <c r="AV164" s="403"/>
      <c r="AW164" s="403"/>
      <c r="AX164" s="403"/>
      <c r="AY164" s="403"/>
      <c r="AZ164" s="403"/>
      <c r="BA164" s="403"/>
      <c r="BB164" s="403"/>
      <c r="BC164" s="403"/>
      <c r="BD164" s="403"/>
      <c r="BE164" s="403"/>
      <c r="BF164" s="403"/>
      <c r="BG164" s="403"/>
      <c r="BH164" s="403"/>
      <c r="BI164" s="403"/>
      <c r="BJ164" s="403"/>
      <c r="BK164" s="403"/>
      <c r="BL164" s="403"/>
      <c r="BM164" s="403"/>
      <c r="BN164" s="403"/>
      <c r="BO164" s="403"/>
      <c r="BP164" s="403"/>
      <c r="BQ164" s="403"/>
      <c r="BR164" s="403"/>
      <c r="BS164" s="403"/>
      <c r="BT164" s="403"/>
      <c r="BU164" s="403"/>
      <c r="BV164" s="403"/>
      <c r="BW164" s="403"/>
      <c r="BX164" s="403"/>
      <c r="BY164" s="403"/>
      <c r="BZ164" s="403"/>
      <c r="CA164" s="403"/>
      <c r="CB164" s="403"/>
      <c r="CC164" s="403"/>
      <c r="CD164" s="403"/>
      <c r="CE164" s="403"/>
      <c r="CF164" s="403"/>
      <c r="CG164" s="403"/>
      <c r="CH164" s="403"/>
      <c r="CI164" s="403"/>
      <c r="CJ164" s="403"/>
      <c r="CK164" s="403"/>
      <c r="CL164" s="403"/>
      <c r="CM164" s="403"/>
      <c r="CN164" s="403"/>
      <c r="CO164" s="403"/>
      <c r="CP164" s="403"/>
      <c r="CQ164" s="403"/>
      <c r="CR164" s="403"/>
      <c r="CS164" s="403"/>
      <c r="CT164" s="403"/>
      <c r="CU164" s="403"/>
      <c r="CV164" s="403"/>
      <c r="CW164" s="403"/>
      <c r="CX164" s="403"/>
      <c r="CY164" s="403"/>
      <c r="CZ164" s="403"/>
      <c r="DA164" s="403"/>
      <c r="DB164" s="403"/>
      <c r="DC164" s="403"/>
      <c r="DD164" s="403"/>
      <c r="DE164" s="403"/>
      <c r="DF164" s="403"/>
      <c r="DG164" s="403"/>
      <c r="DH164" s="403"/>
      <c r="DI164" s="403"/>
      <c r="DJ164" s="403"/>
      <c r="DK164" s="403"/>
      <c r="DL164" s="403"/>
      <c r="DM164" s="403"/>
      <c r="DN164" s="403"/>
      <c r="DO164" s="403"/>
      <c r="DP164" s="403"/>
      <c r="DQ164" s="403"/>
      <c r="DR164" s="403"/>
      <c r="DS164" s="403"/>
      <c r="DT164" s="403"/>
      <c r="DU164" s="403"/>
      <c r="DV164" s="403"/>
      <c r="DW164" s="403"/>
      <c r="DX164" s="403"/>
      <c r="DY164" s="403"/>
      <c r="DZ164" s="403"/>
      <c r="EA164" s="403"/>
      <c r="EB164" s="403"/>
      <c r="EC164" s="403"/>
      <c r="ED164" s="403"/>
      <c r="EE164" s="403"/>
      <c r="EF164" s="403"/>
      <c r="EG164" s="403"/>
      <c r="EH164" s="403"/>
      <c r="EI164" s="403"/>
      <c r="EJ164" s="403"/>
      <c r="EK164" s="403"/>
      <c r="EL164" s="403"/>
      <c r="EM164" s="403"/>
      <c r="EN164" s="403"/>
      <c r="EO164" s="403"/>
      <c r="EP164" s="403"/>
      <c r="EQ164" s="403"/>
      <c r="ER164" s="403"/>
      <c r="ES164" s="403"/>
      <c r="ET164" s="403"/>
    </row>
    <row r="165" spans="1:150" s="281" customFormat="1" x14ac:dyDescent="0.2">
      <c r="B165" s="624" t="str">
        <f ca="1">IF(OFFSET(T165,0,Lang_Order*Lang__B4)="","",OFFSET(T165,0,Lang_Order*Lang__B4))</f>
        <v>MINUS existing cold-storage units</v>
      </c>
      <c r="C165" s="5"/>
      <c r="K165" s="289"/>
      <c r="L165" s="289"/>
      <c r="M165" s="289"/>
      <c r="N165" s="289"/>
      <c r="O165" s="289"/>
      <c r="Q165" s="306" t="str">
        <f ca="1">IF(OFFSET(AI165,0,Lang_Order*Lang__B4)="","",OFFSET(AI165,0,Lang_Order*Lang__B4))</f>
        <v>NOTE: This part affects the capital expenditure calculationes NOT operational expenditures</v>
      </c>
      <c r="R165" s="403"/>
      <c r="S165" s="403"/>
      <c r="T165" s="403" t="s">
        <v>4186</v>
      </c>
      <c r="U165" s="403"/>
      <c r="V165" s="403"/>
      <c r="W165" s="403"/>
      <c r="X165" s="403"/>
      <c r="Y165" s="403"/>
      <c r="Z165" s="403"/>
      <c r="AA165" s="403"/>
      <c r="AB165" s="403"/>
      <c r="AC165" s="403"/>
      <c r="AD165" s="403"/>
      <c r="AE165" s="403"/>
      <c r="AF165" s="403"/>
      <c r="AG165" s="403"/>
      <c r="AH165" s="403"/>
      <c r="AI165" s="403" t="s">
        <v>3665</v>
      </c>
      <c r="AJ165" s="403"/>
      <c r="AK165" s="403"/>
      <c r="AL165" s="403"/>
      <c r="AM165" s="403" t="s">
        <v>11024</v>
      </c>
      <c r="AN165" s="403"/>
      <c r="AO165" s="403"/>
      <c r="AP165" s="403"/>
      <c r="AQ165" s="403"/>
      <c r="AR165" s="403"/>
      <c r="AS165" s="403"/>
      <c r="AT165" s="403"/>
      <c r="AU165" s="403"/>
      <c r="AV165" s="403"/>
      <c r="AW165" s="403"/>
      <c r="AX165" s="403"/>
      <c r="AY165" s="403"/>
      <c r="AZ165" s="403"/>
      <c r="BA165" s="403"/>
      <c r="BB165" s="403" t="s">
        <v>10878</v>
      </c>
      <c r="BC165" s="403"/>
      <c r="BD165" s="403"/>
      <c r="BE165" s="403"/>
      <c r="BF165" s="403" t="s">
        <v>11025</v>
      </c>
      <c r="BG165" s="403"/>
      <c r="BH165" s="403"/>
      <c r="BI165" s="403"/>
      <c r="BJ165" s="403"/>
      <c r="BK165" s="403"/>
      <c r="BL165" s="403"/>
      <c r="BM165" s="403"/>
      <c r="BN165" s="403"/>
      <c r="BO165" s="403"/>
      <c r="BP165" s="403"/>
      <c r="BQ165" s="403"/>
      <c r="BR165" s="403"/>
      <c r="BS165" s="403"/>
      <c r="BT165" s="403"/>
      <c r="BU165" s="403" t="s">
        <v>10880</v>
      </c>
      <c r="BV165" s="403"/>
      <c r="BW165" s="403"/>
      <c r="BX165" s="403"/>
      <c r="BY165" s="403" t="s">
        <v>11026</v>
      </c>
      <c r="BZ165" s="403"/>
      <c r="CA165" s="403"/>
      <c r="CB165" s="403"/>
      <c r="CC165" s="403"/>
      <c r="CD165" s="403"/>
      <c r="CE165" s="403"/>
      <c r="CF165" s="403"/>
      <c r="CG165" s="403"/>
      <c r="CH165" s="403"/>
      <c r="CI165" s="403"/>
      <c r="CJ165" s="403"/>
      <c r="CK165" s="403"/>
      <c r="CL165" s="403"/>
      <c r="CM165" s="403"/>
      <c r="CN165" s="403" t="s">
        <v>10882</v>
      </c>
      <c r="CO165" s="403"/>
      <c r="CP165" s="403"/>
      <c r="CQ165" s="403"/>
      <c r="CR165" s="403" t="s">
        <v>11027</v>
      </c>
      <c r="CS165" s="403"/>
      <c r="CT165" s="403"/>
      <c r="CU165" s="403"/>
      <c r="CV165" s="403"/>
      <c r="CW165" s="403"/>
      <c r="CX165" s="403"/>
      <c r="CY165" s="403"/>
      <c r="CZ165" s="403"/>
      <c r="DA165" s="403"/>
      <c r="DB165" s="403"/>
      <c r="DC165" s="403"/>
      <c r="DD165" s="403"/>
      <c r="DE165" s="403"/>
      <c r="DF165" s="403"/>
      <c r="DG165" s="403" t="s">
        <v>10884</v>
      </c>
      <c r="DH165" s="403"/>
      <c r="DI165" s="403"/>
      <c r="DJ165" s="403"/>
      <c r="DK165" s="403" t="s">
        <v>11028</v>
      </c>
      <c r="DL165" s="403"/>
      <c r="DM165" s="403"/>
      <c r="DN165" s="403"/>
      <c r="DO165" s="403"/>
      <c r="DP165" s="403"/>
      <c r="DQ165" s="403"/>
      <c r="DR165" s="403"/>
      <c r="DS165" s="403"/>
      <c r="DT165" s="403"/>
      <c r="DU165" s="403"/>
      <c r="DV165" s="403"/>
      <c r="DW165" s="403"/>
      <c r="DX165" s="403"/>
      <c r="DY165" s="403"/>
      <c r="DZ165" s="403" t="s">
        <v>10886</v>
      </c>
      <c r="EA165" s="403"/>
      <c r="EB165" s="403"/>
      <c r="EC165" s="403"/>
      <c r="ED165" s="403" t="s">
        <v>11029</v>
      </c>
      <c r="EE165" s="403"/>
      <c r="EF165" s="403"/>
      <c r="EG165" s="403"/>
      <c r="EH165" s="403"/>
      <c r="EI165" s="403"/>
      <c r="EJ165" s="403"/>
      <c r="EK165" s="403"/>
      <c r="EL165" s="403"/>
      <c r="EM165" s="403"/>
      <c r="EN165" s="403"/>
      <c r="EO165" s="403"/>
      <c r="EP165" s="403"/>
      <c r="EQ165" s="403"/>
      <c r="ER165" s="403"/>
      <c r="ES165" s="403" t="s">
        <v>10888</v>
      </c>
      <c r="ET165" s="403"/>
    </row>
    <row r="166" spans="1:150" s="281" customFormat="1" x14ac:dyDescent="0.2">
      <c r="C166" s="72"/>
      <c r="D166" s="47"/>
      <c r="J166" s="304" t="str">
        <f ca="1">IF(OFFSET(AB166,0,Lang_Order*Lang__B4)="","",OFFSET(AB166,0,Lang_Order*Lang__B4))</f>
        <v>Total Required in All Regions</v>
      </c>
      <c r="K166" s="146"/>
      <c r="M166" s="303" t="str">
        <f ca="1">IF(OFFSET(AE166,0,Lang_Order*Lang__B4)="","",OFFSET(AE166,0,Lang_Order*Lang__B4))</f>
        <v>Total Pre-existing in All Regions (FILL HERE)</v>
      </c>
      <c r="N166" s="146"/>
      <c r="O166" s="146"/>
      <c r="P166" s="305" t="str">
        <f ca="1">IF(OFFSET(AH166,0,Lang_Order*Lang__B4)="","",OFFSET(AH166,0,Lang_Order*Lang__B4))</f>
        <v>Remainder Required in All Regions</v>
      </c>
      <c r="Q166" s="91"/>
      <c r="R166" s="403"/>
      <c r="S166" s="403"/>
      <c r="T166" s="403"/>
      <c r="U166" s="403"/>
      <c r="V166" s="403"/>
      <c r="W166" s="403"/>
      <c r="X166" s="403"/>
      <c r="Y166" s="403"/>
      <c r="Z166" s="403"/>
      <c r="AA166" s="403"/>
      <c r="AB166" s="403" t="s">
        <v>3658</v>
      </c>
      <c r="AC166" s="403"/>
      <c r="AD166" s="403"/>
      <c r="AE166" s="403" t="s">
        <v>3662</v>
      </c>
      <c r="AF166" s="403"/>
      <c r="AG166" s="403"/>
      <c r="AH166" s="403" t="s">
        <v>3661</v>
      </c>
      <c r="AI166" s="403"/>
      <c r="AJ166" s="403"/>
      <c r="AK166" s="403"/>
      <c r="AL166" s="403"/>
      <c r="AM166" s="403"/>
      <c r="AN166" s="403"/>
      <c r="AO166" s="403"/>
      <c r="AP166" s="403"/>
      <c r="AQ166" s="403"/>
      <c r="AR166" s="403"/>
      <c r="AS166" s="403"/>
      <c r="AT166" s="403"/>
      <c r="AU166" s="403" t="s">
        <v>11030</v>
      </c>
      <c r="AV166" s="403"/>
      <c r="AW166" s="403"/>
      <c r="AX166" s="403" t="s">
        <v>11031</v>
      </c>
      <c r="AY166" s="403"/>
      <c r="AZ166" s="403"/>
      <c r="BA166" s="403" t="s">
        <v>11032</v>
      </c>
      <c r="BB166" s="403"/>
      <c r="BC166" s="403"/>
      <c r="BD166" s="403"/>
      <c r="BE166" s="403"/>
      <c r="BF166" s="403"/>
      <c r="BG166" s="403"/>
      <c r="BH166" s="403"/>
      <c r="BI166" s="403"/>
      <c r="BJ166" s="403"/>
      <c r="BK166" s="403"/>
      <c r="BL166" s="403"/>
      <c r="BM166" s="403"/>
      <c r="BN166" s="403" t="s">
        <v>11033</v>
      </c>
      <c r="BO166" s="403"/>
      <c r="BP166" s="403"/>
      <c r="BQ166" s="403" t="s">
        <v>11034</v>
      </c>
      <c r="BR166" s="403"/>
      <c r="BS166" s="403"/>
      <c r="BT166" s="403" t="s">
        <v>11035</v>
      </c>
      <c r="BU166" s="403"/>
      <c r="BV166" s="403"/>
      <c r="BW166" s="403"/>
      <c r="BX166" s="403"/>
      <c r="BY166" s="403"/>
      <c r="BZ166" s="403"/>
      <c r="CA166" s="403"/>
      <c r="CB166" s="403"/>
      <c r="CC166" s="403"/>
      <c r="CD166" s="403"/>
      <c r="CE166" s="403"/>
      <c r="CF166" s="403"/>
      <c r="CG166" s="403" t="s">
        <v>11036</v>
      </c>
      <c r="CH166" s="403"/>
      <c r="CI166" s="403"/>
      <c r="CJ166" s="403" t="s">
        <v>11037</v>
      </c>
      <c r="CK166" s="403"/>
      <c r="CL166" s="403"/>
      <c r="CM166" s="403" t="s">
        <v>11038</v>
      </c>
      <c r="CN166" s="403"/>
      <c r="CO166" s="403"/>
      <c r="CP166" s="403"/>
      <c r="CQ166" s="403"/>
      <c r="CR166" s="403"/>
      <c r="CS166" s="403"/>
      <c r="CT166" s="403"/>
      <c r="CU166" s="403"/>
      <c r="CV166" s="403"/>
      <c r="CW166" s="403"/>
      <c r="CX166" s="403"/>
      <c r="CY166" s="403"/>
      <c r="CZ166" s="403" t="s">
        <v>11039</v>
      </c>
      <c r="DA166" s="403"/>
      <c r="DB166" s="403"/>
      <c r="DC166" s="403" t="s">
        <v>11040</v>
      </c>
      <c r="DD166" s="403"/>
      <c r="DE166" s="403"/>
      <c r="DF166" s="403" t="s">
        <v>11041</v>
      </c>
      <c r="DG166" s="403"/>
      <c r="DH166" s="403"/>
      <c r="DI166" s="403"/>
      <c r="DJ166" s="403"/>
      <c r="DK166" s="403"/>
      <c r="DL166" s="403"/>
      <c r="DM166" s="403"/>
      <c r="DN166" s="403"/>
      <c r="DO166" s="403"/>
      <c r="DP166" s="403"/>
      <c r="DQ166" s="403"/>
      <c r="DR166" s="403"/>
      <c r="DS166" s="403" t="s">
        <v>10897</v>
      </c>
      <c r="DT166" s="403"/>
      <c r="DU166" s="403"/>
      <c r="DV166" s="403" t="s">
        <v>11042</v>
      </c>
      <c r="DW166" s="403"/>
      <c r="DX166" s="403"/>
      <c r="DY166" s="403" t="s">
        <v>10898</v>
      </c>
      <c r="DZ166" s="403"/>
      <c r="EA166" s="403"/>
      <c r="EB166" s="403"/>
      <c r="EC166" s="403"/>
      <c r="ED166" s="403"/>
      <c r="EE166" s="403"/>
      <c r="EF166" s="403"/>
      <c r="EG166" s="403"/>
      <c r="EH166" s="403"/>
      <c r="EI166" s="403"/>
      <c r="EJ166" s="403"/>
      <c r="EK166" s="403"/>
      <c r="EL166" s="403" t="s">
        <v>11043</v>
      </c>
      <c r="EM166" s="403"/>
      <c r="EN166" s="403"/>
      <c r="EO166" s="403" t="s">
        <v>11044</v>
      </c>
      <c r="EP166" s="403"/>
      <c r="EQ166" s="403"/>
      <c r="ER166" s="403" t="s">
        <v>11045</v>
      </c>
      <c r="ES166" s="403"/>
      <c r="ET166" s="403"/>
    </row>
    <row r="167" spans="1:150" s="281" customFormat="1" x14ac:dyDescent="0.2">
      <c r="A167" s="350">
        <v>2</v>
      </c>
      <c r="C167" s="5" t="str">
        <f ca="1">IF(OFFSET(U167,0,Lang_Order*Lang__B4)="","",OFFSET(U167,0,Lang_Order*Lang__B4))</f>
        <v>Refrigerated (2 to 8C)</v>
      </c>
      <c r="D167" s="299" t="str">
        <f>D159</f>
        <v>120L+ - HBC 260</v>
      </c>
      <c r="J167" s="208" t="e">
        <f>Regional_Stores*P159</f>
        <v>#N/A</v>
      </c>
      <c r="M167" s="35">
        <v>0</v>
      </c>
      <c r="P167" s="208" t="e">
        <f>MAX(0,J167-M167)</f>
        <v>#N/A</v>
      </c>
      <c r="Q167" s="91"/>
      <c r="R167" s="403"/>
      <c r="S167" s="403"/>
      <c r="T167" s="403"/>
      <c r="U167" s="403" t="s">
        <v>11</v>
      </c>
      <c r="V167" s="403"/>
      <c r="W167" s="403"/>
      <c r="X167" s="403"/>
      <c r="Y167" s="403"/>
      <c r="Z167" s="403"/>
      <c r="AA167" s="403"/>
      <c r="AB167" s="403"/>
      <c r="AC167" s="403"/>
      <c r="AD167" s="403"/>
      <c r="AE167" s="403"/>
      <c r="AF167" s="403"/>
      <c r="AG167" s="403"/>
      <c r="AH167" s="403"/>
      <c r="AI167" s="403"/>
      <c r="AJ167" s="403"/>
      <c r="AK167" s="403"/>
      <c r="AL167" s="403"/>
      <c r="AM167" s="403"/>
      <c r="AN167" s="403" t="s">
        <v>10714</v>
      </c>
      <c r="AO167" s="403"/>
      <c r="AP167" s="403"/>
      <c r="AQ167" s="403"/>
      <c r="AR167" s="403"/>
      <c r="AS167" s="403"/>
      <c r="AT167" s="403"/>
      <c r="AU167" s="403"/>
      <c r="AV167" s="403"/>
      <c r="AW167" s="403"/>
      <c r="AX167" s="403"/>
      <c r="AY167" s="403"/>
      <c r="AZ167" s="403"/>
      <c r="BA167" s="403"/>
      <c r="BB167" s="403"/>
      <c r="BC167" s="403"/>
      <c r="BD167" s="403"/>
      <c r="BE167" s="403"/>
      <c r="BF167" s="403"/>
      <c r="BG167" s="403" t="s">
        <v>10227</v>
      </c>
      <c r="BH167" s="403"/>
      <c r="BI167" s="403"/>
      <c r="BJ167" s="403"/>
      <c r="BK167" s="403"/>
      <c r="BL167" s="403"/>
      <c r="BM167" s="403"/>
      <c r="BN167" s="403"/>
      <c r="BO167" s="403"/>
      <c r="BP167" s="403"/>
      <c r="BQ167" s="403"/>
      <c r="BR167" s="403"/>
      <c r="BS167" s="403"/>
      <c r="BT167" s="403"/>
      <c r="BU167" s="403"/>
      <c r="BV167" s="403"/>
      <c r="BW167" s="403"/>
      <c r="BX167" s="403"/>
      <c r="BY167" s="403"/>
      <c r="BZ167" s="403" t="s">
        <v>10715</v>
      </c>
      <c r="CA167" s="403"/>
      <c r="CB167" s="403"/>
      <c r="CC167" s="403"/>
      <c r="CD167" s="403"/>
      <c r="CE167" s="403"/>
      <c r="CF167" s="403"/>
      <c r="CG167" s="403"/>
      <c r="CH167" s="403"/>
      <c r="CI167" s="403"/>
      <c r="CJ167" s="403"/>
      <c r="CK167" s="403"/>
      <c r="CL167" s="403"/>
      <c r="CM167" s="403"/>
      <c r="CN167" s="403"/>
      <c r="CO167" s="403"/>
      <c r="CP167" s="403"/>
      <c r="CQ167" s="403"/>
      <c r="CR167" s="403"/>
      <c r="CS167" s="403" t="s">
        <v>8384</v>
      </c>
      <c r="CT167" s="403"/>
      <c r="CU167" s="403"/>
      <c r="CV167" s="403"/>
      <c r="CW167" s="403"/>
      <c r="CX167" s="403"/>
      <c r="CY167" s="403"/>
      <c r="CZ167" s="403"/>
      <c r="DA167" s="403"/>
      <c r="DB167" s="403"/>
      <c r="DC167" s="403"/>
      <c r="DD167" s="403"/>
      <c r="DE167" s="403"/>
      <c r="DF167" s="403"/>
      <c r="DG167" s="403"/>
      <c r="DH167" s="403"/>
      <c r="DI167" s="403"/>
      <c r="DJ167" s="403"/>
      <c r="DK167" s="403"/>
      <c r="DL167" s="403" t="s">
        <v>10248</v>
      </c>
      <c r="DM167" s="403"/>
      <c r="DN167" s="403"/>
      <c r="DO167" s="403"/>
      <c r="DP167" s="403"/>
      <c r="DQ167" s="403"/>
      <c r="DR167" s="403"/>
      <c r="DS167" s="403"/>
      <c r="DT167" s="403"/>
      <c r="DU167" s="403"/>
      <c r="DV167" s="403"/>
      <c r="DW167" s="403"/>
      <c r="DX167" s="403"/>
      <c r="DY167" s="403"/>
      <c r="DZ167" s="403"/>
      <c r="EA167" s="403"/>
      <c r="EB167" s="403"/>
      <c r="EC167" s="403"/>
      <c r="ED167" s="403"/>
      <c r="EE167" s="403" t="s">
        <v>8387</v>
      </c>
      <c r="EF167" s="403"/>
      <c r="EG167" s="403"/>
      <c r="EH167" s="403"/>
      <c r="EI167" s="403"/>
      <c r="EJ167" s="403"/>
      <c r="EK167" s="403"/>
      <c r="EL167" s="403"/>
      <c r="EM167" s="403"/>
      <c r="EN167" s="403"/>
      <c r="EO167" s="403"/>
      <c r="EP167" s="403"/>
      <c r="EQ167" s="403"/>
      <c r="ER167" s="403"/>
      <c r="ES167" s="403"/>
      <c r="ET167" s="403"/>
    </row>
    <row r="168" spans="1:150" s="281" customFormat="1" x14ac:dyDescent="0.2">
      <c r="A168" s="350">
        <v>2</v>
      </c>
      <c r="C168" s="5" t="str">
        <f ca="1">IF(OFFSET(U168,0,Lang_Order*Lang__B4)="","",OFFSET(U168,0,Lang_Order*Lang__B4))</f>
        <v>Frozen (-20C)</v>
      </c>
      <c r="D168" s="299" t="str">
        <f>D160</f>
        <v>120L+ - HBD 286</v>
      </c>
      <c r="J168" s="208" t="e">
        <f>Regional_Stores*P160</f>
        <v>#N/A</v>
      </c>
      <c r="M168" s="35">
        <v>0</v>
      </c>
      <c r="P168" s="208" t="e">
        <f>MAX(0,J168-M168)</f>
        <v>#N/A</v>
      </c>
      <c r="Q168" s="91"/>
      <c r="R168" s="403"/>
      <c r="S168" s="403"/>
      <c r="T168" s="403"/>
      <c r="U168" s="403" t="s">
        <v>12</v>
      </c>
      <c r="V168" s="403"/>
      <c r="W168" s="403"/>
      <c r="X168" s="403"/>
      <c r="Y168" s="403"/>
      <c r="Z168" s="403"/>
      <c r="AA168" s="403"/>
      <c r="AB168" s="403"/>
      <c r="AC168" s="403"/>
      <c r="AD168" s="403"/>
      <c r="AE168" s="403"/>
      <c r="AF168" s="403"/>
      <c r="AG168" s="403"/>
      <c r="AH168" s="403"/>
      <c r="AI168" s="403"/>
      <c r="AJ168" s="403"/>
      <c r="AK168" s="403"/>
      <c r="AL168" s="403"/>
      <c r="AM168" s="403"/>
      <c r="AN168" s="403" t="s">
        <v>10717</v>
      </c>
      <c r="AO168" s="403"/>
      <c r="AP168" s="403"/>
      <c r="AQ168" s="403"/>
      <c r="AR168" s="403"/>
      <c r="AS168" s="403"/>
      <c r="AT168" s="403"/>
      <c r="AU168" s="403"/>
      <c r="AV168" s="403"/>
      <c r="AW168" s="403"/>
      <c r="AX168" s="403"/>
      <c r="AY168" s="403"/>
      <c r="AZ168" s="403"/>
      <c r="BA168" s="403"/>
      <c r="BB168" s="403"/>
      <c r="BC168" s="403"/>
      <c r="BD168" s="403"/>
      <c r="BE168" s="403"/>
      <c r="BF168" s="403"/>
      <c r="BG168" s="403" t="s">
        <v>10228</v>
      </c>
      <c r="BH168" s="403"/>
      <c r="BI168" s="403"/>
      <c r="BJ168" s="403"/>
      <c r="BK168" s="403"/>
      <c r="BL168" s="403"/>
      <c r="BM168" s="403"/>
      <c r="BN168" s="403"/>
      <c r="BO168" s="403"/>
      <c r="BP168" s="403"/>
      <c r="BQ168" s="403"/>
      <c r="BR168" s="403"/>
      <c r="BS168" s="403"/>
      <c r="BT168" s="403"/>
      <c r="BU168" s="403"/>
      <c r="BV168" s="403"/>
      <c r="BW168" s="403"/>
      <c r="BX168" s="403"/>
      <c r="BY168" s="403"/>
      <c r="BZ168" s="403" t="s">
        <v>10718</v>
      </c>
      <c r="CA168" s="403"/>
      <c r="CB168" s="403"/>
      <c r="CC168" s="403"/>
      <c r="CD168" s="403"/>
      <c r="CE168" s="403"/>
      <c r="CF168" s="403"/>
      <c r="CG168" s="403"/>
      <c r="CH168" s="403"/>
      <c r="CI168" s="403"/>
      <c r="CJ168" s="403"/>
      <c r="CK168" s="403"/>
      <c r="CL168" s="403"/>
      <c r="CM168" s="403"/>
      <c r="CN168" s="403"/>
      <c r="CO168" s="403"/>
      <c r="CP168" s="403"/>
      <c r="CQ168" s="403"/>
      <c r="CR168" s="403"/>
      <c r="CS168" s="403" t="s">
        <v>8391</v>
      </c>
      <c r="CT168" s="403"/>
      <c r="CU168" s="403"/>
      <c r="CV168" s="403"/>
      <c r="CW168" s="403"/>
      <c r="CX168" s="403"/>
      <c r="CY168" s="403"/>
      <c r="CZ168" s="403"/>
      <c r="DA168" s="403"/>
      <c r="DB168" s="403"/>
      <c r="DC168" s="403"/>
      <c r="DD168" s="403"/>
      <c r="DE168" s="403"/>
      <c r="DF168" s="403"/>
      <c r="DG168" s="403"/>
      <c r="DH168" s="403"/>
      <c r="DI168" s="403"/>
      <c r="DJ168" s="403"/>
      <c r="DK168" s="403"/>
      <c r="DL168" s="403" t="s">
        <v>10249</v>
      </c>
      <c r="DM168" s="403"/>
      <c r="DN168" s="403"/>
      <c r="DO168" s="403"/>
      <c r="DP168" s="403"/>
      <c r="DQ168" s="403"/>
      <c r="DR168" s="403"/>
      <c r="DS168" s="403"/>
      <c r="DT168" s="403"/>
      <c r="DU168" s="403"/>
      <c r="DV168" s="403"/>
      <c r="DW168" s="403"/>
      <c r="DX168" s="403"/>
      <c r="DY168" s="403"/>
      <c r="DZ168" s="403"/>
      <c r="EA168" s="403"/>
      <c r="EB168" s="403"/>
      <c r="EC168" s="403"/>
      <c r="ED168" s="403"/>
      <c r="EE168" s="403" t="s">
        <v>8393</v>
      </c>
      <c r="EF168" s="403"/>
      <c r="EG168" s="403"/>
      <c r="EH168" s="403"/>
      <c r="EI168" s="403"/>
      <c r="EJ168" s="403"/>
      <c r="EK168" s="403"/>
      <c r="EL168" s="403"/>
      <c r="EM168" s="403"/>
      <c r="EN168" s="403"/>
      <c r="EO168" s="403"/>
      <c r="EP168" s="403"/>
      <c r="EQ168" s="403"/>
      <c r="ER168" s="403"/>
      <c r="ES168" s="403"/>
      <c r="ET168" s="403"/>
    </row>
    <row r="169" spans="1:150" s="281" customFormat="1" x14ac:dyDescent="0.2">
      <c r="A169" s="350">
        <v>2</v>
      </c>
      <c r="B169" s="567"/>
      <c r="C169" s="5" t="str">
        <f ca="1">IF(OFFSET(U169,0,Lang_Order*Lang__B4)="","",OFFSET(U169,0,Lang_Order*Lang__B4))</f>
        <v>Ultra-cold (-60 to -80C)</v>
      </c>
      <c r="D169" s="299" t="str">
        <f>D161</f>
        <v>UCC - Ultra-cold freezer (Extra Large)</v>
      </c>
      <c r="J169" s="208" t="e">
        <f>Regional_Stores*P161</f>
        <v>#N/A</v>
      </c>
      <c r="K169" s="146"/>
      <c r="L169" s="302" t="str">
        <f ca="1">IF(OFFSET(AD169,0,Lang_Order*Lang__B4)="","",OFFSET(AD169,0,Lang_Order*Lang__B4))</f>
        <v>MINUS</v>
      </c>
      <c r="M169" s="35">
        <v>0</v>
      </c>
      <c r="N169" s="146"/>
      <c r="O169" s="302" t="str">
        <f ca="1">IF(OFFSET(AG169,0,Lang_Order*Lang__B4)="","",OFFSET(AG169,0,Lang_Order*Lang__B4))</f>
        <v>EQUALS</v>
      </c>
      <c r="P169" s="208" t="e">
        <f>MAX(0,J169-M169)</f>
        <v>#N/A</v>
      </c>
      <c r="Q169" s="47"/>
      <c r="R169" s="403"/>
      <c r="S169" s="403"/>
      <c r="T169" s="403"/>
      <c r="U169" s="403" t="s">
        <v>13</v>
      </c>
      <c r="V169" s="403"/>
      <c r="W169" s="403"/>
      <c r="X169" s="403"/>
      <c r="Y169" s="403"/>
      <c r="Z169" s="403"/>
      <c r="AA169" s="403"/>
      <c r="AB169" s="403"/>
      <c r="AC169" s="403"/>
      <c r="AD169" s="403" t="s">
        <v>3659</v>
      </c>
      <c r="AE169" s="403"/>
      <c r="AF169" s="403"/>
      <c r="AG169" s="403" t="s">
        <v>3660</v>
      </c>
      <c r="AH169" s="403"/>
      <c r="AI169" s="403"/>
      <c r="AJ169" s="403"/>
      <c r="AK169" s="403"/>
      <c r="AL169" s="403"/>
      <c r="AM169" s="403"/>
      <c r="AN169" s="403" t="s">
        <v>8394</v>
      </c>
      <c r="AO169" s="403"/>
      <c r="AP169" s="403"/>
      <c r="AQ169" s="403"/>
      <c r="AR169" s="403"/>
      <c r="AS169" s="403"/>
      <c r="AT169" s="403"/>
      <c r="AU169" s="403"/>
      <c r="AV169" s="403"/>
      <c r="AW169" s="403" t="s">
        <v>11046</v>
      </c>
      <c r="AX169" s="403"/>
      <c r="AY169" s="403"/>
      <c r="AZ169" s="403" t="s">
        <v>11047</v>
      </c>
      <c r="BA169" s="403"/>
      <c r="BB169" s="403"/>
      <c r="BC169" s="403"/>
      <c r="BD169" s="403"/>
      <c r="BE169" s="403"/>
      <c r="BF169" s="403"/>
      <c r="BG169" s="403" t="s">
        <v>10229</v>
      </c>
      <c r="BH169" s="403"/>
      <c r="BI169" s="403"/>
      <c r="BJ169" s="403"/>
      <c r="BK169" s="403"/>
      <c r="BL169" s="403"/>
      <c r="BM169" s="403"/>
      <c r="BN169" s="403"/>
      <c r="BO169" s="403"/>
      <c r="BP169" s="403" t="s">
        <v>11048</v>
      </c>
      <c r="BQ169" s="403"/>
      <c r="BR169" s="403"/>
      <c r="BS169" s="403" t="s">
        <v>11049</v>
      </c>
      <c r="BT169" s="403"/>
      <c r="BU169" s="403"/>
      <c r="BV169" s="403"/>
      <c r="BW169" s="403"/>
      <c r="BX169" s="403"/>
      <c r="BY169" s="403"/>
      <c r="BZ169" s="403" t="s">
        <v>10237</v>
      </c>
      <c r="CA169" s="403"/>
      <c r="CB169" s="403"/>
      <c r="CC169" s="403"/>
      <c r="CD169" s="403"/>
      <c r="CE169" s="403"/>
      <c r="CF169" s="403"/>
      <c r="CG169" s="403"/>
      <c r="CH169" s="403"/>
      <c r="CI169" s="403" t="s">
        <v>11050</v>
      </c>
      <c r="CJ169" s="403"/>
      <c r="CK169" s="403"/>
      <c r="CL169" s="403" t="s">
        <v>11051</v>
      </c>
      <c r="CM169" s="403"/>
      <c r="CN169" s="403"/>
      <c r="CO169" s="403"/>
      <c r="CP169" s="403"/>
      <c r="CQ169" s="403"/>
      <c r="CR169" s="403"/>
      <c r="CS169" s="403" t="s">
        <v>8400</v>
      </c>
      <c r="CT169" s="403"/>
      <c r="CU169" s="403"/>
      <c r="CV169" s="403"/>
      <c r="CW169" s="403"/>
      <c r="CX169" s="403"/>
      <c r="CY169" s="403"/>
      <c r="CZ169" s="403"/>
      <c r="DA169" s="403"/>
      <c r="DB169" s="403" t="s">
        <v>11050</v>
      </c>
      <c r="DC169" s="403"/>
      <c r="DD169" s="403"/>
      <c r="DE169" s="403" t="s">
        <v>11051</v>
      </c>
      <c r="DF169" s="403"/>
      <c r="DG169" s="403"/>
      <c r="DH169" s="403"/>
      <c r="DI169" s="403"/>
      <c r="DJ169" s="403"/>
      <c r="DK169" s="403"/>
      <c r="DL169" s="403" t="s">
        <v>10250</v>
      </c>
      <c r="DM169" s="403"/>
      <c r="DN169" s="403"/>
      <c r="DO169" s="403"/>
      <c r="DP169" s="403"/>
      <c r="DQ169" s="403"/>
      <c r="DR169" s="403"/>
      <c r="DS169" s="403"/>
      <c r="DT169" s="403"/>
      <c r="DU169" s="403" t="s">
        <v>11052</v>
      </c>
      <c r="DV169" s="403"/>
      <c r="DW169" s="403"/>
      <c r="DX169" s="403" t="s">
        <v>11053</v>
      </c>
      <c r="DY169" s="403"/>
      <c r="DZ169" s="403"/>
      <c r="EA169" s="403"/>
      <c r="EB169" s="403"/>
      <c r="EC169" s="403"/>
      <c r="ED169" s="403"/>
      <c r="EE169" s="403" t="s">
        <v>8404</v>
      </c>
      <c r="EF169" s="403"/>
      <c r="EG169" s="403"/>
      <c r="EH169" s="403"/>
      <c r="EI169" s="403"/>
      <c r="EJ169" s="403"/>
      <c r="EK169" s="403"/>
      <c r="EL169" s="403"/>
      <c r="EM169" s="403"/>
      <c r="EN169" s="403" t="s">
        <v>11054</v>
      </c>
      <c r="EO169" s="403"/>
      <c r="EP169" s="403"/>
      <c r="EQ169" s="403" t="s">
        <v>11055</v>
      </c>
      <c r="ER169" s="403"/>
      <c r="ES169" s="403"/>
      <c r="ET169" s="403"/>
    </row>
    <row r="170" spans="1:150" s="281" customFormat="1" x14ac:dyDescent="0.2">
      <c r="A170" s="350">
        <v>2</v>
      </c>
      <c r="C170" s="5" t="str">
        <f ca="1">IF(OFFSET(U170,0,Lang_Order*Lang__B4)="","",OFFSET(U170,0,Lang_Order*Lang__B4))</f>
        <v>Ice pack freezers</v>
      </c>
      <c r="D170" s="299" t="str">
        <f ca="1">D162</f>
        <v>No model choice</v>
      </c>
      <c r="J170" s="208">
        <f>Regional_Stores*P162</f>
        <v>0</v>
      </c>
      <c r="K170" s="146"/>
      <c r="L170" s="146"/>
      <c r="M170" s="35">
        <v>0</v>
      </c>
      <c r="N170" s="146"/>
      <c r="O170" s="146"/>
      <c r="P170" s="208">
        <f>MAX(0,J170-M170)</f>
        <v>0</v>
      </c>
      <c r="Q170" s="47"/>
      <c r="R170" s="403"/>
      <c r="S170" s="403"/>
      <c r="T170" s="403"/>
      <c r="U170" s="403" t="s">
        <v>3211</v>
      </c>
      <c r="V170" s="403"/>
      <c r="W170" s="403"/>
      <c r="X170" s="403"/>
      <c r="Y170" s="403"/>
      <c r="Z170" s="403"/>
      <c r="AA170" s="403"/>
      <c r="AB170" s="403"/>
      <c r="AC170" s="403"/>
      <c r="AD170" s="403"/>
      <c r="AE170" s="403"/>
      <c r="AF170" s="403"/>
      <c r="AG170" s="403"/>
      <c r="AH170" s="403"/>
      <c r="AI170" s="403"/>
      <c r="AJ170" s="403"/>
      <c r="AK170" s="403"/>
      <c r="AL170" s="403"/>
      <c r="AM170" s="403"/>
      <c r="AN170" s="403" t="s">
        <v>11012</v>
      </c>
      <c r="AO170" s="403"/>
      <c r="AP170" s="403"/>
      <c r="AQ170" s="403"/>
      <c r="AR170" s="403"/>
      <c r="AS170" s="403"/>
      <c r="AT170" s="403"/>
      <c r="AU170" s="403"/>
      <c r="AV170" s="403"/>
      <c r="AW170" s="403"/>
      <c r="AX170" s="403"/>
      <c r="AY170" s="403"/>
      <c r="AZ170" s="403"/>
      <c r="BA170" s="403"/>
      <c r="BB170" s="403"/>
      <c r="BC170" s="403"/>
      <c r="BD170" s="403"/>
      <c r="BE170" s="403"/>
      <c r="BF170" s="403"/>
      <c r="BG170" s="403" t="s">
        <v>11056</v>
      </c>
      <c r="BH170" s="403"/>
      <c r="BI170" s="403"/>
      <c r="BJ170" s="403"/>
      <c r="BK170" s="403"/>
      <c r="BL170" s="403"/>
      <c r="BM170" s="403"/>
      <c r="BN170" s="403"/>
      <c r="BO170" s="403"/>
      <c r="BP170" s="403"/>
      <c r="BQ170" s="403"/>
      <c r="BR170" s="403"/>
      <c r="BS170" s="403"/>
      <c r="BT170" s="403"/>
      <c r="BU170" s="403"/>
      <c r="BV170" s="403"/>
      <c r="BW170" s="403"/>
      <c r="BX170" s="403"/>
      <c r="BY170" s="403"/>
      <c r="BZ170" s="403" t="s">
        <v>11016</v>
      </c>
      <c r="CA170" s="403"/>
      <c r="CB170" s="403"/>
      <c r="CC170" s="403"/>
      <c r="CD170" s="403"/>
      <c r="CE170" s="403"/>
      <c r="CF170" s="403"/>
      <c r="CG170" s="403"/>
      <c r="CH170" s="403"/>
      <c r="CI170" s="403"/>
      <c r="CJ170" s="403"/>
      <c r="CK170" s="403"/>
      <c r="CL170" s="403"/>
      <c r="CM170" s="403"/>
      <c r="CN170" s="403"/>
      <c r="CO170" s="403"/>
      <c r="CP170" s="403"/>
      <c r="CQ170" s="403"/>
      <c r="CR170" s="403"/>
      <c r="CS170" s="403" t="s">
        <v>11018</v>
      </c>
      <c r="CT170" s="403"/>
      <c r="CU170" s="403"/>
      <c r="CV170" s="403"/>
      <c r="CW170" s="403"/>
      <c r="CX170" s="403"/>
      <c r="CY170" s="403"/>
      <c r="CZ170" s="403"/>
      <c r="DA170" s="403"/>
      <c r="DB170" s="403"/>
      <c r="DC170" s="403"/>
      <c r="DD170" s="403"/>
      <c r="DE170" s="403"/>
      <c r="DF170" s="403"/>
      <c r="DG170" s="403"/>
      <c r="DH170" s="403"/>
      <c r="DI170" s="403"/>
      <c r="DJ170" s="403"/>
      <c r="DK170" s="403"/>
      <c r="DL170" s="403" t="s">
        <v>11020</v>
      </c>
      <c r="DM170" s="403"/>
      <c r="DN170" s="403"/>
      <c r="DO170" s="403"/>
      <c r="DP170" s="403"/>
      <c r="DQ170" s="403"/>
      <c r="DR170" s="403"/>
      <c r="DS170" s="403"/>
      <c r="DT170" s="403"/>
      <c r="DU170" s="403"/>
      <c r="DV170" s="403"/>
      <c r="DW170" s="403"/>
      <c r="DX170" s="403"/>
      <c r="DY170" s="403"/>
      <c r="DZ170" s="403"/>
      <c r="EA170" s="403"/>
      <c r="EB170" s="403"/>
      <c r="EC170" s="403"/>
      <c r="ED170" s="403"/>
      <c r="EE170" s="403" t="s">
        <v>11021</v>
      </c>
      <c r="EF170" s="403"/>
      <c r="EG170" s="403"/>
      <c r="EH170" s="403"/>
      <c r="EI170" s="403"/>
      <c r="EJ170" s="403"/>
      <c r="EK170" s="403"/>
      <c r="EL170" s="403"/>
      <c r="EM170" s="403"/>
      <c r="EN170" s="403"/>
      <c r="EO170" s="403"/>
      <c r="EP170" s="403"/>
      <c r="EQ170" s="403"/>
      <c r="ER170" s="403"/>
      <c r="ES170" s="403"/>
      <c r="ET170" s="403"/>
    </row>
    <row r="171" spans="1:150" s="281" customFormat="1" x14ac:dyDescent="0.2">
      <c r="A171" s="350">
        <v>2</v>
      </c>
      <c r="C171" s="5" t="str">
        <f ca="1">IF(OFFSET(U171,0,Lang_Order*Lang__B4)="","",OFFSET(U171,0,Lang_Order*Lang__B4))</f>
        <v>Remote Temperature Monitoring Devices</v>
      </c>
      <c r="D171" s="299" t="str">
        <f>D163</f>
        <v>Haier U-Cool (Refrigerator model)+ 3 years data/portal access</v>
      </c>
      <c r="J171" s="208" t="e">
        <f>Regional_Stores*P163</f>
        <v>#N/A</v>
      </c>
      <c r="K171" s="146"/>
      <c r="L171" s="146"/>
      <c r="M171" s="35">
        <v>0</v>
      </c>
      <c r="N171" s="146"/>
      <c r="O171" s="146"/>
      <c r="P171" s="208" t="e">
        <f>MAX(0,J171-M171)</f>
        <v>#N/A</v>
      </c>
      <c r="Q171" s="47"/>
      <c r="R171" s="403"/>
      <c r="S171" s="403"/>
      <c r="T171" s="403"/>
      <c r="U171" s="403" t="s">
        <v>3593</v>
      </c>
      <c r="V171" s="403"/>
      <c r="W171" s="403"/>
      <c r="X171" s="403"/>
      <c r="Y171" s="403"/>
      <c r="Z171" s="403"/>
      <c r="AA171" s="403"/>
      <c r="AB171" s="403"/>
      <c r="AC171" s="403"/>
      <c r="AD171" s="403"/>
      <c r="AE171" s="403"/>
      <c r="AF171" s="403"/>
      <c r="AG171" s="403"/>
      <c r="AH171" s="403"/>
      <c r="AI171" s="403"/>
      <c r="AJ171" s="403"/>
      <c r="AK171" s="403"/>
      <c r="AL171" s="403"/>
      <c r="AM171" s="403"/>
      <c r="AN171" s="403" t="s">
        <v>10871</v>
      </c>
      <c r="AO171" s="403"/>
      <c r="AP171" s="403"/>
      <c r="AQ171" s="403"/>
      <c r="AR171" s="403"/>
      <c r="AS171" s="403"/>
      <c r="AT171" s="403"/>
      <c r="AU171" s="403"/>
      <c r="AV171" s="403"/>
      <c r="AW171" s="403"/>
      <c r="AX171" s="403"/>
      <c r="AY171" s="403"/>
      <c r="AZ171" s="403"/>
      <c r="BA171" s="403"/>
      <c r="BB171" s="403"/>
      <c r="BC171" s="403"/>
      <c r="BD171" s="403"/>
      <c r="BE171" s="403"/>
      <c r="BF171" s="403"/>
      <c r="BG171" s="403" t="s">
        <v>10872</v>
      </c>
      <c r="BH171" s="403"/>
      <c r="BI171" s="403"/>
      <c r="BJ171" s="403"/>
      <c r="BK171" s="403"/>
      <c r="BL171" s="403"/>
      <c r="BM171" s="403"/>
      <c r="BN171" s="403"/>
      <c r="BO171" s="403"/>
      <c r="BP171" s="403"/>
      <c r="BQ171" s="403"/>
      <c r="BR171" s="403"/>
      <c r="BS171" s="403"/>
      <c r="BT171" s="403"/>
      <c r="BU171" s="403"/>
      <c r="BV171" s="403"/>
      <c r="BW171" s="403"/>
      <c r="BX171" s="403"/>
      <c r="BY171" s="403"/>
      <c r="BZ171" s="403" t="s">
        <v>10873</v>
      </c>
      <c r="CA171" s="403"/>
      <c r="CB171" s="403"/>
      <c r="CC171" s="403"/>
      <c r="CD171" s="403"/>
      <c r="CE171" s="403"/>
      <c r="CF171" s="403"/>
      <c r="CG171" s="403"/>
      <c r="CH171" s="403"/>
      <c r="CI171" s="403"/>
      <c r="CJ171" s="403"/>
      <c r="CK171" s="403"/>
      <c r="CL171" s="403"/>
      <c r="CM171" s="403"/>
      <c r="CN171" s="403"/>
      <c r="CO171" s="403"/>
      <c r="CP171" s="403"/>
      <c r="CQ171" s="403"/>
      <c r="CR171" s="403"/>
      <c r="CS171" s="403" t="s">
        <v>10874</v>
      </c>
      <c r="CT171" s="403"/>
      <c r="CU171" s="403"/>
      <c r="CV171" s="403"/>
      <c r="CW171" s="403"/>
      <c r="CX171" s="403"/>
      <c r="CY171" s="403"/>
      <c r="CZ171" s="403"/>
      <c r="DA171" s="403"/>
      <c r="DB171" s="403"/>
      <c r="DC171" s="403"/>
      <c r="DD171" s="403"/>
      <c r="DE171" s="403"/>
      <c r="DF171" s="403"/>
      <c r="DG171" s="403"/>
      <c r="DH171" s="403"/>
      <c r="DI171" s="403"/>
      <c r="DJ171" s="403"/>
      <c r="DK171" s="403"/>
      <c r="DL171" s="403" t="s">
        <v>10901</v>
      </c>
      <c r="DM171" s="403"/>
      <c r="DN171" s="403"/>
      <c r="DO171" s="403"/>
      <c r="DP171" s="403"/>
      <c r="DQ171" s="403"/>
      <c r="DR171" s="403"/>
      <c r="DS171" s="403"/>
      <c r="DT171" s="403"/>
      <c r="DU171" s="403"/>
      <c r="DV171" s="403"/>
      <c r="DW171" s="403"/>
      <c r="DX171" s="403"/>
      <c r="DY171" s="403"/>
      <c r="DZ171" s="403"/>
      <c r="EA171" s="403"/>
      <c r="EB171" s="403"/>
      <c r="EC171" s="403"/>
      <c r="ED171" s="403"/>
      <c r="EE171" s="403" t="s">
        <v>10876</v>
      </c>
      <c r="EF171" s="403"/>
      <c r="EG171" s="403"/>
      <c r="EH171" s="403"/>
      <c r="EI171" s="403"/>
      <c r="EJ171" s="403"/>
      <c r="EK171" s="403"/>
      <c r="EL171" s="403"/>
      <c r="EM171" s="403"/>
      <c r="EN171" s="403"/>
      <c r="EO171" s="403"/>
      <c r="EP171" s="403"/>
      <c r="EQ171" s="403"/>
      <c r="ER171" s="403"/>
      <c r="ES171" s="403"/>
      <c r="ET171" s="403"/>
    </row>
    <row r="172" spans="1:150" s="281" customFormat="1" x14ac:dyDescent="0.2">
      <c r="R172" s="403"/>
      <c r="S172" s="403"/>
      <c r="T172" s="403"/>
      <c r="U172" s="403"/>
      <c r="V172" s="403"/>
      <c r="W172" s="403"/>
      <c r="X172" s="403"/>
      <c r="Y172" s="403"/>
      <c r="Z172" s="403"/>
      <c r="AA172" s="403"/>
      <c r="AB172" s="403"/>
      <c r="AC172" s="403"/>
      <c r="AD172" s="403"/>
      <c r="AE172" s="403"/>
      <c r="AF172" s="403"/>
      <c r="AG172" s="403"/>
      <c r="AH172" s="403"/>
      <c r="AI172" s="403"/>
      <c r="AJ172" s="403"/>
      <c r="AK172" s="403"/>
      <c r="AL172" s="403"/>
      <c r="AM172" s="403"/>
      <c r="AN172" s="403"/>
      <c r="AO172" s="403"/>
      <c r="AP172" s="403"/>
      <c r="AQ172" s="403"/>
      <c r="AR172" s="403"/>
      <c r="AS172" s="403"/>
      <c r="AT172" s="403"/>
      <c r="AU172" s="403"/>
      <c r="AV172" s="403"/>
      <c r="AW172" s="403"/>
      <c r="AX172" s="403"/>
      <c r="AY172" s="403"/>
      <c r="AZ172" s="403"/>
      <c r="BA172" s="403"/>
      <c r="BB172" s="403"/>
      <c r="BC172" s="403"/>
      <c r="BD172" s="403"/>
      <c r="BE172" s="403"/>
      <c r="BF172" s="403"/>
      <c r="BG172" s="403"/>
      <c r="BH172" s="403"/>
      <c r="BI172" s="403"/>
      <c r="BJ172" s="403"/>
      <c r="BK172" s="403"/>
      <c r="BL172" s="403"/>
      <c r="BM172" s="403"/>
      <c r="BN172" s="403"/>
      <c r="BO172" s="403"/>
      <c r="BP172" s="403"/>
      <c r="BQ172" s="403"/>
      <c r="BR172" s="403"/>
      <c r="BS172" s="403"/>
      <c r="BT172" s="403"/>
      <c r="BU172" s="403"/>
      <c r="BV172" s="403"/>
      <c r="BW172" s="403"/>
      <c r="BX172" s="403"/>
      <c r="BY172" s="403"/>
      <c r="BZ172" s="403"/>
      <c r="CA172" s="403"/>
      <c r="CB172" s="403"/>
      <c r="CC172" s="403"/>
      <c r="CD172" s="403"/>
      <c r="CE172" s="403"/>
      <c r="CF172" s="403"/>
      <c r="CG172" s="403"/>
      <c r="CH172" s="403"/>
      <c r="CI172" s="403"/>
      <c r="CJ172" s="403"/>
      <c r="CK172" s="403"/>
      <c r="CL172" s="403"/>
      <c r="CM172" s="403"/>
      <c r="CN172" s="403"/>
      <c r="CO172" s="403"/>
      <c r="CP172" s="403"/>
      <c r="CQ172" s="403"/>
      <c r="CR172" s="403"/>
      <c r="CS172" s="403"/>
      <c r="CT172" s="403"/>
      <c r="CU172" s="403"/>
      <c r="CV172" s="403"/>
      <c r="CW172" s="403"/>
      <c r="CX172" s="403"/>
      <c r="CY172" s="403"/>
      <c r="CZ172" s="403"/>
      <c r="DA172" s="403"/>
      <c r="DB172" s="403"/>
      <c r="DC172" s="403"/>
      <c r="DD172" s="403"/>
      <c r="DE172" s="403"/>
      <c r="DF172" s="403"/>
      <c r="DG172" s="403"/>
      <c r="DH172" s="403"/>
      <c r="DI172" s="403"/>
      <c r="DJ172" s="403"/>
      <c r="DK172" s="403"/>
      <c r="DL172" s="403"/>
      <c r="DM172" s="403"/>
      <c r="DN172" s="403"/>
      <c r="DO172" s="403"/>
      <c r="DP172" s="403"/>
      <c r="DQ172" s="403"/>
      <c r="DR172" s="403"/>
      <c r="DS172" s="403"/>
      <c r="DT172" s="403"/>
      <c r="DU172" s="403"/>
      <c r="DV172" s="403"/>
      <c r="DW172" s="403"/>
      <c r="DX172" s="403"/>
      <c r="DY172" s="403"/>
      <c r="DZ172" s="403"/>
      <c r="EA172" s="403"/>
      <c r="EB172" s="403"/>
      <c r="EC172" s="403"/>
      <c r="ED172" s="403"/>
      <c r="EE172" s="403"/>
      <c r="EF172" s="403"/>
      <c r="EG172" s="403"/>
      <c r="EH172" s="403"/>
      <c r="EI172" s="403"/>
      <c r="EJ172" s="403"/>
      <c r="EK172" s="403"/>
      <c r="EL172" s="403"/>
      <c r="EM172" s="403"/>
      <c r="EN172" s="403"/>
      <c r="EO172" s="403"/>
      <c r="EP172" s="403"/>
      <c r="EQ172" s="403"/>
      <c r="ER172" s="403"/>
      <c r="ES172" s="403"/>
      <c r="ET172" s="403"/>
    </row>
    <row r="173" spans="1:150" s="281" customFormat="1" x14ac:dyDescent="0.2">
      <c r="C173" s="5" t="str">
        <f ca="1">IF(OFFSET(U173,0,Lang_Order*Lang__B4)="","",OFFSET(U173,0,Lang_Order*Lang__B4))</f>
        <v>Upper or lower price</v>
      </c>
      <c r="D173" s="35">
        <v>1</v>
      </c>
      <c r="J173" s="81" t="str">
        <f ca="1">IF(OFFSET(AB173,0,Lang_Order*Lang__B4)="","",OFFSET(AB173,0,Lang_Order*Lang__B4))</f>
        <v>Lower (Easier to access facilities)</v>
      </c>
      <c r="K173" s="81"/>
      <c r="L173" s="81"/>
      <c r="R173" s="403"/>
      <c r="S173" s="403"/>
      <c r="T173" s="403"/>
      <c r="U173" s="403" t="s">
        <v>3592</v>
      </c>
      <c r="V173" s="403"/>
      <c r="W173" s="403"/>
      <c r="X173" s="403"/>
      <c r="Y173" s="403"/>
      <c r="Z173" s="403"/>
      <c r="AA173" s="403"/>
      <c r="AB173" s="403" t="s">
        <v>13309</v>
      </c>
      <c r="AC173" s="403"/>
      <c r="AD173" s="403"/>
      <c r="AE173" s="403"/>
      <c r="AF173" s="403"/>
      <c r="AG173" s="403"/>
      <c r="AH173" s="403"/>
      <c r="AI173" s="403"/>
      <c r="AJ173" s="403"/>
      <c r="AK173" s="403"/>
      <c r="AL173" s="403"/>
      <c r="AM173" s="403"/>
      <c r="AN173" s="403" t="s">
        <v>11057</v>
      </c>
      <c r="AO173" s="403"/>
      <c r="AP173" s="403"/>
      <c r="AQ173" s="403"/>
      <c r="AR173" s="403"/>
      <c r="AS173" s="403"/>
      <c r="AT173" s="403"/>
      <c r="AU173" s="403" t="s">
        <v>13310</v>
      </c>
      <c r="AV173" s="403"/>
      <c r="AW173" s="403"/>
      <c r="AX173" s="403"/>
      <c r="AY173" s="403"/>
      <c r="AZ173" s="403"/>
      <c r="BA173" s="403"/>
      <c r="BB173" s="403"/>
      <c r="BC173" s="403"/>
      <c r="BD173" s="403"/>
      <c r="BE173" s="403"/>
      <c r="BF173" s="403"/>
      <c r="BG173" s="403" t="s">
        <v>11058</v>
      </c>
      <c r="BH173" s="403"/>
      <c r="BI173" s="403"/>
      <c r="BJ173" s="403"/>
      <c r="BK173" s="403"/>
      <c r="BL173" s="403"/>
      <c r="BM173" s="403"/>
      <c r="BN173" s="403" t="s">
        <v>13311</v>
      </c>
      <c r="BO173" s="403"/>
      <c r="BP173" s="403"/>
      <c r="BQ173" s="403"/>
      <c r="BR173" s="403"/>
      <c r="BS173" s="403"/>
      <c r="BT173" s="403"/>
      <c r="BU173" s="403"/>
      <c r="BV173" s="403"/>
      <c r="BW173" s="403"/>
      <c r="BX173" s="403"/>
      <c r="BY173" s="403"/>
      <c r="BZ173" s="403" t="s">
        <v>11059</v>
      </c>
      <c r="CA173" s="403"/>
      <c r="CB173" s="403"/>
      <c r="CC173" s="403"/>
      <c r="CD173" s="403"/>
      <c r="CE173" s="403"/>
      <c r="CF173" s="403"/>
      <c r="CG173" s="403" t="s">
        <v>13312</v>
      </c>
      <c r="CH173" s="403"/>
      <c r="CI173" s="403"/>
      <c r="CJ173" s="403"/>
      <c r="CK173" s="403"/>
      <c r="CL173" s="403"/>
      <c r="CM173" s="403"/>
      <c r="CN173" s="403"/>
      <c r="CO173" s="403"/>
      <c r="CP173" s="403"/>
      <c r="CQ173" s="403"/>
      <c r="CR173" s="403"/>
      <c r="CS173" s="403" t="s">
        <v>11060</v>
      </c>
      <c r="CT173" s="403"/>
      <c r="CU173" s="403"/>
      <c r="CV173" s="403"/>
      <c r="CW173" s="403"/>
      <c r="CX173" s="403"/>
      <c r="CY173" s="403"/>
      <c r="CZ173" s="403" t="s">
        <v>10906</v>
      </c>
      <c r="DA173" s="403"/>
      <c r="DB173" s="403"/>
      <c r="DC173" s="403"/>
      <c r="DD173" s="403"/>
      <c r="DE173" s="403"/>
      <c r="DF173" s="403"/>
      <c r="DG173" s="403"/>
      <c r="DH173" s="403"/>
      <c r="DI173" s="403"/>
      <c r="DJ173" s="403"/>
      <c r="DK173" s="403"/>
      <c r="DL173" s="403" t="s">
        <v>11061</v>
      </c>
      <c r="DM173" s="403"/>
      <c r="DN173" s="403"/>
      <c r="DO173" s="403"/>
      <c r="DP173" s="403"/>
      <c r="DQ173" s="403"/>
      <c r="DR173" s="403"/>
      <c r="DS173" s="403" t="s">
        <v>13313</v>
      </c>
      <c r="DT173" s="403"/>
      <c r="DU173" s="403"/>
      <c r="DV173" s="403"/>
      <c r="DW173" s="403"/>
      <c r="DX173" s="403"/>
      <c r="DY173" s="403"/>
      <c r="DZ173" s="403"/>
      <c r="EA173" s="403"/>
      <c r="EB173" s="403"/>
      <c r="EC173" s="403"/>
      <c r="ED173" s="403"/>
      <c r="EE173" s="403" t="s">
        <v>11062</v>
      </c>
      <c r="EF173" s="403"/>
      <c r="EG173" s="403"/>
      <c r="EH173" s="403"/>
      <c r="EI173" s="403"/>
      <c r="EJ173" s="403"/>
      <c r="EK173" s="403"/>
      <c r="EL173" s="403" t="s">
        <v>13314</v>
      </c>
      <c r="EM173" s="403"/>
      <c r="EN173" s="403"/>
      <c r="EO173" s="403"/>
      <c r="EP173" s="403"/>
      <c r="EQ173" s="403"/>
      <c r="ER173" s="403"/>
      <c r="ES173" s="403"/>
      <c r="ET173" s="403"/>
    </row>
    <row r="174" spans="1:150" s="281" customFormat="1" x14ac:dyDescent="0.2">
      <c r="B174" s="624" t="str">
        <f ca="1">IF(OFFSET(T174,0,Lang_Order*Lang__B4)="","",OFFSET(T174,0,Lang_Order*Lang__B4))</f>
        <v>Capital and Operational Expenditures [ALL REGIONS]</v>
      </c>
      <c r="C174" s="5"/>
      <c r="J174" s="146"/>
      <c r="K174" s="146"/>
      <c r="L174" s="146"/>
      <c r="M174" s="294" t="str">
        <f ca="1">IF(OFFSET(AE174,0,Lang_Order*Lang__B4)="","",OFFSET(AE174,0,Lang_Order*Lang__B4))</f>
        <v>Lower Price</v>
      </c>
      <c r="N174" s="294" t="str">
        <f ca="1">IF(OFFSET(AF174,0,Lang_Order*Lang__B4)="","",OFFSET(AF174,0,Lang_Order*Lang__B4))</f>
        <v>Upper Price</v>
      </c>
      <c r="O174" s="146"/>
      <c r="Q174" s="91"/>
      <c r="R174" s="403"/>
      <c r="S174" s="403"/>
      <c r="T174" s="403" t="s">
        <v>3608</v>
      </c>
      <c r="U174" s="403"/>
      <c r="V174" s="403"/>
      <c r="W174" s="403"/>
      <c r="X174" s="403"/>
      <c r="Y174" s="403"/>
      <c r="Z174" s="403"/>
      <c r="AA174" s="403"/>
      <c r="AB174" s="403"/>
      <c r="AC174" s="403"/>
      <c r="AD174" s="403"/>
      <c r="AE174" s="403" t="s">
        <v>3591</v>
      </c>
      <c r="AF174" s="403" t="s">
        <v>3590</v>
      </c>
      <c r="AG174" s="403"/>
      <c r="AH174" s="403"/>
      <c r="AI174" s="403"/>
      <c r="AJ174" s="403"/>
      <c r="AK174" s="403"/>
      <c r="AL174" s="403"/>
      <c r="AM174" s="403" t="s">
        <v>11063</v>
      </c>
      <c r="AN174" s="403"/>
      <c r="AO174" s="403"/>
      <c r="AP174" s="403"/>
      <c r="AQ174" s="403"/>
      <c r="AR174" s="403"/>
      <c r="AS174" s="403"/>
      <c r="AT174" s="403"/>
      <c r="AU174" s="403"/>
      <c r="AV174" s="403"/>
      <c r="AW174" s="403"/>
      <c r="AX174" s="403" t="s">
        <v>10823</v>
      </c>
      <c r="AY174" s="403" t="s">
        <v>10824</v>
      </c>
      <c r="AZ174" s="403"/>
      <c r="BA174" s="403"/>
      <c r="BB174" s="403"/>
      <c r="BC174" s="403"/>
      <c r="BD174" s="403"/>
      <c r="BE174" s="403"/>
      <c r="BF174" s="403" t="s">
        <v>11064</v>
      </c>
      <c r="BG174" s="403"/>
      <c r="BH174" s="403"/>
      <c r="BI174" s="403"/>
      <c r="BJ174" s="403"/>
      <c r="BK174" s="403"/>
      <c r="BL174" s="403"/>
      <c r="BM174" s="403"/>
      <c r="BN174" s="403"/>
      <c r="BO174" s="403"/>
      <c r="BP174" s="403"/>
      <c r="BQ174" s="403" t="s">
        <v>10911</v>
      </c>
      <c r="BR174" s="403" t="s">
        <v>11065</v>
      </c>
      <c r="BS174" s="403"/>
      <c r="BT174" s="403"/>
      <c r="BU174" s="403"/>
      <c r="BV174" s="403"/>
      <c r="BW174" s="403"/>
      <c r="BX174" s="403"/>
      <c r="BY174" s="403" t="s">
        <v>11066</v>
      </c>
      <c r="BZ174" s="403"/>
      <c r="CA174" s="403"/>
      <c r="CB174" s="403"/>
      <c r="CC174" s="403"/>
      <c r="CD174" s="403"/>
      <c r="CE174" s="403"/>
      <c r="CF174" s="403"/>
      <c r="CG174" s="403"/>
      <c r="CH174" s="403"/>
      <c r="CI174" s="403"/>
      <c r="CJ174" s="403" t="s">
        <v>10837</v>
      </c>
      <c r="CK174" s="403" t="s">
        <v>10838</v>
      </c>
      <c r="CL174" s="403"/>
      <c r="CM174" s="403"/>
      <c r="CN174" s="403"/>
      <c r="CO174" s="403"/>
      <c r="CP174" s="403"/>
      <c r="CQ174" s="403"/>
      <c r="CR174" s="403" t="s">
        <v>11067</v>
      </c>
      <c r="CS174" s="403"/>
      <c r="CT174" s="403"/>
      <c r="CU174" s="403"/>
      <c r="CV174" s="403"/>
      <c r="CW174" s="403"/>
      <c r="CX174" s="403"/>
      <c r="CY174" s="403"/>
      <c r="CZ174" s="403"/>
      <c r="DA174" s="403"/>
      <c r="DB174" s="403"/>
      <c r="DC174" s="403" t="s">
        <v>10843</v>
      </c>
      <c r="DD174" s="403" t="s">
        <v>10844</v>
      </c>
      <c r="DE174" s="403"/>
      <c r="DF174" s="403"/>
      <c r="DG174" s="403"/>
      <c r="DH174" s="403"/>
      <c r="DI174" s="403"/>
      <c r="DJ174" s="403"/>
      <c r="DK174" s="403" t="s">
        <v>11068</v>
      </c>
      <c r="DL174" s="403"/>
      <c r="DM174" s="403"/>
      <c r="DN174" s="403"/>
      <c r="DO174" s="403"/>
      <c r="DP174" s="403"/>
      <c r="DQ174" s="403"/>
      <c r="DR174" s="403"/>
      <c r="DS174" s="403"/>
      <c r="DT174" s="403"/>
      <c r="DU174" s="403"/>
      <c r="DV174" s="403" t="s">
        <v>10915</v>
      </c>
      <c r="DW174" s="403" t="s">
        <v>10916</v>
      </c>
      <c r="DX174" s="403"/>
      <c r="DY174" s="403"/>
      <c r="DZ174" s="403"/>
      <c r="EA174" s="403"/>
      <c r="EB174" s="403"/>
      <c r="EC174" s="403"/>
      <c r="ED174" s="403" t="s">
        <v>11069</v>
      </c>
      <c r="EE174" s="403"/>
      <c r="EF174" s="403"/>
      <c r="EG174" s="403"/>
      <c r="EH174" s="403"/>
      <c r="EI174" s="403"/>
      <c r="EJ174" s="403"/>
      <c r="EK174" s="403"/>
      <c r="EL174" s="403"/>
      <c r="EM174" s="403"/>
      <c r="EN174" s="403"/>
      <c r="EO174" s="403" t="s">
        <v>10856</v>
      </c>
      <c r="EP174" s="403" t="s">
        <v>10857</v>
      </c>
      <c r="EQ174" s="403"/>
      <c r="ER174" s="403"/>
      <c r="ES174" s="403"/>
      <c r="ET174" s="403"/>
    </row>
    <row r="175" spans="1:150" s="281" customFormat="1" x14ac:dyDescent="0.2">
      <c r="C175" s="72"/>
      <c r="J175" s="146"/>
      <c r="K175" s="146"/>
      <c r="L175" s="146"/>
      <c r="M175" s="79"/>
      <c r="N175" s="79"/>
      <c r="O175" s="146"/>
      <c r="Q175" s="91"/>
      <c r="R175" s="403"/>
      <c r="S175" s="403"/>
      <c r="T175" s="403"/>
      <c r="U175" s="403"/>
      <c r="V175" s="403"/>
      <c r="W175" s="403"/>
      <c r="X175" s="403"/>
      <c r="Y175" s="403"/>
      <c r="Z175" s="403"/>
      <c r="AA175" s="403"/>
      <c r="AB175" s="403"/>
      <c r="AC175" s="403"/>
      <c r="AD175" s="403"/>
      <c r="AE175" s="403"/>
      <c r="AF175" s="403"/>
      <c r="AG175" s="403"/>
      <c r="AH175" s="403"/>
      <c r="AI175" s="403"/>
      <c r="AJ175" s="403"/>
      <c r="AK175" s="403"/>
      <c r="AL175" s="403"/>
      <c r="AM175" s="403"/>
      <c r="AN175" s="403"/>
      <c r="AO175" s="403"/>
      <c r="AP175" s="403"/>
      <c r="AQ175" s="403"/>
      <c r="AR175" s="403"/>
      <c r="AS175" s="403"/>
      <c r="AT175" s="403"/>
      <c r="AU175" s="403"/>
      <c r="AV175" s="403"/>
      <c r="AW175" s="403"/>
      <c r="AX175" s="403"/>
      <c r="AY175" s="403"/>
      <c r="AZ175" s="403"/>
      <c r="BA175" s="403"/>
      <c r="BB175" s="403"/>
      <c r="BC175" s="403"/>
      <c r="BD175" s="403"/>
      <c r="BE175" s="403"/>
      <c r="BF175" s="403"/>
      <c r="BG175" s="403"/>
      <c r="BH175" s="403"/>
      <c r="BI175" s="403"/>
      <c r="BJ175" s="403"/>
      <c r="BK175" s="403"/>
      <c r="BL175" s="403"/>
      <c r="BM175" s="403"/>
      <c r="BN175" s="403"/>
      <c r="BO175" s="403"/>
      <c r="BP175" s="403"/>
      <c r="BQ175" s="403"/>
      <c r="BR175" s="403"/>
      <c r="BS175" s="403"/>
      <c r="BT175" s="403"/>
      <c r="BU175" s="403"/>
      <c r="BV175" s="403"/>
      <c r="BW175" s="403"/>
      <c r="BX175" s="403"/>
      <c r="BY175" s="403"/>
      <c r="BZ175" s="403"/>
      <c r="CA175" s="403"/>
      <c r="CB175" s="403"/>
      <c r="CC175" s="403"/>
      <c r="CD175" s="403"/>
      <c r="CE175" s="403"/>
      <c r="CF175" s="403"/>
      <c r="CG175" s="403"/>
      <c r="CH175" s="403"/>
      <c r="CI175" s="403"/>
      <c r="CJ175" s="403"/>
      <c r="CK175" s="403"/>
      <c r="CL175" s="403"/>
      <c r="CM175" s="403"/>
      <c r="CN175" s="403"/>
      <c r="CO175" s="403"/>
      <c r="CP175" s="403"/>
      <c r="CQ175" s="403"/>
      <c r="CR175" s="403"/>
      <c r="CS175" s="403"/>
      <c r="CT175" s="403"/>
      <c r="CU175" s="403"/>
      <c r="CV175" s="403"/>
      <c r="CW175" s="403"/>
      <c r="CX175" s="403"/>
      <c r="CY175" s="403"/>
      <c r="CZ175" s="403"/>
      <c r="DA175" s="403"/>
      <c r="DB175" s="403"/>
      <c r="DC175" s="403"/>
      <c r="DD175" s="403"/>
      <c r="DE175" s="403"/>
      <c r="DF175" s="403"/>
      <c r="DG175" s="403"/>
      <c r="DH175" s="403"/>
      <c r="DI175" s="403"/>
      <c r="DJ175" s="403"/>
      <c r="DK175" s="403"/>
      <c r="DL175" s="403"/>
      <c r="DM175" s="403"/>
      <c r="DN175" s="403"/>
      <c r="DO175" s="403"/>
      <c r="DP175" s="403"/>
      <c r="DQ175" s="403"/>
      <c r="DR175" s="403"/>
      <c r="DS175" s="403"/>
      <c r="DT175" s="403"/>
      <c r="DU175" s="403"/>
      <c r="DV175" s="403"/>
      <c r="DW175" s="403"/>
      <c r="DX175" s="403"/>
      <c r="DY175" s="403"/>
      <c r="DZ175" s="403"/>
      <c r="EA175" s="403"/>
      <c r="EB175" s="403"/>
      <c r="EC175" s="403"/>
      <c r="ED175" s="403"/>
      <c r="EE175" s="403"/>
      <c r="EF175" s="403"/>
      <c r="EG175" s="403"/>
      <c r="EH175" s="403"/>
      <c r="EI175" s="403"/>
      <c r="EJ175" s="403"/>
      <c r="EK175" s="403"/>
      <c r="EL175" s="403"/>
      <c r="EM175" s="403"/>
      <c r="EN175" s="403"/>
      <c r="EO175" s="403"/>
      <c r="EP175" s="403"/>
      <c r="EQ175" s="403"/>
      <c r="ER175" s="403"/>
      <c r="ES175" s="403"/>
      <c r="ET175" s="403"/>
    </row>
    <row r="176" spans="1:150" s="281" customFormat="1" x14ac:dyDescent="0.2">
      <c r="C176" s="5" t="str">
        <f t="shared" ref="C176:C180" ca="1" si="42">IF(OFFSET(U176,0,Lang_Order*Lang__B4)="","",OFFSET(U176,0,Lang_Order*Lang__B4))</f>
        <v>Refrigerated (2 to 8C)</v>
      </c>
      <c r="J176" s="146"/>
      <c r="K176" s="146"/>
      <c r="L176" s="146"/>
      <c r="M176" s="79" t="e">
        <f t="shared" ref="M176:N180" si="43">M159*$P167</f>
        <v>#N/A</v>
      </c>
      <c r="N176" s="79" t="e">
        <f t="shared" si="43"/>
        <v>#N/A</v>
      </c>
      <c r="O176" s="146"/>
      <c r="Q176" s="91"/>
      <c r="R176" s="403"/>
      <c r="S176" s="403"/>
      <c r="T176" s="403"/>
      <c r="U176" s="403" t="s">
        <v>11</v>
      </c>
      <c r="V176" s="403"/>
      <c r="W176" s="403"/>
      <c r="X176" s="403"/>
      <c r="Y176" s="403"/>
      <c r="Z176" s="403"/>
      <c r="AA176" s="403"/>
      <c r="AB176" s="403"/>
      <c r="AC176" s="403"/>
      <c r="AD176" s="403"/>
      <c r="AE176" s="403"/>
      <c r="AF176" s="403"/>
      <c r="AG176" s="403"/>
      <c r="AH176" s="403"/>
      <c r="AI176" s="403"/>
      <c r="AJ176" s="403"/>
      <c r="AK176" s="403"/>
      <c r="AL176" s="403"/>
      <c r="AM176" s="403"/>
      <c r="AN176" s="403" t="s">
        <v>10714</v>
      </c>
      <c r="AO176" s="403"/>
      <c r="AP176" s="403"/>
      <c r="AQ176" s="403"/>
      <c r="AR176" s="403"/>
      <c r="AS176" s="403"/>
      <c r="AT176" s="403"/>
      <c r="AU176" s="403"/>
      <c r="AV176" s="403"/>
      <c r="AW176" s="403"/>
      <c r="AX176" s="403"/>
      <c r="AY176" s="403"/>
      <c r="AZ176" s="403"/>
      <c r="BA176" s="403"/>
      <c r="BB176" s="403"/>
      <c r="BC176" s="403"/>
      <c r="BD176" s="403"/>
      <c r="BE176" s="403"/>
      <c r="BF176" s="403"/>
      <c r="BG176" s="403" t="s">
        <v>10227</v>
      </c>
      <c r="BH176" s="403"/>
      <c r="BI176" s="403"/>
      <c r="BJ176" s="403"/>
      <c r="BK176" s="403"/>
      <c r="BL176" s="403"/>
      <c r="BM176" s="403"/>
      <c r="BN176" s="403"/>
      <c r="BO176" s="403"/>
      <c r="BP176" s="403"/>
      <c r="BQ176" s="403"/>
      <c r="BR176" s="403"/>
      <c r="BS176" s="403"/>
      <c r="BT176" s="403"/>
      <c r="BU176" s="403"/>
      <c r="BV176" s="403"/>
      <c r="BW176" s="403"/>
      <c r="BX176" s="403"/>
      <c r="BY176" s="403"/>
      <c r="BZ176" s="403" t="s">
        <v>10715</v>
      </c>
      <c r="CA176" s="403"/>
      <c r="CB176" s="403"/>
      <c r="CC176" s="403"/>
      <c r="CD176" s="403"/>
      <c r="CE176" s="403"/>
      <c r="CF176" s="403"/>
      <c r="CG176" s="403"/>
      <c r="CH176" s="403"/>
      <c r="CI176" s="403"/>
      <c r="CJ176" s="403"/>
      <c r="CK176" s="403"/>
      <c r="CL176" s="403"/>
      <c r="CM176" s="403"/>
      <c r="CN176" s="403"/>
      <c r="CO176" s="403"/>
      <c r="CP176" s="403"/>
      <c r="CQ176" s="403"/>
      <c r="CR176" s="403"/>
      <c r="CS176" s="403" t="s">
        <v>8384</v>
      </c>
      <c r="CT176" s="403"/>
      <c r="CU176" s="403"/>
      <c r="CV176" s="403"/>
      <c r="CW176" s="403"/>
      <c r="CX176" s="403"/>
      <c r="CY176" s="403"/>
      <c r="CZ176" s="403"/>
      <c r="DA176" s="403"/>
      <c r="DB176" s="403"/>
      <c r="DC176" s="403"/>
      <c r="DD176" s="403"/>
      <c r="DE176" s="403"/>
      <c r="DF176" s="403"/>
      <c r="DG176" s="403"/>
      <c r="DH176" s="403"/>
      <c r="DI176" s="403"/>
      <c r="DJ176" s="403"/>
      <c r="DK176" s="403"/>
      <c r="DL176" s="403" t="s">
        <v>10248</v>
      </c>
      <c r="DM176" s="403"/>
      <c r="DN176" s="403"/>
      <c r="DO176" s="403"/>
      <c r="DP176" s="403"/>
      <c r="DQ176" s="403"/>
      <c r="DR176" s="403"/>
      <c r="DS176" s="403"/>
      <c r="DT176" s="403"/>
      <c r="DU176" s="403"/>
      <c r="DV176" s="403"/>
      <c r="DW176" s="403"/>
      <c r="DX176" s="403"/>
      <c r="DY176" s="403"/>
      <c r="DZ176" s="403"/>
      <c r="EA176" s="403"/>
      <c r="EB176" s="403"/>
      <c r="EC176" s="403"/>
      <c r="ED176" s="403"/>
      <c r="EE176" s="403" t="s">
        <v>8387</v>
      </c>
      <c r="EF176" s="403"/>
      <c r="EG176" s="403"/>
      <c r="EH176" s="403"/>
      <c r="EI176" s="403"/>
      <c r="EJ176" s="403"/>
      <c r="EK176" s="403"/>
      <c r="EL176" s="403"/>
      <c r="EM176" s="403"/>
      <c r="EN176" s="403"/>
      <c r="EO176" s="403"/>
      <c r="EP176" s="403"/>
      <c r="EQ176" s="403"/>
      <c r="ER176" s="403"/>
      <c r="ES176" s="403"/>
      <c r="ET176" s="403"/>
    </row>
    <row r="177" spans="1:150" s="281" customFormat="1" x14ac:dyDescent="0.2">
      <c r="A177" s="567"/>
      <c r="C177" s="5" t="str">
        <f t="shared" ca="1" si="42"/>
        <v>Frozen (-20C)</v>
      </c>
      <c r="J177" s="146"/>
      <c r="K177" s="146"/>
      <c r="L177" s="146"/>
      <c r="M177" s="79" t="e">
        <f t="shared" si="43"/>
        <v>#N/A</v>
      </c>
      <c r="N177" s="79" t="e">
        <f t="shared" si="43"/>
        <v>#N/A</v>
      </c>
      <c r="O177" s="146"/>
      <c r="Q177" s="91"/>
      <c r="R177" s="403"/>
      <c r="S177" s="403"/>
      <c r="T177" s="403"/>
      <c r="U177" s="403" t="s">
        <v>12</v>
      </c>
      <c r="V177" s="403"/>
      <c r="W177" s="403"/>
      <c r="X177" s="403"/>
      <c r="Y177" s="403"/>
      <c r="Z177" s="403"/>
      <c r="AA177" s="403"/>
      <c r="AB177" s="403"/>
      <c r="AC177" s="403"/>
      <c r="AD177" s="403"/>
      <c r="AE177" s="403"/>
      <c r="AF177" s="403"/>
      <c r="AG177" s="403"/>
      <c r="AH177" s="403"/>
      <c r="AI177" s="403"/>
      <c r="AJ177" s="403"/>
      <c r="AK177" s="403"/>
      <c r="AL177" s="403"/>
      <c r="AM177" s="403"/>
      <c r="AN177" s="403" t="s">
        <v>10717</v>
      </c>
      <c r="AO177" s="403"/>
      <c r="AP177" s="403"/>
      <c r="AQ177" s="403"/>
      <c r="AR177" s="403"/>
      <c r="AS177" s="403"/>
      <c r="AT177" s="403"/>
      <c r="AU177" s="403"/>
      <c r="AV177" s="403"/>
      <c r="AW177" s="403"/>
      <c r="AX177" s="403"/>
      <c r="AY177" s="403"/>
      <c r="AZ177" s="403"/>
      <c r="BA177" s="403"/>
      <c r="BB177" s="403"/>
      <c r="BC177" s="403"/>
      <c r="BD177" s="403"/>
      <c r="BE177" s="403"/>
      <c r="BF177" s="403"/>
      <c r="BG177" s="403" t="s">
        <v>10228</v>
      </c>
      <c r="BH177" s="403"/>
      <c r="BI177" s="403"/>
      <c r="BJ177" s="403"/>
      <c r="BK177" s="403"/>
      <c r="BL177" s="403"/>
      <c r="BM177" s="403"/>
      <c r="BN177" s="403"/>
      <c r="BO177" s="403"/>
      <c r="BP177" s="403"/>
      <c r="BQ177" s="403"/>
      <c r="BR177" s="403"/>
      <c r="BS177" s="403"/>
      <c r="BT177" s="403"/>
      <c r="BU177" s="403"/>
      <c r="BV177" s="403"/>
      <c r="BW177" s="403"/>
      <c r="BX177" s="403"/>
      <c r="BY177" s="403"/>
      <c r="BZ177" s="403" t="s">
        <v>10718</v>
      </c>
      <c r="CA177" s="403"/>
      <c r="CB177" s="403"/>
      <c r="CC177" s="403"/>
      <c r="CD177" s="403"/>
      <c r="CE177" s="403"/>
      <c r="CF177" s="403"/>
      <c r="CG177" s="403"/>
      <c r="CH177" s="403"/>
      <c r="CI177" s="403"/>
      <c r="CJ177" s="403"/>
      <c r="CK177" s="403"/>
      <c r="CL177" s="403"/>
      <c r="CM177" s="403"/>
      <c r="CN177" s="403"/>
      <c r="CO177" s="403"/>
      <c r="CP177" s="403"/>
      <c r="CQ177" s="403"/>
      <c r="CR177" s="403"/>
      <c r="CS177" s="403" t="s">
        <v>8391</v>
      </c>
      <c r="CT177" s="403"/>
      <c r="CU177" s="403"/>
      <c r="CV177" s="403"/>
      <c r="CW177" s="403"/>
      <c r="CX177" s="403"/>
      <c r="CY177" s="403"/>
      <c r="CZ177" s="403"/>
      <c r="DA177" s="403"/>
      <c r="DB177" s="403"/>
      <c r="DC177" s="403"/>
      <c r="DD177" s="403"/>
      <c r="DE177" s="403"/>
      <c r="DF177" s="403"/>
      <c r="DG177" s="403"/>
      <c r="DH177" s="403"/>
      <c r="DI177" s="403"/>
      <c r="DJ177" s="403"/>
      <c r="DK177" s="403"/>
      <c r="DL177" s="403" t="s">
        <v>10249</v>
      </c>
      <c r="DM177" s="403"/>
      <c r="DN177" s="403"/>
      <c r="DO177" s="403"/>
      <c r="DP177" s="403"/>
      <c r="DQ177" s="403"/>
      <c r="DR177" s="403"/>
      <c r="DS177" s="403"/>
      <c r="DT177" s="403"/>
      <c r="DU177" s="403"/>
      <c r="DV177" s="403"/>
      <c r="DW177" s="403"/>
      <c r="DX177" s="403"/>
      <c r="DY177" s="403"/>
      <c r="DZ177" s="403"/>
      <c r="EA177" s="403"/>
      <c r="EB177" s="403"/>
      <c r="EC177" s="403"/>
      <c r="ED177" s="403"/>
      <c r="EE177" s="403" t="s">
        <v>8393</v>
      </c>
      <c r="EF177" s="403"/>
      <c r="EG177" s="403"/>
      <c r="EH177" s="403"/>
      <c r="EI177" s="403"/>
      <c r="EJ177" s="403"/>
      <c r="EK177" s="403"/>
      <c r="EL177" s="403"/>
      <c r="EM177" s="403"/>
      <c r="EN177" s="403"/>
      <c r="EO177" s="403"/>
      <c r="EP177" s="403"/>
      <c r="EQ177" s="403"/>
      <c r="ER177" s="403"/>
      <c r="ES177" s="403"/>
      <c r="ET177" s="403"/>
    </row>
    <row r="178" spans="1:150" s="281" customFormat="1" x14ac:dyDescent="0.2">
      <c r="A178" s="567"/>
      <c r="C178" s="5" t="str">
        <f ca="1">IF(OFFSET(U178,0,Lang_Order*Lang__B4)="","",OFFSET(U178,0,Lang_Order*Lang__B4))</f>
        <v>Ultra-cold (-60 to -80C)</v>
      </c>
      <c r="J178" s="146"/>
      <c r="K178" s="146"/>
      <c r="L178" s="146"/>
      <c r="M178" s="79" t="e">
        <f t="shared" si="43"/>
        <v>#N/A</v>
      </c>
      <c r="N178" s="79" t="e">
        <f t="shared" si="43"/>
        <v>#N/A</v>
      </c>
      <c r="O178" s="146"/>
      <c r="Q178" s="91"/>
      <c r="R178" s="403"/>
      <c r="S178" s="403"/>
      <c r="T178" s="403"/>
      <c r="U178" s="403" t="s">
        <v>13</v>
      </c>
      <c r="V178" s="403"/>
      <c r="W178" s="403"/>
      <c r="X178" s="403"/>
      <c r="Y178" s="403"/>
      <c r="Z178" s="403"/>
      <c r="AA178" s="403"/>
      <c r="AB178" s="403"/>
      <c r="AC178" s="403"/>
      <c r="AD178" s="403"/>
      <c r="AE178" s="403"/>
      <c r="AF178" s="403"/>
      <c r="AG178" s="403"/>
      <c r="AH178" s="403"/>
      <c r="AI178" s="403" t="s">
        <v>2765</v>
      </c>
      <c r="AJ178" s="403"/>
      <c r="AK178" s="403"/>
      <c r="AL178" s="403"/>
      <c r="AM178" s="403"/>
      <c r="AN178" s="403" t="s">
        <v>8394</v>
      </c>
      <c r="AO178" s="403"/>
      <c r="AP178" s="403"/>
      <c r="AQ178" s="403"/>
      <c r="AR178" s="403"/>
      <c r="AS178" s="403"/>
      <c r="AT178" s="403"/>
      <c r="AU178" s="403"/>
      <c r="AV178" s="403"/>
      <c r="AW178" s="403"/>
      <c r="AX178" s="403"/>
      <c r="AY178" s="403"/>
      <c r="AZ178" s="403"/>
      <c r="BA178" s="403"/>
      <c r="BB178" s="403" t="s">
        <v>10918</v>
      </c>
      <c r="BC178" s="403"/>
      <c r="BD178" s="403"/>
      <c r="BE178" s="403"/>
      <c r="BF178" s="403"/>
      <c r="BG178" s="403" t="s">
        <v>10229</v>
      </c>
      <c r="BH178" s="403"/>
      <c r="BI178" s="403"/>
      <c r="BJ178" s="403"/>
      <c r="BK178" s="403"/>
      <c r="BL178" s="403"/>
      <c r="BM178" s="403"/>
      <c r="BN178" s="403"/>
      <c r="BO178" s="403"/>
      <c r="BP178" s="403"/>
      <c r="BQ178" s="403"/>
      <c r="BR178" s="403"/>
      <c r="BS178" s="403"/>
      <c r="BT178" s="403"/>
      <c r="BU178" s="403" t="s">
        <v>10273</v>
      </c>
      <c r="BV178" s="403"/>
      <c r="BW178" s="403"/>
      <c r="BX178" s="403"/>
      <c r="BY178" s="403"/>
      <c r="BZ178" s="403" t="s">
        <v>10237</v>
      </c>
      <c r="CA178" s="403"/>
      <c r="CB178" s="403"/>
      <c r="CC178" s="403"/>
      <c r="CD178" s="403"/>
      <c r="CE178" s="403"/>
      <c r="CF178" s="403"/>
      <c r="CG178" s="403"/>
      <c r="CH178" s="403"/>
      <c r="CI178" s="403"/>
      <c r="CJ178" s="403"/>
      <c r="CK178" s="403"/>
      <c r="CL178" s="403"/>
      <c r="CM178" s="403"/>
      <c r="CN178" s="403" t="s">
        <v>10932</v>
      </c>
      <c r="CO178" s="403"/>
      <c r="CP178" s="403"/>
      <c r="CQ178" s="403"/>
      <c r="CR178" s="403"/>
      <c r="CS178" s="403" t="s">
        <v>8400</v>
      </c>
      <c r="CT178" s="403"/>
      <c r="CU178" s="403"/>
      <c r="CV178" s="403"/>
      <c r="CW178" s="403"/>
      <c r="CX178" s="403"/>
      <c r="CY178" s="403"/>
      <c r="CZ178" s="403"/>
      <c r="DA178" s="403"/>
      <c r="DB178" s="403"/>
      <c r="DC178" s="403"/>
      <c r="DD178" s="403"/>
      <c r="DE178" s="403"/>
      <c r="DF178" s="403"/>
      <c r="DG178" s="403" t="s">
        <v>10275</v>
      </c>
      <c r="DH178" s="403"/>
      <c r="DI178" s="403"/>
      <c r="DJ178" s="403"/>
      <c r="DK178" s="403"/>
      <c r="DL178" s="403" t="s">
        <v>10250</v>
      </c>
      <c r="DM178" s="403"/>
      <c r="DN178" s="403"/>
      <c r="DO178" s="403"/>
      <c r="DP178" s="403"/>
      <c r="DQ178" s="403"/>
      <c r="DR178" s="403"/>
      <c r="DS178" s="403"/>
      <c r="DT178" s="403"/>
      <c r="DU178" s="403"/>
      <c r="DV178" s="403"/>
      <c r="DW178" s="403"/>
      <c r="DX178" s="403"/>
      <c r="DY178" s="403"/>
      <c r="DZ178" s="403" t="s">
        <v>10276</v>
      </c>
      <c r="EA178" s="403"/>
      <c r="EB178" s="403"/>
      <c r="EC178" s="403"/>
      <c r="ED178" s="403"/>
      <c r="EE178" s="403" t="s">
        <v>8404</v>
      </c>
      <c r="EF178" s="403"/>
      <c r="EG178" s="403"/>
      <c r="EH178" s="403"/>
      <c r="EI178" s="403"/>
      <c r="EJ178" s="403"/>
      <c r="EK178" s="403"/>
      <c r="EL178" s="403"/>
      <c r="EM178" s="403"/>
      <c r="EN178" s="403"/>
      <c r="EO178" s="403"/>
      <c r="EP178" s="403"/>
      <c r="EQ178" s="403"/>
      <c r="ER178" s="403"/>
      <c r="ES178" s="403" t="s">
        <v>10919</v>
      </c>
      <c r="ET178" s="403"/>
    </row>
    <row r="179" spans="1:150" s="281" customFormat="1" x14ac:dyDescent="0.2">
      <c r="A179" s="567"/>
      <c r="C179" s="5" t="str">
        <f t="shared" ca="1" si="42"/>
        <v>Ice pack freezers</v>
      </c>
      <c r="J179" s="146"/>
      <c r="K179" s="146"/>
      <c r="L179" s="146"/>
      <c r="M179" s="79">
        <f t="shared" si="43"/>
        <v>0</v>
      </c>
      <c r="N179" s="79">
        <f t="shared" si="43"/>
        <v>0</v>
      </c>
      <c r="O179" s="146"/>
      <c r="Q179" s="47"/>
      <c r="R179" s="403"/>
      <c r="S179" s="403"/>
      <c r="T179" s="403"/>
      <c r="U179" s="403" t="s">
        <v>3211</v>
      </c>
      <c r="V179" s="403"/>
      <c r="W179" s="403"/>
      <c r="X179" s="403"/>
      <c r="Y179" s="403"/>
      <c r="Z179" s="403"/>
      <c r="AA179" s="403"/>
      <c r="AB179" s="403"/>
      <c r="AC179" s="403"/>
      <c r="AD179" s="403"/>
      <c r="AE179" s="403"/>
      <c r="AF179" s="403"/>
      <c r="AG179" s="403"/>
      <c r="AH179" s="403"/>
      <c r="AI179" s="403"/>
      <c r="AJ179" s="403"/>
      <c r="AK179" s="403"/>
      <c r="AL179" s="403"/>
      <c r="AM179" s="403"/>
      <c r="AN179" s="403" t="s">
        <v>11012</v>
      </c>
      <c r="AO179" s="403"/>
      <c r="AP179" s="403"/>
      <c r="AQ179" s="403"/>
      <c r="AR179" s="403"/>
      <c r="AS179" s="403"/>
      <c r="AT179" s="403"/>
      <c r="AU179" s="403"/>
      <c r="AV179" s="403"/>
      <c r="AW179" s="403"/>
      <c r="AX179" s="403"/>
      <c r="AY179" s="403"/>
      <c r="AZ179" s="403"/>
      <c r="BA179" s="403"/>
      <c r="BB179" s="403"/>
      <c r="BC179" s="403"/>
      <c r="BD179" s="403"/>
      <c r="BE179" s="403"/>
      <c r="BF179" s="403"/>
      <c r="BG179" s="403" t="s">
        <v>11056</v>
      </c>
      <c r="BH179" s="403"/>
      <c r="BI179" s="403"/>
      <c r="BJ179" s="403"/>
      <c r="BK179" s="403"/>
      <c r="BL179" s="403"/>
      <c r="BM179" s="403"/>
      <c r="BN179" s="403"/>
      <c r="BO179" s="403"/>
      <c r="BP179" s="403"/>
      <c r="BQ179" s="403"/>
      <c r="BR179" s="403"/>
      <c r="BS179" s="403"/>
      <c r="BT179" s="403"/>
      <c r="BU179" s="403"/>
      <c r="BV179" s="403"/>
      <c r="BW179" s="403"/>
      <c r="BX179" s="403"/>
      <c r="BY179" s="403"/>
      <c r="BZ179" s="403" t="s">
        <v>11016</v>
      </c>
      <c r="CA179" s="403"/>
      <c r="CB179" s="403"/>
      <c r="CC179" s="403"/>
      <c r="CD179" s="403"/>
      <c r="CE179" s="403"/>
      <c r="CF179" s="403"/>
      <c r="CG179" s="403"/>
      <c r="CH179" s="403"/>
      <c r="CI179" s="403"/>
      <c r="CJ179" s="403"/>
      <c r="CK179" s="403"/>
      <c r="CL179" s="403"/>
      <c r="CM179" s="403"/>
      <c r="CN179" s="403"/>
      <c r="CO179" s="403"/>
      <c r="CP179" s="403"/>
      <c r="CQ179" s="403"/>
      <c r="CR179" s="403"/>
      <c r="CS179" s="403" t="s">
        <v>11018</v>
      </c>
      <c r="CT179" s="403"/>
      <c r="CU179" s="403"/>
      <c r="CV179" s="403"/>
      <c r="CW179" s="403"/>
      <c r="CX179" s="403"/>
      <c r="CY179" s="403"/>
      <c r="CZ179" s="403"/>
      <c r="DA179" s="403"/>
      <c r="DB179" s="403"/>
      <c r="DC179" s="403"/>
      <c r="DD179" s="403"/>
      <c r="DE179" s="403"/>
      <c r="DF179" s="403"/>
      <c r="DG179" s="403"/>
      <c r="DH179" s="403"/>
      <c r="DI179" s="403"/>
      <c r="DJ179" s="403"/>
      <c r="DK179" s="403"/>
      <c r="DL179" s="403" t="s">
        <v>11020</v>
      </c>
      <c r="DM179" s="403"/>
      <c r="DN179" s="403"/>
      <c r="DO179" s="403"/>
      <c r="DP179" s="403"/>
      <c r="DQ179" s="403"/>
      <c r="DR179" s="403"/>
      <c r="DS179" s="403"/>
      <c r="DT179" s="403"/>
      <c r="DU179" s="403"/>
      <c r="DV179" s="403"/>
      <c r="DW179" s="403"/>
      <c r="DX179" s="403"/>
      <c r="DY179" s="403"/>
      <c r="DZ179" s="403"/>
      <c r="EA179" s="403"/>
      <c r="EB179" s="403"/>
      <c r="EC179" s="403"/>
      <c r="ED179" s="403"/>
      <c r="EE179" s="403" t="s">
        <v>11021</v>
      </c>
      <c r="EF179" s="403"/>
      <c r="EG179" s="403"/>
      <c r="EH179" s="403"/>
      <c r="EI179" s="403"/>
      <c r="EJ179" s="403"/>
      <c r="EK179" s="403"/>
      <c r="EL179" s="403"/>
      <c r="EM179" s="403"/>
      <c r="EN179" s="403"/>
      <c r="EO179" s="403"/>
      <c r="EP179" s="403"/>
      <c r="EQ179" s="403"/>
      <c r="ER179" s="403"/>
      <c r="ES179" s="403"/>
      <c r="ET179" s="403"/>
    </row>
    <row r="180" spans="1:150" s="281" customFormat="1" x14ac:dyDescent="0.2">
      <c r="A180" s="567"/>
      <c r="C180" s="5" t="str">
        <f t="shared" ca="1" si="42"/>
        <v>Remote Temperature Monitoring Devices</v>
      </c>
      <c r="J180" s="146"/>
      <c r="K180" s="146"/>
      <c r="L180" s="146"/>
      <c r="M180" s="79" t="e">
        <f t="shared" si="43"/>
        <v>#N/A</v>
      </c>
      <c r="N180" s="79" t="e">
        <f t="shared" si="43"/>
        <v>#N/A</v>
      </c>
      <c r="O180" s="146"/>
      <c r="Q180" s="47"/>
      <c r="R180" s="403"/>
      <c r="S180" s="403"/>
      <c r="T180" s="403"/>
      <c r="U180" s="403" t="s">
        <v>3593</v>
      </c>
      <c r="V180" s="403"/>
      <c r="W180" s="403"/>
      <c r="X180" s="403"/>
      <c r="Y180" s="403"/>
      <c r="Z180" s="403"/>
      <c r="AA180" s="403"/>
      <c r="AB180" s="403"/>
      <c r="AC180" s="403"/>
      <c r="AD180" s="403"/>
      <c r="AE180" s="403"/>
      <c r="AF180" s="403"/>
      <c r="AG180" s="403"/>
      <c r="AH180" s="403"/>
      <c r="AI180" s="403"/>
      <c r="AJ180" s="403"/>
      <c r="AK180" s="403"/>
      <c r="AL180" s="403"/>
      <c r="AM180" s="403"/>
      <c r="AN180" s="403" t="s">
        <v>10871</v>
      </c>
      <c r="AO180" s="403"/>
      <c r="AP180" s="403"/>
      <c r="AQ180" s="403"/>
      <c r="AR180" s="403"/>
      <c r="AS180" s="403"/>
      <c r="AT180" s="403"/>
      <c r="AU180" s="403"/>
      <c r="AV180" s="403"/>
      <c r="AW180" s="403"/>
      <c r="AX180" s="403"/>
      <c r="AY180" s="403"/>
      <c r="AZ180" s="403"/>
      <c r="BA180" s="403"/>
      <c r="BB180" s="403"/>
      <c r="BC180" s="403"/>
      <c r="BD180" s="403"/>
      <c r="BE180" s="403"/>
      <c r="BF180" s="403"/>
      <c r="BG180" s="403" t="s">
        <v>10872</v>
      </c>
      <c r="BH180" s="403"/>
      <c r="BI180" s="403"/>
      <c r="BJ180" s="403"/>
      <c r="BK180" s="403"/>
      <c r="BL180" s="403"/>
      <c r="BM180" s="403"/>
      <c r="BN180" s="403"/>
      <c r="BO180" s="403"/>
      <c r="BP180" s="403"/>
      <c r="BQ180" s="403"/>
      <c r="BR180" s="403"/>
      <c r="BS180" s="403"/>
      <c r="BT180" s="403"/>
      <c r="BU180" s="403"/>
      <c r="BV180" s="403"/>
      <c r="BW180" s="403"/>
      <c r="BX180" s="403"/>
      <c r="BY180" s="403"/>
      <c r="BZ180" s="403" t="s">
        <v>10873</v>
      </c>
      <c r="CA180" s="403"/>
      <c r="CB180" s="403"/>
      <c r="CC180" s="403"/>
      <c r="CD180" s="403"/>
      <c r="CE180" s="403"/>
      <c r="CF180" s="403"/>
      <c r="CG180" s="403"/>
      <c r="CH180" s="403"/>
      <c r="CI180" s="403"/>
      <c r="CJ180" s="403"/>
      <c r="CK180" s="403"/>
      <c r="CL180" s="403"/>
      <c r="CM180" s="403"/>
      <c r="CN180" s="403"/>
      <c r="CO180" s="403"/>
      <c r="CP180" s="403"/>
      <c r="CQ180" s="403"/>
      <c r="CR180" s="403"/>
      <c r="CS180" s="403" t="s">
        <v>10874</v>
      </c>
      <c r="CT180" s="403"/>
      <c r="CU180" s="403"/>
      <c r="CV180" s="403"/>
      <c r="CW180" s="403"/>
      <c r="CX180" s="403"/>
      <c r="CY180" s="403"/>
      <c r="CZ180" s="403"/>
      <c r="DA180" s="403"/>
      <c r="DB180" s="403"/>
      <c r="DC180" s="403"/>
      <c r="DD180" s="403"/>
      <c r="DE180" s="403"/>
      <c r="DF180" s="403"/>
      <c r="DG180" s="403"/>
      <c r="DH180" s="403"/>
      <c r="DI180" s="403"/>
      <c r="DJ180" s="403"/>
      <c r="DK180" s="403"/>
      <c r="DL180" s="403" t="s">
        <v>10901</v>
      </c>
      <c r="DM180" s="403"/>
      <c r="DN180" s="403"/>
      <c r="DO180" s="403"/>
      <c r="DP180" s="403"/>
      <c r="DQ180" s="403"/>
      <c r="DR180" s="403"/>
      <c r="DS180" s="403"/>
      <c r="DT180" s="403"/>
      <c r="DU180" s="403"/>
      <c r="DV180" s="403"/>
      <c r="DW180" s="403"/>
      <c r="DX180" s="403"/>
      <c r="DY180" s="403"/>
      <c r="DZ180" s="403"/>
      <c r="EA180" s="403"/>
      <c r="EB180" s="403"/>
      <c r="EC180" s="403"/>
      <c r="ED180" s="403"/>
      <c r="EE180" s="403" t="s">
        <v>10876</v>
      </c>
      <c r="EF180" s="403"/>
      <c r="EG180" s="403"/>
      <c r="EH180" s="403"/>
      <c r="EI180" s="403"/>
      <c r="EJ180" s="403"/>
      <c r="EK180" s="403"/>
      <c r="EL180" s="403"/>
      <c r="EM180" s="403"/>
      <c r="EN180" s="403"/>
      <c r="EO180" s="403"/>
      <c r="EP180" s="403"/>
      <c r="EQ180" s="403"/>
      <c r="ER180" s="403"/>
      <c r="ES180" s="403"/>
      <c r="ET180" s="403"/>
    </row>
    <row r="181" spans="1:150" s="281" customFormat="1" ht="13.5" thickBot="1" x14ac:dyDescent="0.25">
      <c r="A181" s="567"/>
      <c r="D181" s="21" t="str">
        <f ca="1">IF(OFFSET(V181,0,Lang_Order*Lang__B4)="","",OFFSET(V181,0,Lang_Order*Lang__B4))</f>
        <v>Total (All Regions) Cold Storage - Capital Expenditures</v>
      </c>
      <c r="E181" s="20"/>
      <c r="F181" s="20"/>
      <c r="G181" s="20"/>
      <c r="H181" s="20"/>
      <c r="I181" s="20"/>
      <c r="J181" s="118" t="e">
        <f>IF(D173=2,SUM(N176:N180),SUM(M176:M180))</f>
        <v>#N/A</v>
      </c>
      <c r="K181" s="288"/>
      <c r="L181" s="288"/>
      <c r="M181" s="288"/>
      <c r="N181" s="288"/>
      <c r="O181" s="288"/>
      <c r="P181" s="118" t="e">
        <f>SUM(J181:O181)</f>
        <v>#N/A</v>
      </c>
      <c r="Q181" s="91"/>
      <c r="R181" s="403"/>
      <c r="S181" s="403"/>
      <c r="T181" s="403"/>
      <c r="U181" s="403"/>
      <c r="V181" s="403" t="s">
        <v>3214</v>
      </c>
      <c r="W181" s="403"/>
      <c r="X181" s="403"/>
      <c r="Y181" s="403"/>
      <c r="Z181" s="403"/>
      <c r="AA181" s="403"/>
      <c r="AB181" s="403"/>
      <c r="AC181" s="403"/>
      <c r="AD181" s="403"/>
      <c r="AE181" s="403"/>
      <c r="AF181" s="403"/>
      <c r="AG181" s="403"/>
      <c r="AH181" s="403"/>
      <c r="AI181" s="403"/>
      <c r="AJ181" s="403"/>
      <c r="AK181" s="403"/>
      <c r="AL181" s="403"/>
      <c r="AM181" s="403"/>
      <c r="AN181" s="403"/>
      <c r="AO181" s="403" t="s">
        <v>11070</v>
      </c>
      <c r="AP181" s="403"/>
      <c r="AQ181" s="403"/>
      <c r="AR181" s="403"/>
      <c r="AS181" s="403"/>
      <c r="AT181" s="403"/>
      <c r="AU181" s="403"/>
      <c r="AV181" s="403"/>
      <c r="AW181" s="403"/>
      <c r="AX181" s="403"/>
      <c r="AY181" s="403"/>
      <c r="AZ181" s="403"/>
      <c r="BA181" s="403"/>
      <c r="BB181" s="403"/>
      <c r="BC181" s="403"/>
      <c r="BD181" s="403"/>
      <c r="BE181" s="403"/>
      <c r="BF181" s="403"/>
      <c r="BG181" s="403"/>
      <c r="BH181" s="403" t="s">
        <v>11071</v>
      </c>
      <c r="BI181" s="403"/>
      <c r="BJ181" s="403"/>
      <c r="BK181" s="403"/>
      <c r="BL181" s="403"/>
      <c r="BM181" s="403"/>
      <c r="BN181" s="403"/>
      <c r="BO181" s="403"/>
      <c r="BP181" s="403"/>
      <c r="BQ181" s="403"/>
      <c r="BR181" s="403"/>
      <c r="BS181" s="403"/>
      <c r="BT181" s="403"/>
      <c r="BU181" s="403"/>
      <c r="BV181" s="403"/>
      <c r="BW181" s="403"/>
      <c r="BX181" s="403"/>
      <c r="BY181" s="403"/>
      <c r="BZ181" s="403"/>
      <c r="CA181" s="403" t="s">
        <v>11072</v>
      </c>
      <c r="CB181" s="403"/>
      <c r="CC181" s="403"/>
      <c r="CD181" s="403"/>
      <c r="CE181" s="403"/>
      <c r="CF181" s="403"/>
      <c r="CG181" s="403"/>
      <c r="CH181" s="403"/>
      <c r="CI181" s="403"/>
      <c r="CJ181" s="403"/>
      <c r="CK181" s="403"/>
      <c r="CL181" s="403"/>
      <c r="CM181" s="403"/>
      <c r="CN181" s="403"/>
      <c r="CO181" s="403"/>
      <c r="CP181" s="403"/>
      <c r="CQ181" s="403"/>
      <c r="CR181" s="403"/>
      <c r="CS181" s="403"/>
      <c r="CT181" s="403" t="s">
        <v>11073</v>
      </c>
      <c r="CU181" s="403"/>
      <c r="CV181" s="403"/>
      <c r="CW181" s="403"/>
      <c r="CX181" s="403"/>
      <c r="CY181" s="403"/>
      <c r="CZ181" s="403"/>
      <c r="DA181" s="403"/>
      <c r="DB181" s="403"/>
      <c r="DC181" s="403"/>
      <c r="DD181" s="403"/>
      <c r="DE181" s="403"/>
      <c r="DF181" s="403"/>
      <c r="DG181" s="403"/>
      <c r="DH181" s="403"/>
      <c r="DI181" s="403"/>
      <c r="DJ181" s="403"/>
      <c r="DK181" s="403"/>
      <c r="DL181" s="403"/>
      <c r="DM181" s="403" t="s">
        <v>11074</v>
      </c>
      <c r="DN181" s="403"/>
      <c r="DO181" s="403"/>
      <c r="DP181" s="403"/>
      <c r="DQ181" s="403"/>
      <c r="DR181" s="403"/>
      <c r="DS181" s="403"/>
      <c r="DT181" s="403"/>
      <c r="DU181" s="403"/>
      <c r="DV181" s="403"/>
      <c r="DW181" s="403"/>
      <c r="DX181" s="403"/>
      <c r="DY181" s="403"/>
      <c r="DZ181" s="403"/>
      <c r="EA181" s="403"/>
      <c r="EB181" s="403"/>
      <c r="EC181" s="403"/>
      <c r="ED181" s="403"/>
      <c r="EE181" s="403"/>
      <c r="EF181" s="403" t="s">
        <v>11075</v>
      </c>
      <c r="EG181" s="403"/>
      <c r="EH181" s="403"/>
      <c r="EI181" s="403"/>
      <c r="EJ181" s="403"/>
      <c r="EK181" s="403"/>
      <c r="EL181" s="403"/>
      <c r="EM181" s="403"/>
      <c r="EN181" s="403"/>
      <c r="EO181" s="403"/>
      <c r="EP181" s="403"/>
      <c r="EQ181" s="403"/>
      <c r="ER181" s="403"/>
      <c r="ES181" s="403"/>
      <c r="ET181" s="403"/>
    </row>
    <row r="182" spans="1:150" s="281" customFormat="1" ht="13.5" thickTop="1" x14ac:dyDescent="0.2">
      <c r="A182" s="567"/>
      <c r="C182" s="5"/>
      <c r="J182" s="146"/>
      <c r="K182" s="146"/>
      <c r="L182" s="146"/>
      <c r="M182" s="146"/>
      <c r="N182" s="309" t="str">
        <f ca="1">IF(OFFSET(AF182,0,Lang_Order*Lang__B4)="","",OFFSET(AF182,0,Lang_Order*Lang__B4))</f>
        <v>Value (for customs clearance)</v>
      </c>
      <c r="O182" s="79" t="e">
        <f>SUMPRODUCT(O159:O163,P167:P171)</f>
        <v>#N/A</v>
      </c>
      <c r="P182" s="287"/>
      <c r="Q182" s="91"/>
      <c r="R182" s="403"/>
      <c r="S182" s="403"/>
      <c r="T182" s="403"/>
      <c r="U182" s="403"/>
      <c r="V182" s="403"/>
      <c r="W182" s="403"/>
      <c r="X182" s="403"/>
      <c r="Y182" s="403"/>
      <c r="Z182" s="403"/>
      <c r="AA182" s="403"/>
      <c r="AB182" s="403"/>
      <c r="AC182" s="403"/>
      <c r="AD182" s="403"/>
      <c r="AE182" s="403"/>
      <c r="AF182" s="403" t="s">
        <v>3675</v>
      </c>
      <c r="AG182" s="403"/>
      <c r="AH182" s="403"/>
      <c r="AI182" s="403"/>
      <c r="AJ182" s="403"/>
      <c r="AK182" s="403"/>
      <c r="AL182" s="403"/>
      <c r="AM182" s="403"/>
      <c r="AN182" s="403"/>
      <c r="AO182" s="403"/>
      <c r="AP182" s="403"/>
      <c r="AQ182" s="403"/>
      <c r="AR182" s="403"/>
      <c r="AS182" s="403"/>
      <c r="AT182" s="403"/>
      <c r="AU182" s="403"/>
      <c r="AV182" s="403"/>
      <c r="AW182" s="403"/>
      <c r="AX182" s="403"/>
      <c r="AY182" s="403" t="s">
        <v>10926</v>
      </c>
      <c r="AZ182" s="403"/>
      <c r="BA182" s="403"/>
      <c r="BB182" s="403"/>
      <c r="BC182" s="403"/>
      <c r="BD182" s="403"/>
      <c r="BE182" s="403"/>
      <c r="BF182" s="403"/>
      <c r="BG182" s="403"/>
      <c r="BH182" s="403"/>
      <c r="BI182" s="403"/>
      <c r="BJ182" s="403"/>
      <c r="BK182" s="403"/>
      <c r="BL182" s="403"/>
      <c r="BM182" s="403"/>
      <c r="BN182" s="403"/>
      <c r="BO182" s="403"/>
      <c r="BP182" s="403"/>
      <c r="BQ182" s="403"/>
      <c r="BR182" s="403" t="s">
        <v>10927</v>
      </c>
      <c r="BS182" s="403"/>
      <c r="BT182" s="403"/>
      <c r="BU182" s="403"/>
      <c r="BV182" s="403"/>
      <c r="BW182" s="403"/>
      <c r="BX182" s="403"/>
      <c r="BY182" s="403"/>
      <c r="BZ182" s="403"/>
      <c r="CA182" s="403"/>
      <c r="CB182" s="403"/>
      <c r="CC182" s="403"/>
      <c r="CD182" s="403"/>
      <c r="CE182" s="403"/>
      <c r="CF182" s="403"/>
      <c r="CG182" s="403"/>
      <c r="CH182" s="403"/>
      <c r="CI182" s="403"/>
      <c r="CJ182" s="403"/>
      <c r="CK182" s="403" t="s">
        <v>10928</v>
      </c>
      <c r="CL182" s="403"/>
      <c r="CM182" s="403"/>
      <c r="CN182" s="403"/>
      <c r="CO182" s="403"/>
      <c r="CP182" s="403"/>
      <c r="CQ182" s="403"/>
      <c r="CR182" s="403"/>
      <c r="CS182" s="403"/>
      <c r="CT182" s="403"/>
      <c r="CU182" s="403"/>
      <c r="CV182" s="403"/>
      <c r="CW182" s="403"/>
      <c r="CX182" s="403"/>
      <c r="CY182" s="403"/>
      <c r="CZ182" s="403"/>
      <c r="DA182" s="403"/>
      <c r="DB182" s="403"/>
      <c r="DC182" s="403"/>
      <c r="DD182" s="403" t="s">
        <v>10929</v>
      </c>
      <c r="DE182" s="403"/>
      <c r="DF182" s="403"/>
      <c r="DG182" s="403"/>
      <c r="DH182" s="403"/>
      <c r="DI182" s="403"/>
      <c r="DJ182" s="403"/>
      <c r="DK182" s="403"/>
      <c r="DL182" s="403"/>
      <c r="DM182" s="403"/>
      <c r="DN182" s="403"/>
      <c r="DO182" s="403"/>
      <c r="DP182" s="403"/>
      <c r="DQ182" s="403"/>
      <c r="DR182" s="403"/>
      <c r="DS182" s="403"/>
      <c r="DT182" s="403"/>
      <c r="DU182" s="403"/>
      <c r="DV182" s="403"/>
      <c r="DW182" s="403" t="s">
        <v>10930</v>
      </c>
      <c r="DX182" s="403"/>
      <c r="DY182" s="403"/>
      <c r="DZ182" s="403"/>
      <c r="EA182" s="403"/>
      <c r="EB182" s="403"/>
      <c r="EC182" s="403"/>
      <c r="ED182" s="403"/>
      <c r="EE182" s="403"/>
      <c r="EF182" s="403"/>
      <c r="EG182" s="403"/>
      <c r="EH182" s="403"/>
      <c r="EI182" s="403"/>
      <c r="EJ182" s="403"/>
      <c r="EK182" s="403"/>
      <c r="EL182" s="403"/>
      <c r="EM182" s="403"/>
      <c r="EN182" s="403"/>
      <c r="EO182" s="403"/>
      <c r="EP182" s="403" t="s">
        <v>10931</v>
      </c>
      <c r="EQ182" s="403"/>
      <c r="ER182" s="403"/>
      <c r="ES182" s="403"/>
      <c r="ET182" s="403"/>
    </row>
    <row r="183" spans="1:150" s="281" customFormat="1" x14ac:dyDescent="0.2">
      <c r="A183" s="567"/>
      <c r="C183" s="72"/>
      <c r="E183" s="299"/>
      <c r="F183" s="299"/>
      <c r="G183" s="299"/>
      <c r="H183" s="299"/>
      <c r="I183" s="299"/>
      <c r="J183" s="299"/>
      <c r="K183" s="146"/>
      <c r="L183" s="146"/>
      <c r="M183" s="146"/>
      <c r="N183" s="146"/>
      <c r="O183" s="146"/>
      <c r="P183" s="287"/>
      <c r="Q183" s="91"/>
      <c r="R183" s="403"/>
      <c r="S183" s="403"/>
      <c r="T183" s="403"/>
      <c r="U183" s="403"/>
      <c r="V183" s="403"/>
      <c r="W183" s="403"/>
      <c r="X183" s="403"/>
      <c r="Y183" s="403"/>
      <c r="Z183" s="403"/>
      <c r="AA183" s="403"/>
      <c r="AB183" s="403"/>
      <c r="AC183" s="403"/>
      <c r="AD183" s="403"/>
      <c r="AE183" s="403"/>
      <c r="AF183" s="403"/>
      <c r="AG183" s="403"/>
      <c r="AH183" s="403"/>
      <c r="AI183" s="403"/>
      <c r="AJ183" s="403"/>
      <c r="AK183" s="403"/>
      <c r="AL183" s="403"/>
      <c r="AM183" s="403"/>
      <c r="AN183" s="403"/>
      <c r="AO183" s="403"/>
      <c r="AP183" s="403"/>
      <c r="AQ183" s="403"/>
      <c r="AR183" s="403"/>
      <c r="AS183" s="403"/>
      <c r="AT183" s="403"/>
      <c r="AU183" s="403"/>
      <c r="AV183" s="403"/>
      <c r="AW183" s="403"/>
      <c r="AX183" s="403"/>
      <c r="AY183" s="403"/>
      <c r="AZ183" s="403"/>
      <c r="BA183" s="403"/>
      <c r="BB183" s="403"/>
      <c r="BC183" s="403"/>
      <c r="BD183" s="403"/>
      <c r="BE183" s="403"/>
      <c r="BF183" s="403"/>
      <c r="BG183" s="403"/>
      <c r="BH183" s="403"/>
      <c r="BI183" s="403"/>
      <c r="BJ183" s="403"/>
      <c r="BK183" s="403"/>
      <c r="BL183" s="403"/>
      <c r="BM183" s="403"/>
      <c r="BN183" s="403"/>
      <c r="BO183" s="403"/>
      <c r="BP183" s="403"/>
      <c r="BQ183" s="403"/>
      <c r="BR183" s="403"/>
      <c r="BS183" s="403"/>
      <c r="BT183" s="403"/>
      <c r="BU183" s="403"/>
      <c r="BV183" s="403"/>
      <c r="BW183" s="403"/>
      <c r="BX183" s="403"/>
      <c r="BY183" s="403"/>
      <c r="BZ183" s="403"/>
      <c r="CA183" s="403"/>
      <c r="CB183" s="403"/>
      <c r="CC183" s="403"/>
      <c r="CD183" s="403"/>
      <c r="CE183" s="403"/>
      <c r="CF183" s="403"/>
      <c r="CG183" s="403"/>
      <c r="CH183" s="403"/>
      <c r="CI183" s="403"/>
      <c r="CJ183" s="403"/>
      <c r="CK183" s="403"/>
      <c r="CL183" s="403"/>
      <c r="CM183" s="403"/>
      <c r="CN183" s="403"/>
      <c r="CO183" s="403"/>
      <c r="CP183" s="403"/>
      <c r="CQ183" s="403"/>
      <c r="CR183" s="403"/>
      <c r="CS183" s="403"/>
      <c r="CT183" s="403"/>
      <c r="CU183" s="403"/>
      <c r="CV183" s="403"/>
      <c r="CW183" s="403"/>
      <c r="CX183" s="403"/>
      <c r="CY183" s="403"/>
      <c r="CZ183" s="403"/>
      <c r="DA183" s="403"/>
      <c r="DB183" s="403"/>
      <c r="DC183" s="403"/>
      <c r="DD183" s="403"/>
      <c r="DE183" s="403"/>
      <c r="DF183" s="403"/>
      <c r="DG183" s="403"/>
      <c r="DH183" s="403"/>
      <c r="DI183" s="403"/>
      <c r="DJ183" s="403"/>
      <c r="DK183" s="403"/>
      <c r="DL183" s="403"/>
      <c r="DM183" s="403"/>
      <c r="DN183" s="403"/>
      <c r="DO183" s="403"/>
      <c r="DP183" s="403"/>
      <c r="DQ183" s="403"/>
      <c r="DR183" s="403"/>
      <c r="DS183" s="403"/>
      <c r="DT183" s="403"/>
      <c r="DU183" s="403"/>
      <c r="DV183" s="403"/>
      <c r="DW183" s="403"/>
      <c r="DX183" s="403"/>
      <c r="DY183" s="403"/>
      <c r="DZ183" s="403"/>
      <c r="EA183" s="403"/>
      <c r="EB183" s="403"/>
      <c r="EC183" s="403"/>
      <c r="ED183" s="403"/>
      <c r="EE183" s="403"/>
      <c r="EF183" s="403"/>
      <c r="EG183" s="403"/>
      <c r="EH183" s="403"/>
      <c r="EI183" s="403"/>
      <c r="EJ183" s="403"/>
      <c r="EK183" s="403"/>
      <c r="EL183" s="403"/>
      <c r="EM183" s="403"/>
      <c r="EN183" s="403"/>
      <c r="EO183" s="403"/>
      <c r="EP183" s="403"/>
      <c r="EQ183" s="403"/>
      <c r="ER183" s="403"/>
      <c r="ES183" s="403"/>
      <c r="ET183" s="403"/>
    </row>
    <row r="184" spans="1:150" s="281" customFormat="1" x14ac:dyDescent="0.2">
      <c r="A184" s="567"/>
      <c r="C184" s="5" t="str">
        <f t="shared" ref="C184:C188" ca="1" si="44">IF(OFFSET(U184,0,Lang_Order*Lang__B4)="","",OFFSET(U184,0,Lang_Order*Lang__B4))</f>
        <v>Refrigerated (2 to 8C)</v>
      </c>
      <c r="D184" s="11">
        <f>$L$85</f>
        <v>51.7</v>
      </c>
      <c r="E184" s="299"/>
      <c r="F184" s="299"/>
      <c r="G184" s="299"/>
      <c r="H184" s="299"/>
      <c r="I184" s="299"/>
      <c r="J184" s="79" t="e">
        <f t="shared" ref="J184:O187" si="45">Regional_Stores*$D184*$P159</f>
        <v>#N/A</v>
      </c>
      <c r="K184" s="79" t="e">
        <f t="shared" si="45"/>
        <v>#N/A</v>
      </c>
      <c r="L184" s="79" t="e">
        <f t="shared" si="45"/>
        <v>#N/A</v>
      </c>
      <c r="M184" s="79" t="e">
        <f t="shared" si="45"/>
        <v>#N/A</v>
      </c>
      <c r="N184" s="79" t="e">
        <f t="shared" si="45"/>
        <v>#N/A</v>
      </c>
      <c r="O184" s="79" t="e">
        <f t="shared" si="45"/>
        <v>#N/A</v>
      </c>
      <c r="P184" s="380" t="e">
        <f t="shared" ref="P184:P189" si="46">SUM(J184:O184)</f>
        <v>#N/A</v>
      </c>
      <c r="Q184" s="91"/>
      <c r="R184" s="403"/>
      <c r="S184" s="403"/>
      <c r="T184" s="403"/>
      <c r="U184" s="403" t="s">
        <v>11</v>
      </c>
      <c r="V184" s="403"/>
      <c r="W184" s="403"/>
      <c r="X184" s="403"/>
      <c r="Y184" s="403"/>
      <c r="Z184" s="403"/>
      <c r="AA184" s="403"/>
      <c r="AB184" s="403"/>
      <c r="AC184" s="403"/>
      <c r="AD184" s="403"/>
      <c r="AE184" s="403"/>
      <c r="AF184" s="403"/>
      <c r="AG184" s="403"/>
      <c r="AH184" s="403"/>
      <c r="AI184" s="403"/>
      <c r="AJ184" s="403"/>
      <c r="AK184" s="403"/>
      <c r="AL184" s="403"/>
      <c r="AM184" s="403"/>
      <c r="AN184" s="403" t="s">
        <v>10714</v>
      </c>
      <c r="AO184" s="403"/>
      <c r="AP184" s="403"/>
      <c r="AQ184" s="403"/>
      <c r="AR184" s="403"/>
      <c r="AS184" s="403"/>
      <c r="AT184" s="403"/>
      <c r="AU184" s="403"/>
      <c r="AV184" s="403"/>
      <c r="AW184" s="403"/>
      <c r="AX184" s="403"/>
      <c r="AY184" s="403"/>
      <c r="AZ184" s="403"/>
      <c r="BA184" s="403"/>
      <c r="BB184" s="403"/>
      <c r="BC184" s="403"/>
      <c r="BD184" s="403"/>
      <c r="BE184" s="403"/>
      <c r="BF184" s="403"/>
      <c r="BG184" s="403" t="s">
        <v>10227</v>
      </c>
      <c r="BH184" s="403"/>
      <c r="BI184" s="403"/>
      <c r="BJ184" s="403"/>
      <c r="BK184" s="403"/>
      <c r="BL184" s="403"/>
      <c r="BM184" s="403"/>
      <c r="BN184" s="403"/>
      <c r="BO184" s="403"/>
      <c r="BP184" s="403"/>
      <c r="BQ184" s="403"/>
      <c r="BR184" s="403"/>
      <c r="BS184" s="403"/>
      <c r="BT184" s="403"/>
      <c r="BU184" s="403"/>
      <c r="BV184" s="403"/>
      <c r="BW184" s="403"/>
      <c r="BX184" s="403"/>
      <c r="BY184" s="403"/>
      <c r="BZ184" s="403" t="s">
        <v>10715</v>
      </c>
      <c r="CA184" s="403"/>
      <c r="CB184" s="403"/>
      <c r="CC184" s="403"/>
      <c r="CD184" s="403"/>
      <c r="CE184" s="403"/>
      <c r="CF184" s="403"/>
      <c r="CG184" s="403"/>
      <c r="CH184" s="403"/>
      <c r="CI184" s="403"/>
      <c r="CJ184" s="403"/>
      <c r="CK184" s="403"/>
      <c r="CL184" s="403"/>
      <c r="CM184" s="403"/>
      <c r="CN184" s="403"/>
      <c r="CO184" s="403"/>
      <c r="CP184" s="403"/>
      <c r="CQ184" s="403"/>
      <c r="CR184" s="403"/>
      <c r="CS184" s="403" t="s">
        <v>8384</v>
      </c>
      <c r="CT184" s="403"/>
      <c r="CU184" s="403"/>
      <c r="CV184" s="403"/>
      <c r="CW184" s="403"/>
      <c r="CX184" s="403"/>
      <c r="CY184" s="403"/>
      <c r="CZ184" s="403"/>
      <c r="DA184" s="403"/>
      <c r="DB184" s="403"/>
      <c r="DC184" s="403"/>
      <c r="DD184" s="403"/>
      <c r="DE184" s="403"/>
      <c r="DF184" s="403"/>
      <c r="DG184" s="403"/>
      <c r="DH184" s="403"/>
      <c r="DI184" s="403"/>
      <c r="DJ184" s="403"/>
      <c r="DK184" s="403"/>
      <c r="DL184" s="403" t="s">
        <v>10248</v>
      </c>
      <c r="DM184" s="403"/>
      <c r="DN184" s="403"/>
      <c r="DO184" s="403"/>
      <c r="DP184" s="403"/>
      <c r="DQ184" s="403"/>
      <c r="DR184" s="403"/>
      <c r="DS184" s="403"/>
      <c r="DT184" s="403"/>
      <c r="DU184" s="403"/>
      <c r="DV184" s="403"/>
      <c r="DW184" s="403"/>
      <c r="DX184" s="403"/>
      <c r="DY184" s="403"/>
      <c r="DZ184" s="403"/>
      <c r="EA184" s="403"/>
      <c r="EB184" s="403"/>
      <c r="EC184" s="403"/>
      <c r="ED184" s="403"/>
      <c r="EE184" s="403" t="s">
        <v>8387</v>
      </c>
      <c r="EF184" s="403"/>
      <c r="EG184" s="403"/>
      <c r="EH184" s="403"/>
      <c r="EI184" s="403"/>
      <c r="EJ184" s="403"/>
      <c r="EK184" s="403"/>
      <c r="EL184" s="403"/>
      <c r="EM184" s="403"/>
      <c r="EN184" s="403"/>
      <c r="EO184" s="403"/>
      <c r="EP184" s="403"/>
      <c r="EQ184" s="403"/>
      <c r="ER184" s="403"/>
      <c r="ES184" s="403"/>
      <c r="ET184" s="403"/>
    </row>
    <row r="185" spans="1:150" s="281" customFormat="1" x14ac:dyDescent="0.2">
      <c r="A185" s="567"/>
      <c r="C185" s="5" t="str">
        <f t="shared" ca="1" si="44"/>
        <v>Frozen (-20C)</v>
      </c>
      <c r="D185" s="11">
        <f>$L$86</f>
        <v>51.95</v>
      </c>
      <c r="E185" s="299"/>
      <c r="F185" s="299"/>
      <c r="G185" s="299"/>
      <c r="H185" s="299"/>
      <c r="I185" s="299"/>
      <c r="J185" s="79" t="e">
        <f t="shared" si="45"/>
        <v>#N/A</v>
      </c>
      <c r="K185" s="79" t="e">
        <f t="shared" si="45"/>
        <v>#N/A</v>
      </c>
      <c r="L185" s="79" t="e">
        <f t="shared" si="45"/>
        <v>#N/A</v>
      </c>
      <c r="M185" s="79" t="e">
        <f t="shared" si="45"/>
        <v>#N/A</v>
      </c>
      <c r="N185" s="79" t="e">
        <f t="shared" si="45"/>
        <v>#N/A</v>
      </c>
      <c r="O185" s="79" t="e">
        <f t="shared" si="45"/>
        <v>#N/A</v>
      </c>
      <c r="P185" s="380" t="e">
        <f t="shared" si="46"/>
        <v>#N/A</v>
      </c>
      <c r="Q185" s="91"/>
      <c r="R185" s="403"/>
      <c r="S185" s="403"/>
      <c r="T185" s="403"/>
      <c r="U185" s="403" t="s">
        <v>12</v>
      </c>
      <c r="V185" s="403"/>
      <c r="W185" s="403"/>
      <c r="X185" s="403"/>
      <c r="Y185" s="403"/>
      <c r="Z185" s="403"/>
      <c r="AA185" s="403"/>
      <c r="AB185" s="403"/>
      <c r="AC185" s="403"/>
      <c r="AD185" s="403"/>
      <c r="AE185" s="403"/>
      <c r="AF185" s="403"/>
      <c r="AG185" s="403"/>
      <c r="AH185" s="403"/>
      <c r="AI185" s="403"/>
      <c r="AJ185" s="403"/>
      <c r="AK185" s="403"/>
      <c r="AL185" s="403"/>
      <c r="AM185" s="403"/>
      <c r="AN185" s="403" t="s">
        <v>10717</v>
      </c>
      <c r="AO185" s="403"/>
      <c r="AP185" s="403"/>
      <c r="AQ185" s="403"/>
      <c r="AR185" s="403"/>
      <c r="AS185" s="403"/>
      <c r="AT185" s="403"/>
      <c r="AU185" s="403"/>
      <c r="AV185" s="403"/>
      <c r="AW185" s="403"/>
      <c r="AX185" s="403"/>
      <c r="AY185" s="403"/>
      <c r="AZ185" s="403"/>
      <c r="BA185" s="403"/>
      <c r="BB185" s="403"/>
      <c r="BC185" s="403"/>
      <c r="BD185" s="403"/>
      <c r="BE185" s="403"/>
      <c r="BF185" s="403"/>
      <c r="BG185" s="403" t="s">
        <v>10228</v>
      </c>
      <c r="BH185" s="403"/>
      <c r="BI185" s="403"/>
      <c r="BJ185" s="403"/>
      <c r="BK185" s="403"/>
      <c r="BL185" s="403"/>
      <c r="BM185" s="403"/>
      <c r="BN185" s="403"/>
      <c r="BO185" s="403"/>
      <c r="BP185" s="403"/>
      <c r="BQ185" s="403"/>
      <c r="BR185" s="403"/>
      <c r="BS185" s="403"/>
      <c r="BT185" s="403"/>
      <c r="BU185" s="403"/>
      <c r="BV185" s="403"/>
      <c r="BW185" s="403"/>
      <c r="BX185" s="403"/>
      <c r="BY185" s="403"/>
      <c r="BZ185" s="403" t="s">
        <v>10718</v>
      </c>
      <c r="CA185" s="403"/>
      <c r="CB185" s="403"/>
      <c r="CC185" s="403"/>
      <c r="CD185" s="403"/>
      <c r="CE185" s="403"/>
      <c r="CF185" s="403"/>
      <c r="CG185" s="403"/>
      <c r="CH185" s="403"/>
      <c r="CI185" s="403"/>
      <c r="CJ185" s="403"/>
      <c r="CK185" s="403"/>
      <c r="CL185" s="403"/>
      <c r="CM185" s="403"/>
      <c r="CN185" s="403"/>
      <c r="CO185" s="403"/>
      <c r="CP185" s="403"/>
      <c r="CQ185" s="403"/>
      <c r="CR185" s="403"/>
      <c r="CS185" s="403" t="s">
        <v>8391</v>
      </c>
      <c r="CT185" s="403"/>
      <c r="CU185" s="403"/>
      <c r="CV185" s="403"/>
      <c r="CW185" s="403"/>
      <c r="CX185" s="403"/>
      <c r="CY185" s="403"/>
      <c r="CZ185" s="403"/>
      <c r="DA185" s="403"/>
      <c r="DB185" s="403"/>
      <c r="DC185" s="403"/>
      <c r="DD185" s="403"/>
      <c r="DE185" s="403"/>
      <c r="DF185" s="403"/>
      <c r="DG185" s="403"/>
      <c r="DH185" s="403"/>
      <c r="DI185" s="403"/>
      <c r="DJ185" s="403"/>
      <c r="DK185" s="403"/>
      <c r="DL185" s="403" t="s">
        <v>10249</v>
      </c>
      <c r="DM185" s="403"/>
      <c r="DN185" s="403"/>
      <c r="DO185" s="403"/>
      <c r="DP185" s="403"/>
      <c r="DQ185" s="403"/>
      <c r="DR185" s="403"/>
      <c r="DS185" s="403"/>
      <c r="DT185" s="403"/>
      <c r="DU185" s="403"/>
      <c r="DV185" s="403"/>
      <c r="DW185" s="403"/>
      <c r="DX185" s="403"/>
      <c r="DY185" s="403"/>
      <c r="DZ185" s="403"/>
      <c r="EA185" s="403"/>
      <c r="EB185" s="403"/>
      <c r="EC185" s="403"/>
      <c r="ED185" s="403"/>
      <c r="EE185" s="403" t="s">
        <v>8393</v>
      </c>
      <c r="EF185" s="403"/>
      <c r="EG185" s="403"/>
      <c r="EH185" s="403"/>
      <c r="EI185" s="403"/>
      <c r="EJ185" s="403"/>
      <c r="EK185" s="403"/>
      <c r="EL185" s="403"/>
      <c r="EM185" s="403"/>
      <c r="EN185" s="403"/>
      <c r="EO185" s="403"/>
      <c r="EP185" s="403"/>
      <c r="EQ185" s="403"/>
      <c r="ER185" s="403"/>
      <c r="ES185" s="403"/>
      <c r="ET185" s="403"/>
    </row>
    <row r="186" spans="1:150" s="281" customFormat="1" x14ac:dyDescent="0.2">
      <c r="A186" s="567"/>
      <c r="C186" s="5" t="str">
        <f ca="1">IF(OFFSET(U186,0,Lang_Order*Lang__B4)="","",OFFSET(U186,0,Lang_Order*Lang__B4))</f>
        <v>Ultra-cold (-60 to -80C)</v>
      </c>
      <c r="D186" s="11">
        <f>$L$88</f>
        <v>155.85</v>
      </c>
      <c r="J186" s="79" t="e">
        <f t="shared" si="45"/>
        <v>#N/A</v>
      </c>
      <c r="K186" s="79" t="e">
        <f t="shared" si="45"/>
        <v>#N/A</v>
      </c>
      <c r="L186" s="79" t="e">
        <f t="shared" si="45"/>
        <v>#N/A</v>
      </c>
      <c r="M186" s="79" t="e">
        <f t="shared" si="45"/>
        <v>#N/A</v>
      </c>
      <c r="N186" s="79" t="e">
        <f t="shared" si="45"/>
        <v>#N/A</v>
      </c>
      <c r="O186" s="79" t="e">
        <f t="shared" si="45"/>
        <v>#N/A</v>
      </c>
      <c r="P186" s="380" t="e">
        <f t="shared" si="46"/>
        <v>#N/A</v>
      </c>
      <c r="Q186" s="91"/>
      <c r="R186" s="403"/>
      <c r="S186" s="403"/>
      <c r="T186" s="403"/>
      <c r="U186" s="403" t="s">
        <v>13</v>
      </c>
      <c r="V186" s="403"/>
      <c r="W186" s="403"/>
      <c r="X186" s="403"/>
      <c r="Y186" s="403"/>
      <c r="Z186" s="403"/>
      <c r="AA186" s="403"/>
      <c r="AB186" s="403"/>
      <c r="AC186" s="403"/>
      <c r="AD186" s="403"/>
      <c r="AE186" s="403"/>
      <c r="AF186" s="403"/>
      <c r="AG186" s="403"/>
      <c r="AH186" s="403"/>
      <c r="AI186" s="403" t="s">
        <v>2765</v>
      </c>
      <c r="AJ186" s="403"/>
      <c r="AK186" s="403"/>
      <c r="AL186" s="403"/>
      <c r="AM186" s="403"/>
      <c r="AN186" s="403" t="s">
        <v>8394</v>
      </c>
      <c r="AO186" s="403"/>
      <c r="AP186" s="403"/>
      <c r="AQ186" s="403"/>
      <c r="AR186" s="403"/>
      <c r="AS186" s="403"/>
      <c r="AT186" s="403"/>
      <c r="AU186" s="403"/>
      <c r="AV186" s="403"/>
      <c r="AW186" s="403"/>
      <c r="AX186" s="403"/>
      <c r="AY186" s="403"/>
      <c r="AZ186" s="403"/>
      <c r="BA186" s="403"/>
      <c r="BB186" s="403" t="s">
        <v>10918</v>
      </c>
      <c r="BC186" s="403"/>
      <c r="BD186" s="403"/>
      <c r="BE186" s="403"/>
      <c r="BF186" s="403"/>
      <c r="BG186" s="403" t="s">
        <v>10229</v>
      </c>
      <c r="BH186" s="403"/>
      <c r="BI186" s="403"/>
      <c r="BJ186" s="403"/>
      <c r="BK186" s="403"/>
      <c r="BL186" s="403"/>
      <c r="BM186" s="403"/>
      <c r="BN186" s="403"/>
      <c r="BO186" s="403"/>
      <c r="BP186" s="403"/>
      <c r="BQ186" s="403"/>
      <c r="BR186" s="403"/>
      <c r="BS186" s="403"/>
      <c r="BT186" s="403"/>
      <c r="BU186" s="403" t="s">
        <v>10273</v>
      </c>
      <c r="BV186" s="403"/>
      <c r="BW186" s="403"/>
      <c r="BX186" s="403"/>
      <c r="BY186" s="403"/>
      <c r="BZ186" s="403" t="s">
        <v>10237</v>
      </c>
      <c r="CA186" s="403"/>
      <c r="CB186" s="403"/>
      <c r="CC186" s="403"/>
      <c r="CD186" s="403"/>
      <c r="CE186" s="403"/>
      <c r="CF186" s="403"/>
      <c r="CG186" s="403"/>
      <c r="CH186" s="403"/>
      <c r="CI186" s="403"/>
      <c r="CJ186" s="403"/>
      <c r="CK186" s="403"/>
      <c r="CL186" s="403"/>
      <c r="CM186" s="403"/>
      <c r="CN186" s="403" t="s">
        <v>10932</v>
      </c>
      <c r="CO186" s="403"/>
      <c r="CP186" s="403"/>
      <c r="CQ186" s="403"/>
      <c r="CR186" s="403"/>
      <c r="CS186" s="403" t="s">
        <v>8400</v>
      </c>
      <c r="CT186" s="403"/>
      <c r="CU186" s="403"/>
      <c r="CV186" s="403"/>
      <c r="CW186" s="403"/>
      <c r="CX186" s="403"/>
      <c r="CY186" s="403"/>
      <c r="CZ186" s="403"/>
      <c r="DA186" s="403"/>
      <c r="DB186" s="403"/>
      <c r="DC186" s="403"/>
      <c r="DD186" s="403"/>
      <c r="DE186" s="403"/>
      <c r="DF186" s="403"/>
      <c r="DG186" s="403" t="s">
        <v>10275</v>
      </c>
      <c r="DH186" s="403"/>
      <c r="DI186" s="403"/>
      <c r="DJ186" s="403"/>
      <c r="DK186" s="403"/>
      <c r="DL186" s="403" t="s">
        <v>10250</v>
      </c>
      <c r="DM186" s="403"/>
      <c r="DN186" s="403"/>
      <c r="DO186" s="403"/>
      <c r="DP186" s="403"/>
      <c r="DQ186" s="403"/>
      <c r="DR186" s="403"/>
      <c r="DS186" s="403"/>
      <c r="DT186" s="403"/>
      <c r="DU186" s="403"/>
      <c r="DV186" s="403"/>
      <c r="DW186" s="403"/>
      <c r="DX186" s="403"/>
      <c r="DY186" s="403"/>
      <c r="DZ186" s="403" t="s">
        <v>10276</v>
      </c>
      <c r="EA186" s="403"/>
      <c r="EB186" s="403"/>
      <c r="EC186" s="403"/>
      <c r="ED186" s="403"/>
      <c r="EE186" s="403" t="s">
        <v>8404</v>
      </c>
      <c r="EF186" s="403"/>
      <c r="EG186" s="403"/>
      <c r="EH186" s="403"/>
      <c r="EI186" s="403"/>
      <c r="EJ186" s="403"/>
      <c r="EK186" s="403"/>
      <c r="EL186" s="403"/>
      <c r="EM186" s="403"/>
      <c r="EN186" s="403"/>
      <c r="EO186" s="403"/>
      <c r="EP186" s="403"/>
      <c r="EQ186" s="403"/>
      <c r="ER186" s="403"/>
      <c r="ES186" s="403" t="s">
        <v>10919</v>
      </c>
      <c r="ET186" s="403"/>
    </row>
    <row r="187" spans="1:150" s="281" customFormat="1" x14ac:dyDescent="0.2">
      <c r="A187" s="567"/>
      <c r="C187" s="5" t="str">
        <f t="shared" ca="1" si="44"/>
        <v>Ice pack freezers</v>
      </c>
      <c r="D187" s="11">
        <f>$L$86</f>
        <v>51.95</v>
      </c>
      <c r="J187" s="79">
        <f t="shared" si="45"/>
        <v>0</v>
      </c>
      <c r="K187" s="79">
        <f t="shared" si="45"/>
        <v>0</v>
      </c>
      <c r="L187" s="79">
        <f t="shared" si="45"/>
        <v>0</v>
      </c>
      <c r="M187" s="79">
        <f t="shared" si="45"/>
        <v>0</v>
      </c>
      <c r="N187" s="79">
        <f t="shared" si="45"/>
        <v>0</v>
      </c>
      <c r="O187" s="79">
        <f t="shared" si="45"/>
        <v>0</v>
      </c>
      <c r="P187" s="380">
        <f t="shared" si="46"/>
        <v>0</v>
      </c>
      <c r="Q187" s="47"/>
      <c r="R187" s="403"/>
      <c r="S187" s="403"/>
      <c r="T187" s="403"/>
      <c r="U187" s="403" t="s">
        <v>3211</v>
      </c>
      <c r="V187" s="403"/>
      <c r="W187" s="403"/>
      <c r="X187" s="403"/>
      <c r="Y187" s="403"/>
      <c r="Z187" s="403"/>
      <c r="AA187" s="403"/>
      <c r="AB187" s="403"/>
      <c r="AC187" s="403"/>
      <c r="AD187" s="403"/>
      <c r="AE187" s="403"/>
      <c r="AF187" s="403"/>
      <c r="AG187" s="403"/>
      <c r="AH187" s="403"/>
      <c r="AI187" s="403"/>
      <c r="AJ187" s="403"/>
      <c r="AK187" s="403"/>
      <c r="AL187" s="403"/>
      <c r="AM187" s="403"/>
      <c r="AN187" s="403" t="s">
        <v>11012</v>
      </c>
      <c r="AO187" s="403"/>
      <c r="AP187" s="403"/>
      <c r="AQ187" s="403"/>
      <c r="AR187" s="403"/>
      <c r="AS187" s="403"/>
      <c r="AT187" s="403"/>
      <c r="AU187" s="403"/>
      <c r="AV187" s="403"/>
      <c r="AW187" s="403"/>
      <c r="AX187" s="403"/>
      <c r="AY187" s="403"/>
      <c r="AZ187" s="403"/>
      <c r="BA187" s="403"/>
      <c r="BB187" s="403"/>
      <c r="BC187" s="403"/>
      <c r="BD187" s="403"/>
      <c r="BE187" s="403"/>
      <c r="BF187" s="403"/>
      <c r="BG187" s="403" t="s">
        <v>11056</v>
      </c>
      <c r="BH187" s="403"/>
      <c r="BI187" s="403"/>
      <c r="BJ187" s="403"/>
      <c r="BK187" s="403"/>
      <c r="BL187" s="403"/>
      <c r="BM187" s="403"/>
      <c r="BN187" s="403"/>
      <c r="BO187" s="403"/>
      <c r="BP187" s="403"/>
      <c r="BQ187" s="403"/>
      <c r="BR187" s="403"/>
      <c r="BS187" s="403"/>
      <c r="BT187" s="403"/>
      <c r="BU187" s="403"/>
      <c r="BV187" s="403"/>
      <c r="BW187" s="403"/>
      <c r="BX187" s="403"/>
      <c r="BY187" s="403"/>
      <c r="BZ187" s="403" t="s">
        <v>11016</v>
      </c>
      <c r="CA187" s="403"/>
      <c r="CB187" s="403"/>
      <c r="CC187" s="403"/>
      <c r="CD187" s="403"/>
      <c r="CE187" s="403"/>
      <c r="CF187" s="403"/>
      <c r="CG187" s="403"/>
      <c r="CH187" s="403"/>
      <c r="CI187" s="403"/>
      <c r="CJ187" s="403"/>
      <c r="CK187" s="403"/>
      <c r="CL187" s="403"/>
      <c r="CM187" s="403"/>
      <c r="CN187" s="403"/>
      <c r="CO187" s="403"/>
      <c r="CP187" s="403"/>
      <c r="CQ187" s="403"/>
      <c r="CR187" s="403"/>
      <c r="CS187" s="403" t="s">
        <v>11018</v>
      </c>
      <c r="CT187" s="403"/>
      <c r="CU187" s="403"/>
      <c r="CV187" s="403"/>
      <c r="CW187" s="403"/>
      <c r="CX187" s="403"/>
      <c r="CY187" s="403"/>
      <c r="CZ187" s="403"/>
      <c r="DA187" s="403"/>
      <c r="DB187" s="403"/>
      <c r="DC187" s="403"/>
      <c r="DD187" s="403"/>
      <c r="DE187" s="403"/>
      <c r="DF187" s="403"/>
      <c r="DG187" s="403"/>
      <c r="DH187" s="403"/>
      <c r="DI187" s="403"/>
      <c r="DJ187" s="403"/>
      <c r="DK187" s="403"/>
      <c r="DL187" s="403" t="s">
        <v>11020</v>
      </c>
      <c r="DM187" s="403"/>
      <c r="DN187" s="403"/>
      <c r="DO187" s="403"/>
      <c r="DP187" s="403"/>
      <c r="DQ187" s="403"/>
      <c r="DR187" s="403"/>
      <c r="DS187" s="403"/>
      <c r="DT187" s="403"/>
      <c r="DU187" s="403"/>
      <c r="DV187" s="403"/>
      <c r="DW187" s="403"/>
      <c r="DX187" s="403"/>
      <c r="DY187" s="403"/>
      <c r="DZ187" s="403"/>
      <c r="EA187" s="403"/>
      <c r="EB187" s="403"/>
      <c r="EC187" s="403"/>
      <c r="ED187" s="403"/>
      <c r="EE187" s="403" t="s">
        <v>11021</v>
      </c>
      <c r="EF187" s="403"/>
      <c r="EG187" s="403"/>
      <c r="EH187" s="403"/>
      <c r="EI187" s="403"/>
      <c r="EJ187" s="403"/>
      <c r="EK187" s="403"/>
      <c r="EL187" s="403"/>
      <c r="EM187" s="403"/>
      <c r="EN187" s="403"/>
      <c r="EO187" s="403"/>
      <c r="EP187" s="403"/>
      <c r="EQ187" s="403"/>
      <c r="ER187" s="403"/>
      <c r="ES187" s="403"/>
      <c r="ET187" s="403"/>
    </row>
    <row r="188" spans="1:150" s="281" customFormat="1" x14ac:dyDescent="0.2">
      <c r="C188" s="5" t="str">
        <f t="shared" ca="1" si="44"/>
        <v>Electricity</v>
      </c>
      <c r="J188" s="79" t="e">
        <f t="shared" ref="J188:O188" si="47">Regional_Stores*SUMPRODUCT($L159:$L162,$P159:$P162)*kWh_USD</f>
        <v>#N/A</v>
      </c>
      <c r="K188" s="79" t="e">
        <f t="shared" si="47"/>
        <v>#N/A</v>
      </c>
      <c r="L188" s="79" t="e">
        <f t="shared" si="47"/>
        <v>#N/A</v>
      </c>
      <c r="M188" s="79" t="e">
        <f t="shared" si="47"/>
        <v>#N/A</v>
      </c>
      <c r="N188" s="79" t="e">
        <f t="shared" si="47"/>
        <v>#N/A</v>
      </c>
      <c r="O188" s="79" t="e">
        <f t="shared" si="47"/>
        <v>#N/A</v>
      </c>
      <c r="P188" s="300" t="e">
        <f t="shared" si="46"/>
        <v>#N/A</v>
      </c>
      <c r="Q188" s="47"/>
      <c r="R188" s="403"/>
      <c r="S188" s="403"/>
      <c r="T188" s="403"/>
      <c r="U188" s="403" t="s">
        <v>2721</v>
      </c>
      <c r="V188" s="403"/>
      <c r="W188" s="403"/>
      <c r="X188" s="403"/>
      <c r="Y188" s="403"/>
      <c r="Z188" s="403"/>
      <c r="AA188" s="403"/>
      <c r="AB188" s="403"/>
      <c r="AC188" s="403"/>
      <c r="AD188" s="403"/>
      <c r="AE188" s="403"/>
      <c r="AF188" s="403"/>
      <c r="AG188" s="403"/>
      <c r="AH188" s="403"/>
      <c r="AI188" s="403"/>
      <c r="AJ188" s="403"/>
      <c r="AK188" s="403"/>
      <c r="AL188" s="403"/>
      <c r="AM188" s="403"/>
      <c r="AN188" s="403" t="s">
        <v>8325</v>
      </c>
      <c r="AO188" s="403"/>
      <c r="AP188" s="403"/>
      <c r="AQ188" s="403"/>
      <c r="AR188" s="403"/>
      <c r="AS188" s="403"/>
      <c r="AT188" s="403"/>
      <c r="AU188" s="403"/>
      <c r="AV188" s="403"/>
      <c r="AW188" s="403"/>
      <c r="AX188" s="403"/>
      <c r="AY188" s="403"/>
      <c r="AZ188" s="403"/>
      <c r="BA188" s="403"/>
      <c r="BB188" s="403"/>
      <c r="BC188" s="403"/>
      <c r="BD188" s="403"/>
      <c r="BE188" s="403"/>
      <c r="BF188" s="403"/>
      <c r="BG188" s="403" t="s">
        <v>10933</v>
      </c>
      <c r="BH188" s="403"/>
      <c r="BI188" s="403"/>
      <c r="BJ188" s="403"/>
      <c r="BK188" s="403"/>
      <c r="BL188" s="403"/>
      <c r="BM188" s="403"/>
      <c r="BN188" s="403"/>
      <c r="BO188" s="403"/>
      <c r="BP188" s="403"/>
      <c r="BQ188" s="403"/>
      <c r="BR188" s="403"/>
      <c r="BS188" s="403"/>
      <c r="BT188" s="403"/>
      <c r="BU188" s="403"/>
      <c r="BV188" s="403"/>
      <c r="BW188" s="403"/>
      <c r="BX188" s="403"/>
      <c r="BY188" s="403"/>
      <c r="BZ188" s="403" t="s">
        <v>10934</v>
      </c>
      <c r="CA188" s="403"/>
      <c r="CB188" s="403"/>
      <c r="CC188" s="403"/>
      <c r="CD188" s="403"/>
      <c r="CE188" s="403"/>
      <c r="CF188" s="403"/>
      <c r="CG188" s="403"/>
      <c r="CH188" s="403"/>
      <c r="CI188" s="403"/>
      <c r="CJ188" s="403"/>
      <c r="CK188" s="403"/>
      <c r="CL188" s="403"/>
      <c r="CM188" s="403"/>
      <c r="CN188" s="403"/>
      <c r="CO188" s="403"/>
      <c r="CP188" s="403"/>
      <c r="CQ188" s="403"/>
      <c r="CR188" s="403"/>
      <c r="CS188" s="403" t="s">
        <v>10935</v>
      </c>
      <c r="CT188" s="403"/>
      <c r="CU188" s="403"/>
      <c r="CV188" s="403"/>
      <c r="CW188" s="403"/>
      <c r="CX188" s="403"/>
      <c r="CY188" s="403"/>
      <c r="CZ188" s="403"/>
      <c r="DA188" s="403"/>
      <c r="DB188" s="403"/>
      <c r="DC188" s="403"/>
      <c r="DD188" s="403"/>
      <c r="DE188" s="403"/>
      <c r="DF188" s="403"/>
      <c r="DG188" s="403"/>
      <c r="DH188" s="403"/>
      <c r="DI188" s="403"/>
      <c r="DJ188" s="403"/>
      <c r="DK188" s="403"/>
      <c r="DL188" s="403" t="s">
        <v>10936</v>
      </c>
      <c r="DM188" s="403"/>
      <c r="DN188" s="403"/>
      <c r="DO188" s="403"/>
      <c r="DP188" s="403"/>
      <c r="DQ188" s="403"/>
      <c r="DR188" s="403"/>
      <c r="DS188" s="403"/>
      <c r="DT188" s="403"/>
      <c r="DU188" s="403"/>
      <c r="DV188" s="403"/>
      <c r="DW188" s="403"/>
      <c r="DX188" s="403"/>
      <c r="DY188" s="403"/>
      <c r="DZ188" s="403"/>
      <c r="EA188" s="403"/>
      <c r="EB188" s="403"/>
      <c r="EC188" s="403"/>
      <c r="ED188" s="403"/>
      <c r="EE188" s="403" t="s">
        <v>8330</v>
      </c>
      <c r="EF188" s="403"/>
      <c r="EG188" s="403"/>
      <c r="EH188" s="403"/>
      <c r="EI188" s="403"/>
      <c r="EJ188" s="403"/>
      <c r="EK188" s="403"/>
      <c r="EL188" s="403"/>
      <c r="EM188" s="403"/>
      <c r="EN188" s="403"/>
      <c r="EO188" s="403"/>
      <c r="EP188" s="403"/>
      <c r="EQ188" s="403"/>
      <c r="ER188" s="403"/>
      <c r="ES188" s="403"/>
      <c r="ET188" s="403"/>
    </row>
    <row r="189" spans="1:150" s="281" customFormat="1" ht="13.5" thickBot="1" x14ac:dyDescent="0.25">
      <c r="D189" s="21" t="str">
        <f ca="1">IF(OFFSET(V189,0,Lang_Order*Lang__B4)="","",OFFSET(V189,0,Lang_Order*Lang__B4))</f>
        <v>Total (All Regions) Cold Storage - Operational Expenditures</v>
      </c>
      <c r="E189" s="20"/>
      <c r="F189" s="20"/>
      <c r="G189" s="20"/>
      <c r="H189" s="20"/>
      <c r="I189" s="20"/>
      <c r="J189" s="118" t="e">
        <f t="shared" ref="J189:O189" si="48">J37*SUM(J184:J188)</f>
        <v>#N/A</v>
      </c>
      <c r="K189" s="118" t="e">
        <f t="shared" si="48"/>
        <v>#N/A</v>
      </c>
      <c r="L189" s="118" t="e">
        <f t="shared" si="48"/>
        <v>#N/A</v>
      </c>
      <c r="M189" s="118" t="e">
        <f t="shared" si="48"/>
        <v>#N/A</v>
      </c>
      <c r="N189" s="118" t="e">
        <f t="shared" si="48"/>
        <v>#N/A</v>
      </c>
      <c r="O189" s="118" t="e">
        <f t="shared" si="48"/>
        <v>#N/A</v>
      </c>
      <c r="P189" s="118" t="e">
        <f t="shared" si="46"/>
        <v>#N/A</v>
      </c>
      <c r="Q189" s="157" t="str">
        <f ca="1">IF(OFFSET(AI139,0,Lang_Order*Lang__B4)="","",OFFSET(AI139,0,Lang_Order*Lang__B4))</f>
        <v>For all the CCE equipment needed for COVID-19 vaccination, not just the newly purchased</v>
      </c>
      <c r="R189" s="403"/>
      <c r="S189" s="403"/>
      <c r="T189" s="403"/>
      <c r="U189" s="403"/>
      <c r="V189" s="403" t="s">
        <v>3215</v>
      </c>
      <c r="W189" s="403"/>
      <c r="X189" s="403"/>
      <c r="Y189" s="403"/>
      <c r="Z189" s="403"/>
      <c r="AA189" s="403"/>
      <c r="AB189" s="403"/>
      <c r="AC189" s="403"/>
      <c r="AD189" s="403"/>
      <c r="AE189" s="403"/>
      <c r="AF189" s="403"/>
      <c r="AG189" s="403"/>
      <c r="AH189" s="403"/>
      <c r="AI189" s="403"/>
      <c r="AJ189" s="403"/>
      <c r="AK189" s="403"/>
      <c r="AL189" s="403"/>
      <c r="AM189" s="403"/>
      <c r="AN189" s="403"/>
      <c r="AO189" s="403" t="s">
        <v>11076</v>
      </c>
      <c r="AP189" s="403"/>
      <c r="AQ189" s="403"/>
      <c r="AR189" s="403"/>
      <c r="AS189" s="403"/>
      <c r="AT189" s="403"/>
      <c r="AU189" s="403"/>
      <c r="AV189" s="403"/>
      <c r="AW189" s="403"/>
      <c r="AX189" s="403"/>
      <c r="AY189" s="403"/>
      <c r="AZ189" s="403"/>
      <c r="BA189" s="403"/>
      <c r="BB189" s="403"/>
      <c r="BC189" s="403"/>
      <c r="BD189" s="403"/>
      <c r="BE189" s="403"/>
      <c r="BF189" s="403"/>
      <c r="BG189" s="403"/>
      <c r="BH189" s="403" t="s">
        <v>11077</v>
      </c>
      <c r="BI189" s="403"/>
      <c r="BJ189" s="403"/>
      <c r="BK189" s="403"/>
      <c r="BL189" s="403"/>
      <c r="BM189" s="403"/>
      <c r="BN189" s="403"/>
      <c r="BO189" s="403"/>
      <c r="BP189" s="403"/>
      <c r="BQ189" s="403"/>
      <c r="BR189" s="403"/>
      <c r="BS189" s="403"/>
      <c r="BT189" s="403"/>
      <c r="BU189" s="403"/>
      <c r="BV189" s="403"/>
      <c r="BW189" s="403"/>
      <c r="BX189" s="403"/>
      <c r="BY189" s="403"/>
      <c r="BZ189" s="403"/>
      <c r="CA189" s="403" t="s">
        <v>11078</v>
      </c>
      <c r="CB189" s="403"/>
      <c r="CC189" s="403"/>
      <c r="CD189" s="403"/>
      <c r="CE189" s="403"/>
      <c r="CF189" s="403"/>
      <c r="CG189" s="403"/>
      <c r="CH189" s="403"/>
      <c r="CI189" s="403"/>
      <c r="CJ189" s="403"/>
      <c r="CK189" s="403"/>
      <c r="CL189" s="403"/>
      <c r="CM189" s="403"/>
      <c r="CN189" s="403"/>
      <c r="CO189" s="403"/>
      <c r="CP189" s="403"/>
      <c r="CQ189" s="403"/>
      <c r="CR189" s="403"/>
      <c r="CS189" s="403"/>
      <c r="CT189" s="403" t="s">
        <v>11079</v>
      </c>
      <c r="CU189" s="403"/>
      <c r="CV189" s="403"/>
      <c r="CW189" s="403"/>
      <c r="CX189" s="403"/>
      <c r="CY189" s="403"/>
      <c r="CZ189" s="403"/>
      <c r="DA189" s="403"/>
      <c r="DB189" s="403"/>
      <c r="DC189" s="403"/>
      <c r="DD189" s="403"/>
      <c r="DE189" s="403"/>
      <c r="DF189" s="403"/>
      <c r="DG189" s="403"/>
      <c r="DH189" s="403"/>
      <c r="DI189" s="403"/>
      <c r="DJ189" s="403"/>
      <c r="DK189" s="403"/>
      <c r="DL189" s="403"/>
      <c r="DM189" s="403" t="s">
        <v>11074</v>
      </c>
      <c r="DN189" s="403"/>
      <c r="DO189" s="403"/>
      <c r="DP189" s="403"/>
      <c r="DQ189" s="403"/>
      <c r="DR189" s="403"/>
      <c r="DS189" s="403"/>
      <c r="DT189" s="403"/>
      <c r="DU189" s="403"/>
      <c r="DV189" s="403"/>
      <c r="DW189" s="403"/>
      <c r="DX189" s="403"/>
      <c r="DY189" s="403"/>
      <c r="DZ189" s="403"/>
      <c r="EA189" s="403"/>
      <c r="EB189" s="403"/>
      <c r="EC189" s="403"/>
      <c r="ED189" s="403"/>
      <c r="EE189" s="403"/>
      <c r="EF189" s="403" t="s">
        <v>11080</v>
      </c>
      <c r="EG189" s="403"/>
      <c r="EH189" s="403"/>
      <c r="EI189" s="403"/>
      <c r="EJ189" s="403"/>
      <c r="EK189" s="403"/>
      <c r="EL189" s="403"/>
      <c r="EM189" s="403"/>
      <c r="EN189" s="403"/>
      <c r="EO189" s="403"/>
      <c r="EP189" s="403"/>
      <c r="EQ189" s="403"/>
      <c r="ER189" s="403"/>
      <c r="ES189" s="403"/>
      <c r="ET189" s="403"/>
    </row>
    <row r="190" spans="1:150" s="281" customFormat="1" ht="14.25" thickTop="1" thickBot="1" x14ac:dyDescent="0.25">
      <c r="C190" s="21"/>
      <c r="D190" s="20"/>
      <c r="E190" s="20"/>
      <c r="F190" s="20"/>
      <c r="G190" s="20"/>
      <c r="H190" s="20"/>
      <c r="I190" s="20"/>
      <c r="J190" s="288"/>
      <c r="K190" s="288"/>
      <c r="L190" s="288"/>
      <c r="M190" s="288"/>
      <c r="N190" s="288"/>
      <c r="O190" s="288"/>
      <c r="P190" s="288"/>
      <c r="Q190" s="91"/>
      <c r="R190" s="403"/>
      <c r="S190" s="403"/>
      <c r="T190" s="403"/>
      <c r="U190" s="403"/>
      <c r="V190" s="403"/>
      <c r="W190" s="403"/>
      <c r="X190" s="403"/>
      <c r="Y190" s="403"/>
      <c r="Z190" s="403"/>
      <c r="AA190" s="403"/>
      <c r="AB190" s="403"/>
      <c r="AC190" s="403"/>
      <c r="AD190" s="403"/>
      <c r="AE190" s="403"/>
      <c r="AF190" s="403"/>
      <c r="AG190" s="403"/>
      <c r="AH190" s="403"/>
      <c r="AI190" s="403"/>
      <c r="AJ190" s="403"/>
      <c r="AK190" s="403"/>
      <c r="AL190" s="403"/>
      <c r="AM190" s="403"/>
      <c r="AN190" s="403"/>
      <c r="AO190" s="403"/>
      <c r="AP190" s="403"/>
      <c r="AQ190" s="403"/>
      <c r="AR190" s="403"/>
      <c r="AS190" s="403"/>
      <c r="AT190" s="403"/>
      <c r="AU190" s="403"/>
      <c r="AV190" s="403"/>
      <c r="AW190" s="403"/>
      <c r="AX190" s="403"/>
      <c r="AY190" s="403"/>
      <c r="AZ190" s="403"/>
      <c r="BA190" s="403"/>
      <c r="BB190" s="403"/>
      <c r="BC190" s="403"/>
      <c r="BD190" s="403"/>
      <c r="BE190" s="403"/>
      <c r="BF190" s="403"/>
      <c r="BG190" s="403"/>
      <c r="BH190" s="403"/>
      <c r="BI190" s="403"/>
      <c r="BJ190" s="403"/>
      <c r="BK190" s="403"/>
      <c r="BL190" s="403"/>
      <c r="BM190" s="403"/>
      <c r="BN190" s="403"/>
      <c r="BO190" s="403"/>
      <c r="BP190" s="403"/>
      <c r="BQ190" s="403"/>
      <c r="BR190" s="403"/>
      <c r="BS190" s="403"/>
      <c r="BT190" s="403"/>
      <c r="BU190" s="403"/>
      <c r="BV190" s="403"/>
      <c r="BW190" s="403"/>
      <c r="BX190" s="403"/>
      <c r="BY190" s="403"/>
      <c r="BZ190" s="403"/>
      <c r="CA190" s="403"/>
      <c r="CB190" s="403"/>
      <c r="CC190" s="403"/>
      <c r="CD190" s="403"/>
      <c r="CE190" s="403"/>
      <c r="CF190" s="403"/>
      <c r="CG190" s="403"/>
      <c r="CH190" s="403"/>
      <c r="CI190" s="403"/>
      <c r="CJ190" s="403"/>
      <c r="CK190" s="403"/>
      <c r="CL190" s="403"/>
      <c r="CM190" s="403"/>
      <c r="CN190" s="403"/>
      <c r="CO190" s="403"/>
      <c r="CP190" s="403"/>
      <c r="CQ190" s="403"/>
      <c r="CR190" s="403"/>
      <c r="CS190" s="403"/>
      <c r="CT190" s="403"/>
      <c r="CU190" s="403"/>
      <c r="CV190" s="403"/>
      <c r="CW190" s="403"/>
      <c r="CX190" s="403"/>
      <c r="CY190" s="403"/>
      <c r="CZ190" s="403"/>
      <c r="DA190" s="403"/>
      <c r="DB190" s="403"/>
      <c r="DC190" s="403"/>
      <c r="DD190" s="403"/>
      <c r="DE190" s="403"/>
      <c r="DF190" s="403"/>
      <c r="DG190" s="403"/>
      <c r="DH190" s="403"/>
      <c r="DI190" s="403"/>
      <c r="DJ190" s="403"/>
      <c r="DK190" s="403"/>
      <c r="DL190" s="403"/>
      <c r="DM190" s="403"/>
      <c r="DN190" s="403"/>
      <c r="DO190" s="403"/>
      <c r="DP190" s="403"/>
      <c r="DQ190" s="403"/>
      <c r="DR190" s="403"/>
      <c r="DS190" s="403"/>
      <c r="DT190" s="403"/>
      <c r="DU190" s="403"/>
      <c r="DV190" s="403"/>
      <c r="DW190" s="403"/>
      <c r="DX190" s="403"/>
      <c r="DY190" s="403"/>
      <c r="DZ190" s="403"/>
      <c r="EA190" s="403"/>
      <c r="EB190" s="403"/>
      <c r="EC190" s="403"/>
      <c r="ED190" s="403"/>
      <c r="EE190" s="403"/>
      <c r="EF190" s="403"/>
      <c r="EG190" s="403"/>
      <c r="EH190" s="403"/>
      <c r="EI190" s="403"/>
      <c r="EJ190" s="403"/>
      <c r="EK190" s="403"/>
      <c r="EL190" s="403"/>
      <c r="EM190" s="403"/>
      <c r="EN190" s="403"/>
      <c r="EO190" s="403"/>
      <c r="EP190" s="403"/>
      <c r="EQ190" s="403"/>
      <c r="ER190" s="403"/>
      <c r="ES190" s="403"/>
      <c r="ET190" s="403"/>
    </row>
    <row r="191" spans="1:150" s="281" customFormat="1" ht="15.75" thickTop="1" x14ac:dyDescent="0.25">
      <c r="B191" s="8" t="str">
        <f ca="1">IF(OFFSET(T191,0,Lang_Order*Lang__B4)="","",OFFSET(T191,0,Lang_Order*Lang__B4))</f>
        <v>B4.1.3 District Cold Chain</v>
      </c>
      <c r="C191" s="19"/>
      <c r="D191" s="8"/>
      <c r="E191" s="8"/>
      <c r="F191" s="8"/>
      <c r="G191" s="8"/>
      <c r="H191" s="8"/>
      <c r="I191" s="8"/>
      <c r="J191" s="149" t="e">
        <f t="shared" ref="J191:O191" si="49">SUM(J252,J261)</f>
        <v>#N/A</v>
      </c>
      <c r="K191" s="149" t="e">
        <f t="shared" si="49"/>
        <v>#N/A</v>
      </c>
      <c r="L191" s="149" t="e">
        <f t="shared" si="49"/>
        <v>#N/A</v>
      </c>
      <c r="M191" s="149" t="e">
        <f t="shared" si="49"/>
        <v>#N/A</v>
      </c>
      <c r="N191" s="149" t="e">
        <f t="shared" si="49"/>
        <v>#N/A</v>
      </c>
      <c r="O191" s="149" t="e">
        <f t="shared" si="49"/>
        <v>#N/A</v>
      </c>
      <c r="P191" s="149" t="e">
        <f>SUM(J191:O191)</f>
        <v>#N/A</v>
      </c>
      <c r="Q191" s="42"/>
      <c r="R191" s="403"/>
      <c r="S191" s="403"/>
      <c r="T191" s="403" t="s">
        <v>3604</v>
      </c>
      <c r="U191" s="403"/>
      <c r="V191" s="403"/>
      <c r="W191" s="403"/>
      <c r="X191" s="403"/>
      <c r="Y191" s="403"/>
      <c r="Z191" s="403"/>
      <c r="AA191" s="403"/>
      <c r="AB191" s="403"/>
      <c r="AC191" s="403"/>
      <c r="AD191" s="403"/>
      <c r="AE191" s="403"/>
      <c r="AF191" s="403"/>
      <c r="AG191" s="403"/>
      <c r="AH191" s="403"/>
      <c r="AI191" s="403"/>
      <c r="AJ191" s="403"/>
      <c r="AK191" s="403"/>
      <c r="AL191" s="403"/>
      <c r="AM191" s="403" t="s">
        <v>11081</v>
      </c>
      <c r="AN191" s="403"/>
      <c r="AO191" s="403"/>
      <c r="AP191" s="403"/>
      <c r="AQ191" s="403"/>
      <c r="AR191" s="403"/>
      <c r="AS191" s="403"/>
      <c r="AT191" s="403"/>
      <c r="AU191" s="403"/>
      <c r="AV191" s="403"/>
      <c r="AW191" s="403"/>
      <c r="AX191" s="403"/>
      <c r="AY191" s="403"/>
      <c r="AZ191" s="403"/>
      <c r="BA191" s="403"/>
      <c r="BB191" s="403"/>
      <c r="BC191" s="403"/>
      <c r="BD191" s="403"/>
      <c r="BE191" s="403"/>
      <c r="BF191" s="403" t="s">
        <v>11082</v>
      </c>
      <c r="BG191" s="403"/>
      <c r="BH191" s="403"/>
      <c r="BI191" s="403"/>
      <c r="BJ191" s="403"/>
      <c r="BK191" s="403"/>
      <c r="BL191" s="403"/>
      <c r="BM191" s="403"/>
      <c r="BN191" s="403"/>
      <c r="BO191" s="403"/>
      <c r="BP191" s="403"/>
      <c r="BQ191" s="403"/>
      <c r="BR191" s="403"/>
      <c r="BS191" s="403"/>
      <c r="BT191" s="403"/>
      <c r="BU191" s="403"/>
      <c r="BV191" s="403"/>
      <c r="BW191" s="403"/>
      <c r="BX191" s="403"/>
      <c r="BY191" s="403" t="s">
        <v>11083</v>
      </c>
      <c r="BZ191" s="403"/>
      <c r="CA191" s="403"/>
      <c r="CB191" s="403"/>
      <c r="CC191" s="403"/>
      <c r="CD191" s="403"/>
      <c r="CE191" s="403"/>
      <c r="CF191" s="403"/>
      <c r="CG191" s="403"/>
      <c r="CH191" s="403"/>
      <c r="CI191" s="403"/>
      <c r="CJ191" s="403"/>
      <c r="CK191" s="403"/>
      <c r="CL191" s="403"/>
      <c r="CM191" s="403"/>
      <c r="CN191" s="403"/>
      <c r="CO191" s="403"/>
      <c r="CP191" s="403"/>
      <c r="CQ191" s="403"/>
      <c r="CR191" s="403" t="s">
        <v>11084</v>
      </c>
      <c r="CS191" s="403"/>
      <c r="CT191" s="403"/>
      <c r="CU191" s="403"/>
      <c r="CV191" s="403"/>
      <c r="CW191" s="403"/>
      <c r="CX191" s="403"/>
      <c r="CY191" s="403"/>
      <c r="CZ191" s="403"/>
      <c r="DA191" s="403"/>
      <c r="DB191" s="403"/>
      <c r="DC191" s="403"/>
      <c r="DD191" s="403"/>
      <c r="DE191" s="403"/>
      <c r="DF191" s="403"/>
      <c r="DG191" s="403"/>
      <c r="DH191" s="403"/>
      <c r="DI191" s="403"/>
      <c r="DJ191" s="403"/>
      <c r="DK191" s="403" t="s">
        <v>11085</v>
      </c>
      <c r="DL191" s="403"/>
      <c r="DM191" s="403"/>
      <c r="DN191" s="403"/>
      <c r="DO191" s="403"/>
      <c r="DP191" s="403"/>
      <c r="DQ191" s="403"/>
      <c r="DR191" s="403"/>
      <c r="DS191" s="403"/>
      <c r="DT191" s="403"/>
      <c r="DU191" s="403"/>
      <c r="DV191" s="403"/>
      <c r="DW191" s="403"/>
      <c r="DX191" s="403"/>
      <c r="DY191" s="403"/>
      <c r="DZ191" s="403"/>
      <c r="EA191" s="403"/>
      <c r="EB191" s="403"/>
      <c r="EC191" s="403"/>
      <c r="ED191" s="403" t="s">
        <v>11086</v>
      </c>
      <c r="EE191" s="403"/>
      <c r="EF191" s="403"/>
      <c r="EG191" s="403"/>
      <c r="EH191" s="403"/>
      <c r="EI191" s="403"/>
      <c r="EJ191" s="403"/>
      <c r="EK191" s="403"/>
      <c r="EL191" s="403"/>
      <c r="EM191" s="403"/>
      <c r="EN191" s="403"/>
      <c r="EO191" s="403"/>
      <c r="EP191" s="403"/>
      <c r="EQ191" s="403"/>
      <c r="ER191" s="403"/>
      <c r="ES191" s="403"/>
      <c r="ET191" s="403"/>
    </row>
    <row r="192" spans="1:150" s="281" customFormat="1" x14ac:dyDescent="0.2">
      <c r="B192" s="342" t="str">
        <f ca="1">IF(OFFSET(T192,0,Lang_Order*Lang__B4)="","",OFFSET(T192,0,Lang_Order*Lang__B4))</f>
        <v>Assumptions: User-defined proportion of districts on-grid vs solar. On-grid districts with user defined number of ice pack freezers</v>
      </c>
      <c r="R192" s="403"/>
      <c r="S192" s="403"/>
      <c r="T192" s="403" t="s">
        <v>3609</v>
      </c>
      <c r="U192" s="403"/>
      <c r="V192" s="403"/>
      <c r="W192" s="403"/>
      <c r="X192" s="403"/>
      <c r="Y192" s="403"/>
      <c r="Z192" s="403"/>
      <c r="AA192" s="403"/>
      <c r="AB192" s="403"/>
      <c r="AC192" s="403"/>
      <c r="AD192" s="403"/>
      <c r="AE192" s="403"/>
      <c r="AF192" s="403"/>
      <c r="AG192" s="403"/>
      <c r="AH192" s="403"/>
      <c r="AI192" s="403"/>
      <c r="AJ192" s="403"/>
      <c r="AK192" s="403"/>
      <c r="AL192" s="403"/>
      <c r="AM192" s="403" t="s">
        <v>11087</v>
      </c>
      <c r="AN192" s="403"/>
      <c r="AO192" s="403"/>
      <c r="AP192" s="403"/>
      <c r="AQ192" s="403"/>
      <c r="AR192" s="403"/>
      <c r="AS192" s="403"/>
      <c r="AT192" s="403"/>
      <c r="AU192" s="403"/>
      <c r="AV192" s="403"/>
      <c r="AW192" s="403"/>
      <c r="AX192" s="403"/>
      <c r="AY192" s="403"/>
      <c r="AZ192" s="403"/>
      <c r="BA192" s="403"/>
      <c r="BB192" s="403"/>
      <c r="BC192" s="403"/>
      <c r="BD192" s="403"/>
      <c r="BE192" s="403"/>
      <c r="BF192" s="403" t="s">
        <v>11088</v>
      </c>
      <c r="BG192" s="403"/>
      <c r="BH192" s="403"/>
      <c r="BI192" s="403"/>
      <c r="BJ192" s="403"/>
      <c r="BK192" s="403"/>
      <c r="BL192" s="403"/>
      <c r="BM192" s="403"/>
      <c r="BN192" s="403"/>
      <c r="BO192" s="403"/>
      <c r="BP192" s="403"/>
      <c r="BQ192" s="403"/>
      <c r="BR192" s="403"/>
      <c r="BS192" s="403"/>
      <c r="BT192" s="403"/>
      <c r="BU192" s="403"/>
      <c r="BV192" s="403"/>
      <c r="BW192" s="403"/>
      <c r="BX192" s="403"/>
      <c r="BY192" s="403" t="s">
        <v>11089</v>
      </c>
      <c r="BZ192" s="403"/>
      <c r="CA192" s="403"/>
      <c r="CB192" s="403"/>
      <c r="CC192" s="403"/>
      <c r="CD192" s="403"/>
      <c r="CE192" s="403"/>
      <c r="CF192" s="403"/>
      <c r="CG192" s="403"/>
      <c r="CH192" s="403"/>
      <c r="CI192" s="403"/>
      <c r="CJ192" s="403"/>
      <c r="CK192" s="403"/>
      <c r="CL192" s="403"/>
      <c r="CM192" s="403"/>
      <c r="CN192" s="403"/>
      <c r="CO192" s="403"/>
      <c r="CP192" s="403"/>
      <c r="CQ192" s="403"/>
      <c r="CR192" s="403" t="s">
        <v>11090</v>
      </c>
      <c r="CS192" s="403"/>
      <c r="CT192" s="403"/>
      <c r="CU192" s="403"/>
      <c r="CV192" s="403"/>
      <c r="CW192" s="403"/>
      <c r="CX192" s="403"/>
      <c r="CY192" s="403"/>
      <c r="CZ192" s="403"/>
      <c r="DA192" s="403"/>
      <c r="DB192" s="403"/>
      <c r="DC192" s="403"/>
      <c r="DD192" s="403"/>
      <c r="DE192" s="403"/>
      <c r="DF192" s="403"/>
      <c r="DG192" s="403"/>
      <c r="DH192" s="403"/>
      <c r="DI192" s="403"/>
      <c r="DJ192" s="403"/>
      <c r="DK192" s="403" t="s">
        <v>11091</v>
      </c>
      <c r="DL192" s="403"/>
      <c r="DM192" s="403"/>
      <c r="DN192" s="403"/>
      <c r="DO192" s="403"/>
      <c r="DP192" s="403"/>
      <c r="DQ192" s="403"/>
      <c r="DR192" s="403"/>
      <c r="DS192" s="403"/>
      <c r="DT192" s="403"/>
      <c r="DU192" s="403"/>
      <c r="DV192" s="403"/>
      <c r="DW192" s="403"/>
      <c r="DX192" s="403"/>
      <c r="DY192" s="403"/>
      <c r="DZ192" s="403"/>
      <c r="EA192" s="403"/>
      <c r="EB192" s="403"/>
      <c r="EC192" s="403"/>
      <c r="ED192" s="403" t="s">
        <v>11092</v>
      </c>
      <c r="EE192" s="403"/>
      <c r="EF192" s="403"/>
      <c r="EG192" s="403"/>
      <c r="EH192" s="403"/>
      <c r="EI192" s="403"/>
      <c r="EJ192" s="403"/>
      <c r="EK192" s="403"/>
      <c r="EL192" s="403"/>
      <c r="EM192" s="403"/>
      <c r="EN192" s="403"/>
      <c r="EO192" s="403"/>
      <c r="EP192" s="403"/>
      <c r="EQ192" s="403"/>
      <c r="ER192" s="403"/>
      <c r="ES192" s="403"/>
      <c r="ET192" s="403"/>
    </row>
    <row r="193" spans="1:150" s="281" customFormat="1" x14ac:dyDescent="0.2">
      <c r="A193" s="350">
        <v>2</v>
      </c>
      <c r="B193" s="47"/>
      <c r="C193" s="5" t="str">
        <f ca="1">IF(OFFSET(U193,0,Lang_Order*Lang__B4)="","",OFFSET(U193,0,Lang_Order*Lang__B4))</f>
        <v>#of ice pack freezers per district</v>
      </c>
      <c r="D193" s="35">
        <v>1</v>
      </c>
      <c r="J193" s="81">
        <v>1</v>
      </c>
      <c r="O193" s="5"/>
      <c r="P193" s="2"/>
      <c r="R193" s="403"/>
      <c r="S193" s="403"/>
      <c r="T193" s="403"/>
      <c r="U193" s="403" t="s">
        <v>3610</v>
      </c>
      <c r="V193" s="403"/>
      <c r="W193" s="403"/>
      <c r="X193" s="403"/>
      <c r="Y193" s="403"/>
      <c r="Z193" s="403"/>
      <c r="AA193" s="403"/>
      <c r="AB193" s="403"/>
      <c r="AC193" s="403"/>
      <c r="AD193" s="403"/>
      <c r="AE193" s="403"/>
      <c r="AF193" s="403"/>
      <c r="AG193" s="403"/>
      <c r="AH193" s="403"/>
      <c r="AI193" s="403"/>
      <c r="AJ193" s="403"/>
      <c r="AK193" s="403"/>
      <c r="AL193" s="403"/>
      <c r="AM193" s="403"/>
      <c r="AN193" s="403" t="s">
        <v>10960</v>
      </c>
      <c r="AO193" s="403"/>
      <c r="AP193" s="403"/>
      <c r="AQ193" s="403"/>
      <c r="AR193" s="403"/>
      <c r="AS193" s="403"/>
      <c r="AT193" s="403"/>
      <c r="AU193" s="403"/>
      <c r="AV193" s="403"/>
      <c r="AW193" s="403"/>
      <c r="AX193" s="403"/>
      <c r="AY193" s="403"/>
      <c r="AZ193" s="403"/>
      <c r="BA193" s="403"/>
      <c r="BB193" s="403"/>
      <c r="BC193" s="403"/>
      <c r="BD193" s="403"/>
      <c r="BE193" s="403"/>
      <c r="BF193" s="403"/>
      <c r="BG193" s="403" t="s">
        <v>11093</v>
      </c>
      <c r="BH193" s="403"/>
      <c r="BI193" s="403"/>
      <c r="BJ193" s="403"/>
      <c r="BK193" s="403"/>
      <c r="BL193" s="403"/>
      <c r="BM193" s="403"/>
      <c r="BN193" s="403"/>
      <c r="BO193" s="403"/>
      <c r="BP193" s="403"/>
      <c r="BQ193" s="403"/>
      <c r="BR193" s="403"/>
      <c r="BS193" s="403"/>
      <c r="BT193" s="403"/>
      <c r="BU193" s="403"/>
      <c r="BV193" s="403"/>
      <c r="BW193" s="403"/>
      <c r="BX193" s="403"/>
      <c r="BY193" s="403"/>
      <c r="BZ193" s="403" t="s">
        <v>11094</v>
      </c>
      <c r="CA193" s="403"/>
      <c r="CB193" s="403"/>
      <c r="CC193" s="403"/>
      <c r="CD193" s="403"/>
      <c r="CE193" s="403"/>
      <c r="CF193" s="403"/>
      <c r="CG193" s="403"/>
      <c r="CH193" s="403"/>
      <c r="CI193" s="403"/>
      <c r="CJ193" s="403"/>
      <c r="CK193" s="403"/>
      <c r="CL193" s="403"/>
      <c r="CM193" s="403"/>
      <c r="CN193" s="403"/>
      <c r="CO193" s="403"/>
      <c r="CP193" s="403"/>
      <c r="CQ193" s="403"/>
      <c r="CR193" s="403"/>
      <c r="CS193" s="403" t="s">
        <v>11095</v>
      </c>
      <c r="CT193" s="403"/>
      <c r="CU193" s="403"/>
      <c r="CV193" s="403"/>
      <c r="CW193" s="403"/>
      <c r="CX193" s="403"/>
      <c r="CY193" s="403"/>
      <c r="CZ193" s="403"/>
      <c r="DA193" s="403"/>
      <c r="DB193" s="403"/>
      <c r="DC193" s="403"/>
      <c r="DD193" s="403"/>
      <c r="DE193" s="403"/>
      <c r="DF193" s="403"/>
      <c r="DG193" s="403"/>
      <c r="DH193" s="403"/>
      <c r="DI193" s="403"/>
      <c r="DJ193" s="403"/>
      <c r="DK193" s="403"/>
      <c r="DL193" s="403" t="s">
        <v>11096</v>
      </c>
      <c r="DM193" s="403"/>
      <c r="DN193" s="403"/>
      <c r="DO193" s="403"/>
      <c r="DP193" s="403"/>
      <c r="DQ193" s="403"/>
      <c r="DR193" s="403"/>
      <c r="DS193" s="403"/>
      <c r="DT193" s="403"/>
      <c r="DU193" s="403"/>
      <c r="DV193" s="403"/>
      <c r="DW193" s="403"/>
      <c r="DX193" s="403"/>
      <c r="DY193" s="403"/>
      <c r="DZ193" s="403"/>
      <c r="EA193" s="403"/>
      <c r="EB193" s="403"/>
      <c r="EC193" s="403"/>
      <c r="ED193" s="403"/>
      <c r="EE193" s="403" t="s">
        <v>11097</v>
      </c>
      <c r="EF193" s="403"/>
      <c r="EG193" s="403"/>
      <c r="EH193" s="403"/>
      <c r="EI193" s="403"/>
      <c r="EJ193" s="403"/>
      <c r="EK193" s="403"/>
      <c r="EL193" s="403"/>
      <c r="EM193" s="403"/>
      <c r="EN193" s="403"/>
      <c r="EO193" s="403"/>
      <c r="EP193" s="403"/>
      <c r="EQ193" s="403"/>
      <c r="ER193" s="403"/>
      <c r="ES193" s="403"/>
      <c r="ET193" s="403"/>
    </row>
    <row r="194" spans="1:150" s="281" customFormat="1" x14ac:dyDescent="0.2">
      <c r="B194" s="47"/>
      <c r="C194" s="5" t="str">
        <f ca="1">IF(OFFSET(U194,0,Lang_Order*Lang__B4)="","",OFFSET(U194,0,Lang_Order*Lang__B4))</f>
        <v>Districts requiring SDD - off-grid</v>
      </c>
      <c r="D194" s="3">
        <f>ROUNDUP(District_Stores*ColdChain_SDD_Proportion,0)</f>
        <v>0</v>
      </c>
      <c r="J194" s="499"/>
      <c r="K194" s="499"/>
      <c r="L194" s="499"/>
      <c r="M194" s="499"/>
      <c r="N194" s="499"/>
      <c r="O194" s="499"/>
      <c r="R194" s="403"/>
      <c r="S194" s="403"/>
      <c r="T194" s="403"/>
      <c r="U194" s="403" t="s">
        <v>3612</v>
      </c>
      <c r="V194" s="403"/>
      <c r="W194" s="403"/>
      <c r="X194" s="403"/>
      <c r="Y194" s="403"/>
      <c r="Z194" s="403"/>
      <c r="AA194" s="403"/>
      <c r="AB194" s="403"/>
      <c r="AC194" s="403"/>
      <c r="AD194" s="403"/>
      <c r="AE194" s="403"/>
      <c r="AF194" s="403"/>
      <c r="AG194" s="403"/>
      <c r="AH194" s="403"/>
      <c r="AI194" s="403"/>
      <c r="AJ194" s="403"/>
      <c r="AK194" s="403"/>
      <c r="AL194" s="403"/>
      <c r="AM194" s="403"/>
      <c r="AN194" s="403" t="s">
        <v>11098</v>
      </c>
      <c r="AO194" s="403"/>
      <c r="AP194" s="403"/>
      <c r="AQ194" s="403"/>
      <c r="AR194" s="403"/>
      <c r="AS194" s="403"/>
      <c r="AT194" s="403"/>
      <c r="AU194" s="403"/>
      <c r="AV194" s="403"/>
      <c r="AW194" s="403"/>
      <c r="AX194" s="403"/>
      <c r="AY194" s="403"/>
      <c r="AZ194" s="403"/>
      <c r="BA194" s="403"/>
      <c r="BB194" s="403"/>
      <c r="BC194" s="403"/>
      <c r="BD194" s="403"/>
      <c r="BE194" s="403"/>
      <c r="BF194" s="403"/>
      <c r="BG194" s="403" t="s">
        <v>11099</v>
      </c>
      <c r="BH194" s="403"/>
      <c r="BI194" s="403"/>
      <c r="BJ194" s="403"/>
      <c r="BK194" s="403"/>
      <c r="BL194" s="403"/>
      <c r="BM194" s="403"/>
      <c r="BN194" s="403"/>
      <c r="BO194" s="403"/>
      <c r="BP194" s="403"/>
      <c r="BQ194" s="403"/>
      <c r="BR194" s="403"/>
      <c r="BS194" s="403"/>
      <c r="BT194" s="403"/>
      <c r="BU194" s="403"/>
      <c r="BV194" s="403"/>
      <c r="BW194" s="403"/>
      <c r="BX194" s="403"/>
      <c r="BY194" s="403"/>
      <c r="BZ194" s="403" t="s">
        <v>11100</v>
      </c>
      <c r="CA194" s="403"/>
      <c r="CB194" s="403"/>
      <c r="CC194" s="403"/>
      <c r="CD194" s="403"/>
      <c r="CE194" s="403"/>
      <c r="CF194" s="403"/>
      <c r="CG194" s="403"/>
      <c r="CH194" s="403"/>
      <c r="CI194" s="403"/>
      <c r="CJ194" s="403"/>
      <c r="CK194" s="403"/>
      <c r="CL194" s="403"/>
      <c r="CM194" s="403"/>
      <c r="CN194" s="403"/>
      <c r="CO194" s="403"/>
      <c r="CP194" s="403"/>
      <c r="CQ194" s="403"/>
      <c r="CR194" s="403"/>
      <c r="CS194" s="403" t="s">
        <v>11101</v>
      </c>
      <c r="CT194" s="403"/>
      <c r="CU194" s="403"/>
      <c r="CV194" s="403"/>
      <c r="CW194" s="403"/>
      <c r="CX194" s="403"/>
      <c r="CY194" s="403"/>
      <c r="CZ194" s="403"/>
      <c r="DA194" s="403"/>
      <c r="DB194" s="403"/>
      <c r="DC194" s="403"/>
      <c r="DD194" s="403"/>
      <c r="DE194" s="403"/>
      <c r="DF194" s="403"/>
      <c r="DG194" s="403"/>
      <c r="DH194" s="403"/>
      <c r="DI194" s="403"/>
      <c r="DJ194" s="403"/>
      <c r="DK194" s="403"/>
      <c r="DL194" s="403" t="s">
        <v>11102</v>
      </c>
      <c r="DM194" s="403"/>
      <c r="DN194" s="403"/>
      <c r="DO194" s="403"/>
      <c r="DP194" s="403"/>
      <c r="DQ194" s="403"/>
      <c r="DR194" s="403"/>
      <c r="DS194" s="403"/>
      <c r="DT194" s="403"/>
      <c r="DU194" s="403"/>
      <c r="DV194" s="403"/>
      <c r="DW194" s="403"/>
      <c r="DX194" s="403"/>
      <c r="DY194" s="403"/>
      <c r="DZ194" s="403"/>
      <c r="EA194" s="403"/>
      <c r="EB194" s="403"/>
      <c r="EC194" s="403"/>
      <c r="ED194" s="403"/>
      <c r="EE194" s="403" t="s">
        <v>11103</v>
      </c>
      <c r="EF194" s="403"/>
      <c r="EG194" s="403"/>
      <c r="EH194" s="403"/>
      <c r="EI194" s="403"/>
      <c r="EJ194" s="403"/>
      <c r="EK194" s="403"/>
      <c r="EL194" s="403"/>
      <c r="EM194" s="403"/>
      <c r="EN194" s="403"/>
      <c r="EO194" s="403"/>
      <c r="EP194" s="403"/>
      <c r="EQ194" s="403"/>
      <c r="ER194" s="403"/>
      <c r="ES194" s="403"/>
      <c r="ET194" s="403"/>
    </row>
    <row r="195" spans="1:150" s="281" customFormat="1" x14ac:dyDescent="0.2">
      <c r="C195" s="5" t="str">
        <f ca="1">IF(OFFSET(U195,0,Lang_Order*Lang__B4)="","",OFFSET(U195,0,Lang_Order*Lang__B4))</f>
        <v>Districts - on-grid</v>
      </c>
      <c r="D195" s="3">
        <f>District_Stores-D194</f>
        <v>0</v>
      </c>
      <c r="J195" s="499"/>
      <c r="K195" s="499"/>
      <c r="L195" s="499"/>
      <c r="M195" s="499"/>
      <c r="N195" s="499"/>
      <c r="O195" s="499"/>
      <c r="R195" s="403"/>
      <c r="S195" s="403"/>
      <c r="T195" s="403"/>
      <c r="U195" s="403" t="s">
        <v>3613</v>
      </c>
      <c r="V195" s="403"/>
      <c r="W195" s="403"/>
      <c r="X195" s="403"/>
      <c r="Y195" s="403"/>
      <c r="Z195" s="403"/>
      <c r="AA195" s="403"/>
      <c r="AB195" s="403"/>
      <c r="AC195" s="403"/>
      <c r="AD195" s="403"/>
      <c r="AE195" s="403"/>
      <c r="AF195" s="403"/>
      <c r="AG195" s="403"/>
      <c r="AH195" s="403"/>
      <c r="AI195" s="403"/>
      <c r="AJ195" s="403"/>
      <c r="AK195" s="403"/>
      <c r="AL195" s="403"/>
      <c r="AM195" s="403"/>
      <c r="AN195" s="403" t="s">
        <v>11104</v>
      </c>
      <c r="AO195" s="403"/>
      <c r="AP195" s="403"/>
      <c r="AQ195" s="403"/>
      <c r="AR195" s="403"/>
      <c r="AS195" s="403"/>
      <c r="AT195" s="403"/>
      <c r="AU195" s="403"/>
      <c r="AV195" s="403"/>
      <c r="AW195" s="403"/>
      <c r="AX195" s="403"/>
      <c r="AY195" s="403"/>
      <c r="AZ195" s="403"/>
      <c r="BA195" s="403"/>
      <c r="BB195" s="403"/>
      <c r="BC195" s="403"/>
      <c r="BD195" s="403"/>
      <c r="BE195" s="403"/>
      <c r="BF195" s="403"/>
      <c r="BG195" s="403" t="s">
        <v>11105</v>
      </c>
      <c r="BH195" s="403"/>
      <c r="BI195" s="403"/>
      <c r="BJ195" s="403"/>
      <c r="BK195" s="403"/>
      <c r="BL195" s="403"/>
      <c r="BM195" s="403"/>
      <c r="BN195" s="403"/>
      <c r="BO195" s="403"/>
      <c r="BP195" s="403"/>
      <c r="BQ195" s="403"/>
      <c r="BR195" s="403"/>
      <c r="BS195" s="403"/>
      <c r="BT195" s="403"/>
      <c r="BU195" s="403"/>
      <c r="BV195" s="403"/>
      <c r="BW195" s="403"/>
      <c r="BX195" s="403"/>
      <c r="BY195" s="403"/>
      <c r="BZ195" s="403" t="s">
        <v>11106</v>
      </c>
      <c r="CA195" s="403"/>
      <c r="CB195" s="403"/>
      <c r="CC195" s="403"/>
      <c r="CD195" s="403"/>
      <c r="CE195" s="403"/>
      <c r="CF195" s="403"/>
      <c r="CG195" s="403"/>
      <c r="CH195" s="403"/>
      <c r="CI195" s="403"/>
      <c r="CJ195" s="403"/>
      <c r="CK195" s="403"/>
      <c r="CL195" s="403"/>
      <c r="CM195" s="403"/>
      <c r="CN195" s="403"/>
      <c r="CO195" s="403"/>
      <c r="CP195" s="403"/>
      <c r="CQ195" s="403"/>
      <c r="CR195" s="403"/>
      <c r="CS195" s="403" t="s">
        <v>11107</v>
      </c>
      <c r="CT195" s="403"/>
      <c r="CU195" s="403"/>
      <c r="CV195" s="403"/>
      <c r="CW195" s="403"/>
      <c r="CX195" s="403"/>
      <c r="CY195" s="403"/>
      <c r="CZ195" s="403"/>
      <c r="DA195" s="403"/>
      <c r="DB195" s="403"/>
      <c r="DC195" s="403"/>
      <c r="DD195" s="403"/>
      <c r="DE195" s="403"/>
      <c r="DF195" s="403"/>
      <c r="DG195" s="403"/>
      <c r="DH195" s="403"/>
      <c r="DI195" s="403"/>
      <c r="DJ195" s="403"/>
      <c r="DK195" s="403"/>
      <c r="DL195" s="403" t="s">
        <v>11108</v>
      </c>
      <c r="DM195" s="403"/>
      <c r="DN195" s="403"/>
      <c r="DO195" s="403"/>
      <c r="DP195" s="403"/>
      <c r="DQ195" s="403"/>
      <c r="DR195" s="403"/>
      <c r="DS195" s="403"/>
      <c r="DT195" s="403"/>
      <c r="DU195" s="403"/>
      <c r="DV195" s="403"/>
      <c r="DW195" s="403"/>
      <c r="DX195" s="403"/>
      <c r="DY195" s="403"/>
      <c r="DZ195" s="403"/>
      <c r="EA195" s="403"/>
      <c r="EB195" s="403"/>
      <c r="EC195" s="403"/>
      <c r="ED195" s="403"/>
      <c r="EE195" s="403" t="s">
        <v>11109</v>
      </c>
      <c r="EF195" s="403"/>
      <c r="EG195" s="403"/>
      <c r="EH195" s="403"/>
      <c r="EI195" s="403"/>
      <c r="EJ195" s="403"/>
      <c r="EK195" s="403"/>
      <c r="EL195" s="403"/>
      <c r="EM195" s="403"/>
      <c r="EN195" s="403"/>
      <c r="EO195" s="403"/>
      <c r="EP195" s="403"/>
      <c r="EQ195" s="403"/>
      <c r="ER195" s="403"/>
      <c r="ES195" s="403"/>
      <c r="ET195" s="403"/>
    </row>
    <row r="196" spans="1:150" s="499" customFormat="1" x14ac:dyDescent="0.2">
      <c r="B196" s="567"/>
      <c r="C196" s="270" t="str">
        <f ca="1">IF(OFFSET(U196,0,Lang_Order*Lang__B4)="","",OFFSET(U196,0,Lang_Order*Lang__B4))</f>
        <v>Maximum days that UCC vaccine is stable at 2-8C</v>
      </c>
      <c r="D196" s="208">
        <v>5</v>
      </c>
      <c r="J196" s="81">
        <v>5</v>
      </c>
      <c r="P196" s="73">
        <f>D196-1</f>
        <v>4</v>
      </c>
      <c r="Q196" s="306" t="str">
        <f ca="1">IF(OFFSET(AI196,0,Lang_Order*Lang__B4)="","",OFFSET(AI196,0,Lang_Order*Lang__B4))</f>
        <v>Further 1 day subtracted for transport</v>
      </c>
      <c r="U196" s="564" t="s">
        <v>4519</v>
      </c>
      <c r="V196" s="564"/>
      <c r="W196" s="564"/>
      <c r="X196" s="564"/>
      <c r="Y196" s="564"/>
      <c r="Z196" s="564"/>
      <c r="AA196" s="564"/>
      <c r="AB196" s="564"/>
      <c r="AC196" s="564"/>
      <c r="AD196" s="564"/>
      <c r="AE196" s="564"/>
      <c r="AF196" s="564"/>
      <c r="AG196" s="564"/>
      <c r="AH196" s="564"/>
      <c r="AI196" s="564" t="s">
        <v>4550</v>
      </c>
      <c r="AJ196" s="564"/>
      <c r="AK196" s="564"/>
      <c r="AL196" s="564"/>
      <c r="AM196" s="564"/>
      <c r="AN196" s="564" t="s">
        <v>13339</v>
      </c>
      <c r="AO196" s="564"/>
      <c r="AP196" s="564"/>
      <c r="AQ196" s="564"/>
      <c r="AR196" s="564"/>
      <c r="AS196" s="564"/>
      <c r="AT196" s="564"/>
      <c r="AU196" s="564"/>
      <c r="AV196" s="564"/>
      <c r="AW196" s="564"/>
      <c r="AX196" s="564"/>
      <c r="AY196" s="564"/>
      <c r="AZ196" s="564"/>
      <c r="BA196" s="564"/>
      <c r="BB196" s="564" t="s">
        <v>13345</v>
      </c>
      <c r="BC196" s="564"/>
      <c r="BD196" s="564"/>
      <c r="BE196" s="564"/>
      <c r="BF196" s="564"/>
      <c r="BG196" s="564" t="s">
        <v>13340</v>
      </c>
      <c r="BH196" s="564"/>
      <c r="BI196" s="564"/>
      <c r="BJ196" s="564"/>
      <c r="BK196" s="564"/>
      <c r="BL196" s="564"/>
      <c r="BM196" s="564"/>
      <c r="BN196" s="564"/>
      <c r="BO196" s="564"/>
      <c r="BP196" s="564"/>
      <c r="BQ196" s="564"/>
      <c r="BR196" s="564"/>
      <c r="BS196" s="564"/>
      <c r="BT196" s="564"/>
      <c r="BU196" s="564" t="s">
        <v>13346</v>
      </c>
      <c r="BV196" s="564"/>
      <c r="BW196" s="564"/>
      <c r="BX196" s="564"/>
      <c r="BY196" s="564"/>
      <c r="BZ196" s="564" t="s">
        <v>13341</v>
      </c>
      <c r="CA196" s="564"/>
      <c r="CB196" s="564"/>
      <c r="CC196" s="564"/>
      <c r="CD196" s="564"/>
      <c r="CE196" s="564"/>
      <c r="CF196" s="564"/>
      <c r="CG196" s="564"/>
      <c r="CH196" s="564"/>
      <c r="CI196" s="564"/>
      <c r="CJ196" s="564"/>
      <c r="CK196" s="564"/>
      <c r="CL196" s="564"/>
      <c r="CM196" s="564"/>
      <c r="CN196" s="564" t="s">
        <v>13347</v>
      </c>
      <c r="CO196" s="564"/>
      <c r="CP196" s="564"/>
      <c r="CQ196" s="564"/>
      <c r="CR196" s="564"/>
      <c r="CS196" s="564" t="s">
        <v>13342</v>
      </c>
      <c r="CT196" s="564"/>
      <c r="CU196" s="564"/>
      <c r="CV196" s="564"/>
      <c r="CW196" s="564"/>
      <c r="CX196" s="564"/>
      <c r="CY196" s="564"/>
      <c r="CZ196" s="564"/>
      <c r="DA196" s="564"/>
      <c r="DB196" s="564"/>
      <c r="DC196" s="564"/>
      <c r="DD196" s="564"/>
      <c r="DE196" s="564"/>
      <c r="DF196" s="564"/>
      <c r="DG196" s="564" t="s">
        <v>13348</v>
      </c>
      <c r="DH196" s="564"/>
      <c r="DI196" s="564"/>
      <c r="DJ196" s="564"/>
      <c r="DK196" s="564"/>
      <c r="DL196" s="564" t="s">
        <v>13343</v>
      </c>
      <c r="DM196" s="564"/>
      <c r="DN196" s="564"/>
      <c r="DO196" s="564"/>
      <c r="DP196" s="564"/>
      <c r="DQ196" s="564"/>
      <c r="DR196" s="564"/>
      <c r="DS196" s="564"/>
      <c r="DT196" s="564"/>
      <c r="DU196" s="564"/>
      <c r="DV196" s="564"/>
      <c r="DW196" s="564"/>
      <c r="DX196" s="564"/>
      <c r="DY196" s="564"/>
      <c r="DZ196" s="564" t="s">
        <v>13349</v>
      </c>
      <c r="EA196" s="564"/>
      <c r="EB196" s="564"/>
      <c r="EC196" s="564"/>
      <c r="ED196" s="564"/>
      <c r="EE196" s="564" t="s">
        <v>13344</v>
      </c>
      <c r="EF196" s="564"/>
      <c r="ES196" s="499" t="s">
        <v>13350</v>
      </c>
    </row>
    <row r="197" spans="1:150" s="510" customFormat="1" x14ac:dyDescent="0.2">
      <c r="B197" s="85"/>
      <c r="D197" s="155" t="str">
        <f ca="1">IF(OFFSET(V197,0,Lang_Order*Lang__B4)="","",OFFSET(V197,0,Lang_Order*Lang__B4))</f>
        <v>UCC Only</v>
      </c>
      <c r="J197" s="242" t="e">
        <f>J81*'B5. Last Mile Delivery'!J108/J202</f>
        <v>#N/A</v>
      </c>
      <c r="K197" s="242" t="e">
        <f>K81*'B5. Last Mile Delivery'!K108/K202</f>
        <v>#N/A</v>
      </c>
      <c r="L197" s="242" t="e">
        <f>L81*'B5. Last Mile Delivery'!L108/L202</f>
        <v>#N/A</v>
      </c>
      <c r="M197" s="242" t="e">
        <f>M81*'B5. Last Mile Delivery'!M108/M202</f>
        <v>#N/A</v>
      </c>
      <c r="N197" s="242" t="e">
        <f>N81*'B5. Last Mile Delivery'!N108/N202</f>
        <v>#N/A</v>
      </c>
      <c r="O197" s="242" t="e">
        <f>O81*'B5. Last Mile Delivery'!O108/O202</f>
        <v>#N/A</v>
      </c>
      <c r="P197" s="4" t="e">
        <f>IF(MAX(J197:O197)&gt;P196,Lang_CHECK,"OK")</f>
        <v>#N/A</v>
      </c>
      <c r="Q197" s="306" t="str">
        <f ca="1">IF(OFFSET(AI197,0,Lang_Order*Lang__B4)="","",OFFSET(AI197,0,Lang_Order*Lang__B4))</f>
        <v>Increase the frequency of shipments per period if any RED arrows seen</v>
      </c>
      <c r="V197" s="564" t="s">
        <v>13351</v>
      </c>
      <c r="W197" s="564"/>
      <c r="X197" s="564"/>
      <c r="Y197" s="564"/>
      <c r="Z197" s="564"/>
      <c r="AA197" s="564"/>
      <c r="AB197" s="564"/>
      <c r="AC197" s="564"/>
      <c r="AD197" s="564"/>
      <c r="AE197" s="564"/>
      <c r="AF197" s="564"/>
      <c r="AG197" s="564"/>
      <c r="AH197" s="564"/>
      <c r="AI197" s="564" t="s">
        <v>4520</v>
      </c>
      <c r="AJ197" s="564"/>
      <c r="AK197" s="564"/>
      <c r="AL197" s="564"/>
      <c r="AM197" s="564"/>
      <c r="AN197" s="564"/>
      <c r="AO197" s="564" t="s">
        <v>13352</v>
      </c>
      <c r="AP197" s="564"/>
      <c r="AQ197" s="564"/>
      <c r="AR197" s="564"/>
      <c r="AS197" s="564"/>
      <c r="AT197" s="564"/>
      <c r="AU197" s="564"/>
      <c r="AV197" s="564"/>
      <c r="AW197" s="564"/>
      <c r="AX197" s="564"/>
      <c r="AY197" s="564"/>
      <c r="AZ197" s="564"/>
      <c r="BA197" s="564"/>
      <c r="BB197" s="564" t="s">
        <v>13358</v>
      </c>
      <c r="BC197" s="564"/>
      <c r="BD197" s="564"/>
      <c r="BE197" s="564"/>
      <c r="BF197" s="564"/>
      <c r="BG197" s="564"/>
      <c r="BH197" s="564" t="s">
        <v>13353</v>
      </c>
      <c r="BI197" s="564"/>
      <c r="BJ197" s="564"/>
      <c r="BK197" s="564"/>
      <c r="BL197" s="564"/>
      <c r="BM197" s="564"/>
      <c r="BN197" s="564"/>
      <c r="BO197" s="564"/>
      <c r="BP197" s="564"/>
      <c r="BQ197" s="564"/>
      <c r="BR197" s="564"/>
      <c r="BS197" s="564"/>
      <c r="BT197" s="564"/>
      <c r="BU197" s="564" t="s">
        <v>13359</v>
      </c>
      <c r="BV197" s="564"/>
      <c r="BW197" s="564"/>
      <c r="BX197" s="564"/>
      <c r="BY197" s="564"/>
      <c r="BZ197" s="564"/>
      <c r="CA197" s="564" t="s">
        <v>13354</v>
      </c>
      <c r="CB197" s="564"/>
      <c r="CC197" s="564"/>
      <c r="CD197" s="564"/>
      <c r="CE197" s="564"/>
      <c r="CF197" s="564"/>
      <c r="CG197" s="564"/>
      <c r="CH197" s="564"/>
      <c r="CI197" s="564"/>
      <c r="CJ197" s="564"/>
      <c r="CK197" s="564"/>
      <c r="CL197" s="564"/>
      <c r="CM197" s="564"/>
      <c r="CN197" s="564" t="s">
        <v>13360</v>
      </c>
      <c r="CO197" s="564"/>
      <c r="CP197" s="564"/>
      <c r="CQ197" s="564"/>
      <c r="CR197" s="564"/>
      <c r="CS197" s="564"/>
      <c r="CT197" s="564" t="s">
        <v>13355</v>
      </c>
      <c r="CU197" s="564"/>
      <c r="CV197" s="564"/>
      <c r="CW197" s="564"/>
      <c r="CX197" s="564"/>
      <c r="CY197" s="564"/>
      <c r="CZ197" s="564"/>
      <c r="DA197" s="564"/>
      <c r="DB197" s="564"/>
      <c r="DC197" s="564"/>
      <c r="DD197" s="564"/>
      <c r="DE197" s="564"/>
      <c r="DF197" s="564"/>
      <c r="DG197" s="564" t="s">
        <v>13361</v>
      </c>
      <c r="DH197" s="564"/>
      <c r="DI197" s="564"/>
      <c r="DJ197" s="564"/>
      <c r="DK197" s="564"/>
      <c r="DL197" s="564"/>
      <c r="DM197" s="564" t="s">
        <v>13356</v>
      </c>
      <c r="DN197" s="564"/>
      <c r="DO197" s="564"/>
      <c r="DP197" s="564"/>
      <c r="DQ197" s="564"/>
      <c r="DR197" s="564"/>
      <c r="DS197" s="564"/>
      <c r="DT197" s="564"/>
      <c r="DU197" s="564"/>
      <c r="DV197" s="564"/>
      <c r="DW197" s="564"/>
      <c r="DX197" s="564"/>
      <c r="DY197" s="564"/>
      <c r="DZ197" s="564" t="s">
        <v>13362</v>
      </c>
      <c r="EA197" s="564"/>
      <c r="EB197" s="564"/>
      <c r="EC197" s="564"/>
      <c r="ED197" s="564"/>
      <c r="EE197" s="564"/>
      <c r="EF197" s="564" t="s">
        <v>13357</v>
      </c>
      <c r="ES197" s="510" t="s">
        <v>13363</v>
      </c>
    </row>
    <row r="198" spans="1:150" s="499" customFormat="1" x14ac:dyDescent="0.2">
      <c r="B198" s="85"/>
      <c r="D198" s="155" t="str">
        <f ca="1">IF(OFFSET(V198,0,Lang_Order*Lang__B4)="","",OFFSET(V198,0,Lang_Order*Lang__B4))</f>
        <v>UCC Only</v>
      </c>
      <c r="J198" s="242" t="e">
        <f>J81*'B5. Last Mile Delivery'!J160/J202</f>
        <v>#N/A</v>
      </c>
      <c r="K198" s="242" t="e">
        <f>K81*'B5. Last Mile Delivery'!K160/'B4. Domestic Logistics'!K202</f>
        <v>#N/A</v>
      </c>
      <c r="L198" s="242" t="e">
        <f>L81*'B5. Last Mile Delivery'!L160/'B4. Domestic Logistics'!L202</f>
        <v>#N/A</v>
      </c>
      <c r="M198" s="242" t="e">
        <f>M81*'B5. Last Mile Delivery'!M160/'B4. Domestic Logistics'!M202</f>
        <v>#N/A</v>
      </c>
      <c r="N198" s="242" t="e">
        <f>N81*'B5. Last Mile Delivery'!N160/'B4. Domestic Logistics'!N202</f>
        <v>#N/A</v>
      </c>
      <c r="O198" s="242" t="e">
        <f>O81*'B5. Last Mile Delivery'!O160/'B4. Domestic Logistics'!O202</f>
        <v>#N/A</v>
      </c>
      <c r="P198" s="4" t="e">
        <f>IF(MAX(J198:O198)&gt;P196,Lang_CHECK,"OK")</f>
        <v>#N/A</v>
      </c>
      <c r="Q198" s="306" t="str">
        <f ca="1">IF(OFFSET(AI198,0,Lang_Order*Lang__B4)="","",OFFSET(AI198,0,Lang_Order*Lang__B4))</f>
        <v>Increase the frequency of shipments per period if any RED arrows seen</v>
      </c>
      <c r="V198" s="564" t="s">
        <v>13351</v>
      </c>
      <c r="W198" s="564"/>
      <c r="X198" s="564"/>
      <c r="Y198" s="564"/>
      <c r="Z198" s="564"/>
      <c r="AA198" s="564"/>
      <c r="AB198" s="564"/>
      <c r="AC198" s="564"/>
      <c r="AD198" s="564"/>
      <c r="AE198" s="564"/>
      <c r="AF198" s="564"/>
      <c r="AG198" s="564"/>
      <c r="AH198" s="564"/>
      <c r="AI198" s="564" t="s">
        <v>4520</v>
      </c>
      <c r="AJ198" s="564"/>
      <c r="AK198" s="564"/>
      <c r="AL198" s="564"/>
      <c r="AM198" s="564"/>
      <c r="AN198" s="564"/>
      <c r="AO198" s="564" t="s">
        <v>13352</v>
      </c>
      <c r="AP198" s="564"/>
      <c r="AQ198" s="564"/>
      <c r="AR198" s="564"/>
      <c r="AS198" s="564"/>
      <c r="AT198" s="564"/>
      <c r="AU198" s="564"/>
      <c r="AV198" s="564"/>
      <c r="AW198" s="564"/>
      <c r="AX198" s="564"/>
      <c r="AY198" s="564"/>
      <c r="AZ198" s="564"/>
      <c r="BA198" s="564"/>
      <c r="BB198" s="564" t="s">
        <v>13358</v>
      </c>
      <c r="BC198" s="564"/>
      <c r="BD198" s="564"/>
      <c r="BE198" s="564"/>
      <c r="BF198" s="564"/>
      <c r="BG198" s="564"/>
      <c r="BH198" s="564" t="s">
        <v>13353</v>
      </c>
      <c r="BI198" s="564"/>
      <c r="BJ198" s="564"/>
      <c r="BK198" s="564"/>
      <c r="BL198" s="564"/>
      <c r="BM198" s="564"/>
      <c r="BN198" s="564"/>
      <c r="BO198" s="564"/>
      <c r="BP198" s="564"/>
      <c r="BQ198" s="564"/>
      <c r="BR198" s="564"/>
      <c r="BS198" s="564"/>
      <c r="BT198" s="564"/>
      <c r="BU198" s="564" t="s">
        <v>13359</v>
      </c>
      <c r="BV198" s="564"/>
      <c r="BW198" s="564"/>
      <c r="BX198" s="564"/>
      <c r="BY198" s="564"/>
      <c r="BZ198" s="564"/>
      <c r="CA198" s="564" t="s">
        <v>13354</v>
      </c>
      <c r="CB198" s="564"/>
      <c r="CC198" s="564"/>
      <c r="CD198" s="564"/>
      <c r="CE198" s="564"/>
      <c r="CF198" s="564"/>
      <c r="CG198" s="564"/>
      <c r="CH198" s="564"/>
      <c r="CI198" s="564"/>
      <c r="CJ198" s="564"/>
      <c r="CK198" s="564"/>
      <c r="CL198" s="564"/>
      <c r="CM198" s="564"/>
      <c r="CN198" s="564" t="s">
        <v>13360</v>
      </c>
      <c r="CO198" s="564"/>
      <c r="CP198" s="564"/>
      <c r="CQ198" s="564"/>
      <c r="CR198" s="564"/>
      <c r="CS198" s="564"/>
      <c r="CT198" s="564" t="s">
        <v>13355</v>
      </c>
      <c r="CU198" s="564"/>
      <c r="CV198" s="564"/>
      <c r="CW198" s="564"/>
      <c r="CX198" s="564"/>
      <c r="CY198" s="564"/>
      <c r="CZ198" s="564"/>
      <c r="DA198" s="564"/>
      <c r="DB198" s="564"/>
      <c r="DC198" s="564"/>
      <c r="DD198" s="564"/>
      <c r="DE198" s="564"/>
      <c r="DF198" s="564"/>
      <c r="DG198" s="564" t="s">
        <v>13361</v>
      </c>
      <c r="DH198" s="564"/>
      <c r="DI198" s="564"/>
      <c r="DJ198" s="564"/>
      <c r="DK198" s="564"/>
      <c r="DL198" s="564"/>
      <c r="DM198" s="564" t="s">
        <v>13356</v>
      </c>
      <c r="DN198" s="564"/>
      <c r="DO198" s="564"/>
      <c r="DP198" s="564"/>
      <c r="DQ198" s="564"/>
      <c r="DR198" s="564"/>
      <c r="DS198" s="564"/>
      <c r="DT198" s="564"/>
      <c r="DU198" s="564"/>
      <c r="DV198" s="564"/>
      <c r="DW198" s="564"/>
      <c r="DX198" s="564"/>
      <c r="DY198" s="564"/>
      <c r="DZ198" s="564" t="s">
        <v>13362</v>
      </c>
      <c r="EA198" s="564"/>
      <c r="EB198" s="564"/>
      <c r="EC198" s="564"/>
      <c r="ED198" s="564"/>
      <c r="EE198" s="564"/>
      <c r="EF198" s="564" t="s">
        <v>13357</v>
      </c>
      <c r="EG198" s="567"/>
      <c r="EH198" s="567"/>
      <c r="EI198" s="567"/>
      <c r="EJ198" s="567"/>
      <c r="EK198" s="567"/>
      <c r="EL198" s="567"/>
      <c r="EM198" s="567"/>
      <c r="EN198" s="567"/>
      <c r="EO198" s="567"/>
      <c r="EP198" s="567"/>
      <c r="EQ198" s="567"/>
      <c r="ER198" s="567"/>
      <c r="ES198" s="567" t="s">
        <v>13363</v>
      </c>
    </row>
    <row r="199" spans="1:150" s="499" customFormat="1" x14ac:dyDescent="0.2">
      <c r="B199" s="85"/>
      <c r="D199" s="155" t="str">
        <f ca="1">IF(OFFSET(V199,0,Lang_Order*Lang__B4)="","",OFFSET(V199,0,Lang_Order*Lang__B4))</f>
        <v>UCC Only</v>
      </c>
      <c r="J199" s="242" t="e">
        <f>J81*'B5. Last Mile Delivery'!J208/'B4. Domestic Logistics'!J202</f>
        <v>#N/A</v>
      </c>
      <c r="K199" s="242" t="e">
        <f>K81*'B5. Last Mile Delivery'!K208/'B4. Domestic Logistics'!K202</f>
        <v>#N/A</v>
      </c>
      <c r="L199" s="242" t="e">
        <f>L81*'B5. Last Mile Delivery'!L208/'B4. Domestic Logistics'!L202</f>
        <v>#N/A</v>
      </c>
      <c r="M199" s="242" t="e">
        <f>M81*'B5. Last Mile Delivery'!M208/'B4. Domestic Logistics'!M202</f>
        <v>#N/A</v>
      </c>
      <c r="N199" s="242" t="e">
        <f>N81*'B5. Last Mile Delivery'!N208/'B4. Domestic Logistics'!N202</f>
        <v>#N/A</v>
      </c>
      <c r="O199" s="242" t="e">
        <f>O81*'B5. Last Mile Delivery'!O208/'B4. Domestic Logistics'!O202</f>
        <v>#N/A</v>
      </c>
      <c r="P199" s="4" t="e">
        <f>IF(MAX(J199:O199)&gt;P196,Lang_CHECK,"OK")</f>
        <v>#N/A</v>
      </c>
      <c r="Q199" s="306" t="str">
        <f ca="1">IF(OFFSET(AI199,0,Lang_Order*Lang__B4)="","",OFFSET(AI199,0,Lang_Order*Lang__B4))</f>
        <v>Increase the frequency of shipments per period if any RED arrows seen</v>
      </c>
      <c r="V199" s="564" t="s">
        <v>13351</v>
      </c>
      <c r="W199" s="564"/>
      <c r="X199" s="564"/>
      <c r="Y199" s="564"/>
      <c r="Z199" s="564"/>
      <c r="AA199" s="564"/>
      <c r="AB199" s="564"/>
      <c r="AC199" s="564"/>
      <c r="AD199" s="564"/>
      <c r="AE199" s="564"/>
      <c r="AF199" s="564"/>
      <c r="AG199" s="564"/>
      <c r="AH199" s="564"/>
      <c r="AI199" s="564" t="s">
        <v>4520</v>
      </c>
      <c r="AJ199" s="564"/>
      <c r="AK199" s="564"/>
      <c r="AL199" s="564"/>
      <c r="AM199" s="564"/>
      <c r="AN199" s="564"/>
      <c r="AO199" s="564" t="s">
        <v>13352</v>
      </c>
      <c r="AP199" s="564"/>
      <c r="AQ199" s="564"/>
      <c r="AR199" s="564"/>
      <c r="AS199" s="564"/>
      <c r="AT199" s="564"/>
      <c r="AU199" s="564"/>
      <c r="AV199" s="564"/>
      <c r="AW199" s="564"/>
      <c r="AX199" s="564"/>
      <c r="AY199" s="564"/>
      <c r="AZ199" s="564"/>
      <c r="BA199" s="564"/>
      <c r="BB199" s="564" t="s">
        <v>13358</v>
      </c>
      <c r="BC199" s="564"/>
      <c r="BD199" s="564"/>
      <c r="BE199" s="564"/>
      <c r="BF199" s="564"/>
      <c r="BG199" s="564"/>
      <c r="BH199" s="564" t="s">
        <v>13353</v>
      </c>
      <c r="BI199" s="564"/>
      <c r="BJ199" s="564"/>
      <c r="BK199" s="564"/>
      <c r="BL199" s="564"/>
      <c r="BM199" s="564"/>
      <c r="BN199" s="564"/>
      <c r="BO199" s="564"/>
      <c r="BP199" s="564"/>
      <c r="BQ199" s="564"/>
      <c r="BR199" s="564"/>
      <c r="BS199" s="564"/>
      <c r="BT199" s="564"/>
      <c r="BU199" s="564" t="s">
        <v>13359</v>
      </c>
      <c r="BV199" s="564"/>
      <c r="BW199" s="564"/>
      <c r="BX199" s="564"/>
      <c r="BY199" s="564"/>
      <c r="BZ199" s="564"/>
      <c r="CA199" s="564" t="s">
        <v>13354</v>
      </c>
      <c r="CB199" s="564"/>
      <c r="CC199" s="564"/>
      <c r="CD199" s="564"/>
      <c r="CE199" s="564"/>
      <c r="CF199" s="564"/>
      <c r="CG199" s="564"/>
      <c r="CH199" s="564"/>
      <c r="CI199" s="564"/>
      <c r="CJ199" s="564"/>
      <c r="CK199" s="564"/>
      <c r="CL199" s="564"/>
      <c r="CM199" s="564"/>
      <c r="CN199" s="564" t="s">
        <v>13360</v>
      </c>
      <c r="CO199" s="564"/>
      <c r="CP199" s="564"/>
      <c r="CQ199" s="564"/>
      <c r="CR199" s="564"/>
      <c r="CS199" s="564"/>
      <c r="CT199" s="564" t="s">
        <v>13355</v>
      </c>
      <c r="CU199" s="564"/>
      <c r="CV199" s="564"/>
      <c r="CW199" s="564"/>
      <c r="CX199" s="564"/>
      <c r="CY199" s="564"/>
      <c r="CZ199" s="564"/>
      <c r="DA199" s="564"/>
      <c r="DB199" s="564"/>
      <c r="DC199" s="564"/>
      <c r="DD199" s="564"/>
      <c r="DE199" s="564"/>
      <c r="DF199" s="564"/>
      <c r="DG199" s="564" t="s">
        <v>13361</v>
      </c>
      <c r="DH199" s="564"/>
      <c r="DI199" s="564"/>
      <c r="DJ199" s="564"/>
      <c r="DK199" s="564"/>
      <c r="DL199" s="564"/>
      <c r="DM199" s="564" t="s">
        <v>13356</v>
      </c>
      <c r="DN199" s="564"/>
      <c r="DO199" s="564"/>
      <c r="DP199" s="564"/>
      <c r="DQ199" s="564"/>
      <c r="DR199" s="564"/>
      <c r="DS199" s="564"/>
      <c r="DT199" s="564"/>
      <c r="DU199" s="564"/>
      <c r="DV199" s="564"/>
      <c r="DW199" s="564"/>
      <c r="DX199" s="564"/>
      <c r="DY199" s="564"/>
      <c r="DZ199" s="564" t="s">
        <v>13362</v>
      </c>
      <c r="EA199" s="564"/>
      <c r="EB199" s="564"/>
      <c r="EC199" s="564"/>
      <c r="ED199" s="564"/>
      <c r="EE199" s="564"/>
      <c r="EF199" s="564" t="s">
        <v>13357</v>
      </c>
      <c r="EG199" s="567"/>
      <c r="EH199" s="567"/>
      <c r="EI199" s="567"/>
      <c r="EJ199" s="567"/>
      <c r="EK199" s="567"/>
      <c r="EL199" s="567"/>
      <c r="EM199" s="567"/>
      <c r="EN199" s="567"/>
      <c r="EO199" s="567"/>
      <c r="EP199" s="567"/>
      <c r="EQ199" s="567"/>
      <c r="ER199" s="567"/>
      <c r="ES199" s="567" t="s">
        <v>13363</v>
      </c>
    </row>
    <row r="200" spans="1:150" s="281" customFormat="1" ht="15" x14ac:dyDescent="0.25">
      <c r="B200" s="567"/>
      <c r="C200" s="499"/>
      <c r="D200" s="499"/>
      <c r="J200" s="292" t="str">
        <f t="shared" ref="J200:P200" ca="1" si="50">IF(OFFSET(AB200,0,Lang_Order*Lang__B4)="","",OFFSET(AB200,0,Lang_Order*Lang__B4))</f>
        <v>H1 2021</v>
      </c>
      <c r="K200" s="292" t="str">
        <f t="shared" ca="1" si="50"/>
        <v>H2 2021</v>
      </c>
      <c r="L200" s="292" t="str">
        <f t="shared" ca="1" si="50"/>
        <v>H1 2022</v>
      </c>
      <c r="M200" s="292" t="str">
        <f t="shared" ca="1" si="50"/>
        <v>H2 2022</v>
      </c>
      <c r="N200" s="292" t="str">
        <f t="shared" ca="1" si="50"/>
        <v>H1 2023</v>
      </c>
      <c r="O200" s="292" t="str">
        <f t="shared" ca="1" si="50"/>
        <v>H2 2023</v>
      </c>
      <c r="P200" s="177" t="str">
        <f t="shared" ca="1" si="50"/>
        <v>Peak in Average District</v>
      </c>
      <c r="R200" s="403"/>
      <c r="S200" s="403"/>
      <c r="T200" s="403"/>
      <c r="U200" s="403" t="s">
        <v>3219</v>
      </c>
      <c r="V200" s="403"/>
      <c r="W200" s="403"/>
      <c r="X200" s="403"/>
      <c r="Y200" s="403"/>
      <c r="Z200" s="403"/>
      <c r="AA200" s="403"/>
      <c r="AB200" s="403" t="s">
        <v>1597</v>
      </c>
      <c r="AC200" s="403" t="s">
        <v>1598</v>
      </c>
      <c r="AD200" s="403" t="s">
        <v>1599</v>
      </c>
      <c r="AE200" s="403" t="s">
        <v>1600</v>
      </c>
      <c r="AF200" s="403" t="s">
        <v>1602</v>
      </c>
      <c r="AG200" s="403" t="s">
        <v>1601</v>
      </c>
      <c r="AH200" s="403" t="s">
        <v>3218</v>
      </c>
      <c r="AI200" s="403"/>
      <c r="AJ200" s="403"/>
      <c r="AK200" s="403"/>
      <c r="AL200" s="403"/>
      <c r="AM200" s="403"/>
      <c r="AN200" s="403" t="s">
        <v>11110</v>
      </c>
      <c r="AO200" s="403"/>
      <c r="AP200" s="403"/>
      <c r="AQ200" s="403"/>
      <c r="AR200" s="403"/>
      <c r="AS200" s="403"/>
      <c r="AT200" s="403"/>
      <c r="AU200" s="403" t="s">
        <v>4663</v>
      </c>
      <c r="AV200" s="403" t="s">
        <v>4664</v>
      </c>
      <c r="AW200" s="403" t="s">
        <v>4665</v>
      </c>
      <c r="AX200" s="403" t="s">
        <v>4666</v>
      </c>
      <c r="AY200" s="403" t="s">
        <v>4667</v>
      </c>
      <c r="AZ200" s="403" t="s">
        <v>4668</v>
      </c>
      <c r="BA200" s="403" t="s">
        <v>11111</v>
      </c>
      <c r="BB200" s="403"/>
      <c r="BC200" s="403"/>
      <c r="BD200" s="403"/>
      <c r="BE200" s="403"/>
      <c r="BF200" s="403"/>
      <c r="BG200" s="403" t="s">
        <v>11112</v>
      </c>
      <c r="BH200" s="403"/>
      <c r="BI200" s="403"/>
      <c r="BJ200" s="403"/>
      <c r="BK200" s="403"/>
      <c r="BL200" s="403"/>
      <c r="BM200" s="403"/>
      <c r="BN200" s="403" t="s">
        <v>4670</v>
      </c>
      <c r="BO200" s="403" t="s">
        <v>4671</v>
      </c>
      <c r="BP200" s="403" t="s">
        <v>4672</v>
      </c>
      <c r="BQ200" s="403" t="s">
        <v>4673</v>
      </c>
      <c r="BR200" s="403" t="s">
        <v>4674</v>
      </c>
      <c r="BS200" s="403" t="s">
        <v>4675</v>
      </c>
      <c r="BT200" s="403" t="s">
        <v>11113</v>
      </c>
      <c r="BU200" s="403"/>
      <c r="BV200" s="403"/>
      <c r="BW200" s="403"/>
      <c r="BX200" s="403"/>
      <c r="BY200" s="403"/>
      <c r="BZ200" s="403" t="s">
        <v>11114</v>
      </c>
      <c r="CA200" s="403"/>
      <c r="CB200" s="403"/>
      <c r="CC200" s="403"/>
      <c r="CD200" s="403"/>
      <c r="CE200" s="403"/>
      <c r="CF200" s="403"/>
      <c r="CG200" s="403" t="s">
        <v>1597</v>
      </c>
      <c r="CH200" s="403" t="s">
        <v>1598</v>
      </c>
      <c r="CI200" s="403" t="s">
        <v>1599</v>
      </c>
      <c r="CJ200" s="403" t="s">
        <v>1600</v>
      </c>
      <c r="CK200" s="403" t="s">
        <v>1602</v>
      </c>
      <c r="CL200" s="403" t="s">
        <v>1601</v>
      </c>
      <c r="CM200" s="403" t="s">
        <v>11115</v>
      </c>
      <c r="CN200" s="403"/>
      <c r="CO200" s="403"/>
      <c r="CP200" s="403"/>
      <c r="CQ200" s="403"/>
      <c r="CR200" s="403"/>
      <c r="CS200" s="403" t="s">
        <v>11116</v>
      </c>
      <c r="CT200" s="403"/>
      <c r="CU200" s="403"/>
      <c r="CV200" s="403"/>
      <c r="CW200" s="403"/>
      <c r="CX200" s="403"/>
      <c r="CY200" s="403"/>
      <c r="CZ200" s="403" t="s">
        <v>4663</v>
      </c>
      <c r="DA200" s="403" t="s">
        <v>4664</v>
      </c>
      <c r="DB200" s="403" t="s">
        <v>4665</v>
      </c>
      <c r="DC200" s="403" t="s">
        <v>4666</v>
      </c>
      <c r="DD200" s="403" t="s">
        <v>4667</v>
      </c>
      <c r="DE200" s="403" t="s">
        <v>4668</v>
      </c>
      <c r="DF200" s="403" t="s">
        <v>11117</v>
      </c>
      <c r="DG200" s="403"/>
      <c r="DH200" s="403"/>
      <c r="DI200" s="403"/>
      <c r="DJ200" s="403"/>
      <c r="DK200" s="403"/>
      <c r="DL200" s="403" t="s">
        <v>11118</v>
      </c>
      <c r="DM200" s="403"/>
      <c r="DN200" s="403"/>
      <c r="DO200" s="403"/>
      <c r="DP200" s="403"/>
      <c r="DQ200" s="403"/>
      <c r="DR200" s="403"/>
      <c r="DS200" s="403" t="s">
        <v>4680</v>
      </c>
      <c r="DT200" s="403" t="s">
        <v>4681</v>
      </c>
      <c r="DU200" s="403" t="s">
        <v>4682</v>
      </c>
      <c r="DV200" s="403" t="s">
        <v>4683</v>
      </c>
      <c r="DW200" s="403" t="s">
        <v>4684</v>
      </c>
      <c r="DX200" s="403" t="s">
        <v>10176</v>
      </c>
      <c r="DY200" s="403" t="s">
        <v>10976</v>
      </c>
      <c r="DZ200" s="403"/>
      <c r="EA200" s="403"/>
      <c r="EB200" s="403"/>
      <c r="EC200" s="403"/>
      <c r="ED200" s="403"/>
      <c r="EE200" s="403" t="s">
        <v>11119</v>
      </c>
      <c r="EF200" s="403"/>
      <c r="EG200" s="403"/>
      <c r="EH200" s="403"/>
      <c r="EI200" s="403"/>
      <c r="EJ200" s="403"/>
      <c r="EK200" s="403"/>
      <c r="EL200" s="403" t="s">
        <v>4688</v>
      </c>
      <c r="EM200" s="403" t="s">
        <v>4689</v>
      </c>
      <c r="EN200" s="403" t="s">
        <v>4690</v>
      </c>
      <c r="EO200" s="403" t="s">
        <v>4691</v>
      </c>
      <c r="EP200" s="403" t="s">
        <v>4692</v>
      </c>
      <c r="EQ200" s="403" t="s">
        <v>4693</v>
      </c>
      <c r="ER200" s="403" t="s">
        <v>11120</v>
      </c>
      <c r="ES200" s="403"/>
      <c r="ET200" s="403"/>
    </row>
    <row r="201" spans="1:150" s="499" customFormat="1" x14ac:dyDescent="0.2">
      <c r="A201" s="350">
        <v>2</v>
      </c>
      <c r="B201" s="85"/>
      <c r="D201" s="5" t="str">
        <f ca="1">IF(OFFSET(V201,0,Lang_Order*Lang__B4)="","",OFFSET(V201,0,Lang_Order*Lang__B4))</f>
        <v>Shipments from regional to district + health facilities per period (User customization)</v>
      </c>
      <c r="J201" s="35"/>
      <c r="K201" s="35"/>
      <c r="L201" s="35"/>
      <c r="M201" s="35"/>
      <c r="N201" s="35"/>
      <c r="O201" s="35"/>
      <c r="P201" s="81" t="str">
        <f t="shared" ref="P201" si="51">Lang_LeaveBlank</f>
        <v>Leave Blank</v>
      </c>
      <c r="Q201" s="157" t="str">
        <f ca="1">IF(OFFSET(AI201,0,Lang_Order*Lang__B4)="","",OFFSET(AI201,0,Lang_Order*Lang__B4))</f>
        <v>Shipments per period can be also specified here for each period separately to optimize.</v>
      </c>
      <c r="V201" s="564" t="s">
        <v>4576</v>
      </c>
      <c r="W201" s="564"/>
      <c r="X201" s="564"/>
      <c r="Y201" s="564"/>
      <c r="Z201" s="564"/>
      <c r="AA201" s="564"/>
      <c r="AB201" s="564"/>
      <c r="AC201" s="564"/>
      <c r="AD201" s="564"/>
      <c r="AE201" s="564"/>
      <c r="AF201" s="564"/>
      <c r="AG201" s="564"/>
      <c r="AH201" s="564"/>
      <c r="AI201" s="564" t="s">
        <v>4515</v>
      </c>
      <c r="AJ201" s="564"/>
      <c r="AK201" s="564"/>
      <c r="AL201" s="564"/>
      <c r="AM201" s="564"/>
      <c r="AN201" s="564"/>
      <c r="AO201" s="564" t="s">
        <v>13364</v>
      </c>
      <c r="AP201" s="564"/>
      <c r="AQ201" s="564"/>
      <c r="AR201" s="564"/>
      <c r="AS201" s="564"/>
      <c r="AT201" s="564"/>
      <c r="AU201" s="564"/>
      <c r="AV201" s="564"/>
      <c r="AW201" s="564"/>
      <c r="AX201" s="564"/>
      <c r="AY201" s="564"/>
      <c r="AZ201" s="564"/>
      <c r="BA201" s="564"/>
      <c r="BB201" s="564" t="s">
        <v>13370</v>
      </c>
      <c r="BC201" s="564"/>
      <c r="BD201" s="564"/>
      <c r="BE201" s="564"/>
      <c r="BF201" s="564"/>
      <c r="BG201" s="564"/>
      <c r="BH201" s="564" t="s">
        <v>13365</v>
      </c>
      <c r="BI201" s="564"/>
      <c r="BJ201" s="564"/>
      <c r="BK201" s="564"/>
      <c r="BL201" s="564"/>
      <c r="BM201" s="564"/>
      <c r="BN201" s="564"/>
      <c r="BO201" s="564"/>
      <c r="BP201" s="564"/>
      <c r="BQ201" s="564"/>
      <c r="BR201" s="564"/>
      <c r="BS201" s="564"/>
      <c r="BT201" s="564"/>
      <c r="BU201" s="564" t="s">
        <v>13328</v>
      </c>
      <c r="BV201" s="564"/>
      <c r="BW201" s="564"/>
      <c r="BX201" s="564"/>
      <c r="BY201" s="564"/>
      <c r="BZ201" s="564"/>
      <c r="CA201" s="564" t="s">
        <v>13366</v>
      </c>
      <c r="CB201" s="564"/>
      <c r="CC201" s="564"/>
      <c r="CD201" s="564"/>
      <c r="CE201" s="564"/>
      <c r="CF201" s="564"/>
      <c r="CG201" s="564"/>
      <c r="CH201" s="564"/>
      <c r="CI201" s="564"/>
      <c r="CJ201" s="564"/>
      <c r="CK201" s="564"/>
      <c r="CL201" s="564"/>
      <c r="CM201" s="564"/>
      <c r="CN201" s="564" t="s">
        <v>13329</v>
      </c>
      <c r="CO201" s="564"/>
      <c r="CP201" s="564"/>
      <c r="CQ201" s="564"/>
      <c r="CR201" s="564"/>
      <c r="CS201" s="564"/>
      <c r="CT201" s="564" t="s">
        <v>13367</v>
      </c>
      <c r="CU201" s="564"/>
      <c r="CV201" s="564"/>
      <c r="CW201" s="564"/>
      <c r="CX201" s="564"/>
      <c r="CY201" s="564"/>
      <c r="CZ201" s="564"/>
      <c r="DA201" s="564"/>
      <c r="DB201" s="564"/>
      <c r="DC201" s="564"/>
      <c r="DD201" s="564"/>
      <c r="DE201" s="564"/>
      <c r="DF201" s="564"/>
      <c r="DG201" s="564" t="s">
        <v>13330</v>
      </c>
      <c r="DH201" s="564"/>
      <c r="DI201" s="564"/>
      <c r="DJ201" s="564"/>
      <c r="DK201" s="564"/>
      <c r="DL201" s="564"/>
      <c r="DM201" s="564" t="s">
        <v>13368</v>
      </c>
      <c r="DN201" s="564"/>
      <c r="DO201" s="564"/>
      <c r="DP201" s="564"/>
      <c r="DQ201" s="564"/>
      <c r="DR201" s="564"/>
      <c r="DS201" s="564"/>
      <c r="DT201" s="564"/>
      <c r="DU201" s="564"/>
      <c r="DV201" s="564"/>
      <c r="DW201" s="564"/>
      <c r="DX201" s="564"/>
      <c r="DY201" s="564"/>
      <c r="DZ201" s="564" t="s">
        <v>13331</v>
      </c>
      <c r="EA201" s="564"/>
      <c r="EB201" s="564"/>
      <c r="EC201" s="564"/>
      <c r="ED201" s="564"/>
      <c r="EE201" s="564"/>
      <c r="EF201" s="564" t="s">
        <v>13369</v>
      </c>
      <c r="EG201" s="564"/>
      <c r="EH201" s="564"/>
      <c r="EI201" s="564"/>
      <c r="EJ201" s="564"/>
      <c r="EK201" s="564"/>
      <c r="EL201" s="564"/>
      <c r="EM201" s="564"/>
      <c r="EN201" s="564"/>
      <c r="EO201" s="564"/>
      <c r="EP201" s="564"/>
      <c r="EQ201" s="564"/>
      <c r="ER201" s="564"/>
      <c r="ES201" s="564" t="s">
        <v>13332</v>
      </c>
    </row>
    <row r="202" spans="1:150" s="299" customFormat="1" x14ac:dyDescent="0.2">
      <c r="B202" s="51" t="str">
        <f ca="1">IF(OFFSET(T202,0,Lang_Order*Lang__B4)="","",OFFSET(T202,0,Lang_Order*Lang__B4))</f>
        <v>Volume of COVID-19 vaccines in secondary packaging (liters) per Shipment, incl. buffer [PER DISTRICT]</v>
      </c>
      <c r="J202" s="2">
        <f t="shared" ref="J202:O202" si="52">IF(ISBLANK(J201),Vaccine_Supplies_District_PerPeriod,J201)</f>
        <v>2</v>
      </c>
      <c r="K202" s="2">
        <f t="shared" si="52"/>
        <v>2</v>
      </c>
      <c r="L202" s="2">
        <f t="shared" si="52"/>
        <v>2</v>
      </c>
      <c r="M202" s="2">
        <f t="shared" si="52"/>
        <v>2</v>
      </c>
      <c r="N202" s="2">
        <f t="shared" si="52"/>
        <v>2</v>
      </c>
      <c r="O202" s="2">
        <f t="shared" si="52"/>
        <v>2</v>
      </c>
      <c r="R202" s="403"/>
      <c r="S202" s="403"/>
      <c r="T202" s="403" t="s">
        <v>3626</v>
      </c>
      <c r="U202" s="403"/>
      <c r="V202" s="403"/>
      <c r="W202" s="403"/>
      <c r="X202" s="403"/>
      <c r="Y202" s="403"/>
      <c r="Z202" s="403"/>
      <c r="AA202" s="403"/>
      <c r="AB202" s="403"/>
      <c r="AC202" s="403"/>
      <c r="AD202" s="403"/>
      <c r="AE202" s="403"/>
      <c r="AF202" s="403"/>
      <c r="AG202" s="403"/>
      <c r="AH202" s="403"/>
      <c r="AI202" s="403"/>
      <c r="AJ202" s="403"/>
      <c r="AK202" s="403"/>
      <c r="AL202" s="403"/>
      <c r="AM202" s="403" t="s">
        <v>11121</v>
      </c>
      <c r="AN202" s="403"/>
      <c r="AO202" s="403"/>
      <c r="AP202" s="403"/>
      <c r="AQ202" s="403"/>
      <c r="AR202" s="403"/>
      <c r="AS202" s="403"/>
      <c r="AT202" s="403"/>
      <c r="AU202" s="403"/>
      <c r="AV202" s="403"/>
      <c r="AW202" s="403"/>
      <c r="AX202" s="403"/>
      <c r="AY202" s="403"/>
      <c r="AZ202" s="403"/>
      <c r="BA202" s="403"/>
      <c r="BB202" s="403"/>
      <c r="BC202" s="403"/>
      <c r="BD202" s="403"/>
      <c r="BE202" s="403"/>
      <c r="BF202" s="403" t="s">
        <v>11122</v>
      </c>
      <c r="BG202" s="403"/>
      <c r="BH202" s="403"/>
      <c r="BI202" s="403"/>
      <c r="BJ202" s="403"/>
      <c r="BK202" s="403"/>
      <c r="BL202" s="403"/>
      <c r="BM202" s="403"/>
      <c r="BN202" s="403"/>
      <c r="BO202" s="403"/>
      <c r="BP202" s="403"/>
      <c r="BQ202" s="403"/>
      <c r="BR202" s="403"/>
      <c r="BS202" s="403"/>
      <c r="BT202" s="403"/>
      <c r="BU202" s="403"/>
      <c r="BV202" s="403"/>
      <c r="BW202" s="403"/>
      <c r="BX202" s="403"/>
      <c r="BY202" s="403" t="s">
        <v>11123</v>
      </c>
      <c r="BZ202" s="403"/>
      <c r="CA202" s="403"/>
      <c r="CB202" s="403"/>
      <c r="CC202" s="403"/>
      <c r="CD202" s="403"/>
      <c r="CE202" s="403"/>
      <c r="CF202" s="403"/>
      <c r="CG202" s="403"/>
      <c r="CH202" s="403"/>
      <c r="CI202" s="403"/>
      <c r="CJ202" s="403"/>
      <c r="CK202" s="403"/>
      <c r="CL202" s="403"/>
      <c r="CM202" s="403"/>
      <c r="CN202" s="403"/>
      <c r="CO202" s="403"/>
      <c r="CP202" s="403"/>
      <c r="CQ202" s="403"/>
      <c r="CR202" s="403" t="s">
        <v>11124</v>
      </c>
      <c r="CS202" s="403"/>
      <c r="CT202" s="403"/>
      <c r="CU202" s="403"/>
      <c r="CV202" s="403"/>
      <c r="CW202" s="403"/>
      <c r="CX202" s="403"/>
      <c r="CY202" s="403"/>
      <c r="CZ202" s="403"/>
      <c r="DA202" s="403"/>
      <c r="DB202" s="403"/>
      <c r="DC202" s="403"/>
      <c r="DD202" s="403"/>
      <c r="DE202" s="403"/>
      <c r="DF202" s="403"/>
      <c r="DG202" s="403"/>
      <c r="DH202" s="403"/>
      <c r="DI202" s="403"/>
      <c r="DJ202" s="403"/>
      <c r="DK202" s="403" t="s">
        <v>11125</v>
      </c>
      <c r="DL202" s="403"/>
      <c r="DM202" s="403"/>
      <c r="DN202" s="403"/>
      <c r="DO202" s="403"/>
      <c r="DP202" s="403"/>
      <c r="DQ202" s="403"/>
      <c r="DR202" s="403"/>
      <c r="DS202" s="403"/>
      <c r="DT202" s="403"/>
      <c r="DU202" s="403"/>
      <c r="DV202" s="403"/>
      <c r="DW202" s="403"/>
      <c r="DX202" s="403"/>
      <c r="DY202" s="403"/>
      <c r="DZ202" s="403"/>
      <c r="EA202" s="403"/>
      <c r="EB202" s="403"/>
      <c r="EC202" s="403"/>
      <c r="ED202" s="403" t="s">
        <v>11126</v>
      </c>
      <c r="EE202" s="403"/>
      <c r="EF202" s="403"/>
      <c r="EG202" s="403"/>
      <c r="EH202" s="403"/>
      <c r="EI202" s="403"/>
      <c r="EJ202" s="403"/>
      <c r="EK202" s="403"/>
      <c r="EL202" s="403"/>
      <c r="EM202" s="403"/>
      <c r="EN202" s="403"/>
      <c r="EO202" s="403"/>
      <c r="EP202" s="403"/>
      <c r="EQ202" s="403"/>
      <c r="ER202" s="403"/>
      <c r="ES202" s="403"/>
      <c r="ET202" s="403"/>
    </row>
    <row r="203" spans="1:150" s="299" customFormat="1" x14ac:dyDescent="0.2">
      <c r="B203" s="34"/>
      <c r="C203" s="5"/>
      <c r="D203" s="2" t="str">
        <f ca="1">IF(OFFSET(V203,0,Lang_Order*Lang__B4)="","",OFFSET(V203,0,Lang_Order*Lang__B4))</f>
        <v>Cold storage requirements</v>
      </c>
      <c r="E203" s="2" t="s">
        <v>1542</v>
      </c>
      <c r="F203" s="90" t="str">
        <f ca="1">C210</f>
        <v>Room temperature</v>
      </c>
      <c r="G203" s="90" t="str">
        <f ca="1">C211</f>
        <v>Refrigerated (2 to 8C)</v>
      </c>
      <c r="H203" s="90" t="str">
        <f ca="1">C212</f>
        <v>Frozen (-20C)</v>
      </c>
      <c r="I203" s="90" t="e">
        <f>#REF!</f>
        <v>#REF!</v>
      </c>
      <c r="J203" s="16" t="s">
        <v>2642</v>
      </c>
      <c r="K203" s="16"/>
      <c r="L203" s="16"/>
      <c r="M203" s="16"/>
      <c r="N203" s="16"/>
      <c r="O203" s="16"/>
      <c r="P203" s="16"/>
      <c r="Q203" s="16"/>
      <c r="R203" s="403"/>
      <c r="S203" s="403"/>
      <c r="T203" s="403"/>
      <c r="U203" s="403"/>
      <c r="V203" s="403" t="s">
        <v>3194</v>
      </c>
      <c r="W203" s="403"/>
      <c r="X203" s="403"/>
      <c r="Y203" s="403"/>
      <c r="Z203" s="403"/>
      <c r="AA203" s="403"/>
      <c r="AB203" s="403"/>
      <c r="AC203" s="403"/>
      <c r="AD203" s="403"/>
      <c r="AE203" s="403"/>
      <c r="AF203" s="403"/>
      <c r="AG203" s="403"/>
      <c r="AH203" s="403"/>
      <c r="AI203" s="403"/>
      <c r="AJ203" s="403"/>
      <c r="AK203" s="403"/>
      <c r="AL203" s="403"/>
      <c r="AM203" s="403"/>
      <c r="AN203" s="403"/>
      <c r="AO203" s="403" t="s">
        <v>10217</v>
      </c>
      <c r="AP203" s="403"/>
      <c r="AQ203" s="403"/>
      <c r="AR203" s="403"/>
      <c r="AS203" s="403"/>
      <c r="AT203" s="403"/>
      <c r="AU203" s="403"/>
      <c r="AV203" s="403"/>
      <c r="AW203" s="403"/>
      <c r="AX203" s="403"/>
      <c r="AY203" s="403"/>
      <c r="AZ203" s="403"/>
      <c r="BA203" s="403"/>
      <c r="BB203" s="403"/>
      <c r="BC203" s="403"/>
      <c r="BD203" s="403"/>
      <c r="BE203" s="403"/>
      <c r="BF203" s="403"/>
      <c r="BG203" s="403"/>
      <c r="BH203" s="403" t="s">
        <v>10791</v>
      </c>
      <c r="BI203" s="403"/>
      <c r="BJ203" s="403"/>
      <c r="BK203" s="403"/>
      <c r="BL203" s="403"/>
      <c r="BM203" s="403"/>
      <c r="BN203" s="403"/>
      <c r="BO203" s="403"/>
      <c r="BP203" s="403"/>
      <c r="BQ203" s="403"/>
      <c r="BR203" s="403"/>
      <c r="BS203" s="403"/>
      <c r="BT203" s="403"/>
      <c r="BU203" s="403"/>
      <c r="BV203" s="403"/>
      <c r="BW203" s="403"/>
      <c r="BX203" s="403"/>
      <c r="BY203" s="403"/>
      <c r="BZ203" s="403"/>
      <c r="CA203" s="403" t="s">
        <v>10699</v>
      </c>
      <c r="CB203" s="403"/>
      <c r="CC203" s="403"/>
      <c r="CD203" s="403"/>
      <c r="CE203" s="403"/>
      <c r="CF203" s="403"/>
      <c r="CG203" s="403"/>
      <c r="CH203" s="403"/>
      <c r="CI203" s="403"/>
      <c r="CJ203" s="403"/>
      <c r="CK203" s="403"/>
      <c r="CL203" s="403"/>
      <c r="CM203" s="403"/>
      <c r="CN203" s="403"/>
      <c r="CO203" s="403"/>
      <c r="CP203" s="403"/>
      <c r="CQ203" s="403"/>
      <c r="CR203" s="403"/>
      <c r="CS203" s="403"/>
      <c r="CT203" s="403" t="s">
        <v>10242</v>
      </c>
      <c r="CU203" s="403"/>
      <c r="CV203" s="403"/>
      <c r="CW203" s="403"/>
      <c r="CX203" s="403"/>
      <c r="CY203" s="403"/>
      <c r="CZ203" s="403"/>
      <c r="DA203" s="403"/>
      <c r="DB203" s="403"/>
      <c r="DC203" s="403"/>
      <c r="DD203" s="403"/>
      <c r="DE203" s="403"/>
      <c r="DF203" s="403"/>
      <c r="DG203" s="403"/>
      <c r="DH203" s="403"/>
      <c r="DI203" s="403"/>
      <c r="DJ203" s="403"/>
      <c r="DK203" s="403"/>
      <c r="DL203" s="403"/>
      <c r="DM203" s="403" t="s">
        <v>10246</v>
      </c>
      <c r="DN203" s="403"/>
      <c r="DO203" s="403"/>
      <c r="DP203" s="403"/>
      <c r="DQ203" s="403"/>
      <c r="DR203" s="403"/>
      <c r="DS203" s="403"/>
      <c r="DT203" s="403"/>
      <c r="DU203" s="403"/>
      <c r="DV203" s="403"/>
      <c r="DW203" s="403"/>
      <c r="DX203" s="403"/>
      <c r="DY203" s="403"/>
      <c r="DZ203" s="403"/>
      <c r="EA203" s="403"/>
      <c r="EB203" s="403"/>
      <c r="EC203" s="403"/>
      <c r="ED203" s="403"/>
      <c r="EE203" s="403"/>
      <c r="EF203" s="403" t="s">
        <v>10254</v>
      </c>
      <c r="EG203" s="403"/>
      <c r="EH203" s="403"/>
      <c r="EI203" s="403"/>
      <c r="EJ203" s="403"/>
      <c r="EK203" s="403"/>
      <c r="EL203" s="403"/>
      <c r="EM203" s="403"/>
      <c r="EN203" s="403"/>
      <c r="EO203" s="403"/>
      <c r="EP203" s="403"/>
      <c r="EQ203" s="403"/>
      <c r="ER203" s="403"/>
      <c r="ES203" s="403"/>
      <c r="ET203" s="403"/>
    </row>
    <row r="204" spans="1:150" s="299" customFormat="1" x14ac:dyDescent="0.2">
      <c r="B204" s="165">
        <v>-7</v>
      </c>
      <c r="C204" s="23" t="str">
        <f>CONCATENATE("",DM1_Vaccine)</f>
        <v/>
      </c>
      <c r="D204" s="3" t="e">
        <f>VLOOKUP(DM1_Vaccine,'T1. Vaccines'!$C$8:$AD$37,E204,FALSE)</f>
        <v>#N/A</v>
      </c>
      <c r="E204" s="2">
        <f ca="1">OFFSET(_Offset_Index_VaccineSupplies_Index,0,B204)</f>
        <v>9</v>
      </c>
      <c r="F204" s="2" t="e">
        <f t="shared" ref="F204:I207" si="53">IF($D204=F$94,1,0)</f>
        <v>#N/A</v>
      </c>
      <c r="G204" s="2" t="e">
        <f t="shared" si="53"/>
        <v>#N/A</v>
      </c>
      <c r="H204" s="2" t="e">
        <f t="shared" si="53"/>
        <v>#N/A</v>
      </c>
      <c r="I204" s="2" t="e">
        <f t="shared" si="53"/>
        <v>#N/A</v>
      </c>
      <c r="J204" s="146" t="e">
        <f t="shared" ref="J204:O207" si="54">J46/(J$202*District_Stores)</f>
        <v>#N/A</v>
      </c>
      <c r="K204" s="146" t="e">
        <f t="shared" si="54"/>
        <v>#N/A</v>
      </c>
      <c r="L204" s="146" t="e">
        <f t="shared" si="54"/>
        <v>#N/A</v>
      </c>
      <c r="M204" s="146" t="e">
        <f t="shared" si="54"/>
        <v>#N/A</v>
      </c>
      <c r="N204" s="146" t="e">
        <f t="shared" si="54"/>
        <v>#N/A</v>
      </c>
      <c r="O204" s="146" t="e">
        <f t="shared" si="54"/>
        <v>#N/A</v>
      </c>
      <c r="Q204" s="16"/>
      <c r="R204" s="403"/>
      <c r="S204" s="403"/>
      <c r="T204" s="403"/>
      <c r="U204" s="403"/>
      <c r="V204" s="403"/>
      <c r="W204" s="403"/>
      <c r="X204" s="403"/>
      <c r="Y204" s="403"/>
      <c r="Z204" s="403"/>
      <c r="AA204" s="403"/>
      <c r="AB204" s="403"/>
      <c r="AC204" s="403"/>
      <c r="AD204" s="403"/>
      <c r="AE204" s="403"/>
      <c r="AF204" s="403"/>
      <c r="AG204" s="403"/>
      <c r="AH204" s="403"/>
      <c r="AI204" s="403"/>
      <c r="AJ204" s="403"/>
      <c r="AK204" s="403"/>
      <c r="AL204" s="403"/>
      <c r="AM204" s="403"/>
      <c r="AN204" s="403"/>
      <c r="AO204" s="403"/>
      <c r="AP204" s="403"/>
      <c r="AQ204" s="403"/>
      <c r="AR204" s="403"/>
      <c r="AS204" s="403"/>
      <c r="AT204" s="403"/>
      <c r="AU204" s="403"/>
      <c r="AV204" s="403"/>
      <c r="AW204" s="403"/>
      <c r="AX204" s="403"/>
      <c r="AY204" s="403"/>
      <c r="AZ204" s="403"/>
      <c r="BA204" s="403"/>
      <c r="BB204" s="403"/>
      <c r="BC204" s="403"/>
      <c r="BD204" s="403"/>
      <c r="BE204" s="403"/>
      <c r="BF204" s="403"/>
      <c r="BG204" s="403"/>
      <c r="BH204" s="403"/>
      <c r="BI204" s="403"/>
      <c r="BJ204" s="403"/>
      <c r="BK204" s="403"/>
      <c r="BL204" s="403"/>
      <c r="BM204" s="403"/>
      <c r="BN204" s="403"/>
      <c r="BO204" s="403"/>
      <c r="BP204" s="403"/>
      <c r="BQ204" s="403"/>
      <c r="BR204" s="403"/>
      <c r="BS204" s="403"/>
      <c r="BT204" s="403"/>
      <c r="BU204" s="403"/>
      <c r="BV204" s="403"/>
      <c r="BW204" s="403"/>
      <c r="BX204" s="403"/>
      <c r="BY204" s="403"/>
      <c r="BZ204" s="403"/>
      <c r="CA204" s="403"/>
      <c r="CB204" s="403"/>
      <c r="CC204" s="403"/>
      <c r="CD204" s="403"/>
      <c r="CE204" s="403"/>
      <c r="CF204" s="403"/>
      <c r="CG204" s="403"/>
      <c r="CH204" s="403"/>
      <c r="CI204" s="403"/>
      <c r="CJ204" s="403"/>
      <c r="CK204" s="403"/>
      <c r="CL204" s="403"/>
      <c r="CM204" s="403"/>
      <c r="CN204" s="403"/>
      <c r="CO204" s="403"/>
      <c r="CP204" s="403"/>
      <c r="CQ204" s="403"/>
      <c r="CR204" s="403"/>
      <c r="CS204" s="403"/>
      <c r="CT204" s="403"/>
      <c r="CU204" s="403"/>
      <c r="CV204" s="403"/>
      <c r="CW204" s="403"/>
      <c r="CX204" s="403"/>
      <c r="CY204" s="403"/>
      <c r="CZ204" s="403"/>
      <c r="DA204" s="403"/>
      <c r="DB204" s="403"/>
      <c r="DC204" s="403"/>
      <c r="DD204" s="403"/>
      <c r="DE204" s="403"/>
      <c r="DF204" s="403"/>
      <c r="DG204" s="403"/>
      <c r="DH204" s="403"/>
      <c r="DI204" s="403"/>
      <c r="DJ204" s="403"/>
      <c r="DK204" s="403"/>
      <c r="DL204" s="403"/>
      <c r="DM204" s="403"/>
      <c r="DN204" s="403"/>
      <c r="DO204" s="403"/>
      <c r="DP204" s="403"/>
      <c r="DQ204" s="403"/>
      <c r="DR204" s="403"/>
      <c r="DS204" s="403"/>
      <c r="DT204" s="403"/>
      <c r="DU204" s="403"/>
      <c r="DV204" s="403"/>
      <c r="DW204" s="403"/>
      <c r="DX204" s="403"/>
      <c r="DY204" s="403"/>
      <c r="DZ204" s="403"/>
      <c r="EA204" s="403"/>
      <c r="EB204" s="403"/>
      <c r="EC204" s="403"/>
      <c r="ED204" s="403"/>
      <c r="EE204" s="403"/>
      <c r="EF204" s="403"/>
      <c r="EG204" s="403"/>
      <c r="EH204" s="403"/>
      <c r="EI204" s="403"/>
      <c r="EJ204" s="403"/>
      <c r="EK204" s="403"/>
      <c r="EL204" s="403"/>
      <c r="EM204" s="403"/>
      <c r="EN204" s="403"/>
      <c r="EO204" s="403"/>
      <c r="EP204" s="403"/>
      <c r="EQ204" s="403"/>
      <c r="ER204" s="403"/>
      <c r="ES204" s="403"/>
      <c r="ET204" s="403"/>
    </row>
    <row r="205" spans="1:150" s="299" customFormat="1" x14ac:dyDescent="0.2">
      <c r="B205" s="165">
        <v>-7</v>
      </c>
      <c r="C205" s="23" t="str">
        <f>CONCATENATE("",DM2_Vaccine)</f>
        <v/>
      </c>
      <c r="D205" s="3" t="e">
        <f>VLOOKUP(DM2_Vaccine,'T1. Vaccines'!$C$8:$AD$37,E205,FALSE)</f>
        <v>#N/A</v>
      </c>
      <c r="E205" s="2">
        <f ca="1">OFFSET(_Offset_Index_VaccineSupplies_Index,0,B205)</f>
        <v>9</v>
      </c>
      <c r="F205" s="2" t="e">
        <f t="shared" si="53"/>
        <v>#N/A</v>
      </c>
      <c r="G205" s="2" t="e">
        <f t="shared" si="53"/>
        <v>#N/A</v>
      </c>
      <c r="H205" s="2" t="e">
        <f t="shared" si="53"/>
        <v>#N/A</v>
      </c>
      <c r="I205" s="2" t="e">
        <f t="shared" si="53"/>
        <v>#N/A</v>
      </c>
      <c r="J205" s="146" t="e">
        <f t="shared" si="54"/>
        <v>#N/A</v>
      </c>
      <c r="K205" s="146" t="e">
        <f t="shared" si="54"/>
        <v>#N/A</v>
      </c>
      <c r="L205" s="146" t="e">
        <f t="shared" si="54"/>
        <v>#N/A</v>
      </c>
      <c r="M205" s="146" t="e">
        <f t="shared" si="54"/>
        <v>#N/A</v>
      </c>
      <c r="N205" s="146" t="e">
        <f t="shared" si="54"/>
        <v>#N/A</v>
      </c>
      <c r="O205" s="146" t="e">
        <f t="shared" si="54"/>
        <v>#N/A</v>
      </c>
      <c r="Q205" s="16"/>
      <c r="R205" s="403"/>
      <c r="S205" s="403"/>
      <c r="T205" s="403"/>
      <c r="U205" s="403"/>
      <c r="V205" s="403"/>
      <c r="W205" s="403"/>
      <c r="X205" s="403"/>
      <c r="Y205" s="403"/>
      <c r="Z205" s="403"/>
      <c r="AA205" s="403"/>
      <c r="AB205" s="403"/>
      <c r="AC205" s="403"/>
      <c r="AD205" s="403"/>
      <c r="AE205" s="403"/>
      <c r="AF205" s="403"/>
      <c r="AG205" s="403"/>
      <c r="AH205" s="403"/>
      <c r="AI205" s="403"/>
      <c r="AJ205" s="403"/>
      <c r="AK205" s="403"/>
      <c r="AL205" s="403"/>
      <c r="AM205" s="403"/>
      <c r="AN205" s="403"/>
      <c r="AO205" s="403"/>
      <c r="AP205" s="403"/>
      <c r="AQ205" s="403"/>
      <c r="AR205" s="403"/>
      <c r="AS205" s="403"/>
      <c r="AT205" s="403"/>
      <c r="AU205" s="403"/>
      <c r="AV205" s="403"/>
      <c r="AW205" s="403"/>
      <c r="AX205" s="403"/>
      <c r="AY205" s="403"/>
      <c r="AZ205" s="403"/>
      <c r="BA205" s="403"/>
      <c r="BB205" s="403"/>
      <c r="BC205" s="403"/>
      <c r="BD205" s="403"/>
      <c r="BE205" s="403"/>
      <c r="BF205" s="403"/>
      <c r="BG205" s="403"/>
      <c r="BH205" s="403"/>
      <c r="BI205" s="403"/>
      <c r="BJ205" s="403"/>
      <c r="BK205" s="403"/>
      <c r="BL205" s="403"/>
      <c r="BM205" s="403"/>
      <c r="BN205" s="403"/>
      <c r="BO205" s="403"/>
      <c r="BP205" s="403"/>
      <c r="BQ205" s="403"/>
      <c r="BR205" s="403"/>
      <c r="BS205" s="403"/>
      <c r="BT205" s="403"/>
      <c r="BU205" s="403"/>
      <c r="BV205" s="403"/>
      <c r="BW205" s="403"/>
      <c r="BX205" s="403"/>
      <c r="BY205" s="403"/>
      <c r="BZ205" s="403"/>
      <c r="CA205" s="403"/>
      <c r="CB205" s="403"/>
      <c r="CC205" s="403"/>
      <c r="CD205" s="403"/>
      <c r="CE205" s="403"/>
      <c r="CF205" s="403"/>
      <c r="CG205" s="403"/>
      <c r="CH205" s="403"/>
      <c r="CI205" s="403"/>
      <c r="CJ205" s="403"/>
      <c r="CK205" s="403"/>
      <c r="CL205" s="403"/>
      <c r="CM205" s="403"/>
      <c r="CN205" s="403"/>
      <c r="CO205" s="403"/>
      <c r="CP205" s="403"/>
      <c r="CQ205" s="403"/>
      <c r="CR205" s="403"/>
      <c r="CS205" s="403"/>
      <c r="CT205" s="403"/>
      <c r="CU205" s="403"/>
      <c r="CV205" s="403"/>
      <c r="CW205" s="403"/>
      <c r="CX205" s="403"/>
      <c r="CY205" s="403"/>
      <c r="CZ205" s="403"/>
      <c r="DA205" s="403"/>
      <c r="DB205" s="403"/>
      <c r="DC205" s="403"/>
      <c r="DD205" s="403"/>
      <c r="DE205" s="403"/>
      <c r="DF205" s="403"/>
      <c r="DG205" s="403"/>
      <c r="DH205" s="403"/>
      <c r="DI205" s="403"/>
      <c r="DJ205" s="403"/>
      <c r="DK205" s="403"/>
      <c r="DL205" s="403"/>
      <c r="DM205" s="403"/>
      <c r="DN205" s="403"/>
      <c r="DO205" s="403"/>
      <c r="DP205" s="403"/>
      <c r="DQ205" s="403"/>
      <c r="DR205" s="403"/>
      <c r="DS205" s="403"/>
      <c r="DT205" s="403"/>
      <c r="DU205" s="403"/>
      <c r="DV205" s="403"/>
      <c r="DW205" s="403"/>
      <c r="DX205" s="403"/>
      <c r="DY205" s="403"/>
      <c r="DZ205" s="403"/>
      <c r="EA205" s="403"/>
      <c r="EB205" s="403"/>
      <c r="EC205" s="403"/>
      <c r="ED205" s="403"/>
      <c r="EE205" s="403"/>
      <c r="EF205" s="403"/>
      <c r="EG205" s="403"/>
      <c r="EH205" s="403"/>
      <c r="EI205" s="403"/>
      <c r="EJ205" s="403"/>
      <c r="EK205" s="403"/>
      <c r="EL205" s="403"/>
      <c r="EM205" s="403"/>
      <c r="EN205" s="403"/>
      <c r="EO205" s="403"/>
      <c r="EP205" s="403"/>
      <c r="EQ205" s="403"/>
      <c r="ER205" s="403"/>
      <c r="ES205" s="403"/>
      <c r="ET205" s="403"/>
    </row>
    <row r="206" spans="1:150" s="299" customFormat="1" x14ac:dyDescent="0.2">
      <c r="B206" s="165">
        <v>-7</v>
      </c>
      <c r="C206" s="23" t="str">
        <f>CONCATENATE("",DM3_Vaccine)</f>
        <v/>
      </c>
      <c r="D206" s="3" t="e">
        <f>VLOOKUP(DM3_Vaccine,'T1. Vaccines'!$C$8:$AD$37,E206,FALSE)</f>
        <v>#N/A</v>
      </c>
      <c r="E206" s="2">
        <f ca="1">OFFSET(_Offset_Index_VaccineSupplies_Index,0,B206)</f>
        <v>9</v>
      </c>
      <c r="F206" s="2" t="e">
        <f t="shared" si="53"/>
        <v>#N/A</v>
      </c>
      <c r="G206" s="2" t="e">
        <f t="shared" si="53"/>
        <v>#N/A</v>
      </c>
      <c r="H206" s="2" t="e">
        <f t="shared" si="53"/>
        <v>#N/A</v>
      </c>
      <c r="I206" s="2" t="e">
        <f t="shared" si="53"/>
        <v>#N/A</v>
      </c>
      <c r="J206" s="146" t="e">
        <f t="shared" si="54"/>
        <v>#N/A</v>
      </c>
      <c r="K206" s="146" t="e">
        <f t="shared" si="54"/>
        <v>#N/A</v>
      </c>
      <c r="L206" s="146" t="e">
        <f t="shared" si="54"/>
        <v>#N/A</v>
      </c>
      <c r="M206" s="146" t="e">
        <f t="shared" si="54"/>
        <v>#N/A</v>
      </c>
      <c r="N206" s="146" t="e">
        <f t="shared" si="54"/>
        <v>#N/A</v>
      </c>
      <c r="O206" s="146" t="e">
        <f t="shared" si="54"/>
        <v>#N/A</v>
      </c>
      <c r="Q206" s="16"/>
      <c r="R206" s="403"/>
      <c r="S206" s="403"/>
      <c r="T206" s="403"/>
      <c r="U206" s="403"/>
      <c r="V206" s="403"/>
      <c r="W206" s="403"/>
      <c r="X206" s="403"/>
      <c r="Y206" s="403"/>
      <c r="Z206" s="403"/>
      <c r="AA206" s="403"/>
      <c r="AB206" s="403"/>
      <c r="AC206" s="403"/>
      <c r="AD206" s="403"/>
      <c r="AE206" s="403"/>
      <c r="AF206" s="403"/>
      <c r="AG206" s="403"/>
      <c r="AH206" s="403"/>
      <c r="AI206" s="403"/>
      <c r="AJ206" s="403"/>
      <c r="AK206" s="403"/>
      <c r="AL206" s="403"/>
      <c r="AM206" s="403"/>
      <c r="AN206" s="403"/>
      <c r="AO206" s="403"/>
      <c r="AP206" s="403"/>
      <c r="AQ206" s="403"/>
      <c r="AR206" s="403"/>
      <c r="AS206" s="403"/>
      <c r="AT206" s="403"/>
      <c r="AU206" s="403"/>
      <c r="AV206" s="403"/>
      <c r="AW206" s="403"/>
      <c r="AX206" s="403"/>
      <c r="AY206" s="403"/>
      <c r="AZ206" s="403"/>
      <c r="BA206" s="403"/>
      <c r="BB206" s="403"/>
      <c r="BC206" s="403"/>
      <c r="BD206" s="403"/>
      <c r="BE206" s="403"/>
      <c r="BF206" s="403"/>
      <c r="BG206" s="403"/>
      <c r="BH206" s="403"/>
      <c r="BI206" s="403"/>
      <c r="BJ206" s="403"/>
      <c r="BK206" s="403"/>
      <c r="BL206" s="403"/>
      <c r="BM206" s="403"/>
      <c r="BN206" s="403"/>
      <c r="BO206" s="403"/>
      <c r="BP206" s="403"/>
      <c r="BQ206" s="403"/>
      <c r="BR206" s="403"/>
      <c r="BS206" s="403"/>
      <c r="BT206" s="403"/>
      <c r="BU206" s="403"/>
      <c r="BV206" s="403"/>
      <c r="BW206" s="403"/>
      <c r="BX206" s="403"/>
      <c r="BY206" s="403"/>
      <c r="BZ206" s="403"/>
      <c r="CA206" s="403"/>
      <c r="CB206" s="403"/>
      <c r="CC206" s="403"/>
      <c r="CD206" s="403"/>
      <c r="CE206" s="403"/>
      <c r="CF206" s="403"/>
      <c r="CG206" s="403"/>
      <c r="CH206" s="403"/>
      <c r="CI206" s="403"/>
      <c r="CJ206" s="403"/>
      <c r="CK206" s="403"/>
      <c r="CL206" s="403"/>
      <c r="CM206" s="403"/>
      <c r="CN206" s="403"/>
      <c r="CO206" s="403"/>
      <c r="CP206" s="403"/>
      <c r="CQ206" s="403"/>
      <c r="CR206" s="403"/>
      <c r="CS206" s="403"/>
      <c r="CT206" s="403"/>
      <c r="CU206" s="403"/>
      <c r="CV206" s="403"/>
      <c r="CW206" s="403"/>
      <c r="CX206" s="403"/>
      <c r="CY206" s="403"/>
      <c r="CZ206" s="403"/>
      <c r="DA206" s="403"/>
      <c r="DB206" s="403"/>
      <c r="DC206" s="403"/>
      <c r="DD206" s="403"/>
      <c r="DE206" s="403"/>
      <c r="DF206" s="403"/>
      <c r="DG206" s="403"/>
      <c r="DH206" s="403"/>
      <c r="DI206" s="403"/>
      <c r="DJ206" s="403"/>
      <c r="DK206" s="403"/>
      <c r="DL206" s="403"/>
      <c r="DM206" s="403"/>
      <c r="DN206" s="403"/>
      <c r="DO206" s="403"/>
      <c r="DP206" s="403"/>
      <c r="DQ206" s="403"/>
      <c r="DR206" s="403"/>
      <c r="DS206" s="403"/>
      <c r="DT206" s="403"/>
      <c r="DU206" s="403"/>
      <c r="DV206" s="403"/>
      <c r="DW206" s="403"/>
      <c r="DX206" s="403"/>
      <c r="DY206" s="403"/>
      <c r="DZ206" s="403"/>
      <c r="EA206" s="403"/>
      <c r="EB206" s="403"/>
      <c r="EC206" s="403"/>
      <c r="ED206" s="403"/>
      <c r="EE206" s="403"/>
      <c r="EF206" s="403"/>
      <c r="EG206" s="403"/>
      <c r="EH206" s="403"/>
      <c r="EI206" s="403"/>
      <c r="EJ206" s="403"/>
      <c r="EK206" s="403"/>
      <c r="EL206" s="403"/>
      <c r="EM206" s="403"/>
      <c r="EN206" s="403"/>
      <c r="EO206" s="403"/>
      <c r="EP206" s="403"/>
      <c r="EQ206" s="403"/>
      <c r="ER206" s="403"/>
      <c r="ES206" s="403"/>
      <c r="ET206" s="403"/>
    </row>
    <row r="207" spans="1:150" s="299" customFormat="1" x14ac:dyDescent="0.2">
      <c r="B207" s="165">
        <v>-7</v>
      </c>
      <c r="C207" s="23" t="str">
        <f>CONCATENATE("",DM4_Vaccine)</f>
        <v/>
      </c>
      <c r="D207" s="3" t="e">
        <f>VLOOKUP(DM4_Vaccine,'T1. Vaccines'!$C$8:$AD$37,E207,FALSE)</f>
        <v>#N/A</v>
      </c>
      <c r="E207" s="2">
        <f ca="1">OFFSET(_Offset_Index_VaccineSupplies_Index,0,B207)</f>
        <v>9</v>
      </c>
      <c r="F207" s="2" t="e">
        <f t="shared" si="53"/>
        <v>#N/A</v>
      </c>
      <c r="G207" s="2" t="e">
        <f t="shared" si="53"/>
        <v>#N/A</v>
      </c>
      <c r="H207" s="2" t="e">
        <f t="shared" si="53"/>
        <v>#N/A</v>
      </c>
      <c r="I207" s="2" t="e">
        <f t="shared" si="53"/>
        <v>#N/A</v>
      </c>
      <c r="J207" s="146" t="e">
        <f t="shared" si="54"/>
        <v>#N/A</v>
      </c>
      <c r="K207" s="146" t="e">
        <f t="shared" si="54"/>
        <v>#N/A</v>
      </c>
      <c r="L207" s="146" t="e">
        <f t="shared" si="54"/>
        <v>#N/A</v>
      </c>
      <c r="M207" s="146" t="e">
        <f t="shared" si="54"/>
        <v>#N/A</v>
      </c>
      <c r="N207" s="146" t="e">
        <f t="shared" si="54"/>
        <v>#N/A</v>
      </c>
      <c r="O207" s="146" t="e">
        <f t="shared" si="54"/>
        <v>#N/A</v>
      </c>
      <c r="Q207" s="16"/>
      <c r="R207" s="403"/>
      <c r="S207" s="403"/>
      <c r="T207" s="403"/>
      <c r="U207" s="403"/>
      <c r="V207" s="403"/>
      <c r="W207" s="403"/>
      <c r="X207" s="403"/>
      <c r="Y207" s="403"/>
      <c r="Z207" s="403"/>
      <c r="AA207" s="403"/>
      <c r="AB207" s="403"/>
      <c r="AC207" s="403"/>
      <c r="AD207" s="403"/>
      <c r="AE207" s="403"/>
      <c r="AF207" s="403"/>
      <c r="AG207" s="403"/>
      <c r="AH207" s="403"/>
      <c r="AI207" s="403"/>
      <c r="AJ207" s="403"/>
      <c r="AK207" s="403"/>
      <c r="AL207" s="403"/>
      <c r="AM207" s="403"/>
      <c r="AN207" s="403"/>
      <c r="AO207" s="403"/>
      <c r="AP207" s="403"/>
      <c r="AQ207" s="403"/>
      <c r="AR207" s="403"/>
      <c r="AS207" s="403"/>
      <c r="AT207" s="403"/>
      <c r="AU207" s="403"/>
      <c r="AV207" s="403"/>
      <c r="AW207" s="403"/>
      <c r="AX207" s="403"/>
      <c r="AY207" s="403"/>
      <c r="AZ207" s="403"/>
      <c r="BA207" s="403"/>
      <c r="BB207" s="403"/>
      <c r="BC207" s="403"/>
      <c r="BD207" s="403"/>
      <c r="BE207" s="403"/>
      <c r="BF207" s="403"/>
      <c r="BG207" s="403"/>
      <c r="BH207" s="403"/>
      <c r="BI207" s="403"/>
      <c r="BJ207" s="403"/>
      <c r="BK207" s="403"/>
      <c r="BL207" s="403"/>
      <c r="BM207" s="403"/>
      <c r="BN207" s="403"/>
      <c r="BO207" s="403"/>
      <c r="BP207" s="403"/>
      <c r="BQ207" s="403"/>
      <c r="BR207" s="403"/>
      <c r="BS207" s="403"/>
      <c r="BT207" s="403"/>
      <c r="BU207" s="403"/>
      <c r="BV207" s="403"/>
      <c r="BW207" s="403"/>
      <c r="BX207" s="403"/>
      <c r="BY207" s="403"/>
      <c r="BZ207" s="403"/>
      <c r="CA207" s="403"/>
      <c r="CB207" s="403"/>
      <c r="CC207" s="403"/>
      <c r="CD207" s="403"/>
      <c r="CE207" s="403"/>
      <c r="CF207" s="403"/>
      <c r="CG207" s="403"/>
      <c r="CH207" s="403"/>
      <c r="CI207" s="403"/>
      <c r="CJ207" s="403"/>
      <c r="CK207" s="403"/>
      <c r="CL207" s="403"/>
      <c r="CM207" s="403"/>
      <c r="CN207" s="403"/>
      <c r="CO207" s="403"/>
      <c r="CP207" s="403"/>
      <c r="CQ207" s="403"/>
      <c r="CR207" s="403"/>
      <c r="CS207" s="403"/>
      <c r="CT207" s="403"/>
      <c r="CU207" s="403"/>
      <c r="CV207" s="403"/>
      <c r="CW207" s="403"/>
      <c r="CX207" s="403"/>
      <c r="CY207" s="403"/>
      <c r="CZ207" s="403"/>
      <c r="DA207" s="403"/>
      <c r="DB207" s="403"/>
      <c r="DC207" s="403"/>
      <c r="DD207" s="403"/>
      <c r="DE207" s="403"/>
      <c r="DF207" s="403"/>
      <c r="DG207" s="403"/>
      <c r="DH207" s="403"/>
      <c r="DI207" s="403"/>
      <c r="DJ207" s="403"/>
      <c r="DK207" s="403"/>
      <c r="DL207" s="403"/>
      <c r="DM207" s="403"/>
      <c r="DN207" s="403"/>
      <c r="DO207" s="403"/>
      <c r="DP207" s="403"/>
      <c r="DQ207" s="403"/>
      <c r="DR207" s="403"/>
      <c r="DS207" s="403"/>
      <c r="DT207" s="403"/>
      <c r="DU207" s="403"/>
      <c r="DV207" s="403"/>
      <c r="DW207" s="403"/>
      <c r="DX207" s="403"/>
      <c r="DY207" s="403"/>
      <c r="DZ207" s="403"/>
      <c r="EA207" s="403"/>
      <c r="EB207" s="403"/>
      <c r="EC207" s="403"/>
      <c r="ED207" s="403"/>
      <c r="EE207" s="403"/>
      <c r="EF207" s="403"/>
      <c r="EG207" s="403"/>
      <c r="EH207" s="403"/>
      <c r="EI207" s="403"/>
      <c r="EJ207" s="403"/>
      <c r="EK207" s="403"/>
      <c r="EL207" s="403"/>
      <c r="EM207" s="403"/>
      <c r="EN207" s="403"/>
      <c r="EO207" s="403"/>
      <c r="EP207" s="403"/>
      <c r="EQ207" s="403"/>
      <c r="ER207" s="403"/>
      <c r="ES207" s="403"/>
      <c r="ET207" s="403"/>
    </row>
    <row r="208" spans="1:150" s="299" customFormat="1" x14ac:dyDescent="0.2">
      <c r="B208" s="165"/>
      <c r="C208" s="23"/>
      <c r="D208" s="23"/>
      <c r="E208" s="2"/>
      <c r="F208" s="2"/>
      <c r="G208" s="2"/>
      <c r="H208" s="2"/>
      <c r="I208" s="2"/>
      <c r="J208" s="146"/>
      <c r="K208" s="146"/>
      <c r="L208" s="146"/>
      <c r="M208" s="146"/>
      <c r="N208" s="146"/>
      <c r="O208" s="146"/>
      <c r="Q208" s="16"/>
      <c r="R208" s="403"/>
      <c r="S208" s="403"/>
      <c r="T208" s="403"/>
      <c r="U208" s="403"/>
      <c r="V208" s="403"/>
      <c r="W208" s="403"/>
      <c r="X208" s="403"/>
      <c r="Y208" s="403"/>
      <c r="Z208" s="403"/>
      <c r="AA208" s="403"/>
      <c r="AB208" s="403"/>
      <c r="AC208" s="403"/>
      <c r="AD208" s="403"/>
      <c r="AE208" s="403"/>
      <c r="AF208" s="403"/>
      <c r="AG208" s="403"/>
      <c r="AH208" s="403"/>
      <c r="AI208" s="403"/>
      <c r="AJ208" s="403"/>
      <c r="AK208" s="403"/>
      <c r="AL208" s="403"/>
      <c r="AM208" s="403"/>
      <c r="AN208" s="403"/>
      <c r="AO208" s="403"/>
      <c r="AP208" s="403"/>
      <c r="AQ208" s="403"/>
      <c r="AR208" s="403"/>
      <c r="AS208" s="403"/>
      <c r="AT208" s="403"/>
      <c r="AU208" s="403"/>
      <c r="AV208" s="403"/>
      <c r="AW208" s="403"/>
      <c r="AX208" s="403"/>
      <c r="AY208" s="403"/>
      <c r="AZ208" s="403"/>
      <c r="BA208" s="403"/>
      <c r="BB208" s="403"/>
      <c r="BC208" s="403"/>
      <c r="BD208" s="403"/>
      <c r="BE208" s="403"/>
      <c r="BF208" s="403"/>
      <c r="BG208" s="403"/>
      <c r="BH208" s="403"/>
      <c r="BI208" s="403"/>
      <c r="BJ208" s="403"/>
      <c r="BK208" s="403"/>
      <c r="BL208" s="403"/>
      <c r="BM208" s="403"/>
      <c r="BN208" s="403"/>
      <c r="BO208" s="403"/>
      <c r="BP208" s="403"/>
      <c r="BQ208" s="403"/>
      <c r="BR208" s="403"/>
      <c r="BS208" s="403"/>
      <c r="BT208" s="403"/>
      <c r="BU208" s="403"/>
      <c r="BV208" s="403"/>
      <c r="BW208" s="403"/>
      <c r="BX208" s="403"/>
      <c r="BY208" s="403"/>
      <c r="BZ208" s="403"/>
      <c r="CA208" s="403"/>
      <c r="CB208" s="403"/>
      <c r="CC208" s="403"/>
      <c r="CD208" s="403"/>
      <c r="CE208" s="403"/>
      <c r="CF208" s="403"/>
      <c r="CG208" s="403"/>
      <c r="CH208" s="403"/>
      <c r="CI208" s="403"/>
      <c r="CJ208" s="403"/>
      <c r="CK208" s="403"/>
      <c r="CL208" s="403"/>
      <c r="CM208" s="403"/>
      <c r="CN208" s="403"/>
      <c r="CO208" s="403"/>
      <c r="CP208" s="403"/>
      <c r="CQ208" s="403"/>
      <c r="CR208" s="403"/>
      <c r="CS208" s="403"/>
      <c r="CT208" s="403"/>
      <c r="CU208" s="403"/>
      <c r="CV208" s="403"/>
      <c r="CW208" s="403"/>
      <c r="CX208" s="403"/>
      <c r="CY208" s="403"/>
      <c r="CZ208" s="403"/>
      <c r="DA208" s="403"/>
      <c r="DB208" s="403"/>
      <c r="DC208" s="403"/>
      <c r="DD208" s="403"/>
      <c r="DE208" s="403"/>
      <c r="DF208" s="403"/>
      <c r="DG208" s="403"/>
      <c r="DH208" s="403"/>
      <c r="DI208" s="403"/>
      <c r="DJ208" s="403"/>
      <c r="DK208" s="403"/>
      <c r="DL208" s="403"/>
      <c r="DM208" s="403"/>
      <c r="DN208" s="403"/>
      <c r="DO208" s="403"/>
      <c r="DP208" s="403"/>
      <c r="DQ208" s="403"/>
      <c r="DR208" s="403"/>
      <c r="DS208" s="403"/>
      <c r="DT208" s="403"/>
      <c r="DU208" s="403"/>
      <c r="DV208" s="403"/>
      <c r="DW208" s="403"/>
      <c r="DX208" s="403"/>
      <c r="DY208" s="403"/>
      <c r="DZ208" s="403"/>
      <c r="EA208" s="403"/>
      <c r="EB208" s="403"/>
      <c r="EC208" s="403"/>
      <c r="ED208" s="403"/>
      <c r="EE208" s="403"/>
      <c r="EF208" s="403"/>
      <c r="EG208" s="403"/>
      <c r="EH208" s="403"/>
      <c r="EI208" s="403"/>
      <c r="EJ208" s="403"/>
      <c r="EK208" s="403"/>
      <c r="EL208" s="403"/>
      <c r="EM208" s="403"/>
      <c r="EN208" s="403"/>
      <c r="EO208" s="403"/>
      <c r="EP208" s="403"/>
      <c r="EQ208" s="403"/>
      <c r="ER208" s="403"/>
      <c r="ES208" s="403"/>
      <c r="ET208" s="403"/>
    </row>
    <row r="209" spans="1:150" s="299" customFormat="1" x14ac:dyDescent="0.2">
      <c r="B209" s="51" t="str">
        <f ca="1">IF(OFFSET(T209,0,Lang_Order*Lang__B4)="","",OFFSET(T209,0,Lang_Order*Lang__B4))</f>
        <v>Volume of COVID-19 vaccines in secondary packaging (liters) per Shipment, incl. buffer [PER DISTRICT]</v>
      </c>
      <c r="C209" s="5"/>
      <c r="J209" s="16"/>
      <c r="K209" s="16"/>
      <c r="L209" s="16"/>
      <c r="M209" s="16"/>
      <c r="N209" s="16"/>
      <c r="O209" s="16"/>
      <c r="P209" s="2" t="str">
        <f ca="1">IF(OFFSET(AH209,0,Lang_Order*Lang__B4)="","",OFFSET(AH209,0,Lang_Order*Lang__B4))</f>
        <v>Methodological note: The largest shipment size (plus buffer) is taken as the capacity required</v>
      </c>
      <c r="Q209" s="16"/>
      <c r="R209" s="403"/>
      <c r="S209" s="403"/>
      <c r="T209" s="403" t="s">
        <v>3626</v>
      </c>
      <c r="U209" s="403"/>
      <c r="V209" s="403"/>
      <c r="W209" s="403"/>
      <c r="X209" s="403"/>
      <c r="Y209" s="403"/>
      <c r="Z209" s="403"/>
      <c r="AA209" s="403"/>
      <c r="AB209" s="403"/>
      <c r="AC209" s="403"/>
      <c r="AD209" s="403"/>
      <c r="AE209" s="403"/>
      <c r="AF209" s="403"/>
      <c r="AG209" s="403"/>
      <c r="AH209" s="403" t="s">
        <v>3198</v>
      </c>
      <c r="AI209" s="403"/>
      <c r="AJ209" s="403"/>
      <c r="AK209" s="403"/>
      <c r="AL209" s="403"/>
      <c r="AM209" s="403" t="s">
        <v>11121</v>
      </c>
      <c r="AN209" s="403"/>
      <c r="AO209" s="403"/>
      <c r="AP209" s="403"/>
      <c r="AQ209" s="403"/>
      <c r="AR209" s="403"/>
      <c r="AS209" s="403"/>
      <c r="AT209" s="403"/>
      <c r="AU209" s="403"/>
      <c r="AV209" s="403"/>
      <c r="AW209" s="403"/>
      <c r="AX209" s="403"/>
      <c r="AY209" s="403"/>
      <c r="AZ209" s="403"/>
      <c r="BA209" s="403" t="s">
        <v>8153</v>
      </c>
      <c r="BB209" s="403"/>
      <c r="BC209" s="403"/>
      <c r="BD209" s="403"/>
      <c r="BE209" s="403"/>
      <c r="BF209" s="403" t="s">
        <v>11127</v>
      </c>
      <c r="BG209" s="403"/>
      <c r="BH209" s="403"/>
      <c r="BI209" s="403"/>
      <c r="BJ209" s="403"/>
      <c r="BK209" s="403"/>
      <c r="BL209" s="403"/>
      <c r="BM209" s="403"/>
      <c r="BN209" s="403"/>
      <c r="BO209" s="403"/>
      <c r="BP209" s="403"/>
      <c r="BQ209" s="403"/>
      <c r="BR209" s="403"/>
      <c r="BS209" s="403"/>
      <c r="BT209" s="403" t="s">
        <v>11128</v>
      </c>
      <c r="BU209" s="403"/>
      <c r="BV209" s="403"/>
      <c r="BW209" s="403"/>
      <c r="BX209" s="403"/>
      <c r="BY209" s="403" t="s">
        <v>11123</v>
      </c>
      <c r="BZ209" s="403"/>
      <c r="CA209" s="403"/>
      <c r="CB209" s="403"/>
      <c r="CC209" s="403"/>
      <c r="CD209" s="403"/>
      <c r="CE209" s="403"/>
      <c r="CF209" s="403"/>
      <c r="CG209" s="403"/>
      <c r="CH209" s="403"/>
      <c r="CI209" s="403"/>
      <c r="CJ209" s="403"/>
      <c r="CK209" s="403"/>
      <c r="CL209" s="403"/>
      <c r="CM209" s="403" t="s">
        <v>11129</v>
      </c>
      <c r="CN209" s="403"/>
      <c r="CO209" s="403"/>
      <c r="CP209" s="403"/>
      <c r="CQ209" s="403"/>
      <c r="CR209" s="403" t="s">
        <v>11124</v>
      </c>
      <c r="CS209" s="403"/>
      <c r="CT209" s="403"/>
      <c r="CU209" s="403"/>
      <c r="CV209" s="403"/>
      <c r="CW209" s="403"/>
      <c r="CX209" s="403"/>
      <c r="CY209" s="403"/>
      <c r="CZ209" s="403"/>
      <c r="DA209" s="403"/>
      <c r="DB209" s="403"/>
      <c r="DC209" s="403"/>
      <c r="DD209" s="403"/>
      <c r="DE209" s="403"/>
      <c r="DF209" s="403" t="s">
        <v>10793</v>
      </c>
      <c r="DG209" s="403"/>
      <c r="DH209" s="403"/>
      <c r="DI209" s="403"/>
      <c r="DJ209" s="403"/>
      <c r="DK209" s="403" t="s">
        <v>11125</v>
      </c>
      <c r="DL209" s="403"/>
      <c r="DM209" s="403"/>
      <c r="DN209" s="403"/>
      <c r="DO209" s="403"/>
      <c r="DP209" s="403"/>
      <c r="DQ209" s="403"/>
      <c r="DR209" s="403"/>
      <c r="DS209" s="403"/>
      <c r="DT209" s="403"/>
      <c r="DU209" s="403"/>
      <c r="DV209" s="403"/>
      <c r="DW209" s="403"/>
      <c r="DX209" s="403"/>
      <c r="DY209" s="403" t="s">
        <v>10794</v>
      </c>
      <c r="DZ209" s="403"/>
      <c r="EA209" s="403"/>
      <c r="EB209" s="403"/>
      <c r="EC209" s="403"/>
      <c r="ED209" s="403" t="s">
        <v>11126</v>
      </c>
      <c r="EE209" s="403"/>
      <c r="EF209" s="403"/>
      <c r="EG209" s="403"/>
      <c r="EH209" s="403"/>
      <c r="EI209" s="403"/>
      <c r="EJ209" s="403"/>
      <c r="EK209" s="403"/>
      <c r="EL209" s="403"/>
      <c r="EM209" s="403"/>
      <c r="EN209" s="403"/>
      <c r="EO209" s="403"/>
      <c r="EP209" s="403"/>
      <c r="EQ209" s="403"/>
      <c r="ER209" s="403" t="s">
        <v>10795</v>
      </c>
      <c r="ES209" s="403"/>
      <c r="ET209" s="403"/>
    </row>
    <row r="210" spans="1:150" s="299" customFormat="1" hidden="1" x14ac:dyDescent="0.2">
      <c r="A210" s="346" t="s">
        <v>14118</v>
      </c>
      <c r="B210" s="567"/>
      <c r="C210" s="72" t="str">
        <f ca="1">IF(OFFSET(U210,0,Lang_Order*Lang__B4)="","",OFFSET(U210,0,Lang_Order*Lang__B4))</f>
        <v>Room temperature</v>
      </c>
      <c r="J210" s="146" t="e">
        <f>SUMPRODUCT($F$204:$F$207,J$204:J$207)</f>
        <v>#N/A</v>
      </c>
      <c r="K210" s="146" t="e">
        <f t="shared" ref="K210:O210" si="55">SUMPRODUCT($F$204:$F$207,K$204:K$207)</f>
        <v>#N/A</v>
      </c>
      <c r="L210" s="146" t="e">
        <f t="shared" si="55"/>
        <v>#N/A</v>
      </c>
      <c r="M210" s="146" t="e">
        <f t="shared" si="55"/>
        <v>#N/A</v>
      </c>
      <c r="N210" s="146" t="e">
        <f t="shared" si="55"/>
        <v>#N/A</v>
      </c>
      <c r="O210" s="146" t="e">
        <f t="shared" si="55"/>
        <v>#N/A</v>
      </c>
      <c r="P210" s="287"/>
      <c r="Q210" s="157" t="str">
        <f ca="1">IF(OFFSET(AI210,0,Lang_Order*Lang__B4)="","",OFFSET(AI210,0,Lang_Order*Lang__B4))</f>
        <v>Vaccines which can be stored in dry storage assumed as no storage cost</v>
      </c>
      <c r="R210" s="403"/>
      <c r="S210" s="403"/>
      <c r="T210" s="403"/>
      <c r="U210" s="403" t="s">
        <v>10</v>
      </c>
      <c r="V210" s="403"/>
      <c r="W210" s="403"/>
      <c r="X210" s="403"/>
      <c r="Y210" s="403"/>
      <c r="Z210" s="403"/>
      <c r="AA210" s="403"/>
      <c r="AB210" s="403"/>
      <c r="AC210" s="403"/>
      <c r="AD210" s="403"/>
      <c r="AE210" s="403"/>
      <c r="AF210" s="403"/>
      <c r="AG210" s="403"/>
      <c r="AH210" s="403"/>
      <c r="AI210" s="403" t="s">
        <v>3195</v>
      </c>
      <c r="AJ210" s="403"/>
      <c r="AK210" s="403"/>
      <c r="AL210" s="403"/>
      <c r="AM210" s="403"/>
      <c r="AN210" s="403" t="s">
        <v>8371</v>
      </c>
      <c r="AO210" s="403"/>
      <c r="AP210" s="403"/>
      <c r="AQ210" s="403"/>
      <c r="AR210" s="403"/>
      <c r="AS210" s="403"/>
      <c r="AT210" s="403"/>
      <c r="AU210" s="403"/>
      <c r="AV210" s="403"/>
      <c r="AW210" s="403"/>
      <c r="AX210" s="403"/>
      <c r="AY210" s="403"/>
      <c r="AZ210" s="403"/>
      <c r="BA210" s="403"/>
      <c r="BB210" s="403" t="s">
        <v>10709</v>
      </c>
      <c r="BC210" s="403"/>
      <c r="BD210" s="403"/>
      <c r="BE210" s="403"/>
      <c r="BF210" s="403"/>
      <c r="BG210" s="403" t="s">
        <v>10226</v>
      </c>
      <c r="BH210" s="403"/>
      <c r="BI210" s="403"/>
      <c r="BJ210" s="403"/>
      <c r="BK210" s="403"/>
      <c r="BL210" s="403"/>
      <c r="BM210" s="403"/>
      <c r="BN210" s="403"/>
      <c r="BO210" s="403"/>
      <c r="BP210" s="403"/>
      <c r="BQ210" s="403"/>
      <c r="BR210" s="403"/>
      <c r="BS210" s="403"/>
      <c r="BT210" s="403"/>
      <c r="BU210" s="403" t="s">
        <v>10710</v>
      </c>
      <c r="BV210" s="403"/>
      <c r="BW210" s="403"/>
      <c r="BX210" s="403"/>
      <c r="BY210" s="403"/>
      <c r="BZ210" s="403" t="s">
        <v>8375</v>
      </c>
      <c r="CA210" s="403"/>
      <c r="CB210" s="403"/>
      <c r="CC210" s="403"/>
      <c r="CD210" s="403"/>
      <c r="CE210" s="403"/>
      <c r="CF210" s="403"/>
      <c r="CG210" s="403"/>
      <c r="CH210" s="403"/>
      <c r="CI210" s="403"/>
      <c r="CJ210" s="403"/>
      <c r="CK210" s="403"/>
      <c r="CL210" s="403"/>
      <c r="CM210" s="403"/>
      <c r="CN210" s="403" t="s">
        <v>10711</v>
      </c>
      <c r="CO210" s="403"/>
      <c r="CP210" s="403"/>
      <c r="CQ210" s="403"/>
      <c r="CR210" s="403"/>
      <c r="CS210" s="403" t="s">
        <v>8375</v>
      </c>
      <c r="CT210" s="403"/>
      <c r="CU210" s="403"/>
      <c r="CV210" s="403"/>
      <c r="CW210" s="403"/>
      <c r="CX210" s="403"/>
      <c r="CY210" s="403"/>
      <c r="CZ210" s="403"/>
      <c r="DA210" s="403"/>
      <c r="DB210" s="403"/>
      <c r="DC210" s="403"/>
      <c r="DD210" s="403"/>
      <c r="DE210" s="403"/>
      <c r="DF210" s="403"/>
      <c r="DG210" s="403" t="s">
        <v>10712</v>
      </c>
      <c r="DH210" s="403"/>
      <c r="DI210" s="403"/>
      <c r="DJ210" s="403"/>
      <c r="DK210" s="403"/>
      <c r="DL210" s="403" t="s">
        <v>8378</v>
      </c>
      <c r="DM210" s="403"/>
      <c r="DN210" s="403"/>
      <c r="DO210" s="403"/>
      <c r="DP210" s="403"/>
      <c r="DQ210" s="403"/>
      <c r="DR210" s="403"/>
      <c r="DS210" s="403"/>
      <c r="DT210" s="403"/>
      <c r="DU210" s="403"/>
      <c r="DV210" s="403"/>
      <c r="DW210" s="403"/>
      <c r="DX210" s="403"/>
      <c r="DY210" s="403"/>
      <c r="DZ210" s="403" t="s">
        <v>10716</v>
      </c>
      <c r="EA210" s="403"/>
      <c r="EB210" s="403"/>
      <c r="EC210" s="403"/>
      <c r="ED210" s="403"/>
      <c r="EE210" s="403" t="s">
        <v>10256</v>
      </c>
      <c r="EF210" s="403"/>
      <c r="EG210" s="403"/>
      <c r="EH210" s="403"/>
      <c r="EI210" s="403"/>
      <c r="EJ210" s="403"/>
      <c r="EK210" s="403"/>
      <c r="EL210" s="403"/>
      <c r="EM210" s="403"/>
      <c r="EN210" s="403"/>
      <c r="EO210" s="403"/>
      <c r="EP210" s="403"/>
      <c r="EQ210" s="403"/>
      <c r="ER210" s="403"/>
      <c r="ES210" s="403" t="s">
        <v>10713</v>
      </c>
      <c r="ET210" s="403"/>
    </row>
    <row r="211" spans="1:150" s="299" customFormat="1" x14ac:dyDescent="0.2">
      <c r="A211" s="567"/>
      <c r="B211" s="85"/>
      <c r="C211" s="5" t="str">
        <f ca="1">IF(OFFSET(U211,0,Lang_Order*Lang__B4)="","",OFFSET(U211,0,Lang_Order*Lang__B4))</f>
        <v>Refrigerated (2 to 8C)</v>
      </c>
      <c r="J211" s="146" t="e">
        <f>SUMPRODUCT($G$204:$G$207,J$204:J$207)</f>
        <v>#N/A</v>
      </c>
      <c r="K211" s="146" t="e">
        <f t="shared" ref="K211:O211" si="56">SUMPRODUCT($G$204:$G$207,K$204:K$207)</f>
        <v>#N/A</v>
      </c>
      <c r="L211" s="146" t="e">
        <f t="shared" si="56"/>
        <v>#N/A</v>
      </c>
      <c r="M211" s="146" t="e">
        <f t="shared" si="56"/>
        <v>#N/A</v>
      </c>
      <c r="N211" s="146" t="e">
        <f t="shared" si="56"/>
        <v>#N/A</v>
      </c>
      <c r="O211" s="146" t="e">
        <f t="shared" si="56"/>
        <v>#N/A</v>
      </c>
      <c r="P211" s="534" t="e">
        <f>MAX(J214:O214)</f>
        <v>#N/A</v>
      </c>
      <c r="Q211" s="567"/>
      <c r="R211" s="403"/>
      <c r="S211" s="403"/>
      <c r="T211" s="403"/>
      <c r="U211" s="403" t="s">
        <v>11</v>
      </c>
      <c r="V211" s="403"/>
      <c r="W211" s="403"/>
      <c r="X211" s="403"/>
      <c r="Y211" s="403"/>
      <c r="Z211" s="403"/>
      <c r="AA211" s="403"/>
      <c r="AB211" s="403"/>
      <c r="AC211" s="403"/>
      <c r="AD211" s="403"/>
      <c r="AE211" s="403"/>
      <c r="AF211" s="403"/>
      <c r="AG211" s="403"/>
      <c r="AH211" s="403"/>
      <c r="AI211" s="403"/>
      <c r="AJ211" s="403"/>
      <c r="AK211" s="403"/>
      <c r="AL211" s="403"/>
      <c r="AM211" s="403"/>
      <c r="AN211" s="403" t="s">
        <v>10714</v>
      </c>
      <c r="AO211" s="403"/>
      <c r="AP211" s="403"/>
      <c r="AQ211" s="403"/>
      <c r="AR211" s="403"/>
      <c r="AS211" s="403"/>
      <c r="AT211" s="403"/>
      <c r="AU211" s="403"/>
      <c r="AV211" s="403"/>
      <c r="AW211" s="403"/>
      <c r="AX211" s="403"/>
      <c r="AY211" s="403"/>
      <c r="AZ211" s="403"/>
      <c r="BA211" s="403"/>
      <c r="BB211" s="403"/>
      <c r="BC211" s="403"/>
      <c r="BD211" s="403"/>
      <c r="BE211" s="403"/>
      <c r="BF211" s="403"/>
      <c r="BG211" s="403" t="s">
        <v>10227</v>
      </c>
      <c r="BH211" s="403"/>
      <c r="BI211" s="403"/>
      <c r="BJ211" s="403"/>
      <c r="BK211" s="403"/>
      <c r="BL211" s="403"/>
      <c r="BM211" s="403"/>
      <c r="BN211" s="403"/>
      <c r="BO211" s="403"/>
      <c r="BP211" s="403"/>
      <c r="BQ211" s="403"/>
      <c r="BR211" s="403"/>
      <c r="BS211" s="403"/>
      <c r="BT211" s="403"/>
      <c r="BU211" s="403"/>
      <c r="BV211" s="403"/>
      <c r="BW211" s="403"/>
      <c r="BX211" s="403"/>
      <c r="BY211" s="403"/>
      <c r="BZ211" s="403" t="s">
        <v>10715</v>
      </c>
      <c r="CA211" s="403"/>
      <c r="CB211" s="403"/>
      <c r="CC211" s="403"/>
      <c r="CD211" s="403"/>
      <c r="CE211" s="403"/>
      <c r="CF211" s="403"/>
      <c r="CG211" s="403"/>
      <c r="CH211" s="403"/>
      <c r="CI211" s="403"/>
      <c r="CJ211" s="403"/>
      <c r="CK211" s="403"/>
      <c r="CL211" s="403"/>
      <c r="CM211" s="403"/>
      <c r="CN211" s="403"/>
      <c r="CO211" s="403"/>
      <c r="CP211" s="403"/>
      <c r="CQ211" s="403"/>
      <c r="CR211" s="403"/>
      <c r="CS211" s="403" t="s">
        <v>8384</v>
      </c>
      <c r="CT211" s="403"/>
      <c r="CU211" s="403"/>
      <c r="CV211" s="403"/>
      <c r="CW211" s="403"/>
      <c r="CX211" s="403"/>
      <c r="CY211" s="403"/>
      <c r="CZ211" s="403"/>
      <c r="DA211" s="403"/>
      <c r="DB211" s="403"/>
      <c r="DC211" s="403"/>
      <c r="DD211" s="403"/>
      <c r="DE211" s="403"/>
      <c r="DF211" s="403"/>
      <c r="DG211" s="403"/>
      <c r="DH211" s="403"/>
      <c r="DI211" s="403"/>
      <c r="DJ211" s="403"/>
      <c r="DK211" s="403"/>
      <c r="DL211" s="403" t="s">
        <v>10248</v>
      </c>
      <c r="DM211" s="403"/>
      <c r="DN211" s="403"/>
      <c r="DO211" s="403"/>
      <c r="DP211" s="403"/>
      <c r="DQ211" s="403"/>
      <c r="DR211" s="403"/>
      <c r="DS211" s="403"/>
      <c r="DT211" s="403"/>
      <c r="DU211" s="403"/>
      <c r="DV211" s="403"/>
      <c r="DW211" s="403"/>
      <c r="DX211" s="403"/>
      <c r="DY211" s="403"/>
      <c r="DZ211" s="403"/>
      <c r="EA211" s="403"/>
      <c r="EB211" s="403"/>
      <c r="EC211" s="403"/>
      <c r="ED211" s="403"/>
      <c r="EE211" s="403" t="s">
        <v>8387</v>
      </c>
      <c r="EF211" s="403"/>
      <c r="EG211" s="403"/>
      <c r="EH211" s="403"/>
      <c r="EI211" s="403"/>
      <c r="EJ211" s="403"/>
      <c r="EK211" s="403"/>
      <c r="EL211" s="403"/>
      <c r="EM211" s="403"/>
      <c r="EN211" s="403"/>
      <c r="EO211" s="403"/>
      <c r="EP211" s="403"/>
      <c r="EQ211" s="403"/>
      <c r="ER211" s="403"/>
      <c r="ES211" s="403"/>
      <c r="ET211" s="403"/>
    </row>
    <row r="212" spans="1:150" s="299" customFormat="1" x14ac:dyDescent="0.2">
      <c r="B212" s="85"/>
      <c r="C212" s="5" t="str">
        <f ca="1">IF(OFFSET(U212,0,Lang_Order*Lang__B4)="","",OFFSET(U212,0,Lang_Order*Lang__B4))</f>
        <v>Frozen (-20C)</v>
      </c>
      <c r="J212" s="146" t="e">
        <f t="shared" ref="J212:O212" si="57">SUMPRODUCT($H$204:$H$207,J$204:J$207)</f>
        <v>#N/A</v>
      </c>
      <c r="K212" s="146" t="e">
        <f t="shared" si="57"/>
        <v>#N/A</v>
      </c>
      <c r="L212" s="146" t="e">
        <f t="shared" si="57"/>
        <v>#N/A</v>
      </c>
      <c r="M212" s="146" t="e">
        <f t="shared" si="57"/>
        <v>#N/A</v>
      </c>
      <c r="N212" s="146" t="e">
        <f t="shared" si="57"/>
        <v>#N/A</v>
      </c>
      <c r="O212" s="146" t="e">
        <f t="shared" si="57"/>
        <v>#N/A</v>
      </c>
      <c r="P212" s="534" t="e">
        <f>MAX(J212:O212)</f>
        <v>#N/A</v>
      </c>
      <c r="Q212" s="567"/>
      <c r="R212" s="403"/>
      <c r="S212" s="403"/>
      <c r="T212" s="403"/>
      <c r="U212" s="403" t="s">
        <v>12</v>
      </c>
      <c r="V212" s="403"/>
      <c r="W212" s="403"/>
      <c r="X212" s="403"/>
      <c r="Y212" s="403"/>
      <c r="Z212" s="403"/>
      <c r="AA212" s="403"/>
      <c r="AB212" s="403"/>
      <c r="AC212" s="403"/>
      <c r="AD212" s="403"/>
      <c r="AE212" s="403"/>
      <c r="AF212" s="403"/>
      <c r="AG212" s="403"/>
      <c r="AH212" s="403"/>
      <c r="AI212" s="403"/>
      <c r="AJ212" s="403"/>
      <c r="AK212" s="403"/>
      <c r="AL212" s="403"/>
      <c r="AM212" s="403"/>
      <c r="AN212" s="403" t="s">
        <v>10717</v>
      </c>
      <c r="AO212" s="403"/>
      <c r="AP212" s="403"/>
      <c r="AQ212" s="403"/>
      <c r="AR212" s="403"/>
      <c r="AS212" s="403"/>
      <c r="AT212" s="403"/>
      <c r="AU212" s="403"/>
      <c r="AV212" s="403"/>
      <c r="AW212" s="403"/>
      <c r="AX212" s="403"/>
      <c r="AY212" s="403"/>
      <c r="AZ212" s="403"/>
      <c r="BA212" s="403"/>
      <c r="BB212" s="403"/>
      <c r="BC212" s="403"/>
      <c r="BD212" s="403"/>
      <c r="BE212" s="403"/>
      <c r="BF212" s="403"/>
      <c r="BG212" s="403" t="s">
        <v>10228</v>
      </c>
      <c r="BH212" s="403"/>
      <c r="BI212" s="403"/>
      <c r="BJ212" s="403"/>
      <c r="BK212" s="403"/>
      <c r="BL212" s="403"/>
      <c r="BM212" s="403"/>
      <c r="BN212" s="403"/>
      <c r="BO212" s="403"/>
      <c r="BP212" s="403"/>
      <c r="BQ212" s="403"/>
      <c r="BR212" s="403"/>
      <c r="BS212" s="403"/>
      <c r="BT212" s="403"/>
      <c r="BU212" s="403"/>
      <c r="BV212" s="403"/>
      <c r="BW212" s="403"/>
      <c r="BX212" s="403"/>
      <c r="BY212" s="403"/>
      <c r="BZ212" s="403" t="s">
        <v>10718</v>
      </c>
      <c r="CA212" s="403"/>
      <c r="CB212" s="403"/>
      <c r="CC212" s="403"/>
      <c r="CD212" s="403"/>
      <c r="CE212" s="403"/>
      <c r="CF212" s="403"/>
      <c r="CG212" s="403"/>
      <c r="CH212" s="403"/>
      <c r="CI212" s="403"/>
      <c r="CJ212" s="403"/>
      <c r="CK212" s="403"/>
      <c r="CL212" s="403"/>
      <c r="CM212" s="403"/>
      <c r="CN212" s="403"/>
      <c r="CO212" s="403"/>
      <c r="CP212" s="403"/>
      <c r="CQ212" s="403"/>
      <c r="CR212" s="403"/>
      <c r="CS212" s="403" t="s">
        <v>8391</v>
      </c>
      <c r="CT212" s="403"/>
      <c r="CU212" s="403"/>
      <c r="CV212" s="403"/>
      <c r="CW212" s="403"/>
      <c r="CX212" s="403"/>
      <c r="CY212" s="403"/>
      <c r="CZ212" s="403"/>
      <c r="DA212" s="403"/>
      <c r="DB212" s="403"/>
      <c r="DC212" s="403"/>
      <c r="DD212" s="403"/>
      <c r="DE212" s="403"/>
      <c r="DF212" s="403"/>
      <c r="DG212" s="403"/>
      <c r="DH212" s="403"/>
      <c r="DI212" s="403"/>
      <c r="DJ212" s="403"/>
      <c r="DK212" s="403"/>
      <c r="DL212" s="403" t="s">
        <v>10249</v>
      </c>
      <c r="DM212" s="403"/>
      <c r="DN212" s="403"/>
      <c r="DO212" s="403"/>
      <c r="DP212" s="403"/>
      <c r="DQ212" s="403"/>
      <c r="DR212" s="403"/>
      <c r="DS212" s="403"/>
      <c r="DT212" s="403"/>
      <c r="DU212" s="403"/>
      <c r="DV212" s="403"/>
      <c r="DW212" s="403"/>
      <c r="DX212" s="403"/>
      <c r="DY212" s="403"/>
      <c r="DZ212" s="403"/>
      <c r="EA212" s="403"/>
      <c r="EB212" s="403"/>
      <c r="EC212" s="403"/>
      <c r="ED212" s="403"/>
      <c r="EE212" s="403" t="s">
        <v>8393</v>
      </c>
      <c r="EF212" s="403"/>
      <c r="EG212" s="403"/>
      <c r="EH212" s="403"/>
      <c r="EI212" s="403"/>
      <c r="EJ212" s="403"/>
      <c r="EK212" s="403"/>
      <c r="EL212" s="403"/>
      <c r="EM212" s="403"/>
      <c r="EN212" s="403"/>
      <c r="EO212" s="403"/>
      <c r="EP212" s="403"/>
      <c r="EQ212" s="403"/>
      <c r="ER212" s="403"/>
      <c r="ES212" s="403"/>
      <c r="ET212" s="403"/>
    </row>
    <row r="213" spans="1:150" s="299" customFormat="1" x14ac:dyDescent="0.2">
      <c r="A213" s="567"/>
      <c r="C213" s="270" t="str">
        <f ca="1">IF(OFFSET(U213,0,Lang_Order*Lang__B4)="","",OFFSET(U213,0,Lang_Order*Lang__B4))</f>
        <v>Ultra-cold (-60 to -80C)</v>
      </c>
      <c r="D213" s="533" t="str">
        <f ca="1">IF(OFFSET(V213,0,Lang_Order*Lang__B4)="","",OFFSET(V213,0,Lang_Order*Lang__B4))</f>
        <v>and UCC vaccines (will be stored in 2-8C in districts)</v>
      </c>
      <c r="J213" s="146" t="e">
        <f>SUMPRODUCT($I$204:$I$207,J$204:J$207)</f>
        <v>#N/A</v>
      </c>
      <c r="K213" s="146" t="e">
        <f t="shared" ref="K213:O213" si="58">SUMPRODUCT($I$204:$I$207,K$204:K$207)</f>
        <v>#N/A</v>
      </c>
      <c r="L213" s="146" t="e">
        <f t="shared" si="58"/>
        <v>#N/A</v>
      </c>
      <c r="M213" s="146" t="e">
        <f t="shared" si="58"/>
        <v>#N/A</v>
      </c>
      <c r="N213" s="146" t="e">
        <f t="shared" si="58"/>
        <v>#N/A</v>
      </c>
      <c r="O213" s="146" t="e">
        <f t="shared" si="58"/>
        <v>#N/A</v>
      </c>
      <c r="P213" s="287"/>
      <c r="Q213" s="157" t="str">
        <f ca="1">IF(OFFSET(AI213,0,Lang_Order*Lang__B4)="","",OFFSET(AI213,0,Lang_Order*Lang__B4))</f>
        <v>UCC: Including vaccine doses bound for fixed sites which are transported direct from regional stores to fixed sites in 2-8C</v>
      </c>
      <c r="R213" s="403"/>
      <c r="S213" s="403"/>
      <c r="T213" s="403"/>
      <c r="U213" s="509" t="s">
        <v>13</v>
      </c>
      <c r="V213" s="403" t="s">
        <v>4518</v>
      </c>
      <c r="W213" s="403"/>
      <c r="X213" s="403"/>
      <c r="Y213" s="403"/>
      <c r="Z213" s="403"/>
      <c r="AA213" s="403"/>
      <c r="AB213" s="403"/>
      <c r="AC213" s="403"/>
      <c r="AD213" s="403"/>
      <c r="AE213" s="403"/>
      <c r="AF213" s="403"/>
      <c r="AG213" s="403"/>
      <c r="AH213" s="403"/>
      <c r="AI213" s="403" t="s">
        <v>4547</v>
      </c>
      <c r="AJ213" s="403"/>
      <c r="AK213" s="403"/>
      <c r="AL213" s="403"/>
      <c r="AM213" s="403"/>
      <c r="AN213" s="403"/>
      <c r="AO213" s="403" t="s">
        <v>13377</v>
      </c>
      <c r="AP213" s="403"/>
      <c r="AQ213" s="403"/>
      <c r="AR213" s="403"/>
      <c r="AS213" s="403"/>
      <c r="AT213" s="403"/>
      <c r="AU213" s="403"/>
      <c r="AV213" s="403"/>
      <c r="AW213" s="403"/>
      <c r="AX213" s="403"/>
      <c r="AY213" s="403"/>
      <c r="AZ213" s="403"/>
      <c r="BA213" s="403"/>
      <c r="BB213" s="403" t="s">
        <v>13389</v>
      </c>
      <c r="BC213" s="403"/>
      <c r="BD213" s="403"/>
      <c r="BE213" s="403"/>
      <c r="BF213" s="403"/>
      <c r="BG213" s="403"/>
      <c r="BH213" s="403" t="s">
        <v>13378</v>
      </c>
      <c r="BI213" s="403"/>
      <c r="BJ213" s="403"/>
      <c r="BK213" s="403"/>
      <c r="BL213" s="403"/>
      <c r="BM213" s="403"/>
      <c r="BN213" s="403"/>
      <c r="BO213" s="403"/>
      <c r="BP213" s="403"/>
      <c r="BQ213" s="403"/>
      <c r="BR213" s="403"/>
      <c r="BS213" s="403"/>
      <c r="BT213" s="403"/>
      <c r="BU213" s="403" t="s">
        <v>13390</v>
      </c>
      <c r="BV213" s="403"/>
      <c r="BW213" s="403"/>
      <c r="BX213" s="403"/>
      <c r="BY213" s="403"/>
      <c r="BZ213" s="403"/>
      <c r="CA213" s="403" t="s">
        <v>13379</v>
      </c>
      <c r="CB213" s="403"/>
      <c r="CC213" s="403"/>
      <c r="CD213" s="403"/>
      <c r="CE213" s="403"/>
      <c r="CF213" s="403"/>
      <c r="CG213" s="403"/>
      <c r="CH213" s="403"/>
      <c r="CI213" s="403"/>
      <c r="CJ213" s="403"/>
      <c r="CK213" s="403"/>
      <c r="CL213" s="403"/>
      <c r="CM213" s="403"/>
      <c r="CN213" s="403" t="s">
        <v>13391</v>
      </c>
      <c r="CO213" s="403"/>
      <c r="CP213" s="403"/>
      <c r="CQ213" s="403"/>
      <c r="CR213" s="403"/>
      <c r="CS213" s="403"/>
      <c r="CT213" s="403" t="s">
        <v>13380</v>
      </c>
      <c r="CU213" s="403"/>
      <c r="CV213" s="403"/>
      <c r="CW213" s="403"/>
      <c r="CX213" s="403"/>
      <c r="CY213" s="403"/>
      <c r="CZ213" s="403"/>
      <c r="DA213" s="403"/>
      <c r="DB213" s="403"/>
      <c r="DC213" s="403"/>
      <c r="DD213" s="403"/>
      <c r="DE213" s="403"/>
      <c r="DF213" s="403"/>
      <c r="DG213" s="403" t="s">
        <v>13392</v>
      </c>
      <c r="DH213" s="403"/>
      <c r="DI213" s="403"/>
      <c r="DJ213" s="403"/>
      <c r="DK213" s="403"/>
      <c r="DL213" s="403"/>
      <c r="DM213" s="403" t="s">
        <v>13381</v>
      </c>
      <c r="DN213" s="403"/>
      <c r="DO213" s="403"/>
      <c r="DP213" s="403"/>
      <c r="DQ213" s="403"/>
      <c r="DR213" s="403"/>
      <c r="DS213" s="403"/>
      <c r="DT213" s="403"/>
      <c r="DU213" s="403"/>
      <c r="DV213" s="403"/>
      <c r="DW213" s="403"/>
      <c r="DX213" s="403"/>
      <c r="DY213" s="403"/>
      <c r="DZ213" s="403" t="s">
        <v>13393</v>
      </c>
      <c r="EA213" s="403"/>
      <c r="EB213" s="403"/>
      <c r="EC213" s="403"/>
      <c r="ED213" s="403"/>
      <c r="EE213" s="403"/>
      <c r="EF213" s="403" t="s">
        <v>13382</v>
      </c>
      <c r="EG213" s="403"/>
      <c r="EH213" s="403"/>
      <c r="EI213" s="403"/>
      <c r="EJ213" s="403"/>
      <c r="EK213" s="403"/>
      <c r="EL213" s="403"/>
      <c r="EM213" s="403"/>
      <c r="EN213" s="403"/>
      <c r="EO213" s="403"/>
      <c r="EP213" s="403"/>
      <c r="EQ213" s="403"/>
      <c r="ER213" s="403"/>
      <c r="ES213" s="403" t="s">
        <v>13394</v>
      </c>
      <c r="ET213" s="403"/>
    </row>
    <row r="214" spans="1:150" s="510" customFormat="1" x14ac:dyDescent="0.2">
      <c r="A214" s="567"/>
      <c r="C214" s="270" t="str">
        <f ca="1">IF(OFFSET(U214,0,Lang_Order*Lang__B4)="","",OFFSET(U214,0,Lang_Order*Lang__B4))</f>
        <v>Refrigerated (2 to 8C) (TOTAL incl UCC)</v>
      </c>
      <c r="D214" s="533"/>
      <c r="J214" s="146" t="e">
        <f>J211+J216</f>
        <v>#N/A</v>
      </c>
      <c r="K214" s="146" t="e">
        <f t="shared" ref="K214:O214" si="59">K211+K216</f>
        <v>#N/A</v>
      </c>
      <c r="L214" s="146" t="e">
        <f t="shared" si="59"/>
        <v>#N/A</v>
      </c>
      <c r="M214" s="146" t="e">
        <f t="shared" si="59"/>
        <v>#N/A</v>
      </c>
      <c r="N214" s="146" t="e">
        <f t="shared" si="59"/>
        <v>#N/A</v>
      </c>
      <c r="O214" s="146" t="e">
        <f t="shared" si="59"/>
        <v>#N/A</v>
      </c>
      <c r="P214" s="287"/>
      <c r="Q214" s="567"/>
      <c r="R214" s="509"/>
      <c r="S214" s="509"/>
      <c r="T214" s="509"/>
      <c r="U214" s="564" t="s">
        <v>4545</v>
      </c>
      <c r="V214" s="564"/>
      <c r="W214" s="564"/>
      <c r="X214" s="564"/>
      <c r="Y214" s="564"/>
      <c r="Z214" s="564"/>
      <c r="AA214" s="564"/>
      <c r="AB214" s="564"/>
      <c r="AC214" s="564"/>
      <c r="AD214" s="564"/>
      <c r="AE214" s="564"/>
      <c r="AF214" s="564"/>
      <c r="AG214" s="564"/>
      <c r="AH214" s="564"/>
      <c r="AI214" s="564"/>
      <c r="AJ214" s="564"/>
      <c r="AK214" s="564"/>
      <c r="AL214" s="564"/>
      <c r="AM214" s="564"/>
      <c r="AN214" s="564" t="s">
        <v>13371</v>
      </c>
      <c r="AO214" s="564"/>
      <c r="AP214" s="564"/>
      <c r="AQ214" s="564"/>
      <c r="AR214" s="564"/>
      <c r="AS214" s="564"/>
      <c r="AT214" s="564"/>
      <c r="AU214" s="564"/>
      <c r="AV214" s="564"/>
      <c r="AW214" s="564"/>
      <c r="AX214" s="564"/>
      <c r="AY214" s="564"/>
      <c r="AZ214" s="564"/>
      <c r="BA214" s="564"/>
      <c r="BB214" s="564"/>
      <c r="BC214" s="564"/>
      <c r="BD214" s="564"/>
      <c r="BE214" s="564"/>
      <c r="BF214" s="564"/>
      <c r="BG214" s="564" t="s">
        <v>13372</v>
      </c>
      <c r="BH214" s="564"/>
      <c r="BI214" s="564"/>
      <c r="BJ214" s="564"/>
      <c r="BK214" s="564"/>
      <c r="BL214" s="564"/>
      <c r="BM214" s="564"/>
      <c r="BN214" s="564"/>
      <c r="BO214" s="564"/>
      <c r="BP214" s="564"/>
      <c r="BQ214" s="564"/>
      <c r="BR214" s="564"/>
      <c r="BS214" s="564"/>
      <c r="BT214" s="564"/>
      <c r="BU214" s="564"/>
      <c r="BV214" s="564"/>
      <c r="BW214" s="564"/>
      <c r="BX214" s="564"/>
      <c r="BY214" s="564"/>
      <c r="BZ214" s="564" t="s">
        <v>13373</v>
      </c>
      <c r="CA214" s="564"/>
      <c r="CB214" s="564"/>
      <c r="CC214" s="564"/>
      <c r="CD214" s="564"/>
      <c r="CE214" s="564"/>
      <c r="CF214" s="564"/>
      <c r="CG214" s="564"/>
      <c r="CH214" s="564"/>
      <c r="CI214" s="564"/>
      <c r="CJ214" s="564"/>
      <c r="CK214" s="564"/>
      <c r="CL214" s="564"/>
      <c r="CM214" s="564"/>
      <c r="CN214" s="564"/>
      <c r="CO214" s="564"/>
      <c r="CP214" s="564"/>
      <c r="CQ214" s="564"/>
      <c r="CR214" s="564"/>
      <c r="CS214" s="564" t="s">
        <v>13374</v>
      </c>
      <c r="CT214" s="564"/>
      <c r="CU214" s="564"/>
      <c r="CV214" s="564"/>
      <c r="CW214" s="564"/>
      <c r="CX214" s="564"/>
      <c r="CY214" s="564"/>
      <c r="CZ214" s="564"/>
      <c r="DA214" s="564"/>
      <c r="DB214" s="564"/>
      <c r="DC214" s="564"/>
      <c r="DD214" s="564"/>
      <c r="DE214" s="564"/>
      <c r="DF214" s="564"/>
      <c r="DG214" s="564"/>
      <c r="DH214" s="564"/>
      <c r="DI214" s="564"/>
      <c r="DJ214" s="564"/>
      <c r="DK214" s="564"/>
      <c r="DL214" s="564" t="s">
        <v>13375</v>
      </c>
      <c r="DM214" s="564"/>
      <c r="DN214" s="564"/>
      <c r="DO214" s="564"/>
      <c r="DP214" s="564"/>
      <c r="DQ214" s="564"/>
      <c r="DR214" s="564"/>
      <c r="DS214" s="564"/>
      <c r="DT214" s="564"/>
      <c r="DU214" s="564"/>
      <c r="DV214" s="564"/>
      <c r="DW214" s="564"/>
      <c r="DX214" s="564"/>
      <c r="DY214" s="564"/>
      <c r="DZ214" s="564"/>
      <c r="EA214" s="564"/>
      <c r="EB214" s="564"/>
      <c r="EC214" s="564"/>
      <c r="ED214" s="564"/>
      <c r="EE214" s="564" t="s">
        <v>13376</v>
      </c>
      <c r="EF214" s="509"/>
      <c r="EG214" s="509"/>
      <c r="EH214" s="509"/>
      <c r="EI214" s="509"/>
      <c r="EJ214" s="509"/>
      <c r="EK214" s="509"/>
      <c r="EL214" s="509"/>
      <c r="EM214" s="509"/>
      <c r="EN214" s="509"/>
      <c r="EO214" s="509"/>
      <c r="EP214" s="509"/>
      <c r="EQ214" s="509"/>
      <c r="ER214" s="509"/>
      <c r="ES214" s="509"/>
      <c r="ET214" s="509"/>
    </row>
    <row r="215" spans="1:150" s="508" customFormat="1" x14ac:dyDescent="0.2">
      <c r="A215" s="567"/>
      <c r="B215" s="92" t="str">
        <f ca="1">IF(OFFSET(T215,0,Lang_Order*Lang__B4)="","",OFFSET(T215,0,Lang_Order*Lang__B4))</f>
        <v>Volume of COVID-19 vaccines in secondary packaging (liters) per Shipment, incl. buffer [PER DISTRICT] - For UCC scenario (regional to district terminus)</v>
      </c>
      <c r="C215" s="5"/>
      <c r="J215" s="146"/>
      <c r="K215" s="146"/>
      <c r="L215" s="146"/>
      <c r="M215" s="146"/>
      <c r="N215" s="146"/>
      <c r="O215" s="146"/>
      <c r="P215" s="287"/>
      <c r="Q215" s="287"/>
      <c r="R215" s="507"/>
      <c r="S215" s="507"/>
      <c r="T215" s="507" t="s">
        <v>4543</v>
      </c>
      <c r="U215" s="507"/>
      <c r="V215" s="507"/>
      <c r="W215" s="507"/>
      <c r="X215" s="507"/>
      <c r="Y215" s="507"/>
      <c r="Z215" s="507"/>
      <c r="AA215" s="507"/>
      <c r="AB215" s="507"/>
      <c r="AC215" s="507"/>
      <c r="AD215" s="507"/>
      <c r="AE215" s="507"/>
      <c r="AF215" s="507"/>
      <c r="AG215" s="507"/>
      <c r="AH215" s="507"/>
      <c r="AI215" s="507"/>
      <c r="AJ215" s="507"/>
      <c r="AK215" s="507"/>
      <c r="AL215" s="507"/>
      <c r="AM215" s="507" t="s">
        <v>13383</v>
      </c>
      <c r="AN215" s="507"/>
      <c r="AO215" s="507"/>
      <c r="AP215" s="507"/>
      <c r="AQ215" s="507"/>
      <c r="AR215" s="507"/>
      <c r="AS215" s="507"/>
      <c r="AT215" s="507"/>
      <c r="AU215" s="507"/>
      <c r="AV215" s="507"/>
      <c r="AW215" s="507"/>
      <c r="AX215" s="507"/>
      <c r="AY215" s="507"/>
      <c r="AZ215" s="507"/>
      <c r="BA215" s="507"/>
      <c r="BB215" s="507"/>
      <c r="BC215" s="507"/>
      <c r="BD215" s="507"/>
      <c r="BE215" s="507"/>
      <c r="BF215" s="507" t="s">
        <v>13384</v>
      </c>
      <c r="BG215" s="507"/>
      <c r="BH215" s="507"/>
      <c r="BI215" s="507"/>
      <c r="BJ215" s="507"/>
      <c r="BK215" s="507"/>
      <c r="BL215" s="507"/>
      <c r="BM215" s="507"/>
      <c r="BN215" s="507"/>
      <c r="BO215" s="507"/>
      <c r="BP215" s="507"/>
      <c r="BQ215" s="507"/>
      <c r="BR215" s="507"/>
      <c r="BS215" s="507"/>
      <c r="BT215" s="507"/>
      <c r="BU215" s="507"/>
      <c r="BV215" s="507"/>
      <c r="BW215" s="507"/>
      <c r="BX215" s="507"/>
      <c r="BY215" s="507" t="s">
        <v>13385</v>
      </c>
      <c r="BZ215" s="507"/>
      <c r="CA215" s="507"/>
      <c r="CB215" s="507"/>
      <c r="CC215" s="507"/>
      <c r="CD215" s="507"/>
      <c r="CE215" s="507"/>
      <c r="CF215" s="507"/>
      <c r="CG215" s="507"/>
      <c r="CH215" s="507"/>
      <c r="CI215" s="507"/>
      <c r="CJ215" s="507"/>
      <c r="CK215" s="507"/>
      <c r="CL215" s="507"/>
      <c r="CM215" s="507"/>
      <c r="CN215" s="507"/>
      <c r="CO215" s="507"/>
      <c r="CP215" s="507"/>
      <c r="CQ215" s="507"/>
      <c r="CR215" s="507" t="s">
        <v>13386</v>
      </c>
      <c r="CS215" s="507"/>
      <c r="CT215" s="507"/>
      <c r="CU215" s="507"/>
      <c r="CV215" s="507"/>
      <c r="CW215" s="507"/>
      <c r="CX215" s="507"/>
      <c r="CY215" s="507"/>
      <c r="CZ215" s="507"/>
      <c r="DA215" s="507"/>
      <c r="DB215" s="507"/>
      <c r="DC215" s="507"/>
      <c r="DD215" s="507"/>
      <c r="DE215" s="507"/>
      <c r="DF215" s="507"/>
      <c r="DG215" s="507"/>
      <c r="DH215" s="507"/>
      <c r="DI215" s="507"/>
      <c r="DJ215" s="507"/>
      <c r="DK215" s="507" t="s">
        <v>13387</v>
      </c>
      <c r="DL215" s="507"/>
      <c r="DM215" s="507"/>
      <c r="DN215" s="507"/>
      <c r="DO215" s="507"/>
      <c r="DP215" s="507"/>
      <c r="DQ215" s="507"/>
      <c r="DR215" s="507"/>
      <c r="DS215" s="507"/>
      <c r="DT215" s="507"/>
      <c r="DU215" s="507"/>
      <c r="DV215" s="507"/>
      <c r="DW215" s="507"/>
      <c r="DX215" s="507"/>
      <c r="DY215" s="507"/>
      <c r="DZ215" s="507"/>
      <c r="EA215" s="507"/>
      <c r="EB215" s="507"/>
      <c r="EC215" s="507"/>
      <c r="ED215" s="507" t="s">
        <v>13388</v>
      </c>
      <c r="EE215" s="507"/>
      <c r="EF215" s="507"/>
      <c r="EG215" s="507"/>
      <c r="EH215" s="507"/>
      <c r="EI215" s="507"/>
      <c r="EJ215" s="507"/>
      <c r="EK215" s="507"/>
      <c r="EL215" s="507"/>
      <c r="EM215" s="507"/>
      <c r="EN215" s="507"/>
      <c r="EO215" s="507"/>
      <c r="EP215" s="507"/>
      <c r="EQ215" s="507"/>
      <c r="ER215" s="507"/>
      <c r="ES215" s="507"/>
      <c r="ET215" s="507"/>
    </row>
    <row r="216" spans="1:150" s="508" customFormat="1" x14ac:dyDescent="0.2">
      <c r="A216" s="567"/>
      <c r="C216" s="270" t="str">
        <f ca="1">IF(OFFSET(U216,0,Lang_Order*Lang__B4)="","",OFFSET(U216,0,Lang_Order*Lang__B4))</f>
        <v>Refrigerated (2 to 8C)</v>
      </c>
      <c r="D216" s="533" t="str">
        <f ca="1">IF(OFFSET(V216,0,Lang_Order*Lang__B4)="","",OFFSET(V216,0,Lang_Order*Lang__B4))</f>
        <v>and UCC vaccines (will be stored in 2-8C in districts)</v>
      </c>
      <c r="J216" s="515" t="e">
        <f t="shared" ref="J216:O216" si="60">((J213*District_Stores)-(J280*Pop_HCW_CS_Sites))/District_Stores</f>
        <v>#N/A</v>
      </c>
      <c r="K216" s="515" t="e">
        <f t="shared" si="60"/>
        <v>#N/A</v>
      </c>
      <c r="L216" s="515" t="e">
        <f t="shared" si="60"/>
        <v>#N/A</v>
      </c>
      <c r="M216" s="515" t="e">
        <f t="shared" si="60"/>
        <v>#N/A</v>
      </c>
      <c r="N216" s="515" t="e">
        <f t="shared" si="60"/>
        <v>#N/A</v>
      </c>
      <c r="O216" s="515" t="e">
        <f t="shared" si="60"/>
        <v>#N/A</v>
      </c>
      <c r="P216" s="287"/>
      <c r="Q216" s="157" t="str">
        <f ca="1">IF(OFFSET(AI216,0,Lang_Order*Lang__B4)="","",OFFSET(AI216,0,Lang_Order*Lang__B4))</f>
        <v>UCC: Including vaccine doses bound for fixed sites which are transported direct from regional stores to fixed sites in 2-8C</v>
      </c>
      <c r="R216" s="507"/>
      <c r="S216" s="507"/>
      <c r="T216" s="507"/>
      <c r="U216" s="507" t="s">
        <v>11</v>
      </c>
      <c r="V216" s="507" t="s">
        <v>4518</v>
      </c>
      <c r="W216" s="507"/>
      <c r="X216" s="507"/>
      <c r="Y216" s="507"/>
      <c r="Z216" s="507"/>
      <c r="AA216" s="507"/>
      <c r="AB216" s="507"/>
      <c r="AC216" s="507"/>
      <c r="AD216" s="507"/>
      <c r="AE216" s="507"/>
      <c r="AF216" s="507"/>
      <c r="AG216" s="507"/>
      <c r="AH216" s="507"/>
      <c r="AI216" s="507" t="s">
        <v>4547</v>
      </c>
      <c r="AJ216" s="507"/>
      <c r="AK216" s="507"/>
      <c r="AL216" s="507"/>
      <c r="AM216" s="507"/>
      <c r="AN216" s="507"/>
      <c r="AO216" s="507" t="s">
        <v>13377</v>
      </c>
      <c r="AP216" s="507"/>
      <c r="AQ216" s="507"/>
      <c r="AR216" s="507"/>
      <c r="AS216" s="507"/>
      <c r="AT216" s="507"/>
      <c r="AU216" s="507"/>
      <c r="AV216" s="507"/>
      <c r="AW216" s="507"/>
      <c r="AX216" s="507"/>
      <c r="AY216" s="507"/>
      <c r="AZ216" s="507"/>
      <c r="BA216" s="507"/>
      <c r="BB216" s="507" t="s">
        <v>13389</v>
      </c>
      <c r="BC216" s="507"/>
      <c r="BD216" s="507"/>
      <c r="BE216" s="507"/>
      <c r="BF216" s="507"/>
      <c r="BG216" s="507"/>
      <c r="BH216" s="507" t="s">
        <v>13378</v>
      </c>
      <c r="BI216" s="507"/>
      <c r="BJ216" s="507"/>
      <c r="BK216" s="507"/>
      <c r="BL216" s="507"/>
      <c r="BM216" s="507"/>
      <c r="BN216" s="507"/>
      <c r="BO216" s="507"/>
      <c r="BP216" s="507"/>
      <c r="BQ216" s="507"/>
      <c r="BR216" s="507"/>
      <c r="BS216" s="507"/>
      <c r="BT216" s="507"/>
      <c r="BU216" s="507" t="s">
        <v>13390</v>
      </c>
      <c r="BV216" s="507"/>
      <c r="BW216" s="507"/>
      <c r="BX216" s="507"/>
      <c r="BY216" s="507"/>
      <c r="BZ216" s="507"/>
      <c r="CA216" s="507" t="s">
        <v>13379</v>
      </c>
      <c r="CB216" s="507"/>
      <c r="CC216" s="507"/>
      <c r="CD216" s="507"/>
      <c r="CE216" s="507"/>
      <c r="CF216" s="507"/>
      <c r="CG216" s="507"/>
      <c r="CH216" s="507"/>
      <c r="CI216" s="507"/>
      <c r="CJ216" s="507"/>
      <c r="CK216" s="507"/>
      <c r="CL216" s="507"/>
      <c r="CM216" s="507"/>
      <c r="CN216" s="507" t="s">
        <v>13391</v>
      </c>
      <c r="CO216" s="507"/>
      <c r="CP216" s="507"/>
      <c r="CQ216" s="507"/>
      <c r="CR216" s="507"/>
      <c r="CS216" s="507"/>
      <c r="CT216" s="507" t="s">
        <v>13380</v>
      </c>
      <c r="CU216" s="507"/>
      <c r="CV216" s="507"/>
      <c r="CW216" s="507"/>
      <c r="CX216" s="507"/>
      <c r="CY216" s="507"/>
      <c r="CZ216" s="507"/>
      <c r="DA216" s="507"/>
      <c r="DB216" s="507"/>
      <c r="DC216" s="507"/>
      <c r="DD216" s="507"/>
      <c r="DE216" s="507"/>
      <c r="DF216" s="507"/>
      <c r="DG216" s="507" t="s">
        <v>13392</v>
      </c>
      <c r="DH216" s="507"/>
      <c r="DI216" s="507"/>
      <c r="DJ216" s="507"/>
      <c r="DK216" s="507"/>
      <c r="DL216" s="507"/>
      <c r="DM216" s="507" t="s">
        <v>13381</v>
      </c>
      <c r="DN216" s="507"/>
      <c r="DO216" s="507"/>
      <c r="DP216" s="507"/>
      <c r="DQ216" s="507"/>
      <c r="DR216" s="507"/>
      <c r="DS216" s="507"/>
      <c r="DT216" s="507"/>
      <c r="DU216" s="507"/>
      <c r="DV216" s="507"/>
      <c r="DW216" s="507"/>
      <c r="DX216" s="507"/>
      <c r="DY216" s="507"/>
      <c r="DZ216" s="507" t="s">
        <v>13393</v>
      </c>
      <c r="EA216" s="507"/>
      <c r="EB216" s="507"/>
      <c r="EC216" s="507"/>
      <c r="ED216" s="507"/>
      <c r="EE216" s="507"/>
      <c r="EF216" s="507" t="s">
        <v>13382</v>
      </c>
      <c r="EG216" s="507"/>
      <c r="EH216" s="507"/>
      <c r="EI216" s="507"/>
      <c r="EJ216" s="507"/>
      <c r="EK216" s="507"/>
      <c r="EL216" s="507"/>
      <c r="EM216" s="507"/>
      <c r="EN216" s="507"/>
      <c r="EO216" s="507"/>
      <c r="EP216" s="507"/>
      <c r="EQ216" s="507"/>
      <c r="ER216" s="507"/>
      <c r="ES216" s="507" t="s">
        <v>13394</v>
      </c>
      <c r="ET216" s="507"/>
    </row>
    <row r="217" spans="1:150" s="508" customFormat="1" x14ac:dyDescent="0.2">
      <c r="A217" s="567"/>
      <c r="C217" s="5"/>
      <c r="J217" s="146"/>
      <c r="K217" s="146"/>
      <c r="L217" s="146"/>
      <c r="M217" s="146"/>
      <c r="N217" s="146"/>
      <c r="O217" s="146"/>
      <c r="P217" s="287"/>
      <c r="Q217" s="287"/>
      <c r="R217" s="507"/>
      <c r="S217" s="507"/>
      <c r="T217" s="507"/>
      <c r="U217" s="507"/>
      <c r="V217" s="507"/>
      <c r="W217" s="507"/>
      <c r="X217" s="507"/>
      <c r="Y217" s="507"/>
      <c r="Z217" s="507"/>
      <c r="AA217" s="507"/>
      <c r="AB217" s="507"/>
      <c r="AC217" s="507"/>
      <c r="AD217" s="507"/>
      <c r="AE217" s="507"/>
      <c r="AF217" s="507"/>
      <c r="AG217" s="507"/>
      <c r="AH217" s="507"/>
      <c r="AI217" s="507"/>
      <c r="AJ217" s="507"/>
      <c r="AK217" s="507"/>
      <c r="AL217" s="507"/>
      <c r="AM217" s="507"/>
      <c r="AN217" s="507"/>
      <c r="AO217" s="507"/>
      <c r="AP217" s="507"/>
      <c r="AQ217" s="507"/>
      <c r="AR217" s="507"/>
      <c r="AS217" s="507"/>
      <c r="AT217" s="507"/>
      <c r="AU217" s="507"/>
      <c r="AV217" s="507"/>
      <c r="AW217" s="507"/>
      <c r="AX217" s="507"/>
      <c r="AY217" s="507"/>
      <c r="AZ217" s="507"/>
      <c r="BA217" s="507"/>
      <c r="BB217" s="507"/>
      <c r="BC217" s="507"/>
      <c r="BD217" s="507"/>
      <c r="BE217" s="507"/>
      <c r="BF217" s="507"/>
      <c r="BG217" s="507"/>
      <c r="BH217" s="507"/>
      <c r="BI217" s="507"/>
      <c r="BJ217" s="507"/>
      <c r="BK217" s="507"/>
      <c r="BL217" s="507"/>
      <c r="BM217" s="507"/>
      <c r="BN217" s="507"/>
      <c r="BO217" s="507"/>
      <c r="BP217" s="507"/>
      <c r="BQ217" s="507"/>
      <c r="BR217" s="507"/>
      <c r="BS217" s="507"/>
      <c r="BT217" s="507"/>
      <c r="BU217" s="507"/>
      <c r="BV217" s="507"/>
      <c r="BW217" s="507"/>
      <c r="BX217" s="507"/>
      <c r="BY217" s="507"/>
      <c r="BZ217" s="507"/>
      <c r="CA217" s="507"/>
      <c r="CB217" s="507"/>
      <c r="CC217" s="507"/>
      <c r="CD217" s="507"/>
      <c r="CE217" s="507"/>
      <c r="CF217" s="507"/>
      <c r="CG217" s="507"/>
      <c r="CH217" s="507"/>
      <c r="CI217" s="507"/>
      <c r="CJ217" s="507"/>
      <c r="CK217" s="507"/>
      <c r="CL217" s="507"/>
      <c r="CM217" s="507"/>
      <c r="CN217" s="507"/>
      <c r="CO217" s="507"/>
      <c r="CP217" s="507"/>
      <c r="CQ217" s="507"/>
      <c r="CR217" s="507"/>
      <c r="CS217" s="507"/>
      <c r="CT217" s="507"/>
      <c r="CU217" s="507"/>
      <c r="CV217" s="507"/>
      <c r="CW217" s="507"/>
      <c r="CX217" s="507"/>
      <c r="CY217" s="507"/>
      <c r="CZ217" s="507"/>
      <c r="DA217" s="507"/>
      <c r="DB217" s="507"/>
      <c r="DC217" s="507"/>
      <c r="DD217" s="507"/>
      <c r="DE217" s="507"/>
      <c r="DF217" s="507"/>
      <c r="DG217" s="507"/>
      <c r="DH217" s="507"/>
      <c r="DI217" s="507"/>
      <c r="DJ217" s="507"/>
      <c r="DK217" s="507"/>
      <c r="DL217" s="507"/>
      <c r="DM217" s="507"/>
      <c r="DN217" s="507"/>
      <c r="DO217" s="507"/>
      <c r="DP217" s="507"/>
      <c r="DQ217" s="507"/>
      <c r="DR217" s="507"/>
      <c r="DS217" s="507"/>
      <c r="DT217" s="507"/>
      <c r="DU217" s="507"/>
      <c r="DV217" s="507"/>
      <c r="DW217" s="507"/>
      <c r="DX217" s="507"/>
      <c r="DY217" s="507"/>
      <c r="DZ217" s="507"/>
      <c r="EA217" s="507"/>
      <c r="EB217" s="507"/>
      <c r="EC217" s="507"/>
      <c r="ED217" s="507"/>
      <c r="EE217" s="507"/>
      <c r="EF217" s="507"/>
      <c r="EG217" s="507"/>
      <c r="EH217" s="507"/>
      <c r="EI217" s="507"/>
      <c r="EJ217" s="507"/>
      <c r="EK217" s="507"/>
      <c r="EL217" s="507"/>
      <c r="EM217" s="507"/>
      <c r="EN217" s="507"/>
      <c r="EO217" s="507"/>
      <c r="EP217" s="507"/>
      <c r="EQ217" s="507"/>
      <c r="ER217" s="507"/>
      <c r="ES217" s="507"/>
      <c r="ET217" s="507"/>
    </row>
    <row r="218" spans="1:150" s="281" customFormat="1" ht="15" x14ac:dyDescent="0.25">
      <c r="B218" s="92" t="str">
        <f ca="1">IF(OFFSET(T218,0,Lang_Order*Lang__B4)="","",OFFSET(T218,0,Lang_Order*Lang__B4))</f>
        <v>Volume of existing routine vaccines required (liters) [PER DISTRICT]</v>
      </c>
      <c r="C218" s="270"/>
      <c r="J218" s="16"/>
      <c r="K218" s="16"/>
      <c r="L218" s="16"/>
      <c r="M218" s="16"/>
      <c r="N218" s="16"/>
      <c r="O218" s="16"/>
      <c r="P218" s="297" t="str">
        <f ca="1">IF(OFFSET(AH218,0,Lang_Order*Lang__B4)="","",OFFSET(AH218,0,Lang_Order*Lang__B4))</f>
        <v>Liters</v>
      </c>
      <c r="Q218" s="16"/>
      <c r="R218" s="403"/>
      <c r="S218" s="403"/>
      <c r="T218" s="403" t="s">
        <v>3627</v>
      </c>
      <c r="U218" s="403"/>
      <c r="V218" s="403"/>
      <c r="W218" s="403"/>
      <c r="X218" s="403"/>
      <c r="Y218" s="403"/>
      <c r="Z218" s="403"/>
      <c r="AA218" s="403"/>
      <c r="AB218" s="403"/>
      <c r="AC218" s="403"/>
      <c r="AD218" s="403"/>
      <c r="AE218" s="403"/>
      <c r="AF218" s="403"/>
      <c r="AG218" s="403"/>
      <c r="AH218" s="403" t="s">
        <v>3204</v>
      </c>
      <c r="AI218" s="403"/>
      <c r="AJ218" s="403"/>
      <c r="AK218" s="403"/>
      <c r="AL218" s="403"/>
      <c r="AM218" s="403" t="s">
        <v>11130</v>
      </c>
      <c r="AN218" s="403"/>
      <c r="AO218" s="403"/>
      <c r="AP218" s="403"/>
      <c r="AQ218" s="403"/>
      <c r="AR218" s="403"/>
      <c r="AS218" s="403"/>
      <c r="AT218" s="403"/>
      <c r="AU218" s="403"/>
      <c r="AV218" s="403"/>
      <c r="AW218" s="403"/>
      <c r="AX218" s="403"/>
      <c r="AY218" s="403"/>
      <c r="AZ218" s="403"/>
      <c r="BA218" s="403" t="s">
        <v>10797</v>
      </c>
      <c r="BB218" s="403"/>
      <c r="BC218" s="403"/>
      <c r="BD218" s="403"/>
      <c r="BE218" s="403"/>
      <c r="BF218" s="403" t="s">
        <v>11131</v>
      </c>
      <c r="BG218" s="403"/>
      <c r="BH218" s="403"/>
      <c r="BI218" s="403"/>
      <c r="BJ218" s="403"/>
      <c r="BK218" s="403"/>
      <c r="BL218" s="403"/>
      <c r="BM218" s="403"/>
      <c r="BN218" s="403"/>
      <c r="BO218" s="403"/>
      <c r="BP218" s="403"/>
      <c r="BQ218" s="403"/>
      <c r="BR218" s="403"/>
      <c r="BS218" s="403"/>
      <c r="BT218" s="403" t="s">
        <v>10799</v>
      </c>
      <c r="BU218" s="403"/>
      <c r="BV218" s="403"/>
      <c r="BW218" s="403"/>
      <c r="BX218" s="403"/>
      <c r="BY218" s="403" t="s">
        <v>11132</v>
      </c>
      <c r="BZ218" s="403"/>
      <c r="CA218" s="403"/>
      <c r="CB218" s="403"/>
      <c r="CC218" s="403"/>
      <c r="CD218" s="403"/>
      <c r="CE218" s="403"/>
      <c r="CF218" s="403"/>
      <c r="CG218" s="403"/>
      <c r="CH218" s="403"/>
      <c r="CI218" s="403"/>
      <c r="CJ218" s="403"/>
      <c r="CK218" s="403"/>
      <c r="CL218" s="403"/>
      <c r="CM218" s="403" t="s">
        <v>10801</v>
      </c>
      <c r="CN218" s="403"/>
      <c r="CO218" s="403"/>
      <c r="CP218" s="403"/>
      <c r="CQ218" s="403"/>
      <c r="CR218" s="403" t="s">
        <v>11133</v>
      </c>
      <c r="CS218" s="403"/>
      <c r="CT218" s="403"/>
      <c r="CU218" s="403"/>
      <c r="CV218" s="403"/>
      <c r="CW218" s="403"/>
      <c r="CX218" s="403"/>
      <c r="CY218" s="403"/>
      <c r="CZ218" s="403"/>
      <c r="DA218" s="403"/>
      <c r="DB218" s="403"/>
      <c r="DC218" s="403"/>
      <c r="DD218" s="403"/>
      <c r="DE218" s="403"/>
      <c r="DF218" s="403" t="s">
        <v>10801</v>
      </c>
      <c r="DG218" s="403"/>
      <c r="DH218" s="403"/>
      <c r="DI218" s="403"/>
      <c r="DJ218" s="403"/>
      <c r="DK218" s="403" t="s">
        <v>11134</v>
      </c>
      <c r="DL218" s="403"/>
      <c r="DM218" s="403"/>
      <c r="DN218" s="403"/>
      <c r="DO218" s="403"/>
      <c r="DP218" s="403"/>
      <c r="DQ218" s="403"/>
      <c r="DR218" s="403"/>
      <c r="DS218" s="403"/>
      <c r="DT218" s="403"/>
      <c r="DU218" s="403"/>
      <c r="DV218" s="403"/>
      <c r="DW218" s="403"/>
      <c r="DX218" s="403"/>
      <c r="DY218" s="403" t="s">
        <v>10804</v>
      </c>
      <c r="DZ218" s="403"/>
      <c r="EA218" s="403"/>
      <c r="EB218" s="403"/>
      <c r="EC218" s="403"/>
      <c r="ED218" s="403" t="s">
        <v>11135</v>
      </c>
      <c r="EE218" s="403"/>
      <c r="EF218" s="403"/>
      <c r="EG218" s="403"/>
      <c r="EH218" s="403"/>
      <c r="EI218" s="403"/>
      <c r="EJ218" s="403"/>
      <c r="EK218" s="403"/>
      <c r="EL218" s="403"/>
      <c r="EM218" s="403"/>
      <c r="EN218" s="403"/>
      <c r="EO218" s="403"/>
      <c r="EP218" s="403"/>
      <c r="EQ218" s="403"/>
      <c r="ER218" s="403" t="s">
        <v>10806</v>
      </c>
      <c r="ES218" s="403"/>
      <c r="ET218" s="403"/>
    </row>
    <row r="219" spans="1:150" s="281" customFormat="1" x14ac:dyDescent="0.2">
      <c r="C219" s="72"/>
      <c r="J219" s="146"/>
      <c r="K219" s="146"/>
      <c r="L219" s="146"/>
      <c r="M219" s="146"/>
      <c r="N219" s="146"/>
      <c r="O219" s="146"/>
      <c r="P219" s="307" t="str">
        <f ca="1">IF(OFFSET(AH219,0,Lang_Order*Lang__B4)="","",OFFSET(AH219,0,Lang_Order*Lang__B4))</f>
        <v>Fill here if known</v>
      </c>
      <c r="Q219" s="16"/>
      <c r="R219" s="403"/>
      <c r="S219" s="403"/>
      <c r="T219" s="403"/>
      <c r="U219" s="403"/>
      <c r="V219" s="403"/>
      <c r="W219" s="403"/>
      <c r="X219" s="403"/>
      <c r="Y219" s="403"/>
      <c r="Z219" s="403"/>
      <c r="AA219" s="403"/>
      <c r="AB219" s="403"/>
      <c r="AC219" s="403"/>
      <c r="AD219" s="403"/>
      <c r="AE219" s="403"/>
      <c r="AF219" s="403"/>
      <c r="AG219" s="403"/>
      <c r="AH219" s="403" t="s">
        <v>3666</v>
      </c>
      <c r="AI219" s="403"/>
      <c r="AJ219" s="403"/>
      <c r="AK219" s="403"/>
      <c r="AL219" s="403"/>
      <c r="AM219" s="403"/>
      <c r="AN219" s="403"/>
      <c r="AO219" s="403"/>
      <c r="AP219" s="403"/>
      <c r="AQ219" s="403"/>
      <c r="AR219" s="403"/>
      <c r="AS219" s="403"/>
      <c r="AT219" s="403"/>
      <c r="AU219" s="403"/>
      <c r="AV219" s="403"/>
      <c r="AW219" s="403"/>
      <c r="AX219" s="403"/>
      <c r="AY219" s="403"/>
      <c r="AZ219" s="403"/>
      <c r="BA219" s="403" t="s">
        <v>10807</v>
      </c>
      <c r="BB219" s="403"/>
      <c r="BC219" s="403"/>
      <c r="BD219" s="403"/>
      <c r="BE219" s="403"/>
      <c r="BF219" s="403"/>
      <c r="BG219" s="403"/>
      <c r="BH219" s="403"/>
      <c r="BI219" s="403"/>
      <c r="BJ219" s="403"/>
      <c r="BK219" s="403"/>
      <c r="BL219" s="403"/>
      <c r="BM219" s="403"/>
      <c r="BN219" s="403"/>
      <c r="BO219" s="403"/>
      <c r="BP219" s="403"/>
      <c r="BQ219" s="403"/>
      <c r="BR219" s="403"/>
      <c r="BS219" s="403"/>
      <c r="BT219" s="403" t="s">
        <v>10992</v>
      </c>
      <c r="BU219" s="403"/>
      <c r="BV219" s="403"/>
      <c r="BW219" s="403"/>
      <c r="BX219" s="403"/>
      <c r="BY219" s="403"/>
      <c r="BZ219" s="403"/>
      <c r="CA219" s="403"/>
      <c r="CB219" s="403"/>
      <c r="CC219" s="403"/>
      <c r="CD219" s="403"/>
      <c r="CE219" s="403"/>
      <c r="CF219" s="403"/>
      <c r="CG219" s="403"/>
      <c r="CH219" s="403"/>
      <c r="CI219" s="403"/>
      <c r="CJ219" s="403"/>
      <c r="CK219" s="403"/>
      <c r="CL219" s="403"/>
      <c r="CM219" s="403" t="s">
        <v>10993</v>
      </c>
      <c r="CN219" s="403"/>
      <c r="CO219" s="403"/>
      <c r="CP219" s="403"/>
      <c r="CQ219" s="403"/>
      <c r="CR219" s="403"/>
      <c r="CS219" s="403"/>
      <c r="CT219" s="403"/>
      <c r="CU219" s="403"/>
      <c r="CV219" s="403"/>
      <c r="CW219" s="403"/>
      <c r="CX219" s="403"/>
      <c r="CY219" s="403"/>
      <c r="CZ219" s="403"/>
      <c r="DA219" s="403"/>
      <c r="DB219" s="403"/>
      <c r="DC219" s="403"/>
      <c r="DD219" s="403"/>
      <c r="DE219" s="403"/>
      <c r="DF219" s="403" t="s">
        <v>10810</v>
      </c>
      <c r="DG219" s="403"/>
      <c r="DH219" s="403"/>
      <c r="DI219" s="403"/>
      <c r="DJ219" s="403"/>
      <c r="DK219" s="403"/>
      <c r="DL219" s="403"/>
      <c r="DM219" s="403"/>
      <c r="DN219" s="403"/>
      <c r="DO219" s="403"/>
      <c r="DP219" s="403"/>
      <c r="DQ219" s="403"/>
      <c r="DR219" s="403"/>
      <c r="DS219" s="403"/>
      <c r="DT219" s="403"/>
      <c r="DU219" s="403"/>
      <c r="DV219" s="403"/>
      <c r="DW219" s="403"/>
      <c r="DX219" s="403"/>
      <c r="DY219" s="403" t="s">
        <v>10994</v>
      </c>
      <c r="DZ219" s="403"/>
      <c r="EA219" s="403"/>
      <c r="EB219" s="403"/>
      <c r="EC219" s="403"/>
      <c r="ED219" s="403"/>
      <c r="EE219" s="403"/>
      <c r="EF219" s="403"/>
      <c r="EG219" s="403"/>
      <c r="EH219" s="403"/>
      <c r="EI219" s="403"/>
      <c r="EJ219" s="403"/>
      <c r="EK219" s="403"/>
      <c r="EL219" s="403"/>
      <c r="EM219" s="403"/>
      <c r="EN219" s="403"/>
      <c r="EO219" s="403"/>
      <c r="EP219" s="403"/>
      <c r="EQ219" s="403"/>
      <c r="ER219" s="403" t="s">
        <v>10812</v>
      </c>
      <c r="ES219" s="403"/>
      <c r="ET219" s="403"/>
    </row>
    <row r="220" spans="1:150" s="281" customFormat="1" x14ac:dyDescent="0.2">
      <c r="A220" s="350">
        <v>2</v>
      </c>
      <c r="C220" s="5" t="str">
        <f ca="1">IF(OFFSET(U220,0,Lang_Order*Lang__B4)="","",OFFSET(U220,0,Lang_Order*Lang__B4))</f>
        <v>Refrigerated (2 to 8C)</v>
      </c>
      <c r="J220" s="146"/>
      <c r="K220" s="146"/>
      <c r="L220" s="146"/>
      <c r="M220" s="146"/>
      <c r="N220" s="146"/>
      <c r="O220" s="146"/>
      <c r="P220" s="205">
        <v>0</v>
      </c>
      <c r="Q220" s="157" t="str">
        <f ca="1">IF(OFFSET(AI220,0,Lang_Order*Lang__B4)="","",OFFSET(AI220,0,Lang_Order*Lang__B4))</f>
        <v>If the volume of existing routine vaccines required is known, can be inputed here</v>
      </c>
      <c r="R220" s="403"/>
      <c r="S220" s="403"/>
      <c r="T220" s="403"/>
      <c r="U220" s="403" t="s">
        <v>11</v>
      </c>
      <c r="V220" s="403"/>
      <c r="W220" s="403"/>
      <c r="X220" s="403"/>
      <c r="Y220" s="403"/>
      <c r="Z220" s="403"/>
      <c r="AA220" s="403"/>
      <c r="AB220" s="403"/>
      <c r="AC220" s="403"/>
      <c r="AD220" s="403"/>
      <c r="AE220" s="403"/>
      <c r="AF220" s="403"/>
      <c r="AG220" s="403"/>
      <c r="AH220" s="403"/>
      <c r="AI220" s="403" t="s">
        <v>3205</v>
      </c>
      <c r="AJ220" s="403"/>
      <c r="AK220" s="403"/>
      <c r="AL220" s="403"/>
      <c r="AM220" s="403"/>
      <c r="AN220" s="403" t="s">
        <v>10714</v>
      </c>
      <c r="AO220" s="403"/>
      <c r="AP220" s="403"/>
      <c r="AQ220" s="403"/>
      <c r="AR220" s="403"/>
      <c r="AS220" s="403"/>
      <c r="AT220" s="403"/>
      <c r="AU220" s="403"/>
      <c r="AV220" s="403"/>
      <c r="AW220" s="403"/>
      <c r="AX220" s="403"/>
      <c r="AY220" s="403"/>
      <c r="AZ220" s="403"/>
      <c r="BA220" s="403"/>
      <c r="BB220" s="403" t="s">
        <v>10813</v>
      </c>
      <c r="BC220" s="403"/>
      <c r="BD220" s="403"/>
      <c r="BE220" s="403"/>
      <c r="BF220" s="403"/>
      <c r="BG220" s="403" t="s">
        <v>10227</v>
      </c>
      <c r="BH220" s="403"/>
      <c r="BI220" s="403"/>
      <c r="BJ220" s="403"/>
      <c r="BK220" s="403"/>
      <c r="BL220" s="403"/>
      <c r="BM220" s="403"/>
      <c r="BN220" s="403"/>
      <c r="BO220" s="403"/>
      <c r="BP220" s="403"/>
      <c r="BQ220" s="403"/>
      <c r="BR220" s="403"/>
      <c r="BS220" s="403"/>
      <c r="BT220" s="403"/>
      <c r="BU220" s="403" t="s">
        <v>10814</v>
      </c>
      <c r="BV220" s="403"/>
      <c r="BW220" s="403"/>
      <c r="BX220" s="403"/>
      <c r="BY220" s="403"/>
      <c r="BZ220" s="403" t="s">
        <v>10715</v>
      </c>
      <c r="CA220" s="403"/>
      <c r="CB220" s="403"/>
      <c r="CC220" s="403"/>
      <c r="CD220" s="403"/>
      <c r="CE220" s="403"/>
      <c r="CF220" s="403"/>
      <c r="CG220" s="403"/>
      <c r="CH220" s="403"/>
      <c r="CI220" s="403"/>
      <c r="CJ220" s="403"/>
      <c r="CK220" s="403"/>
      <c r="CL220" s="403"/>
      <c r="CM220" s="403"/>
      <c r="CN220" s="403" t="s">
        <v>10815</v>
      </c>
      <c r="CO220" s="403"/>
      <c r="CP220" s="403"/>
      <c r="CQ220" s="403"/>
      <c r="CR220" s="403"/>
      <c r="CS220" s="403" t="s">
        <v>8384</v>
      </c>
      <c r="CT220" s="403"/>
      <c r="CU220" s="403"/>
      <c r="CV220" s="403"/>
      <c r="CW220" s="403"/>
      <c r="CX220" s="403"/>
      <c r="CY220" s="403"/>
      <c r="CZ220" s="403"/>
      <c r="DA220" s="403"/>
      <c r="DB220" s="403"/>
      <c r="DC220" s="403"/>
      <c r="DD220" s="403"/>
      <c r="DE220" s="403"/>
      <c r="DF220" s="403"/>
      <c r="DG220" s="403" t="s">
        <v>10816</v>
      </c>
      <c r="DH220" s="403"/>
      <c r="DI220" s="403"/>
      <c r="DJ220" s="403"/>
      <c r="DK220" s="403"/>
      <c r="DL220" s="403" t="s">
        <v>10248</v>
      </c>
      <c r="DM220" s="403"/>
      <c r="DN220" s="403"/>
      <c r="DO220" s="403"/>
      <c r="DP220" s="403"/>
      <c r="DQ220" s="403"/>
      <c r="DR220" s="403"/>
      <c r="DS220" s="403"/>
      <c r="DT220" s="403"/>
      <c r="DU220" s="403"/>
      <c r="DV220" s="403"/>
      <c r="DW220" s="403"/>
      <c r="DX220" s="403"/>
      <c r="DY220" s="403"/>
      <c r="DZ220" s="403" t="s">
        <v>10817</v>
      </c>
      <c r="EA220" s="403"/>
      <c r="EB220" s="403"/>
      <c r="EC220" s="403"/>
      <c r="ED220" s="403"/>
      <c r="EE220" s="403" t="s">
        <v>8387</v>
      </c>
      <c r="EF220" s="403"/>
      <c r="EG220" s="403"/>
      <c r="EH220" s="403"/>
      <c r="EI220" s="403"/>
      <c r="EJ220" s="403"/>
      <c r="EK220" s="403"/>
      <c r="EL220" s="403"/>
      <c r="EM220" s="403"/>
      <c r="EN220" s="403"/>
      <c r="EO220" s="403"/>
      <c r="EP220" s="403"/>
      <c r="EQ220" s="403"/>
      <c r="ER220" s="403"/>
      <c r="ES220" s="403" t="s">
        <v>10818</v>
      </c>
      <c r="ET220" s="403"/>
    </row>
    <row r="221" spans="1:150" s="281" customFormat="1" x14ac:dyDescent="0.2">
      <c r="A221" s="350">
        <v>2</v>
      </c>
      <c r="C221" s="5" t="str">
        <f ca="1">IF(OFFSET(U221,0,Lang_Order*Lang__B4)="","",OFFSET(U221,0,Lang_Order*Lang__B4))</f>
        <v>Frozen (-20C)</v>
      </c>
      <c r="J221" s="146"/>
      <c r="K221" s="146"/>
      <c r="L221" s="146"/>
      <c r="M221" s="146"/>
      <c r="N221" s="146"/>
      <c r="O221" s="146"/>
      <c r="P221" s="205">
        <v>0</v>
      </c>
      <c r="Q221" s="157" t="str">
        <f ca="1">IF(OFFSET(AI221,0,Lang_Order*Lang__B4)="","",OFFSET(AI221,0,Lang_Order*Lang__B4))</f>
        <v>If the volume of existing routine vaccines required is known, can be inputed here</v>
      </c>
      <c r="R221" s="403"/>
      <c r="S221" s="403"/>
      <c r="T221" s="403"/>
      <c r="U221" s="403" t="s">
        <v>12</v>
      </c>
      <c r="V221" s="403"/>
      <c r="W221" s="403"/>
      <c r="X221" s="403"/>
      <c r="Y221" s="403"/>
      <c r="Z221" s="403"/>
      <c r="AA221" s="403"/>
      <c r="AB221" s="403"/>
      <c r="AC221" s="403"/>
      <c r="AD221" s="403"/>
      <c r="AE221" s="403"/>
      <c r="AF221" s="403"/>
      <c r="AG221" s="403"/>
      <c r="AH221" s="403"/>
      <c r="AI221" s="403" t="s">
        <v>3205</v>
      </c>
      <c r="AJ221" s="403"/>
      <c r="AK221" s="403"/>
      <c r="AL221" s="403"/>
      <c r="AM221" s="403"/>
      <c r="AN221" s="403" t="s">
        <v>10717</v>
      </c>
      <c r="AO221" s="403"/>
      <c r="AP221" s="403"/>
      <c r="AQ221" s="403"/>
      <c r="AR221" s="403"/>
      <c r="AS221" s="403"/>
      <c r="AT221" s="403"/>
      <c r="AU221" s="403"/>
      <c r="AV221" s="403"/>
      <c r="AW221" s="403"/>
      <c r="AX221" s="403"/>
      <c r="AY221" s="403"/>
      <c r="AZ221" s="403"/>
      <c r="BA221" s="403"/>
      <c r="BB221" s="403" t="s">
        <v>10813</v>
      </c>
      <c r="BC221" s="403"/>
      <c r="BD221" s="403"/>
      <c r="BE221" s="403"/>
      <c r="BF221" s="403"/>
      <c r="BG221" s="403" t="s">
        <v>10228</v>
      </c>
      <c r="BH221" s="403"/>
      <c r="BI221" s="403"/>
      <c r="BJ221" s="403"/>
      <c r="BK221" s="403"/>
      <c r="BL221" s="403"/>
      <c r="BM221" s="403"/>
      <c r="BN221" s="403"/>
      <c r="BO221" s="403"/>
      <c r="BP221" s="403"/>
      <c r="BQ221" s="403"/>
      <c r="BR221" s="403"/>
      <c r="BS221" s="403"/>
      <c r="BT221" s="403"/>
      <c r="BU221" s="403" t="s">
        <v>10814</v>
      </c>
      <c r="BV221" s="403"/>
      <c r="BW221" s="403"/>
      <c r="BX221" s="403"/>
      <c r="BY221" s="403"/>
      <c r="BZ221" s="403" t="s">
        <v>10718</v>
      </c>
      <c r="CA221" s="403"/>
      <c r="CB221" s="403"/>
      <c r="CC221" s="403"/>
      <c r="CD221" s="403"/>
      <c r="CE221" s="403"/>
      <c r="CF221" s="403"/>
      <c r="CG221" s="403"/>
      <c r="CH221" s="403"/>
      <c r="CI221" s="403"/>
      <c r="CJ221" s="403"/>
      <c r="CK221" s="403"/>
      <c r="CL221" s="403"/>
      <c r="CM221" s="403"/>
      <c r="CN221" s="403" t="s">
        <v>10815</v>
      </c>
      <c r="CO221" s="403"/>
      <c r="CP221" s="403"/>
      <c r="CQ221" s="403"/>
      <c r="CR221" s="403"/>
      <c r="CS221" s="403" t="s">
        <v>8391</v>
      </c>
      <c r="CT221" s="403"/>
      <c r="CU221" s="403"/>
      <c r="CV221" s="403"/>
      <c r="CW221" s="403"/>
      <c r="CX221" s="403"/>
      <c r="CY221" s="403"/>
      <c r="CZ221" s="403"/>
      <c r="DA221" s="403"/>
      <c r="DB221" s="403"/>
      <c r="DC221" s="403"/>
      <c r="DD221" s="403"/>
      <c r="DE221" s="403"/>
      <c r="DF221" s="403"/>
      <c r="DG221" s="403" t="s">
        <v>10816</v>
      </c>
      <c r="DH221" s="403"/>
      <c r="DI221" s="403"/>
      <c r="DJ221" s="403"/>
      <c r="DK221" s="403"/>
      <c r="DL221" s="403" t="s">
        <v>10249</v>
      </c>
      <c r="DM221" s="403"/>
      <c r="DN221" s="403"/>
      <c r="DO221" s="403"/>
      <c r="DP221" s="403"/>
      <c r="DQ221" s="403"/>
      <c r="DR221" s="403"/>
      <c r="DS221" s="403"/>
      <c r="DT221" s="403"/>
      <c r="DU221" s="403"/>
      <c r="DV221" s="403"/>
      <c r="DW221" s="403"/>
      <c r="DX221" s="403"/>
      <c r="DY221" s="403"/>
      <c r="DZ221" s="403" t="s">
        <v>10817</v>
      </c>
      <c r="EA221" s="403"/>
      <c r="EB221" s="403"/>
      <c r="EC221" s="403"/>
      <c r="ED221" s="403"/>
      <c r="EE221" s="403" t="s">
        <v>8393</v>
      </c>
      <c r="EF221" s="403"/>
      <c r="EG221" s="403"/>
      <c r="EH221" s="403"/>
      <c r="EI221" s="403"/>
      <c r="EJ221" s="403"/>
      <c r="EK221" s="403"/>
      <c r="EL221" s="403"/>
      <c r="EM221" s="403"/>
      <c r="EN221" s="403"/>
      <c r="EO221" s="403"/>
      <c r="EP221" s="403"/>
      <c r="EQ221" s="403"/>
      <c r="ER221" s="403"/>
      <c r="ES221" s="403" t="s">
        <v>10818</v>
      </c>
      <c r="ET221" s="403"/>
    </row>
    <row r="222" spans="1:150" s="281" customFormat="1" hidden="1" x14ac:dyDescent="0.2">
      <c r="A222" s="346" t="s">
        <v>14118</v>
      </c>
      <c r="B222" s="567"/>
      <c r="C222" s="72" t="str">
        <f ca="1">IF(OFFSET(U222,0,Lang_Order*Lang__B4)="","",OFFSET(U222,0,Lang_Order*Lang__B4))</f>
        <v>Ultra-cold (-60 to -80C)</v>
      </c>
      <c r="J222" s="146"/>
      <c r="K222" s="146"/>
      <c r="L222" s="146"/>
      <c r="M222" s="146"/>
      <c r="N222" s="146"/>
      <c r="O222" s="146"/>
      <c r="P222" s="287"/>
      <c r="Q222" s="16"/>
      <c r="R222" s="403"/>
      <c r="S222" s="403"/>
      <c r="T222" s="403"/>
      <c r="U222" s="403" t="s">
        <v>13</v>
      </c>
      <c r="V222" s="403"/>
      <c r="W222" s="403"/>
      <c r="X222" s="403"/>
      <c r="Y222" s="403"/>
      <c r="Z222" s="403"/>
      <c r="AA222" s="403"/>
      <c r="AB222" s="403"/>
      <c r="AC222" s="403"/>
      <c r="AD222" s="403"/>
      <c r="AE222" s="403"/>
      <c r="AF222" s="403"/>
      <c r="AG222" s="403"/>
      <c r="AH222" s="403"/>
      <c r="AI222" s="403"/>
      <c r="AJ222" s="403"/>
      <c r="AK222" s="403"/>
      <c r="AL222" s="403"/>
      <c r="AM222" s="403"/>
      <c r="AN222" s="403" t="s">
        <v>8394</v>
      </c>
      <c r="AO222" s="403"/>
      <c r="AP222" s="403"/>
      <c r="AQ222" s="403"/>
      <c r="AR222" s="403"/>
      <c r="AS222" s="403"/>
      <c r="AT222" s="403"/>
      <c r="AU222" s="403"/>
      <c r="AV222" s="403"/>
      <c r="AW222" s="403"/>
      <c r="AX222" s="403"/>
      <c r="AY222" s="403"/>
      <c r="AZ222" s="403"/>
      <c r="BA222" s="403"/>
      <c r="BB222" s="403"/>
      <c r="BC222" s="403"/>
      <c r="BD222" s="403"/>
      <c r="BE222" s="403"/>
      <c r="BF222" s="403"/>
      <c r="BG222" s="403" t="s">
        <v>10229</v>
      </c>
      <c r="BH222" s="403"/>
      <c r="BI222" s="403"/>
      <c r="BJ222" s="403"/>
      <c r="BK222" s="403"/>
      <c r="BL222" s="403"/>
      <c r="BM222" s="403"/>
      <c r="BN222" s="403"/>
      <c r="BO222" s="403"/>
      <c r="BP222" s="403"/>
      <c r="BQ222" s="403"/>
      <c r="BR222" s="403"/>
      <c r="BS222" s="403"/>
      <c r="BT222" s="403"/>
      <c r="BU222" s="403"/>
      <c r="BV222" s="403"/>
      <c r="BW222" s="403"/>
      <c r="BX222" s="403"/>
      <c r="BY222" s="403"/>
      <c r="BZ222" s="403" t="s">
        <v>10237</v>
      </c>
      <c r="CA222" s="403"/>
      <c r="CB222" s="403"/>
      <c r="CC222" s="403"/>
      <c r="CD222" s="403"/>
      <c r="CE222" s="403"/>
      <c r="CF222" s="403"/>
      <c r="CG222" s="403"/>
      <c r="CH222" s="403"/>
      <c r="CI222" s="403"/>
      <c r="CJ222" s="403"/>
      <c r="CK222" s="403"/>
      <c r="CL222" s="403"/>
      <c r="CM222" s="403"/>
      <c r="CN222" s="403"/>
      <c r="CO222" s="403"/>
      <c r="CP222" s="403"/>
      <c r="CQ222" s="403"/>
      <c r="CR222" s="403"/>
      <c r="CS222" s="403" t="s">
        <v>8400</v>
      </c>
      <c r="CT222" s="403"/>
      <c r="CU222" s="403"/>
      <c r="CV222" s="403"/>
      <c r="CW222" s="403"/>
      <c r="CX222" s="403"/>
      <c r="CY222" s="403"/>
      <c r="CZ222" s="403"/>
      <c r="DA222" s="403"/>
      <c r="DB222" s="403"/>
      <c r="DC222" s="403"/>
      <c r="DD222" s="403"/>
      <c r="DE222" s="403"/>
      <c r="DF222" s="403"/>
      <c r="DG222" s="403"/>
      <c r="DH222" s="403"/>
      <c r="DI222" s="403"/>
      <c r="DJ222" s="403"/>
      <c r="DK222" s="403"/>
      <c r="DL222" s="403" t="s">
        <v>10250</v>
      </c>
      <c r="DM222" s="403"/>
      <c r="DN222" s="403"/>
      <c r="DO222" s="403"/>
      <c r="DP222" s="403"/>
      <c r="DQ222" s="403"/>
      <c r="DR222" s="403"/>
      <c r="DS222" s="403"/>
      <c r="DT222" s="403"/>
      <c r="DU222" s="403"/>
      <c r="DV222" s="403"/>
      <c r="DW222" s="403"/>
      <c r="DX222" s="403"/>
      <c r="DY222" s="403"/>
      <c r="DZ222" s="403"/>
      <c r="EA222" s="403"/>
      <c r="EB222" s="403"/>
      <c r="EC222" s="403"/>
      <c r="ED222" s="403"/>
      <c r="EE222" s="403" t="s">
        <v>8404</v>
      </c>
      <c r="EF222" s="403"/>
      <c r="EG222" s="403"/>
      <c r="EH222" s="403"/>
      <c r="EI222" s="403"/>
      <c r="EJ222" s="403"/>
      <c r="EK222" s="403"/>
      <c r="EL222" s="403"/>
      <c r="EM222" s="403"/>
      <c r="EN222" s="403"/>
      <c r="EO222" s="403"/>
      <c r="EP222" s="403"/>
      <c r="EQ222" s="403"/>
      <c r="ER222" s="403"/>
      <c r="ES222" s="403"/>
      <c r="ET222" s="403"/>
    </row>
    <row r="223" spans="1:150" s="281" customFormat="1" x14ac:dyDescent="0.2">
      <c r="C223" s="5"/>
      <c r="J223" s="146"/>
      <c r="K223" s="146"/>
      <c r="L223" s="146"/>
      <c r="M223" s="146"/>
      <c r="N223" s="146"/>
      <c r="O223" s="146"/>
      <c r="P223" s="287"/>
      <c r="Q223" s="16"/>
      <c r="R223" s="403"/>
      <c r="S223" s="403"/>
      <c r="T223" s="403"/>
      <c r="U223" s="403"/>
      <c r="V223" s="403"/>
      <c r="W223" s="403"/>
      <c r="X223" s="403"/>
      <c r="Y223" s="403"/>
      <c r="Z223" s="403"/>
      <c r="AA223" s="403"/>
      <c r="AB223" s="403"/>
      <c r="AC223" s="403"/>
      <c r="AD223" s="403"/>
      <c r="AE223" s="403"/>
      <c r="AF223" s="403"/>
      <c r="AG223" s="403"/>
      <c r="AH223" s="403"/>
      <c r="AI223" s="403"/>
      <c r="AJ223" s="403"/>
      <c r="AK223" s="403"/>
      <c r="AL223" s="403"/>
      <c r="AM223" s="403"/>
      <c r="AN223" s="403"/>
      <c r="AO223" s="403"/>
      <c r="AP223" s="403"/>
      <c r="AQ223" s="403"/>
      <c r="AR223" s="403"/>
      <c r="AS223" s="403"/>
      <c r="AT223" s="403"/>
      <c r="AU223" s="403"/>
      <c r="AV223" s="403"/>
      <c r="AW223" s="403"/>
      <c r="AX223" s="403"/>
      <c r="AY223" s="403"/>
      <c r="AZ223" s="403"/>
      <c r="BA223" s="403"/>
      <c r="BB223" s="403"/>
      <c r="BC223" s="403"/>
      <c r="BD223" s="403"/>
      <c r="BE223" s="403"/>
      <c r="BF223" s="403"/>
      <c r="BG223" s="403"/>
      <c r="BH223" s="403"/>
      <c r="BI223" s="403"/>
      <c r="BJ223" s="403"/>
      <c r="BK223" s="403"/>
      <c r="BL223" s="403"/>
      <c r="BM223" s="403"/>
      <c r="BN223" s="403"/>
      <c r="BO223" s="403"/>
      <c r="BP223" s="403"/>
      <c r="BQ223" s="403"/>
      <c r="BR223" s="403"/>
      <c r="BS223" s="403"/>
      <c r="BT223" s="403"/>
      <c r="BU223" s="403"/>
      <c r="BV223" s="403"/>
      <c r="BW223" s="403"/>
      <c r="BX223" s="403"/>
      <c r="BY223" s="403"/>
      <c r="BZ223" s="403"/>
      <c r="CA223" s="403"/>
      <c r="CB223" s="403"/>
      <c r="CC223" s="403"/>
      <c r="CD223" s="403"/>
      <c r="CE223" s="403"/>
      <c r="CF223" s="403"/>
      <c r="CG223" s="403"/>
      <c r="CH223" s="403"/>
      <c r="CI223" s="403"/>
      <c r="CJ223" s="403"/>
      <c r="CK223" s="403"/>
      <c r="CL223" s="403"/>
      <c r="CM223" s="403"/>
      <c r="CN223" s="403"/>
      <c r="CO223" s="403"/>
      <c r="CP223" s="403"/>
      <c r="CQ223" s="403"/>
      <c r="CR223" s="403"/>
      <c r="CS223" s="403"/>
      <c r="CT223" s="403"/>
      <c r="CU223" s="403"/>
      <c r="CV223" s="403"/>
      <c r="CW223" s="403"/>
      <c r="CX223" s="403"/>
      <c r="CY223" s="403"/>
      <c r="CZ223" s="403"/>
      <c r="DA223" s="403"/>
      <c r="DB223" s="403"/>
      <c r="DC223" s="403"/>
      <c r="DD223" s="403"/>
      <c r="DE223" s="403"/>
      <c r="DF223" s="403"/>
      <c r="DG223" s="403"/>
      <c r="DH223" s="403"/>
      <c r="DI223" s="403"/>
      <c r="DJ223" s="403"/>
      <c r="DK223" s="403"/>
      <c r="DL223" s="403"/>
      <c r="DM223" s="403"/>
      <c r="DN223" s="403"/>
      <c r="DO223" s="403"/>
      <c r="DP223" s="403"/>
      <c r="DQ223" s="403"/>
      <c r="DR223" s="403"/>
      <c r="DS223" s="403"/>
      <c r="DT223" s="403"/>
      <c r="DU223" s="403"/>
      <c r="DV223" s="403"/>
      <c r="DW223" s="403"/>
      <c r="DX223" s="403"/>
      <c r="DY223" s="403"/>
      <c r="DZ223" s="403"/>
      <c r="EA223" s="403"/>
      <c r="EB223" s="403"/>
      <c r="EC223" s="403"/>
      <c r="ED223" s="403"/>
      <c r="EE223" s="403"/>
      <c r="EF223" s="403"/>
      <c r="EG223" s="403"/>
      <c r="EH223" s="403"/>
      <c r="EI223" s="403"/>
      <c r="EJ223" s="403"/>
      <c r="EK223" s="403"/>
      <c r="EL223" s="403"/>
      <c r="EM223" s="403"/>
      <c r="EN223" s="403"/>
      <c r="EO223" s="403"/>
      <c r="EP223" s="403"/>
      <c r="EQ223" s="403"/>
      <c r="ER223" s="403"/>
      <c r="ES223" s="403"/>
      <c r="ET223" s="403"/>
    </row>
    <row r="224" spans="1:150" s="281" customFormat="1" ht="15" x14ac:dyDescent="0.25">
      <c r="B224" s="624" t="str">
        <f ca="1">IF(OFFSET(T224,0,Lang_Order*Lang__B4)="","",OFFSET(T224,0,Lang_Order*Lang__B4))</f>
        <v>Cold storage units required</v>
      </c>
      <c r="C224" s="5"/>
      <c r="J224" s="294" t="str">
        <f t="shared" ref="J224:P224" ca="1" si="61">IF(OFFSET(AB224,0,Lang_Order*Lang__B4)="","",OFFSET(AB224,0,Lang_Order*Lang__B4))</f>
        <v>Refridgerator capacity per unit</v>
      </c>
      <c r="K224" s="294" t="str">
        <f t="shared" ca="1" si="61"/>
        <v>Freezer capacity per unit</v>
      </c>
      <c r="L224" s="294" t="str">
        <f t="shared" ca="1" si="61"/>
        <v>kWh per period</v>
      </c>
      <c r="M224" s="294" t="str">
        <f t="shared" ca="1" si="61"/>
        <v>Lower Price</v>
      </c>
      <c r="N224" s="294" t="str">
        <f t="shared" ca="1" si="61"/>
        <v>Upper Price</v>
      </c>
      <c r="O224" s="294" t="str">
        <f t="shared" ca="1" si="61"/>
        <v>Prequalified Price</v>
      </c>
      <c r="P224" s="297" t="str">
        <f t="shared" ca="1" si="61"/>
        <v>Units</v>
      </c>
      <c r="Q224" s="91"/>
      <c r="R224" s="403"/>
      <c r="S224" s="403"/>
      <c r="T224" s="403" t="s">
        <v>3594</v>
      </c>
      <c r="U224" s="403"/>
      <c r="V224" s="403"/>
      <c r="W224" s="403"/>
      <c r="X224" s="403"/>
      <c r="Y224" s="403"/>
      <c r="Z224" s="403"/>
      <c r="AA224" s="403"/>
      <c r="AB224" s="403" t="s">
        <v>3575</v>
      </c>
      <c r="AC224" s="403" t="s">
        <v>3576</v>
      </c>
      <c r="AD224" s="403" t="s">
        <v>3212</v>
      </c>
      <c r="AE224" s="403" t="s">
        <v>3591</v>
      </c>
      <c r="AF224" s="403" t="s">
        <v>3590</v>
      </c>
      <c r="AG224" s="403" t="s">
        <v>4618</v>
      </c>
      <c r="AH224" s="403" t="s">
        <v>37</v>
      </c>
      <c r="AI224" s="403"/>
      <c r="AJ224" s="403"/>
      <c r="AK224" s="403"/>
      <c r="AL224" s="403"/>
      <c r="AM224" s="403" t="s">
        <v>11136</v>
      </c>
      <c r="AN224" s="403"/>
      <c r="AO224" s="403"/>
      <c r="AP224" s="403"/>
      <c r="AQ224" s="403"/>
      <c r="AR224" s="403"/>
      <c r="AS224" s="403"/>
      <c r="AT224" s="403"/>
      <c r="AU224" s="403" t="s">
        <v>10820</v>
      </c>
      <c r="AV224" s="403" t="s">
        <v>10821</v>
      </c>
      <c r="AW224" s="403" t="s">
        <v>10996</v>
      </c>
      <c r="AX224" s="403" t="s">
        <v>10823</v>
      </c>
      <c r="AY224" s="403" t="s">
        <v>10824</v>
      </c>
      <c r="AZ224" s="403" t="s">
        <v>10825</v>
      </c>
      <c r="BA224" s="403" t="s">
        <v>8153</v>
      </c>
      <c r="BB224" s="403"/>
      <c r="BC224" s="403"/>
      <c r="BD224" s="403"/>
      <c r="BE224" s="403"/>
      <c r="BF224" s="403" t="s">
        <v>11137</v>
      </c>
      <c r="BG224" s="403"/>
      <c r="BH224" s="403"/>
      <c r="BI224" s="403"/>
      <c r="BJ224" s="403"/>
      <c r="BK224" s="403"/>
      <c r="BL224" s="403"/>
      <c r="BM224" s="403"/>
      <c r="BN224" s="403" t="s">
        <v>10827</v>
      </c>
      <c r="BO224" s="403" t="s">
        <v>10828</v>
      </c>
      <c r="BP224" s="403" t="s">
        <v>10829</v>
      </c>
      <c r="BQ224" s="403" t="s">
        <v>10830</v>
      </c>
      <c r="BR224" s="403" t="s">
        <v>10831</v>
      </c>
      <c r="BS224" s="403" t="s">
        <v>13305</v>
      </c>
      <c r="BT224" s="403" t="s">
        <v>10832</v>
      </c>
      <c r="BU224" s="403"/>
      <c r="BV224" s="403"/>
      <c r="BW224" s="403"/>
      <c r="BX224" s="403"/>
      <c r="BY224" s="403" t="s">
        <v>11138</v>
      </c>
      <c r="BZ224" s="403"/>
      <c r="CA224" s="403"/>
      <c r="CB224" s="403"/>
      <c r="CC224" s="403"/>
      <c r="CD224" s="403"/>
      <c r="CE224" s="403"/>
      <c r="CF224" s="403"/>
      <c r="CG224" s="403" t="s">
        <v>10834</v>
      </c>
      <c r="CH224" s="403" t="s">
        <v>10835</v>
      </c>
      <c r="CI224" s="403" t="s">
        <v>10999</v>
      </c>
      <c r="CJ224" s="403" t="s">
        <v>10837</v>
      </c>
      <c r="CK224" s="403" t="s">
        <v>11139</v>
      </c>
      <c r="CL224" s="403" t="s">
        <v>13306</v>
      </c>
      <c r="CM224" s="403" t="s">
        <v>8159</v>
      </c>
      <c r="CN224" s="403"/>
      <c r="CO224" s="403"/>
      <c r="CP224" s="403"/>
      <c r="CQ224" s="403"/>
      <c r="CR224" s="403" t="s">
        <v>11140</v>
      </c>
      <c r="CS224" s="403"/>
      <c r="CT224" s="403"/>
      <c r="CU224" s="403"/>
      <c r="CV224" s="403"/>
      <c r="CW224" s="403"/>
      <c r="CX224" s="403"/>
      <c r="CY224" s="403"/>
      <c r="CZ224" s="403" t="s">
        <v>10840</v>
      </c>
      <c r="DA224" s="403" t="s">
        <v>10841</v>
      </c>
      <c r="DB224" s="403" t="s">
        <v>11001</v>
      </c>
      <c r="DC224" s="403" t="s">
        <v>10843</v>
      </c>
      <c r="DD224" s="403" t="s">
        <v>10844</v>
      </c>
      <c r="DE224" s="403" t="s">
        <v>10845</v>
      </c>
      <c r="DF224" s="403" t="s">
        <v>8159</v>
      </c>
      <c r="DG224" s="403"/>
      <c r="DH224" s="403"/>
      <c r="DI224" s="403"/>
      <c r="DJ224" s="403"/>
      <c r="DK224" s="403" t="s">
        <v>11141</v>
      </c>
      <c r="DL224" s="403"/>
      <c r="DM224" s="403"/>
      <c r="DN224" s="403"/>
      <c r="DO224" s="403"/>
      <c r="DP224" s="403"/>
      <c r="DQ224" s="403"/>
      <c r="DR224" s="403"/>
      <c r="DS224" s="403" t="s">
        <v>11003</v>
      </c>
      <c r="DT224" s="403" t="s">
        <v>11004</v>
      </c>
      <c r="DU224" s="403" t="s">
        <v>11005</v>
      </c>
      <c r="DV224" s="403" t="s">
        <v>10915</v>
      </c>
      <c r="DW224" s="403" t="s">
        <v>10916</v>
      </c>
      <c r="DX224" s="403" t="s">
        <v>13307</v>
      </c>
      <c r="DY224" s="403" t="s">
        <v>5709</v>
      </c>
      <c r="DZ224" s="403"/>
      <c r="EA224" s="403"/>
      <c r="EB224" s="403"/>
      <c r="EC224" s="403"/>
      <c r="ED224" s="403" t="s">
        <v>11142</v>
      </c>
      <c r="EE224" s="403"/>
      <c r="EF224" s="403"/>
      <c r="EG224" s="403"/>
      <c r="EH224" s="403"/>
      <c r="EI224" s="403"/>
      <c r="EJ224" s="403"/>
      <c r="EK224" s="403"/>
      <c r="EL224" s="403" t="s">
        <v>10853</v>
      </c>
      <c r="EM224" s="403" t="s">
        <v>10854</v>
      </c>
      <c r="EN224" s="403" t="s">
        <v>11143</v>
      </c>
      <c r="EO224" s="403" t="s">
        <v>10856</v>
      </c>
      <c r="EP224" s="403" t="s">
        <v>10857</v>
      </c>
      <c r="EQ224" s="403" t="s">
        <v>13308</v>
      </c>
      <c r="ER224" s="403" t="s">
        <v>10858</v>
      </c>
      <c r="ES224" s="403"/>
      <c r="ET224" s="403"/>
    </row>
    <row r="225" spans="1:150" s="281" customFormat="1" x14ac:dyDescent="0.2">
      <c r="C225" s="34" t="str">
        <f ca="1">IF(OFFSET(U225,0,Lang_Order*Lang__B4)="","",OFFSET(U225,0,Lang_Order*Lang__B4))</f>
        <v>Solar</v>
      </c>
      <c r="D225" s="78" t="str">
        <f ca="1">IF(OFFSET(V225,0,Lang_Order*Lang__B4)="","",OFFSET(V225,0,Lang_Order*Lang__B4))</f>
        <v>WHO PQS CCEs - NO ENDORSEMENT OF ANY PRODUCT - USER TO CHOOSE PRODUCT AS DESIRED</v>
      </c>
      <c r="L225" s="146"/>
      <c r="M225" s="146"/>
      <c r="N225" s="146"/>
      <c r="O225" s="146"/>
      <c r="P225" s="287"/>
      <c r="Q225" s="91"/>
      <c r="R225" s="403"/>
      <c r="S225" s="403"/>
      <c r="T225" s="403"/>
      <c r="U225" s="403" t="s">
        <v>3222</v>
      </c>
      <c r="V225" s="403" t="s">
        <v>3656</v>
      </c>
      <c r="W225" s="403"/>
      <c r="X225" s="403"/>
      <c r="Y225" s="403"/>
      <c r="Z225" s="403"/>
      <c r="AA225" s="403"/>
      <c r="AB225" s="403"/>
      <c r="AC225" s="403"/>
      <c r="AD225" s="403"/>
      <c r="AE225" s="403"/>
      <c r="AF225" s="403"/>
      <c r="AG225" s="403"/>
      <c r="AH225" s="403"/>
      <c r="AI225" s="403"/>
      <c r="AJ225" s="403"/>
      <c r="AK225" s="403"/>
      <c r="AL225" s="403"/>
      <c r="AM225" s="403"/>
      <c r="AN225" s="403" t="s">
        <v>11144</v>
      </c>
      <c r="AO225" s="403" t="s">
        <v>11009</v>
      </c>
      <c r="AP225" s="403"/>
      <c r="AQ225" s="403"/>
      <c r="AR225" s="403"/>
      <c r="AS225" s="403"/>
      <c r="AT225" s="403"/>
      <c r="AU225" s="403"/>
      <c r="AV225" s="403"/>
      <c r="AW225" s="403"/>
      <c r="AX225" s="403"/>
      <c r="AY225" s="403"/>
      <c r="AZ225" s="403"/>
      <c r="BA225" s="403"/>
      <c r="BB225" s="403"/>
      <c r="BC225" s="403"/>
      <c r="BD225" s="403"/>
      <c r="BE225" s="403"/>
      <c r="BF225" s="403"/>
      <c r="BG225" s="403" t="s">
        <v>11145</v>
      </c>
      <c r="BH225" s="403" t="s">
        <v>11146</v>
      </c>
      <c r="BI225" s="403"/>
      <c r="BJ225" s="403"/>
      <c r="BK225" s="403"/>
      <c r="BL225" s="403"/>
      <c r="BM225" s="403"/>
      <c r="BN225" s="403"/>
      <c r="BO225" s="403"/>
      <c r="BP225" s="403"/>
      <c r="BQ225" s="403"/>
      <c r="BR225" s="403"/>
      <c r="BS225" s="403"/>
      <c r="BT225" s="403"/>
      <c r="BU225" s="403"/>
      <c r="BV225" s="403"/>
      <c r="BW225" s="403"/>
      <c r="BX225" s="403"/>
      <c r="BY225" s="403"/>
      <c r="BZ225" s="403" t="s">
        <v>3222</v>
      </c>
      <c r="CA225" s="403" t="s">
        <v>10861</v>
      </c>
      <c r="CB225" s="403"/>
      <c r="CC225" s="403"/>
      <c r="CD225" s="403"/>
      <c r="CE225" s="403"/>
      <c r="CF225" s="403"/>
      <c r="CG225" s="403"/>
      <c r="CH225" s="403"/>
      <c r="CI225" s="403"/>
      <c r="CJ225" s="403"/>
      <c r="CK225" s="403"/>
      <c r="CL225" s="403"/>
      <c r="CM225" s="403"/>
      <c r="CN225" s="403"/>
      <c r="CO225" s="403"/>
      <c r="CP225" s="403"/>
      <c r="CQ225" s="403"/>
      <c r="CR225" s="403"/>
      <c r="CS225" s="403" t="s">
        <v>3222</v>
      </c>
      <c r="CT225" s="403" t="s">
        <v>11011</v>
      </c>
      <c r="CU225" s="403"/>
      <c r="CV225" s="403"/>
      <c r="CW225" s="403"/>
      <c r="CX225" s="403"/>
      <c r="CY225" s="403"/>
      <c r="CZ225" s="403"/>
      <c r="DA225" s="403"/>
      <c r="DB225" s="403"/>
      <c r="DC225" s="403"/>
      <c r="DD225" s="403"/>
      <c r="DE225" s="403"/>
      <c r="DF225" s="403"/>
      <c r="DG225" s="403"/>
      <c r="DH225" s="403"/>
      <c r="DI225" s="403"/>
      <c r="DJ225" s="403"/>
      <c r="DK225" s="403"/>
      <c r="DL225" s="403" t="s">
        <v>11147</v>
      </c>
      <c r="DM225" s="403" t="s">
        <v>10863</v>
      </c>
      <c r="DN225" s="403"/>
      <c r="DO225" s="403"/>
      <c r="DP225" s="403"/>
      <c r="DQ225" s="403"/>
      <c r="DR225" s="403"/>
      <c r="DS225" s="403"/>
      <c r="DT225" s="403"/>
      <c r="DU225" s="403"/>
      <c r="DV225" s="403"/>
      <c r="DW225" s="403"/>
      <c r="DX225" s="403"/>
      <c r="DY225" s="403"/>
      <c r="DZ225" s="403"/>
      <c r="EA225" s="403"/>
      <c r="EB225" s="403"/>
      <c r="EC225" s="403"/>
      <c r="ED225" s="403"/>
      <c r="EE225" s="403" t="s">
        <v>11148</v>
      </c>
      <c r="EF225" s="403" t="s">
        <v>10864</v>
      </c>
      <c r="EG225" s="403"/>
      <c r="EH225" s="403"/>
      <c r="EI225" s="403"/>
      <c r="EJ225" s="403"/>
      <c r="EK225" s="403"/>
      <c r="EL225" s="403"/>
      <c r="EM225" s="403"/>
      <c r="EN225" s="403"/>
      <c r="EO225" s="403"/>
      <c r="EP225" s="403"/>
      <c r="EQ225" s="403"/>
      <c r="ER225" s="403"/>
      <c r="ES225" s="403"/>
      <c r="ET225" s="403"/>
    </row>
    <row r="226" spans="1:150" s="281" customFormat="1" x14ac:dyDescent="0.2">
      <c r="A226" s="350">
        <v>2</v>
      </c>
      <c r="C226" s="5" t="str">
        <f t="shared" ref="C226:C233" ca="1" si="62">IF(OFFSET(U226,0,Lang_Order*Lang__B4)="","",OFFSET(U226,0,Lang_Order*Lang__B4))</f>
        <v>Refrigerated (2 to 8C)</v>
      </c>
      <c r="D226" s="500" t="s">
        <v>3711</v>
      </c>
      <c r="J226" s="293">
        <f>VLOOKUP($D226,CCE[],7,FALSE)</f>
        <v>200</v>
      </c>
      <c r="K226" s="293">
        <f>VLOOKUP($D226,CCE[],8,FALSE)</f>
        <v>0</v>
      </c>
      <c r="L226" s="501">
        <f>VLOOKUP($D226,CCE[],21,FALSE)*Time_period</f>
        <v>0</v>
      </c>
      <c r="M226" s="207">
        <f>VLOOKUP($D226,CCE[],13,FALSE)</f>
        <v>4800</v>
      </c>
      <c r="N226" s="207">
        <f>VLOOKUP($D226,CCE[],14,FALSE)</f>
        <v>6300</v>
      </c>
      <c r="O226" s="207">
        <f>VLOOKUP($D226,CCE[],10,FALSE)</f>
        <v>4150</v>
      </c>
      <c r="P226" s="208" t="e">
        <f>MAX(0,ROUNDUP((P211+P220-(J227*P227))/J226,0))</f>
        <v>#N/A</v>
      </c>
      <c r="Q226" s="91"/>
      <c r="R226" s="403"/>
      <c r="S226" s="403"/>
      <c r="T226" s="403"/>
      <c r="U226" s="403" t="s">
        <v>11</v>
      </c>
      <c r="V226" s="403"/>
      <c r="W226" s="403"/>
      <c r="X226" s="403"/>
      <c r="Y226" s="403"/>
      <c r="Z226" s="403"/>
      <c r="AA226" s="403"/>
      <c r="AB226" s="403"/>
      <c r="AC226" s="403"/>
      <c r="AD226" s="403"/>
      <c r="AE226" s="403"/>
      <c r="AF226" s="403"/>
      <c r="AG226" s="403"/>
      <c r="AH226" s="403"/>
      <c r="AI226" s="403"/>
      <c r="AJ226" s="403"/>
      <c r="AK226" s="403"/>
      <c r="AL226" s="403"/>
      <c r="AM226" s="403"/>
      <c r="AN226" s="403" t="s">
        <v>10714</v>
      </c>
      <c r="AO226" s="403"/>
      <c r="AP226" s="403"/>
      <c r="AQ226" s="403"/>
      <c r="AR226" s="403"/>
      <c r="AS226" s="403"/>
      <c r="AT226" s="403"/>
      <c r="AU226" s="403"/>
      <c r="AV226" s="403"/>
      <c r="AW226" s="403"/>
      <c r="AX226" s="403"/>
      <c r="AY226" s="403"/>
      <c r="AZ226" s="403"/>
      <c r="BA226" s="403"/>
      <c r="BB226" s="403"/>
      <c r="BC226" s="403"/>
      <c r="BD226" s="403"/>
      <c r="BE226" s="403"/>
      <c r="BF226" s="403"/>
      <c r="BG226" s="403" t="s">
        <v>10227</v>
      </c>
      <c r="BH226" s="403"/>
      <c r="BI226" s="403"/>
      <c r="BJ226" s="403"/>
      <c r="BK226" s="403"/>
      <c r="BL226" s="403"/>
      <c r="BM226" s="403"/>
      <c r="BN226" s="403"/>
      <c r="BO226" s="403"/>
      <c r="BP226" s="403"/>
      <c r="BQ226" s="403"/>
      <c r="BR226" s="403"/>
      <c r="BS226" s="403"/>
      <c r="BT226" s="403"/>
      <c r="BU226" s="403"/>
      <c r="BV226" s="403"/>
      <c r="BW226" s="403"/>
      <c r="BX226" s="403"/>
      <c r="BY226" s="403"/>
      <c r="BZ226" s="403" t="s">
        <v>10715</v>
      </c>
      <c r="CA226" s="403"/>
      <c r="CB226" s="403"/>
      <c r="CC226" s="403"/>
      <c r="CD226" s="403"/>
      <c r="CE226" s="403"/>
      <c r="CF226" s="403"/>
      <c r="CG226" s="403"/>
      <c r="CH226" s="403"/>
      <c r="CI226" s="403"/>
      <c r="CJ226" s="403"/>
      <c r="CK226" s="403"/>
      <c r="CL226" s="403"/>
      <c r="CM226" s="403"/>
      <c r="CN226" s="403"/>
      <c r="CO226" s="403"/>
      <c r="CP226" s="403"/>
      <c r="CQ226" s="403"/>
      <c r="CR226" s="403"/>
      <c r="CS226" s="403" t="s">
        <v>8384</v>
      </c>
      <c r="CT226" s="403"/>
      <c r="CU226" s="403"/>
      <c r="CV226" s="403"/>
      <c r="CW226" s="403"/>
      <c r="CX226" s="403"/>
      <c r="CY226" s="403"/>
      <c r="CZ226" s="403"/>
      <c r="DA226" s="403"/>
      <c r="DB226" s="403"/>
      <c r="DC226" s="403"/>
      <c r="DD226" s="403"/>
      <c r="DE226" s="403"/>
      <c r="DF226" s="403"/>
      <c r="DG226" s="403"/>
      <c r="DH226" s="403"/>
      <c r="DI226" s="403"/>
      <c r="DJ226" s="403"/>
      <c r="DK226" s="403"/>
      <c r="DL226" s="403" t="s">
        <v>10248</v>
      </c>
      <c r="DM226" s="403"/>
      <c r="DN226" s="403"/>
      <c r="DO226" s="403"/>
      <c r="DP226" s="403"/>
      <c r="DQ226" s="403"/>
      <c r="DR226" s="403"/>
      <c r="DS226" s="403"/>
      <c r="DT226" s="403"/>
      <c r="DU226" s="403"/>
      <c r="DV226" s="403"/>
      <c r="DW226" s="403"/>
      <c r="DX226" s="403"/>
      <c r="DY226" s="403"/>
      <c r="DZ226" s="403"/>
      <c r="EA226" s="403"/>
      <c r="EB226" s="403"/>
      <c r="EC226" s="403"/>
      <c r="ED226" s="403"/>
      <c r="EE226" s="403" t="s">
        <v>8387</v>
      </c>
      <c r="EF226" s="403"/>
      <c r="EG226" s="403"/>
      <c r="EH226" s="403"/>
      <c r="EI226" s="403"/>
      <c r="EJ226" s="403"/>
      <c r="EK226" s="403"/>
      <c r="EL226" s="403"/>
      <c r="EM226" s="403"/>
      <c r="EN226" s="403"/>
      <c r="EO226" s="403"/>
      <c r="EP226" s="403"/>
      <c r="EQ226" s="403"/>
      <c r="ER226" s="403"/>
      <c r="ES226" s="403"/>
      <c r="ET226" s="403"/>
    </row>
    <row r="227" spans="1:150" s="281" customFormat="1" x14ac:dyDescent="0.2">
      <c r="A227" s="350">
        <v>2</v>
      </c>
      <c r="C227" s="5" t="str">
        <f t="shared" ca="1" si="62"/>
        <v>Frozen (-20C)</v>
      </c>
      <c r="D227" s="500" t="s">
        <v>3712</v>
      </c>
      <c r="J227" s="293">
        <f>VLOOKUP($D227,CCE[],7,FALSE)</f>
        <v>0</v>
      </c>
      <c r="K227" s="293">
        <f>VLOOKUP($D227,CCE[],8,FALSE)</f>
        <v>64</v>
      </c>
      <c r="L227" s="501">
        <f>VLOOKUP($D227,CCE[],21,FALSE)*Time_period</f>
        <v>0</v>
      </c>
      <c r="M227" s="207">
        <f>VLOOKUP($D227,CCE[],13,FALSE)</f>
        <v>6052.272727272727</v>
      </c>
      <c r="N227" s="207">
        <f>VLOOKUP($D227,CCE[],14,FALSE)</f>
        <v>7552.272727272727</v>
      </c>
      <c r="O227" s="207">
        <f>VLOOKUP($D227,CCE[],10,FALSE)</f>
        <v>5402.272727272727</v>
      </c>
      <c r="P227" s="208" t="e">
        <f>ROUNDUP((P212+P221)/K227,0)</f>
        <v>#N/A</v>
      </c>
      <c r="Q227" s="91"/>
      <c r="R227" s="403"/>
      <c r="S227" s="403"/>
      <c r="T227" s="403"/>
      <c r="U227" s="403" t="s">
        <v>12</v>
      </c>
      <c r="V227" s="403"/>
      <c r="W227" s="403"/>
      <c r="X227" s="403"/>
      <c r="Y227" s="403"/>
      <c r="Z227" s="403"/>
      <c r="AA227" s="403"/>
      <c r="AB227" s="403"/>
      <c r="AC227" s="403"/>
      <c r="AD227" s="403"/>
      <c r="AE227" s="403"/>
      <c r="AF227" s="403"/>
      <c r="AG227" s="403"/>
      <c r="AH227" s="403"/>
      <c r="AI227" s="403"/>
      <c r="AJ227" s="403"/>
      <c r="AK227" s="403"/>
      <c r="AL227" s="403"/>
      <c r="AM227" s="403"/>
      <c r="AN227" s="403" t="s">
        <v>10717</v>
      </c>
      <c r="AO227" s="403"/>
      <c r="AP227" s="403"/>
      <c r="AQ227" s="403"/>
      <c r="AR227" s="403"/>
      <c r="AS227" s="403"/>
      <c r="AT227" s="403"/>
      <c r="AU227" s="403"/>
      <c r="AV227" s="403"/>
      <c r="AW227" s="403"/>
      <c r="AX227" s="403"/>
      <c r="AY227" s="403"/>
      <c r="AZ227" s="403"/>
      <c r="BA227" s="403"/>
      <c r="BB227" s="403"/>
      <c r="BC227" s="403"/>
      <c r="BD227" s="403"/>
      <c r="BE227" s="403"/>
      <c r="BF227" s="403"/>
      <c r="BG227" s="403" t="s">
        <v>10228</v>
      </c>
      <c r="BH227" s="403"/>
      <c r="BI227" s="403"/>
      <c r="BJ227" s="403"/>
      <c r="BK227" s="403"/>
      <c r="BL227" s="403"/>
      <c r="BM227" s="403"/>
      <c r="BN227" s="403"/>
      <c r="BO227" s="403"/>
      <c r="BP227" s="403"/>
      <c r="BQ227" s="403"/>
      <c r="BR227" s="403"/>
      <c r="BS227" s="403"/>
      <c r="BT227" s="403"/>
      <c r="BU227" s="403"/>
      <c r="BV227" s="403"/>
      <c r="BW227" s="403"/>
      <c r="BX227" s="403"/>
      <c r="BY227" s="403"/>
      <c r="BZ227" s="403" t="s">
        <v>10718</v>
      </c>
      <c r="CA227" s="403"/>
      <c r="CB227" s="403"/>
      <c r="CC227" s="403"/>
      <c r="CD227" s="403"/>
      <c r="CE227" s="403"/>
      <c r="CF227" s="403"/>
      <c r="CG227" s="403"/>
      <c r="CH227" s="403"/>
      <c r="CI227" s="403"/>
      <c r="CJ227" s="403"/>
      <c r="CK227" s="403"/>
      <c r="CL227" s="403"/>
      <c r="CM227" s="403"/>
      <c r="CN227" s="403"/>
      <c r="CO227" s="403"/>
      <c r="CP227" s="403"/>
      <c r="CQ227" s="403"/>
      <c r="CR227" s="403"/>
      <c r="CS227" s="403" t="s">
        <v>8391</v>
      </c>
      <c r="CT227" s="403"/>
      <c r="CU227" s="403"/>
      <c r="CV227" s="403"/>
      <c r="CW227" s="403"/>
      <c r="CX227" s="403"/>
      <c r="CY227" s="403"/>
      <c r="CZ227" s="403"/>
      <c r="DA227" s="403"/>
      <c r="DB227" s="403"/>
      <c r="DC227" s="403"/>
      <c r="DD227" s="403"/>
      <c r="DE227" s="403"/>
      <c r="DF227" s="403"/>
      <c r="DG227" s="403"/>
      <c r="DH227" s="403"/>
      <c r="DI227" s="403"/>
      <c r="DJ227" s="403"/>
      <c r="DK227" s="403"/>
      <c r="DL227" s="403" t="s">
        <v>10249</v>
      </c>
      <c r="DM227" s="403"/>
      <c r="DN227" s="403"/>
      <c r="DO227" s="403"/>
      <c r="DP227" s="403"/>
      <c r="DQ227" s="403"/>
      <c r="DR227" s="403"/>
      <c r="DS227" s="403"/>
      <c r="DT227" s="403"/>
      <c r="DU227" s="403"/>
      <c r="DV227" s="403"/>
      <c r="DW227" s="403"/>
      <c r="DX227" s="403"/>
      <c r="DY227" s="403"/>
      <c r="DZ227" s="403"/>
      <c r="EA227" s="403"/>
      <c r="EB227" s="403"/>
      <c r="EC227" s="403"/>
      <c r="ED227" s="403"/>
      <c r="EE227" s="403" t="s">
        <v>8393</v>
      </c>
      <c r="EF227" s="403"/>
      <c r="EG227" s="403"/>
      <c r="EH227" s="403"/>
      <c r="EI227" s="403"/>
      <c r="EJ227" s="403"/>
      <c r="EK227" s="403"/>
      <c r="EL227" s="403"/>
      <c r="EM227" s="403"/>
      <c r="EN227" s="403"/>
      <c r="EO227" s="403"/>
      <c r="EP227" s="403"/>
      <c r="EQ227" s="403"/>
      <c r="ER227" s="403"/>
      <c r="ES227" s="403"/>
      <c r="ET227" s="403"/>
    </row>
    <row r="228" spans="1:150" s="281" customFormat="1" x14ac:dyDescent="0.2">
      <c r="A228" s="350">
        <v>2</v>
      </c>
      <c r="C228" s="5" t="str">
        <f t="shared" ca="1" si="62"/>
        <v>Remote Temperature Monitoring Devices</v>
      </c>
      <c r="D228" s="500" t="s">
        <v>3408</v>
      </c>
      <c r="J228" s="146"/>
      <c r="K228" s="146"/>
      <c r="L228" s="79"/>
      <c r="M228" s="207">
        <f>VLOOKUP($D228,CCE[],13,FALSE)</f>
        <v>650</v>
      </c>
      <c r="N228" s="207">
        <f>VLOOKUP($D228,CCE[],14,FALSE)</f>
        <v>850</v>
      </c>
      <c r="O228" s="207">
        <f>VLOOKUP($D228,CCE[],10,FALSE)</f>
        <v>450</v>
      </c>
      <c r="P228" s="231" t="e">
        <f>SUM(P226:P227)</f>
        <v>#N/A</v>
      </c>
      <c r="Q228" s="47"/>
      <c r="R228" s="403"/>
      <c r="S228" s="403"/>
      <c r="T228" s="403"/>
      <c r="U228" s="403" t="s">
        <v>3593</v>
      </c>
      <c r="V228" s="403"/>
      <c r="W228" s="403"/>
      <c r="X228" s="403"/>
      <c r="Y228" s="403"/>
      <c r="Z228" s="403"/>
      <c r="AA228" s="403"/>
      <c r="AB228" s="403"/>
      <c r="AC228" s="403"/>
      <c r="AD228" s="403"/>
      <c r="AE228" s="403"/>
      <c r="AF228" s="403"/>
      <c r="AG228" s="403"/>
      <c r="AH228" s="403"/>
      <c r="AI228" s="403"/>
      <c r="AJ228" s="403"/>
      <c r="AK228" s="403"/>
      <c r="AL228" s="403"/>
      <c r="AM228" s="403"/>
      <c r="AN228" s="403" t="s">
        <v>10871</v>
      </c>
      <c r="AO228" s="403"/>
      <c r="AP228" s="403"/>
      <c r="AQ228" s="403"/>
      <c r="AR228" s="403"/>
      <c r="AS228" s="403"/>
      <c r="AT228" s="403"/>
      <c r="AU228" s="403"/>
      <c r="AV228" s="403"/>
      <c r="AW228" s="403"/>
      <c r="AX228" s="403"/>
      <c r="AY228" s="403"/>
      <c r="AZ228" s="403"/>
      <c r="BA228" s="403"/>
      <c r="BB228" s="403"/>
      <c r="BC228" s="403"/>
      <c r="BD228" s="403"/>
      <c r="BE228" s="403"/>
      <c r="BF228" s="403"/>
      <c r="BG228" s="403" t="s">
        <v>10872</v>
      </c>
      <c r="BH228" s="403"/>
      <c r="BI228" s="403"/>
      <c r="BJ228" s="403"/>
      <c r="BK228" s="403"/>
      <c r="BL228" s="403"/>
      <c r="BM228" s="403"/>
      <c r="BN228" s="403"/>
      <c r="BO228" s="403"/>
      <c r="BP228" s="403"/>
      <c r="BQ228" s="403"/>
      <c r="BR228" s="403"/>
      <c r="BS228" s="403"/>
      <c r="BT228" s="403"/>
      <c r="BU228" s="403"/>
      <c r="BV228" s="403"/>
      <c r="BW228" s="403"/>
      <c r="BX228" s="403"/>
      <c r="BY228" s="403"/>
      <c r="BZ228" s="403" t="s">
        <v>10873</v>
      </c>
      <c r="CA228" s="403"/>
      <c r="CB228" s="403"/>
      <c r="CC228" s="403"/>
      <c r="CD228" s="403"/>
      <c r="CE228" s="403"/>
      <c r="CF228" s="403"/>
      <c r="CG228" s="403"/>
      <c r="CH228" s="403"/>
      <c r="CI228" s="403"/>
      <c r="CJ228" s="403"/>
      <c r="CK228" s="403"/>
      <c r="CL228" s="403"/>
      <c r="CM228" s="403"/>
      <c r="CN228" s="403"/>
      <c r="CO228" s="403"/>
      <c r="CP228" s="403"/>
      <c r="CQ228" s="403"/>
      <c r="CR228" s="403"/>
      <c r="CS228" s="403" t="s">
        <v>10874</v>
      </c>
      <c r="CT228" s="403"/>
      <c r="CU228" s="403"/>
      <c r="CV228" s="403"/>
      <c r="CW228" s="403"/>
      <c r="CX228" s="403"/>
      <c r="CY228" s="403"/>
      <c r="CZ228" s="403"/>
      <c r="DA228" s="403"/>
      <c r="DB228" s="403"/>
      <c r="DC228" s="403"/>
      <c r="DD228" s="403"/>
      <c r="DE228" s="403"/>
      <c r="DF228" s="403"/>
      <c r="DG228" s="403"/>
      <c r="DH228" s="403"/>
      <c r="DI228" s="403"/>
      <c r="DJ228" s="403"/>
      <c r="DK228" s="403"/>
      <c r="DL228" s="403" t="s">
        <v>10901</v>
      </c>
      <c r="DM228" s="403"/>
      <c r="DN228" s="403"/>
      <c r="DO228" s="403"/>
      <c r="DP228" s="403"/>
      <c r="DQ228" s="403"/>
      <c r="DR228" s="403"/>
      <c r="DS228" s="403"/>
      <c r="DT228" s="403"/>
      <c r="DU228" s="403"/>
      <c r="DV228" s="403"/>
      <c r="DW228" s="403"/>
      <c r="DX228" s="403"/>
      <c r="DY228" s="403"/>
      <c r="DZ228" s="403"/>
      <c r="EA228" s="403"/>
      <c r="EB228" s="403"/>
      <c r="EC228" s="403"/>
      <c r="ED228" s="403"/>
      <c r="EE228" s="403" t="s">
        <v>10876</v>
      </c>
      <c r="EF228" s="403"/>
      <c r="EG228" s="403"/>
      <c r="EH228" s="403"/>
      <c r="EI228" s="403"/>
      <c r="EJ228" s="403"/>
      <c r="EK228" s="403"/>
      <c r="EL228" s="403"/>
      <c r="EM228" s="403"/>
      <c r="EN228" s="403"/>
      <c r="EO228" s="403"/>
      <c r="EP228" s="403"/>
      <c r="EQ228" s="403"/>
      <c r="ER228" s="403"/>
      <c r="ES228" s="403"/>
      <c r="ET228" s="403"/>
    </row>
    <row r="229" spans="1:150" s="281" customFormat="1" x14ac:dyDescent="0.2">
      <c r="C229" s="34" t="str">
        <f t="shared" ca="1" si="62"/>
        <v>On-grid</v>
      </c>
      <c r="L229" s="37"/>
      <c r="R229" s="403"/>
      <c r="S229" s="403"/>
      <c r="T229" s="403"/>
      <c r="U229" s="403" t="s">
        <v>3221</v>
      </c>
      <c r="V229" s="403"/>
      <c r="W229" s="403"/>
      <c r="X229" s="403"/>
      <c r="Y229" s="403"/>
      <c r="Z229" s="403"/>
      <c r="AA229" s="403"/>
      <c r="AB229" s="403"/>
      <c r="AC229" s="403"/>
      <c r="AD229" s="403"/>
      <c r="AE229" s="403"/>
      <c r="AF229" s="403"/>
      <c r="AG229" s="403"/>
      <c r="AH229" s="403"/>
      <c r="AI229" s="403"/>
      <c r="AJ229" s="403"/>
      <c r="AK229" s="403"/>
      <c r="AL229" s="403"/>
      <c r="AM229" s="403"/>
      <c r="AN229" s="403" t="s">
        <v>11149</v>
      </c>
      <c r="AO229" s="403"/>
      <c r="AP229" s="403"/>
      <c r="AQ229" s="403"/>
      <c r="AR229" s="403"/>
      <c r="AS229" s="403"/>
      <c r="AT229" s="403"/>
      <c r="AU229" s="403"/>
      <c r="AV229" s="403"/>
      <c r="AW229" s="403"/>
      <c r="AX229" s="403"/>
      <c r="AY229" s="403"/>
      <c r="AZ229" s="403"/>
      <c r="BA229" s="403"/>
      <c r="BB229" s="403"/>
      <c r="BC229" s="403"/>
      <c r="BD229" s="403"/>
      <c r="BE229" s="403"/>
      <c r="BF229" s="403"/>
      <c r="BG229" s="403" t="s">
        <v>11150</v>
      </c>
      <c r="BH229" s="403"/>
      <c r="BI229" s="403"/>
      <c r="BJ229" s="403"/>
      <c r="BK229" s="403"/>
      <c r="BL229" s="403"/>
      <c r="BM229" s="403"/>
      <c r="BN229" s="403"/>
      <c r="BO229" s="403"/>
      <c r="BP229" s="403"/>
      <c r="BQ229" s="403"/>
      <c r="BR229" s="403"/>
      <c r="BS229" s="403"/>
      <c r="BT229" s="403"/>
      <c r="BU229" s="403"/>
      <c r="BV229" s="403"/>
      <c r="BW229" s="403"/>
      <c r="BX229" s="403"/>
      <c r="BY229" s="403"/>
      <c r="BZ229" s="403" t="s">
        <v>11151</v>
      </c>
      <c r="CA229" s="403"/>
      <c r="CB229" s="403"/>
      <c r="CC229" s="403"/>
      <c r="CD229" s="403"/>
      <c r="CE229" s="403"/>
      <c r="CF229" s="403"/>
      <c r="CG229" s="403"/>
      <c r="CH229" s="403"/>
      <c r="CI229" s="403"/>
      <c r="CJ229" s="403"/>
      <c r="CK229" s="403"/>
      <c r="CL229" s="403"/>
      <c r="CM229" s="403"/>
      <c r="CN229" s="403"/>
      <c r="CO229" s="403"/>
      <c r="CP229" s="403"/>
      <c r="CQ229" s="403"/>
      <c r="CR229" s="403"/>
      <c r="CS229" s="403" t="s">
        <v>11152</v>
      </c>
      <c r="CT229" s="403"/>
      <c r="CU229" s="403"/>
      <c r="CV229" s="403"/>
      <c r="CW229" s="403"/>
      <c r="CX229" s="403"/>
      <c r="CY229" s="403"/>
      <c r="CZ229" s="403"/>
      <c r="DA229" s="403"/>
      <c r="DB229" s="403"/>
      <c r="DC229" s="403"/>
      <c r="DD229" s="403"/>
      <c r="DE229" s="403"/>
      <c r="DF229" s="403"/>
      <c r="DG229" s="403"/>
      <c r="DH229" s="403"/>
      <c r="DI229" s="403"/>
      <c r="DJ229" s="403"/>
      <c r="DK229" s="403"/>
      <c r="DL229" s="403" t="s">
        <v>11153</v>
      </c>
      <c r="DM229" s="403"/>
      <c r="DN229" s="403"/>
      <c r="DO229" s="403"/>
      <c r="DP229" s="403"/>
      <c r="DQ229" s="403"/>
      <c r="DR229" s="403"/>
      <c r="DS229" s="403"/>
      <c r="DT229" s="403"/>
      <c r="DU229" s="403"/>
      <c r="DV229" s="403"/>
      <c r="DW229" s="403"/>
      <c r="DX229" s="403"/>
      <c r="DY229" s="403"/>
      <c r="DZ229" s="403"/>
      <c r="EA229" s="403"/>
      <c r="EB229" s="403"/>
      <c r="EC229" s="403"/>
      <c r="ED229" s="403"/>
      <c r="EE229" s="403" t="s">
        <v>11154</v>
      </c>
      <c r="EF229" s="403"/>
      <c r="EG229" s="403"/>
      <c r="EH229" s="403"/>
      <c r="EI229" s="403"/>
      <c r="EJ229" s="403"/>
      <c r="EK229" s="403"/>
      <c r="EL229" s="403"/>
      <c r="EM229" s="403"/>
      <c r="EN229" s="403"/>
      <c r="EO229" s="403"/>
      <c r="EP229" s="403"/>
      <c r="EQ229" s="403"/>
      <c r="ER229" s="403"/>
      <c r="ES229" s="403"/>
      <c r="ET229" s="403"/>
    </row>
    <row r="230" spans="1:150" s="281" customFormat="1" x14ac:dyDescent="0.2">
      <c r="A230" s="350">
        <v>2</v>
      </c>
      <c r="C230" s="5" t="str">
        <f t="shared" ca="1" si="62"/>
        <v>Refrigerated (2 to 8C)</v>
      </c>
      <c r="D230" s="500" t="s">
        <v>3709</v>
      </c>
      <c r="J230" s="293">
        <f>VLOOKUP($D230,CCE[],7,FALSE)</f>
        <v>211</v>
      </c>
      <c r="K230" s="293">
        <f>VLOOKUP($D230,CCE[],8,FALSE)</f>
        <v>0</v>
      </c>
      <c r="L230" s="501">
        <f>VLOOKUP($D230,CCE[],21,FALSE)*Time_period</f>
        <v>291.60000000000002</v>
      </c>
      <c r="M230" s="207">
        <f>VLOOKUP($D230,CCE[],13,FALSE)</f>
        <v>1468</v>
      </c>
      <c r="N230" s="207">
        <f>VLOOKUP($D230,CCE[],14,FALSE)</f>
        <v>2418</v>
      </c>
      <c r="O230" s="207">
        <f>VLOOKUP($D230,CCE[],10,FALSE)</f>
        <v>1068</v>
      </c>
      <c r="P230" s="208" t="e">
        <f>MAX(0,ROUNDUP((P211+P220-(J231*P231))/J230,0))</f>
        <v>#N/A</v>
      </c>
      <c r="Q230" s="91"/>
      <c r="R230" s="403"/>
      <c r="S230" s="403"/>
      <c r="T230" s="403"/>
      <c r="U230" s="403" t="s">
        <v>11</v>
      </c>
      <c r="V230" s="403"/>
      <c r="W230" s="403"/>
      <c r="X230" s="403"/>
      <c r="Y230" s="403"/>
      <c r="Z230" s="403"/>
      <c r="AA230" s="403"/>
      <c r="AB230" s="403"/>
      <c r="AC230" s="403"/>
      <c r="AD230" s="403"/>
      <c r="AE230" s="403"/>
      <c r="AF230" s="403"/>
      <c r="AG230" s="403"/>
      <c r="AH230" s="403"/>
      <c r="AI230" s="403"/>
      <c r="AJ230" s="403"/>
      <c r="AK230" s="403"/>
      <c r="AL230" s="403"/>
      <c r="AM230" s="403"/>
      <c r="AN230" s="403" t="s">
        <v>10714</v>
      </c>
      <c r="AO230" s="403"/>
      <c r="AP230" s="403"/>
      <c r="AQ230" s="403"/>
      <c r="AR230" s="403"/>
      <c r="AS230" s="403"/>
      <c r="AT230" s="403"/>
      <c r="AU230" s="403"/>
      <c r="AV230" s="403"/>
      <c r="AW230" s="403"/>
      <c r="AX230" s="403"/>
      <c r="AY230" s="403"/>
      <c r="AZ230" s="403"/>
      <c r="BA230" s="403"/>
      <c r="BB230" s="403"/>
      <c r="BC230" s="403"/>
      <c r="BD230" s="403"/>
      <c r="BE230" s="403"/>
      <c r="BF230" s="403"/>
      <c r="BG230" s="403" t="s">
        <v>10227</v>
      </c>
      <c r="BH230" s="403"/>
      <c r="BI230" s="403"/>
      <c r="BJ230" s="403"/>
      <c r="BK230" s="403"/>
      <c r="BL230" s="403"/>
      <c r="BM230" s="403"/>
      <c r="BN230" s="403"/>
      <c r="BO230" s="403"/>
      <c r="BP230" s="403"/>
      <c r="BQ230" s="403"/>
      <c r="BR230" s="403"/>
      <c r="BS230" s="403"/>
      <c r="BT230" s="403"/>
      <c r="BU230" s="403"/>
      <c r="BV230" s="403"/>
      <c r="BW230" s="403"/>
      <c r="BX230" s="403"/>
      <c r="BY230" s="403"/>
      <c r="BZ230" s="403" t="s">
        <v>10715</v>
      </c>
      <c r="CA230" s="403"/>
      <c r="CB230" s="403"/>
      <c r="CC230" s="403"/>
      <c r="CD230" s="403"/>
      <c r="CE230" s="403"/>
      <c r="CF230" s="403"/>
      <c r="CG230" s="403"/>
      <c r="CH230" s="403"/>
      <c r="CI230" s="403"/>
      <c r="CJ230" s="403"/>
      <c r="CK230" s="403"/>
      <c r="CL230" s="403"/>
      <c r="CM230" s="403"/>
      <c r="CN230" s="403"/>
      <c r="CO230" s="403"/>
      <c r="CP230" s="403"/>
      <c r="CQ230" s="403"/>
      <c r="CR230" s="403"/>
      <c r="CS230" s="403" t="s">
        <v>8384</v>
      </c>
      <c r="CT230" s="403"/>
      <c r="CU230" s="403"/>
      <c r="CV230" s="403"/>
      <c r="CW230" s="403"/>
      <c r="CX230" s="403"/>
      <c r="CY230" s="403"/>
      <c r="CZ230" s="403"/>
      <c r="DA230" s="403"/>
      <c r="DB230" s="403"/>
      <c r="DC230" s="403"/>
      <c r="DD230" s="403"/>
      <c r="DE230" s="403"/>
      <c r="DF230" s="403"/>
      <c r="DG230" s="403"/>
      <c r="DH230" s="403"/>
      <c r="DI230" s="403"/>
      <c r="DJ230" s="403"/>
      <c r="DK230" s="403"/>
      <c r="DL230" s="403" t="s">
        <v>10248</v>
      </c>
      <c r="DM230" s="403"/>
      <c r="DN230" s="403"/>
      <c r="DO230" s="403"/>
      <c r="DP230" s="403"/>
      <c r="DQ230" s="403"/>
      <c r="DR230" s="403"/>
      <c r="DS230" s="403"/>
      <c r="DT230" s="403"/>
      <c r="DU230" s="403"/>
      <c r="DV230" s="403"/>
      <c r="DW230" s="403"/>
      <c r="DX230" s="403"/>
      <c r="DY230" s="403"/>
      <c r="DZ230" s="403"/>
      <c r="EA230" s="403"/>
      <c r="EB230" s="403"/>
      <c r="EC230" s="403"/>
      <c r="ED230" s="403"/>
      <c r="EE230" s="403" t="s">
        <v>8387</v>
      </c>
      <c r="EF230" s="403"/>
      <c r="EG230" s="403"/>
      <c r="EH230" s="403"/>
      <c r="EI230" s="403"/>
      <c r="EJ230" s="403"/>
      <c r="EK230" s="403"/>
      <c r="EL230" s="403"/>
      <c r="EM230" s="403"/>
      <c r="EN230" s="403"/>
      <c r="EO230" s="403"/>
      <c r="EP230" s="403"/>
      <c r="EQ230" s="403"/>
      <c r="ER230" s="403"/>
      <c r="ES230" s="403"/>
      <c r="ET230" s="403"/>
    </row>
    <row r="231" spans="1:150" s="281" customFormat="1" x14ac:dyDescent="0.2">
      <c r="A231" s="350">
        <v>2</v>
      </c>
      <c r="C231" s="5" t="str">
        <f t="shared" ca="1" si="62"/>
        <v>Frozen (-20C)</v>
      </c>
      <c r="D231" s="500" t="s">
        <v>3710</v>
      </c>
      <c r="J231" s="293">
        <f>VLOOKUP($D231,CCE[],7,FALSE)</f>
        <v>0</v>
      </c>
      <c r="K231" s="293">
        <f>VLOOKUP($D231,CCE[],8,FALSE)</f>
        <v>96</v>
      </c>
      <c r="L231" s="501">
        <f>VLOOKUP($D231,CCE[],21,FALSE)*Time_period</f>
        <v>595.79999999999995</v>
      </c>
      <c r="M231" s="207">
        <f>VLOOKUP($D231,CCE[],13,FALSE)</f>
        <v>850</v>
      </c>
      <c r="N231" s="207">
        <f>VLOOKUP($D231,CCE[],14,FALSE)</f>
        <v>1800</v>
      </c>
      <c r="O231" s="207">
        <f>VLOOKUP($D231,CCE[],10,FALSE)</f>
        <v>450</v>
      </c>
      <c r="P231" s="208" t="e">
        <f>ROUNDUP((P212+P221)/K231,0)</f>
        <v>#N/A</v>
      </c>
      <c r="Q231" s="91"/>
      <c r="R231" s="403"/>
      <c r="S231" s="403"/>
      <c r="T231" s="403"/>
      <c r="U231" s="403" t="s">
        <v>12</v>
      </c>
      <c r="V231" s="403"/>
      <c r="W231" s="403"/>
      <c r="X231" s="403"/>
      <c r="Y231" s="403"/>
      <c r="Z231" s="403"/>
      <c r="AA231" s="403"/>
      <c r="AB231" s="403"/>
      <c r="AC231" s="403"/>
      <c r="AD231" s="403"/>
      <c r="AE231" s="403"/>
      <c r="AF231" s="403"/>
      <c r="AG231" s="403"/>
      <c r="AH231" s="403"/>
      <c r="AI231" s="403"/>
      <c r="AJ231" s="403"/>
      <c r="AK231" s="403"/>
      <c r="AL231" s="403"/>
      <c r="AM231" s="403"/>
      <c r="AN231" s="403" t="s">
        <v>10717</v>
      </c>
      <c r="AO231" s="403"/>
      <c r="AP231" s="403"/>
      <c r="AQ231" s="403"/>
      <c r="AR231" s="403"/>
      <c r="AS231" s="403"/>
      <c r="AT231" s="403"/>
      <c r="AU231" s="403"/>
      <c r="AV231" s="403"/>
      <c r="AW231" s="403"/>
      <c r="AX231" s="403"/>
      <c r="AY231" s="403"/>
      <c r="AZ231" s="403"/>
      <c r="BA231" s="403"/>
      <c r="BB231" s="403"/>
      <c r="BC231" s="403"/>
      <c r="BD231" s="403"/>
      <c r="BE231" s="403"/>
      <c r="BF231" s="403"/>
      <c r="BG231" s="403" t="s">
        <v>10228</v>
      </c>
      <c r="BH231" s="403"/>
      <c r="BI231" s="403"/>
      <c r="BJ231" s="403"/>
      <c r="BK231" s="403"/>
      <c r="BL231" s="403"/>
      <c r="BM231" s="403"/>
      <c r="BN231" s="403"/>
      <c r="BO231" s="403"/>
      <c r="BP231" s="403"/>
      <c r="BQ231" s="403"/>
      <c r="BR231" s="403"/>
      <c r="BS231" s="403"/>
      <c r="BT231" s="403"/>
      <c r="BU231" s="403"/>
      <c r="BV231" s="403"/>
      <c r="BW231" s="403"/>
      <c r="BX231" s="403"/>
      <c r="BY231" s="403"/>
      <c r="BZ231" s="403" t="s">
        <v>10718</v>
      </c>
      <c r="CA231" s="403"/>
      <c r="CB231" s="403"/>
      <c r="CC231" s="403"/>
      <c r="CD231" s="403"/>
      <c r="CE231" s="403"/>
      <c r="CF231" s="403"/>
      <c r="CG231" s="403"/>
      <c r="CH231" s="403"/>
      <c r="CI231" s="403"/>
      <c r="CJ231" s="403"/>
      <c r="CK231" s="403"/>
      <c r="CL231" s="403"/>
      <c r="CM231" s="403"/>
      <c r="CN231" s="403"/>
      <c r="CO231" s="403"/>
      <c r="CP231" s="403"/>
      <c r="CQ231" s="403"/>
      <c r="CR231" s="403"/>
      <c r="CS231" s="403" t="s">
        <v>8391</v>
      </c>
      <c r="CT231" s="403"/>
      <c r="CU231" s="403"/>
      <c r="CV231" s="403"/>
      <c r="CW231" s="403"/>
      <c r="CX231" s="403"/>
      <c r="CY231" s="403"/>
      <c r="CZ231" s="403"/>
      <c r="DA231" s="403"/>
      <c r="DB231" s="403"/>
      <c r="DC231" s="403"/>
      <c r="DD231" s="403"/>
      <c r="DE231" s="403"/>
      <c r="DF231" s="403"/>
      <c r="DG231" s="403"/>
      <c r="DH231" s="403"/>
      <c r="DI231" s="403"/>
      <c r="DJ231" s="403"/>
      <c r="DK231" s="403"/>
      <c r="DL231" s="403" t="s">
        <v>10249</v>
      </c>
      <c r="DM231" s="403"/>
      <c r="DN231" s="403"/>
      <c r="DO231" s="403"/>
      <c r="DP231" s="403"/>
      <c r="DQ231" s="403"/>
      <c r="DR231" s="403"/>
      <c r="DS231" s="403"/>
      <c r="DT231" s="403"/>
      <c r="DU231" s="403"/>
      <c r="DV231" s="403"/>
      <c r="DW231" s="403"/>
      <c r="DX231" s="403"/>
      <c r="DY231" s="403"/>
      <c r="DZ231" s="403"/>
      <c r="EA231" s="403"/>
      <c r="EB231" s="403"/>
      <c r="EC231" s="403"/>
      <c r="ED231" s="403"/>
      <c r="EE231" s="403" t="s">
        <v>8393</v>
      </c>
      <c r="EF231" s="403"/>
      <c r="EG231" s="403"/>
      <c r="EH231" s="403"/>
      <c r="EI231" s="403"/>
      <c r="EJ231" s="403"/>
      <c r="EK231" s="403"/>
      <c r="EL231" s="403"/>
      <c r="EM231" s="403"/>
      <c r="EN231" s="403"/>
      <c r="EO231" s="403"/>
      <c r="EP231" s="403"/>
      <c r="EQ231" s="403"/>
      <c r="ER231" s="403"/>
      <c r="ES231" s="403"/>
      <c r="ET231" s="403"/>
    </row>
    <row r="232" spans="1:150" s="281" customFormat="1" x14ac:dyDescent="0.2">
      <c r="C232" s="5" t="str">
        <f t="shared" ca="1" si="62"/>
        <v>Ice pack freezers</v>
      </c>
      <c r="D232" s="499" t="str">
        <f ca="1">D162</f>
        <v>No model choice</v>
      </c>
      <c r="J232" s="146"/>
      <c r="L232" s="501">
        <v>360</v>
      </c>
      <c r="M232" s="207">
        <v>1600</v>
      </c>
      <c r="N232" s="207">
        <v>1600</v>
      </c>
      <c r="O232" s="79">
        <v>1600</v>
      </c>
      <c r="P232" s="231">
        <f>D193</f>
        <v>1</v>
      </c>
      <c r="Q232" s="47"/>
      <c r="R232" s="403"/>
      <c r="S232" s="403"/>
      <c r="T232" s="403"/>
      <c r="U232" s="403" t="s">
        <v>3211</v>
      </c>
      <c r="V232" s="403"/>
      <c r="W232" s="403"/>
      <c r="X232" s="403"/>
      <c r="Y232" s="403"/>
      <c r="Z232" s="403"/>
      <c r="AA232" s="403"/>
      <c r="AB232" s="403"/>
      <c r="AC232" s="403"/>
      <c r="AD232" s="403"/>
      <c r="AE232" s="403"/>
      <c r="AF232" s="403"/>
      <c r="AG232" s="403"/>
      <c r="AH232" s="403"/>
      <c r="AI232" s="403"/>
      <c r="AJ232" s="403"/>
      <c r="AK232" s="403"/>
      <c r="AL232" s="403"/>
      <c r="AM232" s="403"/>
      <c r="AN232" s="403" t="s">
        <v>11012</v>
      </c>
      <c r="AO232" s="403"/>
      <c r="AP232" s="403"/>
      <c r="AQ232" s="403"/>
      <c r="AR232" s="403"/>
      <c r="AS232" s="403"/>
      <c r="AT232" s="403"/>
      <c r="AU232" s="403"/>
      <c r="AV232" s="403"/>
      <c r="AW232" s="403"/>
      <c r="AX232" s="403"/>
      <c r="AY232" s="403"/>
      <c r="AZ232" s="403"/>
      <c r="BA232" s="403"/>
      <c r="BB232" s="403"/>
      <c r="BC232" s="403"/>
      <c r="BD232" s="403"/>
      <c r="BE232" s="403"/>
      <c r="BF232" s="403"/>
      <c r="BG232" s="403" t="s">
        <v>11056</v>
      </c>
      <c r="BH232" s="403"/>
      <c r="BI232" s="403"/>
      <c r="BJ232" s="403"/>
      <c r="BK232" s="403"/>
      <c r="BL232" s="403"/>
      <c r="BM232" s="403"/>
      <c r="BN232" s="403"/>
      <c r="BO232" s="403"/>
      <c r="BP232" s="403"/>
      <c r="BQ232" s="403"/>
      <c r="BR232" s="403"/>
      <c r="BS232" s="403"/>
      <c r="BT232" s="403"/>
      <c r="BU232" s="403"/>
      <c r="BV232" s="403"/>
      <c r="BW232" s="403"/>
      <c r="BX232" s="403"/>
      <c r="BY232" s="403"/>
      <c r="BZ232" s="403" t="s">
        <v>11016</v>
      </c>
      <c r="CA232" s="403"/>
      <c r="CB232" s="403"/>
      <c r="CC232" s="403"/>
      <c r="CD232" s="403"/>
      <c r="CE232" s="403"/>
      <c r="CF232" s="403"/>
      <c r="CG232" s="403"/>
      <c r="CH232" s="403"/>
      <c r="CI232" s="403"/>
      <c r="CJ232" s="403"/>
      <c r="CK232" s="403"/>
      <c r="CL232" s="403"/>
      <c r="CM232" s="403"/>
      <c r="CN232" s="403"/>
      <c r="CO232" s="403"/>
      <c r="CP232" s="403"/>
      <c r="CQ232" s="403"/>
      <c r="CR232" s="403"/>
      <c r="CS232" s="403" t="s">
        <v>11018</v>
      </c>
      <c r="CT232" s="403"/>
      <c r="CU232" s="403"/>
      <c r="CV232" s="403"/>
      <c r="CW232" s="403"/>
      <c r="CX232" s="403"/>
      <c r="CY232" s="403"/>
      <c r="CZ232" s="403"/>
      <c r="DA232" s="403"/>
      <c r="DB232" s="403"/>
      <c r="DC232" s="403"/>
      <c r="DD232" s="403"/>
      <c r="DE232" s="403"/>
      <c r="DF232" s="403"/>
      <c r="DG232" s="403"/>
      <c r="DH232" s="403"/>
      <c r="DI232" s="403"/>
      <c r="DJ232" s="403"/>
      <c r="DK232" s="403"/>
      <c r="DL232" s="403" t="s">
        <v>11020</v>
      </c>
      <c r="DM232" s="403"/>
      <c r="DN232" s="403"/>
      <c r="DO232" s="403"/>
      <c r="DP232" s="403"/>
      <c r="DQ232" s="403"/>
      <c r="DR232" s="403"/>
      <c r="DS232" s="403"/>
      <c r="DT232" s="403"/>
      <c r="DU232" s="403"/>
      <c r="DV232" s="403"/>
      <c r="DW232" s="403"/>
      <c r="DX232" s="403"/>
      <c r="DY232" s="403"/>
      <c r="DZ232" s="403"/>
      <c r="EA232" s="403"/>
      <c r="EB232" s="403"/>
      <c r="EC232" s="403"/>
      <c r="ED232" s="403"/>
      <c r="EE232" s="403" t="s">
        <v>11021</v>
      </c>
      <c r="EF232" s="403"/>
      <c r="EG232" s="403"/>
      <c r="EH232" s="403"/>
      <c r="EI232" s="403"/>
      <c r="EJ232" s="403"/>
      <c r="EK232" s="403"/>
      <c r="EL232" s="403"/>
      <c r="EM232" s="403"/>
      <c r="EN232" s="403"/>
      <c r="EO232" s="403"/>
      <c r="EP232" s="403"/>
      <c r="EQ232" s="403"/>
      <c r="ER232" s="403"/>
      <c r="ES232" s="403"/>
      <c r="ET232" s="403"/>
    </row>
    <row r="233" spans="1:150" s="281" customFormat="1" x14ac:dyDescent="0.2">
      <c r="C233" s="5" t="str">
        <f t="shared" ca="1" si="62"/>
        <v>Remote Temperature Monitoring Devices</v>
      </c>
      <c r="D233" s="146" t="str">
        <f>D228</f>
        <v>Haier U-Cool (Refrigerator model)+ 3 years data/portal access</v>
      </c>
      <c r="J233" s="146"/>
      <c r="K233" s="146"/>
      <c r="L233" s="146"/>
      <c r="M233" s="207">
        <f>VLOOKUP($D233,CCE[],13,FALSE)</f>
        <v>650</v>
      </c>
      <c r="N233" s="207">
        <f>VLOOKUP($D233,CCE[],14,FALSE)</f>
        <v>850</v>
      </c>
      <c r="O233" s="207">
        <f>VLOOKUP($D233,CCE[],10,FALSE)</f>
        <v>450</v>
      </c>
      <c r="P233" s="231" t="e">
        <f>SUM(P230:P231)</f>
        <v>#N/A</v>
      </c>
      <c r="Q233" s="47"/>
      <c r="R233" s="403"/>
      <c r="S233" s="403"/>
      <c r="T233" s="403"/>
      <c r="U233" s="403" t="s">
        <v>3593</v>
      </c>
      <c r="V233" s="403"/>
      <c r="W233" s="403"/>
      <c r="X233" s="403"/>
      <c r="Y233" s="403"/>
      <c r="Z233" s="403"/>
      <c r="AA233" s="403"/>
      <c r="AB233" s="403"/>
      <c r="AC233" s="403"/>
      <c r="AD233" s="403"/>
      <c r="AE233" s="403"/>
      <c r="AF233" s="403"/>
      <c r="AG233" s="403"/>
      <c r="AH233" s="403"/>
      <c r="AI233" s="403"/>
      <c r="AJ233" s="403"/>
      <c r="AK233" s="403"/>
      <c r="AL233" s="403"/>
      <c r="AM233" s="403"/>
      <c r="AN233" s="403" t="s">
        <v>10871</v>
      </c>
      <c r="AO233" s="403"/>
      <c r="AP233" s="403"/>
      <c r="AQ233" s="403"/>
      <c r="AR233" s="403"/>
      <c r="AS233" s="403"/>
      <c r="AT233" s="403"/>
      <c r="AU233" s="403"/>
      <c r="AV233" s="403"/>
      <c r="AW233" s="403"/>
      <c r="AX233" s="403"/>
      <c r="AY233" s="403"/>
      <c r="AZ233" s="403"/>
      <c r="BA233" s="403"/>
      <c r="BB233" s="403"/>
      <c r="BC233" s="403"/>
      <c r="BD233" s="403"/>
      <c r="BE233" s="403"/>
      <c r="BF233" s="403"/>
      <c r="BG233" s="403" t="s">
        <v>10872</v>
      </c>
      <c r="BH233" s="403"/>
      <c r="BI233" s="403"/>
      <c r="BJ233" s="403"/>
      <c r="BK233" s="403"/>
      <c r="BL233" s="403"/>
      <c r="BM233" s="403"/>
      <c r="BN233" s="403"/>
      <c r="BO233" s="403"/>
      <c r="BP233" s="403"/>
      <c r="BQ233" s="403"/>
      <c r="BR233" s="403"/>
      <c r="BS233" s="403"/>
      <c r="BT233" s="403"/>
      <c r="BU233" s="403"/>
      <c r="BV233" s="403"/>
      <c r="BW233" s="403"/>
      <c r="BX233" s="403"/>
      <c r="BY233" s="403"/>
      <c r="BZ233" s="403" t="s">
        <v>10873</v>
      </c>
      <c r="CA233" s="403"/>
      <c r="CB233" s="403"/>
      <c r="CC233" s="403"/>
      <c r="CD233" s="403"/>
      <c r="CE233" s="403"/>
      <c r="CF233" s="403"/>
      <c r="CG233" s="403"/>
      <c r="CH233" s="403"/>
      <c r="CI233" s="403"/>
      <c r="CJ233" s="403"/>
      <c r="CK233" s="403"/>
      <c r="CL233" s="403"/>
      <c r="CM233" s="403"/>
      <c r="CN233" s="403"/>
      <c r="CO233" s="403"/>
      <c r="CP233" s="403"/>
      <c r="CQ233" s="403"/>
      <c r="CR233" s="403"/>
      <c r="CS233" s="403" t="s">
        <v>10874</v>
      </c>
      <c r="CT233" s="403"/>
      <c r="CU233" s="403"/>
      <c r="CV233" s="403"/>
      <c r="CW233" s="403"/>
      <c r="CX233" s="403"/>
      <c r="CY233" s="403"/>
      <c r="CZ233" s="403"/>
      <c r="DA233" s="403"/>
      <c r="DB233" s="403"/>
      <c r="DC233" s="403"/>
      <c r="DD233" s="403"/>
      <c r="DE233" s="403"/>
      <c r="DF233" s="403"/>
      <c r="DG233" s="403"/>
      <c r="DH233" s="403"/>
      <c r="DI233" s="403"/>
      <c r="DJ233" s="403"/>
      <c r="DK233" s="403"/>
      <c r="DL233" s="403" t="s">
        <v>11155</v>
      </c>
      <c r="DM233" s="403"/>
      <c r="DN233" s="403"/>
      <c r="DO233" s="403"/>
      <c r="DP233" s="403"/>
      <c r="DQ233" s="403"/>
      <c r="DR233" s="403"/>
      <c r="DS233" s="403"/>
      <c r="DT233" s="403"/>
      <c r="DU233" s="403"/>
      <c r="DV233" s="403"/>
      <c r="DW233" s="403"/>
      <c r="DX233" s="403"/>
      <c r="DY233" s="403"/>
      <c r="DZ233" s="403"/>
      <c r="EA233" s="403"/>
      <c r="EB233" s="403"/>
      <c r="EC233" s="403"/>
      <c r="ED233" s="403"/>
      <c r="EE233" s="403" t="s">
        <v>10876</v>
      </c>
      <c r="EF233" s="403"/>
      <c r="EG233" s="403"/>
      <c r="EH233" s="403"/>
      <c r="EI233" s="403"/>
      <c r="EJ233" s="403"/>
      <c r="EK233" s="403"/>
      <c r="EL233" s="403"/>
      <c r="EM233" s="403"/>
      <c r="EN233" s="403"/>
      <c r="EO233" s="403"/>
      <c r="EP233" s="403"/>
      <c r="EQ233" s="403"/>
      <c r="ER233" s="403"/>
      <c r="ES233" s="403"/>
      <c r="ET233" s="403"/>
    </row>
    <row r="234" spans="1:150" s="281" customFormat="1" x14ac:dyDescent="0.2">
      <c r="R234" s="403"/>
      <c r="S234" s="403"/>
      <c r="T234" s="403"/>
      <c r="U234" s="403"/>
      <c r="V234" s="403"/>
      <c r="W234" s="403"/>
      <c r="X234" s="403"/>
      <c r="Y234" s="403"/>
      <c r="Z234" s="403"/>
      <c r="AA234" s="403"/>
      <c r="AB234" s="403"/>
      <c r="AC234" s="403"/>
      <c r="AD234" s="403"/>
      <c r="AE234" s="403"/>
      <c r="AF234" s="403"/>
      <c r="AG234" s="403"/>
      <c r="AH234" s="403"/>
      <c r="AI234" s="403"/>
      <c r="AJ234" s="403"/>
      <c r="AK234" s="403"/>
      <c r="AL234" s="403"/>
      <c r="AM234" s="403"/>
      <c r="AN234" s="403"/>
      <c r="AO234" s="403"/>
      <c r="AP234" s="403"/>
      <c r="AQ234" s="403"/>
      <c r="AR234" s="403"/>
      <c r="AS234" s="403"/>
      <c r="AT234" s="403"/>
      <c r="AU234" s="403"/>
      <c r="AV234" s="403"/>
      <c r="AW234" s="403"/>
      <c r="AX234" s="403"/>
      <c r="AY234" s="403"/>
      <c r="AZ234" s="403"/>
      <c r="BA234" s="403"/>
      <c r="BB234" s="403"/>
      <c r="BC234" s="403"/>
      <c r="BD234" s="403"/>
      <c r="BE234" s="403"/>
      <c r="BF234" s="403"/>
      <c r="BG234" s="403"/>
      <c r="BH234" s="403"/>
      <c r="BI234" s="403"/>
      <c r="BJ234" s="403"/>
      <c r="BK234" s="403"/>
      <c r="BL234" s="403"/>
      <c r="BM234" s="403"/>
      <c r="BN234" s="403"/>
      <c r="BO234" s="403"/>
      <c r="BP234" s="403"/>
      <c r="BQ234" s="403"/>
      <c r="BR234" s="403"/>
      <c r="BS234" s="403"/>
      <c r="BT234" s="403"/>
      <c r="BU234" s="403"/>
      <c r="BV234" s="403"/>
      <c r="BW234" s="403"/>
      <c r="BX234" s="403"/>
      <c r="BY234" s="403"/>
      <c r="BZ234" s="403"/>
      <c r="CA234" s="403"/>
      <c r="CB234" s="403"/>
      <c r="CC234" s="403"/>
      <c r="CD234" s="403"/>
      <c r="CE234" s="403"/>
      <c r="CF234" s="403"/>
      <c r="CG234" s="403"/>
      <c r="CH234" s="403"/>
      <c r="CI234" s="403"/>
      <c r="CJ234" s="403"/>
      <c r="CK234" s="403"/>
      <c r="CL234" s="403"/>
      <c r="CM234" s="403"/>
      <c r="CN234" s="403"/>
      <c r="CO234" s="403"/>
      <c r="CP234" s="403"/>
      <c r="CQ234" s="403"/>
      <c r="CR234" s="403"/>
      <c r="CS234" s="403"/>
      <c r="CT234" s="403"/>
      <c r="CU234" s="403"/>
      <c r="CV234" s="403"/>
      <c r="CW234" s="403"/>
      <c r="CX234" s="403"/>
      <c r="CY234" s="403"/>
      <c r="CZ234" s="403"/>
      <c r="DA234" s="403"/>
      <c r="DB234" s="403"/>
      <c r="DC234" s="403"/>
      <c r="DD234" s="403"/>
      <c r="DE234" s="403"/>
      <c r="DF234" s="403"/>
      <c r="DG234" s="403"/>
      <c r="DH234" s="403"/>
      <c r="DI234" s="403"/>
      <c r="DJ234" s="403"/>
      <c r="DK234" s="403"/>
      <c r="DL234" s="403"/>
      <c r="DM234" s="403"/>
      <c r="DN234" s="403"/>
      <c r="DO234" s="403"/>
      <c r="DP234" s="403"/>
      <c r="DQ234" s="403"/>
      <c r="DR234" s="403"/>
      <c r="DS234" s="403"/>
      <c r="DT234" s="403"/>
      <c r="DU234" s="403"/>
      <c r="DV234" s="403"/>
      <c r="DW234" s="403"/>
      <c r="DX234" s="403"/>
      <c r="DY234" s="403"/>
      <c r="DZ234" s="403"/>
      <c r="EA234" s="403"/>
      <c r="EB234" s="403"/>
      <c r="EC234" s="403"/>
      <c r="ED234" s="403"/>
      <c r="EE234" s="403"/>
      <c r="EF234" s="403"/>
      <c r="EG234" s="403"/>
      <c r="EH234" s="403"/>
      <c r="EI234" s="403"/>
      <c r="EJ234" s="403"/>
      <c r="EK234" s="403"/>
      <c r="EL234" s="403"/>
      <c r="EM234" s="403"/>
      <c r="EN234" s="403"/>
      <c r="EO234" s="403"/>
      <c r="EP234" s="403"/>
      <c r="EQ234" s="403"/>
      <c r="ER234" s="403"/>
      <c r="ES234" s="403"/>
      <c r="ET234" s="403"/>
    </row>
    <row r="235" spans="1:150" s="281" customFormat="1" ht="15" x14ac:dyDescent="0.25">
      <c r="B235" s="624" t="str">
        <f ca="1">IF(OFFSET(T235,0,Lang_Order*Lang__B4)="","",OFFSET(T235,0,Lang_Order*Lang__B4))</f>
        <v>MINUS existing cold-storage units</v>
      </c>
      <c r="C235" s="5"/>
      <c r="K235" s="289"/>
      <c r="L235" s="289"/>
      <c r="M235" s="289"/>
      <c r="N235" s="289"/>
      <c r="O235" s="289"/>
      <c r="P235" s="297" t="str">
        <f ca="1">IF(OFFSET(AH235,0,Lang_Order*Lang__B4)="","",OFFSET(AH235,0,Lang_Order*Lang__B4))</f>
        <v>Units</v>
      </c>
      <c r="Q235" s="306" t="str">
        <f ca="1">IF(OFFSET(AI235,0,Lang_Order*Lang__B4)="","",OFFSET(AI235,0,Lang_Order*Lang__B4))</f>
        <v>NOTE: This part affects the capital expenditure calculationes NOT operational expenditures</v>
      </c>
      <c r="R235" s="403"/>
      <c r="S235" s="403"/>
      <c r="T235" s="403" t="s">
        <v>4186</v>
      </c>
      <c r="U235" s="403"/>
      <c r="V235" s="403"/>
      <c r="W235" s="403"/>
      <c r="X235" s="403"/>
      <c r="Y235" s="403"/>
      <c r="Z235" s="403"/>
      <c r="AA235" s="403"/>
      <c r="AB235" s="403"/>
      <c r="AC235" s="403"/>
      <c r="AD235" s="403"/>
      <c r="AE235" s="403"/>
      <c r="AF235" s="403"/>
      <c r="AG235" s="403"/>
      <c r="AH235" s="403" t="s">
        <v>37</v>
      </c>
      <c r="AI235" s="403" t="s">
        <v>3665</v>
      </c>
      <c r="AJ235" s="403"/>
      <c r="AK235" s="403"/>
      <c r="AL235" s="403"/>
      <c r="AM235" s="403" t="s">
        <v>11024</v>
      </c>
      <c r="AN235" s="403"/>
      <c r="AO235" s="403"/>
      <c r="AP235" s="403"/>
      <c r="AQ235" s="403"/>
      <c r="AR235" s="403"/>
      <c r="AS235" s="403"/>
      <c r="AT235" s="403"/>
      <c r="AU235" s="403"/>
      <c r="AV235" s="403"/>
      <c r="AW235" s="403"/>
      <c r="AX235" s="403"/>
      <c r="AY235" s="403"/>
      <c r="AZ235" s="403"/>
      <c r="BA235" s="403" t="s">
        <v>8153</v>
      </c>
      <c r="BB235" s="403" t="s">
        <v>10878</v>
      </c>
      <c r="BC235" s="403"/>
      <c r="BD235" s="403"/>
      <c r="BE235" s="403"/>
      <c r="BF235" s="403" t="s">
        <v>11025</v>
      </c>
      <c r="BG235" s="403"/>
      <c r="BH235" s="403"/>
      <c r="BI235" s="403"/>
      <c r="BJ235" s="403"/>
      <c r="BK235" s="403"/>
      <c r="BL235" s="403"/>
      <c r="BM235" s="403"/>
      <c r="BN235" s="403"/>
      <c r="BO235" s="403"/>
      <c r="BP235" s="403"/>
      <c r="BQ235" s="403"/>
      <c r="BR235" s="403"/>
      <c r="BS235" s="403"/>
      <c r="BT235" s="403" t="s">
        <v>10832</v>
      </c>
      <c r="BU235" s="403" t="s">
        <v>10880</v>
      </c>
      <c r="BV235" s="403"/>
      <c r="BW235" s="403"/>
      <c r="BX235" s="403"/>
      <c r="BY235" s="403" t="s">
        <v>11026</v>
      </c>
      <c r="BZ235" s="403"/>
      <c r="CA235" s="403"/>
      <c r="CB235" s="403"/>
      <c r="CC235" s="403"/>
      <c r="CD235" s="403"/>
      <c r="CE235" s="403"/>
      <c r="CF235" s="403"/>
      <c r="CG235" s="403"/>
      <c r="CH235" s="403"/>
      <c r="CI235" s="403"/>
      <c r="CJ235" s="403"/>
      <c r="CK235" s="403"/>
      <c r="CL235" s="403"/>
      <c r="CM235" s="403" t="s">
        <v>11156</v>
      </c>
      <c r="CN235" s="403" t="s">
        <v>10882</v>
      </c>
      <c r="CO235" s="403"/>
      <c r="CP235" s="403"/>
      <c r="CQ235" s="403"/>
      <c r="CR235" s="403" t="s">
        <v>11027</v>
      </c>
      <c r="CS235" s="403"/>
      <c r="CT235" s="403"/>
      <c r="CU235" s="403"/>
      <c r="CV235" s="403"/>
      <c r="CW235" s="403"/>
      <c r="CX235" s="403"/>
      <c r="CY235" s="403"/>
      <c r="CZ235" s="403"/>
      <c r="DA235" s="403"/>
      <c r="DB235" s="403"/>
      <c r="DC235" s="403"/>
      <c r="DD235" s="403"/>
      <c r="DE235" s="403"/>
      <c r="DF235" s="403" t="s">
        <v>8159</v>
      </c>
      <c r="DG235" s="403" t="s">
        <v>10884</v>
      </c>
      <c r="DH235" s="403"/>
      <c r="DI235" s="403"/>
      <c r="DJ235" s="403"/>
      <c r="DK235" s="403" t="s">
        <v>11157</v>
      </c>
      <c r="DL235" s="403"/>
      <c r="DM235" s="403"/>
      <c r="DN235" s="403"/>
      <c r="DO235" s="403"/>
      <c r="DP235" s="403"/>
      <c r="DQ235" s="403"/>
      <c r="DR235" s="403"/>
      <c r="DS235" s="403"/>
      <c r="DT235" s="403"/>
      <c r="DU235" s="403"/>
      <c r="DV235" s="403"/>
      <c r="DW235" s="403"/>
      <c r="DX235" s="403"/>
      <c r="DY235" s="403" t="s">
        <v>5709</v>
      </c>
      <c r="DZ235" s="403" t="s">
        <v>10886</v>
      </c>
      <c r="EA235" s="403"/>
      <c r="EB235" s="403"/>
      <c r="EC235" s="403"/>
      <c r="ED235" s="403" t="s">
        <v>11158</v>
      </c>
      <c r="EE235" s="403"/>
      <c r="EF235" s="403"/>
      <c r="EG235" s="403"/>
      <c r="EH235" s="403"/>
      <c r="EI235" s="403"/>
      <c r="EJ235" s="403"/>
      <c r="EK235" s="403"/>
      <c r="EL235" s="403"/>
      <c r="EM235" s="403"/>
      <c r="EN235" s="403"/>
      <c r="EO235" s="403"/>
      <c r="EP235" s="403"/>
      <c r="EQ235" s="403"/>
      <c r="ER235" s="403" t="s">
        <v>10858</v>
      </c>
      <c r="ES235" s="403" t="s">
        <v>10888</v>
      </c>
      <c r="ET235" s="403"/>
    </row>
    <row r="236" spans="1:150" s="281" customFormat="1" x14ac:dyDescent="0.2">
      <c r="C236" s="34" t="str">
        <f t="shared" ref="C236:C244" ca="1" si="63">IF(OFFSET(U236,0,Lang_Order*Lang__B4)="","",OFFSET(U236,0,Lang_Order*Lang__B4))</f>
        <v>Solar</v>
      </c>
      <c r="J236" s="304" t="str">
        <f ca="1">IF(OFFSET(AB236,0,Lang_Order*Lang__B4)="","",OFFSET(AB236,0,Lang_Order*Lang__B4))</f>
        <v>Total Required in All Districts</v>
      </c>
      <c r="K236" s="146"/>
      <c r="M236" s="303" t="str">
        <f ca="1">IF(OFFSET(AE236,0,Lang_Order*Lang__B4)="","",OFFSET(AE236,0,Lang_Order*Lang__B4))</f>
        <v>Total Pre-existing in All Districts (FILL HERE)</v>
      </c>
      <c r="N236" s="146"/>
      <c r="O236" s="146"/>
      <c r="P236" s="305" t="str">
        <f ca="1">IF(OFFSET(AH236,0,Lang_Order*Lang__B4)="","",OFFSET(AH236,0,Lang_Order*Lang__B4))</f>
        <v>Remainder Required in All Districts</v>
      </c>
      <c r="Q236" s="91"/>
      <c r="R236" s="403"/>
      <c r="S236" s="403"/>
      <c r="T236" s="403"/>
      <c r="U236" s="403" t="s">
        <v>3222</v>
      </c>
      <c r="V236" s="403"/>
      <c r="W236" s="403"/>
      <c r="X236" s="403"/>
      <c r="Y236" s="403"/>
      <c r="Z236" s="403"/>
      <c r="AA236" s="403"/>
      <c r="AB236" s="403" t="s">
        <v>3667</v>
      </c>
      <c r="AC236" s="403"/>
      <c r="AD236" s="403"/>
      <c r="AE236" s="403" t="s">
        <v>3668</v>
      </c>
      <c r="AF236" s="403"/>
      <c r="AG236" s="403"/>
      <c r="AH236" s="403" t="s">
        <v>3669</v>
      </c>
      <c r="AI236" s="403"/>
      <c r="AJ236" s="403"/>
      <c r="AK236" s="403"/>
      <c r="AL236" s="403"/>
      <c r="AM236" s="403"/>
      <c r="AN236" s="403" t="s">
        <v>11144</v>
      </c>
      <c r="AO236" s="403"/>
      <c r="AP236" s="403"/>
      <c r="AQ236" s="403"/>
      <c r="AR236" s="403"/>
      <c r="AS236" s="403"/>
      <c r="AT236" s="403"/>
      <c r="AU236" s="403" t="s">
        <v>11159</v>
      </c>
      <c r="AV236" s="403"/>
      <c r="AW236" s="403"/>
      <c r="AX236" s="403" t="s">
        <v>11160</v>
      </c>
      <c r="AY236" s="403"/>
      <c r="AZ236" s="403"/>
      <c r="BA236" s="403" t="s">
        <v>11161</v>
      </c>
      <c r="BB236" s="403"/>
      <c r="BC236" s="403"/>
      <c r="BD236" s="403"/>
      <c r="BE236" s="403"/>
      <c r="BF236" s="403"/>
      <c r="BG236" s="403" t="s">
        <v>11145</v>
      </c>
      <c r="BH236" s="403"/>
      <c r="BI236" s="403"/>
      <c r="BJ236" s="403"/>
      <c r="BK236" s="403"/>
      <c r="BL236" s="403"/>
      <c r="BM236" s="403"/>
      <c r="BN236" s="403" t="s">
        <v>11162</v>
      </c>
      <c r="BO236" s="403"/>
      <c r="BP236" s="403"/>
      <c r="BQ236" s="403" t="s">
        <v>11163</v>
      </c>
      <c r="BR236" s="403"/>
      <c r="BS236" s="403"/>
      <c r="BT236" s="403" t="s">
        <v>11164</v>
      </c>
      <c r="BU236" s="403"/>
      <c r="BV236" s="403"/>
      <c r="BW236" s="403"/>
      <c r="BX236" s="403"/>
      <c r="BY236" s="403"/>
      <c r="BZ236" s="403" t="s">
        <v>3222</v>
      </c>
      <c r="CA236" s="403"/>
      <c r="CB236" s="403"/>
      <c r="CC236" s="403"/>
      <c r="CD236" s="403"/>
      <c r="CE236" s="403"/>
      <c r="CF236" s="403"/>
      <c r="CG236" s="403" t="s">
        <v>11165</v>
      </c>
      <c r="CH236" s="403"/>
      <c r="CI236" s="403"/>
      <c r="CJ236" s="403" t="s">
        <v>11166</v>
      </c>
      <c r="CK236" s="403"/>
      <c r="CL236" s="403"/>
      <c r="CM236" s="403" t="s">
        <v>11167</v>
      </c>
      <c r="CN236" s="403"/>
      <c r="CO236" s="403"/>
      <c r="CP236" s="403"/>
      <c r="CQ236" s="403"/>
      <c r="CR236" s="403"/>
      <c r="CS236" s="403" t="s">
        <v>3222</v>
      </c>
      <c r="CT236" s="403"/>
      <c r="CU236" s="403"/>
      <c r="CV236" s="403"/>
      <c r="CW236" s="403"/>
      <c r="CX236" s="403"/>
      <c r="CY236" s="403"/>
      <c r="CZ236" s="403" t="s">
        <v>11168</v>
      </c>
      <c r="DA236" s="403"/>
      <c r="DB236" s="403"/>
      <c r="DC236" s="403" t="s">
        <v>11169</v>
      </c>
      <c r="DD236" s="403"/>
      <c r="DE236" s="403"/>
      <c r="DF236" s="403" t="s">
        <v>11170</v>
      </c>
      <c r="DG236" s="403"/>
      <c r="DH236" s="403"/>
      <c r="DI236" s="403"/>
      <c r="DJ236" s="403"/>
      <c r="DK236" s="403"/>
      <c r="DL236" s="403" t="s">
        <v>11147</v>
      </c>
      <c r="DM236" s="403"/>
      <c r="DN236" s="403"/>
      <c r="DO236" s="403"/>
      <c r="DP236" s="403"/>
      <c r="DQ236" s="403"/>
      <c r="DR236" s="403"/>
      <c r="DS236" s="403" t="s">
        <v>11171</v>
      </c>
      <c r="DT236" s="403"/>
      <c r="DU236" s="403"/>
      <c r="DV236" s="403" t="s">
        <v>10897</v>
      </c>
      <c r="DW236" s="403"/>
      <c r="DX236" s="403"/>
      <c r="DY236" s="403" t="s">
        <v>11172</v>
      </c>
      <c r="DZ236" s="403"/>
      <c r="EA236" s="403"/>
      <c r="EB236" s="403"/>
      <c r="EC236" s="403"/>
      <c r="ED236" s="403"/>
      <c r="EE236" s="403" t="s">
        <v>11148</v>
      </c>
      <c r="EF236" s="403"/>
      <c r="EG236" s="403"/>
      <c r="EH236" s="403"/>
      <c r="EI236" s="403"/>
      <c r="EJ236" s="403"/>
      <c r="EK236" s="403"/>
      <c r="EL236" s="403" t="s">
        <v>11173</v>
      </c>
      <c r="EM236" s="403"/>
      <c r="EN236" s="403"/>
      <c r="EO236" s="403" t="s">
        <v>11174</v>
      </c>
      <c r="EP236" s="403"/>
      <c r="EQ236" s="403"/>
      <c r="ER236" s="403" t="s">
        <v>11175</v>
      </c>
      <c r="ES236" s="403"/>
      <c r="ET236" s="403"/>
    </row>
    <row r="237" spans="1:150" s="281" customFormat="1" x14ac:dyDescent="0.2">
      <c r="A237" s="350">
        <v>2</v>
      </c>
      <c r="C237" s="5" t="str">
        <f t="shared" ca="1" si="63"/>
        <v>Refrigerated (2 to 8C)</v>
      </c>
      <c r="D237" s="281" t="str">
        <f>D226</f>
        <v>120L+ - HTC-240 (Ground Mount)</v>
      </c>
      <c r="J237" s="208" t="e">
        <f>$D$194*P226</f>
        <v>#N/A</v>
      </c>
      <c r="M237" s="35">
        <v>0</v>
      </c>
      <c r="P237" s="208" t="e">
        <f>MAX(0,J237-M237)</f>
        <v>#N/A</v>
      </c>
      <c r="Q237" s="91"/>
      <c r="R237" s="403"/>
      <c r="S237" s="403"/>
      <c r="T237" s="403"/>
      <c r="U237" s="403" t="s">
        <v>11</v>
      </c>
      <c r="V237" s="403"/>
      <c r="W237" s="403"/>
      <c r="X237" s="403"/>
      <c r="Y237" s="403"/>
      <c r="Z237" s="403"/>
      <c r="AA237" s="403"/>
      <c r="AB237" s="403"/>
      <c r="AC237" s="403"/>
      <c r="AD237" s="403"/>
      <c r="AE237" s="403"/>
      <c r="AF237" s="403"/>
      <c r="AG237" s="403"/>
      <c r="AH237" s="403"/>
      <c r="AI237" s="403"/>
      <c r="AJ237" s="403"/>
      <c r="AK237" s="403"/>
      <c r="AL237" s="403"/>
      <c r="AM237" s="403"/>
      <c r="AN237" s="403" t="s">
        <v>10714</v>
      </c>
      <c r="AO237" s="403"/>
      <c r="AP237" s="403"/>
      <c r="AQ237" s="403"/>
      <c r="AR237" s="403"/>
      <c r="AS237" s="403"/>
      <c r="AT237" s="403"/>
      <c r="AU237" s="403"/>
      <c r="AV237" s="403"/>
      <c r="AW237" s="403"/>
      <c r="AX237" s="403"/>
      <c r="AY237" s="403"/>
      <c r="AZ237" s="403"/>
      <c r="BA237" s="403"/>
      <c r="BB237" s="403"/>
      <c r="BC237" s="403"/>
      <c r="BD237" s="403"/>
      <c r="BE237" s="403"/>
      <c r="BF237" s="403"/>
      <c r="BG237" s="403" t="s">
        <v>10227</v>
      </c>
      <c r="BH237" s="403"/>
      <c r="BI237" s="403"/>
      <c r="BJ237" s="403"/>
      <c r="BK237" s="403"/>
      <c r="BL237" s="403"/>
      <c r="BM237" s="403"/>
      <c r="BN237" s="403"/>
      <c r="BO237" s="403"/>
      <c r="BP237" s="403"/>
      <c r="BQ237" s="403"/>
      <c r="BR237" s="403"/>
      <c r="BS237" s="403"/>
      <c r="BT237" s="403"/>
      <c r="BU237" s="403"/>
      <c r="BV237" s="403"/>
      <c r="BW237" s="403"/>
      <c r="BX237" s="403"/>
      <c r="BY237" s="403"/>
      <c r="BZ237" s="403" t="s">
        <v>10715</v>
      </c>
      <c r="CA237" s="403"/>
      <c r="CB237" s="403"/>
      <c r="CC237" s="403"/>
      <c r="CD237" s="403"/>
      <c r="CE237" s="403"/>
      <c r="CF237" s="403"/>
      <c r="CG237" s="403"/>
      <c r="CH237" s="403"/>
      <c r="CI237" s="403"/>
      <c r="CJ237" s="403"/>
      <c r="CK237" s="403"/>
      <c r="CL237" s="403"/>
      <c r="CM237" s="403"/>
      <c r="CN237" s="403"/>
      <c r="CO237" s="403"/>
      <c r="CP237" s="403"/>
      <c r="CQ237" s="403"/>
      <c r="CR237" s="403"/>
      <c r="CS237" s="403" t="s">
        <v>8384</v>
      </c>
      <c r="CT237" s="403"/>
      <c r="CU237" s="403"/>
      <c r="CV237" s="403"/>
      <c r="CW237" s="403"/>
      <c r="CX237" s="403"/>
      <c r="CY237" s="403"/>
      <c r="CZ237" s="403"/>
      <c r="DA237" s="403"/>
      <c r="DB237" s="403"/>
      <c r="DC237" s="403"/>
      <c r="DD237" s="403"/>
      <c r="DE237" s="403"/>
      <c r="DF237" s="403"/>
      <c r="DG237" s="403"/>
      <c r="DH237" s="403"/>
      <c r="DI237" s="403"/>
      <c r="DJ237" s="403"/>
      <c r="DK237" s="403"/>
      <c r="DL237" s="403" t="s">
        <v>10248</v>
      </c>
      <c r="DM237" s="403"/>
      <c r="DN237" s="403"/>
      <c r="DO237" s="403"/>
      <c r="DP237" s="403"/>
      <c r="DQ237" s="403"/>
      <c r="DR237" s="403"/>
      <c r="DS237" s="403"/>
      <c r="DT237" s="403"/>
      <c r="DU237" s="403"/>
      <c r="DV237" s="403"/>
      <c r="DW237" s="403"/>
      <c r="DX237" s="403"/>
      <c r="DY237" s="403"/>
      <c r="DZ237" s="403"/>
      <c r="EA237" s="403"/>
      <c r="EB237" s="403"/>
      <c r="EC237" s="403"/>
      <c r="ED237" s="403"/>
      <c r="EE237" s="403" t="s">
        <v>8387</v>
      </c>
      <c r="EF237" s="403"/>
      <c r="EG237" s="403"/>
      <c r="EH237" s="403"/>
      <c r="EI237" s="403"/>
      <c r="EJ237" s="403"/>
      <c r="EK237" s="403"/>
      <c r="EL237" s="403"/>
      <c r="EM237" s="403"/>
      <c r="EN237" s="403"/>
      <c r="EO237" s="403"/>
      <c r="EP237" s="403"/>
      <c r="EQ237" s="403"/>
      <c r="ER237" s="403"/>
      <c r="ES237" s="403"/>
      <c r="ET237" s="403"/>
    </row>
    <row r="238" spans="1:150" s="281" customFormat="1" x14ac:dyDescent="0.2">
      <c r="A238" s="350">
        <v>2</v>
      </c>
      <c r="C238" s="5" t="str">
        <f t="shared" ca="1" si="63"/>
        <v>Frozen (-20C)</v>
      </c>
      <c r="D238" s="299" t="str">
        <f>D227</f>
        <v>60-90L - TFW 40 SDD (Ground Mount)</v>
      </c>
      <c r="J238" s="208" t="e">
        <f>$D$194*P227</f>
        <v>#N/A</v>
      </c>
      <c r="M238" s="35">
        <v>0</v>
      </c>
      <c r="P238" s="208" t="e">
        <f>MAX(0,J238-M238)</f>
        <v>#N/A</v>
      </c>
      <c r="Q238" s="91"/>
      <c r="R238" s="403"/>
      <c r="S238" s="403"/>
      <c r="T238" s="403"/>
      <c r="U238" s="403" t="s">
        <v>12</v>
      </c>
      <c r="V238" s="403"/>
      <c r="W238" s="403"/>
      <c r="X238" s="403"/>
      <c r="Y238" s="403"/>
      <c r="Z238" s="403"/>
      <c r="AA238" s="403"/>
      <c r="AB238" s="403"/>
      <c r="AC238" s="403"/>
      <c r="AD238" s="403"/>
      <c r="AE238" s="403"/>
      <c r="AF238" s="403"/>
      <c r="AG238" s="403"/>
      <c r="AH238" s="403"/>
      <c r="AI238" s="403"/>
      <c r="AJ238" s="403"/>
      <c r="AK238" s="403"/>
      <c r="AL238" s="403"/>
      <c r="AM238" s="403"/>
      <c r="AN238" s="403" t="s">
        <v>10717</v>
      </c>
      <c r="AO238" s="403"/>
      <c r="AP238" s="403"/>
      <c r="AQ238" s="403"/>
      <c r="AR238" s="403"/>
      <c r="AS238" s="403"/>
      <c r="AT238" s="403"/>
      <c r="AU238" s="403"/>
      <c r="AV238" s="403"/>
      <c r="AW238" s="403"/>
      <c r="AX238" s="403"/>
      <c r="AY238" s="403"/>
      <c r="AZ238" s="403"/>
      <c r="BA238" s="403"/>
      <c r="BB238" s="403"/>
      <c r="BC238" s="403"/>
      <c r="BD238" s="403"/>
      <c r="BE238" s="403"/>
      <c r="BF238" s="403"/>
      <c r="BG238" s="403" t="s">
        <v>10228</v>
      </c>
      <c r="BH238" s="403"/>
      <c r="BI238" s="403"/>
      <c r="BJ238" s="403"/>
      <c r="BK238" s="403"/>
      <c r="BL238" s="403"/>
      <c r="BM238" s="403"/>
      <c r="BN238" s="403"/>
      <c r="BO238" s="403"/>
      <c r="BP238" s="403"/>
      <c r="BQ238" s="403"/>
      <c r="BR238" s="403"/>
      <c r="BS238" s="403"/>
      <c r="BT238" s="403"/>
      <c r="BU238" s="403"/>
      <c r="BV238" s="403"/>
      <c r="BW238" s="403"/>
      <c r="BX238" s="403"/>
      <c r="BY238" s="403"/>
      <c r="BZ238" s="403" t="s">
        <v>10718</v>
      </c>
      <c r="CA238" s="403"/>
      <c r="CB238" s="403"/>
      <c r="CC238" s="403"/>
      <c r="CD238" s="403"/>
      <c r="CE238" s="403"/>
      <c r="CF238" s="403"/>
      <c r="CG238" s="403"/>
      <c r="CH238" s="403"/>
      <c r="CI238" s="403"/>
      <c r="CJ238" s="403"/>
      <c r="CK238" s="403"/>
      <c r="CL238" s="403"/>
      <c r="CM238" s="403"/>
      <c r="CN238" s="403"/>
      <c r="CO238" s="403"/>
      <c r="CP238" s="403"/>
      <c r="CQ238" s="403"/>
      <c r="CR238" s="403"/>
      <c r="CS238" s="403" t="s">
        <v>8391</v>
      </c>
      <c r="CT238" s="403"/>
      <c r="CU238" s="403"/>
      <c r="CV238" s="403"/>
      <c r="CW238" s="403"/>
      <c r="CX238" s="403"/>
      <c r="CY238" s="403"/>
      <c r="CZ238" s="403"/>
      <c r="DA238" s="403"/>
      <c r="DB238" s="403"/>
      <c r="DC238" s="403"/>
      <c r="DD238" s="403"/>
      <c r="DE238" s="403"/>
      <c r="DF238" s="403"/>
      <c r="DG238" s="403"/>
      <c r="DH238" s="403"/>
      <c r="DI238" s="403"/>
      <c r="DJ238" s="403"/>
      <c r="DK238" s="403"/>
      <c r="DL238" s="403" t="s">
        <v>10249</v>
      </c>
      <c r="DM238" s="403"/>
      <c r="DN238" s="403"/>
      <c r="DO238" s="403"/>
      <c r="DP238" s="403"/>
      <c r="DQ238" s="403"/>
      <c r="DR238" s="403"/>
      <c r="DS238" s="403"/>
      <c r="DT238" s="403"/>
      <c r="DU238" s="403"/>
      <c r="DV238" s="403"/>
      <c r="DW238" s="403"/>
      <c r="DX238" s="403"/>
      <c r="DY238" s="403"/>
      <c r="DZ238" s="403"/>
      <c r="EA238" s="403"/>
      <c r="EB238" s="403"/>
      <c r="EC238" s="403"/>
      <c r="ED238" s="403"/>
      <c r="EE238" s="403" t="s">
        <v>8393</v>
      </c>
      <c r="EF238" s="403"/>
      <c r="EG238" s="403"/>
      <c r="EH238" s="403"/>
      <c r="EI238" s="403"/>
      <c r="EJ238" s="403"/>
      <c r="EK238" s="403"/>
      <c r="EL238" s="403"/>
      <c r="EM238" s="403"/>
      <c r="EN238" s="403"/>
      <c r="EO238" s="403"/>
      <c r="EP238" s="403"/>
      <c r="EQ238" s="403"/>
      <c r="ER238" s="403"/>
      <c r="ES238" s="403"/>
      <c r="ET238" s="403"/>
    </row>
    <row r="239" spans="1:150" s="281" customFormat="1" x14ac:dyDescent="0.2">
      <c r="A239" s="350">
        <v>2</v>
      </c>
      <c r="C239" s="5" t="str">
        <f t="shared" ca="1" si="63"/>
        <v>Remote Temperature Monitoring Devices</v>
      </c>
      <c r="D239" s="299" t="str">
        <f>D228</f>
        <v>Haier U-Cool (Refrigerator model)+ 3 years data/portal access</v>
      </c>
      <c r="J239" s="208" t="e">
        <f>$D$194*P228</f>
        <v>#N/A</v>
      </c>
      <c r="M239" s="35">
        <v>0</v>
      </c>
      <c r="P239" s="208" t="e">
        <f>MAX(0,J239-M239)</f>
        <v>#N/A</v>
      </c>
      <c r="Q239" s="91"/>
      <c r="R239" s="403"/>
      <c r="S239" s="403"/>
      <c r="T239" s="403"/>
      <c r="U239" s="403" t="s">
        <v>3593</v>
      </c>
      <c r="V239" s="403"/>
      <c r="W239" s="403"/>
      <c r="X239" s="403"/>
      <c r="Y239" s="403"/>
      <c r="Z239" s="403"/>
      <c r="AA239" s="403"/>
      <c r="AB239" s="403"/>
      <c r="AC239" s="403"/>
      <c r="AD239" s="403"/>
      <c r="AE239" s="403"/>
      <c r="AF239" s="403"/>
      <c r="AG239" s="403"/>
      <c r="AH239" s="403"/>
      <c r="AI239" s="403"/>
      <c r="AJ239" s="403"/>
      <c r="AK239" s="403"/>
      <c r="AL239" s="403"/>
      <c r="AM239" s="403"/>
      <c r="AN239" s="403" t="s">
        <v>10871</v>
      </c>
      <c r="AO239" s="403"/>
      <c r="AP239" s="403"/>
      <c r="AQ239" s="403"/>
      <c r="AR239" s="403"/>
      <c r="AS239" s="403"/>
      <c r="AT239" s="403"/>
      <c r="AU239" s="403"/>
      <c r="AV239" s="403"/>
      <c r="AW239" s="403"/>
      <c r="AX239" s="403"/>
      <c r="AY239" s="403"/>
      <c r="AZ239" s="403"/>
      <c r="BA239" s="403"/>
      <c r="BB239" s="403"/>
      <c r="BC239" s="403"/>
      <c r="BD239" s="403"/>
      <c r="BE239" s="403"/>
      <c r="BF239" s="403"/>
      <c r="BG239" s="403" t="s">
        <v>10872</v>
      </c>
      <c r="BH239" s="403"/>
      <c r="BI239" s="403"/>
      <c r="BJ239" s="403"/>
      <c r="BK239" s="403"/>
      <c r="BL239" s="403"/>
      <c r="BM239" s="403"/>
      <c r="BN239" s="403"/>
      <c r="BO239" s="403"/>
      <c r="BP239" s="403"/>
      <c r="BQ239" s="403"/>
      <c r="BR239" s="403"/>
      <c r="BS239" s="403"/>
      <c r="BT239" s="403"/>
      <c r="BU239" s="403"/>
      <c r="BV239" s="403"/>
      <c r="BW239" s="403"/>
      <c r="BX239" s="403"/>
      <c r="BY239" s="403"/>
      <c r="BZ239" s="403" t="s">
        <v>10873</v>
      </c>
      <c r="CA239" s="403"/>
      <c r="CB239" s="403"/>
      <c r="CC239" s="403"/>
      <c r="CD239" s="403"/>
      <c r="CE239" s="403"/>
      <c r="CF239" s="403"/>
      <c r="CG239" s="403"/>
      <c r="CH239" s="403"/>
      <c r="CI239" s="403"/>
      <c r="CJ239" s="403"/>
      <c r="CK239" s="403"/>
      <c r="CL239" s="403"/>
      <c r="CM239" s="403"/>
      <c r="CN239" s="403"/>
      <c r="CO239" s="403"/>
      <c r="CP239" s="403"/>
      <c r="CQ239" s="403"/>
      <c r="CR239" s="403"/>
      <c r="CS239" s="403" t="s">
        <v>10874</v>
      </c>
      <c r="CT239" s="403"/>
      <c r="CU239" s="403"/>
      <c r="CV239" s="403"/>
      <c r="CW239" s="403"/>
      <c r="CX239" s="403"/>
      <c r="CY239" s="403"/>
      <c r="CZ239" s="403"/>
      <c r="DA239" s="403"/>
      <c r="DB239" s="403"/>
      <c r="DC239" s="403"/>
      <c r="DD239" s="403"/>
      <c r="DE239" s="403"/>
      <c r="DF239" s="403"/>
      <c r="DG239" s="403"/>
      <c r="DH239" s="403"/>
      <c r="DI239" s="403"/>
      <c r="DJ239" s="403"/>
      <c r="DK239" s="403"/>
      <c r="DL239" s="403" t="s">
        <v>10901</v>
      </c>
      <c r="DM239" s="403"/>
      <c r="DN239" s="403"/>
      <c r="DO239" s="403"/>
      <c r="DP239" s="403"/>
      <c r="DQ239" s="403"/>
      <c r="DR239" s="403"/>
      <c r="DS239" s="403"/>
      <c r="DT239" s="403"/>
      <c r="DU239" s="403"/>
      <c r="DV239" s="403"/>
      <c r="DW239" s="403"/>
      <c r="DX239" s="403"/>
      <c r="DY239" s="403"/>
      <c r="DZ239" s="403"/>
      <c r="EA239" s="403"/>
      <c r="EB239" s="403"/>
      <c r="EC239" s="403"/>
      <c r="ED239" s="403"/>
      <c r="EE239" s="403" t="s">
        <v>10876</v>
      </c>
      <c r="EF239" s="403"/>
      <c r="EG239" s="403"/>
      <c r="EH239" s="403"/>
      <c r="EI239" s="403"/>
      <c r="EJ239" s="403"/>
      <c r="EK239" s="403"/>
      <c r="EL239" s="403"/>
      <c r="EM239" s="403"/>
      <c r="EN239" s="403"/>
      <c r="EO239" s="403"/>
      <c r="EP239" s="403"/>
      <c r="EQ239" s="403"/>
      <c r="ER239" s="403"/>
      <c r="ES239" s="403"/>
      <c r="ET239" s="403"/>
    </row>
    <row r="240" spans="1:150" s="281" customFormat="1" x14ac:dyDescent="0.2">
      <c r="C240" s="34" t="str">
        <f t="shared" ca="1" si="63"/>
        <v>On-grid</v>
      </c>
      <c r="L240" s="302" t="str">
        <f ca="1">IF(OFFSET(AD240,0,Lang_Order*Lang__B4)="","",OFFSET(AD240,0,Lang_Order*Lang__B4))</f>
        <v>MINUS</v>
      </c>
      <c r="M240" s="146"/>
      <c r="N240" s="146"/>
      <c r="O240" s="302" t="str">
        <f ca="1">IF(OFFSET(AG240,0,Lang_Order*Lang__B4)="","",OFFSET(AG240,0,Lang_Order*Lang__B4))</f>
        <v>EQUALS</v>
      </c>
      <c r="Q240" s="91"/>
      <c r="R240" s="403"/>
      <c r="S240" s="403"/>
      <c r="T240" s="403"/>
      <c r="U240" s="403" t="s">
        <v>3221</v>
      </c>
      <c r="V240" s="403"/>
      <c r="W240" s="403"/>
      <c r="X240" s="403"/>
      <c r="Y240" s="403"/>
      <c r="Z240" s="403"/>
      <c r="AA240" s="403"/>
      <c r="AB240" s="403"/>
      <c r="AC240" s="403"/>
      <c r="AD240" s="403" t="s">
        <v>3659</v>
      </c>
      <c r="AE240" s="403"/>
      <c r="AF240" s="403"/>
      <c r="AG240" s="403" t="s">
        <v>3660</v>
      </c>
      <c r="AH240" s="403"/>
      <c r="AI240" s="403"/>
      <c r="AJ240" s="403"/>
      <c r="AK240" s="403"/>
      <c r="AL240" s="403"/>
      <c r="AM240" s="403"/>
      <c r="AN240" s="403" t="s">
        <v>11149</v>
      </c>
      <c r="AO240" s="403"/>
      <c r="AP240" s="403"/>
      <c r="AQ240" s="403"/>
      <c r="AR240" s="403"/>
      <c r="AS240" s="403"/>
      <c r="AT240" s="403"/>
      <c r="AU240" s="403"/>
      <c r="AV240" s="403"/>
      <c r="AW240" s="403" t="s">
        <v>11046</v>
      </c>
      <c r="AX240" s="403"/>
      <c r="AY240" s="403"/>
      <c r="AZ240" s="403" t="s">
        <v>11047</v>
      </c>
      <c r="BA240" s="403"/>
      <c r="BB240" s="403"/>
      <c r="BC240" s="403"/>
      <c r="BD240" s="403"/>
      <c r="BE240" s="403"/>
      <c r="BF240" s="403"/>
      <c r="BG240" s="403" t="s">
        <v>11150</v>
      </c>
      <c r="BH240" s="403"/>
      <c r="BI240" s="403"/>
      <c r="BJ240" s="403"/>
      <c r="BK240" s="403"/>
      <c r="BL240" s="403"/>
      <c r="BM240" s="403"/>
      <c r="BN240" s="403"/>
      <c r="BO240" s="403"/>
      <c r="BP240" s="403" t="s">
        <v>11048</v>
      </c>
      <c r="BQ240" s="403"/>
      <c r="BR240" s="403"/>
      <c r="BS240" s="403" t="s">
        <v>11049</v>
      </c>
      <c r="BT240" s="403"/>
      <c r="BU240" s="403"/>
      <c r="BV240" s="403"/>
      <c r="BW240" s="403"/>
      <c r="BX240" s="403"/>
      <c r="BY240" s="403"/>
      <c r="BZ240" s="403" t="s">
        <v>11151</v>
      </c>
      <c r="CA240" s="403"/>
      <c r="CB240" s="403"/>
      <c r="CC240" s="403"/>
      <c r="CD240" s="403"/>
      <c r="CE240" s="403"/>
      <c r="CF240" s="403"/>
      <c r="CG240" s="403"/>
      <c r="CH240" s="403"/>
      <c r="CI240" s="403" t="s">
        <v>11050</v>
      </c>
      <c r="CJ240" s="403"/>
      <c r="CK240" s="403"/>
      <c r="CL240" s="403" t="s">
        <v>11051</v>
      </c>
      <c r="CM240" s="403"/>
      <c r="CN240" s="403"/>
      <c r="CO240" s="403"/>
      <c r="CP240" s="403"/>
      <c r="CQ240" s="403"/>
      <c r="CR240" s="403"/>
      <c r="CS240" s="403" t="s">
        <v>11152</v>
      </c>
      <c r="CT240" s="403"/>
      <c r="CU240" s="403"/>
      <c r="CV240" s="403"/>
      <c r="CW240" s="403"/>
      <c r="CX240" s="403"/>
      <c r="CY240" s="403"/>
      <c r="CZ240" s="403"/>
      <c r="DA240" s="403"/>
      <c r="DB240" s="403" t="s">
        <v>11050</v>
      </c>
      <c r="DC240" s="403"/>
      <c r="DD240" s="403"/>
      <c r="DE240" s="403" t="s">
        <v>11051</v>
      </c>
      <c r="DF240" s="403"/>
      <c r="DG240" s="403"/>
      <c r="DH240" s="403"/>
      <c r="DI240" s="403"/>
      <c r="DJ240" s="403"/>
      <c r="DK240" s="403"/>
      <c r="DL240" s="403" t="s">
        <v>11153</v>
      </c>
      <c r="DM240" s="403"/>
      <c r="DN240" s="403"/>
      <c r="DO240" s="403"/>
      <c r="DP240" s="403"/>
      <c r="DQ240" s="403"/>
      <c r="DR240" s="403"/>
      <c r="DS240" s="403"/>
      <c r="DT240" s="403"/>
      <c r="DU240" s="403" t="s">
        <v>11052</v>
      </c>
      <c r="DV240" s="403"/>
      <c r="DW240" s="403"/>
      <c r="DX240" s="403" t="s">
        <v>11053</v>
      </c>
      <c r="DY240" s="403"/>
      <c r="DZ240" s="403"/>
      <c r="EA240" s="403"/>
      <c r="EB240" s="403"/>
      <c r="EC240" s="403"/>
      <c r="ED240" s="403"/>
      <c r="EE240" s="403" t="s">
        <v>11154</v>
      </c>
      <c r="EF240" s="403"/>
      <c r="EG240" s="403"/>
      <c r="EH240" s="403"/>
      <c r="EI240" s="403"/>
      <c r="EJ240" s="403"/>
      <c r="EK240" s="403"/>
      <c r="EL240" s="403"/>
      <c r="EM240" s="403"/>
      <c r="EN240" s="403" t="s">
        <v>11054</v>
      </c>
      <c r="EO240" s="403"/>
      <c r="EP240" s="403"/>
      <c r="EQ240" s="403" t="s">
        <v>11055</v>
      </c>
      <c r="ER240" s="403"/>
      <c r="ES240" s="403"/>
      <c r="ET240" s="403"/>
    </row>
    <row r="241" spans="1:150" s="281" customFormat="1" x14ac:dyDescent="0.2">
      <c r="A241" s="350">
        <v>2</v>
      </c>
      <c r="C241" s="5" t="str">
        <f t="shared" ca="1" si="63"/>
        <v>Refrigerated (2 to 8C)</v>
      </c>
      <c r="D241" s="299" t="str">
        <f>D230</f>
        <v>120L+ - HBC 260</v>
      </c>
      <c r="J241" s="208" t="e">
        <f>$D$195*P230</f>
        <v>#N/A</v>
      </c>
      <c r="K241" s="146"/>
      <c r="L241" s="146"/>
      <c r="M241" s="35">
        <v>0</v>
      </c>
      <c r="N241" s="146"/>
      <c r="O241" s="146"/>
      <c r="P241" s="208" t="e">
        <f>MAX(0,J241-M241)</f>
        <v>#N/A</v>
      </c>
      <c r="Q241" s="47"/>
      <c r="R241" s="403"/>
      <c r="S241" s="403"/>
      <c r="T241" s="403"/>
      <c r="U241" s="403" t="s">
        <v>11</v>
      </c>
      <c r="V241" s="403"/>
      <c r="W241" s="403"/>
      <c r="X241" s="403"/>
      <c r="Y241" s="403"/>
      <c r="Z241" s="403"/>
      <c r="AA241" s="403"/>
      <c r="AB241" s="403"/>
      <c r="AC241" s="403"/>
      <c r="AD241" s="403"/>
      <c r="AE241" s="403"/>
      <c r="AF241" s="403"/>
      <c r="AG241" s="403"/>
      <c r="AH241" s="403"/>
      <c r="AI241" s="403"/>
      <c r="AJ241" s="403"/>
      <c r="AK241" s="403"/>
      <c r="AL241" s="403"/>
      <c r="AM241" s="403"/>
      <c r="AN241" s="403" t="s">
        <v>10714</v>
      </c>
      <c r="AO241" s="403"/>
      <c r="AP241" s="403"/>
      <c r="AQ241" s="403"/>
      <c r="AR241" s="403"/>
      <c r="AS241" s="403"/>
      <c r="AT241" s="403"/>
      <c r="AU241" s="403"/>
      <c r="AV241" s="403"/>
      <c r="AW241" s="403"/>
      <c r="AX241" s="403"/>
      <c r="AY241" s="403"/>
      <c r="AZ241" s="403"/>
      <c r="BA241" s="403"/>
      <c r="BB241" s="403"/>
      <c r="BC241" s="403"/>
      <c r="BD241" s="403"/>
      <c r="BE241" s="403"/>
      <c r="BF241" s="403"/>
      <c r="BG241" s="403" t="s">
        <v>10227</v>
      </c>
      <c r="BH241" s="403"/>
      <c r="BI241" s="403"/>
      <c r="BJ241" s="403"/>
      <c r="BK241" s="403"/>
      <c r="BL241" s="403"/>
      <c r="BM241" s="403"/>
      <c r="BN241" s="403"/>
      <c r="BO241" s="403"/>
      <c r="BP241" s="403"/>
      <c r="BQ241" s="403"/>
      <c r="BR241" s="403"/>
      <c r="BS241" s="403"/>
      <c r="BT241" s="403"/>
      <c r="BU241" s="403"/>
      <c r="BV241" s="403"/>
      <c r="BW241" s="403"/>
      <c r="BX241" s="403"/>
      <c r="BY241" s="403"/>
      <c r="BZ241" s="403" t="s">
        <v>10715</v>
      </c>
      <c r="CA241" s="403"/>
      <c r="CB241" s="403"/>
      <c r="CC241" s="403"/>
      <c r="CD241" s="403"/>
      <c r="CE241" s="403"/>
      <c r="CF241" s="403"/>
      <c r="CG241" s="403"/>
      <c r="CH241" s="403"/>
      <c r="CI241" s="403"/>
      <c r="CJ241" s="403"/>
      <c r="CK241" s="403"/>
      <c r="CL241" s="403"/>
      <c r="CM241" s="403"/>
      <c r="CN241" s="403"/>
      <c r="CO241" s="403"/>
      <c r="CP241" s="403"/>
      <c r="CQ241" s="403"/>
      <c r="CR241" s="403"/>
      <c r="CS241" s="403" t="s">
        <v>8384</v>
      </c>
      <c r="CT241" s="403"/>
      <c r="CU241" s="403"/>
      <c r="CV241" s="403"/>
      <c r="CW241" s="403"/>
      <c r="CX241" s="403"/>
      <c r="CY241" s="403"/>
      <c r="CZ241" s="403"/>
      <c r="DA241" s="403"/>
      <c r="DB241" s="403"/>
      <c r="DC241" s="403"/>
      <c r="DD241" s="403"/>
      <c r="DE241" s="403"/>
      <c r="DF241" s="403"/>
      <c r="DG241" s="403"/>
      <c r="DH241" s="403"/>
      <c r="DI241" s="403"/>
      <c r="DJ241" s="403"/>
      <c r="DK241" s="403"/>
      <c r="DL241" s="403" t="s">
        <v>10248</v>
      </c>
      <c r="DM241" s="403"/>
      <c r="DN241" s="403"/>
      <c r="DO241" s="403"/>
      <c r="DP241" s="403"/>
      <c r="DQ241" s="403"/>
      <c r="DR241" s="403"/>
      <c r="DS241" s="403"/>
      <c r="DT241" s="403"/>
      <c r="DU241" s="403"/>
      <c r="DV241" s="403"/>
      <c r="DW241" s="403"/>
      <c r="DX241" s="403"/>
      <c r="DY241" s="403"/>
      <c r="DZ241" s="403"/>
      <c r="EA241" s="403"/>
      <c r="EB241" s="403"/>
      <c r="EC241" s="403"/>
      <c r="ED241" s="403"/>
      <c r="EE241" s="403" t="s">
        <v>8387</v>
      </c>
      <c r="EF241" s="403"/>
      <c r="EG241" s="403"/>
      <c r="EH241" s="403"/>
      <c r="EI241" s="403"/>
      <c r="EJ241" s="403"/>
      <c r="EK241" s="403"/>
      <c r="EL241" s="403"/>
      <c r="EM241" s="403"/>
      <c r="EN241" s="403"/>
      <c r="EO241" s="403"/>
      <c r="EP241" s="403"/>
      <c r="EQ241" s="403"/>
      <c r="ER241" s="403"/>
      <c r="ES241" s="403"/>
      <c r="ET241" s="403"/>
    </row>
    <row r="242" spans="1:150" s="281" customFormat="1" x14ac:dyDescent="0.2">
      <c r="A242" s="350">
        <v>2</v>
      </c>
      <c r="C242" s="5" t="str">
        <f t="shared" ca="1" si="63"/>
        <v>Frozen (-20C)</v>
      </c>
      <c r="D242" s="299" t="str">
        <f>D231</f>
        <v>90-120L - DW-25W147</v>
      </c>
      <c r="J242" s="208" t="e">
        <f>$D$195*P231</f>
        <v>#N/A</v>
      </c>
      <c r="K242" s="146"/>
      <c r="L242" s="146"/>
      <c r="M242" s="35">
        <v>0</v>
      </c>
      <c r="N242" s="146"/>
      <c r="O242" s="146"/>
      <c r="P242" s="208" t="e">
        <f>MAX(0,J242-M242)</f>
        <v>#N/A</v>
      </c>
      <c r="Q242" s="47"/>
      <c r="R242" s="403"/>
      <c r="S242" s="403"/>
      <c r="T242" s="403"/>
      <c r="U242" s="403" t="s">
        <v>12</v>
      </c>
      <c r="V242" s="403"/>
      <c r="W242" s="403"/>
      <c r="X242" s="403"/>
      <c r="Y242" s="403"/>
      <c r="Z242" s="403"/>
      <c r="AA242" s="403"/>
      <c r="AB242" s="403"/>
      <c r="AC242" s="403"/>
      <c r="AD242" s="403"/>
      <c r="AE242" s="403"/>
      <c r="AF242" s="403"/>
      <c r="AG242" s="403"/>
      <c r="AH242" s="403"/>
      <c r="AI242" s="403"/>
      <c r="AJ242" s="403"/>
      <c r="AK242" s="403"/>
      <c r="AL242" s="403"/>
      <c r="AM242" s="403"/>
      <c r="AN242" s="403" t="s">
        <v>10717</v>
      </c>
      <c r="AO242" s="403"/>
      <c r="AP242" s="403"/>
      <c r="AQ242" s="403"/>
      <c r="AR242" s="403"/>
      <c r="AS242" s="403"/>
      <c r="AT242" s="403"/>
      <c r="AU242" s="403"/>
      <c r="AV242" s="403"/>
      <c r="AW242" s="403"/>
      <c r="AX242" s="403"/>
      <c r="AY242" s="403"/>
      <c r="AZ242" s="403"/>
      <c r="BA242" s="403"/>
      <c r="BB242" s="403"/>
      <c r="BC242" s="403"/>
      <c r="BD242" s="403"/>
      <c r="BE242" s="403"/>
      <c r="BF242" s="403"/>
      <c r="BG242" s="403" t="s">
        <v>10228</v>
      </c>
      <c r="BH242" s="403"/>
      <c r="BI242" s="403"/>
      <c r="BJ242" s="403"/>
      <c r="BK242" s="403"/>
      <c r="BL242" s="403"/>
      <c r="BM242" s="403"/>
      <c r="BN242" s="403"/>
      <c r="BO242" s="403"/>
      <c r="BP242" s="403"/>
      <c r="BQ242" s="403"/>
      <c r="BR242" s="403"/>
      <c r="BS242" s="403"/>
      <c r="BT242" s="403"/>
      <c r="BU242" s="403"/>
      <c r="BV242" s="403"/>
      <c r="BW242" s="403"/>
      <c r="BX242" s="403"/>
      <c r="BY242" s="403"/>
      <c r="BZ242" s="403" t="s">
        <v>10718</v>
      </c>
      <c r="CA242" s="403"/>
      <c r="CB242" s="403"/>
      <c r="CC242" s="403"/>
      <c r="CD242" s="403"/>
      <c r="CE242" s="403"/>
      <c r="CF242" s="403"/>
      <c r="CG242" s="403"/>
      <c r="CH242" s="403"/>
      <c r="CI242" s="403"/>
      <c r="CJ242" s="403"/>
      <c r="CK242" s="403"/>
      <c r="CL242" s="403"/>
      <c r="CM242" s="403"/>
      <c r="CN242" s="403"/>
      <c r="CO242" s="403"/>
      <c r="CP242" s="403"/>
      <c r="CQ242" s="403"/>
      <c r="CR242" s="403"/>
      <c r="CS242" s="403" t="s">
        <v>8391</v>
      </c>
      <c r="CT242" s="403"/>
      <c r="CU242" s="403"/>
      <c r="CV242" s="403"/>
      <c r="CW242" s="403"/>
      <c r="CX242" s="403"/>
      <c r="CY242" s="403"/>
      <c r="CZ242" s="403"/>
      <c r="DA242" s="403"/>
      <c r="DB242" s="403"/>
      <c r="DC242" s="403"/>
      <c r="DD242" s="403"/>
      <c r="DE242" s="403"/>
      <c r="DF242" s="403"/>
      <c r="DG242" s="403"/>
      <c r="DH242" s="403"/>
      <c r="DI242" s="403"/>
      <c r="DJ242" s="403"/>
      <c r="DK242" s="403"/>
      <c r="DL242" s="403" t="s">
        <v>10249</v>
      </c>
      <c r="DM242" s="403"/>
      <c r="DN242" s="403"/>
      <c r="DO242" s="403"/>
      <c r="DP242" s="403"/>
      <c r="DQ242" s="403"/>
      <c r="DR242" s="403"/>
      <c r="DS242" s="403"/>
      <c r="DT242" s="403"/>
      <c r="DU242" s="403"/>
      <c r="DV242" s="403"/>
      <c r="DW242" s="403"/>
      <c r="DX242" s="403"/>
      <c r="DY242" s="403"/>
      <c r="DZ242" s="403"/>
      <c r="EA242" s="403"/>
      <c r="EB242" s="403"/>
      <c r="EC242" s="403"/>
      <c r="ED242" s="403"/>
      <c r="EE242" s="403" t="s">
        <v>8393</v>
      </c>
      <c r="EF242" s="403"/>
      <c r="EG242" s="403"/>
      <c r="EH242" s="403"/>
      <c r="EI242" s="403"/>
      <c r="EJ242" s="403"/>
      <c r="EK242" s="403"/>
      <c r="EL242" s="403"/>
      <c r="EM242" s="403"/>
      <c r="EN242" s="403"/>
      <c r="EO242" s="403"/>
      <c r="EP242" s="403"/>
      <c r="EQ242" s="403"/>
      <c r="ER242" s="403"/>
      <c r="ES242" s="403"/>
      <c r="ET242" s="403"/>
    </row>
    <row r="243" spans="1:150" s="281" customFormat="1" x14ac:dyDescent="0.2">
      <c r="A243" s="350">
        <v>2</v>
      </c>
      <c r="C243" s="5" t="str">
        <f t="shared" ca="1" si="63"/>
        <v>Ice pack freezers</v>
      </c>
      <c r="J243" s="208">
        <f>$D$195*P232</f>
        <v>0</v>
      </c>
      <c r="K243" s="146"/>
      <c r="L243" s="146"/>
      <c r="M243" s="35">
        <v>0</v>
      </c>
      <c r="N243" s="146"/>
      <c r="O243" s="146"/>
      <c r="P243" s="208">
        <f>MAX(0,J243-M243)</f>
        <v>0</v>
      </c>
      <c r="Q243" s="47"/>
      <c r="R243" s="403"/>
      <c r="S243" s="403"/>
      <c r="T243" s="403"/>
      <c r="U243" s="403" t="s">
        <v>3211</v>
      </c>
      <c r="V243" s="403"/>
      <c r="W243" s="403"/>
      <c r="X243" s="403"/>
      <c r="Y243" s="403"/>
      <c r="Z243" s="403"/>
      <c r="AA243" s="403"/>
      <c r="AB243" s="403"/>
      <c r="AC243" s="403"/>
      <c r="AD243" s="403"/>
      <c r="AE243" s="403"/>
      <c r="AF243" s="403"/>
      <c r="AG243" s="403"/>
      <c r="AH243" s="403"/>
      <c r="AI243" s="403"/>
      <c r="AJ243" s="403"/>
      <c r="AK243" s="403"/>
      <c r="AL243" s="403"/>
      <c r="AM243" s="403"/>
      <c r="AN243" s="403" t="s">
        <v>11012</v>
      </c>
      <c r="AO243" s="403"/>
      <c r="AP243" s="403"/>
      <c r="AQ243" s="403"/>
      <c r="AR243" s="403"/>
      <c r="AS243" s="403"/>
      <c r="AT243" s="403"/>
      <c r="AU243" s="403"/>
      <c r="AV243" s="403"/>
      <c r="AW243" s="403"/>
      <c r="AX243" s="403"/>
      <c r="AY243" s="403"/>
      <c r="AZ243" s="403"/>
      <c r="BA243" s="403"/>
      <c r="BB243" s="403"/>
      <c r="BC243" s="403"/>
      <c r="BD243" s="403"/>
      <c r="BE243" s="403"/>
      <c r="BF243" s="403"/>
      <c r="BG243" s="403" t="s">
        <v>11056</v>
      </c>
      <c r="BH243" s="403"/>
      <c r="BI243" s="403"/>
      <c r="BJ243" s="403"/>
      <c r="BK243" s="403"/>
      <c r="BL243" s="403"/>
      <c r="BM243" s="403"/>
      <c r="BN243" s="403"/>
      <c r="BO243" s="403"/>
      <c r="BP243" s="403"/>
      <c r="BQ243" s="403"/>
      <c r="BR243" s="403"/>
      <c r="BS243" s="403"/>
      <c r="BT243" s="403"/>
      <c r="BU243" s="403"/>
      <c r="BV243" s="403"/>
      <c r="BW243" s="403"/>
      <c r="BX243" s="403"/>
      <c r="BY243" s="403"/>
      <c r="BZ243" s="403" t="s">
        <v>11016</v>
      </c>
      <c r="CA243" s="403"/>
      <c r="CB243" s="403"/>
      <c r="CC243" s="403"/>
      <c r="CD243" s="403"/>
      <c r="CE243" s="403"/>
      <c r="CF243" s="403"/>
      <c r="CG243" s="403"/>
      <c r="CH243" s="403"/>
      <c r="CI243" s="403"/>
      <c r="CJ243" s="403"/>
      <c r="CK243" s="403"/>
      <c r="CL243" s="403"/>
      <c r="CM243" s="403"/>
      <c r="CN243" s="403"/>
      <c r="CO243" s="403"/>
      <c r="CP243" s="403"/>
      <c r="CQ243" s="403"/>
      <c r="CR243" s="403"/>
      <c r="CS243" s="403" t="s">
        <v>11018</v>
      </c>
      <c r="CT243" s="403"/>
      <c r="CU243" s="403"/>
      <c r="CV243" s="403"/>
      <c r="CW243" s="403"/>
      <c r="CX243" s="403"/>
      <c r="CY243" s="403"/>
      <c r="CZ243" s="403"/>
      <c r="DA243" s="403"/>
      <c r="DB243" s="403"/>
      <c r="DC243" s="403"/>
      <c r="DD243" s="403"/>
      <c r="DE243" s="403"/>
      <c r="DF243" s="403"/>
      <c r="DG243" s="403"/>
      <c r="DH243" s="403"/>
      <c r="DI243" s="403"/>
      <c r="DJ243" s="403"/>
      <c r="DK243" s="403"/>
      <c r="DL243" s="403" t="s">
        <v>11020</v>
      </c>
      <c r="DM243" s="403"/>
      <c r="DN243" s="403"/>
      <c r="DO243" s="403"/>
      <c r="DP243" s="403"/>
      <c r="DQ243" s="403"/>
      <c r="DR243" s="403"/>
      <c r="DS243" s="403"/>
      <c r="DT243" s="403"/>
      <c r="DU243" s="403"/>
      <c r="DV243" s="403"/>
      <c r="DW243" s="403"/>
      <c r="DX243" s="403"/>
      <c r="DY243" s="403"/>
      <c r="DZ243" s="403"/>
      <c r="EA243" s="403"/>
      <c r="EB243" s="403"/>
      <c r="EC243" s="403"/>
      <c r="ED243" s="403"/>
      <c r="EE243" s="403" t="s">
        <v>11021</v>
      </c>
      <c r="EF243" s="403"/>
      <c r="EG243" s="403"/>
      <c r="EH243" s="403"/>
      <c r="EI243" s="403"/>
      <c r="EJ243" s="403"/>
      <c r="EK243" s="403"/>
      <c r="EL243" s="403"/>
      <c r="EM243" s="403"/>
      <c r="EN243" s="403"/>
      <c r="EO243" s="403"/>
      <c r="EP243" s="403"/>
      <c r="EQ243" s="403"/>
      <c r="ER243" s="403"/>
      <c r="ES243" s="403"/>
      <c r="ET243" s="403"/>
    </row>
    <row r="244" spans="1:150" s="281" customFormat="1" x14ac:dyDescent="0.2">
      <c r="A244" s="350">
        <v>2</v>
      </c>
      <c r="C244" s="5" t="str">
        <f t="shared" ca="1" si="63"/>
        <v>Remote Temperature Monitoring Devices</v>
      </c>
      <c r="D244" s="299" t="str">
        <f>D233</f>
        <v>Haier U-Cool (Refrigerator model)+ 3 years data/portal access</v>
      </c>
      <c r="J244" s="208" t="e">
        <f>$D$195*P233</f>
        <v>#N/A</v>
      </c>
      <c r="K244" s="146"/>
      <c r="L244" s="146"/>
      <c r="M244" s="35">
        <v>0</v>
      </c>
      <c r="N244" s="146"/>
      <c r="O244" s="146"/>
      <c r="P244" s="208" t="e">
        <f>MAX(0,J244-M244)</f>
        <v>#N/A</v>
      </c>
      <c r="R244" s="403"/>
      <c r="S244" s="403"/>
      <c r="T244" s="403"/>
      <c r="U244" s="403" t="s">
        <v>3593</v>
      </c>
      <c r="V244" s="403"/>
      <c r="W244" s="403"/>
      <c r="X244" s="403"/>
      <c r="Y244" s="403"/>
      <c r="Z244" s="403"/>
      <c r="AA244" s="403"/>
      <c r="AB244" s="403"/>
      <c r="AC244" s="403"/>
      <c r="AD244" s="403"/>
      <c r="AE244" s="403"/>
      <c r="AF244" s="403"/>
      <c r="AG244" s="403"/>
      <c r="AH244" s="403"/>
      <c r="AI244" s="403"/>
      <c r="AJ244" s="403"/>
      <c r="AK244" s="403"/>
      <c r="AL244" s="403"/>
      <c r="AM244" s="403"/>
      <c r="AN244" s="403" t="s">
        <v>10871</v>
      </c>
      <c r="AO244" s="403"/>
      <c r="AP244" s="403"/>
      <c r="AQ244" s="403"/>
      <c r="AR244" s="403"/>
      <c r="AS244" s="403"/>
      <c r="AT244" s="403"/>
      <c r="AU244" s="403"/>
      <c r="AV244" s="403"/>
      <c r="AW244" s="403"/>
      <c r="AX244" s="403"/>
      <c r="AY244" s="403"/>
      <c r="AZ244" s="403"/>
      <c r="BA244" s="403"/>
      <c r="BB244" s="403"/>
      <c r="BC244" s="403"/>
      <c r="BD244" s="403"/>
      <c r="BE244" s="403"/>
      <c r="BF244" s="403"/>
      <c r="BG244" s="403" t="s">
        <v>10872</v>
      </c>
      <c r="BH244" s="403"/>
      <c r="BI244" s="403"/>
      <c r="BJ244" s="403"/>
      <c r="BK244" s="403"/>
      <c r="BL244" s="403"/>
      <c r="BM244" s="403"/>
      <c r="BN244" s="403"/>
      <c r="BO244" s="403"/>
      <c r="BP244" s="403"/>
      <c r="BQ244" s="403"/>
      <c r="BR244" s="403"/>
      <c r="BS244" s="403"/>
      <c r="BT244" s="403"/>
      <c r="BU244" s="403"/>
      <c r="BV244" s="403"/>
      <c r="BW244" s="403"/>
      <c r="BX244" s="403"/>
      <c r="BY244" s="403"/>
      <c r="BZ244" s="403" t="s">
        <v>10873</v>
      </c>
      <c r="CA244" s="403"/>
      <c r="CB244" s="403"/>
      <c r="CC244" s="403"/>
      <c r="CD244" s="403"/>
      <c r="CE244" s="403"/>
      <c r="CF244" s="403"/>
      <c r="CG244" s="403"/>
      <c r="CH244" s="403"/>
      <c r="CI244" s="403"/>
      <c r="CJ244" s="403"/>
      <c r="CK244" s="403"/>
      <c r="CL244" s="403"/>
      <c r="CM244" s="403"/>
      <c r="CN244" s="403"/>
      <c r="CO244" s="403"/>
      <c r="CP244" s="403"/>
      <c r="CQ244" s="403"/>
      <c r="CR244" s="403"/>
      <c r="CS244" s="403" t="s">
        <v>10874</v>
      </c>
      <c r="CT244" s="403"/>
      <c r="CU244" s="403"/>
      <c r="CV244" s="403"/>
      <c r="CW244" s="403"/>
      <c r="CX244" s="403"/>
      <c r="CY244" s="403"/>
      <c r="CZ244" s="403"/>
      <c r="DA244" s="403"/>
      <c r="DB244" s="403"/>
      <c r="DC244" s="403"/>
      <c r="DD244" s="403"/>
      <c r="DE244" s="403"/>
      <c r="DF244" s="403"/>
      <c r="DG244" s="403"/>
      <c r="DH244" s="403"/>
      <c r="DI244" s="403"/>
      <c r="DJ244" s="403"/>
      <c r="DK244" s="403"/>
      <c r="DL244" s="403" t="s">
        <v>10901</v>
      </c>
      <c r="DM244" s="403"/>
      <c r="DN244" s="403"/>
      <c r="DO244" s="403"/>
      <c r="DP244" s="403"/>
      <c r="DQ244" s="403"/>
      <c r="DR244" s="403"/>
      <c r="DS244" s="403"/>
      <c r="DT244" s="403"/>
      <c r="DU244" s="403"/>
      <c r="DV244" s="403"/>
      <c r="DW244" s="403"/>
      <c r="DX244" s="403"/>
      <c r="DY244" s="403"/>
      <c r="DZ244" s="403"/>
      <c r="EA244" s="403"/>
      <c r="EB244" s="403"/>
      <c r="EC244" s="403"/>
      <c r="ED244" s="403"/>
      <c r="EE244" s="403" t="s">
        <v>10876</v>
      </c>
      <c r="EF244" s="403"/>
      <c r="EG244" s="403"/>
      <c r="EH244" s="403"/>
      <c r="EI244" s="403"/>
      <c r="EJ244" s="403"/>
      <c r="EK244" s="403"/>
      <c r="EL244" s="403"/>
      <c r="EM244" s="403"/>
      <c r="EN244" s="403"/>
      <c r="EO244" s="403"/>
      <c r="EP244" s="403"/>
      <c r="EQ244" s="403"/>
      <c r="ER244" s="403"/>
      <c r="ES244" s="403"/>
      <c r="ET244" s="403"/>
    </row>
    <row r="245" spans="1:150" s="281" customFormat="1" x14ac:dyDescent="0.2">
      <c r="E245" s="567"/>
      <c r="F245" s="567"/>
      <c r="G245" s="567"/>
      <c r="H245" s="567"/>
      <c r="J245" s="85"/>
      <c r="R245" s="403"/>
      <c r="S245" s="403"/>
      <c r="T245" s="403"/>
      <c r="U245" s="403"/>
      <c r="V245" s="403"/>
      <c r="W245" s="403"/>
      <c r="X245" s="403"/>
      <c r="Y245" s="403"/>
      <c r="Z245" s="403"/>
      <c r="AA245" s="403"/>
      <c r="AB245" s="403"/>
      <c r="AC245" s="403"/>
      <c r="AD245" s="403"/>
      <c r="AE245" s="403"/>
      <c r="AF245" s="403"/>
      <c r="AG245" s="403"/>
      <c r="AH245" s="403"/>
      <c r="AI245" s="403"/>
      <c r="AJ245" s="403"/>
      <c r="AK245" s="403"/>
      <c r="AL245" s="403"/>
      <c r="AM245" s="403"/>
      <c r="AN245" s="403"/>
      <c r="AO245" s="403"/>
      <c r="AP245" s="403"/>
      <c r="AQ245" s="403"/>
      <c r="AR245" s="403"/>
      <c r="AS245" s="403"/>
      <c r="AT245" s="403"/>
      <c r="AU245" s="403"/>
      <c r="AV245" s="403"/>
      <c r="AW245" s="403"/>
      <c r="AX245" s="403"/>
      <c r="AY245" s="403"/>
      <c r="AZ245" s="403"/>
      <c r="BA245" s="403"/>
      <c r="BB245" s="403"/>
      <c r="BC245" s="403"/>
      <c r="BD245" s="403"/>
      <c r="BE245" s="403"/>
      <c r="BF245" s="403"/>
      <c r="BG245" s="403"/>
      <c r="BH245" s="403"/>
      <c r="BI245" s="403"/>
      <c r="BJ245" s="403"/>
      <c r="BK245" s="403"/>
      <c r="BL245" s="403"/>
      <c r="BM245" s="403"/>
      <c r="BN245" s="403"/>
      <c r="BO245" s="403"/>
      <c r="BP245" s="403"/>
      <c r="BQ245" s="403"/>
      <c r="BR245" s="403"/>
      <c r="BS245" s="403"/>
      <c r="BT245" s="403"/>
      <c r="BU245" s="403"/>
      <c r="BV245" s="403"/>
      <c r="BW245" s="403"/>
      <c r="BX245" s="403"/>
      <c r="BY245" s="403"/>
      <c r="BZ245" s="403"/>
      <c r="CA245" s="403"/>
      <c r="CB245" s="403"/>
      <c r="CC245" s="403"/>
      <c r="CD245" s="403"/>
      <c r="CE245" s="403"/>
      <c r="CF245" s="403"/>
      <c r="CG245" s="403"/>
      <c r="CH245" s="403"/>
      <c r="CI245" s="403"/>
      <c r="CJ245" s="403"/>
      <c r="CK245" s="403"/>
      <c r="CL245" s="403"/>
      <c r="CM245" s="403"/>
      <c r="CN245" s="403"/>
      <c r="CO245" s="403"/>
      <c r="CP245" s="403"/>
      <c r="CQ245" s="403"/>
      <c r="CR245" s="403"/>
      <c r="CS245" s="403"/>
      <c r="CT245" s="403"/>
      <c r="CU245" s="403"/>
      <c r="CV245" s="403"/>
      <c r="CW245" s="403"/>
      <c r="CX245" s="403"/>
      <c r="CY245" s="403"/>
      <c r="CZ245" s="403"/>
      <c r="DA245" s="403"/>
      <c r="DB245" s="403"/>
      <c r="DC245" s="403"/>
      <c r="DD245" s="403"/>
      <c r="DE245" s="403"/>
      <c r="DF245" s="403"/>
      <c r="DG245" s="403"/>
      <c r="DH245" s="403"/>
      <c r="DI245" s="403"/>
      <c r="DJ245" s="403"/>
      <c r="DK245" s="403"/>
      <c r="DL245" s="403"/>
      <c r="DM245" s="403"/>
      <c r="DN245" s="403"/>
      <c r="DO245" s="403"/>
      <c r="DP245" s="403"/>
      <c r="DQ245" s="403"/>
      <c r="DR245" s="403"/>
      <c r="DS245" s="403"/>
      <c r="DT245" s="403"/>
      <c r="DU245" s="403"/>
      <c r="DV245" s="403"/>
      <c r="DW245" s="403"/>
      <c r="DX245" s="403"/>
      <c r="DY245" s="403"/>
      <c r="DZ245" s="403"/>
      <c r="EA245" s="403"/>
      <c r="EB245" s="403"/>
      <c r="EC245" s="403"/>
      <c r="ED245" s="403"/>
      <c r="EE245" s="403"/>
      <c r="EF245" s="403"/>
      <c r="EG245" s="403"/>
      <c r="EH245" s="403"/>
      <c r="EI245" s="403"/>
      <c r="EJ245" s="403"/>
      <c r="EK245" s="403"/>
      <c r="EL245" s="403"/>
      <c r="EM245" s="403"/>
      <c r="EN245" s="403"/>
      <c r="EO245" s="403"/>
      <c r="EP245" s="403"/>
      <c r="EQ245" s="403"/>
      <c r="ER245" s="403"/>
      <c r="ES245" s="403"/>
      <c r="ET245" s="403"/>
    </row>
    <row r="246" spans="1:150" s="281" customFormat="1" ht="39.75" customHeight="1" x14ac:dyDescent="0.2">
      <c r="A246" s="350">
        <v>2</v>
      </c>
      <c r="C246" s="5" t="str">
        <f ca="1">IF(OFFSET(U246,0,Lang_Order*Lang__B4)="","",OFFSET(U246,0,Lang_Order*Lang__B4))</f>
        <v>Upper or lower price</v>
      </c>
      <c r="D246" s="35">
        <v>2</v>
      </c>
      <c r="E246" s="567"/>
      <c r="F246" s="567"/>
      <c r="G246" s="567"/>
      <c r="H246" s="567"/>
      <c r="I246" s="567"/>
      <c r="J246" s="613" t="str">
        <f ca="1">IF(OFFSET(AB246,0,Lang_Order*Lang__B4)="","",OFFSET(AB246,0,Lang_Order*Lang__B4))</f>
        <v>Upper (Harder to access facilities)</v>
      </c>
      <c r="K246" s="706" t="str">
        <f ca="1">IF(OFFSET(AC246,0,Lang_Order*Lang__B4)="","",OFFSET(AC246,0,Lang_Order*Lang__B4))</f>
        <v>Solar</v>
      </c>
      <c r="L246" s="706" t="str">
        <f ca="1">IF(OFFSET(AD246,0,Lang_Order*Lang__B4)="","",OFFSET(AD246,0,Lang_Order*Lang__B4))</f>
        <v/>
      </c>
      <c r="M246" s="706" t="str">
        <f ca="1">IF(OFFSET(AE246,0,Lang_Order*Lang__B4)="","",OFFSET(AE246,0,Lang_Order*Lang__B4))</f>
        <v>On-Grid</v>
      </c>
      <c r="N246" s="706" t="str">
        <f ca="1">IF(OFFSET(AF246,0,Lang_Order*Lang__B4)="","",OFFSET(AF246,0,Lang_Order*Lang__B4))</f>
        <v/>
      </c>
      <c r="R246" s="403"/>
      <c r="S246" s="403"/>
      <c r="T246" s="403"/>
      <c r="U246" s="403" t="s">
        <v>3592</v>
      </c>
      <c r="V246" s="403"/>
      <c r="W246" s="403"/>
      <c r="X246" s="403"/>
      <c r="Y246" s="403"/>
      <c r="Z246" s="403"/>
      <c r="AA246" s="403"/>
      <c r="AB246" s="403" t="s">
        <v>13315</v>
      </c>
      <c r="AC246" s="403" t="s">
        <v>3222</v>
      </c>
      <c r="AD246" s="403"/>
      <c r="AE246" s="403" t="s">
        <v>3614</v>
      </c>
      <c r="AF246" s="403"/>
      <c r="AG246" s="403"/>
      <c r="AH246" s="403"/>
      <c r="AI246" s="403"/>
      <c r="AJ246" s="403"/>
      <c r="AK246" s="403"/>
      <c r="AL246" s="403"/>
      <c r="AM246" s="403"/>
      <c r="AN246" s="403" t="s">
        <v>11057</v>
      </c>
      <c r="AO246" s="403"/>
      <c r="AP246" s="403"/>
      <c r="AQ246" s="403"/>
      <c r="AR246" s="403"/>
      <c r="AS246" s="403"/>
      <c r="AT246" s="403"/>
      <c r="AU246" s="403" t="s">
        <v>13316</v>
      </c>
      <c r="AV246" s="403" t="s">
        <v>11144</v>
      </c>
      <c r="AW246" s="403"/>
      <c r="AX246" s="403" t="s">
        <v>11149</v>
      </c>
      <c r="AY246" s="403"/>
      <c r="AZ246" s="403"/>
      <c r="BA246" s="403"/>
      <c r="BB246" s="403"/>
      <c r="BC246" s="403"/>
      <c r="BD246" s="403"/>
      <c r="BE246" s="403"/>
      <c r="BF246" s="403"/>
      <c r="BG246" s="403" t="s">
        <v>11176</v>
      </c>
      <c r="BH246" s="403"/>
      <c r="BI246" s="403"/>
      <c r="BJ246" s="403"/>
      <c r="BK246" s="403"/>
      <c r="BL246" s="403"/>
      <c r="BM246" s="403"/>
      <c r="BN246" s="403" t="s">
        <v>13317</v>
      </c>
      <c r="BO246" s="403" t="s">
        <v>11145</v>
      </c>
      <c r="BP246" s="403"/>
      <c r="BQ246" s="403" t="s">
        <v>11150</v>
      </c>
      <c r="BR246" s="403"/>
      <c r="BS246" s="403"/>
      <c r="BT246" s="403"/>
      <c r="BU246" s="403"/>
      <c r="BV246" s="403"/>
      <c r="BW246" s="403"/>
      <c r="BX246" s="403"/>
      <c r="BY246" s="403"/>
      <c r="BZ246" s="403" t="s">
        <v>11059</v>
      </c>
      <c r="CA246" s="403"/>
      <c r="CB246" s="403"/>
      <c r="CC246" s="403"/>
      <c r="CD246" s="403"/>
      <c r="CE246" s="403"/>
      <c r="CF246" s="403"/>
      <c r="CG246" s="403" t="s">
        <v>13318</v>
      </c>
      <c r="CH246" s="403" t="s">
        <v>3222</v>
      </c>
      <c r="CI246" s="403"/>
      <c r="CJ246" s="403" t="s">
        <v>11151</v>
      </c>
      <c r="CK246" s="403"/>
      <c r="CL246" s="403"/>
      <c r="CM246" s="403"/>
      <c r="CN246" s="403"/>
      <c r="CO246" s="403"/>
      <c r="CP246" s="403"/>
      <c r="CQ246" s="403"/>
      <c r="CR246" s="403"/>
      <c r="CS246" s="403" t="s">
        <v>11060</v>
      </c>
      <c r="CT246" s="403"/>
      <c r="CU246" s="403"/>
      <c r="CV246" s="403"/>
      <c r="CW246" s="403"/>
      <c r="CX246" s="403"/>
      <c r="CY246" s="403"/>
      <c r="CZ246" s="403" t="s">
        <v>11177</v>
      </c>
      <c r="DA246" s="403" t="s">
        <v>3222</v>
      </c>
      <c r="DB246" s="403"/>
      <c r="DC246" s="403" t="s">
        <v>11152</v>
      </c>
      <c r="DD246" s="403"/>
      <c r="DE246" s="403"/>
      <c r="DF246" s="403"/>
      <c r="DG246" s="403"/>
      <c r="DH246" s="403"/>
      <c r="DI246" s="403"/>
      <c r="DJ246" s="403"/>
      <c r="DK246" s="403"/>
      <c r="DL246" s="403" t="s">
        <v>11061</v>
      </c>
      <c r="DM246" s="403"/>
      <c r="DN246" s="403"/>
      <c r="DO246" s="403"/>
      <c r="DP246" s="403"/>
      <c r="DQ246" s="403"/>
      <c r="DR246" s="403"/>
      <c r="DS246" s="403" t="s">
        <v>13319</v>
      </c>
      <c r="DT246" s="403" t="s">
        <v>11147</v>
      </c>
      <c r="DU246" s="403"/>
      <c r="DV246" s="403" t="s">
        <v>11153</v>
      </c>
      <c r="DW246" s="403"/>
      <c r="DX246" s="403"/>
      <c r="DY246" s="403"/>
      <c r="DZ246" s="403"/>
      <c r="EA246" s="403"/>
      <c r="EB246" s="403"/>
      <c r="EC246" s="403"/>
      <c r="ED246" s="403"/>
      <c r="EE246" s="403" t="s">
        <v>11178</v>
      </c>
      <c r="EF246" s="403"/>
      <c r="EG246" s="403"/>
      <c r="EH246" s="403"/>
      <c r="EI246" s="403"/>
      <c r="EJ246" s="403"/>
      <c r="EK246" s="403"/>
      <c r="EL246" s="403" t="s">
        <v>13320</v>
      </c>
      <c r="EM246" s="403" t="s">
        <v>11148</v>
      </c>
      <c r="EN246" s="403"/>
      <c r="EO246" s="403" t="s">
        <v>11154</v>
      </c>
      <c r="EP246" s="403"/>
      <c r="EQ246" s="403"/>
      <c r="ER246" s="403"/>
      <c r="ES246" s="403"/>
      <c r="ET246" s="403"/>
    </row>
    <row r="247" spans="1:150" s="281" customFormat="1" x14ac:dyDescent="0.2">
      <c r="B247" s="624" t="str">
        <f ca="1">IF(OFFSET(T247,0,Lang_Order*Lang__B4)="","",OFFSET(T247,0,Lang_Order*Lang__B4))</f>
        <v>Capital and Operational Expenditures</v>
      </c>
      <c r="C247" s="5"/>
      <c r="J247" s="146"/>
      <c r="K247" s="294" t="str">
        <f ca="1">IF(OFFSET(AC247,0,Lang_Order*Lang__B4)="","",OFFSET(AC247,0,Lang_Order*Lang__B4))</f>
        <v>Lower Price</v>
      </c>
      <c r="L247" s="294" t="str">
        <f ca="1">IF(OFFSET(AD247,0,Lang_Order*Lang__B4)="","",OFFSET(AD247,0,Lang_Order*Lang__B4))</f>
        <v>Upper Price</v>
      </c>
      <c r="M247" s="294" t="str">
        <f ca="1">IF(OFFSET(AE247,0,Lang_Order*Lang__B4)="","",OFFSET(AE247,0,Lang_Order*Lang__B4))</f>
        <v>Lower Price</v>
      </c>
      <c r="N247" s="294" t="str">
        <f ca="1">IF(OFFSET(AF247,0,Lang_Order*Lang__B4)="","",OFFSET(AF247,0,Lang_Order*Lang__B4))</f>
        <v>Upper Price</v>
      </c>
      <c r="O247" s="146"/>
      <c r="Q247" s="91"/>
      <c r="R247" s="403"/>
      <c r="S247" s="403"/>
      <c r="T247" s="403" t="s">
        <v>3210</v>
      </c>
      <c r="U247" s="403"/>
      <c r="V247" s="403"/>
      <c r="W247" s="403"/>
      <c r="X247" s="403"/>
      <c r="Y247" s="403"/>
      <c r="Z247" s="403"/>
      <c r="AA247" s="403"/>
      <c r="AB247" s="403"/>
      <c r="AC247" s="403" t="s">
        <v>3591</v>
      </c>
      <c r="AD247" s="403" t="s">
        <v>3590</v>
      </c>
      <c r="AE247" s="403" t="s">
        <v>3591</v>
      </c>
      <c r="AF247" s="403" t="s">
        <v>3590</v>
      </c>
      <c r="AG247" s="403"/>
      <c r="AH247" s="403"/>
      <c r="AI247" s="403"/>
      <c r="AJ247" s="403"/>
      <c r="AK247" s="403"/>
      <c r="AL247" s="403"/>
      <c r="AM247" s="403" t="s">
        <v>10909</v>
      </c>
      <c r="AN247" s="403"/>
      <c r="AO247" s="403"/>
      <c r="AP247" s="403"/>
      <c r="AQ247" s="403"/>
      <c r="AR247" s="403"/>
      <c r="AS247" s="403"/>
      <c r="AT247" s="403"/>
      <c r="AU247" s="403"/>
      <c r="AV247" s="403" t="s">
        <v>10823</v>
      </c>
      <c r="AW247" s="403" t="s">
        <v>10824</v>
      </c>
      <c r="AX247" s="403" t="s">
        <v>10823</v>
      </c>
      <c r="AY247" s="403" t="s">
        <v>10824</v>
      </c>
      <c r="AZ247" s="403"/>
      <c r="BA247" s="403"/>
      <c r="BB247" s="403"/>
      <c r="BC247" s="403"/>
      <c r="BD247" s="403"/>
      <c r="BE247" s="403"/>
      <c r="BF247" s="403" t="s">
        <v>11179</v>
      </c>
      <c r="BG247" s="403"/>
      <c r="BH247" s="403"/>
      <c r="BI247" s="403"/>
      <c r="BJ247" s="403"/>
      <c r="BK247" s="403"/>
      <c r="BL247" s="403"/>
      <c r="BM247" s="403"/>
      <c r="BN247" s="403"/>
      <c r="BO247" s="403" t="s">
        <v>10911</v>
      </c>
      <c r="BP247" s="403" t="s">
        <v>10831</v>
      </c>
      <c r="BQ247" s="403" t="s">
        <v>10911</v>
      </c>
      <c r="BR247" s="403" t="s">
        <v>10831</v>
      </c>
      <c r="BS247" s="403"/>
      <c r="BT247" s="403"/>
      <c r="BU247" s="403"/>
      <c r="BV247" s="403"/>
      <c r="BW247" s="403"/>
      <c r="BX247" s="403"/>
      <c r="BY247" s="403" t="s">
        <v>10912</v>
      </c>
      <c r="BZ247" s="403"/>
      <c r="CA247" s="403"/>
      <c r="CB247" s="403"/>
      <c r="CC247" s="403"/>
      <c r="CD247" s="403"/>
      <c r="CE247" s="403"/>
      <c r="CF247" s="403"/>
      <c r="CG247" s="403"/>
      <c r="CH247" s="403" t="s">
        <v>10837</v>
      </c>
      <c r="CI247" s="403" t="s">
        <v>10838</v>
      </c>
      <c r="CJ247" s="403" t="s">
        <v>11180</v>
      </c>
      <c r="CK247" s="403" t="s">
        <v>10838</v>
      </c>
      <c r="CL247" s="403"/>
      <c r="CM247" s="403"/>
      <c r="CN247" s="403"/>
      <c r="CO247" s="403"/>
      <c r="CP247" s="403"/>
      <c r="CQ247" s="403"/>
      <c r="CR247" s="403" t="s">
        <v>10913</v>
      </c>
      <c r="CS247" s="403"/>
      <c r="CT247" s="403"/>
      <c r="CU247" s="403"/>
      <c r="CV247" s="403"/>
      <c r="CW247" s="403"/>
      <c r="CX247" s="403"/>
      <c r="CY247" s="403"/>
      <c r="CZ247" s="403"/>
      <c r="DA247" s="403" t="s">
        <v>10843</v>
      </c>
      <c r="DB247" s="403" t="s">
        <v>10844</v>
      </c>
      <c r="DC247" s="403" t="s">
        <v>10843</v>
      </c>
      <c r="DD247" s="403" t="s">
        <v>10844</v>
      </c>
      <c r="DE247" s="403"/>
      <c r="DF247" s="403"/>
      <c r="DG247" s="403"/>
      <c r="DH247" s="403"/>
      <c r="DI247" s="403"/>
      <c r="DJ247" s="403"/>
      <c r="DK247" s="403" t="s">
        <v>11181</v>
      </c>
      <c r="DL247" s="403"/>
      <c r="DM247" s="403"/>
      <c r="DN247" s="403"/>
      <c r="DO247" s="403"/>
      <c r="DP247" s="403"/>
      <c r="DQ247" s="403"/>
      <c r="DR247" s="403"/>
      <c r="DS247" s="403"/>
      <c r="DT247" s="403" t="s">
        <v>10915</v>
      </c>
      <c r="DU247" s="403" t="s">
        <v>10916</v>
      </c>
      <c r="DV247" s="403" t="s">
        <v>10915</v>
      </c>
      <c r="DW247" s="403" t="s">
        <v>10916</v>
      </c>
      <c r="DX247" s="403"/>
      <c r="DY247" s="403"/>
      <c r="DZ247" s="403"/>
      <c r="EA247" s="403"/>
      <c r="EB247" s="403"/>
      <c r="EC247" s="403"/>
      <c r="ED247" s="403" t="s">
        <v>10917</v>
      </c>
      <c r="EE247" s="403"/>
      <c r="EF247" s="403"/>
      <c r="EG247" s="403"/>
      <c r="EH247" s="403"/>
      <c r="EI247" s="403"/>
      <c r="EJ247" s="403"/>
      <c r="EK247" s="403"/>
      <c r="EL247" s="403"/>
      <c r="EM247" s="403" t="s">
        <v>10856</v>
      </c>
      <c r="EN247" s="403" t="s">
        <v>10857</v>
      </c>
      <c r="EO247" s="403" t="s">
        <v>10856</v>
      </c>
      <c r="EP247" s="403" t="s">
        <v>10857</v>
      </c>
      <c r="EQ247" s="403"/>
      <c r="ER247" s="403"/>
      <c r="ES247" s="403"/>
      <c r="ET247" s="403"/>
    </row>
    <row r="248" spans="1:150" s="281" customFormat="1" x14ac:dyDescent="0.2">
      <c r="C248" s="5" t="str">
        <f ca="1">IF(OFFSET(U248,0,Lang_Order*Lang__B4)="","",OFFSET(U248,0,Lang_Order*Lang__B4))</f>
        <v>Refrigerated (2 to 8C)</v>
      </c>
      <c r="J248" s="146"/>
      <c r="K248" s="79" t="e">
        <f>M226*$P237</f>
        <v>#N/A</v>
      </c>
      <c r="L248" s="79" t="e">
        <f>N226*$P237</f>
        <v>#N/A</v>
      </c>
      <c r="M248" s="79" t="e">
        <f t="shared" ref="M248:N251" si="64">M230*$P241</f>
        <v>#N/A</v>
      </c>
      <c r="N248" s="79" t="e">
        <f t="shared" si="64"/>
        <v>#N/A</v>
      </c>
      <c r="O248" s="146"/>
      <c r="Q248" s="91"/>
      <c r="R248" s="403"/>
      <c r="S248" s="403"/>
      <c r="T248" s="403"/>
      <c r="U248" s="403" t="s">
        <v>11</v>
      </c>
      <c r="V248" s="403"/>
      <c r="W248" s="403"/>
      <c r="X248" s="403"/>
      <c r="Y248" s="403"/>
      <c r="Z248" s="403"/>
      <c r="AA248" s="403"/>
      <c r="AB248" s="403"/>
      <c r="AC248" s="403"/>
      <c r="AD248" s="403"/>
      <c r="AE248" s="403"/>
      <c r="AF248" s="403"/>
      <c r="AG248" s="403"/>
      <c r="AH248" s="403"/>
      <c r="AI248" s="403"/>
      <c r="AJ248" s="403"/>
      <c r="AK248" s="403"/>
      <c r="AL248" s="403"/>
      <c r="AM248" s="403"/>
      <c r="AN248" s="403" t="s">
        <v>10714</v>
      </c>
      <c r="AO248" s="403"/>
      <c r="AP248" s="403"/>
      <c r="AQ248" s="403"/>
      <c r="AR248" s="403"/>
      <c r="AS248" s="403"/>
      <c r="AT248" s="403"/>
      <c r="AU248" s="403"/>
      <c r="AV248" s="403"/>
      <c r="AW248" s="403"/>
      <c r="AX248" s="403"/>
      <c r="AY248" s="403"/>
      <c r="AZ248" s="403"/>
      <c r="BA248" s="403"/>
      <c r="BB248" s="403"/>
      <c r="BC248" s="403"/>
      <c r="BD248" s="403"/>
      <c r="BE248" s="403"/>
      <c r="BF248" s="403"/>
      <c r="BG248" s="403" t="s">
        <v>10227</v>
      </c>
      <c r="BH248" s="403"/>
      <c r="BI248" s="403"/>
      <c r="BJ248" s="403"/>
      <c r="BK248" s="403"/>
      <c r="BL248" s="403"/>
      <c r="BM248" s="403"/>
      <c r="BN248" s="403"/>
      <c r="BO248" s="403"/>
      <c r="BP248" s="403"/>
      <c r="BQ248" s="403"/>
      <c r="BR248" s="403"/>
      <c r="BS248" s="403"/>
      <c r="BT248" s="403"/>
      <c r="BU248" s="403"/>
      <c r="BV248" s="403"/>
      <c r="BW248" s="403"/>
      <c r="BX248" s="403"/>
      <c r="BY248" s="403"/>
      <c r="BZ248" s="403" t="s">
        <v>10715</v>
      </c>
      <c r="CA248" s="403"/>
      <c r="CB248" s="403"/>
      <c r="CC248" s="403"/>
      <c r="CD248" s="403"/>
      <c r="CE248" s="403"/>
      <c r="CF248" s="403"/>
      <c r="CG248" s="403"/>
      <c r="CH248" s="403"/>
      <c r="CI248" s="403"/>
      <c r="CJ248" s="403"/>
      <c r="CK248" s="403"/>
      <c r="CL248" s="403"/>
      <c r="CM248" s="403"/>
      <c r="CN248" s="403"/>
      <c r="CO248" s="403"/>
      <c r="CP248" s="403"/>
      <c r="CQ248" s="403"/>
      <c r="CR248" s="403"/>
      <c r="CS248" s="403" t="s">
        <v>8384</v>
      </c>
      <c r="CT248" s="403"/>
      <c r="CU248" s="403"/>
      <c r="CV248" s="403"/>
      <c r="CW248" s="403"/>
      <c r="CX248" s="403"/>
      <c r="CY248" s="403"/>
      <c r="CZ248" s="403"/>
      <c r="DA248" s="403"/>
      <c r="DB248" s="403"/>
      <c r="DC248" s="403"/>
      <c r="DD248" s="403"/>
      <c r="DE248" s="403"/>
      <c r="DF248" s="403"/>
      <c r="DG248" s="403"/>
      <c r="DH248" s="403"/>
      <c r="DI248" s="403"/>
      <c r="DJ248" s="403"/>
      <c r="DK248" s="403"/>
      <c r="DL248" s="403" t="s">
        <v>10248</v>
      </c>
      <c r="DM248" s="403"/>
      <c r="DN248" s="403"/>
      <c r="DO248" s="403"/>
      <c r="DP248" s="403"/>
      <c r="DQ248" s="403"/>
      <c r="DR248" s="403"/>
      <c r="DS248" s="403"/>
      <c r="DT248" s="403"/>
      <c r="DU248" s="403"/>
      <c r="DV248" s="403"/>
      <c r="DW248" s="403"/>
      <c r="DX248" s="403"/>
      <c r="DY248" s="403"/>
      <c r="DZ248" s="403"/>
      <c r="EA248" s="403"/>
      <c r="EB248" s="403"/>
      <c r="EC248" s="403"/>
      <c r="ED248" s="403"/>
      <c r="EE248" s="403" t="s">
        <v>8387</v>
      </c>
      <c r="EF248" s="403"/>
      <c r="EG248" s="403"/>
      <c r="EH248" s="403"/>
      <c r="EI248" s="403"/>
      <c r="EJ248" s="403"/>
      <c r="EK248" s="403"/>
      <c r="EL248" s="403"/>
      <c r="EM248" s="403"/>
      <c r="EN248" s="403"/>
      <c r="EO248" s="403"/>
      <c r="EP248" s="403"/>
      <c r="EQ248" s="403"/>
      <c r="ER248" s="403"/>
      <c r="ES248" s="403"/>
      <c r="ET248" s="403"/>
    </row>
    <row r="249" spans="1:150" s="281" customFormat="1" x14ac:dyDescent="0.2">
      <c r="C249" s="5" t="str">
        <f ca="1">IF(OFFSET(U249,0,Lang_Order*Lang__B4)="","",OFFSET(U249,0,Lang_Order*Lang__B4))</f>
        <v>Frozen (-20C)</v>
      </c>
      <c r="J249" s="146"/>
      <c r="K249" s="79" t="e">
        <f>M227*$P238</f>
        <v>#N/A</v>
      </c>
      <c r="L249" s="79" t="e">
        <f>N227*$P238</f>
        <v>#N/A</v>
      </c>
      <c r="M249" s="79" t="e">
        <f t="shared" si="64"/>
        <v>#N/A</v>
      </c>
      <c r="N249" s="79" t="e">
        <f t="shared" si="64"/>
        <v>#N/A</v>
      </c>
      <c r="O249" s="146"/>
      <c r="Q249" s="91"/>
      <c r="R249" s="403"/>
      <c r="S249" s="403"/>
      <c r="T249" s="403"/>
      <c r="U249" s="403" t="s">
        <v>12</v>
      </c>
      <c r="V249" s="403"/>
      <c r="W249" s="403"/>
      <c r="X249" s="403"/>
      <c r="Y249" s="403"/>
      <c r="Z249" s="403"/>
      <c r="AA249" s="403"/>
      <c r="AB249" s="403"/>
      <c r="AC249" s="403"/>
      <c r="AD249" s="403"/>
      <c r="AE249" s="403"/>
      <c r="AF249" s="403"/>
      <c r="AG249" s="403"/>
      <c r="AH249" s="403"/>
      <c r="AI249" s="403"/>
      <c r="AJ249" s="403"/>
      <c r="AK249" s="403"/>
      <c r="AL249" s="403"/>
      <c r="AM249" s="403"/>
      <c r="AN249" s="403" t="s">
        <v>10717</v>
      </c>
      <c r="AO249" s="403"/>
      <c r="AP249" s="403"/>
      <c r="AQ249" s="403"/>
      <c r="AR249" s="403"/>
      <c r="AS249" s="403"/>
      <c r="AT249" s="403"/>
      <c r="AU249" s="403"/>
      <c r="AV249" s="403"/>
      <c r="AW249" s="403"/>
      <c r="AX249" s="403"/>
      <c r="AY249" s="403"/>
      <c r="AZ249" s="403"/>
      <c r="BA249" s="403"/>
      <c r="BB249" s="403"/>
      <c r="BC249" s="403"/>
      <c r="BD249" s="403"/>
      <c r="BE249" s="403"/>
      <c r="BF249" s="403"/>
      <c r="BG249" s="403" t="s">
        <v>10228</v>
      </c>
      <c r="BH249" s="403"/>
      <c r="BI249" s="403"/>
      <c r="BJ249" s="403"/>
      <c r="BK249" s="403"/>
      <c r="BL249" s="403"/>
      <c r="BM249" s="403"/>
      <c r="BN249" s="403"/>
      <c r="BO249" s="403"/>
      <c r="BP249" s="403"/>
      <c r="BQ249" s="403"/>
      <c r="BR249" s="403"/>
      <c r="BS249" s="403"/>
      <c r="BT249" s="403"/>
      <c r="BU249" s="403"/>
      <c r="BV249" s="403"/>
      <c r="BW249" s="403"/>
      <c r="BX249" s="403"/>
      <c r="BY249" s="403"/>
      <c r="BZ249" s="403" t="s">
        <v>10718</v>
      </c>
      <c r="CA249" s="403"/>
      <c r="CB249" s="403"/>
      <c r="CC249" s="403"/>
      <c r="CD249" s="403"/>
      <c r="CE249" s="403"/>
      <c r="CF249" s="403"/>
      <c r="CG249" s="403"/>
      <c r="CH249" s="403"/>
      <c r="CI249" s="403"/>
      <c r="CJ249" s="403"/>
      <c r="CK249" s="403"/>
      <c r="CL249" s="403"/>
      <c r="CM249" s="403"/>
      <c r="CN249" s="403"/>
      <c r="CO249" s="403"/>
      <c r="CP249" s="403"/>
      <c r="CQ249" s="403"/>
      <c r="CR249" s="403"/>
      <c r="CS249" s="403" t="s">
        <v>8391</v>
      </c>
      <c r="CT249" s="403"/>
      <c r="CU249" s="403"/>
      <c r="CV249" s="403"/>
      <c r="CW249" s="403"/>
      <c r="CX249" s="403"/>
      <c r="CY249" s="403"/>
      <c r="CZ249" s="403"/>
      <c r="DA249" s="403"/>
      <c r="DB249" s="403"/>
      <c r="DC249" s="403"/>
      <c r="DD249" s="403"/>
      <c r="DE249" s="403"/>
      <c r="DF249" s="403"/>
      <c r="DG249" s="403"/>
      <c r="DH249" s="403"/>
      <c r="DI249" s="403"/>
      <c r="DJ249" s="403"/>
      <c r="DK249" s="403"/>
      <c r="DL249" s="403" t="s">
        <v>10249</v>
      </c>
      <c r="DM249" s="403"/>
      <c r="DN249" s="403"/>
      <c r="DO249" s="403"/>
      <c r="DP249" s="403"/>
      <c r="DQ249" s="403"/>
      <c r="DR249" s="403"/>
      <c r="DS249" s="403"/>
      <c r="DT249" s="403"/>
      <c r="DU249" s="403"/>
      <c r="DV249" s="403"/>
      <c r="DW249" s="403"/>
      <c r="DX249" s="403"/>
      <c r="DY249" s="403"/>
      <c r="DZ249" s="403"/>
      <c r="EA249" s="403"/>
      <c r="EB249" s="403"/>
      <c r="EC249" s="403"/>
      <c r="ED249" s="403"/>
      <c r="EE249" s="403" t="s">
        <v>8393</v>
      </c>
      <c r="EF249" s="403"/>
      <c r="EG249" s="403"/>
      <c r="EH249" s="403"/>
      <c r="EI249" s="403"/>
      <c r="EJ249" s="403"/>
      <c r="EK249" s="403"/>
      <c r="EL249" s="403"/>
      <c r="EM249" s="403"/>
      <c r="EN249" s="403"/>
      <c r="EO249" s="403"/>
      <c r="EP249" s="403"/>
      <c r="EQ249" s="403"/>
      <c r="ER249" s="403"/>
      <c r="ES249" s="403"/>
      <c r="ET249" s="403"/>
    </row>
    <row r="250" spans="1:150" s="281" customFormat="1" x14ac:dyDescent="0.2">
      <c r="A250" s="567"/>
      <c r="C250" s="5" t="str">
        <f ca="1">IF(OFFSET(U250,0,Lang_Order*Lang__B4)="","",OFFSET(U250,0,Lang_Order*Lang__B4))</f>
        <v>Ice pack freezers</v>
      </c>
      <c r="J250" s="146"/>
      <c r="M250" s="79">
        <f t="shared" si="64"/>
        <v>0</v>
      </c>
      <c r="N250" s="79">
        <f t="shared" si="64"/>
        <v>0</v>
      </c>
      <c r="O250" s="146"/>
      <c r="Q250" s="12" t="str">
        <f ca="1">IF(OFFSET(AI250,0,Lang_Order*Lang__B4)="","",OFFSET(AI250,0,Lang_Order*Lang__B4))</f>
        <v>Only in on-grid districts</v>
      </c>
      <c r="R250" s="403"/>
      <c r="S250" s="403"/>
      <c r="T250" s="403"/>
      <c r="U250" s="403" t="s">
        <v>3211</v>
      </c>
      <c r="V250" s="403"/>
      <c r="W250" s="403"/>
      <c r="X250" s="403"/>
      <c r="Y250" s="403"/>
      <c r="Z250" s="403"/>
      <c r="AA250" s="403"/>
      <c r="AB250" s="403"/>
      <c r="AC250" s="403"/>
      <c r="AD250" s="403"/>
      <c r="AE250" s="403"/>
      <c r="AF250" s="403"/>
      <c r="AG250" s="403"/>
      <c r="AH250" s="403"/>
      <c r="AI250" s="403" t="s">
        <v>4517</v>
      </c>
      <c r="AJ250" s="403"/>
      <c r="AK250" s="403"/>
      <c r="AL250" s="403"/>
      <c r="AM250" s="403"/>
      <c r="AN250" s="403" t="s">
        <v>11012</v>
      </c>
      <c r="AO250" s="403"/>
      <c r="AP250" s="403"/>
      <c r="AQ250" s="403"/>
      <c r="AR250" s="403"/>
      <c r="AS250" s="403"/>
      <c r="AT250" s="403"/>
      <c r="AU250" s="403"/>
      <c r="AV250" s="403"/>
      <c r="AW250" s="403"/>
      <c r="AX250" s="403"/>
      <c r="AY250" s="403"/>
      <c r="AZ250" s="403"/>
      <c r="BA250" s="403"/>
      <c r="BB250" s="403" t="s">
        <v>11182</v>
      </c>
      <c r="BC250" s="403"/>
      <c r="BD250" s="403"/>
      <c r="BE250" s="403"/>
      <c r="BF250" s="403"/>
      <c r="BG250" s="403" t="s">
        <v>11056</v>
      </c>
      <c r="BH250" s="403"/>
      <c r="BI250" s="403"/>
      <c r="BJ250" s="403"/>
      <c r="BK250" s="403"/>
      <c r="BL250" s="403"/>
      <c r="BM250" s="403"/>
      <c r="BN250" s="403"/>
      <c r="BO250" s="403"/>
      <c r="BP250" s="403"/>
      <c r="BQ250" s="403"/>
      <c r="BR250" s="403"/>
      <c r="BS250" s="403"/>
      <c r="BT250" s="403"/>
      <c r="BU250" s="403" t="s">
        <v>11183</v>
      </c>
      <c r="BV250" s="403"/>
      <c r="BW250" s="403"/>
      <c r="BX250" s="403"/>
      <c r="BY250" s="403"/>
      <c r="BZ250" s="403" t="s">
        <v>11016</v>
      </c>
      <c r="CA250" s="403"/>
      <c r="CB250" s="403"/>
      <c r="CC250" s="403"/>
      <c r="CD250" s="403"/>
      <c r="CE250" s="403"/>
      <c r="CF250" s="403"/>
      <c r="CG250" s="403"/>
      <c r="CH250" s="403"/>
      <c r="CI250" s="403"/>
      <c r="CJ250" s="403"/>
      <c r="CK250" s="403"/>
      <c r="CL250" s="403"/>
      <c r="CM250" s="403"/>
      <c r="CN250" s="403" t="s">
        <v>11184</v>
      </c>
      <c r="CO250" s="403"/>
      <c r="CP250" s="403"/>
      <c r="CQ250" s="403"/>
      <c r="CR250" s="403"/>
      <c r="CS250" s="403" t="s">
        <v>11018</v>
      </c>
      <c r="CT250" s="403"/>
      <c r="CU250" s="403"/>
      <c r="CV250" s="403"/>
      <c r="CW250" s="403"/>
      <c r="CX250" s="403"/>
      <c r="CY250" s="403"/>
      <c r="CZ250" s="403"/>
      <c r="DA250" s="403"/>
      <c r="DB250" s="403"/>
      <c r="DC250" s="403"/>
      <c r="DD250" s="403"/>
      <c r="DE250" s="403"/>
      <c r="DF250" s="403"/>
      <c r="DG250" s="403" t="s">
        <v>11185</v>
      </c>
      <c r="DH250" s="403"/>
      <c r="DI250" s="403"/>
      <c r="DJ250" s="403"/>
      <c r="DK250" s="403"/>
      <c r="DL250" s="403" t="s">
        <v>11020</v>
      </c>
      <c r="DM250" s="403"/>
      <c r="DN250" s="403"/>
      <c r="DO250" s="403"/>
      <c r="DP250" s="403"/>
      <c r="DQ250" s="403"/>
      <c r="DR250" s="403"/>
      <c r="DS250" s="403"/>
      <c r="DT250" s="403"/>
      <c r="DU250" s="403"/>
      <c r="DV250" s="403"/>
      <c r="DW250" s="403"/>
      <c r="DX250" s="403"/>
      <c r="DY250" s="403"/>
      <c r="DZ250" s="403" t="s">
        <v>11186</v>
      </c>
      <c r="EA250" s="403"/>
      <c r="EB250" s="403"/>
      <c r="EC250" s="403"/>
      <c r="ED250" s="403"/>
      <c r="EE250" s="403" t="s">
        <v>11021</v>
      </c>
      <c r="EF250" s="403"/>
      <c r="EG250" s="403"/>
      <c r="EH250" s="403"/>
      <c r="EI250" s="403"/>
      <c r="EJ250" s="403"/>
      <c r="EK250" s="403"/>
      <c r="EL250" s="403"/>
      <c r="EM250" s="403"/>
      <c r="EN250" s="403"/>
      <c r="EO250" s="403"/>
      <c r="EP250" s="403"/>
      <c r="EQ250" s="403"/>
      <c r="ER250" s="403"/>
      <c r="ES250" s="403" t="s">
        <v>11187</v>
      </c>
      <c r="ET250" s="403"/>
    </row>
    <row r="251" spans="1:150" s="281" customFormat="1" x14ac:dyDescent="0.2">
      <c r="C251" s="5" t="str">
        <f ca="1">IF(OFFSET(U251,0,Lang_Order*Lang__B4)="","",OFFSET(U251,0,Lang_Order*Lang__B4))</f>
        <v>Remote Temperature Monitoring Devices</v>
      </c>
      <c r="J251" s="146"/>
      <c r="K251" s="79" t="e">
        <f>M228*$P239</f>
        <v>#N/A</v>
      </c>
      <c r="L251" s="79" t="e">
        <f>N228*$P239</f>
        <v>#N/A</v>
      </c>
      <c r="M251" s="79" t="e">
        <f t="shared" si="64"/>
        <v>#N/A</v>
      </c>
      <c r="N251" s="79" t="e">
        <f t="shared" si="64"/>
        <v>#N/A</v>
      </c>
      <c r="O251" s="146"/>
      <c r="Q251" s="47"/>
      <c r="R251" s="403"/>
      <c r="S251" s="403"/>
      <c r="T251" s="403"/>
      <c r="U251" s="403" t="s">
        <v>3593</v>
      </c>
      <c r="V251" s="403"/>
      <c r="W251" s="403"/>
      <c r="X251" s="403"/>
      <c r="Y251" s="403"/>
      <c r="Z251" s="403"/>
      <c r="AA251" s="403"/>
      <c r="AB251" s="403"/>
      <c r="AC251" s="403"/>
      <c r="AD251" s="403"/>
      <c r="AE251" s="403"/>
      <c r="AF251" s="403"/>
      <c r="AG251" s="403"/>
      <c r="AH251" s="403"/>
      <c r="AI251" s="403"/>
      <c r="AJ251" s="403"/>
      <c r="AK251" s="403"/>
      <c r="AL251" s="403"/>
      <c r="AM251" s="403"/>
      <c r="AN251" s="403" t="s">
        <v>10871</v>
      </c>
      <c r="AO251" s="403"/>
      <c r="AP251" s="403"/>
      <c r="AQ251" s="403"/>
      <c r="AR251" s="403"/>
      <c r="AS251" s="403"/>
      <c r="AT251" s="403"/>
      <c r="AU251" s="403"/>
      <c r="AV251" s="403"/>
      <c r="AW251" s="403"/>
      <c r="AX251" s="403"/>
      <c r="AY251" s="403"/>
      <c r="AZ251" s="403"/>
      <c r="BA251" s="403"/>
      <c r="BB251" s="403"/>
      <c r="BC251" s="403"/>
      <c r="BD251" s="403"/>
      <c r="BE251" s="403"/>
      <c r="BF251" s="403"/>
      <c r="BG251" s="403" t="s">
        <v>10872</v>
      </c>
      <c r="BH251" s="403"/>
      <c r="BI251" s="403"/>
      <c r="BJ251" s="403"/>
      <c r="BK251" s="403"/>
      <c r="BL251" s="403"/>
      <c r="BM251" s="403"/>
      <c r="BN251" s="403"/>
      <c r="BO251" s="403"/>
      <c r="BP251" s="403"/>
      <c r="BQ251" s="403"/>
      <c r="BR251" s="403"/>
      <c r="BS251" s="403"/>
      <c r="BT251" s="403"/>
      <c r="BU251" s="403"/>
      <c r="BV251" s="403"/>
      <c r="BW251" s="403"/>
      <c r="BX251" s="403"/>
      <c r="BY251" s="403"/>
      <c r="BZ251" s="403" t="s">
        <v>10873</v>
      </c>
      <c r="CA251" s="403"/>
      <c r="CB251" s="403"/>
      <c r="CC251" s="403"/>
      <c r="CD251" s="403"/>
      <c r="CE251" s="403"/>
      <c r="CF251" s="403"/>
      <c r="CG251" s="403"/>
      <c r="CH251" s="403"/>
      <c r="CI251" s="403"/>
      <c r="CJ251" s="403"/>
      <c r="CK251" s="403"/>
      <c r="CL251" s="403"/>
      <c r="CM251" s="403"/>
      <c r="CN251" s="403"/>
      <c r="CO251" s="403"/>
      <c r="CP251" s="403"/>
      <c r="CQ251" s="403"/>
      <c r="CR251" s="403"/>
      <c r="CS251" s="403" t="s">
        <v>10874</v>
      </c>
      <c r="CT251" s="403"/>
      <c r="CU251" s="403"/>
      <c r="CV251" s="403"/>
      <c r="CW251" s="403"/>
      <c r="CX251" s="403"/>
      <c r="CY251" s="403"/>
      <c r="CZ251" s="403"/>
      <c r="DA251" s="403"/>
      <c r="DB251" s="403"/>
      <c r="DC251" s="403"/>
      <c r="DD251" s="403"/>
      <c r="DE251" s="403"/>
      <c r="DF251" s="403"/>
      <c r="DG251" s="403"/>
      <c r="DH251" s="403"/>
      <c r="DI251" s="403"/>
      <c r="DJ251" s="403"/>
      <c r="DK251" s="403"/>
      <c r="DL251" s="403" t="s">
        <v>10901</v>
      </c>
      <c r="DM251" s="403"/>
      <c r="DN251" s="403"/>
      <c r="DO251" s="403"/>
      <c r="DP251" s="403"/>
      <c r="DQ251" s="403"/>
      <c r="DR251" s="403"/>
      <c r="DS251" s="403"/>
      <c r="DT251" s="403"/>
      <c r="DU251" s="403"/>
      <c r="DV251" s="403"/>
      <c r="DW251" s="403"/>
      <c r="DX251" s="403"/>
      <c r="DY251" s="403"/>
      <c r="DZ251" s="403"/>
      <c r="EA251" s="403"/>
      <c r="EB251" s="403"/>
      <c r="EC251" s="403"/>
      <c r="ED251" s="403"/>
      <c r="EE251" s="403" t="s">
        <v>10876</v>
      </c>
      <c r="EF251" s="403"/>
      <c r="EG251" s="403"/>
      <c r="EH251" s="403"/>
      <c r="EI251" s="403"/>
      <c r="EJ251" s="403"/>
      <c r="EK251" s="403"/>
      <c r="EL251" s="403"/>
      <c r="EM251" s="403"/>
      <c r="EN251" s="403"/>
      <c r="EO251" s="403"/>
      <c r="EP251" s="403"/>
      <c r="EQ251" s="403"/>
      <c r="ER251" s="403"/>
      <c r="ES251" s="403"/>
      <c r="ET251" s="403"/>
    </row>
    <row r="252" spans="1:150" s="281" customFormat="1" ht="13.5" thickBot="1" x14ac:dyDescent="0.25">
      <c r="D252" s="21" t="str">
        <f ca="1">IF(OFFSET(V252,0,Lang_Order*Lang__B4)="","",OFFSET(V252,0,Lang_Order*Lang__B4))</f>
        <v>Total (All Districts) Cold Storage - Capital Expenditures</v>
      </c>
      <c r="E252" s="20"/>
      <c r="F252" s="20"/>
      <c r="G252" s="20"/>
      <c r="H252" s="20"/>
      <c r="I252" s="20"/>
      <c r="J252" s="118" t="e">
        <f>IF(D246=2,SUM(L248:L251),SUM(K248:K251))+IF(D246=2,SUM(N248:N251),SUM(M248:M251))</f>
        <v>#N/A</v>
      </c>
      <c r="K252" s="288"/>
      <c r="L252" s="288"/>
      <c r="M252" s="288"/>
      <c r="N252" s="288"/>
      <c r="O252" s="288"/>
      <c r="P252" s="118" t="e">
        <f>SUM(J252:O252)</f>
        <v>#N/A</v>
      </c>
      <c r="Q252" s="91"/>
      <c r="R252" s="403"/>
      <c r="S252" s="403"/>
      <c r="T252" s="403"/>
      <c r="U252" s="403"/>
      <c r="V252" s="403" t="s">
        <v>3615</v>
      </c>
      <c r="W252" s="403"/>
      <c r="X252" s="403"/>
      <c r="Y252" s="403"/>
      <c r="Z252" s="403"/>
      <c r="AA252" s="403"/>
      <c r="AB252" s="403"/>
      <c r="AC252" s="403"/>
      <c r="AD252" s="403"/>
      <c r="AE252" s="403"/>
      <c r="AF252" s="403"/>
      <c r="AG252" s="403"/>
      <c r="AH252" s="403"/>
      <c r="AI252" s="403"/>
      <c r="AJ252" s="403"/>
      <c r="AK252" s="403"/>
      <c r="AL252" s="403"/>
      <c r="AM252" s="403"/>
      <c r="AN252" s="403"/>
      <c r="AO252" s="403" t="s">
        <v>11188</v>
      </c>
      <c r="AP252" s="403"/>
      <c r="AQ252" s="403"/>
      <c r="AR252" s="403"/>
      <c r="AS252" s="403"/>
      <c r="AT252" s="403"/>
      <c r="AU252" s="403"/>
      <c r="AV252" s="403"/>
      <c r="AW252" s="403"/>
      <c r="AX252" s="403"/>
      <c r="AY252" s="403"/>
      <c r="AZ252" s="403"/>
      <c r="BA252" s="403"/>
      <c r="BB252" s="403"/>
      <c r="BC252" s="403"/>
      <c r="BD252" s="403"/>
      <c r="BE252" s="403"/>
      <c r="BF252" s="403"/>
      <c r="BG252" s="403"/>
      <c r="BH252" s="403" t="s">
        <v>11189</v>
      </c>
      <c r="BI252" s="403"/>
      <c r="BJ252" s="403"/>
      <c r="BK252" s="403"/>
      <c r="BL252" s="403"/>
      <c r="BM252" s="403"/>
      <c r="BN252" s="403"/>
      <c r="BO252" s="403"/>
      <c r="BP252" s="403"/>
      <c r="BQ252" s="403"/>
      <c r="BR252" s="403"/>
      <c r="BS252" s="403"/>
      <c r="BT252" s="403"/>
      <c r="BU252" s="403"/>
      <c r="BV252" s="403"/>
      <c r="BW252" s="403"/>
      <c r="BX252" s="403"/>
      <c r="BY252" s="403"/>
      <c r="BZ252" s="403"/>
      <c r="CA252" s="403" t="s">
        <v>11190</v>
      </c>
      <c r="CB252" s="403"/>
      <c r="CC252" s="403"/>
      <c r="CD252" s="403"/>
      <c r="CE252" s="403"/>
      <c r="CF252" s="403"/>
      <c r="CG252" s="403"/>
      <c r="CH252" s="403"/>
      <c r="CI252" s="403"/>
      <c r="CJ252" s="403"/>
      <c r="CK252" s="403"/>
      <c r="CL252" s="403"/>
      <c r="CM252" s="403"/>
      <c r="CN252" s="403"/>
      <c r="CO252" s="403"/>
      <c r="CP252" s="403"/>
      <c r="CQ252" s="403"/>
      <c r="CR252" s="403"/>
      <c r="CS252" s="403"/>
      <c r="CT252" s="403" t="s">
        <v>11191</v>
      </c>
      <c r="CU252" s="403"/>
      <c r="CV252" s="403"/>
      <c r="CW252" s="403"/>
      <c r="CX252" s="403"/>
      <c r="CY252" s="403"/>
      <c r="CZ252" s="403"/>
      <c r="DA252" s="403"/>
      <c r="DB252" s="403"/>
      <c r="DC252" s="403"/>
      <c r="DD252" s="403"/>
      <c r="DE252" s="403"/>
      <c r="DF252" s="403"/>
      <c r="DG252" s="403"/>
      <c r="DH252" s="403"/>
      <c r="DI252" s="403"/>
      <c r="DJ252" s="403"/>
      <c r="DK252" s="403"/>
      <c r="DL252" s="403"/>
      <c r="DM252" s="403" t="s">
        <v>11074</v>
      </c>
      <c r="DN252" s="403"/>
      <c r="DO252" s="403"/>
      <c r="DP252" s="403"/>
      <c r="DQ252" s="403"/>
      <c r="DR252" s="403"/>
      <c r="DS252" s="403"/>
      <c r="DT252" s="403"/>
      <c r="DU252" s="403"/>
      <c r="DV252" s="403"/>
      <c r="DW252" s="403"/>
      <c r="DX252" s="403"/>
      <c r="DY252" s="403"/>
      <c r="DZ252" s="403"/>
      <c r="EA252" s="403"/>
      <c r="EB252" s="403"/>
      <c r="EC252" s="403"/>
      <c r="ED252" s="403"/>
      <c r="EE252" s="403"/>
      <c r="EF252" s="403" t="s">
        <v>11192</v>
      </c>
      <c r="EG252" s="403"/>
      <c r="EH252" s="403"/>
      <c r="EI252" s="403"/>
      <c r="EJ252" s="403"/>
      <c r="EK252" s="403"/>
      <c r="EL252" s="403"/>
      <c r="EM252" s="403"/>
      <c r="EN252" s="403"/>
      <c r="EO252" s="403"/>
      <c r="EP252" s="403"/>
      <c r="EQ252" s="403"/>
      <c r="ER252" s="403"/>
      <c r="ES252" s="403"/>
      <c r="ET252" s="403"/>
    </row>
    <row r="253" spans="1:150" s="281" customFormat="1" ht="13.5" thickTop="1" x14ac:dyDescent="0.2">
      <c r="C253" s="5"/>
      <c r="J253" s="146"/>
      <c r="K253" s="146"/>
      <c r="L253" s="146"/>
      <c r="M253" s="146"/>
      <c r="N253" s="309" t="str">
        <f ca="1">IF(OFFSET(AF253,0,Lang_Order*Lang__B4)="","",OFFSET(AF253,0,Lang_Order*Lang__B4))</f>
        <v>Value (for customs clearance)</v>
      </c>
      <c r="O253" s="79" t="e">
        <f>SUMPRODUCT(O226:O233,P237:P244)</f>
        <v>#N/A</v>
      </c>
      <c r="P253" s="287"/>
      <c r="Q253" s="91"/>
      <c r="R253" s="403"/>
      <c r="S253" s="403"/>
      <c r="T253" s="403"/>
      <c r="U253" s="403"/>
      <c r="V253" s="403"/>
      <c r="W253" s="403"/>
      <c r="X253" s="403"/>
      <c r="Y253" s="403"/>
      <c r="Z253" s="403"/>
      <c r="AA253" s="403"/>
      <c r="AB253" s="403"/>
      <c r="AC253" s="403"/>
      <c r="AD253" s="403"/>
      <c r="AE253" s="403"/>
      <c r="AF253" s="403" t="s">
        <v>3675</v>
      </c>
      <c r="AG253" s="403"/>
      <c r="AH253" s="403"/>
      <c r="AI253" s="403"/>
      <c r="AJ253" s="403"/>
      <c r="AK253" s="403"/>
      <c r="AL253" s="403"/>
      <c r="AM253" s="403"/>
      <c r="AN253" s="403"/>
      <c r="AO253" s="403"/>
      <c r="AP253" s="403"/>
      <c r="AQ253" s="403"/>
      <c r="AR253" s="403"/>
      <c r="AS253" s="403"/>
      <c r="AT253" s="403"/>
      <c r="AU253" s="403"/>
      <c r="AV253" s="403"/>
      <c r="AW253" s="403"/>
      <c r="AX253" s="403"/>
      <c r="AY253" s="403" t="s">
        <v>10926</v>
      </c>
      <c r="AZ253" s="403"/>
      <c r="BA253" s="403"/>
      <c r="BB253" s="403"/>
      <c r="BC253" s="403"/>
      <c r="BD253" s="403"/>
      <c r="BE253" s="403"/>
      <c r="BF253" s="403"/>
      <c r="BG253" s="403"/>
      <c r="BH253" s="403"/>
      <c r="BI253" s="403"/>
      <c r="BJ253" s="403"/>
      <c r="BK253" s="403"/>
      <c r="BL253" s="403"/>
      <c r="BM253" s="403"/>
      <c r="BN253" s="403"/>
      <c r="BO253" s="403"/>
      <c r="BP253" s="403"/>
      <c r="BQ253" s="403"/>
      <c r="BR253" s="403" t="s">
        <v>10927</v>
      </c>
      <c r="BS253" s="403"/>
      <c r="BT253" s="403"/>
      <c r="BU253" s="403"/>
      <c r="BV253" s="403"/>
      <c r="BW253" s="403"/>
      <c r="BX253" s="403"/>
      <c r="BY253" s="403"/>
      <c r="BZ253" s="403"/>
      <c r="CA253" s="403"/>
      <c r="CB253" s="403"/>
      <c r="CC253" s="403"/>
      <c r="CD253" s="403"/>
      <c r="CE253" s="403"/>
      <c r="CF253" s="403"/>
      <c r="CG253" s="403"/>
      <c r="CH253" s="403"/>
      <c r="CI253" s="403"/>
      <c r="CJ253" s="403"/>
      <c r="CK253" s="403" t="s">
        <v>10928</v>
      </c>
      <c r="CL253" s="403"/>
      <c r="CM253" s="403"/>
      <c r="CN253" s="403"/>
      <c r="CO253" s="403"/>
      <c r="CP253" s="403"/>
      <c r="CQ253" s="403"/>
      <c r="CR253" s="403"/>
      <c r="CS253" s="403"/>
      <c r="CT253" s="403"/>
      <c r="CU253" s="403"/>
      <c r="CV253" s="403"/>
      <c r="CW253" s="403"/>
      <c r="CX253" s="403"/>
      <c r="CY253" s="403"/>
      <c r="CZ253" s="403"/>
      <c r="DA253" s="403"/>
      <c r="DB253" s="403"/>
      <c r="DC253" s="403"/>
      <c r="DD253" s="403" t="s">
        <v>10929</v>
      </c>
      <c r="DE253" s="403"/>
      <c r="DF253" s="403"/>
      <c r="DG253" s="403"/>
      <c r="DH253" s="403"/>
      <c r="DI253" s="403"/>
      <c r="DJ253" s="403"/>
      <c r="DK253" s="403"/>
      <c r="DL253" s="403"/>
      <c r="DM253" s="403"/>
      <c r="DN253" s="403"/>
      <c r="DO253" s="403"/>
      <c r="DP253" s="403"/>
      <c r="DQ253" s="403"/>
      <c r="DR253" s="403"/>
      <c r="DS253" s="403"/>
      <c r="DT253" s="403"/>
      <c r="DU253" s="403"/>
      <c r="DV253" s="403"/>
      <c r="DW253" s="403" t="s">
        <v>10930</v>
      </c>
      <c r="DX253" s="403"/>
      <c r="DY253" s="403"/>
      <c r="DZ253" s="403"/>
      <c r="EA253" s="403"/>
      <c r="EB253" s="403"/>
      <c r="EC253" s="403"/>
      <c r="ED253" s="403"/>
      <c r="EE253" s="403"/>
      <c r="EF253" s="403"/>
      <c r="EG253" s="403"/>
      <c r="EH253" s="403"/>
      <c r="EI253" s="403"/>
      <c r="EJ253" s="403"/>
      <c r="EK253" s="403"/>
      <c r="EL253" s="403"/>
      <c r="EM253" s="403"/>
      <c r="EN253" s="403"/>
      <c r="EO253" s="403"/>
      <c r="EP253" s="403" t="s">
        <v>10931</v>
      </c>
      <c r="EQ253" s="403"/>
      <c r="ER253" s="403"/>
      <c r="ES253" s="403"/>
      <c r="ET253" s="403"/>
    </row>
    <row r="254" spans="1:150" s="299" customFormat="1" x14ac:dyDescent="0.2">
      <c r="B254" s="622" t="str">
        <f ca="1">IF(OFFSET(T254,0,Lang_Order*Lang__B4)="","",OFFSET(T254,0,Lang_Order*Lang__B4))</f>
        <v>Solar</v>
      </c>
      <c r="C254" s="5" t="str">
        <f ca="1">IF(OFFSET(U254,0,Lang_Order*Lang__B4)="","",OFFSET(U254,0,Lang_Order*Lang__B4))</f>
        <v>Refrigerated (2 to 8C)</v>
      </c>
      <c r="D254" s="11">
        <f>$L$87</f>
        <v>37.549999999999997</v>
      </c>
      <c r="J254" s="79" t="e">
        <f>$D$194*$D254*$P226</f>
        <v>#N/A</v>
      </c>
      <c r="K254" s="79" t="e">
        <f t="shared" ref="K254:O254" si="65">$D$194*$D254*$P226</f>
        <v>#N/A</v>
      </c>
      <c r="L254" s="79" t="e">
        <f t="shared" si="65"/>
        <v>#N/A</v>
      </c>
      <c r="M254" s="79" t="e">
        <f t="shared" si="65"/>
        <v>#N/A</v>
      </c>
      <c r="N254" s="79" t="e">
        <f t="shared" si="65"/>
        <v>#N/A</v>
      </c>
      <c r="O254" s="79" t="e">
        <f t="shared" si="65"/>
        <v>#N/A</v>
      </c>
      <c r="P254" s="380" t="e">
        <f t="shared" ref="P254:P260" si="66">SUM(J254:O254)</f>
        <v>#N/A</v>
      </c>
      <c r="Q254" s="91"/>
      <c r="R254" s="403"/>
      <c r="S254" s="403"/>
      <c r="T254" s="403" t="s">
        <v>3222</v>
      </c>
      <c r="U254" s="403" t="s">
        <v>11</v>
      </c>
      <c r="V254" s="403"/>
      <c r="W254" s="403"/>
      <c r="X254" s="403"/>
      <c r="Y254" s="403"/>
      <c r="Z254" s="403"/>
      <c r="AA254" s="403"/>
      <c r="AB254" s="403"/>
      <c r="AC254" s="403"/>
      <c r="AD254" s="403"/>
      <c r="AE254" s="403"/>
      <c r="AF254" s="403"/>
      <c r="AG254" s="403"/>
      <c r="AH254" s="403"/>
      <c r="AI254" s="403"/>
      <c r="AJ254" s="403"/>
      <c r="AK254" s="403"/>
      <c r="AL254" s="403"/>
      <c r="AM254" s="403" t="s">
        <v>11144</v>
      </c>
      <c r="AN254" s="403" t="s">
        <v>10714</v>
      </c>
      <c r="AO254" s="403"/>
      <c r="AP254" s="403"/>
      <c r="AQ254" s="403"/>
      <c r="AR254" s="403"/>
      <c r="AS254" s="403"/>
      <c r="AT254" s="403"/>
      <c r="AU254" s="403"/>
      <c r="AV254" s="403"/>
      <c r="AW254" s="403"/>
      <c r="AX254" s="403"/>
      <c r="AY254" s="403"/>
      <c r="AZ254" s="403"/>
      <c r="BA254" s="403"/>
      <c r="BB254" s="403"/>
      <c r="BC254" s="403"/>
      <c r="BD254" s="403"/>
      <c r="BE254" s="403"/>
      <c r="BF254" s="403" t="s">
        <v>11145</v>
      </c>
      <c r="BG254" s="403" t="s">
        <v>10227</v>
      </c>
      <c r="BH254" s="403"/>
      <c r="BI254" s="403"/>
      <c r="BJ254" s="403"/>
      <c r="BK254" s="403"/>
      <c r="BL254" s="403"/>
      <c r="BM254" s="403"/>
      <c r="BN254" s="403"/>
      <c r="BO254" s="403"/>
      <c r="BP254" s="403"/>
      <c r="BQ254" s="403"/>
      <c r="BR254" s="403"/>
      <c r="BS254" s="403"/>
      <c r="BT254" s="403"/>
      <c r="BU254" s="403"/>
      <c r="BV254" s="403"/>
      <c r="BW254" s="403"/>
      <c r="BX254" s="403"/>
      <c r="BY254" s="403" t="s">
        <v>3222</v>
      </c>
      <c r="BZ254" s="403" t="s">
        <v>10715</v>
      </c>
      <c r="CA254" s="403"/>
      <c r="CB254" s="403"/>
      <c r="CC254" s="403"/>
      <c r="CD254" s="403"/>
      <c r="CE254" s="403"/>
      <c r="CF254" s="403"/>
      <c r="CG254" s="403"/>
      <c r="CH254" s="403"/>
      <c r="CI254" s="403"/>
      <c r="CJ254" s="403"/>
      <c r="CK254" s="403"/>
      <c r="CL254" s="403"/>
      <c r="CM254" s="403"/>
      <c r="CN254" s="403"/>
      <c r="CO254" s="403"/>
      <c r="CP254" s="403"/>
      <c r="CQ254" s="403"/>
      <c r="CR254" s="403" t="s">
        <v>3222</v>
      </c>
      <c r="CS254" s="403" t="s">
        <v>8384</v>
      </c>
      <c r="CT254" s="403"/>
      <c r="CU254" s="403"/>
      <c r="CV254" s="403"/>
      <c r="CW254" s="403"/>
      <c r="CX254" s="403"/>
      <c r="CY254" s="403"/>
      <c r="CZ254" s="403"/>
      <c r="DA254" s="403"/>
      <c r="DB254" s="403"/>
      <c r="DC254" s="403"/>
      <c r="DD254" s="403"/>
      <c r="DE254" s="403"/>
      <c r="DF254" s="403"/>
      <c r="DG254" s="403"/>
      <c r="DH254" s="403"/>
      <c r="DI254" s="403"/>
      <c r="DJ254" s="403"/>
      <c r="DK254" s="403" t="s">
        <v>11147</v>
      </c>
      <c r="DL254" s="403" t="s">
        <v>10248</v>
      </c>
      <c r="DM254" s="403"/>
      <c r="DN254" s="403"/>
      <c r="DO254" s="403"/>
      <c r="DP254" s="403"/>
      <c r="DQ254" s="403"/>
      <c r="DR254" s="403"/>
      <c r="DS254" s="403"/>
      <c r="DT254" s="403"/>
      <c r="DU254" s="403"/>
      <c r="DV254" s="403"/>
      <c r="DW254" s="403"/>
      <c r="DX254" s="403"/>
      <c r="DY254" s="403"/>
      <c r="DZ254" s="403"/>
      <c r="EA254" s="403"/>
      <c r="EB254" s="403"/>
      <c r="EC254" s="403"/>
      <c r="ED254" s="403" t="s">
        <v>11148</v>
      </c>
      <c r="EE254" s="403" t="s">
        <v>8387</v>
      </c>
      <c r="EF254" s="403"/>
      <c r="EG254" s="403"/>
      <c r="EH254" s="403"/>
      <c r="EI254" s="403"/>
      <c r="EJ254" s="403"/>
      <c r="EK254" s="403"/>
      <c r="EL254" s="403"/>
      <c r="EM254" s="403"/>
      <c r="EN254" s="403"/>
      <c r="EO254" s="403"/>
      <c r="EP254" s="403"/>
      <c r="EQ254" s="403"/>
      <c r="ER254" s="403"/>
      <c r="ES254" s="403"/>
      <c r="ET254" s="403"/>
    </row>
    <row r="255" spans="1:150" s="299" customFormat="1" x14ac:dyDescent="0.2">
      <c r="C255" s="5" t="str">
        <f t="shared" ref="C255:C260" ca="1" si="67">IF(OFFSET(U255,0,Lang_Order*Lang__B4)="","",OFFSET(U255,0,Lang_Order*Lang__B4))</f>
        <v>Frozen (-20C)</v>
      </c>
      <c r="D255" s="11">
        <f>$L$87</f>
        <v>37.549999999999997</v>
      </c>
      <c r="J255" s="79" t="e">
        <f t="shared" ref="J255:O255" si="68">$D$194*$D255*$P227</f>
        <v>#N/A</v>
      </c>
      <c r="K255" s="79" t="e">
        <f t="shared" si="68"/>
        <v>#N/A</v>
      </c>
      <c r="L255" s="79" t="e">
        <f t="shared" si="68"/>
        <v>#N/A</v>
      </c>
      <c r="M255" s="79" t="e">
        <f t="shared" si="68"/>
        <v>#N/A</v>
      </c>
      <c r="N255" s="79" t="e">
        <f t="shared" si="68"/>
        <v>#N/A</v>
      </c>
      <c r="O255" s="79" t="e">
        <f t="shared" si="68"/>
        <v>#N/A</v>
      </c>
      <c r="P255" s="380" t="e">
        <f t="shared" si="66"/>
        <v>#N/A</v>
      </c>
      <c r="Q255" s="91"/>
      <c r="R255" s="403"/>
      <c r="S255" s="403"/>
      <c r="T255" s="403"/>
      <c r="U255" s="403" t="s">
        <v>12</v>
      </c>
      <c r="V255" s="403"/>
      <c r="W255" s="403"/>
      <c r="X255" s="403"/>
      <c r="Y255" s="403"/>
      <c r="Z255" s="403"/>
      <c r="AA255" s="403"/>
      <c r="AB255" s="403"/>
      <c r="AC255" s="403"/>
      <c r="AD255" s="403"/>
      <c r="AE255" s="403"/>
      <c r="AF255" s="403"/>
      <c r="AG255" s="403"/>
      <c r="AH255" s="403"/>
      <c r="AI255" s="403"/>
      <c r="AJ255" s="403"/>
      <c r="AK255" s="403"/>
      <c r="AL255" s="403"/>
      <c r="AM255" s="403"/>
      <c r="AN255" s="403" t="s">
        <v>10717</v>
      </c>
      <c r="AO255" s="403"/>
      <c r="AP255" s="403"/>
      <c r="AQ255" s="403"/>
      <c r="AR255" s="403"/>
      <c r="AS255" s="403"/>
      <c r="AT255" s="403"/>
      <c r="AU255" s="403"/>
      <c r="AV255" s="403"/>
      <c r="AW255" s="403"/>
      <c r="AX255" s="403"/>
      <c r="AY255" s="403"/>
      <c r="AZ255" s="403"/>
      <c r="BA255" s="403"/>
      <c r="BB255" s="403"/>
      <c r="BC255" s="403"/>
      <c r="BD255" s="403"/>
      <c r="BE255" s="403"/>
      <c r="BF255" s="403"/>
      <c r="BG255" s="403" t="s">
        <v>10228</v>
      </c>
      <c r="BH255" s="403"/>
      <c r="BI255" s="403"/>
      <c r="BJ255" s="403"/>
      <c r="BK255" s="403"/>
      <c r="BL255" s="403"/>
      <c r="BM255" s="403"/>
      <c r="BN255" s="403"/>
      <c r="BO255" s="403"/>
      <c r="BP255" s="403"/>
      <c r="BQ255" s="403"/>
      <c r="BR255" s="403"/>
      <c r="BS255" s="403"/>
      <c r="BT255" s="403"/>
      <c r="BU255" s="403"/>
      <c r="BV255" s="403"/>
      <c r="BW255" s="403"/>
      <c r="BX255" s="403"/>
      <c r="BY255" s="403"/>
      <c r="BZ255" s="403" t="s">
        <v>10718</v>
      </c>
      <c r="CA255" s="403"/>
      <c r="CB255" s="403"/>
      <c r="CC255" s="403"/>
      <c r="CD255" s="403"/>
      <c r="CE255" s="403"/>
      <c r="CF255" s="403"/>
      <c r="CG255" s="403"/>
      <c r="CH255" s="403"/>
      <c r="CI255" s="403"/>
      <c r="CJ255" s="403"/>
      <c r="CK255" s="403"/>
      <c r="CL255" s="403"/>
      <c r="CM255" s="403"/>
      <c r="CN255" s="403"/>
      <c r="CO255" s="403"/>
      <c r="CP255" s="403"/>
      <c r="CQ255" s="403"/>
      <c r="CR255" s="403"/>
      <c r="CS255" s="403" t="s">
        <v>8391</v>
      </c>
      <c r="CT255" s="403"/>
      <c r="CU255" s="403"/>
      <c r="CV255" s="403"/>
      <c r="CW255" s="403"/>
      <c r="CX255" s="403"/>
      <c r="CY255" s="403"/>
      <c r="CZ255" s="403"/>
      <c r="DA255" s="403"/>
      <c r="DB255" s="403"/>
      <c r="DC255" s="403"/>
      <c r="DD255" s="403"/>
      <c r="DE255" s="403"/>
      <c r="DF255" s="403"/>
      <c r="DG255" s="403"/>
      <c r="DH255" s="403"/>
      <c r="DI255" s="403"/>
      <c r="DJ255" s="403"/>
      <c r="DK255" s="403"/>
      <c r="DL255" s="403" t="s">
        <v>10249</v>
      </c>
      <c r="DM255" s="403"/>
      <c r="DN255" s="403"/>
      <c r="DO255" s="403"/>
      <c r="DP255" s="403"/>
      <c r="DQ255" s="403"/>
      <c r="DR255" s="403"/>
      <c r="DS255" s="403"/>
      <c r="DT255" s="403"/>
      <c r="DU255" s="403"/>
      <c r="DV255" s="403"/>
      <c r="DW255" s="403"/>
      <c r="DX255" s="403"/>
      <c r="DY255" s="403"/>
      <c r="DZ255" s="403"/>
      <c r="EA255" s="403"/>
      <c r="EB255" s="403"/>
      <c r="EC255" s="403"/>
      <c r="ED255" s="403"/>
      <c r="EE255" s="403" t="s">
        <v>8393</v>
      </c>
      <c r="EF255" s="403"/>
      <c r="EG255" s="403"/>
      <c r="EH255" s="403"/>
      <c r="EI255" s="403"/>
      <c r="EJ255" s="403"/>
      <c r="EK255" s="403"/>
      <c r="EL255" s="403"/>
      <c r="EM255" s="403"/>
      <c r="EN255" s="403"/>
      <c r="EO255" s="403"/>
      <c r="EP255" s="403"/>
      <c r="EQ255" s="403"/>
      <c r="ER255" s="403"/>
      <c r="ES255" s="403"/>
      <c r="ET255" s="403"/>
    </row>
    <row r="256" spans="1:150" s="281" customFormat="1" x14ac:dyDescent="0.2">
      <c r="B256" s="622" t="str">
        <f ca="1">IF(OFFSET(T256,0,Lang_Order*Lang__B4)="","",OFFSET(T256,0,Lang_Order*Lang__B4))</f>
        <v>On-grid</v>
      </c>
      <c r="C256" s="5" t="str">
        <f t="shared" ca="1" si="67"/>
        <v>Refrigerated (2 to 8C)</v>
      </c>
      <c r="D256" s="11">
        <f>$L$85</f>
        <v>51.7</v>
      </c>
      <c r="J256" s="79" t="e">
        <f>$D$195*$D256*$P230</f>
        <v>#N/A</v>
      </c>
      <c r="K256" s="79" t="e">
        <f t="shared" ref="K256:O256" si="69">$D$195*$D256*$P230</f>
        <v>#N/A</v>
      </c>
      <c r="L256" s="79" t="e">
        <f t="shared" si="69"/>
        <v>#N/A</v>
      </c>
      <c r="M256" s="79" t="e">
        <f t="shared" si="69"/>
        <v>#N/A</v>
      </c>
      <c r="N256" s="79" t="e">
        <f t="shared" si="69"/>
        <v>#N/A</v>
      </c>
      <c r="O256" s="79" t="e">
        <f t="shared" si="69"/>
        <v>#N/A</v>
      </c>
      <c r="P256" s="380" t="e">
        <f t="shared" si="66"/>
        <v>#N/A</v>
      </c>
      <c r="Q256" s="91"/>
      <c r="R256" s="403"/>
      <c r="S256" s="403"/>
      <c r="T256" s="403" t="s">
        <v>3221</v>
      </c>
      <c r="U256" s="403" t="s">
        <v>11</v>
      </c>
      <c r="V256" s="403"/>
      <c r="W256" s="403"/>
      <c r="X256" s="403"/>
      <c r="Y256" s="403"/>
      <c r="Z256" s="403"/>
      <c r="AA256" s="403"/>
      <c r="AB256" s="403"/>
      <c r="AC256" s="403"/>
      <c r="AD256" s="403"/>
      <c r="AE256" s="403"/>
      <c r="AF256" s="403"/>
      <c r="AG256" s="403"/>
      <c r="AH256" s="403"/>
      <c r="AI256" s="403"/>
      <c r="AJ256" s="403"/>
      <c r="AK256" s="403"/>
      <c r="AL256" s="403"/>
      <c r="AM256" s="403" t="s">
        <v>11149</v>
      </c>
      <c r="AN256" s="403" t="s">
        <v>10714</v>
      </c>
      <c r="AO256" s="403"/>
      <c r="AP256" s="403"/>
      <c r="AQ256" s="403"/>
      <c r="AR256" s="403"/>
      <c r="AS256" s="403"/>
      <c r="AT256" s="403"/>
      <c r="AU256" s="403"/>
      <c r="AV256" s="403"/>
      <c r="AW256" s="403"/>
      <c r="AX256" s="403"/>
      <c r="AY256" s="403"/>
      <c r="AZ256" s="403"/>
      <c r="BA256" s="403"/>
      <c r="BB256" s="403"/>
      <c r="BC256" s="403"/>
      <c r="BD256" s="403"/>
      <c r="BE256" s="403"/>
      <c r="BF256" s="403" t="s">
        <v>11150</v>
      </c>
      <c r="BG256" s="403" t="s">
        <v>10227</v>
      </c>
      <c r="BH256" s="403"/>
      <c r="BI256" s="403"/>
      <c r="BJ256" s="403"/>
      <c r="BK256" s="403"/>
      <c r="BL256" s="403"/>
      <c r="BM256" s="403"/>
      <c r="BN256" s="403"/>
      <c r="BO256" s="403"/>
      <c r="BP256" s="403"/>
      <c r="BQ256" s="403"/>
      <c r="BR256" s="403"/>
      <c r="BS256" s="403"/>
      <c r="BT256" s="403"/>
      <c r="BU256" s="403"/>
      <c r="BV256" s="403"/>
      <c r="BW256" s="403"/>
      <c r="BX256" s="403"/>
      <c r="BY256" s="403" t="s">
        <v>11151</v>
      </c>
      <c r="BZ256" s="403" t="s">
        <v>10715</v>
      </c>
      <c r="CA256" s="403"/>
      <c r="CB256" s="403"/>
      <c r="CC256" s="403"/>
      <c r="CD256" s="403"/>
      <c r="CE256" s="403"/>
      <c r="CF256" s="403"/>
      <c r="CG256" s="403"/>
      <c r="CH256" s="403"/>
      <c r="CI256" s="403"/>
      <c r="CJ256" s="403"/>
      <c r="CK256" s="403"/>
      <c r="CL256" s="403"/>
      <c r="CM256" s="403"/>
      <c r="CN256" s="403"/>
      <c r="CO256" s="403"/>
      <c r="CP256" s="403"/>
      <c r="CQ256" s="403"/>
      <c r="CR256" s="403" t="s">
        <v>11152</v>
      </c>
      <c r="CS256" s="403" t="s">
        <v>8384</v>
      </c>
      <c r="CT256" s="403"/>
      <c r="CU256" s="403"/>
      <c r="CV256" s="403"/>
      <c r="CW256" s="403"/>
      <c r="CX256" s="403"/>
      <c r="CY256" s="403"/>
      <c r="CZ256" s="403"/>
      <c r="DA256" s="403"/>
      <c r="DB256" s="403"/>
      <c r="DC256" s="403"/>
      <c r="DD256" s="403"/>
      <c r="DE256" s="403"/>
      <c r="DF256" s="403"/>
      <c r="DG256" s="403"/>
      <c r="DH256" s="403"/>
      <c r="DI256" s="403"/>
      <c r="DJ256" s="403"/>
      <c r="DK256" s="403" t="s">
        <v>11153</v>
      </c>
      <c r="DL256" s="403" t="s">
        <v>10248</v>
      </c>
      <c r="DM256" s="403"/>
      <c r="DN256" s="403"/>
      <c r="DO256" s="403"/>
      <c r="DP256" s="403"/>
      <c r="DQ256" s="403"/>
      <c r="DR256" s="403"/>
      <c r="DS256" s="403"/>
      <c r="DT256" s="403"/>
      <c r="DU256" s="403"/>
      <c r="DV256" s="403"/>
      <c r="DW256" s="403"/>
      <c r="DX256" s="403"/>
      <c r="DY256" s="403"/>
      <c r="DZ256" s="403"/>
      <c r="EA256" s="403"/>
      <c r="EB256" s="403"/>
      <c r="EC256" s="403"/>
      <c r="ED256" s="403" t="s">
        <v>11154</v>
      </c>
      <c r="EE256" s="403" t="s">
        <v>8387</v>
      </c>
      <c r="EF256" s="403"/>
      <c r="EG256" s="403"/>
      <c r="EH256" s="403"/>
      <c r="EI256" s="403"/>
      <c r="EJ256" s="403"/>
      <c r="EK256" s="403"/>
      <c r="EL256" s="403"/>
      <c r="EM256" s="403"/>
      <c r="EN256" s="403"/>
      <c r="EO256" s="403"/>
      <c r="EP256" s="403"/>
      <c r="EQ256" s="403"/>
      <c r="ER256" s="403"/>
      <c r="ES256" s="403"/>
      <c r="ET256" s="403"/>
    </row>
    <row r="257" spans="1:150" s="281" customFormat="1" x14ac:dyDescent="0.2">
      <c r="C257" s="5" t="str">
        <f t="shared" ca="1" si="67"/>
        <v>Frozen (-20C)</v>
      </c>
      <c r="D257" s="11">
        <f>$L$86</f>
        <v>51.95</v>
      </c>
      <c r="J257" s="79" t="e">
        <f t="shared" ref="J257:O257" si="70">$D$195*$D257*$P231</f>
        <v>#N/A</v>
      </c>
      <c r="K257" s="79" t="e">
        <f t="shared" si="70"/>
        <v>#N/A</v>
      </c>
      <c r="L257" s="79" t="e">
        <f t="shared" si="70"/>
        <v>#N/A</v>
      </c>
      <c r="M257" s="79" t="e">
        <f t="shared" si="70"/>
        <v>#N/A</v>
      </c>
      <c r="N257" s="79" t="e">
        <f t="shared" si="70"/>
        <v>#N/A</v>
      </c>
      <c r="O257" s="79" t="e">
        <f t="shared" si="70"/>
        <v>#N/A</v>
      </c>
      <c r="P257" s="380" t="e">
        <f t="shared" si="66"/>
        <v>#N/A</v>
      </c>
      <c r="Q257" s="91"/>
      <c r="R257" s="403"/>
      <c r="S257" s="403"/>
      <c r="T257" s="403"/>
      <c r="U257" s="403" t="s">
        <v>12</v>
      </c>
      <c r="V257" s="403"/>
      <c r="W257" s="403"/>
      <c r="X257" s="403"/>
      <c r="Y257" s="403"/>
      <c r="Z257" s="403"/>
      <c r="AA257" s="403"/>
      <c r="AB257" s="403"/>
      <c r="AC257" s="403"/>
      <c r="AD257" s="403"/>
      <c r="AE257" s="403"/>
      <c r="AF257" s="403"/>
      <c r="AG257" s="403"/>
      <c r="AH257" s="403"/>
      <c r="AI257" s="403"/>
      <c r="AJ257" s="403"/>
      <c r="AK257" s="403"/>
      <c r="AL257" s="403"/>
      <c r="AM257" s="403"/>
      <c r="AN257" s="403" t="s">
        <v>10717</v>
      </c>
      <c r="AO257" s="403"/>
      <c r="AP257" s="403"/>
      <c r="AQ257" s="403"/>
      <c r="AR257" s="403"/>
      <c r="AS257" s="403"/>
      <c r="AT257" s="403"/>
      <c r="AU257" s="403"/>
      <c r="AV257" s="403"/>
      <c r="AW257" s="403"/>
      <c r="AX257" s="403"/>
      <c r="AY257" s="403"/>
      <c r="AZ257" s="403"/>
      <c r="BA257" s="403"/>
      <c r="BB257" s="403"/>
      <c r="BC257" s="403"/>
      <c r="BD257" s="403"/>
      <c r="BE257" s="403"/>
      <c r="BF257" s="403"/>
      <c r="BG257" s="403" t="s">
        <v>10228</v>
      </c>
      <c r="BH257" s="403"/>
      <c r="BI257" s="403"/>
      <c r="BJ257" s="403"/>
      <c r="BK257" s="403"/>
      <c r="BL257" s="403"/>
      <c r="BM257" s="403"/>
      <c r="BN257" s="403"/>
      <c r="BO257" s="403"/>
      <c r="BP257" s="403"/>
      <c r="BQ257" s="403"/>
      <c r="BR257" s="403"/>
      <c r="BS257" s="403"/>
      <c r="BT257" s="403"/>
      <c r="BU257" s="403"/>
      <c r="BV257" s="403"/>
      <c r="BW257" s="403"/>
      <c r="BX257" s="403"/>
      <c r="BY257" s="403"/>
      <c r="BZ257" s="403" t="s">
        <v>10718</v>
      </c>
      <c r="CA257" s="403"/>
      <c r="CB257" s="403"/>
      <c r="CC257" s="403"/>
      <c r="CD257" s="403"/>
      <c r="CE257" s="403"/>
      <c r="CF257" s="403"/>
      <c r="CG257" s="403"/>
      <c r="CH257" s="403"/>
      <c r="CI257" s="403"/>
      <c r="CJ257" s="403"/>
      <c r="CK257" s="403"/>
      <c r="CL257" s="403"/>
      <c r="CM257" s="403"/>
      <c r="CN257" s="403"/>
      <c r="CO257" s="403"/>
      <c r="CP257" s="403"/>
      <c r="CQ257" s="403"/>
      <c r="CR257" s="403"/>
      <c r="CS257" s="403" t="s">
        <v>8391</v>
      </c>
      <c r="CT257" s="403"/>
      <c r="CU257" s="403"/>
      <c r="CV257" s="403"/>
      <c r="CW257" s="403"/>
      <c r="CX257" s="403"/>
      <c r="CY257" s="403"/>
      <c r="CZ257" s="403"/>
      <c r="DA257" s="403"/>
      <c r="DB257" s="403"/>
      <c r="DC257" s="403"/>
      <c r="DD257" s="403"/>
      <c r="DE257" s="403"/>
      <c r="DF257" s="403"/>
      <c r="DG257" s="403"/>
      <c r="DH257" s="403"/>
      <c r="DI257" s="403"/>
      <c r="DJ257" s="403"/>
      <c r="DK257" s="403"/>
      <c r="DL257" s="403" t="s">
        <v>10249</v>
      </c>
      <c r="DM257" s="403"/>
      <c r="DN257" s="403"/>
      <c r="DO257" s="403"/>
      <c r="DP257" s="403"/>
      <c r="DQ257" s="403"/>
      <c r="DR257" s="403"/>
      <c r="DS257" s="403"/>
      <c r="DT257" s="403"/>
      <c r="DU257" s="403"/>
      <c r="DV257" s="403"/>
      <c r="DW257" s="403"/>
      <c r="DX257" s="403"/>
      <c r="DY257" s="403"/>
      <c r="DZ257" s="403"/>
      <c r="EA257" s="403"/>
      <c r="EB257" s="403"/>
      <c r="EC257" s="403"/>
      <c r="ED257" s="403"/>
      <c r="EE257" s="403" t="s">
        <v>8393</v>
      </c>
      <c r="EF257" s="403"/>
      <c r="EG257" s="403"/>
      <c r="EH257" s="403"/>
      <c r="EI257" s="403"/>
      <c r="EJ257" s="403"/>
      <c r="EK257" s="403"/>
      <c r="EL257" s="403"/>
      <c r="EM257" s="403"/>
      <c r="EN257" s="403"/>
      <c r="EO257" s="403"/>
      <c r="EP257" s="403"/>
      <c r="EQ257" s="403"/>
      <c r="ER257" s="403"/>
      <c r="ES257" s="403"/>
      <c r="ET257" s="403"/>
    </row>
    <row r="258" spans="1:150" s="281" customFormat="1" x14ac:dyDescent="0.2">
      <c r="C258" s="5" t="str">
        <f t="shared" ca="1" si="67"/>
        <v>Ice pack freezers</v>
      </c>
      <c r="D258" s="11">
        <f>$L$86</f>
        <v>51.95</v>
      </c>
      <c r="J258" s="79">
        <f t="shared" ref="J258:O258" si="71">$D$195*$D258*$P232</f>
        <v>0</v>
      </c>
      <c r="K258" s="79">
        <f t="shared" si="71"/>
        <v>0</v>
      </c>
      <c r="L258" s="79">
        <f t="shared" si="71"/>
        <v>0</v>
      </c>
      <c r="M258" s="79">
        <f t="shared" si="71"/>
        <v>0</v>
      </c>
      <c r="N258" s="79">
        <f t="shared" si="71"/>
        <v>0</v>
      </c>
      <c r="O258" s="79">
        <f t="shared" si="71"/>
        <v>0</v>
      </c>
      <c r="P258" s="380">
        <f t="shared" si="66"/>
        <v>0</v>
      </c>
      <c r="Q258" s="91"/>
      <c r="R258" s="403"/>
      <c r="S258" s="403"/>
      <c r="T258" s="403"/>
      <c r="U258" s="403" t="s">
        <v>3211</v>
      </c>
      <c r="V258" s="403"/>
      <c r="W258" s="403"/>
      <c r="X258" s="403"/>
      <c r="Y258" s="403"/>
      <c r="Z258" s="403"/>
      <c r="AA258" s="403"/>
      <c r="AB258" s="403"/>
      <c r="AC258" s="403"/>
      <c r="AD258" s="403"/>
      <c r="AE258" s="403"/>
      <c r="AF258" s="403"/>
      <c r="AG258" s="403"/>
      <c r="AH258" s="403"/>
      <c r="AI258" s="403"/>
      <c r="AJ258" s="403"/>
      <c r="AK258" s="403"/>
      <c r="AL258" s="403"/>
      <c r="AM258" s="403"/>
      <c r="AN258" s="403" t="s">
        <v>11012</v>
      </c>
      <c r="AO258" s="403"/>
      <c r="AP258" s="403"/>
      <c r="AQ258" s="403"/>
      <c r="AR258" s="403"/>
      <c r="AS258" s="403"/>
      <c r="AT258" s="403"/>
      <c r="AU258" s="403"/>
      <c r="AV258" s="403"/>
      <c r="AW258" s="403"/>
      <c r="AX258" s="403"/>
      <c r="AY258" s="403"/>
      <c r="AZ258" s="403"/>
      <c r="BA258" s="403"/>
      <c r="BB258" s="403"/>
      <c r="BC258" s="403"/>
      <c r="BD258" s="403"/>
      <c r="BE258" s="403"/>
      <c r="BF258" s="403"/>
      <c r="BG258" s="403" t="s">
        <v>11056</v>
      </c>
      <c r="BH258" s="403"/>
      <c r="BI258" s="403"/>
      <c r="BJ258" s="403"/>
      <c r="BK258" s="403"/>
      <c r="BL258" s="403"/>
      <c r="BM258" s="403"/>
      <c r="BN258" s="403"/>
      <c r="BO258" s="403"/>
      <c r="BP258" s="403"/>
      <c r="BQ258" s="403"/>
      <c r="BR258" s="403"/>
      <c r="BS258" s="403"/>
      <c r="BT258" s="403"/>
      <c r="BU258" s="403"/>
      <c r="BV258" s="403"/>
      <c r="BW258" s="403"/>
      <c r="BX258" s="403"/>
      <c r="BY258" s="403"/>
      <c r="BZ258" s="403" t="s">
        <v>11016</v>
      </c>
      <c r="CA258" s="403"/>
      <c r="CB258" s="403"/>
      <c r="CC258" s="403"/>
      <c r="CD258" s="403"/>
      <c r="CE258" s="403"/>
      <c r="CF258" s="403"/>
      <c r="CG258" s="403"/>
      <c r="CH258" s="403"/>
      <c r="CI258" s="403"/>
      <c r="CJ258" s="403"/>
      <c r="CK258" s="403"/>
      <c r="CL258" s="403"/>
      <c r="CM258" s="403"/>
      <c r="CN258" s="403"/>
      <c r="CO258" s="403"/>
      <c r="CP258" s="403"/>
      <c r="CQ258" s="403"/>
      <c r="CR258" s="403"/>
      <c r="CS258" s="403" t="s">
        <v>11018</v>
      </c>
      <c r="CT258" s="403"/>
      <c r="CU258" s="403"/>
      <c r="CV258" s="403"/>
      <c r="CW258" s="403"/>
      <c r="CX258" s="403"/>
      <c r="CY258" s="403"/>
      <c r="CZ258" s="403"/>
      <c r="DA258" s="403"/>
      <c r="DB258" s="403"/>
      <c r="DC258" s="403"/>
      <c r="DD258" s="403"/>
      <c r="DE258" s="403"/>
      <c r="DF258" s="403"/>
      <c r="DG258" s="403"/>
      <c r="DH258" s="403"/>
      <c r="DI258" s="403"/>
      <c r="DJ258" s="403"/>
      <c r="DK258" s="403"/>
      <c r="DL258" s="403" t="s">
        <v>11020</v>
      </c>
      <c r="DM258" s="403"/>
      <c r="DN258" s="403"/>
      <c r="DO258" s="403"/>
      <c r="DP258" s="403"/>
      <c r="DQ258" s="403"/>
      <c r="DR258" s="403"/>
      <c r="DS258" s="403"/>
      <c r="DT258" s="403"/>
      <c r="DU258" s="403"/>
      <c r="DV258" s="403"/>
      <c r="DW258" s="403"/>
      <c r="DX258" s="403"/>
      <c r="DY258" s="403"/>
      <c r="DZ258" s="403"/>
      <c r="EA258" s="403"/>
      <c r="EB258" s="403"/>
      <c r="EC258" s="403"/>
      <c r="ED258" s="403"/>
      <c r="EE258" s="403" t="s">
        <v>11021</v>
      </c>
      <c r="EF258" s="403"/>
      <c r="EG258" s="403"/>
      <c r="EH258" s="403"/>
      <c r="EI258" s="403"/>
      <c r="EJ258" s="403"/>
      <c r="EK258" s="403"/>
      <c r="EL258" s="403"/>
      <c r="EM258" s="403"/>
      <c r="EN258" s="403"/>
      <c r="EO258" s="403"/>
      <c r="EP258" s="403"/>
      <c r="EQ258" s="403"/>
      <c r="ER258" s="403"/>
      <c r="ES258" s="403"/>
      <c r="ET258" s="403"/>
    </row>
    <row r="259" spans="1:150" s="281" customFormat="1" x14ac:dyDescent="0.2">
      <c r="C259" s="5" t="str">
        <f t="shared" ca="1" si="67"/>
        <v>Remote Temperature Monitoring Devices</v>
      </c>
      <c r="J259" s="79"/>
      <c r="K259" s="79"/>
      <c r="L259" s="79"/>
      <c r="M259" s="79"/>
      <c r="N259" s="79"/>
      <c r="O259" s="79"/>
      <c r="P259" s="380">
        <f t="shared" si="66"/>
        <v>0</v>
      </c>
      <c r="Q259" s="91"/>
      <c r="R259" s="403"/>
      <c r="S259" s="403"/>
      <c r="T259" s="403"/>
      <c r="U259" s="403" t="s">
        <v>3593</v>
      </c>
      <c r="V259" s="403"/>
      <c r="W259" s="403"/>
      <c r="X259" s="403"/>
      <c r="Y259" s="403"/>
      <c r="Z259" s="403"/>
      <c r="AA259" s="403"/>
      <c r="AB259" s="403"/>
      <c r="AC259" s="403"/>
      <c r="AD259" s="403"/>
      <c r="AE259" s="403"/>
      <c r="AF259" s="403"/>
      <c r="AG259" s="403"/>
      <c r="AH259" s="403"/>
      <c r="AI259" s="403"/>
      <c r="AJ259" s="403"/>
      <c r="AK259" s="403"/>
      <c r="AL259" s="403"/>
      <c r="AM259" s="403"/>
      <c r="AN259" s="403" t="s">
        <v>10871</v>
      </c>
      <c r="AO259" s="403"/>
      <c r="AP259" s="403"/>
      <c r="AQ259" s="403"/>
      <c r="AR259" s="403"/>
      <c r="AS259" s="403"/>
      <c r="AT259" s="403"/>
      <c r="AU259" s="403"/>
      <c r="AV259" s="403"/>
      <c r="AW259" s="403"/>
      <c r="AX259" s="403"/>
      <c r="AY259" s="403"/>
      <c r="AZ259" s="403"/>
      <c r="BA259" s="403"/>
      <c r="BB259" s="403"/>
      <c r="BC259" s="403"/>
      <c r="BD259" s="403"/>
      <c r="BE259" s="403"/>
      <c r="BF259" s="403"/>
      <c r="BG259" s="403" t="s">
        <v>10872</v>
      </c>
      <c r="BH259" s="403"/>
      <c r="BI259" s="403"/>
      <c r="BJ259" s="403"/>
      <c r="BK259" s="403"/>
      <c r="BL259" s="403"/>
      <c r="BM259" s="403"/>
      <c r="BN259" s="403"/>
      <c r="BO259" s="403"/>
      <c r="BP259" s="403"/>
      <c r="BQ259" s="403"/>
      <c r="BR259" s="403"/>
      <c r="BS259" s="403"/>
      <c r="BT259" s="403"/>
      <c r="BU259" s="403"/>
      <c r="BV259" s="403"/>
      <c r="BW259" s="403"/>
      <c r="BX259" s="403"/>
      <c r="BY259" s="403"/>
      <c r="BZ259" s="403" t="s">
        <v>10873</v>
      </c>
      <c r="CA259" s="403"/>
      <c r="CB259" s="403"/>
      <c r="CC259" s="403"/>
      <c r="CD259" s="403"/>
      <c r="CE259" s="403"/>
      <c r="CF259" s="403"/>
      <c r="CG259" s="403"/>
      <c r="CH259" s="403"/>
      <c r="CI259" s="403"/>
      <c r="CJ259" s="403"/>
      <c r="CK259" s="403"/>
      <c r="CL259" s="403"/>
      <c r="CM259" s="403"/>
      <c r="CN259" s="403"/>
      <c r="CO259" s="403"/>
      <c r="CP259" s="403"/>
      <c r="CQ259" s="403"/>
      <c r="CR259" s="403"/>
      <c r="CS259" s="403" t="s">
        <v>10874</v>
      </c>
      <c r="CT259" s="403"/>
      <c r="CU259" s="403"/>
      <c r="CV259" s="403"/>
      <c r="CW259" s="403"/>
      <c r="CX259" s="403"/>
      <c r="CY259" s="403"/>
      <c r="CZ259" s="403"/>
      <c r="DA259" s="403"/>
      <c r="DB259" s="403"/>
      <c r="DC259" s="403"/>
      <c r="DD259" s="403"/>
      <c r="DE259" s="403"/>
      <c r="DF259" s="403"/>
      <c r="DG259" s="403"/>
      <c r="DH259" s="403"/>
      <c r="DI259" s="403"/>
      <c r="DJ259" s="403"/>
      <c r="DK259" s="403"/>
      <c r="DL259" s="403" t="s">
        <v>10901</v>
      </c>
      <c r="DM259" s="403"/>
      <c r="DN259" s="403"/>
      <c r="DO259" s="403"/>
      <c r="DP259" s="403"/>
      <c r="DQ259" s="403"/>
      <c r="DR259" s="403"/>
      <c r="DS259" s="403"/>
      <c r="DT259" s="403"/>
      <c r="DU259" s="403"/>
      <c r="DV259" s="403"/>
      <c r="DW259" s="403"/>
      <c r="DX259" s="403"/>
      <c r="DY259" s="403"/>
      <c r="DZ259" s="403"/>
      <c r="EA259" s="403"/>
      <c r="EB259" s="403"/>
      <c r="EC259" s="403"/>
      <c r="ED259" s="403"/>
      <c r="EE259" s="403" t="s">
        <v>10876</v>
      </c>
      <c r="EF259" s="403"/>
      <c r="EG259" s="403"/>
      <c r="EH259" s="403"/>
      <c r="EI259" s="403"/>
      <c r="EJ259" s="403"/>
      <c r="EK259" s="403"/>
      <c r="EL259" s="403"/>
      <c r="EM259" s="403"/>
      <c r="EN259" s="403"/>
      <c r="EO259" s="403"/>
      <c r="EP259" s="403"/>
      <c r="EQ259" s="403"/>
      <c r="ER259" s="403"/>
      <c r="ES259" s="403"/>
      <c r="ET259" s="403"/>
    </row>
    <row r="260" spans="1:150" s="281" customFormat="1" x14ac:dyDescent="0.2">
      <c r="C260" s="5" t="str">
        <f t="shared" ca="1" si="67"/>
        <v>Electricity</v>
      </c>
      <c r="J260" s="79" t="e">
        <f t="shared" ref="J260:O260" si="72">$D195*SUMPRODUCT($L230:$L232,$P230:$P232)*kWh_USD</f>
        <v>#N/A</v>
      </c>
      <c r="K260" s="79" t="e">
        <f t="shared" si="72"/>
        <v>#N/A</v>
      </c>
      <c r="L260" s="79" t="e">
        <f t="shared" si="72"/>
        <v>#N/A</v>
      </c>
      <c r="M260" s="79" t="e">
        <f t="shared" si="72"/>
        <v>#N/A</v>
      </c>
      <c r="N260" s="79" t="e">
        <f t="shared" si="72"/>
        <v>#N/A</v>
      </c>
      <c r="O260" s="79" t="e">
        <f t="shared" si="72"/>
        <v>#N/A</v>
      </c>
      <c r="P260" s="300" t="e">
        <f t="shared" si="66"/>
        <v>#N/A</v>
      </c>
      <c r="Q260" s="47"/>
      <c r="R260" s="403"/>
      <c r="S260" s="403"/>
      <c r="T260" s="403"/>
      <c r="U260" s="403" t="s">
        <v>2721</v>
      </c>
      <c r="V260" s="403"/>
      <c r="W260" s="403"/>
      <c r="X260" s="403"/>
      <c r="Y260" s="403"/>
      <c r="Z260" s="403"/>
      <c r="AA260" s="403"/>
      <c r="AB260" s="403"/>
      <c r="AC260" s="403"/>
      <c r="AD260" s="403"/>
      <c r="AE260" s="403"/>
      <c r="AF260" s="403"/>
      <c r="AG260" s="403"/>
      <c r="AH260" s="403"/>
      <c r="AI260" s="403"/>
      <c r="AJ260" s="403"/>
      <c r="AK260" s="403"/>
      <c r="AL260" s="403"/>
      <c r="AM260" s="403"/>
      <c r="AN260" s="403" t="s">
        <v>8325</v>
      </c>
      <c r="AO260" s="403"/>
      <c r="AP260" s="403"/>
      <c r="AQ260" s="403"/>
      <c r="AR260" s="403"/>
      <c r="AS260" s="403"/>
      <c r="AT260" s="403"/>
      <c r="AU260" s="403"/>
      <c r="AV260" s="403"/>
      <c r="AW260" s="403"/>
      <c r="AX260" s="403"/>
      <c r="AY260" s="403"/>
      <c r="AZ260" s="403"/>
      <c r="BA260" s="403"/>
      <c r="BB260" s="403"/>
      <c r="BC260" s="403"/>
      <c r="BD260" s="403"/>
      <c r="BE260" s="403"/>
      <c r="BF260" s="403"/>
      <c r="BG260" s="403" t="s">
        <v>10933</v>
      </c>
      <c r="BH260" s="403"/>
      <c r="BI260" s="403"/>
      <c r="BJ260" s="403"/>
      <c r="BK260" s="403"/>
      <c r="BL260" s="403"/>
      <c r="BM260" s="403"/>
      <c r="BN260" s="403"/>
      <c r="BO260" s="403"/>
      <c r="BP260" s="403"/>
      <c r="BQ260" s="403"/>
      <c r="BR260" s="403"/>
      <c r="BS260" s="403"/>
      <c r="BT260" s="403"/>
      <c r="BU260" s="403"/>
      <c r="BV260" s="403"/>
      <c r="BW260" s="403"/>
      <c r="BX260" s="403"/>
      <c r="BY260" s="403"/>
      <c r="BZ260" s="403" t="s">
        <v>10934</v>
      </c>
      <c r="CA260" s="403"/>
      <c r="CB260" s="403"/>
      <c r="CC260" s="403"/>
      <c r="CD260" s="403"/>
      <c r="CE260" s="403"/>
      <c r="CF260" s="403"/>
      <c r="CG260" s="403"/>
      <c r="CH260" s="403"/>
      <c r="CI260" s="403"/>
      <c r="CJ260" s="403"/>
      <c r="CK260" s="403"/>
      <c r="CL260" s="403"/>
      <c r="CM260" s="403"/>
      <c r="CN260" s="403"/>
      <c r="CO260" s="403"/>
      <c r="CP260" s="403"/>
      <c r="CQ260" s="403"/>
      <c r="CR260" s="403"/>
      <c r="CS260" s="403" t="s">
        <v>10935</v>
      </c>
      <c r="CT260" s="403"/>
      <c r="CU260" s="403"/>
      <c r="CV260" s="403"/>
      <c r="CW260" s="403"/>
      <c r="CX260" s="403"/>
      <c r="CY260" s="403"/>
      <c r="CZ260" s="403"/>
      <c r="DA260" s="403"/>
      <c r="DB260" s="403"/>
      <c r="DC260" s="403"/>
      <c r="DD260" s="403"/>
      <c r="DE260" s="403"/>
      <c r="DF260" s="403"/>
      <c r="DG260" s="403"/>
      <c r="DH260" s="403"/>
      <c r="DI260" s="403"/>
      <c r="DJ260" s="403"/>
      <c r="DK260" s="403"/>
      <c r="DL260" s="403" t="s">
        <v>10936</v>
      </c>
      <c r="DM260" s="403"/>
      <c r="DN260" s="403"/>
      <c r="DO260" s="403"/>
      <c r="DP260" s="403"/>
      <c r="DQ260" s="403"/>
      <c r="DR260" s="403"/>
      <c r="DS260" s="403"/>
      <c r="DT260" s="403"/>
      <c r="DU260" s="403"/>
      <c r="DV260" s="403"/>
      <c r="DW260" s="403"/>
      <c r="DX260" s="403"/>
      <c r="DY260" s="403"/>
      <c r="DZ260" s="403"/>
      <c r="EA260" s="403"/>
      <c r="EB260" s="403"/>
      <c r="EC260" s="403"/>
      <c r="ED260" s="403"/>
      <c r="EE260" s="403" t="s">
        <v>8330</v>
      </c>
      <c r="EF260" s="403"/>
      <c r="EG260" s="403"/>
      <c r="EH260" s="403"/>
      <c r="EI260" s="403"/>
      <c r="EJ260" s="403"/>
      <c r="EK260" s="403"/>
      <c r="EL260" s="403"/>
      <c r="EM260" s="403"/>
      <c r="EN260" s="403"/>
      <c r="EO260" s="403"/>
      <c r="EP260" s="403"/>
      <c r="EQ260" s="403"/>
      <c r="ER260" s="403"/>
      <c r="ES260" s="403"/>
      <c r="ET260" s="403"/>
    </row>
    <row r="261" spans="1:150" s="281" customFormat="1" ht="13.5" thickBot="1" x14ac:dyDescent="0.25">
      <c r="D261" s="21" t="str">
        <f ca="1">IF(OFFSET(V261,0,Lang_Order*Lang__B4)="","",OFFSET(V261,0,Lang_Order*Lang__B4))</f>
        <v>Total (All Districts) Cold Storage - Operational Expenditures</v>
      </c>
      <c r="E261" s="20"/>
      <c r="F261" s="20"/>
      <c r="G261" s="20"/>
      <c r="H261" s="20"/>
      <c r="I261" s="20"/>
      <c r="J261" s="118" t="e">
        <f t="shared" ref="J261:O261" si="73">J37*SUM(J254:J260)</f>
        <v>#N/A</v>
      </c>
      <c r="K261" s="118" t="e">
        <f t="shared" si="73"/>
        <v>#N/A</v>
      </c>
      <c r="L261" s="118" t="e">
        <f t="shared" si="73"/>
        <v>#N/A</v>
      </c>
      <c r="M261" s="118" t="e">
        <f t="shared" si="73"/>
        <v>#N/A</v>
      </c>
      <c r="N261" s="118" t="e">
        <f t="shared" si="73"/>
        <v>#N/A</v>
      </c>
      <c r="O261" s="118" t="e">
        <f t="shared" si="73"/>
        <v>#N/A</v>
      </c>
      <c r="P261" s="118" t="e">
        <f>SUM(J261:O261)</f>
        <v>#N/A</v>
      </c>
      <c r="Q261" s="12" t="str">
        <f ca="1">IF(OFFSET(AI261,0,Lang_Order*Lang__B4)="","",OFFSET(AI261,0,Lang_Order*Lang__B4))</f>
        <v>For all the CCE equipment needed for COVID-19 vaccination, not just the newly purchased</v>
      </c>
      <c r="R261" s="403"/>
      <c r="S261" s="403"/>
      <c r="T261" s="403"/>
      <c r="U261" s="403"/>
      <c r="V261" s="403" t="s">
        <v>3616</v>
      </c>
      <c r="W261" s="403"/>
      <c r="X261" s="403"/>
      <c r="Y261" s="403"/>
      <c r="Z261" s="403"/>
      <c r="AA261" s="403"/>
      <c r="AB261" s="403"/>
      <c r="AC261" s="403"/>
      <c r="AD261" s="403"/>
      <c r="AE261" s="403"/>
      <c r="AF261" s="403"/>
      <c r="AG261" s="403"/>
      <c r="AH261" s="403"/>
      <c r="AI261" s="403" t="s">
        <v>3657</v>
      </c>
      <c r="AJ261" s="403"/>
      <c r="AK261" s="403"/>
      <c r="AL261" s="403"/>
      <c r="AM261" s="403"/>
      <c r="AN261" s="403"/>
      <c r="AO261" s="403" t="s">
        <v>11193</v>
      </c>
      <c r="AP261" s="403"/>
      <c r="AQ261" s="403"/>
      <c r="AR261" s="403"/>
      <c r="AS261" s="403"/>
      <c r="AT261" s="403"/>
      <c r="AU261" s="403"/>
      <c r="AV261" s="403"/>
      <c r="AW261" s="403"/>
      <c r="AX261" s="403"/>
      <c r="AY261" s="403"/>
      <c r="AZ261" s="403"/>
      <c r="BA261" s="403"/>
      <c r="BB261" s="564" t="s">
        <v>13509</v>
      </c>
      <c r="BC261" s="403"/>
      <c r="BD261" s="403"/>
      <c r="BE261" s="403"/>
      <c r="BF261" s="403"/>
      <c r="BG261" s="403"/>
      <c r="BH261" s="403" t="s">
        <v>11194</v>
      </c>
      <c r="BI261" s="403"/>
      <c r="BJ261" s="403"/>
      <c r="BK261" s="403"/>
      <c r="BL261" s="403"/>
      <c r="BM261" s="403"/>
      <c r="BN261" s="403"/>
      <c r="BO261" s="403"/>
      <c r="BP261" s="403"/>
      <c r="BQ261" s="403"/>
      <c r="BR261" s="403"/>
      <c r="BS261" s="403"/>
      <c r="BT261" s="403"/>
      <c r="BU261" s="564" t="s">
        <v>13510</v>
      </c>
      <c r="BV261" s="403"/>
      <c r="BW261" s="403"/>
      <c r="BX261" s="403"/>
      <c r="BY261" s="403"/>
      <c r="BZ261" s="403"/>
      <c r="CA261" s="403" t="s">
        <v>11195</v>
      </c>
      <c r="CB261" s="403"/>
      <c r="CC261" s="403"/>
      <c r="CD261" s="403"/>
      <c r="CE261" s="403"/>
      <c r="CF261" s="403"/>
      <c r="CG261" s="403"/>
      <c r="CH261" s="403"/>
      <c r="CI261" s="403"/>
      <c r="CJ261" s="403"/>
      <c r="CK261" s="403"/>
      <c r="CL261" s="403"/>
      <c r="CM261" s="403"/>
      <c r="CN261" s="403" t="s">
        <v>13511</v>
      </c>
      <c r="CO261" s="403"/>
      <c r="CP261" s="403"/>
      <c r="CQ261" s="403"/>
      <c r="CR261" s="403"/>
      <c r="CS261" s="403"/>
      <c r="CT261" s="403" t="s">
        <v>11196</v>
      </c>
      <c r="CU261" s="403"/>
      <c r="CV261" s="403"/>
      <c r="CW261" s="403"/>
      <c r="CX261" s="403"/>
      <c r="CY261" s="403"/>
      <c r="CZ261" s="403"/>
      <c r="DA261" s="403"/>
      <c r="DB261" s="403"/>
      <c r="DC261" s="403"/>
      <c r="DD261" s="403"/>
      <c r="DE261" s="403"/>
      <c r="DF261" s="403"/>
      <c r="DG261" s="403" t="s">
        <v>13512</v>
      </c>
      <c r="DH261" s="403"/>
      <c r="DI261" s="403"/>
      <c r="DJ261" s="403"/>
      <c r="DK261" s="403"/>
      <c r="DL261" s="403"/>
      <c r="DM261" s="403" t="s">
        <v>11074</v>
      </c>
      <c r="DN261" s="403"/>
      <c r="DO261" s="403"/>
      <c r="DP261" s="403"/>
      <c r="DQ261" s="403"/>
      <c r="DR261" s="403"/>
      <c r="DS261" s="403"/>
      <c r="DT261" s="403"/>
      <c r="DU261" s="403"/>
      <c r="DV261" s="403"/>
      <c r="DW261" s="403"/>
      <c r="DX261" s="403"/>
      <c r="DY261" s="403"/>
      <c r="DZ261" s="403" t="s">
        <v>13513</v>
      </c>
      <c r="EA261" s="403"/>
      <c r="EB261" s="403"/>
      <c r="EC261" s="403"/>
      <c r="ED261" s="403"/>
      <c r="EE261" s="403"/>
      <c r="EF261" s="403" t="s">
        <v>11197</v>
      </c>
      <c r="EG261" s="403"/>
      <c r="EH261" s="403"/>
      <c r="EI261" s="403"/>
      <c r="EJ261" s="403"/>
      <c r="EK261" s="403"/>
      <c r="EL261" s="403"/>
      <c r="EM261" s="403"/>
      <c r="EN261" s="403"/>
      <c r="EO261" s="403"/>
      <c r="EP261" s="403"/>
      <c r="EQ261" s="403"/>
      <c r="ER261" s="403"/>
      <c r="ES261" s="403" t="s">
        <v>13514</v>
      </c>
      <c r="ET261" s="403"/>
    </row>
    <row r="262" spans="1:150" s="281" customFormat="1" ht="13.5" thickTop="1" x14ac:dyDescent="0.2">
      <c r="R262" s="403"/>
      <c r="S262" s="403"/>
      <c r="T262" s="403"/>
      <c r="U262" s="403"/>
      <c r="V262" s="403"/>
      <c r="W262" s="403"/>
      <c r="X262" s="403"/>
      <c r="Y262" s="403"/>
      <c r="Z262" s="403"/>
      <c r="AA262" s="403"/>
      <c r="AB262" s="403"/>
      <c r="AC262" s="403"/>
      <c r="AD262" s="403"/>
      <c r="AE262" s="403"/>
      <c r="AF262" s="403"/>
      <c r="AG262" s="403"/>
      <c r="AH262" s="403"/>
      <c r="AI262" s="403"/>
      <c r="AJ262" s="403"/>
      <c r="AK262" s="403"/>
      <c r="AL262" s="403"/>
      <c r="AM262" s="403"/>
      <c r="AN262" s="403"/>
      <c r="AO262" s="403"/>
      <c r="AP262" s="403"/>
      <c r="AQ262" s="403"/>
      <c r="AR262" s="403"/>
      <c r="AS262" s="403"/>
      <c r="AT262" s="403"/>
      <c r="AU262" s="403"/>
      <c r="AV262" s="403"/>
      <c r="AW262" s="403"/>
      <c r="AX262" s="403"/>
      <c r="AY262" s="403"/>
      <c r="AZ262" s="403"/>
      <c r="BA262" s="403"/>
      <c r="BB262" s="403"/>
      <c r="BC262" s="403"/>
      <c r="BD262" s="403"/>
      <c r="BE262" s="403"/>
      <c r="BF262" s="403"/>
      <c r="BG262" s="403"/>
      <c r="BH262" s="403"/>
      <c r="BI262" s="403"/>
      <c r="BJ262" s="403"/>
      <c r="BK262" s="403"/>
      <c r="BL262" s="403"/>
      <c r="BM262" s="403"/>
      <c r="BN262" s="403"/>
      <c r="BO262" s="403"/>
      <c r="BP262" s="403"/>
      <c r="BQ262" s="403"/>
      <c r="BR262" s="403"/>
      <c r="BS262" s="403"/>
      <c r="BT262" s="403"/>
      <c r="BU262" s="403"/>
      <c r="BV262" s="403"/>
      <c r="BW262" s="403"/>
      <c r="BX262" s="403"/>
      <c r="BY262" s="403"/>
      <c r="BZ262" s="403"/>
      <c r="CA262" s="403"/>
      <c r="CB262" s="403"/>
      <c r="CC262" s="403"/>
      <c r="CD262" s="403"/>
      <c r="CE262" s="403"/>
      <c r="CF262" s="403"/>
      <c r="CG262" s="403"/>
      <c r="CH262" s="403"/>
      <c r="CI262" s="403"/>
      <c r="CJ262" s="403"/>
      <c r="CK262" s="403"/>
      <c r="CL262" s="403"/>
      <c r="CM262" s="403"/>
      <c r="CN262" s="403"/>
      <c r="CO262" s="403"/>
      <c r="CP262" s="403"/>
      <c r="CQ262" s="403"/>
      <c r="CR262" s="403"/>
      <c r="CS262" s="403"/>
      <c r="CT262" s="403"/>
      <c r="CU262" s="403"/>
      <c r="CV262" s="403"/>
      <c r="CW262" s="403"/>
      <c r="CX262" s="403"/>
      <c r="CY262" s="403"/>
      <c r="CZ262" s="403"/>
      <c r="DA262" s="403"/>
      <c r="DB262" s="403"/>
      <c r="DC262" s="403"/>
      <c r="DD262" s="403"/>
      <c r="DE262" s="403"/>
      <c r="DF262" s="403"/>
      <c r="DG262" s="403"/>
      <c r="DH262" s="403"/>
      <c r="DI262" s="403"/>
      <c r="DJ262" s="403"/>
      <c r="DK262" s="403"/>
      <c r="DL262" s="403"/>
      <c r="DM262" s="403"/>
      <c r="DN262" s="403"/>
      <c r="DO262" s="403"/>
      <c r="DP262" s="403"/>
      <c r="DQ262" s="403"/>
      <c r="DR262" s="403"/>
      <c r="DS262" s="403"/>
      <c r="DT262" s="403"/>
      <c r="DU262" s="403"/>
      <c r="DV262" s="403"/>
      <c r="DW262" s="403"/>
      <c r="DX262" s="403"/>
      <c r="DY262" s="403"/>
      <c r="DZ262" s="403"/>
      <c r="EA262" s="403"/>
      <c r="EB262" s="403"/>
      <c r="EC262" s="403"/>
      <c r="ED262" s="403"/>
      <c r="EE262" s="403"/>
      <c r="EF262" s="403"/>
      <c r="EG262" s="403"/>
      <c r="EH262" s="403"/>
      <c r="EI262" s="403"/>
      <c r="EJ262" s="403"/>
      <c r="EK262" s="403"/>
      <c r="EL262" s="403"/>
      <c r="EM262" s="403"/>
      <c r="EN262" s="403"/>
      <c r="EO262" s="403"/>
      <c r="EP262" s="403"/>
      <c r="EQ262" s="403"/>
      <c r="ER262" s="403"/>
      <c r="ES262" s="403"/>
      <c r="ET262" s="403"/>
    </row>
    <row r="263" spans="1:150" s="281" customFormat="1" ht="15" x14ac:dyDescent="0.25">
      <c r="B263" s="8" t="str">
        <f ca="1">IF(OFFSET(T263,0,Lang_Order*Lang__B4)="","",OFFSET(T263,0,Lang_Order*Lang__B4))</f>
        <v>B4.1.4 Fixed Sites with Cold Chain</v>
      </c>
      <c r="C263" s="19"/>
      <c r="D263" s="8"/>
      <c r="E263" s="8"/>
      <c r="F263" s="8"/>
      <c r="G263" s="8"/>
      <c r="H263" s="8"/>
      <c r="I263" s="8"/>
      <c r="J263" s="149" t="e">
        <f t="shared" ref="J263:O263" si="74">SUM(J316,J325)</f>
        <v>#N/A</v>
      </c>
      <c r="K263" s="149" t="e">
        <f t="shared" si="74"/>
        <v>#N/A</v>
      </c>
      <c r="L263" s="149" t="e">
        <f t="shared" si="74"/>
        <v>#N/A</v>
      </c>
      <c r="M263" s="149" t="e">
        <f t="shared" si="74"/>
        <v>#N/A</v>
      </c>
      <c r="N263" s="149" t="e">
        <f t="shared" si="74"/>
        <v>#N/A</v>
      </c>
      <c r="O263" s="149" t="e">
        <f t="shared" si="74"/>
        <v>#N/A</v>
      </c>
      <c r="P263" s="149" t="e">
        <f>SUM(J263:O263)</f>
        <v>#N/A</v>
      </c>
      <c r="Q263" s="42"/>
      <c r="R263" s="403"/>
      <c r="S263" s="403"/>
      <c r="T263" s="403" t="s">
        <v>3619</v>
      </c>
      <c r="U263" s="403"/>
      <c r="V263" s="403"/>
      <c r="W263" s="403"/>
      <c r="X263" s="403"/>
      <c r="Y263" s="403"/>
      <c r="Z263" s="403"/>
      <c r="AA263" s="403"/>
      <c r="AB263" s="403"/>
      <c r="AC263" s="403"/>
      <c r="AD263" s="403"/>
      <c r="AE263" s="403"/>
      <c r="AF263" s="403"/>
      <c r="AG263" s="403"/>
      <c r="AH263" s="403"/>
      <c r="AI263" s="403"/>
      <c r="AJ263" s="403"/>
      <c r="AK263" s="403"/>
      <c r="AL263" s="403"/>
      <c r="AM263" s="403" t="s">
        <v>11198</v>
      </c>
      <c r="AN263" s="403"/>
      <c r="AO263" s="403"/>
      <c r="AP263" s="403"/>
      <c r="AQ263" s="403"/>
      <c r="AR263" s="403"/>
      <c r="AS263" s="403"/>
      <c r="AT263" s="403"/>
      <c r="AU263" s="403"/>
      <c r="AV263" s="403"/>
      <c r="AW263" s="403"/>
      <c r="AX263" s="403"/>
      <c r="AY263" s="403"/>
      <c r="AZ263" s="403"/>
      <c r="BA263" s="403"/>
      <c r="BB263" s="403"/>
      <c r="BC263" s="403"/>
      <c r="BD263" s="403"/>
      <c r="BE263" s="403"/>
      <c r="BF263" s="403" t="s">
        <v>11199</v>
      </c>
      <c r="BG263" s="403"/>
      <c r="BH263" s="403"/>
      <c r="BI263" s="403"/>
      <c r="BJ263" s="403"/>
      <c r="BK263" s="403"/>
      <c r="BL263" s="403"/>
      <c r="BM263" s="403"/>
      <c r="BN263" s="403"/>
      <c r="BO263" s="403"/>
      <c r="BP263" s="403"/>
      <c r="BQ263" s="403"/>
      <c r="BR263" s="403"/>
      <c r="BS263" s="403"/>
      <c r="BT263" s="403"/>
      <c r="BU263" s="403"/>
      <c r="BV263" s="403"/>
      <c r="BW263" s="403"/>
      <c r="BX263" s="403"/>
      <c r="BY263" s="403" t="s">
        <v>11200</v>
      </c>
      <c r="BZ263" s="403"/>
      <c r="CA263" s="403"/>
      <c r="CB263" s="403"/>
      <c r="CC263" s="403"/>
      <c r="CD263" s="403"/>
      <c r="CE263" s="403"/>
      <c r="CF263" s="403"/>
      <c r="CG263" s="403"/>
      <c r="CH263" s="403"/>
      <c r="CI263" s="403"/>
      <c r="CJ263" s="403"/>
      <c r="CK263" s="403"/>
      <c r="CL263" s="403"/>
      <c r="CM263" s="403"/>
      <c r="CN263" s="403"/>
      <c r="CO263" s="403"/>
      <c r="CP263" s="403"/>
      <c r="CQ263" s="403"/>
      <c r="CR263" s="403" t="s">
        <v>11201</v>
      </c>
      <c r="CS263" s="403"/>
      <c r="CT263" s="403"/>
      <c r="CU263" s="403"/>
      <c r="CV263" s="403"/>
      <c r="CW263" s="403"/>
      <c r="CX263" s="403"/>
      <c r="CY263" s="403"/>
      <c r="CZ263" s="403"/>
      <c r="DA263" s="403"/>
      <c r="DB263" s="403"/>
      <c r="DC263" s="403"/>
      <c r="DD263" s="403"/>
      <c r="DE263" s="403"/>
      <c r="DF263" s="403"/>
      <c r="DG263" s="403"/>
      <c r="DH263" s="403"/>
      <c r="DI263" s="403"/>
      <c r="DJ263" s="403"/>
      <c r="DK263" s="403" t="s">
        <v>11202</v>
      </c>
      <c r="DL263" s="403"/>
      <c r="DM263" s="403"/>
      <c r="DN263" s="403"/>
      <c r="DO263" s="403"/>
      <c r="DP263" s="403"/>
      <c r="DQ263" s="403"/>
      <c r="DR263" s="403"/>
      <c r="DS263" s="403"/>
      <c r="DT263" s="403"/>
      <c r="DU263" s="403"/>
      <c r="DV263" s="403"/>
      <c r="DW263" s="403"/>
      <c r="DX263" s="403"/>
      <c r="DY263" s="403"/>
      <c r="DZ263" s="403"/>
      <c r="EA263" s="403"/>
      <c r="EB263" s="403"/>
      <c r="EC263" s="403"/>
      <c r="ED263" s="403" t="s">
        <v>11203</v>
      </c>
      <c r="EE263" s="403"/>
      <c r="EF263" s="403"/>
      <c r="EG263" s="403"/>
      <c r="EH263" s="403"/>
      <c r="EI263" s="403"/>
      <c r="EJ263" s="403"/>
      <c r="EK263" s="403"/>
      <c r="EL263" s="403"/>
      <c r="EM263" s="403"/>
      <c r="EN263" s="403"/>
      <c r="EO263" s="403"/>
      <c r="EP263" s="403"/>
      <c r="EQ263" s="403"/>
      <c r="ER263" s="403"/>
      <c r="ES263" s="403"/>
      <c r="ET263" s="403"/>
    </row>
    <row r="264" spans="1:150" s="281" customFormat="1" x14ac:dyDescent="0.2">
      <c r="B264" s="47" t="str">
        <f ca="1">IF(OFFSET(T264,0,Lang_Order*Lang__B4)="","",OFFSET(T264,0,Lang_Order*Lang__B4))</f>
        <v>Assumptions: User-defined proportion of districts on-grid vs solar. On-grid districts with user defined number of ice pack freezers</v>
      </c>
      <c r="R264" s="403"/>
      <c r="S264" s="403"/>
      <c r="T264" s="403" t="s">
        <v>3609</v>
      </c>
      <c r="U264" s="403"/>
      <c r="V264" s="403"/>
      <c r="W264" s="403"/>
      <c r="X264" s="403"/>
      <c r="Y264" s="403"/>
      <c r="Z264" s="403"/>
      <c r="AA264" s="403"/>
      <c r="AB264" s="403"/>
      <c r="AC264" s="403"/>
      <c r="AD264" s="403"/>
      <c r="AE264" s="403"/>
      <c r="AF264" s="403"/>
      <c r="AG264" s="403"/>
      <c r="AH264" s="403"/>
      <c r="AI264" s="403"/>
      <c r="AJ264" s="403"/>
      <c r="AK264" s="403"/>
      <c r="AL264" s="403"/>
      <c r="AM264" s="403" t="s">
        <v>11087</v>
      </c>
      <c r="AN264" s="403"/>
      <c r="AO264" s="403"/>
      <c r="AP264" s="403"/>
      <c r="AQ264" s="403"/>
      <c r="AR264" s="403"/>
      <c r="AS264" s="403"/>
      <c r="AT264" s="403"/>
      <c r="AU264" s="403"/>
      <c r="AV264" s="403"/>
      <c r="AW264" s="403"/>
      <c r="AX264" s="403"/>
      <c r="AY264" s="403"/>
      <c r="AZ264" s="403"/>
      <c r="BA264" s="403"/>
      <c r="BB264" s="403"/>
      <c r="BC264" s="403"/>
      <c r="BD264" s="403"/>
      <c r="BE264" s="403"/>
      <c r="BF264" s="403" t="s">
        <v>11204</v>
      </c>
      <c r="BG264" s="403"/>
      <c r="BH264" s="403"/>
      <c r="BI264" s="403"/>
      <c r="BJ264" s="403"/>
      <c r="BK264" s="403"/>
      <c r="BL264" s="403"/>
      <c r="BM264" s="403"/>
      <c r="BN264" s="403"/>
      <c r="BO264" s="403"/>
      <c r="BP264" s="403"/>
      <c r="BQ264" s="403"/>
      <c r="BR264" s="403"/>
      <c r="BS264" s="403"/>
      <c r="BT264" s="403"/>
      <c r="BU264" s="403"/>
      <c r="BV264" s="403"/>
      <c r="BW264" s="403"/>
      <c r="BX264" s="403"/>
      <c r="BY264" s="403" t="s">
        <v>11089</v>
      </c>
      <c r="BZ264" s="403"/>
      <c r="CA264" s="403"/>
      <c r="CB264" s="403"/>
      <c r="CC264" s="403"/>
      <c r="CD264" s="403"/>
      <c r="CE264" s="403"/>
      <c r="CF264" s="403"/>
      <c r="CG264" s="403"/>
      <c r="CH264" s="403"/>
      <c r="CI264" s="403"/>
      <c r="CJ264" s="403"/>
      <c r="CK264" s="403"/>
      <c r="CL264" s="403"/>
      <c r="CM264" s="403"/>
      <c r="CN264" s="403"/>
      <c r="CO264" s="403"/>
      <c r="CP264" s="403"/>
      <c r="CQ264" s="403"/>
      <c r="CR264" s="403" t="s">
        <v>11090</v>
      </c>
      <c r="CS264" s="403"/>
      <c r="CT264" s="403"/>
      <c r="CU264" s="403"/>
      <c r="CV264" s="403"/>
      <c r="CW264" s="403"/>
      <c r="CX264" s="403"/>
      <c r="CY264" s="403"/>
      <c r="CZ264" s="403"/>
      <c r="DA264" s="403"/>
      <c r="DB264" s="403"/>
      <c r="DC264" s="403"/>
      <c r="DD264" s="403"/>
      <c r="DE264" s="403"/>
      <c r="DF264" s="403"/>
      <c r="DG264" s="403"/>
      <c r="DH264" s="403"/>
      <c r="DI264" s="403"/>
      <c r="DJ264" s="403"/>
      <c r="DK264" s="403" t="s">
        <v>11091</v>
      </c>
      <c r="DL264" s="403"/>
      <c r="DM264" s="403"/>
      <c r="DN264" s="403" t="s">
        <v>11205</v>
      </c>
      <c r="DO264" s="403"/>
      <c r="DP264" s="403"/>
      <c r="DQ264" s="403"/>
      <c r="DR264" s="403"/>
      <c r="DS264" s="403"/>
      <c r="DT264" s="403"/>
      <c r="DU264" s="403"/>
      <c r="DV264" s="403"/>
      <c r="DW264" s="403"/>
      <c r="DX264" s="403"/>
      <c r="DY264" s="403"/>
      <c r="DZ264" s="403"/>
      <c r="EA264" s="403"/>
      <c r="EB264" s="403"/>
      <c r="EC264" s="403"/>
      <c r="ED264" s="403" t="s">
        <v>11092</v>
      </c>
      <c r="EE264" s="403"/>
      <c r="EF264" s="403"/>
      <c r="EG264" s="403"/>
      <c r="EH264" s="403"/>
      <c r="EI264" s="403"/>
      <c r="EJ264" s="403"/>
      <c r="EK264" s="403"/>
      <c r="EL264" s="403"/>
      <c r="EM264" s="403"/>
      <c r="EN264" s="403"/>
      <c r="EO264" s="403"/>
      <c r="EP264" s="403"/>
      <c r="EQ264" s="403"/>
      <c r="ER264" s="403"/>
      <c r="ES264" s="403"/>
      <c r="ET264" s="403"/>
    </row>
    <row r="265" spans="1:150" s="281" customFormat="1" x14ac:dyDescent="0.2">
      <c r="A265" s="350">
        <v>2</v>
      </c>
      <c r="B265" s="47"/>
      <c r="C265" s="370" t="str">
        <f ca="1">IF(OFFSET(U265,0,Lang_Order*Lang__B4)="","",OFFSET(U265,0,Lang_Order*Lang__B4))</f>
        <v>#of ice pack freezers per fixed site</v>
      </c>
      <c r="D265" s="35">
        <v>1</v>
      </c>
      <c r="J265" s="81">
        <v>1</v>
      </c>
      <c r="R265" s="403"/>
      <c r="S265" s="403"/>
      <c r="T265" s="403"/>
      <c r="U265" s="403" t="s">
        <v>3617</v>
      </c>
      <c r="V265" s="403"/>
      <c r="W265" s="403"/>
      <c r="X265" s="403"/>
      <c r="Y265" s="403"/>
      <c r="Z265" s="403"/>
      <c r="AA265" s="403"/>
      <c r="AB265" s="403"/>
      <c r="AC265" s="403"/>
      <c r="AD265" s="403"/>
      <c r="AE265" s="403"/>
      <c r="AF265" s="403"/>
      <c r="AG265" s="403"/>
      <c r="AH265" s="403"/>
      <c r="AI265" s="403"/>
      <c r="AJ265" s="403"/>
      <c r="AK265" s="403"/>
      <c r="AL265" s="403"/>
      <c r="AM265" s="403"/>
      <c r="AN265" s="403" t="s">
        <v>10960</v>
      </c>
      <c r="AO265" s="403"/>
      <c r="AP265" s="403"/>
      <c r="AQ265" s="403"/>
      <c r="AR265" s="403"/>
      <c r="AS265" s="403"/>
      <c r="AT265" s="403"/>
      <c r="AU265" s="403"/>
      <c r="AV265" s="403"/>
      <c r="AW265" s="403"/>
      <c r="AX265" s="403"/>
      <c r="AY265" s="403"/>
      <c r="AZ265" s="403"/>
      <c r="BA265" s="403"/>
      <c r="BB265" s="403"/>
      <c r="BC265" s="403"/>
      <c r="BD265" s="403"/>
      <c r="BE265" s="403"/>
      <c r="BF265" s="403"/>
      <c r="BG265" s="403" t="s">
        <v>11206</v>
      </c>
      <c r="BH265" s="403"/>
      <c r="BI265" s="403"/>
      <c r="BJ265" s="403"/>
      <c r="BK265" s="403"/>
      <c r="BL265" s="403"/>
      <c r="BM265" s="403"/>
      <c r="BN265" s="403"/>
      <c r="BO265" s="403"/>
      <c r="BP265" s="403"/>
      <c r="BQ265" s="403"/>
      <c r="BR265" s="403"/>
      <c r="BS265" s="403"/>
      <c r="BT265" s="403"/>
      <c r="BU265" s="403"/>
      <c r="BV265" s="403"/>
      <c r="BW265" s="403"/>
      <c r="BX265" s="403"/>
      <c r="BY265" s="403"/>
      <c r="BZ265" s="403" t="s">
        <v>11207</v>
      </c>
      <c r="CA265" s="403"/>
      <c r="CB265" s="403"/>
      <c r="CC265" s="403"/>
      <c r="CD265" s="403"/>
      <c r="CE265" s="403"/>
      <c r="CF265" s="403"/>
      <c r="CG265" s="403"/>
      <c r="CH265" s="403"/>
      <c r="CI265" s="403"/>
      <c r="CJ265" s="403"/>
      <c r="CK265" s="403"/>
      <c r="CL265" s="403"/>
      <c r="CM265" s="403"/>
      <c r="CN265" s="403"/>
      <c r="CO265" s="403"/>
      <c r="CP265" s="403"/>
      <c r="CQ265" s="403"/>
      <c r="CR265" s="403"/>
      <c r="CS265" s="403" t="s">
        <v>11208</v>
      </c>
      <c r="CT265" s="403"/>
      <c r="CU265" s="403"/>
      <c r="CV265" s="403"/>
      <c r="CW265" s="403"/>
      <c r="CX265" s="403"/>
      <c r="CY265" s="403"/>
      <c r="CZ265" s="403"/>
      <c r="DA265" s="403"/>
      <c r="DB265" s="403"/>
      <c r="DC265" s="403"/>
      <c r="DD265" s="403"/>
      <c r="DE265" s="403"/>
      <c r="DF265" s="403"/>
      <c r="DG265" s="403"/>
      <c r="DH265" s="403"/>
      <c r="DI265" s="403"/>
      <c r="DJ265" s="403"/>
      <c r="DK265" s="403"/>
      <c r="DL265" s="403" t="s">
        <v>11209</v>
      </c>
      <c r="DM265" s="403"/>
      <c r="DN265" s="403"/>
      <c r="DO265" s="403"/>
      <c r="DP265" s="403"/>
      <c r="DQ265" s="403"/>
      <c r="DR265" s="403"/>
      <c r="DS265" s="403"/>
      <c r="DT265" s="403"/>
      <c r="DU265" s="403"/>
      <c r="DV265" s="403"/>
      <c r="DW265" s="403"/>
      <c r="DX265" s="403"/>
      <c r="DY265" s="403"/>
      <c r="DZ265" s="403"/>
      <c r="EA265" s="403"/>
      <c r="EB265" s="403"/>
      <c r="EC265" s="403"/>
      <c r="ED265" s="403"/>
      <c r="EE265" s="403" t="s">
        <v>11210</v>
      </c>
      <c r="EF265" s="403"/>
      <c r="EG265" s="403"/>
      <c r="EH265" s="403"/>
      <c r="EI265" s="403"/>
      <c r="EJ265" s="403"/>
      <c r="EK265" s="403"/>
      <c r="EL265" s="403"/>
      <c r="EM265" s="403"/>
      <c r="EN265" s="403"/>
      <c r="EO265" s="403"/>
      <c r="EP265" s="403"/>
      <c r="EQ265" s="403"/>
      <c r="ER265" s="403"/>
      <c r="ES265" s="403"/>
      <c r="ET265" s="403"/>
    </row>
    <row r="266" spans="1:150" s="281" customFormat="1" x14ac:dyDescent="0.2">
      <c r="B266" s="47"/>
      <c r="C266" s="370" t="str">
        <f ca="1">IF(OFFSET(U266,0,Lang_Order*Lang__B4)="","",OFFSET(U266,0,Lang_Order*Lang__B4))</f>
        <v>Fixed sites requiring SDD - off-grid</v>
      </c>
      <c r="D266" s="3">
        <f>ROUNDUP(Pop_HCW_CS_Sites*ColdChain_SDD_Proportion,0)</f>
        <v>0</v>
      </c>
      <c r="R266" s="403"/>
      <c r="S266" s="403"/>
      <c r="T266" s="403"/>
      <c r="U266" s="403" t="s">
        <v>3618</v>
      </c>
      <c r="V266" s="403"/>
      <c r="W266" s="403"/>
      <c r="X266" s="403"/>
      <c r="Y266" s="403"/>
      <c r="Z266" s="403"/>
      <c r="AA266" s="403"/>
      <c r="AB266" s="403"/>
      <c r="AC266" s="403"/>
      <c r="AD266" s="403"/>
      <c r="AE266" s="403"/>
      <c r="AF266" s="403"/>
      <c r="AG266" s="403"/>
      <c r="AH266" s="403"/>
      <c r="AI266" s="403"/>
      <c r="AJ266" s="403"/>
      <c r="AK266" s="403"/>
      <c r="AL266" s="403"/>
      <c r="AM266" s="403"/>
      <c r="AN266" s="403" t="s">
        <v>11098</v>
      </c>
      <c r="AO266" s="403"/>
      <c r="AP266" s="403"/>
      <c r="AQ266" s="403"/>
      <c r="AR266" s="403"/>
      <c r="AS266" s="403"/>
      <c r="AT266" s="403"/>
      <c r="AU266" s="403"/>
      <c r="AV266" s="403"/>
      <c r="AW266" s="403"/>
      <c r="AX266" s="403"/>
      <c r="AY266" s="403"/>
      <c r="AZ266" s="403"/>
      <c r="BA266" s="403"/>
      <c r="BB266" s="403"/>
      <c r="BC266" s="403"/>
      <c r="BD266" s="403"/>
      <c r="BE266" s="403"/>
      <c r="BF266" s="403"/>
      <c r="BG266" s="403" t="s">
        <v>11211</v>
      </c>
      <c r="BH266" s="403"/>
      <c r="BI266" s="403"/>
      <c r="BJ266" s="403"/>
      <c r="BK266" s="403"/>
      <c r="BL266" s="403"/>
      <c r="BM266" s="403"/>
      <c r="BN266" s="403"/>
      <c r="BO266" s="403"/>
      <c r="BP266" s="403"/>
      <c r="BQ266" s="403"/>
      <c r="BR266" s="403"/>
      <c r="BS266" s="403"/>
      <c r="BT266" s="403"/>
      <c r="BU266" s="403"/>
      <c r="BV266" s="403"/>
      <c r="BW266" s="403"/>
      <c r="BX266" s="403"/>
      <c r="BY266" s="403"/>
      <c r="BZ266" s="403" t="s">
        <v>11212</v>
      </c>
      <c r="CA266" s="403"/>
      <c r="CB266" s="403"/>
      <c r="CC266" s="403"/>
      <c r="CD266" s="403"/>
      <c r="CE266" s="403"/>
      <c r="CF266" s="403"/>
      <c r="CG266" s="403"/>
      <c r="CH266" s="403"/>
      <c r="CI266" s="403"/>
      <c r="CJ266" s="403"/>
      <c r="CK266" s="403"/>
      <c r="CL266" s="403"/>
      <c r="CM266" s="403"/>
      <c r="CN266" s="403"/>
      <c r="CO266" s="403"/>
      <c r="CP266" s="403"/>
      <c r="CQ266" s="403"/>
      <c r="CR266" s="403"/>
      <c r="CS266" s="403" t="s">
        <v>11213</v>
      </c>
      <c r="CT266" s="403"/>
      <c r="CU266" s="403"/>
      <c r="CV266" s="403"/>
      <c r="CW266" s="403"/>
      <c r="CX266" s="403"/>
      <c r="CY266" s="403"/>
      <c r="CZ266" s="403"/>
      <c r="DA266" s="403"/>
      <c r="DB266" s="403"/>
      <c r="DC266" s="403"/>
      <c r="DD266" s="403"/>
      <c r="DE266" s="403"/>
      <c r="DF266" s="403"/>
      <c r="DG266" s="403"/>
      <c r="DH266" s="403"/>
      <c r="DI266" s="403"/>
      <c r="DJ266" s="403"/>
      <c r="DK266" s="403"/>
      <c r="DL266" s="403" t="s">
        <v>11214</v>
      </c>
      <c r="DM266" s="403"/>
      <c r="DN266" s="403"/>
      <c r="DO266" s="403"/>
      <c r="DP266" s="403"/>
      <c r="DQ266" s="403"/>
      <c r="DR266" s="403"/>
      <c r="DS266" s="403"/>
      <c r="DT266" s="403"/>
      <c r="DU266" s="403"/>
      <c r="DV266" s="403"/>
      <c r="DW266" s="403"/>
      <c r="DX266" s="403"/>
      <c r="DY266" s="403"/>
      <c r="DZ266" s="403"/>
      <c r="EA266" s="403"/>
      <c r="EB266" s="403"/>
      <c r="EC266" s="403"/>
      <c r="ED266" s="403"/>
      <c r="EE266" s="403" t="s">
        <v>11215</v>
      </c>
      <c r="EF266" s="403"/>
      <c r="EG266" s="403"/>
      <c r="EH266" s="403"/>
      <c r="EI266" s="403"/>
      <c r="EJ266" s="403"/>
      <c r="EK266" s="403"/>
      <c r="EL266" s="403"/>
      <c r="EM266" s="403"/>
      <c r="EN266" s="403"/>
      <c r="EO266" s="403"/>
      <c r="EP266" s="403"/>
      <c r="EQ266" s="403"/>
      <c r="ER266" s="403"/>
      <c r="ES266" s="403"/>
      <c r="ET266" s="403"/>
    </row>
    <row r="267" spans="1:150" s="281" customFormat="1" x14ac:dyDescent="0.2">
      <c r="C267" s="5" t="str">
        <f ca="1">IF(OFFSET(U267,0,Lang_Order*Lang__B4)="","",OFFSET(U267,0,Lang_Order*Lang__B4))</f>
        <v>Fixed Sites - on-grid</v>
      </c>
      <c r="D267" s="3">
        <f>Pop_HCW_CS_Sites-D266</f>
        <v>0</v>
      </c>
      <c r="R267" s="403"/>
      <c r="S267" s="403"/>
      <c r="T267" s="403"/>
      <c r="U267" s="403" t="s">
        <v>3625</v>
      </c>
      <c r="V267" s="403"/>
      <c r="W267" s="403"/>
      <c r="X267" s="403"/>
      <c r="Y267" s="403"/>
      <c r="Z267" s="403"/>
      <c r="AA267" s="403"/>
      <c r="AB267" s="403"/>
      <c r="AC267" s="403"/>
      <c r="AD267" s="403"/>
      <c r="AE267" s="403"/>
      <c r="AF267" s="403"/>
      <c r="AG267" s="403"/>
      <c r="AH267" s="403"/>
      <c r="AI267" s="403"/>
      <c r="AJ267" s="403"/>
      <c r="AK267" s="403"/>
      <c r="AL267" s="403"/>
      <c r="AM267" s="403"/>
      <c r="AN267" s="403" t="s">
        <v>11104</v>
      </c>
      <c r="AO267" s="403"/>
      <c r="AP267" s="403"/>
      <c r="AQ267" s="403"/>
      <c r="AR267" s="403"/>
      <c r="AS267" s="403"/>
      <c r="AT267" s="403"/>
      <c r="AU267" s="403"/>
      <c r="AV267" s="403"/>
      <c r="AW267" s="403"/>
      <c r="AX267" s="403"/>
      <c r="AY267" s="403"/>
      <c r="AZ267" s="403"/>
      <c r="BA267" s="403"/>
      <c r="BB267" s="403"/>
      <c r="BC267" s="403"/>
      <c r="BD267" s="403"/>
      <c r="BE267" s="403"/>
      <c r="BF267" s="403"/>
      <c r="BG267" s="403" t="s">
        <v>11216</v>
      </c>
      <c r="BH267" s="403"/>
      <c r="BI267" s="403"/>
      <c r="BJ267" s="403"/>
      <c r="BK267" s="403"/>
      <c r="BL267" s="403"/>
      <c r="BM267" s="403"/>
      <c r="BN267" s="403"/>
      <c r="BO267" s="403"/>
      <c r="BP267" s="403"/>
      <c r="BQ267" s="403"/>
      <c r="BR267" s="403"/>
      <c r="BS267" s="403"/>
      <c r="BT267" s="403"/>
      <c r="BU267" s="403"/>
      <c r="BV267" s="403"/>
      <c r="BW267" s="403"/>
      <c r="BX267" s="403"/>
      <c r="BY267" s="403"/>
      <c r="BZ267" s="403" t="s">
        <v>11217</v>
      </c>
      <c r="CA267" s="403"/>
      <c r="CB267" s="403"/>
      <c r="CC267" s="403"/>
      <c r="CD267" s="403"/>
      <c r="CE267" s="403"/>
      <c r="CF267" s="403"/>
      <c r="CG267" s="403"/>
      <c r="CH267" s="403"/>
      <c r="CI267" s="403"/>
      <c r="CJ267" s="403"/>
      <c r="CK267" s="403"/>
      <c r="CL267" s="403"/>
      <c r="CM267" s="403"/>
      <c r="CN267" s="403"/>
      <c r="CO267" s="403"/>
      <c r="CP267" s="403"/>
      <c r="CQ267" s="403"/>
      <c r="CR267" s="403"/>
      <c r="CS267" s="403" t="s">
        <v>11218</v>
      </c>
      <c r="CT267" s="403"/>
      <c r="CU267" s="403"/>
      <c r="CV267" s="403"/>
      <c r="CW267" s="403"/>
      <c r="CX267" s="403"/>
      <c r="CY267" s="403"/>
      <c r="CZ267" s="403"/>
      <c r="DA267" s="403"/>
      <c r="DB267" s="403"/>
      <c r="DC267" s="403"/>
      <c r="DD267" s="403"/>
      <c r="DE267" s="403"/>
      <c r="DF267" s="403"/>
      <c r="DG267" s="403"/>
      <c r="DH267" s="403"/>
      <c r="DI267" s="403"/>
      <c r="DJ267" s="403"/>
      <c r="DK267" s="403"/>
      <c r="DL267" s="403" t="s">
        <v>11219</v>
      </c>
      <c r="DM267" s="403"/>
      <c r="DN267" s="403"/>
      <c r="DO267" s="403"/>
      <c r="DP267" s="403"/>
      <c r="DQ267" s="403"/>
      <c r="DR267" s="403"/>
      <c r="DS267" s="403"/>
      <c r="DT267" s="403"/>
      <c r="DU267" s="403"/>
      <c r="DV267" s="403"/>
      <c r="DW267" s="403"/>
      <c r="DX267" s="403"/>
      <c r="DY267" s="403"/>
      <c r="DZ267" s="403"/>
      <c r="EA267" s="403"/>
      <c r="EB267" s="403"/>
      <c r="EC267" s="403"/>
      <c r="ED267" s="403"/>
      <c r="EE267" s="403" t="s">
        <v>11220</v>
      </c>
      <c r="EF267" s="403"/>
      <c r="EG267" s="403"/>
      <c r="EH267" s="403"/>
      <c r="EI267" s="403"/>
      <c r="EJ267" s="403"/>
      <c r="EK267" s="403"/>
      <c r="EL267" s="403"/>
      <c r="EM267" s="403"/>
      <c r="EN267" s="403"/>
      <c r="EO267" s="403"/>
      <c r="EP267" s="403"/>
      <c r="EQ267" s="403"/>
      <c r="ER267" s="403"/>
      <c r="ES267" s="403"/>
      <c r="ET267" s="403"/>
    </row>
    <row r="268" spans="1:150" s="281" customFormat="1" ht="15" x14ac:dyDescent="0.25">
      <c r="A268" s="567"/>
      <c r="C268" s="503"/>
      <c r="D268" s="503"/>
      <c r="J268" s="292" t="str">
        <f t="shared" ref="J268:P268" ca="1" si="75">IF(OFFSET(AB268,0,Lang_Order*Lang__B4)="","",OFFSET(AB268,0,Lang_Order*Lang__B4))</f>
        <v>H1 2021</v>
      </c>
      <c r="K268" s="292" t="str">
        <f t="shared" ca="1" si="75"/>
        <v>H2 2021</v>
      </c>
      <c r="L268" s="292" t="str">
        <f t="shared" ca="1" si="75"/>
        <v>H1 2022</v>
      </c>
      <c r="M268" s="292" t="str">
        <f t="shared" ca="1" si="75"/>
        <v>H2 2022</v>
      </c>
      <c r="N268" s="292" t="str">
        <f t="shared" ca="1" si="75"/>
        <v>H1 2023</v>
      </c>
      <c r="O268" s="292" t="str">
        <f t="shared" ca="1" si="75"/>
        <v>H2 2023</v>
      </c>
      <c r="P268" s="177" t="str">
        <f t="shared" ca="1" si="75"/>
        <v>Peak in Average Fixed Site</v>
      </c>
      <c r="R268" s="403"/>
      <c r="S268" s="403"/>
      <c r="T268" s="403"/>
      <c r="U268" s="403" t="s">
        <v>3219</v>
      </c>
      <c r="V268" s="403"/>
      <c r="W268" s="403"/>
      <c r="X268" s="403"/>
      <c r="Y268" s="403"/>
      <c r="Z268" s="403"/>
      <c r="AA268" s="403"/>
      <c r="AB268" s="403" t="s">
        <v>1597</v>
      </c>
      <c r="AC268" s="403" t="s">
        <v>1598</v>
      </c>
      <c r="AD268" s="403" t="s">
        <v>1599</v>
      </c>
      <c r="AE268" s="403" t="s">
        <v>1600</v>
      </c>
      <c r="AF268" s="403" t="s">
        <v>1602</v>
      </c>
      <c r="AG268" s="403" t="s">
        <v>1601</v>
      </c>
      <c r="AH268" s="403" t="s">
        <v>3622</v>
      </c>
      <c r="AI268" s="403"/>
      <c r="AJ268" s="403"/>
      <c r="AK268" s="403"/>
      <c r="AL268" s="403"/>
      <c r="AM268" s="403"/>
      <c r="AN268" s="403" t="s">
        <v>11110</v>
      </c>
      <c r="AO268" s="403"/>
      <c r="AP268" s="403"/>
      <c r="AQ268" s="403"/>
      <c r="AR268" s="403"/>
      <c r="AS268" s="403"/>
      <c r="AT268" s="403"/>
      <c r="AU268" s="403" t="s">
        <v>4663</v>
      </c>
      <c r="AV268" s="403" t="s">
        <v>4664</v>
      </c>
      <c r="AW268" s="403" t="s">
        <v>4665</v>
      </c>
      <c r="AX268" s="403" t="s">
        <v>4666</v>
      </c>
      <c r="AY268" s="403" t="s">
        <v>4667</v>
      </c>
      <c r="AZ268" s="403" t="s">
        <v>4668</v>
      </c>
      <c r="BA268" s="403" t="s">
        <v>11221</v>
      </c>
      <c r="BB268" s="403"/>
      <c r="BC268" s="403"/>
      <c r="BD268" s="403"/>
      <c r="BE268" s="403"/>
      <c r="BF268" s="403"/>
      <c r="BG268" s="403" t="s">
        <v>11222</v>
      </c>
      <c r="BH268" s="403"/>
      <c r="BI268" s="403"/>
      <c r="BJ268" s="403"/>
      <c r="BK268" s="403"/>
      <c r="BL268" s="403"/>
      <c r="BM268" s="403"/>
      <c r="BN268" s="403" t="s">
        <v>4670</v>
      </c>
      <c r="BO268" s="403" t="s">
        <v>4671</v>
      </c>
      <c r="BP268" s="403" t="s">
        <v>4672</v>
      </c>
      <c r="BQ268" s="403" t="s">
        <v>4673</v>
      </c>
      <c r="BR268" s="403" t="s">
        <v>4674</v>
      </c>
      <c r="BS268" s="403" t="s">
        <v>4675</v>
      </c>
      <c r="BT268" s="403" t="s">
        <v>11223</v>
      </c>
      <c r="BU268" s="403"/>
      <c r="BV268" s="403"/>
      <c r="BW268" s="403"/>
      <c r="BX268" s="403"/>
      <c r="BY268" s="403"/>
      <c r="BZ268" s="403" t="s">
        <v>11114</v>
      </c>
      <c r="CA268" s="403"/>
      <c r="CB268" s="403"/>
      <c r="CC268" s="403"/>
      <c r="CD268" s="403"/>
      <c r="CE268" s="403"/>
      <c r="CF268" s="403"/>
      <c r="CG268" s="403" t="s">
        <v>1597</v>
      </c>
      <c r="CH268" s="403" t="s">
        <v>1598</v>
      </c>
      <c r="CI268" s="403" t="s">
        <v>1599</v>
      </c>
      <c r="CJ268" s="403" t="s">
        <v>1600</v>
      </c>
      <c r="CK268" s="403" t="s">
        <v>1602</v>
      </c>
      <c r="CL268" s="403" t="s">
        <v>1601</v>
      </c>
      <c r="CM268" s="403" t="s">
        <v>11224</v>
      </c>
      <c r="CN268" s="403"/>
      <c r="CO268" s="403"/>
      <c r="CP268" s="403"/>
      <c r="CQ268" s="403"/>
      <c r="CR268" s="403"/>
      <c r="CS268" s="403" t="s">
        <v>11116</v>
      </c>
      <c r="CT268" s="403"/>
      <c r="CU268" s="403"/>
      <c r="CV268" s="403"/>
      <c r="CW268" s="403"/>
      <c r="CX268" s="403"/>
      <c r="CY268" s="403"/>
      <c r="CZ268" s="403" t="s">
        <v>4663</v>
      </c>
      <c r="DA268" s="403" t="s">
        <v>4664</v>
      </c>
      <c r="DB268" s="403" t="s">
        <v>4665</v>
      </c>
      <c r="DC268" s="403" t="s">
        <v>4666</v>
      </c>
      <c r="DD268" s="403" t="s">
        <v>4667</v>
      </c>
      <c r="DE268" s="403" t="s">
        <v>4668</v>
      </c>
      <c r="DF268" s="403" t="s">
        <v>11225</v>
      </c>
      <c r="DG268" s="403"/>
      <c r="DH268" s="403"/>
      <c r="DI268" s="403"/>
      <c r="DJ268" s="403"/>
      <c r="DK268" s="403"/>
      <c r="DL268" s="403" t="s">
        <v>11118</v>
      </c>
      <c r="DM268" s="403"/>
      <c r="DN268" s="403"/>
      <c r="DO268" s="403"/>
      <c r="DP268" s="403"/>
      <c r="DQ268" s="403"/>
      <c r="DR268" s="403"/>
      <c r="DS268" s="403" t="s">
        <v>4680</v>
      </c>
      <c r="DT268" s="403" t="s">
        <v>4681</v>
      </c>
      <c r="DU268" s="403" t="s">
        <v>4682</v>
      </c>
      <c r="DV268" s="403" t="s">
        <v>4683</v>
      </c>
      <c r="DW268" s="403" t="s">
        <v>4684</v>
      </c>
      <c r="DX268" s="403" t="s">
        <v>4685</v>
      </c>
      <c r="DY268" s="403" t="s">
        <v>11226</v>
      </c>
      <c r="DZ268" s="403"/>
      <c r="EA268" s="403"/>
      <c r="EB268" s="403"/>
      <c r="EC268" s="403"/>
      <c r="ED268" s="403"/>
      <c r="EE268" s="403" t="s">
        <v>11119</v>
      </c>
      <c r="EF268" s="403"/>
      <c r="EG268" s="403"/>
      <c r="EH268" s="403"/>
      <c r="EI268" s="403"/>
      <c r="EJ268" s="403"/>
      <c r="EK268" s="403"/>
      <c r="EL268" s="403" t="s">
        <v>4688</v>
      </c>
      <c r="EM268" s="403" t="s">
        <v>4689</v>
      </c>
      <c r="EN268" s="403" t="s">
        <v>4690</v>
      </c>
      <c r="EO268" s="403" t="s">
        <v>4691</v>
      </c>
      <c r="EP268" s="403" t="s">
        <v>4692</v>
      </c>
      <c r="EQ268" s="403" t="s">
        <v>4693</v>
      </c>
      <c r="ER268" s="403" t="s">
        <v>11227</v>
      </c>
      <c r="ES268" s="403"/>
      <c r="ET268" s="403"/>
    </row>
    <row r="269" spans="1:150" s="299" customFormat="1" x14ac:dyDescent="0.2">
      <c r="B269" s="51" t="str">
        <f ca="1">IF(OFFSET(T269,0,Lang_Order*Lang__B4)="","",OFFSET(T269,0,Lang_Order*Lang__B4))</f>
        <v>Volume of COVID-19 vaccines in secondary packaging (liters) per Shipment, incl. buffer [PER FIXED SITE]</v>
      </c>
      <c r="R269" s="403"/>
      <c r="S269" s="403"/>
      <c r="T269" s="403" t="s">
        <v>3628</v>
      </c>
      <c r="U269" s="403"/>
      <c r="V269" s="403"/>
      <c r="W269" s="403"/>
      <c r="X269" s="403"/>
      <c r="Y269" s="403"/>
      <c r="Z269" s="403"/>
      <c r="AA269" s="403"/>
      <c r="AB269" s="403"/>
      <c r="AC269" s="403"/>
      <c r="AD269" s="403"/>
      <c r="AE269" s="403"/>
      <c r="AF269" s="403"/>
      <c r="AG269" s="403"/>
      <c r="AH269" s="403"/>
      <c r="AI269" s="403"/>
      <c r="AJ269" s="403"/>
      <c r="AK269" s="403"/>
      <c r="AL269" s="403"/>
      <c r="AM269" s="403" t="s">
        <v>11228</v>
      </c>
      <c r="AN269" s="403"/>
      <c r="AO269" s="403"/>
      <c r="AP269" s="403"/>
      <c r="AQ269" s="403"/>
      <c r="AR269" s="403"/>
      <c r="AS269" s="403"/>
      <c r="AT269" s="403"/>
      <c r="AU269" s="403"/>
      <c r="AV269" s="403"/>
      <c r="AW269" s="403"/>
      <c r="AX269" s="403"/>
      <c r="AY269" s="403"/>
      <c r="AZ269" s="403"/>
      <c r="BA269" s="403"/>
      <c r="BB269" s="403"/>
      <c r="BC269" s="403"/>
      <c r="BD269" s="403"/>
      <c r="BE269" s="403"/>
      <c r="BF269" s="403" t="s">
        <v>11229</v>
      </c>
      <c r="BG269" s="403"/>
      <c r="BH269" s="403"/>
      <c r="BI269" s="403"/>
      <c r="BJ269" s="403"/>
      <c r="BK269" s="403"/>
      <c r="BL269" s="403"/>
      <c r="BM269" s="403"/>
      <c r="BN269" s="403"/>
      <c r="BO269" s="403"/>
      <c r="BP269" s="403"/>
      <c r="BQ269" s="403"/>
      <c r="BR269" s="403"/>
      <c r="BS269" s="403"/>
      <c r="BT269" s="403"/>
      <c r="BU269" s="403"/>
      <c r="BV269" s="403"/>
      <c r="BW269" s="403"/>
      <c r="BX269" s="403"/>
      <c r="BY269" s="403" t="s">
        <v>11230</v>
      </c>
      <c r="BZ269" s="403"/>
      <c r="CA269" s="403"/>
      <c r="CB269" s="403"/>
      <c r="CC269" s="403"/>
      <c r="CD269" s="403"/>
      <c r="CE269" s="403"/>
      <c r="CF269" s="403"/>
      <c r="CG269" s="403"/>
      <c r="CH269" s="403"/>
      <c r="CI269" s="403"/>
      <c r="CJ269" s="403"/>
      <c r="CK269" s="403"/>
      <c r="CL269" s="403"/>
      <c r="CM269" s="403"/>
      <c r="CN269" s="403"/>
      <c r="CO269" s="403"/>
      <c r="CP269" s="403"/>
      <c r="CQ269" s="403"/>
      <c r="CR269" s="403" t="s">
        <v>11231</v>
      </c>
      <c r="CS269" s="403"/>
      <c r="CT269" s="403"/>
      <c r="CU269" s="403"/>
      <c r="CV269" s="403"/>
      <c r="CW269" s="403"/>
      <c r="CX269" s="403"/>
      <c r="CY269" s="403"/>
      <c r="CZ269" s="403"/>
      <c r="DA269" s="403"/>
      <c r="DB269" s="403"/>
      <c r="DC269" s="403"/>
      <c r="DD269" s="403"/>
      <c r="DE269" s="403"/>
      <c r="DF269" s="403"/>
      <c r="DG269" s="403"/>
      <c r="DH269" s="403"/>
      <c r="DI269" s="403"/>
      <c r="DJ269" s="403"/>
      <c r="DK269" s="403" t="s">
        <v>11232</v>
      </c>
      <c r="DL269" s="403"/>
      <c r="DM269" s="403"/>
      <c r="DN269" s="403"/>
      <c r="DO269" s="403"/>
      <c r="DP269" s="403"/>
      <c r="DQ269" s="403"/>
      <c r="DR269" s="403"/>
      <c r="DS269" s="403"/>
      <c r="DT269" s="403"/>
      <c r="DU269" s="403"/>
      <c r="DV269" s="403"/>
      <c r="DW269" s="403"/>
      <c r="DX269" s="403"/>
      <c r="DY269" s="403"/>
      <c r="DZ269" s="403"/>
      <c r="EA269" s="403"/>
      <c r="EB269" s="403"/>
      <c r="EC269" s="403"/>
      <c r="ED269" s="403" t="s">
        <v>11233</v>
      </c>
      <c r="EE269" s="403"/>
      <c r="EF269" s="403"/>
      <c r="EG269" s="403"/>
      <c r="EH269" s="403"/>
      <c r="EI269" s="403"/>
      <c r="EJ269" s="403"/>
      <c r="EK269" s="403"/>
      <c r="EL269" s="403"/>
      <c r="EM269" s="403"/>
      <c r="EN269" s="403"/>
      <c r="EO269" s="403"/>
      <c r="EP269" s="403"/>
      <c r="EQ269" s="403"/>
      <c r="ER269" s="403"/>
      <c r="ES269" s="403"/>
      <c r="ET269" s="403"/>
    </row>
    <row r="270" spans="1:150" s="299" customFormat="1" x14ac:dyDescent="0.2">
      <c r="B270" s="34"/>
      <c r="C270" s="5"/>
      <c r="D270" s="2" t="str">
        <f ca="1">IF(OFFSET(V270,0,Lang_Order*Lang__B4)="","",OFFSET(V270,0,Lang_Order*Lang__B4))</f>
        <v>Cold storage requirements</v>
      </c>
      <c r="E270" s="2" t="s">
        <v>1542</v>
      </c>
      <c r="F270" s="90" t="str">
        <f ca="1">C277</f>
        <v>Room temperature</v>
      </c>
      <c r="G270" s="90" t="str">
        <f ca="1">C278</f>
        <v>Refrigerated (2 to 8C)</v>
      </c>
      <c r="H270" s="90" t="str">
        <f ca="1">C279</f>
        <v>Frozen (-20C)</v>
      </c>
      <c r="I270" s="90" t="e">
        <f>#REF!</f>
        <v>#REF!</v>
      </c>
      <c r="J270" s="16" t="s">
        <v>2642</v>
      </c>
      <c r="K270" s="16"/>
      <c r="L270" s="16"/>
      <c r="M270" s="16"/>
      <c r="N270" s="16"/>
      <c r="O270" s="16"/>
      <c r="P270" s="16"/>
      <c r="Q270" s="16"/>
      <c r="R270" s="403"/>
      <c r="S270" s="403"/>
      <c r="T270" s="403"/>
      <c r="U270" s="403"/>
      <c r="V270" s="403" t="s">
        <v>3194</v>
      </c>
      <c r="W270" s="403"/>
      <c r="X270" s="403"/>
      <c r="Y270" s="403"/>
      <c r="Z270" s="403"/>
      <c r="AA270" s="403"/>
      <c r="AB270" s="403" t="s">
        <v>2642</v>
      </c>
      <c r="AC270" s="403"/>
      <c r="AD270" s="403"/>
      <c r="AE270" s="403"/>
      <c r="AF270" s="403"/>
      <c r="AG270" s="403"/>
      <c r="AH270" s="403"/>
      <c r="AI270" s="403"/>
      <c r="AJ270" s="403"/>
      <c r="AK270" s="403"/>
      <c r="AL270" s="403"/>
      <c r="AM270" s="403"/>
      <c r="AN270" s="403"/>
      <c r="AO270" s="403" t="s">
        <v>10217</v>
      </c>
      <c r="AP270" s="403"/>
      <c r="AQ270" s="403"/>
      <c r="AR270" s="403"/>
      <c r="AS270" s="403"/>
      <c r="AT270" s="403"/>
      <c r="AU270" s="403"/>
      <c r="AV270" s="403"/>
      <c r="AW270" s="403"/>
      <c r="AX270" s="403"/>
      <c r="AY270" s="403"/>
      <c r="AZ270" s="403"/>
      <c r="BA270" s="403"/>
      <c r="BB270" s="403"/>
      <c r="BC270" s="403"/>
      <c r="BD270" s="403"/>
      <c r="BE270" s="403"/>
      <c r="BF270" s="403"/>
      <c r="BG270" s="403"/>
      <c r="BH270" s="403" t="s">
        <v>10791</v>
      </c>
      <c r="BI270" s="403"/>
      <c r="BJ270" s="403"/>
      <c r="BK270" s="403"/>
      <c r="BL270" s="403"/>
      <c r="BM270" s="403"/>
      <c r="BN270" s="403"/>
      <c r="BO270" s="403"/>
      <c r="BP270" s="403"/>
      <c r="BQ270" s="403"/>
      <c r="BR270" s="403"/>
      <c r="BS270" s="403"/>
      <c r="BT270" s="403"/>
      <c r="BU270" s="403"/>
      <c r="BV270" s="403"/>
      <c r="BW270" s="403"/>
      <c r="BX270" s="403"/>
      <c r="BY270" s="403"/>
      <c r="BZ270" s="403"/>
      <c r="CA270" s="403" t="s">
        <v>5766</v>
      </c>
      <c r="CB270" s="403"/>
      <c r="CC270" s="403"/>
      <c r="CD270" s="403"/>
      <c r="CE270" s="403"/>
      <c r="CF270" s="403"/>
      <c r="CG270" s="403"/>
      <c r="CH270" s="403"/>
      <c r="CI270" s="403"/>
      <c r="CJ270" s="403"/>
      <c r="CK270" s="403"/>
      <c r="CL270" s="403"/>
      <c r="CM270" s="403"/>
      <c r="CN270" s="403"/>
      <c r="CO270" s="403"/>
      <c r="CP270" s="403"/>
      <c r="CQ270" s="403"/>
      <c r="CR270" s="403"/>
      <c r="CS270" s="403"/>
      <c r="CT270" s="403" t="s">
        <v>10242</v>
      </c>
      <c r="CU270" s="403"/>
      <c r="CV270" s="403"/>
      <c r="CW270" s="403"/>
      <c r="CX270" s="403"/>
      <c r="CY270" s="403"/>
      <c r="CZ270" s="403" t="s">
        <v>10788</v>
      </c>
      <c r="DA270" s="403"/>
      <c r="DB270" s="403"/>
      <c r="DC270" s="403"/>
      <c r="DD270" s="403"/>
      <c r="DE270" s="403"/>
      <c r="DF270" s="403"/>
      <c r="DG270" s="403"/>
      <c r="DH270" s="403"/>
      <c r="DI270" s="403"/>
      <c r="DJ270" s="403"/>
      <c r="DK270" s="403"/>
      <c r="DL270" s="403"/>
      <c r="DM270" s="403" t="s">
        <v>10246</v>
      </c>
      <c r="DN270" s="403"/>
      <c r="DO270" s="403"/>
      <c r="DP270" s="403"/>
      <c r="DQ270" s="403"/>
      <c r="DR270" s="403"/>
      <c r="DS270" s="403" t="s">
        <v>4403</v>
      </c>
      <c r="DT270" s="403"/>
      <c r="DU270" s="403"/>
      <c r="DV270" s="403"/>
      <c r="DW270" s="403"/>
      <c r="DX270" s="403"/>
      <c r="DY270" s="403"/>
      <c r="DZ270" s="403"/>
      <c r="EA270" s="403"/>
      <c r="EB270" s="403"/>
      <c r="EC270" s="403"/>
      <c r="ED270" s="403"/>
      <c r="EE270" s="403"/>
      <c r="EF270" s="403" t="s">
        <v>10254</v>
      </c>
      <c r="EG270" s="403"/>
      <c r="EH270" s="403"/>
      <c r="EI270" s="403"/>
      <c r="EJ270" s="403"/>
      <c r="EK270" s="403"/>
      <c r="EL270" s="403" t="s">
        <v>2642</v>
      </c>
      <c r="EM270" s="403"/>
      <c r="EN270" s="403"/>
      <c r="EO270" s="403"/>
      <c r="EP270" s="403"/>
      <c r="EQ270" s="403"/>
      <c r="ER270" s="403"/>
      <c r="ES270" s="403"/>
      <c r="ET270" s="403"/>
    </row>
    <row r="271" spans="1:150" s="299" customFormat="1" x14ac:dyDescent="0.2">
      <c r="B271" s="165">
        <v>-7</v>
      </c>
      <c r="C271" s="23" t="str">
        <f>CONCATENATE("",DM1_Vaccine)</f>
        <v/>
      </c>
      <c r="D271" s="3" t="e">
        <f>VLOOKUP(DM1_Vaccine,'T1. Vaccines'!$C$8:$AD$37,E271,FALSE)</f>
        <v>#N/A</v>
      </c>
      <c r="E271" s="2">
        <f ca="1">OFFSET(_Offset_Index_VaccineSupplies_Index,0,B271)</f>
        <v>9</v>
      </c>
      <c r="F271" s="2" t="e">
        <f t="shared" ref="F271:I274" si="76">IF($D271=F$94,1,0)</f>
        <v>#N/A</v>
      </c>
      <c r="G271" s="2" t="e">
        <f t="shared" si="76"/>
        <v>#N/A</v>
      </c>
      <c r="H271" s="2" t="e">
        <f t="shared" si="76"/>
        <v>#N/A</v>
      </c>
      <c r="I271" s="2" t="e">
        <f t="shared" si="76"/>
        <v>#N/A</v>
      </c>
      <c r="J271" s="146" t="e">
        <f t="shared" ref="J271:O274" si="77">J52/(J$202*Pop_HCW_CS_Sites)</f>
        <v>#N/A</v>
      </c>
      <c r="K271" s="146" t="e">
        <f t="shared" si="77"/>
        <v>#N/A</v>
      </c>
      <c r="L271" s="146" t="e">
        <f t="shared" si="77"/>
        <v>#N/A</v>
      </c>
      <c r="M271" s="146" t="e">
        <f t="shared" si="77"/>
        <v>#N/A</v>
      </c>
      <c r="N271" s="146" t="e">
        <f t="shared" si="77"/>
        <v>#N/A</v>
      </c>
      <c r="O271" s="146" t="e">
        <f t="shared" si="77"/>
        <v>#N/A</v>
      </c>
      <c r="Q271" s="16"/>
      <c r="R271" s="403"/>
      <c r="S271" s="403"/>
      <c r="T271" s="403"/>
      <c r="U271" s="403"/>
      <c r="V271" s="403"/>
      <c r="W271" s="403"/>
      <c r="X271" s="403"/>
      <c r="Y271" s="403"/>
      <c r="Z271" s="403"/>
      <c r="AA271" s="403"/>
      <c r="AB271" s="403"/>
      <c r="AC271" s="403"/>
      <c r="AD271" s="403"/>
      <c r="AE271" s="403"/>
      <c r="AF271" s="403"/>
      <c r="AG271" s="403"/>
      <c r="AH271" s="403"/>
      <c r="AI271" s="403"/>
      <c r="AJ271" s="403"/>
      <c r="AK271" s="403"/>
      <c r="AL271" s="403"/>
      <c r="AM271" s="403"/>
      <c r="AN271" s="403"/>
      <c r="AO271" s="403"/>
      <c r="AP271" s="403"/>
      <c r="AQ271" s="403"/>
      <c r="AR271" s="403"/>
      <c r="AS271" s="403"/>
      <c r="AT271" s="403"/>
      <c r="AU271" s="403"/>
      <c r="AV271" s="403"/>
      <c r="AW271" s="403"/>
      <c r="AX271" s="403"/>
      <c r="AY271" s="403"/>
      <c r="AZ271" s="403"/>
      <c r="BA271" s="403"/>
      <c r="BB271" s="403"/>
      <c r="BC271" s="403"/>
      <c r="BD271" s="403"/>
      <c r="BE271" s="403"/>
      <c r="BF271" s="403"/>
      <c r="BG271" s="403"/>
      <c r="BH271" s="403"/>
      <c r="BI271" s="403"/>
      <c r="BJ271" s="403"/>
      <c r="BK271" s="403"/>
      <c r="BL271" s="403"/>
      <c r="BM271" s="403"/>
      <c r="BN271" s="403"/>
      <c r="BO271" s="403"/>
      <c r="BP271" s="403"/>
      <c r="BQ271" s="403"/>
      <c r="BR271" s="403"/>
      <c r="BS271" s="403"/>
      <c r="BT271" s="403"/>
      <c r="BU271" s="403"/>
      <c r="BV271" s="403"/>
      <c r="BW271" s="403"/>
      <c r="BX271" s="403"/>
      <c r="BY271" s="403"/>
      <c r="BZ271" s="403"/>
      <c r="CA271" s="403"/>
      <c r="CB271" s="403"/>
      <c r="CC271" s="403"/>
      <c r="CD271" s="403"/>
      <c r="CE271" s="403"/>
      <c r="CF271" s="403"/>
      <c r="CG271" s="403"/>
      <c r="CH271" s="403"/>
      <c r="CI271" s="403"/>
      <c r="CJ271" s="403"/>
      <c r="CK271" s="403"/>
      <c r="CL271" s="403"/>
      <c r="CM271" s="403"/>
      <c r="CN271" s="403"/>
      <c r="CO271" s="403"/>
      <c r="CP271" s="403"/>
      <c r="CQ271" s="403"/>
      <c r="CR271" s="403"/>
      <c r="CS271" s="403"/>
      <c r="CT271" s="403"/>
      <c r="CU271" s="403"/>
      <c r="CV271" s="403"/>
      <c r="CW271" s="403"/>
      <c r="CX271" s="403"/>
      <c r="CY271" s="403"/>
      <c r="CZ271" s="403"/>
      <c r="DA271" s="403"/>
      <c r="DB271" s="403"/>
      <c r="DC271" s="403"/>
      <c r="DD271" s="403"/>
      <c r="DE271" s="403"/>
      <c r="DF271" s="403"/>
      <c r="DG271" s="403"/>
      <c r="DH271" s="403"/>
      <c r="DI271" s="403"/>
      <c r="DJ271" s="403"/>
      <c r="DK271" s="403"/>
      <c r="DL271" s="403"/>
      <c r="DM271" s="403"/>
      <c r="DN271" s="403"/>
      <c r="DO271" s="403"/>
      <c r="DP271" s="403"/>
      <c r="DQ271" s="403"/>
      <c r="DR271" s="403"/>
      <c r="DS271" s="403"/>
      <c r="DT271" s="403"/>
      <c r="DU271" s="403"/>
      <c r="DV271" s="403"/>
      <c r="DW271" s="403"/>
      <c r="DX271" s="403"/>
      <c r="DY271" s="403"/>
      <c r="DZ271" s="403"/>
      <c r="EA271" s="403"/>
      <c r="EB271" s="403"/>
      <c r="EC271" s="403"/>
      <c r="ED271" s="403"/>
      <c r="EE271" s="403"/>
      <c r="EF271" s="403"/>
      <c r="EG271" s="403"/>
      <c r="EH271" s="403"/>
      <c r="EI271" s="403"/>
      <c r="EJ271" s="403"/>
      <c r="EK271" s="403"/>
      <c r="EL271" s="403"/>
      <c r="EM271" s="403"/>
      <c r="EN271" s="403"/>
      <c r="EO271" s="403"/>
      <c r="EP271" s="403"/>
      <c r="EQ271" s="403"/>
      <c r="ER271" s="403"/>
      <c r="ES271" s="403"/>
      <c r="ET271" s="403"/>
    </row>
    <row r="272" spans="1:150" s="299" customFormat="1" x14ac:dyDescent="0.2">
      <c r="B272" s="165">
        <v>-7</v>
      </c>
      <c r="C272" s="23" t="str">
        <f>CONCATENATE("",DM2_Vaccine)</f>
        <v/>
      </c>
      <c r="D272" s="3" t="e">
        <f>VLOOKUP(DM2_Vaccine,'T1. Vaccines'!$C$8:$AD$37,E272,FALSE)</f>
        <v>#N/A</v>
      </c>
      <c r="E272" s="2">
        <f ca="1">OFFSET(_Offset_Index_VaccineSupplies_Index,0,B272)</f>
        <v>9</v>
      </c>
      <c r="F272" s="2" t="e">
        <f t="shared" si="76"/>
        <v>#N/A</v>
      </c>
      <c r="G272" s="2" t="e">
        <f t="shared" si="76"/>
        <v>#N/A</v>
      </c>
      <c r="H272" s="2" t="e">
        <f t="shared" si="76"/>
        <v>#N/A</v>
      </c>
      <c r="I272" s="2" t="e">
        <f t="shared" si="76"/>
        <v>#N/A</v>
      </c>
      <c r="J272" s="146" t="e">
        <f t="shared" si="77"/>
        <v>#N/A</v>
      </c>
      <c r="K272" s="146" t="e">
        <f t="shared" si="77"/>
        <v>#N/A</v>
      </c>
      <c r="L272" s="146" t="e">
        <f t="shared" si="77"/>
        <v>#N/A</v>
      </c>
      <c r="M272" s="146" t="e">
        <f t="shared" si="77"/>
        <v>#N/A</v>
      </c>
      <c r="N272" s="146" t="e">
        <f t="shared" si="77"/>
        <v>#N/A</v>
      </c>
      <c r="O272" s="146" t="e">
        <f t="shared" si="77"/>
        <v>#N/A</v>
      </c>
      <c r="Q272" s="16"/>
      <c r="R272" s="403"/>
      <c r="S272" s="403"/>
      <c r="T272" s="403"/>
      <c r="U272" s="403"/>
      <c r="V272" s="403"/>
      <c r="W272" s="403"/>
      <c r="X272" s="403"/>
      <c r="Y272" s="403"/>
      <c r="Z272" s="403"/>
      <c r="AA272" s="403"/>
      <c r="AB272" s="403"/>
      <c r="AC272" s="403"/>
      <c r="AD272" s="403"/>
      <c r="AE272" s="403"/>
      <c r="AF272" s="403"/>
      <c r="AG272" s="403"/>
      <c r="AH272" s="403"/>
      <c r="AI272" s="403"/>
      <c r="AJ272" s="403"/>
      <c r="AK272" s="403"/>
      <c r="AL272" s="403"/>
      <c r="AM272" s="403"/>
      <c r="AN272" s="403"/>
      <c r="AO272" s="403"/>
      <c r="AP272" s="403"/>
      <c r="AQ272" s="403"/>
      <c r="AR272" s="403"/>
      <c r="AS272" s="403"/>
      <c r="AT272" s="403"/>
      <c r="AU272" s="403"/>
      <c r="AV272" s="403"/>
      <c r="AW272" s="403"/>
      <c r="AX272" s="403"/>
      <c r="AY272" s="403"/>
      <c r="AZ272" s="403"/>
      <c r="BA272" s="403"/>
      <c r="BB272" s="403"/>
      <c r="BC272" s="403"/>
      <c r="BD272" s="403"/>
      <c r="BE272" s="403"/>
      <c r="BF272" s="403"/>
      <c r="BG272" s="403"/>
      <c r="BH272" s="403"/>
      <c r="BI272" s="403"/>
      <c r="BJ272" s="403"/>
      <c r="BK272" s="403"/>
      <c r="BL272" s="403"/>
      <c r="BM272" s="403"/>
      <c r="BN272" s="403"/>
      <c r="BO272" s="403"/>
      <c r="BP272" s="403"/>
      <c r="BQ272" s="403"/>
      <c r="BR272" s="403"/>
      <c r="BS272" s="403"/>
      <c r="BT272" s="403"/>
      <c r="BU272" s="403"/>
      <c r="BV272" s="403"/>
      <c r="BW272" s="403"/>
      <c r="BX272" s="403"/>
      <c r="BY272" s="403"/>
      <c r="BZ272" s="403"/>
      <c r="CA272" s="403"/>
      <c r="CB272" s="403"/>
      <c r="CC272" s="403"/>
      <c r="CD272" s="403"/>
      <c r="CE272" s="403"/>
      <c r="CF272" s="403"/>
      <c r="CG272" s="403"/>
      <c r="CH272" s="403"/>
      <c r="CI272" s="403"/>
      <c r="CJ272" s="403"/>
      <c r="CK272" s="403"/>
      <c r="CL272" s="403"/>
      <c r="CM272" s="403"/>
      <c r="CN272" s="403"/>
      <c r="CO272" s="403"/>
      <c r="CP272" s="403"/>
      <c r="CQ272" s="403"/>
      <c r="CR272" s="403"/>
      <c r="CS272" s="403"/>
      <c r="CT272" s="403"/>
      <c r="CU272" s="403"/>
      <c r="CV272" s="403"/>
      <c r="CW272" s="403"/>
      <c r="CX272" s="403"/>
      <c r="CY272" s="403"/>
      <c r="CZ272" s="403"/>
      <c r="DA272" s="403"/>
      <c r="DB272" s="403"/>
      <c r="DC272" s="403"/>
      <c r="DD272" s="403"/>
      <c r="DE272" s="403"/>
      <c r="DF272" s="403"/>
      <c r="DG272" s="403"/>
      <c r="DH272" s="403"/>
      <c r="DI272" s="403"/>
      <c r="DJ272" s="403"/>
      <c r="DK272" s="403"/>
      <c r="DL272" s="403"/>
      <c r="DM272" s="403"/>
      <c r="DN272" s="403"/>
      <c r="DO272" s="403"/>
      <c r="DP272" s="403"/>
      <c r="DQ272" s="403"/>
      <c r="DR272" s="403"/>
      <c r="DS272" s="403"/>
      <c r="DT272" s="403"/>
      <c r="DU272" s="403"/>
      <c r="DV272" s="403"/>
      <c r="DW272" s="403"/>
      <c r="DX272" s="403"/>
      <c r="DY272" s="403"/>
      <c r="DZ272" s="403"/>
      <c r="EA272" s="403"/>
      <c r="EB272" s="403"/>
      <c r="EC272" s="403"/>
      <c r="ED272" s="403"/>
      <c r="EE272" s="403"/>
      <c r="EF272" s="403"/>
      <c r="EG272" s="403"/>
      <c r="EH272" s="403"/>
      <c r="EI272" s="403"/>
      <c r="EJ272" s="403"/>
      <c r="EK272" s="403"/>
      <c r="EL272" s="403"/>
      <c r="EM272" s="403"/>
      <c r="EN272" s="403"/>
      <c r="EO272" s="403"/>
      <c r="EP272" s="403"/>
      <c r="EQ272" s="403"/>
      <c r="ER272" s="403"/>
      <c r="ES272" s="403"/>
      <c r="ET272" s="403"/>
    </row>
    <row r="273" spans="1:150" s="299" customFormat="1" x14ac:dyDescent="0.2">
      <c r="B273" s="165">
        <v>-7</v>
      </c>
      <c r="C273" s="23" t="str">
        <f>CONCATENATE("",DM3_Vaccine)</f>
        <v/>
      </c>
      <c r="D273" s="3" t="e">
        <f>VLOOKUP(DM3_Vaccine,'T1. Vaccines'!$C$8:$AD$37,E273,FALSE)</f>
        <v>#N/A</v>
      </c>
      <c r="E273" s="2">
        <f ca="1">OFFSET(_Offset_Index_VaccineSupplies_Index,0,B273)</f>
        <v>9</v>
      </c>
      <c r="F273" s="2" t="e">
        <f t="shared" si="76"/>
        <v>#N/A</v>
      </c>
      <c r="G273" s="2" t="e">
        <f t="shared" si="76"/>
        <v>#N/A</v>
      </c>
      <c r="H273" s="2" t="e">
        <f t="shared" si="76"/>
        <v>#N/A</v>
      </c>
      <c r="I273" s="2" t="e">
        <f t="shared" si="76"/>
        <v>#N/A</v>
      </c>
      <c r="J273" s="146" t="e">
        <f t="shared" si="77"/>
        <v>#N/A</v>
      </c>
      <c r="K273" s="146" t="e">
        <f t="shared" si="77"/>
        <v>#N/A</v>
      </c>
      <c r="L273" s="146" t="e">
        <f t="shared" si="77"/>
        <v>#N/A</v>
      </c>
      <c r="M273" s="146" t="e">
        <f t="shared" si="77"/>
        <v>#N/A</v>
      </c>
      <c r="N273" s="146" t="e">
        <f t="shared" si="77"/>
        <v>#N/A</v>
      </c>
      <c r="O273" s="146" t="e">
        <f t="shared" si="77"/>
        <v>#N/A</v>
      </c>
      <c r="Q273" s="16"/>
      <c r="R273" s="403"/>
      <c r="S273" s="403"/>
      <c r="T273" s="403"/>
      <c r="U273" s="403"/>
      <c r="V273" s="403"/>
      <c r="W273" s="403"/>
      <c r="X273" s="403"/>
      <c r="Y273" s="403"/>
      <c r="Z273" s="403"/>
      <c r="AA273" s="403"/>
      <c r="AB273" s="403"/>
      <c r="AC273" s="403"/>
      <c r="AD273" s="403"/>
      <c r="AE273" s="403"/>
      <c r="AF273" s="403"/>
      <c r="AG273" s="403"/>
      <c r="AH273" s="403"/>
      <c r="AI273" s="564"/>
      <c r="AJ273" s="403"/>
      <c r="AK273" s="403"/>
      <c r="AL273" s="403"/>
      <c r="AM273" s="403"/>
      <c r="AN273" s="403"/>
      <c r="AO273" s="403"/>
      <c r="AP273" s="403"/>
      <c r="AQ273" s="403"/>
      <c r="AR273" s="403"/>
      <c r="AS273" s="403"/>
      <c r="AT273" s="403"/>
      <c r="AU273" s="403"/>
      <c r="AV273" s="403"/>
      <c r="AW273" s="403"/>
      <c r="AX273" s="403"/>
      <c r="AY273" s="403"/>
      <c r="AZ273" s="403"/>
      <c r="BA273" s="403"/>
      <c r="BB273" s="564"/>
      <c r="BC273" s="403"/>
      <c r="BD273" s="403"/>
      <c r="BE273" s="403"/>
      <c r="BF273" s="403"/>
      <c r="BG273" s="403"/>
      <c r="BH273" s="403"/>
      <c r="BI273" s="403"/>
      <c r="BJ273" s="403"/>
      <c r="BK273" s="403"/>
      <c r="BL273" s="403"/>
      <c r="BM273" s="403"/>
      <c r="BN273" s="403"/>
      <c r="BO273" s="403"/>
      <c r="BP273" s="403"/>
      <c r="BQ273" s="403"/>
      <c r="BR273" s="403"/>
      <c r="BS273" s="403"/>
      <c r="BT273" s="403"/>
      <c r="BU273" s="564"/>
      <c r="BV273" s="403"/>
      <c r="BW273" s="403"/>
      <c r="BX273" s="403"/>
      <c r="BY273" s="403"/>
      <c r="BZ273" s="403"/>
      <c r="CA273" s="403"/>
      <c r="CB273" s="403"/>
      <c r="CC273" s="403"/>
      <c r="CD273" s="403"/>
      <c r="CE273" s="403"/>
      <c r="CF273" s="403"/>
      <c r="CG273" s="403"/>
      <c r="CH273" s="403"/>
      <c r="CI273" s="403"/>
      <c r="CJ273" s="403"/>
      <c r="CK273" s="403"/>
      <c r="CL273" s="403"/>
      <c r="CM273" s="403"/>
      <c r="CN273" s="564"/>
      <c r="CR273" s="403"/>
      <c r="CS273" s="403"/>
      <c r="CT273" s="403"/>
      <c r="CU273" s="403"/>
      <c r="CV273" s="403"/>
      <c r="CW273" s="403"/>
      <c r="CX273" s="403"/>
      <c r="CY273" s="403"/>
      <c r="CZ273" s="403"/>
      <c r="DA273" s="403"/>
      <c r="DB273" s="403"/>
      <c r="DC273" s="403"/>
      <c r="DD273" s="403"/>
      <c r="DE273" s="403"/>
      <c r="DF273" s="403"/>
      <c r="DG273" s="564"/>
      <c r="DJ273" s="403"/>
      <c r="DK273" s="403"/>
      <c r="DL273" s="403"/>
      <c r="DM273" s="403"/>
      <c r="DN273" s="403"/>
      <c r="DO273" s="403"/>
      <c r="DP273" s="403"/>
      <c r="DQ273" s="403"/>
      <c r="DR273" s="403"/>
      <c r="DS273" s="403"/>
      <c r="DT273" s="403"/>
      <c r="DU273" s="403"/>
      <c r="DV273" s="403"/>
      <c r="DW273" s="403"/>
      <c r="DX273" s="403"/>
      <c r="DY273" s="403"/>
      <c r="DZ273" s="564"/>
      <c r="EB273" s="403"/>
      <c r="EC273" s="403"/>
      <c r="ED273" s="403"/>
      <c r="EE273" s="403"/>
      <c r="EF273" s="403"/>
      <c r="EG273" s="403"/>
      <c r="EH273" s="403"/>
      <c r="EI273" s="403"/>
      <c r="EJ273" s="403"/>
      <c r="EK273" s="403"/>
      <c r="EL273" s="403"/>
      <c r="EM273" s="403"/>
      <c r="EN273" s="403"/>
      <c r="EO273" s="403"/>
      <c r="EP273" s="403"/>
      <c r="EQ273" s="403"/>
      <c r="ER273" s="403"/>
      <c r="ES273" s="564"/>
      <c r="ET273" s="403"/>
    </row>
    <row r="274" spans="1:150" s="299" customFormat="1" x14ac:dyDescent="0.2">
      <c r="B274" s="165">
        <v>-7</v>
      </c>
      <c r="C274" s="23" t="str">
        <f>CONCATENATE("",DM4_Vaccine)</f>
        <v/>
      </c>
      <c r="D274" s="3" t="e">
        <f>VLOOKUP(DM4_Vaccine,'T1. Vaccines'!$C$8:$AD$37,E274,FALSE)</f>
        <v>#N/A</v>
      </c>
      <c r="E274" s="2">
        <f ca="1">OFFSET(_Offset_Index_VaccineSupplies_Index,0,B274)</f>
        <v>9</v>
      </c>
      <c r="F274" s="2" t="e">
        <f t="shared" si="76"/>
        <v>#N/A</v>
      </c>
      <c r="G274" s="2" t="e">
        <f t="shared" si="76"/>
        <v>#N/A</v>
      </c>
      <c r="H274" s="2" t="e">
        <f t="shared" si="76"/>
        <v>#N/A</v>
      </c>
      <c r="I274" s="2" t="e">
        <f t="shared" si="76"/>
        <v>#N/A</v>
      </c>
      <c r="J274" s="146" t="e">
        <f t="shared" si="77"/>
        <v>#N/A</v>
      </c>
      <c r="K274" s="146" t="e">
        <f t="shared" si="77"/>
        <v>#N/A</v>
      </c>
      <c r="L274" s="146" t="e">
        <f t="shared" si="77"/>
        <v>#N/A</v>
      </c>
      <c r="M274" s="146" t="e">
        <f t="shared" si="77"/>
        <v>#N/A</v>
      </c>
      <c r="N274" s="146" t="e">
        <f t="shared" si="77"/>
        <v>#N/A</v>
      </c>
      <c r="O274" s="146" t="e">
        <f t="shared" si="77"/>
        <v>#N/A</v>
      </c>
      <c r="Q274" s="16"/>
      <c r="R274" s="403"/>
      <c r="S274" s="403"/>
      <c r="T274" s="403"/>
      <c r="U274" s="403"/>
      <c r="V274" s="403"/>
      <c r="W274" s="403"/>
      <c r="X274" s="403"/>
      <c r="Y274" s="403"/>
      <c r="Z274" s="403"/>
      <c r="AA274" s="403"/>
      <c r="AB274" s="403"/>
      <c r="AC274" s="403"/>
      <c r="AD274" s="403"/>
      <c r="AE274" s="403"/>
      <c r="AF274" s="403"/>
      <c r="AG274" s="403"/>
      <c r="AH274" s="403"/>
      <c r="AI274" s="403"/>
      <c r="AJ274" s="403"/>
      <c r="AK274" s="403"/>
      <c r="AL274" s="403"/>
      <c r="AM274" s="403"/>
      <c r="AN274" s="403"/>
      <c r="AO274" s="403"/>
      <c r="AP274" s="403"/>
      <c r="AQ274" s="403"/>
      <c r="AR274" s="403"/>
      <c r="AS274" s="403"/>
      <c r="AT274" s="403"/>
      <c r="AU274" s="403"/>
      <c r="AV274" s="403"/>
      <c r="AW274" s="403"/>
      <c r="AX274" s="403"/>
      <c r="AY274" s="403"/>
      <c r="AZ274" s="403"/>
      <c r="BA274" s="403"/>
      <c r="BB274" s="403"/>
      <c r="BC274" s="403"/>
      <c r="BD274" s="403"/>
      <c r="BE274" s="403"/>
      <c r="BF274" s="403"/>
      <c r="BG274" s="403"/>
      <c r="BH274" s="403"/>
      <c r="BI274" s="403"/>
      <c r="BJ274" s="403"/>
      <c r="BK274" s="403"/>
      <c r="BL274" s="403"/>
      <c r="BM274" s="403"/>
      <c r="BN274" s="403"/>
      <c r="BO274" s="403"/>
      <c r="BP274" s="403"/>
      <c r="BQ274" s="403"/>
      <c r="BR274" s="403"/>
      <c r="BS274" s="403"/>
      <c r="BT274" s="403"/>
      <c r="BU274" s="403"/>
      <c r="BV274" s="403"/>
      <c r="BW274" s="403"/>
      <c r="BX274" s="403"/>
      <c r="BY274" s="403"/>
      <c r="BZ274" s="403"/>
      <c r="CA274" s="403"/>
      <c r="CB274" s="403"/>
      <c r="CC274" s="403"/>
      <c r="CD274" s="403"/>
      <c r="CE274" s="403"/>
      <c r="CF274" s="403"/>
      <c r="CG274" s="403"/>
      <c r="CH274" s="403"/>
      <c r="CI274" s="403"/>
      <c r="CJ274" s="403"/>
      <c r="CK274" s="403"/>
      <c r="CL274" s="403"/>
      <c r="CM274" s="403"/>
      <c r="CN274" s="403"/>
      <c r="CO274" s="403"/>
      <c r="CP274" s="403"/>
      <c r="CQ274" s="403"/>
      <c r="CR274" s="403"/>
      <c r="CS274" s="403"/>
      <c r="CT274" s="403"/>
      <c r="CU274" s="403"/>
      <c r="CV274" s="403"/>
      <c r="CW274" s="403"/>
      <c r="CX274" s="403"/>
      <c r="CY274" s="403"/>
      <c r="CZ274" s="403"/>
      <c r="DA274" s="403"/>
      <c r="DB274" s="403"/>
      <c r="DC274" s="403"/>
      <c r="DD274" s="403"/>
      <c r="DE274" s="403"/>
      <c r="DF274" s="403"/>
      <c r="DG274" s="403"/>
      <c r="DH274" s="403"/>
      <c r="DI274" s="403"/>
      <c r="DJ274" s="403"/>
      <c r="DK274" s="403"/>
      <c r="DL274" s="403"/>
      <c r="DM274" s="403"/>
      <c r="DN274" s="403"/>
      <c r="DO274" s="403"/>
      <c r="DP274" s="403"/>
      <c r="DQ274" s="403"/>
      <c r="DR274" s="403"/>
      <c r="DS274" s="403"/>
      <c r="DT274" s="403"/>
      <c r="DU274" s="403"/>
      <c r="DV274" s="403"/>
      <c r="DW274" s="403"/>
      <c r="DX274" s="403"/>
      <c r="DY274" s="403"/>
      <c r="DZ274" s="403"/>
      <c r="EA274" s="403"/>
      <c r="EB274" s="403"/>
      <c r="EC274" s="403"/>
      <c r="ED274" s="403"/>
      <c r="EE274" s="403"/>
      <c r="EF274" s="403"/>
      <c r="EG274" s="403"/>
      <c r="EH274" s="403"/>
      <c r="EI274" s="403"/>
      <c r="EJ274" s="403"/>
      <c r="EK274" s="403"/>
      <c r="EL274" s="403"/>
      <c r="EM274" s="403"/>
      <c r="EN274" s="403"/>
      <c r="EO274" s="403"/>
      <c r="EP274" s="403"/>
      <c r="EQ274" s="403"/>
      <c r="ER274" s="403"/>
      <c r="ES274" s="403"/>
      <c r="ET274" s="403"/>
    </row>
    <row r="275" spans="1:150" s="299" customFormat="1" x14ac:dyDescent="0.2">
      <c r="B275" s="165"/>
      <c r="C275" s="23"/>
      <c r="D275" s="23"/>
      <c r="E275" s="2"/>
      <c r="F275" s="2"/>
      <c r="G275" s="2"/>
      <c r="H275" s="2"/>
      <c r="I275" s="2"/>
      <c r="J275" s="146"/>
      <c r="K275" s="146"/>
      <c r="L275" s="146"/>
      <c r="M275" s="146"/>
      <c r="N275" s="146"/>
      <c r="O275" s="146"/>
      <c r="Q275" s="16"/>
      <c r="R275" s="403"/>
      <c r="S275" s="403"/>
      <c r="T275" s="403"/>
      <c r="U275" s="403"/>
      <c r="V275" s="403"/>
      <c r="W275" s="403"/>
      <c r="X275" s="403"/>
      <c r="Y275" s="403"/>
      <c r="Z275" s="403"/>
      <c r="AA275" s="403"/>
      <c r="AB275" s="403"/>
      <c r="AC275" s="403"/>
      <c r="AD275" s="403"/>
      <c r="AE275" s="403"/>
      <c r="AF275" s="403"/>
      <c r="AG275" s="403"/>
      <c r="AH275" s="403"/>
      <c r="AI275" s="403"/>
      <c r="AJ275" s="403"/>
      <c r="AK275" s="403"/>
      <c r="AL275" s="403"/>
      <c r="AM275" s="403"/>
      <c r="AN275" s="403"/>
      <c r="AO275" s="403"/>
      <c r="AP275" s="403"/>
      <c r="AQ275" s="403"/>
      <c r="AR275" s="403"/>
      <c r="AS275" s="403"/>
      <c r="AT275" s="403"/>
      <c r="AU275" s="403"/>
      <c r="AV275" s="403"/>
      <c r="AW275" s="403"/>
      <c r="AX275" s="403"/>
      <c r="AY275" s="403"/>
      <c r="AZ275" s="403"/>
      <c r="BA275" s="403"/>
      <c r="BB275" s="403"/>
      <c r="BC275" s="403"/>
      <c r="BD275" s="403"/>
      <c r="BE275" s="403"/>
      <c r="BF275" s="403"/>
      <c r="BG275" s="403"/>
      <c r="BH275" s="403"/>
      <c r="BI275" s="403"/>
      <c r="BJ275" s="403"/>
      <c r="BK275" s="403"/>
      <c r="BL275" s="403"/>
      <c r="BM275" s="403"/>
      <c r="BN275" s="403"/>
      <c r="BO275" s="403"/>
      <c r="BP275" s="403"/>
      <c r="BQ275" s="403"/>
      <c r="BR275" s="403"/>
      <c r="BS275" s="403"/>
      <c r="BT275" s="403"/>
      <c r="BU275" s="403"/>
      <c r="BV275" s="403"/>
      <c r="BW275" s="403"/>
      <c r="BX275" s="403"/>
      <c r="BY275" s="403"/>
      <c r="BZ275" s="403"/>
      <c r="CA275" s="403"/>
      <c r="CB275" s="403"/>
      <c r="CC275" s="403"/>
      <c r="CD275" s="403"/>
      <c r="CE275" s="403"/>
      <c r="CF275" s="403"/>
      <c r="CG275" s="403"/>
      <c r="CH275" s="403"/>
      <c r="CI275" s="403"/>
      <c r="CJ275" s="403"/>
      <c r="CK275" s="403"/>
      <c r="CL275" s="403"/>
      <c r="CM275" s="403"/>
      <c r="CN275" s="403"/>
      <c r="CO275" s="403"/>
      <c r="CP275" s="403"/>
      <c r="CQ275" s="403"/>
      <c r="CR275" s="403"/>
      <c r="CS275" s="403"/>
      <c r="CT275" s="403"/>
      <c r="CU275" s="403"/>
      <c r="CV275" s="403"/>
      <c r="CW275" s="403"/>
      <c r="CX275" s="403"/>
      <c r="CY275" s="403"/>
      <c r="CZ275" s="403"/>
      <c r="DA275" s="403"/>
      <c r="DB275" s="403"/>
      <c r="DC275" s="403"/>
      <c r="DD275" s="403"/>
      <c r="DE275" s="403"/>
      <c r="DF275" s="403"/>
      <c r="DG275" s="403"/>
      <c r="DH275" s="403"/>
      <c r="DI275" s="403"/>
      <c r="DJ275" s="403"/>
      <c r="DK275" s="403"/>
      <c r="DL275" s="403"/>
      <c r="DM275" s="403"/>
      <c r="DN275" s="403"/>
      <c r="DO275" s="403"/>
      <c r="DP275" s="403"/>
      <c r="DQ275" s="403"/>
      <c r="DR275" s="403"/>
      <c r="DS275" s="403"/>
      <c r="DT275" s="403"/>
      <c r="DU275" s="403"/>
      <c r="DV275" s="403"/>
      <c r="DW275" s="403"/>
      <c r="DX275" s="403"/>
      <c r="DY275" s="403"/>
      <c r="DZ275" s="403"/>
      <c r="EA275" s="403"/>
      <c r="EB275" s="403"/>
      <c r="EC275" s="403"/>
      <c r="ED275" s="403"/>
      <c r="EE275" s="403"/>
      <c r="EF275" s="403"/>
      <c r="EG275" s="403"/>
      <c r="EH275" s="403"/>
      <c r="EI275" s="403"/>
      <c r="EJ275" s="403"/>
      <c r="EK275" s="403"/>
      <c r="EL275" s="403"/>
      <c r="EM275" s="403"/>
      <c r="EN275" s="403"/>
      <c r="EO275" s="403"/>
      <c r="EP275" s="403"/>
      <c r="EQ275" s="403"/>
      <c r="ER275" s="403"/>
      <c r="ES275" s="403"/>
      <c r="ET275" s="403"/>
    </row>
    <row r="276" spans="1:150" s="299" customFormat="1" x14ac:dyDescent="0.2">
      <c r="B276" s="51" t="str">
        <f ca="1">IF(OFFSET(T276,0,Lang_Order*Lang__B4)="","",OFFSET(T276,0,Lang_Order*Lang__B4))</f>
        <v>Volume of COVID-19 vaccines in secondary packaging (liters) per Shipment, incl. buffer [PER FIXED SITE]</v>
      </c>
      <c r="C276" s="5"/>
      <c r="J276" s="16"/>
      <c r="K276" s="16"/>
      <c r="L276" s="16"/>
      <c r="M276" s="16"/>
      <c r="N276" s="16"/>
      <c r="O276" s="16"/>
      <c r="P276" s="2" t="str">
        <f ca="1">IF(OFFSET(AH276,0,Lang_Order*Lang__B4)="","",OFFSET(AH276,0,Lang_Order*Lang__B4))</f>
        <v>Methodological note: The largest shipment size (plus buffer) is taken as the capacity required</v>
      </c>
      <c r="Q276" s="16"/>
      <c r="R276" s="403"/>
      <c r="S276" s="403"/>
      <c r="T276" s="403" t="s">
        <v>3628</v>
      </c>
      <c r="U276" s="403"/>
      <c r="V276" s="403"/>
      <c r="W276" s="403"/>
      <c r="X276" s="403"/>
      <c r="Y276" s="403"/>
      <c r="Z276" s="403"/>
      <c r="AA276" s="403"/>
      <c r="AB276" s="403"/>
      <c r="AC276" s="403"/>
      <c r="AD276" s="403"/>
      <c r="AE276" s="403"/>
      <c r="AF276" s="403"/>
      <c r="AG276" s="403"/>
      <c r="AH276" s="403" t="s">
        <v>3198</v>
      </c>
      <c r="AI276" s="403"/>
      <c r="AJ276" s="403"/>
      <c r="AK276" s="403"/>
      <c r="AL276" s="403"/>
      <c r="AM276" s="403" t="s">
        <v>11228</v>
      </c>
      <c r="AN276" s="403"/>
      <c r="AO276" s="403"/>
      <c r="AP276" s="403"/>
      <c r="AQ276" s="403"/>
      <c r="AR276" s="403"/>
      <c r="AS276" s="403"/>
      <c r="AT276" s="403"/>
      <c r="AU276" s="403"/>
      <c r="AV276" s="403"/>
      <c r="AW276" s="403"/>
      <c r="AX276" s="403"/>
      <c r="AY276" s="403"/>
      <c r="AZ276" s="403"/>
      <c r="BA276" s="403" t="s">
        <v>10790</v>
      </c>
      <c r="BB276" s="403"/>
      <c r="BC276" s="403"/>
      <c r="BD276" s="403"/>
      <c r="BE276" s="403"/>
      <c r="BF276" s="403" t="s">
        <v>11234</v>
      </c>
      <c r="BG276" s="403"/>
      <c r="BH276" s="403"/>
      <c r="BI276" s="403"/>
      <c r="BJ276" s="403"/>
      <c r="BK276" s="403"/>
      <c r="BL276" s="403"/>
      <c r="BM276" s="403"/>
      <c r="BN276" s="403"/>
      <c r="BO276" s="403"/>
      <c r="BP276" s="403"/>
      <c r="BQ276" s="403"/>
      <c r="BR276" s="403"/>
      <c r="BS276" s="403"/>
      <c r="BT276" s="403" t="s">
        <v>11128</v>
      </c>
      <c r="BU276" s="403"/>
      <c r="BV276" s="403"/>
      <c r="BW276" s="403"/>
      <c r="BX276" s="403"/>
      <c r="BY276" s="403" t="s">
        <v>11230</v>
      </c>
      <c r="BZ276" s="403"/>
      <c r="CA276" s="403"/>
      <c r="CB276" s="403"/>
      <c r="CC276" s="403"/>
      <c r="CD276" s="403"/>
      <c r="CE276" s="403"/>
      <c r="CF276" s="403"/>
      <c r="CG276" s="403"/>
      <c r="CH276" s="403"/>
      <c r="CI276" s="403"/>
      <c r="CJ276" s="403"/>
      <c r="CK276" s="403"/>
      <c r="CL276" s="403"/>
      <c r="CM276" s="403" t="s">
        <v>10792</v>
      </c>
      <c r="CN276" s="403"/>
      <c r="CO276" s="403"/>
      <c r="CP276" s="403"/>
      <c r="CQ276" s="403"/>
      <c r="CR276" s="403" t="s">
        <v>11231</v>
      </c>
      <c r="CS276" s="403"/>
      <c r="CT276" s="403"/>
      <c r="CU276" s="403"/>
      <c r="CV276" s="403"/>
      <c r="CW276" s="403"/>
      <c r="CX276" s="403"/>
      <c r="CY276" s="403"/>
      <c r="CZ276" s="403"/>
      <c r="DA276" s="403"/>
      <c r="DB276" s="403"/>
      <c r="DC276" s="403"/>
      <c r="DD276" s="403"/>
      <c r="DE276" s="403"/>
      <c r="DF276" s="403" t="s">
        <v>10793</v>
      </c>
      <c r="DG276" s="403"/>
      <c r="DH276" s="403"/>
      <c r="DI276" s="403"/>
      <c r="DJ276" s="403"/>
      <c r="DK276" s="403" t="s">
        <v>11232</v>
      </c>
      <c r="DL276" s="403"/>
      <c r="DM276" s="403"/>
      <c r="DN276" s="403"/>
      <c r="DO276" s="403"/>
      <c r="DP276" s="403"/>
      <c r="DQ276" s="403"/>
      <c r="DR276" s="403"/>
      <c r="DS276" s="403"/>
      <c r="DT276" s="403"/>
      <c r="DU276" s="403"/>
      <c r="DV276" s="403"/>
      <c r="DW276" s="403"/>
      <c r="DX276" s="403"/>
      <c r="DY276" s="403" t="s">
        <v>10794</v>
      </c>
      <c r="DZ276" s="403"/>
      <c r="EA276" s="403"/>
      <c r="EB276" s="403"/>
      <c r="EC276" s="403"/>
      <c r="ED276" s="403" t="s">
        <v>11233</v>
      </c>
      <c r="EE276" s="403"/>
      <c r="EF276" s="403"/>
      <c r="EG276" s="403"/>
      <c r="EH276" s="403"/>
      <c r="EI276" s="403"/>
      <c r="EJ276" s="403"/>
      <c r="EK276" s="403"/>
      <c r="EL276" s="403"/>
      <c r="EM276" s="403"/>
      <c r="EN276" s="403"/>
      <c r="EO276" s="403"/>
      <c r="EP276" s="403"/>
      <c r="EQ276" s="403"/>
      <c r="ER276" s="403" t="s">
        <v>10795</v>
      </c>
      <c r="ES276" s="403"/>
      <c r="ET276" s="403"/>
    </row>
    <row r="277" spans="1:150" s="299" customFormat="1" hidden="1" x14ac:dyDescent="0.2">
      <c r="A277" s="346" t="s">
        <v>14118</v>
      </c>
      <c r="C277" s="72" t="str">
        <f ca="1">IF(OFFSET(U277,0,Lang_Order*Lang__B4)="","",OFFSET(U277,0,Lang_Order*Lang__B4))</f>
        <v>Room temperature</v>
      </c>
      <c r="J277" s="146" t="e">
        <f>SUMPRODUCT($F$271:$F$274,J$271:J$274)</f>
        <v>#N/A</v>
      </c>
      <c r="K277" s="146" t="e">
        <f t="shared" ref="K277:O277" si="78">SUMPRODUCT($F$271:$F$274,K$271:K$274)</f>
        <v>#N/A</v>
      </c>
      <c r="L277" s="146" t="e">
        <f t="shared" si="78"/>
        <v>#N/A</v>
      </c>
      <c r="M277" s="146" t="e">
        <f t="shared" si="78"/>
        <v>#N/A</v>
      </c>
      <c r="N277" s="146" t="e">
        <f t="shared" si="78"/>
        <v>#N/A</v>
      </c>
      <c r="O277" s="146" t="e">
        <f t="shared" si="78"/>
        <v>#N/A</v>
      </c>
      <c r="P277" s="287"/>
      <c r="Q277" s="157" t="str">
        <f ca="1">IF(OFFSET(AI277,0,Lang_Order*Lang__B4)="","",OFFSET(AI277,0,Lang_Order*Lang__B4))</f>
        <v>Vaccines which can be stored in dry storage assumed as no storage cost</v>
      </c>
      <c r="R277" s="403"/>
      <c r="S277" s="403"/>
      <c r="T277" s="403"/>
      <c r="U277" s="403" t="s">
        <v>10</v>
      </c>
      <c r="V277" s="403"/>
      <c r="W277" s="403"/>
      <c r="X277" s="403"/>
      <c r="Y277" s="403"/>
      <c r="Z277" s="403"/>
      <c r="AA277" s="403"/>
      <c r="AB277" s="403"/>
      <c r="AC277" s="403"/>
      <c r="AD277" s="403"/>
      <c r="AE277" s="403"/>
      <c r="AF277" s="403"/>
      <c r="AG277" s="403"/>
      <c r="AH277" s="403"/>
      <c r="AI277" s="403" t="s">
        <v>3195</v>
      </c>
      <c r="AJ277" s="403"/>
      <c r="AK277" s="403"/>
      <c r="AL277" s="403"/>
      <c r="AM277" s="403"/>
      <c r="AN277" s="403" t="s">
        <v>8371</v>
      </c>
      <c r="AO277" s="403"/>
      <c r="AP277" s="403"/>
      <c r="AQ277" s="403"/>
      <c r="AR277" s="403"/>
      <c r="AS277" s="403"/>
      <c r="AT277" s="403"/>
      <c r="AU277" s="403"/>
      <c r="AV277" s="403"/>
      <c r="AW277" s="403"/>
      <c r="AX277" s="403"/>
      <c r="AY277" s="403"/>
      <c r="AZ277" s="403"/>
      <c r="BA277" s="403"/>
      <c r="BB277" s="403" t="s">
        <v>10709</v>
      </c>
      <c r="BC277" s="403"/>
      <c r="BD277" s="403"/>
      <c r="BE277" s="403"/>
      <c r="BF277" s="403"/>
      <c r="BG277" s="403" t="s">
        <v>10226</v>
      </c>
      <c r="BH277" s="403"/>
      <c r="BI277" s="403"/>
      <c r="BJ277" s="403"/>
      <c r="BK277" s="403"/>
      <c r="BL277" s="403"/>
      <c r="BM277" s="403"/>
      <c r="BN277" s="403"/>
      <c r="BO277" s="403"/>
      <c r="BP277" s="403"/>
      <c r="BQ277" s="403"/>
      <c r="BR277" s="403"/>
      <c r="BS277" s="403"/>
      <c r="BT277" s="403"/>
      <c r="BU277" s="403" t="s">
        <v>10710</v>
      </c>
      <c r="BV277" s="403"/>
      <c r="BW277" s="403"/>
      <c r="BX277" s="403"/>
      <c r="BY277" s="403"/>
      <c r="BZ277" s="403" t="s">
        <v>8375</v>
      </c>
      <c r="CA277" s="403"/>
      <c r="CB277" s="403"/>
      <c r="CC277" s="403"/>
      <c r="CD277" s="403"/>
      <c r="CE277" s="403"/>
      <c r="CF277" s="403"/>
      <c r="CG277" s="403"/>
      <c r="CH277" s="403"/>
      <c r="CI277" s="403"/>
      <c r="CJ277" s="403"/>
      <c r="CK277" s="403"/>
      <c r="CL277" s="403"/>
      <c r="CM277" s="403"/>
      <c r="CN277" s="403" t="s">
        <v>10711</v>
      </c>
      <c r="CO277" s="403"/>
      <c r="CP277" s="403"/>
      <c r="CQ277" s="403"/>
      <c r="CR277" s="403"/>
      <c r="CS277" s="403" t="s">
        <v>8375</v>
      </c>
      <c r="CT277" s="403"/>
      <c r="CU277" s="403"/>
      <c r="CV277" s="403"/>
      <c r="CW277" s="403"/>
      <c r="CX277" s="403"/>
      <c r="CY277" s="403"/>
      <c r="CZ277" s="403"/>
      <c r="DA277" s="403"/>
      <c r="DB277" s="403"/>
      <c r="DC277" s="403"/>
      <c r="DD277" s="403"/>
      <c r="DE277" s="403"/>
      <c r="DF277" s="403"/>
      <c r="DG277" s="403" t="s">
        <v>10712</v>
      </c>
      <c r="DH277" s="403"/>
      <c r="DI277" s="403"/>
      <c r="DJ277" s="403"/>
      <c r="DK277" s="403"/>
      <c r="DL277" s="403" t="s">
        <v>8378</v>
      </c>
      <c r="DM277" s="403"/>
      <c r="DN277" s="403"/>
      <c r="DO277" s="403"/>
      <c r="DP277" s="403"/>
      <c r="DQ277" s="403"/>
      <c r="DR277" s="403"/>
      <c r="DS277" s="403"/>
      <c r="DT277" s="403"/>
      <c r="DU277" s="403"/>
      <c r="DV277" s="403"/>
      <c r="DW277" s="403"/>
      <c r="DX277" s="403"/>
      <c r="DY277" s="403"/>
      <c r="DZ277" s="403" t="s">
        <v>10716</v>
      </c>
      <c r="EA277" s="403"/>
      <c r="EB277" s="403"/>
      <c r="EC277" s="403"/>
      <c r="ED277" s="403"/>
      <c r="EE277" s="403" t="s">
        <v>10256</v>
      </c>
      <c r="EF277" s="403"/>
      <c r="EG277" s="403"/>
      <c r="EH277" s="403"/>
      <c r="EI277" s="403"/>
      <c r="EJ277" s="403"/>
      <c r="EK277" s="403"/>
      <c r="EL277" s="403"/>
      <c r="EM277" s="403"/>
      <c r="EN277" s="403"/>
      <c r="EO277" s="403"/>
      <c r="EP277" s="403"/>
      <c r="EQ277" s="403"/>
      <c r="ER277" s="403"/>
      <c r="ES277" s="403" t="s">
        <v>10713</v>
      </c>
      <c r="ET277" s="403"/>
    </row>
    <row r="278" spans="1:150" s="299" customFormat="1" x14ac:dyDescent="0.2">
      <c r="A278" s="567"/>
      <c r="B278" s="85"/>
      <c r="C278" s="5" t="str">
        <f ca="1">IF(OFFSET(U278,0,Lang_Order*Lang__B4)="","",OFFSET(U278,0,Lang_Order*Lang__B4))</f>
        <v>Refrigerated (2 to 8C)</v>
      </c>
      <c r="J278" s="146" t="e">
        <f>SUMPRODUCT($G$271:$G$274,J$271:J$274)</f>
        <v>#N/A</v>
      </c>
      <c r="K278" s="146" t="e">
        <f t="shared" ref="K278:O278" si="79">SUMPRODUCT($G$271:$G$274,K$271:K$274)</f>
        <v>#N/A</v>
      </c>
      <c r="L278" s="146" t="e">
        <f t="shared" si="79"/>
        <v>#N/A</v>
      </c>
      <c r="M278" s="146" t="e">
        <f t="shared" si="79"/>
        <v>#N/A</v>
      </c>
      <c r="N278" s="146" t="e">
        <f t="shared" si="79"/>
        <v>#N/A</v>
      </c>
      <c r="O278" s="146" t="e">
        <f t="shared" si="79"/>
        <v>#N/A</v>
      </c>
      <c r="P278" s="534" t="e">
        <f>MAX(J281:O281)</f>
        <v>#N/A</v>
      </c>
      <c r="Q278" s="567"/>
      <c r="R278" s="403"/>
      <c r="S278" s="403"/>
      <c r="T278" s="403"/>
      <c r="U278" s="403" t="s">
        <v>11</v>
      </c>
      <c r="V278" s="403"/>
      <c r="W278" s="403"/>
      <c r="X278" s="403"/>
      <c r="Y278" s="403"/>
      <c r="Z278" s="403"/>
      <c r="AA278" s="403"/>
      <c r="AB278" s="403"/>
      <c r="AC278" s="403"/>
      <c r="AD278" s="403"/>
      <c r="AE278" s="403"/>
      <c r="AF278" s="403"/>
      <c r="AG278" s="403"/>
      <c r="AH278" s="403"/>
      <c r="AI278" s="403"/>
      <c r="AJ278" s="403"/>
      <c r="AK278" s="403"/>
      <c r="AL278" s="403"/>
      <c r="AM278" s="403"/>
      <c r="AN278" s="403" t="s">
        <v>10714</v>
      </c>
      <c r="AO278" s="403"/>
      <c r="AP278" s="403"/>
      <c r="AQ278" s="403"/>
      <c r="AR278" s="403"/>
      <c r="AS278" s="403"/>
      <c r="AT278" s="403"/>
      <c r="AU278" s="403"/>
      <c r="AV278" s="403"/>
      <c r="AW278" s="403"/>
      <c r="AX278" s="403"/>
      <c r="AY278" s="403"/>
      <c r="AZ278" s="403"/>
      <c r="BA278" s="403"/>
      <c r="BB278" s="403"/>
      <c r="BC278" s="403"/>
      <c r="BD278" s="403"/>
      <c r="BE278" s="403"/>
      <c r="BF278" s="403"/>
      <c r="BG278" s="403" t="s">
        <v>10227</v>
      </c>
      <c r="BH278" s="403"/>
      <c r="BI278" s="403"/>
      <c r="BJ278" s="403"/>
      <c r="BK278" s="403"/>
      <c r="BL278" s="403"/>
      <c r="BM278" s="403"/>
      <c r="BN278" s="403"/>
      <c r="BO278" s="403"/>
      <c r="BP278" s="403"/>
      <c r="BQ278" s="403"/>
      <c r="BR278" s="403"/>
      <c r="BS278" s="403"/>
      <c r="BT278" s="403"/>
      <c r="BU278" s="403"/>
      <c r="BV278" s="403"/>
      <c r="BW278" s="403"/>
      <c r="BX278" s="403"/>
      <c r="BY278" s="403"/>
      <c r="BZ278" s="403" t="s">
        <v>10715</v>
      </c>
      <c r="CA278" s="403"/>
      <c r="CB278" s="403"/>
      <c r="CC278" s="403"/>
      <c r="CD278" s="403"/>
      <c r="CE278" s="403"/>
      <c r="CF278" s="403"/>
      <c r="CG278" s="403"/>
      <c r="CH278" s="403"/>
      <c r="CI278" s="403"/>
      <c r="CJ278" s="403"/>
      <c r="CK278" s="403"/>
      <c r="CL278" s="403"/>
      <c r="CM278" s="403"/>
      <c r="CN278" s="403"/>
      <c r="CO278" s="403"/>
      <c r="CP278" s="403"/>
      <c r="CQ278" s="403"/>
      <c r="CR278" s="403"/>
      <c r="CS278" s="403" t="s">
        <v>8384</v>
      </c>
      <c r="CT278" s="403"/>
      <c r="CU278" s="403"/>
      <c r="CV278" s="403"/>
      <c r="CW278" s="403"/>
      <c r="CX278" s="403"/>
      <c r="CY278" s="403"/>
      <c r="CZ278" s="403"/>
      <c r="DA278" s="403"/>
      <c r="DB278" s="403"/>
      <c r="DC278" s="403"/>
      <c r="DD278" s="403"/>
      <c r="DE278" s="403"/>
      <c r="DF278" s="403"/>
      <c r="DG278" s="403"/>
      <c r="DH278" s="403"/>
      <c r="DI278" s="403"/>
      <c r="DJ278" s="403"/>
      <c r="DK278" s="403"/>
      <c r="DL278" s="403" t="s">
        <v>10248</v>
      </c>
      <c r="DM278" s="403"/>
      <c r="DN278" s="403"/>
      <c r="DO278" s="403"/>
      <c r="DP278" s="403"/>
      <c r="DQ278" s="403"/>
      <c r="DR278" s="403"/>
      <c r="DS278" s="403"/>
      <c r="DT278" s="403"/>
      <c r="DU278" s="403"/>
      <c r="DV278" s="403"/>
      <c r="DW278" s="403"/>
      <c r="DX278" s="403"/>
      <c r="DY278" s="403"/>
      <c r="DZ278" s="403"/>
      <c r="EA278" s="403"/>
      <c r="EB278" s="403"/>
      <c r="EC278" s="403"/>
      <c r="ED278" s="403"/>
      <c r="EE278" s="403" t="s">
        <v>8387</v>
      </c>
      <c r="EF278" s="403"/>
      <c r="EG278" s="403"/>
      <c r="EH278" s="403"/>
      <c r="EI278" s="403"/>
      <c r="EJ278" s="403"/>
      <c r="EK278" s="403"/>
      <c r="EL278" s="403"/>
      <c r="EM278" s="403"/>
      <c r="EN278" s="403"/>
      <c r="EO278" s="403"/>
      <c r="EP278" s="403"/>
      <c r="EQ278" s="403"/>
      <c r="ER278" s="403"/>
      <c r="ES278" s="403"/>
      <c r="ET278" s="403"/>
    </row>
    <row r="279" spans="1:150" s="299" customFormat="1" x14ac:dyDescent="0.2">
      <c r="B279" s="85"/>
      <c r="C279" s="270" t="str">
        <f ca="1">IF(OFFSET(U279,0,Lang_Order*Lang__B4)="","",OFFSET(U279,0,Lang_Order*Lang__B4))</f>
        <v>Frozen (-20C)</v>
      </c>
      <c r="D279" s="85"/>
      <c r="J279" s="146" t="e">
        <f t="shared" ref="J279:O279" si="80">SUMPRODUCT($H$271:$H$274,J$271:J$274)</f>
        <v>#N/A</v>
      </c>
      <c r="K279" s="146" t="e">
        <f t="shared" si="80"/>
        <v>#N/A</v>
      </c>
      <c r="L279" s="146" t="e">
        <f t="shared" si="80"/>
        <v>#N/A</v>
      </c>
      <c r="M279" s="146" t="e">
        <f t="shared" si="80"/>
        <v>#N/A</v>
      </c>
      <c r="N279" s="146" t="e">
        <f t="shared" si="80"/>
        <v>#N/A</v>
      </c>
      <c r="O279" s="146" t="e">
        <f t="shared" si="80"/>
        <v>#N/A</v>
      </c>
      <c r="P279" s="534" t="e">
        <f>MAX(J279:O279)</f>
        <v>#N/A</v>
      </c>
      <c r="Q279" s="567"/>
      <c r="R279" s="403"/>
      <c r="S279" s="403"/>
      <c r="T279" s="403"/>
      <c r="U279" s="403" t="s">
        <v>12</v>
      </c>
      <c r="V279" s="403"/>
      <c r="W279" s="403"/>
      <c r="X279" s="403"/>
      <c r="Y279" s="403"/>
      <c r="Z279" s="403"/>
      <c r="AA279" s="403"/>
      <c r="AB279" s="403"/>
      <c r="AC279" s="403"/>
      <c r="AD279" s="403"/>
      <c r="AE279" s="403"/>
      <c r="AF279" s="403"/>
      <c r="AG279" s="403"/>
      <c r="AH279" s="403"/>
      <c r="AI279" s="403"/>
      <c r="AJ279" s="403"/>
      <c r="AK279" s="403"/>
      <c r="AL279" s="403"/>
      <c r="AM279" s="403"/>
      <c r="AN279" s="403" t="s">
        <v>10717</v>
      </c>
      <c r="AO279" s="403"/>
      <c r="AP279" s="403"/>
      <c r="AQ279" s="403"/>
      <c r="AR279" s="403"/>
      <c r="AS279" s="403"/>
      <c r="AT279" s="403"/>
      <c r="AU279" s="403"/>
      <c r="AV279" s="403"/>
      <c r="AW279" s="403"/>
      <c r="AX279" s="403"/>
      <c r="AY279" s="403"/>
      <c r="AZ279" s="403"/>
      <c r="BA279" s="403"/>
      <c r="BB279" s="403"/>
      <c r="BC279" s="403"/>
      <c r="BD279" s="403"/>
      <c r="BE279" s="403"/>
      <c r="BF279" s="403"/>
      <c r="BG279" s="403" t="s">
        <v>10228</v>
      </c>
      <c r="BH279" s="403"/>
      <c r="BI279" s="403"/>
      <c r="BJ279" s="403"/>
      <c r="BK279" s="403"/>
      <c r="BL279" s="403"/>
      <c r="BM279" s="403"/>
      <c r="BN279" s="403"/>
      <c r="BO279" s="403"/>
      <c r="BP279" s="403"/>
      <c r="BQ279" s="403"/>
      <c r="BR279" s="403"/>
      <c r="BS279" s="403"/>
      <c r="BT279" s="403"/>
      <c r="BU279" s="403"/>
      <c r="BV279" s="403"/>
      <c r="BW279" s="403"/>
      <c r="BX279" s="403"/>
      <c r="BY279" s="403"/>
      <c r="BZ279" s="403" t="s">
        <v>10718</v>
      </c>
      <c r="CA279" s="403"/>
      <c r="CB279" s="403"/>
      <c r="CC279" s="403"/>
      <c r="CD279" s="403"/>
      <c r="CE279" s="403"/>
      <c r="CF279" s="403"/>
      <c r="CG279" s="403"/>
      <c r="CH279" s="403"/>
      <c r="CI279" s="403"/>
      <c r="CJ279" s="403"/>
      <c r="CK279" s="403"/>
      <c r="CL279" s="403"/>
      <c r="CM279" s="403"/>
      <c r="CN279" s="403"/>
      <c r="CO279" s="403"/>
      <c r="CP279" s="403"/>
      <c r="CQ279" s="403"/>
      <c r="CR279" s="403"/>
      <c r="CS279" s="403" t="s">
        <v>8391</v>
      </c>
      <c r="CT279" s="403"/>
      <c r="CU279" s="403"/>
      <c r="CV279" s="403"/>
      <c r="CW279" s="403"/>
      <c r="CX279" s="403"/>
      <c r="CY279" s="403"/>
      <c r="CZ279" s="403"/>
      <c r="DA279" s="403"/>
      <c r="DB279" s="403"/>
      <c r="DC279" s="403"/>
      <c r="DD279" s="403"/>
      <c r="DE279" s="403"/>
      <c r="DF279" s="403"/>
      <c r="DG279" s="403"/>
      <c r="DH279" s="403"/>
      <c r="DI279" s="403"/>
      <c r="DJ279" s="403"/>
      <c r="DK279" s="403"/>
      <c r="DL279" s="403" t="s">
        <v>10249</v>
      </c>
      <c r="DM279" s="403"/>
      <c r="DN279" s="403"/>
      <c r="DO279" s="403"/>
      <c r="DP279" s="403"/>
      <c r="DQ279" s="403"/>
      <c r="DR279" s="403"/>
      <c r="DS279" s="403"/>
      <c r="DT279" s="403"/>
      <c r="DU279" s="403"/>
      <c r="DV279" s="403"/>
      <c r="DW279" s="403"/>
      <c r="DX279" s="403"/>
      <c r="DY279" s="403"/>
      <c r="DZ279" s="403"/>
      <c r="EA279" s="403"/>
      <c r="EB279" s="403"/>
      <c r="EC279" s="403"/>
      <c r="ED279" s="403"/>
      <c r="EE279" s="403" t="s">
        <v>8393</v>
      </c>
      <c r="EF279" s="403"/>
      <c r="EG279" s="403"/>
      <c r="EH279" s="403"/>
      <c r="EI279" s="403"/>
      <c r="EJ279" s="403"/>
      <c r="EK279" s="403"/>
      <c r="EL279" s="403"/>
      <c r="EM279" s="403"/>
      <c r="EN279" s="403"/>
      <c r="EO279" s="403"/>
      <c r="EP279" s="403"/>
      <c r="EQ279" s="403"/>
      <c r="ER279" s="403"/>
      <c r="ES279" s="403"/>
      <c r="ET279" s="403"/>
    </row>
    <row r="280" spans="1:150" s="281" customFormat="1" hidden="1" x14ac:dyDescent="0.2">
      <c r="A280" s="346" t="s">
        <v>14118</v>
      </c>
      <c r="C280" s="260" t="str">
        <f ca="1">IF(OFFSET(U280,0,Lang_Order*Lang__B4)="","",OFFSET(U280,0,Lang_Order*Lang__B4))</f>
        <v>Ultra-cold (-60 to -80C)</v>
      </c>
      <c r="D280" s="533" t="str">
        <f ca="1">IF(OFFSET(V280,0,Lang_Order*Lang__B4)="","",OFFSET(V280,0,Lang_Order*Lang__B4))</f>
        <v>and UCC vaccines (will be stored in 2-8C in districts)</v>
      </c>
      <c r="J280" s="146" t="e">
        <f>SUMPRODUCT($I$271:$I$274,J$271:J$274)</f>
        <v>#N/A</v>
      </c>
      <c r="K280" s="146" t="e">
        <f t="shared" ref="K280:O280" si="81">SUMPRODUCT($I$271:$I$274,K$271:K$274)</f>
        <v>#N/A</v>
      </c>
      <c r="L280" s="146" t="e">
        <f t="shared" si="81"/>
        <v>#N/A</v>
      </c>
      <c r="M280" s="146" t="e">
        <f t="shared" si="81"/>
        <v>#N/A</v>
      </c>
      <c r="N280" s="146" t="e">
        <f t="shared" si="81"/>
        <v>#N/A</v>
      </c>
      <c r="O280" s="146" t="e">
        <f t="shared" si="81"/>
        <v>#N/A</v>
      </c>
      <c r="P280" s="510"/>
      <c r="R280" s="403"/>
      <c r="S280" s="403"/>
      <c r="T280" s="403"/>
      <c r="U280" s="403" t="s">
        <v>13</v>
      </c>
      <c r="V280" s="403" t="s">
        <v>4518</v>
      </c>
      <c r="W280" s="403"/>
      <c r="X280" s="403"/>
      <c r="Y280" s="403"/>
      <c r="Z280" s="403"/>
      <c r="AA280" s="403"/>
      <c r="AB280" s="403"/>
      <c r="AC280" s="403"/>
      <c r="AD280" s="403"/>
      <c r="AE280" s="403"/>
      <c r="AF280" s="403"/>
      <c r="AG280" s="403"/>
      <c r="AH280" s="403"/>
      <c r="AI280" s="403"/>
      <c r="AJ280" s="403"/>
      <c r="AK280" s="403"/>
      <c r="AL280" s="403"/>
      <c r="AM280" s="403"/>
      <c r="AN280" s="403" t="s">
        <v>8394</v>
      </c>
      <c r="AO280" s="403" t="s">
        <v>13377</v>
      </c>
      <c r="AP280" s="403"/>
      <c r="AQ280" s="403"/>
      <c r="AR280" s="403"/>
      <c r="AS280" s="403"/>
      <c r="AT280" s="403"/>
      <c r="AU280" s="403"/>
      <c r="AV280" s="403"/>
      <c r="AW280" s="403"/>
      <c r="AX280" s="403"/>
      <c r="AY280" s="403"/>
      <c r="AZ280" s="403"/>
      <c r="BA280" s="403"/>
      <c r="BB280" s="403"/>
      <c r="BC280" s="403"/>
      <c r="BD280" s="403"/>
      <c r="BE280" s="403"/>
      <c r="BF280" s="403"/>
      <c r="BG280" s="403" t="s">
        <v>10229</v>
      </c>
      <c r="BH280" s="403" t="s">
        <v>13378</v>
      </c>
      <c r="BI280" s="403"/>
      <c r="BJ280" s="403"/>
      <c r="BK280" s="403"/>
      <c r="BL280" s="403"/>
      <c r="BM280" s="403"/>
      <c r="BN280" s="403"/>
      <c r="BO280" s="403"/>
      <c r="BP280" s="403"/>
      <c r="BQ280" s="403"/>
      <c r="BR280" s="403"/>
      <c r="BS280" s="403"/>
      <c r="BT280" s="403"/>
      <c r="BU280" s="403"/>
      <c r="BV280" s="403"/>
      <c r="BW280" s="403"/>
      <c r="BX280" s="403"/>
      <c r="BY280" s="403"/>
      <c r="BZ280" s="403" t="s">
        <v>10237</v>
      </c>
      <c r="CA280" s="403" t="s">
        <v>13379</v>
      </c>
      <c r="CB280" s="403"/>
      <c r="CC280" s="403"/>
      <c r="CD280" s="403"/>
      <c r="CE280" s="403"/>
      <c r="CF280" s="403"/>
      <c r="CG280" s="403"/>
      <c r="CH280" s="403"/>
      <c r="CI280" s="403"/>
      <c r="CJ280" s="403"/>
      <c r="CK280" s="403"/>
      <c r="CL280" s="403"/>
      <c r="CM280" s="403"/>
      <c r="CN280" s="403"/>
      <c r="CO280" s="403"/>
      <c r="CP280" s="403"/>
      <c r="CQ280" s="403"/>
      <c r="CR280" s="403"/>
      <c r="CS280" s="403" t="s">
        <v>8400</v>
      </c>
      <c r="CT280" s="403" t="s">
        <v>13380</v>
      </c>
      <c r="CU280" s="403"/>
      <c r="CV280" s="403"/>
      <c r="CW280" s="403"/>
      <c r="CX280" s="403"/>
      <c r="CY280" s="403"/>
      <c r="CZ280" s="403"/>
      <c r="DA280" s="403"/>
      <c r="DB280" s="403"/>
      <c r="DC280" s="403"/>
      <c r="DD280" s="403"/>
      <c r="DE280" s="403"/>
      <c r="DF280" s="403"/>
      <c r="DG280" s="403"/>
      <c r="DH280" s="403"/>
      <c r="DI280" s="403"/>
      <c r="DJ280" s="403"/>
      <c r="DK280" s="403"/>
      <c r="DL280" s="403" t="s">
        <v>10250</v>
      </c>
      <c r="DM280" s="403" t="s">
        <v>13381</v>
      </c>
      <c r="DN280" s="403"/>
      <c r="DO280" s="403"/>
      <c r="DP280" s="403"/>
      <c r="DQ280" s="403"/>
      <c r="DR280" s="403"/>
      <c r="DS280" s="403"/>
      <c r="DT280" s="403"/>
      <c r="DU280" s="403"/>
      <c r="DV280" s="403"/>
      <c r="DW280" s="403"/>
      <c r="DX280" s="403"/>
      <c r="DY280" s="403"/>
      <c r="DZ280" s="403"/>
      <c r="EA280" s="403"/>
      <c r="EB280" s="403"/>
      <c r="EC280" s="403"/>
      <c r="ED280" s="403"/>
      <c r="EE280" s="403" t="s">
        <v>8404</v>
      </c>
      <c r="EF280" s="403" t="s">
        <v>13382</v>
      </c>
      <c r="EG280" s="403"/>
      <c r="EH280" s="403"/>
      <c r="EI280" s="403"/>
      <c r="EJ280" s="403"/>
      <c r="EK280" s="403"/>
      <c r="EL280" s="403"/>
      <c r="EM280" s="403"/>
      <c r="EN280" s="403"/>
      <c r="EO280" s="403"/>
      <c r="EP280" s="403"/>
      <c r="EQ280" s="403"/>
      <c r="ER280" s="403"/>
      <c r="ES280" s="403"/>
      <c r="ET280" s="403"/>
    </row>
    <row r="281" spans="1:150" s="281" customFormat="1" x14ac:dyDescent="0.2">
      <c r="C281" s="270" t="str">
        <f ca="1">IF(OFFSET(U281,0,Lang_Order*Lang__B4)="","",OFFSET(U281,0,Lang_Order*Lang__B4))</f>
        <v>Refrigerated (2 to 8C) (TOTAL incl UCC)</v>
      </c>
      <c r="D281" s="85"/>
      <c r="J281" s="146" t="e">
        <f>J278+J280</f>
        <v>#N/A</v>
      </c>
      <c r="K281" s="146" t="e">
        <f t="shared" ref="K281:O281" si="82">K278+K280</f>
        <v>#N/A</v>
      </c>
      <c r="L281" s="146" t="e">
        <f t="shared" si="82"/>
        <v>#N/A</v>
      </c>
      <c r="M281" s="146" t="e">
        <f t="shared" si="82"/>
        <v>#N/A</v>
      </c>
      <c r="N281" s="146" t="e">
        <f t="shared" si="82"/>
        <v>#N/A</v>
      </c>
      <c r="O281" s="146" t="e">
        <f t="shared" si="82"/>
        <v>#N/A</v>
      </c>
      <c r="R281" s="403"/>
      <c r="S281" s="403"/>
      <c r="T281" s="403"/>
      <c r="U281" s="564" t="s">
        <v>4545</v>
      </c>
      <c r="AN281" s="564" t="s">
        <v>13515</v>
      </c>
      <c r="AU281" s="403"/>
      <c r="AV281" s="403"/>
      <c r="AW281" s="403"/>
      <c r="AX281" s="403"/>
      <c r="AY281" s="403"/>
      <c r="AZ281" s="403"/>
      <c r="BA281" s="403"/>
      <c r="BB281" s="403"/>
      <c r="BC281" s="403"/>
      <c r="BD281" s="403"/>
      <c r="BE281" s="403"/>
      <c r="BF281" s="403"/>
      <c r="BG281" s="564" t="s">
        <v>13516</v>
      </c>
      <c r="BM281" s="403"/>
      <c r="BN281" s="403"/>
      <c r="BO281" s="403"/>
      <c r="BP281" s="403"/>
      <c r="BQ281" s="403"/>
      <c r="BR281" s="403"/>
      <c r="BS281" s="403"/>
      <c r="BT281" s="403"/>
      <c r="BU281" s="403"/>
      <c r="BV281" s="403"/>
      <c r="BW281" s="403"/>
      <c r="BX281" s="403"/>
      <c r="BY281" s="403"/>
      <c r="BZ281" s="564" t="s">
        <v>13517</v>
      </c>
      <c r="CE281" s="403"/>
      <c r="CF281" s="403"/>
      <c r="CG281" s="403"/>
      <c r="CH281" s="403"/>
      <c r="CI281" s="403"/>
      <c r="CJ281" s="403"/>
      <c r="CK281" s="403"/>
      <c r="CL281" s="403"/>
      <c r="CM281" s="403"/>
      <c r="CN281" s="403"/>
      <c r="CO281" s="403"/>
      <c r="CP281" s="403"/>
      <c r="CQ281" s="403"/>
      <c r="CR281" s="403"/>
      <c r="CS281" s="564" t="s">
        <v>13518</v>
      </c>
      <c r="CW281" s="403"/>
      <c r="CX281" s="403"/>
      <c r="CY281" s="403"/>
      <c r="CZ281" s="403"/>
      <c r="DA281" s="403"/>
      <c r="DB281" s="403"/>
      <c r="DC281" s="403"/>
      <c r="DD281" s="403"/>
      <c r="DE281" s="403"/>
      <c r="DF281" s="403"/>
      <c r="DG281" s="403"/>
      <c r="DH281" s="403"/>
      <c r="DI281" s="403"/>
      <c r="DJ281" s="403"/>
      <c r="DK281" s="403"/>
      <c r="DL281" s="564" t="s">
        <v>13519</v>
      </c>
      <c r="DN281" s="403"/>
      <c r="DO281" s="403"/>
      <c r="DP281" s="403"/>
      <c r="DQ281" s="403"/>
      <c r="DR281" s="403"/>
      <c r="DS281" s="403"/>
      <c r="DT281" s="403"/>
      <c r="DU281" s="403"/>
      <c r="DV281" s="403"/>
      <c r="DW281" s="403"/>
      <c r="DX281" s="403"/>
      <c r="DY281" s="403"/>
      <c r="DZ281" s="403"/>
      <c r="EA281" s="403"/>
      <c r="EB281" s="403"/>
      <c r="EC281" s="403"/>
      <c r="ED281" s="403"/>
      <c r="EE281" s="564" t="s">
        <v>13520</v>
      </c>
      <c r="EF281" s="403"/>
      <c r="EG281" s="403"/>
      <c r="EH281" s="403"/>
      <c r="EI281" s="403"/>
      <c r="EJ281" s="403"/>
      <c r="EK281" s="403"/>
      <c r="EL281" s="403"/>
      <c r="EM281" s="403"/>
      <c r="EN281" s="403"/>
      <c r="EO281" s="403"/>
      <c r="EP281" s="403"/>
      <c r="EQ281" s="403"/>
      <c r="ER281" s="403"/>
      <c r="ES281" s="403"/>
      <c r="ET281" s="403"/>
    </row>
    <row r="282" spans="1:150" s="281" customFormat="1" ht="15" x14ac:dyDescent="0.25">
      <c r="B282" s="92" t="str">
        <f ca="1">IF(OFFSET(T282,0,Lang_Order*Lang__B4)="","",OFFSET(T282,0,Lang_Order*Lang__B4))</f>
        <v>Volume of existing routine vaccines required (liters) [PER FIXED SITE]</v>
      </c>
      <c r="C282" s="270"/>
      <c r="J282" s="16"/>
      <c r="K282" s="16"/>
      <c r="L282" s="16"/>
      <c r="M282" s="16"/>
      <c r="N282" s="16"/>
      <c r="O282" s="16"/>
      <c r="P282" s="297" t="str">
        <f ca="1">IF(OFFSET(AH282,0,Lang_Order*Lang__B4)="","",OFFSET(AH282,0,Lang_Order*Lang__B4))</f>
        <v>Liters</v>
      </c>
      <c r="Q282" s="16"/>
      <c r="R282" s="403"/>
      <c r="S282" s="403"/>
      <c r="T282" s="403" t="s">
        <v>3629</v>
      </c>
      <c r="U282" s="403"/>
      <c r="V282" s="403"/>
      <c r="W282" s="403"/>
      <c r="X282" s="403"/>
      <c r="Y282" s="403"/>
      <c r="Z282" s="403"/>
      <c r="AA282" s="403"/>
      <c r="AB282" s="403"/>
      <c r="AC282" s="403"/>
      <c r="AD282" s="403"/>
      <c r="AE282" s="403"/>
      <c r="AF282" s="403"/>
      <c r="AG282" s="403"/>
      <c r="AH282" s="403" t="s">
        <v>3204</v>
      </c>
      <c r="AI282" s="403"/>
      <c r="AJ282" s="403"/>
      <c r="AK282" s="403"/>
      <c r="AL282" s="403"/>
      <c r="AM282" s="403" t="s">
        <v>11235</v>
      </c>
      <c r="AN282" s="403"/>
      <c r="AO282" s="403"/>
      <c r="AP282" s="403"/>
      <c r="AQ282" s="403"/>
      <c r="AR282" s="403"/>
      <c r="AS282" s="403"/>
      <c r="AT282" s="403"/>
      <c r="AU282" s="403"/>
      <c r="AV282" s="403"/>
      <c r="AW282" s="403"/>
      <c r="AX282" s="403"/>
      <c r="AY282" s="403"/>
      <c r="AZ282" s="403"/>
      <c r="BA282" s="403" t="s">
        <v>10797</v>
      </c>
      <c r="BB282" s="403"/>
      <c r="BC282" s="403"/>
      <c r="BD282" s="403"/>
      <c r="BE282" s="403"/>
      <c r="BF282" s="403" t="s">
        <v>11236</v>
      </c>
      <c r="BG282" s="403"/>
      <c r="BH282" s="403"/>
      <c r="BI282" s="403"/>
      <c r="BJ282" s="403"/>
      <c r="BK282" s="403"/>
      <c r="BL282" s="403"/>
      <c r="BM282" s="403"/>
      <c r="BN282" s="403"/>
      <c r="BO282" s="403"/>
      <c r="BP282" s="403"/>
      <c r="BQ282" s="403"/>
      <c r="BR282" s="403"/>
      <c r="BS282" s="403"/>
      <c r="BT282" s="403" t="s">
        <v>10799</v>
      </c>
      <c r="BU282" s="403"/>
      <c r="BV282" s="403"/>
      <c r="BW282" s="403"/>
      <c r="BX282" s="403"/>
      <c r="BY282" s="403" t="s">
        <v>11237</v>
      </c>
      <c r="BZ282" s="403"/>
      <c r="CA282" s="403"/>
      <c r="CB282" s="403"/>
      <c r="CC282" s="403"/>
      <c r="CD282" s="403"/>
      <c r="CE282" s="403"/>
      <c r="CF282" s="403"/>
      <c r="CG282" s="403"/>
      <c r="CH282" s="403"/>
      <c r="CI282" s="403"/>
      <c r="CJ282" s="403"/>
      <c r="CK282" s="403"/>
      <c r="CL282" s="403"/>
      <c r="CM282" s="403" t="s">
        <v>10801</v>
      </c>
      <c r="CN282" s="403"/>
      <c r="CO282" s="403"/>
      <c r="CP282" s="403"/>
      <c r="CQ282" s="403"/>
      <c r="CR282" s="403" t="s">
        <v>11238</v>
      </c>
      <c r="CS282" s="403"/>
      <c r="CT282" s="403"/>
      <c r="CU282" s="403"/>
      <c r="CV282" s="403"/>
      <c r="CW282" s="403"/>
      <c r="CX282" s="403"/>
      <c r="CY282" s="403"/>
      <c r="CZ282" s="403"/>
      <c r="DA282" s="403"/>
      <c r="DB282" s="403"/>
      <c r="DC282" s="403"/>
      <c r="DD282" s="403"/>
      <c r="DE282" s="403"/>
      <c r="DF282" s="403" t="s">
        <v>10801</v>
      </c>
      <c r="DG282" s="403"/>
      <c r="DH282" s="403"/>
      <c r="DI282" s="403"/>
      <c r="DJ282" s="403"/>
      <c r="DK282" s="403" t="s">
        <v>11239</v>
      </c>
      <c r="DL282" s="403"/>
      <c r="DM282" s="403"/>
      <c r="DN282" s="403"/>
      <c r="DO282" s="403"/>
      <c r="DP282" s="403"/>
      <c r="DQ282" s="403"/>
      <c r="DR282" s="403"/>
      <c r="DS282" s="403"/>
      <c r="DT282" s="403"/>
      <c r="DU282" s="403"/>
      <c r="DV282" s="403"/>
      <c r="DW282" s="403"/>
      <c r="DX282" s="403"/>
      <c r="DY282" s="403" t="s">
        <v>10804</v>
      </c>
      <c r="DZ282" s="403"/>
      <c r="EA282" s="403"/>
      <c r="EB282" s="403"/>
      <c r="EC282" s="403"/>
      <c r="ED282" s="403" t="s">
        <v>11240</v>
      </c>
      <c r="EE282" s="403"/>
      <c r="EF282" s="403"/>
      <c r="EG282" s="403"/>
      <c r="EH282" s="403"/>
      <c r="EI282" s="403"/>
      <c r="EJ282" s="403"/>
      <c r="EK282" s="403"/>
      <c r="EL282" s="403"/>
      <c r="EM282" s="403"/>
      <c r="EN282" s="403"/>
      <c r="EO282" s="403"/>
      <c r="EP282" s="403"/>
      <c r="EQ282" s="403"/>
      <c r="ER282" s="403" t="s">
        <v>10806</v>
      </c>
      <c r="ES282" s="403"/>
      <c r="ET282" s="403"/>
    </row>
    <row r="283" spans="1:150" s="281" customFormat="1" x14ac:dyDescent="0.2">
      <c r="C283" s="72"/>
      <c r="J283" s="146"/>
      <c r="K283" s="146"/>
      <c r="L283" s="146"/>
      <c r="M283" s="146"/>
      <c r="N283" s="146"/>
      <c r="O283" s="146"/>
      <c r="P283" s="307" t="str">
        <f ca="1">IF(OFFSET(AH283,0,Lang_Order*Lang__B4)="","",OFFSET(AH283,0,Lang_Order*Lang__B4))</f>
        <v>Fill here if known</v>
      </c>
      <c r="Q283" s="16"/>
      <c r="R283" s="403"/>
      <c r="S283" s="403"/>
      <c r="T283" s="403"/>
      <c r="U283" s="403"/>
      <c r="V283" s="403"/>
      <c r="W283" s="403"/>
      <c r="X283" s="403"/>
      <c r="Y283" s="403"/>
      <c r="Z283" s="403"/>
      <c r="AA283" s="403"/>
      <c r="AB283" s="403"/>
      <c r="AC283" s="403"/>
      <c r="AD283" s="403"/>
      <c r="AE283" s="403"/>
      <c r="AF283" s="403"/>
      <c r="AG283" s="403"/>
      <c r="AH283" s="403" t="s">
        <v>3666</v>
      </c>
      <c r="AI283" s="403"/>
      <c r="AJ283" s="403"/>
      <c r="AK283" s="403"/>
      <c r="AL283" s="403"/>
      <c r="AM283" s="403"/>
      <c r="AN283" s="403"/>
      <c r="AO283" s="403"/>
      <c r="AP283" s="403"/>
      <c r="AQ283" s="403"/>
      <c r="AR283" s="403"/>
      <c r="AS283" s="403"/>
      <c r="AT283" s="403"/>
      <c r="AU283" s="403"/>
      <c r="AV283" s="403"/>
      <c r="AW283" s="403"/>
      <c r="AX283" s="403"/>
      <c r="AY283" s="403"/>
      <c r="AZ283" s="403"/>
      <c r="BA283" s="403" t="s">
        <v>10807</v>
      </c>
      <c r="BB283" s="403"/>
      <c r="BC283" s="403"/>
      <c r="BD283" s="403"/>
      <c r="BE283" s="403"/>
      <c r="BF283" s="403"/>
      <c r="BG283" s="403"/>
      <c r="BH283" s="403"/>
      <c r="BI283" s="403"/>
      <c r="BJ283" s="403"/>
      <c r="BK283" s="403"/>
      <c r="BL283" s="403"/>
      <c r="BM283" s="403"/>
      <c r="BN283" s="403"/>
      <c r="BO283" s="403"/>
      <c r="BP283" s="403"/>
      <c r="BQ283" s="403"/>
      <c r="BR283" s="403"/>
      <c r="BS283" s="403"/>
      <c r="BT283" s="403" t="s">
        <v>10992</v>
      </c>
      <c r="BU283" s="403"/>
      <c r="BV283" s="403"/>
      <c r="BW283" s="403"/>
      <c r="BX283" s="403"/>
      <c r="BY283" s="403"/>
      <c r="BZ283" s="403"/>
      <c r="CA283" s="403"/>
      <c r="CB283" s="403"/>
      <c r="CC283" s="403"/>
      <c r="CD283" s="403"/>
      <c r="CE283" s="403"/>
      <c r="CF283" s="403"/>
      <c r="CG283" s="403"/>
      <c r="CH283" s="403"/>
      <c r="CI283" s="403"/>
      <c r="CJ283" s="403"/>
      <c r="CK283" s="403"/>
      <c r="CL283" s="403"/>
      <c r="CM283" s="403" t="s">
        <v>10809</v>
      </c>
      <c r="CN283" s="403"/>
      <c r="CO283" s="403"/>
      <c r="CP283" s="403"/>
      <c r="CQ283" s="403"/>
      <c r="CR283" s="403"/>
      <c r="CS283" s="403"/>
      <c r="CT283" s="403"/>
      <c r="CU283" s="403"/>
      <c r="CV283" s="403"/>
      <c r="CW283" s="403"/>
      <c r="CX283" s="403"/>
      <c r="CY283" s="403"/>
      <c r="CZ283" s="403"/>
      <c r="DA283" s="403"/>
      <c r="DB283" s="403"/>
      <c r="DC283" s="403"/>
      <c r="DD283" s="403"/>
      <c r="DE283" s="403"/>
      <c r="DF283" s="403" t="s">
        <v>10810</v>
      </c>
      <c r="DG283" s="403"/>
      <c r="DH283" s="403"/>
      <c r="DI283" s="403"/>
      <c r="DJ283" s="403"/>
      <c r="DK283" s="403"/>
      <c r="DL283" s="403"/>
      <c r="DM283" s="403"/>
      <c r="DN283" s="403"/>
      <c r="DO283" s="403"/>
      <c r="DP283" s="403"/>
      <c r="DQ283" s="403"/>
      <c r="DR283" s="403"/>
      <c r="DS283" s="403"/>
      <c r="DT283" s="403"/>
      <c r="DU283" s="403"/>
      <c r="DV283" s="403"/>
      <c r="DW283" s="403"/>
      <c r="DX283" s="403"/>
      <c r="DY283" s="403" t="s">
        <v>10994</v>
      </c>
      <c r="DZ283" s="403"/>
      <c r="EA283" s="403"/>
      <c r="EB283" s="403"/>
      <c r="EC283" s="403"/>
      <c r="ED283" s="403"/>
      <c r="EE283" s="403"/>
      <c r="EF283" s="403"/>
      <c r="EG283" s="403"/>
      <c r="EH283" s="403"/>
      <c r="EI283" s="403"/>
      <c r="EJ283" s="403"/>
      <c r="EK283" s="403"/>
      <c r="EL283" s="403"/>
      <c r="EM283" s="403"/>
      <c r="EN283" s="403"/>
      <c r="EO283" s="403"/>
      <c r="EP283" s="403"/>
      <c r="EQ283" s="403"/>
      <c r="ER283" s="403" t="s">
        <v>10812</v>
      </c>
      <c r="ES283" s="403"/>
      <c r="ET283" s="403"/>
    </row>
    <row r="284" spans="1:150" s="281" customFormat="1" x14ac:dyDescent="0.2">
      <c r="C284" s="5" t="str">
        <f ca="1">IF(OFFSET(U284,0,Lang_Order*Lang__B4)="","",OFFSET(U284,0,Lang_Order*Lang__B4))</f>
        <v>Refrigerated (2 to 8C)</v>
      </c>
      <c r="J284" s="146"/>
      <c r="K284" s="146"/>
      <c r="L284" s="146"/>
      <c r="M284" s="146"/>
      <c r="N284" s="146"/>
      <c r="O284" s="146"/>
      <c r="P284" s="205">
        <v>0</v>
      </c>
      <c r="Q284" s="157" t="str">
        <f ca="1">IF(OFFSET(AI284,0,Lang_Order*Lang__B4)="","",OFFSET(AI284,0,Lang_Order*Lang__B4))</f>
        <v>If the volume of existing routine vaccines required is known, can be inputed here</v>
      </c>
      <c r="R284" s="403"/>
      <c r="S284" s="403"/>
      <c r="T284" s="403"/>
      <c r="U284" s="403" t="s">
        <v>11</v>
      </c>
      <c r="V284" s="403"/>
      <c r="W284" s="403"/>
      <c r="X284" s="403"/>
      <c r="Y284" s="403"/>
      <c r="Z284" s="403"/>
      <c r="AA284" s="403"/>
      <c r="AB284" s="403"/>
      <c r="AC284" s="403"/>
      <c r="AD284" s="403"/>
      <c r="AE284" s="403"/>
      <c r="AF284" s="403"/>
      <c r="AG284" s="403"/>
      <c r="AH284" s="403"/>
      <c r="AI284" s="403" t="s">
        <v>3205</v>
      </c>
      <c r="AJ284" s="403"/>
      <c r="AK284" s="403"/>
      <c r="AL284" s="403"/>
      <c r="AM284" s="403"/>
      <c r="AN284" s="403" t="s">
        <v>10714</v>
      </c>
      <c r="AO284" s="403"/>
      <c r="AP284" s="403"/>
      <c r="AQ284" s="403"/>
      <c r="AR284" s="403"/>
      <c r="AS284" s="403"/>
      <c r="AT284" s="403"/>
      <c r="AU284" s="403"/>
      <c r="AV284" s="403"/>
      <c r="AW284" s="403"/>
      <c r="AX284" s="403"/>
      <c r="AY284" s="403"/>
      <c r="AZ284" s="403"/>
      <c r="BA284" s="403"/>
      <c r="BB284" s="403" t="s">
        <v>10813</v>
      </c>
      <c r="BC284" s="403"/>
      <c r="BD284" s="403"/>
      <c r="BE284" s="403"/>
      <c r="BF284" s="403"/>
      <c r="BG284" s="403" t="s">
        <v>10227</v>
      </c>
      <c r="BH284" s="403"/>
      <c r="BI284" s="403"/>
      <c r="BJ284" s="403"/>
      <c r="BK284" s="403"/>
      <c r="BL284" s="403"/>
      <c r="BM284" s="403"/>
      <c r="BN284" s="403"/>
      <c r="BO284" s="403"/>
      <c r="BP284" s="403"/>
      <c r="BQ284" s="403"/>
      <c r="BR284" s="403"/>
      <c r="BS284" s="403"/>
      <c r="BT284" s="403"/>
      <c r="BU284" s="403" t="s">
        <v>10814</v>
      </c>
      <c r="BV284" s="403"/>
      <c r="BW284" s="403"/>
      <c r="BX284" s="403"/>
      <c r="BY284" s="403"/>
      <c r="BZ284" s="403" t="s">
        <v>10715</v>
      </c>
      <c r="CA284" s="403"/>
      <c r="CB284" s="403"/>
      <c r="CC284" s="403"/>
      <c r="CD284" s="403"/>
      <c r="CE284" s="403"/>
      <c r="CF284" s="403"/>
      <c r="CG284" s="403"/>
      <c r="CH284" s="403"/>
      <c r="CI284" s="403"/>
      <c r="CJ284" s="403"/>
      <c r="CK284" s="403"/>
      <c r="CL284" s="403"/>
      <c r="CM284" s="403"/>
      <c r="CN284" s="403" t="s">
        <v>11241</v>
      </c>
      <c r="CO284" s="403"/>
      <c r="CP284" s="403"/>
      <c r="CQ284" s="403"/>
      <c r="CR284" s="403"/>
      <c r="CS284" s="403" t="s">
        <v>8384</v>
      </c>
      <c r="CT284" s="403"/>
      <c r="CU284" s="403"/>
      <c r="CV284" s="403"/>
      <c r="CW284" s="403"/>
      <c r="CX284" s="403"/>
      <c r="CY284" s="403"/>
      <c r="CZ284" s="403"/>
      <c r="DA284" s="403"/>
      <c r="DB284" s="403"/>
      <c r="DC284" s="403"/>
      <c r="DD284" s="403"/>
      <c r="DE284" s="403"/>
      <c r="DF284" s="403"/>
      <c r="DG284" s="403" t="s">
        <v>10816</v>
      </c>
      <c r="DH284" s="403"/>
      <c r="DI284" s="403"/>
      <c r="DJ284" s="403"/>
      <c r="DK284" s="403"/>
      <c r="DL284" s="403" t="s">
        <v>10248</v>
      </c>
      <c r="DM284" s="403"/>
      <c r="DN284" s="403"/>
      <c r="DO284" s="403"/>
      <c r="DP284" s="403"/>
      <c r="DQ284" s="403"/>
      <c r="DR284" s="403"/>
      <c r="DS284" s="403"/>
      <c r="DT284" s="403"/>
      <c r="DU284" s="403"/>
      <c r="DV284" s="403"/>
      <c r="DW284" s="403"/>
      <c r="DX284" s="403"/>
      <c r="DY284" s="403"/>
      <c r="DZ284" s="403" t="s">
        <v>10817</v>
      </c>
      <c r="EA284" s="403"/>
      <c r="EB284" s="403"/>
      <c r="EC284" s="403"/>
      <c r="ED284" s="403"/>
      <c r="EE284" s="403" t="s">
        <v>8387</v>
      </c>
      <c r="EF284" s="403"/>
      <c r="EG284" s="403"/>
      <c r="EH284" s="403"/>
      <c r="EI284" s="403"/>
      <c r="EJ284" s="403"/>
      <c r="EK284" s="403"/>
      <c r="EL284" s="403"/>
      <c r="EM284" s="403"/>
      <c r="EN284" s="403"/>
      <c r="EO284" s="403"/>
      <c r="EP284" s="403"/>
      <c r="EQ284" s="403"/>
      <c r="ER284" s="403"/>
      <c r="ES284" s="403" t="s">
        <v>10818</v>
      </c>
      <c r="ET284" s="403"/>
    </row>
    <row r="285" spans="1:150" s="281" customFormat="1" x14ac:dyDescent="0.2">
      <c r="C285" s="5" t="str">
        <f ca="1">IF(OFFSET(U285,0,Lang_Order*Lang__B4)="","",OFFSET(U285,0,Lang_Order*Lang__B4))</f>
        <v>Frozen (-20C)</v>
      </c>
      <c r="J285" s="146"/>
      <c r="K285" s="146"/>
      <c r="L285" s="146"/>
      <c r="M285" s="146"/>
      <c r="N285" s="146"/>
      <c r="O285" s="146"/>
      <c r="P285" s="205">
        <v>0</v>
      </c>
      <c r="Q285" s="157" t="str">
        <f ca="1">IF(OFFSET(AI285,0,Lang_Order*Lang__B4)="","",OFFSET(AI285,0,Lang_Order*Lang__B4))</f>
        <v>If the volume of existing routine vaccines required is known, can be inputed here</v>
      </c>
      <c r="R285" s="403"/>
      <c r="S285" s="403"/>
      <c r="T285" s="403"/>
      <c r="U285" s="403" t="s">
        <v>12</v>
      </c>
      <c r="V285" s="403"/>
      <c r="W285" s="403"/>
      <c r="X285" s="403"/>
      <c r="Y285" s="403"/>
      <c r="Z285" s="403"/>
      <c r="AA285" s="403"/>
      <c r="AB285" s="403"/>
      <c r="AC285" s="403"/>
      <c r="AD285" s="403"/>
      <c r="AE285" s="403"/>
      <c r="AF285" s="403"/>
      <c r="AG285" s="403"/>
      <c r="AH285" s="403"/>
      <c r="AI285" s="403" t="s">
        <v>3205</v>
      </c>
      <c r="AJ285" s="403"/>
      <c r="AK285" s="403"/>
      <c r="AL285" s="403"/>
      <c r="AM285" s="403"/>
      <c r="AN285" s="403" t="s">
        <v>10717</v>
      </c>
      <c r="AO285" s="403"/>
      <c r="AP285" s="403"/>
      <c r="AQ285" s="403"/>
      <c r="AR285" s="403"/>
      <c r="AS285" s="403"/>
      <c r="AT285" s="403"/>
      <c r="AU285" s="403"/>
      <c r="AV285" s="403"/>
      <c r="AW285" s="403"/>
      <c r="AX285" s="403"/>
      <c r="AY285" s="403"/>
      <c r="AZ285" s="403"/>
      <c r="BA285" s="403"/>
      <c r="BB285" s="403" t="s">
        <v>10813</v>
      </c>
      <c r="BC285" s="403"/>
      <c r="BD285" s="403"/>
      <c r="BE285" s="403"/>
      <c r="BF285" s="403"/>
      <c r="BG285" s="403" t="s">
        <v>10228</v>
      </c>
      <c r="BH285" s="403"/>
      <c r="BI285" s="403"/>
      <c r="BJ285" s="403"/>
      <c r="BK285" s="403"/>
      <c r="BL285" s="403"/>
      <c r="BM285" s="403"/>
      <c r="BN285" s="403"/>
      <c r="BO285" s="403"/>
      <c r="BP285" s="403"/>
      <c r="BQ285" s="403"/>
      <c r="BR285" s="403"/>
      <c r="BS285" s="403"/>
      <c r="BT285" s="403"/>
      <c r="BU285" s="403" t="s">
        <v>10814</v>
      </c>
      <c r="BV285" s="403"/>
      <c r="BW285" s="403"/>
      <c r="BX285" s="403"/>
      <c r="BY285" s="403"/>
      <c r="BZ285" s="403" t="s">
        <v>10718</v>
      </c>
      <c r="CA285" s="403"/>
      <c r="CB285" s="403"/>
      <c r="CC285" s="403"/>
      <c r="CD285" s="403"/>
      <c r="CE285" s="403"/>
      <c r="CF285" s="403"/>
      <c r="CG285" s="403"/>
      <c r="CH285" s="403"/>
      <c r="CI285" s="403"/>
      <c r="CJ285" s="403"/>
      <c r="CK285" s="403"/>
      <c r="CL285" s="403"/>
      <c r="CM285" s="403"/>
      <c r="CN285" s="403" t="s">
        <v>10815</v>
      </c>
      <c r="CO285" s="403"/>
      <c r="CP285" s="403"/>
      <c r="CQ285" s="403"/>
      <c r="CR285" s="403"/>
      <c r="CS285" s="403" t="s">
        <v>8391</v>
      </c>
      <c r="CT285" s="403"/>
      <c r="CU285" s="403"/>
      <c r="CV285" s="403"/>
      <c r="CW285" s="403"/>
      <c r="CX285" s="403"/>
      <c r="CY285" s="403"/>
      <c r="CZ285" s="403"/>
      <c r="DA285" s="403"/>
      <c r="DB285" s="403"/>
      <c r="DC285" s="403"/>
      <c r="DD285" s="403"/>
      <c r="DE285" s="403"/>
      <c r="DF285" s="403"/>
      <c r="DG285" s="403" t="s">
        <v>10816</v>
      </c>
      <c r="DH285" s="403"/>
      <c r="DI285" s="403"/>
      <c r="DJ285" s="403"/>
      <c r="DK285" s="403"/>
      <c r="DL285" s="403" t="s">
        <v>10249</v>
      </c>
      <c r="DM285" s="403"/>
      <c r="DN285" s="403"/>
      <c r="DO285" s="403"/>
      <c r="DP285" s="403"/>
      <c r="DQ285" s="403"/>
      <c r="DR285" s="403"/>
      <c r="DS285" s="403"/>
      <c r="DT285" s="403"/>
      <c r="DU285" s="403"/>
      <c r="DV285" s="403"/>
      <c r="DW285" s="403"/>
      <c r="DX285" s="403"/>
      <c r="DY285" s="403"/>
      <c r="DZ285" s="403" t="s">
        <v>10817</v>
      </c>
      <c r="EA285" s="403"/>
      <c r="EB285" s="403"/>
      <c r="EC285" s="403"/>
      <c r="ED285" s="403"/>
      <c r="EE285" s="403" t="s">
        <v>8393</v>
      </c>
      <c r="EF285" s="403"/>
      <c r="EG285" s="403"/>
      <c r="EH285" s="403"/>
      <c r="EI285" s="403"/>
      <c r="EJ285" s="403"/>
      <c r="EK285" s="403"/>
      <c r="EL285" s="403"/>
      <c r="EM285" s="403"/>
      <c r="EN285" s="403"/>
      <c r="EO285" s="403"/>
      <c r="EP285" s="403"/>
      <c r="EQ285" s="403"/>
      <c r="ER285" s="403"/>
      <c r="ES285" s="403" t="s">
        <v>10818</v>
      </c>
      <c r="ET285" s="403"/>
    </row>
    <row r="286" spans="1:150" s="281" customFormat="1" hidden="1" x14ac:dyDescent="0.2">
      <c r="A286" s="346" t="s">
        <v>14118</v>
      </c>
      <c r="C286" s="72" t="str">
        <f ca="1">IF(OFFSET(U286,0,Lang_Order*Lang__B4)="","",OFFSET(U286,0,Lang_Order*Lang__B4))</f>
        <v>Ultra-cold (-60 to -80C)</v>
      </c>
      <c r="J286" s="146"/>
      <c r="K286" s="146"/>
      <c r="L286" s="146"/>
      <c r="M286" s="146"/>
      <c r="N286" s="146"/>
      <c r="O286" s="146"/>
      <c r="P286" s="287"/>
      <c r="Q286" s="16"/>
      <c r="R286" s="403"/>
      <c r="S286" s="403"/>
      <c r="T286" s="403"/>
      <c r="U286" s="403" t="s">
        <v>13</v>
      </c>
      <c r="V286" s="403"/>
      <c r="W286" s="403"/>
      <c r="X286" s="403"/>
      <c r="Y286" s="403"/>
      <c r="Z286" s="403"/>
      <c r="AA286" s="403"/>
      <c r="AB286" s="403"/>
      <c r="AC286" s="403"/>
      <c r="AD286" s="403"/>
      <c r="AE286" s="403"/>
      <c r="AF286" s="403"/>
      <c r="AG286" s="403"/>
      <c r="AH286" s="403"/>
      <c r="AI286" s="403"/>
      <c r="AJ286" s="403"/>
      <c r="AK286" s="403"/>
      <c r="AL286" s="403"/>
      <c r="AM286" s="403"/>
      <c r="AN286" s="403" t="s">
        <v>8394</v>
      </c>
      <c r="AO286" s="403"/>
      <c r="AP286" s="403"/>
      <c r="AQ286" s="403"/>
      <c r="AR286" s="403"/>
      <c r="AS286" s="403"/>
      <c r="AT286" s="403"/>
      <c r="AU286" s="403"/>
      <c r="AV286" s="403"/>
      <c r="AW286" s="403"/>
      <c r="AX286" s="403"/>
      <c r="AY286" s="403"/>
      <c r="AZ286" s="403"/>
      <c r="BA286" s="403"/>
      <c r="BB286" s="403"/>
      <c r="BC286" s="403"/>
      <c r="BD286" s="403"/>
      <c r="BE286" s="403"/>
      <c r="BF286" s="403"/>
      <c r="BG286" s="403" t="s">
        <v>10229</v>
      </c>
      <c r="BH286" s="403"/>
      <c r="BI286" s="403"/>
      <c r="BJ286" s="403"/>
      <c r="BK286" s="403"/>
      <c r="BL286" s="403"/>
      <c r="BM286" s="403"/>
      <c r="BN286" s="403"/>
      <c r="BO286" s="403"/>
      <c r="BP286" s="403"/>
      <c r="BQ286" s="403"/>
      <c r="BR286" s="403"/>
      <c r="BS286" s="403"/>
      <c r="BT286" s="403"/>
      <c r="BU286" s="403"/>
      <c r="BV286" s="403"/>
      <c r="BW286" s="403"/>
      <c r="BX286" s="403"/>
      <c r="BY286" s="403"/>
      <c r="BZ286" s="403" t="s">
        <v>10237</v>
      </c>
      <c r="CA286" s="403"/>
      <c r="CB286" s="403"/>
      <c r="CC286" s="403"/>
      <c r="CD286" s="403"/>
      <c r="CE286" s="403"/>
      <c r="CF286" s="403"/>
      <c r="CG286" s="403"/>
      <c r="CH286" s="403"/>
      <c r="CI286" s="403"/>
      <c r="CJ286" s="403"/>
      <c r="CK286" s="403"/>
      <c r="CL286" s="403"/>
      <c r="CM286" s="403"/>
      <c r="CN286" s="403"/>
      <c r="CO286" s="403"/>
      <c r="CP286" s="403"/>
      <c r="CQ286" s="403"/>
      <c r="CR286" s="403"/>
      <c r="CS286" s="403" t="s">
        <v>8400</v>
      </c>
      <c r="CT286" s="403"/>
      <c r="CU286" s="403"/>
      <c r="CV286" s="403"/>
      <c r="CW286" s="403"/>
      <c r="CX286" s="403"/>
      <c r="CY286" s="403"/>
      <c r="CZ286" s="403"/>
      <c r="DA286" s="403"/>
      <c r="DB286" s="403"/>
      <c r="DC286" s="403"/>
      <c r="DD286" s="403"/>
      <c r="DE286" s="403"/>
      <c r="DF286" s="403"/>
      <c r="DG286" s="403"/>
      <c r="DH286" s="403"/>
      <c r="DI286" s="403"/>
      <c r="DJ286" s="403"/>
      <c r="DK286" s="403"/>
      <c r="DL286" s="403" t="s">
        <v>10250</v>
      </c>
      <c r="DM286" s="403"/>
      <c r="DN286" s="403"/>
      <c r="DO286" s="403"/>
      <c r="DP286" s="403"/>
      <c r="DQ286" s="403"/>
      <c r="DR286" s="403"/>
      <c r="DS286" s="403"/>
      <c r="DT286" s="403"/>
      <c r="DU286" s="403"/>
      <c r="DV286" s="403"/>
      <c r="DW286" s="403"/>
      <c r="DX286" s="403"/>
      <c r="DY286" s="403"/>
      <c r="DZ286" s="403"/>
      <c r="EA286" s="403"/>
      <c r="EB286" s="403"/>
      <c r="EC286" s="403"/>
      <c r="ED286" s="403"/>
      <c r="EE286" s="403" t="s">
        <v>8404</v>
      </c>
      <c r="EF286" s="403"/>
      <c r="EG286" s="403"/>
      <c r="EH286" s="403"/>
      <c r="EI286" s="403"/>
      <c r="EJ286" s="403"/>
      <c r="EK286" s="403"/>
      <c r="EL286" s="403"/>
      <c r="EM286" s="403"/>
      <c r="EN286" s="403"/>
      <c r="EO286" s="403"/>
      <c r="EP286" s="403"/>
      <c r="EQ286" s="403"/>
      <c r="ER286" s="403"/>
      <c r="ES286" s="403"/>
      <c r="ET286" s="403"/>
    </row>
    <row r="287" spans="1:150" s="281" customFormat="1" x14ac:dyDescent="0.2">
      <c r="C287" s="5"/>
      <c r="J287" s="146"/>
      <c r="K287" s="146"/>
      <c r="L287" s="146"/>
      <c r="M287" s="146"/>
      <c r="N287" s="146"/>
      <c r="O287" s="146"/>
      <c r="P287" s="287"/>
      <c r="Q287" s="16"/>
      <c r="R287" s="403"/>
      <c r="S287" s="403"/>
      <c r="T287" s="403"/>
      <c r="U287" s="403"/>
      <c r="V287" s="403"/>
      <c r="W287" s="403"/>
      <c r="X287" s="403"/>
      <c r="Y287" s="403"/>
      <c r="Z287" s="403"/>
      <c r="AA287" s="403"/>
      <c r="AB287" s="403"/>
      <c r="AC287" s="403"/>
      <c r="AD287" s="403"/>
      <c r="AE287" s="403"/>
      <c r="AF287" s="403"/>
      <c r="AG287" s="403"/>
      <c r="AH287" s="403"/>
      <c r="AI287" s="403"/>
      <c r="AJ287" s="403"/>
      <c r="AK287" s="403"/>
      <c r="AL287" s="403"/>
      <c r="AM287" s="403"/>
      <c r="AN287" s="403"/>
      <c r="AO287" s="403"/>
      <c r="AP287" s="403"/>
      <c r="AQ287" s="403"/>
      <c r="AR287" s="403"/>
      <c r="AS287" s="403"/>
      <c r="AT287" s="403"/>
      <c r="AU287" s="403"/>
      <c r="AV287" s="403"/>
      <c r="AW287" s="403"/>
      <c r="AX287" s="403"/>
      <c r="AY287" s="403"/>
      <c r="AZ287" s="403"/>
      <c r="BA287" s="403"/>
      <c r="BB287" s="403"/>
      <c r="BC287" s="403"/>
      <c r="BD287" s="403"/>
      <c r="BE287" s="403"/>
      <c r="BF287" s="403"/>
      <c r="BG287" s="403"/>
      <c r="BH287" s="403"/>
      <c r="BI287" s="403"/>
      <c r="BJ287" s="403"/>
      <c r="BK287" s="403"/>
      <c r="BL287" s="403"/>
      <c r="BM287" s="403"/>
      <c r="BN287" s="403"/>
      <c r="BO287" s="403"/>
      <c r="BP287" s="403"/>
      <c r="BQ287" s="403"/>
      <c r="BR287" s="403"/>
      <c r="BS287" s="403"/>
      <c r="BT287" s="403"/>
      <c r="BU287" s="403"/>
      <c r="BV287" s="403"/>
      <c r="BW287" s="403"/>
      <c r="BX287" s="403"/>
      <c r="BY287" s="403"/>
      <c r="BZ287" s="403"/>
      <c r="CA287" s="403"/>
      <c r="CB287" s="403"/>
      <c r="CC287" s="403"/>
      <c r="CD287" s="403"/>
      <c r="CE287" s="403"/>
      <c r="CF287" s="403"/>
      <c r="CG287" s="403"/>
      <c r="CH287" s="403"/>
      <c r="CI287" s="403"/>
      <c r="CJ287" s="403"/>
      <c r="CK287" s="403"/>
      <c r="CL287" s="403"/>
      <c r="CM287" s="403"/>
      <c r="CN287" s="403"/>
      <c r="CO287" s="403"/>
      <c r="CP287" s="403"/>
      <c r="CQ287" s="403"/>
      <c r="CR287" s="403"/>
      <c r="CS287" s="403"/>
      <c r="CT287" s="403"/>
      <c r="CU287" s="403"/>
      <c r="CV287" s="403"/>
      <c r="CW287" s="403"/>
      <c r="CX287" s="403"/>
      <c r="CY287" s="403"/>
      <c r="CZ287" s="403"/>
      <c r="DA287" s="403"/>
      <c r="DB287" s="403"/>
      <c r="DC287" s="403"/>
      <c r="DD287" s="403"/>
      <c r="DE287" s="403"/>
      <c r="DF287" s="403"/>
      <c r="DG287" s="403"/>
      <c r="DH287" s="403"/>
      <c r="DI287" s="403"/>
      <c r="DJ287" s="403"/>
      <c r="DK287" s="403"/>
      <c r="DL287" s="403"/>
      <c r="DM287" s="403"/>
      <c r="DN287" s="403"/>
      <c r="DO287" s="403"/>
      <c r="DP287" s="403"/>
      <c r="DQ287" s="403"/>
      <c r="DR287" s="403"/>
      <c r="DS287" s="403"/>
      <c r="DT287" s="403"/>
      <c r="DU287" s="403"/>
      <c r="DV287" s="403"/>
      <c r="DW287" s="403"/>
      <c r="DX287" s="403"/>
      <c r="DY287" s="403"/>
      <c r="DZ287" s="403"/>
      <c r="EA287" s="403"/>
      <c r="EB287" s="403"/>
      <c r="EC287" s="403"/>
      <c r="ED287" s="403"/>
      <c r="EE287" s="403"/>
      <c r="EF287" s="403"/>
      <c r="EG287" s="403"/>
      <c r="EH287" s="403"/>
      <c r="EI287" s="403"/>
      <c r="EJ287" s="403"/>
      <c r="EK287" s="403"/>
      <c r="EL287" s="403"/>
      <c r="EM287" s="403"/>
      <c r="EN287" s="403"/>
      <c r="EO287" s="403"/>
      <c r="EP287" s="403"/>
      <c r="EQ287" s="403"/>
      <c r="ER287" s="403"/>
      <c r="ES287" s="403"/>
      <c r="ET287" s="403"/>
    </row>
    <row r="288" spans="1:150" s="281" customFormat="1" ht="15" x14ac:dyDescent="0.25">
      <c r="B288" s="624" t="str">
        <f ca="1">IF(OFFSET(T288,0,Lang_Order*Lang__B4)="","",OFFSET(T288,0,Lang_Order*Lang__B4))</f>
        <v>Cold storage units required</v>
      </c>
      <c r="C288" s="5"/>
      <c r="J288" s="294" t="str">
        <f t="shared" ref="J288:P288" ca="1" si="83">IF(OFFSET(AB288,0,Lang_Order*Lang__B4)="","",OFFSET(AB288,0,Lang_Order*Lang__B4))</f>
        <v>Refridgerator capacity per unit</v>
      </c>
      <c r="K288" s="294" t="str">
        <f t="shared" ca="1" si="83"/>
        <v>Freezer capacity per unit</v>
      </c>
      <c r="L288" s="294" t="str">
        <f t="shared" ca="1" si="83"/>
        <v>kWh per period</v>
      </c>
      <c r="M288" s="294" t="str">
        <f t="shared" ca="1" si="83"/>
        <v>Lower Price</v>
      </c>
      <c r="N288" s="294" t="str">
        <f t="shared" ca="1" si="83"/>
        <v>Upper Price</v>
      </c>
      <c r="O288" s="294" t="str">
        <f t="shared" ca="1" si="83"/>
        <v>Prequalified Price</v>
      </c>
      <c r="P288" s="297" t="str">
        <f t="shared" ca="1" si="83"/>
        <v>Units</v>
      </c>
      <c r="Q288" s="91"/>
      <c r="R288" s="403"/>
      <c r="S288" s="403"/>
      <c r="T288" s="403" t="s">
        <v>3594</v>
      </c>
      <c r="U288" s="403"/>
      <c r="V288" s="403"/>
      <c r="W288" s="403"/>
      <c r="X288" s="403"/>
      <c r="Y288" s="403"/>
      <c r="Z288" s="403"/>
      <c r="AA288" s="403"/>
      <c r="AB288" s="403" t="s">
        <v>3575</v>
      </c>
      <c r="AC288" s="403" t="s">
        <v>3576</v>
      </c>
      <c r="AD288" s="403" t="s">
        <v>3212</v>
      </c>
      <c r="AE288" s="403" t="s">
        <v>3591</v>
      </c>
      <c r="AF288" s="403" t="s">
        <v>3590</v>
      </c>
      <c r="AG288" s="403" t="s">
        <v>4618</v>
      </c>
      <c r="AH288" s="403" t="s">
        <v>37</v>
      </c>
      <c r="AI288" s="403"/>
      <c r="AJ288" s="403"/>
      <c r="AK288" s="403"/>
      <c r="AL288" s="403"/>
      <c r="AM288" s="403" t="s">
        <v>11136</v>
      </c>
      <c r="AN288" s="403"/>
      <c r="AO288" s="403"/>
      <c r="AP288" s="403"/>
      <c r="AQ288" s="403"/>
      <c r="AR288" s="403"/>
      <c r="AS288" s="403"/>
      <c r="AT288" s="403"/>
      <c r="AU288" s="403" t="s">
        <v>10820</v>
      </c>
      <c r="AV288" s="403" t="s">
        <v>10821</v>
      </c>
      <c r="AW288" s="403" t="s">
        <v>10996</v>
      </c>
      <c r="AX288" s="403" t="s">
        <v>10823</v>
      </c>
      <c r="AY288" s="403" t="s">
        <v>10824</v>
      </c>
      <c r="AZ288" s="403" t="s">
        <v>10825</v>
      </c>
      <c r="BA288" s="403" t="s">
        <v>8153</v>
      </c>
      <c r="BB288" s="403"/>
      <c r="BC288" s="403"/>
      <c r="BD288" s="403"/>
      <c r="BE288" s="403"/>
      <c r="BF288" s="403" t="s">
        <v>11137</v>
      </c>
      <c r="BG288" s="403"/>
      <c r="BH288" s="403"/>
      <c r="BI288" s="403"/>
      <c r="BJ288" s="403"/>
      <c r="BK288" s="403"/>
      <c r="BL288" s="403"/>
      <c r="BM288" s="403"/>
      <c r="BN288" s="403" t="s">
        <v>10827</v>
      </c>
      <c r="BO288" s="403" t="s">
        <v>10828</v>
      </c>
      <c r="BP288" s="403" t="s">
        <v>10829</v>
      </c>
      <c r="BQ288" s="403" t="s">
        <v>10830</v>
      </c>
      <c r="BR288" s="403" t="s">
        <v>10831</v>
      </c>
      <c r="BS288" s="403" t="s">
        <v>13305</v>
      </c>
      <c r="BT288" s="403" t="s">
        <v>10832</v>
      </c>
      <c r="BU288" s="403"/>
      <c r="BV288" s="403"/>
      <c r="BW288" s="403"/>
      <c r="BX288" s="403"/>
      <c r="BY288" s="403" t="s">
        <v>11138</v>
      </c>
      <c r="BZ288" s="403"/>
      <c r="CA288" s="403"/>
      <c r="CB288" s="403"/>
      <c r="CC288" s="403"/>
      <c r="CD288" s="403"/>
      <c r="CE288" s="403"/>
      <c r="CF288" s="403"/>
      <c r="CG288" s="403" t="s">
        <v>10834</v>
      </c>
      <c r="CH288" s="403" t="s">
        <v>10835</v>
      </c>
      <c r="CI288" s="403" t="s">
        <v>10999</v>
      </c>
      <c r="CJ288" s="403" t="s">
        <v>10837</v>
      </c>
      <c r="CK288" s="403" t="s">
        <v>11139</v>
      </c>
      <c r="CL288" s="403" t="s">
        <v>13306</v>
      </c>
      <c r="CM288" s="403" t="s">
        <v>8159</v>
      </c>
      <c r="CN288" s="403"/>
      <c r="CO288" s="403"/>
      <c r="CP288" s="403"/>
      <c r="CQ288" s="403"/>
      <c r="CR288" s="403" t="s">
        <v>11140</v>
      </c>
      <c r="CS288" s="403"/>
      <c r="CT288" s="403"/>
      <c r="CU288" s="403"/>
      <c r="CV288" s="403"/>
      <c r="CW288" s="403"/>
      <c r="CX288" s="403"/>
      <c r="CY288" s="403"/>
      <c r="CZ288" s="403" t="s">
        <v>10840</v>
      </c>
      <c r="DA288" s="403" t="s">
        <v>10841</v>
      </c>
      <c r="DB288" s="403" t="s">
        <v>11001</v>
      </c>
      <c r="DC288" s="403" t="s">
        <v>10843</v>
      </c>
      <c r="DD288" s="403" t="s">
        <v>10844</v>
      </c>
      <c r="DE288" s="403" t="s">
        <v>10845</v>
      </c>
      <c r="DF288" s="403" t="s">
        <v>8159</v>
      </c>
      <c r="DG288" s="403"/>
      <c r="DH288" s="403"/>
      <c r="DI288" s="403"/>
      <c r="DJ288" s="403"/>
      <c r="DK288" s="403" t="s">
        <v>11141</v>
      </c>
      <c r="DL288" s="403"/>
      <c r="DM288" s="403"/>
      <c r="DN288" s="403"/>
      <c r="DO288" s="403"/>
      <c r="DP288" s="403"/>
      <c r="DQ288" s="403"/>
      <c r="DR288" s="403"/>
      <c r="DS288" s="403" t="s">
        <v>11003</v>
      </c>
      <c r="DT288" s="403" t="s">
        <v>11004</v>
      </c>
      <c r="DU288" s="403" t="s">
        <v>11005</v>
      </c>
      <c r="DV288" s="403" t="s">
        <v>10915</v>
      </c>
      <c r="DW288" s="403" t="s">
        <v>10916</v>
      </c>
      <c r="DX288" s="403" t="s">
        <v>13307</v>
      </c>
      <c r="DY288" s="403" t="s">
        <v>5709</v>
      </c>
      <c r="DZ288" s="403"/>
      <c r="EA288" s="403"/>
      <c r="EB288" s="403"/>
      <c r="EC288" s="403"/>
      <c r="ED288" s="403" t="s">
        <v>11142</v>
      </c>
      <c r="EE288" s="403"/>
      <c r="EF288" s="403"/>
      <c r="EG288" s="403"/>
      <c r="EH288" s="403"/>
      <c r="EI288" s="403"/>
      <c r="EJ288" s="403"/>
      <c r="EK288" s="403"/>
      <c r="EL288" s="403" t="s">
        <v>10853</v>
      </c>
      <c r="EM288" s="403" t="s">
        <v>11007</v>
      </c>
      <c r="EN288" s="403" t="s">
        <v>11008</v>
      </c>
      <c r="EO288" s="403" t="s">
        <v>10856</v>
      </c>
      <c r="EP288" s="403" t="s">
        <v>10857</v>
      </c>
      <c r="EQ288" s="403" t="s">
        <v>13308</v>
      </c>
      <c r="ER288" s="403" t="s">
        <v>10858</v>
      </c>
      <c r="ES288" s="403"/>
      <c r="ET288" s="403"/>
    </row>
    <row r="289" spans="1:150" s="281" customFormat="1" x14ac:dyDescent="0.2">
      <c r="C289" s="34" t="str">
        <f ca="1">IF(OFFSET(U289,0,Lang_Order*Lang__B4)="","",OFFSET(U289,0,Lang_Order*Lang__B4))</f>
        <v>Solar</v>
      </c>
      <c r="D289" s="78" t="str">
        <f ca="1">IF(OFFSET(V289,0,Lang_Order*Lang__B4)="","",OFFSET(V289,0,Lang_Order*Lang__B4))</f>
        <v>WHO PQS CCEs - NO ENDORSEMENT OF ANY PRODUCT - USER TO CHOOSE PRODUCT AS DESIRED</v>
      </c>
      <c r="L289" s="146"/>
      <c r="M289" s="146"/>
      <c r="N289" s="146"/>
      <c r="O289" s="146"/>
      <c r="P289" s="287"/>
      <c r="Q289" s="91"/>
      <c r="R289" s="403"/>
      <c r="S289" s="403"/>
      <c r="T289" s="403"/>
      <c r="U289" s="403" t="s">
        <v>3222</v>
      </c>
      <c r="V289" s="403" t="s">
        <v>3656</v>
      </c>
      <c r="W289" s="403"/>
      <c r="X289" s="403"/>
      <c r="Y289" s="403"/>
      <c r="Z289" s="403"/>
      <c r="AA289" s="403"/>
      <c r="AB289" s="403"/>
      <c r="AC289" s="403"/>
      <c r="AD289" s="403"/>
      <c r="AE289" s="403"/>
      <c r="AF289" s="403"/>
      <c r="AG289" s="403"/>
      <c r="AH289" s="403"/>
      <c r="AI289" s="403"/>
      <c r="AJ289" s="403"/>
      <c r="AK289" s="403"/>
      <c r="AL289" s="403"/>
      <c r="AM289" s="403"/>
      <c r="AN289" s="403" t="s">
        <v>11144</v>
      </c>
      <c r="AO289" s="403" t="s">
        <v>11009</v>
      </c>
      <c r="AP289" s="403"/>
      <c r="AQ289" s="403"/>
      <c r="AR289" s="403"/>
      <c r="AS289" s="403"/>
      <c r="AT289" s="403"/>
      <c r="AU289" s="403"/>
      <c r="AV289" s="403"/>
      <c r="AW289" s="403"/>
      <c r="AX289" s="403"/>
      <c r="AY289" s="403"/>
      <c r="AZ289" s="403"/>
      <c r="BA289" s="403"/>
      <c r="BB289" s="403"/>
      <c r="BC289" s="403"/>
      <c r="BD289" s="403"/>
      <c r="BE289" s="403"/>
      <c r="BF289" s="403"/>
      <c r="BG289" s="403" t="s">
        <v>11145</v>
      </c>
      <c r="BH289" s="403" t="s">
        <v>11146</v>
      </c>
      <c r="BI289" s="403"/>
      <c r="BJ289" s="403"/>
      <c r="BK289" s="403"/>
      <c r="BL289" s="403"/>
      <c r="BM289" s="403"/>
      <c r="BN289" s="403"/>
      <c r="BO289" s="403"/>
      <c r="BP289" s="403"/>
      <c r="BQ289" s="403"/>
      <c r="BR289" s="403"/>
      <c r="BS289" s="403"/>
      <c r="BT289" s="403"/>
      <c r="BU289" s="403"/>
      <c r="BV289" s="403"/>
      <c r="BW289" s="403"/>
      <c r="BX289" s="403"/>
      <c r="BY289" s="403"/>
      <c r="BZ289" s="403" t="s">
        <v>3222</v>
      </c>
      <c r="CA289" s="403" t="s">
        <v>10861</v>
      </c>
      <c r="CB289" s="403"/>
      <c r="CC289" s="403"/>
      <c r="CD289" s="403"/>
      <c r="CE289" s="403"/>
      <c r="CF289" s="403"/>
      <c r="CG289" s="403"/>
      <c r="CH289" s="403"/>
      <c r="CI289" s="403"/>
      <c r="CJ289" s="403"/>
      <c r="CK289" s="403"/>
      <c r="CL289" s="403"/>
      <c r="CM289" s="403"/>
      <c r="CN289" s="403"/>
      <c r="CO289" s="403"/>
      <c r="CP289" s="403"/>
      <c r="CQ289" s="403"/>
      <c r="CR289" s="403"/>
      <c r="CS289" s="403" t="s">
        <v>3222</v>
      </c>
      <c r="CT289" s="403" t="s">
        <v>11011</v>
      </c>
      <c r="CU289" s="403"/>
      <c r="CV289" s="403"/>
      <c r="CW289" s="403"/>
      <c r="CX289" s="403"/>
      <c r="CY289" s="403"/>
      <c r="CZ289" s="403"/>
      <c r="DA289" s="403"/>
      <c r="DB289" s="403"/>
      <c r="DC289" s="403"/>
      <c r="DD289" s="403"/>
      <c r="DE289" s="403"/>
      <c r="DF289" s="403"/>
      <c r="DG289" s="403"/>
      <c r="DH289" s="403"/>
      <c r="DI289" s="403"/>
      <c r="DJ289" s="403"/>
      <c r="DK289" s="403"/>
      <c r="DL289" s="403" t="s">
        <v>11147</v>
      </c>
      <c r="DM289" s="403" t="s">
        <v>10863</v>
      </c>
      <c r="DN289" s="403"/>
      <c r="DO289" s="403"/>
      <c r="DP289" s="403"/>
      <c r="DQ289" s="403"/>
      <c r="DR289" s="403"/>
      <c r="DS289" s="403"/>
      <c r="DT289" s="403"/>
      <c r="DU289" s="403"/>
      <c r="DV289" s="403"/>
      <c r="DW289" s="403"/>
      <c r="DX289" s="403"/>
      <c r="DY289" s="403"/>
      <c r="DZ289" s="403"/>
      <c r="EA289" s="403"/>
      <c r="EB289" s="403"/>
      <c r="EC289" s="403"/>
      <c r="ED289" s="403"/>
      <c r="EE289" s="403" t="s">
        <v>11148</v>
      </c>
      <c r="EF289" s="403" t="s">
        <v>10864</v>
      </c>
      <c r="EG289" s="403"/>
      <c r="EH289" s="403"/>
      <c r="EI289" s="403"/>
      <c r="EJ289" s="403"/>
      <c r="EK289" s="403"/>
      <c r="EL289" s="403"/>
      <c r="EM289" s="403"/>
      <c r="EN289" s="403"/>
      <c r="EO289" s="403"/>
      <c r="EP289" s="403"/>
      <c r="EQ289" s="403"/>
      <c r="ER289" s="403"/>
      <c r="ES289" s="403"/>
      <c r="ET289" s="403"/>
    </row>
    <row r="290" spans="1:150" s="281" customFormat="1" x14ac:dyDescent="0.2">
      <c r="A290" s="350">
        <v>2</v>
      </c>
      <c r="C290" s="5" t="str">
        <f t="shared" ref="C290:C297" ca="1" si="84">IF(OFFSET(U290,0,Lang_Order*Lang__B4)="","",OFFSET(U290,0,Lang_Order*Lang__B4))</f>
        <v>Refrigerated (2 to 8C)</v>
      </c>
      <c r="D290" s="500" t="s">
        <v>3713</v>
      </c>
      <c r="J290" s="293">
        <f>VLOOKUP($D290,CCE[],7,FALSE)</f>
        <v>59</v>
      </c>
      <c r="K290" s="293">
        <f>VLOOKUP($D290,CCE[],8,FALSE)</f>
        <v>0</v>
      </c>
      <c r="L290" s="501">
        <f>VLOOKUP($D290,CCE[],21,FALSE)*Time_period</f>
        <v>0</v>
      </c>
      <c r="M290" s="207">
        <f>VLOOKUP($D290,CCE[],13,FALSE)</f>
        <v>3300</v>
      </c>
      <c r="N290" s="207">
        <f>VLOOKUP($D290,CCE[],14,FALSE)</f>
        <v>4800</v>
      </c>
      <c r="O290" s="207">
        <f>VLOOKUP($D290,CCE[],10,FALSE)</f>
        <v>2650</v>
      </c>
      <c r="P290" s="208" t="e">
        <f>MAX(0,ROUNDUP((P278+P284-(J291*P291))/J290,0))</f>
        <v>#N/A</v>
      </c>
      <c r="Q290" s="91"/>
      <c r="R290" s="403"/>
      <c r="S290" s="403"/>
      <c r="T290" s="403"/>
      <c r="U290" s="403" t="s">
        <v>11</v>
      </c>
      <c r="V290" s="403"/>
      <c r="W290" s="403"/>
      <c r="X290" s="403"/>
      <c r="Y290" s="403"/>
      <c r="Z290" s="403"/>
      <c r="AA290" s="403"/>
      <c r="AB290" s="403"/>
      <c r="AC290" s="403"/>
      <c r="AD290" s="403"/>
      <c r="AE290" s="403"/>
      <c r="AF290" s="403"/>
      <c r="AG290" s="403"/>
      <c r="AH290" s="403"/>
      <c r="AI290" s="403"/>
      <c r="AJ290" s="403"/>
      <c r="AK290" s="403"/>
      <c r="AL290" s="403"/>
      <c r="AM290" s="403"/>
      <c r="AN290" s="403" t="s">
        <v>10714</v>
      </c>
      <c r="AO290" s="403"/>
      <c r="AP290" s="403"/>
      <c r="AQ290" s="403"/>
      <c r="AR290" s="403"/>
      <c r="AS290" s="403"/>
      <c r="AT290" s="403"/>
      <c r="AU290" s="403"/>
      <c r="AV290" s="403"/>
      <c r="AW290" s="403"/>
      <c r="AX290" s="403"/>
      <c r="AY290" s="403"/>
      <c r="AZ290" s="403"/>
      <c r="BA290" s="403"/>
      <c r="BB290" s="403"/>
      <c r="BC290" s="403"/>
      <c r="BD290" s="403"/>
      <c r="BE290" s="403"/>
      <c r="BF290" s="403"/>
      <c r="BG290" s="403" t="s">
        <v>10227</v>
      </c>
      <c r="BH290" s="403"/>
      <c r="BI290" s="403"/>
      <c r="BJ290" s="403"/>
      <c r="BK290" s="403"/>
      <c r="BL290" s="403"/>
      <c r="BM290" s="403"/>
      <c r="BN290" s="403"/>
      <c r="BO290" s="403"/>
      <c r="BP290" s="403"/>
      <c r="BQ290" s="403"/>
      <c r="BR290" s="403"/>
      <c r="BS290" s="403"/>
      <c r="BT290" s="403"/>
      <c r="BU290" s="403"/>
      <c r="BV290" s="403"/>
      <c r="BW290" s="403"/>
      <c r="BX290" s="403"/>
      <c r="BY290" s="403"/>
      <c r="BZ290" s="403" t="s">
        <v>10715</v>
      </c>
      <c r="CA290" s="403"/>
      <c r="CB290" s="403"/>
      <c r="CC290" s="403"/>
      <c r="CD290" s="403"/>
      <c r="CE290" s="403"/>
      <c r="CF290" s="403"/>
      <c r="CG290" s="403"/>
      <c r="CH290" s="403"/>
      <c r="CI290" s="403"/>
      <c r="CJ290" s="403"/>
      <c r="CK290" s="403"/>
      <c r="CL290" s="403"/>
      <c r="CM290" s="403"/>
      <c r="CN290" s="403"/>
      <c r="CO290" s="403"/>
      <c r="CP290" s="403"/>
      <c r="CQ290" s="403"/>
      <c r="CR290" s="403"/>
      <c r="CS290" s="403" t="s">
        <v>8384</v>
      </c>
      <c r="CT290" s="403"/>
      <c r="CU290" s="403"/>
      <c r="CV290" s="403"/>
      <c r="CW290" s="403"/>
      <c r="CX290" s="403"/>
      <c r="CY290" s="403"/>
      <c r="CZ290" s="403"/>
      <c r="DA290" s="403"/>
      <c r="DB290" s="403"/>
      <c r="DC290" s="403"/>
      <c r="DD290" s="403"/>
      <c r="DE290" s="403"/>
      <c r="DF290" s="403"/>
      <c r="DG290" s="403"/>
      <c r="DH290" s="403"/>
      <c r="DI290" s="403"/>
      <c r="DJ290" s="403"/>
      <c r="DK290" s="403"/>
      <c r="DL290" s="403" t="s">
        <v>10248</v>
      </c>
      <c r="DM290" s="403"/>
      <c r="DN290" s="403"/>
      <c r="DO290" s="403"/>
      <c r="DP290" s="403"/>
      <c r="DQ290" s="403"/>
      <c r="DR290" s="403"/>
      <c r="DS290" s="403"/>
      <c r="DT290" s="403"/>
      <c r="DU290" s="403"/>
      <c r="DV290" s="403"/>
      <c r="DW290" s="403"/>
      <c r="DX290" s="403"/>
      <c r="DY290" s="403"/>
      <c r="DZ290" s="403"/>
      <c r="EA290" s="403"/>
      <c r="EB290" s="403"/>
      <c r="EC290" s="403"/>
      <c r="ED290" s="403"/>
      <c r="EE290" s="403" t="s">
        <v>8387</v>
      </c>
      <c r="EF290" s="403"/>
      <c r="EG290" s="403"/>
      <c r="EH290" s="403"/>
      <c r="EI290" s="403"/>
      <c r="EJ290" s="403"/>
      <c r="EK290" s="403"/>
      <c r="EL290" s="403"/>
      <c r="EM290" s="403"/>
      <c r="EN290" s="403"/>
      <c r="EO290" s="403"/>
      <c r="EP290" s="403"/>
      <c r="EQ290" s="403"/>
      <c r="ER290" s="403"/>
      <c r="ES290" s="403"/>
      <c r="ET290" s="403"/>
    </row>
    <row r="291" spans="1:150" s="281" customFormat="1" x14ac:dyDescent="0.2">
      <c r="A291" s="350">
        <v>2</v>
      </c>
      <c r="C291" s="5" t="str">
        <f t="shared" ca="1" si="84"/>
        <v>Frozen (-20C)</v>
      </c>
      <c r="D291" s="500" t="s">
        <v>3966</v>
      </c>
      <c r="J291" s="293">
        <f>VLOOKUP($D291,CCE[],7,FALSE)</f>
        <v>0</v>
      </c>
      <c r="K291" s="293">
        <f>VLOOKUP($D291,CCE[],8,FALSE)</f>
        <v>34.299999999999997</v>
      </c>
      <c r="L291" s="501">
        <f>VLOOKUP($D291,CCE[],21,FALSE)*Time_period</f>
        <v>0</v>
      </c>
      <c r="M291" s="207">
        <f>VLOOKUP($D291,CCE[],13,FALSE)</f>
        <v>3615.909090909091</v>
      </c>
      <c r="N291" s="207">
        <f>VLOOKUP($D291,CCE[],14,FALSE)</f>
        <v>5115.909090909091</v>
      </c>
      <c r="O291" s="207">
        <f>VLOOKUP($D291,CCE[],10,FALSE)</f>
        <v>2965.909090909091</v>
      </c>
      <c r="P291" s="208" t="e">
        <f>ROUNDUP((P279+P285)/K291,0)</f>
        <v>#N/A</v>
      </c>
      <c r="Q291" s="91"/>
      <c r="R291" s="403"/>
      <c r="S291" s="403"/>
      <c r="T291" s="403"/>
      <c r="U291" s="403" t="s">
        <v>12</v>
      </c>
      <c r="V291" s="403"/>
      <c r="W291" s="403"/>
      <c r="X291" s="403"/>
      <c r="Y291" s="403"/>
      <c r="Z291" s="403"/>
      <c r="AA291" s="403"/>
      <c r="AB291" s="403"/>
      <c r="AC291" s="403"/>
      <c r="AD291" s="403"/>
      <c r="AE291" s="403"/>
      <c r="AF291" s="403"/>
      <c r="AG291" s="403"/>
      <c r="AH291" s="403"/>
      <c r="AI291" s="403"/>
      <c r="AJ291" s="403"/>
      <c r="AK291" s="403"/>
      <c r="AL291" s="403"/>
      <c r="AM291" s="403"/>
      <c r="AN291" s="403" t="s">
        <v>10717</v>
      </c>
      <c r="AO291" s="403"/>
      <c r="AP291" s="403"/>
      <c r="AQ291" s="403"/>
      <c r="AR291" s="403"/>
      <c r="AS291" s="403"/>
      <c r="AT291" s="403"/>
      <c r="AU291" s="403"/>
      <c r="AV291" s="403"/>
      <c r="AW291" s="403"/>
      <c r="AX291" s="403"/>
      <c r="AY291" s="403"/>
      <c r="AZ291" s="403"/>
      <c r="BA291" s="403"/>
      <c r="BB291" s="403"/>
      <c r="BC291" s="403"/>
      <c r="BD291" s="403"/>
      <c r="BE291" s="403"/>
      <c r="BF291" s="403"/>
      <c r="BG291" s="403" t="s">
        <v>10228</v>
      </c>
      <c r="BH291" s="403"/>
      <c r="BI291" s="403"/>
      <c r="BJ291" s="403"/>
      <c r="BK291" s="403"/>
      <c r="BL291" s="403"/>
      <c r="BM291" s="403"/>
      <c r="BN291" s="403"/>
      <c r="BO291" s="403"/>
      <c r="BP291" s="403"/>
      <c r="BQ291" s="403"/>
      <c r="BR291" s="403"/>
      <c r="BS291" s="403"/>
      <c r="BT291" s="403"/>
      <c r="BU291" s="403"/>
      <c r="BV291" s="403"/>
      <c r="BW291" s="403"/>
      <c r="BX291" s="403"/>
      <c r="BY291" s="403"/>
      <c r="BZ291" s="403" t="s">
        <v>10718</v>
      </c>
      <c r="CA291" s="403"/>
      <c r="CB291" s="403"/>
      <c r="CC291" s="403"/>
      <c r="CD291" s="403"/>
      <c r="CE291" s="403"/>
      <c r="CF291" s="403"/>
      <c r="CG291" s="403"/>
      <c r="CH291" s="403"/>
      <c r="CI291" s="403"/>
      <c r="CJ291" s="403"/>
      <c r="CK291" s="403"/>
      <c r="CL291" s="403"/>
      <c r="CM291" s="403"/>
      <c r="CN291" s="403"/>
      <c r="CO291" s="403"/>
      <c r="CP291" s="403"/>
      <c r="CQ291" s="403"/>
      <c r="CR291" s="403"/>
      <c r="CS291" s="403" t="s">
        <v>8391</v>
      </c>
      <c r="CT291" s="403"/>
      <c r="CU291" s="403"/>
      <c r="CV291" s="403"/>
      <c r="CW291" s="403"/>
      <c r="CX291" s="403"/>
      <c r="CY291" s="403"/>
      <c r="CZ291" s="403"/>
      <c r="DA291" s="403"/>
      <c r="DB291" s="403"/>
      <c r="DC291" s="403"/>
      <c r="DD291" s="403"/>
      <c r="DE291" s="403"/>
      <c r="DF291" s="403"/>
      <c r="DG291" s="403"/>
      <c r="DH291" s="403"/>
      <c r="DI291" s="403"/>
      <c r="DJ291" s="403"/>
      <c r="DK291" s="403"/>
      <c r="DL291" s="403" t="s">
        <v>10249</v>
      </c>
      <c r="DM291" s="403"/>
      <c r="DN291" s="403"/>
      <c r="DO291" s="403"/>
      <c r="DP291" s="403"/>
      <c r="DQ291" s="403"/>
      <c r="DR291" s="403"/>
      <c r="DS291" s="403"/>
      <c r="DT291" s="403"/>
      <c r="DU291" s="403"/>
      <c r="DV291" s="403"/>
      <c r="DW291" s="403"/>
      <c r="DX291" s="403"/>
      <c r="DY291" s="403"/>
      <c r="DZ291" s="403"/>
      <c r="EA291" s="403"/>
      <c r="EB291" s="403"/>
      <c r="EC291" s="403"/>
      <c r="ED291" s="403"/>
      <c r="EE291" s="403" t="s">
        <v>8393</v>
      </c>
      <c r="EF291" s="403"/>
      <c r="EG291" s="403"/>
      <c r="EH291" s="403"/>
      <c r="EI291" s="403"/>
      <c r="EJ291" s="403"/>
      <c r="EK291" s="403"/>
      <c r="EL291" s="403"/>
      <c r="EM291" s="403"/>
      <c r="EN291" s="403"/>
      <c r="EO291" s="403"/>
      <c r="EP291" s="403"/>
      <c r="EQ291" s="403"/>
      <c r="ER291" s="403"/>
      <c r="ES291" s="403"/>
      <c r="ET291" s="403"/>
    </row>
    <row r="292" spans="1:150" s="281" customFormat="1" x14ac:dyDescent="0.2">
      <c r="C292" s="5" t="str">
        <f t="shared" ca="1" si="84"/>
        <v>Remote Temperature Monitoring Devices</v>
      </c>
      <c r="D292" s="281" t="str">
        <f>D228</f>
        <v>Haier U-Cool (Refrigerator model)+ 3 years data/portal access</v>
      </c>
      <c r="J292" s="146"/>
      <c r="K292" s="146"/>
      <c r="L292" s="146"/>
      <c r="M292" s="207">
        <f>VLOOKUP($D292,CCE[],13,FALSE)</f>
        <v>650</v>
      </c>
      <c r="N292" s="207">
        <f>VLOOKUP($D292,CCE[],14,FALSE)</f>
        <v>850</v>
      </c>
      <c r="O292" s="207">
        <f>VLOOKUP($D292,CCE[],10,FALSE)</f>
        <v>450</v>
      </c>
      <c r="P292" s="231" t="e">
        <f>SUM(P290:P291)</f>
        <v>#N/A</v>
      </c>
      <c r="Q292" s="47"/>
      <c r="R292" s="403"/>
      <c r="S292" s="403"/>
      <c r="T292" s="403"/>
      <c r="U292" s="403" t="s">
        <v>3593</v>
      </c>
      <c r="V292" s="403"/>
      <c r="W292" s="403"/>
      <c r="X292" s="403"/>
      <c r="Y292" s="403"/>
      <c r="Z292" s="403"/>
      <c r="AA292" s="403"/>
      <c r="AB292" s="403"/>
      <c r="AC292" s="403"/>
      <c r="AD292" s="403"/>
      <c r="AE292" s="403"/>
      <c r="AF292" s="403"/>
      <c r="AG292" s="403"/>
      <c r="AH292" s="403"/>
      <c r="AI292" s="403"/>
      <c r="AJ292" s="403"/>
      <c r="AK292" s="403"/>
      <c r="AL292" s="403"/>
      <c r="AM292" s="403"/>
      <c r="AN292" s="403" t="s">
        <v>10871</v>
      </c>
      <c r="AO292" s="403"/>
      <c r="AP292" s="403"/>
      <c r="AQ292" s="403"/>
      <c r="AR292" s="403"/>
      <c r="AS292" s="403"/>
      <c r="AT292" s="403"/>
      <c r="AU292" s="403"/>
      <c r="AV292" s="403"/>
      <c r="AW292" s="403"/>
      <c r="AX292" s="403"/>
      <c r="AY292" s="403"/>
      <c r="AZ292" s="403"/>
      <c r="BA292" s="403"/>
      <c r="BB292" s="403"/>
      <c r="BC292" s="403"/>
      <c r="BD292" s="403"/>
      <c r="BE292" s="403"/>
      <c r="BF292" s="403"/>
      <c r="BG292" s="403" t="s">
        <v>10872</v>
      </c>
      <c r="BH292" s="403"/>
      <c r="BI292" s="403"/>
      <c r="BJ292" s="403"/>
      <c r="BK292" s="403"/>
      <c r="BL292" s="403"/>
      <c r="BM292" s="403"/>
      <c r="BN292" s="403"/>
      <c r="BO292" s="403"/>
      <c r="BP292" s="403"/>
      <c r="BQ292" s="403"/>
      <c r="BR292" s="403"/>
      <c r="BS292" s="403"/>
      <c r="BT292" s="403"/>
      <c r="BU292" s="403"/>
      <c r="BV292" s="403"/>
      <c r="BW292" s="403"/>
      <c r="BX292" s="403"/>
      <c r="BY292" s="403"/>
      <c r="BZ292" s="403" t="s">
        <v>10873</v>
      </c>
      <c r="CA292" s="403"/>
      <c r="CB292" s="403"/>
      <c r="CC292" s="403"/>
      <c r="CD292" s="403"/>
      <c r="CE292" s="403"/>
      <c r="CF292" s="403"/>
      <c r="CG292" s="403"/>
      <c r="CH292" s="403"/>
      <c r="CI292" s="403"/>
      <c r="CJ292" s="403"/>
      <c r="CK292" s="403"/>
      <c r="CL292" s="403"/>
      <c r="CM292" s="403"/>
      <c r="CN292" s="403"/>
      <c r="CO292" s="403"/>
      <c r="CP292" s="403"/>
      <c r="CQ292" s="403"/>
      <c r="CR292" s="403"/>
      <c r="CS292" s="403" t="s">
        <v>10874</v>
      </c>
      <c r="CT292" s="403"/>
      <c r="CU292" s="403"/>
      <c r="CV292" s="403"/>
      <c r="CW292" s="403"/>
      <c r="CX292" s="403"/>
      <c r="CY292" s="403"/>
      <c r="CZ292" s="403"/>
      <c r="DA292" s="403"/>
      <c r="DB292" s="403"/>
      <c r="DC292" s="403"/>
      <c r="DD292" s="403"/>
      <c r="DE292" s="403"/>
      <c r="DF292" s="403"/>
      <c r="DG292" s="403"/>
      <c r="DH292" s="403"/>
      <c r="DI292" s="403"/>
      <c r="DJ292" s="403"/>
      <c r="DK292" s="403"/>
      <c r="DL292" s="403" t="s">
        <v>10901</v>
      </c>
      <c r="DM292" s="403"/>
      <c r="DN292" s="403"/>
      <c r="DO292" s="403"/>
      <c r="DP292" s="403"/>
      <c r="DQ292" s="403"/>
      <c r="DR292" s="403"/>
      <c r="DS292" s="403"/>
      <c r="DT292" s="403"/>
      <c r="DU292" s="403"/>
      <c r="DV292" s="403"/>
      <c r="DW292" s="403"/>
      <c r="DX292" s="403"/>
      <c r="DY292" s="403"/>
      <c r="DZ292" s="403"/>
      <c r="EA292" s="403"/>
      <c r="EB292" s="403"/>
      <c r="EC292" s="403"/>
      <c r="ED292" s="403"/>
      <c r="EE292" s="403" t="s">
        <v>10876</v>
      </c>
      <c r="EF292" s="403"/>
      <c r="EG292" s="403"/>
      <c r="EH292" s="403"/>
      <c r="EI292" s="403"/>
      <c r="EJ292" s="403"/>
      <c r="EK292" s="403"/>
      <c r="EL292" s="403"/>
      <c r="EM292" s="403"/>
      <c r="EN292" s="403"/>
      <c r="EO292" s="403"/>
      <c r="EP292" s="403"/>
      <c r="EQ292" s="403"/>
      <c r="ER292" s="403"/>
      <c r="ES292" s="403"/>
      <c r="ET292" s="403"/>
    </row>
    <row r="293" spans="1:150" s="281" customFormat="1" x14ac:dyDescent="0.2">
      <c r="C293" s="34" t="str">
        <f t="shared" ca="1" si="84"/>
        <v>On-grid</v>
      </c>
      <c r="R293" s="403"/>
      <c r="S293" s="403"/>
      <c r="T293" s="403"/>
      <c r="U293" s="403" t="s">
        <v>3221</v>
      </c>
      <c r="V293" s="403"/>
      <c r="W293" s="403"/>
      <c r="X293" s="403"/>
      <c r="Y293" s="403"/>
      <c r="Z293" s="403"/>
      <c r="AA293" s="403"/>
      <c r="AB293" s="403"/>
      <c r="AC293" s="403"/>
      <c r="AD293" s="403"/>
      <c r="AE293" s="403"/>
      <c r="AF293" s="403"/>
      <c r="AG293" s="403"/>
      <c r="AH293" s="403"/>
      <c r="AI293" s="403"/>
      <c r="AJ293" s="403"/>
      <c r="AK293" s="403"/>
      <c r="AL293" s="403"/>
      <c r="AM293" s="403"/>
      <c r="AN293" s="403" t="s">
        <v>11149</v>
      </c>
      <c r="AO293" s="403"/>
      <c r="AP293" s="403"/>
      <c r="AQ293" s="403"/>
      <c r="AR293" s="403"/>
      <c r="AS293" s="403"/>
      <c r="AT293" s="403"/>
      <c r="AU293" s="403"/>
      <c r="AV293" s="403"/>
      <c r="AW293" s="403"/>
      <c r="AX293" s="403"/>
      <c r="AY293" s="403"/>
      <c r="AZ293" s="403"/>
      <c r="BA293" s="403"/>
      <c r="BB293" s="403"/>
      <c r="BC293" s="403"/>
      <c r="BD293" s="403"/>
      <c r="BE293" s="403"/>
      <c r="BF293" s="403"/>
      <c r="BG293" s="403" t="s">
        <v>11150</v>
      </c>
      <c r="BH293" s="403"/>
      <c r="BI293" s="403"/>
      <c r="BJ293" s="403"/>
      <c r="BK293" s="403"/>
      <c r="BL293" s="403"/>
      <c r="BM293" s="403"/>
      <c r="BN293" s="403"/>
      <c r="BO293" s="403"/>
      <c r="BP293" s="403"/>
      <c r="BQ293" s="403"/>
      <c r="BR293" s="403"/>
      <c r="BS293" s="403"/>
      <c r="BT293" s="403"/>
      <c r="BU293" s="403"/>
      <c r="BV293" s="403"/>
      <c r="BW293" s="403"/>
      <c r="BX293" s="403"/>
      <c r="BY293" s="403"/>
      <c r="BZ293" s="403" t="s">
        <v>11151</v>
      </c>
      <c r="CA293" s="403"/>
      <c r="CB293" s="403"/>
      <c r="CC293" s="403"/>
      <c r="CD293" s="403"/>
      <c r="CE293" s="403"/>
      <c r="CF293" s="403"/>
      <c r="CG293" s="403"/>
      <c r="CH293" s="403"/>
      <c r="CI293" s="403"/>
      <c r="CJ293" s="403"/>
      <c r="CK293" s="403"/>
      <c r="CL293" s="403"/>
      <c r="CM293" s="403"/>
      <c r="CN293" s="403"/>
      <c r="CO293" s="403"/>
      <c r="CP293" s="403"/>
      <c r="CQ293" s="403"/>
      <c r="CR293" s="403"/>
      <c r="CS293" s="403" t="s">
        <v>11152</v>
      </c>
      <c r="CT293" s="403"/>
      <c r="CU293" s="403"/>
      <c r="CV293" s="403"/>
      <c r="CW293" s="403"/>
      <c r="CX293" s="403"/>
      <c r="CY293" s="403"/>
      <c r="CZ293" s="403"/>
      <c r="DA293" s="403"/>
      <c r="DB293" s="403"/>
      <c r="DC293" s="403"/>
      <c r="DD293" s="403"/>
      <c r="DE293" s="403"/>
      <c r="DF293" s="403"/>
      <c r="DG293" s="403"/>
      <c r="DH293" s="403"/>
      <c r="DI293" s="403"/>
      <c r="DJ293" s="403"/>
      <c r="DK293" s="403"/>
      <c r="DL293" s="403" t="s">
        <v>11153</v>
      </c>
      <c r="DM293" s="403"/>
      <c r="DN293" s="403"/>
      <c r="DO293" s="403"/>
      <c r="DP293" s="403"/>
      <c r="DQ293" s="403"/>
      <c r="DR293" s="403"/>
      <c r="DS293" s="403"/>
      <c r="DT293" s="403"/>
      <c r="DU293" s="403"/>
      <c r="DV293" s="403"/>
      <c r="DW293" s="403"/>
      <c r="DX293" s="403"/>
      <c r="DY293" s="403"/>
      <c r="DZ293" s="403"/>
      <c r="EA293" s="403"/>
      <c r="EB293" s="403"/>
      <c r="EC293" s="403"/>
      <c r="ED293" s="403"/>
      <c r="EE293" s="403" t="s">
        <v>11154</v>
      </c>
      <c r="EF293" s="403"/>
      <c r="EG293" s="403"/>
      <c r="EH293" s="403"/>
      <c r="EI293" s="403"/>
      <c r="EJ293" s="403"/>
      <c r="EK293" s="403"/>
      <c r="EL293" s="403"/>
      <c r="EM293" s="403"/>
      <c r="EN293" s="403"/>
      <c r="EO293" s="403"/>
      <c r="EP293" s="403"/>
      <c r="EQ293" s="403"/>
      <c r="ER293" s="403"/>
      <c r="ES293" s="403"/>
      <c r="ET293" s="403"/>
    </row>
    <row r="294" spans="1:150" s="281" customFormat="1" x14ac:dyDescent="0.2">
      <c r="A294" s="350">
        <v>2</v>
      </c>
      <c r="C294" s="5" t="str">
        <f t="shared" ca="1" si="84"/>
        <v>Refrigerated (2 to 8C)</v>
      </c>
      <c r="D294" s="500" t="s">
        <v>3714</v>
      </c>
      <c r="J294" s="293">
        <f>VLOOKUP($D294,CCE[],7,FALSE)</f>
        <v>51</v>
      </c>
      <c r="K294" s="293">
        <f>VLOOKUP($D294,CCE[],8,FALSE)</f>
        <v>0</v>
      </c>
      <c r="L294" s="501">
        <f>VLOOKUP($D294,CCE[],21,FALSE)*Time_period</f>
        <v>293.39999999999998</v>
      </c>
      <c r="M294" s="207">
        <f>VLOOKUP($D294,CCE[],13,FALSE)</f>
        <v>1399</v>
      </c>
      <c r="N294" s="207">
        <f>VLOOKUP($D294,CCE[],14,FALSE)</f>
        <v>2349</v>
      </c>
      <c r="O294" s="207">
        <f>VLOOKUP($D294,CCE[],10,FALSE)</f>
        <v>999</v>
      </c>
      <c r="P294" s="208" t="e">
        <f>MAX(0,ROUNDUP((P278+P284-(J295*P295))/J294,0))</f>
        <v>#N/A</v>
      </c>
      <c r="Q294" s="91"/>
      <c r="R294" s="403"/>
      <c r="S294" s="403"/>
      <c r="T294" s="403"/>
      <c r="U294" s="403" t="s">
        <v>11</v>
      </c>
      <c r="V294" s="403"/>
      <c r="W294" s="403"/>
      <c r="X294" s="403"/>
      <c r="Y294" s="403"/>
      <c r="Z294" s="403"/>
      <c r="AA294" s="403"/>
      <c r="AB294" s="403"/>
      <c r="AC294" s="403"/>
      <c r="AD294" s="403"/>
      <c r="AE294" s="403"/>
      <c r="AF294" s="403"/>
      <c r="AG294" s="403"/>
      <c r="AH294" s="403"/>
      <c r="AI294" s="403"/>
      <c r="AJ294" s="403"/>
      <c r="AK294" s="403"/>
      <c r="AL294" s="403"/>
      <c r="AM294" s="403"/>
      <c r="AN294" s="403" t="s">
        <v>10714</v>
      </c>
      <c r="AO294" s="403"/>
      <c r="AP294" s="403"/>
      <c r="AQ294" s="403"/>
      <c r="AR294" s="403"/>
      <c r="AS294" s="403"/>
      <c r="AT294" s="403"/>
      <c r="AU294" s="403"/>
      <c r="AV294" s="403"/>
      <c r="AW294" s="403"/>
      <c r="AX294" s="403"/>
      <c r="AY294" s="403"/>
      <c r="AZ294" s="403"/>
      <c r="BA294" s="403"/>
      <c r="BB294" s="403"/>
      <c r="BC294" s="403"/>
      <c r="BD294" s="403"/>
      <c r="BE294" s="403"/>
      <c r="BF294" s="403"/>
      <c r="BG294" s="403" t="s">
        <v>10227</v>
      </c>
      <c r="BH294" s="403"/>
      <c r="BI294" s="403"/>
      <c r="BJ294" s="403"/>
      <c r="BK294" s="403"/>
      <c r="BL294" s="403"/>
      <c r="BM294" s="403"/>
      <c r="BN294" s="403"/>
      <c r="BO294" s="403"/>
      <c r="BP294" s="403"/>
      <c r="BQ294" s="403"/>
      <c r="BR294" s="403"/>
      <c r="BS294" s="403"/>
      <c r="BT294" s="403"/>
      <c r="BU294" s="403"/>
      <c r="BV294" s="403"/>
      <c r="BW294" s="403"/>
      <c r="BX294" s="403"/>
      <c r="BY294" s="403"/>
      <c r="BZ294" s="403" t="s">
        <v>10715</v>
      </c>
      <c r="CA294" s="403"/>
      <c r="CB294" s="403"/>
      <c r="CC294" s="403"/>
      <c r="CD294" s="403"/>
      <c r="CE294" s="403"/>
      <c r="CF294" s="403"/>
      <c r="CG294" s="403"/>
      <c r="CH294" s="403"/>
      <c r="CI294" s="403"/>
      <c r="CJ294" s="403"/>
      <c r="CK294" s="403"/>
      <c r="CL294" s="403"/>
      <c r="CM294" s="403"/>
      <c r="CN294" s="403"/>
      <c r="CO294" s="403"/>
      <c r="CP294" s="403"/>
      <c r="CQ294" s="403"/>
      <c r="CR294" s="403"/>
      <c r="CS294" s="403" t="s">
        <v>8384</v>
      </c>
      <c r="CT294" s="403"/>
      <c r="CU294" s="403"/>
      <c r="CV294" s="403"/>
      <c r="CW294" s="403"/>
      <c r="CX294" s="403"/>
      <c r="CY294" s="403"/>
      <c r="CZ294" s="403"/>
      <c r="DA294" s="403"/>
      <c r="DB294" s="403"/>
      <c r="DC294" s="403"/>
      <c r="DD294" s="403"/>
      <c r="DE294" s="403"/>
      <c r="DF294" s="403"/>
      <c r="DG294" s="403"/>
      <c r="DH294" s="403"/>
      <c r="DI294" s="403"/>
      <c r="DJ294" s="403"/>
      <c r="DK294" s="403"/>
      <c r="DL294" s="403" t="s">
        <v>10248</v>
      </c>
      <c r="DM294" s="403"/>
      <c r="DN294" s="403"/>
      <c r="DO294" s="403"/>
      <c r="DP294" s="403"/>
      <c r="DQ294" s="403"/>
      <c r="DR294" s="403"/>
      <c r="DS294" s="403"/>
      <c r="DT294" s="403"/>
      <c r="DU294" s="403"/>
      <c r="DV294" s="403"/>
      <c r="DW294" s="403"/>
      <c r="DX294" s="403"/>
      <c r="DY294" s="403"/>
      <c r="DZ294" s="403"/>
      <c r="EA294" s="403"/>
      <c r="EB294" s="403"/>
      <c r="EC294" s="403"/>
      <c r="ED294" s="403"/>
      <c r="EE294" s="403" t="s">
        <v>8387</v>
      </c>
      <c r="EF294" s="403"/>
      <c r="EG294" s="403"/>
      <c r="EH294" s="403"/>
      <c r="EI294" s="403"/>
      <c r="EJ294" s="403"/>
      <c r="EK294" s="403"/>
      <c r="EL294" s="403"/>
      <c r="EM294" s="403"/>
      <c r="EN294" s="403"/>
      <c r="EO294" s="403"/>
      <c r="EP294" s="403"/>
      <c r="EQ294" s="403"/>
      <c r="ER294" s="403"/>
      <c r="ES294" s="403"/>
      <c r="ET294" s="403"/>
    </row>
    <row r="295" spans="1:150" s="281" customFormat="1" x14ac:dyDescent="0.2">
      <c r="A295" s="350">
        <v>2</v>
      </c>
      <c r="C295" s="5" t="str">
        <f t="shared" ca="1" si="84"/>
        <v>Frozen (-20C)</v>
      </c>
      <c r="D295" s="500" t="s">
        <v>3715</v>
      </c>
      <c r="J295" s="293">
        <f>VLOOKUP($D295,CCE[],7,FALSE)</f>
        <v>58</v>
      </c>
      <c r="K295" s="293">
        <f>VLOOKUP($D295,CCE[],8,FALSE)</f>
        <v>44</v>
      </c>
      <c r="L295" s="501">
        <f>VLOOKUP($D295,CCE[],21,FALSE)*Time_period</f>
        <v>300.59999999999997</v>
      </c>
      <c r="M295" s="207">
        <f>VLOOKUP($D295,CCE[],13,FALSE)</f>
        <v>1810</v>
      </c>
      <c r="N295" s="207">
        <f>VLOOKUP($D295,CCE[],14,FALSE)</f>
        <v>2760</v>
      </c>
      <c r="O295" s="207">
        <f>VLOOKUP($D295,CCE[],10,FALSE)</f>
        <v>1410</v>
      </c>
      <c r="P295" s="208" t="e">
        <f>ROUNDUP((P279+P285)/K295,0)</f>
        <v>#N/A</v>
      </c>
      <c r="Q295" s="91"/>
      <c r="R295" s="403"/>
      <c r="S295" s="403"/>
      <c r="T295" s="403"/>
      <c r="U295" s="403" t="s">
        <v>12</v>
      </c>
      <c r="V295" s="403"/>
      <c r="W295" s="403"/>
      <c r="X295" s="403"/>
      <c r="Y295" s="403"/>
      <c r="Z295" s="403"/>
      <c r="AA295" s="403"/>
      <c r="AB295" s="403"/>
      <c r="AC295" s="403"/>
      <c r="AD295" s="403"/>
      <c r="AE295" s="403"/>
      <c r="AF295" s="403"/>
      <c r="AG295" s="403"/>
      <c r="AH295" s="403"/>
      <c r="AI295" s="403"/>
      <c r="AJ295" s="403"/>
      <c r="AK295" s="403"/>
      <c r="AL295" s="403"/>
      <c r="AM295" s="403"/>
      <c r="AN295" s="403" t="s">
        <v>10717</v>
      </c>
      <c r="AO295" s="403"/>
      <c r="AP295" s="403"/>
      <c r="AQ295" s="403"/>
      <c r="AR295" s="403"/>
      <c r="AS295" s="403"/>
      <c r="AT295" s="403"/>
      <c r="AU295" s="403"/>
      <c r="AV295" s="403"/>
      <c r="AW295" s="403"/>
      <c r="AX295" s="403"/>
      <c r="AY295" s="403"/>
      <c r="AZ295" s="403"/>
      <c r="BA295" s="403"/>
      <c r="BB295" s="403"/>
      <c r="BC295" s="403"/>
      <c r="BD295" s="403"/>
      <c r="BE295" s="403"/>
      <c r="BF295" s="403"/>
      <c r="BG295" s="403" t="s">
        <v>10228</v>
      </c>
      <c r="BH295" s="403"/>
      <c r="BI295" s="403"/>
      <c r="BJ295" s="403"/>
      <c r="BK295" s="403"/>
      <c r="BL295" s="403"/>
      <c r="BM295" s="403"/>
      <c r="BN295" s="403"/>
      <c r="BO295" s="403"/>
      <c r="BP295" s="403"/>
      <c r="BQ295" s="403"/>
      <c r="BR295" s="403"/>
      <c r="BS295" s="403"/>
      <c r="BT295" s="403"/>
      <c r="BU295" s="403"/>
      <c r="BV295" s="403"/>
      <c r="BW295" s="403"/>
      <c r="BX295" s="403"/>
      <c r="BY295" s="403"/>
      <c r="BZ295" s="403" t="s">
        <v>10718</v>
      </c>
      <c r="CA295" s="403"/>
      <c r="CB295" s="403"/>
      <c r="CC295" s="403"/>
      <c r="CD295" s="403"/>
      <c r="CE295" s="403"/>
      <c r="CF295" s="403"/>
      <c r="CG295" s="403"/>
      <c r="CH295" s="403"/>
      <c r="CI295" s="403"/>
      <c r="CJ295" s="403"/>
      <c r="CK295" s="403"/>
      <c r="CL295" s="403"/>
      <c r="CM295" s="403"/>
      <c r="CN295" s="403"/>
      <c r="CO295" s="403"/>
      <c r="CP295" s="403"/>
      <c r="CQ295" s="403"/>
      <c r="CR295" s="403"/>
      <c r="CS295" s="403" t="s">
        <v>8391</v>
      </c>
      <c r="CT295" s="403"/>
      <c r="CU295" s="403"/>
      <c r="CV295" s="403"/>
      <c r="CW295" s="403"/>
      <c r="CX295" s="403"/>
      <c r="CY295" s="403"/>
      <c r="CZ295" s="403"/>
      <c r="DA295" s="403"/>
      <c r="DB295" s="403"/>
      <c r="DC295" s="403"/>
      <c r="DD295" s="403"/>
      <c r="DE295" s="403"/>
      <c r="DF295" s="403"/>
      <c r="DG295" s="403"/>
      <c r="DH295" s="403"/>
      <c r="DI295" s="403"/>
      <c r="DJ295" s="403"/>
      <c r="DK295" s="403"/>
      <c r="DL295" s="403" t="s">
        <v>10249</v>
      </c>
      <c r="DM295" s="403"/>
      <c r="DN295" s="403"/>
      <c r="DO295" s="403"/>
      <c r="DP295" s="403"/>
      <c r="DQ295" s="403"/>
      <c r="DR295" s="403"/>
      <c r="DS295" s="403"/>
      <c r="DT295" s="403"/>
      <c r="DU295" s="403"/>
      <c r="DV295" s="403"/>
      <c r="DW295" s="403"/>
      <c r="DX295" s="403"/>
      <c r="DY295" s="403"/>
      <c r="DZ295" s="403"/>
      <c r="EA295" s="403"/>
      <c r="EB295" s="403"/>
      <c r="EC295" s="403"/>
      <c r="ED295" s="403"/>
      <c r="EE295" s="403" t="s">
        <v>8393</v>
      </c>
      <c r="EF295" s="403"/>
      <c r="EG295" s="403"/>
      <c r="EH295" s="403"/>
      <c r="EI295" s="403"/>
      <c r="EJ295" s="403"/>
      <c r="EK295" s="403"/>
      <c r="EL295" s="403"/>
      <c r="EM295" s="403"/>
      <c r="EN295" s="403"/>
      <c r="EO295" s="403"/>
      <c r="EP295" s="403"/>
      <c r="EQ295" s="403"/>
      <c r="ER295" s="403"/>
      <c r="ES295" s="403"/>
      <c r="ET295" s="403"/>
    </row>
    <row r="296" spans="1:150" s="281" customFormat="1" x14ac:dyDescent="0.2">
      <c r="C296" s="5" t="str">
        <f t="shared" ca="1" si="84"/>
        <v>Ice pack freezers</v>
      </c>
      <c r="D296" s="499" t="str">
        <f ca="1">D162</f>
        <v>No model choice</v>
      </c>
      <c r="J296" s="146"/>
      <c r="L296" s="501">
        <v>360</v>
      </c>
      <c r="M296" s="207">
        <v>1600</v>
      </c>
      <c r="N296" s="207">
        <v>1600</v>
      </c>
      <c r="O296" s="79">
        <v>1600</v>
      </c>
      <c r="P296" s="231">
        <f>D265</f>
        <v>1</v>
      </c>
      <c r="Q296" s="47"/>
      <c r="R296" s="403"/>
      <c r="S296" s="403"/>
      <c r="T296" s="403"/>
      <c r="U296" s="403" t="s">
        <v>3211</v>
      </c>
      <c r="V296" s="403"/>
      <c r="W296" s="403"/>
      <c r="X296" s="403"/>
      <c r="Y296" s="403"/>
      <c r="Z296" s="403"/>
      <c r="AA296" s="403"/>
      <c r="AB296" s="403"/>
      <c r="AC296" s="403"/>
      <c r="AD296" s="403"/>
      <c r="AE296" s="403"/>
      <c r="AF296" s="403"/>
      <c r="AG296" s="403"/>
      <c r="AH296" s="403"/>
      <c r="AI296" s="403"/>
      <c r="AJ296" s="403"/>
      <c r="AK296" s="403"/>
      <c r="AL296" s="403"/>
      <c r="AM296" s="403"/>
      <c r="AN296" s="403" t="s">
        <v>11012</v>
      </c>
      <c r="AO296" s="403"/>
      <c r="AP296" s="403"/>
      <c r="AQ296" s="403"/>
      <c r="AR296" s="403"/>
      <c r="AS296" s="403"/>
      <c r="AT296" s="403"/>
      <c r="AU296" s="403"/>
      <c r="AV296" s="403"/>
      <c r="AW296" s="403"/>
      <c r="AX296" s="403"/>
      <c r="AY296" s="403"/>
      <c r="AZ296" s="403"/>
      <c r="BA296" s="403"/>
      <c r="BB296" s="403"/>
      <c r="BC296" s="403"/>
      <c r="BD296" s="403"/>
      <c r="BE296" s="403"/>
      <c r="BF296" s="403"/>
      <c r="BG296" s="403" t="s">
        <v>11056</v>
      </c>
      <c r="BH296" s="403"/>
      <c r="BI296" s="403"/>
      <c r="BJ296" s="403"/>
      <c r="BK296" s="403"/>
      <c r="BL296" s="403"/>
      <c r="BM296" s="403"/>
      <c r="BN296" s="403"/>
      <c r="BO296" s="403"/>
      <c r="BP296" s="403"/>
      <c r="BQ296" s="403"/>
      <c r="BR296" s="403"/>
      <c r="BS296" s="403"/>
      <c r="BT296" s="403"/>
      <c r="BU296" s="403"/>
      <c r="BV296" s="403"/>
      <c r="BW296" s="403"/>
      <c r="BX296" s="403"/>
      <c r="BY296" s="403"/>
      <c r="BZ296" s="403" t="s">
        <v>11016</v>
      </c>
      <c r="CA296" s="403"/>
      <c r="CB296" s="403"/>
      <c r="CC296" s="403"/>
      <c r="CD296" s="403"/>
      <c r="CE296" s="403"/>
      <c r="CF296" s="403"/>
      <c r="CG296" s="403"/>
      <c r="CH296" s="403"/>
      <c r="CI296" s="403"/>
      <c r="CJ296" s="403"/>
      <c r="CK296" s="403"/>
      <c r="CL296" s="403"/>
      <c r="CM296" s="403"/>
      <c r="CN296" s="403"/>
      <c r="CO296" s="403"/>
      <c r="CP296" s="403"/>
      <c r="CQ296" s="403"/>
      <c r="CR296" s="403"/>
      <c r="CS296" s="403" t="s">
        <v>11018</v>
      </c>
      <c r="CT296" s="403"/>
      <c r="CU296" s="403"/>
      <c r="CV296" s="403"/>
      <c r="CW296" s="403"/>
      <c r="CX296" s="403"/>
      <c r="CY296" s="403"/>
      <c r="CZ296" s="403"/>
      <c r="DA296" s="403"/>
      <c r="DB296" s="403"/>
      <c r="DC296" s="403"/>
      <c r="DD296" s="403"/>
      <c r="DE296" s="403"/>
      <c r="DF296" s="403"/>
      <c r="DG296" s="403"/>
      <c r="DH296" s="403"/>
      <c r="DI296" s="403"/>
      <c r="DJ296" s="403"/>
      <c r="DK296" s="403"/>
      <c r="DL296" s="403" t="s">
        <v>11020</v>
      </c>
      <c r="DM296" s="403"/>
      <c r="DN296" s="403"/>
      <c r="DO296" s="403"/>
      <c r="DP296" s="403"/>
      <c r="DQ296" s="403"/>
      <c r="DR296" s="403"/>
      <c r="DS296" s="403"/>
      <c r="DT296" s="403"/>
      <c r="DU296" s="403"/>
      <c r="DV296" s="403"/>
      <c r="DW296" s="403"/>
      <c r="DX296" s="403"/>
      <c r="DY296" s="403"/>
      <c r="DZ296" s="403"/>
      <c r="EA296" s="403"/>
      <c r="EB296" s="403"/>
      <c r="EC296" s="403"/>
      <c r="ED296" s="403"/>
      <c r="EE296" s="403" t="s">
        <v>11021</v>
      </c>
      <c r="EF296" s="403"/>
      <c r="EG296" s="403"/>
      <c r="EH296" s="403"/>
      <c r="EI296" s="403"/>
      <c r="EJ296" s="403"/>
      <c r="EK296" s="403"/>
      <c r="EL296" s="403"/>
      <c r="EM296" s="403"/>
      <c r="EN296" s="403"/>
      <c r="EO296" s="403"/>
      <c r="EP296" s="403"/>
      <c r="EQ296" s="403"/>
      <c r="ER296" s="403"/>
      <c r="ES296" s="403"/>
      <c r="ET296" s="403"/>
    </row>
    <row r="297" spans="1:150" s="281" customFormat="1" x14ac:dyDescent="0.2">
      <c r="C297" s="5" t="str">
        <f t="shared" ca="1" si="84"/>
        <v>Remote Temperature Monitoring Devices</v>
      </c>
      <c r="D297" s="281" t="str">
        <f>D228</f>
        <v>Haier U-Cool (Refrigerator model)+ 3 years data/portal access</v>
      </c>
      <c r="J297" s="146"/>
      <c r="K297" s="146"/>
      <c r="L297" s="146"/>
      <c r="M297" s="207">
        <f>VLOOKUP($D297,CCE[],13,FALSE)</f>
        <v>650</v>
      </c>
      <c r="N297" s="207">
        <f>VLOOKUP($D297,CCE[],14,FALSE)</f>
        <v>850</v>
      </c>
      <c r="O297" s="207">
        <f>VLOOKUP($D297,CCE[],10,FALSE)</f>
        <v>450</v>
      </c>
      <c r="P297" s="231" t="e">
        <f>SUM(P294:P295)</f>
        <v>#N/A</v>
      </c>
      <c r="Q297" s="47"/>
      <c r="R297" s="403"/>
      <c r="S297" s="403"/>
      <c r="T297" s="403"/>
      <c r="U297" s="403" t="s">
        <v>3593</v>
      </c>
      <c r="V297" s="403"/>
      <c r="W297" s="403"/>
      <c r="X297" s="403"/>
      <c r="Y297" s="403"/>
      <c r="Z297" s="403"/>
      <c r="AA297" s="403"/>
      <c r="AB297" s="403"/>
      <c r="AC297" s="403"/>
      <c r="AD297" s="403"/>
      <c r="AE297" s="403"/>
      <c r="AF297" s="403"/>
      <c r="AG297" s="403"/>
      <c r="AH297" s="403"/>
      <c r="AI297" s="403"/>
      <c r="AJ297" s="403"/>
      <c r="AK297" s="403"/>
      <c r="AL297" s="403"/>
      <c r="AM297" s="403"/>
      <c r="AN297" s="403" t="s">
        <v>10871</v>
      </c>
      <c r="AO297" s="403"/>
      <c r="AP297" s="403"/>
      <c r="AQ297" s="403"/>
      <c r="AR297" s="403"/>
      <c r="AS297" s="403"/>
      <c r="AT297" s="403"/>
      <c r="AU297" s="403"/>
      <c r="AV297" s="403"/>
      <c r="AW297" s="403"/>
      <c r="AX297" s="403"/>
      <c r="AY297" s="403"/>
      <c r="AZ297" s="403"/>
      <c r="BA297" s="403"/>
      <c r="BB297" s="403"/>
      <c r="BC297" s="403"/>
      <c r="BD297" s="403"/>
      <c r="BE297" s="403"/>
      <c r="BF297" s="403"/>
      <c r="BG297" s="403" t="s">
        <v>10872</v>
      </c>
      <c r="BH297" s="403"/>
      <c r="BI297" s="403"/>
      <c r="BJ297" s="403"/>
      <c r="BK297" s="403"/>
      <c r="BL297" s="403"/>
      <c r="BM297" s="403"/>
      <c r="BN297" s="403"/>
      <c r="BO297" s="403"/>
      <c r="BP297" s="403"/>
      <c r="BQ297" s="403"/>
      <c r="BR297" s="403"/>
      <c r="BS297" s="403"/>
      <c r="BT297" s="403"/>
      <c r="BU297" s="403"/>
      <c r="BV297" s="403"/>
      <c r="BW297" s="403"/>
      <c r="BX297" s="403"/>
      <c r="BY297" s="403"/>
      <c r="BZ297" s="403" t="s">
        <v>10873</v>
      </c>
      <c r="CA297" s="403"/>
      <c r="CB297" s="403"/>
      <c r="CC297" s="403"/>
      <c r="CD297" s="403"/>
      <c r="CE297" s="403"/>
      <c r="CF297" s="403"/>
      <c r="CG297" s="403"/>
      <c r="CH297" s="403"/>
      <c r="CI297" s="403"/>
      <c r="CJ297" s="403"/>
      <c r="CK297" s="403"/>
      <c r="CL297" s="403"/>
      <c r="CM297" s="403"/>
      <c r="CN297" s="403"/>
      <c r="CO297" s="403"/>
      <c r="CP297" s="403"/>
      <c r="CQ297" s="403"/>
      <c r="CR297" s="403"/>
      <c r="CS297" s="403" t="s">
        <v>10874</v>
      </c>
      <c r="CT297" s="403"/>
      <c r="CU297" s="403"/>
      <c r="CV297" s="403"/>
      <c r="CW297" s="403"/>
      <c r="CX297" s="403"/>
      <c r="CY297" s="403"/>
      <c r="CZ297" s="403"/>
      <c r="DA297" s="403"/>
      <c r="DB297" s="403"/>
      <c r="DC297" s="403"/>
      <c r="DD297" s="403"/>
      <c r="DE297" s="403"/>
      <c r="DF297" s="403"/>
      <c r="DG297" s="403"/>
      <c r="DH297" s="403"/>
      <c r="DI297" s="403"/>
      <c r="DJ297" s="403"/>
      <c r="DK297" s="403"/>
      <c r="DL297" s="403" t="s">
        <v>10901</v>
      </c>
      <c r="DM297" s="403"/>
      <c r="DN297" s="403"/>
      <c r="DO297" s="403"/>
      <c r="DP297" s="403"/>
      <c r="DQ297" s="403"/>
      <c r="DR297" s="403"/>
      <c r="DS297" s="403"/>
      <c r="DT297" s="403"/>
      <c r="DU297" s="403"/>
      <c r="DV297" s="403"/>
      <c r="DW297" s="403"/>
      <c r="DX297" s="403"/>
      <c r="DY297" s="403"/>
      <c r="DZ297" s="403"/>
      <c r="EA297" s="403"/>
      <c r="EB297" s="403"/>
      <c r="EC297" s="403"/>
      <c r="ED297" s="403"/>
      <c r="EE297" s="403" t="s">
        <v>10876</v>
      </c>
      <c r="EF297" s="403"/>
      <c r="EG297" s="403"/>
      <c r="EH297" s="403"/>
      <c r="EI297" s="403"/>
      <c r="EJ297" s="403"/>
      <c r="EK297" s="403"/>
      <c r="EL297" s="403"/>
      <c r="EM297" s="403"/>
      <c r="EN297" s="403"/>
      <c r="EO297" s="403"/>
      <c r="EP297" s="403"/>
      <c r="EQ297" s="403"/>
      <c r="ER297" s="403"/>
      <c r="ES297" s="403"/>
      <c r="ET297" s="403"/>
    </row>
    <row r="298" spans="1:150" s="281" customFormat="1" x14ac:dyDescent="0.2">
      <c r="R298" s="403"/>
      <c r="S298" s="403"/>
      <c r="T298" s="403"/>
      <c r="U298" s="403"/>
      <c r="V298" s="403"/>
      <c r="W298" s="403"/>
      <c r="X298" s="403"/>
      <c r="Y298" s="403"/>
      <c r="Z298" s="403"/>
      <c r="AA298" s="403"/>
      <c r="AB298" s="403"/>
      <c r="AC298" s="403"/>
      <c r="AD298" s="403"/>
      <c r="AE298" s="403"/>
      <c r="AF298" s="403"/>
      <c r="AG298" s="403"/>
      <c r="AH298" s="403"/>
      <c r="AI298" s="403"/>
      <c r="AJ298" s="403"/>
      <c r="AK298" s="403"/>
      <c r="AL298" s="403"/>
      <c r="AM298" s="403"/>
      <c r="AN298" s="403"/>
      <c r="AO298" s="403"/>
      <c r="AP298" s="403"/>
      <c r="AQ298" s="403"/>
      <c r="AR298" s="403"/>
      <c r="AS298" s="403"/>
      <c r="AT298" s="403"/>
      <c r="AU298" s="403"/>
      <c r="AV298" s="403"/>
      <c r="AW298" s="403"/>
      <c r="AX298" s="403"/>
      <c r="AY298" s="403"/>
      <c r="AZ298" s="403"/>
      <c r="BA298" s="403"/>
      <c r="BB298" s="403"/>
      <c r="BC298" s="403"/>
      <c r="BD298" s="403"/>
      <c r="BE298" s="403"/>
      <c r="BF298" s="403"/>
      <c r="BG298" s="403"/>
      <c r="BH298" s="403"/>
      <c r="BI298" s="403"/>
      <c r="BJ298" s="403"/>
      <c r="BK298" s="403"/>
      <c r="BL298" s="403"/>
      <c r="BM298" s="403"/>
      <c r="BN298" s="403"/>
      <c r="BO298" s="403"/>
      <c r="BP298" s="403"/>
      <c r="BQ298" s="403"/>
      <c r="BR298" s="403"/>
      <c r="BS298" s="403"/>
      <c r="BT298" s="403"/>
      <c r="BU298" s="403"/>
      <c r="BV298" s="403"/>
      <c r="BW298" s="403"/>
      <c r="BX298" s="403"/>
      <c r="BY298" s="403"/>
      <c r="BZ298" s="403"/>
      <c r="CA298" s="403"/>
      <c r="CB298" s="403"/>
      <c r="CC298" s="403"/>
      <c r="CD298" s="403"/>
      <c r="CE298" s="403"/>
      <c r="CF298" s="403"/>
      <c r="CG298" s="403"/>
      <c r="CH298" s="403"/>
      <c r="CI298" s="403"/>
      <c r="CJ298" s="403"/>
      <c r="CK298" s="403"/>
      <c r="CL298" s="403"/>
      <c r="CM298" s="403"/>
      <c r="CN298" s="403"/>
      <c r="CO298" s="403"/>
      <c r="CP298" s="403"/>
      <c r="CQ298" s="403"/>
      <c r="CR298" s="403"/>
      <c r="CS298" s="403"/>
      <c r="CT298" s="403"/>
      <c r="CU298" s="403"/>
      <c r="CV298" s="403"/>
      <c r="CW298" s="403"/>
      <c r="CX298" s="403"/>
      <c r="CY298" s="403"/>
      <c r="CZ298" s="403"/>
      <c r="DA298" s="403"/>
      <c r="DB298" s="403"/>
      <c r="DC298" s="403"/>
      <c r="DD298" s="403"/>
      <c r="DE298" s="403"/>
      <c r="DF298" s="403"/>
      <c r="DG298" s="403"/>
      <c r="DH298" s="403"/>
      <c r="DI298" s="403"/>
      <c r="DJ298" s="403"/>
      <c r="DK298" s="403"/>
      <c r="DL298" s="403"/>
      <c r="DM298" s="403"/>
      <c r="DN298" s="403"/>
      <c r="DO298" s="403"/>
      <c r="DP298" s="403"/>
      <c r="DQ298" s="403"/>
      <c r="DR298" s="403"/>
      <c r="DS298" s="403"/>
      <c r="DT298" s="403"/>
      <c r="DU298" s="403"/>
      <c r="DV298" s="403"/>
      <c r="DW298" s="403"/>
      <c r="DX298" s="403"/>
      <c r="DY298" s="403"/>
      <c r="DZ298" s="403"/>
      <c r="EA298" s="403"/>
      <c r="EB298" s="403"/>
      <c r="EC298" s="403"/>
      <c r="ED298" s="403"/>
      <c r="EE298" s="403"/>
      <c r="EF298" s="403"/>
      <c r="EG298" s="403"/>
      <c r="EH298" s="403"/>
      <c r="EI298" s="403"/>
      <c r="EJ298" s="403"/>
      <c r="EK298" s="403"/>
      <c r="EL298" s="403"/>
      <c r="EM298" s="403"/>
      <c r="EN298" s="403"/>
      <c r="EO298" s="403"/>
      <c r="EP298" s="403"/>
      <c r="EQ298" s="403"/>
      <c r="ER298" s="403"/>
      <c r="ES298" s="403"/>
      <c r="ET298" s="403"/>
    </row>
    <row r="299" spans="1:150" s="281" customFormat="1" ht="15" x14ac:dyDescent="0.25">
      <c r="B299" s="624" t="str">
        <f ca="1">IF(OFFSET(T299,0,Lang_Order*Lang__B4)="","",OFFSET(T299,0,Lang_Order*Lang__B4))</f>
        <v>MINUS existing cold-storage units</v>
      </c>
      <c r="C299" s="5"/>
      <c r="J299" s="290"/>
      <c r="K299" s="289"/>
      <c r="L299" s="289"/>
      <c r="M299" s="289"/>
      <c r="N299" s="289"/>
      <c r="O299" s="289"/>
      <c r="P299" s="297" t="str">
        <f ca="1">IF(OFFSET(AH299,0,Lang_Order*Lang__B4)="","",OFFSET(AH299,0,Lang_Order*Lang__B4))</f>
        <v>Units</v>
      </c>
      <c r="Q299" s="306" t="str">
        <f ca="1">IF(OFFSET(AI299,0,Lang_Order*Lang__B4)="","",OFFSET(AI299,0,Lang_Order*Lang__B4))</f>
        <v>NOTE: This part affects the capital expenditure calculationes NOT operational expenditures</v>
      </c>
      <c r="R299" s="403"/>
      <c r="S299" s="403"/>
      <c r="T299" s="403" t="s">
        <v>4186</v>
      </c>
      <c r="U299" s="403"/>
      <c r="V299" s="403"/>
      <c r="W299" s="403"/>
      <c r="X299" s="403"/>
      <c r="Y299" s="403"/>
      <c r="Z299" s="403"/>
      <c r="AA299" s="403"/>
      <c r="AB299" s="403"/>
      <c r="AC299" s="403"/>
      <c r="AD299" s="403"/>
      <c r="AE299" s="403"/>
      <c r="AF299" s="403"/>
      <c r="AG299" s="403"/>
      <c r="AH299" s="403" t="s">
        <v>37</v>
      </c>
      <c r="AI299" s="403" t="s">
        <v>3665</v>
      </c>
      <c r="AJ299" s="403"/>
      <c r="AK299" s="403"/>
      <c r="AL299" s="403"/>
      <c r="AM299" s="403" t="s">
        <v>11024</v>
      </c>
      <c r="AN299" s="403"/>
      <c r="AO299" s="403"/>
      <c r="AP299" s="403"/>
      <c r="AQ299" s="403"/>
      <c r="AR299" s="403"/>
      <c r="AS299" s="403"/>
      <c r="AT299" s="403"/>
      <c r="AU299" s="403"/>
      <c r="AV299" s="403"/>
      <c r="AW299" s="403"/>
      <c r="AX299" s="403"/>
      <c r="AY299" s="403"/>
      <c r="AZ299" s="403"/>
      <c r="BA299" s="403" t="s">
        <v>8153</v>
      </c>
      <c r="BB299" s="403" t="s">
        <v>10878</v>
      </c>
      <c r="BC299" s="403"/>
      <c r="BD299" s="403"/>
      <c r="BE299" s="403"/>
      <c r="BF299" s="403" t="s">
        <v>11025</v>
      </c>
      <c r="BG299" s="403"/>
      <c r="BH299" s="403"/>
      <c r="BI299" s="403"/>
      <c r="BJ299" s="403"/>
      <c r="BK299" s="403"/>
      <c r="BL299" s="403"/>
      <c r="BM299" s="403"/>
      <c r="BN299" s="403"/>
      <c r="BO299" s="403"/>
      <c r="BP299" s="403"/>
      <c r="BQ299" s="403"/>
      <c r="BR299" s="403"/>
      <c r="BS299" s="403"/>
      <c r="BT299" s="403" t="s">
        <v>5682</v>
      </c>
      <c r="BU299" s="403" t="s">
        <v>10880</v>
      </c>
      <c r="BV299" s="403"/>
      <c r="BW299" s="403"/>
      <c r="BX299" s="403"/>
      <c r="BY299" s="403" t="s">
        <v>11242</v>
      </c>
      <c r="BZ299" s="403"/>
      <c r="CA299" s="403"/>
      <c r="CB299" s="403"/>
      <c r="CC299" s="403"/>
      <c r="CD299" s="403"/>
      <c r="CE299" s="403"/>
      <c r="CF299" s="403"/>
      <c r="CG299" s="403"/>
      <c r="CH299" s="403"/>
      <c r="CI299" s="403"/>
      <c r="CJ299" s="403"/>
      <c r="CK299" s="403"/>
      <c r="CL299" s="403"/>
      <c r="CM299" s="403" t="s">
        <v>8159</v>
      </c>
      <c r="CN299" s="403" t="s">
        <v>10882</v>
      </c>
      <c r="CO299" s="403"/>
      <c r="CP299" s="403"/>
      <c r="CQ299" s="403"/>
      <c r="CR299" s="403" t="s">
        <v>11027</v>
      </c>
      <c r="CS299" s="403"/>
      <c r="CT299" s="403"/>
      <c r="CU299" s="403"/>
      <c r="CV299" s="403"/>
      <c r="CW299" s="403"/>
      <c r="CX299" s="403"/>
      <c r="CY299" s="403"/>
      <c r="CZ299" s="403"/>
      <c r="DA299" s="403"/>
      <c r="DB299" s="403"/>
      <c r="DC299" s="403"/>
      <c r="DD299" s="403"/>
      <c r="DE299" s="403"/>
      <c r="DF299" s="403" t="s">
        <v>8159</v>
      </c>
      <c r="DG299" s="403" t="s">
        <v>10884</v>
      </c>
      <c r="DH299" s="403"/>
      <c r="DI299" s="403"/>
      <c r="DJ299" s="403"/>
      <c r="DK299" s="403" t="s">
        <v>11028</v>
      </c>
      <c r="DL299" s="403"/>
      <c r="DM299" s="403"/>
      <c r="DN299" s="403"/>
      <c r="DO299" s="403"/>
      <c r="DP299" s="403"/>
      <c r="DQ299" s="403"/>
      <c r="DR299" s="403"/>
      <c r="DS299" s="403"/>
      <c r="DT299" s="403"/>
      <c r="DU299" s="403"/>
      <c r="DV299" s="403"/>
      <c r="DW299" s="403"/>
      <c r="DX299" s="403"/>
      <c r="DY299" s="403" t="s">
        <v>5709</v>
      </c>
      <c r="DZ299" s="403" t="s">
        <v>10886</v>
      </c>
      <c r="EA299" s="403"/>
      <c r="EB299" s="403"/>
      <c r="EC299" s="403"/>
      <c r="ED299" s="403" t="s">
        <v>11029</v>
      </c>
      <c r="EE299" s="403"/>
      <c r="EF299" s="403"/>
      <c r="EG299" s="403"/>
      <c r="EH299" s="403"/>
      <c r="EI299" s="403"/>
      <c r="EJ299" s="403"/>
      <c r="EK299" s="403"/>
      <c r="EL299" s="403"/>
      <c r="EM299" s="403"/>
      <c r="EN299" s="403"/>
      <c r="EO299" s="403"/>
      <c r="EP299" s="403"/>
      <c r="EQ299" s="403"/>
      <c r="ER299" s="403" t="s">
        <v>10858</v>
      </c>
      <c r="ES299" s="403" t="s">
        <v>10888</v>
      </c>
      <c r="ET299" s="403"/>
    </row>
    <row r="300" spans="1:150" s="281" customFormat="1" x14ac:dyDescent="0.2">
      <c r="C300" s="34" t="str">
        <f t="shared" ref="C300:C308" ca="1" si="85">IF(OFFSET(U300,0,Lang_Order*Lang__B4)="","",OFFSET(U300,0,Lang_Order*Lang__B4))</f>
        <v>Solar</v>
      </c>
      <c r="J300" s="304" t="str">
        <f ca="1">IF(OFFSET(AB300,0,Lang_Order*Lang__B4)="","",OFFSET(AB300,0,Lang_Order*Lang__B4))</f>
        <v>Total Required in All Fixed Sites</v>
      </c>
      <c r="K300" s="146"/>
      <c r="M300" s="303" t="str">
        <f ca="1">IF(OFFSET(AE300,0,Lang_Order*Lang__B4)="","",OFFSET(AE300,0,Lang_Order*Lang__B4))</f>
        <v>Total Pre-existing in All Fixed Sites (FILL HERE)</v>
      </c>
      <c r="N300" s="146"/>
      <c r="O300" s="146"/>
      <c r="P300" s="305" t="str">
        <f ca="1">IF(OFFSET(AH300,0,Lang_Order*Lang__B4)="","",OFFSET(AH300,0,Lang_Order*Lang__B4))</f>
        <v>Remainder Required in All Fixed Sites</v>
      </c>
      <c r="Q300" s="91"/>
      <c r="R300" s="403"/>
      <c r="S300" s="403"/>
      <c r="T300" s="403"/>
      <c r="U300" s="403" t="s">
        <v>3222</v>
      </c>
      <c r="V300" s="403"/>
      <c r="W300" s="403"/>
      <c r="X300" s="403"/>
      <c r="Y300" s="403"/>
      <c r="Z300" s="403"/>
      <c r="AA300" s="403"/>
      <c r="AB300" s="403" t="s">
        <v>3673</v>
      </c>
      <c r="AC300" s="403"/>
      <c r="AD300" s="403"/>
      <c r="AE300" s="403" t="s">
        <v>3672</v>
      </c>
      <c r="AF300" s="403"/>
      <c r="AG300" s="403"/>
      <c r="AH300" s="403" t="s">
        <v>3674</v>
      </c>
      <c r="AI300" s="403"/>
      <c r="AJ300" s="403"/>
      <c r="AK300" s="403"/>
      <c r="AL300" s="403"/>
      <c r="AM300" s="403"/>
      <c r="AN300" s="403" t="s">
        <v>11144</v>
      </c>
      <c r="AO300" s="403"/>
      <c r="AP300" s="403"/>
      <c r="AQ300" s="403"/>
      <c r="AR300" s="403"/>
      <c r="AS300" s="403"/>
      <c r="AT300" s="403"/>
      <c r="AU300" s="403" t="s">
        <v>11243</v>
      </c>
      <c r="AV300" s="403"/>
      <c r="AW300" s="403"/>
      <c r="AX300" s="403" t="s">
        <v>11244</v>
      </c>
      <c r="AY300" s="403"/>
      <c r="AZ300" s="403"/>
      <c r="BA300" s="403" t="s">
        <v>11245</v>
      </c>
      <c r="BB300" s="403"/>
      <c r="BC300" s="403"/>
      <c r="BD300" s="403"/>
      <c r="BE300" s="403"/>
      <c r="BF300" s="403"/>
      <c r="BG300" s="403" t="s">
        <v>11145</v>
      </c>
      <c r="BH300" s="403"/>
      <c r="BI300" s="403"/>
      <c r="BJ300" s="403"/>
      <c r="BK300" s="403"/>
      <c r="BL300" s="403"/>
      <c r="BM300" s="403"/>
      <c r="BN300" s="403" t="s">
        <v>11246</v>
      </c>
      <c r="BO300" s="403"/>
      <c r="BP300" s="403"/>
      <c r="BQ300" s="403" t="s">
        <v>11247</v>
      </c>
      <c r="BR300" s="403"/>
      <c r="BS300" s="403"/>
      <c r="BT300" s="403" t="s">
        <v>11248</v>
      </c>
      <c r="BU300" s="403"/>
      <c r="BV300" s="403"/>
      <c r="BW300" s="403"/>
      <c r="BX300" s="403"/>
      <c r="BY300" s="403"/>
      <c r="BZ300" s="403" t="s">
        <v>3222</v>
      </c>
      <c r="CA300" s="403"/>
      <c r="CB300" s="403"/>
      <c r="CC300" s="403"/>
      <c r="CD300" s="403"/>
      <c r="CE300" s="403"/>
      <c r="CF300" s="403"/>
      <c r="CG300" s="403" t="s">
        <v>11249</v>
      </c>
      <c r="CH300" s="403"/>
      <c r="CI300" s="403"/>
      <c r="CJ300" s="403" t="s">
        <v>11250</v>
      </c>
      <c r="CK300" s="403"/>
      <c r="CL300" s="403"/>
      <c r="CM300" s="403" t="s">
        <v>11251</v>
      </c>
      <c r="CN300" s="403"/>
      <c r="CO300" s="403"/>
      <c r="CP300" s="403"/>
      <c r="CQ300" s="403"/>
      <c r="CR300" s="403"/>
      <c r="CS300" s="403" t="s">
        <v>3222</v>
      </c>
      <c r="CT300" s="403"/>
      <c r="CU300" s="403"/>
      <c r="CV300" s="403"/>
      <c r="CW300" s="403"/>
      <c r="CX300" s="403"/>
      <c r="CY300" s="403"/>
      <c r="CZ300" s="403" t="s">
        <v>11252</v>
      </c>
      <c r="DA300" s="403"/>
      <c r="DB300" s="403"/>
      <c r="DC300" s="403" t="s">
        <v>11253</v>
      </c>
      <c r="DD300" s="403"/>
      <c r="DE300" s="403"/>
      <c r="DF300" s="403" t="s">
        <v>11254</v>
      </c>
      <c r="DG300" s="403"/>
      <c r="DH300" s="403"/>
      <c r="DI300" s="403"/>
      <c r="DJ300" s="403"/>
      <c r="DK300" s="403"/>
      <c r="DL300" s="403" t="s">
        <v>11147</v>
      </c>
      <c r="DM300" s="403"/>
      <c r="DN300" s="403"/>
      <c r="DO300" s="403"/>
      <c r="DP300" s="403"/>
      <c r="DQ300" s="403"/>
      <c r="DR300" s="403"/>
      <c r="DS300" s="403" t="s">
        <v>11255</v>
      </c>
      <c r="DT300" s="403"/>
      <c r="DU300" s="403"/>
      <c r="DV300" s="403" t="s">
        <v>11256</v>
      </c>
      <c r="DW300" s="403"/>
      <c r="DX300" s="403"/>
      <c r="DY300" s="403" t="s">
        <v>11257</v>
      </c>
      <c r="DZ300" s="403"/>
      <c r="EA300" s="403"/>
      <c r="EB300" s="403"/>
      <c r="EC300" s="403"/>
      <c r="ED300" s="403"/>
      <c r="EE300" s="403" t="s">
        <v>11148</v>
      </c>
      <c r="EF300" s="403"/>
      <c r="EG300" s="403"/>
      <c r="EH300" s="403"/>
      <c r="EI300" s="403"/>
      <c r="EJ300" s="403"/>
      <c r="EK300" s="403"/>
      <c r="EL300" s="403" t="s">
        <v>11258</v>
      </c>
      <c r="EM300" s="403"/>
      <c r="EN300" s="403"/>
      <c r="EO300" s="403" t="s">
        <v>11259</v>
      </c>
      <c r="EP300" s="403"/>
      <c r="EQ300" s="403"/>
      <c r="ER300" s="403" t="s">
        <v>11260</v>
      </c>
      <c r="ES300" s="403"/>
      <c r="ET300" s="403"/>
    </row>
    <row r="301" spans="1:150" s="281" customFormat="1" x14ac:dyDescent="0.2">
      <c r="A301" s="350">
        <v>2</v>
      </c>
      <c r="C301" s="5" t="str">
        <f t="shared" ca="1" si="85"/>
        <v>Refrigerated (2 to 8C)</v>
      </c>
      <c r="D301" s="281" t="str">
        <f>D290</f>
        <v>30-60L - HTC 110 SDD (Ground Mount)</v>
      </c>
      <c r="J301" s="208" t="e">
        <f>$D$266*P290</f>
        <v>#N/A</v>
      </c>
      <c r="M301" s="35">
        <v>0</v>
      </c>
      <c r="P301" s="208" t="e">
        <f>MAX(0,J301-M301)</f>
        <v>#N/A</v>
      </c>
      <c r="Q301" s="91"/>
      <c r="R301" s="403"/>
      <c r="S301" s="403"/>
      <c r="T301" s="403"/>
      <c r="U301" s="403" t="s">
        <v>11</v>
      </c>
      <c r="V301" s="403"/>
      <c r="W301" s="403"/>
      <c r="X301" s="403"/>
      <c r="Y301" s="403"/>
      <c r="Z301" s="403"/>
      <c r="AA301" s="403"/>
      <c r="AB301" s="403"/>
      <c r="AC301" s="403"/>
      <c r="AD301" s="403"/>
      <c r="AE301" s="403"/>
      <c r="AF301" s="403"/>
      <c r="AG301" s="403"/>
      <c r="AH301" s="403"/>
      <c r="AI301" s="403"/>
      <c r="AJ301" s="403"/>
      <c r="AK301" s="403"/>
      <c r="AL301" s="403"/>
      <c r="AM301" s="403"/>
      <c r="AN301" s="403" t="s">
        <v>10714</v>
      </c>
      <c r="AO301" s="403"/>
      <c r="AP301" s="403"/>
      <c r="AQ301" s="403"/>
      <c r="AR301" s="403"/>
      <c r="AS301" s="403"/>
      <c r="AT301" s="403"/>
      <c r="AU301" s="403"/>
      <c r="AV301" s="403"/>
      <c r="AW301" s="403"/>
      <c r="AX301" s="403"/>
      <c r="AY301" s="403"/>
      <c r="AZ301" s="403"/>
      <c r="BA301" s="403"/>
      <c r="BB301" s="403"/>
      <c r="BC301" s="403"/>
      <c r="BD301" s="403"/>
      <c r="BE301" s="403"/>
      <c r="BF301" s="403"/>
      <c r="BG301" s="403" t="s">
        <v>10227</v>
      </c>
      <c r="BH301" s="403"/>
      <c r="BI301" s="403"/>
      <c r="BJ301" s="403"/>
      <c r="BK301" s="403"/>
      <c r="BL301" s="403"/>
      <c r="BM301" s="403"/>
      <c r="BN301" s="403"/>
      <c r="BO301" s="403"/>
      <c r="BP301" s="403"/>
      <c r="BQ301" s="403"/>
      <c r="BR301" s="403"/>
      <c r="BS301" s="403"/>
      <c r="BT301" s="403"/>
      <c r="BU301" s="403"/>
      <c r="BV301" s="403"/>
      <c r="BW301" s="403"/>
      <c r="BX301" s="403"/>
      <c r="BY301" s="403"/>
      <c r="BZ301" s="403" t="s">
        <v>10715</v>
      </c>
      <c r="CA301" s="403"/>
      <c r="CB301" s="403"/>
      <c r="CC301" s="403"/>
      <c r="CD301" s="403"/>
      <c r="CE301" s="403"/>
      <c r="CF301" s="403"/>
      <c r="CG301" s="403"/>
      <c r="CH301" s="403"/>
      <c r="CI301" s="403"/>
      <c r="CJ301" s="403"/>
      <c r="CK301" s="403"/>
      <c r="CL301" s="403"/>
      <c r="CM301" s="403"/>
      <c r="CN301" s="403"/>
      <c r="CO301" s="403"/>
      <c r="CP301" s="403"/>
      <c r="CQ301" s="403"/>
      <c r="CR301" s="403"/>
      <c r="CS301" s="403" t="s">
        <v>8384</v>
      </c>
      <c r="CT301" s="403"/>
      <c r="CU301" s="403"/>
      <c r="CV301" s="403"/>
      <c r="CW301" s="403"/>
      <c r="CX301" s="403"/>
      <c r="CY301" s="403"/>
      <c r="CZ301" s="403"/>
      <c r="DA301" s="403"/>
      <c r="DB301" s="403"/>
      <c r="DC301" s="403"/>
      <c r="DD301" s="403"/>
      <c r="DE301" s="403"/>
      <c r="DF301" s="403"/>
      <c r="DG301" s="403"/>
      <c r="DH301" s="403"/>
      <c r="DI301" s="403"/>
      <c r="DJ301" s="403"/>
      <c r="DK301" s="403"/>
      <c r="DL301" s="403" t="s">
        <v>10248</v>
      </c>
      <c r="DM301" s="403"/>
      <c r="DN301" s="403"/>
      <c r="DO301" s="403"/>
      <c r="DP301" s="403"/>
      <c r="DQ301" s="403"/>
      <c r="DR301" s="403"/>
      <c r="DS301" s="403"/>
      <c r="DT301" s="403"/>
      <c r="DU301" s="403"/>
      <c r="DV301" s="403"/>
      <c r="DW301" s="403"/>
      <c r="DX301" s="403"/>
      <c r="DY301" s="403"/>
      <c r="DZ301" s="403"/>
      <c r="EA301" s="403"/>
      <c r="EB301" s="403"/>
      <c r="EC301" s="403"/>
      <c r="ED301" s="403"/>
      <c r="EE301" s="403" t="s">
        <v>8387</v>
      </c>
      <c r="EF301" s="403"/>
      <c r="EG301" s="403"/>
      <c r="EH301" s="403"/>
      <c r="EI301" s="403"/>
      <c r="EJ301" s="403"/>
      <c r="EK301" s="403"/>
      <c r="EL301" s="403"/>
      <c r="EM301" s="403"/>
      <c r="EN301" s="403"/>
      <c r="EO301" s="403"/>
      <c r="EP301" s="403"/>
      <c r="EQ301" s="403"/>
      <c r="ER301" s="403"/>
      <c r="ES301" s="403"/>
      <c r="ET301" s="403"/>
    </row>
    <row r="302" spans="1:150" s="281" customFormat="1" x14ac:dyDescent="0.2">
      <c r="A302" s="350">
        <v>2</v>
      </c>
      <c r="C302" s="5" t="str">
        <f t="shared" ca="1" si="85"/>
        <v>Frozen (-20C)</v>
      </c>
      <c r="D302" s="299" t="str">
        <f>D291</f>
        <v>30-60L - VFS 048 SDD (Ground Mount)</v>
      </c>
      <c r="J302" s="208" t="e">
        <f>$D$266*P291</f>
        <v>#N/A</v>
      </c>
      <c r="M302" s="35">
        <v>0</v>
      </c>
      <c r="P302" s="208" t="e">
        <f>MAX(0,J302-M302)</f>
        <v>#N/A</v>
      </c>
      <c r="Q302" s="91"/>
      <c r="R302" s="403"/>
      <c r="S302" s="403"/>
      <c r="T302" s="403"/>
      <c r="U302" s="403" t="s">
        <v>12</v>
      </c>
      <c r="V302" s="403"/>
      <c r="W302" s="403"/>
      <c r="X302" s="403"/>
      <c r="Y302" s="403"/>
      <c r="Z302" s="403"/>
      <c r="AA302" s="403"/>
      <c r="AB302" s="403"/>
      <c r="AC302" s="403"/>
      <c r="AD302" s="403"/>
      <c r="AE302" s="403"/>
      <c r="AF302" s="403"/>
      <c r="AG302" s="403"/>
      <c r="AH302" s="403"/>
      <c r="AI302" s="403"/>
      <c r="AJ302" s="403"/>
      <c r="AK302" s="403"/>
      <c r="AL302" s="403"/>
      <c r="AM302" s="403"/>
      <c r="AN302" s="403" t="s">
        <v>10717</v>
      </c>
      <c r="AO302" s="403"/>
      <c r="AP302" s="403"/>
      <c r="AQ302" s="403"/>
      <c r="AR302" s="403"/>
      <c r="AS302" s="403"/>
      <c r="AT302" s="403"/>
      <c r="AU302" s="403"/>
      <c r="AV302" s="403"/>
      <c r="AW302" s="403"/>
      <c r="AX302" s="403"/>
      <c r="AY302" s="403"/>
      <c r="AZ302" s="403"/>
      <c r="BA302" s="403"/>
      <c r="BB302" s="403"/>
      <c r="BC302" s="403"/>
      <c r="BD302" s="403"/>
      <c r="BE302" s="403"/>
      <c r="BF302" s="403"/>
      <c r="BG302" s="403" t="s">
        <v>10228</v>
      </c>
      <c r="BH302" s="403"/>
      <c r="BI302" s="403"/>
      <c r="BJ302" s="403"/>
      <c r="BK302" s="403"/>
      <c r="BL302" s="403"/>
      <c r="BM302" s="403"/>
      <c r="BN302" s="403"/>
      <c r="BO302" s="403"/>
      <c r="BP302" s="403"/>
      <c r="BQ302" s="403"/>
      <c r="BR302" s="403"/>
      <c r="BS302" s="403"/>
      <c r="BT302" s="403"/>
      <c r="BU302" s="403"/>
      <c r="BV302" s="403"/>
      <c r="BW302" s="403"/>
      <c r="BX302" s="403"/>
      <c r="BY302" s="403"/>
      <c r="BZ302" s="403" t="s">
        <v>10718</v>
      </c>
      <c r="CA302" s="403"/>
      <c r="CB302" s="403"/>
      <c r="CC302" s="403"/>
      <c r="CD302" s="403"/>
      <c r="CE302" s="403"/>
      <c r="CF302" s="403"/>
      <c r="CG302" s="403"/>
      <c r="CH302" s="403"/>
      <c r="CI302" s="403"/>
      <c r="CJ302" s="403"/>
      <c r="CK302" s="403"/>
      <c r="CL302" s="403"/>
      <c r="CM302" s="403"/>
      <c r="CN302" s="403"/>
      <c r="CO302" s="403"/>
      <c r="CP302" s="403"/>
      <c r="CQ302" s="403"/>
      <c r="CR302" s="403"/>
      <c r="CS302" s="403" t="s">
        <v>8391</v>
      </c>
      <c r="CT302" s="403"/>
      <c r="CU302" s="403"/>
      <c r="CV302" s="403"/>
      <c r="CW302" s="403"/>
      <c r="CX302" s="403"/>
      <c r="CY302" s="403"/>
      <c r="CZ302" s="403"/>
      <c r="DA302" s="403"/>
      <c r="DB302" s="403"/>
      <c r="DC302" s="403"/>
      <c r="DD302" s="403"/>
      <c r="DE302" s="403"/>
      <c r="DF302" s="403"/>
      <c r="DG302" s="403"/>
      <c r="DH302" s="403"/>
      <c r="DI302" s="403"/>
      <c r="DJ302" s="403"/>
      <c r="DK302" s="403"/>
      <c r="DL302" s="403" t="s">
        <v>10249</v>
      </c>
      <c r="DM302" s="403"/>
      <c r="DN302" s="403"/>
      <c r="DO302" s="403"/>
      <c r="DP302" s="403"/>
      <c r="DQ302" s="403"/>
      <c r="DR302" s="403"/>
      <c r="DS302" s="403"/>
      <c r="DT302" s="403"/>
      <c r="DU302" s="403"/>
      <c r="DV302" s="403"/>
      <c r="DW302" s="403"/>
      <c r="DX302" s="403"/>
      <c r="DY302" s="403"/>
      <c r="DZ302" s="403"/>
      <c r="EA302" s="403"/>
      <c r="EB302" s="403"/>
      <c r="EC302" s="403"/>
      <c r="ED302" s="403"/>
      <c r="EE302" s="403" t="s">
        <v>8393</v>
      </c>
      <c r="EF302" s="403"/>
      <c r="EG302" s="403"/>
      <c r="EH302" s="403"/>
      <c r="EI302" s="403"/>
      <c r="EJ302" s="403"/>
      <c r="EK302" s="403"/>
      <c r="EL302" s="403"/>
      <c r="EM302" s="403"/>
      <c r="EN302" s="403"/>
      <c r="EO302" s="403"/>
      <c r="EP302" s="403"/>
      <c r="EQ302" s="403"/>
      <c r="ER302" s="403"/>
      <c r="ES302" s="403"/>
      <c r="ET302" s="403"/>
    </row>
    <row r="303" spans="1:150" s="281" customFormat="1" x14ac:dyDescent="0.2">
      <c r="A303" s="350">
        <v>2</v>
      </c>
      <c r="C303" s="5" t="str">
        <f t="shared" ca="1" si="85"/>
        <v>Remote Temperature Monitoring Devices</v>
      </c>
      <c r="D303" s="299" t="str">
        <f>D292</f>
        <v>Haier U-Cool (Refrigerator model)+ 3 years data/portal access</v>
      </c>
      <c r="J303" s="208" t="e">
        <f>$D$266*P292</f>
        <v>#N/A</v>
      </c>
      <c r="M303" s="35">
        <v>0</v>
      </c>
      <c r="P303" s="208" t="e">
        <f>MAX(0,J303-M303)</f>
        <v>#N/A</v>
      </c>
      <c r="Q303" s="91"/>
      <c r="R303" s="403"/>
      <c r="S303" s="403"/>
      <c r="T303" s="403"/>
      <c r="U303" s="403" t="s">
        <v>3593</v>
      </c>
      <c r="V303" s="403"/>
      <c r="W303" s="403"/>
      <c r="X303" s="403"/>
      <c r="Y303" s="403"/>
      <c r="Z303" s="403"/>
      <c r="AA303" s="403"/>
      <c r="AB303" s="403"/>
      <c r="AC303" s="403"/>
      <c r="AD303" s="403"/>
      <c r="AE303" s="403"/>
      <c r="AF303" s="403"/>
      <c r="AG303" s="403"/>
      <c r="AH303" s="403"/>
      <c r="AI303" s="403"/>
      <c r="AJ303" s="403"/>
      <c r="AK303" s="403"/>
      <c r="AL303" s="403"/>
      <c r="AM303" s="403"/>
      <c r="AN303" s="403" t="s">
        <v>10871</v>
      </c>
      <c r="AO303" s="403"/>
      <c r="AP303" s="403"/>
      <c r="AQ303" s="403"/>
      <c r="AR303" s="403"/>
      <c r="AS303" s="403"/>
      <c r="AT303" s="403"/>
      <c r="AU303" s="403"/>
      <c r="AV303" s="403"/>
      <c r="AW303" s="403"/>
      <c r="AX303" s="403"/>
      <c r="AY303" s="403"/>
      <c r="AZ303" s="403"/>
      <c r="BA303" s="403"/>
      <c r="BB303" s="403"/>
      <c r="BC303" s="403"/>
      <c r="BD303" s="403"/>
      <c r="BE303" s="403"/>
      <c r="BF303" s="403"/>
      <c r="BG303" s="403" t="s">
        <v>10872</v>
      </c>
      <c r="BH303" s="403"/>
      <c r="BI303" s="403"/>
      <c r="BJ303" s="403"/>
      <c r="BK303" s="403"/>
      <c r="BL303" s="403"/>
      <c r="BM303" s="403"/>
      <c r="BN303" s="403"/>
      <c r="BO303" s="403"/>
      <c r="BP303" s="403"/>
      <c r="BQ303" s="403"/>
      <c r="BR303" s="403"/>
      <c r="BS303" s="403"/>
      <c r="BT303" s="403"/>
      <c r="BU303" s="403"/>
      <c r="BV303" s="403"/>
      <c r="BW303" s="403"/>
      <c r="BX303" s="403"/>
      <c r="BY303" s="403"/>
      <c r="BZ303" s="403" t="s">
        <v>10873</v>
      </c>
      <c r="CA303" s="403"/>
      <c r="CB303" s="403"/>
      <c r="CC303" s="403"/>
      <c r="CD303" s="403"/>
      <c r="CE303" s="403"/>
      <c r="CF303" s="403"/>
      <c r="CG303" s="403"/>
      <c r="CH303" s="403"/>
      <c r="CI303" s="403"/>
      <c r="CJ303" s="403"/>
      <c r="CK303" s="403"/>
      <c r="CL303" s="403"/>
      <c r="CM303" s="403"/>
      <c r="CN303" s="403"/>
      <c r="CO303" s="403"/>
      <c r="CP303" s="403"/>
      <c r="CQ303" s="403"/>
      <c r="CR303" s="403"/>
      <c r="CS303" s="403" t="s">
        <v>10874</v>
      </c>
      <c r="CT303" s="403"/>
      <c r="CU303" s="403"/>
      <c r="CV303" s="403"/>
      <c r="CW303" s="403"/>
      <c r="CX303" s="403"/>
      <c r="CY303" s="403"/>
      <c r="CZ303" s="403"/>
      <c r="DA303" s="403"/>
      <c r="DB303" s="403"/>
      <c r="DC303" s="403"/>
      <c r="DD303" s="403"/>
      <c r="DE303" s="403"/>
      <c r="DF303" s="403"/>
      <c r="DG303" s="403"/>
      <c r="DH303" s="403"/>
      <c r="DI303" s="403"/>
      <c r="DJ303" s="403"/>
      <c r="DK303" s="403"/>
      <c r="DL303" s="403" t="s">
        <v>10901</v>
      </c>
      <c r="DM303" s="403"/>
      <c r="DN303" s="403"/>
      <c r="DO303" s="403"/>
      <c r="DP303" s="403"/>
      <c r="DQ303" s="403"/>
      <c r="DR303" s="403"/>
      <c r="DS303" s="403"/>
      <c r="DT303" s="403"/>
      <c r="DU303" s="403"/>
      <c r="DV303" s="403"/>
      <c r="DW303" s="403"/>
      <c r="DX303" s="403"/>
      <c r="DY303" s="403"/>
      <c r="DZ303" s="403"/>
      <c r="EA303" s="403"/>
      <c r="EB303" s="403"/>
      <c r="EC303" s="403"/>
      <c r="ED303" s="403"/>
      <c r="EE303" s="403" t="s">
        <v>10876</v>
      </c>
      <c r="EF303" s="403"/>
      <c r="EG303" s="403"/>
      <c r="EH303" s="403"/>
      <c r="EI303" s="403"/>
      <c r="EJ303" s="403"/>
      <c r="EK303" s="403"/>
      <c r="EL303" s="403"/>
      <c r="EM303" s="403"/>
      <c r="EN303" s="403"/>
      <c r="EO303" s="403"/>
      <c r="EP303" s="403"/>
      <c r="EQ303" s="403"/>
      <c r="ER303" s="403"/>
      <c r="ES303" s="403"/>
      <c r="ET303" s="403"/>
    </row>
    <row r="304" spans="1:150" s="281" customFormat="1" x14ac:dyDescent="0.2">
      <c r="C304" s="34" t="str">
        <f t="shared" ca="1" si="85"/>
        <v>On-grid</v>
      </c>
      <c r="L304" s="302" t="str">
        <f ca="1">IF(OFFSET(AD304,0,Lang_Order*Lang__B4)="","",OFFSET(AD304,0,Lang_Order*Lang__B4))</f>
        <v>MINUS</v>
      </c>
      <c r="M304" s="146"/>
      <c r="N304" s="146"/>
      <c r="O304" s="302" t="str">
        <f ca="1">IF(OFFSET(AG304,0,Lang_Order*Lang__B4)="","",OFFSET(AG304,0,Lang_Order*Lang__B4))</f>
        <v>EQUALS</v>
      </c>
      <c r="Q304" s="91"/>
      <c r="R304" s="403"/>
      <c r="S304" s="403"/>
      <c r="T304" s="403"/>
      <c r="U304" s="403" t="s">
        <v>3221</v>
      </c>
      <c r="V304" s="403"/>
      <c r="W304" s="403"/>
      <c r="X304" s="403"/>
      <c r="Y304" s="403"/>
      <c r="Z304" s="403"/>
      <c r="AA304" s="403"/>
      <c r="AB304" s="403"/>
      <c r="AC304" s="403"/>
      <c r="AD304" s="403" t="s">
        <v>3659</v>
      </c>
      <c r="AE304" s="403"/>
      <c r="AF304" s="403"/>
      <c r="AG304" s="403" t="s">
        <v>3660</v>
      </c>
      <c r="AH304" s="403"/>
      <c r="AI304" s="403"/>
      <c r="AJ304" s="403"/>
      <c r="AK304" s="403"/>
      <c r="AL304" s="403"/>
      <c r="AM304" s="403"/>
      <c r="AN304" s="403" t="s">
        <v>11149</v>
      </c>
      <c r="AO304" s="403"/>
      <c r="AP304" s="403"/>
      <c r="AQ304" s="403"/>
      <c r="AR304" s="403"/>
      <c r="AS304" s="403"/>
      <c r="AT304" s="403"/>
      <c r="AU304" s="403"/>
      <c r="AV304" s="403"/>
      <c r="AW304" s="403" t="s">
        <v>11046</v>
      </c>
      <c r="AX304" s="403"/>
      <c r="AY304" s="403"/>
      <c r="AZ304" s="403" t="s">
        <v>11047</v>
      </c>
      <c r="BA304" s="403"/>
      <c r="BB304" s="403"/>
      <c r="BC304" s="403"/>
      <c r="BD304" s="403"/>
      <c r="BE304" s="403"/>
      <c r="BF304" s="403"/>
      <c r="BG304" s="403" t="s">
        <v>11150</v>
      </c>
      <c r="BH304" s="403"/>
      <c r="BI304" s="403"/>
      <c r="BJ304" s="403"/>
      <c r="BK304" s="403"/>
      <c r="BL304" s="403"/>
      <c r="BM304" s="403"/>
      <c r="BN304" s="403"/>
      <c r="BO304" s="403"/>
      <c r="BP304" s="403" t="s">
        <v>11048</v>
      </c>
      <c r="BQ304" s="403"/>
      <c r="BR304" s="403"/>
      <c r="BS304" s="403" t="s">
        <v>11049</v>
      </c>
      <c r="BT304" s="403"/>
      <c r="BU304" s="403"/>
      <c r="BV304" s="403"/>
      <c r="BW304" s="403"/>
      <c r="BX304" s="403"/>
      <c r="BY304" s="403"/>
      <c r="BZ304" s="403" t="s">
        <v>11151</v>
      </c>
      <c r="CA304" s="403"/>
      <c r="CB304" s="403"/>
      <c r="CC304" s="403"/>
      <c r="CD304" s="403"/>
      <c r="CE304" s="403"/>
      <c r="CF304" s="403"/>
      <c r="CG304" s="403"/>
      <c r="CH304" s="403"/>
      <c r="CI304" s="403" t="s">
        <v>11050</v>
      </c>
      <c r="CJ304" s="403"/>
      <c r="CK304" s="403"/>
      <c r="CL304" s="403" t="s">
        <v>11051</v>
      </c>
      <c r="CM304" s="403"/>
      <c r="CN304" s="403"/>
      <c r="CO304" s="403"/>
      <c r="CP304" s="403"/>
      <c r="CQ304" s="403"/>
      <c r="CR304" s="403"/>
      <c r="CS304" s="403" t="s">
        <v>11152</v>
      </c>
      <c r="CT304" s="403"/>
      <c r="CU304" s="403"/>
      <c r="CV304" s="403"/>
      <c r="CW304" s="403"/>
      <c r="CX304" s="403"/>
      <c r="CY304" s="403"/>
      <c r="CZ304" s="403"/>
      <c r="DA304" s="403"/>
      <c r="DB304" s="403" t="s">
        <v>11050</v>
      </c>
      <c r="DC304" s="403"/>
      <c r="DD304" s="403"/>
      <c r="DE304" s="403" t="s">
        <v>11051</v>
      </c>
      <c r="DF304" s="403"/>
      <c r="DG304" s="403"/>
      <c r="DH304" s="403"/>
      <c r="DI304" s="403"/>
      <c r="DJ304" s="403"/>
      <c r="DK304" s="403"/>
      <c r="DL304" s="403" t="s">
        <v>11153</v>
      </c>
      <c r="DM304" s="403"/>
      <c r="DN304" s="403"/>
      <c r="DO304" s="403"/>
      <c r="DP304" s="403"/>
      <c r="DQ304" s="403"/>
      <c r="DR304" s="403"/>
      <c r="DS304" s="403"/>
      <c r="DT304" s="403"/>
      <c r="DU304" s="403" t="s">
        <v>11052</v>
      </c>
      <c r="DV304" s="403"/>
      <c r="DW304" s="403"/>
      <c r="DX304" s="403" t="s">
        <v>11053</v>
      </c>
      <c r="DY304" s="403"/>
      <c r="DZ304" s="403"/>
      <c r="EA304" s="403"/>
      <c r="EB304" s="403"/>
      <c r="EC304" s="403"/>
      <c r="ED304" s="403"/>
      <c r="EE304" s="403" t="s">
        <v>11154</v>
      </c>
      <c r="EF304" s="403"/>
      <c r="EG304" s="403"/>
      <c r="EH304" s="403"/>
      <c r="EI304" s="403"/>
      <c r="EJ304" s="403"/>
      <c r="EK304" s="403"/>
      <c r="EL304" s="403"/>
      <c r="EM304" s="403"/>
      <c r="EN304" s="403" t="s">
        <v>11054</v>
      </c>
      <c r="EO304" s="403"/>
      <c r="EP304" s="403"/>
      <c r="EQ304" s="403" t="s">
        <v>11055</v>
      </c>
      <c r="ER304" s="403"/>
      <c r="ES304" s="403"/>
      <c r="ET304" s="403"/>
    </row>
    <row r="305" spans="1:150" s="281" customFormat="1" x14ac:dyDescent="0.2">
      <c r="A305" s="350">
        <v>2</v>
      </c>
      <c r="C305" s="5" t="str">
        <f t="shared" ca="1" si="85"/>
        <v>Refrigerated (2 to 8C)</v>
      </c>
      <c r="D305" s="299" t="str">
        <f>D294</f>
        <v>30-60L - GVR 51 Lite AC</v>
      </c>
      <c r="J305" s="208" t="e">
        <f>$D$267*P294</f>
        <v>#N/A</v>
      </c>
      <c r="K305" s="146"/>
      <c r="L305" s="146"/>
      <c r="M305" s="35">
        <v>0</v>
      </c>
      <c r="N305" s="146"/>
      <c r="O305" s="146"/>
      <c r="P305" s="208" t="e">
        <f>MAX(0,J305-M305)</f>
        <v>#N/A</v>
      </c>
      <c r="Q305" s="47"/>
      <c r="R305" s="403"/>
      <c r="S305" s="403"/>
      <c r="T305" s="403"/>
      <c r="U305" s="403" t="s">
        <v>11</v>
      </c>
      <c r="V305" s="403"/>
      <c r="W305" s="403"/>
      <c r="X305" s="403"/>
      <c r="Y305" s="403"/>
      <c r="Z305" s="403"/>
      <c r="AA305" s="403"/>
      <c r="AB305" s="403"/>
      <c r="AC305" s="403"/>
      <c r="AD305" s="403"/>
      <c r="AE305" s="403"/>
      <c r="AF305" s="403"/>
      <c r="AG305" s="403"/>
      <c r="AH305" s="403"/>
      <c r="AI305" s="403"/>
      <c r="AJ305" s="403"/>
      <c r="AK305" s="403"/>
      <c r="AL305" s="403"/>
      <c r="AM305" s="403"/>
      <c r="AN305" s="403" t="s">
        <v>10714</v>
      </c>
      <c r="AO305" s="403"/>
      <c r="AP305" s="403"/>
      <c r="AQ305" s="403"/>
      <c r="AR305" s="403"/>
      <c r="AS305" s="403"/>
      <c r="AT305" s="403"/>
      <c r="AU305" s="403"/>
      <c r="AV305" s="403"/>
      <c r="AW305" s="403"/>
      <c r="AX305" s="403"/>
      <c r="AY305" s="403"/>
      <c r="AZ305" s="403"/>
      <c r="BA305" s="403"/>
      <c r="BB305" s="403"/>
      <c r="BC305" s="403"/>
      <c r="BD305" s="403"/>
      <c r="BE305" s="403"/>
      <c r="BF305" s="403"/>
      <c r="BG305" s="403" t="s">
        <v>10227</v>
      </c>
      <c r="BH305" s="403"/>
      <c r="BI305" s="403"/>
      <c r="BJ305" s="403"/>
      <c r="BK305" s="403"/>
      <c r="BL305" s="403"/>
      <c r="BM305" s="403"/>
      <c r="BN305" s="403"/>
      <c r="BO305" s="403"/>
      <c r="BP305" s="403"/>
      <c r="BQ305" s="403"/>
      <c r="BR305" s="403"/>
      <c r="BS305" s="403"/>
      <c r="BT305" s="403"/>
      <c r="BU305" s="403"/>
      <c r="BV305" s="403"/>
      <c r="BW305" s="403"/>
      <c r="BX305" s="403"/>
      <c r="BY305" s="403"/>
      <c r="BZ305" s="403" t="s">
        <v>10715</v>
      </c>
      <c r="CA305" s="403"/>
      <c r="CB305" s="403"/>
      <c r="CC305" s="403"/>
      <c r="CD305" s="403"/>
      <c r="CE305" s="403"/>
      <c r="CF305" s="403"/>
      <c r="CG305" s="403"/>
      <c r="CH305" s="403"/>
      <c r="CI305" s="403"/>
      <c r="CJ305" s="403"/>
      <c r="CK305" s="403"/>
      <c r="CL305" s="403"/>
      <c r="CM305" s="403"/>
      <c r="CN305" s="403"/>
      <c r="CO305" s="403"/>
      <c r="CP305" s="403"/>
      <c r="CQ305" s="403"/>
      <c r="CR305" s="403"/>
      <c r="CS305" s="403" t="s">
        <v>8384</v>
      </c>
      <c r="CT305" s="403"/>
      <c r="CU305" s="403"/>
      <c r="CV305" s="403"/>
      <c r="CW305" s="403"/>
      <c r="CX305" s="403"/>
      <c r="CY305" s="403"/>
      <c r="CZ305" s="403"/>
      <c r="DA305" s="403"/>
      <c r="DB305" s="403"/>
      <c r="DC305" s="403"/>
      <c r="DD305" s="403"/>
      <c r="DE305" s="403"/>
      <c r="DF305" s="403"/>
      <c r="DG305" s="403"/>
      <c r="DH305" s="403"/>
      <c r="DI305" s="403"/>
      <c r="DJ305" s="403"/>
      <c r="DK305" s="403"/>
      <c r="DL305" s="403" t="s">
        <v>10248</v>
      </c>
      <c r="DM305" s="403"/>
      <c r="DN305" s="403"/>
      <c r="DO305" s="403"/>
      <c r="DP305" s="403"/>
      <c r="DQ305" s="403"/>
      <c r="DR305" s="403"/>
      <c r="DS305" s="403"/>
      <c r="DT305" s="403"/>
      <c r="DU305" s="403"/>
      <c r="DV305" s="403"/>
      <c r="DW305" s="403"/>
      <c r="DX305" s="403"/>
      <c r="DY305" s="403"/>
      <c r="DZ305" s="403"/>
      <c r="EA305" s="403"/>
      <c r="EB305" s="403"/>
      <c r="EC305" s="403"/>
      <c r="ED305" s="403"/>
      <c r="EE305" s="403" t="s">
        <v>8387</v>
      </c>
      <c r="EF305" s="403"/>
      <c r="EG305" s="403"/>
      <c r="EH305" s="403"/>
      <c r="EI305" s="403"/>
      <c r="EJ305" s="403"/>
      <c r="EK305" s="403"/>
      <c r="EL305" s="403"/>
      <c r="EM305" s="403"/>
      <c r="EN305" s="403"/>
      <c r="EO305" s="403"/>
      <c r="EP305" s="403"/>
      <c r="EQ305" s="403"/>
      <c r="ER305" s="403"/>
      <c r="ES305" s="403"/>
      <c r="ET305" s="403"/>
    </row>
    <row r="306" spans="1:150" s="281" customFormat="1" x14ac:dyDescent="0.2">
      <c r="A306" s="350">
        <v>2</v>
      </c>
      <c r="C306" s="5" t="str">
        <f t="shared" ca="1" si="85"/>
        <v>Frozen (-20C)</v>
      </c>
      <c r="D306" s="299" t="str">
        <f>D295</f>
        <v>30-60L - GVR 55 FF AC</v>
      </c>
      <c r="J306" s="208" t="e">
        <f>$D$267*P295</f>
        <v>#N/A</v>
      </c>
      <c r="K306" s="146"/>
      <c r="L306" s="146"/>
      <c r="M306" s="35">
        <v>0</v>
      </c>
      <c r="N306" s="146"/>
      <c r="O306" s="146"/>
      <c r="P306" s="208" t="e">
        <f>MAX(0,J306-M306)</f>
        <v>#N/A</v>
      </c>
      <c r="Q306" s="47"/>
      <c r="R306" s="403"/>
      <c r="S306" s="403"/>
      <c r="T306" s="403"/>
      <c r="U306" s="403" t="s">
        <v>12</v>
      </c>
      <c r="V306" s="403"/>
      <c r="W306" s="403"/>
      <c r="X306" s="403"/>
      <c r="Y306" s="403"/>
      <c r="Z306" s="403"/>
      <c r="AA306" s="403"/>
      <c r="AB306" s="403"/>
      <c r="AC306" s="403"/>
      <c r="AD306" s="403"/>
      <c r="AE306" s="403"/>
      <c r="AF306" s="403"/>
      <c r="AG306" s="403"/>
      <c r="AH306" s="403"/>
      <c r="AI306" s="403"/>
      <c r="AJ306" s="403"/>
      <c r="AK306" s="403"/>
      <c r="AL306" s="403"/>
      <c r="AM306" s="403"/>
      <c r="AN306" s="403" t="s">
        <v>10717</v>
      </c>
      <c r="AO306" s="403"/>
      <c r="AP306" s="403"/>
      <c r="AQ306" s="403"/>
      <c r="AR306" s="403"/>
      <c r="AS306" s="403"/>
      <c r="AT306" s="403"/>
      <c r="AU306" s="403"/>
      <c r="AV306" s="403"/>
      <c r="AW306" s="403"/>
      <c r="AX306" s="403"/>
      <c r="AY306" s="403"/>
      <c r="AZ306" s="403"/>
      <c r="BA306" s="403"/>
      <c r="BB306" s="403"/>
      <c r="BC306" s="403"/>
      <c r="BD306" s="403"/>
      <c r="BE306" s="403"/>
      <c r="BF306" s="403"/>
      <c r="BG306" s="403" t="s">
        <v>10228</v>
      </c>
      <c r="BH306" s="403"/>
      <c r="BI306" s="403"/>
      <c r="BJ306" s="403"/>
      <c r="BK306" s="403"/>
      <c r="BL306" s="403"/>
      <c r="BM306" s="403"/>
      <c r="BN306" s="403"/>
      <c r="BO306" s="403"/>
      <c r="BP306" s="403"/>
      <c r="BQ306" s="403"/>
      <c r="BR306" s="403"/>
      <c r="BS306" s="403"/>
      <c r="BT306" s="403"/>
      <c r="BU306" s="403"/>
      <c r="BV306" s="403"/>
      <c r="BW306" s="403"/>
      <c r="BX306" s="403"/>
      <c r="BY306" s="403"/>
      <c r="BZ306" s="403" t="s">
        <v>10718</v>
      </c>
      <c r="CA306" s="403"/>
      <c r="CB306" s="403"/>
      <c r="CC306" s="403"/>
      <c r="CD306" s="403"/>
      <c r="CE306" s="403"/>
      <c r="CF306" s="403"/>
      <c r="CG306" s="403"/>
      <c r="CH306" s="403"/>
      <c r="CI306" s="403"/>
      <c r="CJ306" s="403"/>
      <c r="CK306" s="403"/>
      <c r="CL306" s="403"/>
      <c r="CM306" s="403"/>
      <c r="CN306" s="403"/>
      <c r="CO306" s="403"/>
      <c r="CP306" s="403"/>
      <c r="CQ306" s="403"/>
      <c r="CR306" s="403"/>
      <c r="CS306" s="403" t="s">
        <v>8391</v>
      </c>
      <c r="CT306" s="403"/>
      <c r="CU306" s="403"/>
      <c r="CV306" s="403"/>
      <c r="CW306" s="403"/>
      <c r="CX306" s="403"/>
      <c r="CY306" s="403"/>
      <c r="CZ306" s="403"/>
      <c r="DA306" s="403"/>
      <c r="DB306" s="403"/>
      <c r="DC306" s="403"/>
      <c r="DD306" s="403"/>
      <c r="DE306" s="403"/>
      <c r="DF306" s="403"/>
      <c r="DG306" s="403"/>
      <c r="DH306" s="403"/>
      <c r="DI306" s="403"/>
      <c r="DJ306" s="403"/>
      <c r="DK306" s="403"/>
      <c r="DL306" s="403" t="s">
        <v>10249</v>
      </c>
      <c r="DM306" s="403"/>
      <c r="DN306" s="403"/>
      <c r="DO306" s="403"/>
      <c r="DP306" s="403"/>
      <c r="DQ306" s="403"/>
      <c r="DR306" s="403"/>
      <c r="DS306" s="403"/>
      <c r="DT306" s="403"/>
      <c r="DU306" s="403"/>
      <c r="DV306" s="403"/>
      <c r="DW306" s="403"/>
      <c r="DX306" s="403"/>
      <c r="DY306" s="403"/>
      <c r="DZ306" s="403"/>
      <c r="EA306" s="403"/>
      <c r="EB306" s="403"/>
      <c r="EC306" s="403"/>
      <c r="ED306" s="403"/>
      <c r="EE306" s="403" t="s">
        <v>8393</v>
      </c>
      <c r="EF306" s="403"/>
      <c r="EG306" s="403"/>
      <c r="EH306" s="403"/>
      <c r="EI306" s="403"/>
      <c r="EJ306" s="403"/>
      <c r="EK306" s="403"/>
      <c r="EL306" s="403"/>
      <c r="EM306" s="403"/>
      <c r="EN306" s="403"/>
      <c r="EO306" s="403"/>
      <c r="EP306" s="403"/>
      <c r="EQ306" s="403"/>
      <c r="ER306" s="403"/>
      <c r="ES306" s="403"/>
      <c r="ET306" s="403"/>
    </row>
    <row r="307" spans="1:150" s="281" customFormat="1" x14ac:dyDescent="0.2">
      <c r="A307" s="350">
        <v>2</v>
      </c>
      <c r="C307" s="5" t="str">
        <f t="shared" ca="1" si="85"/>
        <v>Ice pack freezers</v>
      </c>
      <c r="J307" s="208">
        <f>$D$267*P296</f>
        <v>0</v>
      </c>
      <c r="K307" s="146"/>
      <c r="L307" s="146"/>
      <c r="M307" s="35">
        <v>0</v>
      </c>
      <c r="N307" s="146"/>
      <c r="O307" s="146"/>
      <c r="P307" s="208">
        <f>MAX(0,J307-M307)</f>
        <v>0</v>
      </c>
      <c r="Q307" s="47"/>
      <c r="R307" s="403"/>
      <c r="S307" s="403"/>
      <c r="T307" s="403"/>
      <c r="U307" s="403" t="s">
        <v>3211</v>
      </c>
      <c r="V307" s="403"/>
      <c r="W307" s="403"/>
      <c r="X307" s="403"/>
      <c r="Y307" s="403"/>
      <c r="Z307" s="403"/>
      <c r="AA307" s="403"/>
      <c r="AB307" s="403"/>
      <c r="AC307" s="403"/>
      <c r="AD307" s="403"/>
      <c r="AE307" s="403"/>
      <c r="AF307" s="403"/>
      <c r="AG307" s="403"/>
      <c r="AH307" s="403"/>
      <c r="AI307" s="403"/>
      <c r="AJ307" s="403"/>
      <c r="AK307" s="403"/>
      <c r="AL307" s="403"/>
      <c r="AM307" s="403"/>
      <c r="AN307" s="403" t="s">
        <v>11012</v>
      </c>
      <c r="AO307" s="403"/>
      <c r="AP307" s="403"/>
      <c r="AQ307" s="403"/>
      <c r="AR307" s="403"/>
      <c r="AS307" s="403"/>
      <c r="AT307" s="403"/>
      <c r="AU307" s="403"/>
      <c r="AV307" s="403"/>
      <c r="AW307" s="403"/>
      <c r="AX307" s="403"/>
      <c r="AY307" s="403"/>
      <c r="AZ307" s="403"/>
      <c r="BA307" s="403"/>
      <c r="BB307" s="403"/>
      <c r="BC307" s="403"/>
      <c r="BD307" s="403"/>
      <c r="BE307" s="403"/>
      <c r="BF307" s="403"/>
      <c r="BG307" s="403" t="s">
        <v>11056</v>
      </c>
      <c r="BH307" s="403"/>
      <c r="BI307" s="403"/>
      <c r="BJ307" s="403"/>
      <c r="BK307" s="403"/>
      <c r="BL307" s="403"/>
      <c r="BM307" s="403"/>
      <c r="BN307" s="403"/>
      <c r="BO307" s="403"/>
      <c r="BP307" s="403"/>
      <c r="BQ307" s="403"/>
      <c r="BR307" s="403"/>
      <c r="BS307" s="403"/>
      <c r="BT307" s="403"/>
      <c r="BU307" s="403"/>
      <c r="BV307" s="403"/>
      <c r="BW307" s="403"/>
      <c r="BX307" s="403"/>
      <c r="BY307" s="403"/>
      <c r="BZ307" s="403" t="s">
        <v>11016</v>
      </c>
      <c r="CA307" s="403"/>
      <c r="CB307" s="403"/>
      <c r="CC307" s="403"/>
      <c r="CD307" s="403"/>
      <c r="CE307" s="403"/>
      <c r="CF307" s="403"/>
      <c r="CG307" s="403"/>
      <c r="CH307" s="403"/>
      <c r="CI307" s="403"/>
      <c r="CJ307" s="403"/>
      <c r="CK307" s="403"/>
      <c r="CL307" s="403"/>
      <c r="CM307" s="403"/>
      <c r="CN307" s="403"/>
      <c r="CO307" s="403"/>
      <c r="CP307" s="403"/>
      <c r="CQ307" s="403"/>
      <c r="CR307" s="403"/>
      <c r="CS307" s="403" t="s">
        <v>11018</v>
      </c>
      <c r="CT307" s="403"/>
      <c r="CU307" s="403"/>
      <c r="CV307" s="403"/>
      <c r="CW307" s="403"/>
      <c r="CX307" s="403"/>
      <c r="CY307" s="403"/>
      <c r="CZ307" s="403"/>
      <c r="DA307" s="403"/>
      <c r="DB307" s="403"/>
      <c r="DC307" s="403"/>
      <c r="DD307" s="403"/>
      <c r="DE307" s="403"/>
      <c r="DF307" s="403"/>
      <c r="DG307" s="403"/>
      <c r="DH307" s="403"/>
      <c r="DI307" s="403"/>
      <c r="DJ307" s="403"/>
      <c r="DK307" s="403"/>
      <c r="DL307" s="403" t="s">
        <v>11020</v>
      </c>
      <c r="DM307" s="403"/>
      <c r="DN307" s="403"/>
      <c r="DO307" s="403"/>
      <c r="DP307" s="403"/>
      <c r="DQ307" s="403"/>
      <c r="DR307" s="403"/>
      <c r="DS307" s="403"/>
      <c r="DT307" s="403"/>
      <c r="DU307" s="403"/>
      <c r="DV307" s="403"/>
      <c r="DW307" s="403"/>
      <c r="DX307" s="403"/>
      <c r="DY307" s="403"/>
      <c r="DZ307" s="403"/>
      <c r="EA307" s="403"/>
      <c r="EB307" s="403"/>
      <c r="EC307" s="403"/>
      <c r="ED307" s="403"/>
      <c r="EE307" s="403" t="s">
        <v>11021</v>
      </c>
      <c r="EF307" s="403"/>
      <c r="EG307" s="403"/>
      <c r="EH307" s="403"/>
      <c r="EI307" s="403"/>
      <c r="EJ307" s="403"/>
      <c r="EK307" s="403"/>
      <c r="EL307" s="403"/>
      <c r="EM307" s="403"/>
      <c r="EN307" s="403"/>
      <c r="EO307" s="403"/>
      <c r="EP307" s="403"/>
      <c r="EQ307" s="403"/>
      <c r="ER307" s="403"/>
      <c r="ES307" s="403"/>
      <c r="ET307" s="403"/>
    </row>
    <row r="308" spans="1:150" s="281" customFormat="1" x14ac:dyDescent="0.2">
      <c r="A308" s="350">
        <v>2</v>
      </c>
      <c r="C308" s="5" t="str">
        <f t="shared" ca="1" si="85"/>
        <v>Remote Temperature Monitoring Devices</v>
      </c>
      <c r="D308" s="299" t="str">
        <f>D297</f>
        <v>Haier U-Cool (Refrigerator model)+ 3 years data/portal access</v>
      </c>
      <c r="J308" s="208" t="e">
        <f>$D$267*P297</f>
        <v>#N/A</v>
      </c>
      <c r="K308" s="146"/>
      <c r="L308" s="146"/>
      <c r="M308" s="35">
        <v>0</v>
      </c>
      <c r="N308" s="146"/>
      <c r="O308" s="146"/>
      <c r="P308" s="208" t="e">
        <f>MAX(0,J308-M308)</f>
        <v>#N/A</v>
      </c>
      <c r="R308" s="403"/>
      <c r="S308" s="403"/>
      <c r="T308" s="403"/>
      <c r="U308" s="403" t="s">
        <v>3593</v>
      </c>
      <c r="V308" s="403"/>
      <c r="W308" s="403"/>
      <c r="X308" s="403"/>
      <c r="Y308" s="403"/>
      <c r="Z308" s="403"/>
      <c r="AA308" s="403"/>
      <c r="AB308" s="403"/>
      <c r="AC308" s="403"/>
      <c r="AD308" s="403"/>
      <c r="AE308" s="403"/>
      <c r="AF308" s="403"/>
      <c r="AG308" s="403"/>
      <c r="AH308" s="403"/>
      <c r="AI308" s="403"/>
      <c r="AJ308" s="403"/>
      <c r="AK308" s="403"/>
      <c r="AL308" s="403"/>
      <c r="AM308" s="403"/>
      <c r="AN308" s="403" t="s">
        <v>10871</v>
      </c>
      <c r="AO308" s="403"/>
      <c r="AP308" s="403"/>
      <c r="AQ308" s="403"/>
      <c r="AR308" s="403"/>
      <c r="AS308" s="403"/>
      <c r="AT308" s="403"/>
      <c r="AU308" s="403"/>
      <c r="AV308" s="403"/>
      <c r="AW308" s="403"/>
      <c r="AX308" s="403"/>
      <c r="AY308" s="403"/>
      <c r="AZ308" s="403"/>
      <c r="BA308" s="403"/>
      <c r="BB308" s="403"/>
      <c r="BC308" s="403"/>
      <c r="BD308" s="403"/>
      <c r="BE308" s="403"/>
      <c r="BF308" s="403"/>
      <c r="BG308" s="403" t="s">
        <v>10872</v>
      </c>
      <c r="BH308" s="403"/>
      <c r="BI308" s="403"/>
      <c r="BJ308" s="403"/>
      <c r="BK308" s="403"/>
      <c r="BL308" s="403"/>
      <c r="BM308" s="403"/>
      <c r="BN308" s="403"/>
      <c r="BO308" s="403"/>
      <c r="BP308" s="403"/>
      <c r="BQ308" s="403"/>
      <c r="BR308" s="403"/>
      <c r="BS308" s="403"/>
      <c r="BT308" s="403"/>
      <c r="BU308" s="403"/>
      <c r="BV308" s="403"/>
      <c r="BW308" s="403"/>
      <c r="BX308" s="403"/>
      <c r="BY308" s="403"/>
      <c r="BZ308" s="403" t="s">
        <v>10873</v>
      </c>
      <c r="CA308" s="403"/>
      <c r="CB308" s="403"/>
      <c r="CC308" s="403"/>
      <c r="CD308" s="403"/>
      <c r="CE308" s="403"/>
      <c r="CF308" s="403"/>
      <c r="CG308" s="403"/>
      <c r="CH308" s="403"/>
      <c r="CI308" s="403"/>
      <c r="CJ308" s="403"/>
      <c r="CK308" s="403"/>
      <c r="CL308" s="403"/>
      <c r="CM308" s="403"/>
      <c r="CN308" s="403"/>
      <c r="CO308" s="403"/>
      <c r="CP308" s="403"/>
      <c r="CQ308" s="403"/>
      <c r="CR308" s="403"/>
      <c r="CS308" s="403" t="s">
        <v>10874</v>
      </c>
      <c r="CT308" s="403"/>
      <c r="CU308" s="403"/>
      <c r="CV308" s="403"/>
      <c r="CW308" s="403"/>
      <c r="CX308" s="403"/>
      <c r="CY308" s="403"/>
      <c r="CZ308" s="403"/>
      <c r="DA308" s="403"/>
      <c r="DB308" s="403"/>
      <c r="DC308" s="403"/>
      <c r="DD308" s="403"/>
      <c r="DE308" s="403"/>
      <c r="DF308" s="403"/>
      <c r="DG308" s="403"/>
      <c r="DH308" s="403"/>
      <c r="DI308" s="403"/>
      <c r="DJ308" s="403"/>
      <c r="DK308" s="403"/>
      <c r="DL308" s="403" t="s">
        <v>10901</v>
      </c>
      <c r="DM308" s="403"/>
      <c r="DN308" s="403"/>
      <c r="DO308" s="403"/>
      <c r="DP308" s="403"/>
      <c r="DQ308" s="403"/>
      <c r="DR308" s="403"/>
      <c r="DS308" s="403"/>
      <c r="DT308" s="403"/>
      <c r="DU308" s="403"/>
      <c r="DV308" s="403"/>
      <c r="DW308" s="403"/>
      <c r="DX308" s="403"/>
      <c r="DY308" s="403"/>
      <c r="DZ308" s="403"/>
      <c r="EA308" s="403"/>
      <c r="EB308" s="403"/>
      <c r="EC308" s="403"/>
      <c r="ED308" s="403"/>
      <c r="EE308" s="403" t="s">
        <v>10876</v>
      </c>
      <c r="EF308" s="403"/>
      <c r="EG308" s="403"/>
      <c r="EH308" s="403"/>
      <c r="EI308" s="403"/>
      <c r="EJ308" s="403"/>
      <c r="EK308" s="403"/>
      <c r="EL308" s="403"/>
      <c r="EM308" s="403"/>
      <c r="EN308" s="403"/>
      <c r="EO308" s="403"/>
      <c r="EP308" s="403"/>
      <c r="EQ308" s="403"/>
      <c r="ER308" s="403"/>
      <c r="ES308" s="403"/>
      <c r="ET308" s="403"/>
    </row>
    <row r="309" spans="1:150" s="281" customFormat="1" x14ac:dyDescent="0.2">
      <c r="J309" s="85"/>
      <c r="R309" s="403"/>
      <c r="S309" s="403"/>
      <c r="T309" s="403"/>
      <c r="U309" s="403"/>
      <c r="V309" s="403"/>
      <c r="W309" s="403"/>
      <c r="X309" s="403"/>
      <c r="Y309" s="403"/>
      <c r="Z309" s="403"/>
      <c r="AA309" s="403"/>
      <c r="AB309" s="403"/>
      <c r="AC309" s="403"/>
      <c r="AD309" s="403"/>
      <c r="AE309" s="403"/>
      <c r="AF309" s="403"/>
      <c r="AG309" s="403"/>
      <c r="AH309" s="403"/>
      <c r="AI309" s="403"/>
      <c r="AJ309" s="403"/>
      <c r="AK309" s="403"/>
      <c r="AL309" s="403"/>
      <c r="AM309" s="403"/>
      <c r="AN309" s="403"/>
      <c r="AO309" s="403"/>
      <c r="AP309" s="403"/>
      <c r="AQ309" s="403"/>
      <c r="AR309" s="403"/>
      <c r="AS309" s="403"/>
      <c r="AT309" s="403"/>
      <c r="AU309" s="403"/>
      <c r="AV309" s="403"/>
      <c r="AW309" s="403"/>
      <c r="AX309" s="403"/>
      <c r="AY309" s="403"/>
      <c r="AZ309" s="403"/>
      <c r="BA309" s="403"/>
      <c r="BB309" s="403"/>
      <c r="BC309" s="403"/>
      <c r="BD309" s="403"/>
      <c r="BE309" s="403"/>
      <c r="BF309" s="403"/>
      <c r="BG309" s="403"/>
      <c r="BH309" s="403"/>
      <c r="BI309" s="403"/>
      <c r="BJ309" s="403"/>
      <c r="BK309" s="403"/>
      <c r="BL309" s="403"/>
      <c r="BM309" s="403"/>
      <c r="BN309" s="403"/>
      <c r="BO309" s="403"/>
      <c r="BP309" s="403"/>
      <c r="BQ309" s="403"/>
      <c r="BR309" s="403"/>
      <c r="BS309" s="403"/>
      <c r="BT309" s="403"/>
      <c r="BU309" s="403"/>
      <c r="BV309" s="403"/>
      <c r="BW309" s="403"/>
      <c r="BX309" s="403"/>
      <c r="BY309" s="403"/>
      <c r="BZ309" s="403"/>
      <c r="CA309" s="403"/>
      <c r="CB309" s="403"/>
      <c r="CC309" s="403"/>
      <c r="CD309" s="403"/>
      <c r="CE309" s="403"/>
      <c r="CF309" s="403"/>
      <c r="CG309" s="403"/>
      <c r="CH309" s="403"/>
      <c r="CI309" s="403"/>
      <c r="CJ309" s="403"/>
      <c r="CK309" s="403"/>
      <c r="CL309" s="403"/>
      <c r="CM309" s="403"/>
      <c r="CN309" s="403"/>
      <c r="CO309" s="403"/>
      <c r="CP309" s="403"/>
      <c r="CQ309" s="403"/>
      <c r="CR309" s="403"/>
      <c r="CS309" s="403"/>
      <c r="CT309" s="403"/>
      <c r="CU309" s="403"/>
      <c r="CV309" s="403"/>
      <c r="CW309" s="403"/>
      <c r="CX309" s="403"/>
      <c r="CY309" s="403"/>
      <c r="CZ309" s="403"/>
      <c r="DA309" s="403"/>
      <c r="DB309" s="403"/>
      <c r="DC309" s="403"/>
      <c r="DD309" s="403"/>
      <c r="DE309" s="403"/>
      <c r="DF309" s="403"/>
      <c r="DG309" s="403"/>
      <c r="DH309" s="403"/>
      <c r="DI309" s="403"/>
      <c r="DJ309" s="403"/>
      <c r="DK309" s="403"/>
      <c r="DL309" s="403"/>
      <c r="DM309" s="403"/>
      <c r="DN309" s="403"/>
      <c r="DO309" s="403"/>
      <c r="DP309" s="403"/>
      <c r="DQ309" s="403"/>
      <c r="DR309" s="403"/>
      <c r="DS309" s="403"/>
      <c r="DT309" s="403"/>
      <c r="DU309" s="403"/>
      <c r="DV309" s="403"/>
      <c r="DW309" s="403"/>
      <c r="DX309" s="403"/>
      <c r="DY309" s="403"/>
      <c r="DZ309" s="403"/>
      <c r="EA309" s="403"/>
      <c r="EB309" s="403"/>
      <c r="EC309" s="403"/>
      <c r="ED309" s="403"/>
      <c r="EE309" s="403"/>
      <c r="EF309" s="403"/>
      <c r="EG309" s="403"/>
      <c r="EH309" s="403"/>
      <c r="EI309" s="403"/>
      <c r="EJ309" s="403"/>
      <c r="EK309" s="403"/>
      <c r="EL309" s="403"/>
      <c r="EM309" s="403"/>
      <c r="EN309" s="403"/>
      <c r="EO309" s="403"/>
      <c r="EP309" s="403"/>
      <c r="EQ309" s="403"/>
      <c r="ER309" s="403"/>
      <c r="ES309" s="403"/>
      <c r="ET309" s="403"/>
    </row>
    <row r="310" spans="1:150" s="281" customFormat="1" ht="39.75" customHeight="1" x14ac:dyDescent="0.2">
      <c r="A310" s="350">
        <v>2</v>
      </c>
      <c r="C310" s="5" t="str">
        <f ca="1">IF(OFFSET(U310,0,Lang_Order*Lang__B4)="","",OFFSET(U310,0,Lang_Order*Lang__B4))</f>
        <v>Upper or lower price</v>
      </c>
      <c r="D310" s="35">
        <v>2</v>
      </c>
      <c r="J310" s="613" t="str">
        <f ca="1">IF(OFFSET(AB310,0,Lang_Order*Lang__B4)="","",OFFSET(AB310,0,Lang_Order*Lang__B4))</f>
        <v>Upper (Harder to access facilities)</v>
      </c>
      <c r="K310" s="706" t="str">
        <f ca="1">IF(OFFSET(AC310,0,Lang_Order*Lang__B4)="","",OFFSET(AC310,0,Lang_Order*Lang__B4))</f>
        <v>Solar</v>
      </c>
      <c r="L310" s="706" t="str">
        <f ca="1">IF(OFFSET(AD310,0,Lang_Order*Lang__B4)="","",OFFSET(AD310,0,Lang_Order*Lang__B4))</f>
        <v/>
      </c>
      <c r="M310" s="706" t="str">
        <f ca="1">IF(OFFSET(AE310,0,Lang_Order*Lang__B4)="","",OFFSET(AE310,0,Lang_Order*Lang__B4))</f>
        <v>On-Grid</v>
      </c>
      <c r="N310" s="706" t="str">
        <f ca="1">IF(OFFSET(AF310,0,Lang_Order*Lang__B4)="","",OFFSET(AF310,0,Lang_Order*Lang__B4))</f>
        <v/>
      </c>
      <c r="R310" s="403"/>
      <c r="S310" s="403"/>
      <c r="T310" s="403"/>
      <c r="U310" s="403" t="s">
        <v>3592</v>
      </c>
      <c r="V310" s="403"/>
      <c r="W310" s="403"/>
      <c r="X310" s="403"/>
      <c r="Y310" s="403"/>
      <c r="Z310" s="403"/>
      <c r="AA310" s="403"/>
      <c r="AB310" s="403" t="s">
        <v>13315</v>
      </c>
      <c r="AC310" s="403" t="s">
        <v>3222</v>
      </c>
      <c r="AD310" s="403"/>
      <c r="AE310" s="403" t="s">
        <v>3614</v>
      </c>
      <c r="AF310" s="403"/>
      <c r="AG310" s="403"/>
      <c r="AH310" s="403"/>
      <c r="AI310" s="403"/>
      <c r="AJ310" s="403"/>
      <c r="AK310" s="403"/>
      <c r="AL310" s="403"/>
      <c r="AM310" s="403"/>
      <c r="AN310" s="403" t="s">
        <v>11057</v>
      </c>
      <c r="AO310" s="403"/>
      <c r="AP310" s="403"/>
      <c r="AQ310" s="403"/>
      <c r="AR310" s="403"/>
      <c r="AS310" s="403"/>
      <c r="AT310" s="403"/>
      <c r="AU310" s="403" t="s">
        <v>13316</v>
      </c>
      <c r="AV310" s="403" t="s">
        <v>11144</v>
      </c>
      <c r="AW310" s="403"/>
      <c r="AX310" s="403" t="s">
        <v>11149</v>
      </c>
      <c r="AY310" s="403"/>
      <c r="AZ310" s="403"/>
      <c r="BA310" s="403"/>
      <c r="BB310" s="403"/>
      <c r="BC310" s="403"/>
      <c r="BD310" s="403"/>
      <c r="BE310" s="403"/>
      <c r="BF310" s="403"/>
      <c r="BG310" s="403" t="s">
        <v>11261</v>
      </c>
      <c r="BH310" s="403"/>
      <c r="BI310" s="403"/>
      <c r="BJ310" s="403"/>
      <c r="BK310" s="403"/>
      <c r="BL310" s="403"/>
      <c r="BM310" s="403"/>
      <c r="BN310" s="403" t="s">
        <v>13317</v>
      </c>
      <c r="BO310" s="403" t="s">
        <v>11145</v>
      </c>
      <c r="BP310" s="403"/>
      <c r="BQ310" s="403" t="s">
        <v>11150</v>
      </c>
      <c r="BR310" s="403"/>
      <c r="BS310" s="403"/>
      <c r="BT310" s="403"/>
      <c r="BU310" s="403"/>
      <c r="BV310" s="403"/>
      <c r="BW310" s="403"/>
      <c r="BX310" s="403"/>
      <c r="BY310" s="403"/>
      <c r="BZ310" s="403" t="s">
        <v>11059</v>
      </c>
      <c r="CA310" s="403"/>
      <c r="CB310" s="403"/>
      <c r="CC310" s="403"/>
      <c r="CD310" s="403"/>
      <c r="CE310" s="403"/>
      <c r="CF310" s="403"/>
      <c r="CG310" s="403" t="s">
        <v>13318</v>
      </c>
      <c r="CH310" s="403" t="s">
        <v>3222</v>
      </c>
      <c r="CI310" s="403"/>
      <c r="CJ310" s="403" t="s">
        <v>11151</v>
      </c>
      <c r="CK310" s="403"/>
      <c r="CL310" s="403"/>
      <c r="CM310" s="403"/>
      <c r="CN310" s="403"/>
      <c r="CO310" s="403"/>
      <c r="CP310" s="403"/>
      <c r="CQ310" s="403"/>
      <c r="CR310" s="403"/>
      <c r="CS310" s="403" t="s">
        <v>11060</v>
      </c>
      <c r="CT310" s="403"/>
      <c r="CU310" s="403"/>
      <c r="CV310" s="403"/>
      <c r="CW310" s="403"/>
      <c r="CX310" s="403"/>
      <c r="CY310" s="403"/>
      <c r="CZ310" s="403" t="s">
        <v>11177</v>
      </c>
      <c r="DA310" s="403" t="s">
        <v>3222</v>
      </c>
      <c r="DB310" s="403"/>
      <c r="DC310" s="403" t="s">
        <v>11152</v>
      </c>
      <c r="DD310" s="403"/>
      <c r="DE310" s="403"/>
      <c r="DF310" s="403"/>
      <c r="DG310" s="403"/>
      <c r="DH310" s="403"/>
      <c r="DI310" s="403"/>
      <c r="DJ310" s="403"/>
      <c r="DK310" s="403"/>
      <c r="DL310" s="403" t="s">
        <v>11061</v>
      </c>
      <c r="DM310" s="403"/>
      <c r="DN310" s="403"/>
      <c r="DO310" s="403"/>
      <c r="DP310" s="403"/>
      <c r="DQ310" s="403"/>
      <c r="DR310" s="403"/>
      <c r="DS310" s="403" t="s">
        <v>13319</v>
      </c>
      <c r="DT310" s="403" t="s">
        <v>11147</v>
      </c>
      <c r="DU310" s="403"/>
      <c r="DV310" s="403" t="s">
        <v>11153</v>
      </c>
      <c r="DW310" s="403"/>
      <c r="DX310" s="403"/>
      <c r="DY310" s="403"/>
      <c r="DZ310" s="403"/>
      <c r="EA310" s="403"/>
      <c r="EB310" s="403"/>
      <c r="EC310" s="403"/>
      <c r="ED310" s="403"/>
      <c r="EE310" s="403" t="s">
        <v>11178</v>
      </c>
      <c r="EF310" s="403"/>
      <c r="EG310" s="403"/>
      <c r="EH310" s="403"/>
      <c r="EI310" s="403"/>
      <c r="EJ310" s="403"/>
      <c r="EK310" s="403"/>
      <c r="EL310" s="403" t="s">
        <v>13320</v>
      </c>
      <c r="EM310" s="403" t="s">
        <v>11148</v>
      </c>
      <c r="EN310" s="403"/>
      <c r="EO310" s="403" t="s">
        <v>11154</v>
      </c>
      <c r="EP310" s="403"/>
      <c r="EQ310" s="403"/>
      <c r="ER310" s="403"/>
      <c r="ES310" s="403"/>
      <c r="ET310" s="403"/>
    </row>
    <row r="311" spans="1:150" s="281" customFormat="1" x14ac:dyDescent="0.2">
      <c r="B311" s="624" t="str">
        <f ca="1">IF(OFFSET(T311,0,Lang_Order*Lang__B4)="","",OFFSET(T311,0,Lang_Order*Lang__B4))</f>
        <v>Capital and Operational Expenditures</v>
      </c>
      <c r="C311" s="5"/>
      <c r="J311" s="146"/>
      <c r="K311" s="294" t="str">
        <f ca="1">IF(OFFSET(AC311,0,Lang_Order*Lang__B4)="","",OFFSET(AC311,0,Lang_Order*Lang__B4))</f>
        <v>Lower Price</v>
      </c>
      <c r="L311" s="294" t="str">
        <f ca="1">IF(OFFSET(AD311,0,Lang_Order*Lang__B4)="","",OFFSET(AD311,0,Lang_Order*Lang__B4))</f>
        <v>Upper Price</v>
      </c>
      <c r="M311" s="294" t="str">
        <f ca="1">IF(OFFSET(AE311,0,Lang_Order*Lang__B4)="","",OFFSET(AE311,0,Lang_Order*Lang__B4))</f>
        <v>Lower Price</v>
      </c>
      <c r="N311" s="294" t="str">
        <f ca="1">IF(OFFSET(AF311,0,Lang_Order*Lang__B4)="","",OFFSET(AF311,0,Lang_Order*Lang__B4))</f>
        <v>Upper Price</v>
      </c>
      <c r="Q311" s="91"/>
      <c r="R311" s="403"/>
      <c r="S311" s="403"/>
      <c r="T311" s="403" t="s">
        <v>3210</v>
      </c>
      <c r="U311" s="403"/>
      <c r="V311" s="403"/>
      <c r="W311" s="403"/>
      <c r="X311" s="403"/>
      <c r="Y311" s="403"/>
      <c r="Z311" s="403"/>
      <c r="AA311" s="403"/>
      <c r="AB311" s="403"/>
      <c r="AC311" s="403" t="s">
        <v>3591</v>
      </c>
      <c r="AD311" s="403" t="s">
        <v>3590</v>
      </c>
      <c r="AE311" s="403" t="s">
        <v>3591</v>
      </c>
      <c r="AF311" s="403" t="s">
        <v>3590</v>
      </c>
      <c r="AG311" s="403"/>
      <c r="AH311" s="403"/>
      <c r="AI311" s="403"/>
      <c r="AJ311" s="403"/>
      <c r="AK311" s="403"/>
      <c r="AL311" s="403"/>
      <c r="AM311" s="403" t="s">
        <v>10909</v>
      </c>
      <c r="AN311" s="403"/>
      <c r="AO311" s="403"/>
      <c r="AP311" s="403"/>
      <c r="AQ311" s="403"/>
      <c r="AR311" s="403"/>
      <c r="AS311" s="403"/>
      <c r="AT311" s="403"/>
      <c r="AU311" s="403"/>
      <c r="AV311" s="403" t="s">
        <v>10823</v>
      </c>
      <c r="AW311" s="403" t="s">
        <v>10824</v>
      </c>
      <c r="AX311" s="403" t="s">
        <v>10823</v>
      </c>
      <c r="AY311" s="403" t="s">
        <v>10824</v>
      </c>
      <c r="AZ311" s="403"/>
      <c r="BA311" s="403"/>
      <c r="BB311" s="403"/>
      <c r="BC311" s="403"/>
      <c r="BD311" s="403"/>
      <c r="BE311" s="403"/>
      <c r="BF311" s="403" t="s">
        <v>11262</v>
      </c>
      <c r="BG311" s="403"/>
      <c r="BH311" s="403"/>
      <c r="BI311" s="403"/>
      <c r="BJ311" s="403"/>
      <c r="BK311" s="403"/>
      <c r="BL311" s="403"/>
      <c r="BM311" s="403"/>
      <c r="BN311" s="403"/>
      <c r="BO311" s="403" t="s">
        <v>10911</v>
      </c>
      <c r="BP311" s="403" t="s">
        <v>10831</v>
      </c>
      <c r="BQ311" s="403" t="s">
        <v>10911</v>
      </c>
      <c r="BR311" s="403" t="s">
        <v>10831</v>
      </c>
      <c r="BS311" s="403"/>
      <c r="BT311" s="403"/>
      <c r="BU311" s="403"/>
      <c r="BV311" s="403"/>
      <c r="BW311" s="403"/>
      <c r="BX311" s="403"/>
      <c r="BY311" s="403" t="s">
        <v>10912</v>
      </c>
      <c r="BZ311" s="403"/>
      <c r="CA311" s="403"/>
      <c r="CB311" s="403"/>
      <c r="CC311" s="403"/>
      <c r="CD311" s="403"/>
      <c r="CE311" s="403"/>
      <c r="CF311" s="403"/>
      <c r="CG311" s="403"/>
      <c r="CH311" s="403" t="s">
        <v>10837</v>
      </c>
      <c r="CI311" s="403" t="s">
        <v>10838</v>
      </c>
      <c r="CJ311" s="403" t="s">
        <v>10837</v>
      </c>
      <c r="CK311" s="403" t="s">
        <v>10838</v>
      </c>
      <c r="CL311" s="403"/>
      <c r="CM311" s="403"/>
      <c r="CN311" s="403"/>
      <c r="CO311" s="403"/>
      <c r="CP311" s="403"/>
      <c r="CQ311" s="403"/>
      <c r="CR311" s="403" t="s">
        <v>10913</v>
      </c>
      <c r="CS311" s="403"/>
      <c r="CT311" s="403"/>
      <c r="CU311" s="403"/>
      <c r="CV311" s="403"/>
      <c r="CW311" s="403"/>
      <c r="CX311" s="403"/>
      <c r="CY311" s="403"/>
      <c r="CZ311" s="403"/>
      <c r="DA311" s="403" t="s">
        <v>10843</v>
      </c>
      <c r="DB311" s="403" t="s">
        <v>10844</v>
      </c>
      <c r="DC311" s="403" t="s">
        <v>10843</v>
      </c>
      <c r="DD311" s="403" t="s">
        <v>10844</v>
      </c>
      <c r="DE311" s="403"/>
      <c r="DF311" s="403"/>
      <c r="DG311" s="403"/>
      <c r="DH311" s="403"/>
      <c r="DI311" s="403"/>
      <c r="DJ311" s="403"/>
      <c r="DK311" s="403" t="s">
        <v>10914</v>
      </c>
      <c r="DL311" s="403"/>
      <c r="DM311" s="403"/>
      <c r="DN311" s="403"/>
      <c r="DO311" s="403"/>
      <c r="DP311" s="403"/>
      <c r="DQ311" s="403"/>
      <c r="DR311" s="403"/>
      <c r="DS311" s="403"/>
      <c r="DT311" s="403" t="s">
        <v>10915</v>
      </c>
      <c r="DU311" s="403" t="s">
        <v>10916</v>
      </c>
      <c r="DV311" s="403" t="s">
        <v>10915</v>
      </c>
      <c r="DW311" s="403" t="s">
        <v>10916</v>
      </c>
      <c r="DX311" s="403"/>
      <c r="DY311" s="403"/>
      <c r="DZ311" s="403"/>
      <c r="EA311" s="403"/>
      <c r="EB311" s="403"/>
      <c r="EC311" s="403"/>
      <c r="ED311" s="403" t="s">
        <v>10917</v>
      </c>
      <c r="EE311" s="403"/>
      <c r="EF311" s="403"/>
      <c r="EG311" s="403"/>
      <c r="EH311" s="403"/>
      <c r="EI311" s="403"/>
      <c r="EJ311" s="403"/>
      <c r="EK311" s="403"/>
      <c r="EL311" s="403"/>
      <c r="EM311" s="403" t="s">
        <v>10856</v>
      </c>
      <c r="EN311" s="403" t="s">
        <v>10857</v>
      </c>
      <c r="EO311" s="403" t="s">
        <v>10856</v>
      </c>
      <c r="EP311" s="403" t="s">
        <v>10857</v>
      </c>
      <c r="EQ311" s="403"/>
      <c r="ER311" s="403"/>
      <c r="ES311" s="403"/>
      <c r="ET311" s="403"/>
    </row>
    <row r="312" spans="1:150" s="281" customFormat="1" x14ac:dyDescent="0.2">
      <c r="C312" s="5" t="str">
        <f ca="1">IF(OFFSET(U312,0,Lang_Order*Lang__B4)="","",OFFSET(U312,0,Lang_Order*Lang__B4))</f>
        <v>Refrigerated (2 to 8C)</v>
      </c>
      <c r="J312" s="146"/>
      <c r="K312" s="79" t="e">
        <f>M290*$P301</f>
        <v>#N/A</v>
      </c>
      <c r="L312" s="79" t="e">
        <f>N290*$P301</f>
        <v>#N/A</v>
      </c>
      <c r="M312" s="79" t="e">
        <f t="shared" ref="M312:N315" si="86">M294*$P305</f>
        <v>#N/A</v>
      </c>
      <c r="N312" s="79" t="e">
        <f t="shared" si="86"/>
        <v>#N/A</v>
      </c>
      <c r="O312" s="146"/>
      <c r="Q312" s="91"/>
      <c r="R312" s="403"/>
      <c r="S312" s="403"/>
      <c r="T312" s="403"/>
      <c r="U312" s="403" t="s">
        <v>11</v>
      </c>
      <c r="V312" s="403"/>
      <c r="W312" s="403"/>
      <c r="X312" s="403"/>
      <c r="Y312" s="403"/>
      <c r="Z312" s="403"/>
      <c r="AA312" s="403"/>
      <c r="AB312" s="403"/>
      <c r="AC312" s="403"/>
      <c r="AD312" s="403"/>
      <c r="AE312" s="403"/>
      <c r="AF312" s="403"/>
      <c r="AG312" s="403"/>
      <c r="AH312" s="403"/>
      <c r="AI312" s="403"/>
      <c r="AJ312" s="403"/>
      <c r="AK312" s="403"/>
      <c r="AL312" s="403"/>
      <c r="AM312" s="403"/>
      <c r="AN312" s="403" t="s">
        <v>10714</v>
      </c>
      <c r="AO312" s="403"/>
      <c r="AP312" s="403"/>
      <c r="AQ312" s="403"/>
      <c r="AR312" s="403"/>
      <c r="AS312" s="403"/>
      <c r="AT312" s="403"/>
      <c r="AU312" s="403"/>
      <c r="AV312" s="403"/>
      <c r="AW312" s="403"/>
      <c r="AX312" s="403"/>
      <c r="AY312" s="403"/>
      <c r="AZ312" s="403"/>
      <c r="BA312" s="403"/>
      <c r="BB312" s="403"/>
      <c r="BC312" s="403"/>
      <c r="BD312" s="403"/>
      <c r="BE312" s="403"/>
      <c r="BF312" s="403"/>
      <c r="BG312" s="403" t="s">
        <v>10227</v>
      </c>
      <c r="BH312" s="403"/>
      <c r="BI312" s="403"/>
      <c r="BJ312" s="403"/>
      <c r="BK312" s="403"/>
      <c r="BL312" s="403"/>
      <c r="BM312" s="403"/>
      <c r="BN312" s="403"/>
      <c r="BO312" s="403"/>
      <c r="BP312" s="403"/>
      <c r="BQ312" s="403"/>
      <c r="BR312" s="403"/>
      <c r="BS312" s="403"/>
      <c r="BT312" s="403"/>
      <c r="BU312" s="403"/>
      <c r="BV312" s="403"/>
      <c r="BW312" s="403"/>
      <c r="BX312" s="403"/>
      <c r="BY312" s="403"/>
      <c r="BZ312" s="403" t="s">
        <v>10715</v>
      </c>
      <c r="CA312" s="403"/>
      <c r="CB312" s="403"/>
      <c r="CC312" s="403"/>
      <c r="CD312" s="403"/>
      <c r="CE312" s="403"/>
      <c r="CF312" s="403"/>
      <c r="CG312" s="403"/>
      <c r="CH312" s="403"/>
      <c r="CI312" s="403"/>
      <c r="CJ312" s="403"/>
      <c r="CK312" s="403"/>
      <c r="CL312" s="403"/>
      <c r="CM312" s="403"/>
      <c r="CN312" s="403"/>
      <c r="CO312" s="403"/>
      <c r="CP312" s="403"/>
      <c r="CQ312" s="403"/>
      <c r="CR312" s="403"/>
      <c r="CS312" s="403" t="s">
        <v>8384</v>
      </c>
      <c r="CT312" s="403"/>
      <c r="CU312" s="403"/>
      <c r="CV312" s="403"/>
      <c r="CW312" s="403"/>
      <c r="CX312" s="403"/>
      <c r="CY312" s="403"/>
      <c r="CZ312" s="403"/>
      <c r="DA312" s="403"/>
      <c r="DB312" s="403"/>
      <c r="DC312" s="403"/>
      <c r="DD312" s="403"/>
      <c r="DE312" s="403"/>
      <c r="DF312" s="403"/>
      <c r="DG312" s="403"/>
      <c r="DH312" s="403"/>
      <c r="DI312" s="403"/>
      <c r="DJ312" s="403"/>
      <c r="DK312" s="403"/>
      <c r="DL312" s="403" t="s">
        <v>10248</v>
      </c>
      <c r="DM312" s="403"/>
      <c r="DN312" s="403"/>
      <c r="DO312" s="403"/>
      <c r="DP312" s="403"/>
      <c r="DQ312" s="403"/>
      <c r="DR312" s="403"/>
      <c r="DS312" s="403"/>
      <c r="DT312" s="403"/>
      <c r="DU312" s="403"/>
      <c r="DV312" s="403"/>
      <c r="DW312" s="403"/>
      <c r="DX312" s="403"/>
      <c r="DY312" s="403"/>
      <c r="DZ312" s="403"/>
      <c r="EA312" s="403"/>
      <c r="EB312" s="403"/>
      <c r="EC312" s="403"/>
      <c r="ED312" s="403"/>
      <c r="EE312" s="403" t="s">
        <v>8387</v>
      </c>
      <c r="EF312" s="403"/>
      <c r="EG312" s="403"/>
      <c r="EH312" s="403"/>
      <c r="EI312" s="403"/>
      <c r="EJ312" s="403"/>
      <c r="EK312" s="403"/>
      <c r="EL312" s="403"/>
      <c r="EM312" s="403"/>
      <c r="EN312" s="403"/>
      <c r="EO312" s="403"/>
      <c r="EP312" s="403"/>
      <c r="EQ312" s="403"/>
      <c r="ER312" s="403"/>
      <c r="ES312" s="403"/>
      <c r="ET312" s="403"/>
    </row>
    <row r="313" spans="1:150" s="281" customFormat="1" x14ac:dyDescent="0.2">
      <c r="C313" s="5" t="str">
        <f ca="1">IF(OFFSET(U313,0,Lang_Order*Lang__B4)="","",OFFSET(U313,0,Lang_Order*Lang__B4))</f>
        <v>Frozen (-20C)</v>
      </c>
      <c r="J313" s="146"/>
      <c r="K313" s="79" t="e">
        <f>M291*$P302</f>
        <v>#N/A</v>
      </c>
      <c r="L313" s="79" t="e">
        <f>N291*$P302</f>
        <v>#N/A</v>
      </c>
      <c r="M313" s="79" t="e">
        <f t="shared" si="86"/>
        <v>#N/A</v>
      </c>
      <c r="N313" s="79" t="e">
        <f t="shared" si="86"/>
        <v>#N/A</v>
      </c>
      <c r="O313" s="146"/>
      <c r="Q313" s="91"/>
      <c r="R313" s="403"/>
      <c r="S313" s="403"/>
      <c r="T313" s="403"/>
      <c r="U313" s="403" t="s">
        <v>12</v>
      </c>
      <c r="V313" s="403"/>
      <c r="W313" s="403"/>
      <c r="X313" s="403"/>
      <c r="Y313" s="403"/>
      <c r="Z313" s="403"/>
      <c r="AA313" s="403"/>
      <c r="AB313" s="403"/>
      <c r="AC313" s="403"/>
      <c r="AD313" s="403"/>
      <c r="AE313" s="403"/>
      <c r="AF313" s="403"/>
      <c r="AG313" s="403"/>
      <c r="AH313" s="403"/>
      <c r="AI313" s="403"/>
      <c r="AJ313" s="403"/>
      <c r="AK313" s="403"/>
      <c r="AL313" s="403"/>
      <c r="AM313" s="403"/>
      <c r="AN313" s="403" t="s">
        <v>10717</v>
      </c>
      <c r="AO313" s="403"/>
      <c r="AP313" s="403"/>
      <c r="AQ313" s="403"/>
      <c r="AR313" s="403"/>
      <c r="AS313" s="403"/>
      <c r="AT313" s="403"/>
      <c r="AU313" s="403"/>
      <c r="AV313" s="403"/>
      <c r="AW313" s="403"/>
      <c r="AX313" s="403"/>
      <c r="AY313" s="403"/>
      <c r="AZ313" s="403"/>
      <c r="BA313" s="403"/>
      <c r="BB313" s="403"/>
      <c r="BC313" s="403"/>
      <c r="BD313" s="403"/>
      <c r="BE313" s="403"/>
      <c r="BF313" s="403"/>
      <c r="BG313" s="403" t="s">
        <v>10228</v>
      </c>
      <c r="BH313" s="403"/>
      <c r="BI313" s="403"/>
      <c r="BJ313" s="403"/>
      <c r="BK313" s="403"/>
      <c r="BL313" s="403"/>
      <c r="BM313" s="403"/>
      <c r="BN313" s="403"/>
      <c r="BO313" s="403"/>
      <c r="BP313" s="403"/>
      <c r="BQ313" s="403"/>
      <c r="BR313" s="403"/>
      <c r="BS313" s="403"/>
      <c r="BT313" s="403"/>
      <c r="BU313" s="403"/>
      <c r="BV313" s="403"/>
      <c r="BW313" s="403"/>
      <c r="BX313" s="403"/>
      <c r="BY313" s="403"/>
      <c r="BZ313" s="403" t="s">
        <v>10718</v>
      </c>
      <c r="CA313" s="403"/>
      <c r="CB313" s="403"/>
      <c r="CC313" s="403"/>
      <c r="CD313" s="403"/>
      <c r="CE313" s="403"/>
      <c r="CF313" s="403"/>
      <c r="CG313" s="403"/>
      <c r="CH313" s="403"/>
      <c r="CI313" s="403"/>
      <c r="CJ313" s="403"/>
      <c r="CK313" s="403"/>
      <c r="CL313" s="403"/>
      <c r="CM313" s="403"/>
      <c r="CN313" s="403"/>
      <c r="CO313" s="403"/>
      <c r="CP313" s="403"/>
      <c r="CQ313" s="403"/>
      <c r="CR313" s="403"/>
      <c r="CS313" s="403" t="s">
        <v>8391</v>
      </c>
      <c r="CT313" s="403"/>
      <c r="CU313" s="403"/>
      <c r="CV313" s="403"/>
      <c r="CW313" s="403"/>
      <c r="CX313" s="403"/>
      <c r="CY313" s="403"/>
      <c r="CZ313" s="403"/>
      <c r="DA313" s="403"/>
      <c r="DB313" s="403"/>
      <c r="DC313" s="403"/>
      <c r="DD313" s="403"/>
      <c r="DE313" s="403"/>
      <c r="DF313" s="403"/>
      <c r="DG313" s="403"/>
      <c r="DH313" s="403"/>
      <c r="DI313" s="403"/>
      <c r="DJ313" s="403"/>
      <c r="DK313" s="403"/>
      <c r="DL313" s="403" t="s">
        <v>10249</v>
      </c>
      <c r="DM313" s="403"/>
      <c r="DN313" s="403"/>
      <c r="DO313" s="403"/>
      <c r="DP313" s="403"/>
      <c r="DQ313" s="403"/>
      <c r="DR313" s="403"/>
      <c r="DS313" s="403"/>
      <c r="DT313" s="403"/>
      <c r="DU313" s="403"/>
      <c r="DV313" s="403"/>
      <c r="DW313" s="403"/>
      <c r="DX313" s="403"/>
      <c r="DY313" s="403"/>
      <c r="DZ313" s="403"/>
      <c r="EA313" s="403"/>
      <c r="EB313" s="403"/>
      <c r="EC313" s="403"/>
      <c r="ED313" s="403"/>
      <c r="EE313" s="403" t="s">
        <v>8393</v>
      </c>
      <c r="EF313" s="403"/>
      <c r="EG313" s="403"/>
      <c r="EH313" s="403"/>
      <c r="EI313" s="403"/>
      <c r="EJ313" s="403"/>
      <c r="EK313" s="403"/>
      <c r="EL313" s="403"/>
      <c r="EM313" s="403"/>
      <c r="EN313" s="403"/>
      <c r="EO313" s="403"/>
      <c r="EP313" s="403"/>
      <c r="EQ313" s="403"/>
      <c r="ER313" s="403"/>
      <c r="ES313" s="403"/>
      <c r="ET313" s="403"/>
    </row>
    <row r="314" spans="1:150" s="281" customFormat="1" x14ac:dyDescent="0.2">
      <c r="C314" s="5" t="str">
        <f ca="1">IF(OFFSET(U314,0,Lang_Order*Lang__B4)="","",OFFSET(U314,0,Lang_Order*Lang__B4))</f>
        <v>Ice pack freezers</v>
      </c>
      <c r="J314" s="146"/>
      <c r="M314" s="79">
        <f t="shared" si="86"/>
        <v>0</v>
      </c>
      <c r="N314" s="79">
        <f t="shared" si="86"/>
        <v>0</v>
      </c>
      <c r="O314" s="146"/>
      <c r="Q314" s="12" t="str">
        <f ca="1">IF(OFFSET(AI314,0,Lang_Order*Lang__B4)="","",OFFSET(AI314,0,Lang_Order*Lang__B4))</f>
        <v>Only in on-grid fixed sites</v>
      </c>
      <c r="R314" s="403"/>
      <c r="S314" s="403"/>
      <c r="T314" s="403"/>
      <c r="U314" s="403" t="s">
        <v>3211</v>
      </c>
      <c r="V314" s="403"/>
      <c r="W314" s="403"/>
      <c r="X314" s="403"/>
      <c r="Y314" s="403"/>
      <c r="Z314" s="403"/>
      <c r="AA314" s="403"/>
      <c r="AB314" s="403"/>
      <c r="AC314" s="403"/>
      <c r="AD314" s="403"/>
      <c r="AE314" s="403"/>
      <c r="AF314" s="403"/>
      <c r="AG314" s="403"/>
      <c r="AH314" s="403"/>
      <c r="AI314" s="403" t="s">
        <v>3623</v>
      </c>
      <c r="AJ314" s="403"/>
      <c r="AK314" s="403"/>
      <c r="AL314" s="403"/>
      <c r="AM314" s="403"/>
      <c r="AN314" s="403" t="s">
        <v>11012</v>
      </c>
      <c r="AO314" s="403"/>
      <c r="AP314" s="403"/>
      <c r="AQ314" s="403"/>
      <c r="AR314" s="403"/>
      <c r="AS314" s="403"/>
      <c r="AT314" s="403"/>
      <c r="AU314" s="403"/>
      <c r="AV314" s="403"/>
      <c r="AW314" s="403"/>
      <c r="AX314" s="403"/>
      <c r="AY314" s="403"/>
      <c r="AZ314" s="403"/>
      <c r="BA314" s="403"/>
      <c r="BB314" s="403" t="s">
        <v>11263</v>
      </c>
      <c r="BC314" s="403"/>
      <c r="BD314" s="403"/>
      <c r="BE314" s="403"/>
      <c r="BF314" s="403"/>
      <c r="BG314" s="403" t="s">
        <v>11056</v>
      </c>
      <c r="BH314" s="403"/>
      <c r="BI314" s="403"/>
      <c r="BJ314" s="403"/>
      <c r="BK314" s="403"/>
      <c r="BL314" s="403"/>
      <c r="BM314" s="403"/>
      <c r="BN314" s="403"/>
      <c r="BO314" s="403"/>
      <c r="BP314" s="403"/>
      <c r="BQ314" s="403"/>
      <c r="BR314" s="403"/>
      <c r="BS314" s="403"/>
      <c r="BT314" s="403"/>
      <c r="BU314" s="403" t="s">
        <v>11264</v>
      </c>
      <c r="BV314" s="403"/>
      <c r="BW314" s="403"/>
      <c r="BX314" s="403"/>
      <c r="BY314" s="403"/>
      <c r="BZ314" s="403" t="s">
        <v>11016</v>
      </c>
      <c r="CA314" s="403"/>
      <c r="CB314" s="403"/>
      <c r="CC314" s="403"/>
      <c r="CD314" s="403"/>
      <c r="CE314" s="403"/>
      <c r="CF314" s="403"/>
      <c r="CG314" s="403"/>
      <c r="CH314" s="403"/>
      <c r="CI314" s="403"/>
      <c r="CJ314" s="403"/>
      <c r="CK314" s="403"/>
      <c r="CL314" s="403"/>
      <c r="CM314" s="403"/>
      <c r="CN314" s="403" t="s">
        <v>11265</v>
      </c>
      <c r="CO314" s="403"/>
      <c r="CP314" s="403"/>
      <c r="CQ314" s="403"/>
      <c r="CR314" s="403"/>
      <c r="CS314" s="403" t="s">
        <v>11018</v>
      </c>
      <c r="CT314" s="403"/>
      <c r="CU314" s="403"/>
      <c r="CV314" s="403"/>
      <c r="CW314" s="403"/>
      <c r="CX314" s="403"/>
      <c r="CY314" s="403"/>
      <c r="CZ314" s="403"/>
      <c r="DA314" s="403"/>
      <c r="DB314" s="403"/>
      <c r="DC314" s="403"/>
      <c r="DD314" s="403"/>
      <c r="DE314" s="403"/>
      <c r="DF314" s="403"/>
      <c r="DG314" s="403" t="s">
        <v>11266</v>
      </c>
      <c r="DH314" s="403"/>
      <c r="DI314" s="403"/>
      <c r="DJ314" s="403"/>
      <c r="DK314" s="403"/>
      <c r="DL314" s="403" t="s">
        <v>11020</v>
      </c>
      <c r="DM314" s="403"/>
      <c r="DN314" s="403"/>
      <c r="DO314" s="403"/>
      <c r="DP314" s="403"/>
      <c r="DQ314" s="403"/>
      <c r="DR314" s="403"/>
      <c r="DS314" s="403"/>
      <c r="DT314" s="403"/>
      <c r="DU314" s="403"/>
      <c r="DV314" s="403"/>
      <c r="DW314" s="403"/>
      <c r="DX314" s="403"/>
      <c r="DY314" s="403"/>
      <c r="DZ314" s="403" t="s">
        <v>11267</v>
      </c>
      <c r="EA314" s="403"/>
      <c r="EB314" s="403"/>
      <c r="EC314" s="403"/>
      <c r="ED314" s="403"/>
      <c r="EE314" s="403" t="s">
        <v>11021</v>
      </c>
      <c r="EF314" s="403"/>
      <c r="EG314" s="403"/>
      <c r="EH314" s="403"/>
      <c r="EI314" s="403"/>
      <c r="EJ314" s="403"/>
      <c r="EK314" s="403"/>
      <c r="EL314" s="403"/>
      <c r="EM314" s="403"/>
      <c r="EN314" s="403"/>
      <c r="EO314" s="403"/>
      <c r="EP314" s="403"/>
      <c r="EQ314" s="403"/>
      <c r="ER314" s="403"/>
      <c r="ES314" s="403" t="s">
        <v>11268</v>
      </c>
      <c r="ET314" s="403"/>
    </row>
    <row r="315" spans="1:150" s="281" customFormat="1" x14ac:dyDescent="0.2">
      <c r="C315" s="5" t="str">
        <f ca="1">IF(OFFSET(U315,0,Lang_Order*Lang__B4)="","",OFFSET(U315,0,Lang_Order*Lang__B4))</f>
        <v>Remote Temperature Monitoring Devices</v>
      </c>
      <c r="J315" s="146"/>
      <c r="K315" s="79" t="e">
        <f>M292*$P303</f>
        <v>#N/A</v>
      </c>
      <c r="L315" s="79" t="e">
        <f>N292*$P303</f>
        <v>#N/A</v>
      </c>
      <c r="M315" s="79" t="e">
        <f t="shared" si="86"/>
        <v>#N/A</v>
      </c>
      <c r="N315" s="79" t="e">
        <f t="shared" si="86"/>
        <v>#N/A</v>
      </c>
      <c r="O315" s="146"/>
      <c r="Q315" s="47"/>
      <c r="R315" s="403"/>
      <c r="S315" s="403"/>
      <c r="T315" s="403"/>
      <c r="U315" s="403" t="s">
        <v>3593</v>
      </c>
      <c r="V315" s="403"/>
      <c r="W315" s="403"/>
      <c r="X315" s="403"/>
      <c r="Y315" s="403"/>
      <c r="Z315" s="403"/>
      <c r="AA315" s="403"/>
      <c r="AB315" s="403"/>
      <c r="AC315" s="403"/>
      <c r="AD315" s="403"/>
      <c r="AE315" s="403"/>
      <c r="AF315" s="403"/>
      <c r="AG315" s="403"/>
      <c r="AH315" s="403"/>
      <c r="AI315" s="403"/>
      <c r="AJ315" s="403"/>
      <c r="AK315" s="403"/>
      <c r="AL315" s="403"/>
      <c r="AM315" s="403"/>
      <c r="AN315" s="403" t="s">
        <v>10871</v>
      </c>
      <c r="AO315" s="403"/>
      <c r="AP315" s="403"/>
      <c r="AQ315" s="403"/>
      <c r="AR315" s="403"/>
      <c r="AS315" s="403"/>
      <c r="AT315" s="403"/>
      <c r="AU315" s="403"/>
      <c r="AV315" s="403"/>
      <c r="AW315" s="403"/>
      <c r="AX315" s="403"/>
      <c r="AY315" s="403"/>
      <c r="AZ315" s="403"/>
      <c r="BA315" s="403"/>
      <c r="BB315" s="403"/>
      <c r="BC315" s="403"/>
      <c r="BD315" s="403"/>
      <c r="BE315" s="403"/>
      <c r="BF315" s="403"/>
      <c r="BG315" s="403" t="s">
        <v>10872</v>
      </c>
      <c r="BH315" s="403"/>
      <c r="BI315" s="403"/>
      <c r="BJ315" s="403"/>
      <c r="BK315" s="403"/>
      <c r="BL315" s="403"/>
      <c r="BM315" s="403"/>
      <c r="BN315" s="403"/>
      <c r="BO315" s="403"/>
      <c r="BP315" s="403"/>
      <c r="BQ315" s="403"/>
      <c r="BR315" s="403"/>
      <c r="BS315" s="403"/>
      <c r="BT315" s="403"/>
      <c r="BU315" s="403"/>
      <c r="BV315" s="403"/>
      <c r="BW315" s="403"/>
      <c r="BX315" s="403"/>
      <c r="BY315" s="403"/>
      <c r="BZ315" s="403" t="s">
        <v>10873</v>
      </c>
      <c r="CA315" s="403"/>
      <c r="CB315" s="403"/>
      <c r="CC315" s="403"/>
      <c r="CD315" s="403"/>
      <c r="CE315" s="403"/>
      <c r="CF315" s="403"/>
      <c r="CG315" s="403"/>
      <c r="CH315" s="403"/>
      <c r="CI315" s="403"/>
      <c r="CJ315" s="403"/>
      <c r="CK315" s="403"/>
      <c r="CL315" s="403"/>
      <c r="CM315" s="403"/>
      <c r="CN315" s="403"/>
      <c r="CO315" s="403"/>
      <c r="CP315" s="403"/>
      <c r="CQ315" s="403"/>
      <c r="CR315" s="403"/>
      <c r="CS315" s="403" t="s">
        <v>10874</v>
      </c>
      <c r="CT315" s="403"/>
      <c r="CU315" s="403"/>
      <c r="CV315" s="403"/>
      <c r="CW315" s="403"/>
      <c r="CX315" s="403"/>
      <c r="CY315" s="403"/>
      <c r="CZ315" s="403"/>
      <c r="DA315" s="403"/>
      <c r="DB315" s="403"/>
      <c r="DC315" s="403"/>
      <c r="DD315" s="403"/>
      <c r="DE315" s="403"/>
      <c r="DF315" s="403"/>
      <c r="DG315" s="403"/>
      <c r="DH315" s="403"/>
      <c r="DI315" s="403"/>
      <c r="DJ315" s="403"/>
      <c r="DK315" s="403"/>
      <c r="DL315" s="403" t="s">
        <v>10901</v>
      </c>
      <c r="DM315" s="403"/>
      <c r="DN315" s="403"/>
      <c r="DO315" s="403"/>
      <c r="DP315" s="403"/>
      <c r="DQ315" s="403"/>
      <c r="DR315" s="403"/>
      <c r="DS315" s="403"/>
      <c r="DT315" s="403"/>
      <c r="DU315" s="403"/>
      <c r="DV315" s="403"/>
      <c r="DW315" s="403"/>
      <c r="DX315" s="403"/>
      <c r="DY315" s="403"/>
      <c r="DZ315" s="403"/>
      <c r="EA315" s="403"/>
      <c r="EB315" s="403"/>
      <c r="EC315" s="403"/>
      <c r="ED315" s="403"/>
      <c r="EE315" s="403" t="s">
        <v>10876</v>
      </c>
      <c r="EF315" s="403"/>
      <c r="EG315" s="403"/>
      <c r="EH315" s="403"/>
      <c r="EI315" s="403"/>
      <c r="EJ315" s="403"/>
      <c r="EK315" s="403"/>
      <c r="EL315" s="403"/>
      <c r="EM315" s="403"/>
      <c r="EN315" s="403"/>
      <c r="EO315" s="403"/>
      <c r="EP315" s="403"/>
      <c r="EQ315" s="403"/>
      <c r="ER315" s="403"/>
      <c r="ES315" s="403"/>
      <c r="ET315" s="403"/>
    </row>
    <row r="316" spans="1:150" s="281" customFormat="1" ht="13.5" thickBot="1" x14ac:dyDescent="0.25">
      <c r="D316" s="21" t="str">
        <f ca="1">IF(OFFSET(V316,0,Lang_Order*Lang__B4)="","",OFFSET(V316,0,Lang_Order*Lang__B4))</f>
        <v>Total (All Fixed Sites) Cold Storage - Capital Expenditures</v>
      </c>
      <c r="E316" s="20"/>
      <c r="F316" s="20"/>
      <c r="G316" s="20"/>
      <c r="H316" s="20"/>
      <c r="I316" s="20"/>
      <c r="J316" s="118" t="e">
        <f>IF(D310=2,SUM(L312:L315),SUM(K312:K315))+IF(D310=2,SUM(N312:N315),SUM(M312:M315))</f>
        <v>#N/A</v>
      </c>
      <c r="K316" s="288"/>
      <c r="L316" s="288"/>
      <c r="M316" s="288"/>
      <c r="N316" s="288"/>
      <c r="O316" s="288"/>
      <c r="P316" s="118" t="e">
        <f>SUM(J316:O316)</f>
        <v>#N/A</v>
      </c>
      <c r="Q316" s="91"/>
      <c r="R316" s="403"/>
      <c r="S316" s="403"/>
      <c r="T316" s="403"/>
      <c r="U316" s="403"/>
      <c r="V316" s="403" t="s">
        <v>3620</v>
      </c>
      <c r="W316" s="403"/>
      <c r="X316" s="403"/>
      <c r="Y316" s="403"/>
      <c r="Z316" s="403"/>
      <c r="AA316" s="403"/>
      <c r="AB316" s="403"/>
      <c r="AC316" s="403"/>
      <c r="AD316" s="403"/>
      <c r="AE316" s="403"/>
      <c r="AF316" s="403"/>
      <c r="AG316" s="403"/>
      <c r="AH316" s="403"/>
      <c r="AI316" s="403"/>
      <c r="AJ316" s="403"/>
      <c r="AK316" s="403"/>
      <c r="AL316" s="403"/>
      <c r="AM316" s="403"/>
      <c r="AN316" s="403"/>
      <c r="AO316" s="403" t="s">
        <v>11269</v>
      </c>
      <c r="AP316" s="403"/>
      <c r="AQ316" s="403"/>
      <c r="AR316" s="403"/>
      <c r="AS316" s="403"/>
      <c r="AT316" s="403"/>
      <c r="AU316" s="403"/>
      <c r="AV316" s="403"/>
      <c r="AW316" s="403"/>
      <c r="AX316" s="403"/>
      <c r="AY316" s="403"/>
      <c r="AZ316" s="403"/>
      <c r="BA316" s="403"/>
      <c r="BB316" s="403"/>
      <c r="BC316" s="403"/>
      <c r="BD316" s="403"/>
      <c r="BE316" s="403"/>
      <c r="BF316" s="403"/>
      <c r="BG316" s="403"/>
      <c r="BH316" s="403" t="s">
        <v>11270</v>
      </c>
      <c r="BI316" s="403"/>
      <c r="BJ316" s="403"/>
      <c r="BK316" s="403"/>
      <c r="BL316" s="403"/>
      <c r="BM316" s="403"/>
      <c r="BN316" s="403"/>
      <c r="BO316" s="403"/>
      <c r="BP316" s="403"/>
      <c r="BQ316" s="403"/>
      <c r="BR316" s="403"/>
      <c r="BS316" s="403"/>
      <c r="BT316" s="403"/>
      <c r="BU316" s="403"/>
      <c r="BV316" s="403"/>
      <c r="BW316" s="403"/>
      <c r="BX316" s="403"/>
      <c r="BY316" s="403"/>
      <c r="BZ316" s="403"/>
      <c r="CA316" s="403" t="s">
        <v>11271</v>
      </c>
      <c r="CB316" s="403"/>
      <c r="CC316" s="403"/>
      <c r="CD316" s="403"/>
      <c r="CE316" s="403"/>
      <c r="CF316" s="403"/>
      <c r="CG316" s="403"/>
      <c r="CH316" s="403"/>
      <c r="CI316" s="403"/>
      <c r="CJ316" s="403"/>
      <c r="CK316" s="403"/>
      <c r="CL316" s="403"/>
      <c r="CM316" s="403"/>
      <c r="CN316" s="403"/>
      <c r="CO316" s="403"/>
      <c r="CP316" s="403"/>
      <c r="CQ316" s="403"/>
      <c r="CR316" s="403"/>
      <c r="CS316" s="403"/>
      <c r="CT316" s="403" t="s">
        <v>11272</v>
      </c>
      <c r="CU316" s="403"/>
      <c r="CV316" s="403"/>
      <c r="CW316" s="403"/>
      <c r="CX316" s="403"/>
      <c r="CY316" s="403"/>
      <c r="CZ316" s="403"/>
      <c r="DA316" s="403"/>
      <c r="DB316" s="403"/>
      <c r="DC316" s="403"/>
      <c r="DD316" s="403"/>
      <c r="DE316" s="403"/>
      <c r="DF316" s="403"/>
      <c r="DG316" s="403"/>
      <c r="DH316" s="403"/>
      <c r="DI316" s="403"/>
      <c r="DJ316" s="403"/>
      <c r="DK316" s="403"/>
      <c r="DL316" s="403"/>
      <c r="DM316" s="403" t="s">
        <v>11273</v>
      </c>
      <c r="DN316" s="403"/>
      <c r="DO316" s="403"/>
      <c r="DP316" s="403"/>
      <c r="DQ316" s="403"/>
      <c r="DR316" s="403"/>
      <c r="DS316" s="403"/>
      <c r="DT316" s="403"/>
      <c r="DU316" s="403"/>
      <c r="DV316" s="403"/>
      <c r="DW316" s="403"/>
      <c r="DX316" s="403"/>
      <c r="DY316" s="403"/>
      <c r="DZ316" s="403"/>
      <c r="EA316" s="403"/>
      <c r="EB316" s="403"/>
      <c r="EC316" s="403"/>
      <c r="ED316" s="403"/>
      <c r="EE316" s="403"/>
      <c r="EF316" s="403" t="s">
        <v>11274</v>
      </c>
      <c r="EG316" s="403"/>
      <c r="EH316" s="403"/>
      <c r="EI316" s="403"/>
      <c r="EJ316" s="403"/>
      <c r="EK316" s="403"/>
      <c r="EL316" s="403"/>
      <c r="EM316" s="403"/>
      <c r="EN316" s="403"/>
      <c r="EO316" s="403"/>
      <c r="EP316" s="403"/>
      <c r="EQ316" s="403"/>
      <c r="ER316" s="403"/>
      <c r="ES316" s="403"/>
      <c r="ET316" s="403"/>
    </row>
    <row r="317" spans="1:150" s="281" customFormat="1" ht="13.5" thickTop="1" x14ac:dyDescent="0.2">
      <c r="C317" s="5"/>
      <c r="J317" s="146"/>
      <c r="K317" s="146"/>
      <c r="L317" s="146"/>
      <c r="M317" s="146"/>
      <c r="N317" s="309" t="str">
        <f ca="1">IF(OFFSET(AF317,0,Lang_Order*Lang__B4)="","",OFFSET(AF317,0,Lang_Order*Lang__B4))</f>
        <v>Value (for customs clearance)</v>
      </c>
      <c r="O317" s="79" t="e">
        <f>SUMPRODUCT(O290:O297,P301:P308)</f>
        <v>#N/A</v>
      </c>
      <c r="P317" s="287"/>
      <c r="Q317" s="91"/>
      <c r="R317" s="403"/>
      <c r="S317" s="403"/>
      <c r="T317" s="403"/>
      <c r="U317" s="403"/>
      <c r="V317" s="403"/>
      <c r="W317" s="403"/>
      <c r="X317" s="403"/>
      <c r="Y317" s="403"/>
      <c r="Z317" s="403"/>
      <c r="AA317" s="403"/>
      <c r="AB317" s="403"/>
      <c r="AC317" s="403"/>
      <c r="AD317" s="403"/>
      <c r="AE317" s="403"/>
      <c r="AF317" s="403" t="s">
        <v>3675</v>
      </c>
      <c r="AG317" s="403"/>
      <c r="AH317" s="403"/>
      <c r="AI317" s="403"/>
      <c r="AJ317" s="403"/>
      <c r="AK317" s="403"/>
      <c r="AL317" s="403"/>
      <c r="AM317" s="403"/>
      <c r="AN317" s="403"/>
      <c r="AO317" s="403"/>
      <c r="AP317" s="403"/>
      <c r="AQ317" s="403"/>
      <c r="AR317" s="403"/>
      <c r="AS317" s="403"/>
      <c r="AT317" s="403"/>
      <c r="AU317" s="403"/>
      <c r="AV317" s="403"/>
      <c r="AW317" s="403"/>
      <c r="AX317" s="403"/>
      <c r="AY317" s="403" t="s">
        <v>10926</v>
      </c>
      <c r="AZ317" s="403"/>
      <c r="BA317" s="403"/>
      <c r="BB317" s="403"/>
      <c r="BC317" s="403"/>
      <c r="BD317" s="403"/>
      <c r="BE317" s="403"/>
      <c r="BF317" s="403"/>
      <c r="BG317" s="403"/>
      <c r="BH317" s="403"/>
      <c r="BI317" s="403"/>
      <c r="BJ317" s="403"/>
      <c r="BK317" s="403"/>
      <c r="BL317" s="403"/>
      <c r="BM317" s="403"/>
      <c r="BN317" s="403"/>
      <c r="BO317" s="403"/>
      <c r="BP317" s="403"/>
      <c r="BQ317" s="403"/>
      <c r="BR317" s="403" t="s">
        <v>10927</v>
      </c>
      <c r="BS317" s="403"/>
      <c r="BT317" s="403"/>
      <c r="BU317" s="403"/>
      <c r="BV317" s="403"/>
      <c r="BW317" s="403"/>
      <c r="BX317" s="403"/>
      <c r="BY317" s="403"/>
      <c r="BZ317" s="403"/>
      <c r="CA317" s="403"/>
      <c r="CB317" s="403"/>
      <c r="CC317" s="403"/>
      <c r="CD317" s="403"/>
      <c r="CE317" s="403"/>
      <c r="CF317" s="403"/>
      <c r="CG317" s="403"/>
      <c r="CH317" s="403"/>
      <c r="CI317" s="403"/>
      <c r="CJ317" s="403"/>
      <c r="CK317" s="403" t="s">
        <v>10928</v>
      </c>
      <c r="CL317" s="403"/>
      <c r="CM317" s="403"/>
      <c r="CN317" s="403"/>
      <c r="CO317" s="403"/>
      <c r="CP317" s="403"/>
      <c r="CQ317" s="403"/>
      <c r="CR317" s="403"/>
      <c r="CS317" s="403"/>
      <c r="CT317" s="403"/>
      <c r="CU317" s="403"/>
      <c r="CV317" s="403"/>
      <c r="CW317" s="403"/>
      <c r="CX317" s="403"/>
      <c r="CY317" s="403"/>
      <c r="CZ317" s="403"/>
      <c r="DA317" s="403"/>
      <c r="DB317" s="403"/>
      <c r="DC317" s="403"/>
      <c r="DD317" s="403" t="s">
        <v>10929</v>
      </c>
      <c r="DE317" s="403"/>
      <c r="DF317" s="403"/>
      <c r="DG317" s="403"/>
      <c r="DH317" s="403"/>
      <c r="DI317" s="403"/>
      <c r="DJ317" s="403"/>
      <c r="DK317" s="403"/>
      <c r="DL317" s="403"/>
      <c r="DM317" s="403"/>
      <c r="DN317" s="403"/>
      <c r="DO317" s="403"/>
      <c r="DP317" s="403"/>
      <c r="DQ317" s="403"/>
      <c r="DR317" s="403"/>
      <c r="DS317" s="403"/>
      <c r="DT317" s="403"/>
      <c r="DU317" s="403"/>
      <c r="DV317" s="403"/>
      <c r="DW317" s="403" t="s">
        <v>10930</v>
      </c>
      <c r="DX317" s="403"/>
      <c r="DY317" s="403"/>
      <c r="DZ317" s="403"/>
      <c r="EA317" s="403"/>
      <c r="EB317" s="403"/>
      <c r="EC317" s="403"/>
      <c r="ED317" s="403"/>
      <c r="EE317" s="403"/>
      <c r="EF317" s="403"/>
      <c r="EG317" s="403"/>
      <c r="EH317" s="403"/>
      <c r="EI317" s="403"/>
      <c r="EJ317" s="403"/>
      <c r="EK317" s="403"/>
      <c r="EL317" s="403"/>
      <c r="EM317" s="403"/>
      <c r="EN317" s="403"/>
      <c r="EO317" s="403"/>
      <c r="EP317" s="403" t="s">
        <v>10931</v>
      </c>
      <c r="EQ317" s="403"/>
      <c r="ER317" s="403"/>
      <c r="ES317" s="403"/>
      <c r="ET317" s="403"/>
    </row>
    <row r="318" spans="1:150" s="299" customFormat="1" x14ac:dyDescent="0.2">
      <c r="B318" s="622" t="str">
        <f ca="1">IF(OFFSET(T318,0,Lang_Order*Lang__B4)="","",OFFSET(T318,0,Lang_Order*Lang__B4))</f>
        <v>Solar</v>
      </c>
      <c r="C318" s="5" t="str">
        <f ca="1">IF(OFFSET(U318,0,Lang_Order*Lang__B4)="","",OFFSET(U318,0,Lang_Order*Lang__B4))</f>
        <v>Refrigerated (2 to 8C)</v>
      </c>
      <c r="D318" s="11">
        <f t="shared" ref="D318:D319" si="87">$L$87</f>
        <v>37.549999999999997</v>
      </c>
      <c r="J318" s="79" t="e">
        <f>$D$266*$D318*$P290</f>
        <v>#N/A</v>
      </c>
      <c r="K318" s="79" t="e">
        <f t="shared" ref="K318:O318" si="88">$D318*$P290</f>
        <v>#N/A</v>
      </c>
      <c r="L318" s="79" t="e">
        <f t="shared" si="88"/>
        <v>#N/A</v>
      </c>
      <c r="M318" s="79" t="e">
        <f t="shared" si="88"/>
        <v>#N/A</v>
      </c>
      <c r="N318" s="79" t="e">
        <f t="shared" si="88"/>
        <v>#N/A</v>
      </c>
      <c r="O318" s="79" t="e">
        <f t="shared" si="88"/>
        <v>#N/A</v>
      </c>
      <c r="P318" s="380" t="e">
        <f t="shared" ref="P318:P323" si="89">SUM(J318:O318)</f>
        <v>#N/A</v>
      </c>
      <c r="Q318" s="91"/>
      <c r="R318" s="403"/>
      <c r="S318" s="403"/>
      <c r="T318" s="403" t="s">
        <v>3222</v>
      </c>
      <c r="U318" s="403" t="s">
        <v>11</v>
      </c>
      <c r="V318" s="403"/>
      <c r="W318" s="403"/>
      <c r="X318" s="403"/>
      <c r="Y318" s="403"/>
      <c r="Z318" s="403"/>
      <c r="AA318" s="403"/>
      <c r="AB318" s="403"/>
      <c r="AC318" s="403"/>
      <c r="AD318" s="403"/>
      <c r="AE318" s="403"/>
      <c r="AF318" s="403"/>
      <c r="AG318" s="403"/>
      <c r="AH318" s="403"/>
      <c r="AI318" s="403"/>
      <c r="AJ318" s="403"/>
      <c r="AK318" s="403"/>
      <c r="AL318" s="403"/>
      <c r="AM318" s="403" t="s">
        <v>11144</v>
      </c>
      <c r="AN318" s="403" t="s">
        <v>10714</v>
      </c>
      <c r="AO318" s="403"/>
      <c r="AP318" s="403"/>
      <c r="AQ318" s="403"/>
      <c r="AR318" s="403"/>
      <c r="AS318" s="403"/>
      <c r="AT318" s="403"/>
      <c r="AU318" s="403"/>
      <c r="AV318" s="403"/>
      <c r="AW318" s="403"/>
      <c r="AX318" s="403"/>
      <c r="AY318" s="403"/>
      <c r="AZ318" s="403"/>
      <c r="BA318" s="403"/>
      <c r="BB318" s="403"/>
      <c r="BC318" s="403"/>
      <c r="BD318" s="403"/>
      <c r="BE318" s="403"/>
      <c r="BF318" s="403" t="s">
        <v>11145</v>
      </c>
      <c r="BG318" s="403" t="s">
        <v>10227</v>
      </c>
      <c r="BH318" s="403"/>
      <c r="BI318" s="403"/>
      <c r="BJ318" s="403"/>
      <c r="BK318" s="403"/>
      <c r="BL318" s="403"/>
      <c r="BM318" s="403"/>
      <c r="BN318" s="403"/>
      <c r="BO318" s="403"/>
      <c r="BP318" s="403"/>
      <c r="BQ318" s="403"/>
      <c r="BR318" s="403"/>
      <c r="BS318" s="403"/>
      <c r="BT318" s="403"/>
      <c r="BU318" s="403"/>
      <c r="BV318" s="403"/>
      <c r="BW318" s="403"/>
      <c r="BX318" s="403"/>
      <c r="BY318" s="403" t="s">
        <v>3222</v>
      </c>
      <c r="BZ318" s="403" t="s">
        <v>10715</v>
      </c>
      <c r="CA318" s="403"/>
      <c r="CB318" s="403"/>
      <c r="CC318" s="403"/>
      <c r="CD318" s="403"/>
      <c r="CE318" s="403"/>
      <c r="CF318" s="403"/>
      <c r="CG318" s="403"/>
      <c r="CH318" s="403"/>
      <c r="CI318" s="403"/>
      <c r="CJ318" s="403"/>
      <c r="CK318" s="403"/>
      <c r="CL318" s="403"/>
      <c r="CM318" s="403"/>
      <c r="CN318" s="403"/>
      <c r="CO318" s="403"/>
      <c r="CP318" s="403"/>
      <c r="CQ318" s="403"/>
      <c r="CR318" s="403" t="s">
        <v>3222</v>
      </c>
      <c r="CS318" s="403" t="s">
        <v>8384</v>
      </c>
      <c r="CT318" s="403"/>
      <c r="CU318" s="403"/>
      <c r="CV318" s="403"/>
      <c r="CW318" s="403"/>
      <c r="CX318" s="403"/>
      <c r="CY318" s="403"/>
      <c r="CZ318" s="403"/>
      <c r="DA318" s="403"/>
      <c r="DB318" s="403"/>
      <c r="DC318" s="403"/>
      <c r="DD318" s="403"/>
      <c r="DE318" s="403"/>
      <c r="DF318" s="403"/>
      <c r="DG318" s="403"/>
      <c r="DH318" s="403"/>
      <c r="DI318" s="403"/>
      <c r="DJ318" s="403"/>
      <c r="DK318" s="403" t="s">
        <v>11147</v>
      </c>
      <c r="DL318" s="403" t="s">
        <v>10248</v>
      </c>
      <c r="DM318" s="403"/>
      <c r="DN318" s="403"/>
      <c r="DO318" s="403"/>
      <c r="DP318" s="403"/>
      <c r="DQ318" s="403"/>
      <c r="DR318" s="403"/>
      <c r="DS318" s="403"/>
      <c r="DT318" s="403"/>
      <c r="DU318" s="403"/>
      <c r="DV318" s="403"/>
      <c r="DW318" s="403"/>
      <c r="DX318" s="403"/>
      <c r="DY318" s="403"/>
      <c r="DZ318" s="403"/>
      <c r="EA318" s="403"/>
      <c r="EB318" s="403"/>
      <c r="EC318" s="403"/>
      <c r="ED318" s="403" t="s">
        <v>11148</v>
      </c>
      <c r="EE318" s="403" t="s">
        <v>8387</v>
      </c>
      <c r="EF318" s="403"/>
      <c r="EG318" s="403"/>
      <c r="EH318" s="403"/>
      <c r="EI318" s="403"/>
      <c r="EJ318" s="403"/>
      <c r="EK318" s="403"/>
      <c r="EL318" s="403"/>
      <c r="EM318" s="403"/>
      <c r="EN318" s="403"/>
      <c r="EO318" s="403"/>
      <c r="EP318" s="403"/>
      <c r="EQ318" s="403"/>
      <c r="ER318" s="403"/>
      <c r="ES318" s="403"/>
      <c r="ET318" s="403"/>
    </row>
    <row r="319" spans="1:150" s="299" customFormat="1" x14ac:dyDescent="0.2">
      <c r="C319" s="5" t="str">
        <f t="shared" ref="C319:C324" ca="1" si="90">IF(OFFSET(U319,0,Lang_Order*Lang__B4)="","",OFFSET(U319,0,Lang_Order*Lang__B4))</f>
        <v>Frozen (-20C)</v>
      </c>
      <c r="D319" s="11">
        <f t="shared" si="87"/>
        <v>37.549999999999997</v>
      </c>
      <c r="J319" s="79" t="e">
        <f>$D$266*$D319*$P291</f>
        <v>#N/A</v>
      </c>
      <c r="K319" s="79" t="e">
        <f t="shared" ref="K319:O319" si="91">$D319*$P291</f>
        <v>#N/A</v>
      </c>
      <c r="L319" s="79" t="e">
        <f t="shared" si="91"/>
        <v>#N/A</v>
      </c>
      <c r="M319" s="79" t="e">
        <f t="shared" si="91"/>
        <v>#N/A</v>
      </c>
      <c r="N319" s="79" t="e">
        <f t="shared" si="91"/>
        <v>#N/A</v>
      </c>
      <c r="O319" s="79" t="e">
        <f t="shared" si="91"/>
        <v>#N/A</v>
      </c>
      <c r="P319" s="380" t="e">
        <f t="shared" si="89"/>
        <v>#N/A</v>
      </c>
      <c r="Q319" s="91"/>
      <c r="R319" s="403"/>
      <c r="S319" s="403"/>
      <c r="T319" s="403"/>
      <c r="U319" s="403" t="s">
        <v>12</v>
      </c>
      <c r="V319" s="403"/>
      <c r="W319" s="403"/>
      <c r="X319" s="403"/>
      <c r="Y319" s="403"/>
      <c r="Z319" s="403"/>
      <c r="AA319" s="403"/>
      <c r="AB319" s="403"/>
      <c r="AC319" s="403"/>
      <c r="AD319" s="403"/>
      <c r="AE319" s="403"/>
      <c r="AF319" s="403"/>
      <c r="AG319" s="403"/>
      <c r="AH319" s="403"/>
      <c r="AI319" s="403"/>
      <c r="AJ319" s="403"/>
      <c r="AK319" s="403"/>
      <c r="AL319" s="403"/>
      <c r="AM319" s="403"/>
      <c r="AN319" s="403" t="s">
        <v>10717</v>
      </c>
      <c r="AO319" s="403"/>
      <c r="AP319" s="403"/>
      <c r="AQ319" s="403"/>
      <c r="AR319" s="403"/>
      <c r="AS319" s="403"/>
      <c r="AT319" s="403"/>
      <c r="AU319" s="403"/>
      <c r="AV319" s="403"/>
      <c r="AW319" s="403"/>
      <c r="AX319" s="403"/>
      <c r="AY319" s="403"/>
      <c r="AZ319" s="403"/>
      <c r="BA319" s="403"/>
      <c r="BB319" s="403"/>
      <c r="BC319" s="403"/>
      <c r="BD319" s="403"/>
      <c r="BE319" s="403"/>
      <c r="BF319" s="403"/>
      <c r="BG319" s="403" t="s">
        <v>10228</v>
      </c>
      <c r="BH319" s="403"/>
      <c r="BI319" s="403"/>
      <c r="BJ319" s="403"/>
      <c r="BK319" s="403"/>
      <c r="BL319" s="403"/>
      <c r="BM319" s="403"/>
      <c r="BN319" s="403"/>
      <c r="BO319" s="403"/>
      <c r="BP319" s="403"/>
      <c r="BQ319" s="403"/>
      <c r="BR319" s="403"/>
      <c r="BS319" s="403"/>
      <c r="BT319" s="403"/>
      <c r="BU319" s="403"/>
      <c r="BV319" s="403"/>
      <c r="BW319" s="403"/>
      <c r="BX319" s="403"/>
      <c r="BY319" s="403"/>
      <c r="BZ319" s="403" t="s">
        <v>10718</v>
      </c>
      <c r="CA319" s="403"/>
      <c r="CB319" s="403"/>
      <c r="CC319" s="403"/>
      <c r="CD319" s="403"/>
      <c r="CE319" s="403"/>
      <c r="CF319" s="403"/>
      <c r="CG319" s="403"/>
      <c r="CH319" s="403"/>
      <c r="CI319" s="403"/>
      <c r="CJ319" s="403"/>
      <c r="CK319" s="403"/>
      <c r="CL319" s="403"/>
      <c r="CM319" s="403"/>
      <c r="CN319" s="403"/>
      <c r="CO319" s="403"/>
      <c r="CP319" s="403"/>
      <c r="CQ319" s="403"/>
      <c r="CR319" s="403"/>
      <c r="CS319" s="403" t="s">
        <v>8391</v>
      </c>
      <c r="CT319" s="403"/>
      <c r="CU319" s="403"/>
      <c r="CV319" s="403"/>
      <c r="CW319" s="403"/>
      <c r="CX319" s="403"/>
      <c r="CY319" s="403"/>
      <c r="CZ319" s="403"/>
      <c r="DA319" s="403"/>
      <c r="DB319" s="403"/>
      <c r="DC319" s="403"/>
      <c r="DD319" s="403"/>
      <c r="DE319" s="403"/>
      <c r="DF319" s="403"/>
      <c r="DG319" s="403"/>
      <c r="DH319" s="403"/>
      <c r="DI319" s="403"/>
      <c r="DJ319" s="403"/>
      <c r="DK319" s="403"/>
      <c r="DL319" s="403" t="s">
        <v>10249</v>
      </c>
      <c r="DM319" s="403"/>
      <c r="DN319" s="403"/>
      <c r="DO319" s="403"/>
      <c r="DP319" s="403"/>
      <c r="DQ319" s="403"/>
      <c r="DR319" s="403"/>
      <c r="DS319" s="403"/>
      <c r="DT319" s="403"/>
      <c r="DU319" s="403"/>
      <c r="DV319" s="403"/>
      <c r="DW319" s="403"/>
      <c r="DX319" s="403"/>
      <c r="DY319" s="403"/>
      <c r="DZ319" s="403"/>
      <c r="EA319" s="403"/>
      <c r="EB319" s="403"/>
      <c r="EC319" s="403"/>
      <c r="ED319" s="403"/>
      <c r="EE319" s="403" t="s">
        <v>8393</v>
      </c>
      <c r="EF319" s="403"/>
      <c r="EG319" s="403"/>
      <c r="EH319" s="403"/>
      <c r="EI319" s="403"/>
      <c r="EJ319" s="403"/>
      <c r="EK319" s="403"/>
      <c r="EL319" s="403"/>
      <c r="EM319" s="403"/>
      <c r="EN319" s="403"/>
      <c r="EO319" s="403"/>
      <c r="EP319" s="403"/>
      <c r="EQ319" s="403"/>
      <c r="ER319" s="403"/>
      <c r="ES319" s="403"/>
      <c r="ET319" s="403"/>
    </row>
    <row r="320" spans="1:150" s="281" customFormat="1" x14ac:dyDescent="0.2">
      <c r="B320" s="622" t="str">
        <f ca="1">IF(OFFSET(T320,0,Lang_Order*Lang__B4)="","",OFFSET(T320,0,Lang_Order*Lang__B4))</f>
        <v>On-grid</v>
      </c>
      <c r="C320" s="5" t="str">
        <f t="shared" ca="1" si="90"/>
        <v>Refrigerated (2 to 8C)</v>
      </c>
      <c r="D320" s="11">
        <f>$L$85</f>
        <v>51.7</v>
      </c>
      <c r="J320" s="79" t="e">
        <f>$D$267*$D320*$P294</f>
        <v>#N/A</v>
      </c>
      <c r="K320" s="79" t="e">
        <f t="shared" ref="K320:O320" si="92">$D$267*$D320*$P294</f>
        <v>#N/A</v>
      </c>
      <c r="L320" s="79" t="e">
        <f t="shared" si="92"/>
        <v>#N/A</v>
      </c>
      <c r="M320" s="79" t="e">
        <f t="shared" si="92"/>
        <v>#N/A</v>
      </c>
      <c r="N320" s="79" t="e">
        <f t="shared" si="92"/>
        <v>#N/A</v>
      </c>
      <c r="O320" s="79" t="e">
        <f t="shared" si="92"/>
        <v>#N/A</v>
      </c>
      <c r="P320" s="380" t="e">
        <f t="shared" si="89"/>
        <v>#N/A</v>
      </c>
      <c r="Q320" s="91"/>
      <c r="R320" s="403"/>
      <c r="S320" s="403"/>
      <c r="T320" s="403" t="s">
        <v>3221</v>
      </c>
      <c r="U320" s="403" t="s">
        <v>11</v>
      </c>
      <c r="V320" s="403"/>
      <c r="W320" s="403"/>
      <c r="X320" s="403"/>
      <c r="Y320" s="403"/>
      <c r="Z320" s="403"/>
      <c r="AA320" s="403"/>
      <c r="AB320" s="403"/>
      <c r="AC320" s="403"/>
      <c r="AD320" s="403"/>
      <c r="AE320" s="403"/>
      <c r="AF320" s="403"/>
      <c r="AG320" s="403"/>
      <c r="AH320" s="403"/>
      <c r="AI320" s="403"/>
      <c r="AJ320" s="403"/>
      <c r="AK320" s="403"/>
      <c r="AL320" s="403"/>
      <c r="AM320" s="403" t="s">
        <v>11149</v>
      </c>
      <c r="AN320" s="403" t="s">
        <v>10714</v>
      </c>
      <c r="AO320" s="403"/>
      <c r="AP320" s="403"/>
      <c r="AQ320" s="403"/>
      <c r="AR320" s="403"/>
      <c r="AS320" s="403"/>
      <c r="AT320" s="403"/>
      <c r="AU320" s="403"/>
      <c r="AV320" s="403"/>
      <c r="AW320" s="403"/>
      <c r="AX320" s="403"/>
      <c r="AY320" s="403"/>
      <c r="AZ320" s="403"/>
      <c r="BA320" s="403"/>
      <c r="BB320" s="403"/>
      <c r="BC320" s="403"/>
      <c r="BD320" s="403"/>
      <c r="BE320" s="403"/>
      <c r="BF320" s="403" t="s">
        <v>11150</v>
      </c>
      <c r="BG320" s="403" t="s">
        <v>10227</v>
      </c>
      <c r="BH320" s="403"/>
      <c r="BI320" s="403"/>
      <c r="BJ320" s="403"/>
      <c r="BK320" s="403"/>
      <c r="BL320" s="403"/>
      <c r="BM320" s="403"/>
      <c r="BN320" s="403"/>
      <c r="BO320" s="403"/>
      <c r="BP320" s="403"/>
      <c r="BQ320" s="403"/>
      <c r="BR320" s="403"/>
      <c r="BS320" s="403"/>
      <c r="BT320" s="403"/>
      <c r="BU320" s="403"/>
      <c r="BV320" s="403"/>
      <c r="BW320" s="403"/>
      <c r="BX320" s="403"/>
      <c r="BY320" s="403" t="s">
        <v>11151</v>
      </c>
      <c r="BZ320" s="403" t="s">
        <v>10715</v>
      </c>
      <c r="CA320" s="403"/>
      <c r="CB320" s="403"/>
      <c r="CC320" s="403"/>
      <c r="CD320" s="403"/>
      <c r="CE320" s="403"/>
      <c r="CF320" s="403"/>
      <c r="CG320" s="403"/>
      <c r="CH320" s="403"/>
      <c r="CI320" s="403"/>
      <c r="CJ320" s="403"/>
      <c r="CK320" s="403"/>
      <c r="CL320" s="403"/>
      <c r="CM320" s="403"/>
      <c r="CN320" s="403"/>
      <c r="CO320" s="403"/>
      <c r="CP320" s="403"/>
      <c r="CQ320" s="403"/>
      <c r="CR320" s="403" t="s">
        <v>11152</v>
      </c>
      <c r="CS320" s="403" t="s">
        <v>8384</v>
      </c>
      <c r="CT320" s="403"/>
      <c r="CU320" s="403"/>
      <c r="CV320" s="403"/>
      <c r="CW320" s="403"/>
      <c r="CX320" s="403"/>
      <c r="CY320" s="403"/>
      <c r="CZ320" s="403"/>
      <c r="DA320" s="403"/>
      <c r="DB320" s="403"/>
      <c r="DC320" s="403"/>
      <c r="DD320" s="403"/>
      <c r="DE320" s="403"/>
      <c r="DF320" s="403"/>
      <c r="DG320" s="403"/>
      <c r="DH320" s="403"/>
      <c r="DI320" s="403"/>
      <c r="DJ320" s="403"/>
      <c r="DK320" s="403" t="s">
        <v>11153</v>
      </c>
      <c r="DL320" s="403" t="s">
        <v>10248</v>
      </c>
      <c r="DM320" s="403"/>
      <c r="DN320" s="403"/>
      <c r="DO320" s="403"/>
      <c r="DP320" s="403"/>
      <c r="DQ320" s="403"/>
      <c r="DR320" s="403"/>
      <c r="DS320" s="403"/>
      <c r="DT320" s="403"/>
      <c r="DU320" s="403"/>
      <c r="DV320" s="403"/>
      <c r="DW320" s="403"/>
      <c r="DX320" s="403"/>
      <c r="DY320" s="403"/>
      <c r="DZ320" s="403"/>
      <c r="EA320" s="403"/>
      <c r="EB320" s="403"/>
      <c r="EC320" s="403"/>
      <c r="ED320" s="403" t="s">
        <v>11154</v>
      </c>
      <c r="EE320" s="403" t="s">
        <v>8387</v>
      </c>
      <c r="EF320" s="403"/>
      <c r="EG320" s="403"/>
      <c r="EH320" s="403"/>
      <c r="EI320" s="403"/>
      <c r="EJ320" s="403"/>
      <c r="EK320" s="403"/>
      <c r="EL320" s="403"/>
      <c r="EM320" s="403"/>
      <c r="EN320" s="403"/>
      <c r="EO320" s="403"/>
      <c r="EP320" s="403"/>
      <c r="EQ320" s="403"/>
      <c r="ER320" s="403"/>
      <c r="ES320" s="403"/>
      <c r="ET320" s="403"/>
    </row>
    <row r="321" spans="1:150" s="281" customFormat="1" x14ac:dyDescent="0.2">
      <c r="C321" s="5" t="str">
        <f t="shared" ca="1" si="90"/>
        <v>Frozen (-20C)</v>
      </c>
      <c r="D321" s="11">
        <f>$L$86</f>
        <v>51.95</v>
      </c>
      <c r="J321" s="79" t="e">
        <f t="shared" ref="J321:O321" si="93">$D$267*$D321*$P295</f>
        <v>#N/A</v>
      </c>
      <c r="K321" s="79" t="e">
        <f t="shared" si="93"/>
        <v>#N/A</v>
      </c>
      <c r="L321" s="79" t="e">
        <f t="shared" si="93"/>
        <v>#N/A</v>
      </c>
      <c r="M321" s="79" t="e">
        <f t="shared" si="93"/>
        <v>#N/A</v>
      </c>
      <c r="N321" s="79" t="e">
        <f t="shared" si="93"/>
        <v>#N/A</v>
      </c>
      <c r="O321" s="79" t="e">
        <f t="shared" si="93"/>
        <v>#N/A</v>
      </c>
      <c r="P321" s="380" t="e">
        <f t="shared" si="89"/>
        <v>#N/A</v>
      </c>
      <c r="Q321" s="91"/>
      <c r="R321" s="403"/>
      <c r="S321" s="403"/>
      <c r="T321" s="403"/>
      <c r="U321" s="403" t="s">
        <v>12</v>
      </c>
      <c r="V321" s="403"/>
      <c r="W321" s="403"/>
      <c r="X321" s="403"/>
      <c r="Y321" s="403"/>
      <c r="Z321" s="403"/>
      <c r="AA321" s="403"/>
      <c r="AB321" s="403"/>
      <c r="AC321" s="403"/>
      <c r="AD321" s="403"/>
      <c r="AE321" s="403"/>
      <c r="AF321" s="403"/>
      <c r="AG321" s="403"/>
      <c r="AH321" s="403"/>
      <c r="AI321" s="403"/>
      <c r="AJ321" s="403"/>
      <c r="AK321" s="403"/>
      <c r="AL321" s="403"/>
      <c r="AM321" s="403"/>
      <c r="AN321" s="403" t="s">
        <v>10717</v>
      </c>
      <c r="AO321" s="403"/>
      <c r="AP321" s="403"/>
      <c r="AQ321" s="403"/>
      <c r="AR321" s="403"/>
      <c r="AS321" s="403"/>
      <c r="AT321" s="403"/>
      <c r="AU321" s="403"/>
      <c r="AV321" s="403"/>
      <c r="AW321" s="403"/>
      <c r="AX321" s="403"/>
      <c r="AY321" s="403"/>
      <c r="AZ321" s="403"/>
      <c r="BA321" s="403"/>
      <c r="BB321" s="403"/>
      <c r="BC321" s="403"/>
      <c r="BD321" s="403"/>
      <c r="BE321" s="403"/>
      <c r="BF321" s="403"/>
      <c r="BG321" s="403" t="s">
        <v>10228</v>
      </c>
      <c r="BH321" s="403"/>
      <c r="BI321" s="403"/>
      <c r="BJ321" s="403"/>
      <c r="BK321" s="403"/>
      <c r="BL321" s="403"/>
      <c r="BM321" s="403"/>
      <c r="BN321" s="403"/>
      <c r="BO321" s="403"/>
      <c r="BP321" s="403"/>
      <c r="BQ321" s="403"/>
      <c r="BR321" s="403"/>
      <c r="BS321" s="403"/>
      <c r="BT321" s="403"/>
      <c r="BU321" s="403"/>
      <c r="BV321" s="403"/>
      <c r="BW321" s="403"/>
      <c r="BX321" s="403"/>
      <c r="BY321" s="403"/>
      <c r="BZ321" s="403" t="s">
        <v>10718</v>
      </c>
      <c r="CA321" s="403"/>
      <c r="CB321" s="403"/>
      <c r="CC321" s="403"/>
      <c r="CD321" s="403"/>
      <c r="CE321" s="403"/>
      <c r="CF321" s="403"/>
      <c r="CG321" s="403"/>
      <c r="CH321" s="403"/>
      <c r="CI321" s="403"/>
      <c r="CJ321" s="403"/>
      <c r="CK321" s="403"/>
      <c r="CL321" s="403"/>
      <c r="CM321" s="403"/>
      <c r="CN321" s="403"/>
      <c r="CO321" s="403"/>
      <c r="CP321" s="403"/>
      <c r="CQ321" s="403"/>
      <c r="CR321" s="403"/>
      <c r="CS321" s="403" t="s">
        <v>8391</v>
      </c>
      <c r="CT321" s="403"/>
      <c r="CU321" s="403"/>
      <c r="CV321" s="403"/>
      <c r="CW321" s="403"/>
      <c r="CX321" s="403"/>
      <c r="CY321" s="403"/>
      <c r="CZ321" s="403"/>
      <c r="DA321" s="403"/>
      <c r="DB321" s="403"/>
      <c r="DC321" s="403"/>
      <c r="DD321" s="403"/>
      <c r="DE321" s="403"/>
      <c r="DF321" s="403"/>
      <c r="DG321" s="403"/>
      <c r="DH321" s="403"/>
      <c r="DI321" s="403"/>
      <c r="DJ321" s="403"/>
      <c r="DK321" s="403"/>
      <c r="DL321" s="403" t="s">
        <v>10249</v>
      </c>
      <c r="DM321" s="403"/>
      <c r="DN321" s="403"/>
      <c r="DO321" s="403"/>
      <c r="DP321" s="403"/>
      <c r="DQ321" s="403"/>
      <c r="DR321" s="403"/>
      <c r="DS321" s="403"/>
      <c r="DT321" s="403"/>
      <c r="DU321" s="403"/>
      <c r="DV321" s="403"/>
      <c r="DW321" s="403"/>
      <c r="DX321" s="403"/>
      <c r="DY321" s="403"/>
      <c r="DZ321" s="403"/>
      <c r="EA321" s="403"/>
      <c r="EB321" s="403"/>
      <c r="EC321" s="403"/>
      <c r="ED321" s="403"/>
      <c r="EE321" s="403" t="s">
        <v>8393</v>
      </c>
      <c r="EF321" s="403"/>
      <c r="EG321" s="403"/>
      <c r="EH321" s="403"/>
      <c r="EI321" s="403"/>
      <c r="EJ321" s="403"/>
      <c r="EK321" s="403"/>
      <c r="EL321" s="403"/>
      <c r="EM321" s="403"/>
      <c r="EN321" s="403"/>
      <c r="EO321" s="403"/>
      <c r="EP321" s="403"/>
      <c r="EQ321" s="403"/>
      <c r="ER321" s="403"/>
      <c r="ES321" s="403"/>
      <c r="ET321" s="403"/>
    </row>
    <row r="322" spans="1:150" s="281" customFormat="1" x14ac:dyDescent="0.2">
      <c r="C322" s="5" t="str">
        <f t="shared" ca="1" si="90"/>
        <v>Ice pack freezers</v>
      </c>
      <c r="D322" s="11">
        <f>$L$86</f>
        <v>51.95</v>
      </c>
      <c r="J322" s="79">
        <f t="shared" ref="J322:O322" si="94">$D$267*$D322*$P296</f>
        <v>0</v>
      </c>
      <c r="K322" s="79">
        <f t="shared" si="94"/>
        <v>0</v>
      </c>
      <c r="L322" s="79">
        <f t="shared" si="94"/>
        <v>0</v>
      </c>
      <c r="M322" s="79">
        <f t="shared" si="94"/>
        <v>0</v>
      </c>
      <c r="N322" s="79">
        <f t="shared" si="94"/>
        <v>0</v>
      </c>
      <c r="O322" s="79">
        <f t="shared" si="94"/>
        <v>0</v>
      </c>
      <c r="P322" s="380">
        <f t="shared" si="89"/>
        <v>0</v>
      </c>
      <c r="Q322" s="91"/>
      <c r="R322" s="403"/>
      <c r="S322" s="403"/>
      <c r="T322" s="403"/>
      <c r="U322" s="403" t="s">
        <v>3211</v>
      </c>
      <c r="V322" s="403"/>
      <c r="W322" s="403"/>
      <c r="X322" s="403"/>
      <c r="Y322" s="403"/>
      <c r="Z322" s="403"/>
      <c r="AA322" s="403"/>
      <c r="AB322" s="403"/>
      <c r="AC322" s="403"/>
      <c r="AD322" s="403"/>
      <c r="AE322" s="403"/>
      <c r="AF322" s="403"/>
      <c r="AG322" s="403"/>
      <c r="AH322" s="403"/>
      <c r="AI322" s="403"/>
      <c r="AJ322" s="403"/>
      <c r="AK322" s="403"/>
      <c r="AL322" s="403"/>
      <c r="AM322" s="403"/>
      <c r="AN322" s="403" t="s">
        <v>11012</v>
      </c>
      <c r="AO322" s="403"/>
      <c r="AP322" s="403"/>
      <c r="AQ322" s="403"/>
      <c r="AR322" s="403"/>
      <c r="AS322" s="403"/>
      <c r="AT322" s="403"/>
      <c r="AU322" s="403"/>
      <c r="AV322" s="403"/>
      <c r="AW322" s="403"/>
      <c r="AX322" s="403"/>
      <c r="AY322" s="403"/>
      <c r="AZ322" s="403"/>
      <c r="BA322" s="403"/>
      <c r="BB322" s="403"/>
      <c r="BC322" s="403"/>
      <c r="BD322" s="403"/>
      <c r="BE322" s="403"/>
      <c r="BF322" s="403"/>
      <c r="BG322" s="403" t="s">
        <v>11056</v>
      </c>
      <c r="BH322" s="403"/>
      <c r="BI322" s="403"/>
      <c r="BJ322" s="403"/>
      <c r="BK322" s="403"/>
      <c r="BL322" s="403"/>
      <c r="BM322" s="403"/>
      <c r="BN322" s="403"/>
      <c r="BO322" s="403"/>
      <c r="BP322" s="403"/>
      <c r="BQ322" s="403"/>
      <c r="BR322" s="403"/>
      <c r="BS322" s="403"/>
      <c r="BT322" s="403"/>
      <c r="BU322" s="403"/>
      <c r="BV322" s="403"/>
      <c r="BW322" s="403"/>
      <c r="BX322" s="403"/>
      <c r="BY322" s="403"/>
      <c r="BZ322" s="403" t="s">
        <v>11016</v>
      </c>
      <c r="CA322" s="403"/>
      <c r="CB322" s="403"/>
      <c r="CC322" s="403"/>
      <c r="CD322" s="403"/>
      <c r="CE322" s="403"/>
      <c r="CF322" s="403"/>
      <c r="CG322" s="403"/>
      <c r="CH322" s="403"/>
      <c r="CI322" s="403"/>
      <c r="CJ322" s="403"/>
      <c r="CK322" s="403"/>
      <c r="CL322" s="403"/>
      <c r="CM322" s="403"/>
      <c r="CN322" s="403"/>
      <c r="CO322" s="403"/>
      <c r="CP322" s="403"/>
      <c r="CQ322" s="403"/>
      <c r="CR322" s="403"/>
      <c r="CS322" s="403" t="s">
        <v>11018</v>
      </c>
      <c r="CT322" s="403"/>
      <c r="CU322" s="403"/>
      <c r="CV322" s="403"/>
      <c r="CW322" s="403"/>
      <c r="CX322" s="403"/>
      <c r="CY322" s="403"/>
      <c r="CZ322" s="403"/>
      <c r="DA322" s="403"/>
      <c r="DB322" s="403"/>
      <c r="DC322" s="403"/>
      <c r="DD322" s="403"/>
      <c r="DE322" s="403"/>
      <c r="DF322" s="403"/>
      <c r="DG322" s="403"/>
      <c r="DH322" s="403"/>
      <c r="DI322" s="403"/>
      <c r="DJ322" s="403"/>
      <c r="DK322" s="403"/>
      <c r="DL322" s="403" t="s">
        <v>11020</v>
      </c>
      <c r="DM322" s="403"/>
      <c r="DN322" s="403"/>
      <c r="DO322" s="403"/>
      <c r="DP322" s="403"/>
      <c r="DQ322" s="403"/>
      <c r="DR322" s="403"/>
      <c r="DS322" s="403"/>
      <c r="DT322" s="403"/>
      <c r="DU322" s="403"/>
      <c r="DV322" s="403"/>
      <c r="DW322" s="403"/>
      <c r="DX322" s="403"/>
      <c r="DY322" s="403"/>
      <c r="DZ322" s="403"/>
      <c r="EA322" s="403"/>
      <c r="EB322" s="403"/>
      <c r="EC322" s="403"/>
      <c r="ED322" s="403"/>
      <c r="EE322" s="403" t="s">
        <v>11021</v>
      </c>
      <c r="EF322" s="403"/>
      <c r="EG322" s="403"/>
      <c r="EH322" s="403"/>
      <c r="EI322" s="403"/>
      <c r="EJ322" s="403"/>
      <c r="EK322" s="403"/>
      <c r="EL322" s="403"/>
      <c r="EM322" s="403"/>
      <c r="EN322" s="403"/>
      <c r="EO322" s="403"/>
      <c r="EP322" s="403"/>
      <c r="EQ322" s="403"/>
      <c r="ER322" s="403"/>
      <c r="ES322" s="403"/>
      <c r="ET322" s="403"/>
    </row>
    <row r="323" spans="1:150" s="281" customFormat="1" x14ac:dyDescent="0.2">
      <c r="C323" s="5" t="str">
        <f t="shared" ca="1" si="90"/>
        <v>Remote Temperature Monitoring Devices</v>
      </c>
      <c r="J323" s="79"/>
      <c r="K323" s="79"/>
      <c r="L323" s="79"/>
      <c r="M323" s="79"/>
      <c r="N323" s="79"/>
      <c r="O323" s="79"/>
      <c r="P323" s="380">
        <f t="shared" si="89"/>
        <v>0</v>
      </c>
      <c r="Q323" s="91"/>
      <c r="R323" s="403"/>
      <c r="S323" s="403"/>
      <c r="T323" s="403"/>
      <c r="U323" s="403" t="s">
        <v>3593</v>
      </c>
      <c r="V323" s="403"/>
      <c r="W323" s="403"/>
      <c r="X323" s="403"/>
      <c r="Y323" s="403"/>
      <c r="Z323" s="403"/>
      <c r="AA323" s="403"/>
      <c r="AB323" s="403"/>
      <c r="AC323" s="403"/>
      <c r="AD323" s="403"/>
      <c r="AE323" s="403"/>
      <c r="AF323" s="403"/>
      <c r="AG323" s="403"/>
      <c r="AH323" s="403"/>
      <c r="AI323" s="403"/>
      <c r="AJ323" s="403"/>
      <c r="AK323" s="403"/>
      <c r="AL323" s="403"/>
      <c r="AM323" s="403"/>
      <c r="AN323" s="403" t="s">
        <v>10871</v>
      </c>
      <c r="AO323" s="403"/>
      <c r="AP323" s="403"/>
      <c r="AQ323" s="403"/>
      <c r="AR323" s="403"/>
      <c r="AS323" s="403"/>
      <c r="AT323" s="403"/>
      <c r="AU323" s="403"/>
      <c r="AV323" s="403"/>
      <c r="AW323" s="403"/>
      <c r="AX323" s="403"/>
      <c r="AY323" s="403"/>
      <c r="AZ323" s="403"/>
      <c r="BA323" s="403"/>
      <c r="BB323" s="403"/>
      <c r="BC323" s="403"/>
      <c r="BD323" s="403"/>
      <c r="BE323" s="403"/>
      <c r="BF323" s="403"/>
      <c r="BG323" s="403" t="s">
        <v>10872</v>
      </c>
      <c r="BH323" s="403"/>
      <c r="BI323" s="403"/>
      <c r="BJ323" s="403"/>
      <c r="BK323" s="403"/>
      <c r="BL323" s="403"/>
      <c r="BM323" s="403"/>
      <c r="BN323" s="403"/>
      <c r="BO323" s="403"/>
      <c r="BP323" s="403"/>
      <c r="BQ323" s="403"/>
      <c r="BR323" s="403"/>
      <c r="BS323" s="403"/>
      <c r="BT323" s="403"/>
      <c r="BU323" s="403"/>
      <c r="BV323" s="403"/>
      <c r="BW323" s="403"/>
      <c r="BX323" s="403"/>
      <c r="BY323" s="403"/>
      <c r="BZ323" s="403" t="s">
        <v>10873</v>
      </c>
      <c r="CA323" s="403"/>
      <c r="CB323" s="403"/>
      <c r="CC323" s="403"/>
      <c r="CD323" s="403"/>
      <c r="CE323" s="403"/>
      <c r="CF323" s="403"/>
      <c r="CG323" s="403"/>
      <c r="CH323" s="403"/>
      <c r="CI323" s="403"/>
      <c r="CJ323" s="403"/>
      <c r="CK323" s="403"/>
      <c r="CL323" s="403"/>
      <c r="CM323" s="403"/>
      <c r="CN323" s="403"/>
      <c r="CO323" s="403"/>
      <c r="CP323" s="403"/>
      <c r="CQ323" s="403"/>
      <c r="CR323" s="403"/>
      <c r="CS323" s="403" t="s">
        <v>10874</v>
      </c>
      <c r="CT323" s="403"/>
      <c r="CU323" s="403"/>
      <c r="CV323" s="403"/>
      <c r="CW323" s="403"/>
      <c r="CX323" s="403"/>
      <c r="CY323" s="403"/>
      <c r="CZ323" s="403"/>
      <c r="DA323" s="403"/>
      <c r="DB323" s="403"/>
      <c r="DC323" s="403"/>
      <c r="DD323" s="403"/>
      <c r="DE323" s="403"/>
      <c r="DF323" s="403"/>
      <c r="DG323" s="403"/>
      <c r="DH323" s="403"/>
      <c r="DI323" s="403"/>
      <c r="DJ323" s="403"/>
      <c r="DK323" s="403"/>
      <c r="DL323" s="403" t="s">
        <v>10901</v>
      </c>
      <c r="DM323" s="403"/>
      <c r="DN323" s="403"/>
      <c r="DO323" s="403"/>
      <c r="DP323" s="403"/>
      <c r="DQ323" s="403"/>
      <c r="DR323" s="403"/>
      <c r="DS323" s="403"/>
      <c r="DT323" s="403"/>
      <c r="DU323" s="403"/>
      <c r="DV323" s="403"/>
      <c r="DW323" s="403"/>
      <c r="DX323" s="403"/>
      <c r="DY323" s="403"/>
      <c r="DZ323" s="403"/>
      <c r="EA323" s="403"/>
      <c r="EB323" s="403"/>
      <c r="EC323" s="403"/>
      <c r="ED323" s="403"/>
      <c r="EE323" s="403" t="s">
        <v>10876</v>
      </c>
      <c r="EF323" s="403"/>
      <c r="EG323" s="403"/>
      <c r="EH323" s="403"/>
      <c r="EI323" s="403"/>
      <c r="EJ323" s="403"/>
      <c r="EK323" s="403"/>
      <c r="EL323" s="403"/>
      <c r="EM323" s="403"/>
      <c r="EN323" s="403"/>
      <c r="EO323" s="403"/>
      <c r="EP323" s="403"/>
      <c r="EQ323" s="403"/>
      <c r="ER323" s="403"/>
      <c r="ES323" s="403"/>
      <c r="ET323" s="403"/>
    </row>
    <row r="324" spans="1:150" s="281" customFormat="1" x14ac:dyDescent="0.2">
      <c r="C324" s="5" t="str">
        <f t="shared" ca="1" si="90"/>
        <v>Electricity</v>
      </c>
      <c r="J324" s="79" t="e">
        <f t="shared" ref="J324:O324" si="95">$D267*SUMPRODUCT($L294:$L296,$P294:$P296)*kWh_USD</f>
        <v>#N/A</v>
      </c>
      <c r="K324" s="79" t="e">
        <f t="shared" si="95"/>
        <v>#N/A</v>
      </c>
      <c r="L324" s="79" t="e">
        <f t="shared" si="95"/>
        <v>#N/A</v>
      </c>
      <c r="M324" s="79" t="e">
        <f t="shared" si="95"/>
        <v>#N/A</v>
      </c>
      <c r="N324" s="79" t="e">
        <f t="shared" si="95"/>
        <v>#N/A</v>
      </c>
      <c r="O324" s="79" t="e">
        <f t="shared" si="95"/>
        <v>#N/A</v>
      </c>
      <c r="P324" s="300" t="e">
        <f>SUM(J324:O324)</f>
        <v>#N/A</v>
      </c>
      <c r="Q324" s="47"/>
      <c r="R324" s="403"/>
      <c r="S324" s="403"/>
      <c r="T324" s="403"/>
      <c r="U324" s="403" t="s">
        <v>2721</v>
      </c>
      <c r="V324" s="403"/>
      <c r="W324" s="403"/>
      <c r="X324" s="403"/>
      <c r="Y324" s="403"/>
      <c r="Z324" s="403"/>
      <c r="AA324" s="403"/>
      <c r="AB324" s="403"/>
      <c r="AC324" s="403"/>
      <c r="AD324" s="403"/>
      <c r="AE324" s="403"/>
      <c r="AF324" s="403"/>
      <c r="AG324" s="403"/>
      <c r="AH324" s="403"/>
      <c r="AI324" s="403"/>
      <c r="AJ324" s="403"/>
      <c r="AK324" s="403"/>
      <c r="AL324" s="403"/>
      <c r="AM324" s="403"/>
      <c r="AN324" s="403" t="s">
        <v>8325</v>
      </c>
      <c r="AO324" s="403"/>
      <c r="AP324" s="403"/>
      <c r="AQ324" s="403"/>
      <c r="AR324" s="403"/>
      <c r="AS324" s="403"/>
      <c r="AT324" s="403"/>
      <c r="AU324" s="403"/>
      <c r="AV324" s="403"/>
      <c r="AW324" s="403"/>
      <c r="AX324" s="403"/>
      <c r="AY324" s="403"/>
      <c r="AZ324" s="403"/>
      <c r="BA324" s="403"/>
      <c r="BB324" s="403"/>
      <c r="BC324" s="403"/>
      <c r="BD324" s="403"/>
      <c r="BE324" s="403"/>
      <c r="BF324" s="403"/>
      <c r="BG324" s="403" t="s">
        <v>10933</v>
      </c>
      <c r="BH324" s="403"/>
      <c r="BI324" s="403"/>
      <c r="BJ324" s="403"/>
      <c r="BK324" s="403"/>
      <c r="BL324" s="403"/>
      <c r="BM324" s="403"/>
      <c r="BN324" s="403"/>
      <c r="BO324" s="403"/>
      <c r="BP324" s="403"/>
      <c r="BQ324" s="403"/>
      <c r="BR324" s="403"/>
      <c r="BS324" s="403"/>
      <c r="BT324" s="403"/>
      <c r="BU324" s="403"/>
      <c r="BV324" s="403"/>
      <c r="BW324" s="403"/>
      <c r="BX324" s="403"/>
      <c r="BY324" s="403"/>
      <c r="BZ324" s="403" t="s">
        <v>10934</v>
      </c>
      <c r="CA324" s="403"/>
      <c r="CB324" s="403"/>
      <c r="CC324" s="403"/>
      <c r="CD324" s="403"/>
      <c r="CE324" s="403"/>
      <c r="CF324" s="403"/>
      <c r="CG324" s="403"/>
      <c r="CH324" s="403"/>
      <c r="CI324" s="403"/>
      <c r="CJ324" s="403"/>
      <c r="CK324" s="403"/>
      <c r="CL324" s="403"/>
      <c r="CM324" s="403"/>
      <c r="CN324" s="403"/>
      <c r="CO324" s="403"/>
      <c r="CP324" s="403"/>
      <c r="CQ324" s="403"/>
      <c r="CR324" s="403"/>
      <c r="CS324" s="403" t="s">
        <v>10935</v>
      </c>
      <c r="CT324" s="403"/>
      <c r="CU324" s="403"/>
      <c r="CV324" s="403"/>
      <c r="CW324" s="403"/>
      <c r="CX324" s="403"/>
      <c r="CY324" s="403"/>
      <c r="CZ324" s="403"/>
      <c r="DA324" s="403"/>
      <c r="DB324" s="403"/>
      <c r="DC324" s="403"/>
      <c r="DD324" s="403"/>
      <c r="DE324" s="403"/>
      <c r="DF324" s="403"/>
      <c r="DG324" s="403"/>
      <c r="DH324" s="403"/>
      <c r="DI324" s="403"/>
      <c r="DJ324" s="403"/>
      <c r="DK324" s="403"/>
      <c r="DL324" s="403" t="s">
        <v>10936</v>
      </c>
      <c r="DM324" s="403"/>
      <c r="DN324" s="403"/>
      <c r="DO324" s="403"/>
      <c r="DP324" s="403"/>
      <c r="DQ324" s="403"/>
      <c r="DR324" s="403"/>
      <c r="DS324" s="403"/>
      <c r="DT324" s="403"/>
      <c r="DU324" s="403"/>
      <c r="DV324" s="403"/>
      <c r="DW324" s="403"/>
      <c r="DX324" s="403"/>
      <c r="DY324" s="403"/>
      <c r="DZ324" s="403"/>
      <c r="EA324" s="403"/>
      <c r="EB324" s="403"/>
      <c r="EC324" s="403"/>
      <c r="ED324" s="403"/>
      <c r="EE324" s="403" t="s">
        <v>8330</v>
      </c>
      <c r="EF324" s="403"/>
      <c r="EG324" s="403"/>
      <c r="EH324" s="403"/>
      <c r="EI324" s="403"/>
      <c r="EJ324" s="403"/>
      <c r="EK324" s="403"/>
      <c r="EL324" s="403"/>
      <c r="EM324" s="403"/>
      <c r="EN324" s="403"/>
      <c r="EO324" s="403"/>
      <c r="EP324" s="403"/>
      <c r="EQ324" s="403"/>
      <c r="ER324" s="403"/>
      <c r="ES324" s="403"/>
      <c r="ET324" s="403"/>
    </row>
    <row r="325" spans="1:150" s="281" customFormat="1" ht="13.5" thickBot="1" x14ac:dyDescent="0.25">
      <c r="D325" s="21" t="str">
        <f ca="1">IF(OFFSET(V325,0,Lang_Order*Lang__B4)="","",OFFSET(V325,0,Lang_Order*Lang__B4))</f>
        <v>Total (All Fixed Sites) Cold Storage - Operational Expenditures</v>
      </c>
      <c r="E325" s="20"/>
      <c r="F325" s="20"/>
      <c r="G325" s="20"/>
      <c r="H325" s="20"/>
      <c r="I325" s="20"/>
      <c r="J325" s="118" t="e">
        <f t="shared" ref="J325:O325" si="96">J37*SUM(J318:J324)</f>
        <v>#N/A</v>
      </c>
      <c r="K325" s="118" t="e">
        <f t="shared" si="96"/>
        <v>#N/A</v>
      </c>
      <c r="L325" s="118" t="e">
        <f t="shared" si="96"/>
        <v>#N/A</v>
      </c>
      <c r="M325" s="118" t="e">
        <f t="shared" si="96"/>
        <v>#N/A</v>
      </c>
      <c r="N325" s="118" t="e">
        <f t="shared" si="96"/>
        <v>#N/A</v>
      </c>
      <c r="O325" s="118" t="e">
        <f t="shared" si="96"/>
        <v>#N/A</v>
      </c>
      <c r="P325" s="118" t="e">
        <f>SUM(J325:O325)</f>
        <v>#N/A</v>
      </c>
      <c r="Q325" s="12" t="str">
        <f ca="1">IF(OFFSET(AI325,0,Lang_Order*Lang__B4)="","",OFFSET(AI325,0,Lang_Order*Lang__B4))</f>
        <v>For all the CCE equipment needed for COVID-19 vaccination, not just the newly purchased</v>
      </c>
      <c r="R325" s="403"/>
      <c r="S325" s="403"/>
      <c r="T325" s="403"/>
      <c r="U325" s="403"/>
      <c r="V325" s="403" t="s">
        <v>3621</v>
      </c>
      <c r="W325" s="403"/>
      <c r="X325" s="403"/>
      <c r="Y325" s="403"/>
      <c r="Z325" s="403"/>
      <c r="AA325" s="403"/>
      <c r="AB325" s="403"/>
      <c r="AC325" s="403"/>
      <c r="AD325" s="403"/>
      <c r="AE325" s="403"/>
      <c r="AF325" s="403"/>
      <c r="AG325" s="403"/>
      <c r="AH325" s="403"/>
      <c r="AI325" s="403" t="s">
        <v>3657</v>
      </c>
      <c r="AJ325" s="403"/>
      <c r="AK325" s="403"/>
      <c r="AL325" s="403"/>
      <c r="AM325" s="403"/>
      <c r="AN325" s="403"/>
      <c r="AO325" s="403" t="s">
        <v>11275</v>
      </c>
      <c r="AP325" s="403"/>
      <c r="AQ325" s="403"/>
      <c r="AR325" s="403"/>
      <c r="AS325" s="403"/>
      <c r="AT325" s="403"/>
      <c r="AU325" s="403"/>
      <c r="AV325" s="403"/>
      <c r="AW325" s="403"/>
      <c r="AX325" s="403"/>
      <c r="AY325" s="403"/>
      <c r="AZ325" s="403"/>
      <c r="BA325" s="403"/>
      <c r="BB325" s="403" t="s">
        <v>13509</v>
      </c>
      <c r="BC325" s="403"/>
      <c r="BD325" s="403"/>
      <c r="BE325" s="403"/>
      <c r="BF325" s="403"/>
      <c r="BG325" s="403"/>
      <c r="BH325" s="403" t="s">
        <v>11276</v>
      </c>
      <c r="BI325" s="403"/>
      <c r="BJ325" s="403"/>
      <c r="BK325" s="403"/>
      <c r="BL325" s="403"/>
      <c r="BM325" s="403"/>
      <c r="BN325" s="403"/>
      <c r="BO325" s="403"/>
      <c r="BP325" s="403"/>
      <c r="BQ325" s="403"/>
      <c r="BR325" s="403"/>
      <c r="BS325" s="403"/>
      <c r="BT325" s="403"/>
      <c r="BU325" s="403" t="s">
        <v>13510</v>
      </c>
      <c r="BV325" s="403"/>
      <c r="BW325" s="403"/>
      <c r="BX325" s="403"/>
      <c r="BY325" s="403"/>
      <c r="BZ325" s="403"/>
      <c r="CA325" s="403" t="s">
        <v>11277</v>
      </c>
      <c r="CB325" s="403"/>
      <c r="CC325" s="403"/>
      <c r="CD325" s="403"/>
      <c r="CE325" s="403"/>
      <c r="CF325" s="403"/>
      <c r="CG325" s="403"/>
      <c r="CH325" s="403"/>
      <c r="CI325" s="403"/>
      <c r="CJ325" s="403"/>
      <c r="CK325" s="403"/>
      <c r="CL325" s="403"/>
      <c r="CM325" s="403"/>
      <c r="CN325" s="403" t="s">
        <v>13511</v>
      </c>
      <c r="CO325" s="403"/>
      <c r="CP325" s="403"/>
      <c r="CQ325" s="403"/>
      <c r="CR325" s="403"/>
      <c r="CS325" s="403"/>
      <c r="CT325" s="403" t="s">
        <v>11278</v>
      </c>
      <c r="CU325" s="403"/>
      <c r="CV325" s="403"/>
      <c r="CW325" s="403"/>
      <c r="CX325" s="403"/>
      <c r="CY325" s="403"/>
      <c r="CZ325" s="403"/>
      <c r="DA325" s="403"/>
      <c r="DB325" s="403"/>
      <c r="DC325" s="403"/>
      <c r="DD325" s="403"/>
      <c r="DE325" s="403"/>
      <c r="DF325" s="403"/>
      <c r="DG325" s="403" t="s">
        <v>13512</v>
      </c>
      <c r="DH325" s="403"/>
      <c r="DI325" s="403"/>
      <c r="DJ325" s="403"/>
      <c r="DK325" s="403"/>
      <c r="DL325" s="403"/>
      <c r="DM325" s="403" t="s">
        <v>11273</v>
      </c>
      <c r="DN325" s="403"/>
      <c r="DO325" s="403"/>
      <c r="DP325" s="403"/>
      <c r="DQ325" s="403"/>
      <c r="DR325" s="403"/>
      <c r="DS325" s="403"/>
      <c r="DT325" s="403"/>
      <c r="DU325" s="403"/>
      <c r="DV325" s="403"/>
      <c r="DW325" s="403"/>
      <c r="DX325" s="403"/>
      <c r="DY325" s="403"/>
      <c r="DZ325" s="403" t="s">
        <v>13513</v>
      </c>
      <c r="EA325" s="403"/>
      <c r="EB325" s="403"/>
      <c r="EC325" s="403"/>
      <c r="ED325" s="403"/>
      <c r="EE325" s="403"/>
      <c r="EF325" s="403" t="s">
        <v>11279</v>
      </c>
      <c r="EG325" s="403"/>
      <c r="EH325" s="403"/>
      <c r="EI325" s="403"/>
      <c r="EJ325" s="403"/>
      <c r="EK325" s="403"/>
      <c r="EL325" s="403"/>
      <c r="EM325" s="403"/>
      <c r="EN325" s="403"/>
      <c r="EO325" s="403"/>
      <c r="EP325" s="403"/>
      <c r="EQ325" s="403"/>
      <c r="ER325" s="403"/>
      <c r="ES325" s="403" t="s">
        <v>13514</v>
      </c>
      <c r="ET325" s="403"/>
    </row>
    <row r="326" spans="1:150" s="281" customFormat="1" ht="13.5" thickTop="1" x14ac:dyDescent="0.2">
      <c r="R326" s="403"/>
      <c r="S326" s="403"/>
      <c r="T326" s="403"/>
      <c r="U326" s="403"/>
      <c r="V326" s="403"/>
      <c r="W326" s="403"/>
      <c r="X326" s="403"/>
      <c r="Y326" s="403"/>
      <c r="Z326" s="403"/>
      <c r="AA326" s="403"/>
      <c r="AB326" s="403"/>
      <c r="AC326" s="403"/>
      <c r="AD326" s="403"/>
      <c r="AE326" s="403"/>
      <c r="AF326" s="403"/>
      <c r="AG326" s="403"/>
      <c r="AH326" s="403"/>
      <c r="AI326" s="403"/>
      <c r="AJ326" s="403"/>
      <c r="AK326" s="403"/>
      <c r="AL326" s="403"/>
      <c r="AM326" s="403"/>
      <c r="AN326" s="403"/>
      <c r="AO326" s="403"/>
      <c r="AP326" s="403"/>
      <c r="AQ326" s="403"/>
      <c r="AR326" s="403"/>
      <c r="AS326" s="403"/>
      <c r="AT326" s="403"/>
      <c r="AU326" s="403"/>
      <c r="AV326" s="403"/>
      <c r="AW326" s="403"/>
      <c r="AX326" s="403"/>
      <c r="AY326" s="403"/>
      <c r="AZ326" s="403"/>
      <c r="BA326" s="403"/>
      <c r="BB326" s="403"/>
      <c r="BC326" s="403"/>
      <c r="BD326" s="403"/>
      <c r="BE326" s="403"/>
      <c r="BF326" s="403"/>
      <c r="BG326" s="403"/>
      <c r="BH326" s="403"/>
      <c r="BI326" s="403"/>
      <c r="BJ326" s="403"/>
      <c r="BK326" s="403"/>
      <c r="BL326" s="403"/>
      <c r="BM326" s="403"/>
      <c r="BN326" s="403"/>
      <c r="BO326" s="403"/>
      <c r="BP326" s="403"/>
      <c r="BQ326" s="403"/>
      <c r="BR326" s="403"/>
      <c r="BS326" s="403"/>
      <c r="BT326" s="403"/>
      <c r="BU326" s="403"/>
      <c r="BV326" s="403"/>
      <c r="BW326" s="403"/>
      <c r="BX326" s="403"/>
      <c r="BY326" s="403"/>
      <c r="BZ326" s="403"/>
      <c r="CA326" s="403"/>
      <c r="CB326" s="403"/>
      <c r="CC326" s="403"/>
      <c r="CD326" s="403"/>
      <c r="CE326" s="403"/>
      <c r="CF326" s="403"/>
      <c r="CG326" s="403"/>
      <c r="CH326" s="403"/>
      <c r="CI326" s="403"/>
      <c r="CJ326" s="403"/>
      <c r="CK326" s="403"/>
      <c r="CL326" s="403"/>
      <c r="CM326" s="403"/>
      <c r="CN326" s="403"/>
      <c r="CO326" s="403"/>
      <c r="CP326" s="403"/>
      <c r="CQ326" s="403"/>
      <c r="CR326" s="403"/>
      <c r="CS326" s="403"/>
      <c r="CT326" s="403"/>
      <c r="CU326" s="403"/>
      <c r="CV326" s="403"/>
      <c r="CW326" s="403"/>
      <c r="CX326" s="403"/>
      <c r="CY326" s="403"/>
      <c r="CZ326" s="403"/>
      <c r="DA326" s="403"/>
      <c r="DB326" s="403"/>
      <c r="DC326" s="403"/>
      <c r="DD326" s="403"/>
      <c r="DE326" s="403"/>
      <c r="DF326" s="403"/>
      <c r="DG326" s="403"/>
      <c r="DH326" s="403"/>
      <c r="DI326" s="403"/>
      <c r="DJ326" s="403"/>
      <c r="DK326" s="403"/>
      <c r="DL326" s="403"/>
      <c r="DM326" s="403"/>
      <c r="DN326" s="403"/>
      <c r="DO326" s="403"/>
      <c r="DP326" s="403"/>
      <c r="DQ326" s="403"/>
      <c r="DR326" s="403"/>
      <c r="DS326" s="403"/>
      <c r="DT326" s="403"/>
      <c r="DU326" s="403"/>
      <c r="DV326" s="403"/>
      <c r="DW326" s="403"/>
      <c r="DX326" s="403"/>
      <c r="DY326" s="403"/>
      <c r="DZ326" s="403"/>
      <c r="EA326" s="403"/>
      <c r="EB326" s="403"/>
      <c r="EC326" s="403"/>
      <c r="ED326" s="403"/>
      <c r="EE326" s="403"/>
      <c r="EF326" s="403"/>
      <c r="EG326" s="403"/>
      <c r="EH326" s="403"/>
      <c r="EI326" s="403"/>
      <c r="EJ326" s="403"/>
      <c r="EK326" s="403"/>
      <c r="EL326" s="403"/>
      <c r="EM326" s="403"/>
      <c r="EN326" s="403"/>
      <c r="EO326" s="403"/>
      <c r="EP326" s="403"/>
      <c r="EQ326" s="403"/>
      <c r="ER326" s="403"/>
      <c r="ES326" s="403"/>
      <c r="ET326" s="403"/>
    </row>
    <row r="327" spans="1:150" s="281" customFormat="1" ht="15" x14ac:dyDescent="0.25">
      <c r="B327" s="8" t="str">
        <f ca="1">IF(OFFSET(T327,0,Lang_Order*Lang__B4)="","",OFFSET(T327,0,Lang_Order*Lang__B4))</f>
        <v>B4.1.5 Summary of new CCE required</v>
      </c>
      <c r="C327" s="8"/>
      <c r="D327" s="8"/>
      <c r="E327" s="8"/>
      <c r="F327" s="8"/>
      <c r="G327" s="8"/>
      <c r="H327" s="8"/>
      <c r="I327" s="8"/>
      <c r="J327" s="8"/>
      <c r="K327" s="8"/>
      <c r="L327" s="8"/>
      <c r="M327" s="8"/>
      <c r="N327" s="8"/>
      <c r="O327" s="8"/>
      <c r="P327" s="8"/>
      <c r="Q327" s="8"/>
      <c r="R327" s="403"/>
      <c r="S327" s="403"/>
      <c r="T327" s="403" t="s">
        <v>3642</v>
      </c>
      <c r="U327" s="403"/>
      <c r="V327" s="403"/>
      <c r="W327" s="403"/>
      <c r="X327" s="403"/>
      <c r="Y327" s="403"/>
      <c r="Z327" s="403"/>
      <c r="AA327" s="403"/>
      <c r="AB327" s="403"/>
      <c r="AC327" s="403"/>
      <c r="AD327" s="403"/>
      <c r="AE327" s="403"/>
      <c r="AF327" s="403"/>
      <c r="AG327" s="403"/>
      <c r="AH327" s="403"/>
      <c r="AI327" s="403"/>
      <c r="AJ327" s="403"/>
      <c r="AK327" s="403"/>
      <c r="AL327" s="403"/>
      <c r="AM327" s="403" t="s">
        <v>11280</v>
      </c>
      <c r="AN327" s="403"/>
      <c r="AO327" s="403"/>
      <c r="AP327" s="403"/>
      <c r="AQ327" s="403"/>
      <c r="AR327" s="403"/>
      <c r="AS327" s="403"/>
      <c r="AT327" s="403"/>
      <c r="AU327" s="403"/>
      <c r="AV327" s="403"/>
      <c r="AW327" s="403"/>
      <c r="AX327" s="403"/>
      <c r="AY327" s="403"/>
      <c r="AZ327" s="403"/>
      <c r="BA327" s="403"/>
      <c r="BB327" s="403"/>
      <c r="BC327" s="403"/>
      <c r="BD327" s="403"/>
      <c r="BE327" s="403"/>
      <c r="BF327" s="403" t="s">
        <v>11281</v>
      </c>
      <c r="BG327" s="403"/>
      <c r="BH327" s="403"/>
      <c r="BI327" s="403"/>
      <c r="BJ327" s="403"/>
      <c r="BK327" s="403"/>
      <c r="BL327" s="403"/>
      <c r="BM327" s="403"/>
      <c r="BN327" s="403"/>
      <c r="BO327" s="403"/>
      <c r="BP327" s="403"/>
      <c r="BQ327" s="403"/>
      <c r="BR327" s="403"/>
      <c r="BS327" s="403"/>
      <c r="BT327" s="403"/>
      <c r="BU327" s="403"/>
      <c r="BV327" s="403"/>
      <c r="BW327" s="403"/>
      <c r="BX327" s="403"/>
      <c r="BY327" s="403" t="s">
        <v>11282</v>
      </c>
      <c r="BZ327" s="403"/>
      <c r="CA327" s="403"/>
      <c r="CB327" s="403"/>
      <c r="CC327" s="403"/>
      <c r="CD327" s="403"/>
      <c r="CE327" s="403"/>
      <c r="CF327" s="403"/>
      <c r="CG327" s="403"/>
      <c r="CH327" s="403"/>
      <c r="CI327" s="403"/>
      <c r="CJ327" s="403"/>
      <c r="CK327" s="403"/>
      <c r="CL327" s="403"/>
      <c r="CM327" s="403"/>
      <c r="CN327" s="403"/>
      <c r="CO327" s="403"/>
      <c r="CP327" s="403"/>
      <c r="CQ327" s="403"/>
      <c r="CR327" s="403" t="s">
        <v>11283</v>
      </c>
      <c r="CS327" s="403"/>
      <c r="CT327" s="403"/>
      <c r="CU327" s="403"/>
      <c r="CV327" s="403"/>
      <c r="CW327" s="403"/>
      <c r="CX327" s="403"/>
      <c r="CY327" s="403"/>
      <c r="CZ327" s="403"/>
      <c r="DA327" s="403"/>
      <c r="DB327" s="403"/>
      <c r="DC327" s="403"/>
      <c r="DD327" s="403"/>
      <c r="DE327" s="403"/>
      <c r="DF327" s="403"/>
      <c r="DG327" s="403"/>
      <c r="DH327" s="403"/>
      <c r="DI327" s="403"/>
      <c r="DJ327" s="403"/>
      <c r="DK327" s="403" t="s">
        <v>11284</v>
      </c>
      <c r="DL327" s="403"/>
      <c r="DM327" s="403"/>
      <c r="DN327" s="403"/>
      <c r="DO327" s="403"/>
      <c r="DP327" s="403"/>
      <c r="DQ327" s="403"/>
      <c r="DR327" s="403"/>
      <c r="DS327" s="403"/>
      <c r="DT327" s="403"/>
      <c r="DU327" s="403"/>
      <c r="DV327" s="403"/>
      <c r="DW327" s="403"/>
      <c r="DX327" s="403"/>
      <c r="DY327" s="403"/>
      <c r="DZ327" s="403"/>
      <c r="EA327" s="403"/>
      <c r="EB327" s="403"/>
      <c r="EC327" s="403"/>
      <c r="ED327" s="403" t="s">
        <v>11285</v>
      </c>
      <c r="EE327" s="403"/>
      <c r="EF327" s="403"/>
      <c r="EG327" s="403"/>
      <c r="EH327" s="403"/>
      <c r="EI327" s="403"/>
      <c r="EJ327" s="403"/>
      <c r="EK327" s="403"/>
      <c r="EL327" s="403"/>
      <c r="EM327" s="403"/>
      <c r="EN327" s="403"/>
      <c r="EO327" s="403"/>
      <c r="EP327" s="403"/>
      <c r="EQ327" s="403"/>
      <c r="ER327" s="403"/>
      <c r="ES327" s="403"/>
      <c r="ET327" s="403"/>
    </row>
    <row r="328" spans="1:150" s="281" customFormat="1" ht="15" x14ac:dyDescent="0.25">
      <c r="A328" s="85"/>
      <c r="B328" s="624" t="str">
        <f ca="1">IF(OFFSET(T328,0,Lang_Order*Lang__B4)="","",OFFSET(T328,0,Lang_Order*Lang__B4))</f>
        <v>Central</v>
      </c>
      <c r="J328" s="30" t="str">
        <f ca="1">IF(OFFSET(AB328,0,Lang_Order*Lang__B4)="","",OFFSET(AB328,0,Lang_Order*Lang__B4))</f>
        <v>New Units Required</v>
      </c>
      <c r="N328" s="281" t="str">
        <f ca="1">IF(OFFSET(AF328,0,Lang_Order*Lang__B4)="","",OFFSET(AF328,0,Lang_Order*Lang__B4))</f>
        <v>International shipment per unit</v>
      </c>
      <c r="R328" s="403"/>
      <c r="S328" s="403"/>
      <c r="T328" s="403" t="s">
        <v>3643</v>
      </c>
      <c r="U328" s="403"/>
      <c r="V328" s="403"/>
      <c r="W328" s="403"/>
      <c r="X328" s="403"/>
      <c r="Y328" s="403"/>
      <c r="Z328" s="403"/>
      <c r="AA328" s="403"/>
      <c r="AB328" s="403" t="s">
        <v>3644</v>
      </c>
      <c r="AC328" s="403"/>
      <c r="AD328" s="403"/>
      <c r="AE328" s="403"/>
      <c r="AF328" s="403" t="s">
        <v>3679</v>
      </c>
      <c r="AG328" s="403"/>
      <c r="AH328" s="403"/>
      <c r="AI328" s="403"/>
      <c r="AJ328" s="403"/>
      <c r="AK328" s="403"/>
      <c r="AL328" s="403"/>
      <c r="AM328" s="403" t="s">
        <v>3643</v>
      </c>
      <c r="AN328" s="403"/>
      <c r="AO328" s="403"/>
      <c r="AP328" s="403"/>
      <c r="AQ328" s="403"/>
      <c r="AR328" s="403"/>
      <c r="AS328" s="403"/>
      <c r="AT328" s="403"/>
      <c r="AU328" s="403" t="s">
        <v>11286</v>
      </c>
      <c r="AV328" s="403"/>
      <c r="AW328" s="403"/>
      <c r="AX328" s="403"/>
      <c r="AY328" s="403" t="s">
        <v>13417</v>
      </c>
      <c r="AZ328" s="403"/>
      <c r="BA328" s="403"/>
      <c r="BB328" s="403"/>
      <c r="BC328" s="403"/>
      <c r="BD328" s="403"/>
      <c r="BE328" s="403"/>
      <c r="BF328" s="403" t="s">
        <v>11287</v>
      </c>
      <c r="BG328" s="403"/>
      <c r="BH328" s="403"/>
      <c r="BI328" s="403"/>
      <c r="BJ328" s="403"/>
      <c r="BK328" s="403"/>
      <c r="BL328" s="403"/>
      <c r="BM328" s="403"/>
      <c r="BN328" s="403" t="s">
        <v>11288</v>
      </c>
      <c r="BO328" s="403"/>
      <c r="BP328" s="403"/>
      <c r="BQ328" s="403"/>
      <c r="BR328" s="403" t="s">
        <v>13418</v>
      </c>
      <c r="BS328" s="403"/>
      <c r="BT328" s="403"/>
      <c r="BU328" s="403"/>
      <c r="BV328" s="403"/>
      <c r="BW328" s="403"/>
      <c r="BX328" s="403"/>
      <c r="BY328" s="403" t="s">
        <v>3643</v>
      </c>
      <c r="BZ328" s="403"/>
      <c r="CA328" s="403"/>
      <c r="CB328" s="403"/>
      <c r="CC328" s="403"/>
      <c r="CD328" s="403"/>
      <c r="CE328" s="403"/>
      <c r="CF328" s="403"/>
      <c r="CG328" s="403" t="s">
        <v>11289</v>
      </c>
      <c r="CH328" s="403"/>
      <c r="CI328" s="403"/>
      <c r="CJ328" s="403"/>
      <c r="CK328" s="403" t="s">
        <v>11370</v>
      </c>
      <c r="CL328" s="403"/>
      <c r="CM328" s="403"/>
      <c r="CN328" s="403"/>
      <c r="CO328" s="403"/>
      <c r="CP328" s="403"/>
      <c r="CQ328" s="403"/>
      <c r="CR328" s="403" t="s">
        <v>3643</v>
      </c>
      <c r="CS328" s="403"/>
      <c r="CT328" s="403"/>
      <c r="CU328" s="403"/>
      <c r="CV328" s="403"/>
      <c r="CW328" s="403"/>
      <c r="CX328" s="403"/>
      <c r="CY328" s="403"/>
      <c r="CZ328" s="403" t="s">
        <v>11290</v>
      </c>
      <c r="DA328" s="403"/>
      <c r="DB328" s="403"/>
      <c r="DC328" s="403"/>
      <c r="DD328" s="403" t="s">
        <v>11372</v>
      </c>
      <c r="DE328" s="403"/>
      <c r="DF328" s="403"/>
      <c r="DG328" s="403"/>
      <c r="DH328" s="403"/>
      <c r="DI328" s="403"/>
      <c r="DJ328" s="403"/>
      <c r="DK328" s="403" t="s">
        <v>11291</v>
      </c>
      <c r="DL328" s="403"/>
      <c r="DM328" s="403"/>
      <c r="DN328" s="403"/>
      <c r="DO328" s="403"/>
      <c r="DP328" s="403"/>
      <c r="DQ328" s="403"/>
      <c r="DR328" s="403"/>
      <c r="DS328" s="403" t="s">
        <v>11292</v>
      </c>
      <c r="DT328" s="403"/>
      <c r="DU328" s="403"/>
      <c r="DV328" s="403"/>
      <c r="DW328" s="403" t="s">
        <v>11374</v>
      </c>
      <c r="DX328" s="403"/>
      <c r="DY328" s="403"/>
      <c r="DZ328" s="403"/>
      <c r="EA328" s="403"/>
      <c r="EB328" s="403"/>
      <c r="EC328" s="403"/>
      <c r="ED328" s="403" t="s">
        <v>11293</v>
      </c>
      <c r="EE328" s="403"/>
      <c r="EF328" s="403"/>
      <c r="EG328" s="403"/>
      <c r="EH328" s="403"/>
      <c r="EI328" s="403"/>
      <c r="EJ328" s="403"/>
      <c r="EK328" s="403"/>
      <c r="EL328" s="403" t="s">
        <v>11294</v>
      </c>
      <c r="EM328" s="403"/>
      <c r="EN328" s="403"/>
      <c r="EO328" s="403"/>
      <c r="EP328" s="403" t="s">
        <v>13419</v>
      </c>
      <c r="EQ328" s="403"/>
      <c r="ER328" s="403"/>
      <c r="ES328" s="403"/>
      <c r="ET328" s="403"/>
    </row>
    <row r="329" spans="1:150" s="281" customFormat="1" x14ac:dyDescent="0.2">
      <c r="A329" s="350">
        <v>2</v>
      </c>
      <c r="B329" s="85"/>
      <c r="C329" s="5" t="str">
        <f ca="1">IF(OFFSET(U329,0,Lang_Order*Lang__B4)="","",OFFSET(U329,0,Lang_Order*Lang__B4))</f>
        <v>WICR</v>
      </c>
      <c r="D329" s="159" t="str">
        <f>D114</f>
        <v>40 cbm - Zhendre 40 cbm  (Mono cooling unit)</v>
      </c>
      <c r="J329" s="281" t="e">
        <f>P121</f>
        <v>#N/A</v>
      </c>
      <c r="L329" s="5" t="str">
        <f ca="1">IF(OFFSET(AD329,0,Lang_Order*Lang__B4)="","",OFFSET(AD329,0,Lang_Order*Lang__B4))</f>
        <v>Total WICR/WIFR</v>
      </c>
      <c r="M329" s="3" t="e">
        <f>SUM(J329:J330)</f>
        <v>#N/A</v>
      </c>
      <c r="N329" s="284">
        <v>1000</v>
      </c>
      <c r="Q329" s="12" t="s">
        <v>4527</v>
      </c>
      <c r="R329" s="403"/>
      <c r="S329" s="403"/>
      <c r="T329" s="403"/>
      <c r="U329" s="403" t="s">
        <v>3196</v>
      </c>
      <c r="V329" s="403"/>
      <c r="W329" s="403"/>
      <c r="X329" s="403"/>
      <c r="Y329" s="403"/>
      <c r="Z329" s="403"/>
      <c r="AA329" s="403"/>
      <c r="AB329" s="403"/>
      <c r="AC329" s="403"/>
      <c r="AD329" s="403" t="s">
        <v>4500</v>
      </c>
      <c r="AE329" s="403"/>
      <c r="AF329" s="403"/>
      <c r="AG329" s="403"/>
      <c r="AH329" s="403"/>
      <c r="AI329" s="403"/>
      <c r="AJ329" s="403"/>
      <c r="AK329" s="403"/>
      <c r="AL329" s="403"/>
      <c r="AM329" s="403"/>
      <c r="AN329" s="403" t="s">
        <v>11295</v>
      </c>
      <c r="AO329" s="403"/>
      <c r="AP329" s="403"/>
      <c r="AQ329" s="403"/>
      <c r="AR329" s="403"/>
      <c r="AS329" s="403"/>
      <c r="AT329" s="403"/>
      <c r="AU329" s="403"/>
      <c r="AV329" s="403"/>
      <c r="AW329" s="403" t="s">
        <v>13395</v>
      </c>
      <c r="AX329" s="403"/>
      <c r="AY329" s="403"/>
      <c r="AZ329" s="403"/>
      <c r="BA329" s="403"/>
      <c r="BB329" s="403"/>
      <c r="BC329" s="403"/>
      <c r="BD329" s="403"/>
      <c r="BE329" s="403"/>
      <c r="BF329" s="403"/>
      <c r="BG329" s="403" t="s">
        <v>11296</v>
      </c>
      <c r="BH329" s="403"/>
      <c r="BI329" s="403"/>
      <c r="BJ329" s="403"/>
      <c r="BK329" s="403"/>
      <c r="BL329" s="403"/>
      <c r="BM329" s="403"/>
      <c r="BN329" s="403"/>
      <c r="BO329" s="403"/>
      <c r="BP329" s="403" t="s">
        <v>13396</v>
      </c>
      <c r="BQ329" s="403"/>
      <c r="BR329" s="403"/>
      <c r="BS329" s="403"/>
      <c r="BT329" s="403"/>
      <c r="BU329" s="403"/>
      <c r="BV329" s="403"/>
      <c r="BW329" s="403"/>
      <c r="BX329" s="403"/>
      <c r="BY329" s="403"/>
      <c r="BZ329" s="403" t="s">
        <v>11297</v>
      </c>
      <c r="CA329" s="403"/>
      <c r="CB329" s="403"/>
      <c r="CC329" s="403"/>
      <c r="CD329" s="403"/>
      <c r="CE329" s="403"/>
      <c r="CF329" s="403"/>
      <c r="CG329" s="403"/>
      <c r="CH329" s="403"/>
      <c r="CI329" s="403" t="s">
        <v>13397</v>
      </c>
      <c r="CJ329" s="403"/>
      <c r="CK329" s="403"/>
      <c r="CL329" s="403"/>
      <c r="CM329" s="403"/>
      <c r="CN329" s="403"/>
      <c r="CO329" s="403"/>
      <c r="CP329" s="403"/>
      <c r="CQ329" s="403"/>
      <c r="CR329" s="403"/>
      <c r="CS329" s="403" t="s">
        <v>3196</v>
      </c>
      <c r="CT329" s="403"/>
      <c r="CU329" s="403"/>
      <c r="CV329" s="403"/>
      <c r="CW329" s="403"/>
      <c r="CX329" s="403"/>
      <c r="CY329" s="403"/>
      <c r="CZ329" s="403"/>
      <c r="DA329" s="403"/>
      <c r="DB329" s="403" t="s">
        <v>4500</v>
      </c>
      <c r="DC329" s="403"/>
      <c r="DD329" s="403"/>
      <c r="DE329" s="403"/>
      <c r="DF329" s="403"/>
      <c r="DG329" s="403"/>
      <c r="DH329" s="403"/>
      <c r="DI329" s="403"/>
      <c r="DJ329" s="403"/>
      <c r="DK329" s="403"/>
      <c r="DL329" s="403" t="s">
        <v>3196</v>
      </c>
      <c r="DM329" s="403"/>
      <c r="DN329" s="403"/>
      <c r="DO329" s="403"/>
      <c r="DP329" s="403"/>
      <c r="DQ329" s="403"/>
      <c r="DR329" s="403"/>
      <c r="DS329" s="403"/>
      <c r="DT329" s="403"/>
      <c r="DU329" s="403" t="s">
        <v>13398</v>
      </c>
      <c r="DV329" s="403"/>
      <c r="DW329" s="403"/>
      <c r="DX329" s="403"/>
      <c r="DY329" s="403"/>
      <c r="DZ329" s="403"/>
      <c r="EA329" s="403"/>
      <c r="EB329" s="403"/>
      <c r="EC329" s="403"/>
      <c r="ED329" s="403"/>
      <c r="EE329" s="403" t="s">
        <v>3196</v>
      </c>
      <c r="EF329" s="403"/>
      <c r="EG329" s="403"/>
      <c r="EH329" s="403"/>
      <c r="EI329" s="403"/>
      <c r="EJ329" s="403"/>
      <c r="EK329" s="403"/>
      <c r="EL329" s="403"/>
      <c r="EM329" s="403"/>
      <c r="EN329" s="403" t="s">
        <v>13399</v>
      </c>
      <c r="EO329" s="403"/>
      <c r="EP329" s="403"/>
      <c r="EQ329" s="403"/>
      <c r="ER329" s="403"/>
      <c r="ES329" s="403"/>
      <c r="ET329" s="403"/>
    </row>
    <row r="330" spans="1:150" s="281" customFormat="1" x14ac:dyDescent="0.2">
      <c r="A330" s="350">
        <v>2</v>
      </c>
      <c r="B330" s="85"/>
      <c r="C330" s="5" t="str">
        <f ca="1">IF(OFFSET(U330,0,Lang_Order*Lang__B4)="","",OFFSET(U330,0,Lang_Order*Lang__B4))</f>
        <v>WIFR</v>
      </c>
      <c r="D330" s="159" t="str">
        <f>D115</f>
        <v>40 cbm - Porkka 40cbm (Mono cooling unit)</v>
      </c>
      <c r="J330" s="281" t="e">
        <f>P122</f>
        <v>#N/A</v>
      </c>
      <c r="L330" s="5" t="str">
        <f ca="1">IF(OFFSET(AD330,0,Lang_Order*Lang__B4)="","",OFFSET(AD330,0,Lang_Order*Lang__B4))</f>
        <v>Total ILRs/SDDs/Ice pack freezers</v>
      </c>
      <c r="M330" s="3" t="e">
        <f>SUM(J334:J335,J339:J340,J342:J343,J345:J346,J348:J349,J352)</f>
        <v>#N/A</v>
      </c>
      <c r="N330" s="284">
        <v>150</v>
      </c>
      <c r="R330" s="403"/>
      <c r="S330" s="403"/>
      <c r="T330" s="403"/>
      <c r="U330" s="403" t="s">
        <v>3197</v>
      </c>
      <c r="V330" s="403"/>
      <c r="W330" s="403"/>
      <c r="X330" s="403"/>
      <c r="Y330" s="403"/>
      <c r="Z330" s="403"/>
      <c r="AA330" s="403"/>
      <c r="AB330" s="403"/>
      <c r="AC330" s="403"/>
      <c r="AD330" s="403" t="s">
        <v>4502</v>
      </c>
      <c r="AE330" s="403"/>
      <c r="AF330" s="403"/>
      <c r="AG330" s="403"/>
      <c r="AH330" s="403"/>
      <c r="AI330" s="403"/>
      <c r="AJ330" s="403"/>
      <c r="AK330" s="403"/>
      <c r="AL330" s="403"/>
      <c r="AM330" s="403"/>
      <c r="AN330" s="403" t="s">
        <v>11298</v>
      </c>
      <c r="AO330" s="403"/>
      <c r="AP330" s="403"/>
      <c r="AQ330" s="403"/>
      <c r="AR330" s="403"/>
      <c r="AS330" s="403"/>
      <c r="AT330" s="403"/>
      <c r="AU330" s="403"/>
      <c r="AV330" s="403"/>
      <c r="AW330" s="403" t="s">
        <v>13400</v>
      </c>
      <c r="AX330" s="403"/>
      <c r="AY330" s="403"/>
      <c r="AZ330" s="403"/>
      <c r="BA330" s="403"/>
      <c r="BB330" s="403"/>
      <c r="BC330" s="403"/>
      <c r="BD330" s="403"/>
      <c r="BE330" s="403"/>
      <c r="BF330" s="403"/>
      <c r="BG330" s="403" t="s">
        <v>11299</v>
      </c>
      <c r="BH330" s="403"/>
      <c r="BI330" s="403"/>
      <c r="BJ330" s="403"/>
      <c r="BK330" s="403"/>
      <c r="BL330" s="403"/>
      <c r="BM330" s="403"/>
      <c r="BN330" s="403"/>
      <c r="BO330" s="403"/>
      <c r="BP330" s="403" t="s">
        <v>13401</v>
      </c>
      <c r="BQ330" s="403"/>
      <c r="BR330" s="403"/>
      <c r="BS330" s="403"/>
      <c r="BT330" s="403"/>
      <c r="BU330" s="403"/>
      <c r="BV330" s="403"/>
      <c r="BW330" s="403"/>
      <c r="BX330" s="403"/>
      <c r="BY330" s="403"/>
      <c r="BZ330" s="403" t="s">
        <v>11300</v>
      </c>
      <c r="CA330" s="403"/>
      <c r="CB330" s="403"/>
      <c r="CC330" s="403"/>
      <c r="CD330" s="403"/>
      <c r="CE330" s="403"/>
      <c r="CF330" s="403"/>
      <c r="CG330" s="403"/>
      <c r="CH330" s="403"/>
      <c r="CI330" s="403" t="s">
        <v>13402</v>
      </c>
      <c r="CJ330" s="403"/>
      <c r="CK330" s="403"/>
      <c r="CL330" s="403"/>
      <c r="CM330" s="403"/>
      <c r="CN330" s="403"/>
      <c r="CO330" s="403"/>
      <c r="CP330" s="403"/>
      <c r="CQ330" s="403"/>
      <c r="CR330" s="403"/>
      <c r="CS330" s="403" t="s">
        <v>3197</v>
      </c>
      <c r="CT330" s="403"/>
      <c r="CU330" s="403"/>
      <c r="CV330" s="403"/>
      <c r="CW330" s="403"/>
      <c r="CX330" s="403"/>
      <c r="CY330" s="403"/>
      <c r="CZ330" s="403"/>
      <c r="DA330" s="403"/>
      <c r="DB330" s="403" t="s">
        <v>13403</v>
      </c>
      <c r="DC330" s="403"/>
      <c r="DD330" s="403"/>
      <c r="DE330" s="403"/>
      <c r="DF330" s="403"/>
      <c r="DG330" s="403"/>
      <c r="DH330" s="403"/>
      <c r="DI330" s="403"/>
      <c r="DJ330" s="403"/>
      <c r="DK330" s="403"/>
      <c r="DL330" s="403" t="s">
        <v>11301</v>
      </c>
      <c r="DM330" s="403"/>
      <c r="DN330" s="403"/>
      <c r="DO330" s="403"/>
      <c r="DP330" s="403"/>
      <c r="DQ330" s="403"/>
      <c r="DR330" s="403"/>
      <c r="DS330" s="403"/>
      <c r="DT330" s="403"/>
      <c r="DU330" s="403" t="s">
        <v>13404</v>
      </c>
      <c r="DV330" s="403"/>
      <c r="DW330" s="403"/>
      <c r="DX330" s="403"/>
      <c r="DY330" s="403"/>
      <c r="DZ330" s="403"/>
      <c r="EA330" s="403"/>
      <c r="EB330" s="403"/>
      <c r="EC330" s="403"/>
      <c r="ED330" s="403"/>
      <c r="EE330" s="403" t="s">
        <v>3197</v>
      </c>
      <c r="EF330" s="403"/>
      <c r="EG330" s="403"/>
      <c r="EH330" s="403"/>
      <c r="EI330" s="403"/>
      <c r="EJ330" s="403"/>
      <c r="EK330" s="403"/>
      <c r="EL330" s="403"/>
      <c r="EM330" s="403"/>
      <c r="EN330" s="403" t="s">
        <v>13405</v>
      </c>
      <c r="EO330" s="403"/>
      <c r="EP330" s="403"/>
      <c r="EQ330" s="403"/>
      <c r="ER330" s="403"/>
      <c r="ES330" s="403"/>
      <c r="ET330" s="403"/>
    </row>
    <row r="331" spans="1:150" s="499" customFormat="1" x14ac:dyDescent="0.2">
      <c r="A331" s="350">
        <v>2</v>
      </c>
      <c r="B331" s="85"/>
      <c r="C331" s="5" t="s">
        <v>4507</v>
      </c>
      <c r="D331" s="159" t="str">
        <f>D116</f>
        <v>UCC - Ultra-cold freezer (Extra Large)</v>
      </c>
      <c r="J331" s="499" t="e">
        <f>P123</f>
        <v>#N/A</v>
      </c>
      <c r="L331" s="5" t="str">
        <f ca="1">IF(OFFSET(AD331,0,Lang_Order*Lang__B4)="","",OFFSET(AD331,0,Lang_Order*Lang__B4))</f>
        <v>Total UCC</v>
      </c>
      <c r="M331" s="3" t="e">
        <f>SUM(J331,J336)</f>
        <v>#N/A</v>
      </c>
      <c r="N331" s="284">
        <v>150</v>
      </c>
      <c r="R331" s="498"/>
      <c r="S331" s="498"/>
      <c r="T331" s="498"/>
      <c r="U331" s="498"/>
      <c r="V331" s="498"/>
      <c r="W331" s="498"/>
      <c r="X331" s="498"/>
      <c r="Y331" s="498"/>
      <c r="Z331" s="498"/>
      <c r="AA331" s="498"/>
      <c r="AB331" s="498"/>
      <c r="AC331" s="498"/>
      <c r="AD331" s="498" t="s">
        <v>4512</v>
      </c>
      <c r="AE331" s="498"/>
      <c r="AF331" s="498"/>
      <c r="AG331" s="498"/>
      <c r="AH331" s="498"/>
      <c r="AI331" s="498"/>
      <c r="AJ331" s="498"/>
      <c r="AK331" s="498"/>
      <c r="AL331" s="498"/>
      <c r="AM331" s="498"/>
      <c r="AN331" s="498"/>
      <c r="AO331" s="498"/>
      <c r="AP331" s="498"/>
      <c r="AQ331" s="498"/>
      <c r="AR331" s="498"/>
      <c r="AS331" s="498"/>
      <c r="AT331" s="498"/>
      <c r="AU331" s="498"/>
      <c r="AV331" s="498"/>
      <c r="AW331" s="498" t="s">
        <v>13406</v>
      </c>
      <c r="AX331" s="498"/>
      <c r="AY331" s="498"/>
      <c r="AZ331" s="498"/>
      <c r="BA331" s="498"/>
      <c r="BB331" s="498"/>
      <c r="BC331" s="498"/>
      <c r="BD331" s="498"/>
      <c r="BE331" s="498"/>
      <c r="BF331" s="498"/>
      <c r="BG331" s="498"/>
      <c r="BH331" s="498"/>
      <c r="BI331" s="498"/>
      <c r="BJ331" s="498"/>
      <c r="BK331" s="498"/>
      <c r="BL331" s="498"/>
      <c r="BM331" s="498"/>
      <c r="BN331" s="498"/>
      <c r="BO331" s="498"/>
      <c r="BP331" s="498" t="s">
        <v>13407</v>
      </c>
      <c r="BQ331" s="498"/>
      <c r="BR331" s="498"/>
      <c r="BS331" s="498"/>
      <c r="BT331" s="498"/>
      <c r="BU331" s="498"/>
      <c r="BV331" s="498"/>
      <c r="BW331" s="498"/>
      <c r="BX331" s="498"/>
      <c r="BY331" s="498"/>
      <c r="BZ331" s="498"/>
      <c r="CA331" s="498"/>
      <c r="CB331" s="498"/>
      <c r="CC331" s="498"/>
      <c r="CD331" s="498"/>
      <c r="CE331" s="498"/>
      <c r="CF331" s="498"/>
      <c r="CG331" s="498"/>
      <c r="CH331" s="498"/>
      <c r="CI331" s="498" t="s">
        <v>4512</v>
      </c>
      <c r="CJ331" s="498"/>
      <c r="CK331" s="498"/>
      <c r="CL331" s="498"/>
      <c r="CM331" s="498"/>
      <c r="CN331" s="498"/>
      <c r="CO331" s="498"/>
      <c r="CP331" s="498"/>
      <c r="CQ331" s="498"/>
      <c r="CR331" s="498"/>
      <c r="CS331" s="498"/>
      <c r="CT331" s="498"/>
      <c r="CU331" s="498"/>
      <c r="CV331" s="498"/>
      <c r="CW331" s="498"/>
      <c r="CX331" s="498"/>
      <c r="CY331" s="498"/>
      <c r="CZ331" s="498"/>
      <c r="DA331" s="498"/>
      <c r="DB331" s="498" t="s">
        <v>13408</v>
      </c>
      <c r="DC331" s="498"/>
      <c r="DD331" s="498"/>
      <c r="DE331" s="498"/>
      <c r="DF331" s="498"/>
      <c r="DG331" s="498"/>
      <c r="DH331" s="498"/>
      <c r="DI331" s="498"/>
      <c r="DJ331" s="498"/>
      <c r="DK331" s="498"/>
      <c r="DL331" s="498"/>
      <c r="DM331" s="498"/>
      <c r="DN331" s="498"/>
      <c r="DO331" s="498"/>
      <c r="DP331" s="498"/>
      <c r="DQ331" s="498"/>
      <c r="DR331" s="498"/>
      <c r="DS331" s="498"/>
      <c r="DT331" s="498"/>
      <c r="DU331" s="498" t="s">
        <v>13409</v>
      </c>
      <c r="DV331" s="498"/>
      <c r="DW331" s="498"/>
      <c r="DX331" s="498"/>
      <c r="DY331" s="498"/>
      <c r="DZ331" s="498"/>
      <c r="EA331" s="498"/>
      <c r="EB331" s="498"/>
      <c r="EC331" s="498"/>
      <c r="ED331" s="498"/>
      <c r="EE331" s="498"/>
      <c r="EF331" s="498"/>
      <c r="EG331" s="498"/>
      <c r="EH331" s="498"/>
      <c r="EI331" s="498"/>
      <c r="EJ331" s="498"/>
      <c r="EK331" s="498"/>
      <c r="EL331" s="498"/>
      <c r="EM331" s="498"/>
      <c r="EN331" s="498" t="s">
        <v>13410</v>
      </c>
      <c r="EO331" s="498"/>
      <c r="EP331" s="498"/>
      <c r="EQ331" s="498"/>
      <c r="ER331" s="498"/>
      <c r="ES331" s="498"/>
      <c r="ET331" s="498"/>
    </row>
    <row r="332" spans="1:150" s="281" customFormat="1" x14ac:dyDescent="0.2">
      <c r="A332" s="350">
        <v>2</v>
      </c>
      <c r="B332" s="85"/>
      <c r="C332" s="5" t="str">
        <f ca="1">IF(OFFSET(U332,0,Lang_Order*Lang__B4)="","",OFFSET(U332,0,Lang_Order*Lang__B4))</f>
        <v>Remote Temperature Monitoring Devices</v>
      </c>
      <c r="D332" s="159" t="str">
        <f>D117</f>
        <v>Haier U-Cool (Refrigerator model)+ 3 years data/portal access</v>
      </c>
      <c r="J332" s="281" t="e">
        <f>P124</f>
        <v>#N/A</v>
      </c>
      <c r="L332" s="5" t="str">
        <f ca="1">IF(OFFSET(AD332,0,Lang_Order*Lang__B4)="","",OFFSET(AD332,0,Lang_Order*Lang__B4))</f>
        <v>Total RTMDs</v>
      </c>
      <c r="M332" s="3" t="e">
        <f>SUM(J332,J337,J351)</f>
        <v>#N/A</v>
      </c>
      <c r="N332" s="284">
        <v>150</v>
      </c>
      <c r="R332" s="403"/>
      <c r="S332" s="403"/>
      <c r="T332" s="403"/>
      <c r="U332" s="403" t="s">
        <v>3593</v>
      </c>
      <c r="V332" s="403"/>
      <c r="W332" s="403"/>
      <c r="X332" s="403"/>
      <c r="Y332" s="403"/>
      <c r="Z332" s="403"/>
      <c r="AA332" s="403"/>
      <c r="AB332" s="403"/>
      <c r="AC332" s="403"/>
      <c r="AD332" s="403" t="s">
        <v>4501</v>
      </c>
      <c r="AE332" s="403"/>
      <c r="AF332" s="403"/>
      <c r="AG332" s="403"/>
      <c r="AH332" s="403"/>
      <c r="AI332" s="403"/>
      <c r="AJ332" s="403"/>
      <c r="AK332" s="403"/>
      <c r="AL332" s="403"/>
      <c r="AM332" s="403"/>
      <c r="AN332" s="403" t="s">
        <v>10871</v>
      </c>
      <c r="AO332" s="403"/>
      <c r="AP332" s="403"/>
      <c r="AQ332" s="403"/>
      <c r="AR332" s="403"/>
      <c r="AS332" s="403"/>
      <c r="AT332" s="403"/>
      <c r="AU332" s="403"/>
      <c r="AV332" s="403"/>
      <c r="AW332" s="403" t="s">
        <v>13411</v>
      </c>
      <c r="AX332" s="403"/>
      <c r="AY332" s="403"/>
      <c r="AZ332" s="403"/>
      <c r="BA332" s="403"/>
      <c r="BB332" s="403"/>
      <c r="BC332" s="403"/>
      <c r="BD332" s="403"/>
      <c r="BE332" s="403"/>
      <c r="BF332" s="403"/>
      <c r="BG332" s="403" t="s">
        <v>10872</v>
      </c>
      <c r="BH332" s="403"/>
      <c r="BI332" s="403"/>
      <c r="BJ332" s="403"/>
      <c r="BK332" s="403"/>
      <c r="BL332" s="403"/>
      <c r="BM332" s="403"/>
      <c r="BN332" s="403"/>
      <c r="BO332" s="403"/>
      <c r="BP332" s="403" t="s">
        <v>13412</v>
      </c>
      <c r="BQ332" s="403"/>
      <c r="BR332" s="403"/>
      <c r="BS332" s="403"/>
      <c r="BT332" s="403"/>
      <c r="BU332" s="403"/>
      <c r="BV332" s="403"/>
      <c r="BW332" s="403"/>
      <c r="BX332" s="403"/>
      <c r="BY332" s="403"/>
      <c r="BZ332" s="403" t="s">
        <v>10873</v>
      </c>
      <c r="CA332" s="403"/>
      <c r="CB332" s="403"/>
      <c r="CC332" s="403"/>
      <c r="CD332" s="403"/>
      <c r="CE332" s="403"/>
      <c r="CF332" s="403"/>
      <c r="CG332" s="403"/>
      <c r="CH332" s="403"/>
      <c r="CI332" s="403" t="s">
        <v>13413</v>
      </c>
      <c r="CJ332" s="403"/>
      <c r="CK332" s="403"/>
      <c r="CL332" s="403"/>
      <c r="CM332" s="403"/>
      <c r="CN332" s="403"/>
      <c r="CO332" s="403"/>
      <c r="CP332" s="403"/>
      <c r="CQ332" s="403"/>
      <c r="CR332" s="403"/>
      <c r="CS332" s="403" t="s">
        <v>10874</v>
      </c>
      <c r="CT332" s="403"/>
      <c r="CU332" s="403"/>
      <c r="CV332" s="403"/>
      <c r="CW332" s="403"/>
      <c r="CX332" s="403"/>
      <c r="CY332" s="403"/>
      <c r="CZ332" s="403"/>
      <c r="DA332" s="403"/>
      <c r="DB332" s="403" t="s">
        <v>13414</v>
      </c>
      <c r="DC332" s="403"/>
      <c r="DD332" s="403"/>
      <c r="DE332" s="403"/>
      <c r="DF332" s="403"/>
      <c r="DG332" s="403"/>
      <c r="DH332" s="403"/>
      <c r="DI332" s="403"/>
      <c r="DJ332" s="403"/>
      <c r="DK332" s="403"/>
      <c r="DL332" s="403" t="s">
        <v>10901</v>
      </c>
      <c r="DM332" s="403"/>
      <c r="DN332" s="403"/>
      <c r="DO332" s="403"/>
      <c r="DP332" s="403"/>
      <c r="DQ332" s="403"/>
      <c r="DR332" s="403"/>
      <c r="DS332" s="403"/>
      <c r="DT332" s="403"/>
      <c r="DU332" s="403" t="s">
        <v>13415</v>
      </c>
      <c r="DV332" s="403"/>
      <c r="DW332" s="403"/>
      <c r="DX332" s="403"/>
      <c r="DY332" s="403"/>
      <c r="DZ332" s="403"/>
      <c r="EA332" s="403"/>
      <c r="EB332" s="403"/>
      <c r="EC332" s="403"/>
      <c r="ED332" s="403"/>
      <c r="EE332" s="403" t="s">
        <v>10876</v>
      </c>
      <c r="EF332" s="403"/>
      <c r="EG332" s="403"/>
      <c r="EH332" s="403"/>
      <c r="EI332" s="403"/>
      <c r="EJ332" s="403"/>
      <c r="EK332" s="403"/>
      <c r="EL332" s="403"/>
      <c r="EM332" s="403"/>
      <c r="EN332" s="403" t="s">
        <v>13416</v>
      </c>
      <c r="EO332" s="403"/>
      <c r="EP332" s="403"/>
      <c r="EQ332" s="403"/>
      <c r="ER332" s="403"/>
      <c r="ES332" s="403"/>
      <c r="ET332" s="403"/>
    </row>
    <row r="333" spans="1:150" s="281" customFormat="1" x14ac:dyDescent="0.2">
      <c r="B333" s="604" t="str">
        <f ca="1">IF(OFFSET(T333,0,Lang_Order*Lang__B4)="","",OFFSET(T333,0,Lang_Order*Lang__B4))</f>
        <v>Regions</v>
      </c>
      <c r="D333" s="159"/>
      <c r="R333" s="403"/>
      <c r="S333" s="403"/>
      <c r="T333" s="403" t="s">
        <v>3647</v>
      </c>
      <c r="U333" s="403"/>
      <c r="V333" s="403"/>
      <c r="W333" s="403"/>
      <c r="X333" s="403"/>
      <c r="Y333" s="403"/>
      <c r="Z333" s="403"/>
      <c r="AA333" s="403"/>
      <c r="AB333" s="403"/>
      <c r="AC333" s="403"/>
      <c r="AD333" s="403"/>
      <c r="AE333" s="403"/>
      <c r="AF333" s="403"/>
      <c r="AG333" s="403"/>
      <c r="AH333" s="403"/>
      <c r="AI333" s="403"/>
      <c r="AJ333" s="403"/>
      <c r="AK333" s="403"/>
      <c r="AL333" s="403"/>
      <c r="AM333" s="403" t="s">
        <v>10616</v>
      </c>
      <c r="AN333" s="403"/>
      <c r="AO333" s="403"/>
      <c r="AP333" s="403"/>
      <c r="AQ333" s="403"/>
      <c r="AR333" s="403"/>
      <c r="AS333" s="403"/>
      <c r="AT333" s="403"/>
      <c r="AU333" s="403"/>
      <c r="AV333" s="403"/>
      <c r="AW333" s="403"/>
      <c r="AX333" s="403"/>
      <c r="AY333" s="403"/>
      <c r="AZ333" s="403"/>
      <c r="BA333" s="403"/>
      <c r="BB333" s="403"/>
      <c r="BC333" s="403"/>
      <c r="BD333" s="403"/>
      <c r="BE333" s="403"/>
      <c r="BF333" s="403" t="s">
        <v>10619</v>
      </c>
      <c r="BG333" s="403"/>
      <c r="BH333" s="403"/>
      <c r="BI333" s="403"/>
      <c r="BJ333" s="403"/>
      <c r="BK333" s="403"/>
      <c r="BL333" s="403"/>
      <c r="BM333" s="403"/>
      <c r="BN333" s="403"/>
      <c r="BO333" s="403"/>
      <c r="BP333" s="403"/>
      <c r="BQ333" s="403"/>
      <c r="BR333" s="403"/>
      <c r="BS333" s="403"/>
      <c r="BT333" s="403"/>
      <c r="BU333" s="403"/>
      <c r="BV333" s="403"/>
      <c r="BW333" s="403"/>
      <c r="BX333" s="403"/>
      <c r="BY333" s="403" t="s">
        <v>10623</v>
      </c>
      <c r="BZ333" s="403"/>
      <c r="CA333" s="403"/>
      <c r="CB333" s="403"/>
      <c r="CC333" s="403"/>
      <c r="CD333" s="403"/>
      <c r="CE333" s="403"/>
      <c r="CF333" s="403"/>
      <c r="CG333" s="403"/>
      <c r="CH333" s="403"/>
      <c r="CI333" s="403"/>
      <c r="CJ333" s="403"/>
      <c r="CK333" s="403"/>
      <c r="CL333" s="403"/>
      <c r="CM333" s="403"/>
      <c r="CN333" s="403"/>
      <c r="CO333" s="403"/>
      <c r="CP333" s="403"/>
      <c r="CQ333" s="403"/>
      <c r="CR333" s="403" t="s">
        <v>10627</v>
      </c>
      <c r="CS333" s="403"/>
      <c r="CT333" s="403"/>
      <c r="CU333" s="403"/>
      <c r="CV333" s="403"/>
      <c r="CW333" s="403"/>
      <c r="CX333" s="403"/>
      <c r="CY333" s="403"/>
      <c r="CZ333" s="403"/>
      <c r="DA333" s="403"/>
      <c r="DB333" s="403"/>
      <c r="DC333" s="403"/>
      <c r="DD333" s="403"/>
      <c r="DE333" s="403"/>
      <c r="DF333" s="403"/>
      <c r="DG333" s="403"/>
      <c r="DH333" s="403"/>
      <c r="DI333" s="403"/>
      <c r="DJ333" s="403"/>
      <c r="DK333" s="403" t="s">
        <v>10631</v>
      </c>
      <c r="DL333" s="403"/>
      <c r="DM333" s="403"/>
      <c r="DN333" s="403"/>
      <c r="DO333" s="403"/>
      <c r="DP333" s="403"/>
      <c r="DQ333" s="403"/>
      <c r="DR333" s="403"/>
      <c r="DS333" s="403"/>
      <c r="DT333" s="403"/>
      <c r="DU333" s="403"/>
      <c r="DV333" s="403"/>
      <c r="DW333" s="403"/>
      <c r="DX333" s="403"/>
      <c r="DY333" s="403"/>
      <c r="DZ333" s="403"/>
      <c r="EA333" s="403"/>
      <c r="EB333" s="403"/>
      <c r="EC333" s="403"/>
      <c r="ED333" s="403" t="s">
        <v>10635</v>
      </c>
      <c r="EE333" s="403"/>
      <c r="EF333" s="403"/>
      <c r="EG333" s="403"/>
      <c r="EH333" s="403"/>
      <c r="EI333" s="403"/>
      <c r="EJ333" s="403"/>
      <c r="EK333" s="403"/>
      <c r="EL333" s="403"/>
      <c r="EM333" s="403"/>
      <c r="EN333" s="403"/>
      <c r="EO333" s="403"/>
      <c r="EP333" s="403"/>
      <c r="EQ333" s="403"/>
      <c r="ER333" s="403"/>
      <c r="ES333" s="403"/>
      <c r="ET333" s="403"/>
    </row>
    <row r="334" spans="1:150" s="281" customFormat="1" x14ac:dyDescent="0.2">
      <c r="C334" s="5" t="str">
        <f ca="1">IF(OFFSET(U334,0,Lang_Order*Lang__B4)="","",OFFSET(U334,0,Lang_Order*Lang__B4))</f>
        <v>ILR</v>
      </c>
      <c r="D334" s="159" t="str">
        <f>D159</f>
        <v>120L+ - HBC 260</v>
      </c>
      <c r="J334" s="281" t="e">
        <f>P167</f>
        <v>#N/A</v>
      </c>
      <c r="R334" s="403"/>
      <c r="S334" s="403"/>
      <c r="T334" s="403"/>
      <c r="U334" s="403" t="s">
        <v>3220</v>
      </c>
      <c r="V334" s="403"/>
      <c r="W334" s="403"/>
      <c r="X334" s="403"/>
      <c r="Y334" s="403"/>
      <c r="Z334" s="403"/>
      <c r="AA334" s="403"/>
      <c r="AB334" s="403"/>
      <c r="AC334" s="403"/>
      <c r="AD334" s="403"/>
      <c r="AE334" s="403"/>
      <c r="AF334" s="403"/>
      <c r="AG334" s="403"/>
      <c r="AH334" s="403"/>
      <c r="AI334" s="403"/>
      <c r="AJ334" s="403"/>
      <c r="AK334" s="403"/>
      <c r="AL334" s="403"/>
      <c r="AM334" s="403"/>
      <c r="AN334" s="403" t="s">
        <v>10749</v>
      </c>
      <c r="AO334" s="403"/>
      <c r="AP334" s="403"/>
      <c r="AQ334" s="403"/>
      <c r="AR334" s="403"/>
      <c r="AS334" s="403"/>
      <c r="AT334" s="403"/>
      <c r="AU334" s="403"/>
      <c r="AV334" s="403"/>
      <c r="AW334" s="403"/>
      <c r="AX334" s="403"/>
      <c r="AY334" s="403"/>
      <c r="AZ334" s="403"/>
      <c r="BA334" s="403"/>
      <c r="BB334" s="403"/>
      <c r="BC334" s="403"/>
      <c r="BD334" s="403"/>
      <c r="BE334" s="403"/>
      <c r="BF334" s="403"/>
      <c r="BG334" s="403" t="s">
        <v>11302</v>
      </c>
      <c r="BH334" s="403"/>
      <c r="BI334" s="403"/>
      <c r="BJ334" s="403"/>
      <c r="BK334" s="403"/>
      <c r="BL334" s="403"/>
      <c r="BM334" s="403"/>
      <c r="BN334" s="403"/>
      <c r="BO334" s="403"/>
      <c r="BP334" s="403"/>
      <c r="BQ334" s="403"/>
      <c r="BR334" s="403"/>
      <c r="BS334" s="403"/>
      <c r="BT334" s="403"/>
      <c r="BU334" s="403"/>
      <c r="BV334" s="403"/>
      <c r="BW334" s="403"/>
      <c r="BX334" s="403"/>
      <c r="BY334" s="403"/>
      <c r="BZ334" s="403" t="s">
        <v>11303</v>
      </c>
      <c r="CA334" s="403"/>
      <c r="CB334" s="403"/>
      <c r="CC334" s="403"/>
      <c r="CD334" s="403"/>
      <c r="CE334" s="403"/>
      <c r="CF334" s="403"/>
      <c r="CG334" s="403"/>
      <c r="CH334" s="403"/>
      <c r="CI334" s="403"/>
      <c r="CJ334" s="403"/>
      <c r="CK334" s="403"/>
      <c r="CL334" s="403"/>
      <c r="CM334" s="403"/>
      <c r="CN334" s="403"/>
      <c r="CO334" s="403"/>
      <c r="CP334" s="403"/>
      <c r="CQ334" s="403"/>
      <c r="CR334" s="403"/>
      <c r="CS334" s="403" t="s">
        <v>3220</v>
      </c>
      <c r="CT334" s="403"/>
      <c r="CU334" s="403"/>
      <c r="CV334" s="403"/>
      <c r="CW334" s="403"/>
      <c r="CX334" s="403"/>
      <c r="CY334" s="403"/>
      <c r="CZ334" s="403"/>
      <c r="DA334" s="403"/>
      <c r="DB334" s="403"/>
      <c r="DC334" s="403"/>
      <c r="DD334" s="403"/>
      <c r="DE334" s="403"/>
      <c r="DF334" s="403"/>
      <c r="DG334" s="403"/>
      <c r="DH334" s="403"/>
      <c r="DI334" s="403"/>
      <c r="DJ334" s="403"/>
      <c r="DK334" s="403"/>
      <c r="DL334" s="403" t="s">
        <v>10753</v>
      </c>
      <c r="DM334" s="403"/>
      <c r="DN334" s="403"/>
      <c r="DO334" s="403"/>
      <c r="DP334" s="403"/>
      <c r="DQ334" s="403"/>
      <c r="DR334" s="403"/>
      <c r="DS334" s="403"/>
      <c r="DT334" s="403"/>
      <c r="DU334" s="403"/>
      <c r="DV334" s="403"/>
      <c r="DW334" s="403"/>
      <c r="DX334" s="403"/>
      <c r="DY334" s="403"/>
      <c r="DZ334" s="403"/>
      <c r="EA334" s="403"/>
      <c r="EB334" s="403"/>
      <c r="EC334" s="403"/>
      <c r="ED334" s="403"/>
      <c r="EE334" s="403" t="s">
        <v>3220</v>
      </c>
      <c r="EF334" s="403"/>
      <c r="EG334" s="403"/>
      <c r="EH334" s="403"/>
      <c r="EI334" s="403"/>
      <c r="EJ334" s="403"/>
      <c r="EK334" s="403"/>
      <c r="EL334" s="403"/>
      <c r="EM334" s="403"/>
      <c r="EN334" s="403"/>
      <c r="EO334" s="403"/>
      <c r="EP334" s="403"/>
      <c r="EQ334" s="403"/>
      <c r="ER334" s="403"/>
      <c r="ES334" s="403"/>
      <c r="ET334" s="403"/>
    </row>
    <row r="335" spans="1:150" s="281" customFormat="1" x14ac:dyDescent="0.2">
      <c r="C335" s="5" t="str">
        <f ca="1">IF(OFFSET(U335,0,Lang_Order*Lang__B4)="","",OFFSET(U335,0,Lang_Order*Lang__B4))</f>
        <v>ILFR or Freezer</v>
      </c>
      <c r="D335" s="159" t="str">
        <f>D160</f>
        <v>120L+ - HBD 286</v>
      </c>
      <c r="J335" s="281" t="e">
        <f>P168</f>
        <v>#N/A</v>
      </c>
      <c r="R335" s="403"/>
      <c r="S335" s="403"/>
      <c r="T335" s="403"/>
      <c r="U335" s="403" t="s">
        <v>3645</v>
      </c>
      <c r="V335" s="403"/>
      <c r="W335" s="403"/>
      <c r="X335" s="403"/>
      <c r="Y335" s="403"/>
      <c r="Z335" s="403"/>
      <c r="AA335" s="403"/>
      <c r="AB335" s="403"/>
      <c r="AC335" s="403"/>
      <c r="AD335" s="403"/>
      <c r="AE335" s="403"/>
      <c r="AF335" s="403"/>
      <c r="AG335" s="403"/>
      <c r="AH335" s="403"/>
      <c r="AI335" s="403"/>
      <c r="AJ335" s="403"/>
      <c r="AK335" s="403"/>
      <c r="AL335" s="403"/>
      <c r="AM335" s="403"/>
      <c r="AN335" s="403" t="s">
        <v>11304</v>
      </c>
      <c r="AO335" s="403"/>
      <c r="AP335" s="403"/>
      <c r="AQ335" s="403"/>
      <c r="AR335" s="403"/>
      <c r="AS335" s="403"/>
      <c r="AT335" s="403"/>
      <c r="AU335" s="403"/>
      <c r="AV335" s="403"/>
      <c r="AW335" s="403"/>
      <c r="AX335" s="403"/>
      <c r="AY335" s="403"/>
      <c r="AZ335" s="403"/>
      <c r="BA335" s="403"/>
      <c r="BB335" s="403"/>
      <c r="BC335" s="403"/>
      <c r="BD335" s="403"/>
      <c r="BE335" s="403"/>
      <c r="BF335" s="403"/>
      <c r="BG335" s="403" t="s">
        <v>11305</v>
      </c>
      <c r="BH335" s="403"/>
      <c r="BI335" s="403"/>
      <c r="BJ335" s="403"/>
      <c r="BK335" s="403"/>
      <c r="BL335" s="403"/>
      <c r="BM335" s="403"/>
      <c r="BN335" s="403"/>
      <c r="BO335" s="403"/>
      <c r="BP335" s="403"/>
      <c r="BQ335" s="403"/>
      <c r="BR335" s="403"/>
      <c r="BS335" s="403"/>
      <c r="BT335" s="403"/>
      <c r="BU335" s="403"/>
      <c r="BV335" s="403"/>
      <c r="BW335" s="403"/>
      <c r="BX335" s="403"/>
      <c r="BY335" s="403"/>
      <c r="BZ335" s="403" t="s">
        <v>11306</v>
      </c>
      <c r="CA335" s="403"/>
      <c r="CB335" s="403"/>
      <c r="CC335" s="403"/>
      <c r="CD335" s="403"/>
      <c r="CE335" s="403"/>
      <c r="CF335" s="403"/>
      <c r="CG335" s="403"/>
      <c r="CH335" s="403"/>
      <c r="CI335" s="403"/>
      <c r="CJ335" s="403"/>
      <c r="CK335" s="403"/>
      <c r="CL335" s="403"/>
      <c r="CM335" s="403"/>
      <c r="CN335" s="403"/>
      <c r="CO335" s="403"/>
      <c r="CP335" s="403"/>
      <c r="CQ335" s="403"/>
      <c r="CR335" s="403"/>
      <c r="CS335" s="403" t="s">
        <v>11307</v>
      </c>
      <c r="CT335" s="403"/>
      <c r="CU335" s="403"/>
      <c r="CV335" s="403"/>
      <c r="CW335" s="403"/>
      <c r="CX335" s="403"/>
      <c r="CY335" s="403"/>
      <c r="CZ335" s="403"/>
      <c r="DA335" s="403"/>
      <c r="DB335" s="403"/>
      <c r="DC335" s="403"/>
      <c r="DD335" s="403"/>
      <c r="DE335" s="403"/>
      <c r="DF335" s="403"/>
      <c r="DG335" s="403"/>
      <c r="DH335" s="403"/>
      <c r="DI335" s="403"/>
      <c r="DJ335" s="403"/>
      <c r="DK335" s="403"/>
      <c r="DL335" s="403" t="s">
        <v>11308</v>
      </c>
      <c r="DM335" s="403"/>
      <c r="DN335" s="403"/>
      <c r="DO335" s="403"/>
      <c r="DP335" s="403"/>
      <c r="DQ335" s="403"/>
      <c r="DR335" s="403"/>
      <c r="DS335" s="403"/>
      <c r="DT335" s="403"/>
      <c r="DU335" s="403"/>
      <c r="DV335" s="403"/>
      <c r="DW335" s="403"/>
      <c r="DX335" s="403"/>
      <c r="DY335" s="403"/>
      <c r="DZ335" s="403"/>
      <c r="EA335" s="403"/>
      <c r="EB335" s="403"/>
      <c r="EC335" s="403"/>
      <c r="ED335" s="403"/>
      <c r="EE335" s="403" t="s">
        <v>11309</v>
      </c>
      <c r="EF335" s="403"/>
      <c r="EG335" s="403"/>
      <c r="EH335" s="403"/>
      <c r="EI335" s="403"/>
      <c r="EJ335" s="403"/>
      <c r="EK335" s="403"/>
      <c r="EL335" s="403"/>
      <c r="EM335" s="403"/>
      <c r="EN335" s="403"/>
      <c r="EO335" s="403"/>
      <c r="EP335" s="403"/>
      <c r="EQ335" s="403"/>
      <c r="ER335" s="403"/>
      <c r="ES335" s="403"/>
      <c r="ET335" s="403"/>
    </row>
    <row r="336" spans="1:150" s="499" customFormat="1" x14ac:dyDescent="0.2">
      <c r="C336" s="5" t="s">
        <v>4507</v>
      </c>
      <c r="D336" s="159" t="str">
        <f>D161</f>
        <v>UCC - Ultra-cold freezer (Extra Large)</v>
      </c>
      <c r="J336" s="499" t="e">
        <f>P169</f>
        <v>#N/A</v>
      </c>
      <c r="R336" s="498"/>
      <c r="S336" s="498"/>
      <c r="T336" s="498"/>
      <c r="U336" s="498"/>
      <c r="V336" s="498"/>
      <c r="W336" s="498"/>
      <c r="X336" s="498"/>
      <c r="Y336" s="498"/>
      <c r="Z336" s="498"/>
      <c r="AA336" s="498"/>
      <c r="AB336" s="498"/>
      <c r="AC336" s="498"/>
      <c r="AD336" s="498"/>
      <c r="AE336" s="498"/>
      <c r="AF336" s="498"/>
      <c r="AG336" s="498"/>
      <c r="AH336" s="498"/>
      <c r="AI336" s="498"/>
      <c r="AJ336" s="498"/>
      <c r="AK336" s="498"/>
      <c r="AL336" s="498"/>
      <c r="AM336" s="498"/>
      <c r="AN336" s="498"/>
      <c r="AO336" s="498"/>
      <c r="AP336" s="498"/>
      <c r="AQ336" s="498"/>
      <c r="AR336" s="498"/>
      <c r="AS336" s="498"/>
      <c r="AT336" s="498"/>
      <c r="AU336" s="498"/>
      <c r="AV336" s="498"/>
      <c r="AW336" s="498"/>
      <c r="AX336" s="498"/>
      <c r="AY336" s="498"/>
      <c r="AZ336" s="498"/>
      <c r="BA336" s="498"/>
      <c r="BB336" s="498"/>
      <c r="BC336" s="498"/>
      <c r="BD336" s="498"/>
      <c r="BE336" s="498"/>
      <c r="BF336" s="498"/>
      <c r="BG336" s="498"/>
      <c r="BH336" s="498"/>
      <c r="BI336" s="498"/>
      <c r="BJ336" s="498"/>
      <c r="BK336" s="498"/>
      <c r="BL336" s="498"/>
      <c r="BM336" s="498"/>
      <c r="BN336" s="498"/>
      <c r="BO336" s="498"/>
      <c r="BP336" s="498"/>
      <c r="BQ336" s="498"/>
      <c r="BR336" s="498"/>
      <c r="BS336" s="498"/>
      <c r="BT336" s="498"/>
      <c r="BU336" s="498"/>
      <c r="BV336" s="498"/>
      <c r="BW336" s="498"/>
      <c r="BX336" s="498"/>
      <c r="BY336" s="498"/>
      <c r="BZ336" s="498"/>
      <c r="CA336" s="498"/>
      <c r="CB336" s="498"/>
      <c r="CC336" s="498"/>
      <c r="CD336" s="498"/>
      <c r="CE336" s="498"/>
      <c r="CF336" s="498"/>
      <c r="CG336" s="498"/>
      <c r="CH336" s="498"/>
      <c r="CI336" s="498"/>
      <c r="CJ336" s="498"/>
      <c r="CK336" s="498"/>
      <c r="CL336" s="498"/>
      <c r="CM336" s="498"/>
      <c r="CN336" s="498"/>
      <c r="CO336" s="498"/>
      <c r="CP336" s="498"/>
      <c r="CQ336" s="498"/>
      <c r="CR336" s="498"/>
      <c r="CS336" s="498"/>
      <c r="CT336" s="498"/>
      <c r="CU336" s="498"/>
      <c r="CV336" s="498"/>
      <c r="CW336" s="498"/>
      <c r="CX336" s="498"/>
      <c r="CY336" s="498"/>
      <c r="CZ336" s="498"/>
      <c r="DA336" s="498"/>
      <c r="DB336" s="498"/>
      <c r="DC336" s="498"/>
      <c r="DD336" s="498"/>
      <c r="DE336" s="498"/>
      <c r="DF336" s="498"/>
      <c r="DG336" s="498"/>
      <c r="DH336" s="498"/>
      <c r="DI336" s="498"/>
      <c r="DJ336" s="498"/>
      <c r="DK336" s="498"/>
      <c r="DL336" s="498"/>
      <c r="DM336" s="498"/>
      <c r="DN336" s="498"/>
      <c r="DO336" s="498"/>
      <c r="DP336" s="498"/>
      <c r="DQ336" s="498"/>
      <c r="DR336" s="498"/>
      <c r="DS336" s="498"/>
      <c r="DT336" s="498"/>
      <c r="DU336" s="498"/>
      <c r="DV336" s="498"/>
      <c r="DW336" s="498"/>
      <c r="DX336" s="498"/>
      <c r="DY336" s="498"/>
      <c r="DZ336" s="498"/>
      <c r="EA336" s="498"/>
      <c r="EB336" s="498"/>
      <c r="EC336" s="498"/>
      <c r="ED336" s="498"/>
      <c r="EE336" s="498"/>
      <c r="EF336" s="498"/>
      <c r="EG336" s="498"/>
      <c r="EH336" s="498"/>
      <c r="EI336" s="498"/>
      <c r="EJ336" s="498"/>
      <c r="EK336" s="498"/>
      <c r="EL336" s="498"/>
      <c r="EM336" s="498"/>
      <c r="EN336" s="498"/>
      <c r="EO336" s="498"/>
      <c r="EP336" s="498"/>
      <c r="EQ336" s="498"/>
      <c r="ER336" s="498"/>
      <c r="ES336" s="498"/>
      <c r="ET336" s="498"/>
    </row>
    <row r="337" spans="1:150" s="281" customFormat="1" x14ac:dyDescent="0.2">
      <c r="C337" s="5" t="str">
        <f ca="1">IF(OFFSET(U337,0,Lang_Order*Lang__B4)="","",OFFSET(U337,0,Lang_Order*Lang__B4))</f>
        <v>Remote Temperature Monitoring Devices</v>
      </c>
      <c r="D337" s="159" t="str">
        <f>D163</f>
        <v>Haier U-Cool (Refrigerator model)+ 3 years data/portal access</v>
      </c>
      <c r="J337" s="281" t="e">
        <f>P171</f>
        <v>#N/A</v>
      </c>
      <c r="R337" s="403"/>
      <c r="S337" s="403"/>
      <c r="T337" s="403"/>
      <c r="U337" s="403" t="s">
        <v>3593</v>
      </c>
      <c r="V337" s="403"/>
      <c r="W337" s="403"/>
      <c r="X337" s="403"/>
      <c r="Y337" s="403"/>
      <c r="Z337" s="403"/>
      <c r="AA337" s="403"/>
      <c r="AB337" s="403"/>
      <c r="AC337" s="403"/>
      <c r="AD337" s="403"/>
      <c r="AE337" s="403"/>
      <c r="AF337" s="403"/>
      <c r="AG337" s="403"/>
      <c r="AH337" s="403"/>
      <c r="AI337" s="403"/>
      <c r="AJ337" s="403"/>
      <c r="AK337" s="403"/>
      <c r="AL337" s="403"/>
      <c r="AM337" s="403"/>
      <c r="AN337" s="403" t="s">
        <v>10871</v>
      </c>
      <c r="AO337" s="403"/>
      <c r="AP337" s="403"/>
      <c r="AQ337" s="403"/>
      <c r="AR337" s="403"/>
      <c r="AS337" s="403"/>
      <c r="AT337" s="403"/>
      <c r="AU337" s="403"/>
      <c r="AV337" s="403"/>
      <c r="AW337" s="403"/>
      <c r="AX337" s="403"/>
      <c r="AY337" s="403"/>
      <c r="AZ337" s="403"/>
      <c r="BA337" s="403"/>
      <c r="BB337" s="403"/>
      <c r="BC337" s="403"/>
      <c r="BD337" s="403"/>
      <c r="BE337" s="403"/>
      <c r="BF337" s="403"/>
      <c r="BG337" s="403" t="s">
        <v>10872</v>
      </c>
      <c r="BH337" s="403"/>
      <c r="BI337" s="403"/>
      <c r="BJ337" s="403"/>
      <c r="BK337" s="403"/>
      <c r="BL337" s="403"/>
      <c r="BM337" s="403"/>
      <c r="BN337" s="403"/>
      <c r="BO337" s="403"/>
      <c r="BP337" s="403"/>
      <c r="BQ337" s="403"/>
      <c r="BR337" s="403"/>
      <c r="BS337" s="403"/>
      <c r="BT337" s="403"/>
      <c r="BU337" s="403"/>
      <c r="BV337" s="403"/>
      <c r="BW337" s="403"/>
      <c r="BX337" s="403"/>
      <c r="BY337" s="403"/>
      <c r="BZ337" s="403" t="s">
        <v>10873</v>
      </c>
      <c r="CA337" s="403"/>
      <c r="CB337" s="403"/>
      <c r="CC337" s="403"/>
      <c r="CD337" s="403"/>
      <c r="CE337" s="403"/>
      <c r="CF337" s="403"/>
      <c r="CG337" s="403"/>
      <c r="CH337" s="403"/>
      <c r="CI337" s="403"/>
      <c r="CJ337" s="403"/>
      <c r="CK337" s="403"/>
      <c r="CL337" s="403"/>
      <c r="CM337" s="403"/>
      <c r="CN337" s="403"/>
      <c r="CO337" s="403"/>
      <c r="CP337" s="403"/>
      <c r="CQ337" s="403"/>
      <c r="CR337" s="403"/>
      <c r="CS337" s="403" t="s">
        <v>10874</v>
      </c>
      <c r="CT337" s="403"/>
      <c r="CU337" s="403"/>
      <c r="CV337" s="403"/>
      <c r="CW337" s="403"/>
      <c r="CX337" s="403"/>
      <c r="CY337" s="403"/>
      <c r="CZ337" s="403"/>
      <c r="DA337" s="403"/>
      <c r="DB337" s="403"/>
      <c r="DC337" s="403"/>
      <c r="DD337" s="403"/>
      <c r="DE337" s="403"/>
      <c r="DF337" s="403"/>
      <c r="DG337" s="403"/>
      <c r="DH337" s="403"/>
      <c r="DI337" s="403"/>
      <c r="DJ337" s="403"/>
      <c r="DK337" s="403"/>
      <c r="DL337" s="403" t="s">
        <v>10901</v>
      </c>
      <c r="DM337" s="403"/>
      <c r="DN337" s="403"/>
      <c r="DO337" s="403"/>
      <c r="DP337" s="403"/>
      <c r="DQ337" s="403"/>
      <c r="DR337" s="403"/>
      <c r="DS337" s="403"/>
      <c r="DT337" s="403"/>
      <c r="DU337" s="403"/>
      <c r="DV337" s="403"/>
      <c r="DW337" s="403"/>
      <c r="DX337" s="403"/>
      <c r="DY337" s="403"/>
      <c r="DZ337" s="403"/>
      <c r="EA337" s="403"/>
      <c r="EB337" s="403"/>
      <c r="EC337" s="403"/>
      <c r="ED337" s="403"/>
      <c r="EE337" s="403" t="s">
        <v>10876</v>
      </c>
      <c r="EF337" s="403"/>
      <c r="EG337" s="403"/>
      <c r="EH337" s="403"/>
      <c r="EI337" s="403"/>
      <c r="EJ337" s="403"/>
      <c r="EK337" s="403"/>
      <c r="EL337" s="403"/>
      <c r="EM337" s="403"/>
      <c r="EN337" s="403"/>
      <c r="EO337" s="403"/>
      <c r="EP337" s="403"/>
      <c r="EQ337" s="403"/>
      <c r="ER337" s="403"/>
      <c r="ES337" s="403"/>
      <c r="ET337" s="403"/>
    </row>
    <row r="338" spans="1:150" s="281" customFormat="1" x14ac:dyDescent="0.2">
      <c r="B338" s="624" t="str">
        <f ca="1">IF(OFFSET(T338,0,Lang_Order*Lang__B4)="","",OFFSET(T338,0,Lang_Order*Lang__B4))</f>
        <v>Districts - Solar</v>
      </c>
      <c r="D338" s="159"/>
      <c r="R338" s="403"/>
      <c r="S338" s="403"/>
      <c r="T338" s="403" t="s">
        <v>3648</v>
      </c>
      <c r="U338" s="403"/>
      <c r="V338" s="403"/>
      <c r="W338" s="403"/>
      <c r="X338" s="403"/>
      <c r="Y338" s="403"/>
      <c r="Z338" s="403"/>
      <c r="AA338" s="403"/>
      <c r="AB338" s="403"/>
      <c r="AC338" s="403"/>
      <c r="AD338" s="403"/>
      <c r="AE338" s="403"/>
      <c r="AF338" s="403"/>
      <c r="AG338" s="403"/>
      <c r="AH338" s="403"/>
      <c r="AI338" s="403"/>
      <c r="AJ338" s="403"/>
      <c r="AK338" s="403"/>
      <c r="AL338" s="403"/>
      <c r="AM338" s="403" t="s">
        <v>11310</v>
      </c>
      <c r="AN338" s="403"/>
      <c r="AO338" s="403"/>
      <c r="AP338" s="403"/>
      <c r="AQ338" s="403"/>
      <c r="AR338" s="403"/>
      <c r="AS338" s="403"/>
      <c r="AT338" s="403"/>
      <c r="AU338" s="403"/>
      <c r="AV338" s="403"/>
      <c r="AW338" s="403"/>
      <c r="AX338" s="403"/>
      <c r="AY338" s="403"/>
      <c r="AZ338" s="403"/>
      <c r="BA338" s="403"/>
      <c r="BB338" s="403"/>
      <c r="BC338" s="403"/>
      <c r="BD338" s="403"/>
      <c r="BE338" s="403"/>
      <c r="BF338" s="403" t="s">
        <v>11311</v>
      </c>
      <c r="BG338" s="403"/>
      <c r="BH338" s="403"/>
      <c r="BI338" s="403"/>
      <c r="BJ338" s="403"/>
      <c r="BK338" s="403"/>
      <c r="BL338" s="403"/>
      <c r="BM338" s="403"/>
      <c r="BN338" s="403"/>
      <c r="BO338" s="403"/>
      <c r="BP338" s="403"/>
      <c r="BQ338" s="403"/>
      <c r="BR338" s="403"/>
      <c r="BS338" s="403"/>
      <c r="BT338" s="403"/>
      <c r="BU338" s="403"/>
      <c r="BV338" s="403"/>
      <c r="BW338" s="403"/>
      <c r="BX338" s="403"/>
      <c r="BY338" s="403" t="s">
        <v>11312</v>
      </c>
      <c r="BZ338" s="403"/>
      <c r="CA338" s="403"/>
      <c r="CB338" s="403"/>
      <c r="CC338" s="403"/>
      <c r="CD338" s="403"/>
      <c r="CE338" s="403"/>
      <c r="CF338" s="403"/>
      <c r="CG338" s="403"/>
      <c r="CH338" s="403"/>
      <c r="CI338" s="403"/>
      <c r="CJ338" s="403"/>
      <c r="CK338" s="403"/>
      <c r="CL338" s="403"/>
      <c r="CM338" s="403"/>
      <c r="CN338" s="403"/>
      <c r="CO338" s="403"/>
      <c r="CP338" s="403"/>
      <c r="CQ338" s="403"/>
      <c r="CR338" s="403" t="s">
        <v>11313</v>
      </c>
      <c r="CS338" s="403"/>
      <c r="CT338" s="403"/>
      <c r="CU338" s="403"/>
      <c r="CV338" s="403"/>
      <c r="CW338" s="403"/>
      <c r="CX338" s="403"/>
      <c r="CY338" s="403"/>
      <c r="CZ338" s="403"/>
      <c r="DA338" s="403"/>
      <c r="DB338" s="403"/>
      <c r="DC338" s="403"/>
      <c r="DD338" s="403"/>
      <c r="DE338" s="403"/>
      <c r="DF338" s="403"/>
      <c r="DG338" s="403"/>
      <c r="DH338" s="403"/>
      <c r="DI338" s="403"/>
      <c r="DJ338" s="403"/>
      <c r="DK338" s="403" t="s">
        <v>11314</v>
      </c>
      <c r="DL338" s="403"/>
      <c r="DM338" s="403"/>
      <c r="DN338" s="403"/>
      <c r="DO338" s="403"/>
      <c r="DP338" s="403"/>
      <c r="DQ338" s="403"/>
      <c r="DR338" s="403"/>
      <c r="DS338" s="403"/>
      <c r="DT338" s="403"/>
      <c r="DU338" s="403"/>
      <c r="DV338" s="403"/>
      <c r="DW338" s="403"/>
      <c r="DX338" s="403"/>
      <c r="DY338" s="403"/>
      <c r="DZ338" s="403"/>
      <c r="EA338" s="403"/>
      <c r="EB338" s="403"/>
      <c r="EC338" s="403"/>
      <c r="ED338" s="403" t="s">
        <v>11315</v>
      </c>
      <c r="EE338" s="403"/>
      <c r="EF338" s="403"/>
      <c r="EG338" s="403"/>
      <c r="EH338" s="403"/>
      <c r="EI338" s="403"/>
      <c r="EJ338" s="403"/>
      <c r="EK338" s="403"/>
      <c r="EL338" s="403"/>
      <c r="EM338" s="403"/>
      <c r="EN338" s="403"/>
      <c r="EO338" s="403"/>
      <c r="EP338" s="403"/>
      <c r="EQ338" s="403"/>
      <c r="ER338" s="403"/>
      <c r="ES338" s="403"/>
      <c r="ET338" s="403"/>
    </row>
    <row r="339" spans="1:150" s="281" customFormat="1" x14ac:dyDescent="0.2">
      <c r="C339" s="5" t="str">
        <f ca="1">IF(OFFSET(U339,0,Lang_Order*Lang__B4)="","",OFFSET(U339,0,Lang_Order*Lang__B4))</f>
        <v>SDD Refridgerator</v>
      </c>
      <c r="D339" s="159" t="str">
        <f>D226</f>
        <v>120L+ - HTC-240 (Ground Mount)</v>
      </c>
      <c r="J339" s="281" t="e">
        <f>P237</f>
        <v>#N/A</v>
      </c>
      <c r="R339" s="403"/>
      <c r="S339" s="403"/>
      <c r="T339" s="403"/>
      <c r="U339" s="403" t="s">
        <v>3649</v>
      </c>
      <c r="V339" s="403"/>
      <c r="W339" s="403"/>
      <c r="X339" s="403"/>
      <c r="Y339" s="403"/>
      <c r="Z339" s="403"/>
      <c r="AA339" s="403"/>
      <c r="AB339" s="403"/>
      <c r="AC339" s="403"/>
      <c r="AD339" s="403"/>
      <c r="AE339" s="403"/>
      <c r="AF339" s="403"/>
      <c r="AG339" s="403"/>
      <c r="AH339" s="403"/>
      <c r="AI339" s="403"/>
      <c r="AJ339" s="403"/>
      <c r="AK339" s="403"/>
      <c r="AL339" s="403"/>
      <c r="AM339" s="403"/>
      <c r="AN339" s="403" t="s">
        <v>11316</v>
      </c>
      <c r="AO339" s="403"/>
      <c r="AP339" s="403"/>
      <c r="AQ339" s="403"/>
      <c r="AR339" s="403"/>
      <c r="AS339" s="403"/>
      <c r="AT339" s="403"/>
      <c r="AU339" s="403"/>
      <c r="AV339" s="403"/>
      <c r="AW339" s="403"/>
      <c r="AX339" s="403"/>
      <c r="AY339" s="403"/>
      <c r="AZ339" s="403"/>
      <c r="BA339" s="403"/>
      <c r="BB339" s="403"/>
      <c r="BC339" s="403"/>
      <c r="BD339" s="403"/>
      <c r="BE339" s="403"/>
      <c r="BF339" s="403"/>
      <c r="BG339" s="403" t="s">
        <v>11317</v>
      </c>
      <c r="BH339" s="403"/>
      <c r="BI339" s="403"/>
      <c r="BJ339" s="403"/>
      <c r="BK339" s="403"/>
      <c r="BL339" s="403"/>
      <c r="BM339" s="403"/>
      <c r="BN339" s="403"/>
      <c r="BO339" s="403"/>
      <c r="BP339" s="403"/>
      <c r="BQ339" s="403"/>
      <c r="BR339" s="403"/>
      <c r="BS339" s="403"/>
      <c r="BT339" s="403"/>
      <c r="BU339" s="403"/>
      <c r="BV339" s="403"/>
      <c r="BW339" s="403"/>
      <c r="BX339" s="403"/>
      <c r="BY339" s="403"/>
      <c r="BZ339" s="403" t="s">
        <v>11318</v>
      </c>
      <c r="CA339" s="403"/>
      <c r="CB339" s="403"/>
      <c r="CC339" s="403"/>
      <c r="CD339" s="403"/>
      <c r="CE339" s="403"/>
      <c r="CF339" s="403"/>
      <c r="CG339" s="403"/>
      <c r="CH339" s="403"/>
      <c r="CI339" s="403"/>
      <c r="CJ339" s="403"/>
      <c r="CK339" s="403"/>
      <c r="CL339" s="403"/>
      <c r="CM339" s="403"/>
      <c r="CN339" s="403"/>
      <c r="CO339" s="403"/>
      <c r="CP339" s="403"/>
      <c r="CQ339" s="403"/>
      <c r="CR339" s="403"/>
      <c r="CS339" s="403" t="s">
        <v>11319</v>
      </c>
      <c r="CT339" s="403"/>
      <c r="CU339" s="403"/>
      <c r="CV339" s="403"/>
      <c r="CW339" s="403"/>
      <c r="CX339" s="403"/>
      <c r="CY339" s="403"/>
      <c r="CZ339" s="403"/>
      <c r="DA339" s="403"/>
      <c r="DB339" s="403"/>
      <c r="DC339" s="403"/>
      <c r="DD339" s="403"/>
      <c r="DE339" s="403"/>
      <c r="DF339" s="403"/>
      <c r="DG339" s="403"/>
      <c r="DH339" s="403"/>
      <c r="DI339" s="403"/>
      <c r="DJ339" s="403"/>
      <c r="DK339" s="403"/>
      <c r="DL339" s="403" t="s">
        <v>11320</v>
      </c>
      <c r="DM339" s="403"/>
      <c r="DN339" s="403"/>
      <c r="DO339" s="403"/>
      <c r="DP339" s="403"/>
      <c r="DQ339" s="403"/>
      <c r="DR339" s="403"/>
      <c r="DS339" s="403"/>
      <c r="DT339" s="403"/>
      <c r="DU339" s="403"/>
      <c r="DV339" s="403"/>
      <c r="DW339" s="403"/>
      <c r="DX339" s="403"/>
      <c r="DY339" s="403"/>
      <c r="DZ339" s="403"/>
      <c r="EA339" s="403"/>
      <c r="EB339" s="403"/>
      <c r="EC339" s="403"/>
      <c r="ED339" s="403"/>
      <c r="EE339" s="403" t="s">
        <v>11321</v>
      </c>
      <c r="EF339" s="403"/>
      <c r="EG339" s="403"/>
      <c r="EH339" s="403"/>
      <c r="EI339" s="403"/>
      <c r="EJ339" s="403"/>
      <c r="EK339" s="403"/>
      <c r="EL339" s="403"/>
      <c r="EM339" s="403"/>
      <c r="EN339" s="403"/>
      <c r="EO339" s="403"/>
      <c r="EP339" s="403"/>
      <c r="EQ339" s="403"/>
      <c r="ER339" s="403"/>
      <c r="ES339" s="403"/>
      <c r="ET339" s="403"/>
    </row>
    <row r="340" spans="1:150" s="281" customFormat="1" x14ac:dyDescent="0.2">
      <c r="C340" s="370" t="str">
        <f ca="1">IF(OFFSET(U340,0,Lang_Order*Lang__B4)="","",OFFSET(U340,0,Lang_Order*Lang__B4))</f>
        <v>SDD Freezer or Refridgerator-Freezer</v>
      </c>
      <c r="D340" s="159" t="str">
        <f>D227</f>
        <v>60-90L - TFW 40 SDD (Ground Mount)</v>
      </c>
      <c r="J340" s="281" t="e">
        <f>P238</f>
        <v>#N/A</v>
      </c>
      <c r="R340" s="403"/>
      <c r="S340" s="403"/>
      <c r="T340" s="403"/>
      <c r="U340" s="403" t="s">
        <v>3650</v>
      </c>
      <c r="V340" s="403"/>
      <c r="W340" s="403"/>
      <c r="X340" s="403"/>
      <c r="Y340" s="403"/>
      <c r="Z340" s="403"/>
      <c r="AA340" s="403"/>
      <c r="AB340" s="403"/>
      <c r="AC340" s="403"/>
      <c r="AD340" s="403"/>
      <c r="AE340" s="403"/>
      <c r="AF340" s="403"/>
      <c r="AG340" s="403"/>
      <c r="AH340" s="403"/>
      <c r="AI340" s="403"/>
      <c r="AJ340" s="403"/>
      <c r="AK340" s="403"/>
      <c r="AL340" s="403"/>
      <c r="AM340" s="403"/>
      <c r="AN340" s="403" t="s">
        <v>11322</v>
      </c>
      <c r="AO340" s="403"/>
      <c r="AP340" s="403"/>
      <c r="AQ340" s="403"/>
      <c r="AR340" s="403"/>
      <c r="AS340" s="403"/>
      <c r="AT340" s="403"/>
      <c r="AU340" s="403"/>
      <c r="AV340" s="403"/>
      <c r="AW340" s="403"/>
      <c r="AX340" s="403"/>
      <c r="AY340" s="403"/>
      <c r="AZ340" s="403"/>
      <c r="BA340" s="403"/>
      <c r="BB340" s="403"/>
      <c r="BC340" s="403"/>
      <c r="BD340" s="403"/>
      <c r="BE340" s="403"/>
      <c r="BF340" s="403"/>
      <c r="BG340" s="403" t="s">
        <v>11323</v>
      </c>
      <c r="BH340" s="403"/>
      <c r="BI340" s="403"/>
      <c r="BJ340" s="403"/>
      <c r="BK340" s="403"/>
      <c r="BL340" s="403"/>
      <c r="BM340" s="403"/>
      <c r="BN340" s="403"/>
      <c r="BO340" s="403"/>
      <c r="BP340" s="403"/>
      <c r="BQ340" s="403"/>
      <c r="BR340" s="403"/>
      <c r="BS340" s="403"/>
      <c r="BT340" s="403"/>
      <c r="BU340" s="403"/>
      <c r="BV340" s="403"/>
      <c r="BW340" s="403"/>
      <c r="BX340" s="403"/>
      <c r="BY340" s="403"/>
      <c r="BZ340" s="403" t="s">
        <v>11324</v>
      </c>
      <c r="CA340" s="403"/>
      <c r="CB340" s="403"/>
      <c r="CC340" s="403"/>
      <c r="CD340" s="403"/>
      <c r="CE340" s="403"/>
      <c r="CF340" s="403"/>
      <c r="CG340" s="403"/>
      <c r="CH340" s="403"/>
      <c r="CI340" s="403"/>
      <c r="CJ340" s="403"/>
      <c r="CK340" s="403"/>
      <c r="CL340" s="403"/>
      <c r="CM340" s="403"/>
      <c r="CN340" s="403"/>
      <c r="CO340" s="403"/>
      <c r="CP340" s="403"/>
      <c r="CQ340" s="403"/>
      <c r="CR340" s="403"/>
      <c r="CS340" s="403" t="s">
        <v>11325</v>
      </c>
      <c r="CT340" s="403"/>
      <c r="CU340" s="403"/>
      <c r="CV340" s="403"/>
      <c r="CW340" s="403"/>
      <c r="CX340" s="403"/>
      <c r="CY340" s="403"/>
      <c r="CZ340" s="403"/>
      <c r="DA340" s="403"/>
      <c r="DB340" s="403"/>
      <c r="DC340" s="403"/>
      <c r="DD340" s="403"/>
      <c r="DE340" s="403"/>
      <c r="DF340" s="403"/>
      <c r="DG340" s="403"/>
      <c r="DH340" s="403"/>
      <c r="DI340" s="403"/>
      <c r="DJ340" s="403"/>
      <c r="DK340" s="403"/>
      <c r="DL340" s="403" t="s">
        <v>11326</v>
      </c>
      <c r="DM340" s="403"/>
      <c r="DN340" s="403"/>
      <c r="DO340" s="403"/>
      <c r="DP340" s="403"/>
      <c r="DQ340" s="403"/>
      <c r="DR340" s="403"/>
      <c r="DS340" s="403"/>
      <c r="DT340" s="403"/>
      <c r="DU340" s="403"/>
      <c r="DV340" s="403"/>
      <c r="DW340" s="403"/>
      <c r="DX340" s="403"/>
      <c r="DY340" s="403"/>
      <c r="DZ340" s="403"/>
      <c r="EA340" s="403"/>
      <c r="EB340" s="403"/>
      <c r="EC340" s="403"/>
      <c r="ED340" s="403"/>
      <c r="EE340" s="403" t="s">
        <v>11327</v>
      </c>
      <c r="EF340" s="403"/>
      <c r="EG340" s="403"/>
      <c r="EH340" s="403"/>
      <c r="EI340" s="403"/>
      <c r="EJ340" s="403"/>
      <c r="EK340" s="403"/>
      <c r="EL340" s="403"/>
      <c r="EM340" s="403"/>
      <c r="EN340" s="403"/>
      <c r="EO340" s="403"/>
      <c r="EP340" s="403"/>
      <c r="EQ340" s="403"/>
      <c r="ER340" s="403"/>
      <c r="ES340" s="403"/>
      <c r="ET340" s="403"/>
    </row>
    <row r="341" spans="1:150" s="281" customFormat="1" x14ac:dyDescent="0.2">
      <c r="B341" s="624" t="str">
        <f ca="1">IF(OFFSET(T341,0,Lang_Order*Lang__B4)="","",OFFSET(T341,0,Lang_Order*Lang__B4))</f>
        <v>Districts - On-grid</v>
      </c>
      <c r="D341" s="159"/>
      <c r="R341" s="403"/>
      <c r="S341" s="403"/>
      <c r="T341" s="403" t="s">
        <v>3652</v>
      </c>
      <c r="U341" s="403"/>
      <c r="V341" s="403"/>
      <c r="W341" s="403"/>
      <c r="X341" s="403"/>
      <c r="Y341" s="403"/>
      <c r="Z341" s="403"/>
      <c r="AA341" s="403"/>
      <c r="AB341" s="403"/>
      <c r="AC341" s="403"/>
      <c r="AD341" s="403"/>
      <c r="AE341" s="403"/>
      <c r="AF341" s="403"/>
      <c r="AG341" s="403"/>
      <c r="AH341" s="403"/>
      <c r="AI341" s="403"/>
      <c r="AJ341" s="403"/>
      <c r="AK341" s="403"/>
      <c r="AL341" s="403"/>
      <c r="AM341" s="403" t="s">
        <v>11328</v>
      </c>
      <c r="AN341" s="403"/>
      <c r="AO341" s="403"/>
      <c r="AP341" s="403"/>
      <c r="AQ341" s="403"/>
      <c r="AR341" s="403"/>
      <c r="AS341" s="403"/>
      <c r="AT341" s="403"/>
      <c r="AU341" s="403"/>
      <c r="AV341" s="403"/>
      <c r="AW341" s="403"/>
      <c r="AX341" s="403"/>
      <c r="AY341" s="403"/>
      <c r="AZ341" s="403"/>
      <c r="BA341" s="403"/>
      <c r="BB341" s="403"/>
      <c r="BC341" s="403"/>
      <c r="BD341" s="403"/>
      <c r="BE341" s="403"/>
      <c r="BF341" s="403" t="s">
        <v>11329</v>
      </c>
      <c r="BG341" s="403"/>
      <c r="BH341" s="403"/>
      <c r="BI341" s="403"/>
      <c r="BJ341" s="403"/>
      <c r="BK341" s="403"/>
      <c r="BL341" s="403"/>
      <c r="BM341" s="403"/>
      <c r="BN341" s="403"/>
      <c r="BO341" s="403"/>
      <c r="BP341" s="403"/>
      <c r="BQ341" s="403"/>
      <c r="BR341" s="403"/>
      <c r="BS341" s="403"/>
      <c r="BT341" s="403"/>
      <c r="BU341" s="403"/>
      <c r="BV341" s="403"/>
      <c r="BW341" s="403"/>
      <c r="BX341" s="403"/>
      <c r="BY341" s="403" t="s">
        <v>11330</v>
      </c>
      <c r="BZ341" s="403"/>
      <c r="CA341" s="403"/>
      <c r="CB341" s="403"/>
      <c r="CC341" s="403"/>
      <c r="CD341" s="403"/>
      <c r="CE341" s="403"/>
      <c r="CF341" s="403"/>
      <c r="CG341" s="403"/>
      <c r="CH341" s="403"/>
      <c r="CI341" s="403"/>
      <c r="CJ341" s="403"/>
      <c r="CK341" s="403"/>
      <c r="CL341" s="403"/>
      <c r="CM341" s="403"/>
      <c r="CN341" s="403"/>
      <c r="CO341" s="403"/>
      <c r="CP341" s="403"/>
      <c r="CQ341" s="403"/>
      <c r="CR341" s="403" t="s">
        <v>11107</v>
      </c>
      <c r="CS341" s="403"/>
      <c r="CT341" s="403"/>
      <c r="CU341" s="403"/>
      <c r="CV341" s="403"/>
      <c r="CW341" s="403"/>
      <c r="CX341" s="403"/>
      <c r="CY341" s="403"/>
      <c r="CZ341" s="403"/>
      <c r="DA341" s="403"/>
      <c r="DB341" s="403"/>
      <c r="DC341" s="403"/>
      <c r="DD341" s="403"/>
      <c r="DE341" s="403"/>
      <c r="DF341" s="403"/>
      <c r="DG341" s="403"/>
      <c r="DH341" s="403"/>
      <c r="DI341" s="403"/>
      <c r="DJ341" s="403"/>
      <c r="DK341" s="403" t="s">
        <v>11108</v>
      </c>
      <c r="DL341" s="403"/>
      <c r="DM341" s="403"/>
      <c r="DN341" s="403"/>
      <c r="DO341" s="403"/>
      <c r="DP341" s="403"/>
      <c r="DQ341" s="403"/>
      <c r="DR341" s="403"/>
      <c r="DS341" s="403"/>
      <c r="DT341" s="403"/>
      <c r="DU341" s="403"/>
      <c r="DV341" s="403"/>
      <c r="DW341" s="403"/>
      <c r="DX341" s="403"/>
      <c r="DY341" s="403"/>
      <c r="DZ341" s="403"/>
      <c r="EA341" s="403"/>
      <c r="EB341" s="403"/>
      <c r="EC341" s="403"/>
      <c r="ED341" s="403" t="s">
        <v>11109</v>
      </c>
      <c r="EE341" s="403"/>
      <c r="EF341" s="403"/>
      <c r="EG341" s="403"/>
      <c r="EH341" s="403"/>
      <c r="EI341" s="403"/>
      <c r="EJ341" s="403"/>
      <c r="EK341" s="403"/>
      <c r="EL341" s="403"/>
      <c r="EM341" s="403"/>
      <c r="EN341" s="403"/>
      <c r="EO341" s="403"/>
      <c r="EP341" s="403"/>
      <c r="EQ341" s="403"/>
      <c r="ER341" s="403"/>
      <c r="ES341" s="403"/>
      <c r="ET341" s="403"/>
    </row>
    <row r="342" spans="1:150" s="281" customFormat="1" x14ac:dyDescent="0.2">
      <c r="C342" s="5" t="str">
        <f ca="1">IF(OFFSET(U342,0,Lang_Order*Lang__B4)="","",OFFSET(U342,0,Lang_Order*Lang__B4))</f>
        <v>ILR</v>
      </c>
      <c r="D342" s="159" t="str">
        <f>D230</f>
        <v>120L+ - HBC 260</v>
      </c>
      <c r="J342" s="281" t="e">
        <f>P241</f>
        <v>#N/A</v>
      </c>
      <c r="R342" s="403"/>
      <c r="S342" s="403"/>
      <c r="T342" s="403"/>
      <c r="U342" s="403" t="s">
        <v>3220</v>
      </c>
      <c r="V342" s="403"/>
      <c r="W342" s="403"/>
      <c r="X342" s="403"/>
      <c r="Y342" s="403"/>
      <c r="Z342" s="403"/>
      <c r="AA342" s="403"/>
      <c r="AB342" s="403"/>
      <c r="AC342" s="403"/>
      <c r="AD342" s="403"/>
      <c r="AE342" s="403"/>
      <c r="AF342" s="403"/>
      <c r="AG342" s="403"/>
      <c r="AH342" s="403"/>
      <c r="AI342" s="403"/>
      <c r="AJ342" s="403"/>
      <c r="AK342" s="403"/>
      <c r="AL342" s="403"/>
      <c r="AM342" s="403"/>
      <c r="AN342" s="403" t="s">
        <v>10749</v>
      </c>
      <c r="AO342" s="403"/>
      <c r="AP342" s="403"/>
      <c r="AQ342" s="403"/>
      <c r="AR342" s="403"/>
      <c r="AS342" s="403"/>
      <c r="AT342" s="403"/>
      <c r="AU342" s="403"/>
      <c r="AV342" s="403"/>
      <c r="AW342" s="403"/>
      <c r="AX342" s="403"/>
      <c r="AY342" s="403"/>
      <c r="AZ342" s="403"/>
      <c r="BA342" s="403"/>
      <c r="BB342" s="403"/>
      <c r="BC342" s="403"/>
      <c r="BD342" s="403"/>
      <c r="BE342" s="403"/>
      <c r="BF342" s="403"/>
      <c r="BG342" s="403" t="s">
        <v>11302</v>
      </c>
      <c r="BH342" s="403"/>
      <c r="BI342" s="403"/>
      <c r="BJ342" s="403"/>
      <c r="BK342" s="403"/>
      <c r="BL342" s="403"/>
      <c r="BM342" s="403"/>
      <c r="BN342" s="403"/>
      <c r="BO342" s="403"/>
      <c r="BP342" s="403"/>
      <c r="BQ342" s="403"/>
      <c r="BR342" s="403"/>
      <c r="BS342" s="403"/>
      <c r="BT342" s="403"/>
      <c r="BU342" s="403"/>
      <c r="BV342" s="403"/>
      <c r="BW342" s="403"/>
      <c r="BX342" s="403"/>
      <c r="BY342" s="403"/>
      <c r="BZ342" s="403" t="s">
        <v>11303</v>
      </c>
      <c r="CA342" s="403"/>
      <c r="CB342" s="403"/>
      <c r="CC342" s="403"/>
      <c r="CD342" s="403"/>
      <c r="CE342" s="403"/>
      <c r="CF342" s="403"/>
      <c r="CG342" s="403"/>
      <c r="CH342" s="403"/>
      <c r="CI342" s="403"/>
      <c r="CJ342" s="403"/>
      <c r="CK342" s="403"/>
      <c r="CL342" s="403"/>
      <c r="CM342" s="403"/>
      <c r="CN342" s="403"/>
      <c r="CO342" s="403"/>
      <c r="CP342" s="403"/>
      <c r="CQ342" s="403"/>
      <c r="CR342" s="403"/>
      <c r="CS342" s="403" t="s">
        <v>3220</v>
      </c>
      <c r="CT342" s="403"/>
      <c r="CU342" s="403"/>
      <c r="CV342" s="403"/>
      <c r="CW342" s="403"/>
      <c r="CX342" s="403"/>
      <c r="CY342" s="403"/>
      <c r="CZ342" s="403"/>
      <c r="DA342" s="403"/>
      <c r="DB342" s="403"/>
      <c r="DC342" s="403"/>
      <c r="DD342" s="403"/>
      <c r="DE342" s="403"/>
      <c r="DF342" s="403"/>
      <c r="DG342" s="403"/>
      <c r="DH342" s="403"/>
      <c r="DI342" s="403"/>
      <c r="DJ342" s="403"/>
      <c r="DK342" s="403"/>
      <c r="DL342" s="403" t="s">
        <v>10753</v>
      </c>
      <c r="DM342" s="403"/>
      <c r="DN342" s="403"/>
      <c r="DO342" s="403"/>
      <c r="DP342" s="403"/>
      <c r="DQ342" s="403"/>
      <c r="DR342" s="403"/>
      <c r="DS342" s="403"/>
      <c r="DT342" s="403"/>
      <c r="DU342" s="403"/>
      <c r="DV342" s="403"/>
      <c r="DW342" s="403"/>
      <c r="DX342" s="403"/>
      <c r="DY342" s="403"/>
      <c r="DZ342" s="403"/>
      <c r="EA342" s="403"/>
      <c r="EB342" s="403"/>
      <c r="EC342" s="403"/>
      <c r="ED342" s="403"/>
      <c r="EE342" s="403" t="s">
        <v>3220</v>
      </c>
      <c r="EF342" s="403"/>
      <c r="EG342" s="403"/>
      <c r="EH342" s="403"/>
      <c r="EI342" s="403"/>
      <c r="EJ342" s="403"/>
      <c r="EK342" s="403"/>
      <c r="EL342" s="403"/>
      <c r="EM342" s="403"/>
      <c r="EN342" s="403"/>
      <c r="EO342" s="403"/>
      <c r="EP342" s="403"/>
      <c r="EQ342" s="403"/>
      <c r="ER342" s="403"/>
      <c r="ES342" s="403"/>
      <c r="ET342" s="403"/>
    </row>
    <row r="343" spans="1:150" s="281" customFormat="1" x14ac:dyDescent="0.2">
      <c r="C343" s="5" t="str">
        <f ca="1">IF(OFFSET(U343,0,Lang_Order*Lang__B4)="","",OFFSET(U343,0,Lang_Order*Lang__B4))</f>
        <v>ILFR or Freezer</v>
      </c>
      <c r="D343" s="159" t="str">
        <f>D231</f>
        <v>90-120L - DW-25W147</v>
      </c>
      <c r="J343" s="281" t="e">
        <f>P242</f>
        <v>#N/A</v>
      </c>
      <c r="R343" s="403"/>
      <c r="S343" s="403"/>
      <c r="T343" s="403"/>
      <c r="U343" s="403" t="s">
        <v>3645</v>
      </c>
      <c r="V343" s="403"/>
      <c r="W343" s="403"/>
      <c r="X343" s="403"/>
      <c r="Y343" s="403"/>
      <c r="Z343" s="403"/>
      <c r="AA343" s="403"/>
      <c r="AB343" s="403"/>
      <c r="AC343" s="403"/>
      <c r="AD343" s="403"/>
      <c r="AE343" s="403"/>
      <c r="AF343" s="403"/>
      <c r="AG343" s="403"/>
      <c r="AH343" s="403"/>
      <c r="AI343" s="403"/>
      <c r="AJ343" s="403"/>
      <c r="AK343" s="403"/>
      <c r="AL343" s="403"/>
      <c r="AM343" s="403"/>
      <c r="AN343" s="403" t="s">
        <v>11304</v>
      </c>
      <c r="AO343" s="403"/>
      <c r="AP343" s="403"/>
      <c r="AQ343" s="403"/>
      <c r="AR343" s="403"/>
      <c r="AS343" s="403"/>
      <c r="AT343" s="403"/>
      <c r="AU343" s="403"/>
      <c r="AV343" s="403"/>
      <c r="AW343" s="403"/>
      <c r="AX343" s="403"/>
      <c r="AY343" s="403"/>
      <c r="AZ343" s="403"/>
      <c r="BA343" s="403"/>
      <c r="BB343" s="403"/>
      <c r="BC343" s="403"/>
      <c r="BD343" s="403"/>
      <c r="BE343" s="403"/>
      <c r="BF343" s="403"/>
      <c r="BG343" s="403" t="s">
        <v>11305</v>
      </c>
      <c r="BH343" s="403"/>
      <c r="BI343" s="403"/>
      <c r="BJ343" s="403"/>
      <c r="BK343" s="403"/>
      <c r="BL343" s="403"/>
      <c r="BM343" s="403"/>
      <c r="BN343" s="403"/>
      <c r="BO343" s="403"/>
      <c r="BP343" s="403"/>
      <c r="BQ343" s="403"/>
      <c r="BR343" s="403"/>
      <c r="BS343" s="403"/>
      <c r="BT343" s="403"/>
      <c r="BU343" s="403"/>
      <c r="BV343" s="403"/>
      <c r="BW343" s="403"/>
      <c r="BX343" s="403"/>
      <c r="BY343" s="403"/>
      <c r="BZ343" s="403" t="s">
        <v>11306</v>
      </c>
      <c r="CA343" s="403"/>
      <c r="CB343" s="403"/>
      <c r="CC343" s="403"/>
      <c r="CD343" s="403"/>
      <c r="CE343" s="403"/>
      <c r="CF343" s="403"/>
      <c r="CG343" s="403"/>
      <c r="CH343" s="403"/>
      <c r="CI343" s="403"/>
      <c r="CJ343" s="403"/>
      <c r="CK343" s="403"/>
      <c r="CL343" s="403"/>
      <c r="CM343" s="403"/>
      <c r="CN343" s="403"/>
      <c r="CO343" s="403"/>
      <c r="CP343" s="403"/>
      <c r="CQ343" s="403"/>
      <c r="CR343" s="403"/>
      <c r="CS343" s="403" t="s">
        <v>11307</v>
      </c>
      <c r="CT343" s="403"/>
      <c r="CU343" s="403"/>
      <c r="CV343" s="403"/>
      <c r="CW343" s="403"/>
      <c r="CX343" s="403"/>
      <c r="CY343" s="403"/>
      <c r="CZ343" s="403"/>
      <c r="DA343" s="403"/>
      <c r="DB343" s="403"/>
      <c r="DC343" s="403"/>
      <c r="DD343" s="403"/>
      <c r="DE343" s="403"/>
      <c r="DF343" s="403"/>
      <c r="DG343" s="403"/>
      <c r="DH343" s="403"/>
      <c r="DI343" s="403"/>
      <c r="DJ343" s="403"/>
      <c r="DK343" s="403"/>
      <c r="DL343" s="403" t="s">
        <v>11308</v>
      </c>
      <c r="DM343" s="403"/>
      <c r="DN343" s="403"/>
      <c r="DO343" s="403"/>
      <c r="DP343" s="403"/>
      <c r="DQ343" s="403"/>
      <c r="DR343" s="403"/>
      <c r="DS343" s="403"/>
      <c r="DT343" s="403"/>
      <c r="DU343" s="403"/>
      <c r="DV343" s="403"/>
      <c r="DW343" s="403"/>
      <c r="DX343" s="403"/>
      <c r="DY343" s="403"/>
      <c r="DZ343" s="403"/>
      <c r="EA343" s="403"/>
      <c r="EB343" s="403"/>
      <c r="EC343" s="403"/>
      <c r="ED343" s="403"/>
      <c r="EE343" s="403" t="s">
        <v>11309</v>
      </c>
      <c r="EF343" s="403"/>
      <c r="EG343" s="403"/>
      <c r="EH343" s="403"/>
      <c r="EI343" s="403"/>
      <c r="EJ343" s="403"/>
      <c r="EK343" s="403"/>
      <c r="EL343" s="403"/>
      <c r="EM343" s="403"/>
      <c r="EN343" s="403"/>
      <c r="EO343" s="403"/>
      <c r="EP343" s="403"/>
      <c r="EQ343" s="403"/>
      <c r="ER343" s="403"/>
      <c r="ES343" s="403"/>
      <c r="ET343" s="403"/>
    </row>
    <row r="344" spans="1:150" s="281" customFormat="1" x14ac:dyDescent="0.2">
      <c r="B344" s="624" t="str">
        <f ca="1">IF(OFFSET(T344,0,Lang_Order*Lang__B4)="","",OFFSET(T344,0,Lang_Order*Lang__B4))</f>
        <v>Fixed sites - Solar</v>
      </c>
      <c r="D344" s="159"/>
      <c r="R344" s="403"/>
      <c r="S344" s="403"/>
      <c r="T344" s="403" t="s">
        <v>3653</v>
      </c>
      <c r="U344" s="403"/>
      <c r="V344" s="403"/>
      <c r="W344" s="403"/>
      <c r="X344" s="403"/>
      <c r="Y344" s="403"/>
      <c r="Z344" s="403"/>
      <c r="AA344" s="403"/>
      <c r="AB344" s="403"/>
      <c r="AC344" s="403"/>
      <c r="AD344" s="403"/>
      <c r="AE344" s="403"/>
      <c r="AF344" s="403"/>
      <c r="AG344" s="403"/>
      <c r="AH344" s="403"/>
      <c r="AI344" s="403"/>
      <c r="AJ344" s="403"/>
      <c r="AK344" s="403"/>
      <c r="AL344" s="403"/>
      <c r="AM344" s="403" t="s">
        <v>11331</v>
      </c>
      <c r="AN344" s="403"/>
      <c r="AO344" s="403"/>
      <c r="AP344" s="403"/>
      <c r="AQ344" s="403"/>
      <c r="AR344" s="403"/>
      <c r="AS344" s="403"/>
      <c r="AT344" s="403"/>
      <c r="AU344" s="403"/>
      <c r="AV344" s="403"/>
      <c r="AW344" s="403"/>
      <c r="AX344" s="403"/>
      <c r="AY344" s="403"/>
      <c r="AZ344" s="403"/>
      <c r="BA344" s="403"/>
      <c r="BB344" s="403"/>
      <c r="BC344" s="403"/>
      <c r="BD344" s="403"/>
      <c r="BE344" s="403"/>
      <c r="BF344" s="403" t="s">
        <v>11332</v>
      </c>
      <c r="BG344" s="403"/>
      <c r="BH344" s="403"/>
      <c r="BI344" s="403"/>
      <c r="BJ344" s="403"/>
      <c r="BK344" s="403"/>
      <c r="BL344" s="403"/>
      <c r="BM344" s="403"/>
      <c r="BN344" s="403"/>
      <c r="BO344" s="403"/>
      <c r="BP344" s="403"/>
      <c r="BQ344" s="403"/>
      <c r="BR344" s="403"/>
      <c r="BS344" s="403"/>
      <c r="BT344" s="403"/>
      <c r="BU344" s="403"/>
      <c r="BV344" s="403"/>
      <c r="BW344" s="403"/>
      <c r="BX344" s="403"/>
      <c r="BY344" s="403" t="s">
        <v>11333</v>
      </c>
      <c r="BZ344" s="403"/>
      <c r="CA344" s="403"/>
      <c r="CB344" s="403"/>
      <c r="CC344" s="403"/>
      <c r="CD344" s="403"/>
      <c r="CE344" s="403"/>
      <c r="CF344" s="403"/>
      <c r="CG344" s="403"/>
      <c r="CH344" s="403"/>
      <c r="CI344" s="403"/>
      <c r="CJ344" s="403"/>
      <c r="CK344" s="403"/>
      <c r="CL344" s="403"/>
      <c r="CM344" s="403"/>
      <c r="CN344" s="403"/>
      <c r="CO344" s="403"/>
      <c r="CP344" s="403"/>
      <c r="CQ344" s="403"/>
      <c r="CR344" s="403" t="s">
        <v>11334</v>
      </c>
      <c r="CS344" s="403"/>
      <c r="CT344" s="403"/>
      <c r="CU344" s="403"/>
      <c r="CV344" s="403"/>
      <c r="CW344" s="403"/>
      <c r="CX344" s="403"/>
      <c r="CY344" s="403"/>
      <c r="CZ344" s="403"/>
      <c r="DA344" s="403"/>
      <c r="DB344" s="403"/>
      <c r="DC344" s="403"/>
      <c r="DD344" s="403"/>
      <c r="DE344" s="403"/>
      <c r="DF344" s="403"/>
      <c r="DG344" s="403"/>
      <c r="DH344" s="403"/>
      <c r="DI344" s="403"/>
      <c r="DJ344" s="403"/>
      <c r="DK344" s="403" t="s">
        <v>11335</v>
      </c>
      <c r="DL344" s="403"/>
      <c r="DM344" s="403"/>
      <c r="DN344" s="403"/>
      <c r="DO344" s="403"/>
      <c r="DP344" s="403"/>
      <c r="DQ344" s="403"/>
      <c r="DR344" s="403"/>
      <c r="DS344" s="403"/>
      <c r="DT344" s="403"/>
      <c r="DU344" s="403"/>
      <c r="DV344" s="403"/>
      <c r="DW344" s="403"/>
      <c r="DX344" s="403"/>
      <c r="DY344" s="403"/>
      <c r="DZ344" s="403"/>
      <c r="EA344" s="403"/>
      <c r="EB344" s="403"/>
      <c r="EC344" s="403"/>
      <c r="ED344" s="403" t="s">
        <v>11336</v>
      </c>
      <c r="EE344" s="403"/>
      <c r="EF344" s="403"/>
      <c r="EG344" s="403"/>
      <c r="EH344" s="403"/>
      <c r="EI344" s="403"/>
      <c r="EJ344" s="403"/>
      <c r="EK344" s="403"/>
      <c r="EL344" s="403"/>
      <c r="EM344" s="403"/>
      <c r="EN344" s="403"/>
      <c r="EO344" s="403"/>
      <c r="EP344" s="403"/>
      <c r="EQ344" s="403"/>
      <c r="ER344" s="403"/>
      <c r="ES344" s="403"/>
      <c r="ET344" s="403"/>
    </row>
    <row r="345" spans="1:150" s="281" customFormat="1" x14ac:dyDescent="0.2">
      <c r="C345" s="5" t="str">
        <f ca="1">IF(OFFSET(U345,0,Lang_Order*Lang__B4)="","",OFFSET(U345,0,Lang_Order*Lang__B4))</f>
        <v>SDD Refridgerator</v>
      </c>
      <c r="D345" s="159" t="str">
        <f>D290</f>
        <v>30-60L - HTC 110 SDD (Ground Mount)</v>
      </c>
      <c r="J345" s="281" t="e">
        <f>P301</f>
        <v>#N/A</v>
      </c>
      <c r="R345" s="403"/>
      <c r="S345" s="403"/>
      <c r="T345" s="403"/>
      <c r="U345" s="403" t="s">
        <v>3649</v>
      </c>
      <c r="V345" s="403"/>
      <c r="W345" s="403"/>
      <c r="X345" s="403"/>
      <c r="Y345" s="403"/>
      <c r="Z345" s="403"/>
      <c r="AA345" s="403"/>
      <c r="AB345" s="403"/>
      <c r="AC345" s="403"/>
      <c r="AD345" s="403"/>
      <c r="AE345" s="403"/>
      <c r="AF345" s="403"/>
      <c r="AG345" s="403"/>
      <c r="AH345" s="403"/>
      <c r="AI345" s="403"/>
      <c r="AJ345" s="403"/>
      <c r="AK345" s="403"/>
      <c r="AL345" s="403"/>
      <c r="AM345" s="403"/>
      <c r="AN345" s="403" t="s">
        <v>11316</v>
      </c>
      <c r="AO345" s="403"/>
      <c r="AP345" s="403"/>
      <c r="AQ345" s="403"/>
      <c r="AR345" s="403"/>
      <c r="AS345" s="403"/>
      <c r="AT345" s="403"/>
      <c r="AU345" s="403"/>
      <c r="AV345" s="403"/>
      <c r="AW345" s="403"/>
      <c r="AX345" s="403"/>
      <c r="AY345" s="403"/>
      <c r="AZ345" s="403"/>
      <c r="BA345" s="403"/>
      <c r="BB345" s="403"/>
      <c r="BC345" s="403"/>
      <c r="BD345" s="403"/>
      <c r="BE345" s="403"/>
      <c r="BF345" s="403"/>
      <c r="BG345" s="403" t="s">
        <v>11317</v>
      </c>
      <c r="BH345" s="403"/>
      <c r="BI345" s="403"/>
      <c r="BJ345" s="403"/>
      <c r="BK345" s="403"/>
      <c r="BL345" s="403"/>
      <c r="BM345" s="403"/>
      <c r="BN345" s="403"/>
      <c r="BO345" s="403"/>
      <c r="BP345" s="403"/>
      <c r="BQ345" s="403"/>
      <c r="BR345" s="403"/>
      <c r="BS345" s="403"/>
      <c r="BT345" s="403"/>
      <c r="BU345" s="403"/>
      <c r="BV345" s="403"/>
      <c r="BW345" s="403"/>
      <c r="BX345" s="403"/>
      <c r="BY345" s="403"/>
      <c r="BZ345" s="403" t="s">
        <v>11318</v>
      </c>
      <c r="CA345" s="403"/>
      <c r="CB345" s="403"/>
      <c r="CC345" s="403"/>
      <c r="CD345" s="403"/>
      <c r="CE345" s="403"/>
      <c r="CF345" s="403"/>
      <c r="CG345" s="403"/>
      <c r="CH345" s="403"/>
      <c r="CI345" s="403"/>
      <c r="CJ345" s="403"/>
      <c r="CK345" s="403"/>
      <c r="CL345" s="403"/>
      <c r="CM345" s="403"/>
      <c r="CN345" s="403"/>
      <c r="CO345" s="403"/>
      <c r="CP345" s="403"/>
      <c r="CQ345" s="403"/>
      <c r="CR345" s="403"/>
      <c r="CS345" s="403" t="s">
        <v>11319</v>
      </c>
      <c r="CT345" s="403"/>
      <c r="CU345" s="403"/>
      <c r="CV345" s="403"/>
      <c r="CW345" s="403"/>
      <c r="CX345" s="403"/>
      <c r="CY345" s="403"/>
      <c r="CZ345" s="403"/>
      <c r="DA345" s="403"/>
      <c r="DB345" s="403"/>
      <c r="DC345" s="403"/>
      <c r="DD345" s="403"/>
      <c r="DE345" s="403"/>
      <c r="DF345" s="403"/>
      <c r="DG345" s="403"/>
      <c r="DH345" s="403"/>
      <c r="DI345" s="403"/>
      <c r="DJ345" s="403"/>
      <c r="DK345" s="403"/>
      <c r="DL345" s="403" t="s">
        <v>11320</v>
      </c>
      <c r="DM345" s="403"/>
      <c r="DN345" s="403"/>
      <c r="DO345" s="403"/>
      <c r="DP345" s="403"/>
      <c r="DQ345" s="403"/>
      <c r="DR345" s="403"/>
      <c r="DS345" s="403"/>
      <c r="DT345" s="403"/>
      <c r="DU345" s="403"/>
      <c r="DV345" s="403"/>
      <c r="DW345" s="403"/>
      <c r="DX345" s="403"/>
      <c r="DY345" s="403"/>
      <c r="DZ345" s="403"/>
      <c r="EA345" s="403"/>
      <c r="EB345" s="403"/>
      <c r="EC345" s="403"/>
      <c r="ED345" s="403"/>
      <c r="EE345" s="403" t="s">
        <v>11321</v>
      </c>
      <c r="EF345" s="403"/>
      <c r="EG345" s="403"/>
      <c r="EH345" s="403"/>
      <c r="EI345" s="403"/>
      <c r="EJ345" s="403"/>
      <c r="EK345" s="403"/>
      <c r="EL345" s="403"/>
      <c r="EM345" s="403"/>
      <c r="EN345" s="403"/>
      <c r="EO345" s="403"/>
      <c r="EP345" s="403"/>
      <c r="EQ345" s="403"/>
      <c r="ER345" s="403"/>
      <c r="ES345" s="403"/>
      <c r="ET345" s="403"/>
    </row>
    <row r="346" spans="1:150" s="281" customFormat="1" x14ac:dyDescent="0.2">
      <c r="C346" s="370" t="str">
        <f ca="1">IF(OFFSET(U346,0,Lang_Order*Lang__B4)="","",OFFSET(U346,0,Lang_Order*Lang__B4))</f>
        <v>SDD Freezer or Refridgerator-Freezer</v>
      </c>
      <c r="D346" s="159" t="str">
        <f>D291</f>
        <v>30-60L - VFS 048 SDD (Ground Mount)</v>
      </c>
      <c r="J346" s="281" t="e">
        <f>P302</f>
        <v>#N/A</v>
      </c>
      <c r="R346" s="403"/>
      <c r="S346" s="403"/>
      <c r="T346" s="403"/>
      <c r="U346" s="403" t="s">
        <v>3650</v>
      </c>
      <c r="V346" s="403"/>
      <c r="W346" s="403"/>
      <c r="X346" s="403"/>
      <c r="Y346" s="403"/>
      <c r="Z346" s="403"/>
      <c r="AA346" s="403"/>
      <c r="AB346" s="403"/>
      <c r="AC346" s="403"/>
      <c r="AD346" s="403"/>
      <c r="AE346" s="403"/>
      <c r="AF346" s="403"/>
      <c r="AG346" s="403"/>
      <c r="AH346" s="403"/>
      <c r="AI346" s="403"/>
      <c r="AJ346" s="403"/>
      <c r="AK346" s="403"/>
      <c r="AL346" s="403"/>
      <c r="AM346" s="403"/>
      <c r="AN346" s="403" t="s">
        <v>11322</v>
      </c>
      <c r="AO346" s="403"/>
      <c r="AP346" s="403"/>
      <c r="AQ346" s="403"/>
      <c r="AR346" s="403"/>
      <c r="AS346" s="403"/>
      <c r="AT346" s="403"/>
      <c r="AU346" s="403"/>
      <c r="AV346" s="403"/>
      <c r="AW346" s="403"/>
      <c r="AX346" s="403"/>
      <c r="AY346" s="403"/>
      <c r="AZ346" s="403"/>
      <c r="BA346" s="403"/>
      <c r="BB346" s="403"/>
      <c r="BC346" s="403"/>
      <c r="BD346" s="403"/>
      <c r="BE346" s="403"/>
      <c r="BF346" s="403"/>
      <c r="BG346" s="403" t="s">
        <v>11323</v>
      </c>
      <c r="BH346" s="403"/>
      <c r="BI346" s="403"/>
      <c r="BJ346" s="403"/>
      <c r="BK346" s="403"/>
      <c r="BL346" s="403"/>
      <c r="BM346" s="403"/>
      <c r="BN346" s="403"/>
      <c r="BO346" s="403"/>
      <c r="BP346" s="403"/>
      <c r="BQ346" s="403"/>
      <c r="BR346" s="403"/>
      <c r="BS346" s="403"/>
      <c r="BT346" s="403"/>
      <c r="BU346" s="403"/>
      <c r="BV346" s="403"/>
      <c r="BW346" s="403"/>
      <c r="BX346" s="403"/>
      <c r="BY346" s="403"/>
      <c r="BZ346" s="403" t="s">
        <v>11324</v>
      </c>
      <c r="CA346" s="403"/>
      <c r="CB346" s="403"/>
      <c r="CC346" s="403"/>
      <c r="CD346" s="403"/>
      <c r="CE346" s="403"/>
      <c r="CF346" s="403"/>
      <c r="CG346" s="403"/>
      <c r="CH346" s="403"/>
      <c r="CI346" s="403"/>
      <c r="CJ346" s="403"/>
      <c r="CK346" s="403"/>
      <c r="CL346" s="403"/>
      <c r="CM346" s="403"/>
      <c r="CN346" s="403"/>
      <c r="CO346" s="403"/>
      <c r="CP346" s="403"/>
      <c r="CQ346" s="403"/>
      <c r="CR346" s="403"/>
      <c r="CS346" s="403" t="s">
        <v>11325</v>
      </c>
      <c r="CT346" s="403"/>
      <c r="CU346" s="403"/>
      <c r="CV346" s="403"/>
      <c r="CW346" s="403"/>
      <c r="CX346" s="403"/>
      <c r="CY346" s="403"/>
      <c r="CZ346" s="403"/>
      <c r="DA346" s="403"/>
      <c r="DB346" s="403"/>
      <c r="DC346" s="403"/>
      <c r="DD346" s="403"/>
      <c r="DE346" s="403"/>
      <c r="DF346" s="403"/>
      <c r="DG346" s="403"/>
      <c r="DH346" s="403"/>
      <c r="DI346" s="403"/>
      <c r="DJ346" s="403"/>
      <c r="DK346" s="403"/>
      <c r="DL346" s="403" t="s">
        <v>11326</v>
      </c>
      <c r="DM346" s="403"/>
      <c r="DN346" s="403"/>
      <c r="DO346" s="403"/>
      <c r="DP346" s="403"/>
      <c r="DQ346" s="403"/>
      <c r="DR346" s="403"/>
      <c r="DS346" s="403"/>
      <c r="DT346" s="403"/>
      <c r="DU346" s="403"/>
      <c r="DV346" s="403"/>
      <c r="DW346" s="403"/>
      <c r="DX346" s="403"/>
      <c r="DY346" s="403"/>
      <c r="DZ346" s="403"/>
      <c r="EA346" s="403"/>
      <c r="EB346" s="403"/>
      <c r="EC346" s="403"/>
      <c r="ED346" s="403"/>
      <c r="EE346" s="403" t="s">
        <v>11327</v>
      </c>
      <c r="EF346" s="403"/>
      <c r="EG346" s="403"/>
      <c r="EH346" s="403"/>
      <c r="EI346" s="403"/>
      <c r="EJ346" s="403"/>
      <c r="EK346" s="403"/>
      <c r="EL346" s="403"/>
      <c r="EM346" s="403"/>
      <c r="EN346" s="403"/>
      <c r="EO346" s="403"/>
      <c r="EP346" s="403"/>
      <c r="EQ346" s="403"/>
      <c r="ER346" s="403"/>
      <c r="ES346" s="403"/>
      <c r="ET346" s="403"/>
    </row>
    <row r="347" spans="1:150" s="281" customFormat="1" x14ac:dyDescent="0.2">
      <c r="B347" s="624" t="str">
        <f ca="1">IF(OFFSET(T347,0,Lang_Order*Lang__B4)="","",OFFSET(T347,0,Lang_Order*Lang__B4))</f>
        <v>Fixed Sites - On-grid</v>
      </c>
      <c r="D347" s="159"/>
      <c r="R347" s="403"/>
      <c r="S347" s="403"/>
      <c r="T347" s="403" t="s">
        <v>3654</v>
      </c>
      <c r="U347" s="403"/>
      <c r="V347" s="403"/>
      <c r="W347" s="403"/>
      <c r="X347" s="403"/>
      <c r="Y347" s="403"/>
      <c r="Z347" s="403"/>
      <c r="AA347" s="403"/>
      <c r="AB347" s="403"/>
      <c r="AC347" s="403"/>
      <c r="AD347" s="403"/>
      <c r="AE347" s="403"/>
      <c r="AF347" s="403"/>
      <c r="AG347" s="403"/>
      <c r="AH347" s="403"/>
      <c r="AI347" s="403"/>
      <c r="AJ347" s="403"/>
      <c r="AK347" s="403"/>
      <c r="AL347" s="403"/>
      <c r="AM347" s="403" t="s">
        <v>11337</v>
      </c>
      <c r="AN347" s="403"/>
      <c r="AO347" s="403"/>
      <c r="AP347" s="403"/>
      <c r="AQ347" s="403"/>
      <c r="AR347" s="403"/>
      <c r="AS347" s="403"/>
      <c r="AT347" s="403"/>
      <c r="AU347" s="403"/>
      <c r="AV347" s="403"/>
      <c r="AW347" s="403"/>
      <c r="AX347" s="403"/>
      <c r="AY347" s="403"/>
      <c r="AZ347" s="403"/>
      <c r="BA347" s="403"/>
      <c r="BB347" s="403"/>
      <c r="BC347" s="403"/>
      <c r="BD347" s="403"/>
      <c r="BE347" s="403"/>
      <c r="BF347" s="403" t="s">
        <v>11338</v>
      </c>
      <c r="BG347" s="403"/>
      <c r="BH347" s="403"/>
      <c r="BI347" s="403"/>
      <c r="BJ347" s="403"/>
      <c r="BK347" s="403"/>
      <c r="BL347" s="403"/>
      <c r="BM347" s="403"/>
      <c r="BN347" s="403"/>
      <c r="BO347" s="403"/>
      <c r="BP347" s="403"/>
      <c r="BQ347" s="403"/>
      <c r="BR347" s="403"/>
      <c r="BS347" s="403"/>
      <c r="BT347" s="403"/>
      <c r="BU347" s="403"/>
      <c r="BV347" s="403"/>
      <c r="BW347" s="403"/>
      <c r="BX347" s="403"/>
      <c r="BY347" s="403" t="s">
        <v>11339</v>
      </c>
      <c r="BZ347" s="403"/>
      <c r="CA347" s="403"/>
      <c r="CB347" s="403"/>
      <c r="CC347" s="403"/>
      <c r="CD347" s="403"/>
      <c r="CE347" s="403"/>
      <c r="CF347" s="403"/>
      <c r="CG347" s="403"/>
      <c r="CH347" s="403"/>
      <c r="CI347" s="403"/>
      <c r="CJ347" s="403"/>
      <c r="CK347" s="403"/>
      <c r="CL347" s="403"/>
      <c r="CM347" s="403"/>
      <c r="CN347" s="403"/>
      <c r="CO347" s="403"/>
      <c r="CP347" s="403"/>
      <c r="CQ347" s="403"/>
      <c r="CR347" s="403" t="s">
        <v>11218</v>
      </c>
      <c r="CS347" s="403"/>
      <c r="CT347" s="403"/>
      <c r="CU347" s="403"/>
      <c r="CV347" s="403"/>
      <c r="CW347" s="403"/>
      <c r="CX347" s="403"/>
      <c r="CY347" s="403"/>
      <c r="CZ347" s="403"/>
      <c r="DA347" s="403"/>
      <c r="DB347" s="403"/>
      <c r="DC347" s="403"/>
      <c r="DD347" s="403"/>
      <c r="DE347" s="403"/>
      <c r="DF347" s="403"/>
      <c r="DG347" s="403"/>
      <c r="DH347" s="403"/>
      <c r="DI347" s="403"/>
      <c r="DJ347" s="403"/>
      <c r="DK347" s="403" t="s">
        <v>11340</v>
      </c>
      <c r="DL347" s="403"/>
      <c r="DM347" s="403"/>
      <c r="DN347" s="403"/>
      <c r="DO347" s="403"/>
      <c r="DP347" s="403"/>
      <c r="DQ347" s="403"/>
      <c r="DR347" s="403"/>
      <c r="DS347" s="403"/>
      <c r="DT347" s="403"/>
      <c r="DU347" s="403"/>
      <c r="DV347" s="403"/>
      <c r="DW347" s="403"/>
      <c r="DX347" s="403"/>
      <c r="DY347" s="403"/>
      <c r="DZ347" s="403"/>
      <c r="EA347" s="403"/>
      <c r="EB347" s="403"/>
      <c r="EC347" s="403"/>
      <c r="ED347" s="403" t="s">
        <v>11341</v>
      </c>
      <c r="EE347" s="403"/>
      <c r="EF347" s="403"/>
      <c r="EG347" s="403"/>
      <c r="EH347" s="403"/>
      <c r="EI347" s="403"/>
      <c r="EJ347" s="403"/>
      <c r="EK347" s="403"/>
      <c r="EL347" s="403"/>
      <c r="EM347" s="403"/>
      <c r="EN347" s="403"/>
      <c r="EO347" s="403"/>
      <c r="EP347" s="403"/>
      <c r="EQ347" s="403"/>
      <c r="ER347" s="403"/>
      <c r="ES347" s="403"/>
      <c r="ET347" s="403"/>
    </row>
    <row r="348" spans="1:150" s="281" customFormat="1" x14ac:dyDescent="0.2">
      <c r="C348" s="5" t="str">
        <f ca="1">IF(OFFSET(U348,0,Lang_Order*Lang__B4)="","",OFFSET(U348,0,Lang_Order*Lang__B4))</f>
        <v>ILR</v>
      </c>
      <c r="D348" s="159" t="str">
        <f>D294</f>
        <v>30-60L - GVR 51 Lite AC</v>
      </c>
      <c r="J348" s="281" t="e">
        <f>P305</f>
        <v>#N/A</v>
      </c>
      <c r="R348" s="403"/>
      <c r="S348" s="403"/>
      <c r="T348" s="403"/>
      <c r="U348" s="403" t="s">
        <v>3220</v>
      </c>
      <c r="V348" s="403"/>
      <c r="W348" s="403"/>
      <c r="X348" s="403"/>
      <c r="Y348" s="403"/>
      <c r="Z348" s="403"/>
      <c r="AA348" s="403"/>
      <c r="AB348" s="403"/>
      <c r="AC348" s="403"/>
      <c r="AD348" s="403"/>
      <c r="AE348" s="403"/>
      <c r="AF348" s="403"/>
      <c r="AG348" s="403"/>
      <c r="AH348" s="403"/>
      <c r="AI348" s="403"/>
      <c r="AJ348" s="403"/>
      <c r="AK348" s="403"/>
      <c r="AL348" s="403"/>
      <c r="AM348" s="403"/>
      <c r="AN348" s="403" t="s">
        <v>10749</v>
      </c>
      <c r="AO348" s="403"/>
      <c r="AP348" s="403"/>
      <c r="AQ348" s="403"/>
      <c r="AR348" s="403"/>
      <c r="AS348" s="403"/>
      <c r="AT348" s="403"/>
      <c r="AU348" s="403"/>
      <c r="AV348" s="403"/>
      <c r="AW348" s="403"/>
      <c r="AX348" s="403"/>
      <c r="AY348" s="403"/>
      <c r="AZ348" s="403"/>
      <c r="BA348" s="403"/>
      <c r="BB348" s="403"/>
      <c r="BC348" s="403"/>
      <c r="BD348" s="403"/>
      <c r="BE348" s="403"/>
      <c r="BF348" s="403"/>
      <c r="BG348" s="403" t="s">
        <v>11302</v>
      </c>
      <c r="BH348" s="403"/>
      <c r="BI348" s="403"/>
      <c r="BJ348" s="403"/>
      <c r="BK348" s="403"/>
      <c r="BL348" s="403"/>
      <c r="BM348" s="403"/>
      <c r="BN348" s="403"/>
      <c r="BO348" s="403"/>
      <c r="BP348" s="403"/>
      <c r="BQ348" s="403"/>
      <c r="BR348" s="403"/>
      <c r="BS348" s="403"/>
      <c r="BT348" s="403"/>
      <c r="BU348" s="403"/>
      <c r="BV348" s="403"/>
      <c r="BW348" s="403"/>
      <c r="BX348" s="403"/>
      <c r="BY348" s="403"/>
      <c r="BZ348" s="403" t="s">
        <v>11303</v>
      </c>
      <c r="CA348" s="403"/>
      <c r="CB348" s="403"/>
      <c r="CC348" s="403"/>
      <c r="CD348" s="403"/>
      <c r="CE348" s="403"/>
      <c r="CF348" s="403"/>
      <c r="CG348" s="403"/>
      <c r="CH348" s="403"/>
      <c r="CI348" s="403"/>
      <c r="CJ348" s="403"/>
      <c r="CK348" s="403"/>
      <c r="CL348" s="403"/>
      <c r="CM348" s="403"/>
      <c r="CN348" s="403"/>
      <c r="CO348" s="403"/>
      <c r="CP348" s="403"/>
      <c r="CQ348" s="403"/>
      <c r="CR348" s="403"/>
      <c r="CS348" s="403" t="s">
        <v>3220</v>
      </c>
      <c r="CT348" s="403"/>
      <c r="CU348" s="403"/>
      <c r="CV348" s="403"/>
      <c r="CW348" s="403"/>
      <c r="CX348" s="403"/>
      <c r="CY348" s="403"/>
      <c r="CZ348" s="403"/>
      <c r="DA348" s="403"/>
      <c r="DB348" s="403"/>
      <c r="DC348" s="403"/>
      <c r="DD348" s="403"/>
      <c r="DE348" s="403"/>
      <c r="DF348" s="403"/>
      <c r="DG348" s="403"/>
      <c r="DH348" s="403"/>
      <c r="DI348" s="403"/>
      <c r="DJ348" s="403"/>
      <c r="DK348" s="403"/>
      <c r="DL348" s="403" t="s">
        <v>10753</v>
      </c>
      <c r="DM348" s="403"/>
      <c r="DN348" s="403"/>
      <c r="DO348" s="403"/>
      <c r="DP348" s="403"/>
      <c r="DQ348" s="403"/>
      <c r="DR348" s="403"/>
      <c r="DS348" s="403"/>
      <c r="DT348" s="403"/>
      <c r="DU348" s="403"/>
      <c r="DV348" s="403"/>
      <c r="DW348" s="403"/>
      <c r="DX348" s="403"/>
      <c r="DY348" s="403"/>
      <c r="DZ348" s="403"/>
      <c r="EA348" s="403"/>
      <c r="EB348" s="403"/>
      <c r="EC348" s="403"/>
      <c r="ED348" s="403"/>
      <c r="EE348" s="403" t="s">
        <v>3220</v>
      </c>
      <c r="EF348" s="403"/>
      <c r="EG348" s="403"/>
      <c r="EH348" s="403"/>
      <c r="EI348" s="403"/>
      <c r="EJ348" s="403"/>
      <c r="EK348" s="403"/>
      <c r="EL348" s="403"/>
      <c r="EM348" s="403"/>
      <c r="EN348" s="403"/>
      <c r="EO348" s="403"/>
      <c r="EP348" s="403"/>
      <c r="EQ348" s="403"/>
      <c r="ER348" s="403"/>
      <c r="ES348" s="403"/>
      <c r="ET348" s="403"/>
    </row>
    <row r="349" spans="1:150" s="281" customFormat="1" x14ac:dyDescent="0.2">
      <c r="C349" s="5" t="str">
        <f ca="1">IF(OFFSET(U349,0,Lang_Order*Lang__B4)="","",OFFSET(U349,0,Lang_Order*Lang__B4))</f>
        <v>ILFR or Freezer</v>
      </c>
      <c r="D349" s="159" t="str">
        <f>D295</f>
        <v>30-60L - GVR 55 FF AC</v>
      </c>
      <c r="J349" s="281" t="e">
        <f>P306</f>
        <v>#N/A</v>
      </c>
      <c r="R349" s="403"/>
      <c r="S349" s="403"/>
      <c r="T349" s="403"/>
      <c r="U349" s="403" t="s">
        <v>3645</v>
      </c>
      <c r="V349" s="403"/>
      <c r="W349" s="403"/>
      <c r="X349" s="403"/>
      <c r="Y349" s="403"/>
      <c r="Z349" s="403"/>
      <c r="AA349" s="403"/>
      <c r="AB349" s="403"/>
      <c r="AC349" s="403"/>
      <c r="AD349" s="403"/>
      <c r="AE349" s="403"/>
      <c r="AF349" s="403"/>
      <c r="AG349" s="403"/>
      <c r="AH349" s="403"/>
      <c r="AI349" s="403"/>
      <c r="AJ349" s="403"/>
      <c r="AK349" s="403"/>
      <c r="AL349" s="403"/>
      <c r="AM349" s="403"/>
      <c r="AN349" s="403" t="s">
        <v>11304</v>
      </c>
      <c r="AO349" s="403"/>
      <c r="AP349" s="403"/>
      <c r="AQ349" s="403"/>
      <c r="AR349" s="403"/>
      <c r="AS349" s="403"/>
      <c r="AT349" s="403"/>
      <c r="AU349" s="403"/>
      <c r="AV349" s="403"/>
      <c r="AW349" s="403"/>
      <c r="AX349" s="403"/>
      <c r="AY349" s="403"/>
      <c r="AZ349" s="403"/>
      <c r="BA349" s="403"/>
      <c r="BB349" s="403"/>
      <c r="BC349" s="403"/>
      <c r="BD349" s="403"/>
      <c r="BE349" s="403"/>
      <c r="BF349" s="403"/>
      <c r="BG349" s="403" t="s">
        <v>11305</v>
      </c>
      <c r="BH349" s="403"/>
      <c r="BI349" s="403"/>
      <c r="BJ349" s="403"/>
      <c r="BK349" s="403"/>
      <c r="BL349" s="403"/>
      <c r="BM349" s="403"/>
      <c r="BN349" s="403"/>
      <c r="BO349" s="403"/>
      <c r="BP349" s="403"/>
      <c r="BQ349" s="403"/>
      <c r="BR349" s="403"/>
      <c r="BS349" s="403"/>
      <c r="BT349" s="403"/>
      <c r="BU349" s="403"/>
      <c r="BV349" s="403"/>
      <c r="BW349" s="403"/>
      <c r="BX349" s="403"/>
      <c r="BY349" s="403"/>
      <c r="BZ349" s="403" t="s">
        <v>11306</v>
      </c>
      <c r="CA349" s="403"/>
      <c r="CB349" s="403"/>
      <c r="CC349" s="403"/>
      <c r="CD349" s="403"/>
      <c r="CE349" s="403"/>
      <c r="CF349" s="403"/>
      <c r="CG349" s="403"/>
      <c r="CH349" s="403"/>
      <c r="CI349" s="403"/>
      <c r="CJ349" s="403"/>
      <c r="CK349" s="403"/>
      <c r="CL349" s="403"/>
      <c r="CM349" s="403"/>
      <c r="CN349" s="403"/>
      <c r="CO349" s="403"/>
      <c r="CP349" s="403"/>
      <c r="CQ349" s="403"/>
      <c r="CR349" s="403"/>
      <c r="CS349" s="403" t="s">
        <v>11307</v>
      </c>
      <c r="CT349" s="403"/>
      <c r="CU349" s="403"/>
      <c r="CV349" s="403"/>
      <c r="CW349" s="403"/>
      <c r="CX349" s="403"/>
      <c r="CY349" s="403"/>
      <c r="CZ349" s="403"/>
      <c r="DA349" s="403"/>
      <c r="DB349" s="403"/>
      <c r="DC349" s="403"/>
      <c r="DD349" s="403"/>
      <c r="DE349" s="403"/>
      <c r="DF349" s="403"/>
      <c r="DG349" s="403"/>
      <c r="DH349" s="403"/>
      <c r="DI349" s="403"/>
      <c r="DJ349" s="403"/>
      <c r="DK349" s="403"/>
      <c r="DL349" s="403" t="s">
        <v>11308</v>
      </c>
      <c r="DM349" s="403"/>
      <c r="DN349" s="403"/>
      <c r="DO349" s="403"/>
      <c r="DP349" s="403"/>
      <c r="DQ349" s="403"/>
      <c r="DR349" s="403"/>
      <c r="DS349" s="403"/>
      <c r="DT349" s="403"/>
      <c r="DU349" s="403"/>
      <c r="DV349" s="403"/>
      <c r="DW349" s="403"/>
      <c r="DX349" s="403"/>
      <c r="DY349" s="403"/>
      <c r="DZ349" s="403"/>
      <c r="EA349" s="403"/>
      <c r="EB349" s="403"/>
      <c r="EC349" s="403"/>
      <c r="ED349" s="403"/>
      <c r="EE349" s="403" t="s">
        <v>11309</v>
      </c>
      <c r="EF349" s="403"/>
      <c r="EG349" s="403"/>
      <c r="EH349" s="403"/>
      <c r="EI349" s="403"/>
      <c r="EJ349" s="403"/>
      <c r="EK349" s="403"/>
      <c r="EL349" s="403"/>
      <c r="EM349" s="403"/>
      <c r="EN349" s="403"/>
      <c r="EO349" s="403"/>
      <c r="EP349" s="403"/>
      <c r="EQ349" s="403"/>
      <c r="ER349" s="403"/>
      <c r="ES349" s="403"/>
      <c r="ET349" s="403"/>
    </row>
    <row r="350" spans="1:150" s="281" customFormat="1" x14ac:dyDescent="0.2">
      <c r="B350" s="624" t="str">
        <f ca="1">IF(OFFSET(T350,0,Lang_Order*Lang__B4)="","",OFFSET(T350,0,Lang_Order*Lang__B4))</f>
        <v>Others</v>
      </c>
      <c r="D350" s="159"/>
      <c r="R350" s="403"/>
      <c r="S350" s="403"/>
      <c r="T350" s="403" t="s">
        <v>3670</v>
      </c>
      <c r="U350" s="403"/>
      <c r="V350" s="403"/>
      <c r="W350" s="403"/>
      <c r="X350" s="403"/>
      <c r="Y350" s="403"/>
      <c r="Z350" s="403"/>
      <c r="AA350" s="403"/>
      <c r="AB350" s="403"/>
      <c r="AC350" s="403"/>
      <c r="AD350" s="403"/>
      <c r="AE350" s="403"/>
      <c r="AF350" s="403"/>
      <c r="AG350" s="403"/>
      <c r="AH350" s="403"/>
      <c r="AI350" s="403"/>
      <c r="AJ350" s="403"/>
      <c r="AK350" s="403"/>
      <c r="AL350" s="403"/>
      <c r="AM350" s="403" t="s">
        <v>11342</v>
      </c>
      <c r="AN350" s="403"/>
      <c r="AO350" s="403"/>
      <c r="AP350" s="403"/>
      <c r="AQ350" s="403"/>
      <c r="AR350" s="403"/>
      <c r="AS350" s="403"/>
      <c r="AT350" s="403"/>
      <c r="AU350" s="403"/>
      <c r="AV350" s="403"/>
      <c r="AW350" s="403"/>
      <c r="AX350" s="403"/>
      <c r="AY350" s="403"/>
      <c r="AZ350" s="403"/>
      <c r="BA350" s="403"/>
      <c r="BB350" s="403"/>
      <c r="BC350" s="403"/>
      <c r="BD350" s="403"/>
      <c r="BE350" s="403"/>
      <c r="BF350" s="403" t="s">
        <v>11343</v>
      </c>
      <c r="BG350" s="403"/>
      <c r="BH350" s="403"/>
      <c r="BI350" s="403"/>
      <c r="BJ350" s="403"/>
      <c r="BK350" s="403"/>
      <c r="BL350" s="403"/>
      <c r="BM350" s="403"/>
      <c r="BN350" s="403"/>
      <c r="BO350" s="403"/>
      <c r="BP350" s="403"/>
      <c r="BQ350" s="403" t="s">
        <v>2642</v>
      </c>
      <c r="BR350" s="403"/>
      <c r="BS350" s="403"/>
      <c r="BT350" s="403"/>
      <c r="BU350" s="403"/>
      <c r="BV350" s="403"/>
      <c r="BW350" s="403"/>
      <c r="BX350" s="403"/>
      <c r="BY350" s="403" t="s">
        <v>11344</v>
      </c>
      <c r="BZ350" s="403"/>
      <c r="CA350" s="403"/>
      <c r="CB350" s="403"/>
      <c r="CC350" s="403"/>
      <c r="CD350" s="403"/>
      <c r="CE350" s="403"/>
      <c r="CF350" s="403"/>
      <c r="CG350" s="403"/>
      <c r="CH350" s="403"/>
      <c r="CI350" s="403"/>
      <c r="CJ350" s="403"/>
      <c r="CK350" s="403"/>
      <c r="CL350" s="403"/>
      <c r="CM350" s="403"/>
      <c r="CN350" s="403"/>
      <c r="CO350" s="403"/>
      <c r="CP350" s="403"/>
      <c r="CQ350" s="403"/>
      <c r="CR350" s="403" t="s">
        <v>11345</v>
      </c>
      <c r="CS350" s="403"/>
      <c r="CT350" s="403"/>
      <c r="CU350" s="403"/>
      <c r="CV350" s="403"/>
      <c r="CW350" s="403"/>
      <c r="CX350" s="403"/>
      <c r="CY350" s="403"/>
      <c r="CZ350" s="403"/>
      <c r="DA350" s="403"/>
      <c r="DB350" s="403"/>
      <c r="DC350" s="403"/>
      <c r="DD350" s="403"/>
      <c r="DE350" s="403"/>
      <c r="DF350" s="403"/>
      <c r="DG350" s="403"/>
      <c r="DH350" s="403"/>
      <c r="DI350" s="403"/>
      <c r="DJ350" s="403"/>
      <c r="DK350" s="403" t="s">
        <v>11346</v>
      </c>
      <c r="DL350" s="403"/>
      <c r="DM350" s="403"/>
      <c r="DN350" s="403"/>
      <c r="DO350" s="403"/>
      <c r="DP350" s="403"/>
      <c r="DQ350" s="403"/>
      <c r="DR350" s="403"/>
      <c r="DS350" s="403"/>
      <c r="DT350" s="403"/>
      <c r="DU350" s="403"/>
      <c r="DV350" s="403"/>
      <c r="DW350" s="403"/>
      <c r="DX350" s="403"/>
      <c r="DY350" s="403"/>
      <c r="DZ350" s="403"/>
      <c r="EA350" s="403"/>
      <c r="EB350" s="403"/>
      <c r="EC350" s="403"/>
      <c r="ED350" s="403" t="s">
        <v>11347</v>
      </c>
      <c r="EE350" s="403"/>
      <c r="EF350" s="403"/>
      <c r="EG350" s="403"/>
      <c r="EH350" s="403"/>
      <c r="EI350" s="403"/>
      <c r="EJ350" s="403"/>
      <c r="EK350" s="403"/>
      <c r="EL350" s="403"/>
      <c r="EM350" s="403"/>
      <c r="EN350" s="403"/>
      <c r="EO350" s="403"/>
      <c r="EP350" s="403"/>
      <c r="EQ350" s="403"/>
      <c r="ER350" s="403"/>
      <c r="ES350" s="403"/>
      <c r="ET350" s="403"/>
    </row>
    <row r="351" spans="1:150" s="281" customFormat="1" x14ac:dyDescent="0.2">
      <c r="C351" s="5" t="str">
        <f ca="1">IF(OFFSET(U351,0,Lang_Order*Lang__B4)="","",OFFSET(U351,0,Lang_Order*Lang__B4))</f>
        <v>Remote Temperature Monitoring Devices @ Districts and Fixed Sites</v>
      </c>
      <c r="D351" s="159" t="str">
        <f>D228</f>
        <v>Haier U-Cool (Refrigerator model)+ 3 years data/portal access</v>
      </c>
      <c r="J351" s="281" t="e">
        <f>P239+P244+P303+P308</f>
        <v>#N/A</v>
      </c>
      <c r="R351" s="403"/>
      <c r="S351" s="403"/>
      <c r="T351" s="403"/>
      <c r="U351" s="403" t="s">
        <v>3651</v>
      </c>
      <c r="V351" s="403"/>
      <c r="W351" s="403"/>
      <c r="X351" s="403"/>
      <c r="Y351" s="403"/>
      <c r="Z351" s="403"/>
      <c r="AA351" s="403"/>
      <c r="AB351" s="403"/>
      <c r="AC351" s="403"/>
      <c r="AD351" s="403"/>
      <c r="AE351" s="403"/>
      <c r="AF351" s="403"/>
      <c r="AG351" s="403"/>
      <c r="AH351" s="403"/>
      <c r="AI351" s="403"/>
      <c r="AJ351" s="403"/>
      <c r="AK351" s="403"/>
      <c r="AL351" s="403"/>
      <c r="AM351" s="403"/>
      <c r="AN351" s="403" t="s">
        <v>11348</v>
      </c>
      <c r="AO351" s="403"/>
      <c r="AP351" s="403"/>
      <c r="AQ351" s="403"/>
      <c r="AR351" s="403"/>
      <c r="AS351" s="403"/>
      <c r="AT351" s="403"/>
      <c r="AU351" s="403"/>
      <c r="AV351" s="403"/>
      <c r="AW351" s="403"/>
      <c r="AX351" s="403"/>
      <c r="AY351" s="403"/>
      <c r="AZ351" s="403"/>
      <c r="BA351" s="403"/>
      <c r="BB351" s="403"/>
      <c r="BC351" s="403"/>
      <c r="BD351" s="403"/>
      <c r="BE351" s="403"/>
      <c r="BF351" s="403"/>
      <c r="BG351" s="403" t="s">
        <v>11349</v>
      </c>
      <c r="BH351" s="403"/>
      <c r="BI351" s="403"/>
      <c r="BJ351" s="403"/>
      <c r="BK351" s="403"/>
      <c r="BL351" s="403"/>
      <c r="BM351" s="403"/>
      <c r="BN351" s="403"/>
      <c r="BO351" s="403"/>
      <c r="BP351" s="403"/>
      <c r="BQ351" s="403"/>
      <c r="BR351" s="403"/>
      <c r="BS351" s="403"/>
      <c r="BT351" s="403"/>
      <c r="BU351" s="403"/>
      <c r="BV351" s="403"/>
      <c r="BW351" s="403"/>
      <c r="BX351" s="403"/>
      <c r="BY351" s="403"/>
      <c r="BZ351" s="403" t="s">
        <v>11350</v>
      </c>
      <c r="CA351" s="403"/>
      <c r="CB351" s="403"/>
      <c r="CC351" s="403"/>
      <c r="CD351" s="403"/>
      <c r="CE351" s="403"/>
      <c r="CF351" s="403"/>
      <c r="CG351" s="403"/>
      <c r="CH351" s="403"/>
      <c r="CI351" s="403"/>
      <c r="CJ351" s="403"/>
      <c r="CK351" s="403"/>
      <c r="CL351" s="403"/>
      <c r="CM351" s="403"/>
      <c r="CN351" s="403"/>
      <c r="CO351" s="403"/>
      <c r="CP351" s="403"/>
      <c r="CQ351" s="403"/>
      <c r="CR351" s="403"/>
      <c r="CS351" s="403" t="s">
        <v>11351</v>
      </c>
      <c r="CT351" s="403"/>
      <c r="CU351" s="403"/>
      <c r="CV351" s="403"/>
      <c r="CW351" s="403"/>
      <c r="CX351" s="403"/>
      <c r="CY351" s="403"/>
      <c r="CZ351" s="403"/>
      <c r="DA351" s="403"/>
      <c r="DB351" s="403"/>
      <c r="DC351" s="403"/>
      <c r="DD351" s="403"/>
      <c r="DE351" s="403"/>
      <c r="DF351" s="403"/>
      <c r="DG351" s="403"/>
      <c r="DH351" s="403"/>
      <c r="DI351" s="403"/>
      <c r="DJ351" s="403"/>
      <c r="DK351" s="403"/>
      <c r="DL351" s="403"/>
      <c r="DM351" s="403"/>
      <c r="DN351" s="403"/>
      <c r="DO351" s="403"/>
      <c r="DP351" s="403"/>
      <c r="DQ351" s="403"/>
      <c r="DR351" s="403"/>
      <c r="DS351" s="403"/>
      <c r="DT351" s="403"/>
      <c r="DU351" s="403"/>
      <c r="DV351" s="403"/>
      <c r="DW351" s="403"/>
      <c r="DX351" s="403"/>
      <c r="DY351" s="403"/>
      <c r="DZ351" s="403"/>
      <c r="EA351" s="403"/>
      <c r="EB351" s="403"/>
      <c r="EC351" s="403"/>
      <c r="ED351" s="403"/>
      <c r="EE351" s="403" t="s">
        <v>11352</v>
      </c>
      <c r="EF351" s="403"/>
      <c r="EG351" s="403"/>
      <c r="EH351" s="403"/>
      <c r="EI351" s="403"/>
      <c r="EJ351" s="403"/>
      <c r="EK351" s="403"/>
      <c r="EL351" s="403"/>
      <c r="EM351" s="403"/>
      <c r="EN351" s="403"/>
      <c r="EO351" s="403"/>
      <c r="EP351" s="403"/>
      <c r="EQ351" s="403"/>
      <c r="ER351" s="403"/>
      <c r="ES351" s="403"/>
      <c r="ET351" s="403"/>
    </row>
    <row r="352" spans="1:150" s="281" customFormat="1" x14ac:dyDescent="0.2">
      <c r="A352" s="567"/>
      <c r="C352" s="5" t="str">
        <f ca="1">IF(OFFSET(U352,0,Lang_Order*Lang__B4)="","",OFFSET(U352,0,Lang_Order*Lang__B4))</f>
        <v>Ice pack freezers @ Regions and Districts</v>
      </c>
      <c r="D352" s="159"/>
      <c r="J352" s="281">
        <f>P170+P243</f>
        <v>0</v>
      </c>
      <c r="R352" s="403"/>
      <c r="S352" s="403"/>
      <c r="T352" s="403"/>
      <c r="U352" s="403" t="s">
        <v>3646</v>
      </c>
      <c r="V352" s="403"/>
      <c r="W352" s="403"/>
      <c r="X352" s="403"/>
      <c r="Y352" s="403"/>
      <c r="Z352" s="403"/>
      <c r="AA352" s="403"/>
      <c r="AB352" s="403"/>
      <c r="AC352" s="403"/>
      <c r="AD352" s="403"/>
      <c r="AE352" s="403"/>
      <c r="AF352" s="403"/>
      <c r="AG352" s="403"/>
      <c r="AH352" s="403"/>
      <c r="AI352" s="403"/>
      <c r="AJ352" s="403"/>
      <c r="AK352" s="403"/>
      <c r="AL352" s="403"/>
      <c r="AM352" s="403"/>
      <c r="AN352" s="403" t="s">
        <v>11353</v>
      </c>
      <c r="AO352" s="403"/>
      <c r="AP352" s="403"/>
      <c r="AQ352" s="403"/>
      <c r="AR352" s="403"/>
      <c r="AS352" s="403"/>
      <c r="AT352" s="403"/>
      <c r="AU352" s="403"/>
      <c r="AV352" s="403"/>
      <c r="AW352" s="403"/>
      <c r="AX352" s="403"/>
      <c r="AY352" s="403"/>
      <c r="AZ352" s="403"/>
      <c r="BA352" s="403"/>
      <c r="BB352" s="403"/>
      <c r="BC352" s="403"/>
      <c r="BD352" s="403"/>
      <c r="BE352" s="403"/>
      <c r="BF352" s="403"/>
      <c r="BG352" s="403" t="s">
        <v>11354</v>
      </c>
      <c r="BH352" s="403"/>
      <c r="BI352" s="403"/>
      <c r="BJ352" s="403"/>
      <c r="BK352" s="403"/>
      <c r="BL352" s="403"/>
      <c r="BM352" s="403"/>
      <c r="BN352" s="403"/>
      <c r="BO352" s="403"/>
      <c r="BP352" s="403"/>
      <c r="BQ352" s="403"/>
      <c r="BR352" s="403"/>
      <c r="BS352" s="403"/>
      <c r="BT352" s="403"/>
      <c r="BU352" s="403"/>
      <c r="BV352" s="403"/>
      <c r="BW352" s="403"/>
      <c r="BX352" s="403"/>
      <c r="BY352" s="403"/>
      <c r="BZ352" s="403" t="s">
        <v>11355</v>
      </c>
      <c r="CA352" s="403"/>
      <c r="CB352" s="403"/>
      <c r="CC352" s="403"/>
      <c r="CD352" s="403"/>
      <c r="CE352" s="403"/>
      <c r="CF352" s="403"/>
      <c r="CG352" s="403"/>
      <c r="CH352" s="403"/>
      <c r="CI352" s="403"/>
      <c r="CJ352" s="403"/>
      <c r="CK352" s="403"/>
      <c r="CL352" s="403"/>
      <c r="CM352" s="403"/>
      <c r="CN352" s="403"/>
      <c r="CO352" s="403"/>
      <c r="CP352" s="403"/>
      <c r="CQ352" s="403"/>
      <c r="CR352" s="403"/>
      <c r="CS352" s="403" t="s">
        <v>11356</v>
      </c>
      <c r="CT352" s="403"/>
      <c r="CU352" s="403"/>
      <c r="CV352" s="403"/>
      <c r="CW352" s="403"/>
      <c r="CX352" s="403"/>
      <c r="CY352" s="403"/>
      <c r="CZ352" s="403"/>
      <c r="DA352" s="403"/>
      <c r="DB352" s="403"/>
      <c r="DC352" s="403"/>
      <c r="DD352" s="403"/>
      <c r="DE352" s="403"/>
      <c r="DF352" s="403"/>
      <c r="DG352" s="403"/>
      <c r="DH352" s="403"/>
      <c r="DI352" s="403"/>
      <c r="DJ352" s="403"/>
      <c r="DK352" s="403"/>
      <c r="DL352" s="403" t="s">
        <v>11357</v>
      </c>
      <c r="DM352" s="403"/>
      <c r="DN352" s="403"/>
      <c r="DO352" s="403"/>
      <c r="DP352" s="403"/>
      <c r="DQ352" s="403"/>
      <c r="DR352" s="403"/>
      <c r="DS352" s="403"/>
      <c r="DT352" s="403"/>
      <c r="DU352" s="403"/>
      <c r="DV352" s="403"/>
      <c r="DW352" s="403"/>
      <c r="DX352" s="403"/>
      <c r="DY352" s="403"/>
      <c r="DZ352" s="403"/>
      <c r="EA352" s="403"/>
      <c r="EB352" s="403"/>
      <c r="EC352" s="403"/>
      <c r="ED352" s="403"/>
      <c r="EE352" s="403" t="s">
        <v>11358</v>
      </c>
      <c r="EF352" s="403"/>
      <c r="EG352" s="403"/>
      <c r="EH352" s="403"/>
      <c r="EI352" s="403"/>
      <c r="EJ352" s="403"/>
      <c r="EK352" s="403"/>
      <c r="EL352" s="403"/>
      <c r="EM352" s="403"/>
      <c r="EN352" s="403"/>
      <c r="EO352" s="403"/>
      <c r="EP352" s="403"/>
      <c r="EQ352" s="403"/>
      <c r="ER352" s="403"/>
      <c r="ES352" s="403"/>
      <c r="ET352" s="403"/>
    </row>
    <row r="353" spans="1:150" s="281" customFormat="1" x14ac:dyDescent="0.2">
      <c r="A353" s="567"/>
      <c r="R353" s="403"/>
      <c r="S353" s="403"/>
      <c r="T353" s="403"/>
      <c r="U353" s="403"/>
      <c r="V353" s="403"/>
      <c r="W353" s="403"/>
      <c r="X353" s="403"/>
      <c r="Y353" s="403"/>
      <c r="Z353" s="403"/>
      <c r="AA353" s="403"/>
      <c r="AB353" s="403"/>
      <c r="AC353" s="403"/>
      <c r="AD353" s="403"/>
      <c r="AE353" s="403"/>
      <c r="AF353" s="403"/>
      <c r="AG353" s="403"/>
      <c r="AH353" s="403"/>
      <c r="AI353" s="403"/>
      <c r="AJ353" s="403"/>
      <c r="AK353" s="403"/>
      <c r="AL353" s="403"/>
      <c r="AM353" s="403"/>
      <c r="AN353" s="403"/>
      <c r="AO353" s="403"/>
      <c r="AP353" s="403"/>
      <c r="AQ353" s="403"/>
      <c r="AR353" s="403"/>
      <c r="AS353" s="403"/>
      <c r="AT353" s="403"/>
      <c r="AU353" s="403"/>
      <c r="AV353" s="403"/>
      <c r="AW353" s="403"/>
      <c r="AX353" s="403"/>
      <c r="AY353" s="403"/>
      <c r="AZ353" s="403"/>
      <c r="BA353" s="403"/>
      <c r="BB353" s="403"/>
      <c r="BC353" s="403"/>
      <c r="BD353" s="403"/>
      <c r="BE353" s="403"/>
      <c r="BF353" s="403"/>
      <c r="BG353" s="403"/>
      <c r="BH353" s="403"/>
      <c r="BI353" s="403"/>
      <c r="BJ353" s="403"/>
      <c r="BK353" s="403"/>
      <c r="BL353" s="403"/>
      <c r="BM353" s="403"/>
      <c r="BN353" s="403"/>
      <c r="BO353" s="403"/>
      <c r="BP353" s="403"/>
      <c r="BQ353" s="403"/>
      <c r="BR353" s="403"/>
      <c r="BS353" s="403"/>
      <c r="BT353" s="403"/>
      <c r="BU353" s="403"/>
      <c r="BV353" s="403"/>
      <c r="BW353" s="403"/>
      <c r="BX353" s="403"/>
      <c r="BY353" s="403"/>
      <c r="BZ353" s="403"/>
      <c r="CA353" s="403"/>
      <c r="CB353" s="403"/>
      <c r="CC353" s="403"/>
      <c r="CD353" s="403"/>
      <c r="CE353" s="403"/>
      <c r="CF353" s="403"/>
      <c r="CG353" s="403"/>
      <c r="CH353" s="403"/>
      <c r="CI353" s="403"/>
      <c r="CJ353" s="403"/>
      <c r="CK353" s="403"/>
      <c r="CL353" s="403"/>
      <c r="CM353" s="403"/>
      <c r="CN353" s="403"/>
      <c r="CO353" s="403"/>
      <c r="CP353" s="403"/>
      <c r="CQ353" s="403"/>
      <c r="CR353" s="403"/>
      <c r="CS353" s="403"/>
      <c r="CT353" s="403"/>
      <c r="CU353" s="403"/>
      <c r="CV353" s="403"/>
      <c r="CW353" s="403"/>
      <c r="CX353" s="403"/>
      <c r="CY353" s="403"/>
      <c r="CZ353" s="403"/>
      <c r="DA353" s="403"/>
      <c r="DB353" s="403"/>
      <c r="DC353" s="403"/>
      <c r="DD353" s="403"/>
      <c r="DE353" s="403"/>
      <c r="DF353" s="403"/>
      <c r="DG353" s="403"/>
      <c r="DH353" s="403"/>
      <c r="DI353" s="403"/>
      <c r="DJ353" s="403"/>
      <c r="DK353" s="403"/>
      <c r="DL353" s="403"/>
      <c r="DM353" s="403"/>
      <c r="DN353" s="403"/>
      <c r="DO353" s="403"/>
      <c r="DP353" s="403"/>
      <c r="DQ353" s="403"/>
      <c r="DR353" s="403"/>
      <c r="DS353" s="403"/>
      <c r="DT353" s="403"/>
      <c r="DU353" s="403"/>
      <c r="DV353" s="403"/>
      <c r="DW353" s="403"/>
      <c r="DX353" s="403"/>
      <c r="DY353" s="403"/>
      <c r="DZ353" s="403"/>
      <c r="EA353" s="403"/>
      <c r="EB353" s="403"/>
      <c r="EC353" s="403"/>
      <c r="ED353" s="403"/>
      <c r="EE353" s="403"/>
      <c r="EF353" s="403"/>
      <c r="EG353" s="403"/>
      <c r="EH353" s="403"/>
      <c r="EI353" s="403"/>
      <c r="EJ353" s="403"/>
      <c r="EK353" s="403"/>
      <c r="EL353" s="403"/>
      <c r="EM353" s="403"/>
      <c r="EN353" s="403"/>
      <c r="EO353" s="403"/>
      <c r="EP353" s="403"/>
      <c r="EQ353" s="403"/>
      <c r="ER353" s="403"/>
      <c r="ES353" s="403"/>
      <c r="ET353" s="403"/>
    </row>
    <row r="354" spans="1:150" s="281" customFormat="1" ht="13.5" thickBot="1" x14ac:dyDescent="0.25">
      <c r="A354" s="567"/>
      <c r="D354" s="21" t="str">
        <f ca="1">IF(OFFSET(V354,0,Lang_Order*Lang__B4)="","",OFFSET(V354,0,Lang_Order*Lang__B4))</f>
        <v>Total Capital Expenditures for Cold Chain</v>
      </c>
      <c r="E354" s="20"/>
      <c r="F354" s="20"/>
      <c r="G354" s="20"/>
      <c r="H354" s="20"/>
      <c r="I354" s="20"/>
      <c r="J354" s="118" t="e">
        <f>SUM(J316,J252,J181,J133)</f>
        <v>#N/A</v>
      </c>
      <c r="Q354" s="503"/>
      <c r="R354" s="403"/>
      <c r="S354" s="403"/>
      <c r="T354" s="403"/>
      <c r="U354" s="403"/>
      <c r="V354" s="403" t="s">
        <v>3655</v>
      </c>
      <c r="W354" s="403"/>
      <c r="X354" s="403"/>
      <c r="Y354" s="403"/>
      <c r="Z354" s="403"/>
      <c r="AA354" s="403"/>
      <c r="AB354" s="403"/>
      <c r="AC354" s="403"/>
      <c r="AD354" s="403"/>
      <c r="AE354" s="403"/>
      <c r="AF354" s="403"/>
      <c r="AG354" s="403"/>
      <c r="AH354" s="403"/>
      <c r="AI354" s="403"/>
      <c r="AJ354" s="403"/>
      <c r="AK354" s="403"/>
      <c r="AL354" s="403"/>
      <c r="AM354" s="403"/>
      <c r="AN354" s="403"/>
      <c r="AO354" s="403" t="s">
        <v>11359</v>
      </c>
      <c r="AP354" s="403"/>
      <c r="AQ354" s="403"/>
      <c r="AR354" s="403"/>
      <c r="AS354" s="403"/>
      <c r="AT354" s="403"/>
      <c r="AU354" s="403"/>
      <c r="AV354" s="403"/>
      <c r="AW354" s="403"/>
      <c r="AX354" s="403"/>
      <c r="AY354" s="403"/>
      <c r="AZ354" s="403"/>
      <c r="BA354" s="403"/>
      <c r="BB354" s="403"/>
      <c r="BC354" s="403"/>
      <c r="BD354" s="403"/>
      <c r="BE354" s="403"/>
      <c r="BF354" s="403"/>
      <c r="BG354" s="403"/>
      <c r="BH354" s="403" t="s">
        <v>11360</v>
      </c>
      <c r="BI354" s="403"/>
      <c r="BJ354" s="403"/>
      <c r="BK354" s="403"/>
      <c r="BL354" s="403"/>
      <c r="BM354" s="403"/>
      <c r="BN354" s="403"/>
      <c r="BO354" s="403"/>
      <c r="BP354" s="403"/>
      <c r="BQ354" s="403"/>
      <c r="BR354" s="403"/>
      <c r="BS354" s="403"/>
      <c r="BT354" s="403"/>
      <c r="BU354" s="403"/>
      <c r="BV354" s="403"/>
      <c r="BW354" s="403"/>
      <c r="BX354" s="403"/>
      <c r="BY354" s="403"/>
      <c r="BZ354" s="403"/>
      <c r="CA354" s="403" t="s">
        <v>11361</v>
      </c>
      <c r="CB354" s="403"/>
      <c r="CC354" s="403"/>
      <c r="CD354" s="403"/>
      <c r="CE354" s="403"/>
      <c r="CF354" s="403"/>
      <c r="CG354" s="403"/>
      <c r="CH354" s="403"/>
      <c r="CI354" s="403"/>
      <c r="CJ354" s="403"/>
      <c r="CK354" s="403"/>
      <c r="CL354" s="403"/>
      <c r="CM354" s="403"/>
      <c r="CN354" s="403"/>
      <c r="CO354" s="403"/>
      <c r="CP354" s="403"/>
      <c r="CQ354" s="403"/>
      <c r="CR354" s="403"/>
      <c r="CS354" s="403"/>
      <c r="CT354" s="403" t="s">
        <v>11362</v>
      </c>
      <c r="CU354" s="403"/>
      <c r="CV354" s="403"/>
      <c r="CW354" s="403"/>
      <c r="CX354" s="403"/>
      <c r="CY354" s="403"/>
      <c r="CZ354" s="403"/>
      <c r="DA354" s="403"/>
      <c r="DB354" s="403"/>
      <c r="DC354" s="403"/>
      <c r="DD354" s="403"/>
      <c r="DE354" s="403"/>
      <c r="DF354" s="403"/>
      <c r="DG354" s="403"/>
      <c r="DH354" s="403"/>
      <c r="DI354" s="403"/>
      <c r="DJ354" s="403"/>
      <c r="DK354" s="403"/>
      <c r="DL354" s="403"/>
      <c r="DM354" s="403" t="s">
        <v>11363</v>
      </c>
      <c r="DN354" s="403"/>
      <c r="DO354" s="403"/>
      <c r="DP354" s="403"/>
      <c r="DQ354" s="403"/>
      <c r="DR354" s="403"/>
      <c r="DS354" s="403"/>
      <c r="DT354" s="403"/>
      <c r="DU354" s="403"/>
      <c r="DV354" s="403"/>
      <c r="DW354" s="403"/>
      <c r="DX354" s="403"/>
      <c r="DY354" s="403"/>
      <c r="DZ354" s="403"/>
      <c r="EA354" s="403"/>
      <c r="EB354" s="403"/>
      <c r="EC354" s="403"/>
      <c r="ED354" s="403"/>
      <c r="EE354" s="403"/>
      <c r="EF354" s="403" t="s">
        <v>11364</v>
      </c>
      <c r="EG354" s="403"/>
      <c r="EH354" s="403"/>
      <c r="EI354" s="403"/>
      <c r="EJ354" s="403"/>
      <c r="EK354" s="403"/>
      <c r="EL354" s="403"/>
      <c r="EM354" s="403"/>
      <c r="EN354" s="403"/>
      <c r="EO354" s="403"/>
      <c r="EP354" s="403"/>
      <c r="EQ354" s="403"/>
      <c r="ER354" s="403"/>
      <c r="ES354" s="403"/>
      <c r="ET354" s="403"/>
    </row>
    <row r="355" spans="1:150" s="281" customFormat="1" ht="13.5" thickTop="1" x14ac:dyDescent="0.2">
      <c r="A355" s="567"/>
      <c r="D355" s="309" t="str">
        <f ca="1">IF(OFFSET(V355,0,Lang_Order*Lang__B4)="","",OFFSET(V355,0,Lang_Order*Lang__B4))</f>
        <v>Value (for customs clearance)</v>
      </c>
      <c r="J355" s="158" t="e">
        <f>SUM(O317,O253,O182,O134)</f>
        <v>#N/A</v>
      </c>
      <c r="K355" s="499"/>
      <c r="L355" s="499"/>
      <c r="R355" s="403"/>
      <c r="S355" s="403"/>
      <c r="T355" s="403"/>
      <c r="U355" s="403"/>
      <c r="V355" s="403" t="s">
        <v>3675</v>
      </c>
      <c r="W355" s="403"/>
      <c r="X355" s="403"/>
      <c r="Y355" s="403"/>
      <c r="Z355" s="403"/>
      <c r="AA355" s="403"/>
      <c r="AB355" s="403"/>
      <c r="AC355" s="403"/>
      <c r="AD355" s="403"/>
      <c r="AE355" s="403"/>
      <c r="AF355" s="403"/>
      <c r="AG355" s="403"/>
      <c r="AH355" s="403"/>
      <c r="AI355" s="403"/>
      <c r="AJ355" s="403"/>
      <c r="AK355" s="403"/>
      <c r="AL355" s="403"/>
      <c r="AM355" s="403"/>
      <c r="AN355" s="403"/>
      <c r="AO355" s="403" t="s">
        <v>10926</v>
      </c>
      <c r="AP355" s="403"/>
      <c r="AQ355" s="403"/>
      <c r="AR355" s="403"/>
      <c r="AS355" s="403"/>
      <c r="AT355" s="403"/>
      <c r="AU355" s="403"/>
      <c r="AV355" s="403"/>
      <c r="AW355" s="403"/>
      <c r="AX355" s="403"/>
      <c r="AY355" s="403"/>
      <c r="AZ355" s="403"/>
      <c r="BA355" s="403"/>
      <c r="BB355" s="403"/>
      <c r="BC355" s="403"/>
      <c r="BD355" s="403"/>
      <c r="BE355" s="403"/>
      <c r="BF355" s="403"/>
      <c r="BG355" s="403"/>
      <c r="BH355" s="403" t="s">
        <v>10927</v>
      </c>
      <c r="BI355" s="403"/>
      <c r="BJ355" s="403"/>
      <c r="BK355" s="403"/>
      <c r="BL355" s="403"/>
      <c r="BM355" s="403"/>
      <c r="BN355" s="403"/>
      <c r="BO355" s="403"/>
      <c r="BP355" s="403"/>
      <c r="BQ355" s="403"/>
      <c r="BR355" s="403"/>
      <c r="BS355" s="403"/>
      <c r="BT355" s="403"/>
      <c r="BU355" s="403"/>
      <c r="BV355" s="403"/>
      <c r="BW355" s="403"/>
      <c r="BX355" s="403"/>
      <c r="BY355" s="403"/>
      <c r="BZ355" s="403"/>
      <c r="CA355" s="403" t="s">
        <v>10928</v>
      </c>
      <c r="CB355" s="403"/>
      <c r="CC355" s="403"/>
      <c r="CD355" s="403"/>
      <c r="CE355" s="403"/>
      <c r="CF355" s="403"/>
      <c r="CG355" s="403"/>
      <c r="CH355" s="403"/>
      <c r="CI355" s="403"/>
      <c r="CJ355" s="403"/>
      <c r="CK355" s="403"/>
      <c r="CL355" s="403"/>
      <c r="CM355" s="403"/>
      <c r="CN355" s="403"/>
      <c r="CO355" s="403"/>
      <c r="CP355" s="403"/>
      <c r="CQ355" s="403"/>
      <c r="CR355" s="403"/>
      <c r="CS355" s="403"/>
      <c r="CT355" s="403" t="s">
        <v>10929</v>
      </c>
      <c r="CU355" s="403"/>
      <c r="CV355" s="403"/>
      <c r="CW355" s="403"/>
      <c r="CX355" s="403"/>
      <c r="CY355" s="403"/>
      <c r="CZ355" s="403"/>
      <c r="DA355" s="403"/>
      <c r="DB355" s="403"/>
      <c r="DC355" s="403"/>
      <c r="DD355" s="403"/>
      <c r="DE355" s="403"/>
      <c r="DF355" s="403"/>
      <c r="DG355" s="403"/>
      <c r="DH355" s="403"/>
      <c r="DI355" s="403"/>
      <c r="DJ355" s="403"/>
      <c r="DK355" s="403"/>
      <c r="DL355" s="403"/>
      <c r="DM355" s="403" t="s">
        <v>10930</v>
      </c>
      <c r="DN355" s="403"/>
      <c r="DO355" s="403"/>
      <c r="DP355" s="403"/>
      <c r="DQ355" s="403"/>
      <c r="DR355" s="403"/>
      <c r="DS355" s="403"/>
      <c r="DT355" s="403"/>
      <c r="DU355" s="403"/>
      <c r="DV355" s="403"/>
      <c r="DW355" s="403"/>
      <c r="DX355" s="403"/>
      <c r="DY355" s="403"/>
      <c r="DZ355" s="403"/>
      <c r="EA355" s="403"/>
      <c r="EB355" s="403"/>
      <c r="EC355" s="403"/>
      <c r="ED355" s="403"/>
      <c r="EE355" s="403"/>
      <c r="EF355" s="403" t="s">
        <v>10931</v>
      </c>
      <c r="EG355" s="403"/>
      <c r="EH355" s="403"/>
      <c r="EI355" s="403"/>
      <c r="EJ355" s="403"/>
      <c r="EK355" s="403"/>
      <c r="EL355" s="403"/>
      <c r="EM355" s="403"/>
      <c r="EN355" s="403"/>
      <c r="EO355" s="403"/>
      <c r="EP355" s="403"/>
      <c r="EQ355" s="403"/>
      <c r="ER355" s="403"/>
      <c r="ES355" s="403"/>
      <c r="ET355" s="403"/>
    </row>
    <row r="356" spans="1:150" s="281" customFormat="1" ht="13.5" thickBot="1" x14ac:dyDescent="0.25">
      <c r="D356" s="21" t="str">
        <f ca="1">IF(OFFSET(V356,0,Lang_Order*Lang__B4)="","",OFFSET(V356,0,Lang_Order*Lang__B4))</f>
        <v>Total cooling units</v>
      </c>
      <c r="E356" s="20"/>
      <c r="F356" s="20"/>
      <c r="G356" s="20"/>
      <c r="H356" s="20"/>
      <c r="I356" s="20"/>
      <c r="J356" s="161" t="e">
        <f>SUM(J329:J331,J334:J336,J339:J340,J342:J343,J345:J346,J348:J349,J352)</f>
        <v>#N/A</v>
      </c>
      <c r="K356" s="499"/>
      <c r="L356" s="499"/>
      <c r="R356" s="403"/>
      <c r="S356" s="403"/>
      <c r="T356" s="403"/>
      <c r="U356" s="403"/>
      <c r="V356" s="403" t="s">
        <v>3671</v>
      </c>
      <c r="W356" s="403"/>
      <c r="X356" s="403"/>
      <c r="Y356" s="403"/>
      <c r="Z356" s="403"/>
      <c r="AA356" s="403"/>
      <c r="AB356" s="403"/>
      <c r="AC356" s="403"/>
      <c r="AD356" s="403" t="s">
        <v>3679</v>
      </c>
      <c r="AE356" s="403"/>
      <c r="AF356" s="403"/>
      <c r="AG356" s="403"/>
      <c r="AH356" s="403"/>
      <c r="AI356" s="403"/>
      <c r="AJ356" s="403"/>
      <c r="AK356" s="403"/>
      <c r="AL356" s="403"/>
      <c r="AM356" s="403"/>
      <c r="AN356" s="403"/>
      <c r="AO356" s="403" t="s">
        <v>11365</v>
      </c>
      <c r="AP356" s="403"/>
      <c r="AQ356" s="403"/>
      <c r="AR356" s="403"/>
      <c r="AS356" s="403"/>
      <c r="AT356" s="403"/>
      <c r="AU356" s="403"/>
      <c r="AV356" s="403"/>
      <c r="AW356" s="403" t="s">
        <v>11366</v>
      </c>
      <c r="AX356" s="403"/>
      <c r="AY356" s="403"/>
      <c r="AZ356" s="403"/>
      <c r="BA356" s="403"/>
      <c r="BB356" s="403"/>
      <c r="BC356" s="403"/>
      <c r="BD356" s="403"/>
      <c r="BE356" s="403"/>
      <c r="BF356" s="403"/>
      <c r="BG356" s="403"/>
      <c r="BH356" s="403" t="s">
        <v>11367</v>
      </c>
      <c r="BI356" s="403"/>
      <c r="BJ356" s="403"/>
      <c r="BK356" s="403"/>
      <c r="BL356" s="403"/>
      <c r="BM356" s="403"/>
      <c r="BN356" s="403"/>
      <c r="BO356" s="403"/>
      <c r="BP356" s="403" t="s">
        <v>11368</v>
      </c>
      <c r="BQ356" s="403"/>
      <c r="BR356" s="403"/>
      <c r="BS356" s="403"/>
      <c r="BT356" s="403"/>
      <c r="BU356" s="403"/>
      <c r="BV356" s="403"/>
      <c r="BW356" s="403"/>
      <c r="BX356" s="403"/>
      <c r="BY356" s="403"/>
      <c r="BZ356" s="403"/>
      <c r="CA356" s="403" t="s">
        <v>11369</v>
      </c>
      <c r="CB356" s="403"/>
      <c r="CC356" s="403"/>
      <c r="CD356" s="403"/>
      <c r="CE356" s="403"/>
      <c r="CF356" s="403"/>
      <c r="CG356" s="403"/>
      <c r="CH356" s="403"/>
      <c r="CI356" s="403" t="s">
        <v>11370</v>
      </c>
      <c r="CJ356" s="403"/>
      <c r="CK356" s="403"/>
      <c r="CL356" s="403"/>
      <c r="CM356" s="403"/>
      <c r="CN356" s="403"/>
      <c r="CO356" s="403"/>
      <c r="CP356" s="403"/>
      <c r="CQ356" s="403"/>
      <c r="CR356" s="403"/>
      <c r="CS356" s="403"/>
      <c r="CT356" s="403" t="s">
        <v>11371</v>
      </c>
      <c r="CU356" s="403"/>
      <c r="CV356" s="403"/>
      <c r="CW356" s="403"/>
      <c r="CX356" s="403"/>
      <c r="CY356" s="403"/>
      <c r="CZ356" s="403"/>
      <c r="DA356" s="403"/>
      <c r="DB356" s="403" t="s">
        <v>11372</v>
      </c>
      <c r="DC356" s="403"/>
      <c r="DD356" s="403"/>
      <c r="DE356" s="403"/>
      <c r="DF356" s="403"/>
      <c r="DG356" s="403"/>
      <c r="DH356" s="403"/>
      <c r="DI356" s="403"/>
      <c r="DJ356" s="403"/>
      <c r="DK356" s="403"/>
      <c r="DL356" s="403"/>
      <c r="DM356" s="403" t="s">
        <v>11373</v>
      </c>
      <c r="DN356" s="403"/>
      <c r="DO356" s="403"/>
      <c r="DP356" s="403"/>
      <c r="DQ356" s="403"/>
      <c r="DR356" s="403"/>
      <c r="DS356" s="403"/>
      <c r="DT356" s="403"/>
      <c r="DU356" s="403" t="s">
        <v>11374</v>
      </c>
      <c r="DV356" s="403"/>
      <c r="DW356" s="403"/>
      <c r="DX356" s="403"/>
      <c r="DY356" s="403"/>
      <c r="DZ356" s="403"/>
      <c r="EA356" s="403"/>
      <c r="EB356" s="403"/>
      <c r="EC356" s="403"/>
      <c r="ED356" s="403"/>
      <c r="EE356" s="403"/>
      <c r="EF356" s="403" t="s">
        <v>11375</v>
      </c>
      <c r="EG356" s="403"/>
      <c r="EH356" s="403"/>
      <c r="EI356" s="403"/>
      <c r="EJ356" s="403"/>
      <c r="EK356" s="403"/>
      <c r="EL356" s="403"/>
      <c r="EM356" s="403"/>
      <c r="EN356" s="403" t="s">
        <v>11376</v>
      </c>
      <c r="EO356" s="403"/>
      <c r="EP356" s="403"/>
      <c r="EQ356" s="403"/>
      <c r="ER356" s="403"/>
      <c r="ES356" s="403"/>
      <c r="ET356" s="403"/>
    </row>
    <row r="357" spans="1:150" s="281" customFormat="1" ht="13.5" thickTop="1" x14ac:dyDescent="0.2">
      <c r="C357" s="2" t="str">
        <f ca="1">IF(OFFSET(U358,0,Lang_Order*Lang__B4)="","",OFFSET(U358,0,Lang_Order*Lang__B4))</f>
        <v>Based on Gavi CCE Budget</v>
      </c>
      <c r="R357" s="403"/>
      <c r="S357" s="403"/>
      <c r="T357" s="403"/>
      <c r="U357" s="403"/>
      <c r="V357" s="403"/>
      <c r="W357" s="403"/>
      <c r="X357" s="403"/>
      <c r="Y357" s="403"/>
      <c r="Z357" s="403"/>
      <c r="AA357" s="403"/>
      <c r="AB357" s="403"/>
      <c r="AC357" s="403"/>
      <c r="AD357" s="403"/>
      <c r="AE357" s="403"/>
      <c r="AF357" s="403"/>
      <c r="AG357" s="403"/>
      <c r="AH357" s="403"/>
      <c r="AI357" s="403"/>
      <c r="AJ357" s="403"/>
      <c r="AK357" s="403"/>
      <c r="AL357" s="403"/>
      <c r="AM357" s="403"/>
      <c r="AN357" s="403"/>
      <c r="AO357" s="403"/>
      <c r="AP357" s="403"/>
      <c r="AQ357" s="403"/>
      <c r="AR357" s="403"/>
      <c r="AS357" s="403"/>
      <c r="AT357" s="403"/>
      <c r="AU357" s="403"/>
      <c r="AV357" s="403"/>
      <c r="AW357" s="403"/>
      <c r="AX357" s="403"/>
      <c r="AY357" s="403"/>
      <c r="AZ357" s="403"/>
      <c r="BA357" s="403"/>
      <c r="BB357" s="403"/>
      <c r="BC357" s="403"/>
      <c r="BD357" s="403"/>
      <c r="BE357" s="403"/>
      <c r="BF357" s="403"/>
      <c r="BG357" s="403"/>
      <c r="BH357" s="403"/>
      <c r="BI357" s="403"/>
      <c r="BJ357" s="403"/>
      <c r="BK357" s="403"/>
      <c r="BL357" s="403"/>
      <c r="BM357" s="403"/>
      <c r="BN357" s="403"/>
      <c r="BO357" s="403"/>
      <c r="BP357" s="403"/>
      <c r="BQ357" s="403"/>
      <c r="BR357" s="403"/>
      <c r="BS357" s="403"/>
      <c r="BT357" s="403"/>
      <c r="BU357" s="403"/>
      <c r="BV357" s="403"/>
      <c r="BW357" s="403"/>
      <c r="BX357" s="403"/>
      <c r="BY357" s="403"/>
      <c r="BZ357" s="403"/>
      <c r="CA357" s="403"/>
      <c r="CB357" s="403"/>
      <c r="CC357" s="403"/>
      <c r="CD357" s="403"/>
      <c r="CE357" s="403"/>
      <c r="CF357" s="403"/>
      <c r="CG357" s="403"/>
      <c r="CH357" s="403"/>
      <c r="CI357" s="403"/>
      <c r="CJ357" s="403"/>
      <c r="CK357" s="403"/>
      <c r="CL357" s="403"/>
      <c r="CM357" s="403"/>
      <c r="CN357" s="403"/>
      <c r="CO357" s="403"/>
      <c r="CP357" s="403"/>
      <c r="CQ357" s="403"/>
      <c r="CR357" s="403"/>
      <c r="CS357" s="403"/>
      <c r="CT357" s="403"/>
      <c r="CU357" s="403"/>
      <c r="CV357" s="403"/>
      <c r="CW357" s="403"/>
      <c r="CX357" s="403"/>
      <c r="CY357" s="403"/>
      <c r="CZ357" s="403"/>
      <c r="DA357" s="403"/>
      <c r="DB357" s="403"/>
      <c r="DC357" s="403"/>
      <c r="DD357" s="403"/>
      <c r="DE357" s="403"/>
      <c r="DF357" s="403"/>
      <c r="DG357" s="403"/>
      <c r="DH357" s="403"/>
      <c r="DI357" s="403"/>
      <c r="DJ357" s="403"/>
      <c r="DK357" s="403"/>
      <c r="DL357" s="403"/>
      <c r="DM357" s="403"/>
      <c r="DN357" s="403"/>
      <c r="DO357" s="403"/>
      <c r="DP357" s="403"/>
      <c r="DQ357" s="403"/>
      <c r="DR357" s="403"/>
      <c r="DS357" s="403"/>
      <c r="DT357" s="403"/>
      <c r="DU357" s="403"/>
      <c r="DV357" s="403"/>
      <c r="DW357" s="403"/>
      <c r="DX357" s="403"/>
      <c r="DY357" s="403"/>
      <c r="DZ357" s="403"/>
      <c r="EA357" s="403"/>
      <c r="EB357" s="403"/>
      <c r="EC357" s="403"/>
      <c r="ED357" s="403"/>
      <c r="EE357" s="403"/>
      <c r="EF357" s="403"/>
      <c r="EG357" s="403"/>
      <c r="EH357" s="403"/>
      <c r="EI357" s="403"/>
      <c r="EJ357" s="403"/>
      <c r="EK357" s="403"/>
      <c r="EL357" s="403"/>
      <c r="EM357" s="403"/>
      <c r="EN357" s="403"/>
      <c r="EO357" s="403"/>
      <c r="EP357" s="403"/>
      <c r="EQ357" s="403"/>
      <c r="ER357" s="403"/>
      <c r="ES357" s="403"/>
      <c r="ET357" s="403"/>
    </row>
    <row r="358" spans="1:150" s="281" customFormat="1" hidden="1" x14ac:dyDescent="0.2">
      <c r="A358" s="645" t="s">
        <v>14117</v>
      </c>
      <c r="B358" s="567"/>
      <c r="C358" s="2" t="str">
        <f ca="1">IF(OFFSET(U358,0,Lang_Order*Lang__B4)="","",OFFSET(U358,0,Lang_Order*Lang__B4))</f>
        <v>Based on Gavi CCE Budget</v>
      </c>
      <c r="D358" s="72" t="str">
        <f ca="1">IF(OFFSET(V358,0,Lang_Order*Lang__B4)="","",OFFSET(V358,0,Lang_Order*Lang__B4))</f>
        <v>Customs Clearance</v>
      </c>
      <c r="E358" s="2"/>
      <c r="F358" s="2"/>
      <c r="G358" s="2"/>
      <c r="H358" s="2"/>
      <c r="I358" s="2"/>
      <c r="J358" s="199" t="e">
        <f>Ad_valorem_supplies*J355</f>
        <v>#N/A</v>
      </c>
      <c r="Q358" s="12" t="str">
        <f ca="1">IF(OFFSET(AI358,0,Lang_Order*Lang__B4)="","",OFFSET(AI358,0,Lang_Order*Lang__B4))</f>
        <v>Applies the same ad valorem for vaccine supplies over the value of the CCE; Indicative only</v>
      </c>
      <c r="R358" s="403"/>
      <c r="S358" s="403"/>
      <c r="T358" s="403"/>
      <c r="U358" s="403" t="s">
        <v>3956</v>
      </c>
      <c r="V358" s="403" t="s">
        <v>3180</v>
      </c>
      <c r="W358" s="403"/>
      <c r="X358" s="403"/>
      <c r="Y358" s="403"/>
      <c r="Z358" s="403"/>
      <c r="AA358" s="403"/>
      <c r="AB358" s="403"/>
      <c r="AC358" s="403"/>
      <c r="AD358" s="403"/>
      <c r="AE358" s="403"/>
      <c r="AF358" s="403"/>
      <c r="AG358" s="403"/>
      <c r="AH358" s="403"/>
      <c r="AI358" s="403" t="s">
        <v>3677</v>
      </c>
      <c r="AJ358" s="403"/>
      <c r="AK358" s="403"/>
      <c r="AL358" s="403"/>
      <c r="AM358" s="403"/>
      <c r="AN358" s="403" t="s">
        <v>11377</v>
      </c>
      <c r="AO358" s="403" t="s">
        <v>11378</v>
      </c>
      <c r="AP358" s="403"/>
      <c r="AQ358" s="403"/>
      <c r="AR358" s="403"/>
      <c r="AS358" s="403"/>
      <c r="AT358" s="403"/>
      <c r="AU358" s="403"/>
      <c r="AV358" s="403"/>
      <c r="AW358" s="403"/>
      <c r="AX358" s="403"/>
      <c r="AY358" s="403"/>
      <c r="AZ358" s="403"/>
      <c r="BA358" s="403"/>
      <c r="BB358" s="403" t="s">
        <v>11379</v>
      </c>
      <c r="BC358" s="403"/>
      <c r="BD358" s="403"/>
      <c r="BE358" s="403"/>
      <c r="BF358" s="403"/>
      <c r="BG358" s="403" t="s">
        <v>11380</v>
      </c>
      <c r="BH358" s="403" t="s">
        <v>11381</v>
      </c>
      <c r="BI358" s="403"/>
      <c r="BJ358" s="403"/>
      <c r="BK358" s="403"/>
      <c r="BL358" s="403"/>
      <c r="BM358" s="403"/>
      <c r="BN358" s="403"/>
      <c r="BO358" s="403"/>
      <c r="BP358" s="403"/>
      <c r="BQ358" s="403"/>
      <c r="BR358" s="403"/>
      <c r="BS358" s="403"/>
      <c r="BT358" s="403"/>
      <c r="BU358" s="403" t="s">
        <v>11382</v>
      </c>
      <c r="BV358" s="403"/>
      <c r="BW358" s="403"/>
      <c r="BX358" s="403"/>
      <c r="BY358" s="403"/>
      <c r="BZ358" s="403" t="s">
        <v>11383</v>
      </c>
      <c r="CA358" s="403" t="s">
        <v>11384</v>
      </c>
      <c r="CB358" s="403"/>
      <c r="CC358" s="403"/>
      <c r="CD358" s="403"/>
      <c r="CE358" s="403"/>
      <c r="CF358" s="403"/>
      <c r="CG358" s="403"/>
      <c r="CH358" s="403"/>
      <c r="CI358" s="403"/>
      <c r="CJ358" s="403"/>
      <c r="CK358" s="403"/>
      <c r="CL358" s="403"/>
      <c r="CM358" s="403"/>
      <c r="CN358" s="403" t="s">
        <v>11385</v>
      </c>
      <c r="CO358" s="403"/>
      <c r="CP358" s="403"/>
      <c r="CQ358" s="403"/>
      <c r="CR358" s="403"/>
      <c r="CS358" s="403" t="s">
        <v>11386</v>
      </c>
      <c r="CT358" s="403" t="s">
        <v>11387</v>
      </c>
      <c r="CU358" s="403"/>
      <c r="CV358" s="403"/>
      <c r="CW358" s="403"/>
      <c r="CX358" s="403"/>
      <c r="CY358" s="403"/>
      <c r="CZ358" s="403"/>
      <c r="DA358" s="403"/>
      <c r="DB358" s="403"/>
      <c r="DC358" s="403"/>
      <c r="DD358" s="403"/>
      <c r="DE358" s="403"/>
      <c r="DF358" s="403"/>
      <c r="DG358" s="403" t="s">
        <v>11388</v>
      </c>
      <c r="DH358" s="403"/>
      <c r="DI358" s="403"/>
      <c r="DJ358" s="403"/>
      <c r="DK358" s="403"/>
      <c r="DL358" s="403" t="s">
        <v>11389</v>
      </c>
      <c r="DM358" s="403" t="s">
        <v>11390</v>
      </c>
      <c r="DN358" s="403"/>
      <c r="DO358" s="403"/>
      <c r="DP358" s="403"/>
      <c r="DQ358" s="403"/>
      <c r="DR358" s="403"/>
      <c r="DS358" s="403"/>
      <c r="DT358" s="403"/>
      <c r="DU358" s="403"/>
      <c r="DV358" s="403"/>
      <c r="DW358" s="403"/>
      <c r="DX358" s="403"/>
      <c r="DY358" s="403"/>
      <c r="DZ358" s="403" t="s">
        <v>11391</v>
      </c>
      <c r="EA358" s="403"/>
      <c r="EB358" s="403"/>
      <c r="EC358" s="403"/>
      <c r="ED358" s="403"/>
      <c r="EE358" s="403" t="s">
        <v>11392</v>
      </c>
      <c r="EF358" s="403" t="s">
        <v>11393</v>
      </c>
      <c r="EG358" s="403"/>
      <c r="EH358" s="403"/>
      <c r="EI358" s="403"/>
      <c r="EJ358" s="403"/>
      <c r="EK358" s="403"/>
      <c r="EL358" s="403"/>
      <c r="EM358" s="403"/>
      <c r="EN358" s="403"/>
      <c r="EO358" s="403"/>
      <c r="EP358" s="403"/>
      <c r="EQ358" s="403"/>
      <c r="ER358" s="403"/>
      <c r="ES358" s="403" t="s">
        <v>11394</v>
      </c>
      <c r="ET358" s="403"/>
    </row>
    <row r="359" spans="1:150" s="281" customFormat="1" x14ac:dyDescent="0.2">
      <c r="A359" s="567"/>
      <c r="C359" s="2" t="s">
        <v>4503</v>
      </c>
      <c r="D359" s="72" t="str">
        <f ca="1">IF(OFFSET(V359,0,Lang_Order*Lang__B4)="","",OFFSET(V359,0,Lang_Order*Lang__B4))</f>
        <v>International shipment</v>
      </c>
      <c r="J359" s="199" t="e">
        <f>SUMPRODUCT(M329:M332,N329:N332)</f>
        <v>#N/A</v>
      </c>
      <c r="Q359" s="12" t="str">
        <f ca="1">IF(OFFSET(AI359,0,Lang_Order*Lang__B4)="","",OFFSET(AI359,0,Lang_Order*Lang__B4))</f>
        <v>Indicative only</v>
      </c>
      <c r="R359" s="403"/>
      <c r="S359" s="403"/>
      <c r="T359" s="403"/>
      <c r="U359" s="403" t="s">
        <v>4503</v>
      </c>
      <c r="V359" s="403" t="s">
        <v>3676</v>
      </c>
      <c r="W359" s="403"/>
      <c r="X359" s="403"/>
      <c r="Y359" s="403"/>
      <c r="Z359" s="403"/>
      <c r="AA359" s="403"/>
      <c r="AB359" s="403"/>
      <c r="AC359" s="403"/>
      <c r="AD359" s="403"/>
      <c r="AE359" s="403"/>
      <c r="AF359" s="403"/>
      <c r="AG359" s="403"/>
      <c r="AH359" s="403"/>
      <c r="AI359" s="403" t="s">
        <v>3678</v>
      </c>
      <c r="AJ359" s="403"/>
      <c r="AK359" s="403"/>
      <c r="AL359" s="403"/>
      <c r="AM359" s="403"/>
      <c r="AN359" s="403" t="s">
        <v>13420</v>
      </c>
      <c r="AO359" s="403" t="s">
        <v>11395</v>
      </c>
      <c r="AP359" s="403"/>
      <c r="AQ359" s="403"/>
      <c r="AR359" s="403"/>
      <c r="AS359" s="403"/>
      <c r="AT359" s="403"/>
      <c r="AU359" s="403"/>
      <c r="AV359" s="403"/>
      <c r="AW359" s="403"/>
      <c r="AX359" s="403"/>
      <c r="AY359" s="403"/>
      <c r="AZ359" s="403"/>
      <c r="BA359" s="403"/>
      <c r="BB359" s="403" t="s">
        <v>11396</v>
      </c>
      <c r="BC359" s="403"/>
      <c r="BD359" s="403"/>
      <c r="BE359" s="403"/>
      <c r="BF359" s="403"/>
      <c r="BG359" s="403" t="s">
        <v>13421</v>
      </c>
      <c r="BH359" s="403" t="s">
        <v>11397</v>
      </c>
      <c r="BI359" s="403"/>
      <c r="BJ359" s="403"/>
      <c r="BK359" s="403"/>
      <c r="BL359" s="403"/>
      <c r="BM359" s="403"/>
      <c r="BN359" s="403"/>
      <c r="BO359" s="403"/>
      <c r="BP359" s="403"/>
      <c r="BQ359" s="403"/>
      <c r="BR359" s="403"/>
      <c r="BS359" s="403"/>
      <c r="BT359" s="403"/>
      <c r="BU359" s="403" t="s">
        <v>11398</v>
      </c>
      <c r="BV359" s="403"/>
      <c r="BW359" s="403"/>
      <c r="BX359" s="403"/>
      <c r="BY359" s="403"/>
      <c r="BZ359" s="403" t="s">
        <v>13422</v>
      </c>
      <c r="CA359" s="403" t="s">
        <v>11399</v>
      </c>
      <c r="CB359" s="403"/>
      <c r="CC359" s="403"/>
      <c r="CD359" s="403"/>
      <c r="CE359" s="403"/>
      <c r="CF359" s="403"/>
      <c r="CG359" s="403"/>
      <c r="CH359" s="403"/>
      <c r="CI359" s="403"/>
      <c r="CJ359" s="403"/>
      <c r="CK359" s="403"/>
      <c r="CL359" s="403"/>
      <c r="CM359" s="403"/>
      <c r="CN359" s="403" t="s">
        <v>11400</v>
      </c>
      <c r="CO359" s="403"/>
      <c r="CP359" s="403"/>
      <c r="CQ359" s="403"/>
      <c r="CR359" s="403"/>
      <c r="CS359" s="403" t="s">
        <v>13423</v>
      </c>
      <c r="CT359" s="403" t="s">
        <v>11401</v>
      </c>
      <c r="CU359" s="403"/>
      <c r="CV359" s="403"/>
      <c r="CW359" s="403"/>
      <c r="CX359" s="403"/>
      <c r="CY359" s="403"/>
      <c r="CZ359" s="403"/>
      <c r="DA359" s="403"/>
      <c r="DB359" s="403"/>
      <c r="DC359" s="403"/>
      <c r="DD359" s="403"/>
      <c r="DE359" s="403"/>
      <c r="DF359" s="403"/>
      <c r="DG359" s="403" t="s">
        <v>11402</v>
      </c>
      <c r="DH359" s="403"/>
      <c r="DI359" s="403"/>
      <c r="DJ359" s="403"/>
      <c r="DK359" s="403"/>
      <c r="DL359" s="403" t="s">
        <v>13424</v>
      </c>
      <c r="DM359" s="403" t="s">
        <v>11403</v>
      </c>
      <c r="DN359" s="403"/>
      <c r="DO359" s="403"/>
      <c r="DP359" s="403"/>
      <c r="DQ359" s="403"/>
      <c r="DR359" s="403"/>
      <c r="DS359" s="403"/>
      <c r="DT359" s="403"/>
      <c r="DU359" s="403"/>
      <c r="DV359" s="403"/>
      <c r="DW359" s="403"/>
      <c r="DX359" s="403"/>
      <c r="DY359" s="403"/>
      <c r="DZ359" s="403" t="s">
        <v>11404</v>
      </c>
      <c r="EA359" s="403"/>
      <c r="EB359" s="403"/>
      <c r="EC359" s="403"/>
      <c r="ED359" s="403"/>
      <c r="EE359" s="403" t="s">
        <v>13425</v>
      </c>
      <c r="EF359" s="403" t="s">
        <v>11405</v>
      </c>
      <c r="EG359" s="403"/>
      <c r="EH359" s="403"/>
      <c r="EI359" s="403"/>
      <c r="EJ359" s="403"/>
      <c r="EK359" s="403"/>
      <c r="EL359" s="403"/>
      <c r="EM359" s="403"/>
      <c r="EN359" s="403"/>
      <c r="EO359" s="403"/>
      <c r="EP359" s="403"/>
      <c r="EQ359" s="403"/>
      <c r="ER359" s="403"/>
      <c r="ES359" s="403" t="s">
        <v>11406</v>
      </c>
      <c r="ET359" s="403"/>
    </row>
    <row r="360" spans="1:150" s="281" customFormat="1" hidden="1" x14ac:dyDescent="0.2">
      <c r="A360" s="645" t="s">
        <v>14117</v>
      </c>
      <c r="D360" s="72" t="str">
        <f ca="1">IF(OFFSET(V360,0,Lang_Order*Lang__B4)="","",OFFSET(V360,0,Lang_Order*Lang__B4))</f>
        <v>Procurement Agent Fees</v>
      </c>
      <c r="E360" s="2"/>
      <c r="F360" s="2"/>
      <c r="G360" s="2"/>
      <c r="H360" s="2"/>
      <c r="I360" s="2"/>
      <c r="J360" s="199" t="e">
        <f>J354*Procurement_Service_Fees_VaccineSupplies</f>
        <v>#N/A</v>
      </c>
      <c r="Q360" s="12" t="str">
        <f ca="1">IF(OFFSET(AI360,0,Lang_Order*Lang__B4)="","",OFFSET(AI360,0,Lang_Order*Lang__B4))</f>
        <v>Indicative only</v>
      </c>
      <c r="R360" s="403"/>
      <c r="S360" s="403"/>
      <c r="T360" s="403"/>
      <c r="U360" s="403"/>
      <c r="V360" s="403" t="s">
        <v>3680</v>
      </c>
      <c r="W360" s="403"/>
      <c r="X360" s="403"/>
      <c r="Y360" s="403"/>
      <c r="Z360" s="403"/>
      <c r="AA360" s="403"/>
      <c r="AB360" s="403"/>
      <c r="AC360" s="403"/>
      <c r="AD360" s="403"/>
      <c r="AE360" s="403"/>
      <c r="AF360" s="403"/>
      <c r="AG360" s="403"/>
      <c r="AH360" s="403"/>
      <c r="AI360" s="403" t="s">
        <v>3678</v>
      </c>
      <c r="AJ360" s="403"/>
      <c r="AK360" s="403"/>
      <c r="AL360" s="403"/>
      <c r="AM360" s="403"/>
      <c r="AN360" s="403"/>
      <c r="AO360" s="403" t="s">
        <v>9986</v>
      </c>
      <c r="AP360" s="403"/>
      <c r="AQ360" s="403"/>
      <c r="AR360" s="403"/>
      <c r="AS360" s="403"/>
      <c r="AT360" s="403"/>
      <c r="AU360" s="403"/>
      <c r="AV360" s="403"/>
      <c r="AW360" s="403"/>
      <c r="AX360" s="403"/>
      <c r="AY360" s="403"/>
      <c r="AZ360" s="403"/>
      <c r="BA360" s="403"/>
      <c r="BB360" s="403" t="s">
        <v>11396</v>
      </c>
      <c r="BC360" s="403"/>
      <c r="BD360" s="403"/>
      <c r="BE360" s="403"/>
      <c r="BF360" s="403"/>
      <c r="BG360" s="403"/>
      <c r="BH360" s="403" t="s">
        <v>9987</v>
      </c>
      <c r="BI360" s="403"/>
      <c r="BJ360" s="403"/>
      <c r="BK360" s="403"/>
      <c r="BL360" s="403"/>
      <c r="BM360" s="403"/>
      <c r="BN360" s="403"/>
      <c r="BO360" s="403"/>
      <c r="BP360" s="403"/>
      <c r="BQ360" s="403"/>
      <c r="BR360" s="403"/>
      <c r="BS360" s="403"/>
      <c r="BT360" s="403"/>
      <c r="BU360" s="403" t="s">
        <v>11398</v>
      </c>
      <c r="BV360" s="403"/>
      <c r="BW360" s="403"/>
      <c r="BX360" s="403"/>
      <c r="BY360" s="403"/>
      <c r="BZ360" s="403"/>
      <c r="CA360" s="403" t="s">
        <v>11407</v>
      </c>
      <c r="CB360" s="403"/>
      <c r="CC360" s="403"/>
      <c r="CD360" s="403"/>
      <c r="CE360" s="403"/>
      <c r="CF360" s="403"/>
      <c r="CG360" s="403"/>
      <c r="CH360" s="403"/>
      <c r="CI360" s="403"/>
      <c r="CJ360" s="403"/>
      <c r="CK360" s="403"/>
      <c r="CL360" s="403"/>
      <c r="CM360" s="403"/>
      <c r="CN360" s="403" t="s">
        <v>11400</v>
      </c>
      <c r="CO360" s="403"/>
      <c r="CP360" s="403"/>
      <c r="CQ360" s="403"/>
      <c r="CR360" s="403"/>
      <c r="CS360" s="403"/>
      <c r="CT360" s="403" t="s">
        <v>9988</v>
      </c>
      <c r="CU360" s="403"/>
      <c r="CV360" s="403"/>
      <c r="CW360" s="403"/>
      <c r="CX360" s="403"/>
      <c r="CY360" s="403"/>
      <c r="CZ360" s="403"/>
      <c r="DA360" s="403"/>
      <c r="DB360" s="403"/>
      <c r="DC360" s="403"/>
      <c r="DD360" s="403"/>
      <c r="DE360" s="403"/>
      <c r="DF360" s="403"/>
      <c r="DG360" s="403" t="s">
        <v>11402</v>
      </c>
      <c r="DH360" s="403"/>
      <c r="DI360" s="403"/>
      <c r="DJ360" s="403"/>
      <c r="DK360" s="403"/>
      <c r="DL360" s="403"/>
      <c r="DM360" s="403" t="s">
        <v>9989</v>
      </c>
      <c r="DN360" s="403"/>
      <c r="DO360" s="403"/>
      <c r="DP360" s="403"/>
      <c r="DQ360" s="403"/>
      <c r="DR360" s="403"/>
      <c r="DS360" s="403"/>
      <c r="DT360" s="403"/>
      <c r="DU360" s="403"/>
      <c r="DV360" s="403"/>
      <c r="DW360" s="403"/>
      <c r="DX360" s="403"/>
      <c r="DY360" s="403"/>
      <c r="DZ360" s="403" t="s">
        <v>11404</v>
      </c>
      <c r="EA360" s="403"/>
      <c r="EB360" s="403"/>
      <c r="EC360" s="403"/>
      <c r="ED360" s="403"/>
      <c r="EE360" s="403"/>
      <c r="EF360" s="403" t="s">
        <v>9990</v>
      </c>
      <c r="EG360" s="403"/>
      <c r="EH360" s="403"/>
      <c r="EI360" s="403"/>
      <c r="EJ360" s="403"/>
      <c r="EK360" s="403"/>
      <c r="EL360" s="403"/>
      <c r="EM360" s="403"/>
      <c r="EN360" s="403"/>
      <c r="EO360" s="403"/>
      <c r="EP360" s="403"/>
      <c r="EQ360" s="403"/>
      <c r="ER360" s="403"/>
      <c r="ES360" s="403" t="s">
        <v>11406</v>
      </c>
      <c r="ET360" s="403"/>
    </row>
    <row r="361" spans="1:150" s="281" customFormat="1" x14ac:dyDescent="0.2">
      <c r="D361" s="47" t="str">
        <f ca="1">IF(OFFSET(V361,0,Lang_Order*Lang__B4)="","",OFFSET(V361,0,Lang_Order*Lang__B4))</f>
        <v>Note: Currently not calculated in this tool: Ground handling, ground transport</v>
      </c>
      <c r="R361" s="403"/>
      <c r="S361" s="403"/>
      <c r="T361" s="403"/>
      <c r="U361" s="403"/>
      <c r="V361" s="403" t="s">
        <v>4187</v>
      </c>
      <c r="W361" s="403"/>
      <c r="X361" s="403"/>
      <c r="Y361" s="403"/>
      <c r="Z361" s="403"/>
      <c r="AA361" s="403"/>
      <c r="AB361" s="403"/>
      <c r="AC361" s="403"/>
      <c r="AD361" s="403"/>
      <c r="AE361" s="403"/>
      <c r="AF361" s="403"/>
      <c r="AG361" s="403"/>
      <c r="AH361" s="403"/>
      <c r="AI361" s="403"/>
      <c r="AJ361" s="403"/>
      <c r="AK361" s="403"/>
      <c r="AL361" s="403"/>
      <c r="AM361" s="403"/>
      <c r="AN361" s="403"/>
      <c r="AO361" s="403" t="s">
        <v>11408</v>
      </c>
      <c r="AP361" s="403"/>
      <c r="AQ361" s="403"/>
      <c r="AR361" s="403"/>
      <c r="AS361" s="403"/>
      <c r="AT361" s="403"/>
      <c r="AU361" s="403"/>
      <c r="AV361" s="403"/>
      <c r="AW361" s="403"/>
      <c r="AX361" s="403"/>
      <c r="AY361" s="403"/>
      <c r="AZ361" s="403"/>
      <c r="BA361" s="403"/>
      <c r="BB361" s="403"/>
      <c r="BC361" s="403"/>
      <c r="BD361" s="403"/>
      <c r="BE361" s="403"/>
      <c r="BF361" s="403"/>
      <c r="BG361" s="403"/>
      <c r="BH361" s="403" t="s">
        <v>11409</v>
      </c>
      <c r="BI361" s="403"/>
      <c r="BJ361" s="403"/>
      <c r="BK361" s="403"/>
      <c r="BL361" s="403"/>
      <c r="BM361" s="403"/>
      <c r="BN361" s="403"/>
      <c r="BO361" s="403"/>
      <c r="BP361" s="403"/>
      <c r="BQ361" s="403"/>
      <c r="BR361" s="403"/>
      <c r="BS361" s="403"/>
      <c r="BT361" s="403"/>
      <c r="BU361" s="403"/>
      <c r="BV361" s="403"/>
      <c r="BW361" s="403"/>
      <c r="BX361" s="403"/>
      <c r="BY361" s="403"/>
      <c r="BZ361" s="403"/>
      <c r="CA361" s="403" t="s">
        <v>11410</v>
      </c>
      <c r="CB361" s="403"/>
      <c r="CC361" s="403"/>
      <c r="CD361" s="403"/>
      <c r="CE361" s="403"/>
      <c r="CF361" s="403"/>
      <c r="CG361" s="403"/>
      <c r="CH361" s="403"/>
      <c r="CI361" s="403"/>
      <c r="CJ361" s="403"/>
      <c r="CK361" s="403"/>
      <c r="CL361" s="403"/>
      <c r="CM361" s="403"/>
      <c r="CN361" s="403"/>
      <c r="CO361" s="403"/>
      <c r="CP361" s="403"/>
      <c r="CQ361" s="403"/>
      <c r="CR361" s="403"/>
      <c r="CS361" s="403"/>
      <c r="CT361" s="403" t="s">
        <v>11411</v>
      </c>
      <c r="CU361" s="403"/>
      <c r="CV361" s="403"/>
      <c r="CW361" s="403"/>
      <c r="CX361" s="403"/>
      <c r="CY361" s="403"/>
      <c r="CZ361" s="403"/>
      <c r="DA361" s="403"/>
      <c r="DB361" s="403"/>
      <c r="DC361" s="403"/>
      <c r="DD361" s="403"/>
      <c r="DE361" s="403"/>
      <c r="DF361" s="403"/>
      <c r="DG361" s="403"/>
      <c r="DH361" s="403"/>
      <c r="DI361" s="403"/>
      <c r="DJ361" s="403"/>
      <c r="DK361" s="403"/>
      <c r="DL361" s="403"/>
      <c r="DM361" s="403" t="s">
        <v>11412</v>
      </c>
      <c r="DN361" s="403"/>
      <c r="DO361" s="403"/>
      <c r="DP361" s="403"/>
      <c r="DQ361" s="403"/>
      <c r="DR361" s="403"/>
      <c r="DS361" s="403"/>
      <c r="DT361" s="403"/>
      <c r="DU361" s="403"/>
      <c r="DV361" s="403"/>
      <c r="DW361" s="403"/>
      <c r="DX361" s="403"/>
      <c r="DY361" s="403"/>
      <c r="DZ361" s="403"/>
      <c r="EA361" s="403"/>
      <c r="EB361" s="403"/>
      <c r="EC361" s="403"/>
      <c r="ED361" s="403"/>
      <c r="EE361" s="403"/>
      <c r="EF361" s="403" t="s">
        <v>11413</v>
      </c>
      <c r="EG361" s="403"/>
      <c r="EH361" s="403"/>
      <c r="EI361" s="403"/>
      <c r="EJ361" s="403"/>
      <c r="EK361" s="403"/>
      <c r="EL361" s="403"/>
      <c r="EM361" s="403"/>
      <c r="EN361" s="403"/>
      <c r="EO361" s="403"/>
      <c r="EP361" s="403"/>
      <c r="EQ361" s="403"/>
      <c r="ER361" s="403"/>
      <c r="ES361" s="403"/>
      <c r="ET361" s="403"/>
    </row>
    <row r="362" spans="1:150" s="281" customFormat="1" x14ac:dyDescent="0.2">
      <c r="R362" s="403"/>
      <c r="S362" s="403"/>
      <c r="T362" s="403"/>
      <c r="U362" s="403"/>
      <c r="V362" s="403"/>
      <c r="W362" s="403"/>
      <c r="X362" s="403"/>
      <c r="Y362" s="403"/>
      <c r="Z362" s="403"/>
      <c r="AA362" s="403"/>
      <c r="AB362" s="403"/>
      <c r="AC362" s="403"/>
      <c r="AD362" s="403"/>
      <c r="AE362" s="403"/>
      <c r="AF362" s="403"/>
      <c r="AG362" s="403"/>
      <c r="AH362" s="403"/>
      <c r="AI362" s="403"/>
      <c r="AJ362" s="403"/>
      <c r="AK362" s="403"/>
      <c r="AL362" s="403"/>
      <c r="AM362" s="403"/>
      <c r="AN362" s="403"/>
      <c r="AO362" s="403"/>
      <c r="AP362" s="403"/>
      <c r="AQ362" s="403"/>
      <c r="AR362" s="403"/>
      <c r="AS362" s="403"/>
      <c r="AT362" s="403"/>
      <c r="AU362" s="403"/>
      <c r="AV362" s="403"/>
      <c r="AW362" s="403"/>
      <c r="AX362" s="403"/>
      <c r="AY362" s="403"/>
      <c r="AZ362" s="403"/>
      <c r="BA362" s="403"/>
      <c r="BB362" s="403"/>
      <c r="BC362" s="403"/>
      <c r="BD362" s="403"/>
      <c r="BE362" s="403"/>
      <c r="BF362" s="403"/>
      <c r="BG362" s="403"/>
      <c r="BH362" s="403"/>
      <c r="BI362" s="403"/>
      <c r="BJ362" s="403"/>
      <c r="BK362" s="403"/>
      <c r="BL362" s="403"/>
      <c r="BM362" s="403"/>
      <c r="BN362" s="403"/>
      <c r="BO362" s="403"/>
      <c r="BP362" s="403"/>
      <c r="BQ362" s="403"/>
      <c r="BR362" s="403"/>
      <c r="BS362" s="403"/>
      <c r="BT362" s="403"/>
      <c r="BU362" s="403"/>
      <c r="BV362" s="403"/>
      <c r="BW362" s="403"/>
      <c r="BX362" s="403"/>
      <c r="BY362" s="403"/>
      <c r="BZ362" s="403"/>
      <c r="CA362" s="403"/>
      <c r="CB362" s="403"/>
      <c r="CC362" s="403"/>
      <c r="CD362" s="403"/>
      <c r="CE362" s="403"/>
      <c r="CF362" s="403"/>
      <c r="CG362" s="403"/>
      <c r="CH362" s="403"/>
      <c r="CI362" s="403"/>
      <c r="CJ362" s="403"/>
      <c r="CK362" s="403"/>
      <c r="CL362" s="403"/>
      <c r="CM362" s="403"/>
      <c r="CN362" s="403"/>
      <c r="CO362" s="403"/>
      <c r="CP362" s="403"/>
      <c r="CQ362" s="403"/>
      <c r="CR362" s="403"/>
      <c r="CS362" s="403"/>
      <c r="CT362" s="403"/>
      <c r="CU362" s="403"/>
      <c r="CV362" s="403"/>
      <c r="CW362" s="403"/>
      <c r="CX362" s="403"/>
      <c r="CY362" s="403"/>
      <c r="CZ362" s="403"/>
      <c r="DA362" s="403"/>
      <c r="DB362" s="403"/>
      <c r="DC362" s="403"/>
      <c r="DD362" s="403"/>
      <c r="DE362" s="403"/>
      <c r="DF362" s="403"/>
      <c r="DG362" s="403"/>
      <c r="DH362" s="403"/>
      <c r="DI362" s="403"/>
      <c r="DJ362" s="403"/>
      <c r="DK362" s="403"/>
      <c r="DL362" s="403"/>
      <c r="DM362" s="403"/>
      <c r="DN362" s="403"/>
      <c r="DO362" s="403"/>
      <c r="DP362" s="403"/>
      <c r="DQ362" s="403"/>
      <c r="DR362" s="403"/>
      <c r="DS362" s="403"/>
      <c r="DT362" s="403"/>
      <c r="DU362" s="403"/>
      <c r="DV362" s="403"/>
      <c r="DW362" s="403"/>
      <c r="DX362" s="403"/>
      <c r="DY362" s="403"/>
      <c r="DZ362" s="403"/>
      <c r="EA362" s="403"/>
      <c r="EB362" s="403"/>
      <c r="EC362" s="403"/>
      <c r="ED362" s="403"/>
      <c r="EE362" s="403"/>
      <c r="EF362" s="403"/>
      <c r="EG362" s="403"/>
      <c r="EH362" s="403"/>
      <c r="EI362" s="403"/>
      <c r="EJ362" s="403"/>
      <c r="EK362" s="403"/>
      <c r="EL362" s="403"/>
      <c r="EM362" s="403"/>
      <c r="EN362" s="403"/>
      <c r="EO362" s="403"/>
      <c r="EP362" s="403"/>
      <c r="EQ362" s="403"/>
      <c r="ER362" s="403"/>
      <c r="ES362" s="403"/>
      <c r="ET362" s="403"/>
    </row>
    <row r="363" spans="1:150" s="299" customFormat="1" x14ac:dyDescent="0.2">
      <c r="R363" s="403"/>
      <c r="S363" s="403"/>
      <c r="T363" s="403"/>
      <c r="U363" s="403"/>
      <c r="V363" s="403"/>
      <c r="W363" s="403"/>
      <c r="X363" s="403"/>
      <c r="Y363" s="403"/>
      <c r="Z363" s="403"/>
      <c r="AA363" s="403"/>
      <c r="AB363" s="403"/>
      <c r="AC363" s="403"/>
      <c r="AD363" s="403"/>
      <c r="AE363" s="403"/>
      <c r="AF363" s="403"/>
      <c r="AG363" s="403"/>
      <c r="AH363" s="403"/>
      <c r="AI363" s="403"/>
      <c r="AJ363" s="403"/>
      <c r="AK363" s="403"/>
      <c r="AL363" s="403"/>
      <c r="AM363" s="403"/>
      <c r="AN363" s="403"/>
      <c r="AO363" s="403"/>
      <c r="AP363" s="403"/>
      <c r="AQ363" s="403"/>
      <c r="AR363" s="403"/>
      <c r="AS363" s="403"/>
      <c r="AT363" s="403"/>
      <c r="AU363" s="403"/>
      <c r="AV363" s="403"/>
      <c r="AW363" s="403"/>
      <c r="AX363" s="403"/>
      <c r="AY363" s="403"/>
      <c r="AZ363" s="403"/>
      <c r="BA363" s="403"/>
      <c r="BB363" s="403"/>
      <c r="BC363" s="403"/>
      <c r="BD363" s="403"/>
      <c r="BE363" s="403"/>
      <c r="BF363" s="403"/>
      <c r="BG363" s="403"/>
      <c r="BH363" s="403"/>
      <c r="BI363" s="403"/>
      <c r="BJ363" s="403"/>
      <c r="BK363" s="403"/>
      <c r="BL363" s="403"/>
      <c r="BM363" s="403"/>
      <c r="BN363" s="403"/>
      <c r="BO363" s="403"/>
      <c r="BP363" s="403"/>
      <c r="BQ363" s="403"/>
      <c r="BR363" s="403"/>
      <c r="BS363" s="403"/>
      <c r="BT363" s="403"/>
      <c r="BU363" s="403"/>
      <c r="BV363" s="403"/>
      <c r="BW363" s="403"/>
      <c r="BX363" s="403"/>
      <c r="BY363" s="403"/>
      <c r="BZ363" s="403"/>
      <c r="CA363" s="403"/>
      <c r="CB363" s="403"/>
      <c r="CC363" s="403"/>
      <c r="CD363" s="403"/>
      <c r="CE363" s="403"/>
      <c r="CF363" s="403"/>
      <c r="CG363" s="403"/>
      <c r="CH363" s="403"/>
      <c r="CI363" s="403"/>
      <c r="CJ363" s="403"/>
      <c r="CK363" s="403"/>
      <c r="CL363" s="403"/>
      <c r="CM363" s="403"/>
      <c r="CN363" s="403"/>
      <c r="CO363" s="403"/>
      <c r="CP363" s="403"/>
      <c r="CQ363" s="403"/>
      <c r="CR363" s="403"/>
      <c r="CS363" s="403"/>
      <c r="CT363" s="403"/>
      <c r="CU363" s="403"/>
      <c r="CV363" s="403"/>
      <c r="CW363" s="403"/>
      <c r="CX363" s="403"/>
      <c r="CY363" s="403"/>
      <c r="CZ363" s="403"/>
      <c r="DA363" s="403"/>
      <c r="DB363" s="403"/>
      <c r="DC363" s="403"/>
      <c r="DD363" s="403"/>
      <c r="DE363" s="403"/>
      <c r="DF363" s="403"/>
      <c r="DG363" s="403"/>
      <c r="DH363" s="403"/>
      <c r="DI363" s="403"/>
      <c r="DJ363" s="403"/>
      <c r="DK363" s="403"/>
      <c r="DL363" s="403"/>
      <c r="DM363" s="403"/>
      <c r="DN363" s="403"/>
      <c r="DO363" s="403"/>
      <c r="DP363" s="403"/>
      <c r="DQ363" s="403"/>
      <c r="DR363" s="403"/>
      <c r="DS363" s="403"/>
      <c r="DT363" s="403"/>
      <c r="DU363" s="403"/>
      <c r="DV363" s="403"/>
      <c r="DW363" s="403"/>
      <c r="DX363" s="403"/>
      <c r="DY363" s="403"/>
      <c r="DZ363" s="403"/>
      <c r="EA363" s="403"/>
      <c r="EB363" s="403"/>
      <c r="EC363" s="403"/>
      <c r="ED363" s="403"/>
      <c r="EE363" s="403"/>
      <c r="EF363" s="403"/>
      <c r="EG363" s="403"/>
      <c r="EH363" s="403"/>
      <c r="EI363" s="403"/>
      <c r="EJ363" s="403"/>
      <c r="EK363" s="403"/>
      <c r="EL363" s="403"/>
      <c r="EM363" s="403"/>
      <c r="EN363" s="403"/>
      <c r="EO363" s="403"/>
      <c r="EP363" s="403"/>
      <c r="EQ363" s="403"/>
      <c r="ER363" s="403"/>
      <c r="ES363" s="403"/>
      <c r="ET363" s="403"/>
    </row>
    <row r="364" spans="1:150" s="15" customFormat="1" ht="15" x14ac:dyDescent="0.25">
      <c r="A364" s="567"/>
      <c r="B364" s="8" t="str">
        <f ca="1">IF(OFFSET(T364,0,Lang_Order*Lang__B4)="","",OFFSET(T364,0,Lang_Order*Lang__B4))</f>
        <v>B4.1.6 Cold chain transportation</v>
      </c>
      <c r="C364" s="8"/>
      <c r="D364" s="8"/>
      <c r="E364" s="8"/>
      <c r="F364" s="8"/>
      <c r="G364" s="8"/>
      <c r="H364" s="8"/>
      <c r="I364" s="8"/>
      <c r="J364" s="149" t="e">
        <f t="shared" ref="J364:O364" si="97">SUM(J371,J376,J383,J388,J396,J401,J406,J410)</f>
        <v>#N/A</v>
      </c>
      <c r="K364" s="149" t="e">
        <f t="shared" si="97"/>
        <v>#N/A</v>
      </c>
      <c r="L364" s="149" t="e">
        <f t="shared" si="97"/>
        <v>#N/A</v>
      </c>
      <c r="M364" s="149" t="e">
        <f t="shared" si="97"/>
        <v>#N/A</v>
      </c>
      <c r="N364" s="149" t="e">
        <f t="shared" si="97"/>
        <v>#N/A</v>
      </c>
      <c r="O364" s="149" t="e">
        <f t="shared" si="97"/>
        <v>#N/A</v>
      </c>
      <c r="P364" s="149" t="e">
        <f>SUM(J364:O364)</f>
        <v>#N/A</v>
      </c>
      <c r="Q364" s="8"/>
      <c r="R364" s="403"/>
      <c r="S364" s="403"/>
      <c r="T364" s="403" t="s">
        <v>13503</v>
      </c>
      <c r="U364" s="403"/>
      <c r="V364" s="403"/>
      <c r="W364" s="403"/>
      <c r="X364" s="403"/>
      <c r="Y364" s="403"/>
      <c r="Z364" s="403"/>
      <c r="AA364" s="403"/>
      <c r="AB364" s="403"/>
      <c r="AC364" s="403"/>
      <c r="AD364" s="403"/>
      <c r="AE364" s="403"/>
      <c r="AF364" s="403"/>
      <c r="AG364" s="403"/>
      <c r="AH364" s="403"/>
      <c r="AI364" s="403"/>
      <c r="AJ364" s="403"/>
      <c r="AK364" s="403"/>
      <c r="AL364" s="403"/>
      <c r="AM364" s="403" t="s">
        <v>13504</v>
      </c>
      <c r="AN364" s="403"/>
      <c r="AO364" s="403"/>
      <c r="AP364" s="403"/>
      <c r="AQ364" s="403"/>
      <c r="AR364" s="403"/>
      <c r="AS364" s="403"/>
      <c r="AT364" s="403"/>
      <c r="AU364" s="403"/>
      <c r="AV364" s="403"/>
      <c r="AW364" s="403"/>
      <c r="AX364" s="403"/>
      <c r="AY364" s="403"/>
      <c r="AZ364" s="403"/>
      <c r="BA364" s="403"/>
      <c r="BB364" s="403"/>
      <c r="BC364" s="403"/>
      <c r="BD364" s="403"/>
      <c r="BE364" s="403"/>
      <c r="BF364" s="403" t="s">
        <v>13505</v>
      </c>
      <c r="BG364" s="403"/>
      <c r="BH364" s="403"/>
      <c r="BI364" s="403"/>
      <c r="BJ364" s="403"/>
      <c r="BK364" s="403"/>
      <c r="BL364" s="403"/>
      <c r="BM364" s="403"/>
      <c r="BN364" s="403"/>
      <c r="BO364" s="403"/>
      <c r="BP364" s="403"/>
      <c r="BQ364" s="403"/>
      <c r="BR364" s="403"/>
      <c r="BS364" s="403"/>
      <c r="BT364" s="403"/>
      <c r="BU364" s="403"/>
      <c r="BV364" s="403"/>
      <c r="BW364" s="403"/>
      <c r="BX364" s="403"/>
      <c r="BY364" s="403" t="s">
        <v>13506</v>
      </c>
      <c r="BZ364" s="403"/>
      <c r="CA364" s="403"/>
      <c r="CB364" s="403"/>
      <c r="CC364" s="403"/>
      <c r="CD364" s="403"/>
      <c r="CE364" s="403"/>
      <c r="CF364" s="403"/>
      <c r="CG364" s="403"/>
      <c r="CH364" s="403"/>
      <c r="CI364" s="403"/>
      <c r="CJ364" s="403"/>
      <c r="CK364" s="403"/>
      <c r="CL364" s="403"/>
      <c r="CM364" s="403"/>
      <c r="CN364" s="403"/>
      <c r="CO364" s="403"/>
      <c r="CP364" s="403"/>
      <c r="CQ364" s="403"/>
      <c r="CR364" s="403" t="s">
        <v>11414</v>
      </c>
      <c r="CS364" s="403"/>
      <c r="CT364" s="403"/>
      <c r="CU364" s="403"/>
      <c r="CV364" s="403"/>
      <c r="CW364" s="403"/>
      <c r="CX364" s="403"/>
      <c r="CY364" s="403"/>
      <c r="CZ364" s="403"/>
      <c r="DA364" s="403"/>
      <c r="DB364" s="403"/>
      <c r="DC364" s="403"/>
      <c r="DD364" s="403"/>
      <c r="DE364" s="403"/>
      <c r="DF364" s="403"/>
      <c r="DG364" s="403"/>
      <c r="DH364" s="403"/>
      <c r="DI364" s="403"/>
      <c r="DJ364" s="403"/>
      <c r="DK364" s="403" t="s">
        <v>13507</v>
      </c>
      <c r="DL364" s="403"/>
      <c r="DM364" s="403"/>
      <c r="DN364" s="403"/>
      <c r="DO364" s="403"/>
      <c r="DP364" s="403"/>
      <c r="DQ364" s="403"/>
      <c r="DR364" s="403"/>
      <c r="DS364" s="403"/>
      <c r="DT364" s="403"/>
      <c r="DU364" s="403"/>
      <c r="DV364" s="403"/>
      <c r="DW364" s="403"/>
      <c r="DX364" s="403"/>
      <c r="DY364" s="403"/>
      <c r="DZ364" s="403"/>
      <c r="EA364" s="403"/>
      <c r="EB364" s="403"/>
      <c r="EC364" s="403"/>
      <c r="ED364" s="403" t="s">
        <v>13508</v>
      </c>
      <c r="EE364" s="403"/>
      <c r="EF364" s="403"/>
      <c r="EG364" s="403"/>
      <c r="EH364" s="403"/>
      <c r="EI364" s="403"/>
      <c r="EJ364" s="403"/>
      <c r="EK364" s="403"/>
      <c r="EL364" s="403"/>
      <c r="EM364" s="403"/>
      <c r="EN364" s="403"/>
      <c r="EO364" s="403"/>
      <c r="EP364" s="403"/>
      <c r="EQ364" s="403"/>
      <c r="ER364" s="403"/>
      <c r="ES364" s="403"/>
      <c r="ET364" s="403"/>
    </row>
    <row r="365" spans="1:150" s="299" customFormat="1" ht="15" x14ac:dyDescent="0.25">
      <c r="B365" s="624" t="str">
        <f ca="1">IF(OFFSET(T365,0,Lang_Order*Lang__B4)="","",OFFSET(T365,0,Lang_Order*Lang__B4))</f>
        <v>Cold chain transportation from central to regional</v>
      </c>
      <c r="J365" s="319" t="str">
        <f t="shared" ref="J365:O365" ca="1" si="98">IF(OFFSET(AB365,0,Lang_Order*Lang__B4)="","",OFFSET(AB365,0,Lang_Order*Lang__B4))</f>
        <v>H1 2021</v>
      </c>
      <c r="K365" s="319" t="str">
        <f t="shared" ca="1" si="98"/>
        <v>H2 2021</v>
      </c>
      <c r="L365" s="319" t="str">
        <f t="shared" ca="1" si="98"/>
        <v>H1 2022</v>
      </c>
      <c r="M365" s="319" t="str">
        <f t="shared" ca="1" si="98"/>
        <v>H2 2022</v>
      </c>
      <c r="N365" s="319" t="str">
        <f t="shared" ca="1" si="98"/>
        <v>H1 2023</v>
      </c>
      <c r="O365" s="319" t="str">
        <f t="shared" ca="1" si="98"/>
        <v>H2 2023</v>
      </c>
      <c r="P365" s="572" t="s">
        <v>1605</v>
      </c>
      <c r="Q365" s="85"/>
      <c r="R365" s="403"/>
      <c r="S365" s="403"/>
      <c r="T365" s="403" t="s">
        <v>3725</v>
      </c>
      <c r="U365" s="403"/>
      <c r="V365" s="403"/>
      <c r="W365" s="403"/>
      <c r="X365" s="403"/>
      <c r="Y365" s="403"/>
      <c r="Z365" s="403"/>
      <c r="AA365" s="403"/>
      <c r="AB365" s="403" t="s">
        <v>1597</v>
      </c>
      <c r="AC365" s="403" t="s">
        <v>1598</v>
      </c>
      <c r="AD365" s="403" t="s">
        <v>1599</v>
      </c>
      <c r="AE365" s="403" t="s">
        <v>1600</v>
      </c>
      <c r="AF365" s="403" t="s">
        <v>1602</v>
      </c>
      <c r="AG365" s="403" t="s">
        <v>1601</v>
      </c>
      <c r="AH365" s="403"/>
      <c r="AI365" s="403"/>
      <c r="AJ365" s="403"/>
      <c r="AK365" s="403"/>
      <c r="AL365" s="403"/>
      <c r="AM365" s="403" t="s">
        <v>11415</v>
      </c>
      <c r="AN365" s="403"/>
      <c r="AO365" s="403"/>
      <c r="AP365" s="403"/>
      <c r="AQ365" s="403"/>
      <c r="AR365" s="403"/>
      <c r="AS365" s="403"/>
      <c r="AT365" s="403"/>
      <c r="AU365" s="403" t="s">
        <v>4663</v>
      </c>
      <c r="AV365" s="403" t="s">
        <v>4664</v>
      </c>
      <c r="AW365" s="403" t="s">
        <v>4665</v>
      </c>
      <c r="AX365" s="403" t="s">
        <v>4666</v>
      </c>
      <c r="AY365" s="403" t="s">
        <v>4667</v>
      </c>
      <c r="AZ365" s="403" t="s">
        <v>4668</v>
      </c>
      <c r="BA365" s="403"/>
      <c r="BB365" s="403"/>
      <c r="BC365" s="403"/>
      <c r="BD365" s="403"/>
      <c r="BE365" s="403"/>
      <c r="BF365" s="403" t="s">
        <v>11416</v>
      </c>
      <c r="BG365" s="403"/>
      <c r="BH365" s="403"/>
      <c r="BI365" s="403"/>
      <c r="BJ365" s="403"/>
      <c r="BK365" s="403"/>
      <c r="BL365" s="403"/>
      <c r="BM365" s="403"/>
      <c r="BN365" s="403" t="s">
        <v>4670</v>
      </c>
      <c r="BO365" s="403" t="s">
        <v>4671</v>
      </c>
      <c r="BP365" s="403" t="s">
        <v>4672</v>
      </c>
      <c r="BQ365" s="403" t="s">
        <v>4673</v>
      </c>
      <c r="BR365" s="403" t="s">
        <v>4674</v>
      </c>
      <c r="BS365" s="403" t="s">
        <v>4675</v>
      </c>
      <c r="BT365" s="403"/>
      <c r="BU365" s="403"/>
      <c r="BV365" s="403"/>
      <c r="BW365" s="403"/>
      <c r="BX365" s="403"/>
      <c r="BY365" s="403" t="s">
        <v>11417</v>
      </c>
      <c r="BZ365" s="403"/>
      <c r="CA365" s="403"/>
      <c r="CB365" s="403"/>
      <c r="CC365" s="403"/>
      <c r="CD365" s="403"/>
      <c r="CE365" s="403"/>
      <c r="CF365" s="403"/>
      <c r="CG365" s="403" t="s">
        <v>1597</v>
      </c>
      <c r="CH365" s="403" t="s">
        <v>1598</v>
      </c>
      <c r="CI365" s="403" t="s">
        <v>1599</v>
      </c>
      <c r="CJ365" s="403" t="s">
        <v>1600</v>
      </c>
      <c r="CK365" s="403" t="s">
        <v>1602</v>
      </c>
      <c r="CL365" s="403" t="s">
        <v>1601</v>
      </c>
      <c r="CM365" s="403"/>
      <c r="CN365" s="403"/>
      <c r="CO365" s="403"/>
      <c r="CP365" s="403"/>
      <c r="CQ365" s="403"/>
      <c r="CR365" s="403" t="s">
        <v>11418</v>
      </c>
      <c r="CS365" s="403"/>
      <c r="CT365" s="403"/>
      <c r="CU365" s="403"/>
      <c r="CV365" s="403"/>
      <c r="CW365" s="403"/>
      <c r="CX365" s="403"/>
      <c r="CY365" s="403"/>
      <c r="CZ365" s="403" t="s">
        <v>4663</v>
      </c>
      <c r="DA365" s="403" t="s">
        <v>4664</v>
      </c>
      <c r="DB365" s="403" t="s">
        <v>4665</v>
      </c>
      <c r="DC365" s="403" t="s">
        <v>4666</v>
      </c>
      <c r="DD365" s="403" t="s">
        <v>4667</v>
      </c>
      <c r="DE365" s="403" t="s">
        <v>4668</v>
      </c>
      <c r="DF365" s="403"/>
      <c r="DG365" s="403"/>
      <c r="DH365" s="403"/>
      <c r="DI365" s="403"/>
      <c r="DJ365" s="403"/>
      <c r="DK365" s="403" t="s">
        <v>11419</v>
      </c>
      <c r="DL365" s="403"/>
      <c r="DM365" s="403"/>
      <c r="DN365" s="403"/>
      <c r="DO365" s="403"/>
      <c r="DP365" s="403"/>
      <c r="DQ365" s="403"/>
      <c r="DR365" s="403"/>
      <c r="DS365" s="403" t="s">
        <v>4680</v>
      </c>
      <c r="DT365" s="403" t="s">
        <v>4681</v>
      </c>
      <c r="DU365" s="403" t="s">
        <v>4682</v>
      </c>
      <c r="DV365" s="403" t="s">
        <v>4683</v>
      </c>
      <c r="DW365" s="403" t="s">
        <v>4684</v>
      </c>
      <c r="DX365" s="403" t="s">
        <v>4685</v>
      </c>
      <c r="DY365" s="403"/>
      <c r="DZ365" s="403"/>
      <c r="EA365" s="403"/>
      <c r="EB365" s="403"/>
      <c r="EC365" s="403"/>
      <c r="ED365" s="403" t="s">
        <v>11420</v>
      </c>
      <c r="EE365" s="403"/>
      <c r="EF365" s="403"/>
      <c r="EG365" s="403"/>
      <c r="EH365" s="403"/>
      <c r="EI365" s="403"/>
      <c r="EJ365" s="403"/>
      <c r="EK365" s="403"/>
      <c r="EL365" s="403" t="s">
        <v>4688</v>
      </c>
      <c r="EM365" s="403" t="s">
        <v>4689</v>
      </c>
      <c r="EN365" s="403" t="s">
        <v>4690</v>
      </c>
      <c r="EO365" s="403" t="s">
        <v>4691</v>
      </c>
      <c r="EP365" s="403" t="s">
        <v>4692</v>
      </c>
      <c r="EQ365" s="403" t="s">
        <v>4693</v>
      </c>
      <c r="ER365" s="403"/>
      <c r="ES365" s="403"/>
      <c r="ET365" s="403"/>
    </row>
    <row r="366" spans="1:150" x14ac:dyDescent="0.2">
      <c r="B366" s="299"/>
      <c r="C366" s="6"/>
      <c r="D366" s="34" t="str">
        <f ca="1">IF(OFFSET(V366,0,Lang_Order*Lang__B4)="","",OFFSET(V366,0,Lang_Order*Lang__B4))</f>
        <v>Per Trip</v>
      </c>
      <c r="V366" s="403" t="s">
        <v>2652</v>
      </c>
      <c r="AO366" s="403" t="s">
        <v>8372</v>
      </c>
      <c r="BH366" s="403" t="s">
        <v>8374</v>
      </c>
      <c r="CA366" s="403" t="s">
        <v>11421</v>
      </c>
      <c r="CT366" s="403" t="s">
        <v>11422</v>
      </c>
      <c r="DM366" s="403" t="s">
        <v>8412</v>
      </c>
      <c r="EF366" s="403" t="s">
        <v>8380</v>
      </c>
    </row>
    <row r="367" spans="1:150" x14ac:dyDescent="0.2">
      <c r="B367" s="299"/>
      <c r="C367" s="5" t="str">
        <f ca="1">IF(OFFSET(U367,0,Lang_Order*Lang__B4)="","",OFFSET(U367,0,Lang_Order*Lang__B4))</f>
        <v>Room temperature</v>
      </c>
      <c r="D367" s="11">
        <f>'A3. INPUT Unit Costs'!I112</f>
        <v>0</v>
      </c>
      <c r="J367" s="37" t="e">
        <f t="shared" ref="J367:O370" si="99">IF(J101=0,0,$D367*Regional_Stores*J$146)</f>
        <v>#N/A</v>
      </c>
      <c r="K367" s="300" t="e">
        <f t="shared" si="99"/>
        <v>#N/A</v>
      </c>
      <c r="L367" s="300" t="e">
        <f t="shared" si="99"/>
        <v>#N/A</v>
      </c>
      <c r="M367" s="300" t="e">
        <f t="shared" si="99"/>
        <v>#N/A</v>
      </c>
      <c r="N367" s="300" t="e">
        <f t="shared" si="99"/>
        <v>#N/A</v>
      </c>
      <c r="O367" s="300" t="e">
        <f t="shared" si="99"/>
        <v>#N/A</v>
      </c>
      <c r="P367" s="37" t="e">
        <f>SUM(J367:O367)</f>
        <v>#N/A</v>
      </c>
      <c r="Q367" s="299"/>
      <c r="U367" s="403" t="s">
        <v>10</v>
      </c>
      <c r="AN367" s="403" t="s">
        <v>8371</v>
      </c>
      <c r="BG367" s="403" t="s">
        <v>10226</v>
      </c>
      <c r="BZ367" s="403" t="s">
        <v>8375</v>
      </c>
      <c r="CS367" s="403" t="s">
        <v>8375</v>
      </c>
      <c r="DL367" s="403" t="s">
        <v>8378</v>
      </c>
      <c r="EE367" s="403" t="s">
        <v>10256</v>
      </c>
    </row>
    <row r="368" spans="1:150" x14ac:dyDescent="0.2">
      <c r="B368" s="299"/>
      <c r="C368" s="5" t="str">
        <f ca="1">IF(OFFSET(U368,0,Lang_Order*Lang__B4)="","",OFFSET(U368,0,Lang_Order*Lang__B4))</f>
        <v>Refrigerated (2 to 8C)</v>
      </c>
      <c r="D368" s="11" t="e">
        <f>'A3. INPUT Unit Costs'!I113</f>
        <v>#N/A</v>
      </c>
      <c r="J368" s="300" t="e">
        <f t="shared" si="99"/>
        <v>#N/A</v>
      </c>
      <c r="K368" s="300" t="e">
        <f t="shared" si="99"/>
        <v>#N/A</v>
      </c>
      <c r="L368" s="300" t="e">
        <f t="shared" si="99"/>
        <v>#N/A</v>
      </c>
      <c r="M368" s="300" t="e">
        <f t="shared" si="99"/>
        <v>#N/A</v>
      </c>
      <c r="N368" s="300" t="e">
        <f t="shared" si="99"/>
        <v>#N/A</v>
      </c>
      <c r="O368" s="300" t="e">
        <f t="shared" si="99"/>
        <v>#N/A</v>
      </c>
      <c r="P368" s="300" t="e">
        <f>SUM(J368:O368)</f>
        <v>#N/A</v>
      </c>
      <c r="Q368" s="299"/>
      <c r="U368" s="403" t="s">
        <v>11</v>
      </c>
      <c r="AN368" s="403" t="s">
        <v>10714</v>
      </c>
      <c r="BG368" s="403" t="s">
        <v>10227</v>
      </c>
      <c r="BZ368" s="403" t="s">
        <v>10715</v>
      </c>
      <c r="CS368" s="403" t="s">
        <v>8384</v>
      </c>
      <c r="DL368" s="403" t="s">
        <v>10248</v>
      </c>
      <c r="EE368" s="403" t="s">
        <v>8387</v>
      </c>
    </row>
    <row r="369" spans="1:150" x14ac:dyDescent="0.2">
      <c r="B369" s="299"/>
      <c r="C369" s="5" t="str">
        <f ca="1">IF(OFFSET(U369,0,Lang_Order*Lang__B4)="","",OFFSET(U369,0,Lang_Order*Lang__B4))</f>
        <v>Frozen (-20C)</v>
      </c>
      <c r="D369" s="11" t="e">
        <f>'A3. INPUT Unit Costs'!I114</f>
        <v>#N/A</v>
      </c>
      <c r="J369" s="300" t="e">
        <f t="shared" si="99"/>
        <v>#N/A</v>
      </c>
      <c r="K369" s="300" t="e">
        <f t="shared" si="99"/>
        <v>#N/A</v>
      </c>
      <c r="L369" s="300" t="e">
        <f t="shared" si="99"/>
        <v>#N/A</v>
      </c>
      <c r="M369" s="300" t="e">
        <f t="shared" si="99"/>
        <v>#N/A</v>
      </c>
      <c r="N369" s="300" t="e">
        <f t="shared" si="99"/>
        <v>#N/A</v>
      </c>
      <c r="O369" s="300" t="e">
        <f t="shared" si="99"/>
        <v>#N/A</v>
      </c>
      <c r="P369" s="300" t="e">
        <f>SUM(J369:O369)</f>
        <v>#N/A</v>
      </c>
      <c r="Q369" s="299"/>
      <c r="U369" s="403" t="s">
        <v>12</v>
      </c>
      <c r="AN369" s="403" t="s">
        <v>10717</v>
      </c>
      <c r="BG369" s="403" t="s">
        <v>10228</v>
      </c>
      <c r="BZ369" s="403" t="s">
        <v>10718</v>
      </c>
      <c r="CS369" s="403" t="s">
        <v>8391</v>
      </c>
      <c r="DL369" s="403" t="s">
        <v>10249</v>
      </c>
      <c r="EE369" s="403" t="s">
        <v>8393</v>
      </c>
    </row>
    <row r="370" spans="1:150" x14ac:dyDescent="0.2">
      <c r="A370" s="567"/>
      <c r="B370" s="299"/>
      <c r="C370" s="5" t="str">
        <f ca="1">IF(OFFSET(U370,0,Lang_Order*Lang__B4)="","",OFFSET(U370,0,Lang_Order*Lang__B4))</f>
        <v>Ultra-cold (-60 to -80C)</v>
      </c>
      <c r="D370" s="11" t="e">
        <f>'A3. INPUT Unit Costs'!I115</f>
        <v>#N/A</v>
      </c>
      <c r="J370" s="300" t="e">
        <f t="shared" si="99"/>
        <v>#N/A</v>
      </c>
      <c r="K370" s="300" t="e">
        <f t="shared" si="99"/>
        <v>#N/A</v>
      </c>
      <c r="L370" s="300" t="e">
        <f t="shared" si="99"/>
        <v>#N/A</v>
      </c>
      <c r="M370" s="300" t="e">
        <f t="shared" si="99"/>
        <v>#N/A</v>
      </c>
      <c r="N370" s="300" t="e">
        <f t="shared" si="99"/>
        <v>#N/A</v>
      </c>
      <c r="O370" s="300" t="e">
        <f t="shared" si="99"/>
        <v>#N/A</v>
      </c>
      <c r="P370" s="300" t="e">
        <f>SUM(J370:O370)</f>
        <v>#N/A</v>
      </c>
      <c r="Q370" s="508"/>
      <c r="U370" s="403" t="s">
        <v>13</v>
      </c>
      <c r="AI370" s="403" t="s">
        <v>2765</v>
      </c>
      <c r="AN370" s="403" t="s">
        <v>8394</v>
      </c>
      <c r="BB370" s="403" t="s">
        <v>10918</v>
      </c>
      <c r="BG370" s="403" t="s">
        <v>10229</v>
      </c>
      <c r="BU370" s="403" t="s">
        <v>10273</v>
      </c>
      <c r="BZ370" s="403" t="s">
        <v>10237</v>
      </c>
      <c r="CN370" s="403" t="s">
        <v>10932</v>
      </c>
      <c r="CS370" s="403" t="s">
        <v>8400</v>
      </c>
      <c r="DG370" s="403" t="s">
        <v>10275</v>
      </c>
      <c r="DL370" s="403" t="s">
        <v>10250</v>
      </c>
      <c r="DZ370" s="403" t="s">
        <v>10276</v>
      </c>
      <c r="EE370" s="403" t="s">
        <v>8404</v>
      </c>
      <c r="ES370" s="403" t="s">
        <v>10919</v>
      </c>
    </row>
    <row r="371" spans="1:150" ht="13.5" thickBot="1" x14ac:dyDescent="0.25">
      <c r="B371" s="299"/>
      <c r="J371" s="118" t="e">
        <f t="shared" ref="J371:O371" si="100">J37*MAX(J367:J370)</f>
        <v>#N/A</v>
      </c>
      <c r="K371" s="118" t="e">
        <f t="shared" si="100"/>
        <v>#N/A</v>
      </c>
      <c r="L371" s="118" t="e">
        <f t="shared" si="100"/>
        <v>#N/A</v>
      </c>
      <c r="M371" s="118" t="e">
        <f t="shared" si="100"/>
        <v>#N/A</v>
      </c>
      <c r="N371" s="118" t="e">
        <f t="shared" si="100"/>
        <v>#N/A</v>
      </c>
      <c r="O371" s="118" t="e">
        <f t="shared" si="100"/>
        <v>#N/A</v>
      </c>
      <c r="P371" s="118" t="e">
        <f>SUM(J371:O371)</f>
        <v>#N/A</v>
      </c>
      <c r="Q371" s="12" t="str">
        <f ca="1">IF(OFFSET(AI371,0,Lang_Order*Lang__B4)="","",OFFSET(AI371,0,Lang_Order*Lang__B4))</f>
        <v>Note this is MAX not SUM … assumption is that it is the same truck taking all the different types of vaccines to the same facility, and costs follow the most stringent requirement</v>
      </c>
      <c r="AI371" s="403" t="s">
        <v>2653</v>
      </c>
      <c r="BB371" s="403" t="s">
        <v>11423</v>
      </c>
      <c r="BU371" s="403" t="s">
        <v>11424</v>
      </c>
      <c r="CN371" s="403" t="s">
        <v>11425</v>
      </c>
      <c r="DG371" s="403" t="s">
        <v>11426</v>
      </c>
      <c r="DZ371" s="403" t="s">
        <v>11427</v>
      </c>
      <c r="ES371" s="403" t="s">
        <v>11428</v>
      </c>
    </row>
    <row r="372" spans="1:150" ht="13.5" thickTop="1" x14ac:dyDescent="0.2">
      <c r="A372" s="567"/>
      <c r="B372" s="90" t="str">
        <f ca="1">IF(OFFSET(T372,0,Lang_Order*Lang__B4)="","",OFFSET(T372,0,Lang_Order*Lang__B4))</f>
        <v>Min volume (L) per container (quantize up)</v>
      </c>
      <c r="C372" s="6"/>
      <c r="D372" s="34" t="str">
        <f ca="1">IF(OFFSET(V372,0,Lang_Order*Lang__B4)="","",OFFSET(V372,0,Lang_Order*Lang__B4))</f>
        <v>Per Volume (liters)</v>
      </c>
      <c r="T372" s="403" t="s">
        <v>4532</v>
      </c>
      <c r="V372" s="403" t="s">
        <v>4531</v>
      </c>
      <c r="AM372" s="403" t="s">
        <v>13426</v>
      </c>
      <c r="AO372" s="403" t="s">
        <v>13432</v>
      </c>
      <c r="BF372" s="403" t="s">
        <v>13427</v>
      </c>
      <c r="BH372" s="403" t="s">
        <v>13433</v>
      </c>
      <c r="BY372" s="403" t="s">
        <v>13428</v>
      </c>
      <c r="CA372" s="403" t="s">
        <v>13434</v>
      </c>
      <c r="CR372" s="403" t="s">
        <v>13429</v>
      </c>
      <c r="CT372" s="403" t="s">
        <v>13435</v>
      </c>
      <c r="DK372" s="403" t="s">
        <v>13430</v>
      </c>
      <c r="DM372" s="403" t="s">
        <v>13436</v>
      </c>
      <c r="ED372" s="403" t="s">
        <v>13431</v>
      </c>
      <c r="EF372" s="403" t="s">
        <v>13437</v>
      </c>
    </row>
    <row r="373" spans="1:150" x14ac:dyDescent="0.2">
      <c r="B373" s="208">
        <v>20</v>
      </c>
      <c r="C373" s="5" t="str">
        <f ca="1">IF(OFFSET(U373,0,Lang_Order*Lang__B4)="","",OFFSET(U373,0,Lang_Order*Lang__B4))</f>
        <v>Refrigerated (2 to 8C)</v>
      </c>
      <c r="D373" s="11" t="e">
        <f>'A3. INPUT Unit Costs'!I119</f>
        <v>#N/A</v>
      </c>
      <c r="J373" s="300" t="e">
        <f t="shared" ref="J373:O375" si="101">J$37*$D373*(ROUNDUP(J147/$B373,0)*$B373*J$146*Regional_Stores)</f>
        <v>#N/A</v>
      </c>
      <c r="K373" s="300" t="e">
        <f t="shared" si="101"/>
        <v>#N/A</v>
      </c>
      <c r="L373" s="300" t="e">
        <f t="shared" si="101"/>
        <v>#N/A</v>
      </c>
      <c r="M373" s="300" t="e">
        <f t="shared" si="101"/>
        <v>#N/A</v>
      </c>
      <c r="N373" s="300" t="e">
        <f t="shared" si="101"/>
        <v>#N/A</v>
      </c>
      <c r="O373" s="300" t="e">
        <f t="shared" si="101"/>
        <v>#N/A</v>
      </c>
      <c r="P373" s="37"/>
      <c r="U373" s="403" t="s">
        <v>11</v>
      </c>
      <c r="AN373" s="403" t="s">
        <v>10714</v>
      </c>
      <c r="BG373" s="403" t="s">
        <v>11429</v>
      </c>
      <c r="BZ373" s="403" t="s">
        <v>10715</v>
      </c>
      <c r="CS373" s="403" t="s">
        <v>8384</v>
      </c>
      <c r="DL373" s="403" t="s">
        <v>10248</v>
      </c>
      <c r="EE373" s="403" t="s">
        <v>8387</v>
      </c>
    </row>
    <row r="374" spans="1:150" x14ac:dyDescent="0.2">
      <c r="B374" s="208">
        <v>20</v>
      </c>
      <c r="C374" s="5" t="str">
        <f ca="1">IF(OFFSET(U374,0,Lang_Order*Lang__B4)="","",OFFSET(U374,0,Lang_Order*Lang__B4))</f>
        <v>Frozen (-20C)</v>
      </c>
      <c r="D374" s="11" t="e">
        <f>'A3. INPUT Unit Costs'!I120</f>
        <v>#N/A</v>
      </c>
      <c r="J374" s="300" t="e">
        <f t="shared" si="101"/>
        <v>#N/A</v>
      </c>
      <c r="K374" s="300" t="e">
        <f t="shared" si="101"/>
        <v>#N/A</v>
      </c>
      <c r="L374" s="300" t="e">
        <f t="shared" si="101"/>
        <v>#N/A</v>
      </c>
      <c r="M374" s="300" t="e">
        <f t="shared" si="101"/>
        <v>#N/A</v>
      </c>
      <c r="N374" s="300" t="e">
        <f t="shared" si="101"/>
        <v>#N/A</v>
      </c>
      <c r="O374" s="300" t="e">
        <f t="shared" si="101"/>
        <v>#N/A</v>
      </c>
      <c r="P374" s="37"/>
      <c r="U374" s="403" t="s">
        <v>12</v>
      </c>
      <c r="AN374" s="403" t="s">
        <v>10717</v>
      </c>
      <c r="BG374" s="403" t="s">
        <v>10228</v>
      </c>
      <c r="BZ374" s="403" t="s">
        <v>10718</v>
      </c>
      <c r="CS374" s="403" t="s">
        <v>8391</v>
      </c>
      <c r="DL374" s="403" t="s">
        <v>10249</v>
      </c>
      <c r="EE374" s="403" t="s">
        <v>8393</v>
      </c>
    </row>
    <row r="375" spans="1:150" s="15" customFormat="1" x14ac:dyDescent="0.2">
      <c r="A375" s="567"/>
      <c r="B375" s="208">
        <v>25</v>
      </c>
      <c r="C375" s="5" t="str">
        <f ca="1">IF(OFFSET(U375,0,Lang_Order*Lang__B4)="","",OFFSET(U375,0,Lang_Order*Lang__B4))</f>
        <v>Ultra-cold (-60 to -80C)</v>
      </c>
      <c r="D375" s="11">
        <f>'A3. INPUT Unit Costs'!I121</f>
        <v>8.6</v>
      </c>
      <c r="J375" s="300" t="e">
        <f t="shared" si="101"/>
        <v>#N/A</v>
      </c>
      <c r="K375" s="300" t="e">
        <f t="shared" si="101"/>
        <v>#N/A</v>
      </c>
      <c r="L375" s="300" t="e">
        <f t="shared" si="101"/>
        <v>#N/A</v>
      </c>
      <c r="M375" s="300" t="e">
        <f t="shared" si="101"/>
        <v>#N/A</v>
      </c>
      <c r="N375" s="300" t="e">
        <f t="shared" si="101"/>
        <v>#N/A</v>
      </c>
      <c r="O375" s="300" t="e">
        <f t="shared" si="101"/>
        <v>#N/A</v>
      </c>
      <c r="P375" s="37"/>
      <c r="Q375" s="12" t="str">
        <f ca="1">IF(OFFSET(AI375,0,Lang_Order*Lang__B4)="","",OFFSET(AI375,0,Lang_Order*Lang__B4))</f>
        <v>UCC - dry ice shipper + dry ice</v>
      </c>
      <c r="R375" s="403"/>
      <c r="S375" s="403"/>
      <c r="T375" s="403"/>
      <c r="U375" s="403" t="s">
        <v>13</v>
      </c>
      <c r="V375" s="403"/>
      <c r="W375" s="403"/>
      <c r="X375" s="403"/>
      <c r="Y375" s="403"/>
      <c r="Z375" s="403"/>
      <c r="AA375" s="403"/>
      <c r="AB375" s="403"/>
      <c r="AC375" s="403"/>
      <c r="AD375" s="403"/>
      <c r="AE375" s="403"/>
      <c r="AF375" s="403"/>
      <c r="AG375" s="403"/>
      <c r="AH375" s="403"/>
      <c r="AI375" s="403" t="s">
        <v>4542</v>
      </c>
      <c r="AJ375" s="403"/>
      <c r="AK375" s="403"/>
      <c r="AL375" s="403"/>
      <c r="AM375" s="403"/>
      <c r="AN375" s="403" t="s">
        <v>8394</v>
      </c>
      <c r="AO375" s="403"/>
      <c r="AP375" s="403"/>
      <c r="AQ375" s="403"/>
      <c r="AR375" s="403"/>
      <c r="AS375" s="403"/>
      <c r="AT375" s="403"/>
      <c r="AU375" s="403"/>
      <c r="AV375" s="403"/>
      <c r="AW375" s="403"/>
      <c r="AX375" s="403"/>
      <c r="AY375" s="403"/>
      <c r="AZ375" s="403"/>
      <c r="BA375" s="403"/>
      <c r="BB375" s="403" t="s">
        <v>13468</v>
      </c>
      <c r="BC375" s="403"/>
      <c r="BD375" s="403"/>
      <c r="BE375" s="403"/>
      <c r="BF375" s="403"/>
      <c r="BG375" s="403" t="s">
        <v>10229</v>
      </c>
      <c r="BH375" s="403"/>
      <c r="BI375" s="403"/>
      <c r="BJ375" s="403"/>
      <c r="BK375" s="403"/>
      <c r="BL375" s="403"/>
      <c r="BM375" s="403"/>
      <c r="BN375" s="403"/>
      <c r="BO375" s="403"/>
      <c r="BP375" s="403"/>
      <c r="BQ375" s="403"/>
      <c r="BR375" s="403"/>
      <c r="BS375" s="403"/>
      <c r="BT375" s="403"/>
      <c r="BU375" s="403" t="s">
        <v>13469</v>
      </c>
      <c r="BV375" s="403"/>
      <c r="BW375" s="403"/>
      <c r="BX375" s="403"/>
      <c r="BY375" s="403"/>
      <c r="BZ375" s="403" t="s">
        <v>10237</v>
      </c>
      <c r="CA375" s="403"/>
      <c r="CB375" s="403"/>
      <c r="CC375" s="403"/>
      <c r="CD375" s="403"/>
      <c r="CE375" s="403"/>
      <c r="CF375" s="403"/>
      <c r="CG375" s="403"/>
      <c r="CH375" s="403"/>
      <c r="CI375" s="403"/>
      <c r="CJ375" s="403"/>
      <c r="CK375" s="403"/>
      <c r="CL375" s="403"/>
      <c r="CM375" s="403"/>
      <c r="CN375" s="403" t="s">
        <v>13470</v>
      </c>
      <c r="CO375" s="403"/>
      <c r="CP375" s="403"/>
      <c r="CQ375" s="403"/>
      <c r="CR375" s="403"/>
      <c r="CS375" s="403" t="s">
        <v>8400</v>
      </c>
      <c r="CT375" s="403"/>
      <c r="CU375" s="403"/>
      <c r="CV375" s="403"/>
      <c r="CW375" s="403"/>
      <c r="CX375" s="403"/>
      <c r="CY375" s="403"/>
      <c r="CZ375" s="403"/>
      <c r="DA375" s="403"/>
      <c r="DB375" s="403"/>
      <c r="DC375" s="403"/>
      <c r="DD375" s="403"/>
      <c r="DE375" s="403"/>
      <c r="DF375" s="403"/>
      <c r="DG375" s="403" t="s">
        <v>13471</v>
      </c>
      <c r="DH375" s="403"/>
      <c r="DI375" s="403"/>
      <c r="DJ375" s="403"/>
      <c r="DK375" s="403"/>
      <c r="DL375" s="403" t="s">
        <v>10250</v>
      </c>
      <c r="DM375" s="403"/>
      <c r="DN375" s="403"/>
      <c r="DO375" s="403"/>
      <c r="DP375" s="403"/>
      <c r="DQ375" s="403"/>
      <c r="DR375" s="403"/>
      <c r="DS375" s="403"/>
      <c r="DT375" s="403"/>
      <c r="DU375" s="403"/>
      <c r="DV375" s="403"/>
      <c r="DW375" s="403"/>
      <c r="DX375" s="403"/>
      <c r="DY375" s="403"/>
      <c r="DZ375" s="403" t="s">
        <v>13472</v>
      </c>
      <c r="EA375" s="403"/>
      <c r="EB375" s="403"/>
      <c r="EC375" s="403"/>
      <c r="ED375" s="403"/>
      <c r="EE375" s="403" t="s">
        <v>8404</v>
      </c>
      <c r="EF375" s="403"/>
      <c r="EG375" s="403"/>
      <c r="EH375" s="403"/>
      <c r="EI375" s="403"/>
      <c r="EJ375" s="403"/>
      <c r="EK375" s="403"/>
      <c r="EL375" s="403"/>
      <c r="EM375" s="403"/>
      <c r="EN375" s="403"/>
      <c r="EO375" s="403"/>
      <c r="EP375" s="403"/>
      <c r="EQ375" s="403"/>
      <c r="ER375" s="403"/>
      <c r="ES375" s="403" t="s">
        <v>13473</v>
      </c>
      <c r="ET375" s="403"/>
    </row>
    <row r="376" spans="1:150" ht="13.5" thickBot="1" x14ac:dyDescent="0.25">
      <c r="J376" s="118" t="e">
        <f t="shared" ref="J376:O376" si="102">J37*SUM(J373:J375)</f>
        <v>#N/A</v>
      </c>
      <c r="K376" s="118" t="e">
        <f t="shared" si="102"/>
        <v>#N/A</v>
      </c>
      <c r="L376" s="118" t="e">
        <f t="shared" si="102"/>
        <v>#N/A</v>
      </c>
      <c r="M376" s="118" t="e">
        <f t="shared" si="102"/>
        <v>#N/A</v>
      </c>
      <c r="N376" s="118" t="e">
        <f t="shared" si="102"/>
        <v>#N/A</v>
      </c>
      <c r="O376" s="118" t="e">
        <f t="shared" si="102"/>
        <v>#N/A</v>
      </c>
      <c r="P376" s="118" t="e">
        <f>SUM(J376:O376)</f>
        <v>#N/A</v>
      </c>
    </row>
    <row r="377" spans="1:150" s="299" customFormat="1" ht="13.5" thickTop="1" x14ac:dyDescent="0.2">
      <c r="B377" s="624" t="str">
        <f ca="1">IF(OFFSET(T377,0,Lang_Order*Lang__B4)="","",OFFSET(T377,0,Lang_Order*Lang__B4))</f>
        <v>Cold chain transportation from regional store to districts</v>
      </c>
      <c r="J377" s="508"/>
      <c r="K377" s="508"/>
      <c r="L377" s="508"/>
      <c r="M377" s="508"/>
      <c r="N377" s="508"/>
      <c r="O377" s="508"/>
      <c r="P377" s="508"/>
      <c r="R377" s="403"/>
      <c r="S377" s="403"/>
      <c r="T377" s="403" t="s">
        <v>4539</v>
      </c>
      <c r="U377" s="403"/>
      <c r="V377" s="403"/>
      <c r="W377" s="403"/>
      <c r="X377" s="403"/>
      <c r="Y377" s="403"/>
      <c r="Z377" s="403"/>
      <c r="AA377" s="403"/>
      <c r="AB377" s="403" t="s">
        <v>1597</v>
      </c>
      <c r="AC377" s="403" t="s">
        <v>1598</v>
      </c>
      <c r="AD377" s="403" t="s">
        <v>1599</v>
      </c>
      <c r="AE377" s="403" t="s">
        <v>1600</v>
      </c>
      <c r="AF377" s="403" t="s">
        <v>1602</v>
      </c>
      <c r="AG377" s="403" t="s">
        <v>1601</v>
      </c>
      <c r="AH377" s="403"/>
      <c r="AI377" s="403"/>
      <c r="AJ377" s="403"/>
      <c r="AK377" s="403"/>
      <c r="AL377" s="403"/>
      <c r="AM377" s="403" t="s">
        <v>13450</v>
      </c>
      <c r="AN377" s="403"/>
      <c r="AO377" s="403"/>
      <c r="AP377" s="403"/>
      <c r="AQ377" s="403"/>
      <c r="AR377" s="403"/>
      <c r="AS377" s="403"/>
      <c r="AT377" s="403"/>
      <c r="AU377" s="403" t="s">
        <v>4663</v>
      </c>
      <c r="AV377" s="403" t="s">
        <v>4664</v>
      </c>
      <c r="AW377" s="403" t="s">
        <v>4665</v>
      </c>
      <c r="AX377" s="403" t="s">
        <v>4666</v>
      </c>
      <c r="AY377" s="403" t="s">
        <v>4667</v>
      </c>
      <c r="AZ377" s="403" t="s">
        <v>4668</v>
      </c>
      <c r="BA377" s="403"/>
      <c r="BB377" s="403"/>
      <c r="BC377" s="403"/>
      <c r="BD377" s="403"/>
      <c r="BE377" s="403"/>
      <c r="BF377" s="403" t="s">
        <v>13451</v>
      </c>
      <c r="BG377" s="403"/>
      <c r="BH377" s="403"/>
      <c r="BI377" s="403"/>
      <c r="BJ377" s="403"/>
      <c r="BK377" s="403"/>
      <c r="BL377" s="403"/>
      <c r="BM377" s="403"/>
      <c r="BN377" s="403" t="s">
        <v>4670</v>
      </c>
      <c r="BO377" s="403" t="s">
        <v>4671</v>
      </c>
      <c r="BP377" s="403" t="s">
        <v>4672</v>
      </c>
      <c r="BQ377" s="403" t="s">
        <v>4673</v>
      </c>
      <c r="BR377" s="403" t="s">
        <v>4674</v>
      </c>
      <c r="BS377" s="403" t="s">
        <v>4675</v>
      </c>
      <c r="BT377" s="403"/>
      <c r="BU377" s="403"/>
      <c r="BV377" s="403"/>
      <c r="BW377" s="403"/>
      <c r="BX377" s="403"/>
      <c r="BY377" s="403" t="s">
        <v>13452</v>
      </c>
      <c r="BZ377" s="403"/>
      <c r="CA377" s="403"/>
      <c r="CB377" s="403"/>
      <c r="CC377" s="403"/>
      <c r="CD377" s="403"/>
      <c r="CE377" s="403"/>
      <c r="CF377" s="403"/>
      <c r="CG377" s="403" t="s">
        <v>1597</v>
      </c>
      <c r="CH377" s="403" t="s">
        <v>1598</v>
      </c>
      <c r="CI377" s="403" t="s">
        <v>1599</v>
      </c>
      <c r="CJ377" s="403" t="s">
        <v>1600</v>
      </c>
      <c r="CK377" s="403" t="s">
        <v>1602</v>
      </c>
      <c r="CL377" s="403" t="s">
        <v>1601</v>
      </c>
      <c r="CM377" s="403"/>
      <c r="CN377" s="403"/>
      <c r="CO377" s="403"/>
      <c r="CP377" s="403"/>
      <c r="CQ377" s="403"/>
      <c r="CR377" s="403" t="s">
        <v>13453</v>
      </c>
      <c r="CS377" s="403"/>
      <c r="CT377" s="403"/>
      <c r="CU377" s="403"/>
      <c r="CV377" s="403"/>
      <c r="CW377" s="403"/>
      <c r="CX377" s="403"/>
      <c r="CY377" s="403"/>
      <c r="CZ377" s="403" t="s">
        <v>4663</v>
      </c>
      <c r="DA377" s="403" t="s">
        <v>4664</v>
      </c>
      <c r="DB377" s="403" t="s">
        <v>4665</v>
      </c>
      <c r="DC377" s="403" t="s">
        <v>4666</v>
      </c>
      <c r="DD377" s="403" t="s">
        <v>4667</v>
      </c>
      <c r="DE377" s="403" t="s">
        <v>4668</v>
      </c>
      <c r="DF377" s="403"/>
      <c r="DG377" s="403"/>
      <c r="DH377" s="403"/>
      <c r="DI377" s="403"/>
      <c r="DJ377" s="403"/>
      <c r="DK377" s="403" t="s">
        <v>13454</v>
      </c>
      <c r="DL377" s="403"/>
      <c r="DM377" s="403"/>
      <c r="DN377" s="403"/>
      <c r="DO377" s="403"/>
      <c r="DP377" s="403"/>
      <c r="DQ377" s="403"/>
      <c r="DR377" s="403"/>
      <c r="DS377" s="403" t="s">
        <v>4680</v>
      </c>
      <c r="DT377" s="403" t="s">
        <v>4681</v>
      </c>
      <c r="DU377" s="403" t="s">
        <v>4682</v>
      </c>
      <c r="DV377" s="403" t="s">
        <v>4683</v>
      </c>
      <c r="DW377" s="403" t="s">
        <v>4684</v>
      </c>
      <c r="DX377" s="403" t="s">
        <v>4685</v>
      </c>
      <c r="DY377" s="403"/>
      <c r="DZ377" s="403"/>
      <c r="EA377" s="403"/>
      <c r="EB377" s="403"/>
      <c r="EC377" s="403"/>
      <c r="ED377" s="403" t="s">
        <v>13455</v>
      </c>
      <c r="EE377" s="403"/>
      <c r="EF377" s="403"/>
      <c r="EG377" s="403"/>
      <c r="EH377" s="403"/>
      <c r="EI377" s="403"/>
      <c r="EJ377" s="403"/>
      <c r="EK377" s="403"/>
      <c r="EL377" s="403" t="s">
        <v>4688</v>
      </c>
      <c r="EM377" s="403" t="s">
        <v>4689</v>
      </c>
      <c r="EN377" s="403" t="s">
        <v>4690</v>
      </c>
      <c r="EO377" s="403" t="s">
        <v>4691</v>
      </c>
      <c r="EP377" s="403" t="s">
        <v>4692</v>
      </c>
      <c r="EQ377" s="403" t="s">
        <v>4693</v>
      </c>
      <c r="ER377" s="403"/>
      <c r="ES377" s="403"/>
      <c r="ET377" s="403"/>
    </row>
    <row r="378" spans="1:150" s="299" customFormat="1" x14ac:dyDescent="0.2">
      <c r="C378" s="6"/>
      <c r="D378" s="34" t="str">
        <f ca="1">IF(OFFSET(V378,0,Lang_Order*Lang__B4)="","",OFFSET(V378,0,Lang_Order*Lang__B4))</f>
        <v>Per Trip</v>
      </c>
      <c r="R378" s="403"/>
      <c r="S378" s="403"/>
      <c r="T378" s="403"/>
      <c r="U378" s="403"/>
      <c r="V378" s="403" t="s">
        <v>2652</v>
      </c>
      <c r="W378" s="403"/>
      <c r="X378" s="403"/>
      <c r="Y378" s="403"/>
      <c r="Z378" s="403"/>
      <c r="AA378" s="403"/>
      <c r="AB378" s="403"/>
      <c r="AC378" s="403"/>
      <c r="AD378" s="403"/>
      <c r="AE378" s="403"/>
      <c r="AF378" s="403"/>
      <c r="AG378" s="403"/>
      <c r="AH378" s="403"/>
      <c r="AI378" s="403"/>
      <c r="AJ378" s="403"/>
      <c r="AK378" s="403"/>
      <c r="AL378" s="403"/>
      <c r="AM378" s="403"/>
      <c r="AN378" s="403"/>
      <c r="AO378" s="403" t="s">
        <v>8372</v>
      </c>
      <c r="AP378" s="403"/>
      <c r="AQ378" s="403"/>
      <c r="AR378" s="403"/>
      <c r="AS378" s="403"/>
      <c r="AT378" s="403"/>
      <c r="AU378" s="403"/>
      <c r="AV378" s="403"/>
      <c r="AW378" s="403"/>
      <c r="AX378" s="403"/>
      <c r="AY378" s="403"/>
      <c r="AZ378" s="403"/>
      <c r="BA378" s="403"/>
      <c r="BB378" s="403"/>
      <c r="BC378" s="403"/>
      <c r="BD378" s="403"/>
      <c r="BE378" s="403"/>
      <c r="BF378" s="403"/>
      <c r="BG378" s="403"/>
      <c r="BH378" s="403" t="s">
        <v>8374</v>
      </c>
      <c r="BI378" s="403"/>
      <c r="BJ378" s="403"/>
      <c r="BK378" s="403"/>
      <c r="BL378" s="403"/>
      <c r="BM378" s="403"/>
      <c r="BN378" s="403"/>
      <c r="BO378" s="403"/>
      <c r="BP378" s="403"/>
      <c r="BQ378" s="403"/>
      <c r="BR378" s="403"/>
      <c r="BS378" s="403"/>
      <c r="BT378" s="403"/>
      <c r="BU378" s="403"/>
      <c r="BV378" s="403"/>
      <c r="BW378" s="403"/>
      <c r="BX378" s="403"/>
      <c r="BY378" s="403"/>
      <c r="BZ378" s="403"/>
      <c r="CA378" s="403" t="s">
        <v>11421</v>
      </c>
      <c r="CB378" s="403"/>
      <c r="CC378" s="403"/>
      <c r="CD378" s="403"/>
      <c r="CE378" s="403"/>
      <c r="CF378" s="403"/>
      <c r="CG378" s="403"/>
      <c r="CH378" s="403"/>
      <c r="CI378" s="403"/>
      <c r="CJ378" s="403"/>
      <c r="CK378" s="403"/>
      <c r="CL378" s="403"/>
      <c r="CM378" s="403"/>
      <c r="CN378" s="403"/>
      <c r="CO378" s="403"/>
      <c r="CP378" s="403"/>
      <c r="CQ378" s="403"/>
      <c r="CR378" s="403"/>
      <c r="CS378" s="403"/>
      <c r="CT378" s="403" t="s">
        <v>11422</v>
      </c>
      <c r="CU378" s="403"/>
      <c r="CV378" s="403"/>
      <c r="CW378" s="403"/>
      <c r="CX378" s="403"/>
      <c r="CY378" s="403"/>
      <c r="CZ378" s="403"/>
      <c r="DA378" s="403"/>
      <c r="DB378" s="403"/>
      <c r="DC378" s="403"/>
      <c r="DD378" s="403"/>
      <c r="DE378" s="403"/>
      <c r="DF378" s="403"/>
      <c r="DG378" s="403"/>
      <c r="DH378" s="403"/>
      <c r="DI378" s="403"/>
      <c r="DJ378" s="403"/>
      <c r="DK378" s="403"/>
      <c r="DL378" s="403"/>
      <c r="DM378" s="403" t="s">
        <v>8412</v>
      </c>
      <c r="DN378" s="403"/>
      <c r="DO378" s="403"/>
      <c r="DP378" s="403"/>
      <c r="DQ378" s="403"/>
      <c r="DR378" s="403"/>
      <c r="DS378" s="403"/>
      <c r="DT378" s="403"/>
      <c r="DU378" s="403"/>
      <c r="DV378" s="403"/>
      <c r="DW378" s="403"/>
      <c r="DX378" s="403"/>
      <c r="DY378" s="403"/>
      <c r="DZ378" s="403"/>
      <c r="EA378" s="403"/>
      <c r="EB378" s="403"/>
      <c r="EC378" s="403"/>
      <c r="ED378" s="403"/>
      <c r="EE378" s="403"/>
      <c r="EF378" s="403" t="s">
        <v>8380</v>
      </c>
      <c r="EG378" s="403"/>
      <c r="EH378" s="403"/>
      <c r="EI378" s="403"/>
      <c r="EJ378" s="403"/>
      <c r="EK378" s="403"/>
      <c r="EL378" s="403"/>
      <c r="EM378" s="403"/>
      <c r="EN378" s="403"/>
      <c r="EO378" s="403"/>
      <c r="EP378" s="403"/>
      <c r="EQ378" s="403"/>
      <c r="ER378" s="403"/>
      <c r="ES378" s="403"/>
      <c r="ET378" s="403"/>
    </row>
    <row r="379" spans="1:150" s="299" customFormat="1" x14ac:dyDescent="0.2">
      <c r="C379" s="5" t="str">
        <f ca="1">IF(OFFSET(U379,0,Lang_Order*Lang__B4)="","",OFFSET(U379,0,Lang_Order*Lang__B4))</f>
        <v>Room temperature</v>
      </c>
      <c r="D379" s="11">
        <f>'A3. INPUT Unit Costs'!I125</f>
        <v>0</v>
      </c>
      <c r="J379" s="300" t="e">
        <f t="shared" ref="J379:O382" si="103">IF(J101=0,0,$D379*District_Stores*J$202)</f>
        <v>#N/A</v>
      </c>
      <c r="K379" s="300" t="e">
        <f t="shared" si="103"/>
        <v>#N/A</v>
      </c>
      <c r="L379" s="300" t="e">
        <f t="shared" si="103"/>
        <v>#N/A</v>
      </c>
      <c r="M379" s="300" t="e">
        <f t="shared" si="103"/>
        <v>#N/A</v>
      </c>
      <c r="N379" s="300" t="e">
        <f t="shared" si="103"/>
        <v>#N/A</v>
      </c>
      <c r="O379" s="300" t="e">
        <f t="shared" si="103"/>
        <v>#N/A</v>
      </c>
      <c r="P379" s="300" t="e">
        <f>SUM(J379:O379)</f>
        <v>#N/A</v>
      </c>
      <c r="R379" s="403"/>
      <c r="S379" s="403"/>
      <c r="T379" s="403"/>
      <c r="U379" s="403" t="s">
        <v>10</v>
      </c>
      <c r="V379" s="403"/>
      <c r="W379" s="403"/>
      <c r="X379" s="403"/>
      <c r="Y379" s="403"/>
      <c r="Z379" s="403"/>
      <c r="AA379" s="403"/>
      <c r="AB379" s="403"/>
      <c r="AC379" s="403"/>
      <c r="AD379" s="403"/>
      <c r="AE379" s="403"/>
      <c r="AF379" s="403"/>
      <c r="AG379" s="403"/>
      <c r="AH379" s="403"/>
      <c r="AI379" s="403"/>
      <c r="AJ379" s="403"/>
      <c r="AK379" s="403"/>
      <c r="AL379" s="403"/>
      <c r="AM379" s="403"/>
      <c r="AN379" s="403" t="s">
        <v>8371</v>
      </c>
      <c r="AO379" s="403"/>
      <c r="AP379" s="403"/>
      <c r="AQ379" s="403"/>
      <c r="AR379" s="403"/>
      <c r="AS379" s="403"/>
      <c r="AT379" s="403"/>
      <c r="AU379" s="403"/>
      <c r="AV379" s="403"/>
      <c r="AW379" s="403"/>
      <c r="AX379" s="403"/>
      <c r="AY379" s="403"/>
      <c r="AZ379" s="403"/>
      <c r="BA379" s="403"/>
      <c r="BB379" s="403"/>
      <c r="BC379" s="403"/>
      <c r="BD379" s="403"/>
      <c r="BE379" s="403"/>
      <c r="BF379" s="403"/>
      <c r="BG379" s="403" t="s">
        <v>10226</v>
      </c>
      <c r="BH379" s="403"/>
      <c r="BI379" s="403"/>
      <c r="BJ379" s="403"/>
      <c r="BK379" s="403"/>
      <c r="BL379" s="403"/>
      <c r="BM379" s="403"/>
      <c r="BN379" s="403"/>
      <c r="BO379" s="403"/>
      <c r="BP379" s="403"/>
      <c r="BQ379" s="403"/>
      <c r="BR379" s="403"/>
      <c r="BS379" s="403"/>
      <c r="BT379" s="403"/>
      <c r="BU379" s="403"/>
      <c r="BV379" s="403"/>
      <c r="BW379" s="403"/>
      <c r="BX379" s="403"/>
      <c r="BY379" s="403"/>
      <c r="BZ379" s="403" t="s">
        <v>8375</v>
      </c>
      <c r="CA379" s="403"/>
      <c r="CB379" s="403"/>
      <c r="CC379" s="403"/>
      <c r="CD379" s="403"/>
      <c r="CE379" s="403"/>
      <c r="CF379" s="403"/>
      <c r="CG379" s="403"/>
      <c r="CH379" s="403"/>
      <c r="CI379" s="403"/>
      <c r="CJ379" s="403"/>
      <c r="CK379" s="403"/>
      <c r="CL379" s="403"/>
      <c r="CM379" s="403"/>
      <c r="CN379" s="403"/>
      <c r="CO379" s="403"/>
      <c r="CP379" s="403"/>
      <c r="CQ379" s="403"/>
      <c r="CR379" s="403"/>
      <c r="CS379" s="403" t="s">
        <v>8375</v>
      </c>
      <c r="CT379" s="403"/>
      <c r="CU379" s="403"/>
      <c r="CV379" s="403"/>
      <c r="CW379" s="403"/>
      <c r="CX379" s="403"/>
      <c r="CY379" s="403"/>
      <c r="CZ379" s="403"/>
      <c r="DA379" s="403"/>
      <c r="DB379" s="403"/>
      <c r="DC379" s="403"/>
      <c r="DD379" s="403"/>
      <c r="DE379" s="403"/>
      <c r="DF379" s="403"/>
      <c r="DG379" s="403"/>
      <c r="DH379" s="403"/>
      <c r="DI379" s="403"/>
      <c r="DJ379" s="403"/>
      <c r="DK379" s="403"/>
      <c r="DL379" s="403" t="s">
        <v>8378</v>
      </c>
      <c r="DM379" s="403"/>
      <c r="DN379" s="403"/>
      <c r="DO379" s="403"/>
      <c r="DP379" s="403"/>
      <c r="DQ379" s="403"/>
      <c r="DR379" s="403"/>
      <c r="DS379" s="403"/>
      <c r="DT379" s="403"/>
      <c r="DU379" s="403"/>
      <c r="DV379" s="403"/>
      <c r="DW379" s="403"/>
      <c r="DX379" s="403"/>
      <c r="DY379" s="403"/>
      <c r="DZ379" s="403"/>
      <c r="EA379" s="403"/>
      <c r="EB379" s="403"/>
      <c r="EC379" s="403"/>
      <c r="ED379" s="403"/>
      <c r="EE379" s="403" t="s">
        <v>10256</v>
      </c>
      <c r="EF379" s="403"/>
      <c r="EG379" s="403"/>
      <c r="EH379" s="403"/>
      <c r="EI379" s="403"/>
      <c r="EJ379" s="403"/>
      <c r="EK379" s="403"/>
      <c r="EL379" s="403"/>
      <c r="EM379" s="403"/>
      <c r="EN379" s="403"/>
      <c r="EO379" s="403"/>
      <c r="EP379" s="403"/>
      <c r="EQ379" s="403"/>
      <c r="ER379" s="403"/>
      <c r="ES379" s="403"/>
      <c r="ET379" s="403"/>
    </row>
    <row r="380" spans="1:150" s="299" customFormat="1" x14ac:dyDescent="0.2">
      <c r="C380" s="5" t="str">
        <f ca="1">IF(OFFSET(U380,0,Lang_Order*Lang__B4)="","",OFFSET(U380,0,Lang_Order*Lang__B4))</f>
        <v>Refrigerated (2 to 8C)</v>
      </c>
      <c r="D380" s="11" t="e">
        <f>'A3. INPUT Unit Costs'!I126</f>
        <v>#N/A</v>
      </c>
      <c r="J380" s="300" t="e">
        <f t="shared" si="103"/>
        <v>#N/A</v>
      </c>
      <c r="K380" s="300" t="e">
        <f t="shared" si="103"/>
        <v>#N/A</v>
      </c>
      <c r="L380" s="300" t="e">
        <f t="shared" si="103"/>
        <v>#N/A</v>
      </c>
      <c r="M380" s="300" t="e">
        <f t="shared" si="103"/>
        <v>#N/A</v>
      </c>
      <c r="N380" s="300" t="e">
        <f t="shared" si="103"/>
        <v>#N/A</v>
      </c>
      <c r="O380" s="300" t="e">
        <f t="shared" si="103"/>
        <v>#N/A</v>
      </c>
      <c r="P380" s="300" t="e">
        <f>SUM(J380:O380)</f>
        <v>#N/A</v>
      </c>
      <c r="R380" s="403"/>
      <c r="S380" s="403"/>
      <c r="T380" s="403"/>
      <c r="U380" s="403" t="s">
        <v>11</v>
      </c>
      <c r="V380" s="403"/>
      <c r="W380" s="403"/>
      <c r="X380" s="403"/>
      <c r="Y380" s="403"/>
      <c r="Z380" s="403"/>
      <c r="AA380" s="403"/>
      <c r="AB380" s="403"/>
      <c r="AC380" s="403"/>
      <c r="AD380" s="403"/>
      <c r="AE380" s="403"/>
      <c r="AF380" s="403"/>
      <c r="AG380" s="403"/>
      <c r="AH380" s="403"/>
      <c r="AI380" s="403"/>
      <c r="AJ380" s="403"/>
      <c r="AK380" s="403"/>
      <c r="AL380" s="403"/>
      <c r="AM380" s="403"/>
      <c r="AN380" s="403" t="s">
        <v>10714</v>
      </c>
      <c r="AO380" s="403"/>
      <c r="AP380" s="403"/>
      <c r="AQ380" s="403"/>
      <c r="AR380" s="403"/>
      <c r="AS380" s="403"/>
      <c r="AT380" s="403"/>
      <c r="AU380" s="403"/>
      <c r="AV380" s="403"/>
      <c r="AW380" s="403"/>
      <c r="AX380" s="403"/>
      <c r="AY380" s="403"/>
      <c r="AZ380" s="403"/>
      <c r="BA380" s="403"/>
      <c r="BB380" s="403"/>
      <c r="BC380" s="403"/>
      <c r="BD380" s="403"/>
      <c r="BE380" s="403"/>
      <c r="BF380" s="403"/>
      <c r="BG380" s="403" t="s">
        <v>10227</v>
      </c>
      <c r="BH380" s="403"/>
      <c r="BI380" s="403"/>
      <c r="BJ380" s="403"/>
      <c r="BK380" s="403"/>
      <c r="BL380" s="403"/>
      <c r="BM380" s="403"/>
      <c r="BN380" s="403"/>
      <c r="BO380" s="403"/>
      <c r="BP380" s="403"/>
      <c r="BQ380" s="403"/>
      <c r="BR380" s="403"/>
      <c r="BS380" s="403"/>
      <c r="BT380" s="403"/>
      <c r="BU380" s="403"/>
      <c r="BV380" s="403"/>
      <c r="BW380" s="403"/>
      <c r="BX380" s="403"/>
      <c r="BY380" s="403"/>
      <c r="BZ380" s="403" t="s">
        <v>10715</v>
      </c>
      <c r="CA380" s="403"/>
      <c r="CB380" s="403"/>
      <c r="CC380" s="403"/>
      <c r="CD380" s="403"/>
      <c r="CE380" s="403"/>
      <c r="CF380" s="403"/>
      <c r="CG380" s="403"/>
      <c r="CH380" s="403"/>
      <c r="CI380" s="403"/>
      <c r="CJ380" s="403"/>
      <c r="CK380" s="403"/>
      <c r="CL380" s="403"/>
      <c r="CM380" s="403"/>
      <c r="CN380" s="403"/>
      <c r="CO380" s="403"/>
      <c r="CP380" s="403"/>
      <c r="CQ380" s="403"/>
      <c r="CR380" s="403"/>
      <c r="CS380" s="403" t="s">
        <v>8384</v>
      </c>
      <c r="CT380" s="403"/>
      <c r="CU380" s="403"/>
      <c r="CV380" s="403"/>
      <c r="CW380" s="403"/>
      <c r="CX380" s="403"/>
      <c r="CY380" s="403"/>
      <c r="CZ380" s="403"/>
      <c r="DA380" s="403"/>
      <c r="DB380" s="403"/>
      <c r="DC380" s="403"/>
      <c r="DD380" s="403"/>
      <c r="DE380" s="403"/>
      <c r="DF380" s="403"/>
      <c r="DG380" s="403"/>
      <c r="DH380" s="403"/>
      <c r="DI380" s="403"/>
      <c r="DJ380" s="403"/>
      <c r="DK380" s="403"/>
      <c r="DL380" s="403" t="s">
        <v>10248</v>
      </c>
      <c r="DM380" s="403"/>
      <c r="DN380" s="403"/>
      <c r="DO380" s="403"/>
      <c r="DP380" s="403"/>
      <c r="DQ380" s="403"/>
      <c r="DR380" s="403"/>
      <c r="DS380" s="403"/>
      <c r="DT380" s="403"/>
      <c r="DU380" s="403"/>
      <c r="DV380" s="403"/>
      <c r="DW380" s="403"/>
      <c r="DX380" s="403"/>
      <c r="DY380" s="403"/>
      <c r="DZ380" s="403"/>
      <c r="EA380" s="403"/>
      <c r="EB380" s="403"/>
      <c r="EC380" s="403"/>
      <c r="ED380" s="403"/>
      <c r="EE380" s="403" t="s">
        <v>8387</v>
      </c>
      <c r="EF380" s="403"/>
      <c r="EG380" s="403"/>
      <c r="EH380" s="403"/>
      <c r="EI380" s="403"/>
      <c r="EJ380" s="403"/>
      <c r="EK380" s="403"/>
      <c r="EL380" s="403"/>
      <c r="EM380" s="403"/>
      <c r="EN380" s="403"/>
      <c r="EO380" s="403"/>
      <c r="EP380" s="403"/>
      <c r="EQ380" s="403"/>
      <c r="ER380" s="403"/>
      <c r="ES380" s="403"/>
      <c r="ET380" s="403"/>
    </row>
    <row r="381" spans="1:150" s="299" customFormat="1" x14ac:dyDescent="0.2">
      <c r="C381" s="5" t="str">
        <f ca="1">IF(OFFSET(U381,0,Lang_Order*Lang__B4)="","",OFFSET(U381,0,Lang_Order*Lang__B4))</f>
        <v>Frozen (-20C)</v>
      </c>
      <c r="D381" s="11" t="e">
        <f>'A3. INPUT Unit Costs'!I127</f>
        <v>#N/A</v>
      </c>
      <c r="J381" s="300" t="e">
        <f t="shared" si="103"/>
        <v>#N/A</v>
      </c>
      <c r="K381" s="300" t="e">
        <f t="shared" si="103"/>
        <v>#N/A</v>
      </c>
      <c r="L381" s="300" t="e">
        <f t="shared" si="103"/>
        <v>#N/A</v>
      </c>
      <c r="M381" s="300" t="e">
        <f t="shared" si="103"/>
        <v>#N/A</v>
      </c>
      <c r="N381" s="300" t="e">
        <f t="shared" si="103"/>
        <v>#N/A</v>
      </c>
      <c r="O381" s="300" t="e">
        <f t="shared" si="103"/>
        <v>#N/A</v>
      </c>
      <c r="P381" s="300" t="e">
        <f>SUM(J381:O381)</f>
        <v>#N/A</v>
      </c>
      <c r="R381" s="403"/>
      <c r="S381" s="403"/>
      <c r="T381" s="403"/>
      <c r="U381" s="403" t="s">
        <v>12</v>
      </c>
      <c r="V381" s="403"/>
      <c r="W381" s="403"/>
      <c r="X381" s="403"/>
      <c r="Y381" s="403"/>
      <c r="Z381" s="403"/>
      <c r="AA381" s="403"/>
      <c r="AB381" s="403"/>
      <c r="AC381" s="403"/>
      <c r="AD381" s="403"/>
      <c r="AE381" s="403"/>
      <c r="AF381" s="403"/>
      <c r="AG381" s="403"/>
      <c r="AH381" s="403"/>
      <c r="AI381" s="403"/>
      <c r="AJ381" s="403"/>
      <c r="AK381" s="403"/>
      <c r="AL381" s="403"/>
      <c r="AM381" s="403"/>
      <c r="AN381" s="403" t="s">
        <v>10717</v>
      </c>
      <c r="AO381" s="403"/>
      <c r="AP381" s="403"/>
      <c r="AQ381" s="403"/>
      <c r="AR381" s="403"/>
      <c r="AS381" s="403"/>
      <c r="AT381" s="403"/>
      <c r="AU381" s="403"/>
      <c r="AV381" s="403"/>
      <c r="AW381" s="403"/>
      <c r="AX381" s="403"/>
      <c r="AY381" s="403"/>
      <c r="AZ381" s="403"/>
      <c r="BA381" s="403"/>
      <c r="BB381" s="403"/>
      <c r="BC381" s="403"/>
      <c r="BD381" s="403"/>
      <c r="BE381" s="403"/>
      <c r="BF381" s="403"/>
      <c r="BG381" s="403" t="s">
        <v>10228</v>
      </c>
      <c r="BH381" s="403"/>
      <c r="BI381" s="403"/>
      <c r="BJ381" s="403"/>
      <c r="BK381" s="403"/>
      <c r="BL381" s="403"/>
      <c r="BM381" s="403"/>
      <c r="BN381" s="403"/>
      <c r="BO381" s="403"/>
      <c r="BP381" s="403"/>
      <c r="BQ381" s="403"/>
      <c r="BR381" s="403"/>
      <c r="BS381" s="403"/>
      <c r="BT381" s="403"/>
      <c r="BU381" s="403"/>
      <c r="BV381" s="403"/>
      <c r="BW381" s="403"/>
      <c r="BX381" s="403"/>
      <c r="BY381" s="403"/>
      <c r="BZ381" s="403" t="s">
        <v>10718</v>
      </c>
      <c r="CA381" s="403"/>
      <c r="CB381" s="403"/>
      <c r="CC381" s="403"/>
      <c r="CD381" s="403"/>
      <c r="CE381" s="403"/>
      <c r="CF381" s="403"/>
      <c r="CG381" s="403"/>
      <c r="CH381" s="403"/>
      <c r="CI381" s="403"/>
      <c r="CJ381" s="403"/>
      <c r="CK381" s="403"/>
      <c r="CL381" s="403"/>
      <c r="CM381" s="403"/>
      <c r="CN381" s="403"/>
      <c r="CO381" s="403"/>
      <c r="CP381" s="403"/>
      <c r="CQ381" s="403"/>
      <c r="CR381" s="403"/>
      <c r="CS381" s="403" t="s">
        <v>8391</v>
      </c>
      <c r="CT381" s="403"/>
      <c r="CU381" s="403"/>
      <c r="CV381" s="403"/>
      <c r="CW381" s="403"/>
      <c r="CX381" s="403"/>
      <c r="CY381" s="403"/>
      <c r="CZ381" s="403"/>
      <c r="DA381" s="403"/>
      <c r="DB381" s="403"/>
      <c r="DC381" s="403"/>
      <c r="DD381" s="403"/>
      <c r="DE381" s="403"/>
      <c r="DF381" s="403"/>
      <c r="DG381" s="403"/>
      <c r="DH381" s="403"/>
      <c r="DI381" s="403"/>
      <c r="DJ381" s="403"/>
      <c r="DK381" s="403"/>
      <c r="DL381" s="403" t="s">
        <v>10249</v>
      </c>
      <c r="DM381" s="403"/>
      <c r="DN381" s="403"/>
      <c r="DO381" s="403"/>
      <c r="DP381" s="403"/>
      <c r="DQ381" s="403"/>
      <c r="DR381" s="403"/>
      <c r="DS381" s="403"/>
      <c r="DT381" s="403"/>
      <c r="DU381" s="403"/>
      <c r="DV381" s="403"/>
      <c r="DW381" s="403"/>
      <c r="DX381" s="403"/>
      <c r="DY381" s="403"/>
      <c r="DZ381" s="403"/>
      <c r="EA381" s="403"/>
      <c r="EB381" s="403"/>
      <c r="EC381" s="403"/>
      <c r="ED381" s="403"/>
      <c r="EE381" s="403" t="s">
        <v>8393</v>
      </c>
      <c r="EF381" s="403"/>
      <c r="EG381" s="403"/>
      <c r="EH381" s="403"/>
      <c r="EI381" s="403"/>
      <c r="EJ381" s="403"/>
      <c r="EK381" s="403"/>
      <c r="EL381" s="403"/>
      <c r="EM381" s="403"/>
      <c r="EN381" s="403"/>
      <c r="EO381" s="403"/>
      <c r="EP381" s="403"/>
      <c r="EQ381" s="403"/>
      <c r="ER381" s="403"/>
      <c r="ES381" s="403"/>
      <c r="ET381" s="403"/>
    </row>
    <row r="382" spans="1:150" s="299" customFormat="1" x14ac:dyDescent="0.2">
      <c r="A382" s="567"/>
      <c r="C382" s="270" t="str">
        <f ca="1">IF(OFFSET(U382,0,Lang_Order*Lang__B4)="","",OFFSET(U382,0,Lang_Order*Lang__B4))</f>
        <v>UCC Vaccine in 2 to 8C</v>
      </c>
      <c r="D382" s="11">
        <f>'A3. INPUT Unit Costs'!I128</f>
        <v>0</v>
      </c>
      <c r="J382" s="300" t="e">
        <f t="shared" si="103"/>
        <v>#N/A</v>
      </c>
      <c r="K382" s="300" t="e">
        <f t="shared" si="103"/>
        <v>#N/A</v>
      </c>
      <c r="L382" s="300" t="e">
        <f t="shared" si="103"/>
        <v>#N/A</v>
      </c>
      <c r="M382" s="300" t="e">
        <f t="shared" si="103"/>
        <v>#N/A</v>
      </c>
      <c r="N382" s="300" t="e">
        <f t="shared" si="103"/>
        <v>#N/A</v>
      </c>
      <c r="O382" s="300" t="e">
        <f t="shared" si="103"/>
        <v>#N/A</v>
      </c>
      <c r="P382" s="300" t="e">
        <f>SUM(J382:O382)</f>
        <v>#N/A</v>
      </c>
      <c r="Q382" s="12" t="str">
        <f ca="1">IF(OFFSET(AI382,0,Lang_Order*Lang__B4)="","",OFFSET(AI382,0,Lang_Order*Lang__B4))</f>
        <v>Costing model would assume 2-8C below regional level - as per 5 days stability for BNT162b2. Frequent trips are needed - may be costly!</v>
      </c>
      <c r="R382" s="403"/>
      <c r="S382" s="403"/>
      <c r="T382" s="403"/>
      <c r="U382" s="403" t="s">
        <v>4546</v>
      </c>
      <c r="V382" s="403"/>
      <c r="W382" s="403"/>
      <c r="X382" s="403"/>
      <c r="Y382" s="403"/>
      <c r="Z382" s="403"/>
      <c r="AA382" s="403"/>
      <c r="AB382" s="403"/>
      <c r="AC382" s="403"/>
      <c r="AD382" s="403"/>
      <c r="AE382" s="403"/>
      <c r="AF382" s="403"/>
      <c r="AG382" s="403"/>
      <c r="AH382" s="403"/>
      <c r="AI382" s="403" t="s">
        <v>4549</v>
      </c>
      <c r="AJ382" s="403"/>
      <c r="AK382" s="403"/>
      <c r="AL382" s="403"/>
      <c r="AM382" s="403"/>
      <c r="AN382" s="403" t="s">
        <v>13438</v>
      </c>
      <c r="AO382" s="403"/>
      <c r="AP382" s="403"/>
      <c r="AQ382" s="403"/>
      <c r="AR382" s="403"/>
      <c r="AS382" s="403"/>
      <c r="AT382" s="403"/>
      <c r="AU382" s="403"/>
      <c r="AV382" s="403"/>
      <c r="AW382" s="403"/>
      <c r="AX382" s="403"/>
      <c r="AY382" s="403"/>
      <c r="AZ382" s="403"/>
      <c r="BA382" s="403"/>
      <c r="BB382" s="403" t="s">
        <v>13474</v>
      </c>
      <c r="BC382" s="403"/>
      <c r="BD382" s="403"/>
      <c r="BE382" s="403"/>
      <c r="BF382" s="403"/>
      <c r="BG382" s="403" t="s">
        <v>13439</v>
      </c>
      <c r="BH382" s="403"/>
      <c r="BI382" s="403"/>
      <c r="BJ382" s="403"/>
      <c r="BK382" s="403"/>
      <c r="BL382" s="403"/>
      <c r="BM382" s="403"/>
      <c r="BN382" s="403"/>
      <c r="BO382" s="403"/>
      <c r="BP382" s="403"/>
      <c r="BQ382" s="403"/>
      <c r="BR382" s="403"/>
      <c r="BS382" s="403"/>
      <c r="BT382" s="403"/>
      <c r="BU382" s="403" t="s">
        <v>13475</v>
      </c>
      <c r="BV382" s="403"/>
      <c r="BW382" s="403"/>
      <c r="BX382" s="403"/>
      <c r="BY382" s="403"/>
      <c r="BZ382" s="403" t="s">
        <v>13440</v>
      </c>
      <c r="CA382" s="403"/>
      <c r="CB382" s="403"/>
      <c r="CC382" s="403"/>
      <c r="CD382" s="403"/>
      <c r="CE382" s="403"/>
      <c r="CF382" s="403"/>
      <c r="CG382" s="403"/>
      <c r="CH382" s="403"/>
      <c r="CI382" s="403"/>
      <c r="CJ382" s="403"/>
      <c r="CK382" s="403"/>
      <c r="CL382" s="403"/>
      <c r="CM382" s="403"/>
      <c r="CN382" s="403" t="s">
        <v>13476</v>
      </c>
      <c r="CO382" s="403"/>
      <c r="CP382" s="403"/>
      <c r="CQ382" s="403"/>
      <c r="CR382" s="403"/>
      <c r="CS382" s="403" t="s">
        <v>13441</v>
      </c>
      <c r="CT382" s="403"/>
      <c r="CU382" s="403"/>
      <c r="CV382" s="403"/>
      <c r="CW382" s="403"/>
      <c r="CX382" s="403"/>
      <c r="CY382" s="403"/>
      <c r="CZ382" s="403"/>
      <c r="DA382" s="403"/>
      <c r="DB382" s="403"/>
      <c r="DC382" s="403"/>
      <c r="DD382" s="403"/>
      <c r="DE382" s="403"/>
      <c r="DF382" s="403"/>
      <c r="DG382" s="403" t="s">
        <v>13477</v>
      </c>
      <c r="DH382" s="403"/>
      <c r="DI382" s="403"/>
      <c r="DJ382" s="403"/>
      <c r="DK382" s="403"/>
      <c r="DL382" s="403" t="s">
        <v>13442</v>
      </c>
      <c r="DM382" s="403"/>
      <c r="DN382" s="403"/>
      <c r="DO382" s="403"/>
      <c r="DP382" s="403"/>
      <c r="DQ382" s="403"/>
      <c r="DR382" s="403"/>
      <c r="DS382" s="403"/>
      <c r="DT382" s="403"/>
      <c r="DU382" s="403"/>
      <c r="DV382" s="403"/>
      <c r="DW382" s="403"/>
      <c r="DX382" s="403"/>
      <c r="DY382" s="403"/>
      <c r="DZ382" s="403" t="s">
        <v>13478</v>
      </c>
      <c r="EA382" s="403"/>
      <c r="EB382" s="403"/>
      <c r="EC382" s="403"/>
      <c r="ED382" s="403"/>
      <c r="EE382" s="403" t="s">
        <v>13443</v>
      </c>
      <c r="EF382" s="403"/>
      <c r="EG382" s="403"/>
      <c r="EH382" s="403"/>
      <c r="EI382" s="403"/>
      <c r="EJ382" s="403"/>
      <c r="EK382" s="403"/>
      <c r="EL382" s="403"/>
      <c r="EM382" s="403"/>
      <c r="EN382" s="403"/>
      <c r="EO382" s="403"/>
      <c r="EP382" s="403"/>
      <c r="EQ382" s="403"/>
      <c r="ER382" s="403"/>
      <c r="ES382" s="403" t="s">
        <v>13479</v>
      </c>
      <c r="ET382" s="403"/>
    </row>
    <row r="383" spans="1:150" s="299" customFormat="1" ht="13.5" thickBot="1" x14ac:dyDescent="0.25">
      <c r="J383" s="118" t="e">
        <f t="shared" ref="J383:O383" si="104">J37*MAX(J379:J382)</f>
        <v>#N/A</v>
      </c>
      <c r="K383" s="118" t="e">
        <f t="shared" si="104"/>
        <v>#N/A</v>
      </c>
      <c r="L383" s="118" t="e">
        <f t="shared" si="104"/>
        <v>#N/A</v>
      </c>
      <c r="M383" s="118" t="e">
        <f t="shared" si="104"/>
        <v>#N/A</v>
      </c>
      <c r="N383" s="118" t="e">
        <f t="shared" si="104"/>
        <v>#N/A</v>
      </c>
      <c r="O383" s="118" t="e">
        <f t="shared" si="104"/>
        <v>#N/A</v>
      </c>
      <c r="P383" s="118" t="e">
        <f>SUM(J383:O383)</f>
        <v>#N/A</v>
      </c>
      <c r="Q383" s="12" t="str">
        <f ca="1">IF(OFFSET(AI383,0,Lang_Order*Lang__B4)="","",OFFSET(AI383,0,Lang_Order*Lang__B4))</f>
        <v>Note this is MAX not SUM … assumption is that it is the same truck taking all the different types of vaccines to the same facility, and costs follow the most stringent requirement</v>
      </c>
      <c r="R383" s="403"/>
      <c r="S383" s="403"/>
      <c r="T383" s="403"/>
      <c r="U383" s="403"/>
      <c r="V383" s="403"/>
      <c r="W383" s="403"/>
      <c r="X383" s="403"/>
      <c r="Y383" s="403"/>
      <c r="Z383" s="403"/>
      <c r="AA383" s="403"/>
      <c r="AB383" s="403"/>
      <c r="AC383" s="403"/>
      <c r="AD383" s="403"/>
      <c r="AE383" s="403"/>
      <c r="AF383" s="403"/>
      <c r="AG383" s="403"/>
      <c r="AH383" s="403"/>
      <c r="AI383" s="403" t="s">
        <v>2653</v>
      </c>
      <c r="AJ383" s="403"/>
      <c r="AK383" s="403"/>
      <c r="AL383" s="403"/>
      <c r="AM383" s="403"/>
      <c r="AN383" s="403"/>
      <c r="AO383" s="403"/>
      <c r="AP383" s="403"/>
      <c r="AQ383" s="403"/>
      <c r="AR383" s="403"/>
      <c r="AS383" s="403"/>
      <c r="AT383" s="403"/>
      <c r="AU383" s="403"/>
      <c r="AV383" s="403"/>
      <c r="AW383" s="403"/>
      <c r="AX383" s="403"/>
      <c r="AY383" s="403"/>
      <c r="AZ383" s="403"/>
      <c r="BA383" s="403"/>
      <c r="BB383" s="403" t="s">
        <v>11423</v>
      </c>
      <c r="BC383" s="403"/>
      <c r="BD383" s="403"/>
      <c r="BE383" s="403"/>
      <c r="BF383" s="403"/>
      <c r="BG383" s="403"/>
      <c r="BH383" s="403"/>
      <c r="BI383" s="403"/>
      <c r="BJ383" s="403"/>
      <c r="BK383" s="403"/>
      <c r="BL383" s="403"/>
      <c r="BM383" s="403"/>
      <c r="BN383" s="403"/>
      <c r="BO383" s="403"/>
      <c r="BP383" s="403"/>
      <c r="BQ383" s="403"/>
      <c r="BR383" s="403"/>
      <c r="BS383" s="403"/>
      <c r="BT383" s="403"/>
      <c r="BU383" s="403" t="s">
        <v>11430</v>
      </c>
      <c r="BV383" s="403"/>
      <c r="BW383" s="403"/>
      <c r="BX383" s="403"/>
      <c r="BY383" s="403"/>
      <c r="BZ383" s="403"/>
      <c r="CA383" s="403"/>
      <c r="CB383" s="403"/>
      <c r="CC383" s="403"/>
      <c r="CD383" s="403"/>
      <c r="CE383" s="403"/>
      <c r="CF383" s="403"/>
      <c r="CG383" s="403"/>
      <c r="CH383" s="403"/>
      <c r="CI383" s="403"/>
      <c r="CJ383" s="403"/>
      <c r="CK383" s="403"/>
      <c r="CL383" s="403"/>
      <c r="CM383" s="403"/>
      <c r="CN383" s="403" t="s">
        <v>11425</v>
      </c>
      <c r="CO383" s="403"/>
      <c r="CP383" s="403"/>
      <c r="CQ383" s="403"/>
      <c r="CR383" s="403"/>
      <c r="CS383" s="403"/>
      <c r="CT383" s="403"/>
      <c r="CU383" s="403"/>
      <c r="CV383" s="403"/>
      <c r="CW383" s="403"/>
      <c r="CX383" s="403"/>
      <c r="CY383" s="403"/>
      <c r="CZ383" s="403"/>
      <c r="DA383" s="403"/>
      <c r="DB383" s="403"/>
      <c r="DC383" s="403"/>
      <c r="DD383" s="403"/>
      <c r="DE383" s="403"/>
      <c r="DF383" s="403"/>
      <c r="DG383" s="403" t="s">
        <v>11426</v>
      </c>
      <c r="DH383" s="403"/>
      <c r="DI383" s="403"/>
      <c r="DJ383" s="403"/>
      <c r="DK383" s="403"/>
      <c r="DL383" s="403"/>
      <c r="DM383" s="403"/>
      <c r="DN383" s="403"/>
      <c r="DO383" s="403"/>
      <c r="DP383" s="403"/>
      <c r="DQ383" s="403"/>
      <c r="DR383" s="403"/>
      <c r="DS383" s="403"/>
      <c r="DT383" s="403"/>
      <c r="DU383" s="403"/>
      <c r="DV383" s="403"/>
      <c r="DW383" s="403"/>
      <c r="DX383" s="403"/>
      <c r="DY383" s="403"/>
      <c r="DZ383" s="403" t="s">
        <v>11427</v>
      </c>
      <c r="EA383" s="403"/>
      <c r="EB383" s="403"/>
      <c r="EC383" s="403"/>
      <c r="ED383" s="403"/>
      <c r="EE383" s="403"/>
      <c r="EF383" s="403"/>
      <c r="EG383" s="403"/>
      <c r="EH383" s="403"/>
      <c r="EI383" s="403"/>
      <c r="EJ383" s="403"/>
      <c r="EK383" s="403"/>
      <c r="EL383" s="403"/>
      <c r="EM383" s="403"/>
      <c r="EN383" s="403"/>
      <c r="EO383" s="403"/>
      <c r="EP383" s="403"/>
      <c r="EQ383" s="403"/>
      <c r="ER383" s="403"/>
      <c r="ES383" s="403" t="s">
        <v>11431</v>
      </c>
      <c r="ET383" s="403"/>
    </row>
    <row r="384" spans="1:150" s="299" customFormat="1" ht="13.5" thickTop="1" x14ac:dyDescent="0.2">
      <c r="A384" s="567"/>
      <c r="B384" s="90" t="str">
        <f ca="1">IF(OFFSET(T384,0,Lang_Order*Lang__B4)="","",OFFSET(T384,0,Lang_Order*Lang__B4))</f>
        <v>Min volume (L) per container (quantize up)</v>
      </c>
      <c r="C384" s="6"/>
      <c r="D384" s="34" t="str">
        <f ca="1">IF(OFFSET(V384,0,Lang_Order*Lang__B4)="","",OFFSET(V384,0,Lang_Order*Lang__B4))</f>
        <v>Per Volume (liters)</v>
      </c>
      <c r="R384" s="403"/>
      <c r="S384" s="403"/>
      <c r="T384" s="403" t="s">
        <v>4532</v>
      </c>
      <c r="U384" s="403"/>
      <c r="V384" s="403" t="s">
        <v>4531</v>
      </c>
      <c r="W384" s="403"/>
      <c r="X384" s="403"/>
      <c r="Y384" s="403"/>
      <c r="Z384" s="403"/>
      <c r="AA384" s="403"/>
      <c r="AB384" s="403"/>
      <c r="AC384" s="403"/>
      <c r="AD384" s="403"/>
      <c r="AE384" s="403"/>
      <c r="AF384" s="403"/>
      <c r="AG384" s="403"/>
      <c r="AH384" s="403"/>
      <c r="AI384" s="403"/>
      <c r="AJ384" s="403"/>
      <c r="AK384" s="403"/>
      <c r="AL384" s="403"/>
      <c r="AM384" s="403" t="s">
        <v>13426</v>
      </c>
      <c r="AN384" s="403"/>
      <c r="AO384" s="403" t="s">
        <v>13432</v>
      </c>
      <c r="AP384" s="403"/>
      <c r="AQ384" s="403"/>
      <c r="AR384" s="403"/>
      <c r="AS384" s="403"/>
      <c r="AT384" s="403"/>
      <c r="AU384" s="403"/>
      <c r="AV384" s="403"/>
      <c r="AW384" s="403"/>
      <c r="AX384" s="403"/>
      <c r="AY384" s="403"/>
      <c r="AZ384" s="403"/>
      <c r="BA384" s="403"/>
      <c r="BB384" s="403"/>
      <c r="BC384" s="403"/>
      <c r="BD384" s="403"/>
      <c r="BE384" s="403"/>
      <c r="BF384" s="403" t="s">
        <v>13427</v>
      </c>
      <c r="BG384" s="403"/>
      <c r="BH384" s="403" t="s">
        <v>13433</v>
      </c>
      <c r="BI384" s="403"/>
      <c r="BJ384" s="403"/>
      <c r="BK384" s="403"/>
      <c r="BL384" s="403"/>
      <c r="BM384" s="403"/>
      <c r="BN384" s="403"/>
      <c r="BO384" s="403"/>
      <c r="BP384" s="403"/>
      <c r="BQ384" s="403"/>
      <c r="BR384" s="403"/>
      <c r="BS384" s="403"/>
      <c r="BT384" s="403"/>
      <c r="BU384" s="403"/>
      <c r="BV384" s="403"/>
      <c r="BW384" s="403"/>
      <c r="BX384" s="403"/>
      <c r="BY384" s="403" t="s">
        <v>13428</v>
      </c>
      <c r="BZ384" s="403"/>
      <c r="CA384" s="403" t="s">
        <v>13434</v>
      </c>
      <c r="CB384" s="403"/>
      <c r="CC384" s="403"/>
      <c r="CD384" s="403"/>
      <c r="CE384" s="403"/>
      <c r="CF384" s="403"/>
      <c r="CG384" s="403"/>
      <c r="CH384" s="403"/>
      <c r="CI384" s="403"/>
      <c r="CJ384" s="403"/>
      <c r="CK384" s="403"/>
      <c r="CL384" s="403"/>
      <c r="CM384" s="403"/>
      <c r="CN384" s="403"/>
      <c r="CO384" s="403"/>
      <c r="CP384" s="403"/>
      <c r="CQ384" s="403"/>
      <c r="CR384" s="403" t="s">
        <v>13429</v>
      </c>
      <c r="CS384" s="403"/>
      <c r="CT384" s="403" t="s">
        <v>13435</v>
      </c>
      <c r="CU384" s="403"/>
      <c r="CV384" s="403"/>
      <c r="CW384" s="403"/>
      <c r="CX384" s="403"/>
      <c r="CY384" s="403"/>
      <c r="CZ384" s="403"/>
      <c r="DA384" s="403"/>
      <c r="DB384" s="403"/>
      <c r="DC384" s="403"/>
      <c r="DD384" s="403"/>
      <c r="DE384" s="403"/>
      <c r="DF384" s="403"/>
      <c r="DG384" s="403"/>
      <c r="DH384" s="403"/>
      <c r="DI384" s="403"/>
      <c r="DJ384" s="403"/>
      <c r="DK384" s="403" t="s">
        <v>13430</v>
      </c>
      <c r="DL384" s="403"/>
      <c r="DM384" s="403" t="s">
        <v>13436</v>
      </c>
      <c r="DN384" s="403"/>
      <c r="DO384" s="403"/>
      <c r="DP384" s="403"/>
      <c r="DQ384" s="403"/>
      <c r="DR384" s="403"/>
      <c r="DS384" s="403"/>
      <c r="DT384" s="403"/>
      <c r="DU384" s="403"/>
      <c r="DV384" s="403"/>
      <c r="DW384" s="403"/>
      <c r="DX384" s="403"/>
      <c r="DY384" s="403"/>
      <c r="DZ384" s="403"/>
      <c r="EA384" s="403"/>
      <c r="EB384" s="403"/>
      <c r="EC384" s="403"/>
      <c r="ED384" s="403" t="s">
        <v>13431</v>
      </c>
      <c r="EE384" s="403"/>
      <c r="EF384" s="403" t="s">
        <v>13437</v>
      </c>
      <c r="EG384" s="403"/>
      <c r="EH384" s="403"/>
      <c r="EI384" s="403"/>
      <c r="EJ384" s="403"/>
      <c r="EK384" s="403"/>
      <c r="EL384" s="403"/>
      <c r="EM384" s="403"/>
      <c r="EN384" s="403"/>
      <c r="EO384" s="403"/>
      <c r="EP384" s="403"/>
      <c r="EQ384" s="403"/>
      <c r="ER384" s="403"/>
      <c r="ES384" s="403"/>
      <c r="ET384" s="403"/>
    </row>
    <row r="385" spans="1:150" s="299" customFormat="1" x14ac:dyDescent="0.2">
      <c r="B385" s="208">
        <v>5</v>
      </c>
      <c r="C385" s="270" t="str">
        <f ca="1">IF(OFFSET(U385,0,Lang_Order*Lang__B4)="","",OFFSET(U385,0,Lang_Order*Lang__B4))</f>
        <v>Refrigerated (2 to 8C)</v>
      </c>
      <c r="D385" s="11" t="e">
        <f>'A3. INPUT Unit Costs'!I132</f>
        <v>#N/A</v>
      </c>
      <c r="J385" s="63" t="e">
        <f t="shared" ref="J385:O386" si="105">J$37*$D385*(ROUNDUP(J211/$B385,0)*$B385*J$202*District_Stores)</f>
        <v>#N/A</v>
      </c>
      <c r="K385" s="63" t="e">
        <f t="shared" si="105"/>
        <v>#N/A</v>
      </c>
      <c r="L385" s="63" t="e">
        <f t="shared" si="105"/>
        <v>#N/A</v>
      </c>
      <c r="M385" s="63" t="e">
        <f t="shared" si="105"/>
        <v>#N/A</v>
      </c>
      <c r="N385" s="63" t="e">
        <f t="shared" si="105"/>
        <v>#N/A</v>
      </c>
      <c r="O385" s="63" t="e">
        <f t="shared" si="105"/>
        <v>#N/A</v>
      </c>
      <c r="P385" s="63" t="e">
        <f>SUM(J385:O385)</f>
        <v>#N/A</v>
      </c>
      <c r="R385" s="403"/>
      <c r="S385" s="403"/>
      <c r="T385" s="403"/>
      <c r="U385" s="403" t="s">
        <v>11</v>
      </c>
      <c r="V385" s="403"/>
      <c r="W385" s="403"/>
      <c r="X385" s="403"/>
      <c r="Y385" s="403"/>
      <c r="Z385" s="403"/>
      <c r="AA385" s="403"/>
      <c r="AB385" s="403"/>
      <c r="AC385" s="403"/>
      <c r="AD385" s="403"/>
      <c r="AE385" s="403"/>
      <c r="AF385" s="403"/>
      <c r="AG385" s="403"/>
      <c r="AH385" s="403"/>
      <c r="AI385" s="403"/>
      <c r="AJ385" s="403"/>
      <c r="AK385" s="403"/>
      <c r="AL385" s="403"/>
      <c r="AM385" s="403"/>
      <c r="AN385" s="403" t="s">
        <v>10714</v>
      </c>
      <c r="AO385" s="403"/>
      <c r="AP385" s="403"/>
      <c r="AQ385" s="403"/>
      <c r="AR385" s="403"/>
      <c r="AS385" s="403"/>
      <c r="AT385" s="403"/>
      <c r="AU385" s="403"/>
      <c r="AV385" s="403"/>
      <c r="AW385" s="403"/>
      <c r="AX385" s="403"/>
      <c r="AY385" s="403"/>
      <c r="AZ385" s="403"/>
      <c r="BA385" s="403"/>
      <c r="BB385" s="403"/>
      <c r="BC385" s="403"/>
      <c r="BD385" s="403"/>
      <c r="BE385" s="403"/>
      <c r="BF385" s="403"/>
      <c r="BG385" s="403" t="s">
        <v>10227</v>
      </c>
      <c r="BH385" s="403"/>
      <c r="BI385" s="403"/>
      <c r="BJ385" s="403"/>
      <c r="BK385" s="403"/>
      <c r="BL385" s="403"/>
      <c r="BM385" s="403"/>
      <c r="BN385" s="403"/>
      <c r="BO385" s="403"/>
      <c r="BP385" s="403"/>
      <c r="BQ385" s="403"/>
      <c r="BR385" s="403"/>
      <c r="BS385" s="403"/>
      <c r="BT385" s="403"/>
      <c r="BU385" s="403"/>
      <c r="BV385" s="403"/>
      <c r="BW385" s="403"/>
      <c r="BX385" s="403"/>
      <c r="BY385" s="403"/>
      <c r="BZ385" s="403" t="s">
        <v>10715</v>
      </c>
      <c r="CA385" s="403"/>
      <c r="CB385" s="403"/>
      <c r="CC385" s="403"/>
      <c r="CD385" s="403"/>
      <c r="CE385" s="403"/>
      <c r="CF385" s="403"/>
      <c r="CG385" s="403"/>
      <c r="CH385" s="403"/>
      <c r="CI385" s="403"/>
      <c r="CJ385" s="403"/>
      <c r="CK385" s="403"/>
      <c r="CL385" s="403"/>
      <c r="CM385" s="403"/>
      <c r="CN385" s="403"/>
      <c r="CO385" s="403"/>
      <c r="CP385" s="403"/>
      <c r="CQ385" s="403"/>
      <c r="CR385" s="403"/>
      <c r="CS385" s="403" t="s">
        <v>8384</v>
      </c>
      <c r="CT385" s="403"/>
      <c r="CU385" s="403"/>
      <c r="CV385" s="403"/>
      <c r="CW385" s="403"/>
      <c r="CX385" s="403"/>
      <c r="CY385" s="403"/>
      <c r="CZ385" s="403"/>
      <c r="DA385" s="403"/>
      <c r="DB385" s="403"/>
      <c r="DC385" s="403"/>
      <c r="DD385" s="403"/>
      <c r="DE385" s="403"/>
      <c r="DF385" s="403"/>
      <c r="DG385" s="403"/>
      <c r="DH385" s="403"/>
      <c r="DI385" s="403"/>
      <c r="DJ385" s="403"/>
      <c r="DK385" s="403"/>
      <c r="DL385" s="403" t="s">
        <v>10248</v>
      </c>
      <c r="DM385" s="403"/>
      <c r="DN385" s="403"/>
      <c r="DO385" s="403"/>
      <c r="DP385" s="403"/>
      <c r="DQ385" s="403"/>
      <c r="DR385" s="403"/>
      <c r="DS385" s="403"/>
      <c r="DT385" s="403"/>
      <c r="DU385" s="403"/>
      <c r="DV385" s="403"/>
      <c r="DW385" s="403"/>
      <c r="DX385" s="403"/>
      <c r="DY385" s="403"/>
      <c r="DZ385" s="403"/>
      <c r="EA385" s="403"/>
      <c r="EB385" s="403"/>
      <c r="EC385" s="403"/>
      <c r="ED385" s="403"/>
      <c r="EE385" s="403" t="s">
        <v>8387</v>
      </c>
      <c r="EF385" s="403"/>
      <c r="EG385" s="403"/>
      <c r="EH385" s="403"/>
      <c r="EI385" s="403"/>
      <c r="EJ385" s="403"/>
      <c r="EK385" s="403"/>
      <c r="EL385" s="403"/>
      <c r="EM385" s="403"/>
      <c r="EN385" s="403"/>
      <c r="EO385" s="403"/>
      <c r="EP385" s="403"/>
      <c r="EQ385" s="403"/>
      <c r="ER385" s="403"/>
      <c r="ES385" s="403"/>
      <c r="ET385" s="403"/>
    </row>
    <row r="386" spans="1:150" s="299" customFormat="1" x14ac:dyDescent="0.2">
      <c r="B386" s="208">
        <v>5</v>
      </c>
      <c r="C386" s="5" t="str">
        <f ca="1">IF(OFFSET(U386,0,Lang_Order*Lang__B4)="","",OFFSET(U386,0,Lang_Order*Lang__B4))</f>
        <v>Frozen (-20C)</v>
      </c>
      <c r="D386" s="11" t="e">
        <f>'A3. INPUT Unit Costs'!I133</f>
        <v>#N/A</v>
      </c>
      <c r="J386" s="63" t="e">
        <f t="shared" si="105"/>
        <v>#N/A</v>
      </c>
      <c r="K386" s="63" t="e">
        <f t="shared" si="105"/>
        <v>#N/A</v>
      </c>
      <c r="L386" s="63" t="e">
        <f t="shared" si="105"/>
        <v>#N/A</v>
      </c>
      <c r="M386" s="63" t="e">
        <f t="shared" si="105"/>
        <v>#N/A</v>
      </c>
      <c r="N386" s="63" t="e">
        <f t="shared" si="105"/>
        <v>#N/A</v>
      </c>
      <c r="O386" s="63" t="e">
        <f t="shared" si="105"/>
        <v>#N/A</v>
      </c>
      <c r="P386" s="63" t="e">
        <f>SUM(J386:O386)</f>
        <v>#N/A</v>
      </c>
      <c r="R386" s="403"/>
      <c r="S386" s="403"/>
      <c r="T386" s="403"/>
      <c r="U386" s="403" t="s">
        <v>12</v>
      </c>
      <c r="V386" s="403"/>
      <c r="W386" s="403"/>
      <c r="X386" s="403"/>
      <c r="Y386" s="403"/>
      <c r="Z386" s="403"/>
      <c r="AA386" s="403"/>
      <c r="AB386" s="403"/>
      <c r="AC386" s="403"/>
      <c r="AD386" s="403"/>
      <c r="AE386" s="403"/>
      <c r="AF386" s="403"/>
      <c r="AG386" s="403"/>
      <c r="AH386" s="403"/>
      <c r="AI386" s="403"/>
      <c r="AJ386" s="403"/>
      <c r="AK386" s="403"/>
      <c r="AL386" s="403"/>
      <c r="AM386" s="403"/>
      <c r="AN386" s="403" t="s">
        <v>10717</v>
      </c>
      <c r="AO386" s="403"/>
      <c r="AP386" s="403"/>
      <c r="AQ386" s="403"/>
      <c r="AR386" s="403"/>
      <c r="AS386" s="403"/>
      <c r="AT386" s="403"/>
      <c r="AU386" s="403"/>
      <c r="AV386" s="403"/>
      <c r="AW386" s="403"/>
      <c r="AX386" s="403"/>
      <c r="AY386" s="403"/>
      <c r="AZ386" s="403"/>
      <c r="BA386" s="403"/>
      <c r="BB386" s="403"/>
      <c r="BC386" s="403"/>
      <c r="BD386" s="403"/>
      <c r="BE386" s="403"/>
      <c r="BF386" s="403"/>
      <c r="BG386" s="403" t="s">
        <v>10228</v>
      </c>
      <c r="BH386" s="403"/>
      <c r="BI386" s="403"/>
      <c r="BJ386" s="403"/>
      <c r="BK386" s="403"/>
      <c r="BL386" s="403"/>
      <c r="BM386" s="403"/>
      <c r="BN386" s="403"/>
      <c r="BO386" s="403"/>
      <c r="BP386" s="403"/>
      <c r="BQ386" s="403"/>
      <c r="BR386" s="403"/>
      <c r="BS386" s="403"/>
      <c r="BT386" s="403"/>
      <c r="BU386" s="403"/>
      <c r="BV386" s="403"/>
      <c r="BW386" s="403"/>
      <c r="BX386" s="403"/>
      <c r="BY386" s="403"/>
      <c r="BZ386" s="403" t="s">
        <v>10718</v>
      </c>
      <c r="CA386" s="403"/>
      <c r="CB386" s="403"/>
      <c r="CC386" s="403"/>
      <c r="CD386" s="403"/>
      <c r="CE386" s="403"/>
      <c r="CF386" s="403"/>
      <c r="CG386" s="403"/>
      <c r="CH386" s="403"/>
      <c r="CI386" s="403"/>
      <c r="CJ386" s="403"/>
      <c r="CK386" s="403"/>
      <c r="CL386" s="403"/>
      <c r="CM386" s="403"/>
      <c r="CN386" s="403"/>
      <c r="CO386" s="403"/>
      <c r="CP386" s="403"/>
      <c r="CQ386" s="403"/>
      <c r="CR386" s="403"/>
      <c r="CS386" s="403" t="s">
        <v>8391</v>
      </c>
      <c r="CT386" s="403"/>
      <c r="CU386" s="403"/>
      <c r="CV386" s="403"/>
      <c r="CW386" s="403"/>
      <c r="CX386" s="403"/>
      <c r="CY386" s="403"/>
      <c r="CZ386" s="403"/>
      <c r="DA386" s="403"/>
      <c r="DB386" s="403"/>
      <c r="DC386" s="403"/>
      <c r="DD386" s="403"/>
      <c r="DE386" s="403"/>
      <c r="DF386" s="403"/>
      <c r="DG386" s="403"/>
      <c r="DH386" s="403"/>
      <c r="DI386" s="403"/>
      <c r="DJ386" s="403"/>
      <c r="DK386" s="403"/>
      <c r="DL386" s="403" t="s">
        <v>10249</v>
      </c>
      <c r="DM386" s="403"/>
      <c r="DN386" s="403"/>
      <c r="DO386" s="403"/>
      <c r="DP386" s="403"/>
      <c r="DQ386" s="403"/>
      <c r="DR386" s="403"/>
      <c r="DS386" s="403"/>
      <c r="DT386" s="403"/>
      <c r="DU386" s="403"/>
      <c r="DV386" s="403"/>
      <c r="DW386" s="403"/>
      <c r="DX386" s="403"/>
      <c r="DY386" s="403"/>
      <c r="DZ386" s="403"/>
      <c r="EA386" s="403"/>
      <c r="EB386" s="403"/>
      <c r="EC386" s="403"/>
      <c r="ED386" s="403"/>
      <c r="EE386" s="403" t="s">
        <v>8393</v>
      </c>
      <c r="EF386" s="403"/>
      <c r="EG386" s="403"/>
      <c r="EH386" s="403"/>
      <c r="EI386" s="403"/>
      <c r="EJ386" s="403"/>
      <c r="EK386" s="403"/>
      <c r="EL386" s="403"/>
      <c r="EM386" s="403"/>
      <c r="EN386" s="403"/>
      <c r="EO386" s="403"/>
      <c r="EP386" s="403"/>
      <c r="EQ386" s="403"/>
      <c r="ER386" s="403"/>
      <c r="ES386" s="403"/>
      <c r="ET386" s="403"/>
    </row>
    <row r="387" spans="1:150" s="299" customFormat="1" x14ac:dyDescent="0.2">
      <c r="A387" s="567"/>
      <c r="B387" s="208">
        <v>5</v>
      </c>
      <c r="C387" s="270" t="str">
        <f ca="1">IF(OFFSET(U387,0,Lang_Order*Lang__B4)="","",OFFSET(U387,0,Lang_Order*Lang__B4))</f>
        <v>UCC Vaccine in 2 to 8C</v>
      </c>
      <c r="D387" s="11" t="e">
        <f>D385</f>
        <v>#N/A</v>
      </c>
      <c r="E387" s="508"/>
      <c r="F387" s="508"/>
      <c r="G387" s="508"/>
      <c r="H387" s="508"/>
      <c r="I387" s="508"/>
      <c r="J387" s="63" t="e">
        <f t="shared" ref="J387:O387" si="106">J$37*$D387*(ROUNDUP(J216/$B387,0)*$B387*J$202*District_Stores)</f>
        <v>#N/A</v>
      </c>
      <c r="K387" s="63" t="e">
        <f t="shared" si="106"/>
        <v>#N/A</v>
      </c>
      <c r="L387" s="63" t="e">
        <f t="shared" si="106"/>
        <v>#N/A</v>
      </c>
      <c r="M387" s="63" t="e">
        <f t="shared" si="106"/>
        <v>#N/A</v>
      </c>
      <c r="N387" s="63" t="e">
        <f t="shared" si="106"/>
        <v>#N/A</v>
      </c>
      <c r="O387" s="63" t="e">
        <f t="shared" si="106"/>
        <v>#N/A</v>
      </c>
      <c r="P387" s="63" t="e">
        <f>SUM(J387:O387)</f>
        <v>#N/A</v>
      </c>
      <c r="Q387" s="12" t="str">
        <f ca="1">IF(OFFSET(AI387,0,Lang_Order*Lang__B4)="","",OFFSET(AI387,0,Lang_Order*Lang__B4))</f>
        <v>UCC treated as 2-8 C below regional stores</v>
      </c>
      <c r="R387" s="403"/>
      <c r="S387" s="403"/>
      <c r="T387" s="403"/>
      <c r="U387" s="403" t="s">
        <v>4546</v>
      </c>
      <c r="V387" s="403"/>
      <c r="W387" s="403"/>
      <c r="X387" s="403"/>
      <c r="Y387" s="403"/>
      <c r="Z387" s="403"/>
      <c r="AA387" s="403"/>
      <c r="AB387" s="403"/>
      <c r="AC387" s="403"/>
      <c r="AD387" s="403"/>
      <c r="AE387" s="403"/>
      <c r="AF387" s="403"/>
      <c r="AG387" s="403"/>
      <c r="AH387" s="403"/>
      <c r="AI387" s="403" t="s">
        <v>4544</v>
      </c>
      <c r="AJ387" s="403"/>
      <c r="AK387" s="403"/>
      <c r="AL387" s="403"/>
      <c r="AM387" s="403"/>
      <c r="AN387" s="403" t="s">
        <v>13438</v>
      </c>
      <c r="AO387" s="403"/>
      <c r="AP387" s="403"/>
      <c r="AQ387" s="403"/>
      <c r="AR387" s="403"/>
      <c r="AS387" s="403"/>
      <c r="AT387" s="403"/>
      <c r="AU387" s="403"/>
      <c r="AV387" s="403"/>
      <c r="AW387" s="403"/>
      <c r="AX387" s="403"/>
      <c r="AY387" s="403"/>
      <c r="AZ387" s="403"/>
      <c r="BA387" s="403"/>
      <c r="BB387" s="403" t="s">
        <v>13480</v>
      </c>
      <c r="BC387" s="403"/>
      <c r="BD387" s="403"/>
      <c r="BE387" s="403"/>
      <c r="BF387" s="403"/>
      <c r="BG387" s="403" t="s">
        <v>13439</v>
      </c>
      <c r="BH387" s="403"/>
      <c r="BI387" s="403"/>
      <c r="BJ387" s="403"/>
      <c r="BK387" s="403"/>
      <c r="BL387" s="403"/>
      <c r="BM387" s="403"/>
      <c r="BN387" s="403"/>
      <c r="BO387" s="403"/>
      <c r="BP387" s="403"/>
      <c r="BQ387" s="403"/>
      <c r="BR387" s="403"/>
      <c r="BS387" s="403"/>
      <c r="BT387" s="403"/>
      <c r="BU387" s="403" t="s">
        <v>13481</v>
      </c>
      <c r="BV387" s="403"/>
      <c r="BW387" s="403"/>
      <c r="BX387" s="403"/>
      <c r="BY387" s="403"/>
      <c r="BZ387" s="403" t="s">
        <v>13440</v>
      </c>
      <c r="CA387" s="403"/>
      <c r="CB387" s="403"/>
      <c r="CC387" s="403"/>
      <c r="CD387" s="403"/>
      <c r="CE387" s="403"/>
      <c r="CF387" s="403"/>
      <c r="CG387" s="403"/>
      <c r="CH387" s="403"/>
      <c r="CI387" s="403"/>
      <c r="CJ387" s="403"/>
      <c r="CK387" s="403"/>
      <c r="CL387" s="403"/>
      <c r="CM387" s="403"/>
      <c r="CN387" s="403" t="s">
        <v>13482</v>
      </c>
      <c r="CO387" s="403"/>
      <c r="CP387" s="403"/>
      <c r="CQ387" s="403"/>
      <c r="CR387" s="403"/>
      <c r="CS387" s="403" t="s">
        <v>13441</v>
      </c>
      <c r="CT387" s="403"/>
      <c r="CU387" s="403"/>
      <c r="CV387" s="403"/>
      <c r="CW387" s="403"/>
      <c r="CX387" s="403"/>
      <c r="CY387" s="403"/>
      <c r="CZ387" s="403"/>
      <c r="DA387" s="403"/>
      <c r="DB387" s="403"/>
      <c r="DC387" s="403"/>
      <c r="DD387" s="403"/>
      <c r="DE387" s="403"/>
      <c r="DF387" s="403"/>
      <c r="DG387" s="403" t="s">
        <v>13483</v>
      </c>
      <c r="DH387" s="403"/>
      <c r="DI387" s="403"/>
      <c r="DJ387" s="403"/>
      <c r="DK387" s="403"/>
      <c r="DL387" s="403" t="s">
        <v>13442</v>
      </c>
      <c r="DM387" s="403"/>
      <c r="DN387" s="403"/>
      <c r="DO387" s="403"/>
      <c r="DP387" s="403"/>
      <c r="DQ387" s="403"/>
      <c r="DR387" s="403"/>
      <c r="DS387" s="403"/>
      <c r="DT387" s="403"/>
      <c r="DU387" s="403"/>
      <c r="DV387" s="403"/>
      <c r="DW387" s="403"/>
      <c r="DX387" s="403"/>
      <c r="DY387" s="403"/>
      <c r="DZ387" s="403" t="s">
        <v>13484</v>
      </c>
      <c r="EA387" s="403"/>
      <c r="EB387" s="403"/>
      <c r="EC387" s="403"/>
      <c r="ED387" s="403"/>
      <c r="EE387" s="403" t="s">
        <v>13443</v>
      </c>
      <c r="EF387" s="403"/>
      <c r="EG387" s="403"/>
      <c r="EH387" s="403"/>
      <c r="EI387" s="403"/>
      <c r="EJ387" s="403"/>
      <c r="EK387" s="403"/>
      <c r="EL387" s="403"/>
      <c r="EM387" s="403"/>
      <c r="EN387" s="403"/>
      <c r="EO387" s="403"/>
      <c r="EP387" s="403"/>
      <c r="EQ387" s="403"/>
      <c r="ER387" s="403"/>
      <c r="ES387" s="403" t="s">
        <v>13485</v>
      </c>
      <c r="ET387" s="403"/>
    </row>
    <row r="388" spans="1:150" s="299" customFormat="1" ht="13.5" thickBot="1" x14ac:dyDescent="0.25">
      <c r="J388" s="118" t="e">
        <f t="shared" ref="J388:O388" si="107">J37*SUM(J385:J387)</f>
        <v>#N/A</v>
      </c>
      <c r="K388" s="118" t="e">
        <f t="shared" si="107"/>
        <v>#N/A</v>
      </c>
      <c r="L388" s="118" t="e">
        <f t="shared" si="107"/>
        <v>#N/A</v>
      </c>
      <c r="M388" s="118" t="e">
        <f t="shared" si="107"/>
        <v>#N/A</v>
      </c>
      <c r="N388" s="118" t="e">
        <f t="shared" si="107"/>
        <v>#N/A</v>
      </c>
      <c r="O388" s="118" t="e">
        <f t="shared" si="107"/>
        <v>#N/A</v>
      </c>
      <c r="P388" s="118" t="e">
        <f>SUM(J388:O388)</f>
        <v>#N/A</v>
      </c>
      <c r="R388" s="403"/>
      <c r="S388" s="403"/>
      <c r="T388" s="403"/>
      <c r="U388" s="403"/>
      <c r="V388" s="403"/>
      <c r="W388" s="403"/>
      <c r="X388" s="403"/>
      <c r="Y388" s="403"/>
      <c r="Z388" s="403"/>
      <c r="AA388" s="403"/>
      <c r="AB388" s="403"/>
      <c r="AC388" s="403"/>
      <c r="AD388" s="403"/>
      <c r="AE388" s="403"/>
      <c r="AF388" s="403"/>
      <c r="AG388" s="403"/>
      <c r="AH388" s="403"/>
      <c r="AI388" s="403"/>
      <c r="AJ388" s="403"/>
      <c r="AK388" s="403"/>
      <c r="AL388" s="403"/>
      <c r="AM388" s="403"/>
      <c r="AN388" s="403"/>
      <c r="AO388" s="403"/>
      <c r="AP388" s="403"/>
      <c r="AQ388" s="403"/>
      <c r="AR388" s="403"/>
      <c r="AS388" s="403"/>
      <c r="AT388" s="403"/>
      <c r="AU388" s="403"/>
      <c r="AV388" s="403"/>
      <c r="AW388" s="403"/>
      <c r="AX388" s="403"/>
      <c r="AY388" s="403"/>
      <c r="AZ388" s="403"/>
      <c r="BA388" s="403"/>
      <c r="BB388" s="403"/>
      <c r="BC388" s="403"/>
      <c r="BD388" s="403"/>
      <c r="BE388" s="403"/>
      <c r="BF388" s="403"/>
      <c r="BG388" s="403"/>
      <c r="BH388" s="403"/>
      <c r="BI388" s="403"/>
      <c r="BJ388" s="403"/>
      <c r="BK388" s="403"/>
      <c r="BL388" s="403"/>
      <c r="BM388" s="403"/>
      <c r="BN388" s="403"/>
      <c r="BO388" s="403"/>
      <c r="BP388" s="403"/>
      <c r="BQ388" s="403"/>
      <c r="BR388" s="403"/>
      <c r="BS388" s="403"/>
      <c r="BT388" s="403"/>
      <c r="BU388" s="403"/>
      <c r="BV388" s="403"/>
      <c r="BW388" s="403"/>
      <c r="BX388" s="403"/>
      <c r="BY388" s="403"/>
      <c r="BZ388" s="403"/>
      <c r="CA388" s="403"/>
      <c r="CB388" s="403"/>
      <c r="CC388" s="403"/>
      <c r="CD388" s="403"/>
      <c r="CE388" s="403"/>
      <c r="CF388" s="403"/>
      <c r="CG388" s="403"/>
      <c r="CH388" s="403"/>
      <c r="CI388" s="403"/>
      <c r="CJ388" s="403"/>
      <c r="CK388" s="403"/>
      <c r="CL388" s="403"/>
      <c r="CM388" s="403"/>
      <c r="CN388" s="403"/>
      <c r="CO388" s="403"/>
      <c r="CP388" s="403"/>
      <c r="CQ388" s="403"/>
      <c r="CR388" s="403"/>
      <c r="CS388" s="403"/>
      <c r="CT388" s="403"/>
      <c r="CU388" s="403"/>
      <c r="CV388" s="403"/>
      <c r="CW388" s="403"/>
      <c r="CX388" s="403"/>
      <c r="CY388" s="403"/>
      <c r="CZ388" s="403"/>
      <c r="DA388" s="403"/>
      <c r="DB388" s="403"/>
      <c r="DC388" s="403"/>
      <c r="DD388" s="403"/>
      <c r="DE388" s="403"/>
      <c r="DF388" s="403"/>
      <c r="DG388" s="403"/>
      <c r="DH388" s="403"/>
      <c r="DI388" s="403"/>
      <c r="DJ388" s="403"/>
      <c r="DK388" s="403"/>
      <c r="DL388" s="403"/>
      <c r="DM388" s="403"/>
      <c r="DN388" s="403"/>
      <c r="DO388" s="403"/>
      <c r="DP388" s="403"/>
      <c r="DQ388" s="403"/>
      <c r="DR388" s="403"/>
      <c r="DS388" s="403"/>
      <c r="DT388" s="403"/>
      <c r="DU388" s="403"/>
      <c r="DV388" s="403"/>
      <c r="DW388" s="403"/>
      <c r="DX388" s="403"/>
      <c r="DY388" s="403"/>
      <c r="DZ388" s="403"/>
      <c r="EA388" s="403"/>
      <c r="EB388" s="403"/>
      <c r="EC388" s="403"/>
      <c r="ED388" s="403"/>
      <c r="EE388" s="403"/>
      <c r="EF388" s="403"/>
      <c r="EG388" s="403"/>
      <c r="EH388" s="403"/>
      <c r="EI388" s="403"/>
      <c r="EJ388" s="403"/>
      <c r="EK388" s="403"/>
      <c r="EL388" s="403"/>
      <c r="EM388" s="403"/>
      <c r="EN388" s="403"/>
      <c r="EO388" s="403"/>
      <c r="EP388" s="403"/>
      <c r="EQ388" s="403"/>
      <c r="ER388" s="403"/>
      <c r="ES388" s="403"/>
      <c r="ET388" s="403"/>
    </row>
    <row r="389" spans="1:150" s="299" customFormat="1" ht="13.5" thickTop="1" x14ac:dyDescent="0.2">
      <c r="A389" s="567"/>
      <c r="R389" s="403"/>
      <c r="S389" s="403"/>
      <c r="T389" s="403"/>
      <c r="U389" s="403"/>
      <c r="V389" s="403"/>
      <c r="W389" s="403"/>
      <c r="X389" s="403"/>
      <c r="Y389" s="403"/>
      <c r="Z389" s="403"/>
      <c r="AA389" s="403"/>
      <c r="AB389" s="403"/>
      <c r="AC389" s="403"/>
      <c r="AD389" s="403"/>
      <c r="AE389" s="403"/>
      <c r="AF389" s="403"/>
      <c r="AG389" s="403"/>
      <c r="AH389" s="403"/>
      <c r="AI389" s="403"/>
      <c r="AJ389" s="403"/>
      <c r="AK389" s="403"/>
      <c r="AL389" s="403"/>
      <c r="AM389" s="403"/>
      <c r="AN389" s="403"/>
      <c r="AO389" s="403"/>
      <c r="AP389" s="403"/>
      <c r="AQ389" s="403"/>
      <c r="AR389" s="403"/>
      <c r="AS389" s="403"/>
      <c r="AT389" s="403"/>
      <c r="AU389" s="403"/>
      <c r="AV389" s="403"/>
      <c r="AW389" s="403"/>
      <c r="AX389" s="403"/>
      <c r="AY389" s="403"/>
      <c r="AZ389" s="403"/>
      <c r="BA389" s="403"/>
      <c r="BB389" s="403"/>
      <c r="BC389" s="403"/>
      <c r="BD389" s="403"/>
      <c r="BE389" s="403"/>
      <c r="BF389" s="403"/>
      <c r="BG389" s="403"/>
      <c r="BH389" s="403"/>
      <c r="BI389" s="403"/>
      <c r="BJ389" s="403"/>
      <c r="BK389" s="403"/>
      <c r="BL389" s="403"/>
      <c r="BM389" s="403"/>
      <c r="BN389" s="403"/>
      <c r="BO389" s="403"/>
      <c r="BP389" s="403"/>
      <c r="BQ389" s="403" t="s">
        <v>2642</v>
      </c>
      <c r="BR389" s="403"/>
      <c r="BS389" s="403"/>
      <c r="BT389" s="403"/>
      <c r="BU389" s="403"/>
      <c r="BV389" s="403"/>
      <c r="BW389" s="403"/>
      <c r="BX389" s="403"/>
      <c r="BY389" s="403"/>
      <c r="BZ389" s="403"/>
      <c r="CA389" s="403"/>
      <c r="CB389" s="403"/>
      <c r="CC389" s="403"/>
      <c r="CD389" s="403"/>
      <c r="CE389" s="403"/>
      <c r="CF389" s="403"/>
      <c r="CG389" s="403"/>
      <c r="CH389" s="403"/>
      <c r="CI389" s="403"/>
      <c r="CJ389" s="403"/>
      <c r="CK389" s="403"/>
      <c r="CL389" s="403"/>
      <c r="CM389" s="403"/>
      <c r="CN389" s="403"/>
      <c r="CO389" s="403"/>
      <c r="CP389" s="403"/>
      <c r="CQ389" s="403"/>
      <c r="CR389" s="403"/>
      <c r="CS389" s="403"/>
      <c r="CT389" s="403"/>
      <c r="CU389" s="403"/>
      <c r="CV389" s="403"/>
      <c r="CW389" s="403"/>
      <c r="CX389" s="403"/>
      <c r="CY389" s="403"/>
      <c r="CZ389" s="403"/>
      <c r="DA389" s="403"/>
      <c r="DB389" s="403"/>
      <c r="DC389" s="403"/>
      <c r="DD389" s="403"/>
      <c r="DE389" s="403"/>
      <c r="DF389" s="403"/>
      <c r="DG389" s="403"/>
      <c r="DH389" s="403"/>
      <c r="DI389" s="403"/>
      <c r="DJ389" s="403"/>
      <c r="DK389" s="403"/>
      <c r="DL389" s="403"/>
      <c r="DM389" s="403"/>
      <c r="DN389" s="403"/>
      <c r="DO389" s="403"/>
      <c r="DP389" s="403"/>
      <c r="DQ389" s="403"/>
      <c r="DR389" s="403"/>
      <c r="DS389" s="403"/>
      <c r="DT389" s="403"/>
      <c r="DU389" s="403"/>
      <c r="DV389" s="403"/>
      <c r="DW389" s="403"/>
      <c r="DX389" s="403"/>
      <c r="DY389" s="403"/>
      <c r="DZ389" s="403"/>
      <c r="EA389" s="403"/>
      <c r="EB389" s="403"/>
      <c r="EC389" s="403"/>
      <c r="ED389" s="403"/>
      <c r="EE389" s="403"/>
      <c r="EF389" s="403"/>
      <c r="EG389" s="403"/>
      <c r="EH389" s="403"/>
      <c r="EI389" s="403"/>
      <c r="EJ389" s="403"/>
      <c r="EK389" s="403"/>
      <c r="EL389" s="403"/>
      <c r="EM389" s="403"/>
      <c r="EN389" s="403"/>
      <c r="EO389" s="403"/>
      <c r="EP389" s="403"/>
      <c r="EQ389" s="403"/>
      <c r="ER389" s="403"/>
      <c r="ES389" s="403"/>
      <c r="ET389" s="403"/>
    </row>
    <row r="390" spans="1:150" s="508" customFormat="1" x14ac:dyDescent="0.2">
      <c r="A390" s="567"/>
      <c r="B390" s="624" t="str">
        <f ca="1">IF(OFFSET(T390,0,Lang_Order*Lang__B4)="","",OFFSET(T390,0,Lang_Order*Lang__B4))</f>
        <v>Cold chain transportation from district to fixed sites</v>
      </c>
      <c r="R390" s="507"/>
      <c r="S390" s="507"/>
      <c r="T390" s="507" t="s">
        <v>4536</v>
      </c>
      <c r="U390" s="507"/>
      <c r="V390" s="507"/>
      <c r="W390" s="507"/>
      <c r="X390" s="507"/>
      <c r="Y390" s="507"/>
      <c r="Z390" s="507"/>
      <c r="AA390" s="507"/>
      <c r="AB390" s="507"/>
      <c r="AC390" s="507"/>
      <c r="AD390" s="507"/>
      <c r="AE390" s="507"/>
      <c r="AF390" s="507"/>
      <c r="AG390" s="507"/>
      <c r="AH390" s="507"/>
      <c r="AI390" s="507"/>
      <c r="AJ390" s="507"/>
      <c r="AK390" s="507"/>
      <c r="AL390" s="507"/>
      <c r="AM390" s="507" t="s">
        <v>13456</v>
      </c>
      <c r="AN390" s="507"/>
      <c r="AO390" s="507"/>
      <c r="AP390" s="507"/>
      <c r="AQ390" s="507"/>
      <c r="AR390" s="507"/>
      <c r="AS390" s="507"/>
      <c r="AT390" s="507"/>
      <c r="AU390" s="507"/>
      <c r="AV390" s="507"/>
      <c r="AW390" s="507"/>
      <c r="AX390" s="507"/>
      <c r="AY390" s="507"/>
      <c r="AZ390" s="507"/>
      <c r="BA390" s="507"/>
      <c r="BB390" s="507"/>
      <c r="BC390" s="507"/>
      <c r="BD390" s="507"/>
      <c r="BE390" s="507"/>
      <c r="BF390" s="507" t="s">
        <v>13457</v>
      </c>
      <c r="BG390" s="507"/>
      <c r="BH390" s="507"/>
      <c r="BI390" s="507"/>
      <c r="BJ390" s="507"/>
      <c r="BK390" s="507"/>
      <c r="BL390" s="507"/>
      <c r="BM390" s="507"/>
      <c r="BN390" s="507"/>
      <c r="BO390" s="507"/>
      <c r="BP390" s="507"/>
      <c r="BQ390" s="507"/>
      <c r="BR390" s="507"/>
      <c r="BS390" s="507"/>
      <c r="BT390" s="507"/>
      <c r="BU390" s="507"/>
      <c r="BV390" s="507"/>
      <c r="BW390" s="507"/>
      <c r="BX390" s="507"/>
      <c r="BY390" s="507" t="s">
        <v>13458</v>
      </c>
      <c r="BZ390" s="507"/>
      <c r="CA390" s="507"/>
      <c r="CB390" s="507"/>
      <c r="CC390" s="507"/>
      <c r="CD390" s="507"/>
      <c r="CE390" s="507"/>
      <c r="CF390" s="507"/>
      <c r="CG390" s="507"/>
      <c r="CH390" s="507"/>
      <c r="CI390" s="507"/>
      <c r="CJ390" s="507"/>
      <c r="CK390" s="507"/>
      <c r="CL390" s="507"/>
      <c r="CM390" s="507"/>
      <c r="CN390" s="507"/>
      <c r="CO390" s="507"/>
      <c r="CP390" s="507"/>
      <c r="CQ390" s="507"/>
      <c r="CR390" s="507" t="s">
        <v>13459</v>
      </c>
      <c r="CS390" s="507"/>
      <c r="CT390" s="507"/>
      <c r="CU390" s="507"/>
      <c r="CV390" s="507"/>
      <c r="CW390" s="507"/>
      <c r="CX390" s="507"/>
      <c r="CY390" s="507"/>
      <c r="CZ390" s="507"/>
      <c r="DA390" s="507"/>
      <c r="DB390" s="507"/>
      <c r="DC390" s="507"/>
      <c r="DD390" s="507"/>
      <c r="DE390" s="507"/>
      <c r="DF390" s="507"/>
      <c r="DG390" s="507"/>
      <c r="DH390" s="507"/>
      <c r="DI390" s="507"/>
      <c r="DJ390" s="507"/>
      <c r="DK390" s="507" t="s">
        <v>13460</v>
      </c>
      <c r="DL390" s="507"/>
      <c r="DM390" s="507"/>
      <c r="DN390" s="507"/>
      <c r="DO390" s="507"/>
      <c r="DP390" s="507"/>
      <c r="DQ390" s="507"/>
      <c r="DR390" s="507"/>
      <c r="DS390" s="507"/>
      <c r="DT390" s="507"/>
      <c r="DU390" s="507"/>
      <c r="DV390" s="507"/>
      <c r="DW390" s="507"/>
      <c r="DX390" s="507"/>
      <c r="DY390" s="507"/>
      <c r="DZ390" s="507"/>
      <c r="EA390" s="507"/>
      <c r="EB390" s="507"/>
      <c r="EC390" s="507"/>
      <c r="ED390" s="507" t="s">
        <v>13461</v>
      </c>
      <c r="EE390" s="507"/>
      <c r="EF390" s="507"/>
      <c r="EG390" s="507"/>
      <c r="EH390" s="507"/>
      <c r="EI390" s="507"/>
      <c r="EJ390" s="507"/>
      <c r="EK390" s="507"/>
      <c r="EL390" s="507"/>
      <c r="EM390" s="507"/>
      <c r="EN390" s="507"/>
      <c r="EO390" s="507"/>
      <c r="EP390" s="507"/>
      <c r="EQ390" s="507"/>
      <c r="ER390" s="507"/>
      <c r="ES390" s="507"/>
      <c r="ET390" s="507"/>
    </row>
    <row r="391" spans="1:150" s="508" customFormat="1" x14ac:dyDescent="0.2">
      <c r="A391" s="567"/>
      <c r="D391" s="34" t="str">
        <f ca="1">IF(OFFSET(V391,0,Lang_Order*Lang__B4)="","",OFFSET(V391,0,Lang_Order*Lang__B4))</f>
        <v>Per Trip</v>
      </c>
      <c r="R391" s="507"/>
      <c r="S391" s="507"/>
      <c r="T391" s="507"/>
      <c r="U391" s="507"/>
      <c r="V391" s="507" t="s">
        <v>2652</v>
      </c>
      <c r="W391" s="507"/>
      <c r="X391" s="507"/>
      <c r="Y391" s="507"/>
      <c r="Z391" s="507"/>
      <c r="AA391" s="507"/>
      <c r="AB391" s="507"/>
      <c r="AC391" s="507"/>
      <c r="AD391" s="507"/>
      <c r="AE391" s="507"/>
      <c r="AF391" s="507"/>
      <c r="AG391" s="507"/>
      <c r="AH391" s="507"/>
      <c r="AI391" s="507"/>
      <c r="AJ391" s="507"/>
      <c r="AK391" s="507"/>
      <c r="AL391" s="507"/>
      <c r="AM391" s="507"/>
      <c r="AN391" s="507"/>
      <c r="AO391" s="507" t="s">
        <v>8372</v>
      </c>
      <c r="AP391" s="507"/>
      <c r="AQ391" s="507"/>
      <c r="AR391" s="507"/>
      <c r="AS391" s="507"/>
      <c r="AT391" s="507"/>
      <c r="AU391" s="507"/>
      <c r="AV391" s="507"/>
      <c r="AW391" s="507"/>
      <c r="AX391" s="507"/>
      <c r="AY391" s="507"/>
      <c r="AZ391" s="507"/>
      <c r="BA391" s="507"/>
      <c r="BB391" s="507"/>
      <c r="BC391" s="507"/>
      <c r="BD391" s="507"/>
      <c r="BE391" s="507"/>
      <c r="BF391" s="507"/>
      <c r="BG391" s="507"/>
      <c r="BH391" s="507" t="s">
        <v>8374</v>
      </c>
      <c r="BI391" s="507"/>
      <c r="BJ391" s="507"/>
      <c r="BK391" s="507"/>
      <c r="BL391" s="507"/>
      <c r="BM391" s="507"/>
      <c r="BN391" s="507"/>
      <c r="BO391" s="507"/>
      <c r="BP391" s="507"/>
      <c r="BQ391" s="507"/>
      <c r="BR391" s="507"/>
      <c r="BS391" s="507"/>
      <c r="BT391" s="507"/>
      <c r="BU391" s="507"/>
      <c r="BV391" s="507"/>
      <c r="BW391" s="507"/>
      <c r="BX391" s="507"/>
      <c r="BY391" s="507"/>
      <c r="BZ391" s="507"/>
      <c r="CA391" s="507" t="s">
        <v>11421</v>
      </c>
      <c r="CB391" s="507"/>
      <c r="CC391" s="507"/>
      <c r="CD391" s="507"/>
      <c r="CE391" s="507"/>
      <c r="CF391" s="507"/>
      <c r="CG391" s="507"/>
      <c r="CH391" s="507"/>
      <c r="CI391" s="507"/>
      <c r="CJ391" s="507"/>
      <c r="CK391" s="507"/>
      <c r="CL391" s="507"/>
      <c r="CM391" s="507"/>
      <c r="CN391" s="507"/>
      <c r="CO391" s="507"/>
      <c r="CP391" s="507"/>
      <c r="CQ391" s="507"/>
      <c r="CR391" s="507"/>
      <c r="CS391" s="507"/>
      <c r="CT391" s="507" t="s">
        <v>11422</v>
      </c>
      <c r="CU391" s="507"/>
      <c r="CV391" s="507"/>
      <c r="CW391" s="507"/>
      <c r="CX391" s="507"/>
      <c r="CY391" s="507"/>
      <c r="CZ391" s="507"/>
      <c r="DA391" s="507"/>
      <c r="DB391" s="507"/>
      <c r="DC391" s="507"/>
      <c r="DD391" s="507"/>
      <c r="DE391" s="507"/>
      <c r="DF391" s="507"/>
      <c r="DG391" s="507"/>
      <c r="DH391" s="507"/>
      <c r="DI391" s="507"/>
      <c r="DJ391" s="507"/>
      <c r="DK391" s="507"/>
      <c r="DL391" s="507"/>
      <c r="DM391" s="507" t="s">
        <v>8412</v>
      </c>
      <c r="DN391" s="507"/>
      <c r="DO391" s="507"/>
      <c r="DP391" s="507"/>
      <c r="DQ391" s="507"/>
      <c r="DR391" s="507"/>
      <c r="DS391" s="507"/>
      <c r="DT391" s="507"/>
      <c r="DU391" s="507"/>
      <c r="DV391" s="507"/>
      <c r="DW391" s="507"/>
      <c r="DX391" s="507"/>
      <c r="DY391" s="507"/>
      <c r="DZ391" s="507"/>
      <c r="EA391" s="507"/>
      <c r="EB391" s="507"/>
      <c r="EC391" s="507"/>
      <c r="ED391" s="507"/>
      <c r="EE391" s="507"/>
      <c r="EF391" s="507" t="s">
        <v>8380</v>
      </c>
      <c r="EG391" s="507"/>
      <c r="EH391" s="507"/>
      <c r="EI391" s="507"/>
      <c r="EJ391" s="507"/>
      <c r="EK391" s="507"/>
      <c r="EL391" s="507"/>
      <c r="EM391" s="507"/>
      <c r="EN391" s="507"/>
      <c r="EO391" s="507"/>
      <c r="EP391" s="507"/>
      <c r="EQ391" s="507"/>
      <c r="ER391" s="507"/>
      <c r="ES391" s="507"/>
      <c r="ET391" s="507"/>
    </row>
    <row r="392" spans="1:150" s="508" customFormat="1" x14ac:dyDescent="0.2">
      <c r="A392" s="567"/>
      <c r="C392" s="5" t="str">
        <f ca="1">IF(OFFSET(U392,0,Lang_Order*Lang__B4)="","",OFFSET(U392,0,Lang_Order*Lang__B4))</f>
        <v>Room temperature</v>
      </c>
      <c r="D392" s="11" t="e">
        <f>DM1_Site_Distances*Car_PerKM_USD*2</f>
        <v>#DIV/0!</v>
      </c>
      <c r="J392" s="300" t="e">
        <f t="shared" ref="J392:O394" si="108">IF(J101=0,0,$D392*Pop_HCW_CS_Sites*J$202)</f>
        <v>#N/A</v>
      </c>
      <c r="K392" s="300" t="e">
        <f t="shared" si="108"/>
        <v>#N/A</v>
      </c>
      <c r="L392" s="300" t="e">
        <f t="shared" si="108"/>
        <v>#N/A</v>
      </c>
      <c r="M392" s="300" t="e">
        <f t="shared" si="108"/>
        <v>#N/A</v>
      </c>
      <c r="N392" s="300" t="e">
        <f t="shared" si="108"/>
        <v>#N/A</v>
      </c>
      <c r="O392" s="300" t="e">
        <f t="shared" si="108"/>
        <v>#N/A</v>
      </c>
      <c r="P392" s="300" t="e">
        <f t="shared" ref="P392:P394" si="109">SUM(J392:O392)</f>
        <v>#N/A</v>
      </c>
      <c r="Q392" s="12" t="str">
        <f ca="1">IF(OFFSET(AI392,0,Lang_Order*Lang__B4)="","",OFFSET(AI392,0,Lang_Order*Lang__B4))</f>
        <v>Assumes similar transport costs as personnel transport</v>
      </c>
      <c r="R392" s="507"/>
      <c r="S392" s="507"/>
      <c r="T392" s="507"/>
      <c r="U392" s="507" t="s">
        <v>10</v>
      </c>
      <c r="V392" s="507"/>
      <c r="W392" s="507"/>
      <c r="X392" s="507"/>
      <c r="Y392" s="507"/>
      <c r="Z392" s="507"/>
      <c r="AA392" s="507"/>
      <c r="AB392" s="507"/>
      <c r="AC392" s="507"/>
      <c r="AD392" s="507"/>
      <c r="AE392" s="507"/>
      <c r="AF392" s="507"/>
      <c r="AG392" s="507"/>
      <c r="AH392" s="507"/>
      <c r="AI392" s="507" t="s">
        <v>4538</v>
      </c>
      <c r="AJ392" s="507"/>
      <c r="AK392" s="507"/>
      <c r="AL392" s="507"/>
      <c r="AM392" s="507"/>
      <c r="AN392" s="507" t="s">
        <v>8371</v>
      </c>
      <c r="AO392" s="507"/>
      <c r="AP392" s="507"/>
      <c r="AQ392" s="507"/>
      <c r="AR392" s="507"/>
      <c r="AS392" s="507"/>
      <c r="AT392" s="507"/>
      <c r="AU392" s="507"/>
      <c r="AV392" s="507"/>
      <c r="AW392" s="507"/>
      <c r="AX392" s="507"/>
      <c r="AY392" s="507"/>
      <c r="AZ392" s="507"/>
      <c r="BA392" s="507"/>
      <c r="BB392" s="507" t="s">
        <v>13486</v>
      </c>
      <c r="BC392" s="507"/>
      <c r="BD392" s="507"/>
      <c r="BE392" s="507"/>
      <c r="BF392" s="507"/>
      <c r="BG392" s="507" t="s">
        <v>10226</v>
      </c>
      <c r="BH392" s="507"/>
      <c r="BI392" s="507"/>
      <c r="BJ392" s="507"/>
      <c r="BK392" s="507"/>
      <c r="BL392" s="507"/>
      <c r="BM392" s="507"/>
      <c r="BN392" s="507"/>
      <c r="BO392" s="507"/>
      <c r="BP392" s="507"/>
      <c r="BQ392" s="507"/>
      <c r="BR392" s="507"/>
      <c r="BS392" s="507"/>
      <c r="BT392" s="507"/>
      <c r="BU392" s="507" t="s">
        <v>13487</v>
      </c>
      <c r="BV392" s="507"/>
      <c r="BW392" s="507"/>
      <c r="BX392" s="507"/>
      <c r="BY392" s="507"/>
      <c r="BZ392" s="507" t="s">
        <v>8375</v>
      </c>
      <c r="CA392" s="507"/>
      <c r="CB392" s="507"/>
      <c r="CC392" s="507"/>
      <c r="CD392" s="507"/>
      <c r="CE392" s="507"/>
      <c r="CF392" s="507"/>
      <c r="CG392" s="507"/>
      <c r="CH392" s="507"/>
      <c r="CI392" s="507"/>
      <c r="CJ392" s="507"/>
      <c r="CK392" s="507"/>
      <c r="CL392" s="507"/>
      <c r="CM392" s="507"/>
      <c r="CN392" s="507" t="s">
        <v>13488</v>
      </c>
      <c r="CO392" s="507"/>
      <c r="CP392" s="507"/>
      <c r="CQ392" s="507"/>
      <c r="CR392" s="507"/>
      <c r="CS392" s="507" t="s">
        <v>8375</v>
      </c>
      <c r="CT392" s="507"/>
      <c r="CU392" s="507"/>
      <c r="CV392" s="507"/>
      <c r="CW392" s="507"/>
      <c r="CX392" s="507"/>
      <c r="CY392" s="507"/>
      <c r="CZ392" s="507"/>
      <c r="DA392" s="507"/>
      <c r="DB392" s="507"/>
      <c r="DC392" s="507"/>
      <c r="DD392" s="507"/>
      <c r="DE392" s="507"/>
      <c r="DF392" s="507"/>
      <c r="DG392" s="507" t="s">
        <v>13489</v>
      </c>
      <c r="DH392" s="507"/>
      <c r="DI392" s="507"/>
      <c r="DJ392" s="507"/>
      <c r="DK392" s="507"/>
      <c r="DL392" s="507" t="s">
        <v>8378</v>
      </c>
      <c r="DM392" s="507"/>
      <c r="DN392" s="507"/>
      <c r="DO392" s="507"/>
      <c r="DP392" s="507"/>
      <c r="DQ392" s="507"/>
      <c r="DR392" s="507"/>
      <c r="DS392" s="507"/>
      <c r="DT392" s="507"/>
      <c r="DU392" s="507"/>
      <c r="DV392" s="507"/>
      <c r="DW392" s="507"/>
      <c r="DX392" s="507"/>
      <c r="DY392" s="507"/>
      <c r="DZ392" s="507" t="s">
        <v>13490</v>
      </c>
      <c r="EA392" s="507"/>
      <c r="EB392" s="507"/>
      <c r="EC392" s="507"/>
      <c r="ED392" s="507"/>
      <c r="EE392" s="507" t="s">
        <v>10256</v>
      </c>
      <c r="EF392" s="507"/>
      <c r="EG392" s="507"/>
      <c r="EH392" s="507"/>
      <c r="EI392" s="507"/>
      <c r="EJ392" s="507"/>
      <c r="EK392" s="507"/>
      <c r="EL392" s="507"/>
      <c r="EM392" s="507"/>
      <c r="EN392" s="507"/>
      <c r="EO392" s="507"/>
      <c r="EP392" s="507"/>
      <c r="EQ392" s="507"/>
      <c r="ER392" s="507"/>
      <c r="ES392" s="507" t="s">
        <v>13491</v>
      </c>
      <c r="ET392" s="507"/>
    </row>
    <row r="393" spans="1:150" s="508" customFormat="1" x14ac:dyDescent="0.2">
      <c r="A393" s="567"/>
      <c r="C393" s="5" t="str">
        <f ca="1">IF(OFFSET(U393,0,Lang_Order*Lang__B4)="","",OFFSET(U393,0,Lang_Order*Lang__B4))</f>
        <v>Refrigerated (2 to 8C)</v>
      </c>
      <c r="D393" s="11" t="e">
        <f>DM1_Site_Distances*Car_PerKM_USD*2</f>
        <v>#DIV/0!</v>
      </c>
      <c r="J393" s="300" t="e">
        <f t="shared" si="108"/>
        <v>#N/A</v>
      </c>
      <c r="K393" s="300" t="e">
        <f t="shared" si="108"/>
        <v>#N/A</v>
      </c>
      <c r="L393" s="300" t="e">
        <f t="shared" si="108"/>
        <v>#N/A</v>
      </c>
      <c r="M393" s="300" t="e">
        <f t="shared" si="108"/>
        <v>#N/A</v>
      </c>
      <c r="N393" s="300" t="e">
        <f t="shared" si="108"/>
        <v>#N/A</v>
      </c>
      <c r="O393" s="300" t="e">
        <f t="shared" si="108"/>
        <v>#N/A</v>
      </c>
      <c r="P393" s="300" t="e">
        <f t="shared" si="109"/>
        <v>#N/A</v>
      </c>
      <c r="Q393" s="12" t="str">
        <f ca="1">IF(OFFSET(AI393,0,Lang_Order*Lang__B4)="","",OFFSET(AI393,0,Lang_Order*Lang__B4))</f>
        <v>Assumes similar transport costs as personnel transport</v>
      </c>
      <c r="R393" s="507"/>
      <c r="S393" s="507"/>
      <c r="T393" s="507"/>
      <c r="U393" s="564" t="s">
        <v>11</v>
      </c>
      <c r="V393" s="564"/>
      <c r="W393" s="564"/>
      <c r="X393" s="564"/>
      <c r="Y393" s="564"/>
      <c r="Z393" s="564"/>
      <c r="AA393" s="564"/>
      <c r="AB393" s="564"/>
      <c r="AC393" s="564"/>
      <c r="AD393" s="564"/>
      <c r="AE393" s="564"/>
      <c r="AF393" s="564"/>
      <c r="AG393" s="564"/>
      <c r="AH393" s="564"/>
      <c r="AI393" s="564" t="s">
        <v>4538</v>
      </c>
      <c r="AJ393" s="564"/>
      <c r="AK393" s="564"/>
      <c r="AL393" s="564"/>
      <c r="AM393" s="564"/>
      <c r="AN393" s="564" t="s">
        <v>10714</v>
      </c>
      <c r="AO393" s="564"/>
      <c r="AP393" s="564"/>
      <c r="AQ393" s="564"/>
      <c r="AR393" s="564"/>
      <c r="AS393" s="564"/>
      <c r="AT393" s="564"/>
      <c r="AU393" s="564"/>
      <c r="AV393" s="564"/>
      <c r="AW393" s="564"/>
      <c r="AX393" s="564"/>
      <c r="AY393" s="564"/>
      <c r="AZ393" s="564"/>
      <c r="BA393" s="564"/>
      <c r="BB393" s="564" t="s">
        <v>13486</v>
      </c>
      <c r="BC393" s="564"/>
      <c r="BD393" s="564"/>
      <c r="BE393" s="564"/>
      <c r="BF393" s="564"/>
      <c r="BG393" s="564" t="s">
        <v>10227</v>
      </c>
      <c r="BH393" s="564"/>
      <c r="BI393" s="564"/>
      <c r="BJ393" s="564"/>
      <c r="BK393" s="564"/>
      <c r="BL393" s="564"/>
      <c r="BM393" s="564"/>
      <c r="BN393" s="564"/>
      <c r="BO393" s="564"/>
      <c r="BP393" s="564"/>
      <c r="BQ393" s="564"/>
      <c r="BR393" s="564"/>
      <c r="BS393" s="564"/>
      <c r="BT393" s="564"/>
      <c r="BU393" s="564" t="s">
        <v>13487</v>
      </c>
      <c r="BV393" s="564"/>
      <c r="BW393" s="564"/>
      <c r="BX393" s="564"/>
      <c r="BY393" s="564"/>
      <c r="BZ393" s="564" t="s">
        <v>10715</v>
      </c>
      <c r="CA393" s="564"/>
      <c r="CB393" s="564"/>
      <c r="CC393" s="564"/>
      <c r="CD393" s="564"/>
      <c r="CE393" s="564"/>
      <c r="CF393" s="564"/>
      <c r="CG393" s="564"/>
      <c r="CH393" s="564"/>
      <c r="CI393" s="564"/>
      <c r="CJ393" s="564"/>
      <c r="CK393" s="564"/>
      <c r="CL393" s="564"/>
      <c r="CM393" s="564"/>
      <c r="CN393" s="564" t="s">
        <v>13488</v>
      </c>
      <c r="CO393" s="564"/>
      <c r="CP393" s="564"/>
      <c r="CQ393" s="564"/>
      <c r="CR393" s="564"/>
      <c r="CS393" s="564" t="s">
        <v>8384</v>
      </c>
      <c r="CT393" s="564"/>
      <c r="CU393" s="564"/>
      <c r="CV393" s="564"/>
      <c r="CW393" s="564"/>
      <c r="CX393" s="564"/>
      <c r="CY393" s="564"/>
      <c r="CZ393" s="564"/>
      <c r="DA393" s="564"/>
      <c r="DB393" s="564"/>
      <c r="DC393" s="564"/>
      <c r="DD393" s="564"/>
      <c r="DE393" s="564"/>
      <c r="DF393" s="564"/>
      <c r="DG393" s="564" t="s">
        <v>13489</v>
      </c>
      <c r="DH393" s="564"/>
      <c r="DI393" s="564"/>
      <c r="DJ393" s="564"/>
      <c r="DK393" s="564"/>
      <c r="DL393" s="564" t="s">
        <v>10248</v>
      </c>
      <c r="DM393" s="564"/>
      <c r="DN393" s="564"/>
      <c r="DO393" s="564"/>
      <c r="DP393" s="564"/>
      <c r="DQ393" s="564"/>
      <c r="DR393" s="564"/>
      <c r="DS393" s="564"/>
      <c r="DT393" s="564"/>
      <c r="DU393" s="564"/>
      <c r="DV393" s="564"/>
      <c r="DW393" s="564"/>
      <c r="DX393" s="564"/>
      <c r="DY393" s="564"/>
      <c r="DZ393" s="564" t="s">
        <v>13490</v>
      </c>
      <c r="EA393" s="564"/>
      <c r="EB393" s="564"/>
      <c r="EC393" s="564"/>
      <c r="ED393" s="564"/>
      <c r="EE393" s="564" t="s">
        <v>8387</v>
      </c>
      <c r="EF393" s="507"/>
      <c r="EG393" s="507"/>
      <c r="EH393" s="507"/>
      <c r="EI393" s="507"/>
      <c r="EJ393" s="507"/>
      <c r="EK393" s="507"/>
      <c r="EL393" s="507"/>
      <c r="EM393" s="507"/>
      <c r="EN393" s="507"/>
      <c r="EO393" s="507"/>
      <c r="EP393" s="507"/>
      <c r="EQ393" s="507"/>
      <c r="ER393" s="507"/>
      <c r="ES393" s="507" t="s">
        <v>13491</v>
      </c>
      <c r="ET393" s="507"/>
    </row>
    <row r="394" spans="1:150" s="508" customFormat="1" x14ac:dyDescent="0.2">
      <c r="A394" s="567"/>
      <c r="C394" s="5" t="str">
        <f ca="1">IF(OFFSET(U394,0,Lang_Order*Lang__B4)="","",OFFSET(U394,0,Lang_Order*Lang__B4))</f>
        <v>Frozen (-20C)</v>
      </c>
      <c r="D394" s="11" t="e">
        <f>DM1_Site_Distances*Car_PerKM_USD*2</f>
        <v>#DIV/0!</v>
      </c>
      <c r="J394" s="300" t="e">
        <f t="shared" si="108"/>
        <v>#N/A</v>
      </c>
      <c r="K394" s="300" t="e">
        <f t="shared" si="108"/>
        <v>#N/A</v>
      </c>
      <c r="L394" s="300" t="e">
        <f t="shared" si="108"/>
        <v>#N/A</v>
      </c>
      <c r="M394" s="300" t="e">
        <f t="shared" si="108"/>
        <v>#N/A</v>
      </c>
      <c r="N394" s="300" t="e">
        <f t="shared" si="108"/>
        <v>#N/A</v>
      </c>
      <c r="O394" s="300" t="e">
        <f t="shared" si="108"/>
        <v>#N/A</v>
      </c>
      <c r="P394" s="300" t="e">
        <f t="shared" si="109"/>
        <v>#N/A</v>
      </c>
      <c r="Q394" s="12" t="str">
        <f ca="1">IF(OFFSET(AI394,0,Lang_Order*Lang__B4)="","",OFFSET(AI394,0,Lang_Order*Lang__B4))</f>
        <v>Assumes similar transport costs as personnel transport</v>
      </c>
      <c r="R394" s="507"/>
      <c r="S394" s="507"/>
      <c r="T394" s="507"/>
      <c r="U394" s="564" t="s">
        <v>12</v>
      </c>
      <c r="V394" s="564"/>
      <c r="W394" s="564"/>
      <c r="X394" s="564"/>
      <c r="Y394" s="564"/>
      <c r="Z394" s="564"/>
      <c r="AA394" s="564"/>
      <c r="AB394" s="564"/>
      <c r="AC394" s="564"/>
      <c r="AD394" s="564"/>
      <c r="AE394" s="564"/>
      <c r="AF394" s="564"/>
      <c r="AG394" s="564"/>
      <c r="AH394" s="564"/>
      <c r="AI394" s="564" t="s">
        <v>4538</v>
      </c>
      <c r="AJ394" s="564"/>
      <c r="AK394" s="564"/>
      <c r="AL394" s="564"/>
      <c r="AM394" s="564"/>
      <c r="AN394" s="564" t="s">
        <v>10717</v>
      </c>
      <c r="AO394" s="564"/>
      <c r="AP394" s="564"/>
      <c r="AQ394" s="564"/>
      <c r="AR394" s="564"/>
      <c r="AS394" s="564"/>
      <c r="AT394" s="564"/>
      <c r="AU394" s="564"/>
      <c r="AV394" s="564"/>
      <c r="AW394" s="564"/>
      <c r="AX394" s="564"/>
      <c r="AY394" s="564"/>
      <c r="AZ394" s="564"/>
      <c r="BA394" s="564"/>
      <c r="BB394" s="564" t="s">
        <v>13486</v>
      </c>
      <c r="BC394" s="564"/>
      <c r="BD394" s="564"/>
      <c r="BE394" s="564"/>
      <c r="BF394" s="564"/>
      <c r="BG394" s="564" t="s">
        <v>10228</v>
      </c>
      <c r="BH394" s="564"/>
      <c r="BI394" s="564"/>
      <c r="BJ394" s="564"/>
      <c r="BK394" s="564"/>
      <c r="BL394" s="564"/>
      <c r="BM394" s="564"/>
      <c r="BN394" s="564"/>
      <c r="BO394" s="564"/>
      <c r="BP394" s="564"/>
      <c r="BQ394" s="564"/>
      <c r="BR394" s="564"/>
      <c r="BS394" s="564"/>
      <c r="BT394" s="564"/>
      <c r="BU394" s="564" t="s">
        <v>13487</v>
      </c>
      <c r="BV394" s="564"/>
      <c r="BW394" s="564"/>
      <c r="BX394" s="564"/>
      <c r="BY394" s="564"/>
      <c r="BZ394" s="564" t="s">
        <v>10718</v>
      </c>
      <c r="CA394" s="564"/>
      <c r="CB394" s="564"/>
      <c r="CC394" s="564"/>
      <c r="CD394" s="564"/>
      <c r="CE394" s="564"/>
      <c r="CF394" s="564"/>
      <c r="CG394" s="564"/>
      <c r="CH394" s="564"/>
      <c r="CI394" s="564"/>
      <c r="CJ394" s="564"/>
      <c r="CK394" s="564"/>
      <c r="CL394" s="564"/>
      <c r="CM394" s="564"/>
      <c r="CN394" s="564" t="s">
        <v>13488</v>
      </c>
      <c r="CO394" s="564"/>
      <c r="CP394" s="564"/>
      <c r="CQ394" s="564"/>
      <c r="CR394" s="564"/>
      <c r="CS394" s="564" t="s">
        <v>8391</v>
      </c>
      <c r="CT394" s="564"/>
      <c r="CU394" s="564"/>
      <c r="CV394" s="564"/>
      <c r="CW394" s="564"/>
      <c r="CX394" s="564"/>
      <c r="CY394" s="564"/>
      <c r="CZ394" s="564"/>
      <c r="DA394" s="564"/>
      <c r="DB394" s="564"/>
      <c r="DC394" s="564"/>
      <c r="DD394" s="564"/>
      <c r="DE394" s="564"/>
      <c r="DF394" s="564"/>
      <c r="DG394" s="564" t="s">
        <v>13489</v>
      </c>
      <c r="DH394" s="564"/>
      <c r="DI394" s="564"/>
      <c r="DJ394" s="564"/>
      <c r="DK394" s="564"/>
      <c r="DL394" s="564" t="s">
        <v>10249</v>
      </c>
      <c r="DM394" s="564"/>
      <c r="DN394" s="564"/>
      <c r="DO394" s="564"/>
      <c r="DP394" s="564"/>
      <c r="DQ394" s="564"/>
      <c r="DR394" s="564"/>
      <c r="DS394" s="564"/>
      <c r="DT394" s="564"/>
      <c r="DU394" s="564"/>
      <c r="DV394" s="564"/>
      <c r="DW394" s="564"/>
      <c r="DX394" s="564"/>
      <c r="DY394" s="564"/>
      <c r="DZ394" s="564" t="s">
        <v>13490</v>
      </c>
      <c r="EA394" s="564"/>
      <c r="EB394" s="564"/>
      <c r="EC394" s="564"/>
      <c r="ED394" s="564"/>
      <c r="EE394" s="564" t="s">
        <v>8393</v>
      </c>
      <c r="EF394" s="507"/>
      <c r="EG394" s="507"/>
      <c r="EH394" s="507"/>
      <c r="EI394" s="507"/>
      <c r="EJ394" s="507"/>
      <c r="EK394" s="507"/>
      <c r="EL394" s="507"/>
      <c r="EM394" s="507"/>
      <c r="EN394" s="507"/>
      <c r="EO394" s="507"/>
      <c r="EP394" s="507"/>
      <c r="EQ394" s="507"/>
      <c r="ER394" s="507"/>
      <c r="ES394" s="507" t="s">
        <v>13491</v>
      </c>
      <c r="ET394" s="507"/>
    </row>
    <row r="395" spans="1:150" s="508" customFormat="1" x14ac:dyDescent="0.2">
      <c r="A395" s="567"/>
      <c r="C395" s="72" t="str">
        <f ca="1">IF(OFFSET(U395,0,Lang_Order*Lang__B4)="","",OFFSET(U395,0,Lang_Order*Lang__B4))</f>
        <v>Ultra-cold (-60 to -80C)</v>
      </c>
      <c r="Q395" s="12" t="str">
        <f ca="1">IF(OFFSET(AI395,0,Lang_Order*Lang__B4)="","",OFFSET(AI395,0,Lang_Order*Lang__B4))</f>
        <v>NOTE: UCC vaccine doses destined for fixed sites will bypass districts</v>
      </c>
      <c r="R395" s="507"/>
      <c r="S395" s="507"/>
      <c r="T395" s="507"/>
      <c r="U395" s="564" t="s">
        <v>13</v>
      </c>
      <c r="V395" s="564"/>
      <c r="W395" s="564"/>
      <c r="X395" s="564"/>
      <c r="Y395" s="564"/>
      <c r="Z395" s="564"/>
      <c r="AA395" s="564"/>
      <c r="AB395" s="564"/>
      <c r="AC395" s="564"/>
      <c r="AD395" s="564"/>
      <c r="AE395" s="564"/>
      <c r="AF395" s="564"/>
      <c r="AG395" s="564"/>
      <c r="AH395" s="564"/>
      <c r="AI395" s="564" t="s">
        <v>4540</v>
      </c>
      <c r="AJ395" s="564"/>
      <c r="AK395" s="564"/>
      <c r="AL395" s="564"/>
      <c r="AM395" s="564"/>
      <c r="AN395" s="564" t="s">
        <v>8394</v>
      </c>
      <c r="AO395" s="564"/>
      <c r="AP395" s="564"/>
      <c r="AQ395" s="564"/>
      <c r="AR395" s="564"/>
      <c r="AS395" s="564"/>
      <c r="AT395" s="564"/>
      <c r="AU395" s="564"/>
      <c r="AV395" s="564"/>
      <c r="AW395" s="564"/>
      <c r="AX395" s="564"/>
      <c r="AY395" s="564"/>
      <c r="AZ395" s="564"/>
      <c r="BA395" s="564"/>
      <c r="BB395" s="564" t="s">
        <v>13492</v>
      </c>
      <c r="BC395" s="564"/>
      <c r="BD395" s="564"/>
      <c r="BE395" s="564"/>
      <c r="BF395" s="564"/>
      <c r="BG395" s="564" t="s">
        <v>10229</v>
      </c>
      <c r="BH395" s="564"/>
      <c r="BI395" s="564"/>
      <c r="BJ395" s="564"/>
      <c r="BK395" s="564"/>
      <c r="BL395" s="564"/>
      <c r="BM395" s="564"/>
      <c r="BN395" s="564"/>
      <c r="BO395" s="564"/>
      <c r="BP395" s="564"/>
      <c r="BQ395" s="564"/>
      <c r="BR395" s="564"/>
      <c r="BS395" s="564"/>
      <c r="BT395" s="564"/>
      <c r="BU395" s="564" t="s">
        <v>13493</v>
      </c>
      <c r="BV395" s="564"/>
      <c r="BW395" s="564"/>
      <c r="BX395" s="564"/>
      <c r="BY395" s="564"/>
      <c r="BZ395" s="564" t="s">
        <v>10237</v>
      </c>
      <c r="CA395" s="564"/>
      <c r="CB395" s="564"/>
      <c r="CC395" s="564"/>
      <c r="CD395" s="564"/>
      <c r="CE395" s="564"/>
      <c r="CF395" s="564"/>
      <c r="CG395" s="564"/>
      <c r="CH395" s="564"/>
      <c r="CI395" s="564"/>
      <c r="CJ395" s="564"/>
      <c r="CK395" s="564"/>
      <c r="CL395" s="564"/>
      <c r="CM395" s="564"/>
      <c r="CN395" s="564" t="s">
        <v>13494</v>
      </c>
      <c r="CO395" s="564"/>
      <c r="CP395" s="564"/>
      <c r="CQ395" s="564"/>
      <c r="CR395" s="564"/>
      <c r="CS395" s="564" t="s">
        <v>8400</v>
      </c>
      <c r="CT395" s="564"/>
      <c r="CU395" s="564"/>
      <c r="CV395" s="564"/>
      <c r="CW395" s="564"/>
      <c r="CX395" s="564"/>
      <c r="CY395" s="564"/>
      <c r="CZ395" s="564"/>
      <c r="DA395" s="564"/>
      <c r="DB395" s="564"/>
      <c r="DC395" s="564"/>
      <c r="DD395" s="564"/>
      <c r="DE395" s="564"/>
      <c r="DF395" s="564"/>
      <c r="DG395" s="564" t="s">
        <v>13495</v>
      </c>
      <c r="DH395" s="564"/>
      <c r="DI395" s="564"/>
      <c r="DJ395" s="564"/>
      <c r="DK395" s="564"/>
      <c r="DL395" s="564" t="s">
        <v>10250</v>
      </c>
      <c r="DM395" s="564"/>
      <c r="DN395" s="564"/>
      <c r="DO395" s="564"/>
      <c r="DP395" s="564"/>
      <c r="DQ395" s="564"/>
      <c r="DR395" s="564"/>
      <c r="DS395" s="564"/>
      <c r="DT395" s="564"/>
      <c r="DU395" s="564"/>
      <c r="DV395" s="564"/>
      <c r="DW395" s="564"/>
      <c r="DX395" s="564"/>
      <c r="DY395" s="564"/>
      <c r="DZ395" s="564" t="s">
        <v>13496</v>
      </c>
      <c r="EA395" s="564"/>
      <c r="EB395" s="564"/>
      <c r="EC395" s="564"/>
      <c r="ED395" s="564"/>
      <c r="EE395" s="564" t="s">
        <v>8404</v>
      </c>
      <c r="EF395" s="507"/>
      <c r="EG395" s="507"/>
      <c r="EH395" s="507"/>
      <c r="EI395" s="507"/>
      <c r="EJ395" s="507"/>
      <c r="EK395" s="507"/>
      <c r="EL395" s="507"/>
      <c r="EM395" s="507"/>
      <c r="EN395" s="507"/>
      <c r="EO395" s="507"/>
      <c r="EP395" s="507"/>
      <c r="EQ395" s="507"/>
      <c r="ER395" s="507"/>
      <c r="ES395" s="507" t="s">
        <v>13497</v>
      </c>
      <c r="ET395" s="507"/>
    </row>
    <row r="396" spans="1:150" s="508" customFormat="1" ht="13.5" thickBot="1" x14ac:dyDescent="0.25">
      <c r="A396" s="567"/>
      <c r="J396" s="118" t="e">
        <f t="shared" ref="J396:O396" si="110">J37*MAX(J392:J395)</f>
        <v>#N/A</v>
      </c>
      <c r="K396" s="118" t="e">
        <f t="shared" si="110"/>
        <v>#N/A</v>
      </c>
      <c r="L396" s="118" t="e">
        <f t="shared" si="110"/>
        <v>#N/A</v>
      </c>
      <c r="M396" s="118" t="e">
        <f t="shared" si="110"/>
        <v>#N/A</v>
      </c>
      <c r="N396" s="118" t="e">
        <f t="shared" si="110"/>
        <v>#N/A</v>
      </c>
      <c r="O396" s="118" t="e">
        <f t="shared" si="110"/>
        <v>#N/A</v>
      </c>
      <c r="P396" s="118" t="e">
        <f>SUM(J396:O396)</f>
        <v>#N/A</v>
      </c>
      <c r="Q396" s="12" t="str">
        <f ca="1">IF(OFFSET(AI396,0,Lang_Order*Lang__B4)="","",OFFSET(AI396,0,Lang_Order*Lang__B4))</f>
        <v>Note this is MAX not SUM … assumption is that it is the same truck taking all the different types of vaccines to the same facility, and costs follow the most stringent requirement</v>
      </c>
      <c r="R396" s="507"/>
      <c r="S396" s="507"/>
      <c r="T396" s="507"/>
      <c r="U396" s="507"/>
      <c r="V396" s="507"/>
      <c r="W396" s="507"/>
      <c r="X396" s="507"/>
      <c r="Y396" s="507"/>
      <c r="Z396" s="507"/>
      <c r="AA396" s="507"/>
      <c r="AB396" s="507"/>
      <c r="AC396" s="507"/>
      <c r="AD396" s="507"/>
      <c r="AE396" s="507"/>
      <c r="AF396" s="507"/>
      <c r="AG396" s="507"/>
      <c r="AH396" s="507"/>
      <c r="AI396" s="507" t="s">
        <v>2653</v>
      </c>
      <c r="AJ396" s="507"/>
      <c r="AK396" s="507"/>
      <c r="AL396" s="507"/>
      <c r="AM396" s="507"/>
      <c r="AN396" s="507"/>
      <c r="AO396" s="507"/>
      <c r="AP396" s="507"/>
      <c r="AQ396" s="507"/>
      <c r="AR396" s="507"/>
      <c r="AS396" s="507"/>
      <c r="AT396" s="507"/>
      <c r="AU396" s="507"/>
      <c r="AV396" s="507"/>
      <c r="AW396" s="507"/>
      <c r="AX396" s="507"/>
      <c r="AY396" s="507"/>
      <c r="AZ396" s="507"/>
      <c r="BA396" s="507"/>
      <c r="BB396" s="507" t="s">
        <v>13498</v>
      </c>
      <c r="BC396" s="507"/>
      <c r="BD396" s="507"/>
      <c r="BE396" s="507"/>
      <c r="BF396" s="507"/>
      <c r="BG396" s="507"/>
      <c r="BH396" s="507"/>
      <c r="BI396" s="507"/>
      <c r="BJ396" s="507"/>
      <c r="BK396" s="507"/>
      <c r="BL396" s="507"/>
      <c r="BM396" s="507"/>
      <c r="BN396" s="507"/>
      <c r="BO396" s="507"/>
      <c r="BP396" s="507"/>
      <c r="BQ396" s="507"/>
      <c r="BR396" s="507"/>
      <c r="BS396" s="507"/>
      <c r="BT396" s="507"/>
      <c r="BU396" s="507" t="s">
        <v>13499</v>
      </c>
      <c r="BV396" s="507"/>
      <c r="BW396" s="507"/>
      <c r="BX396" s="507"/>
      <c r="BY396" s="507"/>
      <c r="BZ396" s="507"/>
      <c r="CA396" s="507"/>
      <c r="CB396" s="507"/>
      <c r="CC396" s="507"/>
      <c r="CD396" s="507"/>
      <c r="CE396" s="507"/>
      <c r="CF396" s="507"/>
      <c r="CG396" s="507"/>
      <c r="CH396" s="507"/>
      <c r="CI396" s="507"/>
      <c r="CJ396" s="507"/>
      <c r="CK396" s="507"/>
      <c r="CL396" s="507"/>
      <c r="CM396" s="507"/>
      <c r="CN396" s="507" t="s">
        <v>13500</v>
      </c>
      <c r="CO396" s="507"/>
      <c r="CP396" s="507"/>
      <c r="CQ396" s="507"/>
      <c r="CR396" s="507"/>
      <c r="CS396" s="507"/>
      <c r="CT396" s="507"/>
      <c r="CU396" s="507"/>
      <c r="CV396" s="507"/>
      <c r="CW396" s="507"/>
      <c r="CX396" s="507"/>
      <c r="CY396" s="507"/>
      <c r="CZ396" s="507"/>
      <c r="DA396" s="507"/>
      <c r="DB396" s="507"/>
      <c r="DC396" s="507"/>
      <c r="DD396" s="507"/>
      <c r="DE396" s="507"/>
      <c r="DF396" s="507"/>
      <c r="DG396" s="507" t="s">
        <v>11426</v>
      </c>
      <c r="DH396" s="507"/>
      <c r="DI396" s="507"/>
      <c r="DJ396" s="507"/>
      <c r="DK396" s="507"/>
      <c r="DL396" s="507"/>
      <c r="DM396" s="507"/>
      <c r="DN396" s="507"/>
      <c r="DO396" s="507"/>
      <c r="DP396" s="507"/>
      <c r="DQ396" s="507"/>
      <c r="DR396" s="507"/>
      <c r="DS396" s="507"/>
      <c r="DT396" s="507"/>
      <c r="DU396" s="507"/>
      <c r="DV396" s="507"/>
      <c r="DW396" s="507"/>
      <c r="DX396" s="507"/>
      <c r="DY396" s="507"/>
      <c r="DZ396" s="507" t="s">
        <v>13501</v>
      </c>
      <c r="EA396" s="507"/>
      <c r="EB396" s="507"/>
      <c r="EC396" s="507"/>
      <c r="ED396" s="507"/>
      <c r="EE396" s="507"/>
      <c r="EF396" s="507"/>
      <c r="EG396" s="507"/>
      <c r="EH396" s="507"/>
      <c r="EI396" s="507"/>
      <c r="EJ396" s="507"/>
      <c r="EK396" s="507"/>
      <c r="EL396" s="507"/>
      <c r="EM396" s="507"/>
      <c r="EN396" s="507"/>
      <c r="EO396" s="507"/>
      <c r="EP396" s="507"/>
      <c r="EQ396" s="507"/>
      <c r="ER396" s="507"/>
      <c r="ES396" s="507" t="s">
        <v>13502</v>
      </c>
      <c r="ET396" s="507"/>
    </row>
    <row r="397" spans="1:150" s="508" customFormat="1" ht="13.5" thickTop="1" x14ac:dyDescent="0.2">
      <c r="A397" s="567"/>
      <c r="R397" s="507"/>
      <c r="S397" s="507"/>
      <c r="T397" s="507"/>
      <c r="U397" s="507"/>
      <c r="V397" s="507"/>
      <c r="W397" s="507"/>
      <c r="X397" s="507"/>
      <c r="Y397" s="507"/>
      <c r="Z397" s="507"/>
      <c r="AA397" s="507"/>
      <c r="AB397" s="507"/>
      <c r="AC397" s="507"/>
      <c r="AD397" s="507"/>
      <c r="AE397" s="507"/>
      <c r="AF397" s="507"/>
      <c r="AG397" s="507"/>
      <c r="AH397" s="507"/>
      <c r="AI397" s="507"/>
      <c r="AJ397" s="507"/>
      <c r="AK397" s="507"/>
      <c r="AL397" s="507"/>
      <c r="AM397" s="507"/>
      <c r="AN397" s="507"/>
      <c r="AO397" s="507"/>
      <c r="AP397" s="507"/>
      <c r="AQ397" s="507"/>
      <c r="AR397" s="507"/>
      <c r="AS397" s="507"/>
      <c r="AT397" s="507"/>
      <c r="AU397" s="507"/>
      <c r="AV397" s="507"/>
      <c r="AW397" s="507"/>
      <c r="AX397" s="507"/>
      <c r="AY397" s="507"/>
      <c r="AZ397" s="507"/>
      <c r="BA397" s="507"/>
      <c r="BB397" s="507"/>
      <c r="BC397" s="507"/>
      <c r="BD397" s="507"/>
      <c r="BE397" s="507"/>
      <c r="BF397" s="507"/>
      <c r="BG397" s="507"/>
      <c r="BH397" s="507"/>
      <c r="BI397" s="507"/>
      <c r="BJ397" s="507"/>
      <c r="BK397" s="507"/>
      <c r="BL397" s="507"/>
      <c r="BM397" s="507"/>
      <c r="BN397" s="507"/>
      <c r="BO397" s="507"/>
      <c r="BP397" s="507"/>
      <c r="BQ397" s="507"/>
      <c r="BR397" s="507"/>
      <c r="BS397" s="507"/>
      <c r="BT397" s="507"/>
      <c r="BU397" s="507"/>
      <c r="BV397" s="507"/>
      <c r="BW397" s="507"/>
      <c r="BX397" s="507"/>
      <c r="BY397" s="507"/>
      <c r="BZ397" s="507"/>
      <c r="CA397" s="507"/>
      <c r="CB397" s="507"/>
      <c r="CC397" s="507"/>
      <c r="CD397" s="507"/>
      <c r="CE397" s="507"/>
      <c r="CF397" s="507"/>
      <c r="CG397" s="507"/>
      <c r="CH397" s="507"/>
      <c r="CI397" s="507"/>
      <c r="CJ397" s="507"/>
      <c r="CK397" s="507"/>
      <c r="CL397" s="507"/>
      <c r="CM397" s="507"/>
      <c r="CN397" s="507"/>
      <c r="CO397" s="507"/>
      <c r="CP397" s="507"/>
      <c r="CQ397" s="507"/>
      <c r="CR397" s="507"/>
      <c r="CS397" s="507"/>
      <c r="CT397" s="507"/>
      <c r="CU397" s="507"/>
      <c r="CV397" s="507"/>
      <c r="CW397" s="507"/>
      <c r="CX397" s="507"/>
      <c r="CY397" s="507"/>
      <c r="CZ397" s="507"/>
      <c r="DA397" s="507"/>
      <c r="DB397" s="507"/>
      <c r="DC397" s="507"/>
      <c r="DD397" s="507"/>
      <c r="DE397" s="507"/>
      <c r="DF397" s="507"/>
      <c r="DG397" s="507"/>
      <c r="DH397" s="507"/>
      <c r="DI397" s="507"/>
      <c r="DJ397" s="507"/>
      <c r="DK397" s="507"/>
      <c r="DL397" s="507"/>
      <c r="DM397" s="507"/>
      <c r="DN397" s="507"/>
      <c r="DO397" s="507"/>
      <c r="DP397" s="507"/>
      <c r="DQ397" s="507"/>
      <c r="DR397" s="507"/>
      <c r="DS397" s="507"/>
      <c r="DT397" s="507"/>
      <c r="DU397" s="507"/>
      <c r="DV397" s="507"/>
      <c r="DW397" s="507"/>
      <c r="DX397" s="507"/>
      <c r="DY397" s="507"/>
      <c r="DZ397" s="507"/>
      <c r="EA397" s="507"/>
      <c r="EB397" s="507"/>
      <c r="EC397" s="507"/>
      <c r="ED397" s="507"/>
      <c r="EE397" s="507"/>
      <c r="EF397" s="507"/>
      <c r="EG397" s="507"/>
      <c r="EH397" s="507"/>
      <c r="EI397" s="507"/>
      <c r="EJ397" s="507"/>
      <c r="EK397" s="507"/>
      <c r="EL397" s="507"/>
      <c r="EM397" s="507"/>
      <c r="EN397" s="507"/>
      <c r="EO397" s="507"/>
      <c r="EP397" s="507"/>
      <c r="EQ397" s="507"/>
      <c r="ER397" s="507"/>
      <c r="ES397" s="507"/>
      <c r="ET397" s="507"/>
    </row>
    <row r="398" spans="1:150" s="508" customFormat="1" x14ac:dyDescent="0.2">
      <c r="A398" s="567"/>
      <c r="D398" s="34" t="str">
        <f ca="1">IF(OFFSET(V398,0,Lang_Order*Lang__B4)="","",OFFSET(V398,0,Lang_Order*Lang__B4))</f>
        <v>Per Volume (liters)</v>
      </c>
      <c r="R398" s="507"/>
      <c r="S398" s="507"/>
      <c r="T398" s="507"/>
      <c r="U398" s="507"/>
      <c r="V398" s="507" t="s">
        <v>4531</v>
      </c>
      <c r="W398" s="507"/>
      <c r="X398" s="507"/>
      <c r="Y398" s="507"/>
      <c r="Z398" s="507"/>
      <c r="AA398" s="507"/>
      <c r="AB398" s="507"/>
      <c r="AC398" s="507"/>
      <c r="AD398" s="507"/>
      <c r="AE398" s="507"/>
      <c r="AF398" s="507"/>
      <c r="AG398" s="507"/>
      <c r="AH398" s="507"/>
      <c r="AI398" s="507"/>
      <c r="AJ398" s="507"/>
      <c r="AK398" s="507"/>
      <c r="AL398" s="507"/>
      <c r="AM398" s="507"/>
      <c r="AN398" s="507"/>
      <c r="AO398" s="507" t="s">
        <v>13432</v>
      </c>
      <c r="AP398" s="507"/>
      <c r="AQ398" s="507"/>
      <c r="AR398" s="507"/>
      <c r="AS398" s="507"/>
      <c r="AT398" s="507"/>
      <c r="AU398" s="507"/>
      <c r="AV398" s="507"/>
      <c r="AW398" s="507"/>
      <c r="AX398" s="507"/>
      <c r="AY398" s="507"/>
      <c r="AZ398" s="507"/>
      <c r="BA398" s="507"/>
      <c r="BB398" s="507"/>
      <c r="BC398" s="507"/>
      <c r="BD398" s="507"/>
      <c r="BE398" s="507"/>
      <c r="BF398" s="507"/>
      <c r="BG398" s="507"/>
      <c r="BH398" s="507" t="s">
        <v>13433</v>
      </c>
      <c r="BI398" s="507"/>
      <c r="BJ398" s="507"/>
      <c r="BK398" s="507"/>
      <c r="BL398" s="507"/>
      <c r="BM398" s="507"/>
      <c r="BN398" s="507"/>
      <c r="BO398" s="507"/>
      <c r="BP398" s="507"/>
      <c r="BQ398" s="507"/>
      <c r="BR398" s="507"/>
      <c r="BS398" s="507"/>
      <c r="BT398" s="507"/>
      <c r="BU398" s="507"/>
      <c r="BV398" s="507"/>
      <c r="BW398" s="507"/>
      <c r="BX398" s="507"/>
      <c r="BY398" s="507"/>
      <c r="BZ398" s="507"/>
      <c r="CA398" s="507" t="s">
        <v>13434</v>
      </c>
      <c r="CB398" s="507"/>
      <c r="CC398" s="507"/>
      <c r="CD398" s="507"/>
      <c r="CE398" s="507"/>
      <c r="CF398" s="507"/>
      <c r="CG398" s="507"/>
      <c r="CH398" s="507"/>
      <c r="CI398" s="507"/>
      <c r="CJ398" s="507"/>
      <c r="CK398" s="507"/>
      <c r="CL398" s="507"/>
      <c r="CM398" s="507"/>
      <c r="CN398" s="507"/>
      <c r="CO398" s="507"/>
      <c r="CP398" s="507"/>
      <c r="CQ398" s="507"/>
      <c r="CR398" s="507"/>
      <c r="CS398" s="507"/>
      <c r="CT398" s="507" t="s">
        <v>13435</v>
      </c>
      <c r="CU398" s="507"/>
      <c r="CV398" s="507"/>
      <c r="CW398" s="507"/>
      <c r="CX398" s="507"/>
      <c r="CY398" s="507"/>
      <c r="CZ398" s="507"/>
      <c r="DA398" s="507"/>
      <c r="DB398" s="507"/>
      <c r="DC398" s="507"/>
      <c r="DD398" s="507"/>
      <c r="DE398" s="507"/>
      <c r="DF398" s="507"/>
      <c r="DG398" s="507"/>
      <c r="DH398" s="507"/>
      <c r="DI398" s="507"/>
      <c r="DJ398" s="507"/>
      <c r="DK398" s="507"/>
      <c r="DL398" s="507"/>
      <c r="DM398" s="507" t="s">
        <v>13436</v>
      </c>
      <c r="DN398" s="507"/>
      <c r="DO398" s="507"/>
      <c r="DP398" s="507"/>
      <c r="DQ398" s="507"/>
      <c r="DR398" s="507"/>
      <c r="DS398" s="507"/>
      <c r="DT398" s="507"/>
      <c r="DU398" s="507"/>
      <c r="DV398" s="507"/>
      <c r="DW398" s="507"/>
      <c r="DX398" s="507"/>
      <c r="DY398" s="507"/>
      <c r="DZ398" s="507"/>
      <c r="EA398" s="507"/>
      <c r="EB398" s="507"/>
      <c r="EC398" s="507"/>
      <c r="ED398" s="507"/>
      <c r="EE398" s="507"/>
      <c r="EF398" s="507" t="s">
        <v>13437</v>
      </c>
      <c r="EG398" s="507"/>
      <c r="EH398" s="507"/>
      <c r="EI398" s="507"/>
      <c r="EJ398" s="507"/>
      <c r="EK398" s="507"/>
      <c r="EL398" s="507"/>
      <c r="EM398" s="507"/>
      <c r="EN398" s="507"/>
      <c r="EO398" s="507"/>
      <c r="EP398" s="507"/>
      <c r="EQ398" s="507"/>
      <c r="ER398" s="507"/>
      <c r="ES398" s="507"/>
      <c r="ET398" s="507"/>
    </row>
    <row r="399" spans="1:150" s="508" customFormat="1" x14ac:dyDescent="0.2">
      <c r="A399" s="567"/>
      <c r="B399" s="208">
        <v>5</v>
      </c>
      <c r="C399" s="5" t="str">
        <f ca="1">IF(OFFSET(U399,0,Lang_Order*Lang__B4)="","",OFFSET(U399,0,Lang_Order*Lang__B4))</f>
        <v>Refrigerated (2 to 8C)</v>
      </c>
      <c r="D399" s="11" t="e">
        <f>'A3. INPUT Unit Costs'!I132</f>
        <v>#N/A</v>
      </c>
      <c r="J399" s="63" t="e">
        <f t="shared" ref="J399:O400" si="111">J$37*$D399*(ROUNDUP(J278/$B399,0)*$B399*J$202*Pop_HCW_CS_Sites)</f>
        <v>#N/A</v>
      </c>
      <c r="K399" s="63" t="e">
        <f t="shared" si="111"/>
        <v>#N/A</v>
      </c>
      <c r="L399" s="63" t="e">
        <f t="shared" si="111"/>
        <v>#N/A</v>
      </c>
      <c r="M399" s="63" t="e">
        <f t="shared" si="111"/>
        <v>#N/A</v>
      </c>
      <c r="N399" s="63" t="e">
        <f t="shared" si="111"/>
        <v>#N/A</v>
      </c>
      <c r="O399" s="63" t="e">
        <f t="shared" si="111"/>
        <v>#N/A</v>
      </c>
      <c r="P399" s="300" t="e">
        <f t="shared" ref="P399:P400" si="112">SUM(J399:O399)</f>
        <v>#N/A</v>
      </c>
      <c r="R399" s="507"/>
      <c r="S399" s="507"/>
      <c r="T399" s="507"/>
      <c r="U399" s="564" t="s">
        <v>11</v>
      </c>
      <c r="V399" s="564"/>
      <c r="W399" s="564"/>
      <c r="X399" s="564"/>
      <c r="Y399" s="564"/>
      <c r="Z399" s="564"/>
      <c r="AA399" s="564"/>
      <c r="AB399" s="564"/>
      <c r="AC399" s="564"/>
      <c r="AD399" s="564"/>
      <c r="AE399" s="564"/>
      <c r="AF399" s="564"/>
      <c r="AG399" s="564"/>
      <c r="AH399" s="564"/>
      <c r="AI399" s="564"/>
      <c r="AJ399" s="564"/>
      <c r="AK399" s="564"/>
      <c r="AL399" s="564"/>
      <c r="AM399" s="564"/>
      <c r="AN399" s="564" t="s">
        <v>10714</v>
      </c>
      <c r="AO399" s="564"/>
      <c r="AP399" s="564"/>
      <c r="AQ399" s="564"/>
      <c r="AR399" s="564"/>
      <c r="AS399" s="564"/>
      <c r="AT399" s="564"/>
      <c r="AU399" s="564"/>
      <c r="AV399" s="564"/>
      <c r="AW399" s="564"/>
      <c r="AX399" s="564"/>
      <c r="AY399" s="564"/>
      <c r="AZ399" s="564"/>
      <c r="BA399" s="564"/>
      <c r="BB399" s="564"/>
      <c r="BC399" s="564"/>
      <c r="BD399" s="564"/>
      <c r="BE399" s="564"/>
      <c r="BF399" s="564"/>
      <c r="BG399" s="564" t="s">
        <v>10227</v>
      </c>
      <c r="BH399" s="564"/>
      <c r="BI399" s="564"/>
      <c r="BJ399" s="564"/>
      <c r="BK399" s="564"/>
      <c r="BL399" s="564"/>
      <c r="BM399" s="564"/>
      <c r="BN399" s="564"/>
      <c r="BO399" s="564"/>
      <c r="BP399" s="564"/>
      <c r="BQ399" s="564"/>
      <c r="BR399" s="564"/>
      <c r="BS399" s="564"/>
      <c r="BT399" s="564"/>
      <c r="BU399" s="564"/>
      <c r="BV399" s="564"/>
      <c r="BW399" s="564"/>
      <c r="BX399" s="564"/>
      <c r="BY399" s="564"/>
      <c r="BZ399" s="564" t="s">
        <v>10715</v>
      </c>
      <c r="CA399" s="564"/>
      <c r="CB399" s="564"/>
      <c r="CC399" s="564"/>
      <c r="CD399" s="564"/>
      <c r="CE399" s="564"/>
      <c r="CF399" s="564"/>
      <c r="CG399" s="564"/>
      <c r="CH399" s="564"/>
      <c r="CI399" s="564"/>
      <c r="CJ399" s="564"/>
      <c r="CK399" s="564"/>
      <c r="CL399" s="564"/>
      <c r="CM399" s="564"/>
      <c r="CN399" s="564"/>
      <c r="CO399" s="564"/>
      <c r="CP399" s="564"/>
      <c r="CQ399" s="564"/>
      <c r="CR399" s="564"/>
      <c r="CS399" s="564" t="s">
        <v>8384</v>
      </c>
      <c r="CT399" s="564"/>
      <c r="CU399" s="564"/>
      <c r="CV399" s="564"/>
      <c r="CW399" s="564"/>
      <c r="CX399" s="564"/>
      <c r="CY399" s="564"/>
      <c r="CZ399" s="564"/>
      <c r="DA399" s="564"/>
      <c r="DB399" s="564"/>
      <c r="DC399" s="564"/>
      <c r="DD399" s="564"/>
      <c r="DE399" s="564"/>
      <c r="DF399" s="564"/>
      <c r="DG399" s="564"/>
      <c r="DH399" s="564"/>
      <c r="DI399" s="564"/>
      <c r="DJ399" s="564"/>
      <c r="DK399" s="564"/>
      <c r="DL399" s="564" t="s">
        <v>10248</v>
      </c>
      <c r="DM399" s="564"/>
      <c r="DN399" s="564"/>
      <c r="DO399" s="564"/>
      <c r="DP399" s="564"/>
      <c r="DQ399" s="564"/>
      <c r="DR399" s="564"/>
      <c r="DS399" s="564"/>
      <c r="DT399" s="564"/>
      <c r="DU399" s="564"/>
      <c r="DV399" s="564"/>
      <c r="DW399" s="564"/>
      <c r="DX399" s="564"/>
      <c r="DY399" s="564"/>
      <c r="DZ399" s="564"/>
      <c r="EA399" s="564"/>
      <c r="EB399" s="564"/>
      <c r="EC399" s="564"/>
      <c r="ED399" s="564"/>
      <c r="EE399" s="564" t="s">
        <v>8387</v>
      </c>
      <c r="EF399" s="507"/>
      <c r="EG399" s="507"/>
      <c r="EH399" s="507"/>
      <c r="EI399" s="507"/>
      <c r="EJ399" s="507"/>
      <c r="EK399" s="507"/>
      <c r="EL399" s="507"/>
      <c r="EM399" s="507"/>
      <c r="EN399" s="507"/>
      <c r="EO399" s="507"/>
      <c r="EP399" s="507"/>
      <c r="EQ399" s="507"/>
      <c r="ER399" s="507"/>
      <c r="ES399" s="507"/>
      <c r="ET399" s="507"/>
    </row>
    <row r="400" spans="1:150" s="508" customFormat="1" x14ac:dyDescent="0.2">
      <c r="A400" s="567"/>
      <c r="B400" s="208">
        <v>5</v>
      </c>
      <c r="C400" s="5" t="str">
        <f ca="1">IF(OFFSET(U400,0,Lang_Order*Lang__B4)="","",OFFSET(U400,0,Lang_Order*Lang__B4))</f>
        <v>Frozen (-20C)</v>
      </c>
      <c r="D400" s="11" t="e">
        <f>'A3. INPUT Unit Costs'!I133</f>
        <v>#N/A</v>
      </c>
      <c r="J400" s="63" t="e">
        <f t="shared" si="111"/>
        <v>#N/A</v>
      </c>
      <c r="K400" s="63" t="e">
        <f t="shared" si="111"/>
        <v>#N/A</v>
      </c>
      <c r="L400" s="63" t="e">
        <f t="shared" si="111"/>
        <v>#N/A</v>
      </c>
      <c r="M400" s="63" t="e">
        <f t="shared" si="111"/>
        <v>#N/A</v>
      </c>
      <c r="N400" s="63" t="e">
        <f t="shared" si="111"/>
        <v>#N/A</v>
      </c>
      <c r="O400" s="63" t="e">
        <f t="shared" si="111"/>
        <v>#N/A</v>
      </c>
      <c r="P400" s="300" t="e">
        <f t="shared" si="112"/>
        <v>#N/A</v>
      </c>
      <c r="R400" s="507"/>
      <c r="S400" s="507"/>
      <c r="T400" s="507"/>
      <c r="U400" s="564" t="s">
        <v>12</v>
      </c>
      <c r="V400" s="564"/>
      <c r="W400" s="564"/>
      <c r="X400" s="564"/>
      <c r="Y400" s="564"/>
      <c r="Z400" s="564"/>
      <c r="AA400" s="564"/>
      <c r="AB400" s="564"/>
      <c r="AC400" s="564"/>
      <c r="AD400" s="564"/>
      <c r="AE400" s="564"/>
      <c r="AF400" s="564"/>
      <c r="AG400" s="564"/>
      <c r="AH400" s="564"/>
      <c r="AI400" s="564"/>
      <c r="AJ400" s="564"/>
      <c r="AK400" s="564"/>
      <c r="AL400" s="564"/>
      <c r="AM400" s="564"/>
      <c r="AN400" s="564" t="s">
        <v>10717</v>
      </c>
      <c r="AO400" s="564"/>
      <c r="AP400" s="564"/>
      <c r="AQ400" s="564"/>
      <c r="AR400" s="564"/>
      <c r="AS400" s="564"/>
      <c r="AT400" s="564"/>
      <c r="AU400" s="564"/>
      <c r="AV400" s="564"/>
      <c r="AW400" s="564"/>
      <c r="AX400" s="564"/>
      <c r="AY400" s="564"/>
      <c r="AZ400" s="564"/>
      <c r="BA400" s="564"/>
      <c r="BB400" s="564"/>
      <c r="BC400" s="564"/>
      <c r="BD400" s="564"/>
      <c r="BE400" s="564"/>
      <c r="BF400" s="564"/>
      <c r="BG400" s="564" t="s">
        <v>10228</v>
      </c>
      <c r="BH400" s="564"/>
      <c r="BI400" s="564"/>
      <c r="BJ400" s="564"/>
      <c r="BK400" s="564"/>
      <c r="BL400" s="564"/>
      <c r="BM400" s="564"/>
      <c r="BN400" s="564"/>
      <c r="BO400" s="564"/>
      <c r="BP400" s="564"/>
      <c r="BQ400" s="564"/>
      <c r="BR400" s="564"/>
      <c r="BS400" s="564"/>
      <c r="BT400" s="564"/>
      <c r="BU400" s="564"/>
      <c r="BV400" s="564"/>
      <c r="BW400" s="564"/>
      <c r="BX400" s="564"/>
      <c r="BY400" s="564"/>
      <c r="BZ400" s="564" t="s">
        <v>10718</v>
      </c>
      <c r="CA400" s="564"/>
      <c r="CB400" s="564"/>
      <c r="CC400" s="564"/>
      <c r="CD400" s="564"/>
      <c r="CE400" s="564"/>
      <c r="CF400" s="564"/>
      <c r="CG400" s="564"/>
      <c r="CH400" s="564"/>
      <c r="CI400" s="564"/>
      <c r="CJ400" s="564"/>
      <c r="CK400" s="564"/>
      <c r="CL400" s="564"/>
      <c r="CM400" s="564"/>
      <c r="CN400" s="564"/>
      <c r="CO400" s="564"/>
      <c r="CP400" s="564"/>
      <c r="CQ400" s="564"/>
      <c r="CR400" s="564"/>
      <c r="CS400" s="564" t="s">
        <v>8391</v>
      </c>
      <c r="CT400" s="564"/>
      <c r="CU400" s="564"/>
      <c r="CV400" s="564"/>
      <c r="CW400" s="564"/>
      <c r="CX400" s="564"/>
      <c r="CY400" s="564"/>
      <c r="CZ400" s="564"/>
      <c r="DA400" s="564"/>
      <c r="DB400" s="564"/>
      <c r="DC400" s="564"/>
      <c r="DD400" s="564"/>
      <c r="DE400" s="564"/>
      <c r="DF400" s="564"/>
      <c r="DG400" s="564"/>
      <c r="DH400" s="564"/>
      <c r="DI400" s="564"/>
      <c r="DJ400" s="564"/>
      <c r="DK400" s="564"/>
      <c r="DL400" s="564" t="s">
        <v>10249</v>
      </c>
      <c r="DM400" s="564"/>
      <c r="DN400" s="564"/>
      <c r="DO400" s="564"/>
      <c r="DP400" s="564"/>
      <c r="DQ400" s="564"/>
      <c r="DR400" s="564"/>
      <c r="DS400" s="564"/>
      <c r="DT400" s="564"/>
      <c r="DU400" s="564"/>
      <c r="DV400" s="564"/>
      <c r="DW400" s="564"/>
      <c r="DX400" s="564"/>
      <c r="DY400" s="564"/>
      <c r="DZ400" s="564"/>
      <c r="EA400" s="564"/>
      <c r="EB400" s="564"/>
      <c r="EC400" s="564"/>
      <c r="ED400" s="564"/>
      <c r="EE400" s="564" t="s">
        <v>8393</v>
      </c>
      <c r="EF400" s="507"/>
      <c r="EG400" s="507"/>
      <c r="EH400" s="507"/>
      <c r="EI400" s="507"/>
      <c r="EJ400" s="507"/>
      <c r="EK400" s="507"/>
      <c r="EL400" s="507"/>
      <c r="EM400" s="507"/>
      <c r="EN400" s="507"/>
      <c r="EO400" s="507"/>
      <c r="EP400" s="507"/>
      <c r="EQ400" s="507"/>
      <c r="ER400" s="507"/>
      <c r="ES400" s="507"/>
      <c r="ET400" s="507"/>
    </row>
    <row r="401" spans="1:150" s="508" customFormat="1" ht="13.5" thickBot="1" x14ac:dyDescent="0.25">
      <c r="A401" s="567"/>
      <c r="J401" s="118" t="e">
        <f t="shared" ref="J401:P401" si="113">SUM(J399:J400)</f>
        <v>#N/A</v>
      </c>
      <c r="K401" s="118" t="e">
        <f t="shared" si="113"/>
        <v>#N/A</v>
      </c>
      <c r="L401" s="118" t="e">
        <f t="shared" si="113"/>
        <v>#N/A</v>
      </c>
      <c r="M401" s="118" t="e">
        <f t="shared" si="113"/>
        <v>#N/A</v>
      </c>
      <c r="N401" s="118" t="e">
        <f t="shared" si="113"/>
        <v>#N/A</v>
      </c>
      <c r="O401" s="118" t="e">
        <f t="shared" si="113"/>
        <v>#N/A</v>
      </c>
      <c r="P401" s="118" t="e">
        <f t="shared" si="113"/>
        <v>#N/A</v>
      </c>
      <c r="R401" s="507"/>
      <c r="S401" s="507"/>
      <c r="T401" s="507"/>
      <c r="U401" s="507"/>
      <c r="V401" s="507"/>
      <c r="W401" s="507"/>
      <c r="X401" s="507"/>
      <c r="Y401" s="507"/>
      <c r="Z401" s="507"/>
      <c r="AA401" s="507"/>
      <c r="AB401" s="507"/>
      <c r="AC401" s="507"/>
      <c r="AD401" s="507"/>
      <c r="AE401" s="507"/>
      <c r="AF401" s="507"/>
      <c r="AG401" s="507"/>
      <c r="AH401" s="507"/>
      <c r="AI401" s="507"/>
      <c r="AJ401" s="507"/>
      <c r="AK401" s="507"/>
      <c r="AL401" s="507"/>
      <c r="AM401" s="507"/>
      <c r="AN401" s="507"/>
      <c r="AO401" s="507"/>
      <c r="AP401" s="507"/>
      <c r="AQ401" s="507"/>
      <c r="AR401" s="507"/>
      <c r="AS401" s="507"/>
      <c r="AT401" s="507"/>
      <c r="AU401" s="507"/>
      <c r="AV401" s="507"/>
      <c r="AW401" s="507"/>
      <c r="AX401" s="507"/>
      <c r="AY401" s="507"/>
      <c r="AZ401" s="507"/>
      <c r="BA401" s="507"/>
      <c r="BB401" s="507"/>
      <c r="BC401" s="507"/>
      <c r="BD401" s="507"/>
      <c r="BE401" s="507"/>
      <c r="BF401" s="507"/>
      <c r="BG401" s="507"/>
      <c r="BH401" s="507"/>
      <c r="BI401" s="507"/>
      <c r="BJ401" s="507"/>
      <c r="BK401" s="507"/>
      <c r="BL401" s="507"/>
      <c r="BM401" s="507"/>
      <c r="BN401" s="507"/>
      <c r="BO401" s="507"/>
      <c r="BP401" s="507"/>
      <c r="BQ401" s="507"/>
      <c r="BR401" s="507"/>
      <c r="BS401" s="507"/>
      <c r="BT401" s="507"/>
      <c r="BU401" s="507"/>
      <c r="BV401" s="507"/>
      <c r="BW401" s="507"/>
      <c r="BX401" s="507"/>
      <c r="BY401" s="507"/>
      <c r="BZ401" s="507"/>
      <c r="CA401" s="507"/>
      <c r="CB401" s="507"/>
      <c r="CC401" s="507"/>
      <c r="CD401" s="507"/>
      <c r="CE401" s="507"/>
      <c r="CF401" s="507"/>
      <c r="CG401" s="507"/>
      <c r="CH401" s="507"/>
      <c r="CI401" s="507"/>
      <c r="CJ401" s="507"/>
      <c r="CK401" s="507"/>
      <c r="CL401" s="507"/>
      <c r="CM401" s="507"/>
      <c r="CN401" s="507"/>
      <c r="CO401" s="507"/>
      <c r="CP401" s="507"/>
      <c r="CQ401" s="507"/>
      <c r="CR401" s="507"/>
      <c r="CS401" s="507"/>
      <c r="CT401" s="507"/>
      <c r="CU401" s="507"/>
      <c r="CV401" s="507"/>
      <c r="CW401" s="507"/>
      <c r="CX401" s="507"/>
      <c r="CY401" s="507"/>
      <c r="CZ401" s="507"/>
      <c r="DA401" s="507"/>
      <c r="DB401" s="507"/>
      <c r="DC401" s="507"/>
      <c r="DD401" s="507"/>
      <c r="DE401" s="507"/>
      <c r="DF401" s="507"/>
      <c r="DG401" s="507"/>
      <c r="DH401" s="507"/>
      <c r="DI401" s="507"/>
      <c r="DJ401" s="507"/>
      <c r="DK401" s="507"/>
      <c r="DL401" s="507"/>
      <c r="DM401" s="507"/>
      <c r="DN401" s="507"/>
      <c r="DO401" s="507"/>
      <c r="DP401" s="507"/>
      <c r="DQ401" s="507"/>
      <c r="DR401" s="507"/>
      <c r="DS401" s="507"/>
      <c r="DT401" s="507"/>
      <c r="DU401" s="507"/>
      <c r="DV401" s="507"/>
      <c r="DW401" s="507"/>
      <c r="DX401" s="507"/>
      <c r="DY401" s="507"/>
      <c r="DZ401" s="507"/>
      <c r="EA401" s="507"/>
      <c r="EB401" s="507"/>
      <c r="EC401" s="507"/>
      <c r="ED401" s="507"/>
      <c r="EE401" s="507"/>
      <c r="EF401" s="507"/>
      <c r="EG401" s="507"/>
      <c r="EH401" s="507"/>
      <c r="EI401" s="507"/>
      <c r="EJ401" s="507"/>
      <c r="EK401" s="507"/>
      <c r="EL401" s="507"/>
      <c r="EM401" s="507"/>
      <c r="EN401" s="507"/>
      <c r="EO401" s="507"/>
      <c r="EP401" s="507"/>
      <c r="EQ401" s="507"/>
      <c r="ER401" s="507"/>
      <c r="ES401" s="507"/>
      <c r="ET401" s="507"/>
    </row>
    <row r="402" spans="1:150" s="508" customFormat="1" ht="13.5" thickTop="1" x14ac:dyDescent="0.2">
      <c r="A402" s="567"/>
      <c r="R402" s="507"/>
      <c r="S402" s="507"/>
      <c r="T402" s="507"/>
      <c r="U402" s="507"/>
      <c r="V402" s="507"/>
      <c r="W402" s="507"/>
      <c r="X402" s="507"/>
      <c r="Y402" s="507"/>
      <c r="Z402" s="507"/>
      <c r="AA402" s="507"/>
      <c r="AB402" s="507"/>
      <c r="AC402" s="507"/>
      <c r="AD402" s="507"/>
      <c r="AE402" s="507"/>
      <c r="AF402" s="507"/>
      <c r="AG402" s="507"/>
      <c r="AH402" s="507"/>
      <c r="AI402" s="507"/>
      <c r="AJ402" s="507"/>
      <c r="AK402" s="507"/>
      <c r="AL402" s="507"/>
      <c r="AM402" s="507"/>
      <c r="AN402" s="507"/>
      <c r="AO402" s="507"/>
      <c r="AP402" s="507"/>
      <c r="AQ402" s="507"/>
      <c r="AR402" s="507"/>
      <c r="AS402" s="507"/>
      <c r="AT402" s="507"/>
      <c r="AU402" s="507"/>
      <c r="AV402" s="507"/>
      <c r="AW402" s="507"/>
      <c r="AX402" s="507"/>
      <c r="AY402" s="507"/>
      <c r="AZ402" s="507"/>
      <c r="BA402" s="507"/>
      <c r="BB402" s="507"/>
      <c r="BC402" s="507"/>
      <c r="BD402" s="507"/>
      <c r="BE402" s="507"/>
      <c r="BF402" s="507"/>
      <c r="BG402" s="507"/>
      <c r="BH402" s="507"/>
      <c r="BI402" s="507"/>
      <c r="BJ402" s="507"/>
      <c r="BK402" s="507"/>
      <c r="BL402" s="507"/>
      <c r="BM402" s="507"/>
      <c r="BN402" s="507"/>
      <c r="BO402" s="507"/>
      <c r="BP402" s="507"/>
      <c r="BQ402" s="507"/>
      <c r="BR402" s="507"/>
      <c r="BS402" s="507"/>
      <c r="BT402" s="507"/>
      <c r="BU402" s="507"/>
      <c r="BV402" s="507"/>
      <c r="BW402" s="507"/>
      <c r="BX402" s="507"/>
      <c r="BY402" s="507"/>
      <c r="BZ402" s="507"/>
      <c r="CA402" s="507"/>
      <c r="CB402" s="507"/>
      <c r="CC402" s="507"/>
      <c r="CD402" s="507"/>
      <c r="CE402" s="507"/>
      <c r="CF402" s="507"/>
      <c r="CG402" s="507"/>
      <c r="CH402" s="507"/>
      <c r="CI402" s="507"/>
      <c r="CJ402" s="507"/>
      <c r="CK402" s="507"/>
      <c r="CL402" s="507"/>
      <c r="CM402" s="507"/>
      <c r="CN402" s="507"/>
      <c r="CO402" s="507"/>
      <c r="CP402" s="507"/>
      <c r="CQ402" s="507"/>
      <c r="CR402" s="507"/>
      <c r="CS402" s="507"/>
      <c r="CT402" s="507"/>
      <c r="CU402" s="507"/>
      <c r="CV402" s="507"/>
      <c r="CW402" s="507"/>
      <c r="CX402" s="507"/>
      <c r="CY402" s="507"/>
      <c r="CZ402" s="507"/>
      <c r="DA402" s="507"/>
      <c r="DB402" s="507"/>
      <c r="DC402" s="507"/>
      <c r="DD402" s="507"/>
      <c r="DE402" s="507"/>
      <c r="DF402" s="507"/>
      <c r="DG402" s="507"/>
      <c r="DH402" s="507"/>
      <c r="DI402" s="507"/>
      <c r="DJ402" s="507"/>
      <c r="DK402" s="507"/>
      <c r="DL402" s="507"/>
      <c r="DM402" s="507"/>
      <c r="DN402" s="507"/>
      <c r="DO402" s="507"/>
      <c r="DP402" s="507"/>
      <c r="DQ402" s="507"/>
      <c r="DR402" s="507"/>
      <c r="DS402" s="507"/>
      <c r="DT402" s="507"/>
      <c r="DU402" s="507"/>
      <c r="DV402" s="507"/>
      <c r="DW402" s="507"/>
      <c r="DX402" s="507"/>
      <c r="DY402" s="507"/>
      <c r="DZ402" s="507"/>
      <c r="EA402" s="507"/>
      <c r="EB402" s="507"/>
      <c r="EC402" s="507"/>
      <c r="ED402" s="507"/>
      <c r="EE402" s="507"/>
      <c r="EF402" s="507"/>
      <c r="EG402" s="507"/>
      <c r="EH402" s="507"/>
      <c r="EI402" s="507"/>
      <c r="EJ402" s="507"/>
      <c r="EK402" s="507"/>
      <c r="EL402" s="507"/>
      <c r="EM402" s="507"/>
      <c r="EN402" s="507"/>
      <c r="EO402" s="507"/>
      <c r="EP402" s="507"/>
      <c r="EQ402" s="507"/>
      <c r="ER402" s="507"/>
      <c r="ES402" s="507"/>
      <c r="ET402" s="507"/>
    </row>
    <row r="403" spans="1:150" s="508" customFormat="1" x14ac:dyDescent="0.2">
      <c r="A403" s="567"/>
      <c r="B403" s="624" t="str">
        <f ca="1">IF(OFFSET(T403,0,Lang_Order*Lang__B4)="","",OFFSET(T403,0,Lang_Order*Lang__B4))</f>
        <v>Cold chain transportation from regional store to fixed sites (UCC ONLY)</v>
      </c>
      <c r="D403" s="47"/>
      <c r="J403" s="2" t="e">
        <f t="shared" ref="J403:O403" si="114">IF(J104&gt;0,1,0)</f>
        <v>#N/A</v>
      </c>
      <c r="K403" s="2" t="e">
        <f t="shared" si="114"/>
        <v>#N/A</v>
      </c>
      <c r="L403" s="2" t="e">
        <f t="shared" si="114"/>
        <v>#N/A</v>
      </c>
      <c r="M403" s="2" t="e">
        <f t="shared" si="114"/>
        <v>#N/A</v>
      </c>
      <c r="N403" s="2" t="e">
        <f t="shared" si="114"/>
        <v>#N/A</v>
      </c>
      <c r="O403" s="2" t="e">
        <f t="shared" si="114"/>
        <v>#N/A</v>
      </c>
      <c r="R403" s="507"/>
      <c r="S403" s="507"/>
      <c r="T403" s="507" t="s">
        <v>4541</v>
      </c>
      <c r="U403" s="507"/>
      <c r="V403" s="507"/>
      <c r="W403" s="507"/>
      <c r="X403" s="507"/>
      <c r="Y403" s="507"/>
      <c r="Z403" s="507"/>
      <c r="AA403" s="507"/>
      <c r="AB403" s="507"/>
      <c r="AC403" s="507"/>
      <c r="AD403" s="507"/>
      <c r="AE403" s="507"/>
      <c r="AF403" s="507"/>
      <c r="AG403" s="507"/>
      <c r="AH403" s="507"/>
      <c r="AI403" s="507"/>
      <c r="AJ403" s="507"/>
      <c r="AK403" s="507"/>
      <c r="AL403" s="507"/>
      <c r="AM403" s="507" t="s">
        <v>13462</v>
      </c>
      <c r="AN403" s="507"/>
      <c r="AO403" s="507"/>
      <c r="AP403" s="507"/>
      <c r="AQ403" s="507"/>
      <c r="AR403" s="507"/>
      <c r="AS403" s="507"/>
      <c r="AT403" s="507"/>
      <c r="AU403" s="507"/>
      <c r="AV403" s="507"/>
      <c r="AW403" s="507"/>
      <c r="AX403" s="507"/>
      <c r="AY403" s="507"/>
      <c r="AZ403" s="507"/>
      <c r="BA403" s="507"/>
      <c r="BB403" s="507"/>
      <c r="BC403" s="507"/>
      <c r="BD403" s="507"/>
      <c r="BE403" s="507"/>
      <c r="BF403" s="507" t="s">
        <v>13463</v>
      </c>
      <c r="BG403" s="507"/>
      <c r="BH403" s="507"/>
      <c r="BI403" s="507"/>
      <c r="BJ403" s="507"/>
      <c r="BK403" s="507"/>
      <c r="BL403" s="507"/>
      <c r="BM403" s="507"/>
      <c r="BN403" s="507"/>
      <c r="BO403" s="507"/>
      <c r="BP403" s="507"/>
      <c r="BQ403" s="507"/>
      <c r="BR403" s="507"/>
      <c r="BS403" s="507"/>
      <c r="BT403" s="507"/>
      <c r="BU403" s="507"/>
      <c r="BV403" s="507"/>
      <c r="BW403" s="507"/>
      <c r="BX403" s="507"/>
      <c r="BY403" s="507" t="s">
        <v>13464</v>
      </c>
      <c r="BZ403" s="507"/>
      <c r="CA403" s="507"/>
      <c r="CB403" s="507"/>
      <c r="CC403" s="507"/>
      <c r="CD403" s="507"/>
      <c r="CE403" s="507"/>
      <c r="CF403" s="507"/>
      <c r="CG403" s="507"/>
      <c r="CH403" s="507"/>
      <c r="CI403" s="507"/>
      <c r="CJ403" s="507"/>
      <c r="CK403" s="507"/>
      <c r="CL403" s="507"/>
      <c r="CM403" s="507"/>
      <c r="CN403" s="507"/>
      <c r="CO403" s="507"/>
      <c r="CP403" s="507"/>
      <c r="CQ403" s="507"/>
      <c r="CR403" s="507" t="s">
        <v>13465</v>
      </c>
      <c r="CS403" s="507"/>
      <c r="CT403" s="507"/>
      <c r="CU403" s="507"/>
      <c r="CV403" s="507"/>
      <c r="CW403" s="507"/>
      <c r="CX403" s="507"/>
      <c r="CY403" s="507"/>
      <c r="CZ403" s="507"/>
      <c r="DA403" s="507"/>
      <c r="DB403" s="507"/>
      <c r="DC403" s="507"/>
      <c r="DD403" s="507"/>
      <c r="DE403" s="507"/>
      <c r="DF403" s="507"/>
      <c r="DG403" s="507"/>
      <c r="DH403" s="507"/>
      <c r="DI403" s="507"/>
      <c r="DJ403" s="507"/>
      <c r="DK403" s="507" t="s">
        <v>13466</v>
      </c>
      <c r="DL403" s="507"/>
      <c r="DM403" s="507"/>
      <c r="DN403" s="507"/>
      <c r="DO403" s="507"/>
      <c r="DP403" s="507"/>
      <c r="DQ403" s="507"/>
      <c r="DR403" s="507"/>
      <c r="DS403" s="507"/>
      <c r="DT403" s="507"/>
      <c r="DU403" s="507"/>
      <c r="DV403" s="507"/>
      <c r="DW403" s="507"/>
      <c r="DX403" s="507"/>
      <c r="DY403" s="507"/>
      <c r="DZ403" s="507"/>
      <c r="EA403" s="507"/>
      <c r="EB403" s="507"/>
      <c r="EC403" s="507"/>
      <c r="ED403" s="507" t="s">
        <v>13467</v>
      </c>
      <c r="EE403" s="507"/>
      <c r="EF403" s="507"/>
      <c r="EG403" s="507"/>
      <c r="EH403" s="507"/>
      <c r="EI403" s="507"/>
      <c r="EJ403" s="507"/>
      <c r="EK403" s="507"/>
      <c r="EL403" s="507"/>
      <c r="EM403" s="507"/>
      <c r="EN403" s="507"/>
      <c r="EO403" s="507"/>
      <c r="EP403" s="507"/>
      <c r="EQ403" s="507"/>
      <c r="ER403" s="507"/>
      <c r="ES403" s="507"/>
      <c r="ET403" s="507"/>
    </row>
    <row r="404" spans="1:150" s="508" customFormat="1" x14ac:dyDescent="0.2">
      <c r="A404" s="567"/>
      <c r="B404" s="34"/>
      <c r="D404" s="34" t="str">
        <f ca="1">IF(OFFSET(V404,0,Lang_Order*Lang__B4)="","",OFFSET(V404,0,Lang_Order*Lang__B4))</f>
        <v>Per Trip</v>
      </c>
      <c r="J404" s="2"/>
      <c r="K404" s="2"/>
      <c r="L404" s="2"/>
      <c r="M404" s="2"/>
      <c r="N404" s="2"/>
      <c r="O404" s="2"/>
      <c r="R404" s="507"/>
      <c r="S404" s="507"/>
      <c r="T404" s="507"/>
      <c r="U404" s="507"/>
      <c r="V404" s="507" t="s">
        <v>2652</v>
      </c>
      <c r="W404" s="507"/>
      <c r="X404" s="507"/>
      <c r="Y404" s="507"/>
      <c r="Z404" s="507"/>
      <c r="AA404" s="507"/>
      <c r="AB404" s="507"/>
      <c r="AC404" s="507"/>
      <c r="AD404" s="507"/>
      <c r="AE404" s="507"/>
      <c r="AF404" s="507"/>
      <c r="AG404" s="507"/>
      <c r="AH404" s="507"/>
      <c r="AI404" s="507"/>
      <c r="AJ404" s="507"/>
      <c r="AK404" s="507"/>
      <c r="AL404" s="507"/>
      <c r="AM404" s="507"/>
      <c r="AN404" s="507"/>
      <c r="AO404" s="507" t="s">
        <v>8372</v>
      </c>
      <c r="AP404" s="507"/>
      <c r="AQ404" s="507"/>
      <c r="AR404" s="507"/>
      <c r="AS404" s="507"/>
      <c r="AT404" s="507"/>
      <c r="AU404" s="507"/>
      <c r="AV404" s="507"/>
      <c r="AW404" s="507"/>
      <c r="AX404" s="507"/>
      <c r="AY404" s="507"/>
      <c r="AZ404" s="507"/>
      <c r="BA404" s="507"/>
      <c r="BB404" s="507"/>
      <c r="BC404" s="507"/>
      <c r="BD404" s="507"/>
      <c r="BE404" s="507"/>
      <c r="BF404" s="507"/>
      <c r="BG404" s="507"/>
      <c r="BH404" s="507" t="s">
        <v>8374</v>
      </c>
      <c r="BI404" s="507"/>
      <c r="BJ404" s="507"/>
      <c r="BK404" s="507"/>
      <c r="BL404" s="507"/>
      <c r="BM404" s="507"/>
      <c r="BN404" s="507"/>
      <c r="BO404" s="507"/>
      <c r="BP404" s="507"/>
      <c r="BQ404" s="507"/>
      <c r="BR404" s="507"/>
      <c r="BS404" s="507"/>
      <c r="BT404" s="507"/>
      <c r="BU404" s="507"/>
      <c r="BV404" s="507"/>
      <c r="BW404" s="507"/>
      <c r="BX404" s="507"/>
      <c r="BY404" s="507"/>
      <c r="BZ404" s="507"/>
      <c r="CA404" s="507" t="s">
        <v>11421</v>
      </c>
      <c r="CB404" s="507"/>
      <c r="CC404" s="507"/>
      <c r="CD404" s="507"/>
      <c r="CE404" s="507"/>
      <c r="CF404" s="507"/>
      <c r="CG404" s="507"/>
      <c r="CH404" s="507"/>
      <c r="CI404" s="507"/>
      <c r="CJ404" s="507"/>
      <c r="CK404" s="507"/>
      <c r="CL404" s="507"/>
      <c r="CM404" s="507"/>
      <c r="CN404" s="507"/>
      <c r="CO404" s="507"/>
      <c r="CP404" s="507"/>
      <c r="CQ404" s="507"/>
      <c r="CR404" s="507"/>
      <c r="CS404" s="507"/>
      <c r="CT404" s="507" t="s">
        <v>11422</v>
      </c>
      <c r="CU404" s="507"/>
      <c r="CV404" s="507"/>
      <c r="CW404" s="507"/>
      <c r="CX404" s="507"/>
      <c r="CY404" s="507"/>
      <c r="CZ404" s="507"/>
      <c r="DA404" s="507"/>
      <c r="DB404" s="507"/>
      <c r="DC404" s="507"/>
      <c r="DD404" s="507"/>
      <c r="DE404" s="507"/>
      <c r="DF404" s="507"/>
      <c r="DG404" s="507"/>
      <c r="DH404" s="507"/>
      <c r="DI404" s="507"/>
      <c r="DJ404" s="507"/>
      <c r="DK404" s="507"/>
      <c r="DL404" s="507"/>
      <c r="DM404" s="507" t="s">
        <v>8412</v>
      </c>
      <c r="DN404" s="507"/>
      <c r="DO404" s="507"/>
      <c r="DP404" s="507"/>
      <c r="DQ404" s="507"/>
      <c r="DR404" s="507"/>
      <c r="DS404" s="507"/>
      <c r="DT404" s="507"/>
      <c r="DU404" s="507"/>
      <c r="DV404" s="507"/>
      <c r="DW404" s="507"/>
      <c r="DX404" s="507"/>
      <c r="DY404" s="507"/>
      <c r="DZ404" s="507"/>
      <c r="EA404" s="507"/>
      <c r="EB404" s="507"/>
      <c r="EC404" s="507"/>
      <c r="ED404" s="507"/>
      <c r="EE404" s="507"/>
      <c r="EF404" s="507" t="s">
        <v>8380</v>
      </c>
      <c r="EG404" s="507"/>
      <c r="EH404" s="507"/>
      <c r="EI404" s="507"/>
      <c r="EJ404" s="507"/>
      <c r="EK404" s="507"/>
      <c r="EL404" s="507"/>
      <c r="EM404" s="507"/>
      <c r="EN404" s="507"/>
      <c r="EO404" s="507"/>
      <c r="EP404" s="507"/>
      <c r="EQ404" s="507"/>
      <c r="ER404" s="507"/>
      <c r="ES404" s="507"/>
      <c r="ET404" s="507"/>
    </row>
    <row r="405" spans="1:150" s="508" customFormat="1" x14ac:dyDescent="0.2">
      <c r="A405" s="567"/>
      <c r="C405" s="270" t="str">
        <f ca="1">IF(OFFSET(U405,0,Lang_Order*Lang__B4)="","",OFFSET(U405,0,Lang_Order*Lang__B4))</f>
        <v>UCC Vaccine in 2 to 8C</v>
      </c>
      <c r="D405" s="11" t="e">
        <f>'A3. INPUT Unit Costs'!I126</f>
        <v>#N/A</v>
      </c>
      <c r="J405" s="300" t="e">
        <f t="shared" ref="J405:O405" si="115">IF(J104=0,0,$D405*Pop_HCW_CS_Sites*J$202)</f>
        <v>#N/A</v>
      </c>
      <c r="K405" s="300" t="e">
        <f t="shared" si="115"/>
        <v>#N/A</v>
      </c>
      <c r="L405" s="300" t="e">
        <f t="shared" si="115"/>
        <v>#N/A</v>
      </c>
      <c r="M405" s="300" t="e">
        <f t="shared" si="115"/>
        <v>#N/A</v>
      </c>
      <c r="N405" s="300" t="e">
        <f t="shared" si="115"/>
        <v>#N/A</v>
      </c>
      <c r="O405" s="300" t="e">
        <f t="shared" si="115"/>
        <v>#N/A</v>
      </c>
      <c r="P405" s="300" t="e">
        <f t="shared" ref="P405" si="116">SUM(J405:O405)</f>
        <v>#N/A</v>
      </c>
      <c r="Q405" s="12" t="str">
        <f ca="1">IF(OFFSET(AI405,0,Lang_Order*Lang__B4)="","",OFFSET(AI405,0,Lang_Order*Lang__B4))</f>
        <v>Costing model would assume 2-8C below regional level - as per 5 days stability for BNT162b2. Frequent trips are needed - may be costly!</v>
      </c>
      <c r="R405" s="507"/>
      <c r="S405" s="507"/>
      <c r="T405" s="507"/>
      <c r="U405" s="507" t="s">
        <v>4546</v>
      </c>
      <c r="V405" s="507"/>
      <c r="W405" s="507"/>
      <c r="X405" s="507"/>
      <c r="Y405" s="507"/>
      <c r="Z405" s="507"/>
      <c r="AA405" s="507"/>
      <c r="AB405" s="507"/>
      <c r="AC405" s="507"/>
      <c r="AD405" s="507"/>
      <c r="AE405" s="507"/>
      <c r="AF405" s="507"/>
      <c r="AG405" s="507"/>
      <c r="AH405" s="507"/>
      <c r="AI405" s="507" t="s">
        <v>4549</v>
      </c>
      <c r="AJ405" s="507"/>
      <c r="AK405" s="507"/>
      <c r="AL405" s="507"/>
      <c r="AM405" s="507"/>
      <c r="AN405" s="507" t="s">
        <v>13438</v>
      </c>
      <c r="AO405" s="507"/>
      <c r="AP405" s="507"/>
      <c r="AQ405" s="507"/>
      <c r="AR405" s="507"/>
      <c r="AS405" s="507"/>
      <c r="AT405" s="507"/>
      <c r="AU405" s="507"/>
      <c r="AV405" s="507"/>
      <c r="AW405" s="507"/>
      <c r="AX405" s="507"/>
      <c r="AY405" s="507"/>
      <c r="AZ405" s="507"/>
      <c r="BA405" s="507"/>
      <c r="BB405" s="507" t="s">
        <v>13474</v>
      </c>
      <c r="BC405" s="507"/>
      <c r="BD405" s="507"/>
      <c r="BE405" s="507"/>
      <c r="BF405" s="507"/>
      <c r="BG405" s="507" t="s">
        <v>13439</v>
      </c>
      <c r="BH405" s="507"/>
      <c r="BI405" s="507"/>
      <c r="BJ405" s="507"/>
      <c r="BK405" s="507"/>
      <c r="BL405" s="507"/>
      <c r="BM405" s="507"/>
      <c r="BN405" s="507"/>
      <c r="BO405" s="507"/>
      <c r="BP405" s="507"/>
      <c r="BQ405" s="507"/>
      <c r="BR405" s="507"/>
      <c r="BS405" s="507"/>
      <c r="BT405" s="507"/>
      <c r="BU405" s="507" t="s">
        <v>13475</v>
      </c>
      <c r="BV405" s="507"/>
      <c r="BW405" s="507"/>
      <c r="BX405" s="507"/>
      <c r="BY405" s="507"/>
      <c r="BZ405" s="507" t="s">
        <v>13440</v>
      </c>
      <c r="CA405" s="507"/>
      <c r="CB405" s="507"/>
      <c r="CC405" s="507"/>
      <c r="CD405" s="507"/>
      <c r="CE405" s="507"/>
      <c r="CF405" s="507"/>
      <c r="CG405" s="507"/>
      <c r="CH405" s="507"/>
      <c r="CI405" s="507"/>
      <c r="CJ405" s="507"/>
      <c r="CK405" s="507"/>
      <c r="CL405" s="507"/>
      <c r="CM405" s="507"/>
      <c r="CN405" s="507" t="s">
        <v>13476</v>
      </c>
      <c r="CO405" s="507"/>
      <c r="CP405" s="507"/>
      <c r="CQ405" s="507"/>
      <c r="CR405" s="507"/>
      <c r="CS405" s="507" t="s">
        <v>13441</v>
      </c>
      <c r="CT405" s="507"/>
      <c r="CU405" s="507"/>
      <c r="CV405" s="507"/>
      <c r="CW405" s="507"/>
      <c r="CX405" s="507"/>
      <c r="CY405" s="507"/>
      <c r="CZ405" s="507"/>
      <c r="DA405" s="507"/>
      <c r="DB405" s="507"/>
      <c r="DC405" s="507"/>
      <c r="DD405" s="507"/>
      <c r="DE405" s="507"/>
      <c r="DF405" s="507"/>
      <c r="DG405" s="507" t="s">
        <v>13477</v>
      </c>
      <c r="DH405" s="507"/>
      <c r="DI405" s="507"/>
      <c r="DJ405" s="507"/>
      <c r="DK405" s="507"/>
      <c r="DL405" s="507" t="s">
        <v>13442</v>
      </c>
      <c r="DM405" s="507"/>
      <c r="DN405" s="507"/>
      <c r="DO405" s="507"/>
      <c r="DP405" s="507"/>
      <c r="DQ405" s="507"/>
      <c r="DR405" s="507"/>
      <c r="DS405" s="507"/>
      <c r="DT405" s="507"/>
      <c r="DU405" s="507"/>
      <c r="DV405" s="507"/>
      <c r="DW405" s="507"/>
      <c r="DX405" s="507"/>
      <c r="DY405" s="507"/>
      <c r="DZ405" s="507" t="s">
        <v>13478</v>
      </c>
      <c r="EA405" s="507"/>
      <c r="EB405" s="507"/>
      <c r="EC405" s="507"/>
      <c r="ED405" s="507"/>
      <c r="EE405" s="507" t="s">
        <v>13443</v>
      </c>
      <c r="EF405" s="507"/>
      <c r="EG405" s="507"/>
      <c r="EH405" s="507"/>
      <c r="EI405" s="507"/>
      <c r="EJ405" s="507"/>
      <c r="EK405" s="507"/>
      <c r="EL405" s="507"/>
      <c r="EM405" s="507"/>
      <c r="EN405" s="507"/>
      <c r="EO405" s="507"/>
      <c r="EP405" s="507"/>
      <c r="EQ405" s="507"/>
      <c r="ER405" s="507"/>
      <c r="ES405" s="507" t="s">
        <v>13479</v>
      </c>
      <c r="ET405" s="507"/>
    </row>
    <row r="406" spans="1:150" s="508" customFormat="1" ht="13.5" thickBot="1" x14ac:dyDescent="0.25">
      <c r="A406" s="567"/>
      <c r="J406" s="118" t="e">
        <f>SUM(J405)</f>
        <v>#N/A</v>
      </c>
      <c r="K406" s="118" t="e">
        <f t="shared" ref="K406:P406" si="117">SUM(K405)</f>
        <v>#N/A</v>
      </c>
      <c r="L406" s="118" t="e">
        <f t="shared" si="117"/>
        <v>#N/A</v>
      </c>
      <c r="M406" s="118" t="e">
        <f t="shared" si="117"/>
        <v>#N/A</v>
      </c>
      <c r="N406" s="118" t="e">
        <f t="shared" si="117"/>
        <v>#N/A</v>
      </c>
      <c r="O406" s="118" t="e">
        <f t="shared" si="117"/>
        <v>#N/A</v>
      </c>
      <c r="P406" s="118" t="e">
        <f t="shared" si="117"/>
        <v>#N/A</v>
      </c>
      <c r="R406" s="507"/>
      <c r="S406" s="507"/>
      <c r="T406" s="507"/>
      <c r="U406" s="507"/>
      <c r="V406" s="507"/>
      <c r="W406" s="507"/>
      <c r="X406" s="507"/>
      <c r="Y406" s="507"/>
      <c r="Z406" s="507"/>
      <c r="AA406" s="507"/>
      <c r="AB406" s="507"/>
      <c r="AC406" s="507"/>
      <c r="AD406" s="507"/>
      <c r="AE406" s="507"/>
      <c r="AF406" s="507"/>
      <c r="AG406" s="507"/>
      <c r="AH406" s="507"/>
      <c r="AI406" s="507"/>
      <c r="AJ406" s="507"/>
      <c r="AK406" s="507"/>
      <c r="AL406" s="507"/>
      <c r="AM406" s="507"/>
      <c r="AN406" s="507"/>
      <c r="AO406" s="507"/>
      <c r="AP406" s="507"/>
      <c r="AQ406" s="507"/>
      <c r="AR406" s="507"/>
      <c r="AS406" s="507"/>
      <c r="AT406" s="507"/>
      <c r="AU406" s="507"/>
      <c r="AV406" s="507"/>
      <c r="AW406" s="507"/>
      <c r="AX406" s="507"/>
      <c r="AY406" s="507"/>
      <c r="AZ406" s="507"/>
      <c r="BA406" s="507"/>
      <c r="BB406" s="507"/>
      <c r="BC406" s="507"/>
      <c r="BD406" s="507"/>
      <c r="BE406" s="507"/>
      <c r="BF406" s="507"/>
      <c r="BG406" s="507"/>
      <c r="BH406" s="507"/>
      <c r="BI406" s="507"/>
      <c r="BJ406" s="507"/>
      <c r="BK406" s="507"/>
      <c r="BL406" s="507"/>
      <c r="BM406" s="507"/>
      <c r="BN406" s="507"/>
      <c r="BO406" s="507"/>
      <c r="BP406" s="507"/>
      <c r="BQ406" s="507"/>
      <c r="BR406" s="507"/>
      <c r="BS406" s="507"/>
      <c r="BT406" s="507"/>
      <c r="BU406" s="507"/>
      <c r="BV406" s="507"/>
      <c r="BW406" s="507"/>
      <c r="BX406" s="507"/>
      <c r="BY406" s="507"/>
      <c r="BZ406" s="507"/>
      <c r="CA406" s="507"/>
      <c r="CB406" s="507"/>
      <c r="CC406" s="507"/>
      <c r="CD406" s="507"/>
      <c r="CE406" s="507"/>
      <c r="CF406" s="507"/>
      <c r="CG406" s="507"/>
      <c r="CH406" s="507"/>
      <c r="CI406" s="507"/>
      <c r="CJ406" s="507"/>
      <c r="CK406" s="507"/>
      <c r="CL406" s="507"/>
      <c r="CM406" s="507"/>
      <c r="CN406" s="507"/>
      <c r="CO406" s="507"/>
      <c r="CP406" s="507"/>
      <c r="CQ406" s="507"/>
      <c r="CR406" s="507"/>
      <c r="CS406" s="507"/>
      <c r="CT406" s="507"/>
      <c r="CU406" s="507"/>
      <c r="CV406" s="507"/>
      <c r="CW406" s="507"/>
      <c r="CX406" s="507"/>
      <c r="CY406" s="507"/>
      <c r="CZ406" s="507"/>
      <c r="DA406" s="507"/>
      <c r="DB406" s="507"/>
      <c r="DC406" s="507"/>
      <c r="DD406" s="507"/>
      <c r="DE406" s="507"/>
      <c r="DF406" s="507"/>
      <c r="DG406" s="507"/>
      <c r="DH406" s="507"/>
      <c r="DI406" s="507"/>
      <c r="DJ406" s="507"/>
      <c r="DK406" s="507"/>
      <c r="DL406" s="507"/>
      <c r="DM406" s="507"/>
      <c r="DN406" s="507"/>
      <c r="DO406" s="507"/>
      <c r="DP406" s="507"/>
      <c r="DQ406" s="507"/>
      <c r="DR406" s="507"/>
      <c r="DS406" s="507"/>
      <c r="DT406" s="507"/>
      <c r="DU406" s="507"/>
      <c r="DV406" s="507"/>
      <c r="DW406" s="507"/>
      <c r="DX406" s="507"/>
      <c r="DY406" s="507"/>
      <c r="DZ406" s="507"/>
      <c r="EA406" s="507"/>
      <c r="EB406" s="507"/>
      <c r="EC406" s="507"/>
      <c r="ED406" s="507"/>
      <c r="EE406" s="507"/>
      <c r="EF406" s="507"/>
      <c r="EG406" s="507"/>
      <c r="EH406" s="507"/>
      <c r="EI406" s="507"/>
      <c r="EJ406" s="507"/>
      <c r="EK406" s="507"/>
      <c r="EL406" s="507"/>
      <c r="EM406" s="507"/>
      <c r="EN406" s="507"/>
      <c r="EO406" s="507"/>
      <c r="EP406" s="507"/>
      <c r="EQ406" s="507"/>
      <c r="ER406" s="507"/>
      <c r="ES406" s="507"/>
      <c r="ET406" s="507"/>
    </row>
    <row r="407" spans="1:150" s="508" customFormat="1" ht="13.5" thickTop="1" x14ac:dyDescent="0.2">
      <c r="A407" s="567"/>
      <c r="R407" s="507"/>
      <c r="S407" s="507"/>
      <c r="T407" s="507"/>
      <c r="U407" s="507"/>
      <c r="V407" s="507"/>
      <c r="W407" s="507"/>
      <c r="X407" s="507"/>
      <c r="Y407" s="507"/>
      <c r="Z407" s="507"/>
      <c r="AA407" s="507"/>
      <c r="AB407" s="507"/>
      <c r="AC407" s="507"/>
      <c r="AD407" s="507"/>
      <c r="AE407" s="507"/>
      <c r="AF407" s="507"/>
      <c r="AG407" s="507"/>
      <c r="AH407" s="507"/>
      <c r="AI407" s="507"/>
      <c r="AJ407" s="507"/>
      <c r="AK407" s="507"/>
      <c r="AL407" s="507"/>
      <c r="AM407" s="507"/>
      <c r="AN407" s="507"/>
      <c r="AO407" s="507"/>
      <c r="AP407" s="507"/>
      <c r="AQ407" s="507"/>
      <c r="AR407" s="507"/>
      <c r="AS407" s="507"/>
      <c r="AT407" s="507"/>
      <c r="AU407" s="507"/>
      <c r="AV407" s="507"/>
      <c r="AW407" s="507"/>
      <c r="AX407" s="507"/>
      <c r="AY407" s="507"/>
      <c r="AZ407" s="507"/>
      <c r="BA407" s="507"/>
      <c r="BB407" s="507"/>
      <c r="BC407" s="507"/>
      <c r="BD407" s="507"/>
      <c r="BE407" s="507"/>
      <c r="BF407" s="507"/>
      <c r="BG407" s="507"/>
      <c r="BH407" s="507"/>
      <c r="BI407" s="507"/>
      <c r="BJ407" s="507"/>
      <c r="BK407" s="507"/>
      <c r="BL407" s="507"/>
      <c r="BM407" s="507"/>
      <c r="BN407" s="507"/>
      <c r="BO407" s="507"/>
      <c r="BP407" s="507"/>
      <c r="BQ407" s="507"/>
      <c r="BR407" s="507"/>
      <c r="BS407" s="507"/>
      <c r="BT407" s="507"/>
      <c r="BU407" s="507"/>
      <c r="BV407" s="507"/>
      <c r="BW407" s="507"/>
      <c r="BX407" s="507"/>
      <c r="BY407" s="507"/>
      <c r="BZ407" s="507"/>
      <c r="CA407" s="507"/>
      <c r="CB407" s="507"/>
      <c r="CC407" s="507"/>
      <c r="CD407" s="507"/>
      <c r="CE407" s="507"/>
      <c r="CF407" s="507"/>
      <c r="CG407" s="507"/>
      <c r="CH407" s="507"/>
      <c r="CI407" s="507"/>
      <c r="CJ407" s="507"/>
      <c r="CK407" s="507"/>
      <c r="CL407" s="507"/>
      <c r="CM407" s="507"/>
      <c r="CN407" s="507"/>
      <c r="CO407" s="507"/>
      <c r="CP407" s="507"/>
      <c r="CQ407" s="507"/>
      <c r="CR407" s="507"/>
      <c r="CS407" s="507"/>
      <c r="CT407" s="507"/>
      <c r="CU407" s="507"/>
      <c r="CV407" s="507"/>
      <c r="CW407" s="507"/>
      <c r="CX407" s="507"/>
      <c r="CY407" s="507"/>
      <c r="CZ407" s="507"/>
      <c r="DA407" s="507"/>
      <c r="DB407" s="507"/>
      <c r="DC407" s="507"/>
      <c r="DD407" s="507"/>
      <c r="DE407" s="507"/>
      <c r="DF407" s="507"/>
      <c r="DG407" s="507"/>
      <c r="DH407" s="507"/>
      <c r="DI407" s="507"/>
      <c r="DJ407" s="507"/>
      <c r="DK407" s="507"/>
      <c r="DL407" s="507"/>
      <c r="DM407" s="507"/>
      <c r="DN407" s="507"/>
      <c r="DO407" s="507"/>
      <c r="DP407" s="507"/>
      <c r="DQ407" s="507"/>
      <c r="DR407" s="507"/>
      <c r="DS407" s="507"/>
      <c r="DT407" s="507"/>
      <c r="DU407" s="507"/>
      <c r="DV407" s="507"/>
      <c r="DW407" s="507"/>
      <c r="DX407" s="507"/>
      <c r="DY407" s="507"/>
      <c r="DZ407" s="507"/>
      <c r="EA407" s="507"/>
      <c r="EB407" s="507"/>
      <c r="EC407" s="507"/>
      <c r="ED407" s="507"/>
      <c r="EE407" s="507"/>
      <c r="EF407" s="507"/>
      <c r="EG407" s="507"/>
      <c r="EH407" s="507"/>
      <c r="EI407" s="507"/>
      <c r="EJ407" s="507"/>
      <c r="EK407" s="507"/>
      <c r="EL407" s="507"/>
      <c r="EM407" s="507"/>
      <c r="EN407" s="507"/>
      <c r="EO407" s="507"/>
      <c r="EP407" s="507"/>
      <c r="EQ407" s="507"/>
      <c r="ER407" s="507"/>
      <c r="ES407" s="507"/>
      <c r="ET407" s="507"/>
    </row>
    <row r="408" spans="1:150" s="508" customFormat="1" x14ac:dyDescent="0.2">
      <c r="A408" s="567"/>
      <c r="D408" s="34" t="str">
        <f ca="1">IF(OFFSET(V408,0,Lang_Order*Lang__B4)="","",OFFSET(V408,0,Lang_Order*Lang__B4))</f>
        <v>Per Volume (liters)</v>
      </c>
      <c r="R408" s="507"/>
      <c r="S408" s="507"/>
      <c r="T408" s="507"/>
      <c r="U408" s="507"/>
      <c r="V408" s="507" t="s">
        <v>4531</v>
      </c>
      <c r="W408" s="507"/>
      <c r="X408" s="507"/>
      <c r="Y408" s="507"/>
      <c r="Z408" s="507"/>
      <c r="AA408" s="507"/>
      <c r="AB408" s="507"/>
      <c r="AC408" s="507"/>
      <c r="AD408" s="507"/>
      <c r="AE408" s="507"/>
      <c r="AF408" s="507"/>
      <c r="AG408" s="507"/>
      <c r="AH408" s="507"/>
      <c r="AI408" s="507"/>
      <c r="AJ408" s="507"/>
      <c r="AK408" s="507"/>
      <c r="AL408" s="507"/>
      <c r="AM408" s="507"/>
      <c r="AN408" s="507"/>
      <c r="AO408" s="507" t="s">
        <v>13432</v>
      </c>
      <c r="AP408" s="507"/>
      <c r="AQ408" s="507"/>
      <c r="AR408" s="507"/>
      <c r="AS408" s="507"/>
      <c r="AT408" s="507"/>
      <c r="AU408" s="507"/>
      <c r="AV408" s="507"/>
      <c r="AW408" s="507"/>
      <c r="AX408" s="507"/>
      <c r="AY408" s="507"/>
      <c r="AZ408" s="507"/>
      <c r="BA408" s="507"/>
      <c r="BB408" s="507"/>
      <c r="BC408" s="507"/>
      <c r="BD408" s="507"/>
      <c r="BE408" s="507"/>
      <c r="BF408" s="507"/>
      <c r="BG408" s="507"/>
      <c r="BH408" s="507" t="s">
        <v>13433</v>
      </c>
      <c r="BI408" s="507"/>
      <c r="BJ408" s="507"/>
      <c r="BK408" s="507"/>
      <c r="BL408" s="507"/>
      <c r="BM408" s="507"/>
      <c r="BN408" s="507"/>
      <c r="BO408" s="507"/>
      <c r="BP408" s="507"/>
      <c r="BQ408" s="507"/>
      <c r="BR408" s="507"/>
      <c r="BS408" s="507"/>
      <c r="BT408" s="507"/>
      <c r="BU408" s="507"/>
      <c r="BV408" s="507"/>
      <c r="BW408" s="507"/>
      <c r="BX408" s="507"/>
      <c r="BY408" s="507"/>
      <c r="BZ408" s="507"/>
      <c r="CA408" s="507" t="s">
        <v>13434</v>
      </c>
      <c r="CB408" s="507"/>
      <c r="CC408" s="507"/>
      <c r="CD408" s="507"/>
      <c r="CE408" s="507"/>
      <c r="CF408" s="507"/>
      <c r="CG408" s="507"/>
      <c r="CH408" s="507"/>
      <c r="CI408" s="507"/>
      <c r="CJ408" s="507"/>
      <c r="CK408" s="507"/>
      <c r="CL408" s="507"/>
      <c r="CM408" s="507"/>
      <c r="CN408" s="507"/>
      <c r="CO408" s="507"/>
      <c r="CP408" s="507"/>
      <c r="CQ408" s="507"/>
      <c r="CR408" s="507"/>
      <c r="CS408" s="507"/>
      <c r="CT408" s="507" t="s">
        <v>13435</v>
      </c>
      <c r="CU408" s="507"/>
      <c r="CV408" s="507"/>
      <c r="CW408" s="507"/>
      <c r="CX408" s="507"/>
      <c r="CY408" s="507"/>
      <c r="CZ408" s="507"/>
      <c r="DA408" s="507"/>
      <c r="DB408" s="507"/>
      <c r="DC408" s="507"/>
      <c r="DD408" s="507"/>
      <c r="DE408" s="507"/>
      <c r="DF408" s="507"/>
      <c r="DG408" s="507"/>
      <c r="DH408" s="507"/>
      <c r="DI408" s="507"/>
      <c r="DJ408" s="507"/>
      <c r="DK408" s="507"/>
      <c r="DL408" s="507"/>
      <c r="DM408" s="507" t="s">
        <v>13436</v>
      </c>
      <c r="DN408" s="507"/>
      <c r="DO408" s="507"/>
      <c r="DP408" s="507"/>
      <c r="DQ408" s="507"/>
      <c r="DR408" s="507"/>
      <c r="DS408" s="507"/>
      <c r="DT408" s="507"/>
      <c r="DU408" s="507"/>
      <c r="DV408" s="507"/>
      <c r="DW408" s="507"/>
      <c r="DX408" s="507"/>
      <c r="DY408" s="507"/>
      <c r="DZ408" s="507"/>
      <c r="EA408" s="507"/>
      <c r="EB408" s="507"/>
      <c r="EC408" s="507"/>
      <c r="ED408" s="507"/>
      <c r="EE408" s="507"/>
      <c r="EF408" s="507" t="s">
        <v>13437</v>
      </c>
      <c r="EG408" s="507"/>
      <c r="EH408" s="507"/>
      <c r="EI408" s="507"/>
      <c r="EJ408" s="507"/>
      <c r="EK408" s="507"/>
      <c r="EL408" s="507"/>
      <c r="EM408" s="507"/>
      <c r="EN408" s="507"/>
      <c r="EO408" s="507"/>
      <c r="EP408" s="507"/>
      <c r="EQ408" s="507"/>
      <c r="ER408" s="507"/>
      <c r="ES408" s="507"/>
      <c r="ET408" s="507"/>
    </row>
    <row r="409" spans="1:150" s="508" customFormat="1" x14ac:dyDescent="0.2">
      <c r="A409" s="567"/>
      <c r="B409" s="208">
        <v>5</v>
      </c>
      <c r="C409" s="270" t="str">
        <f ca="1">IF(OFFSET(U409,0,Lang_Order*Lang__B4)="","",OFFSET(U409,0,Lang_Order*Lang__B4))</f>
        <v>UCC Vaccine in 2 to 8C</v>
      </c>
      <c r="D409" s="11" t="e">
        <f>'A3. INPUT Unit Costs'!I132</f>
        <v>#N/A</v>
      </c>
      <c r="J409" s="63" t="e">
        <f t="shared" ref="J409:O409" si="118">IF(J104=0,0,$D409*(ROUNDUP(J280/$B409,0)*$B409*J$202*Pop_HCW_CS_Sites))</f>
        <v>#N/A</v>
      </c>
      <c r="K409" s="63" t="e">
        <f t="shared" si="118"/>
        <v>#N/A</v>
      </c>
      <c r="L409" s="63" t="e">
        <f t="shared" si="118"/>
        <v>#N/A</v>
      </c>
      <c r="M409" s="63" t="e">
        <f t="shared" si="118"/>
        <v>#N/A</v>
      </c>
      <c r="N409" s="63" t="e">
        <f t="shared" si="118"/>
        <v>#N/A</v>
      </c>
      <c r="O409" s="63" t="e">
        <f t="shared" si="118"/>
        <v>#N/A</v>
      </c>
      <c r="P409" s="300" t="e">
        <f t="shared" ref="P409" si="119">SUM(J409:O409)</f>
        <v>#N/A</v>
      </c>
      <c r="R409" s="507"/>
      <c r="S409" s="507"/>
      <c r="T409" s="507"/>
      <c r="U409" s="507" t="s">
        <v>4546</v>
      </c>
      <c r="V409" s="507"/>
      <c r="W409" s="507"/>
      <c r="X409" s="507"/>
      <c r="Y409" s="507"/>
      <c r="Z409" s="507"/>
      <c r="AA409" s="507"/>
      <c r="AB409" s="507"/>
      <c r="AC409" s="507"/>
      <c r="AD409" s="507"/>
      <c r="AE409" s="507"/>
      <c r="AF409" s="507"/>
      <c r="AG409" s="507"/>
      <c r="AH409" s="507"/>
      <c r="AI409" s="507"/>
      <c r="AJ409" s="507"/>
      <c r="AK409" s="507"/>
      <c r="AL409" s="507"/>
      <c r="AM409" s="507"/>
      <c r="AN409" s="507" t="s">
        <v>13438</v>
      </c>
      <c r="AO409" s="507"/>
      <c r="AP409" s="507"/>
      <c r="AQ409" s="507"/>
      <c r="AR409" s="507"/>
      <c r="AS409" s="507"/>
      <c r="AT409" s="507"/>
      <c r="AU409" s="507"/>
      <c r="AV409" s="507"/>
      <c r="AW409" s="507"/>
      <c r="AX409" s="507"/>
      <c r="AY409" s="507"/>
      <c r="AZ409" s="507"/>
      <c r="BA409" s="507"/>
      <c r="BB409" s="507"/>
      <c r="BC409" s="507"/>
      <c r="BD409" s="507"/>
      <c r="BE409" s="507"/>
      <c r="BF409" s="507"/>
      <c r="BG409" s="507" t="s">
        <v>13439</v>
      </c>
      <c r="BH409" s="507"/>
      <c r="BI409" s="507"/>
      <c r="BJ409" s="507"/>
      <c r="BK409" s="507"/>
      <c r="BL409" s="507"/>
      <c r="BM409" s="507"/>
      <c r="BN409" s="507"/>
      <c r="BO409" s="507"/>
      <c r="BP409" s="507"/>
      <c r="BQ409" s="507"/>
      <c r="BR409" s="507"/>
      <c r="BS409" s="507"/>
      <c r="BT409" s="507"/>
      <c r="BU409" s="507"/>
      <c r="BV409" s="507"/>
      <c r="BW409" s="507"/>
      <c r="BX409" s="507"/>
      <c r="BY409" s="507"/>
      <c r="BZ409" s="507" t="s">
        <v>13440</v>
      </c>
      <c r="CA409" s="507"/>
      <c r="CB409" s="507"/>
      <c r="CC409" s="507"/>
      <c r="CD409" s="507"/>
      <c r="CE409" s="507"/>
      <c r="CF409" s="507"/>
      <c r="CG409" s="507"/>
      <c r="CH409" s="507"/>
      <c r="CI409" s="507"/>
      <c r="CJ409" s="507"/>
      <c r="CK409" s="507"/>
      <c r="CL409" s="507"/>
      <c r="CM409" s="507"/>
      <c r="CN409" s="507"/>
      <c r="CO409" s="507"/>
      <c r="CP409" s="507"/>
      <c r="CQ409" s="507"/>
      <c r="CR409" s="507"/>
      <c r="CS409" s="507" t="s">
        <v>13441</v>
      </c>
      <c r="CT409" s="507"/>
      <c r="CU409" s="507"/>
      <c r="CV409" s="507"/>
      <c r="CW409" s="507"/>
      <c r="CX409" s="507"/>
      <c r="CY409" s="507"/>
      <c r="CZ409" s="507"/>
      <c r="DA409" s="507"/>
      <c r="DB409" s="507"/>
      <c r="DC409" s="507"/>
      <c r="DD409" s="507"/>
      <c r="DE409" s="507"/>
      <c r="DF409" s="507"/>
      <c r="DG409" s="507"/>
      <c r="DH409" s="507"/>
      <c r="DI409" s="507"/>
      <c r="DJ409" s="507"/>
      <c r="DK409" s="507"/>
      <c r="DL409" s="507" t="s">
        <v>13442</v>
      </c>
      <c r="DM409" s="507"/>
      <c r="DN409" s="507"/>
      <c r="DO409" s="507"/>
      <c r="DP409" s="507"/>
      <c r="DQ409" s="507"/>
      <c r="DR409" s="507"/>
      <c r="DS409" s="507"/>
      <c r="DT409" s="507"/>
      <c r="DU409" s="507"/>
      <c r="DV409" s="507"/>
      <c r="DW409" s="507"/>
      <c r="DX409" s="507"/>
      <c r="DY409" s="507"/>
      <c r="DZ409" s="507"/>
      <c r="EA409" s="507"/>
      <c r="EB409" s="507"/>
      <c r="EC409" s="507"/>
      <c r="ED409" s="507"/>
      <c r="EE409" s="507" t="s">
        <v>13443</v>
      </c>
      <c r="EF409" s="507"/>
      <c r="EG409" s="507"/>
      <c r="EH409" s="507"/>
      <c r="EI409" s="507"/>
      <c r="EJ409" s="507"/>
      <c r="EK409" s="507"/>
      <c r="EL409" s="507"/>
      <c r="EM409" s="507"/>
      <c r="EN409" s="507"/>
      <c r="EO409" s="507"/>
      <c r="EP409" s="507"/>
      <c r="EQ409" s="507"/>
      <c r="ER409" s="507"/>
      <c r="ES409" s="507"/>
      <c r="ET409" s="507"/>
    </row>
    <row r="410" spans="1:150" s="508" customFormat="1" ht="13.5" thickBot="1" x14ac:dyDescent="0.25">
      <c r="A410" s="567"/>
      <c r="J410" s="118" t="e">
        <f>SUM(J409)</f>
        <v>#N/A</v>
      </c>
      <c r="K410" s="118" t="e">
        <f t="shared" ref="K410" si="120">SUM(K409)</f>
        <v>#N/A</v>
      </c>
      <c r="L410" s="118" t="e">
        <f t="shared" ref="L410" si="121">SUM(L409)</f>
        <v>#N/A</v>
      </c>
      <c r="M410" s="118" t="e">
        <f t="shared" ref="M410" si="122">SUM(M409)</f>
        <v>#N/A</v>
      </c>
      <c r="N410" s="118" t="e">
        <f t="shared" ref="N410" si="123">SUM(N409)</f>
        <v>#N/A</v>
      </c>
      <c r="O410" s="118" t="e">
        <f t="shared" ref="O410" si="124">SUM(O409)</f>
        <v>#N/A</v>
      </c>
      <c r="P410" s="118" t="e">
        <f t="shared" ref="P410" si="125">SUM(P409)</f>
        <v>#N/A</v>
      </c>
      <c r="R410" s="507"/>
      <c r="S410" s="507"/>
      <c r="T410" s="507"/>
      <c r="U410" s="507"/>
      <c r="V410" s="507"/>
      <c r="W410" s="507"/>
      <c r="X410" s="507"/>
      <c r="Y410" s="507"/>
      <c r="Z410" s="507"/>
      <c r="AA410" s="507"/>
      <c r="AB410" s="507"/>
      <c r="AC410" s="507"/>
      <c r="AD410" s="507"/>
      <c r="AE410" s="507"/>
      <c r="AF410" s="507"/>
      <c r="AG410" s="507"/>
      <c r="AH410" s="507"/>
      <c r="AI410" s="507"/>
      <c r="AJ410" s="507"/>
      <c r="AK410" s="507"/>
      <c r="AL410" s="507"/>
      <c r="AM410" s="507"/>
      <c r="AN410" s="507"/>
      <c r="AO410" s="507"/>
      <c r="AP410" s="507"/>
      <c r="AQ410" s="507"/>
      <c r="AR410" s="507"/>
      <c r="AS410" s="507"/>
      <c r="AT410" s="507"/>
      <c r="AU410" s="507"/>
      <c r="AV410" s="507"/>
      <c r="AW410" s="507"/>
      <c r="AX410" s="507"/>
      <c r="AY410" s="507"/>
      <c r="AZ410" s="507"/>
      <c r="BA410" s="507"/>
      <c r="BB410" s="507"/>
      <c r="BC410" s="507"/>
      <c r="BD410" s="507"/>
      <c r="BE410" s="507"/>
      <c r="BF410" s="507"/>
      <c r="BG410" s="507"/>
      <c r="BH410" s="507"/>
      <c r="BI410" s="507"/>
      <c r="BJ410" s="507"/>
      <c r="BK410" s="507"/>
      <c r="BL410" s="507"/>
      <c r="BM410" s="507"/>
      <c r="BN410" s="507"/>
      <c r="BO410" s="507"/>
      <c r="BP410" s="507"/>
      <c r="BQ410" s="507"/>
      <c r="BR410" s="507"/>
      <c r="BS410" s="507"/>
      <c r="BT410" s="507"/>
      <c r="BU410" s="507"/>
      <c r="BV410" s="507"/>
      <c r="BW410" s="507"/>
      <c r="BX410" s="507"/>
      <c r="BY410" s="507"/>
      <c r="BZ410" s="507"/>
      <c r="CA410" s="507"/>
      <c r="CB410" s="507"/>
      <c r="CC410" s="507"/>
      <c r="CD410" s="507"/>
      <c r="CE410" s="507"/>
      <c r="CF410" s="507"/>
      <c r="CG410" s="507"/>
      <c r="CH410" s="507"/>
      <c r="CI410" s="507"/>
      <c r="CJ410" s="507"/>
      <c r="CK410" s="507"/>
      <c r="CL410" s="507"/>
      <c r="CM410" s="507"/>
      <c r="CN410" s="507"/>
      <c r="CO410" s="507"/>
      <c r="CP410" s="507"/>
      <c r="CQ410" s="507"/>
      <c r="CR410" s="507"/>
      <c r="CS410" s="507"/>
      <c r="CT410" s="507"/>
      <c r="CU410" s="507"/>
      <c r="CV410" s="507"/>
      <c r="CW410" s="507"/>
      <c r="CX410" s="507"/>
      <c r="CY410" s="507"/>
      <c r="CZ410" s="507"/>
      <c r="DA410" s="507"/>
      <c r="DB410" s="507"/>
      <c r="DC410" s="507"/>
      <c r="DD410" s="507"/>
      <c r="DE410" s="507"/>
      <c r="DF410" s="507"/>
      <c r="DG410" s="507"/>
      <c r="DH410" s="507"/>
      <c r="DI410" s="507"/>
      <c r="DJ410" s="507"/>
      <c r="DK410" s="507"/>
      <c r="DL410" s="507"/>
      <c r="DM410" s="507"/>
      <c r="DN410" s="507"/>
      <c r="DO410" s="507"/>
      <c r="DP410" s="507"/>
      <c r="DQ410" s="507"/>
      <c r="DR410" s="507"/>
      <c r="DS410" s="507"/>
      <c r="DT410" s="507"/>
      <c r="DU410" s="507"/>
      <c r="DV410" s="507"/>
      <c r="DW410" s="507"/>
      <c r="DX410" s="507"/>
      <c r="DY410" s="507"/>
      <c r="DZ410" s="507"/>
      <c r="EA410" s="507"/>
      <c r="EB410" s="507"/>
      <c r="EC410" s="507"/>
      <c r="ED410" s="507"/>
      <c r="EE410" s="507"/>
      <c r="EF410" s="507"/>
      <c r="EG410" s="507"/>
      <c r="EH410" s="507"/>
      <c r="EI410" s="507"/>
      <c r="EJ410" s="507"/>
      <c r="EK410" s="507"/>
      <c r="EL410" s="507"/>
      <c r="EM410" s="507"/>
      <c r="EN410" s="507"/>
      <c r="EO410" s="507"/>
      <c r="EP410" s="507"/>
      <c r="EQ410" s="507"/>
      <c r="ER410" s="507"/>
      <c r="ES410" s="507"/>
      <c r="ET410" s="507"/>
    </row>
    <row r="411" spans="1:150" s="508" customFormat="1" ht="13.5" thickTop="1" x14ac:dyDescent="0.2">
      <c r="A411" s="567"/>
      <c r="R411" s="507"/>
      <c r="S411" s="507"/>
      <c r="T411" s="507"/>
      <c r="U411" s="507"/>
      <c r="V411" s="507"/>
      <c r="W411" s="507"/>
      <c r="X411" s="507"/>
      <c r="Y411" s="507"/>
      <c r="Z411" s="507"/>
      <c r="AA411" s="507"/>
      <c r="AB411" s="507"/>
      <c r="AC411" s="507"/>
      <c r="AD411" s="507"/>
      <c r="AE411" s="507"/>
      <c r="AF411" s="507"/>
      <c r="AG411" s="507"/>
      <c r="AH411" s="507"/>
      <c r="AI411" s="507"/>
      <c r="AJ411" s="507"/>
      <c r="AK411" s="507"/>
      <c r="AL411" s="507"/>
      <c r="AM411" s="507"/>
      <c r="AN411" s="507"/>
      <c r="AO411" s="507"/>
      <c r="AP411" s="507"/>
      <c r="AQ411" s="507"/>
      <c r="AR411" s="507"/>
      <c r="AS411" s="507"/>
      <c r="AT411" s="507"/>
      <c r="AU411" s="507"/>
      <c r="AV411" s="507"/>
      <c r="AW411" s="507"/>
      <c r="AX411" s="507"/>
      <c r="AY411" s="507"/>
      <c r="AZ411" s="507"/>
      <c r="BA411" s="507"/>
      <c r="BB411" s="507"/>
      <c r="BC411" s="507"/>
      <c r="BD411" s="507"/>
      <c r="BE411" s="507"/>
      <c r="BF411" s="507"/>
      <c r="BG411" s="507"/>
      <c r="BH411" s="507"/>
      <c r="BI411" s="507"/>
      <c r="BJ411" s="507"/>
      <c r="BK411" s="507"/>
      <c r="BL411" s="507"/>
      <c r="BM411" s="507"/>
      <c r="BN411" s="507"/>
      <c r="BO411" s="507"/>
      <c r="BP411" s="507"/>
      <c r="BQ411" s="507"/>
      <c r="BR411" s="507"/>
      <c r="BS411" s="507"/>
      <c r="BT411" s="507"/>
      <c r="BU411" s="507"/>
      <c r="BV411" s="507"/>
      <c r="BW411" s="507"/>
      <c r="BX411" s="507"/>
      <c r="BY411" s="507"/>
      <c r="BZ411" s="507"/>
      <c r="CA411" s="507"/>
      <c r="CB411" s="507"/>
      <c r="CC411" s="507"/>
      <c r="CD411" s="507"/>
      <c r="CE411" s="507"/>
      <c r="CF411" s="507"/>
      <c r="CG411" s="507"/>
      <c r="CH411" s="507"/>
      <c r="CI411" s="507"/>
      <c r="CJ411" s="507"/>
      <c r="CK411" s="507"/>
      <c r="CL411" s="507"/>
      <c r="CM411" s="507"/>
      <c r="CN411" s="507"/>
      <c r="CO411" s="507"/>
      <c r="CP411" s="507"/>
      <c r="CQ411" s="507"/>
      <c r="CR411" s="507"/>
      <c r="CS411" s="507"/>
      <c r="CT411" s="507"/>
      <c r="CU411" s="507"/>
      <c r="CV411" s="507"/>
      <c r="CW411" s="507"/>
      <c r="CX411" s="507"/>
      <c r="CY411" s="507"/>
      <c r="CZ411" s="507"/>
      <c r="DA411" s="507"/>
      <c r="DB411" s="507"/>
      <c r="DC411" s="507"/>
      <c r="DD411" s="507"/>
      <c r="DE411" s="507"/>
      <c r="DF411" s="507"/>
      <c r="DG411" s="507"/>
      <c r="DH411" s="507"/>
      <c r="DI411" s="507"/>
      <c r="DJ411" s="507"/>
      <c r="DK411" s="507"/>
      <c r="DL411" s="507"/>
      <c r="DM411" s="507"/>
      <c r="DN411" s="507"/>
      <c r="DO411" s="507"/>
      <c r="DP411" s="507"/>
      <c r="DQ411" s="507"/>
      <c r="DR411" s="507"/>
      <c r="DS411" s="507"/>
      <c r="DT411" s="507"/>
      <c r="DU411" s="507"/>
      <c r="DV411" s="507"/>
      <c r="DW411" s="507"/>
      <c r="DX411" s="507"/>
      <c r="DY411" s="507"/>
      <c r="DZ411" s="507"/>
      <c r="EA411" s="507"/>
      <c r="EB411" s="507"/>
      <c r="EC411" s="507"/>
      <c r="ED411" s="507"/>
      <c r="EE411" s="507"/>
      <c r="EF411" s="507"/>
      <c r="EG411" s="507"/>
      <c r="EH411" s="507"/>
      <c r="EI411" s="507"/>
      <c r="EJ411" s="507"/>
      <c r="EK411" s="507"/>
      <c r="EL411" s="507"/>
      <c r="EM411" s="507"/>
      <c r="EN411" s="507"/>
      <c r="EO411" s="507"/>
      <c r="EP411" s="507"/>
      <c r="EQ411" s="507"/>
      <c r="ER411" s="507"/>
      <c r="ES411" s="507"/>
      <c r="ET411" s="507"/>
    </row>
    <row r="413" spans="1:150" x14ac:dyDescent="0.2">
      <c r="B413" s="3">
        <v>23</v>
      </c>
      <c r="D413" s="567" t="str">
        <f ca="1">IF(OFFSET(V413,0,Lang_Order*Lang__B4)="","",OFFSET(V413,0,Lang_Order*Lang__B4))</f>
        <v>Dry ice required per period (kg)</v>
      </c>
      <c r="E413" s="567"/>
      <c r="F413" s="567"/>
      <c r="G413" s="567"/>
      <c r="H413" s="567"/>
      <c r="I413" s="567"/>
      <c r="J413" s="601" t="e">
        <f t="shared" ref="J413:O413" si="126">ROUNDUP(J149/$B375,0)*$B$413*J$146*Regional_Stores</f>
        <v>#N/A</v>
      </c>
      <c r="K413" s="601" t="e">
        <f t="shared" si="126"/>
        <v>#N/A</v>
      </c>
      <c r="L413" s="601" t="e">
        <f t="shared" si="126"/>
        <v>#N/A</v>
      </c>
      <c r="M413" s="601" t="e">
        <f t="shared" si="126"/>
        <v>#N/A</v>
      </c>
      <c r="N413" s="601" t="e">
        <f t="shared" si="126"/>
        <v>#N/A</v>
      </c>
      <c r="O413" s="601" t="e">
        <f t="shared" si="126"/>
        <v>#N/A</v>
      </c>
      <c r="P413" s="602" t="e">
        <f>SUM(J413:O413)</f>
        <v>#N/A</v>
      </c>
      <c r="Q413" s="299"/>
      <c r="V413" s="403" t="s">
        <v>4548</v>
      </c>
      <c r="AO413" s="403" t="s">
        <v>13444</v>
      </c>
      <c r="BH413" s="403" t="s">
        <v>13445</v>
      </c>
      <c r="CA413" s="403" t="s">
        <v>13446</v>
      </c>
      <c r="CT413" s="403" t="s">
        <v>13447</v>
      </c>
      <c r="DM413" s="403" t="s">
        <v>13448</v>
      </c>
      <c r="EF413" s="403" t="s">
        <v>13449</v>
      </c>
    </row>
    <row r="414" spans="1:150" s="567" customFormat="1" x14ac:dyDescent="0.2"/>
    <row r="415" spans="1:150" s="17" customFormat="1" ht="17.25" x14ac:dyDescent="0.3">
      <c r="A415" s="17" t="str">
        <f ca="1">IF(OFFSET(S415,0,Lang_Order*Lang__B4)="","",OFFSET(S415,0,Lang_Order*Lang__B4))</f>
        <v>B4.2 Security (for FCAS)</v>
      </c>
      <c r="J415" s="323" t="e">
        <f>SUM(J417,J419)</f>
        <v>#N/A</v>
      </c>
      <c r="K415" s="323" t="e">
        <f t="shared" ref="K415:O415" si="127">SUM(K417,K419)</f>
        <v>#N/A</v>
      </c>
      <c r="L415" s="323" t="e">
        <f t="shared" si="127"/>
        <v>#N/A</v>
      </c>
      <c r="M415" s="323" t="e">
        <f t="shared" si="127"/>
        <v>#N/A</v>
      </c>
      <c r="N415" s="323" t="e">
        <f t="shared" si="127"/>
        <v>#N/A</v>
      </c>
      <c r="O415" s="323" t="e">
        <f t="shared" si="127"/>
        <v>#N/A</v>
      </c>
      <c r="P415" s="323" t="e">
        <f>SUM(J415:O415)</f>
        <v>#N/A</v>
      </c>
      <c r="R415" s="403"/>
      <c r="S415" s="403" t="s">
        <v>4188</v>
      </c>
      <c r="T415" s="403"/>
      <c r="U415" s="403"/>
      <c r="V415" s="403"/>
      <c r="W415" s="403"/>
      <c r="X415" s="403"/>
      <c r="Y415" s="403"/>
      <c r="Z415" s="403"/>
      <c r="AA415" s="403"/>
      <c r="AB415" s="403"/>
      <c r="AC415" s="403"/>
      <c r="AD415" s="403"/>
      <c r="AE415" s="403"/>
      <c r="AF415" s="403"/>
      <c r="AG415" s="403"/>
      <c r="AH415" s="403"/>
      <c r="AI415" s="403"/>
      <c r="AJ415" s="403"/>
      <c r="AK415" s="403"/>
      <c r="AL415" s="403" t="s">
        <v>11432</v>
      </c>
      <c r="AM415" s="403"/>
      <c r="AN415" s="403"/>
      <c r="AO415" s="403"/>
      <c r="AP415" s="403"/>
      <c r="AQ415" s="403"/>
      <c r="AR415" s="403"/>
      <c r="AS415" s="403"/>
      <c r="AT415" s="403"/>
      <c r="AU415" s="403"/>
      <c r="AV415" s="403"/>
      <c r="AW415" s="403"/>
      <c r="AX415" s="403"/>
      <c r="AY415" s="403"/>
      <c r="AZ415" s="403"/>
      <c r="BA415" s="403"/>
      <c r="BB415" s="403"/>
      <c r="BC415" s="403"/>
      <c r="BD415" s="403"/>
      <c r="BE415" s="403" t="s">
        <v>11433</v>
      </c>
      <c r="BF415" s="403"/>
      <c r="BG415" s="403"/>
      <c r="BH415" s="403"/>
      <c r="BI415" s="403"/>
      <c r="BJ415" s="403"/>
      <c r="BK415" s="403"/>
      <c r="BL415" s="403"/>
      <c r="BM415" s="403"/>
      <c r="BN415" s="403"/>
      <c r="BO415" s="403"/>
      <c r="BP415" s="403"/>
      <c r="BQ415" s="403"/>
      <c r="BR415" s="403"/>
      <c r="BS415" s="403"/>
      <c r="BT415" s="403"/>
      <c r="BU415" s="403"/>
      <c r="BV415" s="403"/>
      <c r="BW415" s="403"/>
      <c r="BX415" s="403" t="s">
        <v>11434</v>
      </c>
      <c r="BY415" s="403"/>
      <c r="BZ415" s="403"/>
      <c r="CA415" s="403"/>
      <c r="CB415" s="403"/>
      <c r="CC415" s="403"/>
      <c r="CD415" s="403"/>
      <c r="CE415" s="403"/>
      <c r="CF415" s="403"/>
      <c r="CG415" s="403"/>
      <c r="CH415" s="403"/>
      <c r="CI415" s="403"/>
      <c r="CJ415" s="403"/>
      <c r="CK415" s="403"/>
      <c r="CL415" s="403"/>
      <c r="CM415" s="403"/>
      <c r="CN415" s="403"/>
      <c r="CO415" s="403"/>
      <c r="CP415" s="403"/>
      <c r="CQ415" s="403" t="s">
        <v>11435</v>
      </c>
      <c r="CR415" s="403"/>
      <c r="CS415" s="403"/>
      <c r="CT415" s="403"/>
      <c r="CU415" s="403"/>
      <c r="CV415" s="403"/>
      <c r="CW415" s="403"/>
      <c r="CX415" s="403"/>
      <c r="CY415" s="403"/>
      <c r="CZ415" s="403"/>
      <c r="DA415" s="403"/>
      <c r="DB415" s="403"/>
      <c r="DC415" s="403"/>
      <c r="DD415" s="403"/>
      <c r="DE415" s="403"/>
      <c r="DF415" s="403"/>
      <c r="DG415" s="403"/>
      <c r="DH415" s="403"/>
      <c r="DI415" s="403"/>
      <c r="DJ415" s="403" t="s">
        <v>11436</v>
      </c>
      <c r="DK415" s="403"/>
      <c r="DL415" s="403"/>
      <c r="DM415" s="403"/>
      <c r="DN415" s="403"/>
      <c r="DO415" s="403"/>
      <c r="DP415" s="403"/>
      <c r="DQ415" s="403"/>
      <c r="DR415" s="403"/>
      <c r="DS415" s="403"/>
      <c r="DT415" s="403"/>
      <c r="DU415" s="403"/>
      <c r="DV415" s="403"/>
      <c r="DW415" s="403"/>
      <c r="DX415" s="403"/>
      <c r="DY415" s="403"/>
      <c r="DZ415" s="403"/>
      <c r="EA415" s="403"/>
      <c r="EB415" s="403"/>
      <c r="EC415" s="403" t="s">
        <v>11437</v>
      </c>
      <c r="ED415" s="403"/>
      <c r="EE415" s="403"/>
      <c r="EF415" s="403"/>
      <c r="EG415" s="403"/>
      <c r="EH415" s="403"/>
      <c r="EI415" s="403"/>
      <c r="EJ415" s="403"/>
      <c r="EK415" s="403"/>
      <c r="EL415" s="403"/>
      <c r="EM415" s="403"/>
      <c r="EN415" s="403"/>
      <c r="EO415" s="403"/>
      <c r="EP415" s="403"/>
      <c r="EQ415" s="403"/>
      <c r="ER415" s="403"/>
      <c r="ES415" s="403"/>
      <c r="ET415" s="403"/>
    </row>
    <row r="417" spans="1:150" ht="13.5" thickBot="1" x14ac:dyDescent="0.25">
      <c r="D417" s="21" t="str">
        <f ca="1">IF(OFFSET(V417,0,Lang_Order*Lang__B4)="","",OFFSET(V417,0,Lang_Order*Lang__B4))</f>
        <v>Security at central store</v>
      </c>
      <c r="E417" s="20"/>
      <c r="F417" s="20"/>
      <c r="G417" s="20"/>
      <c r="H417" s="20"/>
      <c r="I417" s="20"/>
      <c r="J417" s="118" t="e">
        <f>J37*AUCs_Security_perSiteperDay*'A3. INPUT Unit Costs'!$E170*Time_period</f>
        <v>#N/A</v>
      </c>
      <c r="K417" s="118" t="e">
        <f>K37*AUCs_Security_perSiteperDay*'A3. INPUT Unit Costs'!$E170*Time_period</f>
        <v>#N/A</v>
      </c>
      <c r="L417" s="118" t="e">
        <f>L37*AUCs_Security_perSiteperDay*'A3. INPUT Unit Costs'!$E170*Time_period</f>
        <v>#N/A</v>
      </c>
      <c r="M417" s="118" t="e">
        <f>M37*AUCs_Security_perSiteperDay*'A3. INPUT Unit Costs'!$E170*Time_period</f>
        <v>#N/A</v>
      </c>
      <c r="N417" s="118" t="e">
        <f>N37*AUCs_Security_perSiteperDay*'A3. INPUT Unit Costs'!$E170*Time_period</f>
        <v>#N/A</v>
      </c>
      <c r="O417" s="118" t="e">
        <f>O37*AUCs_Security_perSiteperDay*'A3. INPUT Unit Costs'!$E170*Time_period</f>
        <v>#N/A</v>
      </c>
      <c r="P417" s="118" t="e">
        <f>SUM(J417:O417)</f>
        <v>#N/A</v>
      </c>
      <c r="Q417" s="299"/>
      <c r="V417" s="403" t="s">
        <v>3738</v>
      </c>
      <c r="AO417" s="403" t="s">
        <v>11438</v>
      </c>
      <c r="BH417" s="403" t="s">
        <v>11439</v>
      </c>
      <c r="CA417" s="403" t="s">
        <v>11440</v>
      </c>
      <c r="CT417" s="403" t="s">
        <v>11441</v>
      </c>
      <c r="DM417" s="403" t="s">
        <v>11442</v>
      </c>
      <c r="EF417" s="403" t="s">
        <v>11443</v>
      </c>
    </row>
    <row r="418" spans="1:150" ht="13.5" thickTop="1" x14ac:dyDescent="0.2">
      <c r="C418" s="299"/>
    </row>
    <row r="419" spans="1:150" ht="13.5" thickBot="1" x14ac:dyDescent="0.25">
      <c r="C419" s="5"/>
      <c r="D419" s="21" t="str">
        <f ca="1">IF(OFFSET(V419,0,Lang_Order*Lang__B4)="","",OFFSET(V419,0,Lang_Order*Lang__B4))</f>
        <v>Security during vaccine transport from central to regional</v>
      </c>
      <c r="J419" s="118" t="e">
        <f t="shared" ref="J419:O419" si="128">J37*AUCs_Security_PerTrip*Regional_Stores*J$146</f>
        <v>#N/A</v>
      </c>
      <c r="K419" s="118" t="e">
        <f t="shared" si="128"/>
        <v>#N/A</v>
      </c>
      <c r="L419" s="118" t="e">
        <f t="shared" si="128"/>
        <v>#N/A</v>
      </c>
      <c r="M419" s="118" t="e">
        <f t="shared" si="128"/>
        <v>#N/A</v>
      </c>
      <c r="N419" s="118" t="e">
        <f t="shared" si="128"/>
        <v>#N/A</v>
      </c>
      <c r="O419" s="118" t="e">
        <f t="shared" si="128"/>
        <v>#N/A</v>
      </c>
      <c r="P419" s="118" t="e">
        <f>SUM(J419:O419)</f>
        <v>#N/A</v>
      </c>
      <c r="V419" s="403" t="s">
        <v>3739</v>
      </c>
      <c r="AO419" s="403" t="s">
        <v>11444</v>
      </c>
      <c r="BH419" s="403" t="s">
        <v>11445</v>
      </c>
      <c r="CA419" s="403" t="s">
        <v>11446</v>
      </c>
      <c r="CT419" s="403" t="s">
        <v>11447</v>
      </c>
      <c r="DM419" s="403" t="s">
        <v>11448</v>
      </c>
      <c r="EF419" s="403" t="s">
        <v>11449</v>
      </c>
    </row>
    <row r="420" spans="1:150" ht="13.5" thickTop="1" x14ac:dyDescent="0.2"/>
    <row r="421" spans="1:150" s="27" customFormat="1" ht="19.5" x14ac:dyDescent="0.3">
      <c r="R421" s="403"/>
      <c r="S421" s="403"/>
      <c r="T421" s="403"/>
      <c r="U421" s="403"/>
      <c r="V421" s="403"/>
      <c r="W421" s="403"/>
      <c r="X421" s="403"/>
      <c r="Y421" s="403"/>
      <c r="Z421" s="403"/>
      <c r="AA421" s="403"/>
      <c r="AB421" s="403"/>
      <c r="AC421" s="403"/>
      <c r="AD421" s="403"/>
      <c r="AE421" s="403"/>
      <c r="AF421" s="403"/>
      <c r="AG421" s="403"/>
      <c r="AH421" s="403"/>
      <c r="AI421" s="403"/>
      <c r="AJ421" s="403"/>
      <c r="AK421" s="403"/>
      <c r="AL421" s="403"/>
      <c r="AM421" s="403"/>
      <c r="AN421" s="403"/>
      <c r="AO421" s="403"/>
      <c r="AP421" s="403"/>
      <c r="AQ421" s="403"/>
      <c r="AR421" s="403"/>
      <c r="AS421" s="403"/>
      <c r="AT421" s="403"/>
      <c r="AU421" s="403"/>
      <c r="AV421" s="403"/>
      <c r="AW421" s="403"/>
      <c r="AX421" s="403"/>
      <c r="AY421" s="403"/>
      <c r="AZ421" s="403"/>
      <c r="BA421" s="403"/>
      <c r="BB421" s="403"/>
      <c r="BC421" s="403"/>
      <c r="BD421" s="403"/>
      <c r="BE421" s="403"/>
      <c r="BF421" s="403"/>
      <c r="BG421" s="403"/>
      <c r="BH421" s="403"/>
      <c r="BI421" s="403"/>
      <c r="BJ421" s="403"/>
      <c r="BK421" s="403"/>
      <c r="BL421" s="403"/>
      <c r="BM421" s="403"/>
      <c r="BN421" s="403"/>
      <c r="BO421" s="403"/>
      <c r="BP421" s="403"/>
      <c r="BQ421" s="403"/>
      <c r="BR421" s="403"/>
      <c r="BS421" s="403"/>
      <c r="BT421" s="403"/>
      <c r="BU421" s="403"/>
      <c r="BV421" s="403"/>
      <c r="BW421" s="403"/>
      <c r="BX421" s="403"/>
      <c r="BY421" s="403"/>
      <c r="BZ421" s="403"/>
      <c r="CA421" s="403"/>
      <c r="CB421" s="403"/>
      <c r="CC421" s="403"/>
      <c r="CD421" s="403"/>
      <c r="CE421" s="403"/>
      <c r="CF421" s="403"/>
      <c r="CG421" s="403"/>
      <c r="CH421" s="403"/>
      <c r="CI421" s="403"/>
      <c r="CJ421" s="403"/>
      <c r="CK421" s="403"/>
      <c r="CL421" s="403"/>
      <c r="CM421" s="403"/>
      <c r="CN421" s="403"/>
      <c r="CO421" s="403"/>
      <c r="CP421" s="403"/>
      <c r="CQ421" s="403"/>
      <c r="CR421" s="403"/>
      <c r="CS421" s="403"/>
      <c r="CT421" s="403"/>
      <c r="CU421" s="403"/>
      <c r="CV421" s="403"/>
      <c r="CW421" s="403"/>
      <c r="CX421" s="403"/>
      <c r="CY421" s="403"/>
      <c r="CZ421" s="403"/>
      <c r="DA421" s="403"/>
      <c r="DB421" s="403"/>
      <c r="DC421" s="403"/>
      <c r="DD421" s="403"/>
      <c r="DE421" s="403"/>
      <c r="DF421" s="403"/>
      <c r="DG421" s="403"/>
      <c r="DH421" s="403"/>
      <c r="DI421" s="403"/>
      <c r="DJ421" s="403"/>
      <c r="DK421" s="403"/>
      <c r="DL421" s="403"/>
      <c r="DM421" s="403"/>
      <c r="DN421" s="403"/>
      <c r="DO421" s="403"/>
      <c r="DP421" s="403"/>
      <c r="DQ421" s="403"/>
      <c r="DR421" s="403"/>
      <c r="DS421" s="403"/>
      <c r="DT421" s="403"/>
      <c r="DU421" s="403"/>
      <c r="DV421" s="403"/>
      <c r="DW421" s="403"/>
      <c r="DX421" s="403"/>
      <c r="DY421" s="403"/>
      <c r="DZ421" s="403"/>
      <c r="EA421" s="403"/>
      <c r="EB421" s="403"/>
      <c r="EC421" s="403"/>
      <c r="ED421" s="403"/>
      <c r="EE421" s="403"/>
      <c r="EF421" s="403"/>
      <c r="EG421" s="403"/>
      <c r="EH421" s="403"/>
      <c r="EI421" s="403"/>
      <c r="EJ421" s="403"/>
      <c r="EK421" s="403"/>
      <c r="EL421" s="403"/>
      <c r="EM421" s="403"/>
      <c r="EN421" s="403"/>
      <c r="EO421" s="403"/>
      <c r="EP421" s="403"/>
      <c r="EQ421" s="403"/>
      <c r="ER421" s="403"/>
      <c r="ES421" s="403"/>
      <c r="ET421" s="403"/>
    </row>
    <row r="422" spans="1:150" x14ac:dyDescent="0.2">
      <c r="D422" s="510"/>
      <c r="J422" s="89"/>
      <c r="K422" s="89"/>
    </row>
    <row r="423" spans="1:150" x14ac:dyDescent="0.2">
      <c r="D423" s="510"/>
    </row>
    <row r="424" spans="1:150" x14ac:dyDescent="0.2">
      <c r="K424" s="89"/>
    </row>
    <row r="426" spans="1:150" x14ac:dyDescent="0.2">
      <c r="A426" s="684" t="str">
        <f>WHO_Copyright</f>
        <v>© World Health Organization and the United Nations Children’s Fund (UNICEF), 2022. Some rights reserved. This work is available under the CC BY-NC-SA 3.0 IGO licence.</v>
      </c>
      <c r="B426" s="684"/>
      <c r="C426" s="684"/>
      <c r="D426" s="684"/>
      <c r="E426" s="684"/>
      <c r="F426" s="684"/>
      <c r="G426" s="684"/>
      <c r="H426" s="684"/>
      <c r="I426" s="684"/>
      <c r="J426" s="684"/>
      <c r="K426" s="684"/>
      <c r="L426" s="684"/>
      <c r="M426" s="684"/>
    </row>
    <row r="427" spans="1:150" x14ac:dyDescent="0.2">
      <c r="A427" s="671" t="str">
        <f>WHO_Reference</f>
        <v>WHO reference number: WHO/2019-nCoV/Vaccine_deployment_tool/2022.1</v>
      </c>
      <c r="B427" s="671"/>
      <c r="C427" s="671"/>
      <c r="D427" s="671"/>
      <c r="E427" s="671"/>
      <c r="F427" s="671"/>
      <c r="G427" s="671"/>
      <c r="H427" s="671"/>
      <c r="I427" s="671"/>
      <c r="J427" s="671"/>
      <c r="K427" s="671"/>
      <c r="L427" s="671"/>
      <c r="M427" s="671"/>
    </row>
  </sheetData>
  <sheetProtection algorithmName="SHA-512" hashValue="Rhxb8rViJQfZG2XeC8tdIAUT66U1qUBUw9qW543wyDHFsFJgGOL+O37p6DWzqmjOAPmHuUdZCT+CIKvVN7pNLQ==" saltValue="U7zomP116P96KIg0ktQgWw==" spinCount="100000" sheet="1" objects="1" scenarios="1"/>
  <mergeCells count="6">
    <mergeCell ref="A426:M426"/>
    <mergeCell ref="A427:M427"/>
    <mergeCell ref="K246:L246"/>
    <mergeCell ref="M246:N246"/>
    <mergeCell ref="K310:L310"/>
    <mergeCell ref="M310:N310"/>
  </mergeCells>
  <conditionalFormatting sqref="P41:P43">
    <cfRule type="containsText" dxfId="209" priority="7" operator="containsText" text="OK">
      <formula>NOT(ISERROR(SEARCH("OK",P41)))</formula>
    </cfRule>
    <cfRule type="expression" dxfId="208" priority="8">
      <formula>"OK"</formula>
    </cfRule>
  </conditionalFormatting>
  <conditionalFormatting sqref="P41:P43">
    <cfRule type="iconSet" priority="9">
      <iconSet iconSet="5Quarters">
        <cfvo type="percent" val="0"/>
        <cfvo type="percent" val="20"/>
        <cfvo type="percent" val="40"/>
        <cfvo type="percent" val="60"/>
        <cfvo type="percent" val="80"/>
      </iconSet>
    </cfRule>
  </conditionalFormatting>
  <conditionalFormatting sqref="M2">
    <cfRule type="containsText" dxfId="207" priority="6" operator="containsText" text="Logic checks passed">
      <formula>NOT(ISERROR(SEARCH("Logic checks passed",M2)))</formula>
    </cfRule>
  </conditionalFormatting>
  <conditionalFormatting sqref="P198:P199">
    <cfRule type="containsText" dxfId="206" priority="4" operator="containsText" text="OK">
      <formula>NOT(ISERROR(SEARCH("OK",P198)))</formula>
    </cfRule>
  </conditionalFormatting>
  <conditionalFormatting sqref="P197">
    <cfRule type="containsText" dxfId="205" priority="1" operator="containsText" text="OK">
      <formula>NOT(ISERROR(SEARCH("OK",P197)))</formula>
    </cfRule>
  </conditionalFormatting>
  <dataValidations disablePrompts="1" count="15">
    <dataValidation type="whole" allowBlank="1" showInputMessage="1" showErrorMessage="1" sqref="D143 D193 D265" xr:uid="{07482F04-33F7-4890-813F-AA459297D87F}">
      <formula1>0</formula1>
      <formula2>9</formula2>
    </dataValidation>
    <dataValidation type="list" allowBlank="1" showInputMessage="1" showErrorMessage="1" sqref="D114" xr:uid="{2D986FCE-6C2D-41ED-9519-F4B4FD7B9661}">
      <formula1>_WICR</formula1>
    </dataValidation>
    <dataValidation type="list" allowBlank="1" showInputMessage="1" showErrorMessage="1" sqref="D115" xr:uid="{24948283-0010-4E89-B37B-2BAB2D7AFEDF}">
      <formula1>_WIFR</formula1>
    </dataValidation>
    <dataValidation type="list" allowBlank="1" showInputMessage="1" showErrorMessage="1" sqref="D159 D230 D294" xr:uid="{37D83A99-E3A0-4CD8-B1FA-F7983D72DAC4}">
      <formula1>_ILR</formula1>
    </dataValidation>
    <dataValidation type="list" allowBlank="1" showInputMessage="1" showErrorMessage="1" sqref="D160 D231 D295" xr:uid="{A13F0342-CC2B-4520-AB05-E5EEF382B62C}">
      <formula1>_F</formula1>
    </dataValidation>
    <dataValidation type="whole" allowBlank="1" showInputMessage="1" showErrorMessage="1" sqref="M121:M124 M169:M171" xr:uid="{17AC32D8-8599-4E3B-879A-DB04027A83DB}">
      <formula1>0</formula1>
      <formula2>999</formula2>
    </dataValidation>
    <dataValidation type="list" allowBlank="1" showInputMessage="1" showErrorMessage="1" sqref="D117 D163 D228:D229" xr:uid="{592F7752-84BF-4E59-8AFA-A1FBC3A7D90B}">
      <formula1>_RTMDs</formula1>
    </dataValidation>
    <dataValidation type="list" allowBlank="1" showInputMessage="1" showErrorMessage="1" sqref="D290 D226" xr:uid="{E57B0613-1F96-453F-81BE-D03FC028E860}">
      <formula1>_SDD_R</formula1>
    </dataValidation>
    <dataValidation type="list" allowBlank="1" showInputMessage="1" showErrorMessage="1" sqref="D291 D227" xr:uid="{1EF863C5-7A23-4FC7-B5E1-3846FA340691}">
      <formula1>_SDD_F</formula1>
    </dataValidation>
    <dataValidation type="whole" allowBlank="1" showInputMessage="1" showErrorMessage="1" sqref="M167:M168 M305:M308 M237:M239 M241:M244 M301:M303" xr:uid="{D66CC748-28F5-446D-9C26-8E9FDBE99375}">
      <formula1>0</formula1>
      <formula2>9999</formula2>
    </dataValidation>
    <dataValidation type="list" allowBlank="1" showInputMessage="1" showErrorMessage="1" sqref="D126 D173 D246 D310" xr:uid="{7FC02E29-DAF4-44EF-BCF7-7F5AD497630A}">
      <formula1>"1,2"</formula1>
    </dataValidation>
    <dataValidation type="decimal" operator="greaterThanOrEqual" allowBlank="1" showInputMessage="1" showErrorMessage="1" sqref="N329:N332" xr:uid="{DBC3CB5E-E4F7-41B0-B912-D03725912427}">
      <formula1>0</formula1>
    </dataValidation>
    <dataValidation type="list" allowBlank="1" showInputMessage="1" showErrorMessage="1" sqref="D116 D161" xr:uid="{552FF0C9-009E-45A8-BA07-0B6A4D176918}">
      <formula1>_UCC</formula1>
    </dataValidation>
    <dataValidation type="decimal" allowBlank="1" showInputMessage="1" showErrorMessage="1" sqref="J92:O92 J145:O145" xr:uid="{8241A5B9-2BEF-4DC6-B49A-BC619D6271BB}">
      <formula1>1</formula1>
      <formula2>24</formula2>
    </dataValidation>
    <dataValidation type="decimal" allowBlank="1" showInputMessage="1" showErrorMessage="1" sqref="J201:O201" xr:uid="{0C7B7FDB-E998-45CA-9EFD-DB2C348601EB}">
      <formula1>1</formula1>
      <formula2>180</formula2>
    </dataValidation>
  </dataValidation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3" operator="containsText" id="{184C2E89-2C6E-4F90-B27C-4D06961EB498}">
            <xm:f>NOT(ISERROR(SEARCH(Lang_LogicPassed,P1)))</xm:f>
            <xm:f>Lang_LogicPassed</xm:f>
            <x14:dxf>
              <fill>
                <patternFill>
                  <bgColor theme="9"/>
                </patternFill>
              </fill>
            </x14:dxf>
          </x14:cfRule>
          <xm:sqref>P1</xm:sqref>
        </x14:conditionalFormatting>
        <x14:conditionalFormatting xmlns:xm="http://schemas.microsoft.com/office/excel/2006/main">
          <x14:cfRule type="iconSet" priority="5" id="{C1F0859F-8AA2-4EFD-8235-CA06FBE5645C}">
            <x14:iconSet iconSet="3Arrows" custom="1">
              <x14:cfvo type="percent">
                <xm:f>0</xm:f>
              </x14:cfvo>
              <x14:cfvo type="percent">
                <xm:f>33</xm:f>
              </x14:cfvo>
              <x14:cfvo type="num" gte="0">
                <xm:f>$P$196</xm:f>
              </x14:cfvo>
              <x14:cfIcon iconSet="NoIcons" iconId="0"/>
              <x14:cfIcon iconSet="NoIcons" iconId="0"/>
              <x14:cfIcon iconSet="3Arrows" iconId="0"/>
            </x14:iconSet>
          </x14:cfRule>
          <xm:sqref>J194:O195 J198:O199 K196:O196</xm:sqref>
        </x14:conditionalFormatting>
        <x14:conditionalFormatting xmlns:xm="http://schemas.microsoft.com/office/excel/2006/main">
          <x14:cfRule type="iconSet" priority="2" id="{0F63389D-A5FD-4D6C-8E53-F0F60343FD5D}">
            <x14:iconSet iconSet="3Arrows" custom="1">
              <x14:cfvo type="percent">
                <xm:f>0</xm:f>
              </x14:cfvo>
              <x14:cfvo type="percent">
                <xm:f>33</xm:f>
              </x14:cfvo>
              <x14:cfvo type="num" gte="0">
                <xm:f>$P$196</xm:f>
              </x14:cfvo>
              <x14:cfIcon iconSet="NoIcons" iconId="0"/>
              <x14:cfIcon iconSet="NoIcons" iconId="0"/>
              <x14:cfIcon iconSet="3Arrows" iconId="0"/>
            </x14:iconSet>
          </x14:cfRule>
          <xm:sqref>J197:O197</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8E3B8-B830-4EAA-A617-756CC4FDC96F}">
  <sheetPr codeName="Sheet13">
    <tabColor rgb="FF008DC9"/>
  </sheetPr>
  <dimension ref="A1:JT318"/>
  <sheetViews>
    <sheetView showGridLines="0" workbookViewId="0"/>
  </sheetViews>
  <sheetFormatPr defaultRowHeight="15" x14ac:dyDescent="0.2"/>
  <cols>
    <col min="2" max="2" width="9.140625" style="633"/>
    <col min="3" max="3" width="51.28515625" style="5" customWidth="1"/>
    <col min="4" max="4" width="18.5703125" customWidth="1"/>
    <col min="5" max="5" width="5" style="2" customWidth="1"/>
    <col min="6" max="6" width="7.7109375" style="2" customWidth="1"/>
    <col min="7" max="7" width="6.7109375" style="2" customWidth="1"/>
    <col min="8" max="8" width="5.28515625" style="2" customWidth="1"/>
    <col min="9" max="9" width="6.28515625" style="2" customWidth="1"/>
    <col min="10" max="10" width="14" customWidth="1"/>
    <col min="11" max="13" width="14" style="15" customWidth="1"/>
    <col min="14" max="15" width="14" customWidth="1"/>
    <col min="16" max="16" width="15.85546875" style="15" customWidth="1"/>
    <col min="17" max="17" width="13" style="15" customWidth="1"/>
    <col min="18" max="18" width="127.85546875" style="12" customWidth="1"/>
    <col min="20" max="20" width="9.140625" style="241"/>
    <col min="21" max="21" width="9.140625" style="622" customWidth="1"/>
    <col min="22" max="22" width="46" customWidth="1"/>
    <col min="23" max="29" width="16" customWidth="1"/>
    <col min="30" max="30" width="9.140625" customWidth="1"/>
    <col min="32" max="32" width="9.140625" style="241"/>
    <col min="33" max="33" width="9.140625" style="622" customWidth="1"/>
    <col min="34" max="34" width="46" customWidth="1"/>
    <col min="35" max="41" width="16" customWidth="1"/>
    <col min="42" max="42" width="9.140625" customWidth="1"/>
    <col min="44" max="280" width="2.85546875" style="403" hidden="1" customWidth="1"/>
  </cols>
  <sheetData>
    <row r="1" spans="1:280" s="194" customFormat="1" ht="45" customHeight="1" x14ac:dyDescent="0.2">
      <c r="A1" s="225" t="str">
        <f ca="1">IF(OFFSET(AS1,0,Lang_Order*Lang__B5)="","",OFFSET(AS1,0,Lang_Order*Lang__B5))</f>
        <v>NAVIGATION BAR:</v>
      </c>
      <c r="B1" s="578"/>
      <c r="C1" s="224"/>
      <c r="D1" s="224"/>
      <c r="E1" s="224"/>
      <c r="F1" s="224"/>
      <c r="G1" s="224"/>
      <c r="H1" s="224"/>
      <c r="I1" s="224"/>
      <c r="J1" s="224"/>
      <c r="K1" s="224"/>
      <c r="L1" s="224"/>
      <c r="M1" s="224"/>
      <c r="N1" s="224"/>
      <c r="O1" s="224"/>
      <c r="P1" s="224"/>
      <c r="Q1" s="224"/>
      <c r="R1" s="224"/>
      <c r="S1" s="224"/>
      <c r="T1" s="224"/>
      <c r="U1" s="578"/>
      <c r="V1" s="224"/>
      <c r="W1" s="224"/>
      <c r="X1" s="224"/>
      <c r="Y1" s="224"/>
      <c r="Z1" s="224"/>
      <c r="AA1" s="224"/>
      <c r="AB1" s="224"/>
      <c r="AC1" s="224"/>
      <c r="AD1" s="224"/>
      <c r="AE1" s="224"/>
      <c r="AF1" s="224"/>
      <c r="AG1" s="578"/>
      <c r="AH1" s="224"/>
      <c r="AI1" s="224"/>
      <c r="AJ1" s="224"/>
      <c r="AK1" s="224"/>
      <c r="AL1" s="224"/>
      <c r="AM1" s="224"/>
      <c r="AN1" s="224"/>
      <c r="AO1" s="224"/>
      <c r="AP1" s="224"/>
      <c r="AQ1" s="224"/>
      <c r="AR1" s="403">
        <v>34</v>
      </c>
      <c r="AS1" s="403" t="s">
        <v>2910</v>
      </c>
      <c r="AT1" s="403"/>
      <c r="AU1" s="403"/>
      <c r="AV1" s="403"/>
      <c r="AW1" s="403"/>
      <c r="AX1" s="403"/>
      <c r="AY1" s="403"/>
      <c r="AZ1" s="403"/>
      <c r="BA1" s="403"/>
      <c r="BB1" s="403"/>
      <c r="BC1" s="403"/>
      <c r="BD1" s="403"/>
      <c r="BE1" s="403"/>
      <c r="BF1" s="403"/>
      <c r="BG1" s="403"/>
      <c r="BH1" s="403"/>
      <c r="BI1" s="403"/>
      <c r="BJ1" s="403"/>
      <c r="BK1" s="403"/>
      <c r="BL1" s="403"/>
      <c r="BM1" s="403"/>
      <c r="BN1" s="403"/>
      <c r="BO1" s="403"/>
      <c r="BP1" s="403"/>
      <c r="BQ1" s="403"/>
      <c r="BR1" s="403"/>
      <c r="BS1" s="403"/>
      <c r="BT1" s="403"/>
      <c r="BU1" s="403"/>
      <c r="BV1" s="403"/>
      <c r="BW1" s="403"/>
      <c r="BX1" s="403"/>
      <c r="BY1" s="403"/>
      <c r="BZ1" s="403"/>
      <c r="CA1" s="403" t="s">
        <v>4634</v>
      </c>
      <c r="CB1" s="403"/>
      <c r="CC1" s="403"/>
      <c r="CD1" s="403"/>
      <c r="CE1" s="403"/>
      <c r="CF1" s="403"/>
      <c r="CG1" s="403"/>
      <c r="CH1" s="403"/>
      <c r="CI1" s="403"/>
      <c r="CJ1" s="403"/>
      <c r="CK1" s="403"/>
      <c r="CL1" s="403"/>
      <c r="CM1" s="403"/>
      <c r="CN1" s="403"/>
      <c r="CO1" s="403"/>
      <c r="CP1" s="403"/>
      <c r="CQ1" s="403"/>
      <c r="CR1" s="403"/>
      <c r="CS1" s="403"/>
      <c r="CT1" s="403"/>
      <c r="CU1" s="403"/>
      <c r="CV1" s="403"/>
      <c r="CW1" s="403"/>
      <c r="CX1" s="403"/>
      <c r="CY1" s="403"/>
      <c r="CZ1" s="403"/>
      <c r="DA1" s="403"/>
      <c r="DB1" s="403"/>
      <c r="DC1" s="403"/>
      <c r="DD1" s="403"/>
      <c r="DE1" s="403"/>
      <c r="DF1" s="403"/>
      <c r="DG1" s="403"/>
      <c r="DH1" s="403"/>
      <c r="DI1" s="403" t="s">
        <v>4635</v>
      </c>
      <c r="DJ1" s="403"/>
      <c r="DK1" s="403"/>
      <c r="DL1" s="403"/>
      <c r="DM1" s="403"/>
      <c r="DN1" s="403"/>
      <c r="DO1" s="403"/>
      <c r="DP1" s="403"/>
      <c r="DQ1" s="403"/>
      <c r="DR1" s="403"/>
      <c r="DS1" s="403"/>
      <c r="DT1" s="403"/>
      <c r="DU1" s="403"/>
      <c r="DV1" s="403"/>
      <c r="DW1" s="403"/>
      <c r="DX1" s="403"/>
      <c r="DY1" s="403"/>
      <c r="DZ1" s="403"/>
      <c r="EA1" s="403"/>
      <c r="EB1" s="403"/>
      <c r="EC1" s="403"/>
      <c r="ED1" s="403"/>
      <c r="EE1" s="403"/>
      <c r="EF1" s="403"/>
      <c r="EG1" s="403"/>
      <c r="EH1" s="403"/>
      <c r="EI1" s="403"/>
      <c r="EJ1" s="403"/>
      <c r="EK1" s="403"/>
      <c r="EL1" s="403"/>
      <c r="EM1" s="403"/>
      <c r="EN1" s="403"/>
      <c r="EO1" s="403"/>
      <c r="EP1" s="403"/>
      <c r="EQ1" s="403" t="s">
        <v>4636</v>
      </c>
      <c r="ER1" s="403"/>
      <c r="ES1" s="403"/>
      <c r="ET1" s="403"/>
      <c r="EU1" s="403"/>
      <c r="EV1" s="403"/>
      <c r="EW1" s="403"/>
      <c r="EX1" s="403"/>
      <c r="EY1" s="403"/>
      <c r="EZ1" s="403"/>
      <c r="FA1" s="403"/>
      <c r="FB1" s="403"/>
      <c r="FC1" s="403"/>
      <c r="FD1" s="403"/>
      <c r="FE1" s="403"/>
      <c r="FF1" s="403"/>
      <c r="FG1" s="403"/>
      <c r="FH1" s="403"/>
      <c r="FI1" s="403"/>
      <c r="FJ1" s="403"/>
      <c r="FK1" s="403"/>
      <c r="FL1" s="403"/>
      <c r="FM1" s="403"/>
      <c r="FN1" s="403"/>
      <c r="FO1" s="403"/>
      <c r="FP1" s="403"/>
      <c r="FQ1" s="403"/>
      <c r="FR1" s="403"/>
      <c r="FS1" s="403"/>
      <c r="FT1" s="403"/>
      <c r="FU1" s="403"/>
      <c r="FV1" s="403"/>
      <c r="FW1" s="403"/>
      <c r="FX1" s="403"/>
      <c r="FY1" s="403" t="s">
        <v>4637</v>
      </c>
      <c r="FZ1" s="403"/>
      <c r="GA1" s="403"/>
      <c r="GB1" s="403"/>
      <c r="GC1" s="403"/>
      <c r="GD1" s="403"/>
      <c r="GE1" s="403"/>
      <c r="GF1" s="403"/>
      <c r="GG1" s="403"/>
      <c r="GH1" s="403"/>
      <c r="GI1" s="403"/>
      <c r="GJ1" s="403"/>
      <c r="GK1" s="403"/>
      <c r="GL1" s="403"/>
      <c r="GM1" s="403"/>
      <c r="GN1" s="403"/>
      <c r="GO1" s="403"/>
      <c r="GP1" s="403"/>
      <c r="GQ1" s="403"/>
      <c r="GR1" s="403"/>
      <c r="GS1" s="403"/>
      <c r="GT1" s="403"/>
      <c r="GU1" s="403"/>
      <c r="GV1" s="403"/>
      <c r="GW1" s="403"/>
      <c r="GX1" s="403"/>
      <c r="GY1" s="403"/>
      <c r="GZ1" s="403"/>
      <c r="HA1" s="403"/>
      <c r="HB1" s="403"/>
      <c r="HC1" s="403"/>
      <c r="HD1" s="403"/>
      <c r="HE1" s="403"/>
      <c r="HF1" s="403"/>
      <c r="HG1" s="403" t="s">
        <v>4638</v>
      </c>
      <c r="HH1" s="403"/>
      <c r="HI1" s="403"/>
      <c r="HJ1" s="403"/>
      <c r="HK1" s="403"/>
      <c r="HL1" s="403"/>
      <c r="HM1" s="403"/>
      <c r="HN1" s="403"/>
      <c r="HO1" s="403"/>
      <c r="HP1" s="403"/>
      <c r="HQ1" s="403"/>
      <c r="HR1" s="403"/>
      <c r="HS1" s="403"/>
      <c r="HT1" s="403"/>
      <c r="HU1" s="403"/>
      <c r="HV1" s="403"/>
      <c r="HW1" s="403"/>
      <c r="HX1" s="403"/>
      <c r="HY1" s="403"/>
      <c r="HZ1" s="403"/>
      <c r="IA1" s="403"/>
      <c r="IB1" s="403"/>
      <c r="IC1" s="403"/>
      <c r="ID1" s="403"/>
      <c r="IE1" s="403"/>
      <c r="IF1" s="403"/>
      <c r="IG1" s="403"/>
      <c r="IH1" s="403"/>
      <c r="II1" s="403"/>
      <c r="IJ1" s="403"/>
      <c r="IK1" s="403"/>
      <c r="IL1" s="403"/>
      <c r="IM1" s="403"/>
      <c r="IN1" s="403"/>
      <c r="IO1" s="403" t="s">
        <v>4639</v>
      </c>
      <c r="IP1" s="403"/>
      <c r="IQ1" s="403"/>
      <c r="IR1" s="403"/>
      <c r="IS1" s="403"/>
      <c r="IT1" s="403"/>
      <c r="IU1" s="403"/>
      <c r="IV1" s="403"/>
      <c r="IW1" s="403"/>
      <c r="IX1" s="403"/>
      <c r="IY1" s="403"/>
      <c r="IZ1" s="403"/>
      <c r="JA1" s="403"/>
      <c r="JB1" s="403"/>
      <c r="JC1" s="403"/>
      <c r="JD1" s="403"/>
      <c r="JE1" s="403"/>
      <c r="JF1" s="403"/>
      <c r="JG1" s="403"/>
      <c r="JH1" s="403"/>
      <c r="JI1" s="403"/>
      <c r="JJ1" s="403"/>
      <c r="JK1" s="403"/>
      <c r="JL1" s="403"/>
      <c r="JM1" s="403"/>
      <c r="JN1" s="403"/>
      <c r="JO1" s="403"/>
      <c r="JP1" s="403"/>
      <c r="JQ1" s="403"/>
      <c r="JR1" s="403"/>
      <c r="JS1" s="403"/>
      <c r="JT1" s="403"/>
    </row>
    <row r="2" spans="1:280" s="299" customFormat="1" ht="99.95" customHeight="1" x14ac:dyDescent="0.2">
      <c r="B2" s="622"/>
      <c r="U2" s="622"/>
      <c r="AG2" s="622"/>
      <c r="AR2" s="505" t="s">
        <v>4529</v>
      </c>
      <c r="AS2" s="403"/>
      <c r="AT2" s="403"/>
      <c r="AU2" s="403"/>
      <c r="AV2" s="403"/>
      <c r="AW2" s="403"/>
      <c r="AX2" s="403"/>
      <c r="AY2" s="403"/>
      <c r="AZ2" s="403"/>
      <c r="BA2" s="403"/>
      <c r="BB2" s="403"/>
      <c r="BC2" s="403"/>
      <c r="BD2" s="403"/>
      <c r="BE2" s="403"/>
      <c r="BF2" s="403"/>
      <c r="BG2" s="403"/>
      <c r="BH2" s="403"/>
      <c r="BI2" s="403"/>
      <c r="BJ2" s="403"/>
      <c r="BK2" s="403"/>
      <c r="BL2" s="403"/>
      <c r="BM2" s="403"/>
      <c r="BN2" s="403"/>
      <c r="BO2" s="403"/>
      <c r="BP2" s="403"/>
      <c r="BQ2" s="403"/>
      <c r="BR2" s="403"/>
      <c r="BS2" s="403"/>
      <c r="BT2" s="403"/>
      <c r="BU2" s="403"/>
      <c r="BV2" s="403"/>
      <c r="BW2" s="403"/>
      <c r="BX2" s="403"/>
      <c r="BY2" s="403"/>
      <c r="BZ2" s="403"/>
      <c r="CA2" s="403"/>
      <c r="CB2" s="403"/>
      <c r="CC2" s="403"/>
      <c r="CD2" s="403"/>
      <c r="CE2" s="403"/>
      <c r="CF2" s="403"/>
      <c r="CG2" s="403"/>
      <c r="CH2" s="403"/>
      <c r="CI2" s="403"/>
      <c r="CJ2" s="403"/>
      <c r="CK2" s="403"/>
      <c r="CL2" s="403"/>
      <c r="CM2" s="403"/>
      <c r="CN2" s="403"/>
      <c r="CO2" s="403"/>
      <c r="CP2" s="403"/>
      <c r="CQ2" s="403"/>
      <c r="CR2" s="403"/>
      <c r="CS2" s="403"/>
      <c r="CT2" s="403"/>
      <c r="CU2" s="403"/>
      <c r="CV2" s="403"/>
      <c r="CW2" s="403"/>
      <c r="CX2" s="403"/>
      <c r="CY2" s="403"/>
      <c r="CZ2" s="403"/>
      <c r="DA2" s="403"/>
      <c r="DB2" s="403"/>
      <c r="DC2" s="403"/>
      <c r="DD2" s="403"/>
      <c r="DE2" s="403"/>
      <c r="DF2" s="403"/>
      <c r="DG2" s="403"/>
      <c r="DH2" s="403"/>
      <c r="DI2" s="403"/>
      <c r="DJ2" s="403"/>
      <c r="DK2" s="403"/>
      <c r="DL2" s="403"/>
      <c r="DM2" s="403"/>
      <c r="DN2" s="403"/>
      <c r="DO2" s="403"/>
      <c r="DP2" s="403"/>
      <c r="DQ2" s="403"/>
      <c r="DR2" s="403"/>
      <c r="DS2" s="403"/>
      <c r="DT2" s="403"/>
      <c r="DU2" s="403"/>
      <c r="DV2" s="403"/>
      <c r="DW2" s="403"/>
      <c r="DX2" s="403"/>
      <c r="DY2" s="403"/>
      <c r="DZ2" s="403"/>
      <c r="EA2" s="403"/>
      <c r="EB2" s="403"/>
      <c r="EC2" s="403"/>
      <c r="ED2" s="403"/>
      <c r="EE2" s="403"/>
      <c r="EF2" s="403"/>
      <c r="EG2" s="403"/>
      <c r="EH2" s="403"/>
      <c r="EI2" s="403"/>
      <c r="EJ2" s="403"/>
      <c r="EK2" s="403"/>
      <c r="EL2" s="403"/>
      <c r="EM2" s="403"/>
      <c r="EN2" s="403"/>
      <c r="EO2" s="403"/>
      <c r="EP2" s="403"/>
      <c r="EQ2" s="403"/>
      <c r="ER2" s="403"/>
      <c r="ES2" s="403"/>
      <c r="ET2" s="403"/>
      <c r="EU2" s="403"/>
      <c r="EV2" s="403"/>
      <c r="EW2" s="403"/>
      <c r="EX2" s="403"/>
      <c r="EY2" s="403"/>
      <c r="EZ2" s="403"/>
      <c r="FA2" s="403"/>
      <c r="FB2" s="403"/>
      <c r="FC2" s="403"/>
      <c r="FD2" s="403"/>
      <c r="FE2" s="403"/>
      <c r="FF2" s="403"/>
      <c r="FG2" s="403"/>
      <c r="FH2" s="403"/>
      <c r="FI2" s="403"/>
      <c r="FJ2" s="403"/>
      <c r="FK2" s="403"/>
      <c r="FL2" s="403"/>
      <c r="FM2" s="403"/>
      <c r="FN2" s="403"/>
      <c r="FO2" s="403"/>
      <c r="FP2" s="403"/>
      <c r="FQ2" s="403"/>
      <c r="FR2" s="403"/>
      <c r="FS2" s="403"/>
      <c r="FT2" s="403"/>
      <c r="FU2" s="403"/>
      <c r="FV2" s="403"/>
      <c r="FW2" s="403"/>
      <c r="FX2" s="403"/>
      <c r="FY2" s="403"/>
      <c r="FZ2" s="403"/>
      <c r="GA2" s="403"/>
      <c r="GB2" s="403"/>
      <c r="GC2" s="403"/>
      <c r="GD2" s="403"/>
      <c r="GE2" s="403"/>
      <c r="GF2" s="403"/>
      <c r="GG2" s="403"/>
      <c r="GH2" s="403"/>
      <c r="GI2" s="403"/>
      <c r="GJ2" s="403"/>
      <c r="GK2" s="403"/>
      <c r="GL2" s="403"/>
      <c r="GM2" s="403"/>
      <c r="GN2" s="403"/>
      <c r="GO2" s="403"/>
      <c r="GP2" s="403"/>
      <c r="GQ2" s="403"/>
      <c r="GR2" s="403"/>
      <c r="GS2" s="403"/>
      <c r="GT2" s="403"/>
      <c r="GU2" s="403"/>
      <c r="GV2" s="403"/>
      <c r="GW2" s="403"/>
      <c r="GX2" s="403"/>
      <c r="GY2" s="403"/>
      <c r="GZ2" s="403"/>
      <c r="HA2" s="403"/>
      <c r="HB2" s="403"/>
      <c r="HC2" s="403"/>
      <c r="HD2" s="403"/>
      <c r="HE2" s="403"/>
      <c r="HF2" s="403"/>
      <c r="HG2" s="403"/>
      <c r="HH2" s="403"/>
      <c r="HI2" s="403"/>
      <c r="HJ2" s="403"/>
      <c r="HK2" s="403"/>
      <c r="HL2" s="403"/>
      <c r="HM2" s="403"/>
      <c r="HN2" s="403"/>
      <c r="HO2" s="403"/>
      <c r="HP2" s="403"/>
      <c r="HQ2" s="403"/>
      <c r="HR2" s="403"/>
      <c r="HS2" s="403"/>
      <c r="HT2" s="403"/>
      <c r="HU2" s="403"/>
      <c r="HV2" s="403"/>
      <c r="HW2" s="403"/>
      <c r="HX2" s="403"/>
      <c r="HY2" s="403"/>
      <c r="HZ2" s="403"/>
      <c r="IA2" s="403"/>
      <c r="IB2" s="403"/>
      <c r="IC2" s="403"/>
      <c r="ID2" s="403"/>
      <c r="IE2" s="403"/>
      <c r="IF2" s="403"/>
      <c r="IG2" s="403"/>
      <c r="IH2" s="403"/>
      <c r="II2" s="403"/>
      <c r="IJ2" s="403"/>
      <c r="IK2" s="403"/>
      <c r="IL2" s="403"/>
      <c r="IM2" s="403"/>
      <c r="IN2" s="403"/>
      <c r="IO2" s="403"/>
      <c r="IP2" s="403"/>
      <c r="IQ2" s="403"/>
      <c r="IR2" s="403"/>
      <c r="IS2" s="403"/>
      <c r="IT2" s="403"/>
      <c r="IU2" s="403"/>
      <c r="IV2" s="403"/>
      <c r="IW2" s="403"/>
      <c r="IX2" s="403"/>
      <c r="IY2" s="403"/>
      <c r="IZ2" s="403"/>
      <c r="JA2" s="403"/>
      <c r="JB2" s="403"/>
      <c r="JC2" s="403"/>
      <c r="JD2" s="403"/>
      <c r="JE2" s="403"/>
      <c r="JF2" s="403"/>
      <c r="JG2" s="403"/>
      <c r="JH2" s="403"/>
      <c r="JI2" s="403"/>
      <c r="JJ2" s="403"/>
      <c r="JK2" s="403"/>
      <c r="JL2" s="403"/>
      <c r="JM2" s="403"/>
      <c r="JN2" s="403"/>
      <c r="JO2" s="403"/>
      <c r="JP2" s="403"/>
      <c r="JQ2" s="403"/>
      <c r="JR2" s="403"/>
      <c r="JS2" s="403"/>
      <c r="JT2" s="403"/>
    </row>
    <row r="3" spans="1:280" s="27" customFormat="1" ht="19.5" x14ac:dyDescent="0.3">
      <c r="A3" s="27" t="str">
        <f ca="1">IF(OFFSET(AS3,0,Lang_Order*Lang__B5)="","",OFFSET(AS3,0,Lang_Order*Lang__B5))</f>
        <v>B5. Last Mile Service Delivery (excluding vaccines and related supplies)</v>
      </c>
      <c r="B3" s="579"/>
      <c r="C3" s="28"/>
      <c r="E3" s="29"/>
      <c r="F3" s="29"/>
      <c r="G3" s="29"/>
      <c r="H3" s="29"/>
      <c r="I3" s="29"/>
      <c r="J3" s="29"/>
      <c r="K3" s="29"/>
      <c r="L3" s="29"/>
      <c r="M3" s="29"/>
      <c r="N3" s="29"/>
      <c r="O3" s="29"/>
      <c r="P3" s="29"/>
      <c r="Q3" s="29"/>
      <c r="U3" s="579"/>
      <c r="AG3" s="579"/>
      <c r="AR3" s="403"/>
      <c r="AS3" s="403" t="s">
        <v>4198</v>
      </c>
      <c r="AT3" s="403"/>
      <c r="AU3" s="403"/>
      <c r="AV3" s="403"/>
      <c r="AW3" s="403"/>
      <c r="AX3" s="403"/>
      <c r="AY3" s="403"/>
      <c r="AZ3" s="403"/>
      <c r="BA3" s="403"/>
      <c r="BB3" s="403"/>
      <c r="BC3" s="403"/>
      <c r="BD3" s="403"/>
      <c r="BE3" s="403"/>
      <c r="BF3" s="403"/>
      <c r="BG3" s="403"/>
      <c r="BH3" s="403"/>
      <c r="BI3" s="403"/>
      <c r="BJ3" s="403"/>
      <c r="BK3" s="403"/>
      <c r="BL3" s="403"/>
      <c r="BM3" s="403"/>
      <c r="BN3" s="403"/>
      <c r="BO3" s="403"/>
      <c r="BP3" s="403"/>
      <c r="BQ3" s="403"/>
      <c r="BR3" s="403"/>
      <c r="BS3" s="403"/>
      <c r="BT3" s="403"/>
      <c r="BU3" s="403"/>
      <c r="BV3" s="403"/>
      <c r="BW3" s="403"/>
      <c r="BX3" s="403"/>
      <c r="BY3" s="403"/>
      <c r="BZ3" s="403"/>
      <c r="CA3" s="403" t="s">
        <v>11450</v>
      </c>
      <c r="CB3" s="403"/>
      <c r="CC3" s="403"/>
      <c r="CD3" s="403"/>
      <c r="CE3" s="403"/>
      <c r="CF3" s="403"/>
      <c r="CG3" s="403"/>
      <c r="CH3" s="403"/>
      <c r="CI3" s="403"/>
      <c r="CJ3" s="403"/>
      <c r="CK3" s="403"/>
      <c r="CL3" s="403"/>
      <c r="CM3" s="403"/>
      <c r="CN3" s="403"/>
      <c r="CO3" s="403"/>
      <c r="CP3" s="403"/>
      <c r="CQ3" s="403"/>
      <c r="CR3" s="403"/>
      <c r="CS3" s="403"/>
      <c r="CT3" s="403"/>
      <c r="CU3" s="403"/>
      <c r="CV3" s="403"/>
      <c r="CW3" s="403"/>
      <c r="CX3" s="403"/>
      <c r="CY3" s="403"/>
      <c r="CZ3" s="403"/>
      <c r="DA3" s="403"/>
      <c r="DB3" s="403"/>
      <c r="DC3" s="403"/>
      <c r="DD3" s="403"/>
      <c r="DE3" s="403"/>
      <c r="DF3" s="403"/>
      <c r="DG3" s="403"/>
      <c r="DH3" s="403"/>
      <c r="DI3" s="403" t="s">
        <v>11451</v>
      </c>
      <c r="DJ3" s="403"/>
      <c r="DK3" s="403"/>
      <c r="DL3" s="403"/>
      <c r="DM3" s="403"/>
      <c r="DN3" s="403"/>
      <c r="DO3" s="403"/>
      <c r="DP3" s="403"/>
      <c r="DQ3" s="403"/>
      <c r="DR3" s="403"/>
      <c r="DS3" s="403"/>
      <c r="DT3" s="403"/>
      <c r="DU3" s="403"/>
      <c r="DV3" s="403"/>
      <c r="DW3" s="403"/>
      <c r="DX3" s="403"/>
      <c r="DY3" s="403"/>
      <c r="DZ3" s="403"/>
      <c r="EA3" s="403"/>
      <c r="EB3" s="403"/>
      <c r="EC3" s="403"/>
      <c r="ED3" s="403"/>
      <c r="EE3" s="403"/>
      <c r="EF3" s="403"/>
      <c r="EG3" s="403"/>
      <c r="EH3" s="403"/>
      <c r="EI3" s="403"/>
      <c r="EJ3" s="403"/>
      <c r="EK3" s="403"/>
      <c r="EL3" s="403"/>
      <c r="EM3" s="403"/>
      <c r="EN3" s="403"/>
      <c r="EO3" s="403"/>
      <c r="EP3" s="403"/>
      <c r="EQ3" s="403" t="s">
        <v>11452</v>
      </c>
      <c r="ER3" s="403"/>
      <c r="ES3" s="403"/>
      <c r="ET3" s="403"/>
      <c r="EU3" s="403"/>
      <c r="EV3" s="403"/>
      <c r="EW3" s="403"/>
      <c r="EX3" s="403"/>
      <c r="EY3" s="403"/>
      <c r="EZ3" s="403"/>
      <c r="FA3" s="403"/>
      <c r="FB3" s="403"/>
      <c r="FC3" s="403"/>
      <c r="FD3" s="403"/>
      <c r="FE3" s="403"/>
      <c r="FF3" s="403"/>
      <c r="FG3" s="403"/>
      <c r="FH3" s="403"/>
      <c r="FI3" s="403"/>
      <c r="FJ3" s="403"/>
      <c r="FK3" s="403"/>
      <c r="FL3" s="403"/>
      <c r="FM3" s="403"/>
      <c r="FN3" s="403"/>
      <c r="FO3" s="403"/>
      <c r="FP3" s="403"/>
      <c r="FQ3" s="403"/>
      <c r="FR3" s="403"/>
      <c r="FS3" s="403"/>
      <c r="FT3" s="403"/>
      <c r="FU3" s="403"/>
      <c r="FV3" s="403"/>
      <c r="FW3" s="403"/>
      <c r="FX3" s="403"/>
      <c r="FY3" s="403" t="s">
        <v>11453</v>
      </c>
      <c r="FZ3" s="403"/>
      <c r="GA3" s="403"/>
      <c r="GB3" s="403"/>
      <c r="GC3" s="403"/>
      <c r="GD3" s="403"/>
      <c r="GE3" s="403"/>
      <c r="GF3" s="403"/>
      <c r="GG3" s="403"/>
      <c r="GH3" s="403"/>
      <c r="GI3" s="403"/>
      <c r="GJ3" s="403"/>
      <c r="GK3" s="403"/>
      <c r="GL3" s="403"/>
      <c r="GM3" s="403"/>
      <c r="GN3" s="403"/>
      <c r="GO3" s="403"/>
      <c r="GP3" s="403"/>
      <c r="GQ3" s="403"/>
      <c r="GR3" s="403"/>
      <c r="GS3" s="403"/>
      <c r="GT3" s="403"/>
      <c r="GU3" s="403"/>
      <c r="GV3" s="403"/>
      <c r="GW3" s="403"/>
      <c r="GX3" s="403"/>
      <c r="GY3" s="403"/>
      <c r="GZ3" s="403"/>
      <c r="HA3" s="403"/>
      <c r="HB3" s="403"/>
      <c r="HC3" s="403"/>
      <c r="HD3" s="403"/>
      <c r="HE3" s="403"/>
      <c r="HF3" s="403"/>
      <c r="HG3" s="403" t="s">
        <v>11454</v>
      </c>
      <c r="HH3" s="403"/>
      <c r="HI3" s="403"/>
      <c r="HJ3" s="403"/>
      <c r="HK3" s="403"/>
      <c r="HL3" s="403"/>
      <c r="HM3" s="403"/>
      <c r="HN3" s="403"/>
      <c r="HO3" s="403"/>
      <c r="HP3" s="403"/>
      <c r="HQ3" s="403"/>
      <c r="HR3" s="403"/>
      <c r="HS3" s="403"/>
      <c r="HT3" s="403"/>
      <c r="HU3" s="403"/>
      <c r="HV3" s="403"/>
      <c r="HW3" s="403"/>
      <c r="HX3" s="403"/>
      <c r="HY3" s="403"/>
      <c r="HZ3" s="403"/>
      <c r="IA3" s="403"/>
      <c r="IB3" s="403"/>
      <c r="IC3" s="403"/>
      <c r="ID3" s="403"/>
      <c r="IE3" s="403"/>
      <c r="IF3" s="403"/>
      <c r="IG3" s="403"/>
      <c r="IH3" s="403"/>
      <c r="II3" s="403"/>
      <c r="IJ3" s="403"/>
      <c r="IK3" s="403"/>
      <c r="IL3" s="403"/>
      <c r="IM3" s="403"/>
      <c r="IN3" s="403"/>
      <c r="IO3" s="403" t="s">
        <v>11455</v>
      </c>
      <c r="IP3" s="403"/>
      <c r="IQ3" s="403"/>
      <c r="IR3" s="403"/>
      <c r="IS3" s="403"/>
      <c r="IT3" s="403"/>
      <c r="IU3" s="403"/>
      <c r="IV3" s="403"/>
      <c r="IW3" s="403"/>
      <c r="IX3" s="403"/>
      <c r="IY3" s="403"/>
      <c r="IZ3" s="403"/>
      <c r="JA3" s="403"/>
      <c r="JB3" s="403"/>
      <c r="JC3" s="403"/>
      <c r="JD3" s="403"/>
      <c r="JE3" s="403"/>
      <c r="JF3" s="403"/>
      <c r="JG3" s="403"/>
      <c r="JH3" s="403"/>
      <c r="JI3" s="403"/>
      <c r="JJ3" s="403"/>
      <c r="JK3" s="403"/>
      <c r="JL3" s="403"/>
      <c r="JM3" s="403"/>
      <c r="JN3" s="403"/>
      <c r="JO3" s="403"/>
      <c r="JP3" s="403"/>
      <c r="JQ3" s="403"/>
      <c r="JR3" s="403"/>
      <c r="JS3" s="403"/>
      <c r="JT3" s="403"/>
    </row>
    <row r="4" spans="1:280" s="15" customFormat="1" ht="12.75" x14ac:dyDescent="0.2">
      <c r="A4" s="47"/>
      <c r="B4" s="342"/>
      <c r="C4" s="47"/>
      <c r="I4" s="72" t="str">
        <f ca="1">IF(OFFSET(BA4,0,Lang_Order*Lang__B5)="","",OFFSET(BA4,0,Lang_Order*Lang__B5))</f>
        <v>UCC acceleration factor</v>
      </c>
      <c r="J4" s="3" t="e">
        <f>IF('B3. International Logistics'!$C$31='T2. Misc'!$G$12,2,1)</f>
        <v>#N/A</v>
      </c>
      <c r="K4" s="539"/>
      <c r="T4" s="241"/>
      <c r="U4" s="622"/>
      <c r="AF4" s="241"/>
      <c r="AG4" s="622"/>
      <c r="AR4" s="403"/>
      <c r="AS4" s="403"/>
      <c r="AT4" s="403"/>
      <c r="AU4" s="403"/>
      <c r="AV4" s="403"/>
      <c r="AW4" s="403"/>
      <c r="AX4" s="403"/>
      <c r="AY4" s="403"/>
      <c r="AZ4" s="403"/>
      <c r="BA4" s="403" t="s">
        <v>4565</v>
      </c>
      <c r="BB4" s="403"/>
      <c r="BC4" s="403"/>
      <c r="BD4" s="403"/>
      <c r="BE4" s="403"/>
      <c r="BF4" s="403"/>
      <c r="BG4" s="403"/>
      <c r="BH4" s="403"/>
      <c r="BI4" s="403"/>
      <c r="BJ4" s="403"/>
      <c r="BK4" s="403"/>
      <c r="BL4" s="403"/>
      <c r="BM4" s="403"/>
      <c r="BN4" s="403"/>
      <c r="BO4" s="403"/>
      <c r="BP4" s="403"/>
      <c r="BQ4" s="403"/>
      <c r="BR4" s="403"/>
      <c r="BS4" s="403"/>
      <c r="BT4" s="403"/>
      <c r="BU4" s="403"/>
      <c r="BV4" s="403"/>
      <c r="BW4" s="403"/>
      <c r="BX4" s="403"/>
      <c r="BY4" s="403"/>
      <c r="BZ4" s="403"/>
      <c r="CA4" s="403"/>
      <c r="CB4" s="403"/>
      <c r="CC4" s="403"/>
      <c r="CD4" s="403"/>
      <c r="CE4" s="403"/>
      <c r="CF4" s="403"/>
      <c r="CG4" s="403"/>
      <c r="CH4" s="403"/>
      <c r="CI4" s="403" t="s">
        <v>13209</v>
      </c>
      <c r="CJ4" s="403"/>
      <c r="CK4" s="403"/>
      <c r="CL4" s="403"/>
      <c r="CM4" s="403"/>
      <c r="CN4" s="403"/>
      <c r="CO4" s="403"/>
      <c r="CP4" s="403"/>
      <c r="CQ4" s="403"/>
      <c r="CR4" s="403"/>
      <c r="CS4" s="403"/>
      <c r="CT4" s="403"/>
      <c r="CU4" s="403"/>
      <c r="CV4" s="403"/>
      <c r="CW4" s="403"/>
      <c r="CX4" s="403"/>
      <c r="CY4" s="403"/>
      <c r="CZ4" s="403"/>
      <c r="DA4" s="403"/>
      <c r="DB4" s="403"/>
      <c r="DC4" s="403"/>
      <c r="DD4" s="403"/>
      <c r="DE4" s="403"/>
      <c r="DF4" s="403"/>
      <c r="DG4" s="403"/>
      <c r="DH4" s="403"/>
      <c r="DI4" s="403"/>
      <c r="DJ4" s="403"/>
      <c r="DK4" s="403"/>
      <c r="DL4" s="403"/>
      <c r="DM4" s="403"/>
      <c r="DN4" s="403"/>
      <c r="DO4" s="403"/>
      <c r="DP4" s="403"/>
      <c r="DQ4" s="403" t="s">
        <v>13210</v>
      </c>
      <c r="DR4" s="403"/>
      <c r="DS4" s="403"/>
      <c r="DT4" s="403"/>
      <c r="DU4" s="403"/>
      <c r="DV4" s="403"/>
      <c r="DW4" s="403"/>
      <c r="DX4" s="403"/>
      <c r="DY4" s="403"/>
      <c r="DZ4" s="403"/>
      <c r="EA4" s="403"/>
      <c r="EB4" s="403"/>
      <c r="EC4" s="403"/>
      <c r="ED4" s="403"/>
      <c r="EE4" s="403"/>
      <c r="EF4" s="403"/>
      <c r="EG4" s="403"/>
      <c r="EH4" s="403"/>
      <c r="EI4" s="403"/>
      <c r="EJ4" s="403"/>
      <c r="EK4" s="403"/>
      <c r="EL4" s="403"/>
      <c r="EM4" s="403"/>
      <c r="EN4" s="403"/>
      <c r="EO4" s="403"/>
      <c r="EP4" s="403"/>
      <c r="EQ4" s="403"/>
      <c r="ER4" s="403"/>
      <c r="ES4" s="403"/>
      <c r="ET4" s="403"/>
      <c r="EU4" s="403"/>
      <c r="EV4" s="403"/>
      <c r="EW4" s="403"/>
      <c r="EX4" s="403"/>
      <c r="EY4" s="403" t="s">
        <v>13211</v>
      </c>
      <c r="EZ4" s="403"/>
      <c r="FA4" s="403"/>
      <c r="FB4" s="403"/>
      <c r="FC4" s="403"/>
      <c r="FD4" s="403"/>
      <c r="FE4" s="403"/>
      <c r="FF4" s="403"/>
      <c r="FG4" s="403"/>
      <c r="FH4" s="403"/>
      <c r="FI4" s="403"/>
      <c r="FJ4" s="403"/>
      <c r="FK4" s="403"/>
      <c r="FL4" s="403"/>
      <c r="FM4" s="403"/>
      <c r="FN4" s="403"/>
      <c r="FO4" s="403"/>
      <c r="FP4" s="403"/>
      <c r="FQ4" s="403"/>
      <c r="FR4" s="403"/>
      <c r="FS4" s="403"/>
      <c r="FT4" s="403"/>
      <c r="FU4" s="403"/>
      <c r="FV4" s="403"/>
      <c r="FW4" s="403"/>
      <c r="FX4" s="403"/>
      <c r="FY4" s="403"/>
      <c r="FZ4" s="403"/>
      <c r="GA4" s="403"/>
      <c r="GB4" s="403"/>
      <c r="GC4" s="403"/>
      <c r="GD4" s="403"/>
      <c r="GE4" s="403"/>
      <c r="GF4" s="403"/>
      <c r="GG4" s="403" t="s">
        <v>13212</v>
      </c>
      <c r="GH4" s="403"/>
      <c r="GI4" s="403"/>
      <c r="GJ4" s="403"/>
      <c r="GK4" s="403"/>
      <c r="GL4" s="403"/>
      <c r="GM4" s="403"/>
      <c r="GN4" s="403"/>
      <c r="GO4" s="403"/>
      <c r="GP4" s="403"/>
      <c r="GQ4" s="403"/>
      <c r="GR4" s="403"/>
      <c r="GS4" s="403"/>
      <c r="GT4" s="403"/>
      <c r="GU4" s="403"/>
      <c r="GV4" s="403"/>
      <c r="GW4" s="403"/>
      <c r="GX4" s="403"/>
      <c r="GY4" s="403"/>
      <c r="GZ4" s="403"/>
      <c r="HA4" s="403"/>
      <c r="HB4" s="403"/>
      <c r="HC4" s="403"/>
      <c r="HD4" s="403"/>
      <c r="HE4" s="403"/>
      <c r="HF4" s="403"/>
      <c r="HG4" s="403"/>
      <c r="HH4" s="403"/>
      <c r="HI4" s="403"/>
      <c r="HJ4" s="403"/>
      <c r="HK4" s="403"/>
      <c r="HL4" s="403"/>
      <c r="HM4" s="403"/>
      <c r="HN4" s="403"/>
      <c r="HO4" s="403" t="s">
        <v>13213</v>
      </c>
      <c r="HP4" s="403"/>
      <c r="HQ4" s="403"/>
      <c r="HR4" s="403"/>
      <c r="HS4" s="403"/>
      <c r="HT4" s="403"/>
      <c r="HU4" s="403"/>
      <c r="HV4" s="403"/>
      <c r="HW4" s="403"/>
      <c r="HX4" s="403"/>
      <c r="HY4" s="403"/>
      <c r="HZ4" s="403"/>
      <c r="IA4" s="403"/>
      <c r="IB4" s="403"/>
      <c r="IC4" s="403"/>
      <c r="ID4" s="403"/>
      <c r="IE4" s="403"/>
      <c r="IF4" s="403"/>
      <c r="IG4" s="403"/>
      <c r="IH4" s="403"/>
      <c r="II4" s="403"/>
      <c r="IJ4" s="403"/>
      <c r="IK4" s="403"/>
      <c r="IL4" s="403"/>
      <c r="IM4" s="403"/>
      <c r="IN4" s="403"/>
      <c r="IO4" s="403"/>
      <c r="IP4" s="403"/>
      <c r="IQ4" s="403"/>
      <c r="IR4" s="403"/>
      <c r="IS4" s="403"/>
      <c r="IT4" s="403"/>
      <c r="IU4" s="403"/>
      <c r="IV4" s="403"/>
      <c r="IW4" s="403" t="s">
        <v>13214</v>
      </c>
      <c r="IX4" s="403"/>
      <c r="IY4" s="403"/>
      <c r="IZ4" s="403"/>
      <c r="JA4" s="403"/>
      <c r="JB4" s="403"/>
      <c r="JC4" s="403"/>
      <c r="JD4" s="403"/>
      <c r="JE4" s="403"/>
      <c r="JF4" s="403"/>
      <c r="JG4" s="403"/>
      <c r="JH4" s="403"/>
      <c r="JI4" s="403"/>
      <c r="JJ4" s="403"/>
      <c r="JK4" s="403"/>
      <c r="JL4" s="403"/>
      <c r="JM4" s="403"/>
      <c r="JN4" s="403"/>
      <c r="JO4" s="403"/>
      <c r="JP4" s="403"/>
      <c r="JQ4" s="403"/>
      <c r="JR4" s="403"/>
      <c r="JS4" s="403"/>
      <c r="JT4" s="403"/>
    </row>
    <row r="5" spans="1:280" s="526" customFormat="1" ht="12.75" x14ac:dyDescent="0.2">
      <c r="A5" s="85"/>
      <c r="B5" s="622"/>
      <c r="I5" s="72" t="str">
        <f ca="1">IF(OFFSET(BA5,0,Lang_Order*Lang__B5)="","",OFFSET(BA5,0,Lang_Order*Lang__B5))</f>
        <v>Default number of days for teams to complete vaccinations within each time period [DM 1-3]</v>
      </c>
      <c r="J5" s="3">
        <f>ROUNDDOWN(((Time_period*HRH_DaysPerWeek)/7),0)</f>
        <v>115</v>
      </c>
      <c r="K5" s="539"/>
      <c r="U5" s="622"/>
      <c r="AG5" s="622"/>
      <c r="BA5" s="564" t="s">
        <v>4562</v>
      </c>
      <c r="BB5" s="564"/>
      <c r="BC5" s="564"/>
      <c r="BD5" s="564"/>
      <c r="BE5" s="564"/>
      <c r="BF5" s="564"/>
      <c r="BG5" s="564"/>
      <c r="BH5" s="564"/>
      <c r="BI5" s="564"/>
      <c r="BJ5" s="564"/>
      <c r="BK5" s="564"/>
      <c r="BL5" s="564"/>
      <c r="BM5" s="564"/>
      <c r="BN5" s="564"/>
      <c r="BO5" s="564"/>
      <c r="BP5" s="564"/>
      <c r="BQ5" s="564"/>
      <c r="BR5" s="564"/>
      <c r="BS5" s="564"/>
      <c r="BT5" s="564"/>
      <c r="BU5" s="564"/>
      <c r="BV5" s="564"/>
      <c r="BW5" s="564"/>
      <c r="BX5" s="564"/>
      <c r="BY5" s="564"/>
      <c r="BZ5" s="564"/>
      <c r="CA5" s="564"/>
      <c r="CB5" s="564"/>
      <c r="CC5" s="564"/>
      <c r="CD5" s="564"/>
      <c r="CE5" s="564"/>
      <c r="CF5" s="564"/>
      <c r="CG5" s="564"/>
      <c r="CH5" s="564"/>
      <c r="CI5" s="564" t="s">
        <v>13215</v>
      </c>
      <c r="CJ5" s="564"/>
      <c r="CK5" s="564"/>
      <c r="CL5" s="564"/>
      <c r="CM5" s="564"/>
      <c r="CN5" s="564"/>
      <c r="CO5" s="564"/>
      <c r="CP5" s="564"/>
      <c r="CQ5" s="564"/>
      <c r="CR5" s="564"/>
      <c r="CS5" s="564"/>
      <c r="CT5" s="564"/>
      <c r="CU5" s="564"/>
      <c r="CV5" s="564"/>
      <c r="CW5" s="564"/>
      <c r="CX5" s="564"/>
      <c r="CY5" s="564"/>
      <c r="CZ5" s="564"/>
      <c r="DA5" s="564"/>
      <c r="DB5" s="564"/>
      <c r="DC5" s="564"/>
      <c r="DD5" s="564"/>
      <c r="DE5" s="564"/>
      <c r="DF5" s="564"/>
      <c r="DG5" s="564"/>
      <c r="DH5" s="564"/>
      <c r="DI5" s="564"/>
      <c r="DJ5" s="564"/>
      <c r="DK5" s="564"/>
      <c r="DL5" s="564"/>
      <c r="DM5" s="564"/>
      <c r="DN5" s="564"/>
      <c r="DO5" s="564"/>
      <c r="DP5" s="564"/>
      <c r="DQ5" s="564" t="s">
        <v>13216</v>
      </c>
      <c r="DR5" s="564"/>
      <c r="DS5" s="564"/>
      <c r="DT5" s="564"/>
      <c r="DU5" s="564"/>
      <c r="DV5" s="564"/>
      <c r="DW5" s="564"/>
      <c r="DX5" s="564"/>
      <c r="DY5" s="564"/>
      <c r="DZ5" s="564"/>
      <c r="EA5" s="564"/>
      <c r="EB5" s="564"/>
      <c r="EC5" s="564"/>
      <c r="ED5" s="564"/>
      <c r="EE5" s="564"/>
      <c r="EF5" s="564"/>
      <c r="EG5" s="564"/>
      <c r="EH5" s="564"/>
      <c r="EI5" s="564"/>
      <c r="EJ5" s="564"/>
      <c r="EK5" s="564"/>
      <c r="EL5" s="564"/>
      <c r="EM5" s="564"/>
      <c r="EN5" s="564"/>
      <c r="EO5" s="564"/>
      <c r="EP5" s="564"/>
      <c r="EQ5" s="564"/>
      <c r="ER5" s="564"/>
      <c r="ES5" s="564"/>
      <c r="ET5" s="564"/>
      <c r="EU5" s="564"/>
      <c r="EV5" s="564"/>
      <c r="EW5" s="564"/>
      <c r="EX5" s="564"/>
      <c r="EY5" s="564" t="s">
        <v>13217</v>
      </c>
      <c r="EZ5" s="564"/>
      <c r="FA5" s="564"/>
      <c r="FB5" s="564"/>
      <c r="FC5" s="564"/>
      <c r="FD5" s="564"/>
      <c r="FE5" s="564"/>
      <c r="FF5" s="564"/>
      <c r="FG5" s="564"/>
      <c r="FH5" s="564"/>
      <c r="FI5" s="564"/>
      <c r="FJ5" s="564"/>
      <c r="FK5" s="564"/>
      <c r="FL5" s="564"/>
      <c r="FM5" s="564"/>
      <c r="FN5" s="564"/>
      <c r="FO5" s="564"/>
      <c r="FP5" s="564"/>
      <c r="FQ5" s="564"/>
      <c r="FR5" s="564"/>
      <c r="FS5" s="564"/>
      <c r="FT5" s="564"/>
      <c r="FU5" s="564"/>
      <c r="FV5" s="564"/>
      <c r="FW5" s="564"/>
      <c r="FX5" s="564"/>
      <c r="FY5" s="564"/>
      <c r="FZ5" s="564"/>
      <c r="GA5" s="564"/>
      <c r="GB5" s="564"/>
      <c r="GC5" s="564"/>
      <c r="GD5" s="564"/>
      <c r="GE5" s="564"/>
      <c r="GF5" s="564"/>
      <c r="GG5" s="564" t="s">
        <v>13218</v>
      </c>
      <c r="GH5" s="564"/>
      <c r="GI5" s="564"/>
      <c r="GJ5" s="564"/>
      <c r="GK5" s="564"/>
      <c r="GL5" s="564"/>
      <c r="GM5" s="564"/>
      <c r="GN5" s="564"/>
      <c r="GO5" s="564"/>
      <c r="GP5" s="564"/>
      <c r="GQ5" s="564"/>
      <c r="GR5" s="564"/>
      <c r="GS5" s="564"/>
      <c r="GT5" s="564"/>
      <c r="GU5" s="564"/>
      <c r="GV5" s="564"/>
      <c r="GW5" s="564"/>
      <c r="GX5" s="564"/>
      <c r="GY5" s="564"/>
      <c r="GZ5" s="564"/>
      <c r="HA5" s="564"/>
      <c r="HB5" s="564"/>
      <c r="HC5" s="564"/>
      <c r="HD5" s="564"/>
      <c r="HE5" s="564"/>
      <c r="HF5" s="564"/>
      <c r="HG5" s="564"/>
      <c r="HH5" s="564"/>
      <c r="HI5" s="564"/>
      <c r="HJ5" s="564"/>
      <c r="HK5" s="564"/>
      <c r="HL5" s="564"/>
      <c r="HM5" s="564"/>
      <c r="HN5" s="564"/>
      <c r="HO5" s="564" t="s">
        <v>13219</v>
      </c>
      <c r="HP5" s="564"/>
      <c r="HQ5" s="564"/>
      <c r="HR5" s="564"/>
      <c r="HS5" s="564"/>
      <c r="HT5" s="564"/>
      <c r="HU5" s="564"/>
      <c r="HV5" s="564"/>
      <c r="HW5" s="564"/>
      <c r="HX5" s="564"/>
      <c r="HY5" s="564"/>
      <c r="HZ5" s="564"/>
      <c r="IA5" s="564"/>
      <c r="IB5" s="564"/>
      <c r="IC5" s="564"/>
      <c r="ID5" s="564"/>
      <c r="IE5" s="564"/>
      <c r="IF5" s="564"/>
      <c r="IG5" s="564"/>
      <c r="IH5" s="564"/>
      <c r="II5" s="564"/>
      <c r="IJ5" s="564"/>
      <c r="IK5" s="564"/>
      <c r="IL5" s="564"/>
      <c r="IM5" s="564"/>
      <c r="IN5" s="564"/>
      <c r="IO5" s="564"/>
      <c r="IP5" s="564"/>
      <c r="IQ5" s="564"/>
      <c r="IR5" s="564"/>
      <c r="IS5" s="564"/>
      <c r="IT5" s="564"/>
      <c r="IU5" s="564"/>
      <c r="IV5" s="564"/>
      <c r="IW5" s="564" t="s">
        <v>13220</v>
      </c>
    </row>
    <row r="6" spans="1:280" s="539" customFormat="1" ht="12.75" x14ac:dyDescent="0.2">
      <c r="A6" s="85"/>
      <c r="B6" s="622"/>
      <c r="I6" s="72" t="str">
        <f ca="1">IF(OFFSET(BA6,0,Lang_Order*Lang__B5)="","",OFFSET(BA6,0,Lang_Order*Lang__B5))</f>
        <v>MAX number of days for teams to complete vaccinations within each time period [DM 1-3] if UCC is used</v>
      </c>
      <c r="J6" s="3" t="e">
        <f>ROUND(HRH_DefaultDays_DM1to3/J4,0)</f>
        <v>#N/A</v>
      </c>
      <c r="U6" s="622"/>
      <c r="AG6" s="622"/>
      <c r="BA6" s="564" t="s">
        <v>4596</v>
      </c>
      <c r="BB6" s="564"/>
      <c r="BC6" s="564"/>
      <c r="BD6" s="564"/>
      <c r="BE6" s="564"/>
      <c r="BF6" s="564"/>
      <c r="BG6" s="564"/>
      <c r="BH6" s="564"/>
      <c r="BI6" s="564"/>
      <c r="BJ6" s="564"/>
      <c r="BK6" s="564"/>
      <c r="BL6" s="564"/>
      <c r="BM6" s="564"/>
      <c r="BN6" s="564"/>
      <c r="BO6" s="564"/>
      <c r="BP6" s="564"/>
      <c r="BQ6" s="564"/>
      <c r="BR6" s="564"/>
      <c r="BS6" s="564"/>
      <c r="BT6" s="564"/>
      <c r="BU6" s="564"/>
      <c r="BV6" s="564"/>
      <c r="BW6" s="564"/>
      <c r="BX6" s="564"/>
      <c r="BY6" s="564"/>
      <c r="BZ6" s="564"/>
      <c r="CA6" s="564"/>
      <c r="CB6" s="564"/>
      <c r="CC6" s="564"/>
      <c r="CD6" s="564"/>
      <c r="CE6" s="564"/>
      <c r="CF6" s="564"/>
      <c r="CG6" s="564"/>
      <c r="CH6" s="564"/>
      <c r="CI6" s="564" t="s">
        <v>13221</v>
      </c>
      <c r="CJ6" s="564"/>
      <c r="CK6" s="564"/>
      <c r="CL6" s="564"/>
      <c r="CM6" s="564"/>
      <c r="CN6" s="564"/>
      <c r="CO6" s="564"/>
      <c r="CP6" s="564"/>
      <c r="CQ6" s="564"/>
      <c r="CR6" s="564"/>
      <c r="CS6" s="564"/>
      <c r="CT6" s="564"/>
      <c r="CU6" s="564"/>
      <c r="CV6" s="564"/>
      <c r="CW6" s="564"/>
      <c r="CX6" s="564"/>
      <c r="CY6" s="564"/>
      <c r="CZ6" s="564"/>
      <c r="DA6" s="564"/>
      <c r="DB6" s="564"/>
      <c r="DC6" s="564"/>
      <c r="DD6" s="564"/>
      <c r="DE6" s="564"/>
      <c r="DF6" s="564"/>
      <c r="DG6" s="564"/>
      <c r="DH6" s="564"/>
      <c r="DI6" s="564"/>
      <c r="DJ6" s="564"/>
      <c r="DK6" s="564"/>
      <c r="DL6" s="564"/>
      <c r="DM6" s="564"/>
      <c r="DN6" s="564"/>
      <c r="DO6" s="564"/>
      <c r="DP6" s="564"/>
      <c r="DQ6" s="564" t="s">
        <v>13222</v>
      </c>
      <c r="DR6" s="564"/>
      <c r="DS6" s="564"/>
      <c r="DT6" s="564"/>
      <c r="DU6" s="564"/>
      <c r="DV6" s="564"/>
      <c r="DW6" s="564"/>
      <c r="DX6" s="564"/>
      <c r="DY6" s="564"/>
      <c r="DZ6" s="564"/>
      <c r="EA6" s="564"/>
      <c r="EB6" s="564"/>
      <c r="EC6" s="564"/>
      <c r="ED6" s="564"/>
      <c r="EE6" s="564"/>
      <c r="EF6" s="564"/>
      <c r="EG6" s="564"/>
      <c r="EH6" s="564"/>
      <c r="EI6" s="564"/>
      <c r="EJ6" s="564"/>
      <c r="EK6" s="564"/>
      <c r="EL6" s="564"/>
      <c r="EM6" s="564"/>
      <c r="EN6" s="564"/>
      <c r="EO6" s="564"/>
      <c r="EP6" s="564"/>
      <c r="EQ6" s="564"/>
      <c r="ER6" s="564"/>
      <c r="ES6" s="564"/>
      <c r="ET6" s="564"/>
      <c r="EU6" s="564"/>
      <c r="EV6" s="564"/>
      <c r="EW6" s="564"/>
      <c r="EX6" s="564"/>
      <c r="EY6" s="564" t="s">
        <v>13223</v>
      </c>
      <c r="EZ6" s="564"/>
      <c r="FA6" s="564"/>
      <c r="FB6" s="564"/>
      <c r="FC6" s="564"/>
      <c r="FD6" s="564"/>
      <c r="FE6" s="564"/>
      <c r="FF6" s="564"/>
      <c r="FG6" s="564"/>
      <c r="FH6" s="564"/>
      <c r="FI6" s="564"/>
      <c r="FJ6" s="564"/>
      <c r="FK6" s="564"/>
      <c r="FL6" s="564"/>
      <c r="FM6" s="564"/>
      <c r="FN6" s="564"/>
      <c r="FO6" s="564"/>
      <c r="FP6" s="564"/>
      <c r="FQ6" s="564"/>
      <c r="FR6" s="564"/>
      <c r="FS6" s="564"/>
      <c r="FT6" s="564"/>
      <c r="FU6" s="564"/>
      <c r="FV6" s="564"/>
      <c r="FW6" s="564"/>
      <c r="FX6" s="564"/>
      <c r="FY6" s="564"/>
      <c r="FZ6" s="564"/>
      <c r="GA6" s="564"/>
      <c r="GB6" s="564"/>
      <c r="GC6" s="564"/>
      <c r="GD6" s="564"/>
      <c r="GE6" s="564"/>
      <c r="GF6" s="564"/>
      <c r="GG6" s="564" t="s">
        <v>13224</v>
      </c>
      <c r="GH6" s="564"/>
      <c r="GI6" s="564"/>
      <c r="GJ6" s="564"/>
      <c r="GK6" s="564"/>
      <c r="GL6" s="564"/>
      <c r="GM6" s="564"/>
      <c r="GN6" s="564"/>
      <c r="GO6" s="564"/>
      <c r="GP6" s="564"/>
      <c r="GQ6" s="564"/>
      <c r="GR6" s="564"/>
      <c r="GS6" s="564"/>
      <c r="GT6" s="564"/>
      <c r="GU6" s="564"/>
      <c r="GV6" s="564"/>
      <c r="GW6" s="564"/>
      <c r="GX6" s="564"/>
      <c r="GY6" s="564"/>
      <c r="GZ6" s="564"/>
      <c r="HA6" s="564"/>
      <c r="HB6" s="564"/>
      <c r="HC6" s="564"/>
      <c r="HD6" s="564"/>
      <c r="HE6" s="564"/>
      <c r="HF6" s="564"/>
      <c r="HG6" s="564"/>
      <c r="HH6" s="564"/>
      <c r="HI6" s="564"/>
      <c r="HJ6" s="564"/>
      <c r="HK6" s="564"/>
      <c r="HL6" s="564"/>
      <c r="HM6" s="564"/>
      <c r="HN6" s="564"/>
      <c r="HO6" s="564" t="s">
        <v>13225</v>
      </c>
      <c r="HP6" s="564"/>
      <c r="HQ6" s="564"/>
      <c r="HR6" s="564"/>
      <c r="HS6" s="564"/>
      <c r="HT6" s="564"/>
      <c r="HU6" s="564"/>
      <c r="HV6" s="564"/>
      <c r="HW6" s="564"/>
      <c r="HX6" s="564"/>
      <c r="HY6" s="564"/>
      <c r="HZ6" s="564"/>
      <c r="IA6" s="564"/>
      <c r="IB6" s="564"/>
      <c r="IC6" s="564"/>
      <c r="ID6" s="564"/>
      <c r="IE6" s="564"/>
      <c r="IF6" s="564"/>
      <c r="IG6" s="564"/>
      <c r="IH6" s="564"/>
      <c r="II6" s="564"/>
      <c r="IJ6" s="564"/>
      <c r="IK6" s="564"/>
      <c r="IL6" s="564"/>
      <c r="IM6" s="564"/>
      <c r="IN6" s="564"/>
      <c r="IO6" s="564"/>
      <c r="IP6" s="564"/>
      <c r="IQ6" s="564"/>
      <c r="IR6" s="564"/>
      <c r="IS6" s="564"/>
      <c r="IT6" s="564"/>
      <c r="IU6" s="564"/>
      <c r="IV6" s="564"/>
      <c r="IW6" s="564" t="s">
        <v>13226</v>
      </c>
    </row>
    <row r="7" spans="1:280" s="526" customFormat="1" ht="12.75" x14ac:dyDescent="0.2">
      <c r="A7" s="85"/>
      <c r="B7" s="622"/>
      <c r="I7" s="72" t="str">
        <f ca="1">IF(OFFSET(BA7,0,Lang_Order*Lang__B5)="","",OFFSET(BA7,0,Lang_Order*Lang__B5))</f>
        <v>Default number of days for teams to complete vaccinations within each time period [DM 4]</v>
      </c>
      <c r="J7" s="3">
        <f>ROUNDDOWN((Time_period/(7)),0)*4</f>
        <v>100</v>
      </c>
      <c r="K7" s="539"/>
      <c r="R7" s="12" t="str">
        <f ca="1">R290</f>
        <v>Effectively a 4-day work week (either 2 sites x 2 days in a week or 1 site x 4 days in a week depending on 'cold life'</v>
      </c>
      <c r="U7" s="622"/>
      <c r="AG7" s="622"/>
      <c r="BA7" s="564" t="s">
        <v>4563</v>
      </c>
      <c r="BB7" s="564"/>
      <c r="BC7" s="564"/>
      <c r="BD7" s="564"/>
      <c r="BE7" s="564"/>
      <c r="BF7" s="564"/>
      <c r="BG7" s="564"/>
      <c r="BH7" s="564"/>
      <c r="BI7" s="564"/>
      <c r="BJ7" s="564"/>
      <c r="BK7" s="564"/>
      <c r="BL7" s="564"/>
      <c r="BM7" s="564"/>
      <c r="BN7" s="564"/>
      <c r="BO7" s="564"/>
      <c r="BP7" s="564"/>
      <c r="BQ7" s="564"/>
      <c r="BR7" s="564"/>
      <c r="BS7" s="564"/>
      <c r="BT7" s="564"/>
      <c r="BU7" s="564"/>
      <c r="BV7" s="564"/>
      <c r="BW7" s="564"/>
      <c r="BX7" s="564"/>
      <c r="BY7" s="564"/>
      <c r="BZ7" s="564"/>
      <c r="CA7" s="564"/>
      <c r="CB7" s="564"/>
      <c r="CC7" s="564"/>
      <c r="CD7" s="564"/>
      <c r="CE7" s="564"/>
      <c r="CF7" s="564"/>
      <c r="CG7" s="564"/>
      <c r="CH7" s="564"/>
      <c r="CI7" s="564" t="s">
        <v>13227</v>
      </c>
      <c r="CJ7" s="564"/>
      <c r="CK7" s="564"/>
      <c r="CL7" s="564"/>
      <c r="CM7" s="564"/>
      <c r="CN7" s="564"/>
      <c r="CO7" s="564"/>
      <c r="CP7" s="564"/>
      <c r="CQ7" s="564"/>
      <c r="CR7" s="564"/>
      <c r="CS7" s="564"/>
      <c r="CT7" s="564"/>
      <c r="CU7" s="564"/>
      <c r="CV7" s="564"/>
      <c r="CW7" s="564"/>
      <c r="CX7" s="564"/>
      <c r="CY7" s="564"/>
      <c r="CZ7" s="564"/>
      <c r="DA7" s="564"/>
      <c r="DB7" s="564"/>
      <c r="DC7" s="564"/>
      <c r="DD7" s="564"/>
      <c r="DE7" s="564"/>
      <c r="DF7" s="564"/>
      <c r="DG7" s="564"/>
      <c r="DH7" s="564"/>
      <c r="DI7" s="564"/>
      <c r="DJ7" s="564"/>
      <c r="DK7" s="564"/>
      <c r="DL7" s="564"/>
      <c r="DM7" s="564"/>
      <c r="DN7" s="564"/>
      <c r="DO7" s="564"/>
      <c r="DP7" s="564"/>
      <c r="DQ7" s="564" t="s">
        <v>13228</v>
      </c>
      <c r="DR7" s="564"/>
      <c r="DS7" s="564"/>
      <c r="DT7" s="564"/>
      <c r="DU7" s="564"/>
      <c r="DV7" s="564"/>
      <c r="DW7" s="564"/>
      <c r="DX7" s="564"/>
      <c r="DY7" s="564"/>
      <c r="DZ7" s="564"/>
      <c r="EA7" s="564"/>
      <c r="EB7" s="564"/>
      <c r="EC7" s="564"/>
      <c r="ED7" s="564"/>
      <c r="EE7" s="564"/>
      <c r="EF7" s="564"/>
      <c r="EG7" s="564"/>
      <c r="EH7" s="564"/>
      <c r="EI7" s="564"/>
      <c r="EJ7" s="564"/>
      <c r="EK7" s="564"/>
      <c r="EL7" s="564"/>
      <c r="EM7" s="564"/>
      <c r="EN7" s="564"/>
      <c r="EO7" s="564"/>
      <c r="EP7" s="564"/>
      <c r="EQ7" s="564"/>
      <c r="ER7" s="564"/>
      <c r="ES7" s="564"/>
      <c r="ET7" s="564"/>
      <c r="EU7" s="564"/>
      <c r="EV7" s="564"/>
      <c r="EW7" s="564"/>
      <c r="EX7" s="564"/>
      <c r="EY7" s="564" t="s">
        <v>13229</v>
      </c>
      <c r="EZ7" s="564"/>
      <c r="FA7" s="564"/>
      <c r="FB7" s="564"/>
      <c r="FC7" s="564"/>
      <c r="FD7" s="564"/>
      <c r="FE7" s="564"/>
      <c r="FF7" s="564"/>
      <c r="FG7" s="564"/>
      <c r="FH7" s="564"/>
      <c r="FI7" s="564"/>
      <c r="FJ7" s="564"/>
      <c r="FK7" s="564"/>
      <c r="FL7" s="564"/>
      <c r="FM7" s="564"/>
      <c r="FN7" s="564"/>
      <c r="FO7" s="564"/>
      <c r="FP7" s="564"/>
      <c r="FQ7" s="564"/>
      <c r="FR7" s="564"/>
      <c r="FS7" s="564"/>
      <c r="FT7" s="564"/>
      <c r="FU7" s="564"/>
      <c r="FV7" s="564"/>
      <c r="FW7" s="564"/>
      <c r="FX7" s="564"/>
      <c r="FY7" s="564"/>
      <c r="FZ7" s="564"/>
      <c r="GA7" s="564"/>
      <c r="GB7" s="564"/>
      <c r="GC7" s="564"/>
      <c r="GD7" s="564"/>
      <c r="GE7" s="564"/>
      <c r="GF7" s="564"/>
      <c r="GG7" s="564" t="s">
        <v>13230</v>
      </c>
      <c r="GH7" s="564"/>
      <c r="GI7" s="564"/>
      <c r="GJ7" s="564"/>
      <c r="GK7" s="564"/>
      <c r="GL7" s="564"/>
      <c r="GM7" s="564"/>
      <c r="GN7" s="564"/>
      <c r="GO7" s="564"/>
      <c r="GP7" s="564"/>
      <c r="GQ7" s="564"/>
      <c r="GR7" s="564"/>
      <c r="GS7" s="564"/>
      <c r="GT7" s="564"/>
      <c r="GU7" s="564"/>
      <c r="GV7" s="564"/>
      <c r="GW7" s="564"/>
      <c r="GX7" s="564"/>
      <c r="GY7" s="564"/>
      <c r="GZ7" s="564"/>
      <c r="HA7" s="564"/>
      <c r="HB7" s="564"/>
      <c r="HC7" s="564"/>
      <c r="HD7" s="564"/>
      <c r="HE7" s="564"/>
      <c r="HF7" s="564"/>
      <c r="HG7" s="564"/>
      <c r="HH7" s="564"/>
      <c r="HI7" s="564"/>
      <c r="HJ7" s="564"/>
      <c r="HK7" s="564"/>
      <c r="HL7" s="564"/>
      <c r="HM7" s="564"/>
      <c r="HN7" s="564"/>
      <c r="HO7" s="564" t="s">
        <v>13231</v>
      </c>
      <c r="HP7" s="564"/>
      <c r="HQ7" s="564"/>
      <c r="HR7" s="564"/>
      <c r="HS7" s="564"/>
      <c r="HT7" s="564"/>
      <c r="HU7" s="564"/>
      <c r="HV7" s="564"/>
      <c r="HW7" s="564"/>
      <c r="HX7" s="564"/>
      <c r="HY7" s="564"/>
      <c r="HZ7" s="564"/>
      <c r="IA7" s="564"/>
      <c r="IB7" s="564"/>
      <c r="IC7" s="564"/>
      <c r="ID7" s="564"/>
      <c r="IE7" s="564"/>
      <c r="IF7" s="564"/>
      <c r="IG7" s="564"/>
      <c r="IH7" s="564"/>
      <c r="II7" s="564"/>
      <c r="IJ7" s="564"/>
      <c r="IK7" s="564"/>
      <c r="IL7" s="564"/>
      <c r="IM7" s="564"/>
      <c r="IN7" s="564"/>
      <c r="IO7" s="564"/>
      <c r="IP7" s="564"/>
      <c r="IQ7" s="564"/>
      <c r="IR7" s="564"/>
      <c r="IS7" s="564"/>
      <c r="IT7" s="564"/>
      <c r="IU7" s="564"/>
      <c r="IV7" s="564"/>
      <c r="IW7" s="564" t="s">
        <v>13232</v>
      </c>
    </row>
    <row r="8" spans="1:280" s="526" customFormat="1" ht="12.75" x14ac:dyDescent="0.2">
      <c r="A8" s="85"/>
      <c r="B8" s="622"/>
      <c r="I8" s="72" t="str">
        <f ca="1">IF(OFFSET(BA8,0,Lang_Order*Lang__B5)="","",OFFSET(BA8,0,Lang_Order*Lang__B5))</f>
        <v>MAX number of days for teams to complete vaccinations within each time period [DM 1-3] for each time period</v>
      </c>
      <c r="J8" s="2" t="e">
        <f>IF('B4. Domestic Logistics'!J81=1,HRH_DefaultDays_DM1to3_UCC,HRH_DefaultDays_DM1to3)</f>
        <v>#N/A</v>
      </c>
      <c r="K8" s="2" t="e">
        <f>IF('B4. Domestic Logistics'!K81=1,HRH_DefaultDays_DM1to3_UCC,HRH_DefaultDays_DM1to3)</f>
        <v>#N/A</v>
      </c>
      <c r="L8" s="2" t="e">
        <f>IF('B4. Domestic Logistics'!L81=1,HRH_DefaultDays_DM1to3_UCC,HRH_DefaultDays_DM1to3)</f>
        <v>#N/A</v>
      </c>
      <c r="M8" s="2" t="e">
        <f>IF('B4. Domestic Logistics'!M81=1,HRH_DefaultDays_DM1to3_UCC,HRH_DefaultDays_DM1to3)</f>
        <v>#N/A</v>
      </c>
      <c r="N8" s="2" t="e">
        <f>IF('B4. Domestic Logistics'!N81=1,HRH_DefaultDays_DM1to3_UCC,HRH_DefaultDays_DM1to3)</f>
        <v>#N/A</v>
      </c>
      <c r="O8" s="2" t="e">
        <f>IF('B4. Domestic Logistics'!O81=1,HRH_DefaultDays_DM1to3_UCC,HRH_DefaultDays_DM1to3)</f>
        <v>#N/A</v>
      </c>
      <c r="U8" s="622"/>
      <c r="AG8" s="622"/>
      <c r="BA8" s="564" t="s">
        <v>4597</v>
      </c>
      <c r="BB8" s="564"/>
      <c r="BC8" s="564"/>
      <c r="BD8" s="564"/>
      <c r="BE8" s="564"/>
      <c r="BF8" s="564"/>
      <c r="BG8" s="564"/>
      <c r="BH8" s="564"/>
      <c r="BI8" s="564"/>
      <c r="BJ8" s="564"/>
      <c r="BK8" s="564"/>
      <c r="BL8" s="564"/>
      <c r="BM8" s="564"/>
      <c r="BN8" s="564"/>
      <c r="BO8" s="564"/>
      <c r="BP8" s="564"/>
      <c r="BQ8" s="564"/>
      <c r="BR8" s="564"/>
      <c r="BS8" s="564"/>
      <c r="BT8" s="564"/>
      <c r="BU8" s="564"/>
      <c r="BV8" s="564"/>
      <c r="BW8" s="564"/>
      <c r="BX8" s="564"/>
      <c r="BY8" s="564"/>
      <c r="BZ8" s="564"/>
      <c r="CA8" s="564"/>
      <c r="CB8" s="564"/>
      <c r="CC8" s="564"/>
      <c r="CD8" s="564"/>
      <c r="CE8" s="564"/>
      <c r="CF8" s="564"/>
      <c r="CG8" s="564"/>
      <c r="CH8" s="564"/>
      <c r="CI8" s="564" t="s">
        <v>13233</v>
      </c>
      <c r="CJ8" s="564"/>
      <c r="CK8" s="564"/>
      <c r="CL8" s="564"/>
      <c r="CM8" s="564"/>
      <c r="CN8" s="564"/>
      <c r="CO8" s="564"/>
      <c r="CP8" s="564"/>
      <c r="CQ8" s="564"/>
      <c r="CR8" s="564"/>
      <c r="CS8" s="564"/>
      <c r="CT8" s="564"/>
      <c r="CU8" s="564"/>
      <c r="CV8" s="564"/>
      <c r="CW8" s="564"/>
      <c r="CX8" s="564"/>
      <c r="CY8" s="564"/>
      <c r="CZ8" s="564"/>
      <c r="DA8" s="564"/>
      <c r="DB8" s="564"/>
      <c r="DC8" s="564"/>
      <c r="DD8" s="564"/>
      <c r="DE8" s="564"/>
      <c r="DF8" s="564"/>
      <c r="DG8" s="564"/>
      <c r="DH8" s="564"/>
      <c r="DI8" s="564"/>
      <c r="DJ8" s="564"/>
      <c r="DK8" s="564"/>
      <c r="DL8" s="564"/>
      <c r="DM8" s="564"/>
      <c r="DN8" s="564"/>
      <c r="DO8" s="564"/>
      <c r="DP8" s="564"/>
      <c r="DQ8" s="564" t="s">
        <v>13234</v>
      </c>
      <c r="DR8" s="564"/>
      <c r="DS8" s="564"/>
      <c r="DT8" s="564"/>
      <c r="DU8" s="564"/>
      <c r="DV8" s="564"/>
      <c r="DW8" s="564"/>
      <c r="DX8" s="564"/>
      <c r="DY8" s="564"/>
      <c r="DZ8" s="564"/>
      <c r="EA8" s="564"/>
      <c r="EB8" s="564"/>
      <c r="EC8" s="564"/>
      <c r="ED8" s="564"/>
      <c r="EE8" s="564"/>
      <c r="EF8" s="564"/>
      <c r="EG8" s="564"/>
      <c r="EH8" s="564"/>
      <c r="EI8" s="564"/>
      <c r="EJ8" s="564"/>
      <c r="EK8" s="564"/>
      <c r="EL8" s="564"/>
      <c r="EM8" s="564"/>
      <c r="EN8" s="564"/>
      <c r="EO8" s="564"/>
      <c r="EP8" s="564"/>
      <c r="EQ8" s="564"/>
      <c r="ER8" s="564"/>
      <c r="ES8" s="564"/>
      <c r="ET8" s="564"/>
      <c r="EU8" s="564"/>
      <c r="EV8" s="564"/>
      <c r="EW8" s="564"/>
      <c r="EX8" s="564"/>
      <c r="EY8" s="564" t="s">
        <v>13235</v>
      </c>
      <c r="EZ8" s="564"/>
      <c r="FA8" s="564"/>
      <c r="FB8" s="564"/>
      <c r="FC8" s="564"/>
      <c r="FD8" s="564"/>
      <c r="FE8" s="564"/>
      <c r="FF8" s="564"/>
      <c r="FG8" s="564"/>
      <c r="FH8" s="564"/>
      <c r="FI8" s="564"/>
      <c r="FJ8" s="564"/>
      <c r="FK8" s="564"/>
      <c r="FL8" s="564"/>
      <c r="FM8" s="564"/>
      <c r="FN8" s="564"/>
      <c r="FO8" s="564"/>
      <c r="FP8" s="564"/>
      <c r="FQ8" s="564"/>
      <c r="FR8" s="564"/>
      <c r="FS8" s="564"/>
      <c r="FT8" s="564"/>
      <c r="FU8" s="564"/>
      <c r="FV8" s="564"/>
      <c r="FW8" s="564"/>
      <c r="FX8" s="564"/>
      <c r="FY8" s="564"/>
      <c r="FZ8" s="564"/>
      <c r="GA8" s="564"/>
      <c r="GB8" s="564"/>
      <c r="GC8" s="564"/>
      <c r="GD8" s="564"/>
      <c r="GE8" s="564"/>
      <c r="GF8" s="564"/>
      <c r="GG8" s="564" t="s">
        <v>13236</v>
      </c>
      <c r="GH8" s="564"/>
      <c r="GI8" s="564"/>
      <c r="GJ8" s="564"/>
      <c r="GK8" s="564"/>
      <c r="GL8" s="564"/>
      <c r="GM8" s="564"/>
      <c r="GN8" s="564"/>
      <c r="GO8" s="564"/>
      <c r="GP8" s="564"/>
      <c r="GQ8" s="564"/>
      <c r="GR8" s="564"/>
      <c r="GS8" s="564"/>
      <c r="GT8" s="564"/>
      <c r="GU8" s="564"/>
      <c r="GV8" s="564"/>
      <c r="GW8" s="564"/>
      <c r="GX8" s="564"/>
      <c r="GY8" s="564"/>
      <c r="GZ8" s="564"/>
      <c r="HA8" s="564"/>
      <c r="HB8" s="564"/>
      <c r="HC8" s="564"/>
      <c r="HD8" s="564"/>
      <c r="HE8" s="564"/>
      <c r="HF8" s="564"/>
      <c r="HG8" s="564"/>
      <c r="HH8" s="564"/>
      <c r="HI8" s="564"/>
      <c r="HJ8" s="564"/>
      <c r="HK8" s="564"/>
      <c r="HL8" s="564"/>
      <c r="HM8" s="564"/>
      <c r="HN8" s="564"/>
      <c r="HO8" s="564" t="s">
        <v>13237</v>
      </c>
      <c r="HP8" s="564"/>
      <c r="HQ8" s="564"/>
      <c r="HR8" s="564"/>
      <c r="HS8" s="564"/>
      <c r="HT8" s="564"/>
      <c r="HU8" s="564"/>
      <c r="HV8" s="564"/>
      <c r="HW8" s="564"/>
      <c r="HX8" s="564"/>
      <c r="HY8" s="564"/>
      <c r="HZ8" s="564"/>
      <c r="IA8" s="564"/>
      <c r="IB8" s="564"/>
      <c r="IC8" s="564"/>
      <c r="ID8" s="564"/>
      <c r="IE8" s="564"/>
      <c r="IF8" s="564"/>
      <c r="IG8" s="564"/>
      <c r="IH8" s="564"/>
      <c r="II8" s="564"/>
      <c r="IJ8" s="564"/>
      <c r="IK8" s="564"/>
      <c r="IL8" s="564"/>
      <c r="IM8" s="564"/>
      <c r="IN8" s="564"/>
      <c r="IO8" s="564"/>
      <c r="IP8" s="564"/>
      <c r="IQ8" s="564"/>
      <c r="IR8" s="564"/>
      <c r="IS8" s="564"/>
      <c r="IT8" s="564"/>
      <c r="IU8" s="564"/>
      <c r="IV8" s="564"/>
      <c r="IW8" s="564" t="s">
        <v>13238</v>
      </c>
    </row>
    <row r="9" spans="1:280" s="15" customFormat="1" x14ac:dyDescent="0.25">
      <c r="A9" s="8" t="str">
        <f ca="1">IF(OFFSET(AS9,0,Lang_Order*Lang__B5)="","",OFFSET(AS9,0,Lang_Order*Lang__B5))</f>
        <v>B5.0 Vaccine Courses to be Delivered - When, How, and How Many</v>
      </c>
      <c r="B9" s="33"/>
      <c r="C9" s="8"/>
      <c r="D9" s="8" t="str">
        <f ca="1">IF(OFFSET(AV9,0,Lang_Order*Lang__B5)="","",OFFSET(AV9,0,Lang_Order*Lang__B5))</f>
        <v>Is the payment mechanism used RBF?</v>
      </c>
      <c r="E9" s="8"/>
      <c r="F9" s="8"/>
      <c r="G9" s="8"/>
      <c r="H9" s="8"/>
      <c r="I9" s="8"/>
      <c r="J9" s="701" t="str">
        <f t="shared" ref="J9:O10" ca="1" si="0">IF(OFFSET(BB9,0,Lang_Order*Lang__B5)="","",OFFSET(BB9,0,Lang_Order*Lang__B5))</f>
        <v>HALF-YEARLY TIME PERIOD</v>
      </c>
      <c r="K9" s="701" t="str">
        <f t="shared" ca="1" si="0"/>
        <v/>
      </c>
      <c r="L9" s="701" t="str">
        <f t="shared" ca="1" si="0"/>
        <v/>
      </c>
      <c r="M9" s="701" t="str">
        <f t="shared" ca="1" si="0"/>
        <v/>
      </c>
      <c r="N9" s="701" t="str">
        <f t="shared" ca="1" si="0"/>
        <v/>
      </c>
      <c r="O9" s="701" t="str">
        <f t="shared" ca="1" si="0"/>
        <v/>
      </c>
      <c r="P9" s="48"/>
      <c r="Q9" s="106"/>
      <c r="R9" s="8" t="str">
        <f t="shared" ref="R9:R17" ca="1" si="1">IF(OFFSET(BJ9,0,Lang_Order*Lang__B5)="","",OFFSET(BJ9,0,Lang_Order*Lang__B5))</f>
        <v>Notes</v>
      </c>
      <c r="T9" s="8" t="str">
        <f ca="1">IF(OFFSET(BL9,0,Lang_Order*Lang__B5)="","",OFFSET(BL9,0,Lang_Order*Lang__B5))</f>
        <v>B5.4 Variance Analysis</v>
      </c>
      <c r="U9" s="33"/>
      <c r="V9" s="8"/>
      <c r="W9" s="8"/>
      <c r="X9" s="8"/>
      <c r="Y9" s="8"/>
      <c r="Z9" s="8"/>
      <c r="AA9" s="8"/>
      <c r="AB9" s="8"/>
      <c r="AC9" s="8"/>
      <c r="AD9" s="8"/>
      <c r="AF9" s="241"/>
      <c r="AG9" s="622"/>
      <c r="AR9" s="403"/>
      <c r="AS9" s="403" t="s">
        <v>4199</v>
      </c>
      <c r="AT9" s="403"/>
      <c r="AU9" s="403"/>
      <c r="AV9" s="403" t="s">
        <v>4202</v>
      </c>
      <c r="AW9" s="403"/>
      <c r="AX9" s="403"/>
      <c r="AY9" s="403"/>
      <c r="AZ9" s="403"/>
      <c r="BA9" s="403"/>
      <c r="BB9" s="403" t="s">
        <v>1604</v>
      </c>
      <c r="BC9" s="403"/>
      <c r="BD9" s="403"/>
      <c r="BE9" s="403"/>
      <c r="BF9" s="403"/>
      <c r="BG9" s="403"/>
      <c r="BH9" s="403"/>
      <c r="BI9" s="403"/>
      <c r="BJ9" s="403" t="s">
        <v>16</v>
      </c>
      <c r="BK9" s="403"/>
      <c r="BL9" s="403" t="s">
        <v>3048</v>
      </c>
      <c r="BM9" s="403"/>
      <c r="BN9" s="403"/>
      <c r="BO9" s="403"/>
      <c r="BP9" s="403"/>
      <c r="BQ9" s="403"/>
      <c r="BR9" s="403"/>
      <c r="BS9" s="403"/>
      <c r="BT9" s="403"/>
      <c r="BU9" s="403"/>
      <c r="BV9" s="403"/>
      <c r="BW9" s="403"/>
      <c r="BX9" s="403"/>
      <c r="BY9" s="403"/>
      <c r="BZ9" s="403"/>
      <c r="CA9" s="403" t="s">
        <v>11456</v>
      </c>
      <c r="CB9" s="403"/>
      <c r="CC9" s="403"/>
      <c r="CD9" s="403" t="s">
        <v>11457</v>
      </c>
      <c r="CE9" s="403"/>
      <c r="CF9" s="403"/>
      <c r="CG9" s="403"/>
      <c r="CH9" s="403"/>
      <c r="CI9" s="403"/>
      <c r="CJ9" s="403" t="s">
        <v>11458</v>
      </c>
      <c r="CK9" s="403"/>
      <c r="CL9" s="403"/>
      <c r="CM9" s="403"/>
      <c r="CN9" s="403"/>
      <c r="CO9" s="403"/>
      <c r="CP9" s="403"/>
      <c r="CQ9" s="403"/>
      <c r="CR9" s="403" t="s">
        <v>16</v>
      </c>
      <c r="CS9" s="403"/>
      <c r="CT9" s="403" t="s">
        <v>11459</v>
      </c>
      <c r="CU9" s="403"/>
      <c r="CV9" s="403"/>
      <c r="CW9" s="403"/>
      <c r="CX9" s="403"/>
      <c r="CY9" s="403"/>
      <c r="CZ9" s="403"/>
      <c r="DA9" s="403"/>
      <c r="DB9" s="403"/>
      <c r="DC9" s="403"/>
      <c r="DD9" s="403"/>
      <c r="DE9" s="403"/>
      <c r="DF9" s="403"/>
      <c r="DG9" s="403"/>
      <c r="DH9" s="403"/>
      <c r="DI9" s="403" t="s">
        <v>11460</v>
      </c>
      <c r="DJ9" s="403"/>
      <c r="DK9" s="403"/>
      <c r="DL9" s="403" t="s">
        <v>11461</v>
      </c>
      <c r="DM9" s="403"/>
      <c r="DN9" s="403"/>
      <c r="DO9" s="403"/>
      <c r="DP9" s="403"/>
      <c r="DQ9" s="403"/>
      <c r="DR9" s="403" t="s">
        <v>9540</v>
      </c>
      <c r="DS9" s="403"/>
      <c r="DT9" s="403"/>
      <c r="DU9" s="403"/>
      <c r="DV9" s="403"/>
      <c r="DW9" s="403"/>
      <c r="DX9" s="403"/>
      <c r="DY9" s="403"/>
      <c r="DZ9" s="403" t="s">
        <v>8157</v>
      </c>
      <c r="EA9" s="403"/>
      <c r="EB9" s="403" t="s">
        <v>11462</v>
      </c>
      <c r="EC9" s="403"/>
      <c r="ED9" s="403"/>
      <c r="EE9" s="403"/>
      <c r="EF9" s="403"/>
      <c r="EG9" s="403"/>
      <c r="EH9" s="403"/>
      <c r="EI9" s="403"/>
      <c r="EJ9" s="403"/>
      <c r="EK9" s="403"/>
      <c r="EL9" s="403"/>
      <c r="EM9" s="403"/>
      <c r="EN9" s="403"/>
      <c r="EO9" s="403"/>
      <c r="EP9" s="403"/>
      <c r="EQ9" s="403" t="s">
        <v>11463</v>
      </c>
      <c r="ER9" s="403"/>
      <c r="ES9" s="403"/>
      <c r="ET9" s="403" t="s">
        <v>11464</v>
      </c>
      <c r="EU9" s="403"/>
      <c r="EV9" s="403"/>
      <c r="EW9" s="403"/>
      <c r="EX9" s="403"/>
      <c r="EY9" s="403"/>
      <c r="EZ9" s="403" t="s">
        <v>9542</v>
      </c>
      <c r="FA9" s="403"/>
      <c r="FB9" s="403"/>
      <c r="FC9" s="403"/>
      <c r="FD9" s="403"/>
      <c r="FE9" s="403"/>
      <c r="FF9" s="403"/>
      <c r="FG9" s="403"/>
      <c r="FH9" s="403" t="s">
        <v>5453</v>
      </c>
      <c r="FI9" s="403"/>
      <c r="FJ9" s="403" t="s">
        <v>11465</v>
      </c>
      <c r="FK9" s="403"/>
      <c r="FL9" s="403"/>
      <c r="FM9" s="403"/>
      <c r="FN9" s="403"/>
      <c r="FO9" s="403"/>
      <c r="FP9" s="403"/>
      <c r="FQ9" s="403"/>
      <c r="FR9" s="403"/>
      <c r="FS9" s="403"/>
      <c r="FT9" s="403"/>
      <c r="FU9" s="403"/>
      <c r="FV9" s="403"/>
      <c r="FW9" s="403"/>
      <c r="FX9" s="403"/>
      <c r="FY9" s="403" t="s">
        <v>11466</v>
      </c>
      <c r="FZ9" s="403"/>
      <c r="GA9" s="403"/>
      <c r="GB9" s="403" t="s">
        <v>11467</v>
      </c>
      <c r="GC9" s="403"/>
      <c r="GD9" s="403"/>
      <c r="GE9" s="403"/>
      <c r="GF9" s="403"/>
      <c r="GG9" s="403"/>
      <c r="GH9" s="403" t="s">
        <v>9544</v>
      </c>
      <c r="GI9" s="403"/>
      <c r="GJ9" s="403"/>
      <c r="GK9" s="403"/>
      <c r="GL9" s="403"/>
      <c r="GM9" s="403"/>
      <c r="GN9" s="403"/>
      <c r="GO9" s="403"/>
      <c r="GP9" s="403" t="s">
        <v>5453</v>
      </c>
      <c r="GQ9" s="403"/>
      <c r="GR9" s="403" t="s">
        <v>11468</v>
      </c>
      <c r="GS9" s="403"/>
      <c r="GT9" s="403"/>
      <c r="GU9" s="403"/>
      <c r="GV9" s="403"/>
      <c r="GW9" s="403"/>
      <c r="GX9" s="403"/>
      <c r="GY9" s="403"/>
      <c r="GZ9" s="403"/>
      <c r="HA9" s="403"/>
      <c r="HB9" s="403"/>
      <c r="HC9" s="403"/>
      <c r="HD9" s="403"/>
      <c r="HE9" s="403"/>
      <c r="HF9" s="403"/>
      <c r="HG9" s="403" t="s">
        <v>11469</v>
      </c>
      <c r="HH9" s="403"/>
      <c r="HI9" s="403"/>
      <c r="HJ9" s="403" t="s">
        <v>11470</v>
      </c>
      <c r="HK9" s="403"/>
      <c r="HL9" s="403"/>
      <c r="HM9" s="403"/>
      <c r="HN9" s="403"/>
      <c r="HO9" s="403"/>
      <c r="HP9" s="403" t="s">
        <v>11471</v>
      </c>
      <c r="HQ9" s="403"/>
      <c r="HR9" s="403"/>
      <c r="HS9" s="403"/>
      <c r="HT9" s="403"/>
      <c r="HU9" s="403"/>
      <c r="HV9" s="403"/>
      <c r="HW9" s="403"/>
      <c r="HX9" s="403" t="s">
        <v>11472</v>
      </c>
      <c r="HY9" s="403"/>
      <c r="HZ9" s="403" t="s">
        <v>11473</v>
      </c>
      <c r="IA9" s="403"/>
      <c r="IB9" s="403"/>
      <c r="IC9" s="403"/>
      <c r="ID9" s="403"/>
      <c r="IE9" s="403"/>
      <c r="IF9" s="403"/>
      <c r="IG9" s="403"/>
      <c r="IH9" s="403"/>
      <c r="II9" s="403"/>
      <c r="IJ9" s="403"/>
      <c r="IK9" s="403"/>
      <c r="IL9" s="403"/>
      <c r="IM9" s="403"/>
      <c r="IN9" s="403"/>
      <c r="IO9" s="403" t="s">
        <v>11474</v>
      </c>
      <c r="IP9" s="403"/>
      <c r="IQ9" s="403"/>
      <c r="IR9" s="403" t="s">
        <v>11475</v>
      </c>
      <c r="IS9" s="403"/>
      <c r="IT9" s="403"/>
      <c r="IU9" s="403"/>
      <c r="IV9" s="403"/>
      <c r="IW9" s="403"/>
      <c r="IX9" s="403" t="s">
        <v>9548</v>
      </c>
      <c r="IY9" s="403"/>
      <c r="IZ9" s="403"/>
      <c r="JA9" s="403"/>
      <c r="JB9" s="403"/>
      <c r="JC9" s="403"/>
      <c r="JD9" s="403"/>
      <c r="JE9" s="403"/>
      <c r="JF9" s="403" t="s">
        <v>5455</v>
      </c>
      <c r="JG9" s="403"/>
      <c r="JH9" s="403" t="s">
        <v>11476</v>
      </c>
      <c r="JI9" s="403"/>
      <c r="JJ9" s="403"/>
      <c r="JK9" s="403"/>
      <c r="JL9" s="403"/>
      <c r="JM9" s="403"/>
      <c r="JN9" s="403"/>
      <c r="JO9" s="403"/>
      <c r="JP9" s="403"/>
      <c r="JQ9" s="403"/>
      <c r="JR9" s="403"/>
      <c r="JS9" s="403"/>
      <c r="JT9" s="403"/>
    </row>
    <row r="10" spans="1:280" s="15" customFormat="1" x14ac:dyDescent="0.25">
      <c r="B10" s="622"/>
      <c r="C10" s="2" t="str">
        <f t="shared" ref="C10:C17" ca="1" si="2">IF(OFFSET(AU10,0,Lang_Order*Lang__B5)="","",OFFSET(AU10,0,Lang_Order*Lang__B5))</f>
        <v>Copied from B1 - EXPECTED not MAXIMUM uptake assumption | Not considering vaccine wastage rate</v>
      </c>
      <c r="J10" s="41" t="str">
        <f t="shared" ca="1" si="0"/>
        <v>H1 2021</v>
      </c>
      <c r="K10" s="41" t="str">
        <f t="shared" ca="1" si="0"/>
        <v>H2 2021</v>
      </c>
      <c r="L10" s="41" t="str">
        <f t="shared" ca="1" si="0"/>
        <v>H1 2022</v>
      </c>
      <c r="M10" s="41" t="str">
        <f t="shared" ca="1" si="0"/>
        <v>H2 2022</v>
      </c>
      <c r="N10" s="41" t="str">
        <f t="shared" ca="1" si="0"/>
        <v>H1 2023</v>
      </c>
      <c r="O10" s="41" t="str">
        <f t="shared" ca="1" si="0"/>
        <v>H2 2023</v>
      </c>
      <c r="P10" s="41" t="str">
        <f ca="1">IF(OFFSET(BH10,0,Lang_Order*Lang__B5)="","",OFFSET(BH10,0,Lang_Order*Lang__B5))</f>
        <v>Total</v>
      </c>
      <c r="Q10" s="41"/>
      <c r="R10" s="12" t="str">
        <f t="shared" ca="1" si="1"/>
        <v>FYI only - taken from Sheet B1</v>
      </c>
      <c r="T10" s="241"/>
      <c r="U10" s="622"/>
      <c r="V10" s="5"/>
      <c r="W10" s="255" t="str">
        <f t="shared" ref="W10:AD10" ca="1" si="3">IF(OFFSET(BO10,0,Lang_Order*Lang__B5)="","",OFFSET(BO10,0,Lang_Order*Lang__B5))</f>
        <v>H1 2021</v>
      </c>
      <c r="X10" s="255" t="str">
        <f t="shared" ca="1" si="3"/>
        <v>H2 2021</v>
      </c>
      <c r="Y10" s="255" t="str">
        <f t="shared" ca="1" si="3"/>
        <v>H1 2022</v>
      </c>
      <c r="Z10" s="255" t="str">
        <f t="shared" ca="1" si="3"/>
        <v>H2 2022</v>
      </c>
      <c r="AA10" s="255" t="str">
        <f t="shared" ca="1" si="3"/>
        <v>H1 2023</v>
      </c>
      <c r="AB10" s="255" t="str">
        <f t="shared" ca="1" si="3"/>
        <v>H2 2023</v>
      </c>
      <c r="AC10" s="255" t="str">
        <f t="shared" ca="1" si="3"/>
        <v>Total</v>
      </c>
      <c r="AD10" s="215" t="str">
        <f t="shared" ca="1" si="3"/>
        <v>Percent</v>
      </c>
      <c r="AE10" s="281"/>
      <c r="AF10" s="241"/>
      <c r="AG10" s="622"/>
      <c r="AR10" s="403"/>
      <c r="AS10" s="403"/>
      <c r="AT10" s="403"/>
      <c r="AU10" s="403" t="s">
        <v>2810</v>
      </c>
      <c r="AV10" s="403"/>
      <c r="AW10" s="403"/>
      <c r="AX10" s="403"/>
      <c r="AY10" s="403"/>
      <c r="AZ10" s="403"/>
      <c r="BA10" s="403"/>
      <c r="BB10" s="403" t="s">
        <v>1597</v>
      </c>
      <c r="BC10" s="403" t="s">
        <v>1598</v>
      </c>
      <c r="BD10" s="403" t="s">
        <v>1599</v>
      </c>
      <c r="BE10" s="403" t="s">
        <v>1600</v>
      </c>
      <c r="BF10" s="403" t="s">
        <v>1602</v>
      </c>
      <c r="BG10" s="403" t="s">
        <v>1601</v>
      </c>
      <c r="BH10" s="403" t="s">
        <v>1605</v>
      </c>
      <c r="BI10" s="403"/>
      <c r="BJ10" s="403" t="s">
        <v>2708</v>
      </c>
      <c r="BK10" s="403"/>
      <c r="BL10" s="403"/>
      <c r="BM10" s="403"/>
      <c r="BN10" s="403"/>
      <c r="BO10" s="403" t="s">
        <v>1597</v>
      </c>
      <c r="BP10" s="403" t="s">
        <v>1598</v>
      </c>
      <c r="BQ10" s="403" t="s">
        <v>1599</v>
      </c>
      <c r="BR10" s="403" t="s">
        <v>1600</v>
      </c>
      <c r="BS10" s="403" t="s">
        <v>1602</v>
      </c>
      <c r="BT10" s="403" t="s">
        <v>1601</v>
      </c>
      <c r="BU10" s="403" t="s">
        <v>1605</v>
      </c>
      <c r="BV10" s="403" t="s">
        <v>3047</v>
      </c>
      <c r="BW10" s="403"/>
      <c r="BX10" s="403"/>
      <c r="BY10" s="403"/>
      <c r="BZ10" s="403"/>
      <c r="CA10" s="403"/>
      <c r="CB10" s="403"/>
      <c r="CC10" s="403" t="s">
        <v>11477</v>
      </c>
      <c r="CD10" s="403"/>
      <c r="CE10" s="403"/>
      <c r="CF10" s="403"/>
      <c r="CG10" s="403"/>
      <c r="CH10" s="403"/>
      <c r="CI10" s="403"/>
      <c r="CJ10" s="403" t="s">
        <v>4663</v>
      </c>
      <c r="CK10" s="403" t="s">
        <v>4664</v>
      </c>
      <c r="CL10" s="403" t="s">
        <v>4665</v>
      </c>
      <c r="CM10" s="403" t="s">
        <v>4666</v>
      </c>
      <c r="CN10" s="403" t="s">
        <v>4667</v>
      </c>
      <c r="CO10" s="403" t="s">
        <v>4668</v>
      </c>
      <c r="CP10" s="403" t="s">
        <v>1605</v>
      </c>
      <c r="CQ10" s="403"/>
      <c r="CR10" s="403" t="s">
        <v>11478</v>
      </c>
      <c r="CS10" s="403"/>
      <c r="CT10" s="403"/>
      <c r="CU10" s="403"/>
      <c r="CV10" s="403"/>
      <c r="CW10" s="403" t="s">
        <v>4663</v>
      </c>
      <c r="CX10" s="403" t="s">
        <v>4664</v>
      </c>
      <c r="CY10" s="403" t="s">
        <v>4665</v>
      </c>
      <c r="CZ10" s="403" t="s">
        <v>4666</v>
      </c>
      <c r="DA10" s="403" t="s">
        <v>4667</v>
      </c>
      <c r="DB10" s="403" t="s">
        <v>4668</v>
      </c>
      <c r="DC10" s="403" t="s">
        <v>1605</v>
      </c>
      <c r="DD10" s="403" t="s">
        <v>11479</v>
      </c>
      <c r="DE10" s="403"/>
      <c r="DF10" s="403"/>
      <c r="DG10" s="403"/>
      <c r="DH10" s="403"/>
      <c r="DI10" s="403"/>
      <c r="DJ10" s="403"/>
      <c r="DK10" s="403" t="s">
        <v>11480</v>
      </c>
      <c r="DL10" s="403"/>
      <c r="DM10" s="403"/>
      <c r="DN10" s="403"/>
      <c r="DO10" s="403"/>
      <c r="DP10" s="403"/>
      <c r="DQ10" s="403"/>
      <c r="DR10" s="403" t="s">
        <v>4670</v>
      </c>
      <c r="DS10" s="403" t="s">
        <v>4671</v>
      </c>
      <c r="DT10" s="403" t="s">
        <v>4672</v>
      </c>
      <c r="DU10" s="403" t="s">
        <v>4673</v>
      </c>
      <c r="DV10" s="403" t="s">
        <v>4674</v>
      </c>
      <c r="DW10" s="403" t="s">
        <v>4675</v>
      </c>
      <c r="DX10" s="403" t="s">
        <v>4676</v>
      </c>
      <c r="DY10" s="403"/>
      <c r="DZ10" s="403" t="s">
        <v>11481</v>
      </c>
      <c r="EA10" s="403"/>
      <c r="EB10" s="403"/>
      <c r="EC10" s="403"/>
      <c r="ED10" s="403"/>
      <c r="EE10" s="403" t="s">
        <v>4670</v>
      </c>
      <c r="EF10" s="403" t="s">
        <v>4671</v>
      </c>
      <c r="EG10" s="403" t="s">
        <v>4672</v>
      </c>
      <c r="EH10" s="403" t="s">
        <v>4673</v>
      </c>
      <c r="EI10" s="403" t="s">
        <v>4674</v>
      </c>
      <c r="EJ10" s="403" t="s">
        <v>4675</v>
      </c>
      <c r="EK10" s="403" t="s">
        <v>4676</v>
      </c>
      <c r="EL10" s="403" t="s">
        <v>11482</v>
      </c>
      <c r="EM10" s="403"/>
      <c r="EN10" s="403"/>
      <c r="EO10" s="403"/>
      <c r="EP10" s="403"/>
      <c r="EQ10" s="403"/>
      <c r="ER10" s="403"/>
      <c r="ES10" s="403" t="s">
        <v>11483</v>
      </c>
      <c r="ET10" s="403"/>
      <c r="EU10" s="403"/>
      <c r="EV10" s="403"/>
      <c r="EW10" s="403"/>
      <c r="EX10" s="403"/>
      <c r="EY10" s="403"/>
      <c r="EZ10" s="403" t="s">
        <v>1597</v>
      </c>
      <c r="FA10" s="403" t="s">
        <v>1598</v>
      </c>
      <c r="FB10" s="403" t="s">
        <v>1599</v>
      </c>
      <c r="FC10" s="403" t="s">
        <v>1600</v>
      </c>
      <c r="FD10" s="403" t="s">
        <v>1602</v>
      </c>
      <c r="FE10" s="403" t="s">
        <v>1601</v>
      </c>
      <c r="FF10" s="403" t="s">
        <v>1605</v>
      </c>
      <c r="FG10" s="403"/>
      <c r="FH10" s="403" t="s">
        <v>11484</v>
      </c>
      <c r="FI10" s="403"/>
      <c r="FJ10" s="403"/>
      <c r="FK10" s="403"/>
      <c r="FL10" s="403"/>
      <c r="FM10" s="403" t="s">
        <v>1597</v>
      </c>
      <c r="FN10" s="403" t="s">
        <v>1598</v>
      </c>
      <c r="FO10" s="403" t="s">
        <v>1599</v>
      </c>
      <c r="FP10" s="403" t="s">
        <v>1600</v>
      </c>
      <c r="FQ10" s="403" t="s">
        <v>1602</v>
      </c>
      <c r="FR10" s="403" t="s">
        <v>1601</v>
      </c>
      <c r="FS10" s="403" t="s">
        <v>1605</v>
      </c>
      <c r="FT10" s="403" t="s">
        <v>11485</v>
      </c>
      <c r="FU10" s="403"/>
      <c r="FV10" s="403"/>
      <c r="FW10" s="403"/>
      <c r="FX10" s="403"/>
      <c r="FY10" s="403"/>
      <c r="FZ10" s="403"/>
      <c r="GA10" s="403" t="s">
        <v>11486</v>
      </c>
      <c r="GB10" s="403"/>
      <c r="GC10" s="403"/>
      <c r="GD10" s="403"/>
      <c r="GE10" s="403"/>
      <c r="GF10" s="403"/>
      <c r="GG10" s="403"/>
      <c r="GH10" s="403" t="s">
        <v>4663</v>
      </c>
      <c r="GI10" s="403" t="s">
        <v>4664</v>
      </c>
      <c r="GJ10" s="403" t="s">
        <v>4665</v>
      </c>
      <c r="GK10" s="403" t="s">
        <v>4666</v>
      </c>
      <c r="GL10" s="403" t="s">
        <v>4667</v>
      </c>
      <c r="GM10" s="403" t="s">
        <v>4668</v>
      </c>
      <c r="GN10" s="403" t="s">
        <v>1605</v>
      </c>
      <c r="GO10" s="403"/>
      <c r="GP10" s="403" t="s">
        <v>11487</v>
      </c>
      <c r="GQ10" s="403"/>
      <c r="GR10" s="403"/>
      <c r="GS10" s="403"/>
      <c r="GT10" s="403"/>
      <c r="GU10" s="403" t="s">
        <v>4663</v>
      </c>
      <c r="GV10" s="403" t="s">
        <v>4664</v>
      </c>
      <c r="GW10" s="403" t="s">
        <v>4665</v>
      </c>
      <c r="GX10" s="403" t="s">
        <v>4666</v>
      </c>
      <c r="GY10" s="403" t="s">
        <v>4667</v>
      </c>
      <c r="GZ10" s="403" t="s">
        <v>4668</v>
      </c>
      <c r="HA10" s="403" t="s">
        <v>1605</v>
      </c>
      <c r="HB10" s="403" t="s">
        <v>11488</v>
      </c>
      <c r="HC10" s="403"/>
      <c r="HD10" s="403"/>
      <c r="HE10" s="403"/>
      <c r="HF10" s="403"/>
      <c r="HG10" s="403"/>
      <c r="HH10" s="403"/>
      <c r="HI10" s="403" t="s">
        <v>11489</v>
      </c>
      <c r="HJ10" s="403"/>
      <c r="HK10" s="403"/>
      <c r="HL10" s="403"/>
      <c r="HM10" s="403"/>
      <c r="HN10" s="403"/>
      <c r="HO10" s="403"/>
      <c r="HP10" s="403" t="s">
        <v>1597</v>
      </c>
      <c r="HQ10" s="403" t="s">
        <v>9557</v>
      </c>
      <c r="HR10" s="403" t="s">
        <v>1599</v>
      </c>
      <c r="HS10" s="403" t="s">
        <v>1600</v>
      </c>
      <c r="HT10" s="403" t="s">
        <v>1602</v>
      </c>
      <c r="HU10" s="403" t="s">
        <v>9558</v>
      </c>
      <c r="HV10" s="403" t="s">
        <v>4686</v>
      </c>
      <c r="HW10" s="403"/>
      <c r="HX10" s="403" t="s">
        <v>11490</v>
      </c>
      <c r="HY10" s="403"/>
      <c r="HZ10" s="403"/>
      <c r="IA10" s="403"/>
      <c r="IB10" s="403"/>
      <c r="IC10" s="403" t="s">
        <v>9662</v>
      </c>
      <c r="ID10" s="403" t="s">
        <v>9557</v>
      </c>
      <c r="IE10" s="403" t="s">
        <v>1599</v>
      </c>
      <c r="IF10" s="403" t="s">
        <v>7584</v>
      </c>
      <c r="IG10" s="403" t="s">
        <v>1602</v>
      </c>
      <c r="IH10" s="403" t="s">
        <v>1601</v>
      </c>
      <c r="II10" s="403" t="s">
        <v>4686</v>
      </c>
      <c r="IJ10" s="403" t="s">
        <v>11491</v>
      </c>
      <c r="IK10" s="403"/>
      <c r="IL10" s="403"/>
      <c r="IM10" s="403"/>
      <c r="IN10" s="403"/>
      <c r="IO10" s="403"/>
      <c r="IP10" s="403"/>
      <c r="IQ10" s="403" t="s">
        <v>11492</v>
      </c>
      <c r="IR10" s="403"/>
      <c r="IS10" s="403"/>
      <c r="IT10" s="403"/>
      <c r="IU10" s="403"/>
      <c r="IV10" s="403"/>
      <c r="IW10" s="403"/>
      <c r="IX10" s="403" t="s">
        <v>4688</v>
      </c>
      <c r="IY10" s="403" t="s">
        <v>4689</v>
      </c>
      <c r="IZ10" s="403" t="s">
        <v>4690</v>
      </c>
      <c r="JA10" s="403" t="s">
        <v>4691</v>
      </c>
      <c r="JB10" s="403" t="s">
        <v>4692</v>
      </c>
      <c r="JC10" s="403" t="s">
        <v>4693</v>
      </c>
      <c r="JD10" s="403" t="s">
        <v>4694</v>
      </c>
      <c r="JE10" s="403"/>
      <c r="JF10" s="403" t="s">
        <v>11493</v>
      </c>
      <c r="JG10" s="403"/>
      <c r="JH10" s="403"/>
      <c r="JI10" s="403"/>
      <c r="JJ10" s="403"/>
      <c r="JK10" s="403" t="s">
        <v>4688</v>
      </c>
      <c r="JL10" s="403" t="s">
        <v>4689</v>
      </c>
      <c r="JM10" s="403" t="s">
        <v>4690</v>
      </c>
      <c r="JN10" s="403" t="s">
        <v>4691</v>
      </c>
      <c r="JO10" s="403" t="s">
        <v>4692</v>
      </c>
      <c r="JP10" s="403" t="s">
        <v>4693</v>
      </c>
      <c r="JQ10" s="403" t="s">
        <v>4694</v>
      </c>
      <c r="JR10" s="403" t="s">
        <v>11494</v>
      </c>
      <c r="JS10" s="403"/>
      <c r="JT10" s="403"/>
    </row>
    <row r="11" spans="1:280" s="15" customFormat="1" ht="12.75" x14ac:dyDescent="0.2">
      <c r="B11" s="622"/>
      <c r="C11" s="5" t="str">
        <f t="shared" ca="1" si="2"/>
        <v>Work-based | Delivery Modality 1</v>
      </c>
      <c r="D11" s="3" t="str">
        <f>IF(RBF_DM1=0,Lang_Yes,Lang_No)</f>
        <v>No</v>
      </c>
      <c r="J11" s="16" t="e">
        <f>'B1. Target Population'!D172</f>
        <v>#N/A</v>
      </c>
      <c r="K11" s="16" t="e">
        <f>'B1. Target Population'!E172</f>
        <v>#N/A</v>
      </c>
      <c r="L11" s="16" t="e">
        <f>'B1. Target Population'!F172</f>
        <v>#N/A</v>
      </c>
      <c r="M11" s="16" t="e">
        <f>'B1. Target Population'!G172</f>
        <v>#N/A</v>
      </c>
      <c r="N11" s="16" t="e">
        <f>'B1. Target Population'!H172</f>
        <v>#N/A</v>
      </c>
      <c r="O11" s="16" t="e">
        <f>'B1. Target Population'!I172</f>
        <v>#N/A</v>
      </c>
      <c r="P11" s="16" t="e">
        <f>'B1. Target Population'!J172</f>
        <v>#N/A</v>
      </c>
      <c r="Q11" s="16"/>
      <c r="R11" s="12" t="str">
        <f t="shared" ca="1" si="1"/>
        <v/>
      </c>
      <c r="T11" s="2"/>
      <c r="U11" s="90"/>
      <c r="V11" s="72" t="str">
        <f ca="1">IF(OFFSET(BN11,0,Lang_Order*Lang__B5)="","",OFFSET(BN11,0,Lang_Order*Lang__B5))</f>
        <v>Upper Variant (Total)</v>
      </c>
      <c r="W11" s="199" t="e">
        <f>W36</f>
        <v>#N/A</v>
      </c>
      <c r="X11" s="199" t="e">
        <f t="shared" ref="X11:AC11" si="4">X36</f>
        <v>#N/A</v>
      </c>
      <c r="Y11" s="199" t="e">
        <f t="shared" si="4"/>
        <v>#N/A</v>
      </c>
      <c r="Z11" s="199" t="e">
        <f t="shared" si="4"/>
        <v>#N/A</v>
      </c>
      <c r="AA11" s="199" t="e">
        <f t="shared" si="4"/>
        <v>#N/A</v>
      </c>
      <c r="AB11" s="199" t="e">
        <f t="shared" si="4"/>
        <v>#N/A</v>
      </c>
      <c r="AC11" s="199" t="e">
        <f t="shared" si="4"/>
        <v>#N/A</v>
      </c>
      <c r="AE11" s="281"/>
      <c r="AF11" s="241"/>
      <c r="AG11" s="622"/>
      <c r="AR11" s="403"/>
      <c r="AS11" s="403"/>
      <c r="AT11" s="403"/>
      <c r="AU11" s="403" t="s">
        <v>1619</v>
      </c>
      <c r="AV11" s="403"/>
      <c r="AW11" s="403"/>
      <c r="AX11" s="403"/>
      <c r="AY11" s="403"/>
      <c r="AZ11" s="403"/>
      <c r="BA11" s="403"/>
      <c r="BB11" s="403"/>
      <c r="BC11" s="403"/>
      <c r="BD11" s="403"/>
      <c r="BE11" s="403"/>
      <c r="BF11" s="403"/>
      <c r="BG11" s="403"/>
      <c r="BH11" s="403"/>
      <c r="BI11" s="403"/>
      <c r="BJ11" s="403"/>
      <c r="BK11" s="403"/>
      <c r="BL11" s="403"/>
      <c r="BM11" s="403"/>
      <c r="BN11" s="403" t="s">
        <v>3175</v>
      </c>
      <c r="BO11" s="403"/>
      <c r="BP11" s="403"/>
      <c r="BQ11" s="403"/>
      <c r="BR11" s="403"/>
      <c r="BS11" s="403"/>
      <c r="BT11" s="403"/>
      <c r="BU11" s="403"/>
      <c r="BV11" s="403"/>
      <c r="BW11" s="403"/>
      <c r="BX11" s="403"/>
      <c r="BY11" s="403"/>
      <c r="BZ11" s="403"/>
      <c r="CA11" s="403"/>
      <c r="CB11" s="403"/>
      <c r="CC11" s="403" t="s">
        <v>7388</v>
      </c>
      <c r="CD11" s="403"/>
      <c r="CE11" s="403"/>
      <c r="CF11" s="403"/>
      <c r="CG11" s="403"/>
      <c r="CH11" s="403"/>
      <c r="CI11" s="403"/>
      <c r="CJ11" s="403"/>
      <c r="CK11" s="403"/>
      <c r="CL11" s="403"/>
      <c r="CM11" s="403"/>
      <c r="CN11" s="403"/>
      <c r="CO11" s="403"/>
      <c r="CP11" s="403"/>
      <c r="CQ11" s="403"/>
      <c r="CR11" s="403"/>
      <c r="CS11" s="403"/>
      <c r="CT11" s="403"/>
      <c r="CU11" s="403"/>
      <c r="CV11" s="403" t="s">
        <v>11495</v>
      </c>
      <c r="CW11" s="403"/>
      <c r="CX11" s="403"/>
      <c r="CY11" s="403"/>
      <c r="CZ11" s="403"/>
      <c r="DA11" s="403"/>
      <c r="DB11" s="403"/>
      <c r="DC11" s="403"/>
      <c r="DD11" s="403"/>
      <c r="DE11" s="403"/>
      <c r="DF11" s="403"/>
      <c r="DG11" s="403"/>
      <c r="DH11" s="403"/>
      <c r="DI11" s="403"/>
      <c r="DJ11" s="403"/>
      <c r="DK11" s="403" t="s">
        <v>11496</v>
      </c>
      <c r="DL11" s="403"/>
      <c r="DM11" s="403"/>
      <c r="DN11" s="403"/>
      <c r="DO11" s="403"/>
      <c r="DP11" s="403"/>
      <c r="DQ11" s="403"/>
      <c r="DR11" s="403"/>
      <c r="DS11" s="403"/>
      <c r="DT11" s="403"/>
      <c r="DU11" s="403"/>
      <c r="DV11" s="403"/>
      <c r="DW11" s="403"/>
      <c r="DX11" s="403"/>
      <c r="DY11" s="403"/>
      <c r="DZ11" s="403"/>
      <c r="EA11" s="403"/>
      <c r="EB11" s="403"/>
      <c r="EC11" s="403"/>
      <c r="ED11" s="403" t="s">
        <v>11497</v>
      </c>
      <c r="EE11" s="403"/>
      <c r="EF11" s="403"/>
      <c r="EG11" s="403"/>
      <c r="EH11" s="403"/>
      <c r="EI11" s="403"/>
      <c r="EJ11" s="403"/>
      <c r="EK11" s="403"/>
      <c r="EL11" s="403"/>
      <c r="EM11" s="403"/>
      <c r="EN11" s="403"/>
      <c r="EO11" s="403"/>
      <c r="EP11" s="403"/>
      <c r="EQ11" s="403"/>
      <c r="ER11" s="403"/>
      <c r="ES11" s="403" t="s">
        <v>9797</v>
      </c>
      <c r="ET11" s="403"/>
      <c r="EU11" s="403"/>
      <c r="EV11" s="403"/>
      <c r="EW11" s="403"/>
      <c r="EX11" s="403"/>
      <c r="EY11" s="403"/>
      <c r="EZ11" s="403"/>
      <c r="FA11" s="403"/>
      <c r="FB11" s="403"/>
      <c r="FC11" s="403"/>
      <c r="FD11" s="403"/>
      <c r="FE11" s="403"/>
      <c r="FF11" s="403"/>
      <c r="FG11" s="403"/>
      <c r="FH11" s="403"/>
      <c r="FI11" s="403"/>
      <c r="FJ11" s="403"/>
      <c r="FK11" s="403"/>
      <c r="FL11" s="403" t="s">
        <v>11498</v>
      </c>
      <c r="FM11" s="403"/>
      <c r="FN11" s="403"/>
      <c r="FO11" s="403"/>
      <c r="FP11" s="403"/>
      <c r="FQ11" s="403"/>
      <c r="FR11" s="403"/>
      <c r="FS11" s="403"/>
      <c r="FT11" s="403"/>
      <c r="FU11" s="403"/>
      <c r="FV11" s="403"/>
      <c r="FW11" s="403"/>
      <c r="FX11" s="403"/>
      <c r="FY11" s="403"/>
      <c r="FZ11" s="403"/>
      <c r="GA11" s="403" t="s">
        <v>7394</v>
      </c>
      <c r="GB11" s="403"/>
      <c r="GC11" s="403"/>
      <c r="GD11" s="403"/>
      <c r="GE11" s="403"/>
      <c r="GF11" s="403"/>
      <c r="GG11" s="403"/>
      <c r="GH11" s="403"/>
      <c r="GI11" s="403"/>
      <c r="GJ11" s="403"/>
      <c r="GK11" s="403"/>
      <c r="GL11" s="403"/>
      <c r="GM11" s="403"/>
      <c r="GN11" s="403"/>
      <c r="GO11" s="403"/>
      <c r="GP11" s="403"/>
      <c r="GQ11" s="403"/>
      <c r="GR11" s="403"/>
      <c r="GS11" s="403"/>
      <c r="GT11" s="403" t="s">
        <v>11499</v>
      </c>
      <c r="GU11" s="403"/>
      <c r="GV11" s="403"/>
      <c r="GW11" s="403"/>
      <c r="GX11" s="403"/>
      <c r="GY11" s="403"/>
      <c r="GZ11" s="403"/>
      <c r="HA11" s="403"/>
      <c r="HB11" s="403"/>
      <c r="HC11" s="403"/>
      <c r="HD11" s="403"/>
      <c r="HE11" s="403"/>
      <c r="HF11" s="403"/>
      <c r="HG11" s="403"/>
      <c r="HH11" s="403"/>
      <c r="HI11" s="403" t="s">
        <v>11500</v>
      </c>
      <c r="HJ11" s="403"/>
      <c r="HK11" s="403"/>
      <c r="HL11" s="403"/>
      <c r="HM11" s="403"/>
      <c r="HN11" s="403"/>
      <c r="HO11" s="403"/>
      <c r="HP11" s="403"/>
      <c r="HQ11" s="403"/>
      <c r="HR11" s="403"/>
      <c r="HS11" s="403"/>
      <c r="HT11" s="403"/>
      <c r="HU11" s="403"/>
      <c r="HV11" s="403"/>
      <c r="HW11" s="403"/>
      <c r="HX11" s="403"/>
      <c r="HY11" s="403"/>
      <c r="HZ11" s="403"/>
      <c r="IA11" s="403"/>
      <c r="IB11" s="403" t="s">
        <v>11501</v>
      </c>
      <c r="IC11" s="403"/>
      <c r="ID11" s="403"/>
      <c r="IE11" s="403"/>
      <c r="IF11" s="403"/>
      <c r="IG11" s="403"/>
      <c r="IH11" s="403"/>
      <c r="II11" s="403"/>
      <c r="IJ11" s="403"/>
      <c r="IK11" s="403"/>
      <c r="IL11" s="403"/>
      <c r="IM11" s="403"/>
      <c r="IN11" s="403"/>
      <c r="IO11" s="403"/>
      <c r="IP11" s="403"/>
      <c r="IQ11" s="403" t="s">
        <v>7398</v>
      </c>
      <c r="IR11" s="403"/>
      <c r="IS11" s="403"/>
      <c r="IT11" s="403"/>
      <c r="IU11" s="403"/>
      <c r="IV11" s="403"/>
      <c r="IW11" s="403"/>
      <c r="IX11" s="403"/>
      <c r="IY11" s="403"/>
      <c r="IZ11" s="403"/>
      <c r="JA11" s="403"/>
      <c r="JB11" s="403"/>
      <c r="JC11" s="403"/>
      <c r="JD11" s="403"/>
      <c r="JE11" s="403"/>
      <c r="JF11" s="403"/>
      <c r="JG11" s="403"/>
      <c r="JH11" s="403"/>
      <c r="JI11" s="403"/>
      <c r="JJ11" s="403" t="s">
        <v>11502</v>
      </c>
      <c r="JK11" s="403"/>
      <c r="JL11" s="403"/>
      <c r="JM11" s="403"/>
      <c r="JN11" s="403"/>
      <c r="JO11" s="403"/>
      <c r="JP11" s="403"/>
      <c r="JQ11" s="403"/>
      <c r="JR11" s="403"/>
      <c r="JS11" s="403"/>
      <c r="JT11" s="403"/>
    </row>
    <row r="12" spans="1:280" s="15" customFormat="1" ht="12.75" x14ac:dyDescent="0.2">
      <c r="B12" s="622"/>
      <c r="C12" s="5" t="str">
        <f t="shared" ca="1" si="2"/>
        <v>Voluntary | Delivery Modality 1</v>
      </c>
      <c r="D12" s="3" t="str">
        <f>IF(RBF_DM1=0,Lang_Yes,Lang_No)</f>
        <v>No</v>
      </c>
      <c r="J12" s="16" t="e">
        <f>'B1. Target Population'!D173</f>
        <v>#N/A</v>
      </c>
      <c r="K12" s="16" t="e">
        <f>'B1. Target Population'!E173</f>
        <v>#N/A</v>
      </c>
      <c r="L12" s="16" t="e">
        <f>'B1. Target Population'!F173</f>
        <v>#N/A</v>
      </c>
      <c r="M12" s="16" t="e">
        <f>'B1. Target Population'!G173</f>
        <v>#N/A</v>
      </c>
      <c r="N12" s="16" t="e">
        <f>'B1. Target Population'!H173</f>
        <v>#N/A</v>
      </c>
      <c r="O12" s="16" t="e">
        <f>'B1. Target Population'!I173</f>
        <v>#N/A</v>
      </c>
      <c r="P12" s="16" t="e">
        <f>'B1. Target Population'!J173</f>
        <v>#N/A</v>
      </c>
      <c r="Q12" s="16"/>
      <c r="R12" s="12" t="str">
        <f t="shared" ca="1" si="1"/>
        <v/>
      </c>
      <c r="T12" s="2"/>
      <c r="U12" s="90"/>
      <c r="V12" s="72" t="str">
        <f ca="1">IF(OFFSET(BN12,0,Lang_Order*Lang__B5)="","",OFFSET(BN12,0,Lang_Order*Lang__B5))</f>
        <v>Lower Variant (Total</v>
      </c>
      <c r="W12" s="199" t="e">
        <f>AI36</f>
        <v>#N/A</v>
      </c>
      <c r="X12" s="199" t="e">
        <f t="shared" ref="X12:AC12" si="5">AJ36</f>
        <v>#N/A</v>
      </c>
      <c r="Y12" s="199" t="e">
        <f t="shared" si="5"/>
        <v>#N/A</v>
      </c>
      <c r="Z12" s="199" t="e">
        <f t="shared" si="5"/>
        <v>#N/A</v>
      </c>
      <c r="AA12" s="199" t="e">
        <f t="shared" si="5"/>
        <v>#N/A</v>
      </c>
      <c r="AB12" s="199" t="e">
        <f t="shared" si="5"/>
        <v>#N/A</v>
      </c>
      <c r="AC12" s="199" t="e">
        <f t="shared" si="5"/>
        <v>#N/A</v>
      </c>
      <c r="AE12" s="281"/>
      <c r="AF12" s="241"/>
      <c r="AG12" s="622"/>
      <c r="AR12" s="403"/>
      <c r="AS12" s="403"/>
      <c r="AT12" s="403"/>
      <c r="AU12" s="403" t="s">
        <v>1620</v>
      </c>
      <c r="AV12" s="403"/>
      <c r="AW12" s="403"/>
      <c r="AX12" s="403"/>
      <c r="AY12" s="403"/>
      <c r="AZ12" s="403"/>
      <c r="BA12" s="403"/>
      <c r="BB12" s="403"/>
      <c r="BC12" s="403"/>
      <c r="BD12" s="403"/>
      <c r="BE12" s="403"/>
      <c r="BF12" s="403"/>
      <c r="BG12" s="403"/>
      <c r="BH12" s="403"/>
      <c r="BI12" s="403"/>
      <c r="BJ12" s="403"/>
      <c r="BK12" s="403"/>
      <c r="BL12" s="403"/>
      <c r="BM12" s="403"/>
      <c r="BN12" s="403" t="s">
        <v>3176</v>
      </c>
      <c r="BO12" s="403"/>
      <c r="BP12" s="403"/>
      <c r="BQ12" s="403"/>
      <c r="BR12" s="403"/>
      <c r="BS12" s="403"/>
      <c r="BT12" s="403"/>
      <c r="BU12" s="403"/>
      <c r="BV12" s="403"/>
      <c r="BW12" s="403"/>
      <c r="BX12" s="403"/>
      <c r="BY12" s="403"/>
      <c r="BZ12" s="403"/>
      <c r="CA12" s="403"/>
      <c r="CB12" s="403"/>
      <c r="CC12" s="403" t="s">
        <v>7400</v>
      </c>
      <c r="CD12" s="403"/>
      <c r="CE12" s="403"/>
      <c r="CF12" s="403"/>
      <c r="CG12" s="403"/>
      <c r="CH12" s="403"/>
      <c r="CI12" s="403"/>
      <c r="CJ12" s="403"/>
      <c r="CK12" s="403"/>
      <c r="CL12" s="403"/>
      <c r="CM12" s="403"/>
      <c r="CN12" s="403"/>
      <c r="CO12" s="403"/>
      <c r="CP12" s="403"/>
      <c r="CQ12" s="403"/>
      <c r="CR12" s="403"/>
      <c r="CS12" s="403"/>
      <c r="CT12" s="403"/>
      <c r="CU12" s="403"/>
      <c r="CV12" s="403" t="s">
        <v>11503</v>
      </c>
      <c r="CW12" s="403"/>
      <c r="CX12" s="403"/>
      <c r="CY12" s="403"/>
      <c r="CZ12" s="403"/>
      <c r="DA12" s="403"/>
      <c r="DB12" s="403"/>
      <c r="DC12" s="403"/>
      <c r="DD12" s="403"/>
      <c r="DE12" s="403"/>
      <c r="DF12" s="403"/>
      <c r="DG12" s="403"/>
      <c r="DH12" s="403"/>
      <c r="DI12" s="403"/>
      <c r="DJ12" s="403"/>
      <c r="DK12" s="403" t="s">
        <v>11504</v>
      </c>
      <c r="DL12" s="403"/>
      <c r="DM12" s="403"/>
      <c r="DN12" s="403"/>
      <c r="DO12" s="403"/>
      <c r="DP12" s="403"/>
      <c r="DQ12" s="403"/>
      <c r="DR12" s="403"/>
      <c r="DS12" s="403"/>
      <c r="DT12" s="403"/>
      <c r="DU12" s="403"/>
      <c r="DV12" s="403"/>
      <c r="DW12" s="403"/>
      <c r="DX12" s="403"/>
      <c r="DY12" s="403"/>
      <c r="DZ12" s="403"/>
      <c r="EA12" s="403"/>
      <c r="EB12" s="403"/>
      <c r="EC12" s="403"/>
      <c r="ED12" s="403" t="s">
        <v>11505</v>
      </c>
      <c r="EE12" s="403"/>
      <c r="EF12" s="403"/>
      <c r="EG12" s="403"/>
      <c r="EH12" s="403"/>
      <c r="EI12" s="403"/>
      <c r="EJ12" s="403"/>
      <c r="EK12" s="403"/>
      <c r="EL12" s="403"/>
      <c r="EM12" s="403"/>
      <c r="EN12" s="403"/>
      <c r="EO12" s="403"/>
      <c r="EP12" s="403"/>
      <c r="EQ12" s="403"/>
      <c r="ER12" s="403"/>
      <c r="ES12" s="403" t="s">
        <v>9813</v>
      </c>
      <c r="ET12" s="403"/>
      <c r="EU12" s="403"/>
      <c r="EV12" s="403"/>
      <c r="EW12" s="403"/>
      <c r="EX12" s="403"/>
      <c r="EY12" s="403"/>
      <c r="EZ12" s="403"/>
      <c r="FA12" s="403"/>
      <c r="FB12" s="403"/>
      <c r="FC12" s="403"/>
      <c r="FD12" s="403"/>
      <c r="FE12" s="403"/>
      <c r="FF12" s="403"/>
      <c r="FG12" s="403"/>
      <c r="FH12" s="403"/>
      <c r="FI12" s="403"/>
      <c r="FJ12" s="403"/>
      <c r="FK12" s="403"/>
      <c r="FL12" s="403" t="s">
        <v>11506</v>
      </c>
      <c r="FM12" s="403"/>
      <c r="FN12" s="403"/>
      <c r="FO12" s="403"/>
      <c r="FP12" s="403"/>
      <c r="FQ12" s="403"/>
      <c r="FR12" s="403"/>
      <c r="FS12" s="403"/>
      <c r="FT12" s="403"/>
      <c r="FU12" s="403"/>
      <c r="FV12" s="403"/>
      <c r="FW12" s="403"/>
      <c r="FX12" s="403"/>
      <c r="FY12" s="403"/>
      <c r="FZ12" s="403"/>
      <c r="GA12" s="403" t="s">
        <v>7403</v>
      </c>
      <c r="GB12" s="403"/>
      <c r="GC12" s="403"/>
      <c r="GD12" s="403"/>
      <c r="GE12" s="403"/>
      <c r="GF12" s="403"/>
      <c r="GG12" s="403"/>
      <c r="GH12" s="403"/>
      <c r="GI12" s="403"/>
      <c r="GJ12" s="403"/>
      <c r="GK12" s="403"/>
      <c r="GL12" s="403"/>
      <c r="GM12" s="403"/>
      <c r="GN12" s="403"/>
      <c r="GO12" s="403"/>
      <c r="GP12" s="403"/>
      <c r="GQ12" s="403"/>
      <c r="GR12" s="403"/>
      <c r="GS12" s="403"/>
      <c r="GT12" s="403" t="s">
        <v>11507</v>
      </c>
      <c r="GU12" s="403"/>
      <c r="GV12" s="403"/>
      <c r="GW12" s="403"/>
      <c r="GX12" s="403"/>
      <c r="GY12" s="403"/>
      <c r="GZ12" s="403"/>
      <c r="HA12" s="403"/>
      <c r="HB12" s="403"/>
      <c r="HC12" s="403"/>
      <c r="HD12" s="403"/>
      <c r="HE12" s="403"/>
      <c r="HF12" s="403"/>
      <c r="HG12" s="403"/>
      <c r="HH12" s="403"/>
      <c r="HI12" s="403" t="s">
        <v>7463</v>
      </c>
      <c r="HJ12" s="403"/>
      <c r="HK12" s="403"/>
      <c r="HL12" s="403"/>
      <c r="HM12" s="403"/>
      <c r="HN12" s="403"/>
      <c r="HO12" s="403"/>
      <c r="HP12" s="403"/>
      <c r="HQ12" s="403"/>
      <c r="HR12" s="403"/>
      <c r="HS12" s="403"/>
      <c r="HT12" s="403"/>
      <c r="HU12" s="403"/>
      <c r="HV12" s="403"/>
      <c r="HW12" s="403"/>
      <c r="HX12" s="403"/>
      <c r="HY12" s="403"/>
      <c r="HZ12" s="403"/>
      <c r="IA12" s="403"/>
      <c r="IB12" s="403" t="s">
        <v>11508</v>
      </c>
      <c r="IC12" s="403"/>
      <c r="ID12" s="403"/>
      <c r="IE12" s="403"/>
      <c r="IF12" s="403"/>
      <c r="IG12" s="403"/>
      <c r="IH12" s="403"/>
      <c r="II12" s="403"/>
      <c r="IJ12" s="403"/>
      <c r="IK12" s="403"/>
      <c r="IL12" s="403"/>
      <c r="IM12" s="403"/>
      <c r="IN12" s="403"/>
      <c r="IO12" s="403"/>
      <c r="IP12" s="403"/>
      <c r="IQ12" s="403" t="s">
        <v>7405</v>
      </c>
      <c r="IR12" s="403"/>
      <c r="IS12" s="403"/>
      <c r="IT12" s="403"/>
      <c r="IU12" s="403"/>
      <c r="IV12" s="403"/>
      <c r="IW12" s="403"/>
      <c r="IX12" s="403"/>
      <c r="IY12" s="403"/>
      <c r="IZ12" s="403"/>
      <c r="JA12" s="403"/>
      <c r="JB12" s="403"/>
      <c r="JC12" s="403"/>
      <c r="JD12" s="403"/>
      <c r="JE12" s="403"/>
      <c r="JF12" s="403"/>
      <c r="JG12" s="403"/>
      <c r="JH12" s="403"/>
      <c r="JI12" s="403"/>
      <c r="JJ12" s="403" t="s">
        <v>11509</v>
      </c>
      <c r="JK12" s="403"/>
      <c r="JL12" s="403"/>
      <c r="JM12" s="403"/>
      <c r="JN12" s="403"/>
      <c r="JO12" s="403"/>
      <c r="JP12" s="403"/>
      <c r="JQ12" s="403"/>
      <c r="JR12" s="403"/>
      <c r="JS12" s="403"/>
      <c r="JT12" s="403"/>
    </row>
    <row r="13" spans="1:280" s="15" customFormat="1" ht="12.75" x14ac:dyDescent="0.2">
      <c r="B13" s="622"/>
      <c r="C13" s="5" t="str">
        <f t="shared" ca="1" si="2"/>
        <v>Work-based | Delivery Modality 2</v>
      </c>
      <c r="D13" s="3" t="str">
        <f>IF(RBF_DM2=0,Lang_Yes,Lang_No)</f>
        <v>No</v>
      </c>
      <c r="J13" s="16" t="e">
        <f>'B1. Target Population'!D174</f>
        <v>#N/A</v>
      </c>
      <c r="K13" s="16" t="e">
        <f>'B1. Target Population'!E174</f>
        <v>#N/A</v>
      </c>
      <c r="L13" s="16" t="e">
        <f>'B1. Target Population'!F174</f>
        <v>#N/A</v>
      </c>
      <c r="M13" s="16" t="e">
        <f>'B1. Target Population'!G174</f>
        <v>#N/A</v>
      </c>
      <c r="N13" s="16" t="e">
        <f>'B1. Target Population'!H174</f>
        <v>#N/A</v>
      </c>
      <c r="O13" s="16" t="e">
        <f>'B1. Target Population'!I174</f>
        <v>#N/A</v>
      </c>
      <c r="P13" s="16" t="e">
        <f>'B1. Target Population'!J174</f>
        <v>#N/A</v>
      </c>
      <c r="Q13" s="16"/>
      <c r="R13" s="12" t="str">
        <f t="shared" ca="1" si="1"/>
        <v/>
      </c>
      <c r="T13" s="2"/>
      <c r="U13" s="90"/>
      <c r="V13" s="72"/>
      <c r="W13" s="199"/>
      <c r="X13" s="199"/>
      <c r="Y13" s="199"/>
      <c r="Z13" s="199"/>
      <c r="AA13" s="199"/>
      <c r="AB13" s="199"/>
      <c r="AC13" s="199"/>
      <c r="AE13" s="281"/>
      <c r="AF13" s="241"/>
      <c r="AG13" s="622"/>
      <c r="AR13" s="403"/>
      <c r="AS13" s="403"/>
      <c r="AT13" s="403"/>
      <c r="AU13" s="403" t="s">
        <v>1617</v>
      </c>
      <c r="AV13" s="403"/>
      <c r="AW13" s="403"/>
      <c r="AX13" s="403"/>
      <c r="AY13" s="403"/>
      <c r="AZ13" s="403"/>
      <c r="BA13" s="403"/>
      <c r="BB13" s="403"/>
      <c r="BC13" s="403"/>
      <c r="BD13" s="403"/>
      <c r="BE13" s="403"/>
      <c r="BF13" s="403"/>
      <c r="BG13" s="403"/>
      <c r="BH13" s="403"/>
      <c r="BI13" s="403"/>
      <c r="BJ13" s="403"/>
      <c r="BK13" s="403"/>
      <c r="BL13" s="403"/>
      <c r="BM13" s="403"/>
      <c r="BN13" s="403"/>
      <c r="BO13" s="403"/>
      <c r="BP13" s="403"/>
      <c r="BQ13" s="403"/>
      <c r="BR13" s="403"/>
      <c r="BS13" s="403"/>
      <c r="BT13" s="403"/>
      <c r="BU13" s="403"/>
      <c r="BV13" s="403"/>
      <c r="BW13" s="403"/>
      <c r="BX13" s="403"/>
      <c r="BY13" s="403"/>
      <c r="BZ13" s="403"/>
      <c r="CA13" s="403"/>
      <c r="CB13" s="403"/>
      <c r="CC13" s="403" t="s">
        <v>7406</v>
      </c>
      <c r="CD13" s="403"/>
      <c r="CE13" s="403"/>
      <c r="CF13" s="403"/>
      <c r="CG13" s="403"/>
      <c r="CH13" s="403"/>
      <c r="CI13" s="403"/>
      <c r="CJ13" s="403"/>
      <c r="CK13" s="403"/>
      <c r="CL13" s="403"/>
      <c r="CM13" s="403"/>
      <c r="CN13" s="403"/>
      <c r="CO13" s="403"/>
      <c r="CP13" s="403"/>
      <c r="CQ13" s="403"/>
      <c r="CR13" s="403"/>
      <c r="CS13" s="403"/>
      <c r="CT13" s="403"/>
      <c r="CU13" s="403"/>
      <c r="CV13" s="403"/>
      <c r="CW13" s="403"/>
      <c r="CX13" s="403"/>
      <c r="CY13" s="403"/>
      <c r="CZ13" s="403"/>
      <c r="DA13" s="403"/>
      <c r="DB13" s="403"/>
      <c r="DC13" s="403"/>
      <c r="DD13" s="403"/>
      <c r="DE13" s="403"/>
      <c r="DF13" s="403"/>
      <c r="DG13" s="403"/>
      <c r="DH13" s="403"/>
      <c r="DI13" s="403"/>
      <c r="DJ13" s="403"/>
      <c r="DK13" s="403" t="s">
        <v>11510</v>
      </c>
      <c r="DL13" s="403"/>
      <c r="DM13" s="403"/>
      <c r="DN13" s="403"/>
      <c r="DO13" s="403"/>
      <c r="DP13" s="403"/>
      <c r="DQ13" s="403"/>
      <c r="DR13" s="403"/>
      <c r="DS13" s="403"/>
      <c r="DT13" s="403"/>
      <c r="DU13" s="403"/>
      <c r="DV13" s="403"/>
      <c r="DW13" s="403"/>
      <c r="DX13" s="403"/>
      <c r="DY13" s="403"/>
      <c r="DZ13" s="403"/>
      <c r="EA13" s="403"/>
      <c r="EB13" s="403"/>
      <c r="EC13" s="403"/>
      <c r="ED13" s="403"/>
      <c r="EE13" s="403"/>
      <c r="EF13" s="403"/>
      <c r="EG13" s="403"/>
      <c r="EH13" s="403"/>
      <c r="EI13" s="403"/>
      <c r="EJ13" s="403"/>
      <c r="EK13" s="403"/>
      <c r="EL13" s="403"/>
      <c r="EM13" s="403"/>
      <c r="EN13" s="403"/>
      <c r="EO13" s="403"/>
      <c r="EP13" s="403"/>
      <c r="EQ13" s="403"/>
      <c r="ER13" s="403"/>
      <c r="ES13" s="403" t="s">
        <v>9819</v>
      </c>
      <c r="ET13" s="403"/>
      <c r="EU13" s="403"/>
      <c r="EV13" s="403"/>
      <c r="EW13" s="403"/>
      <c r="EX13" s="403"/>
      <c r="EY13" s="403"/>
      <c r="EZ13" s="403"/>
      <c r="FA13" s="403"/>
      <c r="FB13" s="403"/>
      <c r="FC13" s="403"/>
      <c r="FD13" s="403"/>
      <c r="FE13" s="403"/>
      <c r="FF13" s="403"/>
      <c r="FG13" s="403"/>
      <c r="FH13" s="403"/>
      <c r="FI13" s="403"/>
      <c r="FJ13" s="403"/>
      <c r="FK13" s="403"/>
      <c r="FL13" s="403"/>
      <c r="FM13" s="403"/>
      <c r="FN13" s="403"/>
      <c r="FO13" s="403"/>
      <c r="FP13" s="403"/>
      <c r="FQ13" s="403"/>
      <c r="FR13" s="403"/>
      <c r="FS13" s="403"/>
      <c r="FT13" s="403"/>
      <c r="FU13" s="403"/>
      <c r="FV13" s="403"/>
      <c r="FW13" s="403"/>
      <c r="FX13" s="403"/>
      <c r="FY13" s="403"/>
      <c r="FZ13" s="403"/>
      <c r="GA13" s="403" t="s">
        <v>7409</v>
      </c>
      <c r="GB13" s="403"/>
      <c r="GC13" s="403"/>
      <c r="GD13" s="403"/>
      <c r="GE13" s="403"/>
      <c r="GF13" s="403"/>
      <c r="GG13" s="403"/>
      <c r="GH13" s="403"/>
      <c r="GI13" s="403"/>
      <c r="GJ13" s="403"/>
      <c r="GK13" s="403"/>
      <c r="GL13" s="403"/>
      <c r="GM13" s="403"/>
      <c r="GN13" s="403"/>
      <c r="GO13" s="403"/>
      <c r="GP13" s="403"/>
      <c r="GQ13" s="403"/>
      <c r="GR13" s="403"/>
      <c r="GS13" s="403"/>
      <c r="GT13" s="403"/>
      <c r="GU13" s="403"/>
      <c r="GV13" s="403"/>
      <c r="GW13" s="403"/>
      <c r="GX13" s="403"/>
      <c r="GY13" s="403"/>
      <c r="GZ13" s="403"/>
      <c r="HA13" s="403"/>
      <c r="HB13" s="403"/>
      <c r="HC13" s="403"/>
      <c r="HD13" s="403"/>
      <c r="HE13" s="403"/>
      <c r="HF13" s="403"/>
      <c r="HG13" s="403"/>
      <c r="HH13" s="403"/>
      <c r="HI13" s="403" t="s">
        <v>11511</v>
      </c>
      <c r="HJ13" s="403"/>
      <c r="HK13" s="403"/>
      <c r="HL13" s="403"/>
      <c r="HM13" s="403"/>
      <c r="HN13" s="403"/>
      <c r="HO13" s="403"/>
      <c r="HP13" s="403"/>
      <c r="HQ13" s="403"/>
      <c r="HR13" s="403"/>
      <c r="HS13" s="403"/>
      <c r="HT13" s="403"/>
      <c r="HU13" s="403"/>
      <c r="HV13" s="403"/>
      <c r="HW13" s="403"/>
      <c r="HX13" s="403"/>
      <c r="HY13" s="403"/>
      <c r="HZ13" s="403"/>
      <c r="IA13" s="403"/>
      <c r="IB13" s="403"/>
      <c r="IC13" s="403"/>
      <c r="ID13" s="403"/>
      <c r="IE13" s="403"/>
      <c r="IF13" s="403"/>
      <c r="IG13" s="403"/>
      <c r="IH13" s="403"/>
      <c r="II13" s="403"/>
      <c r="IJ13" s="403"/>
      <c r="IK13" s="403"/>
      <c r="IL13" s="403"/>
      <c r="IM13" s="403"/>
      <c r="IN13" s="403"/>
      <c r="IO13" s="403"/>
      <c r="IP13" s="403"/>
      <c r="IQ13" s="403" t="s">
        <v>7411</v>
      </c>
      <c r="IR13" s="403"/>
      <c r="IS13" s="403"/>
      <c r="IT13" s="403"/>
      <c r="IU13" s="403"/>
      <c r="IV13" s="403"/>
      <c r="IW13" s="403"/>
      <c r="IX13" s="403"/>
      <c r="IY13" s="403"/>
      <c r="IZ13" s="403"/>
      <c r="JA13" s="403"/>
      <c r="JB13" s="403"/>
      <c r="JC13" s="403"/>
      <c r="JD13" s="403"/>
      <c r="JE13" s="403"/>
      <c r="JF13" s="403"/>
      <c r="JG13" s="403"/>
      <c r="JH13" s="403"/>
      <c r="JI13" s="403"/>
      <c r="JJ13" s="403"/>
      <c r="JK13" s="403"/>
      <c r="JL13" s="403"/>
      <c r="JM13" s="403"/>
      <c r="JN13" s="403"/>
      <c r="JO13" s="403"/>
      <c r="JP13" s="403"/>
      <c r="JQ13" s="403"/>
      <c r="JR13" s="403"/>
      <c r="JS13" s="403"/>
      <c r="JT13" s="403"/>
    </row>
    <row r="14" spans="1:280" s="15" customFormat="1" ht="13.5" thickBot="1" x14ac:dyDescent="0.25">
      <c r="B14" s="622"/>
      <c r="C14" s="5" t="str">
        <f t="shared" ca="1" si="2"/>
        <v>Voluntary | Delivery Modality 2</v>
      </c>
      <c r="D14" s="3" t="str">
        <f>IF(RBF_DM2=0,Lang_Yes,Lang_No)</f>
        <v>No</v>
      </c>
      <c r="J14" s="16" t="e">
        <f>'B1. Target Population'!D175</f>
        <v>#N/A</v>
      </c>
      <c r="K14" s="16" t="e">
        <f>'B1. Target Population'!E175</f>
        <v>#N/A</v>
      </c>
      <c r="L14" s="16" t="e">
        <f>'B1. Target Population'!F175</f>
        <v>#N/A</v>
      </c>
      <c r="M14" s="16" t="e">
        <f>'B1. Target Population'!G175</f>
        <v>#N/A</v>
      </c>
      <c r="N14" s="16" t="e">
        <f>'B1. Target Population'!H175</f>
        <v>#N/A</v>
      </c>
      <c r="O14" s="16" t="e">
        <f>'B1. Target Population'!I175</f>
        <v>#N/A</v>
      </c>
      <c r="P14" s="16" t="e">
        <f>'B1. Target Population'!J175</f>
        <v>#N/A</v>
      </c>
      <c r="Q14" s="16"/>
      <c r="R14" s="12" t="str">
        <f t="shared" ca="1" si="1"/>
        <v/>
      </c>
      <c r="T14" s="241"/>
      <c r="U14" s="622"/>
      <c r="V14" s="21" t="str">
        <f ca="1">IF(OFFSET(BN14,0,Lang_Order*Lang__B5)="","",OFFSET(BN14,0,Lang_Order*Lang__B5))</f>
        <v>Medium Variant (Total)</v>
      </c>
      <c r="W14" s="118" t="e">
        <f t="shared" ref="W14:AC14" si="6">J36</f>
        <v>#N/A</v>
      </c>
      <c r="X14" s="118" t="e">
        <f t="shared" si="6"/>
        <v>#N/A</v>
      </c>
      <c r="Y14" s="118" t="e">
        <f t="shared" si="6"/>
        <v>#N/A</v>
      </c>
      <c r="Z14" s="118" t="e">
        <f t="shared" si="6"/>
        <v>#N/A</v>
      </c>
      <c r="AA14" s="118" t="e">
        <f t="shared" si="6"/>
        <v>#N/A</v>
      </c>
      <c r="AB14" s="118" t="e">
        <f t="shared" si="6"/>
        <v>#N/A</v>
      </c>
      <c r="AC14" s="118" t="e">
        <f t="shared" si="6"/>
        <v>#N/A</v>
      </c>
      <c r="AE14" s="281"/>
      <c r="AF14" s="241"/>
      <c r="AG14" s="622"/>
      <c r="AR14" s="403"/>
      <c r="AS14" s="403"/>
      <c r="AT14" s="403"/>
      <c r="AU14" s="403" t="s">
        <v>1616</v>
      </c>
      <c r="AV14" s="403"/>
      <c r="AW14" s="403"/>
      <c r="AX14" s="403"/>
      <c r="AY14" s="403"/>
      <c r="AZ14" s="403"/>
      <c r="BA14" s="403"/>
      <c r="BB14" s="403"/>
      <c r="BC14" s="403"/>
      <c r="BD14" s="403"/>
      <c r="BE14" s="403"/>
      <c r="BF14" s="403"/>
      <c r="BG14" s="403"/>
      <c r="BH14" s="403"/>
      <c r="BI14" s="403"/>
      <c r="BJ14" s="403"/>
      <c r="BK14" s="403"/>
      <c r="BL14" s="403"/>
      <c r="BM14" s="403"/>
      <c r="BN14" s="564" t="s">
        <v>3177</v>
      </c>
      <c r="BO14" s="403"/>
      <c r="BP14" s="403"/>
      <c r="BQ14" s="403"/>
      <c r="BR14" s="403"/>
      <c r="BS14" s="403"/>
      <c r="BT14" s="403"/>
      <c r="BU14" s="403"/>
      <c r="BV14" s="403"/>
      <c r="BW14" s="403"/>
      <c r="BX14" s="403"/>
      <c r="BY14" s="403"/>
      <c r="BZ14" s="403"/>
      <c r="CA14" s="403"/>
      <c r="CB14" s="403"/>
      <c r="CC14" s="403" t="s">
        <v>7412</v>
      </c>
      <c r="CD14" s="403"/>
      <c r="CE14" s="403"/>
      <c r="CF14" s="403"/>
      <c r="CG14" s="403"/>
      <c r="CH14" s="403"/>
      <c r="CI14" s="403"/>
      <c r="CJ14" s="403"/>
      <c r="CK14" s="403"/>
      <c r="CL14" s="403"/>
      <c r="CM14" s="403"/>
      <c r="CN14" s="403"/>
      <c r="CO14" s="403"/>
      <c r="CP14" s="403"/>
      <c r="CQ14" s="403"/>
      <c r="CR14" s="403"/>
      <c r="CS14" s="403"/>
      <c r="CT14" s="403"/>
      <c r="CU14" s="403"/>
      <c r="CV14" s="403" t="s">
        <v>11514</v>
      </c>
      <c r="CW14" s="403"/>
      <c r="CX14" s="403"/>
      <c r="CY14" s="403"/>
      <c r="CZ14" s="403"/>
      <c r="DA14" s="403"/>
      <c r="DB14" s="403"/>
      <c r="DC14" s="403"/>
      <c r="DD14" s="403"/>
      <c r="DE14" s="403"/>
      <c r="DF14" s="403"/>
      <c r="DG14" s="403"/>
      <c r="DH14" s="403"/>
      <c r="DI14" s="403"/>
      <c r="DJ14" s="403"/>
      <c r="DK14" s="403" t="s">
        <v>11512</v>
      </c>
      <c r="DL14" s="403"/>
      <c r="DM14" s="403"/>
      <c r="DN14" s="403"/>
      <c r="DO14" s="403"/>
      <c r="DP14" s="403"/>
      <c r="DQ14" s="403"/>
      <c r="DR14" s="403"/>
      <c r="DS14" s="403"/>
      <c r="DT14" s="403"/>
      <c r="DU14" s="403"/>
      <c r="DV14" s="403"/>
      <c r="DW14" s="403"/>
      <c r="DX14" s="403"/>
      <c r="DY14" s="403"/>
      <c r="DZ14" s="403"/>
      <c r="EA14" s="403"/>
      <c r="EB14" s="403"/>
      <c r="EC14" s="403"/>
      <c r="ED14" s="403" t="s">
        <v>11516</v>
      </c>
      <c r="EE14" s="403"/>
      <c r="EF14" s="403"/>
      <c r="EG14" s="403"/>
      <c r="EH14" s="403"/>
      <c r="EI14" s="403"/>
      <c r="EJ14" s="403"/>
      <c r="EK14" s="403"/>
      <c r="EL14" s="403"/>
      <c r="EM14" s="403"/>
      <c r="EN14" s="403"/>
      <c r="EO14" s="403"/>
      <c r="EP14" s="403"/>
      <c r="EQ14" s="403"/>
      <c r="ER14" s="403"/>
      <c r="ES14" s="403" t="s">
        <v>9816</v>
      </c>
      <c r="ET14" s="403"/>
      <c r="EU14" s="403"/>
      <c r="EV14" s="403"/>
      <c r="EW14" s="403"/>
      <c r="EX14" s="403"/>
      <c r="EY14" s="403"/>
      <c r="EZ14" s="403"/>
      <c r="FA14" s="403"/>
      <c r="FB14" s="403"/>
      <c r="FC14" s="403"/>
      <c r="FD14" s="403"/>
      <c r="FE14" s="403"/>
      <c r="FF14" s="403"/>
      <c r="FG14" s="403"/>
      <c r="FH14" s="403"/>
      <c r="FI14" s="403"/>
      <c r="FJ14" s="403"/>
      <c r="FK14" s="403"/>
      <c r="FL14" s="403" t="s">
        <v>11518</v>
      </c>
      <c r="FM14" s="403"/>
      <c r="FN14" s="403"/>
      <c r="FO14" s="403"/>
      <c r="FP14" s="403"/>
      <c r="FQ14" s="403"/>
      <c r="FR14" s="403"/>
      <c r="FS14" s="403"/>
      <c r="FT14" s="403"/>
      <c r="FU14" s="403"/>
      <c r="FV14" s="403"/>
      <c r="FW14" s="403"/>
      <c r="FX14" s="403"/>
      <c r="FY14" s="403"/>
      <c r="FZ14" s="403"/>
      <c r="GA14" s="403" t="s">
        <v>7415</v>
      </c>
      <c r="GB14" s="403"/>
      <c r="GC14" s="403"/>
      <c r="GD14" s="403"/>
      <c r="GE14" s="403"/>
      <c r="GF14" s="403"/>
      <c r="GG14" s="403"/>
      <c r="GH14" s="403"/>
      <c r="GI14" s="403"/>
      <c r="GJ14" s="403"/>
      <c r="GK14" s="403"/>
      <c r="GL14" s="403"/>
      <c r="GM14" s="403"/>
      <c r="GN14" s="403"/>
      <c r="GO14" s="403"/>
      <c r="GP14" s="403"/>
      <c r="GQ14" s="403"/>
      <c r="GR14" s="403"/>
      <c r="GS14" s="403"/>
      <c r="GT14" s="403" t="s">
        <v>11520</v>
      </c>
      <c r="GU14" s="403"/>
      <c r="GV14" s="403"/>
      <c r="GW14" s="403"/>
      <c r="GX14" s="403"/>
      <c r="GY14" s="403"/>
      <c r="GZ14" s="403"/>
      <c r="HA14" s="403"/>
      <c r="HB14" s="403"/>
      <c r="HC14" s="403"/>
      <c r="HD14" s="403"/>
      <c r="HE14" s="403"/>
      <c r="HF14" s="403"/>
      <c r="HG14" s="403"/>
      <c r="HH14" s="403"/>
      <c r="HI14" s="403" t="s">
        <v>7416</v>
      </c>
      <c r="HJ14" s="403"/>
      <c r="HK14" s="403"/>
      <c r="HL14" s="403"/>
      <c r="HM14" s="403"/>
      <c r="HN14" s="403"/>
      <c r="HO14" s="403"/>
      <c r="HP14" s="403"/>
      <c r="HQ14" s="403"/>
      <c r="HR14" s="403"/>
      <c r="HS14" s="403"/>
      <c r="HT14" s="403"/>
      <c r="HU14" s="403"/>
      <c r="HV14" s="403"/>
      <c r="HW14" s="403"/>
      <c r="HX14" s="403"/>
      <c r="HY14" s="403"/>
      <c r="HZ14" s="403"/>
      <c r="IA14" s="403"/>
      <c r="IB14" s="403" t="s">
        <v>11522</v>
      </c>
      <c r="IC14" s="403"/>
      <c r="ID14" s="403"/>
      <c r="IE14" s="403"/>
      <c r="IF14" s="403"/>
      <c r="IG14" s="403"/>
      <c r="IH14" s="403"/>
      <c r="II14" s="403"/>
      <c r="IJ14" s="403"/>
      <c r="IK14" s="403"/>
      <c r="IL14" s="403"/>
      <c r="IM14" s="403"/>
      <c r="IN14" s="403"/>
      <c r="IO14" s="403"/>
      <c r="IP14" s="403"/>
      <c r="IQ14" s="403" t="s">
        <v>7417</v>
      </c>
      <c r="IR14" s="403"/>
      <c r="IS14" s="403"/>
      <c r="IT14" s="403"/>
      <c r="IU14" s="403"/>
      <c r="IV14" s="403"/>
      <c r="IW14" s="403"/>
      <c r="IX14" s="403"/>
      <c r="IY14" s="403"/>
      <c r="IZ14" s="403"/>
      <c r="JA14" s="403"/>
      <c r="JB14" s="403"/>
      <c r="JC14" s="403"/>
      <c r="JD14" s="403"/>
      <c r="JE14" s="403"/>
      <c r="JF14" s="403"/>
      <c r="JG14" s="403"/>
      <c r="JH14" s="403"/>
      <c r="JI14" s="403"/>
      <c r="JJ14" s="403" t="s">
        <v>11524</v>
      </c>
      <c r="JK14" s="403"/>
      <c r="JL14" s="403"/>
      <c r="JM14" s="403"/>
      <c r="JN14" s="403"/>
      <c r="JO14" s="403"/>
      <c r="JP14" s="403"/>
      <c r="JQ14" s="403"/>
      <c r="JR14" s="403"/>
      <c r="JS14" s="403"/>
      <c r="JT14" s="403"/>
    </row>
    <row r="15" spans="1:280" s="15" customFormat="1" ht="13.5" thickTop="1" x14ac:dyDescent="0.2">
      <c r="B15" s="622"/>
      <c r="C15" s="5" t="str">
        <f t="shared" ca="1" si="2"/>
        <v>Delivery Modality 3</v>
      </c>
      <c r="D15" s="3" t="str">
        <f>IF(RBF_DM3=0,Lang_Yes,Lang_No)</f>
        <v>No</v>
      </c>
      <c r="J15" s="16" t="e">
        <f>'B1. Target Population'!D176</f>
        <v>#N/A</v>
      </c>
      <c r="K15" s="16" t="e">
        <f>'B1. Target Population'!E176</f>
        <v>#N/A</v>
      </c>
      <c r="L15" s="16" t="e">
        <f>'B1. Target Population'!F176</f>
        <v>#N/A</v>
      </c>
      <c r="M15" s="16" t="e">
        <f>'B1. Target Population'!G176</f>
        <v>#N/A</v>
      </c>
      <c r="N15" s="16" t="e">
        <f>'B1. Target Population'!H176</f>
        <v>#N/A</v>
      </c>
      <c r="O15" s="16" t="e">
        <f>'B1. Target Population'!I176</f>
        <v>#N/A</v>
      </c>
      <c r="P15" s="16" t="e">
        <f>'B1. Target Population'!J176</f>
        <v>#N/A</v>
      </c>
      <c r="Q15" s="16"/>
      <c r="R15" s="12" t="str">
        <f t="shared" ca="1" si="1"/>
        <v/>
      </c>
      <c r="T15" s="241"/>
      <c r="U15" s="622"/>
      <c r="V15" s="5"/>
      <c r="AE15" s="281"/>
      <c r="AF15" s="241"/>
      <c r="AG15" s="622"/>
      <c r="AR15" s="403"/>
      <c r="AS15" s="403"/>
      <c r="AT15" s="403"/>
      <c r="AU15" s="403" t="s">
        <v>1564</v>
      </c>
      <c r="AV15" s="403"/>
      <c r="AW15" s="403"/>
      <c r="AX15" s="403"/>
      <c r="AY15" s="403"/>
      <c r="AZ15" s="403"/>
      <c r="BA15" s="403"/>
      <c r="BB15" s="403"/>
      <c r="BC15" s="403"/>
      <c r="BD15" s="403"/>
      <c r="BE15" s="403"/>
      <c r="BF15" s="403"/>
      <c r="BG15" s="403"/>
      <c r="BH15" s="403"/>
      <c r="BI15" s="403"/>
      <c r="BJ15" s="403"/>
      <c r="BK15" s="403"/>
      <c r="BL15" s="403"/>
      <c r="BM15" s="403"/>
      <c r="BN15" s="564"/>
      <c r="BO15" s="403"/>
      <c r="BP15" s="403"/>
      <c r="BQ15" s="403"/>
      <c r="BR15" s="403"/>
      <c r="BS15" s="403"/>
      <c r="BT15" s="403"/>
      <c r="BU15" s="403"/>
      <c r="BV15" s="403"/>
      <c r="BW15" s="403"/>
      <c r="BX15" s="403"/>
      <c r="BY15" s="403"/>
      <c r="BZ15" s="403"/>
      <c r="CA15" s="403"/>
      <c r="CB15" s="403"/>
      <c r="CC15" s="403" t="s">
        <v>7418</v>
      </c>
      <c r="CD15" s="403"/>
      <c r="CE15" s="403"/>
      <c r="CF15" s="403"/>
      <c r="CG15" s="403"/>
      <c r="CH15" s="403"/>
      <c r="CI15" s="403"/>
      <c r="CJ15" s="403"/>
      <c r="CK15" s="403"/>
      <c r="CL15" s="403"/>
      <c r="CM15" s="403"/>
      <c r="CN15" s="403"/>
      <c r="CO15" s="403"/>
      <c r="CP15" s="403"/>
      <c r="CQ15" s="403"/>
      <c r="CR15" s="403"/>
      <c r="CS15" s="403"/>
      <c r="CT15" s="403"/>
      <c r="CU15" s="403"/>
      <c r="CV15" s="403"/>
      <c r="CW15" s="403"/>
      <c r="CX15" s="403"/>
      <c r="CY15" s="403"/>
      <c r="CZ15" s="403"/>
      <c r="DA15" s="403"/>
      <c r="DB15" s="403"/>
      <c r="DC15" s="403"/>
      <c r="DD15" s="403"/>
      <c r="DE15" s="403"/>
      <c r="DF15" s="403"/>
      <c r="DG15" s="403"/>
      <c r="DH15" s="403"/>
      <c r="DI15" s="403"/>
      <c r="DJ15" s="403"/>
      <c r="DK15" s="403" t="s">
        <v>9676</v>
      </c>
      <c r="DL15" s="403"/>
      <c r="DM15" s="403"/>
      <c r="DN15" s="403"/>
      <c r="DO15" s="403"/>
      <c r="DP15" s="403"/>
      <c r="DQ15" s="403"/>
      <c r="DR15" s="403"/>
      <c r="DS15" s="403"/>
      <c r="DT15" s="403"/>
      <c r="DU15" s="403"/>
      <c r="DV15" s="403"/>
      <c r="DW15" s="403"/>
      <c r="DX15" s="403"/>
      <c r="DY15" s="403"/>
      <c r="DZ15" s="403"/>
      <c r="EA15" s="403"/>
      <c r="EB15" s="403"/>
      <c r="EC15" s="403"/>
      <c r="ED15" s="403"/>
      <c r="EE15" s="403"/>
      <c r="EF15" s="403"/>
      <c r="EG15" s="403"/>
      <c r="EH15" s="403"/>
      <c r="EI15" s="403"/>
      <c r="EJ15" s="403"/>
      <c r="EK15" s="403"/>
      <c r="EL15" s="403"/>
      <c r="EM15" s="403"/>
      <c r="EN15" s="403"/>
      <c r="EO15" s="403"/>
      <c r="EP15" s="403"/>
      <c r="EQ15" s="403"/>
      <c r="ER15" s="403"/>
      <c r="ES15" s="403" t="s">
        <v>7420</v>
      </c>
      <c r="ET15" s="403"/>
      <c r="EU15" s="403"/>
      <c r="EV15" s="403"/>
      <c r="EW15" s="403"/>
      <c r="EX15" s="403"/>
      <c r="EY15" s="403"/>
      <c r="EZ15" s="403"/>
      <c r="FA15" s="403"/>
      <c r="FB15" s="403"/>
      <c r="FC15" s="403"/>
      <c r="FD15" s="403"/>
      <c r="FE15" s="403"/>
      <c r="FF15" s="403"/>
      <c r="FG15" s="403"/>
      <c r="FH15" s="403"/>
      <c r="FI15" s="403"/>
      <c r="FJ15" s="403"/>
      <c r="FK15" s="403"/>
      <c r="FL15" s="403"/>
      <c r="FM15" s="403"/>
      <c r="FN15" s="403"/>
      <c r="FO15" s="403"/>
      <c r="FP15" s="403"/>
      <c r="FQ15" s="403"/>
      <c r="FR15" s="403"/>
      <c r="FS15" s="403"/>
      <c r="FT15" s="403"/>
      <c r="FU15" s="403"/>
      <c r="FV15" s="403"/>
      <c r="FW15" s="403"/>
      <c r="FX15" s="403"/>
      <c r="FY15" s="403"/>
      <c r="FZ15" s="403"/>
      <c r="GA15" s="403" t="s">
        <v>7489</v>
      </c>
      <c r="GB15" s="403"/>
      <c r="GC15" s="403"/>
      <c r="GD15" s="403"/>
      <c r="GE15" s="403"/>
      <c r="GF15" s="403"/>
      <c r="GG15" s="403"/>
      <c r="GH15" s="403"/>
      <c r="GI15" s="403"/>
      <c r="GJ15" s="403"/>
      <c r="GK15" s="403"/>
      <c r="GL15" s="403"/>
      <c r="GM15" s="403"/>
      <c r="GN15" s="403"/>
      <c r="GO15" s="403"/>
      <c r="GP15" s="403"/>
      <c r="GQ15" s="403"/>
      <c r="GR15" s="403"/>
      <c r="GS15" s="403"/>
      <c r="GT15" s="403"/>
      <c r="GU15" s="403"/>
      <c r="GV15" s="403"/>
      <c r="GW15" s="403"/>
      <c r="GX15" s="403"/>
      <c r="GY15" s="403"/>
      <c r="GZ15" s="403"/>
      <c r="HA15" s="403"/>
      <c r="HB15" s="403"/>
      <c r="HC15" s="403"/>
      <c r="HD15" s="403"/>
      <c r="HE15" s="403"/>
      <c r="HF15" s="403"/>
      <c r="HG15" s="403"/>
      <c r="HH15" s="403"/>
      <c r="HI15" s="403" t="s">
        <v>7422</v>
      </c>
      <c r="HJ15" s="403"/>
      <c r="HK15" s="403"/>
      <c r="HL15" s="403"/>
      <c r="HM15" s="403"/>
      <c r="HN15" s="403"/>
      <c r="HO15" s="403"/>
      <c r="HP15" s="403"/>
      <c r="HQ15" s="403"/>
      <c r="HR15" s="403"/>
      <c r="HS15" s="403"/>
      <c r="HT15" s="403"/>
      <c r="HU15" s="403"/>
      <c r="HV15" s="403"/>
      <c r="HW15" s="403"/>
      <c r="HX15" s="403"/>
      <c r="HY15" s="403"/>
      <c r="HZ15" s="403"/>
      <c r="IA15" s="403"/>
      <c r="IB15" s="403"/>
      <c r="IC15" s="403"/>
      <c r="ID15" s="403"/>
      <c r="IE15" s="403"/>
      <c r="IF15" s="403"/>
      <c r="IG15" s="403"/>
      <c r="IH15" s="403"/>
      <c r="II15" s="403"/>
      <c r="IJ15" s="403"/>
      <c r="IK15" s="403"/>
      <c r="IL15" s="403"/>
      <c r="IM15" s="403"/>
      <c r="IN15" s="403"/>
      <c r="IO15" s="403"/>
      <c r="IP15" s="403"/>
      <c r="IQ15" s="403" t="s">
        <v>7423</v>
      </c>
      <c r="IR15" s="403"/>
      <c r="IS15" s="403"/>
      <c r="IT15" s="403"/>
      <c r="IU15" s="403"/>
      <c r="IV15" s="403"/>
      <c r="IW15" s="403"/>
      <c r="IX15" s="403"/>
      <c r="IY15" s="403"/>
      <c r="IZ15" s="403"/>
      <c r="JA15" s="403"/>
      <c r="JB15" s="403"/>
      <c r="JC15" s="403"/>
      <c r="JD15" s="403"/>
      <c r="JE15" s="403"/>
      <c r="JF15" s="403"/>
      <c r="JG15" s="403"/>
      <c r="JH15" s="403"/>
      <c r="JI15" s="403"/>
      <c r="JJ15" s="403"/>
      <c r="JK15" s="403"/>
      <c r="JL15" s="403"/>
      <c r="JM15" s="403"/>
      <c r="JN15" s="403"/>
      <c r="JO15" s="403"/>
      <c r="JP15" s="403"/>
      <c r="JQ15" s="403"/>
      <c r="JR15" s="403"/>
      <c r="JS15" s="403"/>
      <c r="JT15" s="403"/>
    </row>
    <row r="16" spans="1:280" s="15" customFormat="1" ht="13.5" thickBot="1" x14ac:dyDescent="0.25">
      <c r="B16" s="622"/>
      <c r="C16" s="5" t="str">
        <f t="shared" ca="1" si="2"/>
        <v>Delivery Modality 4</v>
      </c>
      <c r="D16" s="3" t="str">
        <f>IF(RBF_DM4=0,Lang_Yes,Lang_No)</f>
        <v>No</v>
      </c>
      <c r="J16" s="16" t="e">
        <f>'B1. Target Population'!D177</f>
        <v>#N/A</v>
      </c>
      <c r="K16" s="16" t="e">
        <f>'B1. Target Population'!E177</f>
        <v>#N/A</v>
      </c>
      <c r="L16" s="16" t="e">
        <f>'B1. Target Population'!F177</f>
        <v>#N/A</v>
      </c>
      <c r="M16" s="16" t="e">
        <f>'B1. Target Population'!G177</f>
        <v>#N/A</v>
      </c>
      <c r="N16" s="16" t="e">
        <f>'B1. Target Population'!H177</f>
        <v>#N/A</v>
      </c>
      <c r="O16" s="16" t="e">
        <f>'B1. Target Population'!I177</f>
        <v>#N/A</v>
      </c>
      <c r="P16" s="16" t="e">
        <f>'B1. Target Population'!J177</f>
        <v>#N/A</v>
      </c>
      <c r="Q16" s="16"/>
      <c r="R16" s="12" t="str">
        <f t="shared" ca="1" si="1"/>
        <v/>
      </c>
      <c r="T16" s="241"/>
      <c r="U16" s="622"/>
      <c r="V16" s="21" t="str">
        <f ca="1">IF(OFFSET(BN16,0,Lang_Order*Lang__B5)="","",OFFSET(BN16,0,Lang_Order*Lang__B5))</f>
        <v>Additional Costs for Upper Variant</v>
      </c>
      <c r="W16" s="118" t="e">
        <f t="shared" ref="W16:AC16" si="7">W11-W14</f>
        <v>#N/A</v>
      </c>
      <c r="X16" s="118" t="e">
        <f t="shared" si="7"/>
        <v>#N/A</v>
      </c>
      <c r="Y16" s="118" t="e">
        <f t="shared" si="7"/>
        <v>#N/A</v>
      </c>
      <c r="Z16" s="118" t="e">
        <f t="shared" si="7"/>
        <v>#N/A</v>
      </c>
      <c r="AA16" s="118" t="e">
        <f t="shared" si="7"/>
        <v>#N/A</v>
      </c>
      <c r="AB16" s="118" t="e">
        <f t="shared" si="7"/>
        <v>#N/A</v>
      </c>
      <c r="AC16" s="118" t="e">
        <f t="shared" si="7"/>
        <v>#N/A</v>
      </c>
      <c r="AD16" s="264" t="e">
        <f>AC16/AC$14</f>
        <v>#N/A</v>
      </c>
      <c r="AE16" s="281"/>
      <c r="AF16" s="241"/>
      <c r="AG16" s="622"/>
      <c r="AR16" s="403"/>
      <c r="AS16" s="403"/>
      <c r="AT16" s="403"/>
      <c r="AU16" s="403" t="s">
        <v>1565</v>
      </c>
      <c r="AV16" s="403"/>
      <c r="AW16" s="403"/>
      <c r="AX16" s="403"/>
      <c r="AY16" s="403"/>
      <c r="AZ16" s="403"/>
      <c r="BA16" s="403"/>
      <c r="BB16" s="403"/>
      <c r="BC16" s="403"/>
      <c r="BD16" s="403"/>
      <c r="BE16" s="403"/>
      <c r="BF16" s="403"/>
      <c r="BG16" s="403"/>
      <c r="BH16" s="403"/>
      <c r="BI16" s="403"/>
      <c r="BJ16" s="403"/>
      <c r="BK16" s="403"/>
      <c r="BL16" s="403"/>
      <c r="BM16" s="403"/>
      <c r="BN16" s="564" t="s">
        <v>3045</v>
      </c>
      <c r="BO16" s="403"/>
      <c r="BP16" s="403"/>
      <c r="BQ16" s="403"/>
      <c r="BR16" s="403"/>
      <c r="BS16" s="403"/>
      <c r="BT16" s="403"/>
      <c r="BU16" s="403"/>
      <c r="BV16" s="403"/>
      <c r="BW16" s="403"/>
      <c r="BX16" s="403"/>
      <c r="BY16" s="403"/>
      <c r="BZ16" s="403"/>
      <c r="CA16" s="403"/>
      <c r="CB16" s="403"/>
      <c r="CC16" s="403" t="s">
        <v>7424</v>
      </c>
      <c r="CD16" s="403"/>
      <c r="CE16" s="403"/>
      <c r="CF16" s="403"/>
      <c r="CG16" s="403"/>
      <c r="CH16" s="403"/>
      <c r="CI16" s="403"/>
      <c r="CJ16" s="403"/>
      <c r="CK16" s="403"/>
      <c r="CL16" s="403"/>
      <c r="CM16" s="403"/>
      <c r="CN16" s="403"/>
      <c r="CO16" s="403"/>
      <c r="CP16" s="403"/>
      <c r="CQ16" s="403"/>
      <c r="CR16" s="403"/>
      <c r="CS16" s="403"/>
      <c r="CT16" s="403"/>
      <c r="CU16" s="403"/>
      <c r="CV16" s="403" t="s">
        <v>11542</v>
      </c>
      <c r="CW16" s="403"/>
      <c r="CX16" s="403"/>
      <c r="CY16" s="403"/>
      <c r="CZ16" s="403"/>
      <c r="DA16" s="403"/>
      <c r="DB16" s="403"/>
      <c r="DC16" s="403"/>
      <c r="DD16" s="403"/>
      <c r="DE16" s="403"/>
      <c r="DF16" s="403"/>
      <c r="DG16" s="403"/>
      <c r="DH16" s="403"/>
      <c r="DI16" s="403"/>
      <c r="DJ16" s="403"/>
      <c r="DK16" s="403" t="s">
        <v>9726</v>
      </c>
      <c r="DL16" s="403"/>
      <c r="DM16" s="403"/>
      <c r="DN16" s="403"/>
      <c r="DO16" s="403"/>
      <c r="DP16" s="403"/>
      <c r="DQ16" s="403"/>
      <c r="DR16" s="403"/>
      <c r="DS16" s="403"/>
      <c r="DT16" s="403"/>
      <c r="DU16" s="403"/>
      <c r="DV16" s="403"/>
      <c r="DW16" s="403"/>
      <c r="DX16" s="403"/>
      <c r="DY16" s="403"/>
      <c r="DZ16" s="403"/>
      <c r="EA16" s="403"/>
      <c r="EB16" s="403"/>
      <c r="EC16" s="403"/>
      <c r="ED16" s="403" t="s">
        <v>11543</v>
      </c>
      <c r="EE16" s="403"/>
      <c r="EF16" s="403"/>
      <c r="EG16" s="403"/>
      <c r="EH16" s="403"/>
      <c r="EI16" s="403"/>
      <c r="EJ16" s="403"/>
      <c r="EK16" s="403"/>
      <c r="EL16" s="403"/>
      <c r="EM16" s="403"/>
      <c r="EN16" s="403"/>
      <c r="EO16" s="403"/>
      <c r="EP16" s="403"/>
      <c r="EQ16" s="403"/>
      <c r="ER16" s="403"/>
      <c r="ES16" s="403" t="s">
        <v>7426</v>
      </c>
      <c r="ET16" s="403"/>
      <c r="EU16" s="403"/>
      <c r="EV16" s="403"/>
      <c r="EW16" s="403"/>
      <c r="EX16" s="403"/>
      <c r="EY16" s="403"/>
      <c r="EZ16" s="403"/>
      <c r="FA16" s="403"/>
      <c r="FB16" s="403"/>
      <c r="FC16" s="403"/>
      <c r="FD16" s="403"/>
      <c r="FE16" s="403"/>
      <c r="FF16" s="403"/>
      <c r="FG16" s="403"/>
      <c r="FH16" s="403"/>
      <c r="FI16" s="403"/>
      <c r="FJ16" s="403"/>
      <c r="FK16" s="403"/>
      <c r="FL16" s="403" t="s">
        <v>11544</v>
      </c>
      <c r="FM16" s="403"/>
      <c r="FN16" s="403"/>
      <c r="FO16" s="403"/>
      <c r="FP16" s="403"/>
      <c r="FQ16" s="403"/>
      <c r="FR16" s="403"/>
      <c r="FS16" s="403"/>
      <c r="FT16" s="403"/>
      <c r="FU16" s="403"/>
      <c r="FV16" s="403"/>
      <c r="FW16" s="403"/>
      <c r="FX16" s="403"/>
      <c r="FY16" s="403"/>
      <c r="FZ16" s="403"/>
      <c r="GA16" s="403" t="s">
        <v>7491</v>
      </c>
      <c r="GB16" s="403"/>
      <c r="GC16" s="403"/>
      <c r="GD16" s="403"/>
      <c r="GE16" s="403"/>
      <c r="GF16" s="403"/>
      <c r="GG16" s="403"/>
      <c r="GH16" s="403"/>
      <c r="GI16" s="403"/>
      <c r="GJ16" s="403"/>
      <c r="GK16" s="403"/>
      <c r="GL16" s="403"/>
      <c r="GM16" s="403"/>
      <c r="GN16" s="403"/>
      <c r="GO16" s="403"/>
      <c r="GP16" s="403"/>
      <c r="GQ16" s="403"/>
      <c r="GR16" s="403"/>
      <c r="GS16" s="403"/>
      <c r="GT16" s="403" t="s">
        <v>11545</v>
      </c>
      <c r="GU16" s="403"/>
      <c r="GV16" s="403"/>
      <c r="GW16" s="403"/>
      <c r="GX16" s="403"/>
      <c r="GY16" s="403"/>
      <c r="GZ16" s="403"/>
      <c r="HA16" s="403"/>
      <c r="HB16" s="403"/>
      <c r="HC16" s="403"/>
      <c r="HD16" s="403"/>
      <c r="HE16" s="403"/>
      <c r="HF16" s="403"/>
      <c r="HG16" s="403"/>
      <c r="HH16" s="403"/>
      <c r="HI16" s="403" t="s">
        <v>7428</v>
      </c>
      <c r="HJ16" s="403"/>
      <c r="HK16" s="403"/>
      <c r="HL16" s="403"/>
      <c r="HM16" s="403"/>
      <c r="HN16" s="403"/>
      <c r="HO16" s="403"/>
      <c r="HP16" s="403"/>
      <c r="HQ16" s="403"/>
      <c r="HR16" s="403"/>
      <c r="HS16" s="403"/>
      <c r="HT16" s="403"/>
      <c r="HU16" s="403"/>
      <c r="HV16" s="403"/>
      <c r="HW16" s="403"/>
      <c r="HX16" s="403"/>
      <c r="HY16" s="403"/>
      <c r="HZ16" s="403"/>
      <c r="IA16" s="403"/>
      <c r="IB16" s="403" t="s">
        <v>11546</v>
      </c>
      <c r="IC16" s="403"/>
      <c r="ID16" s="403"/>
      <c r="IE16" s="403"/>
      <c r="IF16" s="403"/>
      <c r="IG16" s="403"/>
      <c r="IH16" s="403"/>
      <c r="II16" s="403"/>
      <c r="IJ16" s="403"/>
      <c r="IK16" s="403"/>
      <c r="IL16" s="403"/>
      <c r="IM16" s="403"/>
      <c r="IN16" s="403"/>
      <c r="IO16" s="403"/>
      <c r="IP16" s="403"/>
      <c r="IQ16" s="403" t="s">
        <v>7429</v>
      </c>
      <c r="IR16" s="403"/>
      <c r="IS16" s="403"/>
      <c r="IT16" s="403"/>
      <c r="IU16" s="403"/>
      <c r="IV16" s="403"/>
      <c r="IW16" s="403"/>
      <c r="IX16" s="403"/>
      <c r="IY16" s="403"/>
      <c r="IZ16" s="403"/>
      <c r="JA16" s="403"/>
      <c r="JB16" s="403"/>
      <c r="JC16" s="403"/>
      <c r="JD16" s="403"/>
      <c r="JE16" s="403"/>
      <c r="JF16" s="403"/>
      <c r="JG16" s="403"/>
      <c r="JH16" s="403"/>
      <c r="JI16" s="403"/>
      <c r="JJ16" s="403" t="s">
        <v>11547</v>
      </c>
      <c r="JK16" s="403"/>
      <c r="JL16" s="403"/>
      <c r="JM16" s="403"/>
      <c r="JN16" s="403"/>
      <c r="JO16" s="403"/>
      <c r="JP16" s="403"/>
      <c r="JQ16" s="403"/>
      <c r="JR16" s="403"/>
      <c r="JS16" s="403"/>
      <c r="JT16" s="403"/>
    </row>
    <row r="17" spans="1:280" s="15" customFormat="1" ht="13.5" thickTop="1" x14ac:dyDescent="0.2">
      <c r="B17" s="622"/>
      <c r="C17" s="5" t="str">
        <f t="shared" ca="1" si="2"/>
        <v>Total</v>
      </c>
      <c r="J17" s="16" t="e">
        <f>'B1. Target Population'!D178</f>
        <v>#N/A</v>
      </c>
      <c r="K17" s="16" t="e">
        <f>'B1. Target Population'!E178</f>
        <v>#N/A</v>
      </c>
      <c r="L17" s="16" t="e">
        <f>'B1. Target Population'!F178</f>
        <v>#N/A</v>
      </c>
      <c r="M17" s="16" t="e">
        <f>'B1. Target Population'!G178</f>
        <v>#N/A</v>
      </c>
      <c r="N17" s="16" t="e">
        <f>'B1. Target Population'!H178</f>
        <v>#N/A</v>
      </c>
      <c r="O17" s="16" t="e">
        <f>'B1. Target Population'!I178</f>
        <v>#N/A</v>
      </c>
      <c r="P17" s="16" t="e">
        <f>'B1. Target Population'!J178</f>
        <v>#N/A</v>
      </c>
      <c r="Q17" s="16"/>
      <c r="R17" s="12" t="str">
        <f t="shared" ca="1" si="1"/>
        <v/>
      </c>
      <c r="T17" s="241"/>
      <c r="U17" s="622"/>
      <c r="V17" s="5"/>
      <c r="AE17" s="281"/>
      <c r="AF17" s="241"/>
      <c r="AG17" s="622"/>
      <c r="AR17" s="403"/>
      <c r="AS17" s="403"/>
      <c r="AT17" s="403"/>
      <c r="AU17" s="403" t="s">
        <v>1605</v>
      </c>
      <c r="AV17" s="403"/>
      <c r="AW17" s="403"/>
      <c r="AX17" s="403"/>
      <c r="AY17" s="403"/>
      <c r="AZ17" s="403"/>
      <c r="BA17" s="403"/>
      <c r="BB17" s="403"/>
      <c r="BC17" s="403"/>
      <c r="BD17" s="403"/>
      <c r="BE17" s="403"/>
      <c r="BF17" s="403"/>
      <c r="BG17" s="403"/>
      <c r="BH17" s="403"/>
      <c r="BI17" s="403"/>
      <c r="BJ17" s="403"/>
      <c r="BK17" s="403"/>
      <c r="BL17" s="403"/>
      <c r="BM17" s="403"/>
      <c r="BN17" s="564"/>
      <c r="BO17" s="403"/>
      <c r="BP17" s="403"/>
      <c r="BQ17" s="403"/>
      <c r="BR17" s="403"/>
      <c r="BS17" s="403"/>
      <c r="BT17" s="403"/>
      <c r="BU17" s="403"/>
      <c r="BV17" s="403"/>
      <c r="BW17" s="403"/>
      <c r="BX17" s="403"/>
      <c r="BY17" s="403"/>
      <c r="BZ17" s="403"/>
      <c r="CA17" s="403"/>
      <c r="CB17" s="403"/>
      <c r="CC17" s="403" t="s">
        <v>1605</v>
      </c>
      <c r="CD17" s="403"/>
      <c r="CE17" s="403"/>
      <c r="CF17" s="403"/>
      <c r="CG17" s="403"/>
      <c r="CH17" s="403"/>
      <c r="CI17" s="403"/>
      <c r="CJ17" s="403"/>
      <c r="CK17" s="403"/>
      <c r="CL17" s="403"/>
      <c r="CM17" s="403"/>
      <c r="CN17" s="403"/>
      <c r="CO17" s="403"/>
      <c r="CP17" s="403"/>
      <c r="CQ17" s="403"/>
      <c r="CR17" s="403"/>
      <c r="CS17" s="403"/>
      <c r="CT17" s="403"/>
      <c r="CU17" s="403"/>
      <c r="CV17" s="403"/>
      <c r="CW17" s="403"/>
      <c r="CX17" s="403"/>
      <c r="CY17" s="403"/>
      <c r="CZ17" s="403"/>
      <c r="DA17" s="403"/>
      <c r="DB17" s="403"/>
      <c r="DC17" s="403"/>
      <c r="DD17" s="403"/>
      <c r="DE17" s="403"/>
      <c r="DF17" s="403"/>
      <c r="DG17" s="403"/>
      <c r="DH17" s="403"/>
      <c r="DI17" s="403"/>
      <c r="DJ17" s="403"/>
      <c r="DK17" s="403" t="s">
        <v>4676</v>
      </c>
      <c r="DL17" s="403"/>
      <c r="DM17" s="403"/>
      <c r="DN17" s="403"/>
      <c r="DO17" s="403"/>
      <c r="DP17" s="403"/>
      <c r="DQ17" s="403"/>
      <c r="DR17" s="403"/>
      <c r="DS17" s="403"/>
      <c r="DT17" s="403"/>
      <c r="DU17" s="403"/>
      <c r="DV17" s="403"/>
      <c r="DW17" s="403"/>
      <c r="DX17" s="403"/>
      <c r="DY17" s="403"/>
      <c r="DZ17" s="403"/>
      <c r="EA17" s="403"/>
      <c r="EB17" s="403"/>
      <c r="EC17" s="403"/>
      <c r="ED17" s="403"/>
      <c r="EE17" s="403"/>
      <c r="EF17" s="403"/>
      <c r="EG17" s="403"/>
      <c r="EH17" s="403"/>
      <c r="EI17" s="403"/>
      <c r="EJ17" s="403"/>
      <c r="EK17" s="403"/>
      <c r="EL17" s="403"/>
      <c r="EM17" s="403"/>
      <c r="EN17" s="403"/>
      <c r="EO17" s="403"/>
      <c r="EP17" s="403"/>
      <c r="EQ17" s="403"/>
      <c r="ER17" s="403"/>
      <c r="ES17" s="403" t="s">
        <v>1605</v>
      </c>
      <c r="ET17" s="403"/>
      <c r="EU17" s="403"/>
      <c r="EV17" s="403"/>
      <c r="EW17" s="403"/>
      <c r="EX17" s="403"/>
      <c r="EY17" s="403"/>
      <c r="EZ17" s="403"/>
      <c r="FA17" s="403"/>
      <c r="FB17" s="403"/>
      <c r="FC17" s="403"/>
      <c r="FD17" s="403"/>
      <c r="FE17" s="403"/>
      <c r="FF17" s="403"/>
      <c r="FG17" s="403"/>
      <c r="FH17" s="403"/>
      <c r="FI17" s="403"/>
      <c r="FJ17" s="403"/>
      <c r="FK17" s="403"/>
      <c r="FL17" s="403"/>
      <c r="FM17" s="403"/>
      <c r="FN17" s="403"/>
      <c r="FO17" s="403"/>
      <c r="FP17" s="403"/>
      <c r="FQ17" s="403"/>
      <c r="FR17" s="403"/>
      <c r="FS17" s="403"/>
      <c r="FT17" s="403"/>
      <c r="FU17" s="403"/>
      <c r="FV17" s="403"/>
      <c r="FW17" s="403"/>
      <c r="FX17" s="403"/>
      <c r="FY17" s="403"/>
      <c r="FZ17" s="403"/>
      <c r="GA17" s="403" t="s">
        <v>1605</v>
      </c>
      <c r="GB17" s="403"/>
      <c r="GC17" s="403"/>
      <c r="GD17" s="403"/>
      <c r="GE17" s="403"/>
      <c r="GF17" s="403"/>
      <c r="GG17" s="403"/>
      <c r="GH17" s="403"/>
      <c r="GI17" s="403"/>
      <c r="GJ17" s="403"/>
      <c r="GK17" s="403"/>
      <c r="GL17" s="403"/>
      <c r="GM17" s="403"/>
      <c r="GN17" s="403"/>
      <c r="GO17" s="403"/>
      <c r="GP17" s="403"/>
      <c r="GQ17" s="403"/>
      <c r="GR17" s="403"/>
      <c r="GS17" s="403"/>
      <c r="GT17" s="403"/>
      <c r="GU17" s="403"/>
      <c r="GV17" s="403"/>
      <c r="GW17" s="403"/>
      <c r="GX17" s="403"/>
      <c r="GY17" s="403"/>
      <c r="GZ17" s="403"/>
      <c r="HA17" s="403"/>
      <c r="HB17" s="403"/>
      <c r="HC17" s="403"/>
      <c r="HD17" s="403"/>
      <c r="HE17" s="403"/>
      <c r="HF17" s="403"/>
      <c r="HG17" s="403"/>
      <c r="HH17" s="403"/>
      <c r="HI17" s="403" t="s">
        <v>4686</v>
      </c>
      <c r="HJ17" s="403"/>
      <c r="HK17" s="403"/>
      <c r="HL17" s="403"/>
      <c r="HM17" s="403"/>
      <c r="HN17" s="403"/>
      <c r="HO17" s="403"/>
      <c r="HP17" s="403"/>
      <c r="HQ17" s="403"/>
      <c r="HR17" s="403"/>
      <c r="HS17" s="403"/>
      <c r="HT17" s="403"/>
      <c r="HU17" s="403"/>
      <c r="HV17" s="403"/>
      <c r="HW17" s="403"/>
      <c r="HX17" s="403"/>
      <c r="HY17" s="403"/>
      <c r="HZ17" s="403"/>
      <c r="IA17" s="403"/>
      <c r="IB17" s="403"/>
      <c r="IC17" s="403"/>
      <c r="ID17" s="403"/>
      <c r="IE17" s="403"/>
      <c r="IF17" s="403"/>
      <c r="IG17" s="403"/>
      <c r="IH17" s="403"/>
      <c r="II17" s="403"/>
      <c r="IJ17" s="403"/>
      <c r="IK17" s="403"/>
      <c r="IL17" s="403"/>
      <c r="IM17" s="403"/>
      <c r="IN17" s="403"/>
      <c r="IO17" s="403"/>
      <c r="IP17" s="403"/>
      <c r="IQ17" s="403" t="s">
        <v>4694</v>
      </c>
      <c r="IR17" s="403"/>
      <c r="IS17" s="403"/>
      <c r="IT17" s="403"/>
      <c r="IU17" s="403"/>
      <c r="IV17" s="403"/>
      <c r="IW17" s="403"/>
      <c r="IX17" s="403"/>
      <c r="IY17" s="403"/>
      <c r="IZ17" s="403"/>
      <c r="JA17" s="403"/>
      <c r="JB17" s="403"/>
      <c r="JC17" s="403"/>
      <c r="JD17" s="403"/>
      <c r="JE17" s="403"/>
      <c r="JF17" s="403"/>
      <c r="JG17" s="403"/>
      <c r="JH17" s="403"/>
      <c r="JI17" s="403"/>
      <c r="JJ17" s="403"/>
      <c r="JK17" s="403"/>
      <c r="JL17" s="403"/>
      <c r="JM17" s="403"/>
      <c r="JN17" s="403"/>
      <c r="JO17" s="403"/>
      <c r="JP17" s="403"/>
      <c r="JQ17" s="403"/>
      <c r="JR17" s="403"/>
      <c r="JS17" s="403"/>
      <c r="JT17" s="403"/>
    </row>
    <row r="18" spans="1:280" s="15" customFormat="1" ht="13.5" thickBot="1" x14ac:dyDescent="0.25">
      <c r="B18" s="622"/>
      <c r="C18" s="5"/>
      <c r="J18" s="16"/>
      <c r="K18" s="16"/>
      <c r="L18" s="16"/>
      <c r="M18" s="16"/>
      <c r="N18" s="16"/>
      <c r="O18" s="16"/>
      <c r="P18" s="16"/>
      <c r="Q18" s="16"/>
      <c r="R18" s="16"/>
      <c r="T18" s="241"/>
      <c r="U18" s="622"/>
      <c r="V18" s="21" t="str">
        <f ca="1">IF(OFFSET(BN18,0,Lang_Order*Lang__B5)="","",OFFSET(BN18,0,Lang_Order*Lang__B5))</f>
        <v>Reduced Costs for Lower Variant</v>
      </c>
      <c r="W18" s="118" t="e">
        <f t="shared" ref="W18:AC18" si="8">W14-W12</f>
        <v>#N/A</v>
      </c>
      <c r="X18" s="118" t="e">
        <f t="shared" si="8"/>
        <v>#N/A</v>
      </c>
      <c r="Y18" s="118" t="e">
        <f t="shared" si="8"/>
        <v>#N/A</v>
      </c>
      <c r="Z18" s="118" t="e">
        <f t="shared" si="8"/>
        <v>#N/A</v>
      </c>
      <c r="AA18" s="118" t="e">
        <f t="shared" si="8"/>
        <v>#N/A</v>
      </c>
      <c r="AB18" s="118" t="e">
        <f t="shared" si="8"/>
        <v>#N/A</v>
      </c>
      <c r="AC18" s="118" t="e">
        <f t="shared" si="8"/>
        <v>#N/A</v>
      </c>
      <c r="AD18" s="264" t="e">
        <f>AC18/AC$14</f>
        <v>#N/A</v>
      </c>
      <c r="AE18" s="281"/>
      <c r="AF18" s="241"/>
      <c r="AG18" s="622"/>
      <c r="AR18" s="403"/>
      <c r="AS18" s="403"/>
      <c r="AT18" s="403"/>
      <c r="AU18" s="403"/>
      <c r="AV18" s="403"/>
      <c r="AW18" s="403"/>
      <c r="AX18" s="403"/>
      <c r="AY18" s="403"/>
      <c r="AZ18" s="403"/>
      <c r="BA18" s="403"/>
      <c r="BB18" s="403"/>
      <c r="BC18" s="403"/>
      <c r="BD18" s="403"/>
      <c r="BE18" s="403"/>
      <c r="BF18" s="403"/>
      <c r="BG18" s="403"/>
      <c r="BH18" s="403"/>
      <c r="BI18" s="403"/>
      <c r="BJ18" s="403"/>
      <c r="BK18" s="403"/>
      <c r="BL18" s="403"/>
      <c r="BM18" s="403"/>
      <c r="BN18" s="564" t="s">
        <v>3046</v>
      </c>
      <c r="BO18" s="403"/>
      <c r="BP18" s="403"/>
      <c r="BQ18" s="403"/>
      <c r="BR18" s="403"/>
      <c r="BS18" s="403"/>
      <c r="BT18" s="403"/>
      <c r="BU18" s="403"/>
      <c r="BV18" s="403"/>
      <c r="BW18" s="403"/>
      <c r="BX18" s="403"/>
      <c r="BY18" s="403"/>
      <c r="BZ18" s="403"/>
      <c r="CA18" s="403"/>
      <c r="CB18" s="403"/>
      <c r="CC18" s="403"/>
      <c r="CD18" s="403"/>
      <c r="CE18" s="403"/>
      <c r="CF18" s="403"/>
      <c r="CG18" s="403"/>
      <c r="CH18" s="403"/>
      <c r="CI18" s="403"/>
      <c r="CJ18" s="403"/>
      <c r="CK18" s="403"/>
      <c r="CL18" s="403"/>
      <c r="CM18" s="403"/>
      <c r="CN18" s="403"/>
      <c r="CO18" s="403"/>
      <c r="CP18" s="403"/>
      <c r="CQ18" s="403"/>
      <c r="CR18" s="403"/>
      <c r="CS18" s="403"/>
      <c r="CT18" s="403"/>
      <c r="CU18" s="403"/>
      <c r="CV18" s="403" t="s">
        <v>11548</v>
      </c>
      <c r="CW18" s="403"/>
      <c r="CX18" s="403"/>
      <c r="CY18" s="403"/>
      <c r="CZ18" s="403"/>
      <c r="DA18" s="403"/>
      <c r="DB18" s="403"/>
      <c r="DC18" s="403"/>
      <c r="DD18" s="403"/>
      <c r="DE18" s="403"/>
      <c r="DF18" s="403"/>
      <c r="DG18" s="403"/>
      <c r="DH18" s="403"/>
      <c r="DI18" s="403"/>
      <c r="DJ18" s="403"/>
      <c r="DK18" s="403"/>
      <c r="DL18" s="403"/>
      <c r="DM18" s="403"/>
      <c r="DN18" s="403"/>
      <c r="DO18" s="403"/>
      <c r="DP18" s="403"/>
      <c r="DQ18" s="403"/>
      <c r="DR18" s="403"/>
      <c r="DS18" s="403"/>
      <c r="DT18" s="403"/>
      <c r="DU18" s="403"/>
      <c r="DV18" s="403"/>
      <c r="DW18" s="403"/>
      <c r="DX18" s="403"/>
      <c r="DY18" s="403"/>
      <c r="DZ18" s="403"/>
      <c r="EA18" s="403"/>
      <c r="EB18" s="403"/>
      <c r="EC18" s="403"/>
      <c r="ED18" s="403" t="s">
        <v>11549</v>
      </c>
      <c r="EE18" s="403"/>
      <c r="EF18" s="403"/>
      <c r="EG18" s="403"/>
      <c r="EH18" s="403"/>
      <c r="EI18" s="403"/>
      <c r="EJ18" s="403"/>
      <c r="EK18" s="403"/>
      <c r="EL18" s="403"/>
      <c r="EM18" s="403"/>
      <c r="EN18" s="403"/>
      <c r="EO18" s="403"/>
      <c r="EP18" s="403"/>
      <c r="EQ18" s="403"/>
      <c r="ER18" s="403"/>
      <c r="ES18" s="403"/>
      <c r="ET18" s="403"/>
      <c r="EU18" s="403"/>
      <c r="EV18" s="403"/>
      <c r="EW18" s="403"/>
      <c r="EX18" s="403"/>
      <c r="EY18" s="403"/>
      <c r="EZ18" s="403"/>
      <c r="FA18" s="403"/>
      <c r="FB18" s="403"/>
      <c r="FC18" s="403"/>
      <c r="FD18" s="403"/>
      <c r="FE18" s="403"/>
      <c r="FF18" s="403"/>
      <c r="FG18" s="403"/>
      <c r="FH18" s="403"/>
      <c r="FI18" s="403"/>
      <c r="FJ18" s="403"/>
      <c r="FK18" s="403"/>
      <c r="FL18" s="403" t="s">
        <v>11550</v>
      </c>
      <c r="FM18" s="403"/>
      <c r="FN18" s="403"/>
      <c r="FO18" s="403"/>
      <c r="FP18" s="403"/>
      <c r="FQ18" s="403"/>
      <c r="FR18" s="403"/>
      <c r="FS18" s="403"/>
      <c r="FT18" s="403"/>
      <c r="FU18" s="403"/>
      <c r="FV18" s="403"/>
      <c r="FW18" s="403"/>
      <c r="FX18" s="403"/>
      <c r="FY18" s="403"/>
      <c r="FZ18" s="403"/>
      <c r="GA18" s="403"/>
      <c r="GB18" s="403"/>
      <c r="GC18" s="403"/>
      <c r="GD18" s="403"/>
      <c r="GE18" s="403"/>
      <c r="GF18" s="403"/>
      <c r="GG18" s="403"/>
      <c r="GH18" s="403"/>
      <c r="GI18" s="403"/>
      <c r="GJ18" s="403"/>
      <c r="GK18" s="403"/>
      <c r="GL18" s="403"/>
      <c r="GM18" s="403"/>
      <c r="GN18" s="403"/>
      <c r="GO18" s="403"/>
      <c r="GP18" s="403"/>
      <c r="GQ18" s="403"/>
      <c r="GR18" s="403"/>
      <c r="GS18" s="403"/>
      <c r="GT18" s="403" t="s">
        <v>11551</v>
      </c>
      <c r="GU18" s="403"/>
      <c r="GV18" s="403"/>
      <c r="GW18" s="403"/>
      <c r="GX18" s="403"/>
      <c r="GY18" s="403"/>
      <c r="GZ18" s="403"/>
      <c r="HA18" s="403"/>
      <c r="HB18" s="403"/>
      <c r="HC18" s="403"/>
      <c r="HD18" s="403"/>
      <c r="HE18" s="403"/>
      <c r="HF18" s="403"/>
      <c r="HG18" s="403"/>
      <c r="HH18" s="403"/>
      <c r="HI18" s="403"/>
      <c r="HJ18" s="403"/>
      <c r="HK18" s="403"/>
      <c r="HL18" s="403"/>
      <c r="HM18" s="403"/>
      <c r="HN18" s="403"/>
      <c r="HO18" s="403"/>
      <c r="HP18" s="403"/>
      <c r="HQ18" s="403"/>
      <c r="HR18" s="403"/>
      <c r="HS18" s="403"/>
      <c r="HT18" s="403"/>
      <c r="HU18" s="403"/>
      <c r="HV18" s="403"/>
      <c r="HW18" s="403"/>
      <c r="HX18" s="403"/>
      <c r="HY18" s="403"/>
      <c r="HZ18" s="403"/>
      <c r="IA18" s="403"/>
      <c r="IB18" s="403" t="s">
        <v>11552</v>
      </c>
      <c r="IC18" s="403"/>
      <c r="ID18" s="403"/>
      <c r="IE18" s="403"/>
      <c r="IF18" s="403"/>
      <c r="IG18" s="403"/>
      <c r="IH18" s="403"/>
      <c r="II18" s="403"/>
      <c r="IJ18" s="403"/>
      <c r="IK18" s="403"/>
      <c r="IL18" s="403"/>
      <c r="IM18" s="403"/>
      <c r="IN18" s="403"/>
      <c r="IO18" s="403"/>
      <c r="IP18" s="403"/>
      <c r="IQ18" s="403"/>
      <c r="IR18" s="403"/>
      <c r="IS18" s="403"/>
      <c r="IT18" s="403"/>
      <c r="IU18" s="403"/>
      <c r="IV18" s="403"/>
      <c r="IW18" s="403"/>
      <c r="IX18" s="403"/>
      <c r="IY18" s="403"/>
      <c r="IZ18" s="403"/>
      <c r="JA18" s="403"/>
      <c r="JB18" s="403"/>
      <c r="JC18" s="403"/>
      <c r="JD18" s="403"/>
      <c r="JE18" s="403"/>
      <c r="JF18" s="403"/>
      <c r="JG18" s="403"/>
      <c r="JH18" s="403"/>
      <c r="JI18" s="403"/>
      <c r="JJ18" s="403" t="s">
        <v>11553</v>
      </c>
      <c r="JK18" s="403"/>
      <c r="JL18" s="403"/>
      <c r="JM18" s="403"/>
      <c r="JN18" s="403"/>
      <c r="JO18" s="403"/>
      <c r="JP18" s="403"/>
      <c r="JQ18" s="403"/>
      <c r="JR18" s="403"/>
      <c r="JS18" s="403"/>
      <c r="JT18" s="403"/>
    </row>
    <row r="19" spans="1:280" s="15" customFormat="1" ht="15.75" hidden="1" thickTop="1" x14ac:dyDescent="0.25">
      <c r="A19" s="112" t="str">
        <f ca="1">IF(OFFSET(AS19,0,Lang_Order*Lang__B5)="","",OFFSET(AS19,0,Lang_Order*Lang__B5))</f>
        <v>B5.1 Last mile service delivery (results-based financing [RBF]), excluding vaccines and vaccine supplies</v>
      </c>
      <c r="B19" s="632"/>
      <c r="C19" s="112"/>
      <c r="D19" s="112"/>
      <c r="E19" s="112"/>
      <c r="F19" s="112"/>
      <c r="G19" s="112"/>
      <c r="H19" s="112"/>
      <c r="I19" s="112"/>
      <c r="J19" s="171" t="e">
        <f>J27</f>
        <v>#N/A</v>
      </c>
      <c r="K19" s="171" t="e">
        <f t="shared" ref="K19:P19" si="9">K27</f>
        <v>#N/A</v>
      </c>
      <c r="L19" s="171" t="e">
        <f t="shared" si="9"/>
        <v>#N/A</v>
      </c>
      <c r="M19" s="171" t="e">
        <f t="shared" si="9"/>
        <v>#N/A</v>
      </c>
      <c r="N19" s="171" t="e">
        <f t="shared" si="9"/>
        <v>#N/A</v>
      </c>
      <c r="O19" s="171" t="e">
        <f t="shared" si="9"/>
        <v>#N/A</v>
      </c>
      <c r="P19" s="171" t="e">
        <f t="shared" si="9"/>
        <v>#N/A</v>
      </c>
      <c r="Q19" s="113"/>
      <c r="R19" s="112" t="str">
        <f t="shared" ref="R19:R27" ca="1" si="10">IF(OFFSET(BJ19,0,Lang_Order*Lang__B5)="","",OFFSET(BJ19,0,Lang_Order*Lang__B5))</f>
        <v>Notes</v>
      </c>
      <c r="T19" s="567"/>
      <c r="U19" s="622"/>
      <c r="V19" s="567"/>
      <c r="AE19" s="281"/>
      <c r="AF19" s="241"/>
      <c r="AG19" s="622"/>
      <c r="AR19" s="403"/>
      <c r="AS19" s="403" t="s">
        <v>14187</v>
      </c>
      <c r="AT19" s="403"/>
      <c r="AU19" s="403"/>
      <c r="AV19" s="403"/>
      <c r="AW19" s="403"/>
      <c r="AX19" s="403"/>
      <c r="AY19" s="403"/>
      <c r="AZ19" s="403"/>
      <c r="BA19" s="403"/>
      <c r="BB19" s="403"/>
      <c r="BC19" s="403"/>
      <c r="BD19" s="403"/>
      <c r="BE19" s="403"/>
      <c r="BF19" s="403"/>
      <c r="BG19" s="403"/>
      <c r="BH19" s="403"/>
      <c r="BI19" s="403"/>
      <c r="BJ19" s="403" t="s">
        <v>16</v>
      </c>
      <c r="BK19" s="403"/>
      <c r="BL19" s="403"/>
      <c r="BM19" s="403"/>
      <c r="BN19" s="403"/>
      <c r="BO19" s="403"/>
      <c r="BP19" s="403"/>
      <c r="BQ19" s="403"/>
      <c r="BR19" s="403"/>
      <c r="BS19" s="403"/>
      <c r="BT19" s="403"/>
      <c r="BU19" s="403"/>
      <c r="BV19" s="403"/>
      <c r="BW19" s="403"/>
      <c r="BX19" s="403"/>
      <c r="BY19" s="403"/>
      <c r="BZ19" s="403"/>
      <c r="CA19" s="403" t="s">
        <v>11513</v>
      </c>
      <c r="CB19" s="403"/>
      <c r="CC19" s="403"/>
      <c r="CD19" s="403"/>
      <c r="CE19" s="403"/>
      <c r="CF19" s="403"/>
      <c r="CG19" s="403"/>
      <c r="CH19" s="403"/>
      <c r="CI19" s="403"/>
      <c r="CJ19" s="403"/>
      <c r="CK19" s="403"/>
      <c r="CL19" s="403"/>
      <c r="CM19" s="403"/>
      <c r="CN19" s="403"/>
      <c r="CO19" s="403"/>
      <c r="CP19" s="403"/>
      <c r="CQ19" s="403"/>
      <c r="CR19" s="403" t="s">
        <v>16</v>
      </c>
      <c r="CS19" s="403"/>
      <c r="CT19" s="403"/>
      <c r="CU19" s="403"/>
      <c r="CW19" s="403"/>
      <c r="CX19" s="403"/>
      <c r="CY19" s="403"/>
      <c r="CZ19" s="403"/>
      <c r="DA19" s="403"/>
      <c r="DB19" s="403"/>
      <c r="DC19" s="403"/>
      <c r="DD19" s="403"/>
      <c r="DE19" s="403"/>
      <c r="DF19" s="403"/>
      <c r="DG19" s="403"/>
      <c r="DH19" s="403"/>
      <c r="DI19" s="403" t="s">
        <v>11515</v>
      </c>
      <c r="DJ19" s="403"/>
      <c r="DK19" s="403"/>
      <c r="DL19" s="403"/>
      <c r="DM19" s="403"/>
      <c r="DN19" s="403"/>
      <c r="DO19" s="403"/>
      <c r="DP19" s="403"/>
      <c r="DQ19" s="403"/>
      <c r="DR19" s="403"/>
      <c r="DS19" s="403"/>
      <c r="DT19" s="403"/>
      <c r="DU19" s="403"/>
      <c r="DV19" s="403"/>
      <c r="DW19" s="403"/>
      <c r="DX19" s="403"/>
      <c r="DY19" s="403"/>
      <c r="DZ19" s="403" t="s">
        <v>5757</v>
      </c>
      <c r="EA19" s="403"/>
      <c r="EB19" s="403"/>
      <c r="EC19" s="403"/>
      <c r="EE19" s="403"/>
      <c r="EF19" s="403"/>
      <c r="EG19" s="403"/>
      <c r="EH19" s="403"/>
      <c r="EI19" s="403"/>
      <c r="EJ19" s="403"/>
      <c r="EK19" s="403"/>
      <c r="EL19" s="403"/>
      <c r="EM19" s="403"/>
      <c r="EN19" s="403"/>
      <c r="EO19" s="403"/>
      <c r="EP19" s="403"/>
      <c r="EQ19" s="403" t="s">
        <v>11517</v>
      </c>
      <c r="ER19" s="403"/>
      <c r="ES19" s="403"/>
      <c r="ET19" s="403"/>
      <c r="EU19" s="403"/>
      <c r="EV19" s="403"/>
      <c r="EW19" s="403"/>
      <c r="EX19" s="403"/>
      <c r="EY19" s="403"/>
      <c r="EZ19" s="403"/>
      <c r="FA19" s="403"/>
      <c r="FB19" s="403"/>
      <c r="FC19" s="403"/>
      <c r="FD19" s="403"/>
      <c r="FE19" s="403"/>
      <c r="FF19" s="403"/>
      <c r="FG19" s="403"/>
      <c r="FH19" s="403" t="s">
        <v>5453</v>
      </c>
      <c r="FI19" s="403"/>
      <c r="FJ19" s="403"/>
      <c r="FK19" s="403"/>
      <c r="FM19" s="403"/>
      <c r="FN19" s="403"/>
      <c r="FO19" s="403"/>
      <c r="FP19" s="403"/>
      <c r="FQ19" s="403"/>
      <c r="FR19" s="403"/>
      <c r="FS19" s="403"/>
      <c r="FT19" s="403"/>
      <c r="FU19" s="403"/>
      <c r="FV19" s="403"/>
      <c r="FW19" s="403"/>
      <c r="FX19" s="403"/>
      <c r="FY19" s="403" t="s">
        <v>11519</v>
      </c>
      <c r="FZ19" s="403"/>
      <c r="GA19" s="403"/>
      <c r="GB19" s="403"/>
      <c r="GC19" s="403"/>
      <c r="GD19" s="403"/>
      <c r="GE19" s="403"/>
      <c r="GF19" s="403"/>
      <c r="GG19" s="403"/>
      <c r="GH19" s="403"/>
      <c r="GI19" s="403"/>
      <c r="GJ19" s="403"/>
      <c r="GK19" s="403"/>
      <c r="GL19" s="403"/>
      <c r="GM19" s="403"/>
      <c r="GN19" s="403"/>
      <c r="GO19" s="403"/>
      <c r="GP19" s="403" t="s">
        <v>5453</v>
      </c>
      <c r="GQ19" s="403"/>
      <c r="GR19" s="403"/>
      <c r="GS19" s="403"/>
      <c r="GU19" s="403"/>
      <c r="GV19" s="403"/>
      <c r="GW19" s="403"/>
      <c r="GX19" s="403"/>
      <c r="GY19" s="403"/>
      <c r="GZ19" s="403"/>
      <c r="HA19" s="403"/>
      <c r="HB19" s="403"/>
      <c r="HC19" s="403"/>
      <c r="HD19" s="403"/>
      <c r="HE19" s="403"/>
      <c r="HF19" s="403"/>
      <c r="HG19" s="403" t="s">
        <v>11521</v>
      </c>
      <c r="HH19" s="403"/>
      <c r="HI19" s="403"/>
      <c r="HJ19" s="403"/>
      <c r="HK19" s="403"/>
      <c r="HL19" s="403"/>
      <c r="HM19" s="403"/>
      <c r="HN19" s="403"/>
      <c r="HO19" s="403"/>
      <c r="HP19" s="403"/>
      <c r="HQ19" s="403"/>
      <c r="HR19" s="403"/>
      <c r="HS19" s="403"/>
      <c r="HT19" s="403"/>
      <c r="HU19" s="403"/>
      <c r="HV19" s="403"/>
      <c r="HW19" s="403"/>
      <c r="HX19" s="403" t="s">
        <v>5454</v>
      </c>
      <c r="HY19" s="403"/>
      <c r="HZ19" s="403"/>
      <c r="IA19" s="403"/>
      <c r="IC19" s="403"/>
      <c r="ID19" s="403"/>
      <c r="IE19" s="403"/>
      <c r="IF19" s="403"/>
      <c r="IG19" s="403"/>
      <c r="IH19" s="403"/>
      <c r="II19" s="403"/>
      <c r="IJ19" s="403"/>
      <c r="IK19" s="403"/>
      <c r="IL19" s="403"/>
      <c r="IM19" s="403"/>
      <c r="IN19" s="403"/>
      <c r="IO19" s="403" t="s">
        <v>11523</v>
      </c>
      <c r="IP19" s="403"/>
      <c r="IQ19" s="403"/>
      <c r="IR19" s="403"/>
      <c r="IS19" s="403"/>
      <c r="IT19" s="403"/>
      <c r="IU19" s="403"/>
      <c r="IV19" s="403"/>
      <c r="IW19" s="403"/>
      <c r="IX19" s="403"/>
      <c r="IY19" s="403"/>
      <c r="IZ19" s="403"/>
      <c r="JA19" s="403"/>
      <c r="JB19" s="403"/>
      <c r="JC19" s="403"/>
      <c r="JD19" s="403"/>
      <c r="JE19" s="403"/>
      <c r="JF19" s="403" t="s">
        <v>5455</v>
      </c>
      <c r="JG19" s="403"/>
      <c r="JH19" s="403"/>
      <c r="JI19" s="403"/>
      <c r="JK19" s="403"/>
      <c r="JL19" s="403"/>
      <c r="JM19" s="403"/>
      <c r="JN19" s="403"/>
      <c r="JO19" s="403"/>
      <c r="JP19" s="403"/>
      <c r="JQ19" s="403"/>
      <c r="JR19" s="403"/>
      <c r="JS19" s="403"/>
      <c r="JT19" s="403"/>
    </row>
    <row r="20" spans="1:280" s="15" customFormat="1" hidden="1" x14ac:dyDescent="0.25">
      <c r="A20" s="662" t="s">
        <v>14287</v>
      </c>
      <c r="B20" s="622"/>
      <c r="C20" s="228" t="str">
        <f t="shared" ref="C20:P20" ca="1" si="11">IF(OFFSET(AU20,0,Lang_Order*Lang__B5)="","",OFFSET(AU20,0,Lang_Order*Lang__B5))</f>
        <v>Click here change RBF prices and parameters</v>
      </c>
      <c r="D20" s="30" t="str">
        <f t="shared" ca="1" si="11"/>
        <v>Unit Prices (Completed Vaccination Courses)</v>
      </c>
      <c r="E20" s="15" t="str">
        <f t="shared" ca="1" si="11"/>
        <v/>
      </c>
      <c r="F20" s="15" t="str">
        <f t="shared" ca="1" si="11"/>
        <v/>
      </c>
      <c r="G20" s="15" t="str">
        <f t="shared" ca="1" si="11"/>
        <v/>
      </c>
      <c r="H20" s="15" t="str">
        <f t="shared" ca="1" si="11"/>
        <v/>
      </c>
      <c r="I20" s="15" t="str">
        <f t="shared" ca="1" si="11"/>
        <v/>
      </c>
      <c r="J20" s="41" t="str">
        <f t="shared" ca="1" si="11"/>
        <v>H1 2021</v>
      </c>
      <c r="K20" s="41" t="str">
        <f t="shared" ca="1" si="11"/>
        <v>H2 2021</v>
      </c>
      <c r="L20" s="41" t="str">
        <f t="shared" ca="1" si="11"/>
        <v>H1 2022</v>
      </c>
      <c r="M20" s="41" t="str">
        <f t="shared" ca="1" si="11"/>
        <v>H2 2022</v>
      </c>
      <c r="N20" s="41" t="str">
        <f t="shared" ca="1" si="11"/>
        <v>H1 2023</v>
      </c>
      <c r="O20" s="41" t="str">
        <f t="shared" ca="1" si="11"/>
        <v>H2 2023</v>
      </c>
      <c r="P20" s="41" t="str">
        <f t="shared" ca="1" si="11"/>
        <v>Total</v>
      </c>
      <c r="Q20" s="41"/>
      <c r="R20" s="12" t="str">
        <f t="shared" ca="1" si="10"/>
        <v>Results-based financing for last mile service delivery is an option - can be specified independently for each of the delivery modalities. See Sheet A2.3</v>
      </c>
      <c r="T20" s="567"/>
      <c r="U20" s="622"/>
      <c r="V20" s="567"/>
      <c r="AE20" s="281"/>
      <c r="AF20" s="241"/>
      <c r="AG20" s="622"/>
      <c r="AR20" s="403"/>
      <c r="AS20" s="403"/>
      <c r="AT20" s="403"/>
      <c r="AU20" s="403" t="s">
        <v>2957</v>
      </c>
      <c r="AV20" s="403" t="s">
        <v>1704</v>
      </c>
      <c r="AW20" s="403"/>
      <c r="AX20" s="403"/>
      <c r="AY20" s="403"/>
      <c r="AZ20" s="403"/>
      <c r="BA20" s="403"/>
      <c r="BB20" s="403" t="s">
        <v>1597</v>
      </c>
      <c r="BC20" s="403" t="s">
        <v>1598</v>
      </c>
      <c r="BD20" s="403" t="s">
        <v>1599</v>
      </c>
      <c r="BE20" s="403" t="s">
        <v>1600</v>
      </c>
      <c r="BF20" s="403" t="s">
        <v>1602</v>
      </c>
      <c r="BG20" s="403" t="s">
        <v>1601</v>
      </c>
      <c r="BH20" s="403" t="s">
        <v>1605</v>
      </c>
      <c r="BI20" s="403"/>
      <c r="BJ20" s="403" t="s">
        <v>2956</v>
      </c>
      <c r="BK20" s="403"/>
      <c r="BL20" s="403"/>
      <c r="BM20" s="403"/>
      <c r="BN20" s="403"/>
      <c r="BO20" s="403"/>
      <c r="BP20" s="403"/>
      <c r="BQ20" s="403"/>
      <c r="BR20" s="403"/>
      <c r="BS20" s="403"/>
      <c r="BT20" s="403"/>
      <c r="BU20" s="403"/>
      <c r="BV20" s="403"/>
      <c r="BW20" s="403"/>
      <c r="BX20" s="403"/>
      <c r="BY20" s="403"/>
      <c r="BZ20" s="403"/>
      <c r="CA20" s="403"/>
      <c r="CB20" s="403"/>
      <c r="CC20" s="403" t="s">
        <v>11525</v>
      </c>
      <c r="CD20" s="403" t="s">
        <v>11526</v>
      </c>
      <c r="CE20" s="403"/>
      <c r="CF20" s="403"/>
      <c r="CG20" s="403"/>
      <c r="CH20" s="403"/>
      <c r="CI20" s="403"/>
      <c r="CJ20" s="403" t="s">
        <v>4663</v>
      </c>
      <c r="CK20" s="403" t="s">
        <v>4664</v>
      </c>
      <c r="CL20" s="403" t="s">
        <v>4665</v>
      </c>
      <c r="CM20" s="403" t="s">
        <v>4666</v>
      </c>
      <c r="CN20" s="403" t="s">
        <v>4667</v>
      </c>
      <c r="CO20" s="403" t="s">
        <v>4668</v>
      </c>
      <c r="CP20" s="403" t="s">
        <v>1605</v>
      </c>
      <c r="CQ20" s="403"/>
      <c r="CR20" s="403" t="s">
        <v>11527</v>
      </c>
      <c r="CS20" s="403"/>
      <c r="CT20" s="403"/>
      <c r="CU20" s="403"/>
      <c r="CW20" s="403"/>
      <c r="CX20" s="403"/>
      <c r="CY20" s="403"/>
      <c r="CZ20" s="403"/>
      <c r="DA20" s="403"/>
      <c r="DB20" s="403"/>
      <c r="DC20" s="403"/>
      <c r="DD20" s="403"/>
      <c r="DE20" s="403"/>
      <c r="DF20" s="403"/>
      <c r="DG20" s="403"/>
      <c r="DH20" s="403"/>
      <c r="DI20" s="403"/>
      <c r="DJ20" s="403"/>
      <c r="DK20" s="403" t="s">
        <v>11528</v>
      </c>
      <c r="DL20" s="403" t="s">
        <v>11529</v>
      </c>
      <c r="DM20" s="403"/>
      <c r="DN20" s="403"/>
      <c r="DO20" s="403"/>
      <c r="DP20" s="403"/>
      <c r="DQ20" s="403"/>
      <c r="DR20" s="403" t="s">
        <v>4670</v>
      </c>
      <c r="DS20" s="403" t="s">
        <v>4671</v>
      </c>
      <c r="DT20" s="403" t="s">
        <v>4672</v>
      </c>
      <c r="DU20" s="403" t="s">
        <v>4673</v>
      </c>
      <c r="DV20" s="403" t="s">
        <v>4674</v>
      </c>
      <c r="DW20" s="403" t="s">
        <v>4675</v>
      </c>
      <c r="DX20" s="403" t="s">
        <v>4676</v>
      </c>
      <c r="DY20" s="403"/>
      <c r="DZ20" s="403" t="s">
        <v>11530</v>
      </c>
      <c r="EA20" s="403"/>
      <c r="EB20" s="403"/>
      <c r="EC20" s="403"/>
      <c r="EE20" s="403"/>
      <c r="EF20" s="403"/>
      <c r="EG20" s="403"/>
      <c r="EH20" s="403"/>
      <c r="EI20" s="403"/>
      <c r="EJ20" s="403"/>
      <c r="EK20" s="403"/>
      <c r="EL20" s="403"/>
      <c r="EM20" s="403"/>
      <c r="EN20" s="403"/>
      <c r="EO20" s="403"/>
      <c r="EP20" s="403"/>
      <c r="EQ20" s="403"/>
      <c r="ER20" s="403"/>
      <c r="ES20" s="403" t="s">
        <v>11531</v>
      </c>
      <c r="ET20" s="403" t="s">
        <v>11532</v>
      </c>
      <c r="EU20" s="403"/>
      <c r="EV20" s="403"/>
      <c r="EW20" s="403"/>
      <c r="EX20" s="403"/>
      <c r="EY20" s="403"/>
      <c r="EZ20" s="403" t="s">
        <v>1597</v>
      </c>
      <c r="FA20" s="403" t="s">
        <v>1598</v>
      </c>
      <c r="FB20" s="403" t="s">
        <v>1599</v>
      </c>
      <c r="FC20" s="403" t="s">
        <v>1600</v>
      </c>
      <c r="FD20" s="403" t="s">
        <v>1602</v>
      </c>
      <c r="FE20" s="403" t="s">
        <v>1601</v>
      </c>
      <c r="FF20" s="403" t="s">
        <v>1605</v>
      </c>
      <c r="FG20" s="403"/>
      <c r="FH20" s="403" t="s">
        <v>11533</v>
      </c>
      <c r="FI20" s="403"/>
      <c r="FJ20" s="403"/>
      <c r="FK20" s="403"/>
      <c r="FM20" s="403"/>
      <c r="FN20" s="403"/>
      <c r="FO20" s="403"/>
      <c r="FP20" s="403"/>
      <c r="FQ20" s="403"/>
      <c r="FR20" s="403"/>
      <c r="FS20" s="403"/>
      <c r="FT20" s="403"/>
      <c r="FU20" s="403"/>
      <c r="FV20" s="403"/>
      <c r="FW20" s="403"/>
      <c r="FX20" s="403"/>
      <c r="FY20" s="403"/>
      <c r="FZ20" s="403"/>
      <c r="GA20" s="403" t="s">
        <v>11534</v>
      </c>
      <c r="GB20" s="403" t="s">
        <v>11535</v>
      </c>
      <c r="GC20" s="403"/>
      <c r="GD20" s="403"/>
      <c r="GE20" s="403"/>
      <c r="GF20" s="403"/>
      <c r="GG20" s="403"/>
      <c r="GH20" s="403" t="s">
        <v>4663</v>
      </c>
      <c r="GI20" s="403" t="s">
        <v>4664</v>
      </c>
      <c r="GJ20" s="403" t="s">
        <v>4665</v>
      </c>
      <c r="GK20" s="403" t="s">
        <v>4666</v>
      </c>
      <c r="GL20" s="403" t="s">
        <v>4667</v>
      </c>
      <c r="GM20" s="403" t="s">
        <v>4668</v>
      </c>
      <c r="GN20" s="403" t="s">
        <v>1605</v>
      </c>
      <c r="GO20" s="403"/>
      <c r="GP20" s="403" t="s">
        <v>11536</v>
      </c>
      <c r="GQ20" s="403"/>
      <c r="GR20" s="403"/>
      <c r="GS20" s="403"/>
      <c r="GU20" s="403"/>
      <c r="GV20" s="403"/>
      <c r="GW20" s="403"/>
      <c r="GX20" s="403"/>
      <c r="GY20" s="403"/>
      <c r="GZ20" s="403"/>
      <c r="HA20" s="403"/>
      <c r="HB20" s="403"/>
      <c r="HC20" s="403"/>
      <c r="HD20" s="403"/>
      <c r="HE20" s="403"/>
      <c r="HF20" s="403"/>
      <c r="HG20" s="403"/>
      <c r="HH20" s="403"/>
      <c r="HI20" s="403" t="s">
        <v>11537</v>
      </c>
      <c r="HJ20" s="403" t="s">
        <v>7461</v>
      </c>
      <c r="HK20" s="403"/>
      <c r="HL20" s="403"/>
      <c r="HM20" s="403"/>
      <c r="HN20" s="403"/>
      <c r="HO20" s="403"/>
      <c r="HP20" s="403" t="s">
        <v>4680</v>
      </c>
      <c r="HQ20" s="403" t="s">
        <v>4681</v>
      </c>
      <c r="HR20" s="403" t="s">
        <v>4682</v>
      </c>
      <c r="HS20" s="403" t="s">
        <v>4683</v>
      </c>
      <c r="HT20" s="403" t="s">
        <v>4684</v>
      </c>
      <c r="HU20" s="403" t="s">
        <v>4685</v>
      </c>
      <c r="HV20" s="403" t="s">
        <v>4686</v>
      </c>
      <c r="HW20" s="403"/>
      <c r="HX20" s="403" t="s">
        <v>11538</v>
      </c>
      <c r="HY20" s="403"/>
      <c r="HZ20" s="403"/>
      <c r="IA20" s="403"/>
      <c r="IC20" s="403"/>
      <c r="ID20" s="403"/>
      <c r="IE20" s="403"/>
      <c r="IF20" s="403"/>
      <c r="IG20" s="403"/>
      <c r="IH20" s="403"/>
      <c r="II20" s="403"/>
      <c r="IJ20" s="403"/>
      <c r="IK20" s="403"/>
      <c r="IL20" s="403"/>
      <c r="IM20" s="403"/>
      <c r="IN20" s="403"/>
      <c r="IO20" s="403"/>
      <c r="IP20" s="403"/>
      <c r="IQ20" s="403" t="s">
        <v>11539</v>
      </c>
      <c r="IR20" s="403" t="s">
        <v>11540</v>
      </c>
      <c r="IS20" s="403"/>
      <c r="IT20" s="403"/>
      <c r="IU20" s="403"/>
      <c r="IV20" s="403"/>
      <c r="IW20" s="403"/>
      <c r="IX20" s="403" t="s">
        <v>4688</v>
      </c>
      <c r="IY20" s="403" t="s">
        <v>4689</v>
      </c>
      <c r="IZ20" s="403" t="s">
        <v>4690</v>
      </c>
      <c r="JA20" s="403" t="s">
        <v>4691</v>
      </c>
      <c r="JB20" s="403" t="s">
        <v>4692</v>
      </c>
      <c r="JC20" s="403" t="s">
        <v>4693</v>
      </c>
      <c r="JD20" s="403" t="s">
        <v>4694</v>
      </c>
      <c r="JE20" s="403"/>
      <c r="JF20" s="403" t="s">
        <v>11541</v>
      </c>
      <c r="JG20" s="403"/>
      <c r="JH20" s="403"/>
      <c r="JI20" s="403"/>
      <c r="JK20" s="403"/>
      <c r="JL20" s="403"/>
      <c r="JM20" s="403"/>
      <c r="JN20" s="403"/>
      <c r="JO20" s="403"/>
      <c r="JP20" s="403"/>
      <c r="JQ20" s="403"/>
      <c r="JR20" s="403"/>
      <c r="JS20" s="403"/>
      <c r="JT20" s="403"/>
    </row>
    <row r="21" spans="1:280" s="15" customFormat="1" ht="12.75" hidden="1" x14ac:dyDescent="0.2">
      <c r="A21" s="662" t="s">
        <v>14287</v>
      </c>
      <c r="B21" s="622"/>
      <c r="C21" s="5" t="str">
        <f t="shared" ref="C21:C27" ca="1" si="12">IF(OFFSET(AU21,0,Lang_Order*Lang__B5)="","",OFFSET(AU21,0,Lang_Order*Lang__B5))</f>
        <v>Work-based | Delivery Modality 1</v>
      </c>
      <c r="D21" s="11" t="e">
        <f>'A2. INPUT Population &amp; Delivery'!H260</f>
        <v>#N/A</v>
      </c>
      <c r="J21" s="83" t="e">
        <f t="shared" ref="J21:O22" si="13">NOT(RBF_DM1)*$D21*J11</f>
        <v>#N/A</v>
      </c>
      <c r="K21" s="83" t="e">
        <f t="shared" si="13"/>
        <v>#N/A</v>
      </c>
      <c r="L21" s="83" t="e">
        <f t="shared" si="13"/>
        <v>#N/A</v>
      </c>
      <c r="M21" s="83" t="e">
        <f t="shared" si="13"/>
        <v>#N/A</v>
      </c>
      <c r="N21" s="83" t="e">
        <f t="shared" si="13"/>
        <v>#N/A</v>
      </c>
      <c r="O21" s="83" t="e">
        <f t="shared" si="13"/>
        <v>#N/A</v>
      </c>
      <c r="P21" s="83" t="e">
        <f t="shared" ref="P21:P26" si="14">SUM(J21:O21)</f>
        <v>#N/A</v>
      </c>
      <c r="Q21" s="83"/>
      <c r="R21" s="12" t="str">
        <f t="shared" ca="1" si="10"/>
        <v/>
      </c>
      <c r="T21" s="567"/>
      <c r="U21" s="622"/>
      <c r="V21" s="567"/>
      <c r="AE21" s="281"/>
      <c r="AF21" s="241"/>
      <c r="AG21" s="622"/>
      <c r="AR21" s="403"/>
      <c r="AS21" s="403"/>
      <c r="AT21" s="403"/>
      <c r="AU21" s="403" t="s">
        <v>1619</v>
      </c>
      <c r="AV21" s="403"/>
      <c r="AW21" s="403"/>
      <c r="AX21" s="403"/>
      <c r="AY21" s="403"/>
      <c r="AZ21" s="403"/>
      <c r="BA21" s="403"/>
      <c r="BB21" s="403"/>
      <c r="BC21" s="403"/>
      <c r="BD21" s="403"/>
      <c r="BE21" s="403"/>
      <c r="BF21" s="403"/>
      <c r="BG21" s="403"/>
      <c r="BH21" s="403"/>
      <c r="BI21" s="403"/>
      <c r="BJ21" s="403"/>
      <c r="BK21" s="403"/>
      <c r="BL21" s="403"/>
      <c r="BM21" s="403"/>
      <c r="BN21" s="403"/>
      <c r="BO21" s="403"/>
      <c r="BP21" s="403"/>
      <c r="BQ21" s="403"/>
      <c r="BR21" s="403"/>
      <c r="BS21" s="403"/>
      <c r="BT21" s="403"/>
      <c r="BU21" s="403"/>
      <c r="BV21" s="403"/>
      <c r="BW21" s="403"/>
      <c r="BX21" s="403"/>
      <c r="BY21" s="403"/>
      <c r="BZ21" s="403"/>
      <c r="CA21" s="403"/>
      <c r="CB21" s="403"/>
      <c r="CC21" s="403" t="s">
        <v>7388</v>
      </c>
      <c r="CD21" s="403"/>
      <c r="CE21" s="403"/>
      <c r="CF21" s="403"/>
      <c r="CG21" s="403"/>
      <c r="CH21" s="403"/>
      <c r="CI21" s="403"/>
      <c r="CJ21" s="403"/>
      <c r="CK21" s="403"/>
      <c r="CL21" s="403"/>
      <c r="CM21" s="403"/>
      <c r="CN21" s="403"/>
      <c r="CO21" s="403"/>
      <c r="CP21" s="403"/>
      <c r="CQ21" s="403"/>
      <c r="CR21" s="403"/>
      <c r="CS21" s="403"/>
      <c r="CT21" s="403"/>
      <c r="CU21" s="403"/>
      <c r="CW21" s="403"/>
      <c r="CX21" s="403"/>
      <c r="CY21" s="403"/>
      <c r="CZ21" s="403"/>
      <c r="DA21" s="403"/>
      <c r="DB21" s="403"/>
      <c r="DC21" s="403"/>
      <c r="DD21" s="403"/>
      <c r="DE21" s="403"/>
      <c r="DF21" s="403"/>
      <c r="DG21" s="403"/>
      <c r="DH21" s="403"/>
      <c r="DI21" s="403"/>
      <c r="DJ21" s="403"/>
      <c r="DK21" s="403" t="s">
        <v>11496</v>
      </c>
      <c r="DL21" s="403"/>
      <c r="DM21" s="403"/>
      <c r="DN21" s="403"/>
      <c r="DO21" s="403"/>
      <c r="DP21" s="403"/>
      <c r="DQ21" s="403"/>
      <c r="DR21" s="403"/>
      <c r="DS21" s="403"/>
      <c r="DT21" s="403"/>
      <c r="DU21" s="403"/>
      <c r="DV21" s="403"/>
      <c r="DW21" s="403"/>
      <c r="DX21" s="403"/>
      <c r="DY21" s="403"/>
      <c r="DZ21" s="403"/>
      <c r="EA21" s="403"/>
      <c r="EB21" s="403"/>
      <c r="EC21" s="403"/>
      <c r="EE21" s="403"/>
      <c r="EF21" s="403"/>
      <c r="EG21" s="403"/>
      <c r="EH21" s="403"/>
      <c r="EI21" s="403"/>
      <c r="EJ21" s="403"/>
      <c r="EK21" s="403"/>
      <c r="EL21" s="403"/>
      <c r="EM21" s="403"/>
      <c r="EN21" s="403"/>
      <c r="EO21" s="403"/>
      <c r="EP21" s="403"/>
      <c r="EQ21" s="403"/>
      <c r="ER21" s="403"/>
      <c r="ES21" s="403" t="s">
        <v>9797</v>
      </c>
      <c r="ET21" s="403"/>
      <c r="EU21" s="403"/>
      <c r="EV21" s="403"/>
      <c r="EW21" s="403"/>
      <c r="EX21" s="403"/>
      <c r="EY21" s="403"/>
      <c r="EZ21" s="403"/>
      <c r="FA21" s="403"/>
      <c r="FB21" s="403"/>
      <c r="FC21" s="403"/>
      <c r="FD21" s="403"/>
      <c r="FE21" s="403"/>
      <c r="FF21" s="403"/>
      <c r="FG21" s="403"/>
      <c r="FH21" s="403"/>
      <c r="FI21" s="403"/>
      <c r="FJ21" s="403"/>
      <c r="FK21" s="403"/>
      <c r="FM21" s="403"/>
      <c r="FN21" s="403"/>
      <c r="FO21" s="403"/>
      <c r="FP21" s="403"/>
      <c r="FQ21" s="403"/>
      <c r="FR21" s="403"/>
      <c r="FS21" s="403"/>
      <c r="FT21" s="403"/>
      <c r="FU21" s="403"/>
      <c r="FV21" s="403"/>
      <c r="FW21" s="403"/>
      <c r="FX21" s="403"/>
      <c r="FY21" s="403"/>
      <c r="FZ21" s="403"/>
      <c r="GA21" s="403" t="s">
        <v>7394</v>
      </c>
      <c r="GB21" s="403"/>
      <c r="GC21" s="403"/>
      <c r="GD21" s="403"/>
      <c r="GE21" s="403"/>
      <c r="GF21" s="403"/>
      <c r="GG21" s="403"/>
      <c r="GH21" s="403"/>
      <c r="GI21" s="403"/>
      <c r="GJ21" s="403"/>
      <c r="GK21" s="403"/>
      <c r="GL21" s="403"/>
      <c r="GM21" s="403"/>
      <c r="GN21" s="403"/>
      <c r="GO21" s="403"/>
      <c r="GP21" s="403"/>
      <c r="GQ21" s="403"/>
      <c r="GR21" s="403"/>
      <c r="GS21" s="403"/>
      <c r="GU21" s="403"/>
      <c r="GV21" s="403"/>
      <c r="GW21" s="403"/>
      <c r="GX21" s="403"/>
      <c r="GY21" s="403"/>
      <c r="GZ21" s="403"/>
      <c r="HA21" s="403"/>
      <c r="HB21" s="403"/>
      <c r="HC21" s="403"/>
      <c r="HD21" s="403"/>
      <c r="HE21" s="403"/>
      <c r="HF21" s="403"/>
      <c r="HG21" s="403"/>
      <c r="HH21" s="403"/>
      <c r="HI21" s="403" t="s">
        <v>11500</v>
      </c>
      <c r="HJ21" s="403"/>
      <c r="HK21" s="403"/>
      <c r="HL21" s="403"/>
      <c r="HM21" s="403"/>
      <c r="HN21" s="403"/>
      <c r="HO21" s="403"/>
      <c r="HP21" s="403"/>
      <c r="HQ21" s="403"/>
      <c r="HR21" s="403"/>
      <c r="HS21" s="403"/>
      <c r="HT21" s="403"/>
      <c r="HU21" s="403"/>
      <c r="HV21" s="403"/>
      <c r="HW21" s="403"/>
      <c r="HX21" s="403"/>
      <c r="HY21" s="403"/>
      <c r="HZ21" s="403"/>
      <c r="IA21" s="403"/>
      <c r="IC21" s="403"/>
      <c r="ID21" s="403"/>
      <c r="IE21" s="403"/>
      <c r="IF21" s="403"/>
      <c r="IG21" s="403"/>
      <c r="IH21" s="403"/>
      <c r="II21" s="403"/>
      <c r="IJ21" s="403"/>
      <c r="IK21" s="403"/>
      <c r="IL21" s="403"/>
      <c r="IM21" s="403"/>
      <c r="IN21" s="403"/>
      <c r="IO21" s="403"/>
      <c r="IP21" s="403"/>
      <c r="IQ21" s="403" t="s">
        <v>7398</v>
      </c>
      <c r="IR21" s="403"/>
      <c r="IS21" s="403"/>
      <c r="IT21" s="403"/>
      <c r="IU21" s="403"/>
      <c r="IV21" s="403"/>
      <c r="IW21" s="403"/>
      <c r="IX21" s="403"/>
      <c r="IY21" s="403"/>
      <c r="IZ21" s="403"/>
      <c r="JA21" s="403"/>
      <c r="JB21" s="403"/>
      <c r="JC21" s="403"/>
      <c r="JD21" s="403"/>
      <c r="JE21" s="403"/>
      <c r="JF21" s="403"/>
      <c r="JG21" s="403"/>
      <c r="JH21" s="403"/>
      <c r="JI21" s="403"/>
      <c r="JK21" s="403"/>
      <c r="JL21" s="403"/>
      <c r="JM21" s="403"/>
      <c r="JN21" s="403"/>
      <c r="JO21" s="403"/>
      <c r="JP21" s="403"/>
      <c r="JQ21" s="403"/>
      <c r="JR21" s="403"/>
      <c r="JS21" s="403"/>
      <c r="JT21" s="403"/>
    </row>
    <row r="22" spans="1:280" s="15" customFormat="1" ht="12.75" hidden="1" x14ac:dyDescent="0.2">
      <c r="A22" s="662" t="s">
        <v>14287</v>
      </c>
      <c r="B22" s="622"/>
      <c r="C22" s="5" t="str">
        <f t="shared" ca="1" si="12"/>
        <v>Voluntary | Delivery Modality 1</v>
      </c>
      <c r="D22" s="11" t="e">
        <f>'A2. INPUT Population &amp; Delivery'!H261</f>
        <v>#N/A</v>
      </c>
      <c r="J22" s="83" t="e">
        <f t="shared" si="13"/>
        <v>#N/A</v>
      </c>
      <c r="K22" s="83" t="e">
        <f t="shared" si="13"/>
        <v>#N/A</v>
      </c>
      <c r="L22" s="83" t="e">
        <f t="shared" si="13"/>
        <v>#N/A</v>
      </c>
      <c r="M22" s="83" t="e">
        <f t="shared" si="13"/>
        <v>#N/A</v>
      </c>
      <c r="N22" s="83" t="e">
        <f t="shared" si="13"/>
        <v>#N/A</v>
      </c>
      <c r="O22" s="83" t="e">
        <f t="shared" si="13"/>
        <v>#N/A</v>
      </c>
      <c r="P22" s="83" t="e">
        <f t="shared" si="14"/>
        <v>#N/A</v>
      </c>
      <c r="Q22" s="83"/>
      <c r="R22" s="12" t="str">
        <f t="shared" ca="1" si="10"/>
        <v/>
      </c>
      <c r="T22" s="567"/>
      <c r="U22" s="622"/>
      <c r="V22" s="567"/>
      <c r="AE22" s="281"/>
      <c r="AF22" s="241"/>
      <c r="AG22" s="622"/>
      <c r="AR22" s="403"/>
      <c r="AS22" s="403"/>
      <c r="AT22" s="403"/>
      <c r="AU22" s="403" t="s">
        <v>1620</v>
      </c>
      <c r="AV22" s="403"/>
      <c r="AW22" s="403"/>
      <c r="AX22" s="403"/>
      <c r="AY22" s="403"/>
      <c r="AZ22" s="403"/>
      <c r="BA22" s="403"/>
      <c r="BB22" s="403"/>
      <c r="BC22" s="403"/>
      <c r="BD22" s="403"/>
      <c r="BE22" s="403"/>
      <c r="BF22" s="403"/>
      <c r="BG22" s="403"/>
      <c r="BH22" s="403"/>
      <c r="BI22" s="403"/>
      <c r="BJ22" s="403"/>
      <c r="BK22" s="403"/>
      <c r="BL22" s="403"/>
      <c r="BM22" s="403"/>
      <c r="BN22" s="403"/>
      <c r="BO22" s="403"/>
      <c r="BP22" s="403"/>
      <c r="BQ22" s="403"/>
      <c r="BR22" s="403"/>
      <c r="BS22" s="403"/>
      <c r="BT22" s="403"/>
      <c r="BU22" s="403"/>
      <c r="BV22" s="403"/>
      <c r="BW22" s="403"/>
      <c r="BX22" s="403"/>
      <c r="BY22" s="403"/>
      <c r="BZ22" s="403"/>
      <c r="CA22" s="403"/>
      <c r="CB22" s="403"/>
      <c r="CC22" s="403" t="s">
        <v>7400</v>
      </c>
      <c r="CD22" s="403"/>
      <c r="CE22" s="403"/>
      <c r="CF22" s="403"/>
      <c r="CG22" s="403"/>
      <c r="CH22" s="403"/>
      <c r="CI22" s="403"/>
      <c r="CJ22" s="403"/>
      <c r="CK22" s="403"/>
      <c r="CL22" s="403"/>
      <c r="CM22" s="403"/>
      <c r="CN22" s="403"/>
      <c r="CO22" s="403"/>
      <c r="CP22" s="403"/>
      <c r="CQ22" s="403"/>
      <c r="CR22" s="403"/>
      <c r="CS22" s="403"/>
      <c r="CT22" s="403"/>
      <c r="CU22" s="403"/>
      <c r="CW22" s="403"/>
      <c r="CX22" s="403"/>
      <c r="CY22" s="403"/>
      <c r="CZ22" s="403"/>
      <c r="DA22" s="403"/>
      <c r="DB22" s="403"/>
      <c r="DC22" s="403"/>
      <c r="DD22" s="403"/>
      <c r="DE22" s="403"/>
      <c r="DF22" s="403"/>
      <c r="DG22" s="403"/>
      <c r="DH22" s="403"/>
      <c r="DI22" s="403"/>
      <c r="DJ22" s="403"/>
      <c r="DK22" s="403" t="s">
        <v>11504</v>
      </c>
      <c r="DL22" s="403"/>
      <c r="DM22" s="403"/>
      <c r="DN22" s="403"/>
      <c r="DO22" s="403"/>
      <c r="DP22" s="403"/>
      <c r="DQ22" s="403"/>
      <c r="DR22" s="403"/>
      <c r="DS22" s="403"/>
      <c r="DT22" s="403"/>
      <c r="DU22" s="403"/>
      <c r="DV22" s="403"/>
      <c r="DW22" s="403"/>
      <c r="DX22" s="403"/>
      <c r="DY22" s="403"/>
      <c r="DZ22" s="403"/>
      <c r="EA22" s="403"/>
      <c r="EB22" s="403"/>
      <c r="EC22" s="403"/>
      <c r="EE22" s="403"/>
      <c r="EF22" s="403"/>
      <c r="EG22" s="403"/>
      <c r="EH22" s="403"/>
      <c r="EI22" s="403"/>
      <c r="EJ22" s="403"/>
      <c r="EK22" s="403"/>
      <c r="EL22" s="403"/>
      <c r="EM22" s="403"/>
      <c r="EN22" s="403"/>
      <c r="EO22" s="403"/>
      <c r="EP22" s="403"/>
      <c r="EQ22" s="403"/>
      <c r="ER22" s="403"/>
      <c r="ES22" s="403" t="s">
        <v>9813</v>
      </c>
      <c r="ET22" s="403"/>
      <c r="EU22" s="403"/>
      <c r="EV22" s="403"/>
      <c r="EW22" s="403"/>
      <c r="EX22" s="403"/>
      <c r="EY22" s="403"/>
      <c r="EZ22" s="403"/>
      <c r="FA22" s="403"/>
      <c r="FB22" s="403"/>
      <c r="FC22" s="403"/>
      <c r="FD22" s="403"/>
      <c r="FE22" s="403"/>
      <c r="FF22" s="403"/>
      <c r="FG22" s="403"/>
      <c r="FH22" s="403"/>
      <c r="FI22" s="403"/>
      <c r="FJ22" s="403"/>
      <c r="FK22" s="403"/>
      <c r="FM22" s="403"/>
      <c r="FN22" s="403"/>
      <c r="FO22" s="403"/>
      <c r="FP22" s="403"/>
      <c r="FQ22" s="403"/>
      <c r="FR22" s="403"/>
      <c r="FS22" s="403"/>
      <c r="FT22" s="403"/>
      <c r="FU22" s="403"/>
      <c r="FV22" s="403"/>
      <c r="FW22" s="403"/>
      <c r="FX22" s="403"/>
      <c r="FY22" s="403"/>
      <c r="FZ22" s="403"/>
      <c r="GA22" s="403" t="s">
        <v>7403</v>
      </c>
      <c r="GB22" s="403"/>
      <c r="GC22" s="403"/>
      <c r="GD22" s="403"/>
      <c r="GE22" s="403"/>
      <c r="GF22" s="403"/>
      <c r="GG22" s="403"/>
      <c r="GH22" s="403"/>
      <c r="GI22" s="403"/>
      <c r="GJ22" s="403"/>
      <c r="GK22" s="403"/>
      <c r="GL22" s="403"/>
      <c r="GM22" s="403"/>
      <c r="GN22" s="403"/>
      <c r="GO22" s="403"/>
      <c r="GP22" s="403"/>
      <c r="GQ22" s="403"/>
      <c r="GR22" s="403"/>
      <c r="GS22" s="403"/>
      <c r="GU22" s="403"/>
      <c r="GV22" s="403"/>
      <c r="GW22" s="403"/>
      <c r="GX22" s="403"/>
      <c r="GY22" s="403"/>
      <c r="GZ22" s="403"/>
      <c r="HA22" s="403"/>
      <c r="HB22" s="403"/>
      <c r="HC22" s="403"/>
      <c r="HD22" s="403"/>
      <c r="HE22" s="403"/>
      <c r="HF22" s="403"/>
      <c r="HG22" s="403"/>
      <c r="HH22" s="403"/>
      <c r="HI22" s="403" t="s">
        <v>7463</v>
      </c>
      <c r="HJ22" s="403"/>
      <c r="HK22" s="403"/>
      <c r="HL22" s="403"/>
      <c r="HM22" s="403"/>
      <c r="HN22" s="403"/>
      <c r="HO22" s="403"/>
      <c r="HP22" s="403"/>
      <c r="HQ22" s="403"/>
      <c r="HR22" s="403"/>
      <c r="HS22" s="403"/>
      <c r="HT22" s="403"/>
      <c r="HU22" s="403"/>
      <c r="HV22" s="403"/>
      <c r="HW22" s="403"/>
      <c r="HX22" s="403"/>
      <c r="HY22" s="403"/>
      <c r="HZ22" s="403"/>
      <c r="IA22" s="403"/>
      <c r="IC22" s="403"/>
      <c r="ID22" s="403"/>
      <c r="IE22" s="403"/>
      <c r="IF22" s="403"/>
      <c r="IG22" s="403"/>
      <c r="IH22" s="403"/>
      <c r="II22" s="403"/>
      <c r="IJ22" s="403"/>
      <c r="IK22" s="403"/>
      <c r="IL22" s="403"/>
      <c r="IM22" s="403"/>
      <c r="IN22" s="403"/>
      <c r="IO22" s="403"/>
      <c r="IP22" s="403"/>
      <c r="IQ22" s="403" t="s">
        <v>7405</v>
      </c>
      <c r="IR22" s="403"/>
      <c r="IS22" s="403"/>
      <c r="IT22" s="403"/>
      <c r="IU22" s="403"/>
      <c r="IV22" s="403"/>
      <c r="IW22" s="403"/>
      <c r="IX22" s="403"/>
      <c r="IY22" s="403"/>
      <c r="IZ22" s="403"/>
      <c r="JA22" s="403"/>
      <c r="JB22" s="403"/>
      <c r="JC22" s="403"/>
      <c r="JD22" s="403"/>
      <c r="JE22" s="403"/>
      <c r="JF22" s="403"/>
      <c r="JG22" s="403"/>
      <c r="JH22" s="403"/>
      <c r="JI22" s="403"/>
      <c r="JK22" s="403"/>
      <c r="JL22" s="403"/>
      <c r="JM22" s="403"/>
      <c r="JN22" s="403"/>
      <c r="JO22" s="403"/>
      <c r="JP22" s="403"/>
      <c r="JQ22" s="403"/>
      <c r="JR22" s="403"/>
      <c r="JS22" s="403"/>
      <c r="JT22" s="403"/>
    </row>
    <row r="23" spans="1:280" s="15" customFormat="1" ht="12.75" hidden="1" x14ac:dyDescent="0.2">
      <c r="A23" s="662" t="s">
        <v>14287</v>
      </c>
      <c r="B23" s="622"/>
      <c r="C23" s="5" t="str">
        <f t="shared" ca="1" si="12"/>
        <v>Work-based | Delivery Modality 2</v>
      </c>
      <c r="D23" s="11" t="e">
        <f>'A2. INPUT Population &amp; Delivery'!H262</f>
        <v>#N/A</v>
      </c>
      <c r="J23" s="83" t="e">
        <f t="shared" ref="J23:O24" si="15">NOT(RBF_DM2)*$D23*J13</f>
        <v>#N/A</v>
      </c>
      <c r="K23" s="83" t="e">
        <f t="shared" si="15"/>
        <v>#N/A</v>
      </c>
      <c r="L23" s="83" t="e">
        <f t="shared" si="15"/>
        <v>#N/A</v>
      </c>
      <c r="M23" s="83" t="e">
        <f t="shared" si="15"/>
        <v>#N/A</v>
      </c>
      <c r="N23" s="83" t="e">
        <f t="shared" si="15"/>
        <v>#N/A</v>
      </c>
      <c r="O23" s="83" t="e">
        <f t="shared" si="15"/>
        <v>#N/A</v>
      </c>
      <c r="P23" s="83" t="e">
        <f t="shared" si="14"/>
        <v>#N/A</v>
      </c>
      <c r="Q23" s="83"/>
      <c r="R23" s="12" t="str">
        <f t="shared" ca="1" si="10"/>
        <v/>
      </c>
      <c r="T23" s="567"/>
      <c r="U23" s="622"/>
      <c r="V23" s="567"/>
      <c r="AE23" s="281"/>
      <c r="AF23" s="241"/>
      <c r="AG23" s="622"/>
      <c r="AR23" s="403"/>
      <c r="AS23" s="403"/>
      <c r="AT23" s="403"/>
      <c r="AU23" s="403" t="s">
        <v>1617</v>
      </c>
      <c r="AV23" s="403"/>
      <c r="AW23" s="403"/>
      <c r="AX23" s="403"/>
      <c r="AY23" s="403"/>
      <c r="AZ23" s="403"/>
      <c r="BA23" s="403"/>
      <c r="BB23" s="403"/>
      <c r="BC23" s="403"/>
      <c r="BD23" s="403"/>
      <c r="BE23" s="403"/>
      <c r="BF23" s="403"/>
      <c r="BG23" s="403"/>
      <c r="BH23" s="403"/>
      <c r="BI23" s="403"/>
      <c r="BJ23" s="403"/>
      <c r="BK23" s="403"/>
      <c r="BL23" s="403"/>
      <c r="BM23" s="403"/>
      <c r="BN23" s="403"/>
      <c r="BO23" s="403"/>
      <c r="BP23" s="403"/>
      <c r="BQ23" s="403"/>
      <c r="BR23" s="403"/>
      <c r="BS23" s="403"/>
      <c r="BT23" s="403"/>
      <c r="BU23" s="403"/>
      <c r="BV23" s="403"/>
      <c r="BW23" s="403"/>
      <c r="BX23" s="403"/>
      <c r="BY23" s="403"/>
      <c r="BZ23" s="403"/>
      <c r="CA23" s="403"/>
      <c r="CB23" s="403"/>
      <c r="CC23" s="403" t="s">
        <v>7406</v>
      </c>
      <c r="CD23" s="403"/>
      <c r="CE23" s="403"/>
      <c r="CF23" s="403"/>
      <c r="CG23" s="403"/>
      <c r="CH23" s="403"/>
      <c r="CI23" s="403"/>
      <c r="CJ23" s="403"/>
      <c r="CK23" s="403"/>
      <c r="CL23" s="403"/>
      <c r="CM23" s="403"/>
      <c r="CN23" s="403"/>
      <c r="CO23" s="403"/>
      <c r="CP23" s="403"/>
      <c r="CQ23" s="403"/>
      <c r="CR23" s="403"/>
      <c r="CS23" s="403"/>
      <c r="CT23" s="403"/>
      <c r="CU23" s="403"/>
      <c r="CW23" s="403"/>
      <c r="CX23" s="403"/>
      <c r="CY23" s="403"/>
      <c r="CZ23" s="403"/>
      <c r="DA23" s="403"/>
      <c r="DB23" s="403"/>
      <c r="DC23" s="403"/>
      <c r="DD23" s="403"/>
      <c r="DE23" s="403"/>
      <c r="DF23" s="403"/>
      <c r="DG23" s="403"/>
      <c r="DH23" s="403"/>
      <c r="DI23" s="403"/>
      <c r="DJ23" s="403"/>
      <c r="DK23" s="403" t="s">
        <v>11510</v>
      </c>
      <c r="DL23" s="403"/>
      <c r="DM23" s="403"/>
      <c r="DN23" s="403"/>
      <c r="DO23" s="403"/>
      <c r="DP23" s="403"/>
      <c r="DQ23" s="403"/>
      <c r="DR23" s="403"/>
      <c r="DS23" s="403"/>
      <c r="DT23" s="403"/>
      <c r="DU23" s="403"/>
      <c r="DV23" s="403"/>
      <c r="DW23" s="403"/>
      <c r="DX23" s="403"/>
      <c r="DY23" s="403"/>
      <c r="DZ23" s="403"/>
      <c r="EA23" s="403"/>
      <c r="EB23" s="403"/>
      <c r="EC23" s="403"/>
      <c r="EE23" s="403"/>
      <c r="EF23" s="403"/>
      <c r="EG23" s="403"/>
      <c r="EH23" s="403"/>
      <c r="EI23" s="403"/>
      <c r="EJ23" s="403"/>
      <c r="EK23" s="403"/>
      <c r="EL23" s="403"/>
      <c r="EM23" s="403"/>
      <c r="EN23" s="403"/>
      <c r="EO23" s="403"/>
      <c r="EP23" s="403"/>
      <c r="EQ23" s="403"/>
      <c r="ER23" s="403"/>
      <c r="ES23" s="403" t="s">
        <v>9819</v>
      </c>
      <c r="ET23" s="403"/>
      <c r="EU23" s="403"/>
      <c r="EV23" s="403"/>
      <c r="EW23" s="403"/>
      <c r="EX23" s="403"/>
      <c r="EY23" s="403"/>
      <c r="EZ23" s="403"/>
      <c r="FA23" s="403"/>
      <c r="FB23" s="403"/>
      <c r="FC23" s="403"/>
      <c r="FD23" s="403"/>
      <c r="FE23" s="403"/>
      <c r="FF23" s="403"/>
      <c r="FG23" s="403"/>
      <c r="FH23" s="403"/>
      <c r="FI23" s="403"/>
      <c r="FJ23" s="403"/>
      <c r="FK23" s="403"/>
      <c r="FM23" s="403"/>
      <c r="FN23" s="403"/>
      <c r="FO23" s="403"/>
      <c r="FP23" s="403"/>
      <c r="FQ23" s="403"/>
      <c r="FR23" s="403"/>
      <c r="FS23" s="403"/>
      <c r="FT23" s="403"/>
      <c r="FU23" s="403"/>
      <c r="FV23" s="403"/>
      <c r="FW23" s="403"/>
      <c r="FX23" s="403"/>
      <c r="FY23" s="403"/>
      <c r="FZ23" s="403"/>
      <c r="GA23" s="403" t="s">
        <v>7409</v>
      </c>
      <c r="GB23" s="403"/>
      <c r="GC23" s="403"/>
      <c r="GD23" s="403"/>
      <c r="GE23" s="403"/>
      <c r="GF23" s="403"/>
      <c r="GG23" s="403"/>
      <c r="GH23" s="403"/>
      <c r="GI23" s="403"/>
      <c r="GJ23" s="403"/>
      <c r="GK23" s="403"/>
      <c r="GL23" s="403"/>
      <c r="GM23" s="403"/>
      <c r="GN23" s="403"/>
      <c r="GO23" s="403"/>
      <c r="GP23" s="403"/>
      <c r="GQ23" s="403"/>
      <c r="GR23" s="403"/>
      <c r="GS23" s="403"/>
      <c r="GU23" s="403"/>
      <c r="GV23" s="403"/>
      <c r="GW23" s="403"/>
      <c r="GX23" s="403"/>
      <c r="GY23" s="403"/>
      <c r="GZ23" s="403"/>
      <c r="HA23" s="403"/>
      <c r="HB23" s="403"/>
      <c r="HC23" s="403"/>
      <c r="HD23" s="403"/>
      <c r="HE23" s="403"/>
      <c r="HF23" s="403"/>
      <c r="HG23" s="403"/>
      <c r="HH23" s="403"/>
      <c r="HI23" s="403" t="s">
        <v>11511</v>
      </c>
      <c r="HJ23" s="403"/>
      <c r="HK23" s="403"/>
      <c r="HL23" s="403"/>
      <c r="HM23" s="403"/>
      <c r="HN23" s="403"/>
      <c r="HO23" s="403"/>
      <c r="HP23" s="403"/>
      <c r="HQ23" s="403"/>
      <c r="HR23" s="403"/>
      <c r="HS23" s="403"/>
      <c r="HT23" s="403"/>
      <c r="HU23" s="403"/>
      <c r="HV23" s="403"/>
      <c r="HW23" s="403"/>
      <c r="HX23" s="403"/>
      <c r="HY23" s="403"/>
      <c r="HZ23" s="403"/>
      <c r="IA23" s="403"/>
      <c r="IC23" s="403"/>
      <c r="ID23" s="403"/>
      <c r="IE23" s="403"/>
      <c r="IF23" s="403"/>
      <c r="IG23" s="403"/>
      <c r="IH23" s="403"/>
      <c r="II23" s="403"/>
      <c r="IJ23" s="403"/>
      <c r="IK23" s="403"/>
      <c r="IL23" s="403"/>
      <c r="IM23" s="403"/>
      <c r="IN23" s="403"/>
      <c r="IO23" s="403"/>
      <c r="IP23" s="403"/>
      <c r="IQ23" s="403" t="s">
        <v>7411</v>
      </c>
      <c r="IR23" s="403"/>
      <c r="IS23" s="403"/>
      <c r="IT23" s="403"/>
      <c r="IU23" s="403"/>
      <c r="IV23" s="403"/>
      <c r="IW23" s="403"/>
      <c r="IX23" s="403"/>
      <c r="IY23" s="403"/>
      <c r="IZ23" s="403"/>
      <c r="JA23" s="403"/>
      <c r="JB23" s="403"/>
      <c r="JC23" s="403"/>
      <c r="JD23" s="403"/>
      <c r="JE23" s="403"/>
      <c r="JF23" s="403"/>
      <c r="JG23" s="403"/>
      <c r="JH23" s="403"/>
      <c r="JI23" s="403"/>
      <c r="JK23" s="403"/>
      <c r="JL23" s="403"/>
      <c r="JM23" s="403"/>
      <c r="JN23" s="403"/>
      <c r="JO23" s="403"/>
      <c r="JP23" s="403"/>
      <c r="JQ23" s="403"/>
      <c r="JR23" s="403"/>
      <c r="JS23" s="403"/>
      <c r="JT23" s="403"/>
    </row>
    <row r="24" spans="1:280" s="15" customFormat="1" ht="12.75" hidden="1" x14ac:dyDescent="0.2">
      <c r="A24" s="662" t="s">
        <v>14287</v>
      </c>
      <c r="B24" s="622"/>
      <c r="C24" s="5" t="str">
        <f t="shared" ca="1" si="12"/>
        <v>Voluntary | Delivery Modality 2</v>
      </c>
      <c r="D24" s="11" t="e">
        <f>'A2. INPUT Population &amp; Delivery'!H263</f>
        <v>#N/A</v>
      </c>
      <c r="J24" s="83" t="e">
        <f t="shared" si="15"/>
        <v>#N/A</v>
      </c>
      <c r="K24" s="83" t="e">
        <f t="shared" si="15"/>
        <v>#N/A</v>
      </c>
      <c r="L24" s="83" t="e">
        <f t="shared" si="15"/>
        <v>#N/A</v>
      </c>
      <c r="M24" s="83" t="e">
        <f t="shared" si="15"/>
        <v>#N/A</v>
      </c>
      <c r="N24" s="83" t="e">
        <f t="shared" si="15"/>
        <v>#N/A</v>
      </c>
      <c r="O24" s="83" t="e">
        <f t="shared" si="15"/>
        <v>#N/A</v>
      </c>
      <c r="P24" s="83" t="e">
        <f t="shared" si="14"/>
        <v>#N/A</v>
      </c>
      <c r="Q24" s="83"/>
      <c r="R24" s="12" t="str">
        <f t="shared" ca="1" si="10"/>
        <v/>
      </c>
      <c r="T24" s="241"/>
      <c r="U24" s="622"/>
      <c r="V24" s="5"/>
      <c r="AF24" s="241"/>
      <c r="AG24" s="622"/>
      <c r="AR24" s="403"/>
      <c r="AS24" s="403"/>
      <c r="AT24" s="403"/>
      <c r="AU24" s="403" t="s">
        <v>1616</v>
      </c>
      <c r="AV24" s="403"/>
      <c r="AW24" s="403"/>
      <c r="AX24" s="403"/>
      <c r="AY24" s="403"/>
      <c r="AZ24" s="403"/>
      <c r="BA24" s="403"/>
      <c r="BB24" s="403"/>
      <c r="BC24" s="403"/>
      <c r="BD24" s="403"/>
      <c r="BE24" s="403"/>
      <c r="BF24" s="403"/>
      <c r="BG24" s="403"/>
      <c r="BH24" s="403"/>
      <c r="BI24" s="403"/>
      <c r="BJ24" s="403"/>
      <c r="BK24" s="403"/>
      <c r="BL24" s="403"/>
      <c r="BM24" s="403"/>
      <c r="BN24" s="403"/>
      <c r="BO24" s="403"/>
      <c r="BP24" s="403"/>
      <c r="BQ24" s="403"/>
      <c r="BR24" s="403"/>
      <c r="BS24" s="403"/>
      <c r="BT24" s="403"/>
      <c r="BU24" s="403"/>
      <c r="BV24" s="403"/>
      <c r="BW24" s="403"/>
      <c r="BX24" s="403"/>
      <c r="BY24" s="403"/>
      <c r="BZ24" s="403"/>
      <c r="CA24" s="403"/>
      <c r="CB24" s="403"/>
      <c r="CC24" s="403" t="s">
        <v>7412</v>
      </c>
      <c r="CD24" s="403"/>
      <c r="CE24" s="403"/>
      <c r="CF24" s="403"/>
      <c r="CG24" s="403"/>
      <c r="CH24" s="403"/>
      <c r="CI24" s="403"/>
      <c r="CJ24" s="403"/>
      <c r="CK24" s="403"/>
      <c r="CL24" s="403"/>
      <c r="CM24" s="403"/>
      <c r="CN24" s="403"/>
      <c r="CO24" s="403"/>
      <c r="CP24" s="403"/>
      <c r="CQ24" s="403"/>
      <c r="CR24" s="403"/>
      <c r="CS24" s="403"/>
      <c r="CT24" s="403"/>
      <c r="CU24" s="403"/>
      <c r="CV24" s="403"/>
      <c r="CW24" s="403"/>
      <c r="CX24" s="403"/>
      <c r="CY24" s="403"/>
      <c r="CZ24" s="403"/>
      <c r="DA24" s="403"/>
      <c r="DB24" s="403"/>
      <c r="DC24" s="403"/>
      <c r="DD24" s="403"/>
      <c r="DE24" s="403"/>
      <c r="DF24" s="403"/>
      <c r="DG24" s="403"/>
      <c r="DH24" s="403"/>
      <c r="DI24" s="403"/>
      <c r="DJ24" s="403"/>
      <c r="DK24" s="403" t="s">
        <v>11512</v>
      </c>
      <c r="DL24" s="403"/>
      <c r="DM24" s="403"/>
      <c r="DN24" s="403"/>
      <c r="DO24" s="403"/>
      <c r="DP24" s="403"/>
      <c r="DQ24" s="403"/>
      <c r="DR24" s="403"/>
      <c r="DS24" s="403"/>
      <c r="DT24" s="403"/>
      <c r="DU24" s="403"/>
      <c r="DV24" s="403"/>
      <c r="DW24" s="403"/>
      <c r="DX24" s="403"/>
      <c r="DY24" s="403"/>
      <c r="DZ24" s="403"/>
      <c r="EA24" s="403"/>
      <c r="EB24" s="403"/>
      <c r="EC24" s="403"/>
      <c r="ED24" s="403"/>
      <c r="EE24" s="403"/>
      <c r="EF24" s="403"/>
      <c r="EG24" s="403"/>
      <c r="EH24" s="403"/>
      <c r="EI24" s="403"/>
      <c r="EJ24" s="403"/>
      <c r="EK24" s="403"/>
      <c r="EL24" s="403"/>
      <c r="EM24" s="403"/>
      <c r="EN24" s="403"/>
      <c r="EO24" s="403"/>
      <c r="EP24" s="403"/>
      <c r="EQ24" s="403"/>
      <c r="ER24" s="403"/>
      <c r="ES24" s="403" t="s">
        <v>9816</v>
      </c>
      <c r="ET24" s="403"/>
      <c r="EU24" s="403"/>
      <c r="EV24" s="403"/>
      <c r="EW24" s="403"/>
      <c r="EX24" s="403"/>
      <c r="EY24" s="403"/>
      <c r="EZ24" s="403"/>
      <c r="FA24" s="403"/>
      <c r="FB24" s="403"/>
      <c r="FC24" s="403"/>
      <c r="FD24" s="403"/>
      <c r="FE24" s="403"/>
      <c r="FF24" s="403"/>
      <c r="FG24" s="403"/>
      <c r="FH24" s="403"/>
      <c r="FI24" s="403"/>
      <c r="FJ24" s="403"/>
      <c r="FK24" s="403"/>
      <c r="FL24" s="403"/>
      <c r="FM24" s="403"/>
      <c r="FN24" s="403"/>
      <c r="FO24" s="403"/>
      <c r="FP24" s="403"/>
      <c r="FQ24" s="403"/>
      <c r="FR24" s="403"/>
      <c r="FS24" s="403"/>
      <c r="FT24" s="403"/>
      <c r="FU24" s="403"/>
      <c r="FV24" s="403"/>
      <c r="FW24" s="403"/>
      <c r="FX24" s="403"/>
      <c r="FY24" s="403"/>
      <c r="FZ24" s="403"/>
      <c r="GA24" s="403" t="s">
        <v>7415</v>
      </c>
      <c r="GB24" s="403"/>
      <c r="GC24" s="403"/>
      <c r="GD24" s="403"/>
      <c r="GE24" s="403"/>
      <c r="GF24" s="403"/>
      <c r="GG24" s="403"/>
      <c r="GH24" s="403"/>
      <c r="GI24" s="403"/>
      <c r="GJ24" s="403"/>
      <c r="GK24" s="403"/>
      <c r="GL24" s="403"/>
      <c r="GM24" s="403"/>
      <c r="GN24" s="403"/>
      <c r="GO24" s="403"/>
      <c r="GP24" s="403"/>
      <c r="GQ24" s="403"/>
      <c r="GR24" s="403"/>
      <c r="GS24" s="403"/>
      <c r="GT24" s="403"/>
      <c r="GU24" s="403"/>
      <c r="GV24" s="403"/>
      <c r="GW24" s="403"/>
      <c r="GX24" s="403"/>
      <c r="GY24" s="403"/>
      <c r="GZ24" s="403"/>
      <c r="HA24" s="403"/>
      <c r="HB24" s="403"/>
      <c r="HC24" s="403"/>
      <c r="HD24" s="403"/>
      <c r="HE24" s="403"/>
      <c r="HF24" s="403"/>
      <c r="HG24" s="403"/>
      <c r="HH24" s="403"/>
      <c r="HI24" s="403" t="s">
        <v>7416</v>
      </c>
      <c r="HJ24" s="403"/>
      <c r="HK24" s="403"/>
      <c r="HL24" s="403"/>
      <c r="HM24" s="403"/>
      <c r="HN24" s="403"/>
      <c r="HO24" s="403"/>
      <c r="HP24" s="403"/>
      <c r="HQ24" s="403"/>
      <c r="HR24" s="403"/>
      <c r="HS24" s="403"/>
      <c r="HT24" s="403"/>
      <c r="HU24" s="403"/>
      <c r="HV24" s="403"/>
      <c r="HW24" s="403"/>
      <c r="HX24" s="403"/>
      <c r="HY24" s="403"/>
      <c r="HZ24" s="403"/>
      <c r="IA24" s="403"/>
      <c r="IB24" s="403"/>
      <c r="IC24" s="403"/>
      <c r="ID24" s="403"/>
      <c r="IE24" s="403"/>
      <c r="IF24" s="403"/>
      <c r="IG24" s="403"/>
      <c r="IH24" s="403"/>
      <c r="II24" s="403"/>
      <c r="IJ24" s="403"/>
      <c r="IK24" s="403"/>
      <c r="IL24" s="403"/>
      <c r="IM24" s="403"/>
      <c r="IN24" s="403"/>
      <c r="IO24" s="403"/>
      <c r="IP24" s="403"/>
      <c r="IQ24" s="403" t="s">
        <v>7417</v>
      </c>
      <c r="IR24" s="403"/>
      <c r="IS24" s="403"/>
      <c r="IT24" s="403"/>
      <c r="IU24" s="403"/>
      <c r="IV24" s="403"/>
      <c r="IW24" s="403"/>
      <c r="IX24" s="403"/>
      <c r="IY24" s="403"/>
      <c r="IZ24" s="403"/>
      <c r="JA24" s="403"/>
      <c r="JB24" s="403"/>
      <c r="JC24" s="403"/>
      <c r="JD24" s="403"/>
      <c r="JE24" s="403"/>
      <c r="JF24" s="403"/>
      <c r="JG24" s="403"/>
      <c r="JH24" s="403"/>
      <c r="JI24" s="403"/>
      <c r="JJ24" s="403"/>
      <c r="JK24" s="403"/>
      <c r="JL24" s="403"/>
      <c r="JM24" s="403"/>
      <c r="JN24" s="403"/>
      <c r="JO24" s="403"/>
      <c r="JP24" s="403"/>
      <c r="JQ24" s="403"/>
      <c r="JR24" s="403"/>
      <c r="JS24" s="403"/>
      <c r="JT24" s="403"/>
    </row>
    <row r="25" spans="1:280" s="15" customFormat="1" ht="12.75" hidden="1" x14ac:dyDescent="0.2">
      <c r="A25" s="662" t="s">
        <v>14287</v>
      </c>
      <c r="B25" s="622"/>
      <c r="C25" s="5" t="str">
        <f t="shared" ca="1" si="12"/>
        <v>Delivery Modality 3</v>
      </c>
      <c r="D25" s="11" t="e">
        <f>'A2. INPUT Population &amp; Delivery'!H264</f>
        <v>#N/A</v>
      </c>
      <c r="J25" s="83" t="e">
        <f t="shared" ref="J25:O25" si="16">NOT(RBF_DM3)*$D25*J15</f>
        <v>#N/A</v>
      </c>
      <c r="K25" s="83" t="e">
        <f t="shared" si="16"/>
        <v>#N/A</v>
      </c>
      <c r="L25" s="83" t="e">
        <f t="shared" si="16"/>
        <v>#N/A</v>
      </c>
      <c r="M25" s="83" t="e">
        <f t="shared" si="16"/>
        <v>#N/A</v>
      </c>
      <c r="N25" s="83" t="e">
        <f t="shared" si="16"/>
        <v>#N/A</v>
      </c>
      <c r="O25" s="83" t="e">
        <f t="shared" si="16"/>
        <v>#N/A</v>
      </c>
      <c r="P25" s="83" t="e">
        <f t="shared" si="14"/>
        <v>#N/A</v>
      </c>
      <c r="Q25" s="83"/>
      <c r="R25" s="12" t="str">
        <f t="shared" ca="1" si="10"/>
        <v/>
      </c>
      <c r="T25" s="241"/>
      <c r="U25" s="622"/>
      <c r="V25" s="5"/>
      <c r="AF25" s="241"/>
      <c r="AG25" s="622"/>
      <c r="AR25" s="403"/>
      <c r="AS25" s="403"/>
      <c r="AT25" s="403"/>
      <c r="AU25" s="403" t="s">
        <v>1564</v>
      </c>
      <c r="AV25" s="403"/>
      <c r="AW25" s="403"/>
      <c r="AX25" s="403"/>
      <c r="AY25" s="403"/>
      <c r="AZ25" s="403"/>
      <c r="BA25" s="403"/>
      <c r="BB25" s="403"/>
      <c r="BC25" s="403"/>
      <c r="BD25" s="403"/>
      <c r="BE25" s="403"/>
      <c r="BF25" s="403"/>
      <c r="BG25" s="403"/>
      <c r="BH25" s="403"/>
      <c r="BI25" s="403"/>
      <c r="BJ25" s="403"/>
      <c r="BK25" s="403"/>
      <c r="BL25" s="403"/>
      <c r="BM25" s="403"/>
      <c r="BN25" s="403"/>
      <c r="BO25" s="403"/>
      <c r="BP25" s="403"/>
      <c r="BQ25" s="403"/>
      <c r="BR25" s="403"/>
      <c r="BS25" s="403"/>
      <c r="BT25" s="403"/>
      <c r="BU25" s="403"/>
      <c r="BV25" s="403"/>
      <c r="BW25" s="403"/>
      <c r="BX25" s="403"/>
      <c r="BY25" s="403"/>
      <c r="BZ25" s="403"/>
      <c r="CA25" s="403"/>
      <c r="CB25" s="403"/>
      <c r="CC25" s="403" t="s">
        <v>7418</v>
      </c>
      <c r="CD25" s="403"/>
      <c r="CE25" s="403"/>
      <c r="CF25" s="403"/>
      <c r="CG25" s="403"/>
      <c r="CH25" s="403"/>
      <c r="CI25" s="403"/>
      <c r="CJ25" s="403"/>
      <c r="CK25" s="403"/>
      <c r="CL25" s="403"/>
      <c r="CM25" s="403"/>
      <c r="CN25" s="403"/>
      <c r="CO25" s="403"/>
      <c r="CP25" s="403"/>
      <c r="CQ25" s="403"/>
      <c r="CR25" s="403"/>
      <c r="CS25" s="403"/>
      <c r="CT25" s="403"/>
      <c r="CU25" s="403"/>
      <c r="CV25" s="403"/>
      <c r="CW25" s="403"/>
      <c r="CX25" s="403"/>
      <c r="CY25" s="403"/>
      <c r="CZ25" s="403"/>
      <c r="DA25" s="403"/>
      <c r="DB25" s="403"/>
      <c r="DC25" s="403"/>
      <c r="DD25" s="403"/>
      <c r="DE25" s="403"/>
      <c r="DF25" s="403"/>
      <c r="DG25" s="403"/>
      <c r="DH25" s="403"/>
      <c r="DI25" s="403"/>
      <c r="DJ25" s="403"/>
      <c r="DK25" s="403" t="s">
        <v>9676</v>
      </c>
      <c r="DL25" s="403"/>
      <c r="DM25" s="403"/>
      <c r="DN25" s="403"/>
      <c r="DO25" s="403"/>
      <c r="DP25" s="403"/>
      <c r="DQ25" s="403"/>
      <c r="DR25" s="403"/>
      <c r="DS25" s="403"/>
      <c r="DT25" s="403"/>
      <c r="DU25" s="403"/>
      <c r="DV25" s="403"/>
      <c r="DW25" s="403"/>
      <c r="DX25" s="403"/>
      <c r="DY25" s="403"/>
      <c r="DZ25" s="403"/>
      <c r="EA25" s="403"/>
      <c r="EB25" s="403"/>
      <c r="EC25" s="403"/>
      <c r="ED25" s="403"/>
      <c r="EE25" s="403"/>
      <c r="EF25" s="403"/>
      <c r="EG25" s="403"/>
      <c r="EH25" s="403"/>
      <c r="EI25" s="403"/>
      <c r="EJ25" s="403"/>
      <c r="EK25" s="403"/>
      <c r="EL25" s="403"/>
      <c r="EM25" s="403"/>
      <c r="EN25" s="403"/>
      <c r="EO25" s="403"/>
      <c r="EP25" s="403"/>
      <c r="EQ25" s="403"/>
      <c r="ER25" s="403"/>
      <c r="ES25" s="403" t="s">
        <v>7420</v>
      </c>
      <c r="ET25" s="403"/>
      <c r="EU25" s="403"/>
      <c r="EV25" s="403"/>
      <c r="EW25" s="403"/>
      <c r="EX25" s="403"/>
      <c r="EY25" s="403"/>
      <c r="EZ25" s="403"/>
      <c r="FA25" s="403"/>
      <c r="FB25" s="403"/>
      <c r="FC25" s="403"/>
      <c r="FD25" s="403"/>
      <c r="FE25" s="403"/>
      <c r="FF25" s="403"/>
      <c r="FG25" s="403"/>
      <c r="FH25" s="403"/>
      <c r="FI25" s="403"/>
      <c r="FJ25" s="403"/>
      <c r="FK25" s="403"/>
      <c r="FL25" s="403"/>
      <c r="FM25" s="403"/>
      <c r="FN25" s="403"/>
      <c r="FO25" s="403"/>
      <c r="FP25" s="403"/>
      <c r="FQ25" s="403"/>
      <c r="FR25" s="403"/>
      <c r="FS25" s="403"/>
      <c r="FT25" s="403"/>
      <c r="FU25" s="403"/>
      <c r="FV25" s="403"/>
      <c r="FW25" s="403"/>
      <c r="FX25" s="403"/>
      <c r="FY25" s="403"/>
      <c r="FZ25" s="403"/>
      <c r="GA25" s="403" t="s">
        <v>7489</v>
      </c>
      <c r="GB25" s="403"/>
      <c r="GC25" s="403"/>
      <c r="GD25" s="403"/>
      <c r="GE25" s="403"/>
      <c r="GF25" s="403"/>
      <c r="GG25" s="403"/>
      <c r="GH25" s="403"/>
      <c r="GI25" s="403"/>
      <c r="GJ25" s="403"/>
      <c r="GK25" s="403"/>
      <c r="GL25" s="403"/>
      <c r="GM25" s="403"/>
      <c r="GN25" s="403"/>
      <c r="GO25" s="403"/>
      <c r="GP25" s="403"/>
      <c r="GQ25" s="403"/>
      <c r="GR25" s="403"/>
      <c r="GS25" s="403"/>
      <c r="GT25" s="403"/>
      <c r="GU25" s="403"/>
      <c r="GV25" s="403"/>
      <c r="GW25" s="403"/>
      <c r="GX25" s="403"/>
      <c r="GY25" s="403"/>
      <c r="GZ25" s="403"/>
      <c r="HA25" s="403"/>
      <c r="HB25" s="403"/>
      <c r="HC25" s="403"/>
      <c r="HD25" s="403"/>
      <c r="HE25" s="403"/>
      <c r="HF25" s="403"/>
      <c r="HG25" s="403"/>
      <c r="HH25" s="403"/>
      <c r="HI25" s="403" t="s">
        <v>7422</v>
      </c>
      <c r="HJ25" s="403"/>
      <c r="HK25" s="403"/>
      <c r="HL25" s="403"/>
      <c r="HM25" s="403"/>
      <c r="HN25" s="403"/>
      <c r="HO25" s="403"/>
      <c r="HP25" s="403"/>
      <c r="HQ25" s="403"/>
      <c r="HR25" s="403"/>
      <c r="HS25" s="403"/>
      <c r="HT25" s="403"/>
      <c r="HU25" s="403"/>
      <c r="HV25" s="403"/>
      <c r="HW25" s="403"/>
      <c r="HX25" s="403"/>
      <c r="HY25" s="403"/>
      <c r="HZ25" s="403"/>
      <c r="IA25" s="403"/>
      <c r="IB25" s="403"/>
      <c r="IC25" s="403"/>
      <c r="ID25" s="403"/>
      <c r="IE25" s="403"/>
      <c r="IF25" s="403"/>
      <c r="IG25" s="403"/>
      <c r="IH25" s="403"/>
      <c r="II25" s="403"/>
      <c r="IJ25" s="403"/>
      <c r="IK25" s="403"/>
      <c r="IL25" s="403"/>
      <c r="IM25" s="403"/>
      <c r="IN25" s="403"/>
      <c r="IO25" s="403"/>
      <c r="IP25" s="403"/>
      <c r="IQ25" s="403" t="s">
        <v>7423</v>
      </c>
      <c r="IR25" s="403"/>
      <c r="IS25" s="403"/>
      <c r="IT25" s="403"/>
      <c r="IU25" s="403"/>
      <c r="IV25" s="403"/>
      <c r="IW25" s="403"/>
      <c r="IX25" s="403"/>
      <c r="IY25" s="403"/>
      <c r="IZ25" s="403"/>
      <c r="JA25" s="403"/>
      <c r="JB25" s="403"/>
      <c r="JC25" s="403"/>
      <c r="JD25" s="403"/>
      <c r="JE25" s="403"/>
      <c r="JF25" s="403"/>
      <c r="JG25" s="403"/>
      <c r="JH25" s="403"/>
      <c r="JI25" s="403"/>
      <c r="JJ25" s="403"/>
      <c r="JK25" s="403"/>
      <c r="JL25" s="403"/>
      <c r="JM25" s="403"/>
      <c r="JN25" s="403"/>
      <c r="JO25" s="403"/>
      <c r="JP25" s="403"/>
      <c r="JQ25" s="403"/>
      <c r="JR25" s="403"/>
      <c r="JS25" s="403"/>
      <c r="JT25" s="403"/>
    </row>
    <row r="26" spans="1:280" s="15" customFormat="1" ht="12.75" hidden="1" x14ac:dyDescent="0.2">
      <c r="A26" s="662" t="s">
        <v>14287</v>
      </c>
      <c r="B26" s="622"/>
      <c r="C26" s="5" t="str">
        <f t="shared" ca="1" si="12"/>
        <v>Delivery Modality 4</v>
      </c>
      <c r="D26" s="11" t="e">
        <f>'A2. INPUT Population &amp; Delivery'!H265</f>
        <v>#N/A</v>
      </c>
      <c r="J26" s="83" t="e">
        <f t="shared" ref="J26:O26" si="17">NOT(RBF_DM4)*$D26*J16</f>
        <v>#N/A</v>
      </c>
      <c r="K26" s="83" t="e">
        <f t="shared" si="17"/>
        <v>#N/A</v>
      </c>
      <c r="L26" s="83" t="e">
        <f t="shared" si="17"/>
        <v>#N/A</v>
      </c>
      <c r="M26" s="83" t="e">
        <f t="shared" si="17"/>
        <v>#N/A</v>
      </c>
      <c r="N26" s="83" t="e">
        <f t="shared" si="17"/>
        <v>#N/A</v>
      </c>
      <c r="O26" s="83" t="e">
        <f t="shared" si="17"/>
        <v>#N/A</v>
      </c>
      <c r="P26" s="83" t="e">
        <f t="shared" si="14"/>
        <v>#N/A</v>
      </c>
      <c r="Q26" s="83"/>
      <c r="R26" s="12" t="str">
        <f t="shared" ca="1" si="10"/>
        <v/>
      </c>
      <c r="T26" s="241"/>
      <c r="U26" s="622"/>
      <c r="V26" s="5"/>
      <c r="AF26" s="241"/>
      <c r="AG26" s="622"/>
      <c r="AR26" s="403"/>
      <c r="AS26" s="403"/>
      <c r="AT26" s="403"/>
      <c r="AU26" s="403" t="s">
        <v>1565</v>
      </c>
      <c r="AV26" s="403"/>
      <c r="AW26" s="403"/>
      <c r="AX26" s="403"/>
      <c r="AY26" s="403"/>
      <c r="AZ26" s="403"/>
      <c r="BA26" s="403"/>
      <c r="BB26" s="403"/>
      <c r="BC26" s="403"/>
      <c r="BD26" s="403"/>
      <c r="BE26" s="403"/>
      <c r="BF26" s="403"/>
      <c r="BG26" s="403"/>
      <c r="BH26" s="403"/>
      <c r="BI26" s="403"/>
      <c r="BJ26" s="403"/>
      <c r="BK26" s="403"/>
      <c r="BL26" s="403"/>
      <c r="BM26" s="403"/>
      <c r="BN26" s="403"/>
      <c r="BO26" s="403"/>
      <c r="BP26" s="403"/>
      <c r="BQ26" s="403"/>
      <c r="BR26" s="403"/>
      <c r="BS26" s="403"/>
      <c r="BT26" s="403"/>
      <c r="BU26" s="403"/>
      <c r="BV26" s="403"/>
      <c r="BW26" s="403"/>
      <c r="BX26" s="403"/>
      <c r="BY26" s="403"/>
      <c r="BZ26" s="403"/>
      <c r="CA26" s="403"/>
      <c r="CB26" s="403"/>
      <c r="CC26" s="403" t="s">
        <v>7424</v>
      </c>
      <c r="CD26" s="403"/>
      <c r="CE26" s="403"/>
      <c r="CF26" s="403"/>
      <c r="CG26" s="403"/>
      <c r="CH26" s="403"/>
      <c r="CI26" s="403"/>
      <c r="CJ26" s="403"/>
      <c r="CK26" s="403"/>
      <c r="CL26" s="403"/>
      <c r="CM26" s="403"/>
      <c r="CN26" s="403"/>
      <c r="CO26" s="403"/>
      <c r="CP26" s="403"/>
      <c r="CQ26" s="403"/>
      <c r="CR26" s="403"/>
      <c r="CS26" s="403"/>
      <c r="CT26" s="403"/>
      <c r="CU26" s="403"/>
      <c r="CV26" s="403"/>
      <c r="CW26" s="403"/>
      <c r="CX26" s="403"/>
      <c r="CY26" s="403"/>
      <c r="CZ26" s="403"/>
      <c r="DA26" s="403"/>
      <c r="DB26" s="403"/>
      <c r="DC26" s="403"/>
      <c r="DD26" s="403"/>
      <c r="DE26" s="403"/>
      <c r="DF26" s="403"/>
      <c r="DG26" s="403"/>
      <c r="DH26" s="403"/>
      <c r="DI26" s="403"/>
      <c r="DJ26" s="403"/>
      <c r="DK26" s="403" t="s">
        <v>9726</v>
      </c>
      <c r="DL26" s="403"/>
      <c r="DM26" s="403"/>
      <c r="DN26" s="403"/>
      <c r="DO26" s="403"/>
      <c r="DP26" s="403"/>
      <c r="DQ26" s="403"/>
      <c r="DR26" s="403"/>
      <c r="DS26" s="403"/>
      <c r="DT26" s="403"/>
      <c r="DU26" s="403"/>
      <c r="DV26" s="403"/>
      <c r="DW26" s="403"/>
      <c r="DX26" s="403"/>
      <c r="DY26" s="403"/>
      <c r="DZ26" s="403"/>
      <c r="EA26" s="403"/>
      <c r="EB26" s="403"/>
      <c r="EC26" s="403"/>
      <c r="ED26" s="403"/>
      <c r="EE26" s="403"/>
      <c r="EF26" s="403"/>
      <c r="EG26" s="403"/>
      <c r="EH26" s="403"/>
      <c r="EI26" s="403"/>
      <c r="EJ26" s="403"/>
      <c r="EK26" s="403"/>
      <c r="EL26" s="403"/>
      <c r="EM26" s="403"/>
      <c r="EN26" s="403"/>
      <c r="EO26" s="403"/>
      <c r="EP26" s="403"/>
      <c r="EQ26" s="403"/>
      <c r="ER26" s="403"/>
      <c r="ES26" s="403" t="s">
        <v>7426</v>
      </c>
      <c r="ET26" s="403"/>
      <c r="EU26" s="403"/>
      <c r="EV26" s="403"/>
      <c r="EW26" s="403"/>
      <c r="EX26" s="403"/>
      <c r="EY26" s="403"/>
      <c r="EZ26" s="403"/>
      <c r="FA26" s="403"/>
      <c r="FB26" s="403"/>
      <c r="FC26" s="403"/>
      <c r="FD26" s="403"/>
      <c r="FE26" s="403"/>
      <c r="FF26" s="403"/>
      <c r="FG26" s="403"/>
      <c r="FH26" s="403"/>
      <c r="FI26" s="403"/>
      <c r="FJ26" s="403"/>
      <c r="FK26" s="403"/>
      <c r="FL26" s="403"/>
      <c r="FM26" s="403"/>
      <c r="FN26" s="403"/>
      <c r="FO26" s="403"/>
      <c r="FP26" s="403"/>
      <c r="FQ26" s="403"/>
      <c r="FR26" s="403"/>
      <c r="FS26" s="403"/>
      <c r="FT26" s="403"/>
      <c r="FU26" s="403"/>
      <c r="FV26" s="403"/>
      <c r="FW26" s="403"/>
      <c r="FX26" s="403"/>
      <c r="FY26" s="403"/>
      <c r="FZ26" s="403"/>
      <c r="GA26" s="403" t="s">
        <v>7491</v>
      </c>
      <c r="GB26" s="403"/>
      <c r="GC26" s="403"/>
      <c r="GD26" s="403"/>
      <c r="GE26" s="403"/>
      <c r="GF26" s="403"/>
      <c r="GG26" s="403"/>
      <c r="GH26" s="403"/>
      <c r="GI26" s="403"/>
      <c r="GJ26" s="403"/>
      <c r="GK26" s="403"/>
      <c r="GL26" s="403"/>
      <c r="GM26" s="403"/>
      <c r="GN26" s="403"/>
      <c r="GO26" s="403"/>
      <c r="GP26" s="403"/>
      <c r="GQ26" s="403"/>
      <c r="GR26" s="403"/>
      <c r="GS26" s="403"/>
      <c r="GT26" s="403"/>
      <c r="GU26" s="403"/>
      <c r="GV26" s="403"/>
      <c r="GW26" s="403"/>
      <c r="GX26" s="403"/>
      <c r="GY26" s="403"/>
      <c r="GZ26" s="403"/>
      <c r="HA26" s="403"/>
      <c r="HB26" s="403"/>
      <c r="HC26" s="403"/>
      <c r="HD26" s="403"/>
      <c r="HE26" s="403"/>
      <c r="HF26" s="403"/>
      <c r="HG26" s="403"/>
      <c r="HH26" s="403"/>
      <c r="HI26" s="403" t="s">
        <v>7428</v>
      </c>
      <c r="HJ26" s="403"/>
      <c r="HK26" s="403"/>
      <c r="HL26" s="403"/>
      <c r="HM26" s="403"/>
      <c r="HN26" s="403"/>
      <c r="HO26" s="403"/>
      <c r="HP26" s="403"/>
      <c r="HQ26" s="403"/>
      <c r="HR26" s="403"/>
      <c r="HS26" s="403"/>
      <c r="HT26" s="403"/>
      <c r="HU26" s="403"/>
      <c r="HV26" s="403"/>
      <c r="HW26" s="403"/>
      <c r="HX26" s="403"/>
      <c r="HY26" s="403"/>
      <c r="HZ26" s="403"/>
      <c r="IA26" s="403"/>
      <c r="IB26" s="403"/>
      <c r="IC26" s="403"/>
      <c r="ID26" s="403"/>
      <c r="IE26" s="403"/>
      <c r="IF26" s="403"/>
      <c r="IG26" s="403"/>
      <c r="IH26" s="403"/>
      <c r="II26" s="403"/>
      <c r="IJ26" s="403"/>
      <c r="IK26" s="403"/>
      <c r="IL26" s="403"/>
      <c r="IM26" s="403"/>
      <c r="IN26" s="403"/>
      <c r="IO26" s="403"/>
      <c r="IP26" s="403"/>
      <c r="IQ26" s="403" t="s">
        <v>7429</v>
      </c>
      <c r="IR26" s="403"/>
      <c r="IS26" s="403"/>
      <c r="IT26" s="403"/>
      <c r="IU26" s="403"/>
      <c r="IV26" s="403"/>
      <c r="IW26" s="403"/>
      <c r="IX26" s="403"/>
      <c r="IY26" s="403"/>
      <c r="IZ26" s="403"/>
      <c r="JA26" s="403"/>
      <c r="JB26" s="403"/>
      <c r="JC26" s="403"/>
      <c r="JD26" s="403"/>
      <c r="JE26" s="403"/>
      <c r="JF26" s="403"/>
      <c r="JG26" s="403"/>
      <c r="JH26" s="403"/>
      <c r="JI26" s="403"/>
      <c r="JJ26" s="403"/>
      <c r="JK26" s="403"/>
      <c r="JL26" s="403"/>
      <c r="JM26" s="403"/>
      <c r="JN26" s="403"/>
      <c r="JO26" s="403"/>
      <c r="JP26" s="403"/>
      <c r="JQ26" s="403"/>
      <c r="JR26" s="403"/>
      <c r="JS26" s="403"/>
      <c r="JT26" s="403"/>
    </row>
    <row r="27" spans="1:280" s="15" customFormat="1" ht="13.5" hidden="1" thickBot="1" x14ac:dyDescent="0.25">
      <c r="A27" s="662" t="s">
        <v>14287</v>
      </c>
      <c r="B27" s="622"/>
      <c r="C27" s="93" t="str">
        <f t="shared" ca="1" si="12"/>
        <v xml:space="preserve"> (RBF excl. vaccines and supplies)</v>
      </c>
      <c r="D27" s="20"/>
      <c r="E27" s="20"/>
      <c r="F27" s="20"/>
      <c r="G27" s="20"/>
      <c r="H27" s="20"/>
      <c r="I27" s="20"/>
      <c r="J27" s="84" t="e">
        <f>SUM(J21:J26)</f>
        <v>#N/A</v>
      </c>
      <c r="K27" s="84" t="e">
        <f t="shared" ref="K27:P27" si="18">SUM(K21:K26)</f>
        <v>#N/A</v>
      </c>
      <c r="L27" s="84" t="e">
        <f t="shared" si="18"/>
        <v>#N/A</v>
      </c>
      <c r="M27" s="84" t="e">
        <f t="shared" si="18"/>
        <v>#N/A</v>
      </c>
      <c r="N27" s="84" t="e">
        <f t="shared" si="18"/>
        <v>#N/A</v>
      </c>
      <c r="O27" s="84" t="e">
        <f t="shared" si="18"/>
        <v>#N/A</v>
      </c>
      <c r="P27" s="84" t="e">
        <f t="shared" si="18"/>
        <v>#N/A</v>
      </c>
      <c r="Q27" s="84"/>
      <c r="R27" s="12" t="str">
        <f t="shared" ca="1" si="10"/>
        <v/>
      </c>
      <c r="T27" s="241"/>
      <c r="U27" s="622"/>
      <c r="V27" s="5"/>
      <c r="AF27" s="241"/>
      <c r="AG27" s="622"/>
      <c r="AR27" s="403"/>
      <c r="AS27" s="403"/>
      <c r="AT27" s="403"/>
      <c r="AU27" s="403" t="s">
        <v>1666</v>
      </c>
      <c r="AV27" s="403"/>
      <c r="AW27" s="403"/>
      <c r="AX27" s="403"/>
      <c r="AY27" s="403"/>
      <c r="AZ27" s="403"/>
      <c r="BA27" s="403"/>
      <c r="BB27" s="403"/>
      <c r="BC27" s="403"/>
      <c r="BD27" s="403"/>
      <c r="BE27" s="403"/>
      <c r="BF27" s="403"/>
      <c r="BG27" s="403"/>
      <c r="BH27" s="403"/>
      <c r="BI27" s="403"/>
      <c r="BJ27" s="403"/>
      <c r="BK27" s="403"/>
      <c r="BL27" s="403"/>
      <c r="BM27" s="403"/>
      <c r="BN27" s="403"/>
      <c r="BO27" s="403"/>
      <c r="BP27" s="403"/>
      <c r="BQ27" s="403"/>
      <c r="BR27" s="403"/>
      <c r="BS27" s="403"/>
      <c r="BT27" s="403"/>
      <c r="BU27" s="403"/>
      <c r="BV27" s="403"/>
      <c r="BW27" s="403"/>
      <c r="BX27" s="403"/>
      <c r="BY27" s="403"/>
      <c r="BZ27" s="403"/>
      <c r="CA27" s="403"/>
      <c r="CB27" s="403"/>
      <c r="CC27" s="403" t="s">
        <v>11554</v>
      </c>
      <c r="CD27" s="403"/>
      <c r="CE27" s="403"/>
      <c r="CF27" s="403"/>
      <c r="CG27" s="403"/>
      <c r="CH27" s="403"/>
      <c r="CI27" s="403"/>
      <c r="CJ27" s="403"/>
      <c r="CK27" s="403"/>
      <c r="CL27" s="403"/>
      <c r="CM27" s="403"/>
      <c r="CN27" s="403"/>
      <c r="CO27" s="403"/>
      <c r="CP27" s="403"/>
      <c r="CQ27" s="403"/>
      <c r="CR27" s="403"/>
      <c r="CS27" s="403"/>
      <c r="CT27" s="403"/>
      <c r="CU27" s="403"/>
      <c r="CV27" s="403"/>
      <c r="CW27" s="403"/>
      <c r="CX27" s="403"/>
      <c r="CY27" s="403"/>
      <c r="CZ27" s="403"/>
      <c r="DA27" s="403"/>
      <c r="DB27" s="403"/>
      <c r="DC27" s="403"/>
      <c r="DD27" s="403"/>
      <c r="DE27" s="403"/>
      <c r="DF27" s="403"/>
      <c r="DG27" s="403"/>
      <c r="DH27" s="403"/>
      <c r="DI27" s="403"/>
      <c r="DJ27" s="403"/>
      <c r="DK27" s="403" t="s">
        <v>11555</v>
      </c>
      <c r="DL27" s="403"/>
      <c r="DM27" s="403"/>
      <c r="DN27" s="403"/>
      <c r="DO27" s="403"/>
      <c r="DP27" s="403"/>
      <c r="DQ27" s="403"/>
      <c r="DR27" s="403"/>
      <c r="DS27" s="403"/>
      <c r="DT27" s="403"/>
      <c r="DU27" s="403"/>
      <c r="DV27" s="403"/>
      <c r="DW27" s="403"/>
      <c r="DX27" s="403"/>
      <c r="DY27" s="403"/>
      <c r="DZ27" s="403"/>
      <c r="EA27" s="403"/>
      <c r="EB27" s="403"/>
      <c r="EC27" s="403"/>
      <c r="ED27" s="403"/>
      <c r="EE27" s="403"/>
      <c r="EF27" s="403"/>
      <c r="EG27" s="403"/>
      <c r="EH27" s="403"/>
      <c r="EI27" s="403"/>
      <c r="EJ27" s="403"/>
      <c r="EK27" s="403"/>
      <c r="EL27" s="403"/>
      <c r="EM27" s="403"/>
      <c r="EN27" s="403"/>
      <c r="EO27" s="403"/>
      <c r="EP27" s="403"/>
      <c r="EQ27" s="403"/>
      <c r="ER27" s="403"/>
      <c r="ES27" s="403" t="s">
        <v>11556</v>
      </c>
      <c r="ET27" s="403"/>
      <c r="EU27" s="403"/>
      <c r="EV27" s="403"/>
      <c r="EW27" s="403"/>
      <c r="EX27" s="403"/>
      <c r="EY27" s="403"/>
      <c r="EZ27" s="403"/>
      <c r="FA27" s="403"/>
      <c r="FB27" s="403"/>
      <c r="FC27" s="403"/>
      <c r="FD27" s="403"/>
      <c r="FE27" s="403"/>
      <c r="FF27" s="403"/>
      <c r="FG27" s="403"/>
      <c r="FH27" s="403"/>
      <c r="FI27" s="403"/>
      <c r="FJ27" s="403"/>
      <c r="FK27" s="403"/>
      <c r="FL27" s="403"/>
      <c r="FM27" s="403"/>
      <c r="FN27" s="403"/>
      <c r="FO27" s="403"/>
      <c r="FP27" s="403"/>
      <c r="FQ27" s="403"/>
      <c r="FR27" s="403"/>
      <c r="FS27" s="403"/>
      <c r="FT27" s="403"/>
      <c r="FU27" s="403"/>
      <c r="FV27" s="403"/>
      <c r="FW27" s="403"/>
      <c r="FX27" s="403"/>
      <c r="FY27" s="403"/>
      <c r="FZ27" s="403"/>
      <c r="GA27" s="403" t="s">
        <v>11557</v>
      </c>
      <c r="GB27" s="403"/>
      <c r="GC27" s="403"/>
      <c r="GD27" s="403"/>
      <c r="GE27" s="403"/>
      <c r="GF27" s="403"/>
      <c r="GG27" s="403"/>
      <c r="GH27" s="403"/>
      <c r="GI27" s="403"/>
      <c r="GJ27" s="403"/>
      <c r="GK27" s="403"/>
      <c r="GL27" s="403"/>
      <c r="GM27" s="403"/>
      <c r="GN27" s="403"/>
      <c r="GO27" s="403"/>
      <c r="GP27" s="403"/>
      <c r="GQ27" s="403"/>
      <c r="GR27" s="403"/>
      <c r="GS27" s="403"/>
      <c r="GT27" s="403"/>
      <c r="GU27" s="403"/>
      <c r="GV27" s="403"/>
      <c r="GW27" s="403"/>
      <c r="GX27" s="403"/>
      <c r="GY27" s="403"/>
      <c r="GZ27" s="403"/>
      <c r="HA27" s="403"/>
      <c r="HB27" s="403"/>
      <c r="HC27" s="403"/>
      <c r="HD27" s="403"/>
      <c r="HE27" s="403"/>
      <c r="HF27" s="403"/>
      <c r="HG27" s="403"/>
      <c r="HH27" s="403"/>
      <c r="HI27" s="403" t="s">
        <v>11558</v>
      </c>
      <c r="HJ27" s="403"/>
      <c r="HK27" s="403"/>
      <c r="HL27" s="403"/>
      <c r="HM27" s="403"/>
      <c r="HN27" s="403"/>
      <c r="HO27" s="403"/>
      <c r="HP27" s="403"/>
      <c r="HQ27" s="403"/>
      <c r="HR27" s="403"/>
      <c r="HS27" s="403"/>
      <c r="HT27" s="403"/>
      <c r="HU27" s="403"/>
      <c r="HV27" s="403"/>
      <c r="HW27" s="403"/>
      <c r="HX27" s="403"/>
      <c r="HY27" s="403"/>
      <c r="HZ27" s="403"/>
      <c r="IA27" s="403"/>
      <c r="IB27" s="403"/>
      <c r="IC27" s="403"/>
      <c r="ID27" s="403"/>
      <c r="IE27" s="403"/>
      <c r="IF27" s="403"/>
      <c r="IG27" s="403"/>
      <c r="IH27" s="403"/>
      <c r="II27" s="403"/>
      <c r="IJ27" s="403"/>
      <c r="IK27" s="403"/>
      <c r="IL27" s="403"/>
      <c r="IM27" s="403"/>
      <c r="IN27" s="403"/>
      <c r="IO27" s="403"/>
      <c r="IP27" s="403"/>
      <c r="IQ27" s="403" t="s">
        <v>11559</v>
      </c>
      <c r="IR27" s="403"/>
      <c r="IS27" s="403"/>
      <c r="IT27" s="403"/>
      <c r="IU27" s="403"/>
      <c r="IV27" s="403"/>
      <c r="IW27" s="403"/>
      <c r="IX27" s="403"/>
      <c r="IY27" s="403"/>
      <c r="IZ27" s="403"/>
      <c r="JA27" s="403"/>
      <c r="JB27" s="403"/>
      <c r="JC27" s="403"/>
      <c r="JD27" s="403"/>
      <c r="JE27" s="403"/>
      <c r="JF27" s="403"/>
      <c r="JG27" s="403"/>
      <c r="JH27" s="403"/>
      <c r="JI27" s="403"/>
      <c r="JJ27" s="403"/>
      <c r="JK27" s="403"/>
      <c r="JL27" s="403"/>
      <c r="JM27" s="403"/>
      <c r="JN27" s="403"/>
      <c r="JO27" s="403"/>
      <c r="JP27" s="403"/>
      <c r="JQ27" s="403"/>
      <c r="JR27" s="403"/>
      <c r="JS27" s="403"/>
      <c r="JT27" s="403"/>
    </row>
    <row r="28" spans="1:280" s="15" customFormat="1" ht="13.5" hidden="1" thickTop="1" x14ac:dyDescent="0.2">
      <c r="A28" s="662" t="s">
        <v>14287</v>
      </c>
      <c r="B28" s="622"/>
      <c r="C28" s="5"/>
      <c r="J28" s="16"/>
      <c r="K28" s="16"/>
      <c r="L28" s="16"/>
      <c r="M28" s="16"/>
      <c r="N28" s="16"/>
      <c r="O28" s="16"/>
      <c r="P28" s="16"/>
      <c r="Q28" s="16"/>
      <c r="R28" s="16"/>
      <c r="T28" s="299"/>
      <c r="U28" s="622"/>
      <c r="AF28" s="241"/>
      <c r="AG28" s="622"/>
      <c r="AR28" s="403"/>
      <c r="AS28" s="403"/>
      <c r="AT28" s="403"/>
      <c r="AU28" s="403"/>
      <c r="AV28" s="403"/>
      <c r="AW28" s="403"/>
      <c r="AX28" s="403"/>
      <c r="AY28" s="403"/>
      <c r="AZ28" s="403"/>
      <c r="BA28" s="403"/>
      <c r="BB28" s="403"/>
      <c r="BC28" s="403"/>
      <c r="BD28" s="403"/>
      <c r="BE28" s="403"/>
      <c r="BF28" s="403"/>
      <c r="BG28" s="403"/>
      <c r="BH28" s="403"/>
      <c r="BI28" s="403"/>
      <c r="BJ28" s="403"/>
      <c r="BK28" s="403"/>
      <c r="BL28" s="403"/>
      <c r="BM28" s="403"/>
      <c r="BN28" s="403"/>
      <c r="BO28" s="403"/>
      <c r="BP28" s="403"/>
      <c r="BQ28" s="403"/>
      <c r="BR28" s="403"/>
      <c r="BS28" s="403"/>
      <c r="BT28" s="403"/>
      <c r="BU28" s="403"/>
      <c r="BV28" s="403"/>
      <c r="BW28" s="403"/>
      <c r="BX28" s="403"/>
      <c r="BY28" s="403"/>
      <c r="BZ28" s="403"/>
      <c r="CA28" s="403"/>
      <c r="CB28" s="403"/>
      <c r="CC28" s="403"/>
      <c r="CD28" s="403"/>
      <c r="CE28" s="403"/>
      <c r="CF28" s="403"/>
      <c r="CG28" s="403"/>
      <c r="CH28" s="403"/>
      <c r="CI28" s="403"/>
      <c r="CJ28" s="403"/>
      <c r="CK28" s="403"/>
      <c r="CL28" s="403"/>
      <c r="CM28" s="403"/>
      <c r="CN28" s="403"/>
      <c r="CO28" s="403"/>
      <c r="CP28" s="403"/>
      <c r="CQ28" s="403"/>
      <c r="CR28" s="403"/>
      <c r="CS28" s="403"/>
      <c r="CT28" s="403"/>
      <c r="CU28" s="403"/>
      <c r="CV28" s="403"/>
      <c r="CW28" s="403"/>
      <c r="CX28" s="403"/>
      <c r="CY28" s="403"/>
      <c r="CZ28" s="403"/>
      <c r="DA28" s="403"/>
      <c r="DB28" s="403"/>
      <c r="DC28" s="403"/>
      <c r="DD28" s="403"/>
      <c r="DE28" s="403"/>
      <c r="DF28" s="403"/>
      <c r="DG28" s="403"/>
      <c r="DH28" s="403"/>
      <c r="DI28" s="403"/>
      <c r="DJ28" s="403"/>
      <c r="DK28" s="403"/>
      <c r="DL28" s="403"/>
      <c r="DM28" s="403"/>
      <c r="DN28" s="403"/>
      <c r="DO28" s="403"/>
      <c r="DP28" s="403"/>
      <c r="DQ28" s="403"/>
      <c r="DR28" s="403"/>
      <c r="DS28" s="403"/>
      <c r="DT28" s="403"/>
      <c r="DU28" s="403"/>
      <c r="DV28" s="403"/>
      <c r="DW28" s="403"/>
      <c r="DX28" s="403"/>
      <c r="DY28" s="403"/>
      <c r="DZ28" s="403"/>
      <c r="EA28" s="403"/>
      <c r="EB28" s="403"/>
      <c r="EC28" s="403"/>
      <c r="ED28" s="403"/>
      <c r="EE28" s="403"/>
      <c r="EF28" s="403"/>
      <c r="EG28" s="403"/>
      <c r="EH28" s="403"/>
      <c r="EI28" s="403"/>
      <c r="EJ28" s="403"/>
      <c r="EK28" s="403"/>
      <c r="EL28" s="403"/>
      <c r="EM28" s="403"/>
      <c r="EN28" s="403"/>
      <c r="EO28" s="403"/>
      <c r="EP28" s="403"/>
      <c r="EQ28" s="403"/>
      <c r="ER28" s="403"/>
      <c r="ES28" s="403"/>
      <c r="ET28" s="403"/>
      <c r="EU28" s="403"/>
      <c r="EV28" s="403"/>
      <c r="EW28" s="403"/>
      <c r="EX28" s="403"/>
      <c r="EY28" s="403"/>
      <c r="EZ28" s="403"/>
      <c r="FA28" s="403"/>
      <c r="FB28" s="403"/>
      <c r="FC28" s="403"/>
      <c r="FD28" s="403"/>
      <c r="FE28" s="403"/>
      <c r="FF28" s="403"/>
      <c r="FG28" s="403"/>
      <c r="FH28" s="403"/>
      <c r="FI28" s="403"/>
      <c r="FJ28" s="403"/>
      <c r="FK28" s="403"/>
      <c r="FL28" s="403"/>
      <c r="FM28" s="403"/>
      <c r="FN28" s="403"/>
      <c r="FO28" s="403"/>
      <c r="FP28" s="403"/>
      <c r="FQ28" s="403"/>
      <c r="FR28" s="403"/>
      <c r="FS28" s="403"/>
      <c r="FT28" s="403"/>
      <c r="FU28" s="403"/>
      <c r="FV28" s="403"/>
      <c r="FW28" s="403"/>
      <c r="FX28" s="403"/>
      <c r="FY28" s="403"/>
      <c r="FZ28" s="403"/>
      <c r="GA28" s="403"/>
      <c r="GB28" s="403"/>
      <c r="GC28" s="403"/>
      <c r="GD28" s="403"/>
      <c r="GE28" s="403"/>
      <c r="GF28" s="403"/>
      <c r="GG28" s="403"/>
      <c r="GH28" s="403"/>
      <c r="GI28" s="403"/>
      <c r="GJ28" s="403"/>
      <c r="GK28" s="403"/>
      <c r="GL28" s="403"/>
      <c r="GM28" s="403"/>
      <c r="GN28" s="403"/>
      <c r="GO28" s="403"/>
      <c r="GP28" s="403"/>
      <c r="GQ28" s="403"/>
      <c r="GR28" s="403"/>
      <c r="GS28" s="403"/>
      <c r="GT28" s="403"/>
      <c r="GU28" s="403"/>
      <c r="GV28" s="403"/>
      <c r="GW28" s="403"/>
      <c r="GX28" s="403"/>
      <c r="GY28" s="403"/>
      <c r="GZ28" s="403"/>
      <c r="HA28" s="403"/>
      <c r="HB28" s="403"/>
      <c r="HC28" s="403"/>
      <c r="HD28" s="403"/>
      <c r="HE28" s="403"/>
      <c r="HF28" s="403"/>
      <c r="HG28" s="403"/>
      <c r="HH28" s="403"/>
      <c r="HI28" s="403"/>
      <c r="HJ28" s="403"/>
      <c r="HK28" s="403"/>
      <c r="HL28" s="403"/>
      <c r="HM28" s="403"/>
      <c r="HN28" s="403"/>
      <c r="HO28" s="403"/>
      <c r="HP28" s="403"/>
      <c r="HQ28" s="403"/>
      <c r="HR28" s="403"/>
      <c r="HS28" s="403"/>
      <c r="HT28" s="403"/>
      <c r="HU28" s="403"/>
      <c r="HV28" s="403"/>
      <c r="HW28" s="403"/>
      <c r="HX28" s="403"/>
      <c r="HY28" s="403"/>
      <c r="HZ28" s="403"/>
      <c r="IA28" s="403"/>
      <c r="IB28" s="403"/>
      <c r="IC28" s="403"/>
      <c r="ID28" s="403"/>
      <c r="IE28" s="403"/>
      <c r="IF28" s="403"/>
      <c r="IG28" s="403"/>
      <c r="IH28" s="403"/>
      <c r="II28" s="403"/>
      <c r="IJ28" s="403"/>
      <c r="IK28" s="403"/>
      <c r="IL28" s="403"/>
      <c r="IM28" s="403"/>
      <c r="IN28" s="403"/>
      <c r="IO28" s="403"/>
      <c r="IP28" s="403"/>
      <c r="IQ28" s="403"/>
      <c r="IR28" s="403"/>
      <c r="IS28" s="403"/>
      <c r="IT28" s="403"/>
      <c r="IU28" s="403"/>
      <c r="IV28" s="403"/>
      <c r="IW28" s="403"/>
      <c r="IX28" s="403"/>
      <c r="IY28" s="403"/>
      <c r="IZ28" s="403"/>
      <c r="JA28" s="403"/>
      <c r="JB28" s="403"/>
      <c r="JC28" s="403"/>
      <c r="JD28" s="403"/>
      <c r="JE28" s="403"/>
      <c r="JF28" s="403"/>
      <c r="JG28" s="403"/>
      <c r="JH28" s="403"/>
      <c r="JI28" s="403"/>
      <c r="JJ28" s="403"/>
      <c r="JK28" s="403"/>
      <c r="JL28" s="403"/>
      <c r="JM28" s="403"/>
      <c r="JN28" s="403"/>
      <c r="JO28" s="403"/>
      <c r="JP28" s="403"/>
      <c r="JQ28" s="403"/>
      <c r="JR28" s="403"/>
      <c r="JS28" s="403"/>
      <c r="JT28" s="403"/>
    </row>
    <row r="29" spans="1:280" s="15" customFormat="1" ht="15.75" thickTop="1" x14ac:dyDescent="0.25">
      <c r="A29" s="8" t="str">
        <f ca="1">IF(OFFSET(AS29,0,Lang_Order*Lang__B5)="","",OFFSET(AS29,0,Lang_Order*Lang__B5))</f>
        <v>B5.2 Last mile service delivery (input-based financing), excluding vaccines and related supplies (Medium-Variant)</v>
      </c>
      <c r="B29" s="33"/>
      <c r="C29" s="8"/>
      <c r="D29" s="8"/>
      <c r="E29" s="8"/>
      <c r="F29" s="8"/>
      <c r="G29" s="8"/>
      <c r="H29" s="8"/>
      <c r="I29" s="8"/>
      <c r="J29" s="170" t="e">
        <f>J36</f>
        <v>#N/A</v>
      </c>
      <c r="K29" s="170" t="e">
        <f t="shared" ref="K29:P29" si="19">K36</f>
        <v>#N/A</v>
      </c>
      <c r="L29" s="170" t="e">
        <f t="shared" si="19"/>
        <v>#N/A</v>
      </c>
      <c r="M29" s="170" t="e">
        <f t="shared" si="19"/>
        <v>#N/A</v>
      </c>
      <c r="N29" s="170" t="e">
        <f t="shared" si="19"/>
        <v>#N/A</v>
      </c>
      <c r="O29" s="170" t="e">
        <f t="shared" si="19"/>
        <v>#N/A</v>
      </c>
      <c r="P29" s="170" t="e">
        <f t="shared" si="19"/>
        <v>#N/A</v>
      </c>
      <c r="Q29" s="106"/>
      <c r="R29" s="8" t="str">
        <f t="shared" ref="R29:R36" ca="1" si="20">IF(OFFSET(BJ29,0,Lang_Order*Lang__B5)="","",OFFSET(BJ29,0,Lang_Order*Lang__B5))</f>
        <v>Notes</v>
      </c>
      <c r="T29" s="261" t="str">
        <f ca="1">IF(OFFSET(BL29,0,Lang_Order*Lang__B5)="","",OFFSET(BL29,0,Lang_Order*Lang__B5))</f>
        <v>B5.2 (Upper-Variant)</v>
      </c>
      <c r="U29" s="634"/>
      <c r="V29" s="263"/>
      <c r="W29" s="170" t="e">
        <f t="shared" ref="W29:AC29" si="21">W36</f>
        <v>#N/A</v>
      </c>
      <c r="X29" s="170" t="e">
        <f t="shared" si="21"/>
        <v>#N/A</v>
      </c>
      <c r="Y29" s="170" t="e">
        <f t="shared" si="21"/>
        <v>#N/A</v>
      </c>
      <c r="Z29" s="170" t="e">
        <f t="shared" si="21"/>
        <v>#N/A</v>
      </c>
      <c r="AA29" s="170" t="e">
        <f t="shared" si="21"/>
        <v>#N/A</v>
      </c>
      <c r="AB29" s="170" t="e">
        <f t="shared" si="21"/>
        <v>#N/A</v>
      </c>
      <c r="AC29" s="170" t="e">
        <f t="shared" si="21"/>
        <v>#N/A</v>
      </c>
      <c r="AD29" s="262"/>
      <c r="AE29" s="65"/>
      <c r="AF29" s="261" t="str">
        <f ca="1">IF(OFFSET(BX29,0,Lang_Order*Lang__B5)="","",OFFSET(BX29,0,Lang_Order*Lang__B5))</f>
        <v>B5.2 (Lower-Variant)</v>
      </c>
      <c r="AG29" s="634"/>
      <c r="AH29" s="261"/>
      <c r="AI29" s="170" t="e">
        <f>AI36</f>
        <v>#N/A</v>
      </c>
      <c r="AJ29" s="170" t="e">
        <f t="shared" ref="AJ29:AO29" si="22">AJ36</f>
        <v>#N/A</v>
      </c>
      <c r="AK29" s="170" t="e">
        <f t="shared" si="22"/>
        <v>#N/A</v>
      </c>
      <c r="AL29" s="170" t="e">
        <f t="shared" si="22"/>
        <v>#N/A</v>
      </c>
      <c r="AM29" s="170" t="e">
        <f t="shared" si="22"/>
        <v>#N/A</v>
      </c>
      <c r="AN29" s="170" t="e">
        <f t="shared" si="22"/>
        <v>#N/A</v>
      </c>
      <c r="AO29" s="170" t="e">
        <f t="shared" si="22"/>
        <v>#N/A</v>
      </c>
      <c r="AP29" s="262"/>
      <c r="AR29" s="403"/>
      <c r="AS29" s="403" t="s">
        <v>14184</v>
      </c>
      <c r="AT29" s="403"/>
      <c r="AU29" s="403"/>
      <c r="AV29" s="403"/>
      <c r="AW29" s="403"/>
      <c r="AX29" s="403"/>
      <c r="AY29" s="403"/>
      <c r="AZ29" s="403"/>
      <c r="BA29" s="403"/>
      <c r="BB29" s="403"/>
      <c r="BC29" s="403"/>
      <c r="BD29" s="403"/>
      <c r="BE29" s="403"/>
      <c r="BF29" s="403"/>
      <c r="BG29" s="403"/>
      <c r="BH29" s="403"/>
      <c r="BI29" s="403"/>
      <c r="BJ29" s="403" t="s">
        <v>16</v>
      </c>
      <c r="BK29" s="403"/>
      <c r="BL29" s="403" t="s">
        <v>14684</v>
      </c>
      <c r="BM29" s="403"/>
      <c r="BN29" s="403"/>
      <c r="BO29" s="403"/>
      <c r="BP29" s="403"/>
      <c r="BQ29" s="403"/>
      <c r="BR29" s="403"/>
      <c r="BS29" s="403"/>
      <c r="BT29" s="403"/>
      <c r="BU29" s="403"/>
      <c r="BV29" s="403"/>
      <c r="BW29" s="403"/>
      <c r="BX29" s="403" t="s">
        <v>14691</v>
      </c>
      <c r="BY29" s="403"/>
      <c r="BZ29" s="403"/>
      <c r="CA29" s="403" t="s">
        <v>11560</v>
      </c>
      <c r="CB29" s="403"/>
      <c r="CC29" s="403"/>
      <c r="CD29" s="403"/>
      <c r="CE29" s="403"/>
      <c r="CF29" s="403"/>
      <c r="CG29" s="403"/>
      <c r="CH29" s="403"/>
      <c r="CI29" s="403"/>
      <c r="CJ29" s="403"/>
      <c r="CK29" s="403"/>
      <c r="CL29" s="403"/>
      <c r="CM29" s="403"/>
      <c r="CN29" s="403"/>
      <c r="CO29" s="403"/>
      <c r="CP29" s="403"/>
      <c r="CQ29" s="403"/>
      <c r="CR29" s="403" t="s">
        <v>16</v>
      </c>
      <c r="CS29" s="403"/>
      <c r="CT29" s="403" t="s">
        <v>14685</v>
      </c>
      <c r="CU29" s="403"/>
      <c r="CV29" s="403"/>
      <c r="CW29" s="403"/>
      <c r="CX29" s="403"/>
      <c r="CY29" s="403"/>
      <c r="CZ29" s="403"/>
      <c r="DA29" s="403"/>
      <c r="DB29" s="403"/>
      <c r="DC29" s="403"/>
      <c r="DD29" s="403"/>
      <c r="DE29" s="403"/>
      <c r="DF29" s="403" t="s">
        <v>14692</v>
      </c>
      <c r="DG29" s="403"/>
      <c r="DH29" s="403"/>
      <c r="DI29" s="403" t="s">
        <v>11561</v>
      </c>
      <c r="DJ29" s="403"/>
      <c r="DK29" s="403"/>
      <c r="DL29" s="403"/>
      <c r="DM29" s="403"/>
      <c r="DN29" s="403"/>
      <c r="DO29" s="403"/>
      <c r="DP29" s="403"/>
      <c r="DQ29" s="403"/>
      <c r="DR29" s="403"/>
      <c r="DS29" s="403"/>
      <c r="DT29" s="403"/>
      <c r="DU29" s="403"/>
      <c r="DV29" s="403"/>
      <c r="DW29" s="403"/>
      <c r="DX29" s="403"/>
      <c r="DY29" s="403"/>
      <c r="DZ29" s="403" t="s">
        <v>5757</v>
      </c>
      <c r="EA29" s="403"/>
      <c r="EB29" s="403" t="s">
        <v>14686</v>
      </c>
      <c r="EC29" s="403"/>
      <c r="ED29" s="403"/>
      <c r="EE29" s="403"/>
      <c r="EF29" s="403"/>
      <c r="EG29" s="403"/>
      <c r="EH29" s="403"/>
      <c r="EI29" s="403"/>
      <c r="EJ29" s="403"/>
      <c r="EK29" s="403"/>
      <c r="EL29" s="403"/>
      <c r="EM29" s="403"/>
      <c r="EN29" s="403" t="s">
        <v>14693</v>
      </c>
      <c r="EO29" s="403"/>
      <c r="EP29" s="403"/>
      <c r="EQ29" s="403" t="s">
        <v>11562</v>
      </c>
      <c r="ER29" s="403"/>
      <c r="ES29" s="403"/>
      <c r="ET29" s="403"/>
      <c r="EU29" s="403"/>
      <c r="EV29" s="403"/>
      <c r="EW29" s="403"/>
      <c r="EX29" s="403"/>
      <c r="EY29" s="403"/>
      <c r="EZ29" s="403"/>
      <c r="FA29" s="403"/>
      <c r="FB29" s="403"/>
      <c r="FC29" s="403"/>
      <c r="FD29" s="403"/>
      <c r="FE29" s="403"/>
      <c r="FF29" s="403"/>
      <c r="FG29" s="403"/>
      <c r="FH29" s="403" t="s">
        <v>5453</v>
      </c>
      <c r="FI29" s="403"/>
      <c r="FJ29" s="403" t="s">
        <v>14687</v>
      </c>
      <c r="FK29" s="403"/>
      <c r="FL29" s="403"/>
      <c r="FM29" s="403"/>
      <c r="FN29" s="403"/>
      <c r="FO29" s="403"/>
      <c r="FP29" s="403"/>
      <c r="FQ29" s="403"/>
      <c r="FR29" s="403"/>
      <c r="FS29" s="403"/>
      <c r="FT29" s="403"/>
      <c r="FU29" s="403"/>
      <c r="FV29" s="403" t="s">
        <v>14694</v>
      </c>
      <c r="FW29" s="403"/>
      <c r="FX29" s="403"/>
      <c r="FY29" s="403" t="s">
        <v>11563</v>
      </c>
      <c r="FZ29" s="403"/>
      <c r="GA29" s="403"/>
      <c r="GB29" s="403"/>
      <c r="GC29" s="403"/>
      <c r="GD29" s="403"/>
      <c r="GE29" s="403"/>
      <c r="GF29" s="403"/>
      <c r="GG29" s="403"/>
      <c r="GH29" s="403"/>
      <c r="GI29" s="403"/>
      <c r="GJ29" s="403"/>
      <c r="GK29" s="403"/>
      <c r="GL29" s="403"/>
      <c r="GM29" s="403"/>
      <c r="GN29" s="403"/>
      <c r="GO29" s="403"/>
      <c r="GP29" s="403" t="s">
        <v>5453</v>
      </c>
      <c r="GQ29" s="403"/>
      <c r="GR29" s="403" t="s">
        <v>14688</v>
      </c>
      <c r="GS29" s="403"/>
      <c r="GT29" s="403"/>
      <c r="GU29" s="403"/>
      <c r="GV29" s="403"/>
      <c r="GW29" s="403"/>
      <c r="GX29" s="403"/>
      <c r="GY29" s="403"/>
      <c r="GZ29" s="403"/>
      <c r="HA29" s="403"/>
      <c r="HB29" s="403"/>
      <c r="HC29" s="403"/>
      <c r="HD29" s="403" t="s">
        <v>14695</v>
      </c>
      <c r="HE29" s="403"/>
      <c r="HF29" s="403"/>
      <c r="HG29" s="403" t="s">
        <v>11564</v>
      </c>
      <c r="HH29" s="403"/>
      <c r="HI29" s="403"/>
      <c r="HJ29" s="403"/>
      <c r="HK29" s="403"/>
      <c r="HL29" s="403"/>
      <c r="HM29" s="403"/>
      <c r="HN29" s="403"/>
      <c r="HO29" s="403"/>
      <c r="HP29" s="403"/>
      <c r="HQ29" s="403"/>
      <c r="HR29" s="403"/>
      <c r="HS29" s="403"/>
      <c r="HT29" s="403"/>
      <c r="HU29" s="403"/>
      <c r="HV29" s="403"/>
      <c r="HW29" s="403"/>
      <c r="HX29" s="403" t="s">
        <v>5454</v>
      </c>
      <c r="HY29" s="403"/>
      <c r="HZ29" s="403" t="s">
        <v>14689</v>
      </c>
      <c r="IA29" s="403"/>
      <c r="IB29" s="403"/>
      <c r="IC29" s="403"/>
      <c r="ID29" s="403"/>
      <c r="IE29" s="403"/>
      <c r="IF29" s="403"/>
      <c r="IG29" s="403"/>
      <c r="IH29" s="403"/>
      <c r="II29" s="403"/>
      <c r="IJ29" s="403"/>
      <c r="IK29" s="403"/>
      <c r="IL29" s="403" t="s">
        <v>14696</v>
      </c>
      <c r="IM29" s="403"/>
      <c r="IN29" s="403"/>
      <c r="IO29" s="403" t="s">
        <v>11565</v>
      </c>
      <c r="IP29" s="403"/>
      <c r="IQ29" s="403"/>
      <c r="IR29" s="403"/>
      <c r="IS29" s="403"/>
      <c r="IT29" s="403"/>
      <c r="IU29" s="403"/>
      <c r="IV29" s="403"/>
      <c r="IW29" s="403"/>
      <c r="IX29" s="403"/>
      <c r="IY29" s="403"/>
      <c r="IZ29" s="403"/>
      <c r="JA29" s="403"/>
      <c r="JB29" s="403"/>
      <c r="JC29" s="403"/>
      <c r="JD29" s="403"/>
      <c r="JE29" s="403"/>
      <c r="JF29" s="403" t="s">
        <v>5455</v>
      </c>
      <c r="JG29" s="403"/>
      <c r="JH29" s="403" t="s">
        <v>14690</v>
      </c>
      <c r="JI29" s="403"/>
      <c r="JJ29" s="403"/>
      <c r="JK29" s="403"/>
      <c r="JL29" s="403"/>
      <c r="JM29" s="403"/>
      <c r="JN29" s="403"/>
      <c r="JO29" s="403"/>
      <c r="JP29" s="403"/>
      <c r="JQ29" s="403"/>
      <c r="JR29" s="403"/>
      <c r="JS29" s="403"/>
      <c r="JT29" s="403" t="s">
        <v>14697</v>
      </c>
    </row>
    <row r="30" spans="1:280" s="15" customFormat="1" x14ac:dyDescent="0.25">
      <c r="B30" s="622"/>
      <c r="C30" s="2"/>
      <c r="J30" s="41" t="str">
        <f t="shared" ref="J30:P30" ca="1" si="23">IF(OFFSET(BB30,0,Lang_Order*Lang__B5)="","",OFFSET(BB30,0,Lang_Order*Lang__B5))</f>
        <v>H1 2021</v>
      </c>
      <c r="K30" s="41" t="str">
        <f t="shared" ca="1" si="23"/>
        <v>H2 2021</v>
      </c>
      <c r="L30" s="41" t="str">
        <f t="shared" ca="1" si="23"/>
        <v>H1 2022</v>
      </c>
      <c r="M30" s="41" t="str">
        <f t="shared" ca="1" si="23"/>
        <v>H2 2022</v>
      </c>
      <c r="N30" s="41" t="str">
        <f t="shared" ca="1" si="23"/>
        <v>H1 2023</v>
      </c>
      <c r="O30" s="41" t="str">
        <f t="shared" ca="1" si="23"/>
        <v>H2 2023</v>
      </c>
      <c r="P30" s="41" t="str">
        <f t="shared" ca="1" si="23"/>
        <v>Total</v>
      </c>
      <c r="Q30" s="41"/>
      <c r="R30" s="12" t="str">
        <f t="shared" ca="1" si="20"/>
        <v>Last mile service delivery (input-based financing) is the 'default'</v>
      </c>
      <c r="T30" s="241"/>
      <c r="U30" s="622"/>
      <c r="W30" s="255" t="str">
        <f t="shared" ref="W30:AC30" ca="1" si="24">IF(OFFSET(BB30,0,Lang_Order*Lang__B5)="","",OFFSET(BB30,0,Lang_Order*Lang__B5))</f>
        <v>H1 2021</v>
      </c>
      <c r="X30" s="382" t="str">
        <f t="shared" ca="1" si="24"/>
        <v>H2 2021</v>
      </c>
      <c r="Y30" s="382" t="str">
        <f t="shared" ca="1" si="24"/>
        <v>H1 2022</v>
      </c>
      <c r="Z30" s="382" t="str">
        <f t="shared" ca="1" si="24"/>
        <v>H2 2022</v>
      </c>
      <c r="AA30" s="382" t="str">
        <f t="shared" ca="1" si="24"/>
        <v>H1 2023</v>
      </c>
      <c r="AB30" s="382" t="str">
        <f t="shared" ca="1" si="24"/>
        <v>H2 2023</v>
      </c>
      <c r="AC30" s="382" t="str">
        <f t="shared" ca="1" si="24"/>
        <v>Total</v>
      </c>
      <c r="AD30" s="382"/>
      <c r="AF30" s="241"/>
      <c r="AG30" s="622"/>
      <c r="AI30" s="255" t="str">
        <f t="shared" ref="AI30:AO30" ca="1" si="25">IF(OFFSET(BB30,0,Lang_Order*Lang__B5)="","",OFFSET(BB30,0,Lang_Order*Lang__B5))</f>
        <v>H1 2021</v>
      </c>
      <c r="AJ30" s="255" t="str">
        <f t="shared" ca="1" si="25"/>
        <v>H2 2021</v>
      </c>
      <c r="AK30" s="255" t="str">
        <f t="shared" ca="1" si="25"/>
        <v>H1 2022</v>
      </c>
      <c r="AL30" s="255" t="str">
        <f t="shared" ca="1" si="25"/>
        <v>H2 2022</v>
      </c>
      <c r="AM30" s="255" t="str">
        <f t="shared" ca="1" si="25"/>
        <v>H1 2023</v>
      </c>
      <c r="AN30" s="255" t="str">
        <f t="shared" ca="1" si="25"/>
        <v>H2 2023</v>
      </c>
      <c r="AO30" s="255" t="str">
        <f t="shared" ca="1" si="25"/>
        <v>Total</v>
      </c>
      <c r="AP30" s="255"/>
      <c r="AR30" s="403"/>
      <c r="AS30" s="403"/>
      <c r="AT30" s="403"/>
      <c r="AU30" s="403"/>
      <c r="AV30" s="403"/>
      <c r="AW30" s="403"/>
      <c r="AX30" s="403"/>
      <c r="AY30" s="403"/>
      <c r="AZ30" s="403"/>
      <c r="BA30" s="403"/>
      <c r="BB30" s="403" t="s">
        <v>1597</v>
      </c>
      <c r="BC30" s="403" t="s">
        <v>1598</v>
      </c>
      <c r="BD30" s="403" t="s">
        <v>1599</v>
      </c>
      <c r="BE30" s="403" t="s">
        <v>1600</v>
      </c>
      <c r="BF30" s="403" t="s">
        <v>1602</v>
      </c>
      <c r="BG30" s="403" t="s">
        <v>1601</v>
      </c>
      <c r="BH30" s="403" t="s">
        <v>1605</v>
      </c>
      <c r="BI30" s="403"/>
      <c r="BJ30" s="403" t="s">
        <v>14185</v>
      </c>
      <c r="BK30" s="403"/>
      <c r="BL30" s="403"/>
      <c r="BM30" s="403"/>
      <c r="BN30" s="403"/>
      <c r="BO30" s="403"/>
      <c r="BP30" s="403"/>
      <c r="BQ30" s="403"/>
      <c r="BR30" s="403"/>
      <c r="BS30" s="403"/>
      <c r="BT30" s="403"/>
      <c r="BU30" s="403"/>
      <c r="BV30" s="403"/>
      <c r="BW30" s="403"/>
      <c r="BX30" s="403"/>
      <c r="BY30" s="403"/>
      <c r="BZ30" s="403"/>
      <c r="CA30" s="403"/>
      <c r="CB30" s="403"/>
      <c r="CC30" s="403"/>
      <c r="CD30" s="403"/>
      <c r="CE30" s="403"/>
      <c r="CF30" s="403"/>
      <c r="CG30" s="403"/>
      <c r="CH30" s="403"/>
      <c r="CI30" s="403"/>
      <c r="CJ30" s="403" t="s">
        <v>4663</v>
      </c>
      <c r="CK30" s="403" t="s">
        <v>4664</v>
      </c>
      <c r="CL30" s="403" t="s">
        <v>4665</v>
      </c>
      <c r="CM30" s="403" t="s">
        <v>4666</v>
      </c>
      <c r="CN30" s="403" t="s">
        <v>4667</v>
      </c>
      <c r="CO30" s="403" t="s">
        <v>4668</v>
      </c>
      <c r="CP30" s="403" t="s">
        <v>1605</v>
      </c>
      <c r="CQ30" s="403"/>
      <c r="CR30" s="403" t="s">
        <v>11566</v>
      </c>
      <c r="CS30" s="403"/>
      <c r="CT30" s="403"/>
      <c r="CU30" s="403"/>
      <c r="CV30" s="403"/>
      <c r="CW30" s="403"/>
      <c r="CX30" s="403"/>
      <c r="CY30" s="403"/>
      <c r="CZ30" s="403"/>
      <c r="DA30" s="403"/>
      <c r="DB30" s="403"/>
      <c r="DC30" s="403"/>
      <c r="DD30" s="403"/>
      <c r="DE30" s="403"/>
      <c r="DF30" s="403"/>
      <c r="DG30" s="403"/>
      <c r="DH30" s="403"/>
      <c r="DI30" s="403"/>
      <c r="DJ30" s="403"/>
      <c r="DK30" s="403"/>
      <c r="DL30" s="403"/>
      <c r="DM30" s="403"/>
      <c r="DN30" s="403"/>
      <c r="DO30" s="403"/>
      <c r="DP30" s="403"/>
      <c r="DQ30" s="403"/>
      <c r="DR30" s="403" t="s">
        <v>4670</v>
      </c>
      <c r="DS30" s="403" t="s">
        <v>4671</v>
      </c>
      <c r="DT30" s="403" t="s">
        <v>4672</v>
      </c>
      <c r="DU30" s="403" t="s">
        <v>4673</v>
      </c>
      <c r="DV30" s="403" t="s">
        <v>4674</v>
      </c>
      <c r="DW30" s="403" t="s">
        <v>4675</v>
      </c>
      <c r="DX30" s="403" t="s">
        <v>4676</v>
      </c>
      <c r="DY30" s="403"/>
      <c r="DZ30" s="403" t="s">
        <v>11567</v>
      </c>
      <c r="EA30" s="403"/>
      <c r="EB30" s="403"/>
      <c r="EC30" s="403"/>
      <c r="ED30" s="403"/>
      <c r="EE30" s="403"/>
      <c r="EF30" s="403"/>
      <c r="EG30" s="403"/>
      <c r="EH30" s="403"/>
      <c r="EI30" s="403"/>
      <c r="EJ30" s="403"/>
      <c r="EK30" s="403"/>
      <c r="EL30" s="403"/>
      <c r="EM30" s="403"/>
      <c r="EN30" s="403"/>
      <c r="EO30" s="403"/>
      <c r="EP30" s="403"/>
      <c r="EQ30" s="403"/>
      <c r="ER30" s="403"/>
      <c r="ES30" s="403"/>
      <c r="ET30" s="403"/>
      <c r="EU30" s="403"/>
      <c r="EV30" s="403"/>
      <c r="EW30" s="403"/>
      <c r="EX30" s="403"/>
      <c r="EY30" s="403"/>
      <c r="EZ30" s="403" t="s">
        <v>1597</v>
      </c>
      <c r="FA30" s="403" t="s">
        <v>1598</v>
      </c>
      <c r="FB30" s="403" t="s">
        <v>1599</v>
      </c>
      <c r="FC30" s="403" t="s">
        <v>1600</v>
      </c>
      <c r="FD30" s="403" t="s">
        <v>1602</v>
      </c>
      <c r="FE30" s="403" t="s">
        <v>1601</v>
      </c>
      <c r="FF30" s="403" t="s">
        <v>1605</v>
      </c>
      <c r="FG30" s="403"/>
      <c r="FH30" s="403" t="s">
        <v>11568</v>
      </c>
      <c r="FI30" s="403"/>
      <c r="FJ30" s="403"/>
      <c r="FK30" s="403"/>
      <c r="FL30" s="403"/>
      <c r="FM30" s="403"/>
      <c r="FN30" s="403"/>
      <c r="FO30" s="403"/>
      <c r="FP30" s="403"/>
      <c r="FQ30" s="403"/>
      <c r="FR30" s="403"/>
      <c r="FS30" s="403"/>
      <c r="FT30" s="403"/>
      <c r="FU30" s="403"/>
      <c r="FV30" s="403"/>
      <c r="FW30" s="403"/>
      <c r="FX30" s="403"/>
      <c r="FY30" s="403"/>
      <c r="FZ30" s="403"/>
      <c r="GA30" s="403"/>
      <c r="GB30" s="403"/>
      <c r="GC30" s="403"/>
      <c r="GD30" s="403"/>
      <c r="GE30" s="403"/>
      <c r="GF30" s="403"/>
      <c r="GG30" s="403"/>
      <c r="GH30" s="403" t="s">
        <v>4663</v>
      </c>
      <c r="GI30" s="403" t="s">
        <v>4664</v>
      </c>
      <c r="GJ30" s="403" t="s">
        <v>4665</v>
      </c>
      <c r="GK30" s="403" t="s">
        <v>4666</v>
      </c>
      <c r="GL30" s="403" t="s">
        <v>4667</v>
      </c>
      <c r="GM30" s="403" t="s">
        <v>4668</v>
      </c>
      <c r="GN30" s="403" t="s">
        <v>1605</v>
      </c>
      <c r="GO30" s="403"/>
      <c r="GP30" s="403" t="s">
        <v>11569</v>
      </c>
      <c r="GQ30" s="403"/>
      <c r="GR30" s="403"/>
      <c r="GS30" s="403"/>
      <c r="GT30" s="403"/>
      <c r="GU30" s="403"/>
      <c r="GV30" s="403"/>
      <c r="GW30" s="403"/>
      <c r="GX30" s="403"/>
      <c r="GY30" s="403"/>
      <c r="GZ30" s="403"/>
      <c r="HA30" s="403"/>
      <c r="HB30" s="403"/>
      <c r="HC30" s="403"/>
      <c r="HD30" s="403"/>
      <c r="HE30" s="403"/>
      <c r="HF30" s="403"/>
      <c r="HG30" s="403"/>
      <c r="HH30" s="403"/>
      <c r="HI30" s="403"/>
      <c r="HJ30" s="403"/>
      <c r="HK30" s="403"/>
      <c r="HL30" s="403"/>
      <c r="HM30" s="403"/>
      <c r="HN30" s="403"/>
      <c r="HO30" s="403"/>
      <c r="HP30" s="403" t="s">
        <v>4680</v>
      </c>
      <c r="HQ30" s="403" t="s">
        <v>4681</v>
      </c>
      <c r="HR30" s="403" t="s">
        <v>4682</v>
      </c>
      <c r="HS30" s="403" t="s">
        <v>4683</v>
      </c>
      <c r="HT30" s="403" t="s">
        <v>4684</v>
      </c>
      <c r="HU30" s="403" t="s">
        <v>4685</v>
      </c>
      <c r="HV30" s="403" t="s">
        <v>4686</v>
      </c>
      <c r="HW30" s="403"/>
      <c r="HX30" s="403" t="s">
        <v>11570</v>
      </c>
      <c r="HY30" s="403"/>
      <c r="HZ30" s="403"/>
      <c r="IA30" s="403"/>
      <c r="IB30" s="403"/>
      <c r="IC30" s="403"/>
      <c r="ID30" s="403"/>
      <c r="IE30" s="403"/>
      <c r="IF30" s="403"/>
      <c r="IG30" s="403"/>
      <c r="IH30" s="403"/>
      <c r="II30" s="403"/>
      <c r="IJ30" s="403"/>
      <c r="IK30" s="403"/>
      <c r="IL30" s="403"/>
      <c r="IM30" s="403"/>
      <c r="IN30" s="403"/>
      <c r="IO30" s="403"/>
      <c r="IP30" s="403"/>
      <c r="IQ30" s="403"/>
      <c r="IR30" s="403"/>
      <c r="IS30" s="403"/>
      <c r="IT30" s="403"/>
      <c r="IU30" s="403"/>
      <c r="IV30" s="403"/>
      <c r="IW30" s="403"/>
      <c r="IX30" s="403" t="s">
        <v>4688</v>
      </c>
      <c r="IY30" s="403" t="s">
        <v>4689</v>
      </c>
      <c r="IZ30" s="403" t="s">
        <v>4690</v>
      </c>
      <c r="JA30" s="403" t="s">
        <v>4691</v>
      </c>
      <c r="JB30" s="403" t="s">
        <v>4692</v>
      </c>
      <c r="JC30" s="403" t="s">
        <v>4693</v>
      </c>
      <c r="JD30" s="403" t="s">
        <v>4694</v>
      </c>
      <c r="JE30" s="403"/>
      <c r="JF30" s="403" t="s">
        <v>11571</v>
      </c>
      <c r="JG30" s="403"/>
      <c r="JH30" s="403"/>
      <c r="JI30" s="403"/>
      <c r="JJ30" s="403"/>
      <c r="JK30" s="403"/>
      <c r="JL30" s="403"/>
      <c r="JM30" s="403"/>
      <c r="JN30" s="403"/>
      <c r="JO30" s="403"/>
      <c r="JP30" s="403"/>
      <c r="JQ30" s="403"/>
      <c r="JR30" s="403"/>
      <c r="JS30" s="403"/>
      <c r="JT30" s="403"/>
    </row>
    <row r="31" spans="1:280" s="15" customFormat="1" ht="12.75" x14ac:dyDescent="0.2">
      <c r="B31" s="622"/>
      <c r="C31" s="5" t="str">
        <f t="shared" ref="C31:C36" ca="1" si="26">IF(OFFSET(AU31,0,Lang_Order*Lang__B5)="","",OFFSET(AU31,0,Lang_Order*Lang__B5))</f>
        <v>Delivery Modality 1</v>
      </c>
      <c r="J31" s="83" t="e">
        <f t="shared" ref="J31:O31" si="27">SUM(J116:J135)</f>
        <v>#N/A</v>
      </c>
      <c r="K31" s="83" t="e">
        <f t="shared" si="27"/>
        <v>#N/A</v>
      </c>
      <c r="L31" s="83" t="e">
        <f t="shared" si="27"/>
        <v>#N/A</v>
      </c>
      <c r="M31" s="83" t="e">
        <f t="shared" si="27"/>
        <v>#N/A</v>
      </c>
      <c r="N31" s="83" t="e">
        <f t="shared" si="27"/>
        <v>#N/A</v>
      </c>
      <c r="O31" s="83" t="e">
        <f t="shared" si="27"/>
        <v>#N/A</v>
      </c>
      <c r="P31" s="83" t="e">
        <f>SUM(J31:O31)</f>
        <v>#N/A</v>
      </c>
      <c r="Q31" s="83"/>
      <c r="R31" s="12" t="str">
        <f t="shared" ca="1" si="20"/>
        <v/>
      </c>
      <c r="T31" s="241"/>
      <c r="U31" s="622"/>
      <c r="V31" s="5" t="str">
        <f t="shared" ref="V31:V36" ca="1" si="28">IF(OFFSET(AU31,0,Lang_Order*Lang__B5)="","",OFFSET(AU31,0,Lang_Order*Lang__B5))</f>
        <v>Delivery Modality 1</v>
      </c>
      <c r="W31" s="83" t="e">
        <f t="shared" ref="W31:AB31" si="29">SUM(W116:W135)</f>
        <v>#N/A</v>
      </c>
      <c r="X31" s="83" t="e">
        <f t="shared" si="29"/>
        <v>#N/A</v>
      </c>
      <c r="Y31" s="83" t="e">
        <f t="shared" si="29"/>
        <v>#N/A</v>
      </c>
      <c r="Z31" s="83" t="e">
        <f t="shared" si="29"/>
        <v>#N/A</v>
      </c>
      <c r="AA31" s="83" t="e">
        <f t="shared" si="29"/>
        <v>#N/A</v>
      </c>
      <c r="AB31" s="83" t="e">
        <f t="shared" si="29"/>
        <v>#N/A</v>
      </c>
      <c r="AC31" s="83" t="e">
        <f>SUM(W31:AB31)</f>
        <v>#N/A</v>
      </c>
      <c r="AD31" s="83"/>
      <c r="AF31" s="241"/>
      <c r="AG31" s="622"/>
      <c r="AH31" s="5" t="str">
        <f t="shared" ref="AH31:AH36" ca="1" si="30">IF(OFFSET(AU31,0,Lang_Order*Lang__B5)="","",OFFSET(AU31,0,Lang_Order*Lang__B5))</f>
        <v>Delivery Modality 1</v>
      </c>
      <c r="AI31" s="83" t="e">
        <f t="shared" ref="AI31:AN31" si="31">SUM(AI116:AI135)</f>
        <v>#N/A</v>
      </c>
      <c r="AJ31" s="83" t="e">
        <f t="shared" si="31"/>
        <v>#N/A</v>
      </c>
      <c r="AK31" s="83" t="e">
        <f t="shared" si="31"/>
        <v>#N/A</v>
      </c>
      <c r="AL31" s="83" t="e">
        <f t="shared" si="31"/>
        <v>#N/A</v>
      </c>
      <c r="AM31" s="83" t="e">
        <f t="shared" si="31"/>
        <v>#N/A</v>
      </c>
      <c r="AN31" s="83" t="e">
        <f t="shared" si="31"/>
        <v>#N/A</v>
      </c>
      <c r="AO31" s="83" t="e">
        <f>SUM(AI31:AN31)</f>
        <v>#N/A</v>
      </c>
      <c r="AP31" s="83"/>
      <c r="AR31" s="403"/>
      <c r="AS31" s="403"/>
      <c r="AT31" s="403"/>
      <c r="AU31" s="403" t="s">
        <v>1632</v>
      </c>
      <c r="AV31" s="403"/>
      <c r="AW31" s="403"/>
      <c r="AX31" s="403"/>
      <c r="AY31" s="403"/>
      <c r="AZ31" s="403"/>
      <c r="BA31" s="403"/>
      <c r="BB31" s="403"/>
      <c r="BC31" s="403"/>
      <c r="BD31" s="403"/>
      <c r="BE31" s="403"/>
      <c r="BF31" s="403"/>
      <c r="BG31" s="403"/>
      <c r="BH31" s="403"/>
      <c r="BI31" s="403"/>
      <c r="BJ31" s="403"/>
      <c r="BK31" s="403"/>
      <c r="BL31" s="403"/>
      <c r="BM31" s="403"/>
      <c r="BN31" s="403"/>
      <c r="BO31" s="403"/>
      <c r="BP31" s="403"/>
      <c r="BQ31" s="403"/>
      <c r="BR31" s="403"/>
      <c r="BS31" s="403"/>
      <c r="BT31" s="403"/>
      <c r="BU31" s="403"/>
      <c r="BV31" s="403"/>
      <c r="BW31" s="403"/>
      <c r="BX31" s="403"/>
      <c r="BY31" s="403"/>
      <c r="BZ31" s="403"/>
      <c r="CA31" s="403"/>
      <c r="CB31" s="403"/>
      <c r="CC31" s="403" t="s">
        <v>7476</v>
      </c>
      <c r="CD31" s="403"/>
      <c r="CE31" s="403"/>
      <c r="CF31" s="403"/>
      <c r="CG31" s="403"/>
      <c r="CH31" s="403"/>
      <c r="CI31" s="403"/>
      <c r="CJ31" s="403"/>
      <c r="CK31" s="403"/>
      <c r="CL31" s="403"/>
      <c r="CM31" s="403"/>
      <c r="CN31" s="403"/>
      <c r="CO31" s="403"/>
      <c r="CP31" s="403"/>
      <c r="CQ31" s="403"/>
      <c r="CR31" s="403"/>
      <c r="CS31" s="403"/>
      <c r="CT31" s="403"/>
      <c r="CU31" s="403"/>
      <c r="CV31" s="403"/>
      <c r="CW31" s="403"/>
      <c r="CX31" s="403"/>
      <c r="CY31" s="403"/>
      <c r="CZ31" s="403"/>
      <c r="DA31" s="403"/>
      <c r="DB31" s="403"/>
      <c r="DC31" s="403"/>
      <c r="DD31" s="403"/>
      <c r="DE31" s="403"/>
      <c r="DF31" s="403"/>
      <c r="DG31" s="403"/>
      <c r="DH31" s="403"/>
      <c r="DI31" s="403"/>
      <c r="DJ31" s="403"/>
      <c r="DK31" s="403" t="s">
        <v>9664</v>
      </c>
      <c r="DL31" s="403"/>
      <c r="DM31" s="403"/>
      <c r="DN31" s="403"/>
      <c r="DO31" s="403"/>
      <c r="DP31" s="403"/>
      <c r="DQ31" s="403"/>
      <c r="DR31" s="403"/>
      <c r="DS31" s="403"/>
      <c r="DT31" s="403"/>
      <c r="DU31" s="403"/>
      <c r="DV31" s="403"/>
      <c r="DW31" s="403"/>
      <c r="DX31" s="403"/>
      <c r="DY31" s="403"/>
      <c r="DZ31" s="403"/>
      <c r="EA31" s="403"/>
      <c r="EB31" s="403"/>
      <c r="EC31" s="403"/>
      <c r="ED31" s="403"/>
      <c r="EE31" s="403"/>
      <c r="EF31" s="403"/>
      <c r="EG31" s="403"/>
      <c r="EH31" s="403"/>
      <c r="EI31" s="403"/>
      <c r="EJ31" s="403"/>
      <c r="EK31" s="403"/>
      <c r="EL31" s="403"/>
      <c r="EM31" s="403"/>
      <c r="EN31" s="403"/>
      <c r="EO31" s="403"/>
      <c r="EP31" s="403"/>
      <c r="EQ31" s="403"/>
      <c r="ER31" s="403"/>
      <c r="ES31" s="403" t="s">
        <v>9666</v>
      </c>
      <c r="ET31" s="403"/>
      <c r="EU31" s="403"/>
      <c r="EV31" s="403"/>
      <c r="EW31" s="403"/>
      <c r="EX31" s="403"/>
      <c r="EY31" s="403"/>
      <c r="EZ31" s="403"/>
      <c r="FA31" s="403"/>
      <c r="FB31" s="403"/>
      <c r="FC31" s="403"/>
      <c r="FD31" s="403"/>
      <c r="FE31" s="403"/>
      <c r="FF31" s="403"/>
      <c r="FG31" s="403"/>
      <c r="FH31" s="403"/>
      <c r="FI31" s="403"/>
      <c r="FJ31" s="403"/>
      <c r="FK31" s="403"/>
      <c r="FL31" s="403"/>
      <c r="FM31" s="403"/>
      <c r="FN31" s="403"/>
      <c r="FO31" s="403"/>
      <c r="FP31" s="403"/>
      <c r="FQ31" s="403"/>
      <c r="FR31" s="403"/>
      <c r="FS31" s="403"/>
      <c r="FT31" s="403"/>
      <c r="FU31" s="403"/>
      <c r="FV31" s="403"/>
      <c r="FW31" s="403"/>
      <c r="FX31" s="403"/>
      <c r="FY31" s="403"/>
      <c r="FZ31" s="403"/>
      <c r="GA31" s="403" t="s">
        <v>7479</v>
      </c>
      <c r="GB31" s="403"/>
      <c r="GC31" s="403"/>
      <c r="GD31" s="403"/>
      <c r="GE31" s="403"/>
      <c r="GF31" s="403"/>
      <c r="GG31" s="403"/>
      <c r="GH31" s="403"/>
      <c r="GI31" s="403"/>
      <c r="GJ31" s="403"/>
      <c r="GK31" s="403"/>
      <c r="GL31" s="403"/>
      <c r="GM31" s="403"/>
      <c r="GN31" s="403"/>
      <c r="GO31" s="403"/>
      <c r="GP31" s="403"/>
      <c r="GQ31" s="403"/>
      <c r="GR31" s="403"/>
      <c r="GS31" s="403"/>
      <c r="GT31" s="403"/>
      <c r="GU31" s="403"/>
      <c r="GV31" s="403"/>
      <c r="GW31" s="403"/>
      <c r="GX31" s="403"/>
      <c r="GY31" s="403"/>
      <c r="GZ31" s="403"/>
      <c r="HA31" s="403"/>
      <c r="HB31" s="403"/>
      <c r="HC31" s="403"/>
      <c r="HD31" s="403"/>
      <c r="HE31" s="403"/>
      <c r="HF31" s="403"/>
      <c r="HG31" s="403"/>
      <c r="HH31" s="403"/>
      <c r="HI31" s="403" t="s">
        <v>7480</v>
      </c>
      <c r="HJ31" s="403"/>
      <c r="HK31" s="403"/>
      <c r="HL31" s="403"/>
      <c r="HM31" s="403"/>
      <c r="HN31" s="403"/>
      <c r="HO31" s="403"/>
      <c r="HP31" s="403"/>
      <c r="HQ31" s="403"/>
      <c r="HR31" s="403"/>
      <c r="HS31" s="403"/>
      <c r="HT31" s="403"/>
      <c r="HU31" s="403"/>
      <c r="HV31" s="403"/>
      <c r="HW31" s="403"/>
      <c r="HX31" s="403"/>
      <c r="HY31" s="403"/>
      <c r="HZ31" s="403"/>
      <c r="IA31" s="403"/>
      <c r="IB31" s="403"/>
      <c r="IC31" s="403"/>
      <c r="ID31" s="403"/>
      <c r="IE31" s="403"/>
      <c r="IF31" s="403"/>
      <c r="IG31" s="403"/>
      <c r="IH31" s="403"/>
      <c r="II31" s="403"/>
      <c r="IJ31" s="403"/>
      <c r="IK31" s="403"/>
      <c r="IL31" s="403"/>
      <c r="IM31" s="403"/>
      <c r="IN31" s="403"/>
      <c r="IO31" s="403"/>
      <c r="IP31" s="403"/>
      <c r="IQ31" s="403" t="s">
        <v>7481</v>
      </c>
      <c r="IR31" s="403"/>
      <c r="IS31" s="403"/>
      <c r="IT31" s="403"/>
      <c r="IU31" s="403"/>
      <c r="IV31" s="403"/>
      <c r="IW31" s="403"/>
      <c r="IX31" s="403"/>
      <c r="IY31" s="403"/>
      <c r="IZ31" s="403"/>
      <c r="JA31" s="403"/>
      <c r="JB31" s="403"/>
      <c r="JC31" s="403"/>
      <c r="JD31" s="403"/>
      <c r="JE31" s="403"/>
      <c r="JF31" s="403"/>
      <c r="JG31" s="403"/>
      <c r="JH31" s="403"/>
      <c r="JI31" s="403"/>
      <c r="JJ31" s="403"/>
      <c r="JK31" s="403"/>
      <c r="JL31" s="403"/>
      <c r="JM31" s="403"/>
      <c r="JN31" s="403"/>
      <c r="JO31" s="403"/>
      <c r="JP31" s="403"/>
      <c r="JQ31" s="403"/>
      <c r="JR31" s="403"/>
      <c r="JS31" s="403"/>
      <c r="JT31" s="403"/>
    </row>
    <row r="32" spans="1:280" s="15" customFormat="1" ht="12.75" x14ac:dyDescent="0.2">
      <c r="B32" s="622"/>
      <c r="C32" s="5" t="str">
        <f t="shared" ca="1" si="26"/>
        <v>Delivery Modality 2</v>
      </c>
      <c r="J32" s="83" t="e">
        <f t="shared" ref="J32:O32" si="32">SUM(J169:J188)</f>
        <v>#N/A</v>
      </c>
      <c r="K32" s="83" t="e">
        <f t="shared" si="32"/>
        <v>#N/A</v>
      </c>
      <c r="L32" s="83" t="e">
        <f t="shared" si="32"/>
        <v>#N/A</v>
      </c>
      <c r="M32" s="83" t="e">
        <f t="shared" si="32"/>
        <v>#N/A</v>
      </c>
      <c r="N32" s="83" t="e">
        <f t="shared" si="32"/>
        <v>#N/A</v>
      </c>
      <c r="O32" s="83" t="e">
        <f t="shared" si="32"/>
        <v>#N/A</v>
      </c>
      <c r="P32" s="83" t="e">
        <f t="shared" ref="P32:P35" si="33">SUM(J32:O32)</f>
        <v>#N/A</v>
      </c>
      <c r="Q32" s="83"/>
      <c r="R32" s="12" t="str">
        <f t="shared" ca="1" si="20"/>
        <v/>
      </c>
      <c r="T32" s="241"/>
      <c r="U32" s="622"/>
      <c r="V32" s="5" t="str">
        <f t="shared" ca="1" si="28"/>
        <v>Delivery Modality 2</v>
      </c>
      <c r="W32" s="83" t="e">
        <f t="shared" ref="W32:AB32" si="34">SUM(W169:W188)</f>
        <v>#N/A</v>
      </c>
      <c r="X32" s="83" t="e">
        <f t="shared" si="34"/>
        <v>#N/A</v>
      </c>
      <c r="Y32" s="83" t="e">
        <f t="shared" si="34"/>
        <v>#N/A</v>
      </c>
      <c r="Z32" s="83" t="e">
        <f t="shared" si="34"/>
        <v>#N/A</v>
      </c>
      <c r="AA32" s="83" t="e">
        <f t="shared" si="34"/>
        <v>#N/A</v>
      </c>
      <c r="AB32" s="83" t="e">
        <f t="shared" si="34"/>
        <v>#N/A</v>
      </c>
      <c r="AC32" s="83" t="e">
        <f>SUM(W32:AB32)</f>
        <v>#N/A</v>
      </c>
      <c r="AD32" s="83"/>
      <c r="AF32" s="241"/>
      <c r="AG32" s="622"/>
      <c r="AH32" s="5" t="str">
        <f t="shared" ca="1" si="30"/>
        <v>Delivery Modality 2</v>
      </c>
      <c r="AI32" s="83" t="e">
        <f t="shared" ref="AI32:AN32" si="35">SUM(AI169:AI188)</f>
        <v>#N/A</v>
      </c>
      <c r="AJ32" s="83" t="e">
        <f t="shared" si="35"/>
        <v>#N/A</v>
      </c>
      <c r="AK32" s="83" t="e">
        <f t="shared" si="35"/>
        <v>#N/A</v>
      </c>
      <c r="AL32" s="83" t="e">
        <f t="shared" si="35"/>
        <v>#N/A</v>
      </c>
      <c r="AM32" s="83" t="e">
        <f t="shared" si="35"/>
        <v>#N/A</v>
      </c>
      <c r="AN32" s="83" t="e">
        <f t="shared" si="35"/>
        <v>#N/A</v>
      </c>
      <c r="AO32" s="83" t="e">
        <f>SUM(AI32:AN32)</f>
        <v>#N/A</v>
      </c>
      <c r="AP32" s="83"/>
      <c r="AR32" s="403"/>
      <c r="AS32" s="403"/>
      <c r="AT32" s="403"/>
      <c r="AU32" s="403" t="s">
        <v>1639</v>
      </c>
      <c r="AV32" s="403"/>
      <c r="AW32" s="403"/>
      <c r="AX32" s="403"/>
      <c r="AY32" s="403"/>
      <c r="AZ32" s="403"/>
      <c r="BA32" s="403"/>
      <c r="BB32" s="403"/>
      <c r="BC32" s="403"/>
      <c r="BD32" s="403"/>
      <c r="BE32" s="403"/>
      <c r="BF32" s="403"/>
      <c r="BG32" s="403"/>
      <c r="BH32" s="403"/>
      <c r="BI32" s="403"/>
      <c r="BJ32" s="403"/>
      <c r="BK32" s="403"/>
      <c r="BL32" s="403"/>
      <c r="BM32" s="403"/>
      <c r="BN32" s="403"/>
      <c r="BO32" s="403"/>
      <c r="BP32" s="403"/>
      <c r="BQ32" s="403"/>
      <c r="BR32" s="403"/>
      <c r="BS32" s="403"/>
      <c r="BT32" s="403"/>
      <c r="BU32" s="403"/>
      <c r="BV32" s="403"/>
      <c r="BW32" s="403"/>
      <c r="BX32" s="403"/>
      <c r="BY32" s="403"/>
      <c r="BZ32" s="403"/>
      <c r="CA32" s="403"/>
      <c r="CB32" s="403"/>
      <c r="CC32" s="403" t="s">
        <v>7482</v>
      </c>
      <c r="CD32" s="403"/>
      <c r="CE32" s="403"/>
      <c r="CF32" s="403"/>
      <c r="CG32" s="403"/>
      <c r="CH32" s="403"/>
      <c r="CI32" s="403"/>
      <c r="CJ32" s="403"/>
      <c r="CK32" s="403"/>
      <c r="CL32" s="403"/>
      <c r="CM32" s="403"/>
      <c r="CN32" s="403"/>
      <c r="CO32" s="403"/>
      <c r="CP32" s="403"/>
      <c r="CQ32" s="403"/>
      <c r="CR32" s="403"/>
      <c r="CS32" s="403"/>
      <c r="CT32" s="403"/>
      <c r="CU32" s="403"/>
      <c r="CV32" s="403"/>
      <c r="CW32" s="403"/>
      <c r="CX32" s="403"/>
      <c r="CY32" s="403"/>
      <c r="CZ32" s="403"/>
      <c r="DA32" s="403"/>
      <c r="DB32" s="403"/>
      <c r="DC32" s="403"/>
      <c r="DD32" s="403"/>
      <c r="DE32" s="403"/>
      <c r="DF32" s="403"/>
      <c r="DG32" s="403"/>
      <c r="DH32" s="403"/>
      <c r="DI32" s="403"/>
      <c r="DJ32" s="403"/>
      <c r="DK32" s="403" t="s">
        <v>9672</v>
      </c>
      <c r="DL32" s="403"/>
      <c r="DM32" s="403"/>
      <c r="DN32" s="403"/>
      <c r="DO32" s="403"/>
      <c r="DP32" s="403"/>
      <c r="DQ32" s="403"/>
      <c r="DR32" s="403"/>
      <c r="DS32" s="403"/>
      <c r="DT32" s="403"/>
      <c r="DU32" s="403"/>
      <c r="DV32" s="403"/>
      <c r="DW32" s="403"/>
      <c r="DX32" s="403"/>
      <c r="DY32" s="403"/>
      <c r="DZ32" s="403"/>
      <c r="EA32" s="403"/>
      <c r="EB32" s="403"/>
      <c r="EC32" s="403"/>
      <c r="ED32" s="403"/>
      <c r="EE32" s="403"/>
      <c r="EF32" s="403"/>
      <c r="EG32" s="403"/>
      <c r="EH32" s="403"/>
      <c r="EI32" s="403"/>
      <c r="EJ32" s="403"/>
      <c r="EK32" s="403"/>
      <c r="EL32" s="403"/>
      <c r="EM32" s="403"/>
      <c r="EN32" s="403"/>
      <c r="EO32" s="403"/>
      <c r="EP32" s="403"/>
      <c r="EQ32" s="403"/>
      <c r="ER32" s="403"/>
      <c r="ES32" s="403" t="s">
        <v>9673</v>
      </c>
      <c r="ET32" s="403"/>
      <c r="EU32" s="403"/>
      <c r="EV32" s="403"/>
      <c r="EW32" s="403"/>
      <c r="EX32" s="403"/>
      <c r="EY32" s="403"/>
      <c r="EZ32" s="403"/>
      <c r="FA32" s="403"/>
      <c r="FB32" s="403"/>
      <c r="FC32" s="403"/>
      <c r="FD32" s="403"/>
      <c r="FE32" s="403"/>
      <c r="FF32" s="403"/>
      <c r="FG32" s="403"/>
      <c r="FH32" s="403"/>
      <c r="FI32" s="403"/>
      <c r="FJ32" s="403"/>
      <c r="FK32" s="403"/>
      <c r="FL32" s="403"/>
      <c r="FM32" s="403"/>
      <c r="FN32" s="403"/>
      <c r="FO32" s="403"/>
      <c r="FP32" s="403"/>
      <c r="FQ32" s="403"/>
      <c r="FR32" s="403"/>
      <c r="FS32" s="403"/>
      <c r="FT32" s="403"/>
      <c r="FU32" s="403"/>
      <c r="FV32" s="403"/>
      <c r="FW32" s="403"/>
      <c r="FX32" s="403"/>
      <c r="FY32" s="403"/>
      <c r="FZ32" s="403"/>
      <c r="GA32" s="403" t="s">
        <v>7485</v>
      </c>
      <c r="GB32" s="403"/>
      <c r="GC32" s="403"/>
      <c r="GD32" s="403"/>
      <c r="GE32" s="403"/>
      <c r="GF32" s="403"/>
      <c r="GG32" s="403"/>
      <c r="GH32" s="403"/>
      <c r="GI32" s="403"/>
      <c r="GJ32" s="403"/>
      <c r="GK32" s="403"/>
      <c r="GL32" s="403"/>
      <c r="GM32" s="403"/>
      <c r="GN32" s="403"/>
      <c r="GO32" s="403"/>
      <c r="GP32" s="403"/>
      <c r="GQ32" s="403"/>
      <c r="GR32" s="403"/>
      <c r="GS32" s="403"/>
      <c r="GT32" s="403"/>
      <c r="GU32" s="403"/>
      <c r="GV32" s="403"/>
      <c r="GW32" s="403"/>
      <c r="GX32" s="403"/>
      <c r="GY32" s="403"/>
      <c r="GZ32" s="403"/>
      <c r="HA32" s="403"/>
      <c r="HB32" s="403"/>
      <c r="HC32" s="403"/>
      <c r="HD32" s="403"/>
      <c r="HE32" s="403"/>
      <c r="HF32" s="403"/>
      <c r="HG32" s="403"/>
      <c r="HH32" s="403"/>
      <c r="HI32" s="403" t="s">
        <v>7486</v>
      </c>
      <c r="HJ32" s="403"/>
      <c r="HK32" s="403"/>
      <c r="HL32" s="403"/>
      <c r="HM32" s="403"/>
      <c r="HN32" s="403"/>
      <c r="HO32" s="403"/>
      <c r="HP32" s="403"/>
      <c r="HQ32" s="403"/>
      <c r="HR32" s="403"/>
      <c r="HS32" s="403"/>
      <c r="HT32" s="403"/>
      <c r="HU32" s="403"/>
      <c r="HV32" s="403"/>
      <c r="HW32" s="403"/>
      <c r="HX32" s="403"/>
      <c r="HY32" s="403"/>
      <c r="HZ32" s="403"/>
      <c r="IA32" s="403"/>
      <c r="IB32" s="403"/>
      <c r="IC32" s="403"/>
      <c r="ID32" s="403"/>
      <c r="IE32" s="403"/>
      <c r="IF32" s="403"/>
      <c r="IG32" s="403"/>
      <c r="IH32" s="403"/>
      <c r="II32" s="403"/>
      <c r="IJ32" s="403"/>
      <c r="IK32" s="403"/>
      <c r="IL32" s="403"/>
      <c r="IM32" s="403"/>
      <c r="IN32" s="403"/>
      <c r="IO32" s="403"/>
      <c r="IP32" s="403"/>
      <c r="IQ32" s="403" t="s">
        <v>7487</v>
      </c>
      <c r="IR32" s="403"/>
      <c r="IS32" s="403"/>
      <c r="IT32" s="403"/>
      <c r="IU32" s="403"/>
      <c r="IV32" s="403"/>
      <c r="IW32" s="403"/>
      <c r="IX32" s="403"/>
      <c r="IY32" s="403"/>
      <c r="IZ32" s="403"/>
      <c r="JA32" s="403"/>
      <c r="JB32" s="403"/>
      <c r="JC32" s="403"/>
      <c r="JD32" s="403"/>
      <c r="JE32" s="403"/>
      <c r="JF32" s="403"/>
      <c r="JG32" s="403"/>
      <c r="JH32" s="403"/>
      <c r="JI32" s="403"/>
      <c r="JJ32" s="403"/>
      <c r="JK32" s="403"/>
      <c r="JL32" s="403"/>
      <c r="JM32" s="403"/>
      <c r="JN32" s="403"/>
      <c r="JO32" s="403"/>
      <c r="JP32" s="403"/>
      <c r="JQ32" s="403"/>
      <c r="JR32" s="403"/>
      <c r="JS32" s="403"/>
      <c r="JT32" s="403"/>
    </row>
    <row r="33" spans="2:280" s="15" customFormat="1" ht="12.75" x14ac:dyDescent="0.2">
      <c r="B33" s="622"/>
      <c r="C33" s="5" t="str">
        <f t="shared" ca="1" si="26"/>
        <v>Delivery Modality 3</v>
      </c>
      <c r="J33" s="83" t="e">
        <f t="shared" ref="J33:O33" si="36">SUM(J217:J236)</f>
        <v>#N/A</v>
      </c>
      <c r="K33" s="83" t="e">
        <f t="shared" si="36"/>
        <v>#N/A</v>
      </c>
      <c r="L33" s="83" t="e">
        <f t="shared" si="36"/>
        <v>#N/A</v>
      </c>
      <c r="M33" s="83" t="e">
        <f t="shared" si="36"/>
        <v>#N/A</v>
      </c>
      <c r="N33" s="83" t="e">
        <f t="shared" si="36"/>
        <v>#N/A</v>
      </c>
      <c r="O33" s="83" t="e">
        <f t="shared" si="36"/>
        <v>#N/A</v>
      </c>
      <c r="P33" s="83" t="e">
        <f t="shared" si="33"/>
        <v>#N/A</v>
      </c>
      <c r="Q33" s="83"/>
      <c r="R33" s="12" t="str">
        <f t="shared" ca="1" si="20"/>
        <v/>
      </c>
      <c r="T33" s="241"/>
      <c r="U33" s="622"/>
      <c r="V33" s="5" t="str">
        <f t="shared" ca="1" si="28"/>
        <v>Delivery Modality 3</v>
      </c>
      <c r="W33" s="83" t="e">
        <f t="shared" ref="W33:AB33" si="37">SUM(W217:W236)</f>
        <v>#N/A</v>
      </c>
      <c r="X33" s="83" t="e">
        <f t="shared" si="37"/>
        <v>#N/A</v>
      </c>
      <c r="Y33" s="83" t="e">
        <f t="shared" si="37"/>
        <v>#N/A</v>
      </c>
      <c r="Z33" s="83" t="e">
        <f t="shared" si="37"/>
        <v>#N/A</v>
      </c>
      <c r="AA33" s="83" t="e">
        <f t="shared" si="37"/>
        <v>#N/A</v>
      </c>
      <c r="AB33" s="83" t="e">
        <f t="shared" si="37"/>
        <v>#N/A</v>
      </c>
      <c r="AC33" s="83" t="e">
        <f>SUM(W33:AB33)</f>
        <v>#N/A</v>
      </c>
      <c r="AD33" s="83"/>
      <c r="AF33" s="241"/>
      <c r="AG33" s="622"/>
      <c r="AH33" s="5" t="str">
        <f t="shared" ca="1" si="30"/>
        <v>Delivery Modality 3</v>
      </c>
      <c r="AI33" s="83" t="e">
        <f t="shared" ref="AI33:AN33" si="38">SUM(AI217:AI236)</f>
        <v>#N/A</v>
      </c>
      <c r="AJ33" s="83" t="e">
        <f t="shared" si="38"/>
        <v>#N/A</v>
      </c>
      <c r="AK33" s="83" t="e">
        <f t="shared" si="38"/>
        <v>#N/A</v>
      </c>
      <c r="AL33" s="83" t="e">
        <f t="shared" si="38"/>
        <v>#N/A</v>
      </c>
      <c r="AM33" s="83" t="e">
        <f t="shared" si="38"/>
        <v>#N/A</v>
      </c>
      <c r="AN33" s="83" t="e">
        <f t="shared" si="38"/>
        <v>#N/A</v>
      </c>
      <c r="AO33" s="83" t="e">
        <f>SUM(AI33:AN33)</f>
        <v>#N/A</v>
      </c>
      <c r="AP33" s="83"/>
      <c r="AR33" s="403"/>
      <c r="AS33" s="403"/>
      <c r="AT33" s="403"/>
      <c r="AU33" s="403" t="s">
        <v>1564</v>
      </c>
      <c r="AV33" s="403"/>
      <c r="AW33" s="403"/>
      <c r="AX33" s="403"/>
      <c r="AY33" s="403"/>
      <c r="AZ33" s="403"/>
      <c r="BA33" s="403"/>
      <c r="BB33" s="403"/>
      <c r="BC33" s="403"/>
      <c r="BD33" s="403"/>
      <c r="BE33" s="403"/>
      <c r="BF33" s="403"/>
      <c r="BG33" s="403"/>
      <c r="BH33" s="403"/>
      <c r="BI33" s="403"/>
      <c r="BJ33" s="403"/>
      <c r="BK33" s="403"/>
      <c r="BL33" s="403"/>
      <c r="BM33" s="403"/>
      <c r="BN33" s="403"/>
      <c r="BO33" s="403"/>
      <c r="BP33" s="403"/>
      <c r="BQ33" s="403"/>
      <c r="BR33" s="403"/>
      <c r="BS33" s="403"/>
      <c r="BT33" s="403"/>
      <c r="BU33" s="403"/>
      <c r="BV33" s="403"/>
      <c r="BW33" s="403"/>
      <c r="BX33" s="403"/>
      <c r="BY33" s="403"/>
      <c r="BZ33" s="403"/>
      <c r="CA33" s="403"/>
      <c r="CB33" s="403"/>
      <c r="CC33" s="403" t="s">
        <v>7418</v>
      </c>
      <c r="CD33" s="403"/>
      <c r="CE33" s="403"/>
      <c r="CF33" s="403"/>
      <c r="CG33" s="403"/>
      <c r="CH33" s="403"/>
      <c r="CI33" s="403"/>
      <c r="CJ33" s="403"/>
      <c r="CK33" s="403"/>
      <c r="CL33" s="403"/>
      <c r="CM33" s="403"/>
      <c r="CN33" s="403"/>
      <c r="CO33" s="403"/>
      <c r="CP33" s="403"/>
      <c r="CQ33" s="403"/>
      <c r="CR33" s="403"/>
      <c r="CS33" s="403"/>
      <c r="CT33" s="403"/>
      <c r="CU33" s="403"/>
      <c r="CV33" s="403"/>
      <c r="CW33" s="403"/>
      <c r="CX33" s="403"/>
      <c r="CY33" s="403"/>
      <c r="CZ33" s="403"/>
      <c r="DA33" s="403"/>
      <c r="DB33" s="403"/>
      <c r="DC33" s="403"/>
      <c r="DD33" s="403"/>
      <c r="DE33" s="403"/>
      <c r="DF33" s="403"/>
      <c r="DG33" s="403"/>
      <c r="DH33" s="403"/>
      <c r="DI33" s="403"/>
      <c r="DJ33" s="403"/>
      <c r="DK33" s="403" t="s">
        <v>9676</v>
      </c>
      <c r="DL33" s="403"/>
      <c r="DM33" s="403"/>
      <c r="DN33" s="403"/>
      <c r="DO33" s="403"/>
      <c r="DP33" s="403"/>
      <c r="DQ33" s="403"/>
      <c r="DR33" s="403"/>
      <c r="DS33" s="403"/>
      <c r="DT33" s="403"/>
      <c r="DU33" s="403"/>
      <c r="DV33" s="403"/>
      <c r="DW33" s="403"/>
      <c r="DX33" s="403"/>
      <c r="DY33" s="403"/>
      <c r="DZ33" s="403"/>
      <c r="EA33" s="403"/>
      <c r="EB33" s="403"/>
      <c r="EC33" s="403"/>
      <c r="ED33" s="403"/>
      <c r="EE33" s="403"/>
      <c r="EF33" s="403"/>
      <c r="EG33" s="403"/>
      <c r="EH33" s="403"/>
      <c r="EI33" s="403"/>
      <c r="EJ33" s="403"/>
      <c r="EK33" s="403"/>
      <c r="EL33" s="403"/>
      <c r="EM33" s="403"/>
      <c r="EN33" s="403"/>
      <c r="EO33" s="403"/>
      <c r="EP33" s="403"/>
      <c r="EQ33" s="403"/>
      <c r="ER33" s="403"/>
      <c r="ES33" s="403" t="s">
        <v>7420</v>
      </c>
      <c r="ET33" s="403"/>
      <c r="EU33" s="403"/>
      <c r="EV33" s="403"/>
      <c r="EW33" s="403"/>
      <c r="EX33" s="403"/>
      <c r="EY33" s="403"/>
      <c r="EZ33" s="403"/>
      <c r="FA33" s="403"/>
      <c r="FB33" s="403"/>
      <c r="FC33" s="403"/>
      <c r="FD33" s="403"/>
      <c r="FE33" s="403"/>
      <c r="FF33" s="403"/>
      <c r="FG33" s="403"/>
      <c r="FH33" s="403"/>
      <c r="FI33" s="403"/>
      <c r="FJ33" s="403"/>
      <c r="FK33" s="403"/>
      <c r="FL33" s="403"/>
      <c r="FM33" s="403"/>
      <c r="FN33" s="403"/>
      <c r="FO33" s="403"/>
      <c r="FP33" s="403"/>
      <c r="FQ33" s="403"/>
      <c r="FR33" s="403"/>
      <c r="FS33" s="403"/>
      <c r="FT33" s="403"/>
      <c r="FU33" s="403"/>
      <c r="FV33" s="403"/>
      <c r="FW33" s="403"/>
      <c r="FX33" s="403"/>
      <c r="FY33" s="403"/>
      <c r="FZ33" s="403"/>
      <c r="GA33" s="403" t="s">
        <v>7489</v>
      </c>
      <c r="GB33" s="403"/>
      <c r="GC33" s="403"/>
      <c r="GD33" s="403"/>
      <c r="GE33" s="403"/>
      <c r="GF33" s="403"/>
      <c r="GG33" s="403"/>
      <c r="GH33" s="403"/>
      <c r="GI33" s="403"/>
      <c r="GJ33" s="403"/>
      <c r="GK33" s="403"/>
      <c r="GL33" s="403"/>
      <c r="GM33" s="403"/>
      <c r="GN33" s="403"/>
      <c r="GO33" s="403"/>
      <c r="GP33" s="403"/>
      <c r="GQ33" s="403"/>
      <c r="GR33" s="403"/>
      <c r="GS33" s="403"/>
      <c r="GT33" s="403"/>
      <c r="GU33" s="403"/>
      <c r="GV33" s="403"/>
      <c r="GW33" s="403"/>
      <c r="GX33" s="403"/>
      <c r="GY33" s="403"/>
      <c r="GZ33" s="403"/>
      <c r="HA33" s="403"/>
      <c r="HB33" s="403"/>
      <c r="HC33" s="403"/>
      <c r="HD33" s="403"/>
      <c r="HE33" s="403"/>
      <c r="HF33" s="403"/>
      <c r="HG33" s="403"/>
      <c r="HH33" s="403"/>
      <c r="HI33" s="403" t="s">
        <v>7422</v>
      </c>
      <c r="HJ33" s="403"/>
      <c r="HK33" s="403"/>
      <c r="HL33" s="403"/>
      <c r="HM33" s="403"/>
      <c r="HN33" s="403"/>
      <c r="HO33" s="403"/>
      <c r="HP33" s="403"/>
      <c r="HQ33" s="403"/>
      <c r="HR33" s="403"/>
      <c r="HS33" s="403"/>
      <c r="HT33" s="403"/>
      <c r="HU33" s="403"/>
      <c r="HV33" s="403"/>
      <c r="HW33" s="403"/>
      <c r="HX33" s="403"/>
      <c r="HY33" s="403"/>
      <c r="HZ33" s="403"/>
      <c r="IA33" s="403"/>
      <c r="IB33" s="403"/>
      <c r="IC33" s="403"/>
      <c r="ID33" s="403"/>
      <c r="IE33" s="403"/>
      <c r="IF33" s="403"/>
      <c r="IG33" s="403"/>
      <c r="IH33" s="403"/>
      <c r="II33" s="403"/>
      <c r="IJ33" s="403"/>
      <c r="IK33" s="403"/>
      <c r="IL33" s="403"/>
      <c r="IM33" s="403"/>
      <c r="IN33" s="403"/>
      <c r="IO33" s="403"/>
      <c r="IP33" s="403"/>
      <c r="IQ33" s="403" t="s">
        <v>7423</v>
      </c>
      <c r="IR33" s="403"/>
      <c r="IS33" s="403"/>
      <c r="IT33" s="403"/>
      <c r="IU33" s="403"/>
      <c r="IV33" s="403"/>
      <c r="IW33" s="403"/>
      <c r="IX33" s="403"/>
      <c r="IY33" s="403"/>
      <c r="IZ33" s="403"/>
      <c r="JA33" s="403"/>
      <c r="JB33" s="403"/>
      <c r="JC33" s="403"/>
      <c r="JD33" s="403"/>
      <c r="JE33" s="403"/>
      <c r="JF33" s="403"/>
      <c r="JG33" s="403"/>
      <c r="JH33" s="403"/>
      <c r="JI33" s="403"/>
      <c r="JJ33" s="403"/>
      <c r="JK33" s="403"/>
      <c r="JL33" s="403"/>
      <c r="JM33" s="403"/>
      <c r="JN33" s="403"/>
      <c r="JO33" s="403"/>
      <c r="JP33" s="403"/>
      <c r="JQ33" s="403"/>
      <c r="JR33" s="403"/>
      <c r="JS33" s="403"/>
      <c r="JT33" s="403"/>
    </row>
    <row r="34" spans="2:280" s="15" customFormat="1" ht="12.75" x14ac:dyDescent="0.2">
      <c r="B34" s="622"/>
      <c r="C34" s="5" t="str">
        <f t="shared" ca="1" si="26"/>
        <v>Delivery Modality 4</v>
      </c>
      <c r="J34" s="83" t="e">
        <f t="shared" ref="J34:O34" si="39">SUM(J292:J311)</f>
        <v>#N/A</v>
      </c>
      <c r="K34" s="83" t="e">
        <f t="shared" si="39"/>
        <v>#N/A</v>
      </c>
      <c r="L34" s="83" t="e">
        <f t="shared" si="39"/>
        <v>#N/A</v>
      </c>
      <c r="M34" s="83" t="e">
        <f t="shared" si="39"/>
        <v>#N/A</v>
      </c>
      <c r="N34" s="83" t="e">
        <f t="shared" si="39"/>
        <v>#N/A</v>
      </c>
      <c r="O34" s="83" t="e">
        <f t="shared" si="39"/>
        <v>#N/A</v>
      </c>
      <c r="P34" s="83" t="e">
        <f t="shared" si="33"/>
        <v>#N/A</v>
      </c>
      <c r="Q34" s="83"/>
      <c r="R34" s="12" t="str">
        <f t="shared" ca="1" si="20"/>
        <v/>
      </c>
      <c r="T34" s="241"/>
      <c r="U34" s="622"/>
      <c r="V34" s="5" t="str">
        <f t="shared" ca="1" si="28"/>
        <v>Delivery Modality 4</v>
      </c>
      <c r="W34" s="83" t="e">
        <f t="shared" ref="W34:AB34" si="40">SUM(W292:W311)</f>
        <v>#N/A</v>
      </c>
      <c r="X34" s="83" t="e">
        <f t="shared" si="40"/>
        <v>#N/A</v>
      </c>
      <c r="Y34" s="83" t="e">
        <f t="shared" si="40"/>
        <v>#N/A</v>
      </c>
      <c r="Z34" s="83" t="e">
        <f t="shared" si="40"/>
        <v>#N/A</v>
      </c>
      <c r="AA34" s="83" t="e">
        <f t="shared" si="40"/>
        <v>#N/A</v>
      </c>
      <c r="AB34" s="83" t="e">
        <f t="shared" si="40"/>
        <v>#N/A</v>
      </c>
      <c r="AC34" s="83" t="e">
        <f>SUM(W34:AB34)</f>
        <v>#N/A</v>
      </c>
      <c r="AD34" s="83"/>
      <c r="AF34" s="241"/>
      <c r="AG34" s="622"/>
      <c r="AH34" s="5" t="str">
        <f t="shared" ca="1" si="30"/>
        <v>Delivery Modality 4</v>
      </c>
      <c r="AI34" s="83" t="e">
        <f t="shared" ref="AI34:AN34" si="41">SUM(AI292:AI311)</f>
        <v>#N/A</v>
      </c>
      <c r="AJ34" s="83" t="e">
        <f t="shared" si="41"/>
        <v>#N/A</v>
      </c>
      <c r="AK34" s="83" t="e">
        <f t="shared" si="41"/>
        <v>#N/A</v>
      </c>
      <c r="AL34" s="83" t="e">
        <f t="shared" si="41"/>
        <v>#N/A</v>
      </c>
      <c r="AM34" s="83" t="e">
        <f t="shared" si="41"/>
        <v>#N/A</v>
      </c>
      <c r="AN34" s="83" t="e">
        <f t="shared" si="41"/>
        <v>#N/A</v>
      </c>
      <c r="AO34" s="83" t="e">
        <f>SUM(AI34:AN34)</f>
        <v>#N/A</v>
      </c>
      <c r="AP34" s="83"/>
      <c r="AR34" s="403"/>
      <c r="AS34" s="403"/>
      <c r="AT34" s="403"/>
      <c r="AU34" s="403" t="s">
        <v>1565</v>
      </c>
      <c r="AV34" s="403"/>
      <c r="AW34" s="403"/>
      <c r="AX34" s="403"/>
      <c r="AY34" s="403"/>
      <c r="AZ34" s="403"/>
      <c r="BA34" s="403"/>
      <c r="BB34" s="403"/>
      <c r="BC34" s="403"/>
      <c r="BD34" s="403"/>
      <c r="BE34" s="403"/>
      <c r="BF34" s="403"/>
      <c r="BG34" s="403"/>
      <c r="BH34" s="403"/>
      <c r="BI34" s="403"/>
      <c r="BJ34" s="403"/>
      <c r="BK34" s="403"/>
      <c r="BL34" s="403"/>
      <c r="BM34" s="403"/>
      <c r="BN34" s="403"/>
      <c r="BO34" s="403"/>
      <c r="BP34" s="403"/>
      <c r="BQ34" s="403"/>
      <c r="BR34" s="403"/>
      <c r="BS34" s="403"/>
      <c r="BT34" s="403"/>
      <c r="BU34" s="403"/>
      <c r="BV34" s="403"/>
      <c r="BW34" s="403"/>
      <c r="BX34" s="403"/>
      <c r="BY34" s="403"/>
      <c r="BZ34" s="403"/>
      <c r="CA34" s="403"/>
      <c r="CB34" s="403"/>
      <c r="CC34" s="403" t="s">
        <v>7424</v>
      </c>
      <c r="CD34" s="403"/>
      <c r="CE34" s="403"/>
      <c r="CF34" s="403"/>
      <c r="CG34" s="403"/>
      <c r="CH34" s="403"/>
      <c r="CI34" s="403"/>
      <c r="CJ34" s="403"/>
      <c r="CK34" s="403"/>
      <c r="CL34" s="403"/>
      <c r="CM34" s="403"/>
      <c r="CN34" s="403"/>
      <c r="CO34" s="403"/>
      <c r="CP34" s="403"/>
      <c r="CQ34" s="403"/>
      <c r="CR34" s="403"/>
      <c r="CS34" s="403"/>
      <c r="CT34" s="403"/>
      <c r="CU34" s="403"/>
      <c r="CV34" s="403"/>
      <c r="CW34" s="403"/>
      <c r="CX34" s="403"/>
      <c r="CY34" s="403"/>
      <c r="CZ34" s="403"/>
      <c r="DA34" s="403"/>
      <c r="DB34" s="403"/>
      <c r="DC34" s="403"/>
      <c r="DD34" s="403"/>
      <c r="DE34" s="403"/>
      <c r="DF34" s="403"/>
      <c r="DG34" s="403"/>
      <c r="DH34" s="403"/>
      <c r="DI34" s="403"/>
      <c r="DJ34" s="403"/>
      <c r="DK34" s="403" t="s">
        <v>9726</v>
      </c>
      <c r="DL34" s="403"/>
      <c r="DM34" s="403"/>
      <c r="DN34" s="403"/>
      <c r="DO34" s="403"/>
      <c r="DP34" s="403"/>
      <c r="DQ34" s="403"/>
      <c r="DR34" s="403"/>
      <c r="DS34" s="403"/>
      <c r="DT34" s="403"/>
      <c r="DU34" s="403"/>
      <c r="DV34" s="403"/>
      <c r="DW34" s="403"/>
      <c r="DX34" s="403"/>
      <c r="DY34" s="403"/>
      <c r="DZ34" s="403"/>
      <c r="EA34" s="403"/>
      <c r="EB34" s="403"/>
      <c r="EC34" s="403"/>
      <c r="ED34" s="403"/>
      <c r="EE34" s="403"/>
      <c r="EF34" s="403"/>
      <c r="EG34" s="403"/>
      <c r="EH34" s="403"/>
      <c r="EI34" s="403"/>
      <c r="EJ34" s="403"/>
      <c r="EK34" s="403"/>
      <c r="EL34" s="403"/>
      <c r="EM34" s="403"/>
      <c r="EN34" s="403"/>
      <c r="EO34" s="403"/>
      <c r="EP34" s="403"/>
      <c r="EQ34" s="403"/>
      <c r="ER34" s="403"/>
      <c r="ES34" s="403" t="s">
        <v>7426</v>
      </c>
      <c r="ET34" s="403"/>
      <c r="EU34" s="403"/>
      <c r="EV34" s="403"/>
      <c r="EW34" s="403"/>
      <c r="EX34" s="403"/>
      <c r="EY34" s="403"/>
      <c r="EZ34" s="403"/>
      <c r="FA34" s="403"/>
      <c r="FB34" s="403"/>
      <c r="FC34" s="403"/>
      <c r="FD34" s="403"/>
      <c r="FE34" s="403"/>
      <c r="FF34" s="403"/>
      <c r="FG34" s="403"/>
      <c r="FH34" s="403"/>
      <c r="FI34" s="403"/>
      <c r="FJ34" s="403"/>
      <c r="FK34" s="403"/>
      <c r="FL34" s="403"/>
      <c r="FM34" s="403"/>
      <c r="FN34" s="403"/>
      <c r="FO34" s="403"/>
      <c r="FP34" s="403"/>
      <c r="FQ34" s="403"/>
      <c r="FR34" s="403"/>
      <c r="FS34" s="403"/>
      <c r="FT34" s="403"/>
      <c r="FU34" s="403"/>
      <c r="FV34" s="403"/>
      <c r="FW34" s="403"/>
      <c r="FX34" s="403"/>
      <c r="FY34" s="403"/>
      <c r="FZ34" s="403"/>
      <c r="GA34" s="403" t="s">
        <v>7491</v>
      </c>
      <c r="GB34" s="403"/>
      <c r="GC34" s="403"/>
      <c r="GD34" s="403"/>
      <c r="GE34" s="403"/>
      <c r="GF34" s="403"/>
      <c r="GG34" s="403"/>
      <c r="GH34" s="403"/>
      <c r="GI34" s="403"/>
      <c r="GJ34" s="403"/>
      <c r="GK34" s="403"/>
      <c r="GL34" s="403"/>
      <c r="GM34" s="403"/>
      <c r="GN34" s="403"/>
      <c r="GO34" s="403"/>
      <c r="GP34" s="403"/>
      <c r="GQ34" s="403"/>
      <c r="GR34" s="403"/>
      <c r="GS34" s="403"/>
      <c r="GT34" s="403"/>
      <c r="GU34" s="403"/>
      <c r="GV34" s="403"/>
      <c r="GW34" s="403"/>
      <c r="GX34" s="403"/>
      <c r="GY34" s="403"/>
      <c r="GZ34" s="403"/>
      <c r="HA34" s="403"/>
      <c r="HB34" s="403"/>
      <c r="HC34" s="403"/>
      <c r="HD34" s="403"/>
      <c r="HE34" s="403"/>
      <c r="HF34" s="403"/>
      <c r="HG34" s="403"/>
      <c r="HH34" s="403"/>
      <c r="HI34" s="403" t="s">
        <v>7428</v>
      </c>
      <c r="HJ34" s="403"/>
      <c r="HK34" s="403"/>
      <c r="HL34" s="403"/>
      <c r="HM34" s="403"/>
      <c r="HN34" s="403"/>
      <c r="HO34" s="403"/>
      <c r="HP34" s="403"/>
      <c r="HQ34" s="403"/>
      <c r="HR34" s="403"/>
      <c r="HS34" s="403"/>
      <c r="HT34" s="403"/>
      <c r="HU34" s="403"/>
      <c r="HV34" s="403"/>
      <c r="HW34" s="403"/>
      <c r="HX34" s="403"/>
      <c r="HY34" s="403"/>
      <c r="HZ34" s="403"/>
      <c r="IA34" s="403"/>
      <c r="IB34" s="403"/>
      <c r="IC34" s="403"/>
      <c r="ID34" s="403"/>
      <c r="IE34" s="403"/>
      <c r="IF34" s="403"/>
      <c r="IG34" s="403"/>
      <c r="IH34" s="403"/>
      <c r="II34" s="403"/>
      <c r="IJ34" s="403"/>
      <c r="IK34" s="403"/>
      <c r="IL34" s="403"/>
      <c r="IM34" s="403"/>
      <c r="IN34" s="403"/>
      <c r="IO34" s="403"/>
      <c r="IP34" s="403"/>
      <c r="IQ34" s="403" t="s">
        <v>7429</v>
      </c>
      <c r="IR34" s="403"/>
      <c r="IS34" s="403"/>
      <c r="IT34" s="403"/>
      <c r="IU34" s="403"/>
      <c r="IV34" s="403"/>
      <c r="IW34" s="403"/>
      <c r="IX34" s="403"/>
      <c r="IY34" s="403"/>
      <c r="IZ34" s="403"/>
      <c r="JA34" s="403"/>
      <c r="JB34" s="403"/>
      <c r="JC34" s="403"/>
      <c r="JD34" s="403"/>
      <c r="JE34" s="403"/>
      <c r="JF34" s="403"/>
      <c r="JG34" s="403"/>
      <c r="JH34" s="403"/>
      <c r="JI34" s="403"/>
      <c r="JJ34" s="403"/>
      <c r="JK34" s="403"/>
      <c r="JL34" s="403"/>
      <c r="JM34" s="403"/>
      <c r="JN34" s="403"/>
      <c r="JO34" s="403"/>
      <c r="JP34" s="403"/>
      <c r="JQ34" s="403"/>
      <c r="JR34" s="403"/>
      <c r="JS34" s="403"/>
      <c r="JT34" s="403"/>
    </row>
    <row r="35" spans="2:280" s="15" customFormat="1" ht="12.75" x14ac:dyDescent="0.2">
      <c r="B35" s="622"/>
      <c r="C35" s="270" t="str">
        <f t="shared" ca="1" si="26"/>
        <v>Local HRH (all Delivery Modalities)</v>
      </c>
      <c r="J35" s="83" t="e">
        <f t="shared" ref="J35:O35" si="42">J85</f>
        <v>#DIV/0!</v>
      </c>
      <c r="K35" s="83" t="e">
        <f t="shared" si="42"/>
        <v>#DIV/0!</v>
      </c>
      <c r="L35" s="83" t="e">
        <f t="shared" si="42"/>
        <v>#DIV/0!</v>
      </c>
      <c r="M35" s="83" t="e">
        <f t="shared" si="42"/>
        <v>#DIV/0!</v>
      </c>
      <c r="N35" s="83" t="e">
        <f t="shared" si="42"/>
        <v>#DIV/0!</v>
      </c>
      <c r="O35" s="83" t="e">
        <f t="shared" si="42"/>
        <v>#DIV/0!</v>
      </c>
      <c r="P35" s="83" t="e">
        <f t="shared" si="33"/>
        <v>#DIV/0!</v>
      </c>
      <c r="Q35" s="83"/>
      <c r="R35" s="12" t="str">
        <f t="shared" ca="1" si="20"/>
        <v/>
      </c>
      <c r="T35" s="241"/>
      <c r="U35" s="622"/>
      <c r="V35" s="5" t="str">
        <f t="shared" ca="1" si="28"/>
        <v>Local HRH (all Delivery Modalities)</v>
      </c>
      <c r="W35" s="83" t="e">
        <f>W85</f>
        <v>#DIV/0!</v>
      </c>
      <c r="X35" s="83" t="e">
        <f t="shared" ref="X35:AC35" si="43">X85</f>
        <v>#DIV/0!</v>
      </c>
      <c r="Y35" s="83" t="e">
        <f t="shared" si="43"/>
        <v>#DIV/0!</v>
      </c>
      <c r="Z35" s="83" t="e">
        <f t="shared" si="43"/>
        <v>#DIV/0!</v>
      </c>
      <c r="AA35" s="83" t="e">
        <f t="shared" si="43"/>
        <v>#DIV/0!</v>
      </c>
      <c r="AB35" s="83" t="e">
        <f t="shared" si="43"/>
        <v>#DIV/0!</v>
      </c>
      <c r="AC35" s="83" t="e">
        <f t="shared" si="43"/>
        <v>#DIV/0!</v>
      </c>
      <c r="AD35" s="83"/>
      <c r="AF35" s="241"/>
      <c r="AG35" s="622"/>
      <c r="AH35" s="5" t="str">
        <f t="shared" ca="1" si="30"/>
        <v>Local HRH (all Delivery Modalities)</v>
      </c>
      <c r="AI35" s="83" t="e">
        <f>AI85</f>
        <v>#DIV/0!</v>
      </c>
      <c r="AJ35" s="83" t="e">
        <f t="shared" ref="AJ35:AO35" si="44">AJ85</f>
        <v>#DIV/0!</v>
      </c>
      <c r="AK35" s="83" t="e">
        <f t="shared" si="44"/>
        <v>#DIV/0!</v>
      </c>
      <c r="AL35" s="83" t="e">
        <f t="shared" si="44"/>
        <v>#DIV/0!</v>
      </c>
      <c r="AM35" s="83" t="e">
        <f t="shared" si="44"/>
        <v>#DIV/0!</v>
      </c>
      <c r="AN35" s="83" t="e">
        <f t="shared" si="44"/>
        <v>#DIV/0!</v>
      </c>
      <c r="AO35" s="83" t="e">
        <f t="shared" si="44"/>
        <v>#DIV/0!</v>
      </c>
      <c r="AP35" s="83"/>
      <c r="AR35" s="403"/>
      <c r="AS35" s="403"/>
      <c r="AT35" s="403"/>
      <c r="AU35" s="403" t="s">
        <v>2180</v>
      </c>
      <c r="AV35" s="403"/>
      <c r="AW35" s="403"/>
      <c r="AX35" s="403"/>
      <c r="AY35" s="403"/>
      <c r="AZ35" s="403"/>
      <c r="BA35" s="403"/>
      <c r="BB35" s="403"/>
      <c r="BC35" s="403"/>
      <c r="BD35" s="403"/>
      <c r="BE35" s="403"/>
      <c r="BF35" s="403"/>
      <c r="BG35" s="403"/>
      <c r="BH35" s="403"/>
      <c r="BI35" s="403"/>
      <c r="BJ35" s="403"/>
      <c r="BK35" s="403"/>
      <c r="BL35" s="403"/>
      <c r="BM35" s="403"/>
      <c r="BN35" s="403"/>
      <c r="BO35" s="403"/>
      <c r="BP35" s="403"/>
      <c r="BQ35" s="403"/>
      <c r="BR35" s="403"/>
      <c r="BS35" s="403"/>
      <c r="BT35" s="403"/>
      <c r="BU35" s="403"/>
      <c r="BV35" s="403"/>
      <c r="BW35" s="403"/>
      <c r="BX35" s="403"/>
      <c r="BY35" s="403"/>
      <c r="BZ35" s="403"/>
      <c r="CA35" s="403"/>
      <c r="CB35" s="403"/>
      <c r="CC35" s="403" t="s">
        <v>11572</v>
      </c>
      <c r="CD35" s="403"/>
      <c r="CE35" s="403"/>
      <c r="CF35" s="403"/>
      <c r="CG35" s="403"/>
      <c r="CH35" s="403"/>
      <c r="CI35" s="403"/>
      <c r="CJ35" s="403"/>
      <c r="CK35" s="403"/>
      <c r="CL35" s="403"/>
      <c r="CM35" s="403"/>
      <c r="CN35" s="403"/>
      <c r="CO35" s="403"/>
      <c r="CP35" s="403"/>
      <c r="CQ35" s="403"/>
      <c r="CR35" s="403"/>
      <c r="CS35" s="403"/>
      <c r="CT35" s="403"/>
      <c r="CU35" s="403"/>
      <c r="CV35" s="403"/>
      <c r="CW35" s="403"/>
      <c r="CX35" s="403"/>
      <c r="CY35" s="403"/>
      <c r="CZ35" s="403"/>
      <c r="DA35" s="403"/>
      <c r="DB35" s="403"/>
      <c r="DC35" s="403"/>
      <c r="DD35" s="403"/>
      <c r="DE35" s="403"/>
      <c r="DF35" s="403"/>
      <c r="DG35" s="403"/>
      <c r="DH35" s="403"/>
      <c r="DI35" s="403"/>
      <c r="DJ35" s="403"/>
      <c r="DK35" s="403" t="s">
        <v>11573</v>
      </c>
      <c r="DL35" s="403"/>
      <c r="DM35" s="403"/>
      <c r="DN35" s="403"/>
      <c r="DO35" s="403"/>
      <c r="DP35" s="403"/>
      <c r="DQ35" s="403"/>
      <c r="DR35" s="403"/>
      <c r="DS35" s="403"/>
      <c r="DT35" s="403"/>
      <c r="DU35" s="403"/>
      <c r="DV35" s="403"/>
      <c r="DW35" s="403"/>
      <c r="DX35" s="403"/>
      <c r="DY35" s="403"/>
      <c r="DZ35" s="403"/>
      <c r="EA35" s="403"/>
      <c r="EB35" s="403"/>
      <c r="EC35" s="403"/>
      <c r="ED35" s="403"/>
      <c r="EE35" s="403"/>
      <c r="EF35" s="403"/>
      <c r="EG35" s="403"/>
      <c r="EH35" s="403"/>
      <c r="EI35" s="403"/>
      <c r="EJ35" s="403"/>
      <c r="EK35" s="403"/>
      <c r="EL35" s="403"/>
      <c r="EM35" s="403"/>
      <c r="EN35" s="403"/>
      <c r="EO35" s="403"/>
      <c r="EP35" s="403"/>
      <c r="EQ35" s="403"/>
      <c r="ER35" s="403"/>
      <c r="ES35" s="403" t="s">
        <v>11574</v>
      </c>
      <c r="ET35" s="403"/>
      <c r="EU35" s="403"/>
      <c r="EV35" s="403"/>
      <c r="EW35" s="403"/>
      <c r="EX35" s="403"/>
      <c r="EY35" s="403"/>
      <c r="EZ35" s="403"/>
      <c r="FA35" s="403"/>
      <c r="FB35" s="403"/>
      <c r="FC35" s="403"/>
      <c r="FD35" s="403"/>
      <c r="FE35" s="403"/>
      <c r="FF35" s="403"/>
      <c r="FG35" s="403"/>
      <c r="FH35" s="403"/>
      <c r="FI35" s="403"/>
      <c r="FJ35" s="403"/>
      <c r="FK35" s="403"/>
      <c r="FL35" s="403"/>
      <c r="FM35" s="403"/>
      <c r="FN35" s="403"/>
      <c r="FO35" s="403"/>
      <c r="FP35" s="403"/>
      <c r="FQ35" s="403"/>
      <c r="FR35" s="403"/>
      <c r="FS35" s="403"/>
      <c r="FT35" s="403"/>
      <c r="FU35" s="403"/>
      <c r="FV35" s="403"/>
      <c r="FW35" s="403"/>
      <c r="FX35" s="403"/>
      <c r="FY35" s="403"/>
      <c r="FZ35" s="403"/>
      <c r="GA35" s="403" t="s">
        <v>11575</v>
      </c>
      <c r="GB35" s="403"/>
      <c r="GC35" s="403"/>
      <c r="GD35" s="403"/>
      <c r="GE35" s="403"/>
      <c r="GF35" s="403"/>
      <c r="GG35" s="403"/>
      <c r="GH35" s="403"/>
      <c r="GI35" s="403"/>
      <c r="GJ35" s="403"/>
      <c r="GK35" s="403"/>
      <c r="GL35" s="403"/>
      <c r="GM35" s="403"/>
      <c r="GN35" s="403"/>
      <c r="GO35" s="403"/>
      <c r="GP35" s="403"/>
      <c r="GQ35" s="403"/>
      <c r="GR35" s="403"/>
      <c r="GS35" s="403"/>
      <c r="GT35" s="403"/>
      <c r="GU35" s="403"/>
      <c r="GV35" s="403"/>
      <c r="GW35" s="403"/>
      <c r="GX35" s="403"/>
      <c r="GY35" s="403"/>
      <c r="GZ35" s="403"/>
      <c r="HA35" s="403"/>
      <c r="HB35" s="403"/>
      <c r="HC35" s="403"/>
      <c r="HD35" s="403"/>
      <c r="HE35" s="403"/>
      <c r="HF35" s="403"/>
      <c r="HG35" s="403"/>
      <c r="HH35" s="403"/>
      <c r="HI35" s="403" t="s">
        <v>11576</v>
      </c>
      <c r="HJ35" s="403"/>
      <c r="HK35" s="403"/>
      <c r="HL35" s="403"/>
      <c r="HM35" s="403"/>
      <c r="HN35" s="403"/>
      <c r="HO35" s="403"/>
      <c r="HP35" s="403"/>
      <c r="HQ35" s="403"/>
      <c r="HR35" s="403"/>
      <c r="HS35" s="403"/>
      <c r="HT35" s="403"/>
      <c r="HU35" s="403"/>
      <c r="HV35" s="403"/>
      <c r="HW35" s="403"/>
      <c r="HX35" s="403"/>
      <c r="HY35" s="403"/>
      <c r="HZ35" s="403"/>
      <c r="IA35" s="403"/>
      <c r="IB35" s="403"/>
      <c r="IC35" s="403"/>
      <c r="ID35" s="403"/>
      <c r="IE35" s="403"/>
      <c r="IF35" s="403"/>
      <c r="IG35" s="403"/>
      <c r="IH35" s="403"/>
      <c r="II35" s="403"/>
      <c r="IJ35" s="403"/>
      <c r="IK35" s="403"/>
      <c r="IL35" s="403"/>
      <c r="IM35" s="403"/>
      <c r="IN35" s="403"/>
      <c r="IO35" s="403"/>
      <c r="IP35" s="403"/>
      <c r="IQ35" s="403" t="s">
        <v>11577</v>
      </c>
      <c r="IR35" s="403"/>
      <c r="IS35" s="403"/>
      <c r="IT35" s="403"/>
      <c r="IU35" s="403"/>
      <c r="IV35" s="403"/>
      <c r="IW35" s="403"/>
      <c r="IX35" s="403"/>
      <c r="IY35" s="403"/>
      <c r="IZ35" s="403"/>
      <c r="JA35" s="403"/>
      <c r="JB35" s="403"/>
      <c r="JC35" s="403"/>
      <c r="JD35" s="403"/>
      <c r="JE35" s="403"/>
      <c r="JF35" s="403"/>
      <c r="JG35" s="403"/>
      <c r="JH35" s="403"/>
      <c r="JI35" s="403"/>
      <c r="JJ35" s="403"/>
      <c r="JK35" s="403"/>
      <c r="JL35" s="403"/>
      <c r="JM35" s="403"/>
      <c r="JN35" s="403"/>
      <c r="JO35" s="403"/>
      <c r="JP35" s="403"/>
      <c r="JQ35" s="403"/>
      <c r="JR35" s="403"/>
      <c r="JS35" s="403"/>
      <c r="JT35" s="403"/>
    </row>
    <row r="36" spans="2:280" s="15" customFormat="1" ht="26.25" thickBot="1" x14ac:dyDescent="0.25">
      <c r="B36" s="622"/>
      <c r="C36" s="537" t="str">
        <f t="shared" ca="1" si="26"/>
        <v>Total Local Delivery Costs (excluding vaccines and related supplies)</v>
      </c>
      <c r="D36" s="20"/>
      <c r="E36" s="20"/>
      <c r="F36" s="20"/>
      <c r="G36" s="20"/>
      <c r="H36" s="20"/>
      <c r="I36" s="20"/>
      <c r="J36" s="84" t="e">
        <f t="shared" ref="J36:P36" si="45">SUM(J31:J35)</f>
        <v>#N/A</v>
      </c>
      <c r="K36" s="84" t="e">
        <f t="shared" si="45"/>
        <v>#N/A</v>
      </c>
      <c r="L36" s="84" t="e">
        <f t="shared" si="45"/>
        <v>#N/A</v>
      </c>
      <c r="M36" s="84" t="e">
        <f t="shared" si="45"/>
        <v>#N/A</v>
      </c>
      <c r="N36" s="84" t="e">
        <f t="shared" si="45"/>
        <v>#N/A</v>
      </c>
      <c r="O36" s="84" t="e">
        <f t="shared" si="45"/>
        <v>#N/A</v>
      </c>
      <c r="P36" s="493" t="e">
        <f t="shared" si="45"/>
        <v>#N/A</v>
      </c>
      <c r="Q36" s="84"/>
      <c r="R36" s="12" t="str">
        <f t="shared" ca="1" si="20"/>
        <v/>
      </c>
      <c r="T36" s="241"/>
      <c r="U36" s="622"/>
      <c r="V36" s="537" t="str">
        <f t="shared" ca="1" si="28"/>
        <v>Total Local Delivery Costs (excluding vaccines and related supplies)</v>
      </c>
      <c r="W36" s="84" t="e">
        <f t="shared" ref="W36:AC36" si="46">SUM(W31:W35)</f>
        <v>#N/A</v>
      </c>
      <c r="X36" s="84" t="e">
        <f t="shared" si="46"/>
        <v>#N/A</v>
      </c>
      <c r="Y36" s="84" t="e">
        <f t="shared" si="46"/>
        <v>#N/A</v>
      </c>
      <c r="Z36" s="84" t="e">
        <f t="shared" si="46"/>
        <v>#N/A</v>
      </c>
      <c r="AA36" s="84" t="e">
        <f t="shared" si="46"/>
        <v>#N/A</v>
      </c>
      <c r="AB36" s="84" t="e">
        <f t="shared" si="46"/>
        <v>#N/A</v>
      </c>
      <c r="AC36" s="493" t="e">
        <f t="shared" si="46"/>
        <v>#N/A</v>
      </c>
      <c r="AD36" s="84"/>
      <c r="AF36" s="241"/>
      <c r="AG36" s="622"/>
      <c r="AH36" s="537" t="str">
        <f t="shared" ca="1" si="30"/>
        <v>Total Local Delivery Costs (excluding vaccines and related supplies)</v>
      </c>
      <c r="AI36" s="84" t="e">
        <f t="shared" ref="AI36:AO36" si="47">SUM(AI31:AI35)</f>
        <v>#N/A</v>
      </c>
      <c r="AJ36" s="84" t="e">
        <f t="shared" si="47"/>
        <v>#N/A</v>
      </c>
      <c r="AK36" s="84" t="e">
        <f t="shared" si="47"/>
        <v>#N/A</v>
      </c>
      <c r="AL36" s="84" t="e">
        <f t="shared" si="47"/>
        <v>#N/A</v>
      </c>
      <c r="AM36" s="84" t="e">
        <f t="shared" si="47"/>
        <v>#N/A</v>
      </c>
      <c r="AN36" s="84" t="e">
        <f t="shared" si="47"/>
        <v>#N/A</v>
      </c>
      <c r="AO36" s="493" t="e">
        <f t="shared" si="47"/>
        <v>#N/A</v>
      </c>
      <c r="AP36" s="84"/>
      <c r="AR36" s="403"/>
      <c r="AS36" s="403"/>
      <c r="AT36" s="403"/>
      <c r="AU36" s="403" t="s">
        <v>1640</v>
      </c>
      <c r="AV36" s="403"/>
      <c r="AW36" s="403"/>
      <c r="AX36" s="403"/>
      <c r="AY36" s="403"/>
      <c r="AZ36" s="403"/>
      <c r="BA36" s="403"/>
      <c r="BB36" s="403"/>
      <c r="BC36" s="403"/>
      <c r="BD36" s="403"/>
      <c r="BE36" s="403"/>
      <c r="BF36" s="403"/>
      <c r="BG36" s="403"/>
      <c r="BH36" s="403"/>
      <c r="BI36" s="403"/>
      <c r="BJ36" s="403"/>
      <c r="BK36" s="403"/>
      <c r="BL36" s="403"/>
      <c r="BM36" s="403"/>
      <c r="BN36" s="403"/>
      <c r="BO36" s="403"/>
      <c r="BP36" s="403"/>
      <c r="BQ36" s="403"/>
      <c r="BR36" s="403"/>
      <c r="BS36" s="403"/>
      <c r="BT36" s="403"/>
      <c r="BU36" s="403"/>
      <c r="BV36" s="403"/>
      <c r="BW36" s="403"/>
      <c r="BX36" s="403"/>
      <c r="BY36" s="403"/>
      <c r="BZ36" s="403"/>
      <c r="CA36" s="403"/>
      <c r="CB36" s="403"/>
      <c r="CC36" s="403" t="s">
        <v>11578</v>
      </c>
      <c r="CD36" s="403"/>
      <c r="CE36" s="403"/>
      <c r="CF36" s="403"/>
      <c r="CG36" s="403"/>
      <c r="CH36" s="403"/>
      <c r="CI36" s="403"/>
      <c r="CJ36" s="403"/>
      <c r="CK36" s="403"/>
      <c r="CL36" s="403"/>
      <c r="CM36" s="403"/>
      <c r="CN36" s="403"/>
      <c r="CO36" s="403"/>
      <c r="CP36" s="403"/>
      <c r="CQ36" s="403"/>
      <c r="CR36" s="403"/>
      <c r="CS36" s="403"/>
      <c r="CT36" s="403"/>
      <c r="CU36" s="403"/>
      <c r="CV36" s="403"/>
      <c r="CW36" s="403"/>
      <c r="CX36" s="403"/>
      <c r="CY36" s="403"/>
      <c r="CZ36" s="403"/>
      <c r="DA36" s="403"/>
      <c r="DB36" s="403"/>
      <c r="DC36" s="403"/>
      <c r="DD36" s="403"/>
      <c r="DE36" s="403"/>
      <c r="DF36" s="403"/>
      <c r="DG36" s="403"/>
      <c r="DH36" s="403"/>
      <c r="DI36" s="403"/>
      <c r="DJ36" s="403"/>
      <c r="DK36" s="403" t="s">
        <v>11579</v>
      </c>
      <c r="DL36" s="403"/>
      <c r="DM36" s="403"/>
      <c r="DN36" s="403"/>
      <c r="DO36" s="403"/>
      <c r="DP36" s="403"/>
      <c r="DQ36" s="403"/>
      <c r="DR36" s="403"/>
      <c r="DS36" s="403"/>
      <c r="DT36" s="403"/>
      <c r="DU36" s="403"/>
      <c r="DV36" s="403"/>
      <c r="DW36" s="403"/>
      <c r="DX36" s="403"/>
      <c r="DY36" s="403"/>
      <c r="DZ36" s="403"/>
      <c r="EA36" s="403"/>
      <c r="EB36" s="403"/>
      <c r="EC36" s="403"/>
      <c r="ED36" s="403"/>
      <c r="EE36" s="403"/>
      <c r="EF36" s="403"/>
      <c r="EG36" s="403"/>
      <c r="EH36" s="403"/>
      <c r="EI36" s="403"/>
      <c r="EJ36" s="403"/>
      <c r="EK36" s="403"/>
      <c r="EL36" s="403"/>
      <c r="EM36" s="403"/>
      <c r="EN36" s="403"/>
      <c r="EO36" s="403"/>
      <c r="EP36" s="403"/>
      <c r="EQ36" s="403"/>
      <c r="ER36" s="403"/>
      <c r="ES36" s="403" t="s">
        <v>11580</v>
      </c>
      <c r="ET36" s="403"/>
      <c r="EU36" s="403"/>
      <c r="EV36" s="403"/>
      <c r="EW36" s="403"/>
      <c r="EX36" s="403"/>
      <c r="EY36" s="403"/>
      <c r="EZ36" s="403"/>
      <c r="FA36" s="403"/>
      <c r="FB36" s="403"/>
      <c r="FC36" s="403"/>
      <c r="FD36" s="403"/>
      <c r="FE36" s="403"/>
      <c r="FF36" s="403"/>
      <c r="FG36" s="403"/>
      <c r="FH36" s="403"/>
      <c r="FI36" s="403"/>
      <c r="FJ36" s="403"/>
      <c r="FK36" s="403"/>
      <c r="FL36" s="403"/>
      <c r="FM36" s="403"/>
      <c r="FN36" s="403"/>
      <c r="FO36" s="403"/>
      <c r="FP36" s="403"/>
      <c r="FQ36" s="403"/>
      <c r="FR36" s="403"/>
      <c r="FS36" s="403"/>
      <c r="FT36" s="403"/>
      <c r="FU36" s="403"/>
      <c r="FV36" s="403"/>
      <c r="FW36" s="403"/>
      <c r="FX36" s="403"/>
      <c r="FY36" s="403"/>
      <c r="FZ36" s="403"/>
      <c r="GA36" s="403" t="s">
        <v>11581</v>
      </c>
      <c r="GB36" s="403"/>
      <c r="GC36" s="403"/>
      <c r="GD36" s="403"/>
      <c r="GE36" s="403"/>
      <c r="GF36" s="403"/>
      <c r="GG36" s="403"/>
      <c r="GH36" s="403"/>
      <c r="GI36" s="403"/>
      <c r="GJ36" s="403"/>
      <c r="GK36" s="403"/>
      <c r="GL36" s="403"/>
      <c r="GM36" s="403"/>
      <c r="GN36" s="403"/>
      <c r="GO36" s="403"/>
      <c r="GP36" s="403"/>
      <c r="GQ36" s="403"/>
      <c r="GR36" s="403"/>
      <c r="GS36" s="403"/>
      <c r="GT36" s="403"/>
      <c r="GU36" s="403"/>
      <c r="GV36" s="403"/>
      <c r="GW36" s="403"/>
      <c r="GX36" s="403"/>
      <c r="GY36" s="403"/>
      <c r="GZ36" s="403"/>
      <c r="HA36" s="403"/>
      <c r="HB36" s="403"/>
      <c r="HC36" s="403"/>
      <c r="HD36" s="403"/>
      <c r="HE36" s="403"/>
      <c r="HF36" s="403"/>
      <c r="HG36" s="403"/>
      <c r="HH36" s="403"/>
      <c r="HI36" s="403" t="s">
        <v>11582</v>
      </c>
      <c r="HJ36" s="403"/>
      <c r="HK36" s="403"/>
      <c r="HL36" s="403"/>
      <c r="HM36" s="403"/>
      <c r="HN36" s="403"/>
      <c r="HO36" s="403"/>
      <c r="HP36" s="403"/>
      <c r="HQ36" s="403"/>
      <c r="HR36" s="403"/>
      <c r="HS36" s="403"/>
      <c r="HT36" s="403"/>
      <c r="HU36" s="403"/>
      <c r="HV36" s="403"/>
      <c r="HW36" s="403"/>
      <c r="HX36" s="403"/>
      <c r="HY36" s="403"/>
      <c r="HZ36" s="403"/>
      <c r="IA36" s="403"/>
      <c r="IB36" s="403"/>
      <c r="IC36" s="403"/>
      <c r="ID36" s="403"/>
      <c r="IE36" s="403"/>
      <c r="IF36" s="403"/>
      <c r="IG36" s="403"/>
      <c r="IH36" s="403"/>
      <c r="II36" s="403"/>
      <c r="IJ36" s="403"/>
      <c r="IK36" s="403"/>
      <c r="IL36" s="403"/>
      <c r="IM36" s="403"/>
      <c r="IN36" s="403"/>
      <c r="IO36" s="403"/>
      <c r="IP36" s="403"/>
      <c r="IQ36" s="403" t="s">
        <v>11583</v>
      </c>
      <c r="IR36" s="403"/>
      <c r="IS36" s="403"/>
      <c r="IT36" s="403"/>
      <c r="IU36" s="403"/>
      <c r="IV36" s="403"/>
      <c r="IW36" s="403"/>
      <c r="IX36" s="403"/>
      <c r="IY36" s="403"/>
      <c r="IZ36" s="403"/>
      <c r="JA36" s="403"/>
      <c r="JB36" s="403"/>
      <c r="JC36" s="403"/>
      <c r="JD36" s="403"/>
      <c r="JE36" s="403"/>
      <c r="JF36" s="403"/>
      <c r="JG36" s="403"/>
      <c r="JH36" s="403"/>
      <c r="JI36" s="403"/>
      <c r="JJ36" s="403"/>
      <c r="JK36" s="403"/>
      <c r="JL36" s="403"/>
      <c r="JM36" s="403"/>
      <c r="JN36" s="403"/>
      <c r="JO36" s="403"/>
      <c r="JP36" s="403"/>
      <c r="JQ36" s="403"/>
      <c r="JR36" s="403"/>
      <c r="JS36" s="403"/>
      <c r="JT36" s="403"/>
    </row>
    <row r="37" spans="2:280" s="15" customFormat="1" ht="13.5" thickTop="1" x14ac:dyDescent="0.2">
      <c r="B37" s="622"/>
      <c r="C37" s="5"/>
      <c r="J37" s="16"/>
      <c r="K37" s="16"/>
      <c r="L37" s="16"/>
      <c r="M37" s="16"/>
      <c r="N37" s="16"/>
      <c r="O37" s="16"/>
      <c r="P37" s="16"/>
      <c r="Q37" s="16"/>
      <c r="R37" s="16"/>
      <c r="T37" s="241"/>
      <c r="U37" s="622"/>
      <c r="V37" s="5"/>
      <c r="W37" s="16"/>
      <c r="X37" s="16"/>
      <c r="Y37" s="16"/>
      <c r="Z37" s="16"/>
      <c r="AA37" s="16"/>
      <c r="AB37" s="16"/>
      <c r="AC37" s="16"/>
      <c r="AD37" s="16"/>
      <c r="AF37" s="241"/>
      <c r="AG37" s="622"/>
      <c r="AH37" s="5"/>
      <c r="AI37" s="16"/>
      <c r="AJ37" s="16"/>
      <c r="AK37" s="16"/>
      <c r="AL37" s="16"/>
      <c r="AM37" s="16"/>
      <c r="AN37" s="16"/>
      <c r="AO37" s="16"/>
      <c r="AP37" s="16"/>
      <c r="AR37" s="403"/>
      <c r="AS37" s="403"/>
      <c r="AT37" s="403"/>
      <c r="AU37" s="403"/>
      <c r="AV37" s="403"/>
      <c r="AW37" s="403"/>
      <c r="AX37" s="403"/>
      <c r="AY37" s="403"/>
      <c r="AZ37" s="403"/>
      <c r="BA37" s="403"/>
      <c r="BB37" s="403"/>
      <c r="BC37" s="403"/>
      <c r="BD37" s="403"/>
      <c r="BE37" s="403"/>
      <c r="BF37" s="403"/>
      <c r="BG37" s="403"/>
      <c r="BH37" s="403"/>
      <c r="BI37" s="403"/>
      <c r="BJ37" s="403"/>
      <c r="BK37" s="403"/>
      <c r="BL37" s="403"/>
      <c r="BM37" s="403"/>
      <c r="BN37" s="403"/>
      <c r="BO37" s="403"/>
      <c r="BP37" s="403"/>
      <c r="BQ37" s="403"/>
      <c r="BR37" s="403"/>
      <c r="BS37" s="403"/>
      <c r="BT37" s="403"/>
      <c r="BU37" s="403"/>
      <c r="BV37" s="403"/>
      <c r="BW37" s="403"/>
      <c r="BX37" s="403"/>
      <c r="BY37" s="403"/>
      <c r="BZ37" s="403"/>
      <c r="CA37" s="403"/>
      <c r="CB37" s="403"/>
      <c r="CC37" s="403"/>
      <c r="CD37" s="403"/>
      <c r="CE37" s="403"/>
      <c r="CF37" s="403"/>
      <c r="CG37" s="403"/>
      <c r="CH37" s="403"/>
      <c r="CI37" s="403"/>
      <c r="CJ37" s="403"/>
      <c r="CK37" s="403"/>
      <c r="CL37" s="403"/>
      <c r="CM37" s="403"/>
      <c r="CN37" s="403"/>
      <c r="CO37" s="403"/>
      <c r="CP37" s="403"/>
      <c r="CQ37" s="403"/>
      <c r="CR37" s="403"/>
      <c r="CS37" s="403"/>
      <c r="CT37" s="403"/>
      <c r="CU37" s="403"/>
      <c r="CV37" s="403"/>
      <c r="CW37" s="403"/>
      <c r="CX37" s="403"/>
      <c r="CY37" s="403"/>
      <c r="CZ37" s="403"/>
      <c r="DA37" s="403"/>
      <c r="DB37" s="403"/>
      <c r="DC37" s="403"/>
      <c r="DD37" s="403"/>
      <c r="DE37" s="403"/>
      <c r="DF37" s="403"/>
      <c r="DG37" s="403"/>
      <c r="DH37" s="403"/>
      <c r="DI37" s="403"/>
      <c r="DJ37" s="403"/>
      <c r="DK37" s="403"/>
      <c r="DL37" s="403"/>
      <c r="DM37" s="403"/>
      <c r="DN37" s="403"/>
      <c r="DO37" s="403"/>
      <c r="DP37" s="403"/>
      <c r="DQ37" s="403"/>
      <c r="DR37" s="403"/>
      <c r="DS37" s="403"/>
      <c r="DT37" s="403"/>
      <c r="DU37" s="403"/>
      <c r="DV37" s="403"/>
      <c r="DW37" s="403"/>
      <c r="DX37" s="403"/>
      <c r="DY37" s="403"/>
      <c r="DZ37" s="403"/>
      <c r="EA37" s="403"/>
      <c r="EB37" s="403"/>
      <c r="EC37" s="403"/>
      <c r="ED37" s="403"/>
      <c r="EE37" s="403"/>
      <c r="EF37" s="403"/>
      <c r="EG37" s="403"/>
      <c r="EH37" s="403"/>
      <c r="EI37" s="403"/>
      <c r="EJ37" s="403"/>
      <c r="EK37" s="403"/>
      <c r="EL37" s="403"/>
      <c r="EM37" s="403"/>
      <c r="EN37" s="403"/>
      <c r="EO37" s="403"/>
      <c r="EP37" s="403"/>
      <c r="EQ37" s="403"/>
      <c r="ER37" s="403"/>
      <c r="ES37" s="403"/>
      <c r="ET37" s="403"/>
      <c r="EU37" s="403"/>
      <c r="EV37" s="403"/>
      <c r="EW37" s="403"/>
      <c r="EX37" s="403"/>
      <c r="EY37" s="403"/>
      <c r="EZ37" s="403"/>
      <c r="FA37" s="403"/>
      <c r="FB37" s="403"/>
      <c r="FC37" s="403"/>
      <c r="FD37" s="403"/>
      <c r="FE37" s="403"/>
      <c r="FF37" s="403"/>
      <c r="FG37" s="403"/>
      <c r="FH37" s="403"/>
      <c r="FI37" s="403"/>
      <c r="FJ37" s="403"/>
      <c r="FK37" s="403"/>
      <c r="FL37" s="403"/>
      <c r="FM37" s="403"/>
      <c r="FN37" s="403"/>
      <c r="FO37" s="403"/>
      <c r="FP37" s="403"/>
      <c r="FQ37" s="403"/>
      <c r="FR37" s="403"/>
      <c r="FS37" s="403"/>
      <c r="FT37" s="403"/>
      <c r="FU37" s="403"/>
      <c r="FV37" s="403"/>
      <c r="FW37" s="403"/>
      <c r="FX37" s="403"/>
      <c r="FY37" s="403"/>
      <c r="FZ37" s="403"/>
      <c r="GA37" s="403"/>
      <c r="GB37" s="403"/>
      <c r="GC37" s="403"/>
      <c r="GD37" s="403"/>
      <c r="GE37" s="403"/>
      <c r="GF37" s="403"/>
      <c r="GG37" s="403"/>
      <c r="GH37" s="403"/>
      <c r="GI37" s="403"/>
      <c r="GJ37" s="403"/>
      <c r="GK37" s="403"/>
      <c r="GL37" s="403"/>
      <c r="GM37" s="403"/>
      <c r="GN37" s="403"/>
      <c r="GO37" s="403"/>
      <c r="GP37" s="403"/>
      <c r="GQ37" s="403"/>
      <c r="GR37" s="403"/>
      <c r="GS37" s="403"/>
      <c r="GT37" s="403"/>
      <c r="GU37" s="403"/>
      <c r="GV37" s="403"/>
      <c r="GW37" s="403"/>
      <c r="GX37" s="403"/>
      <c r="GY37" s="403"/>
      <c r="GZ37" s="403"/>
      <c r="HA37" s="403"/>
      <c r="HB37" s="403"/>
      <c r="HC37" s="403"/>
      <c r="HD37" s="403"/>
      <c r="HE37" s="403"/>
      <c r="HF37" s="403"/>
      <c r="HG37" s="403"/>
      <c r="HH37" s="403"/>
      <c r="HI37" s="403"/>
      <c r="HJ37" s="403"/>
      <c r="HK37" s="403"/>
      <c r="HL37" s="403"/>
      <c r="HM37" s="403"/>
      <c r="HN37" s="403"/>
      <c r="HO37" s="403"/>
      <c r="HP37" s="403"/>
      <c r="HQ37" s="403"/>
      <c r="HR37" s="403"/>
      <c r="HS37" s="403"/>
      <c r="HT37" s="403"/>
      <c r="HU37" s="403"/>
      <c r="HV37" s="403"/>
      <c r="HW37" s="403"/>
      <c r="HX37" s="403"/>
      <c r="HY37" s="403"/>
      <c r="HZ37" s="403"/>
      <c r="IA37" s="403"/>
      <c r="IB37" s="403"/>
      <c r="IC37" s="403"/>
      <c r="ID37" s="403"/>
      <c r="IE37" s="403"/>
      <c r="IF37" s="403"/>
      <c r="IG37" s="403"/>
      <c r="IH37" s="403"/>
      <c r="II37" s="403"/>
      <c r="IJ37" s="403"/>
      <c r="IK37" s="403"/>
      <c r="IL37" s="403"/>
      <c r="IM37" s="403"/>
      <c r="IN37" s="403"/>
      <c r="IO37" s="403"/>
      <c r="IP37" s="403"/>
      <c r="IQ37" s="403"/>
      <c r="IR37" s="403"/>
      <c r="IS37" s="403"/>
      <c r="IT37" s="403"/>
      <c r="IU37" s="403"/>
      <c r="IV37" s="403"/>
      <c r="IW37" s="403"/>
      <c r="IX37" s="403"/>
      <c r="IY37" s="403"/>
      <c r="IZ37" s="403"/>
      <c r="JA37" s="403"/>
      <c r="JB37" s="403"/>
      <c r="JC37" s="403"/>
      <c r="JD37" s="403"/>
      <c r="JE37" s="403"/>
      <c r="JF37" s="403"/>
      <c r="JG37" s="403"/>
      <c r="JH37" s="403"/>
      <c r="JI37" s="403"/>
      <c r="JJ37" s="403"/>
      <c r="JK37" s="403"/>
      <c r="JL37" s="403"/>
      <c r="JM37" s="403"/>
      <c r="JN37" s="403"/>
      <c r="JO37" s="403"/>
      <c r="JP37" s="403"/>
      <c r="JQ37" s="403"/>
      <c r="JR37" s="403"/>
      <c r="JS37" s="403"/>
      <c r="JT37" s="403"/>
    </row>
    <row r="38" spans="2:280" s="150" customFormat="1" ht="25.5" x14ac:dyDescent="0.2">
      <c r="B38" s="342"/>
      <c r="C38" s="329" t="str">
        <f ca="1">IF(OFFSET(AU38,0,Lang_Order*Lang__B5)="","",OFFSET(AU38,0,Lang_Order*Lang__B5))</f>
        <v>Last mile service delivery (input-based financing) cost per person vaccinated</v>
      </c>
      <c r="J38" s="176" t="e">
        <f t="shared" ref="J38:P38" si="48">J36/SUM(J88,J138,J191,J239)</f>
        <v>#N/A</v>
      </c>
      <c r="K38" s="176" t="e">
        <f t="shared" si="48"/>
        <v>#N/A</v>
      </c>
      <c r="L38" s="176" t="e">
        <f t="shared" si="48"/>
        <v>#N/A</v>
      </c>
      <c r="M38" s="176" t="e">
        <f t="shared" si="48"/>
        <v>#N/A</v>
      </c>
      <c r="N38" s="176" t="e">
        <f t="shared" si="48"/>
        <v>#N/A</v>
      </c>
      <c r="O38" s="176" t="e">
        <f t="shared" si="48"/>
        <v>#N/A</v>
      </c>
      <c r="P38" s="176" t="e">
        <f t="shared" si="48"/>
        <v>#N/A</v>
      </c>
      <c r="Q38" s="16"/>
      <c r="R38" s="157" t="str">
        <f ca="1">IF(OFFSET(BJ38,0,Lang_Order*Lang__B5)="","",OFFSET(BJ38,0,Lang_Order*Lang__B5))</f>
        <v>FYI Only</v>
      </c>
      <c r="T38" s="241"/>
      <c r="U38" s="622"/>
      <c r="V38" s="329" t="str">
        <f ca="1">IF(OFFSET(AU38,0,Lang_Order*Lang__B5)="","",OFFSET(AU38,0,Lang_Order*Lang__B5))</f>
        <v>Last mile service delivery (input-based financing) cost per person vaccinated</v>
      </c>
      <c r="W38" s="176" t="e">
        <f t="shared" ref="W38:AC38" si="49">W36/SUM(W88,W138,W191,W239)</f>
        <v>#N/A</v>
      </c>
      <c r="X38" s="176" t="e">
        <f t="shared" si="49"/>
        <v>#N/A</v>
      </c>
      <c r="Y38" s="176" t="e">
        <f t="shared" si="49"/>
        <v>#N/A</v>
      </c>
      <c r="Z38" s="176" t="e">
        <f t="shared" si="49"/>
        <v>#N/A</v>
      </c>
      <c r="AA38" s="176" t="e">
        <f t="shared" si="49"/>
        <v>#N/A</v>
      </c>
      <c r="AB38" s="176" t="e">
        <f t="shared" si="49"/>
        <v>#N/A</v>
      </c>
      <c r="AC38" s="176" t="e">
        <f t="shared" si="49"/>
        <v>#N/A</v>
      </c>
      <c r="AD38" s="16"/>
      <c r="AF38" s="241"/>
      <c r="AG38" s="622"/>
      <c r="AH38" s="329" t="str">
        <f ca="1">IF(OFFSET(AU38,0,Lang_Order*Lang__B5)="","",OFFSET(AU38,0,Lang_Order*Lang__B5))</f>
        <v>Last mile service delivery (input-based financing) cost per person vaccinated</v>
      </c>
      <c r="AI38" s="176" t="e">
        <f t="shared" ref="AI38:AO38" si="50">AI36/SUM(AI88,AI138,AI191,AI239)</f>
        <v>#N/A</v>
      </c>
      <c r="AJ38" s="176" t="e">
        <f t="shared" si="50"/>
        <v>#N/A</v>
      </c>
      <c r="AK38" s="176" t="e">
        <f t="shared" si="50"/>
        <v>#N/A</v>
      </c>
      <c r="AL38" s="176" t="e">
        <f t="shared" si="50"/>
        <v>#N/A</v>
      </c>
      <c r="AM38" s="176" t="e">
        <f t="shared" si="50"/>
        <v>#N/A</v>
      </c>
      <c r="AN38" s="176" t="e">
        <f t="shared" si="50"/>
        <v>#N/A</v>
      </c>
      <c r="AO38" s="176" t="e">
        <f t="shared" si="50"/>
        <v>#N/A</v>
      </c>
      <c r="AP38" s="16"/>
      <c r="AR38" s="403"/>
      <c r="AS38" s="403"/>
      <c r="AT38" s="403"/>
      <c r="AU38" s="403" t="s">
        <v>14186</v>
      </c>
      <c r="AV38" s="403"/>
      <c r="AW38" s="403"/>
      <c r="AX38" s="403"/>
      <c r="AY38" s="403"/>
      <c r="AZ38" s="403"/>
      <c r="BA38" s="403"/>
      <c r="BB38" s="403"/>
      <c r="BC38" s="403"/>
      <c r="BD38" s="403"/>
      <c r="BE38" s="403"/>
      <c r="BF38" s="403"/>
      <c r="BG38" s="403"/>
      <c r="BH38" s="403"/>
      <c r="BI38" s="403"/>
      <c r="BJ38" s="403" t="s">
        <v>2676</v>
      </c>
      <c r="BK38" s="403"/>
      <c r="BL38" s="403"/>
      <c r="BM38" s="403"/>
      <c r="BN38" s="403"/>
      <c r="BO38" s="403"/>
      <c r="BP38" s="403"/>
      <c r="BQ38" s="403"/>
      <c r="BR38" s="403"/>
      <c r="BS38" s="403"/>
      <c r="BT38" s="403"/>
      <c r="BU38" s="403"/>
      <c r="BV38" s="403"/>
      <c r="BW38" s="403"/>
      <c r="BX38" s="403"/>
      <c r="BY38" s="403"/>
      <c r="BZ38" s="403"/>
      <c r="CA38" s="403"/>
      <c r="CB38" s="403"/>
      <c r="CC38" s="403" t="s">
        <v>11584</v>
      </c>
      <c r="CD38" s="403"/>
      <c r="CE38" s="403"/>
      <c r="CF38" s="403"/>
      <c r="CG38" s="403"/>
      <c r="CH38" s="403"/>
      <c r="CI38" s="403"/>
      <c r="CJ38" s="403"/>
      <c r="CK38" s="403"/>
      <c r="CL38" s="403"/>
      <c r="CM38" s="403"/>
      <c r="CN38" s="403"/>
      <c r="CO38" s="403"/>
      <c r="CP38" s="403"/>
      <c r="CQ38" s="403"/>
      <c r="CR38" s="403" t="s">
        <v>11585</v>
      </c>
      <c r="CS38" s="403"/>
      <c r="CT38" s="403"/>
      <c r="CU38" s="403"/>
      <c r="CV38" s="403"/>
      <c r="CW38" s="403"/>
      <c r="CX38" s="403"/>
      <c r="CY38" s="403"/>
      <c r="CZ38" s="403"/>
      <c r="DA38" s="403"/>
      <c r="DB38" s="403"/>
      <c r="DC38" s="403"/>
      <c r="DD38" s="403"/>
      <c r="DE38" s="403"/>
      <c r="DF38" s="403"/>
      <c r="DG38" s="403"/>
      <c r="DH38" s="403"/>
      <c r="DI38" s="403"/>
      <c r="DJ38" s="403"/>
      <c r="DK38" s="403" t="s">
        <v>11586</v>
      </c>
      <c r="DL38" s="403"/>
      <c r="DM38" s="403"/>
      <c r="DN38" s="403"/>
      <c r="DO38" s="403"/>
      <c r="DP38" s="403"/>
      <c r="DQ38" s="403"/>
      <c r="DR38" s="403"/>
      <c r="DS38" s="403"/>
      <c r="DT38" s="403"/>
      <c r="DU38" s="403"/>
      <c r="DV38" s="403"/>
      <c r="DW38" s="403"/>
      <c r="DX38" s="403"/>
      <c r="DY38" s="403"/>
      <c r="DZ38" s="403" t="s">
        <v>11587</v>
      </c>
      <c r="EA38" s="403"/>
      <c r="EB38" s="403"/>
      <c r="EC38" s="403"/>
      <c r="ED38" s="403"/>
      <c r="EE38" s="403"/>
      <c r="EF38" s="403"/>
      <c r="EG38" s="403"/>
      <c r="EH38" s="403"/>
      <c r="EI38" s="403"/>
      <c r="EJ38" s="403"/>
      <c r="EK38" s="403"/>
      <c r="EL38" s="403"/>
      <c r="EM38" s="403"/>
      <c r="EN38" s="403"/>
      <c r="EO38" s="403"/>
      <c r="EP38" s="403"/>
      <c r="EQ38" s="403"/>
      <c r="ER38" s="403"/>
      <c r="ES38" s="403" t="s">
        <v>11588</v>
      </c>
      <c r="ET38" s="403"/>
      <c r="EU38" s="403"/>
      <c r="EV38" s="403"/>
      <c r="EW38" s="403"/>
      <c r="EX38" s="403"/>
      <c r="EY38" s="403"/>
      <c r="EZ38" s="403"/>
      <c r="FA38" s="403"/>
      <c r="FB38" s="403"/>
      <c r="FC38" s="403"/>
      <c r="FD38" s="403"/>
      <c r="FE38" s="403"/>
      <c r="FF38" s="403"/>
      <c r="FG38" s="403"/>
      <c r="FH38" s="403" t="s">
        <v>11589</v>
      </c>
      <c r="FI38" s="403"/>
      <c r="FJ38" s="403"/>
      <c r="FK38" s="403"/>
      <c r="FL38" s="403"/>
      <c r="FM38" s="403"/>
      <c r="FN38" s="403"/>
      <c r="FO38" s="403"/>
      <c r="FP38" s="403"/>
      <c r="FQ38" s="403"/>
      <c r="FR38" s="403"/>
      <c r="FS38" s="403"/>
      <c r="FT38" s="403"/>
      <c r="FU38" s="403"/>
      <c r="FV38" s="403"/>
      <c r="FW38" s="403"/>
      <c r="FX38" s="403"/>
      <c r="FY38" s="403"/>
      <c r="FZ38" s="403"/>
      <c r="GA38" s="403" t="s">
        <v>11590</v>
      </c>
      <c r="GB38" s="403"/>
      <c r="GC38" s="403"/>
      <c r="GD38" s="403"/>
      <c r="GE38" s="403"/>
      <c r="GF38" s="403"/>
      <c r="GG38" s="403"/>
      <c r="GH38" s="403"/>
      <c r="GI38" s="403"/>
      <c r="GJ38" s="403"/>
      <c r="GK38" s="403"/>
      <c r="GL38" s="403"/>
      <c r="GM38" s="403"/>
      <c r="GN38" s="403"/>
      <c r="GO38" s="403"/>
      <c r="GP38" s="403" t="s">
        <v>11591</v>
      </c>
      <c r="GQ38" s="403"/>
      <c r="GR38" s="403"/>
      <c r="GS38" s="403"/>
      <c r="GT38" s="403"/>
      <c r="GU38" s="403"/>
      <c r="GV38" s="403"/>
      <c r="GW38" s="403"/>
      <c r="GX38" s="403"/>
      <c r="GY38" s="403"/>
      <c r="GZ38" s="403"/>
      <c r="HA38" s="403"/>
      <c r="HB38" s="403"/>
      <c r="HC38" s="403"/>
      <c r="HD38" s="403"/>
      <c r="HE38" s="403"/>
      <c r="HF38" s="403"/>
      <c r="HG38" s="403"/>
      <c r="HH38" s="403"/>
      <c r="HI38" s="403" t="s">
        <v>11592</v>
      </c>
      <c r="HJ38" s="403"/>
      <c r="HK38" s="403"/>
      <c r="HL38" s="403"/>
      <c r="HM38" s="403"/>
      <c r="HN38" s="403"/>
      <c r="HO38" s="403"/>
      <c r="HP38" s="403"/>
      <c r="HQ38" s="403"/>
      <c r="HR38" s="403"/>
      <c r="HS38" s="403"/>
      <c r="HT38" s="403"/>
      <c r="HU38" s="403"/>
      <c r="HV38" s="403"/>
      <c r="HW38" s="403"/>
      <c r="HX38" s="403" t="s">
        <v>11593</v>
      </c>
      <c r="HY38" s="403"/>
      <c r="HZ38" s="403"/>
      <c r="IA38" s="403"/>
      <c r="IB38" s="403"/>
      <c r="IC38" s="403"/>
      <c r="ID38" s="403"/>
      <c r="IE38" s="403"/>
      <c r="IF38" s="403"/>
      <c r="IG38" s="403"/>
      <c r="IH38" s="403"/>
      <c r="II38" s="403"/>
      <c r="IJ38" s="403"/>
      <c r="IK38" s="403"/>
      <c r="IL38" s="403"/>
      <c r="IM38" s="403"/>
      <c r="IN38" s="403"/>
      <c r="IO38" s="403"/>
      <c r="IP38" s="403"/>
      <c r="IQ38" s="403" t="s">
        <v>11594</v>
      </c>
      <c r="IR38" s="403"/>
      <c r="IS38" s="403"/>
      <c r="IT38" s="403"/>
      <c r="IU38" s="403"/>
      <c r="IV38" s="403"/>
      <c r="IW38" s="403"/>
      <c r="IX38" s="403"/>
      <c r="IY38" s="403"/>
      <c r="IZ38" s="403"/>
      <c r="JA38" s="403"/>
      <c r="JB38" s="403"/>
      <c r="JC38" s="403"/>
      <c r="JD38" s="403"/>
      <c r="JE38" s="403"/>
      <c r="JF38" s="403" t="s">
        <v>11406</v>
      </c>
      <c r="JG38" s="403"/>
      <c r="JH38" s="403"/>
      <c r="JI38" s="403"/>
      <c r="JJ38" s="403"/>
      <c r="JK38" s="403"/>
      <c r="JL38" s="403"/>
      <c r="JM38" s="403"/>
      <c r="JN38" s="403"/>
      <c r="JO38" s="403"/>
      <c r="JP38" s="403"/>
      <c r="JQ38" s="403"/>
      <c r="JR38" s="403"/>
      <c r="JS38" s="403"/>
      <c r="JT38" s="403"/>
    </row>
    <row r="39" spans="2:280" s="281" customFormat="1" ht="12.75" x14ac:dyDescent="0.2">
      <c r="B39" s="622"/>
      <c r="C39" s="31"/>
      <c r="J39" s="176"/>
      <c r="K39" s="176"/>
      <c r="L39" s="176"/>
      <c r="M39" s="176"/>
      <c r="N39" s="176"/>
      <c r="O39" s="176"/>
      <c r="P39" s="176"/>
      <c r="Q39" s="16"/>
      <c r="R39" s="16"/>
      <c r="U39" s="622"/>
      <c r="V39" s="31"/>
      <c r="W39" s="176"/>
      <c r="X39" s="176"/>
      <c r="Y39" s="176"/>
      <c r="Z39" s="176"/>
      <c r="AA39" s="176"/>
      <c r="AB39" s="176"/>
      <c r="AC39" s="176"/>
      <c r="AD39" s="16"/>
      <c r="AG39" s="622"/>
      <c r="AH39" s="31"/>
      <c r="AI39" s="176"/>
      <c r="AJ39" s="176"/>
      <c r="AK39" s="176"/>
      <c r="AL39" s="176"/>
      <c r="AM39" s="176"/>
      <c r="AN39" s="176"/>
      <c r="AO39" s="176"/>
      <c r="AP39" s="16"/>
      <c r="AR39" s="403"/>
      <c r="AS39" s="403"/>
      <c r="AT39" s="403"/>
      <c r="AU39" s="403"/>
      <c r="AV39" s="403"/>
      <c r="AW39" s="403"/>
      <c r="AX39" s="403"/>
      <c r="AY39" s="403"/>
      <c r="AZ39" s="403"/>
      <c r="BA39" s="403"/>
      <c r="BB39" s="403"/>
      <c r="BC39" s="403"/>
      <c r="BD39" s="403"/>
      <c r="BE39" s="403"/>
      <c r="BF39" s="403"/>
      <c r="BG39" s="403"/>
      <c r="BH39" s="403"/>
      <c r="BI39" s="403"/>
      <c r="BJ39" s="403"/>
      <c r="BK39" s="403"/>
      <c r="BL39" s="403"/>
      <c r="BM39" s="403"/>
      <c r="BN39" s="403"/>
      <c r="BO39" s="403"/>
      <c r="BP39" s="403"/>
      <c r="BQ39" s="403"/>
      <c r="BR39" s="403"/>
      <c r="BS39" s="403"/>
      <c r="BT39" s="403"/>
      <c r="BU39" s="403"/>
      <c r="BV39" s="403"/>
      <c r="BW39" s="403"/>
      <c r="BX39" s="403"/>
      <c r="BY39" s="403"/>
      <c r="BZ39" s="403"/>
      <c r="CA39" s="403"/>
      <c r="CB39" s="403"/>
      <c r="CC39" s="403"/>
      <c r="CD39" s="403"/>
      <c r="CE39" s="403"/>
      <c r="CF39" s="403"/>
      <c r="CG39" s="403"/>
      <c r="CH39" s="403"/>
      <c r="CI39" s="403"/>
      <c r="CJ39" s="403"/>
      <c r="CK39" s="403"/>
      <c r="CL39" s="403"/>
      <c r="CM39" s="403"/>
      <c r="CN39" s="403"/>
      <c r="CO39" s="403"/>
      <c r="CP39" s="403"/>
      <c r="CQ39" s="403"/>
      <c r="CR39" s="403"/>
      <c r="CS39" s="403"/>
      <c r="CT39" s="403"/>
      <c r="CU39" s="403"/>
      <c r="CV39" s="403"/>
      <c r="CW39" s="403"/>
      <c r="CX39" s="403"/>
      <c r="CY39" s="403"/>
      <c r="CZ39" s="403"/>
      <c r="DA39" s="403"/>
      <c r="DB39" s="403"/>
      <c r="DC39" s="403"/>
      <c r="DD39" s="403"/>
      <c r="DE39" s="403"/>
      <c r="DF39" s="403"/>
      <c r="DG39" s="403"/>
      <c r="DH39" s="403"/>
      <c r="DI39" s="403"/>
      <c r="DJ39" s="403"/>
      <c r="DK39" s="403"/>
      <c r="DL39" s="403"/>
      <c r="DM39" s="403"/>
      <c r="DN39" s="403"/>
      <c r="DO39" s="403"/>
      <c r="DP39" s="403"/>
      <c r="DQ39" s="403"/>
      <c r="DR39" s="403"/>
      <c r="DS39" s="403"/>
      <c r="DT39" s="403"/>
      <c r="DU39" s="403"/>
      <c r="DV39" s="403"/>
      <c r="DW39" s="403"/>
      <c r="DX39" s="403"/>
      <c r="DY39" s="403"/>
      <c r="DZ39" s="403"/>
      <c r="EA39" s="403"/>
      <c r="EB39" s="403"/>
      <c r="EC39" s="403"/>
      <c r="ED39" s="403"/>
      <c r="EE39" s="403"/>
      <c r="EF39" s="403"/>
      <c r="EG39" s="403"/>
      <c r="EH39" s="403"/>
      <c r="EI39" s="403"/>
      <c r="EJ39" s="403"/>
      <c r="EK39" s="403"/>
      <c r="EL39" s="403"/>
      <c r="EM39" s="403"/>
      <c r="EN39" s="403"/>
      <c r="EO39" s="403"/>
      <c r="EP39" s="403"/>
      <c r="EQ39" s="403"/>
      <c r="ER39" s="403"/>
      <c r="ES39" s="403"/>
      <c r="ET39" s="403"/>
      <c r="EU39" s="403"/>
      <c r="EV39" s="403"/>
      <c r="EW39" s="403"/>
      <c r="EX39" s="403"/>
      <c r="EY39" s="403"/>
      <c r="EZ39" s="403"/>
      <c r="FA39" s="403"/>
      <c r="FB39" s="403"/>
      <c r="FC39" s="403"/>
      <c r="FD39" s="403"/>
      <c r="FE39" s="403"/>
      <c r="FF39" s="403"/>
      <c r="FG39" s="403"/>
      <c r="FH39" s="403"/>
      <c r="FI39" s="403"/>
      <c r="FJ39" s="403"/>
      <c r="FK39" s="403"/>
      <c r="FL39" s="403"/>
      <c r="FM39" s="403"/>
      <c r="FN39" s="403"/>
      <c r="FO39" s="403"/>
      <c r="FP39" s="403"/>
      <c r="FQ39" s="403"/>
      <c r="FR39" s="403"/>
      <c r="FS39" s="403"/>
      <c r="FT39" s="403"/>
      <c r="FU39" s="403"/>
      <c r="FV39" s="403"/>
      <c r="FW39" s="403"/>
      <c r="FX39" s="403"/>
      <c r="FY39" s="403"/>
      <c r="FZ39" s="403"/>
      <c r="GA39" s="403"/>
      <c r="GB39" s="403"/>
      <c r="GC39" s="403"/>
      <c r="GD39" s="403"/>
      <c r="GE39" s="403"/>
      <c r="GF39" s="403"/>
      <c r="GG39" s="403"/>
      <c r="GH39" s="403"/>
      <c r="GI39" s="403"/>
      <c r="GJ39" s="403"/>
      <c r="GK39" s="403"/>
      <c r="GL39" s="403"/>
      <c r="GM39" s="403"/>
      <c r="GN39" s="403"/>
      <c r="GO39" s="403"/>
      <c r="GP39" s="403"/>
      <c r="GQ39" s="403"/>
      <c r="GR39" s="403"/>
      <c r="GS39" s="403"/>
      <c r="GT39" s="403"/>
      <c r="GU39" s="403"/>
      <c r="GV39" s="403"/>
      <c r="GW39" s="403"/>
      <c r="GX39" s="403"/>
      <c r="GY39" s="403"/>
      <c r="GZ39" s="403"/>
      <c r="HA39" s="403"/>
      <c r="HB39" s="403"/>
      <c r="HC39" s="403"/>
      <c r="HD39" s="403"/>
      <c r="HE39" s="403"/>
      <c r="HF39" s="403"/>
      <c r="HG39" s="403"/>
      <c r="HH39" s="403"/>
      <c r="HI39" s="403"/>
      <c r="HJ39" s="403"/>
      <c r="HK39" s="403"/>
      <c r="HL39" s="403"/>
      <c r="HM39" s="403"/>
      <c r="HN39" s="403"/>
      <c r="HO39" s="403"/>
      <c r="HP39" s="403"/>
      <c r="HQ39" s="403"/>
      <c r="HR39" s="403"/>
      <c r="HS39" s="403"/>
      <c r="HT39" s="403"/>
      <c r="HU39" s="403"/>
      <c r="HV39" s="403"/>
      <c r="HW39" s="403"/>
      <c r="HX39" s="403"/>
      <c r="HY39" s="403"/>
      <c r="HZ39" s="403"/>
      <c r="IA39" s="403"/>
      <c r="IB39" s="403"/>
      <c r="IC39" s="403"/>
      <c r="ID39" s="403"/>
      <c r="IE39" s="403"/>
      <c r="IF39" s="403"/>
      <c r="IG39" s="403"/>
      <c r="IH39" s="403"/>
      <c r="II39" s="403"/>
      <c r="IJ39" s="403"/>
      <c r="IK39" s="403"/>
      <c r="IL39" s="403"/>
      <c r="IM39" s="403"/>
      <c r="IN39" s="403"/>
      <c r="IO39" s="403"/>
      <c r="IP39" s="403"/>
      <c r="IQ39" s="403"/>
      <c r="IR39" s="403"/>
      <c r="IS39" s="403"/>
      <c r="IT39" s="403"/>
      <c r="IU39" s="403"/>
      <c r="IV39" s="403"/>
      <c r="IW39" s="403"/>
      <c r="IX39" s="403"/>
      <c r="IY39" s="403"/>
      <c r="IZ39" s="403"/>
      <c r="JA39" s="403"/>
      <c r="JB39" s="403"/>
      <c r="JC39" s="403"/>
      <c r="JD39" s="403"/>
      <c r="JE39" s="403"/>
      <c r="JF39" s="403"/>
      <c r="JG39" s="403"/>
      <c r="JH39" s="403"/>
      <c r="JI39" s="403"/>
      <c r="JJ39" s="403"/>
      <c r="JK39" s="403"/>
      <c r="JL39" s="403"/>
      <c r="JM39" s="403"/>
      <c r="JN39" s="403"/>
      <c r="JO39" s="403"/>
      <c r="JP39" s="403"/>
      <c r="JQ39" s="403"/>
      <c r="JR39" s="403"/>
      <c r="JS39" s="403"/>
      <c r="JT39" s="403"/>
    </row>
    <row r="40" spans="2:280" s="281" customFormat="1" x14ac:dyDescent="0.25">
      <c r="B40" s="33" t="str">
        <f ca="1">IF(OFFSET(AT40,0,Lang_Order*Lang__B5)="","",OFFSET(AT40,0,Lang_Order*Lang__B5))</f>
        <v>B5.2.1. Aggregates for resource mapping</v>
      </c>
      <c r="C40" s="19"/>
      <c r="D40" s="8"/>
      <c r="E40" s="8"/>
      <c r="F40" s="8"/>
      <c r="G40" s="8"/>
      <c r="H40" s="8"/>
      <c r="I40" s="8"/>
      <c r="J40" s="222"/>
      <c r="K40" s="222"/>
      <c r="L40" s="222"/>
      <c r="M40" s="222"/>
      <c r="N40" s="222"/>
      <c r="O40" s="222"/>
      <c r="P40" s="222"/>
      <c r="Q40" s="42"/>
      <c r="R40" s="301"/>
      <c r="T40" s="8" t="str">
        <f ca="1">IF(OFFSET(AS40,0,Lang_Order*Lang__B5)="","",OFFSET(AS40,0,Lang_Order*Lang__B5))</f>
        <v/>
      </c>
      <c r="U40" s="33"/>
      <c r="V40" s="8"/>
      <c r="W40" s="8"/>
      <c r="X40" s="8"/>
      <c r="Y40" s="8"/>
      <c r="Z40" s="8"/>
      <c r="AA40" s="8"/>
      <c r="AB40" s="8"/>
      <c r="AC40" s="8"/>
      <c r="AD40" s="8"/>
      <c r="AF40" s="8" t="str">
        <f ca="1">IF(OFFSET(AS40,0,Lang_Order*Lang__B5)="","",OFFSET(AS40,0,Lang_Order*Lang__B5))</f>
        <v/>
      </c>
      <c r="AG40" s="33"/>
      <c r="AH40" s="8"/>
      <c r="AI40" s="8"/>
      <c r="AJ40" s="8"/>
      <c r="AK40" s="8"/>
      <c r="AL40" s="8"/>
      <c r="AM40" s="8"/>
      <c r="AN40" s="8"/>
      <c r="AO40" s="8"/>
      <c r="AP40" s="8"/>
      <c r="AR40" s="403"/>
      <c r="AS40" s="403"/>
      <c r="AT40" s="403" t="s">
        <v>3639</v>
      </c>
      <c r="AU40" s="403"/>
      <c r="AV40" s="403"/>
      <c r="AW40" s="403"/>
      <c r="AX40" s="403"/>
      <c r="AY40" s="403"/>
      <c r="AZ40" s="403"/>
      <c r="BA40" s="403"/>
      <c r="BB40" s="403"/>
      <c r="BC40" s="403"/>
      <c r="BD40" s="403"/>
      <c r="BE40" s="403"/>
      <c r="BF40" s="403"/>
      <c r="BG40" s="403"/>
      <c r="BH40" s="403"/>
      <c r="BI40" s="403"/>
      <c r="BJ40" s="403"/>
      <c r="BK40" s="403"/>
      <c r="BL40" s="403"/>
      <c r="BM40" s="403"/>
      <c r="BN40" s="403"/>
      <c r="BO40" s="403"/>
      <c r="BP40" s="403"/>
      <c r="BQ40" s="403"/>
      <c r="BR40" s="403"/>
      <c r="BS40" s="403"/>
      <c r="BT40" s="403"/>
      <c r="BU40" s="403"/>
      <c r="BV40" s="403"/>
      <c r="BW40" s="403"/>
      <c r="BX40" s="403"/>
      <c r="BY40" s="403"/>
      <c r="BZ40" s="403"/>
      <c r="CA40" s="403"/>
      <c r="CB40" s="403" t="s">
        <v>11595</v>
      </c>
      <c r="CC40" s="403"/>
      <c r="CD40" s="403"/>
      <c r="CE40" s="403"/>
      <c r="CF40" s="403"/>
      <c r="CG40" s="403"/>
      <c r="CH40" s="403"/>
      <c r="CI40" s="403"/>
      <c r="CJ40" s="403"/>
      <c r="CK40" s="403"/>
      <c r="CL40" s="403"/>
      <c r="CM40" s="403"/>
      <c r="CN40" s="403"/>
      <c r="CO40" s="403"/>
      <c r="CP40" s="403"/>
      <c r="CQ40" s="403"/>
      <c r="CR40" s="403"/>
      <c r="CS40" s="403"/>
      <c r="CT40" s="403"/>
      <c r="CU40" s="403"/>
      <c r="CV40" s="403"/>
      <c r="CW40" s="403"/>
      <c r="CX40" s="403"/>
      <c r="CY40" s="403"/>
      <c r="CZ40" s="403"/>
      <c r="DA40" s="403"/>
      <c r="DB40" s="403"/>
      <c r="DC40" s="403"/>
      <c r="DD40" s="403"/>
      <c r="DE40" s="403"/>
      <c r="DF40" s="403"/>
      <c r="DG40" s="403"/>
      <c r="DH40" s="403"/>
      <c r="DI40" s="403"/>
      <c r="DJ40" s="403" t="s">
        <v>11596</v>
      </c>
      <c r="DK40" s="403"/>
      <c r="DL40" s="403"/>
      <c r="DM40" s="403"/>
      <c r="DN40" s="403"/>
      <c r="DO40" s="403"/>
      <c r="DP40" s="403"/>
      <c r="DQ40" s="403"/>
      <c r="DR40" s="403"/>
      <c r="DS40" s="403"/>
      <c r="DT40" s="403"/>
      <c r="DU40" s="403"/>
      <c r="DV40" s="403"/>
      <c r="DW40" s="403"/>
      <c r="DX40" s="403"/>
      <c r="DY40" s="403"/>
      <c r="DZ40" s="403"/>
      <c r="EA40" s="403"/>
      <c r="EB40" s="403"/>
      <c r="EC40" s="403"/>
      <c r="ED40" s="403"/>
      <c r="EE40" s="403"/>
      <c r="EF40" s="403"/>
      <c r="EG40" s="403"/>
      <c r="EH40" s="403"/>
      <c r="EI40" s="403"/>
      <c r="EJ40" s="403"/>
      <c r="EK40" s="403"/>
      <c r="EL40" s="403"/>
      <c r="EM40" s="403"/>
      <c r="EN40" s="403"/>
      <c r="EO40" s="403"/>
      <c r="EP40" s="403"/>
      <c r="EQ40" s="403"/>
      <c r="ER40" s="403" t="s">
        <v>11597</v>
      </c>
      <c r="ES40" s="403"/>
      <c r="ET40" s="403"/>
      <c r="EU40" s="403"/>
      <c r="EV40" s="403"/>
      <c r="EW40" s="403"/>
      <c r="EX40" s="403"/>
      <c r="EY40" s="403"/>
      <c r="EZ40" s="403"/>
      <c r="FA40" s="403"/>
      <c r="FB40" s="403"/>
      <c r="FC40" s="403"/>
      <c r="FD40" s="403"/>
      <c r="FE40" s="403"/>
      <c r="FF40" s="403"/>
      <c r="FG40" s="403"/>
      <c r="FH40" s="403"/>
      <c r="FI40" s="403"/>
      <c r="FJ40" s="403"/>
      <c r="FK40" s="403"/>
      <c r="FL40" s="403"/>
      <c r="FM40" s="403"/>
      <c r="FN40" s="403"/>
      <c r="FO40" s="403"/>
      <c r="FP40" s="403"/>
      <c r="FQ40" s="403"/>
      <c r="FR40" s="403"/>
      <c r="FS40" s="403"/>
      <c r="FT40" s="403"/>
      <c r="FU40" s="403"/>
      <c r="FV40" s="403"/>
      <c r="FW40" s="403"/>
      <c r="FX40" s="403"/>
      <c r="FY40" s="403"/>
      <c r="FZ40" s="403" t="s">
        <v>11598</v>
      </c>
      <c r="GA40" s="403"/>
      <c r="GB40" s="403"/>
      <c r="GC40" s="403"/>
      <c r="GD40" s="403"/>
      <c r="GE40" s="403"/>
      <c r="GF40" s="403"/>
      <c r="GG40" s="403"/>
      <c r="GH40" s="403"/>
      <c r="GI40" s="403"/>
      <c r="GJ40" s="403"/>
      <c r="GK40" s="403"/>
      <c r="GL40" s="403"/>
      <c r="GM40" s="403"/>
      <c r="GN40" s="403"/>
      <c r="GO40" s="403"/>
      <c r="GP40" s="403"/>
      <c r="GQ40" s="403"/>
      <c r="GR40" s="403"/>
      <c r="GS40" s="403"/>
      <c r="GT40" s="403"/>
      <c r="GU40" s="403"/>
      <c r="GV40" s="403"/>
      <c r="GW40" s="403"/>
      <c r="GX40" s="403"/>
      <c r="GY40" s="403"/>
      <c r="GZ40" s="403"/>
      <c r="HA40" s="403"/>
      <c r="HB40" s="403"/>
      <c r="HC40" s="403"/>
      <c r="HD40" s="403"/>
      <c r="HE40" s="403"/>
      <c r="HF40" s="403"/>
      <c r="HG40" s="403"/>
      <c r="HH40" s="403" t="s">
        <v>11599</v>
      </c>
      <c r="HI40" s="403"/>
      <c r="HJ40" s="403"/>
      <c r="HK40" s="403"/>
      <c r="HL40" s="403"/>
      <c r="HM40" s="403"/>
      <c r="HN40" s="403"/>
      <c r="HO40" s="403"/>
      <c r="HP40" s="403"/>
      <c r="HQ40" s="403"/>
      <c r="HR40" s="403"/>
      <c r="HS40" s="403"/>
      <c r="HT40" s="403"/>
      <c r="HU40" s="403"/>
      <c r="HV40" s="403"/>
      <c r="HW40" s="403"/>
      <c r="HX40" s="403"/>
      <c r="HY40" s="403"/>
      <c r="HZ40" s="403"/>
      <c r="IA40" s="403"/>
      <c r="IB40" s="403"/>
      <c r="IC40" s="403"/>
      <c r="ID40" s="403"/>
      <c r="IE40" s="403"/>
      <c r="IF40" s="403"/>
      <c r="IG40" s="403"/>
      <c r="IH40" s="403"/>
      <c r="II40" s="403"/>
      <c r="IJ40" s="403"/>
      <c r="IK40" s="403"/>
      <c r="IL40" s="403"/>
      <c r="IM40" s="403"/>
      <c r="IN40" s="403"/>
      <c r="IO40" s="403"/>
      <c r="IP40" s="403" t="s">
        <v>11600</v>
      </c>
      <c r="IQ40" s="403"/>
      <c r="IR40" s="403"/>
      <c r="IS40" s="403"/>
      <c r="IT40" s="403"/>
      <c r="IU40" s="403"/>
      <c r="IV40" s="403"/>
      <c r="IW40" s="403"/>
      <c r="IX40" s="403"/>
      <c r="IY40" s="403"/>
      <c r="IZ40" s="403"/>
      <c r="JA40" s="403"/>
      <c r="JB40" s="403"/>
      <c r="JC40" s="403"/>
      <c r="JD40" s="403"/>
      <c r="JE40" s="403"/>
      <c r="JF40" s="403"/>
      <c r="JG40" s="403"/>
      <c r="JH40" s="403"/>
      <c r="JI40" s="403"/>
      <c r="JJ40" s="403"/>
      <c r="JK40" s="403"/>
      <c r="JL40" s="403"/>
      <c r="JM40" s="403"/>
      <c r="JN40" s="403"/>
      <c r="JO40" s="403"/>
      <c r="JP40" s="403"/>
      <c r="JQ40" s="403"/>
      <c r="JR40" s="403"/>
      <c r="JS40" s="403"/>
      <c r="JT40" s="403"/>
    </row>
    <row r="41" spans="2:280" s="281" customFormat="1" ht="12.75" x14ac:dyDescent="0.2">
      <c r="B41" s="624"/>
      <c r="C41" s="329" t="str">
        <f t="shared" ref="C41:C52" ca="1" si="51">IF(OFFSET(AU41,0,Lang_Order*Lang__B5)="","",OFFSET(AU41,0,Lang_Order*Lang__B5))</f>
        <v>HRH salaries (for new, non-redeployed vaccinators)</v>
      </c>
      <c r="J41" s="283" t="e">
        <f>J78</f>
        <v>#N/A</v>
      </c>
      <c r="K41" s="283" t="e">
        <f t="shared" ref="K41:P41" si="52">K78</f>
        <v>#N/A</v>
      </c>
      <c r="L41" s="283" t="e">
        <f t="shared" si="52"/>
        <v>#N/A</v>
      </c>
      <c r="M41" s="283" t="e">
        <f t="shared" si="52"/>
        <v>#N/A</v>
      </c>
      <c r="N41" s="283" t="e">
        <f t="shared" si="52"/>
        <v>#N/A</v>
      </c>
      <c r="O41" s="283" t="e">
        <f t="shared" si="52"/>
        <v>#N/A</v>
      </c>
      <c r="P41" s="283" t="e">
        <f t="shared" si="52"/>
        <v>#N/A</v>
      </c>
      <c r="Q41" s="16"/>
      <c r="R41" s="157"/>
      <c r="U41" s="624"/>
      <c r="V41" s="329" t="str">
        <f t="shared" ref="V41:V52" ca="1" si="53">IF(OFFSET(AU41,0,Lang_Order*Lang__B5)="","",OFFSET(AU41,0,Lang_Order*Lang__B5))</f>
        <v>HRH salaries (for new, non-redeployed vaccinators)</v>
      </c>
      <c r="W41" s="283" t="e">
        <f>W78</f>
        <v>#N/A</v>
      </c>
      <c r="X41" s="283" t="e">
        <f t="shared" ref="X41:AC41" si="54">X78</f>
        <v>#N/A</v>
      </c>
      <c r="Y41" s="283" t="e">
        <f t="shared" si="54"/>
        <v>#N/A</v>
      </c>
      <c r="Z41" s="283" t="e">
        <f t="shared" si="54"/>
        <v>#N/A</v>
      </c>
      <c r="AA41" s="283" t="e">
        <f t="shared" si="54"/>
        <v>#N/A</v>
      </c>
      <c r="AB41" s="283" t="e">
        <f t="shared" si="54"/>
        <v>#N/A</v>
      </c>
      <c r="AC41" s="283" t="e">
        <f t="shared" si="54"/>
        <v>#N/A</v>
      </c>
      <c r="AD41" s="16"/>
      <c r="AG41" s="624"/>
      <c r="AH41" s="329" t="str">
        <f t="shared" ref="AH41:AH52" ca="1" si="55">IF(OFFSET(AU41,0,Lang_Order*Lang__B5)="","",OFFSET(AU41,0,Lang_Order*Lang__B5))</f>
        <v>HRH salaries (for new, non-redeployed vaccinators)</v>
      </c>
      <c r="AI41" s="283" t="e">
        <f>AI78</f>
        <v>#N/A</v>
      </c>
      <c r="AJ41" s="283" t="e">
        <f t="shared" ref="AJ41:AO41" si="56">AJ78</f>
        <v>#N/A</v>
      </c>
      <c r="AK41" s="283" t="e">
        <f t="shared" si="56"/>
        <v>#N/A</v>
      </c>
      <c r="AL41" s="283" t="e">
        <f t="shared" si="56"/>
        <v>#N/A</v>
      </c>
      <c r="AM41" s="283" t="e">
        <f t="shared" si="56"/>
        <v>#N/A</v>
      </c>
      <c r="AN41" s="283" t="e">
        <f t="shared" si="56"/>
        <v>#N/A</v>
      </c>
      <c r="AO41" s="283" t="e">
        <f t="shared" si="56"/>
        <v>#N/A</v>
      </c>
      <c r="AP41" s="16"/>
      <c r="AR41" s="403"/>
      <c r="AS41" s="403"/>
      <c r="AT41" s="403"/>
      <c r="AU41" s="403" t="s">
        <v>3980</v>
      </c>
      <c r="AV41" s="403"/>
      <c r="AW41" s="403"/>
      <c r="AX41" s="403"/>
      <c r="AY41" s="403"/>
      <c r="AZ41" s="403"/>
      <c r="BA41" s="403"/>
      <c r="BB41" s="403"/>
      <c r="BC41" s="403"/>
      <c r="BD41" s="403"/>
      <c r="BE41" s="403"/>
      <c r="BF41" s="403"/>
      <c r="BG41" s="403"/>
      <c r="BH41" s="403"/>
      <c r="BI41" s="403"/>
      <c r="BJ41" s="403"/>
      <c r="BK41" s="403"/>
      <c r="BL41" s="403"/>
      <c r="BM41" s="403"/>
      <c r="BN41" s="403"/>
      <c r="BO41" s="403"/>
      <c r="BP41" s="403"/>
      <c r="BQ41" s="403"/>
      <c r="BR41" s="403"/>
      <c r="BS41" s="403"/>
      <c r="BT41" s="403"/>
      <c r="BU41" s="403"/>
      <c r="BV41" s="403"/>
      <c r="BW41" s="403"/>
      <c r="BX41" s="403"/>
      <c r="BY41" s="403"/>
      <c r="BZ41" s="403"/>
      <c r="CA41" s="403"/>
      <c r="CB41" s="403"/>
      <c r="CC41" s="403" t="s">
        <v>11601</v>
      </c>
      <c r="CD41" s="403"/>
      <c r="CE41" s="403"/>
      <c r="CF41" s="403"/>
      <c r="CG41" s="403"/>
      <c r="CH41" s="403"/>
      <c r="CI41" s="403"/>
      <c r="CJ41" s="403"/>
      <c r="CK41" s="403"/>
      <c r="CL41" s="403"/>
      <c r="CM41" s="403"/>
      <c r="CN41" s="403"/>
      <c r="CO41" s="403"/>
      <c r="CP41" s="403"/>
      <c r="CQ41" s="403"/>
      <c r="CR41" s="403"/>
      <c r="CS41" s="403"/>
      <c r="CT41" s="403"/>
      <c r="CU41" s="403"/>
      <c r="CV41" s="403"/>
      <c r="CW41" s="403"/>
      <c r="CX41" s="403"/>
      <c r="CY41" s="403"/>
      <c r="CZ41" s="403"/>
      <c r="DA41" s="403"/>
      <c r="DB41" s="403"/>
      <c r="DC41" s="403"/>
      <c r="DD41" s="403"/>
      <c r="DE41" s="403"/>
      <c r="DF41" s="403"/>
      <c r="DG41" s="403"/>
      <c r="DH41" s="403"/>
      <c r="DI41" s="403"/>
      <c r="DJ41" s="403"/>
      <c r="DK41" s="403" t="s">
        <v>11602</v>
      </c>
      <c r="DL41" s="403"/>
      <c r="DM41" s="403"/>
      <c r="DN41" s="403"/>
      <c r="DO41" s="403"/>
      <c r="DP41" s="403"/>
      <c r="DQ41" s="403"/>
      <c r="DR41" s="403"/>
      <c r="DS41" s="403"/>
      <c r="DT41" s="403"/>
      <c r="DU41" s="403"/>
      <c r="DV41" s="403"/>
      <c r="DW41" s="403"/>
      <c r="DX41" s="403"/>
      <c r="DY41" s="403"/>
      <c r="DZ41" s="403"/>
      <c r="EA41" s="403"/>
      <c r="EB41" s="403"/>
      <c r="EC41" s="403"/>
      <c r="ED41" s="403"/>
      <c r="EE41" s="403"/>
      <c r="EF41" s="403"/>
      <c r="EG41" s="403"/>
      <c r="EH41" s="403"/>
      <c r="EI41" s="403"/>
      <c r="EJ41" s="403"/>
      <c r="EK41" s="403"/>
      <c r="EL41" s="403"/>
      <c r="EM41" s="403"/>
      <c r="EN41" s="403"/>
      <c r="EO41" s="403"/>
      <c r="EP41" s="403"/>
      <c r="EQ41" s="403"/>
      <c r="ER41" s="403"/>
      <c r="ES41" s="403" t="s">
        <v>11603</v>
      </c>
      <c r="ET41" s="403"/>
      <c r="EU41" s="403"/>
      <c r="EV41" s="403"/>
      <c r="EW41" s="403"/>
      <c r="EX41" s="403"/>
      <c r="EY41" s="403"/>
      <c r="EZ41" s="403"/>
      <c r="FA41" s="403"/>
      <c r="FB41" s="403"/>
      <c r="FC41" s="403"/>
      <c r="FD41" s="403"/>
      <c r="FE41" s="403"/>
      <c r="FF41" s="403"/>
      <c r="FG41" s="403"/>
      <c r="FH41" s="403"/>
      <c r="FI41" s="403"/>
      <c r="FJ41" s="403"/>
      <c r="FK41" s="403"/>
      <c r="FL41" s="403"/>
      <c r="FM41" s="403"/>
      <c r="FN41" s="403"/>
      <c r="FO41" s="403"/>
      <c r="FP41" s="403"/>
      <c r="FQ41" s="403"/>
      <c r="FR41" s="403"/>
      <c r="FS41" s="403"/>
      <c r="FT41" s="403"/>
      <c r="FU41" s="403"/>
      <c r="FV41" s="403"/>
      <c r="FW41" s="403"/>
      <c r="FX41" s="403"/>
      <c r="FY41" s="403"/>
      <c r="FZ41" s="403"/>
      <c r="GA41" s="403" t="s">
        <v>11604</v>
      </c>
      <c r="GB41" s="403"/>
      <c r="GC41" s="403"/>
      <c r="GD41" s="403"/>
      <c r="GE41" s="403"/>
      <c r="GF41" s="403"/>
      <c r="GG41" s="403"/>
      <c r="GH41" s="403"/>
      <c r="GI41" s="403"/>
      <c r="GJ41" s="403"/>
      <c r="GK41" s="403"/>
      <c r="GL41" s="403"/>
      <c r="GM41" s="403"/>
      <c r="GN41" s="403"/>
      <c r="GO41" s="403"/>
      <c r="GP41" s="403"/>
      <c r="GQ41" s="403"/>
      <c r="GR41" s="403"/>
      <c r="GS41" s="403"/>
      <c r="GT41" s="403"/>
      <c r="GU41" s="403"/>
      <c r="GV41" s="403"/>
      <c r="GW41" s="403"/>
      <c r="GX41" s="403"/>
      <c r="GY41" s="403"/>
      <c r="GZ41" s="403"/>
      <c r="HA41" s="403"/>
      <c r="HB41" s="403"/>
      <c r="HC41" s="403"/>
      <c r="HD41" s="403"/>
      <c r="HE41" s="403"/>
      <c r="HF41" s="403"/>
      <c r="HG41" s="403"/>
      <c r="HH41" s="403"/>
      <c r="HI41" s="403" t="s">
        <v>11605</v>
      </c>
      <c r="HJ41" s="403"/>
      <c r="HK41" s="403"/>
      <c r="HL41" s="403"/>
      <c r="HM41" s="403"/>
      <c r="HN41" s="403"/>
      <c r="HO41" s="403"/>
      <c r="HP41" s="403"/>
      <c r="HQ41" s="403"/>
      <c r="HR41" s="403"/>
      <c r="HS41" s="403"/>
      <c r="HT41" s="403"/>
      <c r="HU41" s="403"/>
      <c r="HV41" s="403"/>
      <c r="HW41" s="403"/>
      <c r="HX41" s="403"/>
      <c r="HY41" s="403"/>
      <c r="HZ41" s="403"/>
      <c r="IA41" s="403"/>
      <c r="IB41" s="403"/>
      <c r="IC41" s="403"/>
      <c r="ID41" s="403"/>
      <c r="IE41" s="403"/>
      <c r="IF41" s="403"/>
      <c r="IG41" s="403"/>
      <c r="IH41" s="403"/>
      <c r="II41" s="403"/>
      <c r="IJ41" s="403"/>
      <c r="IK41" s="403"/>
      <c r="IL41" s="403"/>
      <c r="IM41" s="403"/>
      <c r="IN41" s="403"/>
      <c r="IO41" s="403"/>
      <c r="IP41" s="403"/>
      <c r="IQ41" s="403" t="s">
        <v>11606</v>
      </c>
      <c r="IR41" s="403"/>
      <c r="IS41" s="403"/>
      <c r="IT41" s="403"/>
      <c r="IU41" s="403"/>
      <c r="IV41" s="403"/>
      <c r="IW41" s="403"/>
      <c r="IX41" s="403"/>
      <c r="IY41" s="403"/>
      <c r="IZ41" s="403"/>
      <c r="JA41" s="403"/>
      <c r="JB41" s="403"/>
      <c r="JC41" s="403"/>
      <c r="JD41" s="403"/>
      <c r="JE41" s="403"/>
      <c r="JF41" s="403"/>
      <c r="JG41" s="403"/>
      <c r="JH41" s="403"/>
      <c r="JI41" s="403"/>
      <c r="JJ41" s="403"/>
      <c r="JK41" s="403"/>
      <c r="JL41" s="403"/>
      <c r="JM41" s="403"/>
      <c r="JN41" s="403"/>
      <c r="JO41" s="403"/>
      <c r="JP41" s="403"/>
      <c r="JQ41" s="403"/>
      <c r="JR41" s="403"/>
      <c r="JS41" s="403"/>
      <c r="JT41" s="403"/>
    </row>
    <row r="42" spans="2:280" s="281" customFormat="1" ht="12.75" x14ac:dyDescent="0.2">
      <c r="B42" s="624"/>
      <c r="C42" s="31" t="str">
        <f t="shared" ca="1" si="51"/>
        <v>HRH wages (per diems)</v>
      </c>
      <c r="J42" s="283" t="e">
        <f t="shared" ref="J42:P42" si="57">SUM(J79:J80)</f>
        <v>#N/A</v>
      </c>
      <c r="K42" s="283" t="e">
        <f t="shared" si="57"/>
        <v>#N/A</v>
      </c>
      <c r="L42" s="283" t="e">
        <f t="shared" si="57"/>
        <v>#N/A</v>
      </c>
      <c r="M42" s="283" t="e">
        <f t="shared" si="57"/>
        <v>#N/A</v>
      </c>
      <c r="N42" s="283" t="e">
        <f t="shared" si="57"/>
        <v>#N/A</v>
      </c>
      <c r="O42" s="283" t="e">
        <f t="shared" si="57"/>
        <v>#N/A</v>
      </c>
      <c r="P42" s="283" t="e">
        <f t="shared" si="57"/>
        <v>#N/A</v>
      </c>
      <c r="Q42" s="16"/>
      <c r="R42" s="157"/>
      <c r="U42" s="624"/>
      <c r="V42" s="31" t="str">
        <f t="shared" ca="1" si="53"/>
        <v>HRH wages (per diems)</v>
      </c>
      <c r="W42" s="283" t="e">
        <f t="shared" ref="W42:AC42" si="58">SUM(W79:W80)</f>
        <v>#N/A</v>
      </c>
      <c r="X42" s="283" t="e">
        <f t="shared" si="58"/>
        <v>#N/A</v>
      </c>
      <c r="Y42" s="283" t="e">
        <f t="shared" si="58"/>
        <v>#N/A</v>
      </c>
      <c r="Z42" s="283" t="e">
        <f t="shared" si="58"/>
        <v>#N/A</v>
      </c>
      <c r="AA42" s="283" t="e">
        <f t="shared" si="58"/>
        <v>#N/A</v>
      </c>
      <c r="AB42" s="283" t="e">
        <f t="shared" si="58"/>
        <v>#N/A</v>
      </c>
      <c r="AC42" s="283" t="e">
        <f t="shared" si="58"/>
        <v>#N/A</v>
      </c>
      <c r="AD42" s="16"/>
      <c r="AG42" s="624"/>
      <c r="AH42" s="31" t="str">
        <f t="shared" ca="1" si="55"/>
        <v>HRH wages (per diems)</v>
      </c>
      <c r="AI42" s="283" t="e">
        <f t="shared" ref="AI42:AO42" si="59">SUM(AI79:AI80)</f>
        <v>#N/A</v>
      </c>
      <c r="AJ42" s="283" t="e">
        <f t="shared" si="59"/>
        <v>#N/A</v>
      </c>
      <c r="AK42" s="283" t="e">
        <f t="shared" si="59"/>
        <v>#N/A</v>
      </c>
      <c r="AL42" s="283" t="e">
        <f t="shared" si="59"/>
        <v>#N/A</v>
      </c>
      <c r="AM42" s="283" t="e">
        <f t="shared" si="59"/>
        <v>#N/A</v>
      </c>
      <c r="AN42" s="283" t="e">
        <f t="shared" si="59"/>
        <v>#N/A</v>
      </c>
      <c r="AO42" s="283" t="e">
        <f t="shared" si="59"/>
        <v>#N/A</v>
      </c>
      <c r="AP42" s="16"/>
      <c r="AR42" s="403"/>
      <c r="AS42" s="403"/>
      <c r="AT42" s="403"/>
      <c r="AU42" s="403" t="s">
        <v>3168</v>
      </c>
      <c r="AV42" s="403"/>
      <c r="AW42" s="403"/>
      <c r="AX42" s="403"/>
      <c r="AY42" s="403"/>
      <c r="AZ42" s="403"/>
      <c r="BA42" s="403"/>
      <c r="BB42" s="403"/>
      <c r="BC42" s="403"/>
      <c r="BD42" s="403"/>
      <c r="BE42" s="403"/>
      <c r="BF42" s="403"/>
      <c r="BG42" s="403"/>
      <c r="BH42" s="403"/>
      <c r="BI42" s="403"/>
      <c r="BJ42" s="403"/>
      <c r="BK42" s="403"/>
      <c r="BL42" s="403"/>
      <c r="BM42" s="403"/>
      <c r="BN42" s="403"/>
      <c r="BO42" s="403"/>
      <c r="BP42" s="403"/>
      <c r="BQ42" s="403"/>
      <c r="BR42" s="403"/>
      <c r="BS42" s="403"/>
      <c r="BT42" s="403"/>
      <c r="BU42" s="403"/>
      <c r="BV42" s="403"/>
      <c r="BW42" s="403"/>
      <c r="BX42" s="403"/>
      <c r="BY42" s="403"/>
      <c r="BZ42" s="403"/>
      <c r="CA42" s="403"/>
      <c r="CB42" s="403"/>
      <c r="CC42" s="403" t="s">
        <v>11607</v>
      </c>
      <c r="CD42" s="403"/>
      <c r="CE42" s="403"/>
      <c r="CF42" s="403"/>
      <c r="CG42" s="403"/>
      <c r="CH42" s="403"/>
      <c r="CI42" s="403"/>
      <c r="CJ42" s="403"/>
      <c r="CK42" s="403"/>
      <c r="CL42" s="403"/>
      <c r="CM42" s="403"/>
      <c r="CN42" s="403"/>
      <c r="CO42" s="403"/>
      <c r="CP42" s="403"/>
      <c r="CQ42" s="403"/>
      <c r="CR42" s="403"/>
      <c r="CS42" s="403"/>
      <c r="CT42" s="403"/>
      <c r="CU42" s="403"/>
      <c r="CV42" s="403"/>
      <c r="CW42" s="403"/>
      <c r="CX42" s="403"/>
      <c r="CY42" s="403"/>
      <c r="CZ42" s="403"/>
      <c r="DA42" s="403"/>
      <c r="DB42" s="403"/>
      <c r="DC42" s="403"/>
      <c r="DD42" s="403"/>
      <c r="DE42" s="403"/>
      <c r="DF42" s="403"/>
      <c r="DG42" s="403"/>
      <c r="DH42" s="403"/>
      <c r="DI42" s="403"/>
      <c r="DJ42" s="403"/>
      <c r="DK42" s="403" t="s">
        <v>11608</v>
      </c>
      <c r="DL42" s="403"/>
      <c r="DM42" s="403"/>
      <c r="DN42" s="403"/>
      <c r="DO42" s="403"/>
      <c r="DP42" s="403"/>
      <c r="DQ42" s="403"/>
      <c r="DR42" s="403"/>
      <c r="DS42" s="403"/>
      <c r="DT42" s="403"/>
      <c r="DU42" s="403"/>
      <c r="DV42" s="403"/>
      <c r="DW42" s="403"/>
      <c r="DX42" s="403"/>
      <c r="DY42" s="403"/>
      <c r="DZ42" s="403"/>
      <c r="EA42" s="403"/>
      <c r="EB42" s="403"/>
      <c r="EC42" s="403"/>
      <c r="ED42" s="403"/>
      <c r="EE42" s="403"/>
      <c r="EF42" s="403"/>
      <c r="EG42" s="403"/>
      <c r="EH42" s="403"/>
      <c r="EI42" s="403"/>
      <c r="EJ42" s="403"/>
      <c r="EK42" s="403"/>
      <c r="EL42" s="403"/>
      <c r="EM42" s="403"/>
      <c r="EN42" s="403"/>
      <c r="EO42" s="403"/>
      <c r="EP42" s="403"/>
      <c r="EQ42" s="403"/>
      <c r="ER42" s="403"/>
      <c r="ES42" s="403" t="s">
        <v>11609</v>
      </c>
      <c r="ET42" s="403"/>
      <c r="EU42" s="403"/>
      <c r="EV42" s="403"/>
      <c r="EW42" s="403"/>
      <c r="EX42" s="403"/>
      <c r="EY42" s="403"/>
      <c r="EZ42" s="403"/>
      <c r="FA42" s="403"/>
      <c r="FB42" s="403"/>
      <c r="FC42" s="403"/>
      <c r="FD42" s="403"/>
      <c r="FE42" s="403"/>
      <c r="FF42" s="403"/>
      <c r="FG42" s="403"/>
      <c r="FH42" s="403"/>
      <c r="FI42" s="403"/>
      <c r="FJ42" s="403"/>
      <c r="FK42" s="403"/>
      <c r="FL42" s="403"/>
      <c r="FM42" s="403"/>
      <c r="FN42" s="403"/>
      <c r="FO42" s="403"/>
      <c r="FP42" s="403"/>
      <c r="FQ42" s="403"/>
      <c r="FR42" s="403"/>
      <c r="FS42" s="403"/>
      <c r="FT42" s="403"/>
      <c r="FU42" s="403"/>
      <c r="FV42" s="403"/>
      <c r="FW42" s="403"/>
      <c r="FX42" s="403"/>
      <c r="FY42" s="403"/>
      <c r="FZ42" s="403"/>
      <c r="GA42" s="403" t="s">
        <v>11610</v>
      </c>
      <c r="GB42" s="403"/>
      <c r="GC42" s="403"/>
      <c r="GD42" s="403"/>
      <c r="GE42" s="403"/>
      <c r="GF42" s="403"/>
      <c r="GG42" s="403"/>
      <c r="GH42" s="403"/>
      <c r="GI42" s="403"/>
      <c r="GJ42" s="403"/>
      <c r="GK42" s="403"/>
      <c r="GL42" s="403"/>
      <c r="GM42" s="403"/>
      <c r="GN42" s="403"/>
      <c r="GO42" s="403"/>
      <c r="GP42" s="403"/>
      <c r="GQ42" s="403"/>
      <c r="GR42" s="403"/>
      <c r="GS42" s="403"/>
      <c r="GT42" s="403"/>
      <c r="GU42" s="403"/>
      <c r="GV42" s="403"/>
      <c r="GW42" s="403"/>
      <c r="GX42" s="403"/>
      <c r="GY42" s="403"/>
      <c r="GZ42" s="403"/>
      <c r="HA42" s="403"/>
      <c r="HB42" s="403"/>
      <c r="HC42" s="403"/>
      <c r="HD42" s="403"/>
      <c r="HE42" s="403"/>
      <c r="HF42" s="403"/>
      <c r="HG42" s="403"/>
      <c r="HH42" s="403"/>
      <c r="HI42" s="403" t="s">
        <v>11611</v>
      </c>
      <c r="HJ42" s="403"/>
      <c r="HK42" s="403"/>
      <c r="HL42" s="403"/>
      <c r="HM42" s="403"/>
      <c r="HN42" s="403"/>
      <c r="HO42" s="403"/>
      <c r="HP42" s="403"/>
      <c r="HQ42" s="403"/>
      <c r="HR42" s="403"/>
      <c r="HS42" s="403"/>
      <c r="HT42" s="403"/>
      <c r="HU42" s="403"/>
      <c r="HV42" s="403"/>
      <c r="HW42" s="403"/>
      <c r="HX42" s="403"/>
      <c r="HY42" s="403"/>
      <c r="HZ42" s="403"/>
      <c r="IA42" s="403"/>
      <c r="IB42" s="403"/>
      <c r="IC42" s="403"/>
      <c r="ID42" s="403"/>
      <c r="IE42" s="403"/>
      <c r="IF42" s="403"/>
      <c r="IG42" s="403"/>
      <c r="IH42" s="403"/>
      <c r="II42" s="403"/>
      <c r="IJ42" s="403"/>
      <c r="IK42" s="403"/>
      <c r="IL42" s="403"/>
      <c r="IM42" s="403"/>
      <c r="IN42" s="403"/>
      <c r="IO42" s="403"/>
      <c r="IP42" s="403"/>
      <c r="IQ42" s="403" t="s">
        <v>11612</v>
      </c>
      <c r="IR42" s="403"/>
      <c r="IS42" s="403"/>
      <c r="IT42" s="403"/>
      <c r="IU42" s="403"/>
      <c r="IV42" s="403"/>
      <c r="IW42" s="403"/>
      <c r="IX42" s="403"/>
      <c r="IY42" s="403"/>
      <c r="IZ42" s="403"/>
      <c r="JA42" s="403"/>
      <c r="JB42" s="403"/>
      <c r="JC42" s="403"/>
      <c r="JD42" s="403"/>
      <c r="JE42" s="403"/>
      <c r="JF42" s="403"/>
      <c r="JG42" s="403"/>
      <c r="JH42" s="403"/>
      <c r="JI42" s="403"/>
      <c r="JJ42" s="403"/>
      <c r="JK42" s="403"/>
      <c r="JL42" s="403"/>
      <c r="JM42" s="403"/>
      <c r="JN42" s="403"/>
      <c r="JO42" s="403"/>
      <c r="JP42" s="403"/>
      <c r="JQ42" s="403"/>
      <c r="JR42" s="403"/>
      <c r="JS42" s="403"/>
      <c r="JT42" s="403"/>
    </row>
    <row r="43" spans="2:280" s="281" customFormat="1" ht="12.75" x14ac:dyDescent="0.2">
      <c r="B43" s="624"/>
      <c r="C43" s="31" t="str">
        <f t="shared" ca="1" si="51"/>
        <v>Local Training and Deployment</v>
      </c>
      <c r="J43" s="283" t="e">
        <f>J81</f>
        <v>#N/A</v>
      </c>
      <c r="K43" s="283" t="e">
        <f t="shared" ref="K43:P43" si="60">K81</f>
        <v>#N/A</v>
      </c>
      <c r="L43" s="283" t="e">
        <f t="shared" si="60"/>
        <v>#N/A</v>
      </c>
      <c r="M43" s="283" t="e">
        <f t="shared" si="60"/>
        <v>#N/A</v>
      </c>
      <c r="N43" s="283" t="e">
        <f t="shared" si="60"/>
        <v>#N/A</v>
      </c>
      <c r="O43" s="283" t="e">
        <f t="shared" si="60"/>
        <v>#N/A</v>
      </c>
      <c r="P43" s="283" t="e">
        <f t="shared" si="60"/>
        <v>#N/A</v>
      </c>
      <c r="Q43" s="16"/>
      <c r="R43" s="157"/>
      <c r="U43" s="624"/>
      <c r="V43" s="31" t="str">
        <f t="shared" ca="1" si="53"/>
        <v>Local Training and Deployment</v>
      </c>
      <c r="W43" s="283" t="e">
        <f>W81</f>
        <v>#N/A</v>
      </c>
      <c r="X43" s="283" t="e">
        <f t="shared" ref="X43:AC44" si="61">X81</f>
        <v>#N/A</v>
      </c>
      <c r="Y43" s="283" t="e">
        <f t="shared" si="61"/>
        <v>#N/A</v>
      </c>
      <c r="Z43" s="283" t="e">
        <f t="shared" si="61"/>
        <v>#N/A</v>
      </c>
      <c r="AA43" s="283" t="e">
        <f t="shared" si="61"/>
        <v>#N/A</v>
      </c>
      <c r="AB43" s="283" t="e">
        <f t="shared" si="61"/>
        <v>#N/A</v>
      </c>
      <c r="AC43" s="283" t="e">
        <f t="shared" si="61"/>
        <v>#N/A</v>
      </c>
      <c r="AD43" s="16"/>
      <c r="AG43" s="624"/>
      <c r="AH43" s="31" t="str">
        <f t="shared" ca="1" si="55"/>
        <v>Local Training and Deployment</v>
      </c>
      <c r="AI43" s="283" t="e">
        <f>AI81</f>
        <v>#N/A</v>
      </c>
      <c r="AJ43" s="283" t="e">
        <f t="shared" ref="AJ43:AO44" si="62">AJ81</f>
        <v>#N/A</v>
      </c>
      <c r="AK43" s="283" t="e">
        <f t="shared" si="62"/>
        <v>#N/A</v>
      </c>
      <c r="AL43" s="283" t="e">
        <f t="shared" si="62"/>
        <v>#N/A</v>
      </c>
      <c r="AM43" s="283" t="e">
        <f t="shared" si="62"/>
        <v>#N/A</v>
      </c>
      <c r="AN43" s="283" t="e">
        <f t="shared" si="62"/>
        <v>#N/A</v>
      </c>
      <c r="AO43" s="283" t="e">
        <f t="shared" si="62"/>
        <v>#N/A</v>
      </c>
      <c r="AP43" s="16"/>
      <c r="AR43" s="403"/>
      <c r="AS43" s="403"/>
      <c r="AT43" s="403"/>
      <c r="AU43" s="403" t="s">
        <v>3184</v>
      </c>
      <c r="AV43" s="403"/>
      <c r="AW43" s="403"/>
      <c r="AX43" s="403"/>
      <c r="AY43" s="403"/>
      <c r="AZ43" s="403"/>
      <c r="BA43" s="403"/>
      <c r="BB43" s="403"/>
      <c r="BC43" s="403"/>
      <c r="BD43" s="403"/>
      <c r="BE43" s="403"/>
      <c r="BF43" s="403"/>
      <c r="BG43" s="403"/>
      <c r="BH43" s="403"/>
      <c r="BI43" s="403"/>
      <c r="BJ43" s="403"/>
      <c r="BK43" s="403"/>
      <c r="BL43" s="403"/>
      <c r="BM43" s="403"/>
      <c r="BN43" s="403"/>
      <c r="BO43" s="403"/>
      <c r="BP43" s="403"/>
      <c r="BQ43" s="403"/>
      <c r="BR43" s="403"/>
      <c r="BS43" s="403"/>
      <c r="BT43" s="403"/>
      <c r="BU43" s="403"/>
      <c r="BV43" s="403"/>
      <c r="BW43" s="403"/>
      <c r="BX43" s="403"/>
      <c r="BY43" s="403"/>
      <c r="BZ43" s="403"/>
      <c r="CA43" s="403"/>
      <c r="CB43" s="403"/>
      <c r="CC43" s="403" t="s">
        <v>11613</v>
      </c>
      <c r="CD43" s="403"/>
      <c r="CE43" s="403"/>
      <c r="CF43" s="403"/>
      <c r="CG43" s="403"/>
      <c r="CH43" s="403"/>
      <c r="CI43" s="403"/>
      <c r="CJ43" s="403"/>
      <c r="CK43" s="403"/>
      <c r="CL43" s="403"/>
      <c r="CM43" s="403"/>
      <c r="CN43" s="403"/>
      <c r="CO43" s="403"/>
      <c r="CP43" s="403"/>
      <c r="CQ43" s="403"/>
      <c r="CR43" s="403"/>
      <c r="CS43" s="403"/>
      <c r="CT43" s="403"/>
      <c r="CU43" s="403"/>
      <c r="CV43" s="403"/>
      <c r="CW43" s="403"/>
      <c r="CX43" s="403"/>
      <c r="CY43" s="403"/>
      <c r="CZ43" s="403"/>
      <c r="DA43" s="403"/>
      <c r="DB43" s="403"/>
      <c r="DC43" s="403"/>
      <c r="DD43" s="403"/>
      <c r="DE43" s="403"/>
      <c r="DF43" s="403"/>
      <c r="DG43" s="403"/>
      <c r="DH43" s="403"/>
      <c r="DI43" s="403"/>
      <c r="DJ43" s="403"/>
      <c r="DK43" s="403" t="s">
        <v>11614</v>
      </c>
      <c r="DL43" s="403"/>
      <c r="DM43" s="403"/>
      <c r="DN43" s="403"/>
      <c r="DO43" s="403"/>
      <c r="DP43" s="403"/>
      <c r="DQ43" s="403"/>
      <c r="DR43" s="403"/>
      <c r="DS43" s="403"/>
      <c r="DT43" s="403"/>
      <c r="DU43" s="403"/>
      <c r="DV43" s="403"/>
      <c r="DW43" s="403"/>
      <c r="DX43" s="403"/>
      <c r="DY43" s="403"/>
      <c r="DZ43" s="403"/>
      <c r="EA43" s="403"/>
      <c r="EB43" s="403"/>
      <c r="EC43" s="403"/>
      <c r="ED43" s="403"/>
      <c r="EE43" s="403"/>
      <c r="EF43" s="403"/>
      <c r="EG43" s="403"/>
      <c r="EH43" s="403"/>
      <c r="EI43" s="403"/>
      <c r="EJ43" s="403"/>
      <c r="EK43" s="403"/>
      <c r="EL43" s="403"/>
      <c r="EM43" s="403"/>
      <c r="EN43" s="403"/>
      <c r="EO43" s="403"/>
      <c r="EP43" s="403"/>
      <c r="EQ43" s="403"/>
      <c r="ER43" s="403"/>
      <c r="ES43" s="403" t="s">
        <v>11615</v>
      </c>
      <c r="ET43" s="403"/>
      <c r="EU43" s="403"/>
      <c r="EV43" s="403"/>
      <c r="EW43" s="403"/>
      <c r="EX43" s="403"/>
      <c r="EY43" s="403"/>
      <c r="EZ43" s="403"/>
      <c r="FA43" s="403"/>
      <c r="FB43" s="403"/>
      <c r="FC43" s="403"/>
      <c r="FD43" s="403"/>
      <c r="FE43" s="403"/>
      <c r="FF43" s="403"/>
      <c r="FG43" s="403"/>
      <c r="FH43" s="403"/>
      <c r="FI43" s="403"/>
      <c r="FJ43" s="403"/>
      <c r="FK43" s="403"/>
      <c r="FL43" s="403"/>
      <c r="FM43" s="403"/>
      <c r="FN43" s="403"/>
      <c r="FO43" s="403"/>
      <c r="FP43" s="403"/>
      <c r="FQ43" s="403"/>
      <c r="FR43" s="403"/>
      <c r="FS43" s="403"/>
      <c r="FT43" s="403"/>
      <c r="FU43" s="403"/>
      <c r="FV43" s="403"/>
      <c r="FW43" s="403"/>
      <c r="FX43" s="403"/>
      <c r="FY43" s="403"/>
      <c r="FZ43" s="403"/>
      <c r="GA43" s="403" t="s">
        <v>11616</v>
      </c>
      <c r="GB43" s="403"/>
      <c r="GC43" s="403"/>
      <c r="GD43" s="403"/>
      <c r="GE43" s="403"/>
      <c r="GF43" s="403"/>
      <c r="GG43" s="403"/>
      <c r="GH43" s="403"/>
      <c r="GI43" s="403"/>
      <c r="GJ43" s="403"/>
      <c r="GK43" s="403"/>
      <c r="GL43" s="403"/>
      <c r="GM43" s="403"/>
      <c r="GN43" s="403"/>
      <c r="GO43" s="403"/>
      <c r="GP43" s="403"/>
      <c r="GQ43" s="403"/>
      <c r="GR43" s="403"/>
      <c r="GS43" s="403"/>
      <c r="GT43" s="403"/>
      <c r="GU43" s="403"/>
      <c r="GV43" s="403"/>
      <c r="GW43" s="403"/>
      <c r="GX43" s="403"/>
      <c r="GY43" s="403"/>
      <c r="GZ43" s="403"/>
      <c r="HA43" s="403"/>
      <c r="HB43" s="403"/>
      <c r="HC43" s="403"/>
      <c r="HD43" s="403"/>
      <c r="HE43" s="403"/>
      <c r="HF43" s="403"/>
      <c r="HG43" s="403"/>
      <c r="HH43" s="403"/>
      <c r="HI43" s="403" t="s">
        <v>11617</v>
      </c>
      <c r="HJ43" s="403"/>
      <c r="HK43" s="403"/>
      <c r="HL43" s="403"/>
      <c r="HM43" s="403"/>
      <c r="HN43" s="403"/>
      <c r="HO43" s="403"/>
      <c r="HP43" s="403"/>
      <c r="HQ43" s="403"/>
      <c r="HR43" s="403"/>
      <c r="HS43" s="403"/>
      <c r="HT43" s="403"/>
      <c r="HU43" s="403"/>
      <c r="HV43" s="403"/>
      <c r="HW43" s="403"/>
      <c r="HX43" s="403"/>
      <c r="HY43" s="403"/>
      <c r="HZ43" s="403"/>
      <c r="IA43" s="403"/>
      <c r="IB43" s="403"/>
      <c r="IC43" s="403"/>
      <c r="ID43" s="403"/>
      <c r="IE43" s="403"/>
      <c r="IF43" s="403"/>
      <c r="IG43" s="403"/>
      <c r="IH43" s="403"/>
      <c r="II43" s="403"/>
      <c r="IJ43" s="403"/>
      <c r="IK43" s="403"/>
      <c r="IL43" s="403"/>
      <c r="IM43" s="403"/>
      <c r="IN43" s="403"/>
      <c r="IO43" s="403"/>
      <c r="IP43" s="403"/>
      <c r="IQ43" s="403" t="s">
        <v>11618</v>
      </c>
      <c r="IR43" s="403"/>
      <c r="IS43" s="403"/>
      <c r="IT43" s="403"/>
      <c r="IU43" s="403"/>
      <c r="IV43" s="403"/>
      <c r="IW43" s="403"/>
      <c r="IX43" s="403"/>
      <c r="IY43" s="403"/>
      <c r="IZ43" s="403"/>
      <c r="JA43" s="403"/>
      <c r="JB43" s="403"/>
      <c r="JC43" s="403"/>
      <c r="JD43" s="403"/>
      <c r="JE43" s="403"/>
      <c r="JF43" s="403"/>
      <c r="JG43" s="403"/>
      <c r="JH43" s="403"/>
      <c r="JI43" s="403"/>
      <c r="JJ43" s="403"/>
      <c r="JK43" s="403"/>
      <c r="JL43" s="403"/>
      <c r="JM43" s="403"/>
      <c r="JN43" s="403"/>
      <c r="JO43" s="403"/>
      <c r="JP43" s="403"/>
      <c r="JQ43" s="403"/>
      <c r="JR43" s="403"/>
      <c r="JS43" s="403"/>
      <c r="JT43" s="403"/>
    </row>
    <row r="44" spans="2:280" s="281" customFormat="1" ht="12.75" x14ac:dyDescent="0.2">
      <c r="B44" s="624"/>
      <c r="C44" s="31" t="str">
        <f t="shared" ca="1" si="51"/>
        <v>HRH expenses</v>
      </c>
      <c r="J44" s="283" t="e">
        <f>J82</f>
        <v>#N/A</v>
      </c>
      <c r="K44" s="283" t="e">
        <f t="shared" ref="K44:P44" si="63">K82</f>
        <v>#N/A</v>
      </c>
      <c r="L44" s="283" t="e">
        <f t="shared" si="63"/>
        <v>#N/A</v>
      </c>
      <c r="M44" s="283" t="e">
        <f t="shared" si="63"/>
        <v>#N/A</v>
      </c>
      <c r="N44" s="283" t="e">
        <f t="shared" si="63"/>
        <v>#N/A</v>
      </c>
      <c r="O44" s="283" t="e">
        <f t="shared" si="63"/>
        <v>#N/A</v>
      </c>
      <c r="P44" s="283" t="e">
        <f t="shared" si="63"/>
        <v>#N/A</v>
      </c>
      <c r="Q44" s="16"/>
      <c r="R44" s="157"/>
      <c r="U44" s="624"/>
      <c r="V44" s="31" t="str">
        <f t="shared" ca="1" si="53"/>
        <v>HRH expenses</v>
      </c>
      <c r="W44" s="283" t="e">
        <f>W82</f>
        <v>#N/A</v>
      </c>
      <c r="X44" s="283" t="e">
        <f t="shared" si="61"/>
        <v>#N/A</v>
      </c>
      <c r="Y44" s="283" t="e">
        <f t="shared" si="61"/>
        <v>#N/A</v>
      </c>
      <c r="Z44" s="283" t="e">
        <f t="shared" si="61"/>
        <v>#N/A</v>
      </c>
      <c r="AA44" s="283" t="e">
        <f t="shared" si="61"/>
        <v>#N/A</v>
      </c>
      <c r="AB44" s="283" t="e">
        <f t="shared" si="61"/>
        <v>#N/A</v>
      </c>
      <c r="AC44" s="283" t="e">
        <f t="shared" si="61"/>
        <v>#N/A</v>
      </c>
      <c r="AD44" s="16"/>
      <c r="AG44" s="624"/>
      <c r="AH44" s="31" t="str">
        <f t="shared" ca="1" si="55"/>
        <v>HRH expenses</v>
      </c>
      <c r="AI44" s="283" t="e">
        <f>AI82</f>
        <v>#N/A</v>
      </c>
      <c r="AJ44" s="283" t="e">
        <f t="shared" si="62"/>
        <v>#N/A</v>
      </c>
      <c r="AK44" s="283" t="e">
        <f t="shared" si="62"/>
        <v>#N/A</v>
      </c>
      <c r="AL44" s="283" t="e">
        <f t="shared" si="62"/>
        <v>#N/A</v>
      </c>
      <c r="AM44" s="283" t="e">
        <f t="shared" si="62"/>
        <v>#N/A</v>
      </c>
      <c r="AN44" s="283" t="e">
        <f t="shared" si="62"/>
        <v>#N/A</v>
      </c>
      <c r="AO44" s="283" t="e">
        <f t="shared" si="62"/>
        <v>#N/A</v>
      </c>
      <c r="AP44" s="16"/>
      <c r="AR44" s="403"/>
      <c r="AS44" s="403"/>
      <c r="AT44" s="403"/>
      <c r="AU44" s="403" t="s">
        <v>3167</v>
      </c>
      <c r="AV44" s="403"/>
      <c r="AW44" s="403"/>
      <c r="AX44" s="403"/>
      <c r="AY44" s="403"/>
      <c r="AZ44" s="403"/>
      <c r="BA44" s="403"/>
      <c r="BB44" s="403"/>
      <c r="BC44" s="403"/>
      <c r="BD44" s="403"/>
      <c r="BE44" s="403"/>
      <c r="BF44" s="403"/>
      <c r="BG44" s="403"/>
      <c r="BH44" s="403"/>
      <c r="BI44" s="403"/>
      <c r="BJ44" s="403"/>
      <c r="BK44" s="403"/>
      <c r="BL44" s="403"/>
      <c r="BM44" s="403"/>
      <c r="BN44" s="403"/>
      <c r="BO44" s="403"/>
      <c r="BP44" s="403"/>
      <c r="BQ44" s="403"/>
      <c r="BR44" s="403"/>
      <c r="BS44" s="403"/>
      <c r="BT44" s="403"/>
      <c r="BU44" s="403"/>
      <c r="BV44" s="403"/>
      <c r="BW44" s="403"/>
      <c r="BX44" s="403"/>
      <c r="BY44" s="403"/>
      <c r="BZ44" s="403"/>
      <c r="CA44" s="403"/>
      <c r="CB44" s="403"/>
      <c r="CC44" s="403" t="s">
        <v>11619</v>
      </c>
      <c r="CD44" s="403"/>
      <c r="CE44" s="403"/>
      <c r="CF44" s="403"/>
      <c r="CG44" s="403"/>
      <c r="CH44" s="403"/>
      <c r="CI44" s="403"/>
      <c r="CJ44" s="403"/>
      <c r="CK44" s="403"/>
      <c r="CL44" s="403"/>
      <c r="CM44" s="403"/>
      <c r="CN44" s="403"/>
      <c r="CO44" s="403"/>
      <c r="CP44" s="403"/>
      <c r="CQ44" s="403"/>
      <c r="CR44" s="403"/>
      <c r="CS44" s="403"/>
      <c r="CT44" s="403"/>
      <c r="CU44" s="403"/>
      <c r="CV44" s="403"/>
      <c r="CW44" s="403"/>
      <c r="CX44" s="403"/>
      <c r="CY44" s="403"/>
      <c r="CZ44" s="403"/>
      <c r="DA44" s="403"/>
      <c r="DB44" s="403"/>
      <c r="DC44" s="403"/>
      <c r="DD44" s="403"/>
      <c r="DE44" s="403"/>
      <c r="DF44" s="403"/>
      <c r="DG44" s="403"/>
      <c r="DH44" s="403"/>
      <c r="DI44" s="403"/>
      <c r="DJ44" s="403"/>
      <c r="DK44" s="403" t="s">
        <v>11620</v>
      </c>
      <c r="DL44" s="403"/>
      <c r="DM44" s="403"/>
      <c r="DN44" s="403"/>
      <c r="DO44" s="403"/>
      <c r="DP44" s="403"/>
      <c r="DQ44" s="403"/>
      <c r="DR44" s="403"/>
      <c r="DS44" s="403"/>
      <c r="DT44" s="403"/>
      <c r="DU44" s="403"/>
      <c r="DV44" s="403"/>
      <c r="DW44" s="403"/>
      <c r="DX44" s="403"/>
      <c r="DY44" s="403"/>
      <c r="DZ44" s="403"/>
      <c r="EA44" s="403"/>
      <c r="EB44" s="403"/>
      <c r="EC44" s="403"/>
      <c r="ED44" s="403"/>
      <c r="EE44" s="403"/>
      <c r="EF44" s="403"/>
      <c r="EG44" s="403"/>
      <c r="EH44" s="403"/>
      <c r="EI44" s="403"/>
      <c r="EJ44" s="403"/>
      <c r="EK44" s="403"/>
      <c r="EL44" s="403"/>
      <c r="EM44" s="403"/>
      <c r="EN44" s="403"/>
      <c r="EO44" s="403"/>
      <c r="EP44" s="403"/>
      <c r="EQ44" s="403"/>
      <c r="ER44" s="403"/>
      <c r="ES44" s="403" t="s">
        <v>11621</v>
      </c>
      <c r="ET44" s="403"/>
      <c r="EU44" s="403"/>
      <c r="EV44" s="403"/>
      <c r="EW44" s="403"/>
      <c r="EX44" s="403"/>
      <c r="EY44" s="403"/>
      <c r="EZ44" s="403"/>
      <c r="FA44" s="403"/>
      <c r="FB44" s="403"/>
      <c r="FC44" s="403"/>
      <c r="FD44" s="403"/>
      <c r="FE44" s="403"/>
      <c r="FF44" s="403"/>
      <c r="FG44" s="403"/>
      <c r="FH44" s="403"/>
      <c r="FI44" s="403"/>
      <c r="FJ44" s="403"/>
      <c r="FK44" s="403"/>
      <c r="FL44" s="403"/>
      <c r="FM44" s="403"/>
      <c r="FN44" s="403"/>
      <c r="FO44" s="403"/>
      <c r="FP44" s="403"/>
      <c r="FQ44" s="403"/>
      <c r="FR44" s="403"/>
      <c r="FS44" s="403"/>
      <c r="FT44" s="403"/>
      <c r="FU44" s="403"/>
      <c r="FV44" s="403"/>
      <c r="FW44" s="403"/>
      <c r="FX44" s="403"/>
      <c r="FY44" s="403"/>
      <c r="FZ44" s="403"/>
      <c r="GA44" s="403" t="s">
        <v>11622</v>
      </c>
      <c r="GB44" s="403"/>
      <c r="GC44" s="403"/>
      <c r="GD44" s="403"/>
      <c r="GE44" s="403"/>
      <c r="GF44" s="403"/>
      <c r="GG44" s="403"/>
      <c r="GH44" s="403"/>
      <c r="GI44" s="403"/>
      <c r="GJ44" s="403"/>
      <c r="GK44" s="403"/>
      <c r="GL44" s="403"/>
      <c r="GM44" s="403"/>
      <c r="GN44" s="403"/>
      <c r="GO44" s="403"/>
      <c r="GP44" s="403"/>
      <c r="GQ44" s="403"/>
      <c r="GR44" s="403"/>
      <c r="GS44" s="403"/>
      <c r="GT44" s="403"/>
      <c r="GU44" s="403"/>
      <c r="GV44" s="403"/>
      <c r="GW44" s="403"/>
      <c r="GX44" s="403"/>
      <c r="GY44" s="403"/>
      <c r="GZ44" s="403"/>
      <c r="HA44" s="403"/>
      <c r="HB44" s="403"/>
      <c r="HC44" s="403"/>
      <c r="HD44" s="403"/>
      <c r="HE44" s="403"/>
      <c r="HF44" s="403"/>
      <c r="HG44" s="403"/>
      <c r="HH44" s="403"/>
      <c r="HI44" s="403" t="s">
        <v>11623</v>
      </c>
      <c r="HJ44" s="403"/>
      <c r="HK44" s="403"/>
      <c r="HL44" s="403"/>
      <c r="HM44" s="403"/>
      <c r="HN44" s="403"/>
      <c r="HO44" s="403"/>
      <c r="HP44" s="403"/>
      <c r="HQ44" s="403"/>
      <c r="HR44" s="403"/>
      <c r="HS44" s="403"/>
      <c r="HT44" s="403"/>
      <c r="HU44" s="403"/>
      <c r="HV44" s="403"/>
      <c r="HW44" s="403"/>
      <c r="HX44" s="403"/>
      <c r="HY44" s="403"/>
      <c r="HZ44" s="403"/>
      <c r="IA44" s="403"/>
      <c r="IB44" s="403"/>
      <c r="IC44" s="403"/>
      <c r="ID44" s="403"/>
      <c r="IE44" s="403"/>
      <c r="IF44" s="403"/>
      <c r="IG44" s="403"/>
      <c r="IH44" s="403"/>
      <c r="II44" s="403"/>
      <c r="IJ44" s="403"/>
      <c r="IK44" s="403"/>
      <c r="IL44" s="403"/>
      <c r="IM44" s="403"/>
      <c r="IN44" s="403"/>
      <c r="IO44" s="403"/>
      <c r="IP44" s="403"/>
      <c r="IQ44" s="403" t="s">
        <v>11624</v>
      </c>
      <c r="IR44" s="403"/>
      <c r="IS44" s="403"/>
      <c r="IT44" s="403"/>
      <c r="IU44" s="403"/>
      <c r="IV44" s="403"/>
      <c r="IW44" s="403"/>
      <c r="IX44" s="403"/>
      <c r="IY44" s="403"/>
      <c r="IZ44" s="403"/>
      <c r="JA44" s="403"/>
      <c r="JB44" s="403"/>
      <c r="JC44" s="403"/>
      <c r="JD44" s="403"/>
      <c r="JE44" s="403"/>
      <c r="JF44" s="403"/>
      <c r="JG44" s="403"/>
      <c r="JH44" s="403"/>
      <c r="JI44" s="403"/>
      <c r="JJ44" s="403"/>
      <c r="JK44" s="403"/>
      <c r="JL44" s="403"/>
      <c r="JM44" s="403"/>
      <c r="JN44" s="403"/>
      <c r="JO44" s="403"/>
      <c r="JP44" s="403"/>
      <c r="JQ44" s="403"/>
      <c r="JR44" s="403"/>
      <c r="JS44" s="403"/>
      <c r="JT44" s="403"/>
    </row>
    <row r="45" spans="2:280" s="281" customFormat="1" ht="12.75" x14ac:dyDescent="0.2">
      <c r="B45" s="624"/>
      <c r="C45" s="31" t="str">
        <f t="shared" ca="1" si="51"/>
        <v>PPE</v>
      </c>
      <c r="J45" s="283" t="e">
        <f ca="1">SUM(J83:J84)</f>
        <v>#N/A</v>
      </c>
      <c r="K45" s="283" t="e">
        <f t="shared" ref="K45:P45" ca="1" si="64">SUM(K83:K84)</f>
        <v>#N/A</v>
      </c>
      <c r="L45" s="283" t="e">
        <f t="shared" ca="1" si="64"/>
        <v>#N/A</v>
      </c>
      <c r="M45" s="283" t="e">
        <f t="shared" ca="1" si="64"/>
        <v>#N/A</v>
      </c>
      <c r="N45" s="283" t="e">
        <f t="shared" ca="1" si="64"/>
        <v>#N/A</v>
      </c>
      <c r="O45" s="283" t="e">
        <f t="shared" ca="1" si="64"/>
        <v>#N/A</v>
      </c>
      <c r="P45" s="283" t="e">
        <f t="shared" ca="1" si="64"/>
        <v>#N/A</v>
      </c>
      <c r="Q45" s="16"/>
      <c r="R45" s="157"/>
      <c r="U45" s="624"/>
      <c r="V45" s="31" t="str">
        <f t="shared" ca="1" si="53"/>
        <v>PPE</v>
      </c>
      <c r="W45" s="283" t="e">
        <f ca="1">SUM(W83:W84)</f>
        <v>#N/A</v>
      </c>
      <c r="X45" s="283" t="e">
        <f t="shared" ref="X45:AC45" ca="1" si="65">SUM(X83:X84)</f>
        <v>#N/A</v>
      </c>
      <c r="Y45" s="283" t="e">
        <f t="shared" ca="1" si="65"/>
        <v>#N/A</v>
      </c>
      <c r="Z45" s="283" t="e">
        <f t="shared" ca="1" si="65"/>
        <v>#N/A</v>
      </c>
      <c r="AA45" s="283" t="e">
        <f t="shared" ca="1" si="65"/>
        <v>#N/A</v>
      </c>
      <c r="AB45" s="283" t="e">
        <f t="shared" ca="1" si="65"/>
        <v>#N/A</v>
      </c>
      <c r="AC45" s="283" t="e">
        <f t="shared" ca="1" si="65"/>
        <v>#N/A</v>
      </c>
      <c r="AD45" s="16"/>
      <c r="AG45" s="624"/>
      <c r="AH45" s="31" t="str">
        <f t="shared" ca="1" si="55"/>
        <v>PPE</v>
      </c>
      <c r="AI45" s="283" t="e">
        <f ca="1">SUM(AI83:AI84)</f>
        <v>#N/A</v>
      </c>
      <c r="AJ45" s="283" t="e">
        <f t="shared" ref="AJ45:AO45" ca="1" si="66">SUM(AJ83:AJ84)</f>
        <v>#N/A</v>
      </c>
      <c r="AK45" s="283" t="e">
        <f t="shared" ca="1" si="66"/>
        <v>#N/A</v>
      </c>
      <c r="AL45" s="283" t="e">
        <f t="shared" ca="1" si="66"/>
        <v>#N/A</v>
      </c>
      <c r="AM45" s="283" t="e">
        <f t="shared" ca="1" si="66"/>
        <v>#N/A</v>
      </c>
      <c r="AN45" s="283" t="e">
        <f t="shared" ca="1" si="66"/>
        <v>#N/A</v>
      </c>
      <c r="AO45" s="283" t="e">
        <f t="shared" ca="1" si="66"/>
        <v>#N/A</v>
      </c>
      <c r="AP45" s="16"/>
      <c r="AR45" s="403"/>
      <c r="AS45" s="403"/>
      <c r="AT45" s="403"/>
      <c r="AU45" s="403" t="s">
        <v>3165</v>
      </c>
      <c r="AV45" s="403"/>
      <c r="AW45" s="403"/>
      <c r="AX45" s="403"/>
      <c r="AY45" s="403"/>
      <c r="AZ45" s="403"/>
      <c r="BA45" s="403"/>
      <c r="BB45" s="403"/>
      <c r="BC45" s="403"/>
      <c r="BD45" s="403"/>
      <c r="BE45" s="403"/>
      <c r="BF45" s="403"/>
      <c r="BG45" s="403"/>
      <c r="BH45" s="403"/>
      <c r="BI45" s="403"/>
      <c r="BJ45" s="403"/>
      <c r="BK45" s="403"/>
      <c r="BL45" s="403"/>
      <c r="BM45" s="403"/>
      <c r="BN45" s="403"/>
      <c r="BO45" s="403"/>
      <c r="BP45" s="403"/>
      <c r="BQ45" s="403"/>
      <c r="BR45" s="403"/>
      <c r="BS45" s="403"/>
      <c r="BT45" s="403"/>
      <c r="BU45" s="403"/>
      <c r="BV45" s="403"/>
      <c r="BW45" s="403"/>
      <c r="BX45" s="403"/>
      <c r="BY45" s="403"/>
      <c r="BZ45" s="403"/>
      <c r="CA45" s="403"/>
      <c r="CB45" s="403"/>
      <c r="CC45" s="403" t="s">
        <v>5030</v>
      </c>
      <c r="CD45" s="403"/>
      <c r="CE45" s="403"/>
      <c r="CF45" s="403"/>
      <c r="CG45" s="403"/>
      <c r="CH45" s="403"/>
      <c r="CI45" s="403"/>
      <c r="CJ45" s="403"/>
      <c r="CK45" s="403"/>
      <c r="CL45" s="403"/>
      <c r="CM45" s="403"/>
      <c r="CN45" s="403"/>
      <c r="CO45" s="403"/>
      <c r="CP45" s="403"/>
      <c r="CQ45" s="403"/>
      <c r="CR45" s="403"/>
      <c r="CS45" s="403"/>
      <c r="CT45" s="403"/>
      <c r="CU45" s="403"/>
      <c r="CV45" s="403"/>
      <c r="CW45" s="403"/>
      <c r="CX45" s="403"/>
      <c r="CY45" s="403"/>
      <c r="CZ45" s="403"/>
      <c r="DA45" s="403"/>
      <c r="DB45" s="403"/>
      <c r="DC45" s="403"/>
      <c r="DD45" s="403"/>
      <c r="DE45" s="403"/>
      <c r="DF45" s="403"/>
      <c r="DG45" s="403"/>
      <c r="DH45" s="403"/>
      <c r="DI45" s="403"/>
      <c r="DJ45" s="403"/>
      <c r="DK45" s="403" t="s">
        <v>5031</v>
      </c>
      <c r="DL45" s="403"/>
      <c r="DM45" s="403"/>
      <c r="DN45" s="403"/>
      <c r="DO45" s="403"/>
      <c r="DP45" s="403"/>
      <c r="DQ45" s="403"/>
      <c r="DR45" s="403"/>
      <c r="DS45" s="403"/>
      <c r="DT45" s="403"/>
      <c r="DU45" s="403"/>
      <c r="DV45" s="403"/>
      <c r="DW45" s="403"/>
      <c r="DX45" s="403"/>
      <c r="DY45" s="403"/>
      <c r="DZ45" s="403"/>
      <c r="EA45" s="403"/>
      <c r="EB45" s="403"/>
      <c r="EC45" s="403"/>
      <c r="ED45" s="403"/>
      <c r="EE45" s="403"/>
      <c r="EF45" s="403"/>
      <c r="EG45" s="403"/>
      <c r="EH45" s="403"/>
      <c r="EI45" s="403"/>
      <c r="EJ45" s="403"/>
      <c r="EK45" s="403"/>
      <c r="EL45" s="403"/>
      <c r="EM45" s="403"/>
      <c r="EN45" s="403"/>
      <c r="EO45" s="403"/>
      <c r="EP45" s="403"/>
      <c r="EQ45" s="403"/>
      <c r="ER45" s="403"/>
      <c r="ES45" s="403" t="s">
        <v>5032</v>
      </c>
      <c r="ET45" s="403"/>
      <c r="EU45" s="403"/>
      <c r="EV45" s="403"/>
      <c r="EW45" s="403"/>
      <c r="EX45" s="403"/>
      <c r="EY45" s="403"/>
      <c r="EZ45" s="403"/>
      <c r="FA45" s="403"/>
      <c r="FB45" s="403"/>
      <c r="FC45" s="403"/>
      <c r="FD45" s="403"/>
      <c r="FE45" s="403"/>
      <c r="FF45" s="403"/>
      <c r="FG45" s="403"/>
      <c r="FH45" s="403"/>
      <c r="FI45" s="403"/>
      <c r="FJ45" s="403"/>
      <c r="FK45" s="403"/>
      <c r="FL45" s="403"/>
      <c r="FM45" s="403"/>
      <c r="FN45" s="403"/>
      <c r="FO45" s="403"/>
      <c r="FP45" s="403"/>
      <c r="FQ45" s="403"/>
      <c r="FR45" s="403"/>
      <c r="FS45" s="403"/>
      <c r="FT45" s="403"/>
      <c r="FU45" s="403"/>
      <c r="FV45" s="403"/>
      <c r="FW45" s="403"/>
      <c r="FX45" s="403"/>
      <c r="FY45" s="403"/>
      <c r="FZ45" s="403"/>
      <c r="GA45" s="403" t="s">
        <v>5030</v>
      </c>
      <c r="GB45" s="403"/>
      <c r="GC45" s="403"/>
      <c r="GD45" s="403"/>
      <c r="GE45" s="403"/>
      <c r="GF45" s="403"/>
      <c r="GG45" s="403"/>
      <c r="GH45" s="403"/>
      <c r="GI45" s="403"/>
      <c r="GJ45" s="403"/>
      <c r="GK45" s="403"/>
      <c r="GL45" s="403"/>
      <c r="GM45" s="403"/>
      <c r="GN45" s="403"/>
      <c r="GO45" s="403"/>
      <c r="GP45" s="403"/>
      <c r="GQ45" s="403"/>
      <c r="GR45" s="403"/>
      <c r="GS45" s="403"/>
      <c r="GT45" s="403"/>
      <c r="GU45" s="403"/>
      <c r="GV45" s="403"/>
      <c r="GW45" s="403"/>
      <c r="GX45" s="403"/>
      <c r="GY45" s="403"/>
      <c r="GZ45" s="403"/>
      <c r="HA45" s="403"/>
      <c r="HB45" s="403"/>
      <c r="HC45" s="403"/>
      <c r="HD45" s="403"/>
      <c r="HE45" s="403"/>
      <c r="HF45" s="403"/>
      <c r="HG45" s="403"/>
      <c r="HH45" s="403"/>
      <c r="HI45" s="403" t="s">
        <v>11625</v>
      </c>
      <c r="HJ45" s="403"/>
      <c r="HK45" s="403"/>
      <c r="HL45" s="403"/>
      <c r="HM45" s="403"/>
      <c r="HN45" s="403"/>
      <c r="HO45" s="403"/>
      <c r="HP45" s="403"/>
      <c r="HQ45" s="403"/>
      <c r="HR45" s="403"/>
      <c r="HS45" s="403"/>
      <c r="HT45" s="403"/>
      <c r="HU45" s="403"/>
      <c r="HV45" s="403"/>
      <c r="HW45" s="403"/>
      <c r="HX45" s="403"/>
      <c r="HY45" s="403"/>
      <c r="HZ45" s="403"/>
      <c r="IA45" s="403"/>
      <c r="IB45" s="403"/>
      <c r="IC45" s="403"/>
      <c r="ID45" s="403"/>
      <c r="IE45" s="403"/>
      <c r="IF45" s="403"/>
      <c r="IG45" s="403"/>
      <c r="IH45" s="403"/>
      <c r="II45" s="403"/>
      <c r="IJ45" s="403"/>
      <c r="IK45" s="403"/>
      <c r="IL45" s="403"/>
      <c r="IM45" s="403"/>
      <c r="IN45" s="403"/>
      <c r="IO45" s="403"/>
      <c r="IP45" s="403"/>
      <c r="IQ45" s="403" t="s">
        <v>3165</v>
      </c>
      <c r="IR45" s="403"/>
      <c r="IS45" s="403"/>
      <c r="IT45" s="403"/>
      <c r="IU45" s="403"/>
      <c r="IV45" s="403"/>
      <c r="IW45" s="403"/>
      <c r="IX45" s="403"/>
      <c r="IY45" s="403"/>
      <c r="IZ45" s="403"/>
      <c r="JA45" s="403"/>
      <c r="JB45" s="403"/>
      <c r="JC45" s="403"/>
      <c r="JD45" s="403"/>
      <c r="JE45" s="403"/>
      <c r="JF45" s="403"/>
      <c r="JG45" s="403"/>
      <c r="JH45" s="403"/>
      <c r="JI45" s="403"/>
      <c r="JJ45" s="403"/>
      <c r="JK45" s="403"/>
      <c r="JL45" s="403"/>
      <c r="JM45" s="403"/>
      <c r="JN45" s="403"/>
      <c r="JO45" s="403"/>
      <c r="JP45" s="403"/>
      <c r="JQ45" s="403"/>
      <c r="JR45" s="403"/>
      <c r="JS45" s="403"/>
      <c r="JT45" s="403"/>
    </row>
    <row r="46" spans="2:280" s="281" customFormat="1" ht="12.75" x14ac:dyDescent="0.2">
      <c r="B46" s="624"/>
      <c r="C46" s="329" t="str">
        <f t="shared" ca="1" si="51"/>
        <v>Local Demand Generation and Communications</v>
      </c>
      <c r="J46" s="283" t="e">
        <f t="shared" ref="J46:P46" si="67">SUM(J117:J119,J170:J172,J218:J220,J293:J295)</f>
        <v>#N/A</v>
      </c>
      <c r="K46" s="283" t="e">
        <f t="shared" si="67"/>
        <v>#N/A</v>
      </c>
      <c r="L46" s="283" t="e">
        <f t="shared" si="67"/>
        <v>#N/A</v>
      </c>
      <c r="M46" s="283" t="e">
        <f t="shared" si="67"/>
        <v>#N/A</v>
      </c>
      <c r="N46" s="283" t="e">
        <f t="shared" si="67"/>
        <v>#N/A</v>
      </c>
      <c r="O46" s="283" t="e">
        <f t="shared" si="67"/>
        <v>#N/A</v>
      </c>
      <c r="P46" s="283" t="e">
        <f t="shared" si="67"/>
        <v>#N/A</v>
      </c>
      <c r="Q46" s="16"/>
      <c r="R46" s="157"/>
      <c r="U46" s="624"/>
      <c r="V46" s="329" t="str">
        <f t="shared" ca="1" si="53"/>
        <v>Local Demand Generation and Communications</v>
      </c>
      <c r="W46" s="283" t="e">
        <f t="shared" ref="W46:AC46" si="68">SUM(W117:W119,W170:W172,W218:W220,W293:W295)</f>
        <v>#N/A</v>
      </c>
      <c r="X46" s="283" t="e">
        <f t="shared" si="68"/>
        <v>#N/A</v>
      </c>
      <c r="Y46" s="283" t="e">
        <f t="shared" si="68"/>
        <v>#N/A</v>
      </c>
      <c r="Z46" s="283" t="e">
        <f t="shared" si="68"/>
        <v>#N/A</v>
      </c>
      <c r="AA46" s="283" t="e">
        <f t="shared" si="68"/>
        <v>#N/A</v>
      </c>
      <c r="AB46" s="283" t="e">
        <f t="shared" si="68"/>
        <v>#N/A</v>
      </c>
      <c r="AC46" s="283" t="e">
        <f t="shared" si="68"/>
        <v>#N/A</v>
      </c>
      <c r="AD46" s="16"/>
      <c r="AG46" s="624"/>
      <c r="AH46" s="329" t="str">
        <f t="shared" ca="1" si="55"/>
        <v>Local Demand Generation and Communications</v>
      </c>
      <c r="AI46" s="283" t="e">
        <f t="shared" ref="AI46:AO46" si="69">SUM(AI117:AI119,AI170:AI172,AI218:AI220,AI293:AI295)</f>
        <v>#N/A</v>
      </c>
      <c r="AJ46" s="283" t="e">
        <f t="shared" si="69"/>
        <v>#N/A</v>
      </c>
      <c r="AK46" s="283" t="e">
        <f t="shared" si="69"/>
        <v>#N/A</v>
      </c>
      <c r="AL46" s="283" t="e">
        <f t="shared" si="69"/>
        <v>#N/A</v>
      </c>
      <c r="AM46" s="283" t="e">
        <f t="shared" si="69"/>
        <v>#N/A</v>
      </c>
      <c r="AN46" s="283" t="e">
        <f t="shared" si="69"/>
        <v>#N/A</v>
      </c>
      <c r="AO46" s="283" t="e">
        <f t="shared" si="69"/>
        <v>#N/A</v>
      </c>
      <c r="AP46" s="16"/>
      <c r="AR46" s="403"/>
      <c r="AS46" s="403"/>
      <c r="AT46" s="403"/>
      <c r="AU46" s="403" t="s">
        <v>1575</v>
      </c>
      <c r="AV46" s="403"/>
      <c r="AW46" s="403"/>
      <c r="AX46" s="403"/>
      <c r="AY46" s="403"/>
      <c r="AZ46" s="403"/>
      <c r="BA46" s="403"/>
      <c r="BB46" s="403"/>
      <c r="BC46" s="403"/>
      <c r="BD46" s="403"/>
      <c r="BE46" s="403"/>
      <c r="BF46" s="403"/>
      <c r="BG46" s="403"/>
      <c r="BH46" s="403"/>
      <c r="BI46" s="403"/>
      <c r="BJ46" s="403"/>
      <c r="BK46" s="403"/>
      <c r="BL46" s="403"/>
      <c r="BM46" s="403"/>
      <c r="BN46" s="403"/>
      <c r="BO46" s="403"/>
      <c r="BP46" s="403"/>
      <c r="BQ46" s="403"/>
      <c r="BR46" s="403"/>
      <c r="BS46" s="403"/>
      <c r="BT46" s="403"/>
      <c r="BU46" s="403"/>
      <c r="BV46" s="403"/>
      <c r="BW46" s="403"/>
      <c r="BX46" s="403"/>
      <c r="BY46" s="403"/>
      <c r="BZ46" s="403"/>
      <c r="CA46" s="403"/>
      <c r="CB46" s="403"/>
      <c r="CC46" s="403" t="s">
        <v>11626</v>
      </c>
      <c r="CD46" s="403"/>
      <c r="CE46" s="403"/>
      <c r="CF46" s="403"/>
      <c r="CG46" s="403"/>
      <c r="CH46" s="403"/>
      <c r="CI46" s="403"/>
      <c r="CJ46" s="403"/>
      <c r="CK46" s="403"/>
      <c r="CL46" s="403"/>
      <c r="CM46" s="403"/>
      <c r="CN46" s="403"/>
      <c r="CO46" s="403"/>
      <c r="CP46" s="403"/>
      <c r="CQ46" s="403"/>
      <c r="CR46" s="403"/>
      <c r="CS46" s="403"/>
      <c r="CT46" s="403"/>
      <c r="CU46" s="403"/>
      <c r="CV46" s="403"/>
      <c r="CW46" s="403"/>
      <c r="CX46" s="403"/>
      <c r="CY46" s="403"/>
      <c r="CZ46" s="403"/>
      <c r="DA46" s="403"/>
      <c r="DB46" s="403"/>
      <c r="DC46" s="403"/>
      <c r="DD46" s="403"/>
      <c r="DE46" s="403"/>
      <c r="DF46" s="403"/>
      <c r="DG46" s="403"/>
      <c r="DH46" s="403"/>
      <c r="DI46" s="403"/>
      <c r="DJ46" s="403"/>
      <c r="DK46" s="403" t="s">
        <v>11627</v>
      </c>
      <c r="DL46" s="403"/>
      <c r="DM46" s="403"/>
      <c r="DN46" s="403"/>
      <c r="DO46" s="403"/>
      <c r="DP46" s="403"/>
      <c r="DQ46" s="403"/>
      <c r="DR46" s="403"/>
      <c r="DS46" s="403"/>
      <c r="DT46" s="403"/>
      <c r="DU46" s="403"/>
      <c r="DV46" s="403"/>
      <c r="DW46" s="403"/>
      <c r="DX46" s="403"/>
      <c r="DY46" s="403"/>
      <c r="DZ46" s="403"/>
      <c r="EA46" s="403"/>
      <c r="EB46" s="403"/>
      <c r="EC46" s="403"/>
      <c r="ED46" s="403"/>
      <c r="EE46" s="403"/>
      <c r="EF46" s="403"/>
      <c r="EG46" s="403"/>
      <c r="EH46" s="403"/>
      <c r="EI46" s="403"/>
      <c r="EJ46" s="403"/>
      <c r="EK46" s="403"/>
      <c r="EL46" s="403"/>
      <c r="EM46" s="403"/>
      <c r="EN46" s="403"/>
      <c r="EO46" s="403"/>
      <c r="EP46" s="403"/>
      <c r="EQ46" s="403"/>
      <c r="ER46" s="403"/>
      <c r="ES46" s="403" t="s">
        <v>11628</v>
      </c>
      <c r="ET46" s="403"/>
      <c r="EU46" s="403"/>
      <c r="EV46" s="403"/>
      <c r="EW46" s="403"/>
      <c r="EX46" s="403"/>
      <c r="EY46" s="403"/>
      <c r="EZ46" s="403"/>
      <c r="FA46" s="403"/>
      <c r="FB46" s="403"/>
      <c r="FC46" s="403"/>
      <c r="FD46" s="403"/>
      <c r="FE46" s="403"/>
      <c r="FF46" s="403"/>
      <c r="FG46" s="403"/>
      <c r="FH46" s="403"/>
      <c r="FI46" s="403"/>
      <c r="FJ46" s="403"/>
      <c r="FK46" s="403"/>
      <c r="FL46" s="403"/>
      <c r="FM46" s="403"/>
      <c r="FN46" s="403"/>
      <c r="FO46" s="403"/>
      <c r="FP46" s="403"/>
      <c r="FQ46" s="403"/>
      <c r="FR46" s="403"/>
      <c r="FS46" s="403"/>
      <c r="FT46" s="403"/>
      <c r="FU46" s="403"/>
      <c r="FV46" s="403"/>
      <c r="FW46" s="403"/>
      <c r="FX46" s="403"/>
      <c r="FY46" s="403"/>
      <c r="FZ46" s="403"/>
      <c r="GA46" s="403" t="s">
        <v>11629</v>
      </c>
      <c r="GB46" s="403"/>
      <c r="GC46" s="403"/>
      <c r="GD46" s="403"/>
      <c r="GE46" s="403"/>
      <c r="GF46" s="403"/>
      <c r="GG46" s="403"/>
      <c r="GH46" s="403"/>
      <c r="GI46" s="403"/>
      <c r="GJ46" s="403"/>
      <c r="GK46" s="403"/>
      <c r="GL46" s="403"/>
      <c r="GM46" s="403"/>
      <c r="GN46" s="403"/>
      <c r="GO46" s="403"/>
      <c r="GP46" s="403"/>
      <c r="GQ46" s="403"/>
      <c r="GR46" s="403"/>
      <c r="GS46" s="403"/>
      <c r="GT46" s="403"/>
      <c r="GU46" s="403"/>
      <c r="GV46" s="403"/>
      <c r="GW46" s="403"/>
      <c r="GX46" s="403"/>
      <c r="GY46" s="403"/>
      <c r="GZ46" s="403"/>
      <c r="HA46" s="403"/>
      <c r="HB46" s="403"/>
      <c r="HC46" s="403"/>
      <c r="HD46" s="403"/>
      <c r="HE46" s="403"/>
      <c r="HF46" s="403"/>
      <c r="HG46" s="403"/>
      <c r="HH46" s="403"/>
      <c r="HI46" s="403" t="s">
        <v>11630</v>
      </c>
      <c r="HJ46" s="403"/>
      <c r="HK46" s="403"/>
      <c r="HL46" s="403"/>
      <c r="HM46" s="403"/>
      <c r="HN46" s="403"/>
      <c r="HO46" s="403"/>
      <c r="HP46" s="403"/>
      <c r="HQ46" s="403"/>
      <c r="HR46" s="403"/>
      <c r="HS46" s="403"/>
      <c r="HT46" s="403"/>
      <c r="HU46" s="403"/>
      <c r="HV46" s="403"/>
      <c r="HW46" s="403"/>
      <c r="HX46" s="403"/>
      <c r="HY46" s="403"/>
      <c r="HZ46" s="403"/>
      <c r="IA46" s="403"/>
      <c r="IB46" s="403"/>
      <c r="IC46" s="403"/>
      <c r="ID46" s="403"/>
      <c r="IE46" s="403"/>
      <c r="IF46" s="403"/>
      <c r="IG46" s="403"/>
      <c r="IH46" s="403"/>
      <c r="II46" s="403"/>
      <c r="IJ46" s="403"/>
      <c r="IK46" s="403"/>
      <c r="IL46" s="403"/>
      <c r="IM46" s="403"/>
      <c r="IN46" s="403"/>
      <c r="IO46" s="403"/>
      <c r="IP46" s="403"/>
      <c r="IQ46" s="403" t="s">
        <v>11631</v>
      </c>
      <c r="IR46" s="403"/>
      <c r="IS46" s="403"/>
      <c r="IT46" s="403"/>
      <c r="IU46" s="403"/>
      <c r="IV46" s="403"/>
      <c r="IW46" s="403"/>
      <c r="IX46" s="403"/>
      <c r="IY46" s="403"/>
      <c r="IZ46" s="403"/>
      <c r="JA46" s="403"/>
      <c r="JB46" s="403"/>
      <c r="JC46" s="403"/>
      <c r="JD46" s="403"/>
      <c r="JE46" s="403"/>
      <c r="JF46" s="403"/>
      <c r="JG46" s="403"/>
      <c r="JH46" s="403"/>
      <c r="JI46" s="403"/>
      <c r="JJ46" s="403"/>
      <c r="JK46" s="403"/>
      <c r="JL46" s="403"/>
      <c r="JM46" s="403"/>
      <c r="JN46" s="403"/>
      <c r="JO46" s="403"/>
      <c r="JP46" s="403"/>
      <c r="JQ46" s="403"/>
      <c r="JR46" s="403"/>
      <c r="JS46" s="403"/>
      <c r="JT46" s="403"/>
    </row>
    <row r="47" spans="2:280" s="299" customFormat="1" ht="12.75" x14ac:dyDescent="0.2">
      <c r="B47" s="624"/>
      <c r="C47" s="31" t="str">
        <f t="shared" ca="1" si="51"/>
        <v>Domestic travel for personnel</v>
      </c>
      <c r="J47" s="283" t="e">
        <f>SUM(J73:J75)</f>
        <v>#DIV/0!</v>
      </c>
      <c r="K47" s="283" t="e">
        <f t="shared" ref="K47:P47" si="70">SUM(K73:K75)</f>
        <v>#DIV/0!</v>
      </c>
      <c r="L47" s="283" t="e">
        <f t="shared" si="70"/>
        <v>#DIV/0!</v>
      </c>
      <c r="M47" s="283" t="e">
        <f t="shared" si="70"/>
        <v>#DIV/0!</v>
      </c>
      <c r="N47" s="283" t="e">
        <f t="shared" si="70"/>
        <v>#DIV/0!</v>
      </c>
      <c r="O47" s="283" t="e">
        <f t="shared" si="70"/>
        <v>#DIV/0!</v>
      </c>
      <c r="P47" s="283" t="e">
        <f t="shared" si="70"/>
        <v>#DIV/0!</v>
      </c>
      <c r="Q47" s="16"/>
      <c r="R47" s="157"/>
      <c r="U47" s="624"/>
      <c r="V47" s="31" t="str">
        <f t="shared" ca="1" si="53"/>
        <v>Domestic travel for personnel</v>
      </c>
      <c r="W47" s="283" t="e">
        <f>SUM(W73:W75)</f>
        <v>#DIV/0!</v>
      </c>
      <c r="X47" s="283" t="e">
        <f t="shared" ref="X47:AC47" si="71">SUM(X73:X75)</f>
        <v>#DIV/0!</v>
      </c>
      <c r="Y47" s="283" t="e">
        <f t="shared" si="71"/>
        <v>#DIV/0!</v>
      </c>
      <c r="Z47" s="283" t="e">
        <f t="shared" si="71"/>
        <v>#DIV/0!</v>
      </c>
      <c r="AA47" s="283" t="e">
        <f t="shared" si="71"/>
        <v>#DIV/0!</v>
      </c>
      <c r="AB47" s="283" t="e">
        <f t="shared" si="71"/>
        <v>#DIV/0!</v>
      </c>
      <c r="AC47" s="283" t="e">
        <f t="shared" si="71"/>
        <v>#DIV/0!</v>
      </c>
      <c r="AD47" s="16"/>
      <c r="AG47" s="624"/>
      <c r="AH47" s="31" t="str">
        <f t="shared" ca="1" si="55"/>
        <v>Domestic travel for personnel</v>
      </c>
      <c r="AI47" s="283" t="e">
        <f>SUM(AI73:AI75)</f>
        <v>#DIV/0!</v>
      </c>
      <c r="AJ47" s="283" t="e">
        <f t="shared" ref="AJ47:AO47" si="72">SUM(AJ73:AJ75)</f>
        <v>#DIV/0!</v>
      </c>
      <c r="AK47" s="283" t="e">
        <f t="shared" si="72"/>
        <v>#DIV/0!</v>
      </c>
      <c r="AL47" s="283" t="e">
        <f t="shared" si="72"/>
        <v>#DIV/0!</v>
      </c>
      <c r="AM47" s="283" t="e">
        <f t="shared" si="72"/>
        <v>#DIV/0!</v>
      </c>
      <c r="AN47" s="283" t="e">
        <f t="shared" si="72"/>
        <v>#DIV/0!</v>
      </c>
      <c r="AO47" s="283" t="e">
        <f t="shared" si="72"/>
        <v>#DIV/0!</v>
      </c>
      <c r="AP47" s="16"/>
      <c r="AR47" s="403"/>
      <c r="AS47" s="403"/>
      <c r="AT47" s="403"/>
      <c r="AU47" s="403" t="s">
        <v>3729</v>
      </c>
      <c r="AV47" s="403"/>
      <c r="AW47" s="403"/>
      <c r="AX47" s="403"/>
      <c r="AY47" s="403"/>
      <c r="AZ47" s="403"/>
      <c r="BA47" s="403"/>
      <c r="BB47" s="403"/>
      <c r="BC47" s="403"/>
      <c r="BD47" s="403"/>
      <c r="BE47" s="403"/>
      <c r="BF47" s="403"/>
      <c r="BG47" s="403"/>
      <c r="BH47" s="403"/>
      <c r="BI47" s="403"/>
      <c r="BJ47" s="403"/>
      <c r="BK47" s="403"/>
      <c r="BL47" s="403"/>
      <c r="BM47" s="403"/>
      <c r="BN47" s="403"/>
      <c r="BO47" s="403"/>
      <c r="BP47" s="403"/>
      <c r="BQ47" s="403"/>
      <c r="BR47" s="403"/>
      <c r="BS47" s="403"/>
      <c r="BT47" s="403"/>
      <c r="BU47" s="403"/>
      <c r="BV47" s="403"/>
      <c r="BW47" s="403"/>
      <c r="BX47" s="403"/>
      <c r="BY47" s="403"/>
      <c r="BZ47" s="403"/>
      <c r="CA47" s="403"/>
      <c r="CB47" s="403"/>
      <c r="CC47" s="403" t="s">
        <v>11632</v>
      </c>
      <c r="CD47" s="403"/>
      <c r="CE47" s="403"/>
      <c r="CF47" s="403"/>
      <c r="CG47" s="403"/>
      <c r="CH47" s="403"/>
      <c r="CI47" s="403"/>
      <c r="CJ47" s="403"/>
      <c r="CK47" s="403"/>
      <c r="CL47" s="403"/>
      <c r="CM47" s="403"/>
      <c r="CN47" s="403"/>
      <c r="CO47" s="403"/>
      <c r="CP47" s="403"/>
      <c r="CQ47" s="403"/>
      <c r="CR47" s="403"/>
      <c r="CS47" s="403"/>
      <c r="CT47" s="403"/>
      <c r="CU47" s="403"/>
      <c r="CV47" s="403"/>
      <c r="CW47" s="403"/>
      <c r="CX47" s="403"/>
      <c r="CY47" s="403"/>
      <c r="CZ47" s="403"/>
      <c r="DA47" s="403"/>
      <c r="DB47" s="403"/>
      <c r="DC47" s="403"/>
      <c r="DD47" s="403"/>
      <c r="DE47" s="403"/>
      <c r="DF47" s="403"/>
      <c r="DG47" s="403"/>
      <c r="DH47" s="403"/>
      <c r="DI47" s="403"/>
      <c r="DJ47" s="403"/>
      <c r="DK47" s="403" t="s">
        <v>11633</v>
      </c>
      <c r="DL47" s="403"/>
      <c r="DM47" s="403"/>
      <c r="DN47" s="403"/>
      <c r="DO47" s="403"/>
      <c r="DP47" s="403"/>
      <c r="DQ47" s="403"/>
      <c r="DR47" s="403"/>
      <c r="DS47" s="403"/>
      <c r="DT47" s="403"/>
      <c r="DU47" s="403"/>
      <c r="DV47" s="403"/>
      <c r="DW47" s="403"/>
      <c r="DX47" s="403"/>
      <c r="DY47" s="403"/>
      <c r="DZ47" s="403"/>
      <c r="EA47" s="403"/>
      <c r="EB47" s="403"/>
      <c r="EC47" s="403"/>
      <c r="ED47" s="403"/>
      <c r="EE47" s="403"/>
      <c r="EF47" s="403"/>
      <c r="EG47" s="403"/>
      <c r="EH47" s="403"/>
      <c r="EI47" s="403"/>
      <c r="EJ47" s="403"/>
      <c r="EK47" s="403"/>
      <c r="EL47" s="403"/>
      <c r="EM47" s="403"/>
      <c r="EN47" s="403"/>
      <c r="EO47" s="403"/>
      <c r="EP47" s="403"/>
      <c r="EQ47" s="403"/>
      <c r="ER47" s="403"/>
      <c r="ES47" s="403" t="s">
        <v>11634</v>
      </c>
      <c r="ET47" s="403"/>
      <c r="EU47" s="403"/>
      <c r="EV47" s="403"/>
      <c r="EW47" s="403"/>
      <c r="EX47" s="403"/>
      <c r="EY47" s="403"/>
      <c r="EZ47" s="403"/>
      <c r="FA47" s="403"/>
      <c r="FB47" s="403"/>
      <c r="FC47" s="403"/>
      <c r="FD47" s="403"/>
      <c r="FE47" s="403"/>
      <c r="FF47" s="403"/>
      <c r="FG47" s="403"/>
      <c r="FH47" s="403"/>
      <c r="FI47" s="403"/>
      <c r="FJ47" s="403"/>
      <c r="FK47" s="403"/>
      <c r="FL47" s="403"/>
      <c r="FM47" s="403"/>
      <c r="FN47" s="403"/>
      <c r="FO47" s="403"/>
      <c r="FP47" s="403"/>
      <c r="FQ47" s="403"/>
      <c r="FR47" s="403"/>
      <c r="FS47" s="403"/>
      <c r="FT47" s="403"/>
      <c r="FU47" s="403"/>
      <c r="FV47" s="403"/>
      <c r="FW47" s="403"/>
      <c r="FX47" s="403"/>
      <c r="FY47" s="403"/>
      <c r="FZ47" s="403"/>
      <c r="GA47" s="403" t="s">
        <v>11635</v>
      </c>
      <c r="GB47" s="403"/>
      <c r="GC47" s="403"/>
      <c r="GD47" s="403"/>
      <c r="GE47" s="403"/>
      <c r="GF47" s="403"/>
      <c r="GG47" s="403"/>
      <c r="GH47" s="403"/>
      <c r="GI47" s="403"/>
      <c r="GJ47" s="403"/>
      <c r="GK47" s="403"/>
      <c r="GL47" s="403"/>
      <c r="GM47" s="403"/>
      <c r="GN47" s="403"/>
      <c r="GO47" s="403"/>
      <c r="GP47" s="403"/>
      <c r="GQ47" s="403"/>
      <c r="GR47" s="403"/>
      <c r="GS47" s="403"/>
      <c r="GT47" s="403"/>
      <c r="GU47" s="403"/>
      <c r="GV47" s="403"/>
      <c r="GW47" s="403"/>
      <c r="GX47" s="403"/>
      <c r="GY47" s="403"/>
      <c r="GZ47" s="403"/>
      <c r="HA47" s="403"/>
      <c r="HB47" s="403"/>
      <c r="HC47" s="403"/>
      <c r="HD47" s="403"/>
      <c r="HE47" s="403"/>
      <c r="HF47" s="403"/>
      <c r="HG47" s="403"/>
      <c r="HH47" s="403"/>
      <c r="HI47" s="403" t="s">
        <v>11636</v>
      </c>
      <c r="HJ47" s="403"/>
      <c r="HK47" s="403"/>
      <c r="HL47" s="403"/>
      <c r="HM47" s="403"/>
      <c r="HN47" s="403"/>
      <c r="HO47" s="403"/>
      <c r="HP47" s="403"/>
      <c r="HQ47" s="403"/>
      <c r="HR47" s="403"/>
      <c r="HS47" s="403"/>
      <c r="HT47" s="403"/>
      <c r="HU47" s="403"/>
      <c r="HV47" s="403"/>
      <c r="HW47" s="403"/>
      <c r="HX47" s="403"/>
      <c r="HY47" s="403"/>
      <c r="HZ47" s="403"/>
      <c r="IA47" s="403"/>
      <c r="IB47" s="403"/>
      <c r="IC47" s="403"/>
      <c r="ID47" s="403"/>
      <c r="IE47" s="403"/>
      <c r="IF47" s="403"/>
      <c r="IG47" s="403"/>
      <c r="IH47" s="403"/>
      <c r="II47" s="403"/>
      <c r="IJ47" s="403"/>
      <c r="IK47" s="403"/>
      <c r="IL47" s="403"/>
      <c r="IM47" s="403"/>
      <c r="IN47" s="403"/>
      <c r="IO47" s="403"/>
      <c r="IP47" s="403"/>
      <c r="IQ47" s="403" t="s">
        <v>11637</v>
      </c>
      <c r="IR47" s="403"/>
      <c r="IS47" s="403"/>
      <c r="IT47" s="403"/>
      <c r="IU47" s="403"/>
      <c r="IV47" s="403"/>
      <c r="IW47" s="403"/>
      <c r="IX47" s="403"/>
      <c r="IY47" s="403"/>
      <c r="IZ47" s="403"/>
      <c r="JA47" s="403"/>
      <c r="JB47" s="403"/>
      <c r="JC47" s="403"/>
      <c r="JD47" s="403"/>
      <c r="JE47" s="403"/>
      <c r="JF47" s="403"/>
      <c r="JG47" s="403"/>
      <c r="JH47" s="403"/>
      <c r="JI47" s="403"/>
      <c r="JJ47" s="403"/>
      <c r="JK47" s="403"/>
      <c r="JL47" s="403"/>
      <c r="JM47" s="403"/>
      <c r="JN47" s="403"/>
      <c r="JO47" s="403"/>
      <c r="JP47" s="403"/>
      <c r="JQ47" s="403"/>
      <c r="JR47" s="403"/>
      <c r="JS47" s="403"/>
      <c r="JT47" s="403"/>
    </row>
    <row r="48" spans="2:280" s="281" customFormat="1" ht="12.75" x14ac:dyDescent="0.2">
      <c r="B48" s="624"/>
      <c r="C48" s="31" t="str">
        <f t="shared" ca="1" si="51"/>
        <v>Last-mile transport</v>
      </c>
      <c r="J48" s="283" t="e">
        <f t="shared" ref="J48:P48" si="73">SUM(J122:J123,J175:J176,J223:J224,J298:J299)</f>
        <v>#N/A</v>
      </c>
      <c r="K48" s="283" t="e">
        <f t="shared" si="73"/>
        <v>#N/A</v>
      </c>
      <c r="L48" s="283" t="e">
        <f t="shared" si="73"/>
        <v>#N/A</v>
      </c>
      <c r="M48" s="283" t="e">
        <f t="shared" si="73"/>
        <v>#N/A</v>
      </c>
      <c r="N48" s="283" t="e">
        <f t="shared" si="73"/>
        <v>#N/A</v>
      </c>
      <c r="O48" s="283" t="e">
        <f t="shared" si="73"/>
        <v>#N/A</v>
      </c>
      <c r="P48" s="283" t="e">
        <f t="shared" si="73"/>
        <v>#N/A</v>
      </c>
      <c r="Q48" s="16"/>
      <c r="R48" s="157"/>
      <c r="U48" s="624"/>
      <c r="V48" s="31" t="str">
        <f t="shared" ca="1" si="53"/>
        <v>Last-mile transport</v>
      </c>
      <c r="W48" s="283" t="e">
        <f t="shared" ref="W48:AC48" si="74">SUM(W122:W123,W175:W176,W223:W224,W298:W299)</f>
        <v>#N/A</v>
      </c>
      <c r="X48" s="283" t="e">
        <f t="shared" si="74"/>
        <v>#N/A</v>
      </c>
      <c r="Y48" s="283" t="e">
        <f t="shared" si="74"/>
        <v>#N/A</v>
      </c>
      <c r="Z48" s="283" t="e">
        <f t="shared" si="74"/>
        <v>#N/A</v>
      </c>
      <c r="AA48" s="283" t="e">
        <f t="shared" si="74"/>
        <v>#N/A</v>
      </c>
      <c r="AB48" s="283" t="e">
        <f t="shared" si="74"/>
        <v>#N/A</v>
      </c>
      <c r="AC48" s="283" t="e">
        <f t="shared" si="74"/>
        <v>#N/A</v>
      </c>
      <c r="AD48" s="16"/>
      <c r="AG48" s="624"/>
      <c r="AH48" s="31" t="str">
        <f t="shared" ca="1" si="55"/>
        <v>Last-mile transport</v>
      </c>
      <c r="AI48" s="283" t="e">
        <f t="shared" ref="AI48:AO48" si="75">SUM(AI122:AI123,AI175:AI176,AI223:AI224,AI298:AI299)</f>
        <v>#N/A</v>
      </c>
      <c r="AJ48" s="283" t="e">
        <f t="shared" si="75"/>
        <v>#N/A</v>
      </c>
      <c r="AK48" s="283" t="e">
        <f t="shared" si="75"/>
        <v>#N/A</v>
      </c>
      <c r="AL48" s="283" t="e">
        <f t="shared" si="75"/>
        <v>#N/A</v>
      </c>
      <c r="AM48" s="283" t="e">
        <f t="shared" si="75"/>
        <v>#N/A</v>
      </c>
      <c r="AN48" s="283" t="e">
        <f t="shared" si="75"/>
        <v>#N/A</v>
      </c>
      <c r="AO48" s="283" t="e">
        <f t="shared" si="75"/>
        <v>#N/A</v>
      </c>
      <c r="AP48" s="16"/>
      <c r="AR48" s="403"/>
      <c r="AS48" s="403"/>
      <c r="AT48" s="403"/>
      <c r="AU48" s="403" t="s">
        <v>3166</v>
      </c>
      <c r="AV48" s="403"/>
      <c r="AW48" s="403"/>
      <c r="AX48" s="403"/>
      <c r="AY48" s="403"/>
      <c r="AZ48" s="403"/>
      <c r="BA48" s="403"/>
      <c r="BB48" s="403"/>
      <c r="BC48" s="403"/>
      <c r="BD48" s="403"/>
      <c r="BE48" s="403"/>
      <c r="BF48" s="403"/>
      <c r="BG48" s="403"/>
      <c r="BH48" s="403"/>
      <c r="BI48" s="403"/>
      <c r="BJ48" s="403"/>
      <c r="BK48" s="403"/>
      <c r="BL48" s="403"/>
      <c r="BM48" s="403"/>
      <c r="BN48" s="403"/>
      <c r="BO48" s="403"/>
      <c r="BP48" s="403"/>
      <c r="BQ48" s="403"/>
      <c r="BR48" s="403"/>
      <c r="BS48" s="403"/>
      <c r="BT48" s="403"/>
      <c r="BU48" s="403"/>
      <c r="BV48" s="403"/>
      <c r="BW48" s="403"/>
      <c r="BX48" s="403"/>
      <c r="BY48" s="403"/>
      <c r="BZ48" s="403"/>
      <c r="CA48" s="403"/>
      <c r="CB48" s="403"/>
      <c r="CC48" s="403" t="s">
        <v>11638</v>
      </c>
      <c r="CD48" s="403"/>
      <c r="CE48" s="403"/>
      <c r="CF48" s="403"/>
      <c r="CG48" s="403"/>
      <c r="CH48" s="403"/>
      <c r="CI48" s="403"/>
      <c r="CJ48" s="403"/>
      <c r="CK48" s="403"/>
      <c r="CL48" s="403"/>
      <c r="CM48" s="403"/>
      <c r="CN48" s="403"/>
      <c r="CO48" s="403"/>
      <c r="CP48" s="403"/>
      <c r="CQ48" s="403"/>
      <c r="CR48" s="403"/>
      <c r="CS48" s="403"/>
      <c r="CT48" s="403"/>
      <c r="CU48" s="403"/>
      <c r="CV48" s="403"/>
      <c r="CW48" s="403"/>
      <c r="CX48" s="403"/>
      <c r="CY48" s="403"/>
      <c r="CZ48" s="403"/>
      <c r="DA48" s="403"/>
      <c r="DB48" s="403"/>
      <c r="DC48" s="403"/>
      <c r="DD48" s="403"/>
      <c r="DE48" s="403"/>
      <c r="DF48" s="403"/>
      <c r="DG48" s="403"/>
      <c r="DH48" s="403"/>
      <c r="DI48" s="403"/>
      <c r="DJ48" s="403"/>
      <c r="DK48" s="403" t="s">
        <v>11639</v>
      </c>
      <c r="DL48" s="403"/>
      <c r="DM48" s="403"/>
      <c r="DN48" s="403"/>
      <c r="DO48" s="403"/>
      <c r="DP48" s="403"/>
      <c r="DQ48" s="403"/>
      <c r="DR48" s="403"/>
      <c r="DS48" s="403"/>
      <c r="DT48" s="403"/>
      <c r="DU48" s="403"/>
      <c r="DV48" s="403"/>
      <c r="DW48" s="403"/>
      <c r="DX48" s="403"/>
      <c r="DY48" s="403"/>
      <c r="DZ48" s="403"/>
      <c r="EA48" s="403"/>
      <c r="EB48" s="403"/>
      <c r="EC48" s="403"/>
      <c r="ED48" s="403"/>
      <c r="EE48" s="403"/>
      <c r="EF48" s="403"/>
      <c r="EG48" s="403"/>
      <c r="EH48" s="403"/>
      <c r="EI48" s="403"/>
      <c r="EJ48" s="403"/>
      <c r="EK48" s="403"/>
      <c r="EL48" s="403"/>
      <c r="EM48" s="403"/>
      <c r="EN48" s="403"/>
      <c r="EO48" s="403"/>
      <c r="EP48" s="403"/>
      <c r="EQ48" s="403"/>
      <c r="ER48" s="403"/>
      <c r="ES48" s="403" t="s">
        <v>11640</v>
      </c>
      <c r="ET48" s="403"/>
      <c r="EU48" s="403"/>
      <c r="EV48" s="403"/>
      <c r="EW48" s="403"/>
      <c r="EX48" s="403"/>
      <c r="EY48" s="403"/>
      <c r="EZ48" s="403"/>
      <c r="FA48" s="403"/>
      <c r="FB48" s="403"/>
      <c r="FC48" s="403"/>
      <c r="FD48" s="403"/>
      <c r="FE48" s="403"/>
      <c r="FF48" s="403"/>
      <c r="FG48" s="403"/>
      <c r="FH48" s="403"/>
      <c r="FI48" s="403"/>
      <c r="FJ48" s="403"/>
      <c r="FK48" s="403"/>
      <c r="FL48" s="403"/>
      <c r="FM48" s="403"/>
      <c r="FN48" s="403"/>
      <c r="FO48" s="403"/>
      <c r="FP48" s="403"/>
      <c r="FQ48" s="403"/>
      <c r="FR48" s="403"/>
      <c r="FS48" s="403"/>
      <c r="FT48" s="403"/>
      <c r="FU48" s="403"/>
      <c r="FV48" s="403"/>
      <c r="FW48" s="403"/>
      <c r="FX48" s="403"/>
      <c r="FY48" s="403"/>
      <c r="FZ48" s="403"/>
      <c r="GA48" s="403" t="s">
        <v>11641</v>
      </c>
      <c r="GB48" s="403"/>
      <c r="GC48" s="403"/>
      <c r="GD48" s="403"/>
      <c r="GE48" s="403"/>
      <c r="GF48" s="403"/>
      <c r="GG48" s="403"/>
      <c r="GH48" s="403"/>
      <c r="GI48" s="403"/>
      <c r="GJ48" s="403"/>
      <c r="GK48" s="403"/>
      <c r="GL48" s="403"/>
      <c r="GM48" s="403"/>
      <c r="GN48" s="403"/>
      <c r="GO48" s="403"/>
      <c r="GP48" s="403"/>
      <c r="GQ48" s="403"/>
      <c r="GR48" s="403"/>
      <c r="GS48" s="403"/>
      <c r="GT48" s="403"/>
      <c r="GU48" s="403"/>
      <c r="GV48" s="403"/>
      <c r="GW48" s="403"/>
      <c r="GX48" s="403"/>
      <c r="GY48" s="403"/>
      <c r="GZ48" s="403"/>
      <c r="HA48" s="403"/>
      <c r="HB48" s="403"/>
      <c r="HC48" s="403"/>
      <c r="HD48" s="403"/>
      <c r="HE48" s="403"/>
      <c r="HF48" s="403"/>
      <c r="HG48" s="403"/>
      <c r="HH48" s="403"/>
      <c r="HI48" s="403" t="s">
        <v>11642</v>
      </c>
      <c r="HJ48" s="403"/>
      <c r="HK48" s="403"/>
      <c r="HL48" s="403"/>
      <c r="HM48" s="403"/>
      <c r="HN48" s="403"/>
      <c r="HO48" s="403"/>
      <c r="HP48" s="403"/>
      <c r="HQ48" s="403"/>
      <c r="HR48" s="403"/>
      <c r="HS48" s="403"/>
      <c r="HT48" s="403"/>
      <c r="HU48" s="403"/>
      <c r="HV48" s="403"/>
      <c r="HW48" s="403"/>
      <c r="HX48" s="403"/>
      <c r="HY48" s="403"/>
      <c r="HZ48" s="403"/>
      <c r="IA48" s="403"/>
      <c r="IB48" s="403"/>
      <c r="IC48" s="403"/>
      <c r="ID48" s="403"/>
      <c r="IE48" s="403"/>
      <c r="IF48" s="403"/>
      <c r="IG48" s="403"/>
      <c r="IH48" s="403"/>
      <c r="II48" s="403"/>
      <c r="IJ48" s="403"/>
      <c r="IK48" s="403"/>
      <c r="IL48" s="403"/>
      <c r="IM48" s="403"/>
      <c r="IN48" s="403"/>
      <c r="IO48" s="403"/>
      <c r="IP48" s="403"/>
      <c r="IQ48" s="403" t="s">
        <v>11643</v>
      </c>
      <c r="IR48" s="403"/>
      <c r="IS48" s="403"/>
      <c r="IT48" s="403"/>
      <c r="IU48" s="403"/>
      <c r="IV48" s="403"/>
      <c r="IW48" s="403"/>
      <c r="IX48" s="403"/>
      <c r="IY48" s="403"/>
      <c r="IZ48" s="403"/>
      <c r="JA48" s="403"/>
      <c r="JB48" s="403"/>
      <c r="JC48" s="403"/>
      <c r="JD48" s="403"/>
      <c r="JE48" s="403"/>
      <c r="JF48" s="403"/>
      <c r="JG48" s="403"/>
      <c r="JH48" s="403"/>
      <c r="JI48" s="403"/>
      <c r="JJ48" s="403"/>
      <c r="JK48" s="403"/>
      <c r="JL48" s="403"/>
      <c r="JM48" s="403"/>
      <c r="JN48" s="403"/>
      <c r="JO48" s="403"/>
      <c r="JP48" s="403"/>
      <c r="JQ48" s="403"/>
      <c r="JR48" s="403"/>
      <c r="JS48" s="403"/>
      <c r="JT48" s="403"/>
    </row>
    <row r="49" spans="1:280" s="194" customFormat="1" ht="25.5" x14ac:dyDescent="0.2">
      <c r="B49" s="90"/>
      <c r="C49" s="329" t="str">
        <f t="shared" ca="1" si="51"/>
        <v>Local Data Management and Monitoring, Pharmacovigilance - Capex</v>
      </c>
      <c r="J49" s="79" t="e">
        <f t="shared" ref="J49:P49" si="76">SUM(J130,J183,J231,J306)</f>
        <v>#N/A</v>
      </c>
      <c r="K49" s="79" t="e">
        <f t="shared" si="76"/>
        <v>#N/A</v>
      </c>
      <c r="L49" s="79" t="e">
        <f t="shared" si="76"/>
        <v>#N/A</v>
      </c>
      <c r="M49" s="79" t="e">
        <f t="shared" si="76"/>
        <v>#N/A</v>
      </c>
      <c r="N49" s="79" t="e">
        <f t="shared" si="76"/>
        <v>#N/A</v>
      </c>
      <c r="O49" s="79" t="e">
        <f t="shared" si="76"/>
        <v>#N/A</v>
      </c>
      <c r="P49" s="79" t="e">
        <f t="shared" si="76"/>
        <v>#N/A</v>
      </c>
      <c r="Q49" s="16"/>
      <c r="R49" s="157"/>
      <c r="S49" s="281"/>
      <c r="T49" s="241"/>
      <c r="U49" s="90"/>
      <c r="V49" s="329" t="str">
        <f t="shared" ca="1" si="53"/>
        <v>Local Data Management and Monitoring, Pharmacovigilance - Capex</v>
      </c>
      <c r="W49" s="79" t="e">
        <f t="shared" ref="W49:AC49" si="77">SUM(W130,W183,W231,W306)</f>
        <v>#N/A</v>
      </c>
      <c r="X49" s="79" t="e">
        <f t="shared" si="77"/>
        <v>#N/A</v>
      </c>
      <c r="Y49" s="79" t="e">
        <f t="shared" si="77"/>
        <v>#N/A</v>
      </c>
      <c r="Z49" s="79" t="e">
        <f t="shared" si="77"/>
        <v>#N/A</v>
      </c>
      <c r="AA49" s="79" t="e">
        <f t="shared" si="77"/>
        <v>#N/A</v>
      </c>
      <c r="AB49" s="79" t="e">
        <f t="shared" si="77"/>
        <v>#N/A</v>
      </c>
      <c r="AC49" s="79" t="e">
        <f t="shared" si="77"/>
        <v>#N/A</v>
      </c>
      <c r="AF49" s="241"/>
      <c r="AG49" s="90"/>
      <c r="AH49" s="329" t="str">
        <f t="shared" ca="1" si="55"/>
        <v>Local Data Management and Monitoring, Pharmacovigilance - Capex</v>
      </c>
      <c r="AI49" s="79" t="e">
        <f t="shared" ref="AI49:AO49" si="78">SUM(AI130,AI183,AI231,AI306)</f>
        <v>#N/A</v>
      </c>
      <c r="AJ49" s="79" t="e">
        <f t="shared" si="78"/>
        <v>#N/A</v>
      </c>
      <c r="AK49" s="79" t="e">
        <f t="shared" si="78"/>
        <v>#N/A</v>
      </c>
      <c r="AL49" s="79" t="e">
        <f t="shared" si="78"/>
        <v>#N/A</v>
      </c>
      <c r="AM49" s="79" t="e">
        <f t="shared" si="78"/>
        <v>#N/A</v>
      </c>
      <c r="AN49" s="79" t="e">
        <f t="shared" si="78"/>
        <v>#N/A</v>
      </c>
      <c r="AO49" s="79" t="e">
        <f t="shared" si="78"/>
        <v>#N/A</v>
      </c>
      <c r="AR49" s="403"/>
      <c r="AS49" s="403"/>
      <c r="AT49" s="403"/>
      <c r="AU49" s="403" t="s">
        <v>3182</v>
      </c>
      <c r="AV49" s="403"/>
      <c r="AW49" s="403"/>
      <c r="AX49" s="403"/>
      <c r="AY49" s="403"/>
      <c r="AZ49" s="403"/>
      <c r="BA49" s="403"/>
      <c r="BB49" s="403"/>
      <c r="BC49" s="403"/>
      <c r="BD49" s="403"/>
      <c r="BE49" s="403"/>
      <c r="BF49" s="403"/>
      <c r="BG49" s="403"/>
      <c r="BH49" s="403"/>
      <c r="BI49" s="403"/>
      <c r="BJ49" s="403"/>
      <c r="BK49" s="403"/>
      <c r="BL49" s="403"/>
      <c r="BM49" s="403"/>
      <c r="BN49" s="403"/>
      <c r="BO49" s="403"/>
      <c r="BP49" s="403"/>
      <c r="BQ49" s="403"/>
      <c r="BR49" s="403"/>
      <c r="BS49" s="403"/>
      <c r="BT49" s="403"/>
      <c r="BU49" s="403"/>
      <c r="BV49" s="403"/>
      <c r="BW49" s="403"/>
      <c r="BX49" s="403"/>
      <c r="BY49" s="403"/>
      <c r="BZ49" s="403"/>
      <c r="CA49" s="403"/>
      <c r="CB49" s="403"/>
      <c r="CC49" s="403" t="s">
        <v>11644</v>
      </c>
      <c r="CD49" s="403"/>
      <c r="CE49" s="403"/>
      <c r="CF49" s="403"/>
      <c r="CG49" s="403"/>
      <c r="CH49" s="403"/>
      <c r="CI49" s="403"/>
      <c r="CJ49" s="403"/>
      <c r="CK49" s="403"/>
      <c r="CL49" s="403"/>
      <c r="CM49" s="403"/>
      <c r="CN49" s="403"/>
      <c r="CO49" s="403"/>
      <c r="CP49" s="403"/>
      <c r="CQ49" s="403"/>
      <c r="CR49" s="403"/>
      <c r="CS49" s="403"/>
      <c r="CT49" s="403"/>
      <c r="CU49" s="403"/>
      <c r="CV49" s="403"/>
      <c r="CW49" s="403"/>
      <c r="CX49" s="403"/>
      <c r="CY49" s="403"/>
      <c r="CZ49" s="403"/>
      <c r="DA49" s="403"/>
      <c r="DB49" s="403"/>
      <c r="DC49" s="403"/>
      <c r="DD49" s="403"/>
      <c r="DE49" s="403"/>
      <c r="DF49" s="403"/>
      <c r="DG49" s="403"/>
      <c r="DH49" s="403"/>
      <c r="DI49" s="403"/>
      <c r="DJ49" s="403"/>
      <c r="DK49" s="403" t="s">
        <v>11645</v>
      </c>
      <c r="DL49" s="403"/>
      <c r="DM49" s="403"/>
      <c r="DN49" s="403"/>
      <c r="DO49" s="403"/>
      <c r="DP49" s="403"/>
      <c r="DQ49" s="403"/>
      <c r="DR49" s="403"/>
      <c r="DS49" s="403"/>
      <c r="DT49" s="403"/>
      <c r="DU49" s="403"/>
      <c r="DV49" s="403"/>
      <c r="DW49" s="403"/>
      <c r="DX49" s="403"/>
      <c r="DY49" s="403"/>
      <c r="DZ49" s="403"/>
      <c r="EA49" s="403"/>
      <c r="EB49" s="403"/>
      <c r="EC49" s="403"/>
      <c r="ED49" s="403"/>
      <c r="EE49" s="403"/>
      <c r="EF49" s="403"/>
      <c r="EG49" s="403"/>
      <c r="EH49" s="403"/>
      <c r="EI49" s="403"/>
      <c r="EJ49" s="403"/>
      <c r="EK49" s="403"/>
      <c r="EL49" s="403"/>
      <c r="EM49" s="403"/>
      <c r="EN49" s="403"/>
      <c r="EO49" s="403"/>
      <c r="EP49" s="403"/>
      <c r="EQ49" s="403"/>
      <c r="ER49" s="403"/>
      <c r="ES49" s="403" t="s">
        <v>11646</v>
      </c>
      <c r="ET49" s="403"/>
      <c r="EU49" s="403"/>
      <c r="EV49" s="403"/>
      <c r="EW49" s="403"/>
      <c r="EX49" s="403"/>
      <c r="EY49" s="403"/>
      <c r="EZ49" s="403"/>
      <c r="FA49" s="403"/>
      <c r="FB49" s="403"/>
      <c r="FC49" s="403"/>
      <c r="FD49" s="403"/>
      <c r="FE49" s="403"/>
      <c r="FF49" s="403"/>
      <c r="FG49" s="403"/>
      <c r="FH49" s="403"/>
      <c r="FI49" s="403"/>
      <c r="FJ49" s="403"/>
      <c r="FK49" s="403"/>
      <c r="FL49" s="403"/>
      <c r="FM49" s="403"/>
      <c r="FN49" s="403"/>
      <c r="FO49" s="403"/>
      <c r="FP49" s="403"/>
      <c r="FQ49" s="403"/>
      <c r="FR49" s="403"/>
      <c r="FS49" s="403"/>
      <c r="FT49" s="403"/>
      <c r="FU49" s="403"/>
      <c r="FV49" s="403"/>
      <c r="FW49" s="403"/>
      <c r="FX49" s="403"/>
      <c r="FY49" s="403"/>
      <c r="FZ49" s="403"/>
      <c r="GA49" s="403" t="s">
        <v>11647</v>
      </c>
      <c r="GB49" s="403"/>
      <c r="GC49" s="403"/>
      <c r="GD49" s="403"/>
      <c r="GE49" s="403"/>
      <c r="GF49" s="403"/>
      <c r="GG49" s="403"/>
      <c r="GH49" s="403"/>
      <c r="GI49" s="403"/>
      <c r="GJ49" s="403"/>
      <c r="GK49" s="403"/>
      <c r="GL49" s="403"/>
      <c r="GM49" s="403"/>
      <c r="GN49" s="403"/>
      <c r="GO49" s="403"/>
      <c r="GP49" s="403"/>
      <c r="GQ49" s="403"/>
      <c r="GR49" s="403"/>
      <c r="GS49" s="403"/>
      <c r="GT49" s="403"/>
      <c r="GU49" s="403"/>
      <c r="GV49" s="403"/>
      <c r="GW49" s="403"/>
      <c r="GX49" s="403"/>
      <c r="GY49" s="403"/>
      <c r="GZ49" s="403"/>
      <c r="HA49" s="403"/>
      <c r="HB49" s="403"/>
      <c r="HC49" s="403"/>
      <c r="HD49" s="403"/>
      <c r="HE49" s="403"/>
      <c r="HF49" s="403"/>
      <c r="HG49" s="403"/>
      <c r="HH49" s="403"/>
      <c r="HI49" s="403" t="s">
        <v>11648</v>
      </c>
      <c r="HJ49" s="403"/>
      <c r="HK49" s="403"/>
      <c r="HL49" s="403"/>
      <c r="HM49" s="403"/>
      <c r="HN49" s="403"/>
      <c r="HO49" s="403"/>
      <c r="HP49" s="403"/>
      <c r="HQ49" s="403"/>
      <c r="HR49" s="403"/>
      <c r="HS49" s="403"/>
      <c r="HT49" s="403"/>
      <c r="HU49" s="403"/>
      <c r="HV49" s="403"/>
      <c r="HW49" s="403"/>
      <c r="HX49" s="403"/>
      <c r="HY49" s="403"/>
      <c r="HZ49" s="403"/>
      <c r="IA49" s="403"/>
      <c r="IB49" s="403"/>
      <c r="IC49" s="403"/>
      <c r="ID49" s="403"/>
      <c r="IE49" s="403"/>
      <c r="IF49" s="403"/>
      <c r="IG49" s="403"/>
      <c r="IH49" s="403"/>
      <c r="II49" s="403"/>
      <c r="IJ49" s="403"/>
      <c r="IK49" s="403"/>
      <c r="IL49" s="403"/>
      <c r="IM49" s="403"/>
      <c r="IN49" s="403"/>
      <c r="IO49" s="403"/>
      <c r="IP49" s="403"/>
      <c r="IQ49" s="403" t="s">
        <v>11649</v>
      </c>
      <c r="IR49" s="403"/>
      <c r="IS49" s="403"/>
      <c r="IT49" s="403"/>
      <c r="IU49" s="403"/>
      <c r="IV49" s="403"/>
      <c r="IW49" s="403"/>
      <c r="IX49" s="403"/>
      <c r="IY49" s="403"/>
      <c r="IZ49" s="403"/>
      <c r="JA49" s="403"/>
      <c r="JB49" s="403"/>
      <c r="JC49" s="403"/>
      <c r="JD49" s="403"/>
      <c r="JE49" s="403"/>
      <c r="JF49" s="403"/>
      <c r="JG49" s="403"/>
      <c r="JH49" s="403"/>
      <c r="JI49" s="403"/>
      <c r="JJ49" s="403"/>
      <c r="JK49" s="403"/>
      <c r="JL49" s="403"/>
      <c r="JM49" s="403"/>
      <c r="JN49" s="403"/>
      <c r="JO49" s="403"/>
      <c r="JP49" s="403"/>
      <c r="JQ49" s="403"/>
      <c r="JR49" s="403"/>
      <c r="JS49" s="403"/>
      <c r="JT49" s="403"/>
    </row>
    <row r="50" spans="1:280" s="281" customFormat="1" ht="25.5" x14ac:dyDescent="0.2">
      <c r="B50" s="90"/>
      <c r="C50" s="329" t="str">
        <f t="shared" ca="1" si="51"/>
        <v>Local Data Management and Monitoring, Pharmacovigilance - Opex</v>
      </c>
      <c r="J50" s="79" t="e">
        <f>SUM(J131,J184,J232,J307)</f>
        <v>#N/A</v>
      </c>
      <c r="K50" s="79" t="e">
        <f t="shared" ref="K50:P50" si="79">SUM(K131,K184,K232,K307)</f>
        <v>#N/A</v>
      </c>
      <c r="L50" s="79" t="e">
        <f t="shared" si="79"/>
        <v>#N/A</v>
      </c>
      <c r="M50" s="79" t="e">
        <f t="shared" si="79"/>
        <v>#N/A</v>
      </c>
      <c r="N50" s="79" t="e">
        <f t="shared" si="79"/>
        <v>#N/A</v>
      </c>
      <c r="O50" s="79" t="e">
        <f t="shared" si="79"/>
        <v>#N/A</v>
      </c>
      <c r="P50" s="79" t="e">
        <f t="shared" si="79"/>
        <v>#N/A</v>
      </c>
      <c r="Q50" s="16"/>
      <c r="R50" s="157"/>
      <c r="U50" s="90"/>
      <c r="V50" s="329" t="str">
        <f t="shared" ca="1" si="53"/>
        <v>Local Data Management and Monitoring, Pharmacovigilance - Opex</v>
      </c>
      <c r="W50" s="79" t="e">
        <f>SUM(W131,W184,W232,W307)</f>
        <v>#N/A</v>
      </c>
      <c r="X50" s="79" t="e">
        <f t="shared" ref="X50:AB50" si="80">SUM(X131,X184,X232,X307)</f>
        <v>#N/A</v>
      </c>
      <c r="Y50" s="79" t="e">
        <f t="shared" si="80"/>
        <v>#N/A</v>
      </c>
      <c r="Z50" s="79" t="e">
        <f t="shared" si="80"/>
        <v>#N/A</v>
      </c>
      <c r="AA50" s="79" t="e">
        <f t="shared" si="80"/>
        <v>#N/A</v>
      </c>
      <c r="AB50" s="79" t="e">
        <f t="shared" si="80"/>
        <v>#N/A</v>
      </c>
      <c r="AC50" s="79" t="e">
        <f>SUM(AC131,AC184,AC232,AC307)</f>
        <v>#N/A</v>
      </c>
      <c r="AG50" s="90"/>
      <c r="AH50" s="329" t="str">
        <f t="shared" ca="1" si="55"/>
        <v>Local Data Management and Monitoring, Pharmacovigilance - Opex</v>
      </c>
      <c r="AI50" s="79" t="e">
        <f>SUM(AI131,AI184,AI232,AI307)</f>
        <v>#N/A</v>
      </c>
      <c r="AJ50" s="79" t="e">
        <f t="shared" ref="AJ50:AO50" si="81">SUM(AJ131,AJ184,AJ232,AJ307)</f>
        <v>#N/A</v>
      </c>
      <c r="AK50" s="79" t="e">
        <f t="shared" si="81"/>
        <v>#N/A</v>
      </c>
      <c r="AL50" s="79" t="e">
        <f t="shared" si="81"/>
        <v>#N/A</v>
      </c>
      <c r="AM50" s="79" t="e">
        <f t="shared" si="81"/>
        <v>#N/A</v>
      </c>
      <c r="AN50" s="79" t="e">
        <f t="shared" si="81"/>
        <v>#N/A</v>
      </c>
      <c r="AO50" s="79" t="e">
        <f t="shared" si="81"/>
        <v>#N/A</v>
      </c>
      <c r="AR50" s="403"/>
      <c r="AS50" s="403"/>
      <c r="AT50" s="403"/>
      <c r="AU50" s="403" t="s">
        <v>3183</v>
      </c>
      <c r="AV50" s="403"/>
      <c r="AW50" s="403"/>
      <c r="AX50" s="403"/>
      <c r="AY50" s="403"/>
      <c r="AZ50" s="403"/>
      <c r="BA50" s="403"/>
      <c r="BB50" s="403"/>
      <c r="BC50" s="403"/>
      <c r="BD50" s="403"/>
      <c r="BE50" s="403"/>
      <c r="BF50" s="403"/>
      <c r="BG50" s="403"/>
      <c r="BH50" s="403"/>
      <c r="BI50" s="403"/>
      <c r="BJ50" s="403"/>
      <c r="BK50" s="403"/>
      <c r="BL50" s="403"/>
      <c r="BM50" s="403"/>
      <c r="BN50" s="403"/>
      <c r="BO50" s="403"/>
      <c r="BP50" s="403"/>
      <c r="BQ50" s="403"/>
      <c r="BR50" s="403"/>
      <c r="BS50" s="403"/>
      <c r="BT50" s="403"/>
      <c r="BU50" s="403"/>
      <c r="BV50" s="403"/>
      <c r="BW50" s="403"/>
      <c r="BX50" s="403"/>
      <c r="BY50" s="403"/>
      <c r="BZ50" s="403"/>
      <c r="CA50" s="403"/>
      <c r="CB50" s="403"/>
      <c r="CC50" s="403" t="s">
        <v>11650</v>
      </c>
      <c r="CD50" s="403"/>
      <c r="CE50" s="403"/>
      <c r="CF50" s="403"/>
      <c r="CG50" s="403"/>
      <c r="CH50" s="403"/>
      <c r="CI50" s="403"/>
      <c r="CJ50" s="403"/>
      <c r="CK50" s="403"/>
      <c r="CL50" s="403"/>
      <c r="CM50" s="403"/>
      <c r="CN50" s="403"/>
      <c r="CO50" s="403"/>
      <c r="CP50" s="403"/>
      <c r="CQ50" s="403"/>
      <c r="CR50" s="403"/>
      <c r="CS50" s="403"/>
      <c r="CT50" s="403"/>
      <c r="CU50" s="403"/>
      <c r="CV50" s="403"/>
      <c r="CW50" s="403"/>
      <c r="CX50" s="403"/>
      <c r="CY50" s="403"/>
      <c r="CZ50" s="403"/>
      <c r="DA50" s="403"/>
      <c r="DB50" s="403"/>
      <c r="DC50" s="403"/>
      <c r="DD50" s="403"/>
      <c r="DE50" s="403"/>
      <c r="DF50" s="403"/>
      <c r="DG50" s="403"/>
      <c r="DH50" s="403"/>
      <c r="DI50" s="403"/>
      <c r="DJ50" s="403"/>
      <c r="DK50" s="403" t="s">
        <v>11651</v>
      </c>
      <c r="DL50" s="403"/>
      <c r="DM50" s="403"/>
      <c r="DN50" s="403"/>
      <c r="DO50" s="403"/>
      <c r="DP50" s="403"/>
      <c r="DQ50" s="403"/>
      <c r="DR50" s="403"/>
      <c r="DS50" s="403"/>
      <c r="DT50" s="403"/>
      <c r="DU50" s="403"/>
      <c r="DV50" s="403"/>
      <c r="DW50" s="403"/>
      <c r="DX50" s="403"/>
      <c r="DY50" s="403"/>
      <c r="DZ50" s="403"/>
      <c r="EA50" s="403"/>
      <c r="EB50" s="403"/>
      <c r="EC50" s="403"/>
      <c r="ED50" s="403"/>
      <c r="EE50" s="403"/>
      <c r="EF50" s="403"/>
      <c r="EG50" s="403"/>
      <c r="EH50" s="403"/>
      <c r="EI50" s="403"/>
      <c r="EJ50" s="403"/>
      <c r="EK50" s="403"/>
      <c r="EL50" s="403"/>
      <c r="EM50" s="403"/>
      <c r="EN50" s="403"/>
      <c r="EO50" s="403"/>
      <c r="EP50" s="403"/>
      <c r="EQ50" s="403"/>
      <c r="ER50" s="403"/>
      <c r="ES50" s="403" t="s">
        <v>11652</v>
      </c>
      <c r="ET50" s="403"/>
      <c r="EU50" s="403"/>
      <c r="EV50" s="403"/>
      <c r="EW50" s="403"/>
      <c r="EX50" s="403"/>
      <c r="EY50" s="403"/>
      <c r="EZ50" s="403"/>
      <c r="FA50" s="403"/>
      <c r="FB50" s="403"/>
      <c r="FC50" s="403"/>
      <c r="FD50" s="403"/>
      <c r="FE50" s="403"/>
      <c r="FF50" s="403"/>
      <c r="FG50" s="403"/>
      <c r="FH50" s="403"/>
      <c r="FI50" s="403"/>
      <c r="FJ50" s="403"/>
      <c r="FK50" s="403"/>
      <c r="FL50" s="403"/>
      <c r="FM50" s="403"/>
      <c r="FN50" s="403"/>
      <c r="FO50" s="403"/>
      <c r="FP50" s="403"/>
      <c r="FQ50" s="403"/>
      <c r="FR50" s="403"/>
      <c r="FS50" s="403"/>
      <c r="FT50" s="403"/>
      <c r="FU50" s="403"/>
      <c r="FV50" s="403"/>
      <c r="FW50" s="403"/>
      <c r="FX50" s="403"/>
      <c r="FY50" s="403"/>
      <c r="FZ50" s="403"/>
      <c r="GA50" s="403" t="s">
        <v>5059</v>
      </c>
      <c r="GB50" s="403"/>
      <c r="GC50" s="403"/>
      <c r="GD50" s="403"/>
      <c r="GE50" s="403"/>
      <c r="GF50" s="403"/>
      <c r="GG50" s="403"/>
      <c r="GH50" s="403"/>
      <c r="GI50" s="403"/>
      <c r="GJ50" s="403"/>
      <c r="GK50" s="403"/>
      <c r="GL50" s="403"/>
      <c r="GM50" s="403"/>
      <c r="GN50" s="403"/>
      <c r="GO50" s="403"/>
      <c r="GP50" s="403"/>
      <c r="GQ50" s="403"/>
      <c r="GR50" s="403"/>
      <c r="GS50" s="403"/>
      <c r="GT50" s="403"/>
      <c r="GU50" s="403"/>
      <c r="GV50" s="403"/>
      <c r="GW50" s="403"/>
      <c r="GX50" s="403"/>
      <c r="GY50" s="403"/>
      <c r="GZ50" s="403"/>
      <c r="HA50" s="403"/>
      <c r="HB50" s="403"/>
      <c r="HC50" s="403"/>
      <c r="HD50" s="403"/>
      <c r="HE50" s="403"/>
      <c r="HF50" s="403"/>
      <c r="HG50" s="403"/>
      <c r="HH50" s="403"/>
      <c r="HI50" s="403" t="s">
        <v>11653</v>
      </c>
      <c r="HJ50" s="403"/>
      <c r="HK50" s="403"/>
      <c r="HL50" s="403"/>
      <c r="HM50" s="403"/>
      <c r="HN50" s="403"/>
      <c r="HO50" s="403"/>
      <c r="HP50" s="403"/>
      <c r="HQ50" s="403"/>
      <c r="HR50" s="403"/>
      <c r="HS50" s="403"/>
      <c r="HT50" s="403"/>
      <c r="HU50" s="403"/>
      <c r="HV50" s="403"/>
      <c r="HW50" s="403"/>
      <c r="HX50" s="403"/>
      <c r="HY50" s="403"/>
      <c r="HZ50" s="403"/>
      <c r="IA50" s="403"/>
      <c r="IB50" s="403"/>
      <c r="IC50" s="403"/>
      <c r="ID50" s="403"/>
      <c r="IE50" s="403"/>
      <c r="IF50" s="403"/>
      <c r="IG50" s="403"/>
      <c r="IH50" s="403"/>
      <c r="II50" s="403"/>
      <c r="IJ50" s="403"/>
      <c r="IK50" s="403"/>
      <c r="IL50" s="403"/>
      <c r="IM50" s="403"/>
      <c r="IN50" s="403"/>
      <c r="IO50" s="403"/>
      <c r="IP50" s="403"/>
      <c r="IQ50" s="403" t="s">
        <v>5060</v>
      </c>
      <c r="IR50" s="403"/>
      <c r="IS50" s="403"/>
      <c r="IT50" s="403"/>
      <c r="IU50" s="403"/>
      <c r="IV50" s="403"/>
      <c r="IW50" s="403"/>
      <c r="IX50" s="403"/>
      <c r="IY50" s="403"/>
      <c r="IZ50" s="403"/>
      <c r="JA50" s="403"/>
      <c r="JB50" s="403"/>
      <c r="JC50" s="403"/>
      <c r="JD50" s="403"/>
      <c r="JE50" s="403"/>
      <c r="JF50" s="403"/>
      <c r="JG50" s="403"/>
      <c r="JH50" s="403"/>
      <c r="JI50" s="403"/>
      <c r="JJ50" s="403"/>
      <c r="JK50" s="403"/>
      <c r="JL50" s="403"/>
      <c r="JM50" s="403"/>
      <c r="JN50" s="403"/>
      <c r="JO50" s="403"/>
      <c r="JP50" s="403"/>
      <c r="JQ50" s="403"/>
      <c r="JR50" s="403"/>
      <c r="JS50" s="403"/>
      <c r="JT50" s="403"/>
    </row>
    <row r="51" spans="1:280" s="281" customFormat="1" ht="12.75" x14ac:dyDescent="0.2">
      <c r="B51" s="622"/>
      <c r="C51" s="31" t="str">
        <f t="shared" ca="1" si="51"/>
        <v>Local Security</v>
      </c>
      <c r="J51" s="283" t="e">
        <f t="shared" ref="J51:P51" si="82">SUM(J126:J127,J179:J180,J227:J228,J302:J303)</f>
        <v>#N/A</v>
      </c>
      <c r="K51" s="283" t="e">
        <f t="shared" si="82"/>
        <v>#N/A</v>
      </c>
      <c r="L51" s="283" t="e">
        <f t="shared" si="82"/>
        <v>#N/A</v>
      </c>
      <c r="M51" s="283" t="e">
        <f t="shared" si="82"/>
        <v>#N/A</v>
      </c>
      <c r="N51" s="283" t="e">
        <f t="shared" si="82"/>
        <v>#N/A</v>
      </c>
      <c r="O51" s="283" t="e">
        <f t="shared" si="82"/>
        <v>#N/A</v>
      </c>
      <c r="P51" s="283" t="e">
        <f t="shared" si="82"/>
        <v>#N/A</v>
      </c>
      <c r="Q51" s="16"/>
      <c r="R51" s="157"/>
      <c r="U51" s="622"/>
      <c r="V51" s="31" t="str">
        <f t="shared" ca="1" si="53"/>
        <v>Local Security</v>
      </c>
      <c r="W51" s="283" t="e">
        <f t="shared" ref="W51:AC51" si="83">SUM(W126:W127,W179:W180,W227:W228,W302:W303)</f>
        <v>#N/A</v>
      </c>
      <c r="X51" s="283" t="e">
        <f t="shared" si="83"/>
        <v>#N/A</v>
      </c>
      <c r="Y51" s="283" t="e">
        <f t="shared" si="83"/>
        <v>#N/A</v>
      </c>
      <c r="Z51" s="283" t="e">
        <f t="shared" si="83"/>
        <v>#N/A</v>
      </c>
      <c r="AA51" s="283" t="e">
        <f t="shared" si="83"/>
        <v>#N/A</v>
      </c>
      <c r="AB51" s="283" t="e">
        <f t="shared" si="83"/>
        <v>#N/A</v>
      </c>
      <c r="AC51" s="283" t="e">
        <f t="shared" si="83"/>
        <v>#N/A</v>
      </c>
      <c r="AD51" s="16"/>
      <c r="AG51" s="622"/>
      <c r="AH51" s="31" t="str">
        <f t="shared" ca="1" si="55"/>
        <v>Local Security</v>
      </c>
      <c r="AI51" s="283" t="e">
        <f t="shared" ref="AI51:AO51" si="84">SUM(AI126:AI127,AI179:AI180,AI227:AI228,AI302:AI303)</f>
        <v>#N/A</v>
      </c>
      <c r="AJ51" s="283" t="e">
        <f t="shared" si="84"/>
        <v>#N/A</v>
      </c>
      <c r="AK51" s="283" t="e">
        <f t="shared" si="84"/>
        <v>#N/A</v>
      </c>
      <c r="AL51" s="283" t="e">
        <f t="shared" si="84"/>
        <v>#N/A</v>
      </c>
      <c r="AM51" s="283" t="e">
        <f t="shared" si="84"/>
        <v>#N/A</v>
      </c>
      <c r="AN51" s="283" t="e">
        <f t="shared" si="84"/>
        <v>#N/A</v>
      </c>
      <c r="AO51" s="283" t="e">
        <f t="shared" si="84"/>
        <v>#N/A</v>
      </c>
      <c r="AP51" s="16"/>
      <c r="AR51" s="403"/>
      <c r="AS51" s="403"/>
      <c r="AT51" s="403"/>
      <c r="AU51" s="403" t="s">
        <v>1576</v>
      </c>
      <c r="AV51" s="403"/>
      <c r="AW51" s="403"/>
      <c r="AX51" s="403"/>
      <c r="AY51" s="403"/>
      <c r="AZ51" s="403"/>
      <c r="BA51" s="403"/>
      <c r="BB51" s="403"/>
      <c r="BC51" s="403"/>
      <c r="BD51" s="403"/>
      <c r="BE51" s="403"/>
      <c r="BF51" s="403"/>
      <c r="BG51" s="403"/>
      <c r="BH51" s="403"/>
      <c r="BI51" s="403"/>
      <c r="BJ51" s="403"/>
      <c r="BK51" s="403"/>
      <c r="BL51" s="403"/>
      <c r="BM51" s="403"/>
      <c r="BN51" s="403"/>
      <c r="BO51" s="403"/>
      <c r="BP51" s="403"/>
      <c r="BQ51" s="403"/>
      <c r="BR51" s="403"/>
      <c r="BS51" s="403"/>
      <c r="BT51" s="403"/>
      <c r="BU51" s="403"/>
      <c r="BV51" s="403"/>
      <c r="BW51" s="403"/>
      <c r="BX51" s="403"/>
      <c r="BY51" s="403"/>
      <c r="BZ51" s="403"/>
      <c r="CA51" s="403"/>
      <c r="CB51" s="403"/>
      <c r="CC51" s="403" t="s">
        <v>5046</v>
      </c>
      <c r="CD51" s="403"/>
      <c r="CE51" s="403"/>
      <c r="CF51" s="403"/>
      <c r="CG51" s="403"/>
      <c r="CH51" s="403"/>
      <c r="CI51" s="403"/>
      <c r="CJ51" s="403"/>
      <c r="CK51" s="403"/>
      <c r="CL51" s="403"/>
      <c r="CM51" s="403"/>
      <c r="CN51" s="403"/>
      <c r="CO51" s="403"/>
      <c r="CP51" s="403"/>
      <c r="CQ51" s="403"/>
      <c r="CR51" s="403"/>
      <c r="CS51" s="403"/>
      <c r="CT51" s="403"/>
      <c r="CU51" s="403"/>
      <c r="CV51" s="403"/>
      <c r="CW51" s="403"/>
      <c r="CX51" s="403"/>
      <c r="CY51" s="403"/>
      <c r="CZ51" s="403"/>
      <c r="DA51" s="403"/>
      <c r="DB51" s="403"/>
      <c r="DC51" s="403"/>
      <c r="DD51" s="403"/>
      <c r="DE51" s="403"/>
      <c r="DF51" s="403"/>
      <c r="DG51" s="403"/>
      <c r="DH51" s="403"/>
      <c r="DI51" s="403"/>
      <c r="DJ51" s="403"/>
      <c r="DK51" s="403" t="s">
        <v>5047</v>
      </c>
      <c r="DL51" s="403"/>
      <c r="DM51" s="403"/>
      <c r="DN51" s="403"/>
      <c r="DO51" s="403"/>
      <c r="DP51" s="403"/>
      <c r="DQ51" s="403"/>
      <c r="DR51" s="403"/>
      <c r="DS51" s="403"/>
      <c r="DT51" s="403"/>
      <c r="DU51" s="403"/>
      <c r="DV51" s="403"/>
      <c r="DW51" s="403"/>
      <c r="DX51" s="403"/>
      <c r="DY51" s="403"/>
      <c r="DZ51" s="403"/>
      <c r="EA51" s="403"/>
      <c r="EB51" s="403"/>
      <c r="EC51" s="403"/>
      <c r="ED51" s="403"/>
      <c r="EE51" s="403"/>
      <c r="EF51" s="403"/>
      <c r="EG51" s="403"/>
      <c r="EH51" s="403"/>
      <c r="EI51" s="403"/>
      <c r="EJ51" s="403"/>
      <c r="EK51" s="403"/>
      <c r="EL51" s="403"/>
      <c r="EM51" s="403"/>
      <c r="EN51" s="403"/>
      <c r="EO51" s="403"/>
      <c r="EP51" s="403"/>
      <c r="EQ51" s="403"/>
      <c r="ER51" s="403"/>
      <c r="ES51" s="403" t="s">
        <v>5048</v>
      </c>
      <c r="ET51" s="403"/>
      <c r="EU51" s="403"/>
      <c r="EV51" s="403"/>
      <c r="EW51" s="403"/>
      <c r="EX51" s="403"/>
      <c r="EY51" s="403"/>
      <c r="EZ51" s="403"/>
      <c r="FA51" s="403"/>
      <c r="FB51" s="403"/>
      <c r="FC51" s="403"/>
      <c r="FD51" s="403"/>
      <c r="FE51" s="403"/>
      <c r="FF51" s="403"/>
      <c r="FG51" s="403"/>
      <c r="FH51" s="403"/>
      <c r="FI51" s="403"/>
      <c r="FJ51" s="403"/>
      <c r="FK51" s="403"/>
      <c r="FL51" s="403"/>
      <c r="FM51" s="403"/>
      <c r="FN51" s="403"/>
      <c r="FO51" s="403"/>
      <c r="FP51" s="403"/>
      <c r="FQ51" s="403"/>
      <c r="FR51" s="403"/>
      <c r="FS51" s="403"/>
      <c r="FT51" s="403"/>
      <c r="FU51" s="403"/>
      <c r="FV51" s="403"/>
      <c r="FW51" s="403"/>
      <c r="FX51" s="403"/>
      <c r="FY51" s="403"/>
      <c r="FZ51" s="403"/>
      <c r="GA51" s="403" t="s">
        <v>5049</v>
      </c>
      <c r="GB51" s="403"/>
      <c r="GC51" s="403"/>
      <c r="GD51" s="403"/>
      <c r="GE51" s="403"/>
      <c r="GF51" s="403"/>
      <c r="GG51" s="403"/>
      <c r="GH51" s="403"/>
      <c r="GI51" s="403"/>
      <c r="GJ51" s="403"/>
      <c r="GK51" s="403"/>
      <c r="GL51" s="403"/>
      <c r="GM51" s="403"/>
      <c r="GN51" s="403"/>
      <c r="GO51" s="403"/>
      <c r="GP51" s="403"/>
      <c r="GQ51" s="403"/>
      <c r="GR51" s="403"/>
      <c r="GS51" s="403"/>
      <c r="GT51" s="403"/>
      <c r="GU51" s="403"/>
      <c r="GV51" s="403"/>
      <c r="GW51" s="403"/>
      <c r="GX51" s="403"/>
      <c r="GY51" s="403"/>
      <c r="GZ51" s="403"/>
      <c r="HA51" s="403"/>
      <c r="HB51" s="403"/>
      <c r="HC51" s="403"/>
      <c r="HD51" s="403"/>
      <c r="HE51" s="403"/>
      <c r="HF51" s="403"/>
      <c r="HG51" s="403"/>
      <c r="HH51" s="403"/>
      <c r="HI51" s="403" t="s">
        <v>5050</v>
      </c>
      <c r="HJ51" s="403"/>
      <c r="HK51" s="403"/>
      <c r="HL51" s="403"/>
      <c r="HM51" s="403"/>
      <c r="HN51" s="403"/>
      <c r="HO51" s="403"/>
      <c r="HP51" s="403"/>
      <c r="HQ51" s="403"/>
      <c r="HR51" s="403"/>
      <c r="HS51" s="403"/>
      <c r="HT51" s="403"/>
      <c r="HU51" s="403"/>
      <c r="HV51" s="403"/>
      <c r="HW51" s="403"/>
      <c r="HX51" s="403"/>
      <c r="HY51" s="403"/>
      <c r="HZ51" s="403"/>
      <c r="IA51" s="403"/>
      <c r="IB51" s="403"/>
      <c r="IC51" s="403"/>
      <c r="ID51" s="403"/>
      <c r="IE51" s="403"/>
      <c r="IF51" s="403"/>
      <c r="IG51" s="403"/>
      <c r="IH51" s="403"/>
      <c r="II51" s="403"/>
      <c r="IJ51" s="403"/>
      <c r="IK51" s="403"/>
      <c r="IL51" s="403"/>
      <c r="IM51" s="403"/>
      <c r="IN51" s="403"/>
      <c r="IO51" s="403"/>
      <c r="IP51" s="403"/>
      <c r="IQ51" s="403" t="s">
        <v>5051</v>
      </c>
      <c r="IR51" s="403"/>
      <c r="IS51" s="403"/>
      <c r="IT51" s="403"/>
      <c r="IU51" s="403"/>
      <c r="IV51" s="403"/>
      <c r="IW51" s="403"/>
      <c r="IX51" s="403"/>
      <c r="IY51" s="403"/>
      <c r="IZ51" s="403"/>
      <c r="JA51" s="403"/>
      <c r="JB51" s="403"/>
      <c r="JC51" s="403"/>
      <c r="JD51" s="403"/>
      <c r="JE51" s="403"/>
      <c r="JF51" s="403"/>
      <c r="JG51" s="403"/>
      <c r="JH51" s="403"/>
      <c r="JI51" s="403"/>
      <c r="JJ51" s="403"/>
      <c r="JK51" s="403"/>
      <c r="JL51" s="403"/>
      <c r="JM51" s="403"/>
      <c r="JN51" s="403"/>
      <c r="JO51" s="403"/>
      <c r="JP51" s="403"/>
      <c r="JQ51" s="403"/>
      <c r="JR51" s="403"/>
      <c r="JS51" s="403"/>
      <c r="JT51" s="403"/>
    </row>
    <row r="52" spans="1:280" s="281" customFormat="1" ht="12.75" x14ac:dyDescent="0.2">
      <c r="B52" s="622"/>
      <c r="C52" s="31" t="str">
        <f t="shared" ca="1" si="51"/>
        <v>Additional Interventions</v>
      </c>
      <c r="J52" s="283" t="e">
        <f t="shared" ref="J52:P52" si="85">SUM(J134:J135,J187:J188,J235:J236,J310:J311)</f>
        <v>#N/A</v>
      </c>
      <c r="K52" s="283" t="e">
        <f t="shared" si="85"/>
        <v>#N/A</v>
      </c>
      <c r="L52" s="283" t="e">
        <f t="shared" si="85"/>
        <v>#N/A</v>
      </c>
      <c r="M52" s="283" t="e">
        <f t="shared" si="85"/>
        <v>#N/A</v>
      </c>
      <c r="N52" s="283" t="e">
        <f t="shared" si="85"/>
        <v>#N/A</v>
      </c>
      <c r="O52" s="283" t="e">
        <f t="shared" si="85"/>
        <v>#N/A</v>
      </c>
      <c r="P52" s="283" t="e">
        <f t="shared" si="85"/>
        <v>#N/A</v>
      </c>
      <c r="Q52" s="16"/>
      <c r="R52" s="157"/>
      <c r="U52" s="622"/>
      <c r="V52" s="31" t="str">
        <f t="shared" ca="1" si="53"/>
        <v>Additional Interventions</v>
      </c>
      <c r="W52" s="283" t="e">
        <f t="shared" ref="W52:AC52" si="86">SUM(W134:W135,W187:W188,W235:W236,W310:W311)</f>
        <v>#N/A</v>
      </c>
      <c r="X52" s="283" t="e">
        <f t="shared" si="86"/>
        <v>#N/A</v>
      </c>
      <c r="Y52" s="283" t="e">
        <f t="shared" si="86"/>
        <v>#N/A</v>
      </c>
      <c r="Z52" s="283" t="e">
        <f t="shared" si="86"/>
        <v>#N/A</v>
      </c>
      <c r="AA52" s="283" t="e">
        <f t="shared" si="86"/>
        <v>#N/A</v>
      </c>
      <c r="AB52" s="283" t="e">
        <f t="shared" si="86"/>
        <v>#N/A</v>
      </c>
      <c r="AC52" s="283" t="e">
        <f t="shared" si="86"/>
        <v>#N/A</v>
      </c>
      <c r="AD52" s="16"/>
      <c r="AG52" s="622"/>
      <c r="AH52" s="31" t="str">
        <f t="shared" ca="1" si="55"/>
        <v>Additional Interventions</v>
      </c>
      <c r="AI52" s="283" t="e">
        <f t="shared" ref="AI52:AO52" si="87">SUM(AI134:AI135,AI187:AI188,AI235:AI236,AI310:AI311)</f>
        <v>#N/A</v>
      </c>
      <c r="AJ52" s="283" t="e">
        <f t="shared" si="87"/>
        <v>#N/A</v>
      </c>
      <c r="AK52" s="283" t="e">
        <f t="shared" si="87"/>
        <v>#N/A</v>
      </c>
      <c r="AL52" s="283" t="e">
        <f t="shared" si="87"/>
        <v>#N/A</v>
      </c>
      <c r="AM52" s="283" t="e">
        <f t="shared" si="87"/>
        <v>#N/A</v>
      </c>
      <c r="AN52" s="283" t="e">
        <f t="shared" si="87"/>
        <v>#N/A</v>
      </c>
      <c r="AO52" s="283" t="e">
        <f t="shared" si="87"/>
        <v>#N/A</v>
      </c>
      <c r="AP52" s="16"/>
      <c r="AR52" s="403"/>
      <c r="AS52" s="403"/>
      <c r="AT52" s="403"/>
      <c r="AU52" s="403" t="s">
        <v>1578</v>
      </c>
      <c r="AV52" s="403"/>
      <c r="AW52" s="403"/>
      <c r="AX52" s="403"/>
      <c r="AY52" s="403"/>
      <c r="AZ52" s="403"/>
      <c r="BA52" s="403"/>
      <c r="BB52" s="403"/>
      <c r="BC52" s="403"/>
      <c r="BD52" s="403"/>
      <c r="BE52" s="403"/>
      <c r="BF52" s="403"/>
      <c r="BG52" s="403"/>
      <c r="BH52" s="403"/>
      <c r="BI52" s="403"/>
      <c r="BJ52" s="403"/>
      <c r="BK52" s="403"/>
      <c r="BL52" s="403"/>
      <c r="BM52" s="403"/>
      <c r="BN52" s="403"/>
      <c r="BO52" s="403"/>
      <c r="BP52" s="403"/>
      <c r="BQ52" s="403"/>
      <c r="BR52" s="403"/>
      <c r="BS52" s="403"/>
      <c r="BT52" s="403"/>
      <c r="BU52" s="403"/>
      <c r="BV52" s="403"/>
      <c r="BW52" s="403"/>
      <c r="BX52" s="403"/>
      <c r="BY52" s="403"/>
      <c r="BZ52" s="403"/>
      <c r="CA52" s="403"/>
      <c r="CB52" s="403"/>
      <c r="CC52" s="403" t="s">
        <v>11654</v>
      </c>
      <c r="CD52" s="403"/>
      <c r="CE52" s="403"/>
      <c r="CF52" s="403"/>
      <c r="CG52" s="403"/>
      <c r="CH52" s="403"/>
      <c r="CI52" s="403"/>
      <c r="CJ52" s="403"/>
      <c r="CK52" s="403"/>
      <c r="CL52" s="403"/>
      <c r="CM52" s="403"/>
      <c r="CN52" s="403"/>
      <c r="CO52" s="403"/>
      <c r="CP52" s="403"/>
      <c r="CQ52" s="403"/>
      <c r="CR52" s="403"/>
      <c r="CS52" s="403"/>
      <c r="CT52" s="403"/>
      <c r="CU52" s="403"/>
      <c r="CV52" s="403"/>
      <c r="CW52" s="403"/>
      <c r="CX52" s="403"/>
      <c r="CY52" s="403"/>
      <c r="CZ52" s="403"/>
      <c r="DA52" s="403"/>
      <c r="DB52" s="403"/>
      <c r="DC52" s="403"/>
      <c r="DD52" s="403"/>
      <c r="DE52" s="403"/>
      <c r="DF52" s="403"/>
      <c r="DG52" s="403"/>
      <c r="DH52" s="403"/>
      <c r="DI52" s="403"/>
      <c r="DJ52" s="403"/>
      <c r="DK52" s="403" t="s">
        <v>11655</v>
      </c>
      <c r="DL52" s="403"/>
      <c r="DM52" s="403"/>
      <c r="DN52" s="403"/>
      <c r="DO52" s="403"/>
      <c r="DP52" s="403"/>
      <c r="DQ52" s="403"/>
      <c r="DR52" s="403"/>
      <c r="DS52" s="403"/>
      <c r="DT52" s="403"/>
      <c r="DU52" s="403"/>
      <c r="DV52" s="403"/>
      <c r="DW52" s="403"/>
      <c r="DX52" s="403"/>
      <c r="DY52" s="403"/>
      <c r="DZ52" s="403"/>
      <c r="EA52" s="403"/>
      <c r="EB52" s="403"/>
      <c r="EC52" s="403"/>
      <c r="ED52" s="403"/>
      <c r="EE52" s="403"/>
      <c r="EF52" s="403"/>
      <c r="EG52" s="403"/>
      <c r="EH52" s="403"/>
      <c r="EI52" s="403"/>
      <c r="EJ52" s="403"/>
      <c r="EK52" s="403"/>
      <c r="EL52" s="403"/>
      <c r="EM52" s="403"/>
      <c r="EN52" s="403"/>
      <c r="EO52" s="403"/>
      <c r="EP52" s="403"/>
      <c r="EQ52" s="403"/>
      <c r="ER52" s="403"/>
      <c r="ES52" s="403" t="s">
        <v>11656</v>
      </c>
      <c r="ET52" s="403"/>
      <c r="EU52" s="403"/>
      <c r="EV52" s="403"/>
      <c r="EW52" s="403"/>
      <c r="EX52" s="403"/>
      <c r="EY52" s="403"/>
      <c r="EZ52" s="403"/>
      <c r="FA52" s="403"/>
      <c r="FB52" s="403"/>
      <c r="FC52" s="403"/>
      <c r="FD52" s="403"/>
      <c r="FE52" s="403"/>
      <c r="FF52" s="403"/>
      <c r="FG52" s="403"/>
      <c r="FH52" s="403"/>
      <c r="FI52" s="403"/>
      <c r="FJ52" s="403"/>
      <c r="FK52" s="403"/>
      <c r="FL52" s="403"/>
      <c r="FM52" s="403"/>
      <c r="FN52" s="403"/>
      <c r="FO52" s="403"/>
      <c r="FP52" s="403"/>
      <c r="FQ52" s="403"/>
      <c r="FR52" s="403"/>
      <c r="FS52" s="403"/>
      <c r="FT52" s="403"/>
      <c r="FU52" s="403"/>
      <c r="FV52" s="403"/>
      <c r="FW52" s="403"/>
      <c r="FX52" s="403"/>
      <c r="FY52" s="403"/>
      <c r="FZ52" s="403"/>
      <c r="GA52" s="403" t="s">
        <v>11657</v>
      </c>
      <c r="GB52" s="403"/>
      <c r="GC52" s="403"/>
      <c r="GD52" s="403"/>
      <c r="GE52" s="403"/>
      <c r="GF52" s="403"/>
      <c r="GG52" s="403"/>
      <c r="GH52" s="403"/>
      <c r="GI52" s="403"/>
      <c r="GJ52" s="403"/>
      <c r="GK52" s="403"/>
      <c r="GL52" s="403"/>
      <c r="GM52" s="403"/>
      <c r="GN52" s="403"/>
      <c r="GO52" s="403"/>
      <c r="GP52" s="403"/>
      <c r="GQ52" s="403"/>
      <c r="GR52" s="403"/>
      <c r="GS52" s="403"/>
      <c r="GT52" s="403"/>
      <c r="GU52" s="403"/>
      <c r="GV52" s="403"/>
      <c r="GW52" s="403"/>
      <c r="GX52" s="403"/>
      <c r="GY52" s="403"/>
      <c r="GZ52" s="403"/>
      <c r="HA52" s="403"/>
      <c r="HB52" s="403"/>
      <c r="HC52" s="403"/>
      <c r="HD52" s="403"/>
      <c r="HE52" s="403"/>
      <c r="HF52" s="403"/>
      <c r="HG52" s="403"/>
      <c r="HH52" s="403"/>
      <c r="HI52" s="403" t="s">
        <v>11658</v>
      </c>
      <c r="HJ52" s="403"/>
      <c r="HK52" s="403"/>
      <c r="HL52" s="403"/>
      <c r="HM52" s="403"/>
      <c r="HN52" s="403"/>
      <c r="HO52" s="403"/>
      <c r="HP52" s="403"/>
      <c r="HQ52" s="403"/>
      <c r="HR52" s="403"/>
      <c r="HS52" s="403"/>
      <c r="HT52" s="403"/>
      <c r="HU52" s="403"/>
      <c r="HV52" s="403"/>
      <c r="HW52" s="403"/>
      <c r="HX52" s="403"/>
      <c r="HY52" s="403"/>
      <c r="HZ52" s="403"/>
      <c r="IA52" s="403"/>
      <c r="IB52" s="403"/>
      <c r="IC52" s="403"/>
      <c r="ID52" s="403"/>
      <c r="IE52" s="403"/>
      <c r="IF52" s="403"/>
      <c r="IG52" s="403"/>
      <c r="IH52" s="403"/>
      <c r="II52" s="403"/>
      <c r="IJ52" s="403"/>
      <c r="IK52" s="403"/>
      <c r="IL52" s="403"/>
      <c r="IM52" s="403"/>
      <c r="IN52" s="403"/>
      <c r="IO52" s="403"/>
      <c r="IP52" s="403"/>
      <c r="IQ52" s="403" t="s">
        <v>11659</v>
      </c>
      <c r="IR52" s="403"/>
      <c r="IS52" s="403"/>
      <c r="IT52" s="403"/>
      <c r="IU52" s="403"/>
      <c r="IV52" s="403"/>
      <c r="IW52" s="403"/>
      <c r="IX52" s="403"/>
      <c r="IY52" s="403"/>
      <c r="IZ52" s="403"/>
      <c r="JA52" s="403"/>
      <c r="JB52" s="403"/>
      <c r="JC52" s="403"/>
      <c r="JD52" s="403"/>
      <c r="JE52" s="403"/>
      <c r="JF52" s="403"/>
      <c r="JG52" s="403"/>
      <c r="JH52" s="403"/>
      <c r="JI52" s="403"/>
      <c r="JJ52" s="403"/>
      <c r="JK52" s="403"/>
      <c r="JL52" s="403"/>
      <c r="JM52" s="403"/>
      <c r="JN52" s="403"/>
      <c r="JO52" s="403"/>
      <c r="JP52" s="403"/>
      <c r="JQ52" s="403"/>
      <c r="JR52" s="403"/>
      <c r="JS52" s="403"/>
      <c r="JT52" s="403"/>
    </row>
    <row r="53" spans="1:280" s="194" customFormat="1" ht="12.75" x14ac:dyDescent="0.2">
      <c r="B53" s="622"/>
      <c r="C53" s="5"/>
      <c r="J53" s="16"/>
      <c r="K53" s="16"/>
      <c r="L53" s="16"/>
      <c r="M53" s="16"/>
      <c r="N53" s="16"/>
      <c r="O53" s="16"/>
      <c r="P53" s="16"/>
      <c r="Q53" s="16"/>
      <c r="R53" s="16"/>
      <c r="T53" s="299"/>
      <c r="U53" s="622"/>
      <c r="AF53" s="241"/>
      <c r="AG53" s="622"/>
      <c r="AR53" s="403"/>
      <c r="AS53" s="403"/>
      <c r="AT53" s="403"/>
      <c r="AU53" s="403"/>
      <c r="AV53" s="403"/>
      <c r="AW53" s="403"/>
      <c r="AX53" s="403"/>
      <c r="AY53" s="403"/>
      <c r="AZ53" s="403"/>
      <c r="BA53" s="403"/>
      <c r="BB53" s="403"/>
      <c r="BC53" s="403"/>
      <c r="BD53" s="403"/>
      <c r="BE53" s="403"/>
      <c r="BF53" s="403"/>
      <c r="BG53" s="403"/>
      <c r="BH53" s="403"/>
      <c r="BI53" s="403"/>
      <c r="BJ53" s="403"/>
      <c r="BK53" s="403"/>
      <c r="BL53" s="403"/>
      <c r="BM53" s="403"/>
      <c r="BN53" s="403"/>
      <c r="BO53" s="403"/>
      <c r="BP53" s="403"/>
      <c r="BQ53" s="403"/>
      <c r="BR53" s="403"/>
      <c r="BS53" s="403"/>
      <c r="BT53" s="403"/>
      <c r="BU53" s="403"/>
      <c r="BV53" s="403"/>
      <c r="BW53" s="403"/>
      <c r="BX53" s="403"/>
      <c r="BY53" s="403"/>
      <c r="BZ53" s="403"/>
      <c r="CA53" s="403"/>
      <c r="CB53" s="403"/>
      <c r="CC53" s="403"/>
      <c r="CD53" s="403"/>
      <c r="CE53" s="403"/>
      <c r="CF53" s="403"/>
      <c r="CG53" s="403"/>
      <c r="CH53" s="403"/>
      <c r="CI53" s="403"/>
      <c r="CJ53" s="403"/>
      <c r="CK53" s="403"/>
      <c r="CL53" s="403"/>
      <c r="CM53" s="403"/>
      <c r="CN53" s="403"/>
      <c r="CO53" s="403"/>
      <c r="CP53" s="403"/>
      <c r="CQ53" s="403"/>
      <c r="CR53" s="403"/>
      <c r="CS53" s="403"/>
      <c r="CT53" s="403"/>
      <c r="CU53" s="403"/>
      <c r="CV53" s="403"/>
      <c r="CW53" s="403"/>
      <c r="CX53" s="403"/>
      <c r="CY53" s="403"/>
      <c r="CZ53" s="403"/>
      <c r="DA53" s="403"/>
      <c r="DB53" s="403"/>
      <c r="DC53" s="403"/>
      <c r="DD53" s="403"/>
      <c r="DE53" s="403"/>
      <c r="DF53" s="403"/>
      <c r="DG53" s="403"/>
      <c r="DH53" s="403"/>
      <c r="DI53" s="403"/>
      <c r="DJ53" s="403"/>
      <c r="DK53" s="403"/>
      <c r="DL53" s="403"/>
      <c r="DM53" s="403"/>
      <c r="DN53" s="403"/>
      <c r="DO53" s="403"/>
      <c r="DP53" s="403"/>
      <c r="DQ53" s="403"/>
      <c r="DR53" s="403"/>
      <c r="DS53" s="403"/>
      <c r="DT53" s="403"/>
      <c r="DU53" s="403"/>
      <c r="DV53" s="403"/>
      <c r="DW53" s="403"/>
      <c r="DX53" s="403"/>
      <c r="DY53" s="403"/>
      <c r="DZ53" s="403"/>
      <c r="EA53" s="403"/>
      <c r="EB53" s="403"/>
      <c r="EC53" s="403"/>
      <c r="ED53" s="403"/>
      <c r="EE53" s="403"/>
      <c r="EF53" s="403"/>
      <c r="EG53" s="403"/>
      <c r="EH53" s="403"/>
      <c r="EI53" s="403"/>
      <c r="EJ53" s="403"/>
      <c r="EK53" s="403"/>
      <c r="EL53" s="403"/>
      <c r="EM53" s="403"/>
      <c r="EN53" s="403"/>
      <c r="EO53" s="403"/>
      <c r="EP53" s="403"/>
      <c r="EQ53" s="403"/>
      <c r="ER53" s="403"/>
      <c r="ES53" s="403"/>
      <c r="ET53" s="403"/>
      <c r="EU53" s="403"/>
      <c r="EV53" s="403"/>
      <c r="EW53" s="403"/>
      <c r="EX53" s="403"/>
      <c r="EY53" s="403"/>
      <c r="EZ53" s="403"/>
      <c r="FA53" s="403"/>
      <c r="FB53" s="403"/>
      <c r="FC53" s="403"/>
      <c r="FD53" s="403"/>
      <c r="FE53" s="403"/>
      <c r="FF53" s="403"/>
      <c r="FG53" s="403"/>
      <c r="FH53" s="403"/>
      <c r="FI53" s="403"/>
      <c r="FJ53" s="403"/>
      <c r="FK53" s="403"/>
      <c r="FL53" s="403"/>
      <c r="FM53" s="403"/>
      <c r="FN53" s="403"/>
      <c r="FO53" s="403"/>
      <c r="FP53" s="403"/>
      <c r="FQ53" s="403"/>
      <c r="FR53" s="403"/>
      <c r="FS53" s="403"/>
      <c r="FT53" s="403"/>
      <c r="FU53" s="403"/>
      <c r="FV53" s="403"/>
      <c r="FW53" s="403"/>
      <c r="FX53" s="403"/>
      <c r="FY53" s="403"/>
      <c r="FZ53" s="403"/>
      <c r="GA53" s="403"/>
      <c r="GB53" s="403"/>
      <c r="GC53" s="403"/>
      <c r="GD53" s="403"/>
      <c r="GE53" s="403"/>
      <c r="GF53" s="403"/>
      <c r="GG53" s="403"/>
      <c r="GH53" s="403"/>
      <c r="GI53" s="403"/>
      <c r="GJ53" s="403"/>
      <c r="GK53" s="403"/>
      <c r="GL53" s="403"/>
      <c r="GM53" s="403"/>
      <c r="GN53" s="403"/>
      <c r="GO53" s="403"/>
      <c r="GP53" s="403"/>
      <c r="GQ53" s="403"/>
      <c r="GR53" s="403"/>
      <c r="GS53" s="403"/>
      <c r="GT53" s="403"/>
      <c r="GU53" s="403"/>
      <c r="GV53" s="403"/>
      <c r="GW53" s="403"/>
      <c r="GX53" s="403"/>
      <c r="GY53" s="403"/>
      <c r="GZ53" s="403"/>
      <c r="HA53" s="403"/>
      <c r="HB53" s="403"/>
      <c r="HC53" s="403"/>
      <c r="HD53" s="403"/>
      <c r="HE53" s="403"/>
      <c r="HF53" s="403"/>
      <c r="HG53" s="403"/>
      <c r="HH53" s="403"/>
      <c r="HI53" s="403"/>
      <c r="HJ53" s="403"/>
      <c r="HK53" s="403"/>
      <c r="HL53" s="403"/>
      <c r="HM53" s="403"/>
      <c r="HN53" s="403"/>
      <c r="HO53" s="403"/>
      <c r="HP53" s="403"/>
      <c r="HQ53" s="403"/>
      <c r="HR53" s="403"/>
      <c r="HS53" s="403"/>
      <c r="HT53" s="403"/>
      <c r="HU53" s="403"/>
      <c r="HV53" s="403"/>
      <c r="HW53" s="403"/>
      <c r="HX53" s="403"/>
      <c r="HY53" s="403"/>
      <c r="HZ53" s="403"/>
      <c r="IA53" s="403"/>
      <c r="IB53" s="403"/>
      <c r="IC53" s="403"/>
      <c r="ID53" s="403"/>
      <c r="IE53" s="403"/>
      <c r="IF53" s="403"/>
      <c r="IG53" s="403"/>
      <c r="IH53" s="403"/>
      <c r="II53" s="403"/>
      <c r="IJ53" s="403"/>
      <c r="IK53" s="403"/>
      <c r="IL53" s="403"/>
      <c r="IM53" s="403"/>
      <c r="IN53" s="403"/>
      <c r="IO53" s="403"/>
      <c r="IP53" s="403"/>
      <c r="IQ53" s="403"/>
      <c r="IR53" s="403"/>
      <c r="IS53" s="403"/>
      <c r="IT53" s="403"/>
      <c r="IU53" s="403"/>
      <c r="IV53" s="403"/>
      <c r="IW53" s="403"/>
      <c r="IX53" s="403"/>
      <c r="IY53" s="403"/>
      <c r="IZ53" s="403"/>
      <c r="JA53" s="403"/>
      <c r="JB53" s="403"/>
      <c r="JC53" s="403"/>
      <c r="JD53" s="403"/>
      <c r="JE53" s="403"/>
      <c r="JF53" s="403"/>
      <c r="JG53" s="403"/>
      <c r="JH53" s="403"/>
      <c r="JI53" s="403"/>
      <c r="JJ53" s="403"/>
      <c r="JK53" s="403"/>
      <c r="JL53" s="403"/>
      <c r="JM53" s="403"/>
      <c r="JN53" s="403"/>
      <c r="JO53" s="403"/>
      <c r="JP53" s="403"/>
      <c r="JQ53" s="403"/>
      <c r="JR53" s="403"/>
      <c r="JS53" s="403"/>
      <c r="JT53" s="403"/>
    </row>
    <row r="54" spans="1:280" s="15" customFormat="1" x14ac:dyDescent="0.25">
      <c r="B54" s="33" t="str">
        <f ca="1">IF(OFFSET(AT54,0,Lang_Order*Lang__B5)="","",OFFSET(AT54,0,Lang_Order*Lang__B5))</f>
        <v>B5.2.2 Human Resources (Medium-Variant)</v>
      </c>
      <c r="C54" s="19"/>
      <c r="D54" s="8"/>
      <c r="E54" s="8"/>
      <c r="F54" s="8"/>
      <c r="G54" s="8"/>
      <c r="H54" s="8"/>
      <c r="I54" s="8"/>
      <c r="J54" s="206" t="e">
        <f>J85</f>
        <v>#DIV/0!</v>
      </c>
      <c r="K54" s="206" t="e">
        <f t="shared" ref="K54:P54" si="88">K85</f>
        <v>#DIV/0!</v>
      </c>
      <c r="L54" s="206" t="e">
        <f t="shared" si="88"/>
        <v>#DIV/0!</v>
      </c>
      <c r="M54" s="206" t="e">
        <f t="shared" si="88"/>
        <v>#DIV/0!</v>
      </c>
      <c r="N54" s="206" t="e">
        <f t="shared" si="88"/>
        <v>#DIV/0!</v>
      </c>
      <c r="O54" s="206" t="e">
        <f t="shared" si="88"/>
        <v>#DIV/0!</v>
      </c>
      <c r="P54" s="206" t="e">
        <f t="shared" si="88"/>
        <v>#DIV/0!</v>
      </c>
      <c r="Q54" s="42"/>
      <c r="R54" s="42"/>
      <c r="S54" s="241"/>
      <c r="T54" s="8" t="str">
        <f ca="1">IF(OFFSET(BL54,0,Lang_Order*Lang__B5)="","",OFFSET(BL54,0,Lang_Order*Lang__B5))</f>
        <v>B5.2.2 (Upper-Variant)</v>
      </c>
      <c r="U54" s="33"/>
      <c r="V54" s="8"/>
      <c r="W54" s="8"/>
      <c r="X54" s="8"/>
      <c r="Y54" s="8"/>
      <c r="Z54" s="8"/>
      <c r="AA54" s="8"/>
      <c r="AB54" s="8"/>
      <c r="AC54" s="8"/>
      <c r="AD54" s="8"/>
      <c r="AF54" s="8" t="str">
        <f ca="1">IF(OFFSET(BX54,0,Lang_Order*Lang__B5)="","",OFFSET(BX54,0,Lang_Order*Lang__B5))</f>
        <v>B5.2.2 (Lower-Variant)</v>
      </c>
      <c r="AG54" s="33"/>
      <c r="AH54" s="8"/>
      <c r="AI54" s="8"/>
      <c r="AJ54" s="8"/>
      <c r="AK54" s="8"/>
      <c r="AL54" s="8"/>
      <c r="AM54" s="8"/>
      <c r="AN54" s="8"/>
      <c r="AO54" s="8"/>
      <c r="AP54" s="8"/>
      <c r="AR54" s="403"/>
      <c r="AS54" s="403"/>
      <c r="AT54" s="403" t="s">
        <v>14276</v>
      </c>
      <c r="AU54" s="403"/>
      <c r="AV54" s="403"/>
      <c r="AW54" s="403"/>
      <c r="AX54" s="403"/>
      <c r="AY54" s="403"/>
      <c r="AZ54" s="403"/>
      <c r="BA54" s="403"/>
      <c r="BB54" s="403"/>
      <c r="BC54" s="403"/>
      <c r="BD54" s="403"/>
      <c r="BE54" s="403"/>
      <c r="BF54" s="403"/>
      <c r="BG54" s="403"/>
      <c r="BH54" s="403"/>
      <c r="BI54" s="403"/>
      <c r="BJ54" s="403"/>
      <c r="BK54" s="403"/>
      <c r="BL54" s="403" t="s">
        <v>14670</v>
      </c>
      <c r="BM54" s="403"/>
      <c r="BN54" s="403"/>
      <c r="BO54" s="403"/>
      <c r="BP54" s="403"/>
      <c r="BQ54" s="403"/>
      <c r="BR54" s="403"/>
      <c r="BS54" s="403"/>
      <c r="BT54" s="403"/>
      <c r="BU54" s="403"/>
      <c r="BV54" s="403"/>
      <c r="BW54" s="403"/>
      <c r="BX54" s="403" t="s">
        <v>14677</v>
      </c>
      <c r="BY54" s="403"/>
      <c r="BZ54" s="403"/>
      <c r="CA54" s="403"/>
      <c r="CB54" s="403" t="s">
        <v>14277</v>
      </c>
      <c r="CC54" s="403"/>
      <c r="CD54" s="403"/>
      <c r="CE54" s="403"/>
      <c r="CF54" s="403"/>
      <c r="CG54" s="403"/>
      <c r="CH54" s="403"/>
      <c r="CI54" s="403"/>
      <c r="CJ54" s="403"/>
      <c r="CK54" s="403"/>
      <c r="CL54" s="403"/>
      <c r="CM54" s="403"/>
      <c r="CN54" s="403"/>
      <c r="CO54" s="403"/>
      <c r="CP54" s="403"/>
      <c r="CQ54" s="403"/>
      <c r="CR54" s="403"/>
      <c r="CS54" s="403"/>
      <c r="CT54" s="403" t="s">
        <v>14671</v>
      </c>
      <c r="CU54" s="403"/>
      <c r="CV54" s="403"/>
      <c r="CW54" s="403"/>
      <c r="CX54" s="403"/>
      <c r="CY54" s="403"/>
      <c r="CZ54" s="403"/>
      <c r="DA54" s="403"/>
      <c r="DB54" s="403"/>
      <c r="DC54" s="403"/>
      <c r="DD54" s="403"/>
      <c r="DE54" s="403"/>
      <c r="DF54" s="403" t="s">
        <v>14678</v>
      </c>
      <c r="DG54" s="403"/>
      <c r="DH54" s="403"/>
      <c r="DI54" s="403"/>
      <c r="DJ54" s="403" t="s">
        <v>14278</v>
      </c>
      <c r="DK54" s="403"/>
      <c r="DL54" s="403"/>
      <c r="DM54" s="403"/>
      <c r="DN54" s="403"/>
      <c r="DO54" s="403"/>
      <c r="DP54" s="403"/>
      <c r="DQ54" s="403"/>
      <c r="DR54" s="403"/>
      <c r="DS54" s="403"/>
      <c r="DT54" s="403"/>
      <c r="DU54" s="403"/>
      <c r="DV54" s="403"/>
      <c r="DW54" s="403"/>
      <c r="DX54" s="403"/>
      <c r="DY54" s="403"/>
      <c r="DZ54" s="403"/>
      <c r="EA54" s="403"/>
      <c r="EB54" s="403" t="s">
        <v>14672</v>
      </c>
      <c r="EC54" s="403"/>
      <c r="ED54" s="403"/>
      <c r="EE54" s="403"/>
      <c r="EF54" s="403"/>
      <c r="EG54" s="403"/>
      <c r="EH54" s="403"/>
      <c r="EI54" s="403"/>
      <c r="EJ54" s="403"/>
      <c r="EK54" s="403"/>
      <c r="EL54" s="403"/>
      <c r="EM54" s="403"/>
      <c r="EN54" s="403" t="s">
        <v>14679</v>
      </c>
      <c r="EO54" s="403"/>
      <c r="EP54" s="403"/>
      <c r="EQ54" s="403"/>
      <c r="ER54" s="403" t="s">
        <v>14279</v>
      </c>
      <c r="ES54" s="403"/>
      <c r="ET54" s="403"/>
      <c r="EU54" s="403"/>
      <c r="EV54" s="403"/>
      <c r="EW54" s="403"/>
      <c r="EX54" s="403"/>
      <c r="EY54" s="403"/>
      <c r="EZ54" s="403"/>
      <c r="FA54" s="403"/>
      <c r="FB54" s="403"/>
      <c r="FC54" s="403"/>
      <c r="FD54" s="403"/>
      <c r="FE54" s="403"/>
      <c r="FF54" s="403"/>
      <c r="FG54" s="403"/>
      <c r="FH54" s="403"/>
      <c r="FI54" s="403"/>
      <c r="FJ54" s="403" t="s">
        <v>14673</v>
      </c>
      <c r="FK54" s="403"/>
      <c r="FL54" s="403"/>
      <c r="FM54" s="403"/>
      <c r="FN54" s="403"/>
      <c r="FO54" s="403"/>
      <c r="FP54" s="403"/>
      <c r="FQ54" s="403"/>
      <c r="FR54" s="403"/>
      <c r="FS54" s="403"/>
      <c r="FT54" s="403"/>
      <c r="FU54" s="403"/>
      <c r="FV54" s="403" t="s">
        <v>14680</v>
      </c>
      <c r="FW54" s="403"/>
      <c r="FX54" s="403"/>
      <c r="FY54" s="403"/>
      <c r="FZ54" s="403" t="s">
        <v>14280</v>
      </c>
      <c r="GA54" s="403"/>
      <c r="GB54" s="403"/>
      <c r="GC54" s="403"/>
      <c r="GD54" s="403"/>
      <c r="GE54" s="403"/>
      <c r="GF54" s="403"/>
      <c r="GG54" s="403"/>
      <c r="GH54" s="403"/>
      <c r="GI54" s="403"/>
      <c r="GJ54" s="403"/>
      <c r="GK54" s="403"/>
      <c r="GL54" s="403"/>
      <c r="GM54" s="403"/>
      <c r="GN54" s="403"/>
      <c r="GO54" s="403"/>
      <c r="GP54" s="403"/>
      <c r="GQ54" s="403"/>
      <c r="GR54" s="403" t="s">
        <v>14674</v>
      </c>
      <c r="GS54" s="403"/>
      <c r="GT54" s="403"/>
      <c r="GU54" s="403"/>
      <c r="GV54" s="403"/>
      <c r="GW54" s="403"/>
      <c r="GX54" s="403"/>
      <c r="GY54" s="403"/>
      <c r="GZ54" s="403"/>
      <c r="HA54" s="403"/>
      <c r="HB54" s="403"/>
      <c r="HC54" s="403"/>
      <c r="HD54" s="403" t="s">
        <v>14681</v>
      </c>
      <c r="HE54" s="403"/>
      <c r="HF54" s="403"/>
      <c r="HG54" s="403"/>
      <c r="HH54" s="403" t="s">
        <v>14281</v>
      </c>
      <c r="HI54" s="403"/>
      <c r="HJ54" s="403"/>
      <c r="HK54" s="403"/>
      <c r="HL54" s="403"/>
      <c r="HM54" s="403"/>
      <c r="HN54" s="403"/>
      <c r="HO54" s="403"/>
      <c r="HP54" s="403"/>
      <c r="HQ54" s="403"/>
      <c r="HR54" s="403"/>
      <c r="HS54" s="403"/>
      <c r="HT54" s="403"/>
      <c r="HU54" s="403"/>
      <c r="HV54" s="403"/>
      <c r="HW54" s="403"/>
      <c r="HX54" s="403"/>
      <c r="HY54" s="403"/>
      <c r="HZ54" s="403" t="s">
        <v>14675</v>
      </c>
      <c r="IA54" s="403"/>
      <c r="IB54" s="403"/>
      <c r="IC54" s="403"/>
      <c r="ID54" s="403"/>
      <c r="IE54" s="403"/>
      <c r="IF54" s="403"/>
      <c r="IG54" s="403"/>
      <c r="IH54" s="403"/>
      <c r="II54" s="403"/>
      <c r="IJ54" s="403"/>
      <c r="IK54" s="403"/>
      <c r="IL54" s="403" t="s">
        <v>14682</v>
      </c>
      <c r="IM54" s="403"/>
      <c r="IN54" s="403"/>
      <c r="IO54" s="403"/>
      <c r="IP54" s="403" t="s">
        <v>14282</v>
      </c>
      <c r="IQ54" s="403"/>
      <c r="IR54" s="403"/>
      <c r="IS54" s="403"/>
      <c r="IT54" s="403"/>
      <c r="IU54" s="403"/>
      <c r="IV54" s="403"/>
      <c r="IW54" s="403"/>
      <c r="IX54" s="403"/>
      <c r="IY54" s="403"/>
      <c r="IZ54" s="403"/>
      <c r="JA54" s="403"/>
      <c r="JB54" s="403"/>
      <c r="JC54" s="403"/>
      <c r="JD54" s="403"/>
      <c r="JE54" s="403"/>
      <c r="JF54" s="403"/>
      <c r="JG54" s="403"/>
      <c r="JH54" s="403" t="s">
        <v>14676</v>
      </c>
      <c r="JI54" s="403"/>
      <c r="JJ54" s="403"/>
      <c r="JK54" s="403"/>
      <c r="JL54" s="403"/>
      <c r="JM54" s="403"/>
      <c r="JN54" s="403"/>
      <c r="JO54" s="403"/>
      <c r="JP54" s="403"/>
      <c r="JQ54" s="403"/>
      <c r="JR54" s="403"/>
      <c r="JS54" s="403"/>
      <c r="JT54" s="403" t="s">
        <v>14683</v>
      </c>
    </row>
    <row r="55" spans="1:280" s="15" customFormat="1" x14ac:dyDescent="0.25">
      <c r="B55" s="622"/>
      <c r="C55" s="5"/>
      <c r="J55" s="41" t="str">
        <f t="shared" ref="J55:R55" ca="1" si="89">IF(OFFSET(BB55,0,Lang_Order*Lang__B5)="","",OFFSET(BB55,0,Lang_Order*Lang__B5))</f>
        <v>H1 2021</v>
      </c>
      <c r="K55" s="41" t="str">
        <f t="shared" ca="1" si="89"/>
        <v>H2 2021</v>
      </c>
      <c r="L55" s="41" t="str">
        <f t="shared" ca="1" si="89"/>
        <v>H1 2022</v>
      </c>
      <c r="M55" s="41" t="str">
        <f t="shared" ca="1" si="89"/>
        <v>H2 2022</v>
      </c>
      <c r="N55" s="41" t="str">
        <f t="shared" ca="1" si="89"/>
        <v>H1 2023</v>
      </c>
      <c r="O55" s="41" t="str">
        <f t="shared" ca="1" si="89"/>
        <v>H2 2023</v>
      </c>
      <c r="P55" s="41" t="str">
        <f t="shared" ca="1" si="89"/>
        <v>Total</v>
      </c>
      <c r="Q55" s="177" t="str">
        <f t="shared" ca="1" si="89"/>
        <v>Max</v>
      </c>
      <c r="R55" s="12" t="str">
        <f t="shared" ca="1" si="89"/>
        <v/>
      </c>
      <c r="S55" s="241"/>
      <c r="T55" s="241"/>
      <c r="U55" s="622"/>
      <c r="W55" s="249" t="str">
        <f t="shared" ref="W55:AD55" ca="1" si="90">IF(OFFSET(BB55,0,Lang_Order*Lang__B5)="","",OFFSET(BB55,0,Lang_Order*Lang__B5))</f>
        <v>H1 2021</v>
      </c>
      <c r="X55" s="249" t="str">
        <f t="shared" ca="1" si="90"/>
        <v>H2 2021</v>
      </c>
      <c r="Y55" s="249" t="str">
        <f t="shared" ca="1" si="90"/>
        <v>H1 2022</v>
      </c>
      <c r="Z55" s="249" t="str">
        <f t="shared" ca="1" si="90"/>
        <v>H2 2022</v>
      </c>
      <c r="AA55" s="249" t="str">
        <f t="shared" ca="1" si="90"/>
        <v>H1 2023</v>
      </c>
      <c r="AB55" s="249" t="str">
        <f t="shared" ca="1" si="90"/>
        <v>H2 2023</v>
      </c>
      <c r="AC55" s="249" t="str">
        <f t="shared" ca="1" si="90"/>
        <v>Total</v>
      </c>
      <c r="AD55" s="177" t="str">
        <f t="shared" ca="1" si="90"/>
        <v>Max</v>
      </c>
      <c r="AF55" s="241"/>
      <c r="AG55" s="622"/>
      <c r="AH55" s="241"/>
      <c r="AI55" s="249" t="str">
        <f t="shared" ref="AI55:AP55" ca="1" si="91">IF(OFFSET(BB55,0,Lang_Order*Lang__B5)="","",OFFSET(BB55,0,Lang_Order*Lang__B5))</f>
        <v>H1 2021</v>
      </c>
      <c r="AJ55" s="249" t="str">
        <f t="shared" ca="1" si="91"/>
        <v>H2 2021</v>
      </c>
      <c r="AK55" s="249" t="str">
        <f t="shared" ca="1" si="91"/>
        <v>H1 2022</v>
      </c>
      <c r="AL55" s="249" t="str">
        <f t="shared" ca="1" si="91"/>
        <v>H2 2022</v>
      </c>
      <c r="AM55" s="249" t="str">
        <f t="shared" ca="1" si="91"/>
        <v>H1 2023</v>
      </c>
      <c r="AN55" s="249" t="str">
        <f t="shared" ca="1" si="91"/>
        <v>H2 2023</v>
      </c>
      <c r="AO55" s="249" t="str">
        <f t="shared" ca="1" si="91"/>
        <v>Total</v>
      </c>
      <c r="AP55" s="177" t="str">
        <f t="shared" ca="1" si="91"/>
        <v>Max</v>
      </c>
      <c r="AR55" s="403"/>
      <c r="AS55" s="403"/>
      <c r="AT55" s="403"/>
      <c r="AU55" s="403"/>
      <c r="AV55" s="403"/>
      <c r="AW55" s="403"/>
      <c r="AX55" s="403"/>
      <c r="AY55" s="403"/>
      <c r="AZ55" s="403"/>
      <c r="BA55" s="403"/>
      <c r="BB55" s="403" t="s">
        <v>1597</v>
      </c>
      <c r="BC55" s="403" t="s">
        <v>1598</v>
      </c>
      <c r="BD55" s="403" t="s">
        <v>1599</v>
      </c>
      <c r="BE55" s="403" t="s">
        <v>1600</v>
      </c>
      <c r="BF55" s="403" t="s">
        <v>1602</v>
      </c>
      <c r="BG55" s="403" t="s">
        <v>1601</v>
      </c>
      <c r="BH55" s="403" t="s">
        <v>1605</v>
      </c>
      <c r="BI55" s="403" t="s">
        <v>2709</v>
      </c>
      <c r="BJ55" s="403"/>
      <c r="BK55" s="403"/>
      <c r="BL55" s="403"/>
      <c r="BM55" s="403"/>
      <c r="BN55" s="403"/>
      <c r="BO55" s="403"/>
      <c r="BP55" s="403"/>
      <c r="BQ55" s="403"/>
      <c r="BR55" s="403"/>
      <c r="BS55" s="403"/>
      <c r="BT55" s="403"/>
      <c r="BU55" s="403"/>
      <c r="BV55" s="403"/>
      <c r="BW55" s="403"/>
      <c r="BX55" s="403"/>
      <c r="BY55" s="403"/>
      <c r="BZ55" s="403"/>
      <c r="CA55" s="403"/>
      <c r="CB55" s="403"/>
      <c r="CC55" s="403"/>
      <c r="CD55" s="403"/>
      <c r="CE55" s="403"/>
      <c r="CF55" s="403"/>
      <c r="CG55" s="403"/>
      <c r="CH55" s="403"/>
      <c r="CI55" s="403"/>
      <c r="CJ55" s="403" t="s">
        <v>4663</v>
      </c>
      <c r="CK55" s="403" t="s">
        <v>4664</v>
      </c>
      <c r="CL55" s="403" t="s">
        <v>4665</v>
      </c>
      <c r="CM55" s="403" t="s">
        <v>4666</v>
      </c>
      <c r="CN55" s="403" t="s">
        <v>4667</v>
      </c>
      <c r="CO55" s="403" t="s">
        <v>4668</v>
      </c>
      <c r="CP55" s="403" t="s">
        <v>1605</v>
      </c>
      <c r="CQ55" s="403" t="s">
        <v>2709</v>
      </c>
      <c r="CR55" s="403"/>
      <c r="CS55" s="403"/>
      <c r="CT55" s="403"/>
      <c r="CU55" s="403"/>
      <c r="CV55" s="403"/>
      <c r="CW55" s="403"/>
      <c r="CX55" s="403"/>
      <c r="CY55" s="403"/>
      <c r="CZ55" s="403"/>
      <c r="DA55" s="403"/>
      <c r="DB55" s="403"/>
      <c r="DC55" s="403"/>
      <c r="DD55" s="403"/>
      <c r="DE55" s="403"/>
      <c r="DF55" s="403"/>
      <c r="DG55" s="403"/>
      <c r="DH55" s="403"/>
      <c r="DI55" s="403"/>
      <c r="DJ55" s="403"/>
      <c r="DK55" s="403"/>
      <c r="DL55" s="403"/>
      <c r="DM55" s="403"/>
      <c r="DN55" s="403"/>
      <c r="DO55" s="403"/>
      <c r="DP55" s="403"/>
      <c r="DQ55" s="403"/>
      <c r="DR55" s="403" t="s">
        <v>4670</v>
      </c>
      <c r="DS55" s="403" t="s">
        <v>4671</v>
      </c>
      <c r="DT55" s="403" t="s">
        <v>4672</v>
      </c>
      <c r="DU55" s="403" t="s">
        <v>4673</v>
      </c>
      <c r="DV55" s="403" t="s">
        <v>4674</v>
      </c>
      <c r="DW55" s="403" t="s">
        <v>4675</v>
      </c>
      <c r="DX55" s="403" t="s">
        <v>4676</v>
      </c>
      <c r="DY55" s="403" t="s">
        <v>10072</v>
      </c>
      <c r="DZ55" s="403"/>
      <c r="EA55" s="403"/>
      <c r="EB55" s="403"/>
      <c r="EC55" s="403"/>
      <c r="ED55" s="403"/>
      <c r="EE55" s="403"/>
      <c r="EF55" s="403"/>
      <c r="EG55" s="403"/>
      <c r="EH55" s="403"/>
      <c r="EI55" s="403"/>
      <c r="EJ55" s="403"/>
      <c r="EK55" s="403"/>
      <c r="EL55" s="403"/>
      <c r="EM55" s="403"/>
      <c r="EN55" s="403"/>
      <c r="EO55" s="403"/>
      <c r="EP55" s="403"/>
      <c r="EQ55" s="403"/>
      <c r="ER55" s="403"/>
      <c r="ES55" s="403"/>
      <c r="ET55" s="403"/>
      <c r="EU55" s="403"/>
      <c r="EV55" s="403"/>
      <c r="EW55" s="403"/>
      <c r="EX55" s="403"/>
      <c r="EY55" s="403"/>
      <c r="EZ55" s="403" t="s">
        <v>1597</v>
      </c>
      <c r="FA55" s="403" t="s">
        <v>1598</v>
      </c>
      <c r="FB55" s="403" t="s">
        <v>1599</v>
      </c>
      <c r="FC55" s="403" t="s">
        <v>1600</v>
      </c>
      <c r="FD55" s="403" t="s">
        <v>1602</v>
      </c>
      <c r="FE55" s="403" t="s">
        <v>1601</v>
      </c>
      <c r="FF55" s="403" t="s">
        <v>1605</v>
      </c>
      <c r="FG55" s="403" t="s">
        <v>2709</v>
      </c>
      <c r="FH55" s="403"/>
      <c r="FI55" s="403"/>
      <c r="FJ55" s="403"/>
      <c r="FK55" s="403"/>
      <c r="FL55" s="403"/>
      <c r="FM55" s="403"/>
      <c r="FN55" s="403"/>
      <c r="FO55" s="403"/>
      <c r="FP55" s="403"/>
      <c r="FQ55" s="403"/>
      <c r="FR55" s="403"/>
      <c r="FS55" s="403"/>
      <c r="FT55" s="403"/>
      <c r="FU55" s="403"/>
      <c r="FV55" s="403"/>
      <c r="FW55" s="403"/>
      <c r="FX55" s="403"/>
      <c r="FY55" s="403"/>
      <c r="FZ55" s="403"/>
      <c r="GA55" s="403"/>
      <c r="GB55" s="403"/>
      <c r="GC55" s="403"/>
      <c r="GD55" s="403"/>
      <c r="GE55" s="403"/>
      <c r="GF55" s="403"/>
      <c r="GG55" s="403"/>
      <c r="GH55" s="403" t="s">
        <v>4663</v>
      </c>
      <c r="GI55" s="403" t="s">
        <v>4664</v>
      </c>
      <c r="GJ55" s="403" t="s">
        <v>4665</v>
      </c>
      <c r="GK55" s="403" t="s">
        <v>4666</v>
      </c>
      <c r="GL55" s="403" t="s">
        <v>4667</v>
      </c>
      <c r="GM55" s="403" t="s">
        <v>4668</v>
      </c>
      <c r="GN55" s="403" t="s">
        <v>1605</v>
      </c>
      <c r="GO55" s="403" t="s">
        <v>10073</v>
      </c>
      <c r="GP55" s="403"/>
      <c r="GQ55" s="403"/>
      <c r="GR55" s="403"/>
      <c r="GS55" s="403"/>
      <c r="GT55" s="403"/>
      <c r="GU55" s="403"/>
      <c r="GV55" s="403"/>
      <c r="GW55" s="403"/>
      <c r="GX55" s="403"/>
      <c r="GY55" s="403"/>
      <c r="GZ55" s="403"/>
      <c r="HA55" s="403"/>
      <c r="HB55" s="403"/>
      <c r="HC55" s="403"/>
      <c r="HD55" s="403"/>
      <c r="HE55" s="403"/>
      <c r="HF55" s="403"/>
      <c r="HG55" s="403"/>
      <c r="HH55" s="403"/>
      <c r="HI55" s="403"/>
      <c r="HJ55" s="403"/>
      <c r="HK55" s="403"/>
      <c r="HL55" s="403"/>
      <c r="HM55" s="403"/>
      <c r="HN55" s="403"/>
      <c r="HO55" s="403"/>
      <c r="HP55" s="403" t="s">
        <v>4680</v>
      </c>
      <c r="HQ55" s="403" t="s">
        <v>4681</v>
      </c>
      <c r="HR55" s="403" t="s">
        <v>4682</v>
      </c>
      <c r="HS55" s="403" t="s">
        <v>4683</v>
      </c>
      <c r="HT55" s="403" t="s">
        <v>4684</v>
      </c>
      <c r="HU55" s="403" t="s">
        <v>4685</v>
      </c>
      <c r="HV55" s="403" t="s">
        <v>4686</v>
      </c>
      <c r="HW55" s="403" t="s">
        <v>10074</v>
      </c>
      <c r="HX55" s="403"/>
      <c r="HY55" s="403"/>
      <c r="HZ55" s="403"/>
      <c r="IA55" s="403"/>
      <c r="IB55" s="403"/>
      <c r="IC55" s="403"/>
      <c r="ID55" s="403"/>
      <c r="IE55" s="403"/>
      <c r="IF55" s="403"/>
      <c r="IG55" s="403"/>
      <c r="IH55" s="403"/>
      <c r="II55" s="403"/>
      <c r="IJ55" s="403"/>
      <c r="IK55" s="403"/>
      <c r="IL55" s="403"/>
      <c r="IM55" s="403"/>
      <c r="IN55" s="403"/>
      <c r="IO55" s="403"/>
      <c r="IP55" s="403"/>
      <c r="IQ55" s="403"/>
      <c r="IR55" s="403"/>
      <c r="IS55" s="403"/>
      <c r="IT55" s="403"/>
      <c r="IU55" s="403"/>
      <c r="IV55" s="403"/>
      <c r="IW55" s="403"/>
      <c r="IX55" s="403" t="s">
        <v>4688</v>
      </c>
      <c r="IY55" s="403" t="s">
        <v>4689</v>
      </c>
      <c r="IZ55" s="403" t="s">
        <v>4690</v>
      </c>
      <c r="JA55" s="403" t="s">
        <v>4691</v>
      </c>
      <c r="JB55" s="403" t="s">
        <v>4692</v>
      </c>
      <c r="JC55" s="403" t="s">
        <v>4693</v>
      </c>
      <c r="JD55" s="403" t="s">
        <v>4694</v>
      </c>
      <c r="JE55" s="403" t="s">
        <v>10075</v>
      </c>
      <c r="JF55" s="403"/>
      <c r="JG55" s="403"/>
      <c r="JH55" s="403"/>
      <c r="JI55" s="403"/>
      <c r="JJ55" s="403"/>
      <c r="JK55" s="403"/>
      <c r="JL55" s="403"/>
      <c r="JM55" s="403"/>
      <c r="JN55" s="403"/>
      <c r="JO55" s="403"/>
      <c r="JP55" s="403"/>
      <c r="JQ55" s="403"/>
      <c r="JR55" s="403"/>
      <c r="JS55" s="403"/>
      <c r="JT55" s="403"/>
    </row>
    <row r="56" spans="1:280" s="15" customFormat="1" ht="12.75" x14ac:dyDescent="0.2">
      <c r="A56" s="150"/>
      <c r="B56" s="622"/>
      <c r="C56" s="5" t="str">
        <f t="shared" ref="C56:C63" ca="1" si="92">IF(OFFSET(AU56,0,Lang_Order*Lang__B5)="","",OFFSET(AU56,0,Lang_Order*Lang__B5))</f>
        <v>Current vaccinators</v>
      </c>
      <c r="I56" s="2">
        <v>0</v>
      </c>
      <c r="J56" s="15" t="e">
        <f t="shared" ref="J56:O56" si="93">J101+J153+J201+J258</f>
        <v>#N/A</v>
      </c>
      <c r="K56" s="15" t="e">
        <f t="shared" si="93"/>
        <v>#N/A</v>
      </c>
      <c r="L56" s="15" t="e">
        <f t="shared" si="93"/>
        <v>#N/A</v>
      </c>
      <c r="M56" s="15" t="e">
        <f t="shared" si="93"/>
        <v>#N/A</v>
      </c>
      <c r="N56" s="15" t="e">
        <f t="shared" si="93"/>
        <v>#N/A</v>
      </c>
      <c r="O56" s="15" t="e">
        <f t="shared" si="93"/>
        <v>#N/A</v>
      </c>
      <c r="Q56" s="250" t="e">
        <f>MAX(J56:O56)</f>
        <v>#N/A</v>
      </c>
      <c r="R56" s="12" t="str">
        <f t="shared" ref="R56:R84" ca="1" si="94">IF(OFFSET(BJ56,0,Lang_Order*Lang__B5)="","",OFFSET(BJ56,0,Lang_Order*Lang__B5))</f>
        <v/>
      </c>
      <c r="S56" s="241"/>
      <c r="T56" s="241"/>
      <c r="U56" s="622"/>
      <c r="V56" s="72" t="str">
        <f t="shared" ref="V56:V63" ca="1" si="95">IF(OFFSET(AU56,0,Lang_Order*Lang__B5)="","",OFFSET(AU56,0,Lang_Order*Lang__B5))</f>
        <v>Current vaccinators</v>
      </c>
      <c r="W56" s="241" t="e">
        <f t="shared" ref="W56:AB56" si="96">W101+W153+W201+W258</f>
        <v>#N/A</v>
      </c>
      <c r="X56" s="241" t="e">
        <f t="shared" si="96"/>
        <v>#N/A</v>
      </c>
      <c r="Y56" s="241" t="e">
        <f t="shared" si="96"/>
        <v>#N/A</v>
      </c>
      <c r="Z56" s="241" t="e">
        <f t="shared" si="96"/>
        <v>#N/A</v>
      </c>
      <c r="AA56" s="241" t="e">
        <f t="shared" si="96"/>
        <v>#N/A</v>
      </c>
      <c r="AB56" s="241" t="e">
        <f t="shared" si="96"/>
        <v>#N/A</v>
      </c>
      <c r="AC56" s="241"/>
      <c r="AD56" s="250" t="e">
        <f>MAX(W56:AB56)</f>
        <v>#N/A</v>
      </c>
      <c r="AF56" s="241"/>
      <c r="AG56" s="622"/>
      <c r="AH56" s="72" t="str">
        <f t="shared" ref="AH56:AH63" ca="1" si="97">IF(OFFSET(AU56,0,Lang_Order*Lang__B5)="","",OFFSET(AU56,0,Lang_Order*Lang__B5))</f>
        <v>Current vaccinators</v>
      </c>
      <c r="AI56" s="241" t="e">
        <f t="shared" ref="AI56:AN56" si="98">AI101+AI153+AI201+AI258</f>
        <v>#N/A</v>
      </c>
      <c r="AJ56" s="241" t="e">
        <f t="shared" si="98"/>
        <v>#N/A</v>
      </c>
      <c r="AK56" s="241" t="e">
        <f t="shared" si="98"/>
        <v>#N/A</v>
      </c>
      <c r="AL56" s="241" t="e">
        <f t="shared" si="98"/>
        <v>#N/A</v>
      </c>
      <c r="AM56" s="241" t="e">
        <f t="shared" si="98"/>
        <v>#N/A</v>
      </c>
      <c r="AN56" s="241" t="e">
        <f t="shared" si="98"/>
        <v>#N/A</v>
      </c>
      <c r="AO56" s="241"/>
      <c r="AP56" s="250" t="e">
        <f>MAX(AI56:AN56)</f>
        <v>#N/A</v>
      </c>
      <c r="AR56" s="403"/>
      <c r="AS56" s="403"/>
      <c r="AT56" s="403"/>
      <c r="AU56" s="403" t="s">
        <v>2178</v>
      </c>
      <c r="AV56" s="403"/>
      <c r="AW56" s="403"/>
      <c r="AX56" s="403"/>
      <c r="AY56" s="403"/>
      <c r="AZ56" s="403"/>
      <c r="BA56" s="403"/>
      <c r="BB56" s="403"/>
      <c r="BC56" s="403"/>
      <c r="BD56" s="403"/>
      <c r="BE56" s="403"/>
      <c r="BF56" s="403"/>
      <c r="BG56" s="403"/>
      <c r="BH56" s="403"/>
      <c r="BI56" s="403"/>
      <c r="BJ56" s="403"/>
      <c r="BK56" s="403"/>
      <c r="BL56" s="403"/>
      <c r="BM56" s="403"/>
      <c r="BN56" s="403"/>
      <c r="BO56" s="403"/>
      <c r="BP56" s="403"/>
      <c r="BQ56" s="403"/>
      <c r="BR56" s="403"/>
      <c r="BS56" s="403"/>
      <c r="BT56" s="403"/>
      <c r="BU56" s="403"/>
      <c r="BV56" s="403"/>
      <c r="BW56" s="403"/>
      <c r="BX56" s="403"/>
      <c r="BY56" s="403"/>
      <c r="BZ56" s="403"/>
      <c r="CA56" s="403"/>
      <c r="CB56" s="403"/>
      <c r="CC56" s="403" t="s">
        <v>11660</v>
      </c>
      <c r="CD56" s="403"/>
      <c r="CE56" s="403"/>
      <c r="CF56" s="403"/>
      <c r="CG56" s="403"/>
      <c r="CH56" s="403"/>
      <c r="CI56" s="403"/>
      <c r="CJ56" s="403"/>
      <c r="CK56" s="403"/>
      <c r="CL56" s="403"/>
      <c r="CM56" s="403"/>
      <c r="CN56" s="403"/>
      <c r="CO56" s="403"/>
      <c r="CP56" s="403"/>
      <c r="CQ56" s="403"/>
      <c r="CR56" s="403"/>
      <c r="CS56" s="403"/>
      <c r="CT56" s="403"/>
      <c r="CU56" s="403"/>
      <c r="CV56" s="403"/>
      <c r="CW56" s="403"/>
      <c r="CX56" s="403"/>
      <c r="CY56" s="403"/>
      <c r="CZ56" s="403"/>
      <c r="DA56" s="403"/>
      <c r="DB56" s="403"/>
      <c r="DC56" s="403"/>
      <c r="DD56" s="403"/>
      <c r="DE56" s="403"/>
      <c r="DF56" s="403"/>
      <c r="DG56" s="403"/>
      <c r="DH56" s="403"/>
      <c r="DI56" s="403"/>
      <c r="DJ56" s="403"/>
      <c r="DK56" s="403" t="s">
        <v>11661</v>
      </c>
      <c r="DL56" s="403"/>
      <c r="DM56" s="403"/>
      <c r="DN56" s="403"/>
      <c r="DO56" s="403"/>
      <c r="DP56" s="403"/>
      <c r="DQ56" s="403"/>
      <c r="DR56" s="403"/>
      <c r="DS56" s="403"/>
      <c r="DT56" s="403"/>
      <c r="DU56" s="403"/>
      <c r="DV56" s="403"/>
      <c r="DW56" s="403"/>
      <c r="DX56" s="403"/>
      <c r="DY56" s="403"/>
      <c r="DZ56" s="403"/>
      <c r="EA56" s="403"/>
      <c r="EB56" s="403"/>
      <c r="EC56" s="403"/>
      <c r="ED56" s="403"/>
      <c r="EE56" s="403"/>
      <c r="EF56" s="403"/>
      <c r="EG56" s="403"/>
      <c r="EH56" s="403"/>
      <c r="EI56" s="403"/>
      <c r="EJ56" s="403"/>
      <c r="EK56" s="403"/>
      <c r="EL56" s="403"/>
      <c r="EM56" s="403"/>
      <c r="EN56" s="403"/>
      <c r="EO56" s="403"/>
      <c r="EP56" s="403"/>
      <c r="EQ56" s="403"/>
      <c r="ER56" s="403"/>
      <c r="ES56" s="403" t="s">
        <v>11662</v>
      </c>
      <c r="ET56" s="403"/>
      <c r="EU56" s="403"/>
      <c r="EV56" s="403"/>
      <c r="EW56" s="403"/>
      <c r="EX56" s="403"/>
      <c r="EY56" s="403"/>
      <c r="EZ56" s="403"/>
      <c r="FA56" s="403"/>
      <c r="FB56" s="403"/>
      <c r="FC56" s="403"/>
      <c r="FD56" s="403"/>
      <c r="FE56" s="403"/>
      <c r="FF56" s="403"/>
      <c r="FG56" s="403"/>
      <c r="FH56" s="403"/>
      <c r="FI56" s="403"/>
      <c r="FJ56" s="403"/>
      <c r="FK56" s="403"/>
      <c r="FL56" s="403"/>
      <c r="FM56" s="403"/>
      <c r="FN56" s="403"/>
      <c r="FO56" s="403"/>
      <c r="FP56" s="403"/>
      <c r="FQ56" s="403"/>
      <c r="FR56" s="403"/>
      <c r="FS56" s="403"/>
      <c r="FT56" s="403"/>
      <c r="FU56" s="403"/>
      <c r="FV56" s="403"/>
      <c r="FW56" s="403"/>
      <c r="FX56" s="403"/>
      <c r="FY56" s="403"/>
      <c r="FZ56" s="403"/>
      <c r="GA56" s="403" t="s">
        <v>11663</v>
      </c>
      <c r="GB56" s="403"/>
      <c r="GC56" s="403"/>
      <c r="GD56" s="403"/>
      <c r="GE56" s="403"/>
      <c r="GF56" s="403"/>
      <c r="GG56" s="403"/>
      <c r="GH56" s="403"/>
      <c r="GI56" s="403"/>
      <c r="GJ56" s="403"/>
      <c r="GK56" s="403"/>
      <c r="GL56" s="403"/>
      <c r="GM56" s="403"/>
      <c r="GN56" s="403"/>
      <c r="GO56" s="403"/>
      <c r="GP56" s="403"/>
      <c r="GQ56" s="403"/>
      <c r="GR56" s="403"/>
      <c r="GS56" s="403"/>
      <c r="GT56" s="403"/>
      <c r="GU56" s="403"/>
      <c r="GV56" s="403"/>
      <c r="GW56" s="403"/>
      <c r="GX56" s="403"/>
      <c r="GY56" s="403"/>
      <c r="GZ56" s="403"/>
      <c r="HA56" s="403"/>
      <c r="HB56" s="403"/>
      <c r="HC56" s="403"/>
      <c r="HD56" s="403"/>
      <c r="HE56" s="403"/>
      <c r="HF56" s="403"/>
      <c r="HG56" s="403"/>
      <c r="HH56" s="403"/>
      <c r="HI56" s="403" t="s">
        <v>11664</v>
      </c>
      <c r="HJ56" s="403"/>
      <c r="HK56" s="403"/>
      <c r="HL56" s="403"/>
      <c r="HM56" s="403"/>
      <c r="HN56" s="403"/>
      <c r="HO56" s="403"/>
      <c r="HP56" s="403"/>
      <c r="HQ56" s="403"/>
      <c r="HR56" s="403"/>
      <c r="HS56" s="403"/>
      <c r="HT56" s="403"/>
      <c r="HU56" s="403"/>
      <c r="HV56" s="403"/>
      <c r="HW56" s="403"/>
      <c r="HX56" s="403"/>
      <c r="HY56" s="403"/>
      <c r="HZ56" s="403"/>
      <c r="IA56" s="403"/>
      <c r="IB56" s="403"/>
      <c r="IC56" s="403"/>
      <c r="ID56" s="403"/>
      <c r="IE56" s="403"/>
      <c r="IF56" s="403"/>
      <c r="IG56" s="403"/>
      <c r="IH56" s="403"/>
      <c r="II56" s="403"/>
      <c r="IJ56" s="403"/>
      <c r="IK56" s="403"/>
      <c r="IL56" s="403"/>
      <c r="IM56" s="403"/>
      <c r="IN56" s="403"/>
      <c r="IO56" s="403"/>
      <c r="IP56" s="403"/>
      <c r="IQ56" s="403" t="s">
        <v>11665</v>
      </c>
      <c r="IR56" s="403"/>
      <c r="IS56" s="403"/>
      <c r="IT56" s="403"/>
      <c r="IU56" s="403"/>
      <c r="IV56" s="403"/>
      <c r="IW56" s="403"/>
      <c r="IX56" s="403"/>
      <c r="IY56" s="403"/>
      <c r="IZ56" s="403"/>
      <c r="JA56" s="403"/>
      <c r="JB56" s="403"/>
      <c r="JC56" s="403"/>
      <c r="JD56" s="403"/>
      <c r="JE56" s="403"/>
      <c r="JF56" s="403"/>
      <c r="JG56" s="403"/>
      <c r="JH56" s="403"/>
      <c r="JI56" s="403"/>
      <c r="JJ56" s="403"/>
      <c r="JK56" s="403"/>
      <c r="JL56" s="403"/>
      <c r="JM56" s="403"/>
      <c r="JN56" s="403"/>
      <c r="JO56" s="403"/>
      <c r="JP56" s="403"/>
      <c r="JQ56" s="403"/>
      <c r="JR56" s="403"/>
      <c r="JS56" s="403"/>
      <c r="JT56" s="403"/>
    </row>
    <row r="57" spans="1:280" s="15" customFormat="1" ht="12.75" x14ac:dyDescent="0.2">
      <c r="B57" s="622"/>
      <c r="C57" s="5" t="str">
        <f t="shared" ca="1" si="92"/>
        <v>New additional vaccinators per period</v>
      </c>
      <c r="J57" s="26" t="e">
        <f t="shared" ref="J57:O57" si="99">IF(J56-I56&gt;=0,J56-I56,0)</f>
        <v>#N/A</v>
      </c>
      <c r="K57" s="26" t="e">
        <f t="shared" si="99"/>
        <v>#N/A</v>
      </c>
      <c r="L57" s="26" t="e">
        <f t="shared" si="99"/>
        <v>#N/A</v>
      </c>
      <c r="M57" s="26" t="e">
        <f t="shared" si="99"/>
        <v>#N/A</v>
      </c>
      <c r="N57" s="26" t="e">
        <f t="shared" si="99"/>
        <v>#N/A</v>
      </c>
      <c r="O57" s="26" t="e">
        <f t="shared" si="99"/>
        <v>#N/A</v>
      </c>
      <c r="P57" s="16" t="e">
        <f>SUM(J57:O57)</f>
        <v>#N/A</v>
      </c>
      <c r="Q57" s="16"/>
      <c r="R57" s="12" t="str">
        <f t="shared" ca="1" si="94"/>
        <v>Decomissioned vaccinators would need to be retrained, re-PPE'ed</v>
      </c>
      <c r="S57" s="241"/>
      <c r="T57" s="241"/>
      <c r="U57" s="622"/>
      <c r="V57" s="72" t="str">
        <f t="shared" ca="1" si="95"/>
        <v>New additional vaccinators per period</v>
      </c>
      <c r="W57" s="26" t="e">
        <f>IF(W56-I56&gt;=0,W56-I56,0)</f>
        <v>#N/A</v>
      </c>
      <c r="X57" s="26" t="e">
        <f t="shared" ref="X57" si="100">IF(X56-W56&gt;=0,X56-W56,0)</f>
        <v>#N/A</v>
      </c>
      <c r="Y57" s="26" t="e">
        <f t="shared" ref="Y57" si="101">IF(Y56-X56&gt;=0,Y56-X56,0)</f>
        <v>#N/A</v>
      </c>
      <c r="Z57" s="26" t="e">
        <f t="shared" ref="Z57" si="102">IF(Z56-Y56&gt;=0,Z56-Y56,0)</f>
        <v>#N/A</v>
      </c>
      <c r="AA57" s="26" t="e">
        <f t="shared" ref="AA57" si="103">IF(AA56-Z56&gt;=0,AA56-Z56,0)</f>
        <v>#N/A</v>
      </c>
      <c r="AB57" s="26" t="e">
        <f t="shared" ref="AB57" si="104">IF(AB56-AA56&gt;=0,AB56-AA56,0)</f>
        <v>#N/A</v>
      </c>
      <c r="AC57" s="16"/>
      <c r="AD57" s="16"/>
      <c r="AF57" s="241"/>
      <c r="AG57" s="622"/>
      <c r="AH57" s="72" t="str">
        <f t="shared" ca="1" si="97"/>
        <v>New additional vaccinators per period</v>
      </c>
      <c r="AI57" s="26" t="e">
        <f>IF(AI56-I56&gt;=0,AI56-I56,0)</f>
        <v>#N/A</v>
      </c>
      <c r="AJ57" s="26" t="e">
        <f t="shared" ref="AJ57" si="105">IF(AJ56-AI56&gt;=0,AJ56-AI56,0)</f>
        <v>#N/A</v>
      </c>
      <c r="AK57" s="26" t="e">
        <f t="shared" ref="AK57" si="106">IF(AK56-AJ56&gt;=0,AK56-AJ56,0)</f>
        <v>#N/A</v>
      </c>
      <c r="AL57" s="26" t="e">
        <f t="shared" ref="AL57" si="107">IF(AL56-AK56&gt;=0,AL56-AK56,0)</f>
        <v>#N/A</v>
      </c>
      <c r="AM57" s="26" t="e">
        <f t="shared" ref="AM57" si="108">IF(AM56-AL56&gt;=0,AM56-AL56,0)</f>
        <v>#N/A</v>
      </c>
      <c r="AN57" s="26" t="e">
        <f t="shared" ref="AN57" si="109">IF(AN56-AM56&gt;=0,AN56-AM56,0)</f>
        <v>#N/A</v>
      </c>
      <c r="AO57" s="16"/>
      <c r="AP57" s="16"/>
      <c r="AR57" s="403"/>
      <c r="AS57" s="403"/>
      <c r="AT57" s="403"/>
      <c r="AU57" s="403" t="s">
        <v>1664</v>
      </c>
      <c r="AV57" s="403"/>
      <c r="AW57" s="403"/>
      <c r="AX57" s="403"/>
      <c r="AY57" s="403"/>
      <c r="AZ57" s="403"/>
      <c r="BA57" s="403"/>
      <c r="BB57" s="403"/>
      <c r="BC57" s="403"/>
      <c r="BD57" s="403"/>
      <c r="BE57" s="403"/>
      <c r="BF57" s="403"/>
      <c r="BG57" s="403"/>
      <c r="BH57" s="403"/>
      <c r="BI57" s="403"/>
      <c r="BJ57" s="403" t="s">
        <v>2179</v>
      </c>
      <c r="BK57" s="403"/>
      <c r="BL57" s="403"/>
      <c r="BM57" s="403"/>
      <c r="BN57" s="403"/>
      <c r="BO57" s="403"/>
      <c r="BP57" s="403"/>
      <c r="BQ57" s="403"/>
      <c r="BR57" s="403"/>
      <c r="BS57" s="403"/>
      <c r="BT57" s="403"/>
      <c r="BU57" s="403"/>
      <c r="BV57" s="403"/>
      <c r="BW57" s="403"/>
      <c r="BX57" s="403"/>
      <c r="BY57" s="403"/>
      <c r="BZ57" s="403"/>
      <c r="CA57" s="403"/>
      <c r="CB57" s="403"/>
      <c r="CC57" s="403" t="s">
        <v>11666</v>
      </c>
      <c r="CD57" s="403"/>
      <c r="CE57" s="403"/>
      <c r="CF57" s="403"/>
      <c r="CG57" s="403"/>
      <c r="CH57" s="403"/>
      <c r="CI57" s="403"/>
      <c r="CJ57" s="403"/>
      <c r="CK57" s="403"/>
      <c r="CL57" s="403"/>
      <c r="CM57" s="403"/>
      <c r="CN57" s="403"/>
      <c r="CO57" s="403"/>
      <c r="CP57" s="403"/>
      <c r="CQ57" s="403"/>
      <c r="CR57" s="403" t="s">
        <v>11667</v>
      </c>
      <c r="CS57" s="403"/>
      <c r="CT57" s="403"/>
      <c r="CU57" s="403"/>
      <c r="CV57" s="403"/>
      <c r="CW57" s="403"/>
      <c r="CX57" s="403"/>
      <c r="CY57" s="403"/>
      <c r="CZ57" s="403"/>
      <c r="DA57" s="403"/>
      <c r="DB57" s="403"/>
      <c r="DC57" s="403"/>
      <c r="DD57" s="403"/>
      <c r="DE57" s="403"/>
      <c r="DF57" s="403"/>
      <c r="DG57" s="403"/>
      <c r="DH57" s="403"/>
      <c r="DI57" s="403"/>
      <c r="DJ57" s="403"/>
      <c r="DK57" s="403" t="s">
        <v>11668</v>
      </c>
      <c r="DL57" s="403"/>
      <c r="DM57" s="403"/>
      <c r="DN57" s="403"/>
      <c r="DO57" s="403"/>
      <c r="DP57" s="403"/>
      <c r="DQ57" s="403"/>
      <c r="DR57" s="403"/>
      <c r="DS57" s="403"/>
      <c r="DT57" s="403"/>
      <c r="DU57" s="403"/>
      <c r="DV57" s="403"/>
      <c r="DW57" s="403"/>
      <c r="DX57" s="403"/>
      <c r="DY57" s="403"/>
      <c r="DZ57" s="403" t="s">
        <v>11669</v>
      </c>
      <c r="EA57" s="403"/>
      <c r="EB57" s="403"/>
      <c r="EC57" s="403"/>
      <c r="ED57" s="403"/>
      <c r="EE57" s="403"/>
      <c r="EF57" s="403"/>
      <c r="EG57" s="403"/>
      <c r="EH57" s="403"/>
      <c r="EI57" s="403"/>
      <c r="EJ57" s="403"/>
      <c r="EK57" s="403"/>
      <c r="EL57" s="403"/>
      <c r="EM57" s="403"/>
      <c r="EN57" s="403"/>
      <c r="EO57" s="403"/>
      <c r="EP57" s="403"/>
      <c r="EQ57" s="403"/>
      <c r="ER57" s="403"/>
      <c r="ES57" s="403" t="s">
        <v>11670</v>
      </c>
      <c r="ET57" s="403"/>
      <c r="EU57" s="403"/>
      <c r="EV57" s="403"/>
      <c r="EW57" s="403"/>
      <c r="EX57" s="403"/>
      <c r="EY57" s="403"/>
      <c r="EZ57" s="403"/>
      <c r="FA57" s="403"/>
      <c r="FB57" s="403"/>
      <c r="FC57" s="403"/>
      <c r="FD57" s="403"/>
      <c r="FE57" s="403"/>
      <c r="FF57" s="403"/>
      <c r="FG57" s="403"/>
      <c r="FH57" s="403" t="s">
        <v>11671</v>
      </c>
      <c r="FI57" s="403"/>
      <c r="FJ57" s="403"/>
      <c r="FK57" s="403"/>
      <c r="FL57" s="403"/>
      <c r="FM57" s="403"/>
      <c r="FN57" s="403"/>
      <c r="FO57" s="403"/>
      <c r="FP57" s="403"/>
      <c r="FQ57" s="403"/>
      <c r="FR57" s="403"/>
      <c r="FS57" s="403"/>
      <c r="FT57" s="403"/>
      <c r="FU57" s="403"/>
      <c r="FV57" s="403"/>
      <c r="FW57" s="403"/>
      <c r="FX57" s="403"/>
      <c r="FY57" s="403"/>
      <c r="FZ57" s="403"/>
      <c r="GA57" s="403" t="s">
        <v>11672</v>
      </c>
      <c r="GB57" s="403"/>
      <c r="GC57" s="403"/>
      <c r="GD57" s="403"/>
      <c r="GE57" s="403"/>
      <c r="GF57" s="403"/>
      <c r="GG57" s="403"/>
      <c r="GH57" s="403"/>
      <c r="GI57" s="403"/>
      <c r="GJ57" s="403"/>
      <c r="GK57" s="403"/>
      <c r="GL57" s="403"/>
      <c r="GM57" s="403"/>
      <c r="GN57" s="403"/>
      <c r="GO57" s="403"/>
      <c r="GP57" s="403" t="s">
        <v>11673</v>
      </c>
      <c r="GQ57" s="403"/>
      <c r="GR57" s="403"/>
      <c r="GS57" s="403"/>
      <c r="GT57" s="403"/>
      <c r="GU57" s="403"/>
      <c r="GV57" s="403"/>
      <c r="GW57" s="403"/>
      <c r="GX57" s="403"/>
      <c r="GY57" s="403"/>
      <c r="GZ57" s="403"/>
      <c r="HA57" s="403"/>
      <c r="HB57" s="403"/>
      <c r="HC57" s="403"/>
      <c r="HD57" s="403"/>
      <c r="HE57" s="403"/>
      <c r="HF57" s="403"/>
      <c r="HG57" s="403"/>
      <c r="HH57" s="403"/>
      <c r="HI57" s="403" t="s">
        <v>11674</v>
      </c>
      <c r="HJ57" s="403"/>
      <c r="HK57" s="403"/>
      <c r="HL57" s="403"/>
      <c r="HM57" s="403"/>
      <c r="HN57" s="403"/>
      <c r="HO57" s="403"/>
      <c r="HP57" s="403"/>
      <c r="HQ57" s="403"/>
      <c r="HR57" s="403"/>
      <c r="HS57" s="403"/>
      <c r="HT57" s="403"/>
      <c r="HU57" s="403"/>
      <c r="HV57" s="403"/>
      <c r="HW57" s="403"/>
      <c r="HX57" s="403" t="s">
        <v>11675</v>
      </c>
      <c r="HY57" s="403"/>
      <c r="HZ57" s="403"/>
      <c r="IA57" s="403"/>
      <c r="IB57" s="403"/>
      <c r="IC57" s="403"/>
      <c r="ID57" s="403"/>
      <c r="IE57" s="403"/>
      <c r="IF57" s="403"/>
      <c r="IG57" s="403"/>
      <c r="IH57" s="403"/>
      <c r="II57" s="403"/>
      <c r="IJ57" s="403"/>
      <c r="IK57" s="403"/>
      <c r="IL57" s="403"/>
      <c r="IM57" s="403"/>
      <c r="IN57" s="403"/>
      <c r="IO57" s="403"/>
      <c r="IP57" s="403"/>
      <c r="IQ57" s="403" t="s">
        <v>11676</v>
      </c>
      <c r="IR57" s="403"/>
      <c r="IS57" s="403"/>
      <c r="IT57" s="403"/>
      <c r="IU57" s="403"/>
      <c r="IV57" s="403"/>
      <c r="IW57" s="403"/>
      <c r="IX57" s="403"/>
      <c r="IY57" s="403"/>
      <c r="IZ57" s="403"/>
      <c r="JA57" s="403"/>
      <c r="JB57" s="403"/>
      <c r="JC57" s="403"/>
      <c r="JD57" s="403"/>
      <c r="JE57" s="403"/>
      <c r="JF57" s="403" t="s">
        <v>11677</v>
      </c>
      <c r="JG57" s="403"/>
      <c r="JH57" s="403"/>
      <c r="JI57" s="403"/>
      <c r="JJ57" s="403"/>
      <c r="JK57" s="403"/>
      <c r="JL57" s="403"/>
      <c r="JM57" s="403"/>
      <c r="JN57" s="403"/>
      <c r="JO57" s="403"/>
      <c r="JP57" s="403"/>
      <c r="JQ57" s="403"/>
      <c r="JR57" s="403"/>
      <c r="JS57" s="403"/>
      <c r="JT57" s="403"/>
    </row>
    <row r="58" spans="1:280" s="15" customFormat="1" ht="12.75" x14ac:dyDescent="0.2">
      <c r="B58" s="622"/>
      <c r="C58" s="5" t="str">
        <f t="shared" ca="1" si="92"/>
        <v>Total (across DMs) vaccinator hours</v>
      </c>
      <c r="J58" s="16" t="e">
        <f t="shared" ref="J58:O58" si="110">J110+J162+J210+J283</f>
        <v>#N/A</v>
      </c>
      <c r="K58" s="16" t="e">
        <f t="shared" si="110"/>
        <v>#N/A</v>
      </c>
      <c r="L58" s="16" t="e">
        <f t="shared" si="110"/>
        <v>#N/A</v>
      </c>
      <c r="M58" s="16" t="e">
        <f t="shared" si="110"/>
        <v>#N/A</v>
      </c>
      <c r="N58" s="16" t="e">
        <f t="shared" si="110"/>
        <v>#N/A</v>
      </c>
      <c r="O58" s="16" t="e">
        <f t="shared" si="110"/>
        <v>#N/A</v>
      </c>
      <c r="P58" s="16" t="e">
        <f>SUM(J58:O58)</f>
        <v>#N/A</v>
      </c>
      <c r="Q58" s="16"/>
      <c r="R58" s="12" t="str">
        <f t="shared" ca="1" si="94"/>
        <v/>
      </c>
      <c r="S58" s="241"/>
      <c r="T58" s="241"/>
      <c r="U58" s="622"/>
      <c r="V58" s="72" t="str">
        <f t="shared" ca="1" si="95"/>
        <v>Total (across DMs) vaccinator hours</v>
      </c>
      <c r="W58" s="16" t="e">
        <f t="shared" ref="W58:AB58" si="111">W110+W162+W210+W283</f>
        <v>#N/A</v>
      </c>
      <c r="X58" s="16" t="e">
        <f t="shared" si="111"/>
        <v>#N/A</v>
      </c>
      <c r="Y58" s="16" t="e">
        <f t="shared" si="111"/>
        <v>#N/A</v>
      </c>
      <c r="Z58" s="16" t="e">
        <f t="shared" si="111"/>
        <v>#N/A</v>
      </c>
      <c r="AA58" s="16" t="e">
        <f t="shared" si="111"/>
        <v>#N/A</v>
      </c>
      <c r="AB58" s="16" t="e">
        <f t="shared" si="111"/>
        <v>#N/A</v>
      </c>
      <c r="AC58" s="16" t="e">
        <f>SUM(W58:AB58)</f>
        <v>#N/A</v>
      </c>
      <c r="AD58" s="16"/>
      <c r="AF58" s="241"/>
      <c r="AG58" s="622"/>
      <c r="AH58" s="72" t="str">
        <f t="shared" ca="1" si="97"/>
        <v>Total (across DMs) vaccinator hours</v>
      </c>
      <c r="AI58" s="16" t="e">
        <f t="shared" ref="AI58:AN58" si="112">AI110+AI162+AI210+AI283</f>
        <v>#N/A</v>
      </c>
      <c r="AJ58" s="16" t="e">
        <f t="shared" si="112"/>
        <v>#N/A</v>
      </c>
      <c r="AK58" s="16" t="e">
        <f t="shared" si="112"/>
        <v>#N/A</v>
      </c>
      <c r="AL58" s="16" t="e">
        <f t="shared" si="112"/>
        <v>#N/A</v>
      </c>
      <c r="AM58" s="16" t="e">
        <f t="shared" si="112"/>
        <v>#N/A</v>
      </c>
      <c r="AN58" s="16" t="e">
        <f t="shared" si="112"/>
        <v>#N/A</v>
      </c>
      <c r="AO58" s="16" t="e">
        <f>SUM(AI58:AN58)</f>
        <v>#N/A</v>
      </c>
      <c r="AP58" s="16"/>
      <c r="AR58" s="403"/>
      <c r="AS58" s="403"/>
      <c r="AT58" s="403"/>
      <c r="AU58" s="403" t="s">
        <v>1667</v>
      </c>
      <c r="AV58" s="403"/>
      <c r="AW58" s="403"/>
      <c r="AX58" s="403"/>
      <c r="AY58" s="403"/>
      <c r="AZ58" s="403"/>
      <c r="BA58" s="403"/>
      <c r="BB58" s="403"/>
      <c r="BC58" s="403"/>
      <c r="BD58" s="403"/>
      <c r="BE58" s="403"/>
      <c r="BF58" s="403"/>
      <c r="BG58" s="403"/>
      <c r="BH58" s="403"/>
      <c r="BI58" s="403"/>
      <c r="BJ58" s="403"/>
      <c r="BK58" s="403"/>
      <c r="BL58" s="403"/>
      <c r="BM58" s="403"/>
      <c r="BN58" s="403"/>
      <c r="BO58" s="403"/>
      <c r="BP58" s="403"/>
      <c r="BQ58" s="403"/>
      <c r="BR58" s="403"/>
      <c r="BS58" s="403"/>
      <c r="BT58" s="403"/>
      <c r="BU58" s="403"/>
      <c r="BV58" s="403"/>
      <c r="BW58" s="403"/>
      <c r="BX58" s="403"/>
      <c r="BY58" s="403"/>
      <c r="BZ58" s="403"/>
      <c r="CA58" s="403"/>
      <c r="CB58" s="403"/>
      <c r="CC58" s="403"/>
      <c r="CD58" s="403"/>
      <c r="CE58" s="403"/>
      <c r="CF58" s="403"/>
      <c r="CG58" s="403"/>
      <c r="CH58" s="403"/>
      <c r="CI58" s="403"/>
      <c r="CJ58" s="403"/>
      <c r="CK58" s="403"/>
      <c r="CL58" s="403"/>
      <c r="CM58" s="403"/>
      <c r="CN58" s="403"/>
      <c r="CO58" s="403"/>
      <c r="CP58" s="403"/>
      <c r="CQ58" s="403"/>
      <c r="CR58" s="403"/>
      <c r="CS58" s="403"/>
      <c r="CT58" s="403"/>
      <c r="CU58" s="403"/>
      <c r="CV58" s="403"/>
      <c r="CW58" s="403"/>
      <c r="CX58" s="403"/>
      <c r="CY58" s="403"/>
      <c r="CZ58" s="403"/>
      <c r="DA58" s="403"/>
      <c r="DB58" s="403"/>
      <c r="DC58" s="403"/>
      <c r="DD58" s="403"/>
      <c r="DE58" s="403"/>
      <c r="DF58" s="403"/>
      <c r="DG58" s="403"/>
      <c r="DH58" s="403"/>
      <c r="DI58" s="403"/>
      <c r="DJ58" s="403"/>
      <c r="DK58" s="403" t="s">
        <v>11678</v>
      </c>
      <c r="DL58" s="403"/>
      <c r="DM58" s="403"/>
      <c r="DN58" s="403"/>
      <c r="DO58" s="403"/>
      <c r="DP58" s="403"/>
      <c r="DQ58" s="403"/>
      <c r="DR58" s="403"/>
      <c r="DS58" s="403"/>
      <c r="DT58" s="403"/>
      <c r="DU58" s="403"/>
      <c r="DV58" s="403"/>
      <c r="DW58" s="403"/>
      <c r="DX58" s="403"/>
      <c r="DY58" s="403"/>
      <c r="DZ58" s="403"/>
      <c r="EA58" s="403"/>
      <c r="EB58" s="403"/>
      <c r="EC58" s="403"/>
      <c r="ED58" s="403"/>
      <c r="EE58" s="403"/>
      <c r="EF58" s="403"/>
      <c r="EG58" s="403"/>
      <c r="EH58" s="403"/>
      <c r="EI58" s="403"/>
      <c r="EJ58" s="403"/>
      <c r="EK58" s="403"/>
      <c r="EL58" s="403"/>
      <c r="EM58" s="403"/>
      <c r="EN58" s="403"/>
      <c r="EO58" s="403"/>
      <c r="EP58" s="403"/>
      <c r="EQ58" s="403"/>
      <c r="ER58" s="403"/>
      <c r="ES58" s="403" t="s">
        <v>11679</v>
      </c>
      <c r="ET58" s="403"/>
      <c r="EU58" s="403"/>
      <c r="EV58" s="403"/>
      <c r="EW58" s="403"/>
      <c r="EX58" s="403"/>
      <c r="EY58" s="403"/>
      <c r="EZ58" s="403"/>
      <c r="FA58" s="403"/>
      <c r="FB58" s="403"/>
      <c r="FC58" s="403"/>
      <c r="FD58" s="403"/>
      <c r="FE58" s="403"/>
      <c r="FF58" s="403"/>
      <c r="FG58" s="403"/>
      <c r="FH58" s="403"/>
      <c r="FI58" s="403"/>
      <c r="FJ58" s="403"/>
      <c r="FK58" s="403"/>
      <c r="FL58" s="403"/>
      <c r="FM58" s="403"/>
      <c r="FN58" s="403"/>
      <c r="FO58" s="403"/>
      <c r="FP58" s="403"/>
      <c r="FQ58" s="403"/>
      <c r="FR58" s="403"/>
      <c r="FS58" s="403"/>
      <c r="FT58" s="403"/>
      <c r="FU58" s="403"/>
      <c r="FV58" s="403"/>
      <c r="FW58" s="403"/>
      <c r="FX58" s="403"/>
      <c r="FY58" s="403"/>
      <c r="FZ58" s="403"/>
      <c r="GA58" s="403" t="s">
        <v>11680</v>
      </c>
      <c r="GB58" s="403"/>
      <c r="GC58" s="403"/>
      <c r="GD58" s="403"/>
      <c r="GE58" s="403"/>
      <c r="GF58" s="403"/>
      <c r="GG58" s="403"/>
      <c r="GH58" s="403"/>
      <c r="GI58" s="403"/>
      <c r="GJ58" s="403"/>
      <c r="GK58" s="403"/>
      <c r="GL58" s="403"/>
      <c r="GM58" s="403"/>
      <c r="GN58" s="403"/>
      <c r="GO58" s="403"/>
      <c r="GP58" s="403"/>
      <c r="GQ58" s="403"/>
      <c r="GR58" s="403"/>
      <c r="GS58" s="403"/>
      <c r="GT58" s="403"/>
      <c r="GU58" s="403"/>
      <c r="GV58" s="403"/>
      <c r="GW58" s="403"/>
      <c r="GX58" s="403"/>
      <c r="GY58" s="403"/>
      <c r="GZ58" s="403"/>
      <c r="HA58" s="403"/>
      <c r="HB58" s="403"/>
      <c r="HC58" s="403"/>
      <c r="HD58" s="403"/>
      <c r="HE58" s="403"/>
      <c r="HF58" s="403"/>
      <c r="HG58" s="403"/>
      <c r="HH58" s="403"/>
      <c r="HI58" s="403" t="s">
        <v>11681</v>
      </c>
      <c r="HJ58" s="403"/>
      <c r="HK58" s="403"/>
      <c r="HL58" s="403"/>
      <c r="HM58" s="403"/>
      <c r="HN58" s="403"/>
      <c r="HO58" s="403"/>
      <c r="HP58" s="403"/>
      <c r="HQ58" s="403"/>
      <c r="HR58" s="403"/>
      <c r="HS58" s="403"/>
      <c r="HT58" s="403"/>
      <c r="HU58" s="403"/>
      <c r="HV58" s="403"/>
      <c r="HW58" s="403"/>
      <c r="HX58" s="403"/>
      <c r="HY58" s="403"/>
      <c r="HZ58" s="403"/>
      <c r="IA58" s="403"/>
      <c r="IB58" s="403"/>
      <c r="IC58" s="403"/>
      <c r="ID58" s="403"/>
      <c r="IE58" s="403"/>
      <c r="IF58" s="403"/>
      <c r="IG58" s="403"/>
      <c r="IH58" s="403"/>
      <c r="II58" s="403"/>
      <c r="IJ58" s="403"/>
      <c r="IK58" s="403"/>
      <c r="IL58" s="403"/>
      <c r="IM58" s="403"/>
      <c r="IN58" s="403"/>
      <c r="IO58" s="403"/>
      <c r="IP58" s="403"/>
      <c r="IQ58" s="403" t="s">
        <v>11682</v>
      </c>
      <c r="IR58" s="403"/>
      <c r="IS58" s="403"/>
      <c r="IT58" s="403"/>
      <c r="IU58" s="403"/>
      <c r="IV58" s="403"/>
      <c r="IW58" s="403"/>
      <c r="IX58" s="403"/>
      <c r="IY58" s="403"/>
      <c r="IZ58" s="403"/>
      <c r="JA58" s="403"/>
      <c r="JB58" s="403"/>
      <c r="JC58" s="403"/>
      <c r="JD58" s="403"/>
      <c r="JE58" s="403"/>
      <c r="JF58" s="403"/>
      <c r="JG58" s="403"/>
      <c r="JH58" s="403"/>
      <c r="JI58" s="403"/>
      <c r="JJ58" s="403"/>
      <c r="JK58" s="403"/>
      <c r="JL58" s="403"/>
      <c r="JM58" s="403"/>
      <c r="JN58" s="403"/>
      <c r="JO58" s="403"/>
      <c r="JP58" s="403"/>
      <c r="JQ58" s="403"/>
      <c r="JR58" s="403"/>
      <c r="JS58" s="403"/>
      <c r="JT58" s="403"/>
    </row>
    <row r="59" spans="1:280" s="15" customFormat="1" ht="12.75" x14ac:dyDescent="0.2">
      <c r="B59" s="622"/>
      <c r="C59" s="5" t="str">
        <f t="shared" ca="1" si="92"/>
        <v>Total Vaccinator-Days</v>
      </c>
      <c r="J59" s="16" t="e">
        <f>J109+J161+J209+J282</f>
        <v>#N/A</v>
      </c>
      <c r="K59" s="16" t="e">
        <f t="shared" ref="K59:O59" si="113">K109+K161+K209+K282</f>
        <v>#N/A</v>
      </c>
      <c r="L59" s="16" t="e">
        <f t="shared" si="113"/>
        <v>#N/A</v>
      </c>
      <c r="M59" s="16" t="e">
        <f t="shared" si="113"/>
        <v>#N/A</v>
      </c>
      <c r="N59" s="16" t="e">
        <f t="shared" si="113"/>
        <v>#N/A</v>
      </c>
      <c r="O59" s="16" t="e">
        <f t="shared" si="113"/>
        <v>#N/A</v>
      </c>
      <c r="P59" s="16" t="e">
        <f>SUM(J59:O59)</f>
        <v>#N/A</v>
      </c>
      <c r="Q59" s="16"/>
      <c r="R59" s="12" t="str">
        <f t="shared" ca="1" si="94"/>
        <v/>
      </c>
      <c r="S59" s="241"/>
      <c r="T59" s="241"/>
      <c r="U59" s="622"/>
      <c r="V59" s="72" t="str">
        <f t="shared" ca="1" si="95"/>
        <v>Total Vaccinator-Days</v>
      </c>
      <c r="W59" s="16" t="e">
        <f t="shared" ref="W59:AB59" si="114">W109+W161+W209+W282</f>
        <v>#N/A</v>
      </c>
      <c r="X59" s="16" t="e">
        <f t="shared" si="114"/>
        <v>#N/A</v>
      </c>
      <c r="Y59" s="16" t="e">
        <f t="shared" si="114"/>
        <v>#N/A</v>
      </c>
      <c r="Z59" s="16" t="e">
        <f t="shared" si="114"/>
        <v>#N/A</v>
      </c>
      <c r="AA59" s="16" t="e">
        <f t="shared" si="114"/>
        <v>#N/A</v>
      </c>
      <c r="AB59" s="16" t="e">
        <f t="shared" si="114"/>
        <v>#N/A</v>
      </c>
      <c r="AC59" s="16" t="e">
        <f>SUM(W59:AB59)</f>
        <v>#N/A</v>
      </c>
      <c r="AD59" s="16"/>
      <c r="AF59" s="241"/>
      <c r="AG59" s="622"/>
      <c r="AH59" s="72" t="str">
        <f t="shared" ca="1" si="97"/>
        <v>Total Vaccinator-Days</v>
      </c>
      <c r="AI59" s="16" t="e">
        <f t="shared" ref="AI59:AN59" si="115">AI109+AI161+AI209+AI282</f>
        <v>#N/A</v>
      </c>
      <c r="AJ59" s="16" t="e">
        <f t="shared" si="115"/>
        <v>#N/A</v>
      </c>
      <c r="AK59" s="16" t="e">
        <f t="shared" si="115"/>
        <v>#N/A</v>
      </c>
      <c r="AL59" s="16" t="e">
        <f t="shared" si="115"/>
        <v>#N/A</v>
      </c>
      <c r="AM59" s="16" t="e">
        <f t="shared" si="115"/>
        <v>#N/A</v>
      </c>
      <c r="AN59" s="16" t="e">
        <f t="shared" si="115"/>
        <v>#N/A</v>
      </c>
      <c r="AO59" s="16" t="e">
        <f>SUM(AI59:AN59)</f>
        <v>#N/A</v>
      </c>
      <c r="AP59" s="16"/>
      <c r="AR59" s="403"/>
      <c r="AS59" s="403"/>
      <c r="AT59" s="403"/>
      <c r="AU59" s="403" t="s">
        <v>1668</v>
      </c>
      <c r="AV59" s="403"/>
      <c r="AW59" s="403"/>
      <c r="AX59" s="403"/>
      <c r="AY59" s="403"/>
      <c r="AZ59" s="403"/>
      <c r="BA59" s="403"/>
      <c r="BB59" s="403"/>
      <c r="BC59" s="403"/>
      <c r="BD59" s="403"/>
      <c r="BE59" s="403"/>
      <c r="BF59" s="403"/>
      <c r="BG59" s="403"/>
      <c r="BH59" s="403"/>
      <c r="BI59" s="403"/>
      <c r="BJ59" s="403"/>
      <c r="BK59" s="403"/>
      <c r="BL59" s="403"/>
      <c r="BM59" s="403"/>
      <c r="BN59" s="403"/>
      <c r="BO59" s="403"/>
      <c r="BP59" s="403"/>
      <c r="BQ59" s="403"/>
      <c r="BR59" s="403"/>
      <c r="BS59" s="403"/>
      <c r="BT59" s="403"/>
      <c r="BU59" s="403"/>
      <c r="BV59" s="403"/>
      <c r="BW59" s="403"/>
      <c r="BX59" s="403"/>
      <c r="BY59" s="403"/>
      <c r="BZ59" s="403"/>
      <c r="CA59" s="403"/>
      <c r="CB59" s="403"/>
      <c r="CC59" s="403" t="s">
        <v>11683</v>
      </c>
      <c r="CD59" s="403"/>
      <c r="CE59" s="403"/>
      <c r="CF59" s="403"/>
      <c r="CG59" s="403"/>
      <c r="CH59" s="403"/>
      <c r="CI59" s="403"/>
      <c r="CJ59" s="403"/>
      <c r="CK59" s="403"/>
      <c r="CL59" s="403"/>
      <c r="CM59" s="403"/>
      <c r="CN59" s="403"/>
      <c r="CO59" s="403"/>
      <c r="CP59" s="403"/>
      <c r="CQ59" s="403"/>
      <c r="CR59" s="403"/>
      <c r="CS59" s="403"/>
      <c r="CT59" s="403"/>
      <c r="CU59" s="403"/>
      <c r="CV59" s="403"/>
      <c r="CW59" s="403"/>
      <c r="CX59" s="403"/>
      <c r="CY59" s="403"/>
      <c r="CZ59" s="403"/>
      <c r="DA59" s="403"/>
      <c r="DB59" s="403"/>
      <c r="DC59" s="403"/>
      <c r="DD59" s="403"/>
      <c r="DE59" s="403"/>
      <c r="DF59" s="403"/>
      <c r="DG59" s="403"/>
      <c r="DH59" s="403"/>
      <c r="DI59" s="403"/>
      <c r="DJ59" s="403"/>
      <c r="DK59" s="403" t="s">
        <v>11684</v>
      </c>
      <c r="DL59" s="403"/>
      <c r="DM59" s="403"/>
      <c r="DN59" s="403"/>
      <c r="DO59" s="403"/>
      <c r="DP59" s="403"/>
      <c r="DQ59" s="403"/>
      <c r="DR59" s="403"/>
      <c r="DS59" s="403"/>
      <c r="DT59" s="403"/>
      <c r="DU59" s="403"/>
      <c r="DV59" s="403"/>
      <c r="DW59" s="403"/>
      <c r="DX59" s="403"/>
      <c r="DY59" s="403"/>
      <c r="DZ59" s="403"/>
      <c r="EA59" s="403"/>
      <c r="EB59" s="403"/>
      <c r="EC59" s="403"/>
      <c r="ED59" s="403"/>
      <c r="EE59" s="403"/>
      <c r="EF59" s="403"/>
      <c r="EG59" s="403"/>
      <c r="EH59" s="403"/>
      <c r="EI59" s="403"/>
      <c r="EJ59" s="403"/>
      <c r="EK59" s="403"/>
      <c r="EL59" s="403"/>
      <c r="EM59" s="403"/>
      <c r="EN59" s="403"/>
      <c r="EO59" s="403"/>
      <c r="EP59" s="403"/>
      <c r="EQ59" s="403"/>
      <c r="ER59" s="403"/>
      <c r="ES59" s="403" t="s">
        <v>11685</v>
      </c>
      <c r="ET59" s="403"/>
      <c r="EU59" s="403"/>
      <c r="EV59" s="403"/>
      <c r="EW59" s="403"/>
      <c r="EX59" s="403"/>
      <c r="EY59" s="403"/>
      <c r="EZ59" s="403"/>
      <c r="FA59" s="403"/>
      <c r="FB59" s="403"/>
      <c r="FC59" s="403"/>
      <c r="FD59" s="403"/>
      <c r="FE59" s="403"/>
      <c r="FF59" s="403"/>
      <c r="FG59" s="403"/>
      <c r="FH59" s="403"/>
      <c r="FI59" s="403"/>
      <c r="FJ59" s="403"/>
      <c r="FK59" s="403"/>
      <c r="FL59" s="403"/>
      <c r="FM59" s="403"/>
      <c r="FN59" s="403"/>
      <c r="FO59" s="403"/>
      <c r="FP59" s="403"/>
      <c r="FQ59" s="403"/>
      <c r="FR59" s="403"/>
      <c r="FS59" s="403"/>
      <c r="FT59" s="403"/>
      <c r="FU59" s="403"/>
      <c r="FV59" s="403"/>
      <c r="FW59" s="403"/>
      <c r="FX59" s="403"/>
      <c r="FY59" s="403"/>
      <c r="FZ59" s="403"/>
      <c r="GA59" s="403" t="s">
        <v>11686</v>
      </c>
      <c r="GB59" s="403"/>
      <c r="GC59" s="403"/>
      <c r="GD59" s="403"/>
      <c r="GE59" s="403"/>
      <c r="GF59" s="403"/>
      <c r="GG59" s="403"/>
      <c r="GH59" s="403"/>
      <c r="GI59" s="403"/>
      <c r="GJ59" s="403"/>
      <c r="GK59" s="403"/>
      <c r="GL59" s="403"/>
      <c r="GM59" s="403"/>
      <c r="GN59" s="403"/>
      <c r="GO59" s="403"/>
      <c r="GP59" s="403"/>
      <c r="GQ59" s="403"/>
      <c r="GR59" s="403"/>
      <c r="GS59" s="403"/>
      <c r="GT59" s="403"/>
      <c r="GU59" s="403"/>
      <c r="GV59" s="403"/>
      <c r="GW59" s="403"/>
      <c r="GX59" s="403"/>
      <c r="GY59" s="403"/>
      <c r="GZ59" s="403"/>
      <c r="HA59" s="403"/>
      <c r="HB59" s="403"/>
      <c r="HC59" s="403"/>
      <c r="HD59" s="403"/>
      <c r="HE59" s="403"/>
      <c r="HF59" s="403"/>
      <c r="HG59" s="403"/>
      <c r="HH59" s="403"/>
      <c r="HI59" s="403" t="s">
        <v>11687</v>
      </c>
      <c r="HJ59" s="403"/>
      <c r="HK59" s="403"/>
      <c r="HL59" s="403"/>
      <c r="HM59" s="403"/>
      <c r="HN59" s="403"/>
      <c r="HO59" s="403"/>
      <c r="HP59" s="403"/>
      <c r="HQ59" s="403"/>
      <c r="HR59" s="403"/>
      <c r="HS59" s="403"/>
      <c r="HT59" s="403"/>
      <c r="HU59" s="403"/>
      <c r="HV59" s="403"/>
      <c r="HW59" s="403"/>
      <c r="HX59" s="403"/>
      <c r="HY59" s="403"/>
      <c r="HZ59" s="403"/>
      <c r="IA59" s="403"/>
      <c r="IB59" s="403"/>
      <c r="IC59" s="403"/>
      <c r="ID59" s="403"/>
      <c r="IE59" s="403"/>
      <c r="IF59" s="403"/>
      <c r="IG59" s="403"/>
      <c r="IH59" s="403"/>
      <c r="II59" s="403"/>
      <c r="IJ59" s="403"/>
      <c r="IK59" s="403"/>
      <c r="IL59" s="403"/>
      <c r="IM59" s="403"/>
      <c r="IN59" s="403"/>
      <c r="IO59" s="403"/>
      <c r="IP59" s="403"/>
      <c r="IQ59" s="403" t="s">
        <v>11688</v>
      </c>
      <c r="IR59" s="403"/>
      <c r="IS59" s="403"/>
      <c r="IT59" s="403"/>
      <c r="IU59" s="403"/>
      <c r="IV59" s="403"/>
      <c r="IW59" s="403"/>
      <c r="IX59" s="403"/>
      <c r="IY59" s="403"/>
      <c r="IZ59" s="403"/>
      <c r="JA59" s="403"/>
      <c r="JB59" s="403"/>
      <c r="JC59" s="403"/>
      <c r="JD59" s="403"/>
      <c r="JE59" s="403"/>
      <c r="JF59" s="403"/>
      <c r="JG59" s="403"/>
      <c r="JH59" s="403"/>
      <c r="JI59" s="403"/>
      <c r="JJ59" s="403"/>
      <c r="JK59" s="403"/>
      <c r="JL59" s="403"/>
      <c r="JM59" s="403"/>
      <c r="JN59" s="403"/>
      <c r="JO59" s="403"/>
      <c r="JP59" s="403"/>
      <c r="JQ59" s="403"/>
      <c r="JR59" s="403"/>
      <c r="JS59" s="403"/>
      <c r="JT59" s="403"/>
    </row>
    <row r="60" spans="1:280" s="463" customFormat="1" ht="12.75" x14ac:dyDescent="0.2">
      <c r="B60" s="622"/>
      <c r="C60" s="5" t="str">
        <f t="shared" ca="1" si="92"/>
        <v>Total Vaccinator-Days - paid with per diems</v>
      </c>
      <c r="J60" s="16" t="e">
        <f>SUM($E109*J109,$E161*J161,$E209*J209,$E282*J282)</f>
        <v>#N/A</v>
      </c>
      <c r="K60" s="16" t="e">
        <f t="shared" ref="K60:O60" si="116">SUM($E109*K109,$E161*K161,$E209*K209,$E282*K282)</f>
        <v>#N/A</v>
      </c>
      <c r="L60" s="16" t="e">
        <f t="shared" si="116"/>
        <v>#N/A</v>
      </c>
      <c r="M60" s="16" t="e">
        <f t="shared" si="116"/>
        <v>#N/A</v>
      </c>
      <c r="N60" s="16" t="e">
        <f t="shared" si="116"/>
        <v>#N/A</v>
      </c>
      <c r="O60" s="16" t="e">
        <f t="shared" si="116"/>
        <v>#N/A</v>
      </c>
      <c r="P60" s="16" t="e">
        <f t="shared" ref="P60:P61" si="117">SUM(J60:O60)</f>
        <v>#N/A</v>
      </c>
      <c r="Q60" s="16"/>
      <c r="R60" s="12"/>
      <c r="U60" s="622"/>
      <c r="V60" s="72" t="str">
        <f t="shared" ca="1" si="95"/>
        <v>Total Vaccinator-Days - paid with per diems</v>
      </c>
      <c r="W60" s="16" t="e">
        <f t="shared" ref="W60:AB60" si="118">SUM($E109*W109,$E161*W161,$E209*W209,$E282*W282)</f>
        <v>#N/A</v>
      </c>
      <c r="X60" s="16" t="e">
        <f t="shared" si="118"/>
        <v>#N/A</v>
      </c>
      <c r="Y60" s="16" t="e">
        <f t="shared" si="118"/>
        <v>#N/A</v>
      </c>
      <c r="Z60" s="16" t="e">
        <f t="shared" si="118"/>
        <v>#N/A</v>
      </c>
      <c r="AA60" s="16" t="e">
        <f t="shared" si="118"/>
        <v>#N/A</v>
      </c>
      <c r="AB60" s="16" t="e">
        <f t="shared" si="118"/>
        <v>#N/A</v>
      </c>
      <c r="AC60" s="16" t="e">
        <f t="shared" ref="AC60:AC61" si="119">SUM(W60:AB60)</f>
        <v>#N/A</v>
      </c>
      <c r="AD60" s="16"/>
      <c r="AG60" s="622"/>
      <c r="AH60" s="72" t="str">
        <f t="shared" ca="1" si="97"/>
        <v>Total Vaccinator-Days - paid with per diems</v>
      </c>
      <c r="AI60" s="16" t="e">
        <f t="shared" ref="AI60:AN60" si="120">SUM($E109*AI109,$E161*AI161,$E209*AI209,$E282*AI282)</f>
        <v>#N/A</v>
      </c>
      <c r="AJ60" s="16" t="e">
        <f t="shared" si="120"/>
        <v>#N/A</v>
      </c>
      <c r="AK60" s="16" t="e">
        <f t="shared" si="120"/>
        <v>#N/A</v>
      </c>
      <c r="AL60" s="16" t="e">
        <f t="shared" si="120"/>
        <v>#N/A</v>
      </c>
      <c r="AM60" s="16" t="e">
        <f t="shared" si="120"/>
        <v>#N/A</v>
      </c>
      <c r="AN60" s="16" t="e">
        <f t="shared" si="120"/>
        <v>#N/A</v>
      </c>
      <c r="AO60" s="16" t="e">
        <f t="shared" ref="AO60:AO61" si="121">SUM(AI60:AN60)</f>
        <v>#N/A</v>
      </c>
      <c r="AP60" s="16"/>
      <c r="AR60" s="403"/>
      <c r="AS60" s="403"/>
      <c r="AT60" s="403"/>
      <c r="AU60" s="403" t="s">
        <v>4350</v>
      </c>
      <c r="AV60" s="403"/>
      <c r="AW60" s="403"/>
      <c r="AX60" s="403"/>
      <c r="AY60" s="403"/>
      <c r="AZ60" s="403"/>
      <c r="BA60" s="403"/>
      <c r="BB60" s="403"/>
      <c r="BC60" s="403"/>
      <c r="BD60" s="403"/>
      <c r="BE60" s="403"/>
      <c r="BF60" s="403"/>
      <c r="BG60" s="403"/>
      <c r="BH60" s="403"/>
      <c r="BI60" s="403"/>
      <c r="BJ60" s="403"/>
      <c r="BK60" s="403"/>
      <c r="BL60" s="403"/>
      <c r="BM60" s="403"/>
      <c r="BN60" s="403"/>
      <c r="BO60" s="403"/>
      <c r="BP60" s="403"/>
      <c r="BQ60" s="403"/>
      <c r="BR60" s="403"/>
      <c r="BS60" s="403"/>
      <c r="BT60" s="403"/>
      <c r="BU60" s="403"/>
      <c r="BV60" s="403"/>
      <c r="BW60" s="403"/>
      <c r="BX60" s="403"/>
      <c r="BY60" s="403"/>
      <c r="BZ60" s="403"/>
      <c r="CA60" s="403"/>
      <c r="CB60" s="403"/>
      <c r="CC60" s="403" t="s">
        <v>11689</v>
      </c>
      <c r="CD60" s="403"/>
      <c r="CE60" s="403"/>
      <c r="CF60" s="403"/>
      <c r="CG60" s="403"/>
      <c r="CH60" s="403"/>
      <c r="CI60" s="403"/>
      <c r="CJ60" s="403"/>
      <c r="CK60" s="403"/>
      <c r="CL60" s="403"/>
      <c r="CM60" s="403"/>
      <c r="CN60" s="403"/>
      <c r="CO60" s="403"/>
      <c r="CP60" s="403"/>
      <c r="CQ60" s="403"/>
      <c r="CR60" s="403"/>
      <c r="CS60" s="403"/>
      <c r="CT60" s="403"/>
      <c r="CU60" s="403"/>
      <c r="CV60" s="403"/>
      <c r="CW60" s="403"/>
      <c r="CX60" s="403"/>
      <c r="CY60" s="403"/>
      <c r="CZ60" s="403"/>
      <c r="DA60" s="403"/>
      <c r="DB60" s="403"/>
      <c r="DC60" s="403"/>
      <c r="DD60" s="403"/>
      <c r="DE60" s="403"/>
      <c r="DF60" s="403"/>
      <c r="DG60" s="403"/>
      <c r="DH60" s="403"/>
      <c r="DI60" s="403"/>
      <c r="DJ60" s="403"/>
      <c r="DK60" s="403" t="s">
        <v>11690</v>
      </c>
      <c r="DL60" s="403"/>
      <c r="DM60" s="403"/>
      <c r="DN60" s="403"/>
      <c r="DO60" s="403"/>
      <c r="DP60" s="403"/>
      <c r="DQ60" s="403"/>
      <c r="DR60" s="403"/>
      <c r="DS60" s="403"/>
      <c r="DT60" s="403"/>
      <c r="DU60" s="403"/>
      <c r="DV60" s="403"/>
      <c r="DW60" s="403"/>
      <c r="DX60" s="403"/>
      <c r="DY60" s="403"/>
      <c r="DZ60" s="403"/>
      <c r="EA60" s="403"/>
      <c r="EB60" s="403"/>
      <c r="EC60" s="403"/>
      <c r="ED60" s="403"/>
      <c r="EE60" s="403"/>
      <c r="EF60" s="403"/>
      <c r="EG60" s="403"/>
      <c r="EH60" s="403"/>
      <c r="EI60" s="403"/>
      <c r="EJ60" s="403"/>
      <c r="EK60" s="403"/>
      <c r="EL60" s="403"/>
      <c r="EM60" s="403"/>
      <c r="EN60" s="403"/>
      <c r="EO60" s="403"/>
      <c r="EP60" s="403"/>
      <c r="EQ60" s="403"/>
      <c r="ER60" s="403"/>
      <c r="ES60" s="403" t="s">
        <v>11691</v>
      </c>
      <c r="ET60" s="403"/>
      <c r="EU60" s="403"/>
      <c r="EV60" s="403"/>
      <c r="EW60" s="403"/>
      <c r="EX60" s="403"/>
      <c r="EY60" s="403"/>
      <c r="EZ60" s="403"/>
      <c r="FA60" s="403"/>
      <c r="FB60" s="403"/>
      <c r="FC60" s="403"/>
      <c r="FD60" s="403"/>
      <c r="FE60" s="403"/>
      <c r="FF60" s="403"/>
      <c r="FG60" s="403"/>
      <c r="FH60" s="403"/>
      <c r="FI60" s="403"/>
      <c r="FJ60" s="403"/>
      <c r="FK60" s="403"/>
      <c r="FL60" s="403"/>
      <c r="FM60" s="403"/>
      <c r="FN60" s="403"/>
      <c r="FO60" s="403"/>
      <c r="FP60" s="403"/>
      <c r="FQ60" s="403"/>
      <c r="FR60" s="403"/>
      <c r="FS60" s="403"/>
      <c r="FT60" s="403"/>
      <c r="FU60" s="403"/>
      <c r="FV60" s="403"/>
      <c r="FW60" s="403"/>
      <c r="FX60" s="403"/>
      <c r="FY60" s="403"/>
      <c r="FZ60" s="403"/>
      <c r="GA60" s="403" t="s">
        <v>11692</v>
      </c>
      <c r="GB60" s="403"/>
      <c r="GC60" s="403"/>
      <c r="GD60" s="403"/>
      <c r="GE60" s="403"/>
      <c r="GF60" s="403"/>
      <c r="GG60" s="403"/>
      <c r="GH60" s="403"/>
      <c r="GI60" s="403"/>
      <c r="GJ60" s="403"/>
      <c r="GK60" s="403"/>
      <c r="GL60" s="403"/>
      <c r="GM60" s="403"/>
      <c r="GN60" s="403"/>
      <c r="GO60" s="403"/>
      <c r="GP60" s="403"/>
      <c r="GQ60" s="403"/>
      <c r="GR60" s="403"/>
      <c r="GS60" s="403"/>
      <c r="GT60" s="403"/>
      <c r="GU60" s="403"/>
      <c r="GV60" s="403"/>
      <c r="GW60" s="403"/>
      <c r="GX60" s="403"/>
      <c r="GY60" s="403"/>
      <c r="GZ60" s="403"/>
      <c r="HA60" s="403"/>
      <c r="HB60" s="403"/>
      <c r="HC60" s="403"/>
      <c r="HD60" s="403"/>
      <c r="HE60" s="403"/>
      <c r="HF60" s="403"/>
      <c r="HG60" s="403"/>
      <c r="HH60" s="403"/>
      <c r="HI60" s="403" t="s">
        <v>11693</v>
      </c>
      <c r="HJ60" s="403"/>
      <c r="HK60" s="403"/>
      <c r="HL60" s="403"/>
      <c r="HM60" s="403"/>
      <c r="HN60" s="403"/>
      <c r="HO60" s="403"/>
      <c r="HP60" s="403"/>
      <c r="HQ60" s="403"/>
      <c r="HR60" s="403"/>
      <c r="HS60" s="403"/>
      <c r="HT60" s="403"/>
      <c r="HU60" s="403"/>
      <c r="HV60" s="403"/>
      <c r="HW60" s="403"/>
      <c r="HX60" s="403"/>
      <c r="HY60" s="403"/>
      <c r="HZ60" s="403"/>
      <c r="IA60" s="403"/>
      <c r="IB60" s="403"/>
      <c r="IC60" s="403"/>
      <c r="ID60" s="403"/>
      <c r="IE60" s="403"/>
      <c r="IF60" s="403"/>
      <c r="IG60" s="403"/>
      <c r="IH60" s="403"/>
      <c r="II60" s="403"/>
      <c r="IJ60" s="403"/>
      <c r="IK60" s="403"/>
      <c r="IL60" s="403"/>
      <c r="IM60" s="403"/>
      <c r="IN60" s="403"/>
      <c r="IO60" s="403"/>
      <c r="IP60" s="403"/>
      <c r="IQ60" s="403" t="s">
        <v>11694</v>
      </c>
      <c r="IR60" s="403"/>
      <c r="IS60" s="403"/>
      <c r="IT60" s="403"/>
      <c r="IU60" s="403"/>
      <c r="IV60" s="403"/>
      <c r="IW60" s="403"/>
      <c r="IX60" s="403"/>
      <c r="IY60" s="403"/>
      <c r="IZ60" s="403"/>
      <c r="JA60" s="403"/>
      <c r="JB60" s="403"/>
      <c r="JC60" s="403"/>
      <c r="JD60" s="403"/>
      <c r="JE60" s="403"/>
      <c r="JF60" s="403"/>
      <c r="JG60" s="403"/>
      <c r="JH60" s="403"/>
      <c r="JI60" s="403"/>
      <c r="JJ60" s="403"/>
      <c r="JK60" s="403"/>
      <c r="JL60" s="403"/>
      <c r="JM60" s="403"/>
      <c r="JN60" s="403"/>
      <c r="JO60" s="403"/>
      <c r="JP60" s="403"/>
      <c r="JQ60" s="403"/>
      <c r="JR60" s="403"/>
      <c r="JS60" s="403"/>
      <c r="JT60" s="403"/>
    </row>
    <row r="61" spans="1:280" s="463" customFormat="1" ht="12.75" x14ac:dyDescent="0.2">
      <c r="B61" s="622"/>
      <c r="C61" s="370" t="str">
        <f t="shared" ca="1" si="92"/>
        <v>Total (across DMs) vaccinator hours - paid with per diems</v>
      </c>
      <c r="J61" s="16" t="e">
        <f>SUM($E110*J110,$E162*J162,$E210*J210,$E283*J283)</f>
        <v>#N/A</v>
      </c>
      <c r="K61" s="16" t="e">
        <f t="shared" ref="K61:O61" si="122">SUM($E110*K110,$E162*K162,$E210*K210,$E283*K283)</f>
        <v>#N/A</v>
      </c>
      <c r="L61" s="16" t="e">
        <f t="shared" si="122"/>
        <v>#N/A</v>
      </c>
      <c r="M61" s="16" t="e">
        <f t="shared" si="122"/>
        <v>#N/A</v>
      </c>
      <c r="N61" s="16" t="e">
        <f t="shared" si="122"/>
        <v>#N/A</v>
      </c>
      <c r="O61" s="16" t="e">
        <f t="shared" si="122"/>
        <v>#N/A</v>
      </c>
      <c r="P61" s="16" t="e">
        <f t="shared" si="117"/>
        <v>#N/A</v>
      </c>
      <c r="Q61" s="16"/>
      <c r="R61" s="12"/>
      <c r="U61" s="622"/>
      <c r="V61" s="612" t="str">
        <f t="shared" ca="1" si="95"/>
        <v>Total (across DMs) vaccinator hours - paid with per diems</v>
      </c>
      <c r="W61" s="16" t="e">
        <f t="shared" ref="W61:AB61" si="123">SUM($E110*W110,$E162*W162,$E210*W210,$E283*W283)</f>
        <v>#N/A</v>
      </c>
      <c r="X61" s="16" t="e">
        <f t="shared" si="123"/>
        <v>#N/A</v>
      </c>
      <c r="Y61" s="16" t="e">
        <f t="shared" si="123"/>
        <v>#N/A</v>
      </c>
      <c r="Z61" s="16" t="e">
        <f t="shared" si="123"/>
        <v>#N/A</v>
      </c>
      <c r="AA61" s="16" t="e">
        <f t="shared" si="123"/>
        <v>#N/A</v>
      </c>
      <c r="AB61" s="16" t="e">
        <f t="shared" si="123"/>
        <v>#N/A</v>
      </c>
      <c r="AC61" s="16" t="e">
        <f t="shared" si="119"/>
        <v>#N/A</v>
      </c>
      <c r="AD61" s="16"/>
      <c r="AG61" s="622"/>
      <c r="AH61" s="612" t="str">
        <f t="shared" ca="1" si="97"/>
        <v>Total (across DMs) vaccinator hours - paid with per diems</v>
      </c>
      <c r="AI61" s="16" t="e">
        <f t="shared" ref="AI61:AN61" si="124">SUM($E110*AI110,$E162*AI162,$E210*AI210,$E283*AI283)</f>
        <v>#N/A</v>
      </c>
      <c r="AJ61" s="16" t="e">
        <f t="shared" si="124"/>
        <v>#N/A</v>
      </c>
      <c r="AK61" s="16" t="e">
        <f t="shared" si="124"/>
        <v>#N/A</v>
      </c>
      <c r="AL61" s="16" t="e">
        <f t="shared" si="124"/>
        <v>#N/A</v>
      </c>
      <c r="AM61" s="16" t="e">
        <f t="shared" si="124"/>
        <v>#N/A</v>
      </c>
      <c r="AN61" s="16" t="e">
        <f t="shared" si="124"/>
        <v>#N/A</v>
      </c>
      <c r="AO61" s="16" t="e">
        <f t="shared" si="121"/>
        <v>#N/A</v>
      </c>
      <c r="AP61" s="16"/>
      <c r="AR61" s="403"/>
      <c r="AS61" s="403"/>
      <c r="AT61" s="403"/>
      <c r="AU61" s="403" t="s">
        <v>4351</v>
      </c>
      <c r="AV61" s="403"/>
      <c r="AW61" s="403"/>
      <c r="AX61" s="403"/>
      <c r="AY61" s="403"/>
      <c r="AZ61" s="403"/>
      <c r="BA61" s="403"/>
      <c r="BB61" s="403"/>
      <c r="BC61" s="403"/>
      <c r="BD61" s="403"/>
      <c r="BE61" s="403"/>
      <c r="BF61" s="403"/>
      <c r="BG61" s="403"/>
      <c r="BH61" s="403"/>
      <c r="BI61" s="403"/>
      <c r="BJ61" s="403"/>
      <c r="BK61" s="403"/>
      <c r="BL61" s="403"/>
      <c r="BM61" s="403"/>
      <c r="BN61" s="403"/>
      <c r="BO61" s="403"/>
      <c r="BP61" s="403"/>
      <c r="BQ61" s="403"/>
      <c r="BR61" s="403"/>
      <c r="BS61" s="403"/>
      <c r="BT61" s="403"/>
      <c r="BU61" s="403"/>
      <c r="BV61" s="403"/>
      <c r="BW61" s="403"/>
      <c r="BX61" s="403"/>
      <c r="BY61" s="403"/>
      <c r="BZ61" s="403"/>
      <c r="CA61" s="403"/>
      <c r="CB61" s="403"/>
      <c r="CC61" s="403" t="s">
        <v>11695</v>
      </c>
      <c r="CD61" s="403"/>
      <c r="CE61" s="403"/>
      <c r="CF61" s="403"/>
      <c r="CG61" s="403"/>
      <c r="CH61" s="403"/>
      <c r="CI61" s="403"/>
      <c r="CJ61" s="403"/>
      <c r="CK61" s="403"/>
      <c r="CL61" s="403"/>
      <c r="CM61" s="403"/>
      <c r="CN61" s="403"/>
      <c r="CO61" s="403"/>
      <c r="CP61" s="403"/>
      <c r="CQ61" s="403"/>
      <c r="CR61" s="403"/>
      <c r="CS61" s="403"/>
      <c r="CT61" s="403"/>
      <c r="CU61" s="403"/>
      <c r="CV61" s="403"/>
      <c r="CW61" s="403"/>
      <c r="CX61" s="403"/>
      <c r="CY61" s="403"/>
      <c r="CZ61" s="403"/>
      <c r="DA61" s="403"/>
      <c r="DB61" s="403"/>
      <c r="DC61" s="403"/>
      <c r="DD61" s="403"/>
      <c r="DE61" s="403"/>
      <c r="DF61" s="403"/>
      <c r="DG61" s="403"/>
      <c r="DH61" s="403"/>
      <c r="DI61" s="403"/>
      <c r="DJ61" s="403"/>
      <c r="DK61" s="403" t="s">
        <v>11696</v>
      </c>
      <c r="DL61" s="403"/>
      <c r="DM61" s="403"/>
      <c r="DN61" s="403"/>
      <c r="DO61" s="403"/>
      <c r="DP61" s="403"/>
      <c r="DQ61" s="403"/>
      <c r="DR61" s="403"/>
      <c r="DS61" s="403"/>
      <c r="DT61" s="403"/>
      <c r="DU61" s="403"/>
      <c r="DV61" s="403"/>
      <c r="DW61" s="403"/>
      <c r="DX61" s="403"/>
      <c r="DY61" s="403"/>
      <c r="DZ61" s="403"/>
      <c r="EA61" s="403"/>
      <c r="EB61" s="403"/>
      <c r="EC61" s="403"/>
      <c r="ED61" s="403"/>
      <c r="EE61" s="403"/>
      <c r="EF61" s="403"/>
      <c r="EG61" s="403"/>
      <c r="EH61" s="403"/>
      <c r="EI61" s="403"/>
      <c r="EJ61" s="403"/>
      <c r="EK61" s="403"/>
      <c r="EL61" s="403"/>
      <c r="EM61" s="403"/>
      <c r="EN61" s="403"/>
      <c r="EO61" s="403"/>
      <c r="EP61" s="403"/>
      <c r="EQ61" s="403"/>
      <c r="ER61" s="403"/>
      <c r="ES61" s="403" t="s">
        <v>11697</v>
      </c>
      <c r="ET61" s="403"/>
      <c r="EU61" s="403"/>
      <c r="EV61" s="403"/>
      <c r="EW61" s="403"/>
      <c r="EX61" s="403"/>
      <c r="EY61" s="403"/>
      <c r="EZ61" s="403"/>
      <c r="FA61" s="403"/>
      <c r="FB61" s="403"/>
      <c r="FC61" s="403"/>
      <c r="FD61" s="403"/>
      <c r="FE61" s="403"/>
      <c r="FF61" s="403"/>
      <c r="FG61" s="403"/>
      <c r="FH61" s="403"/>
      <c r="FI61" s="403"/>
      <c r="FJ61" s="403"/>
      <c r="FK61" s="403"/>
      <c r="FL61" s="403"/>
      <c r="FM61" s="403"/>
      <c r="FN61" s="403"/>
      <c r="FO61" s="403"/>
      <c r="FP61" s="403"/>
      <c r="FQ61" s="403"/>
      <c r="FR61" s="403"/>
      <c r="FS61" s="403"/>
      <c r="FT61" s="403"/>
      <c r="FU61" s="403"/>
      <c r="FV61" s="403"/>
      <c r="FW61" s="403"/>
      <c r="FX61" s="403"/>
      <c r="FY61" s="403"/>
      <c r="FZ61" s="403"/>
      <c r="GA61" s="403" t="s">
        <v>11698</v>
      </c>
      <c r="GB61" s="403"/>
      <c r="GC61" s="403"/>
      <c r="GD61" s="403"/>
      <c r="GE61" s="403"/>
      <c r="GF61" s="403"/>
      <c r="GG61" s="403"/>
      <c r="GH61" s="403"/>
      <c r="GI61" s="403"/>
      <c r="GJ61" s="403"/>
      <c r="GK61" s="403"/>
      <c r="GL61" s="403"/>
      <c r="GM61" s="403"/>
      <c r="GN61" s="403"/>
      <c r="GO61" s="403"/>
      <c r="GP61" s="403"/>
      <c r="GQ61" s="403"/>
      <c r="GR61" s="403"/>
      <c r="GS61" s="403"/>
      <c r="GT61" s="403"/>
      <c r="GU61" s="403"/>
      <c r="GV61" s="403"/>
      <c r="GW61" s="403"/>
      <c r="GX61" s="403"/>
      <c r="GY61" s="403"/>
      <c r="GZ61" s="403"/>
      <c r="HA61" s="403"/>
      <c r="HB61" s="403"/>
      <c r="HC61" s="403"/>
      <c r="HD61" s="403"/>
      <c r="HE61" s="403"/>
      <c r="HF61" s="403"/>
      <c r="HG61" s="403"/>
      <c r="HH61" s="403"/>
      <c r="HI61" s="403" t="s">
        <v>11699</v>
      </c>
      <c r="HJ61" s="403"/>
      <c r="HK61" s="403"/>
      <c r="HL61" s="403"/>
      <c r="HM61" s="403"/>
      <c r="HN61" s="403"/>
      <c r="HO61" s="403"/>
      <c r="HP61" s="403"/>
      <c r="HQ61" s="403"/>
      <c r="HR61" s="403"/>
      <c r="HS61" s="403"/>
      <c r="HT61" s="403"/>
      <c r="HU61" s="403"/>
      <c r="HV61" s="403"/>
      <c r="HW61" s="403"/>
      <c r="HX61" s="403"/>
      <c r="HY61" s="403"/>
      <c r="HZ61" s="403"/>
      <c r="IA61" s="403"/>
      <c r="IB61" s="403"/>
      <c r="IC61" s="403"/>
      <c r="ID61" s="403"/>
      <c r="IE61" s="403"/>
      <c r="IF61" s="403"/>
      <c r="IG61" s="403"/>
      <c r="IH61" s="403"/>
      <c r="II61" s="403"/>
      <c r="IJ61" s="403"/>
      <c r="IK61" s="403"/>
      <c r="IL61" s="403"/>
      <c r="IM61" s="403"/>
      <c r="IN61" s="403"/>
      <c r="IO61" s="403"/>
      <c r="IP61" s="403"/>
      <c r="IQ61" s="403" t="s">
        <v>11700</v>
      </c>
      <c r="IR61" s="403"/>
      <c r="IS61" s="403"/>
      <c r="IT61" s="403"/>
      <c r="IU61" s="403"/>
      <c r="IV61" s="403"/>
      <c r="IW61" s="403"/>
      <c r="IX61" s="403"/>
      <c r="IY61" s="403"/>
      <c r="IZ61" s="403"/>
      <c r="JA61" s="403"/>
      <c r="JB61" s="403"/>
      <c r="JC61" s="403"/>
      <c r="JD61" s="403"/>
      <c r="JE61" s="403"/>
      <c r="JF61" s="403"/>
      <c r="JG61" s="403"/>
      <c r="JH61" s="403"/>
      <c r="JI61" s="403"/>
      <c r="JJ61" s="403"/>
      <c r="JK61" s="403"/>
      <c r="JL61" s="403"/>
      <c r="JM61" s="403"/>
      <c r="JN61" s="403"/>
      <c r="JO61" s="403"/>
      <c r="JP61" s="403"/>
      <c r="JQ61" s="403"/>
      <c r="JR61" s="403"/>
      <c r="JS61" s="403"/>
      <c r="JT61" s="403"/>
    </row>
    <row r="62" spans="1:280" s="281" customFormat="1" ht="12.75" x14ac:dyDescent="0.2">
      <c r="B62" s="622"/>
      <c r="C62" s="5" t="str">
        <f t="shared" ca="1" si="92"/>
        <v>Cold boxes</v>
      </c>
      <c r="J62" s="16"/>
      <c r="K62" s="16"/>
      <c r="L62" s="16"/>
      <c r="M62" s="16"/>
      <c r="N62" s="16"/>
      <c r="O62" s="16"/>
      <c r="P62" s="16"/>
      <c r="Q62" s="16" t="e">
        <f>SUM(Q152,Q200,Q260)</f>
        <v>#N/A</v>
      </c>
      <c r="R62" s="12" t="str">
        <f t="shared" ca="1" si="94"/>
        <v/>
      </c>
      <c r="U62" s="622"/>
      <c r="V62" s="72" t="str">
        <f t="shared" ca="1" si="95"/>
        <v>Cold boxes</v>
      </c>
      <c r="W62" s="16"/>
      <c r="X62" s="16"/>
      <c r="Y62" s="16"/>
      <c r="Z62" s="16"/>
      <c r="AA62" s="16"/>
      <c r="AB62" s="16"/>
      <c r="AC62" s="16"/>
      <c r="AD62" s="250" t="e">
        <f>SUM(AD152,AD200,AD260)</f>
        <v>#N/A</v>
      </c>
      <c r="AG62" s="622"/>
      <c r="AH62" s="72" t="str">
        <f t="shared" ca="1" si="97"/>
        <v>Cold boxes</v>
      </c>
      <c r="AI62" s="16"/>
      <c r="AJ62" s="16"/>
      <c r="AK62" s="16"/>
      <c r="AL62" s="16"/>
      <c r="AM62" s="16"/>
      <c r="AN62" s="16"/>
      <c r="AO62" s="16"/>
      <c r="AP62" s="250" t="e">
        <f>SUM(AP152,AP200,AP260)</f>
        <v>#N/A</v>
      </c>
      <c r="AR62" s="403"/>
      <c r="AS62" s="403"/>
      <c r="AT62" s="403"/>
      <c r="AU62" s="403" t="s">
        <v>3683</v>
      </c>
      <c r="AV62" s="403"/>
      <c r="AW62" s="403"/>
      <c r="AX62" s="403"/>
      <c r="AY62" s="403"/>
      <c r="AZ62" s="403"/>
      <c r="BA62" s="403"/>
      <c r="BB62" s="403"/>
      <c r="BC62" s="403"/>
      <c r="BD62" s="403"/>
      <c r="BE62" s="403"/>
      <c r="BF62" s="403"/>
      <c r="BG62" s="403"/>
      <c r="BH62" s="403"/>
      <c r="BI62" s="403"/>
      <c r="BJ62" s="403"/>
      <c r="BK62" s="403"/>
      <c r="BL62" s="403"/>
      <c r="BM62" s="403"/>
      <c r="BN62" s="403"/>
      <c r="BO62" s="403"/>
      <c r="BP62" s="403"/>
      <c r="BQ62" s="403"/>
      <c r="BR62" s="403"/>
      <c r="BS62" s="403"/>
      <c r="BT62" s="403"/>
      <c r="BU62" s="403"/>
      <c r="BV62" s="403"/>
      <c r="BW62" s="403"/>
      <c r="BX62" s="403"/>
      <c r="BY62" s="403"/>
      <c r="BZ62" s="403"/>
      <c r="CA62" s="403"/>
      <c r="CB62" s="403"/>
      <c r="CC62" s="403" t="s">
        <v>11701</v>
      </c>
      <c r="CD62" s="403"/>
      <c r="CE62" s="403"/>
      <c r="CF62" s="403"/>
      <c r="CG62" s="403"/>
      <c r="CH62" s="403"/>
      <c r="CI62" s="403"/>
      <c r="CJ62" s="403"/>
      <c r="CK62" s="403"/>
      <c r="CL62" s="403"/>
      <c r="CM62" s="403"/>
      <c r="CN62" s="403"/>
      <c r="CO62" s="403"/>
      <c r="CP62" s="403"/>
      <c r="CQ62" s="403"/>
      <c r="CR62" s="403"/>
      <c r="CS62" s="403"/>
      <c r="CT62" s="403"/>
      <c r="CU62" s="403"/>
      <c r="CV62" s="403"/>
      <c r="CW62" s="403"/>
      <c r="CX62" s="403"/>
      <c r="CY62" s="403"/>
      <c r="CZ62" s="403"/>
      <c r="DA62" s="403"/>
      <c r="DB62" s="403"/>
      <c r="DC62" s="403"/>
      <c r="DD62" s="403"/>
      <c r="DE62" s="403"/>
      <c r="DF62" s="403"/>
      <c r="DG62" s="403"/>
      <c r="DH62" s="403"/>
      <c r="DI62" s="403"/>
      <c r="DJ62" s="403"/>
      <c r="DK62" s="403" t="s">
        <v>11702</v>
      </c>
      <c r="DL62" s="403"/>
      <c r="DM62" s="403"/>
      <c r="DN62" s="403"/>
      <c r="DO62" s="403"/>
      <c r="DP62" s="403"/>
      <c r="DQ62" s="403"/>
      <c r="DR62" s="403"/>
      <c r="DS62" s="403"/>
      <c r="DT62" s="403"/>
      <c r="DU62" s="403"/>
      <c r="DV62" s="403"/>
      <c r="DW62" s="403"/>
      <c r="DX62" s="403"/>
      <c r="DY62" s="403"/>
      <c r="DZ62" s="403"/>
      <c r="EA62" s="403"/>
      <c r="EB62" s="403"/>
      <c r="EC62" s="403"/>
      <c r="ED62" s="403"/>
      <c r="EE62" s="403"/>
      <c r="EF62" s="403"/>
      <c r="EG62" s="403"/>
      <c r="EH62" s="403"/>
      <c r="EI62" s="403"/>
      <c r="EJ62" s="403"/>
      <c r="EK62" s="403"/>
      <c r="EL62" s="403"/>
      <c r="EM62" s="403"/>
      <c r="EN62" s="403"/>
      <c r="EO62" s="403"/>
      <c r="EP62" s="403"/>
      <c r="EQ62" s="403"/>
      <c r="ER62" s="403"/>
      <c r="ES62" s="403" t="s">
        <v>11703</v>
      </c>
      <c r="ET62" s="403"/>
      <c r="EU62" s="403"/>
      <c r="EV62" s="403"/>
      <c r="EW62" s="403"/>
      <c r="EX62" s="403"/>
      <c r="EY62" s="403"/>
      <c r="EZ62" s="403"/>
      <c r="FA62" s="403"/>
      <c r="FB62" s="403"/>
      <c r="FC62" s="403"/>
      <c r="FD62" s="403"/>
      <c r="FE62" s="403"/>
      <c r="FF62" s="403"/>
      <c r="FG62" s="403"/>
      <c r="FH62" s="403"/>
      <c r="FI62" s="403"/>
      <c r="FJ62" s="403"/>
      <c r="FK62" s="403"/>
      <c r="FL62" s="403"/>
      <c r="FM62" s="403"/>
      <c r="FN62" s="403"/>
      <c r="FO62" s="403"/>
      <c r="FP62" s="403"/>
      <c r="FQ62" s="403"/>
      <c r="FR62" s="403"/>
      <c r="FS62" s="403"/>
      <c r="FT62" s="403"/>
      <c r="FU62" s="403"/>
      <c r="FV62" s="403"/>
      <c r="FW62" s="403"/>
      <c r="FX62" s="403"/>
      <c r="FY62" s="403"/>
      <c r="FZ62" s="403"/>
      <c r="GA62" s="403" t="s">
        <v>11704</v>
      </c>
      <c r="GB62" s="403"/>
      <c r="GC62" s="403"/>
      <c r="GD62" s="403"/>
      <c r="GE62" s="403"/>
      <c r="GF62" s="403"/>
      <c r="GG62" s="403"/>
      <c r="GH62" s="403"/>
      <c r="GI62" s="403"/>
      <c r="GJ62" s="403"/>
      <c r="GK62" s="403"/>
      <c r="GL62" s="403"/>
      <c r="GM62" s="403"/>
      <c r="GN62" s="403"/>
      <c r="GO62" s="403"/>
      <c r="GP62" s="403"/>
      <c r="GQ62" s="403"/>
      <c r="GR62" s="403"/>
      <c r="GS62" s="403"/>
      <c r="GT62" s="403"/>
      <c r="GU62" s="403"/>
      <c r="GV62" s="403"/>
      <c r="GW62" s="403"/>
      <c r="GX62" s="403"/>
      <c r="GY62" s="403"/>
      <c r="GZ62" s="403"/>
      <c r="HA62" s="403"/>
      <c r="HB62" s="403"/>
      <c r="HC62" s="403"/>
      <c r="HD62" s="403"/>
      <c r="HE62" s="403"/>
      <c r="HF62" s="403"/>
      <c r="HG62" s="403"/>
      <c r="HH62" s="403"/>
      <c r="HI62" s="403" t="s">
        <v>11705</v>
      </c>
      <c r="HJ62" s="403"/>
      <c r="HK62" s="403"/>
      <c r="HL62" s="403"/>
      <c r="HM62" s="403"/>
      <c r="HN62" s="403"/>
      <c r="HO62" s="403"/>
      <c r="HP62" s="403"/>
      <c r="HQ62" s="403"/>
      <c r="HR62" s="403"/>
      <c r="HS62" s="403"/>
      <c r="HT62" s="403"/>
      <c r="HU62" s="403"/>
      <c r="HV62" s="403"/>
      <c r="HW62" s="403"/>
      <c r="HX62" s="403"/>
      <c r="HY62" s="403"/>
      <c r="HZ62" s="403"/>
      <c r="IA62" s="403"/>
      <c r="IB62" s="403"/>
      <c r="IC62" s="403"/>
      <c r="ID62" s="403"/>
      <c r="IE62" s="403"/>
      <c r="IF62" s="403"/>
      <c r="IG62" s="403"/>
      <c r="IH62" s="403"/>
      <c r="II62" s="403"/>
      <c r="IJ62" s="403"/>
      <c r="IK62" s="403"/>
      <c r="IL62" s="403"/>
      <c r="IM62" s="403"/>
      <c r="IN62" s="403"/>
      <c r="IO62" s="403"/>
      <c r="IP62" s="403"/>
      <c r="IQ62" s="403" t="s">
        <v>11706</v>
      </c>
      <c r="IR62" s="403"/>
      <c r="IS62" s="403"/>
      <c r="IT62" s="403"/>
      <c r="IU62" s="403"/>
      <c r="IV62" s="403"/>
      <c r="IW62" s="403"/>
      <c r="IX62" s="403"/>
      <c r="IY62" s="403"/>
      <c r="IZ62" s="403"/>
      <c r="JA62" s="403"/>
      <c r="JB62" s="403"/>
      <c r="JC62" s="403"/>
      <c r="JD62" s="403"/>
      <c r="JE62" s="403"/>
      <c r="JF62" s="403"/>
      <c r="JG62" s="403"/>
      <c r="JH62" s="403"/>
      <c r="JI62" s="403"/>
      <c r="JJ62" s="403"/>
      <c r="JK62" s="403"/>
      <c r="JL62" s="403"/>
      <c r="JM62" s="403"/>
      <c r="JN62" s="403"/>
      <c r="JO62" s="403"/>
      <c r="JP62" s="403"/>
      <c r="JQ62" s="403"/>
      <c r="JR62" s="403"/>
      <c r="JS62" s="403"/>
      <c r="JT62" s="403"/>
    </row>
    <row r="63" spans="1:280" s="281" customFormat="1" ht="12.75" x14ac:dyDescent="0.2">
      <c r="B63" s="622"/>
      <c r="C63" s="5" t="str">
        <f t="shared" ca="1" si="92"/>
        <v>Vaccine carriers</v>
      </c>
      <c r="J63" s="16"/>
      <c r="K63" s="16"/>
      <c r="L63" s="16"/>
      <c r="M63" s="16"/>
      <c r="N63" s="16"/>
      <c r="O63" s="16"/>
      <c r="P63" s="16"/>
      <c r="Q63" s="16" t="e">
        <f>Q261</f>
        <v>#N/A</v>
      </c>
      <c r="R63" s="12" t="str">
        <f t="shared" ca="1" si="94"/>
        <v/>
      </c>
      <c r="U63" s="622"/>
      <c r="V63" s="72" t="str">
        <f t="shared" ca="1" si="95"/>
        <v>Vaccine carriers</v>
      </c>
      <c r="W63" s="16"/>
      <c r="X63" s="16"/>
      <c r="Y63" s="16"/>
      <c r="Z63" s="16"/>
      <c r="AA63" s="16"/>
      <c r="AB63" s="16"/>
      <c r="AC63" s="16"/>
      <c r="AD63" s="250" t="e">
        <f>AD261</f>
        <v>#N/A</v>
      </c>
      <c r="AG63" s="622"/>
      <c r="AH63" s="72" t="str">
        <f t="shared" ca="1" si="97"/>
        <v>Vaccine carriers</v>
      </c>
      <c r="AI63" s="16"/>
      <c r="AJ63" s="16"/>
      <c r="AK63" s="16"/>
      <c r="AL63" s="16"/>
      <c r="AM63" s="16"/>
      <c r="AN63" s="16"/>
      <c r="AO63" s="16"/>
      <c r="AP63" s="250" t="e">
        <f>AP261</f>
        <v>#N/A</v>
      </c>
      <c r="AR63" s="403"/>
      <c r="AS63" s="403"/>
      <c r="AT63" s="403"/>
      <c r="AU63" s="403" t="s">
        <v>3684</v>
      </c>
      <c r="AV63" s="403"/>
      <c r="AW63" s="403"/>
      <c r="AX63" s="403"/>
      <c r="AY63" s="403"/>
      <c r="AZ63" s="403"/>
      <c r="BA63" s="403"/>
      <c r="BB63" s="403"/>
      <c r="BC63" s="403"/>
      <c r="BD63" s="403"/>
      <c r="BE63" s="403"/>
      <c r="BF63" s="403"/>
      <c r="BG63" s="403"/>
      <c r="BH63" s="403"/>
      <c r="BI63" s="403"/>
      <c r="BJ63" s="403"/>
      <c r="BK63" s="403"/>
      <c r="BL63" s="403"/>
      <c r="BM63" s="403"/>
      <c r="BN63" s="403"/>
      <c r="BO63" s="403"/>
      <c r="BP63" s="403"/>
      <c r="BQ63" s="403"/>
      <c r="BR63" s="403"/>
      <c r="BS63" s="403"/>
      <c r="BT63" s="403"/>
      <c r="BU63" s="403"/>
      <c r="BV63" s="403"/>
      <c r="BW63" s="403"/>
      <c r="BX63" s="403"/>
      <c r="BY63" s="403"/>
      <c r="BZ63" s="403"/>
      <c r="CA63" s="403"/>
      <c r="CB63" s="403"/>
      <c r="CC63" s="403" t="s">
        <v>11707</v>
      </c>
      <c r="CD63" s="403"/>
      <c r="CE63" s="403"/>
      <c r="CF63" s="403"/>
      <c r="CG63" s="403"/>
      <c r="CH63" s="403"/>
      <c r="CI63" s="403"/>
      <c r="CJ63" s="403"/>
      <c r="CK63" s="403"/>
      <c r="CL63" s="403"/>
      <c r="CM63" s="403"/>
      <c r="CN63" s="403"/>
      <c r="CO63" s="403"/>
      <c r="CP63" s="403"/>
      <c r="CQ63" s="403"/>
      <c r="CR63" s="403"/>
      <c r="CS63" s="403"/>
      <c r="CT63" s="403"/>
      <c r="CU63" s="403"/>
      <c r="CV63" s="403"/>
      <c r="CW63" s="403"/>
      <c r="CX63" s="403"/>
      <c r="CY63" s="403"/>
      <c r="CZ63" s="403"/>
      <c r="DA63" s="403"/>
      <c r="DB63" s="403"/>
      <c r="DC63" s="403"/>
      <c r="DD63" s="403"/>
      <c r="DE63" s="403"/>
      <c r="DF63" s="403"/>
      <c r="DG63" s="403"/>
      <c r="DH63" s="403"/>
      <c r="DI63" s="403"/>
      <c r="DJ63" s="403"/>
      <c r="DK63" s="403" t="s">
        <v>11708</v>
      </c>
      <c r="DL63" s="403"/>
      <c r="DM63" s="403"/>
      <c r="DN63" s="403"/>
      <c r="DO63" s="403"/>
      <c r="DP63" s="403"/>
      <c r="DQ63" s="403"/>
      <c r="DR63" s="403"/>
      <c r="DS63" s="403"/>
      <c r="DT63" s="403"/>
      <c r="DU63" s="403"/>
      <c r="DV63" s="403"/>
      <c r="DW63" s="403"/>
      <c r="DX63" s="403"/>
      <c r="DY63" s="403"/>
      <c r="DZ63" s="403"/>
      <c r="EA63" s="403"/>
      <c r="EB63" s="403"/>
      <c r="EC63" s="403"/>
      <c r="ED63" s="403"/>
      <c r="EE63" s="403"/>
      <c r="EF63" s="403"/>
      <c r="EG63" s="403"/>
      <c r="EH63" s="403"/>
      <c r="EI63" s="403"/>
      <c r="EJ63" s="403"/>
      <c r="EK63" s="403"/>
      <c r="EL63" s="403"/>
      <c r="EM63" s="403"/>
      <c r="EN63" s="403"/>
      <c r="EO63" s="403"/>
      <c r="EP63" s="403"/>
      <c r="EQ63" s="403"/>
      <c r="ER63" s="403"/>
      <c r="ES63" s="403" t="s">
        <v>11709</v>
      </c>
      <c r="ET63" s="403"/>
      <c r="EU63" s="403"/>
      <c r="EV63" s="403"/>
      <c r="EW63" s="403"/>
      <c r="EX63" s="403"/>
      <c r="EY63" s="403"/>
      <c r="EZ63" s="403"/>
      <c r="FA63" s="403"/>
      <c r="FB63" s="403"/>
      <c r="FC63" s="403"/>
      <c r="FD63" s="403"/>
      <c r="FE63" s="403"/>
      <c r="FF63" s="403"/>
      <c r="FG63" s="403"/>
      <c r="FH63" s="403"/>
      <c r="FI63" s="403"/>
      <c r="FJ63" s="403"/>
      <c r="FK63" s="403"/>
      <c r="FL63" s="403"/>
      <c r="FM63" s="403"/>
      <c r="FN63" s="403"/>
      <c r="FO63" s="403"/>
      <c r="FP63" s="403"/>
      <c r="FQ63" s="403"/>
      <c r="FR63" s="403"/>
      <c r="FS63" s="403"/>
      <c r="FT63" s="403"/>
      <c r="FU63" s="403"/>
      <c r="FV63" s="403"/>
      <c r="FW63" s="403"/>
      <c r="FX63" s="403"/>
      <c r="FY63" s="403"/>
      <c r="FZ63" s="403"/>
      <c r="GA63" s="403" t="s">
        <v>11710</v>
      </c>
      <c r="GB63" s="403"/>
      <c r="GC63" s="403"/>
      <c r="GD63" s="403"/>
      <c r="GE63" s="403"/>
      <c r="GF63" s="403"/>
      <c r="GG63" s="403"/>
      <c r="GH63" s="403"/>
      <c r="GI63" s="403"/>
      <c r="GJ63" s="403"/>
      <c r="GK63" s="403"/>
      <c r="GL63" s="403"/>
      <c r="GM63" s="403"/>
      <c r="GN63" s="403"/>
      <c r="GO63" s="403"/>
      <c r="GP63" s="403"/>
      <c r="GQ63" s="403"/>
      <c r="GR63" s="403"/>
      <c r="GS63" s="403"/>
      <c r="GT63" s="403"/>
      <c r="GU63" s="403"/>
      <c r="GV63" s="403"/>
      <c r="GW63" s="403"/>
      <c r="GX63" s="403"/>
      <c r="GY63" s="403"/>
      <c r="GZ63" s="403"/>
      <c r="HA63" s="403"/>
      <c r="HB63" s="403"/>
      <c r="HC63" s="403"/>
      <c r="HD63" s="403"/>
      <c r="HE63" s="403"/>
      <c r="HF63" s="403"/>
      <c r="HG63" s="403"/>
      <c r="HH63" s="403"/>
      <c r="HI63" s="403" t="s">
        <v>11711</v>
      </c>
      <c r="HJ63" s="403"/>
      <c r="HK63" s="403"/>
      <c r="HL63" s="403"/>
      <c r="HM63" s="403"/>
      <c r="HN63" s="403"/>
      <c r="HO63" s="403"/>
      <c r="HP63" s="403"/>
      <c r="HQ63" s="403"/>
      <c r="HR63" s="403"/>
      <c r="HS63" s="403"/>
      <c r="HT63" s="403"/>
      <c r="HU63" s="403"/>
      <c r="HV63" s="403"/>
      <c r="HW63" s="403"/>
      <c r="HX63" s="403"/>
      <c r="HY63" s="403"/>
      <c r="HZ63" s="403"/>
      <c r="IA63" s="403"/>
      <c r="IB63" s="403"/>
      <c r="IC63" s="403"/>
      <c r="ID63" s="403"/>
      <c r="IE63" s="403"/>
      <c r="IF63" s="403"/>
      <c r="IG63" s="403"/>
      <c r="IH63" s="403"/>
      <c r="II63" s="403"/>
      <c r="IJ63" s="403"/>
      <c r="IK63" s="403"/>
      <c r="IL63" s="403"/>
      <c r="IM63" s="403"/>
      <c r="IN63" s="403"/>
      <c r="IO63" s="403"/>
      <c r="IP63" s="403"/>
      <c r="IQ63" s="403" t="s">
        <v>11712</v>
      </c>
      <c r="IR63" s="403"/>
      <c r="IS63" s="403"/>
      <c r="IT63" s="403"/>
      <c r="IU63" s="403"/>
      <c r="IV63" s="403"/>
      <c r="IW63" s="403"/>
      <c r="IX63" s="403"/>
      <c r="IY63" s="403"/>
      <c r="IZ63" s="403"/>
      <c r="JA63" s="403"/>
      <c r="JB63" s="403"/>
      <c r="JC63" s="403"/>
      <c r="JD63" s="403"/>
      <c r="JE63" s="403"/>
      <c r="JF63" s="403"/>
      <c r="JG63" s="403"/>
      <c r="JH63" s="403"/>
      <c r="JI63" s="403"/>
      <c r="JJ63" s="403"/>
      <c r="JK63" s="403"/>
      <c r="JL63" s="403"/>
      <c r="JM63" s="403"/>
      <c r="JN63" s="403"/>
      <c r="JO63" s="403"/>
      <c r="JP63" s="403"/>
      <c r="JQ63" s="403"/>
      <c r="JR63" s="403"/>
      <c r="JS63" s="403"/>
      <c r="JT63" s="403"/>
    </row>
    <row r="64" spans="1:280" s="15" customFormat="1" ht="12.75" x14ac:dyDescent="0.2">
      <c r="B64" s="622"/>
      <c r="C64" s="5"/>
      <c r="J64" s="16"/>
      <c r="K64" s="16"/>
      <c r="L64" s="16"/>
      <c r="M64" s="16"/>
      <c r="N64" s="16"/>
      <c r="O64" s="16"/>
      <c r="P64" s="16"/>
      <c r="Q64" s="16"/>
      <c r="R64" s="12" t="str">
        <f t="shared" ca="1" si="94"/>
        <v/>
      </c>
      <c r="S64" s="241"/>
      <c r="T64" s="241"/>
      <c r="U64" s="622"/>
      <c r="V64" s="72"/>
      <c r="AF64" s="241"/>
      <c r="AG64" s="622"/>
      <c r="AH64" s="72"/>
      <c r="AI64" s="241"/>
      <c r="AJ64" s="241"/>
      <c r="AK64" s="241"/>
      <c r="AL64" s="241"/>
      <c r="AM64" s="241"/>
      <c r="AN64" s="241"/>
      <c r="AO64" s="241"/>
      <c r="AP64" s="241"/>
      <c r="AR64" s="403"/>
      <c r="AS64" s="403"/>
      <c r="AT64" s="403"/>
      <c r="AU64" s="403"/>
      <c r="AV64" s="403"/>
      <c r="AW64" s="403"/>
      <c r="AX64" s="403"/>
      <c r="AY64" s="403"/>
      <c r="AZ64" s="403"/>
      <c r="BA64" s="403"/>
      <c r="BB64" s="403"/>
      <c r="BC64" s="403"/>
      <c r="BD64" s="403"/>
      <c r="BE64" s="403"/>
      <c r="BF64" s="403"/>
      <c r="BG64" s="403"/>
      <c r="BH64" s="403"/>
      <c r="BI64" s="403"/>
      <c r="BJ64" s="403"/>
      <c r="BK64" s="403"/>
      <c r="BL64" s="403"/>
      <c r="BM64" s="403"/>
      <c r="BN64" s="403"/>
      <c r="BO64" s="403"/>
      <c r="BP64" s="403"/>
      <c r="BQ64" s="403"/>
      <c r="BR64" s="403"/>
      <c r="BS64" s="403"/>
      <c r="BT64" s="403"/>
      <c r="BU64" s="403"/>
      <c r="BV64" s="403"/>
      <c r="BW64" s="403"/>
      <c r="BX64" s="403"/>
      <c r="BY64" s="403"/>
      <c r="BZ64" s="403"/>
      <c r="CA64" s="403"/>
      <c r="CB64" s="403"/>
      <c r="CC64" s="403"/>
      <c r="CD64" s="403"/>
      <c r="CE64" s="403"/>
      <c r="CF64" s="403"/>
      <c r="CG64" s="403"/>
      <c r="CH64" s="403"/>
      <c r="CI64" s="403"/>
      <c r="CJ64" s="403"/>
      <c r="CK64" s="403"/>
      <c r="CL64" s="403"/>
      <c r="CM64" s="403"/>
      <c r="CN64" s="403"/>
      <c r="CO64" s="403"/>
      <c r="CP64" s="403"/>
      <c r="CQ64" s="403"/>
      <c r="CR64" s="403"/>
      <c r="CS64" s="403"/>
      <c r="CT64" s="403"/>
      <c r="CU64" s="403"/>
      <c r="CV64" s="403"/>
      <c r="CW64" s="403"/>
      <c r="CX64" s="403"/>
      <c r="CY64" s="403"/>
      <c r="CZ64" s="403"/>
      <c r="DA64" s="403"/>
      <c r="DB64" s="403"/>
      <c r="DC64" s="403"/>
      <c r="DD64" s="403"/>
      <c r="DE64" s="403"/>
      <c r="DF64" s="403"/>
      <c r="DG64" s="403"/>
      <c r="DH64" s="403"/>
      <c r="DI64" s="403"/>
      <c r="DJ64" s="403"/>
      <c r="DK64" s="403"/>
      <c r="DL64" s="403"/>
      <c r="DM64" s="403"/>
      <c r="DN64" s="403"/>
      <c r="DO64" s="403"/>
      <c r="DP64" s="403"/>
      <c r="DQ64" s="403"/>
      <c r="DR64" s="403"/>
      <c r="DS64" s="403"/>
      <c r="DT64" s="403"/>
      <c r="DU64" s="403"/>
      <c r="DV64" s="403"/>
      <c r="DW64" s="403"/>
      <c r="DX64" s="403"/>
      <c r="DY64" s="403"/>
      <c r="DZ64" s="403"/>
      <c r="EA64" s="403"/>
      <c r="EB64" s="403"/>
      <c r="EC64" s="403"/>
      <c r="ED64" s="403"/>
      <c r="EE64" s="403"/>
      <c r="EF64" s="403"/>
      <c r="EG64" s="403"/>
      <c r="EH64" s="403"/>
      <c r="EI64" s="403"/>
      <c r="EJ64" s="403"/>
      <c r="EK64" s="403"/>
      <c r="EL64" s="403"/>
      <c r="EM64" s="403"/>
      <c r="EN64" s="403"/>
      <c r="EO64" s="403"/>
      <c r="EP64" s="403"/>
      <c r="EQ64" s="403"/>
      <c r="ER64" s="403"/>
      <c r="ES64" s="403"/>
      <c r="ET64" s="403"/>
      <c r="EU64" s="403"/>
      <c r="EV64" s="403"/>
      <c r="EW64" s="403"/>
      <c r="EX64" s="403"/>
      <c r="EY64" s="403"/>
      <c r="EZ64" s="403"/>
      <c r="FA64" s="403"/>
      <c r="FB64" s="403"/>
      <c r="FC64" s="403"/>
      <c r="FD64" s="403"/>
      <c r="FE64" s="403"/>
      <c r="FF64" s="403"/>
      <c r="FG64" s="403"/>
      <c r="FH64" s="403"/>
      <c r="FI64" s="403"/>
      <c r="FJ64" s="403"/>
      <c r="FK64" s="403"/>
      <c r="FL64" s="403"/>
      <c r="FM64" s="403"/>
      <c r="FN64" s="403"/>
      <c r="FO64" s="403"/>
      <c r="FP64" s="403"/>
      <c r="FQ64" s="403"/>
      <c r="FR64" s="403"/>
      <c r="FS64" s="403"/>
      <c r="FT64" s="403"/>
      <c r="FU64" s="403"/>
      <c r="FV64" s="403"/>
      <c r="FW64" s="403"/>
      <c r="FX64" s="403"/>
      <c r="FY64" s="403"/>
      <c r="FZ64" s="403"/>
      <c r="GA64" s="403"/>
      <c r="GB64" s="403"/>
      <c r="GC64" s="403"/>
      <c r="GD64" s="403"/>
      <c r="GE64" s="403"/>
      <c r="GF64" s="403"/>
      <c r="GG64" s="403"/>
      <c r="GH64" s="403"/>
      <c r="GI64" s="403"/>
      <c r="GJ64" s="403"/>
      <c r="GK64" s="403"/>
      <c r="GL64" s="403"/>
      <c r="GM64" s="403"/>
      <c r="GN64" s="403"/>
      <c r="GO64" s="403"/>
      <c r="GP64" s="403"/>
      <c r="GQ64" s="403"/>
      <c r="GR64" s="403"/>
      <c r="GS64" s="403"/>
      <c r="GT64" s="403"/>
      <c r="GU64" s="403"/>
      <c r="GV64" s="403"/>
      <c r="GW64" s="403"/>
      <c r="GX64" s="403"/>
      <c r="GY64" s="403"/>
      <c r="GZ64" s="403"/>
      <c r="HA64" s="403"/>
      <c r="HB64" s="403"/>
      <c r="HC64" s="403"/>
      <c r="HD64" s="403"/>
      <c r="HE64" s="403"/>
      <c r="HF64" s="403"/>
      <c r="HG64" s="403"/>
      <c r="HH64" s="403"/>
      <c r="HI64" s="403"/>
      <c r="HJ64" s="403"/>
      <c r="HK64" s="403"/>
      <c r="HL64" s="403"/>
      <c r="HM64" s="403"/>
      <c r="HN64" s="403"/>
      <c r="HO64" s="403"/>
      <c r="HP64" s="403"/>
      <c r="HQ64" s="403"/>
      <c r="HR64" s="403"/>
      <c r="HS64" s="403"/>
      <c r="HT64" s="403"/>
      <c r="HU64" s="403"/>
      <c r="HV64" s="403"/>
      <c r="HW64" s="403"/>
      <c r="HX64" s="403"/>
      <c r="HY64" s="403"/>
      <c r="HZ64" s="403"/>
      <c r="IA64" s="403"/>
      <c r="IB64" s="403"/>
      <c r="IC64" s="403"/>
      <c r="ID64" s="403"/>
      <c r="IE64" s="403"/>
      <c r="IF64" s="403"/>
      <c r="IG64" s="403"/>
      <c r="IH64" s="403"/>
      <c r="II64" s="403"/>
      <c r="IJ64" s="403"/>
      <c r="IK64" s="403"/>
      <c r="IL64" s="403"/>
      <c r="IM64" s="403"/>
      <c r="IN64" s="403"/>
      <c r="IO64" s="403"/>
      <c r="IP64" s="403"/>
      <c r="IQ64" s="403"/>
      <c r="IR64" s="403"/>
      <c r="IS64" s="403"/>
      <c r="IT64" s="403"/>
      <c r="IU64" s="403"/>
      <c r="IV64" s="403"/>
      <c r="IW64" s="403"/>
      <c r="IX64" s="403"/>
      <c r="IY64" s="403"/>
      <c r="IZ64" s="403"/>
      <c r="JA64" s="403"/>
      <c r="JB64" s="403"/>
      <c r="JC64" s="403"/>
      <c r="JD64" s="403"/>
      <c r="JE64" s="403"/>
      <c r="JF64" s="403"/>
      <c r="JG64" s="403"/>
      <c r="JH64" s="403"/>
      <c r="JI64" s="403"/>
      <c r="JJ64" s="403"/>
      <c r="JK64" s="403"/>
      <c r="JL64" s="403"/>
      <c r="JM64" s="403"/>
      <c r="JN64" s="403"/>
      <c r="JO64" s="403"/>
      <c r="JP64" s="403"/>
      <c r="JQ64" s="403"/>
      <c r="JR64" s="403"/>
      <c r="JS64" s="403"/>
      <c r="JT64" s="403"/>
    </row>
    <row r="65" spans="1:280" s="281" customFormat="1" ht="12.75" x14ac:dyDescent="0.2">
      <c r="B65" s="624" t="str">
        <f ca="1">IF(OFFSET(AT65,0,Lang_Order*Lang__B5)="","",OFFSET(AT65,0,Lang_Order*Lang__B5))</f>
        <v>Redeployable HRH</v>
      </c>
      <c r="C65" s="5"/>
      <c r="D65" s="208">
        <f>Redeployable_Vaccinators</f>
        <v>0</v>
      </c>
      <c r="J65" s="16"/>
      <c r="K65" s="16"/>
      <c r="L65" s="16"/>
      <c r="M65" s="16"/>
      <c r="N65" s="16"/>
      <c r="O65" s="16"/>
      <c r="P65" s="16"/>
      <c r="Q65" s="16"/>
      <c r="R65" s="12" t="str">
        <f t="shared" ca="1" si="94"/>
        <v/>
      </c>
      <c r="U65" s="624" t="str">
        <f ca="1">IF(OFFSET(AT65,0,Lang_Order*Lang__B5)="","",OFFSET(AT65,0,Lang_Order*Lang__B5))</f>
        <v>Redeployable HRH</v>
      </c>
      <c r="V65" s="5"/>
      <c r="AG65" s="624" t="str">
        <f ca="1">IF(OFFSET(AT65,0,Lang_Order*Lang__B5)="","",OFFSET(AT65,0,Lang_Order*Lang__B5))</f>
        <v>Redeployable HRH</v>
      </c>
      <c r="AH65" s="5"/>
      <c r="AR65" s="403"/>
      <c r="AS65" s="403"/>
      <c r="AT65" s="403" t="s">
        <v>3171</v>
      </c>
      <c r="AU65" s="403"/>
      <c r="AV65" s="403"/>
      <c r="AW65" s="403"/>
      <c r="AX65" s="403"/>
      <c r="AY65" s="403"/>
      <c r="AZ65" s="403"/>
      <c r="BA65" s="403"/>
      <c r="BB65" s="403"/>
      <c r="BC65" s="403"/>
      <c r="BD65" s="403"/>
      <c r="BE65" s="403"/>
      <c r="BF65" s="403"/>
      <c r="BG65" s="403"/>
      <c r="BH65" s="403"/>
      <c r="BI65" s="403"/>
      <c r="BJ65" s="403"/>
      <c r="BK65" s="403"/>
      <c r="BL65" s="403"/>
      <c r="BM65" s="403"/>
      <c r="BN65" s="403"/>
      <c r="BO65" s="403"/>
      <c r="BP65" s="403"/>
      <c r="BQ65" s="403"/>
      <c r="BR65" s="403"/>
      <c r="BS65" s="403"/>
      <c r="BT65" s="403"/>
      <c r="BU65" s="403"/>
      <c r="BV65" s="403"/>
      <c r="BW65" s="403"/>
      <c r="BX65" s="403"/>
      <c r="BY65" s="403"/>
      <c r="BZ65" s="403"/>
      <c r="CA65" s="403"/>
      <c r="CB65" s="403" t="s">
        <v>11713</v>
      </c>
      <c r="CC65" s="403"/>
      <c r="CD65" s="403"/>
      <c r="CE65" s="403"/>
      <c r="CF65" s="403"/>
      <c r="CG65" s="403"/>
      <c r="CH65" s="403"/>
      <c r="CI65" s="403"/>
      <c r="CJ65" s="403"/>
      <c r="CK65" s="403"/>
      <c r="CL65" s="403"/>
      <c r="CM65" s="403"/>
      <c r="CN65" s="403"/>
      <c r="CO65" s="403"/>
      <c r="CP65" s="403"/>
      <c r="CQ65" s="403"/>
      <c r="CR65" s="403"/>
      <c r="CS65" s="403"/>
      <c r="CT65" s="403"/>
      <c r="CU65" s="403"/>
      <c r="CV65" s="403"/>
      <c r="CW65" s="403"/>
      <c r="CX65" s="403"/>
      <c r="CY65" s="403"/>
      <c r="CZ65" s="403"/>
      <c r="DA65" s="403"/>
      <c r="DB65" s="403"/>
      <c r="DC65" s="403"/>
      <c r="DD65" s="403"/>
      <c r="DE65" s="403"/>
      <c r="DF65" s="403"/>
      <c r="DG65" s="403"/>
      <c r="DH65" s="403"/>
      <c r="DI65" s="403"/>
      <c r="DJ65" s="403" t="s">
        <v>11714</v>
      </c>
      <c r="DK65" s="403"/>
      <c r="DL65" s="403"/>
      <c r="DM65" s="403"/>
      <c r="DN65" s="403"/>
      <c r="DO65" s="403"/>
      <c r="DP65" s="403"/>
      <c r="DQ65" s="403"/>
      <c r="DR65" s="403"/>
      <c r="DS65" s="403"/>
      <c r="DT65" s="403"/>
      <c r="DU65" s="403"/>
      <c r="DV65" s="403"/>
      <c r="DW65" s="403"/>
      <c r="DX65" s="403"/>
      <c r="DY65" s="403"/>
      <c r="DZ65" s="403"/>
      <c r="EA65" s="403"/>
      <c r="EB65" s="403"/>
      <c r="EC65" s="403"/>
      <c r="ED65" s="403"/>
      <c r="EE65" s="403"/>
      <c r="EF65" s="403"/>
      <c r="EG65" s="403"/>
      <c r="EH65" s="403"/>
      <c r="EI65" s="403"/>
      <c r="EJ65" s="403"/>
      <c r="EK65" s="403"/>
      <c r="EL65" s="403"/>
      <c r="EM65" s="403"/>
      <c r="EN65" s="403"/>
      <c r="EO65" s="403"/>
      <c r="EP65" s="403"/>
      <c r="EQ65" s="403"/>
      <c r="ER65" s="403" t="s">
        <v>11715</v>
      </c>
      <c r="ES65" s="403"/>
      <c r="ET65" s="403"/>
      <c r="EU65" s="403"/>
      <c r="EV65" s="403"/>
      <c r="EW65" s="403"/>
      <c r="EX65" s="403"/>
      <c r="EY65" s="403"/>
      <c r="EZ65" s="403"/>
      <c r="FA65" s="403"/>
      <c r="FB65" s="403"/>
      <c r="FC65" s="403"/>
      <c r="FD65" s="403"/>
      <c r="FE65" s="403"/>
      <c r="FF65" s="403"/>
      <c r="FG65" s="403"/>
      <c r="FH65" s="403"/>
      <c r="FI65" s="403"/>
      <c r="FJ65" s="403"/>
      <c r="FK65" s="403"/>
      <c r="FL65" s="403"/>
      <c r="FM65" s="403"/>
      <c r="FN65" s="403"/>
      <c r="FO65" s="403"/>
      <c r="FP65" s="403"/>
      <c r="FQ65" s="403"/>
      <c r="FR65" s="403"/>
      <c r="FS65" s="403"/>
      <c r="FT65" s="403"/>
      <c r="FU65" s="403"/>
      <c r="FV65" s="403"/>
      <c r="FW65" s="403"/>
      <c r="FX65" s="403"/>
      <c r="FY65" s="403"/>
      <c r="FZ65" s="403" t="s">
        <v>11716</v>
      </c>
      <c r="GA65" s="403"/>
      <c r="GB65" s="403"/>
      <c r="GC65" s="403"/>
      <c r="GD65" s="403"/>
      <c r="GE65" s="403"/>
      <c r="GF65" s="403"/>
      <c r="GG65" s="403"/>
      <c r="GH65" s="403"/>
      <c r="GI65" s="403"/>
      <c r="GJ65" s="403"/>
      <c r="GK65" s="403"/>
      <c r="GL65" s="403"/>
      <c r="GM65" s="403"/>
      <c r="GN65" s="403"/>
      <c r="GO65" s="403"/>
      <c r="GP65" s="403"/>
      <c r="GQ65" s="403"/>
      <c r="GR65" s="403"/>
      <c r="GS65" s="403"/>
      <c r="GT65" s="403"/>
      <c r="GU65" s="403"/>
      <c r="GV65" s="403"/>
      <c r="GW65" s="403"/>
      <c r="GX65" s="403"/>
      <c r="GY65" s="403"/>
      <c r="GZ65" s="403"/>
      <c r="HA65" s="403"/>
      <c r="HB65" s="403"/>
      <c r="HC65" s="403"/>
      <c r="HD65" s="403"/>
      <c r="HE65" s="403"/>
      <c r="HF65" s="403"/>
      <c r="HG65" s="403"/>
      <c r="HH65" s="403" t="s">
        <v>11717</v>
      </c>
      <c r="HI65" s="403"/>
      <c r="HJ65" s="403"/>
      <c r="HK65" s="403"/>
      <c r="HL65" s="403"/>
      <c r="HM65" s="403"/>
      <c r="HN65" s="403"/>
      <c r="HO65" s="403"/>
      <c r="HP65" s="403"/>
      <c r="HQ65" s="403"/>
      <c r="HR65" s="403"/>
      <c r="HS65" s="403"/>
      <c r="HT65" s="403"/>
      <c r="HU65" s="403"/>
      <c r="HV65" s="403"/>
      <c r="HW65" s="403"/>
      <c r="HX65" s="403"/>
      <c r="HY65" s="403"/>
      <c r="HZ65" s="403"/>
      <c r="IA65" s="403"/>
      <c r="IB65" s="403"/>
      <c r="IC65" s="403"/>
      <c r="ID65" s="403"/>
      <c r="IE65" s="403"/>
      <c r="IF65" s="403"/>
      <c r="IG65" s="403"/>
      <c r="IH65" s="403"/>
      <c r="II65" s="403"/>
      <c r="IJ65" s="403"/>
      <c r="IK65" s="403"/>
      <c r="IL65" s="403"/>
      <c r="IM65" s="403"/>
      <c r="IN65" s="403"/>
      <c r="IO65" s="403"/>
      <c r="IP65" s="403" t="s">
        <v>11718</v>
      </c>
      <c r="IQ65" s="403"/>
      <c r="IR65" s="403"/>
      <c r="IS65" s="403"/>
      <c r="IT65" s="403"/>
      <c r="IU65" s="403"/>
      <c r="IV65" s="403"/>
      <c r="IW65" s="403"/>
      <c r="IX65" s="403"/>
      <c r="IY65" s="403"/>
      <c r="IZ65" s="403"/>
      <c r="JA65" s="403"/>
      <c r="JB65" s="403"/>
      <c r="JC65" s="403"/>
      <c r="JD65" s="403"/>
      <c r="JE65" s="403"/>
      <c r="JF65" s="403"/>
      <c r="JG65" s="403"/>
      <c r="JH65" s="403"/>
      <c r="JI65" s="403"/>
      <c r="JJ65" s="403"/>
      <c r="JK65" s="403"/>
      <c r="JL65" s="403"/>
      <c r="JM65" s="403"/>
      <c r="JN65" s="403"/>
      <c r="JO65" s="403"/>
      <c r="JP65" s="403"/>
      <c r="JQ65" s="403"/>
      <c r="JR65" s="403"/>
      <c r="JS65" s="403"/>
      <c r="JT65" s="403"/>
    </row>
    <row r="66" spans="1:280" s="281" customFormat="1" ht="12.75" x14ac:dyDescent="0.2">
      <c r="B66" s="624"/>
      <c r="C66" s="5" t="str">
        <f ca="1">IF(OFFSET(AU66,0,Lang_Order*Lang__B5)="","",OFFSET(AU66,0,Lang_Order*Lang__B5))</f>
        <v>Vaccinator FTEs</v>
      </c>
      <c r="J66" s="16" t="e">
        <f t="shared" ref="J66:P66" si="125">ROUND(J59/FTE_WorkingDays_perPeriod,0)</f>
        <v>#N/A</v>
      </c>
      <c r="K66" s="16" t="e">
        <f t="shared" si="125"/>
        <v>#N/A</v>
      </c>
      <c r="L66" s="16" t="e">
        <f t="shared" si="125"/>
        <v>#N/A</v>
      </c>
      <c r="M66" s="16" t="e">
        <f t="shared" si="125"/>
        <v>#N/A</v>
      </c>
      <c r="N66" s="16" t="e">
        <f t="shared" si="125"/>
        <v>#N/A</v>
      </c>
      <c r="O66" s="16" t="e">
        <f t="shared" si="125"/>
        <v>#N/A</v>
      </c>
      <c r="P66" s="16" t="e">
        <f t="shared" si="125"/>
        <v>#N/A</v>
      </c>
      <c r="Q66" s="16"/>
      <c r="R66" s="12" t="str">
        <f t="shared" ca="1" si="94"/>
        <v/>
      </c>
      <c r="U66" s="624"/>
      <c r="V66" s="72" t="str">
        <f ca="1">IF(OFFSET(AU66,0,Lang_Order*Lang__B5)="","",OFFSET(AU66,0,Lang_Order*Lang__B5))</f>
        <v>Vaccinator FTEs</v>
      </c>
      <c r="W66" s="16" t="e">
        <f t="shared" ref="W66:AC66" si="126">ROUND(W59/FTE_WorkingDays_perPeriod,0)</f>
        <v>#N/A</v>
      </c>
      <c r="X66" s="16" t="e">
        <f t="shared" si="126"/>
        <v>#N/A</v>
      </c>
      <c r="Y66" s="16" t="e">
        <f t="shared" si="126"/>
        <v>#N/A</v>
      </c>
      <c r="Z66" s="16" t="e">
        <f t="shared" si="126"/>
        <v>#N/A</v>
      </c>
      <c r="AA66" s="16" t="e">
        <f t="shared" si="126"/>
        <v>#N/A</v>
      </c>
      <c r="AB66" s="16" t="e">
        <f t="shared" si="126"/>
        <v>#N/A</v>
      </c>
      <c r="AC66" s="16" t="e">
        <f t="shared" si="126"/>
        <v>#N/A</v>
      </c>
      <c r="AG66" s="624"/>
      <c r="AH66" s="72" t="str">
        <f ca="1">IF(OFFSET(AU66,0,Lang_Order*Lang__B5)="","",OFFSET(AU66,0,Lang_Order*Lang__B5))</f>
        <v>Vaccinator FTEs</v>
      </c>
      <c r="AI66" s="16" t="e">
        <f t="shared" ref="AI66:AO66" si="127">ROUND(AI59/FTE_WorkingDays_perPeriod,0)</f>
        <v>#N/A</v>
      </c>
      <c r="AJ66" s="16" t="e">
        <f t="shared" si="127"/>
        <v>#N/A</v>
      </c>
      <c r="AK66" s="16" t="e">
        <f t="shared" si="127"/>
        <v>#N/A</v>
      </c>
      <c r="AL66" s="16" t="e">
        <f t="shared" si="127"/>
        <v>#N/A</v>
      </c>
      <c r="AM66" s="16" t="e">
        <f t="shared" si="127"/>
        <v>#N/A</v>
      </c>
      <c r="AN66" s="16" t="e">
        <f t="shared" si="127"/>
        <v>#N/A</v>
      </c>
      <c r="AO66" s="16" t="e">
        <f t="shared" si="127"/>
        <v>#N/A</v>
      </c>
      <c r="AR66" s="403"/>
      <c r="AS66" s="403"/>
      <c r="AT66" s="403"/>
      <c r="AU66" s="403" t="s">
        <v>3172</v>
      </c>
      <c r="AV66" s="403"/>
      <c r="AW66" s="403"/>
      <c r="AX66" s="403"/>
      <c r="AY66" s="403"/>
      <c r="AZ66" s="403"/>
      <c r="BA66" s="403"/>
      <c r="BB66" s="403"/>
      <c r="BC66" s="403"/>
      <c r="BD66" s="403"/>
      <c r="BE66" s="403"/>
      <c r="BF66" s="403"/>
      <c r="BG66" s="403"/>
      <c r="BH66" s="403"/>
      <c r="BI66" s="403"/>
      <c r="BJ66" s="403"/>
      <c r="BK66" s="403"/>
      <c r="BL66" s="403"/>
      <c r="BM66" s="403"/>
      <c r="BN66" s="403"/>
      <c r="BO66" s="403"/>
      <c r="BP66" s="403"/>
      <c r="BQ66" s="403"/>
      <c r="BR66" s="403"/>
      <c r="BS66" s="403"/>
      <c r="BT66" s="403"/>
      <c r="BU66" s="403"/>
      <c r="BV66" s="403"/>
      <c r="BW66" s="403"/>
      <c r="BX66" s="403"/>
      <c r="BY66" s="403"/>
      <c r="BZ66" s="403"/>
      <c r="CA66" s="403"/>
      <c r="CB66" s="403"/>
      <c r="CC66" s="403" t="s">
        <v>11719</v>
      </c>
      <c r="CD66" s="403"/>
      <c r="CE66" s="403"/>
      <c r="CF66" s="403"/>
      <c r="CG66" s="403"/>
      <c r="CH66" s="403"/>
      <c r="CI66" s="403"/>
      <c r="CJ66" s="403"/>
      <c r="CK66" s="403"/>
      <c r="CL66" s="403"/>
      <c r="CM66" s="403"/>
      <c r="CN66" s="403"/>
      <c r="CO66" s="403"/>
      <c r="CP66" s="403"/>
      <c r="CQ66" s="403"/>
      <c r="CR66" s="403"/>
      <c r="CS66" s="403"/>
      <c r="CT66" s="403"/>
      <c r="CU66" s="403"/>
      <c r="CV66" s="403"/>
      <c r="CW66" s="403"/>
      <c r="CX66" s="403"/>
      <c r="CY66" s="403"/>
      <c r="CZ66" s="403"/>
      <c r="DA66" s="403"/>
      <c r="DB66" s="403"/>
      <c r="DC66" s="403"/>
      <c r="DD66" s="403"/>
      <c r="DE66" s="403"/>
      <c r="DF66" s="403"/>
      <c r="DG66" s="403"/>
      <c r="DH66" s="403"/>
      <c r="DI66" s="403"/>
      <c r="DJ66" s="403"/>
      <c r="DK66" s="403" t="s">
        <v>11720</v>
      </c>
      <c r="DL66" s="403"/>
      <c r="DM66" s="403"/>
      <c r="DN66" s="403"/>
      <c r="DO66" s="403"/>
      <c r="DP66" s="403"/>
      <c r="DQ66" s="403"/>
      <c r="DR66" s="403"/>
      <c r="DS66" s="403"/>
      <c r="DT66" s="403"/>
      <c r="DU66" s="403"/>
      <c r="DV66" s="403"/>
      <c r="DW66" s="403"/>
      <c r="DX66" s="403"/>
      <c r="DY66" s="403"/>
      <c r="DZ66" s="403"/>
      <c r="EA66" s="403"/>
      <c r="EB66" s="403"/>
      <c r="EC66" s="403"/>
      <c r="ED66" s="403"/>
      <c r="EE66" s="403"/>
      <c r="EF66" s="403"/>
      <c r="EG66" s="403"/>
      <c r="EH66" s="403"/>
      <c r="EI66" s="403"/>
      <c r="EJ66" s="403"/>
      <c r="EK66" s="403"/>
      <c r="EL66" s="403"/>
      <c r="EM66" s="403"/>
      <c r="EN66" s="403"/>
      <c r="EO66" s="403"/>
      <c r="EP66" s="403"/>
      <c r="EQ66" s="403"/>
      <c r="ER66" s="403"/>
      <c r="ES66" s="403" t="s">
        <v>11721</v>
      </c>
      <c r="ET66" s="403"/>
      <c r="EU66" s="403"/>
      <c r="EV66" s="403"/>
      <c r="EW66" s="403"/>
      <c r="EX66" s="403"/>
      <c r="EY66" s="403"/>
      <c r="EZ66" s="403"/>
      <c r="FA66" s="403"/>
      <c r="FB66" s="403"/>
      <c r="FC66" s="403"/>
      <c r="FD66" s="403"/>
      <c r="FE66" s="403"/>
      <c r="FF66" s="403"/>
      <c r="FG66" s="403"/>
      <c r="FH66" s="403"/>
      <c r="FI66" s="403"/>
      <c r="FJ66" s="403"/>
      <c r="FK66" s="403"/>
      <c r="FL66" s="403"/>
      <c r="FM66" s="403"/>
      <c r="FN66" s="403"/>
      <c r="FO66" s="403"/>
      <c r="FP66" s="403"/>
      <c r="FQ66" s="403"/>
      <c r="FR66" s="403"/>
      <c r="FS66" s="403"/>
      <c r="FT66" s="403"/>
      <c r="FU66" s="403"/>
      <c r="FV66" s="403"/>
      <c r="FW66" s="403"/>
      <c r="FX66" s="403"/>
      <c r="FY66" s="403"/>
      <c r="FZ66" s="403"/>
      <c r="GA66" s="403" t="s">
        <v>11722</v>
      </c>
      <c r="GB66" s="403"/>
      <c r="GC66" s="403"/>
      <c r="GD66" s="403"/>
      <c r="GE66" s="403"/>
      <c r="GF66" s="403"/>
      <c r="GG66" s="403"/>
      <c r="GH66" s="403"/>
      <c r="GI66" s="403"/>
      <c r="GJ66" s="403"/>
      <c r="GK66" s="403"/>
      <c r="GL66" s="403"/>
      <c r="GM66" s="403"/>
      <c r="GN66" s="403"/>
      <c r="GO66" s="403"/>
      <c r="GP66" s="403"/>
      <c r="GQ66" s="403"/>
      <c r="GR66" s="403"/>
      <c r="GS66" s="403"/>
      <c r="GT66" s="403"/>
      <c r="GU66" s="403"/>
      <c r="GV66" s="403"/>
      <c r="GW66" s="403"/>
      <c r="GX66" s="403"/>
      <c r="GY66" s="403"/>
      <c r="GZ66" s="403"/>
      <c r="HA66" s="403"/>
      <c r="HB66" s="403"/>
      <c r="HC66" s="403"/>
      <c r="HD66" s="403"/>
      <c r="HE66" s="403"/>
      <c r="HF66" s="403"/>
      <c r="HG66" s="403"/>
      <c r="HH66" s="403"/>
      <c r="HI66" s="403" t="s">
        <v>11723</v>
      </c>
      <c r="HJ66" s="403"/>
      <c r="HK66" s="403"/>
      <c r="HL66" s="403"/>
      <c r="HM66" s="403"/>
      <c r="HN66" s="403"/>
      <c r="HO66" s="403"/>
      <c r="HP66" s="403"/>
      <c r="HQ66" s="403"/>
      <c r="HR66" s="403"/>
      <c r="HS66" s="403"/>
      <c r="HT66" s="403"/>
      <c r="HU66" s="403"/>
      <c r="HV66" s="403"/>
      <c r="HW66" s="403"/>
      <c r="HX66" s="403"/>
      <c r="HY66" s="403"/>
      <c r="HZ66" s="403"/>
      <c r="IA66" s="403"/>
      <c r="IB66" s="403"/>
      <c r="IC66" s="403"/>
      <c r="ID66" s="403"/>
      <c r="IE66" s="403"/>
      <c r="IF66" s="403"/>
      <c r="IG66" s="403"/>
      <c r="IH66" s="403"/>
      <c r="II66" s="403"/>
      <c r="IJ66" s="403"/>
      <c r="IK66" s="403"/>
      <c r="IL66" s="403"/>
      <c r="IM66" s="403"/>
      <c r="IN66" s="403"/>
      <c r="IO66" s="403"/>
      <c r="IP66" s="403"/>
      <c r="IQ66" s="403" t="s">
        <v>11724</v>
      </c>
      <c r="IR66" s="403"/>
      <c r="IS66" s="403"/>
      <c r="IT66" s="403"/>
      <c r="IU66" s="403"/>
      <c r="IV66" s="403"/>
      <c r="IW66" s="403"/>
      <c r="IX66" s="403"/>
      <c r="IY66" s="403"/>
      <c r="IZ66" s="403"/>
      <c r="JA66" s="403"/>
      <c r="JB66" s="403"/>
      <c r="JC66" s="403"/>
      <c r="JD66" s="403"/>
      <c r="JE66" s="403"/>
      <c r="JF66" s="403"/>
      <c r="JG66" s="403"/>
      <c r="JH66" s="403"/>
      <c r="JI66" s="403"/>
      <c r="JJ66" s="403"/>
      <c r="JK66" s="403"/>
      <c r="JL66" s="403"/>
      <c r="JM66" s="403"/>
      <c r="JN66" s="403"/>
      <c r="JO66" s="403"/>
      <c r="JP66" s="403"/>
      <c r="JQ66" s="403"/>
      <c r="JR66" s="403"/>
      <c r="JS66" s="403"/>
      <c r="JT66" s="403"/>
    </row>
    <row r="67" spans="1:280" s="281" customFormat="1" ht="12.75" x14ac:dyDescent="0.2">
      <c r="B67" s="622"/>
      <c r="C67" s="5" t="str">
        <f ca="1">IF(OFFSET(AU67,0,Lang_Order*Lang__B5)="","",OFFSET(AU67,0,Lang_Order*Lang__B5))</f>
        <v>Redeployed Vaccinators (FTEs)</v>
      </c>
      <c r="J67" s="16" t="e">
        <f t="shared" ref="J67:P67" si="128">MIN(Redeployable_Vaccinators,J66)</f>
        <v>#N/A</v>
      </c>
      <c r="K67" s="16" t="e">
        <f t="shared" si="128"/>
        <v>#N/A</v>
      </c>
      <c r="L67" s="16" t="e">
        <f t="shared" si="128"/>
        <v>#N/A</v>
      </c>
      <c r="M67" s="16" t="e">
        <f t="shared" si="128"/>
        <v>#N/A</v>
      </c>
      <c r="N67" s="16" t="e">
        <f t="shared" si="128"/>
        <v>#N/A</v>
      </c>
      <c r="O67" s="16" t="e">
        <f t="shared" si="128"/>
        <v>#N/A</v>
      </c>
      <c r="P67" s="16" t="e">
        <f t="shared" si="128"/>
        <v>#N/A</v>
      </c>
      <c r="Q67" s="16"/>
      <c r="R67" s="12" t="str">
        <f t="shared" ca="1" si="94"/>
        <v/>
      </c>
      <c r="U67" s="622"/>
      <c r="V67" s="72" t="str">
        <f ca="1">IF(OFFSET(AU67,0,Lang_Order*Lang__B5)="","",OFFSET(AU67,0,Lang_Order*Lang__B5))</f>
        <v>Redeployed Vaccinators (FTEs)</v>
      </c>
      <c r="W67" s="16" t="e">
        <f t="shared" ref="W67:AC67" si="129">MIN(Redeployable_Vaccinators,W66)</f>
        <v>#N/A</v>
      </c>
      <c r="X67" s="16" t="e">
        <f t="shared" si="129"/>
        <v>#N/A</v>
      </c>
      <c r="Y67" s="16" t="e">
        <f t="shared" si="129"/>
        <v>#N/A</v>
      </c>
      <c r="Z67" s="16" t="e">
        <f t="shared" si="129"/>
        <v>#N/A</v>
      </c>
      <c r="AA67" s="16" t="e">
        <f t="shared" si="129"/>
        <v>#N/A</v>
      </c>
      <c r="AB67" s="16" t="e">
        <f t="shared" si="129"/>
        <v>#N/A</v>
      </c>
      <c r="AC67" s="16" t="e">
        <f t="shared" si="129"/>
        <v>#N/A</v>
      </c>
      <c r="AG67" s="622"/>
      <c r="AH67" s="72" t="str">
        <f ca="1">IF(OFFSET(AU67,0,Lang_Order*Lang__B5)="","",OFFSET(AU67,0,Lang_Order*Lang__B5))</f>
        <v>Redeployed Vaccinators (FTEs)</v>
      </c>
      <c r="AI67" s="16" t="e">
        <f t="shared" ref="AI67:AO67" si="130">MIN(Redeployable_Vaccinators,AI66)</f>
        <v>#N/A</v>
      </c>
      <c r="AJ67" s="16" t="e">
        <f t="shared" si="130"/>
        <v>#N/A</v>
      </c>
      <c r="AK67" s="16" t="e">
        <f t="shared" si="130"/>
        <v>#N/A</v>
      </c>
      <c r="AL67" s="16" t="e">
        <f t="shared" si="130"/>
        <v>#N/A</v>
      </c>
      <c r="AM67" s="16" t="e">
        <f t="shared" si="130"/>
        <v>#N/A</v>
      </c>
      <c r="AN67" s="16" t="e">
        <f t="shared" si="130"/>
        <v>#N/A</v>
      </c>
      <c r="AO67" s="16" t="e">
        <f t="shared" si="130"/>
        <v>#N/A</v>
      </c>
      <c r="AR67" s="403"/>
      <c r="AS67" s="403"/>
      <c r="AT67" s="403"/>
      <c r="AU67" s="403" t="s">
        <v>3960</v>
      </c>
      <c r="AV67" s="403"/>
      <c r="AW67" s="403"/>
      <c r="AX67" s="403"/>
      <c r="AY67" s="403"/>
      <c r="AZ67" s="403"/>
      <c r="BA67" s="403"/>
      <c r="BB67" s="403"/>
      <c r="BC67" s="403"/>
      <c r="BD67" s="403"/>
      <c r="BE67" s="403"/>
      <c r="BF67" s="403"/>
      <c r="BG67" s="403"/>
      <c r="BH67" s="403"/>
      <c r="BI67" s="403"/>
      <c r="BJ67" s="403"/>
      <c r="BK67" s="403"/>
      <c r="BL67" s="403"/>
      <c r="BM67" s="403"/>
      <c r="BN67" s="403"/>
      <c r="BO67" s="403"/>
      <c r="BP67" s="403"/>
      <c r="BQ67" s="403"/>
      <c r="BR67" s="403"/>
      <c r="BS67" s="403"/>
      <c r="BT67" s="403"/>
      <c r="BU67" s="403"/>
      <c r="BV67" s="403"/>
      <c r="BW67" s="403"/>
      <c r="BX67" s="403"/>
      <c r="BY67" s="403"/>
      <c r="BZ67" s="403"/>
      <c r="CA67" s="403"/>
      <c r="CB67" s="403"/>
      <c r="CC67" s="403" t="s">
        <v>11725</v>
      </c>
      <c r="CD67" s="403"/>
      <c r="CE67" s="403"/>
      <c r="CF67" s="403"/>
      <c r="CG67" s="403"/>
      <c r="CH67" s="403"/>
      <c r="CI67" s="403"/>
      <c r="CJ67" s="403"/>
      <c r="CK67" s="403"/>
      <c r="CL67" s="403"/>
      <c r="CM67" s="403"/>
      <c r="CN67" s="403"/>
      <c r="CO67" s="403"/>
      <c r="CP67" s="403"/>
      <c r="CQ67" s="403"/>
      <c r="CR67" s="403"/>
      <c r="CS67" s="403"/>
      <c r="CT67" s="403"/>
      <c r="CU67" s="403"/>
      <c r="CV67" s="403"/>
      <c r="CW67" s="403"/>
      <c r="CX67" s="403"/>
      <c r="CY67" s="403"/>
      <c r="CZ67" s="403"/>
      <c r="DA67" s="403"/>
      <c r="DB67" s="403"/>
      <c r="DC67" s="403"/>
      <c r="DD67" s="403"/>
      <c r="DE67" s="403"/>
      <c r="DF67" s="403"/>
      <c r="DG67" s="403"/>
      <c r="DH67" s="403"/>
      <c r="DI67" s="403"/>
      <c r="DJ67" s="403"/>
      <c r="DK67" s="403" t="s">
        <v>11726</v>
      </c>
      <c r="DL67" s="403"/>
      <c r="DM67" s="403"/>
      <c r="DN67" s="403"/>
      <c r="DO67" s="403"/>
      <c r="DP67" s="403"/>
      <c r="DQ67" s="403"/>
      <c r="DR67" s="403"/>
      <c r="DS67" s="403"/>
      <c r="DT67" s="403"/>
      <c r="DU67" s="403"/>
      <c r="DV67" s="403"/>
      <c r="DW67" s="403"/>
      <c r="DX67" s="403"/>
      <c r="DY67" s="403"/>
      <c r="DZ67" s="403"/>
      <c r="EA67" s="403"/>
      <c r="EB67" s="403"/>
      <c r="EC67" s="403"/>
      <c r="ED67" s="403"/>
      <c r="EE67" s="403"/>
      <c r="EF67" s="403"/>
      <c r="EG67" s="403"/>
      <c r="EH67" s="403"/>
      <c r="EI67" s="403"/>
      <c r="EJ67" s="403"/>
      <c r="EK67" s="403"/>
      <c r="EL67" s="403"/>
      <c r="EM67" s="403"/>
      <c r="EN67" s="403"/>
      <c r="EO67" s="403"/>
      <c r="EP67" s="403"/>
      <c r="EQ67" s="403"/>
      <c r="ER67" s="403"/>
      <c r="ES67" s="403" t="s">
        <v>11727</v>
      </c>
      <c r="ET67" s="403"/>
      <c r="EU67" s="403"/>
      <c r="EV67" s="403"/>
      <c r="EW67" s="403"/>
      <c r="EX67" s="403"/>
      <c r="EY67" s="403"/>
      <c r="EZ67" s="403"/>
      <c r="FA67" s="403"/>
      <c r="FB67" s="403"/>
      <c r="FC67" s="403"/>
      <c r="FD67" s="403"/>
      <c r="FE67" s="403"/>
      <c r="FF67" s="403"/>
      <c r="FG67" s="403"/>
      <c r="FH67" s="403"/>
      <c r="FI67" s="403"/>
      <c r="FJ67" s="403"/>
      <c r="FK67" s="403"/>
      <c r="FL67" s="403"/>
      <c r="FM67" s="403"/>
      <c r="FN67" s="403"/>
      <c r="FO67" s="403"/>
      <c r="FP67" s="403"/>
      <c r="FQ67" s="403"/>
      <c r="FR67" s="403"/>
      <c r="FS67" s="403"/>
      <c r="FT67" s="403"/>
      <c r="FU67" s="403"/>
      <c r="FV67" s="403"/>
      <c r="FW67" s="403"/>
      <c r="FX67" s="403"/>
      <c r="FY67" s="403"/>
      <c r="FZ67" s="403"/>
      <c r="GA67" s="403" t="s">
        <v>11728</v>
      </c>
      <c r="GB67" s="403"/>
      <c r="GC67" s="403"/>
      <c r="GD67" s="403"/>
      <c r="GE67" s="403"/>
      <c r="GF67" s="403"/>
      <c r="GG67" s="403"/>
      <c r="GH67" s="403"/>
      <c r="GI67" s="403"/>
      <c r="GJ67" s="403"/>
      <c r="GK67" s="403"/>
      <c r="GL67" s="403"/>
      <c r="GM67" s="403"/>
      <c r="GN67" s="403"/>
      <c r="GO67" s="403"/>
      <c r="GP67" s="403"/>
      <c r="GQ67" s="403"/>
      <c r="GR67" s="403"/>
      <c r="GS67" s="403"/>
      <c r="GT67" s="403"/>
      <c r="GU67" s="403"/>
      <c r="GV67" s="403"/>
      <c r="GW67" s="403"/>
      <c r="GX67" s="403"/>
      <c r="GY67" s="403"/>
      <c r="GZ67" s="403"/>
      <c r="HA67" s="403"/>
      <c r="HB67" s="403"/>
      <c r="HC67" s="403"/>
      <c r="HD67" s="403"/>
      <c r="HE67" s="403"/>
      <c r="HF67" s="403"/>
      <c r="HG67" s="403"/>
      <c r="HH67" s="403"/>
      <c r="HI67" s="403" t="s">
        <v>11729</v>
      </c>
      <c r="HJ67" s="403"/>
      <c r="HK67" s="403"/>
      <c r="HL67" s="403"/>
      <c r="HM67" s="403"/>
      <c r="HN67" s="403"/>
      <c r="HO67" s="403"/>
      <c r="HP67" s="403"/>
      <c r="HQ67" s="403"/>
      <c r="HR67" s="403"/>
      <c r="HS67" s="403"/>
      <c r="HT67" s="403"/>
      <c r="HU67" s="403"/>
      <c r="HV67" s="403"/>
      <c r="HW67" s="403"/>
      <c r="HX67" s="403"/>
      <c r="HY67" s="403"/>
      <c r="HZ67" s="403"/>
      <c r="IA67" s="403"/>
      <c r="IB67" s="403"/>
      <c r="IC67" s="403"/>
      <c r="ID67" s="403"/>
      <c r="IE67" s="403"/>
      <c r="IF67" s="403"/>
      <c r="IG67" s="403"/>
      <c r="IH67" s="403"/>
      <c r="II67" s="403"/>
      <c r="IJ67" s="403"/>
      <c r="IK67" s="403"/>
      <c r="IL67" s="403"/>
      <c r="IM67" s="403"/>
      <c r="IN67" s="403"/>
      <c r="IO67" s="403"/>
      <c r="IP67" s="403"/>
      <c r="IQ67" s="403" t="s">
        <v>11730</v>
      </c>
      <c r="IR67" s="403"/>
      <c r="IS67" s="403"/>
      <c r="IT67" s="403"/>
      <c r="IU67" s="403"/>
      <c r="IV67" s="403"/>
      <c r="IW67" s="403"/>
      <c r="IX67" s="403"/>
      <c r="IY67" s="403"/>
      <c r="IZ67" s="403"/>
      <c r="JA67" s="403"/>
      <c r="JB67" s="403"/>
      <c r="JC67" s="403"/>
      <c r="JD67" s="403"/>
      <c r="JE67" s="403"/>
      <c r="JF67" s="403"/>
      <c r="JG67" s="403"/>
      <c r="JH67" s="403"/>
      <c r="JI67" s="403"/>
      <c r="JJ67" s="403"/>
      <c r="JK67" s="403"/>
      <c r="JL67" s="403"/>
      <c r="JM67" s="403"/>
      <c r="JN67" s="403"/>
      <c r="JO67" s="403"/>
      <c r="JP67" s="403"/>
      <c r="JQ67" s="403"/>
      <c r="JR67" s="403"/>
      <c r="JS67" s="403"/>
      <c r="JT67" s="403"/>
    </row>
    <row r="68" spans="1:280" s="281" customFormat="1" ht="12.75" x14ac:dyDescent="0.2">
      <c r="B68" s="622"/>
      <c r="C68" s="5" t="str">
        <f ca="1">IF(OFFSET(AU68,0,Lang_Order*Lang__B5)="","",OFFSET(AU68,0,Lang_Order*Lang__B5))</f>
        <v>Non-Redeployed Vaccinators (FTEs)</v>
      </c>
      <c r="J68" s="281" t="e">
        <f>IF(J66&gt;J67,J66-J67,0)</f>
        <v>#N/A</v>
      </c>
      <c r="K68" s="281" t="e">
        <f>IF(K66&gt;K67,K66-K67,0)</f>
        <v>#N/A</v>
      </c>
      <c r="L68" s="281" t="e">
        <f t="shared" ref="L68:P68" si="131">IF(L66&gt;L67,L66-L67,0)</f>
        <v>#N/A</v>
      </c>
      <c r="M68" s="281" t="e">
        <f t="shared" si="131"/>
        <v>#N/A</v>
      </c>
      <c r="N68" s="281" t="e">
        <f>IF(N66&gt;N67,N66-N67,0)</f>
        <v>#N/A</v>
      </c>
      <c r="O68" s="281" t="e">
        <f t="shared" si="131"/>
        <v>#N/A</v>
      </c>
      <c r="P68" s="281" t="e">
        <f t="shared" si="131"/>
        <v>#N/A</v>
      </c>
      <c r="Q68" s="16"/>
      <c r="R68" s="12" t="str">
        <f t="shared" ca="1" si="94"/>
        <v/>
      </c>
      <c r="U68" s="622"/>
      <c r="V68" s="72" t="str">
        <f ca="1">IF(OFFSET(AU68,0,Lang_Order*Lang__B5)="","",OFFSET(AU68,0,Lang_Order*Lang__B5))</f>
        <v>Non-Redeployed Vaccinators (FTEs)</v>
      </c>
      <c r="W68" s="281" t="e">
        <f>IF(W66&gt;W67,W66-W67,0)</f>
        <v>#N/A</v>
      </c>
      <c r="X68" s="281" t="e">
        <f>IF(X66&gt;X67,X66-X67,0)</f>
        <v>#N/A</v>
      </c>
      <c r="Y68" s="281" t="e">
        <f t="shared" ref="Y68" si="132">IF(Y66&gt;Y67,Y66-Y67,0)</f>
        <v>#N/A</v>
      </c>
      <c r="Z68" s="281" t="e">
        <f t="shared" ref="Z68" si="133">IF(Z66&gt;Z67,Z66-Z67,0)</f>
        <v>#N/A</v>
      </c>
      <c r="AA68" s="281" t="e">
        <f t="shared" ref="AA68" si="134">IF(AA66&gt;AA67,AA66-AA67,0)</f>
        <v>#N/A</v>
      </c>
      <c r="AB68" s="281" t="e">
        <f t="shared" ref="AB68" si="135">IF(AB66&gt;AB67,AB66-AB67,0)</f>
        <v>#N/A</v>
      </c>
      <c r="AC68" s="281" t="e">
        <f t="shared" ref="AC68" si="136">IF(AC66&gt;AC67,AC66-AC67,0)</f>
        <v>#N/A</v>
      </c>
      <c r="AG68" s="622"/>
      <c r="AH68" s="72" t="str">
        <f ca="1">IF(OFFSET(AU68,0,Lang_Order*Lang__B5)="","",OFFSET(AU68,0,Lang_Order*Lang__B5))</f>
        <v>Non-Redeployed Vaccinators (FTEs)</v>
      </c>
      <c r="AI68" s="281" t="e">
        <f>IF(AI66&gt;AI67,AI66-AI67,0)</f>
        <v>#N/A</v>
      </c>
      <c r="AJ68" s="281" t="e">
        <f>IF(AJ66&gt;AJ67,AJ66-AJ67,0)</f>
        <v>#N/A</v>
      </c>
      <c r="AK68" s="281" t="e">
        <f t="shared" ref="AK68" si="137">IF(AK66&gt;AK67,AK66-AK67,0)</f>
        <v>#N/A</v>
      </c>
      <c r="AL68" s="281" t="e">
        <f t="shared" ref="AL68" si="138">IF(AL66&gt;AL67,AL66-AL67,0)</f>
        <v>#N/A</v>
      </c>
      <c r="AM68" s="281" t="e">
        <f t="shared" ref="AM68" si="139">IF(AM66&gt;AM67,AM66-AM67,0)</f>
        <v>#N/A</v>
      </c>
      <c r="AN68" s="281" t="e">
        <f t="shared" ref="AN68" si="140">IF(AN66&gt;AN67,AN66-AN67,0)</f>
        <v>#N/A</v>
      </c>
      <c r="AO68" s="281" t="e">
        <f t="shared" ref="AO68" si="141">IF(AO66&gt;AO67,AO66-AO67,0)</f>
        <v>#N/A</v>
      </c>
      <c r="AR68" s="403"/>
      <c r="AS68" s="403"/>
      <c r="AT68" s="403"/>
      <c r="AU68" s="403" t="s">
        <v>3961</v>
      </c>
      <c r="AV68" s="403"/>
      <c r="AW68" s="403"/>
      <c r="AX68" s="403"/>
      <c r="AY68" s="403"/>
      <c r="AZ68" s="403"/>
      <c r="BA68" s="403"/>
      <c r="BB68" s="403"/>
      <c r="BC68" s="403"/>
      <c r="BD68" s="403"/>
      <c r="BE68" s="403"/>
      <c r="BF68" s="403"/>
      <c r="BG68" s="403"/>
      <c r="BH68" s="403"/>
      <c r="BI68" s="403"/>
      <c r="BJ68" s="403"/>
      <c r="BK68" s="403"/>
      <c r="BL68" s="403"/>
      <c r="BM68" s="403"/>
      <c r="BN68" s="403"/>
      <c r="BO68" s="403"/>
      <c r="BP68" s="403"/>
      <c r="BQ68" s="403"/>
      <c r="BR68" s="403"/>
      <c r="BS68" s="403"/>
      <c r="BT68" s="403"/>
      <c r="BU68" s="403"/>
      <c r="BV68" s="403"/>
      <c r="BW68" s="403"/>
      <c r="BX68" s="403"/>
      <c r="BY68" s="403"/>
      <c r="BZ68" s="403"/>
      <c r="CA68" s="403"/>
      <c r="CB68" s="403"/>
      <c r="CC68" s="403" t="s">
        <v>11731</v>
      </c>
      <c r="CD68" s="403"/>
      <c r="CE68" s="403"/>
      <c r="CF68" s="403"/>
      <c r="CG68" s="403"/>
      <c r="CH68" s="403"/>
      <c r="CI68" s="403"/>
      <c r="CJ68" s="403"/>
      <c r="CK68" s="403"/>
      <c r="CL68" s="403"/>
      <c r="CM68" s="403"/>
      <c r="CN68" s="403"/>
      <c r="CO68" s="403"/>
      <c r="CP68" s="403"/>
      <c r="CQ68" s="403"/>
      <c r="CR68" s="403"/>
      <c r="CS68" s="403"/>
      <c r="CT68" s="403"/>
      <c r="CU68" s="403"/>
      <c r="CV68" s="403"/>
      <c r="CW68" s="403"/>
      <c r="CX68" s="403"/>
      <c r="CY68" s="403"/>
      <c r="CZ68" s="403"/>
      <c r="DA68" s="403"/>
      <c r="DB68" s="403"/>
      <c r="DC68" s="403"/>
      <c r="DD68" s="403"/>
      <c r="DE68" s="403"/>
      <c r="DF68" s="403"/>
      <c r="DG68" s="403"/>
      <c r="DH68" s="403"/>
      <c r="DI68" s="403"/>
      <c r="DJ68" s="403"/>
      <c r="DK68" s="403" t="s">
        <v>11732</v>
      </c>
      <c r="DL68" s="403"/>
      <c r="DM68" s="403"/>
      <c r="DN68" s="403"/>
      <c r="DO68" s="403"/>
      <c r="DP68" s="403"/>
      <c r="DQ68" s="403"/>
      <c r="DR68" s="403"/>
      <c r="DS68" s="403"/>
      <c r="DT68" s="403"/>
      <c r="DU68" s="403"/>
      <c r="DV68" s="403"/>
      <c r="DW68" s="403"/>
      <c r="DX68" s="403"/>
      <c r="DY68" s="403"/>
      <c r="DZ68" s="403"/>
      <c r="EA68" s="403"/>
      <c r="EB68" s="403"/>
      <c r="EC68" s="403"/>
      <c r="ED68" s="403"/>
      <c r="EE68" s="403"/>
      <c r="EF68" s="403"/>
      <c r="EG68" s="403"/>
      <c r="EH68" s="403"/>
      <c r="EI68" s="403"/>
      <c r="EJ68" s="403"/>
      <c r="EK68" s="403"/>
      <c r="EL68" s="403"/>
      <c r="EM68" s="403"/>
      <c r="EN68" s="403"/>
      <c r="EO68" s="403"/>
      <c r="EP68" s="403"/>
      <c r="EQ68" s="403"/>
      <c r="ER68" s="403"/>
      <c r="ES68" s="403" t="s">
        <v>11733</v>
      </c>
      <c r="ET68" s="403"/>
      <c r="EU68" s="403"/>
      <c r="EV68" s="403"/>
      <c r="EW68" s="403"/>
      <c r="EX68" s="403"/>
      <c r="EY68" s="403"/>
      <c r="EZ68" s="403"/>
      <c r="FA68" s="403"/>
      <c r="FB68" s="403"/>
      <c r="FC68" s="403"/>
      <c r="FD68" s="403"/>
      <c r="FE68" s="403"/>
      <c r="FF68" s="403"/>
      <c r="FG68" s="403"/>
      <c r="FH68" s="403"/>
      <c r="FI68" s="403"/>
      <c r="FJ68" s="403"/>
      <c r="FK68" s="403"/>
      <c r="FL68" s="403"/>
      <c r="FM68" s="403"/>
      <c r="FN68" s="403"/>
      <c r="FO68" s="403"/>
      <c r="FP68" s="403"/>
      <c r="FQ68" s="403"/>
      <c r="FR68" s="403"/>
      <c r="FS68" s="403"/>
      <c r="FT68" s="403"/>
      <c r="FU68" s="403"/>
      <c r="FV68" s="403"/>
      <c r="FW68" s="403"/>
      <c r="FX68" s="403"/>
      <c r="FY68" s="403"/>
      <c r="FZ68" s="403"/>
      <c r="GA68" s="403" t="s">
        <v>11734</v>
      </c>
      <c r="GB68" s="403"/>
      <c r="GC68" s="403"/>
      <c r="GD68" s="403"/>
      <c r="GE68" s="403"/>
      <c r="GF68" s="403"/>
      <c r="GG68" s="403"/>
      <c r="GH68" s="403"/>
      <c r="GI68" s="403"/>
      <c r="GJ68" s="403"/>
      <c r="GK68" s="403"/>
      <c r="GL68" s="403"/>
      <c r="GM68" s="403"/>
      <c r="GN68" s="403"/>
      <c r="GO68" s="403"/>
      <c r="GP68" s="403"/>
      <c r="GQ68" s="403"/>
      <c r="GR68" s="403"/>
      <c r="GS68" s="403"/>
      <c r="GT68" s="403"/>
      <c r="GU68" s="403"/>
      <c r="GV68" s="403"/>
      <c r="GW68" s="403"/>
      <c r="GX68" s="403"/>
      <c r="GY68" s="403"/>
      <c r="GZ68" s="403"/>
      <c r="HA68" s="403"/>
      <c r="HB68" s="403"/>
      <c r="HC68" s="403"/>
      <c r="HD68" s="403"/>
      <c r="HE68" s="403"/>
      <c r="HF68" s="403"/>
      <c r="HG68" s="403"/>
      <c r="HH68" s="403"/>
      <c r="HI68" s="403" t="s">
        <v>11735</v>
      </c>
      <c r="HJ68" s="403"/>
      <c r="HK68" s="403"/>
      <c r="HL68" s="403"/>
      <c r="HM68" s="403"/>
      <c r="HN68" s="403"/>
      <c r="HO68" s="403"/>
      <c r="HP68" s="403"/>
      <c r="HQ68" s="403"/>
      <c r="HR68" s="403"/>
      <c r="HS68" s="403"/>
      <c r="HT68" s="403"/>
      <c r="HU68" s="403"/>
      <c r="HV68" s="403"/>
      <c r="HW68" s="403"/>
      <c r="HX68" s="403"/>
      <c r="HY68" s="403"/>
      <c r="HZ68" s="403"/>
      <c r="IA68" s="403"/>
      <c r="IB68" s="403"/>
      <c r="IC68" s="403"/>
      <c r="ID68" s="403"/>
      <c r="IE68" s="403"/>
      <c r="IF68" s="403"/>
      <c r="IG68" s="403"/>
      <c r="IH68" s="403"/>
      <c r="II68" s="403"/>
      <c r="IJ68" s="403"/>
      <c r="IK68" s="403"/>
      <c r="IL68" s="403"/>
      <c r="IM68" s="403"/>
      <c r="IN68" s="403"/>
      <c r="IO68" s="403"/>
      <c r="IP68" s="403"/>
      <c r="IQ68" s="403" t="s">
        <v>11736</v>
      </c>
      <c r="IR68" s="403"/>
      <c r="IS68" s="403"/>
      <c r="IT68" s="403"/>
      <c r="IU68" s="403"/>
      <c r="IV68" s="403"/>
      <c r="IW68" s="403"/>
      <c r="IX68" s="403"/>
      <c r="IY68" s="403"/>
      <c r="IZ68" s="403"/>
      <c r="JA68" s="403"/>
      <c r="JB68" s="403"/>
      <c r="JC68" s="403"/>
      <c r="JD68" s="403"/>
      <c r="JE68" s="403"/>
      <c r="JF68" s="403"/>
      <c r="JG68" s="403"/>
      <c r="JH68" s="403"/>
      <c r="JI68" s="403"/>
      <c r="JJ68" s="403"/>
      <c r="JK68" s="403"/>
      <c r="JL68" s="403"/>
      <c r="JM68" s="403"/>
      <c r="JN68" s="403"/>
      <c r="JO68" s="403"/>
      <c r="JP68" s="403"/>
      <c r="JQ68" s="403"/>
      <c r="JR68" s="403"/>
      <c r="JS68" s="403"/>
      <c r="JT68" s="403"/>
    </row>
    <row r="69" spans="1:280" s="299" customFormat="1" ht="12.75" x14ac:dyDescent="0.2">
      <c r="B69" s="622"/>
      <c r="C69" s="5" t="str">
        <f ca="1">IF(OFFSET(AU69,0,Lang_Order*Lang__B5)="","",OFFSET(AU69,0,Lang_Order*Lang__B5))</f>
        <v>Redeployed Vaccinators (Persons)</v>
      </c>
      <c r="J69" s="16" t="e">
        <f t="shared" ref="J69:O69" si="142">MIN(Redeployable_Vaccinators,J56)</f>
        <v>#N/A</v>
      </c>
      <c r="K69" s="16" t="e">
        <f t="shared" si="142"/>
        <v>#N/A</v>
      </c>
      <c r="L69" s="16" t="e">
        <f t="shared" si="142"/>
        <v>#N/A</v>
      </c>
      <c r="M69" s="16" t="e">
        <f t="shared" si="142"/>
        <v>#N/A</v>
      </c>
      <c r="N69" s="16" t="e">
        <f t="shared" si="142"/>
        <v>#N/A</v>
      </c>
      <c r="O69" s="16" t="e">
        <f t="shared" si="142"/>
        <v>#N/A</v>
      </c>
      <c r="Q69" s="16"/>
      <c r="R69" s="12" t="str">
        <f t="shared" ca="1" si="94"/>
        <v/>
      </c>
      <c r="U69" s="622"/>
      <c r="V69" s="72"/>
      <c r="AG69" s="622"/>
      <c r="AH69" s="72"/>
      <c r="AR69" s="403"/>
      <c r="AS69" s="403"/>
      <c r="AT69" s="403"/>
      <c r="AU69" s="403" t="s">
        <v>3962</v>
      </c>
      <c r="AV69" s="403"/>
      <c r="AW69" s="403"/>
      <c r="AX69" s="403"/>
      <c r="AY69" s="403"/>
      <c r="AZ69" s="403"/>
      <c r="BA69" s="403"/>
      <c r="BB69" s="403"/>
      <c r="BC69" s="403"/>
      <c r="BD69" s="403"/>
      <c r="BE69" s="403"/>
      <c r="BF69" s="403"/>
      <c r="BG69" s="403"/>
      <c r="BH69" s="403"/>
      <c r="BI69" s="403"/>
      <c r="BJ69" s="403"/>
      <c r="BK69" s="403"/>
      <c r="BL69" s="403"/>
      <c r="BM69" s="403"/>
      <c r="BN69" s="403"/>
      <c r="BO69" s="403"/>
      <c r="BP69" s="403"/>
      <c r="BQ69" s="403"/>
      <c r="BR69" s="403"/>
      <c r="BS69" s="403"/>
      <c r="BT69" s="403"/>
      <c r="BU69" s="403"/>
      <c r="BV69" s="403"/>
      <c r="BW69" s="403"/>
      <c r="BX69" s="403"/>
      <c r="BY69" s="403"/>
      <c r="BZ69" s="403"/>
      <c r="CA69" s="403"/>
      <c r="CB69" s="403"/>
      <c r="CC69" s="403" t="s">
        <v>11737</v>
      </c>
      <c r="CD69" s="403"/>
      <c r="CE69" s="403"/>
      <c r="CF69" s="403"/>
      <c r="CG69" s="403"/>
      <c r="CH69" s="403"/>
      <c r="CI69" s="403"/>
      <c r="CJ69" s="403"/>
      <c r="CK69" s="403"/>
      <c r="CL69" s="403"/>
      <c r="CM69" s="403"/>
      <c r="CN69" s="403"/>
      <c r="CO69" s="403"/>
      <c r="CP69" s="403"/>
      <c r="CQ69" s="403"/>
      <c r="CR69" s="403"/>
      <c r="CS69" s="403"/>
      <c r="CT69" s="403"/>
      <c r="CU69" s="403"/>
      <c r="CV69" s="403"/>
      <c r="CW69" s="403"/>
      <c r="CX69" s="403"/>
      <c r="CY69" s="403"/>
      <c r="CZ69" s="403"/>
      <c r="DA69" s="403"/>
      <c r="DB69" s="403"/>
      <c r="DC69" s="403"/>
      <c r="DD69" s="403"/>
      <c r="DE69" s="403"/>
      <c r="DF69" s="403"/>
      <c r="DG69" s="403"/>
      <c r="DH69" s="403"/>
      <c r="DI69" s="403"/>
      <c r="DJ69" s="403"/>
      <c r="DK69" s="403" t="s">
        <v>11738</v>
      </c>
      <c r="DL69" s="403"/>
      <c r="DM69" s="403"/>
      <c r="DN69" s="403"/>
      <c r="DO69" s="403"/>
      <c r="DP69" s="403"/>
      <c r="DQ69" s="403"/>
      <c r="DR69" s="403"/>
      <c r="DS69" s="403"/>
      <c r="DT69" s="403"/>
      <c r="DU69" s="403"/>
      <c r="DV69" s="403"/>
      <c r="DW69" s="403"/>
      <c r="DX69" s="403"/>
      <c r="DY69" s="403"/>
      <c r="DZ69" s="403"/>
      <c r="EA69" s="403"/>
      <c r="EB69" s="403"/>
      <c r="EC69" s="403"/>
      <c r="ED69" s="403"/>
      <c r="EE69" s="403"/>
      <c r="EF69" s="403"/>
      <c r="EG69" s="403"/>
      <c r="EH69" s="403"/>
      <c r="EI69" s="403"/>
      <c r="EJ69" s="403"/>
      <c r="EK69" s="403"/>
      <c r="EL69" s="403"/>
      <c r="EM69" s="403"/>
      <c r="EN69" s="403"/>
      <c r="EO69" s="403"/>
      <c r="EP69" s="403"/>
      <c r="EQ69" s="403"/>
      <c r="ER69" s="403"/>
      <c r="ES69" s="403" t="s">
        <v>11739</v>
      </c>
      <c r="ET69" s="403"/>
      <c r="EU69" s="403"/>
      <c r="EV69" s="403"/>
      <c r="EW69" s="403"/>
      <c r="EX69" s="403"/>
      <c r="EY69" s="403"/>
      <c r="EZ69" s="403"/>
      <c r="FA69" s="403"/>
      <c r="FB69" s="403"/>
      <c r="FC69" s="403"/>
      <c r="FD69" s="403"/>
      <c r="FE69" s="403"/>
      <c r="FF69" s="403"/>
      <c r="FG69" s="403"/>
      <c r="FH69" s="403"/>
      <c r="FI69" s="403"/>
      <c r="FJ69" s="403"/>
      <c r="FK69" s="403"/>
      <c r="FL69" s="403"/>
      <c r="FM69" s="403"/>
      <c r="FN69" s="403"/>
      <c r="FO69" s="403"/>
      <c r="FP69" s="403"/>
      <c r="FQ69" s="403"/>
      <c r="FR69" s="403"/>
      <c r="FS69" s="403"/>
      <c r="FT69" s="403"/>
      <c r="FU69" s="403"/>
      <c r="FV69" s="403"/>
      <c r="FW69" s="403"/>
      <c r="FX69" s="403"/>
      <c r="FY69" s="403"/>
      <c r="FZ69" s="403"/>
      <c r="GA69" s="403" t="s">
        <v>11740</v>
      </c>
      <c r="GB69" s="403"/>
      <c r="GC69" s="403"/>
      <c r="GD69" s="403"/>
      <c r="GE69" s="403"/>
      <c r="GF69" s="403"/>
      <c r="GG69" s="403"/>
      <c r="GH69" s="403"/>
      <c r="GI69" s="403"/>
      <c r="GJ69" s="403"/>
      <c r="GK69" s="403"/>
      <c r="GL69" s="403"/>
      <c r="GM69" s="403"/>
      <c r="GN69" s="403"/>
      <c r="GO69" s="403"/>
      <c r="GP69" s="403"/>
      <c r="GQ69" s="403"/>
      <c r="GR69" s="403"/>
      <c r="GS69" s="403"/>
      <c r="GT69" s="403"/>
      <c r="GU69" s="403"/>
      <c r="GV69" s="403"/>
      <c r="GW69" s="403"/>
      <c r="GX69" s="403"/>
      <c r="GY69" s="403"/>
      <c r="GZ69" s="403"/>
      <c r="HA69" s="403"/>
      <c r="HB69" s="403"/>
      <c r="HC69" s="403"/>
      <c r="HD69" s="403"/>
      <c r="HE69" s="403"/>
      <c r="HF69" s="403"/>
      <c r="HG69" s="403"/>
      <c r="HH69" s="403"/>
      <c r="HI69" s="403" t="s">
        <v>11741</v>
      </c>
      <c r="HJ69" s="403"/>
      <c r="HK69" s="403"/>
      <c r="HL69" s="403"/>
      <c r="HM69" s="403"/>
      <c r="HN69" s="403"/>
      <c r="HO69" s="403"/>
      <c r="HP69" s="403"/>
      <c r="HQ69" s="403"/>
      <c r="HR69" s="403"/>
      <c r="HS69" s="403"/>
      <c r="HT69" s="403"/>
      <c r="HU69" s="403"/>
      <c r="HV69" s="403"/>
      <c r="HW69" s="403"/>
      <c r="HX69" s="403"/>
      <c r="HY69" s="403"/>
      <c r="HZ69" s="403"/>
      <c r="IA69" s="403"/>
      <c r="IB69" s="403"/>
      <c r="IC69" s="403"/>
      <c r="ID69" s="403"/>
      <c r="IE69" s="403"/>
      <c r="IF69" s="403"/>
      <c r="IG69" s="403"/>
      <c r="IH69" s="403"/>
      <c r="II69" s="403"/>
      <c r="IJ69" s="403"/>
      <c r="IK69" s="403"/>
      <c r="IL69" s="403"/>
      <c r="IM69" s="403"/>
      <c r="IN69" s="403"/>
      <c r="IO69" s="403"/>
      <c r="IP69" s="403"/>
      <c r="IQ69" s="403" t="s">
        <v>11742</v>
      </c>
      <c r="IR69" s="403"/>
      <c r="IS69" s="403"/>
      <c r="IT69" s="403"/>
      <c r="IU69" s="403"/>
      <c r="IV69" s="403"/>
      <c r="IW69" s="403"/>
      <c r="IX69" s="403"/>
      <c r="IY69" s="403"/>
      <c r="IZ69" s="403"/>
      <c r="JA69" s="403"/>
      <c r="JB69" s="403"/>
      <c r="JC69" s="403"/>
      <c r="JD69" s="403"/>
      <c r="JE69" s="403"/>
      <c r="JF69" s="403"/>
      <c r="JG69" s="403"/>
      <c r="JH69" s="403"/>
      <c r="JI69" s="403"/>
      <c r="JJ69" s="403"/>
      <c r="JK69" s="403"/>
      <c r="JL69" s="403"/>
      <c r="JM69" s="403"/>
      <c r="JN69" s="403"/>
      <c r="JO69" s="403"/>
      <c r="JP69" s="403"/>
      <c r="JQ69" s="403"/>
      <c r="JR69" s="403"/>
      <c r="JS69" s="403"/>
      <c r="JT69" s="403"/>
    </row>
    <row r="70" spans="1:280" s="299" customFormat="1" ht="12.75" x14ac:dyDescent="0.2">
      <c r="B70" s="622"/>
      <c r="C70" s="5" t="str">
        <f ca="1">IF(OFFSET(AU70,0,Lang_Order*Lang__B5)="","",OFFSET(AU70,0,Lang_Order*Lang__B5))</f>
        <v>Non-Redeployed Vaccinators (Persons)</v>
      </c>
      <c r="J70" s="299" t="e">
        <f t="shared" ref="J70:O70" si="143">IF(J56&gt;J69,J56-J69,0)</f>
        <v>#N/A</v>
      </c>
      <c r="K70" s="299" t="e">
        <f t="shared" si="143"/>
        <v>#N/A</v>
      </c>
      <c r="L70" s="299" t="e">
        <f t="shared" si="143"/>
        <v>#N/A</v>
      </c>
      <c r="M70" s="299" t="e">
        <f t="shared" si="143"/>
        <v>#N/A</v>
      </c>
      <c r="N70" s="299" t="e">
        <f t="shared" si="143"/>
        <v>#N/A</v>
      </c>
      <c r="O70" s="299" t="e">
        <f t="shared" si="143"/>
        <v>#N/A</v>
      </c>
      <c r="Q70" s="16"/>
      <c r="R70" s="12" t="str">
        <f t="shared" ca="1" si="94"/>
        <v/>
      </c>
      <c r="U70" s="622"/>
      <c r="V70" s="72"/>
      <c r="AG70" s="622"/>
      <c r="AH70" s="72"/>
      <c r="AR70" s="403"/>
      <c r="AS70" s="403"/>
      <c r="AT70" s="403"/>
      <c r="AU70" s="403" t="s">
        <v>3963</v>
      </c>
      <c r="AV70" s="403"/>
      <c r="AW70" s="403"/>
      <c r="AX70" s="403"/>
      <c r="AY70" s="403"/>
      <c r="AZ70" s="403"/>
      <c r="BA70" s="403"/>
      <c r="BB70" s="403"/>
      <c r="BC70" s="403"/>
      <c r="BD70" s="403"/>
      <c r="BE70" s="403"/>
      <c r="BF70" s="403"/>
      <c r="BG70" s="403"/>
      <c r="BH70" s="403"/>
      <c r="BI70" s="403"/>
      <c r="BJ70" s="403"/>
      <c r="BK70" s="403"/>
      <c r="BL70" s="403"/>
      <c r="BM70" s="403"/>
      <c r="BN70" s="403"/>
      <c r="BO70" s="403"/>
      <c r="BP70" s="403"/>
      <c r="BQ70" s="403"/>
      <c r="BR70" s="403"/>
      <c r="BS70" s="403"/>
      <c r="BT70" s="403"/>
      <c r="BU70" s="403"/>
      <c r="BV70" s="403"/>
      <c r="BW70" s="403"/>
      <c r="BX70" s="403"/>
      <c r="BY70" s="403"/>
      <c r="BZ70" s="403"/>
      <c r="CA70" s="403"/>
      <c r="CB70" s="403"/>
      <c r="CC70" s="403" t="s">
        <v>11743</v>
      </c>
      <c r="CD70" s="403"/>
      <c r="CE70" s="403"/>
      <c r="CF70" s="403"/>
      <c r="CG70" s="403"/>
      <c r="CH70" s="403"/>
      <c r="CI70" s="403"/>
      <c r="CJ70" s="403"/>
      <c r="CK70" s="403"/>
      <c r="CL70" s="403"/>
      <c r="CM70" s="403"/>
      <c r="CN70" s="403"/>
      <c r="CO70" s="403"/>
      <c r="CP70" s="403"/>
      <c r="CQ70" s="403"/>
      <c r="CR70" s="403"/>
      <c r="CS70" s="403"/>
      <c r="CT70" s="403"/>
      <c r="CU70" s="403"/>
      <c r="CV70" s="403"/>
      <c r="CW70" s="403"/>
      <c r="CX70" s="403"/>
      <c r="CY70" s="403"/>
      <c r="CZ70" s="403"/>
      <c r="DA70" s="403"/>
      <c r="DB70" s="403"/>
      <c r="DC70" s="403"/>
      <c r="DD70" s="403"/>
      <c r="DE70" s="403"/>
      <c r="DF70" s="403"/>
      <c r="DG70" s="403"/>
      <c r="DH70" s="403"/>
      <c r="DI70" s="403"/>
      <c r="DJ70" s="403"/>
      <c r="DK70" s="403" t="s">
        <v>11744</v>
      </c>
      <c r="DL70" s="403"/>
      <c r="DM70" s="403"/>
      <c r="DN70" s="403"/>
      <c r="DO70" s="403"/>
      <c r="DP70" s="403"/>
      <c r="DQ70" s="403"/>
      <c r="DR70" s="403"/>
      <c r="DS70" s="403"/>
      <c r="DT70" s="403"/>
      <c r="DU70" s="403"/>
      <c r="DV70" s="403"/>
      <c r="DW70" s="403"/>
      <c r="DX70" s="403"/>
      <c r="DY70" s="403"/>
      <c r="DZ70" s="403"/>
      <c r="EA70" s="403"/>
      <c r="EB70" s="403"/>
      <c r="EC70" s="403"/>
      <c r="ED70" s="403"/>
      <c r="EE70" s="403"/>
      <c r="EF70" s="403"/>
      <c r="EG70" s="403"/>
      <c r="EH70" s="403"/>
      <c r="EI70" s="403"/>
      <c r="EJ70" s="403"/>
      <c r="EK70" s="403"/>
      <c r="EL70" s="403"/>
      <c r="EM70" s="403"/>
      <c r="EN70" s="403"/>
      <c r="EO70" s="403"/>
      <c r="EP70" s="403"/>
      <c r="EQ70" s="403"/>
      <c r="ER70" s="403"/>
      <c r="ES70" s="403" t="s">
        <v>11745</v>
      </c>
      <c r="ET70" s="403"/>
      <c r="EU70" s="403"/>
      <c r="EV70" s="403"/>
      <c r="EW70" s="403"/>
      <c r="EX70" s="403"/>
      <c r="EY70" s="403"/>
      <c r="EZ70" s="403"/>
      <c r="FA70" s="403"/>
      <c r="FB70" s="403"/>
      <c r="FC70" s="403"/>
      <c r="FD70" s="403"/>
      <c r="FE70" s="403"/>
      <c r="FF70" s="403"/>
      <c r="FG70" s="403"/>
      <c r="FH70" s="403"/>
      <c r="FI70" s="403"/>
      <c r="FJ70" s="403"/>
      <c r="FK70" s="403"/>
      <c r="FL70" s="403"/>
      <c r="FM70" s="403"/>
      <c r="FN70" s="403"/>
      <c r="FO70" s="403"/>
      <c r="FP70" s="403"/>
      <c r="FQ70" s="403"/>
      <c r="FR70" s="403"/>
      <c r="FS70" s="403"/>
      <c r="FT70" s="403"/>
      <c r="FU70" s="403"/>
      <c r="FV70" s="403"/>
      <c r="FW70" s="403"/>
      <c r="FX70" s="403"/>
      <c r="FY70" s="403"/>
      <c r="FZ70" s="403"/>
      <c r="GA70" s="403" t="s">
        <v>11746</v>
      </c>
      <c r="GB70" s="403"/>
      <c r="GC70" s="403"/>
      <c r="GD70" s="403"/>
      <c r="GE70" s="403"/>
      <c r="GF70" s="403"/>
      <c r="GG70" s="403"/>
      <c r="GH70" s="403"/>
      <c r="GI70" s="403"/>
      <c r="GJ70" s="403"/>
      <c r="GK70" s="403"/>
      <c r="GL70" s="403"/>
      <c r="GM70" s="403"/>
      <c r="GN70" s="403"/>
      <c r="GO70" s="403"/>
      <c r="GP70" s="403"/>
      <c r="GQ70" s="403"/>
      <c r="GR70" s="403"/>
      <c r="GS70" s="403"/>
      <c r="GT70" s="403"/>
      <c r="GU70" s="403"/>
      <c r="GV70" s="403"/>
      <c r="GW70" s="403"/>
      <c r="GX70" s="403"/>
      <c r="GY70" s="403"/>
      <c r="GZ70" s="403"/>
      <c r="HA70" s="403"/>
      <c r="HB70" s="403"/>
      <c r="HC70" s="403"/>
      <c r="HD70" s="403"/>
      <c r="HE70" s="403"/>
      <c r="HF70" s="403"/>
      <c r="HG70" s="403"/>
      <c r="HH70" s="403"/>
      <c r="HI70" s="403" t="s">
        <v>11747</v>
      </c>
      <c r="HJ70" s="403"/>
      <c r="HK70" s="403"/>
      <c r="HL70" s="403"/>
      <c r="HM70" s="403"/>
      <c r="HN70" s="403"/>
      <c r="HO70" s="403"/>
      <c r="HP70" s="403"/>
      <c r="HQ70" s="403"/>
      <c r="HR70" s="403"/>
      <c r="HS70" s="403"/>
      <c r="HT70" s="403"/>
      <c r="HU70" s="403"/>
      <c r="HV70" s="403"/>
      <c r="HW70" s="403"/>
      <c r="HX70" s="403"/>
      <c r="HY70" s="403"/>
      <c r="HZ70" s="403"/>
      <c r="IA70" s="403"/>
      <c r="IB70" s="403"/>
      <c r="IC70" s="403"/>
      <c r="ID70" s="403"/>
      <c r="IE70" s="403"/>
      <c r="IF70" s="403"/>
      <c r="IG70" s="403"/>
      <c r="IH70" s="403"/>
      <c r="II70" s="403"/>
      <c r="IJ70" s="403"/>
      <c r="IK70" s="403"/>
      <c r="IL70" s="403"/>
      <c r="IM70" s="403"/>
      <c r="IN70" s="403"/>
      <c r="IO70" s="403"/>
      <c r="IP70" s="403"/>
      <c r="IQ70" s="403" t="s">
        <v>11748</v>
      </c>
      <c r="IR70" s="403"/>
      <c r="IS70" s="403"/>
      <c r="IT70" s="403"/>
      <c r="IU70" s="403"/>
      <c r="IV70" s="403"/>
      <c r="IW70" s="403"/>
      <c r="IX70" s="403"/>
      <c r="IY70" s="403"/>
      <c r="IZ70" s="403"/>
      <c r="JA70" s="403"/>
      <c r="JB70" s="403"/>
      <c r="JC70" s="403"/>
      <c r="JD70" s="403"/>
      <c r="JE70" s="403"/>
      <c r="JF70" s="403"/>
      <c r="JG70" s="403"/>
      <c r="JH70" s="403"/>
      <c r="JI70" s="403"/>
      <c r="JJ70" s="403"/>
      <c r="JK70" s="403"/>
      <c r="JL70" s="403"/>
      <c r="JM70" s="403"/>
      <c r="JN70" s="403"/>
      <c r="JO70" s="403"/>
      <c r="JP70" s="403"/>
      <c r="JQ70" s="403"/>
      <c r="JR70" s="403"/>
      <c r="JS70" s="403"/>
      <c r="JT70" s="403"/>
    </row>
    <row r="71" spans="1:280" s="281" customFormat="1" ht="12.75" x14ac:dyDescent="0.2">
      <c r="B71" s="622"/>
      <c r="C71" s="5"/>
      <c r="J71" s="16"/>
      <c r="K71" s="16"/>
      <c r="L71" s="16"/>
      <c r="M71" s="16"/>
      <c r="N71" s="16"/>
      <c r="O71" s="16"/>
      <c r="P71" s="16"/>
      <c r="Q71" s="16"/>
      <c r="R71" s="12" t="str">
        <f t="shared" ca="1" si="94"/>
        <v/>
      </c>
      <c r="U71" s="622"/>
      <c r="V71" s="72"/>
      <c r="W71" s="16"/>
      <c r="X71" s="16"/>
      <c r="Y71" s="16"/>
      <c r="Z71" s="16"/>
      <c r="AA71" s="16"/>
      <c r="AB71" s="16"/>
      <c r="AC71" s="16"/>
      <c r="AG71" s="622"/>
      <c r="AH71" s="72"/>
      <c r="AI71" s="16"/>
      <c r="AJ71" s="16"/>
      <c r="AK71" s="16"/>
      <c r="AL71" s="16"/>
      <c r="AM71" s="16"/>
      <c r="AN71" s="16"/>
      <c r="AO71" s="16"/>
      <c r="AR71" s="403"/>
      <c r="AS71" s="403"/>
      <c r="AT71" s="403"/>
      <c r="AU71" s="403"/>
      <c r="AV71" s="403"/>
      <c r="AW71" s="403"/>
      <c r="AX71" s="403"/>
      <c r="AY71" s="403"/>
      <c r="AZ71" s="403"/>
      <c r="BA71" s="403"/>
      <c r="BB71" s="403"/>
      <c r="BC71" s="403"/>
      <c r="BD71" s="403"/>
      <c r="BE71" s="403"/>
      <c r="BF71" s="403"/>
      <c r="BG71" s="403"/>
      <c r="BH71" s="403"/>
      <c r="BI71" s="403"/>
      <c r="BJ71" s="403"/>
      <c r="BK71" s="403"/>
      <c r="BL71" s="403"/>
      <c r="BM71" s="403"/>
      <c r="BN71" s="403"/>
      <c r="BO71" s="403"/>
      <c r="BP71" s="403"/>
      <c r="BQ71" s="403"/>
      <c r="BR71" s="403"/>
      <c r="BS71" s="403"/>
      <c r="BT71" s="403"/>
      <c r="BU71" s="403"/>
      <c r="BV71" s="403"/>
      <c r="BW71" s="403"/>
      <c r="BX71" s="403"/>
      <c r="BY71" s="403"/>
      <c r="BZ71" s="403"/>
      <c r="CA71" s="403"/>
      <c r="CB71" s="403"/>
      <c r="CC71" s="403"/>
      <c r="CD71" s="403"/>
      <c r="CE71" s="403"/>
      <c r="CF71" s="403"/>
      <c r="CG71" s="403"/>
      <c r="CH71" s="403"/>
      <c r="CI71" s="403"/>
      <c r="CJ71" s="403"/>
      <c r="CK71" s="403"/>
      <c r="CL71" s="403"/>
      <c r="CM71" s="403"/>
      <c r="CN71" s="403"/>
      <c r="CO71" s="403"/>
      <c r="CP71" s="403"/>
      <c r="CQ71" s="403"/>
      <c r="CR71" s="403"/>
      <c r="CS71" s="403"/>
      <c r="CT71" s="403"/>
      <c r="CU71" s="403"/>
      <c r="CV71" s="403"/>
      <c r="CW71" s="403"/>
      <c r="CX71" s="403"/>
      <c r="CY71" s="403"/>
      <c r="CZ71" s="403"/>
      <c r="DA71" s="403"/>
      <c r="DB71" s="403"/>
      <c r="DC71" s="403"/>
      <c r="DD71" s="403"/>
      <c r="DE71" s="403"/>
      <c r="DF71" s="403"/>
      <c r="DG71" s="403"/>
      <c r="DH71" s="403"/>
      <c r="DI71" s="403"/>
      <c r="DJ71" s="403"/>
      <c r="DK71" s="403"/>
      <c r="DL71" s="403"/>
      <c r="DM71" s="403"/>
      <c r="DN71" s="403"/>
      <c r="DO71" s="403"/>
      <c r="DP71" s="403"/>
      <c r="DQ71" s="403"/>
      <c r="DR71" s="403"/>
      <c r="DS71" s="403"/>
      <c r="DT71" s="403"/>
      <c r="DU71" s="403"/>
      <c r="DV71" s="403"/>
      <c r="DW71" s="403"/>
      <c r="DX71" s="403"/>
      <c r="DY71" s="403"/>
      <c r="DZ71" s="403"/>
      <c r="EA71" s="403"/>
      <c r="EB71" s="403"/>
      <c r="EC71" s="403"/>
      <c r="ED71" s="403"/>
      <c r="EE71" s="403"/>
      <c r="EF71" s="403"/>
      <c r="EG71" s="403"/>
      <c r="EH71" s="403"/>
      <c r="EI71" s="403"/>
      <c r="EJ71" s="403"/>
      <c r="EK71" s="403"/>
      <c r="EL71" s="403"/>
      <c r="EM71" s="403"/>
      <c r="EN71" s="403"/>
      <c r="EO71" s="403"/>
      <c r="EP71" s="403"/>
      <c r="EQ71" s="403"/>
      <c r="ER71" s="403"/>
      <c r="ES71" s="403"/>
      <c r="ET71" s="403"/>
      <c r="EU71" s="403"/>
      <c r="EV71" s="403"/>
      <c r="EW71" s="403"/>
      <c r="EX71" s="403"/>
      <c r="EY71" s="403"/>
      <c r="EZ71" s="403"/>
      <c r="FA71" s="403"/>
      <c r="FB71" s="403"/>
      <c r="FC71" s="403"/>
      <c r="FD71" s="403"/>
      <c r="FE71" s="403"/>
      <c r="FF71" s="403"/>
      <c r="FG71" s="403"/>
      <c r="FH71" s="403"/>
      <c r="FI71" s="403"/>
      <c r="FJ71" s="403"/>
      <c r="FK71" s="403"/>
      <c r="FL71" s="403"/>
      <c r="FM71" s="403"/>
      <c r="FN71" s="403"/>
      <c r="FO71" s="403"/>
      <c r="FP71" s="403"/>
      <c r="FQ71" s="403"/>
      <c r="FR71" s="403"/>
      <c r="FS71" s="403"/>
      <c r="FT71" s="403"/>
      <c r="FU71" s="403"/>
      <c r="FV71" s="403"/>
      <c r="FW71" s="403"/>
      <c r="FX71" s="403"/>
      <c r="FY71" s="403"/>
      <c r="FZ71" s="403"/>
      <c r="GA71" s="403"/>
      <c r="GB71" s="403"/>
      <c r="GC71" s="403"/>
      <c r="GD71" s="403"/>
      <c r="GE71" s="403"/>
      <c r="GF71" s="403"/>
      <c r="GG71" s="403"/>
      <c r="GH71" s="403"/>
      <c r="GI71" s="403"/>
      <c r="GJ71" s="403"/>
      <c r="GK71" s="403"/>
      <c r="GL71" s="403"/>
      <c r="GM71" s="403"/>
      <c r="GN71" s="403"/>
      <c r="GO71" s="403"/>
      <c r="GP71" s="403"/>
      <c r="GQ71" s="403"/>
      <c r="GR71" s="403"/>
      <c r="GS71" s="403"/>
      <c r="GT71" s="403"/>
      <c r="GU71" s="403"/>
      <c r="GV71" s="403"/>
      <c r="GW71" s="403"/>
      <c r="GX71" s="403"/>
      <c r="GY71" s="403"/>
      <c r="GZ71" s="403"/>
      <c r="HA71" s="403"/>
      <c r="HB71" s="403"/>
      <c r="HC71" s="403"/>
      <c r="HD71" s="403"/>
      <c r="HE71" s="403"/>
      <c r="HF71" s="403"/>
      <c r="HG71" s="403"/>
      <c r="HH71" s="403"/>
      <c r="HI71" s="403"/>
      <c r="HJ71" s="403"/>
      <c r="HK71" s="403"/>
      <c r="HL71" s="403"/>
      <c r="HM71" s="403"/>
      <c r="HN71" s="403"/>
      <c r="HO71" s="403"/>
      <c r="HP71" s="403"/>
      <c r="HQ71" s="403"/>
      <c r="HR71" s="403"/>
      <c r="HS71" s="403"/>
      <c r="HT71" s="403"/>
      <c r="HU71" s="403"/>
      <c r="HV71" s="403"/>
      <c r="HW71" s="403"/>
      <c r="HX71" s="403"/>
      <c r="HY71" s="403"/>
      <c r="HZ71" s="403"/>
      <c r="IA71" s="403"/>
      <c r="IB71" s="403"/>
      <c r="IC71" s="403"/>
      <c r="ID71" s="403"/>
      <c r="IE71" s="403"/>
      <c r="IF71" s="403"/>
      <c r="IG71" s="403"/>
      <c r="IH71" s="403"/>
      <c r="II71" s="403"/>
      <c r="IJ71" s="403"/>
      <c r="IK71" s="403"/>
      <c r="IL71" s="403"/>
      <c r="IM71" s="403"/>
      <c r="IN71" s="403"/>
      <c r="IO71" s="403"/>
      <c r="IP71" s="403"/>
      <c r="IQ71" s="403"/>
      <c r="IR71" s="403"/>
      <c r="IS71" s="403"/>
      <c r="IT71" s="403"/>
      <c r="IU71" s="403"/>
      <c r="IV71" s="403"/>
      <c r="IW71" s="403"/>
      <c r="IX71" s="403"/>
      <c r="IY71" s="403"/>
      <c r="IZ71" s="403"/>
      <c r="JA71" s="403"/>
      <c r="JB71" s="403"/>
      <c r="JC71" s="403"/>
      <c r="JD71" s="403"/>
      <c r="JE71" s="403"/>
      <c r="JF71" s="403"/>
      <c r="JG71" s="403"/>
      <c r="JH71" s="403"/>
      <c r="JI71" s="403"/>
      <c r="JJ71" s="403"/>
      <c r="JK71" s="403"/>
      <c r="JL71" s="403"/>
      <c r="JM71" s="403"/>
      <c r="JN71" s="403"/>
      <c r="JO71" s="403"/>
      <c r="JP71" s="403"/>
      <c r="JQ71" s="403"/>
      <c r="JR71" s="403"/>
      <c r="JS71" s="403"/>
      <c r="JT71" s="403"/>
    </row>
    <row r="72" spans="1:280" s="299" customFormat="1" ht="12.75" x14ac:dyDescent="0.2">
      <c r="B72" s="624" t="str">
        <f ca="1">IF(OFFSET(AT72,0,Lang_Order*Lang__B5)="","",OFFSET(AT72,0,Lang_Order*Lang__B5))</f>
        <v>Domestic travel for personnel</v>
      </c>
      <c r="C72" s="5"/>
      <c r="J72" s="16"/>
      <c r="K72" s="16"/>
      <c r="L72" s="16"/>
      <c r="M72" s="16"/>
      <c r="N72" s="16"/>
      <c r="O72" s="16"/>
      <c r="P72" s="16"/>
      <c r="Q72" s="16"/>
      <c r="R72" s="12" t="str">
        <f t="shared" ca="1" si="94"/>
        <v/>
      </c>
      <c r="U72" s="624" t="str">
        <f ca="1">IF(OFFSET(AT72,0,Lang_Order*Lang__B5)="","",OFFSET(AT72,0,Lang_Order*Lang__B5))</f>
        <v>Domestic travel for personnel</v>
      </c>
      <c r="V72" s="72"/>
      <c r="W72" s="16"/>
      <c r="X72" s="16"/>
      <c r="Y72" s="16"/>
      <c r="Z72" s="16"/>
      <c r="AA72" s="16"/>
      <c r="AB72" s="16"/>
      <c r="AC72" s="16"/>
      <c r="AG72" s="624" t="str">
        <f ca="1">IF(OFFSET(AT72,0,Lang_Order*Lang__B5)="","",OFFSET(AT72,0,Lang_Order*Lang__B5))</f>
        <v>Domestic travel for personnel</v>
      </c>
      <c r="AH72" s="72"/>
      <c r="AI72" s="16"/>
      <c r="AJ72" s="16"/>
      <c r="AK72" s="16"/>
      <c r="AL72" s="16"/>
      <c r="AM72" s="16"/>
      <c r="AN72" s="16"/>
      <c r="AO72" s="16"/>
      <c r="AR72" s="403"/>
      <c r="AS72" s="403"/>
      <c r="AT72" s="403" t="s">
        <v>3729</v>
      </c>
      <c r="AU72" s="403"/>
      <c r="AV72" s="403"/>
      <c r="AW72" s="403"/>
      <c r="AX72" s="403"/>
      <c r="AY72" s="403"/>
      <c r="AZ72" s="403"/>
      <c r="BA72" s="403"/>
      <c r="BB72" s="403"/>
      <c r="BC72" s="403"/>
      <c r="BD72" s="403"/>
      <c r="BE72" s="403"/>
      <c r="BF72" s="403"/>
      <c r="BG72" s="403"/>
      <c r="BH72" s="403"/>
      <c r="BI72" s="403"/>
      <c r="BJ72" s="403"/>
      <c r="BK72" s="403"/>
      <c r="BL72" s="403"/>
      <c r="BM72" s="403"/>
      <c r="BN72" s="403"/>
      <c r="BO72" s="403"/>
      <c r="BP72" s="403"/>
      <c r="BQ72" s="403"/>
      <c r="BR72" s="403"/>
      <c r="BS72" s="403"/>
      <c r="BT72" s="403"/>
      <c r="BU72" s="403"/>
      <c r="BV72" s="403"/>
      <c r="BW72" s="403"/>
      <c r="BX72" s="403"/>
      <c r="BY72" s="403"/>
      <c r="BZ72" s="403"/>
      <c r="CA72" s="403"/>
      <c r="CB72" s="403" t="s">
        <v>11749</v>
      </c>
      <c r="CC72" s="403"/>
      <c r="CD72" s="403"/>
      <c r="CE72" s="403"/>
      <c r="CF72" s="403"/>
      <c r="CG72" s="403"/>
      <c r="CH72" s="403"/>
      <c r="CI72" s="403"/>
      <c r="CJ72" s="403"/>
      <c r="CK72" s="403"/>
      <c r="CL72" s="403"/>
      <c r="CM72" s="403"/>
      <c r="CN72" s="403"/>
      <c r="CO72" s="403"/>
      <c r="CP72" s="403"/>
      <c r="CQ72" s="403"/>
      <c r="CR72" s="403"/>
      <c r="CS72" s="403"/>
      <c r="CT72" s="403"/>
      <c r="CU72" s="403"/>
      <c r="CV72" s="403"/>
      <c r="CW72" s="403"/>
      <c r="CX72" s="403"/>
      <c r="CY72" s="403"/>
      <c r="CZ72" s="403"/>
      <c r="DA72" s="403"/>
      <c r="DB72" s="403"/>
      <c r="DC72" s="403"/>
      <c r="DD72" s="403"/>
      <c r="DE72" s="403"/>
      <c r="DF72" s="403"/>
      <c r="DG72" s="403"/>
      <c r="DH72" s="403"/>
      <c r="DI72" s="403"/>
      <c r="DJ72" s="403" t="s">
        <v>11750</v>
      </c>
      <c r="DK72" s="403"/>
      <c r="DL72" s="403"/>
      <c r="DM72" s="403"/>
      <c r="DN72" s="403"/>
      <c r="DO72" s="403"/>
      <c r="DP72" s="403"/>
      <c r="DQ72" s="403"/>
      <c r="DR72" s="403"/>
      <c r="DS72" s="403"/>
      <c r="DT72" s="403"/>
      <c r="DU72" s="403"/>
      <c r="DV72" s="403"/>
      <c r="DW72" s="403"/>
      <c r="DX72" s="403"/>
      <c r="DY72" s="403"/>
      <c r="DZ72" s="403"/>
      <c r="EA72" s="403"/>
      <c r="EB72" s="403"/>
      <c r="EC72" s="403"/>
      <c r="ED72" s="403"/>
      <c r="EE72" s="403"/>
      <c r="EF72" s="403"/>
      <c r="EG72" s="403"/>
      <c r="EH72" s="403"/>
      <c r="EI72" s="403"/>
      <c r="EJ72" s="403"/>
      <c r="EK72" s="403"/>
      <c r="EL72" s="403"/>
      <c r="EM72" s="403"/>
      <c r="EN72" s="403"/>
      <c r="EO72" s="403"/>
      <c r="EP72" s="403"/>
      <c r="EQ72" s="403"/>
      <c r="ER72" s="403" t="s">
        <v>11751</v>
      </c>
      <c r="ES72" s="403"/>
      <c r="ET72" s="403"/>
      <c r="EU72" s="403"/>
      <c r="EV72" s="403"/>
      <c r="EW72" s="403"/>
      <c r="EX72" s="403"/>
      <c r="EY72" s="403"/>
      <c r="EZ72" s="403"/>
      <c r="FA72" s="403"/>
      <c r="FB72" s="403"/>
      <c r="FC72" s="403"/>
      <c r="FD72" s="403"/>
      <c r="FE72" s="403"/>
      <c r="FF72" s="403"/>
      <c r="FG72" s="403"/>
      <c r="FH72" s="403"/>
      <c r="FI72" s="403"/>
      <c r="FJ72" s="403"/>
      <c r="FK72" s="403"/>
      <c r="FL72" s="403"/>
      <c r="FM72" s="403"/>
      <c r="FN72" s="403"/>
      <c r="FO72" s="403"/>
      <c r="FP72" s="403"/>
      <c r="FQ72" s="403"/>
      <c r="FR72" s="403"/>
      <c r="FS72" s="403"/>
      <c r="FT72" s="403"/>
      <c r="FU72" s="403"/>
      <c r="FV72" s="403"/>
      <c r="FW72" s="403"/>
      <c r="FX72" s="403"/>
      <c r="FY72" s="403"/>
      <c r="FZ72" s="403" t="s">
        <v>11635</v>
      </c>
      <c r="GA72" s="403"/>
      <c r="GB72" s="403"/>
      <c r="GC72" s="403"/>
      <c r="GD72" s="403"/>
      <c r="GE72" s="403"/>
      <c r="GF72" s="403"/>
      <c r="GG72" s="403"/>
      <c r="GH72" s="403"/>
      <c r="GI72" s="403"/>
      <c r="GJ72" s="403"/>
      <c r="GK72" s="403"/>
      <c r="GL72" s="403"/>
      <c r="GM72" s="403"/>
      <c r="GN72" s="403"/>
      <c r="GO72" s="403"/>
      <c r="GP72" s="403"/>
      <c r="GQ72" s="403"/>
      <c r="GR72" s="403"/>
      <c r="GS72" s="403"/>
      <c r="GT72" s="403"/>
      <c r="GU72" s="403"/>
      <c r="GV72" s="403"/>
      <c r="GW72" s="403"/>
      <c r="GX72" s="403"/>
      <c r="GY72" s="403"/>
      <c r="GZ72" s="403"/>
      <c r="HA72" s="403"/>
      <c r="HB72" s="403"/>
      <c r="HC72" s="403"/>
      <c r="HD72" s="403"/>
      <c r="HE72" s="403"/>
      <c r="HF72" s="403"/>
      <c r="HG72" s="403"/>
      <c r="HH72" s="403" t="s">
        <v>11752</v>
      </c>
      <c r="HI72" s="403"/>
      <c r="HJ72" s="403"/>
      <c r="HK72" s="403"/>
      <c r="HL72" s="403"/>
      <c r="HM72" s="403"/>
      <c r="HN72" s="403"/>
      <c r="HO72" s="403"/>
      <c r="HP72" s="403"/>
      <c r="HQ72" s="403"/>
      <c r="HR72" s="403"/>
      <c r="HS72" s="403"/>
      <c r="HT72" s="403"/>
      <c r="HU72" s="403"/>
      <c r="HV72" s="403"/>
      <c r="HW72" s="403"/>
      <c r="HX72" s="403"/>
      <c r="HY72" s="403"/>
      <c r="HZ72" s="403"/>
      <c r="IA72" s="403"/>
      <c r="IB72" s="403"/>
      <c r="IC72" s="403"/>
      <c r="ID72" s="403"/>
      <c r="IE72" s="403"/>
      <c r="IF72" s="403"/>
      <c r="IG72" s="403"/>
      <c r="IH72" s="403"/>
      <c r="II72" s="403"/>
      <c r="IJ72" s="403"/>
      <c r="IK72" s="403"/>
      <c r="IL72" s="403"/>
      <c r="IM72" s="403"/>
      <c r="IN72" s="403"/>
      <c r="IO72" s="403"/>
      <c r="IP72" s="403" t="s">
        <v>11637</v>
      </c>
      <c r="IQ72" s="403"/>
      <c r="IR72" s="403"/>
      <c r="IS72" s="403"/>
      <c r="IT72" s="403"/>
      <c r="IU72" s="403"/>
      <c r="IV72" s="403"/>
      <c r="IW72" s="403"/>
      <c r="IX72" s="403"/>
      <c r="IY72" s="403"/>
      <c r="IZ72" s="403"/>
      <c r="JA72" s="403"/>
      <c r="JB72" s="403"/>
      <c r="JC72" s="403"/>
      <c r="JD72" s="403"/>
      <c r="JE72" s="403"/>
      <c r="JF72" s="403"/>
      <c r="JG72" s="403"/>
      <c r="JH72" s="403"/>
      <c r="JI72" s="403"/>
      <c r="JJ72" s="403"/>
      <c r="JK72" s="403"/>
      <c r="JL72" s="403"/>
      <c r="JM72" s="403"/>
      <c r="JN72" s="403"/>
      <c r="JO72" s="403"/>
      <c r="JP72" s="403"/>
      <c r="JQ72" s="403"/>
      <c r="JR72" s="403"/>
      <c r="JS72" s="403"/>
      <c r="JT72" s="403"/>
    </row>
    <row r="73" spans="1:280" s="194" customFormat="1" ht="12.75" x14ac:dyDescent="0.2">
      <c r="B73" s="622"/>
      <c r="C73" s="5" t="str">
        <f ca="1">IF(OFFSET(AU73,0,Lang_Order*Lang__B5)="","",OFFSET(AU73,0,Lang_Order*Lang__B5))</f>
        <v>Delivery Modality 2</v>
      </c>
      <c r="J73" s="37" t="e">
        <f t="shared" ref="J73:O73" si="144">DM2_Site_Distances*Car_PerKM_USD*ROUNDUP(J149/Car_MaxPersonnel,0)*J148</f>
        <v>#DIV/0!</v>
      </c>
      <c r="K73" s="300" t="e">
        <f t="shared" si="144"/>
        <v>#DIV/0!</v>
      </c>
      <c r="L73" s="300" t="e">
        <f t="shared" si="144"/>
        <v>#DIV/0!</v>
      </c>
      <c r="M73" s="300" t="e">
        <f t="shared" si="144"/>
        <v>#DIV/0!</v>
      </c>
      <c r="N73" s="300" t="e">
        <f t="shared" si="144"/>
        <v>#DIV/0!</v>
      </c>
      <c r="O73" s="300" t="e">
        <f t="shared" si="144"/>
        <v>#DIV/0!</v>
      </c>
      <c r="P73" s="37" t="e">
        <f>SUM(J73:O73)</f>
        <v>#DIV/0!</v>
      </c>
      <c r="R73" s="12" t="str">
        <f t="shared" ca="1" si="94"/>
        <v>Travel from nearest fixed site to compaign site</v>
      </c>
      <c r="U73" s="622"/>
      <c r="V73" s="72" t="str">
        <f ca="1">IF(OFFSET(AU73,0,Lang_Order*Lang__B5)="","",OFFSET(AU73,0,Lang_Order*Lang__B5))</f>
        <v>Delivery Modality 2</v>
      </c>
      <c r="W73" s="300" t="e">
        <f t="shared" ref="W73:AB73" si="145">DM2_Site_Distances*Car_PerKM_USD*ROUNDUP(W149/Car_MaxPersonnel,0)*W148</f>
        <v>#DIV/0!</v>
      </c>
      <c r="X73" s="300" t="e">
        <f t="shared" si="145"/>
        <v>#DIV/0!</v>
      </c>
      <c r="Y73" s="300" t="e">
        <f t="shared" si="145"/>
        <v>#DIV/0!</v>
      </c>
      <c r="Z73" s="300" t="e">
        <f t="shared" si="145"/>
        <v>#DIV/0!</v>
      </c>
      <c r="AA73" s="300" t="e">
        <f t="shared" si="145"/>
        <v>#DIV/0!</v>
      </c>
      <c r="AB73" s="300" t="e">
        <f t="shared" si="145"/>
        <v>#DIV/0!</v>
      </c>
      <c r="AC73" s="300" t="e">
        <f>SUM(W73:AB73)</f>
        <v>#DIV/0!</v>
      </c>
      <c r="AG73" s="622"/>
      <c r="AH73" s="72" t="str">
        <f ca="1">IF(OFFSET(AU73,0,Lang_Order*Lang__B5)="","",OFFSET(AU73,0,Lang_Order*Lang__B5))</f>
        <v>Delivery Modality 2</v>
      </c>
      <c r="AI73" s="300" t="e">
        <f t="shared" ref="AI73:AN73" si="146">DM2_Site_Distances*Car_PerKM_USD*ROUNDUP(AI149/Car_MaxPersonnel,0)*AI148</f>
        <v>#DIV/0!</v>
      </c>
      <c r="AJ73" s="300" t="e">
        <f t="shared" si="146"/>
        <v>#DIV/0!</v>
      </c>
      <c r="AK73" s="300" t="e">
        <f t="shared" si="146"/>
        <v>#DIV/0!</v>
      </c>
      <c r="AL73" s="300" t="e">
        <f t="shared" si="146"/>
        <v>#DIV/0!</v>
      </c>
      <c r="AM73" s="300" t="e">
        <f t="shared" si="146"/>
        <v>#DIV/0!</v>
      </c>
      <c r="AN73" s="300" t="e">
        <f t="shared" si="146"/>
        <v>#DIV/0!</v>
      </c>
      <c r="AO73" s="300" t="e">
        <f>SUM(AI73:AN73)</f>
        <v>#DIV/0!</v>
      </c>
      <c r="AR73" s="403"/>
      <c r="AS73" s="403"/>
      <c r="AT73" s="403"/>
      <c r="AU73" s="403" t="s">
        <v>1639</v>
      </c>
      <c r="AV73" s="403"/>
      <c r="AW73" s="403"/>
      <c r="AX73" s="403"/>
      <c r="AY73" s="403"/>
      <c r="AZ73" s="403"/>
      <c r="BA73" s="403"/>
      <c r="BB73" s="403"/>
      <c r="BC73" s="403"/>
      <c r="BD73" s="403"/>
      <c r="BE73" s="403"/>
      <c r="BF73" s="403"/>
      <c r="BG73" s="403"/>
      <c r="BH73" s="403"/>
      <c r="BI73" s="403"/>
      <c r="BJ73" s="403" t="s">
        <v>2840</v>
      </c>
      <c r="BK73" s="403"/>
      <c r="BL73" s="403"/>
      <c r="BM73" s="403"/>
      <c r="BN73" s="403"/>
      <c r="BO73" s="403"/>
      <c r="BP73" s="403"/>
      <c r="BQ73" s="403"/>
      <c r="BR73" s="403"/>
      <c r="BS73" s="403"/>
      <c r="BT73" s="403"/>
      <c r="BU73" s="403"/>
      <c r="BV73" s="403"/>
      <c r="BW73" s="403"/>
      <c r="BX73" s="403"/>
      <c r="BY73" s="403"/>
      <c r="BZ73" s="403"/>
      <c r="CA73" s="403"/>
      <c r="CB73" s="403"/>
      <c r="CC73" s="403" t="s">
        <v>7482</v>
      </c>
      <c r="CD73" s="403"/>
      <c r="CE73" s="403"/>
      <c r="CF73" s="403"/>
      <c r="CG73" s="403"/>
      <c r="CH73" s="403"/>
      <c r="CI73" s="403"/>
      <c r="CJ73" s="403"/>
      <c r="CK73" s="403"/>
      <c r="CL73" s="403"/>
      <c r="CM73" s="403"/>
      <c r="CN73" s="403"/>
      <c r="CO73" s="403"/>
      <c r="CP73" s="403"/>
      <c r="CQ73" s="403"/>
      <c r="CR73" s="403" t="s">
        <v>11753</v>
      </c>
      <c r="CS73" s="403"/>
      <c r="CT73" s="403"/>
      <c r="CU73" s="403"/>
      <c r="CV73" s="403"/>
      <c r="CW73" s="403"/>
      <c r="CX73" s="403"/>
      <c r="CY73" s="403"/>
      <c r="CZ73" s="403"/>
      <c r="DA73" s="403"/>
      <c r="DB73" s="403"/>
      <c r="DC73" s="403"/>
      <c r="DD73" s="403"/>
      <c r="DE73" s="403"/>
      <c r="DF73" s="403"/>
      <c r="DG73" s="403"/>
      <c r="DH73" s="403"/>
      <c r="DI73" s="403"/>
      <c r="DJ73" s="403"/>
      <c r="DK73" s="403" t="s">
        <v>9672</v>
      </c>
      <c r="DL73" s="403"/>
      <c r="DM73" s="403"/>
      <c r="DN73" s="403"/>
      <c r="DO73" s="403"/>
      <c r="DP73" s="403"/>
      <c r="DQ73" s="403"/>
      <c r="DR73" s="403"/>
      <c r="DS73" s="403"/>
      <c r="DT73" s="403"/>
      <c r="DU73" s="403"/>
      <c r="DV73" s="403"/>
      <c r="DW73" s="403"/>
      <c r="DX73" s="403"/>
      <c r="DY73" s="403"/>
      <c r="DZ73" s="403" t="s">
        <v>11754</v>
      </c>
      <c r="EA73" s="403"/>
      <c r="EB73" s="403"/>
      <c r="EC73" s="403"/>
      <c r="ED73" s="403"/>
      <c r="EE73" s="403"/>
      <c r="EF73" s="403"/>
      <c r="EG73" s="403"/>
      <c r="EH73" s="403"/>
      <c r="EI73" s="403"/>
      <c r="EJ73" s="403"/>
      <c r="EK73" s="403"/>
      <c r="EL73" s="403"/>
      <c r="EM73" s="403"/>
      <c r="EN73" s="403"/>
      <c r="EO73" s="403"/>
      <c r="EP73" s="403"/>
      <c r="EQ73" s="403"/>
      <c r="ER73" s="403"/>
      <c r="ES73" s="403" t="s">
        <v>9673</v>
      </c>
      <c r="ET73" s="403"/>
      <c r="EU73" s="403"/>
      <c r="EV73" s="403"/>
      <c r="EW73" s="403"/>
      <c r="EX73" s="403"/>
      <c r="EY73" s="403"/>
      <c r="EZ73" s="403"/>
      <c r="FA73" s="403"/>
      <c r="FB73" s="403"/>
      <c r="FC73" s="403"/>
      <c r="FD73" s="403"/>
      <c r="FE73" s="403"/>
      <c r="FF73" s="403"/>
      <c r="FG73" s="403"/>
      <c r="FH73" s="403" t="s">
        <v>11755</v>
      </c>
      <c r="FI73" s="403"/>
      <c r="FJ73" s="403"/>
      <c r="FK73" s="403"/>
      <c r="FL73" s="403"/>
      <c r="FM73" s="403"/>
      <c r="FN73" s="403"/>
      <c r="FO73" s="403"/>
      <c r="FP73" s="403"/>
      <c r="FQ73" s="403"/>
      <c r="FR73" s="403"/>
      <c r="FS73" s="403"/>
      <c r="FT73" s="403"/>
      <c r="FU73" s="403"/>
      <c r="FV73" s="403"/>
      <c r="FW73" s="403"/>
      <c r="FX73" s="403"/>
      <c r="FY73" s="403"/>
      <c r="FZ73" s="403"/>
      <c r="GA73" s="403" t="s">
        <v>7485</v>
      </c>
      <c r="GB73" s="403"/>
      <c r="GC73" s="403"/>
      <c r="GD73" s="403"/>
      <c r="GE73" s="403"/>
      <c r="GF73" s="403"/>
      <c r="GG73" s="403"/>
      <c r="GH73" s="403"/>
      <c r="GI73" s="403"/>
      <c r="GJ73" s="403"/>
      <c r="GK73" s="403"/>
      <c r="GL73" s="403"/>
      <c r="GM73" s="403"/>
      <c r="GN73" s="403"/>
      <c r="GO73" s="403"/>
      <c r="GP73" s="403" t="s">
        <v>11756</v>
      </c>
      <c r="GQ73" s="403"/>
      <c r="GR73" s="403"/>
      <c r="GS73" s="403"/>
      <c r="GT73" s="403"/>
      <c r="GU73" s="403"/>
      <c r="GV73" s="403"/>
      <c r="GW73" s="403"/>
      <c r="GX73" s="403"/>
      <c r="GY73" s="403"/>
      <c r="GZ73" s="403"/>
      <c r="HA73" s="403"/>
      <c r="HB73" s="403"/>
      <c r="HC73" s="403"/>
      <c r="HD73" s="403"/>
      <c r="HE73" s="403"/>
      <c r="HF73" s="403"/>
      <c r="HG73" s="403"/>
      <c r="HH73" s="403"/>
      <c r="HI73" s="403" t="s">
        <v>7486</v>
      </c>
      <c r="HJ73" s="403"/>
      <c r="HK73" s="403"/>
      <c r="HL73" s="403"/>
      <c r="HM73" s="403"/>
      <c r="HN73" s="403"/>
      <c r="HO73" s="403"/>
      <c r="HP73" s="403"/>
      <c r="HQ73" s="403"/>
      <c r="HR73" s="403"/>
      <c r="HS73" s="403"/>
      <c r="HT73" s="403"/>
      <c r="HU73" s="403"/>
      <c r="HV73" s="403"/>
      <c r="HW73" s="403"/>
      <c r="HX73" s="403" t="s">
        <v>11757</v>
      </c>
      <c r="HY73" s="403"/>
      <c r="HZ73" s="403"/>
      <c r="IA73" s="403"/>
      <c r="IB73" s="403"/>
      <c r="IC73" s="403"/>
      <c r="ID73" s="403"/>
      <c r="IE73" s="403"/>
      <c r="IF73" s="403"/>
      <c r="IG73" s="403"/>
      <c r="IH73" s="403"/>
      <c r="II73" s="403"/>
      <c r="IJ73" s="403"/>
      <c r="IK73" s="403"/>
      <c r="IL73" s="403"/>
      <c r="IM73" s="403"/>
      <c r="IN73" s="403"/>
      <c r="IO73" s="403"/>
      <c r="IP73" s="403"/>
      <c r="IQ73" s="403" t="s">
        <v>7487</v>
      </c>
      <c r="IR73" s="403"/>
      <c r="IS73" s="403"/>
      <c r="IT73" s="403"/>
      <c r="IU73" s="403"/>
      <c r="IV73" s="403"/>
      <c r="IW73" s="403"/>
      <c r="IX73" s="403"/>
      <c r="IY73" s="403"/>
      <c r="IZ73" s="403"/>
      <c r="JA73" s="403"/>
      <c r="JB73" s="403"/>
      <c r="JC73" s="403"/>
      <c r="JD73" s="403"/>
      <c r="JE73" s="403"/>
      <c r="JF73" s="403" t="s">
        <v>11758</v>
      </c>
      <c r="JG73" s="403"/>
      <c r="JH73" s="403"/>
      <c r="JI73" s="403"/>
      <c r="JJ73" s="403"/>
      <c r="JK73" s="403"/>
      <c r="JL73" s="403"/>
      <c r="JM73" s="403"/>
      <c r="JN73" s="403"/>
      <c r="JO73" s="403"/>
      <c r="JP73" s="403"/>
      <c r="JQ73" s="403"/>
      <c r="JR73" s="403"/>
      <c r="JS73" s="403"/>
      <c r="JT73" s="403"/>
    </row>
    <row r="74" spans="1:280" s="194" customFormat="1" ht="12.75" x14ac:dyDescent="0.2">
      <c r="B74" s="622"/>
      <c r="C74" s="5" t="str">
        <f ca="1">IF(OFFSET(AU74,0,Lang_Order*Lang__B5)="","",OFFSET(AU74,0,Lang_Order*Lang__B5))</f>
        <v>Delivery Modality 3</v>
      </c>
      <c r="J74" s="94" t="e">
        <f t="shared" ref="J74:O74" si="147">DM3_Site_Distances*Car_PerKM_USD*ROUNDUP(J197/Car_MaxPersonnel,0)*J196</f>
        <v>#N/A</v>
      </c>
      <c r="K74" s="94" t="e">
        <f t="shared" si="147"/>
        <v>#N/A</v>
      </c>
      <c r="L74" s="94" t="e">
        <f t="shared" si="147"/>
        <v>#N/A</v>
      </c>
      <c r="M74" s="94" t="e">
        <f t="shared" si="147"/>
        <v>#N/A</v>
      </c>
      <c r="N74" s="94" t="e">
        <f t="shared" si="147"/>
        <v>#N/A</v>
      </c>
      <c r="O74" s="94" t="e">
        <f t="shared" si="147"/>
        <v>#N/A</v>
      </c>
      <c r="P74" s="300" t="e">
        <f t="shared" ref="P74:P75" si="148">SUM(J74:O74)</f>
        <v>#N/A</v>
      </c>
      <c r="R74" s="12" t="str">
        <f t="shared" ca="1" si="94"/>
        <v>Travel from nearest fixed site to each institution</v>
      </c>
      <c r="U74" s="622"/>
      <c r="V74" s="72" t="str">
        <f ca="1">IF(OFFSET(AU74,0,Lang_Order*Lang__B5)="","",OFFSET(AU74,0,Lang_Order*Lang__B5))</f>
        <v>Delivery Modality 3</v>
      </c>
      <c r="W74" s="94" t="e">
        <f t="shared" ref="W74:AB74" si="149">DM3_Site_Distances*Car_PerKM_USD*ROUNDUP(W197/Car_MaxPersonnel,0)*W196</f>
        <v>#N/A</v>
      </c>
      <c r="X74" s="94" t="e">
        <f t="shared" si="149"/>
        <v>#N/A</v>
      </c>
      <c r="Y74" s="94" t="e">
        <f t="shared" si="149"/>
        <v>#N/A</v>
      </c>
      <c r="Z74" s="94" t="e">
        <f t="shared" si="149"/>
        <v>#N/A</v>
      </c>
      <c r="AA74" s="94" t="e">
        <f t="shared" si="149"/>
        <v>#N/A</v>
      </c>
      <c r="AB74" s="94" t="e">
        <f t="shared" si="149"/>
        <v>#N/A</v>
      </c>
      <c r="AC74" s="300" t="e">
        <f t="shared" ref="AC74:AC75" si="150">SUM(W74:AB74)</f>
        <v>#N/A</v>
      </c>
      <c r="AG74" s="622"/>
      <c r="AH74" s="72" t="str">
        <f ca="1">IF(OFFSET(AU74,0,Lang_Order*Lang__B5)="","",OFFSET(AU74,0,Lang_Order*Lang__B5))</f>
        <v>Delivery Modality 3</v>
      </c>
      <c r="AI74" s="94" t="e">
        <f t="shared" ref="AI74:AN74" si="151">DM3_Site_Distances*Car_PerKM_USD*ROUNDUP(AI197/Car_MaxPersonnel,0)*AI196</f>
        <v>#N/A</v>
      </c>
      <c r="AJ74" s="94" t="e">
        <f t="shared" si="151"/>
        <v>#N/A</v>
      </c>
      <c r="AK74" s="94" t="e">
        <f t="shared" si="151"/>
        <v>#N/A</v>
      </c>
      <c r="AL74" s="94" t="e">
        <f t="shared" si="151"/>
        <v>#N/A</v>
      </c>
      <c r="AM74" s="94" t="e">
        <f t="shared" si="151"/>
        <v>#N/A</v>
      </c>
      <c r="AN74" s="94" t="e">
        <f t="shared" si="151"/>
        <v>#N/A</v>
      </c>
      <c r="AO74" s="300" t="e">
        <f t="shared" ref="AO74:AO75" si="152">SUM(AI74:AN74)</f>
        <v>#N/A</v>
      </c>
      <c r="AR74" s="403"/>
      <c r="AS74" s="403"/>
      <c r="AT74" s="403"/>
      <c r="AU74" s="403" t="s">
        <v>1564</v>
      </c>
      <c r="AV74" s="403"/>
      <c r="AW74" s="403"/>
      <c r="AX74" s="403"/>
      <c r="AY74" s="403"/>
      <c r="AZ74" s="403"/>
      <c r="BA74" s="403"/>
      <c r="BB74" s="403"/>
      <c r="BC74" s="403"/>
      <c r="BD74" s="403"/>
      <c r="BE74" s="403"/>
      <c r="BF74" s="403"/>
      <c r="BG74" s="403"/>
      <c r="BH74" s="403"/>
      <c r="BI74" s="403"/>
      <c r="BJ74" s="403" t="s">
        <v>2832</v>
      </c>
      <c r="BK74" s="403"/>
      <c r="BL74" s="403"/>
      <c r="BM74" s="403"/>
      <c r="BN74" s="403"/>
      <c r="BO74" s="403"/>
      <c r="BP74" s="403"/>
      <c r="BQ74" s="403"/>
      <c r="BR74" s="403"/>
      <c r="BS74" s="403"/>
      <c r="BT74" s="403"/>
      <c r="BU74" s="403"/>
      <c r="BV74" s="403"/>
      <c r="BW74" s="403"/>
      <c r="BX74" s="403"/>
      <c r="BY74" s="403"/>
      <c r="BZ74" s="403"/>
      <c r="CA74" s="403"/>
      <c r="CB74" s="403"/>
      <c r="CC74" s="403" t="s">
        <v>7418</v>
      </c>
      <c r="CD74" s="403"/>
      <c r="CE74" s="403"/>
      <c r="CF74" s="403"/>
      <c r="CG74" s="403"/>
      <c r="CH74" s="403"/>
      <c r="CI74" s="403"/>
      <c r="CJ74" s="403"/>
      <c r="CK74" s="403"/>
      <c r="CL74" s="403"/>
      <c r="CM74" s="403"/>
      <c r="CN74" s="403"/>
      <c r="CO74" s="403"/>
      <c r="CP74" s="403"/>
      <c r="CQ74" s="403"/>
      <c r="CR74" s="403" t="s">
        <v>11759</v>
      </c>
      <c r="CS74" s="403"/>
      <c r="CT74" s="403"/>
      <c r="CU74" s="403"/>
      <c r="CV74" s="403"/>
      <c r="CW74" s="403"/>
      <c r="CX74" s="403"/>
      <c r="CY74" s="403"/>
      <c r="CZ74" s="403"/>
      <c r="DA74" s="403"/>
      <c r="DB74" s="403"/>
      <c r="DC74" s="403"/>
      <c r="DD74" s="403"/>
      <c r="DE74" s="403"/>
      <c r="DF74" s="403"/>
      <c r="DG74" s="403"/>
      <c r="DH74" s="403"/>
      <c r="DI74" s="403"/>
      <c r="DJ74" s="403"/>
      <c r="DK74" s="403" t="s">
        <v>9676</v>
      </c>
      <c r="DL74" s="403"/>
      <c r="DM74" s="403"/>
      <c r="DN74" s="403"/>
      <c r="DO74" s="403"/>
      <c r="DP74" s="403"/>
      <c r="DQ74" s="403"/>
      <c r="DR74" s="403"/>
      <c r="DS74" s="403"/>
      <c r="DT74" s="403"/>
      <c r="DU74" s="403"/>
      <c r="DV74" s="403"/>
      <c r="DW74" s="403"/>
      <c r="DX74" s="403"/>
      <c r="DY74" s="403"/>
      <c r="DZ74" s="403" t="s">
        <v>11760</v>
      </c>
      <c r="EA74" s="403"/>
      <c r="EB74" s="403"/>
      <c r="EC74" s="403"/>
      <c r="ED74" s="403"/>
      <c r="EE74" s="403"/>
      <c r="EF74" s="403"/>
      <c r="EG74" s="403"/>
      <c r="EH74" s="403"/>
      <c r="EI74" s="403"/>
      <c r="EJ74" s="403"/>
      <c r="EK74" s="403"/>
      <c r="EL74" s="403"/>
      <c r="EM74" s="403"/>
      <c r="EN74" s="403"/>
      <c r="EO74" s="403"/>
      <c r="EP74" s="403"/>
      <c r="EQ74" s="403"/>
      <c r="ER74" s="403"/>
      <c r="ES74" s="403" t="s">
        <v>7420</v>
      </c>
      <c r="ET74" s="403"/>
      <c r="EU74" s="403"/>
      <c r="EV74" s="403"/>
      <c r="EW74" s="403"/>
      <c r="EX74" s="403"/>
      <c r="EY74" s="403"/>
      <c r="EZ74" s="403"/>
      <c r="FA74" s="403"/>
      <c r="FB74" s="403"/>
      <c r="FC74" s="403"/>
      <c r="FD74" s="403"/>
      <c r="FE74" s="403"/>
      <c r="FF74" s="403"/>
      <c r="FG74" s="403"/>
      <c r="FH74" s="403" t="s">
        <v>11761</v>
      </c>
      <c r="FI74" s="403"/>
      <c r="FJ74" s="403"/>
      <c r="FK74" s="403"/>
      <c r="FL74" s="403"/>
      <c r="FM74" s="403"/>
      <c r="FN74" s="403"/>
      <c r="FO74" s="403"/>
      <c r="FP74" s="403"/>
      <c r="FQ74" s="403"/>
      <c r="FR74" s="403"/>
      <c r="FS74" s="403"/>
      <c r="FT74" s="403"/>
      <c r="FU74" s="403"/>
      <c r="FV74" s="403"/>
      <c r="FW74" s="403"/>
      <c r="FX74" s="403"/>
      <c r="FY74" s="403"/>
      <c r="FZ74" s="403"/>
      <c r="GA74" s="403" t="s">
        <v>7489</v>
      </c>
      <c r="GB74" s="403"/>
      <c r="GC74" s="403"/>
      <c r="GD74" s="403"/>
      <c r="GE74" s="403"/>
      <c r="GF74" s="403"/>
      <c r="GG74" s="403"/>
      <c r="GH74" s="403"/>
      <c r="GI74" s="403"/>
      <c r="GJ74" s="403"/>
      <c r="GK74" s="403"/>
      <c r="GL74" s="403"/>
      <c r="GM74" s="403"/>
      <c r="GN74" s="403"/>
      <c r="GO74" s="403"/>
      <c r="GP74" s="403" t="s">
        <v>11762</v>
      </c>
      <c r="GQ74" s="403"/>
      <c r="GR74" s="403"/>
      <c r="GS74" s="403"/>
      <c r="GT74" s="403"/>
      <c r="GU74" s="403"/>
      <c r="GV74" s="403"/>
      <c r="GW74" s="403"/>
      <c r="GX74" s="403"/>
      <c r="GY74" s="403"/>
      <c r="GZ74" s="403"/>
      <c r="HA74" s="403"/>
      <c r="HB74" s="403"/>
      <c r="HC74" s="403"/>
      <c r="HD74" s="403"/>
      <c r="HE74" s="403"/>
      <c r="HF74" s="403"/>
      <c r="HG74" s="403"/>
      <c r="HH74" s="403"/>
      <c r="HI74" s="403" t="s">
        <v>7422</v>
      </c>
      <c r="HJ74" s="403"/>
      <c r="HK74" s="403"/>
      <c r="HL74" s="403"/>
      <c r="HM74" s="403"/>
      <c r="HN74" s="403"/>
      <c r="HO74" s="403"/>
      <c r="HP74" s="403"/>
      <c r="HQ74" s="403"/>
      <c r="HR74" s="403"/>
      <c r="HS74" s="403"/>
      <c r="HT74" s="403"/>
      <c r="HU74" s="403"/>
      <c r="HV74" s="403"/>
      <c r="HW74" s="403"/>
      <c r="HX74" s="403" t="s">
        <v>11763</v>
      </c>
      <c r="HY74" s="403"/>
      <c r="HZ74" s="403"/>
      <c r="IA74" s="403"/>
      <c r="IB74" s="403"/>
      <c r="IC74" s="403"/>
      <c r="ID74" s="403"/>
      <c r="IE74" s="403"/>
      <c r="IF74" s="403"/>
      <c r="IG74" s="403"/>
      <c r="IH74" s="403"/>
      <c r="II74" s="403"/>
      <c r="IJ74" s="403"/>
      <c r="IK74" s="403"/>
      <c r="IL74" s="403"/>
      <c r="IM74" s="403"/>
      <c r="IN74" s="403"/>
      <c r="IO74" s="403"/>
      <c r="IP74" s="403"/>
      <c r="IQ74" s="403" t="s">
        <v>7423</v>
      </c>
      <c r="IR74" s="403"/>
      <c r="IS74" s="403"/>
      <c r="IT74" s="403"/>
      <c r="IU74" s="403"/>
      <c r="IV74" s="403"/>
      <c r="IW74" s="403"/>
      <c r="IX74" s="403"/>
      <c r="IY74" s="403"/>
      <c r="IZ74" s="403"/>
      <c r="JA74" s="403"/>
      <c r="JB74" s="403"/>
      <c r="JC74" s="403"/>
      <c r="JD74" s="403"/>
      <c r="JE74" s="403"/>
      <c r="JF74" s="403" t="s">
        <v>11764</v>
      </c>
      <c r="JG74" s="403"/>
      <c r="JH74" s="403"/>
      <c r="JI74" s="403"/>
      <c r="JJ74" s="403"/>
      <c r="JK74" s="403"/>
      <c r="JL74" s="403"/>
      <c r="JM74" s="403"/>
      <c r="JN74" s="403"/>
      <c r="JO74" s="403"/>
      <c r="JP74" s="403"/>
      <c r="JQ74" s="403"/>
      <c r="JR74" s="403"/>
      <c r="JS74" s="403"/>
      <c r="JT74" s="403"/>
    </row>
    <row r="75" spans="1:280" s="194" customFormat="1" ht="12.75" x14ac:dyDescent="0.2">
      <c r="B75" s="622"/>
      <c r="C75" s="5" t="str">
        <f ca="1">IF(OFFSET(AU75,0,Lang_Order*Lang__B5)="","",OFFSET(AU75,0,Lang_Order*Lang__B5))</f>
        <v>Delivery Modality 4</v>
      </c>
      <c r="J75" s="94" t="e">
        <f t="shared" ref="J75:O75" si="153">DM4_Site_Distances*Car_PerKM_USD*ROUNDUP(J245/Car_MaxPersonnel,0)*J244</f>
        <v>#DIV/0!</v>
      </c>
      <c r="K75" s="94" t="e">
        <f t="shared" si="153"/>
        <v>#DIV/0!</v>
      </c>
      <c r="L75" s="94" t="e">
        <f t="shared" si="153"/>
        <v>#DIV/0!</v>
      </c>
      <c r="M75" s="94" t="e">
        <f t="shared" si="153"/>
        <v>#DIV/0!</v>
      </c>
      <c r="N75" s="94" t="e">
        <f t="shared" si="153"/>
        <v>#DIV/0!</v>
      </c>
      <c r="O75" s="94" t="e">
        <f t="shared" si="153"/>
        <v>#DIV/0!</v>
      </c>
      <c r="P75" s="300" t="e">
        <f t="shared" si="148"/>
        <v>#DIV/0!</v>
      </c>
      <c r="R75" s="12" t="str">
        <f t="shared" ca="1" si="94"/>
        <v>Travel from nearest fixed site to each remote site (to replenish vaccines et al</v>
      </c>
      <c r="U75" s="622"/>
      <c r="V75" s="72" t="str">
        <f ca="1">IF(OFFSET(AU75,0,Lang_Order*Lang__B5)="","",OFFSET(AU75,0,Lang_Order*Lang__B5))</f>
        <v>Delivery Modality 4</v>
      </c>
      <c r="W75" s="94" t="e">
        <f t="shared" ref="W75:AB75" si="154">DM4_Site_Distances*Car_PerKM_USD*ROUNDUP(W245/Car_MaxPersonnel,0)*W244</f>
        <v>#DIV/0!</v>
      </c>
      <c r="X75" s="94" t="e">
        <f t="shared" si="154"/>
        <v>#DIV/0!</v>
      </c>
      <c r="Y75" s="94" t="e">
        <f t="shared" si="154"/>
        <v>#DIV/0!</v>
      </c>
      <c r="Z75" s="94" t="e">
        <f t="shared" si="154"/>
        <v>#DIV/0!</v>
      </c>
      <c r="AA75" s="94" t="e">
        <f t="shared" si="154"/>
        <v>#DIV/0!</v>
      </c>
      <c r="AB75" s="94" t="e">
        <f t="shared" si="154"/>
        <v>#DIV/0!</v>
      </c>
      <c r="AC75" s="300" t="e">
        <f t="shared" si="150"/>
        <v>#DIV/0!</v>
      </c>
      <c r="AG75" s="622"/>
      <c r="AH75" s="72" t="str">
        <f ca="1">IF(OFFSET(AU75,0,Lang_Order*Lang__B5)="","",OFFSET(AU75,0,Lang_Order*Lang__B5))</f>
        <v>Delivery Modality 4</v>
      </c>
      <c r="AI75" s="94" t="e">
        <f t="shared" ref="AI75:AN75" si="155">DM4_Site_Distances*Car_PerKM_USD*ROUNDUP(AI245/Car_MaxPersonnel,0)*AI244</f>
        <v>#DIV/0!</v>
      </c>
      <c r="AJ75" s="94" t="e">
        <f t="shared" si="155"/>
        <v>#DIV/0!</v>
      </c>
      <c r="AK75" s="94" t="e">
        <f t="shared" si="155"/>
        <v>#DIV/0!</v>
      </c>
      <c r="AL75" s="94" t="e">
        <f t="shared" si="155"/>
        <v>#DIV/0!</v>
      </c>
      <c r="AM75" s="94" t="e">
        <f t="shared" si="155"/>
        <v>#DIV/0!</v>
      </c>
      <c r="AN75" s="94" t="e">
        <f t="shared" si="155"/>
        <v>#DIV/0!</v>
      </c>
      <c r="AO75" s="300" t="e">
        <f t="shared" si="152"/>
        <v>#DIV/0!</v>
      </c>
      <c r="AR75" s="403"/>
      <c r="AS75" s="403"/>
      <c r="AT75" s="403"/>
      <c r="AU75" s="403" t="s">
        <v>1565</v>
      </c>
      <c r="AV75" s="403"/>
      <c r="AW75" s="403"/>
      <c r="AX75" s="403"/>
      <c r="AY75" s="403"/>
      <c r="AZ75" s="403"/>
      <c r="BA75" s="403"/>
      <c r="BB75" s="403"/>
      <c r="BC75" s="403"/>
      <c r="BD75" s="403"/>
      <c r="BE75" s="403"/>
      <c r="BF75" s="403"/>
      <c r="BG75" s="403"/>
      <c r="BH75" s="403"/>
      <c r="BI75" s="403"/>
      <c r="BJ75" s="403" t="s">
        <v>2831</v>
      </c>
      <c r="BK75" s="403"/>
      <c r="BL75" s="403"/>
      <c r="BM75" s="403"/>
      <c r="BN75" s="403"/>
      <c r="BO75" s="403"/>
      <c r="BP75" s="403"/>
      <c r="BQ75" s="403"/>
      <c r="BR75" s="403"/>
      <c r="BS75" s="403"/>
      <c r="BT75" s="403"/>
      <c r="BU75" s="403"/>
      <c r="BV75" s="403"/>
      <c r="BW75" s="403"/>
      <c r="BX75" s="403"/>
      <c r="BY75" s="403"/>
      <c r="BZ75" s="403"/>
      <c r="CA75" s="403"/>
      <c r="CB75" s="403"/>
      <c r="CC75" s="403" t="s">
        <v>7424</v>
      </c>
      <c r="CD75" s="403"/>
      <c r="CE75" s="403"/>
      <c r="CF75" s="403"/>
      <c r="CG75" s="403"/>
      <c r="CH75" s="403"/>
      <c r="CI75" s="403"/>
      <c r="CJ75" s="403"/>
      <c r="CK75" s="403"/>
      <c r="CL75" s="403"/>
      <c r="CM75" s="403"/>
      <c r="CN75" s="403"/>
      <c r="CO75" s="403"/>
      <c r="CP75" s="403"/>
      <c r="CQ75" s="403"/>
      <c r="CR75" s="403" t="s">
        <v>11765</v>
      </c>
      <c r="CS75" s="403"/>
      <c r="CT75" s="403"/>
      <c r="CU75" s="403"/>
      <c r="CV75" s="403"/>
      <c r="CW75" s="403"/>
      <c r="CX75" s="403"/>
      <c r="CY75" s="403"/>
      <c r="CZ75" s="403"/>
      <c r="DA75" s="403"/>
      <c r="DB75" s="403"/>
      <c r="DC75" s="403"/>
      <c r="DD75" s="403"/>
      <c r="DE75" s="403"/>
      <c r="DF75" s="403"/>
      <c r="DG75" s="403"/>
      <c r="DH75" s="403"/>
      <c r="DI75" s="403"/>
      <c r="DJ75" s="403"/>
      <c r="DK75" s="403" t="s">
        <v>9726</v>
      </c>
      <c r="DL75" s="403"/>
      <c r="DM75" s="403"/>
      <c r="DN75" s="403"/>
      <c r="DO75" s="403"/>
      <c r="DP75" s="403"/>
      <c r="DQ75" s="403"/>
      <c r="DR75" s="403"/>
      <c r="DS75" s="403"/>
      <c r="DT75" s="403"/>
      <c r="DU75" s="403"/>
      <c r="DV75" s="403"/>
      <c r="DW75" s="403"/>
      <c r="DX75" s="403"/>
      <c r="DY75" s="403"/>
      <c r="DZ75" s="403" t="s">
        <v>11766</v>
      </c>
      <c r="EA75" s="403"/>
      <c r="EB75" s="403"/>
      <c r="EC75" s="403"/>
      <c r="ED75" s="403"/>
      <c r="EE75" s="403"/>
      <c r="EF75" s="403"/>
      <c r="EG75" s="403"/>
      <c r="EH75" s="403"/>
      <c r="EI75" s="403"/>
      <c r="EJ75" s="403"/>
      <c r="EK75" s="403"/>
      <c r="EL75" s="403"/>
      <c r="EM75" s="403"/>
      <c r="EN75" s="403"/>
      <c r="EO75" s="403"/>
      <c r="EP75" s="403"/>
      <c r="EQ75" s="403"/>
      <c r="ER75" s="403"/>
      <c r="ES75" s="403" t="s">
        <v>7426</v>
      </c>
      <c r="ET75" s="403"/>
      <c r="EU75" s="403"/>
      <c r="EV75" s="403"/>
      <c r="EW75" s="403"/>
      <c r="EX75" s="403"/>
      <c r="EY75" s="403"/>
      <c r="EZ75" s="403"/>
      <c r="FA75" s="403"/>
      <c r="FB75" s="403"/>
      <c r="FC75" s="403"/>
      <c r="FD75" s="403"/>
      <c r="FE75" s="403"/>
      <c r="FF75" s="403"/>
      <c r="FG75" s="403"/>
      <c r="FH75" s="403" t="s">
        <v>11767</v>
      </c>
      <c r="FI75" s="403"/>
      <c r="FJ75" s="403"/>
      <c r="FK75" s="403"/>
      <c r="FL75" s="403"/>
      <c r="FM75" s="403"/>
      <c r="FN75" s="403"/>
      <c r="FO75" s="403"/>
      <c r="FP75" s="403"/>
      <c r="FQ75" s="403"/>
      <c r="FR75" s="403"/>
      <c r="FS75" s="403"/>
      <c r="FT75" s="403"/>
      <c r="FU75" s="403"/>
      <c r="FV75" s="403"/>
      <c r="FW75" s="403"/>
      <c r="FX75" s="403"/>
      <c r="FY75" s="403"/>
      <c r="FZ75" s="403"/>
      <c r="GA75" s="403" t="s">
        <v>7491</v>
      </c>
      <c r="GB75" s="403"/>
      <c r="GC75" s="403"/>
      <c r="GD75" s="403"/>
      <c r="GE75" s="403"/>
      <c r="GF75" s="403"/>
      <c r="GG75" s="403"/>
      <c r="GH75" s="403"/>
      <c r="GI75" s="403"/>
      <c r="GJ75" s="403"/>
      <c r="GK75" s="403"/>
      <c r="GL75" s="403"/>
      <c r="GM75" s="403"/>
      <c r="GN75" s="403"/>
      <c r="GO75" s="403"/>
      <c r="GP75" s="403" t="s">
        <v>11768</v>
      </c>
      <c r="GQ75" s="403"/>
      <c r="GR75" s="403"/>
      <c r="GS75" s="403"/>
      <c r="GT75" s="403"/>
      <c r="GU75" s="403"/>
      <c r="GV75" s="403"/>
      <c r="GW75" s="403"/>
      <c r="GX75" s="403"/>
      <c r="GY75" s="403"/>
      <c r="GZ75" s="403"/>
      <c r="HA75" s="403"/>
      <c r="HB75" s="403"/>
      <c r="HC75" s="403"/>
      <c r="HD75" s="403"/>
      <c r="HE75" s="403"/>
      <c r="HF75" s="403"/>
      <c r="HG75" s="403"/>
      <c r="HH75" s="403"/>
      <c r="HI75" s="403" t="s">
        <v>7428</v>
      </c>
      <c r="HJ75" s="403"/>
      <c r="HK75" s="403"/>
      <c r="HL75" s="403"/>
      <c r="HM75" s="403"/>
      <c r="HN75" s="403"/>
      <c r="HO75" s="403"/>
      <c r="HP75" s="403"/>
      <c r="HQ75" s="403"/>
      <c r="HR75" s="403"/>
      <c r="HS75" s="403"/>
      <c r="HT75" s="403"/>
      <c r="HU75" s="403"/>
      <c r="HV75" s="403"/>
      <c r="HW75" s="403"/>
      <c r="HX75" s="403" t="s">
        <v>11769</v>
      </c>
      <c r="HY75" s="403"/>
      <c r="HZ75" s="403"/>
      <c r="IA75" s="403"/>
      <c r="IB75" s="403"/>
      <c r="IC75" s="403"/>
      <c r="ID75" s="403"/>
      <c r="IE75" s="403"/>
      <c r="IF75" s="403"/>
      <c r="IG75" s="403"/>
      <c r="IH75" s="403"/>
      <c r="II75" s="403"/>
      <c r="IJ75" s="403"/>
      <c r="IK75" s="403"/>
      <c r="IL75" s="403"/>
      <c r="IM75" s="403"/>
      <c r="IN75" s="403"/>
      <c r="IO75" s="403"/>
      <c r="IP75" s="403"/>
      <c r="IQ75" s="403" t="s">
        <v>7429</v>
      </c>
      <c r="IR75" s="403"/>
      <c r="IS75" s="403"/>
      <c r="IT75" s="403"/>
      <c r="IU75" s="403"/>
      <c r="IV75" s="403"/>
      <c r="IW75" s="403"/>
      <c r="IX75" s="403"/>
      <c r="IY75" s="403"/>
      <c r="IZ75" s="403"/>
      <c r="JA75" s="403"/>
      <c r="JB75" s="403"/>
      <c r="JC75" s="403"/>
      <c r="JD75" s="403"/>
      <c r="JE75" s="403"/>
      <c r="JF75" s="403" t="s">
        <v>11770</v>
      </c>
      <c r="JG75" s="403"/>
      <c r="JH75" s="403"/>
      <c r="JI75" s="403"/>
      <c r="JJ75" s="403"/>
      <c r="JK75" s="403"/>
      <c r="JL75" s="403"/>
      <c r="JM75" s="403"/>
      <c r="JN75" s="403"/>
      <c r="JO75" s="403"/>
      <c r="JP75" s="403"/>
      <c r="JQ75" s="403"/>
      <c r="JR75" s="403"/>
      <c r="JS75" s="403"/>
      <c r="JT75" s="403"/>
    </row>
    <row r="76" spans="1:280" s="299" customFormat="1" ht="12.75" x14ac:dyDescent="0.2">
      <c r="B76" s="622"/>
      <c r="C76" s="5"/>
      <c r="J76" s="16"/>
      <c r="K76" s="16"/>
      <c r="L76" s="16"/>
      <c r="M76" s="16"/>
      <c r="N76" s="16"/>
      <c r="O76" s="16"/>
      <c r="P76" s="16"/>
      <c r="Q76" s="16"/>
      <c r="R76" s="12" t="str">
        <f t="shared" ca="1" si="94"/>
        <v/>
      </c>
      <c r="U76" s="622"/>
      <c r="V76" s="72"/>
      <c r="W76" s="16"/>
      <c r="X76" s="16"/>
      <c r="Y76" s="16"/>
      <c r="Z76" s="16"/>
      <c r="AA76" s="16"/>
      <c r="AB76" s="16"/>
      <c r="AC76" s="16"/>
      <c r="AG76" s="622"/>
      <c r="AH76" s="72"/>
      <c r="AI76" s="16"/>
      <c r="AJ76" s="16"/>
      <c r="AK76" s="16"/>
      <c r="AL76" s="16"/>
      <c r="AM76" s="16"/>
      <c r="AN76" s="16"/>
      <c r="AO76" s="16"/>
      <c r="AR76" s="403"/>
      <c r="AS76" s="403"/>
      <c r="AT76" s="403"/>
      <c r="AU76" s="403"/>
      <c r="AV76" s="403"/>
      <c r="AW76" s="403"/>
      <c r="AX76" s="403"/>
      <c r="AY76" s="403"/>
      <c r="AZ76" s="403"/>
      <c r="BA76" s="403"/>
      <c r="BB76" s="403"/>
      <c r="BC76" s="403"/>
      <c r="BD76" s="403"/>
      <c r="BE76" s="403"/>
      <c r="BF76" s="403"/>
      <c r="BG76" s="403"/>
      <c r="BH76" s="403"/>
      <c r="BI76" s="403"/>
      <c r="BJ76" s="403"/>
      <c r="BK76" s="403"/>
      <c r="BL76" s="403"/>
      <c r="BM76" s="403"/>
      <c r="BN76" s="403"/>
      <c r="BO76" s="403"/>
      <c r="BP76" s="403"/>
      <c r="BQ76" s="403"/>
      <c r="BR76" s="403"/>
      <c r="BS76" s="403"/>
      <c r="BT76" s="403"/>
      <c r="BU76" s="403"/>
      <c r="BV76" s="403"/>
      <c r="BW76" s="403"/>
      <c r="BX76" s="403"/>
      <c r="BY76" s="403"/>
      <c r="BZ76" s="403"/>
      <c r="CA76" s="403"/>
      <c r="CB76" s="403"/>
      <c r="CC76" s="403"/>
      <c r="CD76" s="403"/>
      <c r="CE76" s="403"/>
      <c r="CF76" s="403"/>
      <c r="CG76" s="403"/>
      <c r="CH76" s="403"/>
      <c r="CI76" s="403"/>
      <c r="CJ76" s="403"/>
      <c r="CK76" s="403"/>
      <c r="CL76" s="403"/>
      <c r="CM76" s="403"/>
      <c r="CN76" s="403"/>
      <c r="CO76" s="403"/>
      <c r="CP76" s="403"/>
      <c r="CQ76" s="403"/>
      <c r="CR76" s="403"/>
      <c r="CS76" s="403"/>
      <c r="CT76" s="403"/>
      <c r="CU76" s="403"/>
      <c r="CV76" s="403"/>
      <c r="CW76" s="403"/>
      <c r="CX76" s="403"/>
      <c r="CY76" s="403"/>
      <c r="CZ76" s="403"/>
      <c r="DA76" s="403"/>
      <c r="DB76" s="403"/>
      <c r="DC76" s="403"/>
      <c r="DD76" s="403"/>
      <c r="DE76" s="403"/>
      <c r="DF76" s="403"/>
      <c r="DG76" s="403"/>
      <c r="DH76" s="403"/>
      <c r="DI76" s="403"/>
      <c r="DJ76" s="403"/>
      <c r="DK76" s="403"/>
      <c r="DL76" s="403"/>
      <c r="DM76" s="403"/>
      <c r="DN76" s="403"/>
      <c r="DO76" s="403"/>
      <c r="DP76" s="403"/>
      <c r="DQ76" s="403"/>
      <c r="DR76" s="403"/>
      <c r="DS76" s="403"/>
      <c r="DT76" s="403"/>
      <c r="DU76" s="403"/>
      <c r="DV76" s="403"/>
      <c r="DW76" s="403"/>
      <c r="DX76" s="403"/>
      <c r="DY76" s="403"/>
      <c r="DZ76" s="403"/>
      <c r="EA76" s="403"/>
      <c r="EB76" s="403"/>
      <c r="EC76" s="403"/>
      <c r="ED76" s="403"/>
      <c r="EE76" s="403"/>
      <c r="EF76" s="403"/>
      <c r="EG76" s="403"/>
      <c r="EH76" s="403"/>
      <c r="EI76" s="403"/>
      <c r="EJ76" s="403"/>
      <c r="EK76" s="403"/>
      <c r="EL76" s="403"/>
      <c r="EM76" s="403"/>
      <c r="EN76" s="403"/>
      <c r="EO76" s="403"/>
      <c r="EP76" s="403"/>
      <c r="EQ76" s="403"/>
      <c r="ER76" s="403"/>
      <c r="ES76" s="403"/>
      <c r="ET76" s="403"/>
      <c r="EU76" s="403"/>
      <c r="EV76" s="403"/>
      <c r="EW76" s="403"/>
      <c r="EX76" s="403"/>
      <c r="EY76" s="403"/>
      <c r="EZ76" s="403"/>
      <c r="FA76" s="403"/>
      <c r="FB76" s="403"/>
      <c r="FC76" s="403"/>
      <c r="FD76" s="403"/>
      <c r="FE76" s="403"/>
      <c r="FF76" s="403"/>
      <c r="FG76" s="403"/>
      <c r="FH76" s="403"/>
      <c r="FI76" s="403"/>
      <c r="FJ76" s="403"/>
      <c r="FK76" s="403"/>
      <c r="FL76" s="403"/>
      <c r="FM76" s="403"/>
      <c r="FN76" s="403"/>
      <c r="FO76" s="403"/>
      <c r="FP76" s="403"/>
      <c r="FQ76" s="403"/>
      <c r="FR76" s="403"/>
      <c r="FS76" s="403"/>
      <c r="FT76" s="403"/>
      <c r="FU76" s="403"/>
      <c r="FV76" s="403"/>
      <c r="FW76" s="403"/>
      <c r="FX76" s="403"/>
      <c r="FY76" s="403"/>
      <c r="FZ76" s="403"/>
      <c r="GA76" s="403"/>
      <c r="GB76" s="403"/>
      <c r="GC76" s="403"/>
      <c r="GD76" s="403"/>
      <c r="GE76" s="403"/>
      <c r="GF76" s="403"/>
      <c r="GG76" s="403"/>
      <c r="GH76" s="403"/>
      <c r="GI76" s="403"/>
      <c r="GJ76" s="403"/>
      <c r="GK76" s="403"/>
      <c r="GL76" s="403"/>
      <c r="GM76" s="403"/>
      <c r="GN76" s="403"/>
      <c r="GO76" s="403"/>
      <c r="GP76" s="403"/>
      <c r="GQ76" s="403"/>
      <c r="GR76" s="403"/>
      <c r="GS76" s="403"/>
      <c r="GT76" s="403"/>
      <c r="GU76" s="403"/>
      <c r="GV76" s="403"/>
      <c r="GW76" s="403"/>
      <c r="GX76" s="403"/>
      <c r="GY76" s="403"/>
      <c r="GZ76" s="403"/>
      <c r="HA76" s="403"/>
      <c r="HB76" s="403"/>
      <c r="HC76" s="403"/>
      <c r="HD76" s="403"/>
      <c r="HE76" s="403"/>
      <c r="HF76" s="403"/>
      <c r="HG76" s="403"/>
      <c r="HH76" s="403"/>
      <c r="HI76" s="403"/>
      <c r="HJ76" s="403"/>
      <c r="HK76" s="403"/>
      <c r="HL76" s="403"/>
      <c r="HM76" s="403"/>
      <c r="HN76" s="403"/>
      <c r="HO76" s="403"/>
      <c r="HP76" s="403"/>
      <c r="HQ76" s="403"/>
      <c r="HR76" s="403"/>
      <c r="HS76" s="403"/>
      <c r="HT76" s="403"/>
      <c r="HU76" s="403"/>
      <c r="HV76" s="403"/>
      <c r="HW76" s="403"/>
      <c r="HX76" s="403"/>
      <c r="HY76" s="403"/>
      <c r="HZ76" s="403"/>
      <c r="IA76" s="403"/>
      <c r="IB76" s="403"/>
      <c r="IC76" s="403"/>
      <c r="ID76" s="403"/>
      <c r="IE76" s="403"/>
      <c r="IF76" s="403"/>
      <c r="IG76" s="403"/>
      <c r="IH76" s="403"/>
      <c r="II76" s="403"/>
      <c r="IJ76" s="403"/>
      <c r="IK76" s="403"/>
      <c r="IL76" s="403"/>
      <c r="IM76" s="403"/>
      <c r="IN76" s="403"/>
      <c r="IO76" s="403"/>
      <c r="IP76" s="403"/>
      <c r="IQ76" s="403"/>
      <c r="IR76" s="403"/>
      <c r="IS76" s="403"/>
      <c r="IT76" s="403"/>
      <c r="IU76" s="403"/>
      <c r="IV76" s="403"/>
      <c r="IW76" s="403"/>
      <c r="IX76" s="403"/>
      <c r="IY76" s="403"/>
      <c r="IZ76" s="403"/>
      <c r="JA76" s="403"/>
      <c r="JB76" s="403"/>
      <c r="JC76" s="403"/>
      <c r="JD76" s="403"/>
      <c r="JE76" s="403"/>
      <c r="JF76" s="403"/>
      <c r="JG76" s="403"/>
      <c r="JH76" s="403"/>
      <c r="JI76" s="403"/>
      <c r="JJ76" s="403"/>
      <c r="JK76" s="403"/>
      <c r="JL76" s="403"/>
      <c r="JM76" s="403"/>
      <c r="JN76" s="403"/>
      <c r="JO76" s="403"/>
      <c r="JP76" s="403"/>
      <c r="JQ76" s="403"/>
      <c r="JR76" s="403"/>
      <c r="JS76" s="403"/>
      <c r="JT76" s="403"/>
    </row>
    <row r="77" spans="1:280" s="15" customFormat="1" ht="12.75" x14ac:dyDescent="0.2">
      <c r="B77" s="624" t="str">
        <f ca="1">IF(OFFSET(AT77,0,Lang_Order*Lang__B5)="","",OFFSET(AT77,0,Lang_Order*Lang__B5))</f>
        <v>Local Human Resources</v>
      </c>
      <c r="C77" s="23"/>
      <c r="J77" s="16"/>
      <c r="K77" s="16"/>
      <c r="L77" s="16"/>
      <c r="M77" s="16"/>
      <c r="N77" s="16"/>
      <c r="O77" s="16"/>
      <c r="P77" s="16"/>
      <c r="Q77" s="16"/>
      <c r="R77" s="12" t="str">
        <f t="shared" ca="1" si="94"/>
        <v/>
      </c>
      <c r="S77" s="241"/>
      <c r="T77" s="241"/>
      <c r="U77" s="624" t="str">
        <f ca="1">IF(OFFSET(AT77,0,Lang_Order*Lang__B5)="","",OFFSET(AT77,0,Lang_Order*Lang__B5))</f>
        <v>Local Human Resources</v>
      </c>
      <c r="V77" s="72"/>
      <c r="W77" s="16"/>
      <c r="X77" s="16"/>
      <c r="Y77" s="16"/>
      <c r="Z77" s="16"/>
      <c r="AA77" s="16"/>
      <c r="AB77" s="16"/>
      <c r="AC77" s="16"/>
      <c r="AF77" s="241"/>
      <c r="AG77" s="624" t="str">
        <f ca="1">IF(OFFSET(AT77,0,Lang_Order*Lang__B5)="","",OFFSET(AT77,0,Lang_Order*Lang__B5))</f>
        <v>Local Human Resources</v>
      </c>
      <c r="AH77" s="72"/>
      <c r="AI77" s="16"/>
      <c r="AJ77" s="16"/>
      <c r="AK77" s="16"/>
      <c r="AL77" s="16"/>
      <c r="AM77" s="16"/>
      <c r="AN77" s="16"/>
      <c r="AO77" s="16"/>
      <c r="AP77" s="241"/>
      <c r="AR77" s="403"/>
      <c r="AS77" s="403"/>
      <c r="AT77" s="403" t="s">
        <v>1577</v>
      </c>
      <c r="AU77" s="403"/>
      <c r="AV77" s="403"/>
      <c r="AW77" s="403"/>
      <c r="AX77" s="403"/>
      <c r="AY77" s="403"/>
      <c r="AZ77" s="403"/>
      <c r="BA77" s="403"/>
      <c r="BB77" s="403"/>
      <c r="BC77" s="403"/>
      <c r="BD77" s="403"/>
      <c r="BE77" s="403"/>
      <c r="BF77" s="403"/>
      <c r="BG77" s="403"/>
      <c r="BH77" s="403"/>
      <c r="BI77" s="403"/>
      <c r="BJ77" s="403"/>
      <c r="BK77" s="403"/>
      <c r="BL77" s="403"/>
      <c r="BM77" s="403"/>
      <c r="BN77" s="403"/>
      <c r="BO77" s="403"/>
      <c r="BP77" s="403"/>
      <c r="BQ77" s="403"/>
      <c r="BR77" s="403"/>
      <c r="BS77" s="403"/>
      <c r="BT77" s="403"/>
      <c r="BU77" s="403"/>
      <c r="BV77" s="403"/>
      <c r="BW77" s="403"/>
      <c r="BX77" s="403"/>
      <c r="BY77" s="403"/>
      <c r="BZ77" s="403"/>
      <c r="CA77" s="403"/>
      <c r="CB77" s="403" t="s">
        <v>11771</v>
      </c>
      <c r="CC77" s="403"/>
      <c r="CD77" s="403"/>
      <c r="CE77" s="403"/>
      <c r="CF77" s="403"/>
      <c r="CG77" s="403"/>
      <c r="CH77" s="403"/>
      <c r="CI77" s="403"/>
      <c r="CJ77" s="403"/>
      <c r="CK77" s="403"/>
      <c r="CL77" s="403"/>
      <c r="CM77" s="403"/>
      <c r="CN77" s="403"/>
      <c r="CO77" s="403"/>
      <c r="CP77" s="403"/>
      <c r="CQ77" s="403"/>
      <c r="CR77" s="403"/>
      <c r="CS77" s="403"/>
      <c r="CT77" s="403"/>
      <c r="CU77" s="403"/>
      <c r="CV77" s="403"/>
      <c r="CW77" s="403"/>
      <c r="CX77" s="403"/>
      <c r="CY77" s="403"/>
      <c r="CZ77" s="403"/>
      <c r="DA77" s="403"/>
      <c r="DB77" s="403"/>
      <c r="DC77" s="403"/>
      <c r="DD77" s="403"/>
      <c r="DE77" s="403"/>
      <c r="DF77" s="403"/>
      <c r="DG77" s="403"/>
      <c r="DH77" s="403"/>
      <c r="DI77" s="403"/>
      <c r="DJ77" s="403" t="s">
        <v>11772</v>
      </c>
      <c r="DK77" s="403"/>
      <c r="DL77" s="403"/>
      <c r="DM77" s="403"/>
      <c r="DN77" s="403"/>
      <c r="DO77" s="403"/>
      <c r="DP77" s="403"/>
      <c r="DQ77" s="403"/>
      <c r="DR77" s="403"/>
      <c r="DS77" s="403"/>
      <c r="DT77" s="403"/>
      <c r="DU77" s="403"/>
      <c r="DV77" s="403"/>
      <c r="DW77" s="403"/>
      <c r="DX77" s="403"/>
      <c r="DY77" s="403"/>
      <c r="DZ77" s="403"/>
      <c r="EA77" s="403"/>
      <c r="EB77" s="403"/>
      <c r="EC77" s="403"/>
      <c r="ED77" s="403"/>
      <c r="EE77" s="403"/>
      <c r="EF77" s="403"/>
      <c r="EG77" s="403"/>
      <c r="EH77" s="403"/>
      <c r="EI77" s="403"/>
      <c r="EJ77" s="403"/>
      <c r="EK77" s="403"/>
      <c r="EL77" s="403"/>
      <c r="EM77" s="403"/>
      <c r="EN77" s="403"/>
      <c r="EO77" s="403"/>
      <c r="EP77" s="403"/>
      <c r="EQ77" s="403"/>
      <c r="ER77" s="403" t="s">
        <v>11773</v>
      </c>
      <c r="ES77" s="403"/>
      <c r="ET77" s="403"/>
      <c r="EU77" s="403"/>
      <c r="EV77" s="403"/>
      <c r="EW77" s="403"/>
      <c r="EX77" s="403"/>
      <c r="EY77" s="403"/>
      <c r="EZ77" s="403"/>
      <c r="FA77" s="403"/>
      <c r="FB77" s="403"/>
      <c r="FC77" s="403"/>
      <c r="FD77" s="403"/>
      <c r="FE77" s="403"/>
      <c r="FF77" s="403"/>
      <c r="FG77" s="403"/>
      <c r="FH77" s="403"/>
      <c r="FI77" s="403"/>
      <c r="FJ77" s="403"/>
      <c r="FK77" s="403"/>
      <c r="FL77" s="403"/>
      <c r="FM77" s="403"/>
      <c r="FN77" s="403"/>
      <c r="FO77" s="403"/>
      <c r="FP77" s="403"/>
      <c r="FQ77" s="403"/>
      <c r="FR77" s="403"/>
      <c r="FS77" s="403"/>
      <c r="FT77" s="403"/>
      <c r="FU77" s="403"/>
      <c r="FV77" s="403"/>
      <c r="FW77" s="403"/>
      <c r="FX77" s="403"/>
      <c r="FY77" s="403"/>
      <c r="FZ77" s="403" t="s">
        <v>11774</v>
      </c>
      <c r="GA77" s="403"/>
      <c r="GB77" s="403"/>
      <c r="GC77" s="403"/>
      <c r="GD77" s="403"/>
      <c r="GE77" s="403"/>
      <c r="GF77" s="403"/>
      <c r="GG77" s="403"/>
      <c r="GH77" s="403"/>
      <c r="GI77" s="403"/>
      <c r="GJ77" s="403"/>
      <c r="GK77" s="403"/>
      <c r="GL77" s="403"/>
      <c r="GM77" s="403"/>
      <c r="GN77" s="403"/>
      <c r="GO77" s="403"/>
      <c r="GP77" s="403"/>
      <c r="GQ77" s="403"/>
      <c r="GR77" s="403"/>
      <c r="GS77" s="403"/>
      <c r="GT77" s="403"/>
      <c r="GU77" s="403"/>
      <c r="GV77" s="403"/>
      <c r="GW77" s="403"/>
      <c r="GX77" s="403"/>
      <c r="GY77" s="403"/>
      <c r="GZ77" s="403"/>
      <c r="HA77" s="403"/>
      <c r="HB77" s="403"/>
      <c r="HC77" s="403"/>
      <c r="HD77" s="403"/>
      <c r="HE77" s="403"/>
      <c r="HF77" s="403"/>
      <c r="HG77" s="403"/>
      <c r="HH77" s="403" t="s">
        <v>11775</v>
      </c>
      <c r="HI77" s="403"/>
      <c r="HJ77" s="403"/>
      <c r="HK77" s="403"/>
      <c r="HL77" s="403"/>
      <c r="HM77" s="403"/>
      <c r="HN77" s="403"/>
      <c r="HO77" s="403"/>
      <c r="HP77" s="403"/>
      <c r="HQ77" s="403"/>
      <c r="HR77" s="403"/>
      <c r="HS77" s="403"/>
      <c r="HT77" s="403"/>
      <c r="HU77" s="403"/>
      <c r="HV77" s="403"/>
      <c r="HW77" s="403"/>
      <c r="HX77" s="403"/>
      <c r="HY77" s="403"/>
      <c r="HZ77" s="403"/>
      <c r="IA77" s="403"/>
      <c r="IB77" s="403"/>
      <c r="IC77" s="403"/>
      <c r="ID77" s="403"/>
      <c r="IE77" s="403"/>
      <c r="IF77" s="403"/>
      <c r="IG77" s="403"/>
      <c r="IH77" s="403"/>
      <c r="II77" s="403"/>
      <c r="IJ77" s="403"/>
      <c r="IK77" s="403"/>
      <c r="IL77" s="403"/>
      <c r="IM77" s="403"/>
      <c r="IN77" s="403"/>
      <c r="IO77" s="403"/>
      <c r="IP77" s="403" t="s">
        <v>11776</v>
      </c>
      <c r="IQ77" s="403"/>
      <c r="IR77" s="403"/>
      <c r="IS77" s="403"/>
      <c r="IT77" s="403"/>
      <c r="IU77" s="403"/>
      <c r="IV77" s="403"/>
      <c r="IW77" s="403"/>
      <c r="IX77" s="403"/>
      <c r="IY77" s="403"/>
      <c r="IZ77" s="403"/>
      <c r="JA77" s="403"/>
      <c r="JB77" s="403"/>
      <c r="JC77" s="403"/>
      <c r="JD77" s="403"/>
      <c r="JE77" s="403"/>
      <c r="JF77" s="403"/>
      <c r="JG77" s="403"/>
      <c r="JH77" s="403"/>
      <c r="JI77" s="403"/>
      <c r="JJ77" s="403"/>
      <c r="JK77" s="403"/>
      <c r="JL77" s="403"/>
      <c r="JM77" s="403"/>
      <c r="JN77" s="403"/>
      <c r="JO77" s="403"/>
      <c r="JP77" s="403"/>
      <c r="JQ77" s="403"/>
      <c r="JR77" s="403"/>
      <c r="JS77" s="403"/>
      <c r="JT77" s="403"/>
    </row>
    <row r="78" spans="1:280" s="281" customFormat="1" ht="12.75" x14ac:dyDescent="0.2">
      <c r="B78" s="624"/>
      <c r="C78" s="335" t="str">
        <f t="shared" ref="C78:C82" ca="1" si="156">IF(OFFSET(AU78,0,Lang_Order*Lang__B5)="","",OFFSET(AU78,0,Lang_Order*Lang__B5))</f>
        <v>HRH wages (salaries for new, non-redeployed vaccinators)</v>
      </c>
      <c r="J78" s="79" t="e">
        <f t="shared" ref="J78:O78" si="157">6*J68*HRH_New_Salary_perMonth</f>
        <v>#N/A</v>
      </c>
      <c r="K78" s="79" t="e">
        <f t="shared" si="157"/>
        <v>#N/A</v>
      </c>
      <c r="L78" s="79" t="e">
        <f t="shared" si="157"/>
        <v>#N/A</v>
      </c>
      <c r="M78" s="79" t="e">
        <f t="shared" si="157"/>
        <v>#N/A</v>
      </c>
      <c r="N78" s="79" t="e">
        <f t="shared" si="157"/>
        <v>#N/A</v>
      </c>
      <c r="O78" s="79" t="e">
        <f t="shared" si="157"/>
        <v>#N/A</v>
      </c>
      <c r="P78" s="83" t="e">
        <f t="shared" ref="P78:P84" si="158">SUM(J78:O78)</f>
        <v>#N/A</v>
      </c>
      <c r="Q78" s="16"/>
      <c r="R78" s="12" t="str">
        <f t="shared" ca="1" si="94"/>
        <v>For vaccinators newly recruited rather than redeployed, this item allows the inclusion of their salary</v>
      </c>
      <c r="U78" s="624"/>
      <c r="V78" s="612" t="str">
        <f t="shared" ref="V78:V84" ca="1" si="159">IF(OFFSET(AU78,0,Lang_Order*Lang__B5)="","",OFFSET(AU78,0,Lang_Order*Lang__B5))</f>
        <v>HRH wages (salaries for new, non-redeployed vaccinators)</v>
      </c>
      <c r="W78" s="79" t="e">
        <f t="shared" ref="W78:AB78" si="160">6*W68*HRH_New_Salary_perMonth</f>
        <v>#N/A</v>
      </c>
      <c r="X78" s="79" t="e">
        <f t="shared" si="160"/>
        <v>#N/A</v>
      </c>
      <c r="Y78" s="79" t="e">
        <f t="shared" si="160"/>
        <v>#N/A</v>
      </c>
      <c r="Z78" s="79" t="e">
        <f t="shared" si="160"/>
        <v>#N/A</v>
      </c>
      <c r="AA78" s="79" t="e">
        <f t="shared" si="160"/>
        <v>#N/A</v>
      </c>
      <c r="AB78" s="79" t="e">
        <f t="shared" si="160"/>
        <v>#N/A</v>
      </c>
      <c r="AC78" s="83" t="e">
        <f t="shared" ref="AC78:AC84" si="161">SUM(W78:AB78)</f>
        <v>#N/A</v>
      </c>
      <c r="AG78" s="624"/>
      <c r="AH78" s="612" t="str">
        <f t="shared" ref="AH78:AH84" ca="1" si="162">IF(OFFSET(AU78,0,Lang_Order*Lang__B5)="","",OFFSET(AU78,0,Lang_Order*Lang__B5))</f>
        <v>HRH wages (salaries for new, non-redeployed vaccinators)</v>
      </c>
      <c r="AI78" s="79" t="e">
        <f t="shared" ref="AI78:AN78" si="163">6*AI68*HRH_New_Salary_perMonth</f>
        <v>#N/A</v>
      </c>
      <c r="AJ78" s="79" t="e">
        <f t="shared" si="163"/>
        <v>#N/A</v>
      </c>
      <c r="AK78" s="79" t="e">
        <f t="shared" si="163"/>
        <v>#N/A</v>
      </c>
      <c r="AL78" s="79" t="e">
        <f t="shared" si="163"/>
        <v>#N/A</v>
      </c>
      <c r="AM78" s="79" t="e">
        <f t="shared" si="163"/>
        <v>#N/A</v>
      </c>
      <c r="AN78" s="79" t="e">
        <f t="shared" si="163"/>
        <v>#N/A</v>
      </c>
      <c r="AO78" s="83" t="e">
        <f t="shared" ref="AO78:AO84" si="164">SUM(AI78:AN78)</f>
        <v>#N/A</v>
      </c>
      <c r="AR78" s="403"/>
      <c r="AS78" s="403"/>
      <c r="AT78" s="403"/>
      <c r="AU78" s="403" t="s">
        <v>3169</v>
      </c>
      <c r="AV78" s="403"/>
      <c r="AW78" s="403"/>
      <c r="AX78" s="403"/>
      <c r="AY78" s="403"/>
      <c r="AZ78" s="403"/>
      <c r="BA78" s="403"/>
      <c r="BB78" s="403"/>
      <c r="BC78" s="403"/>
      <c r="BD78" s="403"/>
      <c r="BE78" s="403"/>
      <c r="BF78" s="403"/>
      <c r="BG78" s="403"/>
      <c r="BH78" s="403"/>
      <c r="BI78" s="403"/>
      <c r="BJ78" s="403" t="s">
        <v>3174</v>
      </c>
      <c r="BK78" s="403"/>
      <c r="BL78" s="403"/>
      <c r="BM78" s="403"/>
      <c r="BN78" s="403"/>
      <c r="BO78" s="403"/>
      <c r="BP78" s="403"/>
      <c r="BQ78" s="403"/>
      <c r="BR78" s="403"/>
      <c r="BS78" s="403"/>
      <c r="BT78" s="403"/>
      <c r="BU78" s="403"/>
      <c r="BV78" s="403"/>
      <c r="BW78" s="403"/>
      <c r="BX78" s="403"/>
      <c r="BY78" s="403"/>
      <c r="BZ78" s="403"/>
      <c r="CA78" s="403"/>
      <c r="CB78" s="403"/>
      <c r="CC78" s="403" t="s">
        <v>11777</v>
      </c>
      <c r="CD78" s="403"/>
      <c r="CE78" s="403"/>
      <c r="CF78" s="403"/>
      <c r="CG78" s="403"/>
      <c r="CH78" s="403"/>
      <c r="CI78" s="403"/>
      <c r="CJ78" s="403"/>
      <c r="CK78" s="403"/>
      <c r="CL78" s="403"/>
      <c r="CM78" s="403"/>
      <c r="CN78" s="403"/>
      <c r="CO78" s="403"/>
      <c r="CP78" s="403"/>
      <c r="CQ78" s="403"/>
      <c r="CR78" s="403" t="s">
        <v>11778</v>
      </c>
      <c r="CS78" s="403"/>
      <c r="CT78" s="403"/>
      <c r="CU78" s="403"/>
      <c r="CV78" s="403"/>
      <c r="CW78" s="403"/>
      <c r="CX78" s="403"/>
      <c r="CY78" s="403"/>
      <c r="CZ78" s="403"/>
      <c r="DA78" s="403"/>
      <c r="DB78" s="403"/>
      <c r="DC78" s="403"/>
      <c r="DD78" s="403"/>
      <c r="DE78" s="403"/>
      <c r="DF78" s="403"/>
      <c r="DG78" s="403"/>
      <c r="DH78" s="403"/>
      <c r="DI78" s="403"/>
      <c r="DJ78" s="403"/>
      <c r="DK78" s="403" t="s">
        <v>11779</v>
      </c>
      <c r="DL78" s="403"/>
      <c r="DM78" s="403"/>
      <c r="DN78" s="403"/>
      <c r="DO78" s="403"/>
      <c r="DP78" s="403"/>
      <c r="DQ78" s="403"/>
      <c r="DR78" s="403"/>
      <c r="DS78" s="403"/>
      <c r="DT78" s="403"/>
      <c r="DU78" s="403"/>
      <c r="DV78" s="403"/>
      <c r="DW78" s="403"/>
      <c r="DX78" s="403"/>
      <c r="DY78" s="403"/>
      <c r="DZ78" s="403" t="s">
        <v>11780</v>
      </c>
      <c r="EA78" s="403"/>
      <c r="EB78" s="403"/>
      <c r="EC78" s="403"/>
      <c r="ED78" s="403"/>
      <c r="EE78" s="403"/>
      <c r="EF78" s="403"/>
      <c r="EG78" s="403"/>
      <c r="EH78" s="403"/>
      <c r="EI78" s="403"/>
      <c r="EJ78" s="403"/>
      <c r="EK78" s="403"/>
      <c r="EL78" s="403"/>
      <c r="EM78" s="403"/>
      <c r="EN78" s="403"/>
      <c r="EO78" s="403"/>
      <c r="EP78" s="403"/>
      <c r="EQ78" s="403"/>
      <c r="ER78" s="403"/>
      <c r="ES78" s="403" t="s">
        <v>11781</v>
      </c>
      <c r="ET78" s="403"/>
      <c r="EU78" s="403"/>
      <c r="EV78" s="403"/>
      <c r="EW78" s="403"/>
      <c r="EX78" s="403"/>
      <c r="EY78" s="403"/>
      <c r="EZ78" s="403"/>
      <c r="FA78" s="403"/>
      <c r="FB78" s="403"/>
      <c r="FC78" s="403"/>
      <c r="FD78" s="403"/>
      <c r="FE78" s="403"/>
      <c r="FF78" s="403"/>
      <c r="FG78" s="403"/>
      <c r="FH78" s="403" t="s">
        <v>11782</v>
      </c>
      <c r="FI78" s="403"/>
      <c r="FJ78" s="403"/>
      <c r="FK78" s="403"/>
      <c r="FL78" s="403"/>
      <c r="FM78" s="403"/>
      <c r="FN78" s="403"/>
      <c r="FO78" s="403"/>
      <c r="FP78" s="403"/>
      <c r="FQ78" s="403"/>
      <c r="FR78" s="403"/>
      <c r="FS78" s="403"/>
      <c r="FT78" s="403"/>
      <c r="FU78" s="403"/>
      <c r="FV78" s="403"/>
      <c r="FW78" s="403"/>
      <c r="FX78" s="403"/>
      <c r="FY78" s="403"/>
      <c r="FZ78" s="403"/>
      <c r="GA78" s="403" t="s">
        <v>11783</v>
      </c>
      <c r="GB78" s="403"/>
      <c r="GC78" s="403"/>
      <c r="GD78" s="403"/>
      <c r="GE78" s="403"/>
      <c r="GF78" s="403"/>
      <c r="GG78" s="403"/>
      <c r="GH78" s="403"/>
      <c r="GI78" s="403"/>
      <c r="GJ78" s="403"/>
      <c r="GK78" s="403"/>
      <c r="GL78" s="403"/>
      <c r="GM78" s="403"/>
      <c r="GN78" s="403"/>
      <c r="GO78" s="403"/>
      <c r="GP78" s="403" t="s">
        <v>11784</v>
      </c>
      <c r="GQ78" s="403"/>
      <c r="GR78" s="403"/>
      <c r="GS78" s="403"/>
      <c r="GT78" s="403"/>
      <c r="GU78" s="403"/>
      <c r="GV78" s="403"/>
      <c r="GW78" s="403"/>
      <c r="GX78" s="403"/>
      <c r="GY78" s="403"/>
      <c r="GZ78" s="403"/>
      <c r="HA78" s="403"/>
      <c r="HB78" s="403"/>
      <c r="HC78" s="403"/>
      <c r="HD78" s="403"/>
      <c r="HE78" s="403"/>
      <c r="HF78" s="403"/>
      <c r="HG78" s="403"/>
      <c r="HH78" s="403"/>
      <c r="HI78" s="403" t="s">
        <v>11785</v>
      </c>
      <c r="HJ78" s="403"/>
      <c r="HK78" s="403"/>
      <c r="HL78" s="403"/>
      <c r="HM78" s="403"/>
      <c r="HN78" s="403"/>
      <c r="HO78" s="403"/>
      <c r="HP78" s="403"/>
      <c r="HQ78" s="403"/>
      <c r="HR78" s="403"/>
      <c r="HS78" s="403"/>
      <c r="HT78" s="403"/>
      <c r="HU78" s="403"/>
      <c r="HV78" s="403"/>
      <c r="HW78" s="403"/>
      <c r="HX78" s="403" t="s">
        <v>11786</v>
      </c>
      <c r="HY78" s="403"/>
      <c r="HZ78" s="403"/>
      <c r="IA78" s="403"/>
      <c r="IB78" s="403"/>
      <c r="IC78" s="403"/>
      <c r="ID78" s="403"/>
      <c r="IE78" s="403"/>
      <c r="IF78" s="403"/>
      <c r="IG78" s="403"/>
      <c r="IH78" s="403"/>
      <c r="II78" s="403"/>
      <c r="IJ78" s="403"/>
      <c r="IK78" s="403"/>
      <c r="IL78" s="403"/>
      <c r="IM78" s="403"/>
      <c r="IN78" s="403"/>
      <c r="IO78" s="403"/>
      <c r="IP78" s="403"/>
      <c r="IQ78" s="403" t="s">
        <v>11787</v>
      </c>
      <c r="IR78" s="403"/>
      <c r="IS78" s="403"/>
      <c r="IT78" s="403"/>
      <c r="IU78" s="403"/>
      <c r="IV78" s="403"/>
      <c r="IW78" s="403"/>
      <c r="IX78" s="403"/>
      <c r="IY78" s="403"/>
      <c r="IZ78" s="403"/>
      <c r="JA78" s="403"/>
      <c r="JB78" s="403"/>
      <c r="JC78" s="403"/>
      <c r="JD78" s="403"/>
      <c r="JE78" s="403"/>
      <c r="JF78" s="403" t="s">
        <v>11788</v>
      </c>
      <c r="JG78" s="403"/>
      <c r="JH78" s="403"/>
      <c r="JI78" s="403"/>
      <c r="JJ78" s="403"/>
      <c r="JK78" s="403"/>
      <c r="JL78" s="403"/>
      <c r="JM78" s="403"/>
      <c r="JN78" s="403"/>
      <c r="JO78" s="403"/>
      <c r="JP78" s="403"/>
      <c r="JQ78" s="403"/>
      <c r="JR78" s="403"/>
      <c r="JS78" s="403"/>
      <c r="JT78" s="403"/>
    </row>
    <row r="79" spans="1:280" s="15" customFormat="1" ht="12.75" x14ac:dyDescent="0.2">
      <c r="B79" s="624"/>
      <c r="C79" s="66" t="str">
        <f ca="1">IF(OFFSET(AU79,0,Lang_Order*Lang__B5)="","",OFFSET(AU79,0,Lang_Order*Lang__B5))</f>
        <v>HRH wages (per diems)</v>
      </c>
      <c r="J79" s="94" t="e">
        <f t="shared" ref="J79:O79" si="165">J60*HRH_DailySupplement_USD</f>
        <v>#N/A</v>
      </c>
      <c r="K79" s="94" t="e">
        <f t="shared" si="165"/>
        <v>#N/A</v>
      </c>
      <c r="L79" s="94" t="e">
        <f t="shared" si="165"/>
        <v>#N/A</v>
      </c>
      <c r="M79" s="94" t="e">
        <f t="shared" si="165"/>
        <v>#N/A</v>
      </c>
      <c r="N79" s="94" t="e">
        <f t="shared" si="165"/>
        <v>#N/A</v>
      </c>
      <c r="O79" s="94" t="e">
        <f t="shared" si="165"/>
        <v>#N/A</v>
      </c>
      <c r="P79" s="83" t="e">
        <f t="shared" si="158"/>
        <v>#N/A</v>
      </c>
      <c r="Q79" s="83"/>
      <c r="R79" s="12" t="str">
        <f t="shared" ca="1" si="94"/>
        <v/>
      </c>
      <c r="S79" s="241"/>
      <c r="T79" s="241"/>
      <c r="U79" s="624"/>
      <c r="V79" s="260" t="str">
        <f t="shared" ca="1" si="159"/>
        <v>HRH wages (per diems)</v>
      </c>
      <c r="W79" s="94" t="e">
        <f t="shared" ref="W79:AB79" si="166">W60*HRH_DailySupplement_USD</f>
        <v>#N/A</v>
      </c>
      <c r="X79" s="94" t="e">
        <f t="shared" si="166"/>
        <v>#N/A</v>
      </c>
      <c r="Y79" s="94" t="e">
        <f t="shared" si="166"/>
        <v>#N/A</v>
      </c>
      <c r="Z79" s="94" t="e">
        <f t="shared" si="166"/>
        <v>#N/A</v>
      </c>
      <c r="AA79" s="94" t="e">
        <f t="shared" si="166"/>
        <v>#N/A</v>
      </c>
      <c r="AB79" s="94" t="e">
        <f t="shared" si="166"/>
        <v>#N/A</v>
      </c>
      <c r="AC79" s="83" t="e">
        <f t="shared" si="161"/>
        <v>#N/A</v>
      </c>
      <c r="AF79" s="241"/>
      <c r="AG79" s="624"/>
      <c r="AH79" s="260" t="str">
        <f t="shared" ca="1" si="162"/>
        <v>HRH wages (per diems)</v>
      </c>
      <c r="AI79" s="94" t="e">
        <f t="shared" ref="AI79:AN79" si="167">AI60*HRH_DailySupplement_USD</f>
        <v>#N/A</v>
      </c>
      <c r="AJ79" s="94" t="e">
        <f t="shared" si="167"/>
        <v>#N/A</v>
      </c>
      <c r="AK79" s="94" t="e">
        <f t="shared" si="167"/>
        <v>#N/A</v>
      </c>
      <c r="AL79" s="94" t="e">
        <f t="shared" si="167"/>
        <v>#N/A</v>
      </c>
      <c r="AM79" s="94" t="e">
        <f t="shared" si="167"/>
        <v>#N/A</v>
      </c>
      <c r="AN79" s="94" t="e">
        <f t="shared" si="167"/>
        <v>#N/A</v>
      </c>
      <c r="AO79" s="83" t="e">
        <f t="shared" si="164"/>
        <v>#N/A</v>
      </c>
      <c r="AP79" s="241"/>
      <c r="AR79" s="403"/>
      <c r="AS79" s="403"/>
      <c r="AT79" s="403"/>
      <c r="AU79" s="403" t="s">
        <v>3168</v>
      </c>
      <c r="AV79" s="403"/>
      <c r="AW79" s="403"/>
      <c r="AX79" s="403"/>
      <c r="AY79" s="403"/>
      <c r="AZ79" s="403"/>
      <c r="BA79" s="403"/>
      <c r="BB79" s="403"/>
      <c r="BC79" s="403"/>
      <c r="BD79" s="403"/>
      <c r="BE79" s="403"/>
      <c r="BF79" s="403"/>
      <c r="BG79" s="403"/>
      <c r="BH79" s="403"/>
      <c r="BI79" s="403"/>
      <c r="BJ79" s="403"/>
      <c r="BK79" s="403"/>
      <c r="BL79" s="403"/>
      <c r="BM79" s="403"/>
      <c r="BN79" s="403"/>
      <c r="BO79" s="403"/>
      <c r="BP79" s="403"/>
      <c r="BQ79" s="403"/>
      <c r="BR79" s="403"/>
      <c r="BS79" s="403"/>
      <c r="BT79" s="403"/>
      <c r="BU79" s="403"/>
      <c r="BV79" s="403"/>
      <c r="BW79" s="403"/>
      <c r="BX79" s="403"/>
      <c r="BY79" s="403"/>
      <c r="BZ79" s="403"/>
      <c r="CA79" s="403"/>
      <c r="CB79" s="403"/>
      <c r="CC79" s="403" t="s">
        <v>11607</v>
      </c>
      <c r="CD79" s="403"/>
      <c r="CE79" s="403"/>
      <c r="CF79" s="403"/>
      <c r="CG79" s="403"/>
      <c r="CH79" s="403"/>
      <c r="CI79" s="403"/>
      <c r="CJ79" s="403"/>
      <c r="CK79" s="403"/>
      <c r="CL79" s="403"/>
      <c r="CM79" s="403"/>
      <c r="CN79" s="403"/>
      <c r="CO79" s="403"/>
      <c r="CP79" s="403"/>
      <c r="CQ79" s="403"/>
      <c r="CR79" s="403"/>
      <c r="CS79" s="403"/>
      <c r="CT79" s="403"/>
      <c r="CU79" s="403"/>
      <c r="CV79" s="403"/>
      <c r="CW79" s="403"/>
      <c r="CX79" s="403"/>
      <c r="CY79" s="403"/>
      <c r="CZ79" s="403"/>
      <c r="DA79" s="403"/>
      <c r="DB79" s="403"/>
      <c r="DC79" s="403"/>
      <c r="DD79" s="403"/>
      <c r="DE79" s="403"/>
      <c r="DF79" s="403"/>
      <c r="DG79" s="403"/>
      <c r="DH79" s="403"/>
      <c r="DI79" s="403"/>
      <c r="DJ79" s="403"/>
      <c r="DK79" s="403" t="s">
        <v>11608</v>
      </c>
      <c r="DL79" s="403"/>
      <c r="DM79" s="403"/>
      <c r="DN79" s="403"/>
      <c r="DO79" s="403"/>
      <c r="DP79" s="403"/>
      <c r="DQ79" s="403"/>
      <c r="DR79" s="403"/>
      <c r="DS79" s="403"/>
      <c r="DT79" s="403"/>
      <c r="DU79" s="403"/>
      <c r="DV79" s="403"/>
      <c r="DW79" s="403"/>
      <c r="DX79" s="403"/>
      <c r="DY79" s="403"/>
      <c r="DZ79" s="403"/>
      <c r="EA79" s="403"/>
      <c r="EB79" s="403"/>
      <c r="EC79" s="403"/>
      <c r="ED79" s="403"/>
      <c r="EE79" s="403"/>
      <c r="EF79" s="403"/>
      <c r="EG79" s="403"/>
      <c r="EH79" s="403"/>
      <c r="EI79" s="403"/>
      <c r="EJ79" s="403"/>
      <c r="EK79" s="403"/>
      <c r="EL79" s="403"/>
      <c r="EM79" s="403"/>
      <c r="EN79" s="403"/>
      <c r="EO79" s="403"/>
      <c r="EP79" s="403"/>
      <c r="EQ79" s="403"/>
      <c r="ER79" s="403"/>
      <c r="ES79" s="403" t="s">
        <v>11609</v>
      </c>
      <c r="ET79" s="403"/>
      <c r="EU79" s="403"/>
      <c r="EV79" s="403"/>
      <c r="EW79" s="403"/>
      <c r="EX79" s="403"/>
      <c r="EY79" s="403"/>
      <c r="EZ79" s="403"/>
      <c r="FA79" s="403"/>
      <c r="FB79" s="403"/>
      <c r="FC79" s="403"/>
      <c r="FD79" s="403"/>
      <c r="FE79" s="403"/>
      <c r="FF79" s="403"/>
      <c r="FG79" s="403"/>
      <c r="FH79" s="403"/>
      <c r="FI79" s="403"/>
      <c r="FJ79" s="403"/>
      <c r="FK79" s="403"/>
      <c r="FL79" s="403"/>
      <c r="FM79" s="403"/>
      <c r="FN79" s="403"/>
      <c r="FO79" s="403"/>
      <c r="FP79" s="403"/>
      <c r="FQ79" s="403"/>
      <c r="FR79" s="403"/>
      <c r="FS79" s="403"/>
      <c r="FT79" s="403"/>
      <c r="FU79" s="403"/>
      <c r="FV79" s="403"/>
      <c r="FW79" s="403"/>
      <c r="FX79" s="403"/>
      <c r="FY79" s="403"/>
      <c r="FZ79" s="403"/>
      <c r="GA79" s="403" t="s">
        <v>11610</v>
      </c>
      <c r="GB79" s="403"/>
      <c r="GC79" s="403"/>
      <c r="GD79" s="403"/>
      <c r="GE79" s="403"/>
      <c r="GF79" s="403"/>
      <c r="GG79" s="403"/>
      <c r="GH79" s="403"/>
      <c r="GI79" s="403"/>
      <c r="GJ79" s="403"/>
      <c r="GK79" s="403"/>
      <c r="GL79" s="403"/>
      <c r="GM79" s="403"/>
      <c r="GN79" s="403"/>
      <c r="GO79" s="403"/>
      <c r="GP79" s="403"/>
      <c r="GQ79" s="403"/>
      <c r="GR79" s="403"/>
      <c r="GS79" s="403"/>
      <c r="GT79" s="403"/>
      <c r="GU79" s="403"/>
      <c r="GV79" s="403"/>
      <c r="GW79" s="403"/>
      <c r="GX79" s="403"/>
      <c r="GY79" s="403"/>
      <c r="GZ79" s="403"/>
      <c r="HA79" s="403"/>
      <c r="HB79" s="403"/>
      <c r="HC79" s="403"/>
      <c r="HD79" s="403"/>
      <c r="HE79" s="403"/>
      <c r="HF79" s="403"/>
      <c r="HG79" s="403"/>
      <c r="HH79" s="403"/>
      <c r="HI79" s="403" t="s">
        <v>11611</v>
      </c>
      <c r="HJ79" s="403"/>
      <c r="HK79" s="403"/>
      <c r="HL79" s="403"/>
      <c r="HM79" s="403"/>
      <c r="HN79" s="403"/>
      <c r="HO79" s="403"/>
      <c r="HP79" s="403"/>
      <c r="HQ79" s="403"/>
      <c r="HR79" s="403"/>
      <c r="HS79" s="403"/>
      <c r="HT79" s="403"/>
      <c r="HU79" s="403"/>
      <c r="HV79" s="403"/>
      <c r="HW79" s="403"/>
      <c r="HX79" s="403"/>
      <c r="HY79" s="403"/>
      <c r="HZ79" s="403"/>
      <c r="IA79" s="403"/>
      <c r="IB79" s="403"/>
      <c r="IC79" s="403"/>
      <c r="ID79" s="403"/>
      <c r="IE79" s="403"/>
      <c r="IF79" s="403"/>
      <c r="IG79" s="403"/>
      <c r="IH79" s="403"/>
      <c r="II79" s="403"/>
      <c r="IJ79" s="403"/>
      <c r="IK79" s="403"/>
      <c r="IL79" s="403"/>
      <c r="IM79" s="403"/>
      <c r="IN79" s="403"/>
      <c r="IO79" s="403"/>
      <c r="IP79" s="403"/>
      <c r="IQ79" s="403" t="s">
        <v>11612</v>
      </c>
      <c r="IR79" s="403"/>
      <c r="IS79" s="403"/>
      <c r="IT79" s="403"/>
      <c r="IU79" s="403"/>
      <c r="IV79" s="403"/>
      <c r="IW79" s="403"/>
      <c r="IX79" s="403"/>
      <c r="IY79" s="403"/>
      <c r="IZ79" s="403"/>
      <c r="JA79" s="403"/>
      <c r="JB79" s="403"/>
      <c r="JC79" s="403"/>
      <c r="JD79" s="403"/>
      <c r="JE79" s="403"/>
      <c r="JF79" s="403"/>
      <c r="JG79" s="403"/>
      <c r="JH79" s="403"/>
      <c r="JI79" s="403"/>
      <c r="JJ79" s="403"/>
      <c r="JK79" s="403"/>
      <c r="JL79" s="403"/>
      <c r="JM79" s="403"/>
      <c r="JN79" s="403"/>
      <c r="JO79" s="403"/>
      <c r="JP79" s="403"/>
      <c r="JQ79" s="403"/>
      <c r="JR79" s="403"/>
      <c r="JS79" s="403"/>
      <c r="JT79" s="403"/>
    </row>
    <row r="80" spans="1:280" s="15" customFormat="1" ht="12.75" hidden="1" x14ac:dyDescent="0.2">
      <c r="A80" s="645" t="s">
        <v>14112</v>
      </c>
      <c r="B80" s="624"/>
      <c r="C80" s="66" t="str">
        <f t="shared" ca="1" si="156"/>
        <v>Vaccinator Hourly Wages</v>
      </c>
      <c r="J80" s="79" t="e">
        <f t="shared" ref="J80:O80" si="168">J61*HRH_Hourly_USD</f>
        <v>#N/A</v>
      </c>
      <c r="K80" s="79" t="e">
        <f t="shared" si="168"/>
        <v>#N/A</v>
      </c>
      <c r="L80" s="79" t="e">
        <f t="shared" si="168"/>
        <v>#N/A</v>
      </c>
      <c r="M80" s="79" t="e">
        <f t="shared" si="168"/>
        <v>#N/A</v>
      </c>
      <c r="N80" s="79" t="e">
        <f t="shared" si="168"/>
        <v>#N/A</v>
      </c>
      <c r="O80" s="79" t="e">
        <f t="shared" si="168"/>
        <v>#N/A</v>
      </c>
      <c r="P80" s="83" t="e">
        <f t="shared" si="158"/>
        <v>#N/A</v>
      </c>
      <c r="Q80" s="83"/>
      <c r="R80" s="12" t="str">
        <f t="shared" ca="1" si="94"/>
        <v/>
      </c>
      <c r="S80" s="241"/>
      <c r="T80" s="241"/>
      <c r="U80" s="624"/>
      <c r="V80" s="72" t="str">
        <f t="shared" ca="1" si="159"/>
        <v>Vaccinator Hourly Wages</v>
      </c>
      <c r="W80" s="79" t="e">
        <f t="shared" ref="W80:AB80" si="169">W61*HRH_Hourly_USD</f>
        <v>#N/A</v>
      </c>
      <c r="X80" s="79" t="e">
        <f t="shared" si="169"/>
        <v>#N/A</v>
      </c>
      <c r="Y80" s="79" t="e">
        <f t="shared" si="169"/>
        <v>#N/A</v>
      </c>
      <c r="Z80" s="79" t="e">
        <f t="shared" si="169"/>
        <v>#N/A</v>
      </c>
      <c r="AA80" s="79" t="e">
        <f t="shared" si="169"/>
        <v>#N/A</v>
      </c>
      <c r="AB80" s="79" t="e">
        <f t="shared" si="169"/>
        <v>#N/A</v>
      </c>
      <c r="AC80" s="83" t="e">
        <f t="shared" si="161"/>
        <v>#N/A</v>
      </c>
      <c r="AF80" s="241"/>
      <c r="AG80" s="624"/>
      <c r="AH80" s="72" t="str">
        <f t="shared" ca="1" si="162"/>
        <v>Vaccinator Hourly Wages</v>
      </c>
      <c r="AI80" s="79" t="e">
        <f t="shared" ref="AI80:AN80" si="170">AI61*HRH_Hourly_USD</f>
        <v>#N/A</v>
      </c>
      <c r="AJ80" s="79" t="e">
        <f t="shared" si="170"/>
        <v>#N/A</v>
      </c>
      <c r="AK80" s="79" t="e">
        <f t="shared" si="170"/>
        <v>#N/A</v>
      </c>
      <c r="AL80" s="79" t="e">
        <f t="shared" si="170"/>
        <v>#N/A</v>
      </c>
      <c r="AM80" s="79" t="e">
        <f t="shared" si="170"/>
        <v>#N/A</v>
      </c>
      <c r="AN80" s="79" t="e">
        <f t="shared" si="170"/>
        <v>#N/A</v>
      </c>
      <c r="AO80" s="83" t="e">
        <f t="shared" si="164"/>
        <v>#N/A</v>
      </c>
      <c r="AP80" s="241"/>
      <c r="AR80" s="403"/>
      <c r="AS80" s="403"/>
      <c r="AT80" s="403"/>
      <c r="AU80" s="403" t="s">
        <v>1637</v>
      </c>
      <c r="AV80" s="403"/>
      <c r="AW80" s="403"/>
      <c r="AX80" s="403"/>
      <c r="AY80" s="403"/>
      <c r="AZ80" s="403"/>
      <c r="BA80" s="403"/>
      <c r="BB80" s="403"/>
      <c r="BC80" s="403"/>
      <c r="BD80" s="403"/>
      <c r="BE80" s="403"/>
      <c r="BF80" s="403"/>
      <c r="BG80" s="403"/>
      <c r="BH80" s="403"/>
      <c r="BI80" s="403"/>
      <c r="BJ80" s="403"/>
      <c r="BK80" s="403"/>
      <c r="BL80" s="403"/>
      <c r="BM80" s="403"/>
      <c r="BN80" s="403"/>
      <c r="BO80" s="403"/>
      <c r="BP80" s="403"/>
      <c r="BQ80" s="403"/>
      <c r="BR80" s="403"/>
      <c r="BS80" s="403"/>
      <c r="BT80" s="403"/>
      <c r="BU80" s="403"/>
      <c r="BV80" s="403"/>
      <c r="BW80" s="403"/>
      <c r="BX80" s="403"/>
      <c r="BY80" s="403"/>
      <c r="BZ80" s="403"/>
      <c r="CA80" s="403"/>
      <c r="CB80" s="403"/>
      <c r="CC80" s="403" t="s">
        <v>11789</v>
      </c>
      <c r="CD80" s="403"/>
      <c r="CE80" s="403"/>
      <c r="CF80" s="403"/>
      <c r="CG80" s="403"/>
      <c r="CH80" s="403"/>
      <c r="CI80" s="403"/>
      <c r="CJ80" s="403"/>
      <c r="CK80" s="403"/>
      <c r="CL80" s="403"/>
      <c r="CM80" s="403"/>
      <c r="CN80" s="403"/>
      <c r="CO80" s="403"/>
      <c r="CP80" s="403"/>
      <c r="CQ80" s="403"/>
      <c r="CR80" s="403"/>
      <c r="CS80" s="403"/>
      <c r="CT80" s="403"/>
      <c r="CU80" s="403"/>
      <c r="CV80" s="403"/>
      <c r="CW80" s="403"/>
      <c r="CX80" s="403"/>
      <c r="CY80" s="403"/>
      <c r="CZ80" s="403"/>
      <c r="DA80" s="403"/>
      <c r="DB80" s="403"/>
      <c r="DC80" s="403"/>
      <c r="DD80" s="403"/>
      <c r="DE80" s="403"/>
      <c r="DF80" s="403"/>
      <c r="DG80" s="403"/>
      <c r="DH80" s="403"/>
      <c r="DI80" s="403"/>
      <c r="DJ80" s="403"/>
      <c r="DK80" s="403" t="s">
        <v>11790</v>
      </c>
      <c r="DL80" s="403"/>
      <c r="DM80" s="403"/>
      <c r="DN80" s="403"/>
      <c r="DO80" s="403"/>
      <c r="DP80" s="403"/>
      <c r="DQ80" s="403"/>
      <c r="DR80" s="403"/>
      <c r="DS80" s="403"/>
      <c r="DT80" s="403"/>
      <c r="DU80" s="403"/>
      <c r="DV80" s="403"/>
      <c r="DW80" s="403"/>
      <c r="DX80" s="403"/>
      <c r="DY80" s="403"/>
      <c r="DZ80" s="403"/>
      <c r="EA80" s="403"/>
      <c r="EB80" s="403"/>
      <c r="EC80" s="403"/>
      <c r="ED80" s="403"/>
      <c r="EE80" s="403"/>
      <c r="EF80" s="403"/>
      <c r="EG80" s="403"/>
      <c r="EH80" s="403"/>
      <c r="EI80" s="403"/>
      <c r="EJ80" s="403"/>
      <c r="EK80" s="403"/>
      <c r="EL80" s="403"/>
      <c r="EM80" s="403"/>
      <c r="EN80" s="403"/>
      <c r="EO80" s="403"/>
      <c r="EP80" s="403"/>
      <c r="EQ80" s="403"/>
      <c r="ER80" s="403"/>
      <c r="ES80" s="403" t="s">
        <v>11791</v>
      </c>
      <c r="ET80" s="403"/>
      <c r="EU80" s="403"/>
      <c r="EV80" s="403"/>
      <c r="EW80" s="403"/>
      <c r="EX80" s="403"/>
      <c r="EY80" s="403"/>
      <c r="EZ80" s="403"/>
      <c r="FA80" s="403"/>
      <c r="FB80" s="403"/>
      <c r="FC80" s="403"/>
      <c r="FD80" s="403"/>
      <c r="FE80" s="403"/>
      <c r="FF80" s="403"/>
      <c r="FG80" s="403"/>
      <c r="FH80" s="403"/>
      <c r="FI80" s="403"/>
      <c r="FJ80" s="403"/>
      <c r="FK80" s="403"/>
      <c r="FL80" s="403"/>
      <c r="FM80" s="403"/>
      <c r="FN80" s="403"/>
      <c r="FO80" s="403"/>
      <c r="FP80" s="403"/>
      <c r="FQ80" s="403"/>
      <c r="FR80" s="403"/>
      <c r="FS80" s="403"/>
      <c r="FT80" s="403"/>
      <c r="FU80" s="403"/>
      <c r="FV80" s="403"/>
      <c r="FW80" s="403"/>
      <c r="FX80" s="403"/>
      <c r="FY80" s="403"/>
      <c r="FZ80" s="403"/>
      <c r="GA80" s="403" t="s">
        <v>11792</v>
      </c>
      <c r="GB80" s="403"/>
      <c r="GC80" s="403"/>
      <c r="GD80" s="403"/>
      <c r="GE80" s="403"/>
      <c r="GF80" s="403"/>
      <c r="GG80" s="403"/>
      <c r="GH80" s="403"/>
      <c r="GI80" s="403"/>
      <c r="GJ80" s="403"/>
      <c r="GK80" s="403"/>
      <c r="GL80" s="403"/>
      <c r="GM80" s="403"/>
      <c r="GN80" s="403"/>
      <c r="GO80" s="403"/>
      <c r="GP80" s="403"/>
      <c r="GQ80" s="403"/>
      <c r="GR80" s="403"/>
      <c r="GS80" s="403"/>
      <c r="GT80" s="403"/>
      <c r="GU80" s="403"/>
      <c r="GV80" s="403"/>
      <c r="GW80" s="403"/>
      <c r="GX80" s="403"/>
      <c r="GY80" s="403"/>
      <c r="GZ80" s="403"/>
      <c r="HA80" s="403"/>
      <c r="HB80" s="403"/>
      <c r="HC80" s="403"/>
      <c r="HD80" s="403"/>
      <c r="HE80" s="403"/>
      <c r="HF80" s="403"/>
      <c r="HG80" s="403"/>
      <c r="HH80" s="403"/>
      <c r="HI80" s="403" t="s">
        <v>11793</v>
      </c>
      <c r="HJ80" s="403"/>
      <c r="HK80" s="403"/>
      <c r="HL80" s="403"/>
      <c r="HM80" s="403"/>
      <c r="HN80" s="403"/>
      <c r="HO80" s="403"/>
      <c r="HP80" s="403"/>
      <c r="HQ80" s="403"/>
      <c r="HR80" s="403"/>
      <c r="HS80" s="403"/>
      <c r="HT80" s="403"/>
      <c r="HU80" s="403"/>
      <c r="HV80" s="403"/>
      <c r="HW80" s="403"/>
      <c r="HX80" s="403"/>
      <c r="HY80" s="403"/>
      <c r="HZ80" s="403"/>
      <c r="IA80" s="403"/>
      <c r="IB80" s="403"/>
      <c r="IC80" s="403"/>
      <c r="ID80" s="403"/>
      <c r="IE80" s="403"/>
      <c r="IF80" s="403"/>
      <c r="IG80" s="403"/>
      <c r="IH80" s="403"/>
      <c r="II80" s="403"/>
      <c r="IJ80" s="403"/>
      <c r="IK80" s="403"/>
      <c r="IL80" s="403"/>
      <c r="IM80" s="403"/>
      <c r="IN80" s="403"/>
      <c r="IO80" s="403"/>
      <c r="IP80" s="403"/>
      <c r="IQ80" s="403" t="s">
        <v>11794</v>
      </c>
      <c r="IR80" s="403"/>
      <c r="IS80" s="403"/>
      <c r="IT80" s="403"/>
      <c r="IU80" s="403"/>
      <c r="IV80" s="403"/>
      <c r="IW80" s="403"/>
      <c r="IX80" s="403"/>
      <c r="IY80" s="403"/>
      <c r="IZ80" s="403"/>
      <c r="JA80" s="403"/>
      <c r="JB80" s="403"/>
      <c r="JC80" s="403"/>
      <c r="JD80" s="403"/>
      <c r="JE80" s="403"/>
      <c r="JF80" s="403"/>
      <c r="JG80" s="403"/>
      <c r="JH80" s="403"/>
      <c r="JI80" s="403"/>
      <c r="JJ80" s="403"/>
      <c r="JK80" s="403"/>
      <c r="JL80" s="403"/>
      <c r="JM80" s="403"/>
      <c r="JN80" s="403"/>
      <c r="JO80" s="403"/>
      <c r="JP80" s="403"/>
      <c r="JQ80" s="403"/>
      <c r="JR80" s="403"/>
      <c r="JS80" s="403"/>
      <c r="JT80" s="403"/>
    </row>
    <row r="81" spans="1:280" s="15" customFormat="1" ht="12.75" x14ac:dyDescent="0.2">
      <c r="B81" s="624"/>
      <c r="C81" s="66" t="str">
        <f t="shared" ca="1" si="156"/>
        <v>Local Training and Deployment</v>
      </c>
      <c r="J81" s="79" t="e">
        <f t="shared" ref="J81:O81" si="171">J57*AUCs_HRH_PerUniqueHRH</f>
        <v>#N/A</v>
      </c>
      <c r="K81" s="79" t="e">
        <f t="shared" si="171"/>
        <v>#N/A</v>
      </c>
      <c r="L81" s="79" t="e">
        <f t="shared" si="171"/>
        <v>#N/A</v>
      </c>
      <c r="M81" s="79" t="e">
        <f t="shared" si="171"/>
        <v>#N/A</v>
      </c>
      <c r="N81" s="79" t="e">
        <f t="shared" si="171"/>
        <v>#N/A</v>
      </c>
      <c r="O81" s="79" t="e">
        <f t="shared" si="171"/>
        <v>#N/A</v>
      </c>
      <c r="P81" s="83" t="e">
        <f t="shared" si="158"/>
        <v>#N/A</v>
      </c>
      <c r="Q81" s="83"/>
      <c r="R81" s="12" t="str">
        <f t="shared" ca="1" si="94"/>
        <v/>
      </c>
      <c r="S81" s="241"/>
      <c r="T81" s="241"/>
      <c r="U81" s="624"/>
      <c r="V81" s="260" t="str">
        <f t="shared" ca="1" si="159"/>
        <v>Local Training and Deployment</v>
      </c>
      <c r="W81" s="79" t="e">
        <f t="shared" ref="W81:AB81" si="172">W57*AUCs_HRH_PerUniqueHRH</f>
        <v>#N/A</v>
      </c>
      <c r="X81" s="79" t="e">
        <f t="shared" si="172"/>
        <v>#N/A</v>
      </c>
      <c r="Y81" s="79" t="e">
        <f t="shared" si="172"/>
        <v>#N/A</v>
      </c>
      <c r="Z81" s="79" t="e">
        <f t="shared" si="172"/>
        <v>#N/A</v>
      </c>
      <c r="AA81" s="79" t="e">
        <f t="shared" si="172"/>
        <v>#N/A</v>
      </c>
      <c r="AB81" s="79" t="e">
        <f t="shared" si="172"/>
        <v>#N/A</v>
      </c>
      <c r="AC81" s="83" t="e">
        <f t="shared" si="161"/>
        <v>#N/A</v>
      </c>
      <c r="AF81" s="241"/>
      <c r="AG81" s="624"/>
      <c r="AH81" s="260" t="str">
        <f t="shared" ca="1" si="162"/>
        <v>Local Training and Deployment</v>
      </c>
      <c r="AI81" s="79" t="e">
        <f t="shared" ref="AI81:AN81" si="173">AI57*AUCs_HRH_PerUniqueHRH</f>
        <v>#N/A</v>
      </c>
      <c r="AJ81" s="79" t="e">
        <f t="shared" si="173"/>
        <v>#N/A</v>
      </c>
      <c r="AK81" s="79" t="e">
        <f t="shared" si="173"/>
        <v>#N/A</v>
      </c>
      <c r="AL81" s="79" t="e">
        <f t="shared" si="173"/>
        <v>#N/A</v>
      </c>
      <c r="AM81" s="79" t="e">
        <f t="shared" si="173"/>
        <v>#N/A</v>
      </c>
      <c r="AN81" s="79" t="e">
        <f t="shared" si="173"/>
        <v>#N/A</v>
      </c>
      <c r="AO81" s="83" t="e">
        <f t="shared" si="164"/>
        <v>#N/A</v>
      </c>
      <c r="AP81" s="241"/>
      <c r="AR81" s="403"/>
      <c r="AS81" s="403"/>
      <c r="AT81" s="403"/>
      <c r="AU81" s="403" t="s">
        <v>3184</v>
      </c>
      <c r="AV81" s="403"/>
      <c r="AW81" s="403"/>
      <c r="AX81" s="403"/>
      <c r="AY81" s="403"/>
      <c r="AZ81" s="403"/>
      <c r="BA81" s="403"/>
      <c r="BB81" s="403"/>
      <c r="BC81" s="403"/>
      <c r="BD81" s="403"/>
      <c r="BE81" s="403"/>
      <c r="BF81" s="403"/>
      <c r="BG81" s="403"/>
      <c r="BH81" s="403"/>
      <c r="BI81" s="403"/>
      <c r="BJ81" s="403"/>
      <c r="BK81" s="403"/>
      <c r="BL81" s="403"/>
      <c r="BM81" s="403"/>
      <c r="BN81" s="403"/>
      <c r="BO81" s="403"/>
      <c r="BP81" s="403"/>
      <c r="BQ81" s="403"/>
      <c r="BR81" s="403"/>
      <c r="BS81" s="403"/>
      <c r="BT81" s="403"/>
      <c r="BU81" s="403"/>
      <c r="BV81" s="403"/>
      <c r="BW81" s="403"/>
      <c r="BX81" s="403"/>
      <c r="BY81" s="403"/>
      <c r="BZ81" s="403"/>
      <c r="CA81" s="403"/>
      <c r="CB81" s="403"/>
      <c r="CC81" s="403" t="s">
        <v>11613</v>
      </c>
      <c r="CD81" s="403"/>
      <c r="CE81" s="403"/>
      <c r="CF81" s="403"/>
      <c r="CG81" s="403"/>
      <c r="CH81" s="403"/>
      <c r="CI81" s="403"/>
      <c r="CJ81" s="403"/>
      <c r="CK81" s="403"/>
      <c r="CL81" s="403"/>
      <c r="CM81" s="403"/>
      <c r="CN81" s="403"/>
      <c r="CO81" s="403"/>
      <c r="CP81" s="403"/>
      <c r="CQ81" s="403"/>
      <c r="CR81" s="403"/>
      <c r="CS81" s="403"/>
      <c r="CT81" s="403"/>
      <c r="CU81" s="403"/>
      <c r="CV81" s="403"/>
      <c r="CW81" s="403"/>
      <c r="CX81" s="403"/>
      <c r="CY81" s="403"/>
      <c r="CZ81" s="403"/>
      <c r="DA81" s="403"/>
      <c r="DB81" s="403"/>
      <c r="DC81" s="403"/>
      <c r="DD81" s="403"/>
      <c r="DE81" s="403"/>
      <c r="DF81" s="403"/>
      <c r="DG81" s="403"/>
      <c r="DH81" s="403"/>
      <c r="DI81" s="403"/>
      <c r="DJ81" s="403"/>
      <c r="DK81" s="403" t="s">
        <v>11614</v>
      </c>
      <c r="DL81" s="403"/>
      <c r="DM81" s="403"/>
      <c r="DN81" s="403"/>
      <c r="DO81" s="403"/>
      <c r="DP81" s="403"/>
      <c r="DQ81" s="403"/>
      <c r="DR81" s="403"/>
      <c r="DS81" s="403"/>
      <c r="DT81" s="403"/>
      <c r="DU81" s="403"/>
      <c r="DV81" s="403"/>
      <c r="DW81" s="403"/>
      <c r="DX81" s="403"/>
      <c r="DY81" s="403"/>
      <c r="DZ81" s="403"/>
      <c r="EA81" s="403"/>
      <c r="EB81" s="403"/>
      <c r="EC81" s="403"/>
      <c r="ED81" s="403"/>
      <c r="EE81" s="403"/>
      <c r="EF81" s="403"/>
      <c r="EG81" s="403"/>
      <c r="EH81" s="403"/>
      <c r="EI81" s="403"/>
      <c r="EJ81" s="403"/>
      <c r="EK81" s="403"/>
      <c r="EL81" s="403"/>
      <c r="EM81" s="403"/>
      <c r="EN81" s="403"/>
      <c r="EO81" s="403"/>
      <c r="EP81" s="403"/>
      <c r="EQ81" s="403"/>
      <c r="ER81" s="403"/>
      <c r="ES81" s="403" t="s">
        <v>11615</v>
      </c>
      <c r="ET81" s="403"/>
      <c r="EU81" s="403"/>
      <c r="EV81" s="403"/>
      <c r="EW81" s="403"/>
      <c r="EX81" s="403"/>
      <c r="EY81" s="403"/>
      <c r="EZ81" s="403"/>
      <c r="FA81" s="403"/>
      <c r="FB81" s="403"/>
      <c r="FC81" s="403"/>
      <c r="FD81" s="403"/>
      <c r="FE81" s="403"/>
      <c r="FF81" s="403"/>
      <c r="FG81" s="403"/>
      <c r="FH81" s="403"/>
      <c r="FI81" s="403"/>
      <c r="FJ81" s="403"/>
      <c r="FK81" s="403"/>
      <c r="FL81" s="403"/>
      <c r="FM81" s="403"/>
      <c r="FN81" s="403"/>
      <c r="FO81" s="403"/>
      <c r="FP81" s="403"/>
      <c r="FQ81" s="403"/>
      <c r="FR81" s="403"/>
      <c r="FS81" s="403"/>
      <c r="FT81" s="403"/>
      <c r="FU81" s="403"/>
      <c r="FV81" s="403"/>
      <c r="FW81" s="403"/>
      <c r="FX81" s="403"/>
      <c r="FY81" s="403"/>
      <c r="FZ81" s="403"/>
      <c r="GA81" s="403" t="s">
        <v>11616</v>
      </c>
      <c r="GB81" s="403"/>
      <c r="GC81" s="403"/>
      <c r="GD81" s="403"/>
      <c r="GE81" s="403"/>
      <c r="GF81" s="403"/>
      <c r="GG81" s="403"/>
      <c r="GH81" s="403"/>
      <c r="GI81" s="403"/>
      <c r="GJ81" s="403"/>
      <c r="GK81" s="403"/>
      <c r="GL81" s="403"/>
      <c r="GM81" s="403"/>
      <c r="GN81" s="403"/>
      <c r="GO81" s="403"/>
      <c r="GP81" s="403"/>
      <c r="GQ81" s="403"/>
      <c r="GR81" s="403"/>
      <c r="GS81" s="403"/>
      <c r="GT81" s="403"/>
      <c r="GU81" s="403"/>
      <c r="GV81" s="403"/>
      <c r="GW81" s="403"/>
      <c r="GX81" s="403"/>
      <c r="GY81" s="403"/>
      <c r="GZ81" s="403"/>
      <c r="HA81" s="403"/>
      <c r="HB81" s="403"/>
      <c r="HC81" s="403"/>
      <c r="HD81" s="403"/>
      <c r="HE81" s="403"/>
      <c r="HF81" s="403"/>
      <c r="HG81" s="403"/>
      <c r="HH81" s="403"/>
      <c r="HI81" s="403" t="s">
        <v>11617</v>
      </c>
      <c r="HJ81" s="403"/>
      <c r="HK81" s="403"/>
      <c r="HL81" s="403"/>
      <c r="HM81" s="403"/>
      <c r="HN81" s="403"/>
      <c r="HO81" s="403"/>
      <c r="HP81" s="403"/>
      <c r="HQ81" s="403"/>
      <c r="HR81" s="403"/>
      <c r="HS81" s="403"/>
      <c r="HT81" s="403"/>
      <c r="HU81" s="403"/>
      <c r="HV81" s="403"/>
      <c r="HW81" s="403"/>
      <c r="HX81" s="403"/>
      <c r="HY81" s="403"/>
      <c r="HZ81" s="403"/>
      <c r="IA81" s="403"/>
      <c r="IB81" s="403"/>
      <c r="IC81" s="403"/>
      <c r="ID81" s="403"/>
      <c r="IE81" s="403"/>
      <c r="IF81" s="403"/>
      <c r="IG81" s="403"/>
      <c r="IH81" s="403"/>
      <c r="II81" s="403"/>
      <c r="IJ81" s="403"/>
      <c r="IK81" s="403"/>
      <c r="IL81" s="403"/>
      <c r="IM81" s="403"/>
      <c r="IN81" s="403"/>
      <c r="IO81" s="403"/>
      <c r="IP81" s="403"/>
      <c r="IQ81" s="403" t="s">
        <v>11618</v>
      </c>
      <c r="IR81" s="403"/>
      <c r="IS81" s="403"/>
      <c r="IT81" s="403"/>
      <c r="IU81" s="403"/>
      <c r="IV81" s="403"/>
      <c r="IW81" s="403"/>
      <c r="IX81" s="403"/>
      <c r="IY81" s="403"/>
      <c r="IZ81" s="403"/>
      <c r="JA81" s="403"/>
      <c r="JB81" s="403"/>
      <c r="JC81" s="403"/>
      <c r="JD81" s="403"/>
      <c r="JE81" s="403"/>
      <c r="JF81" s="403"/>
      <c r="JG81" s="403"/>
      <c r="JH81" s="403"/>
      <c r="JI81" s="403"/>
      <c r="JJ81" s="403"/>
      <c r="JK81" s="403"/>
      <c r="JL81" s="403"/>
      <c r="JM81" s="403"/>
      <c r="JN81" s="403"/>
      <c r="JO81" s="403"/>
      <c r="JP81" s="403"/>
      <c r="JQ81" s="403"/>
      <c r="JR81" s="403"/>
      <c r="JS81" s="403"/>
      <c r="JT81" s="403"/>
    </row>
    <row r="82" spans="1:280" s="15" customFormat="1" ht="12.75" x14ac:dyDescent="0.2">
      <c r="B82" s="624"/>
      <c r="C82" s="66" t="str">
        <f t="shared" ca="1" si="156"/>
        <v>HRH expenses</v>
      </c>
      <c r="J82" s="653" t="e">
        <f t="shared" ref="J82:O82" si="174">J282*AUCs_HRH_perHRHperDayOther</f>
        <v>#N/A</v>
      </c>
      <c r="K82" s="653" t="e">
        <f t="shared" si="174"/>
        <v>#N/A</v>
      </c>
      <c r="L82" s="653" t="e">
        <f t="shared" si="174"/>
        <v>#N/A</v>
      </c>
      <c r="M82" s="653" t="e">
        <f t="shared" si="174"/>
        <v>#N/A</v>
      </c>
      <c r="N82" s="653" t="e">
        <f t="shared" si="174"/>
        <v>#N/A</v>
      </c>
      <c r="O82" s="653" t="e">
        <f t="shared" si="174"/>
        <v>#N/A</v>
      </c>
      <c r="P82" s="83" t="e">
        <f t="shared" si="158"/>
        <v>#N/A</v>
      </c>
      <c r="Q82" s="83"/>
      <c r="R82" s="12" t="str">
        <f t="shared" ca="1" si="94"/>
        <v/>
      </c>
      <c r="S82" s="241"/>
      <c r="T82" s="241"/>
      <c r="U82" s="624"/>
      <c r="V82" s="72" t="str">
        <f t="shared" ca="1" si="159"/>
        <v>HRH expenses</v>
      </c>
      <c r="W82" s="79" t="e">
        <f t="shared" ref="W82:AB82" si="175">W282*AUCs_HRH_perHRHperDayOther</f>
        <v>#N/A</v>
      </c>
      <c r="X82" s="79" t="e">
        <f t="shared" si="175"/>
        <v>#N/A</v>
      </c>
      <c r="Y82" s="79" t="e">
        <f t="shared" si="175"/>
        <v>#N/A</v>
      </c>
      <c r="Z82" s="79" t="e">
        <f t="shared" si="175"/>
        <v>#N/A</v>
      </c>
      <c r="AA82" s="79" t="e">
        <f t="shared" si="175"/>
        <v>#N/A</v>
      </c>
      <c r="AB82" s="79" t="e">
        <f t="shared" si="175"/>
        <v>#N/A</v>
      </c>
      <c r="AC82" s="83" t="e">
        <f t="shared" si="161"/>
        <v>#N/A</v>
      </c>
      <c r="AF82" s="241"/>
      <c r="AG82" s="624"/>
      <c r="AH82" s="72" t="str">
        <f t="shared" ca="1" si="162"/>
        <v>HRH expenses</v>
      </c>
      <c r="AI82" s="79" t="e">
        <f t="shared" ref="AI82:AN82" si="176">AI282*AUCs_HRH_perHRHperDayOther</f>
        <v>#N/A</v>
      </c>
      <c r="AJ82" s="79" t="e">
        <f t="shared" si="176"/>
        <v>#N/A</v>
      </c>
      <c r="AK82" s="79" t="e">
        <f t="shared" si="176"/>
        <v>#N/A</v>
      </c>
      <c r="AL82" s="79" t="e">
        <f t="shared" si="176"/>
        <v>#N/A</v>
      </c>
      <c r="AM82" s="79" t="e">
        <f t="shared" si="176"/>
        <v>#N/A</v>
      </c>
      <c r="AN82" s="79" t="e">
        <f t="shared" si="176"/>
        <v>#N/A</v>
      </c>
      <c r="AO82" s="83" t="e">
        <f t="shared" si="164"/>
        <v>#N/A</v>
      </c>
      <c r="AP82" s="241"/>
      <c r="AR82" s="403"/>
      <c r="AS82" s="403"/>
      <c r="AT82" s="403"/>
      <c r="AU82" s="403" t="s">
        <v>3167</v>
      </c>
      <c r="AV82" s="403"/>
      <c r="AW82" s="403"/>
      <c r="AX82" s="403"/>
      <c r="AY82" s="403"/>
      <c r="AZ82" s="403"/>
      <c r="BA82" s="403"/>
      <c r="BB82" s="403"/>
      <c r="BC82" s="403"/>
      <c r="BD82" s="403"/>
      <c r="BE82" s="403"/>
      <c r="BF82" s="403"/>
      <c r="BG82" s="403"/>
      <c r="BH82" s="403"/>
      <c r="BI82" s="403"/>
      <c r="BJ82" s="403"/>
      <c r="BK82" s="403"/>
      <c r="BL82" s="403"/>
      <c r="BM82" s="403"/>
      <c r="BN82" s="403"/>
      <c r="BO82" s="403"/>
      <c r="BP82" s="403"/>
      <c r="BQ82" s="403"/>
      <c r="BR82" s="403"/>
      <c r="BS82" s="403"/>
      <c r="BT82" s="403"/>
      <c r="BU82" s="403"/>
      <c r="BV82" s="403"/>
      <c r="BW82" s="403"/>
      <c r="BX82" s="403"/>
      <c r="BY82" s="403"/>
      <c r="BZ82" s="403"/>
      <c r="CA82" s="403"/>
      <c r="CB82" s="403"/>
      <c r="CC82" s="403" t="s">
        <v>11619</v>
      </c>
      <c r="CD82" s="403"/>
      <c r="CE82" s="403"/>
      <c r="CF82" s="403"/>
      <c r="CG82" s="403"/>
      <c r="CH82" s="403"/>
      <c r="CI82" s="403"/>
      <c r="CJ82" s="403"/>
      <c r="CK82" s="403"/>
      <c r="CL82" s="403"/>
      <c r="CM82" s="403"/>
      <c r="CN82" s="403"/>
      <c r="CO82" s="403"/>
      <c r="CP82" s="403"/>
      <c r="CQ82" s="403"/>
      <c r="CR82" s="403"/>
      <c r="CS82" s="403"/>
      <c r="CT82" s="403"/>
      <c r="CU82" s="403"/>
      <c r="CV82" s="403"/>
      <c r="CW82" s="403"/>
      <c r="CX82" s="403"/>
      <c r="CY82" s="403"/>
      <c r="CZ82" s="403"/>
      <c r="DA82" s="403"/>
      <c r="DB82" s="403"/>
      <c r="DC82" s="403"/>
      <c r="DD82" s="403"/>
      <c r="DE82" s="403"/>
      <c r="DF82" s="403"/>
      <c r="DG82" s="403"/>
      <c r="DH82" s="403"/>
      <c r="DI82" s="403"/>
      <c r="DJ82" s="403"/>
      <c r="DK82" s="403" t="s">
        <v>11620</v>
      </c>
      <c r="DL82" s="403"/>
      <c r="DM82" s="403"/>
      <c r="DN82" s="403"/>
      <c r="DO82" s="403"/>
      <c r="DP82" s="403"/>
      <c r="DQ82" s="403"/>
      <c r="DR82" s="403"/>
      <c r="DS82" s="403"/>
      <c r="DT82" s="403"/>
      <c r="DU82" s="403"/>
      <c r="DV82" s="403"/>
      <c r="DW82" s="403"/>
      <c r="DX82" s="403"/>
      <c r="DY82" s="403"/>
      <c r="DZ82" s="403"/>
      <c r="EA82" s="403"/>
      <c r="EB82" s="403"/>
      <c r="EC82" s="403"/>
      <c r="ED82" s="403"/>
      <c r="EE82" s="403"/>
      <c r="EF82" s="403"/>
      <c r="EG82" s="403"/>
      <c r="EH82" s="403"/>
      <c r="EI82" s="403"/>
      <c r="EJ82" s="403"/>
      <c r="EK82" s="403"/>
      <c r="EL82" s="403"/>
      <c r="EM82" s="403"/>
      <c r="EN82" s="403"/>
      <c r="EO82" s="403"/>
      <c r="EP82" s="403"/>
      <c r="EQ82" s="403"/>
      <c r="ER82" s="403"/>
      <c r="ES82" s="403" t="s">
        <v>11621</v>
      </c>
      <c r="ET82" s="403"/>
      <c r="EU82" s="403"/>
      <c r="EV82" s="403"/>
      <c r="EW82" s="403"/>
      <c r="EX82" s="403"/>
      <c r="EY82" s="403"/>
      <c r="EZ82" s="403"/>
      <c r="FA82" s="403"/>
      <c r="FB82" s="403"/>
      <c r="FC82" s="403"/>
      <c r="FD82" s="403"/>
      <c r="FE82" s="403"/>
      <c r="FF82" s="403"/>
      <c r="FG82" s="403"/>
      <c r="FH82" s="403"/>
      <c r="FI82" s="403"/>
      <c r="FJ82" s="403"/>
      <c r="FK82" s="403"/>
      <c r="FL82" s="403"/>
      <c r="FM82" s="403"/>
      <c r="FN82" s="403"/>
      <c r="FO82" s="403"/>
      <c r="FP82" s="403"/>
      <c r="FQ82" s="403"/>
      <c r="FR82" s="403"/>
      <c r="FS82" s="403"/>
      <c r="FT82" s="403"/>
      <c r="FU82" s="403"/>
      <c r="FV82" s="403"/>
      <c r="FW82" s="403"/>
      <c r="FX82" s="403"/>
      <c r="FY82" s="403"/>
      <c r="FZ82" s="403"/>
      <c r="GA82" s="403" t="s">
        <v>11622</v>
      </c>
      <c r="GB82" s="403"/>
      <c r="GC82" s="403"/>
      <c r="GD82" s="403"/>
      <c r="GE82" s="403"/>
      <c r="GF82" s="403"/>
      <c r="GG82" s="403"/>
      <c r="GH82" s="403"/>
      <c r="GI82" s="403"/>
      <c r="GJ82" s="403"/>
      <c r="GK82" s="403"/>
      <c r="GL82" s="403"/>
      <c r="GM82" s="403"/>
      <c r="GN82" s="403"/>
      <c r="GO82" s="403"/>
      <c r="GP82" s="403"/>
      <c r="GQ82" s="403"/>
      <c r="GR82" s="403"/>
      <c r="GS82" s="403"/>
      <c r="GT82" s="403"/>
      <c r="GU82" s="403"/>
      <c r="GV82" s="403"/>
      <c r="GW82" s="403"/>
      <c r="GX82" s="403"/>
      <c r="GY82" s="403"/>
      <c r="GZ82" s="403"/>
      <c r="HA82" s="403"/>
      <c r="HB82" s="403"/>
      <c r="HC82" s="403"/>
      <c r="HD82" s="403"/>
      <c r="HE82" s="403"/>
      <c r="HF82" s="403"/>
      <c r="HG82" s="403"/>
      <c r="HH82" s="403"/>
      <c r="HI82" s="403" t="s">
        <v>11623</v>
      </c>
      <c r="HJ82" s="403"/>
      <c r="HK82" s="403"/>
      <c r="HL82" s="403"/>
      <c r="HM82" s="403"/>
      <c r="HN82" s="403"/>
      <c r="HO82" s="403"/>
      <c r="HP82" s="403"/>
      <c r="HQ82" s="403"/>
      <c r="HR82" s="403"/>
      <c r="HS82" s="403"/>
      <c r="HT82" s="403"/>
      <c r="HU82" s="403"/>
      <c r="HV82" s="403"/>
      <c r="HW82" s="403"/>
      <c r="HX82" s="403"/>
      <c r="HY82" s="403"/>
      <c r="HZ82" s="403"/>
      <c r="IA82" s="403"/>
      <c r="IB82" s="403"/>
      <c r="IC82" s="403"/>
      <c r="ID82" s="403"/>
      <c r="IE82" s="403"/>
      <c r="IF82" s="403"/>
      <c r="IG82" s="403"/>
      <c r="IH82" s="403"/>
      <c r="II82" s="403"/>
      <c r="IJ82" s="403"/>
      <c r="IK82" s="403"/>
      <c r="IL82" s="403"/>
      <c r="IM82" s="403"/>
      <c r="IN82" s="403"/>
      <c r="IO82" s="403"/>
      <c r="IP82" s="403"/>
      <c r="IQ82" s="403" t="s">
        <v>11624</v>
      </c>
      <c r="IR82" s="403"/>
      <c r="IS82" s="403"/>
      <c r="IT82" s="403"/>
      <c r="IU82" s="403"/>
      <c r="IV82" s="403"/>
      <c r="IW82" s="403"/>
      <c r="IX82" s="403"/>
      <c r="IY82" s="403"/>
      <c r="IZ82" s="403"/>
      <c r="JA82" s="403"/>
      <c r="JB82" s="403"/>
      <c r="JC82" s="403"/>
      <c r="JD82" s="403"/>
      <c r="JE82" s="403"/>
      <c r="JF82" s="403"/>
      <c r="JG82" s="403"/>
      <c r="JH82" s="403"/>
      <c r="JI82" s="403"/>
      <c r="JJ82" s="403"/>
      <c r="JK82" s="403"/>
      <c r="JL82" s="403"/>
      <c r="JM82" s="403"/>
      <c r="JN82" s="403"/>
      <c r="JO82" s="403"/>
      <c r="JP82" s="403"/>
      <c r="JQ82" s="403"/>
      <c r="JR82" s="403"/>
      <c r="JS82" s="403"/>
      <c r="JT82" s="403"/>
    </row>
    <row r="83" spans="1:280" s="15" customFormat="1" ht="12.75" x14ac:dyDescent="0.2">
      <c r="A83" s="85"/>
      <c r="B83" s="625"/>
      <c r="C83" s="66" t="str">
        <f ca="1">IF(OFFSET(AU83,0,Lang_Order*Lang__B5)="","",OFFSET(AU83,0,Lang_Order*Lang__B5))</f>
        <v>Total Reuseable PPE</v>
      </c>
      <c r="J83" s="79" t="e">
        <f t="shared" ref="J83:O83" ca="1" si="177">J57*AUCs_PPE_perHRH</f>
        <v>#N/A</v>
      </c>
      <c r="K83" s="79" t="e">
        <f t="shared" ca="1" si="177"/>
        <v>#N/A</v>
      </c>
      <c r="L83" s="79" t="e">
        <f t="shared" ca="1" si="177"/>
        <v>#N/A</v>
      </c>
      <c r="M83" s="79" t="e">
        <f t="shared" ca="1" si="177"/>
        <v>#N/A</v>
      </c>
      <c r="N83" s="79" t="e">
        <f t="shared" ca="1" si="177"/>
        <v>#N/A</v>
      </c>
      <c r="O83" s="79" t="e">
        <f t="shared" ca="1" si="177"/>
        <v>#N/A</v>
      </c>
      <c r="P83" s="83" t="e">
        <f t="shared" ca="1" si="158"/>
        <v>#N/A</v>
      </c>
      <c r="Q83" s="83"/>
      <c r="R83" s="12" t="str">
        <f t="shared" ca="1" si="94"/>
        <v/>
      </c>
      <c r="S83" s="241"/>
      <c r="T83" s="241"/>
      <c r="U83" s="624"/>
      <c r="V83" s="260" t="str">
        <f t="shared" ca="1" si="159"/>
        <v>Total Reuseable PPE</v>
      </c>
      <c r="W83" s="79" t="e">
        <f t="shared" ref="W83:AB83" ca="1" si="178">W57*AUCs_PPE_perHRH</f>
        <v>#N/A</v>
      </c>
      <c r="X83" s="79" t="e">
        <f t="shared" ca="1" si="178"/>
        <v>#N/A</v>
      </c>
      <c r="Y83" s="79" t="e">
        <f t="shared" ca="1" si="178"/>
        <v>#N/A</v>
      </c>
      <c r="Z83" s="79" t="e">
        <f t="shared" ca="1" si="178"/>
        <v>#N/A</v>
      </c>
      <c r="AA83" s="79" t="e">
        <f t="shared" ca="1" si="178"/>
        <v>#N/A</v>
      </c>
      <c r="AB83" s="79" t="e">
        <f t="shared" ca="1" si="178"/>
        <v>#N/A</v>
      </c>
      <c r="AC83" s="83" t="e">
        <f t="shared" ca="1" si="161"/>
        <v>#N/A</v>
      </c>
      <c r="AF83" s="241"/>
      <c r="AG83" s="625"/>
      <c r="AH83" s="260" t="str">
        <f t="shared" ca="1" si="162"/>
        <v>Total Reuseable PPE</v>
      </c>
      <c r="AI83" s="79" t="e">
        <f t="shared" ref="AI83:AN83" ca="1" si="179">AI57*AUCs_PPE_perHRH</f>
        <v>#N/A</v>
      </c>
      <c r="AJ83" s="79" t="e">
        <f t="shared" ca="1" si="179"/>
        <v>#N/A</v>
      </c>
      <c r="AK83" s="79" t="e">
        <f t="shared" ca="1" si="179"/>
        <v>#N/A</v>
      </c>
      <c r="AL83" s="79" t="e">
        <f t="shared" ca="1" si="179"/>
        <v>#N/A</v>
      </c>
      <c r="AM83" s="79" t="e">
        <f t="shared" ca="1" si="179"/>
        <v>#N/A</v>
      </c>
      <c r="AN83" s="79" t="e">
        <f t="shared" ca="1" si="179"/>
        <v>#N/A</v>
      </c>
      <c r="AO83" s="83" t="e">
        <f t="shared" ca="1" si="164"/>
        <v>#N/A</v>
      </c>
      <c r="AP83" s="241"/>
      <c r="AR83" s="403"/>
      <c r="AS83" s="403"/>
      <c r="AT83" s="403"/>
      <c r="AU83" s="403" t="s">
        <v>14248</v>
      </c>
      <c r="AV83" s="403"/>
      <c r="AW83" s="403"/>
      <c r="AX83" s="403"/>
      <c r="AY83" s="403"/>
      <c r="AZ83" s="403"/>
      <c r="BA83" s="403"/>
      <c r="BB83" s="403"/>
      <c r="BC83" s="403"/>
      <c r="BD83" s="403"/>
      <c r="BE83" s="403"/>
      <c r="BF83" s="403"/>
      <c r="BG83" s="403"/>
      <c r="BH83" s="403"/>
      <c r="BI83" s="403"/>
      <c r="BJ83" s="403"/>
      <c r="BK83" s="403"/>
      <c r="BL83" s="403"/>
      <c r="BM83" s="403"/>
      <c r="BN83" s="403"/>
      <c r="BO83" s="403"/>
      <c r="BP83" s="403"/>
      <c r="BQ83" s="403"/>
      <c r="BR83" s="403"/>
      <c r="BS83" s="403"/>
      <c r="BT83" s="403"/>
      <c r="BU83" s="403"/>
      <c r="BV83" s="403"/>
      <c r="BW83" s="403"/>
      <c r="BX83" s="403"/>
      <c r="BY83" s="403"/>
      <c r="BZ83" s="403"/>
      <c r="CA83" s="403"/>
      <c r="CB83" s="403"/>
      <c r="CC83" s="403" t="s">
        <v>13239</v>
      </c>
      <c r="CD83" s="403"/>
      <c r="CE83" s="403"/>
      <c r="CF83" s="403"/>
      <c r="CG83" s="403"/>
      <c r="CH83" s="403"/>
      <c r="CI83" s="403"/>
      <c r="CJ83" s="403"/>
      <c r="CK83" s="403"/>
      <c r="CL83" s="403"/>
      <c r="CM83" s="403"/>
      <c r="CN83" s="403"/>
      <c r="CO83" s="403"/>
      <c r="CP83" s="403"/>
      <c r="CQ83" s="403"/>
      <c r="CR83" s="403"/>
      <c r="CS83" s="403"/>
      <c r="CT83" s="403"/>
      <c r="CU83" s="403"/>
      <c r="CV83" s="403"/>
      <c r="CW83" s="403"/>
      <c r="CX83" s="403"/>
      <c r="CY83" s="403"/>
      <c r="CZ83" s="403"/>
      <c r="DA83" s="403"/>
      <c r="DB83" s="403"/>
      <c r="DC83" s="403"/>
      <c r="DD83" s="403"/>
      <c r="DE83" s="403"/>
      <c r="DF83" s="403"/>
      <c r="DG83" s="403"/>
      <c r="DH83" s="403"/>
      <c r="DI83" s="403"/>
      <c r="DJ83" s="403"/>
      <c r="DK83" s="403" t="s">
        <v>13240</v>
      </c>
      <c r="DL83" s="403"/>
      <c r="DM83" s="403"/>
      <c r="DN83" s="403"/>
      <c r="DO83" s="403"/>
      <c r="DP83" s="403"/>
      <c r="DQ83" s="403"/>
      <c r="DR83" s="403"/>
      <c r="DS83" s="403"/>
      <c r="DT83" s="403"/>
      <c r="DU83" s="403"/>
      <c r="DV83" s="403"/>
      <c r="DW83" s="403"/>
      <c r="DX83" s="403"/>
      <c r="DY83" s="403"/>
      <c r="DZ83" s="403"/>
      <c r="EA83" s="403"/>
      <c r="EB83" s="403"/>
      <c r="EC83" s="403"/>
      <c r="ED83" s="403"/>
      <c r="EE83" s="403"/>
      <c r="EF83" s="403"/>
      <c r="EG83" s="403"/>
      <c r="EH83" s="403"/>
      <c r="EI83" s="403"/>
      <c r="EJ83" s="403"/>
      <c r="EK83" s="403"/>
      <c r="EL83" s="403"/>
      <c r="EM83" s="403"/>
      <c r="EN83" s="403"/>
      <c r="EO83" s="403"/>
      <c r="EP83" s="403"/>
      <c r="EQ83" s="403"/>
      <c r="ER83" s="403"/>
      <c r="ES83" s="403" t="s">
        <v>13241</v>
      </c>
      <c r="ET83" s="403"/>
      <c r="EU83" s="403"/>
      <c r="EV83" s="403"/>
      <c r="EW83" s="403"/>
      <c r="EX83" s="403"/>
      <c r="EY83" s="403"/>
      <c r="EZ83" s="403"/>
      <c r="FA83" s="403"/>
      <c r="FB83" s="403"/>
      <c r="FC83" s="403"/>
      <c r="FD83" s="403"/>
      <c r="FE83" s="403"/>
      <c r="FF83" s="403"/>
      <c r="FG83" s="403"/>
      <c r="FH83" s="403"/>
      <c r="FI83" s="403"/>
      <c r="FJ83" s="403"/>
      <c r="FK83" s="403"/>
      <c r="FL83" s="403"/>
      <c r="FM83" s="403"/>
      <c r="FN83" s="403"/>
      <c r="FO83" s="403"/>
      <c r="FP83" s="403"/>
      <c r="FQ83" s="403"/>
      <c r="FR83" s="403"/>
      <c r="FS83" s="403"/>
      <c r="FT83" s="403"/>
      <c r="FU83" s="403"/>
      <c r="FV83" s="403"/>
      <c r="FW83" s="403"/>
      <c r="FX83" s="403"/>
      <c r="FY83" s="403"/>
      <c r="FZ83" s="403"/>
      <c r="GA83" s="403" t="s">
        <v>13242</v>
      </c>
      <c r="GB83" s="403"/>
      <c r="GC83" s="403"/>
      <c r="GD83" s="403"/>
      <c r="GE83" s="403"/>
      <c r="GF83" s="403"/>
      <c r="GG83" s="403"/>
      <c r="GH83" s="403"/>
      <c r="GI83" s="403"/>
      <c r="GJ83" s="403"/>
      <c r="GK83" s="403"/>
      <c r="GL83" s="403"/>
      <c r="GM83" s="403"/>
      <c r="GN83" s="403"/>
      <c r="GO83" s="403"/>
      <c r="GP83" s="403"/>
      <c r="GQ83" s="403"/>
      <c r="GR83" s="403"/>
      <c r="GS83" s="403"/>
      <c r="GT83" s="403"/>
      <c r="GU83" s="403"/>
      <c r="GV83" s="403"/>
      <c r="GW83" s="403"/>
      <c r="GX83" s="403"/>
      <c r="GY83" s="403"/>
      <c r="GZ83" s="403"/>
      <c r="HA83" s="403"/>
      <c r="HB83" s="403"/>
      <c r="HC83" s="403"/>
      <c r="HD83" s="403"/>
      <c r="HE83" s="403"/>
      <c r="HF83" s="403"/>
      <c r="HG83" s="403"/>
      <c r="HH83" s="403"/>
      <c r="HI83" s="403" t="s">
        <v>13243</v>
      </c>
      <c r="HJ83" s="403"/>
      <c r="HK83" s="403"/>
      <c r="HL83" s="403"/>
      <c r="HM83" s="403"/>
      <c r="HN83" s="403"/>
      <c r="HO83" s="403"/>
      <c r="HP83" s="403"/>
      <c r="HQ83" s="403"/>
      <c r="HR83" s="403"/>
      <c r="HS83" s="403"/>
      <c r="HT83" s="403"/>
      <c r="HU83" s="403"/>
      <c r="HV83" s="403"/>
      <c r="HW83" s="403"/>
      <c r="HX83" s="403"/>
      <c r="HY83" s="403"/>
      <c r="HZ83" s="403"/>
      <c r="IA83" s="403"/>
      <c r="IB83" s="403"/>
      <c r="IC83" s="403"/>
      <c r="ID83" s="403"/>
      <c r="IE83" s="403"/>
      <c r="IF83" s="403"/>
      <c r="IG83" s="403"/>
      <c r="IH83" s="403"/>
      <c r="II83" s="403"/>
      <c r="IJ83" s="403"/>
      <c r="IK83" s="403"/>
      <c r="IL83" s="403"/>
      <c r="IM83" s="403"/>
      <c r="IN83" s="403"/>
      <c r="IO83" s="403"/>
      <c r="IP83" s="403"/>
      <c r="IQ83" s="403" t="s">
        <v>13244</v>
      </c>
      <c r="IR83" s="403"/>
      <c r="IS83" s="403"/>
      <c r="IT83" s="403"/>
      <c r="IU83" s="403"/>
      <c r="IV83" s="403"/>
      <c r="IW83" s="403"/>
      <c r="IX83" s="403"/>
      <c r="IY83" s="403"/>
      <c r="IZ83" s="403"/>
      <c r="JA83" s="403"/>
      <c r="JB83" s="403"/>
      <c r="JC83" s="403"/>
      <c r="JD83" s="403"/>
      <c r="JE83" s="403"/>
      <c r="JF83" s="403"/>
      <c r="JG83" s="403"/>
      <c r="JH83" s="403"/>
      <c r="JI83" s="403"/>
      <c r="JJ83" s="403"/>
      <c r="JK83" s="403"/>
      <c r="JL83" s="403"/>
      <c r="JM83" s="403"/>
      <c r="JN83" s="403"/>
      <c r="JO83" s="403"/>
      <c r="JP83" s="403"/>
      <c r="JQ83" s="403"/>
      <c r="JR83" s="403"/>
      <c r="JS83" s="403"/>
      <c r="JT83" s="403"/>
    </row>
    <row r="84" spans="1:280" s="15" customFormat="1" ht="12.75" x14ac:dyDescent="0.2">
      <c r="A84" s="85"/>
      <c r="B84" s="625"/>
      <c r="C84" s="66" t="str">
        <f ca="1">IF(OFFSET(AU84,0,Lang_Order*Lang__B5)="","",OFFSET(AU84,0,Lang_Order*Lang__B5))</f>
        <v>Total Daily Use PPE</v>
      </c>
      <c r="J84" s="79" t="e">
        <f t="shared" ref="J84:O84" ca="1" si="180">J59*AUCs_PPE_perHRHperDay</f>
        <v>#N/A</v>
      </c>
      <c r="K84" s="79" t="e">
        <f t="shared" ca="1" si="180"/>
        <v>#N/A</v>
      </c>
      <c r="L84" s="79" t="e">
        <f t="shared" ca="1" si="180"/>
        <v>#N/A</v>
      </c>
      <c r="M84" s="79" t="e">
        <f t="shared" ca="1" si="180"/>
        <v>#N/A</v>
      </c>
      <c r="N84" s="79" t="e">
        <f t="shared" ca="1" si="180"/>
        <v>#N/A</v>
      </c>
      <c r="O84" s="79" t="e">
        <f t="shared" ca="1" si="180"/>
        <v>#N/A</v>
      </c>
      <c r="P84" s="83" t="e">
        <f t="shared" ca="1" si="158"/>
        <v>#N/A</v>
      </c>
      <c r="Q84" s="83"/>
      <c r="R84" s="12" t="str">
        <f t="shared" ca="1" si="94"/>
        <v/>
      </c>
      <c r="S84" s="241"/>
      <c r="T84" s="241"/>
      <c r="U84" s="624"/>
      <c r="V84" s="72" t="str">
        <f t="shared" ca="1" si="159"/>
        <v>Total Daily Use PPE</v>
      </c>
      <c r="W84" s="79" t="e">
        <f t="shared" ref="W84:AB84" ca="1" si="181">W59*AUCs_PPE_perHRHperDay</f>
        <v>#N/A</v>
      </c>
      <c r="X84" s="79" t="e">
        <f t="shared" ca="1" si="181"/>
        <v>#N/A</v>
      </c>
      <c r="Y84" s="79" t="e">
        <f t="shared" ca="1" si="181"/>
        <v>#N/A</v>
      </c>
      <c r="Z84" s="79" t="e">
        <f t="shared" ca="1" si="181"/>
        <v>#N/A</v>
      </c>
      <c r="AA84" s="79" t="e">
        <f t="shared" ca="1" si="181"/>
        <v>#N/A</v>
      </c>
      <c r="AB84" s="79" t="e">
        <f t="shared" ca="1" si="181"/>
        <v>#N/A</v>
      </c>
      <c r="AC84" s="83" t="e">
        <f t="shared" ca="1" si="161"/>
        <v>#N/A</v>
      </c>
      <c r="AF84" s="241"/>
      <c r="AG84" s="625"/>
      <c r="AH84" s="72" t="str">
        <f t="shared" ca="1" si="162"/>
        <v>Total Daily Use PPE</v>
      </c>
      <c r="AI84" s="79" t="e">
        <f t="shared" ref="AI84:AN84" ca="1" si="182">AI59*AUCs_PPE_perHRHperDay</f>
        <v>#N/A</v>
      </c>
      <c r="AJ84" s="79" t="e">
        <f t="shared" ca="1" si="182"/>
        <v>#N/A</v>
      </c>
      <c r="AK84" s="79" t="e">
        <f t="shared" ca="1" si="182"/>
        <v>#N/A</v>
      </c>
      <c r="AL84" s="79" t="e">
        <f t="shared" ca="1" si="182"/>
        <v>#N/A</v>
      </c>
      <c r="AM84" s="79" t="e">
        <f t="shared" ca="1" si="182"/>
        <v>#N/A</v>
      </c>
      <c r="AN84" s="79" t="e">
        <f t="shared" ca="1" si="182"/>
        <v>#N/A</v>
      </c>
      <c r="AO84" s="83" t="e">
        <f t="shared" ca="1" si="164"/>
        <v>#N/A</v>
      </c>
      <c r="AP84" s="241"/>
      <c r="AR84" s="403"/>
      <c r="AS84" s="403"/>
      <c r="AT84" s="403"/>
      <c r="AU84" s="403" t="s">
        <v>14249</v>
      </c>
      <c r="AV84" s="403"/>
      <c r="AW84" s="403"/>
      <c r="AX84" s="403"/>
      <c r="AY84" s="403"/>
      <c r="AZ84" s="403"/>
      <c r="BA84" s="403"/>
      <c r="BB84" s="403"/>
      <c r="BC84" s="403"/>
      <c r="BD84" s="403"/>
      <c r="BE84" s="403"/>
      <c r="BF84" s="403"/>
      <c r="BG84" s="403"/>
      <c r="BH84" s="403"/>
      <c r="BI84" s="403"/>
      <c r="BJ84" s="403"/>
      <c r="BK84" s="403"/>
      <c r="BL84" s="403"/>
      <c r="BM84" s="403"/>
      <c r="BN84" s="403"/>
      <c r="BO84" s="403"/>
      <c r="BP84" s="403"/>
      <c r="BQ84" s="403"/>
      <c r="BR84" s="403"/>
      <c r="BS84" s="403"/>
      <c r="BT84" s="403"/>
      <c r="BU84" s="403"/>
      <c r="BV84" s="403"/>
      <c r="BW84" s="403"/>
      <c r="BX84" s="403"/>
      <c r="BY84" s="403"/>
      <c r="BZ84" s="403"/>
      <c r="CA84" s="403"/>
      <c r="CB84" s="403"/>
      <c r="CC84" s="403" t="s">
        <v>13245</v>
      </c>
      <c r="CD84" s="403"/>
      <c r="CE84" s="403"/>
      <c r="CF84" s="403"/>
      <c r="CG84" s="403"/>
      <c r="CH84" s="403"/>
      <c r="CI84" s="403"/>
      <c r="CJ84" s="403"/>
      <c r="CK84" s="403"/>
      <c r="CL84" s="403"/>
      <c r="CM84" s="403"/>
      <c r="CN84" s="403"/>
      <c r="CO84" s="403"/>
      <c r="CP84" s="403"/>
      <c r="CQ84" s="403"/>
      <c r="CR84" s="403"/>
      <c r="CS84" s="403"/>
      <c r="CT84" s="403"/>
      <c r="CU84" s="403"/>
      <c r="CV84" s="403"/>
      <c r="CW84" s="403"/>
      <c r="CX84" s="403"/>
      <c r="CY84" s="403"/>
      <c r="CZ84" s="403"/>
      <c r="DA84" s="403"/>
      <c r="DB84" s="403"/>
      <c r="DC84" s="403"/>
      <c r="DD84" s="403"/>
      <c r="DE84" s="403"/>
      <c r="DF84" s="403"/>
      <c r="DG84" s="403"/>
      <c r="DH84" s="403"/>
      <c r="DI84" s="403"/>
      <c r="DJ84" s="403"/>
      <c r="DK84" s="403" t="s">
        <v>13246</v>
      </c>
      <c r="DL84" s="403"/>
      <c r="DM84" s="403"/>
      <c r="DN84" s="403"/>
      <c r="DO84" s="403"/>
      <c r="DP84" s="403"/>
      <c r="DQ84" s="403"/>
      <c r="DR84" s="403"/>
      <c r="DS84" s="403"/>
      <c r="DT84" s="403"/>
      <c r="DU84" s="403"/>
      <c r="DV84" s="403"/>
      <c r="DW84" s="403"/>
      <c r="DX84" s="403"/>
      <c r="DY84" s="403"/>
      <c r="DZ84" s="403"/>
      <c r="EA84" s="403"/>
      <c r="EB84" s="403"/>
      <c r="EC84" s="403"/>
      <c r="ED84" s="403"/>
      <c r="EE84" s="403"/>
      <c r="EF84" s="403"/>
      <c r="EG84" s="403"/>
      <c r="EH84" s="403"/>
      <c r="EI84" s="403"/>
      <c r="EJ84" s="403"/>
      <c r="EK84" s="403"/>
      <c r="EL84" s="403"/>
      <c r="EM84" s="403"/>
      <c r="EN84" s="403"/>
      <c r="EO84" s="403"/>
      <c r="EP84" s="403"/>
      <c r="EQ84" s="403"/>
      <c r="ER84" s="403"/>
      <c r="ES84" s="403" t="s">
        <v>13247</v>
      </c>
      <c r="ET84" s="403"/>
      <c r="EU84" s="403"/>
      <c r="EV84" s="403"/>
      <c r="EW84" s="403"/>
      <c r="EX84" s="403"/>
      <c r="EY84" s="403"/>
      <c r="EZ84" s="403"/>
      <c r="FA84" s="403"/>
      <c r="FB84" s="403"/>
      <c r="FC84" s="403"/>
      <c r="FD84" s="403"/>
      <c r="FE84" s="403"/>
      <c r="FF84" s="403"/>
      <c r="FG84" s="403"/>
      <c r="FH84" s="403"/>
      <c r="FI84" s="403"/>
      <c r="FJ84" s="403"/>
      <c r="FK84" s="403"/>
      <c r="FL84" s="403"/>
      <c r="FM84" s="403"/>
      <c r="FN84" s="403"/>
      <c r="FO84" s="403"/>
      <c r="FP84" s="403"/>
      <c r="FQ84" s="403"/>
      <c r="FR84" s="403"/>
      <c r="FS84" s="403"/>
      <c r="FT84" s="403"/>
      <c r="FU84" s="403"/>
      <c r="FV84" s="403"/>
      <c r="FW84" s="403"/>
      <c r="FX84" s="403"/>
      <c r="FY84" s="403"/>
      <c r="FZ84" s="403"/>
      <c r="GA84" s="403" t="s">
        <v>13248</v>
      </c>
      <c r="GB84" s="403"/>
      <c r="GC84" s="403"/>
      <c r="GD84" s="403"/>
      <c r="GE84" s="403"/>
      <c r="GF84" s="403"/>
      <c r="GG84" s="403"/>
      <c r="GH84" s="403"/>
      <c r="GI84" s="403"/>
      <c r="GJ84" s="403"/>
      <c r="GK84" s="403"/>
      <c r="GL84" s="403"/>
      <c r="GM84" s="403"/>
      <c r="GN84" s="403"/>
      <c r="GO84" s="403"/>
      <c r="GP84" s="403"/>
      <c r="GQ84" s="403"/>
      <c r="GR84" s="403"/>
      <c r="GS84" s="403"/>
      <c r="GT84" s="403"/>
      <c r="GU84" s="403"/>
      <c r="GV84" s="403"/>
      <c r="GW84" s="403"/>
      <c r="GX84" s="403"/>
      <c r="GY84" s="403"/>
      <c r="GZ84" s="403"/>
      <c r="HA84" s="403"/>
      <c r="HB84" s="403"/>
      <c r="HC84" s="403"/>
      <c r="HD84" s="403"/>
      <c r="HE84" s="403"/>
      <c r="HF84" s="403"/>
      <c r="HG84" s="403"/>
      <c r="HH84" s="403"/>
      <c r="HI84" s="403" t="s">
        <v>13249</v>
      </c>
      <c r="HJ84" s="403"/>
      <c r="HK84" s="403"/>
      <c r="HL84" s="403"/>
      <c r="HM84" s="403"/>
      <c r="HN84" s="403"/>
      <c r="HO84" s="403"/>
      <c r="HP84" s="403"/>
      <c r="HQ84" s="403"/>
      <c r="HR84" s="403"/>
      <c r="HS84" s="403"/>
      <c r="HT84" s="403"/>
      <c r="HU84" s="403"/>
      <c r="HV84" s="403"/>
      <c r="HW84" s="403"/>
      <c r="HX84" s="403"/>
      <c r="HY84" s="403"/>
      <c r="HZ84" s="403"/>
      <c r="IA84" s="403"/>
      <c r="IB84" s="403"/>
      <c r="IC84" s="403"/>
      <c r="ID84" s="403"/>
      <c r="IE84" s="403"/>
      <c r="IF84" s="403"/>
      <c r="IG84" s="403"/>
      <c r="IH84" s="403"/>
      <c r="II84" s="403"/>
      <c r="IJ84" s="403"/>
      <c r="IK84" s="403"/>
      <c r="IL84" s="403"/>
      <c r="IM84" s="403"/>
      <c r="IN84" s="403"/>
      <c r="IO84" s="403"/>
      <c r="IP84" s="403"/>
      <c r="IQ84" s="403" t="s">
        <v>13250</v>
      </c>
      <c r="IR84" s="403"/>
      <c r="IS84" s="403"/>
      <c r="IT84" s="403"/>
      <c r="IU84" s="403"/>
      <c r="IV84" s="403"/>
      <c r="IW84" s="403"/>
      <c r="IX84" s="403"/>
      <c r="IY84" s="403"/>
      <c r="IZ84" s="403"/>
      <c r="JA84" s="403"/>
      <c r="JB84" s="403"/>
      <c r="JC84" s="403"/>
      <c r="JD84" s="403"/>
      <c r="JE84" s="403"/>
      <c r="JF84" s="403"/>
      <c r="JG84" s="403"/>
      <c r="JH84" s="403"/>
      <c r="JI84" s="403"/>
      <c r="JJ84" s="403"/>
      <c r="JK84" s="403"/>
      <c r="JL84" s="403"/>
      <c r="JM84" s="403"/>
      <c r="JN84" s="403"/>
      <c r="JO84" s="403"/>
      <c r="JP84" s="403"/>
      <c r="JQ84" s="403"/>
      <c r="JR84" s="403"/>
      <c r="JS84" s="403"/>
      <c r="JT84" s="403"/>
    </row>
    <row r="85" spans="1:280" s="15" customFormat="1" ht="13.5" thickBot="1" x14ac:dyDescent="0.25">
      <c r="B85" s="622"/>
      <c r="C85" s="21"/>
      <c r="D85" s="20"/>
      <c r="E85" s="20"/>
      <c r="F85" s="20"/>
      <c r="G85" s="20"/>
      <c r="H85" s="20"/>
      <c r="I85" s="20"/>
      <c r="J85" s="84" t="e">
        <f>SUM(J73:J84)</f>
        <v>#DIV/0!</v>
      </c>
      <c r="K85" s="84" t="e">
        <f t="shared" ref="K85:P85" si="183">SUM(K73:K84)</f>
        <v>#DIV/0!</v>
      </c>
      <c r="L85" s="84" t="e">
        <f t="shared" si="183"/>
        <v>#DIV/0!</v>
      </c>
      <c r="M85" s="84" t="e">
        <f t="shared" si="183"/>
        <v>#DIV/0!</v>
      </c>
      <c r="N85" s="84" t="e">
        <f t="shared" si="183"/>
        <v>#DIV/0!</v>
      </c>
      <c r="O85" s="84" t="e">
        <f t="shared" si="183"/>
        <v>#DIV/0!</v>
      </c>
      <c r="P85" s="84" t="e">
        <f t="shared" si="183"/>
        <v>#DIV/0!</v>
      </c>
      <c r="Q85" s="84"/>
      <c r="R85" s="16"/>
      <c r="S85" s="241"/>
      <c r="T85" s="241"/>
      <c r="U85" s="622"/>
      <c r="V85" s="21"/>
      <c r="W85" s="84" t="e">
        <f t="shared" ref="W85" si="184">SUM(W73:W84)</f>
        <v>#DIV/0!</v>
      </c>
      <c r="X85" s="84" t="e">
        <f t="shared" ref="X85" si="185">SUM(X73:X84)</f>
        <v>#DIV/0!</v>
      </c>
      <c r="Y85" s="84" t="e">
        <f t="shared" ref="Y85" si="186">SUM(Y73:Y84)</f>
        <v>#DIV/0!</v>
      </c>
      <c r="Z85" s="84" t="e">
        <f t="shared" ref="Z85" si="187">SUM(Z73:Z84)</f>
        <v>#DIV/0!</v>
      </c>
      <c r="AA85" s="84" t="e">
        <f t="shared" ref="AA85" si="188">SUM(AA73:AA84)</f>
        <v>#DIV/0!</v>
      </c>
      <c r="AB85" s="84" t="e">
        <f t="shared" ref="AB85" si="189">SUM(AB73:AB84)</f>
        <v>#DIV/0!</v>
      </c>
      <c r="AC85" s="84" t="e">
        <f t="shared" ref="AC85" si="190">SUM(AC73:AC84)</f>
        <v>#DIV/0!</v>
      </c>
      <c r="AD85" s="20"/>
      <c r="AF85" s="241"/>
      <c r="AG85" s="622"/>
      <c r="AH85" s="21"/>
      <c r="AI85" s="84" t="e">
        <f>SUM(AI73:AI84)</f>
        <v>#DIV/0!</v>
      </c>
      <c r="AJ85" s="84" t="e">
        <f t="shared" ref="AJ85:AO85" si="191">SUM(AJ73:AJ84)</f>
        <v>#DIV/0!</v>
      </c>
      <c r="AK85" s="84" t="e">
        <f t="shared" si="191"/>
        <v>#DIV/0!</v>
      </c>
      <c r="AL85" s="84" t="e">
        <f t="shared" si="191"/>
        <v>#DIV/0!</v>
      </c>
      <c r="AM85" s="84" t="e">
        <f t="shared" si="191"/>
        <v>#DIV/0!</v>
      </c>
      <c r="AN85" s="84" t="e">
        <f t="shared" si="191"/>
        <v>#DIV/0!</v>
      </c>
      <c r="AO85" s="84" t="e">
        <f t="shared" si="191"/>
        <v>#DIV/0!</v>
      </c>
      <c r="AP85" s="20"/>
      <c r="AR85" s="403"/>
      <c r="AS85" s="403"/>
      <c r="AT85" s="403"/>
      <c r="AU85" s="403"/>
      <c r="AV85" s="403"/>
      <c r="AW85" s="403"/>
      <c r="AX85" s="403"/>
      <c r="AY85" s="403"/>
      <c r="AZ85" s="403"/>
      <c r="BA85" s="403"/>
      <c r="BB85" s="403"/>
      <c r="BC85" s="403"/>
      <c r="BD85" s="403"/>
      <c r="BE85" s="403"/>
      <c r="BF85" s="403"/>
      <c r="BG85" s="403"/>
      <c r="BH85" s="403"/>
      <c r="BI85" s="403"/>
      <c r="BJ85" s="403"/>
      <c r="BK85" s="403"/>
      <c r="BL85" s="403"/>
      <c r="BM85" s="403"/>
      <c r="BN85" s="403"/>
      <c r="BO85" s="403"/>
      <c r="BP85" s="403"/>
      <c r="BQ85" s="403"/>
      <c r="BR85" s="403"/>
      <c r="BS85" s="403"/>
      <c r="BT85" s="403"/>
      <c r="BU85" s="403"/>
      <c r="BV85" s="403"/>
      <c r="BW85" s="403"/>
      <c r="BX85" s="403"/>
      <c r="BY85" s="403"/>
      <c r="BZ85" s="403"/>
      <c r="CA85" s="403"/>
      <c r="CB85" s="403"/>
      <c r="CC85" s="403"/>
      <c r="CD85" s="403"/>
      <c r="CE85" s="403"/>
      <c r="CF85" s="403"/>
      <c r="CG85" s="403"/>
      <c r="CH85" s="403"/>
      <c r="CI85" s="403"/>
      <c r="CJ85" s="403"/>
      <c r="CK85" s="403"/>
      <c r="CL85" s="403"/>
      <c r="CM85" s="403"/>
      <c r="CN85" s="403"/>
      <c r="CO85" s="403"/>
      <c r="CP85" s="403"/>
      <c r="CQ85" s="403"/>
      <c r="CR85" s="403"/>
      <c r="CS85" s="403"/>
      <c r="CT85" s="403"/>
      <c r="CU85" s="403"/>
      <c r="CV85" s="403"/>
      <c r="CW85" s="403"/>
      <c r="CX85" s="403"/>
      <c r="CY85" s="403"/>
      <c r="CZ85" s="403"/>
      <c r="DA85" s="403"/>
      <c r="DB85" s="403"/>
      <c r="DC85" s="403"/>
      <c r="DD85" s="403"/>
      <c r="DE85" s="403"/>
      <c r="DF85" s="403"/>
      <c r="DG85" s="403"/>
      <c r="DH85" s="403"/>
      <c r="DI85" s="403"/>
      <c r="DJ85" s="403"/>
      <c r="DK85" s="403"/>
      <c r="DL85" s="403"/>
      <c r="DM85" s="403"/>
      <c r="DN85" s="403"/>
      <c r="DO85" s="403"/>
      <c r="DP85" s="403"/>
      <c r="DQ85" s="403"/>
      <c r="DR85" s="403"/>
      <c r="DS85" s="403"/>
      <c r="DT85" s="403"/>
      <c r="DU85" s="403"/>
      <c r="DV85" s="403"/>
      <c r="DW85" s="403"/>
      <c r="DX85" s="403"/>
      <c r="DY85" s="403"/>
      <c r="DZ85" s="403"/>
      <c r="EA85" s="403"/>
      <c r="EB85" s="403"/>
      <c r="EC85" s="403"/>
      <c r="ED85" s="403"/>
      <c r="EE85" s="403"/>
      <c r="EF85" s="403"/>
      <c r="EG85" s="403"/>
      <c r="EH85" s="403"/>
      <c r="EI85" s="403"/>
      <c r="EJ85" s="403"/>
      <c r="EK85" s="403"/>
      <c r="EL85" s="403"/>
      <c r="EM85" s="403"/>
      <c r="EN85" s="403"/>
      <c r="EO85" s="403"/>
      <c r="EP85" s="403"/>
      <c r="EQ85" s="403"/>
      <c r="ER85" s="403"/>
      <c r="ES85" s="403"/>
      <c r="ET85" s="403"/>
      <c r="EU85" s="403"/>
      <c r="EV85" s="403"/>
      <c r="EW85" s="403"/>
      <c r="EX85" s="403"/>
      <c r="EY85" s="403"/>
      <c r="EZ85" s="403"/>
      <c r="FA85" s="403"/>
      <c r="FB85" s="403"/>
      <c r="FC85" s="403"/>
      <c r="FD85" s="403"/>
      <c r="FE85" s="403"/>
      <c r="FF85" s="403"/>
      <c r="FG85" s="403"/>
      <c r="FH85" s="403"/>
      <c r="FI85" s="403"/>
      <c r="FJ85" s="403"/>
      <c r="FK85" s="403"/>
      <c r="FL85" s="403"/>
      <c r="FM85" s="403"/>
      <c r="FN85" s="403"/>
      <c r="FO85" s="403"/>
      <c r="FP85" s="403"/>
      <c r="FQ85" s="403"/>
      <c r="FR85" s="403"/>
      <c r="FS85" s="403"/>
      <c r="FT85" s="403"/>
      <c r="FU85" s="403"/>
      <c r="FV85" s="403"/>
      <c r="FW85" s="403"/>
      <c r="FX85" s="403"/>
      <c r="FY85" s="403"/>
      <c r="FZ85" s="403"/>
      <c r="GA85" s="403"/>
      <c r="GB85" s="403"/>
      <c r="GC85" s="403"/>
      <c r="GD85" s="403"/>
      <c r="GE85" s="403"/>
      <c r="GF85" s="403"/>
      <c r="GG85" s="403"/>
      <c r="GH85" s="403"/>
      <c r="GI85" s="403"/>
      <c r="GJ85" s="403"/>
      <c r="GK85" s="403"/>
      <c r="GL85" s="403"/>
      <c r="GM85" s="403"/>
      <c r="GN85" s="403"/>
      <c r="GO85" s="403"/>
      <c r="GP85" s="403"/>
      <c r="GQ85" s="403"/>
      <c r="GR85" s="403"/>
      <c r="GS85" s="403"/>
      <c r="GT85" s="403"/>
      <c r="GU85" s="403"/>
      <c r="GV85" s="403"/>
      <c r="GW85" s="403"/>
      <c r="GX85" s="403"/>
      <c r="GY85" s="403"/>
      <c r="GZ85" s="403"/>
      <c r="HA85" s="403"/>
      <c r="HB85" s="403"/>
      <c r="HC85" s="403"/>
      <c r="HD85" s="403"/>
      <c r="HE85" s="403"/>
      <c r="HF85" s="403"/>
      <c r="HG85" s="403"/>
      <c r="HH85" s="403"/>
      <c r="HI85" s="403"/>
      <c r="HJ85" s="403"/>
      <c r="HK85" s="403"/>
      <c r="HL85" s="403"/>
      <c r="HM85" s="403"/>
      <c r="HN85" s="403"/>
      <c r="HO85" s="403"/>
      <c r="HP85" s="403"/>
      <c r="HQ85" s="403"/>
      <c r="HR85" s="403"/>
      <c r="HS85" s="403"/>
      <c r="HT85" s="403"/>
      <c r="HU85" s="403"/>
      <c r="HV85" s="403"/>
      <c r="HW85" s="403"/>
      <c r="HX85" s="403"/>
      <c r="HY85" s="403"/>
      <c r="HZ85" s="403"/>
      <c r="IA85" s="403"/>
      <c r="IB85" s="403"/>
      <c r="IC85" s="403"/>
      <c r="ID85" s="403"/>
      <c r="IE85" s="403"/>
      <c r="IF85" s="403"/>
      <c r="IG85" s="403"/>
      <c r="IH85" s="403"/>
      <c r="II85" s="403"/>
      <c r="IJ85" s="403"/>
      <c r="IK85" s="403"/>
      <c r="IL85" s="403"/>
      <c r="IM85" s="403"/>
      <c r="IN85" s="403"/>
      <c r="IO85" s="403"/>
      <c r="IP85" s="403"/>
      <c r="IQ85" s="403"/>
      <c r="IR85" s="403"/>
      <c r="IS85" s="403"/>
      <c r="IT85" s="403"/>
      <c r="IU85" s="403"/>
      <c r="IV85" s="403"/>
      <c r="IW85" s="403"/>
      <c r="IX85" s="403"/>
      <c r="IY85" s="403"/>
      <c r="IZ85" s="403"/>
      <c r="JA85" s="403"/>
      <c r="JB85" s="403"/>
      <c r="JC85" s="403"/>
      <c r="JD85" s="403"/>
      <c r="JE85" s="403"/>
      <c r="JF85" s="403"/>
      <c r="JG85" s="403"/>
      <c r="JH85" s="403"/>
      <c r="JI85" s="403"/>
      <c r="JJ85" s="403"/>
      <c r="JK85" s="403"/>
      <c r="JL85" s="403"/>
      <c r="JM85" s="403"/>
      <c r="JN85" s="403"/>
      <c r="JO85" s="403"/>
      <c r="JP85" s="403"/>
      <c r="JQ85" s="403"/>
      <c r="JR85" s="403"/>
      <c r="JS85" s="403"/>
      <c r="JT85" s="403"/>
    </row>
    <row r="86" spans="1:280" s="15" customFormat="1" ht="13.5" thickTop="1" x14ac:dyDescent="0.2">
      <c r="B86" s="622"/>
      <c r="C86" s="5"/>
      <c r="J86" s="16"/>
      <c r="K86" s="16"/>
      <c r="L86" s="16"/>
      <c r="M86" s="16"/>
      <c r="N86" s="16"/>
      <c r="O86" s="16"/>
      <c r="P86" s="16"/>
      <c r="Q86" s="16"/>
      <c r="R86" s="16"/>
      <c r="S86" s="241"/>
      <c r="T86" s="241"/>
      <c r="U86" s="622"/>
      <c r="AF86" s="241"/>
      <c r="AG86" s="622"/>
      <c r="AR86" s="403"/>
      <c r="AS86" s="403"/>
      <c r="AT86" s="403"/>
      <c r="AU86" s="403"/>
      <c r="AV86" s="403"/>
      <c r="AW86" s="403"/>
      <c r="AX86" s="403"/>
      <c r="AY86" s="403"/>
      <c r="AZ86" s="403"/>
      <c r="BA86" s="403"/>
      <c r="BB86" s="403"/>
      <c r="BC86" s="403"/>
      <c r="BD86" s="403"/>
      <c r="BE86" s="403"/>
      <c r="BF86" s="403"/>
      <c r="BG86" s="403"/>
      <c r="BH86" s="403"/>
      <c r="BI86" s="403"/>
      <c r="BJ86" s="403"/>
      <c r="BK86" s="403"/>
      <c r="BL86" s="403"/>
      <c r="BM86" s="403"/>
      <c r="BN86" s="403"/>
      <c r="BO86" s="403"/>
      <c r="BP86" s="403"/>
      <c r="BQ86" s="403"/>
      <c r="BR86" s="403"/>
      <c r="BS86" s="403"/>
      <c r="BT86" s="403"/>
      <c r="BU86" s="403"/>
      <c r="BV86" s="403"/>
      <c r="BW86" s="403"/>
      <c r="BX86" s="403"/>
      <c r="BY86" s="403"/>
      <c r="BZ86" s="403"/>
      <c r="CA86" s="403"/>
      <c r="CB86" s="403"/>
      <c r="CC86" s="403"/>
      <c r="CD86" s="403"/>
      <c r="CE86" s="403"/>
      <c r="CF86" s="403"/>
      <c r="CG86" s="403"/>
      <c r="CH86" s="403"/>
      <c r="CI86" s="403"/>
      <c r="CJ86" s="403"/>
      <c r="CK86" s="403"/>
      <c r="CL86" s="403"/>
      <c r="CM86" s="403"/>
      <c r="CN86" s="403"/>
      <c r="CO86" s="403"/>
      <c r="CP86" s="403"/>
      <c r="CQ86" s="403"/>
      <c r="CR86" s="403"/>
      <c r="CS86" s="403"/>
      <c r="CT86" s="403"/>
      <c r="CU86" s="403"/>
      <c r="CV86" s="403"/>
      <c r="CW86" s="403"/>
      <c r="CX86" s="403"/>
      <c r="CY86" s="403"/>
      <c r="CZ86" s="403"/>
      <c r="DA86" s="403"/>
      <c r="DB86" s="403"/>
      <c r="DC86" s="403"/>
      <c r="DD86" s="403"/>
      <c r="DE86" s="403"/>
      <c r="DF86" s="403"/>
      <c r="DG86" s="403"/>
      <c r="DH86" s="403"/>
      <c r="DI86" s="403"/>
      <c r="DJ86" s="403"/>
      <c r="DK86" s="403"/>
      <c r="DL86" s="403"/>
      <c r="DM86" s="403"/>
      <c r="DN86" s="403"/>
      <c r="DO86" s="403"/>
      <c r="DP86" s="403"/>
      <c r="DQ86" s="403"/>
      <c r="DR86" s="403"/>
      <c r="DS86" s="403"/>
      <c r="DT86" s="403"/>
      <c r="DU86" s="403"/>
      <c r="DV86" s="403"/>
      <c r="DW86" s="403"/>
      <c r="DX86" s="403"/>
      <c r="DY86" s="403"/>
      <c r="DZ86" s="403"/>
      <c r="EA86" s="403"/>
      <c r="EB86" s="403"/>
      <c r="EC86" s="403"/>
      <c r="ED86" s="403"/>
      <c r="EE86" s="403"/>
      <c r="EF86" s="403"/>
      <c r="EG86" s="403"/>
      <c r="EH86" s="403"/>
      <c r="EI86" s="403"/>
      <c r="EJ86" s="403"/>
      <c r="EK86" s="403"/>
      <c r="EL86" s="403"/>
      <c r="EM86" s="403"/>
      <c r="EN86" s="403"/>
      <c r="EO86" s="403"/>
      <c r="EP86" s="403"/>
      <c r="EQ86" s="403"/>
      <c r="ER86" s="403"/>
      <c r="ES86" s="403"/>
      <c r="ET86" s="403"/>
      <c r="EU86" s="403"/>
      <c r="EV86" s="403"/>
      <c r="EW86" s="403"/>
      <c r="EX86" s="403"/>
      <c r="EY86" s="403"/>
      <c r="EZ86" s="403"/>
      <c r="FA86" s="403"/>
      <c r="FB86" s="403"/>
      <c r="FC86" s="403"/>
      <c r="FD86" s="403"/>
      <c r="FE86" s="403"/>
      <c r="FF86" s="403"/>
      <c r="FG86" s="403"/>
      <c r="FH86" s="403"/>
      <c r="FI86" s="403"/>
      <c r="FJ86" s="403"/>
      <c r="FK86" s="403"/>
      <c r="FL86" s="403"/>
      <c r="FM86" s="403"/>
      <c r="FN86" s="403"/>
      <c r="FO86" s="403"/>
      <c r="FP86" s="403"/>
      <c r="FQ86" s="403"/>
      <c r="FR86" s="403"/>
      <c r="FS86" s="403"/>
      <c r="FT86" s="403"/>
      <c r="FU86" s="403"/>
      <c r="FV86" s="403"/>
      <c r="FW86" s="403"/>
      <c r="FX86" s="403"/>
      <c r="FY86" s="403"/>
      <c r="FZ86" s="403"/>
      <c r="GA86" s="403"/>
      <c r="GB86" s="403"/>
      <c r="GC86" s="403"/>
      <c r="GD86" s="403"/>
      <c r="GE86" s="403"/>
      <c r="GF86" s="403"/>
      <c r="GG86" s="403"/>
      <c r="GH86" s="403"/>
      <c r="GI86" s="403"/>
      <c r="GJ86" s="403"/>
      <c r="GK86" s="403"/>
      <c r="GL86" s="403"/>
      <c r="GM86" s="403"/>
      <c r="GN86" s="403"/>
      <c r="GO86" s="403"/>
      <c r="GP86" s="403"/>
      <c r="GQ86" s="403"/>
      <c r="GR86" s="403"/>
      <c r="GS86" s="403"/>
      <c r="GT86" s="403"/>
      <c r="GU86" s="403"/>
      <c r="GV86" s="403"/>
      <c r="GW86" s="403"/>
      <c r="GX86" s="403"/>
      <c r="GY86" s="403"/>
      <c r="GZ86" s="403"/>
      <c r="HA86" s="403"/>
      <c r="HB86" s="403"/>
      <c r="HC86" s="403"/>
      <c r="HD86" s="403"/>
      <c r="HE86" s="403"/>
      <c r="HF86" s="403"/>
      <c r="HG86" s="403"/>
      <c r="HH86" s="403"/>
      <c r="HI86" s="403"/>
      <c r="HJ86" s="403"/>
      <c r="HK86" s="403"/>
      <c r="HL86" s="403"/>
      <c r="HM86" s="403"/>
      <c r="HN86" s="403"/>
      <c r="HO86" s="403"/>
      <c r="HP86" s="403"/>
      <c r="HQ86" s="403"/>
      <c r="HR86" s="403"/>
      <c r="HS86" s="403"/>
      <c r="HT86" s="403"/>
      <c r="HU86" s="403"/>
      <c r="HV86" s="403"/>
      <c r="HW86" s="403"/>
      <c r="HX86" s="403"/>
      <c r="HY86" s="403"/>
      <c r="HZ86" s="403"/>
      <c r="IA86" s="403"/>
      <c r="IB86" s="403"/>
      <c r="IC86" s="403"/>
      <c r="ID86" s="403"/>
      <c r="IE86" s="403"/>
      <c r="IF86" s="403"/>
      <c r="IG86" s="403"/>
      <c r="IH86" s="403"/>
      <c r="II86" s="403"/>
      <c r="IJ86" s="403"/>
      <c r="IK86" s="403"/>
      <c r="IL86" s="403"/>
      <c r="IM86" s="403"/>
      <c r="IN86" s="403"/>
      <c r="IO86" s="403"/>
      <c r="IP86" s="403"/>
      <c r="IQ86" s="403"/>
      <c r="IR86" s="403"/>
      <c r="IS86" s="403"/>
      <c r="IT86" s="403"/>
      <c r="IU86" s="403"/>
      <c r="IV86" s="403"/>
      <c r="IW86" s="403"/>
      <c r="IX86" s="403"/>
      <c r="IY86" s="403"/>
      <c r="IZ86" s="403"/>
      <c r="JA86" s="403"/>
      <c r="JB86" s="403"/>
      <c r="JC86" s="403"/>
      <c r="JD86" s="403"/>
      <c r="JE86" s="403"/>
      <c r="JF86" s="403"/>
      <c r="JG86" s="403"/>
      <c r="JH86" s="403"/>
      <c r="JI86" s="403"/>
      <c r="JJ86" s="403"/>
      <c r="JK86" s="403"/>
      <c r="JL86" s="403"/>
      <c r="JM86" s="403"/>
      <c r="JN86" s="403"/>
      <c r="JO86" s="403"/>
      <c r="JP86" s="403"/>
      <c r="JQ86" s="403"/>
      <c r="JR86" s="403"/>
      <c r="JS86" s="403"/>
      <c r="JT86" s="403"/>
    </row>
    <row r="87" spans="1:280" s="2" customFormat="1" ht="17.25" x14ac:dyDescent="0.3">
      <c r="A87" s="17" t="str">
        <f ca="1">IF(OFFSET(AS87,0,Lang_Order*Lang__B5)="","",OFFSET(AS87,0,Lang_Order*Lang__B5))</f>
        <v>B5.3 Delivery Modalities</v>
      </c>
      <c r="B87" s="17"/>
      <c r="C87" s="17"/>
      <c r="D87" s="661" t="str">
        <f t="shared" ref="D87:P87" ca="1" si="192">IF(OFFSET(AV87,0,Lang_Order*Lang__B5)="","",OFFSET(AV87,0,Lang_Order*Lang__B5))</f>
        <v>Vaccine</v>
      </c>
      <c r="E87" s="661" t="str">
        <f t="shared" ca="1" si="192"/>
        <v>Doses per course</v>
      </c>
      <c r="F87" s="661" t="str">
        <f t="shared" ca="1" si="192"/>
        <v>Sites</v>
      </c>
      <c r="G87" s="661" t="str">
        <f t="shared" ca="1" si="192"/>
        <v>Time</v>
      </c>
      <c r="H87" s="661" t="str">
        <f t="shared" ca="1" si="192"/>
        <v>Volume per dose (cm3)</v>
      </c>
      <c r="I87" s="661" t="str">
        <f t="shared" ca="1" si="192"/>
        <v>Days between doses</v>
      </c>
      <c r="J87" s="707" t="str">
        <f t="shared" ca="1" si="192"/>
        <v>How many courses?</v>
      </c>
      <c r="K87" s="707" t="str">
        <f t="shared" ca="1" si="192"/>
        <v/>
      </c>
      <c r="L87" s="707" t="str">
        <f t="shared" ca="1" si="192"/>
        <v/>
      </c>
      <c r="M87" s="707" t="str">
        <f t="shared" ca="1" si="192"/>
        <v/>
      </c>
      <c r="N87" s="707" t="str">
        <f t="shared" ca="1" si="192"/>
        <v/>
      </c>
      <c r="O87" s="707" t="str">
        <f t="shared" ca="1" si="192"/>
        <v/>
      </c>
      <c r="P87" s="661" t="str">
        <f t="shared" ca="1" si="192"/>
        <v>Total</v>
      </c>
      <c r="Q87" s="661"/>
      <c r="R87" s="17"/>
      <c r="T87" s="17" t="str">
        <f ca="1">IF(OFFSET(AS87,0,Lang_Order*Lang__B5)="","",OFFSET(AS87,0,Lang_Order*Lang__B5))</f>
        <v>B5.3 Delivery Modalities</v>
      </c>
      <c r="U87" s="17"/>
      <c r="V87" s="17"/>
      <c r="W87" s="709"/>
      <c r="X87" s="709"/>
      <c r="Y87" s="709"/>
      <c r="Z87" s="709"/>
      <c r="AA87" s="709"/>
      <c r="AB87" s="709"/>
      <c r="AC87" s="17"/>
      <c r="AD87" s="17"/>
      <c r="AF87" s="17"/>
      <c r="AG87" s="17"/>
      <c r="AH87" s="17"/>
      <c r="AI87" s="17"/>
      <c r="AJ87" s="17"/>
      <c r="AK87" s="17"/>
      <c r="AL87" s="17"/>
      <c r="AM87" s="17"/>
      <c r="AN87" s="17"/>
      <c r="AO87" s="17"/>
      <c r="AP87" s="17"/>
      <c r="AR87" s="403"/>
      <c r="AS87" s="403" t="s">
        <v>14275</v>
      </c>
      <c r="AT87" s="403"/>
      <c r="AU87" s="403"/>
      <c r="AV87" s="403" t="s">
        <v>1574</v>
      </c>
      <c r="AW87" s="403" t="s">
        <v>1607</v>
      </c>
      <c r="AX87" s="403" t="s">
        <v>1615</v>
      </c>
      <c r="AY87" s="403" t="s">
        <v>1636</v>
      </c>
      <c r="AZ87" s="403" t="s">
        <v>1642</v>
      </c>
      <c r="BA87" s="403" t="s">
        <v>1643</v>
      </c>
      <c r="BB87" s="403" t="s">
        <v>1606</v>
      </c>
      <c r="BC87" s="403"/>
      <c r="BD87" s="403"/>
      <c r="BE87" s="403"/>
      <c r="BF87" s="403"/>
      <c r="BG87" s="403"/>
      <c r="BH87" s="403" t="s">
        <v>1605</v>
      </c>
      <c r="BI87" s="403"/>
      <c r="BJ87" s="403"/>
      <c r="BK87" s="403"/>
      <c r="BL87" s="403"/>
      <c r="BM87" s="403"/>
      <c r="BN87" s="403"/>
      <c r="BO87" s="403"/>
      <c r="BP87" s="403"/>
      <c r="BQ87" s="403"/>
      <c r="BR87" s="403"/>
      <c r="BS87" s="403"/>
      <c r="BT87" s="403"/>
      <c r="BU87" s="403"/>
      <c r="BV87" s="403"/>
      <c r="BW87" s="403"/>
      <c r="BX87" s="403"/>
      <c r="BY87" s="403"/>
      <c r="BZ87" s="403"/>
      <c r="CA87" s="403" t="s">
        <v>14327</v>
      </c>
      <c r="CB87" s="403"/>
      <c r="CC87" s="403"/>
      <c r="CD87" s="403" t="s">
        <v>10216</v>
      </c>
      <c r="CE87" s="403" t="s">
        <v>5731</v>
      </c>
      <c r="CF87" s="403" t="s">
        <v>1615</v>
      </c>
      <c r="CG87" s="403" t="s">
        <v>11795</v>
      </c>
      <c r="CH87" s="403" t="s">
        <v>11796</v>
      </c>
      <c r="CI87" s="403" t="s">
        <v>11797</v>
      </c>
      <c r="CJ87" s="403" t="s">
        <v>11798</v>
      </c>
      <c r="CK87" s="403"/>
      <c r="CL87" s="403"/>
      <c r="CM87" s="403"/>
      <c r="CN87" s="403"/>
      <c r="CO87" s="403"/>
      <c r="CP87" s="403" t="s">
        <v>1605</v>
      </c>
      <c r="CQ87" s="403"/>
      <c r="CR87" s="403"/>
      <c r="CS87" s="403"/>
      <c r="CT87" s="403"/>
      <c r="CU87" s="403"/>
      <c r="CV87" s="403"/>
      <c r="CW87" s="403"/>
      <c r="CX87" s="403"/>
      <c r="CY87" s="403"/>
      <c r="CZ87" s="403"/>
      <c r="DA87" s="403"/>
      <c r="DB87" s="403"/>
      <c r="DC87" s="403"/>
      <c r="DD87" s="403"/>
      <c r="DE87" s="403"/>
      <c r="DF87" s="403"/>
      <c r="DG87" s="403"/>
      <c r="DH87" s="403"/>
      <c r="DI87" s="403" t="s">
        <v>14328</v>
      </c>
      <c r="DJ87" s="403"/>
      <c r="DK87" s="403"/>
      <c r="DL87" s="403" t="s">
        <v>10224</v>
      </c>
      <c r="DM87" s="403" t="s">
        <v>11799</v>
      </c>
      <c r="DN87" s="403" t="s">
        <v>11800</v>
      </c>
      <c r="DO87" s="403" t="s">
        <v>11801</v>
      </c>
      <c r="DP87" s="403" t="s">
        <v>11802</v>
      </c>
      <c r="DQ87" s="403" t="s">
        <v>11803</v>
      </c>
      <c r="DR87" s="403" t="s">
        <v>11804</v>
      </c>
      <c r="DS87" s="403"/>
      <c r="DT87" s="403"/>
      <c r="DU87" s="403"/>
      <c r="DV87" s="403"/>
      <c r="DW87" s="403"/>
      <c r="DX87" s="403" t="s">
        <v>4676</v>
      </c>
      <c r="DY87" s="403"/>
      <c r="DZ87" s="403"/>
      <c r="EA87" s="403"/>
      <c r="EB87" s="403" t="s">
        <v>2642</v>
      </c>
      <c r="EC87" s="403"/>
      <c r="ED87" s="403"/>
      <c r="EE87" s="403"/>
      <c r="EF87" s="403"/>
      <c r="EG87" s="403"/>
      <c r="EH87" s="403"/>
      <c r="EI87" s="403"/>
      <c r="EJ87" s="403"/>
      <c r="EK87" s="403"/>
      <c r="EL87" s="403"/>
      <c r="EM87" s="403"/>
      <c r="EN87" s="403"/>
      <c r="EO87" s="403"/>
      <c r="EP87" s="403"/>
      <c r="EQ87" s="403" t="s">
        <v>14329</v>
      </c>
      <c r="ER87" s="403"/>
      <c r="ES87" s="403"/>
      <c r="ET87" s="403" t="s">
        <v>10233</v>
      </c>
      <c r="EU87" s="403" t="s">
        <v>10022</v>
      </c>
      <c r="EV87" s="403" t="s">
        <v>11805</v>
      </c>
      <c r="EW87" s="403" t="s">
        <v>11806</v>
      </c>
      <c r="EX87" s="403" t="s">
        <v>11807</v>
      </c>
      <c r="EY87" s="403" t="s">
        <v>11808</v>
      </c>
      <c r="EZ87" s="403" t="s">
        <v>11809</v>
      </c>
      <c r="FA87" s="403"/>
      <c r="FB87" s="403"/>
      <c r="FC87" s="403"/>
      <c r="FD87" s="403"/>
      <c r="FE87" s="403"/>
      <c r="FF87" s="403" t="s">
        <v>1605</v>
      </c>
      <c r="FG87" s="403"/>
      <c r="FH87" s="403"/>
      <c r="FI87" s="403"/>
      <c r="FJ87" s="403"/>
      <c r="FK87" s="403"/>
      <c r="FL87" s="403"/>
      <c r="FM87" s="403"/>
      <c r="FN87" s="403"/>
      <c r="FO87" s="403"/>
      <c r="FP87" s="403"/>
      <c r="FQ87" s="403"/>
      <c r="FR87" s="403"/>
      <c r="FS87" s="403"/>
      <c r="FT87" s="403"/>
      <c r="FU87" s="403"/>
      <c r="FV87" s="403"/>
      <c r="FW87" s="403"/>
      <c r="FX87" s="403"/>
      <c r="FY87" s="403" t="s">
        <v>14330</v>
      </c>
      <c r="FZ87" s="403"/>
      <c r="GA87" s="403"/>
      <c r="GB87" s="403" t="s">
        <v>10241</v>
      </c>
      <c r="GC87" s="403" t="s">
        <v>5775</v>
      </c>
      <c r="GD87" s="403" t="s">
        <v>11810</v>
      </c>
      <c r="GE87" s="403" t="s">
        <v>11811</v>
      </c>
      <c r="GF87" s="403" t="s">
        <v>11812</v>
      </c>
      <c r="GG87" s="403" t="s">
        <v>11813</v>
      </c>
      <c r="GH87" s="403" t="s">
        <v>11814</v>
      </c>
      <c r="GI87" s="403"/>
      <c r="GJ87" s="403"/>
      <c r="GK87" s="403"/>
      <c r="GL87" s="403"/>
      <c r="GM87" s="403"/>
      <c r="GN87" s="403" t="s">
        <v>1605</v>
      </c>
      <c r="GO87" s="403"/>
      <c r="GP87" s="403"/>
      <c r="GQ87" s="403"/>
      <c r="GR87" s="403"/>
      <c r="GS87" s="403"/>
      <c r="GT87" s="403"/>
      <c r="GU87" s="403"/>
      <c r="GV87" s="403"/>
      <c r="GW87" s="403"/>
      <c r="GX87" s="403"/>
      <c r="GY87" s="403"/>
      <c r="GZ87" s="403"/>
      <c r="HA87" s="403"/>
      <c r="HB87" s="403"/>
      <c r="HC87" s="403"/>
      <c r="HD87" s="403"/>
      <c r="HE87" s="403"/>
      <c r="HF87" s="403"/>
      <c r="HG87" s="403" t="s">
        <v>14331</v>
      </c>
      <c r="HH87" s="403"/>
      <c r="HI87" s="403"/>
      <c r="HJ87" s="403" t="s">
        <v>10245</v>
      </c>
      <c r="HK87" s="403" t="s">
        <v>5788</v>
      </c>
      <c r="HL87" s="403" t="s">
        <v>11815</v>
      </c>
      <c r="HM87" s="403" t="s">
        <v>11816</v>
      </c>
      <c r="HN87" s="403" t="s">
        <v>11817</v>
      </c>
      <c r="HO87" s="403" t="s">
        <v>11818</v>
      </c>
      <c r="HP87" s="403" t="s">
        <v>11819</v>
      </c>
      <c r="HQ87" s="403"/>
      <c r="HR87" s="403"/>
      <c r="HS87" s="403"/>
      <c r="HT87" s="403"/>
      <c r="HU87" s="403"/>
      <c r="HV87" s="403" t="s">
        <v>4686</v>
      </c>
      <c r="HW87" s="403"/>
      <c r="HX87" s="403"/>
      <c r="HY87" s="403"/>
      <c r="HZ87" s="403"/>
      <c r="IA87" s="403"/>
      <c r="IB87" s="403"/>
      <c r="IC87" s="403"/>
      <c r="ID87" s="403"/>
      <c r="IE87" s="403"/>
      <c r="IF87" s="403"/>
      <c r="IG87" s="403"/>
      <c r="IH87" s="403"/>
      <c r="II87" s="403"/>
      <c r="IJ87" s="403"/>
      <c r="IK87" s="403"/>
      <c r="IL87" s="403"/>
      <c r="IM87" s="403"/>
      <c r="IN87" s="403"/>
      <c r="IO87" s="403" t="s">
        <v>14332</v>
      </c>
      <c r="IP87" s="403"/>
      <c r="IQ87" s="403"/>
      <c r="IR87" s="403" t="s">
        <v>5643</v>
      </c>
      <c r="IS87" s="403" t="s">
        <v>5802</v>
      </c>
      <c r="IT87" s="403" t="s">
        <v>11820</v>
      </c>
      <c r="IU87" s="403" t="s">
        <v>11821</v>
      </c>
      <c r="IV87" s="403" t="s">
        <v>11822</v>
      </c>
      <c r="IW87" s="403" t="s">
        <v>11823</v>
      </c>
      <c r="IX87" s="403" t="s">
        <v>11824</v>
      </c>
      <c r="IY87" s="403"/>
      <c r="IZ87" s="403"/>
      <c r="JA87" s="403"/>
      <c r="JB87" s="403"/>
      <c r="JC87" s="403"/>
      <c r="JD87" s="403" t="s">
        <v>4694</v>
      </c>
      <c r="JE87" s="403"/>
      <c r="JF87" s="403"/>
      <c r="JG87" s="403"/>
      <c r="JH87" s="403"/>
      <c r="JI87" s="403"/>
      <c r="JJ87" s="403"/>
      <c r="JK87" s="403"/>
      <c r="JL87" s="403"/>
      <c r="JM87" s="403"/>
      <c r="JN87" s="403"/>
      <c r="JO87" s="403"/>
      <c r="JP87" s="403"/>
      <c r="JQ87" s="403"/>
      <c r="JR87" s="403"/>
      <c r="JS87" s="403"/>
      <c r="JT87" s="403"/>
    </row>
    <row r="88" spans="1:280" s="17" customFormat="1" ht="17.25" x14ac:dyDescent="0.3">
      <c r="A88" s="17" t="str">
        <f ca="1">IF(OFFSET(AS88,0,Lang_Order*Lang__B5)="","",OFFSET(AS88,0,Lang_Order*Lang__B5))</f>
        <v>B5.3.1 Delivery Modality 1: Fixed sites with cold-storage</v>
      </c>
      <c r="B88" s="623"/>
      <c r="C88" s="18"/>
      <c r="D88" s="173">
        <f>DM1_Vaccine</f>
        <v>0</v>
      </c>
      <c r="E88" s="174" t="e">
        <f>VLOOKUP(D88,'T1. Vaccines'!$C$8:$AD$37,E89,FALSE)</f>
        <v>#N/A</v>
      </c>
      <c r="F88" s="174">
        <f>Pop_HCW_CS_Sites</f>
        <v>0</v>
      </c>
      <c r="G88" s="174" t="e">
        <f>VLOOKUP(D88,'T1. Vaccines'!$C$8:$AD$37,G89,FALSE)</f>
        <v>#N/A</v>
      </c>
      <c r="H88" s="174" t="e">
        <f>VLOOKUP(D88,'T1. Vaccines'!$C$8:$AD$37,H89,FALSE)</f>
        <v>#N/A</v>
      </c>
      <c r="I88" s="174" t="e">
        <f>VLOOKUP(D88,'T1. Vaccines'!$C$8:$AD$37,I89,FALSE)</f>
        <v>#N/A</v>
      </c>
      <c r="J88" s="175" t="e">
        <f t="shared" ref="J88:P88" si="193">SUM(J11:J12)*RBF_DM1</f>
        <v>#N/A</v>
      </c>
      <c r="K88" s="175" t="e">
        <f t="shared" si="193"/>
        <v>#N/A</v>
      </c>
      <c r="L88" s="175" t="e">
        <f t="shared" si="193"/>
        <v>#N/A</v>
      </c>
      <c r="M88" s="175" t="e">
        <f t="shared" si="193"/>
        <v>#N/A</v>
      </c>
      <c r="N88" s="175" t="e">
        <f t="shared" si="193"/>
        <v>#N/A</v>
      </c>
      <c r="O88" s="175" t="e">
        <f t="shared" si="193"/>
        <v>#N/A</v>
      </c>
      <c r="P88" s="175" t="e">
        <f t="shared" si="193"/>
        <v>#N/A</v>
      </c>
      <c r="Q88" s="172"/>
      <c r="R88" s="17" t="str">
        <f ca="1">IF(OFFSET(BJ88,0,Lang_Order*Lang__B5)="","",OFFSET(BJ88,0,Lang_Order*Lang__B5))</f>
        <v>Notes</v>
      </c>
      <c r="S88" s="2"/>
      <c r="T88" s="258" t="e">
        <f>G88+HRH_Robustness_Bounds</f>
        <v>#N/A</v>
      </c>
      <c r="U88" s="636"/>
      <c r="V88" s="175"/>
      <c r="W88" s="175" t="e">
        <f t="shared" ref="W88:AC88" si="194">J88</f>
        <v>#N/A</v>
      </c>
      <c r="X88" s="175" t="e">
        <f t="shared" si="194"/>
        <v>#N/A</v>
      </c>
      <c r="Y88" s="175" t="e">
        <f t="shared" si="194"/>
        <v>#N/A</v>
      </c>
      <c r="Z88" s="175" t="e">
        <f t="shared" si="194"/>
        <v>#N/A</v>
      </c>
      <c r="AA88" s="175" t="e">
        <f t="shared" si="194"/>
        <v>#N/A</v>
      </c>
      <c r="AB88" s="175" t="e">
        <f t="shared" si="194"/>
        <v>#N/A</v>
      </c>
      <c r="AC88" s="175" t="e">
        <f t="shared" si="194"/>
        <v>#N/A</v>
      </c>
      <c r="AD88" s="259"/>
      <c r="AE88" s="2"/>
      <c r="AF88" s="258" t="e">
        <f>MAX(0,G88-HRH_Robustness_Bounds)</f>
        <v>#N/A</v>
      </c>
      <c r="AG88" s="636"/>
      <c r="AH88" s="175"/>
      <c r="AI88" s="175" t="e">
        <f t="shared" ref="AI88:AO88" si="195">J88</f>
        <v>#N/A</v>
      </c>
      <c r="AJ88" s="175" t="e">
        <f t="shared" si="195"/>
        <v>#N/A</v>
      </c>
      <c r="AK88" s="175" t="e">
        <f t="shared" si="195"/>
        <v>#N/A</v>
      </c>
      <c r="AL88" s="175" t="e">
        <f t="shared" si="195"/>
        <v>#N/A</v>
      </c>
      <c r="AM88" s="175" t="e">
        <f t="shared" si="195"/>
        <v>#N/A</v>
      </c>
      <c r="AN88" s="175" t="e">
        <f t="shared" si="195"/>
        <v>#N/A</v>
      </c>
      <c r="AO88" s="175" t="e">
        <f t="shared" si="195"/>
        <v>#N/A</v>
      </c>
      <c r="AR88" s="403"/>
      <c r="AS88" s="403" t="s">
        <v>14455</v>
      </c>
      <c r="AT88" s="403"/>
      <c r="AU88" s="403"/>
      <c r="AV88" s="403"/>
      <c r="AW88" s="403"/>
      <c r="AX88" s="403"/>
      <c r="AY88" s="403"/>
      <c r="AZ88" s="403"/>
      <c r="BA88" s="403"/>
      <c r="BB88" s="403"/>
      <c r="BC88" s="403"/>
      <c r="BD88" s="403"/>
      <c r="BE88" s="403"/>
      <c r="BF88" s="403"/>
      <c r="BG88" s="403"/>
      <c r="BH88" s="403"/>
      <c r="BI88" s="403"/>
      <c r="BJ88" s="403" t="s">
        <v>16</v>
      </c>
      <c r="BK88" s="403"/>
      <c r="BL88" s="403"/>
      <c r="BM88" s="403"/>
      <c r="BN88" s="403"/>
      <c r="BO88" s="403"/>
      <c r="BP88" s="403"/>
      <c r="BQ88" s="403"/>
      <c r="BR88" s="403"/>
      <c r="BS88" s="403"/>
      <c r="BT88" s="403"/>
      <c r="BU88" s="403"/>
      <c r="BV88" s="403"/>
      <c r="BW88" s="403"/>
      <c r="BX88" s="403"/>
      <c r="BY88" s="403"/>
      <c r="BZ88" s="403"/>
      <c r="CA88" s="403" t="s">
        <v>14289</v>
      </c>
      <c r="CB88" s="403"/>
      <c r="CC88" s="403"/>
      <c r="CD88" s="403"/>
      <c r="CE88" s="403"/>
      <c r="CF88" s="403"/>
      <c r="CG88" s="403"/>
      <c r="CH88" s="403"/>
      <c r="CI88" s="403"/>
      <c r="CJ88" s="403"/>
      <c r="CK88" s="403"/>
      <c r="CL88" s="403"/>
      <c r="CM88" s="403"/>
      <c r="CN88" s="403"/>
      <c r="CO88" s="403"/>
      <c r="CP88" s="403"/>
      <c r="CQ88" s="403"/>
      <c r="CR88" s="403" t="s">
        <v>16</v>
      </c>
      <c r="CS88" s="403"/>
      <c r="CT88" s="403"/>
      <c r="CU88" s="403"/>
      <c r="CV88" s="403"/>
      <c r="CW88" s="403"/>
      <c r="CX88" s="403"/>
      <c r="CY88" s="403"/>
      <c r="CZ88" s="403"/>
      <c r="DA88" s="403"/>
      <c r="DB88" s="403"/>
      <c r="DC88" s="403"/>
      <c r="DD88" s="403"/>
      <c r="DE88" s="403"/>
      <c r="DF88" s="403"/>
      <c r="DG88" s="403"/>
      <c r="DH88" s="403"/>
      <c r="DI88" s="403" t="s">
        <v>14718</v>
      </c>
      <c r="DJ88" s="403"/>
      <c r="DK88" s="403"/>
      <c r="DL88" s="403"/>
      <c r="DM88" s="403"/>
      <c r="DN88" s="403"/>
      <c r="DO88" s="403"/>
      <c r="DP88" s="403"/>
      <c r="DQ88" s="403"/>
      <c r="DR88" s="403"/>
      <c r="DS88" s="403"/>
      <c r="DT88" s="403"/>
      <c r="DU88" s="403"/>
      <c r="DV88" s="403"/>
      <c r="DW88" s="403"/>
      <c r="DX88" s="403"/>
      <c r="DY88" s="403"/>
      <c r="DZ88" s="403" t="s">
        <v>5757</v>
      </c>
      <c r="EA88" s="403"/>
      <c r="EB88" s="403"/>
      <c r="EC88" s="403"/>
      <c r="ED88" s="403"/>
      <c r="EE88" s="403"/>
      <c r="EF88" s="403"/>
      <c r="EG88" s="403"/>
      <c r="EH88" s="403"/>
      <c r="EI88" s="403"/>
      <c r="EJ88" s="403"/>
      <c r="EK88" s="403"/>
      <c r="EL88" s="403"/>
      <c r="EM88" s="403"/>
      <c r="EN88" s="403"/>
      <c r="EO88" s="403"/>
      <c r="EP88" s="403"/>
      <c r="EQ88" s="403" t="s">
        <v>14719</v>
      </c>
      <c r="ER88" s="403"/>
      <c r="ES88" s="403"/>
      <c r="ET88" s="403"/>
      <c r="EU88" s="403"/>
      <c r="EV88" s="403"/>
      <c r="EW88" s="403"/>
      <c r="EX88" s="403"/>
      <c r="EY88" s="403"/>
      <c r="EZ88" s="403"/>
      <c r="FA88" s="403"/>
      <c r="FB88" s="403"/>
      <c r="FC88" s="403"/>
      <c r="FD88" s="403"/>
      <c r="FE88" s="403"/>
      <c r="FF88" s="403"/>
      <c r="FG88" s="403"/>
      <c r="FH88" s="403" t="s">
        <v>5453</v>
      </c>
      <c r="FI88" s="403"/>
      <c r="FJ88" s="403"/>
      <c r="FK88" s="403"/>
      <c r="FL88" s="403"/>
      <c r="FM88" s="403"/>
      <c r="FN88" s="403"/>
      <c r="FO88" s="403"/>
      <c r="FP88" s="403"/>
      <c r="FQ88" s="403"/>
      <c r="FR88" s="403"/>
      <c r="FS88" s="403"/>
      <c r="FT88" s="403"/>
      <c r="FU88" s="403"/>
      <c r="FV88" s="403"/>
      <c r="FW88" s="403"/>
      <c r="FX88" s="403"/>
      <c r="FY88" s="403" t="s">
        <v>14720</v>
      </c>
      <c r="FZ88" s="403"/>
      <c r="GA88" s="403"/>
      <c r="GB88" s="403"/>
      <c r="GC88" s="403"/>
      <c r="GD88" s="403"/>
      <c r="GE88" s="403"/>
      <c r="GF88" s="403"/>
      <c r="GG88" s="403"/>
      <c r="GH88" s="403"/>
      <c r="GI88" s="403"/>
      <c r="GJ88" s="403"/>
      <c r="GK88" s="403"/>
      <c r="GL88" s="403"/>
      <c r="GM88" s="403"/>
      <c r="GN88" s="403"/>
      <c r="GO88" s="403"/>
      <c r="GP88" s="403" t="s">
        <v>5453</v>
      </c>
      <c r="GQ88" s="403"/>
      <c r="GR88" s="403"/>
      <c r="GS88" s="403"/>
      <c r="GT88" s="403"/>
      <c r="GU88" s="403"/>
      <c r="GV88" s="403"/>
      <c r="GW88" s="403"/>
      <c r="GX88" s="403"/>
      <c r="GY88" s="403"/>
      <c r="GZ88" s="403"/>
      <c r="HA88" s="403"/>
      <c r="HB88" s="403"/>
      <c r="HC88" s="403"/>
      <c r="HD88" s="403"/>
      <c r="HE88" s="403"/>
      <c r="HF88" s="403"/>
      <c r="HG88" s="403" t="s">
        <v>14721</v>
      </c>
      <c r="HH88" s="403"/>
      <c r="HI88" s="403"/>
      <c r="HJ88" s="403"/>
      <c r="HK88" s="403"/>
      <c r="HL88" s="403"/>
      <c r="HM88" s="403"/>
      <c r="HN88" s="403"/>
      <c r="HO88" s="403"/>
      <c r="HP88" s="403"/>
      <c r="HQ88" s="403"/>
      <c r="HR88" s="403"/>
      <c r="HS88" s="403"/>
      <c r="HT88" s="403"/>
      <c r="HU88" s="403"/>
      <c r="HV88" s="403"/>
      <c r="HW88" s="403"/>
      <c r="HX88" s="403" t="s">
        <v>5454</v>
      </c>
      <c r="HY88" s="403"/>
      <c r="HZ88" s="403"/>
      <c r="IA88" s="403"/>
      <c r="IB88" s="403"/>
      <c r="IC88" s="403"/>
      <c r="ID88" s="403"/>
      <c r="IE88" s="403"/>
      <c r="IF88" s="403"/>
      <c r="IG88" s="403"/>
      <c r="IH88" s="403"/>
      <c r="II88" s="403"/>
      <c r="IJ88" s="403"/>
      <c r="IK88" s="403"/>
      <c r="IL88" s="403"/>
      <c r="IM88" s="403"/>
      <c r="IN88" s="403"/>
      <c r="IO88" s="403" t="s">
        <v>14722</v>
      </c>
      <c r="IP88" s="403"/>
      <c r="IQ88" s="403"/>
      <c r="IR88" s="403"/>
      <c r="IS88" s="403"/>
      <c r="IT88" s="403"/>
      <c r="IU88" s="403"/>
      <c r="IV88" s="403"/>
      <c r="IW88" s="403"/>
      <c r="IX88" s="403"/>
      <c r="IY88" s="403"/>
      <c r="IZ88" s="403"/>
      <c r="JA88" s="403"/>
      <c r="JB88" s="403"/>
      <c r="JC88" s="403"/>
      <c r="JD88" s="403"/>
      <c r="JE88" s="403"/>
      <c r="JF88" s="403" t="s">
        <v>5455</v>
      </c>
      <c r="JG88" s="403"/>
      <c r="JH88" s="403"/>
      <c r="JI88" s="403"/>
      <c r="JJ88" s="403"/>
      <c r="JK88" s="403"/>
      <c r="JL88" s="403"/>
      <c r="JM88" s="403"/>
      <c r="JN88" s="403"/>
      <c r="JO88" s="403"/>
      <c r="JP88" s="403"/>
      <c r="JQ88" s="403"/>
      <c r="JR88" s="403"/>
      <c r="JS88" s="403"/>
      <c r="JT88" s="403"/>
    </row>
    <row r="89" spans="1:280" s="15" customFormat="1" x14ac:dyDescent="0.25">
      <c r="A89" s="9"/>
      <c r="B89" s="627"/>
      <c r="C89" s="9"/>
      <c r="E89" s="2">
        <f>'T1. Vaccines'!$F$39</f>
        <v>4</v>
      </c>
      <c r="F89" s="2"/>
      <c r="G89" s="2">
        <f>'T1. Vaccines'!$P$39</f>
        <v>14</v>
      </c>
      <c r="H89" s="2">
        <f>'T1. Vaccines'!$L$39</f>
        <v>10</v>
      </c>
      <c r="I89" s="2">
        <f>'T1. Vaccines'!$H$39</f>
        <v>6</v>
      </c>
      <c r="J89" s="41" t="str">
        <f t="shared" ref="J89:Q89" ca="1" si="196">IF(OFFSET(BB89,0,Lang_Order*Lang__B5)="","",OFFSET(BB89,0,Lang_Order*Lang__B5))</f>
        <v>H1 2021</v>
      </c>
      <c r="K89" s="41" t="str">
        <f t="shared" ca="1" si="196"/>
        <v>H2 2021</v>
      </c>
      <c r="L89" s="41" t="str">
        <f t="shared" ca="1" si="196"/>
        <v>H1 2022</v>
      </c>
      <c r="M89" s="41" t="str">
        <f t="shared" ca="1" si="196"/>
        <v>H2 2022</v>
      </c>
      <c r="N89" s="41" t="str">
        <f t="shared" ca="1" si="196"/>
        <v>H1 2023</v>
      </c>
      <c r="O89" s="41" t="str">
        <f t="shared" ca="1" si="196"/>
        <v>H2 2023</v>
      </c>
      <c r="P89" s="41" t="str">
        <f t="shared" ca="1" si="196"/>
        <v>Total</v>
      </c>
      <c r="Q89" s="177" t="str">
        <f t="shared" ca="1" si="196"/>
        <v>Max</v>
      </c>
      <c r="S89" s="2"/>
      <c r="T89" s="241"/>
      <c r="U89" s="622"/>
      <c r="V89" s="2"/>
      <c r="W89" s="255" t="str">
        <f t="shared" ref="W89:AD89" ca="1" si="197">IF(OFFSET(BB89,0,Lang_Order*Lang__B5)="","",OFFSET(BB89,0,Lang_Order*Lang__B5))</f>
        <v>H1 2021</v>
      </c>
      <c r="X89" s="255" t="str">
        <f t="shared" ca="1" si="197"/>
        <v>H2 2021</v>
      </c>
      <c r="Y89" s="255" t="str">
        <f t="shared" ca="1" si="197"/>
        <v>H1 2022</v>
      </c>
      <c r="Z89" s="255" t="str">
        <f t="shared" ca="1" si="197"/>
        <v>H2 2022</v>
      </c>
      <c r="AA89" s="255" t="str">
        <f t="shared" ca="1" si="197"/>
        <v>H1 2023</v>
      </c>
      <c r="AB89" s="255" t="str">
        <f t="shared" ca="1" si="197"/>
        <v>H2 2023</v>
      </c>
      <c r="AC89" s="255" t="str">
        <f t="shared" ca="1" si="197"/>
        <v>Total</v>
      </c>
      <c r="AD89" s="177" t="str">
        <f t="shared" ca="1" si="197"/>
        <v>Max</v>
      </c>
      <c r="AE89" s="2"/>
      <c r="AF89" s="241"/>
      <c r="AG89" s="622"/>
      <c r="AI89" s="255" t="str">
        <f t="shared" ref="AI89:AP89" ca="1" si="198">IF(OFFSET(BB89,0,Lang_Order*Lang__B5)="","",OFFSET(BB89,0,Lang_Order*Lang__B5))</f>
        <v>H1 2021</v>
      </c>
      <c r="AJ89" s="255" t="str">
        <f t="shared" ca="1" si="198"/>
        <v>H2 2021</v>
      </c>
      <c r="AK89" s="255" t="str">
        <f t="shared" ca="1" si="198"/>
        <v>H1 2022</v>
      </c>
      <c r="AL89" s="255" t="str">
        <f t="shared" ca="1" si="198"/>
        <v>H2 2022</v>
      </c>
      <c r="AM89" s="255" t="str">
        <f t="shared" ca="1" si="198"/>
        <v>H1 2023</v>
      </c>
      <c r="AN89" s="255" t="str">
        <f t="shared" ca="1" si="198"/>
        <v>H2 2023</v>
      </c>
      <c r="AO89" s="255" t="str">
        <f t="shared" ca="1" si="198"/>
        <v>Total</v>
      </c>
      <c r="AP89" s="177" t="str">
        <f t="shared" ca="1" si="198"/>
        <v>Max</v>
      </c>
      <c r="AR89" s="403"/>
      <c r="AS89" s="403"/>
      <c r="AT89" s="403"/>
      <c r="AU89" s="403"/>
      <c r="AV89" s="403"/>
      <c r="AW89" s="403"/>
      <c r="AX89" s="403"/>
      <c r="AY89" s="403"/>
      <c r="AZ89" s="403"/>
      <c r="BA89" s="403"/>
      <c r="BB89" s="403" t="s">
        <v>1597</v>
      </c>
      <c r="BC89" s="403" t="s">
        <v>1598</v>
      </c>
      <c r="BD89" s="403" t="s">
        <v>1599</v>
      </c>
      <c r="BE89" s="403" t="s">
        <v>1600</v>
      </c>
      <c r="BF89" s="403" t="s">
        <v>1602</v>
      </c>
      <c r="BG89" s="403" t="s">
        <v>1601</v>
      </c>
      <c r="BH89" s="403" t="s">
        <v>1605</v>
      </c>
      <c r="BI89" s="403" t="s">
        <v>2709</v>
      </c>
      <c r="BJ89" s="403"/>
      <c r="BK89" s="403"/>
      <c r="BL89" s="403"/>
      <c r="BM89" s="403"/>
      <c r="BN89" s="403"/>
      <c r="BO89" s="403"/>
      <c r="BP89" s="403"/>
      <c r="BQ89" s="403"/>
      <c r="BR89" s="403"/>
      <c r="BS89" s="403"/>
      <c r="BT89" s="403"/>
      <c r="BU89" s="403"/>
      <c r="BV89" s="403"/>
      <c r="BW89" s="403"/>
      <c r="BX89" s="403"/>
      <c r="BY89" s="403"/>
      <c r="BZ89" s="403"/>
      <c r="CA89" s="403"/>
      <c r="CB89" s="403"/>
      <c r="CC89" s="403"/>
      <c r="CD89" s="403"/>
      <c r="CE89" s="403"/>
      <c r="CF89" s="403"/>
      <c r="CG89" s="403"/>
      <c r="CH89" s="403"/>
      <c r="CI89" s="403"/>
      <c r="CJ89" s="403" t="s">
        <v>4663</v>
      </c>
      <c r="CK89" s="403" t="s">
        <v>4664</v>
      </c>
      <c r="CL89" s="403" t="s">
        <v>4665</v>
      </c>
      <c r="CM89" s="403" t="s">
        <v>4666</v>
      </c>
      <c r="CN89" s="403" t="s">
        <v>4667</v>
      </c>
      <c r="CO89" s="403" t="s">
        <v>4668</v>
      </c>
      <c r="CP89" s="403" t="s">
        <v>1605</v>
      </c>
      <c r="CQ89" s="403" t="s">
        <v>2709</v>
      </c>
      <c r="CR89" s="403"/>
      <c r="CS89" s="403"/>
      <c r="CT89" s="403"/>
      <c r="CU89" s="403"/>
      <c r="CV89" s="403"/>
      <c r="CW89" s="403"/>
      <c r="CX89" s="403"/>
      <c r="CY89" s="403"/>
      <c r="CZ89" s="403"/>
      <c r="DA89" s="403"/>
      <c r="DB89" s="403"/>
      <c r="DC89" s="403"/>
      <c r="DD89" s="403"/>
      <c r="DE89" s="403"/>
      <c r="DF89" s="403"/>
      <c r="DG89" s="403"/>
      <c r="DH89" s="403"/>
      <c r="DI89" s="403"/>
      <c r="DJ89" s="403"/>
      <c r="DK89" s="403"/>
      <c r="DL89" s="403"/>
      <c r="DM89" s="403"/>
      <c r="DN89" s="403"/>
      <c r="DO89" s="403"/>
      <c r="DP89" s="403"/>
      <c r="DQ89" s="403"/>
      <c r="DR89" s="403" t="s">
        <v>4670</v>
      </c>
      <c r="DS89" s="403" t="s">
        <v>4671</v>
      </c>
      <c r="DT89" s="403" t="s">
        <v>4672</v>
      </c>
      <c r="DU89" s="403" t="s">
        <v>4673</v>
      </c>
      <c r="DV89" s="403" t="s">
        <v>4674</v>
      </c>
      <c r="DW89" s="403" t="s">
        <v>4675</v>
      </c>
      <c r="DX89" s="403" t="s">
        <v>4676</v>
      </c>
      <c r="DY89" s="403" t="s">
        <v>10072</v>
      </c>
      <c r="DZ89" s="403"/>
      <c r="EA89" s="403"/>
      <c r="EB89" s="403"/>
      <c r="EC89" s="403"/>
      <c r="ED89" s="403"/>
      <c r="EE89" s="403"/>
      <c r="EF89" s="403"/>
      <c r="EG89" s="403"/>
      <c r="EH89" s="403"/>
      <c r="EI89" s="403"/>
      <c r="EJ89" s="403"/>
      <c r="EK89" s="403"/>
      <c r="EL89" s="403"/>
      <c r="EM89" s="403"/>
      <c r="EN89" s="403"/>
      <c r="EO89" s="403"/>
      <c r="EP89" s="403"/>
      <c r="EQ89" s="403"/>
      <c r="ER89" s="403"/>
      <c r="ES89" s="403"/>
      <c r="ET89" s="403"/>
      <c r="EU89" s="403"/>
      <c r="EV89" s="403"/>
      <c r="EW89" s="403"/>
      <c r="EX89" s="403"/>
      <c r="EY89" s="403"/>
      <c r="EZ89" s="403" t="s">
        <v>1597</v>
      </c>
      <c r="FA89" s="403" t="s">
        <v>9557</v>
      </c>
      <c r="FB89" s="403" t="s">
        <v>1599</v>
      </c>
      <c r="FC89" s="403" t="s">
        <v>1600</v>
      </c>
      <c r="FD89" s="403" t="s">
        <v>1602</v>
      </c>
      <c r="FE89" s="403" t="s">
        <v>1601</v>
      </c>
      <c r="FF89" s="403" t="s">
        <v>1605</v>
      </c>
      <c r="FG89" s="403" t="s">
        <v>2709</v>
      </c>
      <c r="FH89" s="403"/>
      <c r="FI89" s="403"/>
      <c r="FJ89" s="403"/>
      <c r="FK89" s="403"/>
      <c r="FL89" s="403"/>
      <c r="FM89" s="403"/>
      <c r="FN89" s="403"/>
      <c r="FO89" s="403"/>
      <c r="FP89" s="403"/>
      <c r="FQ89" s="403"/>
      <c r="FR89" s="403"/>
      <c r="FS89" s="403"/>
      <c r="FT89" s="403"/>
      <c r="FU89" s="403"/>
      <c r="FV89" s="403"/>
      <c r="FW89" s="403"/>
      <c r="FX89" s="403"/>
      <c r="FY89" s="403"/>
      <c r="FZ89" s="403"/>
      <c r="GA89" s="403"/>
      <c r="GB89" s="403"/>
      <c r="GC89" s="403"/>
      <c r="GD89" s="403"/>
      <c r="GE89" s="403"/>
      <c r="GF89" s="403"/>
      <c r="GG89" s="403"/>
      <c r="GH89" s="403" t="s">
        <v>4663</v>
      </c>
      <c r="GI89" s="403" t="s">
        <v>4664</v>
      </c>
      <c r="GJ89" s="403" t="s">
        <v>4665</v>
      </c>
      <c r="GK89" s="403" t="s">
        <v>4666</v>
      </c>
      <c r="GL89" s="403" t="s">
        <v>4667</v>
      </c>
      <c r="GM89" s="403" t="s">
        <v>4668</v>
      </c>
      <c r="GN89" s="403" t="s">
        <v>1605</v>
      </c>
      <c r="GO89" s="403" t="s">
        <v>10073</v>
      </c>
      <c r="GP89" s="403"/>
      <c r="GQ89" s="403"/>
      <c r="GR89" s="403"/>
      <c r="GS89" s="403"/>
      <c r="GT89" s="403"/>
      <c r="GU89" s="403"/>
      <c r="GV89" s="403"/>
      <c r="GW89" s="403"/>
      <c r="GX89" s="403"/>
      <c r="GY89" s="403"/>
      <c r="GZ89" s="403"/>
      <c r="HA89" s="403"/>
      <c r="HB89" s="403"/>
      <c r="HC89" s="403"/>
      <c r="HD89" s="403"/>
      <c r="HE89" s="403"/>
      <c r="HF89" s="403"/>
      <c r="HG89" s="403"/>
      <c r="HH89" s="403"/>
      <c r="HI89" s="403"/>
      <c r="HJ89" s="403"/>
      <c r="HK89" s="403"/>
      <c r="HL89" s="403"/>
      <c r="HM89" s="403"/>
      <c r="HN89" s="403"/>
      <c r="HO89" s="403"/>
      <c r="HP89" s="403" t="s">
        <v>4680</v>
      </c>
      <c r="HQ89" s="403" t="s">
        <v>4681</v>
      </c>
      <c r="HR89" s="403" t="s">
        <v>4682</v>
      </c>
      <c r="HS89" s="403" t="s">
        <v>4683</v>
      </c>
      <c r="HT89" s="403" t="s">
        <v>4684</v>
      </c>
      <c r="HU89" s="403" t="s">
        <v>4685</v>
      </c>
      <c r="HV89" s="403" t="s">
        <v>4686</v>
      </c>
      <c r="HW89" s="403" t="s">
        <v>11825</v>
      </c>
      <c r="HX89" s="403"/>
      <c r="HY89" s="403"/>
      <c r="HZ89" s="403"/>
      <c r="IA89" s="403"/>
      <c r="IB89" s="403"/>
      <c r="IC89" s="403"/>
      <c r="ID89" s="403"/>
      <c r="IE89" s="403"/>
      <c r="IF89" s="403"/>
      <c r="IG89" s="403"/>
      <c r="IH89" s="403"/>
      <c r="II89" s="403"/>
      <c r="IJ89" s="403"/>
      <c r="IK89" s="403"/>
      <c r="IL89" s="403"/>
      <c r="IM89" s="403"/>
      <c r="IN89" s="403"/>
      <c r="IO89" s="403"/>
      <c r="IP89" s="403"/>
      <c r="IQ89" s="403"/>
      <c r="IR89" s="403"/>
      <c r="IS89" s="403"/>
      <c r="IT89" s="403"/>
      <c r="IU89" s="403"/>
      <c r="IV89" s="403"/>
      <c r="IW89" s="403"/>
      <c r="IX89" s="403" t="s">
        <v>4688</v>
      </c>
      <c r="IY89" s="403" t="s">
        <v>4689</v>
      </c>
      <c r="IZ89" s="403" t="s">
        <v>4690</v>
      </c>
      <c r="JA89" s="403" t="s">
        <v>4691</v>
      </c>
      <c r="JB89" s="403" t="s">
        <v>4692</v>
      </c>
      <c r="JC89" s="403" t="s">
        <v>4693</v>
      </c>
      <c r="JD89" s="403" t="s">
        <v>4694</v>
      </c>
      <c r="JE89" s="403" t="s">
        <v>10075</v>
      </c>
      <c r="JF89" s="403"/>
      <c r="JG89" s="403"/>
      <c r="JH89" s="403"/>
      <c r="JI89" s="403"/>
      <c r="JJ89" s="403"/>
      <c r="JK89" s="403"/>
      <c r="JL89" s="403"/>
      <c r="JM89" s="403"/>
      <c r="JN89" s="403"/>
      <c r="JO89" s="403"/>
      <c r="JP89" s="403"/>
      <c r="JQ89" s="403"/>
      <c r="JR89" s="403"/>
      <c r="JS89" s="403"/>
      <c r="JT89" s="403"/>
    </row>
    <row r="90" spans="1:280" ht="12.75" x14ac:dyDescent="0.2">
      <c r="A90" s="9"/>
      <c r="B90" s="624" t="str">
        <f ca="1">IF(OFFSET(AT90,0,Lang_Order*Lang__B5)="","",OFFSET(AT90,0,Lang_Order*Lang__B5))</f>
        <v>Delivery Context</v>
      </c>
      <c r="C90" s="23"/>
      <c r="E90" s="26"/>
      <c r="F90" s="26"/>
      <c r="G90" s="26"/>
      <c r="H90" s="26"/>
      <c r="I90" s="26"/>
      <c r="J90" s="26"/>
      <c r="K90" s="26"/>
      <c r="L90" s="26"/>
      <c r="M90" s="26"/>
      <c r="N90" s="26"/>
      <c r="O90" s="26"/>
      <c r="P90" s="26"/>
      <c r="Q90" s="26"/>
      <c r="R90" s="12" t="str">
        <f t="shared" ref="R90:R135" ca="1" si="199">IF(OFFSET(BJ90,0,Lang_Order*Lang__B5)="","",OFFSET(BJ90,0,Lang_Order*Lang__B5))</f>
        <v>Note that sites are treated as equal-sized 'averages'</v>
      </c>
      <c r="S90" s="2"/>
      <c r="U90" s="624" t="str">
        <f ca="1">IF(OFFSET(AT90,0,Lang_Order*Lang__B5)="","",OFFSET(AT90,0,Lang_Order*Lang__B5))</f>
        <v>Delivery Context</v>
      </c>
      <c r="V90" s="72"/>
      <c r="AE90" s="2"/>
      <c r="AG90" s="624"/>
      <c r="AT90" s="403" t="s">
        <v>34</v>
      </c>
      <c r="BJ90" s="403" t="s">
        <v>1674</v>
      </c>
      <c r="CB90" s="403" t="s">
        <v>11826</v>
      </c>
      <c r="CR90" s="403" t="s">
        <v>11827</v>
      </c>
      <c r="DJ90" s="403" t="s">
        <v>11828</v>
      </c>
      <c r="DZ90" s="403" t="s">
        <v>11829</v>
      </c>
      <c r="ER90" s="403" t="s">
        <v>11830</v>
      </c>
      <c r="FH90" s="403" t="s">
        <v>11831</v>
      </c>
      <c r="FZ90" s="403" t="s">
        <v>11832</v>
      </c>
      <c r="GP90" s="403" t="s">
        <v>11833</v>
      </c>
      <c r="HH90" s="403" t="s">
        <v>11834</v>
      </c>
      <c r="HX90" s="403" t="s">
        <v>11835</v>
      </c>
      <c r="IP90" s="403" t="s">
        <v>11836</v>
      </c>
      <c r="JF90" s="403" t="s">
        <v>11837</v>
      </c>
    </row>
    <row r="91" spans="1:280" s="15" customFormat="1" ht="12.75" x14ac:dyDescent="0.2">
      <c r="A91" s="9"/>
      <c r="B91" s="624"/>
      <c r="C91" s="23" t="str">
        <f t="shared" ref="C91:C97" ca="1" si="200">IF(OFFSET(AU91,0,Lang_Order*Lang__B5)="","",OFFSET(AU91,0,Lang_Order*Lang__B5))</f>
        <v>Initiation of service delivery</v>
      </c>
      <c r="J91" s="62" t="e">
        <f t="shared" ref="J91:O91" si="201">IF(AND(J88&gt;0,I92=0),1,0)</f>
        <v>#N/A</v>
      </c>
      <c r="K91" s="62" t="e">
        <f t="shared" si="201"/>
        <v>#N/A</v>
      </c>
      <c r="L91" s="62" t="e">
        <f t="shared" si="201"/>
        <v>#N/A</v>
      </c>
      <c r="M91" s="62" t="e">
        <f t="shared" si="201"/>
        <v>#N/A</v>
      </c>
      <c r="N91" s="62" t="e">
        <f t="shared" si="201"/>
        <v>#N/A</v>
      </c>
      <c r="O91" s="62" t="e">
        <f t="shared" si="201"/>
        <v>#N/A</v>
      </c>
      <c r="P91" s="26"/>
      <c r="Q91" s="26"/>
      <c r="R91" s="12" t="str">
        <f t="shared" ca="1" si="199"/>
        <v>Trigger ONCE (with "1") to indicate start</v>
      </c>
      <c r="S91" s="2"/>
      <c r="T91" s="241"/>
      <c r="U91" s="624"/>
      <c r="V91" s="72" t="str">
        <f ca="1">IF(OFFSET(AU91,0,Lang_Order*Lang__B5)="","",OFFSET(AU91,0,Lang_Order*Lang__B5))</f>
        <v>Initiation of service delivery</v>
      </c>
      <c r="W91" s="62" t="e">
        <f t="shared" ref="W91:AB91" si="202">IF(AND(W88&gt;0,V92=0),1,0)</f>
        <v>#N/A</v>
      </c>
      <c r="X91" s="62" t="e">
        <f t="shared" si="202"/>
        <v>#N/A</v>
      </c>
      <c r="Y91" s="62" t="e">
        <f t="shared" si="202"/>
        <v>#N/A</v>
      </c>
      <c r="Z91" s="62" t="e">
        <f t="shared" si="202"/>
        <v>#N/A</v>
      </c>
      <c r="AA91" s="62" t="e">
        <f t="shared" si="202"/>
        <v>#N/A</v>
      </c>
      <c r="AB91" s="62" t="e">
        <f t="shared" si="202"/>
        <v>#N/A</v>
      </c>
      <c r="AE91" s="2"/>
      <c r="AF91" s="241"/>
      <c r="AG91" s="624"/>
      <c r="AH91" s="72" t="str">
        <f ca="1">IF(OFFSET(AU91,0,Lang_Order*Lang__B5)="","",OFFSET(AU91,0,Lang_Order*Lang__B5))</f>
        <v>Initiation of service delivery</v>
      </c>
      <c r="AI91" s="62" t="e">
        <f t="shared" ref="AI91:AN91" si="203">IF(AND(AI88&gt;0,AH92=0),1,0)</f>
        <v>#N/A</v>
      </c>
      <c r="AJ91" s="62" t="e">
        <f t="shared" si="203"/>
        <v>#N/A</v>
      </c>
      <c r="AK91" s="62" t="e">
        <f t="shared" si="203"/>
        <v>#N/A</v>
      </c>
      <c r="AL91" s="62" t="e">
        <f t="shared" si="203"/>
        <v>#N/A</v>
      </c>
      <c r="AM91" s="62" t="e">
        <f t="shared" si="203"/>
        <v>#N/A</v>
      </c>
      <c r="AN91" s="62" t="e">
        <f t="shared" si="203"/>
        <v>#N/A</v>
      </c>
      <c r="AR91" s="403"/>
      <c r="AS91" s="403"/>
      <c r="AT91" s="403"/>
      <c r="AU91" s="403" t="s">
        <v>1611</v>
      </c>
      <c r="AV91" s="403"/>
      <c r="AW91" s="403"/>
      <c r="AX91" s="403"/>
      <c r="AY91" s="403"/>
      <c r="AZ91" s="403"/>
      <c r="BA91" s="403"/>
      <c r="BB91" s="403"/>
      <c r="BC91" s="403"/>
      <c r="BD91" s="403"/>
      <c r="BE91" s="403"/>
      <c r="BF91" s="403"/>
      <c r="BG91" s="403"/>
      <c r="BH91" s="403"/>
      <c r="BI91" s="403"/>
      <c r="BJ91" s="403" t="s">
        <v>1613</v>
      </c>
      <c r="BK91" s="403"/>
      <c r="BL91" s="403"/>
      <c r="BM91" s="403"/>
      <c r="BN91" s="403"/>
      <c r="BO91" s="403"/>
      <c r="BP91" s="403"/>
      <c r="BQ91" s="403"/>
      <c r="BR91" s="403"/>
      <c r="BS91" s="403"/>
      <c r="BT91" s="403"/>
      <c r="BU91" s="403"/>
      <c r="BV91" s="403"/>
      <c r="BW91" s="403"/>
      <c r="BX91" s="403"/>
      <c r="BY91" s="403"/>
      <c r="BZ91" s="403"/>
      <c r="CA91" s="403"/>
      <c r="CB91" s="403"/>
      <c r="CC91" s="403" t="s">
        <v>11838</v>
      </c>
      <c r="CD91" s="403"/>
      <c r="CE91" s="403"/>
      <c r="CF91" s="403"/>
      <c r="CG91" s="403"/>
      <c r="CH91" s="403"/>
      <c r="CI91" s="403"/>
      <c r="CJ91" s="403"/>
      <c r="CK91" s="403"/>
      <c r="CL91" s="403"/>
      <c r="CM91" s="403"/>
      <c r="CN91" s="403"/>
      <c r="CO91" s="403"/>
      <c r="CP91" s="403"/>
      <c r="CQ91" s="403"/>
      <c r="CR91" s="403" t="s">
        <v>11839</v>
      </c>
      <c r="CS91" s="403"/>
      <c r="CT91" s="403"/>
      <c r="CU91" s="403"/>
      <c r="CV91" s="403"/>
      <c r="CW91" s="403"/>
      <c r="CX91" s="403"/>
      <c r="CY91" s="403"/>
      <c r="CZ91" s="403"/>
      <c r="DA91" s="403"/>
      <c r="DB91" s="403"/>
      <c r="DC91" s="403"/>
      <c r="DD91" s="403"/>
      <c r="DE91" s="403"/>
      <c r="DF91" s="403"/>
      <c r="DG91" s="403"/>
      <c r="DH91" s="403"/>
      <c r="DI91" s="403"/>
      <c r="DJ91" s="403"/>
      <c r="DK91" s="403" t="s">
        <v>11840</v>
      </c>
      <c r="DL91" s="403"/>
      <c r="DM91" s="403"/>
      <c r="DN91" s="403"/>
      <c r="DO91" s="403"/>
      <c r="DP91" s="403"/>
      <c r="DQ91" s="403"/>
      <c r="DR91" s="403"/>
      <c r="DS91" s="403"/>
      <c r="DT91" s="403"/>
      <c r="DU91" s="403"/>
      <c r="DV91" s="403"/>
      <c r="DW91" s="403"/>
      <c r="DX91" s="403"/>
      <c r="DY91" s="403"/>
      <c r="DZ91" s="403" t="s">
        <v>11841</v>
      </c>
      <c r="EA91" s="403"/>
      <c r="EB91" s="403"/>
      <c r="EC91" s="403"/>
      <c r="ED91" s="403"/>
      <c r="EE91" s="403"/>
      <c r="EF91" s="403"/>
      <c r="EG91" s="403"/>
      <c r="EH91" s="403"/>
      <c r="EI91" s="403"/>
      <c r="EJ91" s="403"/>
      <c r="EK91" s="403"/>
      <c r="EL91" s="403"/>
      <c r="EM91" s="403"/>
      <c r="EN91" s="403"/>
      <c r="EO91" s="403"/>
      <c r="EP91" s="403"/>
      <c r="EQ91" s="403"/>
      <c r="ER91" s="403"/>
      <c r="ES91" s="403" t="s">
        <v>11842</v>
      </c>
      <c r="ET91" s="403"/>
      <c r="EU91" s="403"/>
      <c r="EV91" s="403"/>
      <c r="EW91" s="403"/>
      <c r="EX91" s="403"/>
      <c r="EY91" s="403"/>
      <c r="EZ91" s="403"/>
      <c r="FA91" s="403"/>
      <c r="FB91" s="403"/>
      <c r="FC91" s="403"/>
      <c r="FD91" s="403"/>
      <c r="FE91" s="403"/>
      <c r="FF91" s="403"/>
      <c r="FG91" s="403"/>
      <c r="FH91" s="403" t="s">
        <v>11843</v>
      </c>
      <c r="FI91" s="403"/>
      <c r="FJ91" s="403"/>
      <c r="FK91" s="403"/>
      <c r="FL91" s="403"/>
      <c r="FM91" s="403"/>
      <c r="FN91" s="403"/>
      <c r="FO91" s="403"/>
      <c r="FP91" s="403"/>
      <c r="FQ91" s="403"/>
      <c r="FR91" s="403"/>
      <c r="FS91" s="403"/>
      <c r="FT91" s="403"/>
      <c r="FU91" s="403"/>
      <c r="FV91" s="403"/>
      <c r="FW91" s="403"/>
      <c r="FX91" s="403"/>
      <c r="FY91" s="403"/>
      <c r="FZ91" s="403"/>
      <c r="GA91" s="403" t="s">
        <v>11844</v>
      </c>
      <c r="GB91" s="403"/>
      <c r="GC91" s="403"/>
      <c r="GD91" s="403"/>
      <c r="GE91" s="403"/>
      <c r="GF91" s="403"/>
      <c r="GG91" s="403"/>
      <c r="GH91" s="403"/>
      <c r="GI91" s="403"/>
      <c r="GJ91" s="403"/>
      <c r="GK91" s="403"/>
      <c r="GL91" s="403"/>
      <c r="GM91" s="403"/>
      <c r="GN91" s="403"/>
      <c r="GO91" s="403"/>
      <c r="GP91" s="403" t="s">
        <v>11845</v>
      </c>
      <c r="GQ91" s="403"/>
      <c r="GR91" s="403"/>
      <c r="GS91" s="403"/>
      <c r="GT91" s="403"/>
      <c r="GU91" s="403"/>
      <c r="GV91" s="403"/>
      <c r="GW91" s="403"/>
      <c r="GX91" s="403"/>
      <c r="GY91" s="403"/>
      <c r="GZ91" s="403"/>
      <c r="HA91" s="403"/>
      <c r="HB91" s="403"/>
      <c r="HC91" s="403"/>
      <c r="HD91" s="403"/>
      <c r="HE91" s="403"/>
      <c r="HF91" s="403"/>
      <c r="HG91" s="403"/>
      <c r="HH91" s="403"/>
      <c r="HI91" s="403" t="s">
        <v>11846</v>
      </c>
      <c r="HJ91" s="403"/>
      <c r="HK91" s="403"/>
      <c r="HL91" s="403"/>
      <c r="HM91" s="403"/>
      <c r="HN91" s="403"/>
      <c r="HO91" s="403"/>
      <c r="HP91" s="403"/>
      <c r="HQ91" s="403"/>
      <c r="HR91" s="403"/>
      <c r="HS91" s="403"/>
      <c r="HT91" s="403"/>
      <c r="HU91" s="403"/>
      <c r="HV91" s="403"/>
      <c r="HW91" s="403"/>
      <c r="HX91" s="403" t="s">
        <v>11847</v>
      </c>
      <c r="HY91" s="403"/>
      <c r="HZ91" s="403"/>
      <c r="IA91" s="403"/>
      <c r="IB91" s="403"/>
      <c r="IC91" s="403"/>
      <c r="ID91" s="403"/>
      <c r="IE91" s="403"/>
      <c r="IF91" s="403"/>
      <c r="IG91" s="403"/>
      <c r="IH91" s="403"/>
      <c r="II91" s="403"/>
      <c r="IJ91" s="403"/>
      <c r="IK91" s="403"/>
      <c r="IL91" s="403"/>
      <c r="IM91" s="403"/>
      <c r="IN91" s="403"/>
      <c r="IO91" s="403"/>
      <c r="IP91" s="403"/>
      <c r="IQ91" s="403" t="s">
        <v>11848</v>
      </c>
      <c r="IR91" s="403"/>
      <c r="IS91" s="403"/>
      <c r="IT91" s="403"/>
      <c r="IU91" s="403"/>
      <c r="IV91" s="403"/>
      <c r="IW91" s="403"/>
      <c r="IX91" s="403"/>
      <c r="IY91" s="403"/>
      <c r="IZ91" s="403"/>
      <c r="JA91" s="403"/>
      <c r="JB91" s="403"/>
      <c r="JC91" s="403"/>
      <c r="JD91" s="403"/>
      <c r="JE91" s="403"/>
      <c r="JF91" s="403" t="s">
        <v>11849</v>
      </c>
      <c r="JG91" s="403"/>
      <c r="JH91" s="403"/>
      <c r="JI91" s="403"/>
      <c r="JJ91" s="403"/>
      <c r="JK91" s="403"/>
      <c r="JL91" s="403"/>
      <c r="JM91" s="403"/>
      <c r="JN91" s="403"/>
      <c r="JO91" s="403"/>
      <c r="JP91" s="403"/>
      <c r="JQ91" s="403"/>
      <c r="JR91" s="403"/>
      <c r="JS91" s="403"/>
      <c r="JT91" s="403"/>
    </row>
    <row r="92" spans="1:280" s="15" customFormat="1" ht="12.75" x14ac:dyDescent="0.2">
      <c r="A92" s="9"/>
      <c r="B92" s="624"/>
      <c r="C92" s="31" t="str">
        <f t="shared" ca="1" si="200"/>
        <v>[HIDE]</v>
      </c>
      <c r="F92" s="61"/>
      <c r="G92" s="61"/>
      <c r="H92" s="61"/>
      <c r="I92" s="61">
        <v>0</v>
      </c>
      <c r="J92" s="15" t="e">
        <f t="shared" ref="J92:O92" si="204">IF(OR(J88&gt;0,I92=1),1,0)</f>
        <v>#N/A</v>
      </c>
      <c r="K92" s="15" t="e">
        <f t="shared" si="204"/>
        <v>#N/A</v>
      </c>
      <c r="L92" s="15" t="e">
        <f t="shared" si="204"/>
        <v>#N/A</v>
      </c>
      <c r="M92" s="15" t="e">
        <f t="shared" si="204"/>
        <v>#N/A</v>
      </c>
      <c r="N92" s="15" t="e">
        <f t="shared" si="204"/>
        <v>#N/A</v>
      </c>
      <c r="O92" s="15" t="e">
        <f t="shared" si="204"/>
        <v>#N/A</v>
      </c>
      <c r="P92" s="61"/>
      <c r="Q92" s="61"/>
      <c r="R92" s="12" t="str">
        <f t="shared" ca="1" si="199"/>
        <v>Triggered</v>
      </c>
      <c r="S92" s="2"/>
      <c r="T92" s="241"/>
      <c r="U92" s="624"/>
      <c r="V92" s="421">
        <v>0</v>
      </c>
      <c r="W92" s="241" t="e">
        <f t="shared" ref="W92:AB92" si="205">IF(OR(W88&gt;0,V92=1),1,0)</f>
        <v>#N/A</v>
      </c>
      <c r="X92" s="241" t="e">
        <f t="shared" si="205"/>
        <v>#N/A</v>
      </c>
      <c r="Y92" s="241" t="e">
        <f t="shared" si="205"/>
        <v>#N/A</v>
      </c>
      <c r="Z92" s="241" t="e">
        <f t="shared" si="205"/>
        <v>#N/A</v>
      </c>
      <c r="AA92" s="241" t="e">
        <f t="shared" si="205"/>
        <v>#N/A</v>
      </c>
      <c r="AB92" s="241" t="e">
        <f t="shared" si="205"/>
        <v>#N/A</v>
      </c>
      <c r="AE92" s="2"/>
      <c r="AF92" s="241"/>
      <c r="AG92" s="624"/>
      <c r="AH92" s="422">
        <v>0</v>
      </c>
      <c r="AI92" s="241" t="e">
        <f t="shared" ref="AI92:AN92" si="206">IF(OR(AI88&gt;0,AH92=1),1,0)</f>
        <v>#N/A</v>
      </c>
      <c r="AJ92" s="241" t="e">
        <f t="shared" si="206"/>
        <v>#N/A</v>
      </c>
      <c r="AK92" s="241" t="e">
        <f t="shared" si="206"/>
        <v>#N/A</v>
      </c>
      <c r="AL92" s="241" t="e">
        <f t="shared" si="206"/>
        <v>#N/A</v>
      </c>
      <c r="AM92" s="241" t="e">
        <f t="shared" si="206"/>
        <v>#N/A</v>
      </c>
      <c r="AN92" s="241" t="e">
        <f t="shared" si="206"/>
        <v>#N/A</v>
      </c>
      <c r="AR92" s="403"/>
      <c r="AS92" s="403"/>
      <c r="AT92" s="403"/>
      <c r="AU92" s="403" t="s">
        <v>1612</v>
      </c>
      <c r="AV92" s="403"/>
      <c r="AW92" s="403"/>
      <c r="AX92" s="403"/>
      <c r="AY92" s="403"/>
      <c r="AZ92" s="403"/>
      <c r="BA92" s="403"/>
      <c r="BB92" s="403"/>
      <c r="BC92" s="403"/>
      <c r="BD92" s="403"/>
      <c r="BE92" s="403"/>
      <c r="BF92" s="403"/>
      <c r="BG92" s="403"/>
      <c r="BH92" s="403"/>
      <c r="BI92" s="403"/>
      <c r="BJ92" s="403" t="s">
        <v>1610</v>
      </c>
      <c r="BK92" s="403"/>
      <c r="BL92" s="403"/>
      <c r="BM92" s="403"/>
      <c r="BN92" s="403"/>
      <c r="BO92" s="403"/>
      <c r="BP92" s="403"/>
      <c r="BQ92" s="403"/>
      <c r="BR92" s="403"/>
      <c r="BS92" s="403"/>
      <c r="BT92" s="403"/>
      <c r="BU92" s="403"/>
      <c r="BV92" s="403"/>
      <c r="BW92" s="403"/>
      <c r="BX92" s="403"/>
      <c r="BY92" s="403"/>
      <c r="BZ92" s="403"/>
      <c r="CA92" s="403"/>
      <c r="CB92" s="403"/>
      <c r="CC92" s="403" t="s">
        <v>11850</v>
      </c>
      <c r="CD92" s="403"/>
      <c r="CE92" s="403"/>
      <c r="CF92" s="403"/>
      <c r="CG92" s="403"/>
      <c r="CH92" s="403"/>
      <c r="CI92" s="403"/>
      <c r="CJ92" s="403"/>
      <c r="CK92" s="403"/>
      <c r="CL92" s="403"/>
      <c r="CM92" s="403"/>
      <c r="CN92" s="403"/>
      <c r="CO92" s="403"/>
      <c r="CP92" s="403"/>
      <c r="CQ92" s="403"/>
      <c r="CR92" s="403" t="s">
        <v>11851</v>
      </c>
      <c r="CS92" s="403"/>
      <c r="CT92" s="403"/>
      <c r="CU92" s="403"/>
      <c r="CV92" s="403"/>
      <c r="CW92" s="403"/>
      <c r="CX92" s="403"/>
      <c r="CY92" s="403"/>
      <c r="CZ92" s="403"/>
      <c r="DA92" s="403"/>
      <c r="DB92" s="403"/>
      <c r="DC92" s="403"/>
      <c r="DD92" s="403"/>
      <c r="DE92" s="403"/>
      <c r="DF92" s="403"/>
      <c r="DG92" s="403"/>
      <c r="DH92" s="403"/>
      <c r="DI92" s="403"/>
      <c r="DJ92" s="403"/>
      <c r="DK92" s="403" t="s">
        <v>11852</v>
      </c>
      <c r="DL92" s="403"/>
      <c r="DM92" s="403"/>
      <c r="DN92" s="403"/>
      <c r="DO92" s="403"/>
      <c r="DP92" s="403"/>
      <c r="DQ92" s="403"/>
      <c r="DR92" s="403"/>
      <c r="DS92" s="403"/>
      <c r="DT92" s="403"/>
      <c r="DU92" s="403"/>
      <c r="DV92" s="403"/>
      <c r="DW92" s="403"/>
      <c r="DX92" s="403"/>
      <c r="DY92" s="403"/>
      <c r="DZ92" s="403" t="s">
        <v>11853</v>
      </c>
      <c r="EA92" s="403"/>
      <c r="EB92" s="403"/>
      <c r="EC92" s="403"/>
      <c r="ED92" s="403"/>
      <c r="EE92" s="403"/>
      <c r="EF92" s="403"/>
      <c r="EG92" s="403"/>
      <c r="EH92" s="403"/>
      <c r="EI92" s="403"/>
      <c r="EJ92" s="403"/>
      <c r="EK92" s="403"/>
      <c r="EL92" s="403"/>
      <c r="EM92" s="403"/>
      <c r="EN92" s="403"/>
      <c r="EO92" s="403"/>
      <c r="EP92" s="403"/>
      <c r="EQ92" s="403"/>
      <c r="ER92" s="403"/>
      <c r="ES92" s="403" t="s">
        <v>11854</v>
      </c>
      <c r="ET92" s="403"/>
      <c r="EU92" s="403"/>
      <c r="EV92" s="403"/>
      <c r="EW92" s="403"/>
      <c r="EX92" s="403"/>
      <c r="EY92" s="403"/>
      <c r="EZ92" s="403"/>
      <c r="FA92" s="403"/>
      <c r="FB92" s="403"/>
      <c r="FC92" s="403"/>
      <c r="FD92" s="403"/>
      <c r="FE92" s="403"/>
      <c r="FF92" s="403"/>
      <c r="FG92" s="403"/>
      <c r="FH92" s="403" t="s">
        <v>11855</v>
      </c>
      <c r="FI92" s="403"/>
      <c r="FJ92" s="403"/>
      <c r="FK92" s="403"/>
      <c r="FL92" s="403"/>
      <c r="FM92" s="403"/>
      <c r="FN92" s="403"/>
      <c r="FO92" s="403"/>
      <c r="FP92" s="403"/>
      <c r="FQ92" s="403"/>
      <c r="FR92" s="403"/>
      <c r="FS92" s="403"/>
      <c r="FT92" s="403"/>
      <c r="FU92" s="403"/>
      <c r="FV92" s="403"/>
      <c r="FW92" s="403"/>
      <c r="FX92" s="403"/>
      <c r="FY92" s="403"/>
      <c r="FZ92" s="403"/>
      <c r="GA92" s="403" t="s">
        <v>11854</v>
      </c>
      <c r="GB92" s="403"/>
      <c r="GC92" s="403"/>
      <c r="GD92" s="403"/>
      <c r="GE92" s="403"/>
      <c r="GF92" s="403"/>
      <c r="GG92" s="403"/>
      <c r="GH92" s="403"/>
      <c r="GI92" s="403"/>
      <c r="GJ92" s="403"/>
      <c r="GK92" s="403"/>
      <c r="GL92" s="403"/>
      <c r="GM92" s="403"/>
      <c r="GN92" s="403"/>
      <c r="GO92" s="403"/>
      <c r="GP92" s="403" t="s">
        <v>11856</v>
      </c>
      <c r="GQ92" s="403"/>
      <c r="GR92" s="403"/>
      <c r="GS92" s="403"/>
      <c r="GT92" s="403"/>
      <c r="GU92" s="403"/>
      <c r="GV92" s="403"/>
      <c r="GW92" s="403"/>
      <c r="GX92" s="403"/>
      <c r="GY92" s="403"/>
      <c r="GZ92" s="403"/>
      <c r="HA92" s="403"/>
      <c r="HB92" s="403"/>
      <c r="HC92" s="403"/>
      <c r="HD92" s="403"/>
      <c r="HE92" s="403"/>
      <c r="HF92" s="403"/>
      <c r="HG92" s="403"/>
      <c r="HH92" s="403"/>
      <c r="HI92" s="403" t="s">
        <v>11857</v>
      </c>
      <c r="HJ92" s="403"/>
      <c r="HK92" s="403"/>
      <c r="HL92" s="403"/>
      <c r="HM92" s="403"/>
      <c r="HN92" s="403"/>
      <c r="HO92" s="403"/>
      <c r="HP92" s="403"/>
      <c r="HQ92" s="403"/>
      <c r="HR92" s="403"/>
      <c r="HS92" s="403"/>
      <c r="HT92" s="403"/>
      <c r="HU92" s="403"/>
      <c r="HV92" s="403"/>
      <c r="HW92" s="403"/>
      <c r="HX92" s="403" t="s">
        <v>11858</v>
      </c>
      <c r="HY92" s="403"/>
      <c r="HZ92" s="403"/>
      <c r="IA92" s="403"/>
      <c r="IB92" s="403"/>
      <c r="IC92" s="403"/>
      <c r="ID92" s="403"/>
      <c r="IE92" s="403"/>
      <c r="IF92" s="403"/>
      <c r="IG92" s="403"/>
      <c r="IH92" s="403"/>
      <c r="II92" s="403"/>
      <c r="IJ92" s="403"/>
      <c r="IK92" s="403"/>
      <c r="IL92" s="403"/>
      <c r="IM92" s="403"/>
      <c r="IN92" s="403"/>
      <c r="IO92" s="403"/>
      <c r="IP92" s="403"/>
      <c r="IQ92" s="403" t="s">
        <v>11859</v>
      </c>
      <c r="IR92" s="403"/>
      <c r="IS92" s="403"/>
      <c r="IT92" s="403"/>
      <c r="IU92" s="403"/>
      <c r="IV92" s="403"/>
      <c r="IW92" s="403"/>
      <c r="IX92" s="403"/>
      <c r="IY92" s="403"/>
      <c r="IZ92" s="403"/>
      <c r="JA92" s="403"/>
      <c r="JB92" s="403"/>
      <c r="JC92" s="403"/>
      <c r="JD92" s="403"/>
      <c r="JE92" s="403"/>
      <c r="JF92" s="403" t="s">
        <v>11860</v>
      </c>
      <c r="JG92" s="403"/>
      <c r="JH92" s="403"/>
      <c r="JI92" s="403"/>
      <c r="JJ92" s="403"/>
      <c r="JK92" s="403"/>
      <c r="JL92" s="403"/>
      <c r="JM92" s="403"/>
      <c r="JN92" s="403"/>
      <c r="JO92" s="403"/>
      <c r="JP92" s="403"/>
      <c r="JQ92" s="403"/>
      <c r="JR92" s="403"/>
      <c r="JS92" s="403"/>
      <c r="JT92" s="403"/>
    </row>
    <row r="93" spans="1:280" s="15" customFormat="1" ht="12.75" x14ac:dyDescent="0.2">
      <c r="A93" s="9"/>
      <c r="B93" s="624"/>
      <c r="C93" s="31" t="str">
        <f t="shared" ca="1" si="200"/>
        <v>[HIDE]</v>
      </c>
      <c r="E93" s="61"/>
      <c r="F93" s="61"/>
      <c r="G93" s="61"/>
      <c r="H93" s="61"/>
      <c r="I93" s="61"/>
      <c r="J93" s="15" t="e">
        <f t="shared" ref="J93:O93" si="207">IF(J88&gt;0,1,0)</f>
        <v>#N/A</v>
      </c>
      <c r="K93" s="15" t="e">
        <f t="shared" si="207"/>
        <v>#N/A</v>
      </c>
      <c r="L93" s="15" t="e">
        <f t="shared" si="207"/>
        <v>#N/A</v>
      </c>
      <c r="M93" s="15" t="e">
        <f t="shared" si="207"/>
        <v>#N/A</v>
      </c>
      <c r="N93" s="15" t="e">
        <f t="shared" si="207"/>
        <v>#N/A</v>
      </c>
      <c r="O93" s="15" t="e">
        <f t="shared" si="207"/>
        <v>#N/A</v>
      </c>
      <c r="P93" s="61"/>
      <c r="Q93" s="61"/>
      <c r="R93" s="12" t="str">
        <f t="shared" ca="1" si="199"/>
        <v>Vaccinations going on this period?</v>
      </c>
      <c r="S93" s="2"/>
      <c r="T93" s="241"/>
      <c r="U93" s="624"/>
      <c r="V93" s="420" t="str">
        <f ca="1">IF(OFFSET(AU93,0,Lang_Order*Lang__B5)="","",OFFSET(AU93,0,Lang_Order*Lang__B5))</f>
        <v>[HIDE]</v>
      </c>
      <c r="W93" s="241" t="e">
        <f t="shared" ref="W93:AB93" si="208">IF(W88&gt;0,1,0)</f>
        <v>#N/A</v>
      </c>
      <c r="X93" s="241" t="e">
        <f t="shared" si="208"/>
        <v>#N/A</v>
      </c>
      <c r="Y93" s="241" t="e">
        <f t="shared" si="208"/>
        <v>#N/A</v>
      </c>
      <c r="Z93" s="241" t="e">
        <f t="shared" si="208"/>
        <v>#N/A</v>
      </c>
      <c r="AA93" s="241" t="e">
        <f t="shared" si="208"/>
        <v>#N/A</v>
      </c>
      <c r="AB93" s="241" t="e">
        <f t="shared" si="208"/>
        <v>#N/A</v>
      </c>
      <c r="AE93" s="2"/>
      <c r="AF93" s="241"/>
      <c r="AG93" s="624"/>
      <c r="AH93" s="420" t="str">
        <f ca="1">IF(OFFSET(AU93,0,Lang_Order*Lang__B5)="","",OFFSET(AU93,0,Lang_Order*Lang__B5))</f>
        <v>[HIDE]</v>
      </c>
      <c r="AI93" s="241" t="e">
        <f t="shared" ref="AI93:AN93" si="209">IF(AI88&gt;0,1,0)</f>
        <v>#N/A</v>
      </c>
      <c r="AJ93" s="241" t="e">
        <f t="shared" si="209"/>
        <v>#N/A</v>
      </c>
      <c r="AK93" s="241" t="e">
        <f t="shared" si="209"/>
        <v>#N/A</v>
      </c>
      <c r="AL93" s="241" t="e">
        <f t="shared" si="209"/>
        <v>#N/A</v>
      </c>
      <c r="AM93" s="241" t="e">
        <f t="shared" si="209"/>
        <v>#N/A</v>
      </c>
      <c r="AN93" s="241" t="e">
        <f t="shared" si="209"/>
        <v>#N/A</v>
      </c>
      <c r="AR93" s="403"/>
      <c r="AS93" s="403"/>
      <c r="AT93" s="403"/>
      <c r="AU93" s="403" t="s">
        <v>1612</v>
      </c>
      <c r="AV93" s="403"/>
      <c r="AW93" s="403"/>
      <c r="AX93" s="403"/>
      <c r="AY93" s="403"/>
      <c r="AZ93" s="403"/>
      <c r="BA93" s="403"/>
      <c r="BB93" s="403"/>
      <c r="BC93" s="403"/>
      <c r="BD93" s="403"/>
      <c r="BE93" s="403"/>
      <c r="BF93" s="403"/>
      <c r="BG93" s="403"/>
      <c r="BH93" s="403"/>
      <c r="BI93" s="403"/>
      <c r="BJ93" s="403" t="s">
        <v>1665</v>
      </c>
      <c r="BK93" s="403"/>
      <c r="BL93" s="403"/>
      <c r="BM93" s="403"/>
      <c r="BN93" s="403"/>
      <c r="BO93" s="403"/>
      <c r="BP93" s="403"/>
      <c r="BQ93" s="403"/>
      <c r="BR93" s="403"/>
      <c r="BS93" s="403"/>
      <c r="BT93" s="403"/>
      <c r="BU93" s="403"/>
      <c r="BV93" s="403"/>
      <c r="BW93" s="403"/>
      <c r="BX93" s="403"/>
      <c r="BY93" s="403"/>
      <c r="BZ93" s="403"/>
      <c r="CA93" s="403"/>
      <c r="CB93" s="403"/>
      <c r="CC93" s="403" t="s">
        <v>11850</v>
      </c>
      <c r="CD93" s="403"/>
      <c r="CE93" s="403"/>
      <c r="CF93" s="403"/>
      <c r="CG93" s="403"/>
      <c r="CH93" s="403"/>
      <c r="CI93" s="403"/>
      <c r="CJ93" s="403"/>
      <c r="CK93" s="403"/>
      <c r="CL93" s="403"/>
      <c r="CM93" s="403"/>
      <c r="CN93" s="403"/>
      <c r="CO93" s="403"/>
      <c r="CP93" s="403"/>
      <c r="CQ93" s="403"/>
      <c r="CR93" s="403" t="s">
        <v>11861</v>
      </c>
      <c r="CS93" s="403"/>
      <c r="CT93" s="403"/>
      <c r="CU93" s="403"/>
      <c r="CV93" s="403"/>
      <c r="CW93" s="403"/>
      <c r="CX93" s="403"/>
      <c r="CY93" s="403"/>
      <c r="CZ93" s="403"/>
      <c r="DA93" s="403"/>
      <c r="DB93" s="403"/>
      <c r="DC93" s="403"/>
      <c r="DD93" s="403"/>
      <c r="DE93" s="403"/>
      <c r="DF93" s="403"/>
      <c r="DG93" s="403"/>
      <c r="DH93" s="403"/>
      <c r="DI93" s="403"/>
      <c r="DJ93" s="403"/>
      <c r="DK93" s="403" t="s">
        <v>11852</v>
      </c>
      <c r="DL93" s="403"/>
      <c r="DM93" s="403"/>
      <c r="DN93" s="403"/>
      <c r="DO93" s="403"/>
      <c r="DP93" s="403"/>
      <c r="DQ93" s="403"/>
      <c r="DR93" s="403"/>
      <c r="DS93" s="403"/>
      <c r="DT93" s="403"/>
      <c r="DU93" s="403"/>
      <c r="DV93" s="403"/>
      <c r="DW93" s="403"/>
      <c r="DX93" s="403"/>
      <c r="DY93" s="403"/>
      <c r="DZ93" s="403" t="s">
        <v>11862</v>
      </c>
      <c r="EA93" s="403"/>
      <c r="EB93" s="403"/>
      <c r="EC93" s="403"/>
      <c r="ED93" s="403"/>
      <c r="EE93" s="403"/>
      <c r="EF93" s="403"/>
      <c r="EG93" s="403"/>
      <c r="EH93" s="403"/>
      <c r="EI93" s="403"/>
      <c r="EJ93" s="403"/>
      <c r="EK93" s="403"/>
      <c r="EL93" s="403"/>
      <c r="EM93" s="403"/>
      <c r="EN93" s="403"/>
      <c r="EO93" s="403"/>
      <c r="EP93" s="403"/>
      <c r="EQ93" s="403"/>
      <c r="ER93" s="403"/>
      <c r="ES93" s="403" t="s">
        <v>11854</v>
      </c>
      <c r="ET93" s="403"/>
      <c r="EU93" s="403"/>
      <c r="EV93" s="403"/>
      <c r="EW93" s="403"/>
      <c r="EX93" s="403"/>
      <c r="EY93" s="403"/>
      <c r="EZ93" s="403"/>
      <c r="FA93" s="403"/>
      <c r="FB93" s="403"/>
      <c r="FC93" s="403"/>
      <c r="FD93" s="403"/>
      <c r="FE93" s="403"/>
      <c r="FF93" s="403"/>
      <c r="FG93" s="403"/>
      <c r="FH93" s="403" t="s">
        <v>11863</v>
      </c>
      <c r="FI93" s="403"/>
      <c r="FJ93" s="403"/>
      <c r="FK93" s="403"/>
      <c r="FL93" s="403"/>
      <c r="FM93" s="403"/>
      <c r="FN93" s="403"/>
      <c r="FO93" s="403"/>
      <c r="FP93" s="403"/>
      <c r="FQ93" s="403"/>
      <c r="FR93" s="403"/>
      <c r="FS93" s="403"/>
      <c r="FT93" s="403"/>
      <c r="FU93" s="403"/>
      <c r="FV93" s="403"/>
      <c r="FW93" s="403"/>
      <c r="FX93" s="403"/>
      <c r="FY93" s="403"/>
      <c r="FZ93" s="403"/>
      <c r="GA93" s="403" t="s">
        <v>11854</v>
      </c>
      <c r="GB93" s="403"/>
      <c r="GC93" s="403"/>
      <c r="GD93" s="403"/>
      <c r="GE93" s="403"/>
      <c r="GF93" s="403"/>
      <c r="GG93" s="403"/>
      <c r="GH93" s="403"/>
      <c r="GI93" s="403"/>
      <c r="GJ93" s="403"/>
      <c r="GK93" s="403"/>
      <c r="GL93" s="403"/>
      <c r="GM93" s="403"/>
      <c r="GN93" s="403"/>
      <c r="GO93" s="403"/>
      <c r="GP93" s="403" t="s">
        <v>11864</v>
      </c>
      <c r="GQ93" s="403"/>
      <c r="GR93" s="403"/>
      <c r="GS93" s="403"/>
      <c r="GT93" s="403"/>
      <c r="GU93" s="403"/>
      <c r="GV93" s="403"/>
      <c r="GW93" s="403"/>
      <c r="GX93" s="403"/>
      <c r="GY93" s="403"/>
      <c r="GZ93" s="403"/>
      <c r="HA93" s="403"/>
      <c r="HB93" s="403"/>
      <c r="HC93" s="403"/>
      <c r="HD93" s="403"/>
      <c r="HE93" s="403"/>
      <c r="HF93" s="403"/>
      <c r="HG93" s="403"/>
      <c r="HH93" s="403"/>
      <c r="HI93" s="403" t="s">
        <v>11857</v>
      </c>
      <c r="HJ93" s="403"/>
      <c r="HK93" s="403"/>
      <c r="HL93" s="403"/>
      <c r="HM93" s="403"/>
      <c r="HN93" s="403"/>
      <c r="HO93" s="403"/>
      <c r="HP93" s="403"/>
      <c r="HQ93" s="403"/>
      <c r="HR93" s="403"/>
      <c r="HS93" s="403"/>
      <c r="HT93" s="403"/>
      <c r="HU93" s="403"/>
      <c r="HV93" s="403"/>
      <c r="HW93" s="403"/>
      <c r="HX93" s="403" t="s">
        <v>11865</v>
      </c>
      <c r="HY93" s="403"/>
      <c r="HZ93" s="403"/>
      <c r="IA93" s="403"/>
      <c r="IB93" s="403"/>
      <c r="IC93" s="403"/>
      <c r="ID93" s="403"/>
      <c r="IE93" s="403"/>
      <c r="IF93" s="403"/>
      <c r="IG93" s="403"/>
      <c r="IH93" s="403"/>
      <c r="II93" s="403"/>
      <c r="IJ93" s="403"/>
      <c r="IK93" s="403"/>
      <c r="IL93" s="403"/>
      <c r="IM93" s="403"/>
      <c r="IN93" s="403"/>
      <c r="IO93" s="403"/>
      <c r="IP93" s="403"/>
      <c r="IQ93" s="403" t="s">
        <v>11859</v>
      </c>
      <c r="IR93" s="403"/>
      <c r="IS93" s="403"/>
      <c r="IT93" s="403"/>
      <c r="IU93" s="403"/>
      <c r="IV93" s="403"/>
      <c r="IW93" s="403"/>
      <c r="IX93" s="403"/>
      <c r="IY93" s="403"/>
      <c r="IZ93" s="403"/>
      <c r="JA93" s="403"/>
      <c r="JB93" s="403"/>
      <c r="JC93" s="403"/>
      <c r="JD93" s="403"/>
      <c r="JE93" s="403"/>
      <c r="JF93" s="403" t="s">
        <v>11866</v>
      </c>
      <c r="JG93" s="403"/>
      <c r="JH93" s="403"/>
      <c r="JI93" s="403"/>
      <c r="JJ93" s="403"/>
      <c r="JK93" s="403"/>
      <c r="JL93" s="403"/>
      <c r="JM93" s="403"/>
      <c r="JN93" s="403"/>
      <c r="JO93" s="403"/>
      <c r="JP93" s="403"/>
      <c r="JQ93" s="403"/>
      <c r="JR93" s="403"/>
      <c r="JS93" s="403"/>
      <c r="JT93" s="403"/>
    </row>
    <row r="94" spans="1:280" s="15" customFormat="1" ht="12.75" x14ac:dyDescent="0.2">
      <c r="A94" s="9"/>
      <c r="B94" s="624"/>
      <c r="C94" s="23" t="str">
        <f t="shared" ca="1" si="200"/>
        <v>Sites to start with @ initiation of service delivery</v>
      </c>
      <c r="J94" s="26" t="e">
        <f t="shared" ref="J94:O94" si="210">IF(J91=1,$F88,0)</f>
        <v>#N/A</v>
      </c>
      <c r="K94" s="26" t="e">
        <f t="shared" si="210"/>
        <v>#N/A</v>
      </c>
      <c r="L94" s="26" t="e">
        <f t="shared" si="210"/>
        <v>#N/A</v>
      </c>
      <c r="M94" s="26" t="e">
        <f t="shared" si="210"/>
        <v>#N/A</v>
      </c>
      <c r="N94" s="26" t="e">
        <f t="shared" si="210"/>
        <v>#N/A</v>
      </c>
      <c r="O94" s="26" t="e">
        <f t="shared" si="210"/>
        <v>#N/A</v>
      </c>
      <c r="P94" s="26"/>
      <c r="Q94" s="26"/>
      <c r="R94" s="12" t="str">
        <f t="shared" ca="1" si="199"/>
        <v/>
      </c>
      <c r="S94" s="2"/>
      <c r="T94" s="241"/>
      <c r="U94" s="624"/>
      <c r="V94" s="72" t="str">
        <f ca="1">IF(OFFSET(AU94,0,Lang_Order*Lang__B5)="","",OFFSET(AU94,0,Lang_Order*Lang__B5))</f>
        <v>Sites to start with @ initiation of service delivery</v>
      </c>
      <c r="W94" s="26" t="e">
        <f t="shared" ref="W94:AB94" si="211">IF(W91=1,$F88,0)</f>
        <v>#N/A</v>
      </c>
      <c r="X94" s="26" t="e">
        <f t="shared" si="211"/>
        <v>#N/A</v>
      </c>
      <c r="Y94" s="26" t="e">
        <f t="shared" si="211"/>
        <v>#N/A</v>
      </c>
      <c r="Z94" s="26" t="e">
        <f t="shared" si="211"/>
        <v>#N/A</v>
      </c>
      <c r="AA94" s="26" t="e">
        <f t="shared" si="211"/>
        <v>#N/A</v>
      </c>
      <c r="AB94" s="26" t="e">
        <f t="shared" si="211"/>
        <v>#N/A</v>
      </c>
      <c r="AE94" s="2"/>
      <c r="AF94" s="241"/>
      <c r="AG94" s="624"/>
      <c r="AH94" s="72" t="str">
        <f ca="1">IF(OFFSET(AU94,0,Lang_Order*Lang__B5)="","",OFFSET(AU94,0,Lang_Order*Lang__B5))</f>
        <v>Sites to start with @ initiation of service delivery</v>
      </c>
      <c r="AI94" s="26" t="e">
        <f t="shared" ref="AI94:AN94" si="212">IF(AI91=1,$F88,0)</f>
        <v>#N/A</v>
      </c>
      <c r="AJ94" s="26" t="e">
        <f t="shared" si="212"/>
        <v>#N/A</v>
      </c>
      <c r="AK94" s="26" t="e">
        <f t="shared" si="212"/>
        <v>#N/A</v>
      </c>
      <c r="AL94" s="26" t="e">
        <f t="shared" si="212"/>
        <v>#N/A</v>
      </c>
      <c r="AM94" s="26" t="e">
        <f t="shared" si="212"/>
        <v>#N/A</v>
      </c>
      <c r="AN94" s="26" t="e">
        <f t="shared" si="212"/>
        <v>#N/A</v>
      </c>
      <c r="AR94" s="403"/>
      <c r="AS94" s="403"/>
      <c r="AT94" s="403"/>
      <c r="AU94" s="403" t="s">
        <v>1614</v>
      </c>
      <c r="AV94" s="403"/>
      <c r="AW94" s="403"/>
      <c r="AX94" s="403"/>
      <c r="AY94" s="403"/>
      <c r="AZ94" s="403"/>
      <c r="BA94" s="403"/>
      <c r="BB94" s="403"/>
      <c r="BC94" s="403"/>
      <c r="BD94" s="403"/>
      <c r="BE94" s="403"/>
      <c r="BF94" s="403"/>
      <c r="BG94" s="403"/>
      <c r="BH94" s="403"/>
      <c r="BI94" s="403"/>
      <c r="BJ94" s="403"/>
      <c r="BK94" s="403"/>
      <c r="BL94" s="403"/>
      <c r="BM94" s="403"/>
      <c r="BN94" s="403"/>
      <c r="BO94" s="403"/>
      <c r="BP94" s="403"/>
      <c r="BQ94" s="403"/>
      <c r="BR94" s="403"/>
      <c r="BS94" s="403"/>
      <c r="BT94" s="403"/>
      <c r="BU94" s="403"/>
      <c r="BV94" s="403"/>
      <c r="BW94" s="403"/>
      <c r="BX94" s="403"/>
      <c r="BY94" s="403"/>
      <c r="BZ94" s="403"/>
      <c r="CA94" s="403"/>
      <c r="CB94" s="403"/>
      <c r="CC94" s="403" t="s">
        <v>11867</v>
      </c>
      <c r="CD94" s="403"/>
      <c r="CE94" s="403"/>
      <c r="CF94" s="403"/>
      <c r="CG94" s="403"/>
      <c r="CH94" s="403"/>
      <c r="CI94" s="403"/>
      <c r="CJ94" s="403"/>
      <c r="CK94" s="403"/>
      <c r="CL94" s="403"/>
      <c r="CM94" s="403"/>
      <c r="CN94" s="403"/>
      <c r="CO94" s="403"/>
      <c r="CP94" s="403"/>
      <c r="CQ94" s="403"/>
      <c r="CR94" s="403"/>
      <c r="CS94" s="403"/>
      <c r="CT94" s="403"/>
      <c r="CU94" s="403"/>
      <c r="CV94" s="403"/>
      <c r="CW94" s="403"/>
      <c r="CX94" s="403"/>
      <c r="CY94" s="403"/>
      <c r="CZ94" s="403"/>
      <c r="DA94" s="403"/>
      <c r="DB94" s="403"/>
      <c r="DC94" s="403"/>
      <c r="DD94" s="403"/>
      <c r="DE94" s="403"/>
      <c r="DF94" s="403"/>
      <c r="DG94" s="403"/>
      <c r="DH94" s="403"/>
      <c r="DI94" s="403"/>
      <c r="DJ94" s="403"/>
      <c r="DK94" s="403" t="s">
        <v>11868</v>
      </c>
      <c r="DL94" s="403"/>
      <c r="DM94" s="403"/>
      <c r="DN94" s="403"/>
      <c r="DO94" s="403"/>
      <c r="DP94" s="403"/>
      <c r="DQ94" s="403"/>
      <c r="DR94" s="403"/>
      <c r="DS94" s="403"/>
      <c r="DT94" s="403"/>
      <c r="DU94" s="403"/>
      <c r="DV94" s="403"/>
      <c r="DW94" s="403"/>
      <c r="DX94" s="403"/>
      <c r="DY94" s="403"/>
      <c r="DZ94" s="403"/>
      <c r="EA94" s="403"/>
      <c r="EB94" s="403"/>
      <c r="EC94" s="403"/>
      <c r="ED94" s="403"/>
      <c r="EE94" s="403"/>
      <c r="EF94" s="403"/>
      <c r="EG94" s="403"/>
      <c r="EH94" s="403"/>
      <c r="EI94" s="403"/>
      <c r="EJ94" s="403"/>
      <c r="EK94" s="403"/>
      <c r="EL94" s="403"/>
      <c r="EM94" s="403"/>
      <c r="EN94" s="403"/>
      <c r="EO94" s="403"/>
      <c r="EP94" s="403"/>
      <c r="EQ94" s="403"/>
      <c r="ER94" s="403"/>
      <c r="ES94" s="403" t="s">
        <v>11869</v>
      </c>
      <c r="ET94" s="403"/>
      <c r="EU94" s="403"/>
      <c r="EV94" s="403"/>
      <c r="EW94" s="403"/>
      <c r="EX94" s="403"/>
      <c r="EY94" s="403"/>
      <c r="EZ94" s="403"/>
      <c r="FA94" s="403"/>
      <c r="FB94" s="403"/>
      <c r="FC94" s="403"/>
      <c r="FD94" s="403"/>
      <c r="FE94" s="403"/>
      <c r="FF94" s="403"/>
      <c r="FG94" s="403"/>
      <c r="FH94" s="403"/>
      <c r="FI94" s="403"/>
      <c r="FJ94" s="403"/>
      <c r="FK94" s="403"/>
      <c r="FL94" s="403"/>
      <c r="FM94" s="403"/>
      <c r="FN94" s="403"/>
      <c r="FO94" s="403"/>
      <c r="FP94" s="403"/>
      <c r="FQ94" s="403"/>
      <c r="FR94" s="403"/>
      <c r="FS94" s="403"/>
      <c r="FT94" s="403"/>
      <c r="FU94" s="403"/>
      <c r="FV94" s="403"/>
      <c r="FW94" s="403"/>
      <c r="FX94" s="403"/>
      <c r="FY94" s="403"/>
      <c r="FZ94" s="403"/>
      <c r="GA94" s="403" t="s">
        <v>11870</v>
      </c>
      <c r="GB94" s="403"/>
      <c r="GC94" s="403"/>
      <c r="GD94" s="403"/>
      <c r="GE94" s="403"/>
      <c r="GF94" s="403"/>
      <c r="GG94" s="403"/>
      <c r="GH94" s="403"/>
      <c r="GI94" s="403"/>
      <c r="GJ94" s="403"/>
      <c r="GK94" s="403"/>
      <c r="GL94" s="403"/>
      <c r="GM94" s="403"/>
      <c r="GN94" s="403"/>
      <c r="GO94" s="403"/>
      <c r="GP94" s="403"/>
      <c r="GQ94" s="403"/>
      <c r="GR94" s="403"/>
      <c r="GS94" s="403"/>
      <c r="GT94" s="403"/>
      <c r="GU94" s="403"/>
      <c r="GV94" s="403"/>
      <c r="GW94" s="403"/>
      <c r="GX94" s="403"/>
      <c r="GY94" s="403"/>
      <c r="GZ94" s="403"/>
      <c r="HA94" s="403"/>
      <c r="HB94" s="403"/>
      <c r="HC94" s="403"/>
      <c r="HD94" s="403"/>
      <c r="HE94" s="403"/>
      <c r="HF94" s="403"/>
      <c r="HG94" s="403"/>
      <c r="HH94" s="403"/>
      <c r="HI94" s="403" t="s">
        <v>11871</v>
      </c>
      <c r="HJ94" s="403"/>
      <c r="HK94" s="403"/>
      <c r="HL94" s="403"/>
      <c r="HM94" s="403"/>
      <c r="HN94" s="403"/>
      <c r="HO94" s="403"/>
      <c r="HP94" s="403"/>
      <c r="HQ94" s="403"/>
      <c r="HR94" s="403"/>
      <c r="HS94" s="403"/>
      <c r="HT94" s="403"/>
      <c r="HU94" s="403"/>
      <c r="HV94" s="403"/>
      <c r="HW94" s="403"/>
      <c r="HX94" s="403"/>
      <c r="HY94" s="403"/>
      <c r="HZ94" s="403"/>
      <c r="IA94" s="403"/>
      <c r="IB94" s="403"/>
      <c r="IC94" s="403"/>
      <c r="ID94" s="403"/>
      <c r="IE94" s="403"/>
      <c r="IF94" s="403"/>
      <c r="IG94" s="403"/>
      <c r="IH94" s="403"/>
      <c r="II94" s="403"/>
      <c r="IJ94" s="403"/>
      <c r="IK94" s="403"/>
      <c r="IL94" s="403"/>
      <c r="IM94" s="403"/>
      <c r="IN94" s="403"/>
      <c r="IO94" s="403"/>
      <c r="IP94" s="403"/>
      <c r="IQ94" s="403" t="s">
        <v>11872</v>
      </c>
      <c r="IR94" s="403"/>
      <c r="IS94" s="403"/>
      <c r="IT94" s="403"/>
      <c r="IU94" s="403"/>
      <c r="IV94" s="403"/>
      <c r="IW94" s="403"/>
      <c r="IX94" s="403"/>
      <c r="IY94" s="403"/>
      <c r="IZ94" s="403"/>
      <c r="JA94" s="403"/>
      <c r="JB94" s="403"/>
      <c r="JC94" s="403"/>
      <c r="JD94" s="403"/>
      <c r="JE94" s="403"/>
      <c r="JF94" s="403"/>
      <c r="JG94" s="403"/>
      <c r="JH94" s="403"/>
      <c r="JI94" s="403"/>
      <c r="JJ94" s="403"/>
      <c r="JK94" s="403"/>
      <c r="JL94" s="403"/>
      <c r="JM94" s="403"/>
      <c r="JN94" s="403"/>
      <c r="JO94" s="403"/>
      <c r="JP94" s="403"/>
      <c r="JQ94" s="403"/>
      <c r="JR94" s="403"/>
      <c r="JS94" s="403"/>
      <c r="JT94" s="403"/>
    </row>
    <row r="95" spans="1:280" s="15" customFormat="1" ht="12.75" x14ac:dyDescent="0.2">
      <c r="A95" s="78"/>
      <c r="B95" s="627"/>
      <c r="C95" s="23" t="str">
        <f t="shared" ca="1" si="200"/>
        <v>[ADVANCED USERS] Additional Sites</v>
      </c>
      <c r="J95" s="26"/>
      <c r="K95" s="32">
        <v>0</v>
      </c>
      <c r="L95" s="32">
        <v>0</v>
      </c>
      <c r="M95" s="32">
        <v>0</v>
      </c>
      <c r="N95" s="32">
        <v>0</v>
      </c>
      <c r="O95" s="32">
        <v>0</v>
      </c>
      <c r="P95" s="26"/>
      <c r="Q95" s="26"/>
      <c r="R95" s="12" t="str">
        <f t="shared" ca="1" si="199"/>
        <v>Whole Number; Leave blank if unsure</v>
      </c>
      <c r="S95" s="2"/>
      <c r="T95" s="241"/>
      <c r="U95" s="627"/>
      <c r="V95" s="72" t="str">
        <f ca="1">IF(OFFSET(AU95,0,Lang_Order*Lang__B5)="","",OFFSET(AU95,0,Lang_Order*Lang__B5))</f>
        <v>[ADVANCED USERS] Additional Sites</v>
      </c>
      <c r="W95" s="26"/>
      <c r="X95" s="32">
        <v>0</v>
      </c>
      <c r="Y95" s="32">
        <v>0</v>
      </c>
      <c r="Z95" s="32">
        <v>0</v>
      </c>
      <c r="AA95" s="32">
        <v>0</v>
      </c>
      <c r="AB95" s="32">
        <v>0</v>
      </c>
      <c r="AE95" s="2"/>
      <c r="AF95" s="241"/>
      <c r="AG95" s="624"/>
      <c r="AH95" s="72" t="str">
        <f ca="1">IF(OFFSET(AU95,0,Lang_Order*Lang__B5)="","",OFFSET(AU95,0,Lang_Order*Lang__B5))</f>
        <v>[ADVANCED USERS] Additional Sites</v>
      </c>
      <c r="AI95" s="26"/>
      <c r="AJ95" s="32">
        <v>0</v>
      </c>
      <c r="AK95" s="32">
        <v>0</v>
      </c>
      <c r="AL95" s="32">
        <v>0</v>
      </c>
      <c r="AM95" s="32">
        <v>0</v>
      </c>
      <c r="AN95" s="32">
        <v>0</v>
      </c>
      <c r="AR95" s="403"/>
      <c r="AS95" s="403"/>
      <c r="AT95" s="403"/>
      <c r="AU95" s="403" t="s">
        <v>4200</v>
      </c>
      <c r="AV95" s="403"/>
      <c r="AW95" s="403"/>
      <c r="AX95" s="403"/>
      <c r="AY95" s="403"/>
      <c r="AZ95" s="403"/>
      <c r="BA95" s="403"/>
      <c r="BB95" s="403"/>
      <c r="BC95" s="403"/>
      <c r="BD95" s="403"/>
      <c r="BE95" s="403"/>
      <c r="BF95" s="403"/>
      <c r="BG95" s="403"/>
      <c r="BH95" s="403"/>
      <c r="BI95" s="403"/>
      <c r="BJ95" s="403" t="s">
        <v>1675</v>
      </c>
      <c r="BK95" s="403"/>
      <c r="BL95" s="403"/>
      <c r="BM95" s="403"/>
      <c r="BN95" s="403"/>
      <c r="BO95" s="403"/>
      <c r="BP95" s="403"/>
      <c r="BQ95" s="403"/>
      <c r="BR95" s="403"/>
      <c r="BS95" s="403"/>
      <c r="BT95" s="403"/>
      <c r="BU95" s="403"/>
      <c r="BV95" s="403"/>
      <c r="BW95" s="403"/>
      <c r="BX95" s="403"/>
      <c r="BY95" s="403"/>
      <c r="BZ95" s="403"/>
      <c r="CA95" s="403"/>
      <c r="CB95" s="403"/>
      <c r="CC95" s="403" t="s">
        <v>11873</v>
      </c>
      <c r="CD95" s="403"/>
      <c r="CE95" s="403"/>
      <c r="CF95" s="403"/>
      <c r="CG95" s="403"/>
      <c r="CH95" s="403"/>
      <c r="CI95" s="403"/>
      <c r="CJ95" s="403"/>
      <c r="CK95" s="403"/>
      <c r="CL95" s="403"/>
      <c r="CM95" s="403"/>
      <c r="CN95" s="403"/>
      <c r="CO95" s="403"/>
      <c r="CP95" s="403"/>
      <c r="CQ95" s="403"/>
      <c r="CR95" s="403" t="s">
        <v>11874</v>
      </c>
      <c r="CS95" s="403"/>
      <c r="CT95" s="403"/>
      <c r="CU95" s="403"/>
      <c r="CV95" s="403"/>
      <c r="CW95" s="403"/>
      <c r="CX95" s="403"/>
      <c r="CY95" s="403"/>
      <c r="CZ95" s="403"/>
      <c r="DA95" s="403"/>
      <c r="DB95" s="403"/>
      <c r="DC95" s="403"/>
      <c r="DD95" s="403"/>
      <c r="DE95" s="403"/>
      <c r="DF95" s="403"/>
      <c r="DG95" s="403"/>
      <c r="DH95" s="403"/>
      <c r="DI95" s="403"/>
      <c r="DJ95" s="403"/>
      <c r="DK95" s="403" t="s">
        <v>11875</v>
      </c>
      <c r="DL95" s="403"/>
      <c r="DM95" s="403"/>
      <c r="DN95" s="403"/>
      <c r="DO95" s="403"/>
      <c r="DP95" s="403"/>
      <c r="DQ95" s="403"/>
      <c r="DR95" s="403"/>
      <c r="DS95" s="403"/>
      <c r="DT95" s="403"/>
      <c r="DU95" s="403"/>
      <c r="DV95" s="403"/>
      <c r="DW95" s="403"/>
      <c r="DX95" s="403"/>
      <c r="DY95" s="403"/>
      <c r="DZ95" s="403" t="s">
        <v>11876</v>
      </c>
      <c r="EA95" s="403"/>
      <c r="EB95" s="403"/>
      <c r="EC95" s="403"/>
      <c r="ED95" s="403"/>
      <c r="EE95" s="403"/>
      <c r="EF95" s="403"/>
      <c r="EG95" s="403"/>
      <c r="EH95" s="403"/>
      <c r="EI95" s="403"/>
      <c r="EJ95" s="403"/>
      <c r="EK95" s="403"/>
      <c r="EL95" s="403"/>
      <c r="EM95" s="403"/>
      <c r="EN95" s="403"/>
      <c r="EO95" s="403"/>
      <c r="EP95" s="403"/>
      <c r="EQ95" s="403"/>
      <c r="ER95" s="403"/>
      <c r="ES95" s="403" t="s">
        <v>11877</v>
      </c>
      <c r="ET95" s="403"/>
      <c r="EU95" s="403"/>
      <c r="EV95" s="403"/>
      <c r="EW95" s="403"/>
      <c r="EX95" s="403"/>
      <c r="EY95" s="403"/>
      <c r="EZ95" s="403"/>
      <c r="FA95" s="403"/>
      <c r="FB95" s="403"/>
      <c r="FC95" s="403"/>
      <c r="FD95" s="403"/>
      <c r="FE95" s="403"/>
      <c r="FF95" s="403"/>
      <c r="FG95" s="403"/>
      <c r="FH95" s="403" t="s">
        <v>11878</v>
      </c>
      <c r="FI95" s="403"/>
      <c r="FJ95" s="403"/>
      <c r="FK95" s="403"/>
      <c r="FL95" s="403"/>
      <c r="FM95" s="403"/>
      <c r="FN95" s="403"/>
      <c r="FO95" s="403"/>
      <c r="FP95" s="403"/>
      <c r="FQ95" s="403"/>
      <c r="FR95" s="403"/>
      <c r="FS95" s="403"/>
      <c r="FT95" s="403"/>
      <c r="FU95" s="403"/>
      <c r="FV95" s="403"/>
      <c r="FW95" s="403"/>
      <c r="FX95" s="403"/>
      <c r="FY95" s="403"/>
      <c r="FZ95" s="403"/>
      <c r="GA95" s="403" t="s">
        <v>11879</v>
      </c>
      <c r="GB95" s="403"/>
      <c r="GC95" s="403"/>
      <c r="GD95" s="403"/>
      <c r="GE95" s="403"/>
      <c r="GF95" s="403"/>
      <c r="GG95" s="403"/>
      <c r="GH95" s="403"/>
      <c r="GI95" s="403"/>
      <c r="GJ95" s="403"/>
      <c r="GK95" s="403"/>
      <c r="GL95" s="403"/>
      <c r="GM95" s="403"/>
      <c r="GN95" s="403"/>
      <c r="GO95" s="403"/>
      <c r="GP95" s="403" t="s">
        <v>11880</v>
      </c>
      <c r="GQ95" s="403"/>
      <c r="GR95" s="403"/>
      <c r="GS95" s="403"/>
      <c r="GT95" s="403"/>
      <c r="GU95" s="403"/>
      <c r="GV95" s="403"/>
      <c r="GW95" s="403"/>
      <c r="GX95" s="403"/>
      <c r="GY95" s="403"/>
      <c r="GZ95" s="403"/>
      <c r="HA95" s="403"/>
      <c r="HB95" s="403"/>
      <c r="HC95" s="403"/>
      <c r="HD95" s="403"/>
      <c r="HE95" s="403"/>
      <c r="HF95" s="403"/>
      <c r="HG95" s="403"/>
      <c r="HH95" s="403"/>
      <c r="HI95" s="403" t="s">
        <v>11881</v>
      </c>
      <c r="HJ95" s="403"/>
      <c r="HK95" s="403"/>
      <c r="HL95" s="403"/>
      <c r="HM95" s="403"/>
      <c r="HN95" s="403"/>
      <c r="HO95" s="403"/>
      <c r="HP95" s="403"/>
      <c r="HQ95" s="403"/>
      <c r="HR95" s="403"/>
      <c r="HS95" s="403"/>
      <c r="HT95" s="403"/>
      <c r="HU95" s="403"/>
      <c r="HV95" s="403"/>
      <c r="HW95" s="403"/>
      <c r="HX95" s="403" t="s">
        <v>11882</v>
      </c>
      <c r="HY95" s="403"/>
      <c r="HZ95" s="403"/>
      <c r="IA95" s="403"/>
      <c r="IB95" s="403"/>
      <c r="IC95" s="403"/>
      <c r="ID95" s="403"/>
      <c r="IE95" s="403"/>
      <c r="IF95" s="403"/>
      <c r="IG95" s="403"/>
      <c r="IH95" s="403"/>
      <c r="II95" s="403"/>
      <c r="IJ95" s="403"/>
      <c r="IK95" s="403"/>
      <c r="IL95" s="403"/>
      <c r="IM95" s="403"/>
      <c r="IN95" s="403"/>
      <c r="IO95" s="403"/>
      <c r="IP95" s="403"/>
      <c r="IQ95" s="403" t="s">
        <v>11883</v>
      </c>
      <c r="IR95" s="403"/>
      <c r="IS95" s="403"/>
      <c r="IT95" s="403"/>
      <c r="IU95" s="403"/>
      <c r="IV95" s="403"/>
      <c r="IW95" s="403"/>
      <c r="IX95" s="403"/>
      <c r="IY95" s="403"/>
      <c r="IZ95" s="403"/>
      <c r="JA95" s="403"/>
      <c r="JB95" s="403"/>
      <c r="JC95" s="403"/>
      <c r="JD95" s="403"/>
      <c r="JE95" s="403"/>
      <c r="JF95" s="403" t="s">
        <v>11884</v>
      </c>
      <c r="JG95" s="403"/>
      <c r="JH95" s="403"/>
      <c r="JI95" s="403"/>
      <c r="JJ95" s="403"/>
      <c r="JK95" s="403"/>
      <c r="JL95" s="403"/>
      <c r="JM95" s="403"/>
      <c r="JN95" s="403"/>
      <c r="JO95" s="403"/>
      <c r="JP95" s="403"/>
      <c r="JQ95" s="403"/>
      <c r="JR95" s="403"/>
      <c r="JS95" s="403"/>
      <c r="JT95" s="403"/>
    </row>
    <row r="96" spans="1:280" s="15" customFormat="1" ht="12.75" x14ac:dyDescent="0.2">
      <c r="A96" s="34"/>
      <c r="B96" s="627"/>
      <c r="C96" s="23" t="str">
        <f t="shared" ca="1" si="200"/>
        <v>New Sites</v>
      </c>
      <c r="J96" s="26" t="e">
        <f t="shared" ref="J96:O96" si="213">SUM(J94:J95)</f>
        <v>#N/A</v>
      </c>
      <c r="K96" s="26" t="e">
        <f t="shared" si="213"/>
        <v>#N/A</v>
      </c>
      <c r="L96" s="26" t="e">
        <f t="shared" si="213"/>
        <v>#N/A</v>
      </c>
      <c r="M96" s="26" t="e">
        <f t="shared" si="213"/>
        <v>#N/A</v>
      </c>
      <c r="N96" s="26" t="e">
        <f t="shared" si="213"/>
        <v>#N/A</v>
      </c>
      <c r="O96" s="26" t="e">
        <f t="shared" si="213"/>
        <v>#N/A</v>
      </c>
      <c r="P96" s="26"/>
      <c r="Q96" s="26"/>
      <c r="R96" s="12" t="str">
        <f t="shared" ca="1" si="199"/>
        <v/>
      </c>
      <c r="S96" s="2"/>
      <c r="T96" s="241"/>
      <c r="U96" s="627"/>
      <c r="V96" s="72" t="str">
        <f ca="1">IF(OFFSET(AU96,0,Lang_Order*Lang__B5)="","",OFFSET(AU96,0,Lang_Order*Lang__B5))</f>
        <v>New Sites</v>
      </c>
      <c r="W96" s="26" t="e">
        <f t="shared" ref="W96:AB96" si="214">SUM(W94:W95)</f>
        <v>#N/A</v>
      </c>
      <c r="X96" s="26" t="e">
        <f t="shared" si="214"/>
        <v>#N/A</v>
      </c>
      <c r="Y96" s="26" t="e">
        <f t="shared" si="214"/>
        <v>#N/A</v>
      </c>
      <c r="Z96" s="26" t="e">
        <f t="shared" si="214"/>
        <v>#N/A</v>
      </c>
      <c r="AA96" s="26" t="e">
        <f t="shared" si="214"/>
        <v>#N/A</v>
      </c>
      <c r="AB96" s="26" t="e">
        <f t="shared" si="214"/>
        <v>#N/A</v>
      </c>
      <c r="AE96" s="2"/>
      <c r="AF96" s="241"/>
      <c r="AG96" s="624"/>
      <c r="AH96" s="72" t="str">
        <f ca="1">IF(OFFSET(AU96,0,Lang_Order*Lang__B5)="","",OFFSET(AU96,0,Lang_Order*Lang__B5))</f>
        <v>New Sites</v>
      </c>
      <c r="AI96" s="26" t="e">
        <f t="shared" ref="AI96:AN96" si="215">SUM(AI94:AI95)</f>
        <v>#N/A</v>
      </c>
      <c r="AJ96" s="26" t="e">
        <f t="shared" si="215"/>
        <v>#N/A</v>
      </c>
      <c r="AK96" s="26" t="e">
        <f t="shared" si="215"/>
        <v>#N/A</v>
      </c>
      <c r="AL96" s="26" t="e">
        <f t="shared" si="215"/>
        <v>#N/A</v>
      </c>
      <c r="AM96" s="26" t="e">
        <f t="shared" si="215"/>
        <v>#N/A</v>
      </c>
      <c r="AN96" s="26" t="e">
        <f t="shared" si="215"/>
        <v>#N/A</v>
      </c>
      <c r="AR96" s="403"/>
      <c r="AS96" s="403"/>
      <c r="AT96" s="403"/>
      <c r="AU96" s="403" t="s">
        <v>1609</v>
      </c>
      <c r="AV96" s="403"/>
      <c r="AW96" s="403"/>
      <c r="AX96" s="403"/>
      <c r="AY96" s="403"/>
      <c r="AZ96" s="403"/>
      <c r="BA96" s="403"/>
      <c r="BB96" s="403"/>
      <c r="BC96" s="403"/>
      <c r="BD96" s="403"/>
      <c r="BE96" s="403"/>
      <c r="BF96" s="403"/>
      <c r="BG96" s="403"/>
      <c r="BH96" s="403"/>
      <c r="BI96" s="403"/>
      <c r="BJ96" s="403"/>
      <c r="BK96" s="403"/>
      <c r="BL96" s="403"/>
      <c r="BM96" s="403"/>
      <c r="BN96" s="403"/>
      <c r="BO96" s="403"/>
      <c r="BP96" s="403"/>
      <c r="BQ96" s="403"/>
      <c r="BR96" s="403"/>
      <c r="BS96" s="403"/>
      <c r="BT96" s="403"/>
      <c r="BU96" s="403"/>
      <c r="BV96" s="403"/>
      <c r="BW96" s="403"/>
      <c r="BX96" s="403"/>
      <c r="BY96" s="403"/>
      <c r="BZ96" s="403"/>
      <c r="CA96" s="403"/>
      <c r="CB96" s="403"/>
      <c r="CC96" s="403" t="s">
        <v>11885</v>
      </c>
      <c r="CD96" s="403"/>
      <c r="CE96" s="403"/>
      <c r="CF96" s="403"/>
      <c r="CG96" s="403"/>
      <c r="CH96" s="403"/>
      <c r="CI96" s="403"/>
      <c r="CJ96" s="403"/>
      <c r="CK96" s="403"/>
      <c r="CL96" s="403"/>
      <c r="CM96" s="403"/>
      <c r="CN96" s="403"/>
      <c r="CO96" s="403"/>
      <c r="CP96" s="403"/>
      <c r="CQ96" s="403"/>
      <c r="CR96" s="403"/>
      <c r="CS96" s="403"/>
      <c r="CT96" s="403"/>
      <c r="CU96" s="403"/>
      <c r="CV96" s="403"/>
      <c r="CW96" s="403"/>
      <c r="CX96" s="403"/>
      <c r="CY96" s="403"/>
      <c r="CZ96" s="403"/>
      <c r="DA96" s="403"/>
      <c r="DB96" s="403"/>
      <c r="DC96" s="403"/>
      <c r="DD96" s="403"/>
      <c r="DE96" s="403"/>
      <c r="DF96" s="403"/>
      <c r="DG96" s="403"/>
      <c r="DH96" s="403"/>
      <c r="DI96" s="403"/>
      <c r="DJ96" s="403"/>
      <c r="DK96" s="403" t="s">
        <v>11886</v>
      </c>
      <c r="DL96" s="403"/>
      <c r="DM96" s="403"/>
      <c r="DN96" s="403"/>
      <c r="DO96" s="403"/>
      <c r="DP96" s="403"/>
      <c r="DQ96" s="403"/>
      <c r="DR96" s="403"/>
      <c r="DS96" s="403"/>
      <c r="DT96" s="403"/>
      <c r="DU96" s="403"/>
      <c r="DV96" s="403"/>
      <c r="DW96" s="403"/>
      <c r="DX96" s="403"/>
      <c r="DY96" s="403"/>
      <c r="DZ96" s="403"/>
      <c r="EA96" s="403"/>
      <c r="EB96" s="403"/>
      <c r="EC96" s="403"/>
      <c r="ED96" s="403"/>
      <c r="EE96" s="403"/>
      <c r="EF96" s="403"/>
      <c r="EG96" s="403"/>
      <c r="EH96" s="403"/>
      <c r="EI96" s="403"/>
      <c r="EJ96" s="403"/>
      <c r="EK96" s="403"/>
      <c r="EL96" s="403"/>
      <c r="EM96" s="403"/>
      <c r="EN96" s="403"/>
      <c r="EO96" s="403"/>
      <c r="EP96" s="403"/>
      <c r="EQ96" s="403"/>
      <c r="ER96" s="403"/>
      <c r="ES96" s="403" t="s">
        <v>11887</v>
      </c>
      <c r="ET96" s="403"/>
      <c r="EU96" s="403"/>
      <c r="EV96" s="403"/>
      <c r="EW96" s="403"/>
      <c r="EX96" s="403"/>
      <c r="EY96" s="403"/>
      <c r="EZ96" s="403"/>
      <c r="FA96" s="403"/>
      <c r="FB96" s="403"/>
      <c r="FC96" s="403"/>
      <c r="FD96" s="403"/>
      <c r="FE96" s="403"/>
      <c r="FF96" s="403"/>
      <c r="FG96" s="403"/>
      <c r="FH96" s="403"/>
      <c r="FI96" s="403"/>
      <c r="FJ96" s="403"/>
      <c r="FK96" s="403"/>
      <c r="FL96" s="403"/>
      <c r="FM96" s="403"/>
      <c r="FN96" s="403"/>
      <c r="FO96" s="403"/>
      <c r="FP96" s="403"/>
      <c r="FQ96" s="403"/>
      <c r="FR96" s="403"/>
      <c r="FS96" s="403"/>
      <c r="FT96" s="403"/>
      <c r="FU96" s="403"/>
      <c r="FV96" s="403"/>
      <c r="FW96" s="403"/>
      <c r="FX96" s="403"/>
      <c r="FY96" s="403"/>
      <c r="FZ96" s="403"/>
      <c r="GA96" s="403" t="s">
        <v>11888</v>
      </c>
      <c r="GB96" s="403"/>
      <c r="GC96" s="403"/>
      <c r="GD96" s="403"/>
      <c r="GE96" s="403"/>
      <c r="GF96" s="403"/>
      <c r="GG96" s="403"/>
      <c r="GH96" s="403"/>
      <c r="GI96" s="403"/>
      <c r="GJ96" s="403"/>
      <c r="GK96" s="403"/>
      <c r="GL96" s="403"/>
      <c r="GM96" s="403"/>
      <c r="GN96" s="403"/>
      <c r="GO96" s="403"/>
      <c r="GP96" s="403"/>
      <c r="GQ96" s="403"/>
      <c r="GR96" s="403"/>
      <c r="GS96" s="403"/>
      <c r="GT96" s="403"/>
      <c r="GU96" s="403"/>
      <c r="GV96" s="403"/>
      <c r="GW96" s="403"/>
      <c r="GX96" s="403"/>
      <c r="GY96" s="403"/>
      <c r="GZ96" s="403"/>
      <c r="HA96" s="403"/>
      <c r="HB96" s="403"/>
      <c r="HC96" s="403"/>
      <c r="HD96" s="403"/>
      <c r="HE96" s="403"/>
      <c r="HF96" s="403"/>
      <c r="HG96" s="403"/>
      <c r="HH96" s="403"/>
      <c r="HI96" s="403" t="s">
        <v>11889</v>
      </c>
      <c r="HJ96" s="403"/>
      <c r="HK96" s="403"/>
      <c r="HL96" s="403"/>
      <c r="HM96" s="403"/>
      <c r="HN96" s="403"/>
      <c r="HO96" s="403"/>
      <c r="HP96" s="403"/>
      <c r="HQ96" s="403"/>
      <c r="HR96" s="403"/>
      <c r="HS96" s="403"/>
      <c r="HT96" s="403"/>
      <c r="HU96" s="403"/>
      <c r="HV96" s="403"/>
      <c r="HW96" s="403"/>
      <c r="HX96" s="403"/>
      <c r="HY96" s="403"/>
      <c r="HZ96" s="403"/>
      <c r="IA96" s="403"/>
      <c r="IB96" s="403"/>
      <c r="IC96" s="403"/>
      <c r="ID96" s="403"/>
      <c r="IE96" s="403"/>
      <c r="IF96" s="403"/>
      <c r="IG96" s="403"/>
      <c r="IH96" s="403"/>
      <c r="II96" s="403"/>
      <c r="IJ96" s="403"/>
      <c r="IK96" s="403"/>
      <c r="IL96" s="403"/>
      <c r="IM96" s="403"/>
      <c r="IN96" s="403"/>
      <c r="IO96" s="403"/>
      <c r="IP96" s="403"/>
      <c r="IQ96" s="403" t="s">
        <v>11890</v>
      </c>
      <c r="IR96" s="403"/>
      <c r="IS96" s="403"/>
      <c r="IT96" s="403"/>
      <c r="IU96" s="403"/>
      <c r="IV96" s="403"/>
      <c r="IW96" s="403"/>
      <c r="IX96" s="403"/>
      <c r="IY96" s="403"/>
      <c r="IZ96" s="403"/>
      <c r="JA96" s="403"/>
      <c r="JB96" s="403"/>
      <c r="JC96" s="403"/>
      <c r="JD96" s="403"/>
      <c r="JE96" s="403"/>
      <c r="JF96" s="403"/>
      <c r="JG96" s="403"/>
      <c r="JH96" s="403"/>
      <c r="JI96" s="403"/>
      <c r="JJ96" s="403"/>
      <c r="JK96" s="403"/>
      <c r="JL96" s="403"/>
      <c r="JM96" s="403"/>
      <c r="JN96" s="403"/>
      <c r="JO96" s="403"/>
      <c r="JP96" s="403"/>
      <c r="JQ96" s="403"/>
      <c r="JR96" s="403"/>
      <c r="JS96" s="403"/>
      <c r="JT96" s="403"/>
    </row>
    <row r="97" spans="1:280" s="15" customFormat="1" ht="12.75" x14ac:dyDescent="0.2">
      <c r="A97" s="34"/>
      <c r="B97" s="627"/>
      <c r="C97" s="23" t="str">
        <f t="shared" ca="1" si="200"/>
        <v>Cumulative Sites</v>
      </c>
      <c r="J97" s="26" t="e">
        <f>J96</f>
        <v>#N/A</v>
      </c>
      <c r="K97" s="26" t="e">
        <f>J97+K96</f>
        <v>#N/A</v>
      </c>
      <c r="L97" s="26" t="e">
        <f>K97+L96</f>
        <v>#N/A</v>
      </c>
      <c r="M97" s="26" t="e">
        <f>L97+M96</f>
        <v>#N/A</v>
      </c>
      <c r="N97" s="26" t="e">
        <f>M97+N96</f>
        <v>#N/A</v>
      </c>
      <c r="O97" s="26" t="e">
        <f>N97+O96</f>
        <v>#N/A</v>
      </c>
      <c r="P97" s="26"/>
      <c r="Q97" s="26"/>
      <c r="R97" s="12" t="str">
        <f t="shared" ca="1" si="199"/>
        <v/>
      </c>
      <c r="S97" s="2"/>
      <c r="T97" s="241"/>
      <c r="U97" s="627"/>
      <c r="V97" s="72" t="str">
        <f ca="1">IF(OFFSET(AU97,0,Lang_Order*Lang__B5)="","",OFFSET(AU97,0,Lang_Order*Lang__B5))</f>
        <v>Cumulative Sites</v>
      </c>
      <c r="W97" s="26" t="e">
        <f>W96</f>
        <v>#N/A</v>
      </c>
      <c r="X97" s="26" t="e">
        <f>W97+X96</f>
        <v>#N/A</v>
      </c>
      <c r="Y97" s="26" t="e">
        <f>X97+Y96</f>
        <v>#N/A</v>
      </c>
      <c r="Z97" s="26" t="e">
        <f>Y97+Z96</f>
        <v>#N/A</v>
      </c>
      <c r="AA97" s="26" t="e">
        <f>Z97+AA96</f>
        <v>#N/A</v>
      </c>
      <c r="AB97" s="26" t="e">
        <f>AA97+AB96</f>
        <v>#N/A</v>
      </c>
      <c r="AE97" s="2"/>
      <c r="AF97" s="241"/>
      <c r="AG97" s="624"/>
      <c r="AH97" s="72" t="str">
        <f ca="1">IF(OFFSET(AU97,0,Lang_Order*Lang__B5)="","",OFFSET(AU97,0,Lang_Order*Lang__B5))</f>
        <v>Cumulative Sites</v>
      </c>
      <c r="AI97" s="26" t="e">
        <f>AI96</f>
        <v>#N/A</v>
      </c>
      <c r="AJ97" s="26" t="e">
        <f>AI97+AJ96</f>
        <v>#N/A</v>
      </c>
      <c r="AK97" s="26" t="e">
        <f>AJ97+AK96</f>
        <v>#N/A</v>
      </c>
      <c r="AL97" s="26" t="e">
        <f>AK97+AL96</f>
        <v>#N/A</v>
      </c>
      <c r="AM97" s="26" t="e">
        <f>AL97+AM96</f>
        <v>#N/A</v>
      </c>
      <c r="AN97" s="26" t="e">
        <f>AM97+AN96</f>
        <v>#N/A</v>
      </c>
      <c r="AR97" s="403"/>
      <c r="AS97" s="403"/>
      <c r="AT97" s="403"/>
      <c r="AU97" s="403" t="s">
        <v>1608</v>
      </c>
      <c r="AV97" s="403"/>
      <c r="AW97" s="403"/>
      <c r="AX97" s="403"/>
      <c r="AY97" s="403"/>
      <c r="AZ97" s="403"/>
      <c r="BA97" s="403"/>
      <c r="BB97" s="403"/>
      <c r="BC97" s="403"/>
      <c r="BD97" s="403"/>
      <c r="BE97" s="403"/>
      <c r="BF97" s="403"/>
      <c r="BG97" s="403"/>
      <c r="BH97" s="403"/>
      <c r="BI97" s="403"/>
      <c r="BJ97" s="403"/>
      <c r="BK97" s="403"/>
      <c r="BL97" s="403"/>
      <c r="BM97" s="403"/>
      <c r="BN97" s="403"/>
      <c r="BO97" s="403"/>
      <c r="BP97" s="403"/>
      <c r="BQ97" s="403"/>
      <c r="BR97" s="403"/>
      <c r="BS97" s="403"/>
      <c r="BT97" s="403"/>
      <c r="BU97" s="403"/>
      <c r="BV97" s="403"/>
      <c r="BW97" s="403"/>
      <c r="BX97" s="403"/>
      <c r="BY97" s="403"/>
      <c r="BZ97" s="403"/>
      <c r="CA97" s="403"/>
      <c r="CB97" s="403"/>
      <c r="CC97" s="403" t="s">
        <v>11891</v>
      </c>
      <c r="CD97" s="403"/>
      <c r="CE97" s="403"/>
      <c r="CF97" s="403"/>
      <c r="CG97" s="403"/>
      <c r="CH97" s="403"/>
      <c r="CI97" s="403"/>
      <c r="CJ97" s="403"/>
      <c r="CK97" s="403"/>
      <c r="CL97" s="403"/>
      <c r="CM97" s="403"/>
      <c r="CN97" s="403"/>
      <c r="CO97" s="403"/>
      <c r="CP97" s="403"/>
      <c r="CQ97" s="403"/>
      <c r="CR97" s="403"/>
      <c r="CS97" s="403"/>
      <c r="CT97" s="403"/>
      <c r="CU97" s="403"/>
      <c r="CV97" s="403"/>
      <c r="CW97" s="403"/>
      <c r="CX97" s="403"/>
      <c r="CY97" s="403"/>
      <c r="CZ97" s="403"/>
      <c r="DA97" s="403"/>
      <c r="DB97" s="403"/>
      <c r="DC97" s="403"/>
      <c r="DD97" s="403"/>
      <c r="DE97" s="403"/>
      <c r="DF97" s="403"/>
      <c r="DG97" s="403"/>
      <c r="DH97" s="403"/>
      <c r="DI97" s="403"/>
      <c r="DJ97" s="403"/>
      <c r="DK97" s="403" t="s">
        <v>11892</v>
      </c>
      <c r="DL97" s="403"/>
      <c r="DM97" s="403"/>
      <c r="DN97" s="403"/>
      <c r="DO97" s="403"/>
      <c r="DP97" s="403"/>
      <c r="DQ97" s="403"/>
      <c r="DR97" s="403"/>
      <c r="DS97" s="403"/>
      <c r="DT97" s="403"/>
      <c r="DU97" s="403"/>
      <c r="DV97" s="403"/>
      <c r="DW97" s="403"/>
      <c r="DX97" s="403"/>
      <c r="DY97" s="403"/>
      <c r="DZ97" s="403"/>
      <c r="EA97" s="403"/>
      <c r="EB97" s="403"/>
      <c r="EC97" s="403"/>
      <c r="ED97" s="403"/>
      <c r="EE97" s="403"/>
      <c r="EF97" s="403"/>
      <c r="EG97" s="403"/>
      <c r="EH97" s="403"/>
      <c r="EI97" s="403"/>
      <c r="EJ97" s="403"/>
      <c r="EK97" s="403"/>
      <c r="EL97" s="403"/>
      <c r="EM97" s="403"/>
      <c r="EN97" s="403"/>
      <c r="EO97" s="403"/>
      <c r="EP97" s="403"/>
      <c r="EQ97" s="403"/>
      <c r="ER97" s="403"/>
      <c r="ES97" s="403" t="s">
        <v>11893</v>
      </c>
      <c r="ET97" s="403"/>
      <c r="EU97" s="403"/>
      <c r="EV97" s="403"/>
      <c r="EW97" s="403"/>
      <c r="EX97" s="403"/>
      <c r="EY97" s="403"/>
      <c r="EZ97" s="403"/>
      <c r="FA97" s="403"/>
      <c r="FB97" s="403"/>
      <c r="FC97" s="403"/>
      <c r="FD97" s="403"/>
      <c r="FE97" s="403"/>
      <c r="FF97" s="403"/>
      <c r="FG97" s="403"/>
      <c r="FH97" s="403"/>
      <c r="FI97" s="403"/>
      <c r="FJ97" s="403"/>
      <c r="FK97" s="403"/>
      <c r="FL97" s="403"/>
      <c r="FM97" s="403"/>
      <c r="FN97" s="403"/>
      <c r="FO97" s="403"/>
      <c r="FP97" s="403"/>
      <c r="FQ97" s="403"/>
      <c r="FR97" s="403"/>
      <c r="FS97" s="403"/>
      <c r="FT97" s="403"/>
      <c r="FU97" s="403"/>
      <c r="FV97" s="403"/>
      <c r="FW97" s="403"/>
      <c r="FX97" s="403"/>
      <c r="FY97" s="403"/>
      <c r="FZ97" s="403"/>
      <c r="GA97" s="403" t="s">
        <v>11894</v>
      </c>
      <c r="GB97" s="403"/>
      <c r="GC97" s="403"/>
      <c r="GD97" s="403"/>
      <c r="GE97" s="403"/>
      <c r="GF97" s="403"/>
      <c r="GG97" s="403"/>
      <c r="GH97" s="403"/>
      <c r="GI97" s="403"/>
      <c r="GJ97" s="403"/>
      <c r="GK97" s="403"/>
      <c r="GL97" s="403"/>
      <c r="GM97" s="403"/>
      <c r="GN97" s="403"/>
      <c r="GO97" s="403"/>
      <c r="GP97" s="403"/>
      <c r="GQ97" s="403"/>
      <c r="GR97" s="403"/>
      <c r="GS97" s="403"/>
      <c r="GT97" s="403"/>
      <c r="GU97" s="403"/>
      <c r="GV97" s="403"/>
      <c r="GW97" s="403"/>
      <c r="GX97" s="403"/>
      <c r="GY97" s="403"/>
      <c r="GZ97" s="403"/>
      <c r="HA97" s="403"/>
      <c r="HB97" s="403"/>
      <c r="HC97" s="403"/>
      <c r="HD97" s="403"/>
      <c r="HE97" s="403"/>
      <c r="HF97" s="403"/>
      <c r="HG97" s="403"/>
      <c r="HH97" s="403"/>
      <c r="HI97" s="403" t="s">
        <v>11895</v>
      </c>
      <c r="HJ97" s="403"/>
      <c r="HK97" s="403"/>
      <c r="HL97" s="403"/>
      <c r="HM97" s="403"/>
      <c r="HN97" s="403"/>
      <c r="HO97" s="403"/>
      <c r="HP97" s="403"/>
      <c r="HQ97" s="403"/>
      <c r="HR97" s="403"/>
      <c r="HS97" s="403"/>
      <c r="HT97" s="403"/>
      <c r="HU97" s="403"/>
      <c r="HV97" s="403"/>
      <c r="HW97" s="403"/>
      <c r="HX97" s="403"/>
      <c r="HY97" s="403"/>
      <c r="HZ97" s="403"/>
      <c r="IA97" s="403"/>
      <c r="IB97" s="403"/>
      <c r="IC97" s="403"/>
      <c r="ID97" s="403"/>
      <c r="IE97" s="403"/>
      <c r="IF97" s="403"/>
      <c r="IG97" s="403"/>
      <c r="IH97" s="403"/>
      <c r="II97" s="403"/>
      <c r="IJ97" s="403"/>
      <c r="IK97" s="403"/>
      <c r="IL97" s="403"/>
      <c r="IM97" s="403"/>
      <c r="IN97" s="403"/>
      <c r="IO97" s="403"/>
      <c r="IP97" s="403"/>
      <c r="IQ97" s="403" t="s">
        <v>11896</v>
      </c>
      <c r="IR97" s="403"/>
      <c r="IS97" s="403"/>
      <c r="IT97" s="403"/>
      <c r="IU97" s="403"/>
      <c r="IV97" s="403"/>
      <c r="IW97" s="403"/>
      <c r="IX97" s="403"/>
      <c r="IY97" s="403"/>
      <c r="IZ97" s="403"/>
      <c r="JA97" s="403"/>
      <c r="JB97" s="403"/>
      <c r="JC97" s="403"/>
      <c r="JD97" s="403"/>
      <c r="JE97" s="403"/>
      <c r="JF97" s="403"/>
      <c r="JG97" s="403"/>
      <c r="JH97" s="403"/>
      <c r="JI97" s="403"/>
      <c r="JJ97" s="403"/>
      <c r="JK97" s="403"/>
      <c r="JL97" s="403"/>
      <c r="JM97" s="403"/>
      <c r="JN97" s="403"/>
      <c r="JO97" s="403"/>
      <c r="JP97" s="403"/>
      <c r="JQ97" s="403"/>
      <c r="JR97" s="403"/>
      <c r="JS97" s="403"/>
      <c r="JT97" s="403"/>
    </row>
    <row r="98" spans="1:280" s="15" customFormat="1" ht="12.75" x14ac:dyDescent="0.2">
      <c r="A98" s="9"/>
      <c r="B98" s="624"/>
      <c r="R98" s="12" t="str">
        <f t="shared" ca="1" si="199"/>
        <v/>
      </c>
      <c r="S98" s="2"/>
      <c r="T98" s="241"/>
      <c r="U98" s="624"/>
      <c r="V98" s="2"/>
      <c r="AE98" s="2"/>
      <c r="AF98" s="241"/>
      <c r="AG98" s="624"/>
      <c r="AH98" s="72"/>
      <c r="AI98" s="241"/>
      <c r="AJ98" s="241"/>
      <c r="AK98" s="241"/>
      <c r="AL98" s="241"/>
      <c r="AM98" s="241"/>
      <c r="AN98" s="241"/>
      <c r="AR98" s="403"/>
      <c r="AS98" s="403"/>
      <c r="AT98" s="403"/>
      <c r="AU98" s="403"/>
      <c r="AV98" s="403"/>
      <c r="AW98" s="403"/>
      <c r="AX98" s="403"/>
      <c r="AY98" s="403"/>
      <c r="AZ98" s="403"/>
      <c r="BA98" s="403"/>
      <c r="BB98" s="403"/>
      <c r="BC98" s="403"/>
      <c r="BD98" s="403"/>
      <c r="BE98" s="403"/>
      <c r="BF98" s="403"/>
      <c r="BG98" s="403"/>
      <c r="BH98" s="403"/>
      <c r="BI98" s="403"/>
      <c r="BJ98" s="403"/>
      <c r="BK98" s="403"/>
      <c r="BL98" s="403"/>
      <c r="BM98" s="403"/>
      <c r="BN98" s="403"/>
      <c r="BO98" s="403"/>
      <c r="BP98" s="403"/>
      <c r="BQ98" s="403"/>
      <c r="BR98" s="403"/>
      <c r="BS98" s="403"/>
      <c r="BT98" s="403"/>
      <c r="BU98" s="403"/>
      <c r="BV98" s="403"/>
      <c r="BW98" s="403"/>
      <c r="BX98" s="403"/>
      <c r="BY98" s="403"/>
      <c r="BZ98" s="403"/>
      <c r="CA98" s="403"/>
      <c r="CB98" s="403"/>
      <c r="CC98" s="403"/>
      <c r="CD98" s="403"/>
      <c r="CE98" s="403"/>
      <c r="CF98" s="403"/>
      <c r="CG98" s="403"/>
      <c r="CH98" s="403"/>
      <c r="CI98" s="403"/>
      <c r="CJ98" s="403"/>
      <c r="CK98" s="403"/>
      <c r="CL98" s="403"/>
      <c r="CM98" s="403"/>
      <c r="CN98" s="403"/>
      <c r="CO98" s="403"/>
      <c r="CP98" s="403"/>
      <c r="CQ98" s="403"/>
      <c r="CR98" s="403"/>
      <c r="CS98" s="403"/>
      <c r="CT98" s="403"/>
      <c r="CU98" s="403"/>
      <c r="CV98" s="403"/>
      <c r="CW98" s="403"/>
      <c r="CX98" s="403"/>
      <c r="CY98" s="403"/>
      <c r="CZ98" s="403"/>
      <c r="DA98" s="403"/>
      <c r="DB98" s="403"/>
      <c r="DC98" s="403"/>
      <c r="DD98" s="403"/>
      <c r="DE98" s="403"/>
      <c r="DF98" s="403"/>
      <c r="DG98" s="403"/>
      <c r="DH98" s="403"/>
      <c r="DI98" s="403"/>
      <c r="DJ98" s="403"/>
      <c r="DK98" s="403"/>
      <c r="DL98" s="403"/>
      <c r="DM98" s="403"/>
      <c r="DN98" s="403"/>
      <c r="DO98" s="403"/>
      <c r="DP98" s="403"/>
      <c r="DQ98" s="403"/>
      <c r="DR98" s="403"/>
      <c r="DS98" s="403"/>
      <c r="DT98" s="403"/>
      <c r="DU98" s="403"/>
      <c r="DV98" s="403"/>
      <c r="DW98" s="403"/>
      <c r="DX98" s="403"/>
      <c r="DY98" s="403"/>
      <c r="DZ98" s="403"/>
      <c r="EA98" s="403"/>
      <c r="EB98" s="403"/>
      <c r="EC98" s="403"/>
      <c r="ED98" s="403"/>
      <c r="EE98" s="403"/>
      <c r="EF98" s="403"/>
      <c r="EG98" s="403"/>
      <c r="EH98" s="403"/>
      <c r="EI98" s="403"/>
      <c r="EJ98" s="403"/>
      <c r="EK98" s="403"/>
      <c r="EL98" s="403"/>
      <c r="EM98" s="403"/>
      <c r="EN98" s="403"/>
      <c r="EO98" s="403"/>
      <c r="EP98" s="403"/>
      <c r="EQ98" s="403"/>
      <c r="ER98" s="403"/>
      <c r="ES98" s="403"/>
      <c r="ET98" s="403"/>
      <c r="EU98" s="403"/>
      <c r="EV98" s="403"/>
      <c r="EW98" s="403"/>
      <c r="EX98" s="403"/>
      <c r="EY98" s="403"/>
      <c r="EZ98" s="403"/>
      <c r="FA98" s="403"/>
      <c r="FB98" s="403"/>
      <c r="FC98" s="403"/>
      <c r="FD98" s="403"/>
      <c r="FE98" s="403"/>
      <c r="FF98" s="403"/>
      <c r="FG98" s="403"/>
      <c r="FH98" s="403"/>
      <c r="FI98" s="403"/>
      <c r="FJ98" s="403"/>
      <c r="FK98" s="403"/>
      <c r="FL98" s="403"/>
      <c r="FM98" s="403"/>
      <c r="FN98" s="403"/>
      <c r="FO98" s="403"/>
      <c r="FP98" s="403"/>
      <c r="FQ98" s="403"/>
      <c r="FR98" s="403"/>
      <c r="FS98" s="403"/>
      <c r="FT98" s="403"/>
      <c r="FU98" s="403"/>
      <c r="FV98" s="403"/>
      <c r="FW98" s="403"/>
      <c r="FX98" s="403"/>
      <c r="FY98" s="403"/>
      <c r="FZ98" s="403"/>
      <c r="GA98" s="403"/>
      <c r="GB98" s="403"/>
      <c r="GC98" s="403"/>
      <c r="GD98" s="403"/>
      <c r="GE98" s="403"/>
      <c r="GF98" s="403"/>
      <c r="GG98" s="403"/>
      <c r="GH98" s="403"/>
      <c r="GI98" s="403"/>
      <c r="GJ98" s="403"/>
      <c r="GK98" s="403"/>
      <c r="GL98" s="403"/>
      <c r="GM98" s="403"/>
      <c r="GN98" s="403"/>
      <c r="GO98" s="403"/>
      <c r="GP98" s="403"/>
      <c r="GQ98" s="403"/>
      <c r="GR98" s="403"/>
      <c r="GS98" s="403"/>
      <c r="GT98" s="403"/>
      <c r="GU98" s="403"/>
      <c r="GV98" s="403"/>
      <c r="GW98" s="403"/>
      <c r="GX98" s="403"/>
      <c r="GY98" s="403"/>
      <c r="GZ98" s="403"/>
      <c r="HA98" s="403"/>
      <c r="HB98" s="403"/>
      <c r="HC98" s="403"/>
      <c r="HD98" s="403"/>
      <c r="HE98" s="403"/>
      <c r="HF98" s="403"/>
      <c r="HG98" s="403"/>
      <c r="HH98" s="403"/>
      <c r="HI98" s="403"/>
      <c r="HJ98" s="403"/>
      <c r="HK98" s="403"/>
      <c r="HL98" s="403"/>
      <c r="HM98" s="403"/>
      <c r="HN98" s="403"/>
      <c r="HO98" s="403"/>
      <c r="HP98" s="403"/>
      <c r="HQ98" s="403"/>
      <c r="HR98" s="403"/>
      <c r="HS98" s="403"/>
      <c r="HT98" s="403"/>
      <c r="HU98" s="403"/>
      <c r="HV98" s="403"/>
      <c r="HW98" s="403"/>
      <c r="HX98" s="403"/>
      <c r="HY98" s="403"/>
      <c r="HZ98" s="403"/>
      <c r="IA98" s="403"/>
      <c r="IB98" s="403"/>
      <c r="IC98" s="403"/>
      <c r="ID98" s="403"/>
      <c r="IE98" s="403"/>
      <c r="IF98" s="403"/>
      <c r="IG98" s="403"/>
      <c r="IH98" s="403"/>
      <c r="II98" s="403"/>
      <c r="IJ98" s="403"/>
      <c r="IK98" s="403"/>
      <c r="IL98" s="403"/>
      <c r="IM98" s="403"/>
      <c r="IN98" s="403"/>
      <c r="IO98" s="403"/>
      <c r="IP98" s="403"/>
      <c r="IQ98" s="403"/>
      <c r="IR98" s="403"/>
      <c r="IS98" s="403"/>
      <c r="IT98" s="403"/>
      <c r="IU98" s="403"/>
      <c r="IV98" s="403"/>
      <c r="IW98" s="403"/>
      <c r="IX98" s="403"/>
      <c r="IY98" s="403"/>
      <c r="IZ98" s="403"/>
      <c r="JA98" s="403"/>
      <c r="JB98" s="403"/>
      <c r="JC98" s="403"/>
      <c r="JD98" s="403"/>
      <c r="JE98" s="403"/>
      <c r="JF98" s="403"/>
      <c r="JG98" s="403"/>
      <c r="JH98" s="403"/>
      <c r="JI98" s="403"/>
      <c r="JJ98" s="403"/>
      <c r="JK98" s="403"/>
      <c r="JL98" s="403"/>
      <c r="JM98" s="403"/>
      <c r="JN98" s="403"/>
      <c r="JO98" s="403"/>
      <c r="JP98" s="403"/>
      <c r="JQ98" s="403"/>
      <c r="JR98" s="403"/>
      <c r="JS98" s="403"/>
      <c r="JT98" s="403"/>
    </row>
    <row r="99" spans="1:280" s="15" customFormat="1" ht="12.75" x14ac:dyDescent="0.2">
      <c r="A99" s="9"/>
      <c r="B99" s="624"/>
      <c r="C99" s="23" t="str">
        <f ca="1">IF(OFFSET(AU99,0,Lang_Order*Lang__B5)="","",OFFSET(AU99,0,Lang_Order*Lang__B5))</f>
        <v>Vaccinators per team</v>
      </c>
      <c r="J99" s="150" t="e">
        <f>J114</f>
        <v>#N/A</v>
      </c>
      <c r="K99" s="150" t="e">
        <f t="shared" ref="K99:O99" si="216">K114</f>
        <v>#N/A</v>
      </c>
      <c r="L99" s="150" t="e">
        <f t="shared" si="216"/>
        <v>#N/A</v>
      </c>
      <c r="M99" s="150" t="e">
        <f t="shared" si="216"/>
        <v>#N/A</v>
      </c>
      <c r="N99" s="150" t="e">
        <f t="shared" si="216"/>
        <v>#N/A</v>
      </c>
      <c r="O99" s="150" t="e">
        <f t="shared" si="216"/>
        <v>#N/A</v>
      </c>
      <c r="R99" s="12" t="str">
        <f t="shared" ca="1" si="199"/>
        <v>One team goes to one site; Optimize size of team</v>
      </c>
      <c r="S99" s="2"/>
      <c r="T99" s="241"/>
      <c r="U99" s="624"/>
      <c r="V99" s="72" t="str">
        <f ca="1">IF(OFFSET(AU99,0,Lang_Order*Lang__B5)="","",OFFSET(AU99,0,Lang_Order*Lang__B5))</f>
        <v>Vaccinators per team</v>
      </c>
      <c r="W99" s="241" t="e">
        <f>W114</f>
        <v>#N/A</v>
      </c>
      <c r="X99" s="241" t="e">
        <f t="shared" ref="X99:AB99" si="217">X114</f>
        <v>#N/A</v>
      </c>
      <c r="Y99" s="241" t="e">
        <f t="shared" si="217"/>
        <v>#N/A</v>
      </c>
      <c r="Z99" s="241" t="e">
        <f t="shared" si="217"/>
        <v>#N/A</v>
      </c>
      <c r="AA99" s="241" t="e">
        <f t="shared" si="217"/>
        <v>#N/A</v>
      </c>
      <c r="AB99" s="241" t="e">
        <f t="shared" si="217"/>
        <v>#N/A</v>
      </c>
      <c r="AC99" s="241"/>
      <c r="AD99" s="241"/>
      <c r="AE99" s="2"/>
      <c r="AF99" s="241"/>
      <c r="AG99" s="624"/>
      <c r="AH99" s="72" t="str">
        <f ca="1">IF(OFFSET(AU99,0,Lang_Order*Lang__B5)="","",OFFSET(AU99,0,Lang_Order*Lang__B5))</f>
        <v>Vaccinators per team</v>
      </c>
      <c r="AI99" s="241" t="e">
        <f>AI114</f>
        <v>#N/A</v>
      </c>
      <c r="AJ99" s="241" t="e">
        <f t="shared" ref="AJ99:AN99" si="218">AJ114</f>
        <v>#N/A</v>
      </c>
      <c r="AK99" s="241" t="e">
        <f t="shared" si="218"/>
        <v>#N/A</v>
      </c>
      <c r="AL99" s="241" t="e">
        <f t="shared" si="218"/>
        <v>#N/A</v>
      </c>
      <c r="AM99" s="241" t="e">
        <f t="shared" si="218"/>
        <v>#N/A</v>
      </c>
      <c r="AN99" s="241" t="e">
        <f t="shared" si="218"/>
        <v>#N/A</v>
      </c>
      <c r="AO99" s="241"/>
      <c r="AP99" s="241"/>
      <c r="AR99" s="403"/>
      <c r="AS99" s="403"/>
      <c r="AT99" s="403"/>
      <c r="AU99" s="403" t="s">
        <v>1676</v>
      </c>
      <c r="AV99" s="403"/>
      <c r="AW99" s="403"/>
      <c r="AX99" s="403"/>
      <c r="AY99" s="403"/>
      <c r="AZ99" s="403"/>
      <c r="BA99" s="403"/>
      <c r="BB99" s="403"/>
      <c r="BC99" s="403"/>
      <c r="BD99" s="403"/>
      <c r="BE99" s="403"/>
      <c r="BF99" s="403"/>
      <c r="BG99" s="403"/>
      <c r="BH99" s="403"/>
      <c r="BI99" s="403"/>
      <c r="BJ99" s="403" t="s">
        <v>2686</v>
      </c>
      <c r="BK99" s="403"/>
      <c r="BL99" s="403"/>
      <c r="BM99" s="403"/>
      <c r="BN99" s="403"/>
      <c r="BO99" s="403"/>
      <c r="BP99" s="403"/>
      <c r="BQ99" s="403"/>
      <c r="BR99" s="403"/>
      <c r="BS99" s="403"/>
      <c r="BT99" s="403"/>
      <c r="BU99" s="403"/>
      <c r="BV99" s="403"/>
      <c r="BW99" s="403"/>
      <c r="BX99" s="403"/>
      <c r="BY99" s="403"/>
      <c r="BZ99" s="403"/>
      <c r="CA99" s="403"/>
      <c r="CB99" s="403"/>
      <c r="CC99" s="403" t="s">
        <v>11897</v>
      </c>
      <c r="CD99" s="403"/>
      <c r="CE99" s="403"/>
      <c r="CF99" s="403"/>
      <c r="CG99" s="403"/>
      <c r="CH99" s="403"/>
      <c r="CI99" s="403"/>
      <c r="CJ99" s="403"/>
      <c r="CK99" s="403"/>
      <c r="CL99" s="403"/>
      <c r="CM99" s="403"/>
      <c r="CN99" s="403"/>
      <c r="CO99" s="403"/>
      <c r="CP99" s="403"/>
      <c r="CQ99" s="403"/>
      <c r="CR99" s="403" t="s">
        <v>11898</v>
      </c>
      <c r="CS99" s="403"/>
      <c r="CT99" s="403"/>
      <c r="CU99" s="403"/>
      <c r="CV99" s="403"/>
      <c r="CW99" s="403"/>
      <c r="CX99" s="403"/>
      <c r="CY99" s="403"/>
      <c r="CZ99" s="403"/>
      <c r="DA99" s="403"/>
      <c r="DB99" s="403"/>
      <c r="DC99" s="403"/>
      <c r="DD99" s="403"/>
      <c r="DE99" s="403"/>
      <c r="DF99" s="403"/>
      <c r="DG99" s="403"/>
      <c r="DH99" s="403"/>
      <c r="DI99" s="403"/>
      <c r="DJ99" s="403"/>
      <c r="DK99" s="403" t="s">
        <v>11899</v>
      </c>
      <c r="DL99" s="403"/>
      <c r="DM99" s="403"/>
      <c r="DN99" s="403"/>
      <c r="DO99" s="403"/>
      <c r="DP99" s="403"/>
      <c r="DQ99" s="403"/>
      <c r="DR99" s="403"/>
      <c r="DS99" s="403"/>
      <c r="DT99" s="403"/>
      <c r="DU99" s="403"/>
      <c r="DV99" s="403"/>
      <c r="DW99" s="403"/>
      <c r="DX99" s="403"/>
      <c r="DY99" s="403"/>
      <c r="DZ99" s="403" t="s">
        <v>11900</v>
      </c>
      <c r="EA99" s="403"/>
      <c r="EB99" s="403"/>
      <c r="EC99" s="403"/>
      <c r="ED99" s="403"/>
      <c r="EE99" s="403"/>
      <c r="EF99" s="403"/>
      <c r="EG99" s="403"/>
      <c r="EH99" s="403"/>
      <c r="EI99" s="403"/>
      <c r="EJ99" s="403"/>
      <c r="EK99" s="403"/>
      <c r="EL99" s="403"/>
      <c r="EM99" s="403"/>
      <c r="EN99" s="403"/>
      <c r="EO99" s="403"/>
      <c r="EP99" s="403"/>
      <c r="EQ99" s="403"/>
      <c r="ER99" s="403"/>
      <c r="ES99" s="403" t="s">
        <v>11901</v>
      </c>
      <c r="ET99" s="403"/>
      <c r="EU99" s="403"/>
      <c r="EV99" s="403"/>
      <c r="EW99" s="403"/>
      <c r="EX99" s="403"/>
      <c r="EY99" s="403"/>
      <c r="EZ99" s="403"/>
      <c r="FA99" s="403"/>
      <c r="FB99" s="403"/>
      <c r="FC99" s="403"/>
      <c r="FD99" s="403"/>
      <c r="FE99" s="403"/>
      <c r="FF99" s="403"/>
      <c r="FG99" s="403"/>
      <c r="FH99" s="403" t="s">
        <v>11902</v>
      </c>
      <c r="FI99" s="403"/>
      <c r="FJ99" s="403"/>
      <c r="FK99" s="403"/>
      <c r="FL99" s="403"/>
      <c r="FM99" s="403"/>
      <c r="FN99" s="403"/>
      <c r="FO99" s="403"/>
      <c r="FP99" s="403"/>
      <c r="FQ99" s="403"/>
      <c r="FR99" s="403"/>
      <c r="FS99" s="403"/>
      <c r="FT99" s="403"/>
      <c r="FU99" s="403"/>
      <c r="FV99" s="403"/>
      <c r="FW99" s="403"/>
      <c r="FX99" s="403"/>
      <c r="FY99" s="403"/>
      <c r="FZ99" s="403"/>
      <c r="GA99" s="403" t="s">
        <v>11903</v>
      </c>
      <c r="GB99" s="403"/>
      <c r="GC99" s="403"/>
      <c r="GD99" s="403"/>
      <c r="GE99" s="403"/>
      <c r="GF99" s="403"/>
      <c r="GG99" s="403"/>
      <c r="GH99" s="403"/>
      <c r="GI99" s="403"/>
      <c r="GJ99" s="403"/>
      <c r="GK99" s="403"/>
      <c r="GL99" s="403"/>
      <c r="GM99" s="403"/>
      <c r="GN99" s="403"/>
      <c r="GO99" s="403"/>
      <c r="GP99" s="403" t="s">
        <v>11904</v>
      </c>
      <c r="GQ99" s="403"/>
      <c r="GR99" s="403"/>
      <c r="GS99" s="403"/>
      <c r="GT99" s="403"/>
      <c r="GU99" s="403"/>
      <c r="GV99" s="403"/>
      <c r="GW99" s="403"/>
      <c r="GX99" s="403"/>
      <c r="GY99" s="403"/>
      <c r="GZ99" s="403"/>
      <c r="HA99" s="403"/>
      <c r="HB99" s="403"/>
      <c r="HC99" s="403"/>
      <c r="HD99" s="403"/>
      <c r="HE99" s="403"/>
      <c r="HF99" s="403"/>
      <c r="HG99" s="403"/>
      <c r="HH99" s="403"/>
      <c r="HI99" s="403" t="s">
        <v>11905</v>
      </c>
      <c r="HJ99" s="403"/>
      <c r="HK99" s="403"/>
      <c r="HL99" s="403"/>
      <c r="HM99" s="403"/>
      <c r="HN99" s="403"/>
      <c r="HO99" s="403"/>
      <c r="HP99" s="403"/>
      <c r="HQ99" s="403"/>
      <c r="HR99" s="403"/>
      <c r="HS99" s="403"/>
      <c r="HT99" s="403"/>
      <c r="HU99" s="403"/>
      <c r="HV99" s="403"/>
      <c r="HW99" s="403"/>
      <c r="HX99" s="403" t="s">
        <v>11906</v>
      </c>
      <c r="HY99" s="403"/>
      <c r="HZ99" s="403"/>
      <c r="IA99" s="403"/>
      <c r="IB99" s="403"/>
      <c r="IC99" s="403"/>
      <c r="ID99" s="403"/>
      <c r="IE99" s="403"/>
      <c r="IF99" s="403"/>
      <c r="IG99" s="403"/>
      <c r="IH99" s="403"/>
      <c r="II99" s="403"/>
      <c r="IJ99" s="403"/>
      <c r="IK99" s="403"/>
      <c r="IL99" s="403"/>
      <c r="IM99" s="403"/>
      <c r="IN99" s="403"/>
      <c r="IO99" s="403"/>
      <c r="IP99" s="403"/>
      <c r="IQ99" s="403" t="s">
        <v>11907</v>
      </c>
      <c r="IR99" s="403"/>
      <c r="IS99" s="403"/>
      <c r="IT99" s="403"/>
      <c r="IU99" s="403"/>
      <c r="IV99" s="403"/>
      <c r="IW99" s="403"/>
      <c r="IX99" s="403"/>
      <c r="IY99" s="403"/>
      <c r="IZ99" s="403"/>
      <c r="JA99" s="403"/>
      <c r="JB99" s="403"/>
      <c r="JC99" s="403"/>
      <c r="JD99" s="403"/>
      <c r="JE99" s="403"/>
      <c r="JF99" s="403" t="s">
        <v>11908</v>
      </c>
      <c r="JG99" s="403"/>
      <c r="JH99" s="403"/>
      <c r="JI99" s="403"/>
      <c r="JJ99" s="403"/>
      <c r="JK99" s="403"/>
      <c r="JL99" s="403"/>
      <c r="JM99" s="403"/>
      <c r="JN99" s="403"/>
      <c r="JO99" s="403"/>
      <c r="JP99" s="403"/>
      <c r="JQ99" s="403"/>
      <c r="JR99" s="403"/>
      <c r="JS99" s="403"/>
      <c r="JT99" s="403"/>
    </row>
    <row r="100" spans="1:280" s="15" customFormat="1" ht="12.75" x14ac:dyDescent="0.2">
      <c r="A100" s="78"/>
      <c r="B100" s="624"/>
      <c r="C100" s="66" t="str">
        <f ca="1">IF(OFFSET(AU100,0,Lang_Order*Lang__B5)="","",OFFSET(AU100,0,Lang_Order*Lang__B5))</f>
        <v>Number of Teams</v>
      </c>
      <c r="J100" s="26" t="e">
        <f t="shared" ref="J100:O100" si="219">J97</f>
        <v>#N/A</v>
      </c>
      <c r="K100" s="26" t="e">
        <f t="shared" si="219"/>
        <v>#N/A</v>
      </c>
      <c r="L100" s="26" t="e">
        <f t="shared" si="219"/>
        <v>#N/A</v>
      </c>
      <c r="M100" s="26" t="e">
        <f t="shared" si="219"/>
        <v>#N/A</v>
      </c>
      <c r="N100" s="26" t="e">
        <f t="shared" si="219"/>
        <v>#N/A</v>
      </c>
      <c r="O100" s="26" t="e">
        <f t="shared" si="219"/>
        <v>#N/A</v>
      </c>
      <c r="R100" s="12" t="str">
        <f t="shared" ca="1" si="199"/>
        <v>In DM1 … it should equal the number of sites</v>
      </c>
      <c r="S100" s="2"/>
      <c r="T100" s="241"/>
      <c r="U100" s="624"/>
      <c r="V100" s="260" t="str">
        <f ca="1">IF(OFFSET(AU100,0,Lang_Order*Lang__B5)="","",OFFSET(AU100,0,Lang_Order*Lang__B5))</f>
        <v>Number of Teams</v>
      </c>
      <c r="W100" s="26" t="e">
        <f t="shared" ref="W100:AB100" si="220">W97</f>
        <v>#N/A</v>
      </c>
      <c r="X100" s="26" t="e">
        <f t="shared" si="220"/>
        <v>#N/A</v>
      </c>
      <c r="Y100" s="26" t="e">
        <f t="shared" si="220"/>
        <v>#N/A</v>
      </c>
      <c r="Z100" s="26" t="e">
        <f t="shared" si="220"/>
        <v>#N/A</v>
      </c>
      <c r="AA100" s="26" t="e">
        <f t="shared" si="220"/>
        <v>#N/A</v>
      </c>
      <c r="AB100" s="26" t="e">
        <f t="shared" si="220"/>
        <v>#N/A</v>
      </c>
      <c r="AC100" s="241"/>
      <c r="AD100" s="241"/>
      <c r="AE100" s="2"/>
      <c r="AF100" s="241"/>
      <c r="AG100" s="624"/>
      <c r="AH100" s="72" t="str">
        <f ca="1">IF(OFFSET(AU100,0,Lang_Order*Lang__B5)="","",OFFSET(AU100,0,Lang_Order*Lang__B5))</f>
        <v>Number of Teams</v>
      </c>
      <c r="AI100" s="26" t="e">
        <f t="shared" ref="AI100:AN100" si="221">AI97</f>
        <v>#N/A</v>
      </c>
      <c r="AJ100" s="26" t="e">
        <f t="shared" si="221"/>
        <v>#N/A</v>
      </c>
      <c r="AK100" s="26" t="e">
        <f t="shared" si="221"/>
        <v>#N/A</v>
      </c>
      <c r="AL100" s="26" t="e">
        <f t="shared" si="221"/>
        <v>#N/A</v>
      </c>
      <c r="AM100" s="26" t="e">
        <f t="shared" si="221"/>
        <v>#N/A</v>
      </c>
      <c r="AN100" s="26" t="e">
        <f t="shared" si="221"/>
        <v>#N/A</v>
      </c>
      <c r="AO100" s="241"/>
      <c r="AP100" s="241"/>
      <c r="AR100" s="403"/>
      <c r="AS100" s="403"/>
      <c r="AT100" s="403"/>
      <c r="AU100" s="403" t="s">
        <v>1684</v>
      </c>
      <c r="AV100" s="403"/>
      <c r="AW100" s="403"/>
      <c r="AX100" s="403"/>
      <c r="AY100" s="403"/>
      <c r="AZ100" s="403"/>
      <c r="BA100" s="403"/>
      <c r="BB100" s="403"/>
      <c r="BC100" s="403"/>
      <c r="BD100" s="403"/>
      <c r="BE100" s="403"/>
      <c r="BF100" s="403"/>
      <c r="BG100" s="403"/>
      <c r="BH100" s="403"/>
      <c r="BI100" s="403"/>
      <c r="BJ100" s="403" t="s">
        <v>1677</v>
      </c>
      <c r="BK100" s="403"/>
      <c r="BL100" s="403"/>
      <c r="BM100" s="403"/>
      <c r="BN100" s="403"/>
      <c r="BO100" s="403"/>
      <c r="BP100" s="403"/>
      <c r="BQ100" s="403"/>
      <c r="BR100" s="403"/>
      <c r="BS100" s="403"/>
      <c r="BT100" s="403"/>
      <c r="BU100" s="403"/>
      <c r="BV100" s="403"/>
      <c r="BW100" s="403"/>
      <c r="BX100" s="403"/>
      <c r="BY100" s="403"/>
      <c r="BZ100" s="403"/>
      <c r="CA100" s="403"/>
      <c r="CB100" s="403"/>
      <c r="CC100" s="403" t="s">
        <v>11909</v>
      </c>
      <c r="CD100" s="403"/>
      <c r="CE100" s="403"/>
      <c r="CF100" s="403"/>
      <c r="CG100" s="403"/>
      <c r="CH100" s="403"/>
      <c r="CI100" s="403"/>
      <c r="CJ100" s="403"/>
      <c r="CK100" s="403"/>
      <c r="CL100" s="403"/>
      <c r="CM100" s="403"/>
      <c r="CN100" s="403"/>
      <c r="CO100" s="403"/>
      <c r="CP100" s="403"/>
      <c r="CQ100" s="403"/>
      <c r="CR100" s="403" t="s">
        <v>11910</v>
      </c>
      <c r="CS100" s="403"/>
      <c r="CT100" s="403"/>
      <c r="CU100" s="403"/>
      <c r="CV100" s="403"/>
      <c r="CW100" s="403"/>
      <c r="CX100" s="403"/>
      <c r="CY100" s="403"/>
      <c r="CZ100" s="403"/>
      <c r="DA100" s="403"/>
      <c r="DB100" s="403"/>
      <c r="DC100" s="403"/>
      <c r="DD100" s="403"/>
      <c r="DE100" s="403"/>
      <c r="DF100" s="403"/>
      <c r="DG100" s="403"/>
      <c r="DH100" s="403"/>
      <c r="DI100" s="403"/>
      <c r="DJ100" s="403"/>
      <c r="DK100" s="403" t="s">
        <v>11911</v>
      </c>
      <c r="DL100" s="403"/>
      <c r="DM100" s="403"/>
      <c r="DN100" s="403"/>
      <c r="DO100" s="403"/>
      <c r="DP100" s="403"/>
      <c r="DQ100" s="403"/>
      <c r="DR100" s="403"/>
      <c r="DS100" s="403"/>
      <c r="DT100" s="403"/>
      <c r="DU100" s="403"/>
      <c r="DV100" s="403"/>
      <c r="DW100" s="403"/>
      <c r="DX100" s="403"/>
      <c r="DY100" s="403"/>
      <c r="DZ100" s="403" t="s">
        <v>11912</v>
      </c>
      <c r="EA100" s="403"/>
      <c r="EB100" s="403"/>
      <c r="EC100" s="403"/>
      <c r="ED100" s="403"/>
      <c r="EE100" s="403"/>
      <c r="EF100" s="403"/>
      <c r="EG100" s="403"/>
      <c r="EH100" s="403"/>
      <c r="EI100" s="403"/>
      <c r="EJ100" s="403"/>
      <c r="EK100" s="403"/>
      <c r="EL100" s="403"/>
      <c r="EM100" s="403"/>
      <c r="EN100" s="403"/>
      <c r="EO100" s="403"/>
      <c r="EP100" s="403"/>
      <c r="EQ100" s="403"/>
      <c r="ER100" s="403"/>
      <c r="ES100" s="403" t="s">
        <v>11913</v>
      </c>
      <c r="ET100" s="403"/>
      <c r="EU100" s="403"/>
      <c r="EV100" s="403"/>
      <c r="EW100" s="403"/>
      <c r="EX100" s="403"/>
      <c r="EY100" s="403"/>
      <c r="EZ100" s="403"/>
      <c r="FA100" s="403"/>
      <c r="FB100" s="403"/>
      <c r="FC100" s="403"/>
      <c r="FD100" s="403"/>
      <c r="FE100" s="403"/>
      <c r="FF100" s="403"/>
      <c r="FG100" s="403"/>
      <c r="FH100" s="403" t="s">
        <v>11914</v>
      </c>
      <c r="FI100" s="403"/>
      <c r="FJ100" s="403"/>
      <c r="FK100" s="403"/>
      <c r="FL100" s="403"/>
      <c r="FM100" s="403"/>
      <c r="FN100" s="403"/>
      <c r="FO100" s="403"/>
      <c r="FP100" s="403"/>
      <c r="FQ100" s="403"/>
      <c r="FR100" s="403"/>
      <c r="FS100" s="403"/>
      <c r="FT100" s="403"/>
      <c r="FU100" s="403"/>
      <c r="FV100" s="403"/>
      <c r="FW100" s="403"/>
      <c r="FX100" s="403"/>
      <c r="FY100" s="403"/>
      <c r="FZ100" s="403"/>
      <c r="GA100" s="403" t="s">
        <v>11915</v>
      </c>
      <c r="GB100" s="403"/>
      <c r="GC100" s="403"/>
      <c r="GD100" s="403"/>
      <c r="GE100" s="403"/>
      <c r="GF100" s="403"/>
      <c r="GG100" s="403"/>
      <c r="GH100" s="403"/>
      <c r="GI100" s="403"/>
      <c r="GJ100" s="403"/>
      <c r="GK100" s="403"/>
      <c r="GL100" s="403"/>
      <c r="GM100" s="403"/>
      <c r="GN100" s="403"/>
      <c r="GO100" s="403"/>
      <c r="GP100" s="403" t="s">
        <v>11916</v>
      </c>
      <c r="GQ100" s="403"/>
      <c r="GR100" s="403"/>
      <c r="GS100" s="403"/>
      <c r="GT100" s="403"/>
      <c r="GU100" s="403"/>
      <c r="GV100" s="403"/>
      <c r="GW100" s="403"/>
      <c r="GX100" s="403"/>
      <c r="GY100" s="403"/>
      <c r="GZ100" s="403"/>
      <c r="HA100" s="403"/>
      <c r="HB100" s="403"/>
      <c r="HC100" s="403"/>
      <c r="HD100" s="403"/>
      <c r="HE100" s="403"/>
      <c r="HF100" s="403"/>
      <c r="HG100" s="403"/>
      <c r="HH100" s="403"/>
      <c r="HI100" s="403" t="s">
        <v>11917</v>
      </c>
      <c r="HJ100" s="403"/>
      <c r="HK100" s="403"/>
      <c r="HL100" s="403"/>
      <c r="HM100" s="403"/>
      <c r="HN100" s="403"/>
      <c r="HO100" s="403"/>
      <c r="HP100" s="403"/>
      <c r="HQ100" s="403"/>
      <c r="HR100" s="403"/>
      <c r="HS100" s="403"/>
      <c r="HT100" s="403"/>
      <c r="HU100" s="403"/>
      <c r="HV100" s="403"/>
      <c r="HW100" s="403"/>
      <c r="HX100" s="403" t="s">
        <v>11918</v>
      </c>
      <c r="HY100" s="403"/>
      <c r="HZ100" s="403"/>
      <c r="IA100" s="403"/>
      <c r="IB100" s="403"/>
      <c r="IC100" s="403"/>
      <c r="ID100" s="403"/>
      <c r="IE100" s="403"/>
      <c r="IF100" s="403"/>
      <c r="IG100" s="403"/>
      <c r="IH100" s="403"/>
      <c r="II100" s="403"/>
      <c r="IJ100" s="403"/>
      <c r="IK100" s="403"/>
      <c r="IL100" s="403"/>
      <c r="IM100" s="403"/>
      <c r="IN100" s="403"/>
      <c r="IO100" s="403"/>
      <c r="IP100" s="403"/>
      <c r="IQ100" s="403" t="s">
        <v>11919</v>
      </c>
      <c r="IR100" s="403"/>
      <c r="IS100" s="403"/>
      <c r="IT100" s="403"/>
      <c r="IU100" s="403"/>
      <c r="IV100" s="403"/>
      <c r="IW100" s="403"/>
      <c r="IX100" s="403"/>
      <c r="IY100" s="403"/>
      <c r="IZ100" s="403"/>
      <c r="JA100" s="403"/>
      <c r="JB100" s="403"/>
      <c r="JC100" s="403"/>
      <c r="JD100" s="403"/>
      <c r="JE100" s="403"/>
      <c r="JF100" s="403" t="s">
        <v>11920</v>
      </c>
      <c r="JG100" s="403"/>
      <c r="JH100" s="403"/>
      <c r="JI100" s="403"/>
      <c r="JJ100" s="403"/>
      <c r="JK100" s="403"/>
      <c r="JL100" s="403"/>
      <c r="JM100" s="403"/>
      <c r="JN100" s="403"/>
      <c r="JO100" s="403"/>
      <c r="JP100" s="403"/>
      <c r="JQ100" s="403"/>
      <c r="JR100" s="403"/>
      <c r="JS100" s="403"/>
      <c r="JT100" s="403"/>
    </row>
    <row r="101" spans="1:280" s="15" customFormat="1" ht="12.75" x14ac:dyDescent="0.2">
      <c r="A101" s="78"/>
      <c r="B101" s="624"/>
      <c r="C101" s="23" t="str">
        <f ca="1">IF(OFFSET(AU101,0,Lang_Order*Lang__B5)="","",OFFSET(AU101,0,Lang_Order*Lang__B5))</f>
        <v>Vaccinators for this DM</v>
      </c>
      <c r="J101" s="26" t="e">
        <f t="shared" ref="J101:O101" si="222">IF(J93=1,J100*J99,0)</f>
        <v>#N/A</v>
      </c>
      <c r="K101" s="26" t="e">
        <f t="shared" si="222"/>
        <v>#N/A</v>
      </c>
      <c r="L101" s="26" t="e">
        <f t="shared" si="222"/>
        <v>#N/A</v>
      </c>
      <c r="M101" s="26" t="e">
        <f t="shared" si="222"/>
        <v>#N/A</v>
      </c>
      <c r="N101" s="26" t="e">
        <f t="shared" si="222"/>
        <v>#N/A</v>
      </c>
      <c r="O101" s="26" t="e">
        <f t="shared" si="222"/>
        <v>#N/A</v>
      </c>
      <c r="R101" s="12" t="str">
        <f t="shared" ca="1" si="199"/>
        <v/>
      </c>
      <c r="S101" s="2"/>
      <c r="T101" s="241"/>
      <c r="U101" s="624"/>
      <c r="V101" s="72" t="str">
        <f ca="1">IF(OFFSET(AU101,0,Lang_Order*Lang__B5)="","",OFFSET(AU101,0,Lang_Order*Lang__B5))</f>
        <v>Vaccinators for this DM</v>
      </c>
      <c r="W101" s="26" t="e">
        <f t="shared" ref="W101:AB101" si="223">IF(W93=1,W100*W99,0)</f>
        <v>#N/A</v>
      </c>
      <c r="X101" s="26" t="e">
        <f t="shared" si="223"/>
        <v>#N/A</v>
      </c>
      <c r="Y101" s="26" t="e">
        <f t="shared" si="223"/>
        <v>#N/A</v>
      </c>
      <c r="Z101" s="26" t="e">
        <f t="shared" si="223"/>
        <v>#N/A</v>
      </c>
      <c r="AA101" s="26" t="e">
        <f t="shared" si="223"/>
        <v>#N/A</v>
      </c>
      <c r="AB101" s="26" t="e">
        <f t="shared" si="223"/>
        <v>#N/A</v>
      </c>
      <c r="AC101" s="241"/>
      <c r="AD101" s="241"/>
      <c r="AE101" s="2"/>
      <c r="AF101" s="241"/>
      <c r="AG101" s="624"/>
      <c r="AH101" s="72" t="str">
        <f ca="1">IF(OFFSET(AU101,0,Lang_Order*Lang__B5)="","",OFFSET(AU101,0,Lang_Order*Lang__B5))</f>
        <v>Vaccinators for this DM</v>
      </c>
      <c r="AI101" s="26" t="e">
        <f t="shared" ref="AI101:AN101" si="224">IF(AI93=1,AI100*AI99,0)</f>
        <v>#N/A</v>
      </c>
      <c r="AJ101" s="26" t="e">
        <f t="shared" si="224"/>
        <v>#N/A</v>
      </c>
      <c r="AK101" s="26" t="e">
        <f t="shared" si="224"/>
        <v>#N/A</v>
      </c>
      <c r="AL101" s="26" t="e">
        <f t="shared" si="224"/>
        <v>#N/A</v>
      </c>
      <c r="AM101" s="26" t="e">
        <f t="shared" si="224"/>
        <v>#N/A</v>
      </c>
      <c r="AN101" s="26" t="e">
        <f t="shared" si="224"/>
        <v>#N/A</v>
      </c>
      <c r="AO101" s="241"/>
      <c r="AP101" s="241"/>
      <c r="AR101" s="403"/>
      <c r="AS101" s="403"/>
      <c r="AT101" s="403"/>
      <c r="AU101" s="403" t="s">
        <v>1683</v>
      </c>
      <c r="AV101" s="403"/>
      <c r="AW101" s="403"/>
      <c r="AX101" s="403"/>
      <c r="AY101" s="403"/>
      <c r="AZ101" s="403"/>
      <c r="BA101" s="403"/>
      <c r="BB101" s="403"/>
      <c r="BC101" s="403"/>
      <c r="BD101" s="403"/>
      <c r="BE101" s="403"/>
      <c r="BF101" s="403"/>
      <c r="BG101" s="403"/>
      <c r="BH101" s="403"/>
      <c r="BI101" s="403"/>
      <c r="BJ101" s="403"/>
      <c r="BK101" s="403"/>
      <c r="BL101" s="403"/>
      <c r="BM101" s="403"/>
      <c r="BN101" s="403"/>
      <c r="BO101" s="403"/>
      <c r="BP101" s="403"/>
      <c r="BQ101" s="403"/>
      <c r="BR101" s="403"/>
      <c r="BS101" s="403"/>
      <c r="BT101" s="403"/>
      <c r="BU101" s="403"/>
      <c r="BV101" s="403"/>
      <c r="BW101" s="403"/>
      <c r="BX101" s="403"/>
      <c r="BY101" s="403"/>
      <c r="BZ101" s="403"/>
      <c r="CA101" s="403"/>
      <c r="CB101" s="403"/>
      <c r="CC101" s="403" t="s">
        <v>11921</v>
      </c>
      <c r="CD101" s="403"/>
      <c r="CE101" s="403"/>
      <c r="CF101" s="403"/>
      <c r="CG101" s="403"/>
      <c r="CH101" s="403"/>
      <c r="CI101" s="403"/>
      <c r="CJ101" s="403"/>
      <c r="CK101" s="403"/>
      <c r="CL101" s="403"/>
      <c r="CM101" s="403"/>
      <c r="CN101" s="403"/>
      <c r="CO101" s="403"/>
      <c r="CP101" s="403"/>
      <c r="CQ101" s="403"/>
      <c r="CR101" s="403"/>
      <c r="CS101" s="403"/>
      <c r="CT101" s="403"/>
      <c r="CU101" s="403"/>
      <c r="CV101" s="403"/>
      <c r="CW101" s="403"/>
      <c r="CX101" s="403"/>
      <c r="CY101" s="403"/>
      <c r="CZ101" s="403"/>
      <c r="DA101" s="403"/>
      <c r="DB101" s="403"/>
      <c r="DC101" s="403"/>
      <c r="DD101" s="403"/>
      <c r="DE101" s="403"/>
      <c r="DF101" s="403"/>
      <c r="DG101" s="403"/>
      <c r="DH101" s="403"/>
      <c r="DI101" s="403"/>
      <c r="DJ101" s="403"/>
      <c r="DK101" s="403" t="s">
        <v>11922</v>
      </c>
      <c r="DL101" s="403"/>
      <c r="DM101" s="403"/>
      <c r="DN101" s="403"/>
      <c r="DO101" s="403"/>
      <c r="DP101" s="403"/>
      <c r="DQ101" s="403"/>
      <c r="DR101" s="403"/>
      <c r="DS101" s="403"/>
      <c r="DT101" s="403"/>
      <c r="DU101" s="403"/>
      <c r="DV101" s="403"/>
      <c r="DW101" s="403"/>
      <c r="DX101" s="403"/>
      <c r="DY101" s="403"/>
      <c r="DZ101" s="403"/>
      <c r="EA101" s="403"/>
      <c r="EB101" s="403"/>
      <c r="EC101" s="403"/>
      <c r="ED101" s="403"/>
      <c r="EE101" s="403"/>
      <c r="EF101" s="403"/>
      <c r="EG101" s="403"/>
      <c r="EH101" s="403"/>
      <c r="EI101" s="403"/>
      <c r="EJ101" s="403"/>
      <c r="EK101" s="403"/>
      <c r="EL101" s="403"/>
      <c r="EM101" s="403"/>
      <c r="EN101" s="403"/>
      <c r="EO101" s="403"/>
      <c r="EP101" s="403"/>
      <c r="EQ101" s="403"/>
      <c r="ER101" s="403"/>
      <c r="ES101" s="403" t="s">
        <v>11923</v>
      </c>
      <c r="ET101" s="403"/>
      <c r="EU101" s="403"/>
      <c r="EV101" s="403"/>
      <c r="EW101" s="403"/>
      <c r="EX101" s="403"/>
      <c r="EY101" s="403"/>
      <c r="EZ101" s="403"/>
      <c r="FA101" s="403"/>
      <c r="FB101" s="403"/>
      <c r="FC101" s="403"/>
      <c r="FD101" s="403"/>
      <c r="FE101" s="403"/>
      <c r="FF101" s="403"/>
      <c r="FG101" s="403"/>
      <c r="FH101" s="403"/>
      <c r="FI101" s="403"/>
      <c r="FJ101" s="403"/>
      <c r="FK101" s="403"/>
      <c r="FL101" s="403"/>
      <c r="FM101" s="403"/>
      <c r="FN101" s="403"/>
      <c r="FO101" s="403"/>
      <c r="FP101" s="403"/>
      <c r="FQ101" s="403"/>
      <c r="FR101" s="403"/>
      <c r="FS101" s="403"/>
      <c r="FT101" s="403"/>
      <c r="FU101" s="403"/>
      <c r="FV101" s="403"/>
      <c r="FW101" s="403"/>
      <c r="FX101" s="403"/>
      <c r="FY101" s="403"/>
      <c r="FZ101" s="403"/>
      <c r="GA101" s="403" t="s">
        <v>11924</v>
      </c>
      <c r="GB101" s="403"/>
      <c r="GC101" s="403"/>
      <c r="GD101" s="403"/>
      <c r="GE101" s="403"/>
      <c r="GF101" s="403"/>
      <c r="GG101" s="403"/>
      <c r="GH101" s="403"/>
      <c r="GI101" s="403"/>
      <c r="GJ101" s="403"/>
      <c r="GK101" s="403"/>
      <c r="GL101" s="403"/>
      <c r="GM101" s="403"/>
      <c r="GN101" s="403"/>
      <c r="GO101" s="403"/>
      <c r="GP101" s="403"/>
      <c r="GQ101" s="403"/>
      <c r="GR101" s="403"/>
      <c r="GS101" s="403"/>
      <c r="GT101" s="403"/>
      <c r="GU101" s="403"/>
      <c r="GV101" s="403"/>
      <c r="GW101" s="403"/>
      <c r="GX101" s="403"/>
      <c r="GY101" s="403"/>
      <c r="GZ101" s="403"/>
      <c r="HA101" s="403"/>
      <c r="HB101" s="403"/>
      <c r="HC101" s="403"/>
      <c r="HD101" s="403"/>
      <c r="HE101" s="403"/>
      <c r="HF101" s="403"/>
      <c r="HG101" s="403"/>
      <c r="HH101" s="403"/>
      <c r="HI101" s="403" t="s">
        <v>11925</v>
      </c>
      <c r="HJ101" s="403"/>
      <c r="HK101" s="403"/>
      <c r="HL101" s="403"/>
      <c r="HM101" s="403"/>
      <c r="HN101" s="403"/>
      <c r="HO101" s="403"/>
      <c r="HP101" s="403"/>
      <c r="HQ101" s="403"/>
      <c r="HR101" s="403"/>
      <c r="HS101" s="403"/>
      <c r="HT101" s="403"/>
      <c r="HU101" s="403"/>
      <c r="HV101" s="403"/>
      <c r="HW101" s="403"/>
      <c r="HX101" s="403"/>
      <c r="HY101" s="403"/>
      <c r="HZ101" s="403"/>
      <c r="IA101" s="403"/>
      <c r="IB101" s="403"/>
      <c r="IC101" s="403"/>
      <c r="ID101" s="403"/>
      <c r="IE101" s="403"/>
      <c r="IF101" s="403"/>
      <c r="IG101" s="403"/>
      <c r="IH101" s="403"/>
      <c r="II101" s="403"/>
      <c r="IJ101" s="403"/>
      <c r="IK101" s="403"/>
      <c r="IL101" s="403"/>
      <c r="IM101" s="403"/>
      <c r="IN101" s="403"/>
      <c r="IO101" s="403"/>
      <c r="IP101" s="403"/>
      <c r="IQ101" s="403" t="s">
        <v>11926</v>
      </c>
      <c r="IR101" s="403"/>
      <c r="IS101" s="403"/>
      <c r="IT101" s="403"/>
      <c r="IU101" s="403"/>
      <c r="IV101" s="403"/>
      <c r="IW101" s="403"/>
      <c r="IX101" s="403"/>
      <c r="IY101" s="403"/>
      <c r="IZ101" s="403"/>
      <c r="JA101" s="403"/>
      <c r="JB101" s="403"/>
      <c r="JC101" s="403"/>
      <c r="JD101" s="403"/>
      <c r="JE101" s="403"/>
      <c r="JF101" s="403"/>
      <c r="JG101" s="403"/>
      <c r="JH101" s="403"/>
      <c r="JI101" s="403"/>
      <c r="JJ101" s="403"/>
      <c r="JK101" s="403"/>
      <c r="JL101" s="403"/>
      <c r="JM101" s="403"/>
      <c r="JN101" s="403"/>
      <c r="JO101" s="403"/>
      <c r="JP101" s="403"/>
      <c r="JQ101" s="403"/>
      <c r="JR101" s="403"/>
      <c r="JS101" s="403"/>
      <c r="JT101" s="403"/>
    </row>
    <row r="102" spans="1:280" s="15" customFormat="1" ht="12.75" x14ac:dyDescent="0.2">
      <c r="A102" s="9"/>
      <c r="B102" s="624"/>
      <c r="R102" s="12" t="str">
        <f t="shared" ca="1" si="199"/>
        <v/>
      </c>
      <c r="S102" s="2"/>
      <c r="T102" s="241"/>
      <c r="U102" s="624"/>
      <c r="V102" s="2"/>
      <c r="W102" s="241"/>
      <c r="X102" s="241"/>
      <c r="Y102" s="241"/>
      <c r="Z102" s="241"/>
      <c r="AA102" s="241"/>
      <c r="AB102" s="241"/>
      <c r="AC102" s="241"/>
      <c r="AD102" s="241"/>
      <c r="AE102" s="2"/>
      <c r="AF102" s="241"/>
      <c r="AG102" s="624"/>
      <c r="AH102" s="72"/>
      <c r="AI102" s="241"/>
      <c r="AJ102" s="241"/>
      <c r="AK102" s="241"/>
      <c r="AL102" s="241"/>
      <c r="AM102" s="241"/>
      <c r="AN102" s="241"/>
      <c r="AO102" s="241"/>
      <c r="AP102" s="241"/>
      <c r="AR102" s="403"/>
      <c r="AS102" s="403"/>
      <c r="AT102" s="403"/>
      <c r="AU102" s="403"/>
      <c r="AV102" s="403"/>
      <c r="AW102" s="403"/>
      <c r="AX102" s="403"/>
      <c r="AY102" s="403"/>
      <c r="AZ102" s="403"/>
      <c r="BA102" s="403"/>
      <c r="BB102" s="403"/>
      <c r="BC102" s="403"/>
      <c r="BD102" s="403"/>
      <c r="BE102" s="403"/>
      <c r="BF102" s="403"/>
      <c r="BG102" s="403"/>
      <c r="BH102" s="403"/>
      <c r="BI102" s="403"/>
      <c r="BJ102" s="403"/>
      <c r="BK102" s="403"/>
      <c r="BL102" s="403"/>
      <c r="BM102" s="403"/>
      <c r="BN102" s="403"/>
      <c r="BO102" s="403"/>
      <c r="BP102" s="403"/>
      <c r="BQ102" s="403"/>
      <c r="BR102" s="403"/>
      <c r="BS102" s="403"/>
      <c r="BT102" s="403"/>
      <c r="BU102" s="403"/>
      <c r="BV102" s="403"/>
      <c r="BW102" s="403"/>
      <c r="BX102" s="403"/>
      <c r="BY102" s="403"/>
      <c r="BZ102" s="403"/>
      <c r="CA102" s="403"/>
      <c r="CB102" s="403"/>
      <c r="CC102" s="403"/>
      <c r="CD102" s="403"/>
      <c r="CE102" s="403"/>
      <c r="CF102" s="403"/>
      <c r="CG102" s="403"/>
      <c r="CH102" s="403"/>
      <c r="CI102" s="403"/>
      <c r="CJ102" s="403"/>
      <c r="CK102" s="403"/>
      <c r="CL102" s="403"/>
      <c r="CM102" s="403"/>
      <c r="CN102" s="403"/>
      <c r="CO102" s="403"/>
      <c r="CP102" s="403"/>
      <c r="CQ102" s="403"/>
      <c r="CR102" s="403"/>
      <c r="CS102" s="403"/>
      <c r="CT102" s="403"/>
      <c r="CU102" s="403"/>
      <c r="CV102" s="403"/>
      <c r="CW102" s="403"/>
      <c r="CX102" s="403"/>
      <c r="CY102" s="403"/>
      <c r="CZ102" s="403"/>
      <c r="DA102" s="403"/>
      <c r="DB102" s="403"/>
      <c r="DC102" s="403"/>
      <c r="DD102" s="403"/>
      <c r="DE102" s="403"/>
      <c r="DF102" s="403"/>
      <c r="DG102" s="403"/>
      <c r="DH102" s="403"/>
      <c r="DI102" s="403"/>
      <c r="DJ102" s="403"/>
      <c r="DK102" s="403"/>
      <c r="DL102" s="403"/>
      <c r="DM102" s="403"/>
      <c r="DN102" s="403"/>
      <c r="DO102" s="403"/>
      <c r="DP102" s="403"/>
      <c r="DQ102" s="403"/>
      <c r="DR102" s="403"/>
      <c r="DS102" s="403"/>
      <c r="DT102" s="403"/>
      <c r="DU102" s="403"/>
      <c r="DV102" s="403"/>
      <c r="DW102" s="403"/>
      <c r="DX102" s="403"/>
      <c r="DY102" s="403"/>
      <c r="DZ102" s="403"/>
      <c r="EA102" s="403"/>
      <c r="EB102" s="403"/>
      <c r="EC102" s="403"/>
      <c r="ED102" s="403"/>
      <c r="EE102" s="403"/>
      <c r="EF102" s="403"/>
      <c r="EG102" s="403"/>
      <c r="EH102" s="403"/>
      <c r="EI102" s="403"/>
      <c r="EJ102" s="403"/>
      <c r="EK102" s="403"/>
      <c r="EL102" s="403"/>
      <c r="EM102" s="403"/>
      <c r="EN102" s="403"/>
      <c r="EO102" s="403"/>
      <c r="EP102" s="403"/>
      <c r="EQ102" s="403"/>
      <c r="ER102" s="403"/>
      <c r="ES102" s="403"/>
      <c r="ET102" s="403"/>
      <c r="EU102" s="403"/>
      <c r="EV102" s="403"/>
      <c r="EW102" s="403"/>
      <c r="EX102" s="403"/>
      <c r="EY102" s="403"/>
      <c r="EZ102" s="403"/>
      <c r="FA102" s="403"/>
      <c r="FB102" s="403"/>
      <c r="FC102" s="403"/>
      <c r="FD102" s="403"/>
      <c r="FE102" s="403"/>
      <c r="FF102" s="403"/>
      <c r="FG102" s="403"/>
      <c r="FH102" s="403"/>
      <c r="FI102" s="403"/>
      <c r="FJ102" s="403"/>
      <c r="FK102" s="403"/>
      <c r="FL102" s="403"/>
      <c r="FM102" s="403"/>
      <c r="FN102" s="403"/>
      <c r="FO102" s="403"/>
      <c r="FP102" s="403"/>
      <c r="FQ102" s="403"/>
      <c r="FR102" s="403"/>
      <c r="FS102" s="403"/>
      <c r="FT102" s="403"/>
      <c r="FU102" s="403"/>
      <c r="FV102" s="403"/>
      <c r="FW102" s="403"/>
      <c r="FX102" s="403"/>
      <c r="FY102" s="403"/>
      <c r="FZ102" s="403"/>
      <c r="GA102" s="403"/>
      <c r="GB102" s="403"/>
      <c r="GC102" s="403"/>
      <c r="GD102" s="403"/>
      <c r="GE102" s="403"/>
      <c r="GF102" s="403"/>
      <c r="GG102" s="403"/>
      <c r="GH102" s="403"/>
      <c r="GI102" s="403"/>
      <c r="GJ102" s="403"/>
      <c r="GK102" s="403"/>
      <c r="GL102" s="403"/>
      <c r="GM102" s="403"/>
      <c r="GN102" s="403"/>
      <c r="GO102" s="403"/>
      <c r="GP102" s="403"/>
      <c r="GQ102" s="403"/>
      <c r="GR102" s="403"/>
      <c r="GS102" s="403"/>
      <c r="GT102" s="403"/>
      <c r="GU102" s="403"/>
      <c r="GV102" s="403"/>
      <c r="GW102" s="403"/>
      <c r="GX102" s="403"/>
      <c r="GY102" s="403"/>
      <c r="GZ102" s="403"/>
      <c r="HA102" s="403"/>
      <c r="HB102" s="403"/>
      <c r="HC102" s="403"/>
      <c r="HD102" s="403"/>
      <c r="HE102" s="403"/>
      <c r="HF102" s="403"/>
      <c r="HG102" s="403"/>
      <c r="HH102" s="403"/>
      <c r="HI102" s="403"/>
      <c r="HJ102" s="403"/>
      <c r="HK102" s="403"/>
      <c r="HL102" s="403"/>
      <c r="HM102" s="403"/>
      <c r="HN102" s="403"/>
      <c r="HO102" s="403"/>
      <c r="HP102" s="403"/>
      <c r="HQ102" s="403"/>
      <c r="HR102" s="403"/>
      <c r="HS102" s="403"/>
      <c r="HT102" s="403"/>
      <c r="HU102" s="403"/>
      <c r="HV102" s="403"/>
      <c r="HW102" s="403"/>
      <c r="HX102" s="403"/>
      <c r="HY102" s="403"/>
      <c r="HZ102" s="403"/>
      <c r="IA102" s="403"/>
      <c r="IB102" s="403"/>
      <c r="IC102" s="403"/>
      <c r="ID102" s="403"/>
      <c r="IE102" s="403"/>
      <c r="IF102" s="403"/>
      <c r="IG102" s="403"/>
      <c r="IH102" s="403"/>
      <c r="II102" s="403"/>
      <c r="IJ102" s="403"/>
      <c r="IK102" s="403"/>
      <c r="IL102" s="403"/>
      <c r="IM102" s="403"/>
      <c r="IN102" s="403"/>
      <c r="IO102" s="403"/>
      <c r="IP102" s="403"/>
      <c r="IQ102" s="403"/>
      <c r="IR102" s="403"/>
      <c r="IS102" s="403"/>
      <c r="IT102" s="403"/>
      <c r="IU102" s="403"/>
      <c r="IV102" s="403"/>
      <c r="IW102" s="403"/>
      <c r="IX102" s="403"/>
      <c r="IY102" s="403"/>
      <c r="IZ102" s="403"/>
      <c r="JA102" s="403"/>
      <c r="JB102" s="403"/>
      <c r="JC102" s="403"/>
      <c r="JD102" s="403"/>
      <c r="JE102" s="403"/>
      <c r="JF102" s="403"/>
      <c r="JG102" s="403"/>
      <c r="JH102" s="403"/>
      <c r="JI102" s="403"/>
      <c r="JJ102" s="403"/>
      <c r="JK102" s="403"/>
      <c r="JL102" s="403"/>
      <c r="JM102" s="403"/>
      <c r="JN102" s="403"/>
      <c r="JO102" s="403"/>
      <c r="JP102" s="403"/>
      <c r="JQ102" s="403"/>
      <c r="JR102" s="403"/>
      <c r="JS102" s="403"/>
      <c r="JT102" s="403"/>
    </row>
    <row r="103" spans="1:280" s="15" customFormat="1" ht="12.75" x14ac:dyDescent="0.2">
      <c r="A103" s="9"/>
      <c r="B103" s="624"/>
      <c r="C103" s="23" t="str">
        <f ca="1">IF(OFFSET(AU103,0,Lang_Order*Lang__B5)="","",OFFSET(AU103,0,Lang_Order*Lang__B5))</f>
        <v>Total vaccine volume per period (liters)</v>
      </c>
      <c r="E103" s="26"/>
      <c r="F103" s="26"/>
      <c r="G103" s="26"/>
      <c r="H103" s="26"/>
      <c r="I103" s="26"/>
      <c r="J103" s="26" t="e">
        <f t="shared" ref="J103:O103" si="225">($E88*J88)*$H88*0.001</f>
        <v>#N/A</v>
      </c>
      <c r="K103" s="26" t="e">
        <f t="shared" si="225"/>
        <v>#N/A</v>
      </c>
      <c r="L103" s="26" t="e">
        <f t="shared" si="225"/>
        <v>#N/A</v>
      </c>
      <c r="M103" s="26" t="e">
        <f t="shared" si="225"/>
        <v>#N/A</v>
      </c>
      <c r="N103" s="26" t="e">
        <f t="shared" si="225"/>
        <v>#N/A</v>
      </c>
      <c r="O103" s="26" t="e">
        <f t="shared" si="225"/>
        <v>#N/A</v>
      </c>
      <c r="P103" s="26"/>
      <c r="Q103" s="26"/>
      <c r="R103" s="12" t="str">
        <f t="shared" ca="1" si="199"/>
        <v>Volume of the whole tranche of vaccines at delivery</v>
      </c>
      <c r="S103" s="2"/>
      <c r="T103" s="241"/>
      <c r="U103" s="624"/>
      <c r="V103" s="72" t="str">
        <f ca="1">IF(OFFSET(AU103,0,Lang_Order*Lang__B5)="","",OFFSET(AU103,0,Lang_Order*Lang__B5))</f>
        <v>Total vaccine volume per period (liters)</v>
      </c>
      <c r="W103" s="26" t="e">
        <f t="shared" ref="W103:AB103" si="226">($E88*W88)*$H88*0.001</f>
        <v>#N/A</v>
      </c>
      <c r="X103" s="26" t="e">
        <f t="shared" si="226"/>
        <v>#N/A</v>
      </c>
      <c r="Y103" s="26" t="e">
        <f t="shared" si="226"/>
        <v>#N/A</v>
      </c>
      <c r="Z103" s="26" t="e">
        <f t="shared" si="226"/>
        <v>#N/A</v>
      </c>
      <c r="AA103" s="26" t="e">
        <f t="shared" si="226"/>
        <v>#N/A</v>
      </c>
      <c r="AB103" s="26" t="e">
        <f t="shared" si="226"/>
        <v>#N/A</v>
      </c>
      <c r="AC103" s="26"/>
      <c r="AD103" s="26"/>
      <c r="AE103" s="2"/>
      <c r="AF103" s="241"/>
      <c r="AG103" s="624"/>
      <c r="AH103" s="72" t="str">
        <f ca="1">IF(OFFSET(AU103,0,Lang_Order*Lang__B5)="","",OFFSET(AU103,0,Lang_Order*Lang__B5))</f>
        <v>Total vaccine volume per period (liters)</v>
      </c>
      <c r="AI103" s="26" t="e">
        <f t="shared" ref="AI103:AN103" si="227">($E88*AI88)*$H88*0.001</f>
        <v>#N/A</v>
      </c>
      <c r="AJ103" s="26" t="e">
        <f t="shared" si="227"/>
        <v>#N/A</v>
      </c>
      <c r="AK103" s="26" t="e">
        <f t="shared" si="227"/>
        <v>#N/A</v>
      </c>
      <c r="AL103" s="26" t="e">
        <f t="shared" si="227"/>
        <v>#N/A</v>
      </c>
      <c r="AM103" s="26" t="e">
        <f t="shared" si="227"/>
        <v>#N/A</v>
      </c>
      <c r="AN103" s="26" t="e">
        <f t="shared" si="227"/>
        <v>#N/A</v>
      </c>
      <c r="AO103" s="26"/>
      <c r="AP103" s="26"/>
      <c r="AR103" s="403"/>
      <c r="AS103" s="403"/>
      <c r="AT103" s="403"/>
      <c r="AU103" s="403" t="s">
        <v>1662</v>
      </c>
      <c r="AV103" s="403"/>
      <c r="AW103" s="403"/>
      <c r="AX103" s="403"/>
      <c r="AY103" s="403"/>
      <c r="AZ103" s="403"/>
      <c r="BA103" s="403"/>
      <c r="BB103" s="403"/>
      <c r="BC103" s="403"/>
      <c r="BD103" s="403"/>
      <c r="BE103" s="403"/>
      <c r="BF103" s="403"/>
      <c r="BG103" s="403"/>
      <c r="BH103" s="403"/>
      <c r="BI103" s="403"/>
      <c r="BJ103" s="403" t="s">
        <v>1644</v>
      </c>
      <c r="BK103" s="403"/>
      <c r="BL103" s="403"/>
      <c r="BM103" s="403"/>
      <c r="BN103" s="403"/>
      <c r="BO103" s="403"/>
      <c r="BP103" s="403"/>
      <c r="BQ103" s="403"/>
      <c r="BR103" s="403"/>
      <c r="BS103" s="403"/>
      <c r="BT103" s="403"/>
      <c r="BU103" s="403"/>
      <c r="BV103" s="403"/>
      <c r="BW103" s="403"/>
      <c r="BX103" s="403"/>
      <c r="BY103" s="403"/>
      <c r="BZ103" s="403"/>
      <c r="CA103" s="403"/>
      <c r="CB103" s="403"/>
      <c r="CC103" s="403" t="s">
        <v>11927</v>
      </c>
      <c r="CD103" s="403"/>
      <c r="CE103" s="403"/>
      <c r="CF103" s="403"/>
      <c r="CG103" s="403"/>
      <c r="CH103" s="403"/>
      <c r="CI103" s="403"/>
      <c r="CJ103" s="403"/>
      <c r="CK103" s="403"/>
      <c r="CL103" s="403"/>
      <c r="CM103" s="403"/>
      <c r="CN103" s="403"/>
      <c r="CO103" s="403"/>
      <c r="CP103" s="403"/>
      <c r="CQ103" s="403"/>
      <c r="CR103" s="403" t="s">
        <v>11928</v>
      </c>
      <c r="CS103" s="403"/>
      <c r="CT103" s="403"/>
      <c r="CU103" s="403"/>
      <c r="CV103" s="403"/>
      <c r="CW103" s="403"/>
      <c r="CX103" s="403"/>
      <c r="CY103" s="403"/>
      <c r="CZ103" s="403"/>
      <c r="DA103" s="403"/>
      <c r="DB103" s="403"/>
      <c r="DC103" s="403"/>
      <c r="DD103" s="403"/>
      <c r="DE103" s="403"/>
      <c r="DF103" s="403"/>
      <c r="DG103" s="403"/>
      <c r="DH103" s="403"/>
      <c r="DI103" s="403"/>
      <c r="DJ103" s="403"/>
      <c r="DK103" s="403" t="s">
        <v>11929</v>
      </c>
      <c r="DL103" s="403"/>
      <c r="DM103" s="403"/>
      <c r="DN103" s="403"/>
      <c r="DO103" s="403"/>
      <c r="DP103" s="403"/>
      <c r="DQ103" s="403"/>
      <c r="DR103" s="403"/>
      <c r="DS103" s="403"/>
      <c r="DT103" s="403"/>
      <c r="DU103" s="403"/>
      <c r="DV103" s="403"/>
      <c r="DW103" s="403"/>
      <c r="DX103" s="403"/>
      <c r="DY103" s="403"/>
      <c r="DZ103" s="403" t="s">
        <v>11930</v>
      </c>
      <c r="EA103" s="403"/>
      <c r="EB103" s="403"/>
      <c r="EC103" s="403"/>
      <c r="ED103" s="403"/>
      <c r="EE103" s="403"/>
      <c r="EF103" s="403"/>
      <c r="EG103" s="403"/>
      <c r="EH103" s="403"/>
      <c r="EI103" s="403"/>
      <c r="EJ103" s="403"/>
      <c r="EK103" s="403"/>
      <c r="EL103" s="403"/>
      <c r="EM103" s="403"/>
      <c r="EN103" s="403"/>
      <c r="EO103" s="403"/>
      <c r="EP103" s="403"/>
      <c r="EQ103" s="403"/>
      <c r="ER103" s="403"/>
      <c r="ES103" s="403" t="s">
        <v>11931</v>
      </c>
      <c r="ET103" s="403"/>
      <c r="EU103" s="403"/>
      <c r="EV103" s="403"/>
      <c r="EW103" s="403"/>
      <c r="EX103" s="403"/>
      <c r="EY103" s="403"/>
      <c r="EZ103" s="403"/>
      <c r="FA103" s="403"/>
      <c r="FB103" s="403"/>
      <c r="FC103" s="403"/>
      <c r="FD103" s="403"/>
      <c r="FE103" s="403"/>
      <c r="FF103" s="403"/>
      <c r="FG103" s="403"/>
      <c r="FH103" s="403" t="s">
        <v>11932</v>
      </c>
      <c r="FI103" s="403"/>
      <c r="FJ103" s="403"/>
      <c r="FK103" s="403"/>
      <c r="FL103" s="403"/>
      <c r="FM103" s="403"/>
      <c r="FN103" s="403"/>
      <c r="FO103" s="403"/>
      <c r="FP103" s="403"/>
      <c r="FQ103" s="403"/>
      <c r="FR103" s="403"/>
      <c r="FS103" s="403"/>
      <c r="FT103" s="403"/>
      <c r="FU103" s="403"/>
      <c r="FV103" s="403"/>
      <c r="FW103" s="403"/>
      <c r="FX103" s="403"/>
      <c r="FY103" s="403"/>
      <c r="FZ103" s="403"/>
      <c r="GA103" s="403" t="s">
        <v>11933</v>
      </c>
      <c r="GB103" s="403"/>
      <c r="GC103" s="403"/>
      <c r="GD103" s="403"/>
      <c r="GE103" s="403"/>
      <c r="GF103" s="403"/>
      <c r="GG103" s="403"/>
      <c r="GH103" s="403"/>
      <c r="GI103" s="403"/>
      <c r="GJ103" s="403"/>
      <c r="GK103" s="403"/>
      <c r="GL103" s="403"/>
      <c r="GM103" s="403"/>
      <c r="GN103" s="403"/>
      <c r="GO103" s="403"/>
      <c r="GP103" s="403" t="s">
        <v>11934</v>
      </c>
      <c r="GQ103" s="403"/>
      <c r="GR103" s="403"/>
      <c r="GS103" s="403"/>
      <c r="GT103" s="403"/>
      <c r="GU103" s="403"/>
      <c r="GV103" s="403"/>
      <c r="GW103" s="403"/>
      <c r="GX103" s="403"/>
      <c r="GY103" s="403"/>
      <c r="GZ103" s="403"/>
      <c r="HA103" s="403"/>
      <c r="HB103" s="403"/>
      <c r="HC103" s="403"/>
      <c r="HD103" s="403"/>
      <c r="HE103" s="403"/>
      <c r="HF103" s="403"/>
      <c r="HG103" s="403"/>
      <c r="HH103" s="403"/>
      <c r="HI103" s="403" t="s">
        <v>11935</v>
      </c>
      <c r="HJ103" s="403"/>
      <c r="HK103" s="403"/>
      <c r="HL103" s="403"/>
      <c r="HM103" s="403"/>
      <c r="HN103" s="403"/>
      <c r="HO103" s="403"/>
      <c r="HP103" s="403"/>
      <c r="HQ103" s="403"/>
      <c r="HR103" s="403"/>
      <c r="HS103" s="403"/>
      <c r="HT103" s="403"/>
      <c r="HU103" s="403"/>
      <c r="HV103" s="403"/>
      <c r="HW103" s="403"/>
      <c r="HX103" s="403" t="s">
        <v>11936</v>
      </c>
      <c r="HY103" s="403"/>
      <c r="HZ103" s="403"/>
      <c r="IA103" s="403"/>
      <c r="IB103" s="403"/>
      <c r="IC103" s="403"/>
      <c r="ID103" s="403"/>
      <c r="IE103" s="403"/>
      <c r="IF103" s="403"/>
      <c r="IG103" s="403"/>
      <c r="IH103" s="403"/>
      <c r="II103" s="403"/>
      <c r="IJ103" s="403"/>
      <c r="IK103" s="403"/>
      <c r="IL103" s="403"/>
      <c r="IM103" s="403"/>
      <c r="IN103" s="403"/>
      <c r="IO103" s="403"/>
      <c r="IP103" s="403"/>
      <c r="IQ103" s="403" t="s">
        <v>11937</v>
      </c>
      <c r="IR103" s="403"/>
      <c r="IS103" s="403"/>
      <c r="IT103" s="403"/>
      <c r="IU103" s="403"/>
      <c r="IV103" s="403"/>
      <c r="IW103" s="403"/>
      <c r="IX103" s="403"/>
      <c r="IY103" s="403"/>
      <c r="IZ103" s="403"/>
      <c r="JA103" s="403"/>
      <c r="JB103" s="403"/>
      <c r="JC103" s="403"/>
      <c r="JD103" s="403"/>
      <c r="JE103" s="403"/>
      <c r="JF103" s="403" t="s">
        <v>11938</v>
      </c>
      <c r="JG103" s="403"/>
      <c r="JH103" s="403"/>
      <c r="JI103" s="403"/>
      <c r="JJ103" s="403"/>
      <c r="JK103" s="403"/>
      <c r="JL103" s="403"/>
      <c r="JM103" s="403"/>
      <c r="JN103" s="403"/>
      <c r="JO103" s="403"/>
      <c r="JP103" s="403"/>
      <c r="JQ103" s="403"/>
      <c r="JR103" s="403"/>
      <c r="JS103" s="403"/>
      <c r="JT103" s="403"/>
    </row>
    <row r="104" spans="1:280" s="15" customFormat="1" ht="12.75" x14ac:dyDescent="0.2">
      <c r="A104" s="9"/>
      <c r="B104" s="624"/>
      <c r="C104" s="23"/>
      <c r="E104" s="26"/>
      <c r="F104" s="26"/>
      <c r="G104" s="26"/>
      <c r="H104" s="26"/>
      <c r="I104" s="26"/>
      <c r="J104" s="26"/>
      <c r="K104" s="26"/>
      <c r="L104" s="26"/>
      <c r="M104" s="26"/>
      <c r="N104" s="26"/>
      <c r="O104" s="26"/>
      <c r="P104" s="26"/>
      <c r="Q104" s="26"/>
      <c r="R104" s="12" t="str">
        <f t="shared" ca="1" si="199"/>
        <v/>
      </c>
      <c r="S104" s="2"/>
      <c r="T104" s="241"/>
      <c r="U104" s="624"/>
      <c r="V104" s="72"/>
      <c r="W104" s="26"/>
      <c r="X104" s="26"/>
      <c r="Y104" s="26"/>
      <c r="Z104" s="26"/>
      <c r="AA104" s="26"/>
      <c r="AB104" s="26"/>
      <c r="AC104" s="26"/>
      <c r="AD104" s="26"/>
      <c r="AE104" s="2"/>
      <c r="AF104" s="241"/>
      <c r="AG104" s="624"/>
      <c r="AH104" s="72"/>
      <c r="AI104" s="26"/>
      <c r="AJ104" s="26"/>
      <c r="AK104" s="26"/>
      <c r="AL104" s="26"/>
      <c r="AM104" s="26"/>
      <c r="AN104" s="26"/>
      <c r="AO104" s="26"/>
      <c r="AP104" s="26"/>
      <c r="AR104" s="403"/>
      <c r="AS104" s="403"/>
      <c r="AT104" s="403"/>
      <c r="AU104" s="403"/>
      <c r="AV104" s="403"/>
      <c r="AW104" s="403"/>
      <c r="AX104" s="403"/>
      <c r="AY104" s="403"/>
      <c r="AZ104" s="403"/>
      <c r="BA104" s="403"/>
      <c r="BB104" s="403"/>
      <c r="BC104" s="403"/>
      <c r="BD104" s="403"/>
      <c r="BE104" s="403"/>
      <c r="BF104" s="403"/>
      <c r="BG104" s="403"/>
      <c r="BH104" s="403"/>
      <c r="BI104" s="403"/>
      <c r="BJ104" s="403"/>
      <c r="BK104" s="403"/>
      <c r="BL104" s="403"/>
      <c r="BM104" s="403"/>
      <c r="BN104" s="403"/>
      <c r="BO104" s="403"/>
      <c r="BP104" s="403"/>
      <c r="BQ104" s="403"/>
      <c r="BR104" s="403"/>
      <c r="BS104" s="403"/>
      <c r="BT104" s="403"/>
      <c r="BU104" s="403"/>
      <c r="BV104" s="403"/>
      <c r="BW104" s="403"/>
      <c r="BX104" s="403"/>
      <c r="BY104" s="403"/>
      <c r="BZ104" s="403"/>
      <c r="CA104" s="403"/>
      <c r="CB104" s="403"/>
      <c r="CC104" s="403"/>
      <c r="CD104" s="403"/>
      <c r="CE104" s="403"/>
      <c r="CF104" s="403"/>
      <c r="CG104" s="403"/>
      <c r="CH104" s="403"/>
      <c r="CI104" s="403"/>
      <c r="CJ104" s="403"/>
      <c r="CK104" s="403"/>
      <c r="CL104" s="403"/>
      <c r="CM104" s="403"/>
      <c r="CN104" s="403"/>
      <c r="CO104" s="403"/>
      <c r="CP104" s="403"/>
      <c r="CQ104" s="403"/>
      <c r="CR104" s="403"/>
      <c r="CS104" s="403"/>
      <c r="CT104" s="403"/>
      <c r="CU104" s="403"/>
      <c r="CV104" s="403"/>
      <c r="CW104" s="403"/>
      <c r="CX104" s="403"/>
      <c r="CY104" s="403"/>
      <c r="CZ104" s="403"/>
      <c r="DA104" s="403"/>
      <c r="DB104" s="403"/>
      <c r="DC104" s="403"/>
      <c r="DD104" s="403"/>
      <c r="DE104" s="403"/>
      <c r="DF104" s="403"/>
      <c r="DG104" s="403"/>
      <c r="DH104" s="403"/>
      <c r="DI104" s="403"/>
      <c r="DJ104" s="403"/>
      <c r="DK104" s="403"/>
      <c r="DL104" s="403"/>
      <c r="DM104" s="403"/>
      <c r="DN104" s="403"/>
      <c r="DO104" s="403"/>
      <c r="DP104" s="403"/>
      <c r="DQ104" s="403"/>
      <c r="DR104" s="403"/>
      <c r="DS104" s="403"/>
      <c r="DT104" s="403"/>
      <c r="DU104" s="403"/>
      <c r="DV104" s="403"/>
      <c r="DW104" s="403"/>
      <c r="DX104" s="403"/>
      <c r="DY104" s="403"/>
      <c r="DZ104" s="403"/>
      <c r="EA104" s="403"/>
      <c r="EB104" s="403"/>
      <c r="EC104" s="403"/>
      <c r="ED104" s="403"/>
      <c r="EE104" s="403"/>
      <c r="EF104" s="403"/>
      <c r="EG104" s="403"/>
      <c r="EH104" s="403"/>
      <c r="EI104" s="403"/>
      <c r="EJ104" s="403"/>
      <c r="EK104" s="403"/>
      <c r="EL104" s="403"/>
      <c r="EM104" s="403"/>
      <c r="EN104" s="403"/>
      <c r="EO104" s="403"/>
      <c r="EP104" s="403"/>
      <c r="EQ104" s="403"/>
      <c r="ER104" s="403"/>
      <c r="ES104" s="403"/>
      <c r="ET104" s="403"/>
      <c r="EU104" s="403"/>
      <c r="EV104" s="403"/>
      <c r="EW104" s="403"/>
      <c r="EX104" s="403"/>
      <c r="EY104" s="403"/>
      <c r="EZ104" s="403"/>
      <c r="FA104" s="403"/>
      <c r="FB104" s="403"/>
      <c r="FC104" s="403"/>
      <c r="FD104" s="403"/>
      <c r="FE104" s="403"/>
      <c r="FF104" s="403"/>
      <c r="FG104" s="403"/>
      <c r="FH104" s="403"/>
      <c r="FI104" s="403"/>
      <c r="FJ104" s="403"/>
      <c r="FK104" s="403"/>
      <c r="FL104" s="403"/>
      <c r="FM104" s="403"/>
      <c r="FN104" s="403"/>
      <c r="FO104" s="403"/>
      <c r="FP104" s="403"/>
      <c r="FQ104" s="403"/>
      <c r="FR104" s="403"/>
      <c r="FS104" s="403"/>
      <c r="FT104" s="403"/>
      <c r="FU104" s="403"/>
      <c r="FV104" s="403"/>
      <c r="FW104" s="403"/>
      <c r="FX104" s="403"/>
      <c r="FY104" s="403"/>
      <c r="FZ104" s="403"/>
      <c r="GA104" s="403"/>
      <c r="GB104" s="403"/>
      <c r="GC104" s="403"/>
      <c r="GD104" s="403"/>
      <c r="GE104" s="403"/>
      <c r="GF104" s="403"/>
      <c r="GG104" s="403"/>
      <c r="GH104" s="403"/>
      <c r="GI104" s="403"/>
      <c r="GJ104" s="403"/>
      <c r="GK104" s="403"/>
      <c r="GL104" s="403"/>
      <c r="GM104" s="403"/>
      <c r="GN104" s="403"/>
      <c r="GO104" s="403"/>
      <c r="GP104" s="403"/>
      <c r="GQ104" s="403"/>
      <c r="GR104" s="403"/>
      <c r="GS104" s="403"/>
      <c r="GT104" s="403"/>
      <c r="GU104" s="403"/>
      <c r="GV104" s="403"/>
      <c r="GW104" s="403"/>
      <c r="GX104" s="403"/>
      <c r="GY104" s="403"/>
      <c r="GZ104" s="403"/>
      <c r="HA104" s="403"/>
      <c r="HB104" s="403"/>
      <c r="HC104" s="403"/>
      <c r="HD104" s="403"/>
      <c r="HE104" s="403"/>
      <c r="HF104" s="403"/>
      <c r="HG104" s="403"/>
      <c r="HH104" s="403"/>
      <c r="HI104" s="403"/>
      <c r="HJ104" s="403"/>
      <c r="HK104" s="403"/>
      <c r="HL104" s="403"/>
      <c r="HM104" s="403"/>
      <c r="HN104" s="403"/>
      <c r="HO104" s="403"/>
      <c r="HP104" s="403"/>
      <c r="HQ104" s="403"/>
      <c r="HR104" s="403"/>
      <c r="HS104" s="403"/>
      <c r="HT104" s="403"/>
      <c r="HU104" s="403"/>
      <c r="HV104" s="403"/>
      <c r="HW104" s="403"/>
      <c r="HX104" s="403"/>
      <c r="HY104" s="403"/>
      <c r="HZ104" s="403"/>
      <c r="IA104" s="403"/>
      <c r="IB104" s="403"/>
      <c r="IC104" s="403"/>
      <c r="ID104" s="403"/>
      <c r="IE104" s="403"/>
      <c r="IF104" s="403"/>
      <c r="IG104" s="403"/>
      <c r="IH104" s="403"/>
      <c r="II104" s="403"/>
      <c r="IJ104" s="403"/>
      <c r="IK104" s="403"/>
      <c r="IL104" s="403"/>
      <c r="IM104" s="403"/>
      <c r="IN104" s="403"/>
      <c r="IO104" s="403"/>
      <c r="IP104" s="403"/>
      <c r="IQ104" s="403"/>
      <c r="IR104" s="403"/>
      <c r="IS104" s="403"/>
      <c r="IT104" s="403"/>
      <c r="IU104" s="403"/>
      <c r="IV104" s="403"/>
      <c r="IW104" s="403"/>
      <c r="IX104" s="403"/>
      <c r="IY104" s="403"/>
      <c r="IZ104" s="403"/>
      <c r="JA104" s="403"/>
      <c r="JB104" s="403"/>
      <c r="JC104" s="403"/>
      <c r="JD104" s="403"/>
      <c r="JE104" s="403"/>
      <c r="JF104" s="403"/>
      <c r="JG104" s="403"/>
      <c r="JH104" s="403"/>
      <c r="JI104" s="403"/>
      <c r="JJ104" s="403"/>
      <c r="JK104" s="403"/>
      <c r="JL104" s="403"/>
      <c r="JM104" s="403"/>
      <c r="JN104" s="403"/>
      <c r="JO104" s="403"/>
      <c r="JP104" s="403"/>
      <c r="JQ104" s="403"/>
      <c r="JR104" s="403"/>
      <c r="JS104" s="403"/>
      <c r="JT104" s="403"/>
    </row>
    <row r="105" spans="1:280" s="15" customFormat="1" ht="12.75" x14ac:dyDescent="0.2">
      <c r="A105" s="9"/>
      <c r="B105" s="624"/>
      <c r="C105" s="335" t="str">
        <f t="shared" ref="C105:C111" ca="1" si="228">IF(OFFSET(AU105,0,Lang_Order*Lang__B5)="","",OFFSET(AU105,0,Lang_Order*Lang__B5))</f>
        <v>Vaccinator Time Per Site Per Dose (hours)</v>
      </c>
      <c r="E105" s="26"/>
      <c r="F105" s="26"/>
      <c r="G105" s="26"/>
      <c r="H105" s="26"/>
      <c r="I105" s="26"/>
      <c r="J105" s="26" t="e">
        <f>IF(J97=0,0,(J88*$G88)/(60*J97))</f>
        <v>#N/A</v>
      </c>
      <c r="K105" s="26" t="e">
        <f t="shared" ref="K105:O105" si="229">IF(K97=0,0,(K88*$G88)/(60*K97))</f>
        <v>#N/A</v>
      </c>
      <c r="L105" s="26" t="e">
        <f t="shared" si="229"/>
        <v>#N/A</v>
      </c>
      <c r="M105" s="26" t="e">
        <f t="shared" si="229"/>
        <v>#N/A</v>
      </c>
      <c r="N105" s="26" t="e">
        <f t="shared" si="229"/>
        <v>#N/A</v>
      </c>
      <c r="O105" s="26" t="e">
        <f t="shared" si="229"/>
        <v>#N/A</v>
      </c>
      <c r="P105" s="16" t="e">
        <f t="shared" ref="P105:P111" si="230">SUM(J105:O105)</f>
        <v>#N/A</v>
      </c>
      <c r="Q105" s="16"/>
      <c r="R105" s="12" t="str">
        <f t="shared" ca="1" si="199"/>
        <v>Average (mean) sized sites</v>
      </c>
      <c r="S105" s="2"/>
      <c r="T105" s="241"/>
      <c r="U105" s="624"/>
      <c r="V105" s="612" t="str">
        <f t="shared" ref="V105:V111" ca="1" si="231">IF(OFFSET(AU105,0,Lang_Order*Lang__B5)="","",OFFSET(AU105,0,Lang_Order*Lang__B5))</f>
        <v>Vaccinator Time Per Site Per Dose (hours)</v>
      </c>
      <c r="W105" s="26" t="e">
        <f>IF(W97=0,0,(W88*$T88)/(60*W97))</f>
        <v>#N/A</v>
      </c>
      <c r="X105" s="26" t="e">
        <f t="shared" ref="X105:AB105" si="232">IF(X97=0,0,(X88*$T88)/(60*X97))</f>
        <v>#N/A</v>
      </c>
      <c r="Y105" s="26" t="e">
        <f t="shared" si="232"/>
        <v>#N/A</v>
      </c>
      <c r="Z105" s="26" t="e">
        <f t="shared" si="232"/>
        <v>#N/A</v>
      </c>
      <c r="AA105" s="26" t="e">
        <f t="shared" si="232"/>
        <v>#N/A</v>
      </c>
      <c r="AB105" s="26" t="e">
        <f t="shared" si="232"/>
        <v>#N/A</v>
      </c>
      <c r="AC105" s="16" t="e">
        <f t="shared" ref="AC105:AC111" si="233">SUM(W105:AB105)</f>
        <v>#N/A</v>
      </c>
      <c r="AD105" s="16"/>
      <c r="AE105" s="2"/>
      <c r="AF105" s="241"/>
      <c r="AG105" s="624"/>
      <c r="AH105" s="612" t="str">
        <f t="shared" ref="AH105:AH111" ca="1" si="234">IF(OFFSET(AU105,0,Lang_Order*Lang__B5)="","",OFFSET(AU105,0,Lang_Order*Lang__B5))</f>
        <v>Vaccinator Time Per Site Per Dose (hours)</v>
      </c>
      <c r="AI105" s="26" t="e">
        <f>IF(AI97=0,0,(AI88*$AF88)/(60*AI97))</f>
        <v>#N/A</v>
      </c>
      <c r="AJ105" s="26" t="e">
        <f t="shared" ref="AJ105:AN105" si="235">IF(AJ97=0,0,(AJ88*$AF88)/(60*AJ97))</f>
        <v>#N/A</v>
      </c>
      <c r="AK105" s="26" t="e">
        <f t="shared" si="235"/>
        <v>#N/A</v>
      </c>
      <c r="AL105" s="26" t="e">
        <f t="shared" si="235"/>
        <v>#N/A</v>
      </c>
      <c r="AM105" s="26" t="e">
        <f t="shared" si="235"/>
        <v>#N/A</v>
      </c>
      <c r="AN105" s="26" t="e">
        <f t="shared" si="235"/>
        <v>#N/A</v>
      </c>
      <c r="AO105" s="16" t="e">
        <f t="shared" ref="AO105:AO111" si="236">SUM(AI105:AN105)</f>
        <v>#N/A</v>
      </c>
      <c r="AP105" s="16"/>
      <c r="AR105" s="403"/>
      <c r="AS105" s="403"/>
      <c r="AT105" s="403"/>
      <c r="AU105" s="403" t="s">
        <v>1678</v>
      </c>
      <c r="AV105" s="403"/>
      <c r="AW105" s="403"/>
      <c r="AX105" s="403"/>
      <c r="AY105" s="403"/>
      <c r="AZ105" s="403"/>
      <c r="BA105" s="403"/>
      <c r="BB105" s="403"/>
      <c r="BC105" s="403"/>
      <c r="BD105" s="403"/>
      <c r="BE105" s="403"/>
      <c r="BF105" s="403"/>
      <c r="BG105" s="403"/>
      <c r="BH105" s="403"/>
      <c r="BI105" s="403"/>
      <c r="BJ105" s="403" t="s">
        <v>1679</v>
      </c>
      <c r="BK105" s="403"/>
      <c r="BL105" s="403"/>
      <c r="BM105" s="403"/>
      <c r="BN105" s="403"/>
      <c r="BO105" s="403"/>
      <c r="BP105" s="403"/>
      <c r="BQ105" s="403"/>
      <c r="BR105" s="403"/>
      <c r="BS105" s="403"/>
      <c r="BT105" s="403"/>
      <c r="BU105" s="403"/>
      <c r="BV105" s="403"/>
      <c r="BW105" s="403"/>
      <c r="BX105" s="403"/>
      <c r="BY105" s="403"/>
      <c r="BZ105" s="403"/>
      <c r="CA105" s="403"/>
      <c r="CB105" s="403"/>
      <c r="CC105" s="403" t="s">
        <v>11939</v>
      </c>
      <c r="CD105" s="403"/>
      <c r="CE105" s="403"/>
      <c r="CF105" s="403"/>
      <c r="CG105" s="403"/>
      <c r="CH105" s="403"/>
      <c r="CI105" s="403"/>
      <c r="CJ105" s="403"/>
      <c r="CK105" s="403"/>
      <c r="CL105" s="403"/>
      <c r="CM105" s="403"/>
      <c r="CN105" s="403"/>
      <c r="CO105" s="403"/>
      <c r="CP105" s="403"/>
      <c r="CQ105" s="403"/>
      <c r="CR105" s="403" t="s">
        <v>11940</v>
      </c>
      <c r="CS105" s="403"/>
      <c r="CT105" s="403"/>
      <c r="CU105" s="403"/>
      <c r="CV105" s="403"/>
      <c r="CW105" s="403"/>
      <c r="CX105" s="403"/>
      <c r="CY105" s="403"/>
      <c r="CZ105" s="403"/>
      <c r="DA105" s="403"/>
      <c r="DB105" s="403"/>
      <c r="DC105" s="403"/>
      <c r="DD105" s="403"/>
      <c r="DE105" s="403"/>
      <c r="DF105" s="403"/>
      <c r="DG105" s="403"/>
      <c r="DH105" s="403"/>
      <c r="DI105" s="403"/>
      <c r="DJ105" s="403"/>
      <c r="DK105" s="403" t="s">
        <v>11941</v>
      </c>
      <c r="DL105" s="403"/>
      <c r="DM105" s="403"/>
      <c r="DN105" s="403"/>
      <c r="DO105" s="403"/>
      <c r="DP105" s="403"/>
      <c r="DQ105" s="403"/>
      <c r="DR105" s="403"/>
      <c r="DS105" s="403"/>
      <c r="DT105" s="403"/>
      <c r="DU105" s="403"/>
      <c r="DV105" s="403"/>
      <c r="DW105" s="403"/>
      <c r="DX105" s="403"/>
      <c r="DY105" s="403"/>
      <c r="DZ105" s="403" t="s">
        <v>11942</v>
      </c>
      <c r="EA105" s="403"/>
      <c r="EB105" s="403"/>
      <c r="EC105" s="403"/>
      <c r="ED105" s="403"/>
      <c r="EE105" s="403"/>
      <c r="EF105" s="403"/>
      <c r="EG105" s="403"/>
      <c r="EH105" s="403"/>
      <c r="EI105" s="403"/>
      <c r="EJ105" s="403"/>
      <c r="EK105" s="403"/>
      <c r="EL105" s="403"/>
      <c r="EM105" s="403"/>
      <c r="EN105" s="403"/>
      <c r="EO105" s="403"/>
      <c r="EP105" s="403"/>
      <c r="EQ105" s="403"/>
      <c r="ER105" s="403"/>
      <c r="ES105" s="403" t="s">
        <v>11943</v>
      </c>
      <c r="ET105" s="403"/>
      <c r="EU105" s="403"/>
      <c r="EV105" s="403"/>
      <c r="EW105" s="403"/>
      <c r="EX105" s="403"/>
      <c r="EY105" s="403"/>
      <c r="EZ105" s="403"/>
      <c r="FA105" s="403"/>
      <c r="FB105" s="403"/>
      <c r="FC105" s="403"/>
      <c r="FD105" s="403"/>
      <c r="FE105" s="403"/>
      <c r="FF105" s="403"/>
      <c r="FG105" s="403"/>
      <c r="FH105" s="403" t="s">
        <v>11944</v>
      </c>
      <c r="FI105" s="403"/>
      <c r="FJ105" s="403"/>
      <c r="FK105" s="403"/>
      <c r="FL105" s="403"/>
      <c r="FM105" s="403"/>
      <c r="FN105" s="403"/>
      <c r="FO105" s="403"/>
      <c r="FP105" s="403"/>
      <c r="FQ105" s="403"/>
      <c r="FR105" s="403"/>
      <c r="FS105" s="403"/>
      <c r="FT105" s="403"/>
      <c r="FU105" s="403"/>
      <c r="FV105" s="403"/>
      <c r="FW105" s="403"/>
      <c r="FX105" s="403"/>
      <c r="FY105" s="403"/>
      <c r="FZ105" s="403"/>
      <c r="GA105" s="403" t="s">
        <v>11945</v>
      </c>
      <c r="GB105" s="403"/>
      <c r="GC105" s="403"/>
      <c r="GD105" s="403"/>
      <c r="GE105" s="403"/>
      <c r="GF105" s="403"/>
      <c r="GG105" s="403"/>
      <c r="GH105" s="403"/>
      <c r="GI105" s="403"/>
      <c r="GJ105" s="403"/>
      <c r="GK105" s="403"/>
      <c r="GL105" s="403"/>
      <c r="GM105" s="403"/>
      <c r="GN105" s="403"/>
      <c r="GO105" s="403"/>
      <c r="GP105" s="403" t="s">
        <v>11946</v>
      </c>
      <c r="GQ105" s="403"/>
      <c r="GR105" s="403"/>
      <c r="GS105" s="403"/>
      <c r="GT105" s="403"/>
      <c r="GU105" s="403"/>
      <c r="GV105" s="403"/>
      <c r="GW105" s="403"/>
      <c r="GX105" s="403"/>
      <c r="GY105" s="403"/>
      <c r="GZ105" s="403"/>
      <c r="HA105" s="403"/>
      <c r="HB105" s="403"/>
      <c r="HC105" s="403"/>
      <c r="HD105" s="403"/>
      <c r="HE105" s="403"/>
      <c r="HF105" s="403"/>
      <c r="HG105" s="403"/>
      <c r="HH105" s="403"/>
      <c r="HI105" s="403" t="s">
        <v>11947</v>
      </c>
      <c r="HJ105" s="403"/>
      <c r="HK105" s="403"/>
      <c r="HL105" s="403"/>
      <c r="HM105" s="403"/>
      <c r="HN105" s="403"/>
      <c r="HO105" s="403"/>
      <c r="HP105" s="403"/>
      <c r="HQ105" s="403"/>
      <c r="HR105" s="403"/>
      <c r="HS105" s="403"/>
      <c r="HT105" s="403"/>
      <c r="HU105" s="403"/>
      <c r="HV105" s="403"/>
      <c r="HW105" s="403"/>
      <c r="HX105" s="403" t="s">
        <v>11948</v>
      </c>
      <c r="HY105" s="403"/>
      <c r="HZ105" s="403"/>
      <c r="IA105" s="403"/>
      <c r="IB105" s="403"/>
      <c r="IC105" s="403"/>
      <c r="ID105" s="403"/>
      <c r="IE105" s="403"/>
      <c r="IF105" s="403"/>
      <c r="IG105" s="403"/>
      <c r="IH105" s="403"/>
      <c r="II105" s="403"/>
      <c r="IJ105" s="403"/>
      <c r="IK105" s="403"/>
      <c r="IL105" s="403"/>
      <c r="IM105" s="403"/>
      <c r="IN105" s="403"/>
      <c r="IO105" s="403"/>
      <c r="IP105" s="403"/>
      <c r="IQ105" s="403" t="s">
        <v>11949</v>
      </c>
      <c r="IR105" s="403"/>
      <c r="IS105" s="403"/>
      <c r="IT105" s="403"/>
      <c r="IU105" s="403"/>
      <c r="IV105" s="403"/>
      <c r="IW105" s="403"/>
      <c r="IX105" s="403"/>
      <c r="IY105" s="403"/>
      <c r="IZ105" s="403"/>
      <c r="JA105" s="403"/>
      <c r="JB105" s="403"/>
      <c r="JC105" s="403"/>
      <c r="JD105" s="403"/>
      <c r="JE105" s="403"/>
      <c r="JF105" s="403" t="s">
        <v>11950</v>
      </c>
      <c r="JG105" s="403"/>
      <c r="JH105" s="403"/>
      <c r="JI105" s="403"/>
      <c r="JJ105" s="403"/>
      <c r="JK105" s="403"/>
      <c r="JL105" s="403"/>
      <c r="JM105" s="403"/>
      <c r="JN105" s="403"/>
      <c r="JO105" s="403"/>
      <c r="JP105" s="403"/>
      <c r="JQ105" s="403"/>
      <c r="JR105" s="403"/>
      <c r="JS105" s="403"/>
      <c r="JT105" s="403"/>
    </row>
    <row r="106" spans="1:280" s="15" customFormat="1" ht="12.75" x14ac:dyDescent="0.2">
      <c r="A106" s="9"/>
      <c r="B106" s="624"/>
      <c r="C106" s="66" t="str">
        <f t="shared" ca="1" si="228"/>
        <v>Total Days Per Site Per Dose</v>
      </c>
      <c r="D106" s="85"/>
      <c r="E106" s="62"/>
      <c r="F106" s="62"/>
      <c r="G106" s="62"/>
      <c r="H106" s="62"/>
      <c r="I106" s="62"/>
      <c r="J106" s="62" t="e">
        <f t="shared" ref="J106:O106" si="237">IF(J99=0,0,ROUNDUP((J105/(HRH_HoursPerDay*J99)),0))</f>
        <v>#N/A</v>
      </c>
      <c r="K106" s="62" t="e">
        <f t="shared" si="237"/>
        <v>#N/A</v>
      </c>
      <c r="L106" s="62" t="e">
        <f t="shared" si="237"/>
        <v>#N/A</v>
      </c>
      <c r="M106" s="62" t="e">
        <f t="shared" si="237"/>
        <v>#N/A</v>
      </c>
      <c r="N106" s="62" t="e">
        <f t="shared" si="237"/>
        <v>#N/A</v>
      </c>
      <c r="O106" s="62" t="e">
        <f t="shared" si="237"/>
        <v>#N/A</v>
      </c>
      <c r="P106" s="16" t="e">
        <f t="shared" si="230"/>
        <v>#N/A</v>
      </c>
      <c r="Q106" s="16"/>
      <c r="R106" s="12" t="str">
        <f t="shared" ca="1" si="199"/>
        <v>Quantized-up based on facilities</v>
      </c>
      <c r="S106" s="2"/>
      <c r="T106" s="241"/>
      <c r="U106" s="624"/>
      <c r="V106" s="260" t="str">
        <f t="shared" ca="1" si="231"/>
        <v>Total Days Per Site Per Dose</v>
      </c>
      <c r="W106" s="62" t="e">
        <f t="shared" ref="W106" si="238">IF(W99=0,0,ROUNDUP((W105/(HRH_HoursPerDay*W99)),0))</f>
        <v>#N/A</v>
      </c>
      <c r="X106" s="62" t="e">
        <f t="shared" ref="X106:AB106" si="239">IF(X99=0,0,ROUNDUP((X105/(HRH_HoursPerDay*X99)),0))</f>
        <v>#N/A</v>
      </c>
      <c r="Y106" s="62" t="e">
        <f t="shared" si="239"/>
        <v>#N/A</v>
      </c>
      <c r="Z106" s="62" t="e">
        <f t="shared" si="239"/>
        <v>#N/A</v>
      </c>
      <c r="AA106" s="62" t="e">
        <f t="shared" si="239"/>
        <v>#N/A</v>
      </c>
      <c r="AB106" s="62" t="e">
        <f t="shared" si="239"/>
        <v>#N/A</v>
      </c>
      <c r="AC106" s="16" t="e">
        <f t="shared" si="233"/>
        <v>#N/A</v>
      </c>
      <c r="AD106" s="16"/>
      <c r="AE106" s="2"/>
      <c r="AF106" s="241"/>
      <c r="AG106" s="624"/>
      <c r="AH106" s="72" t="str">
        <f t="shared" ca="1" si="234"/>
        <v>Total Days Per Site Per Dose</v>
      </c>
      <c r="AI106" s="62" t="e">
        <f t="shared" ref="AI106" si="240">IF(AI99=0,0,ROUNDUP((AI105/(HRH_HoursPerDay*AI99)),0))</f>
        <v>#N/A</v>
      </c>
      <c r="AJ106" s="62" t="e">
        <f t="shared" ref="AJ106:AN106" si="241">IF(AJ99=0,0,ROUNDUP((AJ105/(HRH_HoursPerDay*AJ99)),0))</f>
        <v>#N/A</v>
      </c>
      <c r="AK106" s="62" t="e">
        <f t="shared" si="241"/>
        <v>#N/A</v>
      </c>
      <c r="AL106" s="62" t="e">
        <f t="shared" si="241"/>
        <v>#N/A</v>
      </c>
      <c r="AM106" s="62" t="e">
        <f t="shared" si="241"/>
        <v>#N/A</v>
      </c>
      <c r="AN106" s="62" t="e">
        <f t="shared" si="241"/>
        <v>#N/A</v>
      </c>
      <c r="AO106" s="16" t="e">
        <f t="shared" si="236"/>
        <v>#N/A</v>
      </c>
      <c r="AP106" s="16"/>
      <c r="AR106" s="403"/>
      <c r="AS106" s="403"/>
      <c r="AT106" s="403"/>
      <c r="AU106" s="403" t="s">
        <v>1681</v>
      </c>
      <c r="AV106" s="403"/>
      <c r="AW106" s="403"/>
      <c r="AX106" s="403"/>
      <c r="AY106" s="403"/>
      <c r="AZ106" s="403"/>
      <c r="BA106" s="403"/>
      <c r="BB106" s="403"/>
      <c r="BC106" s="403"/>
      <c r="BD106" s="403"/>
      <c r="BE106" s="403"/>
      <c r="BF106" s="403"/>
      <c r="BG106" s="403"/>
      <c r="BH106" s="403"/>
      <c r="BI106" s="403"/>
      <c r="BJ106" s="403" t="s">
        <v>1663</v>
      </c>
      <c r="BK106" s="403"/>
      <c r="BL106" s="403"/>
      <c r="BM106" s="403"/>
      <c r="BN106" s="403"/>
      <c r="BO106" s="403"/>
      <c r="BP106" s="403"/>
      <c r="BQ106" s="403"/>
      <c r="BR106" s="403"/>
      <c r="BS106" s="403"/>
      <c r="BT106" s="403"/>
      <c r="BU106" s="403"/>
      <c r="BV106" s="403"/>
      <c r="BW106" s="403"/>
      <c r="BX106" s="403"/>
      <c r="BY106" s="403"/>
      <c r="BZ106" s="403"/>
      <c r="CA106" s="403"/>
      <c r="CB106" s="403"/>
      <c r="CC106" s="403" t="s">
        <v>11951</v>
      </c>
      <c r="CD106" s="403"/>
      <c r="CE106" s="403"/>
      <c r="CF106" s="403"/>
      <c r="CG106" s="403"/>
      <c r="CH106" s="403"/>
      <c r="CI106" s="403"/>
      <c r="CJ106" s="403"/>
      <c r="CK106" s="403"/>
      <c r="CL106" s="403"/>
      <c r="CM106" s="403"/>
      <c r="CN106" s="403"/>
      <c r="CO106" s="403"/>
      <c r="CP106" s="403"/>
      <c r="CQ106" s="403"/>
      <c r="CR106" s="403" t="s">
        <v>11952</v>
      </c>
      <c r="CS106" s="403"/>
      <c r="CT106" s="403"/>
      <c r="CU106" s="403"/>
      <c r="CV106" s="403"/>
      <c r="CW106" s="403"/>
      <c r="CX106" s="403"/>
      <c r="CY106" s="403"/>
      <c r="CZ106" s="403"/>
      <c r="DA106" s="403"/>
      <c r="DB106" s="403"/>
      <c r="DC106" s="403"/>
      <c r="DD106" s="403"/>
      <c r="DE106" s="403"/>
      <c r="DF106" s="403"/>
      <c r="DG106" s="403"/>
      <c r="DH106" s="403"/>
      <c r="DI106" s="403"/>
      <c r="DJ106" s="403"/>
      <c r="DK106" s="403" t="s">
        <v>11953</v>
      </c>
      <c r="DL106" s="403"/>
      <c r="DM106" s="403"/>
      <c r="DN106" s="403"/>
      <c r="DO106" s="403"/>
      <c r="DP106" s="403"/>
      <c r="DQ106" s="403"/>
      <c r="DR106" s="403"/>
      <c r="DS106" s="403"/>
      <c r="DT106" s="403"/>
      <c r="DU106" s="403"/>
      <c r="DV106" s="403"/>
      <c r="DW106" s="403"/>
      <c r="DX106" s="403"/>
      <c r="DY106" s="403"/>
      <c r="DZ106" s="403" t="s">
        <v>11954</v>
      </c>
      <c r="EA106" s="403"/>
      <c r="EB106" s="403"/>
      <c r="EC106" s="403"/>
      <c r="ED106" s="403"/>
      <c r="EE106" s="403"/>
      <c r="EF106" s="403"/>
      <c r="EG106" s="403"/>
      <c r="EH106" s="403"/>
      <c r="EI106" s="403"/>
      <c r="EJ106" s="403"/>
      <c r="EK106" s="403"/>
      <c r="EL106" s="403"/>
      <c r="EM106" s="403"/>
      <c r="EN106" s="403"/>
      <c r="EO106" s="403"/>
      <c r="EP106" s="403"/>
      <c r="EQ106" s="403"/>
      <c r="ER106" s="403"/>
      <c r="ES106" s="403" t="s">
        <v>11955</v>
      </c>
      <c r="ET106" s="403"/>
      <c r="EU106" s="403"/>
      <c r="EV106" s="403"/>
      <c r="EW106" s="403"/>
      <c r="EX106" s="403"/>
      <c r="EY106" s="403"/>
      <c r="EZ106" s="403"/>
      <c r="FA106" s="403"/>
      <c r="FB106" s="403"/>
      <c r="FC106" s="403"/>
      <c r="FD106" s="403"/>
      <c r="FE106" s="403"/>
      <c r="FF106" s="403"/>
      <c r="FG106" s="403"/>
      <c r="FH106" s="403" t="s">
        <v>11956</v>
      </c>
      <c r="FI106" s="403"/>
      <c r="FJ106" s="403"/>
      <c r="FK106" s="403"/>
      <c r="FL106" s="403"/>
      <c r="FM106" s="403"/>
      <c r="FN106" s="403"/>
      <c r="FO106" s="403"/>
      <c r="FP106" s="403"/>
      <c r="FQ106" s="403"/>
      <c r="FR106" s="403"/>
      <c r="FS106" s="403"/>
      <c r="FT106" s="403"/>
      <c r="FU106" s="403"/>
      <c r="FV106" s="403"/>
      <c r="FW106" s="403"/>
      <c r="FX106" s="403"/>
      <c r="FY106" s="403"/>
      <c r="FZ106" s="403"/>
      <c r="GA106" s="403" t="s">
        <v>11957</v>
      </c>
      <c r="GB106" s="403"/>
      <c r="GC106" s="403"/>
      <c r="GD106" s="403"/>
      <c r="GE106" s="403"/>
      <c r="GF106" s="403"/>
      <c r="GG106" s="403"/>
      <c r="GH106" s="403"/>
      <c r="GI106" s="403"/>
      <c r="GJ106" s="403"/>
      <c r="GK106" s="403"/>
      <c r="GL106" s="403"/>
      <c r="GM106" s="403"/>
      <c r="GN106" s="403"/>
      <c r="GO106" s="403"/>
      <c r="GP106" s="403" t="s">
        <v>11958</v>
      </c>
      <c r="GQ106" s="403"/>
      <c r="GR106" s="403"/>
      <c r="GS106" s="403"/>
      <c r="GT106" s="403"/>
      <c r="GU106" s="403"/>
      <c r="GV106" s="403"/>
      <c r="GW106" s="403"/>
      <c r="GX106" s="403"/>
      <c r="GY106" s="403"/>
      <c r="GZ106" s="403"/>
      <c r="HA106" s="403"/>
      <c r="HB106" s="403"/>
      <c r="HC106" s="403"/>
      <c r="HD106" s="403"/>
      <c r="HE106" s="403"/>
      <c r="HF106" s="403"/>
      <c r="HG106" s="403"/>
      <c r="HH106" s="403"/>
      <c r="HI106" s="403" t="s">
        <v>11959</v>
      </c>
      <c r="HJ106" s="403"/>
      <c r="HK106" s="403"/>
      <c r="HL106" s="403"/>
      <c r="HM106" s="403"/>
      <c r="HN106" s="403"/>
      <c r="HO106" s="403"/>
      <c r="HP106" s="403"/>
      <c r="HQ106" s="403"/>
      <c r="HR106" s="403"/>
      <c r="HS106" s="403"/>
      <c r="HT106" s="403"/>
      <c r="HU106" s="403"/>
      <c r="HV106" s="403"/>
      <c r="HW106" s="403"/>
      <c r="HX106" s="403" t="s">
        <v>11960</v>
      </c>
      <c r="HY106" s="403"/>
      <c r="HZ106" s="403"/>
      <c r="IA106" s="403"/>
      <c r="IB106" s="403"/>
      <c r="IC106" s="403"/>
      <c r="ID106" s="403"/>
      <c r="IE106" s="403"/>
      <c r="IF106" s="403"/>
      <c r="IG106" s="403"/>
      <c r="IH106" s="403"/>
      <c r="II106" s="403"/>
      <c r="IJ106" s="403"/>
      <c r="IK106" s="403"/>
      <c r="IL106" s="403"/>
      <c r="IM106" s="403"/>
      <c r="IN106" s="403"/>
      <c r="IO106" s="403"/>
      <c r="IP106" s="403"/>
      <c r="IQ106" s="403" t="s">
        <v>11961</v>
      </c>
      <c r="IR106" s="403"/>
      <c r="IS106" s="403"/>
      <c r="IT106" s="403"/>
      <c r="IU106" s="403"/>
      <c r="IV106" s="403"/>
      <c r="IW106" s="403"/>
      <c r="IX106" s="403"/>
      <c r="IY106" s="403"/>
      <c r="IZ106" s="403"/>
      <c r="JA106" s="403"/>
      <c r="JB106" s="403"/>
      <c r="JC106" s="403"/>
      <c r="JD106" s="403"/>
      <c r="JE106" s="403"/>
      <c r="JF106" s="403" t="s">
        <v>11962</v>
      </c>
      <c r="JG106" s="403"/>
      <c r="JH106" s="403"/>
      <c r="JI106" s="403"/>
      <c r="JJ106" s="403"/>
      <c r="JK106" s="403"/>
      <c r="JL106" s="403"/>
      <c r="JM106" s="403"/>
      <c r="JN106" s="403"/>
      <c r="JO106" s="403"/>
      <c r="JP106" s="403"/>
      <c r="JQ106" s="403"/>
      <c r="JR106" s="403"/>
      <c r="JS106" s="403"/>
      <c r="JT106" s="403"/>
    </row>
    <row r="107" spans="1:280" s="15" customFormat="1" ht="12.75" x14ac:dyDescent="0.2">
      <c r="A107" s="9"/>
      <c r="B107" s="624"/>
      <c r="C107" s="66" t="str">
        <f t="shared" ca="1" si="228"/>
        <v>Total Days Per Site Per Course</v>
      </c>
      <c r="D107" s="85"/>
      <c r="E107" s="62"/>
      <c r="F107" s="62"/>
      <c r="G107" s="62"/>
      <c r="H107" s="62"/>
      <c r="I107" s="62"/>
      <c r="J107" s="62" t="e">
        <f t="shared" ref="J107:O107" si="242">J106*$E88</f>
        <v>#N/A</v>
      </c>
      <c r="K107" s="62" t="e">
        <f t="shared" si="242"/>
        <v>#N/A</v>
      </c>
      <c r="L107" s="62" t="e">
        <f t="shared" si="242"/>
        <v>#N/A</v>
      </c>
      <c r="M107" s="62" t="e">
        <f t="shared" si="242"/>
        <v>#N/A</v>
      </c>
      <c r="N107" s="62" t="e">
        <f t="shared" si="242"/>
        <v>#N/A</v>
      </c>
      <c r="O107" s="62" t="e">
        <f t="shared" si="242"/>
        <v>#N/A</v>
      </c>
      <c r="P107" s="16" t="e">
        <f t="shared" si="230"/>
        <v>#N/A</v>
      </c>
      <c r="Q107" s="16"/>
      <c r="R107" s="12" t="str">
        <f t="shared" ca="1" si="199"/>
        <v>In case more than one dose needed</v>
      </c>
      <c r="S107" s="2"/>
      <c r="T107" s="241"/>
      <c r="U107" s="624"/>
      <c r="V107" s="260" t="str">
        <f t="shared" ca="1" si="231"/>
        <v>Total Days Per Site Per Course</v>
      </c>
      <c r="W107" s="62" t="e">
        <f t="shared" ref="W107" si="243">W106*$E88</f>
        <v>#N/A</v>
      </c>
      <c r="X107" s="62" t="e">
        <f t="shared" ref="X107:AB107" si="244">X106*$E88</f>
        <v>#N/A</v>
      </c>
      <c r="Y107" s="62" t="e">
        <f t="shared" si="244"/>
        <v>#N/A</v>
      </c>
      <c r="Z107" s="62" t="e">
        <f t="shared" si="244"/>
        <v>#N/A</v>
      </c>
      <c r="AA107" s="62" t="e">
        <f t="shared" si="244"/>
        <v>#N/A</v>
      </c>
      <c r="AB107" s="62" t="e">
        <f t="shared" si="244"/>
        <v>#N/A</v>
      </c>
      <c r="AC107" s="16" t="e">
        <f t="shared" si="233"/>
        <v>#N/A</v>
      </c>
      <c r="AD107" s="16"/>
      <c r="AE107" s="2"/>
      <c r="AF107" s="241"/>
      <c r="AG107" s="624"/>
      <c r="AH107" s="72" t="str">
        <f t="shared" ca="1" si="234"/>
        <v>Total Days Per Site Per Course</v>
      </c>
      <c r="AI107" s="62" t="e">
        <f t="shared" ref="AI107" si="245">AI106*$E88</f>
        <v>#N/A</v>
      </c>
      <c r="AJ107" s="62" t="e">
        <f t="shared" ref="AJ107:AN107" si="246">AJ106*$E88</f>
        <v>#N/A</v>
      </c>
      <c r="AK107" s="62" t="e">
        <f t="shared" si="246"/>
        <v>#N/A</v>
      </c>
      <c r="AL107" s="62" t="e">
        <f t="shared" si="246"/>
        <v>#N/A</v>
      </c>
      <c r="AM107" s="62" t="e">
        <f t="shared" si="246"/>
        <v>#N/A</v>
      </c>
      <c r="AN107" s="62" t="e">
        <f t="shared" si="246"/>
        <v>#N/A</v>
      </c>
      <c r="AO107" s="16" t="e">
        <f t="shared" si="236"/>
        <v>#N/A</v>
      </c>
      <c r="AP107" s="16"/>
      <c r="AR107" s="403"/>
      <c r="AS107" s="403"/>
      <c r="AT107" s="403"/>
      <c r="AU107" s="403" t="s">
        <v>1680</v>
      </c>
      <c r="AV107" s="403"/>
      <c r="AW107" s="403"/>
      <c r="AX107" s="403"/>
      <c r="AY107" s="403"/>
      <c r="AZ107" s="403"/>
      <c r="BA107" s="403"/>
      <c r="BB107" s="403"/>
      <c r="BC107" s="403"/>
      <c r="BD107" s="403"/>
      <c r="BE107" s="403"/>
      <c r="BF107" s="403"/>
      <c r="BG107" s="403"/>
      <c r="BH107" s="403"/>
      <c r="BI107" s="403"/>
      <c r="BJ107" s="403" t="s">
        <v>1685</v>
      </c>
      <c r="BK107" s="403"/>
      <c r="BL107" s="403"/>
      <c r="BM107" s="403"/>
      <c r="BN107" s="403"/>
      <c r="BO107" s="403"/>
      <c r="BP107" s="403"/>
      <c r="BQ107" s="403"/>
      <c r="BR107" s="403"/>
      <c r="BS107" s="403"/>
      <c r="BT107" s="403"/>
      <c r="BU107" s="403"/>
      <c r="BV107" s="403"/>
      <c r="BW107" s="403"/>
      <c r="BX107" s="403"/>
      <c r="BY107" s="403"/>
      <c r="BZ107" s="403"/>
      <c r="CA107" s="403"/>
      <c r="CB107" s="403"/>
      <c r="CC107" s="403" t="s">
        <v>11963</v>
      </c>
      <c r="CD107" s="403"/>
      <c r="CE107" s="403"/>
      <c r="CF107" s="403"/>
      <c r="CG107" s="403"/>
      <c r="CH107" s="403"/>
      <c r="CI107" s="403"/>
      <c r="CJ107" s="403"/>
      <c r="CK107" s="403"/>
      <c r="CL107" s="403"/>
      <c r="CM107" s="403"/>
      <c r="CN107" s="403"/>
      <c r="CO107" s="403"/>
      <c r="CP107" s="403"/>
      <c r="CQ107" s="403"/>
      <c r="CR107" s="403" t="s">
        <v>11964</v>
      </c>
      <c r="CS107" s="403"/>
      <c r="CT107" s="403"/>
      <c r="CU107" s="403"/>
      <c r="CV107" s="403"/>
      <c r="CW107" s="403"/>
      <c r="CX107" s="403"/>
      <c r="CY107" s="403"/>
      <c r="CZ107" s="403"/>
      <c r="DA107" s="403"/>
      <c r="DB107" s="403"/>
      <c r="DC107" s="403"/>
      <c r="DD107" s="403"/>
      <c r="DE107" s="403"/>
      <c r="DF107" s="403"/>
      <c r="DG107" s="403"/>
      <c r="DH107" s="403"/>
      <c r="DI107" s="403"/>
      <c r="DJ107" s="403"/>
      <c r="DK107" s="403" t="s">
        <v>11965</v>
      </c>
      <c r="DL107" s="403"/>
      <c r="DM107" s="403"/>
      <c r="DN107" s="403"/>
      <c r="DO107" s="403"/>
      <c r="DP107" s="403"/>
      <c r="DQ107" s="403"/>
      <c r="DR107" s="403"/>
      <c r="DS107" s="403"/>
      <c r="DT107" s="403"/>
      <c r="DU107" s="403"/>
      <c r="DV107" s="403"/>
      <c r="DW107" s="403"/>
      <c r="DX107" s="403"/>
      <c r="DY107" s="403"/>
      <c r="DZ107" s="403" t="s">
        <v>11966</v>
      </c>
      <c r="EA107" s="403"/>
      <c r="EB107" s="403"/>
      <c r="EC107" s="403"/>
      <c r="ED107" s="403"/>
      <c r="EE107" s="403"/>
      <c r="EF107" s="403"/>
      <c r="EG107" s="403"/>
      <c r="EH107" s="403"/>
      <c r="EI107" s="403"/>
      <c r="EJ107" s="403"/>
      <c r="EK107" s="403"/>
      <c r="EL107" s="403"/>
      <c r="EM107" s="403"/>
      <c r="EN107" s="403"/>
      <c r="EO107" s="403"/>
      <c r="EP107" s="403"/>
      <c r="EQ107" s="403"/>
      <c r="ER107" s="403"/>
      <c r="ES107" s="403" t="s">
        <v>11967</v>
      </c>
      <c r="ET107" s="403"/>
      <c r="EU107" s="403"/>
      <c r="EV107" s="403"/>
      <c r="EW107" s="403"/>
      <c r="EX107" s="403"/>
      <c r="EY107" s="403"/>
      <c r="EZ107" s="403"/>
      <c r="FA107" s="403"/>
      <c r="FB107" s="403"/>
      <c r="FC107" s="403"/>
      <c r="FD107" s="403"/>
      <c r="FE107" s="403"/>
      <c r="FF107" s="403"/>
      <c r="FG107" s="403"/>
      <c r="FH107" s="403" t="s">
        <v>11968</v>
      </c>
      <c r="FI107" s="403"/>
      <c r="FJ107" s="403"/>
      <c r="FK107" s="403"/>
      <c r="FL107" s="403"/>
      <c r="FM107" s="403"/>
      <c r="FN107" s="403"/>
      <c r="FO107" s="403"/>
      <c r="FP107" s="403"/>
      <c r="FQ107" s="403"/>
      <c r="FR107" s="403"/>
      <c r="FS107" s="403"/>
      <c r="FT107" s="403"/>
      <c r="FU107" s="403"/>
      <c r="FV107" s="403"/>
      <c r="FW107" s="403"/>
      <c r="FX107" s="403"/>
      <c r="FY107" s="403"/>
      <c r="FZ107" s="403"/>
      <c r="GA107" s="403" t="s">
        <v>11969</v>
      </c>
      <c r="GB107" s="403"/>
      <c r="GC107" s="403"/>
      <c r="GD107" s="403"/>
      <c r="GE107" s="403"/>
      <c r="GF107" s="403"/>
      <c r="GG107" s="403"/>
      <c r="GH107" s="403"/>
      <c r="GI107" s="403"/>
      <c r="GJ107" s="403"/>
      <c r="GK107" s="403"/>
      <c r="GL107" s="403"/>
      <c r="GM107" s="403"/>
      <c r="GN107" s="403"/>
      <c r="GO107" s="403"/>
      <c r="GP107" s="403" t="s">
        <v>11970</v>
      </c>
      <c r="GQ107" s="403"/>
      <c r="GR107" s="403"/>
      <c r="GS107" s="403"/>
      <c r="GT107" s="403"/>
      <c r="GU107" s="403"/>
      <c r="GV107" s="403"/>
      <c r="GW107" s="403"/>
      <c r="GX107" s="403"/>
      <c r="GY107" s="403"/>
      <c r="GZ107" s="403"/>
      <c r="HA107" s="403"/>
      <c r="HB107" s="403"/>
      <c r="HC107" s="403"/>
      <c r="HD107" s="403"/>
      <c r="HE107" s="403"/>
      <c r="HF107" s="403"/>
      <c r="HG107" s="403"/>
      <c r="HH107" s="403"/>
      <c r="HI107" s="403" t="s">
        <v>11971</v>
      </c>
      <c r="HJ107" s="403"/>
      <c r="HK107" s="403"/>
      <c r="HL107" s="403"/>
      <c r="HM107" s="403"/>
      <c r="HN107" s="403"/>
      <c r="HO107" s="403"/>
      <c r="HP107" s="403"/>
      <c r="HQ107" s="403"/>
      <c r="HR107" s="403"/>
      <c r="HS107" s="403"/>
      <c r="HT107" s="403"/>
      <c r="HU107" s="403"/>
      <c r="HV107" s="403"/>
      <c r="HW107" s="403"/>
      <c r="HX107" s="403" t="s">
        <v>11972</v>
      </c>
      <c r="HY107" s="403"/>
      <c r="HZ107" s="403"/>
      <c r="IA107" s="403"/>
      <c r="IB107" s="403"/>
      <c r="IC107" s="403"/>
      <c r="ID107" s="403"/>
      <c r="IE107" s="403"/>
      <c r="IF107" s="403"/>
      <c r="IG107" s="403"/>
      <c r="IH107" s="403"/>
      <c r="II107" s="403"/>
      <c r="IJ107" s="403"/>
      <c r="IK107" s="403"/>
      <c r="IL107" s="403"/>
      <c r="IM107" s="403"/>
      <c r="IN107" s="403"/>
      <c r="IO107" s="403"/>
      <c r="IP107" s="403"/>
      <c r="IQ107" s="403" t="s">
        <v>11973</v>
      </c>
      <c r="IR107" s="403"/>
      <c r="IS107" s="403"/>
      <c r="IT107" s="403"/>
      <c r="IU107" s="403"/>
      <c r="IV107" s="403"/>
      <c r="IW107" s="403"/>
      <c r="IX107" s="403"/>
      <c r="IY107" s="403"/>
      <c r="IZ107" s="403"/>
      <c r="JA107" s="403"/>
      <c r="JB107" s="403"/>
      <c r="JC107" s="403"/>
      <c r="JD107" s="403"/>
      <c r="JE107" s="403"/>
      <c r="JF107" s="403" t="s">
        <v>11974</v>
      </c>
      <c r="JG107" s="403"/>
      <c r="JH107" s="403"/>
      <c r="JI107" s="403"/>
      <c r="JJ107" s="403"/>
      <c r="JK107" s="403"/>
      <c r="JL107" s="403"/>
      <c r="JM107" s="403"/>
      <c r="JN107" s="403"/>
      <c r="JO107" s="403"/>
      <c r="JP107" s="403"/>
      <c r="JQ107" s="403"/>
      <c r="JR107" s="403"/>
      <c r="JS107" s="403"/>
      <c r="JT107" s="403"/>
    </row>
    <row r="108" spans="1:280" s="15" customFormat="1" ht="12.75" x14ac:dyDescent="0.2">
      <c r="A108" s="9"/>
      <c r="B108" s="624"/>
      <c r="C108" s="359" t="str">
        <f t="shared" ca="1" si="228"/>
        <v>How long to vaccinate all sites (given # of teams)? (days)</v>
      </c>
      <c r="D108" s="85"/>
      <c r="E108" s="62"/>
      <c r="F108" s="62"/>
      <c r="G108" s="62"/>
      <c r="H108" s="62"/>
      <c r="I108" s="62"/>
      <c r="J108" s="62" t="e">
        <f>IF(J100=0,0,ROUNDUP((J97/J100)*J107,0))</f>
        <v>#N/A</v>
      </c>
      <c r="K108" s="62" t="e">
        <f t="shared" ref="K108:O108" si="247">IF(K100=0,0,ROUNDUP((K97/K100)*K107,0))</f>
        <v>#N/A</v>
      </c>
      <c r="L108" s="62" t="e">
        <f t="shared" si="247"/>
        <v>#N/A</v>
      </c>
      <c r="M108" s="62" t="e">
        <f t="shared" si="247"/>
        <v>#N/A</v>
      </c>
      <c r="N108" s="62" t="e">
        <f t="shared" si="247"/>
        <v>#N/A</v>
      </c>
      <c r="O108" s="62" t="e">
        <f t="shared" si="247"/>
        <v>#N/A</v>
      </c>
      <c r="P108" s="16" t="e">
        <f t="shared" si="230"/>
        <v>#N/A</v>
      </c>
      <c r="Q108" s="102" t="e">
        <f>MAX(J108:O108)</f>
        <v>#N/A</v>
      </c>
      <c r="R108" s="12" t="str">
        <f t="shared" ca="1" si="199"/>
        <v>MAX should be number of days per period; disregarding weekends and hols</v>
      </c>
      <c r="S108" s="2"/>
      <c r="T108" s="241"/>
      <c r="U108" s="624"/>
      <c r="V108" s="615" t="str">
        <f t="shared" ca="1" si="231"/>
        <v>How long to vaccinate all sites (given # of teams)? (days)</v>
      </c>
      <c r="W108" s="62" t="e">
        <f>IF(W100=0,0,ROUNDUP((W97/W100)*W107,0))</f>
        <v>#N/A</v>
      </c>
      <c r="X108" s="62" t="e">
        <f t="shared" ref="X108:AB108" si="248">IF(X100=0,0,ROUNDUP((X97/X100)*X107,0))</f>
        <v>#N/A</v>
      </c>
      <c r="Y108" s="62" t="e">
        <f t="shared" si="248"/>
        <v>#N/A</v>
      </c>
      <c r="Z108" s="62" t="e">
        <f t="shared" si="248"/>
        <v>#N/A</v>
      </c>
      <c r="AA108" s="62" t="e">
        <f t="shared" si="248"/>
        <v>#N/A</v>
      </c>
      <c r="AB108" s="62" t="e">
        <f t="shared" si="248"/>
        <v>#N/A</v>
      </c>
      <c r="AC108" s="16" t="e">
        <f t="shared" si="233"/>
        <v>#N/A</v>
      </c>
      <c r="AD108" s="102" t="e">
        <f>MAX(W108:AB108)</f>
        <v>#N/A</v>
      </c>
      <c r="AE108" s="2"/>
      <c r="AF108" s="241"/>
      <c r="AG108" s="624"/>
      <c r="AH108" s="612" t="str">
        <f t="shared" ca="1" si="234"/>
        <v>How long to vaccinate all sites (given # of teams)? (days)</v>
      </c>
      <c r="AI108" s="62" t="e">
        <f>IF(AI100=0,0,ROUNDUP((AI97/AI100)*AI107,0))</f>
        <v>#N/A</v>
      </c>
      <c r="AJ108" s="62" t="e">
        <f t="shared" ref="AJ108:AN108" si="249">IF(AJ100=0,0,ROUNDUP((AJ97/AJ100)*AJ107,0))</f>
        <v>#N/A</v>
      </c>
      <c r="AK108" s="62" t="e">
        <f t="shared" si="249"/>
        <v>#N/A</v>
      </c>
      <c r="AL108" s="62" t="e">
        <f t="shared" si="249"/>
        <v>#N/A</v>
      </c>
      <c r="AM108" s="62" t="e">
        <f t="shared" si="249"/>
        <v>#N/A</v>
      </c>
      <c r="AN108" s="62" t="e">
        <f t="shared" si="249"/>
        <v>#N/A</v>
      </c>
      <c r="AO108" s="16" t="e">
        <f t="shared" si="236"/>
        <v>#N/A</v>
      </c>
      <c r="AP108" s="102" t="e">
        <f>MAX(AI108:AN108)</f>
        <v>#N/A</v>
      </c>
      <c r="AR108" s="403"/>
      <c r="AS108" s="403"/>
      <c r="AT108" s="403"/>
      <c r="AU108" s="403" t="s">
        <v>1686</v>
      </c>
      <c r="AV108" s="403"/>
      <c r="AW108" s="403"/>
      <c r="AX108" s="403"/>
      <c r="AY108" s="403"/>
      <c r="AZ108" s="403"/>
      <c r="BA108" s="403"/>
      <c r="BB108" s="403"/>
      <c r="BC108" s="403"/>
      <c r="BD108" s="403"/>
      <c r="BE108" s="403"/>
      <c r="BF108" s="403"/>
      <c r="BG108" s="403"/>
      <c r="BH108" s="403"/>
      <c r="BI108" s="403"/>
      <c r="BJ108" s="403" t="s">
        <v>4201</v>
      </c>
      <c r="BK108" s="403"/>
      <c r="BL108" s="403"/>
      <c r="BM108" s="403"/>
      <c r="BN108" s="403"/>
      <c r="BO108" s="403"/>
      <c r="BP108" s="403"/>
      <c r="BQ108" s="403"/>
      <c r="BR108" s="403"/>
      <c r="BS108" s="403"/>
      <c r="BT108" s="403"/>
      <c r="BU108" s="403"/>
      <c r="BV108" s="403"/>
      <c r="BW108" s="403"/>
      <c r="BX108" s="403"/>
      <c r="BY108" s="403"/>
      <c r="BZ108" s="403"/>
      <c r="CA108" s="403"/>
      <c r="CB108" s="403"/>
      <c r="CC108" s="403" t="s">
        <v>11975</v>
      </c>
      <c r="CD108" s="403"/>
      <c r="CE108" s="403"/>
      <c r="CF108" s="403"/>
      <c r="CG108" s="403"/>
      <c r="CH108" s="403"/>
      <c r="CI108" s="403"/>
      <c r="CJ108" s="403"/>
      <c r="CK108" s="403"/>
      <c r="CL108" s="403"/>
      <c r="CM108" s="403"/>
      <c r="CN108" s="403"/>
      <c r="CO108" s="403"/>
      <c r="CP108" s="403"/>
      <c r="CQ108" s="403"/>
      <c r="CR108" s="403" t="s">
        <v>11976</v>
      </c>
      <c r="CS108" s="403"/>
      <c r="CT108" s="403"/>
      <c r="CU108" s="403"/>
      <c r="CV108" s="403"/>
      <c r="CW108" s="403"/>
      <c r="CX108" s="403"/>
      <c r="CY108" s="403"/>
      <c r="CZ108" s="403"/>
      <c r="DA108" s="403"/>
      <c r="DB108" s="403"/>
      <c r="DC108" s="403"/>
      <c r="DD108" s="403"/>
      <c r="DE108" s="403"/>
      <c r="DF108" s="403"/>
      <c r="DG108" s="403"/>
      <c r="DH108" s="403"/>
      <c r="DI108" s="403"/>
      <c r="DJ108" s="403"/>
      <c r="DK108" s="403" t="s">
        <v>11977</v>
      </c>
      <c r="DL108" s="403"/>
      <c r="DM108" s="403"/>
      <c r="DN108" s="403"/>
      <c r="DO108" s="403"/>
      <c r="DP108" s="403"/>
      <c r="DQ108" s="403"/>
      <c r="DR108" s="403"/>
      <c r="DS108" s="403"/>
      <c r="DT108" s="403"/>
      <c r="DU108" s="403"/>
      <c r="DV108" s="403"/>
      <c r="DW108" s="403"/>
      <c r="DX108" s="403"/>
      <c r="DY108" s="403"/>
      <c r="DZ108" s="403" t="s">
        <v>11978</v>
      </c>
      <c r="EA108" s="403"/>
      <c r="EB108" s="403"/>
      <c r="EC108" s="403"/>
      <c r="ED108" s="403"/>
      <c r="EE108" s="403"/>
      <c r="EF108" s="403"/>
      <c r="EG108" s="403"/>
      <c r="EH108" s="403"/>
      <c r="EI108" s="403"/>
      <c r="EJ108" s="403"/>
      <c r="EK108" s="403"/>
      <c r="EL108" s="403"/>
      <c r="EM108" s="403"/>
      <c r="EN108" s="403"/>
      <c r="EO108" s="403"/>
      <c r="EP108" s="403"/>
      <c r="EQ108" s="403"/>
      <c r="ER108" s="403"/>
      <c r="ES108" s="403" t="s">
        <v>11979</v>
      </c>
      <c r="ET108" s="403"/>
      <c r="EU108" s="403"/>
      <c r="EV108" s="403"/>
      <c r="EW108" s="403"/>
      <c r="EX108" s="403"/>
      <c r="EY108" s="403"/>
      <c r="EZ108" s="403"/>
      <c r="FA108" s="403"/>
      <c r="FB108" s="403"/>
      <c r="FC108" s="403"/>
      <c r="FD108" s="403"/>
      <c r="FE108" s="403"/>
      <c r="FF108" s="403"/>
      <c r="FG108" s="403"/>
      <c r="FH108" s="403" t="s">
        <v>11980</v>
      </c>
      <c r="FI108" s="403"/>
      <c r="FJ108" s="403"/>
      <c r="FK108" s="403"/>
      <c r="FL108" s="403"/>
      <c r="FM108" s="403"/>
      <c r="FN108" s="403"/>
      <c r="FO108" s="403"/>
      <c r="FP108" s="403"/>
      <c r="FQ108" s="403"/>
      <c r="FR108" s="403"/>
      <c r="FS108" s="403"/>
      <c r="FT108" s="403"/>
      <c r="FU108" s="403"/>
      <c r="FV108" s="403"/>
      <c r="FW108" s="403"/>
      <c r="FX108" s="403"/>
      <c r="FY108" s="403"/>
      <c r="FZ108" s="403"/>
      <c r="GA108" s="403" t="s">
        <v>11981</v>
      </c>
      <c r="GB108" s="403"/>
      <c r="GC108" s="403"/>
      <c r="GD108" s="403"/>
      <c r="GE108" s="403"/>
      <c r="GF108" s="403"/>
      <c r="GG108" s="403"/>
      <c r="GH108" s="403"/>
      <c r="GI108" s="403"/>
      <c r="GJ108" s="403"/>
      <c r="GK108" s="403"/>
      <c r="GL108" s="403"/>
      <c r="GM108" s="403"/>
      <c r="GN108" s="403"/>
      <c r="GO108" s="403"/>
      <c r="GP108" s="403" t="s">
        <v>11982</v>
      </c>
      <c r="GQ108" s="403"/>
      <c r="GR108" s="403"/>
      <c r="GS108" s="403"/>
      <c r="GT108" s="403"/>
      <c r="GU108" s="403"/>
      <c r="GV108" s="403"/>
      <c r="GW108" s="403"/>
      <c r="GX108" s="403"/>
      <c r="GY108" s="403"/>
      <c r="GZ108" s="403"/>
      <c r="HA108" s="403"/>
      <c r="HB108" s="403"/>
      <c r="HC108" s="403"/>
      <c r="HD108" s="403"/>
      <c r="HE108" s="403"/>
      <c r="HF108" s="403"/>
      <c r="HG108" s="403"/>
      <c r="HH108" s="403"/>
      <c r="HI108" s="403" t="s">
        <v>11983</v>
      </c>
      <c r="HJ108" s="403"/>
      <c r="HK108" s="403"/>
      <c r="HL108" s="403"/>
      <c r="HM108" s="403"/>
      <c r="HN108" s="403"/>
      <c r="HO108" s="403"/>
      <c r="HP108" s="403"/>
      <c r="HQ108" s="403"/>
      <c r="HR108" s="403"/>
      <c r="HS108" s="403"/>
      <c r="HT108" s="403"/>
      <c r="HU108" s="403"/>
      <c r="HV108" s="403"/>
      <c r="HW108" s="403"/>
      <c r="HX108" s="403" t="s">
        <v>11984</v>
      </c>
      <c r="HY108" s="403"/>
      <c r="HZ108" s="403"/>
      <c r="IA108" s="403"/>
      <c r="IB108" s="403"/>
      <c r="IC108" s="403"/>
      <c r="ID108" s="403"/>
      <c r="IE108" s="403"/>
      <c r="IF108" s="403"/>
      <c r="IG108" s="403"/>
      <c r="IH108" s="403"/>
      <c r="II108" s="403"/>
      <c r="IJ108" s="403"/>
      <c r="IK108" s="403"/>
      <c r="IL108" s="403"/>
      <c r="IM108" s="403"/>
      <c r="IN108" s="403"/>
      <c r="IO108" s="403"/>
      <c r="IP108" s="403"/>
      <c r="IQ108" s="403" t="s">
        <v>11985</v>
      </c>
      <c r="IR108" s="403"/>
      <c r="IS108" s="403"/>
      <c r="IT108" s="403"/>
      <c r="IU108" s="403"/>
      <c r="IV108" s="403"/>
      <c r="IW108" s="403"/>
      <c r="IX108" s="403"/>
      <c r="IY108" s="403"/>
      <c r="IZ108" s="403"/>
      <c r="JA108" s="403"/>
      <c r="JB108" s="403"/>
      <c r="JC108" s="403"/>
      <c r="JD108" s="403"/>
      <c r="JE108" s="403"/>
      <c r="JF108" s="403" t="s">
        <v>11986</v>
      </c>
      <c r="JG108" s="403"/>
      <c r="JH108" s="403"/>
      <c r="JI108" s="403"/>
      <c r="JJ108" s="403"/>
      <c r="JK108" s="403"/>
      <c r="JL108" s="403"/>
      <c r="JM108" s="403"/>
      <c r="JN108" s="403"/>
      <c r="JO108" s="403"/>
      <c r="JP108" s="403"/>
      <c r="JQ108" s="403"/>
      <c r="JR108" s="403"/>
      <c r="JS108" s="403"/>
      <c r="JT108" s="403"/>
    </row>
    <row r="109" spans="1:280" s="15" customFormat="1" ht="12.75" x14ac:dyDescent="0.2">
      <c r="A109" s="9"/>
      <c r="B109" s="624"/>
      <c r="C109" s="66" t="str">
        <f t="shared" ca="1" si="228"/>
        <v>Total Vaccinator Days</v>
      </c>
      <c r="D109" s="85"/>
      <c r="E109" s="2">
        <f>'A3. INPUT Unit Costs'!I11</f>
        <v>1</v>
      </c>
      <c r="F109" s="62"/>
      <c r="G109" s="62"/>
      <c r="H109" s="62"/>
      <c r="I109" s="62"/>
      <c r="J109" s="62" t="e">
        <f>J101*J108</f>
        <v>#N/A</v>
      </c>
      <c r="K109" s="62" t="e">
        <f t="shared" ref="K109:O109" si="250">K101*K108</f>
        <v>#N/A</v>
      </c>
      <c r="L109" s="62" t="e">
        <f t="shared" si="250"/>
        <v>#N/A</v>
      </c>
      <c r="M109" s="62" t="e">
        <f t="shared" si="250"/>
        <v>#N/A</v>
      </c>
      <c r="N109" s="62" t="e">
        <f t="shared" si="250"/>
        <v>#N/A</v>
      </c>
      <c r="O109" s="62" t="e">
        <f t="shared" si="250"/>
        <v>#N/A</v>
      </c>
      <c r="P109" s="16" t="e">
        <f t="shared" si="230"/>
        <v>#N/A</v>
      </c>
      <c r="Q109" s="16"/>
      <c r="R109" s="12" t="str">
        <f t="shared" ca="1" si="199"/>
        <v/>
      </c>
      <c r="S109" s="2"/>
      <c r="T109" s="241"/>
      <c r="U109" s="624"/>
      <c r="V109" s="260" t="str">
        <f t="shared" ca="1" si="231"/>
        <v>Total Vaccinator Days</v>
      </c>
      <c r="W109" s="62" t="e">
        <f>W101*W108</f>
        <v>#N/A</v>
      </c>
      <c r="X109" s="62" t="e">
        <f t="shared" ref="X109:AB109" si="251">X101*X108</f>
        <v>#N/A</v>
      </c>
      <c r="Y109" s="62" t="e">
        <f t="shared" si="251"/>
        <v>#N/A</v>
      </c>
      <c r="Z109" s="62" t="e">
        <f t="shared" si="251"/>
        <v>#N/A</v>
      </c>
      <c r="AA109" s="62" t="e">
        <f t="shared" si="251"/>
        <v>#N/A</v>
      </c>
      <c r="AB109" s="62" t="e">
        <f t="shared" si="251"/>
        <v>#N/A</v>
      </c>
      <c r="AC109" s="16" t="e">
        <f t="shared" si="233"/>
        <v>#N/A</v>
      </c>
      <c r="AD109" s="16"/>
      <c r="AE109" s="2"/>
      <c r="AF109" s="241"/>
      <c r="AG109" s="624"/>
      <c r="AH109" s="72" t="str">
        <f t="shared" ca="1" si="234"/>
        <v>Total Vaccinator Days</v>
      </c>
      <c r="AI109" s="62" t="e">
        <f>AI101*AI108</f>
        <v>#N/A</v>
      </c>
      <c r="AJ109" s="62" t="e">
        <f t="shared" ref="AJ109:AN109" si="252">AJ101*AJ108</f>
        <v>#N/A</v>
      </c>
      <c r="AK109" s="62" t="e">
        <f t="shared" si="252"/>
        <v>#N/A</v>
      </c>
      <c r="AL109" s="62" t="e">
        <f t="shared" si="252"/>
        <v>#N/A</v>
      </c>
      <c r="AM109" s="62" t="e">
        <f t="shared" si="252"/>
        <v>#N/A</v>
      </c>
      <c r="AN109" s="62" t="e">
        <f t="shared" si="252"/>
        <v>#N/A</v>
      </c>
      <c r="AO109" s="16" t="e">
        <f t="shared" si="236"/>
        <v>#N/A</v>
      </c>
      <c r="AP109" s="16"/>
      <c r="AR109" s="403"/>
      <c r="AS109" s="403"/>
      <c r="AT109" s="403"/>
      <c r="AU109" s="403" t="s">
        <v>1682</v>
      </c>
      <c r="AV109" s="403"/>
      <c r="AW109" s="403"/>
      <c r="AX109" s="403"/>
      <c r="AY109" s="403"/>
      <c r="AZ109" s="403"/>
      <c r="BA109" s="403"/>
      <c r="BB109" s="403"/>
      <c r="BC109" s="403"/>
      <c r="BD109" s="403"/>
      <c r="BE109" s="403"/>
      <c r="BF109" s="403"/>
      <c r="BG109" s="403"/>
      <c r="BH109" s="403"/>
      <c r="BI109" s="403"/>
      <c r="BJ109" s="403"/>
      <c r="BK109" s="403"/>
      <c r="BL109" s="403"/>
      <c r="BM109" s="403"/>
      <c r="BN109" s="403"/>
      <c r="BO109" s="403"/>
      <c r="BP109" s="403"/>
      <c r="BQ109" s="403"/>
      <c r="BR109" s="403"/>
      <c r="BS109" s="403"/>
      <c r="BT109" s="403"/>
      <c r="BU109" s="403"/>
      <c r="BV109" s="403"/>
      <c r="BW109" s="403"/>
      <c r="BX109" s="403"/>
      <c r="BY109" s="403"/>
      <c r="BZ109" s="403"/>
      <c r="CA109" s="403"/>
      <c r="CB109" s="403"/>
      <c r="CC109" s="403" t="s">
        <v>11683</v>
      </c>
      <c r="CD109" s="403"/>
      <c r="CE109" s="403"/>
      <c r="CF109" s="403"/>
      <c r="CG109" s="403"/>
      <c r="CH109" s="403"/>
      <c r="CI109" s="403"/>
      <c r="CJ109" s="403"/>
      <c r="CK109" s="403"/>
      <c r="CL109" s="403"/>
      <c r="CM109" s="403"/>
      <c r="CN109" s="403"/>
      <c r="CO109" s="403"/>
      <c r="CP109" s="403"/>
      <c r="CQ109" s="403"/>
      <c r="CR109" s="403"/>
      <c r="CS109" s="403"/>
      <c r="CT109" s="403"/>
      <c r="CU109" s="403"/>
      <c r="CV109" s="403"/>
      <c r="CW109" s="403"/>
      <c r="CX109" s="403"/>
      <c r="CY109" s="403"/>
      <c r="CZ109" s="403"/>
      <c r="DA109" s="403"/>
      <c r="DB109" s="403"/>
      <c r="DC109" s="403"/>
      <c r="DD109" s="403"/>
      <c r="DE109" s="403"/>
      <c r="DF109" s="403"/>
      <c r="DG109" s="403"/>
      <c r="DH109" s="403"/>
      <c r="DI109" s="403"/>
      <c r="DJ109" s="403"/>
      <c r="DK109" s="403" t="s">
        <v>11684</v>
      </c>
      <c r="DL109" s="403"/>
      <c r="DM109" s="403"/>
      <c r="DN109" s="403"/>
      <c r="DO109" s="403"/>
      <c r="DP109" s="403"/>
      <c r="DQ109" s="403"/>
      <c r="DR109" s="403"/>
      <c r="DS109" s="403"/>
      <c r="DT109" s="403"/>
      <c r="DU109" s="403"/>
      <c r="DV109" s="403"/>
      <c r="DW109" s="403"/>
      <c r="DX109" s="403"/>
      <c r="DY109" s="403"/>
      <c r="DZ109" s="403"/>
      <c r="EA109" s="403"/>
      <c r="EB109" s="403"/>
      <c r="EC109" s="403"/>
      <c r="ED109" s="403"/>
      <c r="EE109" s="403"/>
      <c r="EF109" s="403"/>
      <c r="EG109" s="403"/>
      <c r="EH109" s="403"/>
      <c r="EI109" s="403"/>
      <c r="EJ109" s="403"/>
      <c r="EK109" s="403"/>
      <c r="EL109" s="403"/>
      <c r="EM109" s="403"/>
      <c r="EN109" s="403"/>
      <c r="EO109" s="403"/>
      <c r="EP109" s="403"/>
      <c r="EQ109" s="403"/>
      <c r="ER109" s="403"/>
      <c r="ES109" s="403" t="s">
        <v>11685</v>
      </c>
      <c r="ET109" s="403"/>
      <c r="EU109" s="403"/>
      <c r="EV109" s="403"/>
      <c r="EW109" s="403"/>
      <c r="EX109" s="403"/>
      <c r="EY109" s="403"/>
      <c r="EZ109" s="403"/>
      <c r="FA109" s="403"/>
      <c r="FB109" s="403"/>
      <c r="FC109" s="403"/>
      <c r="FD109" s="403"/>
      <c r="FE109" s="403"/>
      <c r="FF109" s="403"/>
      <c r="FG109" s="403"/>
      <c r="FH109" s="403"/>
      <c r="FI109" s="403"/>
      <c r="FJ109" s="403"/>
      <c r="FK109" s="403"/>
      <c r="FL109" s="403"/>
      <c r="FM109" s="403"/>
      <c r="FN109" s="403"/>
      <c r="FO109" s="403"/>
      <c r="FP109" s="403"/>
      <c r="FQ109" s="403"/>
      <c r="FR109" s="403"/>
      <c r="FS109" s="403"/>
      <c r="FT109" s="403"/>
      <c r="FU109" s="403"/>
      <c r="FV109" s="403"/>
      <c r="FW109" s="403"/>
      <c r="FX109" s="403"/>
      <c r="FY109" s="403"/>
      <c r="FZ109" s="403"/>
      <c r="GA109" s="403" t="s">
        <v>11686</v>
      </c>
      <c r="GB109" s="403"/>
      <c r="GC109" s="403"/>
      <c r="GD109" s="403"/>
      <c r="GE109" s="403"/>
      <c r="GF109" s="403"/>
      <c r="GG109" s="403"/>
      <c r="GH109" s="403"/>
      <c r="GI109" s="403"/>
      <c r="GJ109" s="403"/>
      <c r="GK109" s="403"/>
      <c r="GL109" s="403"/>
      <c r="GM109" s="403"/>
      <c r="GN109" s="403"/>
      <c r="GO109" s="403"/>
      <c r="GP109" s="403"/>
      <c r="GQ109" s="403"/>
      <c r="GR109" s="403"/>
      <c r="GS109" s="403"/>
      <c r="GT109" s="403"/>
      <c r="GU109" s="403"/>
      <c r="GV109" s="403"/>
      <c r="GW109" s="403"/>
      <c r="GX109" s="403"/>
      <c r="GY109" s="403"/>
      <c r="GZ109" s="403"/>
      <c r="HA109" s="403"/>
      <c r="HB109" s="403"/>
      <c r="HC109" s="403"/>
      <c r="HD109" s="403"/>
      <c r="HE109" s="403"/>
      <c r="HF109" s="403"/>
      <c r="HG109" s="403"/>
      <c r="HH109" s="403"/>
      <c r="HI109" s="403" t="s">
        <v>11987</v>
      </c>
      <c r="HJ109" s="403"/>
      <c r="HK109" s="403"/>
      <c r="HL109" s="403"/>
      <c r="HM109" s="403"/>
      <c r="HN109" s="403"/>
      <c r="HO109" s="403"/>
      <c r="HP109" s="403"/>
      <c r="HQ109" s="403"/>
      <c r="HR109" s="403"/>
      <c r="HS109" s="403"/>
      <c r="HT109" s="403"/>
      <c r="HU109" s="403"/>
      <c r="HV109" s="403"/>
      <c r="HW109" s="403"/>
      <c r="HX109" s="403"/>
      <c r="HY109" s="403"/>
      <c r="HZ109" s="403"/>
      <c r="IA109" s="403"/>
      <c r="IB109" s="403"/>
      <c r="IC109" s="403"/>
      <c r="ID109" s="403"/>
      <c r="IE109" s="403"/>
      <c r="IF109" s="403"/>
      <c r="IG109" s="403"/>
      <c r="IH109" s="403"/>
      <c r="II109" s="403"/>
      <c r="IJ109" s="403"/>
      <c r="IK109" s="403"/>
      <c r="IL109" s="403"/>
      <c r="IM109" s="403"/>
      <c r="IN109" s="403"/>
      <c r="IO109" s="403"/>
      <c r="IP109" s="403"/>
      <c r="IQ109" s="403" t="s">
        <v>11688</v>
      </c>
      <c r="IR109" s="403"/>
      <c r="IS109" s="403"/>
      <c r="IT109" s="403"/>
      <c r="IU109" s="403"/>
      <c r="IV109" s="403"/>
      <c r="IW109" s="403"/>
      <c r="IX109" s="403"/>
      <c r="IY109" s="403"/>
      <c r="IZ109" s="403"/>
      <c r="JA109" s="403"/>
      <c r="JB109" s="403"/>
      <c r="JC109" s="403"/>
      <c r="JD109" s="403"/>
      <c r="JE109" s="403"/>
      <c r="JF109" s="403"/>
      <c r="JG109" s="403"/>
      <c r="JH109" s="403"/>
      <c r="JI109" s="403"/>
      <c r="JJ109" s="403"/>
      <c r="JK109" s="403"/>
      <c r="JL109" s="403"/>
      <c r="JM109" s="403"/>
      <c r="JN109" s="403"/>
      <c r="JO109" s="403"/>
      <c r="JP109" s="403"/>
      <c r="JQ109" s="403"/>
      <c r="JR109" s="403"/>
      <c r="JS109" s="403"/>
      <c r="JT109" s="403"/>
    </row>
    <row r="110" spans="1:280" s="15" customFormat="1" ht="12.75" x14ac:dyDescent="0.2">
      <c r="A110" s="9"/>
      <c r="B110" s="624"/>
      <c r="C110" s="23" t="str">
        <f t="shared" ca="1" si="228"/>
        <v>Total Vaccinator Hours</v>
      </c>
      <c r="E110" s="2">
        <f>'A3. INPUT Unit Costs'!I11</f>
        <v>1</v>
      </c>
      <c r="F110" s="26"/>
      <c r="G110" s="26"/>
      <c r="H110" s="26"/>
      <c r="I110" s="26"/>
      <c r="J110" s="26" t="e">
        <f t="shared" ref="J110:O110" si="253">($E88*J88*$G88)/60</f>
        <v>#N/A</v>
      </c>
      <c r="K110" s="26" t="e">
        <f t="shared" si="253"/>
        <v>#N/A</v>
      </c>
      <c r="L110" s="26" t="e">
        <f t="shared" si="253"/>
        <v>#N/A</v>
      </c>
      <c r="M110" s="26" t="e">
        <f t="shared" si="253"/>
        <v>#N/A</v>
      </c>
      <c r="N110" s="26" t="e">
        <f t="shared" si="253"/>
        <v>#N/A</v>
      </c>
      <c r="O110" s="26" t="e">
        <f t="shared" si="253"/>
        <v>#N/A</v>
      </c>
      <c r="P110" s="16" t="e">
        <f t="shared" si="230"/>
        <v>#N/A</v>
      </c>
      <c r="Q110" s="16"/>
      <c r="R110" s="12" t="str">
        <f t="shared" ca="1" si="199"/>
        <v>Not quantized up - this is for supplementary incentive</v>
      </c>
      <c r="S110" s="2"/>
      <c r="T110" s="241"/>
      <c r="U110" s="624"/>
      <c r="V110" s="72" t="str">
        <f t="shared" ca="1" si="231"/>
        <v>Total Vaccinator Hours</v>
      </c>
      <c r="W110" s="26" t="e">
        <f>($E88*W88*$T88)/60</f>
        <v>#N/A</v>
      </c>
      <c r="X110" s="26" t="e">
        <f t="shared" ref="X110:AB110" si="254">($E88*X88*$T88)/60</f>
        <v>#N/A</v>
      </c>
      <c r="Y110" s="26" t="e">
        <f t="shared" si="254"/>
        <v>#N/A</v>
      </c>
      <c r="Z110" s="26" t="e">
        <f t="shared" si="254"/>
        <v>#N/A</v>
      </c>
      <c r="AA110" s="26" t="e">
        <f t="shared" si="254"/>
        <v>#N/A</v>
      </c>
      <c r="AB110" s="26" t="e">
        <f t="shared" si="254"/>
        <v>#N/A</v>
      </c>
      <c r="AC110" s="16" t="e">
        <f t="shared" si="233"/>
        <v>#N/A</v>
      </c>
      <c r="AD110" s="16"/>
      <c r="AE110" s="2"/>
      <c r="AF110" s="241"/>
      <c r="AG110" s="624"/>
      <c r="AH110" s="72" t="str">
        <f t="shared" ca="1" si="234"/>
        <v>Total Vaccinator Hours</v>
      </c>
      <c r="AI110" s="26" t="e">
        <f>($E88*AI88*$AF88)/60</f>
        <v>#N/A</v>
      </c>
      <c r="AJ110" s="26" t="e">
        <f t="shared" ref="AJ110:AN110" si="255">($E88*AJ88*$AF88)/60</f>
        <v>#N/A</v>
      </c>
      <c r="AK110" s="26" t="e">
        <f t="shared" si="255"/>
        <v>#N/A</v>
      </c>
      <c r="AL110" s="26" t="e">
        <f t="shared" si="255"/>
        <v>#N/A</v>
      </c>
      <c r="AM110" s="26" t="e">
        <f t="shared" si="255"/>
        <v>#N/A</v>
      </c>
      <c r="AN110" s="26" t="e">
        <f t="shared" si="255"/>
        <v>#N/A</v>
      </c>
      <c r="AO110" s="16" t="e">
        <f t="shared" si="236"/>
        <v>#N/A</v>
      </c>
      <c r="AP110" s="16"/>
      <c r="AR110" s="403"/>
      <c r="AS110" s="403"/>
      <c r="AT110" s="403"/>
      <c r="AU110" s="403" t="s">
        <v>1714</v>
      </c>
      <c r="AV110" s="403"/>
      <c r="AW110" s="403"/>
      <c r="AX110" s="403"/>
      <c r="AY110" s="403"/>
      <c r="AZ110" s="403"/>
      <c r="BA110" s="403"/>
      <c r="BB110" s="403"/>
      <c r="BC110" s="403"/>
      <c r="BD110" s="403"/>
      <c r="BE110" s="403"/>
      <c r="BF110" s="403"/>
      <c r="BG110" s="403"/>
      <c r="BH110" s="403"/>
      <c r="BI110" s="403"/>
      <c r="BJ110" s="403" t="s">
        <v>1715</v>
      </c>
      <c r="BK110" s="403"/>
      <c r="BL110" s="403"/>
      <c r="BM110" s="403"/>
      <c r="BN110" s="403"/>
      <c r="BO110" s="403"/>
      <c r="BP110" s="403"/>
      <c r="BQ110" s="403"/>
      <c r="BR110" s="403"/>
      <c r="BS110" s="403"/>
      <c r="BT110" s="403"/>
      <c r="BU110" s="403"/>
      <c r="BV110" s="403"/>
      <c r="BW110" s="403"/>
      <c r="BX110" s="403"/>
      <c r="BY110" s="403"/>
      <c r="BZ110" s="403"/>
      <c r="CA110" s="403"/>
      <c r="CB110" s="403"/>
      <c r="CC110" s="403" t="s">
        <v>11988</v>
      </c>
      <c r="CD110" s="403"/>
      <c r="CE110" s="403"/>
      <c r="CF110" s="403"/>
      <c r="CG110" s="403"/>
      <c r="CH110" s="403"/>
      <c r="CI110" s="403"/>
      <c r="CJ110" s="403"/>
      <c r="CK110" s="403"/>
      <c r="CL110" s="403"/>
      <c r="CM110" s="403"/>
      <c r="CN110" s="403"/>
      <c r="CO110" s="403"/>
      <c r="CP110" s="403"/>
      <c r="CQ110" s="403"/>
      <c r="CR110" s="403" t="s">
        <v>11989</v>
      </c>
      <c r="CS110" s="403"/>
      <c r="CT110" s="403"/>
      <c r="CU110" s="403"/>
      <c r="CV110" s="403"/>
      <c r="CW110" s="403"/>
      <c r="CX110" s="403"/>
      <c r="CY110" s="403"/>
      <c r="CZ110" s="403"/>
      <c r="DA110" s="403"/>
      <c r="DB110" s="403"/>
      <c r="DC110" s="403"/>
      <c r="DD110" s="403"/>
      <c r="DE110" s="403"/>
      <c r="DF110" s="403"/>
      <c r="DG110" s="403"/>
      <c r="DH110" s="403"/>
      <c r="DI110" s="403"/>
      <c r="DJ110" s="403"/>
      <c r="DK110" s="403" t="s">
        <v>11990</v>
      </c>
      <c r="DL110" s="403"/>
      <c r="DM110" s="403"/>
      <c r="DN110" s="403"/>
      <c r="DO110" s="403"/>
      <c r="DP110" s="403"/>
      <c r="DQ110" s="403"/>
      <c r="DR110" s="403"/>
      <c r="DS110" s="403"/>
      <c r="DT110" s="403"/>
      <c r="DU110" s="403"/>
      <c r="DV110" s="403"/>
      <c r="DW110" s="403"/>
      <c r="DX110" s="403"/>
      <c r="DY110" s="403"/>
      <c r="DZ110" s="403" t="s">
        <v>11991</v>
      </c>
      <c r="EA110" s="403"/>
      <c r="EB110" s="403"/>
      <c r="EC110" s="403"/>
      <c r="ED110" s="403"/>
      <c r="EE110" s="403"/>
      <c r="EF110" s="403"/>
      <c r="EG110" s="403"/>
      <c r="EH110" s="403"/>
      <c r="EI110" s="403"/>
      <c r="EJ110" s="403"/>
      <c r="EK110" s="403"/>
      <c r="EL110" s="403"/>
      <c r="EM110" s="403"/>
      <c r="EN110" s="403"/>
      <c r="EO110" s="403"/>
      <c r="EP110" s="403"/>
      <c r="EQ110" s="403"/>
      <c r="ER110" s="403"/>
      <c r="ES110" s="403" t="s">
        <v>11992</v>
      </c>
      <c r="ET110" s="403"/>
      <c r="EU110" s="403"/>
      <c r="EV110" s="403"/>
      <c r="EW110" s="403"/>
      <c r="EX110" s="403"/>
      <c r="EY110" s="403"/>
      <c r="EZ110" s="403"/>
      <c r="FA110" s="403"/>
      <c r="FB110" s="403"/>
      <c r="FC110" s="403"/>
      <c r="FD110" s="403"/>
      <c r="FE110" s="403"/>
      <c r="FF110" s="403"/>
      <c r="FG110" s="403"/>
      <c r="FH110" s="403" t="s">
        <v>11993</v>
      </c>
      <c r="FI110" s="403"/>
      <c r="FJ110" s="403"/>
      <c r="FK110" s="403"/>
      <c r="FL110" s="403"/>
      <c r="FM110" s="403"/>
      <c r="FN110" s="403"/>
      <c r="FO110" s="403"/>
      <c r="FP110" s="403"/>
      <c r="FQ110" s="403"/>
      <c r="FR110" s="403"/>
      <c r="FS110" s="403"/>
      <c r="FT110" s="403"/>
      <c r="FU110" s="403"/>
      <c r="FV110" s="403"/>
      <c r="FW110" s="403"/>
      <c r="FX110" s="403"/>
      <c r="FY110" s="403"/>
      <c r="FZ110" s="403"/>
      <c r="GA110" s="403" t="s">
        <v>11994</v>
      </c>
      <c r="GB110" s="403"/>
      <c r="GC110" s="403"/>
      <c r="GD110" s="403"/>
      <c r="GE110" s="403"/>
      <c r="GF110" s="403"/>
      <c r="GG110" s="403"/>
      <c r="GH110" s="403"/>
      <c r="GI110" s="403"/>
      <c r="GJ110" s="403"/>
      <c r="GK110" s="403"/>
      <c r="GL110" s="403"/>
      <c r="GM110" s="403"/>
      <c r="GN110" s="403"/>
      <c r="GO110" s="403"/>
      <c r="GP110" s="403" t="s">
        <v>11995</v>
      </c>
      <c r="GQ110" s="403"/>
      <c r="GR110" s="403"/>
      <c r="GS110" s="403"/>
      <c r="GT110" s="403"/>
      <c r="GU110" s="403"/>
      <c r="GV110" s="403"/>
      <c r="GW110" s="403"/>
      <c r="GX110" s="403"/>
      <c r="GY110" s="403"/>
      <c r="GZ110" s="403"/>
      <c r="HA110" s="403"/>
      <c r="HB110" s="403"/>
      <c r="HC110" s="403"/>
      <c r="HD110" s="403"/>
      <c r="HE110" s="403"/>
      <c r="HF110" s="403"/>
      <c r="HG110" s="403"/>
      <c r="HH110" s="403"/>
      <c r="HI110" s="403" t="s">
        <v>11996</v>
      </c>
      <c r="HJ110" s="403"/>
      <c r="HK110" s="403"/>
      <c r="HL110" s="403"/>
      <c r="HM110" s="403"/>
      <c r="HN110" s="403"/>
      <c r="HO110" s="403"/>
      <c r="HP110" s="403"/>
      <c r="HQ110" s="403"/>
      <c r="HR110" s="403"/>
      <c r="HS110" s="403"/>
      <c r="HT110" s="403"/>
      <c r="HU110" s="403"/>
      <c r="HV110" s="403"/>
      <c r="HW110" s="403"/>
      <c r="HX110" s="403" t="s">
        <v>11997</v>
      </c>
      <c r="HY110" s="403"/>
      <c r="HZ110" s="403"/>
      <c r="IA110" s="403"/>
      <c r="IB110" s="403"/>
      <c r="IC110" s="403"/>
      <c r="ID110" s="403"/>
      <c r="IE110" s="403"/>
      <c r="IF110" s="403"/>
      <c r="IG110" s="403"/>
      <c r="IH110" s="403"/>
      <c r="II110" s="403"/>
      <c r="IJ110" s="403"/>
      <c r="IK110" s="403"/>
      <c r="IL110" s="403"/>
      <c r="IM110" s="403"/>
      <c r="IN110" s="403"/>
      <c r="IO110" s="403"/>
      <c r="IP110" s="403"/>
      <c r="IQ110" s="403" t="s">
        <v>11998</v>
      </c>
      <c r="IR110" s="403"/>
      <c r="IS110" s="403"/>
      <c r="IT110" s="403"/>
      <c r="IU110" s="403"/>
      <c r="IV110" s="403"/>
      <c r="IW110" s="403"/>
      <c r="IX110" s="403"/>
      <c r="IY110" s="403"/>
      <c r="IZ110" s="403"/>
      <c r="JA110" s="403"/>
      <c r="JB110" s="403"/>
      <c r="JC110" s="403"/>
      <c r="JD110" s="403"/>
      <c r="JE110" s="403"/>
      <c r="JF110" s="403" t="s">
        <v>11999</v>
      </c>
      <c r="JG110" s="403"/>
      <c r="JH110" s="403"/>
      <c r="JI110" s="403"/>
      <c r="JJ110" s="403"/>
      <c r="JK110" s="403"/>
      <c r="JL110" s="403"/>
      <c r="JM110" s="403"/>
      <c r="JN110" s="403"/>
      <c r="JO110" s="403"/>
      <c r="JP110" s="403"/>
      <c r="JQ110" s="403"/>
      <c r="JR110" s="403"/>
      <c r="JS110" s="403"/>
      <c r="JT110" s="403"/>
    </row>
    <row r="111" spans="1:280" s="15" customFormat="1" ht="12.75" x14ac:dyDescent="0.2">
      <c r="A111" s="9"/>
      <c r="B111" s="624"/>
      <c r="C111" s="66" t="str">
        <f t="shared" ca="1" si="228"/>
        <v>Total Site-Days</v>
      </c>
      <c r="D111" s="85"/>
      <c r="E111" s="85"/>
      <c r="F111" s="85"/>
      <c r="G111" s="85"/>
      <c r="H111" s="85"/>
      <c r="I111" s="85"/>
      <c r="J111" s="62" t="e">
        <f t="shared" ref="J111:O111" si="256">J107*J97</f>
        <v>#N/A</v>
      </c>
      <c r="K111" s="62" t="e">
        <f t="shared" si="256"/>
        <v>#N/A</v>
      </c>
      <c r="L111" s="62" t="e">
        <f t="shared" si="256"/>
        <v>#N/A</v>
      </c>
      <c r="M111" s="62" t="e">
        <f t="shared" si="256"/>
        <v>#N/A</v>
      </c>
      <c r="N111" s="62" t="e">
        <f t="shared" si="256"/>
        <v>#N/A</v>
      </c>
      <c r="O111" s="62" t="e">
        <f t="shared" si="256"/>
        <v>#N/A</v>
      </c>
      <c r="P111" s="16" t="e">
        <f t="shared" si="230"/>
        <v>#N/A</v>
      </c>
      <c r="Q111" s="16"/>
      <c r="R111" s="12" t="str">
        <f t="shared" ca="1" si="199"/>
        <v/>
      </c>
      <c r="S111" s="2"/>
      <c r="T111" s="241"/>
      <c r="U111" s="624"/>
      <c r="V111" s="260" t="str">
        <f t="shared" ca="1" si="231"/>
        <v>Total Site-Days</v>
      </c>
      <c r="W111" s="62" t="e">
        <f t="shared" ref="W111" si="257">W107*W97</f>
        <v>#N/A</v>
      </c>
      <c r="X111" s="62" t="e">
        <f t="shared" ref="X111:AB111" si="258">X107*X97</f>
        <v>#N/A</v>
      </c>
      <c r="Y111" s="62" t="e">
        <f t="shared" si="258"/>
        <v>#N/A</v>
      </c>
      <c r="Z111" s="62" t="e">
        <f t="shared" si="258"/>
        <v>#N/A</v>
      </c>
      <c r="AA111" s="62" t="e">
        <f t="shared" si="258"/>
        <v>#N/A</v>
      </c>
      <c r="AB111" s="62" t="e">
        <f t="shared" si="258"/>
        <v>#N/A</v>
      </c>
      <c r="AC111" s="16" t="e">
        <f t="shared" si="233"/>
        <v>#N/A</v>
      </c>
      <c r="AD111" s="16"/>
      <c r="AE111" s="2"/>
      <c r="AF111" s="241"/>
      <c r="AG111" s="624"/>
      <c r="AH111" s="72" t="str">
        <f t="shared" ca="1" si="234"/>
        <v>Total Site-Days</v>
      </c>
      <c r="AI111" s="62" t="e">
        <f t="shared" ref="AI111" si="259">AI107*AI97</f>
        <v>#N/A</v>
      </c>
      <c r="AJ111" s="62" t="e">
        <f t="shared" ref="AJ111:AN111" si="260">AJ107*AJ97</f>
        <v>#N/A</v>
      </c>
      <c r="AK111" s="62" t="e">
        <f t="shared" si="260"/>
        <v>#N/A</v>
      </c>
      <c r="AL111" s="62" t="e">
        <f t="shared" si="260"/>
        <v>#N/A</v>
      </c>
      <c r="AM111" s="62" t="e">
        <f t="shared" si="260"/>
        <v>#N/A</v>
      </c>
      <c r="AN111" s="62" t="e">
        <f t="shared" si="260"/>
        <v>#N/A</v>
      </c>
      <c r="AO111" s="16" t="e">
        <f t="shared" si="236"/>
        <v>#N/A</v>
      </c>
      <c r="AP111" s="16"/>
      <c r="AR111" s="403"/>
      <c r="AS111" s="403"/>
      <c r="AT111" s="403"/>
      <c r="AU111" s="403" t="s">
        <v>1589</v>
      </c>
      <c r="AV111" s="403"/>
      <c r="AW111" s="403"/>
      <c r="AX111" s="403"/>
      <c r="AY111" s="403"/>
      <c r="AZ111" s="403"/>
      <c r="BA111" s="403"/>
      <c r="BB111" s="403"/>
      <c r="BC111" s="403"/>
      <c r="BD111" s="403"/>
      <c r="BE111" s="403"/>
      <c r="BF111" s="403"/>
      <c r="BG111" s="403"/>
      <c r="BH111" s="403"/>
      <c r="BI111" s="403"/>
      <c r="BJ111" s="403"/>
      <c r="BK111" s="403"/>
      <c r="BL111" s="403"/>
      <c r="BM111" s="403"/>
      <c r="BN111" s="403"/>
      <c r="BO111" s="403"/>
      <c r="BP111" s="403"/>
      <c r="BQ111" s="403"/>
      <c r="BR111" s="403"/>
      <c r="BS111" s="403"/>
      <c r="BT111" s="403"/>
      <c r="BU111" s="403"/>
      <c r="BV111" s="403"/>
      <c r="BW111" s="403"/>
      <c r="BX111" s="403"/>
      <c r="BY111" s="403"/>
      <c r="BZ111" s="403"/>
      <c r="CA111" s="403"/>
      <c r="CB111" s="403"/>
      <c r="CC111" s="403" t="s">
        <v>12000</v>
      </c>
      <c r="CD111" s="403"/>
      <c r="CE111" s="403"/>
      <c r="CF111" s="403"/>
      <c r="CG111" s="403"/>
      <c r="CH111" s="403"/>
      <c r="CI111" s="403"/>
      <c r="CJ111" s="403"/>
      <c r="CK111" s="403"/>
      <c r="CL111" s="403"/>
      <c r="CM111" s="403"/>
      <c r="CN111" s="403"/>
      <c r="CO111" s="403"/>
      <c r="CP111" s="403"/>
      <c r="CQ111" s="403"/>
      <c r="CR111" s="403"/>
      <c r="CS111" s="403"/>
      <c r="CT111" s="403"/>
      <c r="CU111" s="403"/>
      <c r="CV111" s="403"/>
      <c r="CW111" s="403"/>
      <c r="CX111" s="403"/>
      <c r="CY111" s="403"/>
      <c r="CZ111" s="403"/>
      <c r="DA111" s="403"/>
      <c r="DB111" s="403"/>
      <c r="DC111" s="403"/>
      <c r="DD111" s="403"/>
      <c r="DE111" s="403"/>
      <c r="DF111" s="403"/>
      <c r="DG111" s="403"/>
      <c r="DH111" s="403"/>
      <c r="DI111" s="403"/>
      <c r="DJ111" s="403"/>
      <c r="DK111" s="403" t="s">
        <v>12001</v>
      </c>
      <c r="DL111" s="403"/>
      <c r="DM111" s="403"/>
      <c r="DN111" s="403"/>
      <c r="DO111" s="403"/>
      <c r="DP111" s="403"/>
      <c r="DQ111" s="403"/>
      <c r="DR111" s="403"/>
      <c r="DS111" s="403"/>
      <c r="DT111" s="403"/>
      <c r="DU111" s="403"/>
      <c r="DV111" s="403"/>
      <c r="DW111" s="403"/>
      <c r="DX111" s="403"/>
      <c r="DY111" s="403"/>
      <c r="DZ111" s="403"/>
      <c r="EA111" s="403"/>
      <c r="EB111" s="403"/>
      <c r="EC111" s="403"/>
      <c r="ED111" s="403"/>
      <c r="EE111" s="403"/>
      <c r="EF111" s="403"/>
      <c r="EG111" s="403"/>
      <c r="EH111" s="403"/>
      <c r="EI111" s="403"/>
      <c r="EJ111" s="403"/>
      <c r="EK111" s="403"/>
      <c r="EL111" s="403"/>
      <c r="EM111" s="403"/>
      <c r="EN111" s="403"/>
      <c r="EO111" s="403"/>
      <c r="EP111" s="403"/>
      <c r="EQ111" s="403"/>
      <c r="ER111" s="403"/>
      <c r="ES111" s="403" t="s">
        <v>12002</v>
      </c>
      <c r="ET111" s="403"/>
      <c r="EU111" s="403"/>
      <c r="EV111" s="403"/>
      <c r="EW111" s="403"/>
      <c r="EX111" s="403"/>
      <c r="EY111" s="403"/>
      <c r="EZ111" s="403"/>
      <c r="FA111" s="403"/>
      <c r="FB111" s="403"/>
      <c r="FC111" s="403"/>
      <c r="FD111" s="403"/>
      <c r="FE111" s="403"/>
      <c r="FF111" s="403"/>
      <c r="FG111" s="403"/>
      <c r="FH111" s="403"/>
      <c r="FI111" s="403"/>
      <c r="FJ111" s="403"/>
      <c r="FK111" s="403"/>
      <c r="FL111" s="403"/>
      <c r="FM111" s="403"/>
      <c r="FN111" s="403"/>
      <c r="FO111" s="403"/>
      <c r="FP111" s="403"/>
      <c r="FQ111" s="403"/>
      <c r="FR111" s="403"/>
      <c r="FS111" s="403"/>
      <c r="FT111" s="403"/>
      <c r="FU111" s="403"/>
      <c r="FV111" s="403"/>
      <c r="FW111" s="403"/>
      <c r="FX111" s="403"/>
      <c r="FY111" s="403"/>
      <c r="FZ111" s="403"/>
      <c r="GA111" s="403" t="s">
        <v>12003</v>
      </c>
      <c r="GB111" s="403"/>
      <c r="GC111" s="403"/>
      <c r="GD111" s="403"/>
      <c r="GE111" s="403"/>
      <c r="GF111" s="403"/>
      <c r="GG111" s="403"/>
      <c r="GH111" s="403"/>
      <c r="GI111" s="403"/>
      <c r="GJ111" s="403"/>
      <c r="GK111" s="403"/>
      <c r="GL111" s="403"/>
      <c r="GM111" s="403"/>
      <c r="GN111" s="403"/>
      <c r="GO111" s="403"/>
      <c r="GP111" s="403"/>
      <c r="GQ111" s="403"/>
      <c r="GR111" s="403"/>
      <c r="GS111" s="403"/>
      <c r="GT111" s="403"/>
      <c r="GU111" s="403"/>
      <c r="GV111" s="403"/>
      <c r="GW111" s="403"/>
      <c r="GX111" s="403"/>
      <c r="GY111" s="403"/>
      <c r="GZ111" s="403"/>
      <c r="HA111" s="403"/>
      <c r="HB111" s="403"/>
      <c r="HC111" s="403"/>
      <c r="HD111" s="403"/>
      <c r="HE111" s="403"/>
      <c r="HF111" s="403"/>
      <c r="HG111" s="403"/>
      <c r="HH111" s="403"/>
      <c r="HI111" s="403" t="s">
        <v>12004</v>
      </c>
      <c r="HJ111" s="403"/>
      <c r="HK111" s="403"/>
      <c r="HL111" s="403"/>
      <c r="HM111" s="403"/>
      <c r="HN111" s="403"/>
      <c r="HO111" s="403"/>
      <c r="HP111" s="403"/>
      <c r="HQ111" s="403"/>
      <c r="HR111" s="403"/>
      <c r="HS111" s="403"/>
      <c r="HT111" s="403"/>
      <c r="HU111" s="403"/>
      <c r="HV111" s="403"/>
      <c r="HW111" s="403"/>
      <c r="HX111" s="403"/>
      <c r="HY111" s="403"/>
      <c r="HZ111" s="403"/>
      <c r="IA111" s="403"/>
      <c r="IB111" s="403"/>
      <c r="IC111" s="403"/>
      <c r="ID111" s="403"/>
      <c r="IE111" s="403"/>
      <c r="IF111" s="403"/>
      <c r="IG111" s="403"/>
      <c r="IH111" s="403"/>
      <c r="II111" s="403"/>
      <c r="IJ111" s="403"/>
      <c r="IK111" s="403"/>
      <c r="IL111" s="403"/>
      <c r="IM111" s="403"/>
      <c r="IN111" s="403"/>
      <c r="IO111" s="403"/>
      <c r="IP111" s="403"/>
      <c r="IQ111" s="403" t="s">
        <v>12005</v>
      </c>
      <c r="IR111" s="403"/>
      <c r="IS111" s="403"/>
      <c r="IT111" s="403"/>
      <c r="IU111" s="403"/>
      <c r="IV111" s="403"/>
      <c r="IW111" s="403"/>
      <c r="IX111" s="403"/>
      <c r="IY111" s="403"/>
      <c r="IZ111" s="403"/>
      <c r="JA111" s="403"/>
      <c r="JB111" s="403"/>
      <c r="JC111" s="403"/>
      <c r="JD111" s="403"/>
      <c r="JE111" s="403"/>
      <c r="JF111" s="403"/>
      <c r="JG111" s="403"/>
      <c r="JH111" s="403"/>
      <c r="JI111" s="403"/>
      <c r="JJ111" s="403"/>
      <c r="JK111" s="403"/>
      <c r="JL111" s="403"/>
      <c r="JM111" s="403"/>
      <c r="JN111" s="403"/>
      <c r="JO111" s="403"/>
      <c r="JP111" s="403"/>
      <c r="JQ111" s="403"/>
      <c r="JR111" s="403"/>
      <c r="JS111" s="403"/>
      <c r="JT111" s="403"/>
    </row>
    <row r="112" spans="1:280" s="15" customFormat="1" ht="12.75" x14ac:dyDescent="0.2">
      <c r="A112" s="9"/>
      <c r="B112" s="624"/>
      <c r="C112" s="23"/>
      <c r="E112" s="26"/>
      <c r="F112" s="26"/>
      <c r="G112" s="26"/>
      <c r="H112" s="26"/>
      <c r="I112" s="26"/>
      <c r="P112" s="26"/>
      <c r="Q112" s="26"/>
      <c r="R112" s="12" t="str">
        <f t="shared" ca="1" si="199"/>
        <v/>
      </c>
      <c r="S112" s="2"/>
      <c r="T112" s="241"/>
      <c r="U112" s="624"/>
      <c r="V112" s="72"/>
      <c r="W112" s="241"/>
      <c r="X112" s="241"/>
      <c r="Y112" s="241"/>
      <c r="Z112" s="241"/>
      <c r="AA112" s="241"/>
      <c r="AB112" s="241"/>
      <c r="AC112" s="26"/>
      <c r="AD112" s="26"/>
      <c r="AE112" s="2"/>
      <c r="AF112" s="241"/>
      <c r="AG112" s="624"/>
      <c r="AH112" s="72"/>
      <c r="AI112" s="241"/>
      <c r="AJ112" s="241"/>
      <c r="AK112" s="241"/>
      <c r="AL112" s="241"/>
      <c r="AM112" s="241"/>
      <c r="AN112" s="241"/>
      <c r="AO112" s="26"/>
      <c r="AP112" s="26"/>
      <c r="AR112" s="403"/>
      <c r="AS112" s="403"/>
      <c r="AT112" s="403"/>
      <c r="AU112" s="403"/>
      <c r="AV112" s="403"/>
      <c r="AW112" s="403"/>
      <c r="AX112" s="403"/>
      <c r="AY112" s="403"/>
      <c r="AZ112" s="403"/>
      <c r="BA112" s="403"/>
      <c r="BB112" s="403"/>
      <c r="BC112" s="403"/>
      <c r="BD112" s="403"/>
      <c r="BE112" s="403"/>
      <c r="BF112" s="403"/>
      <c r="BG112" s="403"/>
      <c r="BH112" s="403"/>
      <c r="BI112" s="403"/>
      <c r="BJ112" s="403"/>
      <c r="BK112" s="403"/>
      <c r="BL112" s="403"/>
      <c r="BM112" s="403"/>
      <c r="BN112" s="403"/>
      <c r="BO112" s="403"/>
      <c r="BP112" s="403"/>
      <c r="BQ112" s="403"/>
      <c r="BR112" s="403"/>
      <c r="BS112" s="403"/>
      <c r="BT112" s="403"/>
      <c r="BU112" s="403"/>
      <c r="BV112" s="403"/>
      <c r="BW112" s="403"/>
      <c r="BX112" s="403"/>
      <c r="BY112" s="403"/>
      <c r="BZ112" s="403"/>
      <c r="CA112" s="403"/>
      <c r="CB112" s="403"/>
      <c r="CC112" s="403"/>
      <c r="CD112" s="403"/>
      <c r="CE112" s="403"/>
      <c r="CF112" s="403"/>
      <c r="CG112" s="403"/>
      <c r="CH112" s="403"/>
      <c r="CI112" s="403"/>
      <c r="CJ112" s="403"/>
      <c r="CK112" s="403"/>
      <c r="CL112" s="403"/>
      <c r="CM112" s="403"/>
      <c r="CN112" s="403"/>
      <c r="CO112" s="403"/>
      <c r="CP112" s="403"/>
      <c r="CQ112" s="403"/>
      <c r="CR112" s="403"/>
      <c r="CS112" s="403"/>
      <c r="CT112" s="403"/>
      <c r="CU112" s="403"/>
      <c r="CV112" s="403"/>
      <c r="CW112" s="403"/>
      <c r="CX112" s="403"/>
      <c r="CY112" s="403"/>
      <c r="CZ112" s="403"/>
      <c r="DA112" s="403"/>
      <c r="DB112" s="403"/>
      <c r="DC112" s="403"/>
      <c r="DD112" s="403"/>
      <c r="DE112" s="403"/>
      <c r="DF112" s="403"/>
      <c r="DG112" s="403"/>
      <c r="DH112" s="403"/>
      <c r="DI112" s="403"/>
      <c r="DJ112" s="403"/>
      <c r="DK112" s="403"/>
      <c r="DL112" s="403"/>
      <c r="DM112" s="403"/>
      <c r="DN112" s="403"/>
      <c r="DO112" s="403"/>
      <c r="DP112" s="403"/>
      <c r="DQ112" s="403"/>
      <c r="DR112" s="403"/>
      <c r="DS112" s="403"/>
      <c r="DT112" s="403"/>
      <c r="DU112" s="403"/>
      <c r="DV112" s="403"/>
      <c r="DW112" s="403"/>
      <c r="DX112" s="403"/>
      <c r="DY112" s="403"/>
      <c r="DZ112" s="403"/>
      <c r="EA112" s="403"/>
      <c r="EB112" s="403"/>
      <c r="EC112" s="403"/>
      <c r="ED112" s="403"/>
      <c r="EE112" s="403"/>
      <c r="EF112" s="403"/>
      <c r="EG112" s="403"/>
      <c r="EH112" s="403"/>
      <c r="EI112" s="403"/>
      <c r="EJ112" s="403"/>
      <c r="EK112" s="403"/>
      <c r="EL112" s="403"/>
      <c r="EM112" s="403"/>
      <c r="EN112" s="403"/>
      <c r="EO112" s="403"/>
      <c r="EP112" s="403"/>
      <c r="EQ112" s="403"/>
      <c r="ER112" s="403"/>
      <c r="ES112" s="403"/>
      <c r="ET112" s="403"/>
      <c r="EU112" s="403"/>
      <c r="EV112" s="403"/>
      <c r="EW112" s="403"/>
      <c r="EX112" s="403"/>
      <c r="EY112" s="403"/>
      <c r="EZ112" s="403"/>
      <c r="FA112" s="403"/>
      <c r="FB112" s="403"/>
      <c r="FC112" s="403"/>
      <c r="FD112" s="403"/>
      <c r="FE112" s="403"/>
      <c r="FF112" s="403"/>
      <c r="FG112" s="403"/>
      <c r="FH112" s="403"/>
      <c r="FI112" s="403"/>
      <c r="FJ112" s="403"/>
      <c r="FK112" s="403"/>
      <c r="FL112" s="403"/>
      <c r="FM112" s="403"/>
      <c r="FN112" s="403"/>
      <c r="FO112" s="403"/>
      <c r="FP112" s="403"/>
      <c r="FQ112" s="403"/>
      <c r="FR112" s="403"/>
      <c r="FS112" s="403"/>
      <c r="FT112" s="403"/>
      <c r="FU112" s="403"/>
      <c r="FV112" s="403"/>
      <c r="FW112" s="403"/>
      <c r="FX112" s="403"/>
      <c r="FY112" s="403"/>
      <c r="FZ112" s="403"/>
      <c r="GA112" s="403"/>
      <c r="GB112" s="403"/>
      <c r="GC112" s="403"/>
      <c r="GD112" s="403"/>
      <c r="GE112" s="403"/>
      <c r="GF112" s="403"/>
      <c r="GG112" s="403"/>
      <c r="GH112" s="403"/>
      <c r="GI112" s="403"/>
      <c r="GJ112" s="403"/>
      <c r="GK112" s="403"/>
      <c r="GL112" s="403"/>
      <c r="GM112" s="403"/>
      <c r="GN112" s="403"/>
      <c r="GO112" s="403"/>
      <c r="GP112" s="403"/>
      <c r="GQ112" s="403"/>
      <c r="GR112" s="403"/>
      <c r="GS112" s="403"/>
      <c r="GT112" s="403"/>
      <c r="GU112" s="403"/>
      <c r="GV112" s="403"/>
      <c r="GW112" s="403"/>
      <c r="GX112" s="403"/>
      <c r="GY112" s="403"/>
      <c r="GZ112" s="403"/>
      <c r="HA112" s="403"/>
      <c r="HB112" s="403"/>
      <c r="HC112" s="403"/>
      <c r="HD112" s="403"/>
      <c r="HE112" s="403"/>
      <c r="HF112" s="403"/>
      <c r="HG112" s="403"/>
      <c r="HH112" s="403"/>
      <c r="HI112" s="403"/>
      <c r="HJ112" s="403"/>
      <c r="HK112" s="403"/>
      <c r="HL112" s="403"/>
      <c r="HM112" s="403"/>
      <c r="HN112" s="403"/>
      <c r="HO112" s="403"/>
      <c r="HP112" s="403"/>
      <c r="HQ112" s="403"/>
      <c r="HR112" s="403"/>
      <c r="HS112" s="403"/>
      <c r="HT112" s="403"/>
      <c r="HU112" s="403"/>
      <c r="HV112" s="403"/>
      <c r="HW112" s="403"/>
      <c r="HX112" s="403"/>
      <c r="HY112" s="403"/>
      <c r="HZ112" s="403"/>
      <c r="IA112" s="403"/>
      <c r="IB112" s="403"/>
      <c r="IC112" s="403"/>
      <c r="ID112" s="403"/>
      <c r="IE112" s="403"/>
      <c r="IF112" s="403"/>
      <c r="IG112" s="403"/>
      <c r="IH112" s="403"/>
      <c r="II112" s="403"/>
      <c r="IJ112" s="403"/>
      <c r="IK112" s="403"/>
      <c r="IL112" s="403"/>
      <c r="IM112" s="403"/>
      <c r="IN112" s="403"/>
      <c r="IO112" s="403"/>
      <c r="IP112" s="403"/>
      <c r="IQ112" s="403"/>
      <c r="IR112" s="403"/>
      <c r="IS112" s="403"/>
      <c r="IT112" s="403"/>
      <c r="IU112" s="403"/>
      <c r="IV112" s="403"/>
      <c r="IW112" s="403"/>
      <c r="IX112" s="403"/>
      <c r="IY112" s="403"/>
      <c r="IZ112" s="403"/>
      <c r="JA112" s="403"/>
      <c r="JB112" s="403"/>
      <c r="JC112" s="403"/>
      <c r="JD112" s="403"/>
      <c r="JE112" s="403"/>
      <c r="JF112" s="403"/>
      <c r="JG112" s="403"/>
      <c r="JH112" s="403"/>
      <c r="JI112" s="403"/>
      <c r="JJ112" s="403"/>
      <c r="JK112" s="403"/>
      <c r="JL112" s="403"/>
      <c r="JM112" s="403"/>
      <c r="JN112" s="403"/>
      <c r="JO112" s="403"/>
      <c r="JP112" s="403"/>
      <c r="JQ112" s="403"/>
      <c r="JR112" s="403"/>
      <c r="JS112" s="403"/>
      <c r="JT112" s="403"/>
    </row>
    <row r="113" spans="1:280" s="150" customFormat="1" ht="12.75" x14ac:dyDescent="0.2">
      <c r="B113" s="624" t="str">
        <f ca="1">IF(OFFSET(AT113,0,Lang_Order*Lang__B5)="","",OFFSET(AT113,0,Lang_Order*Lang__B5))</f>
        <v>HRH Optimizer</v>
      </c>
      <c r="E113" s="26"/>
      <c r="K113" s="510"/>
      <c r="L113" s="510"/>
      <c r="M113" s="510"/>
      <c r="N113" s="510"/>
      <c r="O113" s="510"/>
      <c r="R113" s="12" t="str">
        <f t="shared" ca="1" si="199"/>
        <v/>
      </c>
      <c r="S113" s="2"/>
      <c r="T113" s="241"/>
      <c r="U113" s="624" t="str">
        <f ca="1">IF(OFFSET(AT113,0,Lang_Order*Lang__B5)="","",OFFSET(AT113,0,Lang_Order*Lang__B5))</f>
        <v>HRH Optimizer</v>
      </c>
      <c r="V113" s="2"/>
      <c r="W113" s="241"/>
      <c r="X113" s="241"/>
      <c r="Y113" s="241"/>
      <c r="Z113" s="241"/>
      <c r="AA113" s="241"/>
      <c r="AB113" s="241"/>
      <c r="AC113" s="281"/>
      <c r="AD113" s="241"/>
      <c r="AE113" s="2"/>
      <c r="AF113" s="241"/>
      <c r="AG113" s="624" t="str">
        <f ca="1">IF(OFFSET(AT113,0,Lang_Order*Lang__B5)="","",OFFSET(AT113,0,Lang_Order*Lang__B5))</f>
        <v>HRH Optimizer</v>
      </c>
      <c r="AH113" s="72"/>
      <c r="AI113" s="241"/>
      <c r="AJ113" s="241"/>
      <c r="AK113" s="241"/>
      <c r="AL113" s="241"/>
      <c r="AM113" s="241"/>
      <c r="AN113" s="241"/>
      <c r="AO113" s="281"/>
      <c r="AP113" s="241"/>
      <c r="AR113" s="403"/>
      <c r="AS113" s="403"/>
      <c r="AT113" s="403" t="s">
        <v>2684</v>
      </c>
      <c r="AU113" s="403"/>
      <c r="AV113" s="403"/>
      <c r="AW113" s="403"/>
      <c r="AX113" s="403"/>
      <c r="AY113" s="403"/>
      <c r="AZ113" s="403"/>
      <c r="BA113" s="403"/>
      <c r="BB113" s="403"/>
      <c r="BC113" s="403"/>
      <c r="BD113" s="403"/>
      <c r="BE113" s="403"/>
      <c r="BF113" s="403"/>
      <c r="BG113" s="403"/>
      <c r="BH113" s="403"/>
      <c r="BI113" s="403"/>
      <c r="BJ113" s="403"/>
      <c r="BK113" s="403"/>
      <c r="BL113" s="403"/>
      <c r="BM113" s="403"/>
      <c r="BN113" s="403"/>
      <c r="BO113" s="403"/>
      <c r="BP113" s="403"/>
      <c r="BQ113" s="403"/>
      <c r="BR113" s="403"/>
      <c r="BS113" s="403"/>
      <c r="BT113" s="403"/>
      <c r="BU113" s="403"/>
      <c r="BV113" s="403"/>
      <c r="BW113" s="403"/>
      <c r="BX113" s="403"/>
      <c r="BY113" s="403"/>
      <c r="BZ113" s="403"/>
      <c r="CA113" s="403"/>
      <c r="CB113" s="403" t="s">
        <v>12006</v>
      </c>
      <c r="CC113" s="403"/>
      <c r="CD113" s="403"/>
      <c r="CE113" s="403"/>
      <c r="CF113" s="403"/>
      <c r="CG113" s="403"/>
      <c r="CH113" s="403"/>
      <c r="CI113" s="403"/>
      <c r="CJ113" s="403"/>
      <c r="CK113" s="403"/>
      <c r="CL113" s="403"/>
      <c r="CM113" s="403"/>
      <c r="CN113" s="403"/>
      <c r="CO113" s="403"/>
      <c r="CP113" s="403"/>
      <c r="CQ113" s="403"/>
      <c r="CR113" s="403"/>
      <c r="CS113" s="403"/>
      <c r="CT113" s="403"/>
      <c r="CU113" s="403"/>
      <c r="CV113" s="403"/>
      <c r="CW113" s="403"/>
      <c r="CX113" s="403"/>
      <c r="CY113" s="403"/>
      <c r="CZ113" s="403"/>
      <c r="DA113" s="403"/>
      <c r="DB113" s="403"/>
      <c r="DC113" s="403"/>
      <c r="DD113" s="403"/>
      <c r="DE113" s="403"/>
      <c r="DF113" s="403"/>
      <c r="DG113" s="403"/>
      <c r="DH113" s="403"/>
      <c r="DI113" s="403"/>
      <c r="DJ113" s="403" t="s">
        <v>12007</v>
      </c>
      <c r="DK113" s="403"/>
      <c r="DL113" s="403"/>
      <c r="DM113" s="403"/>
      <c r="DN113" s="403"/>
      <c r="DO113" s="403"/>
      <c r="DP113" s="403"/>
      <c r="DQ113" s="403"/>
      <c r="DR113" s="403"/>
      <c r="DS113" s="403"/>
      <c r="DT113" s="403"/>
      <c r="DU113" s="403"/>
      <c r="DV113" s="403"/>
      <c r="DW113" s="403"/>
      <c r="DX113" s="403"/>
      <c r="DY113" s="403"/>
      <c r="DZ113" s="403"/>
      <c r="EA113" s="403"/>
      <c r="EB113" s="403"/>
      <c r="EC113" s="403"/>
      <c r="ED113" s="403"/>
      <c r="EE113" s="403"/>
      <c r="EF113" s="403"/>
      <c r="EG113" s="403"/>
      <c r="EH113" s="403"/>
      <c r="EI113" s="403"/>
      <c r="EJ113" s="403"/>
      <c r="EK113" s="403"/>
      <c r="EL113" s="403"/>
      <c r="EM113" s="403"/>
      <c r="EN113" s="403"/>
      <c r="EO113" s="403"/>
      <c r="EP113" s="403"/>
      <c r="EQ113" s="403"/>
      <c r="ER113" s="403" t="s">
        <v>12008</v>
      </c>
      <c r="ES113" s="403"/>
      <c r="ET113" s="403"/>
      <c r="EU113" s="403"/>
      <c r="EV113" s="403"/>
      <c r="EW113" s="403"/>
      <c r="EX113" s="403"/>
      <c r="EY113" s="403"/>
      <c r="EZ113" s="403"/>
      <c r="FA113" s="403"/>
      <c r="FB113" s="403"/>
      <c r="FC113" s="403"/>
      <c r="FD113" s="403"/>
      <c r="FE113" s="403"/>
      <c r="FF113" s="403"/>
      <c r="FG113" s="403"/>
      <c r="FH113" s="403"/>
      <c r="FI113" s="403"/>
      <c r="FJ113" s="403"/>
      <c r="FK113" s="403"/>
      <c r="FL113" s="403"/>
      <c r="FM113" s="403"/>
      <c r="FN113" s="403"/>
      <c r="FO113" s="403"/>
      <c r="FP113" s="403"/>
      <c r="FQ113" s="403"/>
      <c r="FR113" s="403"/>
      <c r="FS113" s="403"/>
      <c r="FT113" s="403"/>
      <c r="FU113" s="403"/>
      <c r="FV113" s="403"/>
      <c r="FW113" s="403"/>
      <c r="FX113" s="403"/>
      <c r="FY113" s="403"/>
      <c r="FZ113" s="403" t="s">
        <v>12008</v>
      </c>
      <c r="GA113" s="403"/>
      <c r="GB113" s="403"/>
      <c r="GC113" s="403"/>
      <c r="GD113" s="403"/>
      <c r="GE113" s="403"/>
      <c r="GF113" s="403"/>
      <c r="GG113" s="403"/>
      <c r="GH113" s="403"/>
      <c r="GI113" s="403"/>
      <c r="GJ113" s="403"/>
      <c r="GK113" s="403"/>
      <c r="GL113" s="403"/>
      <c r="GM113" s="403"/>
      <c r="GN113" s="403"/>
      <c r="GO113" s="403"/>
      <c r="GP113" s="403"/>
      <c r="GQ113" s="403"/>
      <c r="GR113" s="403"/>
      <c r="GS113" s="403"/>
      <c r="GT113" s="403"/>
      <c r="GU113" s="403"/>
      <c r="GV113" s="403"/>
      <c r="GW113" s="403"/>
      <c r="GX113" s="403"/>
      <c r="GY113" s="403"/>
      <c r="GZ113" s="403"/>
      <c r="HA113" s="403"/>
      <c r="HB113" s="403"/>
      <c r="HC113" s="403"/>
      <c r="HD113" s="403"/>
      <c r="HE113" s="403"/>
      <c r="HF113" s="403"/>
      <c r="HG113" s="403"/>
      <c r="HH113" s="403" t="s">
        <v>12009</v>
      </c>
      <c r="HI113" s="403"/>
      <c r="HJ113" s="403"/>
      <c r="HK113" s="403"/>
      <c r="HL113" s="403"/>
      <c r="HM113" s="403"/>
      <c r="HN113" s="403"/>
      <c r="HO113" s="403"/>
      <c r="HP113" s="403"/>
      <c r="HQ113" s="403"/>
      <c r="HR113" s="403"/>
      <c r="HS113" s="403"/>
      <c r="HT113" s="403"/>
      <c r="HU113" s="403"/>
      <c r="HV113" s="403"/>
      <c r="HW113" s="403"/>
      <c r="HX113" s="403"/>
      <c r="HY113" s="403"/>
      <c r="HZ113" s="403"/>
      <c r="IA113" s="403"/>
      <c r="IB113" s="403"/>
      <c r="IC113" s="403"/>
      <c r="ID113" s="403"/>
      <c r="IE113" s="403"/>
      <c r="IF113" s="403"/>
      <c r="IG113" s="403"/>
      <c r="IH113" s="403"/>
      <c r="II113" s="403"/>
      <c r="IJ113" s="403"/>
      <c r="IK113" s="403"/>
      <c r="IL113" s="403"/>
      <c r="IM113" s="403"/>
      <c r="IN113" s="403"/>
      <c r="IO113" s="403"/>
      <c r="IP113" s="403" t="s">
        <v>12010</v>
      </c>
      <c r="IQ113" s="403"/>
      <c r="IR113" s="403"/>
      <c r="IS113" s="403"/>
      <c r="IT113" s="403"/>
      <c r="IU113" s="403"/>
      <c r="IV113" s="403"/>
      <c r="IW113" s="403"/>
      <c r="IX113" s="403"/>
      <c r="IY113" s="403"/>
      <c r="IZ113" s="403"/>
      <c r="JA113" s="403"/>
      <c r="JB113" s="403"/>
      <c r="JC113" s="403"/>
      <c r="JD113" s="403"/>
      <c r="JE113" s="403"/>
      <c r="JF113" s="403"/>
      <c r="JG113" s="403"/>
      <c r="JH113" s="403"/>
      <c r="JI113" s="403"/>
      <c r="JJ113" s="403"/>
      <c r="JK113" s="403"/>
      <c r="JL113" s="403"/>
      <c r="JM113" s="403"/>
      <c r="JN113" s="403"/>
      <c r="JO113" s="403"/>
      <c r="JP113" s="403"/>
      <c r="JQ113" s="403"/>
      <c r="JR113" s="403"/>
      <c r="JS113" s="403"/>
      <c r="JT113" s="403"/>
    </row>
    <row r="114" spans="1:280" s="150" customFormat="1" ht="24" x14ac:dyDescent="0.2">
      <c r="A114" s="567"/>
      <c r="B114" s="622"/>
      <c r="C114" s="370" t="str">
        <f ca="1">IF(OFFSET(AU114,0,Lang_Order*Lang__B5)="","",OFFSET(AU114,0,Lang_Order*Lang__B5))</f>
        <v>Aim for teams to finish within the Time Period (minus weekends)</v>
      </c>
      <c r="D114" s="3">
        <f>IF(ISBLANK(D115),HRH_DefaultDays_DM1to3,D115)</f>
        <v>115</v>
      </c>
      <c r="E114" s="85" t="str">
        <f ca="1">IF(OFFSET(AW114,0,Lang_Order*Lang__B5)="","",OFFSET(AW114,0,Lang_Order*Lang__B5))</f>
        <v>days</v>
      </c>
      <c r="J114" s="541" t="e">
        <f t="shared" ref="J114:O114" si="261">MIN(ROUNDUP((J105*$E$88)/(HRH_HoursPerDay*$D114),0),ROUNDUP((J105*$E$88)/(HRH_HoursPerDay*J$8),0))</f>
        <v>#N/A</v>
      </c>
      <c r="K114" s="541" t="e">
        <f t="shared" si="261"/>
        <v>#N/A</v>
      </c>
      <c r="L114" s="541" t="e">
        <f t="shared" si="261"/>
        <v>#N/A</v>
      </c>
      <c r="M114" s="541" t="e">
        <f t="shared" si="261"/>
        <v>#N/A</v>
      </c>
      <c r="N114" s="541" t="e">
        <f t="shared" si="261"/>
        <v>#N/A</v>
      </c>
      <c r="O114" s="541" t="e">
        <f t="shared" si="261"/>
        <v>#N/A</v>
      </c>
      <c r="R114" s="12" t="str">
        <f t="shared" ca="1" si="199"/>
        <v/>
      </c>
      <c r="S114" s="2"/>
      <c r="T114" s="241"/>
      <c r="U114" s="622"/>
      <c r="V114" s="612" t="str">
        <f ca="1">IF(OFFSET(AU114,0,Lang_Order*Lang__B5)="","",OFFSET(AU114,0,Lang_Order*Lang__B5))</f>
        <v>Aim for teams to finish within the Time Period (minus weekends)</v>
      </c>
      <c r="W114" s="541" t="e">
        <f t="shared" ref="W114:AB114" si="262">MIN(ROUNDUP((W105*$E$88)/(HRH_HoursPerDay*$D114),0),ROUNDUP((W105*$E$88)/(HRH_HoursPerDay*J$8),0))</f>
        <v>#N/A</v>
      </c>
      <c r="X114" s="541" t="e">
        <f t="shared" si="262"/>
        <v>#N/A</v>
      </c>
      <c r="Y114" s="541" t="e">
        <f t="shared" si="262"/>
        <v>#N/A</v>
      </c>
      <c r="Z114" s="541" t="e">
        <f t="shared" si="262"/>
        <v>#N/A</v>
      </c>
      <c r="AA114" s="541" t="e">
        <f t="shared" si="262"/>
        <v>#N/A</v>
      </c>
      <c r="AB114" s="541" t="e">
        <f t="shared" si="262"/>
        <v>#N/A</v>
      </c>
      <c r="AC114" s="281"/>
      <c r="AD114" s="241"/>
      <c r="AE114" s="2"/>
      <c r="AF114" s="241"/>
      <c r="AG114" s="624"/>
      <c r="AH114" s="612" t="str">
        <f ca="1">IF(OFFSET(AU114,0,Lang_Order*Lang__B5)="","",OFFSET(AU114,0,Lang_Order*Lang__B5))</f>
        <v>Aim for teams to finish within the Time Period (minus weekends)</v>
      </c>
      <c r="AI114" s="541" t="e">
        <f t="shared" ref="AI114:AN114" si="263">MIN(ROUNDUP((AI105*$E$88)/(HRH_HoursPerDay*$D114),0),ROUNDUP((AI105*$E$88)/(HRH_HoursPerDay*J$8),0))</f>
        <v>#N/A</v>
      </c>
      <c r="AJ114" s="541" t="e">
        <f t="shared" si="263"/>
        <v>#N/A</v>
      </c>
      <c r="AK114" s="541" t="e">
        <f t="shared" si="263"/>
        <v>#N/A</v>
      </c>
      <c r="AL114" s="541" t="e">
        <f t="shared" si="263"/>
        <v>#N/A</v>
      </c>
      <c r="AM114" s="541" t="e">
        <f t="shared" si="263"/>
        <v>#N/A</v>
      </c>
      <c r="AN114" s="541" t="e">
        <f t="shared" si="263"/>
        <v>#N/A</v>
      </c>
      <c r="AO114" s="281"/>
      <c r="AP114" s="241"/>
      <c r="AR114" s="403"/>
      <c r="AS114" s="403"/>
      <c r="AT114" s="403"/>
      <c r="AU114" s="403" t="s">
        <v>2685</v>
      </c>
      <c r="AV114" s="403"/>
      <c r="AW114" s="564" t="s">
        <v>2697</v>
      </c>
      <c r="AX114" s="403"/>
      <c r="AY114" s="403"/>
      <c r="AZ114" s="403"/>
      <c r="BA114" s="403"/>
      <c r="BB114" s="403"/>
      <c r="BC114" s="403"/>
      <c r="BD114" s="403"/>
      <c r="BE114" s="403"/>
      <c r="BF114" s="403"/>
      <c r="BG114" s="403"/>
      <c r="BH114" s="403"/>
      <c r="BI114" s="403"/>
      <c r="BJ114" s="403"/>
      <c r="BK114" s="403"/>
      <c r="BL114" s="403"/>
      <c r="BM114" s="403"/>
      <c r="BN114" s="403"/>
      <c r="BO114" s="403"/>
      <c r="BP114" s="403"/>
      <c r="BQ114" s="403"/>
      <c r="BR114" s="403"/>
      <c r="BS114" s="403"/>
      <c r="BT114" s="403"/>
      <c r="BU114" s="403"/>
      <c r="BV114" s="403"/>
      <c r="BW114" s="403"/>
      <c r="BX114" s="403"/>
      <c r="BY114" s="403"/>
      <c r="BZ114" s="403"/>
      <c r="CA114" s="403"/>
      <c r="CB114" s="403"/>
      <c r="CC114" s="403" t="s">
        <v>12011</v>
      </c>
      <c r="CD114" s="403"/>
      <c r="CE114" s="564" t="s">
        <v>5674</v>
      </c>
      <c r="CF114" s="403"/>
      <c r="CG114" s="403"/>
      <c r="CH114" s="403"/>
      <c r="CI114" s="403"/>
      <c r="CJ114" s="403"/>
      <c r="CK114" s="403"/>
      <c r="CL114" s="403"/>
      <c r="CM114" s="403"/>
      <c r="CN114" s="403"/>
      <c r="CO114" s="403"/>
      <c r="CP114" s="403"/>
      <c r="CQ114" s="403"/>
      <c r="CR114" s="403"/>
      <c r="CS114" s="403"/>
      <c r="CT114" s="403"/>
      <c r="CU114" s="403"/>
      <c r="CV114" s="403"/>
      <c r="CW114" s="403"/>
      <c r="CX114" s="403"/>
      <c r="CY114" s="403"/>
      <c r="CZ114" s="403"/>
      <c r="DA114" s="403"/>
      <c r="DB114" s="403"/>
      <c r="DC114" s="403"/>
      <c r="DD114" s="403"/>
      <c r="DE114" s="403"/>
      <c r="DF114" s="403"/>
      <c r="DG114" s="403"/>
      <c r="DH114" s="403"/>
      <c r="DI114" s="403"/>
      <c r="DJ114" s="403"/>
      <c r="DK114" s="403" t="s">
        <v>12012</v>
      </c>
      <c r="DL114" s="403"/>
      <c r="DM114" s="564" t="s">
        <v>12410</v>
      </c>
      <c r="DN114" s="403"/>
      <c r="DO114" s="403"/>
      <c r="DP114" s="403"/>
      <c r="DQ114" s="403"/>
      <c r="DR114" s="403"/>
      <c r="DS114" s="403"/>
      <c r="DT114" s="403"/>
      <c r="DU114" s="403"/>
      <c r="DV114" s="403"/>
      <c r="DW114" s="403"/>
      <c r="DX114" s="403"/>
      <c r="DY114" s="403"/>
      <c r="DZ114" s="403"/>
      <c r="EA114" s="403"/>
      <c r="EB114" s="403"/>
      <c r="EC114" s="403"/>
      <c r="ED114" s="403"/>
      <c r="EE114" s="403"/>
      <c r="EF114" s="403"/>
      <c r="EG114" s="403"/>
      <c r="EH114" s="403"/>
      <c r="EI114" s="403"/>
      <c r="EJ114" s="403"/>
      <c r="EK114" s="403"/>
      <c r="EL114" s="403"/>
      <c r="EM114" s="403"/>
      <c r="EN114" s="403"/>
      <c r="EO114" s="403"/>
      <c r="EP114" s="403"/>
      <c r="EQ114" s="403"/>
      <c r="ER114" s="403"/>
      <c r="ES114" s="403" t="s">
        <v>12013</v>
      </c>
      <c r="ET114" s="403"/>
      <c r="EU114" s="564" t="s">
        <v>6931</v>
      </c>
      <c r="EV114" s="403"/>
      <c r="EW114" s="403"/>
      <c r="EX114" s="403"/>
      <c r="EY114" s="403"/>
      <c r="EZ114" s="403"/>
      <c r="FA114" s="403"/>
      <c r="FB114" s="403"/>
      <c r="FC114" s="403"/>
      <c r="FD114" s="403"/>
      <c r="FE114" s="403"/>
      <c r="FF114" s="403"/>
      <c r="FG114" s="403"/>
      <c r="FH114" s="403"/>
      <c r="FI114" s="403"/>
      <c r="FJ114" s="403"/>
      <c r="FK114" s="403"/>
      <c r="FL114" s="403"/>
      <c r="FM114" s="403"/>
      <c r="FN114" s="403"/>
      <c r="FO114" s="403"/>
      <c r="FP114" s="403"/>
      <c r="FQ114" s="403"/>
      <c r="FR114" s="403"/>
      <c r="FS114" s="403"/>
      <c r="FT114" s="403"/>
      <c r="FU114" s="403"/>
      <c r="FV114" s="403"/>
      <c r="FW114" s="403"/>
      <c r="FX114" s="403"/>
      <c r="FY114" s="403"/>
      <c r="FZ114" s="403"/>
      <c r="GA114" s="403" t="s">
        <v>12014</v>
      </c>
      <c r="GB114" s="403"/>
      <c r="GC114" s="564" t="s">
        <v>6934</v>
      </c>
      <c r="GD114" s="403"/>
      <c r="GE114" s="403"/>
      <c r="GF114" s="403"/>
      <c r="GG114" s="403"/>
      <c r="GH114" s="403"/>
      <c r="GI114" s="403"/>
      <c r="GJ114" s="403"/>
      <c r="GK114" s="403"/>
      <c r="GL114" s="403"/>
      <c r="GM114" s="403"/>
      <c r="GN114" s="403"/>
      <c r="GO114" s="403"/>
      <c r="GP114" s="403"/>
      <c r="GQ114" s="403"/>
      <c r="GR114" s="403"/>
      <c r="GS114" s="403"/>
      <c r="GT114" s="403"/>
      <c r="GU114" s="403"/>
      <c r="GV114" s="403"/>
      <c r="GW114" s="403"/>
      <c r="GX114" s="403"/>
      <c r="GY114" s="403"/>
      <c r="GZ114" s="403"/>
      <c r="HA114" s="403"/>
      <c r="HB114" s="403"/>
      <c r="HC114" s="403"/>
      <c r="HD114" s="403"/>
      <c r="HE114" s="403"/>
      <c r="HF114" s="403"/>
      <c r="HG114" s="403"/>
      <c r="HH114" s="403"/>
      <c r="HI114" s="403" t="s">
        <v>12015</v>
      </c>
      <c r="HJ114" s="403"/>
      <c r="HK114" s="564" t="s">
        <v>6937</v>
      </c>
      <c r="HL114" s="403"/>
      <c r="HM114" s="403"/>
      <c r="HN114" s="403"/>
      <c r="HO114" s="403"/>
      <c r="HP114" s="403"/>
      <c r="HQ114" s="403"/>
      <c r="HR114" s="403"/>
      <c r="HS114" s="403"/>
      <c r="HT114" s="403"/>
      <c r="HU114" s="403"/>
      <c r="HV114" s="403"/>
      <c r="HW114" s="403"/>
      <c r="HX114" s="403"/>
      <c r="HY114" s="403"/>
      <c r="HZ114" s="403"/>
      <c r="IA114" s="403"/>
      <c r="IB114" s="403"/>
      <c r="IC114" s="403"/>
      <c r="ID114" s="403"/>
      <c r="IE114" s="403"/>
      <c r="IF114" s="403"/>
      <c r="IG114" s="403"/>
      <c r="IH114" s="403"/>
      <c r="II114" s="403"/>
      <c r="IJ114" s="403"/>
      <c r="IK114" s="403"/>
      <c r="IL114" s="403"/>
      <c r="IM114" s="403"/>
      <c r="IN114" s="403"/>
      <c r="IO114" s="403"/>
      <c r="IP114" s="403"/>
      <c r="IQ114" s="403" t="s">
        <v>12016</v>
      </c>
      <c r="IR114" s="403"/>
      <c r="IS114" s="564" t="s">
        <v>5721</v>
      </c>
      <c r="IT114" s="403"/>
      <c r="IU114" s="403"/>
      <c r="IV114" s="403"/>
      <c r="IW114" s="403"/>
      <c r="IX114" s="403"/>
      <c r="IY114" s="403"/>
      <c r="IZ114" s="403"/>
      <c r="JA114" s="403"/>
      <c r="JB114" s="403"/>
      <c r="JC114" s="403"/>
      <c r="JD114" s="403"/>
      <c r="JE114" s="403"/>
      <c r="JF114" s="403"/>
      <c r="JG114" s="403"/>
      <c r="JH114" s="403"/>
      <c r="JI114" s="403"/>
      <c r="JJ114" s="403"/>
      <c r="JK114" s="403"/>
      <c r="JL114" s="403"/>
      <c r="JM114" s="403"/>
      <c r="JN114" s="403"/>
      <c r="JO114" s="403"/>
      <c r="JP114" s="403"/>
      <c r="JQ114" s="403"/>
      <c r="JR114" s="403"/>
      <c r="JS114" s="403"/>
      <c r="JT114" s="403"/>
    </row>
    <row r="115" spans="1:280" s="150" customFormat="1" ht="12.75" x14ac:dyDescent="0.2">
      <c r="A115" s="85"/>
      <c r="B115" s="622"/>
      <c r="C115" s="270" t="str">
        <f ca="1">IF(OFFSET(AU115,0,Lang_Order*Lang__B5)="","",OFFSET(AU115,0,Lang_Order*Lang__B5))</f>
        <v>Override here to accelerate vaccination program</v>
      </c>
      <c r="D115" s="35"/>
      <c r="E115" s="85" t="str">
        <f ca="1">IF(OFFSET(AW115,0,Lang_Order*Lang__B5)="","",OFFSET(AW115,0,Lang_Order*Lang__B5))</f>
        <v>days</v>
      </c>
      <c r="F115" s="526"/>
      <c r="G115" s="526"/>
      <c r="H115" s="526"/>
      <c r="R115" s="12" t="str">
        <f t="shared" ca="1" si="199"/>
        <v/>
      </c>
      <c r="S115" s="2"/>
      <c r="T115" s="241"/>
      <c r="U115" s="622"/>
      <c r="V115" s="2"/>
      <c r="AC115" s="281"/>
      <c r="AE115" s="2"/>
      <c r="AF115" s="241"/>
      <c r="AG115" s="624"/>
      <c r="AH115" s="72"/>
      <c r="AO115" s="281"/>
      <c r="AR115" s="403"/>
      <c r="AS115" s="403"/>
      <c r="AT115" s="403"/>
      <c r="AU115" s="403" t="s">
        <v>4564</v>
      </c>
      <c r="AV115" s="403"/>
      <c r="AW115" s="403" t="s">
        <v>2697</v>
      </c>
      <c r="AX115" s="403"/>
      <c r="AY115" s="403"/>
      <c r="AZ115" s="403"/>
      <c r="BA115" s="403"/>
      <c r="BB115" s="403"/>
      <c r="BC115" s="403"/>
      <c r="BD115" s="403"/>
      <c r="BE115" s="403"/>
      <c r="BF115" s="403"/>
      <c r="BG115" s="403"/>
      <c r="BH115" s="403"/>
      <c r="BI115" s="403"/>
      <c r="BJ115" s="403"/>
      <c r="BK115" s="403"/>
      <c r="BL115" s="403"/>
      <c r="BM115" s="403"/>
      <c r="BN115" s="403"/>
      <c r="BO115" s="403"/>
      <c r="BP115" s="403"/>
      <c r="BQ115" s="403"/>
      <c r="BR115" s="403"/>
      <c r="BS115" s="403"/>
      <c r="BT115" s="403"/>
      <c r="BU115" s="403"/>
      <c r="BV115" s="403"/>
      <c r="BW115" s="403"/>
      <c r="BX115" s="403"/>
      <c r="BY115" s="403"/>
      <c r="BZ115" s="403"/>
      <c r="CA115" s="403"/>
      <c r="CB115" s="403"/>
      <c r="CC115" s="403" t="s">
        <v>13251</v>
      </c>
      <c r="CD115" s="403"/>
      <c r="CE115" s="403" t="s">
        <v>5674</v>
      </c>
      <c r="CF115" s="403"/>
      <c r="CG115" s="403"/>
      <c r="CH115" s="403"/>
      <c r="CI115" s="403"/>
      <c r="CJ115" s="403"/>
      <c r="CK115" s="403"/>
      <c r="CL115" s="403"/>
      <c r="CM115" s="403"/>
      <c r="CN115" s="403"/>
      <c r="CO115" s="403"/>
      <c r="CP115" s="403"/>
      <c r="CQ115" s="403"/>
      <c r="CR115" s="403"/>
      <c r="CS115" s="403"/>
      <c r="CT115" s="403"/>
      <c r="CU115" s="403"/>
      <c r="CV115" s="403"/>
      <c r="CW115" s="403"/>
      <c r="CX115" s="403"/>
      <c r="CY115" s="403"/>
      <c r="CZ115" s="403"/>
      <c r="DA115" s="403"/>
      <c r="DB115" s="403"/>
      <c r="DC115" s="403"/>
      <c r="DD115" s="403"/>
      <c r="DE115" s="403"/>
      <c r="DF115" s="403"/>
      <c r="DG115" s="403"/>
      <c r="DH115" s="403"/>
      <c r="DI115" s="403"/>
      <c r="DJ115" s="403"/>
      <c r="DK115" s="403" t="s">
        <v>13252</v>
      </c>
      <c r="DL115" s="403"/>
      <c r="DM115" s="403" t="s">
        <v>12410</v>
      </c>
      <c r="DN115" s="403"/>
      <c r="DO115" s="403"/>
      <c r="DP115" s="403"/>
      <c r="DQ115" s="403"/>
      <c r="DR115" s="403"/>
      <c r="DS115" s="403"/>
      <c r="DT115" s="403"/>
      <c r="DU115" s="403"/>
      <c r="DV115" s="403"/>
      <c r="DW115" s="403"/>
      <c r="DX115" s="403"/>
      <c r="DY115" s="403"/>
      <c r="DZ115" s="403"/>
      <c r="EA115" s="403"/>
      <c r="EB115" s="403"/>
      <c r="EC115" s="403"/>
      <c r="ED115" s="403"/>
      <c r="EE115" s="403"/>
      <c r="EF115" s="403"/>
      <c r="EG115" s="403"/>
      <c r="EH115" s="403"/>
      <c r="EI115" s="403"/>
      <c r="EJ115" s="403"/>
      <c r="EK115" s="403"/>
      <c r="EL115" s="403"/>
      <c r="EM115" s="403"/>
      <c r="EN115" s="403"/>
      <c r="EO115" s="403"/>
      <c r="EP115" s="403"/>
      <c r="EQ115" s="403"/>
      <c r="ER115" s="403"/>
      <c r="ES115" s="403" t="s">
        <v>13253</v>
      </c>
      <c r="ET115" s="403"/>
      <c r="EU115" s="403" t="s">
        <v>6931</v>
      </c>
      <c r="EV115" s="403"/>
      <c r="EW115" s="403"/>
      <c r="EX115" s="403"/>
      <c r="EY115" s="403"/>
      <c r="EZ115" s="403"/>
      <c r="FA115" s="403"/>
      <c r="FB115" s="403"/>
      <c r="FC115" s="403"/>
      <c r="FD115" s="403"/>
      <c r="FE115" s="403"/>
      <c r="FF115" s="403"/>
      <c r="FG115" s="403"/>
      <c r="FH115" s="403"/>
      <c r="FI115" s="403"/>
      <c r="FJ115" s="403"/>
      <c r="FK115" s="403"/>
      <c r="FL115" s="403"/>
      <c r="FM115" s="403"/>
      <c r="FN115" s="403"/>
      <c r="FO115" s="403"/>
      <c r="FP115" s="403"/>
      <c r="FQ115" s="403"/>
      <c r="FR115" s="403"/>
      <c r="FS115" s="403"/>
      <c r="FT115" s="403"/>
      <c r="FU115" s="403"/>
      <c r="FV115" s="403"/>
      <c r="FW115" s="403"/>
      <c r="FX115" s="403"/>
      <c r="FY115" s="403"/>
      <c r="FZ115" s="403"/>
      <c r="GA115" s="403" t="s">
        <v>13254</v>
      </c>
      <c r="GB115" s="403"/>
      <c r="GC115" s="403" t="s">
        <v>6934</v>
      </c>
      <c r="GD115" s="403"/>
      <c r="GE115" s="403"/>
      <c r="GF115" s="403"/>
      <c r="GG115" s="403"/>
      <c r="GH115" s="403"/>
      <c r="GI115" s="403"/>
      <c r="GJ115" s="403"/>
      <c r="GK115" s="403"/>
      <c r="GL115" s="403"/>
      <c r="GM115" s="403"/>
      <c r="GN115" s="403"/>
      <c r="GO115" s="403"/>
      <c r="GP115" s="403"/>
      <c r="GQ115" s="403"/>
      <c r="GR115" s="403"/>
      <c r="GS115" s="403"/>
      <c r="GT115" s="403"/>
      <c r="GU115" s="403"/>
      <c r="GV115" s="403"/>
      <c r="GW115" s="403"/>
      <c r="GX115" s="403"/>
      <c r="GY115" s="403"/>
      <c r="GZ115" s="403"/>
      <c r="HA115" s="403"/>
      <c r="HB115" s="403"/>
      <c r="HC115" s="403"/>
      <c r="HD115" s="403"/>
      <c r="HE115" s="403"/>
      <c r="HF115" s="403"/>
      <c r="HG115" s="403"/>
      <c r="HH115" s="403"/>
      <c r="HI115" s="403" t="s">
        <v>13255</v>
      </c>
      <c r="HJ115" s="403"/>
      <c r="HK115" s="403" t="s">
        <v>6937</v>
      </c>
      <c r="HL115" s="403"/>
      <c r="HM115" s="403"/>
      <c r="HN115" s="403"/>
      <c r="HO115" s="403"/>
      <c r="HP115" s="403"/>
      <c r="HQ115" s="403"/>
      <c r="HR115" s="403"/>
      <c r="HS115" s="403"/>
      <c r="HT115" s="403"/>
      <c r="HU115" s="403"/>
      <c r="HV115" s="403"/>
      <c r="HW115" s="403"/>
      <c r="HX115" s="403"/>
      <c r="HY115" s="403"/>
      <c r="HZ115" s="403"/>
      <c r="IA115" s="403"/>
      <c r="IB115" s="403"/>
      <c r="IC115" s="403"/>
      <c r="ID115" s="403"/>
      <c r="IE115" s="403"/>
      <c r="IF115" s="403"/>
      <c r="IG115" s="403"/>
      <c r="IH115" s="403"/>
      <c r="II115" s="403"/>
      <c r="IJ115" s="403"/>
      <c r="IK115" s="403"/>
      <c r="IL115" s="403"/>
      <c r="IM115" s="403"/>
      <c r="IN115" s="403"/>
      <c r="IO115" s="403"/>
      <c r="IP115" s="403"/>
      <c r="IQ115" s="403" t="s">
        <v>13256</v>
      </c>
      <c r="IR115" s="403"/>
      <c r="IS115" s="403" t="s">
        <v>5721</v>
      </c>
      <c r="IT115" s="403"/>
      <c r="IU115" s="403"/>
      <c r="IV115" s="403"/>
      <c r="IW115" s="403"/>
      <c r="IX115" s="403"/>
      <c r="IY115" s="403"/>
      <c r="IZ115" s="403"/>
      <c r="JA115" s="403"/>
      <c r="JB115" s="403"/>
      <c r="JC115" s="403"/>
      <c r="JD115" s="403"/>
      <c r="JE115" s="403"/>
      <c r="JF115" s="403"/>
      <c r="JG115" s="403"/>
      <c r="JH115" s="403"/>
      <c r="JI115" s="403"/>
      <c r="JJ115" s="403"/>
      <c r="JK115" s="403"/>
      <c r="JL115" s="403"/>
      <c r="JM115" s="403"/>
      <c r="JN115" s="403"/>
      <c r="JO115" s="403"/>
      <c r="JP115" s="403"/>
      <c r="JQ115" s="403"/>
      <c r="JR115" s="403"/>
      <c r="JS115" s="403"/>
      <c r="JT115" s="403"/>
    </row>
    <row r="116" spans="1:280" s="15" customFormat="1" ht="12.75" x14ac:dyDescent="0.2">
      <c r="A116" s="9"/>
      <c r="B116" s="624" t="str">
        <f ca="1">IF(OFFSET(AT116,0,Lang_Order*Lang__B5)="","",OFFSET(AT116,0,Lang_Order*Lang__B5))</f>
        <v>Local Demand Generation and Communications</v>
      </c>
      <c r="C116" s="23"/>
      <c r="E116" s="26"/>
      <c r="F116" s="26"/>
      <c r="G116" s="26"/>
      <c r="H116" s="26"/>
      <c r="I116" s="26"/>
      <c r="P116" s="26"/>
      <c r="Q116" s="26"/>
      <c r="R116" s="12" t="str">
        <f t="shared" ca="1" si="199"/>
        <v/>
      </c>
      <c r="S116" s="2"/>
      <c r="T116" s="241"/>
      <c r="U116" s="624" t="str">
        <f ca="1">IF(OFFSET(AT116,0,Lang_Order*Lang__B5)="","",OFFSET(AT116,0,Lang_Order*Lang__B5))</f>
        <v>Local Demand Generation and Communications</v>
      </c>
      <c r="V116" s="72"/>
      <c r="AC116" s="26"/>
      <c r="AE116" s="2"/>
      <c r="AF116" s="241"/>
      <c r="AG116" s="624" t="str">
        <f ca="1">IF(OFFSET(AT116,0,Lang_Order*Lang__B5)="","",OFFSET(AT116,0,Lang_Order*Lang__B5))</f>
        <v>Local Demand Generation and Communications</v>
      </c>
      <c r="AH116" s="72"/>
      <c r="AO116" s="26"/>
      <c r="AR116" s="403"/>
      <c r="AS116" s="403"/>
      <c r="AT116" s="403" t="s">
        <v>1575</v>
      </c>
      <c r="AU116" s="403"/>
      <c r="AV116" s="403"/>
      <c r="AW116" s="403"/>
      <c r="AX116" s="403"/>
      <c r="AY116" s="403"/>
      <c r="AZ116" s="403"/>
      <c r="BA116" s="403"/>
      <c r="BB116" s="403"/>
      <c r="BC116" s="403"/>
      <c r="BD116" s="403"/>
      <c r="BE116" s="403"/>
      <c r="BF116" s="403"/>
      <c r="BG116" s="403"/>
      <c r="BH116" s="403"/>
      <c r="BI116" s="403"/>
      <c r="BJ116" s="403"/>
      <c r="BK116" s="403"/>
      <c r="BL116" s="403"/>
      <c r="BM116" s="403"/>
      <c r="BN116" s="403"/>
      <c r="BO116" s="403"/>
      <c r="BP116" s="403"/>
      <c r="BQ116" s="403"/>
      <c r="BR116" s="403"/>
      <c r="BS116" s="403"/>
      <c r="BT116" s="403"/>
      <c r="BU116" s="403"/>
      <c r="BV116" s="403"/>
      <c r="BW116" s="403"/>
      <c r="BX116" s="403"/>
      <c r="BY116" s="403"/>
      <c r="BZ116" s="403"/>
      <c r="CA116" s="403"/>
      <c r="CB116" s="403" t="s">
        <v>12017</v>
      </c>
      <c r="CC116" s="403"/>
      <c r="CD116" s="403"/>
      <c r="CE116" s="403"/>
      <c r="CF116" s="403"/>
      <c r="CG116" s="403"/>
      <c r="CH116" s="403"/>
      <c r="CI116" s="403"/>
      <c r="CJ116" s="403"/>
      <c r="CK116" s="403"/>
      <c r="CL116" s="403"/>
      <c r="CM116" s="403"/>
      <c r="CN116" s="403"/>
      <c r="CO116" s="403"/>
      <c r="CP116" s="403"/>
      <c r="CQ116" s="403"/>
      <c r="CR116" s="403"/>
      <c r="CS116" s="403"/>
      <c r="CT116" s="403"/>
      <c r="CU116" s="403"/>
      <c r="CV116" s="403"/>
      <c r="CW116" s="403"/>
      <c r="CX116" s="403"/>
      <c r="CY116" s="403"/>
      <c r="CZ116" s="403"/>
      <c r="DA116" s="403"/>
      <c r="DB116" s="403"/>
      <c r="DC116" s="403"/>
      <c r="DD116" s="403"/>
      <c r="DE116" s="403"/>
      <c r="DF116" s="403"/>
      <c r="DG116" s="403"/>
      <c r="DH116" s="403"/>
      <c r="DI116" s="403"/>
      <c r="DJ116" s="403" t="s">
        <v>11627</v>
      </c>
      <c r="DK116" s="403"/>
      <c r="DL116" s="403"/>
      <c r="DM116" s="403"/>
      <c r="DN116" s="403"/>
      <c r="DO116" s="403"/>
      <c r="DP116" s="403"/>
      <c r="DQ116" s="403"/>
      <c r="DR116" s="403"/>
      <c r="DS116" s="403"/>
      <c r="DT116" s="403"/>
      <c r="DU116" s="403"/>
      <c r="DV116" s="403"/>
      <c r="DW116" s="403"/>
      <c r="DX116" s="403"/>
      <c r="DY116" s="403"/>
      <c r="DZ116" s="403"/>
      <c r="EA116" s="403"/>
      <c r="EB116" s="403"/>
      <c r="EC116" s="403"/>
      <c r="ED116" s="403"/>
      <c r="EE116" s="403"/>
      <c r="EF116" s="403"/>
      <c r="EG116" s="403"/>
      <c r="EH116" s="403"/>
      <c r="EI116" s="403"/>
      <c r="EJ116" s="403"/>
      <c r="EK116" s="403"/>
      <c r="EL116" s="403"/>
      <c r="EM116" s="403"/>
      <c r="EN116" s="403"/>
      <c r="EO116" s="403"/>
      <c r="EP116" s="403"/>
      <c r="EQ116" s="403"/>
      <c r="ER116" s="403" t="s">
        <v>11628</v>
      </c>
      <c r="ES116" s="403"/>
      <c r="ET116" s="403"/>
      <c r="EU116" s="403"/>
      <c r="EV116" s="403"/>
      <c r="EW116" s="403"/>
      <c r="EX116" s="403"/>
      <c r="EY116" s="403"/>
      <c r="EZ116" s="403"/>
      <c r="FA116" s="403"/>
      <c r="FB116" s="403"/>
      <c r="FC116" s="403"/>
      <c r="FD116" s="403"/>
      <c r="FE116" s="403"/>
      <c r="FF116" s="403"/>
      <c r="FG116" s="403"/>
      <c r="FH116" s="403"/>
      <c r="FI116" s="403"/>
      <c r="FJ116" s="403"/>
      <c r="FK116" s="403"/>
      <c r="FL116" s="403"/>
      <c r="FM116" s="403"/>
      <c r="FN116" s="403"/>
      <c r="FO116" s="403"/>
      <c r="FP116" s="403"/>
      <c r="FQ116" s="403"/>
      <c r="FR116" s="403"/>
      <c r="FS116" s="403"/>
      <c r="FT116" s="403"/>
      <c r="FU116" s="403"/>
      <c r="FV116" s="403"/>
      <c r="FW116" s="403"/>
      <c r="FX116" s="403"/>
      <c r="FY116" s="403"/>
      <c r="FZ116" s="403" t="s">
        <v>11629</v>
      </c>
      <c r="GA116" s="403"/>
      <c r="GB116" s="403"/>
      <c r="GC116" s="403"/>
      <c r="GD116" s="403"/>
      <c r="GE116" s="403"/>
      <c r="GF116" s="403"/>
      <c r="GG116" s="403"/>
      <c r="GH116" s="403"/>
      <c r="GI116" s="403"/>
      <c r="GJ116" s="403"/>
      <c r="GK116" s="403"/>
      <c r="GL116" s="403"/>
      <c r="GM116" s="403"/>
      <c r="GN116" s="403"/>
      <c r="GO116" s="403"/>
      <c r="GP116" s="403"/>
      <c r="GQ116" s="403"/>
      <c r="GR116" s="403"/>
      <c r="GS116" s="403"/>
      <c r="GT116" s="403"/>
      <c r="GU116" s="403"/>
      <c r="GV116" s="403"/>
      <c r="GW116" s="403"/>
      <c r="GX116" s="403"/>
      <c r="GY116" s="403"/>
      <c r="GZ116" s="403"/>
      <c r="HA116" s="403"/>
      <c r="HB116" s="403"/>
      <c r="HC116" s="403"/>
      <c r="HD116" s="403"/>
      <c r="HE116" s="403"/>
      <c r="HF116" s="403"/>
      <c r="HG116" s="403"/>
      <c r="HH116" s="403" t="s">
        <v>11630</v>
      </c>
      <c r="HI116" s="403"/>
      <c r="HJ116" s="403"/>
      <c r="HK116" s="403"/>
      <c r="HL116" s="403"/>
      <c r="HM116" s="403"/>
      <c r="HN116" s="403"/>
      <c r="HO116" s="403"/>
      <c r="HP116" s="403"/>
      <c r="HQ116" s="403"/>
      <c r="HR116" s="403"/>
      <c r="HS116" s="403"/>
      <c r="HT116" s="403"/>
      <c r="HU116" s="403"/>
      <c r="HV116" s="403"/>
      <c r="HW116" s="403"/>
      <c r="HX116" s="403"/>
      <c r="HY116" s="403"/>
      <c r="HZ116" s="403"/>
      <c r="IA116" s="403"/>
      <c r="IB116" s="403"/>
      <c r="IC116" s="403"/>
      <c r="ID116" s="403"/>
      <c r="IE116" s="403"/>
      <c r="IF116" s="403"/>
      <c r="IG116" s="403"/>
      <c r="IH116" s="403"/>
      <c r="II116" s="403"/>
      <c r="IJ116" s="403"/>
      <c r="IK116" s="403"/>
      <c r="IL116" s="403"/>
      <c r="IM116" s="403"/>
      <c r="IN116" s="403"/>
      <c r="IO116" s="403"/>
      <c r="IP116" s="403" t="s">
        <v>11631</v>
      </c>
      <c r="IQ116" s="403"/>
      <c r="IR116" s="403"/>
      <c r="IS116" s="403"/>
      <c r="IT116" s="403"/>
      <c r="IU116" s="403"/>
      <c r="IV116" s="403"/>
      <c r="IW116" s="403"/>
      <c r="IX116" s="403"/>
      <c r="IY116" s="403"/>
      <c r="IZ116" s="403"/>
      <c r="JA116" s="403"/>
      <c r="JB116" s="403"/>
      <c r="JC116" s="403"/>
      <c r="JD116" s="403"/>
      <c r="JE116" s="403"/>
      <c r="JF116" s="403"/>
      <c r="JG116" s="403"/>
      <c r="JH116" s="403"/>
      <c r="JI116" s="403"/>
      <c r="JJ116" s="403"/>
      <c r="JK116" s="403"/>
      <c r="JL116" s="403"/>
      <c r="JM116" s="403"/>
      <c r="JN116" s="403"/>
      <c r="JO116" s="403"/>
      <c r="JP116" s="403"/>
      <c r="JQ116" s="403"/>
      <c r="JR116" s="403"/>
      <c r="JS116" s="403"/>
      <c r="JT116" s="403"/>
    </row>
    <row r="117" spans="1:280" s="15" customFormat="1" ht="12.75" x14ac:dyDescent="0.2">
      <c r="A117" s="9"/>
      <c r="B117" s="624"/>
      <c r="C117" s="23" t="str">
        <f ca="1">IF(OFFSET(AU117,0,Lang_Order*Lang__B5)="","",OFFSET(AU117,0,Lang_Order*Lang__B5))</f>
        <v>Per Site</v>
      </c>
      <c r="E117" s="26"/>
      <c r="F117" s="26"/>
      <c r="G117" s="26"/>
      <c r="H117" s="26"/>
      <c r="I117" s="26"/>
      <c r="J117" s="63" t="e">
        <f t="shared" ref="J117:O117" si="264">J96*AUCs_Comms_PerSite</f>
        <v>#N/A</v>
      </c>
      <c r="K117" s="63" t="e">
        <f t="shared" si="264"/>
        <v>#N/A</v>
      </c>
      <c r="L117" s="63" t="e">
        <f t="shared" si="264"/>
        <v>#N/A</v>
      </c>
      <c r="M117" s="63" t="e">
        <f t="shared" si="264"/>
        <v>#N/A</v>
      </c>
      <c r="N117" s="63" t="e">
        <f t="shared" si="264"/>
        <v>#N/A</v>
      </c>
      <c r="O117" s="63" t="e">
        <f t="shared" si="264"/>
        <v>#N/A</v>
      </c>
      <c r="P117" s="83" t="e">
        <f>SUM(J117:O117)</f>
        <v>#N/A</v>
      </c>
      <c r="Q117" s="83"/>
      <c r="R117" s="12" t="str">
        <f t="shared" ca="1" si="199"/>
        <v/>
      </c>
      <c r="S117" s="2"/>
      <c r="T117" s="241"/>
      <c r="U117" s="624"/>
      <c r="V117" s="72" t="str">
        <f ca="1">IF(OFFSET(AU117,0,Lang_Order*Lang__B5)="","",OFFSET(AU117,0,Lang_Order*Lang__B5))</f>
        <v>Per Site</v>
      </c>
      <c r="W117" s="37" t="e">
        <f>J117</f>
        <v>#N/A</v>
      </c>
      <c r="X117" s="37" t="e">
        <f t="shared" ref="X117:X119" si="265">K117</f>
        <v>#N/A</v>
      </c>
      <c r="Y117" s="37" t="e">
        <f t="shared" ref="Y117:Y119" si="266">L117</f>
        <v>#N/A</v>
      </c>
      <c r="Z117" s="37" t="e">
        <f t="shared" ref="Z117:Z119" si="267">M117</f>
        <v>#N/A</v>
      </c>
      <c r="AA117" s="37" t="e">
        <f t="shared" ref="AA117:AA119" si="268">N117</f>
        <v>#N/A</v>
      </c>
      <c r="AB117" s="37" t="e">
        <f t="shared" ref="AB117:AB119" si="269">O117</f>
        <v>#N/A</v>
      </c>
      <c r="AC117" s="83" t="e">
        <f>SUM(W117:AB117)</f>
        <v>#N/A</v>
      </c>
      <c r="AE117" s="72" t="s">
        <v>3042</v>
      </c>
      <c r="AF117" s="241"/>
      <c r="AG117" s="624"/>
      <c r="AH117" s="72" t="str">
        <f ca="1">IF(OFFSET(AU117,0,Lang_Order*Lang__B5)="","",OFFSET(AU117,0,Lang_Order*Lang__B5))</f>
        <v>Per Site</v>
      </c>
      <c r="AI117" s="37" t="e">
        <f>J117</f>
        <v>#N/A</v>
      </c>
      <c r="AJ117" s="37" t="e">
        <f t="shared" ref="AJ117:AJ119" si="270">K117</f>
        <v>#N/A</v>
      </c>
      <c r="AK117" s="37" t="e">
        <f t="shared" ref="AK117:AK119" si="271">L117</f>
        <v>#N/A</v>
      </c>
      <c r="AL117" s="37" t="e">
        <f t="shared" ref="AL117:AL119" si="272">M117</f>
        <v>#N/A</v>
      </c>
      <c r="AM117" s="37" t="e">
        <f t="shared" ref="AM117:AM119" si="273">N117</f>
        <v>#N/A</v>
      </c>
      <c r="AN117" s="37" t="e">
        <f t="shared" ref="AN117:AN119" si="274">O117</f>
        <v>#N/A</v>
      </c>
      <c r="AO117" s="83" t="e">
        <f>SUM(AI117:AN117)</f>
        <v>#N/A</v>
      </c>
      <c r="AR117" s="403"/>
      <c r="AS117" s="403"/>
      <c r="AT117" s="403"/>
      <c r="AU117" s="403" t="s">
        <v>1580</v>
      </c>
      <c r="AV117" s="403"/>
      <c r="AW117" s="403"/>
      <c r="AX117" s="403"/>
      <c r="AY117" s="403"/>
      <c r="AZ117" s="403"/>
      <c r="BA117" s="403"/>
      <c r="BB117" s="403"/>
      <c r="BC117" s="403"/>
      <c r="BD117" s="403"/>
      <c r="BE117" s="403"/>
      <c r="BF117" s="403"/>
      <c r="BG117" s="403"/>
      <c r="BH117" s="403"/>
      <c r="BI117" s="403"/>
      <c r="BJ117" s="403"/>
      <c r="BK117" s="403"/>
      <c r="BL117" s="403"/>
      <c r="BM117" s="403"/>
      <c r="BN117" s="403"/>
      <c r="BO117" s="403"/>
      <c r="BP117" s="403"/>
      <c r="BQ117" s="403"/>
      <c r="BR117" s="403"/>
      <c r="BS117" s="403"/>
      <c r="BT117" s="403"/>
      <c r="BU117" s="403"/>
      <c r="BV117" s="403"/>
      <c r="BW117" s="403"/>
      <c r="BX117" s="403"/>
      <c r="BY117" s="403"/>
      <c r="BZ117" s="403"/>
      <c r="CA117" s="403"/>
      <c r="CB117" s="403"/>
      <c r="CC117" s="403" t="s">
        <v>8457</v>
      </c>
      <c r="CD117" s="403"/>
      <c r="CE117" s="403"/>
      <c r="CF117" s="403"/>
      <c r="CG117" s="403"/>
      <c r="CH117" s="403"/>
      <c r="CI117" s="403"/>
      <c r="CJ117" s="403"/>
      <c r="CK117" s="403"/>
      <c r="CL117" s="403"/>
      <c r="CM117" s="403"/>
      <c r="CN117" s="403"/>
      <c r="CO117" s="403"/>
      <c r="CP117" s="403"/>
      <c r="CQ117" s="403"/>
      <c r="CR117" s="403"/>
      <c r="CS117" s="403"/>
      <c r="CT117" s="403"/>
      <c r="CU117" s="403"/>
      <c r="CV117" s="403"/>
      <c r="CW117" s="403"/>
      <c r="CX117" s="403"/>
      <c r="CY117" s="403"/>
      <c r="CZ117" s="403"/>
      <c r="DA117" s="403"/>
      <c r="DB117" s="403"/>
      <c r="DC117" s="403"/>
      <c r="DD117" s="403"/>
      <c r="DE117" s="403"/>
      <c r="DF117" s="403"/>
      <c r="DG117" s="403"/>
      <c r="DH117" s="403"/>
      <c r="DI117" s="403"/>
      <c r="DJ117" s="403"/>
      <c r="DK117" s="403" t="s">
        <v>12018</v>
      </c>
      <c r="DL117" s="403"/>
      <c r="DM117" s="403"/>
      <c r="DN117" s="403"/>
      <c r="DO117" s="403"/>
      <c r="DP117" s="403"/>
      <c r="DQ117" s="403"/>
      <c r="DR117" s="403"/>
      <c r="DS117" s="403"/>
      <c r="DT117" s="403"/>
      <c r="DU117" s="403"/>
      <c r="DV117" s="403"/>
      <c r="DW117" s="403"/>
      <c r="DX117" s="403"/>
      <c r="DY117" s="403"/>
      <c r="DZ117" s="403"/>
      <c r="EA117" s="403"/>
      <c r="EB117" s="403"/>
      <c r="EC117" s="403"/>
      <c r="ED117" s="403"/>
      <c r="EE117" s="403"/>
      <c r="EF117" s="403"/>
      <c r="EG117" s="403"/>
      <c r="EH117" s="403"/>
      <c r="EI117" s="403"/>
      <c r="EJ117" s="403"/>
      <c r="EK117" s="403"/>
      <c r="EL117" s="403"/>
      <c r="EM117" s="403"/>
      <c r="EN117" s="403"/>
      <c r="EO117" s="403"/>
      <c r="EP117" s="403"/>
      <c r="EQ117" s="403"/>
      <c r="ER117" s="403"/>
      <c r="ES117" s="403" t="s">
        <v>8579</v>
      </c>
      <c r="ET117" s="403"/>
      <c r="EU117" s="403"/>
      <c r="EV117" s="403"/>
      <c r="EW117" s="403"/>
      <c r="EX117" s="403"/>
      <c r="EY117" s="403"/>
      <c r="EZ117" s="403"/>
      <c r="FA117" s="403"/>
      <c r="FB117" s="403"/>
      <c r="FC117" s="403"/>
      <c r="FD117" s="403"/>
      <c r="FE117" s="403"/>
      <c r="FF117" s="403"/>
      <c r="FG117" s="403"/>
      <c r="FH117" s="403"/>
      <c r="FI117" s="403"/>
      <c r="FJ117" s="403"/>
      <c r="FK117" s="403"/>
      <c r="FL117" s="403"/>
      <c r="FM117" s="403"/>
      <c r="FN117" s="403"/>
      <c r="FO117" s="403"/>
      <c r="FP117" s="403"/>
      <c r="FQ117" s="403"/>
      <c r="FR117" s="403"/>
      <c r="FS117" s="403"/>
      <c r="FT117" s="403"/>
      <c r="FU117" s="403"/>
      <c r="FV117" s="403"/>
      <c r="FW117" s="403"/>
      <c r="FX117" s="403"/>
      <c r="FY117" s="403"/>
      <c r="FZ117" s="403"/>
      <c r="GA117" s="403" t="s">
        <v>8463</v>
      </c>
      <c r="GB117" s="403"/>
      <c r="GC117" s="403"/>
      <c r="GD117" s="403"/>
      <c r="GE117" s="403"/>
      <c r="GF117" s="403"/>
      <c r="GG117" s="403"/>
      <c r="GH117" s="403"/>
      <c r="GI117" s="403"/>
      <c r="GJ117" s="403"/>
      <c r="GK117" s="403"/>
      <c r="GL117" s="403"/>
      <c r="GM117" s="403"/>
      <c r="GN117" s="403"/>
      <c r="GO117" s="403"/>
      <c r="GP117" s="403"/>
      <c r="GQ117" s="403"/>
      <c r="GR117" s="403"/>
      <c r="GS117" s="403"/>
      <c r="GT117" s="403"/>
      <c r="GU117" s="403"/>
      <c r="GV117" s="403"/>
      <c r="GW117" s="403"/>
      <c r="GX117" s="403"/>
      <c r="GY117" s="403"/>
      <c r="GZ117" s="403"/>
      <c r="HA117" s="403"/>
      <c r="HB117" s="403"/>
      <c r="HC117" s="403"/>
      <c r="HD117" s="403"/>
      <c r="HE117" s="403"/>
      <c r="HF117" s="403"/>
      <c r="HG117" s="403"/>
      <c r="HH117" s="403"/>
      <c r="HI117" s="403" t="s">
        <v>12019</v>
      </c>
      <c r="HJ117" s="403"/>
      <c r="HK117" s="403"/>
      <c r="HL117" s="403"/>
      <c r="HM117" s="403"/>
      <c r="HN117" s="403"/>
      <c r="HO117" s="403"/>
      <c r="HP117" s="403"/>
      <c r="HQ117" s="403"/>
      <c r="HR117" s="403"/>
      <c r="HS117" s="403"/>
      <c r="HT117" s="403"/>
      <c r="HU117" s="403"/>
      <c r="HV117" s="403"/>
      <c r="HW117" s="403"/>
      <c r="HX117" s="403"/>
      <c r="HY117" s="403"/>
      <c r="HZ117" s="403"/>
      <c r="IA117" s="403"/>
      <c r="IB117" s="403"/>
      <c r="IC117" s="403"/>
      <c r="ID117" s="403"/>
      <c r="IE117" s="403"/>
      <c r="IF117" s="403"/>
      <c r="IG117" s="403"/>
      <c r="IH117" s="403"/>
      <c r="II117" s="403"/>
      <c r="IJ117" s="403"/>
      <c r="IK117" s="403"/>
      <c r="IL117" s="403"/>
      <c r="IM117" s="403"/>
      <c r="IN117" s="403"/>
      <c r="IO117" s="403"/>
      <c r="IP117" s="403"/>
      <c r="IQ117" s="403" t="s">
        <v>8467</v>
      </c>
      <c r="IR117" s="403"/>
      <c r="IS117" s="403"/>
      <c r="IT117" s="403"/>
      <c r="IU117" s="403"/>
      <c r="IV117" s="403"/>
      <c r="IW117" s="403"/>
      <c r="IX117" s="403"/>
      <c r="IY117" s="403"/>
      <c r="IZ117" s="403"/>
      <c r="JA117" s="403"/>
      <c r="JB117" s="403"/>
      <c r="JC117" s="403"/>
      <c r="JD117" s="403"/>
      <c r="JE117" s="403"/>
      <c r="JF117" s="403"/>
      <c r="JG117" s="403"/>
      <c r="JH117" s="403"/>
      <c r="JI117" s="403"/>
      <c r="JJ117" s="403"/>
      <c r="JK117" s="403"/>
      <c r="JL117" s="403"/>
      <c r="JM117" s="403"/>
      <c r="JN117" s="403"/>
      <c r="JO117" s="403"/>
      <c r="JP117" s="403"/>
      <c r="JQ117" s="403"/>
      <c r="JR117" s="403"/>
      <c r="JS117" s="403"/>
      <c r="JT117" s="403"/>
    </row>
    <row r="118" spans="1:280" s="15" customFormat="1" ht="12.75" x14ac:dyDescent="0.2">
      <c r="A118" s="9"/>
      <c r="B118" s="624"/>
      <c r="C118" s="335" t="str">
        <f ca="1">IF(OFFSET(AU118,0,Lang_Order*Lang__B5)="","",OFFSET(AU118,0,Lang_Order*Lang__B5))</f>
        <v>Per Person Eligible for Vaccination (Voluntary Uptake)</v>
      </c>
      <c r="E118" s="26"/>
      <c r="F118" s="26"/>
      <c r="G118" s="26"/>
      <c r="H118" s="26"/>
      <c r="I118" s="26"/>
      <c r="J118" s="63" t="e">
        <f>RBF_DM1*AUCs_Comms_PerPerson_Vol*'B1. Target Population'!D156</f>
        <v>#N/A</v>
      </c>
      <c r="K118" s="63" t="e">
        <f>RBF_DM1*AUCs_Comms_PerPerson_Vol*'B1. Target Population'!E156</f>
        <v>#N/A</v>
      </c>
      <c r="L118" s="63" t="e">
        <f>RBF_DM1*AUCs_Comms_PerPerson_Vol*'B1. Target Population'!F156</f>
        <v>#N/A</v>
      </c>
      <c r="M118" s="63" t="e">
        <f>RBF_DM1*AUCs_Comms_PerPerson_Vol*'B1. Target Population'!G156</f>
        <v>#N/A</v>
      </c>
      <c r="N118" s="63" t="e">
        <f>RBF_DM1*AUCs_Comms_PerPerson_Vol*'B1. Target Population'!H156</f>
        <v>#N/A</v>
      </c>
      <c r="O118" s="63" t="e">
        <f>RBF_DM1*AUCs_Comms_PerPerson_Vol*'B1. Target Population'!I156</f>
        <v>#N/A</v>
      </c>
      <c r="P118" s="83" t="e">
        <f>SUM(J118:O118)</f>
        <v>#N/A</v>
      </c>
      <c r="Q118" s="83"/>
      <c r="R118" s="12" t="str">
        <f t="shared" ca="1" si="199"/>
        <v/>
      </c>
      <c r="S118" s="2"/>
      <c r="T118" s="241"/>
      <c r="U118" s="624"/>
      <c r="V118" s="612" t="str">
        <f ca="1">IF(OFFSET(AU118,0,Lang_Order*Lang__B5)="","",OFFSET(AU118,0,Lang_Order*Lang__B5))</f>
        <v>Per Person Eligible for Vaccination (Voluntary Uptake)</v>
      </c>
      <c r="W118" s="37" t="e">
        <f t="shared" ref="W118:W119" si="275">J118</f>
        <v>#N/A</v>
      </c>
      <c r="X118" s="37" t="e">
        <f t="shared" si="265"/>
        <v>#N/A</v>
      </c>
      <c r="Y118" s="37" t="e">
        <f t="shared" si="266"/>
        <v>#N/A</v>
      </c>
      <c r="Z118" s="37" t="e">
        <f t="shared" si="267"/>
        <v>#N/A</v>
      </c>
      <c r="AA118" s="37" t="e">
        <f t="shared" si="268"/>
        <v>#N/A</v>
      </c>
      <c r="AB118" s="37" t="e">
        <f t="shared" si="269"/>
        <v>#N/A</v>
      </c>
      <c r="AC118" s="83" t="e">
        <f>SUM(W118:AB118)</f>
        <v>#N/A</v>
      </c>
      <c r="AE118" s="72" t="s">
        <v>3042</v>
      </c>
      <c r="AF118" s="241"/>
      <c r="AG118" s="624"/>
      <c r="AH118" s="612" t="str">
        <f ca="1">IF(OFFSET(AU118,0,Lang_Order*Lang__B5)="","",OFFSET(AU118,0,Lang_Order*Lang__B5))</f>
        <v>Per Person Eligible for Vaccination (Voluntary Uptake)</v>
      </c>
      <c r="AI118" s="37" t="e">
        <f t="shared" ref="AI118:AI119" si="276">J118</f>
        <v>#N/A</v>
      </c>
      <c r="AJ118" s="37" t="e">
        <f t="shared" si="270"/>
        <v>#N/A</v>
      </c>
      <c r="AK118" s="37" t="e">
        <f t="shared" si="271"/>
        <v>#N/A</v>
      </c>
      <c r="AL118" s="37" t="e">
        <f t="shared" si="272"/>
        <v>#N/A</v>
      </c>
      <c r="AM118" s="37" t="e">
        <f t="shared" si="273"/>
        <v>#N/A</v>
      </c>
      <c r="AN118" s="37" t="e">
        <f t="shared" si="274"/>
        <v>#N/A</v>
      </c>
      <c r="AO118" s="83" t="e">
        <f>SUM(AI118:AN118)</f>
        <v>#N/A</v>
      </c>
      <c r="AR118" s="403"/>
      <c r="AS118" s="403"/>
      <c r="AT118" s="403"/>
      <c r="AU118" s="403" t="s">
        <v>1626</v>
      </c>
      <c r="AV118" s="403"/>
      <c r="AW118" s="403"/>
      <c r="AX118" s="403"/>
      <c r="AY118" s="403"/>
      <c r="AZ118" s="403"/>
      <c r="BA118" s="403"/>
      <c r="BB118" s="403"/>
      <c r="BC118" s="403"/>
      <c r="BD118" s="403"/>
      <c r="BE118" s="403"/>
      <c r="BF118" s="403"/>
      <c r="BG118" s="403"/>
      <c r="BH118" s="403"/>
      <c r="BI118" s="403"/>
      <c r="BJ118" s="403"/>
      <c r="BK118" s="403"/>
      <c r="BL118" s="403"/>
      <c r="BM118" s="403"/>
      <c r="BN118" s="403"/>
      <c r="BO118" s="403"/>
      <c r="BP118" s="403"/>
      <c r="BQ118" s="403"/>
      <c r="BR118" s="403"/>
      <c r="BS118" s="403"/>
      <c r="BT118" s="403"/>
      <c r="BU118" s="403"/>
      <c r="BV118" s="403"/>
      <c r="BW118" s="403"/>
      <c r="BX118" s="403"/>
      <c r="BY118" s="403"/>
      <c r="BZ118" s="403"/>
      <c r="CA118" s="403"/>
      <c r="CB118" s="403"/>
      <c r="CC118" s="403" t="s">
        <v>12020</v>
      </c>
      <c r="CD118" s="403"/>
      <c r="CE118" s="403"/>
      <c r="CF118" s="403"/>
      <c r="CG118" s="403"/>
      <c r="CH118" s="403"/>
      <c r="CI118" s="403"/>
      <c r="CJ118" s="403"/>
      <c r="CK118" s="403"/>
      <c r="CL118" s="403"/>
      <c r="CM118" s="403"/>
      <c r="CN118" s="403"/>
      <c r="CO118" s="403"/>
      <c r="CP118" s="403"/>
      <c r="CQ118" s="403"/>
      <c r="CR118" s="403"/>
      <c r="CS118" s="403"/>
      <c r="CT118" s="403"/>
      <c r="CU118" s="403"/>
      <c r="CV118" s="403"/>
      <c r="CW118" s="403"/>
      <c r="CX118" s="403"/>
      <c r="CY118" s="403"/>
      <c r="CZ118" s="403"/>
      <c r="DA118" s="403"/>
      <c r="DB118" s="403"/>
      <c r="DC118" s="403"/>
      <c r="DD118" s="403"/>
      <c r="DE118" s="403"/>
      <c r="DF118" s="403"/>
      <c r="DG118" s="403"/>
      <c r="DH118" s="403"/>
      <c r="DI118" s="403"/>
      <c r="DJ118" s="403"/>
      <c r="DK118" s="403" t="s">
        <v>12021</v>
      </c>
      <c r="DL118" s="403"/>
      <c r="DM118" s="403"/>
      <c r="DN118" s="403"/>
      <c r="DO118" s="403"/>
      <c r="DP118" s="403"/>
      <c r="DQ118" s="403"/>
      <c r="DR118" s="403"/>
      <c r="DS118" s="403"/>
      <c r="DT118" s="403"/>
      <c r="DU118" s="403"/>
      <c r="DV118" s="403"/>
      <c r="DW118" s="403"/>
      <c r="DX118" s="403"/>
      <c r="DY118" s="403"/>
      <c r="DZ118" s="403"/>
      <c r="EA118" s="403"/>
      <c r="EB118" s="403"/>
      <c r="EC118" s="403"/>
      <c r="ED118" s="403"/>
      <c r="EE118" s="403"/>
      <c r="EF118" s="403"/>
      <c r="EG118" s="403"/>
      <c r="EH118" s="403"/>
      <c r="EI118" s="403"/>
      <c r="EJ118" s="403"/>
      <c r="EK118" s="403"/>
      <c r="EL118" s="403"/>
      <c r="EM118" s="403"/>
      <c r="EN118" s="403"/>
      <c r="EO118" s="403"/>
      <c r="EP118" s="403"/>
      <c r="EQ118" s="403"/>
      <c r="ER118" s="403"/>
      <c r="ES118" s="403" t="s">
        <v>12022</v>
      </c>
      <c r="ET118" s="403"/>
      <c r="EU118" s="403"/>
      <c r="EV118" s="403"/>
      <c r="EW118" s="403"/>
      <c r="EX118" s="403"/>
      <c r="EY118" s="403"/>
      <c r="EZ118" s="403"/>
      <c r="FA118" s="403"/>
      <c r="FB118" s="403"/>
      <c r="FC118" s="403"/>
      <c r="FD118" s="403"/>
      <c r="FE118" s="403"/>
      <c r="FF118" s="403"/>
      <c r="FG118" s="403"/>
      <c r="FH118" s="403"/>
      <c r="FI118" s="403"/>
      <c r="FJ118" s="403"/>
      <c r="FK118" s="403"/>
      <c r="FL118" s="403"/>
      <c r="FM118" s="403"/>
      <c r="FN118" s="403"/>
      <c r="FO118" s="403"/>
      <c r="FP118" s="403"/>
      <c r="FQ118" s="403"/>
      <c r="FR118" s="403"/>
      <c r="FS118" s="403"/>
      <c r="FT118" s="403"/>
      <c r="FU118" s="403"/>
      <c r="FV118" s="403"/>
      <c r="FW118" s="403"/>
      <c r="FX118" s="403"/>
      <c r="FY118" s="403"/>
      <c r="FZ118" s="403"/>
      <c r="GA118" s="403" t="s">
        <v>12023</v>
      </c>
      <c r="GB118" s="403"/>
      <c r="GC118" s="403"/>
      <c r="GD118" s="403"/>
      <c r="GE118" s="403"/>
      <c r="GF118" s="403"/>
      <c r="GG118" s="403"/>
      <c r="GH118" s="403"/>
      <c r="GI118" s="403"/>
      <c r="GJ118" s="403"/>
      <c r="GK118" s="403"/>
      <c r="GL118" s="403"/>
      <c r="GM118" s="403"/>
      <c r="GN118" s="403"/>
      <c r="GO118" s="403"/>
      <c r="GP118" s="403"/>
      <c r="GQ118" s="403"/>
      <c r="GR118" s="403"/>
      <c r="GS118" s="403"/>
      <c r="GT118" s="403"/>
      <c r="GU118" s="403"/>
      <c r="GV118" s="403"/>
      <c r="GW118" s="403"/>
      <c r="GX118" s="403"/>
      <c r="GY118" s="403"/>
      <c r="GZ118" s="403"/>
      <c r="HA118" s="403"/>
      <c r="HB118" s="403"/>
      <c r="HC118" s="403"/>
      <c r="HD118" s="403"/>
      <c r="HE118" s="403"/>
      <c r="HF118" s="403"/>
      <c r="HG118" s="403"/>
      <c r="HH118" s="403"/>
      <c r="HI118" s="403" t="s">
        <v>12024</v>
      </c>
      <c r="HJ118" s="403"/>
      <c r="HK118" s="403"/>
      <c r="HL118" s="403"/>
      <c r="HM118" s="403"/>
      <c r="HN118" s="403"/>
      <c r="HO118" s="403"/>
      <c r="HP118" s="403"/>
      <c r="HQ118" s="403"/>
      <c r="HR118" s="403"/>
      <c r="HS118" s="403"/>
      <c r="HT118" s="403"/>
      <c r="HU118" s="403"/>
      <c r="HV118" s="403"/>
      <c r="HW118" s="403"/>
      <c r="HX118" s="403"/>
      <c r="HY118" s="403"/>
      <c r="HZ118" s="403"/>
      <c r="IA118" s="403"/>
      <c r="IB118" s="403"/>
      <c r="IC118" s="403"/>
      <c r="ID118" s="403"/>
      <c r="IE118" s="403"/>
      <c r="IF118" s="403"/>
      <c r="IG118" s="403"/>
      <c r="IH118" s="403"/>
      <c r="II118" s="403"/>
      <c r="IJ118" s="403"/>
      <c r="IK118" s="403"/>
      <c r="IL118" s="403"/>
      <c r="IM118" s="403"/>
      <c r="IN118" s="403"/>
      <c r="IO118" s="403"/>
      <c r="IP118" s="403"/>
      <c r="IQ118" s="403" t="s">
        <v>12025</v>
      </c>
      <c r="IR118" s="403"/>
      <c r="IS118" s="403"/>
      <c r="IT118" s="403"/>
      <c r="IU118" s="403"/>
      <c r="IV118" s="403"/>
      <c r="IW118" s="403"/>
      <c r="IX118" s="403"/>
      <c r="IY118" s="403"/>
      <c r="IZ118" s="403"/>
      <c r="JA118" s="403"/>
      <c r="JB118" s="403"/>
      <c r="JC118" s="403"/>
      <c r="JD118" s="403"/>
      <c r="JE118" s="403"/>
      <c r="JF118" s="403"/>
      <c r="JG118" s="403"/>
      <c r="JH118" s="403"/>
      <c r="JI118" s="403"/>
      <c r="JJ118" s="403"/>
      <c r="JK118" s="403"/>
      <c r="JL118" s="403"/>
      <c r="JM118" s="403"/>
      <c r="JN118" s="403"/>
      <c r="JO118" s="403"/>
      <c r="JP118" s="403"/>
      <c r="JQ118" s="403"/>
      <c r="JR118" s="403"/>
      <c r="JS118" s="403"/>
      <c r="JT118" s="403"/>
    </row>
    <row r="119" spans="1:280" s="15" customFormat="1" ht="12.75" x14ac:dyDescent="0.2">
      <c r="A119" s="9"/>
      <c r="B119" s="624"/>
      <c r="C119" s="335" t="str">
        <f ca="1">IF(OFFSET(AU119,0,Lang_Order*Lang__B5)="","",OFFSET(AU119,0,Lang_Order*Lang__B5))</f>
        <v>Per Person Eligible for Vaccination (Work-based Uptake)</v>
      </c>
      <c r="E119" s="26"/>
      <c r="F119" s="26"/>
      <c r="G119" s="26"/>
      <c r="H119" s="26"/>
      <c r="I119" s="26"/>
      <c r="J119" s="63" t="e">
        <f>RBF_DM1*AUCs_Comms_PerPerson_Workbased*'B1. Target Population'!D155</f>
        <v>#N/A</v>
      </c>
      <c r="K119" s="63" t="e">
        <f>RBF_DM1*AUCs_Comms_PerPerson_Workbased*'B1. Target Population'!E155</f>
        <v>#N/A</v>
      </c>
      <c r="L119" s="63" t="e">
        <f>RBF_DM1*AUCs_Comms_PerPerson_Workbased*'B1. Target Population'!F155</f>
        <v>#N/A</v>
      </c>
      <c r="M119" s="63" t="e">
        <f>RBF_DM1*AUCs_Comms_PerPerson_Workbased*'B1. Target Population'!G155</f>
        <v>#N/A</v>
      </c>
      <c r="N119" s="63" t="e">
        <f>RBF_DM1*AUCs_Comms_PerPerson_Workbased*'B1. Target Population'!H155</f>
        <v>#N/A</v>
      </c>
      <c r="O119" s="63" t="e">
        <f>RBF_DM1*AUCs_Comms_PerPerson_Workbased*'B1. Target Population'!I155</f>
        <v>#N/A</v>
      </c>
      <c r="P119" s="83" t="e">
        <f>SUM(J119:O119)</f>
        <v>#N/A</v>
      </c>
      <c r="Q119" s="83"/>
      <c r="R119" s="12" t="str">
        <f t="shared" ca="1" si="199"/>
        <v/>
      </c>
      <c r="S119" s="2"/>
      <c r="T119" s="241"/>
      <c r="U119" s="624"/>
      <c r="V119" s="612" t="str">
        <f ca="1">IF(OFFSET(AU119,0,Lang_Order*Lang__B5)="","",OFFSET(AU119,0,Lang_Order*Lang__B5))</f>
        <v>Per Person Eligible for Vaccination (Work-based Uptake)</v>
      </c>
      <c r="W119" s="37" t="e">
        <f t="shared" si="275"/>
        <v>#N/A</v>
      </c>
      <c r="X119" s="37" t="e">
        <f t="shared" si="265"/>
        <v>#N/A</v>
      </c>
      <c r="Y119" s="37" t="e">
        <f t="shared" si="266"/>
        <v>#N/A</v>
      </c>
      <c r="Z119" s="37" t="e">
        <f t="shared" si="267"/>
        <v>#N/A</v>
      </c>
      <c r="AA119" s="37" t="e">
        <f t="shared" si="268"/>
        <v>#N/A</v>
      </c>
      <c r="AB119" s="37" t="e">
        <f t="shared" si="269"/>
        <v>#N/A</v>
      </c>
      <c r="AC119" s="83" t="e">
        <f>SUM(W119:AB119)</f>
        <v>#N/A</v>
      </c>
      <c r="AE119" s="72" t="s">
        <v>3042</v>
      </c>
      <c r="AF119" s="241"/>
      <c r="AG119" s="624"/>
      <c r="AH119" s="612" t="str">
        <f ca="1">IF(OFFSET(AU119,0,Lang_Order*Lang__B5)="","",OFFSET(AU119,0,Lang_Order*Lang__B5))</f>
        <v>Per Person Eligible for Vaccination (Work-based Uptake)</v>
      </c>
      <c r="AI119" s="37" t="e">
        <f t="shared" si="276"/>
        <v>#N/A</v>
      </c>
      <c r="AJ119" s="37" t="e">
        <f t="shared" si="270"/>
        <v>#N/A</v>
      </c>
      <c r="AK119" s="37" t="e">
        <f t="shared" si="271"/>
        <v>#N/A</v>
      </c>
      <c r="AL119" s="37" t="e">
        <f t="shared" si="272"/>
        <v>#N/A</v>
      </c>
      <c r="AM119" s="37" t="e">
        <f t="shared" si="273"/>
        <v>#N/A</v>
      </c>
      <c r="AN119" s="37" t="e">
        <f t="shared" si="274"/>
        <v>#N/A</v>
      </c>
      <c r="AO119" s="83" t="e">
        <f>SUM(AI119:AN119)</f>
        <v>#N/A</v>
      </c>
      <c r="AR119" s="403"/>
      <c r="AS119" s="403"/>
      <c r="AT119" s="403"/>
      <c r="AU119" s="403" t="s">
        <v>1627</v>
      </c>
      <c r="AV119" s="403"/>
      <c r="AW119" s="403"/>
      <c r="AX119" s="403"/>
      <c r="AY119" s="403"/>
      <c r="AZ119" s="403"/>
      <c r="BA119" s="403"/>
      <c r="BB119" s="403"/>
      <c r="BC119" s="403"/>
      <c r="BD119" s="403"/>
      <c r="BE119" s="403"/>
      <c r="BF119" s="403"/>
      <c r="BG119" s="403"/>
      <c r="BH119" s="403"/>
      <c r="BI119" s="403"/>
      <c r="BJ119" s="403"/>
      <c r="BK119" s="403"/>
      <c r="BL119" s="403"/>
      <c r="BM119" s="403"/>
      <c r="BN119" s="403"/>
      <c r="BO119" s="403"/>
      <c r="BP119" s="403"/>
      <c r="BQ119" s="403"/>
      <c r="BR119" s="403"/>
      <c r="BS119" s="403"/>
      <c r="BT119" s="403"/>
      <c r="BU119" s="403"/>
      <c r="BV119" s="403"/>
      <c r="BW119" s="403"/>
      <c r="BX119" s="403"/>
      <c r="BY119" s="403"/>
      <c r="BZ119" s="403"/>
      <c r="CA119" s="403"/>
      <c r="CB119" s="403"/>
      <c r="CC119" s="403" t="s">
        <v>12026</v>
      </c>
      <c r="CD119" s="403"/>
      <c r="CE119" s="403"/>
      <c r="CF119" s="403"/>
      <c r="CG119" s="403"/>
      <c r="CH119" s="403"/>
      <c r="CI119" s="403"/>
      <c r="CJ119" s="403"/>
      <c r="CK119" s="403"/>
      <c r="CL119" s="403"/>
      <c r="CM119" s="403"/>
      <c r="CN119" s="403"/>
      <c r="CO119" s="403"/>
      <c r="CP119" s="403"/>
      <c r="CQ119" s="403"/>
      <c r="CR119" s="403"/>
      <c r="CS119" s="403"/>
      <c r="CT119" s="403"/>
      <c r="CU119" s="403"/>
      <c r="CV119" s="403"/>
      <c r="CW119" s="403"/>
      <c r="CX119" s="403"/>
      <c r="CY119" s="403"/>
      <c r="CZ119" s="403"/>
      <c r="DA119" s="403"/>
      <c r="DB119" s="403"/>
      <c r="DC119" s="403"/>
      <c r="DD119" s="403"/>
      <c r="DE119" s="403"/>
      <c r="DF119" s="403"/>
      <c r="DG119" s="403"/>
      <c r="DH119" s="403"/>
      <c r="DI119" s="403"/>
      <c r="DJ119" s="403"/>
      <c r="DK119" s="403" t="s">
        <v>12027</v>
      </c>
      <c r="DL119" s="403"/>
      <c r="DM119" s="403"/>
      <c r="DN119" s="403"/>
      <c r="DO119" s="403"/>
      <c r="DP119" s="403"/>
      <c r="DQ119" s="403"/>
      <c r="DR119" s="403"/>
      <c r="DS119" s="403"/>
      <c r="DT119" s="403"/>
      <c r="DU119" s="403"/>
      <c r="DV119" s="403"/>
      <c r="DW119" s="403"/>
      <c r="DX119" s="403"/>
      <c r="DY119" s="403"/>
      <c r="DZ119" s="403"/>
      <c r="EA119" s="403"/>
      <c r="EB119" s="403"/>
      <c r="EC119" s="403"/>
      <c r="ED119" s="403"/>
      <c r="EE119" s="403"/>
      <c r="EF119" s="403"/>
      <c r="EG119" s="403"/>
      <c r="EH119" s="403"/>
      <c r="EI119" s="403"/>
      <c r="EJ119" s="403"/>
      <c r="EK119" s="403"/>
      <c r="EL119" s="403"/>
      <c r="EM119" s="403"/>
      <c r="EN119" s="403"/>
      <c r="EO119" s="403"/>
      <c r="EP119" s="403"/>
      <c r="EQ119" s="403"/>
      <c r="ER119" s="403"/>
      <c r="ES119" s="403" t="s">
        <v>12028</v>
      </c>
      <c r="ET119" s="403"/>
      <c r="EU119" s="403"/>
      <c r="EV119" s="403"/>
      <c r="EW119" s="403"/>
      <c r="EX119" s="403"/>
      <c r="EY119" s="403"/>
      <c r="EZ119" s="403"/>
      <c r="FA119" s="403"/>
      <c r="FB119" s="403"/>
      <c r="FC119" s="403"/>
      <c r="FD119" s="403"/>
      <c r="FE119" s="403"/>
      <c r="FF119" s="403"/>
      <c r="FG119" s="403"/>
      <c r="FH119" s="403"/>
      <c r="FI119" s="403"/>
      <c r="FJ119" s="403"/>
      <c r="FK119" s="403"/>
      <c r="FL119" s="403"/>
      <c r="FM119" s="403"/>
      <c r="FN119" s="403"/>
      <c r="FO119" s="403"/>
      <c r="FP119" s="403"/>
      <c r="FQ119" s="403"/>
      <c r="FR119" s="403"/>
      <c r="FS119" s="403"/>
      <c r="FT119" s="403"/>
      <c r="FU119" s="403"/>
      <c r="FV119" s="403"/>
      <c r="FW119" s="403"/>
      <c r="FX119" s="403"/>
      <c r="FY119" s="403"/>
      <c r="FZ119" s="403"/>
      <c r="GA119" s="403" t="s">
        <v>12029</v>
      </c>
      <c r="GB119" s="403"/>
      <c r="GC119" s="403"/>
      <c r="GD119" s="403"/>
      <c r="GE119" s="403"/>
      <c r="GF119" s="403"/>
      <c r="GG119" s="403"/>
      <c r="GH119" s="403"/>
      <c r="GI119" s="403"/>
      <c r="GJ119" s="403"/>
      <c r="GK119" s="403"/>
      <c r="GL119" s="403"/>
      <c r="GM119" s="403"/>
      <c r="GN119" s="403"/>
      <c r="GO119" s="403"/>
      <c r="GP119" s="403"/>
      <c r="GQ119" s="403"/>
      <c r="GR119" s="403"/>
      <c r="GS119" s="403"/>
      <c r="GT119" s="403"/>
      <c r="GU119" s="403"/>
      <c r="GV119" s="403"/>
      <c r="GW119" s="403"/>
      <c r="GX119" s="403"/>
      <c r="GY119" s="403"/>
      <c r="GZ119" s="403"/>
      <c r="HA119" s="403"/>
      <c r="HB119" s="403"/>
      <c r="HC119" s="403"/>
      <c r="HD119" s="403"/>
      <c r="HE119" s="403"/>
      <c r="HF119" s="403"/>
      <c r="HG119" s="403"/>
      <c r="HH119" s="403"/>
      <c r="HI119" s="403" t="s">
        <v>12030</v>
      </c>
      <c r="HJ119" s="403"/>
      <c r="HK119" s="403"/>
      <c r="HL119" s="403"/>
      <c r="HM119" s="403"/>
      <c r="HN119" s="403"/>
      <c r="HO119" s="403"/>
      <c r="HP119" s="403"/>
      <c r="HQ119" s="403"/>
      <c r="HR119" s="403"/>
      <c r="HS119" s="403"/>
      <c r="HT119" s="403"/>
      <c r="HU119" s="403"/>
      <c r="HV119" s="403"/>
      <c r="HW119" s="403"/>
      <c r="HX119" s="403"/>
      <c r="HY119" s="403"/>
      <c r="HZ119" s="403"/>
      <c r="IA119" s="403"/>
      <c r="IB119" s="403"/>
      <c r="IC119" s="403"/>
      <c r="ID119" s="403"/>
      <c r="IE119" s="403"/>
      <c r="IF119" s="403"/>
      <c r="IG119" s="403"/>
      <c r="IH119" s="403"/>
      <c r="II119" s="403"/>
      <c r="IJ119" s="403"/>
      <c r="IK119" s="403"/>
      <c r="IL119" s="403"/>
      <c r="IM119" s="403"/>
      <c r="IN119" s="403"/>
      <c r="IO119" s="403"/>
      <c r="IP119" s="403"/>
      <c r="IQ119" s="403" t="s">
        <v>12031</v>
      </c>
      <c r="IR119" s="403"/>
      <c r="IS119" s="403"/>
      <c r="IT119" s="403"/>
      <c r="IU119" s="403"/>
      <c r="IV119" s="403"/>
      <c r="IW119" s="403"/>
      <c r="IX119" s="403"/>
      <c r="IY119" s="403"/>
      <c r="IZ119" s="403"/>
      <c r="JA119" s="403"/>
      <c r="JB119" s="403"/>
      <c r="JC119" s="403"/>
      <c r="JD119" s="403"/>
      <c r="JE119" s="403"/>
      <c r="JF119" s="403"/>
      <c r="JG119" s="403"/>
      <c r="JH119" s="403"/>
      <c r="JI119" s="403"/>
      <c r="JJ119" s="403"/>
      <c r="JK119" s="403"/>
      <c r="JL119" s="403"/>
      <c r="JM119" s="403"/>
      <c r="JN119" s="403"/>
      <c r="JO119" s="403"/>
      <c r="JP119" s="403"/>
      <c r="JQ119" s="403"/>
      <c r="JR119" s="403"/>
      <c r="JS119" s="403"/>
      <c r="JT119" s="403"/>
    </row>
    <row r="120" spans="1:280" s="15" customFormat="1" ht="12.75" x14ac:dyDescent="0.2">
      <c r="A120" s="9"/>
      <c r="B120" s="624"/>
      <c r="C120" s="23"/>
      <c r="E120" s="26"/>
      <c r="F120" s="26"/>
      <c r="G120" s="26"/>
      <c r="H120" s="26"/>
      <c r="I120" s="26"/>
      <c r="J120" s="37"/>
      <c r="K120" s="37"/>
      <c r="L120" s="37"/>
      <c r="M120" s="37"/>
      <c r="N120" s="37"/>
      <c r="O120" s="37"/>
      <c r="P120" s="26"/>
      <c r="Q120" s="26"/>
      <c r="R120" s="12" t="str">
        <f t="shared" ca="1" si="199"/>
        <v/>
      </c>
      <c r="S120" s="2"/>
      <c r="T120" s="241"/>
      <c r="U120" s="624"/>
      <c r="V120" s="72"/>
      <c r="AC120" s="26"/>
      <c r="AE120" s="2"/>
      <c r="AF120" s="241"/>
      <c r="AG120" s="624"/>
      <c r="AH120" s="72"/>
      <c r="AO120" s="26"/>
      <c r="AR120" s="403"/>
      <c r="AS120" s="403"/>
      <c r="AT120" s="403"/>
      <c r="AU120" s="403"/>
      <c r="AV120" s="403"/>
      <c r="AW120" s="403"/>
      <c r="AX120" s="403"/>
      <c r="AY120" s="403"/>
      <c r="AZ120" s="403"/>
      <c r="BA120" s="403"/>
      <c r="BB120" s="403"/>
      <c r="BC120" s="403"/>
      <c r="BD120" s="403"/>
      <c r="BE120" s="403"/>
      <c r="BF120" s="403"/>
      <c r="BG120" s="403"/>
      <c r="BH120" s="403"/>
      <c r="BI120" s="403"/>
      <c r="BJ120" s="403"/>
      <c r="BK120" s="403"/>
      <c r="BL120" s="403"/>
      <c r="BM120" s="403"/>
      <c r="BN120" s="403"/>
      <c r="BO120" s="403"/>
      <c r="BP120" s="403"/>
      <c r="BQ120" s="403"/>
      <c r="BR120" s="403"/>
      <c r="BS120" s="403"/>
      <c r="BT120" s="403"/>
      <c r="BU120" s="403"/>
      <c r="BV120" s="403"/>
      <c r="BW120" s="403"/>
      <c r="BX120" s="403"/>
      <c r="BY120" s="403"/>
      <c r="BZ120" s="403"/>
      <c r="CA120" s="403"/>
      <c r="CB120" s="403"/>
      <c r="CC120" s="403"/>
      <c r="CD120" s="403"/>
      <c r="CE120" s="403"/>
      <c r="CF120" s="403"/>
      <c r="CG120" s="403"/>
      <c r="CH120" s="403"/>
      <c r="CI120" s="403"/>
      <c r="CJ120" s="403"/>
      <c r="CK120" s="403"/>
      <c r="CL120" s="403"/>
      <c r="CM120" s="403"/>
      <c r="CN120" s="403"/>
      <c r="CO120" s="403"/>
      <c r="CP120" s="403"/>
      <c r="CQ120" s="403"/>
      <c r="CR120" s="403"/>
      <c r="CS120" s="403"/>
      <c r="CT120" s="403"/>
      <c r="CU120" s="403"/>
      <c r="CV120" s="403"/>
      <c r="CW120" s="403"/>
      <c r="CX120" s="403"/>
      <c r="CY120" s="403"/>
      <c r="CZ120" s="403"/>
      <c r="DA120" s="403"/>
      <c r="DB120" s="403"/>
      <c r="DC120" s="403"/>
      <c r="DD120" s="403"/>
      <c r="DE120" s="403"/>
      <c r="DF120" s="403"/>
      <c r="DG120" s="403"/>
      <c r="DH120" s="403"/>
      <c r="DI120" s="403"/>
      <c r="DJ120" s="403"/>
      <c r="DK120" s="403"/>
      <c r="DL120" s="403"/>
      <c r="DM120" s="403"/>
      <c r="DN120" s="403"/>
      <c r="DO120" s="403"/>
      <c r="DP120" s="403"/>
      <c r="DQ120" s="403"/>
      <c r="DR120" s="403"/>
      <c r="DS120" s="403"/>
      <c r="DT120" s="403"/>
      <c r="DU120" s="403"/>
      <c r="DV120" s="403"/>
      <c r="DW120" s="403"/>
      <c r="DX120" s="403"/>
      <c r="DY120" s="403"/>
      <c r="DZ120" s="403"/>
      <c r="EA120" s="403"/>
      <c r="EB120" s="403"/>
      <c r="EC120" s="403"/>
      <c r="ED120" s="403"/>
      <c r="EE120" s="403"/>
      <c r="EF120" s="403"/>
      <c r="EG120" s="403"/>
      <c r="EH120" s="403"/>
      <c r="EI120" s="403"/>
      <c r="EJ120" s="403"/>
      <c r="EK120" s="403"/>
      <c r="EL120" s="403"/>
      <c r="EM120" s="403"/>
      <c r="EN120" s="403"/>
      <c r="EO120" s="403"/>
      <c r="EP120" s="403"/>
      <c r="EQ120" s="403"/>
      <c r="ER120" s="403"/>
      <c r="ES120" s="403"/>
      <c r="ET120" s="403"/>
      <c r="EU120" s="403"/>
      <c r="EV120" s="403"/>
      <c r="EW120" s="403"/>
      <c r="EX120" s="403"/>
      <c r="EY120" s="403"/>
      <c r="EZ120" s="403"/>
      <c r="FA120" s="403"/>
      <c r="FB120" s="403"/>
      <c r="FC120" s="403"/>
      <c r="FD120" s="403"/>
      <c r="FE120" s="403"/>
      <c r="FF120" s="403"/>
      <c r="FG120" s="403"/>
      <c r="FH120" s="403"/>
      <c r="FI120" s="403"/>
      <c r="FJ120" s="403"/>
      <c r="FK120" s="403"/>
      <c r="FL120" s="403"/>
      <c r="FM120" s="403"/>
      <c r="FN120" s="403"/>
      <c r="FO120" s="403"/>
      <c r="FP120" s="403"/>
      <c r="FQ120" s="403"/>
      <c r="FR120" s="403"/>
      <c r="FS120" s="403"/>
      <c r="FT120" s="403"/>
      <c r="FU120" s="403"/>
      <c r="FV120" s="403"/>
      <c r="FW120" s="403"/>
      <c r="FX120" s="403"/>
      <c r="FY120" s="403"/>
      <c r="FZ120" s="403"/>
      <c r="GA120" s="403"/>
      <c r="GB120" s="403"/>
      <c r="GC120" s="403"/>
      <c r="GD120" s="403"/>
      <c r="GE120" s="403"/>
      <c r="GF120" s="403"/>
      <c r="GG120" s="403"/>
      <c r="GH120" s="403"/>
      <c r="GI120" s="403"/>
      <c r="GJ120" s="403"/>
      <c r="GK120" s="403"/>
      <c r="GL120" s="403"/>
      <c r="GM120" s="403"/>
      <c r="GN120" s="403"/>
      <c r="GO120" s="403"/>
      <c r="GP120" s="403"/>
      <c r="GQ120" s="403"/>
      <c r="GR120" s="403"/>
      <c r="GS120" s="403"/>
      <c r="GT120" s="403"/>
      <c r="GU120" s="403"/>
      <c r="GV120" s="403"/>
      <c r="GW120" s="403"/>
      <c r="GX120" s="403"/>
      <c r="GY120" s="403"/>
      <c r="GZ120" s="403"/>
      <c r="HA120" s="403"/>
      <c r="HB120" s="403"/>
      <c r="HC120" s="403"/>
      <c r="HD120" s="403"/>
      <c r="HE120" s="403"/>
      <c r="HF120" s="403"/>
      <c r="HG120" s="403"/>
      <c r="HH120" s="403"/>
      <c r="HI120" s="403"/>
      <c r="HJ120" s="403"/>
      <c r="HK120" s="403"/>
      <c r="HL120" s="403"/>
      <c r="HM120" s="403"/>
      <c r="HN120" s="403"/>
      <c r="HO120" s="403"/>
      <c r="HP120" s="403"/>
      <c r="HQ120" s="403"/>
      <c r="HR120" s="403"/>
      <c r="HS120" s="403"/>
      <c r="HT120" s="403"/>
      <c r="HU120" s="403"/>
      <c r="HV120" s="403"/>
      <c r="HW120" s="403"/>
      <c r="HX120" s="403"/>
      <c r="HY120" s="403"/>
      <c r="HZ120" s="403"/>
      <c r="IA120" s="403"/>
      <c r="IB120" s="403"/>
      <c r="IC120" s="403"/>
      <c r="ID120" s="403"/>
      <c r="IE120" s="403"/>
      <c r="IF120" s="403"/>
      <c r="IG120" s="403"/>
      <c r="IH120" s="403"/>
      <c r="II120" s="403"/>
      <c r="IJ120" s="403"/>
      <c r="IK120" s="403"/>
      <c r="IL120" s="403"/>
      <c r="IM120" s="403"/>
      <c r="IN120" s="403"/>
      <c r="IO120" s="403"/>
      <c r="IP120" s="403"/>
      <c r="IQ120" s="403"/>
      <c r="IR120" s="403"/>
      <c r="IS120" s="403"/>
      <c r="IT120" s="403"/>
      <c r="IU120" s="403"/>
      <c r="IV120" s="403"/>
      <c r="IW120" s="403"/>
      <c r="IX120" s="403"/>
      <c r="IY120" s="403"/>
      <c r="IZ120" s="403"/>
      <c r="JA120" s="403"/>
      <c r="JB120" s="403"/>
      <c r="JC120" s="403"/>
      <c r="JD120" s="403"/>
      <c r="JE120" s="403"/>
      <c r="JF120" s="403"/>
      <c r="JG120" s="403"/>
      <c r="JH120" s="403"/>
      <c r="JI120" s="403"/>
      <c r="JJ120" s="403"/>
      <c r="JK120" s="403"/>
      <c r="JL120" s="403"/>
      <c r="JM120" s="403"/>
      <c r="JN120" s="403"/>
      <c r="JO120" s="403"/>
      <c r="JP120" s="403"/>
      <c r="JQ120" s="403"/>
      <c r="JR120" s="403"/>
      <c r="JS120" s="403"/>
      <c r="JT120" s="403"/>
    </row>
    <row r="121" spans="1:280" s="15" customFormat="1" ht="12.75" x14ac:dyDescent="0.2">
      <c r="A121" s="9"/>
      <c r="B121" s="624" t="str">
        <f ca="1">IF(OFFSET(AT121,0,Lang_Order*Lang__B5)="","",OFFSET(AT121,0,Lang_Order*Lang__B5))</f>
        <v>Local Logistics</v>
      </c>
      <c r="C121" s="23"/>
      <c r="E121" s="26"/>
      <c r="F121" s="26"/>
      <c r="G121" s="26"/>
      <c r="H121" s="26"/>
      <c r="I121" s="26"/>
      <c r="J121" s="37"/>
      <c r="K121" s="37"/>
      <c r="L121" s="37"/>
      <c r="M121" s="37"/>
      <c r="N121" s="37"/>
      <c r="O121" s="37"/>
      <c r="P121" s="26"/>
      <c r="Q121" s="26"/>
      <c r="R121" s="12" t="str">
        <f t="shared" ca="1" si="199"/>
        <v/>
      </c>
      <c r="S121" s="2"/>
      <c r="T121" s="241"/>
      <c r="U121" s="624" t="str">
        <f ca="1">IF(OFFSET(AT121,0,Lang_Order*Lang__B5)="","",OFFSET(AT121,0,Lang_Order*Lang__B5))</f>
        <v>Local Logistics</v>
      </c>
      <c r="V121" s="72"/>
      <c r="AC121" s="26"/>
      <c r="AE121" s="2"/>
      <c r="AF121" s="241"/>
      <c r="AG121" s="624" t="str">
        <f ca="1">IF(OFFSET(AT121,0,Lang_Order*Lang__B5)="","",OFFSET(AT121,0,Lang_Order*Lang__B5))</f>
        <v>Local Logistics</v>
      </c>
      <c r="AH121" s="72"/>
      <c r="AO121" s="26"/>
      <c r="AR121" s="403"/>
      <c r="AS121" s="403"/>
      <c r="AT121" s="403" t="s">
        <v>3690</v>
      </c>
      <c r="AU121" s="403"/>
      <c r="AV121" s="403"/>
      <c r="AW121" s="403"/>
      <c r="AX121" s="403"/>
      <c r="AY121" s="403"/>
      <c r="AZ121" s="403"/>
      <c r="BA121" s="403"/>
      <c r="BB121" s="403"/>
      <c r="BC121" s="403"/>
      <c r="BD121" s="403"/>
      <c r="BE121" s="403"/>
      <c r="BF121" s="403"/>
      <c r="BG121" s="403"/>
      <c r="BH121" s="403"/>
      <c r="BI121" s="403"/>
      <c r="BJ121" s="403"/>
      <c r="BK121" s="403"/>
      <c r="BL121" s="403"/>
      <c r="BM121" s="403"/>
      <c r="BN121" s="403"/>
      <c r="BO121" s="403"/>
      <c r="BP121" s="403"/>
      <c r="BQ121" s="403"/>
      <c r="BR121" s="403"/>
      <c r="BS121" s="403"/>
      <c r="BT121" s="403"/>
      <c r="BU121" s="403"/>
      <c r="BV121" s="403"/>
      <c r="BW121" s="403"/>
      <c r="BX121" s="403"/>
      <c r="BY121" s="403"/>
      <c r="BZ121" s="403"/>
      <c r="CA121" s="403"/>
      <c r="CB121" s="403" t="s">
        <v>12032</v>
      </c>
      <c r="CC121" s="403"/>
      <c r="CD121" s="403"/>
      <c r="CE121" s="403"/>
      <c r="CF121" s="403"/>
      <c r="CG121" s="403"/>
      <c r="CH121" s="403"/>
      <c r="CI121" s="403"/>
      <c r="CJ121" s="403"/>
      <c r="CK121" s="403"/>
      <c r="CL121" s="403"/>
      <c r="CM121" s="403"/>
      <c r="CN121" s="403"/>
      <c r="CO121" s="403"/>
      <c r="CP121" s="403"/>
      <c r="CQ121" s="403"/>
      <c r="CR121" s="403"/>
      <c r="CS121" s="403"/>
      <c r="CT121" s="403"/>
      <c r="CU121" s="403"/>
      <c r="CV121" s="403"/>
      <c r="CW121" s="403"/>
      <c r="CX121" s="403"/>
      <c r="CY121" s="403"/>
      <c r="CZ121" s="403"/>
      <c r="DA121" s="403"/>
      <c r="DB121" s="403"/>
      <c r="DC121" s="403"/>
      <c r="DD121" s="403"/>
      <c r="DE121" s="403"/>
      <c r="DF121" s="403"/>
      <c r="DG121" s="403"/>
      <c r="DH121" s="403"/>
      <c r="DI121" s="403"/>
      <c r="DJ121" s="403" t="s">
        <v>12033</v>
      </c>
      <c r="DK121" s="403"/>
      <c r="DL121" s="403"/>
      <c r="DM121" s="403"/>
      <c r="DN121" s="403"/>
      <c r="DO121" s="403"/>
      <c r="DP121" s="403"/>
      <c r="DQ121" s="403"/>
      <c r="DR121" s="403"/>
      <c r="DS121" s="403"/>
      <c r="DT121" s="403"/>
      <c r="DU121" s="403"/>
      <c r="DV121" s="403"/>
      <c r="DW121" s="403"/>
      <c r="DX121" s="403"/>
      <c r="DY121" s="403"/>
      <c r="DZ121" s="403"/>
      <c r="EA121" s="403"/>
      <c r="EB121" s="403"/>
      <c r="EC121" s="403"/>
      <c r="ED121" s="403"/>
      <c r="EE121" s="403"/>
      <c r="EF121" s="403"/>
      <c r="EG121" s="403"/>
      <c r="EH121" s="403"/>
      <c r="EI121" s="403"/>
      <c r="EJ121" s="403"/>
      <c r="EK121" s="403"/>
      <c r="EL121" s="403"/>
      <c r="EM121" s="403"/>
      <c r="EN121" s="403"/>
      <c r="EO121" s="403"/>
      <c r="EP121" s="403"/>
      <c r="EQ121" s="403"/>
      <c r="ER121" s="403" t="s">
        <v>12034</v>
      </c>
      <c r="ES121" s="403"/>
      <c r="ET121" s="403"/>
      <c r="EU121" s="403"/>
      <c r="EV121" s="403"/>
      <c r="EW121" s="403"/>
      <c r="EX121" s="403"/>
      <c r="EY121" s="403"/>
      <c r="EZ121" s="403"/>
      <c r="FA121" s="403"/>
      <c r="FB121" s="403"/>
      <c r="FC121" s="403"/>
      <c r="FD121" s="403"/>
      <c r="FE121" s="403"/>
      <c r="FF121" s="403"/>
      <c r="FG121" s="403"/>
      <c r="FH121" s="403"/>
      <c r="FI121" s="403"/>
      <c r="FJ121" s="403"/>
      <c r="FK121" s="403"/>
      <c r="FL121" s="403"/>
      <c r="FM121" s="403"/>
      <c r="FN121" s="403"/>
      <c r="FO121" s="403"/>
      <c r="FP121" s="403"/>
      <c r="FQ121" s="403"/>
      <c r="FR121" s="403"/>
      <c r="FS121" s="403"/>
      <c r="FT121" s="403"/>
      <c r="FU121" s="403"/>
      <c r="FV121" s="403"/>
      <c r="FW121" s="403"/>
      <c r="FX121" s="403"/>
      <c r="FY121" s="403"/>
      <c r="FZ121" s="403" t="s">
        <v>12034</v>
      </c>
      <c r="GA121" s="403"/>
      <c r="GB121" s="403"/>
      <c r="GC121" s="403"/>
      <c r="GD121" s="403"/>
      <c r="GE121" s="403"/>
      <c r="GF121" s="403"/>
      <c r="GG121" s="403"/>
      <c r="GH121" s="403"/>
      <c r="GI121" s="403"/>
      <c r="GJ121" s="403"/>
      <c r="GK121" s="403"/>
      <c r="GL121" s="403"/>
      <c r="GM121" s="403"/>
      <c r="GN121" s="403"/>
      <c r="GO121" s="403"/>
      <c r="GP121" s="403"/>
      <c r="GQ121" s="403"/>
      <c r="GR121" s="403"/>
      <c r="GS121" s="403"/>
      <c r="GT121" s="403"/>
      <c r="GU121" s="403"/>
      <c r="GV121" s="403"/>
      <c r="GW121" s="403"/>
      <c r="GX121" s="403"/>
      <c r="GY121" s="403"/>
      <c r="GZ121" s="403"/>
      <c r="HA121" s="403"/>
      <c r="HB121" s="403"/>
      <c r="HC121" s="403"/>
      <c r="HD121" s="403"/>
      <c r="HE121" s="403"/>
      <c r="HF121" s="403"/>
      <c r="HG121" s="403"/>
      <c r="HH121" s="403" t="s">
        <v>12035</v>
      </c>
      <c r="HI121" s="403"/>
      <c r="HJ121" s="403"/>
      <c r="HK121" s="403"/>
      <c r="HL121" s="403"/>
      <c r="HM121" s="403"/>
      <c r="HN121" s="403"/>
      <c r="HO121" s="403"/>
      <c r="HP121" s="403"/>
      <c r="HQ121" s="403"/>
      <c r="HR121" s="403"/>
      <c r="HS121" s="403"/>
      <c r="HT121" s="403"/>
      <c r="HU121" s="403"/>
      <c r="HV121" s="403"/>
      <c r="HW121" s="403"/>
      <c r="HX121" s="403"/>
      <c r="HY121" s="403"/>
      <c r="HZ121" s="403"/>
      <c r="IA121" s="403"/>
      <c r="IB121" s="403"/>
      <c r="IC121" s="403"/>
      <c r="ID121" s="403"/>
      <c r="IE121" s="403"/>
      <c r="IF121" s="403"/>
      <c r="IG121" s="403"/>
      <c r="IH121" s="403"/>
      <c r="II121" s="403"/>
      <c r="IJ121" s="403"/>
      <c r="IK121" s="403"/>
      <c r="IL121" s="403"/>
      <c r="IM121" s="403"/>
      <c r="IN121" s="403"/>
      <c r="IO121" s="403"/>
      <c r="IP121" s="403" t="s">
        <v>12036</v>
      </c>
      <c r="IQ121" s="403"/>
      <c r="IR121" s="403"/>
      <c r="IS121" s="403"/>
      <c r="IT121" s="403"/>
      <c r="IU121" s="403"/>
      <c r="IV121" s="403"/>
      <c r="IW121" s="403"/>
      <c r="IX121" s="403"/>
      <c r="IY121" s="403"/>
      <c r="IZ121" s="403"/>
      <c r="JA121" s="403"/>
      <c r="JB121" s="403"/>
      <c r="JC121" s="403"/>
      <c r="JD121" s="403"/>
      <c r="JE121" s="403"/>
      <c r="JF121" s="403"/>
      <c r="JG121" s="403"/>
      <c r="JH121" s="403"/>
      <c r="JI121" s="403"/>
      <c r="JJ121" s="403"/>
      <c r="JK121" s="403"/>
      <c r="JL121" s="403"/>
      <c r="JM121" s="403"/>
      <c r="JN121" s="403"/>
      <c r="JO121" s="403"/>
      <c r="JP121" s="403"/>
      <c r="JQ121" s="403"/>
      <c r="JR121" s="403"/>
      <c r="JS121" s="403"/>
      <c r="JT121" s="403"/>
    </row>
    <row r="122" spans="1:280" s="15" customFormat="1" ht="12.75" x14ac:dyDescent="0.2">
      <c r="A122" s="9"/>
      <c r="B122" s="624"/>
      <c r="C122" s="66" t="str">
        <f ca="1">IF(OFFSET(AU122,0,Lang_Order*Lang__B5)="","",OFFSET(AU122,0,Lang_Order*Lang__B5))</f>
        <v>Mobile Team Type A (Solo) Per Team Per Day</v>
      </c>
      <c r="E122" s="26"/>
      <c r="F122" s="26"/>
      <c r="G122" s="26"/>
      <c r="H122" s="26"/>
      <c r="I122" s="26"/>
      <c r="J122" s="96" t="s">
        <v>1687</v>
      </c>
      <c r="K122" s="96" t="s">
        <v>1687</v>
      </c>
      <c r="L122" s="96" t="s">
        <v>1687</v>
      </c>
      <c r="M122" s="96" t="s">
        <v>1687</v>
      </c>
      <c r="N122" s="96" t="s">
        <v>1687</v>
      </c>
      <c r="O122" s="96" t="s">
        <v>1687</v>
      </c>
      <c r="P122" s="83">
        <f>SUM(J122:O122)</f>
        <v>0</v>
      </c>
      <c r="Q122" s="83"/>
      <c r="R122" s="12" t="str">
        <f t="shared" ca="1" si="199"/>
        <v>Zero (this is a fixed site)</v>
      </c>
      <c r="S122" s="2"/>
      <c r="T122" s="241"/>
      <c r="U122" s="624"/>
      <c r="V122" s="260" t="str">
        <f ca="1">IF(OFFSET(AU122,0,Lang_Order*Lang__B5)="","",OFFSET(AU122,0,Lang_Order*Lang__B5))</f>
        <v>Mobile Team Type A (Solo) Per Team Per Day</v>
      </c>
      <c r="W122" s="96" t="s">
        <v>1687</v>
      </c>
      <c r="X122" s="96" t="s">
        <v>1687</v>
      </c>
      <c r="Y122" s="96" t="s">
        <v>1687</v>
      </c>
      <c r="Z122" s="96" t="s">
        <v>1687</v>
      </c>
      <c r="AA122" s="96" t="s">
        <v>1687</v>
      </c>
      <c r="AB122" s="96" t="s">
        <v>1687</v>
      </c>
      <c r="AC122" s="83">
        <f>SUM(W122:AB122)</f>
        <v>0</v>
      </c>
      <c r="AE122" s="2"/>
      <c r="AF122" s="241"/>
      <c r="AG122" s="624"/>
      <c r="AH122" s="72" t="str">
        <f ca="1">IF(OFFSET(AU122,0,Lang_Order*Lang__B5)="","",OFFSET(AU122,0,Lang_Order*Lang__B5))</f>
        <v>Mobile Team Type A (Solo) Per Team Per Day</v>
      </c>
      <c r="AI122" s="96" t="s">
        <v>1687</v>
      </c>
      <c r="AJ122" s="96" t="s">
        <v>1687</v>
      </c>
      <c r="AK122" s="96" t="s">
        <v>1687</v>
      </c>
      <c r="AL122" s="96" t="s">
        <v>1687</v>
      </c>
      <c r="AM122" s="96" t="s">
        <v>1687</v>
      </c>
      <c r="AN122" s="96" t="s">
        <v>1687</v>
      </c>
      <c r="AO122" s="83">
        <f>SUM(AI122:AN122)</f>
        <v>0</v>
      </c>
      <c r="AR122" s="403"/>
      <c r="AS122" s="403"/>
      <c r="AT122" s="403"/>
      <c r="AU122" s="403" t="s">
        <v>1670</v>
      </c>
      <c r="AV122" s="403"/>
      <c r="AW122" s="403"/>
      <c r="AX122" s="403"/>
      <c r="AY122" s="403"/>
      <c r="AZ122" s="403"/>
      <c r="BA122" s="403"/>
      <c r="BB122" s="403"/>
      <c r="BC122" s="403"/>
      <c r="BD122" s="403"/>
      <c r="BE122" s="403"/>
      <c r="BF122" s="403"/>
      <c r="BG122" s="403"/>
      <c r="BH122" s="403"/>
      <c r="BI122" s="403"/>
      <c r="BJ122" s="403" t="s">
        <v>1581</v>
      </c>
      <c r="BK122" s="403"/>
      <c r="BL122" s="403"/>
      <c r="BM122" s="403"/>
      <c r="BN122" s="403"/>
      <c r="BO122" s="403"/>
      <c r="BP122" s="403"/>
      <c r="BQ122" s="403"/>
      <c r="BR122" s="403"/>
      <c r="BS122" s="403"/>
      <c r="BT122" s="403"/>
      <c r="BU122" s="403"/>
      <c r="BV122" s="403"/>
      <c r="BW122" s="403"/>
      <c r="BX122" s="403"/>
      <c r="BY122" s="403"/>
      <c r="BZ122" s="403"/>
      <c r="CA122" s="403"/>
      <c r="CB122" s="403"/>
      <c r="CC122" s="403" t="s">
        <v>12037</v>
      </c>
      <c r="CD122" s="403"/>
      <c r="CE122" s="403"/>
      <c r="CF122" s="403"/>
      <c r="CG122" s="403"/>
      <c r="CH122" s="403"/>
      <c r="CI122" s="403"/>
      <c r="CJ122" s="403"/>
      <c r="CK122" s="403"/>
      <c r="CL122" s="403"/>
      <c r="CM122" s="403"/>
      <c r="CN122" s="403"/>
      <c r="CO122" s="403"/>
      <c r="CP122" s="403"/>
      <c r="CQ122" s="403"/>
      <c r="CR122" s="403" t="s">
        <v>12038</v>
      </c>
      <c r="CS122" s="403"/>
      <c r="CT122" s="403"/>
      <c r="CU122" s="403"/>
      <c r="CV122" s="403"/>
      <c r="CW122" s="403"/>
      <c r="CX122" s="403"/>
      <c r="CY122" s="403"/>
      <c r="CZ122" s="403"/>
      <c r="DA122" s="403"/>
      <c r="DB122" s="403"/>
      <c r="DC122" s="403"/>
      <c r="DD122" s="403"/>
      <c r="DE122" s="403"/>
      <c r="DF122" s="403"/>
      <c r="DG122" s="403"/>
      <c r="DH122" s="403"/>
      <c r="DI122" s="403"/>
      <c r="DJ122" s="403"/>
      <c r="DK122" s="403" t="s">
        <v>12039</v>
      </c>
      <c r="DL122" s="403"/>
      <c r="DM122" s="403"/>
      <c r="DN122" s="403"/>
      <c r="DO122" s="403"/>
      <c r="DP122" s="403"/>
      <c r="DQ122" s="403"/>
      <c r="DR122" s="403"/>
      <c r="DS122" s="403"/>
      <c r="DT122" s="403"/>
      <c r="DU122" s="403"/>
      <c r="DV122" s="403"/>
      <c r="DW122" s="403"/>
      <c r="DX122" s="403"/>
      <c r="DY122" s="403"/>
      <c r="DZ122" s="403" t="s">
        <v>12040</v>
      </c>
      <c r="EA122" s="403"/>
      <c r="EB122" s="403"/>
      <c r="EC122" s="403"/>
      <c r="ED122" s="403"/>
      <c r="EE122" s="403"/>
      <c r="EF122" s="403"/>
      <c r="EG122" s="403"/>
      <c r="EH122" s="403"/>
      <c r="EI122" s="403"/>
      <c r="EJ122" s="403"/>
      <c r="EK122" s="403"/>
      <c r="EL122" s="403"/>
      <c r="EM122" s="403"/>
      <c r="EN122" s="403"/>
      <c r="EO122" s="403"/>
      <c r="EP122" s="403"/>
      <c r="EQ122" s="403"/>
      <c r="ER122" s="403"/>
      <c r="ES122" s="403" t="s">
        <v>12041</v>
      </c>
      <c r="ET122" s="403"/>
      <c r="EU122" s="403"/>
      <c r="EV122" s="403"/>
      <c r="EW122" s="403"/>
      <c r="EX122" s="403"/>
      <c r="EY122" s="403"/>
      <c r="EZ122" s="403"/>
      <c r="FA122" s="403"/>
      <c r="FB122" s="403"/>
      <c r="FC122" s="403"/>
      <c r="FD122" s="403"/>
      <c r="FE122" s="403"/>
      <c r="FF122" s="403"/>
      <c r="FG122" s="403"/>
      <c r="FH122" s="403" t="s">
        <v>12042</v>
      </c>
      <c r="FI122" s="403"/>
      <c r="FJ122" s="403"/>
      <c r="FK122" s="403"/>
      <c r="FL122" s="403"/>
      <c r="FM122" s="403"/>
      <c r="FN122" s="403"/>
      <c r="FO122" s="403"/>
      <c r="FP122" s="403"/>
      <c r="FQ122" s="403"/>
      <c r="FR122" s="403"/>
      <c r="FS122" s="403"/>
      <c r="FT122" s="403"/>
      <c r="FU122" s="403"/>
      <c r="FV122" s="403"/>
      <c r="FW122" s="403"/>
      <c r="FX122" s="403"/>
      <c r="FY122" s="403"/>
      <c r="FZ122" s="403"/>
      <c r="GA122" s="403" t="s">
        <v>12043</v>
      </c>
      <c r="GB122" s="403"/>
      <c r="GC122" s="403"/>
      <c r="GD122" s="403"/>
      <c r="GE122" s="403"/>
      <c r="GF122" s="403"/>
      <c r="GG122" s="403"/>
      <c r="GH122" s="403"/>
      <c r="GI122" s="403"/>
      <c r="GJ122" s="403"/>
      <c r="GK122" s="403"/>
      <c r="GL122" s="403"/>
      <c r="GM122" s="403"/>
      <c r="GN122" s="403"/>
      <c r="GO122" s="403"/>
      <c r="GP122" s="403" t="s">
        <v>12044</v>
      </c>
      <c r="GQ122" s="403"/>
      <c r="GR122" s="403"/>
      <c r="GS122" s="403"/>
      <c r="GT122" s="403"/>
      <c r="GU122" s="403"/>
      <c r="GV122" s="403"/>
      <c r="GW122" s="403"/>
      <c r="GX122" s="403"/>
      <c r="GY122" s="403"/>
      <c r="GZ122" s="403"/>
      <c r="HA122" s="403"/>
      <c r="HB122" s="403"/>
      <c r="HC122" s="403"/>
      <c r="HD122" s="403"/>
      <c r="HE122" s="403"/>
      <c r="HF122" s="403"/>
      <c r="HG122" s="403"/>
      <c r="HH122" s="403"/>
      <c r="HI122" s="403" t="s">
        <v>12045</v>
      </c>
      <c r="HJ122" s="403"/>
      <c r="HK122" s="403"/>
      <c r="HL122" s="403"/>
      <c r="HM122" s="403"/>
      <c r="HN122" s="403"/>
      <c r="HO122" s="403"/>
      <c r="HP122" s="403"/>
      <c r="HQ122" s="403"/>
      <c r="HR122" s="403"/>
      <c r="HS122" s="403"/>
      <c r="HT122" s="403"/>
      <c r="HU122" s="403"/>
      <c r="HV122" s="403"/>
      <c r="HW122" s="403"/>
      <c r="HX122" s="403" t="s">
        <v>12046</v>
      </c>
      <c r="HY122" s="403"/>
      <c r="HZ122" s="403"/>
      <c r="IA122" s="403"/>
      <c r="IB122" s="403"/>
      <c r="IC122" s="403"/>
      <c r="ID122" s="403"/>
      <c r="IE122" s="403"/>
      <c r="IF122" s="403"/>
      <c r="IG122" s="403"/>
      <c r="IH122" s="403"/>
      <c r="II122" s="403"/>
      <c r="IJ122" s="403"/>
      <c r="IK122" s="403"/>
      <c r="IL122" s="403"/>
      <c r="IM122" s="403"/>
      <c r="IN122" s="403"/>
      <c r="IO122" s="403"/>
      <c r="IP122" s="403"/>
      <c r="IQ122" s="403" t="s">
        <v>12047</v>
      </c>
      <c r="IR122" s="403"/>
      <c r="IS122" s="403"/>
      <c r="IT122" s="403"/>
      <c r="IU122" s="403"/>
      <c r="IV122" s="403"/>
      <c r="IW122" s="403"/>
      <c r="IX122" s="403"/>
      <c r="IY122" s="403"/>
      <c r="IZ122" s="403"/>
      <c r="JA122" s="403"/>
      <c r="JB122" s="403"/>
      <c r="JC122" s="403"/>
      <c r="JD122" s="403"/>
      <c r="JE122" s="403"/>
      <c r="JF122" s="403" t="s">
        <v>12048</v>
      </c>
      <c r="JG122" s="403"/>
      <c r="JH122" s="403"/>
      <c r="JI122" s="403"/>
      <c r="JJ122" s="403"/>
      <c r="JK122" s="403"/>
      <c r="JL122" s="403"/>
      <c r="JM122" s="403"/>
      <c r="JN122" s="403"/>
      <c r="JO122" s="403"/>
      <c r="JP122" s="403"/>
      <c r="JQ122" s="403"/>
      <c r="JR122" s="403"/>
      <c r="JS122" s="403"/>
      <c r="JT122" s="403"/>
    </row>
    <row r="123" spans="1:280" s="15" customFormat="1" ht="12.75" x14ac:dyDescent="0.2">
      <c r="A123" s="9"/>
      <c r="B123" s="624"/>
      <c r="C123" s="66" t="str">
        <f ca="1">IF(OFFSET(AU123,0,Lang_Order*Lang__B5)="","",OFFSET(AU123,0,Lang_Order*Lang__B5))</f>
        <v>Mobile Team Type B (Group) Per Team Per Day</v>
      </c>
      <c r="E123" s="26"/>
      <c r="F123" s="26"/>
      <c r="G123" s="26"/>
      <c r="H123" s="26"/>
      <c r="I123" s="26"/>
      <c r="J123" s="96" t="s">
        <v>1687</v>
      </c>
      <c r="K123" s="96" t="s">
        <v>1687</v>
      </c>
      <c r="L123" s="96" t="s">
        <v>1687</v>
      </c>
      <c r="M123" s="96" t="s">
        <v>1687</v>
      </c>
      <c r="N123" s="96" t="s">
        <v>1687</v>
      </c>
      <c r="O123" s="96" t="s">
        <v>1687</v>
      </c>
      <c r="P123" s="83">
        <f>SUM(J123:O123)</f>
        <v>0</v>
      </c>
      <c r="Q123" s="83"/>
      <c r="R123" s="12" t="str">
        <f t="shared" ca="1" si="199"/>
        <v>Zero (this is a fixed site)</v>
      </c>
      <c r="S123" s="2"/>
      <c r="T123" s="241"/>
      <c r="U123" s="624"/>
      <c r="V123" s="260" t="str">
        <f ca="1">IF(OFFSET(AU123,0,Lang_Order*Lang__B5)="","",OFFSET(AU123,0,Lang_Order*Lang__B5))</f>
        <v>Mobile Team Type B (Group) Per Team Per Day</v>
      </c>
      <c r="W123" s="96" t="s">
        <v>1687</v>
      </c>
      <c r="X123" s="96" t="s">
        <v>1687</v>
      </c>
      <c r="Y123" s="96" t="s">
        <v>1687</v>
      </c>
      <c r="Z123" s="96" t="s">
        <v>1687</v>
      </c>
      <c r="AA123" s="96" t="s">
        <v>1687</v>
      </c>
      <c r="AB123" s="96" t="s">
        <v>1687</v>
      </c>
      <c r="AC123" s="83">
        <f>SUM(W123:AB123)</f>
        <v>0</v>
      </c>
      <c r="AE123" s="2"/>
      <c r="AF123" s="241"/>
      <c r="AG123" s="624"/>
      <c r="AH123" s="72" t="str">
        <f ca="1">IF(OFFSET(AU123,0,Lang_Order*Lang__B5)="","",OFFSET(AU123,0,Lang_Order*Lang__B5))</f>
        <v>Mobile Team Type B (Group) Per Team Per Day</v>
      </c>
      <c r="AI123" s="96" t="s">
        <v>1687</v>
      </c>
      <c r="AJ123" s="96" t="s">
        <v>1687</v>
      </c>
      <c r="AK123" s="96" t="s">
        <v>1687</v>
      </c>
      <c r="AL123" s="96" t="s">
        <v>1687</v>
      </c>
      <c r="AM123" s="96" t="s">
        <v>1687</v>
      </c>
      <c r="AN123" s="96" t="s">
        <v>1687</v>
      </c>
      <c r="AO123" s="83">
        <f>SUM(AI123:AN123)</f>
        <v>0</v>
      </c>
      <c r="AR123" s="403"/>
      <c r="AS123" s="403"/>
      <c r="AT123" s="403"/>
      <c r="AU123" s="403" t="s">
        <v>1671</v>
      </c>
      <c r="AV123" s="403"/>
      <c r="AW123" s="403"/>
      <c r="AX123" s="403"/>
      <c r="AY123" s="403"/>
      <c r="AZ123" s="403"/>
      <c r="BA123" s="403"/>
      <c r="BB123" s="403"/>
      <c r="BC123" s="403"/>
      <c r="BD123" s="403"/>
      <c r="BE123" s="403"/>
      <c r="BF123" s="403"/>
      <c r="BG123" s="403"/>
      <c r="BH123" s="403"/>
      <c r="BI123" s="403"/>
      <c r="BJ123" s="403" t="s">
        <v>1581</v>
      </c>
      <c r="BK123" s="403"/>
      <c r="BL123" s="403"/>
      <c r="BM123" s="403"/>
      <c r="BN123" s="403"/>
      <c r="BO123" s="403"/>
      <c r="BP123" s="403"/>
      <c r="BQ123" s="403"/>
      <c r="BR123" s="403"/>
      <c r="BS123" s="403"/>
      <c r="BT123" s="403"/>
      <c r="BU123" s="403"/>
      <c r="BV123" s="403"/>
      <c r="BW123" s="403"/>
      <c r="BX123" s="403"/>
      <c r="BY123" s="403"/>
      <c r="BZ123" s="403"/>
      <c r="CA123" s="403"/>
      <c r="CB123" s="403"/>
      <c r="CC123" s="403" t="s">
        <v>12049</v>
      </c>
      <c r="CD123" s="403"/>
      <c r="CE123" s="403"/>
      <c r="CF123" s="403"/>
      <c r="CG123" s="403"/>
      <c r="CH123" s="403"/>
      <c r="CI123" s="403"/>
      <c r="CJ123" s="403"/>
      <c r="CK123" s="403"/>
      <c r="CL123" s="403"/>
      <c r="CM123" s="403"/>
      <c r="CN123" s="403"/>
      <c r="CO123" s="403"/>
      <c r="CP123" s="403"/>
      <c r="CQ123" s="403"/>
      <c r="CR123" s="403" t="s">
        <v>12038</v>
      </c>
      <c r="CS123" s="403"/>
      <c r="CT123" s="403"/>
      <c r="CU123" s="403"/>
      <c r="CV123" s="403"/>
      <c r="CW123" s="403"/>
      <c r="CX123" s="403"/>
      <c r="CY123" s="403"/>
      <c r="CZ123" s="403"/>
      <c r="DA123" s="403"/>
      <c r="DB123" s="403"/>
      <c r="DC123" s="403"/>
      <c r="DD123" s="403"/>
      <c r="DE123" s="403"/>
      <c r="DF123" s="403"/>
      <c r="DG123" s="403"/>
      <c r="DH123" s="403"/>
      <c r="DI123" s="403"/>
      <c r="DJ123" s="403"/>
      <c r="DK123" s="403" t="s">
        <v>12050</v>
      </c>
      <c r="DL123" s="403"/>
      <c r="DM123" s="403"/>
      <c r="DN123" s="403"/>
      <c r="DO123" s="403"/>
      <c r="DP123" s="403"/>
      <c r="DQ123" s="403"/>
      <c r="DR123" s="403"/>
      <c r="DS123" s="403"/>
      <c r="DT123" s="403"/>
      <c r="DU123" s="403"/>
      <c r="DV123" s="403"/>
      <c r="DW123" s="403"/>
      <c r="DX123" s="403"/>
      <c r="DY123" s="403"/>
      <c r="DZ123" s="403" t="s">
        <v>12040</v>
      </c>
      <c r="EA123" s="403"/>
      <c r="EB123" s="403"/>
      <c r="EC123" s="403"/>
      <c r="ED123" s="403"/>
      <c r="EE123" s="403"/>
      <c r="EF123" s="403"/>
      <c r="EG123" s="403"/>
      <c r="EH123" s="403"/>
      <c r="EI123" s="403"/>
      <c r="EJ123" s="403"/>
      <c r="EK123" s="403"/>
      <c r="EL123" s="403"/>
      <c r="EM123" s="403"/>
      <c r="EN123" s="403"/>
      <c r="EO123" s="403"/>
      <c r="EP123" s="403"/>
      <c r="EQ123" s="403"/>
      <c r="ER123" s="403"/>
      <c r="ES123" s="403" t="s">
        <v>12051</v>
      </c>
      <c r="ET123" s="403"/>
      <c r="EU123" s="403"/>
      <c r="EV123" s="403"/>
      <c r="EW123" s="403"/>
      <c r="EX123" s="403"/>
      <c r="EY123" s="403"/>
      <c r="EZ123" s="403"/>
      <c r="FA123" s="403"/>
      <c r="FB123" s="403"/>
      <c r="FC123" s="403"/>
      <c r="FD123" s="403"/>
      <c r="FE123" s="403"/>
      <c r="FF123" s="403"/>
      <c r="FG123" s="403"/>
      <c r="FH123" s="403" t="s">
        <v>12042</v>
      </c>
      <c r="FI123" s="403"/>
      <c r="FJ123" s="403"/>
      <c r="FK123" s="403"/>
      <c r="FL123" s="403"/>
      <c r="FM123" s="403"/>
      <c r="FN123" s="403"/>
      <c r="FO123" s="403"/>
      <c r="FP123" s="403"/>
      <c r="FQ123" s="403"/>
      <c r="FR123" s="403"/>
      <c r="FS123" s="403"/>
      <c r="FT123" s="403"/>
      <c r="FU123" s="403"/>
      <c r="FV123" s="403"/>
      <c r="FW123" s="403"/>
      <c r="FX123" s="403"/>
      <c r="FY123" s="403"/>
      <c r="FZ123" s="403"/>
      <c r="GA123" s="403" t="s">
        <v>12052</v>
      </c>
      <c r="GB123" s="403"/>
      <c r="GC123" s="403"/>
      <c r="GD123" s="403"/>
      <c r="GE123" s="403"/>
      <c r="GF123" s="403"/>
      <c r="GG123" s="403"/>
      <c r="GH123" s="403"/>
      <c r="GI123" s="403"/>
      <c r="GJ123" s="403"/>
      <c r="GK123" s="403"/>
      <c r="GL123" s="403"/>
      <c r="GM123" s="403"/>
      <c r="GN123" s="403"/>
      <c r="GO123" s="403"/>
      <c r="GP123" s="403" t="s">
        <v>12044</v>
      </c>
      <c r="GQ123" s="403"/>
      <c r="GR123" s="403"/>
      <c r="GS123" s="403"/>
      <c r="GT123" s="403"/>
      <c r="GU123" s="403"/>
      <c r="GV123" s="403"/>
      <c r="GW123" s="403"/>
      <c r="GX123" s="403"/>
      <c r="GY123" s="403"/>
      <c r="GZ123" s="403"/>
      <c r="HA123" s="403"/>
      <c r="HB123" s="403"/>
      <c r="HC123" s="403"/>
      <c r="HD123" s="403"/>
      <c r="HE123" s="403"/>
      <c r="HF123" s="403"/>
      <c r="HG123" s="403"/>
      <c r="HH123" s="403"/>
      <c r="HI123" s="403" t="s">
        <v>12053</v>
      </c>
      <c r="HJ123" s="403"/>
      <c r="HK123" s="403"/>
      <c r="HL123" s="403"/>
      <c r="HM123" s="403"/>
      <c r="HN123" s="403"/>
      <c r="HO123" s="403"/>
      <c r="HP123" s="403"/>
      <c r="HQ123" s="403"/>
      <c r="HR123" s="403"/>
      <c r="HS123" s="403"/>
      <c r="HT123" s="403"/>
      <c r="HU123" s="403"/>
      <c r="HV123" s="403"/>
      <c r="HW123" s="403"/>
      <c r="HX123" s="403" t="s">
        <v>12046</v>
      </c>
      <c r="HY123" s="403"/>
      <c r="HZ123" s="403"/>
      <c r="IA123" s="403"/>
      <c r="IB123" s="403"/>
      <c r="IC123" s="403"/>
      <c r="ID123" s="403"/>
      <c r="IE123" s="403"/>
      <c r="IF123" s="403"/>
      <c r="IG123" s="403"/>
      <c r="IH123" s="403"/>
      <c r="II123" s="403"/>
      <c r="IJ123" s="403"/>
      <c r="IK123" s="403"/>
      <c r="IL123" s="403"/>
      <c r="IM123" s="403"/>
      <c r="IN123" s="403"/>
      <c r="IO123" s="403"/>
      <c r="IP123" s="403"/>
      <c r="IQ123" s="403" t="s">
        <v>12054</v>
      </c>
      <c r="IR123" s="403"/>
      <c r="IS123" s="403"/>
      <c r="IT123" s="403"/>
      <c r="IU123" s="403"/>
      <c r="IV123" s="403"/>
      <c r="IW123" s="403"/>
      <c r="IX123" s="403"/>
      <c r="IY123" s="403"/>
      <c r="IZ123" s="403"/>
      <c r="JA123" s="403"/>
      <c r="JB123" s="403"/>
      <c r="JC123" s="403"/>
      <c r="JD123" s="403"/>
      <c r="JE123" s="403"/>
      <c r="JF123" s="403" t="s">
        <v>12048</v>
      </c>
      <c r="JG123" s="403"/>
      <c r="JH123" s="403"/>
      <c r="JI123" s="403"/>
      <c r="JJ123" s="403"/>
      <c r="JK123" s="403"/>
      <c r="JL123" s="403"/>
      <c r="JM123" s="403"/>
      <c r="JN123" s="403"/>
      <c r="JO123" s="403"/>
      <c r="JP123" s="403"/>
      <c r="JQ123" s="403"/>
      <c r="JR123" s="403"/>
      <c r="JS123" s="403"/>
      <c r="JT123" s="403"/>
    </row>
    <row r="124" spans="1:280" s="15" customFormat="1" ht="12.75" x14ac:dyDescent="0.2">
      <c r="A124" s="9"/>
      <c r="B124" s="624"/>
      <c r="C124" s="9"/>
      <c r="E124" s="26"/>
      <c r="F124" s="26"/>
      <c r="G124" s="26"/>
      <c r="H124" s="26"/>
      <c r="I124" s="26"/>
      <c r="J124" s="37"/>
      <c r="K124" s="37"/>
      <c r="L124" s="37"/>
      <c r="M124" s="37"/>
      <c r="N124" s="37"/>
      <c r="O124" s="37"/>
      <c r="P124" s="83"/>
      <c r="Q124" s="83"/>
      <c r="R124" s="12" t="str">
        <f t="shared" ca="1" si="199"/>
        <v/>
      </c>
      <c r="S124" s="2"/>
      <c r="T124" s="241"/>
      <c r="U124" s="624"/>
      <c r="V124" s="2"/>
      <c r="AC124" s="83"/>
      <c r="AE124" s="2"/>
      <c r="AF124" s="241"/>
      <c r="AG124" s="624"/>
      <c r="AH124" s="72"/>
      <c r="AO124" s="83"/>
      <c r="AR124" s="403"/>
      <c r="AS124" s="403"/>
      <c r="AT124" s="403"/>
      <c r="AU124" s="403"/>
      <c r="AV124" s="403"/>
      <c r="AW124" s="403"/>
      <c r="AX124" s="403"/>
      <c r="AY124" s="403"/>
      <c r="AZ124" s="403"/>
      <c r="BA124" s="403"/>
      <c r="BB124" s="403"/>
      <c r="BC124" s="403"/>
      <c r="BD124" s="403"/>
      <c r="BE124" s="403"/>
      <c r="BF124" s="403"/>
      <c r="BG124" s="403"/>
      <c r="BH124" s="403"/>
      <c r="BI124" s="403"/>
      <c r="BJ124" s="403"/>
      <c r="BK124" s="403"/>
      <c r="BL124" s="403"/>
      <c r="BM124" s="403"/>
      <c r="BN124" s="403"/>
      <c r="BO124" s="403"/>
      <c r="BP124" s="403"/>
      <c r="BQ124" s="403"/>
      <c r="BR124" s="403"/>
      <c r="BS124" s="403"/>
      <c r="BT124" s="403"/>
      <c r="BU124" s="403"/>
      <c r="BV124" s="403"/>
      <c r="BW124" s="403"/>
      <c r="BX124" s="403"/>
      <c r="BY124" s="403"/>
      <c r="BZ124" s="403"/>
      <c r="CA124" s="403"/>
      <c r="CB124" s="403"/>
      <c r="CC124" s="403"/>
      <c r="CD124" s="403"/>
      <c r="CE124" s="403"/>
      <c r="CF124" s="403"/>
      <c r="CG124" s="403"/>
      <c r="CH124" s="403"/>
      <c r="CI124" s="403"/>
      <c r="CJ124" s="403"/>
      <c r="CK124" s="403"/>
      <c r="CL124" s="403"/>
      <c r="CM124" s="403"/>
      <c r="CN124" s="403"/>
      <c r="CO124" s="403"/>
      <c r="CP124" s="403"/>
      <c r="CQ124" s="403"/>
      <c r="CR124" s="403"/>
      <c r="CS124" s="403"/>
      <c r="CT124" s="403"/>
      <c r="CU124" s="403"/>
      <c r="CV124" s="403"/>
      <c r="CW124" s="403"/>
      <c r="CX124" s="403"/>
      <c r="CY124" s="403"/>
      <c r="CZ124" s="403"/>
      <c r="DA124" s="403"/>
      <c r="DB124" s="403"/>
      <c r="DC124" s="403"/>
      <c r="DD124" s="403"/>
      <c r="DE124" s="403"/>
      <c r="DF124" s="403"/>
      <c r="DG124" s="403"/>
      <c r="DH124" s="403"/>
      <c r="DI124" s="403"/>
      <c r="DJ124" s="403"/>
      <c r="DK124" s="403"/>
      <c r="DL124" s="403"/>
      <c r="DM124" s="403"/>
      <c r="DN124" s="403"/>
      <c r="DO124" s="403"/>
      <c r="DP124" s="403"/>
      <c r="DQ124" s="403"/>
      <c r="DR124" s="403"/>
      <c r="DS124" s="403"/>
      <c r="DT124" s="403"/>
      <c r="DU124" s="403"/>
      <c r="DV124" s="403"/>
      <c r="DW124" s="403"/>
      <c r="DX124" s="403"/>
      <c r="DY124" s="403"/>
      <c r="DZ124" s="403"/>
      <c r="EA124" s="403"/>
      <c r="EB124" s="403"/>
      <c r="EC124" s="403"/>
      <c r="ED124" s="403"/>
      <c r="EE124" s="403"/>
      <c r="EF124" s="403"/>
      <c r="EG124" s="403"/>
      <c r="EH124" s="403"/>
      <c r="EI124" s="403"/>
      <c r="EJ124" s="403"/>
      <c r="EK124" s="403"/>
      <c r="EL124" s="403"/>
      <c r="EM124" s="403"/>
      <c r="EN124" s="403"/>
      <c r="EO124" s="403"/>
      <c r="EP124" s="403"/>
      <c r="EQ124" s="403"/>
      <c r="ER124" s="403"/>
      <c r="ES124" s="403"/>
      <c r="ET124" s="403"/>
      <c r="EU124" s="403"/>
      <c r="EV124" s="403"/>
      <c r="EW124" s="403"/>
      <c r="EX124" s="403"/>
      <c r="EY124" s="403"/>
      <c r="EZ124" s="403"/>
      <c r="FA124" s="403"/>
      <c r="FB124" s="403"/>
      <c r="FC124" s="403"/>
      <c r="FD124" s="403"/>
      <c r="FE124" s="403"/>
      <c r="FF124" s="403"/>
      <c r="FG124" s="403"/>
      <c r="FH124" s="403"/>
      <c r="FI124" s="403"/>
      <c r="FJ124" s="403"/>
      <c r="FK124" s="403"/>
      <c r="FL124" s="403"/>
      <c r="FM124" s="403"/>
      <c r="FN124" s="403"/>
      <c r="FO124" s="403"/>
      <c r="FP124" s="403"/>
      <c r="FQ124" s="403"/>
      <c r="FR124" s="403"/>
      <c r="FS124" s="403"/>
      <c r="FT124" s="403"/>
      <c r="FU124" s="403"/>
      <c r="FV124" s="403"/>
      <c r="FW124" s="403"/>
      <c r="FX124" s="403"/>
      <c r="FY124" s="403"/>
      <c r="FZ124" s="403"/>
      <c r="GA124" s="403"/>
      <c r="GB124" s="403"/>
      <c r="GC124" s="403"/>
      <c r="GD124" s="403"/>
      <c r="GE124" s="403"/>
      <c r="GF124" s="403"/>
      <c r="GG124" s="403"/>
      <c r="GH124" s="403"/>
      <c r="GI124" s="403"/>
      <c r="GJ124" s="403"/>
      <c r="GK124" s="403"/>
      <c r="GL124" s="403"/>
      <c r="GM124" s="403"/>
      <c r="GN124" s="403"/>
      <c r="GO124" s="403"/>
      <c r="GP124" s="403"/>
      <c r="GQ124" s="403"/>
      <c r="GR124" s="403"/>
      <c r="GS124" s="403"/>
      <c r="GT124" s="403"/>
      <c r="GU124" s="403"/>
      <c r="GV124" s="403"/>
      <c r="GW124" s="403"/>
      <c r="GX124" s="403"/>
      <c r="GY124" s="403"/>
      <c r="GZ124" s="403"/>
      <c r="HA124" s="403"/>
      <c r="HB124" s="403"/>
      <c r="HC124" s="403"/>
      <c r="HD124" s="403"/>
      <c r="HE124" s="403"/>
      <c r="HF124" s="403"/>
      <c r="HG124" s="403"/>
      <c r="HH124" s="403"/>
      <c r="HI124" s="403"/>
      <c r="HJ124" s="403"/>
      <c r="HK124" s="403"/>
      <c r="HL124" s="403"/>
      <c r="HM124" s="403"/>
      <c r="HN124" s="403"/>
      <c r="HO124" s="403"/>
      <c r="HP124" s="403"/>
      <c r="HQ124" s="403"/>
      <c r="HR124" s="403"/>
      <c r="HS124" s="403"/>
      <c r="HT124" s="403"/>
      <c r="HU124" s="403"/>
      <c r="HV124" s="403"/>
      <c r="HW124" s="403"/>
      <c r="HX124" s="403"/>
      <c r="HY124" s="403"/>
      <c r="HZ124" s="403"/>
      <c r="IA124" s="403"/>
      <c r="IB124" s="403"/>
      <c r="IC124" s="403"/>
      <c r="ID124" s="403"/>
      <c r="IE124" s="403"/>
      <c r="IF124" s="403"/>
      <c r="IG124" s="403"/>
      <c r="IH124" s="403"/>
      <c r="II124" s="403"/>
      <c r="IJ124" s="403"/>
      <c r="IK124" s="403"/>
      <c r="IL124" s="403"/>
      <c r="IM124" s="403"/>
      <c r="IN124" s="403"/>
      <c r="IO124" s="403"/>
      <c r="IP124" s="403"/>
      <c r="IQ124" s="403"/>
      <c r="IR124" s="403"/>
      <c r="IS124" s="403"/>
      <c r="IT124" s="403"/>
      <c r="IU124" s="403"/>
      <c r="IV124" s="403"/>
      <c r="IW124" s="403"/>
      <c r="IX124" s="403"/>
      <c r="IY124" s="403"/>
      <c r="IZ124" s="403"/>
      <c r="JA124" s="403"/>
      <c r="JB124" s="403"/>
      <c r="JC124" s="403"/>
      <c r="JD124" s="403"/>
      <c r="JE124" s="403"/>
      <c r="JF124" s="403"/>
      <c r="JG124" s="403"/>
      <c r="JH124" s="403"/>
      <c r="JI124" s="403"/>
      <c r="JJ124" s="403"/>
      <c r="JK124" s="403"/>
      <c r="JL124" s="403"/>
      <c r="JM124" s="403"/>
      <c r="JN124" s="403"/>
      <c r="JO124" s="403"/>
      <c r="JP124" s="403"/>
      <c r="JQ124" s="403"/>
      <c r="JR124" s="403"/>
      <c r="JS124" s="403"/>
      <c r="JT124" s="403"/>
    </row>
    <row r="125" spans="1:280" s="15" customFormat="1" ht="12.75" x14ac:dyDescent="0.2">
      <c r="A125" s="9"/>
      <c r="B125" s="624" t="str">
        <f ca="1">IF(OFFSET(AT125,0,Lang_Order*Lang__B5)="","",OFFSET(AT125,0,Lang_Order*Lang__B5))</f>
        <v>Local Security</v>
      </c>
      <c r="C125" s="23"/>
      <c r="E125" s="26"/>
      <c r="F125" s="26"/>
      <c r="G125" s="26"/>
      <c r="H125" s="26"/>
      <c r="I125" s="26"/>
      <c r="J125" s="37"/>
      <c r="K125" s="37"/>
      <c r="L125" s="37"/>
      <c r="M125" s="37"/>
      <c r="N125" s="37"/>
      <c r="O125" s="37"/>
      <c r="P125" s="26"/>
      <c r="Q125" s="26"/>
      <c r="R125" s="12" t="str">
        <f t="shared" ca="1" si="199"/>
        <v/>
      </c>
      <c r="S125" s="2"/>
      <c r="T125" s="241"/>
      <c r="U125" s="624" t="str">
        <f ca="1">IF(OFFSET(AT125,0,Lang_Order*Lang__B5)="","",OFFSET(AT125,0,Lang_Order*Lang__B5))</f>
        <v>Local Security</v>
      </c>
      <c r="V125" s="72"/>
      <c r="AC125" s="26"/>
      <c r="AE125" s="2"/>
      <c r="AF125" s="241"/>
      <c r="AG125" s="624" t="str">
        <f ca="1">IF(OFFSET(AT125,0,Lang_Order*Lang__B5)="","",OFFSET(AT125,0,Lang_Order*Lang__B5))</f>
        <v>Local Security</v>
      </c>
      <c r="AH125" s="72"/>
      <c r="AO125" s="26"/>
      <c r="AR125" s="403"/>
      <c r="AS125" s="403"/>
      <c r="AT125" s="403" t="s">
        <v>1576</v>
      </c>
      <c r="AU125" s="403"/>
      <c r="AV125" s="403"/>
      <c r="AW125" s="403"/>
      <c r="AX125" s="403"/>
      <c r="AY125" s="403"/>
      <c r="AZ125" s="403"/>
      <c r="BA125" s="403"/>
      <c r="BB125" s="403"/>
      <c r="BC125" s="403"/>
      <c r="BD125" s="403"/>
      <c r="BE125" s="403"/>
      <c r="BF125" s="403"/>
      <c r="BG125" s="403"/>
      <c r="BH125" s="403"/>
      <c r="BI125" s="403"/>
      <c r="BJ125" s="403"/>
      <c r="BK125" s="403"/>
      <c r="BL125" s="403"/>
      <c r="BM125" s="403"/>
      <c r="BN125" s="403"/>
      <c r="BO125" s="403"/>
      <c r="BP125" s="403"/>
      <c r="BQ125" s="403"/>
      <c r="BR125" s="403"/>
      <c r="BS125" s="403"/>
      <c r="BT125" s="403"/>
      <c r="BU125" s="403"/>
      <c r="BV125" s="403"/>
      <c r="BW125" s="403"/>
      <c r="BX125" s="403"/>
      <c r="BY125" s="403"/>
      <c r="BZ125" s="403"/>
      <c r="CA125" s="403"/>
      <c r="CB125" s="403" t="s">
        <v>5046</v>
      </c>
      <c r="CC125" s="403"/>
      <c r="CD125" s="403"/>
      <c r="CE125" s="403"/>
      <c r="CF125" s="403"/>
      <c r="CG125" s="403"/>
      <c r="CH125" s="403"/>
      <c r="CI125" s="403"/>
      <c r="CJ125" s="403"/>
      <c r="CK125" s="403"/>
      <c r="CL125" s="403"/>
      <c r="CM125" s="403"/>
      <c r="CN125" s="403"/>
      <c r="CO125" s="403"/>
      <c r="CP125" s="403"/>
      <c r="CQ125" s="403"/>
      <c r="CR125" s="403"/>
      <c r="CS125" s="403"/>
      <c r="CT125" s="403"/>
      <c r="CU125" s="403"/>
      <c r="CV125" s="403"/>
      <c r="CW125" s="403"/>
      <c r="CX125" s="403"/>
      <c r="CY125" s="403"/>
      <c r="CZ125" s="403"/>
      <c r="DA125" s="403"/>
      <c r="DB125" s="403"/>
      <c r="DC125" s="403"/>
      <c r="DD125" s="403"/>
      <c r="DE125" s="403"/>
      <c r="DF125" s="403"/>
      <c r="DG125" s="403"/>
      <c r="DH125" s="403"/>
      <c r="DI125" s="403"/>
      <c r="DJ125" s="403" t="s">
        <v>5047</v>
      </c>
      <c r="DK125" s="403"/>
      <c r="DL125" s="403"/>
      <c r="DM125" s="403"/>
      <c r="DN125" s="403"/>
      <c r="DO125" s="403"/>
      <c r="DP125" s="403"/>
      <c r="DQ125" s="403"/>
      <c r="DR125" s="403"/>
      <c r="DS125" s="403"/>
      <c r="DT125" s="403"/>
      <c r="DU125" s="403"/>
      <c r="DV125" s="403"/>
      <c r="DW125" s="403"/>
      <c r="DX125" s="403"/>
      <c r="DY125" s="403"/>
      <c r="DZ125" s="403"/>
      <c r="EA125" s="403"/>
      <c r="EB125" s="403"/>
      <c r="EC125" s="403"/>
      <c r="ED125" s="403"/>
      <c r="EE125" s="403"/>
      <c r="EF125" s="403"/>
      <c r="EG125" s="403"/>
      <c r="EH125" s="403"/>
      <c r="EI125" s="403"/>
      <c r="EJ125" s="403"/>
      <c r="EK125" s="403"/>
      <c r="EL125" s="403"/>
      <c r="EM125" s="403"/>
      <c r="EN125" s="403"/>
      <c r="EO125" s="403"/>
      <c r="EP125" s="403"/>
      <c r="EQ125" s="403"/>
      <c r="ER125" s="403" t="s">
        <v>5048</v>
      </c>
      <c r="ES125" s="403"/>
      <c r="ET125" s="403"/>
      <c r="EU125" s="403"/>
      <c r="EV125" s="403"/>
      <c r="EW125" s="403"/>
      <c r="EX125" s="403"/>
      <c r="EY125" s="403"/>
      <c r="EZ125" s="403"/>
      <c r="FA125" s="403"/>
      <c r="FB125" s="403"/>
      <c r="FC125" s="403"/>
      <c r="FD125" s="403"/>
      <c r="FE125" s="403"/>
      <c r="FF125" s="403"/>
      <c r="FG125" s="403"/>
      <c r="FH125" s="403"/>
      <c r="FI125" s="403"/>
      <c r="FJ125" s="403"/>
      <c r="FK125" s="403"/>
      <c r="FL125" s="403"/>
      <c r="FM125" s="403"/>
      <c r="FN125" s="403"/>
      <c r="FO125" s="403"/>
      <c r="FP125" s="403"/>
      <c r="FQ125" s="403"/>
      <c r="FR125" s="403"/>
      <c r="FS125" s="403"/>
      <c r="FT125" s="403"/>
      <c r="FU125" s="403"/>
      <c r="FV125" s="403"/>
      <c r="FW125" s="403"/>
      <c r="FX125" s="403"/>
      <c r="FY125" s="403"/>
      <c r="FZ125" s="403" t="s">
        <v>5049</v>
      </c>
      <c r="GA125" s="403"/>
      <c r="GB125" s="403"/>
      <c r="GC125" s="403"/>
      <c r="GD125" s="403"/>
      <c r="GE125" s="403"/>
      <c r="GF125" s="403"/>
      <c r="GG125" s="403"/>
      <c r="GH125" s="403"/>
      <c r="GI125" s="403"/>
      <c r="GJ125" s="403"/>
      <c r="GK125" s="403"/>
      <c r="GL125" s="403"/>
      <c r="GM125" s="403"/>
      <c r="GN125" s="403"/>
      <c r="GO125" s="403"/>
      <c r="GP125" s="403"/>
      <c r="GQ125" s="403"/>
      <c r="GR125" s="403"/>
      <c r="GS125" s="403"/>
      <c r="GT125" s="403"/>
      <c r="GU125" s="403"/>
      <c r="GV125" s="403"/>
      <c r="GW125" s="403"/>
      <c r="GX125" s="403"/>
      <c r="GY125" s="403"/>
      <c r="GZ125" s="403"/>
      <c r="HA125" s="403"/>
      <c r="HB125" s="403"/>
      <c r="HC125" s="403"/>
      <c r="HD125" s="403"/>
      <c r="HE125" s="403"/>
      <c r="HF125" s="403"/>
      <c r="HG125" s="403"/>
      <c r="HH125" s="403" t="s">
        <v>5050</v>
      </c>
      <c r="HI125" s="403"/>
      <c r="HJ125" s="403"/>
      <c r="HK125" s="403"/>
      <c r="HL125" s="403"/>
      <c r="HM125" s="403"/>
      <c r="HN125" s="403"/>
      <c r="HO125" s="403"/>
      <c r="HP125" s="403"/>
      <c r="HQ125" s="403"/>
      <c r="HR125" s="403"/>
      <c r="HS125" s="403"/>
      <c r="HT125" s="403"/>
      <c r="HU125" s="403"/>
      <c r="HV125" s="403"/>
      <c r="HW125" s="403"/>
      <c r="HX125" s="403"/>
      <c r="HY125" s="403"/>
      <c r="HZ125" s="403"/>
      <c r="IA125" s="403"/>
      <c r="IB125" s="403"/>
      <c r="IC125" s="403"/>
      <c r="ID125" s="403"/>
      <c r="IE125" s="403"/>
      <c r="IF125" s="403"/>
      <c r="IG125" s="403"/>
      <c r="IH125" s="403"/>
      <c r="II125" s="403"/>
      <c r="IJ125" s="403"/>
      <c r="IK125" s="403"/>
      <c r="IL125" s="403"/>
      <c r="IM125" s="403"/>
      <c r="IN125" s="403"/>
      <c r="IO125" s="403"/>
      <c r="IP125" s="403" t="s">
        <v>5051</v>
      </c>
      <c r="IQ125" s="403"/>
      <c r="IR125" s="403"/>
      <c r="IS125" s="403"/>
      <c r="IT125" s="403"/>
      <c r="IU125" s="403"/>
      <c r="IV125" s="403"/>
      <c r="IW125" s="403"/>
      <c r="IX125" s="403"/>
      <c r="IY125" s="403"/>
      <c r="IZ125" s="403"/>
      <c r="JA125" s="403"/>
      <c r="JB125" s="403"/>
      <c r="JC125" s="403"/>
      <c r="JD125" s="403"/>
      <c r="JE125" s="403"/>
      <c r="JF125" s="403"/>
      <c r="JG125" s="403"/>
      <c r="JH125" s="403"/>
      <c r="JI125" s="403"/>
      <c r="JJ125" s="403"/>
      <c r="JK125" s="403"/>
      <c r="JL125" s="403"/>
      <c r="JM125" s="403"/>
      <c r="JN125" s="403"/>
      <c r="JO125" s="403"/>
      <c r="JP125" s="403"/>
      <c r="JQ125" s="403"/>
      <c r="JR125" s="403"/>
      <c r="JS125" s="403"/>
      <c r="JT125" s="403"/>
    </row>
    <row r="126" spans="1:280" s="15" customFormat="1" ht="12.75" x14ac:dyDescent="0.2">
      <c r="A126" s="9"/>
      <c r="B126" s="624"/>
      <c r="C126" s="23" t="str">
        <f ca="1">IF(OFFSET(AU126,0,Lang_Order*Lang__B5)="","",OFFSET(AU126,0,Lang_Order*Lang__B5))</f>
        <v>Security per Site per Day</v>
      </c>
      <c r="E126" s="26"/>
      <c r="F126" s="26"/>
      <c r="G126" s="26"/>
      <c r="H126" s="26"/>
      <c r="I126" s="26"/>
      <c r="J126" s="37" t="e">
        <f t="shared" ref="J126:O126" si="277">J111*AUCs_Security_perSiteperDay</f>
        <v>#N/A</v>
      </c>
      <c r="K126" s="37" t="e">
        <f t="shared" si="277"/>
        <v>#N/A</v>
      </c>
      <c r="L126" s="37" t="e">
        <f t="shared" si="277"/>
        <v>#N/A</v>
      </c>
      <c r="M126" s="37" t="e">
        <f t="shared" si="277"/>
        <v>#N/A</v>
      </c>
      <c r="N126" s="37" t="e">
        <f t="shared" si="277"/>
        <v>#N/A</v>
      </c>
      <c r="O126" s="37" t="e">
        <f t="shared" si="277"/>
        <v>#N/A</v>
      </c>
      <c r="P126" s="83" t="e">
        <f>SUM(J126:O126)</f>
        <v>#N/A</v>
      </c>
      <c r="Q126" s="83"/>
      <c r="R126" s="12" t="str">
        <f t="shared" ca="1" si="199"/>
        <v>Consider adjustment for weekends</v>
      </c>
      <c r="S126" s="2"/>
      <c r="T126" s="241"/>
      <c r="U126" s="624"/>
      <c r="V126" s="72" t="str">
        <f ca="1">IF(OFFSET(AU126,0,Lang_Order*Lang__B5)="","",OFFSET(AU126,0,Lang_Order*Lang__B5))</f>
        <v>Security per Site per Day</v>
      </c>
      <c r="W126" s="37" t="e">
        <f t="shared" ref="W126:AB126" si="278">W111*AUCs_Security_perSiteperDay</f>
        <v>#N/A</v>
      </c>
      <c r="X126" s="37" t="e">
        <f t="shared" si="278"/>
        <v>#N/A</v>
      </c>
      <c r="Y126" s="37" t="e">
        <f t="shared" si="278"/>
        <v>#N/A</v>
      </c>
      <c r="Z126" s="37" t="e">
        <f t="shared" si="278"/>
        <v>#N/A</v>
      </c>
      <c r="AA126" s="37" t="e">
        <f t="shared" si="278"/>
        <v>#N/A</v>
      </c>
      <c r="AB126" s="37" t="e">
        <f t="shared" si="278"/>
        <v>#N/A</v>
      </c>
      <c r="AC126" s="83" t="e">
        <f>SUM(W126:AB126)</f>
        <v>#N/A</v>
      </c>
      <c r="AE126" s="2"/>
      <c r="AF126" s="241"/>
      <c r="AG126" s="624"/>
      <c r="AH126" s="72" t="str">
        <f ca="1">IF(OFFSET(AU126,0,Lang_Order*Lang__B5)="","",OFFSET(AU126,0,Lang_Order*Lang__B5))</f>
        <v>Security per Site per Day</v>
      </c>
      <c r="AI126" s="37" t="e">
        <f t="shared" ref="AI126:AN126" si="279">AI111*AUCs_Security_perSiteperDay</f>
        <v>#N/A</v>
      </c>
      <c r="AJ126" s="37" t="e">
        <f t="shared" si="279"/>
        <v>#N/A</v>
      </c>
      <c r="AK126" s="37" t="e">
        <f t="shared" si="279"/>
        <v>#N/A</v>
      </c>
      <c r="AL126" s="37" t="e">
        <f t="shared" si="279"/>
        <v>#N/A</v>
      </c>
      <c r="AM126" s="37" t="e">
        <f t="shared" si="279"/>
        <v>#N/A</v>
      </c>
      <c r="AN126" s="37" t="e">
        <f t="shared" si="279"/>
        <v>#N/A</v>
      </c>
      <c r="AO126" s="83" t="e">
        <f>SUM(AI126:AN126)</f>
        <v>#N/A</v>
      </c>
      <c r="AR126" s="403"/>
      <c r="AS126" s="403"/>
      <c r="AT126" s="403"/>
      <c r="AU126" s="403" t="s">
        <v>1583</v>
      </c>
      <c r="AV126" s="403"/>
      <c r="AW126" s="403"/>
      <c r="AX126" s="403"/>
      <c r="AY126" s="403"/>
      <c r="AZ126" s="403"/>
      <c r="BA126" s="403"/>
      <c r="BB126" s="403"/>
      <c r="BC126" s="403"/>
      <c r="BD126" s="403"/>
      <c r="BE126" s="403"/>
      <c r="BF126" s="403"/>
      <c r="BG126" s="403"/>
      <c r="BH126" s="403"/>
      <c r="BI126" s="403"/>
      <c r="BJ126" s="403" t="s">
        <v>13257</v>
      </c>
      <c r="BK126" s="403"/>
      <c r="BL126" s="403"/>
      <c r="BM126" s="403"/>
      <c r="BN126" s="403"/>
      <c r="BO126" s="403"/>
      <c r="BP126" s="403"/>
      <c r="BQ126" s="403"/>
      <c r="BR126" s="403"/>
      <c r="BS126" s="403"/>
      <c r="BT126" s="403"/>
      <c r="BU126" s="403"/>
      <c r="BV126" s="403"/>
      <c r="BW126" s="403"/>
      <c r="BX126" s="403"/>
      <c r="BY126" s="403"/>
      <c r="BZ126" s="403"/>
      <c r="CA126" s="403"/>
      <c r="CB126" s="403"/>
      <c r="CC126" s="403" t="s">
        <v>12055</v>
      </c>
      <c r="CD126" s="403"/>
      <c r="CE126" s="403"/>
      <c r="CF126" s="403"/>
      <c r="CG126" s="403"/>
      <c r="CH126" s="403"/>
      <c r="CI126" s="403"/>
      <c r="CJ126" s="403"/>
      <c r="CK126" s="403"/>
      <c r="CL126" s="403"/>
      <c r="CM126" s="403"/>
      <c r="CN126" s="403"/>
      <c r="CO126" s="403"/>
      <c r="CP126" s="403"/>
      <c r="CQ126" s="403"/>
      <c r="CR126" s="403" t="s">
        <v>12056</v>
      </c>
      <c r="CS126" s="403"/>
      <c r="CT126" s="403"/>
      <c r="CU126" s="403"/>
      <c r="CV126" s="403"/>
      <c r="CW126" s="403"/>
      <c r="CX126" s="403"/>
      <c r="CY126" s="403"/>
      <c r="CZ126" s="403"/>
      <c r="DA126" s="403"/>
      <c r="DB126" s="403"/>
      <c r="DC126" s="403"/>
      <c r="DD126" s="403"/>
      <c r="DE126" s="403"/>
      <c r="DF126" s="403"/>
      <c r="DG126" s="403"/>
      <c r="DH126" s="403"/>
      <c r="DI126" s="403"/>
      <c r="DJ126" s="403"/>
      <c r="DK126" s="403" t="s">
        <v>12057</v>
      </c>
      <c r="DL126" s="403"/>
      <c r="DM126" s="403"/>
      <c r="DN126" s="403"/>
      <c r="DO126" s="403"/>
      <c r="DP126" s="403"/>
      <c r="DQ126" s="403"/>
      <c r="DR126" s="403"/>
      <c r="DS126" s="403"/>
      <c r="DT126" s="403"/>
      <c r="DU126" s="403"/>
      <c r="DV126" s="403"/>
      <c r="DW126" s="403"/>
      <c r="DX126" s="403"/>
      <c r="DY126" s="403"/>
      <c r="DZ126" s="403" t="s">
        <v>13258</v>
      </c>
      <c r="EA126" s="403"/>
      <c r="EB126" s="403"/>
      <c r="EC126" s="403"/>
      <c r="ED126" s="403"/>
      <c r="EE126" s="403"/>
      <c r="EF126" s="403"/>
      <c r="EG126" s="403"/>
      <c r="EH126" s="403"/>
      <c r="EI126" s="403"/>
      <c r="EJ126" s="403"/>
      <c r="EK126" s="403"/>
      <c r="EL126" s="403"/>
      <c r="EM126" s="403"/>
      <c r="EN126" s="403"/>
      <c r="EO126" s="403"/>
      <c r="EP126" s="403"/>
      <c r="EQ126" s="403"/>
      <c r="ER126" s="403"/>
      <c r="ES126" s="403" t="s">
        <v>12059</v>
      </c>
      <c r="ET126" s="403"/>
      <c r="EU126" s="403"/>
      <c r="EV126" s="403"/>
      <c r="EW126" s="403"/>
      <c r="EX126" s="403"/>
      <c r="EY126" s="403"/>
      <c r="EZ126" s="403"/>
      <c r="FA126" s="403"/>
      <c r="FB126" s="403"/>
      <c r="FC126" s="403"/>
      <c r="FD126" s="403"/>
      <c r="FE126" s="403"/>
      <c r="FF126" s="403"/>
      <c r="FG126" s="403"/>
      <c r="FH126" s="403" t="s">
        <v>13259</v>
      </c>
      <c r="FI126" s="403"/>
      <c r="FJ126" s="403"/>
      <c r="FK126" s="403"/>
      <c r="FL126" s="403"/>
      <c r="FM126" s="403"/>
      <c r="FN126" s="403"/>
      <c r="FO126" s="403"/>
      <c r="FP126" s="403"/>
      <c r="FQ126" s="403"/>
      <c r="FR126" s="403"/>
      <c r="FS126" s="403"/>
      <c r="FT126" s="403"/>
      <c r="FU126" s="403"/>
      <c r="FV126" s="403"/>
      <c r="FW126" s="403"/>
      <c r="FX126" s="403"/>
      <c r="FY126" s="403"/>
      <c r="FZ126" s="403"/>
      <c r="GA126" s="403" t="s">
        <v>12061</v>
      </c>
      <c r="GB126" s="403"/>
      <c r="GC126" s="403"/>
      <c r="GD126" s="403"/>
      <c r="GE126" s="403"/>
      <c r="GF126" s="403"/>
      <c r="GG126" s="403"/>
      <c r="GH126" s="403"/>
      <c r="GI126" s="403"/>
      <c r="GJ126" s="403"/>
      <c r="GK126" s="403"/>
      <c r="GL126" s="403"/>
      <c r="GM126" s="403"/>
      <c r="GN126" s="403"/>
      <c r="GO126" s="403"/>
      <c r="GP126" s="403" t="s">
        <v>12062</v>
      </c>
      <c r="GQ126" s="403"/>
      <c r="GR126" s="403"/>
      <c r="GS126" s="403"/>
      <c r="GT126" s="403"/>
      <c r="GU126" s="403"/>
      <c r="GV126" s="403"/>
      <c r="GW126" s="403"/>
      <c r="GX126" s="403"/>
      <c r="GY126" s="403"/>
      <c r="GZ126" s="403"/>
      <c r="HA126" s="403"/>
      <c r="HB126" s="403"/>
      <c r="HC126" s="403"/>
      <c r="HD126" s="403"/>
      <c r="HE126" s="403"/>
      <c r="HF126" s="403"/>
      <c r="HG126" s="403"/>
      <c r="HH126" s="403"/>
      <c r="HI126" s="403" t="s">
        <v>12063</v>
      </c>
      <c r="HJ126" s="403"/>
      <c r="HK126" s="403"/>
      <c r="HL126" s="403"/>
      <c r="HM126" s="403"/>
      <c r="HN126" s="403"/>
      <c r="HO126" s="403"/>
      <c r="HP126" s="403"/>
      <c r="HQ126" s="403"/>
      <c r="HR126" s="403"/>
      <c r="HS126" s="403"/>
      <c r="HT126" s="403"/>
      <c r="HU126" s="403"/>
      <c r="HV126" s="403"/>
      <c r="HW126" s="403"/>
      <c r="HX126" s="403" t="s">
        <v>13260</v>
      </c>
      <c r="HY126" s="403"/>
      <c r="HZ126" s="403"/>
      <c r="IA126" s="403"/>
      <c r="IB126" s="403"/>
      <c r="IC126" s="403"/>
      <c r="ID126" s="403"/>
      <c r="IE126" s="403"/>
      <c r="IF126" s="403"/>
      <c r="IG126" s="403"/>
      <c r="IH126" s="403"/>
      <c r="II126" s="403"/>
      <c r="IJ126" s="403"/>
      <c r="IK126" s="403"/>
      <c r="IL126" s="403"/>
      <c r="IM126" s="403"/>
      <c r="IN126" s="403"/>
      <c r="IO126" s="403"/>
      <c r="IP126" s="403"/>
      <c r="IQ126" s="403" t="s">
        <v>12065</v>
      </c>
      <c r="IR126" s="403"/>
      <c r="IS126" s="403"/>
      <c r="IT126" s="403"/>
      <c r="IU126" s="403"/>
      <c r="IV126" s="403"/>
      <c r="IW126" s="403"/>
      <c r="IX126" s="403"/>
      <c r="IY126" s="403"/>
      <c r="IZ126" s="403"/>
      <c r="JA126" s="403"/>
      <c r="JB126" s="403"/>
      <c r="JC126" s="403"/>
      <c r="JD126" s="403"/>
      <c r="JE126" s="403"/>
      <c r="JF126" s="403" t="s">
        <v>13261</v>
      </c>
      <c r="JG126" s="403"/>
      <c r="JH126" s="403"/>
      <c r="JI126" s="403"/>
      <c r="JJ126" s="403"/>
      <c r="JK126" s="403"/>
      <c r="JL126" s="403"/>
      <c r="JM126" s="403"/>
      <c r="JN126" s="403"/>
      <c r="JO126" s="403"/>
      <c r="JP126" s="403"/>
      <c r="JQ126" s="403"/>
      <c r="JR126" s="403"/>
      <c r="JS126" s="403"/>
      <c r="JT126" s="403"/>
    </row>
    <row r="127" spans="1:280" s="15" customFormat="1" ht="12.75" x14ac:dyDescent="0.2">
      <c r="A127" s="9"/>
      <c r="B127" s="624"/>
      <c r="C127" s="66" t="str">
        <f ca="1">IF(OFFSET(AU127,0,Lang_Order*Lang__B5)="","",OFFSET(AU127,0,Lang_Order*Lang__B5))</f>
        <v>Security per Mobile Team per Day</v>
      </c>
      <c r="E127" s="26"/>
      <c r="F127" s="26"/>
      <c r="G127" s="26"/>
      <c r="H127" s="26"/>
      <c r="I127" s="26"/>
      <c r="J127" s="96" t="s">
        <v>1687</v>
      </c>
      <c r="K127" s="96" t="s">
        <v>1687</v>
      </c>
      <c r="L127" s="96" t="s">
        <v>1687</v>
      </c>
      <c r="M127" s="96" t="s">
        <v>1687</v>
      </c>
      <c r="N127" s="96" t="s">
        <v>1687</v>
      </c>
      <c r="O127" s="96" t="s">
        <v>1687</v>
      </c>
      <c r="P127" s="83">
        <f>SUM(J127:O127)</f>
        <v>0</v>
      </c>
      <c r="Q127" s="26"/>
      <c r="R127" s="12" t="str">
        <f t="shared" ca="1" si="199"/>
        <v>Zero (this is a fixed site)</v>
      </c>
      <c r="S127" s="2"/>
      <c r="T127" s="241"/>
      <c r="U127" s="624"/>
      <c r="V127" s="260" t="str">
        <f ca="1">IF(OFFSET(AU127,0,Lang_Order*Lang__B5)="","",OFFSET(AU127,0,Lang_Order*Lang__B5))</f>
        <v>Security per Mobile Team per Day</v>
      </c>
      <c r="W127" s="96" t="s">
        <v>1687</v>
      </c>
      <c r="X127" s="96" t="s">
        <v>1687</v>
      </c>
      <c r="Y127" s="96" t="s">
        <v>1687</v>
      </c>
      <c r="Z127" s="96" t="s">
        <v>1687</v>
      </c>
      <c r="AA127" s="96" t="s">
        <v>1687</v>
      </c>
      <c r="AB127" s="96" t="s">
        <v>1687</v>
      </c>
      <c r="AC127" s="83">
        <f>SUM(W127:AB127)</f>
        <v>0</v>
      </c>
      <c r="AE127" s="2"/>
      <c r="AF127" s="241"/>
      <c r="AG127" s="624"/>
      <c r="AH127" s="72" t="str">
        <f ca="1">IF(OFFSET(AU127,0,Lang_Order*Lang__B5)="","",OFFSET(AU127,0,Lang_Order*Lang__B5))</f>
        <v>Security per Mobile Team per Day</v>
      </c>
      <c r="AI127" s="96" t="s">
        <v>1687</v>
      </c>
      <c r="AJ127" s="96" t="s">
        <v>1687</v>
      </c>
      <c r="AK127" s="96" t="s">
        <v>1687</v>
      </c>
      <c r="AL127" s="96" t="s">
        <v>1687</v>
      </c>
      <c r="AM127" s="96" t="s">
        <v>1687</v>
      </c>
      <c r="AN127" s="96" t="s">
        <v>1687</v>
      </c>
      <c r="AO127" s="83">
        <f>SUM(AI127:AN127)</f>
        <v>0</v>
      </c>
      <c r="AR127" s="403"/>
      <c r="AS127" s="403"/>
      <c r="AT127" s="403"/>
      <c r="AU127" s="403" t="s">
        <v>1584</v>
      </c>
      <c r="AV127" s="403"/>
      <c r="AW127" s="403"/>
      <c r="AX127" s="403"/>
      <c r="AY127" s="403"/>
      <c r="AZ127" s="403"/>
      <c r="BA127" s="403"/>
      <c r="BB127" s="403"/>
      <c r="BC127" s="403"/>
      <c r="BD127" s="403"/>
      <c r="BE127" s="403"/>
      <c r="BF127" s="403"/>
      <c r="BG127" s="403"/>
      <c r="BH127" s="403"/>
      <c r="BI127" s="403"/>
      <c r="BJ127" s="403" t="s">
        <v>1581</v>
      </c>
      <c r="BK127" s="403"/>
      <c r="BL127" s="403"/>
      <c r="BM127" s="403"/>
      <c r="BN127" s="403"/>
      <c r="BO127" s="403"/>
      <c r="BP127" s="403"/>
      <c r="BQ127" s="403"/>
      <c r="BR127" s="403"/>
      <c r="BS127" s="403"/>
      <c r="BT127" s="403"/>
      <c r="BU127" s="403"/>
      <c r="BV127" s="403"/>
      <c r="BW127" s="403"/>
      <c r="BX127" s="403"/>
      <c r="BY127" s="403"/>
      <c r="BZ127" s="403"/>
      <c r="CA127" s="403"/>
      <c r="CB127" s="403"/>
      <c r="CC127" s="403" t="s">
        <v>12067</v>
      </c>
      <c r="CD127" s="403"/>
      <c r="CE127" s="403"/>
      <c r="CF127" s="403"/>
      <c r="CG127" s="403"/>
      <c r="CH127" s="403"/>
      <c r="CI127" s="403"/>
      <c r="CJ127" s="403"/>
      <c r="CK127" s="403"/>
      <c r="CL127" s="403"/>
      <c r="CM127" s="403"/>
      <c r="CN127" s="403"/>
      <c r="CO127" s="403"/>
      <c r="CP127" s="403"/>
      <c r="CQ127" s="403"/>
      <c r="CR127" s="403" t="s">
        <v>12038</v>
      </c>
      <c r="CS127" s="403"/>
      <c r="CT127" s="403"/>
      <c r="CU127" s="403"/>
      <c r="CV127" s="403"/>
      <c r="CW127" s="403"/>
      <c r="CX127" s="403"/>
      <c r="CY127" s="403"/>
      <c r="CZ127" s="403"/>
      <c r="DA127" s="403"/>
      <c r="DB127" s="403"/>
      <c r="DC127" s="403"/>
      <c r="DD127" s="403"/>
      <c r="DE127" s="403"/>
      <c r="DF127" s="403"/>
      <c r="DG127" s="403"/>
      <c r="DH127" s="403"/>
      <c r="DI127" s="403"/>
      <c r="DJ127" s="403"/>
      <c r="DK127" s="403" t="s">
        <v>12068</v>
      </c>
      <c r="DL127" s="403"/>
      <c r="DM127" s="403"/>
      <c r="DN127" s="403"/>
      <c r="DO127" s="403"/>
      <c r="DP127" s="403"/>
      <c r="DQ127" s="403"/>
      <c r="DR127" s="403"/>
      <c r="DS127" s="403"/>
      <c r="DT127" s="403"/>
      <c r="DU127" s="403"/>
      <c r="DV127" s="403"/>
      <c r="DW127" s="403"/>
      <c r="DX127" s="403"/>
      <c r="DY127" s="403"/>
      <c r="DZ127" s="403" t="s">
        <v>12040</v>
      </c>
      <c r="EA127" s="403"/>
      <c r="EB127" s="403"/>
      <c r="EC127" s="403"/>
      <c r="ED127" s="403"/>
      <c r="EE127" s="403"/>
      <c r="EF127" s="403"/>
      <c r="EG127" s="403"/>
      <c r="EH127" s="403"/>
      <c r="EI127" s="403"/>
      <c r="EJ127" s="403"/>
      <c r="EK127" s="403"/>
      <c r="EL127" s="403"/>
      <c r="EM127" s="403"/>
      <c r="EN127" s="403"/>
      <c r="EO127" s="403"/>
      <c r="EP127" s="403"/>
      <c r="EQ127" s="403"/>
      <c r="ER127" s="403"/>
      <c r="ES127" s="403" t="s">
        <v>12069</v>
      </c>
      <c r="ET127" s="403"/>
      <c r="EU127" s="403"/>
      <c r="EV127" s="403"/>
      <c r="EW127" s="403"/>
      <c r="EX127" s="403"/>
      <c r="EY127" s="403"/>
      <c r="EZ127" s="403"/>
      <c r="FA127" s="403"/>
      <c r="FB127" s="403"/>
      <c r="FC127" s="403"/>
      <c r="FD127" s="403"/>
      <c r="FE127" s="403"/>
      <c r="FF127" s="403"/>
      <c r="FG127" s="403"/>
      <c r="FH127" s="403" t="s">
        <v>12042</v>
      </c>
      <c r="FI127" s="403"/>
      <c r="FJ127" s="403"/>
      <c r="FK127" s="403"/>
      <c r="FL127" s="403"/>
      <c r="FM127" s="403"/>
      <c r="FN127" s="403"/>
      <c r="FO127" s="403"/>
      <c r="FP127" s="403"/>
      <c r="FQ127" s="403"/>
      <c r="FR127" s="403"/>
      <c r="FS127" s="403"/>
      <c r="FT127" s="403"/>
      <c r="FU127" s="403"/>
      <c r="FV127" s="403"/>
      <c r="FW127" s="403"/>
      <c r="FX127" s="403"/>
      <c r="FY127" s="403"/>
      <c r="FZ127" s="403"/>
      <c r="GA127" s="403" t="s">
        <v>8560</v>
      </c>
      <c r="GB127" s="403"/>
      <c r="GC127" s="403"/>
      <c r="GD127" s="403"/>
      <c r="GE127" s="403"/>
      <c r="GF127" s="403"/>
      <c r="GG127" s="403"/>
      <c r="GH127" s="403"/>
      <c r="GI127" s="403"/>
      <c r="GJ127" s="403"/>
      <c r="GK127" s="403"/>
      <c r="GL127" s="403"/>
      <c r="GM127" s="403"/>
      <c r="GN127" s="403"/>
      <c r="GO127" s="403"/>
      <c r="GP127" s="403" t="s">
        <v>12044</v>
      </c>
      <c r="GQ127" s="403"/>
      <c r="GR127" s="403"/>
      <c r="GS127" s="403"/>
      <c r="GT127" s="403"/>
      <c r="GU127" s="403"/>
      <c r="GV127" s="403"/>
      <c r="GW127" s="403"/>
      <c r="GX127" s="403"/>
      <c r="GY127" s="403"/>
      <c r="GZ127" s="403"/>
      <c r="HA127" s="403"/>
      <c r="HB127" s="403"/>
      <c r="HC127" s="403"/>
      <c r="HD127" s="403"/>
      <c r="HE127" s="403"/>
      <c r="HF127" s="403"/>
      <c r="HG127" s="403"/>
      <c r="HH127" s="403"/>
      <c r="HI127" s="403" t="s">
        <v>12070</v>
      </c>
      <c r="HJ127" s="403"/>
      <c r="HK127" s="403"/>
      <c r="HL127" s="403"/>
      <c r="HM127" s="403"/>
      <c r="HN127" s="403"/>
      <c r="HO127" s="403"/>
      <c r="HP127" s="403"/>
      <c r="HQ127" s="403"/>
      <c r="HR127" s="403"/>
      <c r="HS127" s="403"/>
      <c r="HT127" s="403"/>
      <c r="HU127" s="403"/>
      <c r="HV127" s="403"/>
      <c r="HW127" s="403"/>
      <c r="HX127" s="403" t="s">
        <v>12046</v>
      </c>
      <c r="HY127" s="403"/>
      <c r="HZ127" s="403"/>
      <c r="IA127" s="403"/>
      <c r="IB127" s="403"/>
      <c r="IC127" s="403"/>
      <c r="ID127" s="403"/>
      <c r="IE127" s="403"/>
      <c r="IF127" s="403"/>
      <c r="IG127" s="403"/>
      <c r="IH127" s="403"/>
      <c r="II127" s="403"/>
      <c r="IJ127" s="403"/>
      <c r="IK127" s="403"/>
      <c r="IL127" s="403"/>
      <c r="IM127" s="403"/>
      <c r="IN127" s="403"/>
      <c r="IO127" s="403"/>
      <c r="IP127" s="403"/>
      <c r="IQ127" s="403" t="s">
        <v>12071</v>
      </c>
      <c r="IR127" s="403"/>
      <c r="IS127" s="403"/>
      <c r="IT127" s="403"/>
      <c r="IU127" s="403"/>
      <c r="IV127" s="403"/>
      <c r="IW127" s="403"/>
      <c r="IX127" s="403"/>
      <c r="IY127" s="403"/>
      <c r="IZ127" s="403"/>
      <c r="JA127" s="403"/>
      <c r="JB127" s="403"/>
      <c r="JC127" s="403"/>
      <c r="JD127" s="403"/>
      <c r="JE127" s="403"/>
      <c r="JF127" s="403" t="s">
        <v>12048</v>
      </c>
      <c r="JG127" s="403"/>
      <c r="JH127" s="403"/>
      <c r="JI127" s="403"/>
      <c r="JJ127" s="403"/>
      <c r="JK127" s="403"/>
      <c r="JL127" s="403"/>
      <c r="JM127" s="403"/>
      <c r="JN127" s="403"/>
      <c r="JO127" s="403"/>
      <c r="JP127" s="403"/>
      <c r="JQ127" s="403"/>
      <c r="JR127" s="403"/>
      <c r="JS127" s="403"/>
      <c r="JT127" s="403"/>
    </row>
    <row r="128" spans="1:280" s="15" customFormat="1" ht="12.75" x14ac:dyDescent="0.2">
      <c r="A128" s="9"/>
      <c r="B128" s="624"/>
      <c r="C128" s="23"/>
      <c r="E128" s="26"/>
      <c r="F128" s="26"/>
      <c r="G128" s="26"/>
      <c r="H128" s="26"/>
      <c r="I128" s="26"/>
      <c r="J128" s="37"/>
      <c r="K128" s="37"/>
      <c r="L128" s="37"/>
      <c r="M128" s="37"/>
      <c r="N128" s="37"/>
      <c r="O128" s="37"/>
      <c r="P128" s="26"/>
      <c r="Q128" s="26"/>
      <c r="R128" s="12" t="str">
        <f t="shared" ca="1" si="199"/>
        <v/>
      </c>
      <c r="S128" s="2"/>
      <c r="T128" s="241"/>
      <c r="U128" s="624"/>
      <c r="V128" s="72"/>
      <c r="W128" s="37"/>
      <c r="X128" s="37"/>
      <c r="Y128" s="37"/>
      <c r="Z128" s="37"/>
      <c r="AA128" s="37"/>
      <c r="AB128" s="37"/>
      <c r="AC128" s="26"/>
      <c r="AE128" s="2"/>
      <c r="AF128" s="241"/>
      <c r="AG128" s="624"/>
      <c r="AH128" s="72"/>
      <c r="AI128" s="37"/>
      <c r="AJ128" s="37"/>
      <c r="AK128" s="37"/>
      <c r="AL128" s="37"/>
      <c r="AM128" s="37"/>
      <c r="AN128" s="37"/>
      <c r="AO128" s="26"/>
      <c r="AR128" s="403"/>
      <c r="AS128" s="403"/>
      <c r="AT128" s="403"/>
      <c r="AU128" s="403"/>
      <c r="AV128" s="403"/>
      <c r="AW128" s="403"/>
      <c r="AX128" s="403"/>
      <c r="AY128" s="403"/>
      <c r="AZ128" s="403"/>
      <c r="BA128" s="403"/>
      <c r="BB128" s="403"/>
      <c r="BC128" s="403"/>
      <c r="BD128" s="403"/>
      <c r="BE128" s="403"/>
      <c r="BF128" s="403"/>
      <c r="BG128" s="403"/>
      <c r="BH128" s="403"/>
      <c r="BI128" s="403"/>
      <c r="BJ128" s="403"/>
      <c r="BK128" s="403"/>
      <c r="BL128" s="403"/>
      <c r="BM128" s="403"/>
      <c r="BN128" s="403"/>
      <c r="BO128" s="403"/>
      <c r="BP128" s="403"/>
      <c r="BQ128" s="403"/>
      <c r="BR128" s="403"/>
      <c r="BS128" s="403"/>
      <c r="BT128" s="403"/>
      <c r="BU128" s="403"/>
      <c r="BV128" s="403"/>
      <c r="BW128" s="403"/>
      <c r="BX128" s="403"/>
      <c r="BY128" s="403"/>
      <c r="BZ128" s="403"/>
      <c r="CA128" s="403"/>
      <c r="CB128" s="403"/>
      <c r="CC128" s="403"/>
      <c r="CD128" s="403"/>
      <c r="CE128" s="403"/>
      <c r="CF128" s="403"/>
      <c r="CG128" s="403"/>
      <c r="CH128" s="403"/>
      <c r="CI128" s="403"/>
      <c r="CJ128" s="403"/>
      <c r="CK128" s="403"/>
      <c r="CL128" s="403"/>
      <c r="CM128" s="403"/>
      <c r="CN128" s="403"/>
      <c r="CO128" s="403"/>
      <c r="CP128" s="403"/>
      <c r="CQ128" s="403"/>
      <c r="CR128" s="403"/>
      <c r="CS128" s="403"/>
      <c r="CT128" s="403"/>
      <c r="CU128" s="403"/>
      <c r="CV128" s="403"/>
      <c r="CW128" s="403"/>
      <c r="CX128" s="403"/>
      <c r="CY128" s="403"/>
      <c r="CZ128" s="403"/>
      <c r="DA128" s="403"/>
      <c r="DB128" s="403"/>
      <c r="DC128" s="403"/>
      <c r="DD128" s="403"/>
      <c r="DE128" s="403"/>
      <c r="DF128" s="403"/>
      <c r="DG128" s="403"/>
      <c r="DH128" s="403"/>
      <c r="DI128" s="403"/>
      <c r="DJ128" s="403"/>
      <c r="DK128" s="403"/>
      <c r="DL128" s="403"/>
      <c r="DM128" s="403"/>
      <c r="DN128" s="403"/>
      <c r="DO128" s="403"/>
      <c r="DP128" s="403"/>
      <c r="DQ128" s="403"/>
      <c r="DR128" s="403"/>
      <c r="DS128" s="403"/>
      <c r="DT128" s="403"/>
      <c r="DU128" s="403"/>
      <c r="DV128" s="403"/>
      <c r="DW128" s="403"/>
      <c r="DX128" s="403"/>
      <c r="DY128" s="403"/>
      <c r="DZ128" s="403"/>
      <c r="EA128" s="403"/>
      <c r="EB128" s="403"/>
      <c r="EC128" s="403"/>
      <c r="ED128" s="403"/>
      <c r="EE128" s="403"/>
      <c r="EF128" s="403"/>
      <c r="EG128" s="403"/>
      <c r="EH128" s="403"/>
      <c r="EI128" s="403"/>
      <c r="EJ128" s="403"/>
      <c r="EK128" s="403"/>
      <c r="EL128" s="403"/>
      <c r="EM128" s="403"/>
      <c r="EN128" s="403"/>
      <c r="EO128" s="403"/>
      <c r="EP128" s="403"/>
      <c r="EQ128" s="403"/>
      <c r="ER128" s="403"/>
      <c r="ES128" s="403"/>
      <c r="ET128" s="403"/>
      <c r="EU128" s="403"/>
      <c r="EV128" s="403"/>
      <c r="EW128" s="403"/>
      <c r="EX128" s="403"/>
      <c r="EY128" s="403"/>
      <c r="EZ128" s="403"/>
      <c r="FA128" s="403"/>
      <c r="FB128" s="403"/>
      <c r="FC128" s="403"/>
      <c r="FD128" s="403"/>
      <c r="FE128" s="403"/>
      <c r="FF128" s="403"/>
      <c r="FG128" s="403"/>
      <c r="FH128" s="403"/>
      <c r="FI128" s="403"/>
      <c r="FJ128" s="403"/>
      <c r="FK128" s="403"/>
      <c r="FL128" s="403"/>
      <c r="FM128" s="403"/>
      <c r="FN128" s="403"/>
      <c r="FO128" s="403"/>
      <c r="FP128" s="403"/>
      <c r="FQ128" s="403"/>
      <c r="FR128" s="403"/>
      <c r="FS128" s="403"/>
      <c r="FT128" s="403"/>
      <c r="FU128" s="403"/>
      <c r="FV128" s="403"/>
      <c r="FW128" s="403"/>
      <c r="FX128" s="403"/>
      <c r="FY128" s="403"/>
      <c r="FZ128" s="403"/>
      <c r="GA128" s="403"/>
      <c r="GB128" s="403"/>
      <c r="GC128" s="403"/>
      <c r="GD128" s="403"/>
      <c r="GE128" s="403"/>
      <c r="GF128" s="403"/>
      <c r="GG128" s="403"/>
      <c r="GH128" s="403"/>
      <c r="GI128" s="403"/>
      <c r="GJ128" s="403"/>
      <c r="GK128" s="403"/>
      <c r="GL128" s="403"/>
      <c r="GM128" s="403"/>
      <c r="GN128" s="403"/>
      <c r="GO128" s="403"/>
      <c r="GP128" s="403"/>
      <c r="GQ128" s="403"/>
      <c r="GR128" s="403"/>
      <c r="GS128" s="403"/>
      <c r="GT128" s="403"/>
      <c r="GU128" s="403"/>
      <c r="GV128" s="403"/>
      <c r="GW128" s="403"/>
      <c r="GX128" s="403"/>
      <c r="GY128" s="403"/>
      <c r="GZ128" s="403"/>
      <c r="HA128" s="403"/>
      <c r="HB128" s="403"/>
      <c r="HC128" s="403"/>
      <c r="HD128" s="403"/>
      <c r="HE128" s="403"/>
      <c r="HF128" s="403"/>
      <c r="HG128" s="403"/>
      <c r="HH128" s="403"/>
      <c r="HI128" s="403"/>
      <c r="HJ128" s="403"/>
      <c r="HK128" s="403"/>
      <c r="HL128" s="403"/>
      <c r="HM128" s="403"/>
      <c r="HN128" s="403"/>
      <c r="HO128" s="403"/>
      <c r="HP128" s="403"/>
      <c r="HQ128" s="403"/>
      <c r="HR128" s="403"/>
      <c r="HS128" s="403"/>
      <c r="HT128" s="403"/>
      <c r="HU128" s="403"/>
      <c r="HV128" s="403"/>
      <c r="HW128" s="403"/>
      <c r="HX128" s="403"/>
      <c r="HY128" s="403"/>
      <c r="HZ128" s="403"/>
      <c r="IA128" s="403"/>
      <c r="IB128" s="403"/>
      <c r="IC128" s="403"/>
      <c r="ID128" s="403"/>
      <c r="IE128" s="403"/>
      <c r="IF128" s="403"/>
      <c r="IG128" s="403"/>
      <c r="IH128" s="403"/>
      <c r="II128" s="403"/>
      <c r="IJ128" s="403"/>
      <c r="IK128" s="403"/>
      <c r="IL128" s="403"/>
      <c r="IM128" s="403"/>
      <c r="IN128" s="403"/>
      <c r="IO128" s="403"/>
      <c r="IP128" s="403"/>
      <c r="IQ128" s="403"/>
      <c r="IR128" s="403"/>
      <c r="IS128" s="403"/>
      <c r="IT128" s="403"/>
      <c r="IU128" s="403"/>
      <c r="IV128" s="403"/>
      <c r="IW128" s="403"/>
      <c r="IX128" s="403"/>
      <c r="IY128" s="403"/>
      <c r="IZ128" s="403"/>
      <c r="JA128" s="403"/>
      <c r="JB128" s="403"/>
      <c r="JC128" s="403"/>
      <c r="JD128" s="403"/>
      <c r="JE128" s="403"/>
      <c r="JF128" s="403"/>
      <c r="JG128" s="403"/>
      <c r="JH128" s="403"/>
      <c r="JI128" s="403"/>
      <c r="JJ128" s="403"/>
      <c r="JK128" s="403"/>
      <c r="JL128" s="403"/>
      <c r="JM128" s="403"/>
      <c r="JN128" s="403"/>
      <c r="JO128" s="403"/>
      <c r="JP128" s="403"/>
      <c r="JQ128" s="403"/>
      <c r="JR128" s="403"/>
      <c r="JS128" s="403"/>
      <c r="JT128" s="403"/>
    </row>
    <row r="129" spans="1:280" s="15" customFormat="1" ht="12.75" x14ac:dyDescent="0.2">
      <c r="A129" s="9"/>
      <c r="B129" s="624" t="str">
        <f ca="1">IF(OFFSET(AT129,0,Lang_Order*Lang__B5)="","",OFFSET(AT129,0,Lang_Order*Lang__B5))</f>
        <v>Local Data Management and Monitoring, Pharmacovigilance</v>
      </c>
      <c r="C129" s="23"/>
      <c r="E129" s="26"/>
      <c r="F129" s="26"/>
      <c r="G129" s="26"/>
      <c r="H129" s="26"/>
      <c r="I129" s="26"/>
      <c r="J129" s="37"/>
      <c r="K129" s="37"/>
      <c r="L129" s="37"/>
      <c r="M129" s="37"/>
      <c r="N129" s="37"/>
      <c r="O129" s="37"/>
      <c r="P129" s="26"/>
      <c r="Q129" s="26"/>
      <c r="R129" s="12" t="str">
        <f t="shared" ca="1" si="199"/>
        <v/>
      </c>
      <c r="S129" s="2"/>
      <c r="T129" s="241"/>
      <c r="U129" s="624" t="str">
        <f ca="1">IF(OFFSET(AT129,0,Lang_Order*Lang__B5)="","",OFFSET(AT129,0,Lang_Order*Lang__B5))</f>
        <v>Local Data Management and Monitoring, Pharmacovigilance</v>
      </c>
      <c r="V129" s="72"/>
      <c r="W129" s="37"/>
      <c r="X129" s="37"/>
      <c r="Y129" s="37"/>
      <c r="Z129" s="37"/>
      <c r="AA129" s="37"/>
      <c r="AB129" s="37"/>
      <c r="AC129" s="26"/>
      <c r="AE129" s="2"/>
      <c r="AF129" s="241"/>
      <c r="AG129" s="624" t="str">
        <f ca="1">IF(OFFSET(AT129,0,Lang_Order*Lang__B5)="","",OFFSET(AT129,0,Lang_Order*Lang__B5))</f>
        <v>Local Data Management and Monitoring, Pharmacovigilance</v>
      </c>
      <c r="AH129" s="72"/>
      <c r="AI129" s="37"/>
      <c r="AJ129" s="37"/>
      <c r="AK129" s="37"/>
      <c r="AL129" s="37"/>
      <c r="AM129" s="37"/>
      <c r="AN129" s="37"/>
      <c r="AO129" s="26"/>
      <c r="AR129" s="403"/>
      <c r="AS129" s="403"/>
      <c r="AT129" s="403" t="s">
        <v>1579</v>
      </c>
      <c r="AU129" s="403"/>
      <c r="AV129" s="403"/>
      <c r="AW129" s="403"/>
      <c r="AX129" s="403"/>
      <c r="AY129" s="403"/>
      <c r="AZ129" s="403"/>
      <c r="BA129" s="403"/>
      <c r="BB129" s="403"/>
      <c r="BC129" s="403"/>
      <c r="BD129" s="403"/>
      <c r="BE129" s="403"/>
      <c r="BF129" s="403"/>
      <c r="BG129" s="403"/>
      <c r="BH129" s="403"/>
      <c r="BI129" s="403"/>
      <c r="BJ129" s="403"/>
      <c r="BK129" s="403"/>
      <c r="BL129" s="403"/>
      <c r="BM129" s="403"/>
      <c r="BN129" s="403"/>
      <c r="BO129" s="403"/>
      <c r="BP129" s="403"/>
      <c r="BQ129" s="403"/>
      <c r="BR129" s="403"/>
      <c r="BS129" s="403"/>
      <c r="BT129" s="403"/>
      <c r="BU129" s="403"/>
      <c r="BV129" s="403"/>
      <c r="BW129" s="403"/>
      <c r="BX129" s="403"/>
      <c r="BY129" s="403"/>
      <c r="BZ129" s="403"/>
      <c r="CA129" s="403"/>
      <c r="CB129" s="403" t="s">
        <v>12072</v>
      </c>
      <c r="CC129" s="403"/>
      <c r="CD129" s="403"/>
      <c r="CE129" s="403"/>
      <c r="CF129" s="403"/>
      <c r="CG129" s="403"/>
      <c r="CH129" s="403"/>
      <c r="CI129" s="403"/>
      <c r="CJ129" s="403"/>
      <c r="CK129" s="403"/>
      <c r="CL129" s="403"/>
      <c r="CM129" s="403"/>
      <c r="CN129" s="403"/>
      <c r="CO129" s="403"/>
      <c r="CP129" s="403"/>
      <c r="CQ129" s="403"/>
      <c r="CR129" s="403"/>
      <c r="CS129" s="403"/>
      <c r="CT129" s="403"/>
      <c r="CU129" s="403"/>
      <c r="CV129" s="403"/>
      <c r="CW129" s="403"/>
      <c r="CX129" s="403"/>
      <c r="CY129" s="403"/>
      <c r="CZ129" s="403"/>
      <c r="DA129" s="403"/>
      <c r="DB129" s="403"/>
      <c r="DC129" s="403"/>
      <c r="DD129" s="403"/>
      <c r="DE129" s="403"/>
      <c r="DF129" s="403"/>
      <c r="DG129" s="403"/>
      <c r="DH129" s="403"/>
      <c r="DI129" s="403"/>
      <c r="DJ129" s="403" t="s">
        <v>12073</v>
      </c>
      <c r="DK129" s="403"/>
      <c r="DL129" s="403"/>
      <c r="DM129" s="403"/>
      <c r="DN129" s="403"/>
      <c r="DO129" s="403"/>
      <c r="DP129" s="403"/>
      <c r="DQ129" s="403"/>
      <c r="DR129" s="403"/>
      <c r="DS129" s="403"/>
      <c r="DT129" s="403"/>
      <c r="DU129" s="403"/>
      <c r="DV129" s="403"/>
      <c r="DW129" s="403"/>
      <c r="DX129" s="403"/>
      <c r="DY129" s="403"/>
      <c r="DZ129" s="403"/>
      <c r="EA129" s="403"/>
      <c r="EB129" s="403"/>
      <c r="EC129" s="403"/>
      <c r="ED129" s="403"/>
      <c r="EE129" s="403"/>
      <c r="EF129" s="403"/>
      <c r="EG129" s="403"/>
      <c r="EH129" s="403"/>
      <c r="EI129" s="403"/>
      <c r="EJ129" s="403"/>
      <c r="EK129" s="403"/>
      <c r="EL129" s="403"/>
      <c r="EM129" s="403"/>
      <c r="EN129" s="403"/>
      <c r="EO129" s="403"/>
      <c r="EP129" s="403"/>
      <c r="EQ129" s="403"/>
      <c r="ER129" s="403" t="s">
        <v>12074</v>
      </c>
      <c r="ES129" s="403"/>
      <c r="ET129" s="403"/>
      <c r="EU129" s="403"/>
      <c r="EV129" s="403"/>
      <c r="EW129" s="403"/>
      <c r="EX129" s="403"/>
      <c r="EY129" s="403"/>
      <c r="EZ129" s="403"/>
      <c r="FA129" s="403"/>
      <c r="FB129" s="403"/>
      <c r="FC129" s="403"/>
      <c r="FD129" s="403"/>
      <c r="FE129" s="403"/>
      <c r="FF129" s="403"/>
      <c r="FG129" s="403"/>
      <c r="FH129" s="403"/>
      <c r="FI129" s="403"/>
      <c r="FJ129" s="403"/>
      <c r="FK129" s="403"/>
      <c r="FL129" s="403"/>
      <c r="FM129" s="403"/>
      <c r="FN129" s="403"/>
      <c r="FO129" s="403"/>
      <c r="FP129" s="403"/>
      <c r="FQ129" s="403"/>
      <c r="FR129" s="403"/>
      <c r="FS129" s="403"/>
      <c r="FT129" s="403"/>
      <c r="FU129" s="403"/>
      <c r="FV129" s="403"/>
      <c r="FW129" s="403"/>
      <c r="FX129" s="403"/>
      <c r="FY129" s="403"/>
      <c r="FZ129" s="403" t="s">
        <v>12075</v>
      </c>
      <c r="GA129" s="403"/>
      <c r="GB129" s="403"/>
      <c r="GC129" s="403"/>
      <c r="GD129" s="403"/>
      <c r="GE129" s="403"/>
      <c r="GF129" s="403"/>
      <c r="GG129" s="403"/>
      <c r="GH129" s="403"/>
      <c r="GI129" s="403"/>
      <c r="GJ129" s="403"/>
      <c r="GK129" s="403"/>
      <c r="GL129" s="403"/>
      <c r="GM129" s="403"/>
      <c r="GN129" s="403"/>
      <c r="GO129" s="403"/>
      <c r="GP129" s="403"/>
      <c r="GQ129" s="403"/>
      <c r="GR129" s="403"/>
      <c r="GS129" s="403"/>
      <c r="GT129" s="403"/>
      <c r="GU129" s="403"/>
      <c r="GV129" s="403"/>
      <c r="GW129" s="403"/>
      <c r="GX129" s="403"/>
      <c r="GY129" s="403"/>
      <c r="GZ129" s="403"/>
      <c r="HA129" s="403"/>
      <c r="HB129" s="403"/>
      <c r="HC129" s="403"/>
      <c r="HD129" s="403"/>
      <c r="HE129" s="403"/>
      <c r="HF129" s="403"/>
      <c r="HG129" s="403"/>
      <c r="HH129" s="403" t="s">
        <v>12076</v>
      </c>
      <c r="HI129" s="403"/>
      <c r="HJ129" s="403"/>
      <c r="HK129" s="403"/>
      <c r="HL129" s="403"/>
      <c r="HM129" s="403"/>
      <c r="HN129" s="403"/>
      <c r="HO129" s="403"/>
      <c r="HP129" s="403"/>
      <c r="HQ129" s="403"/>
      <c r="HR129" s="403"/>
      <c r="HS129" s="403"/>
      <c r="HT129" s="403"/>
      <c r="HU129" s="403"/>
      <c r="HV129" s="403"/>
      <c r="HW129" s="403"/>
      <c r="HX129" s="403"/>
      <c r="HY129" s="403"/>
      <c r="HZ129" s="403"/>
      <c r="IA129" s="403"/>
      <c r="IB129" s="403"/>
      <c r="IC129" s="403"/>
      <c r="ID129" s="403"/>
      <c r="IE129" s="403"/>
      <c r="IF129" s="403"/>
      <c r="IG129" s="403"/>
      <c r="IH129" s="403"/>
      <c r="II129" s="403"/>
      <c r="IJ129" s="403"/>
      <c r="IK129" s="403"/>
      <c r="IL129" s="403"/>
      <c r="IM129" s="403"/>
      <c r="IN129" s="403"/>
      <c r="IO129" s="403"/>
      <c r="IP129" s="403" t="s">
        <v>12077</v>
      </c>
      <c r="IQ129" s="403"/>
      <c r="IR129" s="403"/>
      <c r="IS129" s="403"/>
      <c r="IT129" s="403"/>
      <c r="IU129" s="403"/>
      <c r="IV129" s="403"/>
      <c r="IW129" s="403"/>
      <c r="IX129" s="403"/>
      <c r="IY129" s="403"/>
      <c r="IZ129" s="403"/>
      <c r="JA129" s="403"/>
      <c r="JB129" s="403"/>
      <c r="JC129" s="403"/>
      <c r="JD129" s="403"/>
      <c r="JE129" s="403"/>
      <c r="JF129" s="403"/>
      <c r="JG129" s="403"/>
      <c r="JH129" s="403"/>
      <c r="JI129" s="403"/>
      <c r="JJ129" s="403"/>
      <c r="JK129" s="403"/>
      <c r="JL129" s="403"/>
      <c r="JM129" s="403"/>
      <c r="JN129" s="403"/>
      <c r="JO129" s="403"/>
      <c r="JP129" s="403"/>
      <c r="JQ129" s="403"/>
      <c r="JR129" s="403"/>
      <c r="JS129" s="403"/>
      <c r="JT129" s="403"/>
    </row>
    <row r="130" spans="1:280" s="15" customFormat="1" ht="12.75" x14ac:dyDescent="0.2">
      <c r="A130" s="9"/>
      <c r="B130" s="624"/>
      <c r="C130" s="23" t="str">
        <f ca="1">IF(OFFSET(AU130,0,Lang_Order*Lang__B5)="","",OFFSET(AU130,0,Lang_Order*Lang__B5))</f>
        <v>Per Site</v>
      </c>
      <c r="E130" s="26"/>
      <c r="F130" s="26"/>
      <c r="G130" s="26"/>
      <c r="H130" s="26"/>
      <c r="I130" s="26"/>
      <c r="J130" s="37" t="e">
        <f t="shared" ref="J130:O130" si="280">J96*AUCs_Data_perSite</f>
        <v>#N/A</v>
      </c>
      <c r="K130" s="37" t="e">
        <f t="shared" si="280"/>
        <v>#N/A</v>
      </c>
      <c r="L130" s="37" t="e">
        <f t="shared" si="280"/>
        <v>#N/A</v>
      </c>
      <c r="M130" s="37" t="e">
        <f t="shared" si="280"/>
        <v>#N/A</v>
      </c>
      <c r="N130" s="37" t="e">
        <f t="shared" si="280"/>
        <v>#N/A</v>
      </c>
      <c r="O130" s="37" t="e">
        <f t="shared" si="280"/>
        <v>#N/A</v>
      </c>
      <c r="P130" s="83" t="e">
        <f>SUM(J130:O130)</f>
        <v>#N/A</v>
      </c>
      <c r="Q130" s="83"/>
      <c r="R130" s="12" t="str">
        <f t="shared" ca="1" si="199"/>
        <v/>
      </c>
      <c r="S130" s="2"/>
      <c r="T130" s="241"/>
      <c r="U130" s="624"/>
      <c r="V130" s="72" t="str">
        <f ca="1">IF(OFFSET(AU130,0,Lang_Order*Lang__B5)="","",OFFSET(AU130,0,Lang_Order*Lang__B5))</f>
        <v>Per Site</v>
      </c>
      <c r="W130" s="37" t="e">
        <f t="shared" ref="W130:AB130" si="281">W96*AUCs_Data_perSite</f>
        <v>#N/A</v>
      </c>
      <c r="X130" s="37" t="e">
        <f t="shared" si="281"/>
        <v>#N/A</v>
      </c>
      <c r="Y130" s="37" t="e">
        <f t="shared" si="281"/>
        <v>#N/A</v>
      </c>
      <c r="Z130" s="37" t="e">
        <f t="shared" si="281"/>
        <v>#N/A</v>
      </c>
      <c r="AA130" s="37" t="e">
        <f t="shared" si="281"/>
        <v>#N/A</v>
      </c>
      <c r="AB130" s="37" t="e">
        <f t="shared" si="281"/>
        <v>#N/A</v>
      </c>
      <c r="AC130" s="83" t="e">
        <f>SUM(W130:AB130)</f>
        <v>#N/A</v>
      </c>
      <c r="AE130" s="2"/>
      <c r="AF130" s="241"/>
      <c r="AG130" s="624"/>
      <c r="AH130" s="72" t="str">
        <f ca="1">IF(OFFSET(AU130,0,Lang_Order*Lang__B5)="","",OFFSET(AU130,0,Lang_Order*Lang__B5))</f>
        <v>Per Site</v>
      </c>
      <c r="AI130" s="37" t="e">
        <f t="shared" ref="AI130:AN130" si="282">AI96*AUCs_Data_perSite</f>
        <v>#N/A</v>
      </c>
      <c r="AJ130" s="37" t="e">
        <f t="shared" si="282"/>
        <v>#N/A</v>
      </c>
      <c r="AK130" s="37" t="e">
        <f t="shared" si="282"/>
        <v>#N/A</v>
      </c>
      <c r="AL130" s="37" t="e">
        <f t="shared" si="282"/>
        <v>#N/A</v>
      </c>
      <c r="AM130" s="37" t="e">
        <f t="shared" si="282"/>
        <v>#N/A</v>
      </c>
      <c r="AN130" s="37" t="e">
        <f t="shared" si="282"/>
        <v>#N/A</v>
      </c>
      <c r="AO130" s="83" t="e">
        <f>SUM(AI130:AN130)</f>
        <v>#N/A</v>
      </c>
      <c r="AR130" s="403"/>
      <c r="AS130" s="403"/>
      <c r="AT130" s="403"/>
      <c r="AU130" s="403" t="s">
        <v>1580</v>
      </c>
      <c r="AV130" s="403"/>
      <c r="AW130" s="403"/>
      <c r="AX130" s="403"/>
      <c r="AY130" s="403"/>
      <c r="AZ130" s="403"/>
      <c r="BA130" s="403"/>
      <c r="BB130" s="403"/>
      <c r="BC130" s="403"/>
      <c r="BD130" s="403"/>
      <c r="BE130" s="403"/>
      <c r="BF130" s="403"/>
      <c r="BG130" s="403"/>
      <c r="BH130" s="403"/>
      <c r="BI130" s="403"/>
      <c r="BJ130" s="403"/>
      <c r="BK130" s="403"/>
      <c r="BL130" s="403"/>
      <c r="BM130" s="403"/>
      <c r="BN130" s="403"/>
      <c r="BO130" s="403"/>
      <c r="BP130" s="403"/>
      <c r="BQ130" s="403"/>
      <c r="BR130" s="403"/>
      <c r="BS130" s="403"/>
      <c r="BT130" s="403"/>
      <c r="BU130" s="403"/>
      <c r="BV130" s="403"/>
      <c r="BW130" s="403"/>
      <c r="BX130" s="403"/>
      <c r="BY130" s="403"/>
      <c r="BZ130" s="403"/>
      <c r="CA130" s="403"/>
      <c r="CB130" s="403"/>
      <c r="CC130" s="403" t="s">
        <v>8457</v>
      </c>
      <c r="CD130" s="403"/>
      <c r="CE130" s="403"/>
      <c r="CF130" s="403"/>
      <c r="CG130" s="403"/>
      <c r="CH130" s="403"/>
      <c r="CI130" s="403"/>
      <c r="CJ130" s="403"/>
      <c r="CK130" s="403"/>
      <c r="CL130" s="403"/>
      <c r="CM130" s="403"/>
      <c r="CN130" s="403"/>
      <c r="CO130" s="403"/>
      <c r="CP130" s="403"/>
      <c r="CQ130" s="403"/>
      <c r="CR130" s="403"/>
      <c r="CS130" s="403"/>
      <c r="CT130" s="403"/>
      <c r="CU130" s="403"/>
      <c r="CV130" s="403"/>
      <c r="CW130" s="403"/>
      <c r="CX130" s="403"/>
      <c r="CY130" s="403"/>
      <c r="CZ130" s="403"/>
      <c r="DA130" s="403"/>
      <c r="DB130" s="403"/>
      <c r="DC130" s="403"/>
      <c r="DD130" s="403"/>
      <c r="DE130" s="403"/>
      <c r="DF130" s="403"/>
      <c r="DG130" s="403"/>
      <c r="DH130" s="403"/>
      <c r="DI130" s="403"/>
      <c r="DJ130" s="403"/>
      <c r="DK130" s="403" t="s">
        <v>9147</v>
      </c>
      <c r="DL130" s="403"/>
      <c r="DM130" s="403"/>
      <c r="DN130" s="403"/>
      <c r="DO130" s="403"/>
      <c r="DP130" s="403"/>
      <c r="DQ130" s="403"/>
      <c r="DR130" s="403"/>
      <c r="DS130" s="403"/>
      <c r="DT130" s="403"/>
      <c r="DU130" s="403"/>
      <c r="DV130" s="403"/>
      <c r="DW130" s="403"/>
      <c r="DX130" s="403"/>
      <c r="DY130" s="403"/>
      <c r="DZ130" s="403"/>
      <c r="EA130" s="403"/>
      <c r="EB130" s="403"/>
      <c r="EC130" s="403"/>
      <c r="ED130" s="403"/>
      <c r="EE130" s="403"/>
      <c r="EF130" s="403"/>
      <c r="EG130" s="403"/>
      <c r="EH130" s="403"/>
      <c r="EI130" s="403"/>
      <c r="EJ130" s="403"/>
      <c r="EK130" s="403"/>
      <c r="EL130" s="403"/>
      <c r="EM130" s="403"/>
      <c r="EN130" s="403"/>
      <c r="EO130" s="403"/>
      <c r="EP130" s="403"/>
      <c r="EQ130" s="403"/>
      <c r="ER130" s="403"/>
      <c r="ES130" s="403" t="s">
        <v>8579</v>
      </c>
      <c r="ET130" s="403"/>
      <c r="EU130" s="403"/>
      <c r="EV130" s="403"/>
      <c r="EW130" s="403"/>
      <c r="EX130" s="403"/>
      <c r="EY130" s="403"/>
      <c r="EZ130" s="403"/>
      <c r="FA130" s="403"/>
      <c r="FB130" s="403"/>
      <c r="FC130" s="403"/>
      <c r="FD130" s="403"/>
      <c r="FE130" s="403"/>
      <c r="FF130" s="403"/>
      <c r="FG130" s="403"/>
      <c r="FH130" s="403"/>
      <c r="FI130" s="403"/>
      <c r="FJ130" s="403"/>
      <c r="FK130" s="403"/>
      <c r="FL130" s="403"/>
      <c r="FM130" s="403"/>
      <c r="FN130" s="403"/>
      <c r="FO130" s="403"/>
      <c r="FP130" s="403"/>
      <c r="FQ130" s="403"/>
      <c r="FR130" s="403"/>
      <c r="FS130" s="403"/>
      <c r="FT130" s="403"/>
      <c r="FU130" s="403"/>
      <c r="FV130" s="403"/>
      <c r="FW130" s="403"/>
      <c r="FX130" s="403"/>
      <c r="FY130" s="403"/>
      <c r="FZ130" s="403"/>
      <c r="GA130" s="403" t="s">
        <v>8463</v>
      </c>
      <c r="GB130" s="403"/>
      <c r="GC130" s="403"/>
      <c r="GD130" s="403"/>
      <c r="GE130" s="403"/>
      <c r="GF130" s="403"/>
      <c r="GG130" s="403"/>
      <c r="GH130" s="403"/>
      <c r="GI130" s="403"/>
      <c r="GJ130" s="403"/>
      <c r="GK130" s="403"/>
      <c r="GL130" s="403"/>
      <c r="GM130" s="403"/>
      <c r="GN130" s="403"/>
      <c r="GO130" s="403"/>
      <c r="GP130" s="403"/>
      <c r="GQ130" s="403"/>
      <c r="GR130" s="403"/>
      <c r="GS130" s="403"/>
      <c r="GT130" s="403"/>
      <c r="GU130" s="403"/>
      <c r="GV130" s="403"/>
      <c r="GW130" s="403"/>
      <c r="GX130" s="403"/>
      <c r="GY130" s="403"/>
      <c r="GZ130" s="403"/>
      <c r="HA130" s="403"/>
      <c r="HB130" s="403"/>
      <c r="HC130" s="403"/>
      <c r="HD130" s="403"/>
      <c r="HE130" s="403"/>
      <c r="HF130" s="403"/>
      <c r="HG130" s="403"/>
      <c r="HH130" s="403"/>
      <c r="HI130" s="403" t="s">
        <v>12019</v>
      </c>
      <c r="HJ130" s="403"/>
      <c r="HK130" s="403"/>
      <c r="HL130" s="403"/>
      <c r="HM130" s="403"/>
      <c r="HN130" s="403"/>
      <c r="HO130" s="403"/>
      <c r="HP130" s="403"/>
      <c r="HQ130" s="403"/>
      <c r="HR130" s="403"/>
      <c r="HS130" s="403"/>
      <c r="HT130" s="403"/>
      <c r="HU130" s="403"/>
      <c r="HV130" s="403"/>
      <c r="HW130" s="403"/>
      <c r="HX130" s="403"/>
      <c r="HY130" s="403"/>
      <c r="HZ130" s="403"/>
      <c r="IA130" s="403"/>
      <c r="IB130" s="403"/>
      <c r="IC130" s="403"/>
      <c r="ID130" s="403"/>
      <c r="IE130" s="403"/>
      <c r="IF130" s="403"/>
      <c r="IG130" s="403"/>
      <c r="IH130" s="403"/>
      <c r="II130" s="403"/>
      <c r="IJ130" s="403"/>
      <c r="IK130" s="403"/>
      <c r="IL130" s="403"/>
      <c r="IM130" s="403"/>
      <c r="IN130" s="403"/>
      <c r="IO130" s="403"/>
      <c r="IP130" s="403"/>
      <c r="IQ130" s="403" t="s">
        <v>8467</v>
      </c>
      <c r="IR130" s="403"/>
      <c r="IS130" s="403"/>
      <c r="IT130" s="403"/>
      <c r="IU130" s="403"/>
      <c r="IV130" s="403"/>
      <c r="IW130" s="403"/>
      <c r="IX130" s="403"/>
      <c r="IY130" s="403"/>
      <c r="IZ130" s="403"/>
      <c r="JA130" s="403"/>
      <c r="JB130" s="403"/>
      <c r="JC130" s="403"/>
      <c r="JD130" s="403"/>
      <c r="JE130" s="403"/>
      <c r="JF130" s="403"/>
      <c r="JG130" s="403"/>
      <c r="JH130" s="403"/>
      <c r="JI130" s="403"/>
      <c r="JJ130" s="403"/>
      <c r="JK130" s="403"/>
      <c r="JL130" s="403"/>
      <c r="JM130" s="403"/>
      <c r="JN130" s="403"/>
      <c r="JO130" s="403"/>
      <c r="JP130" s="403"/>
      <c r="JQ130" s="403"/>
      <c r="JR130" s="403"/>
      <c r="JS130" s="403"/>
      <c r="JT130" s="403"/>
    </row>
    <row r="131" spans="1:280" s="15" customFormat="1" ht="12.75" x14ac:dyDescent="0.2">
      <c r="A131" s="9"/>
      <c r="B131" s="624"/>
      <c r="C131" s="23" t="str">
        <f ca="1">IF(OFFSET(AU131,0,Lang_Order*Lang__B5)="","",OFFSET(AU131,0,Lang_Order*Lang__B5))</f>
        <v>Per Site per Day</v>
      </c>
      <c r="E131" s="26"/>
      <c r="F131" s="26"/>
      <c r="G131" s="26"/>
      <c r="H131" s="26"/>
      <c r="I131" s="26"/>
      <c r="J131" s="37" t="e">
        <f t="shared" ref="J131:O131" si="283">J111*AUCs_Data_perSiteperDay</f>
        <v>#N/A</v>
      </c>
      <c r="K131" s="37" t="e">
        <f t="shared" si="283"/>
        <v>#N/A</v>
      </c>
      <c r="L131" s="37" t="e">
        <f t="shared" si="283"/>
        <v>#N/A</v>
      </c>
      <c r="M131" s="37" t="e">
        <f t="shared" si="283"/>
        <v>#N/A</v>
      </c>
      <c r="N131" s="37" t="e">
        <f t="shared" si="283"/>
        <v>#N/A</v>
      </c>
      <c r="O131" s="37" t="e">
        <f t="shared" si="283"/>
        <v>#N/A</v>
      </c>
      <c r="P131" s="83" t="e">
        <f>SUM(J131:O131)</f>
        <v>#N/A</v>
      </c>
      <c r="Q131" s="83"/>
      <c r="R131" s="12" t="str">
        <f t="shared" ca="1" si="199"/>
        <v/>
      </c>
      <c r="S131" s="2"/>
      <c r="T131" s="241"/>
      <c r="U131" s="624"/>
      <c r="V131" s="72" t="str">
        <f ca="1">IF(OFFSET(AU131,0,Lang_Order*Lang__B5)="","",OFFSET(AU131,0,Lang_Order*Lang__B5))</f>
        <v>Per Site per Day</v>
      </c>
      <c r="W131" s="37" t="e">
        <f t="shared" ref="W131:AB131" si="284">W111*AUCs_Data_perSiteperDay</f>
        <v>#N/A</v>
      </c>
      <c r="X131" s="37" t="e">
        <f t="shared" si="284"/>
        <v>#N/A</v>
      </c>
      <c r="Y131" s="37" t="e">
        <f t="shared" si="284"/>
        <v>#N/A</v>
      </c>
      <c r="Z131" s="37" t="e">
        <f t="shared" si="284"/>
        <v>#N/A</v>
      </c>
      <c r="AA131" s="37" t="e">
        <f t="shared" si="284"/>
        <v>#N/A</v>
      </c>
      <c r="AB131" s="37" t="e">
        <f t="shared" si="284"/>
        <v>#N/A</v>
      </c>
      <c r="AC131" s="83" t="e">
        <f>SUM(W131:AB131)</f>
        <v>#N/A</v>
      </c>
      <c r="AE131" s="2"/>
      <c r="AF131" s="241"/>
      <c r="AG131" s="624"/>
      <c r="AH131" s="72" t="str">
        <f ca="1">IF(OFFSET(AU131,0,Lang_Order*Lang__B5)="","",OFFSET(AU131,0,Lang_Order*Lang__B5))</f>
        <v>Per Site per Day</v>
      </c>
      <c r="AI131" s="37" t="e">
        <f t="shared" ref="AI131:AN131" si="285">AI111*AUCs_Data_perSiteperDay</f>
        <v>#N/A</v>
      </c>
      <c r="AJ131" s="37" t="e">
        <f t="shared" si="285"/>
        <v>#N/A</v>
      </c>
      <c r="AK131" s="37" t="e">
        <f t="shared" si="285"/>
        <v>#N/A</v>
      </c>
      <c r="AL131" s="37" t="e">
        <f t="shared" si="285"/>
        <v>#N/A</v>
      </c>
      <c r="AM131" s="37" t="e">
        <f t="shared" si="285"/>
        <v>#N/A</v>
      </c>
      <c r="AN131" s="37" t="e">
        <f t="shared" si="285"/>
        <v>#N/A</v>
      </c>
      <c r="AO131" s="83" t="e">
        <f>SUM(AI131:AN131)</f>
        <v>#N/A</v>
      </c>
      <c r="AR131" s="403"/>
      <c r="AS131" s="403"/>
      <c r="AT131" s="403"/>
      <c r="AU131" s="403" t="s">
        <v>1586</v>
      </c>
      <c r="AV131" s="403"/>
      <c r="AW131" s="403"/>
      <c r="AX131" s="403"/>
      <c r="AY131" s="403"/>
      <c r="AZ131" s="403"/>
      <c r="BA131" s="403"/>
      <c r="BB131" s="403"/>
      <c r="BC131" s="403"/>
      <c r="BD131" s="403"/>
      <c r="BE131" s="403"/>
      <c r="BF131" s="403"/>
      <c r="BG131" s="403"/>
      <c r="BH131" s="403"/>
      <c r="BI131" s="403"/>
      <c r="BJ131" s="403"/>
      <c r="BK131" s="403"/>
      <c r="BL131" s="403"/>
      <c r="BM131" s="403"/>
      <c r="BN131" s="403"/>
      <c r="BO131" s="403"/>
      <c r="BP131" s="403"/>
      <c r="BQ131" s="403"/>
      <c r="BR131" s="403"/>
      <c r="BS131" s="403"/>
      <c r="BT131" s="403"/>
      <c r="BU131" s="403"/>
      <c r="BV131" s="403"/>
      <c r="BW131" s="403"/>
      <c r="BX131" s="403"/>
      <c r="BY131" s="403"/>
      <c r="BZ131" s="403"/>
      <c r="CA131" s="403"/>
      <c r="CB131" s="403"/>
      <c r="CC131" s="403" t="s">
        <v>12078</v>
      </c>
      <c r="CD131" s="403"/>
      <c r="CE131" s="403"/>
      <c r="CF131" s="403"/>
      <c r="CG131" s="403"/>
      <c r="CH131" s="403"/>
      <c r="CI131" s="403"/>
      <c r="CJ131" s="403"/>
      <c r="CK131" s="403"/>
      <c r="CL131" s="403"/>
      <c r="CM131" s="403"/>
      <c r="CN131" s="403"/>
      <c r="CO131" s="403"/>
      <c r="CP131" s="403"/>
      <c r="CQ131" s="403"/>
      <c r="CR131" s="403"/>
      <c r="CS131" s="403"/>
      <c r="CT131" s="403"/>
      <c r="CU131" s="403"/>
      <c r="CV131" s="403"/>
      <c r="CW131" s="403"/>
      <c r="CX131" s="403"/>
      <c r="CY131" s="403"/>
      <c r="CZ131" s="403"/>
      <c r="DA131" s="403"/>
      <c r="DB131" s="403"/>
      <c r="DC131" s="403"/>
      <c r="DD131" s="403"/>
      <c r="DE131" s="403"/>
      <c r="DF131" s="403"/>
      <c r="DG131" s="403"/>
      <c r="DH131" s="403"/>
      <c r="DI131" s="403"/>
      <c r="DJ131" s="403"/>
      <c r="DK131" s="403" t="s">
        <v>12079</v>
      </c>
      <c r="DL131" s="403"/>
      <c r="DM131" s="403"/>
      <c r="DN131" s="403"/>
      <c r="DO131" s="403"/>
      <c r="DP131" s="403"/>
      <c r="DQ131" s="403"/>
      <c r="DR131" s="403"/>
      <c r="DS131" s="403"/>
      <c r="DT131" s="403"/>
      <c r="DU131" s="403"/>
      <c r="DV131" s="403"/>
      <c r="DW131" s="403"/>
      <c r="DX131" s="403"/>
      <c r="DY131" s="403"/>
      <c r="DZ131" s="403"/>
      <c r="EA131" s="403"/>
      <c r="EB131" s="403"/>
      <c r="EC131" s="403"/>
      <c r="ED131" s="403"/>
      <c r="EE131" s="403"/>
      <c r="EF131" s="403"/>
      <c r="EG131" s="403"/>
      <c r="EH131" s="403"/>
      <c r="EI131" s="403"/>
      <c r="EJ131" s="403"/>
      <c r="EK131" s="403"/>
      <c r="EL131" s="403"/>
      <c r="EM131" s="403"/>
      <c r="EN131" s="403"/>
      <c r="EO131" s="403"/>
      <c r="EP131" s="403"/>
      <c r="EQ131" s="403"/>
      <c r="ER131" s="403"/>
      <c r="ES131" s="403" t="s">
        <v>8437</v>
      </c>
      <c r="ET131" s="403"/>
      <c r="EU131" s="403"/>
      <c r="EV131" s="403"/>
      <c r="EW131" s="403"/>
      <c r="EX131" s="403"/>
      <c r="EY131" s="403"/>
      <c r="EZ131" s="403"/>
      <c r="FA131" s="403"/>
      <c r="FB131" s="403"/>
      <c r="FC131" s="403"/>
      <c r="FD131" s="403"/>
      <c r="FE131" s="403"/>
      <c r="FF131" s="403"/>
      <c r="FG131" s="403"/>
      <c r="FH131" s="403"/>
      <c r="FI131" s="403"/>
      <c r="FJ131" s="403"/>
      <c r="FK131" s="403"/>
      <c r="FL131" s="403"/>
      <c r="FM131" s="403"/>
      <c r="FN131" s="403"/>
      <c r="FO131" s="403"/>
      <c r="FP131" s="403"/>
      <c r="FQ131" s="403"/>
      <c r="FR131" s="403"/>
      <c r="FS131" s="403"/>
      <c r="FT131" s="403"/>
      <c r="FU131" s="403"/>
      <c r="FV131" s="403"/>
      <c r="FW131" s="403"/>
      <c r="FX131" s="403"/>
      <c r="FY131" s="403"/>
      <c r="FZ131" s="403"/>
      <c r="GA131" s="403" t="s">
        <v>8439</v>
      </c>
      <c r="GB131" s="403"/>
      <c r="GC131" s="403"/>
      <c r="GD131" s="403"/>
      <c r="GE131" s="403"/>
      <c r="GF131" s="403"/>
      <c r="GG131" s="403"/>
      <c r="GH131" s="403"/>
      <c r="GI131" s="403"/>
      <c r="GJ131" s="403"/>
      <c r="GK131" s="403"/>
      <c r="GL131" s="403"/>
      <c r="GM131" s="403"/>
      <c r="GN131" s="403"/>
      <c r="GO131" s="403"/>
      <c r="GP131" s="403"/>
      <c r="GQ131" s="403"/>
      <c r="GR131" s="403"/>
      <c r="GS131" s="403"/>
      <c r="GT131" s="403"/>
      <c r="GU131" s="403"/>
      <c r="GV131" s="403"/>
      <c r="GW131" s="403"/>
      <c r="GX131" s="403"/>
      <c r="GY131" s="403"/>
      <c r="GZ131" s="403"/>
      <c r="HA131" s="403"/>
      <c r="HB131" s="403"/>
      <c r="HC131" s="403"/>
      <c r="HD131" s="403"/>
      <c r="HE131" s="403"/>
      <c r="HF131" s="403"/>
      <c r="HG131" s="403"/>
      <c r="HH131" s="403"/>
      <c r="HI131" s="403" t="s">
        <v>12080</v>
      </c>
      <c r="HJ131" s="403"/>
      <c r="HK131" s="403"/>
      <c r="HL131" s="403"/>
      <c r="HM131" s="403"/>
      <c r="HN131" s="403"/>
      <c r="HO131" s="403"/>
      <c r="HP131" s="403"/>
      <c r="HQ131" s="403"/>
      <c r="HR131" s="403"/>
      <c r="HS131" s="403"/>
      <c r="HT131" s="403"/>
      <c r="HU131" s="403"/>
      <c r="HV131" s="403"/>
      <c r="HW131" s="403"/>
      <c r="HX131" s="403"/>
      <c r="HY131" s="403"/>
      <c r="HZ131" s="403"/>
      <c r="IA131" s="403"/>
      <c r="IB131" s="403"/>
      <c r="IC131" s="403"/>
      <c r="ID131" s="403"/>
      <c r="IE131" s="403"/>
      <c r="IF131" s="403"/>
      <c r="IG131" s="403"/>
      <c r="IH131" s="403"/>
      <c r="II131" s="403"/>
      <c r="IJ131" s="403"/>
      <c r="IK131" s="403"/>
      <c r="IL131" s="403"/>
      <c r="IM131" s="403"/>
      <c r="IN131" s="403"/>
      <c r="IO131" s="403"/>
      <c r="IP131" s="403"/>
      <c r="IQ131" s="403" t="s">
        <v>12081</v>
      </c>
      <c r="IR131" s="403"/>
      <c r="IS131" s="403"/>
      <c r="IT131" s="403"/>
      <c r="IU131" s="403"/>
      <c r="IV131" s="403"/>
      <c r="IW131" s="403"/>
      <c r="IX131" s="403"/>
      <c r="IY131" s="403"/>
      <c r="IZ131" s="403"/>
      <c r="JA131" s="403"/>
      <c r="JB131" s="403"/>
      <c r="JC131" s="403"/>
      <c r="JD131" s="403"/>
      <c r="JE131" s="403"/>
      <c r="JF131" s="403"/>
      <c r="JG131" s="403"/>
      <c r="JH131" s="403"/>
      <c r="JI131" s="403"/>
      <c r="JJ131" s="403"/>
      <c r="JK131" s="403"/>
      <c r="JL131" s="403"/>
      <c r="JM131" s="403"/>
      <c r="JN131" s="403"/>
      <c r="JO131" s="403"/>
      <c r="JP131" s="403"/>
      <c r="JQ131" s="403"/>
      <c r="JR131" s="403"/>
      <c r="JS131" s="403"/>
      <c r="JT131" s="403"/>
    </row>
    <row r="132" spans="1:280" s="15" customFormat="1" ht="12.75" x14ac:dyDescent="0.2">
      <c r="A132" s="9"/>
      <c r="B132" s="624"/>
      <c r="C132" s="23"/>
      <c r="E132" s="26"/>
      <c r="F132" s="26"/>
      <c r="G132" s="26"/>
      <c r="H132" s="26"/>
      <c r="I132" s="26"/>
      <c r="J132" s="37"/>
      <c r="K132" s="37"/>
      <c r="L132" s="37"/>
      <c r="M132" s="37"/>
      <c r="N132" s="37"/>
      <c r="O132" s="37"/>
      <c r="P132" s="26"/>
      <c r="Q132" s="26"/>
      <c r="R132" s="12" t="str">
        <f t="shared" ca="1" si="199"/>
        <v/>
      </c>
      <c r="S132" s="2"/>
      <c r="T132" s="241"/>
      <c r="U132" s="624"/>
      <c r="V132" s="72"/>
      <c r="AC132" s="26"/>
      <c r="AE132" s="2"/>
      <c r="AF132" s="241"/>
      <c r="AG132" s="624"/>
      <c r="AH132" s="72"/>
      <c r="AO132" s="26"/>
      <c r="AR132" s="403"/>
      <c r="AS132" s="403"/>
      <c r="AT132" s="403"/>
      <c r="AU132" s="403"/>
      <c r="AV132" s="403"/>
      <c r="AW132" s="403"/>
      <c r="AX132" s="403"/>
      <c r="AY132" s="403"/>
      <c r="AZ132" s="403"/>
      <c r="BA132" s="403"/>
      <c r="BB132" s="403"/>
      <c r="BC132" s="403"/>
      <c r="BD132" s="403"/>
      <c r="BE132" s="403"/>
      <c r="BF132" s="403"/>
      <c r="BG132" s="403"/>
      <c r="BH132" s="403"/>
      <c r="BI132" s="403"/>
      <c r="BJ132" s="403"/>
      <c r="BK132" s="403"/>
      <c r="BL132" s="403"/>
      <c r="BM132" s="403"/>
      <c r="BN132" s="403"/>
      <c r="BO132" s="403"/>
      <c r="BP132" s="403"/>
      <c r="BQ132" s="403"/>
      <c r="BR132" s="403"/>
      <c r="BS132" s="403"/>
      <c r="BT132" s="403"/>
      <c r="BU132" s="403"/>
      <c r="BV132" s="403"/>
      <c r="BW132" s="403"/>
      <c r="BX132" s="403"/>
      <c r="BY132" s="403"/>
      <c r="BZ132" s="403"/>
      <c r="CA132" s="403"/>
      <c r="CB132" s="403"/>
      <c r="CC132" s="403"/>
      <c r="CD132" s="403"/>
      <c r="CE132" s="403"/>
      <c r="CF132" s="403"/>
      <c r="CG132" s="403"/>
      <c r="CH132" s="403"/>
      <c r="CI132" s="403"/>
      <c r="CJ132" s="403"/>
      <c r="CK132" s="403"/>
      <c r="CL132" s="403"/>
      <c r="CM132" s="403"/>
      <c r="CN132" s="403"/>
      <c r="CO132" s="403"/>
      <c r="CP132" s="403"/>
      <c r="CQ132" s="403"/>
      <c r="CR132" s="403"/>
      <c r="CS132" s="403"/>
      <c r="CT132" s="403"/>
      <c r="CU132" s="403"/>
      <c r="CV132" s="403"/>
      <c r="CW132" s="403"/>
      <c r="CX132" s="403"/>
      <c r="CY132" s="403"/>
      <c r="CZ132" s="403"/>
      <c r="DA132" s="403"/>
      <c r="DB132" s="403"/>
      <c r="DC132" s="403"/>
      <c r="DD132" s="403"/>
      <c r="DE132" s="403"/>
      <c r="DF132" s="403"/>
      <c r="DG132" s="403"/>
      <c r="DH132" s="403"/>
      <c r="DI132" s="403"/>
      <c r="DJ132" s="403"/>
      <c r="DK132" s="403"/>
      <c r="DL132" s="403"/>
      <c r="DM132" s="403"/>
      <c r="DN132" s="403"/>
      <c r="DO132" s="403"/>
      <c r="DP132" s="403"/>
      <c r="DQ132" s="403"/>
      <c r="DR132" s="403"/>
      <c r="DS132" s="403"/>
      <c r="DT132" s="403"/>
      <c r="DU132" s="403"/>
      <c r="DV132" s="403"/>
      <c r="DW132" s="403"/>
      <c r="DX132" s="403"/>
      <c r="DY132" s="403"/>
      <c r="DZ132" s="403"/>
      <c r="EA132" s="403"/>
      <c r="EB132" s="403"/>
      <c r="EC132" s="403"/>
      <c r="ED132" s="403"/>
      <c r="EE132" s="403"/>
      <c r="EF132" s="403"/>
      <c r="EG132" s="403"/>
      <c r="EH132" s="403"/>
      <c r="EI132" s="403"/>
      <c r="EJ132" s="403"/>
      <c r="EK132" s="403"/>
      <c r="EL132" s="403"/>
      <c r="EM132" s="403"/>
      <c r="EN132" s="403"/>
      <c r="EO132" s="403"/>
      <c r="EP132" s="403"/>
      <c r="EQ132" s="403"/>
      <c r="ER132" s="403"/>
      <c r="ES132" s="403"/>
      <c r="ET132" s="403"/>
      <c r="EU132" s="403"/>
      <c r="EV132" s="403"/>
      <c r="EW132" s="403"/>
      <c r="EX132" s="403"/>
      <c r="EY132" s="403"/>
      <c r="EZ132" s="403"/>
      <c r="FA132" s="403"/>
      <c r="FB132" s="403"/>
      <c r="FC132" s="403"/>
      <c r="FD132" s="403"/>
      <c r="FE132" s="403"/>
      <c r="FF132" s="403"/>
      <c r="FG132" s="403"/>
      <c r="FH132" s="403"/>
      <c r="FI132" s="403"/>
      <c r="FJ132" s="403"/>
      <c r="FK132" s="403"/>
      <c r="FL132" s="403"/>
      <c r="FM132" s="403"/>
      <c r="FN132" s="403"/>
      <c r="FO132" s="403"/>
      <c r="FP132" s="403"/>
      <c r="FQ132" s="403"/>
      <c r="FR132" s="403"/>
      <c r="FS132" s="403"/>
      <c r="FT132" s="403"/>
      <c r="FU132" s="403"/>
      <c r="FV132" s="403"/>
      <c r="FW132" s="403"/>
      <c r="FX132" s="403"/>
      <c r="FY132" s="403"/>
      <c r="FZ132" s="403"/>
      <c r="GA132" s="403"/>
      <c r="GB132" s="403"/>
      <c r="GC132" s="403"/>
      <c r="GD132" s="403"/>
      <c r="GE132" s="403"/>
      <c r="GF132" s="403"/>
      <c r="GG132" s="403"/>
      <c r="GH132" s="403"/>
      <c r="GI132" s="403"/>
      <c r="GJ132" s="403"/>
      <c r="GK132" s="403"/>
      <c r="GL132" s="403"/>
      <c r="GM132" s="403"/>
      <c r="GN132" s="403"/>
      <c r="GO132" s="403"/>
      <c r="GP132" s="403"/>
      <c r="GQ132" s="403"/>
      <c r="GR132" s="403"/>
      <c r="GS132" s="403"/>
      <c r="GT132" s="403"/>
      <c r="GU132" s="403"/>
      <c r="GV132" s="403"/>
      <c r="GW132" s="403"/>
      <c r="GX132" s="403"/>
      <c r="GY132" s="403"/>
      <c r="GZ132" s="403"/>
      <c r="HA132" s="403"/>
      <c r="HB132" s="403"/>
      <c r="HC132" s="403"/>
      <c r="HD132" s="403"/>
      <c r="HE132" s="403"/>
      <c r="HF132" s="403"/>
      <c r="HG132" s="403"/>
      <c r="HH132" s="403"/>
      <c r="HI132" s="403"/>
      <c r="HJ132" s="403"/>
      <c r="HK132" s="403"/>
      <c r="HL132" s="403"/>
      <c r="HM132" s="403"/>
      <c r="HN132" s="403"/>
      <c r="HO132" s="403"/>
      <c r="HP132" s="403"/>
      <c r="HQ132" s="403"/>
      <c r="HR132" s="403"/>
      <c r="HS132" s="403"/>
      <c r="HT132" s="403"/>
      <c r="HU132" s="403"/>
      <c r="HV132" s="403"/>
      <c r="HW132" s="403"/>
      <c r="HX132" s="403"/>
      <c r="HY132" s="403"/>
      <c r="HZ132" s="403"/>
      <c r="IA132" s="403"/>
      <c r="IB132" s="403"/>
      <c r="IC132" s="403"/>
      <c r="ID132" s="403"/>
      <c r="IE132" s="403"/>
      <c r="IF132" s="403"/>
      <c r="IG132" s="403"/>
      <c r="IH132" s="403"/>
      <c r="II132" s="403"/>
      <c r="IJ132" s="403"/>
      <c r="IK132" s="403"/>
      <c r="IL132" s="403"/>
      <c r="IM132" s="403"/>
      <c r="IN132" s="403"/>
      <c r="IO132" s="403"/>
      <c r="IP132" s="403"/>
      <c r="IQ132" s="403"/>
      <c r="IR132" s="403"/>
      <c r="IS132" s="403"/>
      <c r="IT132" s="403"/>
      <c r="IU132" s="403"/>
      <c r="IV132" s="403"/>
      <c r="IW132" s="403"/>
      <c r="IX132" s="403"/>
      <c r="IY132" s="403"/>
      <c r="IZ132" s="403"/>
      <c r="JA132" s="403"/>
      <c r="JB132" s="403"/>
      <c r="JC132" s="403"/>
      <c r="JD132" s="403"/>
      <c r="JE132" s="403"/>
      <c r="JF132" s="403"/>
      <c r="JG132" s="403"/>
      <c r="JH132" s="403"/>
      <c r="JI132" s="403"/>
      <c r="JJ132" s="403"/>
      <c r="JK132" s="403"/>
      <c r="JL132" s="403"/>
      <c r="JM132" s="403"/>
      <c r="JN132" s="403"/>
      <c r="JO132" s="403"/>
      <c r="JP132" s="403"/>
      <c r="JQ132" s="403"/>
      <c r="JR132" s="403"/>
      <c r="JS132" s="403"/>
      <c r="JT132" s="403"/>
    </row>
    <row r="133" spans="1:280" s="15" customFormat="1" ht="12.75" x14ac:dyDescent="0.2">
      <c r="A133" s="9"/>
      <c r="B133" s="624" t="str">
        <f ca="1">IF(OFFSET(AT133,0,Lang_Order*Lang__B5)="","",OFFSET(AT133,0,Lang_Order*Lang__B5))</f>
        <v>Additional Interventions</v>
      </c>
      <c r="C133" s="23"/>
      <c r="E133" s="26"/>
      <c r="F133" s="26"/>
      <c r="G133" s="26"/>
      <c r="H133" s="26"/>
      <c r="I133" s="26"/>
      <c r="J133" s="37"/>
      <c r="K133" s="37"/>
      <c r="L133" s="37"/>
      <c r="M133" s="37"/>
      <c r="N133" s="37"/>
      <c r="O133" s="37"/>
      <c r="P133" s="26"/>
      <c r="Q133" s="26"/>
      <c r="R133" s="12" t="str">
        <f t="shared" ca="1" si="199"/>
        <v>DEVELOP LATER IF NEEDED</v>
      </c>
      <c r="S133" s="2"/>
      <c r="T133" s="241"/>
      <c r="U133" s="624" t="str">
        <f ca="1">IF(OFFSET(AT133,0,Lang_Order*Lang__B5)="","",OFFSET(AT133,0,Lang_Order*Lang__B5))</f>
        <v>Additional Interventions</v>
      </c>
      <c r="V133" s="72"/>
      <c r="AC133" s="26"/>
      <c r="AE133" s="2"/>
      <c r="AF133" s="241"/>
      <c r="AG133" s="624" t="str">
        <f ca="1">IF(OFFSET(AT133,0,Lang_Order*Lang__B5)="","",OFFSET(AT133,0,Lang_Order*Lang__B5))</f>
        <v>Additional Interventions</v>
      </c>
      <c r="AH133" s="72"/>
      <c r="AO133" s="26"/>
      <c r="AR133" s="403"/>
      <c r="AS133" s="403"/>
      <c r="AT133" s="403" t="s">
        <v>1578</v>
      </c>
      <c r="AU133" s="403"/>
      <c r="AV133" s="403"/>
      <c r="AW133" s="403"/>
      <c r="AX133" s="403"/>
      <c r="AY133" s="403"/>
      <c r="AZ133" s="403"/>
      <c r="BA133" s="403"/>
      <c r="BB133" s="403"/>
      <c r="BC133" s="403"/>
      <c r="BD133" s="403"/>
      <c r="BE133" s="403"/>
      <c r="BF133" s="403"/>
      <c r="BG133" s="403"/>
      <c r="BH133" s="403"/>
      <c r="BI133" s="403"/>
      <c r="BJ133" s="403" t="s">
        <v>1587</v>
      </c>
      <c r="BK133" s="403"/>
      <c r="BL133" s="403"/>
      <c r="BM133" s="403"/>
      <c r="BN133" s="403"/>
      <c r="BO133" s="403"/>
      <c r="BP133" s="403"/>
      <c r="BQ133" s="403"/>
      <c r="BR133" s="403"/>
      <c r="BS133" s="403"/>
      <c r="BT133" s="403"/>
      <c r="BU133" s="403"/>
      <c r="BV133" s="403"/>
      <c r="BW133" s="403"/>
      <c r="BX133" s="403"/>
      <c r="BY133" s="403"/>
      <c r="BZ133" s="403"/>
      <c r="CA133" s="403"/>
      <c r="CB133" s="403" t="s">
        <v>11654</v>
      </c>
      <c r="CC133" s="403"/>
      <c r="CD133" s="403"/>
      <c r="CE133" s="403"/>
      <c r="CF133" s="403"/>
      <c r="CG133" s="403"/>
      <c r="CH133" s="403"/>
      <c r="CI133" s="403"/>
      <c r="CJ133" s="403"/>
      <c r="CK133" s="403"/>
      <c r="CL133" s="403"/>
      <c r="CM133" s="403"/>
      <c r="CN133" s="403"/>
      <c r="CO133" s="403"/>
      <c r="CP133" s="403"/>
      <c r="CQ133" s="403"/>
      <c r="CR133" s="403" t="s">
        <v>12082</v>
      </c>
      <c r="CS133" s="403"/>
      <c r="CT133" s="403"/>
      <c r="CU133" s="403"/>
      <c r="CV133" s="403"/>
      <c r="CW133" s="403"/>
      <c r="CX133" s="403"/>
      <c r="CY133" s="403"/>
      <c r="CZ133" s="403"/>
      <c r="DA133" s="403"/>
      <c r="DB133" s="403"/>
      <c r="DC133" s="403"/>
      <c r="DD133" s="403"/>
      <c r="DE133" s="403"/>
      <c r="DF133" s="403"/>
      <c r="DG133" s="403"/>
      <c r="DH133" s="403"/>
      <c r="DI133" s="403"/>
      <c r="DJ133" s="403" t="s">
        <v>11655</v>
      </c>
      <c r="DK133" s="403"/>
      <c r="DL133" s="403"/>
      <c r="DM133" s="403"/>
      <c r="DN133" s="403"/>
      <c r="DO133" s="403"/>
      <c r="DP133" s="403"/>
      <c r="DQ133" s="403"/>
      <c r="DR133" s="403"/>
      <c r="DS133" s="403"/>
      <c r="DT133" s="403"/>
      <c r="DU133" s="403"/>
      <c r="DV133" s="403"/>
      <c r="DW133" s="403"/>
      <c r="DX133" s="403"/>
      <c r="DY133" s="403"/>
      <c r="DZ133" s="403" t="s">
        <v>12083</v>
      </c>
      <c r="EA133" s="403"/>
      <c r="EB133" s="403"/>
      <c r="EC133" s="403"/>
      <c r="ED133" s="403"/>
      <c r="EE133" s="403"/>
      <c r="EF133" s="403"/>
      <c r="EG133" s="403"/>
      <c r="EH133" s="403"/>
      <c r="EI133" s="403"/>
      <c r="EJ133" s="403"/>
      <c r="EK133" s="403"/>
      <c r="EL133" s="403"/>
      <c r="EM133" s="403"/>
      <c r="EN133" s="403"/>
      <c r="EO133" s="403"/>
      <c r="EP133" s="403"/>
      <c r="EQ133" s="403"/>
      <c r="ER133" s="403" t="s">
        <v>11656</v>
      </c>
      <c r="ES133" s="403"/>
      <c r="ET133" s="403"/>
      <c r="EU133" s="403"/>
      <c r="EV133" s="403"/>
      <c r="EW133" s="403"/>
      <c r="EX133" s="403"/>
      <c r="EY133" s="403"/>
      <c r="EZ133" s="403"/>
      <c r="FA133" s="403"/>
      <c r="FB133" s="403"/>
      <c r="FC133" s="403"/>
      <c r="FD133" s="403"/>
      <c r="FE133" s="403"/>
      <c r="FF133" s="403"/>
      <c r="FG133" s="403"/>
      <c r="FH133" s="403" t="s">
        <v>12084</v>
      </c>
      <c r="FI133" s="403"/>
      <c r="FJ133" s="403"/>
      <c r="FK133" s="403"/>
      <c r="FL133" s="403"/>
      <c r="FM133" s="403"/>
      <c r="FN133" s="403"/>
      <c r="FO133" s="403"/>
      <c r="FP133" s="403"/>
      <c r="FQ133" s="403"/>
      <c r="FR133" s="403"/>
      <c r="FS133" s="403"/>
      <c r="FT133" s="403"/>
      <c r="FU133" s="403"/>
      <c r="FV133" s="403"/>
      <c r="FW133" s="403"/>
      <c r="FX133" s="403"/>
      <c r="FY133" s="403"/>
      <c r="FZ133" s="403" t="s">
        <v>11657</v>
      </c>
      <c r="GA133" s="403"/>
      <c r="GB133" s="403"/>
      <c r="GC133" s="403"/>
      <c r="GD133" s="403"/>
      <c r="GE133" s="403"/>
      <c r="GF133" s="403"/>
      <c r="GG133" s="403"/>
      <c r="GH133" s="403"/>
      <c r="GI133" s="403"/>
      <c r="GJ133" s="403"/>
      <c r="GK133" s="403"/>
      <c r="GL133" s="403"/>
      <c r="GM133" s="403"/>
      <c r="GN133" s="403"/>
      <c r="GO133" s="403"/>
      <c r="GP133" s="403" t="s">
        <v>12085</v>
      </c>
      <c r="GQ133" s="403"/>
      <c r="GR133" s="403"/>
      <c r="GS133" s="403"/>
      <c r="GT133" s="403"/>
      <c r="GU133" s="403"/>
      <c r="GV133" s="403"/>
      <c r="GW133" s="403"/>
      <c r="GX133" s="403"/>
      <c r="GY133" s="403"/>
      <c r="GZ133" s="403"/>
      <c r="HA133" s="403"/>
      <c r="HB133" s="403"/>
      <c r="HC133" s="403"/>
      <c r="HD133" s="403"/>
      <c r="HE133" s="403"/>
      <c r="HF133" s="403"/>
      <c r="HG133" s="403"/>
      <c r="HH133" s="403" t="s">
        <v>11658</v>
      </c>
      <c r="HI133" s="403"/>
      <c r="HJ133" s="403"/>
      <c r="HK133" s="403"/>
      <c r="HL133" s="403"/>
      <c r="HM133" s="403"/>
      <c r="HN133" s="403"/>
      <c r="HO133" s="403"/>
      <c r="HP133" s="403"/>
      <c r="HQ133" s="403"/>
      <c r="HR133" s="403"/>
      <c r="HS133" s="403"/>
      <c r="HT133" s="403"/>
      <c r="HU133" s="403"/>
      <c r="HV133" s="403"/>
      <c r="HW133" s="403"/>
      <c r="HX133" s="403" t="s">
        <v>12086</v>
      </c>
      <c r="HY133" s="403"/>
      <c r="HZ133" s="403"/>
      <c r="IA133" s="403"/>
      <c r="IB133" s="403"/>
      <c r="IC133" s="403"/>
      <c r="ID133" s="403"/>
      <c r="IE133" s="403"/>
      <c r="IF133" s="403"/>
      <c r="IG133" s="403"/>
      <c r="IH133" s="403"/>
      <c r="II133" s="403"/>
      <c r="IJ133" s="403"/>
      <c r="IK133" s="403"/>
      <c r="IL133" s="403"/>
      <c r="IM133" s="403"/>
      <c r="IN133" s="403"/>
      <c r="IO133" s="403"/>
      <c r="IP133" s="403" t="s">
        <v>11659</v>
      </c>
      <c r="IQ133" s="403"/>
      <c r="IR133" s="403"/>
      <c r="IS133" s="403"/>
      <c r="IT133" s="403"/>
      <c r="IU133" s="403"/>
      <c r="IV133" s="403"/>
      <c r="IW133" s="403"/>
      <c r="IX133" s="403"/>
      <c r="IY133" s="403"/>
      <c r="IZ133" s="403"/>
      <c r="JA133" s="403"/>
      <c r="JB133" s="403"/>
      <c r="JC133" s="403"/>
      <c r="JD133" s="403"/>
      <c r="JE133" s="403"/>
      <c r="JF133" s="403" t="s">
        <v>12087</v>
      </c>
      <c r="JG133" s="403"/>
      <c r="JH133" s="403"/>
      <c r="JI133" s="403"/>
      <c r="JJ133" s="403"/>
      <c r="JK133" s="403"/>
      <c r="JL133" s="403"/>
      <c r="JM133" s="403"/>
      <c r="JN133" s="403"/>
      <c r="JO133" s="403"/>
      <c r="JP133" s="403"/>
      <c r="JQ133" s="403"/>
      <c r="JR133" s="403"/>
      <c r="JS133" s="403"/>
      <c r="JT133" s="403"/>
    </row>
    <row r="134" spans="1:280" s="15" customFormat="1" ht="12.75" x14ac:dyDescent="0.2">
      <c r="A134" s="9"/>
      <c r="B134" s="624"/>
      <c r="C134" s="23" t="str">
        <f ca="1">IF(OFFSET(AU134,0,Lang_Order*Lang__B5)="","",OFFSET(AU134,0,Lang_Order*Lang__B5))</f>
        <v>Per Site</v>
      </c>
      <c r="E134" s="26"/>
      <c r="F134" s="26"/>
      <c r="G134" s="26"/>
      <c r="H134" s="26"/>
      <c r="I134" s="26"/>
      <c r="J134" s="37" t="e">
        <f t="shared" ref="J134:O134" si="286">J96*AUCs_AddInterventions_perSite</f>
        <v>#N/A</v>
      </c>
      <c r="K134" s="37" t="e">
        <f t="shared" si="286"/>
        <v>#N/A</v>
      </c>
      <c r="L134" s="37" t="e">
        <f t="shared" si="286"/>
        <v>#N/A</v>
      </c>
      <c r="M134" s="37" t="e">
        <f t="shared" si="286"/>
        <v>#N/A</v>
      </c>
      <c r="N134" s="37" t="e">
        <f t="shared" si="286"/>
        <v>#N/A</v>
      </c>
      <c r="O134" s="37" t="e">
        <f t="shared" si="286"/>
        <v>#N/A</v>
      </c>
      <c r="P134" s="83" t="e">
        <f>SUM(J134:O134)</f>
        <v>#N/A</v>
      </c>
      <c r="Q134" s="83"/>
      <c r="R134" s="12" t="str">
        <f t="shared" ca="1" si="199"/>
        <v/>
      </c>
      <c r="S134" s="2"/>
      <c r="T134" s="241"/>
      <c r="U134" s="624"/>
      <c r="V134" s="72" t="str">
        <f ca="1">IF(OFFSET(AU134,0,Lang_Order*Lang__B5)="","",OFFSET(AU134,0,Lang_Order*Lang__B5))</f>
        <v>Per Site</v>
      </c>
      <c r="W134" s="37" t="e">
        <f>J134</f>
        <v>#N/A</v>
      </c>
      <c r="X134" s="37" t="e">
        <f t="shared" ref="X134:X135" si="287">K134</f>
        <v>#N/A</v>
      </c>
      <c r="Y134" s="37" t="e">
        <f t="shared" ref="Y134:Y135" si="288">L134</f>
        <v>#N/A</v>
      </c>
      <c r="Z134" s="37" t="e">
        <f t="shared" ref="Z134:Z135" si="289">M134</f>
        <v>#N/A</v>
      </c>
      <c r="AA134" s="37" t="e">
        <f t="shared" ref="AA134:AA135" si="290">N134</f>
        <v>#N/A</v>
      </c>
      <c r="AB134" s="37" t="e">
        <f t="shared" ref="AB134:AB135" si="291">O134</f>
        <v>#N/A</v>
      </c>
      <c r="AC134" s="83" t="e">
        <f>SUM(W134:AB134)</f>
        <v>#N/A</v>
      </c>
      <c r="AE134" s="72" t="s">
        <v>3042</v>
      </c>
      <c r="AF134" s="241"/>
      <c r="AG134" s="624"/>
      <c r="AH134" s="72" t="str">
        <f ca="1">IF(OFFSET(AU134,0,Lang_Order*Lang__B5)="","",OFFSET(AU134,0,Lang_Order*Lang__B5))</f>
        <v>Per Site</v>
      </c>
      <c r="AI134" s="37" t="e">
        <f>J134</f>
        <v>#N/A</v>
      </c>
      <c r="AJ134" s="37" t="e">
        <f t="shared" ref="AJ134:AJ135" si="292">K134</f>
        <v>#N/A</v>
      </c>
      <c r="AK134" s="37" t="e">
        <f t="shared" ref="AK134:AK135" si="293">L134</f>
        <v>#N/A</v>
      </c>
      <c r="AL134" s="37" t="e">
        <f t="shared" ref="AL134:AL135" si="294">M134</f>
        <v>#N/A</v>
      </c>
      <c r="AM134" s="37" t="e">
        <f t="shared" ref="AM134:AM135" si="295">N134</f>
        <v>#N/A</v>
      </c>
      <c r="AN134" s="37" t="e">
        <f t="shared" ref="AN134:AN135" si="296">O134</f>
        <v>#N/A</v>
      </c>
      <c r="AO134" s="83" t="e">
        <f>SUM(AI134:AN134)</f>
        <v>#N/A</v>
      </c>
      <c r="AR134" s="403"/>
      <c r="AS134" s="403"/>
      <c r="AT134" s="403"/>
      <c r="AU134" s="403" t="s">
        <v>1580</v>
      </c>
      <c r="AV134" s="403"/>
      <c r="AW134" s="403"/>
      <c r="AX134" s="403"/>
      <c r="AY134" s="403"/>
      <c r="AZ134" s="403"/>
      <c r="BA134" s="403"/>
      <c r="BB134" s="403"/>
      <c r="BC134" s="403"/>
      <c r="BD134" s="403"/>
      <c r="BE134" s="403"/>
      <c r="BF134" s="403"/>
      <c r="BG134" s="403"/>
      <c r="BH134" s="403"/>
      <c r="BI134" s="403"/>
      <c r="BJ134" s="403"/>
      <c r="BK134" s="403"/>
      <c r="BL134" s="403"/>
      <c r="BM134" s="403"/>
      <c r="BN134" s="403"/>
      <c r="BO134" s="403"/>
      <c r="BP134" s="403"/>
      <c r="BQ134" s="403"/>
      <c r="BR134" s="403"/>
      <c r="BS134" s="403"/>
      <c r="BT134" s="403"/>
      <c r="BU134" s="403"/>
      <c r="BV134" s="403"/>
      <c r="BW134" s="403"/>
      <c r="BX134" s="403"/>
      <c r="BY134" s="403"/>
      <c r="BZ134" s="403"/>
      <c r="CA134" s="403"/>
      <c r="CB134" s="403"/>
      <c r="CC134" s="403" t="s">
        <v>8457</v>
      </c>
      <c r="CD134" s="403"/>
      <c r="CE134" s="403"/>
      <c r="CF134" s="403"/>
      <c r="CG134" s="403"/>
      <c r="CH134" s="403"/>
      <c r="CI134" s="403"/>
      <c r="CJ134" s="403"/>
      <c r="CK134" s="403"/>
      <c r="CL134" s="403"/>
      <c r="CM134" s="403"/>
      <c r="CN134" s="403"/>
      <c r="CO134" s="403"/>
      <c r="CP134" s="403"/>
      <c r="CQ134" s="403"/>
      <c r="CR134" s="403"/>
      <c r="CS134" s="403"/>
      <c r="CT134" s="403"/>
      <c r="CU134" s="403"/>
      <c r="CV134" s="403"/>
      <c r="CW134" s="403"/>
      <c r="CX134" s="403"/>
      <c r="CY134" s="403"/>
      <c r="CZ134" s="403"/>
      <c r="DA134" s="403"/>
      <c r="DB134" s="403"/>
      <c r="DC134" s="403"/>
      <c r="DD134" s="403"/>
      <c r="DE134" s="403"/>
      <c r="DF134" s="403"/>
      <c r="DG134" s="403"/>
      <c r="DH134" s="403"/>
      <c r="DI134" s="403"/>
      <c r="DJ134" s="403"/>
      <c r="DK134" s="403" t="s">
        <v>9147</v>
      </c>
      <c r="DL134" s="403"/>
      <c r="DM134" s="403"/>
      <c r="DN134" s="403"/>
      <c r="DO134" s="403"/>
      <c r="DP134" s="403"/>
      <c r="DQ134" s="403"/>
      <c r="DR134" s="403"/>
      <c r="DS134" s="403"/>
      <c r="DT134" s="403"/>
      <c r="DU134" s="403"/>
      <c r="DV134" s="403"/>
      <c r="DW134" s="403"/>
      <c r="DX134" s="403"/>
      <c r="DY134" s="403"/>
      <c r="DZ134" s="403"/>
      <c r="EA134" s="403"/>
      <c r="EB134" s="403"/>
      <c r="EC134" s="403"/>
      <c r="ED134" s="403"/>
      <c r="EE134" s="403"/>
      <c r="EF134" s="403"/>
      <c r="EG134" s="403"/>
      <c r="EH134" s="403"/>
      <c r="EI134" s="403"/>
      <c r="EJ134" s="403"/>
      <c r="EK134" s="403"/>
      <c r="EL134" s="403"/>
      <c r="EM134" s="403"/>
      <c r="EN134" s="403"/>
      <c r="EO134" s="403"/>
      <c r="EP134" s="403"/>
      <c r="EQ134" s="403"/>
      <c r="ER134" s="403"/>
      <c r="ES134" s="403" t="s">
        <v>8579</v>
      </c>
      <c r="ET134" s="403"/>
      <c r="EU134" s="403"/>
      <c r="EV134" s="403"/>
      <c r="EW134" s="403"/>
      <c r="EX134" s="403"/>
      <c r="EY134" s="403"/>
      <c r="EZ134" s="403"/>
      <c r="FA134" s="403"/>
      <c r="FB134" s="403"/>
      <c r="FC134" s="403"/>
      <c r="FD134" s="403"/>
      <c r="FE134" s="403"/>
      <c r="FF134" s="403"/>
      <c r="FG134" s="403"/>
      <c r="FH134" s="403"/>
      <c r="FI134" s="403"/>
      <c r="FJ134" s="403"/>
      <c r="FK134" s="403"/>
      <c r="FL134" s="403"/>
      <c r="FM134" s="403"/>
      <c r="FN134" s="403"/>
      <c r="FO134" s="403"/>
      <c r="FP134" s="403"/>
      <c r="FQ134" s="403"/>
      <c r="FR134" s="403"/>
      <c r="FS134" s="403"/>
      <c r="FT134" s="403"/>
      <c r="FU134" s="403"/>
      <c r="FV134" s="403"/>
      <c r="FW134" s="403"/>
      <c r="FX134" s="403"/>
      <c r="FY134" s="403"/>
      <c r="FZ134" s="403"/>
      <c r="GA134" s="403" t="s">
        <v>8463</v>
      </c>
      <c r="GB134" s="403"/>
      <c r="GC134" s="403"/>
      <c r="GD134" s="403"/>
      <c r="GE134" s="403"/>
      <c r="GF134" s="403"/>
      <c r="GG134" s="403"/>
      <c r="GH134" s="403"/>
      <c r="GI134" s="403"/>
      <c r="GJ134" s="403"/>
      <c r="GK134" s="403"/>
      <c r="GL134" s="403"/>
      <c r="GM134" s="403"/>
      <c r="GN134" s="403"/>
      <c r="GO134" s="403"/>
      <c r="GP134" s="403"/>
      <c r="GQ134" s="403"/>
      <c r="GR134" s="403"/>
      <c r="GS134" s="403"/>
      <c r="GT134" s="403"/>
      <c r="GU134" s="403"/>
      <c r="GV134" s="403"/>
      <c r="GW134" s="403"/>
      <c r="GX134" s="403"/>
      <c r="GY134" s="403"/>
      <c r="GZ134" s="403"/>
      <c r="HA134" s="403"/>
      <c r="HB134" s="403"/>
      <c r="HC134" s="403"/>
      <c r="HD134" s="403"/>
      <c r="HE134" s="403"/>
      <c r="HF134" s="403"/>
      <c r="HG134" s="403"/>
      <c r="HH134" s="403"/>
      <c r="HI134" s="403" t="s">
        <v>12019</v>
      </c>
      <c r="HJ134" s="403"/>
      <c r="HK134" s="403"/>
      <c r="HL134" s="403"/>
      <c r="HM134" s="403"/>
      <c r="HN134" s="403"/>
      <c r="HO134" s="403"/>
      <c r="HP134" s="403"/>
      <c r="HQ134" s="403"/>
      <c r="HR134" s="403"/>
      <c r="HS134" s="403"/>
      <c r="HT134" s="403"/>
      <c r="HU134" s="403"/>
      <c r="HV134" s="403"/>
      <c r="HW134" s="403"/>
      <c r="HX134" s="403"/>
      <c r="HY134" s="403"/>
      <c r="HZ134" s="403"/>
      <c r="IA134" s="403"/>
      <c r="IB134" s="403"/>
      <c r="IC134" s="403"/>
      <c r="ID134" s="403"/>
      <c r="IE134" s="403"/>
      <c r="IF134" s="403"/>
      <c r="IG134" s="403"/>
      <c r="IH134" s="403"/>
      <c r="II134" s="403"/>
      <c r="IJ134" s="403"/>
      <c r="IK134" s="403"/>
      <c r="IL134" s="403"/>
      <c r="IM134" s="403"/>
      <c r="IN134" s="403"/>
      <c r="IO134" s="403"/>
      <c r="IP134" s="403"/>
      <c r="IQ134" s="403" t="s">
        <v>8467</v>
      </c>
      <c r="IR134" s="403"/>
      <c r="IS134" s="403"/>
      <c r="IT134" s="403"/>
      <c r="IU134" s="403"/>
      <c r="IV134" s="403"/>
      <c r="IW134" s="403"/>
      <c r="IX134" s="403"/>
      <c r="IY134" s="403"/>
      <c r="IZ134" s="403"/>
      <c r="JA134" s="403"/>
      <c r="JB134" s="403"/>
      <c r="JC134" s="403"/>
      <c r="JD134" s="403"/>
      <c r="JE134" s="403"/>
      <c r="JF134" s="403"/>
      <c r="JG134" s="403"/>
      <c r="JH134" s="403"/>
      <c r="JI134" s="403"/>
      <c r="JJ134" s="403"/>
      <c r="JK134" s="403"/>
      <c r="JL134" s="403"/>
      <c r="JM134" s="403"/>
      <c r="JN134" s="403"/>
      <c r="JO134" s="403"/>
      <c r="JP134" s="403"/>
      <c r="JQ134" s="403"/>
      <c r="JR134" s="403"/>
      <c r="JS134" s="403"/>
      <c r="JT134" s="403"/>
    </row>
    <row r="135" spans="1:280" s="15" customFormat="1" ht="12.75" x14ac:dyDescent="0.2">
      <c r="A135" s="9"/>
      <c r="B135" s="624"/>
      <c r="C135" s="23" t="str">
        <f ca="1">IF(OFFSET(AU135,0,Lang_Order*Lang__B5)="","",OFFSET(AU135,0,Lang_Order*Lang__B5))</f>
        <v>Per Vaccinated Person</v>
      </c>
      <c r="E135" s="26"/>
      <c r="F135" s="26"/>
      <c r="G135" s="26"/>
      <c r="H135" s="26"/>
      <c r="I135" s="26"/>
      <c r="J135" s="37" t="e">
        <f t="shared" ref="J135:O135" si="297">J88*AUCs_AddInterventions_perPerson</f>
        <v>#N/A</v>
      </c>
      <c r="K135" s="37" t="e">
        <f t="shared" si="297"/>
        <v>#N/A</v>
      </c>
      <c r="L135" s="37" t="e">
        <f t="shared" si="297"/>
        <v>#N/A</v>
      </c>
      <c r="M135" s="37" t="e">
        <f t="shared" si="297"/>
        <v>#N/A</v>
      </c>
      <c r="N135" s="37" t="e">
        <f t="shared" si="297"/>
        <v>#N/A</v>
      </c>
      <c r="O135" s="37" t="e">
        <f t="shared" si="297"/>
        <v>#N/A</v>
      </c>
      <c r="P135" s="83" t="e">
        <f>SUM(J135:O135)</f>
        <v>#N/A</v>
      </c>
      <c r="Q135" s="83"/>
      <c r="R135" s="12" t="str">
        <f t="shared" ca="1" si="199"/>
        <v/>
      </c>
      <c r="S135" s="2"/>
      <c r="T135" s="241"/>
      <c r="U135" s="624"/>
      <c r="V135" s="72" t="str">
        <f ca="1">IF(OFFSET(AU135,0,Lang_Order*Lang__B5)="","",OFFSET(AU135,0,Lang_Order*Lang__B5))</f>
        <v>Per Vaccinated Person</v>
      </c>
      <c r="W135" s="37" t="e">
        <f t="shared" ref="W135" si="298">J135</f>
        <v>#N/A</v>
      </c>
      <c r="X135" s="37" t="e">
        <f t="shared" si="287"/>
        <v>#N/A</v>
      </c>
      <c r="Y135" s="37" t="e">
        <f t="shared" si="288"/>
        <v>#N/A</v>
      </c>
      <c r="Z135" s="37" t="e">
        <f t="shared" si="289"/>
        <v>#N/A</v>
      </c>
      <c r="AA135" s="37" t="e">
        <f t="shared" si="290"/>
        <v>#N/A</v>
      </c>
      <c r="AB135" s="37" t="e">
        <f t="shared" si="291"/>
        <v>#N/A</v>
      </c>
      <c r="AC135" s="83" t="e">
        <f>SUM(W135:AB135)</f>
        <v>#N/A</v>
      </c>
      <c r="AE135" s="72" t="s">
        <v>3042</v>
      </c>
      <c r="AF135" s="241"/>
      <c r="AG135" s="624"/>
      <c r="AH135" s="72" t="str">
        <f ca="1">IF(OFFSET(AU135,0,Lang_Order*Lang__B5)="","",OFFSET(AU135,0,Lang_Order*Lang__B5))</f>
        <v>Per Vaccinated Person</v>
      </c>
      <c r="AI135" s="37" t="e">
        <f t="shared" ref="AI135" si="299">J135</f>
        <v>#N/A</v>
      </c>
      <c r="AJ135" s="37" t="e">
        <f t="shared" si="292"/>
        <v>#N/A</v>
      </c>
      <c r="AK135" s="37" t="e">
        <f t="shared" si="293"/>
        <v>#N/A</v>
      </c>
      <c r="AL135" s="37" t="e">
        <f t="shared" si="294"/>
        <v>#N/A</v>
      </c>
      <c r="AM135" s="37" t="e">
        <f t="shared" si="295"/>
        <v>#N/A</v>
      </c>
      <c r="AN135" s="37" t="e">
        <f t="shared" si="296"/>
        <v>#N/A</v>
      </c>
      <c r="AO135" s="83" t="e">
        <f>SUM(AI135:AN135)</f>
        <v>#N/A</v>
      </c>
      <c r="AR135" s="403"/>
      <c r="AS135" s="403"/>
      <c r="AT135" s="403"/>
      <c r="AU135" s="403" t="s">
        <v>1588</v>
      </c>
      <c r="AV135" s="403"/>
      <c r="AW135" s="403"/>
      <c r="AX135" s="403"/>
      <c r="AY135" s="403"/>
      <c r="AZ135" s="403"/>
      <c r="BA135" s="403"/>
      <c r="BB135" s="403"/>
      <c r="BC135" s="403"/>
      <c r="BD135" s="403"/>
      <c r="BE135" s="403"/>
      <c r="BF135" s="403"/>
      <c r="BG135" s="403"/>
      <c r="BH135" s="403"/>
      <c r="BI135" s="403"/>
      <c r="BJ135" s="403"/>
      <c r="BK135" s="403"/>
      <c r="BL135" s="403"/>
      <c r="BM135" s="403"/>
      <c r="BN135" s="403"/>
      <c r="BO135" s="403"/>
      <c r="BP135" s="403"/>
      <c r="BQ135" s="403"/>
      <c r="BR135" s="403"/>
      <c r="BS135" s="403"/>
      <c r="BT135" s="403"/>
      <c r="BU135" s="403"/>
      <c r="BV135" s="403"/>
      <c r="BW135" s="403"/>
      <c r="BX135" s="403"/>
      <c r="BY135" s="403"/>
      <c r="BZ135" s="403"/>
      <c r="CA135" s="403"/>
      <c r="CB135" s="403"/>
      <c r="CC135" s="403" t="s">
        <v>12088</v>
      </c>
      <c r="CD135" s="403"/>
      <c r="CE135" s="403"/>
      <c r="CF135" s="403"/>
      <c r="CG135" s="403"/>
      <c r="CH135" s="403"/>
      <c r="CI135" s="403"/>
      <c r="CJ135" s="403"/>
      <c r="CK135" s="403"/>
      <c r="CL135" s="403"/>
      <c r="CM135" s="403"/>
      <c r="CN135" s="403"/>
      <c r="CO135" s="403"/>
      <c r="CP135" s="403"/>
      <c r="CQ135" s="403"/>
      <c r="CR135" s="403"/>
      <c r="CS135" s="403"/>
      <c r="CT135" s="403"/>
      <c r="CU135" s="403"/>
      <c r="CV135" s="403"/>
      <c r="CW135" s="403"/>
      <c r="CX135" s="403"/>
      <c r="CY135" s="403"/>
      <c r="CZ135" s="403"/>
      <c r="DA135" s="403"/>
      <c r="DB135" s="403"/>
      <c r="DC135" s="403"/>
      <c r="DD135" s="403"/>
      <c r="DE135" s="403"/>
      <c r="DF135" s="403"/>
      <c r="DG135" s="403"/>
      <c r="DH135" s="403"/>
      <c r="DI135" s="403"/>
      <c r="DJ135" s="403"/>
      <c r="DK135" s="403" t="s">
        <v>12089</v>
      </c>
      <c r="DL135" s="403"/>
      <c r="DM135" s="403"/>
      <c r="DN135" s="403"/>
      <c r="DO135" s="403"/>
      <c r="DP135" s="403"/>
      <c r="DQ135" s="403"/>
      <c r="DR135" s="403"/>
      <c r="DS135" s="403"/>
      <c r="DT135" s="403"/>
      <c r="DU135" s="403"/>
      <c r="DV135" s="403"/>
      <c r="DW135" s="403"/>
      <c r="DX135" s="403"/>
      <c r="DY135" s="403"/>
      <c r="DZ135" s="403"/>
      <c r="EA135" s="403"/>
      <c r="EB135" s="403"/>
      <c r="EC135" s="403"/>
      <c r="ED135" s="403"/>
      <c r="EE135" s="403"/>
      <c r="EF135" s="403"/>
      <c r="EG135" s="403"/>
      <c r="EH135" s="403"/>
      <c r="EI135" s="403"/>
      <c r="EJ135" s="403"/>
      <c r="EK135" s="403"/>
      <c r="EL135" s="403"/>
      <c r="EM135" s="403"/>
      <c r="EN135" s="403"/>
      <c r="EO135" s="403"/>
      <c r="EP135" s="403"/>
      <c r="EQ135" s="403"/>
      <c r="ER135" s="403"/>
      <c r="ES135" s="403" t="s">
        <v>12090</v>
      </c>
      <c r="ET135" s="403"/>
      <c r="EU135" s="403"/>
      <c r="EV135" s="403"/>
      <c r="EW135" s="403"/>
      <c r="EX135" s="403"/>
      <c r="EY135" s="403"/>
      <c r="EZ135" s="403"/>
      <c r="FA135" s="403"/>
      <c r="FB135" s="403"/>
      <c r="FC135" s="403"/>
      <c r="FD135" s="403"/>
      <c r="FE135" s="403"/>
      <c r="FF135" s="403"/>
      <c r="FG135" s="403"/>
      <c r="FH135" s="403"/>
      <c r="FI135" s="403"/>
      <c r="FJ135" s="403"/>
      <c r="FK135" s="403"/>
      <c r="FL135" s="403"/>
      <c r="FM135" s="403"/>
      <c r="FN135" s="403"/>
      <c r="FO135" s="403"/>
      <c r="FP135" s="403"/>
      <c r="FQ135" s="403"/>
      <c r="FR135" s="403"/>
      <c r="FS135" s="403"/>
      <c r="FT135" s="403"/>
      <c r="FU135" s="403"/>
      <c r="FV135" s="403"/>
      <c r="FW135" s="403"/>
      <c r="FX135" s="403"/>
      <c r="FY135" s="403"/>
      <c r="FZ135" s="403"/>
      <c r="GA135" s="403" t="s">
        <v>12091</v>
      </c>
      <c r="GB135" s="403"/>
      <c r="GC135" s="403"/>
      <c r="GD135" s="403"/>
      <c r="GE135" s="403"/>
      <c r="GF135" s="403"/>
      <c r="GG135" s="403"/>
      <c r="GH135" s="403"/>
      <c r="GI135" s="403"/>
      <c r="GJ135" s="403"/>
      <c r="GK135" s="403"/>
      <c r="GL135" s="403"/>
      <c r="GM135" s="403"/>
      <c r="GN135" s="403"/>
      <c r="GO135" s="403"/>
      <c r="GP135" s="403"/>
      <c r="GQ135" s="403"/>
      <c r="GR135" s="403"/>
      <c r="GS135" s="403"/>
      <c r="GT135" s="403"/>
      <c r="GU135" s="403"/>
      <c r="GV135" s="403"/>
      <c r="GW135" s="403"/>
      <c r="GX135" s="403"/>
      <c r="GY135" s="403"/>
      <c r="GZ135" s="403"/>
      <c r="HA135" s="403"/>
      <c r="HB135" s="403"/>
      <c r="HC135" s="403"/>
      <c r="HD135" s="403"/>
      <c r="HE135" s="403"/>
      <c r="HF135" s="403"/>
      <c r="HG135" s="403"/>
      <c r="HH135" s="403"/>
      <c r="HI135" s="403"/>
      <c r="HJ135" s="403"/>
      <c r="HK135" s="403"/>
      <c r="HL135" s="403"/>
      <c r="HM135" s="403"/>
      <c r="HN135" s="403"/>
      <c r="HO135" s="403"/>
      <c r="HP135" s="403"/>
      <c r="HQ135" s="403"/>
      <c r="HR135" s="403"/>
      <c r="HS135" s="403"/>
      <c r="HT135" s="403"/>
      <c r="HU135" s="403"/>
      <c r="HV135" s="403"/>
      <c r="HW135" s="403"/>
      <c r="HX135" s="403"/>
      <c r="HY135" s="403"/>
      <c r="HZ135" s="403"/>
      <c r="IA135" s="403"/>
      <c r="IB135" s="403"/>
      <c r="IC135" s="403"/>
      <c r="ID135" s="403"/>
      <c r="IE135" s="403"/>
      <c r="IF135" s="403"/>
      <c r="IG135" s="403"/>
      <c r="IH135" s="403"/>
      <c r="II135" s="403"/>
      <c r="IJ135" s="403"/>
      <c r="IK135" s="403"/>
      <c r="IL135" s="403"/>
      <c r="IM135" s="403"/>
      <c r="IN135" s="403"/>
      <c r="IO135" s="403"/>
      <c r="IP135" s="403"/>
      <c r="IQ135" s="403" t="s">
        <v>12092</v>
      </c>
      <c r="IR135" s="403"/>
      <c r="IS135" s="403"/>
      <c r="IT135" s="403"/>
      <c r="IU135" s="403"/>
      <c r="IV135" s="403"/>
      <c r="IW135" s="403"/>
      <c r="IX135" s="403"/>
      <c r="IY135" s="403"/>
      <c r="IZ135" s="403"/>
      <c r="JA135" s="403"/>
      <c r="JB135" s="403"/>
      <c r="JC135" s="403"/>
      <c r="JD135" s="403"/>
      <c r="JE135" s="403"/>
      <c r="JF135" s="403"/>
      <c r="JG135" s="403"/>
      <c r="JH135" s="403"/>
      <c r="JI135" s="403"/>
      <c r="JJ135" s="403"/>
      <c r="JK135" s="403"/>
      <c r="JL135" s="403"/>
      <c r="JM135" s="403"/>
      <c r="JN135" s="403"/>
      <c r="JO135" s="403"/>
      <c r="JP135" s="403"/>
      <c r="JQ135" s="403"/>
      <c r="JR135" s="403"/>
      <c r="JS135" s="403"/>
      <c r="JT135" s="403"/>
    </row>
    <row r="136" spans="1:280" s="150" customFormat="1" ht="12.75" x14ac:dyDescent="0.2">
      <c r="B136" s="622"/>
      <c r="S136" s="2"/>
      <c r="T136" s="241"/>
      <c r="U136" s="622"/>
      <c r="V136" s="2"/>
      <c r="AE136" s="2"/>
      <c r="AF136" s="241"/>
      <c r="AG136" s="622"/>
      <c r="AR136" s="403"/>
      <c r="AS136" s="403"/>
      <c r="AT136" s="403"/>
      <c r="AU136" s="403"/>
      <c r="AV136" s="403"/>
      <c r="AW136" s="403"/>
      <c r="AX136" s="403"/>
      <c r="AY136" s="403"/>
      <c r="AZ136" s="403"/>
      <c r="BA136" s="403"/>
      <c r="BB136" s="403"/>
      <c r="BC136" s="403"/>
      <c r="BD136" s="403"/>
      <c r="BE136" s="403"/>
      <c r="BF136" s="403"/>
      <c r="BG136" s="403"/>
      <c r="BH136" s="403"/>
      <c r="BI136" s="403"/>
      <c r="BJ136" s="403"/>
      <c r="BK136" s="403"/>
      <c r="BL136" s="403"/>
      <c r="BM136" s="403"/>
      <c r="BN136" s="403"/>
      <c r="BO136" s="403"/>
      <c r="BP136" s="403"/>
      <c r="BQ136" s="403"/>
      <c r="BR136" s="403"/>
      <c r="BS136" s="403"/>
      <c r="BT136" s="403"/>
      <c r="BU136" s="403"/>
      <c r="BV136" s="403"/>
      <c r="BW136" s="403"/>
      <c r="BX136" s="403"/>
      <c r="BY136" s="403"/>
      <c r="BZ136" s="403"/>
      <c r="CA136" s="403"/>
      <c r="CB136" s="403"/>
      <c r="CC136" s="403"/>
      <c r="CD136" s="403"/>
      <c r="CE136" s="403"/>
      <c r="CF136" s="403"/>
      <c r="CG136" s="403"/>
      <c r="CH136" s="403"/>
      <c r="CI136" s="403"/>
      <c r="CJ136" s="403"/>
      <c r="CK136" s="403"/>
      <c r="CL136" s="403"/>
      <c r="CM136" s="403"/>
      <c r="CN136" s="403"/>
      <c r="CO136" s="403"/>
      <c r="CP136" s="403"/>
      <c r="CQ136" s="403"/>
      <c r="CR136" s="403"/>
      <c r="CS136" s="403"/>
      <c r="CT136" s="403"/>
      <c r="CU136" s="403"/>
      <c r="CV136" s="403"/>
      <c r="CW136" s="403"/>
      <c r="CX136" s="403"/>
      <c r="CY136" s="403"/>
      <c r="CZ136" s="403"/>
      <c r="DA136" s="403"/>
      <c r="DB136" s="403"/>
      <c r="DC136" s="403"/>
      <c r="DD136" s="403"/>
      <c r="DE136" s="403"/>
      <c r="DF136" s="403"/>
      <c r="DG136" s="403"/>
      <c r="DH136" s="403"/>
      <c r="DI136" s="403"/>
      <c r="DJ136" s="403"/>
      <c r="DK136" s="403"/>
      <c r="DL136" s="403"/>
      <c r="DM136" s="403"/>
      <c r="DN136" s="403"/>
      <c r="DO136" s="403"/>
      <c r="DP136" s="403"/>
      <c r="DQ136" s="403"/>
      <c r="DR136" s="403"/>
      <c r="DS136" s="403"/>
      <c r="DT136" s="403"/>
      <c r="DU136" s="403"/>
      <c r="DV136" s="403"/>
      <c r="DW136" s="403"/>
      <c r="DX136" s="403"/>
      <c r="DY136" s="403"/>
      <c r="DZ136" s="403"/>
      <c r="EA136" s="403"/>
      <c r="EB136" s="403"/>
      <c r="EC136" s="403"/>
      <c r="ED136" s="403"/>
      <c r="EE136" s="403"/>
      <c r="EF136" s="403"/>
      <c r="EG136" s="403"/>
      <c r="EH136" s="403"/>
      <c r="EI136" s="403"/>
      <c r="EJ136" s="403"/>
      <c r="EK136" s="403"/>
      <c r="EL136" s="403"/>
      <c r="EM136" s="403"/>
      <c r="EN136" s="403"/>
      <c r="EO136" s="403"/>
      <c r="EP136" s="403"/>
      <c r="EQ136" s="403"/>
      <c r="ER136" s="403"/>
      <c r="ES136" s="403"/>
      <c r="ET136" s="403"/>
      <c r="EU136" s="403"/>
      <c r="EV136" s="403"/>
      <c r="EW136" s="403"/>
      <c r="EX136" s="403"/>
      <c r="EY136" s="403"/>
      <c r="EZ136" s="403"/>
      <c r="FA136" s="403"/>
      <c r="FB136" s="403"/>
      <c r="FC136" s="403"/>
      <c r="FD136" s="403"/>
      <c r="FE136" s="403"/>
      <c r="FF136" s="403"/>
      <c r="FG136" s="403"/>
      <c r="FH136" s="403"/>
      <c r="FI136" s="403"/>
      <c r="FJ136" s="403"/>
      <c r="FK136" s="403"/>
      <c r="FL136" s="403"/>
      <c r="FM136" s="403"/>
      <c r="FN136" s="403"/>
      <c r="FO136" s="403"/>
      <c r="FP136" s="403"/>
      <c r="FQ136" s="403"/>
      <c r="FR136" s="403"/>
      <c r="FS136" s="403"/>
      <c r="FT136" s="403"/>
      <c r="FU136" s="403"/>
      <c r="FV136" s="403"/>
      <c r="FW136" s="403"/>
      <c r="FX136" s="403"/>
      <c r="FY136" s="403"/>
      <c r="FZ136" s="403"/>
      <c r="GA136" s="403"/>
      <c r="GB136" s="403"/>
      <c r="GC136" s="403"/>
      <c r="GD136" s="403"/>
      <c r="GE136" s="403"/>
      <c r="GF136" s="403"/>
      <c r="GG136" s="403"/>
      <c r="GH136" s="403"/>
      <c r="GI136" s="403"/>
      <c r="GJ136" s="403"/>
      <c r="GK136" s="403"/>
      <c r="GL136" s="403"/>
      <c r="GM136" s="403"/>
      <c r="GN136" s="403"/>
      <c r="GO136" s="403"/>
      <c r="GP136" s="403"/>
      <c r="GQ136" s="403"/>
      <c r="GR136" s="403"/>
      <c r="GS136" s="403"/>
      <c r="GT136" s="403"/>
      <c r="GU136" s="403"/>
      <c r="GV136" s="403"/>
      <c r="GW136" s="403"/>
      <c r="GX136" s="403"/>
      <c r="GY136" s="403"/>
      <c r="GZ136" s="403"/>
      <c r="HA136" s="403"/>
      <c r="HB136" s="403"/>
      <c r="HC136" s="403"/>
      <c r="HD136" s="403"/>
      <c r="HE136" s="403"/>
      <c r="HF136" s="403"/>
      <c r="HG136" s="403"/>
      <c r="HH136" s="403"/>
      <c r="HI136" s="403" t="s">
        <v>12093</v>
      </c>
      <c r="HJ136" s="403"/>
      <c r="HK136" s="403"/>
      <c r="HL136" s="403"/>
      <c r="HM136" s="403"/>
      <c r="HN136" s="403"/>
      <c r="HO136" s="403"/>
      <c r="HP136" s="403"/>
      <c r="HQ136" s="403"/>
      <c r="HR136" s="403"/>
      <c r="HS136" s="403"/>
      <c r="HT136" s="403"/>
      <c r="HU136" s="403"/>
      <c r="HV136" s="403"/>
      <c r="HW136" s="403"/>
      <c r="HX136" s="403"/>
      <c r="HY136" s="403"/>
      <c r="HZ136" s="403"/>
      <c r="IA136" s="403"/>
      <c r="IB136" s="403"/>
      <c r="IC136" s="403"/>
      <c r="ID136" s="403"/>
      <c r="IE136" s="403"/>
      <c r="IF136" s="403"/>
      <c r="IG136" s="403"/>
      <c r="IH136" s="403"/>
      <c r="II136" s="403"/>
      <c r="IJ136" s="403"/>
      <c r="IK136" s="403"/>
      <c r="IL136" s="403"/>
      <c r="IM136" s="403"/>
      <c r="IN136" s="403"/>
      <c r="IO136" s="403"/>
      <c r="IP136" s="403"/>
      <c r="IQ136" s="403"/>
      <c r="IR136" s="403"/>
      <c r="IS136" s="403"/>
      <c r="IT136" s="403"/>
      <c r="IU136" s="403"/>
      <c r="IV136" s="403"/>
      <c r="IW136" s="403"/>
      <c r="IX136" s="403"/>
      <c r="IY136" s="403"/>
      <c r="IZ136" s="403"/>
      <c r="JA136" s="403"/>
      <c r="JB136" s="403"/>
      <c r="JC136" s="403"/>
      <c r="JD136" s="403"/>
      <c r="JE136" s="403"/>
      <c r="JF136" s="403"/>
      <c r="JG136" s="403"/>
      <c r="JH136" s="403"/>
      <c r="JI136" s="403"/>
      <c r="JJ136" s="403"/>
      <c r="JK136" s="403"/>
      <c r="JL136" s="403"/>
      <c r="JM136" s="403"/>
      <c r="JN136" s="403"/>
      <c r="JO136" s="403"/>
      <c r="JP136" s="403"/>
      <c r="JQ136" s="403"/>
      <c r="JR136" s="403"/>
      <c r="JS136" s="403"/>
      <c r="JT136" s="403"/>
    </row>
    <row r="137" spans="1:280" s="15" customFormat="1" ht="12.75" x14ac:dyDescent="0.2">
      <c r="A137" s="9"/>
      <c r="B137" s="624"/>
      <c r="C137" s="23"/>
      <c r="D137" s="2" t="str">
        <f t="shared" ref="D137:P137" ca="1" si="300">IF(OFFSET(AV137,0,Lang_Order*Lang__B5)="","",OFFSET(AV137,0,Lang_Order*Lang__B5))</f>
        <v>Vaccine</v>
      </c>
      <c r="E137" s="2" t="str">
        <f t="shared" ca="1" si="300"/>
        <v>Doses per course</v>
      </c>
      <c r="F137" s="2" t="str">
        <f t="shared" ca="1" si="300"/>
        <v>Sites</v>
      </c>
      <c r="G137" s="73" t="str">
        <f t="shared" ca="1" si="300"/>
        <v>Time</v>
      </c>
      <c r="H137" s="73" t="str">
        <f t="shared" ca="1" si="300"/>
        <v>Volume per dose (cm3)</v>
      </c>
      <c r="I137" s="73" t="str">
        <f t="shared" ca="1" si="300"/>
        <v>Days between doses</v>
      </c>
      <c r="J137" s="708" t="str">
        <f t="shared" ca="1" si="300"/>
        <v>How many courses?</v>
      </c>
      <c r="K137" s="708" t="str">
        <f t="shared" ca="1" si="300"/>
        <v/>
      </c>
      <c r="L137" s="708" t="str">
        <f t="shared" ca="1" si="300"/>
        <v/>
      </c>
      <c r="M137" s="708" t="str">
        <f t="shared" ca="1" si="300"/>
        <v/>
      </c>
      <c r="N137" s="708" t="str">
        <f t="shared" ca="1" si="300"/>
        <v/>
      </c>
      <c r="O137" s="708" t="str">
        <f t="shared" ca="1" si="300"/>
        <v/>
      </c>
      <c r="P137" s="2" t="str">
        <f t="shared" ca="1" si="300"/>
        <v>Total</v>
      </c>
      <c r="Q137" s="2"/>
      <c r="R137" s="2"/>
      <c r="S137" s="2"/>
      <c r="T137" s="73" t="str">
        <f ca="1">IF(OFFSET(AS137,0,Lang_Order*Lang__B5)="","",OFFSET(AS137,0,Lang_Order*Lang__B5))</f>
        <v/>
      </c>
      <c r="U137" s="635"/>
      <c r="V137" s="73"/>
      <c r="W137" s="708"/>
      <c r="X137" s="708"/>
      <c r="Y137" s="708"/>
      <c r="Z137" s="708"/>
      <c r="AA137" s="708"/>
      <c r="AB137" s="708"/>
      <c r="AC137" s="2"/>
      <c r="AD137" s="2"/>
      <c r="AE137" s="2"/>
      <c r="AF137" s="73"/>
      <c r="AG137" s="90"/>
      <c r="AH137" s="2"/>
      <c r="AI137" s="2"/>
      <c r="AJ137" s="2"/>
      <c r="AK137" s="2"/>
      <c r="AL137" s="2"/>
      <c r="AM137" s="2"/>
      <c r="AN137" s="2"/>
      <c r="AO137" s="2"/>
      <c r="AP137" s="2"/>
      <c r="AR137" s="403"/>
      <c r="AS137" s="403"/>
      <c r="AT137" s="403"/>
      <c r="AU137" s="403"/>
      <c r="AV137" s="403" t="s">
        <v>1574</v>
      </c>
      <c r="AW137" s="403" t="s">
        <v>1607</v>
      </c>
      <c r="AX137" s="403" t="s">
        <v>1615</v>
      </c>
      <c r="AY137" s="403" t="s">
        <v>1636</v>
      </c>
      <c r="AZ137" s="403" t="s">
        <v>1642</v>
      </c>
      <c r="BA137" s="403" t="s">
        <v>1643</v>
      </c>
      <c r="BB137" s="403" t="s">
        <v>1606</v>
      </c>
      <c r="BC137" s="403"/>
      <c r="BD137" s="403"/>
      <c r="BE137" s="403"/>
      <c r="BF137" s="403"/>
      <c r="BG137" s="403"/>
      <c r="BH137" s="403" t="s">
        <v>1605</v>
      </c>
      <c r="BI137" s="403"/>
      <c r="BJ137" s="403"/>
      <c r="BK137" s="403"/>
      <c r="BL137" s="403"/>
      <c r="BM137" s="403"/>
      <c r="BN137" s="403"/>
      <c r="BO137" s="403"/>
      <c r="BP137" s="403"/>
      <c r="BQ137" s="403"/>
      <c r="BR137" s="403"/>
      <c r="BS137" s="403"/>
      <c r="BT137" s="403"/>
      <c r="BU137" s="403"/>
      <c r="BV137" s="403"/>
      <c r="BW137" s="403"/>
      <c r="BX137" s="403"/>
      <c r="BY137" s="403"/>
      <c r="BZ137" s="403"/>
      <c r="CA137" s="403"/>
      <c r="CB137" s="403"/>
      <c r="CC137" s="403"/>
      <c r="CD137" s="403" t="s">
        <v>10216</v>
      </c>
      <c r="CE137" s="403" t="s">
        <v>5731</v>
      </c>
      <c r="CF137" s="403" t="s">
        <v>1615</v>
      </c>
      <c r="CG137" s="403" t="s">
        <v>11795</v>
      </c>
      <c r="CH137" s="403" t="s">
        <v>11796</v>
      </c>
      <c r="CI137" s="403" t="s">
        <v>11797</v>
      </c>
      <c r="CJ137" s="403" t="s">
        <v>11798</v>
      </c>
      <c r="CK137" s="403"/>
      <c r="CL137" s="403"/>
      <c r="CM137" s="403"/>
      <c r="CN137" s="403"/>
      <c r="CO137" s="403"/>
      <c r="CP137" s="403" t="s">
        <v>1605</v>
      </c>
      <c r="CQ137" s="403"/>
      <c r="CR137" s="403"/>
      <c r="CS137" s="403"/>
      <c r="CT137" s="403"/>
      <c r="CU137" s="403"/>
      <c r="CV137" s="403"/>
      <c r="CW137" s="403"/>
      <c r="CX137" s="403"/>
      <c r="CY137" s="403"/>
      <c r="CZ137" s="403"/>
      <c r="DA137" s="403"/>
      <c r="DB137" s="403"/>
      <c r="DC137" s="403"/>
      <c r="DD137" s="403"/>
      <c r="DE137" s="403"/>
      <c r="DF137" s="403"/>
      <c r="DG137" s="403"/>
      <c r="DH137" s="403"/>
      <c r="DI137" s="403"/>
      <c r="DJ137" s="403"/>
      <c r="DK137" s="403"/>
      <c r="DL137" s="403" t="s">
        <v>10224</v>
      </c>
      <c r="DM137" s="403" t="s">
        <v>12094</v>
      </c>
      <c r="DN137" s="403" t="s">
        <v>11800</v>
      </c>
      <c r="DO137" s="403" t="s">
        <v>11801</v>
      </c>
      <c r="DP137" s="403" t="s">
        <v>11802</v>
      </c>
      <c r="DQ137" s="403" t="s">
        <v>11803</v>
      </c>
      <c r="DR137" s="403" t="s">
        <v>11804</v>
      </c>
      <c r="DS137" s="403"/>
      <c r="DT137" s="403"/>
      <c r="DU137" s="403"/>
      <c r="DV137" s="403"/>
      <c r="DW137" s="403"/>
      <c r="DX137" s="403" t="s">
        <v>4676</v>
      </c>
      <c r="DY137" s="403"/>
      <c r="DZ137" s="403"/>
      <c r="EA137" s="403"/>
      <c r="EB137" s="403"/>
      <c r="EC137" s="403"/>
      <c r="ED137" s="403"/>
      <c r="EE137" s="403"/>
      <c r="EF137" s="403"/>
      <c r="EG137" s="403"/>
      <c r="EH137" s="403"/>
      <c r="EI137" s="403"/>
      <c r="EJ137" s="403"/>
      <c r="EK137" s="403"/>
      <c r="EL137" s="403"/>
      <c r="EM137" s="403"/>
      <c r="EN137" s="403"/>
      <c r="EO137" s="403"/>
      <c r="EP137" s="403"/>
      <c r="EQ137" s="403"/>
      <c r="ER137" s="403"/>
      <c r="ES137" s="403"/>
      <c r="ET137" s="403" t="s">
        <v>12095</v>
      </c>
      <c r="EU137" s="403" t="s">
        <v>10022</v>
      </c>
      <c r="EV137" s="403" t="s">
        <v>11805</v>
      </c>
      <c r="EW137" s="403" t="s">
        <v>12096</v>
      </c>
      <c r="EX137" s="403" t="s">
        <v>11807</v>
      </c>
      <c r="EY137" s="403" t="s">
        <v>11808</v>
      </c>
      <c r="EZ137" s="403" t="s">
        <v>11809</v>
      </c>
      <c r="FA137" s="403"/>
      <c r="FB137" s="403"/>
      <c r="FC137" s="403"/>
      <c r="FD137" s="403"/>
      <c r="FE137" s="403"/>
      <c r="FF137" s="403" t="s">
        <v>1605</v>
      </c>
      <c r="FG137" s="403"/>
      <c r="FH137" s="403"/>
      <c r="FI137" s="403"/>
      <c r="FJ137" s="403"/>
      <c r="FK137" s="403"/>
      <c r="FL137" s="403"/>
      <c r="FM137" s="403"/>
      <c r="FN137" s="403"/>
      <c r="FO137" s="403"/>
      <c r="FP137" s="403"/>
      <c r="FQ137" s="403"/>
      <c r="FR137" s="403"/>
      <c r="FS137" s="403"/>
      <c r="FT137" s="403"/>
      <c r="FU137" s="403"/>
      <c r="FV137" s="403"/>
      <c r="FW137" s="403"/>
      <c r="FX137" s="403"/>
      <c r="FY137" s="403"/>
      <c r="FZ137" s="403"/>
      <c r="GA137" s="403"/>
      <c r="GB137" s="403" t="s">
        <v>10241</v>
      </c>
      <c r="GC137" s="403" t="s">
        <v>5775</v>
      </c>
      <c r="GD137" s="403" t="s">
        <v>11810</v>
      </c>
      <c r="GE137" s="403" t="s">
        <v>11811</v>
      </c>
      <c r="GF137" s="403" t="s">
        <v>11812</v>
      </c>
      <c r="GG137" s="403" t="s">
        <v>11813</v>
      </c>
      <c r="GH137" s="403" t="s">
        <v>11814</v>
      </c>
      <c r="GI137" s="403"/>
      <c r="GJ137" s="403"/>
      <c r="GK137" s="403"/>
      <c r="GL137" s="403"/>
      <c r="GM137" s="403"/>
      <c r="GN137" s="403" t="s">
        <v>1605</v>
      </c>
      <c r="GO137" s="403"/>
      <c r="GP137" s="403"/>
      <c r="GQ137" s="403"/>
      <c r="GR137" s="403"/>
      <c r="GS137" s="403"/>
      <c r="GT137" s="403"/>
      <c r="GU137" s="403"/>
      <c r="GV137" s="403"/>
      <c r="GW137" s="403"/>
      <c r="GX137" s="403"/>
      <c r="GY137" s="403"/>
      <c r="GZ137" s="403"/>
      <c r="HA137" s="403"/>
      <c r="HB137" s="403"/>
      <c r="HC137" s="403"/>
      <c r="HD137" s="403"/>
      <c r="HE137" s="403"/>
      <c r="HF137" s="403"/>
      <c r="HG137" s="403"/>
      <c r="HH137" s="403"/>
      <c r="HI137" s="403"/>
      <c r="HJ137" s="403" t="s">
        <v>10245</v>
      </c>
      <c r="HK137" s="403" t="s">
        <v>5788</v>
      </c>
      <c r="HL137" s="403" t="s">
        <v>11815</v>
      </c>
      <c r="HM137" s="403" t="s">
        <v>11816</v>
      </c>
      <c r="HN137" s="403" t="s">
        <v>11817</v>
      </c>
      <c r="HO137" s="403" t="s">
        <v>12097</v>
      </c>
      <c r="HP137" s="403" t="s">
        <v>11819</v>
      </c>
      <c r="HQ137" s="403"/>
      <c r="HR137" s="403"/>
      <c r="HS137" s="403"/>
      <c r="HT137" s="403"/>
      <c r="HU137" s="403"/>
      <c r="HV137" s="403" t="s">
        <v>4686</v>
      </c>
      <c r="HW137" s="403"/>
      <c r="HX137" s="403"/>
      <c r="HY137" s="403"/>
      <c r="HZ137" s="403"/>
      <c r="IA137" s="403"/>
      <c r="IB137" s="403"/>
      <c r="IC137" s="403"/>
      <c r="ID137" s="403"/>
      <c r="IE137" s="403"/>
      <c r="IF137" s="403"/>
      <c r="IG137" s="403"/>
      <c r="IH137" s="403"/>
      <c r="II137" s="403"/>
      <c r="IJ137" s="403"/>
      <c r="IK137" s="403"/>
      <c r="IL137" s="403"/>
      <c r="IM137" s="403"/>
      <c r="IN137" s="403"/>
      <c r="IO137" s="403"/>
      <c r="IP137" s="403"/>
      <c r="IQ137" s="403"/>
      <c r="IR137" s="403" t="s">
        <v>5643</v>
      </c>
      <c r="IS137" s="403" t="s">
        <v>5802</v>
      </c>
      <c r="IT137" s="403" t="s">
        <v>11820</v>
      </c>
      <c r="IU137" s="403" t="s">
        <v>11821</v>
      </c>
      <c r="IV137" s="403" t="s">
        <v>11822</v>
      </c>
      <c r="IW137" s="403" t="s">
        <v>11823</v>
      </c>
      <c r="IX137" s="403" t="s">
        <v>11824</v>
      </c>
      <c r="IY137" s="403"/>
      <c r="IZ137" s="403"/>
      <c r="JA137" s="403"/>
      <c r="JB137" s="403"/>
      <c r="JC137" s="403"/>
      <c r="JD137" s="403" t="s">
        <v>4694</v>
      </c>
      <c r="JE137" s="403"/>
      <c r="JF137" s="403"/>
      <c r="JG137" s="403"/>
      <c r="JH137" s="403"/>
      <c r="JI137" s="403"/>
      <c r="JJ137" s="403"/>
      <c r="JK137" s="403"/>
      <c r="JL137" s="403"/>
      <c r="JM137" s="403"/>
      <c r="JN137" s="403"/>
      <c r="JO137" s="403"/>
      <c r="JP137" s="403"/>
      <c r="JQ137" s="403"/>
      <c r="JR137" s="403"/>
      <c r="JS137" s="403"/>
      <c r="JT137" s="403"/>
    </row>
    <row r="138" spans="1:280" s="17" customFormat="1" ht="17.25" x14ac:dyDescent="0.3">
      <c r="A138" s="17" t="str">
        <f ca="1">IF(OFFSET(AS138,0,Lang_Order*Lang__B5)="","",OFFSET(AS138,0,Lang_Order*Lang__B5))</f>
        <v>B5.3.2 Delivery Modality 2: Campaigns at fixed sites (no cold storage)</v>
      </c>
      <c r="B138" s="623"/>
      <c r="C138" s="18"/>
      <c r="D138" s="58">
        <f>DM2_Vaccine</f>
        <v>0</v>
      </c>
      <c r="E138" s="174" t="e">
        <f>VLOOKUP(D138,'T1. Vaccines'!$C$8:$AD$37,E139,FALSE)</f>
        <v>#N/A</v>
      </c>
      <c r="F138" s="59">
        <f>Sites_NoColdStorage</f>
        <v>0</v>
      </c>
      <c r="G138" s="174" t="e">
        <f>VLOOKUP(D138,'T1. Vaccines'!$C$8:$AD$37,G139,FALSE)</f>
        <v>#N/A</v>
      </c>
      <c r="H138" s="174" t="e">
        <f>VLOOKUP(D138,'T1. Vaccines'!$C$8:$AD$37,H139,FALSE)</f>
        <v>#N/A</v>
      </c>
      <c r="I138" s="174" t="e">
        <f>VLOOKUP(D138,'T1. Vaccines'!$C$8:$AD$37,I139,FALSE)</f>
        <v>#N/A</v>
      </c>
      <c r="J138" s="60" t="e">
        <f t="shared" ref="J138:P138" si="301">SUM(J13:J14)*RBF_DM2</f>
        <v>#N/A</v>
      </c>
      <c r="K138" s="60" t="e">
        <f t="shared" si="301"/>
        <v>#N/A</v>
      </c>
      <c r="L138" s="60" t="e">
        <f t="shared" si="301"/>
        <v>#N/A</v>
      </c>
      <c r="M138" s="60" t="e">
        <f t="shared" si="301"/>
        <v>#N/A</v>
      </c>
      <c r="N138" s="60" t="e">
        <f t="shared" si="301"/>
        <v>#N/A</v>
      </c>
      <c r="O138" s="60" t="e">
        <f t="shared" si="301"/>
        <v>#N/A</v>
      </c>
      <c r="P138" s="60" t="e">
        <f t="shared" si="301"/>
        <v>#N/A</v>
      </c>
      <c r="Q138" s="60"/>
      <c r="R138" s="8" t="str">
        <f ca="1">IF(OFFSET(BJ138,0,Lang_Order*Lang__B5)="","",OFFSET(BJ138,0,Lang_Order*Lang__B5))</f>
        <v>Notes</v>
      </c>
      <c r="S138" s="2"/>
      <c r="T138" s="258" t="e">
        <f>G138+HRH_Robustness_Bounds</f>
        <v>#N/A</v>
      </c>
      <c r="U138" s="636" t="e">
        <f>H138</f>
        <v>#N/A</v>
      </c>
      <c r="V138" s="175" t="e">
        <f t="shared" ref="V138" si="302">I138</f>
        <v>#N/A</v>
      </c>
      <c r="W138" s="175" t="e">
        <f t="shared" ref="W138" si="303">J138</f>
        <v>#N/A</v>
      </c>
      <c r="X138" s="175" t="e">
        <f t="shared" ref="X138" si="304">K138</f>
        <v>#N/A</v>
      </c>
      <c r="Y138" s="175" t="e">
        <f t="shared" ref="Y138" si="305">L138</f>
        <v>#N/A</v>
      </c>
      <c r="Z138" s="175" t="e">
        <f t="shared" ref="Z138" si="306">M138</f>
        <v>#N/A</v>
      </c>
      <c r="AA138" s="175" t="e">
        <f t="shared" ref="AA138" si="307">N138</f>
        <v>#N/A</v>
      </c>
      <c r="AB138" s="175" t="e">
        <f t="shared" ref="AB138" si="308">O138</f>
        <v>#N/A</v>
      </c>
      <c r="AC138" s="175" t="e">
        <f t="shared" ref="AC138" si="309">P138</f>
        <v>#N/A</v>
      </c>
      <c r="AD138" s="259"/>
      <c r="AE138" s="2"/>
      <c r="AF138" s="258" t="e">
        <f>MAX(0,G138-HRH_Robustness_Bounds)</f>
        <v>#N/A</v>
      </c>
      <c r="AG138" s="636" t="e">
        <f>H138</f>
        <v>#N/A</v>
      </c>
      <c r="AH138" s="175" t="e">
        <f t="shared" ref="AH138" si="310">I138</f>
        <v>#N/A</v>
      </c>
      <c r="AI138" s="175" t="e">
        <f t="shared" ref="AI138" si="311">J138</f>
        <v>#N/A</v>
      </c>
      <c r="AJ138" s="175" t="e">
        <f t="shared" ref="AJ138" si="312">K138</f>
        <v>#N/A</v>
      </c>
      <c r="AK138" s="175" t="e">
        <f t="shared" ref="AK138" si="313">L138</f>
        <v>#N/A</v>
      </c>
      <c r="AL138" s="175" t="e">
        <f t="shared" ref="AL138" si="314">M138</f>
        <v>#N/A</v>
      </c>
      <c r="AM138" s="175" t="e">
        <f t="shared" ref="AM138" si="315">N138</f>
        <v>#N/A</v>
      </c>
      <c r="AN138" s="175" t="e">
        <f t="shared" ref="AN138" si="316">O138</f>
        <v>#N/A</v>
      </c>
      <c r="AO138" s="175" t="e">
        <f t="shared" ref="AO138" si="317">P138</f>
        <v>#N/A</v>
      </c>
      <c r="AR138" s="403"/>
      <c r="AS138" s="403" t="s">
        <v>14290</v>
      </c>
      <c r="AT138" s="403"/>
      <c r="AU138" s="403"/>
      <c r="AV138" s="403"/>
      <c r="AW138" s="403"/>
      <c r="AX138" s="403"/>
      <c r="AY138" s="403"/>
      <c r="AZ138" s="403"/>
      <c r="BA138" s="403"/>
      <c r="BB138" s="403"/>
      <c r="BC138" s="403"/>
      <c r="BD138" s="403"/>
      <c r="BE138" s="403"/>
      <c r="BF138" s="403"/>
      <c r="BG138" s="403"/>
      <c r="BH138" s="403"/>
      <c r="BI138" s="403"/>
      <c r="BJ138" s="403" t="s">
        <v>16</v>
      </c>
      <c r="BK138" s="403"/>
      <c r="BL138" s="403"/>
      <c r="BM138" s="403"/>
      <c r="BN138" s="403"/>
      <c r="BO138" s="403"/>
      <c r="BP138" s="403"/>
      <c r="BQ138" s="403"/>
      <c r="BR138" s="403"/>
      <c r="BS138" s="403"/>
      <c r="BT138" s="403"/>
      <c r="BU138" s="403"/>
      <c r="BV138" s="403"/>
      <c r="BW138" s="403"/>
      <c r="BX138" s="403"/>
      <c r="BY138" s="403"/>
      <c r="BZ138" s="403"/>
      <c r="CA138" s="403" t="s">
        <v>14291</v>
      </c>
      <c r="CB138" s="403"/>
      <c r="CC138" s="403"/>
      <c r="CD138" s="403"/>
      <c r="CE138" s="403"/>
      <c r="CF138" s="403"/>
      <c r="CG138" s="403"/>
      <c r="CH138" s="403"/>
      <c r="CI138" s="403"/>
      <c r="CJ138" s="403"/>
      <c r="CK138" s="403"/>
      <c r="CL138" s="403"/>
      <c r="CM138" s="403"/>
      <c r="CN138" s="403"/>
      <c r="CO138" s="403"/>
      <c r="CP138" s="403"/>
      <c r="CQ138" s="403"/>
      <c r="CR138" s="403" t="s">
        <v>16</v>
      </c>
      <c r="CS138" s="403"/>
      <c r="CT138" s="403"/>
      <c r="CU138" s="403"/>
      <c r="CV138" s="403"/>
      <c r="CW138" s="403"/>
      <c r="CX138" s="403"/>
      <c r="CY138" s="403"/>
      <c r="CZ138" s="403"/>
      <c r="DA138" s="403"/>
      <c r="DB138" s="403"/>
      <c r="DC138" s="403"/>
      <c r="DD138" s="403"/>
      <c r="DE138" s="403"/>
      <c r="DF138" s="403"/>
      <c r="DG138" s="403"/>
      <c r="DH138" s="403"/>
      <c r="DI138" s="403" t="s">
        <v>14292</v>
      </c>
      <c r="DJ138" s="403"/>
      <c r="DK138" s="403"/>
      <c r="DL138" s="403"/>
      <c r="DM138" s="403"/>
      <c r="DN138" s="403"/>
      <c r="DO138" s="403"/>
      <c r="DP138" s="403"/>
      <c r="DQ138" s="403"/>
      <c r="DR138" s="403"/>
      <c r="DS138" s="403"/>
      <c r="DT138" s="403"/>
      <c r="DU138" s="403"/>
      <c r="DV138" s="403"/>
      <c r="DW138" s="403"/>
      <c r="DX138" s="403"/>
      <c r="DY138" s="403"/>
      <c r="DZ138" s="403" t="s">
        <v>5757</v>
      </c>
      <c r="EA138" s="403"/>
      <c r="EB138" s="403"/>
      <c r="EC138" s="403"/>
      <c r="ED138" s="403"/>
      <c r="EE138" s="403"/>
      <c r="EF138" s="403"/>
      <c r="EG138" s="403"/>
      <c r="EH138" s="403"/>
      <c r="EI138" s="403"/>
      <c r="EJ138" s="403"/>
      <c r="EK138" s="403"/>
      <c r="EL138" s="403"/>
      <c r="EM138" s="403"/>
      <c r="EN138" s="403"/>
      <c r="EO138" s="403"/>
      <c r="EP138" s="403"/>
      <c r="EQ138" s="403" t="s">
        <v>14293</v>
      </c>
      <c r="ER138" s="403"/>
      <c r="ES138" s="403"/>
      <c r="ET138" s="403"/>
      <c r="EU138" s="403"/>
      <c r="EV138" s="403"/>
      <c r="EW138" s="403"/>
      <c r="EX138" s="403"/>
      <c r="EY138" s="403"/>
      <c r="EZ138" s="403"/>
      <c r="FA138" s="403"/>
      <c r="FB138" s="403"/>
      <c r="FC138" s="403"/>
      <c r="FD138" s="403"/>
      <c r="FE138" s="403"/>
      <c r="FF138" s="403"/>
      <c r="FG138" s="403"/>
      <c r="FH138" s="403" t="s">
        <v>5453</v>
      </c>
      <c r="FI138" s="403"/>
      <c r="FJ138" s="403"/>
      <c r="FK138" s="403"/>
      <c r="FL138" s="403"/>
      <c r="FM138" s="403"/>
      <c r="FN138" s="403"/>
      <c r="FO138" s="403"/>
      <c r="FP138" s="403"/>
      <c r="FQ138" s="403"/>
      <c r="FR138" s="403"/>
      <c r="FS138" s="403"/>
      <c r="FT138" s="403"/>
      <c r="FU138" s="403"/>
      <c r="FV138" s="403"/>
      <c r="FW138" s="403"/>
      <c r="FX138" s="403"/>
      <c r="FY138" s="403" t="s">
        <v>14294</v>
      </c>
      <c r="FZ138" s="403"/>
      <c r="GA138" s="403"/>
      <c r="GB138" s="403"/>
      <c r="GC138" s="403"/>
      <c r="GD138" s="403"/>
      <c r="GE138" s="403"/>
      <c r="GF138" s="403"/>
      <c r="GG138" s="403"/>
      <c r="GH138" s="403"/>
      <c r="GI138" s="403"/>
      <c r="GJ138" s="403"/>
      <c r="GK138" s="403"/>
      <c r="GL138" s="403"/>
      <c r="GM138" s="403"/>
      <c r="GN138" s="403"/>
      <c r="GO138" s="403"/>
      <c r="GP138" s="403" t="s">
        <v>5453</v>
      </c>
      <c r="GQ138" s="403"/>
      <c r="GR138" s="403"/>
      <c r="GS138" s="403"/>
      <c r="GT138" s="403"/>
      <c r="GU138" s="403"/>
      <c r="GV138" s="403"/>
      <c r="GW138" s="403"/>
      <c r="GX138" s="403"/>
      <c r="GY138" s="403"/>
      <c r="GZ138" s="403"/>
      <c r="HA138" s="403"/>
      <c r="HB138" s="403"/>
      <c r="HC138" s="403"/>
      <c r="HD138" s="403"/>
      <c r="HE138" s="403"/>
      <c r="HF138" s="403"/>
      <c r="HG138" s="403" t="s">
        <v>14724</v>
      </c>
      <c r="HH138" s="403"/>
      <c r="HI138" s="403"/>
      <c r="HJ138" s="403"/>
      <c r="HK138" s="403"/>
      <c r="HL138" s="403"/>
      <c r="HM138" s="403"/>
      <c r="HN138" s="403"/>
      <c r="HO138" s="403"/>
      <c r="HP138" s="403"/>
      <c r="HQ138" s="403"/>
      <c r="HR138" s="403"/>
      <c r="HS138" s="403"/>
      <c r="HT138" s="403"/>
      <c r="HU138" s="403"/>
      <c r="HV138" s="403"/>
      <c r="HW138" s="403"/>
      <c r="HX138" s="403" t="s">
        <v>5454</v>
      </c>
      <c r="HY138" s="403"/>
      <c r="HZ138" s="403"/>
      <c r="IA138" s="403"/>
      <c r="IB138" s="403"/>
      <c r="IC138" s="403"/>
      <c r="ID138" s="403"/>
      <c r="IE138" s="403"/>
      <c r="IF138" s="403"/>
      <c r="IG138" s="403"/>
      <c r="IH138" s="403"/>
      <c r="II138" s="403"/>
      <c r="IJ138" s="403"/>
      <c r="IK138" s="403"/>
      <c r="IL138" s="403"/>
      <c r="IM138" s="403"/>
      <c r="IN138" s="403"/>
      <c r="IO138" s="403" t="s">
        <v>14295</v>
      </c>
      <c r="IP138" s="403"/>
      <c r="IQ138" s="403"/>
      <c r="IR138" s="403"/>
      <c r="IS138" s="403"/>
      <c r="IT138" s="403"/>
      <c r="IU138" s="403"/>
      <c r="IV138" s="403"/>
      <c r="IW138" s="403"/>
      <c r="IX138" s="403"/>
      <c r="IY138" s="403"/>
      <c r="IZ138" s="403"/>
      <c r="JA138" s="403"/>
      <c r="JB138" s="403"/>
      <c r="JC138" s="403"/>
      <c r="JD138" s="403"/>
      <c r="JE138" s="403"/>
      <c r="JF138" s="403" t="s">
        <v>5455</v>
      </c>
      <c r="JG138" s="403"/>
      <c r="JH138" s="403"/>
      <c r="JI138" s="403"/>
      <c r="JJ138" s="403"/>
      <c r="JK138" s="403"/>
      <c r="JL138" s="403"/>
      <c r="JM138" s="403"/>
      <c r="JN138" s="403"/>
      <c r="JO138" s="403"/>
      <c r="JP138" s="403"/>
      <c r="JQ138" s="403"/>
      <c r="JR138" s="403"/>
      <c r="JS138" s="403"/>
      <c r="JT138" s="403"/>
    </row>
    <row r="139" spans="1:280" s="15" customFormat="1" x14ac:dyDescent="0.25">
      <c r="A139" s="9"/>
      <c r="B139" s="627"/>
      <c r="C139" s="9"/>
      <c r="E139" s="2">
        <f>'T1. Vaccines'!$F$39</f>
        <v>4</v>
      </c>
      <c r="G139" s="2">
        <f>'T1. Vaccines'!$P$39</f>
        <v>14</v>
      </c>
      <c r="H139" s="2">
        <f>'T1. Vaccines'!$L$39</f>
        <v>10</v>
      </c>
      <c r="I139" s="2">
        <f>'T1. Vaccines'!$H$39</f>
        <v>6</v>
      </c>
      <c r="J139" s="41" t="str">
        <f t="shared" ref="J139:Q139" ca="1" si="318">IF(OFFSET(BB139,0,Lang_Order*Lang__B5)="","",OFFSET(BB139,0,Lang_Order*Lang__B5))</f>
        <v>H1 2021</v>
      </c>
      <c r="K139" s="41" t="str">
        <f t="shared" ca="1" si="318"/>
        <v>H2 2021</v>
      </c>
      <c r="L139" s="41" t="str">
        <f t="shared" ca="1" si="318"/>
        <v>H1 2022</v>
      </c>
      <c r="M139" s="41" t="str">
        <f t="shared" ca="1" si="318"/>
        <v>H2 2022</v>
      </c>
      <c r="N139" s="41" t="str">
        <f t="shared" ca="1" si="318"/>
        <v>H1 2023</v>
      </c>
      <c r="O139" s="41" t="str">
        <f t="shared" ca="1" si="318"/>
        <v>H2 2023</v>
      </c>
      <c r="P139" s="41" t="str">
        <f t="shared" ca="1" si="318"/>
        <v>Total</v>
      </c>
      <c r="Q139" s="177" t="str">
        <f t="shared" ca="1" si="318"/>
        <v>Max</v>
      </c>
      <c r="S139" s="2"/>
      <c r="T139" s="241"/>
      <c r="U139" s="622"/>
      <c r="V139" s="2"/>
      <c r="W139" s="255" t="str">
        <f t="shared" ref="W139" ca="1" si="319">IF(OFFSET(BB139,0,Lang_Order*Lang__B5)="","",OFFSET(BB139,0,Lang_Order*Lang__B5))</f>
        <v>H1 2021</v>
      </c>
      <c r="X139" s="255" t="str">
        <f t="shared" ref="X139" ca="1" si="320">IF(OFFSET(BC139,0,Lang_Order*Lang__B5)="","",OFFSET(BC139,0,Lang_Order*Lang__B5))</f>
        <v>H2 2021</v>
      </c>
      <c r="Y139" s="255" t="str">
        <f t="shared" ref="Y139" ca="1" si="321">IF(OFFSET(BD139,0,Lang_Order*Lang__B5)="","",OFFSET(BD139,0,Lang_Order*Lang__B5))</f>
        <v>H1 2022</v>
      </c>
      <c r="Z139" s="255" t="str">
        <f t="shared" ref="Z139" ca="1" si="322">IF(OFFSET(BE139,0,Lang_Order*Lang__B5)="","",OFFSET(BE139,0,Lang_Order*Lang__B5))</f>
        <v>H2 2022</v>
      </c>
      <c r="AA139" s="255" t="str">
        <f t="shared" ref="AA139" ca="1" si="323">IF(OFFSET(BF139,0,Lang_Order*Lang__B5)="","",OFFSET(BF139,0,Lang_Order*Lang__B5))</f>
        <v>H1 2023</v>
      </c>
      <c r="AB139" s="255" t="str">
        <f t="shared" ref="AB139" ca="1" si="324">IF(OFFSET(BG139,0,Lang_Order*Lang__B5)="","",OFFSET(BG139,0,Lang_Order*Lang__B5))</f>
        <v>H2 2023</v>
      </c>
      <c r="AC139" s="255" t="str">
        <f t="shared" ref="AC139" ca="1" si="325">IF(OFFSET(BH139,0,Lang_Order*Lang__B5)="","",OFFSET(BH139,0,Lang_Order*Lang__B5))</f>
        <v>Total</v>
      </c>
      <c r="AD139" s="177" t="str">
        <f t="shared" ref="AD139" ca="1" si="326">IF(OFFSET(BI139,0,Lang_Order*Lang__B5)="","",OFFSET(BI139,0,Lang_Order*Lang__B5))</f>
        <v>Max</v>
      </c>
      <c r="AE139" s="2"/>
      <c r="AF139" s="241"/>
      <c r="AG139" s="622"/>
      <c r="AI139" s="255" t="str">
        <f t="shared" ref="AI139:AP139" ca="1" si="327">IF(OFFSET(BB139,0,Lang_Order*Lang__B5)="","",OFFSET(BB139,0,Lang_Order*Lang__B5))</f>
        <v>H1 2021</v>
      </c>
      <c r="AJ139" s="255" t="str">
        <f t="shared" ca="1" si="327"/>
        <v>H2 2021</v>
      </c>
      <c r="AK139" s="255" t="str">
        <f t="shared" ca="1" si="327"/>
        <v>H1 2022</v>
      </c>
      <c r="AL139" s="255" t="str">
        <f t="shared" ca="1" si="327"/>
        <v>H2 2022</v>
      </c>
      <c r="AM139" s="255" t="str">
        <f t="shared" ca="1" si="327"/>
        <v>H1 2023</v>
      </c>
      <c r="AN139" s="255" t="str">
        <f t="shared" ca="1" si="327"/>
        <v>H2 2023</v>
      </c>
      <c r="AO139" s="255" t="str">
        <f t="shared" ca="1" si="327"/>
        <v>Total</v>
      </c>
      <c r="AP139" s="177" t="str">
        <f t="shared" ca="1" si="327"/>
        <v>Max</v>
      </c>
      <c r="AR139" s="403"/>
      <c r="AS139" s="403"/>
      <c r="AT139" s="403"/>
      <c r="AU139" s="403"/>
      <c r="AV139" s="403"/>
      <c r="AW139" s="403"/>
      <c r="AX139" s="403"/>
      <c r="AY139" s="403"/>
      <c r="AZ139" s="403"/>
      <c r="BA139" s="403"/>
      <c r="BB139" s="403" t="s">
        <v>1597</v>
      </c>
      <c r="BC139" s="403" t="s">
        <v>1598</v>
      </c>
      <c r="BD139" s="403" t="s">
        <v>1599</v>
      </c>
      <c r="BE139" s="403" t="s">
        <v>1600</v>
      </c>
      <c r="BF139" s="403" t="s">
        <v>1602</v>
      </c>
      <c r="BG139" s="403" t="s">
        <v>1601</v>
      </c>
      <c r="BH139" s="403" t="s">
        <v>1605</v>
      </c>
      <c r="BI139" s="403" t="s">
        <v>2709</v>
      </c>
      <c r="BJ139" s="403"/>
      <c r="BK139" s="403"/>
      <c r="BL139" s="403"/>
      <c r="BM139" s="403"/>
      <c r="BN139" s="403"/>
      <c r="BO139" s="403"/>
      <c r="BP139" s="403"/>
      <c r="BQ139" s="403"/>
      <c r="BR139" s="403"/>
      <c r="BS139" s="403"/>
      <c r="BT139" s="403"/>
      <c r="BU139" s="403"/>
      <c r="BV139" s="403"/>
      <c r="BW139" s="403"/>
      <c r="BX139" s="403"/>
      <c r="BY139" s="403"/>
      <c r="BZ139" s="403"/>
      <c r="CA139" s="403"/>
      <c r="CB139" s="403"/>
      <c r="CC139" s="403"/>
      <c r="CD139" s="403"/>
      <c r="CE139" s="403"/>
      <c r="CF139" s="403"/>
      <c r="CG139" s="403"/>
      <c r="CH139" s="403"/>
      <c r="CI139" s="403"/>
      <c r="CJ139" s="403" t="s">
        <v>4663</v>
      </c>
      <c r="CK139" s="403" t="s">
        <v>4664</v>
      </c>
      <c r="CL139" s="403" t="s">
        <v>4665</v>
      </c>
      <c r="CM139" s="403" t="s">
        <v>4666</v>
      </c>
      <c r="CN139" s="403" t="s">
        <v>4667</v>
      </c>
      <c r="CO139" s="403" t="s">
        <v>4668</v>
      </c>
      <c r="CP139" s="403" t="s">
        <v>1605</v>
      </c>
      <c r="CQ139" s="403" t="s">
        <v>2709</v>
      </c>
      <c r="CR139" s="403"/>
      <c r="CS139" s="403"/>
      <c r="CT139" s="403"/>
      <c r="CU139" s="403"/>
      <c r="CV139" s="403"/>
      <c r="CW139" s="403"/>
      <c r="CX139" s="403"/>
      <c r="CY139" s="403"/>
      <c r="CZ139" s="403"/>
      <c r="DA139" s="403"/>
      <c r="DB139" s="403"/>
      <c r="DC139" s="403"/>
      <c r="DD139" s="403"/>
      <c r="DE139" s="403"/>
      <c r="DF139" s="403"/>
      <c r="DG139" s="403"/>
      <c r="DH139" s="403"/>
      <c r="DI139" s="403"/>
      <c r="DJ139" s="403"/>
      <c r="DK139" s="403"/>
      <c r="DL139" s="403"/>
      <c r="DM139" s="403"/>
      <c r="DN139" s="403"/>
      <c r="DO139" s="403"/>
      <c r="DP139" s="403"/>
      <c r="DQ139" s="403"/>
      <c r="DR139" s="403" t="s">
        <v>4670</v>
      </c>
      <c r="DS139" s="403" t="s">
        <v>4671</v>
      </c>
      <c r="DT139" s="403" t="s">
        <v>4672</v>
      </c>
      <c r="DU139" s="403" t="s">
        <v>4673</v>
      </c>
      <c r="DV139" s="403" t="s">
        <v>4674</v>
      </c>
      <c r="DW139" s="403" t="s">
        <v>4675</v>
      </c>
      <c r="DX139" s="403" t="s">
        <v>4676</v>
      </c>
      <c r="DY139" s="403" t="s">
        <v>10072</v>
      </c>
      <c r="DZ139" s="403"/>
      <c r="EA139" s="403"/>
      <c r="EB139" s="403"/>
      <c r="EC139" s="403"/>
      <c r="ED139" s="403"/>
      <c r="EE139" s="403"/>
      <c r="EF139" s="403"/>
      <c r="EG139" s="403"/>
      <c r="EH139" s="403"/>
      <c r="EI139" s="403"/>
      <c r="EJ139" s="403"/>
      <c r="EK139" s="403"/>
      <c r="EL139" s="403"/>
      <c r="EM139" s="403"/>
      <c r="EN139" s="403"/>
      <c r="EO139" s="403"/>
      <c r="EP139" s="403"/>
      <c r="EQ139" s="403"/>
      <c r="ER139" s="403"/>
      <c r="ES139" s="403"/>
      <c r="ET139" s="403"/>
      <c r="EU139" s="403"/>
      <c r="EV139" s="403"/>
      <c r="EW139" s="403"/>
      <c r="EX139" s="403"/>
      <c r="EY139" s="403"/>
      <c r="EZ139" s="403" t="s">
        <v>1597</v>
      </c>
      <c r="FA139" s="403" t="s">
        <v>1598</v>
      </c>
      <c r="FB139" s="403" t="s">
        <v>1599</v>
      </c>
      <c r="FC139" s="403" t="s">
        <v>1600</v>
      </c>
      <c r="FD139" s="403" t="s">
        <v>1602</v>
      </c>
      <c r="FE139" s="403" t="s">
        <v>1601</v>
      </c>
      <c r="FF139" s="403" t="s">
        <v>1605</v>
      </c>
      <c r="FG139" s="403" t="s">
        <v>2709</v>
      </c>
      <c r="FH139" s="403"/>
      <c r="FI139" s="403"/>
      <c r="FJ139" s="403"/>
      <c r="FK139" s="403"/>
      <c r="FL139" s="403"/>
      <c r="FM139" s="403"/>
      <c r="FN139" s="403"/>
      <c r="FO139" s="403"/>
      <c r="FP139" s="403"/>
      <c r="FQ139" s="403"/>
      <c r="FR139" s="403"/>
      <c r="FS139" s="403"/>
      <c r="FT139" s="403"/>
      <c r="FU139" s="403"/>
      <c r="FV139" s="403"/>
      <c r="FW139" s="403"/>
      <c r="FX139" s="403"/>
      <c r="FY139" s="403"/>
      <c r="FZ139" s="403"/>
      <c r="GA139" s="403"/>
      <c r="GB139" s="403"/>
      <c r="GC139" s="403"/>
      <c r="GD139" s="403"/>
      <c r="GE139" s="403"/>
      <c r="GF139" s="403"/>
      <c r="GG139" s="403"/>
      <c r="GH139" s="403" t="s">
        <v>4663</v>
      </c>
      <c r="GI139" s="403" t="s">
        <v>4664</v>
      </c>
      <c r="GJ139" s="403" t="s">
        <v>4665</v>
      </c>
      <c r="GK139" s="403" t="s">
        <v>4666</v>
      </c>
      <c r="GL139" s="403" t="s">
        <v>4667</v>
      </c>
      <c r="GM139" s="403" t="s">
        <v>4668</v>
      </c>
      <c r="GN139" s="403" t="s">
        <v>1605</v>
      </c>
      <c r="GO139" s="403" t="s">
        <v>10073</v>
      </c>
      <c r="GP139" s="403"/>
      <c r="GQ139" s="403"/>
      <c r="GR139" s="403"/>
      <c r="GS139" s="403"/>
      <c r="GT139" s="403"/>
      <c r="GU139" s="403"/>
      <c r="GV139" s="403"/>
      <c r="GW139" s="403"/>
      <c r="GX139" s="403"/>
      <c r="GY139" s="403"/>
      <c r="GZ139" s="403"/>
      <c r="HA139" s="403"/>
      <c r="HB139" s="403"/>
      <c r="HC139" s="403"/>
      <c r="HD139" s="403"/>
      <c r="HE139" s="403"/>
      <c r="HF139" s="403"/>
      <c r="HG139" s="403"/>
      <c r="HH139" s="403"/>
      <c r="HI139" s="403"/>
      <c r="HJ139" s="403"/>
      <c r="HK139" s="403"/>
      <c r="HL139" s="403"/>
      <c r="HM139" s="403"/>
      <c r="HN139" s="403"/>
      <c r="HO139" s="403"/>
      <c r="HP139" s="403" t="s">
        <v>4680</v>
      </c>
      <c r="HQ139" s="403" t="s">
        <v>4681</v>
      </c>
      <c r="HR139" s="403" t="s">
        <v>4682</v>
      </c>
      <c r="HS139" s="403" t="s">
        <v>4683</v>
      </c>
      <c r="HT139" s="403" t="s">
        <v>4684</v>
      </c>
      <c r="HU139" s="403" t="s">
        <v>4685</v>
      </c>
      <c r="HV139" s="403" t="s">
        <v>4686</v>
      </c>
      <c r="HW139" s="403" t="s">
        <v>10074</v>
      </c>
      <c r="HX139" s="403"/>
      <c r="HY139" s="403"/>
      <c r="HZ139" s="403"/>
      <c r="IA139" s="403"/>
      <c r="IB139" s="403"/>
      <c r="IC139" s="403"/>
      <c r="ID139" s="403"/>
      <c r="IE139" s="403"/>
      <c r="IF139" s="403"/>
      <c r="IG139" s="403"/>
      <c r="IH139" s="403"/>
      <c r="II139" s="403"/>
      <c r="IJ139" s="403"/>
      <c r="IK139" s="403"/>
      <c r="IL139" s="403"/>
      <c r="IM139" s="403"/>
      <c r="IN139" s="403"/>
      <c r="IO139" s="403"/>
      <c r="IP139" s="403"/>
      <c r="IQ139" s="403"/>
      <c r="IR139" s="403"/>
      <c r="IS139" s="403"/>
      <c r="IT139" s="403"/>
      <c r="IU139" s="403"/>
      <c r="IV139" s="403"/>
      <c r="IW139" s="403"/>
      <c r="IX139" s="403" t="s">
        <v>4688</v>
      </c>
      <c r="IY139" s="403" t="s">
        <v>4689</v>
      </c>
      <c r="IZ139" s="403" t="s">
        <v>4690</v>
      </c>
      <c r="JA139" s="403" t="s">
        <v>4691</v>
      </c>
      <c r="JB139" s="403" t="s">
        <v>4692</v>
      </c>
      <c r="JC139" s="403" t="s">
        <v>4693</v>
      </c>
      <c r="JD139" s="403" t="s">
        <v>4694</v>
      </c>
      <c r="JE139" s="403" t="s">
        <v>10075</v>
      </c>
      <c r="JF139" s="403"/>
      <c r="JG139" s="403"/>
      <c r="JH139" s="403"/>
      <c r="JI139" s="403"/>
      <c r="JJ139" s="403"/>
      <c r="JK139" s="403"/>
      <c r="JL139" s="403"/>
      <c r="JM139" s="403"/>
      <c r="JN139" s="403"/>
      <c r="JO139" s="403"/>
      <c r="JP139" s="403"/>
      <c r="JQ139" s="403"/>
      <c r="JR139" s="403"/>
      <c r="JS139" s="403"/>
      <c r="JT139" s="403"/>
    </row>
    <row r="140" spans="1:280" s="15" customFormat="1" ht="12.75" x14ac:dyDescent="0.2">
      <c r="A140" s="9"/>
      <c r="B140" s="624" t="str">
        <f ca="1">IF(OFFSET(AT140,0,Lang_Order*Lang__B5)="","",OFFSET(AT140,0,Lang_Order*Lang__B5))</f>
        <v>Delivery Context</v>
      </c>
      <c r="C140" s="23"/>
      <c r="E140" s="26"/>
      <c r="F140" s="26"/>
      <c r="G140" s="26"/>
      <c r="H140" s="26"/>
      <c r="I140" s="26"/>
      <c r="J140" s="26"/>
      <c r="K140" s="26"/>
      <c r="L140" s="26"/>
      <c r="M140" s="26"/>
      <c r="N140" s="26"/>
      <c r="O140" s="26"/>
      <c r="P140" s="26"/>
      <c r="Q140" s="26"/>
      <c r="R140" s="12" t="str">
        <f t="shared" ref="R140:R171" ca="1" si="328">IF(OFFSET(BJ140,0,Lang_Order*Lang__B5)="","",OFFSET(BJ140,0,Lang_Order*Lang__B5))</f>
        <v>Note that sites are treated as equal-sized 'averages'</v>
      </c>
      <c r="S140" s="2"/>
      <c r="T140" s="241"/>
      <c r="U140" s="624" t="str">
        <f ca="1">IF(OFFSET(AT140,0,Lang_Order*Lang__B5)="","",OFFSET(AT140,0,Lang_Order*Lang__B5))</f>
        <v>Delivery Context</v>
      </c>
      <c r="V140" s="72"/>
      <c r="AE140" s="2"/>
      <c r="AF140" s="241"/>
      <c r="AG140" s="624" t="str">
        <f ca="1">IF(OFFSET(AT140,0,Lang_Order*Lang__B5)="","",OFFSET(AT140,0,Lang_Order*Lang__B5))</f>
        <v>Delivery Context</v>
      </c>
      <c r="AH140" s="72"/>
      <c r="AR140" s="403"/>
      <c r="AS140" s="403"/>
      <c r="AT140" s="403" t="s">
        <v>34</v>
      </c>
      <c r="AU140" s="403"/>
      <c r="AV140" s="403"/>
      <c r="AW140" s="403"/>
      <c r="AX140" s="403"/>
      <c r="AY140" s="403"/>
      <c r="AZ140" s="403"/>
      <c r="BA140" s="403"/>
      <c r="BB140" s="403"/>
      <c r="BC140" s="403"/>
      <c r="BD140" s="403"/>
      <c r="BE140" s="403"/>
      <c r="BF140" s="403"/>
      <c r="BG140" s="403"/>
      <c r="BH140" s="403"/>
      <c r="BI140" s="403"/>
      <c r="BJ140" s="403" t="s">
        <v>1674</v>
      </c>
      <c r="BK140" s="403"/>
      <c r="BL140" s="403"/>
      <c r="BM140" s="403"/>
      <c r="BN140" s="403"/>
      <c r="BO140" s="403"/>
      <c r="BP140" s="403"/>
      <c r="BQ140" s="403"/>
      <c r="BR140" s="403"/>
      <c r="BS140" s="403"/>
      <c r="BT140" s="403"/>
      <c r="BU140" s="403"/>
      <c r="BV140" s="403"/>
      <c r="BW140" s="403"/>
      <c r="BX140" s="403"/>
      <c r="BY140" s="403"/>
      <c r="BZ140" s="403"/>
      <c r="CA140" s="403"/>
      <c r="CB140" s="403" t="s">
        <v>11826</v>
      </c>
      <c r="CC140" s="403"/>
      <c r="CD140" s="403"/>
      <c r="CE140" s="403"/>
      <c r="CF140" s="403"/>
      <c r="CG140" s="403"/>
      <c r="CH140" s="403"/>
      <c r="CI140" s="403"/>
      <c r="CJ140" s="403"/>
      <c r="CK140" s="403"/>
      <c r="CL140" s="403"/>
      <c r="CM140" s="403"/>
      <c r="CN140" s="403"/>
      <c r="CO140" s="403"/>
      <c r="CP140" s="403"/>
      <c r="CQ140" s="403"/>
      <c r="CR140" s="403" t="s">
        <v>11827</v>
      </c>
      <c r="CS140" s="403"/>
      <c r="CT140" s="403"/>
      <c r="CU140" s="403"/>
      <c r="CV140" s="403"/>
      <c r="CW140" s="403"/>
      <c r="CX140" s="403"/>
      <c r="CY140" s="403"/>
      <c r="CZ140" s="403"/>
      <c r="DA140" s="403"/>
      <c r="DB140" s="403"/>
      <c r="DC140" s="403"/>
      <c r="DD140" s="403"/>
      <c r="DE140" s="403"/>
      <c r="DF140" s="403"/>
      <c r="DG140" s="403"/>
      <c r="DH140" s="403"/>
      <c r="DI140" s="403"/>
      <c r="DJ140" s="403" t="s">
        <v>12098</v>
      </c>
      <c r="DK140" s="403"/>
      <c r="DL140" s="403"/>
      <c r="DM140" s="403"/>
      <c r="DN140" s="403"/>
      <c r="DO140" s="403"/>
      <c r="DP140" s="403"/>
      <c r="DQ140" s="403"/>
      <c r="DR140" s="403"/>
      <c r="DS140" s="403"/>
      <c r="DT140" s="403"/>
      <c r="DU140" s="403"/>
      <c r="DV140" s="403"/>
      <c r="DW140" s="403"/>
      <c r="DX140" s="403"/>
      <c r="DY140" s="403"/>
      <c r="DZ140" s="403" t="s">
        <v>11829</v>
      </c>
      <c r="EA140" s="403"/>
      <c r="EB140" s="403"/>
      <c r="EC140" s="403"/>
      <c r="ED140" s="403"/>
      <c r="EE140" s="403"/>
      <c r="EF140" s="403"/>
      <c r="EG140" s="403"/>
      <c r="EH140" s="403"/>
      <c r="EI140" s="403"/>
      <c r="EJ140" s="403"/>
      <c r="EK140" s="403"/>
      <c r="EL140" s="403"/>
      <c r="EM140" s="403"/>
      <c r="EN140" s="403"/>
      <c r="EO140" s="403"/>
      <c r="EP140" s="403"/>
      <c r="EQ140" s="403"/>
      <c r="ER140" s="403" t="s">
        <v>11830</v>
      </c>
      <c r="ES140" s="403"/>
      <c r="ET140" s="403"/>
      <c r="EU140" s="403"/>
      <c r="EV140" s="403"/>
      <c r="EW140" s="403"/>
      <c r="EX140" s="403"/>
      <c r="EY140" s="403"/>
      <c r="EZ140" s="403"/>
      <c r="FA140" s="403"/>
      <c r="FB140" s="403"/>
      <c r="FC140" s="403"/>
      <c r="FD140" s="403"/>
      <c r="FE140" s="403"/>
      <c r="FF140" s="403"/>
      <c r="FG140" s="403"/>
      <c r="FH140" s="403" t="s">
        <v>12099</v>
      </c>
      <c r="FI140" s="403"/>
      <c r="FJ140" s="403"/>
      <c r="FK140" s="403"/>
      <c r="FL140" s="403"/>
      <c r="FM140" s="403"/>
      <c r="FN140" s="403"/>
      <c r="FO140" s="403"/>
      <c r="FP140" s="403"/>
      <c r="FQ140" s="403"/>
      <c r="FR140" s="403"/>
      <c r="FS140" s="403"/>
      <c r="FT140" s="403"/>
      <c r="FU140" s="403"/>
      <c r="FV140" s="403"/>
      <c r="FW140" s="403"/>
      <c r="FX140" s="403"/>
      <c r="FY140" s="403"/>
      <c r="FZ140" s="403" t="s">
        <v>11832</v>
      </c>
      <c r="GA140" s="403"/>
      <c r="GB140" s="403"/>
      <c r="GC140" s="403"/>
      <c r="GD140" s="403"/>
      <c r="GE140" s="403"/>
      <c r="GF140" s="403"/>
      <c r="GG140" s="403"/>
      <c r="GH140" s="403"/>
      <c r="GI140" s="403"/>
      <c r="GJ140" s="403"/>
      <c r="GK140" s="403"/>
      <c r="GL140" s="403"/>
      <c r="GM140" s="403"/>
      <c r="GN140" s="403"/>
      <c r="GO140" s="403"/>
      <c r="GP140" s="403" t="s">
        <v>11833</v>
      </c>
      <c r="GQ140" s="403"/>
      <c r="GR140" s="403"/>
      <c r="GS140" s="403"/>
      <c r="GT140" s="403"/>
      <c r="GU140" s="403"/>
      <c r="GV140" s="403"/>
      <c r="GW140" s="403"/>
      <c r="GX140" s="403"/>
      <c r="GY140" s="403"/>
      <c r="GZ140" s="403"/>
      <c r="HA140" s="403"/>
      <c r="HB140" s="403"/>
      <c r="HC140" s="403"/>
      <c r="HD140" s="403"/>
      <c r="HE140" s="403"/>
      <c r="HF140" s="403"/>
      <c r="HG140" s="403"/>
      <c r="HH140" s="403" t="s">
        <v>11834</v>
      </c>
      <c r="HI140" s="403"/>
      <c r="HJ140" s="403"/>
      <c r="HK140" s="403"/>
      <c r="HL140" s="403"/>
      <c r="HM140" s="403"/>
      <c r="HN140" s="403"/>
      <c r="HO140" s="403"/>
      <c r="HP140" s="403"/>
      <c r="HQ140" s="403"/>
      <c r="HR140" s="403"/>
      <c r="HS140" s="403"/>
      <c r="HT140" s="403"/>
      <c r="HU140" s="403"/>
      <c r="HV140" s="403"/>
      <c r="HW140" s="403"/>
      <c r="HX140" s="403" t="s">
        <v>11835</v>
      </c>
      <c r="HY140" s="403"/>
      <c r="HZ140" s="403"/>
      <c r="IA140" s="403"/>
      <c r="IB140" s="403"/>
      <c r="IC140" s="403"/>
      <c r="ID140" s="403"/>
      <c r="IE140" s="403"/>
      <c r="IF140" s="403"/>
      <c r="IG140" s="403"/>
      <c r="IH140" s="403"/>
      <c r="II140" s="403"/>
      <c r="IJ140" s="403"/>
      <c r="IK140" s="403"/>
      <c r="IL140" s="403"/>
      <c r="IM140" s="403"/>
      <c r="IN140" s="403"/>
      <c r="IO140" s="403"/>
      <c r="IP140" s="403" t="s">
        <v>11836</v>
      </c>
      <c r="IQ140" s="403"/>
      <c r="IR140" s="403"/>
      <c r="IS140" s="403"/>
      <c r="IT140" s="403"/>
      <c r="IU140" s="403"/>
      <c r="IV140" s="403"/>
      <c r="IW140" s="403"/>
      <c r="IX140" s="403"/>
      <c r="IY140" s="403"/>
      <c r="IZ140" s="403"/>
      <c r="JA140" s="403"/>
      <c r="JB140" s="403"/>
      <c r="JC140" s="403"/>
      <c r="JD140" s="403"/>
      <c r="JE140" s="403"/>
      <c r="JF140" s="403" t="s">
        <v>11837</v>
      </c>
      <c r="JG140" s="403"/>
      <c r="JH140" s="403"/>
      <c r="JI140" s="403"/>
      <c r="JJ140" s="403"/>
      <c r="JK140" s="403"/>
      <c r="JL140" s="403"/>
      <c r="JM140" s="403"/>
      <c r="JN140" s="403"/>
      <c r="JO140" s="403"/>
      <c r="JP140" s="403"/>
      <c r="JQ140" s="403"/>
      <c r="JR140" s="403"/>
      <c r="JS140" s="403"/>
      <c r="JT140" s="403"/>
    </row>
    <row r="141" spans="1:280" s="15" customFormat="1" ht="12.75" x14ac:dyDescent="0.2">
      <c r="A141" s="9"/>
      <c r="B141" s="624"/>
      <c r="C141" s="23" t="str">
        <f t="shared" ref="C141:C149" ca="1" si="329">IF(OFFSET(AU141,0,Lang_Order*Lang__B5)="","",OFFSET(AU141,0,Lang_Order*Lang__B5))</f>
        <v>Initiation of service delivery</v>
      </c>
      <c r="J141" s="62" t="e">
        <f t="shared" ref="J141:O141" si="330">IF(AND(J138&gt;0,I142=0),1,0)</f>
        <v>#N/A</v>
      </c>
      <c r="K141" s="62" t="e">
        <f t="shared" si="330"/>
        <v>#N/A</v>
      </c>
      <c r="L141" s="62" t="e">
        <f t="shared" si="330"/>
        <v>#N/A</v>
      </c>
      <c r="M141" s="62" t="e">
        <f t="shared" si="330"/>
        <v>#N/A</v>
      </c>
      <c r="N141" s="62" t="e">
        <f t="shared" si="330"/>
        <v>#N/A</v>
      </c>
      <c r="O141" s="62" t="e">
        <f t="shared" si="330"/>
        <v>#N/A</v>
      </c>
      <c r="P141" s="26"/>
      <c r="Q141" s="26"/>
      <c r="R141" s="12" t="str">
        <f t="shared" ca="1" si="328"/>
        <v>Trigger ONCE (with "1") to indicate start</v>
      </c>
      <c r="S141" s="2"/>
      <c r="T141" s="241"/>
      <c r="U141" s="624"/>
      <c r="V141" s="72" t="str">
        <f ca="1">IF(OFFSET(AU141,0,Lang_Order*Lang__B5)="","",OFFSET(AU141,0,Lang_Order*Lang__B5))</f>
        <v>Initiation of service delivery</v>
      </c>
      <c r="W141" s="62" t="e">
        <f t="shared" ref="W141:AB141" si="331">IF(AND(W138&gt;0,V142=0),1,0)</f>
        <v>#N/A</v>
      </c>
      <c r="X141" s="62" t="e">
        <f t="shared" si="331"/>
        <v>#N/A</v>
      </c>
      <c r="Y141" s="62" t="e">
        <f t="shared" si="331"/>
        <v>#N/A</v>
      </c>
      <c r="Z141" s="62" t="e">
        <f t="shared" si="331"/>
        <v>#N/A</v>
      </c>
      <c r="AA141" s="62" t="e">
        <f t="shared" si="331"/>
        <v>#N/A</v>
      </c>
      <c r="AB141" s="62" t="e">
        <f t="shared" si="331"/>
        <v>#N/A</v>
      </c>
      <c r="AE141" s="2"/>
      <c r="AF141" s="241"/>
      <c r="AG141" s="624"/>
      <c r="AH141" s="72" t="str">
        <f ca="1">IF(OFFSET(AU141,0,Lang_Order*Lang__B5)="","",OFFSET(AU141,0,Lang_Order*Lang__B5))</f>
        <v>Initiation of service delivery</v>
      </c>
      <c r="AI141" s="62" t="e">
        <f t="shared" ref="AI141:AN141" si="332">IF(AND(AI138&gt;0,AH142=0),1,0)</f>
        <v>#N/A</v>
      </c>
      <c r="AJ141" s="62" t="e">
        <f t="shared" si="332"/>
        <v>#N/A</v>
      </c>
      <c r="AK141" s="62" t="e">
        <f t="shared" si="332"/>
        <v>#N/A</v>
      </c>
      <c r="AL141" s="62" t="e">
        <f t="shared" si="332"/>
        <v>#N/A</v>
      </c>
      <c r="AM141" s="62" t="e">
        <f t="shared" si="332"/>
        <v>#N/A</v>
      </c>
      <c r="AN141" s="62" t="e">
        <f t="shared" si="332"/>
        <v>#N/A</v>
      </c>
      <c r="AR141" s="403"/>
      <c r="AS141" s="403"/>
      <c r="AT141" s="403"/>
      <c r="AU141" s="403" t="s">
        <v>1611</v>
      </c>
      <c r="AV141" s="403"/>
      <c r="AW141" s="403"/>
      <c r="AX141" s="403"/>
      <c r="AY141" s="403"/>
      <c r="AZ141" s="403"/>
      <c r="BA141" s="403"/>
      <c r="BB141" s="403"/>
      <c r="BC141" s="403"/>
      <c r="BD141" s="403"/>
      <c r="BE141" s="403"/>
      <c r="BF141" s="403"/>
      <c r="BG141" s="403"/>
      <c r="BH141" s="403"/>
      <c r="BI141" s="403"/>
      <c r="BJ141" s="403" t="s">
        <v>1613</v>
      </c>
      <c r="BK141" s="403"/>
      <c r="BL141" s="403"/>
      <c r="BM141" s="403"/>
      <c r="BN141" s="403"/>
      <c r="BO141" s="403"/>
      <c r="BP141" s="403"/>
      <c r="BQ141" s="403"/>
      <c r="BR141" s="403"/>
      <c r="BS141" s="403"/>
      <c r="BT141" s="403"/>
      <c r="BU141" s="403"/>
      <c r="BV141" s="403"/>
      <c r="BW141" s="403"/>
      <c r="BX141" s="403"/>
      <c r="BY141" s="403"/>
      <c r="BZ141" s="403"/>
      <c r="CA141" s="403"/>
      <c r="CB141" s="403"/>
      <c r="CC141" s="403" t="s">
        <v>11838</v>
      </c>
      <c r="CD141" s="403"/>
      <c r="CE141" s="403"/>
      <c r="CF141" s="403"/>
      <c r="CG141" s="403"/>
      <c r="CH141" s="403"/>
      <c r="CI141" s="403"/>
      <c r="CJ141" s="403"/>
      <c r="CK141" s="403"/>
      <c r="CL141" s="403"/>
      <c r="CM141" s="403"/>
      <c r="CN141" s="403"/>
      <c r="CO141" s="403"/>
      <c r="CP141" s="403"/>
      <c r="CQ141" s="403"/>
      <c r="CR141" s="403" t="s">
        <v>11839</v>
      </c>
      <c r="CS141" s="403"/>
      <c r="CT141" s="403"/>
      <c r="CU141" s="403"/>
      <c r="CV141" s="403"/>
      <c r="CW141" s="403"/>
      <c r="CX141" s="403"/>
      <c r="CY141" s="403"/>
      <c r="CZ141" s="403"/>
      <c r="DA141" s="403"/>
      <c r="DB141" s="403"/>
      <c r="DC141" s="403"/>
      <c r="DD141" s="403"/>
      <c r="DE141" s="403"/>
      <c r="DF141" s="403"/>
      <c r="DG141" s="403"/>
      <c r="DH141" s="403"/>
      <c r="DI141" s="403"/>
      <c r="DJ141" s="403"/>
      <c r="DK141" s="403" t="s">
        <v>11840</v>
      </c>
      <c r="DL141" s="403"/>
      <c r="DM141" s="403"/>
      <c r="DN141" s="403"/>
      <c r="DO141" s="403"/>
      <c r="DP141" s="403"/>
      <c r="DQ141" s="403"/>
      <c r="DR141" s="403"/>
      <c r="DS141" s="403"/>
      <c r="DT141" s="403"/>
      <c r="DU141" s="403"/>
      <c r="DV141" s="403"/>
      <c r="DW141" s="403"/>
      <c r="DX141" s="403"/>
      <c r="DY141" s="403"/>
      <c r="DZ141" s="403" t="s">
        <v>11841</v>
      </c>
      <c r="EA141" s="403"/>
      <c r="EB141" s="403"/>
      <c r="EC141" s="403"/>
      <c r="ED141" s="403"/>
      <c r="EE141" s="403"/>
      <c r="EF141" s="403"/>
      <c r="EG141" s="403"/>
      <c r="EH141" s="403"/>
      <c r="EI141" s="403"/>
      <c r="EJ141" s="403"/>
      <c r="EK141" s="403"/>
      <c r="EL141" s="403"/>
      <c r="EM141" s="403"/>
      <c r="EN141" s="403"/>
      <c r="EO141" s="403"/>
      <c r="EP141" s="403"/>
      <c r="EQ141" s="403"/>
      <c r="ER141" s="403"/>
      <c r="ES141" s="403" t="s">
        <v>11842</v>
      </c>
      <c r="ET141" s="403"/>
      <c r="EU141" s="403"/>
      <c r="EV141" s="403"/>
      <c r="EW141" s="403"/>
      <c r="EX141" s="403"/>
      <c r="EY141" s="403"/>
      <c r="EZ141" s="403"/>
      <c r="FA141" s="403"/>
      <c r="FB141" s="403"/>
      <c r="FC141" s="403"/>
      <c r="FD141" s="403"/>
      <c r="FE141" s="403"/>
      <c r="FF141" s="403"/>
      <c r="FG141" s="403"/>
      <c r="FH141" s="403" t="s">
        <v>11843</v>
      </c>
      <c r="FI141" s="403"/>
      <c r="FJ141" s="403"/>
      <c r="FK141" s="403"/>
      <c r="FL141" s="403"/>
      <c r="FM141" s="403"/>
      <c r="FN141" s="403"/>
      <c r="FO141" s="403"/>
      <c r="FP141" s="403"/>
      <c r="FQ141" s="403"/>
      <c r="FR141" s="403"/>
      <c r="FS141" s="403"/>
      <c r="FT141" s="403"/>
      <c r="FU141" s="403"/>
      <c r="FV141" s="403"/>
      <c r="FW141" s="403"/>
      <c r="FX141" s="403"/>
      <c r="FY141" s="403"/>
      <c r="FZ141" s="403"/>
      <c r="GA141" s="403" t="s">
        <v>12100</v>
      </c>
      <c r="GB141" s="403"/>
      <c r="GC141" s="403"/>
      <c r="GD141" s="403"/>
      <c r="GE141" s="403"/>
      <c r="GF141" s="403"/>
      <c r="GG141" s="403"/>
      <c r="GH141" s="403"/>
      <c r="GI141" s="403"/>
      <c r="GJ141" s="403"/>
      <c r="GK141" s="403"/>
      <c r="GL141" s="403"/>
      <c r="GM141" s="403"/>
      <c r="GN141" s="403"/>
      <c r="GO141" s="403"/>
      <c r="GP141" s="403" t="s">
        <v>11845</v>
      </c>
      <c r="GQ141" s="403"/>
      <c r="GR141" s="403"/>
      <c r="GS141" s="403"/>
      <c r="GT141" s="403"/>
      <c r="GU141" s="403"/>
      <c r="GV141" s="403"/>
      <c r="GW141" s="403"/>
      <c r="GX141" s="403"/>
      <c r="GY141" s="403"/>
      <c r="GZ141" s="403"/>
      <c r="HA141" s="403"/>
      <c r="HB141" s="403"/>
      <c r="HC141" s="403"/>
      <c r="HD141" s="403"/>
      <c r="HE141" s="403"/>
      <c r="HF141" s="403"/>
      <c r="HG141" s="403"/>
      <c r="HH141" s="403"/>
      <c r="HI141" s="403" t="s">
        <v>12101</v>
      </c>
      <c r="HJ141" s="403"/>
      <c r="HK141" s="403"/>
      <c r="HL141" s="403"/>
      <c r="HM141" s="403"/>
      <c r="HN141" s="403"/>
      <c r="HO141" s="403"/>
      <c r="HP141" s="403"/>
      <c r="HQ141" s="403"/>
      <c r="HR141" s="403"/>
      <c r="HS141" s="403"/>
      <c r="HT141" s="403"/>
      <c r="HU141" s="403"/>
      <c r="HV141" s="403"/>
      <c r="HW141" s="403"/>
      <c r="HX141" s="403" t="s">
        <v>11847</v>
      </c>
      <c r="HY141" s="403"/>
      <c r="HZ141" s="403"/>
      <c r="IA141" s="403"/>
      <c r="IB141" s="403"/>
      <c r="IC141" s="403"/>
      <c r="ID141" s="403"/>
      <c r="IE141" s="403"/>
      <c r="IF141" s="403"/>
      <c r="IG141" s="403"/>
      <c r="IH141" s="403"/>
      <c r="II141" s="403"/>
      <c r="IJ141" s="403"/>
      <c r="IK141" s="403"/>
      <c r="IL141" s="403"/>
      <c r="IM141" s="403"/>
      <c r="IN141" s="403"/>
      <c r="IO141" s="403"/>
      <c r="IP141" s="403"/>
      <c r="IQ141" s="403" t="s">
        <v>11848</v>
      </c>
      <c r="IR141" s="403"/>
      <c r="IS141" s="403"/>
      <c r="IT141" s="403"/>
      <c r="IU141" s="403"/>
      <c r="IV141" s="403"/>
      <c r="IW141" s="403"/>
      <c r="IX141" s="403"/>
      <c r="IY141" s="403"/>
      <c r="IZ141" s="403"/>
      <c r="JA141" s="403"/>
      <c r="JB141" s="403"/>
      <c r="JC141" s="403"/>
      <c r="JD141" s="403"/>
      <c r="JE141" s="403"/>
      <c r="JF141" s="403" t="s">
        <v>11849</v>
      </c>
      <c r="JG141" s="403"/>
      <c r="JH141" s="403"/>
      <c r="JI141" s="403"/>
      <c r="JJ141" s="403"/>
      <c r="JK141" s="403"/>
      <c r="JL141" s="403"/>
      <c r="JM141" s="403"/>
      <c r="JN141" s="403"/>
      <c r="JO141" s="403"/>
      <c r="JP141" s="403"/>
      <c r="JQ141" s="403"/>
      <c r="JR141" s="403"/>
      <c r="JS141" s="403"/>
      <c r="JT141" s="403"/>
    </row>
    <row r="142" spans="1:280" s="15" customFormat="1" ht="12.75" x14ac:dyDescent="0.2">
      <c r="A142" s="9"/>
      <c r="B142" s="624"/>
      <c r="C142" s="31" t="str">
        <f t="shared" ca="1" si="329"/>
        <v>[HIDE]</v>
      </c>
      <c r="F142" s="61"/>
      <c r="G142" s="61"/>
      <c r="H142" s="61"/>
      <c r="I142" s="61">
        <v>0</v>
      </c>
      <c r="J142" s="15" t="e">
        <f t="shared" ref="J142:O142" si="333">IF(OR(J138&gt;0,I142=1),1,0)</f>
        <v>#N/A</v>
      </c>
      <c r="K142" s="15" t="e">
        <f t="shared" si="333"/>
        <v>#N/A</v>
      </c>
      <c r="L142" s="15" t="e">
        <f t="shared" si="333"/>
        <v>#N/A</v>
      </c>
      <c r="M142" s="15" t="e">
        <f t="shared" si="333"/>
        <v>#N/A</v>
      </c>
      <c r="N142" s="15" t="e">
        <f t="shared" si="333"/>
        <v>#N/A</v>
      </c>
      <c r="O142" s="15" t="e">
        <f t="shared" si="333"/>
        <v>#N/A</v>
      </c>
      <c r="P142" s="61"/>
      <c r="Q142" s="61"/>
      <c r="R142" s="12" t="str">
        <f t="shared" ca="1" si="328"/>
        <v>Triggered</v>
      </c>
      <c r="S142" s="2"/>
      <c r="T142" s="241"/>
      <c r="U142" s="624"/>
      <c r="V142" s="421">
        <v>0</v>
      </c>
      <c r="W142" s="241" t="e">
        <f t="shared" ref="W142:AB142" si="334">IF(OR(W138&gt;0,V142=1),1,0)</f>
        <v>#N/A</v>
      </c>
      <c r="X142" s="241" t="e">
        <f t="shared" si="334"/>
        <v>#N/A</v>
      </c>
      <c r="Y142" s="241" t="e">
        <f t="shared" si="334"/>
        <v>#N/A</v>
      </c>
      <c r="Z142" s="241" t="e">
        <f t="shared" si="334"/>
        <v>#N/A</v>
      </c>
      <c r="AA142" s="241" t="e">
        <f t="shared" si="334"/>
        <v>#N/A</v>
      </c>
      <c r="AB142" s="241" t="e">
        <f t="shared" si="334"/>
        <v>#N/A</v>
      </c>
      <c r="AE142" s="2"/>
      <c r="AF142" s="241"/>
      <c r="AG142" s="624"/>
      <c r="AH142" s="422">
        <v>0</v>
      </c>
      <c r="AI142" s="241" t="e">
        <f t="shared" ref="AI142:AN142" si="335">IF(OR(AI138&gt;0,AH142=1),1,0)</f>
        <v>#N/A</v>
      </c>
      <c r="AJ142" s="241" t="e">
        <f t="shared" si="335"/>
        <v>#N/A</v>
      </c>
      <c r="AK142" s="241" t="e">
        <f t="shared" si="335"/>
        <v>#N/A</v>
      </c>
      <c r="AL142" s="241" t="e">
        <f t="shared" si="335"/>
        <v>#N/A</v>
      </c>
      <c r="AM142" s="241" t="e">
        <f t="shared" si="335"/>
        <v>#N/A</v>
      </c>
      <c r="AN142" s="241" t="e">
        <f t="shared" si="335"/>
        <v>#N/A</v>
      </c>
      <c r="AR142" s="403"/>
      <c r="AS142" s="403"/>
      <c r="AT142" s="403"/>
      <c r="AU142" s="403" t="s">
        <v>1612</v>
      </c>
      <c r="AV142" s="403"/>
      <c r="AW142" s="403"/>
      <c r="AX142" s="403"/>
      <c r="AY142" s="403"/>
      <c r="AZ142" s="403"/>
      <c r="BA142" s="403"/>
      <c r="BB142" s="403"/>
      <c r="BC142" s="403"/>
      <c r="BD142" s="403"/>
      <c r="BE142" s="403"/>
      <c r="BF142" s="403"/>
      <c r="BG142" s="403"/>
      <c r="BH142" s="403"/>
      <c r="BI142" s="403"/>
      <c r="BJ142" s="403" t="s">
        <v>1610</v>
      </c>
      <c r="BK142" s="403"/>
      <c r="BL142" s="403"/>
      <c r="BM142" s="403"/>
      <c r="BN142" s="403"/>
      <c r="BO142" s="403"/>
      <c r="BP142" s="403"/>
      <c r="BQ142" s="403"/>
      <c r="BR142" s="403"/>
      <c r="BS142" s="403"/>
      <c r="BT142" s="403"/>
      <c r="BU142" s="403"/>
      <c r="BV142" s="403"/>
      <c r="BW142" s="403"/>
      <c r="BX142" s="403"/>
      <c r="BY142" s="403"/>
      <c r="BZ142" s="403"/>
      <c r="CA142" s="403"/>
      <c r="CB142" s="403"/>
      <c r="CC142" s="403" t="s">
        <v>11850</v>
      </c>
      <c r="CD142" s="403"/>
      <c r="CE142" s="403"/>
      <c r="CF142" s="403"/>
      <c r="CG142" s="403"/>
      <c r="CH142" s="403"/>
      <c r="CI142" s="403"/>
      <c r="CJ142" s="403"/>
      <c r="CK142" s="403"/>
      <c r="CL142" s="403"/>
      <c r="CM142" s="403"/>
      <c r="CN142" s="403"/>
      <c r="CO142" s="403"/>
      <c r="CP142" s="403"/>
      <c r="CQ142" s="403"/>
      <c r="CR142" s="403" t="s">
        <v>11851</v>
      </c>
      <c r="CS142" s="403"/>
      <c r="CT142" s="403"/>
      <c r="CU142" s="403"/>
      <c r="CV142" s="403"/>
      <c r="CW142" s="403"/>
      <c r="CX142" s="403"/>
      <c r="CY142" s="403"/>
      <c r="CZ142" s="403"/>
      <c r="DA142" s="403"/>
      <c r="DB142" s="403"/>
      <c r="DC142" s="403"/>
      <c r="DD142" s="403"/>
      <c r="DE142" s="403"/>
      <c r="DF142" s="403"/>
      <c r="DG142" s="403"/>
      <c r="DH142" s="403"/>
      <c r="DI142" s="403"/>
      <c r="DJ142" s="403"/>
      <c r="DK142" s="403" t="s">
        <v>11852</v>
      </c>
      <c r="DL142" s="403"/>
      <c r="DM142" s="403"/>
      <c r="DN142" s="403"/>
      <c r="DO142" s="403"/>
      <c r="DP142" s="403"/>
      <c r="DQ142" s="403"/>
      <c r="DR142" s="403"/>
      <c r="DS142" s="403"/>
      <c r="DT142" s="403"/>
      <c r="DU142" s="403"/>
      <c r="DV142" s="403"/>
      <c r="DW142" s="403"/>
      <c r="DX142" s="403"/>
      <c r="DY142" s="403"/>
      <c r="DZ142" s="403" t="s">
        <v>11853</v>
      </c>
      <c r="EA142" s="403"/>
      <c r="EB142" s="403"/>
      <c r="EC142" s="403"/>
      <c r="ED142" s="403"/>
      <c r="EE142" s="403"/>
      <c r="EF142" s="403"/>
      <c r="EG142" s="403"/>
      <c r="EH142" s="403"/>
      <c r="EI142" s="403"/>
      <c r="EJ142" s="403"/>
      <c r="EK142" s="403"/>
      <c r="EL142" s="403"/>
      <c r="EM142" s="403"/>
      <c r="EN142" s="403"/>
      <c r="EO142" s="403"/>
      <c r="EP142" s="403"/>
      <c r="EQ142" s="403"/>
      <c r="ER142" s="403"/>
      <c r="ES142" s="403" t="s">
        <v>11854</v>
      </c>
      <c r="ET142" s="403"/>
      <c r="EU142" s="403"/>
      <c r="EV142" s="403"/>
      <c r="EW142" s="403"/>
      <c r="EX142" s="403"/>
      <c r="EY142" s="403"/>
      <c r="EZ142" s="403"/>
      <c r="FA142" s="403"/>
      <c r="FB142" s="403"/>
      <c r="FC142" s="403"/>
      <c r="FD142" s="403"/>
      <c r="FE142" s="403"/>
      <c r="FF142" s="403"/>
      <c r="FG142" s="403"/>
      <c r="FH142" s="403" t="s">
        <v>11855</v>
      </c>
      <c r="FI142" s="403"/>
      <c r="FJ142" s="403"/>
      <c r="FK142" s="403"/>
      <c r="FL142" s="403"/>
      <c r="FM142" s="403"/>
      <c r="FN142" s="403"/>
      <c r="FO142" s="403"/>
      <c r="FP142" s="403"/>
      <c r="FQ142" s="403"/>
      <c r="FR142" s="403"/>
      <c r="FS142" s="403"/>
      <c r="FT142" s="403"/>
      <c r="FU142" s="403"/>
      <c r="FV142" s="403"/>
      <c r="FW142" s="403"/>
      <c r="FX142" s="403"/>
      <c r="FY142" s="403"/>
      <c r="FZ142" s="403"/>
      <c r="GA142" s="403" t="s">
        <v>11854</v>
      </c>
      <c r="GB142" s="403"/>
      <c r="GC142" s="403"/>
      <c r="GD142" s="403"/>
      <c r="GE142" s="403"/>
      <c r="GF142" s="403"/>
      <c r="GG142" s="403"/>
      <c r="GH142" s="403"/>
      <c r="GI142" s="403"/>
      <c r="GJ142" s="403"/>
      <c r="GK142" s="403"/>
      <c r="GL142" s="403"/>
      <c r="GM142" s="403"/>
      <c r="GN142" s="403"/>
      <c r="GO142" s="403"/>
      <c r="GP142" s="403" t="s">
        <v>11856</v>
      </c>
      <c r="GQ142" s="403"/>
      <c r="GR142" s="403"/>
      <c r="GS142" s="403"/>
      <c r="GT142" s="403"/>
      <c r="GU142" s="403"/>
      <c r="GV142" s="403"/>
      <c r="GW142" s="403"/>
      <c r="GX142" s="403"/>
      <c r="GY142" s="403"/>
      <c r="GZ142" s="403"/>
      <c r="HA142" s="403"/>
      <c r="HB142" s="403"/>
      <c r="HC142" s="403"/>
      <c r="HD142" s="403"/>
      <c r="HE142" s="403"/>
      <c r="HF142" s="403"/>
      <c r="HG142" s="403"/>
      <c r="HH142" s="403"/>
      <c r="HI142" s="403" t="s">
        <v>11857</v>
      </c>
      <c r="HJ142" s="403"/>
      <c r="HK142" s="403"/>
      <c r="HL142" s="403"/>
      <c r="HM142" s="403"/>
      <c r="HN142" s="403"/>
      <c r="HO142" s="403"/>
      <c r="HP142" s="403"/>
      <c r="HQ142" s="403"/>
      <c r="HR142" s="403"/>
      <c r="HS142" s="403"/>
      <c r="HT142" s="403"/>
      <c r="HU142" s="403"/>
      <c r="HV142" s="403"/>
      <c r="HW142" s="403"/>
      <c r="HX142" s="403" t="s">
        <v>11858</v>
      </c>
      <c r="HY142" s="403"/>
      <c r="HZ142" s="403"/>
      <c r="IA142" s="403"/>
      <c r="IB142" s="403"/>
      <c r="IC142" s="403"/>
      <c r="ID142" s="403"/>
      <c r="IE142" s="403"/>
      <c r="IF142" s="403"/>
      <c r="IG142" s="403"/>
      <c r="IH142" s="403"/>
      <c r="II142" s="403"/>
      <c r="IJ142" s="403"/>
      <c r="IK142" s="403"/>
      <c r="IL142" s="403"/>
      <c r="IM142" s="403"/>
      <c r="IN142" s="403"/>
      <c r="IO142" s="403"/>
      <c r="IP142" s="403"/>
      <c r="IQ142" s="403" t="s">
        <v>11859</v>
      </c>
      <c r="IR142" s="403"/>
      <c r="IS142" s="403"/>
      <c r="IT142" s="403"/>
      <c r="IU142" s="403"/>
      <c r="IV142" s="403"/>
      <c r="IW142" s="403"/>
      <c r="IX142" s="403"/>
      <c r="IY142" s="403"/>
      <c r="IZ142" s="403"/>
      <c r="JA142" s="403"/>
      <c r="JB142" s="403"/>
      <c r="JC142" s="403"/>
      <c r="JD142" s="403"/>
      <c r="JE142" s="403"/>
      <c r="JF142" s="403" t="s">
        <v>11860</v>
      </c>
      <c r="JG142" s="403"/>
      <c r="JH142" s="403"/>
      <c r="JI142" s="403"/>
      <c r="JJ142" s="403"/>
      <c r="JK142" s="403"/>
      <c r="JL142" s="403"/>
      <c r="JM142" s="403"/>
      <c r="JN142" s="403"/>
      <c r="JO142" s="403"/>
      <c r="JP142" s="403"/>
      <c r="JQ142" s="403"/>
      <c r="JR142" s="403"/>
      <c r="JS142" s="403"/>
      <c r="JT142" s="403"/>
    </row>
    <row r="143" spans="1:280" s="15" customFormat="1" ht="12.75" x14ac:dyDescent="0.2">
      <c r="A143" s="9"/>
      <c r="B143" s="624"/>
      <c r="C143" s="31" t="str">
        <f t="shared" ca="1" si="329"/>
        <v>[HIDE]</v>
      </c>
      <c r="E143" s="61"/>
      <c r="F143" s="61"/>
      <c r="G143" s="61"/>
      <c r="H143" s="61"/>
      <c r="I143" s="61"/>
      <c r="J143" s="15" t="e">
        <f t="shared" ref="J143:O143" si="336">IF(J138&gt;0,1,0)</f>
        <v>#N/A</v>
      </c>
      <c r="K143" s="15" t="e">
        <f t="shared" si="336"/>
        <v>#N/A</v>
      </c>
      <c r="L143" s="15" t="e">
        <f t="shared" si="336"/>
        <v>#N/A</v>
      </c>
      <c r="M143" s="15" t="e">
        <f t="shared" si="336"/>
        <v>#N/A</v>
      </c>
      <c r="N143" s="15" t="e">
        <f t="shared" si="336"/>
        <v>#N/A</v>
      </c>
      <c r="O143" s="15" t="e">
        <f t="shared" si="336"/>
        <v>#N/A</v>
      </c>
      <c r="P143" s="61"/>
      <c r="Q143" s="61"/>
      <c r="R143" s="12" t="str">
        <f t="shared" ca="1" si="328"/>
        <v>Vaccinations going on this period?</v>
      </c>
      <c r="S143" s="2"/>
      <c r="T143" s="241"/>
      <c r="U143" s="624"/>
      <c r="V143" s="420" t="str">
        <f t="shared" ref="V143:V149" ca="1" si="337">IF(OFFSET(AU143,0,Lang_Order*Lang__B5)="","",OFFSET(AU143,0,Lang_Order*Lang__B5))</f>
        <v>[HIDE]</v>
      </c>
      <c r="W143" s="241" t="e">
        <f t="shared" ref="W143:AB143" si="338">IF(W138&gt;0,1,0)</f>
        <v>#N/A</v>
      </c>
      <c r="X143" s="241" t="e">
        <f t="shared" si="338"/>
        <v>#N/A</v>
      </c>
      <c r="Y143" s="241" t="e">
        <f t="shared" si="338"/>
        <v>#N/A</v>
      </c>
      <c r="Z143" s="241" t="e">
        <f t="shared" si="338"/>
        <v>#N/A</v>
      </c>
      <c r="AA143" s="241" t="e">
        <f t="shared" si="338"/>
        <v>#N/A</v>
      </c>
      <c r="AB143" s="241" t="e">
        <f t="shared" si="338"/>
        <v>#N/A</v>
      </c>
      <c r="AE143" s="2"/>
      <c r="AF143" s="241"/>
      <c r="AG143" s="624"/>
      <c r="AH143" s="420" t="str">
        <f ca="1">IF(OFFSET(AU143,0,Lang_Order*Lang__B5)="","",OFFSET(AU143,0,Lang_Order*Lang__B5))</f>
        <v>[HIDE]</v>
      </c>
      <c r="AI143" s="241" t="e">
        <f t="shared" ref="AI143:AN143" si="339">IF(AI138&gt;0,1,0)</f>
        <v>#N/A</v>
      </c>
      <c r="AJ143" s="241" t="e">
        <f t="shared" si="339"/>
        <v>#N/A</v>
      </c>
      <c r="AK143" s="241" t="e">
        <f t="shared" si="339"/>
        <v>#N/A</v>
      </c>
      <c r="AL143" s="241" t="e">
        <f t="shared" si="339"/>
        <v>#N/A</v>
      </c>
      <c r="AM143" s="241" t="e">
        <f t="shared" si="339"/>
        <v>#N/A</v>
      </c>
      <c r="AN143" s="241" t="e">
        <f t="shared" si="339"/>
        <v>#N/A</v>
      </c>
      <c r="AR143" s="403"/>
      <c r="AS143" s="403"/>
      <c r="AT143" s="403"/>
      <c r="AU143" s="403" t="s">
        <v>1612</v>
      </c>
      <c r="AV143" s="403"/>
      <c r="AW143" s="403"/>
      <c r="AX143" s="403"/>
      <c r="AY143" s="403"/>
      <c r="AZ143" s="403"/>
      <c r="BA143" s="403"/>
      <c r="BB143" s="403"/>
      <c r="BC143" s="403"/>
      <c r="BD143" s="403"/>
      <c r="BE143" s="403"/>
      <c r="BF143" s="403"/>
      <c r="BG143" s="403"/>
      <c r="BH143" s="403"/>
      <c r="BI143" s="403"/>
      <c r="BJ143" s="403" t="s">
        <v>1665</v>
      </c>
      <c r="BK143" s="403"/>
      <c r="BL143" s="403"/>
      <c r="BM143" s="403"/>
      <c r="BN143" s="403"/>
      <c r="BO143" s="403"/>
      <c r="BP143" s="403"/>
      <c r="BQ143" s="403"/>
      <c r="BR143" s="403"/>
      <c r="BS143" s="403"/>
      <c r="BT143" s="403"/>
      <c r="BU143" s="403"/>
      <c r="BV143" s="403"/>
      <c r="BW143" s="403"/>
      <c r="BX143" s="403"/>
      <c r="BY143" s="403"/>
      <c r="BZ143" s="403"/>
      <c r="CA143" s="403"/>
      <c r="CB143" s="403"/>
      <c r="CC143" s="403" t="s">
        <v>11850</v>
      </c>
      <c r="CD143" s="403"/>
      <c r="CE143" s="403"/>
      <c r="CF143" s="403"/>
      <c r="CG143" s="403"/>
      <c r="CH143" s="403"/>
      <c r="CI143" s="403"/>
      <c r="CJ143" s="403"/>
      <c r="CK143" s="403"/>
      <c r="CL143" s="403"/>
      <c r="CM143" s="403"/>
      <c r="CN143" s="403"/>
      <c r="CO143" s="403"/>
      <c r="CP143" s="403"/>
      <c r="CQ143" s="403"/>
      <c r="CR143" s="403" t="s">
        <v>11861</v>
      </c>
      <c r="CS143" s="403"/>
      <c r="CT143" s="403"/>
      <c r="CU143" s="403"/>
      <c r="CV143" s="403"/>
      <c r="CW143" s="403"/>
      <c r="CX143" s="403"/>
      <c r="CY143" s="403"/>
      <c r="CZ143" s="403"/>
      <c r="DA143" s="403"/>
      <c r="DB143" s="403"/>
      <c r="DC143" s="403"/>
      <c r="DD143" s="403"/>
      <c r="DE143" s="403"/>
      <c r="DF143" s="403"/>
      <c r="DG143" s="403"/>
      <c r="DH143" s="403"/>
      <c r="DI143" s="403"/>
      <c r="DJ143" s="403"/>
      <c r="DK143" s="403" t="s">
        <v>11852</v>
      </c>
      <c r="DL143" s="403"/>
      <c r="DM143" s="403"/>
      <c r="DN143" s="403"/>
      <c r="DO143" s="403"/>
      <c r="DP143" s="403"/>
      <c r="DQ143" s="403"/>
      <c r="DR143" s="403"/>
      <c r="DS143" s="403"/>
      <c r="DT143" s="403"/>
      <c r="DU143" s="403"/>
      <c r="DV143" s="403"/>
      <c r="DW143" s="403"/>
      <c r="DX143" s="403"/>
      <c r="DY143" s="403"/>
      <c r="DZ143" s="403" t="s">
        <v>12102</v>
      </c>
      <c r="EA143" s="403"/>
      <c r="EB143" s="403"/>
      <c r="EC143" s="403"/>
      <c r="ED143" s="403"/>
      <c r="EE143" s="403"/>
      <c r="EF143" s="403"/>
      <c r="EG143" s="403"/>
      <c r="EH143" s="403"/>
      <c r="EI143" s="403"/>
      <c r="EJ143" s="403"/>
      <c r="EK143" s="403"/>
      <c r="EL143" s="403"/>
      <c r="EM143" s="403"/>
      <c r="EN143" s="403"/>
      <c r="EO143" s="403"/>
      <c r="EP143" s="403"/>
      <c r="EQ143" s="403"/>
      <c r="ER143" s="403"/>
      <c r="ES143" s="403" t="s">
        <v>11854</v>
      </c>
      <c r="ET143" s="403"/>
      <c r="EU143" s="403"/>
      <c r="EV143" s="403"/>
      <c r="EW143" s="403"/>
      <c r="EX143" s="403"/>
      <c r="EY143" s="403"/>
      <c r="EZ143" s="403"/>
      <c r="FA143" s="403"/>
      <c r="FB143" s="403"/>
      <c r="FC143" s="403"/>
      <c r="FD143" s="403"/>
      <c r="FE143" s="403"/>
      <c r="FF143" s="403"/>
      <c r="FG143" s="403"/>
      <c r="FH143" s="403" t="s">
        <v>11863</v>
      </c>
      <c r="FI143" s="403"/>
      <c r="FJ143" s="403"/>
      <c r="FK143" s="403"/>
      <c r="FL143" s="403"/>
      <c r="FM143" s="403"/>
      <c r="FN143" s="403"/>
      <c r="FO143" s="403"/>
      <c r="FP143" s="403"/>
      <c r="FQ143" s="403"/>
      <c r="FR143" s="403"/>
      <c r="FS143" s="403"/>
      <c r="FT143" s="403"/>
      <c r="FU143" s="403"/>
      <c r="FV143" s="403"/>
      <c r="FW143" s="403"/>
      <c r="FX143" s="403"/>
      <c r="FY143" s="403"/>
      <c r="FZ143" s="403"/>
      <c r="GA143" s="403" t="s">
        <v>11854</v>
      </c>
      <c r="GB143" s="403"/>
      <c r="GC143" s="403"/>
      <c r="GD143" s="403"/>
      <c r="GE143" s="403"/>
      <c r="GF143" s="403"/>
      <c r="GG143" s="403"/>
      <c r="GH143" s="403"/>
      <c r="GI143" s="403"/>
      <c r="GJ143" s="403"/>
      <c r="GK143" s="403"/>
      <c r="GL143" s="403"/>
      <c r="GM143" s="403"/>
      <c r="GN143" s="403"/>
      <c r="GO143" s="403"/>
      <c r="GP143" s="403" t="s">
        <v>11864</v>
      </c>
      <c r="GQ143" s="403"/>
      <c r="GR143" s="403"/>
      <c r="GS143" s="403"/>
      <c r="GT143" s="403"/>
      <c r="GU143" s="403"/>
      <c r="GV143" s="403"/>
      <c r="GW143" s="403"/>
      <c r="GX143" s="403"/>
      <c r="GY143" s="403"/>
      <c r="GZ143" s="403"/>
      <c r="HA143" s="403"/>
      <c r="HB143" s="403"/>
      <c r="HC143" s="403"/>
      <c r="HD143" s="403"/>
      <c r="HE143" s="403"/>
      <c r="HF143" s="403"/>
      <c r="HG143" s="403"/>
      <c r="HH143" s="403"/>
      <c r="HI143" s="403" t="s">
        <v>11857</v>
      </c>
      <c r="HJ143" s="403"/>
      <c r="HK143" s="403"/>
      <c r="HL143" s="403"/>
      <c r="HM143" s="403"/>
      <c r="HN143" s="403"/>
      <c r="HO143" s="403"/>
      <c r="HP143" s="403"/>
      <c r="HQ143" s="403"/>
      <c r="HR143" s="403"/>
      <c r="HS143" s="403"/>
      <c r="HT143" s="403"/>
      <c r="HU143" s="403"/>
      <c r="HV143" s="403"/>
      <c r="HW143" s="403"/>
      <c r="HX143" s="403" t="s">
        <v>11865</v>
      </c>
      <c r="HY143" s="403"/>
      <c r="HZ143" s="403"/>
      <c r="IA143" s="403"/>
      <c r="IB143" s="403"/>
      <c r="IC143" s="403"/>
      <c r="ID143" s="403"/>
      <c r="IE143" s="403"/>
      <c r="IF143" s="403"/>
      <c r="IG143" s="403"/>
      <c r="IH143" s="403"/>
      <c r="II143" s="403"/>
      <c r="IJ143" s="403"/>
      <c r="IK143" s="403"/>
      <c r="IL143" s="403"/>
      <c r="IM143" s="403"/>
      <c r="IN143" s="403"/>
      <c r="IO143" s="403"/>
      <c r="IP143" s="403"/>
      <c r="IQ143" s="403" t="s">
        <v>11859</v>
      </c>
      <c r="IR143" s="403"/>
      <c r="IS143" s="403"/>
      <c r="IT143" s="403"/>
      <c r="IU143" s="403"/>
      <c r="IV143" s="403"/>
      <c r="IW143" s="403"/>
      <c r="IX143" s="403"/>
      <c r="IY143" s="403"/>
      <c r="IZ143" s="403"/>
      <c r="JA143" s="403"/>
      <c r="JB143" s="403"/>
      <c r="JC143" s="403"/>
      <c r="JD143" s="403"/>
      <c r="JE143" s="403"/>
      <c r="JF143" s="403" t="s">
        <v>11866</v>
      </c>
      <c r="JG143" s="403"/>
      <c r="JH143" s="403"/>
      <c r="JI143" s="403"/>
      <c r="JJ143" s="403"/>
      <c r="JK143" s="403"/>
      <c r="JL143" s="403"/>
      <c r="JM143" s="403"/>
      <c r="JN143" s="403"/>
      <c r="JO143" s="403"/>
      <c r="JP143" s="403"/>
      <c r="JQ143" s="403"/>
      <c r="JR143" s="403"/>
      <c r="JS143" s="403"/>
      <c r="JT143" s="403"/>
    </row>
    <row r="144" spans="1:280" s="15" customFormat="1" ht="12.75" x14ac:dyDescent="0.2">
      <c r="A144" s="9"/>
      <c r="B144" s="624"/>
      <c r="C144" s="23" t="str">
        <f t="shared" ca="1" si="329"/>
        <v>Sites to start with @ initiation of service delivery</v>
      </c>
      <c r="J144" s="26" t="e">
        <f t="shared" ref="J144:O144" si="340">IF(J141=1,$F138,0)</f>
        <v>#N/A</v>
      </c>
      <c r="K144" s="26" t="e">
        <f t="shared" si="340"/>
        <v>#N/A</v>
      </c>
      <c r="L144" s="26" t="e">
        <f t="shared" si="340"/>
        <v>#N/A</v>
      </c>
      <c r="M144" s="26" t="e">
        <f t="shared" si="340"/>
        <v>#N/A</v>
      </c>
      <c r="N144" s="26" t="e">
        <f t="shared" si="340"/>
        <v>#N/A</v>
      </c>
      <c r="O144" s="26" t="e">
        <f t="shared" si="340"/>
        <v>#N/A</v>
      </c>
      <c r="P144" s="26"/>
      <c r="Q144" s="26"/>
      <c r="R144" s="12" t="str">
        <f t="shared" ca="1" si="328"/>
        <v/>
      </c>
      <c r="S144" s="2"/>
      <c r="T144" s="241"/>
      <c r="U144" s="624"/>
      <c r="V144" s="72" t="str">
        <f t="shared" ca="1" si="337"/>
        <v>Sites to start with @ initiation of service delivery</v>
      </c>
      <c r="W144" s="26" t="e">
        <f t="shared" ref="W144:AB144" si="341">IF(W141=1,$F138,0)</f>
        <v>#N/A</v>
      </c>
      <c r="X144" s="26" t="e">
        <f t="shared" si="341"/>
        <v>#N/A</v>
      </c>
      <c r="Y144" s="26" t="e">
        <f t="shared" si="341"/>
        <v>#N/A</v>
      </c>
      <c r="Z144" s="26" t="e">
        <f t="shared" si="341"/>
        <v>#N/A</v>
      </c>
      <c r="AA144" s="26" t="e">
        <f t="shared" si="341"/>
        <v>#N/A</v>
      </c>
      <c r="AB144" s="26" t="e">
        <f t="shared" si="341"/>
        <v>#N/A</v>
      </c>
      <c r="AE144" s="2"/>
      <c r="AF144" s="241"/>
      <c r="AG144" s="624"/>
      <c r="AH144" s="72" t="str">
        <f ca="1">IF(OFFSET(AU144,0,Lang_Order*Lang__B5)="","",OFFSET(AU144,0,Lang_Order*Lang__B5))</f>
        <v>Sites to start with @ initiation of service delivery</v>
      </c>
      <c r="AI144" s="26" t="e">
        <f t="shared" ref="AI144:AN144" si="342">IF(AI141=1,$F138,0)</f>
        <v>#N/A</v>
      </c>
      <c r="AJ144" s="26" t="e">
        <f t="shared" si="342"/>
        <v>#N/A</v>
      </c>
      <c r="AK144" s="26" t="e">
        <f t="shared" si="342"/>
        <v>#N/A</v>
      </c>
      <c r="AL144" s="26" t="e">
        <f t="shared" si="342"/>
        <v>#N/A</v>
      </c>
      <c r="AM144" s="26" t="e">
        <f t="shared" si="342"/>
        <v>#N/A</v>
      </c>
      <c r="AN144" s="26" t="e">
        <f t="shared" si="342"/>
        <v>#N/A</v>
      </c>
      <c r="AR144" s="403"/>
      <c r="AS144" s="403"/>
      <c r="AT144" s="403"/>
      <c r="AU144" s="403" t="s">
        <v>1614</v>
      </c>
      <c r="AV144" s="403"/>
      <c r="AW144" s="403"/>
      <c r="AX144" s="403"/>
      <c r="AY144" s="403"/>
      <c r="AZ144" s="403"/>
      <c r="BA144" s="403"/>
      <c r="BB144" s="403"/>
      <c r="BC144" s="403"/>
      <c r="BD144" s="403"/>
      <c r="BE144" s="403"/>
      <c r="BF144" s="403"/>
      <c r="BG144" s="403"/>
      <c r="BH144" s="403"/>
      <c r="BI144" s="403"/>
      <c r="BJ144" s="403"/>
      <c r="BK144" s="403"/>
      <c r="BL144" s="403"/>
      <c r="BM144" s="403"/>
      <c r="BN144" s="403"/>
      <c r="BO144" s="403"/>
      <c r="BP144" s="403"/>
      <c r="BQ144" s="403"/>
      <c r="BR144" s="403"/>
      <c r="BS144" s="403"/>
      <c r="BT144" s="403"/>
      <c r="BU144" s="403"/>
      <c r="BV144" s="403"/>
      <c r="BW144" s="403"/>
      <c r="BX144" s="403"/>
      <c r="BY144" s="403"/>
      <c r="BZ144" s="403"/>
      <c r="CA144" s="403"/>
      <c r="CB144" s="403"/>
      <c r="CC144" s="403" t="s">
        <v>11867</v>
      </c>
      <c r="CD144" s="403"/>
      <c r="CE144" s="403"/>
      <c r="CF144" s="403"/>
      <c r="CG144" s="403"/>
      <c r="CH144" s="403"/>
      <c r="CI144" s="403"/>
      <c r="CJ144" s="403"/>
      <c r="CK144" s="403"/>
      <c r="CL144" s="403"/>
      <c r="CM144" s="403"/>
      <c r="CN144" s="403"/>
      <c r="CO144" s="403"/>
      <c r="CP144" s="403"/>
      <c r="CQ144" s="403"/>
      <c r="CR144" s="403"/>
      <c r="CS144" s="403"/>
      <c r="CT144" s="403"/>
      <c r="CU144" s="403"/>
      <c r="CV144" s="403"/>
      <c r="CW144" s="403"/>
      <c r="CX144" s="403"/>
      <c r="CY144" s="403"/>
      <c r="CZ144" s="403"/>
      <c r="DA144" s="403"/>
      <c r="DB144" s="403"/>
      <c r="DC144" s="403"/>
      <c r="DD144" s="403"/>
      <c r="DE144" s="403"/>
      <c r="DF144" s="403"/>
      <c r="DG144" s="403"/>
      <c r="DH144" s="403"/>
      <c r="DI144" s="403"/>
      <c r="DJ144" s="403"/>
      <c r="DK144" s="403" t="s">
        <v>12103</v>
      </c>
      <c r="DL144" s="403"/>
      <c r="DM144" s="403"/>
      <c r="DN144" s="403"/>
      <c r="DO144" s="403"/>
      <c r="DP144" s="403"/>
      <c r="DQ144" s="403"/>
      <c r="DR144" s="403"/>
      <c r="DS144" s="403"/>
      <c r="DT144" s="403"/>
      <c r="DU144" s="403"/>
      <c r="DV144" s="403"/>
      <c r="DW144" s="403"/>
      <c r="DX144" s="403"/>
      <c r="DY144" s="403"/>
      <c r="DZ144" s="403"/>
      <c r="EA144" s="403"/>
      <c r="EB144" s="403"/>
      <c r="EC144" s="403"/>
      <c r="ED144" s="403"/>
      <c r="EE144" s="403"/>
      <c r="EF144" s="403"/>
      <c r="EG144" s="403"/>
      <c r="EH144" s="403"/>
      <c r="EI144" s="403"/>
      <c r="EJ144" s="403"/>
      <c r="EK144" s="403"/>
      <c r="EL144" s="403"/>
      <c r="EM144" s="403"/>
      <c r="EN144" s="403"/>
      <c r="EO144" s="403"/>
      <c r="EP144" s="403"/>
      <c r="EQ144" s="403"/>
      <c r="ER144" s="403"/>
      <c r="ES144" s="403" t="s">
        <v>11869</v>
      </c>
      <c r="ET144" s="403"/>
      <c r="EU144" s="403"/>
      <c r="EV144" s="403"/>
      <c r="EW144" s="403"/>
      <c r="EX144" s="403"/>
      <c r="EY144" s="403"/>
      <c r="EZ144" s="403"/>
      <c r="FA144" s="403"/>
      <c r="FB144" s="403"/>
      <c r="FC144" s="403"/>
      <c r="FD144" s="403"/>
      <c r="FE144" s="403"/>
      <c r="FF144" s="403"/>
      <c r="FG144" s="403"/>
      <c r="FH144" s="403"/>
      <c r="FI144" s="403"/>
      <c r="FJ144" s="403"/>
      <c r="FK144" s="403"/>
      <c r="FL144" s="403"/>
      <c r="FM144" s="403"/>
      <c r="FN144" s="403"/>
      <c r="FO144" s="403"/>
      <c r="FP144" s="403"/>
      <c r="FQ144" s="403"/>
      <c r="FR144" s="403"/>
      <c r="FS144" s="403"/>
      <c r="FT144" s="403"/>
      <c r="FU144" s="403"/>
      <c r="FV144" s="403"/>
      <c r="FW144" s="403"/>
      <c r="FX144" s="403"/>
      <c r="FY144" s="403"/>
      <c r="FZ144" s="403"/>
      <c r="GA144" s="403" t="s">
        <v>11870</v>
      </c>
      <c r="GB144" s="403"/>
      <c r="GC144" s="403"/>
      <c r="GD144" s="403"/>
      <c r="GE144" s="403"/>
      <c r="GF144" s="403"/>
      <c r="GG144" s="403"/>
      <c r="GH144" s="403"/>
      <c r="GI144" s="403"/>
      <c r="GJ144" s="403"/>
      <c r="GK144" s="403"/>
      <c r="GL144" s="403"/>
      <c r="GM144" s="403"/>
      <c r="GN144" s="403"/>
      <c r="GO144" s="403"/>
      <c r="GP144" s="403"/>
      <c r="GQ144" s="403"/>
      <c r="GR144" s="403"/>
      <c r="GS144" s="403"/>
      <c r="GT144" s="403"/>
      <c r="GU144" s="403"/>
      <c r="GV144" s="403"/>
      <c r="GW144" s="403"/>
      <c r="GX144" s="403"/>
      <c r="GY144" s="403"/>
      <c r="GZ144" s="403"/>
      <c r="HA144" s="403"/>
      <c r="HB144" s="403"/>
      <c r="HC144" s="403"/>
      <c r="HD144" s="403"/>
      <c r="HE144" s="403"/>
      <c r="HF144" s="403"/>
      <c r="HG144" s="403"/>
      <c r="HH144" s="403"/>
      <c r="HI144" s="403" t="s">
        <v>11871</v>
      </c>
      <c r="HJ144" s="403"/>
      <c r="HK144" s="403"/>
      <c r="HL144" s="403"/>
      <c r="HM144" s="403"/>
      <c r="HN144" s="403"/>
      <c r="HO144" s="403"/>
      <c r="HP144" s="403"/>
      <c r="HQ144" s="403"/>
      <c r="HR144" s="403"/>
      <c r="HS144" s="403"/>
      <c r="HT144" s="403"/>
      <c r="HU144" s="403"/>
      <c r="HV144" s="403"/>
      <c r="HW144" s="403"/>
      <c r="HX144" s="403"/>
      <c r="HY144" s="403"/>
      <c r="HZ144" s="403"/>
      <c r="IA144" s="403"/>
      <c r="IB144" s="403"/>
      <c r="IC144" s="403"/>
      <c r="ID144" s="403"/>
      <c r="IE144" s="403"/>
      <c r="IF144" s="403"/>
      <c r="IG144" s="403"/>
      <c r="IH144" s="403"/>
      <c r="II144" s="403"/>
      <c r="IJ144" s="403"/>
      <c r="IK144" s="403"/>
      <c r="IL144" s="403"/>
      <c r="IM144" s="403"/>
      <c r="IN144" s="403"/>
      <c r="IO144" s="403"/>
      <c r="IP144" s="403"/>
      <c r="IQ144" s="403" t="s">
        <v>11872</v>
      </c>
      <c r="IR144" s="403"/>
      <c r="IS144" s="403"/>
      <c r="IT144" s="403"/>
      <c r="IU144" s="403"/>
      <c r="IV144" s="403"/>
      <c r="IW144" s="403"/>
      <c r="IX144" s="403"/>
      <c r="IY144" s="403"/>
      <c r="IZ144" s="403"/>
      <c r="JA144" s="403"/>
      <c r="JB144" s="403"/>
      <c r="JC144" s="403"/>
      <c r="JD144" s="403"/>
      <c r="JE144" s="403"/>
      <c r="JF144" s="403"/>
      <c r="JG144" s="403"/>
      <c r="JH144" s="403"/>
      <c r="JI144" s="403"/>
      <c r="JJ144" s="403"/>
      <c r="JK144" s="403"/>
      <c r="JL144" s="403"/>
      <c r="JM144" s="403"/>
      <c r="JN144" s="403"/>
      <c r="JO144" s="403"/>
      <c r="JP144" s="403"/>
      <c r="JQ144" s="403"/>
      <c r="JR144" s="403"/>
      <c r="JS144" s="403"/>
      <c r="JT144" s="403"/>
    </row>
    <row r="145" spans="1:280" s="15" customFormat="1" ht="12.75" x14ac:dyDescent="0.2">
      <c r="A145" s="9"/>
      <c r="B145" s="627"/>
      <c r="C145" s="23" t="str">
        <f t="shared" ca="1" si="329"/>
        <v>[ADVANCED USERS] Additional Sites</v>
      </c>
      <c r="J145" s="26"/>
      <c r="K145" s="32">
        <v>0</v>
      </c>
      <c r="L145" s="32">
        <v>0</v>
      </c>
      <c r="M145" s="32">
        <v>0</v>
      </c>
      <c r="N145" s="32">
        <v>0</v>
      </c>
      <c r="O145" s="32">
        <v>0</v>
      </c>
      <c r="P145" s="26"/>
      <c r="Q145" s="26"/>
      <c r="R145" s="12" t="str">
        <f t="shared" ca="1" si="328"/>
        <v>Whole Number; Leave blank if unsure</v>
      </c>
      <c r="S145" s="2"/>
      <c r="T145" s="241"/>
      <c r="U145" s="627"/>
      <c r="V145" s="72" t="str">
        <f t="shared" ca="1" si="337"/>
        <v>[ADVANCED USERS] Additional Sites</v>
      </c>
      <c r="W145" s="26"/>
      <c r="X145" s="32">
        <v>0</v>
      </c>
      <c r="Y145" s="32">
        <v>0</v>
      </c>
      <c r="Z145" s="32">
        <v>0</v>
      </c>
      <c r="AA145" s="32">
        <v>0</v>
      </c>
      <c r="AB145" s="32">
        <v>0</v>
      </c>
      <c r="AE145" s="2"/>
      <c r="AF145" s="241"/>
      <c r="AG145" s="627"/>
      <c r="AH145" s="72"/>
      <c r="AI145" s="26"/>
      <c r="AJ145" s="32">
        <v>0</v>
      </c>
      <c r="AK145" s="32">
        <v>0</v>
      </c>
      <c r="AL145" s="32">
        <v>0</v>
      </c>
      <c r="AM145" s="32">
        <v>0</v>
      </c>
      <c r="AN145" s="32">
        <v>0</v>
      </c>
      <c r="AR145" s="403"/>
      <c r="AS145" s="403"/>
      <c r="AT145" s="403"/>
      <c r="AU145" s="403" t="s">
        <v>4200</v>
      </c>
      <c r="AV145" s="403"/>
      <c r="AW145" s="403"/>
      <c r="AX145" s="403"/>
      <c r="AY145" s="403"/>
      <c r="AZ145" s="403"/>
      <c r="BA145" s="403"/>
      <c r="BB145" s="403"/>
      <c r="BC145" s="403"/>
      <c r="BD145" s="403"/>
      <c r="BE145" s="403"/>
      <c r="BF145" s="403"/>
      <c r="BG145" s="403"/>
      <c r="BH145" s="403"/>
      <c r="BI145" s="403"/>
      <c r="BJ145" s="403" t="s">
        <v>1675</v>
      </c>
      <c r="BK145" s="403"/>
      <c r="BL145" s="403"/>
      <c r="BM145" s="403"/>
      <c r="BN145" s="403"/>
      <c r="BO145" s="403"/>
      <c r="BP145" s="403"/>
      <c r="BQ145" s="403"/>
      <c r="BR145" s="403"/>
      <c r="BS145" s="403"/>
      <c r="BT145" s="403"/>
      <c r="BU145" s="403"/>
      <c r="BV145" s="403"/>
      <c r="BW145" s="403"/>
      <c r="BX145" s="403"/>
      <c r="BY145" s="403"/>
      <c r="BZ145" s="403"/>
      <c r="CA145" s="403"/>
      <c r="CB145" s="403"/>
      <c r="CC145" s="403" t="s">
        <v>11873</v>
      </c>
      <c r="CD145" s="403"/>
      <c r="CE145" s="403"/>
      <c r="CF145" s="403"/>
      <c r="CG145" s="403"/>
      <c r="CH145" s="403"/>
      <c r="CI145" s="403"/>
      <c r="CJ145" s="403"/>
      <c r="CK145" s="403"/>
      <c r="CL145" s="403"/>
      <c r="CM145" s="403"/>
      <c r="CN145" s="403"/>
      <c r="CO145" s="403"/>
      <c r="CP145" s="403"/>
      <c r="CQ145" s="403"/>
      <c r="CR145" s="403" t="s">
        <v>11874</v>
      </c>
      <c r="CS145" s="403"/>
      <c r="CT145" s="403"/>
      <c r="CU145" s="403"/>
      <c r="CV145" s="403"/>
      <c r="CW145" s="403"/>
      <c r="CX145" s="403"/>
      <c r="CY145" s="403"/>
      <c r="CZ145" s="403"/>
      <c r="DA145" s="403"/>
      <c r="DB145" s="403"/>
      <c r="DC145" s="403"/>
      <c r="DD145" s="403"/>
      <c r="DE145" s="403"/>
      <c r="DF145" s="403"/>
      <c r="DG145" s="403"/>
      <c r="DH145" s="403"/>
      <c r="DI145" s="403"/>
      <c r="DJ145" s="403"/>
      <c r="DK145" s="403" t="s">
        <v>12104</v>
      </c>
      <c r="DL145" s="403"/>
      <c r="DM145" s="403"/>
      <c r="DN145" s="403"/>
      <c r="DO145" s="403"/>
      <c r="DP145" s="403"/>
      <c r="DQ145" s="403"/>
      <c r="DR145" s="403"/>
      <c r="DS145" s="403"/>
      <c r="DT145" s="403"/>
      <c r="DU145" s="403"/>
      <c r="DV145" s="403"/>
      <c r="DW145" s="403"/>
      <c r="DX145" s="403"/>
      <c r="DY145" s="403"/>
      <c r="DZ145" s="403" t="s">
        <v>11876</v>
      </c>
      <c r="EA145" s="403"/>
      <c r="EB145" s="403"/>
      <c r="EC145" s="403"/>
      <c r="ED145" s="403"/>
      <c r="EE145" s="403"/>
      <c r="EF145" s="403"/>
      <c r="EG145" s="403"/>
      <c r="EH145" s="403"/>
      <c r="EI145" s="403"/>
      <c r="EJ145" s="403"/>
      <c r="EK145" s="403"/>
      <c r="EL145" s="403"/>
      <c r="EM145" s="403"/>
      <c r="EN145" s="403"/>
      <c r="EO145" s="403"/>
      <c r="EP145" s="403"/>
      <c r="EQ145" s="403"/>
      <c r="ER145" s="403"/>
      <c r="ES145" s="403" t="s">
        <v>11877</v>
      </c>
      <c r="ET145" s="403"/>
      <c r="EU145" s="403"/>
      <c r="EV145" s="403"/>
      <c r="EW145" s="403"/>
      <c r="EX145" s="403"/>
      <c r="EY145" s="403"/>
      <c r="EZ145" s="403"/>
      <c r="FA145" s="403"/>
      <c r="FB145" s="403"/>
      <c r="FC145" s="403"/>
      <c r="FD145" s="403"/>
      <c r="FE145" s="403"/>
      <c r="FF145" s="403"/>
      <c r="FG145" s="403"/>
      <c r="FH145" s="403" t="s">
        <v>11878</v>
      </c>
      <c r="FI145" s="403"/>
      <c r="FJ145" s="403"/>
      <c r="FK145" s="403"/>
      <c r="FL145" s="403"/>
      <c r="FM145" s="403"/>
      <c r="FN145" s="403"/>
      <c r="FO145" s="403"/>
      <c r="FP145" s="403"/>
      <c r="FQ145" s="403"/>
      <c r="FR145" s="403"/>
      <c r="FS145" s="403"/>
      <c r="FT145" s="403"/>
      <c r="FU145" s="403"/>
      <c r="FV145" s="403"/>
      <c r="FW145" s="403"/>
      <c r="FX145" s="403"/>
      <c r="FY145" s="403"/>
      <c r="FZ145" s="403"/>
      <c r="GA145" s="403" t="s">
        <v>11879</v>
      </c>
      <c r="GB145" s="403"/>
      <c r="GC145" s="403"/>
      <c r="GD145" s="403"/>
      <c r="GE145" s="403"/>
      <c r="GF145" s="403"/>
      <c r="GG145" s="403"/>
      <c r="GH145" s="403"/>
      <c r="GI145" s="403"/>
      <c r="GJ145" s="403"/>
      <c r="GK145" s="403"/>
      <c r="GL145" s="403"/>
      <c r="GM145" s="403"/>
      <c r="GN145" s="403"/>
      <c r="GO145" s="403"/>
      <c r="GP145" s="403" t="s">
        <v>11880</v>
      </c>
      <c r="GQ145" s="403"/>
      <c r="GR145" s="403"/>
      <c r="GS145" s="403"/>
      <c r="GT145" s="403"/>
      <c r="GU145" s="403"/>
      <c r="GV145" s="403"/>
      <c r="GW145" s="403"/>
      <c r="GX145" s="403"/>
      <c r="GY145" s="403"/>
      <c r="GZ145" s="403"/>
      <c r="HA145" s="403"/>
      <c r="HB145" s="403"/>
      <c r="HC145" s="403"/>
      <c r="HD145" s="403"/>
      <c r="HE145" s="403"/>
      <c r="HF145" s="403"/>
      <c r="HG145" s="403"/>
      <c r="HH145" s="403"/>
      <c r="HI145" s="403" t="s">
        <v>11881</v>
      </c>
      <c r="HJ145" s="403"/>
      <c r="HK145" s="403"/>
      <c r="HL145" s="403"/>
      <c r="HM145" s="403"/>
      <c r="HN145" s="403"/>
      <c r="HO145" s="403"/>
      <c r="HP145" s="403"/>
      <c r="HQ145" s="403"/>
      <c r="HR145" s="403"/>
      <c r="HS145" s="403"/>
      <c r="HT145" s="403"/>
      <c r="HU145" s="403"/>
      <c r="HV145" s="403"/>
      <c r="HW145" s="403"/>
      <c r="HX145" s="403" t="s">
        <v>11882</v>
      </c>
      <c r="HY145" s="403"/>
      <c r="HZ145" s="403"/>
      <c r="IA145" s="403"/>
      <c r="IB145" s="403"/>
      <c r="IC145" s="403"/>
      <c r="ID145" s="403"/>
      <c r="IE145" s="403"/>
      <c r="IF145" s="403"/>
      <c r="IG145" s="403"/>
      <c r="IH145" s="403"/>
      <c r="II145" s="403"/>
      <c r="IJ145" s="403"/>
      <c r="IK145" s="403"/>
      <c r="IL145" s="403"/>
      <c r="IM145" s="403"/>
      <c r="IN145" s="403"/>
      <c r="IO145" s="403"/>
      <c r="IP145" s="403"/>
      <c r="IQ145" s="403" t="s">
        <v>11883</v>
      </c>
      <c r="IR145" s="403"/>
      <c r="IS145" s="403"/>
      <c r="IT145" s="403"/>
      <c r="IU145" s="403"/>
      <c r="IV145" s="403"/>
      <c r="IW145" s="403"/>
      <c r="IX145" s="403"/>
      <c r="IY145" s="403"/>
      <c r="IZ145" s="403"/>
      <c r="JA145" s="403"/>
      <c r="JB145" s="403"/>
      <c r="JC145" s="403"/>
      <c r="JD145" s="403"/>
      <c r="JE145" s="403"/>
      <c r="JF145" s="403" t="s">
        <v>11884</v>
      </c>
      <c r="JG145" s="403"/>
      <c r="JH145" s="403"/>
      <c r="JI145" s="403"/>
      <c r="JJ145" s="403"/>
      <c r="JK145" s="403"/>
      <c r="JL145" s="403"/>
      <c r="JM145" s="403"/>
      <c r="JN145" s="403"/>
      <c r="JO145" s="403"/>
      <c r="JP145" s="403"/>
      <c r="JQ145" s="403"/>
      <c r="JR145" s="403"/>
      <c r="JS145" s="403"/>
      <c r="JT145" s="403"/>
    </row>
    <row r="146" spans="1:280" s="15" customFormat="1" ht="12.75" x14ac:dyDescent="0.2">
      <c r="A146" s="34"/>
      <c r="B146" s="627"/>
      <c r="C146" s="23" t="str">
        <f t="shared" ca="1" si="329"/>
        <v>New Sites</v>
      </c>
      <c r="J146" s="26" t="e">
        <f t="shared" ref="J146:O146" si="343">SUM(J144:J145)</f>
        <v>#N/A</v>
      </c>
      <c r="K146" s="26" t="e">
        <f t="shared" si="343"/>
        <v>#N/A</v>
      </c>
      <c r="L146" s="26" t="e">
        <f t="shared" si="343"/>
        <v>#N/A</v>
      </c>
      <c r="M146" s="26" t="e">
        <f t="shared" si="343"/>
        <v>#N/A</v>
      </c>
      <c r="N146" s="26" t="e">
        <f t="shared" si="343"/>
        <v>#N/A</v>
      </c>
      <c r="O146" s="26" t="e">
        <f t="shared" si="343"/>
        <v>#N/A</v>
      </c>
      <c r="P146" s="26"/>
      <c r="Q146" s="26"/>
      <c r="R146" s="12" t="str">
        <f t="shared" ca="1" si="328"/>
        <v/>
      </c>
      <c r="S146" s="2"/>
      <c r="T146" s="241"/>
      <c r="U146" s="627"/>
      <c r="V146" s="72" t="str">
        <f t="shared" ca="1" si="337"/>
        <v>New Sites</v>
      </c>
      <c r="W146" s="26" t="e">
        <f t="shared" ref="W146:AB146" si="344">SUM(W144:W145)</f>
        <v>#N/A</v>
      </c>
      <c r="X146" s="26" t="e">
        <f t="shared" si="344"/>
        <v>#N/A</v>
      </c>
      <c r="Y146" s="26" t="e">
        <f t="shared" si="344"/>
        <v>#N/A</v>
      </c>
      <c r="Z146" s="26" t="e">
        <f t="shared" si="344"/>
        <v>#N/A</v>
      </c>
      <c r="AA146" s="26" t="e">
        <f t="shared" si="344"/>
        <v>#N/A</v>
      </c>
      <c r="AB146" s="26" t="e">
        <f t="shared" si="344"/>
        <v>#N/A</v>
      </c>
      <c r="AE146" s="2"/>
      <c r="AF146" s="241"/>
      <c r="AG146" s="627"/>
      <c r="AH146" s="72" t="str">
        <f ca="1">IF(OFFSET(AU146,0,Lang_Order*Lang__B5)="","",OFFSET(AU146,0,Lang_Order*Lang__B5))</f>
        <v>New Sites</v>
      </c>
      <c r="AI146" s="26" t="e">
        <f t="shared" ref="AI146:AN146" si="345">SUM(AI144:AI145)</f>
        <v>#N/A</v>
      </c>
      <c r="AJ146" s="26" t="e">
        <f t="shared" si="345"/>
        <v>#N/A</v>
      </c>
      <c r="AK146" s="26" t="e">
        <f t="shared" si="345"/>
        <v>#N/A</v>
      </c>
      <c r="AL146" s="26" t="e">
        <f t="shared" si="345"/>
        <v>#N/A</v>
      </c>
      <c r="AM146" s="26" t="e">
        <f t="shared" si="345"/>
        <v>#N/A</v>
      </c>
      <c r="AN146" s="26" t="e">
        <f t="shared" si="345"/>
        <v>#N/A</v>
      </c>
      <c r="AR146" s="403"/>
      <c r="AS146" s="403"/>
      <c r="AT146" s="403"/>
      <c r="AU146" s="403" t="s">
        <v>1609</v>
      </c>
      <c r="AV146" s="403"/>
      <c r="AW146" s="403"/>
      <c r="AX146" s="403"/>
      <c r="AY146" s="403"/>
      <c r="AZ146" s="403"/>
      <c r="BA146" s="403"/>
      <c r="BB146" s="403"/>
      <c r="BC146" s="403"/>
      <c r="BD146" s="403"/>
      <c r="BE146" s="403"/>
      <c r="BF146" s="403"/>
      <c r="BG146" s="403"/>
      <c r="BH146" s="403"/>
      <c r="BI146" s="403"/>
      <c r="BJ146" s="403"/>
      <c r="BK146" s="403"/>
      <c r="BL146" s="403"/>
      <c r="BM146" s="403"/>
      <c r="BN146" s="403"/>
      <c r="BO146" s="403"/>
      <c r="BP146" s="403"/>
      <c r="BQ146" s="403"/>
      <c r="BR146" s="403"/>
      <c r="BS146" s="403"/>
      <c r="BT146" s="403"/>
      <c r="BU146" s="403"/>
      <c r="BV146" s="403"/>
      <c r="BW146" s="403"/>
      <c r="BX146" s="403"/>
      <c r="BY146" s="403"/>
      <c r="BZ146" s="403"/>
      <c r="CA146" s="403"/>
      <c r="CB146" s="403"/>
      <c r="CC146" s="403" t="s">
        <v>11885</v>
      </c>
      <c r="CD146" s="403"/>
      <c r="CE146" s="403"/>
      <c r="CF146" s="403"/>
      <c r="CG146" s="403"/>
      <c r="CH146" s="403"/>
      <c r="CI146" s="403"/>
      <c r="CJ146" s="403"/>
      <c r="CK146" s="403"/>
      <c r="CL146" s="403"/>
      <c r="CM146" s="403"/>
      <c r="CN146" s="403"/>
      <c r="CO146" s="403"/>
      <c r="CP146" s="403"/>
      <c r="CQ146" s="403"/>
      <c r="CR146" s="403"/>
      <c r="CS146" s="403"/>
      <c r="CT146" s="403"/>
      <c r="CU146" s="403"/>
      <c r="CV146" s="403"/>
      <c r="CW146" s="403"/>
      <c r="CX146" s="403"/>
      <c r="CY146" s="403"/>
      <c r="CZ146" s="403"/>
      <c r="DA146" s="403"/>
      <c r="DB146" s="403"/>
      <c r="DC146" s="403"/>
      <c r="DD146" s="403"/>
      <c r="DE146" s="403"/>
      <c r="DF146" s="403"/>
      <c r="DG146" s="403"/>
      <c r="DH146" s="403"/>
      <c r="DI146" s="403"/>
      <c r="DJ146" s="403"/>
      <c r="DK146" s="403" t="s">
        <v>11886</v>
      </c>
      <c r="DL146" s="403"/>
      <c r="DM146" s="403"/>
      <c r="DN146" s="403"/>
      <c r="DO146" s="403"/>
      <c r="DP146" s="403"/>
      <c r="DQ146" s="403"/>
      <c r="DR146" s="403"/>
      <c r="DS146" s="403"/>
      <c r="DT146" s="403"/>
      <c r="DU146" s="403"/>
      <c r="DV146" s="403"/>
      <c r="DW146" s="403"/>
      <c r="DX146" s="403"/>
      <c r="DY146" s="403"/>
      <c r="DZ146" s="403"/>
      <c r="EA146" s="403"/>
      <c r="EB146" s="403"/>
      <c r="EC146" s="403"/>
      <c r="ED146" s="403"/>
      <c r="EE146" s="403"/>
      <c r="EF146" s="403"/>
      <c r="EG146" s="403"/>
      <c r="EH146" s="403"/>
      <c r="EI146" s="403"/>
      <c r="EJ146" s="403"/>
      <c r="EK146" s="403"/>
      <c r="EL146" s="403"/>
      <c r="EM146" s="403"/>
      <c r="EN146" s="403"/>
      <c r="EO146" s="403"/>
      <c r="EP146" s="403"/>
      <c r="EQ146" s="403"/>
      <c r="ER146" s="403"/>
      <c r="ES146" s="403" t="s">
        <v>11887</v>
      </c>
      <c r="ET146" s="403"/>
      <c r="EU146" s="403"/>
      <c r="EV146" s="403"/>
      <c r="EW146" s="403"/>
      <c r="EX146" s="403"/>
      <c r="EY146" s="403"/>
      <c r="EZ146" s="403"/>
      <c r="FA146" s="403"/>
      <c r="FB146" s="403"/>
      <c r="FC146" s="403"/>
      <c r="FD146" s="403"/>
      <c r="FE146" s="403"/>
      <c r="FF146" s="403"/>
      <c r="FG146" s="403"/>
      <c r="FH146" s="403"/>
      <c r="FI146" s="403"/>
      <c r="FJ146" s="403"/>
      <c r="FK146" s="403"/>
      <c r="FL146" s="403"/>
      <c r="FM146" s="403"/>
      <c r="FN146" s="403"/>
      <c r="FO146" s="403"/>
      <c r="FP146" s="403"/>
      <c r="FQ146" s="403"/>
      <c r="FR146" s="403"/>
      <c r="FS146" s="403"/>
      <c r="FT146" s="403"/>
      <c r="FU146" s="403"/>
      <c r="FV146" s="403"/>
      <c r="FW146" s="403"/>
      <c r="FX146" s="403"/>
      <c r="FY146" s="403"/>
      <c r="FZ146" s="403"/>
      <c r="GA146" s="403" t="s">
        <v>11888</v>
      </c>
      <c r="GB146" s="403"/>
      <c r="GC146" s="403"/>
      <c r="GD146" s="403"/>
      <c r="GE146" s="403"/>
      <c r="GF146" s="403"/>
      <c r="GG146" s="403"/>
      <c r="GH146" s="403"/>
      <c r="GI146" s="403"/>
      <c r="GJ146" s="403"/>
      <c r="GK146" s="403"/>
      <c r="GL146" s="403"/>
      <c r="GM146" s="403"/>
      <c r="GN146" s="403"/>
      <c r="GO146" s="403"/>
      <c r="GP146" s="403"/>
      <c r="GQ146" s="403"/>
      <c r="GR146" s="403"/>
      <c r="GS146" s="403"/>
      <c r="GT146" s="403"/>
      <c r="GU146" s="403"/>
      <c r="GV146" s="403"/>
      <c r="GW146" s="403"/>
      <c r="GX146" s="403"/>
      <c r="GY146" s="403"/>
      <c r="GZ146" s="403"/>
      <c r="HA146" s="403"/>
      <c r="HB146" s="403"/>
      <c r="HC146" s="403"/>
      <c r="HD146" s="403"/>
      <c r="HE146" s="403"/>
      <c r="HF146" s="403"/>
      <c r="HG146" s="403"/>
      <c r="HH146" s="403"/>
      <c r="HI146" s="403" t="s">
        <v>11889</v>
      </c>
      <c r="HJ146" s="403"/>
      <c r="HK146" s="403"/>
      <c r="HL146" s="403"/>
      <c r="HM146" s="403"/>
      <c r="HN146" s="403"/>
      <c r="HO146" s="403"/>
      <c r="HP146" s="403"/>
      <c r="HQ146" s="403"/>
      <c r="HR146" s="403"/>
      <c r="HS146" s="403"/>
      <c r="HT146" s="403"/>
      <c r="HU146" s="403"/>
      <c r="HV146" s="403"/>
      <c r="HW146" s="403"/>
      <c r="HX146" s="403"/>
      <c r="HY146" s="403"/>
      <c r="HZ146" s="403"/>
      <c r="IA146" s="403"/>
      <c r="IB146" s="403"/>
      <c r="IC146" s="403"/>
      <c r="ID146" s="403"/>
      <c r="IE146" s="403"/>
      <c r="IF146" s="403"/>
      <c r="IG146" s="403"/>
      <c r="IH146" s="403"/>
      <c r="II146" s="403"/>
      <c r="IJ146" s="403"/>
      <c r="IK146" s="403"/>
      <c r="IL146" s="403"/>
      <c r="IM146" s="403"/>
      <c r="IN146" s="403"/>
      <c r="IO146" s="403"/>
      <c r="IP146" s="403"/>
      <c r="IQ146" s="403" t="s">
        <v>11890</v>
      </c>
      <c r="IR146" s="403"/>
      <c r="IS146" s="403"/>
      <c r="IT146" s="403"/>
      <c r="IU146" s="403"/>
      <c r="IV146" s="403"/>
      <c r="IW146" s="403"/>
      <c r="IX146" s="403"/>
      <c r="IY146" s="403"/>
      <c r="IZ146" s="403"/>
      <c r="JA146" s="403"/>
      <c r="JB146" s="403"/>
      <c r="JC146" s="403"/>
      <c r="JD146" s="403"/>
      <c r="JE146" s="403"/>
      <c r="JF146" s="403"/>
      <c r="JG146" s="403"/>
      <c r="JH146" s="403"/>
      <c r="JI146" s="403"/>
      <c r="JJ146" s="403"/>
      <c r="JK146" s="403"/>
      <c r="JL146" s="403"/>
      <c r="JM146" s="403"/>
      <c r="JN146" s="403"/>
      <c r="JO146" s="403"/>
      <c r="JP146" s="403"/>
      <c r="JQ146" s="403"/>
      <c r="JR146" s="403"/>
      <c r="JS146" s="403"/>
      <c r="JT146" s="403"/>
    </row>
    <row r="147" spans="1:280" s="15" customFormat="1" ht="12.75" x14ac:dyDescent="0.2">
      <c r="A147" s="34"/>
      <c r="B147" s="627"/>
      <c r="C147" s="23" t="str">
        <f t="shared" ca="1" si="329"/>
        <v>Cumulative Sites</v>
      </c>
      <c r="J147" s="26" t="e">
        <f>J146</f>
        <v>#N/A</v>
      </c>
      <c r="K147" s="26" t="e">
        <f>J147+K146</f>
        <v>#N/A</v>
      </c>
      <c r="L147" s="26" t="e">
        <f>K147+L146</f>
        <v>#N/A</v>
      </c>
      <c r="M147" s="26" t="e">
        <f>L147+M146</f>
        <v>#N/A</v>
      </c>
      <c r="N147" s="26" t="e">
        <f>M147+N146</f>
        <v>#N/A</v>
      </c>
      <c r="O147" s="26" t="e">
        <f>N147+O146</f>
        <v>#N/A</v>
      </c>
      <c r="P147" s="26"/>
      <c r="Q147" s="26"/>
      <c r="R147" s="12" t="str">
        <f t="shared" ca="1" si="328"/>
        <v/>
      </c>
      <c r="S147" s="2"/>
      <c r="T147" s="241"/>
      <c r="U147" s="627"/>
      <c r="V147" s="72" t="str">
        <f t="shared" ca="1" si="337"/>
        <v>Cumulative Sites</v>
      </c>
      <c r="W147" s="26" t="e">
        <f>W146</f>
        <v>#N/A</v>
      </c>
      <c r="X147" s="26" t="e">
        <f>W147+X146</f>
        <v>#N/A</v>
      </c>
      <c r="Y147" s="26" t="e">
        <f>X147+Y146</f>
        <v>#N/A</v>
      </c>
      <c r="Z147" s="26" t="e">
        <f>Y147+Z146</f>
        <v>#N/A</v>
      </c>
      <c r="AA147" s="26" t="e">
        <f>Z147+AA146</f>
        <v>#N/A</v>
      </c>
      <c r="AB147" s="26" t="e">
        <f>AA147+AB146</f>
        <v>#N/A</v>
      </c>
      <c r="AE147" s="2"/>
      <c r="AF147" s="241"/>
      <c r="AG147" s="627"/>
      <c r="AH147" s="72" t="str">
        <f ca="1">IF(OFFSET(AU147,0,Lang_Order*Lang__B5)="","",OFFSET(AU147,0,Lang_Order*Lang__B5))</f>
        <v>Cumulative Sites</v>
      </c>
      <c r="AI147" s="26" t="e">
        <f>AI146</f>
        <v>#N/A</v>
      </c>
      <c r="AJ147" s="26" t="e">
        <f>AI147+AJ146</f>
        <v>#N/A</v>
      </c>
      <c r="AK147" s="26" t="e">
        <f>AJ147+AK146</f>
        <v>#N/A</v>
      </c>
      <c r="AL147" s="26" t="e">
        <f>AK147+AL146</f>
        <v>#N/A</v>
      </c>
      <c r="AM147" s="26" t="e">
        <f>AL147+AM146</f>
        <v>#N/A</v>
      </c>
      <c r="AN147" s="26" t="e">
        <f>AM147+AN146</f>
        <v>#N/A</v>
      </c>
      <c r="AR147" s="403"/>
      <c r="AS147" s="403"/>
      <c r="AT147" s="403"/>
      <c r="AU147" s="403" t="s">
        <v>1608</v>
      </c>
      <c r="AV147" s="403"/>
      <c r="AW147" s="403"/>
      <c r="AX147" s="403"/>
      <c r="AY147" s="403"/>
      <c r="AZ147" s="403"/>
      <c r="BA147" s="403"/>
      <c r="BB147" s="403"/>
      <c r="BC147" s="403"/>
      <c r="BD147" s="403"/>
      <c r="BE147" s="403"/>
      <c r="BF147" s="403"/>
      <c r="BG147" s="403"/>
      <c r="BH147" s="403"/>
      <c r="BI147" s="403"/>
      <c r="BJ147" s="403"/>
      <c r="BK147" s="403"/>
      <c r="BL147" s="403"/>
      <c r="BM147" s="403"/>
      <c r="BN147" s="403"/>
      <c r="BO147" s="403"/>
      <c r="BP147" s="403"/>
      <c r="BQ147" s="403"/>
      <c r="BR147" s="403"/>
      <c r="BS147" s="403"/>
      <c r="BT147" s="403"/>
      <c r="BU147" s="403"/>
      <c r="BV147" s="403"/>
      <c r="BW147" s="403"/>
      <c r="BX147" s="403"/>
      <c r="BY147" s="403"/>
      <c r="BZ147" s="403"/>
      <c r="CA147" s="403"/>
      <c r="CB147" s="403"/>
      <c r="CC147" s="403" t="s">
        <v>11891</v>
      </c>
      <c r="CD147" s="403"/>
      <c r="CE147" s="403"/>
      <c r="CF147" s="403"/>
      <c r="CG147" s="403"/>
      <c r="CH147" s="403"/>
      <c r="CI147" s="403"/>
      <c r="CJ147" s="403"/>
      <c r="CK147" s="403"/>
      <c r="CL147" s="403"/>
      <c r="CM147" s="403"/>
      <c r="CN147" s="403"/>
      <c r="CO147" s="403"/>
      <c r="CP147" s="403"/>
      <c r="CQ147" s="403"/>
      <c r="CR147" s="403"/>
      <c r="CS147" s="403"/>
      <c r="CT147" s="403"/>
      <c r="CU147" s="403"/>
      <c r="CV147" s="403"/>
      <c r="CW147" s="403"/>
      <c r="CX147" s="403"/>
      <c r="CY147" s="403"/>
      <c r="CZ147" s="403"/>
      <c r="DA147" s="403"/>
      <c r="DB147" s="403"/>
      <c r="DC147" s="403"/>
      <c r="DD147" s="403"/>
      <c r="DE147" s="403"/>
      <c r="DF147" s="403"/>
      <c r="DG147" s="403"/>
      <c r="DH147" s="403"/>
      <c r="DI147" s="403"/>
      <c r="DJ147" s="403"/>
      <c r="DK147" s="403" t="s">
        <v>11892</v>
      </c>
      <c r="DL147" s="403"/>
      <c r="DM147" s="403"/>
      <c r="DN147" s="403"/>
      <c r="DO147" s="403"/>
      <c r="DP147" s="403"/>
      <c r="DQ147" s="403"/>
      <c r="DR147" s="403"/>
      <c r="DS147" s="403"/>
      <c r="DT147" s="403"/>
      <c r="DU147" s="403"/>
      <c r="DV147" s="403"/>
      <c r="DW147" s="403"/>
      <c r="DX147" s="403"/>
      <c r="DY147" s="403"/>
      <c r="DZ147" s="403"/>
      <c r="EA147" s="403"/>
      <c r="EB147" s="403"/>
      <c r="EC147" s="403"/>
      <c r="ED147" s="403"/>
      <c r="EE147" s="403"/>
      <c r="EF147" s="403"/>
      <c r="EG147" s="403"/>
      <c r="EH147" s="403"/>
      <c r="EI147" s="403"/>
      <c r="EJ147" s="403"/>
      <c r="EK147" s="403"/>
      <c r="EL147" s="403"/>
      <c r="EM147" s="403"/>
      <c r="EN147" s="403"/>
      <c r="EO147" s="403"/>
      <c r="EP147" s="403"/>
      <c r="EQ147" s="403"/>
      <c r="ER147" s="403"/>
      <c r="ES147" s="403" t="s">
        <v>11893</v>
      </c>
      <c r="ET147" s="403"/>
      <c r="EU147" s="403"/>
      <c r="EV147" s="403"/>
      <c r="EW147" s="403"/>
      <c r="EX147" s="403"/>
      <c r="EY147" s="403"/>
      <c r="EZ147" s="403"/>
      <c r="FA147" s="403"/>
      <c r="FB147" s="403"/>
      <c r="FC147" s="403"/>
      <c r="FD147" s="403"/>
      <c r="FE147" s="403"/>
      <c r="FF147" s="403"/>
      <c r="FG147" s="403"/>
      <c r="FH147" s="403"/>
      <c r="FI147" s="403"/>
      <c r="FJ147" s="403"/>
      <c r="FK147" s="403"/>
      <c r="FL147" s="403"/>
      <c r="FM147" s="403"/>
      <c r="FN147" s="403"/>
      <c r="FO147" s="403"/>
      <c r="FP147" s="403"/>
      <c r="FQ147" s="403"/>
      <c r="FR147" s="403"/>
      <c r="FS147" s="403"/>
      <c r="FT147" s="403"/>
      <c r="FU147" s="403"/>
      <c r="FV147" s="403"/>
      <c r="FW147" s="403"/>
      <c r="FX147" s="403"/>
      <c r="FY147" s="403"/>
      <c r="FZ147" s="403"/>
      <c r="GA147" s="403" t="s">
        <v>11894</v>
      </c>
      <c r="GB147" s="403"/>
      <c r="GC147" s="403"/>
      <c r="GD147" s="403"/>
      <c r="GE147" s="403"/>
      <c r="GF147" s="403"/>
      <c r="GG147" s="403"/>
      <c r="GH147" s="403"/>
      <c r="GI147" s="403"/>
      <c r="GJ147" s="403"/>
      <c r="GK147" s="403"/>
      <c r="GL147" s="403"/>
      <c r="GM147" s="403"/>
      <c r="GN147" s="403"/>
      <c r="GO147" s="403"/>
      <c r="GP147" s="403"/>
      <c r="GQ147" s="403"/>
      <c r="GR147" s="403"/>
      <c r="GS147" s="403"/>
      <c r="GT147" s="403"/>
      <c r="GU147" s="403"/>
      <c r="GV147" s="403"/>
      <c r="GW147" s="403"/>
      <c r="GX147" s="403"/>
      <c r="GY147" s="403"/>
      <c r="GZ147" s="403"/>
      <c r="HA147" s="403"/>
      <c r="HB147" s="403"/>
      <c r="HC147" s="403"/>
      <c r="HD147" s="403"/>
      <c r="HE147" s="403"/>
      <c r="HF147" s="403"/>
      <c r="HG147" s="403"/>
      <c r="HH147" s="403"/>
      <c r="HI147" s="403" t="s">
        <v>11895</v>
      </c>
      <c r="HJ147" s="403"/>
      <c r="HK147" s="403"/>
      <c r="HL147" s="403"/>
      <c r="HM147" s="403"/>
      <c r="HN147" s="403"/>
      <c r="HO147" s="403"/>
      <c r="HP147" s="403"/>
      <c r="HQ147" s="403"/>
      <c r="HR147" s="403"/>
      <c r="HS147" s="403"/>
      <c r="HT147" s="403"/>
      <c r="HU147" s="403"/>
      <c r="HV147" s="403"/>
      <c r="HW147" s="403"/>
      <c r="HX147" s="403"/>
      <c r="HY147" s="403"/>
      <c r="HZ147" s="403"/>
      <c r="IA147" s="403"/>
      <c r="IB147" s="403"/>
      <c r="IC147" s="403"/>
      <c r="ID147" s="403"/>
      <c r="IE147" s="403"/>
      <c r="IF147" s="403"/>
      <c r="IG147" s="403"/>
      <c r="IH147" s="403"/>
      <c r="II147" s="403"/>
      <c r="IJ147" s="403"/>
      <c r="IK147" s="403"/>
      <c r="IL147" s="403"/>
      <c r="IM147" s="403"/>
      <c r="IN147" s="403"/>
      <c r="IO147" s="403"/>
      <c r="IP147" s="403"/>
      <c r="IQ147" s="403" t="s">
        <v>11896</v>
      </c>
      <c r="IR147" s="403"/>
      <c r="IS147" s="403"/>
      <c r="IT147" s="403"/>
      <c r="IU147" s="403"/>
      <c r="IV147" s="403"/>
      <c r="IW147" s="403"/>
      <c r="IX147" s="403"/>
      <c r="IY147" s="403"/>
      <c r="IZ147" s="403"/>
      <c r="JA147" s="403"/>
      <c r="JB147" s="403"/>
      <c r="JC147" s="403"/>
      <c r="JD147" s="403"/>
      <c r="JE147" s="403"/>
      <c r="JF147" s="403"/>
      <c r="JG147" s="403"/>
      <c r="JH147" s="403"/>
      <c r="JI147" s="403"/>
      <c r="JJ147" s="403"/>
      <c r="JK147" s="403"/>
      <c r="JL147" s="403"/>
      <c r="JM147" s="403"/>
      <c r="JN147" s="403"/>
      <c r="JO147" s="403"/>
      <c r="JP147" s="403"/>
      <c r="JQ147" s="403"/>
      <c r="JR147" s="403"/>
      <c r="JS147" s="403"/>
      <c r="JT147" s="403"/>
    </row>
    <row r="148" spans="1:280" s="194" customFormat="1" ht="12.75" x14ac:dyDescent="0.2">
      <c r="A148" s="34"/>
      <c r="B148" s="627"/>
      <c r="C148" s="23" t="str">
        <f t="shared" ca="1" si="329"/>
        <v>Domestic Travel to Sites this Period</v>
      </c>
      <c r="J148" s="26" t="e">
        <f>2*J147*$E$138</f>
        <v>#N/A</v>
      </c>
      <c r="K148" s="26" t="e">
        <f t="shared" ref="K148:O148" si="346">2*K147*$E$138</f>
        <v>#N/A</v>
      </c>
      <c r="L148" s="26" t="e">
        <f t="shared" si="346"/>
        <v>#N/A</v>
      </c>
      <c r="M148" s="26" t="e">
        <f t="shared" si="346"/>
        <v>#N/A</v>
      </c>
      <c r="N148" s="26" t="e">
        <f t="shared" si="346"/>
        <v>#N/A</v>
      </c>
      <c r="O148" s="26" t="e">
        <f t="shared" si="346"/>
        <v>#N/A</v>
      </c>
      <c r="P148" s="26"/>
      <c r="Q148" s="26"/>
      <c r="R148" s="12" t="str">
        <f t="shared" ca="1" si="328"/>
        <v/>
      </c>
      <c r="S148" s="2"/>
      <c r="T148" s="241"/>
      <c r="U148" s="627"/>
      <c r="V148" s="72" t="str">
        <f t="shared" ca="1" si="337"/>
        <v>Domestic Travel to Sites this Period</v>
      </c>
      <c r="W148" s="26" t="e">
        <f t="shared" ref="W148:AB148" si="347">2*W147*$E$138</f>
        <v>#N/A</v>
      </c>
      <c r="X148" s="26" t="e">
        <f t="shared" si="347"/>
        <v>#N/A</v>
      </c>
      <c r="Y148" s="26" t="e">
        <f t="shared" si="347"/>
        <v>#N/A</v>
      </c>
      <c r="Z148" s="26" t="e">
        <f t="shared" si="347"/>
        <v>#N/A</v>
      </c>
      <c r="AA148" s="26" t="e">
        <f t="shared" si="347"/>
        <v>#N/A</v>
      </c>
      <c r="AB148" s="26" t="e">
        <f t="shared" si="347"/>
        <v>#N/A</v>
      </c>
      <c r="AC148" s="26"/>
      <c r="AD148" s="26"/>
      <c r="AE148" s="2"/>
      <c r="AF148" s="241"/>
      <c r="AG148" s="627"/>
      <c r="AH148" s="72" t="str">
        <f ca="1">IF(OFFSET(AU148,0,Lang_Order*Lang__B5)="","",OFFSET(AU148,0,Lang_Order*Lang__B5))</f>
        <v>Domestic Travel to Sites this Period</v>
      </c>
      <c r="AI148" s="26" t="e">
        <f t="shared" ref="AI148" si="348">2*AI147*$E$138</f>
        <v>#N/A</v>
      </c>
      <c r="AJ148" s="26" t="e">
        <f t="shared" ref="AJ148" si="349">2*AJ147*$E$138</f>
        <v>#N/A</v>
      </c>
      <c r="AK148" s="26" t="e">
        <f t="shared" ref="AK148" si="350">2*AK147*$E$138</f>
        <v>#N/A</v>
      </c>
      <c r="AL148" s="26" t="e">
        <f t="shared" ref="AL148" si="351">2*AL147*$E$138</f>
        <v>#N/A</v>
      </c>
      <c r="AM148" s="26" t="e">
        <f t="shared" ref="AM148" si="352">2*AM147*$E$138</f>
        <v>#N/A</v>
      </c>
      <c r="AN148" s="26" t="e">
        <f t="shared" ref="AN148" si="353">2*AN147*$E$138</f>
        <v>#N/A</v>
      </c>
      <c r="AO148" s="26"/>
      <c r="AP148" s="26"/>
      <c r="AR148" s="403"/>
      <c r="AS148" s="403"/>
      <c r="AT148" s="403"/>
      <c r="AU148" s="403" t="s">
        <v>2834</v>
      </c>
      <c r="AV148" s="403"/>
      <c r="AW148" s="403"/>
      <c r="AX148" s="403"/>
      <c r="AY148" s="403"/>
      <c r="AZ148" s="403"/>
      <c r="BA148" s="403"/>
      <c r="BB148" s="403"/>
      <c r="BC148" s="403"/>
      <c r="BD148" s="403"/>
      <c r="BE148" s="403"/>
      <c r="BF148" s="403"/>
      <c r="BG148" s="403"/>
      <c r="BH148" s="403"/>
      <c r="BI148" s="403"/>
      <c r="BJ148" s="403"/>
      <c r="BK148" s="403"/>
      <c r="BL148" s="403"/>
      <c r="BM148" s="403"/>
      <c r="BN148" s="403"/>
      <c r="BO148" s="403"/>
      <c r="BP148" s="403"/>
      <c r="BQ148" s="403"/>
      <c r="BR148" s="403"/>
      <c r="BS148" s="403"/>
      <c r="BT148" s="403"/>
      <c r="BU148" s="403"/>
      <c r="BV148" s="403"/>
      <c r="BW148" s="403"/>
      <c r="BX148" s="403"/>
      <c r="BY148" s="403"/>
      <c r="BZ148" s="403"/>
      <c r="CA148" s="403"/>
      <c r="CB148" s="403"/>
      <c r="CC148" s="403" t="s">
        <v>12105</v>
      </c>
      <c r="CD148" s="403"/>
      <c r="CE148" s="403"/>
      <c r="CF148" s="403"/>
      <c r="CG148" s="403"/>
      <c r="CH148" s="403"/>
      <c r="CI148" s="403"/>
      <c r="CJ148" s="403"/>
      <c r="CK148" s="403"/>
      <c r="CL148" s="403"/>
      <c r="CM148" s="403"/>
      <c r="CN148" s="403"/>
      <c r="CO148" s="403"/>
      <c r="CP148" s="403"/>
      <c r="CQ148" s="403"/>
      <c r="CR148" s="403"/>
      <c r="CS148" s="403"/>
      <c r="CT148" s="403"/>
      <c r="CU148" s="403"/>
      <c r="CV148" s="403"/>
      <c r="CW148" s="403"/>
      <c r="CX148" s="403"/>
      <c r="CY148" s="403"/>
      <c r="CZ148" s="403"/>
      <c r="DA148" s="403"/>
      <c r="DB148" s="403"/>
      <c r="DC148" s="403"/>
      <c r="DD148" s="403"/>
      <c r="DE148" s="403"/>
      <c r="DF148" s="403"/>
      <c r="DG148" s="403"/>
      <c r="DH148" s="403"/>
      <c r="DI148" s="403"/>
      <c r="DJ148" s="403"/>
      <c r="DK148" s="403" t="s">
        <v>12106</v>
      </c>
      <c r="DL148" s="403"/>
      <c r="DM148" s="403"/>
      <c r="DN148" s="403"/>
      <c r="DO148" s="403"/>
      <c r="DP148" s="403"/>
      <c r="DQ148" s="403"/>
      <c r="DR148" s="403"/>
      <c r="DS148" s="403"/>
      <c r="DT148" s="403"/>
      <c r="DU148" s="403"/>
      <c r="DV148" s="403"/>
      <c r="DW148" s="403"/>
      <c r="DX148" s="403"/>
      <c r="DY148" s="403"/>
      <c r="DZ148" s="403"/>
      <c r="EA148" s="403"/>
      <c r="EB148" s="403"/>
      <c r="EC148" s="403"/>
      <c r="ED148" s="403"/>
      <c r="EE148" s="403"/>
      <c r="EF148" s="403"/>
      <c r="EG148" s="403"/>
      <c r="EH148" s="403"/>
      <c r="EI148" s="403"/>
      <c r="EJ148" s="403"/>
      <c r="EK148" s="403"/>
      <c r="EL148" s="403"/>
      <c r="EM148" s="403"/>
      <c r="EN148" s="403"/>
      <c r="EO148" s="403"/>
      <c r="EP148" s="403"/>
      <c r="EQ148" s="403"/>
      <c r="ER148" s="403"/>
      <c r="ES148" s="403" t="s">
        <v>12107</v>
      </c>
      <c r="ET148" s="403"/>
      <c r="EU148" s="403"/>
      <c r="EV148" s="403"/>
      <c r="EW148" s="403"/>
      <c r="EX148" s="403"/>
      <c r="EY148" s="403"/>
      <c r="EZ148" s="403"/>
      <c r="FA148" s="403"/>
      <c r="FB148" s="403"/>
      <c r="FC148" s="403"/>
      <c r="FD148" s="403"/>
      <c r="FE148" s="403"/>
      <c r="FF148" s="403"/>
      <c r="FG148" s="403"/>
      <c r="FH148" s="403"/>
      <c r="FI148" s="403"/>
      <c r="FJ148" s="403"/>
      <c r="FK148" s="403"/>
      <c r="FL148" s="403"/>
      <c r="FM148" s="403"/>
      <c r="FN148" s="403"/>
      <c r="FO148" s="403"/>
      <c r="FP148" s="403"/>
      <c r="FQ148" s="403"/>
      <c r="FR148" s="403"/>
      <c r="FS148" s="403"/>
      <c r="FT148" s="403"/>
      <c r="FU148" s="403"/>
      <c r="FV148" s="403"/>
      <c r="FW148" s="403"/>
      <c r="FX148" s="403"/>
      <c r="FY148" s="403"/>
      <c r="FZ148" s="403"/>
      <c r="GA148" s="403" t="s">
        <v>12108</v>
      </c>
      <c r="GB148" s="403"/>
      <c r="GC148" s="403"/>
      <c r="GD148" s="403"/>
      <c r="GE148" s="403"/>
      <c r="GF148" s="403"/>
      <c r="GG148" s="403"/>
      <c r="GH148" s="403"/>
      <c r="GI148" s="403"/>
      <c r="GJ148" s="403"/>
      <c r="GK148" s="403"/>
      <c r="GL148" s="403"/>
      <c r="GM148" s="403"/>
      <c r="GN148" s="403"/>
      <c r="GO148" s="403"/>
      <c r="GP148" s="403"/>
      <c r="GQ148" s="403"/>
      <c r="GR148" s="403"/>
      <c r="GS148" s="403"/>
      <c r="GT148" s="403"/>
      <c r="GU148" s="403"/>
      <c r="GV148" s="403"/>
      <c r="GW148" s="403"/>
      <c r="GX148" s="403"/>
      <c r="GY148" s="403"/>
      <c r="GZ148" s="403"/>
      <c r="HA148" s="403"/>
      <c r="HB148" s="403"/>
      <c r="HC148" s="403"/>
      <c r="HD148" s="403"/>
      <c r="HE148" s="403"/>
      <c r="HF148" s="403"/>
      <c r="HG148" s="403"/>
      <c r="HH148" s="403"/>
      <c r="HI148" s="403" t="s">
        <v>12109</v>
      </c>
      <c r="HJ148" s="403"/>
      <c r="HK148" s="403"/>
      <c r="HL148" s="403"/>
      <c r="HM148" s="403"/>
      <c r="HN148" s="403"/>
      <c r="HO148" s="403"/>
      <c r="HP148" s="403"/>
      <c r="HQ148" s="403"/>
      <c r="HR148" s="403"/>
      <c r="HS148" s="403"/>
      <c r="HT148" s="403"/>
      <c r="HU148" s="403"/>
      <c r="HV148" s="403"/>
      <c r="HW148" s="403"/>
      <c r="HX148" s="403"/>
      <c r="HY148" s="403"/>
      <c r="HZ148" s="403"/>
      <c r="IA148" s="403"/>
      <c r="IB148" s="403"/>
      <c r="IC148" s="403"/>
      <c r="ID148" s="403"/>
      <c r="IE148" s="403"/>
      <c r="IF148" s="403"/>
      <c r="IG148" s="403"/>
      <c r="IH148" s="403"/>
      <c r="II148" s="403"/>
      <c r="IJ148" s="403"/>
      <c r="IK148" s="403"/>
      <c r="IL148" s="403"/>
      <c r="IM148" s="403"/>
      <c r="IN148" s="403"/>
      <c r="IO148" s="403"/>
      <c r="IP148" s="403"/>
      <c r="IQ148" s="403" t="s">
        <v>12110</v>
      </c>
      <c r="IR148" s="403"/>
      <c r="IS148" s="403"/>
      <c r="IT148" s="403"/>
      <c r="IU148" s="403"/>
      <c r="IV148" s="403"/>
      <c r="IW148" s="403"/>
      <c r="IX148" s="403"/>
      <c r="IY148" s="403"/>
      <c r="IZ148" s="403"/>
      <c r="JA148" s="403"/>
      <c r="JB148" s="403"/>
      <c r="JC148" s="403"/>
      <c r="JD148" s="403"/>
      <c r="JE148" s="403"/>
      <c r="JF148" s="403"/>
      <c r="JG148" s="403"/>
      <c r="JH148" s="403"/>
      <c r="JI148" s="403"/>
      <c r="JJ148" s="403"/>
      <c r="JK148" s="403"/>
      <c r="JL148" s="403"/>
      <c r="JM148" s="403"/>
      <c r="JN148" s="403"/>
      <c r="JO148" s="403"/>
      <c r="JP148" s="403"/>
      <c r="JQ148" s="403"/>
      <c r="JR148" s="403"/>
      <c r="JS148" s="403"/>
      <c r="JT148" s="403"/>
    </row>
    <row r="149" spans="1:280" s="194" customFormat="1" ht="12.75" x14ac:dyDescent="0.2">
      <c r="A149" s="34"/>
      <c r="B149" s="627"/>
      <c r="C149" s="23" t="str">
        <f t="shared" ca="1" si="329"/>
        <v>Travelling Team Size</v>
      </c>
      <c r="J149" s="26" t="e">
        <f>J151</f>
        <v>#N/A</v>
      </c>
      <c r="K149" s="26" t="e">
        <f t="shared" ref="K149:O149" si="354">K151</f>
        <v>#N/A</v>
      </c>
      <c r="L149" s="26" t="e">
        <f t="shared" si="354"/>
        <v>#N/A</v>
      </c>
      <c r="M149" s="26" t="e">
        <f t="shared" si="354"/>
        <v>#N/A</v>
      </c>
      <c r="N149" s="26" t="e">
        <f t="shared" si="354"/>
        <v>#N/A</v>
      </c>
      <c r="O149" s="26" t="e">
        <f t="shared" si="354"/>
        <v>#N/A</v>
      </c>
      <c r="P149" s="26"/>
      <c r="Q149" s="26"/>
      <c r="R149" s="12" t="str">
        <f t="shared" ca="1" si="328"/>
        <v/>
      </c>
      <c r="S149" s="2"/>
      <c r="T149" s="241"/>
      <c r="U149" s="627"/>
      <c r="V149" s="72" t="str">
        <f t="shared" ca="1" si="337"/>
        <v>Travelling Team Size</v>
      </c>
      <c r="W149" s="26" t="e">
        <f>W151</f>
        <v>#N/A</v>
      </c>
      <c r="X149" s="26" t="e">
        <f t="shared" ref="X149:AB149" si="355">X151</f>
        <v>#N/A</v>
      </c>
      <c r="Y149" s="26" t="e">
        <f t="shared" si="355"/>
        <v>#N/A</v>
      </c>
      <c r="Z149" s="26" t="e">
        <f t="shared" si="355"/>
        <v>#N/A</v>
      </c>
      <c r="AA149" s="26" t="e">
        <f t="shared" si="355"/>
        <v>#N/A</v>
      </c>
      <c r="AB149" s="26" t="e">
        <f t="shared" si="355"/>
        <v>#N/A</v>
      </c>
      <c r="AC149" s="26"/>
      <c r="AD149" s="26"/>
      <c r="AE149" s="2"/>
      <c r="AF149" s="241"/>
      <c r="AG149" s="627"/>
      <c r="AH149" s="72" t="str">
        <f ca="1">IF(OFFSET(AU149,0,Lang_Order*Lang__B5)="","",OFFSET(AU149,0,Lang_Order*Lang__B5))</f>
        <v>Travelling Team Size</v>
      </c>
      <c r="AI149" s="26" t="e">
        <f>AI151</f>
        <v>#N/A</v>
      </c>
      <c r="AJ149" s="26" t="e">
        <f t="shared" ref="AJ149:AN149" si="356">AJ151</f>
        <v>#N/A</v>
      </c>
      <c r="AK149" s="26" t="e">
        <f t="shared" si="356"/>
        <v>#N/A</v>
      </c>
      <c r="AL149" s="26" t="e">
        <f t="shared" si="356"/>
        <v>#N/A</v>
      </c>
      <c r="AM149" s="26" t="e">
        <f t="shared" si="356"/>
        <v>#N/A</v>
      </c>
      <c r="AN149" s="26" t="e">
        <f t="shared" si="356"/>
        <v>#N/A</v>
      </c>
      <c r="AO149" s="26"/>
      <c r="AP149" s="26"/>
      <c r="AR149" s="403"/>
      <c r="AS149" s="403"/>
      <c r="AT149" s="403"/>
      <c r="AU149" s="403" t="s">
        <v>2835</v>
      </c>
      <c r="AV149" s="403"/>
      <c r="AW149" s="403"/>
      <c r="AX149" s="403"/>
      <c r="AY149" s="403"/>
      <c r="AZ149" s="403"/>
      <c r="BA149" s="403"/>
      <c r="BB149" s="403"/>
      <c r="BC149" s="403"/>
      <c r="BD149" s="403"/>
      <c r="BE149" s="403"/>
      <c r="BF149" s="403"/>
      <c r="BG149" s="403"/>
      <c r="BH149" s="403"/>
      <c r="BI149" s="403"/>
      <c r="BJ149" s="403"/>
      <c r="BK149" s="403"/>
      <c r="BL149" s="403"/>
      <c r="BM149" s="403"/>
      <c r="BN149" s="403"/>
      <c r="BO149" s="403"/>
      <c r="BP149" s="403"/>
      <c r="BQ149" s="403"/>
      <c r="BR149" s="403"/>
      <c r="BS149" s="403"/>
      <c r="BT149" s="403"/>
      <c r="BU149" s="403"/>
      <c r="BV149" s="403"/>
      <c r="BW149" s="403"/>
      <c r="BX149" s="403"/>
      <c r="BY149" s="403"/>
      <c r="BZ149" s="403"/>
      <c r="CA149" s="403"/>
      <c r="CB149" s="403"/>
      <c r="CC149" s="403" t="s">
        <v>12111</v>
      </c>
      <c r="CD149" s="403"/>
      <c r="CE149" s="403"/>
      <c r="CF149" s="403"/>
      <c r="CG149" s="403"/>
      <c r="CH149" s="403"/>
      <c r="CI149" s="403"/>
      <c r="CJ149" s="403"/>
      <c r="CK149" s="403"/>
      <c r="CL149" s="403"/>
      <c r="CM149" s="403"/>
      <c r="CN149" s="403"/>
      <c r="CO149" s="403"/>
      <c r="CP149" s="403"/>
      <c r="CQ149" s="403"/>
      <c r="CR149" s="403"/>
      <c r="CS149" s="403"/>
      <c r="CT149" s="403"/>
      <c r="CU149" s="403"/>
      <c r="CV149" s="403"/>
      <c r="CW149" s="403"/>
      <c r="CX149" s="403"/>
      <c r="CY149" s="403"/>
      <c r="CZ149" s="403"/>
      <c r="DA149" s="403"/>
      <c r="DB149" s="403"/>
      <c r="DC149" s="403"/>
      <c r="DD149" s="403"/>
      <c r="DE149" s="403"/>
      <c r="DF149" s="403"/>
      <c r="DG149" s="403"/>
      <c r="DH149" s="403"/>
      <c r="DI149" s="403"/>
      <c r="DJ149" s="403"/>
      <c r="DK149" s="403" t="s">
        <v>12112</v>
      </c>
      <c r="DL149" s="403"/>
      <c r="DM149" s="403"/>
      <c r="DN149" s="403"/>
      <c r="DO149" s="403"/>
      <c r="DP149" s="403"/>
      <c r="DQ149" s="403"/>
      <c r="DR149" s="403"/>
      <c r="DS149" s="403"/>
      <c r="DT149" s="403"/>
      <c r="DU149" s="403"/>
      <c r="DV149" s="403"/>
      <c r="DW149" s="403" t="s">
        <v>2642</v>
      </c>
      <c r="DX149" s="403"/>
      <c r="DY149" s="403"/>
      <c r="DZ149" s="403"/>
      <c r="EA149" s="403"/>
      <c r="EB149" s="403"/>
      <c r="EC149" s="403"/>
      <c r="ED149" s="403"/>
      <c r="EE149" s="403"/>
      <c r="EF149" s="403"/>
      <c r="EG149" s="403"/>
      <c r="EH149" s="403"/>
      <c r="EI149" s="403"/>
      <c r="EJ149" s="403"/>
      <c r="EK149" s="403"/>
      <c r="EL149" s="403"/>
      <c r="EM149" s="403"/>
      <c r="EN149" s="403"/>
      <c r="EO149" s="403"/>
      <c r="EP149" s="403"/>
      <c r="EQ149" s="403"/>
      <c r="ER149" s="403"/>
      <c r="ES149" s="403" t="s">
        <v>12113</v>
      </c>
      <c r="ET149" s="403"/>
      <c r="EU149" s="403"/>
      <c r="EV149" s="403"/>
      <c r="EW149" s="403"/>
      <c r="EX149" s="403"/>
      <c r="EY149" s="403"/>
      <c r="EZ149" s="403"/>
      <c r="FA149" s="403"/>
      <c r="FB149" s="403"/>
      <c r="FC149" s="403"/>
      <c r="FD149" s="403"/>
      <c r="FE149" s="403"/>
      <c r="FF149" s="403"/>
      <c r="FG149" s="403"/>
      <c r="FH149" s="403"/>
      <c r="FI149" s="403"/>
      <c r="FJ149" s="403"/>
      <c r="FK149" s="403"/>
      <c r="FL149" s="403"/>
      <c r="FM149" s="403"/>
      <c r="FN149" s="403"/>
      <c r="FO149" s="403"/>
      <c r="FP149" s="403"/>
      <c r="FQ149" s="403"/>
      <c r="FR149" s="403"/>
      <c r="FS149" s="403"/>
      <c r="FT149" s="403"/>
      <c r="FU149" s="403"/>
      <c r="FV149" s="403"/>
      <c r="FW149" s="403"/>
      <c r="FX149" s="403"/>
      <c r="FY149" s="403"/>
      <c r="FZ149" s="403"/>
      <c r="GA149" s="403" t="s">
        <v>12114</v>
      </c>
      <c r="GB149" s="403"/>
      <c r="GC149" s="403"/>
      <c r="GD149" s="403"/>
      <c r="GE149" s="403"/>
      <c r="GF149" s="403"/>
      <c r="GG149" s="403"/>
      <c r="GH149" s="403"/>
      <c r="GI149" s="403"/>
      <c r="GJ149" s="403"/>
      <c r="GK149" s="403"/>
      <c r="GL149" s="403"/>
      <c r="GM149" s="403"/>
      <c r="GN149" s="403"/>
      <c r="GO149" s="403"/>
      <c r="GP149" s="403"/>
      <c r="GQ149" s="403"/>
      <c r="GR149" s="403"/>
      <c r="GS149" s="403"/>
      <c r="GT149" s="403"/>
      <c r="GU149" s="403"/>
      <c r="GV149" s="403"/>
      <c r="GW149" s="403"/>
      <c r="GX149" s="403"/>
      <c r="GY149" s="403"/>
      <c r="GZ149" s="403"/>
      <c r="HA149" s="403"/>
      <c r="HB149" s="403"/>
      <c r="HC149" s="403"/>
      <c r="HD149" s="403"/>
      <c r="HE149" s="403"/>
      <c r="HF149" s="403"/>
      <c r="HG149" s="403"/>
      <c r="HH149" s="403"/>
      <c r="HI149" s="403" t="s">
        <v>12115</v>
      </c>
      <c r="HJ149" s="403"/>
      <c r="HK149" s="403"/>
      <c r="HL149" s="403"/>
      <c r="HM149" s="403"/>
      <c r="HN149" s="403"/>
      <c r="HO149" s="403"/>
      <c r="HP149" s="403"/>
      <c r="HQ149" s="403"/>
      <c r="HR149" s="403"/>
      <c r="HS149" s="403"/>
      <c r="HT149" s="403"/>
      <c r="HU149" s="403"/>
      <c r="HV149" s="403"/>
      <c r="HW149" s="403"/>
      <c r="HX149" s="403"/>
      <c r="HY149" s="403"/>
      <c r="HZ149" s="403"/>
      <c r="IA149" s="403"/>
      <c r="IB149" s="403"/>
      <c r="IC149" s="403"/>
      <c r="ID149" s="403"/>
      <c r="IE149" s="403"/>
      <c r="IF149" s="403"/>
      <c r="IG149" s="403"/>
      <c r="IH149" s="403"/>
      <c r="II149" s="403"/>
      <c r="IJ149" s="403"/>
      <c r="IK149" s="403"/>
      <c r="IL149" s="403"/>
      <c r="IM149" s="403"/>
      <c r="IN149" s="403"/>
      <c r="IO149" s="403"/>
      <c r="IP149" s="403"/>
      <c r="IQ149" s="403" t="s">
        <v>12116</v>
      </c>
      <c r="IR149" s="403"/>
      <c r="IS149" s="403"/>
      <c r="IT149" s="403"/>
      <c r="IU149" s="403"/>
      <c r="IV149" s="403"/>
      <c r="IW149" s="403"/>
      <c r="IX149" s="403"/>
      <c r="IY149" s="403"/>
      <c r="IZ149" s="403"/>
      <c r="JA149" s="403"/>
      <c r="JB149" s="403"/>
      <c r="JC149" s="403"/>
      <c r="JD149" s="403"/>
      <c r="JE149" s="403"/>
      <c r="JF149" s="403"/>
      <c r="JG149" s="403"/>
      <c r="JH149" s="403"/>
      <c r="JI149" s="403"/>
      <c r="JJ149" s="403"/>
      <c r="JK149" s="403"/>
      <c r="JL149" s="403"/>
      <c r="JM149" s="403"/>
      <c r="JN149" s="403"/>
      <c r="JO149" s="403"/>
      <c r="JP149" s="403"/>
      <c r="JQ149" s="403"/>
      <c r="JR149" s="403"/>
      <c r="JS149" s="403"/>
      <c r="JT149" s="403"/>
    </row>
    <row r="150" spans="1:280" s="15" customFormat="1" ht="12.75" x14ac:dyDescent="0.2">
      <c r="A150" s="9"/>
      <c r="B150" s="624"/>
      <c r="R150" s="12" t="str">
        <f t="shared" ca="1" si="328"/>
        <v/>
      </c>
      <c r="S150" s="2"/>
      <c r="T150" s="241"/>
      <c r="U150" s="624"/>
      <c r="V150" s="2"/>
      <c r="W150" s="241"/>
      <c r="X150" s="241"/>
      <c r="Y150" s="241"/>
      <c r="Z150" s="241"/>
      <c r="AA150" s="241"/>
      <c r="AB150" s="241"/>
      <c r="AC150" s="241"/>
      <c r="AD150" s="241"/>
      <c r="AE150" s="2"/>
      <c r="AF150" s="241"/>
      <c r="AG150" s="624"/>
      <c r="AH150" s="2"/>
      <c r="AI150" s="241"/>
      <c r="AJ150" s="241"/>
      <c r="AK150" s="241"/>
      <c r="AL150" s="241"/>
      <c r="AM150" s="241"/>
      <c r="AN150" s="241"/>
      <c r="AO150" s="241"/>
      <c r="AP150" s="241"/>
      <c r="AR150" s="403"/>
      <c r="AS150" s="403"/>
      <c r="AT150" s="403"/>
      <c r="AU150" s="403"/>
      <c r="AV150" s="403"/>
      <c r="AW150" s="403"/>
      <c r="AX150" s="403"/>
      <c r="AY150" s="403"/>
      <c r="AZ150" s="403"/>
      <c r="BA150" s="403"/>
      <c r="BB150" s="403"/>
      <c r="BC150" s="403"/>
      <c r="BD150" s="403"/>
      <c r="BE150" s="403"/>
      <c r="BF150" s="403"/>
      <c r="BG150" s="403"/>
      <c r="BH150" s="403"/>
      <c r="BI150" s="403"/>
      <c r="BJ150" s="403"/>
      <c r="BK150" s="403"/>
      <c r="BL150" s="403"/>
      <c r="BM150" s="403"/>
      <c r="BN150" s="403"/>
      <c r="BO150" s="403"/>
      <c r="BP150" s="403"/>
      <c r="BQ150" s="403"/>
      <c r="BR150" s="403"/>
      <c r="BS150" s="403"/>
      <c r="BT150" s="403"/>
      <c r="BU150" s="403"/>
      <c r="BV150" s="403"/>
      <c r="BW150" s="403"/>
      <c r="BX150" s="403"/>
      <c r="BY150" s="403"/>
      <c r="BZ150" s="403"/>
      <c r="CA150" s="403"/>
      <c r="CB150" s="403"/>
      <c r="CC150" s="403"/>
      <c r="CD150" s="403"/>
      <c r="CE150" s="403"/>
      <c r="CF150" s="403"/>
      <c r="CG150" s="403"/>
      <c r="CH150" s="403"/>
      <c r="CI150" s="403"/>
      <c r="CJ150" s="403"/>
      <c r="CK150" s="403"/>
      <c r="CL150" s="403"/>
      <c r="CM150" s="403"/>
      <c r="CN150" s="403"/>
      <c r="CO150" s="403"/>
      <c r="CP150" s="403"/>
      <c r="CQ150" s="403"/>
      <c r="CR150" s="403"/>
      <c r="CS150" s="403"/>
      <c r="CT150" s="403"/>
      <c r="CU150" s="403"/>
      <c r="CV150" s="403"/>
      <c r="CW150" s="403"/>
      <c r="CX150" s="403"/>
      <c r="CY150" s="403"/>
      <c r="CZ150" s="403"/>
      <c r="DA150" s="403"/>
      <c r="DB150" s="403"/>
      <c r="DC150" s="403"/>
      <c r="DD150" s="403"/>
      <c r="DE150" s="403"/>
      <c r="DF150" s="403"/>
      <c r="DG150" s="403"/>
      <c r="DH150" s="403"/>
      <c r="DI150" s="403"/>
      <c r="DJ150" s="403"/>
      <c r="DK150" s="403"/>
      <c r="DL150" s="403"/>
      <c r="DM150" s="403"/>
      <c r="DN150" s="403"/>
      <c r="DO150" s="403"/>
      <c r="DP150" s="403"/>
      <c r="DQ150" s="403"/>
      <c r="DR150" s="403"/>
      <c r="DS150" s="403"/>
      <c r="DT150" s="403"/>
      <c r="DU150" s="403"/>
      <c r="DV150" s="403"/>
      <c r="DW150" s="403"/>
      <c r="DX150" s="403"/>
      <c r="DY150" s="403"/>
      <c r="DZ150" s="403"/>
      <c r="EA150" s="403"/>
      <c r="EB150" s="403"/>
      <c r="EC150" s="403"/>
      <c r="ED150" s="403"/>
      <c r="EE150" s="403"/>
      <c r="EF150" s="403"/>
      <c r="EG150" s="403"/>
      <c r="EH150" s="403"/>
      <c r="EI150" s="403"/>
      <c r="EJ150" s="403"/>
      <c r="EK150" s="403"/>
      <c r="EL150" s="403"/>
      <c r="EM150" s="403"/>
      <c r="EN150" s="403"/>
      <c r="EO150" s="403"/>
      <c r="EP150" s="403"/>
      <c r="EQ150" s="403"/>
      <c r="ER150" s="403"/>
      <c r="ES150" s="403"/>
      <c r="ET150" s="403"/>
      <c r="EU150" s="403"/>
      <c r="EV150" s="403"/>
      <c r="EW150" s="403"/>
      <c r="EX150" s="403"/>
      <c r="EY150" s="403"/>
      <c r="EZ150" s="403"/>
      <c r="FA150" s="403"/>
      <c r="FB150" s="403"/>
      <c r="FC150" s="403"/>
      <c r="FD150" s="403"/>
      <c r="FE150" s="403"/>
      <c r="FF150" s="403"/>
      <c r="FG150" s="403"/>
      <c r="FH150" s="403"/>
      <c r="FI150" s="403"/>
      <c r="FJ150" s="403"/>
      <c r="FK150" s="403"/>
      <c r="FL150" s="403"/>
      <c r="FM150" s="403"/>
      <c r="FN150" s="403"/>
      <c r="FO150" s="403"/>
      <c r="FP150" s="403"/>
      <c r="FQ150" s="403"/>
      <c r="FR150" s="403"/>
      <c r="FS150" s="403"/>
      <c r="FT150" s="403"/>
      <c r="FU150" s="403"/>
      <c r="FV150" s="403"/>
      <c r="FW150" s="403"/>
      <c r="FX150" s="403"/>
      <c r="FY150" s="403"/>
      <c r="FZ150" s="403"/>
      <c r="GA150" s="403"/>
      <c r="GB150" s="403"/>
      <c r="GC150" s="403"/>
      <c r="GD150" s="403"/>
      <c r="GE150" s="403"/>
      <c r="GF150" s="403"/>
      <c r="GG150" s="403"/>
      <c r="GH150" s="403"/>
      <c r="GI150" s="403"/>
      <c r="GJ150" s="403"/>
      <c r="GK150" s="403"/>
      <c r="GL150" s="403"/>
      <c r="GM150" s="403"/>
      <c r="GN150" s="403"/>
      <c r="GO150" s="403"/>
      <c r="GP150" s="403"/>
      <c r="GQ150" s="403"/>
      <c r="GR150" s="403"/>
      <c r="GS150" s="403"/>
      <c r="GT150" s="403"/>
      <c r="GU150" s="403"/>
      <c r="GV150" s="403"/>
      <c r="GW150" s="403"/>
      <c r="GX150" s="403"/>
      <c r="GY150" s="403"/>
      <c r="GZ150" s="403"/>
      <c r="HA150" s="403"/>
      <c r="HB150" s="403"/>
      <c r="HC150" s="403"/>
      <c r="HD150" s="403"/>
      <c r="HE150" s="403"/>
      <c r="HF150" s="403"/>
      <c r="HG150" s="403"/>
      <c r="HH150" s="403"/>
      <c r="HI150" s="403"/>
      <c r="HJ150" s="403"/>
      <c r="HK150" s="403"/>
      <c r="HL150" s="403"/>
      <c r="HM150" s="403"/>
      <c r="HN150" s="403"/>
      <c r="HO150" s="403"/>
      <c r="HP150" s="403"/>
      <c r="HQ150" s="403"/>
      <c r="HR150" s="403"/>
      <c r="HS150" s="403"/>
      <c r="HT150" s="403"/>
      <c r="HU150" s="403"/>
      <c r="HV150" s="403"/>
      <c r="HW150" s="403"/>
      <c r="HX150" s="403"/>
      <c r="HY150" s="403"/>
      <c r="HZ150" s="403"/>
      <c r="IA150" s="403"/>
      <c r="IB150" s="403"/>
      <c r="IC150" s="403"/>
      <c r="ID150" s="403"/>
      <c r="IE150" s="403"/>
      <c r="IF150" s="403"/>
      <c r="IG150" s="403"/>
      <c r="IH150" s="403"/>
      <c r="II150" s="403"/>
      <c r="IJ150" s="403"/>
      <c r="IK150" s="403"/>
      <c r="IL150" s="403"/>
      <c r="IM150" s="403"/>
      <c r="IN150" s="403"/>
      <c r="IO150" s="403"/>
      <c r="IP150" s="403"/>
      <c r="IQ150" s="403"/>
      <c r="IR150" s="403"/>
      <c r="IS150" s="403"/>
      <c r="IT150" s="403"/>
      <c r="IU150" s="403"/>
      <c r="IV150" s="403"/>
      <c r="IW150" s="403"/>
      <c r="IX150" s="403"/>
      <c r="IY150" s="403"/>
      <c r="IZ150" s="403"/>
      <c r="JA150" s="403"/>
      <c r="JB150" s="403"/>
      <c r="JC150" s="403"/>
      <c r="JD150" s="403"/>
      <c r="JE150" s="403"/>
      <c r="JF150" s="403"/>
      <c r="JG150" s="403"/>
      <c r="JH150" s="403"/>
      <c r="JI150" s="403"/>
      <c r="JJ150" s="403"/>
      <c r="JK150" s="403"/>
      <c r="JL150" s="403"/>
      <c r="JM150" s="403"/>
      <c r="JN150" s="403"/>
      <c r="JO150" s="403"/>
      <c r="JP150" s="403"/>
      <c r="JQ150" s="403"/>
      <c r="JR150" s="403"/>
      <c r="JS150" s="403"/>
      <c r="JT150" s="403"/>
    </row>
    <row r="151" spans="1:280" s="15" customFormat="1" ht="12.75" x14ac:dyDescent="0.2">
      <c r="A151" s="78"/>
      <c r="B151" s="624"/>
      <c r="C151" s="23" t="str">
        <f ca="1">IF(OFFSET(AU151,0,Lang_Order*Lang__B5)="","",OFFSET(AU151,0,Lang_Order*Lang__B5))</f>
        <v>Vaccinators per team</v>
      </c>
      <c r="J151" s="150" t="e">
        <f>J166</f>
        <v>#N/A</v>
      </c>
      <c r="K151" s="150" t="e">
        <f t="shared" ref="K151:O151" si="357">K166</f>
        <v>#N/A</v>
      </c>
      <c r="L151" s="150" t="e">
        <f t="shared" si="357"/>
        <v>#N/A</v>
      </c>
      <c r="M151" s="150" t="e">
        <f t="shared" si="357"/>
        <v>#N/A</v>
      </c>
      <c r="N151" s="150" t="e">
        <f t="shared" si="357"/>
        <v>#N/A</v>
      </c>
      <c r="O151" s="150" t="e">
        <f t="shared" si="357"/>
        <v>#N/A</v>
      </c>
      <c r="Q151" s="150"/>
      <c r="R151" s="12" t="str">
        <f t="shared" ca="1" si="328"/>
        <v>One team per site</v>
      </c>
      <c r="S151" s="2"/>
      <c r="T151" s="241"/>
      <c r="U151" s="624"/>
      <c r="V151" s="72" t="str">
        <f ca="1">IF(OFFSET(AU151,0,Lang_Order*Lang__B5)="","",OFFSET(AU151,0,Lang_Order*Lang__B5))</f>
        <v>Vaccinators per team</v>
      </c>
      <c r="W151" s="241" t="e">
        <f>W166</f>
        <v>#N/A</v>
      </c>
      <c r="X151" s="241" t="e">
        <f t="shared" ref="X151:AB151" si="358">X166</f>
        <v>#N/A</v>
      </c>
      <c r="Y151" s="241" t="e">
        <f t="shared" si="358"/>
        <v>#N/A</v>
      </c>
      <c r="Z151" s="241" t="e">
        <f t="shared" si="358"/>
        <v>#N/A</v>
      </c>
      <c r="AA151" s="241" t="e">
        <f t="shared" si="358"/>
        <v>#N/A</v>
      </c>
      <c r="AB151" s="241" t="e">
        <f t="shared" si="358"/>
        <v>#N/A</v>
      </c>
      <c r="AC151" s="241"/>
      <c r="AD151" s="241"/>
      <c r="AE151" s="2"/>
      <c r="AF151" s="241"/>
      <c r="AG151" s="624"/>
      <c r="AH151" s="72" t="str">
        <f ca="1">IF(OFFSET(AU151,0,Lang_Order*Lang__B5)="","",OFFSET(AU151,0,Lang_Order*Lang__B5))</f>
        <v>Vaccinators per team</v>
      </c>
      <c r="AI151" s="241" t="e">
        <f>AI166</f>
        <v>#N/A</v>
      </c>
      <c r="AJ151" s="241" t="e">
        <f t="shared" ref="AJ151:AN151" si="359">AJ166</f>
        <v>#N/A</v>
      </c>
      <c r="AK151" s="241" t="e">
        <f t="shared" si="359"/>
        <v>#N/A</v>
      </c>
      <c r="AL151" s="241" t="e">
        <f t="shared" si="359"/>
        <v>#N/A</v>
      </c>
      <c r="AM151" s="241" t="e">
        <f t="shared" si="359"/>
        <v>#N/A</v>
      </c>
      <c r="AN151" s="241" t="e">
        <f t="shared" si="359"/>
        <v>#N/A</v>
      </c>
      <c r="AO151" s="241"/>
      <c r="AP151" s="241"/>
      <c r="AR151" s="403"/>
      <c r="AS151" s="403"/>
      <c r="AT151" s="403"/>
      <c r="AU151" s="403" t="s">
        <v>1676</v>
      </c>
      <c r="AV151" s="403"/>
      <c r="AW151" s="403"/>
      <c r="AX151" s="403"/>
      <c r="AY151" s="403"/>
      <c r="AZ151" s="403"/>
      <c r="BA151" s="403"/>
      <c r="BB151" s="403"/>
      <c r="BC151" s="403"/>
      <c r="BD151" s="403"/>
      <c r="BE151" s="403"/>
      <c r="BF151" s="403"/>
      <c r="BG151" s="403"/>
      <c r="BH151" s="403"/>
      <c r="BI151" s="403"/>
      <c r="BJ151" s="403" t="s">
        <v>2694</v>
      </c>
      <c r="BK151" s="403"/>
      <c r="BL151" s="403"/>
      <c r="BM151" s="403"/>
      <c r="BN151" s="403"/>
      <c r="BO151" s="403"/>
      <c r="BP151" s="403"/>
      <c r="BQ151" s="403"/>
      <c r="BR151" s="403"/>
      <c r="BS151" s="403"/>
      <c r="BT151" s="403"/>
      <c r="BU151" s="403"/>
      <c r="BV151" s="403"/>
      <c r="BW151" s="403"/>
      <c r="BX151" s="403"/>
      <c r="BY151" s="403"/>
      <c r="BZ151" s="403"/>
      <c r="CA151" s="403"/>
      <c r="CB151" s="403"/>
      <c r="CC151" s="403" t="s">
        <v>11897</v>
      </c>
      <c r="CD151" s="403"/>
      <c r="CE151" s="403"/>
      <c r="CF151" s="403"/>
      <c r="CG151" s="403"/>
      <c r="CH151" s="403"/>
      <c r="CI151" s="403"/>
      <c r="CJ151" s="403"/>
      <c r="CK151" s="403"/>
      <c r="CL151" s="403"/>
      <c r="CM151" s="403"/>
      <c r="CN151" s="403"/>
      <c r="CO151" s="403"/>
      <c r="CP151" s="403"/>
      <c r="CQ151" s="403"/>
      <c r="CR151" s="403" t="s">
        <v>12117</v>
      </c>
      <c r="CS151" s="403"/>
      <c r="CT151" s="403"/>
      <c r="CU151" s="403"/>
      <c r="CV151" s="403"/>
      <c r="CW151" s="403"/>
      <c r="CX151" s="403"/>
      <c r="CY151" s="403"/>
      <c r="CZ151" s="403"/>
      <c r="DA151" s="403"/>
      <c r="DB151" s="403"/>
      <c r="DC151" s="403"/>
      <c r="DD151" s="403"/>
      <c r="DE151" s="403"/>
      <c r="DF151" s="403"/>
      <c r="DG151" s="403"/>
      <c r="DH151" s="403"/>
      <c r="DI151" s="403"/>
      <c r="DJ151" s="403"/>
      <c r="DK151" s="403" t="s">
        <v>11899</v>
      </c>
      <c r="DL151" s="403"/>
      <c r="DM151" s="403"/>
      <c r="DN151" s="403"/>
      <c r="DO151" s="403"/>
      <c r="DP151" s="403"/>
      <c r="DQ151" s="403"/>
      <c r="DR151" s="403"/>
      <c r="DS151" s="403"/>
      <c r="DT151" s="403"/>
      <c r="DU151" s="403"/>
      <c r="DV151" s="403"/>
      <c r="DW151" s="403"/>
      <c r="DX151" s="403"/>
      <c r="DY151" s="403"/>
      <c r="DZ151" s="403" t="s">
        <v>12118</v>
      </c>
      <c r="EA151" s="403"/>
      <c r="EB151" s="403"/>
      <c r="EC151" s="403"/>
      <c r="ED151" s="403"/>
      <c r="EE151" s="403"/>
      <c r="EF151" s="403"/>
      <c r="EG151" s="403"/>
      <c r="EH151" s="403"/>
      <c r="EI151" s="403"/>
      <c r="EJ151" s="403"/>
      <c r="EK151" s="403"/>
      <c r="EL151" s="403"/>
      <c r="EM151" s="403"/>
      <c r="EN151" s="403"/>
      <c r="EO151" s="403"/>
      <c r="EP151" s="403"/>
      <c r="EQ151" s="403"/>
      <c r="ER151" s="403"/>
      <c r="ES151" s="403" t="s">
        <v>11901</v>
      </c>
      <c r="ET151" s="403"/>
      <c r="EU151" s="403"/>
      <c r="EV151" s="403"/>
      <c r="EW151" s="403"/>
      <c r="EX151" s="403"/>
      <c r="EY151" s="403"/>
      <c r="EZ151" s="403"/>
      <c r="FA151" s="403"/>
      <c r="FB151" s="403"/>
      <c r="FC151" s="403"/>
      <c r="FD151" s="403"/>
      <c r="FE151" s="403"/>
      <c r="FF151" s="403"/>
      <c r="FG151" s="403"/>
      <c r="FH151" s="403" t="s">
        <v>12119</v>
      </c>
      <c r="FI151" s="403"/>
      <c r="FJ151" s="403"/>
      <c r="FK151" s="403"/>
      <c r="FL151" s="403"/>
      <c r="FM151" s="403"/>
      <c r="FN151" s="403"/>
      <c r="FO151" s="403"/>
      <c r="FP151" s="403"/>
      <c r="FQ151" s="403"/>
      <c r="FR151" s="403"/>
      <c r="FS151" s="403"/>
      <c r="FT151" s="403"/>
      <c r="FU151" s="403"/>
      <c r="FV151" s="403"/>
      <c r="FW151" s="403"/>
      <c r="FX151" s="403"/>
      <c r="FY151" s="403"/>
      <c r="FZ151" s="403"/>
      <c r="GA151" s="403" t="s">
        <v>11903</v>
      </c>
      <c r="GB151" s="403"/>
      <c r="GC151" s="403"/>
      <c r="GD151" s="403"/>
      <c r="GE151" s="403"/>
      <c r="GF151" s="403"/>
      <c r="GG151" s="403"/>
      <c r="GH151" s="403"/>
      <c r="GI151" s="403"/>
      <c r="GJ151" s="403"/>
      <c r="GK151" s="403"/>
      <c r="GL151" s="403"/>
      <c r="GM151" s="403"/>
      <c r="GN151" s="403"/>
      <c r="GO151" s="403"/>
      <c r="GP151" s="403" t="s">
        <v>12120</v>
      </c>
      <c r="GQ151" s="403"/>
      <c r="GR151" s="403"/>
      <c r="GS151" s="403"/>
      <c r="GT151" s="403"/>
      <c r="GU151" s="403"/>
      <c r="GV151" s="403"/>
      <c r="GW151" s="403"/>
      <c r="GX151" s="403"/>
      <c r="GY151" s="403"/>
      <c r="GZ151" s="403"/>
      <c r="HA151" s="403"/>
      <c r="HB151" s="403"/>
      <c r="HC151" s="403"/>
      <c r="HD151" s="403"/>
      <c r="HE151" s="403"/>
      <c r="HF151" s="403"/>
      <c r="HG151" s="403"/>
      <c r="HH151" s="403"/>
      <c r="HI151" s="403" t="s">
        <v>11905</v>
      </c>
      <c r="HJ151" s="403"/>
      <c r="HK151" s="403"/>
      <c r="HL151" s="403"/>
      <c r="HM151" s="403"/>
      <c r="HN151" s="403"/>
      <c r="HO151" s="403"/>
      <c r="HP151" s="403"/>
      <c r="HQ151" s="403"/>
      <c r="HR151" s="403"/>
      <c r="HS151" s="403"/>
      <c r="HT151" s="403"/>
      <c r="HU151" s="403"/>
      <c r="HV151" s="403"/>
      <c r="HW151" s="403"/>
      <c r="HX151" s="403" t="s">
        <v>12121</v>
      </c>
      <c r="HY151" s="403"/>
      <c r="HZ151" s="403"/>
      <c r="IA151" s="403"/>
      <c r="IB151" s="403"/>
      <c r="IC151" s="403"/>
      <c r="ID151" s="403"/>
      <c r="IE151" s="403"/>
      <c r="IF151" s="403"/>
      <c r="IG151" s="403"/>
      <c r="IH151" s="403"/>
      <c r="II151" s="403"/>
      <c r="IJ151" s="403"/>
      <c r="IK151" s="403"/>
      <c r="IL151" s="403"/>
      <c r="IM151" s="403"/>
      <c r="IN151" s="403"/>
      <c r="IO151" s="403"/>
      <c r="IP151" s="403"/>
      <c r="IQ151" s="403" t="s">
        <v>12122</v>
      </c>
      <c r="IR151" s="403"/>
      <c r="IS151" s="403"/>
      <c r="IT151" s="403"/>
      <c r="IU151" s="403"/>
      <c r="IV151" s="403"/>
      <c r="IW151" s="403"/>
      <c r="IX151" s="403"/>
      <c r="IY151" s="403"/>
      <c r="IZ151" s="403"/>
      <c r="JA151" s="403"/>
      <c r="JB151" s="403"/>
      <c r="JC151" s="403"/>
      <c r="JD151" s="403"/>
      <c r="JE151" s="403"/>
      <c r="JF151" s="403" t="s">
        <v>12123</v>
      </c>
      <c r="JG151" s="403"/>
      <c r="JH151" s="403"/>
      <c r="JI151" s="403"/>
      <c r="JJ151" s="403"/>
      <c r="JK151" s="403"/>
      <c r="JL151" s="403"/>
      <c r="JM151" s="403"/>
      <c r="JN151" s="403"/>
      <c r="JO151" s="403"/>
      <c r="JP151" s="403"/>
      <c r="JQ151" s="403"/>
      <c r="JR151" s="403"/>
      <c r="JS151" s="403"/>
      <c r="JT151" s="403"/>
    </row>
    <row r="152" spans="1:280" s="15" customFormat="1" ht="12.75" x14ac:dyDescent="0.2">
      <c r="A152" s="78"/>
      <c r="B152" s="624"/>
      <c r="C152" s="66" t="str">
        <f ca="1">IF(OFFSET(AU152,0,Lang_Order*Lang__B5)="","",OFFSET(AU152,0,Lang_Order*Lang__B5))</f>
        <v>Number of Teams</v>
      </c>
      <c r="J152" s="150" t="e">
        <f>J167</f>
        <v>#N/A</v>
      </c>
      <c r="K152" s="150" t="e">
        <f t="shared" ref="K152:O152" si="360">K167</f>
        <v>#N/A</v>
      </c>
      <c r="L152" s="150" t="e">
        <f t="shared" si="360"/>
        <v>#N/A</v>
      </c>
      <c r="M152" s="150" t="e">
        <f t="shared" si="360"/>
        <v>#N/A</v>
      </c>
      <c r="N152" s="150" t="e">
        <f t="shared" si="360"/>
        <v>#N/A</v>
      </c>
      <c r="O152" s="150" t="e">
        <f t="shared" si="360"/>
        <v>#N/A</v>
      </c>
      <c r="Q152" s="102" t="e">
        <f>MAX(J152:O152)</f>
        <v>#N/A</v>
      </c>
      <c r="R152" s="12" t="str">
        <f t="shared" ca="1" si="328"/>
        <v/>
      </c>
      <c r="S152" s="2"/>
      <c r="T152" s="241"/>
      <c r="U152" s="624"/>
      <c r="V152" s="260" t="str">
        <f ca="1">IF(OFFSET(AU152,0,Lang_Order*Lang__B5)="","",OFFSET(AU152,0,Lang_Order*Lang__B5))</f>
        <v>Number of Teams</v>
      </c>
      <c r="W152" s="241" t="e">
        <f>W167</f>
        <v>#N/A</v>
      </c>
      <c r="X152" s="241" t="e">
        <f t="shared" ref="X152:AB152" si="361">X167</f>
        <v>#N/A</v>
      </c>
      <c r="Y152" s="241" t="e">
        <f t="shared" si="361"/>
        <v>#N/A</v>
      </c>
      <c r="Z152" s="241" t="e">
        <f t="shared" si="361"/>
        <v>#N/A</v>
      </c>
      <c r="AA152" s="241" t="e">
        <f t="shared" si="361"/>
        <v>#N/A</v>
      </c>
      <c r="AB152" s="241" t="e">
        <f t="shared" si="361"/>
        <v>#N/A</v>
      </c>
      <c r="AC152" s="241"/>
      <c r="AD152" s="102" t="e">
        <f>MAX(W152:AB152)</f>
        <v>#N/A</v>
      </c>
      <c r="AE152" s="2"/>
      <c r="AF152" s="241"/>
      <c r="AG152" s="624"/>
      <c r="AH152" s="260" t="str">
        <f ca="1">IF(OFFSET(AU152,0,Lang_Order*Lang__B5)="","",OFFSET(AU152,0,Lang_Order*Lang__B5))</f>
        <v>Number of Teams</v>
      </c>
      <c r="AI152" s="241" t="e">
        <f>AI167</f>
        <v>#N/A</v>
      </c>
      <c r="AJ152" s="241" t="e">
        <f t="shared" ref="AJ152:AN152" si="362">AJ167</f>
        <v>#N/A</v>
      </c>
      <c r="AK152" s="241" t="e">
        <f t="shared" si="362"/>
        <v>#N/A</v>
      </c>
      <c r="AL152" s="241" t="e">
        <f t="shared" si="362"/>
        <v>#N/A</v>
      </c>
      <c r="AM152" s="241" t="e">
        <f t="shared" si="362"/>
        <v>#N/A</v>
      </c>
      <c r="AN152" s="241" t="e">
        <f t="shared" si="362"/>
        <v>#N/A</v>
      </c>
      <c r="AO152" s="241"/>
      <c r="AP152" s="102" t="e">
        <f>MAX(AI152:AN152)</f>
        <v>#N/A</v>
      </c>
      <c r="AR152" s="403"/>
      <c r="AS152" s="403"/>
      <c r="AT152" s="403"/>
      <c r="AU152" s="403" t="s">
        <v>1684</v>
      </c>
      <c r="AV152" s="403"/>
      <c r="AW152" s="403"/>
      <c r="AX152" s="403"/>
      <c r="AY152" s="403"/>
      <c r="AZ152" s="403"/>
      <c r="BA152" s="403"/>
      <c r="BB152" s="403"/>
      <c r="BC152" s="403"/>
      <c r="BD152" s="403"/>
      <c r="BE152" s="403"/>
      <c r="BF152" s="403"/>
      <c r="BG152" s="403"/>
      <c r="BH152" s="403"/>
      <c r="BI152" s="403"/>
      <c r="BJ152" s="403"/>
      <c r="BK152" s="403"/>
      <c r="BL152" s="403"/>
      <c r="BM152" s="403"/>
      <c r="BN152" s="403"/>
      <c r="BO152" s="403"/>
      <c r="BP152" s="403"/>
      <c r="BQ152" s="403"/>
      <c r="BR152" s="403"/>
      <c r="BS152" s="403"/>
      <c r="BT152" s="403"/>
      <c r="BU152" s="403"/>
      <c r="BV152" s="403"/>
      <c r="BW152" s="403"/>
      <c r="BX152" s="403"/>
      <c r="BY152" s="403"/>
      <c r="BZ152" s="403"/>
      <c r="CA152" s="403"/>
      <c r="CB152" s="403"/>
      <c r="CC152" s="403" t="s">
        <v>11909</v>
      </c>
      <c r="CD152" s="403"/>
      <c r="CE152" s="403"/>
      <c r="CF152" s="403"/>
      <c r="CG152" s="403"/>
      <c r="CH152" s="403"/>
      <c r="CI152" s="403"/>
      <c r="CJ152" s="403"/>
      <c r="CK152" s="403"/>
      <c r="CL152" s="403"/>
      <c r="CM152" s="403"/>
      <c r="CN152" s="403"/>
      <c r="CO152" s="403"/>
      <c r="CP152" s="403"/>
      <c r="CQ152" s="403"/>
      <c r="CR152" s="403"/>
      <c r="CS152" s="403"/>
      <c r="CT152" s="403"/>
      <c r="CU152" s="403"/>
      <c r="CV152" s="403"/>
      <c r="CW152" s="403"/>
      <c r="CX152" s="403"/>
      <c r="CY152" s="403"/>
      <c r="CZ152" s="403"/>
      <c r="DA152" s="403"/>
      <c r="DB152" s="403"/>
      <c r="DC152" s="403"/>
      <c r="DD152" s="403"/>
      <c r="DE152" s="403"/>
      <c r="DF152" s="403"/>
      <c r="DG152" s="403"/>
      <c r="DH152" s="403"/>
      <c r="DI152" s="403"/>
      <c r="DJ152" s="403"/>
      <c r="DK152" s="403" t="s">
        <v>11911</v>
      </c>
      <c r="DL152" s="403"/>
      <c r="DM152" s="403"/>
      <c r="DN152" s="403"/>
      <c r="DO152" s="403"/>
      <c r="DP152" s="403"/>
      <c r="DQ152" s="403"/>
      <c r="DR152" s="403"/>
      <c r="DS152" s="403"/>
      <c r="DT152" s="403"/>
      <c r="DU152" s="403"/>
      <c r="DV152" s="403"/>
      <c r="DW152" s="403"/>
      <c r="DX152" s="403"/>
      <c r="DY152" s="403"/>
      <c r="DZ152" s="403"/>
      <c r="EA152" s="403"/>
      <c r="EB152" s="403"/>
      <c r="EC152" s="403"/>
      <c r="ED152" s="403"/>
      <c r="EE152" s="403"/>
      <c r="EF152" s="403"/>
      <c r="EG152" s="403"/>
      <c r="EH152" s="403"/>
      <c r="EI152" s="403"/>
      <c r="EJ152" s="403"/>
      <c r="EK152" s="403"/>
      <c r="EL152" s="403"/>
      <c r="EM152" s="403"/>
      <c r="EN152" s="403"/>
      <c r="EO152" s="403"/>
      <c r="EP152" s="403"/>
      <c r="EQ152" s="403"/>
      <c r="ER152" s="403"/>
      <c r="ES152" s="403" t="s">
        <v>11913</v>
      </c>
      <c r="ET152" s="403"/>
      <c r="EU152" s="403"/>
      <c r="EV152" s="403"/>
      <c r="EW152" s="403"/>
      <c r="EX152" s="403"/>
      <c r="EY152" s="403"/>
      <c r="EZ152" s="403"/>
      <c r="FA152" s="403"/>
      <c r="FB152" s="403"/>
      <c r="FC152" s="403"/>
      <c r="FD152" s="403"/>
      <c r="FE152" s="403"/>
      <c r="FF152" s="403"/>
      <c r="FG152" s="403"/>
      <c r="FH152" s="403"/>
      <c r="FI152" s="403"/>
      <c r="FJ152" s="403"/>
      <c r="FK152" s="403"/>
      <c r="FL152" s="403"/>
      <c r="FM152" s="403"/>
      <c r="FN152" s="403"/>
      <c r="FO152" s="403"/>
      <c r="FP152" s="403"/>
      <c r="FQ152" s="403"/>
      <c r="FR152" s="403"/>
      <c r="FS152" s="403"/>
      <c r="FT152" s="403"/>
      <c r="FU152" s="403"/>
      <c r="FV152" s="403"/>
      <c r="FW152" s="403"/>
      <c r="FX152" s="403"/>
      <c r="FY152" s="403"/>
      <c r="FZ152" s="403"/>
      <c r="GA152" s="403" t="s">
        <v>11915</v>
      </c>
      <c r="GB152" s="403"/>
      <c r="GC152" s="403"/>
      <c r="GD152" s="403"/>
      <c r="GE152" s="403"/>
      <c r="GF152" s="403"/>
      <c r="GG152" s="403"/>
      <c r="GH152" s="403"/>
      <c r="GI152" s="403"/>
      <c r="GJ152" s="403"/>
      <c r="GK152" s="403"/>
      <c r="GL152" s="403"/>
      <c r="GM152" s="403"/>
      <c r="GN152" s="403"/>
      <c r="GO152" s="403"/>
      <c r="GP152" s="403"/>
      <c r="GQ152" s="403"/>
      <c r="GR152" s="403"/>
      <c r="GS152" s="403"/>
      <c r="GT152" s="403"/>
      <c r="GU152" s="403"/>
      <c r="GV152" s="403"/>
      <c r="GW152" s="403"/>
      <c r="GX152" s="403"/>
      <c r="GY152" s="403"/>
      <c r="GZ152" s="403"/>
      <c r="HA152" s="403"/>
      <c r="HB152" s="403"/>
      <c r="HC152" s="403"/>
      <c r="HD152" s="403"/>
      <c r="HE152" s="403"/>
      <c r="HF152" s="403"/>
      <c r="HG152" s="403"/>
      <c r="HH152" s="403"/>
      <c r="HI152" s="403" t="s">
        <v>11917</v>
      </c>
      <c r="HJ152" s="403"/>
      <c r="HK152" s="403"/>
      <c r="HL152" s="403"/>
      <c r="HM152" s="403"/>
      <c r="HN152" s="403"/>
      <c r="HO152" s="403"/>
      <c r="HP152" s="403"/>
      <c r="HQ152" s="403"/>
      <c r="HR152" s="403"/>
      <c r="HS152" s="403"/>
      <c r="HT152" s="403"/>
      <c r="HU152" s="403"/>
      <c r="HV152" s="403"/>
      <c r="HW152" s="403"/>
      <c r="HX152" s="403"/>
      <c r="HY152" s="403"/>
      <c r="HZ152" s="403"/>
      <c r="IA152" s="403"/>
      <c r="IB152" s="403"/>
      <c r="IC152" s="403"/>
      <c r="ID152" s="403"/>
      <c r="IE152" s="403"/>
      <c r="IF152" s="403"/>
      <c r="IG152" s="403"/>
      <c r="IH152" s="403"/>
      <c r="II152" s="403"/>
      <c r="IJ152" s="403"/>
      <c r="IK152" s="403"/>
      <c r="IL152" s="403"/>
      <c r="IM152" s="403"/>
      <c r="IN152" s="403"/>
      <c r="IO152" s="403"/>
      <c r="IP152" s="403"/>
      <c r="IQ152" s="403" t="s">
        <v>11919</v>
      </c>
      <c r="IR152" s="403"/>
      <c r="IS152" s="403"/>
      <c r="IT152" s="403"/>
      <c r="IU152" s="403"/>
      <c r="IV152" s="403"/>
      <c r="IW152" s="403"/>
      <c r="IX152" s="403"/>
      <c r="IY152" s="403"/>
      <c r="IZ152" s="403"/>
      <c r="JA152" s="403"/>
      <c r="JB152" s="403"/>
      <c r="JC152" s="403"/>
      <c r="JD152" s="403"/>
      <c r="JE152" s="403"/>
      <c r="JF152" s="403"/>
      <c r="JG152" s="403"/>
      <c r="JH152" s="403"/>
      <c r="JI152" s="403"/>
      <c r="JJ152" s="403"/>
      <c r="JK152" s="403"/>
      <c r="JL152" s="403"/>
      <c r="JM152" s="403"/>
      <c r="JN152" s="403"/>
      <c r="JO152" s="403"/>
      <c r="JP152" s="403"/>
      <c r="JQ152" s="403"/>
      <c r="JR152" s="403"/>
      <c r="JS152" s="403"/>
      <c r="JT152" s="403"/>
    </row>
    <row r="153" spans="1:280" s="15" customFormat="1" ht="12.75" x14ac:dyDescent="0.2">
      <c r="A153" s="78"/>
      <c r="B153" s="624"/>
      <c r="C153" s="23" t="str">
        <f ca="1">IF(OFFSET(AU153,0,Lang_Order*Lang__B5)="","",OFFSET(AU153,0,Lang_Order*Lang__B5))</f>
        <v>Vaccinators for this DM</v>
      </c>
      <c r="J153" s="26" t="e">
        <f t="shared" ref="J153:O153" si="363">IF(J143=1,J152*J151,0)</f>
        <v>#N/A</v>
      </c>
      <c r="K153" s="26" t="e">
        <f t="shared" si="363"/>
        <v>#N/A</v>
      </c>
      <c r="L153" s="26" t="e">
        <f t="shared" si="363"/>
        <v>#N/A</v>
      </c>
      <c r="M153" s="26" t="e">
        <f t="shared" si="363"/>
        <v>#N/A</v>
      </c>
      <c r="N153" s="26" t="e">
        <f t="shared" si="363"/>
        <v>#N/A</v>
      </c>
      <c r="O153" s="26" t="e">
        <f t="shared" si="363"/>
        <v>#N/A</v>
      </c>
      <c r="R153" s="12" t="str">
        <f t="shared" ca="1" si="328"/>
        <v/>
      </c>
      <c r="S153" s="2"/>
      <c r="T153" s="241"/>
      <c r="U153" s="624"/>
      <c r="V153" s="72" t="str">
        <f ca="1">IF(OFFSET(AU153,0,Lang_Order*Lang__B5)="","",OFFSET(AU153,0,Lang_Order*Lang__B5))</f>
        <v>Vaccinators for this DM</v>
      </c>
      <c r="W153" s="26" t="e">
        <f t="shared" ref="W153:AB153" si="364">IF(W143=1,W152*W151,0)</f>
        <v>#N/A</v>
      </c>
      <c r="X153" s="26" t="e">
        <f t="shared" si="364"/>
        <v>#N/A</v>
      </c>
      <c r="Y153" s="26" t="e">
        <f t="shared" si="364"/>
        <v>#N/A</v>
      </c>
      <c r="Z153" s="26" t="e">
        <f t="shared" si="364"/>
        <v>#N/A</v>
      </c>
      <c r="AA153" s="26" t="e">
        <f t="shared" si="364"/>
        <v>#N/A</v>
      </c>
      <c r="AB153" s="26" t="e">
        <f t="shared" si="364"/>
        <v>#N/A</v>
      </c>
      <c r="AC153" s="241"/>
      <c r="AD153" s="241"/>
      <c r="AE153" s="2"/>
      <c r="AF153" s="241"/>
      <c r="AG153" s="624"/>
      <c r="AH153" s="72" t="str">
        <f ca="1">IF(OFFSET(AU153,0,Lang_Order*Lang__B5)="","",OFFSET(AU153,0,Lang_Order*Lang__B5))</f>
        <v>Vaccinators for this DM</v>
      </c>
      <c r="AI153" s="26" t="e">
        <f t="shared" ref="AI153:AN153" si="365">IF(AI143=1,AI152*AI151,0)</f>
        <v>#N/A</v>
      </c>
      <c r="AJ153" s="26" t="e">
        <f t="shared" si="365"/>
        <v>#N/A</v>
      </c>
      <c r="AK153" s="26" t="e">
        <f t="shared" si="365"/>
        <v>#N/A</v>
      </c>
      <c r="AL153" s="26" t="e">
        <f t="shared" si="365"/>
        <v>#N/A</v>
      </c>
      <c r="AM153" s="26" t="e">
        <f t="shared" si="365"/>
        <v>#N/A</v>
      </c>
      <c r="AN153" s="26" t="e">
        <f t="shared" si="365"/>
        <v>#N/A</v>
      </c>
      <c r="AO153" s="241"/>
      <c r="AP153" s="241"/>
      <c r="AR153" s="403"/>
      <c r="AS153" s="403"/>
      <c r="AT153" s="403"/>
      <c r="AU153" s="403" t="s">
        <v>1683</v>
      </c>
      <c r="AV153" s="403"/>
      <c r="AW153" s="403"/>
      <c r="AX153" s="403"/>
      <c r="AY153" s="403"/>
      <c r="AZ153" s="403"/>
      <c r="BA153" s="403"/>
      <c r="BB153" s="403"/>
      <c r="BC153" s="403"/>
      <c r="BD153" s="403"/>
      <c r="BE153" s="403"/>
      <c r="BF153" s="403"/>
      <c r="BG153" s="403"/>
      <c r="BH153" s="403"/>
      <c r="BI153" s="403"/>
      <c r="BJ153" s="403"/>
      <c r="BK153" s="403"/>
      <c r="BL153" s="403"/>
      <c r="BM153" s="403"/>
      <c r="BN153" s="403"/>
      <c r="BO153" s="403"/>
      <c r="BP153" s="403"/>
      <c r="BQ153" s="403"/>
      <c r="BR153" s="403"/>
      <c r="BS153" s="403"/>
      <c r="BT153" s="403"/>
      <c r="BU153" s="403"/>
      <c r="BV153" s="403"/>
      <c r="BW153" s="403"/>
      <c r="BX153" s="403"/>
      <c r="BY153" s="403"/>
      <c r="BZ153" s="403"/>
      <c r="CA153" s="403"/>
      <c r="CB153" s="403"/>
      <c r="CC153" s="403" t="s">
        <v>11921</v>
      </c>
      <c r="CD153" s="403"/>
      <c r="CE153" s="403"/>
      <c r="CF153" s="403"/>
      <c r="CG153" s="403"/>
      <c r="CH153" s="403"/>
      <c r="CI153" s="403"/>
      <c r="CJ153" s="403"/>
      <c r="CK153" s="403"/>
      <c r="CL153" s="403"/>
      <c r="CM153" s="403"/>
      <c r="CN153" s="403"/>
      <c r="CO153" s="403"/>
      <c r="CP153" s="403"/>
      <c r="CQ153" s="403"/>
      <c r="CR153" s="403"/>
      <c r="CS153" s="403"/>
      <c r="CT153" s="403"/>
      <c r="CU153" s="403"/>
      <c r="CV153" s="403"/>
      <c r="CW153" s="403"/>
      <c r="CX153" s="403"/>
      <c r="CY153" s="403"/>
      <c r="CZ153" s="403"/>
      <c r="DA153" s="403"/>
      <c r="DB153" s="403"/>
      <c r="DC153" s="403"/>
      <c r="DD153" s="403"/>
      <c r="DE153" s="403"/>
      <c r="DF153" s="403"/>
      <c r="DG153" s="403"/>
      <c r="DH153" s="403"/>
      <c r="DI153" s="403"/>
      <c r="DJ153" s="403"/>
      <c r="DK153" s="403" t="s">
        <v>11922</v>
      </c>
      <c r="DL153" s="403"/>
      <c r="DM153" s="403"/>
      <c r="DN153" s="403"/>
      <c r="DO153" s="403"/>
      <c r="DP153" s="403"/>
      <c r="DQ153" s="403"/>
      <c r="DR153" s="403"/>
      <c r="DS153" s="403"/>
      <c r="DT153" s="403"/>
      <c r="DU153" s="403"/>
      <c r="DV153" s="403"/>
      <c r="DW153" s="403"/>
      <c r="DX153" s="403"/>
      <c r="DY153" s="403"/>
      <c r="DZ153" s="403"/>
      <c r="EA153" s="403"/>
      <c r="EB153" s="403"/>
      <c r="EC153" s="403"/>
      <c r="ED153" s="403"/>
      <c r="EE153" s="403"/>
      <c r="EF153" s="403"/>
      <c r="EG153" s="403"/>
      <c r="EH153" s="403"/>
      <c r="EI153" s="403"/>
      <c r="EJ153" s="403"/>
      <c r="EK153" s="403"/>
      <c r="EL153" s="403"/>
      <c r="EM153" s="403"/>
      <c r="EN153" s="403"/>
      <c r="EO153" s="403"/>
      <c r="EP153" s="403"/>
      <c r="EQ153" s="403"/>
      <c r="ER153" s="403"/>
      <c r="ES153" s="403" t="s">
        <v>11923</v>
      </c>
      <c r="ET153" s="403"/>
      <c r="EU153" s="403"/>
      <c r="EV153" s="403"/>
      <c r="EW153" s="403"/>
      <c r="EX153" s="403"/>
      <c r="EY153" s="403"/>
      <c r="EZ153" s="403"/>
      <c r="FA153" s="403"/>
      <c r="FB153" s="403"/>
      <c r="FC153" s="403"/>
      <c r="FD153" s="403"/>
      <c r="FE153" s="403"/>
      <c r="FF153" s="403"/>
      <c r="FG153" s="403"/>
      <c r="FH153" s="403"/>
      <c r="FI153" s="403"/>
      <c r="FJ153" s="403"/>
      <c r="FK153" s="403"/>
      <c r="FL153" s="403"/>
      <c r="FM153" s="403"/>
      <c r="FN153" s="403"/>
      <c r="FO153" s="403"/>
      <c r="FP153" s="403"/>
      <c r="FQ153" s="403"/>
      <c r="FR153" s="403"/>
      <c r="FS153" s="403"/>
      <c r="FT153" s="403"/>
      <c r="FU153" s="403"/>
      <c r="FV153" s="403"/>
      <c r="FW153" s="403"/>
      <c r="FX153" s="403"/>
      <c r="FY153" s="403"/>
      <c r="FZ153" s="403"/>
      <c r="GA153" s="403" t="s">
        <v>11924</v>
      </c>
      <c r="GB153" s="403"/>
      <c r="GC153" s="403"/>
      <c r="GD153" s="403"/>
      <c r="GE153" s="403"/>
      <c r="GF153" s="403"/>
      <c r="GG153" s="403"/>
      <c r="GH153" s="403"/>
      <c r="GI153" s="403"/>
      <c r="GJ153" s="403"/>
      <c r="GK153" s="403"/>
      <c r="GL153" s="403"/>
      <c r="GM153" s="403"/>
      <c r="GN153" s="403"/>
      <c r="GO153" s="403"/>
      <c r="GP153" s="403"/>
      <c r="GQ153" s="403"/>
      <c r="GR153" s="403"/>
      <c r="GS153" s="403"/>
      <c r="GT153" s="403"/>
      <c r="GU153" s="403"/>
      <c r="GV153" s="403"/>
      <c r="GW153" s="403"/>
      <c r="GX153" s="403"/>
      <c r="GY153" s="403"/>
      <c r="GZ153" s="403"/>
      <c r="HA153" s="403"/>
      <c r="HB153" s="403"/>
      <c r="HC153" s="403"/>
      <c r="HD153" s="403"/>
      <c r="HE153" s="403"/>
      <c r="HF153" s="403"/>
      <c r="HG153" s="403"/>
      <c r="HH153" s="403"/>
      <c r="HI153" s="403" t="s">
        <v>11925</v>
      </c>
      <c r="HJ153" s="403"/>
      <c r="HK153" s="403"/>
      <c r="HL153" s="403"/>
      <c r="HM153" s="403"/>
      <c r="HN153" s="403"/>
      <c r="HO153" s="403"/>
      <c r="HP153" s="403"/>
      <c r="HQ153" s="403"/>
      <c r="HR153" s="403"/>
      <c r="HS153" s="403"/>
      <c r="HT153" s="403"/>
      <c r="HU153" s="403"/>
      <c r="HV153" s="403"/>
      <c r="HW153" s="403"/>
      <c r="HX153" s="403"/>
      <c r="HY153" s="403"/>
      <c r="HZ153" s="403"/>
      <c r="IA153" s="403"/>
      <c r="IB153" s="403"/>
      <c r="IC153" s="403"/>
      <c r="ID153" s="403"/>
      <c r="IE153" s="403"/>
      <c r="IF153" s="403"/>
      <c r="IG153" s="403"/>
      <c r="IH153" s="403"/>
      <c r="II153" s="403"/>
      <c r="IJ153" s="403"/>
      <c r="IK153" s="403"/>
      <c r="IL153" s="403"/>
      <c r="IM153" s="403"/>
      <c r="IN153" s="403"/>
      <c r="IO153" s="403"/>
      <c r="IP153" s="403"/>
      <c r="IQ153" s="403" t="s">
        <v>11926</v>
      </c>
      <c r="IR153" s="403"/>
      <c r="IS153" s="403"/>
      <c r="IT153" s="403"/>
      <c r="IU153" s="403"/>
      <c r="IV153" s="403"/>
      <c r="IW153" s="403"/>
      <c r="IX153" s="403"/>
      <c r="IY153" s="403"/>
      <c r="IZ153" s="403"/>
      <c r="JA153" s="403"/>
      <c r="JB153" s="403"/>
      <c r="JC153" s="403"/>
      <c r="JD153" s="403"/>
      <c r="JE153" s="403"/>
      <c r="JF153" s="403"/>
      <c r="JG153" s="403"/>
      <c r="JH153" s="403"/>
      <c r="JI153" s="403"/>
      <c r="JJ153" s="403"/>
      <c r="JK153" s="403"/>
      <c r="JL153" s="403"/>
      <c r="JM153" s="403"/>
      <c r="JN153" s="403"/>
      <c r="JO153" s="403"/>
      <c r="JP153" s="403"/>
      <c r="JQ153" s="403"/>
      <c r="JR153" s="403"/>
      <c r="JS153" s="403"/>
      <c r="JT153" s="403"/>
    </row>
    <row r="154" spans="1:280" s="15" customFormat="1" ht="12.75" x14ac:dyDescent="0.2">
      <c r="A154" s="9"/>
      <c r="B154" s="624"/>
      <c r="R154" s="12" t="str">
        <f t="shared" ca="1" si="328"/>
        <v/>
      </c>
      <c r="S154" s="2"/>
      <c r="T154" s="241"/>
      <c r="U154" s="624"/>
      <c r="V154" s="2"/>
      <c r="W154" s="241"/>
      <c r="X154" s="241"/>
      <c r="Y154" s="241"/>
      <c r="Z154" s="241"/>
      <c r="AA154" s="241"/>
      <c r="AB154" s="241"/>
      <c r="AC154" s="241"/>
      <c r="AD154" s="241"/>
      <c r="AE154" s="2"/>
      <c r="AF154" s="241"/>
      <c r="AG154" s="624"/>
      <c r="AH154" s="2"/>
      <c r="AI154" s="241"/>
      <c r="AJ154" s="241"/>
      <c r="AK154" s="241"/>
      <c r="AL154" s="241"/>
      <c r="AM154" s="241"/>
      <c r="AN154" s="241"/>
      <c r="AO154" s="241"/>
      <c r="AP154" s="241"/>
      <c r="AR154" s="403"/>
      <c r="AS154" s="403"/>
      <c r="AT154" s="403"/>
      <c r="AU154" s="403"/>
      <c r="AV154" s="403"/>
      <c r="AW154" s="403"/>
      <c r="AX154" s="403"/>
      <c r="AY154" s="403"/>
      <c r="AZ154" s="403"/>
      <c r="BA154" s="403"/>
      <c r="BB154" s="403"/>
      <c r="BC154" s="403"/>
      <c r="BD154" s="403"/>
      <c r="BE154" s="403"/>
      <c r="BF154" s="403"/>
      <c r="BG154" s="403"/>
      <c r="BH154" s="403"/>
      <c r="BI154" s="403"/>
      <c r="BJ154" s="403"/>
      <c r="BK154" s="403"/>
      <c r="BL154" s="403"/>
      <c r="BM154" s="403"/>
      <c r="BN154" s="403"/>
      <c r="BO154" s="403"/>
      <c r="BP154" s="403"/>
      <c r="BQ154" s="403"/>
      <c r="BR154" s="403"/>
      <c r="BS154" s="403"/>
      <c r="BT154" s="403"/>
      <c r="BU154" s="403"/>
      <c r="BV154" s="403"/>
      <c r="BW154" s="403"/>
      <c r="BX154" s="403"/>
      <c r="BY154" s="403"/>
      <c r="BZ154" s="403"/>
      <c r="CA154" s="403"/>
      <c r="CB154" s="403"/>
      <c r="CC154" s="403"/>
      <c r="CD154" s="403"/>
      <c r="CE154" s="403"/>
      <c r="CF154" s="403"/>
      <c r="CG154" s="403"/>
      <c r="CH154" s="403"/>
      <c r="CI154" s="403"/>
      <c r="CJ154" s="403"/>
      <c r="CK154" s="403"/>
      <c r="CL154" s="403"/>
      <c r="CM154" s="403"/>
      <c r="CN154" s="403"/>
      <c r="CO154" s="403"/>
      <c r="CP154" s="403"/>
      <c r="CQ154" s="403"/>
      <c r="CR154" s="403"/>
      <c r="CS154" s="403"/>
      <c r="CT154" s="403"/>
      <c r="CU154" s="403"/>
      <c r="CV154" s="403"/>
      <c r="CW154" s="403"/>
      <c r="CX154" s="403"/>
      <c r="CY154" s="403"/>
      <c r="CZ154" s="403"/>
      <c r="DA154" s="403"/>
      <c r="DB154" s="403"/>
      <c r="DC154" s="403"/>
      <c r="DD154" s="403"/>
      <c r="DE154" s="403"/>
      <c r="DF154" s="403"/>
      <c r="DG154" s="403"/>
      <c r="DH154" s="403"/>
      <c r="DI154" s="403"/>
      <c r="DJ154" s="403"/>
      <c r="DK154" s="403"/>
      <c r="DL154" s="403"/>
      <c r="DM154" s="403"/>
      <c r="DN154" s="403"/>
      <c r="DO154" s="403"/>
      <c r="DP154" s="403"/>
      <c r="DQ154" s="403"/>
      <c r="DR154" s="403"/>
      <c r="DS154" s="403"/>
      <c r="DT154" s="403"/>
      <c r="DU154" s="403"/>
      <c r="DV154" s="403"/>
      <c r="DW154" s="403"/>
      <c r="DX154" s="403"/>
      <c r="DY154" s="403"/>
      <c r="DZ154" s="403"/>
      <c r="EA154" s="403"/>
      <c r="EB154" s="403"/>
      <c r="EC154" s="403"/>
      <c r="ED154" s="403"/>
      <c r="EE154" s="403"/>
      <c r="EF154" s="403"/>
      <c r="EG154" s="403"/>
      <c r="EH154" s="403"/>
      <c r="EI154" s="403"/>
      <c r="EJ154" s="403"/>
      <c r="EK154" s="403"/>
      <c r="EL154" s="403"/>
      <c r="EM154" s="403"/>
      <c r="EN154" s="403"/>
      <c r="EO154" s="403"/>
      <c r="EP154" s="403"/>
      <c r="EQ154" s="403"/>
      <c r="ER154" s="403"/>
      <c r="ES154" s="403"/>
      <c r="ET154" s="403"/>
      <c r="EU154" s="403"/>
      <c r="EV154" s="403"/>
      <c r="EW154" s="403"/>
      <c r="EX154" s="403"/>
      <c r="EY154" s="403"/>
      <c r="EZ154" s="403"/>
      <c r="FA154" s="403"/>
      <c r="FB154" s="403"/>
      <c r="FC154" s="403"/>
      <c r="FD154" s="403"/>
      <c r="FE154" s="403"/>
      <c r="FF154" s="403"/>
      <c r="FG154" s="403"/>
      <c r="FH154" s="403"/>
      <c r="FI154" s="403"/>
      <c r="FJ154" s="403"/>
      <c r="FK154" s="403"/>
      <c r="FL154" s="403"/>
      <c r="FM154" s="403"/>
      <c r="FN154" s="403"/>
      <c r="FO154" s="403"/>
      <c r="FP154" s="403"/>
      <c r="FQ154" s="403"/>
      <c r="FR154" s="403"/>
      <c r="FS154" s="403"/>
      <c r="FT154" s="403"/>
      <c r="FU154" s="403"/>
      <c r="FV154" s="403"/>
      <c r="FW154" s="403"/>
      <c r="FX154" s="403"/>
      <c r="FY154" s="403"/>
      <c r="FZ154" s="403"/>
      <c r="GA154" s="403"/>
      <c r="GB154" s="403"/>
      <c r="GC154" s="403"/>
      <c r="GD154" s="403"/>
      <c r="GE154" s="403"/>
      <c r="GF154" s="403"/>
      <c r="GG154" s="403"/>
      <c r="GH154" s="403"/>
      <c r="GI154" s="403"/>
      <c r="GJ154" s="403"/>
      <c r="GK154" s="403"/>
      <c r="GL154" s="403"/>
      <c r="GM154" s="403"/>
      <c r="GN154" s="403"/>
      <c r="GO154" s="403"/>
      <c r="GP154" s="403"/>
      <c r="GQ154" s="403"/>
      <c r="GR154" s="403"/>
      <c r="GS154" s="403"/>
      <c r="GT154" s="403"/>
      <c r="GU154" s="403"/>
      <c r="GV154" s="403"/>
      <c r="GW154" s="403"/>
      <c r="GX154" s="403"/>
      <c r="GY154" s="403"/>
      <c r="GZ154" s="403"/>
      <c r="HA154" s="403"/>
      <c r="HB154" s="403"/>
      <c r="HC154" s="403"/>
      <c r="HD154" s="403"/>
      <c r="HE154" s="403"/>
      <c r="HF154" s="403"/>
      <c r="HG154" s="403"/>
      <c r="HH154" s="403"/>
      <c r="HI154" s="403"/>
      <c r="HJ154" s="403"/>
      <c r="HK154" s="403"/>
      <c r="HL154" s="403"/>
      <c r="HM154" s="403"/>
      <c r="HN154" s="403"/>
      <c r="HO154" s="403"/>
      <c r="HP154" s="403"/>
      <c r="HQ154" s="403"/>
      <c r="HR154" s="403"/>
      <c r="HS154" s="403"/>
      <c r="HT154" s="403"/>
      <c r="HU154" s="403"/>
      <c r="HV154" s="403"/>
      <c r="HW154" s="403"/>
      <c r="HX154" s="403"/>
      <c r="HY154" s="403"/>
      <c r="HZ154" s="403"/>
      <c r="IA154" s="403"/>
      <c r="IB154" s="403"/>
      <c r="IC154" s="403"/>
      <c r="ID154" s="403"/>
      <c r="IE154" s="403"/>
      <c r="IF154" s="403"/>
      <c r="IG154" s="403"/>
      <c r="IH154" s="403"/>
      <c r="II154" s="403"/>
      <c r="IJ154" s="403"/>
      <c r="IK154" s="403"/>
      <c r="IL154" s="403"/>
      <c r="IM154" s="403"/>
      <c r="IN154" s="403"/>
      <c r="IO154" s="403"/>
      <c r="IP154" s="403"/>
      <c r="IQ154" s="403"/>
      <c r="IR154" s="403"/>
      <c r="IS154" s="403"/>
      <c r="IT154" s="403"/>
      <c r="IU154" s="403"/>
      <c r="IV154" s="403"/>
      <c r="IW154" s="403"/>
      <c r="IX154" s="403"/>
      <c r="IY154" s="403"/>
      <c r="IZ154" s="403"/>
      <c r="JA154" s="403"/>
      <c r="JB154" s="403"/>
      <c r="JC154" s="403"/>
      <c r="JD154" s="403"/>
      <c r="JE154" s="403"/>
      <c r="JF154" s="403"/>
      <c r="JG154" s="403"/>
      <c r="JH154" s="403"/>
      <c r="JI154" s="403"/>
      <c r="JJ154" s="403"/>
      <c r="JK154" s="403"/>
      <c r="JL154" s="403"/>
      <c r="JM154" s="403"/>
      <c r="JN154" s="403"/>
      <c r="JO154" s="403"/>
      <c r="JP154" s="403"/>
      <c r="JQ154" s="403"/>
      <c r="JR154" s="403"/>
      <c r="JS154" s="403"/>
      <c r="JT154" s="403"/>
    </row>
    <row r="155" spans="1:280" s="15" customFormat="1" ht="12.75" x14ac:dyDescent="0.2">
      <c r="A155" s="9"/>
      <c r="B155" s="624"/>
      <c r="C155" s="23" t="str">
        <f ca="1">IF(OFFSET(AU155,0,Lang_Order*Lang__B5)="","",OFFSET(AU155,0,Lang_Order*Lang__B5))</f>
        <v>Total vaccine volume per period (liters)</v>
      </c>
      <c r="E155" s="26"/>
      <c r="F155" s="26"/>
      <c r="G155" s="26"/>
      <c r="H155" s="26"/>
      <c r="I155" s="26"/>
      <c r="J155" s="26" t="e">
        <f t="shared" ref="J155:O155" si="366">($E138*J138)*$H138*0.001</f>
        <v>#N/A</v>
      </c>
      <c r="K155" s="26" t="e">
        <f t="shared" si="366"/>
        <v>#N/A</v>
      </c>
      <c r="L155" s="26" t="e">
        <f t="shared" si="366"/>
        <v>#N/A</v>
      </c>
      <c r="M155" s="26" t="e">
        <f t="shared" si="366"/>
        <v>#N/A</v>
      </c>
      <c r="N155" s="26" t="e">
        <f t="shared" si="366"/>
        <v>#N/A</v>
      </c>
      <c r="O155" s="26" t="e">
        <f t="shared" si="366"/>
        <v>#N/A</v>
      </c>
      <c r="P155" s="26"/>
      <c r="Q155" s="26"/>
      <c r="R155" s="12" t="str">
        <f t="shared" ca="1" si="328"/>
        <v>Volume of the whole tranche of vaccines at delivery</v>
      </c>
      <c r="S155" s="2"/>
      <c r="T155" s="241"/>
      <c r="U155" s="624"/>
      <c r="V155" s="72" t="str">
        <f ca="1">IF(OFFSET(AU155,0,Lang_Order*Lang__B5)="","",OFFSET(AU155,0,Lang_Order*Lang__B5))</f>
        <v>Total vaccine volume per period (liters)</v>
      </c>
      <c r="W155" s="26" t="e">
        <f t="shared" ref="W155:AB155" si="367">($E138*W138)*$H138*0.001</f>
        <v>#N/A</v>
      </c>
      <c r="X155" s="26" t="e">
        <f t="shared" si="367"/>
        <v>#N/A</v>
      </c>
      <c r="Y155" s="26" t="e">
        <f t="shared" si="367"/>
        <v>#N/A</v>
      </c>
      <c r="Z155" s="26" t="e">
        <f t="shared" si="367"/>
        <v>#N/A</v>
      </c>
      <c r="AA155" s="26" t="e">
        <f t="shared" si="367"/>
        <v>#N/A</v>
      </c>
      <c r="AB155" s="26" t="e">
        <f t="shared" si="367"/>
        <v>#N/A</v>
      </c>
      <c r="AC155" s="26"/>
      <c r="AD155" s="26"/>
      <c r="AE155" s="2"/>
      <c r="AF155" s="241"/>
      <c r="AG155" s="624"/>
      <c r="AH155" s="72" t="str">
        <f ca="1">IF(OFFSET(AU155,0,Lang_Order*Lang__B5)="","",OFFSET(AU155,0,Lang_Order*Lang__B5))</f>
        <v>Total vaccine volume per period (liters)</v>
      </c>
      <c r="AI155" s="26" t="e">
        <f t="shared" ref="AI155:AN155" si="368">($E138*AI138)*$H138*0.001</f>
        <v>#N/A</v>
      </c>
      <c r="AJ155" s="26" t="e">
        <f t="shared" si="368"/>
        <v>#N/A</v>
      </c>
      <c r="AK155" s="26" t="e">
        <f t="shared" si="368"/>
        <v>#N/A</v>
      </c>
      <c r="AL155" s="26" t="e">
        <f t="shared" si="368"/>
        <v>#N/A</v>
      </c>
      <c r="AM155" s="26" t="e">
        <f t="shared" si="368"/>
        <v>#N/A</v>
      </c>
      <c r="AN155" s="26" t="e">
        <f t="shared" si="368"/>
        <v>#N/A</v>
      </c>
      <c r="AO155" s="26"/>
      <c r="AP155" s="26"/>
      <c r="AR155" s="403"/>
      <c r="AS155" s="403"/>
      <c r="AT155" s="403"/>
      <c r="AU155" s="403" t="s">
        <v>1662</v>
      </c>
      <c r="AV155" s="403"/>
      <c r="AW155" s="403"/>
      <c r="AX155" s="403"/>
      <c r="AY155" s="403"/>
      <c r="AZ155" s="403"/>
      <c r="BA155" s="403"/>
      <c r="BB155" s="403"/>
      <c r="BC155" s="403"/>
      <c r="BD155" s="403"/>
      <c r="BE155" s="403"/>
      <c r="BF155" s="403"/>
      <c r="BG155" s="403"/>
      <c r="BH155" s="403"/>
      <c r="BI155" s="403"/>
      <c r="BJ155" s="403" t="s">
        <v>1644</v>
      </c>
      <c r="BK155" s="403"/>
      <c r="BL155" s="403"/>
      <c r="BM155" s="403"/>
      <c r="BN155" s="403"/>
      <c r="BO155" s="403"/>
      <c r="BP155" s="403"/>
      <c r="BQ155" s="403"/>
      <c r="BR155" s="403"/>
      <c r="BS155" s="403"/>
      <c r="BT155" s="403"/>
      <c r="BU155" s="403"/>
      <c r="BV155" s="403"/>
      <c r="BW155" s="403"/>
      <c r="BX155" s="403"/>
      <c r="BY155" s="403"/>
      <c r="BZ155" s="403"/>
      <c r="CA155" s="403"/>
      <c r="CB155" s="403"/>
      <c r="CC155" s="403" t="s">
        <v>12124</v>
      </c>
      <c r="CD155" s="403"/>
      <c r="CE155" s="403"/>
      <c r="CF155" s="403"/>
      <c r="CG155" s="403"/>
      <c r="CH155" s="403"/>
      <c r="CI155" s="403"/>
      <c r="CJ155" s="403"/>
      <c r="CK155" s="403"/>
      <c r="CL155" s="403"/>
      <c r="CM155" s="403"/>
      <c r="CN155" s="403"/>
      <c r="CO155" s="403"/>
      <c r="CP155" s="403"/>
      <c r="CQ155" s="403"/>
      <c r="CR155" s="403" t="s">
        <v>11928</v>
      </c>
      <c r="CS155" s="403"/>
      <c r="CT155" s="403"/>
      <c r="CU155" s="403"/>
      <c r="CV155" s="403"/>
      <c r="CW155" s="403"/>
      <c r="CX155" s="403"/>
      <c r="CY155" s="403"/>
      <c r="CZ155" s="403"/>
      <c r="DA155" s="403"/>
      <c r="DB155" s="403"/>
      <c r="DC155" s="403"/>
      <c r="DD155" s="403"/>
      <c r="DE155" s="403"/>
      <c r="DF155" s="403"/>
      <c r="DG155" s="403"/>
      <c r="DH155" s="403"/>
      <c r="DI155" s="403"/>
      <c r="DJ155" s="403"/>
      <c r="DK155" s="403" t="s">
        <v>11929</v>
      </c>
      <c r="DL155" s="403"/>
      <c r="DM155" s="403"/>
      <c r="DN155" s="403"/>
      <c r="DO155" s="403"/>
      <c r="DP155" s="403"/>
      <c r="DQ155" s="403"/>
      <c r="DR155" s="403"/>
      <c r="DS155" s="403"/>
      <c r="DT155" s="403"/>
      <c r="DU155" s="403"/>
      <c r="DV155" s="403"/>
      <c r="DW155" s="403"/>
      <c r="DX155" s="403"/>
      <c r="DY155" s="403"/>
      <c r="DZ155" s="403" t="s">
        <v>11930</v>
      </c>
      <c r="EA155" s="403"/>
      <c r="EB155" s="403"/>
      <c r="EC155" s="403"/>
      <c r="ED155" s="403"/>
      <c r="EE155" s="403"/>
      <c r="EF155" s="403"/>
      <c r="EG155" s="403"/>
      <c r="EH155" s="403"/>
      <c r="EI155" s="403"/>
      <c r="EJ155" s="403"/>
      <c r="EK155" s="403"/>
      <c r="EL155" s="403"/>
      <c r="EM155" s="403"/>
      <c r="EN155" s="403"/>
      <c r="EO155" s="403"/>
      <c r="EP155" s="403"/>
      <c r="EQ155" s="403"/>
      <c r="ER155" s="403"/>
      <c r="ES155" s="403" t="s">
        <v>11931</v>
      </c>
      <c r="ET155" s="403"/>
      <c r="EU155" s="403"/>
      <c r="EV155" s="403"/>
      <c r="EW155" s="403"/>
      <c r="EX155" s="403"/>
      <c r="EY155" s="403"/>
      <c r="EZ155" s="403"/>
      <c r="FA155" s="403"/>
      <c r="FB155" s="403"/>
      <c r="FC155" s="403"/>
      <c r="FD155" s="403"/>
      <c r="FE155" s="403"/>
      <c r="FF155" s="403"/>
      <c r="FG155" s="403"/>
      <c r="FH155" s="403" t="s">
        <v>11932</v>
      </c>
      <c r="FI155" s="403"/>
      <c r="FJ155" s="403"/>
      <c r="FK155" s="403"/>
      <c r="FL155" s="403"/>
      <c r="FM155" s="403"/>
      <c r="FN155" s="403"/>
      <c r="FO155" s="403"/>
      <c r="FP155" s="403"/>
      <c r="FQ155" s="403"/>
      <c r="FR155" s="403"/>
      <c r="FS155" s="403"/>
      <c r="FT155" s="403"/>
      <c r="FU155" s="403"/>
      <c r="FV155" s="403"/>
      <c r="FW155" s="403"/>
      <c r="FX155" s="403"/>
      <c r="FY155" s="403"/>
      <c r="FZ155" s="403"/>
      <c r="GA155" s="403" t="s">
        <v>11933</v>
      </c>
      <c r="GB155" s="403"/>
      <c r="GC155" s="403"/>
      <c r="GD155" s="403"/>
      <c r="GE155" s="403"/>
      <c r="GF155" s="403"/>
      <c r="GG155" s="403"/>
      <c r="GH155" s="403"/>
      <c r="GI155" s="403"/>
      <c r="GJ155" s="403"/>
      <c r="GK155" s="403"/>
      <c r="GL155" s="403"/>
      <c r="GM155" s="403"/>
      <c r="GN155" s="403"/>
      <c r="GO155" s="403"/>
      <c r="GP155" s="403" t="s">
        <v>11934</v>
      </c>
      <c r="GQ155" s="403"/>
      <c r="GR155" s="403"/>
      <c r="GS155" s="403"/>
      <c r="GT155" s="403"/>
      <c r="GU155" s="403"/>
      <c r="GV155" s="403"/>
      <c r="GW155" s="403"/>
      <c r="GX155" s="403"/>
      <c r="GY155" s="403"/>
      <c r="GZ155" s="403"/>
      <c r="HA155" s="403"/>
      <c r="HB155" s="403"/>
      <c r="HC155" s="403"/>
      <c r="HD155" s="403"/>
      <c r="HE155" s="403"/>
      <c r="HF155" s="403"/>
      <c r="HG155" s="403"/>
      <c r="HH155" s="403"/>
      <c r="HI155" s="403" t="s">
        <v>11935</v>
      </c>
      <c r="HJ155" s="403"/>
      <c r="HK155" s="403"/>
      <c r="HL155" s="403"/>
      <c r="HM155" s="403"/>
      <c r="HN155" s="403"/>
      <c r="HO155" s="403"/>
      <c r="HP155" s="403"/>
      <c r="HQ155" s="403"/>
      <c r="HR155" s="403"/>
      <c r="HS155" s="403"/>
      <c r="HT155" s="403"/>
      <c r="HU155" s="403"/>
      <c r="HV155" s="403"/>
      <c r="HW155" s="403"/>
      <c r="HX155" s="403" t="s">
        <v>11936</v>
      </c>
      <c r="HY155" s="403"/>
      <c r="HZ155" s="403"/>
      <c r="IA155" s="403"/>
      <c r="IB155" s="403"/>
      <c r="IC155" s="403"/>
      <c r="ID155" s="403"/>
      <c r="IE155" s="403"/>
      <c r="IF155" s="403"/>
      <c r="IG155" s="403"/>
      <c r="IH155" s="403"/>
      <c r="II155" s="403"/>
      <c r="IJ155" s="403"/>
      <c r="IK155" s="403"/>
      <c r="IL155" s="403"/>
      <c r="IM155" s="403"/>
      <c r="IN155" s="403"/>
      <c r="IO155" s="403"/>
      <c r="IP155" s="403"/>
      <c r="IQ155" s="403" t="s">
        <v>11937</v>
      </c>
      <c r="IR155" s="403"/>
      <c r="IS155" s="403"/>
      <c r="IT155" s="403"/>
      <c r="IU155" s="403"/>
      <c r="IV155" s="403"/>
      <c r="IW155" s="403"/>
      <c r="IX155" s="403"/>
      <c r="IY155" s="403"/>
      <c r="IZ155" s="403"/>
      <c r="JA155" s="403"/>
      <c r="JB155" s="403"/>
      <c r="JC155" s="403"/>
      <c r="JD155" s="403"/>
      <c r="JE155" s="403"/>
      <c r="JF155" s="403" t="s">
        <v>11938</v>
      </c>
      <c r="JG155" s="403"/>
      <c r="JH155" s="403"/>
      <c r="JI155" s="403"/>
      <c r="JJ155" s="403"/>
      <c r="JK155" s="403"/>
      <c r="JL155" s="403"/>
      <c r="JM155" s="403"/>
      <c r="JN155" s="403"/>
      <c r="JO155" s="403"/>
      <c r="JP155" s="403"/>
      <c r="JQ155" s="403"/>
      <c r="JR155" s="403"/>
      <c r="JS155" s="403"/>
      <c r="JT155" s="403"/>
    </row>
    <row r="156" spans="1:280" s="15" customFormat="1" ht="12.75" x14ac:dyDescent="0.2">
      <c r="A156" s="9"/>
      <c r="B156" s="624"/>
      <c r="C156" s="23"/>
      <c r="E156" s="26"/>
      <c r="F156" s="26"/>
      <c r="G156" s="26"/>
      <c r="H156" s="26"/>
      <c r="I156" s="26"/>
      <c r="J156" s="26"/>
      <c r="K156" s="26"/>
      <c r="L156" s="26"/>
      <c r="M156" s="26"/>
      <c r="N156" s="26"/>
      <c r="O156" s="26"/>
      <c r="P156" s="26"/>
      <c r="Q156" s="26"/>
      <c r="R156" s="12" t="str">
        <f t="shared" ca="1" si="328"/>
        <v/>
      </c>
      <c r="S156" s="2"/>
      <c r="T156" s="241"/>
      <c r="U156" s="624"/>
      <c r="V156" s="72"/>
      <c r="W156" s="26"/>
      <c r="X156" s="26"/>
      <c r="Y156" s="26"/>
      <c r="Z156" s="26"/>
      <c r="AA156" s="26"/>
      <c r="AB156" s="26"/>
      <c r="AC156" s="26"/>
      <c r="AD156" s="26"/>
      <c r="AE156" s="2"/>
      <c r="AF156" s="241"/>
      <c r="AG156" s="624"/>
      <c r="AH156" s="72"/>
      <c r="AI156" s="26"/>
      <c r="AJ156" s="26"/>
      <c r="AK156" s="26"/>
      <c r="AL156" s="26"/>
      <c r="AM156" s="26"/>
      <c r="AN156" s="26"/>
      <c r="AO156" s="26"/>
      <c r="AP156" s="26"/>
      <c r="AR156" s="403"/>
      <c r="AS156" s="403"/>
      <c r="AT156" s="403"/>
      <c r="AU156" s="403"/>
      <c r="AV156" s="403"/>
      <c r="AW156" s="403"/>
      <c r="AX156" s="403"/>
      <c r="AY156" s="403"/>
      <c r="AZ156" s="403"/>
      <c r="BA156" s="403"/>
      <c r="BB156" s="403"/>
      <c r="BC156" s="403"/>
      <c r="BD156" s="403"/>
      <c r="BE156" s="403"/>
      <c r="BF156" s="403"/>
      <c r="BG156" s="403"/>
      <c r="BH156" s="403"/>
      <c r="BI156" s="403"/>
      <c r="BJ156" s="403"/>
      <c r="BK156" s="403"/>
      <c r="BL156" s="403"/>
      <c r="BM156" s="403"/>
      <c r="BN156" s="403"/>
      <c r="BO156" s="403"/>
      <c r="BP156" s="403"/>
      <c r="BQ156" s="403"/>
      <c r="BR156" s="403"/>
      <c r="BS156" s="403"/>
      <c r="BT156" s="403"/>
      <c r="BU156" s="403"/>
      <c r="BV156" s="403"/>
      <c r="BW156" s="403"/>
      <c r="BX156" s="403"/>
      <c r="BY156" s="403"/>
      <c r="BZ156" s="403"/>
      <c r="CA156" s="403"/>
      <c r="CB156" s="403"/>
      <c r="CC156" s="403"/>
      <c r="CD156" s="403"/>
      <c r="CE156" s="403"/>
      <c r="CF156" s="403"/>
      <c r="CG156" s="403"/>
      <c r="CH156" s="403"/>
      <c r="CI156" s="403"/>
      <c r="CJ156" s="403"/>
      <c r="CK156" s="403"/>
      <c r="CL156" s="403"/>
      <c r="CM156" s="403"/>
      <c r="CN156" s="403"/>
      <c r="CO156" s="403"/>
      <c r="CP156" s="403"/>
      <c r="CQ156" s="403"/>
      <c r="CR156" s="403"/>
      <c r="CS156" s="403"/>
      <c r="CT156" s="403"/>
      <c r="CU156" s="403"/>
      <c r="CV156" s="403"/>
      <c r="CW156" s="403"/>
      <c r="CX156" s="403"/>
      <c r="CY156" s="403"/>
      <c r="CZ156" s="403"/>
      <c r="DA156" s="403"/>
      <c r="DB156" s="403"/>
      <c r="DC156" s="403"/>
      <c r="DD156" s="403"/>
      <c r="DE156" s="403"/>
      <c r="DF156" s="403"/>
      <c r="DG156" s="403"/>
      <c r="DH156" s="403"/>
      <c r="DI156" s="403"/>
      <c r="DJ156" s="403"/>
      <c r="DK156" s="403"/>
      <c r="DL156" s="403"/>
      <c r="DM156" s="403"/>
      <c r="DN156" s="403"/>
      <c r="DO156" s="403"/>
      <c r="DP156" s="403"/>
      <c r="DQ156" s="403"/>
      <c r="DR156" s="403"/>
      <c r="DS156" s="403"/>
      <c r="DT156" s="403"/>
      <c r="DU156" s="403"/>
      <c r="DV156" s="403"/>
      <c r="DW156" s="403"/>
      <c r="DX156" s="403"/>
      <c r="DY156" s="403"/>
      <c r="DZ156" s="403"/>
      <c r="EA156" s="403"/>
      <c r="EB156" s="403"/>
      <c r="EC156" s="403"/>
      <c r="ED156" s="403"/>
      <c r="EE156" s="403"/>
      <c r="EF156" s="403"/>
      <c r="EG156" s="403"/>
      <c r="EH156" s="403"/>
      <c r="EI156" s="403"/>
      <c r="EJ156" s="403"/>
      <c r="EK156" s="403"/>
      <c r="EL156" s="403"/>
      <c r="EM156" s="403"/>
      <c r="EN156" s="403"/>
      <c r="EO156" s="403"/>
      <c r="EP156" s="403"/>
      <c r="EQ156" s="403"/>
      <c r="ER156" s="403"/>
      <c r="ES156" s="403"/>
      <c r="ET156" s="403"/>
      <c r="EU156" s="403"/>
      <c r="EV156" s="403"/>
      <c r="EW156" s="403"/>
      <c r="EX156" s="403"/>
      <c r="EY156" s="403"/>
      <c r="EZ156" s="403"/>
      <c r="FA156" s="403"/>
      <c r="FB156" s="403"/>
      <c r="FC156" s="403"/>
      <c r="FD156" s="403"/>
      <c r="FE156" s="403"/>
      <c r="FF156" s="403"/>
      <c r="FG156" s="403"/>
      <c r="FH156" s="403"/>
      <c r="FI156" s="403"/>
      <c r="FJ156" s="403"/>
      <c r="FK156" s="403"/>
      <c r="FL156" s="403"/>
      <c r="FM156" s="403"/>
      <c r="FN156" s="403"/>
      <c r="FO156" s="403"/>
      <c r="FP156" s="403"/>
      <c r="FQ156" s="403"/>
      <c r="FR156" s="403"/>
      <c r="FS156" s="403"/>
      <c r="FT156" s="403"/>
      <c r="FU156" s="403"/>
      <c r="FV156" s="403"/>
      <c r="FW156" s="403"/>
      <c r="FX156" s="403"/>
      <c r="FY156" s="403"/>
      <c r="FZ156" s="403"/>
      <c r="GA156" s="403"/>
      <c r="GB156" s="403"/>
      <c r="GC156" s="403"/>
      <c r="GD156" s="403"/>
      <c r="GE156" s="403"/>
      <c r="GF156" s="403"/>
      <c r="GG156" s="403"/>
      <c r="GH156" s="403"/>
      <c r="GI156" s="403"/>
      <c r="GJ156" s="403"/>
      <c r="GK156" s="403"/>
      <c r="GL156" s="403"/>
      <c r="GM156" s="403"/>
      <c r="GN156" s="403"/>
      <c r="GO156" s="403"/>
      <c r="GP156" s="403"/>
      <c r="GQ156" s="403"/>
      <c r="GR156" s="403"/>
      <c r="GS156" s="403"/>
      <c r="GT156" s="403"/>
      <c r="GU156" s="403"/>
      <c r="GV156" s="403"/>
      <c r="GW156" s="403"/>
      <c r="GX156" s="403"/>
      <c r="GY156" s="403"/>
      <c r="GZ156" s="403"/>
      <c r="HA156" s="403"/>
      <c r="HB156" s="403"/>
      <c r="HC156" s="403"/>
      <c r="HD156" s="403"/>
      <c r="HE156" s="403"/>
      <c r="HF156" s="403"/>
      <c r="HG156" s="403"/>
      <c r="HH156" s="403"/>
      <c r="HI156" s="403"/>
      <c r="HJ156" s="403"/>
      <c r="HK156" s="403"/>
      <c r="HL156" s="403"/>
      <c r="HM156" s="403"/>
      <c r="HN156" s="403"/>
      <c r="HO156" s="403"/>
      <c r="HP156" s="403"/>
      <c r="HQ156" s="403"/>
      <c r="HR156" s="403"/>
      <c r="HS156" s="403"/>
      <c r="HT156" s="403"/>
      <c r="HU156" s="403"/>
      <c r="HV156" s="403"/>
      <c r="HW156" s="403"/>
      <c r="HX156" s="403"/>
      <c r="HY156" s="403"/>
      <c r="HZ156" s="403"/>
      <c r="IA156" s="403"/>
      <c r="IB156" s="403"/>
      <c r="IC156" s="403"/>
      <c r="ID156" s="403"/>
      <c r="IE156" s="403"/>
      <c r="IF156" s="403"/>
      <c r="IG156" s="403"/>
      <c r="IH156" s="403"/>
      <c r="II156" s="403"/>
      <c r="IJ156" s="403"/>
      <c r="IK156" s="403"/>
      <c r="IL156" s="403"/>
      <c r="IM156" s="403"/>
      <c r="IN156" s="403"/>
      <c r="IO156" s="403"/>
      <c r="IP156" s="403"/>
      <c r="IQ156" s="403"/>
      <c r="IR156" s="403"/>
      <c r="IS156" s="403"/>
      <c r="IT156" s="403"/>
      <c r="IU156" s="403"/>
      <c r="IV156" s="403"/>
      <c r="IW156" s="403"/>
      <c r="IX156" s="403"/>
      <c r="IY156" s="403"/>
      <c r="IZ156" s="403"/>
      <c r="JA156" s="403"/>
      <c r="JB156" s="403"/>
      <c r="JC156" s="403"/>
      <c r="JD156" s="403"/>
      <c r="JE156" s="403"/>
      <c r="JF156" s="403"/>
      <c r="JG156" s="403"/>
      <c r="JH156" s="403"/>
      <c r="JI156" s="403"/>
      <c r="JJ156" s="403"/>
      <c r="JK156" s="403"/>
      <c r="JL156" s="403"/>
      <c r="JM156" s="403"/>
      <c r="JN156" s="403"/>
      <c r="JO156" s="403"/>
      <c r="JP156" s="403"/>
      <c r="JQ156" s="403"/>
      <c r="JR156" s="403"/>
      <c r="JS156" s="403"/>
      <c r="JT156" s="403"/>
    </row>
    <row r="157" spans="1:280" s="15" customFormat="1" ht="12.75" x14ac:dyDescent="0.2">
      <c r="A157" s="9"/>
      <c r="B157" s="624"/>
      <c r="C157" s="335" t="str">
        <f t="shared" ref="C157:C163" ca="1" si="369">IF(OFFSET(AU157,0,Lang_Order*Lang__B5)="","",OFFSET(AU157,0,Lang_Order*Lang__B5))</f>
        <v>Vaccinator Time Per Site Per Dose (hours)</v>
      </c>
      <c r="E157" s="26"/>
      <c r="F157" s="26"/>
      <c r="G157" s="26"/>
      <c r="H157" s="26"/>
      <c r="I157" s="26"/>
      <c r="J157" s="26" t="e">
        <f>IF(J147=0,0,(J138*$G138)/(60*J147))</f>
        <v>#N/A</v>
      </c>
      <c r="K157" s="26" t="e">
        <f t="shared" ref="K157:O157" si="370">IF(K147=0,0,(K138*$G138)/(60*K147))</f>
        <v>#N/A</v>
      </c>
      <c r="L157" s="26" t="e">
        <f t="shared" si="370"/>
        <v>#N/A</v>
      </c>
      <c r="M157" s="26" t="e">
        <f t="shared" si="370"/>
        <v>#N/A</v>
      </c>
      <c r="N157" s="26" t="e">
        <f t="shared" si="370"/>
        <v>#N/A</v>
      </c>
      <c r="O157" s="26" t="e">
        <f t="shared" si="370"/>
        <v>#N/A</v>
      </c>
      <c r="P157" s="16" t="e">
        <f t="shared" ref="P157:P163" si="371">SUM(J157:O157)</f>
        <v>#N/A</v>
      </c>
      <c r="Q157" s="16"/>
      <c r="R157" s="12" t="str">
        <f t="shared" ca="1" si="328"/>
        <v>Average (mean) sized sites</v>
      </c>
      <c r="S157" s="2"/>
      <c r="T157" s="241"/>
      <c r="U157" s="624"/>
      <c r="V157" s="612" t="str">
        <f t="shared" ref="V157:V163" ca="1" si="372">IF(OFFSET(AU157,0,Lang_Order*Lang__B5)="","",OFFSET(AU157,0,Lang_Order*Lang__B5))</f>
        <v>Vaccinator Time Per Site Per Dose (hours)</v>
      </c>
      <c r="W157" s="26" t="e">
        <f>IF(W147=0,0,(W138*$T138)/(60*W147))</f>
        <v>#N/A</v>
      </c>
      <c r="X157" s="26" t="e">
        <f t="shared" ref="X157:AB157" si="373">IF(X147=0,0,(X138*$T138)/(60*X147))</f>
        <v>#N/A</v>
      </c>
      <c r="Y157" s="26" t="e">
        <f t="shared" si="373"/>
        <v>#N/A</v>
      </c>
      <c r="Z157" s="26" t="e">
        <f t="shared" si="373"/>
        <v>#N/A</v>
      </c>
      <c r="AA157" s="26" t="e">
        <f t="shared" si="373"/>
        <v>#N/A</v>
      </c>
      <c r="AB157" s="26" t="e">
        <f t="shared" si="373"/>
        <v>#N/A</v>
      </c>
      <c r="AC157" s="16" t="e">
        <f t="shared" ref="AC157:AC163" si="374">SUM(W157:AB157)</f>
        <v>#N/A</v>
      </c>
      <c r="AD157" s="16"/>
      <c r="AE157" s="2"/>
      <c r="AF157" s="241"/>
      <c r="AG157" s="624"/>
      <c r="AH157" s="612" t="str">
        <f t="shared" ref="AH157:AH163" ca="1" si="375">IF(OFFSET(AU157,0,Lang_Order*Lang__B5)="","",OFFSET(AU157,0,Lang_Order*Lang__B5))</f>
        <v>Vaccinator Time Per Site Per Dose (hours)</v>
      </c>
      <c r="AI157" s="26" t="e">
        <f>IF(AI147=0,0,(AI138*$AF138)/(60*AI147))</f>
        <v>#N/A</v>
      </c>
      <c r="AJ157" s="26" t="e">
        <f t="shared" ref="AJ157:AN157" si="376">IF(AJ147=0,0,(AJ138*$AF138)/(60*AJ147))</f>
        <v>#N/A</v>
      </c>
      <c r="AK157" s="26" t="e">
        <f t="shared" si="376"/>
        <v>#N/A</v>
      </c>
      <c r="AL157" s="26" t="e">
        <f t="shared" si="376"/>
        <v>#N/A</v>
      </c>
      <c r="AM157" s="26" t="e">
        <f t="shared" si="376"/>
        <v>#N/A</v>
      </c>
      <c r="AN157" s="26" t="e">
        <f t="shared" si="376"/>
        <v>#N/A</v>
      </c>
      <c r="AO157" s="16" t="e">
        <f t="shared" ref="AO157:AO163" si="377">SUM(AI157:AN157)</f>
        <v>#N/A</v>
      </c>
      <c r="AP157" s="16"/>
      <c r="AR157" s="403"/>
      <c r="AS157" s="403"/>
      <c r="AT157" s="403"/>
      <c r="AU157" s="403" t="s">
        <v>1678</v>
      </c>
      <c r="AV157" s="403"/>
      <c r="AW157" s="403"/>
      <c r="AX157" s="403"/>
      <c r="AY157" s="403"/>
      <c r="AZ157" s="403"/>
      <c r="BA157" s="403"/>
      <c r="BB157" s="403"/>
      <c r="BC157" s="403"/>
      <c r="BD157" s="403"/>
      <c r="BE157" s="403"/>
      <c r="BF157" s="403"/>
      <c r="BG157" s="403"/>
      <c r="BH157" s="403"/>
      <c r="BI157" s="403"/>
      <c r="BJ157" s="403" t="s">
        <v>1679</v>
      </c>
      <c r="BK157" s="403"/>
      <c r="BL157" s="403"/>
      <c r="BM157" s="403"/>
      <c r="BN157" s="403"/>
      <c r="BO157" s="403"/>
      <c r="BP157" s="403"/>
      <c r="BQ157" s="403"/>
      <c r="BR157" s="403"/>
      <c r="BS157" s="403"/>
      <c r="BT157" s="403"/>
      <c r="BU157" s="403"/>
      <c r="BV157" s="403"/>
      <c r="BW157" s="403"/>
      <c r="BX157" s="403"/>
      <c r="BY157" s="403"/>
      <c r="BZ157" s="403"/>
      <c r="CA157" s="403"/>
      <c r="CB157" s="403"/>
      <c r="CC157" s="403" t="s">
        <v>11939</v>
      </c>
      <c r="CD157" s="403"/>
      <c r="CE157" s="403"/>
      <c r="CF157" s="403"/>
      <c r="CG157" s="403"/>
      <c r="CH157" s="403"/>
      <c r="CI157" s="403"/>
      <c r="CJ157" s="403"/>
      <c r="CK157" s="403"/>
      <c r="CL157" s="403"/>
      <c r="CM157" s="403"/>
      <c r="CN157" s="403"/>
      <c r="CO157" s="403"/>
      <c r="CP157" s="403"/>
      <c r="CQ157" s="403"/>
      <c r="CR157" s="403" t="s">
        <v>12125</v>
      </c>
      <c r="CS157" s="403"/>
      <c r="CT157" s="403"/>
      <c r="CU157" s="403"/>
      <c r="CV157" s="403"/>
      <c r="CW157" s="403"/>
      <c r="CX157" s="403"/>
      <c r="CY157" s="403"/>
      <c r="CZ157" s="403"/>
      <c r="DA157" s="403"/>
      <c r="DB157" s="403"/>
      <c r="DC157" s="403"/>
      <c r="DD157" s="403"/>
      <c r="DE157" s="403"/>
      <c r="DF157" s="403"/>
      <c r="DG157" s="403"/>
      <c r="DH157" s="403"/>
      <c r="DI157" s="403"/>
      <c r="DJ157" s="403"/>
      <c r="DK157" s="403" t="s">
        <v>11941</v>
      </c>
      <c r="DL157" s="403"/>
      <c r="DM157" s="403"/>
      <c r="DN157" s="403"/>
      <c r="DO157" s="403"/>
      <c r="DP157" s="403"/>
      <c r="DQ157" s="403"/>
      <c r="DR157" s="403"/>
      <c r="DS157" s="403"/>
      <c r="DT157" s="403"/>
      <c r="DU157" s="403"/>
      <c r="DV157" s="403"/>
      <c r="DW157" s="403"/>
      <c r="DX157" s="403"/>
      <c r="DY157" s="403"/>
      <c r="DZ157" s="403" t="s">
        <v>11942</v>
      </c>
      <c r="EA157" s="403"/>
      <c r="EB157" s="403"/>
      <c r="EC157" s="403"/>
      <c r="ED157" s="403"/>
      <c r="EE157" s="403"/>
      <c r="EF157" s="403"/>
      <c r="EG157" s="403"/>
      <c r="EH157" s="403"/>
      <c r="EI157" s="403"/>
      <c r="EJ157" s="403"/>
      <c r="EK157" s="403"/>
      <c r="EL157" s="403"/>
      <c r="EM157" s="403"/>
      <c r="EN157" s="403"/>
      <c r="EO157" s="403"/>
      <c r="EP157" s="403"/>
      <c r="EQ157" s="403"/>
      <c r="ER157" s="403"/>
      <c r="ES157" s="403" t="s">
        <v>11943</v>
      </c>
      <c r="ET157" s="403"/>
      <c r="EU157" s="403"/>
      <c r="EV157" s="403"/>
      <c r="EW157" s="403"/>
      <c r="EX157" s="403"/>
      <c r="EY157" s="403"/>
      <c r="EZ157" s="403"/>
      <c r="FA157" s="403"/>
      <c r="FB157" s="403"/>
      <c r="FC157" s="403"/>
      <c r="FD157" s="403"/>
      <c r="FE157" s="403"/>
      <c r="FF157" s="403"/>
      <c r="FG157" s="403"/>
      <c r="FH157" s="403" t="s">
        <v>11944</v>
      </c>
      <c r="FI157" s="403"/>
      <c r="FJ157" s="403"/>
      <c r="FK157" s="403"/>
      <c r="FL157" s="403"/>
      <c r="FM157" s="403"/>
      <c r="FN157" s="403"/>
      <c r="FO157" s="403"/>
      <c r="FP157" s="403"/>
      <c r="FQ157" s="403"/>
      <c r="FR157" s="403"/>
      <c r="FS157" s="403"/>
      <c r="FT157" s="403"/>
      <c r="FU157" s="403"/>
      <c r="FV157" s="403"/>
      <c r="FW157" s="403"/>
      <c r="FX157" s="403"/>
      <c r="FY157" s="403"/>
      <c r="FZ157" s="403"/>
      <c r="GA157" s="403" t="s">
        <v>11945</v>
      </c>
      <c r="GB157" s="403"/>
      <c r="GC157" s="403"/>
      <c r="GD157" s="403"/>
      <c r="GE157" s="403"/>
      <c r="GF157" s="403"/>
      <c r="GG157" s="403"/>
      <c r="GH157" s="403"/>
      <c r="GI157" s="403"/>
      <c r="GJ157" s="403"/>
      <c r="GK157" s="403"/>
      <c r="GL157" s="403"/>
      <c r="GM157" s="403"/>
      <c r="GN157" s="403"/>
      <c r="GO157" s="403"/>
      <c r="GP157" s="403" t="s">
        <v>11946</v>
      </c>
      <c r="GQ157" s="403"/>
      <c r="GR157" s="403"/>
      <c r="GS157" s="403"/>
      <c r="GT157" s="403"/>
      <c r="GU157" s="403"/>
      <c r="GV157" s="403"/>
      <c r="GW157" s="403"/>
      <c r="GX157" s="403"/>
      <c r="GY157" s="403"/>
      <c r="GZ157" s="403"/>
      <c r="HA157" s="403"/>
      <c r="HB157" s="403"/>
      <c r="HC157" s="403"/>
      <c r="HD157" s="403"/>
      <c r="HE157" s="403"/>
      <c r="HF157" s="403"/>
      <c r="HG157" s="403"/>
      <c r="HH157" s="403"/>
      <c r="HI157" s="403" t="s">
        <v>11947</v>
      </c>
      <c r="HJ157" s="403"/>
      <c r="HK157" s="403"/>
      <c r="HL157" s="403"/>
      <c r="HM157" s="403"/>
      <c r="HN157" s="403"/>
      <c r="HO157" s="403"/>
      <c r="HP157" s="403"/>
      <c r="HQ157" s="403"/>
      <c r="HR157" s="403"/>
      <c r="HS157" s="403"/>
      <c r="HT157" s="403"/>
      <c r="HU157" s="403"/>
      <c r="HV157" s="403"/>
      <c r="HW157" s="403"/>
      <c r="HX157" s="403" t="s">
        <v>11948</v>
      </c>
      <c r="HY157" s="403"/>
      <c r="HZ157" s="403"/>
      <c r="IA157" s="403"/>
      <c r="IB157" s="403"/>
      <c r="IC157" s="403"/>
      <c r="ID157" s="403"/>
      <c r="IE157" s="403"/>
      <c r="IF157" s="403"/>
      <c r="IG157" s="403"/>
      <c r="IH157" s="403"/>
      <c r="II157" s="403"/>
      <c r="IJ157" s="403"/>
      <c r="IK157" s="403"/>
      <c r="IL157" s="403"/>
      <c r="IM157" s="403"/>
      <c r="IN157" s="403"/>
      <c r="IO157" s="403"/>
      <c r="IP157" s="403"/>
      <c r="IQ157" s="403" t="s">
        <v>11949</v>
      </c>
      <c r="IR157" s="403"/>
      <c r="IS157" s="403"/>
      <c r="IT157" s="403"/>
      <c r="IU157" s="403"/>
      <c r="IV157" s="403"/>
      <c r="IW157" s="403"/>
      <c r="IX157" s="403"/>
      <c r="IY157" s="403"/>
      <c r="IZ157" s="403"/>
      <c r="JA157" s="403"/>
      <c r="JB157" s="403"/>
      <c r="JC157" s="403"/>
      <c r="JD157" s="403"/>
      <c r="JE157" s="403"/>
      <c r="JF157" s="403" t="s">
        <v>11950</v>
      </c>
      <c r="JG157" s="403"/>
      <c r="JH157" s="403"/>
      <c r="JI157" s="403"/>
      <c r="JJ157" s="403"/>
      <c r="JK157" s="403"/>
      <c r="JL157" s="403"/>
      <c r="JM157" s="403"/>
      <c r="JN157" s="403"/>
      <c r="JO157" s="403"/>
      <c r="JP157" s="403"/>
      <c r="JQ157" s="403"/>
      <c r="JR157" s="403"/>
      <c r="JS157" s="403"/>
      <c r="JT157" s="403"/>
    </row>
    <row r="158" spans="1:280" s="15" customFormat="1" ht="12.75" x14ac:dyDescent="0.2">
      <c r="A158" s="9"/>
      <c r="B158" s="624"/>
      <c r="C158" s="66" t="str">
        <f t="shared" ca="1" si="369"/>
        <v>Total Days Per Site Per Dose</v>
      </c>
      <c r="D158" s="85"/>
      <c r="E158" s="62"/>
      <c r="F158" s="62"/>
      <c r="G158" s="62"/>
      <c r="H158" s="62"/>
      <c r="I158" s="62"/>
      <c r="J158" s="62" t="e">
        <f t="shared" ref="J158:O158" si="378">IF(J151=0,0,ROUNDUP((J157/(HRH_HoursPerDay*J151)),0))</f>
        <v>#N/A</v>
      </c>
      <c r="K158" s="62" t="e">
        <f t="shared" si="378"/>
        <v>#N/A</v>
      </c>
      <c r="L158" s="62" t="e">
        <f t="shared" si="378"/>
        <v>#N/A</v>
      </c>
      <c r="M158" s="62" t="e">
        <f t="shared" si="378"/>
        <v>#N/A</v>
      </c>
      <c r="N158" s="62" t="e">
        <f t="shared" si="378"/>
        <v>#N/A</v>
      </c>
      <c r="O158" s="62" t="e">
        <f t="shared" si="378"/>
        <v>#N/A</v>
      </c>
      <c r="P158" s="16" t="e">
        <f t="shared" si="371"/>
        <v>#N/A</v>
      </c>
      <c r="Q158" s="16"/>
      <c r="R158" s="12" t="str">
        <f t="shared" ca="1" si="328"/>
        <v>This should be 1</v>
      </c>
      <c r="S158" s="2"/>
      <c r="T158" s="241"/>
      <c r="U158" s="624"/>
      <c r="V158" s="260" t="str">
        <f t="shared" ca="1" si="372"/>
        <v>Total Days Per Site Per Dose</v>
      </c>
      <c r="W158" s="62" t="e">
        <f t="shared" ref="W158" si="379">IF(W151=0,0,ROUNDUP((W157/(HRH_HoursPerDay*W151)),0))</f>
        <v>#N/A</v>
      </c>
      <c r="X158" s="62" t="e">
        <f t="shared" ref="X158:AB158" si="380">IF(X151=0,0,ROUNDUP((X157/(HRH_HoursPerDay*X151)),0))</f>
        <v>#N/A</v>
      </c>
      <c r="Y158" s="62" t="e">
        <f t="shared" si="380"/>
        <v>#N/A</v>
      </c>
      <c r="Z158" s="62" t="e">
        <f t="shared" si="380"/>
        <v>#N/A</v>
      </c>
      <c r="AA158" s="62" t="e">
        <f t="shared" si="380"/>
        <v>#N/A</v>
      </c>
      <c r="AB158" s="62" t="e">
        <f t="shared" si="380"/>
        <v>#N/A</v>
      </c>
      <c r="AC158" s="16" t="e">
        <f t="shared" si="374"/>
        <v>#N/A</v>
      </c>
      <c r="AD158" s="16"/>
      <c r="AE158" s="2"/>
      <c r="AF158" s="241"/>
      <c r="AG158" s="624"/>
      <c r="AH158" s="260" t="str">
        <f t="shared" ca="1" si="375"/>
        <v>Total Days Per Site Per Dose</v>
      </c>
      <c r="AI158" s="62" t="e">
        <f t="shared" ref="AI158" si="381">IF(AI151=0,0,ROUNDUP((AI157/(HRH_HoursPerDay*AI151)),0))</f>
        <v>#N/A</v>
      </c>
      <c r="AJ158" s="62" t="e">
        <f t="shared" ref="AJ158:AN158" si="382">IF(AJ151=0,0,ROUNDUP((AJ157/(HRH_HoursPerDay*AJ151)),0))</f>
        <v>#N/A</v>
      </c>
      <c r="AK158" s="62" t="e">
        <f t="shared" si="382"/>
        <v>#N/A</v>
      </c>
      <c r="AL158" s="62" t="e">
        <f t="shared" si="382"/>
        <v>#N/A</v>
      </c>
      <c r="AM158" s="62" t="e">
        <f t="shared" si="382"/>
        <v>#N/A</v>
      </c>
      <c r="AN158" s="62" t="e">
        <f t="shared" si="382"/>
        <v>#N/A</v>
      </c>
      <c r="AO158" s="16" t="e">
        <f t="shared" si="377"/>
        <v>#N/A</v>
      </c>
      <c r="AP158" s="16"/>
      <c r="AR158" s="403"/>
      <c r="AS158" s="403"/>
      <c r="AT158" s="403"/>
      <c r="AU158" s="403" t="s">
        <v>1681</v>
      </c>
      <c r="AV158" s="403"/>
      <c r="AW158" s="403"/>
      <c r="AX158" s="403"/>
      <c r="AY158" s="403"/>
      <c r="AZ158" s="403"/>
      <c r="BA158" s="403"/>
      <c r="BB158" s="403"/>
      <c r="BC158" s="403"/>
      <c r="BD158" s="403"/>
      <c r="BE158" s="403"/>
      <c r="BF158" s="403"/>
      <c r="BG158" s="403"/>
      <c r="BH158" s="403"/>
      <c r="BI158" s="403"/>
      <c r="BJ158" s="403" t="s">
        <v>2699</v>
      </c>
      <c r="BK158" s="403"/>
      <c r="BL158" s="403"/>
      <c r="BM158" s="403"/>
      <c r="BN158" s="403"/>
      <c r="BO158" s="403"/>
      <c r="BP158" s="403"/>
      <c r="BQ158" s="403"/>
      <c r="BR158" s="403"/>
      <c r="BS158" s="403"/>
      <c r="BT158" s="403"/>
      <c r="BU158" s="403"/>
      <c r="BV158" s="403"/>
      <c r="BW158" s="403"/>
      <c r="BX158" s="403"/>
      <c r="BY158" s="403"/>
      <c r="BZ158" s="403"/>
      <c r="CA158" s="403"/>
      <c r="CB158" s="403"/>
      <c r="CC158" s="403" t="s">
        <v>11951</v>
      </c>
      <c r="CD158" s="403"/>
      <c r="CE158" s="403"/>
      <c r="CF158" s="403"/>
      <c r="CG158" s="403"/>
      <c r="CH158" s="403"/>
      <c r="CI158" s="403"/>
      <c r="CJ158" s="403"/>
      <c r="CK158" s="403"/>
      <c r="CL158" s="403"/>
      <c r="CM158" s="403"/>
      <c r="CN158" s="403"/>
      <c r="CO158" s="403"/>
      <c r="CP158" s="403"/>
      <c r="CQ158" s="403"/>
      <c r="CR158" s="403" t="s">
        <v>12126</v>
      </c>
      <c r="CS158" s="403"/>
      <c r="CT158" s="403"/>
      <c r="CU158" s="403"/>
      <c r="CV158" s="403"/>
      <c r="CW158" s="403"/>
      <c r="CX158" s="403"/>
      <c r="CY158" s="403"/>
      <c r="CZ158" s="403"/>
      <c r="DA158" s="403"/>
      <c r="DB158" s="403"/>
      <c r="DC158" s="403"/>
      <c r="DD158" s="403"/>
      <c r="DE158" s="403"/>
      <c r="DF158" s="403"/>
      <c r="DG158" s="403"/>
      <c r="DH158" s="403"/>
      <c r="DI158" s="403"/>
      <c r="DJ158" s="403"/>
      <c r="DK158" s="403" t="s">
        <v>12127</v>
      </c>
      <c r="DL158" s="403"/>
      <c r="DM158" s="403"/>
      <c r="DN158" s="403"/>
      <c r="DO158" s="403"/>
      <c r="DP158" s="403"/>
      <c r="DQ158" s="403"/>
      <c r="DR158" s="403"/>
      <c r="DS158" s="403"/>
      <c r="DT158" s="403"/>
      <c r="DU158" s="403"/>
      <c r="DV158" s="403"/>
      <c r="DW158" s="403"/>
      <c r="DX158" s="403"/>
      <c r="DY158" s="403"/>
      <c r="DZ158" s="403" t="s">
        <v>12128</v>
      </c>
      <c r="EA158" s="403"/>
      <c r="EB158" s="403"/>
      <c r="EC158" s="403"/>
      <c r="ED158" s="403"/>
      <c r="EE158" s="403"/>
      <c r="EF158" s="403"/>
      <c r="EG158" s="403"/>
      <c r="EH158" s="403"/>
      <c r="EI158" s="403"/>
      <c r="EJ158" s="403"/>
      <c r="EK158" s="403"/>
      <c r="EL158" s="403"/>
      <c r="EM158" s="403"/>
      <c r="EN158" s="403"/>
      <c r="EO158" s="403"/>
      <c r="EP158" s="403"/>
      <c r="EQ158" s="403"/>
      <c r="ER158" s="403"/>
      <c r="ES158" s="403" t="s">
        <v>11955</v>
      </c>
      <c r="ET158" s="403"/>
      <c r="EU158" s="403"/>
      <c r="EV158" s="403"/>
      <c r="EW158" s="403"/>
      <c r="EX158" s="403"/>
      <c r="EY158" s="403"/>
      <c r="EZ158" s="403"/>
      <c r="FA158" s="403"/>
      <c r="FB158" s="403"/>
      <c r="FC158" s="403"/>
      <c r="FD158" s="403"/>
      <c r="FE158" s="403"/>
      <c r="FF158" s="403"/>
      <c r="FG158" s="403"/>
      <c r="FH158" s="403" t="s">
        <v>12129</v>
      </c>
      <c r="FI158" s="403"/>
      <c r="FJ158" s="403"/>
      <c r="FK158" s="403"/>
      <c r="FL158" s="403"/>
      <c r="FM158" s="403"/>
      <c r="FN158" s="403"/>
      <c r="FO158" s="403"/>
      <c r="FP158" s="403"/>
      <c r="FQ158" s="403"/>
      <c r="FR158" s="403"/>
      <c r="FS158" s="403"/>
      <c r="FT158" s="403"/>
      <c r="FU158" s="403"/>
      <c r="FV158" s="403"/>
      <c r="FW158" s="403"/>
      <c r="FX158" s="403"/>
      <c r="FY158" s="403"/>
      <c r="FZ158" s="403"/>
      <c r="GA158" s="403" t="s">
        <v>11957</v>
      </c>
      <c r="GB158" s="403"/>
      <c r="GC158" s="403"/>
      <c r="GD158" s="403"/>
      <c r="GE158" s="403"/>
      <c r="GF158" s="403"/>
      <c r="GG158" s="403"/>
      <c r="GH158" s="403"/>
      <c r="GI158" s="403"/>
      <c r="GJ158" s="403"/>
      <c r="GK158" s="403"/>
      <c r="GL158" s="403"/>
      <c r="GM158" s="403"/>
      <c r="GN158" s="403"/>
      <c r="GO158" s="403"/>
      <c r="GP158" s="403" t="s">
        <v>12130</v>
      </c>
      <c r="GQ158" s="403"/>
      <c r="GR158" s="403"/>
      <c r="GS158" s="403"/>
      <c r="GT158" s="403"/>
      <c r="GU158" s="403"/>
      <c r="GV158" s="403"/>
      <c r="GW158" s="403"/>
      <c r="GX158" s="403"/>
      <c r="GY158" s="403"/>
      <c r="GZ158" s="403"/>
      <c r="HA158" s="403"/>
      <c r="HB158" s="403"/>
      <c r="HC158" s="403"/>
      <c r="HD158" s="403"/>
      <c r="HE158" s="403"/>
      <c r="HF158" s="403"/>
      <c r="HG158" s="403"/>
      <c r="HH158" s="403"/>
      <c r="HI158" s="403" t="s">
        <v>11959</v>
      </c>
      <c r="HJ158" s="403"/>
      <c r="HK158" s="403"/>
      <c r="HL158" s="403"/>
      <c r="HM158" s="403"/>
      <c r="HN158" s="403"/>
      <c r="HO158" s="403"/>
      <c r="HP158" s="403"/>
      <c r="HQ158" s="403"/>
      <c r="HR158" s="403"/>
      <c r="HS158" s="403"/>
      <c r="HT158" s="403"/>
      <c r="HU158" s="403"/>
      <c r="HV158" s="403"/>
      <c r="HW158" s="403"/>
      <c r="HX158" s="403" t="s">
        <v>12131</v>
      </c>
      <c r="HY158" s="403"/>
      <c r="HZ158" s="403"/>
      <c r="IA158" s="403"/>
      <c r="IB158" s="403"/>
      <c r="IC158" s="403"/>
      <c r="ID158" s="403"/>
      <c r="IE158" s="403"/>
      <c r="IF158" s="403"/>
      <c r="IG158" s="403"/>
      <c r="IH158" s="403"/>
      <c r="II158" s="403"/>
      <c r="IJ158" s="403"/>
      <c r="IK158" s="403"/>
      <c r="IL158" s="403"/>
      <c r="IM158" s="403"/>
      <c r="IN158" s="403"/>
      <c r="IO158" s="403"/>
      <c r="IP158" s="403"/>
      <c r="IQ158" s="403" t="s">
        <v>11961</v>
      </c>
      <c r="IR158" s="403"/>
      <c r="IS158" s="403"/>
      <c r="IT158" s="403"/>
      <c r="IU158" s="403"/>
      <c r="IV158" s="403"/>
      <c r="IW158" s="403"/>
      <c r="IX158" s="403"/>
      <c r="IY158" s="403"/>
      <c r="IZ158" s="403"/>
      <c r="JA158" s="403"/>
      <c r="JB158" s="403"/>
      <c r="JC158" s="403"/>
      <c r="JD158" s="403"/>
      <c r="JE158" s="403"/>
      <c r="JF158" s="403" t="s">
        <v>12132</v>
      </c>
      <c r="JG158" s="403"/>
      <c r="JH158" s="403"/>
      <c r="JI158" s="403"/>
      <c r="JJ158" s="403"/>
      <c r="JK158" s="403"/>
      <c r="JL158" s="403"/>
      <c r="JM158" s="403"/>
      <c r="JN158" s="403"/>
      <c r="JO158" s="403"/>
      <c r="JP158" s="403"/>
      <c r="JQ158" s="403"/>
      <c r="JR158" s="403"/>
      <c r="JS158" s="403"/>
      <c r="JT158" s="403"/>
    </row>
    <row r="159" spans="1:280" s="15" customFormat="1" ht="12.75" x14ac:dyDescent="0.2">
      <c r="A159" s="9"/>
      <c r="B159" s="624"/>
      <c r="C159" s="66" t="str">
        <f t="shared" ca="1" si="369"/>
        <v>Total Days Per Site Per Course</v>
      </c>
      <c r="D159" s="85"/>
      <c r="E159" s="62"/>
      <c r="F159" s="62"/>
      <c r="G159" s="62"/>
      <c r="H159" s="62"/>
      <c r="I159" s="62"/>
      <c r="J159" s="62" t="e">
        <f t="shared" ref="J159:O159" si="383">J158*$E138</f>
        <v>#N/A</v>
      </c>
      <c r="K159" s="62" t="e">
        <f t="shared" si="383"/>
        <v>#N/A</v>
      </c>
      <c r="L159" s="62" t="e">
        <f t="shared" si="383"/>
        <v>#N/A</v>
      </c>
      <c r="M159" s="62" t="e">
        <f t="shared" si="383"/>
        <v>#N/A</v>
      </c>
      <c r="N159" s="62" t="e">
        <f t="shared" si="383"/>
        <v>#N/A</v>
      </c>
      <c r="O159" s="62" t="e">
        <f t="shared" si="383"/>
        <v>#N/A</v>
      </c>
      <c r="P159" s="16" t="e">
        <f t="shared" si="371"/>
        <v>#N/A</v>
      </c>
      <c r="Q159" s="16"/>
      <c r="R159" s="12" t="str">
        <f t="shared" ca="1" si="328"/>
        <v>In case more than one dose needed</v>
      </c>
      <c r="S159" s="2"/>
      <c r="T159" s="241"/>
      <c r="U159" s="624"/>
      <c r="V159" s="260" t="str">
        <f t="shared" ca="1" si="372"/>
        <v>Total Days Per Site Per Course</v>
      </c>
      <c r="W159" s="62" t="e">
        <f t="shared" ref="W159" si="384">W158*$E138</f>
        <v>#N/A</v>
      </c>
      <c r="X159" s="62" t="e">
        <f t="shared" ref="X159:AB159" si="385">X158*$E138</f>
        <v>#N/A</v>
      </c>
      <c r="Y159" s="62" t="e">
        <f t="shared" si="385"/>
        <v>#N/A</v>
      </c>
      <c r="Z159" s="62" t="e">
        <f t="shared" si="385"/>
        <v>#N/A</v>
      </c>
      <c r="AA159" s="62" t="e">
        <f t="shared" si="385"/>
        <v>#N/A</v>
      </c>
      <c r="AB159" s="62" t="e">
        <f t="shared" si="385"/>
        <v>#N/A</v>
      </c>
      <c r="AC159" s="16" t="e">
        <f t="shared" si="374"/>
        <v>#N/A</v>
      </c>
      <c r="AD159" s="16"/>
      <c r="AE159" s="2"/>
      <c r="AF159" s="241"/>
      <c r="AG159" s="624"/>
      <c r="AH159" s="260" t="str">
        <f t="shared" ca="1" si="375"/>
        <v>Total Days Per Site Per Course</v>
      </c>
      <c r="AI159" s="62" t="e">
        <f t="shared" ref="AI159" si="386">AI158*$E138</f>
        <v>#N/A</v>
      </c>
      <c r="AJ159" s="62" t="e">
        <f t="shared" ref="AJ159:AN159" si="387">AJ158*$E138</f>
        <v>#N/A</v>
      </c>
      <c r="AK159" s="62" t="e">
        <f t="shared" si="387"/>
        <v>#N/A</v>
      </c>
      <c r="AL159" s="62" t="e">
        <f t="shared" si="387"/>
        <v>#N/A</v>
      </c>
      <c r="AM159" s="62" t="e">
        <f t="shared" si="387"/>
        <v>#N/A</v>
      </c>
      <c r="AN159" s="62" t="e">
        <f t="shared" si="387"/>
        <v>#N/A</v>
      </c>
      <c r="AO159" s="16" t="e">
        <f t="shared" si="377"/>
        <v>#N/A</v>
      </c>
      <c r="AP159" s="16"/>
      <c r="AR159" s="403"/>
      <c r="AS159" s="403"/>
      <c r="AT159" s="403"/>
      <c r="AU159" s="403" t="s">
        <v>1680</v>
      </c>
      <c r="AV159" s="403"/>
      <c r="AW159" s="403"/>
      <c r="AX159" s="403"/>
      <c r="AY159" s="403"/>
      <c r="AZ159" s="403"/>
      <c r="BA159" s="403"/>
      <c r="BB159" s="403"/>
      <c r="BC159" s="403"/>
      <c r="BD159" s="403"/>
      <c r="BE159" s="403"/>
      <c r="BF159" s="403"/>
      <c r="BG159" s="403"/>
      <c r="BH159" s="403"/>
      <c r="BI159" s="403"/>
      <c r="BJ159" s="403" t="s">
        <v>1685</v>
      </c>
      <c r="BK159" s="403"/>
      <c r="BL159" s="403"/>
      <c r="BM159" s="403"/>
      <c r="BN159" s="403"/>
      <c r="BO159" s="403"/>
      <c r="BP159" s="403"/>
      <c r="BQ159" s="403"/>
      <c r="BR159" s="403"/>
      <c r="BS159" s="403"/>
      <c r="BT159" s="403"/>
      <c r="BU159" s="403"/>
      <c r="BV159" s="403"/>
      <c r="BW159" s="403"/>
      <c r="BX159" s="403"/>
      <c r="BY159" s="403"/>
      <c r="BZ159" s="403"/>
      <c r="CA159" s="403"/>
      <c r="CB159" s="403"/>
      <c r="CC159" s="403" t="s">
        <v>11963</v>
      </c>
      <c r="CD159" s="403"/>
      <c r="CE159" s="403"/>
      <c r="CF159" s="403"/>
      <c r="CG159" s="403"/>
      <c r="CH159" s="403"/>
      <c r="CI159" s="403"/>
      <c r="CJ159" s="403"/>
      <c r="CK159" s="403"/>
      <c r="CL159" s="403"/>
      <c r="CM159" s="403"/>
      <c r="CN159" s="403"/>
      <c r="CO159" s="403"/>
      <c r="CP159" s="403"/>
      <c r="CQ159" s="403"/>
      <c r="CR159" s="403" t="s">
        <v>11964</v>
      </c>
      <c r="CS159" s="403"/>
      <c r="CT159" s="403"/>
      <c r="CU159" s="403"/>
      <c r="CV159" s="403"/>
      <c r="CW159" s="403"/>
      <c r="CX159" s="403"/>
      <c r="CY159" s="403"/>
      <c r="CZ159" s="403"/>
      <c r="DA159" s="403"/>
      <c r="DB159" s="403"/>
      <c r="DC159" s="403"/>
      <c r="DD159" s="403"/>
      <c r="DE159" s="403"/>
      <c r="DF159" s="403"/>
      <c r="DG159" s="403"/>
      <c r="DH159" s="403"/>
      <c r="DI159" s="403"/>
      <c r="DJ159" s="403"/>
      <c r="DK159" s="403" t="s">
        <v>12133</v>
      </c>
      <c r="DL159" s="403"/>
      <c r="DM159" s="403"/>
      <c r="DN159" s="403"/>
      <c r="DO159" s="403"/>
      <c r="DP159" s="403"/>
      <c r="DQ159" s="403"/>
      <c r="DR159" s="403"/>
      <c r="DS159" s="403"/>
      <c r="DT159" s="403"/>
      <c r="DU159" s="403"/>
      <c r="DV159" s="403"/>
      <c r="DW159" s="403"/>
      <c r="DX159" s="403"/>
      <c r="DY159" s="403"/>
      <c r="DZ159" s="403" t="s">
        <v>11966</v>
      </c>
      <c r="EA159" s="403"/>
      <c r="EB159" s="403"/>
      <c r="EC159" s="403"/>
      <c r="ED159" s="403"/>
      <c r="EE159" s="403"/>
      <c r="EF159" s="403"/>
      <c r="EG159" s="403"/>
      <c r="EH159" s="403"/>
      <c r="EI159" s="403"/>
      <c r="EJ159" s="403"/>
      <c r="EK159" s="403"/>
      <c r="EL159" s="403"/>
      <c r="EM159" s="403"/>
      <c r="EN159" s="403"/>
      <c r="EO159" s="403"/>
      <c r="EP159" s="403"/>
      <c r="EQ159" s="403"/>
      <c r="ER159" s="403"/>
      <c r="ES159" s="403" t="s">
        <v>11967</v>
      </c>
      <c r="ET159" s="403"/>
      <c r="EU159" s="403"/>
      <c r="EV159" s="403"/>
      <c r="EW159" s="403"/>
      <c r="EX159" s="403"/>
      <c r="EY159" s="403"/>
      <c r="EZ159" s="403"/>
      <c r="FA159" s="403"/>
      <c r="FB159" s="403"/>
      <c r="FC159" s="403"/>
      <c r="FD159" s="403"/>
      <c r="FE159" s="403"/>
      <c r="FF159" s="403"/>
      <c r="FG159" s="403"/>
      <c r="FH159" s="403" t="s">
        <v>11968</v>
      </c>
      <c r="FI159" s="403"/>
      <c r="FJ159" s="403"/>
      <c r="FK159" s="403"/>
      <c r="FL159" s="403"/>
      <c r="FM159" s="403"/>
      <c r="FN159" s="403"/>
      <c r="FO159" s="403"/>
      <c r="FP159" s="403"/>
      <c r="FQ159" s="403"/>
      <c r="FR159" s="403"/>
      <c r="FS159" s="403"/>
      <c r="FT159" s="403"/>
      <c r="FU159" s="403"/>
      <c r="FV159" s="403"/>
      <c r="FW159" s="403"/>
      <c r="FX159" s="403"/>
      <c r="FY159" s="403"/>
      <c r="FZ159" s="403"/>
      <c r="GA159" s="403" t="s">
        <v>11969</v>
      </c>
      <c r="GB159" s="403"/>
      <c r="GC159" s="403"/>
      <c r="GD159" s="403"/>
      <c r="GE159" s="403"/>
      <c r="GF159" s="403"/>
      <c r="GG159" s="403"/>
      <c r="GH159" s="403"/>
      <c r="GI159" s="403"/>
      <c r="GJ159" s="403"/>
      <c r="GK159" s="403"/>
      <c r="GL159" s="403"/>
      <c r="GM159" s="403"/>
      <c r="GN159" s="403"/>
      <c r="GO159" s="403"/>
      <c r="GP159" s="403" t="s">
        <v>11970</v>
      </c>
      <c r="GQ159" s="403"/>
      <c r="GR159" s="403"/>
      <c r="GS159" s="403"/>
      <c r="GT159" s="403"/>
      <c r="GU159" s="403"/>
      <c r="GV159" s="403"/>
      <c r="GW159" s="403"/>
      <c r="GX159" s="403"/>
      <c r="GY159" s="403"/>
      <c r="GZ159" s="403"/>
      <c r="HA159" s="403"/>
      <c r="HB159" s="403"/>
      <c r="HC159" s="403"/>
      <c r="HD159" s="403"/>
      <c r="HE159" s="403"/>
      <c r="HF159" s="403"/>
      <c r="HG159" s="403"/>
      <c r="HH159" s="403"/>
      <c r="HI159" s="403" t="s">
        <v>11971</v>
      </c>
      <c r="HJ159" s="403"/>
      <c r="HK159" s="403"/>
      <c r="HL159" s="403"/>
      <c r="HM159" s="403"/>
      <c r="HN159" s="403"/>
      <c r="HO159" s="403"/>
      <c r="HP159" s="403"/>
      <c r="HQ159" s="403"/>
      <c r="HR159" s="403"/>
      <c r="HS159" s="403"/>
      <c r="HT159" s="403"/>
      <c r="HU159" s="403"/>
      <c r="HV159" s="403"/>
      <c r="HW159" s="403"/>
      <c r="HX159" s="403" t="s">
        <v>11972</v>
      </c>
      <c r="HY159" s="403"/>
      <c r="HZ159" s="403"/>
      <c r="IA159" s="403"/>
      <c r="IB159" s="403"/>
      <c r="IC159" s="403"/>
      <c r="ID159" s="403"/>
      <c r="IE159" s="403"/>
      <c r="IF159" s="403"/>
      <c r="IG159" s="403"/>
      <c r="IH159" s="403"/>
      <c r="II159" s="403"/>
      <c r="IJ159" s="403"/>
      <c r="IK159" s="403"/>
      <c r="IL159" s="403"/>
      <c r="IM159" s="403"/>
      <c r="IN159" s="403"/>
      <c r="IO159" s="403"/>
      <c r="IP159" s="403"/>
      <c r="IQ159" s="403" t="s">
        <v>11973</v>
      </c>
      <c r="IR159" s="403"/>
      <c r="IS159" s="403"/>
      <c r="IT159" s="403"/>
      <c r="IU159" s="403"/>
      <c r="IV159" s="403"/>
      <c r="IW159" s="403"/>
      <c r="IX159" s="403"/>
      <c r="IY159" s="403"/>
      <c r="IZ159" s="403"/>
      <c r="JA159" s="403"/>
      <c r="JB159" s="403"/>
      <c r="JC159" s="403"/>
      <c r="JD159" s="403"/>
      <c r="JE159" s="403"/>
      <c r="JF159" s="403" t="s">
        <v>11974</v>
      </c>
      <c r="JG159" s="403"/>
      <c r="JH159" s="403"/>
      <c r="JI159" s="403"/>
      <c r="JJ159" s="403"/>
      <c r="JK159" s="403"/>
      <c r="JL159" s="403"/>
      <c r="JM159" s="403"/>
      <c r="JN159" s="403"/>
      <c r="JO159" s="403"/>
      <c r="JP159" s="403"/>
      <c r="JQ159" s="403"/>
      <c r="JR159" s="403"/>
      <c r="JS159" s="403"/>
      <c r="JT159" s="403"/>
    </row>
    <row r="160" spans="1:280" s="15" customFormat="1" ht="12.75" x14ac:dyDescent="0.2">
      <c r="A160" s="9"/>
      <c r="B160" s="625"/>
      <c r="C160" s="359" t="str">
        <f t="shared" ca="1" si="369"/>
        <v>How long to vaccinate all sites (given # of teams)? (days)</v>
      </c>
      <c r="D160" s="85"/>
      <c r="E160" s="62"/>
      <c r="F160" s="62"/>
      <c r="G160" s="62"/>
      <c r="H160" s="62"/>
      <c r="I160" s="62"/>
      <c r="J160" s="62" t="e">
        <f>IF(J152=0,0,ROUNDUP((J147/J152)*J159,0))</f>
        <v>#N/A</v>
      </c>
      <c r="K160" s="62" t="e">
        <f t="shared" ref="K160:O160" si="388">IF(K152=0,0,ROUNDUP((K147/K152)*K159,0))</f>
        <v>#N/A</v>
      </c>
      <c r="L160" s="62" t="e">
        <f t="shared" si="388"/>
        <v>#N/A</v>
      </c>
      <c r="M160" s="62" t="e">
        <f t="shared" si="388"/>
        <v>#N/A</v>
      </c>
      <c r="N160" s="62" t="e">
        <f t="shared" si="388"/>
        <v>#N/A</v>
      </c>
      <c r="O160" s="62" t="e">
        <f t="shared" si="388"/>
        <v>#N/A</v>
      </c>
      <c r="P160" s="16" t="e">
        <f t="shared" si="371"/>
        <v>#N/A</v>
      </c>
      <c r="Q160" s="102" t="e">
        <f>MAX(J160:O160)</f>
        <v>#N/A</v>
      </c>
      <c r="R160" s="12" t="str">
        <f t="shared" ca="1" si="328"/>
        <v>MAX should be number of days per period; disregarding weekends and hols</v>
      </c>
      <c r="S160" s="2"/>
      <c r="T160" s="241"/>
      <c r="U160" s="624"/>
      <c r="V160" s="615" t="str">
        <f t="shared" ca="1" si="372"/>
        <v>How long to vaccinate all sites (given # of teams)? (days)</v>
      </c>
      <c r="W160" s="62" t="e">
        <f>IF(W152=0,0,ROUNDUP((W147/W152)*W159,0))</f>
        <v>#N/A</v>
      </c>
      <c r="X160" s="62" t="e">
        <f t="shared" ref="X160:AB160" si="389">IF(X152=0,0,ROUNDUP((X147/X152)*X159,0))</f>
        <v>#N/A</v>
      </c>
      <c r="Y160" s="62" t="e">
        <f t="shared" si="389"/>
        <v>#N/A</v>
      </c>
      <c r="Z160" s="62" t="e">
        <f t="shared" si="389"/>
        <v>#N/A</v>
      </c>
      <c r="AA160" s="62" t="e">
        <f t="shared" si="389"/>
        <v>#N/A</v>
      </c>
      <c r="AB160" s="62" t="e">
        <f t="shared" si="389"/>
        <v>#N/A</v>
      </c>
      <c r="AC160" s="16" t="e">
        <f t="shared" si="374"/>
        <v>#N/A</v>
      </c>
      <c r="AD160" s="102" t="e">
        <f>MAX(W160:AB160)</f>
        <v>#N/A</v>
      </c>
      <c r="AE160" s="2"/>
      <c r="AF160" s="241"/>
      <c r="AG160" s="624"/>
      <c r="AH160" s="615" t="str">
        <f t="shared" ca="1" si="375"/>
        <v>How long to vaccinate all sites (given # of teams)? (days)</v>
      </c>
      <c r="AI160" s="62" t="e">
        <f>IF(AI152=0,0,ROUNDUP((AI147/AI152)*AI159,0))</f>
        <v>#N/A</v>
      </c>
      <c r="AJ160" s="62" t="e">
        <f t="shared" ref="AJ160:AN160" si="390">IF(AJ152=0,0,ROUNDUP((AJ147/AJ152)*AJ159,0))</f>
        <v>#N/A</v>
      </c>
      <c r="AK160" s="62" t="e">
        <f t="shared" si="390"/>
        <v>#N/A</v>
      </c>
      <c r="AL160" s="62" t="e">
        <f t="shared" si="390"/>
        <v>#N/A</v>
      </c>
      <c r="AM160" s="62" t="e">
        <f t="shared" si="390"/>
        <v>#N/A</v>
      </c>
      <c r="AN160" s="62" t="e">
        <f t="shared" si="390"/>
        <v>#N/A</v>
      </c>
      <c r="AO160" s="16" t="e">
        <f t="shared" si="377"/>
        <v>#N/A</v>
      </c>
      <c r="AP160" s="102" t="e">
        <f>MAX(AI160:AN160)</f>
        <v>#N/A</v>
      </c>
      <c r="AR160" s="403"/>
      <c r="AS160" s="403"/>
      <c r="AT160" s="403"/>
      <c r="AU160" s="403" t="s">
        <v>1686</v>
      </c>
      <c r="AV160" s="403"/>
      <c r="AW160" s="403"/>
      <c r="AX160" s="403"/>
      <c r="AY160" s="403"/>
      <c r="AZ160" s="403"/>
      <c r="BA160" s="403"/>
      <c r="BB160" s="403"/>
      <c r="BC160" s="403"/>
      <c r="BD160" s="403"/>
      <c r="BE160" s="403"/>
      <c r="BF160" s="403"/>
      <c r="BG160" s="403"/>
      <c r="BH160" s="403"/>
      <c r="BI160" s="403"/>
      <c r="BJ160" s="403" t="s">
        <v>4201</v>
      </c>
      <c r="BK160" s="403"/>
      <c r="BL160" s="403"/>
      <c r="BM160" s="403"/>
      <c r="BN160" s="403"/>
      <c r="BO160" s="403"/>
      <c r="BP160" s="403"/>
      <c r="BQ160" s="403"/>
      <c r="BR160" s="403"/>
      <c r="BS160" s="403"/>
      <c r="BT160" s="403"/>
      <c r="BU160" s="403"/>
      <c r="BV160" s="403"/>
      <c r="BW160" s="403"/>
      <c r="BX160" s="403"/>
      <c r="BY160" s="403"/>
      <c r="BZ160" s="403"/>
      <c r="CA160" s="403"/>
      <c r="CB160" s="403"/>
      <c r="CC160" s="403" t="s">
        <v>11975</v>
      </c>
      <c r="CD160" s="403"/>
      <c r="CE160" s="403"/>
      <c r="CF160" s="403"/>
      <c r="CG160" s="403"/>
      <c r="CH160" s="403"/>
      <c r="CI160" s="403"/>
      <c r="CJ160" s="403"/>
      <c r="CK160" s="403"/>
      <c r="CL160" s="403"/>
      <c r="CM160" s="403"/>
      <c r="CN160" s="403"/>
      <c r="CO160" s="403"/>
      <c r="CP160" s="403"/>
      <c r="CQ160" s="403"/>
      <c r="CR160" s="403" t="s">
        <v>11976</v>
      </c>
      <c r="CS160" s="403"/>
      <c r="CT160" s="403"/>
      <c r="CU160" s="403"/>
      <c r="CV160" s="403"/>
      <c r="CW160" s="403"/>
      <c r="CX160" s="403"/>
      <c r="CY160" s="403"/>
      <c r="CZ160" s="403"/>
      <c r="DA160" s="403"/>
      <c r="DB160" s="403"/>
      <c r="DC160" s="403"/>
      <c r="DD160" s="403"/>
      <c r="DE160" s="403"/>
      <c r="DF160" s="403"/>
      <c r="DG160" s="403"/>
      <c r="DH160" s="403"/>
      <c r="DI160" s="403"/>
      <c r="DJ160" s="403"/>
      <c r="DK160" s="403" t="s">
        <v>12134</v>
      </c>
      <c r="DL160" s="403"/>
      <c r="DM160" s="403"/>
      <c r="DN160" s="403"/>
      <c r="DO160" s="403"/>
      <c r="DP160" s="403"/>
      <c r="DQ160" s="403"/>
      <c r="DR160" s="403"/>
      <c r="DS160" s="403"/>
      <c r="DT160" s="403"/>
      <c r="DU160" s="403"/>
      <c r="DV160" s="403"/>
      <c r="DW160" s="403"/>
      <c r="DX160" s="403"/>
      <c r="DY160" s="403"/>
      <c r="DZ160" s="403" t="s">
        <v>12135</v>
      </c>
      <c r="EA160" s="403"/>
      <c r="EB160" s="403"/>
      <c r="EC160" s="403"/>
      <c r="ED160" s="403"/>
      <c r="EE160" s="403"/>
      <c r="EF160" s="403"/>
      <c r="EG160" s="403"/>
      <c r="EH160" s="403"/>
      <c r="EI160" s="403"/>
      <c r="EJ160" s="403"/>
      <c r="EK160" s="403"/>
      <c r="EL160" s="403"/>
      <c r="EM160" s="403"/>
      <c r="EN160" s="403"/>
      <c r="EO160" s="403"/>
      <c r="EP160" s="403"/>
      <c r="EQ160" s="403"/>
      <c r="ER160" s="403"/>
      <c r="ES160" s="403" t="s">
        <v>11979</v>
      </c>
      <c r="ET160" s="403"/>
      <c r="EU160" s="403"/>
      <c r="EV160" s="403"/>
      <c r="EW160" s="403"/>
      <c r="EX160" s="403"/>
      <c r="EY160" s="403"/>
      <c r="EZ160" s="403"/>
      <c r="FA160" s="403"/>
      <c r="FB160" s="403"/>
      <c r="FC160" s="403"/>
      <c r="FD160" s="403"/>
      <c r="FE160" s="403"/>
      <c r="FF160" s="403"/>
      <c r="FG160" s="403"/>
      <c r="FH160" s="403" t="s">
        <v>11980</v>
      </c>
      <c r="FI160" s="403"/>
      <c r="FJ160" s="403"/>
      <c r="FK160" s="403"/>
      <c r="FL160" s="403"/>
      <c r="FM160" s="403"/>
      <c r="FN160" s="403"/>
      <c r="FO160" s="403"/>
      <c r="FP160" s="403"/>
      <c r="FQ160" s="403"/>
      <c r="FR160" s="403"/>
      <c r="FS160" s="403"/>
      <c r="FT160" s="403"/>
      <c r="FU160" s="403"/>
      <c r="FV160" s="403"/>
      <c r="FW160" s="403"/>
      <c r="FX160" s="403"/>
      <c r="FY160" s="403"/>
      <c r="FZ160" s="403"/>
      <c r="GA160" s="403" t="s">
        <v>11981</v>
      </c>
      <c r="GB160" s="403"/>
      <c r="GC160" s="403"/>
      <c r="GD160" s="403"/>
      <c r="GE160" s="403"/>
      <c r="GF160" s="403"/>
      <c r="GG160" s="403"/>
      <c r="GH160" s="403"/>
      <c r="GI160" s="403"/>
      <c r="GJ160" s="403"/>
      <c r="GK160" s="403"/>
      <c r="GL160" s="403"/>
      <c r="GM160" s="403"/>
      <c r="GN160" s="403"/>
      <c r="GO160" s="403"/>
      <c r="GP160" s="403" t="s">
        <v>11982</v>
      </c>
      <c r="GQ160" s="403"/>
      <c r="GR160" s="403"/>
      <c r="GS160" s="403"/>
      <c r="GT160" s="403"/>
      <c r="GU160" s="403"/>
      <c r="GV160" s="403"/>
      <c r="GW160" s="403"/>
      <c r="GX160" s="403"/>
      <c r="GY160" s="403"/>
      <c r="GZ160" s="403"/>
      <c r="HA160" s="403"/>
      <c r="HB160" s="403"/>
      <c r="HC160" s="403"/>
      <c r="HD160" s="403"/>
      <c r="HE160" s="403"/>
      <c r="HF160" s="403"/>
      <c r="HG160" s="403"/>
      <c r="HH160" s="403"/>
      <c r="HI160" s="403" t="s">
        <v>11983</v>
      </c>
      <c r="HJ160" s="403"/>
      <c r="HK160" s="403"/>
      <c r="HL160" s="403"/>
      <c r="HM160" s="403"/>
      <c r="HN160" s="403"/>
      <c r="HO160" s="403"/>
      <c r="HP160" s="403"/>
      <c r="HQ160" s="403"/>
      <c r="HR160" s="403"/>
      <c r="HS160" s="403"/>
      <c r="HT160" s="403"/>
      <c r="HU160" s="403"/>
      <c r="HV160" s="403"/>
      <c r="HW160" s="403"/>
      <c r="HX160" s="403" t="s">
        <v>11984</v>
      </c>
      <c r="HY160" s="403"/>
      <c r="HZ160" s="403"/>
      <c r="IA160" s="403"/>
      <c r="IB160" s="403"/>
      <c r="IC160" s="403"/>
      <c r="ID160" s="403"/>
      <c r="IE160" s="403"/>
      <c r="IF160" s="403"/>
      <c r="IG160" s="403"/>
      <c r="IH160" s="403"/>
      <c r="II160" s="403"/>
      <c r="IJ160" s="403"/>
      <c r="IK160" s="403"/>
      <c r="IL160" s="403"/>
      <c r="IM160" s="403"/>
      <c r="IN160" s="403"/>
      <c r="IO160" s="403"/>
      <c r="IP160" s="403"/>
      <c r="IQ160" s="403" t="s">
        <v>11985</v>
      </c>
      <c r="IR160" s="403"/>
      <c r="IS160" s="403"/>
      <c r="IT160" s="403"/>
      <c r="IU160" s="403"/>
      <c r="IV160" s="403"/>
      <c r="IW160" s="403"/>
      <c r="IX160" s="403"/>
      <c r="IY160" s="403"/>
      <c r="IZ160" s="403"/>
      <c r="JA160" s="403"/>
      <c r="JB160" s="403"/>
      <c r="JC160" s="403"/>
      <c r="JD160" s="403"/>
      <c r="JE160" s="403"/>
      <c r="JF160" s="403" t="s">
        <v>11986</v>
      </c>
      <c r="JG160" s="403"/>
      <c r="JH160" s="403"/>
      <c r="JI160" s="403"/>
      <c r="JJ160" s="403"/>
      <c r="JK160" s="403"/>
      <c r="JL160" s="403"/>
      <c r="JM160" s="403"/>
      <c r="JN160" s="403"/>
      <c r="JO160" s="403"/>
      <c r="JP160" s="403"/>
      <c r="JQ160" s="403"/>
      <c r="JR160" s="403"/>
      <c r="JS160" s="403"/>
      <c r="JT160" s="403"/>
    </row>
    <row r="161" spans="1:280" s="15" customFormat="1" ht="12.75" x14ac:dyDescent="0.2">
      <c r="A161" s="9"/>
      <c r="B161" s="624"/>
      <c r="C161" s="23" t="str">
        <f t="shared" ca="1" si="369"/>
        <v>Total Vaccinator Days</v>
      </c>
      <c r="E161" s="56">
        <f>'A3. INPUT Unit Costs'!I12</f>
        <v>1</v>
      </c>
      <c r="F161" s="26"/>
      <c r="G161" s="26"/>
      <c r="H161" s="26"/>
      <c r="I161" s="26"/>
      <c r="J161" s="62" t="e">
        <f>J153*J160</f>
        <v>#N/A</v>
      </c>
      <c r="K161" s="62" t="e">
        <f t="shared" ref="K161:O161" si="391">K153*K160</f>
        <v>#N/A</v>
      </c>
      <c r="L161" s="62" t="e">
        <f t="shared" si="391"/>
        <v>#N/A</v>
      </c>
      <c r="M161" s="62" t="e">
        <f t="shared" si="391"/>
        <v>#N/A</v>
      </c>
      <c r="N161" s="62" t="e">
        <f t="shared" si="391"/>
        <v>#N/A</v>
      </c>
      <c r="O161" s="62" t="e">
        <f t="shared" si="391"/>
        <v>#N/A</v>
      </c>
      <c r="P161" s="16" t="e">
        <f t="shared" si="371"/>
        <v>#N/A</v>
      </c>
      <c r="Q161" s="16"/>
      <c r="R161" s="12" t="str">
        <f t="shared" ca="1" si="328"/>
        <v/>
      </c>
      <c r="S161" s="2"/>
      <c r="T161" s="241"/>
      <c r="U161" s="624"/>
      <c r="V161" s="72" t="str">
        <f t="shared" ca="1" si="372"/>
        <v>Total Vaccinator Days</v>
      </c>
      <c r="W161" s="62" t="e">
        <f>W153*W160</f>
        <v>#N/A</v>
      </c>
      <c r="X161" s="62" t="e">
        <f t="shared" ref="X161:AB161" si="392">X153*X160</f>
        <v>#N/A</v>
      </c>
      <c r="Y161" s="62" t="e">
        <f t="shared" si="392"/>
        <v>#N/A</v>
      </c>
      <c r="Z161" s="62" t="e">
        <f t="shared" si="392"/>
        <v>#N/A</v>
      </c>
      <c r="AA161" s="62" t="e">
        <f t="shared" si="392"/>
        <v>#N/A</v>
      </c>
      <c r="AB161" s="62" t="e">
        <f t="shared" si="392"/>
        <v>#N/A</v>
      </c>
      <c r="AC161" s="16" t="e">
        <f t="shared" si="374"/>
        <v>#N/A</v>
      </c>
      <c r="AD161" s="16"/>
      <c r="AE161" s="2"/>
      <c r="AF161" s="241"/>
      <c r="AG161" s="624"/>
      <c r="AH161" s="72" t="str">
        <f t="shared" ca="1" si="375"/>
        <v>Total Vaccinator Days</v>
      </c>
      <c r="AI161" s="62" t="e">
        <f>AI153*AI160</f>
        <v>#N/A</v>
      </c>
      <c r="AJ161" s="62" t="e">
        <f t="shared" ref="AJ161:AN161" si="393">AJ153*AJ160</f>
        <v>#N/A</v>
      </c>
      <c r="AK161" s="62" t="e">
        <f t="shared" si="393"/>
        <v>#N/A</v>
      </c>
      <c r="AL161" s="62" t="e">
        <f t="shared" si="393"/>
        <v>#N/A</v>
      </c>
      <c r="AM161" s="62" t="e">
        <f t="shared" si="393"/>
        <v>#N/A</v>
      </c>
      <c r="AN161" s="62" t="e">
        <f t="shared" si="393"/>
        <v>#N/A</v>
      </c>
      <c r="AO161" s="16" t="e">
        <f t="shared" si="377"/>
        <v>#N/A</v>
      </c>
      <c r="AP161" s="16"/>
      <c r="AR161" s="403"/>
      <c r="AS161" s="403"/>
      <c r="AT161" s="403"/>
      <c r="AU161" s="403" t="s">
        <v>1682</v>
      </c>
      <c r="AV161" s="403"/>
      <c r="AW161" s="403"/>
      <c r="AX161" s="403"/>
      <c r="AY161" s="403"/>
      <c r="AZ161" s="403"/>
      <c r="BA161" s="403"/>
      <c r="BB161" s="403"/>
      <c r="BC161" s="403"/>
      <c r="BD161" s="403"/>
      <c r="BE161" s="403"/>
      <c r="BF161" s="403"/>
      <c r="BG161" s="403"/>
      <c r="BH161" s="403"/>
      <c r="BI161" s="403"/>
      <c r="BJ161" s="403"/>
      <c r="BK161" s="403"/>
      <c r="BL161" s="403"/>
      <c r="BM161" s="403"/>
      <c r="BN161" s="403"/>
      <c r="BO161" s="403"/>
      <c r="BP161" s="403"/>
      <c r="BQ161" s="403"/>
      <c r="BR161" s="403"/>
      <c r="BS161" s="403"/>
      <c r="BT161" s="403"/>
      <c r="BU161" s="403"/>
      <c r="BV161" s="403"/>
      <c r="BW161" s="403"/>
      <c r="BX161" s="403"/>
      <c r="BY161" s="403"/>
      <c r="BZ161" s="403"/>
      <c r="CA161" s="403"/>
      <c r="CB161" s="403"/>
      <c r="CC161" s="403" t="s">
        <v>11683</v>
      </c>
      <c r="CD161" s="403"/>
      <c r="CE161" s="403"/>
      <c r="CF161" s="403"/>
      <c r="CG161" s="403"/>
      <c r="CH161" s="403"/>
      <c r="CI161" s="403"/>
      <c r="CJ161" s="403"/>
      <c r="CK161" s="403"/>
      <c r="CL161" s="403"/>
      <c r="CM161" s="403"/>
      <c r="CN161" s="403"/>
      <c r="CO161" s="403"/>
      <c r="CP161" s="403"/>
      <c r="CQ161" s="403"/>
      <c r="CR161" s="403"/>
      <c r="CS161" s="403"/>
      <c r="CT161" s="403"/>
      <c r="CU161" s="403"/>
      <c r="CV161" s="403"/>
      <c r="CW161" s="403"/>
      <c r="CX161" s="403"/>
      <c r="CY161" s="403"/>
      <c r="CZ161" s="403"/>
      <c r="DA161" s="403"/>
      <c r="DB161" s="403"/>
      <c r="DC161" s="403"/>
      <c r="DD161" s="403"/>
      <c r="DE161" s="403"/>
      <c r="DF161" s="403"/>
      <c r="DG161" s="403"/>
      <c r="DH161" s="403"/>
      <c r="DI161" s="403"/>
      <c r="DJ161" s="403"/>
      <c r="DK161" s="403" t="s">
        <v>11684</v>
      </c>
      <c r="DL161" s="403"/>
      <c r="DM161" s="403"/>
      <c r="DN161" s="403"/>
      <c r="DO161" s="403"/>
      <c r="DP161" s="403"/>
      <c r="DQ161" s="403"/>
      <c r="DR161" s="403"/>
      <c r="DS161" s="403"/>
      <c r="DT161" s="403"/>
      <c r="DU161" s="403"/>
      <c r="DV161" s="403"/>
      <c r="DW161" s="403"/>
      <c r="DX161" s="403"/>
      <c r="DY161" s="403"/>
      <c r="DZ161" s="403"/>
      <c r="EA161" s="403"/>
      <c r="EB161" s="403"/>
      <c r="EC161" s="403"/>
      <c r="ED161" s="403"/>
      <c r="EE161" s="403"/>
      <c r="EF161" s="403"/>
      <c r="EG161" s="403"/>
      <c r="EH161" s="403"/>
      <c r="EI161" s="403"/>
      <c r="EJ161" s="403"/>
      <c r="EK161" s="403"/>
      <c r="EL161" s="403"/>
      <c r="EM161" s="403"/>
      <c r="EN161" s="403"/>
      <c r="EO161" s="403"/>
      <c r="EP161" s="403"/>
      <c r="EQ161" s="403"/>
      <c r="ER161" s="403"/>
      <c r="ES161" s="403" t="s">
        <v>11685</v>
      </c>
      <c r="ET161" s="403"/>
      <c r="EU161" s="403"/>
      <c r="EV161" s="403"/>
      <c r="EW161" s="403"/>
      <c r="EX161" s="403"/>
      <c r="EY161" s="403"/>
      <c r="EZ161" s="403"/>
      <c r="FA161" s="403"/>
      <c r="FB161" s="403"/>
      <c r="FC161" s="403"/>
      <c r="FD161" s="403"/>
      <c r="FE161" s="403"/>
      <c r="FF161" s="403"/>
      <c r="FG161" s="403"/>
      <c r="FH161" s="403"/>
      <c r="FI161" s="403"/>
      <c r="FJ161" s="403"/>
      <c r="FK161" s="403"/>
      <c r="FL161" s="403"/>
      <c r="FM161" s="403"/>
      <c r="FN161" s="403"/>
      <c r="FO161" s="403"/>
      <c r="FP161" s="403"/>
      <c r="FQ161" s="403"/>
      <c r="FR161" s="403"/>
      <c r="FS161" s="403"/>
      <c r="FT161" s="403"/>
      <c r="FU161" s="403"/>
      <c r="FV161" s="403"/>
      <c r="FW161" s="403"/>
      <c r="FX161" s="403"/>
      <c r="FY161" s="403"/>
      <c r="FZ161" s="403"/>
      <c r="GA161" s="403" t="s">
        <v>11686</v>
      </c>
      <c r="GB161" s="403"/>
      <c r="GC161" s="403"/>
      <c r="GD161" s="403"/>
      <c r="GE161" s="403"/>
      <c r="GF161" s="403"/>
      <c r="GG161" s="403"/>
      <c r="GH161" s="403"/>
      <c r="GI161" s="403"/>
      <c r="GJ161" s="403"/>
      <c r="GK161" s="403"/>
      <c r="GL161" s="403"/>
      <c r="GM161" s="403"/>
      <c r="GN161" s="403"/>
      <c r="GO161" s="403"/>
      <c r="GP161" s="403"/>
      <c r="GQ161" s="403"/>
      <c r="GR161" s="403"/>
      <c r="GS161" s="403"/>
      <c r="GT161" s="403"/>
      <c r="GU161" s="403"/>
      <c r="GV161" s="403"/>
      <c r="GW161" s="403"/>
      <c r="GX161" s="403"/>
      <c r="GY161" s="403"/>
      <c r="GZ161" s="403"/>
      <c r="HA161" s="403"/>
      <c r="HB161" s="403"/>
      <c r="HC161" s="403"/>
      <c r="HD161" s="403"/>
      <c r="HE161" s="403"/>
      <c r="HF161" s="403"/>
      <c r="HG161" s="403"/>
      <c r="HH161" s="403"/>
      <c r="HI161" s="403" t="s">
        <v>11987</v>
      </c>
      <c r="HJ161" s="403"/>
      <c r="HK161" s="403"/>
      <c r="HL161" s="403"/>
      <c r="HM161" s="403"/>
      <c r="HN161" s="403"/>
      <c r="HO161" s="403"/>
      <c r="HP161" s="403"/>
      <c r="HQ161" s="403"/>
      <c r="HR161" s="403"/>
      <c r="HS161" s="403"/>
      <c r="HT161" s="403"/>
      <c r="HU161" s="403"/>
      <c r="HV161" s="403"/>
      <c r="HW161" s="403"/>
      <c r="HX161" s="403"/>
      <c r="HY161" s="403"/>
      <c r="HZ161" s="403"/>
      <c r="IA161" s="403"/>
      <c r="IB161" s="403"/>
      <c r="IC161" s="403"/>
      <c r="ID161" s="403"/>
      <c r="IE161" s="403"/>
      <c r="IF161" s="403"/>
      <c r="IG161" s="403"/>
      <c r="IH161" s="403"/>
      <c r="II161" s="403"/>
      <c r="IJ161" s="403"/>
      <c r="IK161" s="403"/>
      <c r="IL161" s="403"/>
      <c r="IM161" s="403"/>
      <c r="IN161" s="403"/>
      <c r="IO161" s="403"/>
      <c r="IP161" s="403"/>
      <c r="IQ161" s="403" t="s">
        <v>11688</v>
      </c>
      <c r="IR161" s="403"/>
      <c r="IS161" s="403"/>
      <c r="IT161" s="403"/>
      <c r="IU161" s="403"/>
      <c r="IV161" s="403"/>
      <c r="IW161" s="403"/>
      <c r="IX161" s="403"/>
      <c r="IY161" s="403"/>
      <c r="IZ161" s="403"/>
      <c r="JA161" s="403"/>
      <c r="JB161" s="403"/>
      <c r="JC161" s="403"/>
      <c r="JD161" s="403"/>
      <c r="JE161" s="403"/>
      <c r="JF161" s="403"/>
      <c r="JG161" s="403"/>
      <c r="JH161" s="403"/>
      <c r="JI161" s="403"/>
      <c r="JJ161" s="403"/>
      <c r="JK161" s="403"/>
      <c r="JL161" s="403"/>
      <c r="JM161" s="403"/>
      <c r="JN161" s="403"/>
      <c r="JO161" s="403"/>
      <c r="JP161" s="403"/>
      <c r="JQ161" s="403"/>
      <c r="JR161" s="403"/>
      <c r="JS161" s="403"/>
      <c r="JT161" s="403"/>
    </row>
    <row r="162" spans="1:280" s="15" customFormat="1" ht="12.75" x14ac:dyDescent="0.2">
      <c r="A162" s="9"/>
      <c r="B162" s="624"/>
      <c r="C162" s="23" t="str">
        <f t="shared" ca="1" si="369"/>
        <v>Total Vaccinator Hours</v>
      </c>
      <c r="E162" s="56">
        <f>'A3. INPUT Unit Costs'!I12</f>
        <v>1</v>
      </c>
      <c r="F162" s="26"/>
      <c r="G162" s="26"/>
      <c r="H162" s="26"/>
      <c r="I162" s="26"/>
      <c r="J162" s="26" t="e">
        <f t="shared" ref="J162:O162" si="394">($E138*J138*$G138)/60</f>
        <v>#N/A</v>
      </c>
      <c r="K162" s="26" t="e">
        <f t="shared" si="394"/>
        <v>#N/A</v>
      </c>
      <c r="L162" s="26" t="e">
        <f t="shared" si="394"/>
        <v>#N/A</v>
      </c>
      <c r="M162" s="26" t="e">
        <f t="shared" si="394"/>
        <v>#N/A</v>
      </c>
      <c r="N162" s="26" t="e">
        <f t="shared" si="394"/>
        <v>#N/A</v>
      </c>
      <c r="O162" s="26" t="e">
        <f t="shared" si="394"/>
        <v>#N/A</v>
      </c>
      <c r="P162" s="16" t="e">
        <f t="shared" si="371"/>
        <v>#N/A</v>
      </c>
      <c r="Q162" s="16"/>
      <c r="R162" s="12" t="str">
        <f t="shared" ca="1" si="328"/>
        <v>Not quantized up - this is for supplementary incentive</v>
      </c>
      <c r="S162" s="2"/>
      <c r="T162" s="241"/>
      <c r="U162" s="624"/>
      <c r="V162" s="72" t="str">
        <f t="shared" ca="1" si="372"/>
        <v>Total Vaccinator Hours</v>
      </c>
      <c r="W162" s="26" t="e">
        <f>($E138*W138*$T138)/60</f>
        <v>#N/A</v>
      </c>
      <c r="X162" s="26" t="e">
        <f t="shared" ref="X162:AB162" si="395">($E138*X138*$T138)/60</f>
        <v>#N/A</v>
      </c>
      <c r="Y162" s="26" t="e">
        <f t="shared" si="395"/>
        <v>#N/A</v>
      </c>
      <c r="Z162" s="26" t="e">
        <f t="shared" si="395"/>
        <v>#N/A</v>
      </c>
      <c r="AA162" s="26" t="e">
        <f t="shared" si="395"/>
        <v>#N/A</v>
      </c>
      <c r="AB162" s="26" t="e">
        <f t="shared" si="395"/>
        <v>#N/A</v>
      </c>
      <c r="AC162" s="16" t="e">
        <f t="shared" si="374"/>
        <v>#N/A</v>
      </c>
      <c r="AD162" s="16"/>
      <c r="AE162" s="2"/>
      <c r="AF162" s="241"/>
      <c r="AG162" s="624"/>
      <c r="AH162" s="72" t="str">
        <f t="shared" ca="1" si="375"/>
        <v>Total Vaccinator Hours</v>
      </c>
      <c r="AI162" s="26" t="e">
        <f>($E138*AI138*$AF138)/60</f>
        <v>#N/A</v>
      </c>
      <c r="AJ162" s="26" t="e">
        <f t="shared" ref="AJ162:AN162" si="396">($E138*AJ138*$AF138)/60</f>
        <v>#N/A</v>
      </c>
      <c r="AK162" s="26" t="e">
        <f t="shared" si="396"/>
        <v>#N/A</v>
      </c>
      <c r="AL162" s="26" t="e">
        <f t="shared" si="396"/>
        <v>#N/A</v>
      </c>
      <c r="AM162" s="26" t="e">
        <f t="shared" si="396"/>
        <v>#N/A</v>
      </c>
      <c r="AN162" s="26" t="e">
        <f t="shared" si="396"/>
        <v>#N/A</v>
      </c>
      <c r="AO162" s="16" t="e">
        <f t="shared" si="377"/>
        <v>#N/A</v>
      </c>
      <c r="AP162" s="16"/>
      <c r="AR162" s="403"/>
      <c r="AS162" s="403"/>
      <c r="AT162" s="403"/>
      <c r="AU162" s="403" t="s">
        <v>1714</v>
      </c>
      <c r="AV162" s="403"/>
      <c r="AW162" s="403"/>
      <c r="AX162" s="403"/>
      <c r="AY162" s="403"/>
      <c r="AZ162" s="403"/>
      <c r="BA162" s="403"/>
      <c r="BB162" s="403"/>
      <c r="BC162" s="403"/>
      <c r="BD162" s="403"/>
      <c r="BE162" s="403"/>
      <c r="BF162" s="403"/>
      <c r="BG162" s="403"/>
      <c r="BH162" s="403"/>
      <c r="BI162" s="403"/>
      <c r="BJ162" s="403" t="s">
        <v>1715</v>
      </c>
      <c r="BK162" s="403"/>
      <c r="BL162" s="403"/>
      <c r="BM162" s="403"/>
      <c r="BN162" s="403"/>
      <c r="BO162" s="403"/>
      <c r="BP162" s="403"/>
      <c r="BQ162" s="403"/>
      <c r="BR162" s="403"/>
      <c r="BS162" s="403"/>
      <c r="BT162" s="403"/>
      <c r="BU162" s="403"/>
      <c r="BV162" s="403"/>
      <c r="BW162" s="403"/>
      <c r="BX162" s="403"/>
      <c r="BY162" s="403"/>
      <c r="BZ162" s="403"/>
      <c r="CA162" s="403"/>
      <c r="CB162" s="403"/>
      <c r="CC162" s="403" t="s">
        <v>11988</v>
      </c>
      <c r="CD162" s="403"/>
      <c r="CE162" s="403"/>
      <c r="CF162" s="403"/>
      <c r="CG162" s="403"/>
      <c r="CH162" s="403"/>
      <c r="CI162" s="403"/>
      <c r="CJ162" s="403"/>
      <c r="CK162" s="403"/>
      <c r="CL162" s="403"/>
      <c r="CM162" s="403"/>
      <c r="CN162" s="403"/>
      <c r="CO162" s="403"/>
      <c r="CP162" s="403"/>
      <c r="CQ162" s="403"/>
      <c r="CR162" s="403" t="s">
        <v>11989</v>
      </c>
      <c r="CS162" s="403"/>
      <c r="CT162" s="403"/>
      <c r="CU162" s="403"/>
      <c r="CV162" s="403"/>
      <c r="CW162" s="403"/>
      <c r="CX162" s="403"/>
      <c r="CY162" s="403"/>
      <c r="CZ162" s="403"/>
      <c r="DA162" s="403"/>
      <c r="DB162" s="403"/>
      <c r="DC162" s="403"/>
      <c r="DD162" s="403"/>
      <c r="DE162" s="403"/>
      <c r="DF162" s="403"/>
      <c r="DG162" s="403"/>
      <c r="DH162" s="403"/>
      <c r="DI162" s="403"/>
      <c r="DJ162" s="403"/>
      <c r="DK162" s="403" t="s">
        <v>11990</v>
      </c>
      <c r="DL162" s="403"/>
      <c r="DM162" s="403"/>
      <c r="DN162" s="403"/>
      <c r="DO162" s="403"/>
      <c r="DP162" s="403"/>
      <c r="DQ162" s="403"/>
      <c r="DR162" s="403"/>
      <c r="DS162" s="403"/>
      <c r="DT162" s="403"/>
      <c r="DU162" s="403"/>
      <c r="DV162" s="403"/>
      <c r="DW162" s="403"/>
      <c r="DX162" s="403"/>
      <c r="DY162" s="403"/>
      <c r="DZ162" s="403" t="s">
        <v>11991</v>
      </c>
      <c r="EA162" s="403"/>
      <c r="EB162" s="403"/>
      <c r="EC162" s="403"/>
      <c r="ED162" s="403"/>
      <c r="EE162" s="403"/>
      <c r="EF162" s="403"/>
      <c r="EG162" s="403"/>
      <c r="EH162" s="403"/>
      <c r="EI162" s="403"/>
      <c r="EJ162" s="403"/>
      <c r="EK162" s="403"/>
      <c r="EL162" s="403"/>
      <c r="EM162" s="403"/>
      <c r="EN162" s="403"/>
      <c r="EO162" s="403"/>
      <c r="EP162" s="403"/>
      <c r="EQ162" s="403"/>
      <c r="ER162" s="403"/>
      <c r="ES162" s="403" t="s">
        <v>11992</v>
      </c>
      <c r="ET162" s="403"/>
      <c r="EU162" s="403"/>
      <c r="EV162" s="403"/>
      <c r="EW162" s="403"/>
      <c r="EX162" s="403"/>
      <c r="EY162" s="403"/>
      <c r="EZ162" s="403"/>
      <c r="FA162" s="403"/>
      <c r="FB162" s="403"/>
      <c r="FC162" s="403"/>
      <c r="FD162" s="403"/>
      <c r="FE162" s="403"/>
      <c r="FF162" s="403"/>
      <c r="FG162" s="403"/>
      <c r="FH162" s="403" t="s">
        <v>11993</v>
      </c>
      <c r="FI162" s="403"/>
      <c r="FJ162" s="403"/>
      <c r="FK162" s="403"/>
      <c r="FL162" s="403"/>
      <c r="FM162" s="403"/>
      <c r="FN162" s="403"/>
      <c r="FO162" s="403"/>
      <c r="FP162" s="403"/>
      <c r="FQ162" s="403"/>
      <c r="FR162" s="403"/>
      <c r="FS162" s="403"/>
      <c r="FT162" s="403"/>
      <c r="FU162" s="403"/>
      <c r="FV162" s="403"/>
      <c r="FW162" s="403"/>
      <c r="FX162" s="403"/>
      <c r="FY162" s="403"/>
      <c r="FZ162" s="403"/>
      <c r="GA162" s="403" t="s">
        <v>11994</v>
      </c>
      <c r="GB162" s="403"/>
      <c r="GC162" s="403"/>
      <c r="GD162" s="403"/>
      <c r="GE162" s="403"/>
      <c r="GF162" s="403"/>
      <c r="GG162" s="403"/>
      <c r="GH162" s="403"/>
      <c r="GI162" s="403"/>
      <c r="GJ162" s="403"/>
      <c r="GK162" s="403"/>
      <c r="GL162" s="403"/>
      <c r="GM162" s="403"/>
      <c r="GN162" s="403"/>
      <c r="GO162" s="403"/>
      <c r="GP162" s="403" t="s">
        <v>11995</v>
      </c>
      <c r="GQ162" s="403"/>
      <c r="GR162" s="403"/>
      <c r="GS162" s="403"/>
      <c r="GT162" s="403"/>
      <c r="GU162" s="403"/>
      <c r="GV162" s="403"/>
      <c r="GW162" s="403"/>
      <c r="GX162" s="403"/>
      <c r="GY162" s="403"/>
      <c r="GZ162" s="403"/>
      <c r="HA162" s="403"/>
      <c r="HB162" s="403"/>
      <c r="HC162" s="403"/>
      <c r="HD162" s="403"/>
      <c r="HE162" s="403"/>
      <c r="HF162" s="403"/>
      <c r="HG162" s="403"/>
      <c r="HH162" s="403"/>
      <c r="HI162" s="403" t="s">
        <v>11996</v>
      </c>
      <c r="HJ162" s="403"/>
      <c r="HK162" s="403"/>
      <c r="HL162" s="403"/>
      <c r="HM162" s="403"/>
      <c r="HN162" s="403"/>
      <c r="HO162" s="403"/>
      <c r="HP162" s="403"/>
      <c r="HQ162" s="403"/>
      <c r="HR162" s="403"/>
      <c r="HS162" s="403"/>
      <c r="HT162" s="403"/>
      <c r="HU162" s="403"/>
      <c r="HV162" s="403"/>
      <c r="HW162" s="403"/>
      <c r="HX162" s="403" t="s">
        <v>11997</v>
      </c>
      <c r="HY162" s="403"/>
      <c r="HZ162" s="403"/>
      <c r="IA162" s="403"/>
      <c r="IB162" s="403"/>
      <c r="IC162" s="403"/>
      <c r="ID162" s="403"/>
      <c r="IE162" s="403"/>
      <c r="IF162" s="403"/>
      <c r="IG162" s="403"/>
      <c r="IH162" s="403"/>
      <c r="II162" s="403"/>
      <c r="IJ162" s="403"/>
      <c r="IK162" s="403"/>
      <c r="IL162" s="403"/>
      <c r="IM162" s="403"/>
      <c r="IN162" s="403"/>
      <c r="IO162" s="403"/>
      <c r="IP162" s="403"/>
      <c r="IQ162" s="403" t="s">
        <v>11998</v>
      </c>
      <c r="IR162" s="403"/>
      <c r="IS162" s="403"/>
      <c r="IT162" s="403"/>
      <c r="IU162" s="403"/>
      <c r="IV162" s="403"/>
      <c r="IW162" s="403"/>
      <c r="IX162" s="403"/>
      <c r="IY162" s="403"/>
      <c r="IZ162" s="403"/>
      <c r="JA162" s="403"/>
      <c r="JB162" s="403"/>
      <c r="JC162" s="403"/>
      <c r="JD162" s="403"/>
      <c r="JE162" s="403"/>
      <c r="JF162" s="403" t="s">
        <v>11999</v>
      </c>
      <c r="JG162" s="403"/>
      <c r="JH162" s="403"/>
      <c r="JI162" s="403"/>
      <c r="JJ162" s="403"/>
      <c r="JK162" s="403"/>
      <c r="JL162" s="403"/>
      <c r="JM162" s="403"/>
      <c r="JN162" s="403"/>
      <c r="JO162" s="403"/>
      <c r="JP162" s="403"/>
      <c r="JQ162" s="403"/>
      <c r="JR162" s="403"/>
      <c r="JS162" s="403"/>
      <c r="JT162" s="403"/>
    </row>
    <row r="163" spans="1:280" s="15" customFormat="1" ht="12.75" x14ac:dyDescent="0.2">
      <c r="A163" s="9"/>
      <c r="B163" s="624"/>
      <c r="C163" s="23" t="str">
        <f t="shared" ca="1" si="369"/>
        <v>Total Site-Days</v>
      </c>
      <c r="J163" s="62" t="e">
        <f t="shared" ref="J163:O163" si="397">J159*J147</f>
        <v>#N/A</v>
      </c>
      <c r="K163" s="62" t="e">
        <f t="shared" si="397"/>
        <v>#N/A</v>
      </c>
      <c r="L163" s="62" t="e">
        <f t="shared" si="397"/>
        <v>#N/A</v>
      </c>
      <c r="M163" s="62" t="e">
        <f t="shared" si="397"/>
        <v>#N/A</v>
      </c>
      <c r="N163" s="62" t="e">
        <f t="shared" si="397"/>
        <v>#N/A</v>
      </c>
      <c r="O163" s="62" t="e">
        <f t="shared" si="397"/>
        <v>#N/A</v>
      </c>
      <c r="P163" s="16" t="e">
        <f t="shared" si="371"/>
        <v>#N/A</v>
      </c>
      <c r="Q163" s="16"/>
      <c r="R163" s="12" t="str">
        <f t="shared" ca="1" si="328"/>
        <v/>
      </c>
      <c r="S163" s="2"/>
      <c r="T163" s="241"/>
      <c r="U163" s="624"/>
      <c r="V163" s="72" t="str">
        <f t="shared" ca="1" si="372"/>
        <v>Total Site-Days</v>
      </c>
      <c r="W163" s="62" t="e">
        <f t="shared" ref="W163" si="398">W159*W147</f>
        <v>#N/A</v>
      </c>
      <c r="X163" s="62" t="e">
        <f t="shared" ref="X163:AB163" si="399">X159*X147</f>
        <v>#N/A</v>
      </c>
      <c r="Y163" s="62" t="e">
        <f t="shared" si="399"/>
        <v>#N/A</v>
      </c>
      <c r="Z163" s="62" t="e">
        <f t="shared" si="399"/>
        <v>#N/A</v>
      </c>
      <c r="AA163" s="62" t="e">
        <f t="shared" si="399"/>
        <v>#N/A</v>
      </c>
      <c r="AB163" s="62" t="e">
        <f t="shared" si="399"/>
        <v>#N/A</v>
      </c>
      <c r="AC163" s="16" t="e">
        <f t="shared" si="374"/>
        <v>#N/A</v>
      </c>
      <c r="AD163" s="16"/>
      <c r="AE163" s="2"/>
      <c r="AF163" s="241"/>
      <c r="AG163" s="624"/>
      <c r="AH163" s="72" t="str">
        <f t="shared" ca="1" si="375"/>
        <v>Total Site-Days</v>
      </c>
      <c r="AI163" s="62" t="e">
        <f t="shared" ref="AI163" si="400">AI159*AI147</f>
        <v>#N/A</v>
      </c>
      <c r="AJ163" s="62" t="e">
        <f t="shared" ref="AJ163:AN163" si="401">AJ159*AJ147</f>
        <v>#N/A</v>
      </c>
      <c r="AK163" s="62" t="e">
        <f t="shared" si="401"/>
        <v>#N/A</v>
      </c>
      <c r="AL163" s="62" t="e">
        <f t="shared" si="401"/>
        <v>#N/A</v>
      </c>
      <c r="AM163" s="62" t="e">
        <f t="shared" si="401"/>
        <v>#N/A</v>
      </c>
      <c r="AN163" s="62" t="e">
        <f t="shared" si="401"/>
        <v>#N/A</v>
      </c>
      <c r="AO163" s="16" t="e">
        <f t="shared" si="377"/>
        <v>#N/A</v>
      </c>
      <c r="AP163" s="16"/>
      <c r="AR163" s="403"/>
      <c r="AS163" s="403"/>
      <c r="AT163" s="403"/>
      <c r="AU163" s="403" t="s">
        <v>1589</v>
      </c>
      <c r="AV163" s="403"/>
      <c r="AW163" s="403"/>
      <c r="AX163" s="403"/>
      <c r="AY163" s="403"/>
      <c r="AZ163" s="403"/>
      <c r="BA163" s="403"/>
      <c r="BB163" s="403"/>
      <c r="BC163" s="403"/>
      <c r="BD163" s="403"/>
      <c r="BE163" s="403"/>
      <c r="BF163" s="403"/>
      <c r="BG163" s="403"/>
      <c r="BH163" s="403"/>
      <c r="BI163" s="403"/>
      <c r="BJ163" s="403"/>
      <c r="BK163" s="403"/>
      <c r="BL163" s="403"/>
      <c r="BM163" s="403"/>
      <c r="BN163" s="403"/>
      <c r="BO163" s="403"/>
      <c r="BP163" s="403"/>
      <c r="BQ163" s="403"/>
      <c r="BR163" s="403"/>
      <c r="BS163" s="403"/>
      <c r="BT163" s="403"/>
      <c r="BU163" s="403"/>
      <c r="BV163" s="403"/>
      <c r="BW163" s="403"/>
      <c r="BX163" s="403"/>
      <c r="BY163" s="403"/>
      <c r="BZ163" s="403"/>
      <c r="CA163" s="403"/>
      <c r="CB163" s="403"/>
      <c r="CC163" s="403" t="s">
        <v>12000</v>
      </c>
      <c r="CD163" s="403"/>
      <c r="CE163" s="403"/>
      <c r="CF163" s="403"/>
      <c r="CG163" s="403"/>
      <c r="CH163" s="403"/>
      <c r="CI163" s="403"/>
      <c r="CJ163" s="403"/>
      <c r="CK163" s="403"/>
      <c r="CL163" s="403"/>
      <c r="CM163" s="403"/>
      <c r="CN163" s="403"/>
      <c r="CO163" s="403"/>
      <c r="CP163" s="403"/>
      <c r="CQ163" s="403"/>
      <c r="CR163" s="403"/>
      <c r="CS163" s="403"/>
      <c r="CT163" s="403"/>
      <c r="CU163" s="403"/>
      <c r="CV163" s="403"/>
      <c r="CW163" s="403"/>
      <c r="CX163" s="403"/>
      <c r="CY163" s="403"/>
      <c r="CZ163" s="403"/>
      <c r="DA163" s="403"/>
      <c r="DB163" s="403"/>
      <c r="DC163" s="403"/>
      <c r="DD163" s="403"/>
      <c r="DE163" s="403"/>
      <c r="DF163" s="403"/>
      <c r="DG163" s="403"/>
      <c r="DH163" s="403"/>
      <c r="DI163" s="403"/>
      <c r="DJ163" s="403"/>
      <c r="DK163" s="403" t="s">
        <v>12001</v>
      </c>
      <c r="DL163" s="403"/>
      <c r="DM163" s="403"/>
      <c r="DN163" s="403"/>
      <c r="DO163" s="403"/>
      <c r="DP163" s="403"/>
      <c r="DQ163" s="403"/>
      <c r="DR163" s="403"/>
      <c r="DS163" s="403"/>
      <c r="DT163" s="403"/>
      <c r="DU163" s="403"/>
      <c r="DV163" s="403"/>
      <c r="DW163" s="403"/>
      <c r="DX163" s="403"/>
      <c r="DY163" s="403"/>
      <c r="DZ163" s="403"/>
      <c r="EA163" s="403"/>
      <c r="EB163" s="403"/>
      <c r="EC163" s="403"/>
      <c r="ED163" s="403"/>
      <c r="EE163" s="403"/>
      <c r="EF163" s="403"/>
      <c r="EG163" s="403"/>
      <c r="EH163" s="403"/>
      <c r="EI163" s="403"/>
      <c r="EJ163" s="403"/>
      <c r="EK163" s="403"/>
      <c r="EL163" s="403"/>
      <c r="EM163" s="403"/>
      <c r="EN163" s="403"/>
      <c r="EO163" s="403"/>
      <c r="EP163" s="403"/>
      <c r="EQ163" s="403"/>
      <c r="ER163" s="403"/>
      <c r="ES163" s="403" t="s">
        <v>12002</v>
      </c>
      <c r="ET163" s="403"/>
      <c r="EU163" s="403"/>
      <c r="EV163" s="403"/>
      <c r="EW163" s="403"/>
      <c r="EX163" s="403"/>
      <c r="EY163" s="403"/>
      <c r="EZ163" s="403"/>
      <c r="FA163" s="403"/>
      <c r="FB163" s="403"/>
      <c r="FC163" s="403"/>
      <c r="FD163" s="403"/>
      <c r="FE163" s="403"/>
      <c r="FF163" s="403"/>
      <c r="FG163" s="403"/>
      <c r="FH163" s="403"/>
      <c r="FI163" s="403"/>
      <c r="FJ163" s="403"/>
      <c r="FK163" s="403"/>
      <c r="FL163" s="403"/>
      <c r="FM163" s="403"/>
      <c r="FN163" s="403"/>
      <c r="FO163" s="403"/>
      <c r="FP163" s="403"/>
      <c r="FQ163" s="403"/>
      <c r="FR163" s="403"/>
      <c r="FS163" s="403"/>
      <c r="FT163" s="403"/>
      <c r="FU163" s="403"/>
      <c r="FV163" s="403"/>
      <c r="FW163" s="403"/>
      <c r="FX163" s="403"/>
      <c r="FY163" s="403"/>
      <c r="FZ163" s="403"/>
      <c r="GA163" s="403" t="s">
        <v>12003</v>
      </c>
      <c r="GB163" s="403"/>
      <c r="GC163" s="403"/>
      <c r="GD163" s="403"/>
      <c r="GE163" s="403"/>
      <c r="GF163" s="403"/>
      <c r="GG163" s="403"/>
      <c r="GH163" s="403"/>
      <c r="GI163" s="403"/>
      <c r="GJ163" s="403"/>
      <c r="GK163" s="403"/>
      <c r="GL163" s="403"/>
      <c r="GM163" s="403"/>
      <c r="GN163" s="403"/>
      <c r="GO163" s="403"/>
      <c r="GP163" s="403"/>
      <c r="GQ163" s="403"/>
      <c r="GR163" s="403"/>
      <c r="GS163" s="403"/>
      <c r="GT163" s="403"/>
      <c r="GU163" s="403"/>
      <c r="GV163" s="403"/>
      <c r="GW163" s="403"/>
      <c r="GX163" s="403"/>
      <c r="GY163" s="403"/>
      <c r="GZ163" s="403"/>
      <c r="HA163" s="403"/>
      <c r="HB163" s="403"/>
      <c r="HC163" s="403"/>
      <c r="HD163" s="403"/>
      <c r="HE163" s="403"/>
      <c r="HF163" s="403"/>
      <c r="HG163" s="403"/>
      <c r="HH163" s="403"/>
      <c r="HI163" s="403" t="s">
        <v>12004</v>
      </c>
      <c r="HJ163" s="403"/>
      <c r="HK163" s="403"/>
      <c r="HL163" s="403"/>
      <c r="HM163" s="403"/>
      <c r="HN163" s="403"/>
      <c r="HO163" s="403"/>
      <c r="HP163" s="403"/>
      <c r="HQ163" s="403"/>
      <c r="HR163" s="403"/>
      <c r="HS163" s="403"/>
      <c r="HT163" s="403"/>
      <c r="HU163" s="403"/>
      <c r="HV163" s="403"/>
      <c r="HW163" s="403"/>
      <c r="HX163" s="403"/>
      <c r="HY163" s="403"/>
      <c r="HZ163" s="403"/>
      <c r="IA163" s="403"/>
      <c r="IB163" s="403"/>
      <c r="IC163" s="403"/>
      <c r="ID163" s="403"/>
      <c r="IE163" s="403"/>
      <c r="IF163" s="403"/>
      <c r="IG163" s="403"/>
      <c r="IH163" s="403"/>
      <c r="II163" s="403"/>
      <c r="IJ163" s="403"/>
      <c r="IK163" s="403"/>
      <c r="IL163" s="403"/>
      <c r="IM163" s="403"/>
      <c r="IN163" s="403"/>
      <c r="IO163" s="403"/>
      <c r="IP163" s="403"/>
      <c r="IQ163" s="403" t="s">
        <v>12005</v>
      </c>
      <c r="IR163" s="403"/>
      <c r="IS163" s="403"/>
      <c r="IT163" s="403"/>
      <c r="IU163" s="403"/>
      <c r="IV163" s="403"/>
      <c r="IW163" s="403"/>
      <c r="IX163" s="403"/>
      <c r="IY163" s="403"/>
      <c r="IZ163" s="403"/>
      <c r="JA163" s="403"/>
      <c r="JB163" s="403"/>
      <c r="JC163" s="403"/>
      <c r="JD163" s="403"/>
      <c r="JE163" s="403"/>
      <c r="JF163" s="403"/>
      <c r="JG163" s="403"/>
      <c r="JH163" s="403"/>
      <c r="JI163" s="403"/>
      <c r="JJ163" s="403"/>
      <c r="JK163" s="403"/>
      <c r="JL163" s="403"/>
      <c r="JM163" s="403"/>
      <c r="JN163" s="403"/>
      <c r="JO163" s="403"/>
      <c r="JP163" s="403"/>
      <c r="JQ163" s="403"/>
      <c r="JR163" s="403"/>
      <c r="JS163" s="403"/>
      <c r="JT163" s="403"/>
    </row>
    <row r="164" spans="1:280" s="15" customFormat="1" ht="12.75" x14ac:dyDescent="0.2">
      <c r="A164" s="9"/>
      <c r="B164" s="624"/>
      <c r="C164" s="23"/>
      <c r="E164" s="26"/>
      <c r="F164" s="26"/>
      <c r="G164" s="26"/>
      <c r="H164" s="26"/>
      <c r="I164" s="26"/>
      <c r="P164" s="26"/>
      <c r="Q164" s="26"/>
      <c r="R164" s="12" t="str">
        <f t="shared" ca="1" si="328"/>
        <v/>
      </c>
      <c r="S164" s="2"/>
      <c r="T164" s="241"/>
      <c r="U164" s="624"/>
      <c r="V164" s="72"/>
      <c r="W164" s="241"/>
      <c r="X164" s="241"/>
      <c r="Y164" s="241"/>
      <c r="Z164" s="241"/>
      <c r="AA164" s="241"/>
      <c r="AB164" s="241"/>
      <c r="AC164" s="26"/>
      <c r="AD164" s="26"/>
      <c r="AE164" s="2"/>
      <c r="AF164" s="241"/>
      <c r="AG164" s="624"/>
      <c r="AH164" s="72"/>
      <c r="AI164" s="241"/>
      <c r="AJ164" s="241"/>
      <c r="AK164" s="241"/>
      <c r="AL164" s="241"/>
      <c r="AM164" s="241"/>
      <c r="AN164" s="241"/>
      <c r="AO164" s="26"/>
      <c r="AP164" s="26"/>
      <c r="AR164" s="403"/>
      <c r="AS164" s="403"/>
      <c r="AT164" s="403"/>
      <c r="AU164" s="403"/>
      <c r="AV164" s="403"/>
      <c r="AW164" s="403"/>
      <c r="AX164" s="403"/>
      <c r="AY164" s="403"/>
      <c r="AZ164" s="403"/>
      <c r="BA164" s="403"/>
      <c r="BB164" s="403"/>
      <c r="BC164" s="403"/>
      <c r="BD164" s="403"/>
      <c r="BE164" s="403"/>
      <c r="BF164" s="403"/>
      <c r="BG164" s="403"/>
      <c r="BH164" s="403"/>
      <c r="BI164" s="403"/>
      <c r="BJ164" s="403"/>
      <c r="BK164" s="403"/>
      <c r="BL164" s="403"/>
      <c r="BM164" s="403"/>
      <c r="BN164" s="403"/>
      <c r="BO164" s="403"/>
      <c r="BP164" s="403"/>
      <c r="BQ164" s="403"/>
      <c r="BR164" s="403"/>
      <c r="BS164" s="403"/>
      <c r="BT164" s="403"/>
      <c r="BU164" s="403"/>
      <c r="BV164" s="403"/>
      <c r="BW164" s="403"/>
      <c r="BX164" s="403"/>
      <c r="BY164" s="403"/>
      <c r="BZ164" s="403"/>
      <c r="CA164" s="403"/>
      <c r="CB164" s="403"/>
      <c r="CC164" s="403"/>
      <c r="CD164" s="403"/>
      <c r="CE164" s="403"/>
      <c r="CF164" s="403"/>
      <c r="CG164" s="403"/>
      <c r="CH164" s="403"/>
      <c r="CI164" s="403"/>
      <c r="CJ164" s="403"/>
      <c r="CK164" s="403"/>
      <c r="CL164" s="403"/>
      <c r="CM164" s="403"/>
      <c r="CN164" s="403"/>
      <c r="CO164" s="403"/>
      <c r="CP164" s="403"/>
      <c r="CQ164" s="403"/>
      <c r="CR164" s="403"/>
      <c r="CS164" s="403"/>
      <c r="CT164" s="403"/>
      <c r="CU164" s="403"/>
      <c r="CV164" s="403"/>
      <c r="CW164" s="403"/>
      <c r="CX164" s="403"/>
      <c r="CY164" s="403"/>
      <c r="CZ164" s="403"/>
      <c r="DA164" s="403"/>
      <c r="DB164" s="403"/>
      <c r="DC164" s="403"/>
      <c r="DD164" s="403"/>
      <c r="DE164" s="403"/>
      <c r="DF164" s="403"/>
      <c r="DG164" s="403"/>
      <c r="DH164" s="403"/>
      <c r="DI164" s="403"/>
      <c r="DJ164" s="403"/>
      <c r="DK164" s="403"/>
      <c r="DL164" s="403"/>
      <c r="DM164" s="403"/>
      <c r="DN164" s="403"/>
      <c r="DO164" s="403"/>
      <c r="DP164" s="403"/>
      <c r="DQ164" s="403"/>
      <c r="DR164" s="403"/>
      <c r="DS164" s="403"/>
      <c r="DT164" s="403"/>
      <c r="DU164" s="403"/>
      <c r="DV164" s="403"/>
      <c r="DW164" s="403"/>
      <c r="DX164" s="403"/>
      <c r="DY164" s="403"/>
      <c r="DZ164" s="403"/>
      <c r="EA164" s="403"/>
      <c r="EB164" s="403"/>
      <c r="EC164" s="403"/>
      <c r="ED164" s="403"/>
      <c r="EE164" s="403"/>
      <c r="EF164" s="403"/>
      <c r="EG164" s="403"/>
      <c r="EH164" s="403"/>
      <c r="EI164" s="403"/>
      <c r="EJ164" s="403"/>
      <c r="EK164" s="403"/>
      <c r="EL164" s="403"/>
      <c r="EM164" s="403"/>
      <c r="EN164" s="403"/>
      <c r="EO164" s="403"/>
      <c r="EP164" s="403"/>
      <c r="EQ164" s="403"/>
      <c r="ER164" s="403"/>
      <c r="ES164" s="403"/>
      <c r="ET164" s="403"/>
      <c r="EU164" s="403"/>
      <c r="EV164" s="403"/>
      <c r="EW164" s="403"/>
      <c r="EX164" s="403"/>
      <c r="EY164" s="403"/>
      <c r="EZ164" s="403"/>
      <c r="FA164" s="403"/>
      <c r="FB164" s="403"/>
      <c r="FC164" s="403"/>
      <c r="FD164" s="403"/>
      <c r="FE164" s="403"/>
      <c r="FF164" s="403"/>
      <c r="FG164" s="403"/>
      <c r="FH164" s="403"/>
      <c r="FI164" s="403"/>
      <c r="FJ164" s="403"/>
      <c r="FK164" s="403"/>
      <c r="FL164" s="403"/>
      <c r="FM164" s="403"/>
      <c r="FN164" s="403"/>
      <c r="FO164" s="403"/>
      <c r="FP164" s="403"/>
      <c r="FQ164" s="403"/>
      <c r="FR164" s="403"/>
      <c r="FS164" s="403"/>
      <c r="FT164" s="403"/>
      <c r="FU164" s="403"/>
      <c r="FV164" s="403"/>
      <c r="FW164" s="403"/>
      <c r="FX164" s="403"/>
      <c r="FY164" s="403"/>
      <c r="FZ164" s="403"/>
      <c r="GA164" s="403"/>
      <c r="GB164" s="403"/>
      <c r="GC164" s="403"/>
      <c r="GD164" s="403"/>
      <c r="GE164" s="403"/>
      <c r="GF164" s="403"/>
      <c r="GG164" s="403"/>
      <c r="GH164" s="403"/>
      <c r="GI164" s="403"/>
      <c r="GJ164" s="403"/>
      <c r="GK164" s="403"/>
      <c r="GL164" s="403"/>
      <c r="GM164" s="403"/>
      <c r="GN164" s="403"/>
      <c r="GO164" s="403"/>
      <c r="GP164" s="403"/>
      <c r="GQ164" s="403"/>
      <c r="GR164" s="403"/>
      <c r="GS164" s="403"/>
      <c r="GT164" s="403"/>
      <c r="GU164" s="403"/>
      <c r="GV164" s="403"/>
      <c r="GW164" s="403"/>
      <c r="GX164" s="403"/>
      <c r="GY164" s="403"/>
      <c r="GZ164" s="403"/>
      <c r="HA164" s="403"/>
      <c r="HB164" s="403"/>
      <c r="HC164" s="403"/>
      <c r="HD164" s="403"/>
      <c r="HE164" s="403"/>
      <c r="HF164" s="403"/>
      <c r="HG164" s="403"/>
      <c r="HH164" s="403"/>
      <c r="HI164" s="403"/>
      <c r="HJ164" s="403"/>
      <c r="HK164" s="403"/>
      <c r="HL164" s="403"/>
      <c r="HM164" s="403"/>
      <c r="HN164" s="403"/>
      <c r="HO164" s="403"/>
      <c r="HP164" s="403"/>
      <c r="HQ164" s="403"/>
      <c r="HR164" s="403"/>
      <c r="HS164" s="403"/>
      <c r="HT164" s="403"/>
      <c r="HU164" s="403"/>
      <c r="HV164" s="403"/>
      <c r="HW164" s="403"/>
      <c r="HX164" s="403"/>
      <c r="HY164" s="403"/>
      <c r="HZ164" s="403"/>
      <c r="IA164" s="403"/>
      <c r="IB164" s="403"/>
      <c r="IC164" s="403"/>
      <c r="ID164" s="403"/>
      <c r="IE164" s="403"/>
      <c r="IF164" s="403"/>
      <c r="IG164" s="403"/>
      <c r="IH164" s="403"/>
      <c r="II164" s="403"/>
      <c r="IJ164" s="403"/>
      <c r="IK164" s="403"/>
      <c r="IL164" s="403"/>
      <c r="IM164" s="403"/>
      <c r="IN164" s="403"/>
      <c r="IO164" s="403"/>
      <c r="IP164" s="403"/>
      <c r="IQ164" s="403"/>
      <c r="IR164" s="403"/>
      <c r="IS164" s="403"/>
      <c r="IT164" s="403"/>
      <c r="IU164" s="403"/>
      <c r="IV164" s="403"/>
      <c r="IW164" s="403"/>
      <c r="IX164" s="403"/>
      <c r="IY164" s="403"/>
      <c r="IZ164" s="403"/>
      <c r="JA164" s="403"/>
      <c r="JB164" s="403"/>
      <c r="JC164" s="403"/>
      <c r="JD164" s="403"/>
      <c r="JE164" s="403"/>
      <c r="JF164" s="403"/>
      <c r="JG164" s="403"/>
      <c r="JH164" s="403"/>
      <c r="JI164" s="403"/>
      <c r="JJ164" s="403"/>
      <c r="JK164" s="403"/>
      <c r="JL164" s="403"/>
      <c r="JM164" s="403"/>
      <c r="JN164" s="403"/>
      <c r="JO164" s="403"/>
      <c r="JP164" s="403"/>
      <c r="JQ164" s="403"/>
      <c r="JR164" s="403"/>
      <c r="JS164" s="403"/>
      <c r="JT164" s="403"/>
    </row>
    <row r="165" spans="1:280" s="150" customFormat="1" ht="12.75" x14ac:dyDescent="0.2">
      <c r="B165" s="624" t="str">
        <f ca="1">IF(OFFSET(AT165,0,Lang_Order*Lang__B5)="","",OFFSET(AT165,0,Lang_Order*Lang__B5))</f>
        <v>HRH Optimizer</v>
      </c>
      <c r="R165" s="12" t="str">
        <f t="shared" ca="1" si="328"/>
        <v/>
      </c>
      <c r="S165" s="2"/>
      <c r="T165" s="241"/>
      <c r="U165" s="624" t="str">
        <f ca="1">IF(OFFSET(AT165,0,Lang_Order*Lang__B5)="","",OFFSET(AT165,0,Lang_Order*Lang__B5))</f>
        <v>HRH Optimizer</v>
      </c>
      <c r="V165" s="2"/>
      <c r="W165" s="241"/>
      <c r="X165" s="241"/>
      <c r="Y165" s="241"/>
      <c r="Z165" s="241"/>
      <c r="AA165" s="241"/>
      <c r="AB165" s="241"/>
      <c r="AC165" s="281"/>
      <c r="AD165" s="241"/>
      <c r="AE165" s="2"/>
      <c r="AF165" s="241"/>
      <c r="AG165" s="624" t="str">
        <f ca="1">IF(OFFSET(AT165,0,Lang_Order*Lang__B5)="","",OFFSET(AT165,0,Lang_Order*Lang__B5))</f>
        <v>HRH Optimizer</v>
      </c>
      <c r="AH165" s="2"/>
      <c r="AI165" s="241"/>
      <c r="AJ165" s="241"/>
      <c r="AK165" s="241"/>
      <c r="AL165" s="241"/>
      <c r="AM165" s="241"/>
      <c r="AN165" s="241"/>
      <c r="AO165" s="281"/>
      <c r="AP165" s="241"/>
      <c r="AR165" s="403"/>
      <c r="AS165" s="403"/>
      <c r="AT165" s="403" t="s">
        <v>2684</v>
      </c>
      <c r="AU165" s="403"/>
      <c r="AV165" s="403"/>
      <c r="AW165" s="403"/>
      <c r="AX165" s="403"/>
      <c r="AY165" s="403"/>
      <c r="AZ165" s="403"/>
      <c r="BA165" s="403"/>
      <c r="BB165" s="403"/>
      <c r="BC165" s="403"/>
      <c r="BD165" s="403"/>
      <c r="BE165" s="403"/>
      <c r="BF165" s="403"/>
      <c r="BG165" s="403"/>
      <c r="BH165" s="403"/>
      <c r="BI165" s="403"/>
      <c r="BJ165" s="403"/>
      <c r="BK165" s="403"/>
      <c r="BL165" s="403"/>
      <c r="BM165" s="403"/>
      <c r="BN165" s="403"/>
      <c r="BO165" s="403"/>
      <c r="BP165" s="403"/>
      <c r="BQ165" s="403"/>
      <c r="BR165" s="403"/>
      <c r="BS165" s="403"/>
      <c r="BT165" s="403"/>
      <c r="BU165" s="403"/>
      <c r="BV165" s="403"/>
      <c r="BW165" s="403"/>
      <c r="BX165" s="403"/>
      <c r="BY165" s="403"/>
      <c r="BZ165" s="403"/>
      <c r="CA165" s="403"/>
      <c r="CB165" s="403" t="s">
        <v>12006</v>
      </c>
      <c r="CC165" s="403"/>
      <c r="CD165" s="403"/>
      <c r="CE165" s="403"/>
      <c r="CF165" s="403"/>
      <c r="CG165" s="403"/>
      <c r="CH165" s="403"/>
      <c r="CI165" s="403"/>
      <c r="CJ165" s="403"/>
      <c r="CK165" s="403"/>
      <c r="CL165" s="403"/>
      <c r="CM165" s="403"/>
      <c r="CN165" s="403"/>
      <c r="CO165" s="403"/>
      <c r="CP165" s="403"/>
      <c r="CQ165" s="403"/>
      <c r="CR165" s="403"/>
      <c r="CS165" s="403"/>
      <c r="CT165" s="403"/>
      <c r="CU165" s="403"/>
      <c r="CV165" s="403"/>
      <c r="CW165" s="403"/>
      <c r="CX165" s="403"/>
      <c r="CY165" s="403"/>
      <c r="CZ165" s="403"/>
      <c r="DA165" s="403"/>
      <c r="DB165" s="403"/>
      <c r="DC165" s="403"/>
      <c r="DD165" s="403"/>
      <c r="DE165" s="403"/>
      <c r="DF165" s="403"/>
      <c r="DG165" s="403"/>
      <c r="DH165" s="403"/>
      <c r="DI165" s="403"/>
      <c r="DJ165" s="403" t="s">
        <v>12007</v>
      </c>
      <c r="DK165" s="403"/>
      <c r="DL165" s="403"/>
      <c r="DM165" s="403"/>
      <c r="DN165" s="403"/>
      <c r="DO165" s="403"/>
      <c r="DP165" s="403"/>
      <c r="DQ165" s="403"/>
      <c r="DR165" s="403"/>
      <c r="DS165" s="403"/>
      <c r="DT165" s="403"/>
      <c r="DU165" s="403"/>
      <c r="DV165" s="403"/>
      <c r="DW165" s="403"/>
      <c r="DX165" s="403"/>
      <c r="DY165" s="403"/>
      <c r="DZ165" s="403"/>
      <c r="EA165" s="403"/>
      <c r="EB165" s="403"/>
      <c r="EC165" s="403"/>
      <c r="ED165" s="403"/>
      <c r="EE165" s="403"/>
      <c r="EF165" s="403"/>
      <c r="EG165" s="403"/>
      <c r="EH165" s="403"/>
      <c r="EI165" s="403"/>
      <c r="EJ165" s="403"/>
      <c r="EK165" s="403"/>
      <c r="EL165" s="403"/>
      <c r="EM165" s="403"/>
      <c r="EN165" s="403"/>
      <c r="EO165" s="403"/>
      <c r="EP165" s="403"/>
      <c r="EQ165" s="403"/>
      <c r="ER165" s="403" t="s">
        <v>12008</v>
      </c>
      <c r="ES165" s="403"/>
      <c r="ET165" s="403"/>
      <c r="EU165" s="403"/>
      <c r="EV165" s="403"/>
      <c r="EW165" s="403"/>
      <c r="EX165" s="403"/>
      <c r="EY165" s="403"/>
      <c r="EZ165" s="403"/>
      <c r="FA165" s="403"/>
      <c r="FB165" s="403"/>
      <c r="FC165" s="403"/>
      <c r="FD165" s="403"/>
      <c r="FE165" s="403"/>
      <c r="FF165" s="403"/>
      <c r="FG165" s="403"/>
      <c r="FH165" s="403"/>
      <c r="FI165" s="403"/>
      <c r="FJ165" s="403"/>
      <c r="FK165" s="403"/>
      <c r="FL165" s="403"/>
      <c r="FM165" s="403"/>
      <c r="FN165" s="403"/>
      <c r="FO165" s="403"/>
      <c r="FP165" s="403"/>
      <c r="FQ165" s="403"/>
      <c r="FR165" s="403"/>
      <c r="FS165" s="403"/>
      <c r="FT165" s="403"/>
      <c r="FU165" s="403"/>
      <c r="FV165" s="403"/>
      <c r="FW165" s="403"/>
      <c r="FX165" s="403"/>
      <c r="FY165" s="403"/>
      <c r="FZ165" s="403" t="s">
        <v>12008</v>
      </c>
      <c r="GA165" s="403"/>
      <c r="GB165" s="403"/>
      <c r="GC165" s="403"/>
      <c r="GD165" s="403"/>
      <c r="GE165" s="403"/>
      <c r="GF165" s="403"/>
      <c r="GG165" s="403"/>
      <c r="GH165" s="403"/>
      <c r="GI165" s="403"/>
      <c r="GJ165" s="403"/>
      <c r="GK165" s="403"/>
      <c r="GL165" s="403"/>
      <c r="GM165" s="403"/>
      <c r="GN165" s="403"/>
      <c r="GO165" s="403"/>
      <c r="GP165" s="403"/>
      <c r="GQ165" s="403"/>
      <c r="GR165" s="403"/>
      <c r="GS165" s="403"/>
      <c r="GT165" s="403"/>
      <c r="GU165" s="403"/>
      <c r="GV165" s="403"/>
      <c r="GW165" s="403"/>
      <c r="GX165" s="403"/>
      <c r="GY165" s="403"/>
      <c r="GZ165" s="403"/>
      <c r="HA165" s="403"/>
      <c r="HB165" s="403"/>
      <c r="HC165" s="403"/>
      <c r="HD165" s="403"/>
      <c r="HE165" s="403"/>
      <c r="HF165" s="403"/>
      <c r="HG165" s="403"/>
      <c r="HH165" s="403"/>
      <c r="HI165" s="403"/>
      <c r="HJ165" s="403"/>
      <c r="HK165" s="403"/>
      <c r="HL165" s="403"/>
      <c r="HM165" s="403"/>
      <c r="HN165" s="403"/>
      <c r="HO165" s="403"/>
      <c r="HP165" s="403"/>
      <c r="HQ165" s="403"/>
      <c r="HR165" s="403"/>
      <c r="HS165" s="403"/>
      <c r="HT165" s="403"/>
      <c r="HU165" s="403"/>
      <c r="HV165" s="403"/>
      <c r="HW165" s="403"/>
      <c r="HX165" s="403"/>
      <c r="HY165" s="403"/>
      <c r="HZ165" s="403"/>
      <c r="IA165" s="403"/>
      <c r="IB165" s="403"/>
      <c r="IC165" s="403"/>
      <c r="ID165" s="403"/>
      <c r="IE165" s="403"/>
      <c r="IF165" s="403"/>
      <c r="IG165" s="403"/>
      <c r="IH165" s="403"/>
      <c r="II165" s="403"/>
      <c r="IJ165" s="403"/>
      <c r="IK165" s="403"/>
      <c r="IL165" s="403"/>
      <c r="IM165" s="403"/>
      <c r="IN165" s="403"/>
      <c r="IO165" s="403"/>
      <c r="IP165" s="403" t="s">
        <v>12010</v>
      </c>
      <c r="IQ165" s="403"/>
      <c r="IR165" s="403"/>
      <c r="IS165" s="403"/>
      <c r="IT165" s="403"/>
      <c r="IU165" s="403"/>
      <c r="IV165" s="403"/>
      <c r="IW165" s="403"/>
      <c r="IX165" s="403"/>
      <c r="IY165" s="403"/>
      <c r="IZ165" s="403"/>
      <c r="JA165" s="403"/>
      <c r="JB165" s="403"/>
      <c r="JC165" s="403"/>
      <c r="JD165" s="403"/>
      <c r="JE165" s="403"/>
      <c r="JF165" s="403"/>
      <c r="JG165" s="403"/>
      <c r="JH165" s="403"/>
      <c r="JI165" s="403"/>
      <c r="JJ165" s="403"/>
      <c r="JK165" s="403"/>
      <c r="JL165" s="403"/>
      <c r="JM165" s="403"/>
      <c r="JN165" s="403"/>
      <c r="JO165" s="403"/>
      <c r="JP165" s="403"/>
      <c r="JQ165" s="403"/>
      <c r="JR165" s="403"/>
      <c r="JS165" s="403"/>
      <c r="JT165" s="403"/>
    </row>
    <row r="166" spans="1:280" s="150" customFormat="1" ht="12.75" x14ac:dyDescent="0.2">
      <c r="B166" s="622"/>
      <c r="C166" s="5" t="str">
        <f ca="1">IF(OFFSET(AU166,0,Lang_Order*Lang__B5)="","",OFFSET(AU166,0,Lang_Order*Lang__B5))</f>
        <v>Teams spend one day per site</v>
      </c>
      <c r="D166" s="3">
        <v>1</v>
      </c>
      <c r="E166" s="539"/>
      <c r="J166" s="108" t="e">
        <f t="shared" ref="J166:O166" si="402">ROUNDUP((J157)/(HRH_HoursPerDay*$D166),0)</f>
        <v>#N/A</v>
      </c>
      <c r="K166" s="108" t="e">
        <f t="shared" si="402"/>
        <v>#N/A</v>
      </c>
      <c r="L166" s="108" t="e">
        <f t="shared" si="402"/>
        <v>#N/A</v>
      </c>
      <c r="M166" s="108" t="e">
        <f t="shared" si="402"/>
        <v>#N/A</v>
      </c>
      <c r="N166" s="108" t="e">
        <f t="shared" si="402"/>
        <v>#N/A</v>
      </c>
      <c r="O166" s="108" t="e">
        <f t="shared" si="402"/>
        <v>#N/A</v>
      </c>
      <c r="R166" s="12" t="str">
        <f t="shared" ca="1" si="328"/>
        <v>How long before the ice melts?</v>
      </c>
      <c r="S166" s="2"/>
      <c r="T166" s="241"/>
      <c r="U166" s="622"/>
      <c r="V166" s="72" t="str">
        <f ca="1">IF(OFFSET(AU166,0,Lang_Order*Lang__B5)="","",OFFSET(AU166,0,Lang_Order*Lang__B5))</f>
        <v>Teams spend one day per site</v>
      </c>
      <c r="W166" s="108" t="e">
        <f t="shared" ref="W166:AB166" si="403">ROUNDUP((W157)/(HRH_HoursPerDay*$D166),0)</f>
        <v>#N/A</v>
      </c>
      <c r="X166" s="108" t="e">
        <f t="shared" si="403"/>
        <v>#N/A</v>
      </c>
      <c r="Y166" s="108" t="e">
        <f t="shared" si="403"/>
        <v>#N/A</v>
      </c>
      <c r="Z166" s="108" t="e">
        <f t="shared" si="403"/>
        <v>#N/A</v>
      </c>
      <c r="AA166" s="108" t="e">
        <f t="shared" si="403"/>
        <v>#N/A</v>
      </c>
      <c r="AB166" s="108" t="e">
        <f t="shared" si="403"/>
        <v>#N/A</v>
      </c>
      <c r="AC166" s="281"/>
      <c r="AD166" s="241"/>
      <c r="AE166" s="2"/>
      <c r="AF166" s="241"/>
      <c r="AG166" s="622"/>
      <c r="AH166" s="72" t="str">
        <f ca="1">IF(OFFSET(AU166,0,Lang_Order*Lang__B5)="","",OFFSET(AU166,0,Lang_Order*Lang__B5))</f>
        <v>Teams spend one day per site</v>
      </c>
      <c r="AI166" s="108" t="e">
        <f t="shared" ref="AI166:AN166" si="404">ROUNDUP((AI157)/(HRH_HoursPerDay*$D166),0)</f>
        <v>#N/A</v>
      </c>
      <c r="AJ166" s="108" t="e">
        <f t="shared" si="404"/>
        <v>#N/A</v>
      </c>
      <c r="AK166" s="108" t="e">
        <f t="shared" si="404"/>
        <v>#N/A</v>
      </c>
      <c r="AL166" s="108" t="e">
        <f t="shared" si="404"/>
        <v>#N/A</v>
      </c>
      <c r="AM166" s="108" t="e">
        <f t="shared" si="404"/>
        <v>#N/A</v>
      </c>
      <c r="AN166" s="108" t="e">
        <f t="shared" si="404"/>
        <v>#N/A</v>
      </c>
      <c r="AO166" s="281"/>
      <c r="AP166" s="241"/>
      <c r="AR166" s="403"/>
      <c r="AS166" s="403"/>
      <c r="AT166" s="403"/>
      <c r="AU166" s="403" t="s">
        <v>2687</v>
      </c>
      <c r="AV166" s="403"/>
      <c r="AW166" s="403"/>
      <c r="AX166" s="403"/>
      <c r="AY166" s="403"/>
      <c r="AZ166" s="403"/>
      <c r="BA166" s="403"/>
      <c r="BB166" s="403"/>
      <c r="BC166" s="403"/>
      <c r="BD166" s="403"/>
      <c r="BE166" s="403"/>
      <c r="BF166" s="403"/>
      <c r="BG166" s="403"/>
      <c r="BH166" s="403"/>
      <c r="BI166" s="403"/>
      <c r="BJ166" s="403" t="s">
        <v>2689</v>
      </c>
      <c r="BK166" s="403"/>
      <c r="BL166" s="403"/>
      <c r="BM166" s="403"/>
      <c r="BN166" s="403"/>
      <c r="BO166" s="403"/>
      <c r="BP166" s="403"/>
      <c r="BQ166" s="403"/>
      <c r="BR166" s="403"/>
      <c r="BS166" s="403"/>
      <c r="BT166" s="403"/>
      <c r="BU166" s="403"/>
      <c r="BV166" s="403"/>
      <c r="BW166" s="403"/>
      <c r="BX166" s="403"/>
      <c r="BY166" s="403"/>
      <c r="BZ166" s="403"/>
      <c r="CA166" s="403"/>
      <c r="CB166" s="403"/>
      <c r="CC166" s="403" t="s">
        <v>12136</v>
      </c>
      <c r="CD166" s="403"/>
      <c r="CE166" s="403"/>
      <c r="CF166" s="403"/>
      <c r="CG166" s="403"/>
      <c r="CH166" s="403"/>
      <c r="CI166" s="403"/>
      <c r="CJ166" s="403"/>
      <c r="CK166" s="403"/>
      <c r="CL166" s="403"/>
      <c r="CM166" s="403"/>
      <c r="CN166" s="403"/>
      <c r="CO166" s="403"/>
      <c r="CP166" s="403"/>
      <c r="CQ166" s="403"/>
      <c r="CR166" s="403" t="s">
        <v>12137</v>
      </c>
      <c r="CS166" s="403"/>
      <c r="CT166" s="403"/>
      <c r="CU166" s="403"/>
      <c r="CV166" s="403"/>
      <c r="CW166" s="403"/>
      <c r="CX166" s="403"/>
      <c r="CY166" s="403"/>
      <c r="CZ166" s="403"/>
      <c r="DA166" s="403"/>
      <c r="DB166" s="403"/>
      <c r="DC166" s="403"/>
      <c r="DD166" s="403"/>
      <c r="DE166" s="403"/>
      <c r="DF166" s="403"/>
      <c r="DG166" s="403"/>
      <c r="DH166" s="403"/>
      <c r="DI166" s="403"/>
      <c r="DJ166" s="403"/>
      <c r="DK166" s="403" t="s">
        <v>12138</v>
      </c>
      <c r="DL166" s="403"/>
      <c r="DM166" s="403"/>
      <c r="DN166" s="403"/>
      <c r="DO166" s="403"/>
      <c r="DP166" s="403"/>
      <c r="DQ166" s="403"/>
      <c r="DR166" s="403"/>
      <c r="DS166" s="403"/>
      <c r="DT166" s="403"/>
      <c r="DU166" s="403"/>
      <c r="DV166" s="403"/>
      <c r="DW166" s="403"/>
      <c r="DX166" s="403"/>
      <c r="DY166" s="403"/>
      <c r="DZ166" s="403" t="s">
        <v>12139</v>
      </c>
      <c r="EA166" s="403"/>
      <c r="EB166" s="403"/>
      <c r="EC166" s="403"/>
      <c r="ED166" s="403"/>
      <c r="EE166" s="403"/>
      <c r="EF166" s="403"/>
      <c r="EG166" s="403"/>
      <c r="EH166" s="403"/>
      <c r="EI166" s="403"/>
      <c r="EJ166" s="403"/>
      <c r="EK166" s="403"/>
      <c r="EL166" s="403"/>
      <c r="EM166" s="403"/>
      <c r="EN166" s="403"/>
      <c r="EO166" s="403"/>
      <c r="EP166" s="403"/>
      <c r="EQ166" s="403"/>
      <c r="ER166" s="403"/>
      <c r="ES166" s="403" t="s">
        <v>12140</v>
      </c>
      <c r="ET166" s="403"/>
      <c r="EU166" s="403"/>
      <c r="EV166" s="403"/>
      <c r="EW166" s="403"/>
      <c r="EX166" s="403"/>
      <c r="EY166" s="403"/>
      <c r="EZ166" s="403"/>
      <c r="FA166" s="403"/>
      <c r="FB166" s="403"/>
      <c r="FC166" s="403"/>
      <c r="FD166" s="403"/>
      <c r="FE166" s="403"/>
      <c r="FF166" s="403"/>
      <c r="FG166" s="403"/>
      <c r="FH166" s="403" t="s">
        <v>12141</v>
      </c>
      <c r="FI166" s="403"/>
      <c r="FJ166" s="403"/>
      <c r="FK166" s="403"/>
      <c r="FL166" s="403"/>
      <c r="FM166" s="403"/>
      <c r="FN166" s="403"/>
      <c r="FO166" s="403"/>
      <c r="FP166" s="403"/>
      <c r="FQ166" s="403"/>
      <c r="FR166" s="403"/>
      <c r="FS166" s="403"/>
      <c r="FT166" s="403"/>
      <c r="FU166" s="403"/>
      <c r="FV166" s="403"/>
      <c r="FW166" s="403"/>
      <c r="FX166" s="403"/>
      <c r="FY166" s="403"/>
      <c r="FZ166" s="403"/>
      <c r="GA166" s="403" t="s">
        <v>12142</v>
      </c>
      <c r="GB166" s="403"/>
      <c r="GC166" s="403"/>
      <c r="GD166" s="403"/>
      <c r="GE166" s="403"/>
      <c r="GF166" s="403"/>
      <c r="GG166" s="403"/>
      <c r="GH166" s="403"/>
      <c r="GI166" s="403"/>
      <c r="GJ166" s="403"/>
      <c r="GK166" s="403"/>
      <c r="GL166" s="403"/>
      <c r="GM166" s="403"/>
      <c r="GN166" s="403"/>
      <c r="GO166" s="403"/>
      <c r="GP166" s="403" t="s">
        <v>12143</v>
      </c>
      <c r="GQ166" s="403"/>
      <c r="GR166" s="403"/>
      <c r="GS166" s="403"/>
      <c r="GT166" s="403"/>
      <c r="GU166" s="403"/>
      <c r="GV166" s="403"/>
      <c r="GW166" s="403"/>
      <c r="GX166" s="403"/>
      <c r="GY166" s="403"/>
      <c r="GZ166" s="403"/>
      <c r="HA166" s="403"/>
      <c r="HB166" s="403"/>
      <c r="HC166" s="403"/>
      <c r="HD166" s="403"/>
      <c r="HE166" s="403"/>
      <c r="HF166" s="403"/>
      <c r="HG166" s="403"/>
      <c r="HH166" s="403" t="s">
        <v>12009</v>
      </c>
      <c r="HI166" s="403" t="s">
        <v>12144</v>
      </c>
      <c r="HJ166" s="403"/>
      <c r="HK166" s="403"/>
      <c r="HL166" s="403"/>
      <c r="HM166" s="403"/>
      <c r="HN166" s="403"/>
      <c r="HO166" s="403"/>
      <c r="HP166" s="403"/>
      <c r="HQ166" s="403"/>
      <c r="HR166" s="403"/>
      <c r="HS166" s="403"/>
      <c r="HT166" s="403"/>
      <c r="HU166" s="403"/>
      <c r="HV166" s="403"/>
      <c r="HW166" s="403"/>
      <c r="HX166" s="403" t="s">
        <v>12145</v>
      </c>
      <c r="HY166" s="403"/>
      <c r="HZ166" s="403"/>
      <c r="IA166" s="403"/>
      <c r="IB166" s="403"/>
      <c r="IC166" s="403"/>
      <c r="ID166" s="403"/>
      <c r="IE166" s="403"/>
      <c r="IF166" s="403"/>
      <c r="IG166" s="403"/>
      <c r="IH166" s="403"/>
      <c r="II166" s="403"/>
      <c r="IJ166" s="403"/>
      <c r="IK166" s="403"/>
      <c r="IL166" s="403"/>
      <c r="IM166" s="403"/>
      <c r="IN166" s="403"/>
      <c r="IO166" s="403"/>
      <c r="IP166" s="403"/>
      <c r="IQ166" s="403" t="s">
        <v>12146</v>
      </c>
      <c r="IR166" s="403"/>
      <c r="IS166" s="403"/>
      <c r="IT166" s="403"/>
      <c r="IU166" s="403"/>
      <c r="IV166" s="403"/>
      <c r="IW166" s="403"/>
      <c r="IX166" s="403"/>
      <c r="IY166" s="403"/>
      <c r="IZ166" s="403"/>
      <c r="JA166" s="403"/>
      <c r="JB166" s="403"/>
      <c r="JC166" s="403"/>
      <c r="JD166" s="403"/>
      <c r="JE166" s="403"/>
      <c r="JF166" s="403" t="s">
        <v>12147</v>
      </c>
      <c r="JG166" s="403"/>
      <c r="JH166" s="403"/>
      <c r="JI166" s="403"/>
      <c r="JJ166" s="403"/>
      <c r="JK166" s="403"/>
      <c r="JL166" s="403"/>
      <c r="JM166" s="403"/>
      <c r="JN166" s="403"/>
      <c r="JO166" s="403"/>
      <c r="JP166" s="403"/>
      <c r="JQ166" s="403"/>
      <c r="JR166" s="403"/>
      <c r="JS166" s="403"/>
      <c r="JT166" s="403"/>
    </row>
    <row r="167" spans="1:280" s="150" customFormat="1" ht="25.5" x14ac:dyDescent="0.2">
      <c r="B167" s="622"/>
      <c r="C167" s="370" t="str">
        <f ca="1">IF(OFFSET(AU167,0,Lang_Order*Lang__B5)="","",OFFSET(AU167,0,Lang_Order*Lang__B5))</f>
        <v xml:space="preserve">Number of teams | Finish sites within the Time Period (minus weekends) </v>
      </c>
      <c r="D167" s="3">
        <f>IF(ISBLANK(D168),HRH_DefaultDays_DM1to3,D168)</f>
        <v>115</v>
      </c>
      <c r="E167" s="85" t="str">
        <f ca="1">IF(OFFSET(AW167,0,Lang_Order*Lang__B5)="","",OFFSET(AW167,0,Lang_Order*Lang__B5))</f>
        <v>days</v>
      </c>
      <c r="J167" s="108" t="e">
        <f t="shared" ref="J167:O167" si="405">MIN(ROUNDUP((J147*$E$138)/$D167,0),ROUNDUP((J147*$E$138)/J$8,0))</f>
        <v>#N/A</v>
      </c>
      <c r="K167" s="108" t="e">
        <f t="shared" si="405"/>
        <v>#N/A</v>
      </c>
      <c r="L167" s="108" t="e">
        <f t="shared" si="405"/>
        <v>#N/A</v>
      </c>
      <c r="M167" s="108" t="e">
        <f t="shared" si="405"/>
        <v>#N/A</v>
      </c>
      <c r="N167" s="108" t="e">
        <f t="shared" si="405"/>
        <v>#N/A</v>
      </c>
      <c r="O167" s="108" t="e">
        <f t="shared" si="405"/>
        <v>#N/A</v>
      </c>
      <c r="R167" s="12" t="str">
        <f t="shared" ca="1" si="328"/>
        <v>Consider travel time and breaks</v>
      </c>
      <c r="S167" s="2"/>
      <c r="T167" s="241"/>
      <c r="U167" s="622"/>
      <c r="V167" s="612" t="str">
        <f ca="1">IF(OFFSET(AU167,0,Lang_Order*Lang__B5)="","",OFFSET(AU167,0,Lang_Order*Lang__B5))</f>
        <v xml:space="preserve">Number of teams | Finish sites within the Time Period (minus weekends) </v>
      </c>
      <c r="W167" s="108" t="e">
        <f t="shared" ref="W167:AB167" si="406">MIN(ROUNDUP((W147*$E$138)/$D167,0),ROUNDUP((W147*$E$138)/J$8,0))</f>
        <v>#N/A</v>
      </c>
      <c r="X167" s="108" t="e">
        <f t="shared" si="406"/>
        <v>#N/A</v>
      </c>
      <c r="Y167" s="108" t="e">
        <f t="shared" si="406"/>
        <v>#N/A</v>
      </c>
      <c r="Z167" s="108" t="e">
        <f t="shared" si="406"/>
        <v>#N/A</v>
      </c>
      <c r="AA167" s="108" t="e">
        <f t="shared" si="406"/>
        <v>#N/A</v>
      </c>
      <c r="AB167" s="108" t="e">
        <f t="shared" si="406"/>
        <v>#N/A</v>
      </c>
      <c r="AC167" s="281"/>
      <c r="AD167" s="241"/>
      <c r="AE167" s="2"/>
      <c r="AF167" s="241"/>
      <c r="AG167" s="622"/>
      <c r="AH167" s="612" t="str">
        <f ca="1">IF(OFFSET(AU167,0,Lang_Order*Lang__B5)="","",OFFSET(AU167,0,Lang_Order*Lang__B5))</f>
        <v xml:space="preserve">Number of teams | Finish sites within the Time Period (minus weekends) </v>
      </c>
      <c r="AI167" s="108" t="e">
        <f t="shared" ref="AI167:AN167" si="407">MIN(ROUNDUP((AI147*$E$138)/$D167,0),ROUNDUP((AI147*$E$138)/J$8,0))</f>
        <v>#N/A</v>
      </c>
      <c r="AJ167" s="108" t="e">
        <f t="shared" si="407"/>
        <v>#N/A</v>
      </c>
      <c r="AK167" s="108" t="e">
        <f t="shared" si="407"/>
        <v>#N/A</v>
      </c>
      <c r="AL167" s="108" t="e">
        <f t="shared" si="407"/>
        <v>#N/A</v>
      </c>
      <c r="AM167" s="108" t="e">
        <f t="shared" si="407"/>
        <v>#N/A</v>
      </c>
      <c r="AN167" s="108" t="e">
        <f t="shared" si="407"/>
        <v>#N/A</v>
      </c>
      <c r="AO167" s="281"/>
      <c r="AP167" s="241"/>
      <c r="AR167" s="403"/>
      <c r="AS167" s="403"/>
      <c r="AT167" s="403"/>
      <c r="AU167" s="403" t="s">
        <v>2828</v>
      </c>
      <c r="AV167" s="403"/>
      <c r="AW167" s="564" t="s">
        <v>2697</v>
      </c>
      <c r="AX167" s="403"/>
      <c r="AY167" s="403"/>
      <c r="AZ167" s="403"/>
      <c r="BA167" s="403"/>
      <c r="BB167" s="403"/>
      <c r="BC167" s="403"/>
      <c r="BD167" s="403"/>
      <c r="BE167" s="403"/>
      <c r="BF167" s="403"/>
      <c r="BG167" s="403"/>
      <c r="BH167" s="403"/>
      <c r="BI167" s="403"/>
      <c r="BJ167" s="403" t="s">
        <v>2688</v>
      </c>
      <c r="BK167" s="403"/>
      <c r="BL167" s="403"/>
      <c r="BM167" s="403"/>
      <c r="BN167" s="403"/>
      <c r="BO167" s="403"/>
      <c r="BP167" s="403"/>
      <c r="BQ167" s="403"/>
      <c r="BR167" s="403"/>
      <c r="BS167" s="403"/>
      <c r="BT167" s="403"/>
      <c r="BU167" s="403"/>
      <c r="BV167" s="403"/>
      <c r="BW167" s="403"/>
      <c r="BX167" s="403"/>
      <c r="BY167" s="403"/>
      <c r="BZ167" s="403"/>
      <c r="CA167" s="403"/>
      <c r="CB167" s="403"/>
      <c r="CC167" s="403" t="s">
        <v>12148</v>
      </c>
      <c r="CD167" s="403"/>
      <c r="CE167" s="564" t="s">
        <v>5674</v>
      </c>
      <c r="CF167" s="403"/>
      <c r="CG167" s="403"/>
      <c r="CH167" s="403"/>
      <c r="CI167" s="403"/>
      <c r="CJ167" s="403"/>
      <c r="CK167" s="403"/>
      <c r="CL167" s="403"/>
      <c r="CM167" s="403"/>
      <c r="CN167" s="403"/>
      <c r="CO167" s="403"/>
      <c r="CP167" s="403"/>
      <c r="CQ167" s="403"/>
      <c r="CR167" s="403" t="s">
        <v>12149</v>
      </c>
      <c r="CS167" s="403"/>
      <c r="CT167" s="403"/>
      <c r="CU167" s="403"/>
      <c r="CV167" s="403"/>
      <c r="CW167" s="403"/>
      <c r="CX167" s="403"/>
      <c r="CY167" s="403"/>
      <c r="CZ167" s="403"/>
      <c r="DA167" s="403"/>
      <c r="DB167" s="403"/>
      <c r="DC167" s="403"/>
      <c r="DD167" s="403"/>
      <c r="DE167" s="403"/>
      <c r="DF167" s="403"/>
      <c r="DG167" s="403"/>
      <c r="DH167" s="403"/>
      <c r="DI167" s="403"/>
      <c r="DJ167" s="403"/>
      <c r="DK167" s="403" t="s">
        <v>12150</v>
      </c>
      <c r="DL167" s="403"/>
      <c r="DM167" s="564" t="s">
        <v>12410</v>
      </c>
      <c r="DN167" s="403"/>
      <c r="DO167" s="403"/>
      <c r="DP167" s="403"/>
      <c r="DQ167" s="403"/>
      <c r="DR167" s="403"/>
      <c r="DS167" s="403"/>
      <c r="DT167" s="403"/>
      <c r="DU167" s="403"/>
      <c r="DV167" s="403"/>
      <c r="DW167" s="403"/>
      <c r="DX167" s="403"/>
      <c r="DY167" s="403"/>
      <c r="DZ167" s="403" t="s">
        <v>12151</v>
      </c>
      <c r="EA167" s="403"/>
      <c r="EB167" s="403"/>
      <c r="EC167" s="403"/>
      <c r="ED167" s="403"/>
      <c r="EE167" s="403"/>
      <c r="EF167" s="403"/>
      <c r="EG167" s="403"/>
      <c r="EH167" s="403"/>
      <c r="EI167" s="403"/>
      <c r="EJ167" s="403"/>
      <c r="EK167" s="403"/>
      <c r="EL167" s="403"/>
      <c r="EM167" s="403"/>
      <c r="EN167" s="403"/>
      <c r="EO167" s="403"/>
      <c r="EP167" s="403"/>
      <c r="EQ167" s="403"/>
      <c r="ER167" s="403"/>
      <c r="ES167" s="403" t="s">
        <v>12152</v>
      </c>
      <c r="ET167" s="403"/>
      <c r="EU167" s="564" t="s">
        <v>6931</v>
      </c>
      <c r="EV167" s="403"/>
      <c r="EW167" s="403"/>
      <c r="EX167" s="403"/>
      <c r="EY167" s="403"/>
      <c r="EZ167" s="403"/>
      <c r="FA167" s="403"/>
      <c r="FB167" s="403"/>
      <c r="FC167" s="403"/>
      <c r="FD167" s="403"/>
      <c r="FE167" s="403"/>
      <c r="FF167" s="403"/>
      <c r="FG167" s="403"/>
      <c r="FH167" s="403" t="s">
        <v>12153</v>
      </c>
      <c r="FI167" s="403"/>
      <c r="FJ167" s="403"/>
      <c r="FK167" s="403"/>
      <c r="FL167" s="403"/>
      <c r="FM167" s="403"/>
      <c r="FN167" s="403"/>
      <c r="FO167" s="403"/>
      <c r="FP167" s="403"/>
      <c r="FQ167" s="403"/>
      <c r="FR167" s="403"/>
      <c r="FS167" s="403"/>
      <c r="FT167" s="403"/>
      <c r="FU167" s="403"/>
      <c r="FV167" s="403"/>
      <c r="FW167" s="403"/>
      <c r="FX167" s="403"/>
      <c r="FY167" s="403"/>
      <c r="FZ167" s="403"/>
      <c r="GA167" s="403" t="s">
        <v>12154</v>
      </c>
      <c r="GB167" s="403"/>
      <c r="GC167" s="564" t="s">
        <v>6934</v>
      </c>
      <c r="GD167" s="403"/>
      <c r="GE167" s="403"/>
      <c r="GF167" s="403"/>
      <c r="GG167" s="403"/>
      <c r="GH167" s="403"/>
      <c r="GI167" s="403"/>
      <c r="GJ167" s="403"/>
      <c r="GK167" s="403"/>
      <c r="GL167" s="403"/>
      <c r="GM167" s="403"/>
      <c r="GN167" s="403"/>
      <c r="GO167" s="403"/>
      <c r="GP167" s="403" t="s">
        <v>12155</v>
      </c>
      <c r="GQ167" s="403"/>
      <c r="GR167" s="403"/>
      <c r="GS167" s="403"/>
      <c r="GT167" s="403"/>
      <c r="GU167" s="403"/>
      <c r="GV167" s="403"/>
      <c r="GW167" s="403"/>
      <c r="GX167" s="403"/>
      <c r="GY167" s="403"/>
      <c r="GZ167" s="403"/>
      <c r="HA167" s="403"/>
      <c r="HB167" s="403"/>
      <c r="HC167" s="403"/>
      <c r="HD167" s="403"/>
      <c r="HE167" s="403"/>
      <c r="HF167" s="403"/>
      <c r="HG167" s="403"/>
      <c r="HH167" s="403"/>
      <c r="HI167" s="403" t="s">
        <v>12156</v>
      </c>
      <c r="HJ167" s="403"/>
      <c r="HK167" s="564" t="s">
        <v>6937</v>
      </c>
      <c r="HL167" s="403"/>
      <c r="HM167" s="403"/>
      <c r="HN167" s="403"/>
      <c r="HO167" s="403"/>
      <c r="HP167" s="403"/>
      <c r="HQ167" s="403"/>
      <c r="HR167" s="403"/>
      <c r="HS167" s="403"/>
      <c r="HT167" s="403"/>
      <c r="HU167" s="403"/>
      <c r="HV167" s="403"/>
      <c r="HW167" s="403"/>
      <c r="HX167" s="403" t="s">
        <v>12157</v>
      </c>
      <c r="HY167" s="403"/>
      <c r="HZ167" s="403"/>
      <c r="IA167" s="403"/>
      <c r="IB167" s="403"/>
      <c r="IC167" s="403"/>
      <c r="ID167" s="403"/>
      <c r="IE167" s="403"/>
      <c r="IF167" s="403"/>
      <c r="IG167" s="403"/>
      <c r="IH167" s="403"/>
      <c r="II167" s="403"/>
      <c r="IJ167" s="403"/>
      <c r="IK167" s="403"/>
      <c r="IL167" s="403"/>
      <c r="IM167" s="403"/>
      <c r="IN167" s="403"/>
      <c r="IO167" s="403"/>
      <c r="IP167" s="403"/>
      <c r="IQ167" s="403" t="s">
        <v>12158</v>
      </c>
      <c r="IR167" s="403"/>
      <c r="IS167" s="564" t="s">
        <v>5721</v>
      </c>
      <c r="IT167" s="403"/>
      <c r="IU167" s="403"/>
      <c r="IV167" s="403"/>
      <c r="IW167" s="403"/>
      <c r="IX167" s="403"/>
      <c r="IY167" s="403"/>
      <c r="IZ167" s="403"/>
      <c r="JA167" s="403"/>
      <c r="JB167" s="403"/>
      <c r="JC167" s="403"/>
      <c r="JD167" s="403"/>
      <c r="JE167" s="403"/>
      <c r="JF167" s="403" t="s">
        <v>12159</v>
      </c>
      <c r="JG167" s="403"/>
      <c r="JH167" s="403"/>
      <c r="JI167" s="403"/>
      <c r="JJ167" s="403"/>
      <c r="JK167" s="403"/>
      <c r="JL167" s="403"/>
      <c r="JM167" s="403"/>
      <c r="JN167" s="403"/>
      <c r="JO167" s="403"/>
      <c r="JP167" s="403"/>
      <c r="JQ167" s="403"/>
      <c r="JR167" s="403"/>
      <c r="JS167" s="403"/>
      <c r="JT167" s="403"/>
    </row>
    <row r="168" spans="1:280" s="150" customFormat="1" ht="12.75" x14ac:dyDescent="0.2">
      <c r="A168" s="85"/>
      <c r="B168" s="622"/>
      <c r="C168" s="270" t="str">
        <f ca="1">IF(OFFSET(AU168,0,Lang_Order*Lang__B5)="","",OFFSET(AU168,0,Lang_Order*Lang__B5))</f>
        <v>Override here to accelerate vaccination program</v>
      </c>
      <c r="D168" s="35"/>
      <c r="E168" s="85" t="str">
        <f ca="1">IF(OFFSET(AW168,0,Lang_Order*Lang__B5)="","",OFFSET(AW168,0,Lang_Order*Lang__B5))</f>
        <v>days</v>
      </c>
      <c r="R168" s="12" t="str">
        <f t="shared" ca="1" si="328"/>
        <v/>
      </c>
      <c r="S168" s="2"/>
      <c r="T168" s="241"/>
      <c r="U168" s="622"/>
      <c r="V168" s="2"/>
      <c r="AC168" s="281"/>
      <c r="AE168" s="2"/>
      <c r="AF168" s="241"/>
      <c r="AG168" s="622"/>
      <c r="AH168" s="2"/>
      <c r="AO168" s="281"/>
      <c r="AR168" s="403"/>
      <c r="AS168" s="403"/>
      <c r="AT168" s="403"/>
      <c r="AU168" s="403" t="s">
        <v>4564</v>
      </c>
      <c r="AV168" s="403"/>
      <c r="AW168" s="403" t="s">
        <v>2697</v>
      </c>
      <c r="AX168" s="403"/>
      <c r="AY168" s="403"/>
      <c r="AZ168" s="403"/>
      <c r="BA168" s="403"/>
      <c r="BB168" s="403"/>
      <c r="BC168" s="403"/>
      <c r="BD168" s="403"/>
      <c r="BE168" s="403"/>
      <c r="BF168" s="403"/>
      <c r="BG168" s="403"/>
      <c r="BH168" s="403"/>
      <c r="BI168" s="403"/>
      <c r="BJ168" s="403"/>
      <c r="BK168" s="403"/>
      <c r="BL168" s="403"/>
      <c r="BM168" s="403"/>
      <c r="BN168" s="403"/>
      <c r="BO168" s="403"/>
      <c r="BP168" s="403"/>
      <c r="BQ168" s="403"/>
      <c r="BR168" s="403"/>
      <c r="BS168" s="403"/>
      <c r="BT168" s="403"/>
      <c r="BU168" s="403"/>
      <c r="BV168" s="403"/>
      <c r="BW168" s="403"/>
      <c r="BX168" s="403"/>
      <c r="BY168" s="403"/>
      <c r="BZ168" s="403"/>
      <c r="CA168" s="403"/>
      <c r="CB168" s="403"/>
      <c r="CC168" s="403" t="s">
        <v>13251</v>
      </c>
      <c r="CD168" s="403"/>
      <c r="CE168" s="403" t="s">
        <v>5674</v>
      </c>
      <c r="CF168" s="403"/>
      <c r="CG168" s="403"/>
      <c r="CH168" s="403"/>
      <c r="CI168" s="403"/>
      <c r="CJ168" s="403"/>
      <c r="CK168" s="403"/>
      <c r="CL168" s="403"/>
      <c r="CM168" s="403"/>
      <c r="CN168" s="403"/>
      <c r="CO168" s="403"/>
      <c r="CP168" s="403"/>
      <c r="CQ168" s="403"/>
      <c r="CR168" s="403"/>
      <c r="CS168" s="403"/>
      <c r="CT168" s="403"/>
      <c r="CU168" s="403"/>
      <c r="CV168" s="403"/>
      <c r="CW168" s="403"/>
      <c r="CX168" s="403"/>
      <c r="CY168" s="403"/>
      <c r="CZ168" s="403"/>
      <c r="DA168" s="403"/>
      <c r="DB168" s="403"/>
      <c r="DC168" s="403"/>
      <c r="DD168" s="403"/>
      <c r="DE168" s="403"/>
      <c r="DF168" s="403"/>
      <c r="DG168" s="403"/>
      <c r="DH168" s="403"/>
      <c r="DI168" s="403"/>
      <c r="DJ168" s="403"/>
      <c r="DK168" s="403" t="s">
        <v>13252</v>
      </c>
      <c r="DL168" s="403"/>
      <c r="DM168" s="403" t="s">
        <v>12410</v>
      </c>
      <c r="DN168" s="403"/>
      <c r="DO168" s="403"/>
      <c r="DP168" s="403"/>
      <c r="DQ168" s="403"/>
      <c r="DR168" s="403"/>
      <c r="DS168" s="403"/>
      <c r="DT168" s="403"/>
      <c r="DU168" s="403"/>
      <c r="DV168" s="403"/>
      <c r="DW168" s="403"/>
      <c r="DX168" s="403"/>
      <c r="DY168" s="403"/>
      <c r="DZ168" s="403"/>
      <c r="EA168" s="403"/>
      <c r="EB168" s="403"/>
      <c r="EC168" s="403"/>
      <c r="ED168" s="403"/>
      <c r="EE168" s="403"/>
      <c r="EF168" s="403"/>
      <c r="EG168" s="403"/>
      <c r="EH168" s="403"/>
      <c r="EI168" s="403"/>
      <c r="EJ168" s="403"/>
      <c r="EK168" s="403"/>
      <c r="EL168" s="403"/>
      <c r="EM168" s="403"/>
      <c r="EN168" s="403"/>
      <c r="EO168" s="403"/>
      <c r="EP168" s="403"/>
      <c r="EQ168" s="403"/>
      <c r="ER168" s="403"/>
      <c r="ES168" s="403" t="s">
        <v>13253</v>
      </c>
      <c r="ET168" s="403"/>
      <c r="EU168" s="403" t="s">
        <v>6931</v>
      </c>
      <c r="EV168" s="403"/>
      <c r="EW168" s="403"/>
      <c r="EX168" s="403"/>
      <c r="EY168" s="403"/>
      <c r="EZ168" s="403"/>
      <c r="FA168" s="403"/>
      <c r="FB168" s="403"/>
      <c r="FC168" s="403"/>
      <c r="FD168" s="403"/>
      <c r="FE168" s="403"/>
      <c r="FF168" s="403"/>
      <c r="FG168" s="403"/>
      <c r="FH168" s="403"/>
      <c r="FI168" s="403"/>
      <c r="FJ168" s="403"/>
      <c r="FK168" s="403"/>
      <c r="FL168" s="403"/>
      <c r="FM168" s="403"/>
      <c r="FN168" s="403"/>
      <c r="FO168" s="403"/>
      <c r="FP168" s="403"/>
      <c r="FQ168" s="403"/>
      <c r="FR168" s="403"/>
      <c r="FS168" s="403"/>
      <c r="FT168" s="403"/>
      <c r="FU168" s="403"/>
      <c r="FV168" s="403"/>
      <c r="FW168" s="403"/>
      <c r="FX168" s="403"/>
      <c r="FY168" s="403"/>
      <c r="FZ168" s="403"/>
      <c r="GA168" s="403" t="s">
        <v>13254</v>
      </c>
      <c r="GB168" s="403"/>
      <c r="GC168" s="403" t="s">
        <v>6934</v>
      </c>
      <c r="GD168" s="403"/>
      <c r="GE168" s="403"/>
      <c r="GF168" s="403"/>
      <c r="GG168" s="403"/>
      <c r="GH168" s="403"/>
      <c r="GI168" s="403"/>
      <c r="GJ168" s="403"/>
      <c r="GK168" s="403"/>
      <c r="GL168" s="403"/>
      <c r="GM168" s="403"/>
      <c r="GN168" s="403"/>
      <c r="GO168" s="403"/>
      <c r="GP168" s="403"/>
      <c r="GQ168" s="403"/>
      <c r="GR168" s="403"/>
      <c r="GS168" s="403"/>
      <c r="GT168" s="403"/>
      <c r="GU168" s="403"/>
      <c r="GV168" s="403"/>
      <c r="GW168" s="403"/>
      <c r="GX168" s="403"/>
      <c r="GY168" s="403"/>
      <c r="GZ168" s="403"/>
      <c r="HA168" s="403"/>
      <c r="HB168" s="403"/>
      <c r="HC168" s="403"/>
      <c r="HD168" s="403"/>
      <c r="HE168" s="403"/>
      <c r="HF168" s="403"/>
      <c r="HG168" s="403"/>
      <c r="HH168" s="403"/>
      <c r="HI168" s="403" t="s">
        <v>13255</v>
      </c>
      <c r="HJ168" s="403"/>
      <c r="HK168" s="403" t="s">
        <v>6937</v>
      </c>
      <c r="HL168" s="403"/>
      <c r="HM168" s="403"/>
      <c r="HN168" s="403"/>
      <c r="HO168" s="403"/>
      <c r="HP168" s="403"/>
      <c r="HQ168" s="403"/>
      <c r="HR168" s="403"/>
      <c r="HS168" s="403"/>
      <c r="HT168" s="403"/>
      <c r="HU168" s="403"/>
      <c r="HV168" s="403"/>
      <c r="HW168" s="403"/>
      <c r="HX168" s="403"/>
      <c r="HY168" s="403"/>
      <c r="HZ168" s="403"/>
      <c r="IA168" s="403"/>
      <c r="IB168" s="403"/>
      <c r="IC168" s="403"/>
      <c r="ID168" s="403"/>
      <c r="IE168" s="403"/>
      <c r="IF168" s="403"/>
      <c r="IG168" s="403"/>
      <c r="IH168" s="403"/>
      <c r="II168" s="403"/>
      <c r="IJ168" s="403"/>
      <c r="IK168" s="403"/>
      <c r="IL168" s="403"/>
      <c r="IM168" s="403"/>
      <c r="IN168" s="403"/>
      <c r="IO168" s="403"/>
      <c r="IP168" s="403"/>
      <c r="IQ168" s="403" t="s">
        <v>13256</v>
      </c>
      <c r="IR168" s="403"/>
      <c r="IS168" s="403" t="s">
        <v>5721</v>
      </c>
      <c r="IT168" s="403"/>
      <c r="IU168" s="403"/>
      <c r="IV168" s="403"/>
      <c r="IW168" s="403"/>
      <c r="IX168" s="403"/>
      <c r="IY168" s="403"/>
      <c r="IZ168" s="403"/>
      <c r="JA168" s="403"/>
      <c r="JB168" s="403"/>
      <c r="JC168" s="403"/>
      <c r="JD168" s="403"/>
      <c r="JE168" s="403"/>
      <c r="JF168" s="403"/>
      <c r="JG168" s="403"/>
      <c r="JH168" s="403"/>
      <c r="JI168" s="403"/>
      <c r="JJ168" s="403"/>
      <c r="JK168" s="403"/>
      <c r="JL168" s="403"/>
      <c r="JM168" s="403"/>
      <c r="JN168" s="403"/>
      <c r="JO168" s="403"/>
      <c r="JP168" s="403"/>
      <c r="JQ168" s="403"/>
      <c r="JR168" s="403"/>
      <c r="JS168" s="403"/>
      <c r="JT168" s="403"/>
    </row>
    <row r="169" spans="1:280" s="15" customFormat="1" ht="12.75" x14ac:dyDescent="0.2">
      <c r="A169" s="9"/>
      <c r="B169" s="624" t="str">
        <f ca="1">IF(OFFSET(AT169,0,Lang_Order*Lang__B5)="","",OFFSET(AT169,0,Lang_Order*Lang__B5))</f>
        <v>Local Demand Generation and Communications</v>
      </c>
      <c r="C169" s="23"/>
      <c r="E169" s="26"/>
      <c r="F169" s="26"/>
      <c r="G169" s="26"/>
      <c r="H169" s="26"/>
      <c r="I169" s="26"/>
      <c r="P169" s="26"/>
      <c r="Q169" s="26"/>
      <c r="R169" s="12" t="str">
        <f t="shared" ca="1" si="328"/>
        <v/>
      </c>
      <c r="S169" s="2"/>
      <c r="T169" s="241"/>
      <c r="U169" s="624" t="str">
        <f ca="1">IF(OFFSET(AT169,0,Lang_Order*Lang__B5)="","",OFFSET(AT169,0,Lang_Order*Lang__B5))</f>
        <v>Local Demand Generation and Communications</v>
      </c>
      <c r="V169" s="72"/>
      <c r="AC169" s="26"/>
      <c r="AE169" s="2"/>
      <c r="AF169" s="241"/>
      <c r="AG169" s="624" t="str">
        <f ca="1">IF(OFFSET(AT169,0,Lang_Order*Lang__B5)="","",OFFSET(AT169,0,Lang_Order*Lang__B5))</f>
        <v>Local Demand Generation and Communications</v>
      </c>
      <c r="AH169" s="72"/>
      <c r="AO169" s="26"/>
      <c r="AR169" s="403"/>
      <c r="AS169" s="403"/>
      <c r="AT169" s="403" t="s">
        <v>1575</v>
      </c>
      <c r="AU169" s="403"/>
      <c r="AV169" s="403"/>
      <c r="AW169" s="403"/>
      <c r="AX169" s="403"/>
      <c r="AY169" s="403"/>
      <c r="AZ169" s="403"/>
      <c r="BA169" s="403"/>
      <c r="BB169" s="403"/>
      <c r="BC169" s="403"/>
      <c r="BD169" s="403"/>
      <c r="BE169" s="403"/>
      <c r="BF169" s="403"/>
      <c r="BG169" s="403"/>
      <c r="BH169" s="403"/>
      <c r="BI169" s="403"/>
      <c r="BJ169" s="403"/>
      <c r="BK169" s="403"/>
      <c r="BL169" s="403"/>
      <c r="BM169" s="403"/>
      <c r="BN169" s="403"/>
      <c r="BO169" s="403"/>
      <c r="BP169" s="403"/>
      <c r="BQ169" s="403"/>
      <c r="BR169" s="403"/>
      <c r="BS169" s="403"/>
      <c r="BT169" s="403"/>
      <c r="BU169" s="403"/>
      <c r="BV169" s="403"/>
      <c r="BW169" s="403"/>
      <c r="BX169" s="403"/>
      <c r="BY169" s="403"/>
      <c r="BZ169" s="403"/>
      <c r="CA169" s="403"/>
      <c r="CB169" s="403" t="s">
        <v>12017</v>
      </c>
      <c r="CC169" s="403"/>
      <c r="CD169" s="403"/>
      <c r="CE169" s="403"/>
      <c r="CF169" s="403"/>
      <c r="CG169" s="403"/>
      <c r="CH169" s="403"/>
      <c r="CI169" s="403"/>
      <c r="CJ169" s="403"/>
      <c r="CK169" s="403"/>
      <c r="CL169" s="403"/>
      <c r="CM169" s="403"/>
      <c r="CN169" s="403"/>
      <c r="CO169" s="403"/>
      <c r="CP169" s="403"/>
      <c r="CQ169" s="403"/>
      <c r="CR169" s="403"/>
      <c r="CS169" s="403"/>
      <c r="CT169" s="403"/>
      <c r="CU169" s="403"/>
      <c r="CV169" s="403"/>
      <c r="CW169" s="403"/>
      <c r="CX169" s="403"/>
      <c r="CY169" s="403"/>
      <c r="CZ169" s="403"/>
      <c r="DA169" s="403"/>
      <c r="DB169" s="403"/>
      <c r="DC169" s="403"/>
      <c r="DD169" s="403"/>
      <c r="DE169" s="403"/>
      <c r="DF169" s="403"/>
      <c r="DG169" s="403"/>
      <c r="DH169" s="403"/>
      <c r="DI169" s="403"/>
      <c r="DJ169" s="403" t="s">
        <v>11627</v>
      </c>
      <c r="DK169" s="403"/>
      <c r="DL169" s="403"/>
      <c r="DM169" s="403"/>
      <c r="DN169" s="403"/>
      <c r="DO169" s="403"/>
      <c r="DP169" s="403"/>
      <c r="DQ169" s="403"/>
      <c r="DR169" s="403"/>
      <c r="DS169" s="403"/>
      <c r="DT169" s="403"/>
      <c r="DU169" s="403"/>
      <c r="DV169" s="403"/>
      <c r="DW169" s="403"/>
      <c r="DX169" s="403"/>
      <c r="DY169" s="403"/>
      <c r="DZ169" s="403"/>
      <c r="EA169" s="403"/>
      <c r="EB169" s="403"/>
      <c r="EC169" s="403"/>
      <c r="ED169" s="403"/>
      <c r="EE169" s="403"/>
      <c r="EF169" s="403"/>
      <c r="EG169" s="403"/>
      <c r="EH169" s="403"/>
      <c r="EI169" s="403"/>
      <c r="EJ169" s="403"/>
      <c r="EK169" s="403"/>
      <c r="EL169" s="403"/>
      <c r="EM169" s="403"/>
      <c r="EN169" s="403"/>
      <c r="EO169" s="403"/>
      <c r="EP169" s="403"/>
      <c r="EQ169" s="403"/>
      <c r="ER169" s="403" t="s">
        <v>11628</v>
      </c>
      <c r="ES169" s="403"/>
      <c r="ET169" s="403"/>
      <c r="EU169" s="403"/>
      <c r="EV169" s="403"/>
      <c r="EW169" s="403"/>
      <c r="EX169" s="403"/>
      <c r="EY169" s="403"/>
      <c r="EZ169" s="403"/>
      <c r="FA169" s="403"/>
      <c r="FB169" s="403"/>
      <c r="FC169" s="403"/>
      <c r="FD169" s="403"/>
      <c r="FE169" s="403"/>
      <c r="FF169" s="403"/>
      <c r="FG169" s="403"/>
      <c r="FH169" s="403"/>
      <c r="FI169" s="403"/>
      <c r="FJ169" s="403"/>
      <c r="FK169" s="403"/>
      <c r="FL169" s="403"/>
      <c r="FM169" s="403"/>
      <c r="FN169" s="403"/>
      <c r="FO169" s="403"/>
      <c r="FP169" s="403"/>
      <c r="FQ169" s="403"/>
      <c r="FR169" s="403"/>
      <c r="FS169" s="403"/>
      <c r="FT169" s="403"/>
      <c r="FU169" s="403"/>
      <c r="FV169" s="403"/>
      <c r="FW169" s="403"/>
      <c r="FX169" s="403"/>
      <c r="FY169" s="403"/>
      <c r="FZ169" s="403" t="s">
        <v>11629</v>
      </c>
      <c r="GA169" s="403"/>
      <c r="GB169" s="403"/>
      <c r="GC169" s="403"/>
      <c r="GD169" s="403"/>
      <c r="GE169" s="403"/>
      <c r="GF169" s="403"/>
      <c r="GG169" s="403"/>
      <c r="GH169" s="403"/>
      <c r="GI169" s="403"/>
      <c r="GJ169" s="403"/>
      <c r="GK169" s="403"/>
      <c r="GL169" s="403"/>
      <c r="GM169" s="403"/>
      <c r="GN169" s="403"/>
      <c r="GO169" s="403"/>
      <c r="GP169" s="403"/>
      <c r="GQ169" s="403"/>
      <c r="GR169" s="403"/>
      <c r="GS169" s="403"/>
      <c r="GT169" s="403"/>
      <c r="GU169" s="403"/>
      <c r="GV169" s="403"/>
      <c r="GW169" s="403"/>
      <c r="GX169" s="403"/>
      <c r="GY169" s="403"/>
      <c r="GZ169" s="403"/>
      <c r="HA169" s="403"/>
      <c r="HB169" s="403"/>
      <c r="HC169" s="403"/>
      <c r="HD169" s="403"/>
      <c r="HE169" s="403"/>
      <c r="HF169" s="403"/>
      <c r="HG169" s="403"/>
      <c r="HH169" s="403" t="s">
        <v>11630</v>
      </c>
      <c r="HI169" s="403"/>
      <c r="HJ169" s="403"/>
      <c r="HK169" s="403"/>
      <c r="HL169" s="403"/>
      <c r="HM169" s="403"/>
      <c r="HN169" s="403"/>
      <c r="HO169" s="403"/>
      <c r="HP169" s="403"/>
      <c r="HQ169" s="403"/>
      <c r="HR169" s="403"/>
      <c r="HS169" s="403"/>
      <c r="HT169" s="403"/>
      <c r="HU169" s="403"/>
      <c r="HV169" s="403"/>
      <c r="HW169" s="403"/>
      <c r="HX169" s="403"/>
      <c r="HY169" s="403"/>
      <c r="HZ169" s="403"/>
      <c r="IA169" s="403"/>
      <c r="IB169" s="403"/>
      <c r="IC169" s="403"/>
      <c r="ID169" s="403"/>
      <c r="IE169" s="403"/>
      <c r="IF169" s="403"/>
      <c r="IG169" s="403"/>
      <c r="IH169" s="403"/>
      <c r="II169" s="403"/>
      <c r="IJ169" s="403"/>
      <c r="IK169" s="403"/>
      <c r="IL169" s="403"/>
      <c r="IM169" s="403"/>
      <c r="IN169" s="403"/>
      <c r="IO169" s="403"/>
      <c r="IP169" s="403" t="s">
        <v>11631</v>
      </c>
      <c r="IQ169" s="403"/>
      <c r="IR169" s="403"/>
      <c r="IS169" s="403"/>
      <c r="IT169" s="403"/>
      <c r="IU169" s="403"/>
      <c r="IV169" s="403"/>
      <c r="IW169" s="403"/>
      <c r="IX169" s="403"/>
      <c r="IY169" s="403"/>
      <c r="IZ169" s="403"/>
      <c r="JA169" s="403"/>
      <c r="JB169" s="403"/>
      <c r="JC169" s="403"/>
      <c r="JD169" s="403"/>
      <c r="JE169" s="403"/>
      <c r="JF169" s="403"/>
      <c r="JG169" s="403"/>
      <c r="JH169" s="403"/>
      <c r="JI169" s="403"/>
      <c r="JJ169" s="403"/>
      <c r="JK169" s="403"/>
      <c r="JL169" s="403"/>
      <c r="JM169" s="403"/>
      <c r="JN169" s="403"/>
      <c r="JO169" s="403"/>
      <c r="JP169" s="403"/>
      <c r="JQ169" s="403"/>
      <c r="JR169" s="403"/>
      <c r="JS169" s="403"/>
      <c r="JT169" s="403"/>
    </row>
    <row r="170" spans="1:280" s="15" customFormat="1" ht="12.75" x14ac:dyDescent="0.2">
      <c r="A170" s="9"/>
      <c r="B170" s="624"/>
      <c r="C170" s="23" t="str">
        <f ca="1">IF(OFFSET(AU170,0,Lang_Order*Lang__B5)="","",OFFSET(AU170,0,Lang_Order*Lang__B5))</f>
        <v>Per Site</v>
      </c>
      <c r="E170" s="26"/>
      <c r="F170" s="26"/>
      <c r="G170" s="26"/>
      <c r="H170" s="26"/>
      <c r="I170" s="26"/>
      <c r="J170" s="63" t="e">
        <f t="shared" ref="J170:O170" si="408">J146*AUCs_Comms_PerSite</f>
        <v>#N/A</v>
      </c>
      <c r="K170" s="63" t="e">
        <f t="shared" si="408"/>
        <v>#N/A</v>
      </c>
      <c r="L170" s="63" t="e">
        <f t="shared" si="408"/>
        <v>#N/A</v>
      </c>
      <c r="M170" s="63" t="e">
        <f t="shared" si="408"/>
        <v>#N/A</v>
      </c>
      <c r="N170" s="63" t="e">
        <f t="shared" si="408"/>
        <v>#N/A</v>
      </c>
      <c r="O170" s="63" t="e">
        <f t="shared" si="408"/>
        <v>#N/A</v>
      </c>
      <c r="P170" s="83" t="e">
        <f>SUM(J170:O170)</f>
        <v>#N/A</v>
      </c>
      <c r="Q170" s="83"/>
      <c r="R170" s="12" t="str">
        <f t="shared" ca="1" si="328"/>
        <v/>
      </c>
      <c r="S170" s="2"/>
      <c r="T170" s="241"/>
      <c r="U170" s="624"/>
      <c r="V170" s="72" t="str">
        <f ca="1">IF(OFFSET(AU170,0,Lang_Order*Lang__B5)="","",OFFSET(AU170,0,Lang_Order*Lang__B5))</f>
        <v>Per Site</v>
      </c>
      <c r="W170" s="63" t="e">
        <f>J170</f>
        <v>#N/A</v>
      </c>
      <c r="X170" s="63" t="e">
        <f t="shared" ref="X170:AB172" si="409">K170</f>
        <v>#N/A</v>
      </c>
      <c r="Y170" s="63" t="e">
        <f t="shared" si="409"/>
        <v>#N/A</v>
      </c>
      <c r="Z170" s="63" t="e">
        <f t="shared" si="409"/>
        <v>#N/A</v>
      </c>
      <c r="AA170" s="63" t="e">
        <f t="shared" si="409"/>
        <v>#N/A</v>
      </c>
      <c r="AB170" s="63" t="e">
        <f t="shared" si="409"/>
        <v>#N/A</v>
      </c>
      <c r="AC170" s="83" t="e">
        <f>SUM(W170:AB170)</f>
        <v>#N/A</v>
      </c>
      <c r="AE170" s="72" t="s">
        <v>3042</v>
      </c>
      <c r="AF170" s="241"/>
      <c r="AG170" s="624"/>
      <c r="AH170" s="72" t="str">
        <f ca="1">IF(OFFSET(AU170,0,Lang_Order*Lang__B5)="","",OFFSET(AU170,0,Lang_Order*Lang__B5))</f>
        <v>Per Site</v>
      </c>
      <c r="AI170" s="63" t="e">
        <f t="shared" ref="AI170:AN170" si="410">AI146*AUCs_Comms_PerSite</f>
        <v>#N/A</v>
      </c>
      <c r="AJ170" s="63" t="e">
        <f t="shared" si="410"/>
        <v>#N/A</v>
      </c>
      <c r="AK170" s="63" t="e">
        <f t="shared" si="410"/>
        <v>#N/A</v>
      </c>
      <c r="AL170" s="63" t="e">
        <f t="shared" si="410"/>
        <v>#N/A</v>
      </c>
      <c r="AM170" s="63" t="e">
        <f t="shared" si="410"/>
        <v>#N/A</v>
      </c>
      <c r="AN170" s="63" t="e">
        <f t="shared" si="410"/>
        <v>#N/A</v>
      </c>
      <c r="AO170" s="83" t="e">
        <f>SUM(AI170:AN170)</f>
        <v>#N/A</v>
      </c>
      <c r="AR170" s="403"/>
      <c r="AS170" s="403"/>
      <c r="AT170" s="403"/>
      <c r="AU170" s="403" t="s">
        <v>1580</v>
      </c>
      <c r="AV170" s="403"/>
      <c r="AW170" s="403"/>
      <c r="AX170" s="403"/>
      <c r="AY170" s="403"/>
      <c r="AZ170" s="403"/>
      <c r="BA170" s="403"/>
      <c r="BB170" s="403"/>
      <c r="BC170" s="403"/>
      <c r="BD170" s="403"/>
      <c r="BE170" s="403"/>
      <c r="BF170" s="403"/>
      <c r="BG170" s="403"/>
      <c r="BH170" s="403"/>
      <c r="BI170" s="403"/>
      <c r="BJ170" s="403"/>
      <c r="BK170" s="403"/>
      <c r="BL170" s="403"/>
      <c r="BM170" s="403"/>
      <c r="BN170" s="403"/>
      <c r="BO170" s="403"/>
      <c r="BP170" s="403"/>
      <c r="BQ170" s="403"/>
      <c r="BR170" s="403"/>
      <c r="BS170" s="403"/>
      <c r="BT170" s="403"/>
      <c r="BU170" s="403"/>
      <c r="BV170" s="403"/>
      <c r="BW170" s="403"/>
      <c r="BX170" s="403"/>
      <c r="BY170" s="403"/>
      <c r="BZ170" s="403"/>
      <c r="CA170" s="403"/>
      <c r="CB170" s="403"/>
      <c r="CC170" s="403" t="s">
        <v>8457</v>
      </c>
      <c r="CD170" s="403"/>
      <c r="CE170" s="403"/>
      <c r="CF170" s="403"/>
      <c r="CG170" s="403"/>
      <c r="CH170" s="403"/>
      <c r="CI170" s="403"/>
      <c r="CJ170" s="403"/>
      <c r="CK170" s="403"/>
      <c r="CL170" s="403"/>
      <c r="CM170" s="403"/>
      <c r="CN170" s="403"/>
      <c r="CO170" s="403"/>
      <c r="CP170" s="403"/>
      <c r="CQ170" s="403"/>
      <c r="CR170" s="403"/>
      <c r="CS170" s="403"/>
      <c r="CT170" s="403"/>
      <c r="CU170" s="403"/>
      <c r="CV170" s="403"/>
      <c r="CW170" s="403"/>
      <c r="CX170" s="403"/>
      <c r="CY170" s="403"/>
      <c r="CZ170" s="403"/>
      <c r="DA170" s="403"/>
      <c r="DB170" s="403"/>
      <c r="DC170" s="403"/>
      <c r="DD170" s="403"/>
      <c r="DE170" s="403"/>
      <c r="DF170" s="403"/>
      <c r="DG170" s="403"/>
      <c r="DH170" s="403"/>
      <c r="DI170" s="403"/>
      <c r="DJ170" s="403"/>
      <c r="DK170" s="403" t="s">
        <v>9147</v>
      </c>
      <c r="DL170" s="403"/>
      <c r="DM170" s="403"/>
      <c r="DN170" s="403"/>
      <c r="DO170" s="403"/>
      <c r="DP170" s="403"/>
      <c r="DQ170" s="403"/>
      <c r="DR170" s="403"/>
      <c r="DS170" s="403"/>
      <c r="DT170" s="403"/>
      <c r="DU170" s="403"/>
      <c r="DV170" s="403"/>
      <c r="DW170" s="403"/>
      <c r="DX170" s="403"/>
      <c r="DY170" s="403"/>
      <c r="DZ170" s="403"/>
      <c r="EA170" s="403"/>
      <c r="EB170" s="403"/>
      <c r="EC170" s="403"/>
      <c r="ED170" s="403"/>
      <c r="EE170" s="403"/>
      <c r="EF170" s="403"/>
      <c r="EG170" s="403"/>
      <c r="EH170" s="403"/>
      <c r="EI170" s="403"/>
      <c r="EJ170" s="403"/>
      <c r="EK170" s="403"/>
      <c r="EL170" s="403"/>
      <c r="EM170" s="403"/>
      <c r="EN170" s="403"/>
      <c r="EO170" s="403"/>
      <c r="EP170" s="403"/>
      <c r="EQ170" s="403"/>
      <c r="ER170" s="403"/>
      <c r="ES170" s="403" t="s">
        <v>8579</v>
      </c>
      <c r="ET170" s="403"/>
      <c r="EU170" s="403"/>
      <c r="EV170" s="403"/>
      <c r="EW170" s="403"/>
      <c r="EX170" s="403"/>
      <c r="EY170" s="403"/>
      <c r="EZ170" s="403"/>
      <c r="FA170" s="403"/>
      <c r="FB170" s="403"/>
      <c r="FC170" s="403"/>
      <c r="FD170" s="403"/>
      <c r="FE170" s="403"/>
      <c r="FF170" s="403"/>
      <c r="FG170" s="403"/>
      <c r="FH170" s="403"/>
      <c r="FI170" s="403"/>
      <c r="FJ170" s="403"/>
      <c r="FK170" s="403"/>
      <c r="FL170" s="403"/>
      <c r="FM170" s="403"/>
      <c r="FN170" s="403"/>
      <c r="FO170" s="403"/>
      <c r="FP170" s="403"/>
      <c r="FQ170" s="403"/>
      <c r="FR170" s="403"/>
      <c r="FS170" s="403"/>
      <c r="FT170" s="403"/>
      <c r="FU170" s="403"/>
      <c r="FV170" s="403"/>
      <c r="FW170" s="403"/>
      <c r="FX170" s="403"/>
      <c r="FY170" s="403"/>
      <c r="FZ170" s="403"/>
      <c r="GA170" s="403" t="s">
        <v>8463</v>
      </c>
      <c r="GB170" s="403"/>
      <c r="GC170" s="403"/>
      <c r="GD170" s="403"/>
      <c r="GE170" s="403"/>
      <c r="GF170" s="403"/>
      <c r="GG170" s="403"/>
      <c r="GH170" s="403"/>
      <c r="GI170" s="403"/>
      <c r="GJ170" s="403"/>
      <c r="GK170" s="403"/>
      <c r="GL170" s="403"/>
      <c r="GM170" s="403"/>
      <c r="GN170" s="403"/>
      <c r="GO170" s="403"/>
      <c r="GP170" s="403"/>
      <c r="GQ170" s="403"/>
      <c r="GR170" s="403"/>
      <c r="GS170" s="403"/>
      <c r="GT170" s="403"/>
      <c r="GU170" s="403"/>
      <c r="GV170" s="403"/>
      <c r="GW170" s="403"/>
      <c r="GX170" s="403"/>
      <c r="GY170" s="403"/>
      <c r="GZ170" s="403"/>
      <c r="HA170" s="403"/>
      <c r="HB170" s="403"/>
      <c r="HC170" s="403"/>
      <c r="HD170" s="403"/>
      <c r="HE170" s="403"/>
      <c r="HF170" s="403"/>
      <c r="HG170" s="403"/>
      <c r="HH170" s="403"/>
      <c r="HI170" s="403" t="s">
        <v>8465</v>
      </c>
      <c r="HJ170" s="403"/>
      <c r="HK170" s="403"/>
      <c r="HL170" s="403"/>
      <c r="HM170" s="403"/>
      <c r="HN170" s="403"/>
      <c r="HO170" s="403"/>
      <c r="HP170" s="403"/>
      <c r="HQ170" s="403"/>
      <c r="HR170" s="403"/>
      <c r="HS170" s="403"/>
      <c r="HT170" s="403"/>
      <c r="HU170" s="403"/>
      <c r="HV170" s="403"/>
      <c r="HW170" s="403"/>
      <c r="HX170" s="403"/>
      <c r="HY170" s="403"/>
      <c r="HZ170" s="403"/>
      <c r="IA170" s="403"/>
      <c r="IB170" s="403"/>
      <c r="IC170" s="403"/>
      <c r="ID170" s="403"/>
      <c r="IE170" s="403"/>
      <c r="IF170" s="403"/>
      <c r="IG170" s="403"/>
      <c r="IH170" s="403"/>
      <c r="II170" s="403"/>
      <c r="IJ170" s="403"/>
      <c r="IK170" s="403"/>
      <c r="IL170" s="403"/>
      <c r="IM170" s="403"/>
      <c r="IN170" s="403"/>
      <c r="IO170" s="403"/>
      <c r="IP170" s="403"/>
      <c r="IQ170" s="403" t="s">
        <v>8467</v>
      </c>
      <c r="IR170" s="403"/>
      <c r="IS170" s="403"/>
      <c r="IT170" s="403"/>
      <c r="IU170" s="403"/>
      <c r="IV170" s="403"/>
      <c r="IW170" s="403"/>
      <c r="IX170" s="403"/>
      <c r="IY170" s="403"/>
      <c r="IZ170" s="403"/>
      <c r="JA170" s="403"/>
      <c r="JB170" s="403"/>
      <c r="JC170" s="403"/>
      <c r="JD170" s="403"/>
      <c r="JE170" s="403"/>
      <c r="JF170" s="403"/>
      <c r="JG170" s="403"/>
      <c r="JH170" s="403"/>
      <c r="JI170" s="403"/>
      <c r="JJ170" s="403"/>
      <c r="JK170" s="403"/>
      <c r="JL170" s="403"/>
      <c r="JM170" s="403"/>
      <c r="JN170" s="403"/>
      <c r="JO170" s="403"/>
      <c r="JP170" s="403"/>
      <c r="JQ170" s="403"/>
      <c r="JR170" s="403"/>
      <c r="JS170" s="403"/>
      <c r="JT170" s="403"/>
    </row>
    <row r="171" spans="1:280" s="15" customFormat="1" ht="12.75" x14ac:dyDescent="0.2">
      <c r="A171" s="9"/>
      <c r="B171" s="624"/>
      <c r="C171" s="335" t="str">
        <f ca="1">IF(OFFSET(AU171,0,Lang_Order*Lang__B5)="","",OFFSET(AU171,0,Lang_Order*Lang__B5))</f>
        <v>Per Person Eligible for Vaccination (Voluntary Uptake)</v>
      </c>
      <c r="E171" s="26"/>
      <c r="F171" s="26"/>
      <c r="G171" s="26"/>
      <c r="H171" s="26"/>
      <c r="I171" s="26"/>
      <c r="J171" s="63" t="e">
        <f>RBF_DM2*AUCs_Comms_PerPerson_Vol*'B1. Target Population'!D158</f>
        <v>#N/A</v>
      </c>
      <c r="K171" s="63" t="e">
        <f>RBF_DM2*AUCs_Comms_PerPerson_Vol*'B1. Target Population'!E158</f>
        <v>#N/A</v>
      </c>
      <c r="L171" s="63" t="e">
        <f>RBF_DM2*AUCs_Comms_PerPerson_Vol*'B1. Target Population'!F158</f>
        <v>#N/A</v>
      </c>
      <c r="M171" s="63" t="e">
        <f>RBF_DM2*AUCs_Comms_PerPerson_Vol*'B1. Target Population'!G158</f>
        <v>#N/A</v>
      </c>
      <c r="N171" s="63" t="e">
        <f>RBF_DM2*AUCs_Comms_PerPerson_Vol*'B1. Target Population'!H158</f>
        <v>#N/A</v>
      </c>
      <c r="O171" s="63" t="e">
        <f>RBF_DM2*AUCs_Comms_PerPerson_Vol*'B1. Target Population'!I158</f>
        <v>#N/A</v>
      </c>
      <c r="P171" s="83" t="e">
        <f>SUM(J171:O171)</f>
        <v>#N/A</v>
      </c>
      <c r="Q171" s="83"/>
      <c r="R171" s="12" t="str">
        <f t="shared" ca="1" si="328"/>
        <v/>
      </c>
      <c r="S171" s="2"/>
      <c r="T171" s="241"/>
      <c r="U171" s="624"/>
      <c r="V171" s="612" t="str">
        <f ca="1">IF(OFFSET(AU171,0,Lang_Order*Lang__B5)="","",OFFSET(AU171,0,Lang_Order*Lang__B5))</f>
        <v>Per Person Eligible for Vaccination (Voluntary Uptake)</v>
      </c>
      <c r="W171" s="63" t="e">
        <f>J171</f>
        <v>#N/A</v>
      </c>
      <c r="X171" s="63" t="e">
        <f t="shared" si="409"/>
        <v>#N/A</v>
      </c>
      <c r="Y171" s="63" t="e">
        <f t="shared" si="409"/>
        <v>#N/A</v>
      </c>
      <c r="Z171" s="63" t="e">
        <f t="shared" si="409"/>
        <v>#N/A</v>
      </c>
      <c r="AA171" s="63" t="e">
        <f t="shared" si="409"/>
        <v>#N/A</v>
      </c>
      <c r="AB171" s="63" t="e">
        <f t="shared" si="409"/>
        <v>#N/A</v>
      </c>
      <c r="AC171" s="83" t="e">
        <f>SUM(W171:AB171)</f>
        <v>#N/A</v>
      </c>
      <c r="AE171" s="72" t="s">
        <v>3042</v>
      </c>
      <c r="AF171" s="241"/>
      <c r="AG171" s="624"/>
      <c r="AH171" s="612" t="str">
        <f ca="1">IF(OFFSET(AU171,0,Lang_Order*Lang__B5)="","",OFFSET(AU171,0,Lang_Order*Lang__B5))</f>
        <v>Per Person Eligible for Vaccination (Voluntary Uptake)</v>
      </c>
      <c r="AI171" s="63" t="e">
        <f>RBF_DM2*AUCs_Comms_PerPerson_Vol*'B1. Target Population'!D158</f>
        <v>#N/A</v>
      </c>
      <c r="AJ171" s="63" t="e">
        <f>RBF_DM2*AUCs_Comms_PerPerson_Vol*'B1. Target Population'!E158</f>
        <v>#N/A</v>
      </c>
      <c r="AK171" s="63" t="e">
        <f>RBF_DM2*AUCs_Comms_PerPerson_Vol*'B1. Target Population'!F158</f>
        <v>#N/A</v>
      </c>
      <c r="AL171" s="63" t="e">
        <f>RBF_DM2*AUCs_Comms_PerPerson_Vol*'B1. Target Population'!G158</f>
        <v>#N/A</v>
      </c>
      <c r="AM171" s="63" t="e">
        <f>RBF_DM2*AUCs_Comms_PerPerson_Vol*'B1. Target Population'!H158</f>
        <v>#N/A</v>
      </c>
      <c r="AN171" s="63" t="e">
        <f>RBF_DM2*AUCs_Comms_PerPerson_Vol*'B1. Target Population'!I158</f>
        <v>#N/A</v>
      </c>
      <c r="AO171" s="83" t="e">
        <f>SUM(AI171:AN171)</f>
        <v>#N/A</v>
      </c>
      <c r="AR171" s="403"/>
      <c r="AS171" s="403"/>
      <c r="AT171" s="403"/>
      <c r="AU171" s="403" t="s">
        <v>1626</v>
      </c>
      <c r="AV171" s="403"/>
      <c r="AW171" s="403"/>
      <c r="AX171" s="403"/>
      <c r="AY171" s="403"/>
      <c r="AZ171" s="403"/>
      <c r="BA171" s="403"/>
      <c r="BB171" s="403"/>
      <c r="BC171" s="403"/>
      <c r="BD171" s="403"/>
      <c r="BE171" s="403"/>
      <c r="BF171" s="403"/>
      <c r="BG171" s="403"/>
      <c r="BH171" s="403"/>
      <c r="BI171" s="403"/>
      <c r="BJ171" s="403"/>
      <c r="BK171" s="403"/>
      <c r="BL171" s="403"/>
      <c r="BM171" s="403"/>
      <c r="BN171" s="403"/>
      <c r="BO171" s="403"/>
      <c r="BP171" s="403"/>
      <c r="BQ171" s="403"/>
      <c r="BR171" s="403"/>
      <c r="BS171" s="403"/>
      <c r="BT171" s="403"/>
      <c r="BU171" s="403"/>
      <c r="BV171" s="403"/>
      <c r="BW171" s="403"/>
      <c r="BX171" s="403"/>
      <c r="BY171" s="403"/>
      <c r="BZ171" s="403"/>
      <c r="CA171" s="403"/>
      <c r="CB171" s="403"/>
      <c r="CC171" s="403" t="s">
        <v>12020</v>
      </c>
      <c r="CD171" s="403"/>
      <c r="CE171" s="403"/>
      <c r="CF171" s="403"/>
      <c r="CG171" s="403"/>
      <c r="CH171" s="403"/>
      <c r="CI171" s="403"/>
      <c r="CJ171" s="403"/>
      <c r="CK171" s="403"/>
      <c r="CL171" s="403"/>
      <c r="CM171" s="403"/>
      <c r="CN171" s="403"/>
      <c r="CO171" s="403"/>
      <c r="CP171" s="403"/>
      <c r="CQ171" s="403"/>
      <c r="CR171" s="403"/>
      <c r="CS171" s="403"/>
      <c r="CT171" s="403"/>
      <c r="CU171" s="403"/>
      <c r="CV171" s="403"/>
      <c r="CW171" s="403"/>
      <c r="CX171" s="403"/>
      <c r="CY171" s="403"/>
      <c r="CZ171" s="403"/>
      <c r="DA171" s="403"/>
      <c r="DB171" s="403"/>
      <c r="DC171" s="403"/>
      <c r="DD171" s="403"/>
      <c r="DE171" s="403"/>
      <c r="DF171" s="403"/>
      <c r="DG171" s="403"/>
      <c r="DH171" s="403"/>
      <c r="DI171" s="403"/>
      <c r="DJ171" s="403"/>
      <c r="DK171" s="403" t="s">
        <v>12021</v>
      </c>
      <c r="DL171" s="403"/>
      <c r="DM171" s="403"/>
      <c r="DN171" s="403"/>
      <c r="DO171" s="403"/>
      <c r="DP171" s="403"/>
      <c r="DQ171" s="403"/>
      <c r="DR171" s="403"/>
      <c r="DS171" s="403"/>
      <c r="DT171" s="403"/>
      <c r="DU171" s="403"/>
      <c r="DV171" s="403"/>
      <c r="DW171" s="403"/>
      <c r="DX171" s="403"/>
      <c r="DY171" s="403"/>
      <c r="DZ171" s="403"/>
      <c r="EA171" s="403"/>
      <c r="EB171" s="403"/>
      <c r="EC171" s="403"/>
      <c r="ED171" s="403"/>
      <c r="EE171" s="403"/>
      <c r="EF171" s="403"/>
      <c r="EG171" s="403"/>
      <c r="EH171" s="403"/>
      <c r="EI171" s="403"/>
      <c r="EJ171" s="403"/>
      <c r="EK171" s="403"/>
      <c r="EL171" s="403"/>
      <c r="EM171" s="403"/>
      <c r="EN171" s="403"/>
      <c r="EO171" s="403"/>
      <c r="EP171" s="403"/>
      <c r="EQ171" s="403"/>
      <c r="ER171" s="403"/>
      <c r="ES171" s="403" t="s">
        <v>12022</v>
      </c>
      <c r="ET171" s="403"/>
      <c r="EU171" s="403"/>
      <c r="EV171" s="403"/>
      <c r="EW171" s="403"/>
      <c r="EX171" s="403"/>
      <c r="EY171" s="403"/>
      <c r="EZ171" s="403"/>
      <c r="FA171" s="403"/>
      <c r="FB171" s="403"/>
      <c r="FC171" s="403"/>
      <c r="FD171" s="403"/>
      <c r="FE171" s="403"/>
      <c r="FF171" s="403"/>
      <c r="FG171" s="403"/>
      <c r="FH171" s="403"/>
      <c r="FI171" s="403"/>
      <c r="FJ171" s="403"/>
      <c r="FK171" s="403"/>
      <c r="FL171" s="403"/>
      <c r="FM171" s="403"/>
      <c r="FN171" s="403"/>
      <c r="FO171" s="403"/>
      <c r="FP171" s="403"/>
      <c r="FQ171" s="403"/>
      <c r="FR171" s="403"/>
      <c r="FS171" s="403"/>
      <c r="FT171" s="403"/>
      <c r="FU171" s="403"/>
      <c r="FV171" s="403"/>
      <c r="FW171" s="403"/>
      <c r="FX171" s="403"/>
      <c r="FY171" s="403"/>
      <c r="FZ171" s="403"/>
      <c r="GA171" s="403" t="s">
        <v>12023</v>
      </c>
      <c r="GB171" s="403"/>
      <c r="GC171" s="403"/>
      <c r="GD171" s="403"/>
      <c r="GE171" s="403"/>
      <c r="GF171" s="403"/>
      <c r="GG171" s="403"/>
      <c r="GH171" s="403"/>
      <c r="GI171" s="403"/>
      <c r="GJ171" s="403"/>
      <c r="GK171" s="403"/>
      <c r="GL171" s="403"/>
      <c r="GM171" s="403"/>
      <c r="GN171" s="403"/>
      <c r="GO171" s="403"/>
      <c r="GP171" s="403"/>
      <c r="GQ171" s="403"/>
      <c r="GR171" s="403"/>
      <c r="GS171" s="403"/>
      <c r="GT171" s="403"/>
      <c r="GU171" s="403"/>
      <c r="GV171" s="403"/>
      <c r="GW171" s="403"/>
      <c r="GX171" s="403"/>
      <c r="GY171" s="403"/>
      <c r="GZ171" s="403"/>
      <c r="HA171" s="403"/>
      <c r="HB171" s="403"/>
      <c r="HC171" s="403"/>
      <c r="HD171" s="403"/>
      <c r="HE171" s="403"/>
      <c r="HF171" s="403"/>
      <c r="HG171" s="403"/>
      <c r="HH171" s="403"/>
      <c r="HI171" s="403" t="s">
        <v>12024</v>
      </c>
      <c r="HJ171" s="403"/>
      <c r="HK171" s="403"/>
      <c r="HL171" s="403"/>
      <c r="HM171" s="403"/>
      <c r="HN171" s="403"/>
      <c r="HO171" s="403"/>
      <c r="HP171" s="403"/>
      <c r="HQ171" s="403"/>
      <c r="HR171" s="403"/>
      <c r="HS171" s="403"/>
      <c r="HT171" s="403"/>
      <c r="HU171" s="403"/>
      <c r="HV171" s="403"/>
      <c r="HW171" s="403"/>
      <c r="HX171" s="403"/>
      <c r="HY171" s="403"/>
      <c r="HZ171" s="403"/>
      <c r="IA171" s="403"/>
      <c r="IB171" s="403"/>
      <c r="IC171" s="403"/>
      <c r="ID171" s="403"/>
      <c r="IE171" s="403"/>
      <c r="IF171" s="403"/>
      <c r="IG171" s="403"/>
      <c r="IH171" s="403"/>
      <c r="II171" s="403"/>
      <c r="IJ171" s="403"/>
      <c r="IK171" s="403"/>
      <c r="IL171" s="403"/>
      <c r="IM171" s="403"/>
      <c r="IN171" s="403"/>
      <c r="IO171" s="403"/>
      <c r="IP171" s="403"/>
      <c r="IQ171" s="403" t="s">
        <v>12025</v>
      </c>
      <c r="IR171" s="403"/>
      <c r="IS171" s="403"/>
      <c r="IT171" s="403"/>
      <c r="IU171" s="403"/>
      <c r="IV171" s="403"/>
      <c r="IW171" s="403"/>
      <c r="IX171" s="403"/>
      <c r="IY171" s="403"/>
      <c r="IZ171" s="403"/>
      <c r="JA171" s="403"/>
      <c r="JB171" s="403"/>
      <c r="JC171" s="403"/>
      <c r="JD171" s="403"/>
      <c r="JE171" s="403"/>
      <c r="JF171" s="403"/>
      <c r="JG171" s="403"/>
      <c r="JH171" s="403"/>
      <c r="JI171" s="403"/>
      <c r="JJ171" s="403"/>
      <c r="JK171" s="403"/>
      <c r="JL171" s="403"/>
      <c r="JM171" s="403"/>
      <c r="JN171" s="403"/>
      <c r="JO171" s="403"/>
      <c r="JP171" s="403"/>
      <c r="JQ171" s="403"/>
      <c r="JR171" s="403"/>
      <c r="JS171" s="403"/>
      <c r="JT171" s="403"/>
    </row>
    <row r="172" spans="1:280" s="15" customFormat="1" ht="12.75" x14ac:dyDescent="0.2">
      <c r="A172" s="9"/>
      <c r="B172" s="624"/>
      <c r="C172" s="335" t="str">
        <f ca="1">IF(OFFSET(AU172,0,Lang_Order*Lang__B5)="","",OFFSET(AU172,0,Lang_Order*Lang__B5))</f>
        <v>Per Person Eligible for Vaccination (Work-based Uptake)</v>
      </c>
      <c r="E172" s="26"/>
      <c r="F172" s="26"/>
      <c r="G172" s="26"/>
      <c r="H172" s="26"/>
      <c r="I172" s="26"/>
      <c r="J172" s="63" t="e">
        <f>RBF_DM2*AUCs_Comms_PerPerson_Workbased*'B1. Target Population'!D157</f>
        <v>#N/A</v>
      </c>
      <c r="K172" s="63" t="e">
        <f>RBF_DM2*AUCs_Comms_PerPerson_Workbased*'B1. Target Population'!E157</f>
        <v>#N/A</v>
      </c>
      <c r="L172" s="63" t="e">
        <f>RBF_DM2*AUCs_Comms_PerPerson_Workbased*'B1. Target Population'!F157</f>
        <v>#N/A</v>
      </c>
      <c r="M172" s="63" t="e">
        <f>RBF_DM2*AUCs_Comms_PerPerson_Workbased*'B1. Target Population'!G157</f>
        <v>#N/A</v>
      </c>
      <c r="N172" s="63" t="e">
        <f>RBF_DM2*AUCs_Comms_PerPerson_Workbased*'B1. Target Population'!H157</f>
        <v>#N/A</v>
      </c>
      <c r="O172" s="63" t="e">
        <f>RBF_DM2*AUCs_Comms_PerPerson_Workbased*'B1. Target Population'!I157</f>
        <v>#N/A</v>
      </c>
      <c r="P172" s="83" t="e">
        <f>SUM(J172:O172)</f>
        <v>#N/A</v>
      </c>
      <c r="Q172" s="83"/>
      <c r="R172" s="12" t="str">
        <f t="shared" ref="R172:R188" ca="1" si="411">IF(OFFSET(BJ172,0,Lang_Order*Lang__B5)="","",OFFSET(BJ172,0,Lang_Order*Lang__B5))</f>
        <v/>
      </c>
      <c r="S172" s="2"/>
      <c r="T172" s="241"/>
      <c r="U172" s="624"/>
      <c r="V172" s="612" t="str">
        <f ca="1">IF(OFFSET(AU172,0,Lang_Order*Lang__B5)="","",OFFSET(AU172,0,Lang_Order*Lang__B5))</f>
        <v>Per Person Eligible for Vaccination (Work-based Uptake)</v>
      </c>
      <c r="W172" s="63" t="e">
        <f>J172</f>
        <v>#N/A</v>
      </c>
      <c r="X172" s="63" t="e">
        <f t="shared" si="409"/>
        <v>#N/A</v>
      </c>
      <c r="Y172" s="63" t="e">
        <f t="shared" si="409"/>
        <v>#N/A</v>
      </c>
      <c r="Z172" s="63" t="e">
        <f t="shared" si="409"/>
        <v>#N/A</v>
      </c>
      <c r="AA172" s="63" t="e">
        <f t="shared" si="409"/>
        <v>#N/A</v>
      </c>
      <c r="AB172" s="63" t="e">
        <f t="shared" si="409"/>
        <v>#N/A</v>
      </c>
      <c r="AC172" s="83" t="e">
        <f>SUM(W172:AB172)</f>
        <v>#N/A</v>
      </c>
      <c r="AE172" s="72" t="s">
        <v>3042</v>
      </c>
      <c r="AF172" s="241"/>
      <c r="AG172" s="624"/>
      <c r="AH172" s="612" t="str">
        <f ca="1">IF(OFFSET(AU172,0,Lang_Order*Lang__B5)="","",OFFSET(AU172,0,Lang_Order*Lang__B5))</f>
        <v>Per Person Eligible for Vaccination (Work-based Uptake)</v>
      </c>
      <c r="AI172" s="63" t="e">
        <f>RBF_DM2*AUCs_Comms_PerPerson_Workbased*'B1. Target Population'!D157</f>
        <v>#N/A</v>
      </c>
      <c r="AJ172" s="63" t="e">
        <f>RBF_DM2*AUCs_Comms_PerPerson_Workbased*'B1. Target Population'!E157</f>
        <v>#N/A</v>
      </c>
      <c r="AK172" s="63" t="e">
        <f>RBF_DM2*AUCs_Comms_PerPerson_Workbased*'B1. Target Population'!F157</f>
        <v>#N/A</v>
      </c>
      <c r="AL172" s="63" t="e">
        <f>RBF_DM2*AUCs_Comms_PerPerson_Workbased*'B1. Target Population'!G157</f>
        <v>#N/A</v>
      </c>
      <c r="AM172" s="63" t="e">
        <f>RBF_DM2*AUCs_Comms_PerPerson_Workbased*'B1. Target Population'!H157</f>
        <v>#N/A</v>
      </c>
      <c r="AN172" s="63" t="e">
        <f>RBF_DM2*AUCs_Comms_PerPerson_Workbased*'B1. Target Population'!I157</f>
        <v>#N/A</v>
      </c>
      <c r="AO172" s="83" t="e">
        <f>SUM(AI172:AN172)</f>
        <v>#N/A</v>
      </c>
      <c r="AR172" s="403"/>
      <c r="AS172" s="403"/>
      <c r="AT172" s="403"/>
      <c r="AU172" s="403" t="s">
        <v>1627</v>
      </c>
      <c r="AV172" s="403"/>
      <c r="AW172" s="403"/>
      <c r="AX172" s="403"/>
      <c r="AY172" s="403"/>
      <c r="AZ172" s="403"/>
      <c r="BA172" s="403"/>
      <c r="BB172" s="403"/>
      <c r="BC172" s="403"/>
      <c r="BD172" s="403"/>
      <c r="BE172" s="403"/>
      <c r="BF172" s="403"/>
      <c r="BG172" s="403"/>
      <c r="BH172" s="403"/>
      <c r="BI172" s="403"/>
      <c r="BJ172" s="403"/>
      <c r="BK172" s="403"/>
      <c r="BL172" s="403"/>
      <c r="BM172" s="403"/>
      <c r="BN172" s="403"/>
      <c r="BO172" s="403"/>
      <c r="BP172" s="403"/>
      <c r="BQ172" s="403"/>
      <c r="BR172" s="403"/>
      <c r="BS172" s="403"/>
      <c r="BT172" s="403"/>
      <c r="BU172" s="403"/>
      <c r="BV172" s="403"/>
      <c r="BW172" s="403"/>
      <c r="BX172" s="403"/>
      <c r="BY172" s="403"/>
      <c r="BZ172" s="403"/>
      <c r="CA172" s="403"/>
      <c r="CB172" s="403"/>
      <c r="CC172" s="403" t="s">
        <v>12026</v>
      </c>
      <c r="CD172" s="403"/>
      <c r="CE172" s="403"/>
      <c r="CF172" s="403"/>
      <c r="CG172" s="403"/>
      <c r="CH172" s="403"/>
      <c r="CI172" s="403"/>
      <c r="CJ172" s="403"/>
      <c r="CK172" s="403"/>
      <c r="CL172" s="403"/>
      <c r="CM172" s="403"/>
      <c r="CN172" s="403"/>
      <c r="CO172" s="403"/>
      <c r="CP172" s="403"/>
      <c r="CQ172" s="403"/>
      <c r="CR172" s="403"/>
      <c r="CS172" s="403"/>
      <c r="CT172" s="403"/>
      <c r="CU172" s="403"/>
      <c r="CV172" s="403"/>
      <c r="CW172" s="403"/>
      <c r="CX172" s="403"/>
      <c r="CY172" s="403"/>
      <c r="CZ172" s="403"/>
      <c r="DA172" s="403"/>
      <c r="DB172" s="403"/>
      <c r="DC172" s="403"/>
      <c r="DD172" s="403"/>
      <c r="DE172" s="403"/>
      <c r="DF172" s="403"/>
      <c r="DG172" s="403"/>
      <c r="DH172" s="403"/>
      <c r="DI172" s="403"/>
      <c r="DJ172" s="403"/>
      <c r="DK172" s="403" t="s">
        <v>12027</v>
      </c>
      <c r="DL172" s="403"/>
      <c r="DM172" s="403"/>
      <c r="DN172" s="403"/>
      <c r="DO172" s="403"/>
      <c r="DP172" s="403"/>
      <c r="DQ172" s="403"/>
      <c r="DR172" s="403"/>
      <c r="DS172" s="403"/>
      <c r="DT172" s="403"/>
      <c r="DU172" s="403"/>
      <c r="DV172" s="403"/>
      <c r="DW172" s="403"/>
      <c r="DX172" s="403"/>
      <c r="DY172" s="403"/>
      <c r="DZ172" s="403"/>
      <c r="EA172" s="403"/>
      <c r="EB172" s="403"/>
      <c r="EC172" s="403"/>
      <c r="ED172" s="403"/>
      <c r="EE172" s="403"/>
      <c r="EF172" s="403"/>
      <c r="EG172" s="403"/>
      <c r="EH172" s="403"/>
      <c r="EI172" s="403"/>
      <c r="EJ172" s="403"/>
      <c r="EK172" s="403"/>
      <c r="EL172" s="403"/>
      <c r="EM172" s="403"/>
      <c r="EN172" s="403"/>
      <c r="EO172" s="403"/>
      <c r="EP172" s="403"/>
      <c r="EQ172" s="403"/>
      <c r="ER172" s="403"/>
      <c r="ES172" s="403" t="s">
        <v>12028</v>
      </c>
      <c r="ET172" s="403"/>
      <c r="EU172" s="403"/>
      <c r="EV172" s="403"/>
      <c r="EW172" s="403"/>
      <c r="EX172" s="403"/>
      <c r="EY172" s="403"/>
      <c r="EZ172" s="403"/>
      <c r="FA172" s="403"/>
      <c r="FB172" s="403"/>
      <c r="FC172" s="403"/>
      <c r="FD172" s="403"/>
      <c r="FE172" s="403"/>
      <c r="FF172" s="403"/>
      <c r="FG172" s="403"/>
      <c r="FH172" s="403"/>
      <c r="FI172" s="403"/>
      <c r="FJ172" s="403"/>
      <c r="FK172" s="403"/>
      <c r="FL172" s="403"/>
      <c r="FM172" s="403"/>
      <c r="FN172" s="403"/>
      <c r="FO172" s="403"/>
      <c r="FP172" s="403"/>
      <c r="FQ172" s="403"/>
      <c r="FR172" s="403"/>
      <c r="FS172" s="403"/>
      <c r="FT172" s="403"/>
      <c r="FU172" s="403"/>
      <c r="FV172" s="403"/>
      <c r="FW172" s="403"/>
      <c r="FX172" s="403"/>
      <c r="FY172" s="403"/>
      <c r="FZ172" s="403"/>
      <c r="GA172" s="403" t="s">
        <v>12029</v>
      </c>
      <c r="GB172" s="403"/>
      <c r="GC172" s="403"/>
      <c r="GD172" s="403"/>
      <c r="GE172" s="403"/>
      <c r="GF172" s="403"/>
      <c r="GG172" s="403"/>
      <c r="GH172" s="403"/>
      <c r="GI172" s="403"/>
      <c r="GJ172" s="403"/>
      <c r="GK172" s="403"/>
      <c r="GL172" s="403"/>
      <c r="GM172" s="403"/>
      <c r="GN172" s="403"/>
      <c r="GO172" s="403"/>
      <c r="GP172" s="403"/>
      <c r="GQ172" s="403"/>
      <c r="GR172" s="403"/>
      <c r="GS172" s="403"/>
      <c r="GT172" s="403"/>
      <c r="GU172" s="403"/>
      <c r="GV172" s="403"/>
      <c r="GW172" s="403"/>
      <c r="GX172" s="403"/>
      <c r="GY172" s="403"/>
      <c r="GZ172" s="403"/>
      <c r="HA172" s="403"/>
      <c r="HB172" s="403"/>
      <c r="HC172" s="403"/>
      <c r="HD172" s="403"/>
      <c r="HE172" s="403"/>
      <c r="HF172" s="403"/>
      <c r="HG172" s="403"/>
      <c r="HH172" s="403"/>
      <c r="HI172" s="403" t="s">
        <v>12030</v>
      </c>
      <c r="HJ172" s="403"/>
      <c r="HK172" s="403"/>
      <c r="HL172" s="403"/>
      <c r="HM172" s="403"/>
      <c r="HN172" s="403"/>
      <c r="HO172" s="403"/>
      <c r="HP172" s="403"/>
      <c r="HQ172" s="403"/>
      <c r="HR172" s="403"/>
      <c r="HS172" s="403"/>
      <c r="HT172" s="403"/>
      <c r="HU172" s="403"/>
      <c r="HV172" s="403"/>
      <c r="HW172" s="403"/>
      <c r="HX172" s="403"/>
      <c r="HY172" s="403"/>
      <c r="HZ172" s="403"/>
      <c r="IA172" s="403"/>
      <c r="IB172" s="403"/>
      <c r="IC172" s="403"/>
      <c r="ID172" s="403"/>
      <c r="IE172" s="403"/>
      <c r="IF172" s="403"/>
      <c r="IG172" s="403"/>
      <c r="IH172" s="403"/>
      <c r="II172" s="403"/>
      <c r="IJ172" s="403"/>
      <c r="IK172" s="403"/>
      <c r="IL172" s="403"/>
      <c r="IM172" s="403"/>
      <c r="IN172" s="403"/>
      <c r="IO172" s="403"/>
      <c r="IP172" s="403"/>
      <c r="IQ172" s="403" t="s">
        <v>12031</v>
      </c>
      <c r="IR172" s="403"/>
      <c r="IS172" s="403"/>
      <c r="IT172" s="403"/>
      <c r="IU172" s="403"/>
      <c r="IV172" s="403"/>
      <c r="IW172" s="403"/>
      <c r="IX172" s="403"/>
      <c r="IY172" s="403"/>
      <c r="IZ172" s="403"/>
      <c r="JA172" s="403"/>
      <c r="JB172" s="403"/>
      <c r="JC172" s="403"/>
      <c r="JD172" s="403"/>
      <c r="JE172" s="403"/>
      <c r="JF172" s="403"/>
      <c r="JG172" s="403"/>
      <c r="JH172" s="403"/>
      <c r="JI172" s="403"/>
      <c r="JJ172" s="403"/>
      <c r="JK172" s="403"/>
      <c r="JL172" s="403"/>
      <c r="JM172" s="403"/>
      <c r="JN172" s="403"/>
      <c r="JO172" s="403"/>
      <c r="JP172" s="403"/>
      <c r="JQ172" s="403"/>
      <c r="JR172" s="403"/>
      <c r="JS172" s="403"/>
      <c r="JT172" s="403"/>
    </row>
    <row r="173" spans="1:280" s="15" customFormat="1" ht="12.75" x14ac:dyDescent="0.2">
      <c r="A173" s="9"/>
      <c r="B173" s="624"/>
      <c r="C173" s="23"/>
      <c r="E173" s="26"/>
      <c r="F173" s="26"/>
      <c r="G173" s="26"/>
      <c r="H173" s="26"/>
      <c r="I173" s="26"/>
      <c r="J173" s="37"/>
      <c r="K173" s="37"/>
      <c r="L173" s="37"/>
      <c r="M173" s="37"/>
      <c r="N173" s="37"/>
      <c r="O173" s="37"/>
      <c r="P173" s="26"/>
      <c r="Q173" s="26"/>
      <c r="R173" s="12" t="str">
        <f t="shared" ca="1" si="411"/>
        <v/>
      </c>
      <c r="S173" s="2"/>
      <c r="T173" s="241"/>
      <c r="U173" s="624"/>
      <c r="V173" s="72"/>
      <c r="W173" s="37"/>
      <c r="X173" s="37"/>
      <c r="Y173" s="37"/>
      <c r="Z173" s="37"/>
      <c r="AA173" s="37"/>
      <c r="AB173" s="37"/>
      <c r="AC173" s="26"/>
      <c r="AE173" s="2"/>
      <c r="AF173" s="241"/>
      <c r="AG173" s="624"/>
      <c r="AH173" s="72"/>
      <c r="AI173" s="37"/>
      <c r="AJ173" s="37"/>
      <c r="AK173" s="37"/>
      <c r="AL173" s="37"/>
      <c r="AM173" s="37"/>
      <c r="AN173" s="37"/>
      <c r="AO173" s="26"/>
      <c r="AR173" s="403"/>
      <c r="AS173" s="403"/>
      <c r="AT173" s="403"/>
      <c r="AU173" s="403"/>
      <c r="AV173" s="403"/>
      <c r="AW173" s="403"/>
      <c r="AX173" s="403"/>
      <c r="AY173" s="403"/>
      <c r="AZ173" s="403"/>
      <c r="BA173" s="403"/>
      <c r="BB173" s="403"/>
      <c r="BC173" s="403"/>
      <c r="BD173" s="403"/>
      <c r="BE173" s="403"/>
      <c r="BF173" s="403"/>
      <c r="BG173" s="403"/>
      <c r="BH173" s="403"/>
      <c r="BI173" s="403"/>
      <c r="BJ173" s="403"/>
      <c r="BK173" s="403"/>
      <c r="BL173" s="403"/>
      <c r="BM173" s="403"/>
      <c r="BN173" s="403"/>
      <c r="BO173" s="403"/>
      <c r="BP173" s="403"/>
      <c r="BQ173" s="403"/>
      <c r="BR173" s="403"/>
      <c r="BS173" s="403"/>
      <c r="BT173" s="403"/>
      <c r="BU173" s="403"/>
      <c r="BV173" s="403"/>
      <c r="BW173" s="403"/>
      <c r="BX173" s="403"/>
      <c r="BY173" s="403"/>
      <c r="BZ173" s="403"/>
      <c r="CA173" s="403"/>
      <c r="CB173" s="403"/>
      <c r="CC173" s="403"/>
      <c r="CD173" s="403"/>
      <c r="CE173" s="403"/>
      <c r="CF173" s="403"/>
      <c r="CG173" s="403"/>
      <c r="CH173" s="403"/>
      <c r="CI173" s="403"/>
      <c r="CJ173" s="403"/>
      <c r="CK173" s="403"/>
      <c r="CL173" s="403"/>
      <c r="CM173" s="403"/>
      <c r="CN173" s="403"/>
      <c r="CO173" s="403"/>
      <c r="CP173" s="403"/>
      <c r="CQ173" s="403"/>
      <c r="CR173" s="403"/>
      <c r="CS173" s="403"/>
      <c r="CT173" s="403"/>
      <c r="CU173" s="403"/>
      <c r="CV173" s="403"/>
      <c r="CW173" s="403"/>
      <c r="CX173" s="403"/>
      <c r="CY173" s="403"/>
      <c r="CZ173" s="403"/>
      <c r="DA173" s="403"/>
      <c r="DB173" s="403"/>
      <c r="DC173" s="403"/>
      <c r="DD173" s="403"/>
      <c r="DE173" s="403"/>
      <c r="DF173" s="403"/>
      <c r="DG173" s="403"/>
      <c r="DH173" s="403"/>
      <c r="DI173" s="403"/>
      <c r="DJ173" s="403"/>
      <c r="DK173" s="403"/>
      <c r="DL173" s="403"/>
      <c r="DM173" s="403"/>
      <c r="DN173" s="403"/>
      <c r="DO173" s="403"/>
      <c r="DP173" s="403"/>
      <c r="DQ173" s="403"/>
      <c r="DR173" s="403"/>
      <c r="DS173" s="403"/>
      <c r="DT173" s="403"/>
      <c r="DU173" s="403"/>
      <c r="DV173" s="403"/>
      <c r="DW173" s="403"/>
      <c r="DX173" s="403"/>
      <c r="DY173" s="403"/>
      <c r="DZ173" s="403"/>
      <c r="EA173" s="403"/>
      <c r="EB173" s="403"/>
      <c r="EC173" s="403"/>
      <c r="ED173" s="403"/>
      <c r="EE173" s="403"/>
      <c r="EF173" s="403"/>
      <c r="EG173" s="403"/>
      <c r="EH173" s="403"/>
      <c r="EI173" s="403"/>
      <c r="EJ173" s="403"/>
      <c r="EK173" s="403"/>
      <c r="EL173" s="403"/>
      <c r="EM173" s="403"/>
      <c r="EN173" s="403"/>
      <c r="EO173" s="403"/>
      <c r="EP173" s="403"/>
      <c r="EQ173" s="403"/>
      <c r="ER173" s="403"/>
      <c r="ES173" s="403"/>
      <c r="ET173" s="403"/>
      <c r="EU173" s="403"/>
      <c r="EV173" s="403"/>
      <c r="EW173" s="403"/>
      <c r="EX173" s="403"/>
      <c r="EY173" s="403"/>
      <c r="EZ173" s="403"/>
      <c r="FA173" s="403"/>
      <c r="FB173" s="403"/>
      <c r="FC173" s="403"/>
      <c r="FD173" s="403"/>
      <c r="FE173" s="403"/>
      <c r="FF173" s="403"/>
      <c r="FG173" s="403"/>
      <c r="FH173" s="403"/>
      <c r="FI173" s="403"/>
      <c r="FJ173" s="403"/>
      <c r="FK173" s="403"/>
      <c r="FL173" s="403"/>
      <c r="FM173" s="403"/>
      <c r="FN173" s="403"/>
      <c r="FO173" s="403"/>
      <c r="FP173" s="403"/>
      <c r="FQ173" s="403"/>
      <c r="FR173" s="403"/>
      <c r="FS173" s="403"/>
      <c r="FT173" s="403"/>
      <c r="FU173" s="403"/>
      <c r="FV173" s="403"/>
      <c r="FW173" s="403"/>
      <c r="FX173" s="403"/>
      <c r="FY173" s="403"/>
      <c r="FZ173" s="403"/>
      <c r="GA173" s="403"/>
      <c r="GB173" s="403"/>
      <c r="GC173" s="403"/>
      <c r="GD173" s="403"/>
      <c r="GE173" s="403"/>
      <c r="GF173" s="403"/>
      <c r="GG173" s="403"/>
      <c r="GH173" s="403"/>
      <c r="GI173" s="403"/>
      <c r="GJ173" s="403"/>
      <c r="GK173" s="403"/>
      <c r="GL173" s="403"/>
      <c r="GM173" s="403"/>
      <c r="GN173" s="403"/>
      <c r="GO173" s="403"/>
      <c r="GP173" s="403"/>
      <c r="GQ173" s="403"/>
      <c r="GR173" s="403"/>
      <c r="GS173" s="403"/>
      <c r="GT173" s="403"/>
      <c r="GU173" s="403"/>
      <c r="GV173" s="403"/>
      <c r="GW173" s="403"/>
      <c r="GX173" s="403"/>
      <c r="GY173" s="403"/>
      <c r="GZ173" s="403"/>
      <c r="HA173" s="403"/>
      <c r="HB173" s="403"/>
      <c r="HC173" s="403"/>
      <c r="HD173" s="403"/>
      <c r="HE173" s="403"/>
      <c r="HF173" s="403"/>
      <c r="HG173" s="403"/>
      <c r="HH173" s="403"/>
      <c r="HI173" s="403"/>
      <c r="HJ173" s="403"/>
      <c r="HK173" s="403"/>
      <c r="HL173" s="403"/>
      <c r="HM173" s="403"/>
      <c r="HN173" s="403"/>
      <c r="HO173" s="403"/>
      <c r="HP173" s="403"/>
      <c r="HQ173" s="403"/>
      <c r="HR173" s="403"/>
      <c r="HS173" s="403"/>
      <c r="HT173" s="403"/>
      <c r="HU173" s="403"/>
      <c r="HV173" s="403"/>
      <c r="HW173" s="403"/>
      <c r="HX173" s="403"/>
      <c r="HY173" s="403"/>
      <c r="HZ173" s="403"/>
      <c r="IA173" s="403"/>
      <c r="IB173" s="403"/>
      <c r="IC173" s="403"/>
      <c r="ID173" s="403"/>
      <c r="IE173" s="403"/>
      <c r="IF173" s="403"/>
      <c r="IG173" s="403"/>
      <c r="IH173" s="403"/>
      <c r="II173" s="403"/>
      <c r="IJ173" s="403"/>
      <c r="IK173" s="403"/>
      <c r="IL173" s="403"/>
      <c r="IM173" s="403"/>
      <c r="IN173" s="403"/>
      <c r="IO173" s="403"/>
      <c r="IP173" s="403"/>
      <c r="IQ173" s="403"/>
      <c r="IR173" s="403"/>
      <c r="IS173" s="403"/>
      <c r="IT173" s="403"/>
      <c r="IU173" s="403"/>
      <c r="IV173" s="403"/>
      <c r="IW173" s="403"/>
      <c r="IX173" s="403"/>
      <c r="IY173" s="403"/>
      <c r="IZ173" s="403"/>
      <c r="JA173" s="403"/>
      <c r="JB173" s="403"/>
      <c r="JC173" s="403"/>
      <c r="JD173" s="403"/>
      <c r="JE173" s="403"/>
      <c r="JF173" s="403"/>
      <c r="JG173" s="403"/>
      <c r="JH173" s="403"/>
      <c r="JI173" s="403"/>
      <c r="JJ173" s="403"/>
      <c r="JK173" s="403"/>
      <c r="JL173" s="403"/>
      <c r="JM173" s="403"/>
      <c r="JN173" s="403"/>
      <c r="JO173" s="403"/>
      <c r="JP173" s="403"/>
      <c r="JQ173" s="403"/>
      <c r="JR173" s="403"/>
      <c r="JS173" s="403"/>
      <c r="JT173" s="403"/>
    </row>
    <row r="174" spans="1:280" s="15" customFormat="1" ht="12.75" x14ac:dyDescent="0.2">
      <c r="A174" s="9"/>
      <c r="B174" s="624" t="str">
        <f ca="1">IF(OFFSET(AT174,0,Lang_Order*Lang__B5)="","",OFFSET(AT174,0,Lang_Order*Lang__B5))</f>
        <v>Local Logistics</v>
      </c>
      <c r="C174" s="23"/>
      <c r="E174" s="26"/>
      <c r="F174" s="26"/>
      <c r="G174" s="26"/>
      <c r="H174" s="26"/>
      <c r="I174" s="26"/>
      <c r="J174" s="37"/>
      <c r="K174" s="37"/>
      <c r="L174" s="37"/>
      <c r="M174" s="37"/>
      <c r="N174" s="37"/>
      <c r="O174" s="37"/>
      <c r="P174" s="26"/>
      <c r="Q174" s="26"/>
      <c r="R174" s="12" t="str">
        <f t="shared" ca="1" si="411"/>
        <v/>
      </c>
      <c r="S174" s="2"/>
      <c r="T174" s="241"/>
      <c r="U174" s="624" t="str">
        <f ca="1">IF(OFFSET(AT174,0,Lang_Order*Lang__B5)="","",OFFSET(AT174,0,Lang_Order*Lang__B5))</f>
        <v>Local Logistics</v>
      </c>
      <c r="V174" s="72"/>
      <c r="W174" s="37"/>
      <c r="X174" s="37"/>
      <c r="Y174" s="37"/>
      <c r="Z174" s="37"/>
      <c r="AA174" s="37"/>
      <c r="AB174" s="37"/>
      <c r="AC174" s="26"/>
      <c r="AE174" s="2"/>
      <c r="AF174" s="241"/>
      <c r="AG174" s="624" t="str">
        <f ca="1">IF(OFFSET(AT174,0,Lang_Order*Lang__B5)="","",OFFSET(AT174,0,Lang_Order*Lang__B5))</f>
        <v>Local Logistics</v>
      </c>
      <c r="AH174" s="72"/>
      <c r="AI174" s="37"/>
      <c r="AJ174" s="37"/>
      <c r="AK174" s="37"/>
      <c r="AL174" s="37"/>
      <c r="AM174" s="37"/>
      <c r="AN174" s="37"/>
      <c r="AO174" s="26"/>
      <c r="AR174" s="403"/>
      <c r="AS174" s="403"/>
      <c r="AT174" s="403" t="s">
        <v>3690</v>
      </c>
      <c r="AU174" s="403"/>
      <c r="AV174" s="403"/>
      <c r="AW174" s="403"/>
      <c r="AX174" s="403"/>
      <c r="AY174" s="403"/>
      <c r="AZ174" s="403"/>
      <c r="BA174" s="403"/>
      <c r="BB174" s="403"/>
      <c r="BC174" s="403"/>
      <c r="BD174" s="403"/>
      <c r="BE174" s="403"/>
      <c r="BF174" s="403"/>
      <c r="BG174" s="403"/>
      <c r="BH174" s="403"/>
      <c r="BI174" s="403"/>
      <c r="BJ174" s="403"/>
      <c r="BK174" s="403"/>
      <c r="BL174" s="403"/>
      <c r="BM174" s="403"/>
      <c r="BN174" s="403"/>
      <c r="BO174" s="403"/>
      <c r="BP174" s="403"/>
      <c r="BQ174" s="403"/>
      <c r="BR174" s="403"/>
      <c r="BS174" s="403"/>
      <c r="BT174" s="403"/>
      <c r="BU174" s="403"/>
      <c r="BV174" s="403"/>
      <c r="BW174" s="403"/>
      <c r="BX174" s="403"/>
      <c r="BY174" s="403"/>
      <c r="BZ174" s="403"/>
      <c r="CA174" s="403"/>
      <c r="CB174" s="403" t="s">
        <v>12032</v>
      </c>
      <c r="CC174" s="403"/>
      <c r="CD174" s="403"/>
      <c r="CE174" s="403"/>
      <c r="CF174" s="403"/>
      <c r="CG174" s="403"/>
      <c r="CH174" s="403"/>
      <c r="CI174" s="403"/>
      <c r="CJ174" s="403"/>
      <c r="CK174" s="403"/>
      <c r="CL174" s="403"/>
      <c r="CM174" s="403"/>
      <c r="CN174" s="403"/>
      <c r="CO174" s="403"/>
      <c r="CP174" s="403"/>
      <c r="CQ174" s="403"/>
      <c r="CR174" s="403"/>
      <c r="CS174" s="403"/>
      <c r="CT174" s="403"/>
      <c r="CU174" s="403"/>
      <c r="CV174" s="403"/>
      <c r="CW174" s="403"/>
      <c r="CX174" s="403"/>
      <c r="CY174" s="403"/>
      <c r="CZ174" s="403"/>
      <c r="DA174" s="403"/>
      <c r="DB174" s="403"/>
      <c r="DC174" s="403"/>
      <c r="DD174" s="403"/>
      <c r="DE174" s="403"/>
      <c r="DF174" s="403"/>
      <c r="DG174" s="403"/>
      <c r="DH174" s="403"/>
      <c r="DI174" s="403"/>
      <c r="DJ174" s="403" t="s">
        <v>12033</v>
      </c>
      <c r="DK174" s="403"/>
      <c r="DL174" s="403"/>
      <c r="DM174" s="403"/>
      <c r="DN174" s="403"/>
      <c r="DO174" s="403"/>
      <c r="DP174" s="403"/>
      <c r="DQ174" s="403"/>
      <c r="DR174" s="403"/>
      <c r="DS174" s="403"/>
      <c r="DT174" s="403"/>
      <c r="DU174" s="403"/>
      <c r="DV174" s="403"/>
      <c r="DW174" s="403"/>
      <c r="DX174" s="403"/>
      <c r="DY174" s="403"/>
      <c r="DZ174" s="403"/>
      <c r="EA174" s="403"/>
      <c r="EB174" s="403"/>
      <c r="EC174" s="403"/>
      <c r="ED174" s="403"/>
      <c r="EE174" s="403"/>
      <c r="EF174" s="403"/>
      <c r="EG174" s="403"/>
      <c r="EH174" s="403"/>
      <c r="EI174" s="403"/>
      <c r="EJ174" s="403"/>
      <c r="EK174" s="403"/>
      <c r="EL174" s="403"/>
      <c r="EM174" s="403"/>
      <c r="EN174" s="403"/>
      <c r="EO174" s="403"/>
      <c r="EP174" s="403"/>
      <c r="EQ174" s="403"/>
      <c r="ER174" s="403" t="s">
        <v>12034</v>
      </c>
      <c r="ES174" s="403"/>
      <c r="ET174" s="403"/>
      <c r="EU174" s="403"/>
      <c r="EV174" s="403"/>
      <c r="EW174" s="403"/>
      <c r="EX174" s="403"/>
      <c r="EY174" s="403"/>
      <c r="EZ174" s="403"/>
      <c r="FA174" s="403"/>
      <c r="FB174" s="403"/>
      <c r="FC174" s="403"/>
      <c r="FD174" s="403"/>
      <c r="FE174" s="403"/>
      <c r="FF174" s="403"/>
      <c r="FG174" s="403"/>
      <c r="FH174" s="403"/>
      <c r="FI174" s="403"/>
      <c r="FJ174" s="403"/>
      <c r="FK174" s="403"/>
      <c r="FL174" s="403"/>
      <c r="FM174" s="403"/>
      <c r="FN174" s="403"/>
      <c r="FO174" s="403"/>
      <c r="FP174" s="403"/>
      <c r="FQ174" s="403"/>
      <c r="FR174" s="403"/>
      <c r="FS174" s="403"/>
      <c r="FT174" s="403"/>
      <c r="FU174" s="403"/>
      <c r="FV174" s="403"/>
      <c r="FW174" s="403"/>
      <c r="FX174" s="403"/>
      <c r="FY174" s="403"/>
      <c r="FZ174" s="403" t="s">
        <v>12034</v>
      </c>
      <c r="GA174" s="403"/>
      <c r="GB174" s="403"/>
      <c r="GC174" s="403"/>
      <c r="GD174" s="403"/>
      <c r="GE174" s="403"/>
      <c r="GF174" s="403"/>
      <c r="GG174" s="403"/>
      <c r="GH174" s="403"/>
      <c r="GI174" s="403"/>
      <c r="GJ174" s="403"/>
      <c r="GK174" s="403"/>
      <c r="GL174" s="403"/>
      <c r="GM174" s="403"/>
      <c r="GN174" s="403"/>
      <c r="GO174" s="403"/>
      <c r="GP174" s="403"/>
      <c r="GQ174" s="403"/>
      <c r="GR174" s="403"/>
      <c r="GS174" s="403"/>
      <c r="GT174" s="403"/>
      <c r="GU174" s="403"/>
      <c r="GV174" s="403"/>
      <c r="GW174" s="403"/>
      <c r="GX174" s="403"/>
      <c r="GY174" s="403"/>
      <c r="GZ174" s="403"/>
      <c r="HA174" s="403"/>
      <c r="HB174" s="403"/>
      <c r="HC174" s="403"/>
      <c r="HD174" s="403"/>
      <c r="HE174" s="403"/>
      <c r="HF174" s="403"/>
      <c r="HG174" s="403"/>
      <c r="HH174" s="403" t="s">
        <v>12035</v>
      </c>
      <c r="HI174" s="403"/>
      <c r="HJ174" s="403"/>
      <c r="HK174" s="403"/>
      <c r="HL174" s="403"/>
      <c r="HM174" s="403"/>
      <c r="HN174" s="403"/>
      <c r="HO174" s="403"/>
      <c r="HP174" s="403"/>
      <c r="HQ174" s="403"/>
      <c r="HR174" s="403"/>
      <c r="HS174" s="403"/>
      <c r="HT174" s="403"/>
      <c r="HU174" s="403"/>
      <c r="HV174" s="403"/>
      <c r="HW174" s="403"/>
      <c r="HX174" s="403"/>
      <c r="HY174" s="403"/>
      <c r="HZ174" s="403"/>
      <c r="IA174" s="403"/>
      <c r="IB174" s="403"/>
      <c r="IC174" s="403"/>
      <c r="ID174" s="403"/>
      <c r="IE174" s="403"/>
      <c r="IF174" s="403"/>
      <c r="IG174" s="403"/>
      <c r="IH174" s="403"/>
      <c r="II174" s="403"/>
      <c r="IJ174" s="403"/>
      <c r="IK174" s="403"/>
      <c r="IL174" s="403"/>
      <c r="IM174" s="403"/>
      <c r="IN174" s="403"/>
      <c r="IO174" s="403"/>
      <c r="IP174" s="403" t="s">
        <v>12036</v>
      </c>
      <c r="IQ174" s="403"/>
      <c r="IR174" s="403"/>
      <c r="IS174" s="403"/>
      <c r="IT174" s="403"/>
      <c r="IU174" s="403"/>
      <c r="IV174" s="403"/>
      <c r="IW174" s="403"/>
      <c r="IX174" s="403"/>
      <c r="IY174" s="403"/>
      <c r="IZ174" s="403"/>
      <c r="JA174" s="403"/>
      <c r="JB174" s="403"/>
      <c r="JC174" s="403"/>
      <c r="JD174" s="403"/>
      <c r="JE174" s="403"/>
      <c r="JF174" s="403"/>
      <c r="JG174" s="403"/>
      <c r="JH174" s="403"/>
      <c r="JI174" s="403"/>
      <c r="JJ174" s="403"/>
      <c r="JK174" s="403"/>
      <c r="JL174" s="403"/>
      <c r="JM174" s="403"/>
      <c r="JN174" s="403"/>
      <c r="JO174" s="403"/>
      <c r="JP174" s="403"/>
      <c r="JQ174" s="403"/>
      <c r="JR174" s="403"/>
      <c r="JS174" s="403"/>
      <c r="JT174" s="403"/>
    </row>
    <row r="175" spans="1:280" s="15" customFormat="1" ht="12.75" x14ac:dyDescent="0.2">
      <c r="A175" s="9"/>
      <c r="B175" s="624"/>
      <c r="C175" s="66" t="str">
        <f ca="1">IF(OFFSET(AU175,0,Lang_Order*Lang__B5)="","",OFFSET(AU175,0,Lang_Order*Lang__B5))</f>
        <v>Mobile Team Type A (Solo) Per Team Per Day</v>
      </c>
      <c r="E175" s="26"/>
      <c r="F175" s="26"/>
      <c r="G175" s="26"/>
      <c r="H175" s="26"/>
      <c r="I175" s="26"/>
      <c r="J175" s="96" t="s">
        <v>1687</v>
      </c>
      <c r="K175" s="96" t="s">
        <v>1687</v>
      </c>
      <c r="L175" s="96" t="s">
        <v>1687</v>
      </c>
      <c r="M175" s="96" t="s">
        <v>1687</v>
      </c>
      <c r="N175" s="96" t="s">
        <v>1687</v>
      </c>
      <c r="O175" s="96" t="s">
        <v>1687</v>
      </c>
      <c r="P175" s="83">
        <f>SUM(J175:O175)</f>
        <v>0</v>
      </c>
      <c r="Q175" s="83"/>
      <c r="R175" s="12" t="str">
        <f t="shared" ca="1" si="411"/>
        <v>Zero (this is a fixed site)</v>
      </c>
      <c r="S175" s="2"/>
      <c r="T175" s="241"/>
      <c r="U175" s="624"/>
      <c r="V175" s="260" t="str">
        <f ca="1">IF(OFFSET(AU175,0,Lang_Order*Lang__B5)="","",OFFSET(AU175,0,Lang_Order*Lang__B5))</f>
        <v>Mobile Team Type A (Solo) Per Team Per Day</v>
      </c>
      <c r="W175" s="96" t="s">
        <v>1687</v>
      </c>
      <c r="X175" s="96" t="s">
        <v>1687</v>
      </c>
      <c r="Y175" s="96" t="s">
        <v>1687</v>
      </c>
      <c r="Z175" s="96" t="s">
        <v>1687</v>
      </c>
      <c r="AA175" s="96" t="s">
        <v>1687</v>
      </c>
      <c r="AB175" s="96" t="s">
        <v>1687</v>
      </c>
      <c r="AC175" s="83">
        <f>SUM(W175:AB175)</f>
        <v>0</v>
      </c>
      <c r="AE175" s="2"/>
      <c r="AF175" s="241"/>
      <c r="AG175" s="624"/>
      <c r="AH175" s="260" t="str">
        <f ca="1">IF(OFFSET(AU175,0,Lang_Order*Lang__B5)="","",OFFSET(AU175,0,Lang_Order*Lang__B5))</f>
        <v>Mobile Team Type A (Solo) Per Team Per Day</v>
      </c>
      <c r="AI175" s="96" t="s">
        <v>1687</v>
      </c>
      <c r="AJ175" s="96" t="s">
        <v>1687</v>
      </c>
      <c r="AK175" s="96" t="s">
        <v>1687</v>
      </c>
      <c r="AL175" s="96" t="s">
        <v>1687</v>
      </c>
      <c r="AM175" s="96" t="s">
        <v>1687</v>
      </c>
      <c r="AN175" s="96" t="s">
        <v>1687</v>
      </c>
      <c r="AO175" s="83">
        <f>SUM(AI175:AN175)</f>
        <v>0</v>
      </c>
      <c r="AR175" s="403"/>
      <c r="AS175" s="403"/>
      <c r="AT175" s="403"/>
      <c r="AU175" s="403" t="s">
        <v>1670</v>
      </c>
      <c r="AV175" s="403"/>
      <c r="AW175" s="403"/>
      <c r="AX175" s="403"/>
      <c r="AY175" s="403"/>
      <c r="AZ175" s="403"/>
      <c r="BA175" s="403"/>
      <c r="BB175" s="403"/>
      <c r="BC175" s="403"/>
      <c r="BD175" s="403"/>
      <c r="BE175" s="403"/>
      <c r="BF175" s="403"/>
      <c r="BG175" s="403"/>
      <c r="BH175" s="403"/>
      <c r="BI175" s="403"/>
      <c r="BJ175" s="403" t="s">
        <v>1581</v>
      </c>
      <c r="BK175" s="403"/>
      <c r="BL175" s="403"/>
      <c r="BM175" s="403"/>
      <c r="BN175" s="403"/>
      <c r="BO175" s="403"/>
      <c r="BP175" s="403"/>
      <c r="BQ175" s="403"/>
      <c r="BR175" s="403"/>
      <c r="BS175" s="403"/>
      <c r="BT175" s="403"/>
      <c r="BU175" s="403"/>
      <c r="BV175" s="403"/>
      <c r="BW175" s="403"/>
      <c r="BX175" s="403"/>
      <c r="BY175" s="403"/>
      <c r="BZ175" s="403"/>
      <c r="CA175" s="403"/>
      <c r="CB175" s="403"/>
      <c r="CC175" s="403" t="s">
        <v>12037</v>
      </c>
      <c r="CD175" s="403"/>
      <c r="CE175" s="403"/>
      <c r="CF175" s="403"/>
      <c r="CG175" s="403"/>
      <c r="CH175" s="403"/>
      <c r="CI175" s="403"/>
      <c r="CJ175" s="403"/>
      <c r="CK175" s="403"/>
      <c r="CL175" s="403"/>
      <c r="CM175" s="403"/>
      <c r="CN175" s="403"/>
      <c r="CO175" s="403"/>
      <c r="CP175" s="403"/>
      <c r="CQ175" s="403"/>
      <c r="CR175" s="403" t="s">
        <v>12038</v>
      </c>
      <c r="CS175" s="403"/>
      <c r="CT175" s="403"/>
      <c r="CU175" s="403"/>
      <c r="CV175" s="403"/>
      <c r="CW175" s="403"/>
      <c r="CX175" s="403"/>
      <c r="CY175" s="403"/>
      <c r="CZ175" s="403"/>
      <c r="DA175" s="403"/>
      <c r="DB175" s="403"/>
      <c r="DC175" s="403"/>
      <c r="DD175" s="403"/>
      <c r="DE175" s="403"/>
      <c r="DF175" s="403"/>
      <c r="DG175" s="403"/>
      <c r="DH175" s="403"/>
      <c r="DI175" s="403"/>
      <c r="DJ175" s="403"/>
      <c r="DK175" s="403" t="s">
        <v>12039</v>
      </c>
      <c r="DL175" s="403"/>
      <c r="DM175" s="403"/>
      <c r="DN175" s="403"/>
      <c r="DO175" s="403"/>
      <c r="DP175" s="403"/>
      <c r="DQ175" s="403"/>
      <c r="DR175" s="403"/>
      <c r="DS175" s="403"/>
      <c r="DT175" s="403"/>
      <c r="DU175" s="403"/>
      <c r="DV175" s="403"/>
      <c r="DW175" s="403"/>
      <c r="DX175" s="403"/>
      <c r="DY175" s="403"/>
      <c r="DZ175" s="403" t="s">
        <v>12040</v>
      </c>
      <c r="EA175" s="403"/>
      <c r="EB175" s="403"/>
      <c r="EC175" s="403"/>
      <c r="ED175" s="403"/>
      <c r="EE175" s="403"/>
      <c r="EF175" s="403"/>
      <c r="EG175" s="403"/>
      <c r="EH175" s="403"/>
      <c r="EI175" s="403"/>
      <c r="EJ175" s="403"/>
      <c r="EK175" s="403"/>
      <c r="EL175" s="403"/>
      <c r="EM175" s="403"/>
      <c r="EN175" s="403"/>
      <c r="EO175" s="403"/>
      <c r="EP175" s="403"/>
      <c r="EQ175" s="403"/>
      <c r="ER175" s="403"/>
      <c r="ES175" s="403" t="s">
        <v>12041</v>
      </c>
      <c r="ET175" s="403"/>
      <c r="EU175" s="403"/>
      <c r="EV175" s="403"/>
      <c r="EW175" s="403"/>
      <c r="EX175" s="403"/>
      <c r="EY175" s="403"/>
      <c r="EZ175" s="403"/>
      <c r="FA175" s="403"/>
      <c r="FB175" s="403"/>
      <c r="FC175" s="403"/>
      <c r="FD175" s="403"/>
      <c r="FE175" s="403"/>
      <c r="FF175" s="403"/>
      <c r="FG175" s="403"/>
      <c r="FH175" s="403" t="s">
        <v>12042</v>
      </c>
      <c r="FI175" s="403"/>
      <c r="FJ175" s="403"/>
      <c r="FK175" s="403"/>
      <c r="FL175" s="403"/>
      <c r="FM175" s="403"/>
      <c r="FN175" s="403"/>
      <c r="FO175" s="403"/>
      <c r="FP175" s="403"/>
      <c r="FQ175" s="403"/>
      <c r="FR175" s="403"/>
      <c r="FS175" s="403"/>
      <c r="FT175" s="403"/>
      <c r="FU175" s="403"/>
      <c r="FV175" s="403"/>
      <c r="FW175" s="403"/>
      <c r="FX175" s="403"/>
      <c r="FY175" s="403"/>
      <c r="FZ175" s="403"/>
      <c r="GA175" s="403" t="s">
        <v>12043</v>
      </c>
      <c r="GB175" s="403"/>
      <c r="GC175" s="403"/>
      <c r="GD175" s="403"/>
      <c r="GE175" s="403"/>
      <c r="GF175" s="403"/>
      <c r="GG175" s="403"/>
      <c r="GH175" s="403"/>
      <c r="GI175" s="403"/>
      <c r="GJ175" s="403"/>
      <c r="GK175" s="403"/>
      <c r="GL175" s="403"/>
      <c r="GM175" s="403"/>
      <c r="GN175" s="403"/>
      <c r="GO175" s="403"/>
      <c r="GP175" s="403" t="s">
        <v>12044</v>
      </c>
      <c r="GQ175" s="403"/>
      <c r="GR175" s="403"/>
      <c r="GS175" s="403"/>
      <c r="GT175" s="403"/>
      <c r="GU175" s="403"/>
      <c r="GV175" s="403"/>
      <c r="GW175" s="403"/>
      <c r="GX175" s="403"/>
      <c r="GY175" s="403"/>
      <c r="GZ175" s="403"/>
      <c r="HA175" s="403"/>
      <c r="HB175" s="403"/>
      <c r="HC175" s="403"/>
      <c r="HD175" s="403"/>
      <c r="HE175" s="403"/>
      <c r="HF175" s="403"/>
      <c r="HG175" s="403"/>
      <c r="HH175" s="403"/>
      <c r="HI175" s="403" t="s">
        <v>12045</v>
      </c>
      <c r="HJ175" s="403"/>
      <c r="HK175" s="403"/>
      <c r="HL175" s="403"/>
      <c r="HM175" s="403"/>
      <c r="HN175" s="403"/>
      <c r="HO175" s="403"/>
      <c r="HP175" s="403"/>
      <c r="HQ175" s="403"/>
      <c r="HR175" s="403"/>
      <c r="HS175" s="403"/>
      <c r="HT175" s="403"/>
      <c r="HU175" s="403"/>
      <c r="HV175" s="403"/>
      <c r="HW175" s="403"/>
      <c r="HX175" s="403" t="s">
        <v>12046</v>
      </c>
      <c r="HY175" s="403"/>
      <c r="HZ175" s="403"/>
      <c r="IA175" s="403"/>
      <c r="IB175" s="403"/>
      <c r="IC175" s="403"/>
      <c r="ID175" s="403"/>
      <c r="IE175" s="403"/>
      <c r="IF175" s="403"/>
      <c r="IG175" s="403"/>
      <c r="IH175" s="403"/>
      <c r="II175" s="403"/>
      <c r="IJ175" s="403"/>
      <c r="IK175" s="403"/>
      <c r="IL175" s="403"/>
      <c r="IM175" s="403"/>
      <c r="IN175" s="403"/>
      <c r="IO175" s="403"/>
      <c r="IP175" s="403"/>
      <c r="IQ175" s="403" t="s">
        <v>12047</v>
      </c>
      <c r="IR175" s="403"/>
      <c r="IS175" s="403"/>
      <c r="IT175" s="403"/>
      <c r="IU175" s="403"/>
      <c r="IV175" s="403"/>
      <c r="IW175" s="403"/>
      <c r="IX175" s="403"/>
      <c r="IY175" s="403"/>
      <c r="IZ175" s="403"/>
      <c r="JA175" s="403"/>
      <c r="JB175" s="403"/>
      <c r="JC175" s="403"/>
      <c r="JD175" s="403"/>
      <c r="JE175" s="403"/>
      <c r="JF175" s="403" t="s">
        <v>12048</v>
      </c>
      <c r="JG175" s="403"/>
      <c r="JH175" s="403"/>
      <c r="JI175" s="403"/>
      <c r="JJ175" s="403"/>
      <c r="JK175" s="403"/>
      <c r="JL175" s="403"/>
      <c r="JM175" s="403"/>
      <c r="JN175" s="403"/>
      <c r="JO175" s="403"/>
      <c r="JP175" s="403"/>
      <c r="JQ175" s="403"/>
      <c r="JR175" s="403"/>
      <c r="JS175" s="403"/>
      <c r="JT175" s="403"/>
    </row>
    <row r="176" spans="1:280" s="15" customFormat="1" ht="12.75" x14ac:dyDescent="0.2">
      <c r="A176" s="9"/>
      <c r="B176" s="624"/>
      <c r="C176" s="66" t="str">
        <f ca="1">IF(OFFSET(AU176,0,Lang_Order*Lang__B5)="","",OFFSET(AU176,0,Lang_Order*Lang__B5))</f>
        <v>Mobile Team Type B (Group) Per Team Per Day</v>
      </c>
      <c r="E176" s="26"/>
      <c r="F176" s="26"/>
      <c r="G176" s="26"/>
      <c r="H176" s="26"/>
      <c r="I176" s="26"/>
      <c r="J176" s="96" t="s">
        <v>1687</v>
      </c>
      <c r="K176" s="96" t="s">
        <v>1687</v>
      </c>
      <c r="L176" s="96" t="s">
        <v>1687</v>
      </c>
      <c r="M176" s="96" t="s">
        <v>1687</v>
      </c>
      <c r="N176" s="96" t="s">
        <v>1687</v>
      </c>
      <c r="O176" s="96" t="s">
        <v>1687</v>
      </c>
      <c r="P176" s="83">
        <f>SUM(J176:O176)</f>
        <v>0</v>
      </c>
      <c r="Q176" s="83"/>
      <c r="R176" s="12" t="str">
        <f t="shared" ca="1" si="411"/>
        <v>Zero (this is a fixed site)</v>
      </c>
      <c r="S176" s="2"/>
      <c r="T176" s="241"/>
      <c r="U176" s="624"/>
      <c r="V176" s="260" t="str">
        <f ca="1">IF(OFFSET(AU176,0,Lang_Order*Lang__B5)="","",OFFSET(AU176,0,Lang_Order*Lang__B5))</f>
        <v>Mobile Team Type B (Group) Per Team Per Day</v>
      </c>
      <c r="W176" s="96" t="s">
        <v>1687</v>
      </c>
      <c r="X176" s="96" t="s">
        <v>1687</v>
      </c>
      <c r="Y176" s="96" t="s">
        <v>1687</v>
      </c>
      <c r="Z176" s="96" t="s">
        <v>1687</v>
      </c>
      <c r="AA176" s="96" t="s">
        <v>1687</v>
      </c>
      <c r="AB176" s="96" t="s">
        <v>1687</v>
      </c>
      <c r="AC176" s="83">
        <f>SUM(W176:AB176)</f>
        <v>0</v>
      </c>
      <c r="AE176" s="2"/>
      <c r="AF176" s="241"/>
      <c r="AG176" s="624"/>
      <c r="AH176" s="260" t="str">
        <f ca="1">IF(OFFSET(AU176,0,Lang_Order*Lang__B5)="","",OFFSET(AU176,0,Lang_Order*Lang__B5))</f>
        <v>Mobile Team Type B (Group) Per Team Per Day</v>
      </c>
      <c r="AI176" s="96" t="s">
        <v>1687</v>
      </c>
      <c r="AJ176" s="96" t="s">
        <v>1687</v>
      </c>
      <c r="AK176" s="96" t="s">
        <v>1687</v>
      </c>
      <c r="AL176" s="96" t="s">
        <v>1687</v>
      </c>
      <c r="AM176" s="96" t="s">
        <v>1687</v>
      </c>
      <c r="AN176" s="96" t="s">
        <v>1687</v>
      </c>
      <c r="AO176" s="83">
        <f>SUM(AI176:AN176)</f>
        <v>0</v>
      </c>
      <c r="AR176" s="403"/>
      <c r="AS176" s="403"/>
      <c r="AT176" s="403"/>
      <c r="AU176" s="403" t="s">
        <v>1671</v>
      </c>
      <c r="AV176" s="403"/>
      <c r="AW176" s="403"/>
      <c r="AX176" s="403"/>
      <c r="AY176" s="403"/>
      <c r="AZ176" s="403"/>
      <c r="BA176" s="403"/>
      <c r="BB176" s="403"/>
      <c r="BC176" s="403"/>
      <c r="BD176" s="403"/>
      <c r="BE176" s="403"/>
      <c r="BF176" s="403"/>
      <c r="BG176" s="403"/>
      <c r="BH176" s="403"/>
      <c r="BI176" s="403"/>
      <c r="BJ176" s="403" t="s">
        <v>1581</v>
      </c>
      <c r="BK176" s="403"/>
      <c r="BL176" s="403"/>
      <c r="BM176" s="403"/>
      <c r="BN176" s="403"/>
      <c r="BO176" s="403"/>
      <c r="BP176" s="403"/>
      <c r="BQ176" s="403"/>
      <c r="BR176" s="403"/>
      <c r="BS176" s="403"/>
      <c r="BT176" s="403"/>
      <c r="BU176" s="403"/>
      <c r="BV176" s="403"/>
      <c r="BW176" s="403"/>
      <c r="BX176" s="403"/>
      <c r="BY176" s="403"/>
      <c r="BZ176" s="403"/>
      <c r="CA176" s="403"/>
      <c r="CB176" s="403"/>
      <c r="CC176" s="403" t="s">
        <v>12049</v>
      </c>
      <c r="CD176" s="403"/>
      <c r="CE176" s="403"/>
      <c r="CF176" s="403"/>
      <c r="CG176" s="403"/>
      <c r="CH176" s="403"/>
      <c r="CI176" s="403"/>
      <c r="CJ176" s="403"/>
      <c r="CK176" s="403"/>
      <c r="CL176" s="403"/>
      <c r="CM176" s="403"/>
      <c r="CN176" s="403"/>
      <c r="CO176" s="403"/>
      <c r="CP176" s="403"/>
      <c r="CQ176" s="403"/>
      <c r="CR176" s="403" t="s">
        <v>12038</v>
      </c>
      <c r="CS176" s="403"/>
      <c r="CT176" s="403"/>
      <c r="CU176" s="403"/>
      <c r="CV176" s="403"/>
      <c r="CW176" s="403"/>
      <c r="CX176" s="403"/>
      <c r="CY176" s="403"/>
      <c r="CZ176" s="403"/>
      <c r="DA176" s="403"/>
      <c r="DB176" s="403"/>
      <c r="DC176" s="403"/>
      <c r="DD176" s="403"/>
      <c r="DE176" s="403"/>
      <c r="DF176" s="403"/>
      <c r="DG176" s="403"/>
      <c r="DH176" s="403"/>
      <c r="DI176" s="403"/>
      <c r="DJ176" s="403"/>
      <c r="DK176" s="403" t="s">
        <v>12050</v>
      </c>
      <c r="DL176" s="403"/>
      <c r="DM176" s="403"/>
      <c r="DN176" s="403"/>
      <c r="DO176" s="403"/>
      <c r="DP176" s="403"/>
      <c r="DQ176" s="403"/>
      <c r="DR176" s="403"/>
      <c r="DS176" s="403"/>
      <c r="DT176" s="403"/>
      <c r="DU176" s="403"/>
      <c r="DV176" s="403"/>
      <c r="DW176" s="403"/>
      <c r="DX176" s="403"/>
      <c r="DY176" s="403"/>
      <c r="DZ176" s="403" t="s">
        <v>12040</v>
      </c>
      <c r="EA176" s="403"/>
      <c r="EB176" s="403"/>
      <c r="EC176" s="403"/>
      <c r="ED176" s="403"/>
      <c r="EE176" s="403"/>
      <c r="EF176" s="403"/>
      <c r="EG176" s="403"/>
      <c r="EH176" s="403"/>
      <c r="EI176" s="403"/>
      <c r="EJ176" s="403"/>
      <c r="EK176" s="403"/>
      <c r="EL176" s="403"/>
      <c r="EM176" s="403"/>
      <c r="EN176" s="403"/>
      <c r="EO176" s="403"/>
      <c r="EP176" s="403"/>
      <c r="EQ176" s="403"/>
      <c r="ER176" s="403"/>
      <c r="ES176" s="403" t="s">
        <v>12051</v>
      </c>
      <c r="ET176" s="403"/>
      <c r="EU176" s="403"/>
      <c r="EV176" s="403"/>
      <c r="EW176" s="403"/>
      <c r="EX176" s="403"/>
      <c r="EY176" s="403"/>
      <c r="EZ176" s="403"/>
      <c r="FA176" s="403"/>
      <c r="FB176" s="403"/>
      <c r="FC176" s="403"/>
      <c r="FD176" s="403"/>
      <c r="FE176" s="403"/>
      <c r="FF176" s="403"/>
      <c r="FG176" s="403"/>
      <c r="FH176" s="403" t="s">
        <v>12042</v>
      </c>
      <c r="FI176" s="403"/>
      <c r="FJ176" s="403"/>
      <c r="FK176" s="403"/>
      <c r="FL176" s="403"/>
      <c r="FM176" s="403"/>
      <c r="FN176" s="403"/>
      <c r="FO176" s="403"/>
      <c r="FP176" s="403"/>
      <c r="FQ176" s="403"/>
      <c r="FR176" s="403"/>
      <c r="FS176" s="403"/>
      <c r="FT176" s="403"/>
      <c r="FU176" s="403"/>
      <c r="FV176" s="403"/>
      <c r="FW176" s="403"/>
      <c r="FX176" s="403"/>
      <c r="FY176" s="403"/>
      <c r="FZ176" s="403"/>
      <c r="GA176" s="403" t="s">
        <v>12052</v>
      </c>
      <c r="GB176" s="403"/>
      <c r="GC176" s="403"/>
      <c r="GD176" s="403"/>
      <c r="GE176" s="403"/>
      <c r="GF176" s="403"/>
      <c r="GG176" s="403"/>
      <c r="GH176" s="403"/>
      <c r="GI176" s="403"/>
      <c r="GJ176" s="403"/>
      <c r="GK176" s="403"/>
      <c r="GL176" s="403"/>
      <c r="GM176" s="403"/>
      <c r="GN176" s="403"/>
      <c r="GO176" s="403"/>
      <c r="GP176" s="403" t="s">
        <v>12044</v>
      </c>
      <c r="GQ176" s="403"/>
      <c r="GR176" s="403"/>
      <c r="GS176" s="403"/>
      <c r="GT176" s="403"/>
      <c r="GU176" s="403"/>
      <c r="GV176" s="403"/>
      <c r="GW176" s="403"/>
      <c r="GX176" s="403"/>
      <c r="GY176" s="403"/>
      <c r="GZ176" s="403"/>
      <c r="HA176" s="403"/>
      <c r="HB176" s="403"/>
      <c r="HC176" s="403"/>
      <c r="HD176" s="403"/>
      <c r="HE176" s="403"/>
      <c r="HF176" s="403"/>
      <c r="HG176" s="403"/>
      <c r="HH176" s="403"/>
      <c r="HI176" s="403" t="s">
        <v>12053</v>
      </c>
      <c r="HJ176" s="403"/>
      <c r="HK176" s="403"/>
      <c r="HL176" s="403"/>
      <c r="HM176" s="403"/>
      <c r="HN176" s="403"/>
      <c r="HO176" s="403"/>
      <c r="HP176" s="403"/>
      <c r="HQ176" s="403"/>
      <c r="HR176" s="403"/>
      <c r="HS176" s="403"/>
      <c r="HT176" s="403"/>
      <c r="HU176" s="403"/>
      <c r="HV176" s="403"/>
      <c r="HW176" s="403"/>
      <c r="HX176" s="403" t="s">
        <v>12046</v>
      </c>
      <c r="HY176" s="403"/>
      <c r="HZ176" s="403"/>
      <c r="IA176" s="403"/>
      <c r="IB176" s="403"/>
      <c r="IC176" s="403"/>
      <c r="ID176" s="403"/>
      <c r="IE176" s="403"/>
      <c r="IF176" s="403"/>
      <c r="IG176" s="403"/>
      <c r="IH176" s="403"/>
      <c r="II176" s="403"/>
      <c r="IJ176" s="403"/>
      <c r="IK176" s="403"/>
      <c r="IL176" s="403"/>
      <c r="IM176" s="403"/>
      <c r="IN176" s="403"/>
      <c r="IO176" s="403"/>
      <c r="IP176" s="403"/>
      <c r="IQ176" s="403" t="s">
        <v>12054</v>
      </c>
      <c r="IR176" s="403"/>
      <c r="IS176" s="403"/>
      <c r="IT176" s="403"/>
      <c r="IU176" s="403"/>
      <c r="IV176" s="403"/>
      <c r="IW176" s="403"/>
      <c r="IX176" s="403"/>
      <c r="IY176" s="403"/>
      <c r="IZ176" s="403"/>
      <c r="JA176" s="403"/>
      <c r="JB176" s="403"/>
      <c r="JC176" s="403"/>
      <c r="JD176" s="403"/>
      <c r="JE176" s="403"/>
      <c r="JF176" s="403" t="s">
        <v>12048</v>
      </c>
      <c r="JG176" s="403"/>
      <c r="JH176" s="403"/>
      <c r="JI176" s="403"/>
      <c r="JJ176" s="403"/>
      <c r="JK176" s="403"/>
      <c r="JL176" s="403"/>
      <c r="JM176" s="403"/>
      <c r="JN176" s="403"/>
      <c r="JO176" s="403"/>
      <c r="JP176" s="403"/>
      <c r="JQ176" s="403"/>
      <c r="JR176" s="403"/>
      <c r="JS176" s="403"/>
      <c r="JT176" s="403"/>
    </row>
    <row r="177" spans="1:280" s="15" customFormat="1" ht="12.75" x14ac:dyDescent="0.2">
      <c r="A177" s="9"/>
      <c r="B177" s="624"/>
      <c r="C177" s="9"/>
      <c r="E177" s="26"/>
      <c r="F177" s="26"/>
      <c r="G177" s="26"/>
      <c r="H177" s="26"/>
      <c r="I177" s="26"/>
      <c r="J177" s="37"/>
      <c r="K177" s="37"/>
      <c r="L177" s="37"/>
      <c r="M177" s="37"/>
      <c r="N177" s="37"/>
      <c r="O177" s="37"/>
      <c r="P177" s="26"/>
      <c r="Q177" s="26"/>
      <c r="R177" s="12" t="str">
        <f t="shared" ca="1" si="411"/>
        <v/>
      </c>
      <c r="S177" s="2"/>
      <c r="T177" s="241"/>
      <c r="U177" s="624"/>
      <c r="V177" s="2"/>
      <c r="W177" s="37"/>
      <c r="X177" s="37"/>
      <c r="Y177" s="37"/>
      <c r="Z177" s="37"/>
      <c r="AA177" s="37"/>
      <c r="AB177" s="37"/>
      <c r="AC177" s="26"/>
      <c r="AE177" s="2"/>
      <c r="AF177" s="241"/>
      <c r="AG177" s="624"/>
      <c r="AH177" s="2"/>
      <c r="AI177" s="37"/>
      <c r="AJ177" s="37"/>
      <c r="AK177" s="37"/>
      <c r="AL177" s="37"/>
      <c r="AM177" s="37"/>
      <c r="AN177" s="37"/>
      <c r="AO177" s="26"/>
      <c r="AR177" s="403"/>
      <c r="AS177" s="403"/>
      <c r="AT177" s="403"/>
      <c r="AU177" s="403"/>
      <c r="AV177" s="403"/>
      <c r="AW177" s="403"/>
      <c r="AX177" s="403"/>
      <c r="AY177" s="403"/>
      <c r="AZ177" s="403"/>
      <c r="BA177" s="403"/>
      <c r="BB177" s="403"/>
      <c r="BC177" s="403"/>
      <c r="BD177" s="403"/>
      <c r="BE177" s="403"/>
      <c r="BF177" s="403"/>
      <c r="BG177" s="403"/>
      <c r="BH177" s="403"/>
      <c r="BI177" s="403"/>
      <c r="BJ177" s="403"/>
      <c r="BK177" s="403"/>
      <c r="BL177" s="403"/>
      <c r="BM177" s="403"/>
      <c r="BN177" s="403"/>
      <c r="BO177" s="403"/>
      <c r="BP177" s="403"/>
      <c r="BQ177" s="403"/>
      <c r="BR177" s="403"/>
      <c r="BS177" s="403"/>
      <c r="BT177" s="403"/>
      <c r="BU177" s="403"/>
      <c r="BV177" s="403"/>
      <c r="BW177" s="403"/>
      <c r="BX177" s="403"/>
      <c r="BY177" s="403"/>
      <c r="BZ177" s="403"/>
      <c r="CA177" s="403"/>
      <c r="CB177" s="403"/>
      <c r="CC177" s="403"/>
      <c r="CD177" s="403"/>
      <c r="CE177" s="403"/>
      <c r="CF177" s="403"/>
      <c r="CG177" s="403"/>
      <c r="CH177" s="403"/>
      <c r="CI177" s="403"/>
      <c r="CJ177" s="403"/>
      <c r="CK177" s="403"/>
      <c r="CL177" s="403"/>
      <c r="CM177" s="403"/>
      <c r="CN177" s="403"/>
      <c r="CO177" s="403"/>
      <c r="CP177" s="403"/>
      <c r="CQ177" s="403"/>
      <c r="CR177" s="403"/>
      <c r="CS177" s="403"/>
      <c r="CT177" s="403"/>
      <c r="CU177" s="403"/>
      <c r="CV177" s="403"/>
      <c r="CW177" s="403"/>
      <c r="CX177" s="403"/>
      <c r="CY177" s="403"/>
      <c r="CZ177" s="403"/>
      <c r="DA177" s="403"/>
      <c r="DB177" s="403"/>
      <c r="DC177" s="403"/>
      <c r="DD177" s="403"/>
      <c r="DE177" s="403"/>
      <c r="DF177" s="403"/>
      <c r="DG177" s="403"/>
      <c r="DH177" s="403"/>
      <c r="DI177" s="403"/>
      <c r="DJ177" s="403"/>
      <c r="DK177" s="403"/>
      <c r="DL177" s="403"/>
      <c r="DM177" s="403"/>
      <c r="DN177" s="403"/>
      <c r="DO177" s="403"/>
      <c r="DP177" s="403"/>
      <c r="DQ177" s="403"/>
      <c r="DR177" s="403"/>
      <c r="DS177" s="403"/>
      <c r="DT177" s="403"/>
      <c r="DU177" s="403"/>
      <c r="DV177" s="403"/>
      <c r="DW177" s="403"/>
      <c r="DX177" s="403"/>
      <c r="DY177" s="403"/>
      <c r="DZ177" s="403"/>
      <c r="EA177" s="403"/>
      <c r="EB177" s="403"/>
      <c r="EC177" s="403"/>
      <c r="ED177" s="403"/>
      <c r="EE177" s="403"/>
      <c r="EF177" s="403"/>
      <c r="EG177" s="403"/>
      <c r="EH177" s="403"/>
      <c r="EI177" s="403"/>
      <c r="EJ177" s="403"/>
      <c r="EK177" s="403"/>
      <c r="EL177" s="403"/>
      <c r="EM177" s="403"/>
      <c r="EN177" s="403"/>
      <c r="EO177" s="403"/>
      <c r="EP177" s="403"/>
      <c r="EQ177" s="403"/>
      <c r="ER177" s="403"/>
      <c r="ES177" s="403"/>
      <c r="ET177" s="403"/>
      <c r="EU177" s="403"/>
      <c r="EV177" s="403"/>
      <c r="EW177" s="403"/>
      <c r="EX177" s="403"/>
      <c r="EY177" s="403"/>
      <c r="EZ177" s="403"/>
      <c r="FA177" s="403"/>
      <c r="FB177" s="403"/>
      <c r="FC177" s="403"/>
      <c r="FD177" s="403"/>
      <c r="FE177" s="403"/>
      <c r="FF177" s="403"/>
      <c r="FG177" s="403"/>
      <c r="FH177" s="403"/>
      <c r="FI177" s="403"/>
      <c r="FJ177" s="403"/>
      <c r="FK177" s="403"/>
      <c r="FL177" s="403"/>
      <c r="FM177" s="403"/>
      <c r="FN177" s="403"/>
      <c r="FO177" s="403"/>
      <c r="FP177" s="403"/>
      <c r="FQ177" s="403"/>
      <c r="FR177" s="403"/>
      <c r="FS177" s="403"/>
      <c r="FT177" s="403"/>
      <c r="FU177" s="403"/>
      <c r="FV177" s="403"/>
      <c r="FW177" s="403"/>
      <c r="FX177" s="403"/>
      <c r="FY177" s="403"/>
      <c r="FZ177" s="403"/>
      <c r="GA177" s="403"/>
      <c r="GB177" s="403"/>
      <c r="GC177" s="403"/>
      <c r="GD177" s="403"/>
      <c r="GE177" s="403"/>
      <c r="GF177" s="403"/>
      <c r="GG177" s="403"/>
      <c r="GH177" s="403"/>
      <c r="GI177" s="403"/>
      <c r="GJ177" s="403"/>
      <c r="GK177" s="403"/>
      <c r="GL177" s="403"/>
      <c r="GM177" s="403"/>
      <c r="GN177" s="403"/>
      <c r="GO177" s="403"/>
      <c r="GP177" s="403"/>
      <c r="GQ177" s="403"/>
      <c r="GR177" s="403"/>
      <c r="GS177" s="403"/>
      <c r="GT177" s="403"/>
      <c r="GU177" s="403"/>
      <c r="GV177" s="403"/>
      <c r="GW177" s="403"/>
      <c r="GX177" s="403"/>
      <c r="GY177" s="403"/>
      <c r="GZ177" s="403"/>
      <c r="HA177" s="403"/>
      <c r="HB177" s="403"/>
      <c r="HC177" s="403"/>
      <c r="HD177" s="403"/>
      <c r="HE177" s="403"/>
      <c r="HF177" s="403"/>
      <c r="HG177" s="403"/>
      <c r="HH177" s="403"/>
      <c r="HI177" s="403"/>
      <c r="HJ177" s="403"/>
      <c r="HK177" s="403"/>
      <c r="HL177" s="403"/>
      <c r="HM177" s="403"/>
      <c r="HN177" s="403"/>
      <c r="HO177" s="403"/>
      <c r="HP177" s="403"/>
      <c r="HQ177" s="403"/>
      <c r="HR177" s="403"/>
      <c r="HS177" s="403"/>
      <c r="HT177" s="403"/>
      <c r="HU177" s="403"/>
      <c r="HV177" s="403"/>
      <c r="HW177" s="403"/>
      <c r="HX177" s="403"/>
      <c r="HY177" s="403"/>
      <c r="HZ177" s="403"/>
      <c r="IA177" s="403"/>
      <c r="IB177" s="403"/>
      <c r="IC177" s="403"/>
      <c r="ID177" s="403"/>
      <c r="IE177" s="403"/>
      <c r="IF177" s="403"/>
      <c r="IG177" s="403"/>
      <c r="IH177" s="403"/>
      <c r="II177" s="403"/>
      <c r="IJ177" s="403"/>
      <c r="IK177" s="403"/>
      <c r="IL177" s="403"/>
      <c r="IM177" s="403"/>
      <c r="IN177" s="403"/>
      <c r="IO177" s="403"/>
      <c r="IP177" s="403"/>
      <c r="IQ177" s="403"/>
      <c r="IR177" s="403"/>
      <c r="IS177" s="403"/>
      <c r="IT177" s="403"/>
      <c r="IU177" s="403"/>
      <c r="IV177" s="403"/>
      <c r="IW177" s="403"/>
      <c r="IX177" s="403"/>
      <c r="IY177" s="403"/>
      <c r="IZ177" s="403"/>
      <c r="JA177" s="403"/>
      <c r="JB177" s="403"/>
      <c r="JC177" s="403"/>
      <c r="JD177" s="403"/>
      <c r="JE177" s="403"/>
      <c r="JF177" s="403"/>
      <c r="JG177" s="403"/>
      <c r="JH177" s="403"/>
      <c r="JI177" s="403"/>
      <c r="JJ177" s="403"/>
      <c r="JK177" s="403"/>
      <c r="JL177" s="403"/>
      <c r="JM177" s="403"/>
      <c r="JN177" s="403"/>
      <c r="JO177" s="403"/>
      <c r="JP177" s="403"/>
      <c r="JQ177" s="403"/>
      <c r="JR177" s="403"/>
      <c r="JS177" s="403"/>
      <c r="JT177" s="403"/>
    </row>
    <row r="178" spans="1:280" s="15" customFormat="1" ht="12.75" x14ac:dyDescent="0.2">
      <c r="A178" s="9"/>
      <c r="B178" s="624" t="str">
        <f ca="1">IF(OFFSET(AT178,0,Lang_Order*Lang__B5)="","",OFFSET(AT178,0,Lang_Order*Lang__B5))</f>
        <v>Local Security</v>
      </c>
      <c r="C178" s="23"/>
      <c r="E178" s="26"/>
      <c r="F178" s="26"/>
      <c r="G178" s="26"/>
      <c r="H178" s="26"/>
      <c r="I178" s="26"/>
      <c r="J178" s="37"/>
      <c r="K178" s="37"/>
      <c r="L178" s="37"/>
      <c r="M178" s="37"/>
      <c r="N178" s="37"/>
      <c r="O178" s="37"/>
      <c r="P178" s="26"/>
      <c r="Q178" s="26"/>
      <c r="R178" s="12" t="str">
        <f t="shared" ca="1" si="411"/>
        <v/>
      </c>
      <c r="S178" s="2"/>
      <c r="T178" s="241"/>
      <c r="U178" s="624" t="str">
        <f ca="1">IF(OFFSET(AT178,0,Lang_Order*Lang__B5)="","",OFFSET(AT178,0,Lang_Order*Lang__B5))</f>
        <v>Local Security</v>
      </c>
      <c r="V178" s="72"/>
      <c r="W178" s="37"/>
      <c r="X178" s="37"/>
      <c r="Y178" s="37"/>
      <c r="Z178" s="37"/>
      <c r="AA178" s="37"/>
      <c r="AB178" s="37"/>
      <c r="AC178" s="26"/>
      <c r="AE178" s="2"/>
      <c r="AF178" s="241"/>
      <c r="AG178" s="624" t="str">
        <f ca="1">IF(OFFSET(AT178,0,Lang_Order*Lang__B5)="","",OFFSET(AT178,0,Lang_Order*Lang__B5))</f>
        <v>Local Security</v>
      </c>
      <c r="AH178" s="72"/>
      <c r="AI178" s="37"/>
      <c r="AJ178" s="37"/>
      <c r="AK178" s="37"/>
      <c r="AL178" s="37"/>
      <c r="AM178" s="37"/>
      <c r="AN178" s="37"/>
      <c r="AO178" s="26"/>
      <c r="AR178" s="403"/>
      <c r="AS178" s="403"/>
      <c r="AT178" s="403" t="s">
        <v>1576</v>
      </c>
      <c r="AU178" s="403"/>
      <c r="AV178" s="403"/>
      <c r="AW178" s="403"/>
      <c r="AX178" s="403"/>
      <c r="AY178" s="403"/>
      <c r="AZ178" s="403"/>
      <c r="BA178" s="403"/>
      <c r="BB178" s="403"/>
      <c r="BC178" s="403"/>
      <c r="BD178" s="403"/>
      <c r="BE178" s="403"/>
      <c r="BF178" s="403"/>
      <c r="BG178" s="403"/>
      <c r="BH178" s="403"/>
      <c r="BI178" s="403"/>
      <c r="BJ178" s="403"/>
      <c r="BK178" s="403"/>
      <c r="BL178" s="403"/>
      <c r="BM178" s="403"/>
      <c r="BN178" s="403"/>
      <c r="BO178" s="403"/>
      <c r="BP178" s="403"/>
      <c r="BQ178" s="403"/>
      <c r="BR178" s="403"/>
      <c r="BS178" s="403"/>
      <c r="BT178" s="403"/>
      <c r="BU178" s="403"/>
      <c r="BV178" s="403"/>
      <c r="BW178" s="403"/>
      <c r="BX178" s="403"/>
      <c r="BY178" s="403"/>
      <c r="BZ178" s="403"/>
      <c r="CA178" s="403"/>
      <c r="CB178" s="403" t="s">
        <v>5046</v>
      </c>
      <c r="CC178" s="403"/>
      <c r="CD178" s="403"/>
      <c r="CE178" s="403"/>
      <c r="CF178" s="403"/>
      <c r="CG178" s="403"/>
      <c r="CH178" s="403"/>
      <c r="CI178" s="403"/>
      <c r="CJ178" s="403"/>
      <c r="CK178" s="403"/>
      <c r="CL178" s="403"/>
      <c r="CM178" s="403"/>
      <c r="CN178" s="403"/>
      <c r="CO178" s="403"/>
      <c r="CP178" s="403"/>
      <c r="CQ178" s="403"/>
      <c r="CR178" s="403"/>
      <c r="CS178" s="403"/>
      <c r="CT178" s="403"/>
      <c r="CU178" s="403"/>
      <c r="CV178" s="403"/>
      <c r="CW178" s="403"/>
      <c r="CX178" s="403"/>
      <c r="CY178" s="403"/>
      <c r="CZ178" s="403"/>
      <c r="DA178" s="403"/>
      <c r="DB178" s="403"/>
      <c r="DC178" s="403"/>
      <c r="DD178" s="403"/>
      <c r="DE178" s="403"/>
      <c r="DF178" s="403"/>
      <c r="DG178" s="403"/>
      <c r="DH178" s="403"/>
      <c r="DI178" s="403"/>
      <c r="DJ178" s="403" t="s">
        <v>5047</v>
      </c>
      <c r="DK178" s="403"/>
      <c r="DL178" s="403"/>
      <c r="DM178" s="403"/>
      <c r="DN178" s="403"/>
      <c r="DO178" s="403"/>
      <c r="DP178" s="403"/>
      <c r="DQ178" s="403"/>
      <c r="DR178" s="403"/>
      <c r="DS178" s="403"/>
      <c r="DT178" s="403"/>
      <c r="DU178" s="403"/>
      <c r="DV178" s="403"/>
      <c r="DW178" s="403"/>
      <c r="DX178" s="403"/>
      <c r="DY178" s="403"/>
      <c r="DZ178" s="403"/>
      <c r="EA178" s="403"/>
      <c r="EB178" s="403"/>
      <c r="EC178" s="403"/>
      <c r="ED178" s="403"/>
      <c r="EE178" s="403"/>
      <c r="EF178" s="403"/>
      <c r="EG178" s="403"/>
      <c r="EH178" s="403"/>
      <c r="EI178" s="403"/>
      <c r="EJ178" s="403"/>
      <c r="EK178" s="403"/>
      <c r="EL178" s="403"/>
      <c r="EM178" s="403"/>
      <c r="EN178" s="403"/>
      <c r="EO178" s="403"/>
      <c r="EP178" s="403"/>
      <c r="EQ178" s="403"/>
      <c r="ER178" s="403" t="s">
        <v>5048</v>
      </c>
      <c r="ES178" s="403"/>
      <c r="ET178" s="403"/>
      <c r="EU178" s="403"/>
      <c r="EV178" s="403"/>
      <c r="EW178" s="403"/>
      <c r="EX178" s="403"/>
      <c r="EY178" s="403"/>
      <c r="EZ178" s="403"/>
      <c r="FA178" s="403"/>
      <c r="FB178" s="403"/>
      <c r="FC178" s="403"/>
      <c r="FD178" s="403"/>
      <c r="FE178" s="403"/>
      <c r="FF178" s="403"/>
      <c r="FG178" s="403"/>
      <c r="FH178" s="403"/>
      <c r="FI178" s="403"/>
      <c r="FJ178" s="403"/>
      <c r="FK178" s="403"/>
      <c r="FL178" s="403"/>
      <c r="FM178" s="403"/>
      <c r="FN178" s="403"/>
      <c r="FO178" s="403"/>
      <c r="FP178" s="403"/>
      <c r="FQ178" s="403"/>
      <c r="FR178" s="403"/>
      <c r="FS178" s="403"/>
      <c r="FT178" s="403"/>
      <c r="FU178" s="403"/>
      <c r="FV178" s="403"/>
      <c r="FW178" s="403"/>
      <c r="FX178" s="403"/>
      <c r="FY178" s="403"/>
      <c r="FZ178" s="403" t="s">
        <v>5049</v>
      </c>
      <c r="GA178" s="403"/>
      <c r="GB178" s="403"/>
      <c r="GC178" s="403"/>
      <c r="GD178" s="403"/>
      <c r="GE178" s="403"/>
      <c r="GF178" s="403"/>
      <c r="GG178" s="403"/>
      <c r="GH178" s="403"/>
      <c r="GI178" s="403"/>
      <c r="GJ178" s="403"/>
      <c r="GK178" s="403"/>
      <c r="GL178" s="403"/>
      <c r="GM178" s="403"/>
      <c r="GN178" s="403"/>
      <c r="GO178" s="403"/>
      <c r="GP178" s="403"/>
      <c r="GQ178" s="403"/>
      <c r="GR178" s="403"/>
      <c r="GS178" s="403"/>
      <c r="GT178" s="403"/>
      <c r="GU178" s="403"/>
      <c r="GV178" s="403"/>
      <c r="GW178" s="403"/>
      <c r="GX178" s="403"/>
      <c r="GY178" s="403"/>
      <c r="GZ178" s="403"/>
      <c r="HA178" s="403"/>
      <c r="HB178" s="403"/>
      <c r="HC178" s="403"/>
      <c r="HD178" s="403"/>
      <c r="HE178" s="403"/>
      <c r="HF178" s="403"/>
      <c r="HG178" s="403"/>
      <c r="HH178" s="403" t="s">
        <v>5050</v>
      </c>
      <c r="HI178" s="403"/>
      <c r="HJ178" s="403"/>
      <c r="HK178" s="403"/>
      <c r="HL178" s="403"/>
      <c r="HM178" s="403"/>
      <c r="HN178" s="403"/>
      <c r="HO178" s="403"/>
      <c r="HP178" s="403"/>
      <c r="HQ178" s="403"/>
      <c r="HR178" s="403"/>
      <c r="HS178" s="403"/>
      <c r="HT178" s="403"/>
      <c r="HU178" s="403"/>
      <c r="HV178" s="403"/>
      <c r="HW178" s="403"/>
      <c r="HX178" s="403"/>
      <c r="HY178" s="403"/>
      <c r="HZ178" s="403"/>
      <c r="IA178" s="403"/>
      <c r="IB178" s="403"/>
      <c r="IC178" s="403"/>
      <c r="ID178" s="403"/>
      <c r="IE178" s="403"/>
      <c r="IF178" s="403"/>
      <c r="IG178" s="403"/>
      <c r="IH178" s="403"/>
      <c r="II178" s="403"/>
      <c r="IJ178" s="403"/>
      <c r="IK178" s="403"/>
      <c r="IL178" s="403"/>
      <c r="IM178" s="403"/>
      <c r="IN178" s="403"/>
      <c r="IO178" s="403"/>
      <c r="IP178" s="403" t="s">
        <v>5051</v>
      </c>
      <c r="IQ178" s="403"/>
      <c r="IR178" s="403"/>
      <c r="IS178" s="403"/>
      <c r="IT178" s="403"/>
      <c r="IU178" s="403"/>
      <c r="IV178" s="403"/>
      <c r="IW178" s="403"/>
      <c r="IX178" s="403"/>
      <c r="IY178" s="403"/>
      <c r="IZ178" s="403"/>
      <c r="JA178" s="403"/>
      <c r="JB178" s="403"/>
      <c r="JC178" s="403"/>
      <c r="JD178" s="403"/>
      <c r="JE178" s="403"/>
      <c r="JF178" s="403"/>
      <c r="JG178" s="403"/>
      <c r="JH178" s="403"/>
      <c r="JI178" s="403"/>
      <c r="JJ178" s="403"/>
      <c r="JK178" s="403"/>
      <c r="JL178" s="403"/>
      <c r="JM178" s="403"/>
      <c r="JN178" s="403"/>
      <c r="JO178" s="403"/>
      <c r="JP178" s="403"/>
      <c r="JQ178" s="403"/>
      <c r="JR178" s="403"/>
      <c r="JS178" s="403"/>
      <c r="JT178" s="403"/>
    </row>
    <row r="179" spans="1:280" s="15" customFormat="1" ht="12.75" x14ac:dyDescent="0.2">
      <c r="A179" s="9"/>
      <c r="B179" s="624"/>
      <c r="C179" s="23" t="str">
        <f ca="1">IF(OFFSET(AU179,0,Lang_Order*Lang__B5)="","",OFFSET(AU179,0,Lang_Order*Lang__B5))</f>
        <v>Security per Site per Day</v>
      </c>
      <c r="E179" s="26"/>
      <c r="F179" s="26"/>
      <c r="G179" s="26"/>
      <c r="H179" s="26"/>
      <c r="I179" s="26"/>
      <c r="J179" s="37" t="e">
        <f t="shared" ref="J179:O179" si="412">J163*AUCs_Security_perSiteperDay</f>
        <v>#N/A</v>
      </c>
      <c r="K179" s="37" t="e">
        <f t="shared" si="412"/>
        <v>#N/A</v>
      </c>
      <c r="L179" s="37" t="e">
        <f t="shared" si="412"/>
        <v>#N/A</v>
      </c>
      <c r="M179" s="37" t="e">
        <f t="shared" si="412"/>
        <v>#N/A</v>
      </c>
      <c r="N179" s="37" t="e">
        <f t="shared" si="412"/>
        <v>#N/A</v>
      </c>
      <c r="O179" s="37" t="e">
        <f t="shared" si="412"/>
        <v>#N/A</v>
      </c>
      <c r="P179" s="83" t="e">
        <f>SUM(J179:O179)</f>
        <v>#N/A</v>
      </c>
      <c r="Q179" s="83"/>
      <c r="R179" s="12" t="str">
        <f t="shared" ca="1" si="411"/>
        <v>Consider adjustment for weekends [TODO]</v>
      </c>
      <c r="S179" s="2"/>
      <c r="T179" s="241"/>
      <c r="U179" s="624"/>
      <c r="V179" s="72" t="str">
        <f ca="1">IF(OFFSET(AU179,0,Lang_Order*Lang__B5)="","",OFFSET(AU179,0,Lang_Order*Lang__B5))</f>
        <v>Security per Site per Day</v>
      </c>
      <c r="W179" s="37" t="e">
        <f t="shared" ref="W179:AB179" si="413">W163*AUCs_Security_perSiteperDay</f>
        <v>#N/A</v>
      </c>
      <c r="X179" s="37" t="e">
        <f t="shared" si="413"/>
        <v>#N/A</v>
      </c>
      <c r="Y179" s="37" t="e">
        <f t="shared" si="413"/>
        <v>#N/A</v>
      </c>
      <c r="Z179" s="37" t="e">
        <f t="shared" si="413"/>
        <v>#N/A</v>
      </c>
      <c r="AA179" s="37" t="e">
        <f t="shared" si="413"/>
        <v>#N/A</v>
      </c>
      <c r="AB179" s="37" t="e">
        <f t="shared" si="413"/>
        <v>#N/A</v>
      </c>
      <c r="AC179" s="83" t="e">
        <f>SUM(W179:AB179)</f>
        <v>#N/A</v>
      </c>
      <c r="AE179" s="2"/>
      <c r="AF179" s="241"/>
      <c r="AG179" s="624"/>
      <c r="AH179" s="72" t="str">
        <f ca="1">IF(OFFSET(AU179,0,Lang_Order*Lang__B5)="","",OFFSET(AU179,0,Lang_Order*Lang__B5))</f>
        <v>Security per Site per Day</v>
      </c>
      <c r="AI179" s="37" t="e">
        <f t="shared" ref="AI179:AN179" si="414">AI163*AUCs_Security_perSiteperDay</f>
        <v>#N/A</v>
      </c>
      <c r="AJ179" s="37" t="e">
        <f t="shared" si="414"/>
        <v>#N/A</v>
      </c>
      <c r="AK179" s="37" t="e">
        <f t="shared" si="414"/>
        <v>#N/A</v>
      </c>
      <c r="AL179" s="37" t="e">
        <f t="shared" si="414"/>
        <v>#N/A</v>
      </c>
      <c r="AM179" s="37" t="e">
        <f t="shared" si="414"/>
        <v>#N/A</v>
      </c>
      <c r="AN179" s="37" t="e">
        <f t="shared" si="414"/>
        <v>#N/A</v>
      </c>
      <c r="AO179" s="83" t="e">
        <f>SUM(AI179:AN179)</f>
        <v>#N/A</v>
      </c>
      <c r="AR179" s="403"/>
      <c r="AS179" s="403"/>
      <c r="AT179" s="403"/>
      <c r="AU179" s="403" t="s">
        <v>1583</v>
      </c>
      <c r="AV179" s="403"/>
      <c r="AW179" s="403"/>
      <c r="AX179" s="403"/>
      <c r="AY179" s="403"/>
      <c r="AZ179" s="403"/>
      <c r="BA179" s="403"/>
      <c r="BB179" s="403"/>
      <c r="BC179" s="403"/>
      <c r="BD179" s="403"/>
      <c r="BE179" s="403"/>
      <c r="BF179" s="403"/>
      <c r="BG179" s="403"/>
      <c r="BH179" s="403"/>
      <c r="BI179" s="403"/>
      <c r="BJ179" s="403" t="s">
        <v>1645</v>
      </c>
      <c r="BK179" s="403"/>
      <c r="BL179" s="403"/>
      <c r="BM179" s="403"/>
      <c r="BN179" s="403"/>
      <c r="BO179" s="403"/>
      <c r="BP179" s="403"/>
      <c r="BQ179" s="403"/>
      <c r="BR179" s="403"/>
      <c r="BS179" s="403"/>
      <c r="BT179" s="403"/>
      <c r="BU179" s="403"/>
      <c r="BV179" s="403"/>
      <c r="BW179" s="403"/>
      <c r="BX179" s="403"/>
      <c r="BY179" s="403"/>
      <c r="BZ179" s="403"/>
      <c r="CA179" s="403"/>
      <c r="CB179" s="403"/>
      <c r="CC179" s="403" t="s">
        <v>12055</v>
      </c>
      <c r="CD179" s="403"/>
      <c r="CE179" s="403"/>
      <c r="CF179" s="403"/>
      <c r="CG179" s="403"/>
      <c r="CH179" s="403"/>
      <c r="CI179" s="403"/>
      <c r="CJ179" s="403"/>
      <c r="CK179" s="403"/>
      <c r="CL179" s="403"/>
      <c r="CM179" s="403"/>
      <c r="CN179" s="403"/>
      <c r="CO179" s="403"/>
      <c r="CP179" s="403"/>
      <c r="CQ179" s="403"/>
      <c r="CR179" s="403" t="s">
        <v>12056</v>
      </c>
      <c r="CS179" s="403"/>
      <c r="CT179" s="403"/>
      <c r="CU179" s="403"/>
      <c r="CV179" s="403"/>
      <c r="CW179" s="403"/>
      <c r="CX179" s="403"/>
      <c r="CY179" s="403"/>
      <c r="CZ179" s="403"/>
      <c r="DA179" s="403"/>
      <c r="DB179" s="403"/>
      <c r="DC179" s="403"/>
      <c r="DD179" s="403"/>
      <c r="DE179" s="403"/>
      <c r="DF179" s="403"/>
      <c r="DG179" s="403"/>
      <c r="DH179" s="403"/>
      <c r="DI179" s="403"/>
      <c r="DJ179" s="403"/>
      <c r="DK179" s="403" t="s">
        <v>12057</v>
      </c>
      <c r="DL179" s="403"/>
      <c r="DM179" s="403"/>
      <c r="DN179" s="403"/>
      <c r="DO179" s="403"/>
      <c r="DP179" s="403"/>
      <c r="DQ179" s="403"/>
      <c r="DR179" s="403"/>
      <c r="DS179" s="403"/>
      <c r="DT179" s="403"/>
      <c r="DU179" s="403"/>
      <c r="DV179" s="403"/>
      <c r="DW179" s="403"/>
      <c r="DX179" s="403"/>
      <c r="DY179" s="403"/>
      <c r="DZ179" s="403" t="s">
        <v>12058</v>
      </c>
      <c r="EA179" s="403"/>
      <c r="EB179" s="403"/>
      <c r="EC179" s="403"/>
      <c r="ED179" s="403"/>
      <c r="EE179" s="403"/>
      <c r="EF179" s="403"/>
      <c r="EG179" s="403"/>
      <c r="EH179" s="403"/>
      <c r="EI179" s="403"/>
      <c r="EJ179" s="403"/>
      <c r="EK179" s="403"/>
      <c r="EL179" s="403"/>
      <c r="EM179" s="403"/>
      <c r="EN179" s="403"/>
      <c r="EO179" s="403"/>
      <c r="EP179" s="403"/>
      <c r="EQ179" s="403"/>
      <c r="ER179" s="403"/>
      <c r="ES179" s="403" t="s">
        <v>12059</v>
      </c>
      <c r="ET179" s="403"/>
      <c r="EU179" s="403"/>
      <c r="EV179" s="403"/>
      <c r="EW179" s="403"/>
      <c r="EX179" s="403"/>
      <c r="EY179" s="403"/>
      <c r="EZ179" s="403"/>
      <c r="FA179" s="403"/>
      <c r="FB179" s="403"/>
      <c r="FC179" s="403"/>
      <c r="FD179" s="403"/>
      <c r="FE179" s="403"/>
      <c r="FF179" s="403"/>
      <c r="FG179" s="403"/>
      <c r="FH179" s="403" t="s">
        <v>12060</v>
      </c>
      <c r="FI179" s="403"/>
      <c r="FJ179" s="403"/>
      <c r="FK179" s="403"/>
      <c r="FL179" s="403"/>
      <c r="FM179" s="403"/>
      <c r="FN179" s="403"/>
      <c r="FO179" s="403"/>
      <c r="FP179" s="403"/>
      <c r="FQ179" s="403"/>
      <c r="FR179" s="403"/>
      <c r="FS179" s="403"/>
      <c r="FT179" s="403"/>
      <c r="FU179" s="403"/>
      <c r="FV179" s="403"/>
      <c r="FW179" s="403"/>
      <c r="FX179" s="403"/>
      <c r="FY179" s="403"/>
      <c r="FZ179" s="403"/>
      <c r="GA179" s="403" t="s">
        <v>12061</v>
      </c>
      <c r="GB179" s="403"/>
      <c r="GC179" s="403"/>
      <c r="GD179" s="403"/>
      <c r="GE179" s="403"/>
      <c r="GF179" s="403"/>
      <c r="GG179" s="403"/>
      <c r="GH179" s="403"/>
      <c r="GI179" s="403"/>
      <c r="GJ179" s="403"/>
      <c r="GK179" s="403"/>
      <c r="GL179" s="403"/>
      <c r="GM179" s="403"/>
      <c r="GN179" s="403"/>
      <c r="GO179" s="403"/>
      <c r="GP179" s="403" t="s">
        <v>12160</v>
      </c>
      <c r="GQ179" s="403"/>
      <c r="GR179" s="403"/>
      <c r="GS179" s="403"/>
      <c r="GT179" s="403"/>
      <c r="GU179" s="403"/>
      <c r="GV179" s="403"/>
      <c r="GW179" s="403"/>
      <c r="GX179" s="403"/>
      <c r="GY179" s="403"/>
      <c r="GZ179" s="403"/>
      <c r="HA179" s="403"/>
      <c r="HB179" s="403"/>
      <c r="HC179" s="403"/>
      <c r="HD179" s="403"/>
      <c r="HE179" s="403"/>
      <c r="HF179" s="403"/>
      <c r="HG179" s="403"/>
      <c r="HH179" s="403"/>
      <c r="HI179" s="403" t="s">
        <v>12063</v>
      </c>
      <c r="HJ179" s="403"/>
      <c r="HK179" s="403"/>
      <c r="HL179" s="403"/>
      <c r="HM179" s="403"/>
      <c r="HN179" s="403"/>
      <c r="HO179" s="403"/>
      <c r="HP179" s="403"/>
      <c r="HQ179" s="403"/>
      <c r="HR179" s="403"/>
      <c r="HS179" s="403"/>
      <c r="HT179" s="403"/>
      <c r="HU179" s="403"/>
      <c r="HV179" s="403"/>
      <c r="HW179" s="403"/>
      <c r="HX179" s="403" t="s">
        <v>12064</v>
      </c>
      <c r="HY179" s="403"/>
      <c r="HZ179" s="403"/>
      <c r="IA179" s="403"/>
      <c r="IB179" s="403"/>
      <c r="IC179" s="403"/>
      <c r="ID179" s="403"/>
      <c r="IE179" s="403"/>
      <c r="IF179" s="403"/>
      <c r="IG179" s="403"/>
      <c r="IH179" s="403"/>
      <c r="II179" s="403"/>
      <c r="IJ179" s="403"/>
      <c r="IK179" s="403"/>
      <c r="IL179" s="403"/>
      <c r="IM179" s="403"/>
      <c r="IN179" s="403"/>
      <c r="IO179" s="403"/>
      <c r="IP179" s="403"/>
      <c r="IQ179" s="403" t="s">
        <v>12065</v>
      </c>
      <c r="IR179" s="403"/>
      <c r="IS179" s="403"/>
      <c r="IT179" s="403"/>
      <c r="IU179" s="403"/>
      <c r="IV179" s="403"/>
      <c r="IW179" s="403"/>
      <c r="IX179" s="403"/>
      <c r="IY179" s="403"/>
      <c r="IZ179" s="403"/>
      <c r="JA179" s="403"/>
      <c r="JB179" s="403"/>
      <c r="JC179" s="403"/>
      <c r="JD179" s="403"/>
      <c r="JE179" s="403"/>
      <c r="JF179" s="403" t="s">
        <v>12066</v>
      </c>
      <c r="JG179" s="403"/>
      <c r="JH179" s="403"/>
      <c r="JI179" s="403"/>
      <c r="JJ179" s="403"/>
      <c r="JK179" s="403"/>
      <c r="JL179" s="403"/>
      <c r="JM179" s="403"/>
      <c r="JN179" s="403"/>
      <c r="JO179" s="403"/>
      <c r="JP179" s="403"/>
      <c r="JQ179" s="403"/>
      <c r="JR179" s="403"/>
      <c r="JS179" s="403"/>
      <c r="JT179" s="403"/>
    </row>
    <row r="180" spans="1:280" s="15" customFormat="1" ht="12.75" x14ac:dyDescent="0.2">
      <c r="A180" s="9"/>
      <c r="B180" s="624"/>
      <c r="C180" s="66" t="str">
        <f ca="1">IF(OFFSET(AU180,0,Lang_Order*Lang__B5)="","",OFFSET(AU180,0,Lang_Order*Lang__B5))</f>
        <v>Security per Mobile Team per Day</v>
      </c>
      <c r="E180" s="26"/>
      <c r="F180" s="26"/>
      <c r="G180" s="26"/>
      <c r="H180" s="26"/>
      <c r="I180" s="26"/>
      <c r="J180" s="96" t="s">
        <v>1687</v>
      </c>
      <c r="K180" s="96" t="s">
        <v>1687</v>
      </c>
      <c r="L180" s="96" t="s">
        <v>1687</v>
      </c>
      <c r="M180" s="96" t="s">
        <v>1687</v>
      </c>
      <c r="N180" s="96" t="s">
        <v>1687</v>
      </c>
      <c r="O180" s="96" t="s">
        <v>1687</v>
      </c>
      <c r="P180" s="83">
        <f>SUM(J180:O180)</f>
        <v>0</v>
      </c>
      <c r="Q180" s="26"/>
      <c r="R180" s="12" t="str">
        <f t="shared" ca="1" si="411"/>
        <v>Zero (this is a fixed site)</v>
      </c>
      <c r="S180" s="2"/>
      <c r="T180" s="241"/>
      <c r="U180" s="624"/>
      <c r="V180" s="260" t="str">
        <f ca="1">IF(OFFSET(AU180,0,Lang_Order*Lang__B5)="","",OFFSET(AU180,0,Lang_Order*Lang__B5))</f>
        <v>Security per Mobile Team per Day</v>
      </c>
      <c r="W180" s="96" t="s">
        <v>1687</v>
      </c>
      <c r="X180" s="96" t="s">
        <v>1687</v>
      </c>
      <c r="Y180" s="96" t="s">
        <v>1687</v>
      </c>
      <c r="Z180" s="96" t="s">
        <v>1687</v>
      </c>
      <c r="AA180" s="96" t="s">
        <v>1687</v>
      </c>
      <c r="AB180" s="96" t="s">
        <v>1687</v>
      </c>
      <c r="AC180" s="83">
        <f>SUM(W180:AB180)</f>
        <v>0</v>
      </c>
      <c r="AE180" s="2"/>
      <c r="AF180" s="241"/>
      <c r="AG180" s="624"/>
      <c r="AH180" s="260" t="str">
        <f ca="1">IF(OFFSET(AU180,0,Lang_Order*Lang__B5)="","",OFFSET(AU180,0,Lang_Order*Lang__B5))</f>
        <v>Security per Mobile Team per Day</v>
      </c>
      <c r="AI180" s="96" t="s">
        <v>1687</v>
      </c>
      <c r="AJ180" s="96" t="s">
        <v>1687</v>
      </c>
      <c r="AK180" s="96" t="s">
        <v>1687</v>
      </c>
      <c r="AL180" s="96" t="s">
        <v>1687</v>
      </c>
      <c r="AM180" s="96" t="s">
        <v>1687</v>
      </c>
      <c r="AN180" s="96" t="s">
        <v>1687</v>
      </c>
      <c r="AO180" s="83">
        <f>SUM(AI180:AN180)</f>
        <v>0</v>
      </c>
      <c r="AR180" s="403"/>
      <c r="AS180" s="403"/>
      <c r="AT180" s="403"/>
      <c r="AU180" s="403" t="s">
        <v>1584</v>
      </c>
      <c r="AV180" s="403"/>
      <c r="AW180" s="403"/>
      <c r="AX180" s="403"/>
      <c r="AY180" s="403"/>
      <c r="AZ180" s="403"/>
      <c r="BA180" s="403"/>
      <c r="BB180" s="403"/>
      <c r="BC180" s="403"/>
      <c r="BD180" s="403"/>
      <c r="BE180" s="403"/>
      <c r="BF180" s="403"/>
      <c r="BG180" s="403"/>
      <c r="BH180" s="403"/>
      <c r="BI180" s="403"/>
      <c r="BJ180" s="403" t="s">
        <v>1581</v>
      </c>
      <c r="BK180" s="403"/>
      <c r="BL180" s="403"/>
      <c r="BM180" s="403"/>
      <c r="BN180" s="403"/>
      <c r="BO180" s="403"/>
      <c r="BP180" s="403"/>
      <c r="BQ180" s="403"/>
      <c r="BR180" s="403"/>
      <c r="BS180" s="403"/>
      <c r="BT180" s="403"/>
      <c r="BU180" s="403"/>
      <c r="BV180" s="403"/>
      <c r="BW180" s="403"/>
      <c r="BX180" s="403"/>
      <c r="BY180" s="403"/>
      <c r="BZ180" s="403"/>
      <c r="CA180" s="403"/>
      <c r="CB180" s="403"/>
      <c r="CC180" s="403" t="s">
        <v>12067</v>
      </c>
      <c r="CD180" s="403"/>
      <c r="CE180" s="403"/>
      <c r="CF180" s="403"/>
      <c r="CG180" s="403"/>
      <c r="CH180" s="403"/>
      <c r="CI180" s="403"/>
      <c r="CJ180" s="403"/>
      <c r="CK180" s="403"/>
      <c r="CL180" s="403"/>
      <c r="CM180" s="403"/>
      <c r="CN180" s="403"/>
      <c r="CO180" s="403"/>
      <c r="CP180" s="403"/>
      <c r="CQ180" s="403"/>
      <c r="CR180" s="403" t="s">
        <v>12038</v>
      </c>
      <c r="CS180" s="403"/>
      <c r="CT180" s="403"/>
      <c r="CU180" s="403"/>
      <c r="CV180" s="403"/>
      <c r="CW180" s="403"/>
      <c r="CX180" s="403"/>
      <c r="CY180" s="403"/>
      <c r="CZ180" s="403"/>
      <c r="DA180" s="403"/>
      <c r="DB180" s="403"/>
      <c r="DC180" s="403"/>
      <c r="DD180" s="403"/>
      <c r="DE180" s="403"/>
      <c r="DF180" s="403"/>
      <c r="DG180" s="403"/>
      <c r="DH180" s="403"/>
      <c r="DI180" s="403"/>
      <c r="DJ180" s="403"/>
      <c r="DK180" s="403" t="s">
        <v>12068</v>
      </c>
      <c r="DL180" s="403"/>
      <c r="DM180" s="403"/>
      <c r="DN180" s="403"/>
      <c r="DO180" s="403"/>
      <c r="DP180" s="403"/>
      <c r="DQ180" s="403"/>
      <c r="DR180" s="403"/>
      <c r="DS180" s="403"/>
      <c r="DT180" s="403"/>
      <c r="DU180" s="403"/>
      <c r="DV180" s="403"/>
      <c r="DW180" s="403"/>
      <c r="DX180" s="403"/>
      <c r="DY180" s="403"/>
      <c r="DZ180" s="403" t="s">
        <v>12040</v>
      </c>
      <c r="EA180" s="403"/>
      <c r="EB180" s="403"/>
      <c r="EC180" s="403"/>
      <c r="ED180" s="403"/>
      <c r="EE180" s="403"/>
      <c r="EF180" s="403"/>
      <c r="EG180" s="403"/>
      <c r="EH180" s="403"/>
      <c r="EI180" s="403"/>
      <c r="EJ180" s="403"/>
      <c r="EK180" s="403"/>
      <c r="EL180" s="403"/>
      <c r="EM180" s="403"/>
      <c r="EN180" s="403"/>
      <c r="EO180" s="403"/>
      <c r="EP180" s="403"/>
      <c r="EQ180" s="403"/>
      <c r="ER180" s="403"/>
      <c r="ES180" s="403" t="s">
        <v>12069</v>
      </c>
      <c r="ET180" s="403"/>
      <c r="EU180" s="403"/>
      <c r="EV180" s="403"/>
      <c r="EW180" s="403"/>
      <c r="EX180" s="403"/>
      <c r="EY180" s="403"/>
      <c r="EZ180" s="403"/>
      <c r="FA180" s="403"/>
      <c r="FB180" s="403"/>
      <c r="FC180" s="403"/>
      <c r="FD180" s="403"/>
      <c r="FE180" s="403"/>
      <c r="FF180" s="403"/>
      <c r="FG180" s="403"/>
      <c r="FH180" s="403" t="s">
        <v>12042</v>
      </c>
      <c r="FI180" s="403"/>
      <c r="FJ180" s="403"/>
      <c r="FK180" s="403"/>
      <c r="FL180" s="403"/>
      <c r="FM180" s="403"/>
      <c r="FN180" s="403"/>
      <c r="FO180" s="403"/>
      <c r="FP180" s="403"/>
      <c r="FQ180" s="403"/>
      <c r="FR180" s="403"/>
      <c r="FS180" s="403"/>
      <c r="FT180" s="403"/>
      <c r="FU180" s="403"/>
      <c r="FV180" s="403"/>
      <c r="FW180" s="403"/>
      <c r="FX180" s="403"/>
      <c r="FY180" s="403"/>
      <c r="FZ180" s="403"/>
      <c r="GA180" s="403" t="s">
        <v>8560</v>
      </c>
      <c r="GB180" s="403"/>
      <c r="GC180" s="403"/>
      <c r="GD180" s="403"/>
      <c r="GE180" s="403"/>
      <c r="GF180" s="403"/>
      <c r="GG180" s="403"/>
      <c r="GH180" s="403"/>
      <c r="GI180" s="403"/>
      <c r="GJ180" s="403"/>
      <c r="GK180" s="403"/>
      <c r="GL180" s="403"/>
      <c r="GM180" s="403"/>
      <c r="GN180" s="403"/>
      <c r="GO180" s="403"/>
      <c r="GP180" s="403" t="s">
        <v>12044</v>
      </c>
      <c r="GQ180" s="403"/>
      <c r="GR180" s="403"/>
      <c r="GS180" s="403"/>
      <c r="GT180" s="403"/>
      <c r="GU180" s="403"/>
      <c r="GV180" s="403"/>
      <c r="GW180" s="403"/>
      <c r="GX180" s="403"/>
      <c r="GY180" s="403"/>
      <c r="GZ180" s="403"/>
      <c r="HA180" s="403"/>
      <c r="HB180" s="403"/>
      <c r="HC180" s="403"/>
      <c r="HD180" s="403"/>
      <c r="HE180" s="403"/>
      <c r="HF180" s="403"/>
      <c r="HG180" s="403"/>
      <c r="HH180" s="403"/>
      <c r="HI180" s="403" t="s">
        <v>12070</v>
      </c>
      <c r="HJ180" s="403"/>
      <c r="HK180" s="403"/>
      <c r="HL180" s="403"/>
      <c r="HM180" s="403"/>
      <c r="HN180" s="403"/>
      <c r="HO180" s="403"/>
      <c r="HP180" s="403"/>
      <c r="HQ180" s="403"/>
      <c r="HR180" s="403"/>
      <c r="HS180" s="403"/>
      <c r="HT180" s="403"/>
      <c r="HU180" s="403"/>
      <c r="HV180" s="403"/>
      <c r="HW180" s="403"/>
      <c r="HX180" s="403" t="s">
        <v>12046</v>
      </c>
      <c r="HY180" s="403"/>
      <c r="HZ180" s="403"/>
      <c r="IA180" s="403"/>
      <c r="IB180" s="403"/>
      <c r="IC180" s="403"/>
      <c r="ID180" s="403"/>
      <c r="IE180" s="403"/>
      <c r="IF180" s="403"/>
      <c r="IG180" s="403"/>
      <c r="IH180" s="403"/>
      <c r="II180" s="403"/>
      <c r="IJ180" s="403"/>
      <c r="IK180" s="403"/>
      <c r="IL180" s="403"/>
      <c r="IM180" s="403"/>
      <c r="IN180" s="403"/>
      <c r="IO180" s="403"/>
      <c r="IP180" s="403"/>
      <c r="IQ180" s="403" t="s">
        <v>12071</v>
      </c>
      <c r="IR180" s="403"/>
      <c r="IS180" s="403"/>
      <c r="IT180" s="403"/>
      <c r="IU180" s="403"/>
      <c r="IV180" s="403"/>
      <c r="IW180" s="403"/>
      <c r="IX180" s="403"/>
      <c r="IY180" s="403"/>
      <c r="IZ180" s="403"/>
      <c r="JA180" s="403"/>
      <c r="JB180" s="403"/>
      <c r="JC180" s="403"/>
      <c r="JD180" s="403"/>
      <c r="JE180" s="403"/>
      <c r="JF180" s="403" t="s">
        <v>12048</v>
      </c>
      <c r="JG180" s="403"/>
      <c r="JH180" s="403"/>
      <c r="JI180" s="403"/>
      <c r="JJ180" s="403"/>
      <c r="JK180" s="403"/>
      <c r="JL180" s="403"/>
      <c r="JM180" s="403"/>
      <c r="JN180" s="403"/>
      <c r="JO180" s="403"/>
      <c r="JP180" s="403"/>
      <c r="JQ180" s="403"/>
      <c r="JR180" s="403"/>
      <c r="JS180" s="403"/>
      <c r="JT180" s="403"/>
    </row>
    <row r="181" spans="1:280" s="15" customFormat="1" ht="12.75" x14ac:dyDescent="0.2">
      <c r="A181" s="9"/>
      <c r="B181" s="624"/>
      <c r="C181" s="23"/>
      <c r="E181" s="26"/>
      <c r="F181" s="26"/>
      <c r="G181" s="26"/>
      <c r="H181" s="26"/>
      <c r="I181" s="26"/>
      <c r="J181" s="37"/>
      <c r="K181" s="37"/>
      <c r="L181" s="37"/>
      <c r="M181" s="37"/>
      <c r="N181" s="37"/>
      <c r="O181" s="37"/>
      <c r="P181" s="26"/>
      <c r="Q181" s="26"/>
      <c r="R181" s="12" t="str">
        <f t="shared" ca="1" si="411"/>
        <v/>
      </c>
      <c r="S181" s="2"/>
      <c r="T181" s="241"/>
      <c r="U181" s="624"/>
      <c r="V181" s="72"/>
      <c r="W181" s="37"/>
      <c r="X181" s="37"/>
      <c r="Y181" s="37"/>
      <c r="Z181" s="37"/>
      <c r="AA181" s="37"/>
      <c r="AB181" s="37"/>
      <c r="AC181" s="26"/>
      <c r="AE181" s="2"/>
      <c r="AF181" s="241"/>
      <c r="AG181" s="624"/>
      <c r="AH181" s="72"/>
      <c r="AI181" s="37"/>
      <c r="AJ181" s="37"/>
      <c r="AK181" s="37"/>
      <c r="AL181" s="37"/>
      <c r="AM181" s="37"/>
      <c r="AN181" s="37"/>
      <c r="AO181" s="26"/>
      <c r="AR181" s="403"/>
      <c r="AS181" s="403"/>
      <c r="AT181" s="403"/>
      <c r="AU181" s="403"/>
      <c r="AV181" s="403"/>
      <c r="AW181" s="403"/>
      <c r="AX181" s="403"/>
      <c r="AY181" s="403"/>
      <c r="AZ181" s="403"/>
      <c r="BA181" s="403"/>
      <c r="BB181" s="403"/>
      <c r="BC181" s="403"/>
      <c r="BD181" s="403"/>
      <c r="BE181" s="403"/>
      <c r="BF181" s="403"/>
      <c r="BG181" s="403"/>
      <c r="BH181" s="403"/>
      <c r="BI181" s="403"/>
      <c r="BJ181" s="403"/>
      <c r="BK181" s="403"/>
      <c r="BL181" s="403"/>
      <c r="BM181" s="403"/>
      <c r="BN181" s="403"/>
      <c r="BO181" s="403"/>
      <c r="BP181" s="403"/>
      <c r="BQ181" s="403"/>
      <c r="BR181" s="403"/>
      <c r="BS181" s="403"/>
      <c r="BT181" s="403"/>
      <c r="BU181" s="403"/>
      <c r="BV181" s="403"/>
      <c r="BW181" s="403"/>
      <c r="BX181" s="403"/>
      <c r="BY181" s="403"/>
      <c r="BZ181" s="403"/>
      <c r="CA181" s="403"/>
      <c r="CB181" s="403"/>
      <c r="CC181" s="403"/>
      <c r="CD181" s="403"/>
      <c r="CE181" s="403"/>
      <c r="CF181" s="403"/>
      <c r="CG181" s="403"/>
      <c r="CH181" s="403"/>
      <c r="CI181" s="403"/>
      <c r="CJ181" s="403"/>
      <c r="CK181" s="403"/>
      <c r="CL181" s="403"/>
      <c r="CM181" s="403"/>
      <c r="CN181" s="403"/>
      <c r="CO181" s="403"/>
      <c r="CP181" s="403"/>
      <c r="CQ181" s="403"/>
      <c r="CR181" s="403"/>
      <c r="CS181" s="403"/>
      <c r="CT181" s="403"/>
      <c r="CU181" s="403"/>
      <c r="CV181" s="403"/>
      <c r="CW181" s="403"/>
      <c r="CX181" s="403"/>
      <c r="CY181" s="403"/>
      <c r="CZ181" s="403"/>
      <c r="DA181" s="403"/>
      <c r="DB181" s="403"/>
      <c r="DC181" s="403"/>
      <c r="DD181" s="403"/>
      <c r="DE181" s="403"/>
      <c r="DF181" s="403"/>
      <c r="DG181" s="403"/>
      <c r="DH181" s="403"/>
      <c r="DI181" s="403"/>
      <c r="DJ181" s="403"/>
      <c r="DK181" s="403"/>
      <c r="DL181" s="403"/>
      <c r="DM181" s="403"/>
      <c r="DN181" s="403"/>
      <c r="DO181" s="403"/>
      <c r="DP181" s="403"/>
      <c r="DQ181" s="403"/>
      <c r="DR181" s="403"/>
      <c r="DS181" s="403"/>
      <c r="DT181" s="403"/>
      <c r="DU181" s="403"/>
      <c r="DV181" s="403"/>
      <c r="DW181" s="403"/>
      <c r="DX181" s="403"/>
      <c r="DY181" s="403"/>
      <c r="DZ181" s="403"/>
      <c r="EA181" s="403"/>
      <c r="EB181" s="403"/>
      <c r="EC181" s="403"/>
      <c r="ED181" s="403"/>
      <c r="EE181" s="403"/>
      <c r="EF181" s="403"/>
      <c r="EG181" s="403"/>
      <c r="EH181" s="403"/>
      <c r="EI181" s="403"/>
      <c r="EJ181" s="403"/>
      <c r="EK181" s="403"/>
      <c r="EL181" s="403"/>
      <c r="EM181" s="403"/>
      <c r="EN181" s="403"/>
      <c r="EO181" s="403"/>
      <c r="EP181" s="403"/>
      <c r="EQ181" s="403"/>
      <c r="ER181" s="403"/>
      <c r="ES181" s="403"/>
      <c r="ET181" s="403"/>
      <c r="EU181" s="403"/>
      <c r="EV181" s="403"/>
      <c r="EW181" s="403"/>
      <c r="EX181" s="403"/>
      <c r="EY181" s="403"/>
      <c r="EZ181" s="403"/>
      <c r="FA181" s="403"/>
      <c r="FB181" s="403"/>
      <c r="FC181" s="403"/>
      <c r="FD181" s="403"/>
      <c r="FE181" s="403"/>
      <c r="FF181" s="403"/>
      <c r="FG181" s="403"/>
      <c r="FH181" s="403"/>
      <c r="FI181" s="403"/>
      <c r="FJ181" s="403"/>
      <c r="FK181" s="403"/>
      <c r="FL181" s="403"/>
      <c r="FM181" s="403"/>
      <c r="FN181" s="403"/>
      <c r="FO181" s="403"/>
      <c r="FP181" s="403"/>
      <c r="FQ181" s="403"/>
      <c r="FR181" s="403"/>
      <c r="FS181" s="403"/>
      <c r="FT181" s="403"/>
      <c r="FU181" s="403"/>
      <c r="FV181" s="403"/>
      <c r="FW181" s="403"/>
      <c r="FX181" s="403"/>
      <c r="FY181" s="403"/>
      <c r="FZ181" s="403"/>
      <c r="GA181" s="403"/>
      <c r="GB181" s="403"/>
      <c r="GC181" s="403"/>
      <c r="GD181" s="403"/>
      <c r="GE181" s="403"/>
      <c r="GF181" s="403"/>
      <c r="GG181" s="403"/>
      <c r="GH181" s="403"/>
      <c r="GI181" s="403"/>
      <c r="GJ181" s="403"/>
      <c r="GK181" s="403"/>
      <c r="GL181" s="403"/>
      <c r="GM181" s="403"/>
      <c r="GN181" s="403"/>
      <c r="GO181" s="403"/>
      <c r="GP181" s="403"/>
      <c r="GQ181" s="403"/>
      <c r="GR181" s="403"/>
      <c r="GS181" s="403"/>
      <c r="GT181" s="403"/>
      <c r="GU181" s="403"/>
      <c r="GV181" s="403"/>
      <c r="GW181" s="403"/>
      <c r="GX181" s="403"/>
      <c r="GY181" s="403"/>
      <c r="GZ181" s="403"/>
      <c r="HA181" s="403"/>
      <c r="HB181" s="403"/>
      <c r="HC181" s="403"/>
      <c r="HD181" s="403"/>
      <c r="HE181" s="403"/>
      <c r="HF181" s="403"/>
      <c r="HG181" s="403"/>
      <c r="HH181" s="403"/>
      <c r="HI181" s="403"/>
      <c r="HJ181" s="403"/>
      <c r="HK181" s="403"/>
      <c r="HL181" s="403"/>
      <c r="HM181" s="403"/>
      <c r="HN181" s="403"/>
      <c r="HO181" s="403"/>
      <c r="HP181" s="403"/>
      <c r="HQ181" s="403"/>
      <c r="HR181" s="403"/>
      <c r="HS181" s="403"/>
      <c r="HT181" s="403"/>
      <c r="HU181" s="403"/>
      <c r="HV181" s="403"/>
      <c r="HW181" s="403"/>
      <c r="HX181" s="403"/>
      <c r="HY181" s="403"/>
      <c r="HZ181" s="403"/>
      <c r="IA181" s="403"/>
      <c r="IB181" s="403"/>
      <c r="IC181" s="403"/>
      <c r="ID181" s="403"/>
      <c r="IE181" s="403"/>
      <c r="IF181" s="403"/>
      <c r="IG181" s="403"/>
      <c r="IH181" s="403"/>
      <c r="II181" s="403"/>
      <c r="IJ181" s="403"/>
      <c r="IK181" s="403"/>
      <c r="IL181" s="403"/>
      <c r="IM181" s="403"/>
      <c r="IN181" s="403"/>
      <c r="IO181" s="403"/>
      <c r="IP181" s="403"/>
      <c r="IQ181" s="403"/>
      <c r="IR181" s="403"/>
      <c r="IS181" s="403"/>
      <c r="IT181" s="403"/>
      <c r="IU181" s="403"/>
      <c r="IV181" s="403"/>
      <c r="IW181" s="403"/>
      <c r="IX181" s="403"/>
      <c r="IY181" s="403"/>
      <c r="IZ181" s="403"/>
      <c r="JA181" s="403"/>
      <c r="JB181" s="403"/>
      <c r="JC181" s="403"/>
      <c r="JD181" s="403"/>
      <c r="JE181" s="403"/>
      <c r="JF181" s="403"/>
      <c r="JG181" s="403"/>
      <c r="JH181" s="403"/>
      <c r="JI181" s="403"/>
      <c r="JJ181" s="403"/>
      <c r="JK181" s="403"/>
      <c r="JL181" s="403"/>
      <c r="JM181" s="403"/>
      <c r="JN181" s="403"/>
      <c r="JO181" s="403"/>
      <c r="JP181" s="403"/>
      <c r="JQ181" s="403"/>
      <c r="JR181" s="403"/>
      <c r="JS181" s="403"/>
      <c r="JT181" s="403"/>
    </row>
    <row r="182" spans="1:280" s="15" customFormat="1" ht="12.75" x14ac:dyDescent="0.2">
      <c r="A182" s="9"/>
      <c r="B182" s="624" t="str">
        <f ca="1">IF(OFFSET(AT182,0,Lang_Order*Lang__B5)="","",OFFSET(AT182,0,Lang_Order*Lang__B5))</f>
        <v>Local Data Management and Monitoring, Pharmacovigilance</v>
      </c>
      <c r="C182" s="23"/>
      <c r="E182" s="26"/>
      <c r="F182" s="26"/>
      <c r="G182" s="26"/>
      <c r="H182" s="26"/>
      <c r="I182" s="26"/>
      <c r="J182" s="37"/>
      <c r="K182" s="37"/>
      <c r="L182" s="37"/>
      <c r="M182" s="37"/>
      <c r="N182" s="37"/>
      <c r="O182" s="37"/>
      <c r="P182" s="26"/>
      <c r="Q182" s="26"/>
      <c r="R182" s="12" t="str">
        <f t="shared" ca="1" si="411"/>
        <v/>
      </c>
      <c r="S182" s="2"/>
      <c r="T182" s="241"/>
      <c r="U182" s="624" t="str">
        <f ca="1">IF(OFFSET(AT182,0,Lang_Order*Lang__B5)="","",OFFSET(AT182,0,Lang_Order*Lang__B5))</f>
        <v>Local Data Management and Monitoring, Pharmacovigilance</v>
      </c>
      <c r="V182" s="72"/>
      <c r="W182" s="37"/>
      <c r="X182" s="37"/>
      <c r="Y182" s="37"/>
      <c r="Z182" s="37"/>
      <c r="AA182" s="37"/>
      <c r="AB182" s="37"/>
      <c r="AC182" s="26"/>
      <c r="AE182" s="2"/>
      <c r="AF182" s="241"/>
      <c r="AG182" s="624" t="str">
        <f ca="1">IF(OFFSET(AT182,0,Lang_Order*Lang__B5)="","",OFFSET(AT182,0,Lang_Order*Lang__B5))</f>
        <v>Local Data Management and Monitoring, Pharmacovigilance</v>
      </c>
      <c r="AH182" s="72"/>
      <c r="AI182" s="37"/>
      <c r="AJ182" s="37"/>
      <c r="AK182" s="37"/>
      <c r="AL182" s="37"/>
      <c r="AM182" s="37"/>
      <c r="AN182" s="37"/>
      <c r="AO182" s="26"/>
      <c r="AR182" s="403"/>
      <c r="AS182" s="403"/>
      <c r="AT182" s="403" t="s">
        <v>1579</v>
      </c>
      <c r="AU182" s="403"/>
      <c r="AV182" s="403"/>
      <c r="AW182" s="403"/>
      <c r="AX182" s="403"/>
      <c r="AY182" s="403"/>
      <c r="AZ182" s="403"/>
      <c r="BA182" s="403"/>
      <c r="BB182" s="403"/>
      <c r="BC182" s="403"/>
      <c r="BD182" s="403"/>
      <c r="BE182" s="403"/>
      <c r="BF182" s="403"/>
      <c r="BG182" s="403"/>
      <c r="BH182" s="403"/>
      <c r="BI182" s="403"/>
      <c r="BJ182" s="403"/>
      <c r="BK182" s="403"/>
      <c r="BL182" s="403"/>
      <c r="BM182" s="403"/>
      <c r="BN182" s="403"/>
      <c r="BO182" s="403"/>
      <c r="BP182" s="403"/>
      <c r="BQ182" s="403"/>
      <c r="BR182" s="403"/>
      <c r="BS182" s="403"/>
      <c r="BT182" s="403"/>
      <c r="BU182" s="403"/>
      <c r="BV182" s="403"/>
      <c r="BW182" s="403"/>
      <c r="BX182" s="403"/>
      <c r="BY182" s="403"/>
      <c r="BZ182" s="403"/>
      <c r="CA182" s="403"/>
      <c r="CB182" s="403" t="s">
        <v>12072</v>
      </c>
      <c r="CC182" s="403"/>
      <c r="CD182" s="403"/>
      <c r="CE182" s="403"/>
      <c r="CF182" s="403"/>
      <c r="CG182" s="403"/>
      <c r="CH182" s="403"/>
      <c r="CI182" s="403"/>
      <c r="CJ182" s="403"/>
      <c r="CK182" s="403"/>
      <c r="CL182" s="403"/>
      <c r="CM182" s="403"/>
      <c r="CN182" s="403"/>
      <c r="CO182" s="403"/>
      <c r="CP182" s="403"/>
      <c r="CQ182" s="403"/>
      <c r="CR182" s="403"/>
      <c r="CS182" s="403"/>
      <c r="CT182" s="403"/>
      <c r="CU182" s="403"/>
      <c r="CV182" s="403"/>
      <c r="CW182" s="403"/>
      <c r="CX182" s="403"/>
      <c r="CY182" s="403"/>
      <c r="CZ182" s="403"/>
      <c r="DA182" s="403"/>
      <c r="DB182" s="403"/>
      <c r="DC182" s="403"/>
      <c r="DD182" s="403"/>
      <c r="DE182" s="403"/>
      <c r="DF182" s="403"/>
      <c r="DG182" s="403"/>
      <c r="DH182" s="403"/>
      <c r="DI182" s="403"/>
      <c r="DJ182" s="403" t="s">
        <v>12073</v>
      </c>
      <c r="DK182" s="403"/>
      <c r="DL182" s="403"/>
      <c r="DM182" s="403"/>
      <c r="DN182" s="403"/>
      <c r="DO182" s="403"/>
      <c r="DP182" s="403"/>
      <c r="DQ182" s="403"/>
      <c r="DR182" s="403"/>
      <c r="DS182" s="403"/>
      <c r="DT182" s="403"/>
      <c r="DU182" s="403"/>
      <c r="DV182" s="403"/>
      <c r="DW182" s="403"/>
      <c r="DX182" s="403"/>
      <c r="DY182" s="403"/>
      <c r="DZ182" s="403"/>
      <c r="EA182" s="403"/>
      <c r="EB182" s="403"/>
      <c r="EC182" s="403"/>
      <c r="ED182" s="403"/>
      <c r="EE182" s="403"/>
      <c r="EF182" s="403"/>
      <c r="EG182" s="403"/>
      <c r="EH182" s="403"/>
      <c r="EI182" s="403"/>
      <c r="EJ182" s="403"/>
      <c r="EK182" s="403"/>
      <c r="EL182" s="403"/>
      <c r="EM182" s="403"/>
      <c r="EN182" s="403"/>
      <c r="EO182" s="403"/>
      <c r="EP182" s="403"/>
      <c r="EQ182" s="403"/>
      <c r="ER182" s="403" t="s">
        <v>12074</v>
      </c>
      <c r="ES182" s="403"/>
      <c r="ET182" s="403"/>
      <c r="EU182" s="403"/>
      <c r="EV182" s="403"/>
      <c r="EW182" s="403"/>
      <c r="EX182" s="403"/>
      <c r="EY182" s="403"/>
      <c r="EZ182" s="403"/>
      <c r="FA182" s="403"/>
      <c r="FB182" s="403"/>
      <c r="FC182" s="403"/>
      <c r="FD182" s="403"/>
      <c r="FE182" s="403"/>
      <c r="FF182" s="403"/>
      <c r="FG182" s="403"/>
      <c r="FH182" s="403"/>
      <c r="FI182" s="403"/>
      <c r="FJ182" s="403"/>
      <c r="FK182" s="403"/>
      <c r="FL182" s="403"/>
      <c r="FM182" s="403"/>
      <c r="FN182" s="403"/>
      <c r="FO182" s="403"/>
      <c r="FP182" s="403"/>
      <c r="FQ182" s="403"/>
      <c r="FR182" s="403"/>
      <c r="FS182" s="403"/>
      <c r="FT182" s="403"/>
      <c r="FU182" s="403"/>
      <c r="FV182" s="403"/>
      <c r="FW182" s="403"/>
      <c r="FX182" s="403"/>
      <c r="FY182" s="403"/>
      <c r="FZ182" s="403" t="s">
        <v>12075</v>
      </c>
      <c r="GA182" s="403"/>
      <c r="GB182" s="403"/>
      <c r="GC182" s="403"/>
      <c r="GD182" s="403"/>
      <c r="GE182" s="403"/>
      <c r="GF182" s="403"/>
      <c r="GG182" s="403"/>
      <c r="GH182" s="403"/>
      <c r="GI182" s="403"/>
      <c r="GJ182" s="403"/>
      <c r="GK182" s="403"/>
      <c r="GL182" s="403"/>
      <c r="GM182" s="403"/>
      <c r="GN182" s="403"/>
      <c r="GO182" s="403"/>
      <c r="GP182" s="403"/>
      <c r="GQ182" s="403"/>
      <c r="GR182" s="403"/>
      <c r="GS182" s="403"/>
      <c r="GT182" s="403"/>
      <c r="GU182" s="403"/>
      <c r="GV182" s="403"/>
      <c r="GW182" s="403"/>
      <c r="GX182" s="403"/>
      <c r="GY182" s="403"/>
      <c r="GZ182" s="403"/>
      <c r="HA182" s="403"/>
      <c r="HB182" s="403"/>
      <c r="HC182" s="403"/>
      <c r="HD182" s="403"/>
      <c r="HE182" s="403"/>
      <c r="HF182" s="403"/>
      <c r="HG182" s="403"/>
      <c r="HH182" s="403" t="s">
        <v>12076</v>
      </c>
      <c r="HI182" s="403"/>
      <c r="HJ182" s="403"/>
      <c r="HK182" s="403"/>
      <c r="HL182" s="403"/>
      <c r="HM182" s="403"/>
      <c r="HN182" s="403"/>
      <c r="HO182" s="403"/>
      <c r="HP182" s="403"/>
      <c r="HQ182" s="403"/>
      <c r="HR182" s="403"/>
      <c r="HS182" s="403"/>
      <c r="HT182" s="403"/>
      <c r="HU182" s="403"/>
      <c r="HV182" s="403"/>
      <c r="HW182" s="403"/>
      <c r="HX182" s="403"/>
      <c r="HY182" s="403"/>
      <c r="HZ182" s="403"/>
      <c r="IA182" s="403"/>
      <c r="IB182" s="403"/>
      <c r="IC182" s="403"/>
      <c r="ID182" s="403"/>
      <c r="IE182" s="403"/>
      <c r="IF182" s="403"/>
      <c r="IG182" s="403"/>
      <c r="IH182" s="403"/>
      <c r="II182" s="403"/>
      <c r="IJ182" s="403"/>
      <c r="IK182" s="403"/>
      <c r="IL182" s="403"/>
      <c r="IM182" s="403"/>
      <c r="IN182" s="403"/>
      <c r="IO182" s="403"/>
      <c r="IP182" s="403" t="s">
        <v>12077</v>
      </c>
      <c r="IQ182" s="403"/>
      <c r="IR182" s="403"/>
      <c r="IS182" s="403"/>
      <c r="IT182" s="403"/>
      <c r="IU182" s="403"/>
      <c r="IV182" s="403"/>
      <c r="IW182" s="403"/>
      <c r="IX182" s="403"/>
      <c r="IY182" s="403"/>
      <c r="IZ182" s="403"/>
      <c r="JA182" s="403"/>
      <c r="JB182" s="403"/>
      <c r="JC182" s="403"/>
      <c r="JD182" s="403"/>
      <c r="JE182" s="403"/>
      <c r="JF182" s="403"/>
      <c r="JG182" s="403"/>
      <c r="JH182" s="403"/>
      <c r="JI182" s="403"/>
      <c r="JJ182" s="403"/>
      <c r="JK182" s="403"/>
      <c r="JL182" s="403"/>
      <c r="JM182" s="403"/>
      <c r="JN182" s="403"/>
      <c r="JO182" s="403"/>
      <c r="JP182" s="403"/>
      <c r="JQ182" s="403"/>
      <c r="JR182" s="403"/>
      <c r="JS182" s="403"/>
      <c r="JT182" s="403"/>
    </row>
    <row r="183" spans="1:280" s="15" customFormat="1" ht="12.75" x14ac:dyDescent="0.2">
      <c r="A183" s="9"/>
      <c r="B183" s="624"/>
      <c r="C183" s="66" t="str">
        <f ca="1">IF(OFFSET(AU183,0,Lang_Order*Lang__B5)="","",OFFSET(AU183,0,Lang_Order*Lang__B5))</f>
        <v>Per Team</v>
      </c>
      <c r="E183" s="26"/>
      <c r="F183" s="26"/>
      <c r="G183" s="26"/>
      <c r="H183" s="26"/>
      <c r="I183" s="26"/>
      <c r="J183" s="37" t="e">
        <f>Q152*AUCs_Data_perSite</f>
        <v>#N/A</v>
      </c>
      <c r="K183" s="37"/>
      <c r="L183" s="37"/>
      <c r="M183" s="37"/>
      <c r="N183" s="37"/>
      <c r="O183" s="37"/>
      <c r="P183" s="83" t="e">
        <f>SUM(J183:O183)</f>
        <v>#N/A</v>
      </c>
      <c r="Q183" s="83"/>
      <c r="R183" s="12" t="str">
        <f t="shared" ca="1" si="411"/>
        <v/>
      </c>
      <c r="S183" s="2"/>
      <c r="T183" s="241"/>
      <c r="U183" s="624"/>
      <c r="V183" s="72" t="str">
        <f ca="1">IF(OFFSET(AU183,0,Lang_Order*Lang__B5)="","",OFFSET(AU183,0,Lang_Order*Lang__B5))</f>
        <v>Per Team</v>
      </c>
      <c r="W183" s="300" t="e">
        <f>AD152*AUCs_Data_perSite</f>
        <v>#N/A</v>
      </c>
      <c r="X183" s="300"/>
      <c r="Y183" s="300"/>
      <c r="Z183" s="300"/>
      <c r="AA183" s="300"/>
      <c r="AB183" s="300"/>
      <c r="AC183" s="83" t="e">
        <f>SUM(W183:AB183)</f>
        <v>#N/A</v>
      </c>
      <c r="AE183" s="2"/>
      <c r="AF183" s="241"/>
      <c r="AG183" s="624"/>
      <c r="AH183" s="72" t="str">
        <f ca="1">IF(OFFSET(AU183,0,Lang_Order*Lang__B5)="","",OFFSET(AU183,0,Lang_Order*Lang__B5))</f>
        <v>Per Team</v>
      </c>
      <c r="AI183" s="300" t="e">
        <f>AP152*AUCs_Data_perSite</f>
        <v>#N/A</v>
      </c>
      <c r="AJ183" s="300"/>
      <c r="AK183" s="300"/>
      <c r="AL183" s="300"/>
      <c r="AM183" s="300"/>
      <c r="AN183" s="300"/>
      <c r="AO183" s="83" t="e">
        <f>SUM(AI183:AN183)</f>
        <v>#N/A</v>
      </c>
      <c r="AR183" s="403"/>
      <c r="AS183" s="403"/>
      <c r="AT183" s="403"/>
      <c r="AU183" s="403" t="s">
        <v>3959</v>
      </c>
      <c r="AV183" s="403"/>
      <c r="AW183" s="403"/>
      <c r="AX183" s="403"/>
      <c r="AY183" s="403"/>
      <c r="AZ183" s="403"/>
      <c r="BA183" s="403"/>
      <c r="BB183" s="403"/>
      <c r="BC183" s="403"/>
      <c r="BD183" s="403"/>
      <c r="BE183" s="403"/>
      <c r="BF183" s="403"/>
      <c r="BG183" s="403"/>
      <c r="BH183" s="403"/>
      <c r="BI183" s="403"/>
      <c r="BJ183" s="403"/>
      <c r="BK183" s="403"/>
      <c r="BL183" s="403"/>
      <c r="BM183" s="403"/>
      <c r="BN183" s="403"/>
      <c r="BO183" s="403"/>
      <c r="BP183" s="403"/>
      <c r="BQ183" s="403"/>
      <c r="BR183" s="403"/>
      <c r="BS183" s="403"/>
      <c r="BT183" s="403"/>
      <c r="BU183" s="403"/>
      <c r="BV183" s="403"/>
      <c r="BW183" s="403"/>
      <c r="BX183" s="403"/>
      <c r="BY183" s="403"/>
      <c r="BZ183" s="403"/>
      <c r="CA183" s="403"/>
      <c r="CB183" s="403"/>
      <c r="CC183" s="403" t="s">
        <v>8920</v>
      </c>
      <c r="CD183" s="403"/>
      <c r="CE183" s="403"/>
      <c r="CF183" s="403"/>
      <c r="CG183" s="403"/>
      <c r="CH183" s="403"/>
      <c r="CI183" s="403"/>
      <c r="CJ183" s="403"/>
      <c r="CK183" s="403"/>
      <c r="CL183" s="403"/>
      <c r="CM183" s="403"/>
      <c r="CN183" s="403"/>
      <c r="CO183" s="403"/>
      <c r="CP183" s="403"/>
      <c r="CQ183" s="403"/>
      <c r="CR183" s="403"/>
      <c r="CS183" s="403"/>
      <c r="CT183" s="403"/>
      <c r="CU183" s="403"/>
      <c r="CV183" s="403"/>
      <c r="CW183" s="403"/>
      <c r="CX183" s="403"/>
      <c r="CY183" s="403"/>
      <c r="CZ183" s="403"/>
      <c r="DA183" s="403"/>
      <c r="DB183" s="403"/>
      <c r="DC183" s="403"/>
      <c r="DD183" s="403"/>
      <c r="DE183" s="403"/>
      <c r="DF183" s="403"/>
      <c r="DG183" s="403"/>
      <c r="DH183" s="403"/>
      <c r="DI183" s="403"/>
      <c r="DJ183" s="403"/>
      <c r="DK183" s="403" t="s">
        <v>8923</v>
      </c>
      <c r="DL183" s="403"/>
      <c r="DM183" s="403"/>
      <c r="DN183" s="403"/>
      <c r="DO183" s="403"/>
      <c r="DP183" s="403"/>
      <c r="DQ183" s="403"/>
      <c r="DR183" s="403"/>
      <c r="DS183" s="403"/>
      <c r="DT183" s="403"/>
      <c r="DU183" s="403"/>
      <c r="DV183" s="403"/>
      <c r="DW183" s="403"/>
      <c r="DX183" s="403"/>
      <c r="DY183" s="403"/>
      <c r="DZ183" s="403"/>
      <c r="EA183" s="403"/>
      <c r="EB183" s="403"/>
      <c r="EC183" s="403"/>
      <c r="ED183" s="403"/>
      <c r="EE183" s="403"/>
      <c r="EF183" s="403"/>
      <c r="EG183" s="403"/>
      <c r="EH183" s="403"/>
      <c r="EI183" s="403"/>
      <c r="EJ183" s="403"/>
      <c r="EK183" s="403"/>
      <c r="EL183" s="403"/>
      <c r="EM183" s="403"/>
      <c r="EN183" s="403"/>
      <c r="EO183" s="403"/>
      <c r="EP183" s="403"/>
      <c r="EQ183" s="403"/>
      <c r="ER183" s="403"/>
      <c r="ES183" s="403" t="s">
        <v>8926</v>
      </c>
      <c r="ET183" s="403"/>
      <c r="EU183" s="403"/>
      <c r="EV183" s="403"/>
      <c r="EW183" s="403"/>
      <c r="EX183" s="403"/>
      <c r="EY183" s="403"/>
      <c r="EZ183" s="403"/>
      <c r="FA183" s="403"/>
      <c r="FB183" s="403"/>
      <c r="FC183" s="403"/>
      <c r="FD183" s="403"/>
      <c r="FE183" s="403"/>
      <c r="FF183" s="403"/>
      <c r="FG183" s="403"/>
      <c r="FH183" s="403"/>
      <c r="FI183" s="403"/>
      <c r="FJ183" s="403"/>
      <c r="FK183" s="403"/>
      <c r="FL183" s="403"/>
      <c r="FM183" s="403"/>
      <c r="FN183" s="403"/>
      <c r="FO183" s="403"/>
      <c r="FP183" s="403"/>
      <c r="FQ183" s="403"/>
      <c r="FR183" s="403"/>
      <c r="FS183" s="403"/>
      <c r="FT183" s="403"/>
      <c r="FU183" s="403"/>
      <c r="FV183" s="403"/>
      <c r="FW183" s="403"/>
      <c r="FX183" s="403"/>
      <c r="FY183" s="403"/>
      <c r="FZ183" s="403"/>
      <c r="GA183" s="403" t="s">
        <v>8929</v>
      </c>
      <c r="GB183" s="403"/>
      <c r="GC183" s="403"/>
      <c r="GD183" s="403"/>
      <c r="GE183" s="403"/>
      <c r="GF183" s="403"/>
      <c r="GG183" s="403"/>
      <c r="GH183" s="403"/>
      <c r="GI183" s="403"/>
      <c r="GJ183" s="403"/>
      <c r="GK183" s="403"/>
      <c r="GL183" s="403"/>
      <c r="GM183" s="403"/>
      <c r="GN183" s="403"/>
      <c r="GO183" s="403"/>
      <c r="GP183" s="403"/>
      <c r="GQ183" s="403"/>
      <c r="GR183" s="403"/>
      <c r="GS183" s="403"/>
      <c r="GT183" s="403"/>
      <c r="GU183" s="403"/>
      <c r="GV183" s="403"/>
      <c r="GW183" s="403"/>
      <c r="GX183" s="403"/>
      <c r="GY183" s="403"/>
      <c r="GZ183" s="403"/>
      <c r="HA183" s="403"/>
      <c r="HB183" s="403"/>
      <c r="HC183" s="403"/>
      <c r="HD183" s="403"/>
      <c r="HE183" s="403"/>
      <c r="HF183" s="403"/>
      <c r="HG183" s="403"/>
      <c r="HH183" s="403"/>
      <c r="HI183" s="403" t="s">
        <v>8932</v>
      </c>
      <c r="HJ183" s="403"/>
      <c r="HK183" s="403"/>
      <c r="HL183" s="403"/>
      <c r="HM183" s="403"/>
      <c r="HN183" s="403"/>
      <c r="HO183" s="403"/>
      <c r="HP183" s="403"/>
      <c r="HQ183" s="403"/>
      <c r="HR183" s="403"/>
      <c r="HS183" s="403"/>
      <c r="HT183" s="403"/>
      <c r="HU183" s="403"/>
      <c r="HV183" s="403"/>
      <c r="HW183" s="403"/>
      <c r="HX183" s="403"/>
      <c r="HY183" s="403"/>
      <c r="HZ183" s="403"/>
      <c r="IA183" s="403"/>
      <c r="IB183" s="403"/>
      <c r="IC183" s="403"/>
      <c r="ID183" s="403"/>
      <c r="IE183" s="403"/>
      <c r="IF183" s="403"/>
      <c r="IG183" s="403"/>
      <c r="IH183" s="403"/>
      <c r="II183" s="403"/>
      <c r="IJ183" s="403"/>
      <c r="IK183" s="403"/>
      <c r="IL183" s="403"/>
      <c r="IM183" s="403"/>
      <c r="IN183" s="403"/>
      <c r="IO183" s="403"/>
      <c r="IP183" s="403"/>
      <c r="IQ183" s="403" t="s">
        <v>8935</v>
      </c>
      <c r="IR183" s="403"/>
      <c r="IS183" s="403"/>
      <c r="IT183" s="403"/>
      <c r="IU183" s="403"/>
      <c r="IV183" s="403"/>
      <c r="IW183" s="403"/>
      <c r="IX183" s="403"/>
      <c r="IY183" s="403"/>
      <c r="IZ183" s="403"/>
      <c r="JA183" s="403"/>
      <c r="JB183" s="403"/>
      <c r="JC183" s="403"/>
      <c r="JD183" s="403"/>
      <c r="JE183" s="403"/>
      <c r="JF183" s="403"/>
      <c r="JG183" s="403"/>
      <c r="JH183" s="403"/>
      <c r="JI183" s="403"/>
      <c r="JJ183" s="403"/>
      <c r="JK183" s="403"/>
      <c r="JL183" s="403"/>
      <c r="JM183" s="403"/>
      <c r="JN183" s="403"/>
      <c r="JO183" s="403"/>
      <c r="JP183" s="403"/>
      <c r="JQ183" s="403"/>
      <c r="JR183" s="403"/>
      <c r="JS183" s="403"/>
      <c r="JT183" s="403"/>
    </row>
    <row r="184" spans="1:280" s="15" customFormat="1" ht="12.75" x14ac:dyDescent="0.2">
      <c r="A184" s="9"/>
      <c r="B184" s="624"/>
      <c r="C184" s="23" t="str">
        <f ca="1">IF(OFFSET(AU184,0,Lang_Order*Lang__B5)="","",OFFSET(AU184,0,Lang_Order*Lang__B5))</f>
        <v>Per Site per Day</v>
      </c>
      <c r="E184" s="26"/>
      <c r="F184" s="26"/>
      <c r="G184" s="26"/>
      <c r="H184" s="26"/>
      <c r="I184" s="26"/>
      <c r="J184" s="37" t="e">
        <f t="shared" ref="J184:O184" si="415">J163*AUCs_Data_perSiteperDay</f>
        <v>#N/A</v>
      </c>
      <c r="K184" s="37" t="e">
        <f t="shared" si="415"/>
        <v>#N/A</v>
      </c>
      <c r="L184" s="37" t="e">
        <f t="shared" si="415"/>
        <v>#N/A</v>
      </c>
      <c r="M184" s="37" t="e">
        <f t="shared" si="415"/>
        <v>#N/A</v>
      </c>
      <c r="N184" s="37" t="e">
        <f t="shared" si="415"/>
        <v>#N/A</v>
      </c>
      <c r="O184" s="37" t="e">
        <f t="shared" si="415"/>
        <v>#N/A</v>
      </c>
      <c r="P184" s="83" t="e">
        <f>SUM(J184:O184)</f>
        <v>#N/A</v>
      </c>
      <c r="Q184" s="83"/>
      <c r="R184" s="12" t="str">
        <f t="shared" ca="1" si="411"/>
        <v/>
      </c>
      <c r="S184" s="2"/>
      <c r="T184" s="241"/>
      <c r="U184" s="624"/>
      <c r="V184" s="72" t="str">
        <f ca="1">IF(OFFSET(AU184,0,Lang_Order*Lang__B5)="","",OFFSET(AU184,0,Lang_Order*Lang__B5))</f>
        <v>Per Site per Day</v>
      </c>
      <c r="W184" s="37" t="e">
        <f t="shared" ref="W184:AB184" si="416">W163*AUCs_Data_perSiteperDay</f>
        <v>#N/A</v>
      </c>
      <c r="X184" s="37" t="e">
        <f t="shared" si="416"/>
        <v>#N/A</v>
      </c>
      <c r="Y184" s="37" t="e">
        <f t="shared" si="416"/>
        <v>#N/A</v>
      </c>
      <c r="Z184" s="37" t="e">
        <f t="shared" si="416"/>
        <v>#N/A</v>
      </c>
      <c r="AA184" s="37" t="e">
        <f t="shared" si="416"/>
        <v>#N/A</v>
      </c>
      <c r="AB184" s="37" t="e">
        <f t="shared" si="416"/>
        <v>#N/A</v>
      </c>
      <c r="AC184" s="83" t="e">
        <f>SUM(W184:AB184)</f>
        <v>#N/A</v>
      </c>
      <c r="AE184" s="2"/>
      <c r="AF184" s="241"/>
      <c r="AG184" s="624"/>
      <c r="AH184" s="72" t="str">
        <f ca="1">IF(OFFSET(AU184,0,Lang_Order*Lang__B5)="","",OFFSET(AU184,0,Lang_Order*Lang__B5))</f>
        <v>Per Site per Day</v>
      </c>
      <c r="AI184" s="37" t="e">
        <f t="shared" ref="AI184:AN184" si="417">AI163*AUCs_Data_perSiteperDay</f>
        <v>#N/A</v>
      </c>
      <c r="AJ184" s="37" t="e">
        <f t="shared" si="417"/>
        <v>#N/A</v>
      </c>
      <c r="AK184" s="37" t="e">
        <f t="shared" si="417"/>
        <v>#N/A</v>
      </c>
      <c r="AL184" s="37" t="e">
        <f t="shared" si="417"/>
        <v>#N/A</v>
      </c>
      <c r="AM184" s="37" t="e">
        <f t="shared" si="417"/>
        <v>#N/A</v>
      </c>
      <c r="AN184" s="37" t="e">
        <f t="shared" si="417"/>
        <v>#N/A</v>
      </c>
      <c r="AO184" s="83" t="e">
        <f>SUM(AI184:AN184)</f>
        <v>#N/A</v>
      </c>
      <c r="AR184" s="403"/>
      <c r="AS184" s="403"/>
      <c r="AT184" s="403"/>
      <c r="AU184" s="403" t="s">
        <v>1586</v>
      </c>
      <c r="AV184" s="403"/>
      <c r="AW184" s="403"/>
      <c r="AX184" s="403"/>
      <c r="AY184" s="403"/>
      <c r="AZ184" s="403"/>
      <c r="BA184" s="403"/>
      <c r="BB184" s="403"/>
      <c r="BC184" s="403"/>
      <c r="BD184" s="403"/>
      <c r="BE184" s="403"/>
      <c r="BF184" s="403"/>
      <c r="BG184" s="403"/>
      <c r="BH184" s="403"/>
      <c r="BI184" s="403"/>
      <c r="BJ184" s="403"/>
      <c r="BK184" s="403"/>
      <c r="BL184" s="403"/>
      <c r="BM184" s="403"/>
      <c r="BN184" s="403"/>
      <c r="BO184" s="403"/>
      <c r="BP184" s="403"/>
      <c r="BQ184" s="403"/>
      <c r="BR184" s="403"/>
      <c r="BS184" s="403"/>
      <c r="BT184" s="403"/>
      <c r="BU184" s="403"/>
      <c r="BV184" s="403"/>
      <c r="BW184" s="403"/>
      <c r="BX184" s="403"/>
      <c r="BY184" s="403"/>
      <c r="BZ184" s="403"/>
      <c r="CA184" s="403"/>
      <c r="CB184" s="403"/>
      <c r="CC184" s="403" t="s">
        <v>12078</v>
      </c>
      <c r="CD184" s="403"/>
      <c r="CE184" s="403"/>
      <c r="CF184" s="403"/>
      <c r="CG184" s="403"/>
      <c r="CH184" s="403"/>
      <c r="CI184" s="403"/>
      <c r="CJ184" s="403"/>
      <c r="CK184" s="403"/>
      <c r="CL184" s="403"/>
      <c r="CM184" s="403"/>
      <c r="CN184" s="403"/>
      <c r="CO184" s="403"/>
      <c r="CP184" s="403"/>
      <c r="CQ184" s="403"/>
      <c r="CR184" s="403"/>
      <c r="CS184" s="403"/>
      <c r="CT184" s="403"/>
      <c r="CU184" s="403"/>
      <c r="CV184" s="403"/>
      <c r="CW184" s="403"/>
      <c r="CX184" s="403"/>
      <c r="CY184" s="403"/>
      <c r="CZ184" s="403"/>
      <c r="DA184" s="403"/>
      <c r="DB184" s="403"/>
      <c r="DC184" s="403"/>
      <c r="DD184" s="403"/>
      <c r="DE184" s="403"/>
      <c r="DF184" s="403"/>
      <c r="DG184" s="403"/>
      <c r="DH184" s="403"/>
      <c r="DI184" s="403"/>
      <c r="DJ184" s="403"/>
      <c r="DK184" s="403" t="s">
        <v>12079</v>
      </c>
      <c r="DL184" s="403"/>
      <c r="DM184" s="403"/>
      <c r="DN184" s="403"/>
      <c r="DO184" s="403"/>
      <c r="DP184" s="403"/>
      <c r="DQ184" s="403"/>
      <c r="DR184" s="403"/>
      <c r="DS184" s="403"/>
      <c r="DT184" s="403"/>
      <c r="DU184" s="403"/>
      <c r="DV184" s="403"/>
      <c r="DW184" s="403"/>
      <c r="DX184" s="403"/>
      <c r="DY184" s="403"/>
      <c r="DZ184" s="403"/>
      <c r="EA184" s="403"/>
      <c r="EB184" s="403"/>
      <c r="EC184" s="403"/>
      <c r="ED184" s="403"/>
      <c r="EE184" s="403"/>
      <c r="EF184" s="403"/>
      <c r="EG184" s="403"/>
      <c r="EH184" s="403"/>
      <c r="EI184" s="403"/>
      <c r="EJ184" s="403"/>
      <c r="EK184" s="403"/>
      <c r="EL184" s="403"/>
      <c r="EM184" s="403"/>
      <c r="EN184" s="403"/>
      <c r="EO184" s="403"/>
      <c r="EP184" s="403"/>
      <c r="EQ184" s="403"/>
      <c r="ER184" s="403"/>
      <c r="ES184" s="403" t="s">
        <v>8437</v>
      </c>
      <c r="ET184" s="403"/>
      <c r="EU184" s="403"/>
      <c r="EV184" s="403"/>
      <c r="EW184" s="403"/>
      <c r="EX184" s="403"/>
      <c r="EY184" s="403"/>
      <c r="EZ184" s="403"/>
      <c r="FA184" s="403"/>
      <c r="FB184" s="403"/>
      <c r="FC184" s="403"/>
      <c r="FD184" s="403"/>
      <c r="FE184" s="403"/>
      <c r="FF184" s="403"/>
      <c r="FG184" s="403"/>
      <c r="FH184" s="403"/>
      <c r="FI184" s="403"/>
      <c r="FJ184" s="403"/>
      <c r="FK184" s="403"/>
      <c r="FL184" s="403"/>
      <c r="FM184" s="403"/>
      <c r="FN184" s="403"/>
      <c r="FO184" s="403"/>
      <c r="FP184" s="403"/>
      <c r="FQ184" s="403"/>
      <c r="FR184" s="403"/>
      <c r="FS184" s="403"/>
      <c r="FT184" s="403"/>
      <c r="FU184" s="403"/>
      <c r="FV184" s="403"/>
      <c r="FW184" s="403"/>
      <c r="FX184" s="403"/>
      <c r="FY184" s="403"/>
      <c r="FZ184" s="403"/>
      <c r="GA184" s="403" t="s">
        <v>8439</v>
      </c>
      <c r="GB184" s="403"/>
      <c r="GC184" s="403"/>
      <c r="GD184" s="403"/>
      <c r="GE184" s="403"/>
      <c r="GF184" s="403"/>
      <c r="GG184" s="403"/>
      <c r="GH184" s="403"/>
      <c r="GI184" s="403"/>
      <c r="GJ184" s="403"/>
      <c r="GK184" s="403"/>
      <c r="GL184" s="403"/>
      <c r="GM184" s="403"/>
      <c r="GN184" s="403"/>
      <c r="GO184" s="403"/>
      <c r="GP184" s="403"/>
      <c r="GQ184" s="403"/>
      <c r="GR184" s="403"/>
      <c r="GS184" s="403"/>
      <c r="GT184" s="403"/>
      <c r="GU184" s="403"/>
      <c r="GV184" s="403"/>
      <c r="GW184" s="403"/>
      <c r="GX184" s="403"/>
      <c r="GY184" s="403"/>
      <c r="GZ184" s="403"/>
      <c r="HA184" s="403"/>
      <c r="HB184" s="403"/>
      <c r="HC184" s="403"/>
      <c r="HD184" s="403"/>
      <c r="HE184" s="403"/>
      <c r="HF184" s="403"/>
      <c r="HG184" s="403"/>
      <c r="HH184" s="403"/>
      <c r="HI184" s="403" t="s">
        <v>12080</v>
      </c>
      <c r="HJ184" s="403"/>
      <c r="HK184" s="403"/>
      <c r="HL184" s="403"/>
      <c r="HM184" s="403"/>
      <c r="HN184" s="403"/>
      <c r="HO184" s="403"/>
      <c r="HP184" s="403"/>
      <c r="HQ184" s="403"/>
      <c r="HR184" s="403"/>
      <c r="HS184" s="403"/>
      <c r="HT184" s="403"/>
      <c r="HU184" s="403"/>
      <c r="HV184" s="403"/>
      <c r="HW184" s="403"/>
      <c r="HX184" s="403"/>
      <c r="HY184" s="403"/>
      <c r="HZ184" s="403"/>
      <c r="IA184" s="403"/>
      <c r="IB184" s="403"/>
      <c r="IC184" s="403"/>
      <c r="ID184" s="403"/>
      <c r="IE184" s="403"/>
      <c r="IF184" s="403"/>
      <c r="IG184" s="403"/>
      <c r="IH184" s="403"/>
      <c r="II184" s="403"/>
      <c r="IJ184" s="403"/>
      <c r="IK184" s="403"/>
      <c r="IL184" s="403"/>
      <c r="IM184" s="403"/>
      <c r="IN184" s="403"/>
      <c r="IO184" s="403"/>
      <c r="IP184" s="403"/>
      <c r="IQ184" s="403" t="s">
        <v>12081</v>
      </c>
      <c r="IR184" s="403"/>
      <c r="IS184" s="403"/>
      <c r="IT184" s="403"/>
      <c r="IU184" s="403"/>
      <c r="IV184" s="403"/>
      <c r="IW184" s="403"/>
      <c r="IX184" s="403"/>
      <c r="IY184" s="403"/>
      <c r="IZ184" s="403"/>
      <c r="JA184" s="403"/>
      <c r="JB184" s="403"/>
      <c r="JC184" s="403"/>
      <c r="JD184" s="403"/>
      <c r="JE184" s="403"/>
      <c r="JF184" s="403"/>
      <c r="JG184" s="403"/>
      <c r="JH184" s="403"/>
      <c r="JI184" s="403"/>
      <c r="JJ184" s="403"/>
      <c r="JK184" s="403"/>
      <c r="JL184" s="403"/>
      <c r="JM184" s="403"/>
      <c r="JN184" s="403"/>
      <c r="JO184" s="403"/>
      <c r="JP184" s="403"/>
      <c r="JQ184" s="403"/>
      <c r="JR184" s="403"/>
      <c r="JS184" s="403"/>
      <c r="JT184" s="403"/>
    </row>
    <row r="185" spans="1:280" s="15" customFormat="1" ht="12.75" x14ac:dyDescent="0.2">
      <c r="A185" s="9"/>
      <c r="B185" s="624"/>
      <c r="C185" s="23"/>
      <c r="E185" s="26"/>
      <c r="F185" s="26"/>
      <c r="G185" s="26"/>
      <c r="H185" s="26"/>
      <c r="I185" s="26"/>
      <c r="J185" s="37"/>
      <c r="K185" s="37"/>
      <c r="L185" s="37"/>
      <c r="M185" s="37"/>
      <c r="N185" s="37"/>
      <c r="O185" s="37"/>
      <c r="P185" s="26"/>
      <c r="Q185" s="26"/>
      <c r="R185" s="12" t="str">
        <f t="shared" ca="1" si="411"/>
        <v/>
      </c>
      <c r="S185" s="2"/>
      <c r="T185" s="241"/>
      <c r="U185" s="624"/>
      <c r="V185" s="72"/>
      <c r="AC185" s="26"/>
      <c r="AE185" s="2"/>
      <c r="AF185" s="241"/>
      <c r="AG185" s="624"/>
      <c r="AH185" s="72"/>
      <c r="AO185" s="26"/>
      <c r="AR185" s="403"/>
      <c r="AS185" s="403"/>
      <c r="AT185" s="403"/>
      <c r="AU185" s="403"/>
      <c r="AV185" s="403"/>
      <c r="AW185" s="403"/>
      <c r="AX185" s="403"/>
      <c r="AY185" s="403"/>
      <c r="AZ185" s="403"/>
      <c r="BA185" s="403"/>
      <c r="BB185" s="403"/>
      <c r="BC185" s="403"/>
      <c r="BD185" s="403"/>
      <c r="BE185" s="403"/>
      <c r="BF185" s="403"/>
      <c r="BG185" s="403"/>
      <c r="BH185" s="403"/>
      <c r="BI185" s="403"/>
      <c r="BJ185" s="403"/>
      <c r="BK185" s="403"/>
      <c r="BL185" s="403"/>
      <c r="BM185" s="403"/>
      <c r="BN185" s="403"/>
      <c r="BO185" s="403"/>
      <c r="BP185" s="403"/>
      <c r="BQ185" s="403"/>
      <c r="BR185" s="403"/>
      <c r="BS185" s="403"/>
      <c r="BT185" s="403"/>
      <c r="BU185" s="403"/>
      <c r="BV185" s="403"/>
      <c r="BW185" s="403"/>
      <c r="BX185" s="403"/>
      <c r="BY185" s="403"/>
      <c r="BZ185" s="403"/>
      <c r="CA185" s="403"/>
      <c r="CB185" s="403"/>
      <c r="CC185" s="403"/>
      <c r="CD185" s="403"/>
      <c r="CE185" s="403"/>
      <c r="CF185" s="403"/>
      <c r="CG185" s="403"/>
      <c r="CH185" s="403"/>
      <c r="CI185" s="403"/>
      <c r="CJ185" s="403"/>
      <c r="CK185" s="403"/>
      <c r="CL185" s="403"/>
      <c r="CM185" s="403"/>
      <c r="CN185" s="403"/>
      <c r="CO185" s="403"/>
      <c r="CP185" s="403"/>
      <c r="CQ185" s="403"/>
      <c r="CR185" s="403"/>
      <c r="CS185" s="403"/>
      <c r="CT185" s="403"/>
      <c r="CU185" s="403"/>
      <c r="CV185" s="403"/>
      <c r="CW185" s="403"/>
      <c r="CX185" s="403"/>
      <c r="CY185" s="403"/>
      <c r="CZ185" s="403"/>
      <c r="DA185" s="403"/>
      <c r="DB185" s="403"/>
      <c r="DC185" s="403"/>
      <c r="DD185" s="403"/>
      <c r="DE185" s="403"/>
      <c r="DF185" s="403"/>
      <c r="DG185" s="403"/>
      <c r="DH185" s="403"/>
      <c r="DI185" s="403"/>
      <c r="DJ185" s="403"/>
      <c r="DK185" s="403"/>
      <c r="DL185" s="403"/>
      <c r="DM185" s="403"/>
      <c r="DN185" s="403"/>
      <c r="DO185" s="403"/>
      <c r="DP185" s="403"/>
      <c r="DQ185" s="403"/>
      <c r="DR185" s="403"/>
      <c r="DS185" s="403"/>
      <c r="DT185" s="403"/>
      <c r="DU185" s="403"/>
      <c r="DV185" s="403"/>
      <c r="DW185" s="403"/>
      <c r="DX185" s="403"/>
      <c r="DY185" s="403"/>
      <c r="DZ185" s="403"/>
      <c r="EA185" s="403"/>
      <c r="EB185" s="403"/>
      <c r="EC185" s="403"/>
      <c r="ED185" s="403"/>
      <c r="EE185" s="403"/>
      <c r="EF185" s="403"/>
      <c r="EG185" s="403"/>
      <c r="EH185" s="403"/>
      <c r="EI185" s="403"/>
      <c r="EJ185" s="403"/>
      <c r="EK185" s="403"/>
      <c r="EL185" s="403"/>
      <c r="EM185" s="403"/>
      <c r="EN185" s="403"/>
      <c r="EO185" s="403"/>
      <c r="EP185" s="403"/>
      <c r="EQ185" s="403"/>
      <c r="ER185" s="403"/>
      <c r="ES185" s="403"/>
      <c r="ET185" s="403"/>
      <c r="EU185" s="403"/>
      <c r="EV185" s="403"/>
      <c r="EW185" s="403"/>
      <c r="EX185" s="403"/>
      <c r="EY185" s="403"/>
      <c r="EZ185" s="403"/>
      <c r="FA185" s="403"/>
      <c r="FB185" s="403"/>
      <c r="FC185" s="403"/>
      <c r="FD185" s="403"/>
      <c r="FE185" s="403"/>
      <c r="FF185" s="403"/>
      <c r="FG185" s="403"/>
      <c r="FH185" s="403"/>
      <c r="FI185" s="403"/>
      <c r="FJ185" s="403"/>
      <c r="FK185" s="403"/>
      <c r="FL185" s="403"/>
      <c r="FM185" s="403"/>
      <c r="FN185" s="403"/>
      <c r="FO185" s="403"/>
      <c r="FP185" s="403"/>
      <c r="FQ185" s="403"/>
      <c r="FR185" s="403"/>
      <c r="FS185" s="403"/>
      <c r="FT185" s="403"/>
      <c r="FU185" s="403"/>
      <c r="FV185" s="403"/>
      <c r="FW185" s="403"/>
      <c r="FX185" s="403"/>
      <c r="FY185" s="403"/>
      <c r="FZ185" s="403"/>
      <c r="GA185" s="403"/>
      <c r="GB185" s="403"/>
      <c r="GC185" s="403"/>
      <c r="GD185" s="403"/>
      <c r="GE185" s="403"/>
      <c r="GF185" s="403"/>
      <c r="GG185" s="403"/>
      <c r="GH185" s="403"/>
      <c r="GI185" s="403"/>
      <c r="GJ185" s="403"/>
      <c r="GK185" s="403"/>
      <c r="GL185" s="403"/>
      <c r="GM185" s="403"/>
      <c r="GN185" s="403"/>
      <c r="GO185" s="403"/>
      <c r="GP185" s="403"/>
      <c r="GQ185" s="403"/>
      <c r="GR185" s="403"/>
      <c r="GS185" s="403"/>
      <c r="GT185" s="403"/>
      <c r="GU185" s="403"/>
      <c r="GV185" s="403"/>
      <c r="GW185" s="403"/>
      <c r="GX185" s="403"/>
      <c r="GY185" s="403"/>
      <c r="GZ185" s="403"/>
      <c r="HA185" s="403"/>
      <c r="HB185" s="403"/>
      <c r="HC185" s="403"/>
      <c r="HD185" s="403"/>
      <c r="HE185" s="403"/>
      <c r="HF185" s="403"/>
      <c r="HG185" s="403"/>
      <c r="HH185" s="403"/>
      <c r="HI185" s="403"/>
      <c r="HJ185" s="403"/>
      <c r="HK185" s="403"/>
      <c r="HL185" s="403"/>
      <c r="HM185" s="403"/>
      <c r="HN185" s="403"/>
      <c r="HO185" s="403"/>
      <c r="HP185" s="403"/>
      <c r="HQ185" s="403"/>
      <c r="HR185" s="403"/>
      <c r="HS185" s="403"/>
      <c r="HT185" s="403"/>
      <c r="HU185" s="403"/>
      <c r="HV185" s="403"/>
      <c r="HW185" s="403"/>
      <c r="HX185" s="403"/>
      <c r="HY185" s="403"/>
      <c r="HZ185" s="403"/>
      <c r="IA185" s="403"/>
      <c r="IB185" s="403"/>
      <c r="IC185" s="403"/>
      <c r="ID185" s="403"/>
      <c r="IE185" s="403"/>
      <c r="IF185" s="403"/>
      <c r="IG185" s="403"/>
      <c r="IH185" s="403"/>
      <c r="II185" s="403"/>
      <c r="IJ185" s="403"/>
      <c r="IK185" s="403"/>
      <c r="IL185" s="403"/>
      <c r="IM185" s="403"/>
      <c r="IN185" s="403"/>
      <c r="IO185" s="403"/>
      <c r="IP185" s="403"/>
      <c r="IQ185" s="403"/>
      <c r="IR185" s="403"/>
      <c r="IS185" s="403"/>
      <c r="IT185" s="403"/>
      <c r="IU185" s="403"/>
      <c r="IV185" s="403"/>
      <c r="IW185" s="403"/>
      <c r="IX185" s="403"/>
      <c r="IY185" s="403"/>
      <c r="IZ185" s="403"/>
      <c r="JA185" s="403"/>
      <c r="JB185" s="403"/>
      <c r="JC185" s="403"/>
      <c r="JD185" s="403"/>
      <c r="JE185" s="403"/>
      <c r="JF185" s="403"/>
      <c r="JG185" s="403"/>
      <c r="JH185" s="403"/>
      <c r="JI185" s="403"/>
      <c r="JJ185" s="403"/>
      <c r="JK185" s="403"/>
      <c r="JL185" s="403"/>
      <c r="JM185" s="403"/>
      <c r="JN185" s="403"/>
      <c r="JO185" s="403"/>
      <c r="JP185" s="403"/>
      <c r="JQ185" s="403"/>
      <c r="JR185" s="403"/>
      <c r="JS185" s="403"/>
      <c r="JT185" s="403"/>
    </row>
    <row r="186" spans="1:280" s="15" customFormat="1" ht="12.75" x14ac:dyDescent="0.2">
      <c r="A186" s="9"/>
      <c r="B186" s="624" t="str">
        <f ca="1">IF(OFFSET(AT186,0,Lang_Order*Lang__B5)="","",OFFSET(AT186,0,Lang_Order*Lang__B5))</f>
        <v>Additional Interventions</v>
      </c>
      <c r="C186" s="23"/>
      <c r="E186" s="26"/>
      <c r="F186" s="26"/>
      <c r="G186" s="26"/>
      <c r="H186" s="26"/>
      <c r="I186" s="26"/>
      <c r="J186" s="37"/>
      <c r="K186" s="37"/>
      <c r="L186" s="37"/>
      <c r="M186" s="37"/>
      <c r="N186" s="37"/>
      <c r="O186" s="37"/>
      <c r="P186" s="26"/>
      <c r="Q186" s="26"/>
      <c r="R186" s="12" t="str">
        <f t="shared" ca="1" si="411"/>
        <v>DEVELOP LATER IF NEEDED</v>
      </c>
      <c r="S186" s="2"/>
      <c r="T186" s="241"/>
      <c r="U186" s="624" t="str">
        <f ca="1">IF(OFFSET(AT186,0,Lang_Order*Lang__B5)="","",OFFSET(AT186,0,Lang_Order*Lang__B5))</f>
        <v>Additional Interventions</v>
      </c>
      <c r="V186" s="72"/>
      <c r="AC186" s="26"/>
      <c r="AE186" s="2"/>
      <c r="AF186" s="241"/>
      <c r="AG186" s="624" t="str">
        <f ca="1">IF(OFFSET(AT186,0,Lang_Order*Lang__B5)="","",OFFSET(AT186,0,Lang_Order*Lang__B5))</f>
        <v>Additional Interventions</v>
      </c>
      <c r="AH186" s="72"/>
      <c r="AO186" s="26"/>
      <c r="AR186" s="403"/>
      <c r="AS186" s="403"/>
      <c r="AT186" s="403" t="s">
        <v>1578</v>
      </c>
      <c r="AU186" s="403"/>
      <c r="AV186" s="403"/>
      <c r="AW186" s="403"/>
      <c r="AX186" s="403"/>
      <c r="AY186" s="403"/>
      <c r="AZ186" s="403"/>
      <c r="BA186" s="403"/>
      <c r="BB186" s="403"/>
      <c r="BC186" s="403"/>
      <c r="BD186" s="403"/>
      <c r="BE186" s="403"/>
      <c r="BF186" s="403"/>
      <c r="BG186" s="403"/>
      <c r="BH186" s="403"/>
      <c r="BI186" s="403"/>
      <c r="BJ186" s="403" t="s">
        <v>1587</v>
      </c>
      <c r="BK186" s="403"/>
      <c r="BL186" s="403"/>
      <c r="BM186" s="403"/>
      <c r="BN186" s="403"/>
      <c r="BO186" s="403"/>
      <c r="BP186" s="403"/>
      <c r="BQ186" s="403"/>
      <c r="BR186" s="403"/>
      <c r="BS186" s="403"/>
      <c r="BT186" s="403"/>
      <c r="BU186" s="403"/>
      <c r="BV186" s="403"/>
      <c r="BW186" s="403"/>
      <c r="BX186" s="403"/>
      <c r="BY186" s="403"/>
      <c r="BZ186" s="403"/>
      <c r="CA186" s="403"/>
      <c r="CB186" s="403" t="s">
        <v>11654</v>
      </c>
      <c r="CC186" s="403"/>
      <c r="CD186" s="403"/>
      <c r="CE186" s="403"/>
      <c r="CF186" s="403"/>
      <c r="CG186" s="403"/>
      <c r="CH186" s="403"/>
      <c r="CI186" s="403"/>
      <c r="CJ186" s="403"/>
      <c r="CK186" s="403"/>
      <c r="CL186" s="403"/>
      <c r="CM186" s="403"/>
      <c r="CN186" s="403"/>
      <c r="CO186" s="403"/>
      <c r="CP186" s="403"/>
      <c r="CQ186" s="403"/>
      <c r="CR186" s="403" t="s">
        <v>12082</v>
      </c>
      <c r="CS186" s="403"/>
      <c r="CT186" s="403"/>
      <c r="CU186" s="403"/>
      <c r="CV186" s="403"/>
      <c r="CW186" s="403"/>
      <c r="CX186" s="403"/>
      <c r="CY186" s="403"/>
      <c r="CZ186" s="403"/>
      <c r="DA186" s="403"/>
      <c r="DB186" s="403"/>
      <c r="DC186" s="403"/>
      <c r="DD186" s="403"/>
      <c r="DE186" s="403"/>
      <c r="DF186" s="403"/>
      <c r="DG186" s="403"/>
      <c r="DH186" s="403"/>
      <c r="DI186" s="403"/>
      <c r="DJ186" s="403" t="s">
        <v>11655</v>
      </c>
      <c r="DK186" s="403"/>
      <c r="DL186" s="403"/>
      <c r="DM186" s="403"/>
      <c r="DN186" s="403"/>
      <c r="DO186" s="403"/>
      <c r="DP186" s="403"/>
      <c r="DQ186" s="403"/>
      <c r="DR186" s="403"/>
      <c r="DS186" s="403"/>
      <c r="DT186" s="403"/>
      <c r="DU186" s="403"/>
      <c r="DV186" s="403"/>
      <c r="DW186" s="403"/>
      <c r="DX186" s="403"/>
      <c r="DY186" s="403"/>
      <c r="DZ186" s="403" t="s">
        <v>12083</v>
      </c>
      <c r="EA186" s="403"/>
      <c r="EB186" s="403"/>
      <c r="EC186" s="403"/>
      <c r="ED186" s="403"/>
      <c r="EE186" s="403"/>
      <c r="EF186" s="403"/>
      <c r="EG186" s="403"/>
      <c r="EH186" s="403"/>
      <c r="EI186" s="403"/>
      <c r="EJ186" s="403"/>
      <c r="EK186" s="403"/>
      <c r="EL186" s="403"/>
      <c r="EM186" s="403"/>
      <c r="EN186" s="403"/>
      <c r="EO186" s="403"/>
      <c r="EP186" s="403"/>
      <c r="EQ186" s="403"/>
      <c r="ER186" s="403" t="s">
        <v>11656</v>
      </c>
      <c r="ES186" s="403"/>
      <c r="ET186" s="403"/>
      <c r="EU186" s="403"/>
      <c r="EV186" s="403"/>
      <c r="EW186" s="403"/>
      <c r="EX186" s="403"/>
      <c r="EY186" s="403"/>
      <c r="EZ186" s="403"/>
      <c r="FA186" s="403"/>
      <c r="FB186" s="403"/>
      <c r="FC186" s="403"/>
      <c r="FD186" s="403"/>
      <c r="FE186" s="403"/>
      <c r="FF186" s="403"/>
      <c r="FG186" s="403"/>
      <c r="FH186" s="403" t="s">
        <v>12084</v>
      </c>
      <c r="FI186" s="403"/>
      <c r="FJ186" s="403"/>
      <c r="FK186" s="403"/>
      <c r="FL186" s="403"/>
      <c r="FM186" s="403"/>
      <c r="FN186" s="403"/>
      <c r="FO186" s="403"/>
      <c r="FP186" s="403"/>
      <c r="FQ186" s="403"/>
      <c r="FR186" s="403"/>
      <c r="FS186" s="403"/>
      <c r="FT186" s="403"/>
      <c r="FU186" s="403"/>
      <c r="FV186" s="403"/>
      <c r="FW186" s="403"/>
      <c r="FX186" s="403"/>
      <c r="FY186" s="403"/>
      <c r="FZ186" s="403" t="s">
        <v>11657</v>
      </c>
      <c r="GA186" s="403"/>
      <c r="GB186" s="403"/>
      <c r="GC186" s="403"/>
      <c r="GD186" s="403"/>
      <c r="GE186" s="403"/>
      <c r="GF186" s="403"/>
      <c r="GG186" s="403"/>
      <c r="GH186" s="403"/>
      <c r="GI186" s="403"/>
      <c r="GJ186" s="403"/>
      <c r="GK186" s="403"/>
      <c r="GL186" s="403"/>
      <c r="GM186" s="403"/>
      <c r="GN186" s="403"/>
      <c r="GO186" s="403"/>
      <c r="GP186" s="403" t="s">
        <v>12085</v>
      </c>
      <c r="GQ186" s="403"/>
      <c r="GR186" s="403"/>
      <c r="GS186" s="403"/>
      <c r="GT186" s="403"/>
      <c r="GU186" s="403"/>
      <c r="GV186" s="403"/>
      <c r="GW186" s="403"/>
      <c r="GX186" s="403"/>
      <c r="GY186" s="403"/>
      <c r="GZ186" s="403"/>
      <c r="HA186" s="403"/>
      <c r="HB186" s="403"/>
      <c r="HC186" s="403"/>
      <c r="HD186" s="403"/>
      <c r="HE186" s="403"/>
      <c r="HF186" s="403"/>
      <c r="HG186" s="403"/>
      <c r="HH186" s="403" t="s">
        <v>11658</v>
      </c>
      <c r="HI186" s="403"/>
      <c r="HJ186" s="403"/>
      <c r="HK186" s="403"/>
      <c r="HL186" s="403"/>
      <c r="HM186" s="403"/>
      <c r="HN186" s="403"/>
      <c r="HO186" s="403"/>
      <c r="HP186" s="403"/>
      <c r="HQ186" s="403"/>
      <c r="HR186" s="403"/>
      <c r="HS186" s="403"/>
      <c r="HT186" s="403"/>
      <c r="HU186" s="403"/>
      <c r="HV186" s="403"/>
      <c r="HW186" s="403"/>
      <c r="HX186" s="403" t="s">
        <v>12086</v>
      </c>
      <c r="HY186" s="403"/>
      <c r="HZ186" s="403"/>
      <c r="IA186" s="403"/>
      <c r="IB186" s="403"/>
      <c r="IC186" s="403"/>
      <c r="ID186" s="403"/>
      <c r="IE186" s="403"/>
      <c r="IF186" s="403"/>
      <c r="IG186" s="403"/>
      <c r="IH186" s="403"/>
      <c r="II186" s="403"/>
      <c r="IJ186" s="403"/>
      <c r="IK186" s="403"/>
      <c r="IL186" s="403"/>
      <c r="IM186" s="403"/>
      <c r="IN186" s="403"/>
      <c r="IO186" s="403"/>
      <c r="IP186" s="403" t="s">
        <v>11659</v>
      </c>
      <c r="IQ186" s="403"/>
      <c r="IR186" s="403"/>
      <c r="IS186" s="403"/>
      <c r="IT186" s="403"/>
      <c r="IU186" s="403"/>
      <c r="IV186" s="403"/>
      <c r="IW186" s="403"/>
      <c r="IX186" s="403"/>
      <c r="IY186" s="403"/>
      <c r="IZ186" s="403"/>
      <c r="JA186" s="403"/>
      <c r="JB186" s="403"/>
      <c r="JC186" s="403"/>
      <c r="JD186" s="403"/>
      <c r="JE186" s="403"/>
      <c r="JF186" s="403" t="s">
        <v>12087</v>
      </c>
      <c r="JG186" s="403"/>
      <c r="JH186" s="403"/>
      <c r="JI186" s="403"/>
      <c r="JJ186" s="403"/>
      <c r="JK186" s="403"/>
      <c r="JL186" s="403"/>
      <c r="JM186" s="403"/>
      <c r="JN186" s="403"/>
      <c r="JO186" s="403"/>
      <c r="JP186" s="403"/>
      <c r="JQ186" s="403"/>
      <c r="JR186" s="403"/>
      <c r="JS186" s="403"/>
      <c r="JT186" s="403"/>
    </row>
    <row r="187" spans="1:280" s="15" customFormat="1" ht="12.75" x14ac:dyDescent="0.2">
      <c r="A187" s="9"/>
      <c r="B187" s="624"/>
      <c r="C187" s="23" t="str">
        <f ca="1">IF(OFFSET(AU187,0,Lang_Order*Lang__B5)="","",OFFSET(AU187,0,Lang_Order*Lang__B5))</f>
        <v>Per Site</v>
      </c>
      <c r="E187" s="26"/>
      <c r="F187" s="26"/>
      <c r="G187" s="26"/>
      <c r="H187" s="26"/>
      <c r="I187" s="26"/>
      <c r="J187" s="37" t="e">
        <f t="shared" ref="J187:O187" si="418">J146*AUCs_AddInterventions_perSite</f>
        <v>#N/A</v>
      </c>
      <c r="K187" s="37" t="e">
        <f t="shared" si="418"/>
        <v>#N/A</v>
      </c>
      <c r="L187" s="37" t="e">
        <f t="shared" si="418"/>
        <v>#N/A</v>
      </c>
      <c r="M187" s="37" t="e">
        <f t="shared" si="418"/>
        <v>#N/A</v>
      </c>
      <c r="N187" s="37" t="e">
        <f t="shared" si="418"/>
        <v>#N/A</v>
      </c>
      <c r="O187" s="37" t="e">
        <f t="shared" si="418"/>
        <v>#N/A</v>
      </c>
      <c r="P187" s="83" t="e">
        <f>SUM(J187:O187)</f>
        <v>#N/A</v>
      </c>
      <c r="Q187" s="83"/>
      <c r="R187" s="12" t="str">
        <f t="shared" ca="1" si="411"/>
        <v/>
      </c>
      <c r="S187" s="2"/>
      <c r="T187" s="241"/>
      <c r="U187" s="624"/>
      <c r="V187" s="72" t="str">
        <f ca="1">IF(OFFSET(AU187,0,Lang_Order*Lang__B5)="","",OFFSET(AU187,0,Lang_Order*Lang__B5))</f>
        <v>Per Site</v>
      </c>
      <c r="W187" s="37" t="e">
        <f>J187</f>
        <v>#N/A</v>
      </c>
      <c r="X187" s="37" t="e">
        <f t="shared" ref="X187:X188" si="419">K187</f>
        <v>#N/A</v>
      </c>
      <c r="Y187" s="37" t="e">
        <f t="shared" ref="Y187:Y188" si="420">L187</f>
        <v>#N/A</v>
      </c>
      <c r="Z187" s="37" t="e">
        <f t="shared" ref="Z187:Z188" si="421">M187</f>
        <v>#N/A</v>
      </c>
      <c r="AA187" s="37" t="e">
        <f t="shared" ref="AA187:AA188" si="422">N187</f>
        <v>#N/A</v>
      </c>
      <c r="AB187" s="37" t="e">
        <f t="shared" ref="AB187:AB188" si="423">O187</f>
        <v>#N/A</v>
      </c>
      <c r="AC187" s="83" t="e">
        <f>SUM(W187:AB187)</f>
        <v>#N/A</v>
      </c>
      <c r="AE187" s="72" t="s">
        <v>3042</v>
      </c>
      <c r="AF187" s="241"/>
      <c r="AG187" s="624"/>
      <c r="AH187" s="72" t="str">
        <f ca="1">IF(OFFSET(AU187,0,Lang_Order*Lang__B5)="","",OFFSET(AU187,0,Lang_Order*Lang__B5))</f>
        <v>Per Site</v>
      </c>
      <c r="AI187" s="37" t="e">
        <f>J187</f>
        <v>#N/A</v>
      </c>
      <c r="AJ187" s="37" t="e">
        <f t="shared" ref="AJ187:AJ188" si="424">K187</f>
        <v>#N/A</v>
      </c>
      <c r="AK187" s="37" t="e">
        <f t="shared" ref="AK187:AK188" si="425">L187</f>
        <v>#N/A</v>
      </c>
      <c r="AL187" s="37" t="e">
        <f t="shared" ref="AL187:AL188" si="426">M187</f>
        <v>#N/A</v>
      </c>
      <c r="AM187" s="37" t="e">
        <f t="shared" ref="AM187:AM188" si="427">N187</f>
        <v>#N/A</v>
      </c>
      <c r="AN187" s="37" t="e">
        <f t="shared" ref="AN187:AN188" si="428">O187</f>
        <v>#N/A</v>
      </c>
      <c r="AO187" s="83" t="e">
        <f>SUM(AI187:AN187)</f>
        <v>#N/A</v>
      </c>
      <c r="AR187" s="403"/>
      <c r="AS187" s="403"/>
      <c r="AT187" s="403"/>
      <c r="AU187" s="403" t="s">
        <v>1580</v>
      </c>
      <c r="AV187" s="403"/>
      <c r="AW187" s="403"/>
      <c r="AX187" s="403"/>
      <c r="AY187" s="403"/>
      <c r="AZ187" s="403"/>
      <c r="BA187" s="403"/>
      <c r="BB187" s="403"/>
      <c r="BC187" s="403"/>
      <c r="BD187" s="403"/>
      <c r="BE187" s="403"/>
      <c r="BF187" s="403"/>
      <c r="BG187" s="403"/>
      <c r="BH187" s="403"/>
      <c r="BI187" s="403"/>
      <c r="BJ187" s="403"/>
      <c r="BK187" s="403"/>
      <c r="BL187" s="403"/>
      <c r="BM187" s="403"/>
      <c r="BN187" s="403"/>
      <c r="BO187" s="403"/>
      <c r="BP187" s="403"/>
      <c r="BQ187" s="403"/>
      <c r="BR187" s="403"/>
      <c r="BS187" s="403"/>
      <c r="BT187" s="403"/>
      <c r="BU187" s="403"/>
      <c r="BV187" s="403"/>
      <c r="BW187" s="403"/>
      <c r="BX187" s="403"/>
      <c r="BY187" s="403"/>
      <c r="BZ187" s="403"/>
      <c r="CA187" s="403"/>
      <c r="CB187" s="403"/>
      <c r="CC187" s="403" t="s">
        <v>8457</v>
      </c>
      <c r="CD187" s="403"/>
      <c r="CE187" s="403"/>
      <c r="CF187" s="403"/>
      <c r="CG187" s="403"/>
      <c r="CH187" s="403"/>
      <c r="CI187" s="403"/>
      <c r="CJ187" s="403"/>
      <c r="CK187" s="403"/>
      <c r="CL187" s="403"/>
      <c r="CM187" s="403"/>
      <c r="CN187" s="403"/>
      <c r="CO187" s="403"/>
      <c r="CP187" s="403"/>
      <c r="CQ187" s="403"/>
      <c r="CR187" s="403"/>
      <c r="CS187" s="403"/>
      <c r="CT187" s="403"/>
      <c r="CU187" s="403"/>
      <c r="CV187" s="403"/>
      <c r="CW187" s="403"/>
      <c r="CX187" s="403"/>
      <c r="CY187" s="403"/>
      <c r="CZ187" s="403"/>
      <c r="DA187" s="403"/>
      <c r="DB187" s="403"/>
      <c r="DC187" s="403"/>
      <c r="DD187" s="403"/>
      <c r="DE187" s="403"/>
      <c r="DF187" s="403"/>
      <c r="DG187" s="403"/>
      <c r="DH187" s="403"/>
      <c r="DI187" s="403"/>
      <c r="DJ187" s="403"/>
      <c r="DK187" s="403" t="s">
        <v>9147</v>
      </c>
      <c r="DL187" s="403"/>
      <c r="DM187" s="403"/>
      <c r="DN187" s="403"/>
      <c r="DO187" s="403"/>
      <c r="DP187" s="403"/>
      <c r="DQ187" s="403"/>
      <c r="DR187" s="403"/>
      <c r="DS187" s="403"/>
      <c r="DT187" s="403"/>
      <c r="DU187" s="403"/>
      <c r="DV187" s="403"/>
      <c r="DW187" s="403"/>
      <c r="DX187" s="403"/>
      <c r="DY187" s="403"/>
      <c r="DZ187" s="403"/>
      <c r="EA187" s="403"/>
      <c r="EB187" s="403"/>
      <c r="EC187" s="403"/>
      <c r="ED187" s="403"/>
      <c r="EE187" s="403"/>
      <c r="EF187" s="403"/>
      <c r="EG187" s="403"/>
      <c r="EH187" s="403"/>
      <c r="EI187" s="403"/>
      <c r="EJ187" s="403"/>
      <c r="EK187" s="403"/>
      <c r="EL187" s="403"/>
      <c r="EM187" s="403"/>
      <c r="EN187" s="403"/>
      <c r="EO187" s="403"/>
      <c r="EP187" s="403"/>
      <c r="EQ187" s="403"/>
      <c r="ER187" s="403"/>
      <c r="ES187" s="403" t="s">
        <v>8579</v>
      </c>
      <c r="ET187" s="403"/>
      <c r="EU187" s="403"/>
      <c r="EV187" s="403"/>
      <c r="EW187" s="403"/>
      <c r="EX187" s="403"/>
      <c r="EY187" s="403"/>
      <c r="EZ187" s="403"/>
      <c r="FA187" s="403"/>
      <c r="FB187" s="403"/>
      <c r="FC187" s="403"/>
      <c r="FD187" s="403"/>
      <c r="FE187" s="403"/>
      <c r="FF187" s="403"/>
      <c r="FG187" s="403"/>
      <c r="FH187" s="403"/>
      <c r="FI187" s="403"/>
      <c r="FJ187" s="403"/>
      <c r="FK187" s="403"/>
      <c r="FL187" s="403"/>
      <c r="FM187" s="403"/>
      <c r="FN187" s="403"/>
      <c r="FO187" s="403"/>
      <c r="FP187" s="403"/>
      <c r="FQ187" s="403"/>
      <c r="FR187" s="403"/>
      <c r="FS187" s="403"/>
      <c r="FT187" s="403"/>
      <c r="FU187" s="403"/>
      <c r="FV187" s="403"/>
      <c r="FW187" s="403"/>
      <c r="FX187" s="403"/>
      <c r="FY187" s="403"/>
      <c r="FZ187" s="403"/>
      <c r="GA187" s="403" t="s">
        <v>8463</v>
      </c>
      <c r="GB187" s="403"/>
      <c r="GC187" s="403"/>
      <c r="GD187" s="403"/>
      <c r="GE187" s="403"/>
      <c r="GF187" s="403"/>
      <c r="GG187" s="403"/>
      <c r="GH187" s="403"/>
      <c r="GI187" s="403"/>
      <c r="GJ187" s="403"/>
      <c r="GK187" s="403"/>
      <c r="GL187" s="403"/>
      <c r="GM187" s="403"/>
      <c r="GN187" s="403"/>
      <c r="GO187" s="403"/>
      <c r="GP187" s="403"/>
      <c r="GQ187" s="403"/>
      <c r="GR187" s="403"/>
      <c r="GS187" s="403"/>
      <c r="GT187" s="403"/>
      <c r="GU187" s="403"/>
      <c r="GV187" s="403"/>
      <c r="GW187" s="403"/>
      <c r="GX187" s="403"/>
      <c r="GY187" s="403"/>
      <c r="GZ187" s="403"/>
      <c r="HA187" s="403"/>
      <c r="HB187" s="403"/>
      <c r="HC187" s="403"/>
      <c r="HD187" s="403"/>
      <c r="HE187" s="403"/>
      <c r="HF187" s="403"/>
      <c r="HG187" s="403"/>
      <c r="HH187" s="403"/>
      <c r="HI187" s="403" t="s">
        <v>8465</v>
      </c>
      <c r="HJ187" s="403"/>
      <c r="HK187" s="403"/>
      <c r="HL187" s="403"/>
      <c r="HM187" s="403"/>
      <c r="HN187" s="403"/>
      <c r="HO187" s="403"/>
      <c r="HP187" s="403"/>
      <c r="HQ187" s="403"/>
      <c r="HR187" s="403"/>
      <c r="HS187" s="403"/>
      <c r="HT187" s="403"/>
      <c r="HU187" s="403"/>
      <c r="HV187" s="403"/>
      <c r="HW187" s="403"/>
      <c r="HX187" s="403"/>
      <c r="HY187" s="403"/>
      <c r="HZ187" s="403"/>
      <c r="IA187" s="403"/>
      <c r="IB187" s="403"/>
      <c r="IC187" s="403"/>
      <c r="ID187" s="403"/>
      <c r="IE187" s="403"/>
      <c r="IF187" s="403"/>
      <c r="IG187" s="403"/>
      <c r="IH187" s="403"/>
      <c r="II187" s="403"/>
      <c r="IJ187" s="403"/>
      <c r="IK187" s="403"/>
      <c r="IL187" s="403"/>
      <c r="IM187" s="403"/>
      <c r="IN187" s="403"/>
      <c r="IO187" s="403"/>
      <c r="IP187" s="403"/>
      <c r="IQ187" s="403" t="s">
        <v>8467</v>
      </c>
      <c r="IR187" s="403"/>
      <c r="IS187" s="403"/>
      <c r="IT187" s="403"/>
      <c r="IU187" s="403"/>
      <c r="IV187" s="403"/>
      <c r="IW187" s="403"/>
      <c r="IX187" s="403"/>
      <c r="IY187" s="403"/>
      <c r="IZ187" s="403"/>
      <c r="JA187" s="403"/>
      <c r="JB187" s="403"/>
      <c r="JC187" s="403"/>
      <c r="JD187" s="403"/>
      <c r="JE187" s="403"/>
      <c r="JF187" s="403"/>
      <c r="JG187" s="403"/>
      <c r="JH187" s="403"/>
      <c r="JI187" s="403"/>
      <c r="JJ187" s="403"/>
      <c r="JK187" s="403"/>
      <c r="JL187" s="403"/>
      <c r="JM187" s="403"/>
      <c r="JN187" s="403"/>
      <c r="JO187" s="403"/>
      <c r="JP187" s="403"/>
      <c r="JQ187" s="403"/>
      <c r="JR187" s="403"/>
      <c r="JS187" s="403"/>
      <c r="JT187" s="403"/>
    </row>
    <row r="188" spans="1:280" s="15" customFormat="1" ht="12.75" x14ac:dyDescent="0.2">
      <c r="A188" s="9"/>
      <c r="B188" s="624"/>
      <c r="C188" s="23" t="str">
        <f ca="1">IF(OFFSET(AU188,0,Lang_Order*Lang__B5)="","",OFFSET(AU188,0,Lang_Order*Lang__B5))</f>
        <v>Per Vaccinated Person</v>
      </c>
      <c r="E188" s="26"/>
      <c r="F188" s="26"/>
      <c r="G188" s="26"/>
      <c r="H188" s="26"/>
      <c r="I188" s="26"/>
      <c r="J188" s="37" t="e">
        <f t="shared" ref="J188:O188" si="429">J138*AUCs_AddInterventions_perPerson</f>
        <v>#N/A</v>
      </c>
      <c r="K188" s="37" t="e">
        <f t="shared" si="429"/>
        <v>#N/A</v>
      </c>
      <c r="L188" s="37" t="e">
        <f t="shared" si="429"/>
        <v>#N/A</v>
      </c>
      <c r="M188" s="37" t="e">
        <f t="shared" si="429"/>
        <v>#N/A</v>
      </c>
      <c r="N188" s="37" t="e">
        <f t="shared" si="429"/>
        <v>#N/A</v>
      </c>
      <c r="O188" s="37" t="e">
        <f t="shared" si="429"/>
        <v>#N/A</v>
      </c>
      <c r="P188" s="83" t="e">
        <f>SUM(J188:O188)</f>
        <v>#N/A</v>
      </c>
      <c r="Q188" s="83"/>
      <c r="R188" s="12" t="str">
        <f t="shared" ca="1" si="411"/>
        <v/>
      </c>
      <c r="S188" s="2"/>
      <c r="T188" s="241"/>
      <c r="U188" s="624"/>
      <c r="V188" s="72" t="str">
        <f ca="1">IF(OFFSET(AU188,0,Lang_Order*Lang__B5)="","",OFFSET(AU188,0,Lang_Order*Lang__B5))</f>
        <v>Per Vaccinated Person</v>
      </c>
      <c r="W188" s="37" t="e">
        <f t="shared" ref="W188" si="430">J188</f>
        <v>#N/A</v>
      </c>
      <c r="X188" s="37" t="e">
        <f t="shared" si="419"/>
        <v>#N/A</v>
      </c>
      <c r="Y188" s="37" t="e">
        <f t="shared" si="420"/>
        <v>#N/A</v>
      </c>
      <c r="Z188" s="37" t="e">
        <f t="shared" si="421"/>
        <v>#N/A</v>
      </c>
      <c r="AA188" s="37" t="e">
        <f t="shared" si="422"/>
        <v>#N/A</v>
      </c>
      <c r="AB188" s="37" t="e">
        <f t="shared" si="423"/>
        <v>#N/A</v>
      </c>
      <c r="AC188" s="83" t="e">
        <f>SUM(W188:AB188)</f>
        <v>#N/A</v>
      </c>
      <c r="AE188" s="72" t="s">
        <v>3042</v>
      </c>
      <c r="AF188" s="241"/>
      <c r="AG188" s="624"/>
      <c r="AH188" s="72" t="str">
        <f ca="1">IF(OFFSET(AU188,0,Lang_Order*Lang__B5)="","",OFFSET(AU188,0,Lang_Order*Lang__B5))</f>
        <v>Per Vaccinated Person</v>
      </c>
      <c r="AI188" s="37" t="e">
        <f t="shared" ref="AI188" si="431">J188</f>
        <v>#N/A</v>
      </c>
      <c r="AJ188" s="37" t="e">
        <f t="shared" si="424"/>
        <v>#N/A</v>
      </c>
      <c r="AK188" s="37" t="e">
        <f t="shared" si="425"/>
        <v>#N/A</v>
      </c>
      <c r="AL188" s="37" t="e">
        <f t="shared" si="426"/>
        <v>#N/A</v>
      </c>
      <c r="AM188" s="37" t="e">
        <f t="shared" si="427"/>
        <v>#N/A</v>
      </c>
      <c r="AN188" s="37" t="e">
        <f t="shared" si="428"/>
        <v>#N/A</v>
      </c>
      <c r="AO188" s="83" t="e">
        <f>SUM(AI188:AN188)</f>
        <v>#N/A</v>
      </c>
      <c r="AR188" s="403"/>
      <c r="AS188" s="403"/>
      <c r="AT188" s="403"/>
      <c r="AU188" s="403" t="s">
        <v>1588</v>
      </c>
      <c r="AV188" s="403"/>
      <c r="AW188" s="403"/>
      <c r="AX188" s="403"/>
      <c r="AY188" s="403"/>
      <c r="AZ188" s="403"/>
      <c r="BA188" s="403"/>
      <c r="BB188" s="403"/>
      <c r="BC188" s="403"/>
      <c r="BD188" s="403"/>
      <c r="BE188" s="403"/>
      <c r="BF188" s="403"/>
      <c r="BG188" s="403"/>
      <c r="BH188" s="403"/>
      <c r="BI188" s="403"/>
      <c r="BJ188" s="403"/>
      <c r="BK188" s="403"/>
      <c r="BL188" s="403"/>
      <c r="BM188" s="403"/>
      <c r="BN188" s="403"/>
      <c r="BO188" s="403"/>
      <c r="BP188" s="403"/>
      <c r="BQ188" s="403"/>
      <c r="BR188" s="403"/>
      <c r="BS188" s="403"/>
      <c r="BT188" s="403"/>
      <c r="BU188" s="403"/>
      <c r="BV188" s="403"/>
      <c r="BW188" s="403"/>
      <c r="BX188" s="403"/>
      <c r="BY188" s="403"/>
      <c r="BZ188" s="403"/>
      <c r="CA188" s="403"/>
      <c r="CB188" s="403"/>
      <c r="CC188" s="403" t="s">
        <v>12088</v>
      </c>
      <c r="CD188" s="403"/>
      <c r="CE188" s="403"/>
      <c r="CF188" s="403"/>
      <c r="CG188" s="403"/>
      <c r="CH188" s="403"/>
      <c r="CI188" s="403"/>
      <c r="CJ188" s="403"/>
      <c r="CK188" s="403"/>
      <c r="CL188" s="403"/>
      <c r="CM188" s="403"/>
      <c r="CN188" s="403"/>
      <c r="CO188" s="403"/>
      <c r="CP188" s="403"/>
      <c r="CQ188" s="403"/>
      <c r="CR188" s="403"/>
      <c r="CS188" s="403"/>
      <c r="CT188" s="403"/>
      <c r="CU188" s="403"/>
      <c r="CV188" s="403"/>
      <c r="CW188" s="403"/>
      <c r="CX188" s="403"/>
      <c r="CY188" s="403"/>
      <c r="CZ188" s="403"/>
      <c r="DA188" s="403"/>
      <c r="DB188" s="403"/>
      <c r="DC188" s="403"/>
      <c r="DD188" s="403"/>
      <c r="DE188" s="403"/>
      <c r="DF188" s="403"/>
      <c r="DG188" s="403"/>
      <c r="DH188" s="403"/>
      <c r="DI188" s="403"/>
      <c r="DJ188" s="403"/>
      <c r="DK188" s="403" t="s">
        <v>12089</v>
      </c>
      <c r="DL188" s="403"/>
      <c r="DM188" s="403"/>
      <c r="DN188" s="403"/>
      <c r="DO188" s="403"/>
      <c r="DP188" s="403"/>
      <c r="DQ188" s="403"/>
      <c r="DR188" s="403"/>
      <c r="DS188" s="403"/>
      <c r="DT188" s="403"/>
      <c r="DU188" s="403"/>
      <c r="DV188" s="403"/>
      <c r="DW188" s="403"/>
      <c r="DX188" s="403"/>
      <c r="DY188" s="403"/>
      <c r="DZ188" s="403"/>
      <c r="EA188" s="403"/>
      <c r="EB188" s="403"/>
      <c r="EC188" s="403"/>
      <c r="ED188" s="403"/>
      <c r="EE188" s="403"/>
      <c r="EF188" s="403"/>
      <c r="EG188" s="403"/>
      <c r="EH188" s="403"/>
      <c r="EI188" s="403"/>
      <c r="EJ188" s="403"/>
      <c r="EK188" s="403"/>
      <c r="EL188" s="403"/>
      <c r="EM188" s="403"/>
      <c r="EN188" s="403"/>
      <c r="EO188" s="403"/>
      <c r="EP188" s="403"/>
      <c r="EQ188" s="403"/>
      <c r="ER188" s="403"/>
      <c r="ES188" s="403" t="s">
        <v>12090</v>
      </c>
      <c r="ET188" s="403"/>
      <c r="EU188" s="403"/>
      <c r="EV188" s="403"/>
      <c r="EW188" s="403"/>
      <c r="EX188" s="403"/>
      <c r="EY188" s="403"/>
      <c r="EZ188" s="403"/>
      <c r="FA188" s="403"/>
      <c r="FB188" s="403"/>
      <c r="FC188" s="403"/>
      <c r="FD188" s="403"/>
      <c r="FE188" s="403"/>
      <c r="FF188" s="403"/>
      <c r="FG188" s="403"/>
      <c r="FH188" s="403"/>
      <c r="FI188" s="403"/>
      <c r="FJ188" s="403"/>
      <c r="FK188" s="403"/>
      <c r="FL188" s="403"/>
      <c r="FM188" s="403"/>
      <c r="FN188" s="403"/>
      <c r="FO188" s="403"/>
      <c r="FP188" s="403"/>
      <c r="FQ188" s="403"/>
      <c r="FR188" s="403"/>
      <c r="FS188" s="403"/>
      <c r="FT188" s="403"/>
      <c r="FU188" s="403"/>
      <c r="FV188" s="403"/>
      <c r="FW188" s="403"/>
      <c r="FX188" s="403"/>
      <c r="FY188" s="403"/>
      <c r="FZ188" s="403"/>
      <c r="GA188" s="403" t="s">
        <v>12091</v>
      </c>
      <c r="GB188" s="403"/>
      <c r="GC188" s="403"/>
      <c r="GD188" s="403"/>
      <c r="GE188" s="403"/>
      <c r="GF188" s="403"/>
      <c r="GG188" s="403"/>
      <c r="GH188" s="403"/>
      <c r="GI188" s="403"/>
      <c r="GJ188" s="403"/>
      <c r="GK188" s="403"/>
      <c r="GL188" s="403"/>
      <c r="GM188" s="403"/>
      <c r="GN188" s="403"/>
      <c r="GO188" s="403"/>
      <c r="GP188" s="403"/>
      <c r="GQ188" s="403"/>
      <c r="GR188" s="403"/>
      <c r="GS188" s="403"/>
      <c r="GT188" s="403"/>
      <c r="GU188" s="403"/>
      <c r="GV188" s="403"/>
      <c r="GW188" s="403"/>
      <c r="GX188" s="403"/>
      <c r="GY188" s="403"/>
      <c r="GZ188" s="403"/>
      <c r="HA188" s="403"/>
      <c r="HB188" s="403"/>
      <c r="HC188" s="403"/>
      <c r="HD188" s="403"/>
      <c r="HE188" s="403"/>
      <c r="HF188" s="403"/>
      <c r="HG188" s="403"/>
      <c r="HH188" s="403"/>
      <c r="HI188" s="403" t="s">
        <v>12093</v>
      </c>
      <c r="HJ188" s="403"/>
      <c r="HK188" s="403"/>
      <c r="HL188" s="403"/>
      <c r="HM188" s="403"/>
      <c r="HN188" s="403"/>
      <c r="HO188" s="403"/>
      <c r="HP188" s="403"/>
      <c r="HQ188" s="403"/>
      <c r="HR188" s="403"/>
      <c r="HS188" s="403"/>
      <c r="HT188" s="403"/>
      <c r="HU188" s="403"/>
      <c r="HV188" s="403"/>
      <c r="HW188" s="403"/>
      <c r="HX188" s="403"/>
      <c r="HY188" s="403"/>
      <c r="HZ188" s="403"/>
      <c r="IA188" s="403"/>
      <c r="IB188" s="403"/>
      <c r="IC188" s="403"/>
      <c r="ID188" s="403"/>
      <c r="IE188" s="403"/>
      <c r="IF188" s="403"/>
      <c r="IG188" s="403"/>
      <c r="IH188" s="403"/>
      <c r="II188" s="403"/>
      <c r="IJ188" s="403"/>
      <c r="IK188" s="403"/>
      <c r="IL188" s="403"/>
      <c r="IM188" s="403"/>
      <c r="IN188" s="403"/>
      <c r="IO188" s="403"/>
      <c r="IP188" s="403"/>
      <c r="IQ188" s="403" t="s">
        <v>12092</v>
      </c>
      <c r="IR188" s="403"/>
      <c r="IS188" s="403"/>
      <c r="IT188" s="403"/>
      <c r="IU188" s="403"/>
      <c r="IV188" s="403"/>
      <c r="IW188" s="403"/>
      <c r="IX188" s="403"/>
      <c r="IY188" s="403"/>
      <c r="IZ188" s="403"/>
      <c r="JA188" s="403"/>
      <c r="JB188" s="403"/>
      <c r="JC188" s="403"/>
      <c r="JD188" s="403"/>
      <c r="JE188" s="403"/>
      <c r="JF188" s="403"/>
      <c r="JG188" s="403"/>
      <c r="JH188" s="403"/>
      <c r="JI188" s="403"/>
      <c r="JJ188" s="403"/>
      <c r="JK188" s="403"/>
      <c r="JL188" s="403"/>
      <c r="JM188" s="403"/>
      <c r="JN188" s="403"/>
      <c r="JO188" s="403"/>
      <c r="JP188" s="403"/>
      <c r="JQ188" s="403"/>
      <c r="JR188" s="403"/>
      <c r="JS188" s="403"/>
      <c r="JT188" s="403"/>
    </row>
    <row r="189" spans="1:280" s="15" customFormat="1" ht="12.75" x14ac:dyDescent="0.2">
      <c r="B189" s="622"/>
      <c r="S189" s="2"/>
      <c r="T189" s="241"/>
      <c r="U189" s="622"/>
      <c r="V189" s="2"/>
      <c r="AE189" s="2"/>
      <c r="AF189" s="241"/>
      <c r="AG189" s="622"/>
      <c r="AR189" s="403"/>
      <c r="AS189" s="403"/>
      <c r="AT189" s="403"/>
      <c r="AU189" s="403"/>
      <c r="AV189" s="403"/>
      <c r="AW189" s="403"/>
      <c r="AX189" s="403"/>
      <c r="AY189" s="403"/>
      <c r="AZ189" s="403"/>
      <c r="BA189" s="403"/>
      <c r="BB189" s="403"/>
      <c r="BC189" s="403"/>
      <c r="BD189" s="403"/>
      <c r="BE189" s="403"/>
      <c r="BF189" s="403"/>
      <c r="BG189" s="403"/>
      <c r="BH189" s="403"/>
      <c r="BI189" s="403"/>
      <c r="BJ189" s="403"/>
      <c r="BK189" s="403"/>
      <c r="BL189" s="403"/>
      <c r="BM189" s="403"/>
      <c r="BN189" s="403"/>
      <c r="BO189" s="403"/>
      <c r="BP189" s="403"/>
      <c r="BQ189" s="403"/>
      <c r="BR189" s="403"/>
      <c r="BS189" s="403"/>
      <c r="BT189" s="403"/>
      <c r="BU189" s="403"/>
      <c r="BV189" s="403"/>
      <c r="BW189" s="403"/>
      <c r="BX189" s="403"/>
      <c r="BY189" s="403"/>
      <c r="BZ189" s="403"/>
      <c r="CA189" s="403"/>
      <c r="CB189" s="403"/>
      <c r="CC189" s="403"/>
      <c r="CD189" s="403"/>
      <c r="CE189" s="403"/>
      <c r="CF189" s="403"/>
      <c r="CG189" s="403"/>
      <c r="CH189" s="403"/>
      <c r="CI189" s="403"/>
      <c r="CJ189" s="403"/>
      <c r="CK189" s="403"/>
      <c r="CL189" s="403"/>
      <c r="CM189" s="403"/>
      <c r="CN189" s="403"/>
      <c r="CO189" s="403"/>
      <c r="CP189" s="403"/>
      <c r="CQ189" s="403"/>
      <c r="CR189" s="403"/>
      <c r="CS189" s="403"/>
      <c r="CT189" s="403"/>
      <c r="CU189" s="403"/>
      <c r="CV189" s="403"/>
      <c r="CW189" s="403"/>
      <c r="CX189" s="403"/>
      <c r="CY189" s="403"/>
      <c r="CZ189" s="403"/>
      <c r="DA189" s="403"/>
      <c r="DB189" s="403"/>
      <c r="DC189" s="403"/>
      <c r="DD189" s="403"/>
      <c r="DE189" s="403"/>
      <c r="DF189" s="403"/>
      <c r="DG189" s="403"/>
      <c r="DH189" s="403"/>
      <c r="DI189" s="403"/>
      <c r="DJ189" s="403"/>
      <c r="DK189" s="403"/>
      <c r="DL189" s="403"/>
      <c r="DM189" s="403"/>
      <c r="DN189" s="403"/>
      <c r="DO189" s="403"/>
      <c r="DP189" s="403"/>
      <c r="DQ189" s="403"/>
      <c r="DR189" s="403"/>
      <c r="DS189" s="403"/>
      <c r="DT189" s="403"/>
      <c r="DU189" s="403"/>
      <c r="DV189" s="403"/>
      <c r="DW189" s="403"/>
      <c r="DX189" s="403"/>
      <c r="DY189" s="403"/>
      <c r="DZ189" s="403"/>
      <c r="EA189" s="403"/>
      <c r="EB189" s="403"/>
      <c r="EC189" s="403"/>
      <c r="ED189" s="403"/>
      <c r="EE189" s="403"/>
      <c r="EF189" s="403"/>
      <c r="EG189" s="403"/>
      <c r="EH189" s="403"/>
      <c r="EI189" s="403"/>
      <c r="EJ189" s="403"/>
      <c r="EK189" s="403"/>
      <c r="EL189" s="403"/>
      <c r="EM189" s="403"/>
      <c r="EN189" s="403"/>
      <c r="EO189" s="403"/>
      <c r="EP189" s="403"/>
      <c r="EQ189" s="403"/>
      <c r="ER189" s="403"/>
      <c r="ES189" s="403"/>
      <c r="ET189" s="403"/>
      <c r="EU189" s="403"/>
      <c r="EV189" s="403"/>
      <c r="EW189" s="403"/>
      <c r="EX189" s="403"/>
      <c r="EY189" s="403"/>
      <c r="EZ189" s="403"/>
      <c r="FA189" s="403"/>
      <c r="FB189" s="403"/>
      <c r="FC189" s="403"/>
      <c r="FD189" s="403"/>
      <c r="FE189" s="403"/>
      <c r="FF189" s="403"/>
      <c r="FG189" s="403"/>
      <c r="FH189" s="403"/>
      <c r="FI189" s="403"/>
      <c r="FJ189" s="403"/>
      <c r="FK189" s="403"/>
      <c r="FL189" s="403"/>
      <c r="FM189" s="403"/>
      <c r="FN189" s="403"/>
      <c r="FO189" s="403"/>
      <c r="FP189" s="403"/>
      <c r="FQ189" s="403"/>
      <c r="FR189" s="403"/>
      <c r="FS189" s="403"/>
      <c r="FT189" s="403"/>
      <c r="FU189" s="403"/>
      <c r="FV189" s="403"/>
      <c r="FW189" s="403"/>
      <c r="FX189" s="403"/>
      <c r="FY189" s="403"/>
      <c r="FZ189" s="403"/>
      <c r="GA189" s="403"/>
      <c r="GB189" s="403"/>
      <c r="GC189" s="403"/>
      <c r="GD189" s="403"/>
      <c r="GE189" s="403"/>
      <c r="GF189" s="403"/>
      <c r="GG189" s="403"/>
      <c r="GH189" s="403"/>
      <c r="GI189" s="403"/>
      <c r="GJ189" s="403"/>
      <c r="GK189" s="403"/>
      <c r="GL189" s="403"/>
      <c r="GM189" s="403"/>
      <c r="GN189" s="403"/>
      <c r="GO189" s="403"/>
      <c r="GP189" s="403"/>
      <c r="GQ189" s="403"/>
      <c r="GR189" s="403"/>
      <c r="GS189" s="403"/>
      <c r="GT189" s="403"/>
      <c r="GU189" s="403"/>
      <c r="GV189" s="403"/>
      <c r="GW189" s="403"/>
      <c r="GX189" s="403"/>
      <c r="GY189" s="403"/>
      <c r="GZ189" s="403"/>
      <c r="HA189" s="403"/>
      <c r="HB189" s="403"/>
      <c r="HC189" s="403"/>
      <c r="HD189" s="403"/>
      <c r="HE189" s="403"/>
      <c r="HF189" s="403"/>
      <c r="HG189" s="403"/>
      <c r="HH189" s="403"/>
      <c r="HI189" s="403"/>
      <c r="HJ189" s="403"/>
      <c r="HK189" s="403"/>
      <c r="HL189" s="403"/>
      <c r="HM189" s="403"/>
      <c r="HN189" s="403"/>
      <c r="HO189" s="403"/>
      <c r="HP189" s="403"/>
      <c r="HQ189" s="403"/>
      <c r="HR189" s="403"/>
      <c r="HS189" s="403"/>
      <c r="HT189" s="403"/>
      <c r="HU189" s="403"/>
      <c r="HV189" s="403"/>
      <c r="HW189" s="403"/>
      <c r="HX189" s="403"/>
      <c r="HY189" s="403"/>
      <c r="HZ189" s="403"/>
      <c r="IA189" s="403"/>
      <c r="IB189" s="403"/>
      <c r="IC189" s="403"/>
      <c r="ID189" s="403"/>
      <c r="IE189" s="403"/>
      <c r="IF189" s="403"/>
      <c r="IG189" s="403"/>
      <c r="IH189" s="403"/>
      <c r="II189" s="403"/>
      <c r="IJ189" s="403"/>
      <c r="IK189" s="403"/>
      <c r="IL189" s="403"/>
      <c r="IM189" s="403"/>
      <c r="IN189" s="403"/>
      <c r="IO189" s="403"/>
      <c r="IP189" s="403"/>
      <c r="IQ189" s="403"/>
      <c r="IR189" s="403"/>
      <c r="IS189" s="403"/>
      <c r="IT189" s="403"/>
      <c r="IU189" s="403"/>
      <c r="IV189" s="403"/>
      <c r="IW189" s="403"/>
      <c r="IX189" s="403"/>
      <c r="IY189" s="403"/>
      <c r="IZ189" s="403"/>
      <c r="JA189" s="403"/>
      <c r="JB189" s="403"/>
      <c r="JC189" s="403"/>
      <c r="JD189" s="403"/>
      <c r="JE189" s="403"/>
      <c r="JF189" s="403"/>
      <c r="JG189" s="403"/>
      <c r="JH189" s="403"/>
      <c r="JI189" s="403"/>
      <c r="JJ189" s="403"/>
      <c r="JK189" s="403"/>
      <c r="JL189" s="403"/>
      <c r="JM189" s="403"/>
      <c r="JN189" s="403"/>
      <c r="JO189" s="403"/>
      <c r="JP189" s="403"/>
      <c r="JQ189" s="403"/>
      <c r="JR189" s="403"/>
      <c r="JS189" s="403"/>
      <c r="JT189" s="403"/>
    </row>
    <row r="190" spans="1:280" s="15" customFormat="1" ht="12.75" x14ac:dyDescent="0.2">
      <c r="B190" s="622"/>
      <c r="D190" s="2" t="str">
        <f t="shared" ref="D190:P190" ca="1" si="432">IF(OFFSET(AV190,0,Lang_Order*Lang__B5)="","",OFFSET(AV190,0,Lang_Order*Lang__B5))</f>
        <v>Vaccine</v>
      </c>
      <c r="E190" s="2" t="str">
        <f t="shared" ca="1" si="432"/>
        <v>Doses per course</v>
      </c>
      <c r="F190" s="2" t="str">
        <f t="shared" ca="1" si="432"/>
        <v>Sites</v>
      </c>
      <c r="G190" s="73" t="str">
        <f t="shared" ca="1" si="432"/>
        <v>Time</v>
      </c>
      <c r="H190" s="73" t="str">
        <f t="shared" ca="1" si="432"/>
        <v>Volume per dose (cm3)</v>
      </c>
      <c r="I190" s="73" t="str">
        <f t="shared" ca="1" si="432"/>
        <v>Days between doses</v>
      </c>
      <c r="J190" s="708" t="str">
        <f t="shared" ca="1" si="432"/>
        <v>How many courses?</v>
      </c>
      <c r="K190" s="708" t="str">
        <f t="shared" ca="1" si="432"/>
        <v/>
      </c>
      <c r="L190" s="708" t="str">
        <f t="shared" ca="1" si="432"/>
        <v/>
      </c>
      <c r="M190" s="708" t="str">
        <f t="shared" ca="1" si="432"/>
        <v/>
      </c>
      <c r="N190" s="708" t="str">
        <f t="shared" ca="1" si="432"/>
        <v/>
      </c>
      <c r="O190" s="708" t="str">
        <f t="shared" ca="1" si="432"/>
        <v/>
      </c>
      <c r="P190" s="2" t="str">
        <f t="shared" ca="1" si="432"/>
        <v>Total</v>
      </c>
      <c r="Q190" s="2"/>
      <c r="R190" s="2"/>
      <c r="S190" s="2"/>
      <c r="T190" s="73" t="str">
        <f ca="1">IF(OFFSET(AS190,0,Lang_Order*Lang__B5)="","",OFFSET(AS190,0,Lang_Order*Lang__B5))</f>
        <v/>
      </c>
      <c r="U190" s="635"/>
      <c r="V190" s="73"/>
      <c r="W190" s="708"/>
      <c r="X190" s="708"/>
      <c r="Y190" s="708"/>
      <c r="Z190" s="708"/>
      <c r="AA190" s="708"/>
      <c r="AB190" s="708"/>
      <c r="AC190" s="2"/>
      <c r="AD190" s="2"/>
      <c r="AE190" s="2"/>
      <c r="AF190" s="73"/>
      <c r="AG190" s="90"/>
      <c r="AH190" s="2"/>
      <c r="AI190" s="2"/>
      <c r="AJ190" s="2"/>
      <c r="AK190" s="2"/>
      <c r="AL190" s="2"/>
      <c r="AM190" s="2"/>
      <c r="AN190" s="2"/>
      <c r="AO190" s="2"/>
      <c r="AP190" s="2"/>
      <c r="AR190" s="403"/>
      <c r="AS190" s="403"/>
      <c r="AT190" s="403"/>
      <c r="AU190" s="403"/>
      <c r="AV190" s="403" t="s">
        <v>1574</v>
      </c>
      <c r="AW190" s="403" t="s">
        <v>1607</v>
      </c>
      <c r="AX190" s="403" t="s">
        <v>1615</v>
      </c>
      <c r="AY190" s="403" t="s">
        <v>1636</v>
      </c>
      <c r="AZ190" s="403" t="s">
        <v>1642</v>
      </c>
      <c r="BA190" s="403" t="s">
        <v>1643</v>
      </c>
      <c r="BB190" s="403" t="s">
        <v>1606</v>
      </c>
      <c r="BC190" s="403"/>
      <c r="BD190" s="403"/>
      <c r="BE190" s="403"/>
      <c r="BF190" s="403"/>
      <c r="BG190" s="403"/>
      <c r="BH190" s="403" t="s">
        <v>1605</v>
      </c>
      <c r="BI190" s="403"/>
      <c r="BJ190" s="403"/>
      <c r="BK190" s="403"/>
      <c r="BL190" s="403"/>
      <c r="BM190" s="403"/>
      <c r="BN190" s="403"/>
      <c r="BO190" s="403"/>
      <c r="BP190" s="403"/>
      <c r="BQ190" s="403"/>
      <c r="BR190" s="403"/>
      <c r="BS190" s="403"/>
      <c r="BT190" s="403"/>
      <c r="BU190" s="403"/>
      <c r="BV190" s="403"/>
      <c r="BW190" s="403"/>
      <c r="BX190" s="403"/>
      <c r="BY190" s="403"/>
      <c r="BZ190" s="403"/>
      <c r="CA190" s="403"/>
      <c r="CB190" s="403"/>
      <c r="CC190" s="403"/>
      <c r="CD190" s="403" t="s">
        <v>10216</v>
      </c>
      <c r="CE190" s="403" t="s">
        <v>5731</v>
      </c>
      <c r="CF190" s="403" t="s">
        <v>1615</v>
      </c>
      <c r="CG190" s="403" t="s">
        <v>11795</v>
      </c>
      <c r="CH190" s="403" t="s">
        <v>11796</v>
      </c>
      <c r="CI190" s="403" t="s">
        <v>11797</v>
      </c>
      <c r="CJ190" s="403" t="s">
        <v>11798</v>
      </c>
      <c r="CK190" s="403"/>
      <c r="CL190" s="403"/>
      <c r="CM190" s="403"/>
      <c r="CN190" s="403"/>
      <c r="CO190" s="403"/>
      <c r="CP190" s="403" t="s">
        <v>1605</v>
      </c>
      <c r="CQ190" s="403"/>
      <c r="CR190" s="403"/>
      <c r="CS190" s="403"/>
      <c r="CT190" s="403"/>
      <c r="CU190" s="403"/>
      <c r="CV190" s="403"/>
      <c r="CW190" s="403"/>
      <c r="CX190" s="403"/>
      <c r="CY190" s="403"/>
      <c r="CZ190" s="403"/>
      <c r="DA190" s="403"/>
      <c r="DB190" s="403"/>
      <c r="DC190" s="403"/>
      <c r="DD190" s="403"/>
      <c r="DE190" s="403"/>
      <c r="DF190" s="403"/>
      <c r="DG190" s="403"/>
      <c r="DH190" s="403"/>
      <c r="DI190" s="403"/>
      <c r="DJ190" s="403"/>
      <c r="DK190" s="403"/>
      <c r="DL190" s="403" t="s">
        <v>10224</v>
      </c>
      <c r="DM190" s="403" t="s">
        <v>12094</v>
      </c>
      <c r="DN190" s="403" t="s">
        <v>11800</v>
      </c>
      <c r="DO190" s="403" t="s">
        <v>11801</v>
      </c>
      <c r="DP190" s="403" t="s">
        <v>11802</v>
      </c>
      <c r="DQ190" s="403" t="s">
        <v>11803</v>
      </c>
      <c r="DR190" s="403" t="s">
        <v>11804</v>
      </c>
      <c r="DS190" s="403"/>
      <c r="DT190" s="403"/>
      <c r="DU190" s="403"/>
      <c r="DV190" s="403"/>
      <c r="DW190" s="403"/>
      <c r="DX190" s="403" t="s">
        <v>4676</v>
      </c>
      <c r="DY190" s="403"/>
      <c r="DZ190" s="403"/>
      <c r="EA190" s="403"/>
      <c r="EB190" s="403"/>
      <c r="EC190" s="403"/>
      <c r="ED190" s="403"/>
      <c r="EE190" s="403"/>
      <c r="EF190" s="403"/>
      <c r="EG190" s="403"/>
      <c r="EH190" s="403"/>
      <c r="EI190" s="403"/>
      <c r="EJ190" s="403"/>
      <c r="EK190" s="403"/>
      <c r="EL190" s="403"/>
      <c r="EM190" s="403"/>
      <c r="EN190" s="403"/>
      <c r="EO190" s="403"/>
      <c r="EP190" s="403"/>
      <c r="EQ190" s="403"/>
      <c r="ER190" s="403"/>
      <c r="ES190" s="403"/>
      <c r="ET190" s="403" t="s">
        <v>10233</v>
      </c>
      <c r="EU190" s="403" t="s">
        <v>10022</v>
      </c>
      <c r="EV190" s="403" t="s">
        <v>11805</v>
      </c>
      <c r="EW190" s="403" t="s">
        <v>12096</v>
      </c>
      <c r="EX190" s="403" t="s">
        <v>11807</v>
      </c>
      <c r="EY190" s="403" t="s">
        <v>11808</v>
      </c>
      <c r="EZ190" s="403" t="s">
        <v>11809</v>
      </c>
      <c r="FA190" s="403"/>
      <c r="FB190" s="403"/>
      <c r="FC190" s="403"/>
      <c r="FD190" s="403"/>
      <c r="FE190" s="403"/>
      <c r="FF190" s="403" t="s">
        <v>1605</v>
      </c>
      <c r="FG190" s="403"/>
      <c r="FH190" s="403"/>
      <c r="FI190" s="403"/>
      <c r="FJ190" s="403"/>
      <c r="FK190" s="403"/>
      <c r="FL190" s="403"/>
      <c r="FM190" s="403"/>
      <c r="FN190" s="403"/>
      <c r="FO190" s="403"/>
      <c r="FP190" s="403"/>
      <c r="FQ190" s="403"/>
      <c r="FR190" s="403"/>
      <c r="FS190" s="403"/>
      <c r="FT190" s="403"/>
      <c r="FU190" s="403"/>
      <c r="FV190" s="403"/>
      <c r="FW190" s="403"/>
      <c r="FX190" s="403"/>
      <c r="FY190" s="403"/>
      <c r="FZ190" s="403"/>
      <c r="GA190" s="403"/>
      <c r="GB190" s="403" t="s">
        <v>10241</v>
      </c>
      <c r="GC190" s="403" t="s">
        <v>5775</v>
      </c>
      <c r="GD190" s="403" t="s">
        <v>11810</v>
      </c>
      <c r="GE190" s="403" t="s">
        <v>11811</v>
      </c>
      <c r="GF190" s="403" t="s">
        <v>11812</v>
      </c>
      <c r="GG190" s="403" t="s">
        <v>11813</v>
      </c>
      <c r="GH190" s="403" t="s">
        <v>11814</v>
      </c>
      <c r="GI190" s="403"/>
      <c r="GJ190" s="403"/>
      <c r="GK190" s="403"/>
      <c r="GL190" s="403"/>
      <c r="GM190" s="403"/>
      <c r="GN190" s="403" t="s">
        <v>1605</v>
      </c>
      <c r="GO190" s="403"/>
      <c r="GP190" s="403"/>
      <c r="GQ190" s="403"/>
      <c r="GR190" s="403"/>
      <c r="GS190" s="403"/>
      <c r="GT190" s="403"/>
      <c r="GU190" s="403"/>
      <c r="GV190" s="403"/>
      <c r="GW190" s="403"/>
      <c r="GX190" s="403"/>
      <c r="GY190" s="403"/>
      <c r="GZ190" s="403"/>
      <c r="HA190" s="403"/>
      <c r="HB190" s="403"/>
      <c r="HC190" s="403"/>
      <c r="HD190" s="403"/>
      <c r="HE190" s="403"/>
      <c r="HF190" s="403"/>
      <c r="HG190" s="403"/>
      <c r="HH190" s="403"/>
      <c r="HI190" s="403"/>
      <c r="HJ190" s="403" t="s">
        <v>10245</v>
      </c>
      <c r="HK190" s="403" t="s">
        <v>5788</v>
      </c>
      <c r="HL190" s="403" t="s">
        <v>11815</v>
      </c>
      <c r="HM190" s="403" t="s">
        <v>11816</v>
      </c>
      <c r="HN190" s="403" t="s">
        <v>11817</v>
      </c>
      <c r="HO190" s="403" t="s">
        <v>12097</v>
      </c>
      <c r="HP190" s="403" t="s">
        <v>11819</v>
      </c>
      <c r="HQ190" s="403"/>
      <c r="HR190" s="403"/>
      <c r="HS190" s="403"/>
      <c r="HT190" s="403"/>
      <c r="HU190" s="403"/>
      <c r="HV190" s="403" t="s">
        <v>4686</v>
      </c>
      <c r="HW190" s="403"/>
      <c r="HX190" s="403"/>
      <c r="HY190" s="403"/>
      <c r="HZ190" s="403"/>
      <c r="IA190" s="403"/>
      <c r="IB190" s="403"/>
      <c r="IC190" s="403"/>
      <c r="ID190" s="403"/>
      <c r="IE190" s="403"/>
      <c r="IF190" s="403"/>
      <c r="IG190" s="403"/>
      <c r="IH190" s="403"/>
      <c r="II190" s="403"/>
      <c r="IJ190" s="403"/>
      <c r="IK190" s="403"/>
      <c r="IL190" s="403"/>
      <c r="IM190" s="403"/>
      <c r="IN190" s="403"/>
      <c r="IO190" s="403"/>
      <c r="IP190" s="403"/>
      <c r="IQ190" s="403"/>
      <c r="IR190" s="403" t="s">
        <v>5643</v>
      </c>
      <c r="IS190" s="403" t="s">
        <v>5802</v>
      </c>
      <c r="IT190" s="403" t="s">
        <v>11820</v>
      </c>
      <c r="IU190" s="403" t="s">
        <v>11821</v>
      </c>
      <c r="IV190" s="403" t="s">
        <v>11822</v>
      </c>
      <c r="IW190" s="403" t="s">
        <v>11823</v>
      </c>
      <c r="IX190" s="403" t="s">
        <v>11824</v>
      </c>
      <c r="IY190" s="403"/>
      <c r="IZ190" s="403"/>
      <c r="JA190" s="403"/>
      <c r="JB190" s="403"/>
      <c r="JC190" s="403"/>
      <c r="JD190" s="403" t="s">
        <v>4694</v>
      </c>
      <c r="JE190" s="403"/>
      <c r="JF190" s="403"/>
      <c r="JG190" s="403"/>
      <c r="JH190" s="403"/>
      <c r="JI190" s="403"/>
      <c r="JJ190" s="403"/>
      <c r="JK190" s="403"/>
      <c r="JL190" s="403"/>
      <c r="JM190" s="403"/>
      <c r="JN190" s="403"/>
      <c r="JO190" s="403"/>
      <c r="JP190" s="403"/>
      <c r="JQ190" s="403"/>
      <c r="JR190" s="403"/>
      <c r="JS190" s="403"/>
      <c r="JT190" s="403"/>
    </row>
    <row r="191" spans="1:280" s="17" customFormat="1" ht="17.25" x14ac:dyDescent="0.3">
      <c r="A191" s="17" t="str">
        <f ca="1">IF(OFFSET(AS191,0,Lang_Order*Lang__B5)="","",OFFSET(AS191,0,Lang_Order*Lang__B5))</f>
        <v>B5.3.3 Delivery Modality 3:  Residential Institution</v>
      </c>
      <c r="B191" s="623"/>
      <c r="C191" s="18"/>
      <c r="D191" s="58">
        <f>DM3_Vaccine</f>
        <v>0</v>
      </c>
      <c r="E191" s="174" t="e">
        <f>VLOOKUP(D191,'T1. Vaccines'!$C$8:$AD$37,E192,FALSE)</f>
        <v>#N/A</v>
      </c>
      <c r="F191" s="59" t="e">
        <f>HR_Inst_Sites+LR_Inst_Sites</f>
        <v>#N/A</v>
      </c>
      <c r="G191" s="174" t="e">
        <f>VLOOKUP(D191,'T1. Vaccines'!$C$8:$AD$37,G192,FALSE)</f>
        <v>#N/A</v>
      </c>
      <c r="H191" s="174" t="e">
        <f>VLOOKUP(D191,'T1. Vaccines'!$C$8:$AD$37,H192,FALSE)</f>
        <v>#N/A</v>
      </c>
      <c r="I191" s="174" t="e">
        <f>VLOOKUP(D191,'T1. Vaccines'!$C$8:$AD$37,I192,FALSE)</f>
        <v>#N/A</v>
      </c>
      <c r="J191" s="60" t="e">
        <f t="shared" ref="J191:P191" si="433">J15*RBF_DM3</f>
        <v>#N/A</v>
      </c>
      <c r="K191" s="60" t="e">
        <f t="shared" si="433"/>
        <v>#N/A</v>
      </c>
      <c r="L191" s="60" t="e">
        <f t="shared" si="433"/>
        <v>#N/A</v>
      </c>
      <c r="M191" s="60" t="e">
        <f t="shared" si="433"/>
        <v>#N/A</v>
      </c>
      <c r="N191" s="60" t="e">
        <f t="shared" si="433"/>
        <v>#N/A</v>
      </c>
      <c r="O191" s="60" t="e">
        <f t="shared" si="433"/>
        <v>#N/A</v>
      </c>
      <c r="P191" s="60" t="e">
        <f t="shared" si="433"/>
        <v>#N/A</v>
      </c>
      <c r="Q191" s="60"/>
      <c r="R191" s="8" t="str">
        <f ca="1">IF(OFFSET(BJ191,0,Lang_Order*Lang__B5)="","",OFFSET(BJ191,0,Lang_Order*Lang__B5))</f>
        <v>Notes</v>
      </c>
      <c r="S191" s="2"/>
      <c r="T191" s="258" t="e">
        <f>G191+HRH_Robustness_Bounds</f>
        <v>#N/A</v>
      </c>
      <c r="U191" s="636" t="e">
        <f>H191</f>
        <v>#N/A</v>
      </c>
      <c r="V191" s="175" t="e">
        <f t="shared" ref="V191" si="434">I191</f>
        <v>#N/A</v>
      </c>
      <c r="W191" s="175" t="e">
        <f t="shared" ref="W191" si="435">J191</f>
        <v>#N/A</v>
      </c>
      <c r="X191" s="175" t="e">
        <f t="shared" ref="X191" si="436">K191</f>
        <v>#N/A</v>
      </c>
      <c r="Y191" s="175" t="e">
        <f t="shared" ref="Y191" si="437">L191</f>
        <v>#N/A</v>
      </c>
      <c r="Z191" s="175" t="e">
        <f t="shared" ref="Z191" si="438">M191</f>
        <v>#N/A</v>
      </c>
      <c r="AA191" s="175" t="e">
        <f t="shared" ref="AA191" si="439">N191</f>
        <v>#N/A</v>
      </c>
      <c r="AB191" s="175" t="e">
        <f t="shared" ref="AB191" si="440">O191</f>
        <v>#N/A</v>
      </c>
      <c r="AC191" s="175" t="e">
        <f t="shared" ref="AC191" si="441">P191</f>
        <v>#N/A</v>
      </c>
      <c r="AD191" s="259"/>
      <c r="AE191" s="2"/>
      <c r="AF191" s="258" t="e">
        <f>MAX(0,G191-HRH_Robustness_Bounds)</f>
        <v>#N/A</v>
      </c>
      <c r="AG191" s="636" t="e">
        <f>H191</f>
        <v>#N/A</v>
      </c>
      <c r="AH191" s="175" t="e">
        <f t="shared" ref="AH191" si="442">I191</f>
        <v>#N/A</v>
      </c>
      <c r="AI191" s="175" t="e">
        <f t="shared" ref="AI191" si="443">J191</f>
        <v>#N/A</v>
      </c>
      <c r="AJ191" s="175" t="e">
        <f t="shared" ref="AJ191" si="444">K191</f>
        <v>#N/A</v>
      </c>
      <c r="AK191" s="175" t="e">
        <f t="shared" ref="AK191" si="445">L191</f>
        <v>#N/A</v>
      </c>
      <c r="AL191" s="175" t="e">
        <f t="shared" ref="AL191" si="446">M191</f>
        <v>#N/A</v>
      </c>
      <c r="AM191" s="175" t="e">
        <f t="shared" ref="AM191" si="447">N191</f>
        <v>#N/A</v>
      </c>
      <c r="AN191" s="175" t="e">
        <f t="shared" ref="AN191" si="448">O191</f>
        <v>#N/A</v>
      </c>
      <c r="AO191" s="175" t="e">
        <f t="shared" ref="AO191" si="449">P191</f>
        <v>#N/A</v>
      </c>
      <c r="AR191" s="403"/>
      <c r="AS191" s="403" t="s">
        <v>14296</v>
      </c>
      <c r="AT191" s="403"/>
      <c r="AU191" s="403"/>
      <c r="AV191" s="403"/>
      <c r="AW191" s="403"/>
      <c r="AX191" s="403"/>
      <c r="AY191" s="403"/>
      <c r="AZ191" s="403"/>
      <c r="BA191" s="403"/>
      <c r="BB191" s="403"/>
      <c r="BC191" s="403"/>
      <c r="BD191" s="403"/>
      <c r="BE191" s="403"/>
      <c r="BF191" s="403"/>
      <c r="BG191" s="403"/>
      <c r="BH191" s="403"/>
      <c r="BI191" s="403"/>
      <c r="BJ191" s="403" t="s">
        <v>16</v>
      </c>
      <c r="BK191" s="403"/>
      <c r="BL191" s="403"/>
      <c r="BM191" s="403"/>
      <c r="BN191" s="403"/>
      <c r="BO191" s="403"/>
      <c r="BP191" s="403"/>
      <c r="BQ191" s="403"/>
      <c r="BR191" s="403"/>
      <c r="BS191" s="403"/>
      <c r="BT191" s="403"/>
      <c r="BU191" s="403"/>
      <c r="BV191" s="403"/>
      <c r="BW191" s="403"/>
      <c r="BX191" s="403"/>
      <c r="BY191" s="403"/>
      <c r="BZ191" s="403"/>
      <c r="CA191" s="403" t="s">
        <v>14297</v>
      </c>
      <c r="CB191" s="403"/>
      <c r="CC191" s="403"/>
      <c r="CD191" s="403"/>
      <c r="CE191" s="403"/>
      <c r="CF191" s="403"/>
      <c r="CG191" s="403"/>
      <c r="CH191" s="403"/>
      <c r="CI191" s="403"/>
      <c r="CJ191" s="403"/>
      <c r="CK191" s="403"/>
      <c r="CL191" s="403"/>
      <c r="CM191" s="403"/>
      <c r="CN191" s="403"/>
      <c r="CO191" s="403"/>
      <c r="CP191" s="403"/>
      <c r="CQ191" s="403"/>
      <c r="CR191" s="403" t="s">
        <v>16</v>
      </c>
      <c r="CS191" s="403"/>
      <c r="CT191" s="403"/>
      <c r="CU191" s="403"/>
      <c r="CV191" s="403"/>
      <c r="CW191" s="403"/>
      <c r="CX191" s="403"/>
      <c r="CY191" s="403"/>
      <c r="CZ191" s="403"/>
      <c r="DA191" s="403"/>
      <c r="DB191" s="403"/>
      <c r="DC191" s="403"/>
      <c r="DD191" s="403"/>
      <c r="DE191" s="403"/>
      <c r="DF191" s="403"/>
      <c r="DG191" s="403"/>
      <c r="DH191" s="403"/>
      <c r="DI191" s="403" t="s">
        <v>14298</v>
      </c>
      <c r="DJ191" s="403"/>
      <c r="DK191" s="403"/>
      <c r="DL191" s="403"/>
      <c r="DM191" s="403"/>
      <c r="DN191" s="403"/>
      <c r="DO191" s="403"/>
      <c r="DP191" s="403"/>
      <c r="DQ191" s="403"/>
      <c r="DR191" s="403"/>
      <c r="DS191" s="403"/>
      <c r="DT191" s="403"/>
      <c r="DU191" s="403"/>
      <c r="DV191" s="403"/>
      <c r="DW191" s="403"/>
      <c r="DX191" s="403"/>
      <c r="DY191" s="403"/>
      <c r="DZ191" s="403" t="s">
        <v>5757</v>
      </c>
      <c r="EA191" s="403"/>
      <c r="EB191" s="403"/>
      <c r="EC191" s="403"/>
      <c r="ED191" s="403"/>
      <c r="EE191" s="403"/>
      <c r="EF191" s="403"/>
      <c r="EG191" s="403"/>
      <c r="EH191" s="403"/>
      <c r="EI191" s="403"/>
      <c r="EJ191" s="403"/>
      <c r="EK191" s="403"/>
      <c r="EL191" s="403"/>
      <c r="EM191" s="403"/>
      <c r="EN191" s="403"/>
      <c r="EO191" s="403"/>
      <c r="EP191" s="403"/>
      <c r="EQ191" s="403" t="s">
        <v>14299</v>
      </c>
      <c r="ER191" s="403"/>
      <c r="ES191" s="403"/>
      <c r="ET191" s="403"/>
      <c r="EU191" s="403"/>
      <c r="EV191" s="403"/>
      <c r="EW191" s="403"/>
      <c r="EX191" s="403"/>
      <c r="EY191" s="403"/>
      <c r="EZ191" s="403"/>
      <c r="FA191" s="403"/>
      <c r="FB191" s="403"/>
      <c r="FC191" s="403"/>
      <c r="FD191" s="403"/>
      <c r="FE191" s="403"/>
      <c r="FF191" s="403"/>
      <c r="FG191" s="403"/>
      <c r="FH191" s="403" t="s">
        <v>5453</v>
      </c>
      <c r="FI191" s="403"/>
      <c r="FJ191" s="403"/>
      <c r="FK191" s="403"/>
      <c r="FL191" s="403"/>
      <c r="FM191" s="403"/>
      <c r="FN191" s="403"/>
      <c r="FO191" s="403"/>
      <c r="FP191" s="403"/>
      <c r="FQ191" s="403"/>
      <c r="FR191" s="403"/>
      <c r="FS191" s="403"/>
      <c r="FT191" s="403"/>
      <c r="FU191" s="403"/>
      <c r="FV191" s="403"/>
      <c r="FW191" s="403"/>
      <c r="FX191" s="403"/>
      <c r="FY191" s="403" t="s">
        <v>14300</v>
      </c>
      <c r="FZ191" s="403"/>
      <c r="GA191" s="403"/>
      <c r="GB191" s="403"/>
      <c r="GC191" s="403"/>
      <c r="GD191" s="403"/>
      <c r="GE191" s="403"/>
      <c r="GF191" s="403"/>
      <c r="GG191" s="403"/>
      <c r="GH191" s="403"/>
      <c r="GI191" s="403"/>
      <c r="GJ191" s="403"/>
      <c r="GK191" s="403"/>
      <c r="GL191" s="403"/>
      <c r="GM191" s="403"/>
      <c r="GN191" s="403"/>
      <c r="GO191" s="403"/>
      <c r="GP191" s="403" t="s">
        <v>5453</v>
      </c>
      <c r="GQ191" s="403"/>
      <c r="GR191" s="403"/>
      <c r="GS191" s="403"/>
      <c r="GT191" s="403"/>
      <c r="GU191" s="403"/>
      <c r="GV191" s="403"/>
      <c r="GW191" s="403"/>
      <c r="GX191" s="403"/>
      <c r="GY191" s="403"/>
      <c r="GZ191" s="403"/>
      <c r="HA191" s="403"/>
      <c r="HB191" s="403"/>
      <c r="HC191" s="403"/>
      <c r="HD191" s="403"/>
      <c r="HE191" s="403"/>
      <c r="HF191" s="403"/>
      <c r="HG191" s="403" t="s">
        <v>14725</v>
      </c>
      <c r="HH191" s="403"/>
      <c r="HI191" s="403"/>
      <c r="HJ191" s="403"/>
      <c r="HK191" s="403"/>
      <c r="HL191" s="403"/>
      <c r="HM191" s="403"/>
      <c r="HN191" s="403"/>
      <c r="HO191" s="403"/>
      <c r="HP191" s="403"/>
      <c r="HQ191" s="403"/>
      <c r="HR191" s="403"/>
      <c r="HS191" s="403"/>
      <c r="HT191" s="403"/>
      <c r="HU191" s="403"/>
      <c r="HV191" s="403"/>
      <c r="HW191" s="403"/>
      <c r="HX191" s="403" t="s">
        <v>5454</v>
      </c>
      <c r="HY191" s="403"/>
      <c r="HZ191" s="403"/>
      <c r="IA191" s="403"/>
      <c r="IB191" s="403"/>
      <c r="IC191" s="403"/>
      <c r="ID191" s="403"/>
      <c r="IE191" s="403"/>
      <c r="IF191" s="403"/>
      <c r="IG191" s="403"/>
      <c r="IH191" s="403"/>
      <c r="II191" s="403"/>
      <c r="IJ191" s="403"/>
      <c r="IK191" s="403"/>
      <c r="IL191" s="403"/>
      <c r="IM191" s="403"/>
      <c r="IN191" s="403"/>
      <c r="IO191" s="403" t="s">
        <v>14301</v>
      </c>
      <c r="IP191" s="403"/>
      <c r="IQ191" s="403"/>
      <c r="IR191" s="403"/>
      <c r="IS191" s="403"/>
      <c r="IT191" s="403"/>
      <c r="IU191" s="403"/>
      <c r="IV191" s="403"/>
      <c r="IW191" s="403"/>
      <c r="IX191" s="403"/>
      <c r="IY191" s="403"/>
      <c r="IZ191" s="403"/>
      <c r="JA191" s="403"/>
      <c r="JB191" s="403"/>
      <c r="JC191" s="403"/>
      <c r="JD191" s="403"/>
      <c r="JE191" s="403"/>
      <c r="JF191" s="403" t="s">
        <v>5455</v>
      </c>
      <c r="JG191" s="403"/>
      <c r="JH191" s="403"/>
      <c r="JI191" s="403"/>
      <c r="JJ191" s="403"/>
      <c r="JK191" s="403"/>
      <c r="JL191" s="403"/>
      <c r="JM191" s="403"/>
      <c r="JN191" s="403"/>
      <c r="JO191" s="403"/>
      <c r="JP191" s="403"/>
      <c r="JQ191" s="403"/>
      <c r="JR191" s="403"/>
      <c r="JS191" s="403"/>
      <c r="JT191" s="403"/>
    </row>
    <row r="192" spans="1:280" s="15" customFormat="1" x14ac:dyDescent="0.25">
      <c r="A192" s="9"/>
      <c r="B192" s="627"/>
      <c r="C192" s="9"/>
      <c r="E192" s="2">
        <f>'T1. Vaccines'!$F$39</f>
        <v>4</v>
      </c>
      <c r="G192" s="2">
        <f>'T1. Vaccines'!$P$39</f>
        <v>14</v>
      </c>
      <c r="H192" s="2">
        <f>'T1. Vaccines'!$L$39</f>
        <v>10</v>
      </c>
      <c r="I192" s="2">
        <f>'T1. Vaccines'!$H$39</f>
        <v>6</v>
      </c>
      <c r="J192" s="41" t="str">
        <f t="shared" ref="J192:Q192" ca="1" si="450">IF(OFFSET(BB192,0,Lang_Order*Lang__B5)="","",OFFSET(BB192,0,Lang_Order*Lang__B5))</f>
        <v>H1 2021</v>
      </c>
      <c r="K192" s="41" t="str">
        <f t="shared" ca="1" si="450"/>
        <v>H2 2021</v>
      </c>
      <c r="L192" s="41" t="str">
        <f t="shared" ca="1" si="450"/>
        <v>H1 2022</v>
      </c>
      <c r="M192" s="41" t="str">
        <f t="shared" ca="1" si="450"/>
        <v>H2 2022</v>
      </c>
      <c r="N192" s="41" t="str">
        <f t="shared" ca="1" si="450"/>
        <v>H1 2023</v>
      </c>
      <c r="O192" s="41" t="str">
        <f t="shared" ca="1" si="450"/>
        <v>H2 2023</v>
      </c>
      <c r="P192" s="41" t="str">
        <f t="shared" ca="1" si="450"/>
        <v>Total</v>
      </c>
      <c r="Q192" s="177" t="str">
        <f t="shared" ca="1" si="450"/>
        <v>Max</v>
      </c>
      <c r="S192" s="2"/>
      <c r="T192" s="241"/>
      <c r="U192" s="622"/>
      <c r="V192" s="2"/>
      <c r="W192" s="255" t="str">
        <f t="shared" ref="W192" ca="1" si="451">IF(OFFSET(BB192,0,Lang_Order*Lang__B5)="","",OFFSET(BB192,0,Lang_Order*Lang__B5))</f>
        <v>H1 2021</v>
      </c>
      <c r="X192" s="255" t="str">
        <f t="shared" ref="X192" ca="1" si="452">IF(OFFSET(BC192,0,Lang_Order*Lang__B5)="","",OFFSET(BC192,0,Lang_Order*Lang__B5))</f>
        <v>H2 2021</v>
      </c>
      <c r="Y192" s="255" t="str">
        <f t="shared" ref="Y192" ca="1" si="453">IF(OFFSET(BD192,0,Lang_Order*Lang__B5)="","",OFFSET(BD192,0,Lang_Order*Lang__B5))</f>
        <v>H1 2022</v>
      </c>
      <c r="Z192" s="255" t="str">
        <f t="shared" ref="Z192" ca="1" si="454">IF(OFFSET(BE192,0,Lang_Order*Lang__B5)="","",OFFSET(BE192,0,Lang_Order*Lang__B5))</f>
        <v>H2 2022</v>
      </c>
      <c r="AA192" s="255" t="str">
        <f t="shared" ref="AA192" ca="1" si="455">IF(OFFSET(BF192,0,Lang_Order*Lang__B5)="","",OFFSET(BF192,0,Lang_Order*Lang__B5))</f>
        <v>H1 2023</v>
      </c>
      <c r="AB192" s="255" t="str">
        <f t="shared" ref="AB192" ca="1" si="456">IF(OFFSET(BG192,0,Lang_Order*Lang__B5)="","",OFFSET(BG192,0,Lang_Order*Lang__B5))</f>
        <v>H2 2023</v>
      </c>
      <c r="AC192" s="255" t="str">
        <f t="shared" ref="AC192" ca="1" si="457">IF(OFFSET(BH192,0,Lang_Order*Lang__B5)="","",OFFSET(BH192,0,Lang_Order*Lang__B5))</f>
        <v>Total</v>
      </c>
      <c r="AD192" s="177" t="str">
        <f t="shared" ref="AD192" ca="1" si="458">IF(OFFSET(BI192,0,Lang_Order*Lang__B5)="","",OFFSET(BI192,0,Lang_Order*Lang__B5))</f>
        <v>Max</v>
      </c>
      <c r="AE192" s="2"/>
      <c r="AF192" s="241"/>
      <c r="AG192" s="622"/>
      <c r="AI192" s="255" t="str">
        <f t="shared" ref="AI192:AP192" ca="1" si="459">IF(OFFSET(BB192,0,Lang_Order*Lang__B5)="","",OFFSET(BB192,0,Lang_Order*Lang__B5))</f>
        <v>H1 2021</v>
      </c>
      <c r="AJ192" s="255" t="str">
        <f t="shared" ca="1" si="459"/>
        <v>H2 2021</v>
      </c>
      <c r="AK192" s="255" t="str">
        <f t="shared" ca="1" si="459"/>
        <v>H1 2022</v>
      </c>
      <c r="AL192" s="255" t="str">
        <f t="shared" ca="1" si="459"/>
        <v>H2 2022</v>
      </c>
      <c r="AM192" s="255" t="str">
        <f t="shared" ca="1" si="459"/>
        <v>H1 2023</v>
      </c>
      <c r="AN192" s="255" t="str">
        <f t="shared" ca="1" si="459"/>
        <v>H2 2023</v>
      </c>
      <c r="AO192" s="255" t="str">
        <f t="shared" ca="1" si="459"/>
        <v>Total</v>
      </c>
      <c r="AP192" s="177" t="str">
        <f t="shared" ca="1" si="459"/>
        <v>Max</v>
      </c>
      <c r="AR192" s="403"/>
      <c r="AS192" s="403"/>
      <c r="AT192" s="403"/>
      <c r="AU192" s="403"/>
      <c r="AV192" s="403"/>
      <c r="AW192" s="403"/>
      <c r="AX192" s="403"/>
      <c r="AY192" s="403"/>
      <c r="AZ192" s="403"/>
      <c r="BA192" s="403"/>
      <c r="BB192" s="403" t="s">
        <v>1597</v>
      </c>
      <c r="BC192" s="403" t="s">
        <v>1598</v>
      </c>
      <c r="BD192" s="403" t="s">
        <v>1599</v>
      </c>
      <c r="BE192" s="403" t="s">
        <v>1600</v>
      </c>
      <c r="BF192" s="403" t="s">
        <v>1602</v>
      </c>
      <c r="BG192" s="403" t="s">
        <v>1601</v>
      </c>
      <c r="BH192" s="403" t="s">
        <v>1605</v>
      </c>
      <c r="BI192" s="403" t="s">
        <v>2709</v>
      </c>
      <c r="BJ192" s="403"/>
      <c r="BK192" s="403"/>
      <c r="BL192" s="403"/>
      <c r="BM192" s="403"/>
      <c r="BN192" s="403"/>
      <c r="BO192" s="403"/>
      <c r="BP192" s="403"/>
      <c r="BQ192" s="403"/>
      <c r="BR192" s="403"/>
      <c r="BS192" s="403"/>
      <c r="BT192" s="403"/>
      <c r="BU192" s="403"/>
      <c r="BV192" s="403"/>
      <c r="BW192" s="403"/>
      <c r="BX192" s="403"/>
      <c r="BY192" s="403"/>
      <c r="BZ192" s="403"/>
      <c r="CA192" s="403"/>
      <c r="CB192" s="403"/>
      <c r="CC192" s="403"/>
      <c r="CD192" s="403"/>
      <c r="CE192" s="403"/>
      <c r="CF192" s="403"/>
      <c r="CG192" s="403"/>
      <c r="CH192" s="403"/>
      <c r="CI192" s="403"/>
      <c r="CJ192" s="403" t="s">
        <v>4663</v>
      </c>
      <c r="CK192" s="403" t="s">
        <v>4664</v>
      </c>
      <c r="CL192" s="403" t="s">
        <v>4665</v>
      </c>
      <c r="CM192" s="403" t="s">
        <v>4666</v>
      </c>
      <c r="CN192" s="403" t="s">
        <v>4667</v>
      </c>
      <c r="CO192" s="403" t="s">
        <v>4668</v>
      </c>
      <c r="CP192" s="403" t="s">
        <v>1605</v>
      </c>
      <c r="CQ192" s="403" t="s">
        <v>2709</v>
      </c>
      <c r="CR192" s="403"/>
      <c r="CS192" s="403"/>
      <c r="CT192" s="403"/>
      <c r="CU192" s="403"/>
      <c r="CV192" s="403"/>
      <c r="CW192" s="403"/>
      <c r="CX192" s="403"/>
      <c r="CY192" s="403"/>
      <c r="CZ192" s="403"/>
      <c r="DA192" s="403"/>
      <c r="DB192" s="403"/>
      <c r="DC192" s="403"/>
      <c r="DD192" s="403"/>
      <c r="DE192" s="403"/>
      <c r="DF192" s="403"/>
      <c r="DG192" s="403"/>
      <c r="DH192" s="403"/>
      <c r="DI192" s="403"/>
      <c r="DJ192" s="403"/>
      <c r="DK192" s="403"/>
      <c r="DL192" s="403"/>
      <c r="DM192" s="403"/>
      <c r="DN192" s="403"/>
      <c r="DO192" s="403"/>
      <c r="DP192" s="403"/>
      <c r="DQ192" s="403"/>
      <c r="DR192" s="403" t="s">
        <v>4670</v>
      </c>
      <c r="DS192" s="403" t="s">
        <v>4671</v>
      </c>
      <c r="DT192" s="403" t="s">
        <v>4672</v>
      </c>
      <c r="DU192" s="403" t="s">
        <v>4673</v>
      </c>
      <c r="DV192" s="403" t="s">
        <v>4674</v>
      </c>
      <c r="DW192" s="403" t="s">
        <v>4675</v>
      </c>
      <c r="DX192" s="403" t="s">
        <v>4676</v>
      </c>
      <c r="DY192" s="403" t="s">
        <v>10072</v>
      </c>
      <c r="DZ192" s="403"/>
      <c r="EA192" s="403"/>
      <c r="EB192" s="403"/>
      <c r="EC192" s="403"/>
      <c r="ED192" s="403"/>
      <c r="EE192" s="403"/>
      <c r="EF192" s="403"/>
      <c r="EG192" s="403"/>
      <c r="EH192" s="403"/>
      <c r="EI192" s="403"/>
      <c r="EJ192" s="403"/>
      <c r="EK192" s="403"/>
      <c r="EL192" s="403"/>
      <c r="EM192" s="403"/>
      <c r="EN192" s="403"/>
      <c r="EO192" s="403"/>
      <c r="EP192" s="403"/>
      <c r="EQ192" s="403"/>
      <c r="ER192" s="403"/>
      <c r="ES192" s="403"/>
      <c r="ET192" s="403"/>
      <c r="EU192" s="403"/>
      <c r="EV192" s="403"/>
      <c r="EW192" s="403"/>
      <c r="EX192" s="403"/>
      <c r="EY192" s="403"/>
      <c r="EZ192" s="403" t="s">
        <v>1597</v>
      </c>
      <c r="FA192" s="403" t="s">
        <v>1598</v>
      </c>
      <c r="FB192" s="403" t="s">
        <v>1599</v>
      </c>
      <c r="FC192" s="403" t="s">
        <v>1600</v>
      </c>
      <c r="FD192" s="403" t="s">
        <v>1602</v>
      </c>
      <c r="FE192" s="403" t="s">
        <v>1601</v>
      </c>
      <c r="FF192" s="403" t="s">
        <v>1605</v>
      </c>
      <c r="FG192" s="403" t="s">
        <v>2709</v>
      </c>
      <c r="FH192" s="403"/>
      <c r="FI192" s="403"/>
      <c r="FJ192" s="403"/>
      <c r="FK192" s="403"/>
      <c r="FL192" s="403"/>
      <c r="FM192" s="403"/>
      <c r="FN192" s="403"/>
      <c r="FO192" s="403"/>
      <c r="FP192" s="403"/>
      <c r="FQ192" s="403"/>
      <c r="FR192" s="403"/>
      <c r="FS192" s="403"/>
      <c r="FT192" s="403"/>
      <c r="FU192" s="403"/>
      <c r="FV192" s="403"/>
      <c r="FW192" s="403"/>
      <c r="FX192" s="403"/>
      <c r="FY192" s="403"/>
      <c r="FZ192" s="403"/>
      <c r="GA192" s="403"/>
      <c r="GB192" s="403"/>
      <c r="GC192" s="403"/>
      <c r="GD192" s="403"/>
      <c r="GE192" s="403"/>
      <c r="GF192" s="403"/>
      <c r="GG192" s="403"/>
      <c r="GH192" s="403" t="s">
        <v>4663</v>
      </c>
      <c r="GI192" s="403" t="s">
        <v>4664</v>
      </c>
      <c r="GJ192" s="403" t="s">
        <v>4665</v>
      </c>
      <c r="GK192" s="403" t="s">
        <v>4666</v>
      </c>
      <c r="GL192" s="403" t="s">
        <v>4667</v>
      </c>
      <c r="GM192" s="403" t="s">
        <v>4668</v>
      </c>
      <c r="GN192" s="403" t="s">
        <v>1605</v>
      </c>
      <c r="GO192" s="403" t="s">
        <v>10073</v>
      </c>
      <c r="GP192" s="403"/>
      <c r="GQ192" s="403"/>
      <c r="GR192" s="403"/>
      <c r="GS192" s="403"/>
      <c r="GT192" s="403"/>
      <c r="GU192" s="403"/>
      <c r="GV192" s="403"/>
      <c r="GW192" s="403"/>
      <c r="GX192" s="403"/>
      <c r="GY192" s="403"/>
      <c r="GZ192" s="403"/>
      <c r="HA192" s="403"/>
      <c r="HB192" s="403"/>
      <c r="HC192" s="403"/>
      <c r="HD192" s="403"/>
      <c r="HE192" s="403"/>
      <c r="HF192" s="403"/>
      <c r="HG192" s="403"/>
      <c r="HH192" s="403"/>
      <c r="HI192" s="403"/>
      <c r="HJ192" s="403"/>
      <c r="HK192" s="403"/>
      <c r="HL192" s="403"/>
      <c r="HM192" s="403"/>
      <c r="HN192" s="403"/>
      <c r="HO192" s="403"/>
      <c r="HP192" s="403" t="s">
        <v>4680</v>
      </c>
      <c r="HQ192" s="403" t="s">
        <v>4681</v>
      </c>
      <c r="HR192" s="403" t="s">
        <v>4682</v>
      </c>
      <c r="HS192" s="403" t="s">
        <v>4683</v>
      </c>
      <c r="HT192" s="403" t="s">
        <v>4684</v>
      </c>
      <c r="HU192" s="403" t="s">
        <v>4685</v>
      </c>
      <c r="HV192" s="403" t="s">
        <v>4686</v>
      </c>
      <c r="HW192" s="403" t="s">
        <v>10074</v>
      </c>
      <c r="HX192" s="403"/>
      <c r="HY192" s="403"/>
      <c r="HZ192" s="403"/>
      <c r="IA192" s="403"/>
      <c r="IB192" s="403"/>
      <c r="IC192" s="403"/>
      <c r="ID192" s="403"/>
      <c r="IE192" s="403"/>
      <c r="IF192" s="403"/>
      <c r="IG192" s="403"/>
      <c r="IH192" s="403"/>
      <c r="II192" s="403"/>
      <c r="IJ192" s="403"/>
      <c r="IK192" s="403"/>
      <c r="IL192" s="403"/>
      <c r="IM192" s="403"/>
      <c r="IN192" s="403"/>
      <c r="IO192" s="403"/>
      <c r="IP192" s="403"/>
      <c r="IQ192" s="403"/>
      <c r="IR192" s="403"/>
      <c r="IS192" s="403"/>
      <c r="IT192" s="403"/>
      <c r="IU192" s="403"/>
      <c r="IV192" s="403"/>
      <c r="IW192" s="403"/>
      <c r="IX192" s="403" t="s">
        <v>4688</v>
      </c>
      <c r="IY192" s="403" t="s">
        <v>4689</v>
      </c>
      <c r="IZ192" s="403" t="s">
        <v>4690</v>
      </c>
      <c r="JA192" s="403" t="s">
        <v>4691</v>
      </c>
      <c r="JB192" s="403" t="s">
        <v>4692</v>
      </c>
      <c r="JC192" s="403" t="s">
        <v>4693</v>
      </c>
      <c r="JD192" s="403" t="s">
        <v>4694</v>
      </c>
      <c r="JE192" s="403" t="s">
        <v>10075</v>
      </c>
      <c r="JF192" s="403"/>
      <c r="JG192" s="403"/>
      <c r="JH192" s="403"/>
      <c r="JI192" s="403"/>
      <c r="JJ192" s="403"/>
      <c r="JK192" s="403"/>
      <c r="JL192" s="403"/>
      <c r="JM192" s="403"/>
      <c r="JN192" s="403"/>
      <c r="JO192" s="403"/>
      <c r="JP192" s="403"/>
      <c r="JQ192" s="403"/>
      <c r="JR192" s="403"/>
      <c r="JS192" s="403"/>
      <c r="JT192" s="403"/>
    </row>
    <row r="193" spans="1:280" s="15" customFormat="1" ht="12.75" x14ac:dyDescent="0.2">
      <c r="A193" s="9"/>
      <c r="B193" s="624" t="str">
        <f ca="1">IF(OFFSET(AT193,0,Lang_Order*Lang__B5)="","",OFFSET(AT193,0,Lang_Order*Lang__B5))</f>
        <v>Delivery Context</v>
      </c>
      <c r="C193" s="23"/>
      <c r="E193" s="26"/>
      <c r="F193" s="26"/>
      <c r="G193" s="26"/>
      <c r="H193" s="26"/>
      <c r="I193" s="26"/>
      <c r="J193" s="26"/>
      <c r="K193" s="26"/>
      <c r="L193" s="26"/>
      <c r="M193" s="26"/>
      <c r="N193" s="26"/>
      <c r="O193" s="26"/>
      <c r="P193" s="26"/>
      <c r="Q193" s="26"/>
      <c r="R193" s="12" t="str">
        <f t="shared" ref="R193:R236" ca="1" si="460">IF(OFFSET(BJ193,0,Lang_Order*Lang__B5)="","",OFFSET(BJ193,0,Lang_Order*Lang__B5))</f>
        <v>Note that sites are treated as equal-sized 'averages'</v>
      </c>
      <c r="S193" s="2"/>
      <c r="T193" s="241"/>
      <c r="U193" s="624" t="str">
        <f ca="1">IF(OFFSET(AT193,0,Lang_Order*Lang__B5)="","",OFFSET(AT193,0,Lang_Order*Lang__B5))</f>
        <v>Delivery Context</v>
      </c>
      <c r="V193" s="72"/>
      <c r="AE193" s="2"/>
      <c r="AF193" s="241"/>
      <c r="AG193" s="624" t="str">
        <f ca="1">IF(OFFSET(AT193,0,Lang_Order*Lang__B5)="","",OFFSET(AT193,0,Lang_Order*Lang__B5))</f>
        <v>Delivery Context</v>
      </c>
      <c r="AH193" s="72"/>
      <c r="AR193" s="403"/>
      <c r="AS193" s="403"/>
      <c r="AT193" s="403" t="s">
        <v>34</v>
      </c>
      <c r="AU193" s="403"/>
      <c r="AV193" s="403"/>
      <c r="AW193" s="403"/>
      <c r="AX193" s="403"/>
      <c r="AY193" s="403"/>
      <c r="AZ193" s="403"/>
      <c r="BA193" s="403"/>
      <c r="BB193" s="403"/>
      <c r="BC193" s="403"/>
      <c r="BD193" s="403"/>
      <c r="BE193" s="403"/>
      <c r="BF193" s="403"/>
      <c r="BG193" s="403"/>
      <c r="BH193" s="403"/>
      <c r="BI193" s="403"/>
      <c r="BJ193" s="403" t="s">
        <v>1674</v>
      </c>
      <c r="BK193" s="403"/>
      <c r="BL193" s="403"/>
      <c r="BM193" s="403"/>
      <c r="BN193" s="403"/>
      <c r="BO193" s="403"/>
      <c r="BP193" s="403"/>
      <c r="BQ193" s="403"/>
      <c r="BR193" s="403"/>
      <c r="BS193" s="403"/>
      <c r="BT193" s="403"/>
      <c r="BU193" s="403"/>
      <c r="BV193" s="403"/>
      <c r="BW193" s="403"/>
      <c r="BX193" s="403"/>
      <c r="BY193" s="403"/>
      <c r="BZ193" s="403"/>
      <c r="CA193" s="403"/>
      <c r="CB193" s="403" t="s">
        <v>11826</v>
      </c>
      <c r="CC193" s="403"/>
      <c r="CD193" s="403"/>
      <c r="CE193" s="403"/>
      <c r="CF193" s="403"/>
      <c r="CG193" s="403"/>
      <c r="CH193" s="403"/>
      <c r="CI193" s="403"/>
      <c r="CJ193" s="403"/>
      <c r="CK193" s="403"/>
      <c r="CL193" s="403"/>
      <c r="CM193" s="403"/>
      <c r="CN193" s="403"/>
      <c r="CO193" s="403"/>
      <c r="CP193" s="403"/>
      <c r="CQ193" s="403"/>
      <c r="CR193" s="403" t="s">
        <v>11827</v>
      </c>
      <c r="CS193" s="403"/>
      <c r="CT193" s="403"/>
      <c r="CU193" s="403"/>
      <c r="CV193" s="403"/>
      <c r="CW193" s="403"/>
      <c r="CX193" s="403"/>
      <c r="CY193" s="403"/>
      <c r="CZ193" s="403"/>
      <c r="DA193" s="403"/>
      <c r="DB193" s="403"/>
      <c r="DC193" s="403"/>
      <c r="DD193" s="403"/>
      <c r="DE193" s="403"/>
      <c r="DF193" s="403"/>
      <c r="DG193" s="403"/>
      <c r="DH193" s="403"/>
      <c r="DI193" s="403"/>
      <c r="DJ193" s="403" t="s">
        <v>12098</v>
      </c>
      <c r="DK193" s="403"/>
      <c r="DL193" s="403"/>
      <c r="DM193" s="403"/>
      <c r="DN193" s="403"/>
      <c r="DO193" s="403"/>
      <c r="DP193" s="403"/>
      <c r="DQ193" s="403"/>
      <c r="DR193" s="403"/>
      <c r="DS193" s="403"/>
      <c r="DT193" s="403"/>
      <c r="DU193" s="403"/>
      <c r="DV193" s="403"/>
      <c r="DW193" s="403"/>
      <c r="DX193" s="403"/>
      <c r="DY193" s="403"/>
      <c r="DZ193" s="403" t="s">
        <v>12161</v>
      </c>
      <c r="EA193" s="403"/>
      <c r="EB193" s="403"/>
      <c r="EC193" s="403"/>
      <c r="ED193" s="403"/>
      <c r="EE193" s="403"/>
      <c r="EF193" s="403"/>
      <c r="EG193" s="403"/>
      <c r="EH193" s="403"/>
      <c r="EI193" s="403"/>
      <c r="EJ193" s="403"/>
      <c r="EK193" s="403"/>
      <c r="EL193" s="403"/>
      <c r="EM193" s="403"/>
      <c r="EN193" s="403"/>
      <c r="EO193" s="403"/>
      <c r="EP193" s="403"/>
      <c r="EQ193" s="403"/>
      <c r="ER193" s="403" t="s">
        <v>11830</v>
      </c>
      <c r="ES193" s="403"/>
      <c r="ET193" s="403"/>
      <c r="EU193" s="403"/>
      <c r="EV193" s="403"/>
      <c r="EW193" s="403"/>
      <c r="EX193" s="403"/>
      <c r="EY193" s="403"/>
      <c r="EZ193" s="403"/>
      <c r="FA193" s="403"/>
      <c r="FB193" s="403"/>
      <c r="FC193" s="403"/>
      <c r="FD193" s="403"/>
      <c r="FE193" s="403"/>
      <c r="FF193" s="403"/>
      <c r="FG193" s="403"/>
      <c r="FH193" s="403" t="s">
        <v>12099</v>
      </c>
      <c r="FI193" s="403"/>
      <c r="FJ193" s="403"/>
      <c r="FK193" s="403"/>
      <c r="FL193" s="403"/>
      <c r="FM193" s="403"/>
      <c r="FN193" s="403"/>
      <c r="FO193" s="403"/>
      <c r="FP193" s="403"/>
      <c r="FQ193" s="403"/>
      <c r="FR193" s="403"/>
      <c r="FS193" s="403"/>
      <c r="FT193" s="403"/>
      <c r="FU193" s="403"/>
      <c r="FV193" s="403"/>
      <c r="FW193" s="403"/>
      <c r="FX193" s="403"/>
      <c r="FY193" s="403"/>
      <c r="FZ193" s="403" t="s">
        <v>11832</v>
      </c>
      <c r="GA193" s="403"/>
      <c r="GB193" s="403"/>
      <c r="GC193" s="403"/>
      <c r="GD193" s="403"/>
      <c r="GE193" s="403"/>
      <c r="GF193" s="403"/>
      <c r="GG193" s="403"/>
      <c r="GH193" s="403"/>
      <c r="GI193" s="403"/>
      <c r="GJ193" s="403"/>
      <c r="GK193" s="403"/>
      <c r="GL193" s="403"/>
      <c r="GM193" s="403"/>
      <c r="GN193" s="403"/>
      <c r="GO193" s="403"/>
      <c r="GP193" s="403" t="s">
        <v>11833</v>
      </c>
      <c r="GQ193" s="403"/>
      <c r="GR193" s="403"/>
      <c r="GS193" s="403"/>
      <c r="GT193" s="403"/>
      <c r="GU193" s="403"/>
      <c r="GV193" s="403"/>
      <c r="GW193" s="403"/>
      <c r="GX193" s="403"/>
      <c r="GY193" s="403"/>
      <c r="GZ193" s="403"/>
      <c r="HA193" s="403"/>
      <c r="HB193" s="403"/>
      <c r="HC193" s="403"/>
      <c r="HD193" s="403"/>
      <c r="HE193" s="403"/>
      <c r="HF193" s="403"/>
      <c r="HG193" s="403"/>
      <c r="HH193" s="403" t="s">
        <v>11834</v>
      </c>
      <c r="HI193" s="403"/>
      <c r="HJ193" s="403"/>
      <c r="HK193" s="403"/>
      <c r="HL193" s="403"/>
      <c r="HM193" s="403"/>
      <c r="HN193" s="403"/>
      <c r="HO193" s="403"/>
      <c r="HP193" s="403"/>
      <c r="HQ193" s="403"/>
      <c r="HR193" s="403"/>
      <c r="HS193" s="403"/>
      <c r="HT193" s="403"/>
      <c r="HU193" s="403"/>
      <c r="HV193" s="403"/>
      <c r="HW193" s="403"/>
      <c r="HX193" s="403" t="s">
        <v>11835</v>
      </c>
      <c r="HY193" s="403"/>
      <c r="HZ193" s="403"/>
      <c r="IA193" s="403"/>
      <c r="IB193" s="403"/>
      <c r="IC193" s="403"/>
      <c r="ID193" s="403"/>
      <c r="IE193" s="403"/>
      <c r="IF193" s="403"/>
      <c r="IG193" s="403"/>
      <c r="IH193" s="403"/>
      <c r="II193" s="403"/>
      <c r="IJ193" s="403"/>
      <c r="IK193" s="403"/>
      <c r="IL193" s="403"/>
      <c r="IM193" s="403"/>
      <c r="IN193" s="403"/>
      <c r="IO193" s="403"/>
      <c r="IP193" s="403" t="s">
        <v>11836</v>
      </c>
      <c r="IQ193" s="403"/>
      <c r="IR193" s="403"/>
      <c r="IS193" s="403"/>
      <c r="IT193" s="403"/>
      <c r="IU193" s="403"/>
      <c r="IV193" s="403"/>
      <c r="IW193" s="403"/>
      <c r="IX193" s="403"/>
      <c r="IY193" s="403"/>
      <c r="IZ193" s="403"/>
      <c r="JA193" s="403"/>
      <c r="JB193" s="403"/>
      <c r="JC193" s="403"/>
      <c r="JD193" s="403"/>
      <c r="JE193" s="403"/>
      <c r="JF193" s="403" t="s">
        <v>11837</v>
      </c>
      <c r="JG193" s="403"/>
      <c r="JH193" s="403"/>
      <c r="JI193" s="403"/>
      <c r="JJ193" s="403"/>
      <c r="JK193" s="403"/>
      <c r="JL193" s="403"/>
      <c r="JM193" s="403"/>
      <c r="JN193" s="403"/>
      <c r="JO193" s="403"/>
      <c r="JP193" s="403"/>
      <c r="JQ193" s="403"/>
      <c r="JR193" s="403"/>
      <c r="JS193" s="403"/>
      <c r="JT193" s="403"/>
    </row>
    <row r="194" spans="1:280" s="15" customFormat="1" ht="12.75" x14ac:dyDescent="0.2">
      <c r="A194" s="9"/>
      <c r="B194" s="624"/>
      <c r="C194" s="31" t="str">
        <f ca="1">IF(OFFSET(AU194,0,Lang_Order*Lang__B5)="","",OFFSET(AU194,0,Lang_Order*Lang__B5))</f>
        <v>[HIDE]</v>
      </c>
      <c r="E194" s="61"/>
      <c r="F194" s="61"/>
      <c r="G194" s="61"/>
      <c r="H194" s="61"/>
      <c r="I194" s="256"/>
      <c r="J194" s="15" t="e">
        <f t="shared" ref="J194:O194" si="461">IF(J191&gt;0,1,0)</f>
        <v>#N/A</v>
      </c>
      <c r="K194" s="15" t="e">
        <f t="shared" si="461"/>
        <v>#N/A</v>
      </c>
      <c r="L194" s="15" t="e">
        <f t="shared" si="461"/>
        <v>#N/A</v>
      </c>
      <c r="M194" s="15" t="e">
        <f t="shared" si="461"/>
        <v>#N/A</v>
      </c>
      <c r="N194" s="15" t="e">
        <f t="shared" si="461"/>
        <v>#N/A</v>
      </c>
      <c r="O194" s="15" t="e">
        <f t="shared" si="461"/>
        <v>#N/A</v>
      </c>
      <c r="P194" s="61"/>
      <c r="Q194" s="61"/>
      <c r="R194" s="12" t="str">
        <f t="shared" ca="1" si="460"/>
        <v>Vaccinations going on this period?</v>
      </c>
      <c r="S194" s="2"/>
      <c r="T194" s="241"/>
      <c r="U194" s="624"/>
      <c r="V194" s="72" t="str">
        <f ca="1">IF(OFFSET(AU194,0,Lang_Order*Lang__B5)="","",OFFSET(AU194,0,Lang_Order*Lang__B5))</f>
        <v>[HIDE]</v>
      </c>
      <c r="W194" s="241" t="e">
        <f t="shared" ref="W194:AB194" si="462">IF(W191&gt;0,1,0)</f>
        <v>#N/A</v>
      </c>
      <c r="X194" s="241" t="e">
        <f t="shared" si="462"/>
        <v>#N/A</v>
      </c>
      <c r="Y194" s="241" t="e">
        <f t="shared" si="462"/>
        <v>#N/A</v>
      </c>
      <c r="Z194" s="241" t="e">
        <f t="shared" si="462"/>
        <v>#N/A</v>
      </c>
      <c r="AA194" s="241" t="e">
        <f t="shared" si="462"/>
        <v>#N/A</v>
      </c>
      <c r="AB194" s="241" t="e">
        <f t="shared" si="462"/>
        <v>#N/A</v>
      </c>
      <c r="AE194" s="2"/>
      <c r="AF194" s="241"/>
      <c r="AG194" s="624"/>
      <c r="AH194" s="72" t="str">
        <f ca="1">IF(OFFSET(AU194,0,Lang_Order*Lang__B5)="","",OFFSET(AU194,0,Lang_Order*Lang__B5))</f>
        <v>[HIDE]</v>
      </c>
      <c r="AI194" s="241" t="e">
        <f t="shared" ref="AI194:AN194" si="463">IF(AI191&gt;0,1,0)</f>
        <v>#N/A</v>
      </c>
      <c r="AJ194" s="241" t="e">
        <f t="shared" si="463"/>
        <v>#N/A</v>
      </c>
      <c r="AK194" s="241" t="e">
        <f t="shared" si="463"/>
        <v>#N/A</v>
      </c>
      <c r="AL194" s="241" t="e">
        <f t="shared" si="463"/>
        <v>#N/A</v>
      </c>
      <c r="AM194" s="241" t="e">
        <f t="shared" si="463"/>
        <v>#N/A</v>
      </c>
      <c r="AN194" s="241" t="e">
        <f t="shared" si="463"/>
        <v>#N/A</v>
      </c>
      <c r="AR194" s="403"/>
      <c r="AS194" s="403"/>
      <c r="AT194" s="403"/>
      <c r="AU194" s="403" t="s">
        <v>1612</v>
      </c>
      <c r="AV194" s="403"/>
      <c r="AW194" s="403"/>
      <c r="AX194" s="403"/>
      <c r="AY194" s="403"/>
      <c r="AZ194" s="403"/>
      <c r="BA194" s="403"/>
      <c r="BB194" s="403"/>
      <c r="BC194" s="403"/>
      <c r="BD194" s="403"/>
      <c r="BE194" s="403"/>
      <c r="BF194" s="403"/>
      <c r="BG194" s="403"/>
      <c r="BH194" s="403"/>
      <c r="BI194" s="403"/>
      <c r="BJ194" s="403" t="s">
        <v>1665</v>
      </c>
      <c r="BK194" s="403"/>
      <c r="BL194" s="403"/>
      <c r="BM194" s="403"/>
      <c r="BN194" s="403"/>
      <c r="BO194" s="403"/>
      <c r="BP194" s="403"/>
      <c r="BQ194" s="403"/>
      <c r="BR194" s="403"/>
      <c r="BS194" s="403"/>
      <c r="BT194" s="403"/>
      <c r="BU194" s="403"/>
      <c r="BV194" s="403"/>
      <c r="BW194" s="403"/>
      <c r="BX194" s="403"/>
      <c r="BY194" s="403"/>
      <c r="BZ194" s="403"/>
      <c r="CA194" s="403"/>
      <c r="CB194" s="403"/>
      <c r="CC194" s="403" t="s">
        <v>11850</v>
      </c>
      <c r="CD194" s="403"/>
      <c r="CE194" s="403"/>
      <c r="CF194" s="403"/>
      <c r="CG194" s="403"/>
      <c r="CH194" s="403"/>
      <c r="CI194" s="403"/>
      <c r="CJ194" s="403"/>
      <c r="CK194" s="403"/>
      <c r="CL194" s="403"/>
      <c r="CM194" s="403"/>
      <c r="CN194" s="403"/>
      <c r="CO194" s="403"/>
      <c r="CP194" s="403"/>
      <c r="CQ194" s="403"/>
      <c r="CR194" s="403" t="s">
        <v>11861</v>
      </c>
      <c r="CS194" s="403"/>
      <c r="CT194" s="403"/>
      <c r="CU194" s="403"/>
      <c r="CV194" s="403"/>
      <c r="CW194" s="403"/>
      <c r="CX194" s="403"/>
      <c r="CY194" s="403"/>
      <c r="CZ194" s="403"/>
      <c r="DA194" s="403"/>
      <c r="DB194" s="403"/>
      <c r="DC194" s="403"/>
      <c r="DD194" s="403"/>
      <c r="DE194" s="403"/>
      <c r="DF194" s="403"/>
      <c r="DG194" s="403"/>
      <c r="DH194" s="403"/>
      <c r="DI194" s="403"/>
      <c r="DJ194" s="403"/>
      <c r="DK194" s="403" t="s">
        <v>11852</v>
      </c>
      <c r="DL194" s="403"/>
      <c r="DM194" s="403"/>
      <c r="DN194" s="403"/>
      <c r="DO194" s="403"/>
      <c r="DP194" s="403"/>
      <c r="DQ194" s="403"/>
      <c r="DR194" s="403"/>
      <c r="DS194" s="403"/>
      <c r="DT194" s="403"/>
      <c r="DU194" s="403"/>
      <c r="DV194" s="403"/>
      <c r="DW194" s="403"/>
      <c r="DX194" s="403"/>
      <c r="DY194" s="403"/>
      <c r="DZ194" s="403" t="s">
        <v>11862</v>
      </c>
      <c r="EA194" s="403"/>
      <c r="EB194" s="403"/>
      <c r="EC194" s="403"/>
      <c r="ED194" s="403"/>
      <c r="EE194" s="403"/>
      <c r="EF194" s="403"/>
      <c r="EG194" s="403"/>
      <c r="EH194" s="403"/>
      <c r="EI194" s="403"/>
      <c r="EJ194" s="403"/>
      <c r="EK194" s="403"/>
      <c r="EL194" s="403"/>
      <c r="EM194" s="403"/>
      <c r="EN194" s="403"/>
      <c r="EO194" s="403"/>
      <c r="EP194" s="403"/>
      <c r="EQ194" s="403"/>
      <c r="ER194" s="403"/>
      <c r="ES194" s="403" t="s">
        <v>11854</v>
      </c>
      <c r="ET194" s="403"/>
      <c r="EU194" s="403"/>
      <c r="EV194" s="403"/>
      <c r="EW194" s="403"/>
      <c r="EX194" s="403"/>
      <c r="EY194" s="403"/>
      <c r="EZ194" s="403"/>
      <c r="FA194" s="403"/>
      <c r="FB194" s="403"/>
      <c r="FC194" s="403"/>
      <c r="FD194" s="403"/>
      <c r="FE194" s="403"/>
      <c r="FF194" s="403"/>
      <c r="FG194" s="403"/>
      <c r="FH194" s="403" t="s">
        <v>11863</v>
      </c>
      <c r="FI194" s="403"/>
      <c r="FJ194" s="403"/>
      <c r="FK194" s="403"/>
      <c r="FL194" s="403"/>
      <c r="FM194" s="403"/>
      <c r="FN194" s="403"/>
      <c r="FO194" s="403"/>
      <c r="FP194" s="403"/>
      <c r="FQ194" s="403"/>
      <c r="FR194" s="403"/>
      <c r="FS194" s="403"/>
      <c r="FT194" s="403"/>
      <c r="FU194" s="403"/>
      <c r="FV194" s="403"/>
      <c r="FW194" s="403"/>
      <c r="FX194" s="403"/>
      <c r="FY194" s="403"/>
      <c r="FZ194" s="403"/>
      <c r="GA194" s="403" t="s">
        <v>11854</v>
      </c>
      <c r="GB194" s="403"/>
      <c r="GC194" s="403"/>
      <c r="GD194" s="403"/>
      <c r="GE194" s="403"/>
      <c r="GF194" s="403"/>
      <c r="GG194" s="403"/>
      <c r="GH194" s="403"/>
      <c r="GI194" s="403"/>
      <c r="GJ194" s="403"/>
      <c r="GK194" s="403"/>
      <c r="GL194" s="403"/>
      <c r="GM194" s="403"/>
      <c r="GN194" s="403"/>
      <c r="GO194" s="403"/>
      <c r="GP194" s="403" t="s">
        <v>11864</v>
      </c>
      <c r="GQ194" s="403"/>
      <c r="GR194" s="403"/>
      <c r="GS194" s="403"/>
      <c r="GT194" s="403"/>
      <c r="GU194" s="403"/>
      <c r="GV194" s="403"/>
      <c r="GW194" s="403"/>
      <c r="GX194" s="403"/>
      <c r="GY194" s="403"/>
      <c r="GZ194" s="403"/>
      <c r="HA194" s="403"/>
      <c r="HB194" s="403"/>
      <c r="HC194" s="403"/>
      <c r="HD194" s="403"/>
      <c r="HE194" s="403"/>
      <c r="HF194" s="403"/>
      <c r="HG194" s="403"/>
      <c r="HH194" s="403"/>
      <c r="HI194" s="403" t="s">
        <v>7909</v>
      </c>
      <c r="HJ194" s="403"/>
      <c r="HK194" s="403"/>
      <c r="HL194" s="403"/>
      <c r="HM194" s="403"/>
      <c r="HN194" s="403"/>
      <c r="HO194" s="403"/>
      <c r="HP194" s="403"/>
      <c r="HQ194" s="403"/>
      <c r="HR194" s="403"/>
      <c r="HS194" s="403"/>
      <c r="HT194" s="403"/>
      <c r="HU194" s="403"/>
      <c r="HV194" s="403"/>
      <c r="HW194" s="403"/>
      <c r="HX194" s="403" t="s">
        <v>11865</v>
      </c>
      <c r="HY194" s="403"/>
      <c r="HZ194" s="403"/>
      <c r="IA194" s="403"/>
      <c r="IB194" s="403"/>
      <c r="IC194" s="403"/>
      <c r="ID194" s="403"/>
      <c r="IE194" s="403"/>
      <c r="IF194" s="403"/>
      <c r="IG194" s="403"/>
      <c r="IH194" s="403"/>
      <c r="II194" s="403"/>
      <c r="IJ194" s="403"/>
      <c r="IK194" s="403"/>
      <c r="IL194" s="403"/>
      <c r="IM194" s="403"/>
      <c r="IN194" s="403"/>
      <c r="IO194" s="403"/>
      <c r="IP194" s="403"/>
      <c r="IQ194" s="403" t="s">
        <v>11859</v>
      </c>
      <c r="IR194" s="403"/>
      <c r="IS194" s="403"/>
      <c r="IT194" s="403"/>
      <c r="IU194" s="403"/>
      <c r="IV194" s="403"/>
      <c r="IW194" s="403"/>
      <c r="IX194" s="403"/>
      <c r="IY194" s="403"/>
      <c r="IZ194" s="403"/>
      <c r="JA194" s="403"/>
      <c r="JB194" s="403"/>
      <c r="JC194" s="403"/>
      <c r="JD194" s="403"/>
      <c r="JE194" s="403"/>
      <c r="JF194" s="403" t="s">
        <v>11866</v>
      </c>
      <c r="JG194" s="403"/>
      <c r="JH194" s="403"/>
      <c r="JI194" s="403"/>
      <c r="JJ194" s="403"/>
      <c r="JK194" s="403"/>
      <c r="JL194" s="403"/>
      <c r="JM194" s="403"/>
      <c r="JN194" s="403"/>
      <c r="JO194" s="403"/>
      <c r="JP194" s="403"/>
      <c r="JQ194" s="403"/>
      <c r="JR194" s="403"/>
      <c r="JS194" s="403"/>
      <c r="JT194" s="403"/>
    </row>
    <row r="195" spans="1:280" s="15" customFormat="1" ht="12.75" x14ac:dyDescent="0.2">
      <c r="A195" s="34"/>
      <c r="B195" s="627"/>
      <c r="C195" s="23" t="str">
        <f ca="1">IF(OFFSET(AU195,0,Lang_Order*Lang__B5)="","",OFFSET(AU195,0,Lang_Order*Lang__B5))</f>
        <v>Current Sites this Period</v>
      </c>
      <c r="I195" s="85"/>
      <c r="J195" s="26" t="e">
        <f>'B1. Target Population'!D99</f>
        <v>#N/A</v>
      </c>
      <c r="K195" s="26" t="e">
        <f>'B1. Target Population'!E99</f>
        <v>#N/A</v>
      </c>
      <c r="L195" s="26" t="e">
        <f>'B1. Target Population'!F99</f>
        <v>#N/A</v>
      </c>
      <c r="M195" s="26" t="e">
        <f>'B1. Target Population'!G99</f>
        <v>#N/A</v>
      </c>
      <c r="N195" s="26" t="e">
        <f>'B1. Target Population'!H99</f>
        <v>#N/A</v>
      </c>
      <c r="O195" s="26" t="e">
        <f>'B1. Target Population'!I99</f>
        <v>#N/A</v>
      </c>
      <c r="P195" s="26"/>
      <c r="Q195" s="26"/>
      <c r="R195" s="12" t="str">
        <f t="shared" ca="1" si="460"/>
        <v/>
      </c>
      <c r="S195" s="2"/>
      <c r="T195" s="241"/>
      <c r="U195" s="627"/>
      <c r="V195" s="72" t="str">
        <f ca="1">IF(OFFSET(AU195,0,Lang_Order*Lang__B5)="","",OFFSET(AU195,0,Lang_Order*Lang__B5))</f>
        <v>Current Sites this Period</v>
      </c>
      <c r="W195" s="26" t="e">
        <f>J195</f>
        <v>#N/A</v>
      </c>
      <c r="X195" s="26" t="e">
        <f t="shared" ref="X195:AB195" si="464">K195</f>
        <v>#N/A</v>
      </c>
      <c r="Y195" s="26" t="e">
        <f t="shared" si="464"/>
        <v>#N/A</v>
      </c>
      <c r="Z195" s="26" t="e">
        <f t="shared" si="464"/>
        <v>#N/A</v>
      </c>
      <c r="AA195" s="26" t="e">
        <f t="shared" si="464"/>
        <v>#N/A</v>
      </c>
      <c r="AB195" s="26" t="e">
        <f t="shared" si="464"/>
        <v>#N/A</v>
      </c>
      <c r="AE195" s="2"/>
      <c r="AF195" s="241"/>
      <c r="AG195" s="627"/>
      <c r="AH195" s="72" t="str">
        <f ca="1">IF(OFFSET(AU195,0,Lang_Order*Lang__B5)="","",OFFSET(AU195,0,Lang_Order*Lang__B5))</f>
        <v>Current Sites this Period</v>
      </c>
      <c r="AI195" s="26" t="e">
        <f>J195</f>
        <v>#N/A</v>
      </c>
      <c r="AJ195" s="26" t="e">
        <f t="shared" ref="AJ195:AN195" si="465">K195</f>
        <v>#N/A</v>
      </c>
      <c r="AK195" s="26" t="e">
        <f t="shared" si="465"/>
        <v>#N/A</v>
      </c>
      <c r="AL195" s="26" t="e">
        <f t="shared" si="465"/>
        <v>#N/A</v>
      </c>
      <c r="AM195" s="26" t="e">
        <f t="shared" si="465"/>
        <v>#N/A</v>
      </c>
      <c r="AN195" s="26" t="e">
        <f t="shared" si="465"/>
        <v>#N/A</v>
      </c>
      <c r="AO195" s="26"/>
      <c r="AR195" s="403"/>
      <c r="AS195" s="403"/>
      <c r="AT195" s="403"/>
      <c r="AU195" s="403" t="s">
        <v>2833</v>
      </c>
      <c r="AV195" s="403"/>
      <c r="AW195" s="403"/>
      <c r="AX195" s="403"/>
      <c r="AY195" s="403"/>
      <c r="AZ195" s="403"/>
      <c r="BA195" s="403"/>
      <c r="BB195" s="403"/>
      <c r="BC195" s="403"/>
      <c r="BD195" s="403"/>
      <c r="BE195" s="403"/>
      <c r="BF195" s="403"/>
      <c r="BG195" s="403"/>
      <c r="BH195" s="403"/>
      <c r="BI195" s="403"/>
      <c r="BJ195" s="403"/>
      <c r="BK195" s="403"/>
      <c r="BL195" s="403"/>
      <c r="BM195" s="403"/>
      <c r="BN195" s="403"/>
      <c r="BO195" s="403"/>
      <c r="BP195" s="403"/>
      <c r="BQ195" s="403"/>
      <c r="BR195" s="403"/>
      <c r="BS195" s="403"/>
      <c r="BT195" s="403"/>
      <c r="BU195" s="403"/>
      <c r="BV195" s="403"/>
      <c r="BW195" s="403"/>
      <c r="BX195" s="403"/>
      <c r="BY195" s="403"/>
      <c r="BZ195" s="403"/>
      <c r="CA195" s="403"/>
      <c r="CB195" s="403"/>
      <c r="CC195" s="403" t="s">
        <v>12162</v>
      </c>
      <c r="CD195" s="403"/>
      <c r="CE195" s="403"/>
      <c r="CF195" s="403"/>
      <c r="CG195" s="403"/>
      <c r="CH195" s="403"/>
      <c r="CI195" s="403"/>
      <c r="CJ195" s="403"/>
      <c r="CK195" s="403"/>
      <c r="CL195" s="403"/>
      <c r="CM195" s="403"/>
      <c r="CN195" s="403"/>
      <c r="CO195" s="403"/>
      <c r="CP195" s="403"/>
      <c r="CQ195" s="403"/>
      <c r="CR195" s="403"/>
      <c r="CS195" s="403"/>
      <c r="CT195" s="403"/>
      <c r="CU195" s="403"/>
      <c r="CV195" s="403"/>
      <c r="CW195" s="403"/>
      <c r="CX195" s="403"/>
      <c r="CY195" s="403"/>
      <c r="CZ195" s="403"/>
      <c r="DA195" s="403"/>
      <c r="DB195" s="403"/>
      <c r="DC195" s="403"/>
      <c r="DD195" s="403"/>
      <c r="DE195" s="403"/>
      <c r="DF195" s="403"/>
      <c r="DG195" s="403"/>
      <c r="DH195" s="403"/>
      <c r="DI195" s="403"/>
      <c r="DJ195" s="403"/>
      <c r="DK195" s="403" t="s">
        <v>12163</v>
      </c>
      <c r="DL195" s="403"/>
      <c r="DM195" s="403"/>
      <c r="DN195" s="403"/>
      <c r="DO195" s="403"/>
      <c r="DP195" s="403"/>
      <c r="DQ195" s="403"/>
      <c r="DR195" s="403"/>
      <c r="DS195" s="403"/>
      <c r="DT195" s="403"/>
      <c r="DU195" s="403"/>
      <c r="DV195" s="403"/>
      <c r="DW195" s="403"/>
      <c r="DX195" s="403"/>
      <c r="DY195" s="403"/>
      <c r="DZ195" s="403"/>
      <c r="EA195" s="403"/>
      <c r="EB195" s="403"/>
      <c r="EC195" s="403"/>
      <c r="ED195" s="403"/>
      <c r="EE195" s="403"/>
      <c r="EF195" s="403"/>
      <c r="EG195" s="403"/>
      <c r="EH195" s="403"/>
      <c r="EI195" s="403"/>
      <c r="EJ195" s="403"/>
      <c r="EK195" s="403"/>
      <c r="EL195" s="403"/>
      <c r="EM195" s="403"/>
      <c r="EN195" s="403"/>
      <c r="EO195" s="403"/>
      <c r="EP195" s="403"/>
      <c r="EQ195" s="403"/>
      <c r="ER195" s="403"/>
      <c r="ES195" s="403" t="s">
        <v>12164</v>
      </c>
      <c r="ET195" s="403"/>
      <c r="EU195" s="403"/>
      <c r="EV195" s="403"/>
      <c r="EW195" s="403"/>
      <c r="EX195" s="403"/>
      <c r="EY195" s="403"/>
      <c r="EZ195" s="403"/>
      <c r="FA195" s="403"/>
      <c r="FB195" s="403"/>
      <c r="FC195" s="403"/>
      <c r="FD195" s="403"/>
      <c r="FE195" s="403"/>
      <c r="FF195" s="403"/>
      <c r="FG195" s="403"/>
      <c r="FH195" s="403"/>
      <c r="FI195" s="403"/>
      <c r="FJ195" s="403"/>
      <c r="FK195" s="403"/>
      <c r="FL195" s="403"/>
      <c r="FM195" s="403"/>
      <c r="FN195" s="403"/>
      <c r="FO195" s="403"/>
      <c r="FP195" s="403"/>
      <c r="FQ195" s="403"/>
      <c r="FR195" s="403"/>
      <c r="FS195" s="403"/>
      <c r="FT195" s="403"/>
      <c r="FU195" s="403"/>
      <c r="FV195" s="403"/>
      <c r="FW195" s="403"/>
      <c r="FX195" s="403"/>
      <c r="FY195" s="403"/>
      <c r="FZ195" s="403"/>
      <c r="GA195" s="403" t="s">
        <v>12165</v>
      </c>
      <c r="GB195" s="403"/>
      <c r="GC195" s="403"/>
      <c r="GD195" s="403"/>
      <c r="GE195" s="403"/>
      <c r="GF195" s="403"/>
      <c r="GG195" s="403"/>
      <c r="GH195" s="403"/>
      <c r="GI195" s="403"/>
      <c r="GJ195" s="403"/>
      <c r="GK195" s="403"/>
      <c r="GL195" s="403"/>
      <c r="GM195" s="403"/>
      <c r="GN195" s="403"/>
      <c r="GO195" s="403"/>
      <c r="GP195" s="403"/>
      <c r="GQ195" s="403"/>
      <c r="GR195" s="403"/>
      <c r="GS195" s="403"/>
      <c r="GT195" s="403"/>
      <c r="GU195" s="403"/>
      <c r="GV195" s="403"/>
      <c r="GW195" s="403"/>
      <c r="GX195" s="403"/>
      <c r="GY195" s="403"/>
      <c r="GZ195" s="403"/>
      <c r="HA195" s="403"/>
      <c r="HB195" s="403"/>
      <c r="HC195" s="403"/>
      <c r="HD195" s="403"/>
      <c r="HE195" s="403"/>
      <c r="HF195" s="403"/>
      <c r="HG195" s="403"/>
      <c r="HH195" s="403"/>
      <c r="HI195" s="403" t="s">
        <v>12166</v>
      </c>
      <c r="HJ195" s="403"/>
      <c r="HK195" s="403"/>
      <c r="HL195" s="403"/>
      <c r="HM195" s="403"/>
      <c r="HN195" s="403"/>
      <c r="HO195" s="403"/>
      <c r="HP195" s="403"/>
      <c r="HQ195" s="403"/>
      <c r="HR195" s="403"/>
      <c r="HS195" s="403"/>
      <c r="HT195" s="403"/>
      <c r="HU195" s="403"/>
      <c r="HV195" s="403"/>
      <c r="HW195" s="403"/>
      <c r="HX195" s="403"/>
      <c r="HY195" s="403"/>
      <c r="HZ195" s="403"/>
      <c r="IA195" s="403"/>
      <c r="IB195" s="403"/>
      <c r="IC195" s="403"/>
      <c r="ID195" s="403"/>
      <c r="IE195" s="403"/>
      <c r="IF195" s="403"/>
      <c r="IG195" s="403"/>
      <c r="IH195" s="403"/>
      <c r="II195" s="403"/>
      <c r="IJ195" s="403"/>
      <c r="IK195" s="403"/>
      <c r="IL195" s="403"/>
      <c r="IM195" s="403"/>
      <c r="IN195" s="403"/>
      <c r="IO195" s="403"/>
      <c r="IP195" s="403"/>
      <c r="IQ195" s="403" t="s">
        <v>12167</v>
      </c>
      <c r="IR195" s="403"/>
      <c r="IS195" s="403"/>
      <c r="IT195" s="403"/>
      <c r="IU195" s="403"/>
      <c r="IV195" s="403"/>
      <c r="IW195" s="403"/>
      <c r="IX195" s="403"/>
      <c r="IY195" s="403"/>
      <c r="IZ195" s="403"/>
      <c r="JA195" s="403"/>
      <c r="JB195" s="403"/>
      <c r="JC195" s="403"/>
      <c r="JD195" s="403"/>
      <c r="JE195" s="403"/>
      <c r="JF195" s="403"/>
      <c r="JG195" s="403"/>
      <c r="JH195" s="403"/>
      <c r="JI195" s="403"/>
      <c r="JJ195" s="403"/>
      <c r="JK195" s="403"/>
      <c r="JL195" s="403"/>
      <c r="JM195" s="403"/>
      <c r="JN195" s="403"/>
      <c r="JO195" s="403"/>
      <c r="JP195" s="403"/>
      <c r="JQ195" s="403"/>
      <c r="JR195" s="403"/>
      <c r="JS195" s="403"/>
      <c r="JT195" s="403"/>
    </row>
    <row r="196" spans="1:280" s="194" customFormat="1" ht="12.75" x14ac:dyDescent="0.2">
      <c r="A196" s="34"/>
      <c r="B196" s="627"/>
      <c r="C196" s="23" t="str">
        <f ca="1">IF(OFFSET(AU196,0,Lang_Order*Lang__B5)="","",OFFSET(AU196,0,Lang_Order*Lang__B5))</f>
        <v>Domestic Travel to Sites this Period</v>
      </c>
      <c r="I196" s="85"/>
      <c r="J196" s="26" t="e">
        <f>2*J195*$E$191</f>
        <v>#N/A</v>
      </c>
      <c r="K196" s="26" t="e">
        <f t="shared" ref="K196:O196" si="466">2*K195*$E$191</f>
        <v>#N/A</v>
      </c>
      <c r="L196" s="26" t="e">
        <f t="shared" si="466"/>
        <v>#N/A</v>
      </c>
      <c r="M196" s="26" t="e">
        <f t="shared" si="466"/>
        <v>#N/A</v>
      </c>
      <c r="N196" s="26" t="e">
        <f t="shared" si="466"/>
        <v>#N/A</v>
      </c>
      <c r="O196" s="26" t="e">
        <f t="shared" si="466"/>
        <v>#N/A</v>
      </c>
      <c r="P196" s="26"/>
      <c r="Q196" s="26"/>
      <c r="R196" s="12" t="str">
        <f t="shared" ca="1" si="460"/>
        <v/>
      </c>
      <c r="S196" s="2"/>
      <c r="T196" s="241"/>
      <c r="U196" s="627"/>
      <c r="V196" s="72" t="str">
        <f ca="1">IF(OFFSET(AU196,0,Lang_Order*Lang__B5)="","",OFFSET(AU196,0,Lang_Order*Lang__B5))</f>
        <v>Domestic Travel to Sites this Period</v>
      </c>
      <c r="W196" s="26" t="e">
        <f t="shared" ref="W196:AB196" si="467">2*W195*$E$191</f>
        <v>#N/A</v>
      </c>
      <c r="X196" s="26" t="e">
        <f t="shared" si="467"/>
        <v>#N/A</v>
      </c>
      <c r="Y196" s="26" t="e">
        <f t="shared" si="467"/>
        <v>#N/A</v>
      </c>
      <c r="Z196" s="26" t="e">
        <f t="shared" si="467"/>
        <v>#N/A</v>
      </c>
      <c r="AA196" s="26" t="e">
        <f t="shared" si="467"/>
        <v>#N/A</v>
      </c>
      <c r="AB196" s="26" t="e">
        <f t="shared" si="467"/>
        <v>#N/A</v>
      </c>
      <c r="AC196" s="26"/>
      <c r="AD196" s="26"/>
      <c r="AE196" s="2"/>
      <c r="AF196" s="241"/>
      <c r="AG196" s="627"/>
      <c r="AH196" s="72" t="str">
        <f ca="1">IF(OFFSET(AU196,0,Lang_Order*Lang__B5)="","",OFFSET(AU196,0,Lang_Order*Lang__B5))</f>
        <v>Domestic Travel to Sites this Period</v>
      </c>
      <c r="AI196" s="26" t="e">
        <f t="shared" ref="AI196:AN196" si="468">2*AI195*$E$191</f>
        <v>#N/A</v>
      </c>
      <c r="AJ196" s="26" t="e">
        <f t="shared" si="468"/>
        <v>#N/A</v>
      </c>
      <c r="AK196" s="26" t="e">
        <f t="shared" si="468"/>
        <v>#N/A</v>
      </c>
      <c r="AL196" s="26" t="e">
        <f t="shared" si="468"/>
        <v>#N/A</v>
      </c>
      <c r="AM196" s="26" t="e">
        <f t="shared" si="468"/>
        <v>#N/A</v>
      </c>
      <c r="AN196" s="26" t="e">
        <f t="shared" si="468"/>
        <v>#N/A</v>
      </c>
      <c r="AO196" s="26"/>
      <c r="AP196" s="26"/>
      <c r="AR196" s="403"/>
      <c r="AS196" s="403"/>
      <c r="AT196" s="403"/>
      <c r="AU196" s="403" t="s">
        <v>2834</v>
      </c>
      <c r="AV196" s="403"/>
      <c r="AW196" s="403"/>
      <c r="AX196" s="403"/>
      <c r="AY196" s="403"/>
      <c r="AZ196" s="403"/>
      <c r="BA196" s="403"/>
      <c r="BB196" s="403"/>
      <c r="BC196" s="403"/>
      <c r="BD196" s="403"/>
      <c r="BE196" s="403"/>
      <c r="BF196" s="403"/>
      <c r="BG196" s="403"/>
      <c r="BH196" s="403"/>
      <c r="BI196" s="403"/>
      <c r="BJ196" s="403"/>
      <c r="BK196" s="403"/>
      <c r="BL196" s="403"/>
      <c r="BM196" s="403"/>
      <c r="BN196" s="403"/>
      <c r="BO196" s="403"/>
      <c r="BP196" s="403"/>
      <c r="BQ196" s="403"/>
      <c r="BR196" s="403"/>
      <c r="BS196" s="403"/>
      <c r="BT196" s="403"/>
      <c r="BU196" s="403"/>
      <c r="BV196" s="403"/>
      <c r="BW196" s="403"/>
      <c r="BX196" s="403"/>
      <c r="BY196" s="403"/>
      <c r="BZ196" s="403"/>
      <c r="CA196" s="403"/>
      <c r="CB196" s="403"/>
      <c r="CC196" s="403" t="s">
        <v>12168</v>
      </c>
      <c r="CD196" s="403"/>
      <c r="CE196" s="403"/>
      <c r="CF196" s="403"/>
      <c r="CG196" s="403"/>
      <c r="CH196" s="403"/>
      <c r="CI196" s="403"/>
      <c r="CJ196" s="403"/>
      <c r="CK196" s="403"/>
      <c r="CL196" s="403"/>
      <c r="CM196" s="403"/>
      <c r="CN196" s="403"/>
      <c r="CO196" s="403"/>
      <c r="CP196" s="403"/>
      <c r="CQ196" s="403"/>
      <c r="CR196" s="403"/>
      <c r="CS196" s="403"/>
      <c r="CT196" s="403"/>
      <c r="CU196" s="403"/>
      <c r="CV196" s="403"/>
      <c r="CW196" s="403"/>
      <c r="CX196" s="403"/>
      <c r="CY196" s="403"/>
      <c r="CZ196" s="403"/>
      <c r="DA196" s="403"/>
      <c r="DB196" s="403"/>
      <c r="DC196" s="403"/>
      <c r="DD196" s="403"/>
      <c r="DE196" s="403"/>
      <c r="DF196" s="403"/>
      <c r="DG196" s="403"/>
      <c r="DH196" s="403"/>
      <c r="DI196" s="403"/>
      <c r="DJ196" s="403"/>
      <c r="DK196" s="403" t="s">
        <v>12169</v>
      </c>
      <c r="DL196" s="403"/>
      <c r="DM196" s="403"/>
      <c r="DN196" s="403"/>
      <c r="DO196" s="403"/>
      <c r="DP196" s="403"/>
      <c r="DQ196" s="403"/>
      <c r="DR196" s="403"/>
      <c r="DS196" s="403"/>
      <c r="DT196" s="403"/>
      <c r="DU196" s="403"/>
      <c r="DV196" s="403"/>
      <c r="DW196" s="403"/>
      <c r="DX196" s="403"/>
      <c r="DY196" s="403"/>
      <c r="DZ196" s="403"/>
      <c r="EA196" s="403"/>
      <c r="EB196" s="403"/>
      <c r="EC196" s="403"/>
      <c r="ED196" s="403"/>
      <c r="EE196" s="403"/>
      <c r="EF196" s="403"/>
      <c r="EG196" s="403"/>
      <c r="EH196" s="403"/>
      <c r="EI196" s="403"/>
      <c r="EJ196" s="403"/>
      <c r="EK196" s="403"/>
      <c r="EL196" s="403"/>
      <c r="EM196" s="403"/>
      <c r="EN196" s="403"/>
      <c r="EO196" s="403"/>
      <c r="EP196" s="403"/>
      <c r="EQ196" s="403"/>
      <c r="ER196" s="403"/>
      <c r="ES196" s="403" t="s">
        <v>12107</v>
      </c>
      <c r="ET196" s="403"/>
      <c r="EU196" s="403"/>
      <c r="EV196" s="403"/>
      <c r="EW196" s="403"/>
      <c r="EX196" s="403"/>
      <c r="EY196" s="403"/>
      <c r="EZ196" s="403"/>
      <c r="FA196" s="403"/>
      <c r="FB196" s="403"/>
      <c r="FC196" s="403"/>
      <c r="FD196" s="403"/>
      <c r="FE196" s="403"/>
      <c r="FF196" s="403"/>
      <c r="FG196" s="403"/>
      <c r="FH196" s="403"/>
      <c r="FI196" s="403"/>
      <c r="FJ196" s="403"/>
      <c r="FK196" s="403"/>
      <c r="FL196" s="403"/>
      <c r="FM196" s="403"/>
      <c r="FN196" s="403"/>
      <c r="FO196" s="403"/>
      <c r="FP196" s="403"/>
      <c r="FQ196" s="403"/>
      <c r="FR196" s="403"/>
      <c r="FS196" s="403"/>
      <c r="FT196" s="403"/>
      <c r="FU196" s="403"/>
      <c r="FV196" s="403"/>
      <c r="FW196" s="403"/>
      <c r="FX196" s="403"/>
      <c r="FY196" s="403"/>
      <c r="FZ196" s="403"/>
      <c r="GA196" s="403" t="s">
        <v>12108</v>
      </c>
      <c r="GB196" s="403"/>
      <c r="GC196" s="403"/>
      <c r="GD196" s="403"/>
      <c r="GE196" s="403"/>
      <c r="GF196" s="403"/>
      <c r="GG196" s="403"/>
      <c r="GH196" s="403"/>
      <c r="GI196" s="403"/>
      <c r="GJ196" s="403"/>
      <c r="GK196" s="403"/>
      <c r="GL196" s="403"/>
      <c r="GM196" s="403"/>
      <c r="GN196" s="403"/>
      <c r="GO196" s="403"/>
      <c r="GP196" s="403"/>
      <c r="GQ196" s="403"/>
      <c r="GR196" s="403"/>
      <c r="GS196" s="403"/>
      <c r="GT196" s="403"/>
      <c r="GU196" s="403"/>
      <c r="GV196" s="403"/>
      <c r="GW196" s="403"/>
      <c r="GX196" s="403"/>
      <c r="GY196" s="403"/>
      <c r="GZ196" s="403"/>
      <c r="HA196" s="403"/>
      <c r="HB196" s="403"/>
      <c r="HC196" s="403"/>
      <c r="HD196" s="403"/>
      <c r="HE196" s="403"/>
      <c r="HF196" s="403"/>
      <c r="HG196" s="403"/>
      <c r="HH196" s="403"/>
      <c r="HI196" s="403" t="s">
        <v>12170</v>
      </c>
      <c r="HJ196" s="403"/>
      <c r="HK196" s="403"/>
      <c r="HL196" s="403"/>
      <c r="HM196" s="403"/>
      <c r="HN196" s="403"/>
      <c r="HO196" s="403"/>
      <c r="HP196" s="403"/>
      <c r="HQ196" s="403"/>
      <c r="HR196" s="403"/>
      <c r="HS196" s="403"/>
      <c r="HT196" s="403"/>
      <c r="HU196" s="403"/>
      <c r="HV196" s="403"/>
      <c r="HW196" s="403"/>
      <c r="HX196" s="403"/>
      <c r="HY196" s="403"/>
      <c r="HZ196" s="403"/>
      <c r="IA196" s="403"/>
      <c r="IB196" s="403"/>
      <c r="IC196" s="403"/>
      <c r="ID196" s="403"/>
      <c r="IE196" s="403"/>
      <c r="IF196" s="403"/>
      <c r="IG196" s="403"/>
      <c r="IH196" s="403"/>
      <c r="II196" s="403"/>
      <c r="IJ196" s="403"/>
      <c r="IK196" s="403"/>
      <c r="IL196" s="403"/>
      <c r="IM196" s="403"/>
      <c r="IN196" s="403"/>
      <c r="IO196" s="403"/>
      <c r="IP196" s="403"/>
      <c r="IQ196" s="403" t="s">
        <v>12110</v>
      </c>
      <c r="IR196" s="403"/>
      <c r="IS196" s="403"/>
      <c r="IT196" s="403"/>
      <c r="IU196" s="403"/>
      <c r="IV196" s="403"/>
      <c r="IW196" s="403"/>
      <c r="IX196" s="403"/>
      <c r="IY196" s="403"/>
      <c r="IZ196" s="403"/>
      <c r="JA196" s="403"/>
      <c r="JB196" s="403"/>
      <c r="JC196" s="403"/>
      <c r="JD196" s="403"/>
      <c r="JE196" s="403"/>
      <c r="JF196" s="403"/>
      <c r="JG196" s="403"/>
      <c r="JH196" s="403"/>
      <c r="JI196" s="403"/>
      <c r="JJ196" s="403"/>
      <c r="JK196" s="403"/>
      <c r="JL196" s="403"/>
      <c r="JM196" s="403"/>
      <c r="JN196" s="403"/>
      <c r="JO196" s="403"/>
      <c r="JP196" s="403"/>
      <c r="JQ196" s="403"/>
      <c r="JR196" s="403"/>
      <c r="JS196" s="403"/>
      <c r="JT196" s="403"/>
    </row>
    <row r="197" spans="1:280" s="194" customFormat="1" ht="12.75" x14ac:dyDescent="0.2">
      <c r="A197" s="34"/>
      <c r="B197" s="627"/>
      <c r="C197" s="23" t="str">
        <f ca="1">IF(OFFSET(AU197,0,Lang_Order*Lang__B5)="","",OFFSET(AU197,0,Lang_Order*Lang__B5))</f>
        <v>Travelling Team Size</v>
      </c>
      <c r="I197" s="85"/>
      <c r="J197" s="26" t="e">
        <f>J199</f>
        <v>#N/A</v>
      </c>
      <c r="K197" s="26" t="e">
        <f t="shared" ref="K197:O197" si="469">K199</f>
        <v>#N/A</v>
      </c>
      <c r="L197" s="26" t="e">
        <f t="shared" si="469"/>
        <v>#N/A</v>
      </c>
      <c r="M197" s="26" t="e">
        <f t="shared" si="469"/>
        <v>#N/A</v>
      </c>
      <c r="N197" s="26" t="e">
        <f t="shared" si="469"/>
        <v>#N/A</v>
      </c>
      <c r="O197" s="26" t="e">
        <f t="shared" si="469"/>
        <v>#N/A</v>
      </c>
      <c r="P197" s="26"/>
      <c r="Q197" s="26"/>
      <c r="R197" s="12" t="str">
        <f t="shared" ca="1" si="460"/>
        <v/>
      </c>
      <c r="S197" s="2"/>
      <c r="T197" s="241"/>
      <c r="U197" s="627"/>
      <c r="V197" s="72" t="str">
        <f ca="1">IF(OFFSET(AU197,0,Lang_Order*Lang__B5)="","",OFFSET(AU197,0,Lang_Order*Lang__B5))</f>
        <v>Travelling Team Size</v>
      </c>
      <c r="W197" s="26" t="e">
        <f>W199</f>
        <v>#N/A</v>
      </c>
      <c r="X197" s="26" t="e">
        <f t="shared" ref="X197:AB197" si="470">X199</f>
        <v>#N/A</v>
      </c>
      <c r="Y197" s="26" t="e">
        <f t="shared" si="470"/>
        <v>#N/A</v>
      </c>
      <c r="Z197" s="26" t="e">
        <f t="shared" si="470"/>
        <v>#N/A</v>
      </c>
      <c r="AA197" s="26" t="e">
        <f t="shared" si="470"/>
        <v>#N/A</v>
      </c>
      <c r="AB197" s="26" t="e">
        <f t="shared" si="470"/>
        <v>#N/A</v>
      </c>
      <c r="AC197" s="26"/>
      <c r="AD197" s="26"/>
      <c r="AE197" s="2"/>
      <c r="AF197" s="241"/>
      <c r="AG197" s="627"/>
      <c r="AH197" s="72" t="str">
        <f ca="1">IF(OFFSET(AU197,0,Lang_Order*Lang__B5)="","",OFFSET(AU197,0,Lang_Order*Lang__B5))</f>
        <v>Travelling Team Size</v>
      </c>
      <c r="AI197" s="26" t="e">
        <f>AI199</f>
        <v>#N/A</v>
      </c>
      <c r="AJ197" s="26" t="e">
        <f t="shared" ref="AJ197:AN197" si="471">AJ199</f>
        <v>#N/A</v>
      </c>
      <c r="AK197" s="26" t="e">
        <f t="shared" si="471"/>
        <v>#N/A</v>
      </c>
      <c r="AL197" s="26" t="e">
        <f t="shared" si="471"/>
        <v>#N/A</v>
      </c>
      <c r="AM197" s="26" t="e">
        <f t="shared" si="471"/>
        <v>#N/A</v>
      </c>
      <c r="AN197" s="26" t="e">
        <f t="shared" si="471"/>
        <v>#N/A</v>
      </c>
      <c r="AO197" s="26"/>
      <c r="AP197" s="26"/>
      <c r="AR197" s="403"/>
      <c r="AS197" s="403"/>
      <c r="AT197" s="403"/>
      <c r="AU197" s="403" t="s">
        <v>2835</v>
      </c>
      <c r="AV197" s="403"/>
      <c r="AW197" s="403"/>
      <c r="AX197" s="403"/>
      <c r="AY197" s="403"/>
      <c r="AZ197" s="403"/>
      <c r="BA197" s="403"/>
      <c r="BB197" s="403"/>
      <c r="BC197" s="403"/>
      <c r="BD197" s="403"/>
      <c r="BE197" s="403"/>
      <c r="BF197" s="403"/>
      <c r="BG197" s="403"/>
      <c r="BH197" s="403"/>
      <c r="BI197" s="403"/>
      <c r="BJ197" s="403"/>
      <c r="BK197" s="403"/>
      <c r="BL197" s="403"/>
      <c r="BM197" s="403"/>
      <c r="BN197" s="403"/>
      <c r="BO197" s="403"/>
      <c r="BP197" s="403"/>
      <c r="BQ197" s="403"/>
      <c r="BR197" s="403"/>
      <c r="BS197" s="403"/>
      <c r="BT197" s="403"/>
      <c r="BU197" s="403"/>
      <c r="BV197" s="403"/>
      <c r="BW197" s="403"/>
      <c r="BX197" s="403"/>
      <c r="BY197" s="403"/>
      <c r="BZ197" s="403"/>
      <c r="CA197" s="403"/>
      <c r="CB197" s="403"/>
      <c r="CC197" s="403" t="s">
        <v>12171</v>
      </c>
      <c r="CD197" s="403"/>
      <c r="CE197" s="403"/>
      <c r="CF197" s="403"/>
      <c r="CG197" s="403"/>
      <c r="CH197" s="403"/>
      <c r="CI197" s="403"/>
      <c r="CJ197" s="403"/>
      <c r="CK197" s="403"/>
      <c r="CL197" s="403"/>
      <c r="CM197" s="403"/>
      <c r="CN197" s="403"/>
      <c r="CO197" s="403"/>
      <c r="CP197" s="403"/>
      <c r="CQ197" s="403"/>
      <c r="CR197" s="403"/>
      <c r="CS197" s="403"/>
      <c r="CT197" s="403"/>
      <c r="CU197" s="403"/>
      <c r="CV197" s="403"/>
      <c r="CW197" s="403"/>
      <c r="CX197" s="403"/>
      <c r="CY197" s="403"/>
      <c r="CZ197" s="403"/>
      <c r="DA197" s="403"/>
      <c r="DB197" s="403"/>
      <c r="DC197" s="403"/>
      <c r="DD197" s="403"/>
      <c r="DE197" s="403"/>
      <c r="DF197" s="403"/>
      <c r="DG197" s="403"/>
      <c r="DH197" s="403"/>
      <c r="DI197" s="403"/>
      <c r="DJ197" s="403"/>
      <c r="DK197" s="403" t="s">
        <v>12172</v>
      </c>
      <c r="DL197" s="403"/>
      <c r="DM197" s="403"/>
      <c r="DN197" s="403"/>
      <c r="DO197" s="403"/>
      <c r="DP197" s="403"/>
      <c r="DQ197" s="403"/>
      <c r="DR197" s="403"/>
      <c r="DS197" s="403"/>
      <c r="DT197" s="403"/>
      <c r="DU197" s="403"/>
      <c r="DV197" s="403"/>
      <c r="DW197" s="403"/>
      <c r="DX197" s="403"/>
      <c r="DY197" s="403"/>
      <c r="DZ197" s="403"/>
      <c r="EA197" s="403"/>
      <c r="EB197" s="403"/>
      <c r="EC197" s="403"/>
      <c r="ED197" s="403"/>
      <c r="EE197" s="403"/>
      <c r="EF197" s="403"/>
      <c r="EG197" s="403"/>
      <c r="EH197" s="403"/>
      <c r="EI197" s="403"/>
      <c r="EJ197" s="403"/>
      <c r="EK197" s="403"/>
      <c r="EL197" s="403"/>
      <c r="EM197" s="403"/>
      <c r="EN197" s="403"/>
      <c r="EO197" s="403"/>
      <c r="EP197" s="403"/>
      <c r="EQ197" s="403"/>
      <c r="ER197" s="403"/>
      <c r="ES197" s="403" t="s">
        <v>12113</v>
      </c>
      <c r="ET197" s="403"/>
      <c r="EU197" s="403"/>
      <c r="EV197" s="403"/>
      <c r="EW197" s="403"/>
      <c r="EX197" s="403"/>
      <c r="EY197" s="403"/>
      <c r="EZ197" s="403"/>
      <c r="FA197" s="403"/>
      <c r="FB197" s="403"/>
      <c r="FC197" s="403"/>
      <c r="FD197" s="403"/>
      <c r="FE197" s="403"/>
      <c r="FF197" s="403"/>
      <c r="FG197" s="403"/>
      <c r="FH197" s="403"/>
      <c r="FI197" s="403"/>
      <c r="FJ197" s="403"/>
      <c r="FK197" s="403"/>
      <c r="FL197" s="403"/>
      <c r="FM197" s="403"/>
      <c r="FN197" s="403"/>
      <c r="FO197" s="403"/>
      <c r="FP197" s="403"/>
      <c r="FQ197" s="403"/>
      <c r="FR197" s="403"/>
      <c r="FS197" s="403"/>
      <c r="FT197" s="403"/>
      <c r="FU197" s="403"/>
      <c r="FV197" s="403"/>
      <c r="FW197" s="403"/>
      <c r="FX197" s="403"/>
      <c r="FY197" s="403"/>
      <c r="FZ197" s="403"/>
      <c r="GA197" s="403" t="s">
        <v>12114</v>
      </c>
      <c r="GB197" s="403"/>
      <c r="GC197" s="403"/>
      <c r="GD197" s="403"/>
      <c r="GE197" s="403"/>
      <c r="GF197" s="403"/>
      <c r="GG197" s="403"/>
      <c r="GH197" s="403"/>
      <c r="GI197" s="403"/>
      <c r="GJ197" s="403"/>
      <c r="GK197" s="403"/>
      <c r="GL197" s="403"/>
      <c r="GM197" s="403"/>
      <c r="GN197" s="403"/>
      <c r="GO197" s="403"/>
      <c r="GP197" s="403"/>
      <c r="GQ197" s="403"/>
      <c r="GR197" s="403"/>
      <c r="GS197" s="403"/>
      <c r="GT197" s="403"/>
      <c r="GU197" s="403"/>
      <c r="GV197" s="403"/>
      <c r="GW197" s="403"/>
      <c r="GX197" s="403"/>
      <c r="GY197" s="403"/>
      <c r="GZ197" s="403"/>
      <c r="HA197" s="403"/>
      <c r="HB197" s="403"/>
      <c r="HC197" s="403"/>
      <c r="HD197" s="403"/>
      <c r="HE197" s="403"/>
      <c r="HF197" s="403"/>
      <c r="HG197" s="403"/>
      <c r="HH197" s="403"/>
      <c r="HI197" s="403" t="s">
        <v>12115</v>
      </c>
      <c r="HJ197" s="403"/>
      <c r="HK197" s="403"/>
      <c r="HL197" s="403"/>
      <c r="HM197" s="403"/>
      <c r="HN197" s="403"/>
      <c r="HO197" s="403"/>
      <c r="HP197" s="403"/>
      <c r="HQ197" s="403"/>
      <c r="HR197" s="403"/>
      <c r="HS197" s="403"/>
      <c r="HT197" s="403"/>
      <c r="HU197" s="403"/>
      <c r="HV197" s="403"/>
      <c r="HW197" s="403"/>
      <c r="HX197" s="403"/>
      <c r="HY197" s="403"/>
      <c r="HZ197" s="403"/>
      <c r="IA197" s="403"/>
      <c r="IB197" s="403"/>
      <c r="IC197" s="403"/>
      <c r="ID197" s="403"/>
      <c r="IE197" s="403"/>
      <c r="IF197" s="403"/>
      <c r="IG197" s="403"/>
      <c r="IH197" s="403"/>
      <c r="II197" s="403"/>
      <c r="IJ197" s="403"/>
      <c r="IK197" s="403"/>
      <c r="IL197" s="403"/>
      <c r="IM197" s="403"/>
      <c r="IN197" s="403"/>
      <c r="IO197" s="403"/>
      <c r="IP197" s="403"/>
      <c r="IQ197" s="403" t="s">
        <v>12116</v>
      </c>
      <c r="IR197" s="403"/>
      <c r="IS197" s="403"/>
      <c r="IT197" s="403"/>
      <c r="IU197" s="403"/>
      <c r="IV197" s="403"/>
      <c r="IW197" s="403"/>
      <c r="IX197" s="403"/>
      <c r="IY197" s="403"/>
      <c r="IZ197" s="403"/>
      <c r="JA197" s="403"/>
      <c r="JB197" s="403"/>
      <c r="JC197" s="403"/>
      <c r="JD197" s="403"/>
      <c r="JE197" s="403"/>
      <c r="JF197" s="403"/>
      <c r="JG197" s="403"/>
      <c r="JH197" s="403"/>
      <c r="JI197" s="403"/>
      <c r="JJ197" s="403"/>
      <c r="JK197" s="403"/>
      <c r="JL197" s="403"/>
      <c r="JM197" s="403"/>
      <c r="JN197" s="403"/>
      <c r="JO197" s="403"/>
      <c r="JP197" s="403"/>
      <c r="JQ197" s="403"/>
      <c r="JR197" s="403"/>
      <c r="JS197" s="403"/>
      <c r="JT197" s="403"/>
    </row>
    <row r="198" spans="1:280" s="15" customFormat="1" ht="12.75" x14ac:dyDescent="0.2">
      <c r="A198" s="9"/>
      <c r="B198" s="624"/>
      <c r="R198" s="12" t="str">
        <f t="shared" ca="1" si="460"/>
        <v/>
      </c>
      <c r="S198" s="2"/>
      <c r="T198" s="241"/>
      <c r="U198" s="624"/>
      <c r="V198" s="2"/>
      <c r="W198" s="241"/>
      <c r="X198" s="241"/>
      <c r="Y198" s="241"/>
      <c r="Z198" s="241"/>
      <c r="AA198" s="241"/>
      <c r="AB198" s="241"/>
      <c r="AC198" s="241"/>
      <c r="AD198" s="241"/>
      <c r="AE198" s="2"/>
      <c r="AF198" s="241"/>
      <c r="AG198" s="624"/>
      <c r="AH198" s="2"/>
      <c r="AI198" s="241"/>
      <c r="AJ198" s="241"/>
      <c r="AK198" s="241"/>
      <c r="AL198" s="241"/>
      <c r="AM198" s="241"/>
      <c r="AN198" s="241"/>
      <c r="AO198" s="241"/>
      <c r="AP198" s="241"/>
      <c r="AR198" s="403"/>
      <c r="AS198" s="403"/>
      <c r="AT198" s="403"/>
      <c r="AU198" s="403"/>
      <c r="AV198" s="403"/>
      <c r="AW198" s="403"/>
      <c r="AX198" s="403"/>
      <c r="AY198" s="403"/>
      <c r="AZ198" s="403"/>
      <c r="BA198" s="403"/>
      <c r="BB198" s="403"/>
      <c r="BC198" s="403"/>
      <c r="BD198" s="403"/>
      <c r="BE198" s="403"/>
      <c r="BF198" s="403"/>
      <c r="BG198" s="403"/>
      <c r="BH198" s="403"/>
      <c r="BI198" s="403"/>
      <c r="BJ198" s="403"/>
      <c r="BK198" s="403"/>
      <c r="BL198" s="403"/>
      <c r="BM198" s="403"/>
      <c r="BN198" s="403"/>
      <c r="BO198" s="403"/>
      <c r="BP198" s="403"/>
      <c r="BQ198" s="403"/>
      <c r="BR198" s="403"/>
      <c r="BS198" s="403"/>
      <c r="BT198" s="403"/>
      <c r="BU198" s="403"/>
      <c r="BV198" s="403"/>
      <c r="BW198" s="403"/>
      <c r="BX198" s="403"/>
      <c r="BY198" s="403"/>
      <c r="BZ198" s="403"/>
      <c r="CA198" s="403"/>
      <c r="CB198" s="403"/>
      <c r="CC198" s="403"/>
      <c r="CD198" s="403"/>
      <c r="CE198" s="403"/>
      <c r="CF198" s="403"/>
      <c r="CG198" s="403"/>
      <c r="CH198" s="403"/>
      <c r="CI198" s="403"/>
      <c r="CJ198" s="403"/>
      <c r="CK198" s="403"/>
      <c r="CL198" s="403"/>
      <c r="CM198" s="403"/>
      <c r="CN198" s="403"/>
      <c r="CO198" s="403"/>
      <c r="CP198" s="403"/>
      <c r="CQ198" s="403"/>
      <c r="CR198" s="403"/>
      <c r="CS198" s="403"/>
      <c r="CT198" s="403"/>
      <c r="CU198" s="403"/>
      <c r="CV198" s="403"/>
      <c r="CW198" s="403"/>
      <c r="CX198" s="403"/>
      <c r="CY198" s="403"/>
      <c r="CZ198" s="403"/>
      <c r="DA198" s="403"/>
      <c r="DB198" s="403"/>
      <c r="DC198" s="403"/>
      <c r="DD198" s="403"/>
      <c r="DE198" s="403"/>
      <c r="DF198" s="403"/>
      <c r="DG198" s="403"/>
      <c r="DH198" s="403"/>
      <c r="DI198" s="403"/>
      <c r="DJ198" s="403"/>
      <c r="DK198" s="403"/>
      <c r="DL198" s="403"/>
      <c r="DM198" s="403"/>
      <c r="DN198" s="403"/>
      <c r="DO198" s="403"/>
      <c r="DP198" s="403"/>
      <c r="DQ198" s="403"/>
      <c r="DR198" s="403"/>
      <c r="DS198" s="403"/>
      <c r="DT198" s="403"/>
      <c r="DU198" s="403"/>
      <c r="DV198" s="403"/>
      <c r="DW198" s="403"/>
      <c r="DX198" s="403"/>
      <c r="DY198" s="403"/>
      <c r="DZ198" s="403"/>
      <c r="EA198" s="403"/>
      <c r="EB198" s="403"/>
      <c r="EC198" s="403"/>
      <c r="ED198" s="403"/>
      <c r="EE198" s="403"/>
      <c r="EF198" s="403"/>
      <c r="EG198" s="403"/>
      <c r="EH198" s="403"/>
      <c r="EI198" s="403"/>
      <c r="EJ198" s="403"/>
      <c r="EK198" s="403"/>
      <c r="EL198" s="403"/>
      <c r="EM198" s="403"/>
      <c r="EN198" s="403"/>
      <c r="EO198" s="403"/>
      <c r="EP198" s="403"/>
      <c r="EQ198" s="403"/>
      <c r="ER198" s="403"/>
      <c r="ES198" s="403"/>
      <c r="ET198" s="403"/>
      <c r="EU198" s="403"/>
      <c r="EV198" s="403"/>
      <c r="EW198" s="403"/>
      <c r="EX198" s="403"/>
      <c r="EY198" s="403"/>
      <c r="EZ198" s="403"/>
      <c r="FA198" s="403"/>
      <c r="FB198" s="403"/>
      <c r="FC198" s="403"/>
      <c r="FD198" s="403"/>
      <c r="FE198" s="403"/>
      <c r="FF198" s="403"/>
      <c r="FG198" s="403"/>
      <c r="FH198" s="403"/>
      <c r="FI198" s="403"/>
      <c r="FJ198" s="403"/>
      <c r="FK198" s="403"/>
      <c r="FL198" s="403"/>
      <c r="FM198" s="403"/>
      <c r="FN198" s="403"/>
      <c r="FO198" s="403"/>
      <c r="FP198" s="403"/>
      <c r="FQ198" s="403"/>
      <c r="FR198" s="403"/>
      <c r="FS198" s="403"/>
      <c r="FT198" s="403"/>
      <c r="FU198" s="403"/>
      <c r="FV198" s="403"/>
      <c r="FW198" s="403"/>
      <c r="FX198" s="403"/>
      <c r="FY198" s="403"/>
      <c r="FZ198" s="403"/>
      <c r="GA198" s="403"/>
      <c r="GB198" s="403"/>
      <c r="GC198" s="403"/>
      <c r="GD198" s="403"/>
      <c r="GE198" s="403"/>
      <c r="GF198" s="403"/>
      <c r="GG198" s="403"/>
      <c r="GH198" s="403"/>
      <c r="GI198" s="403"/>
      <c r="GJ198" s="403"/>
      <c r="GK198" s="403"/>
      <c r="GL198" s="403"/>
      <c r="GM198" s="403"/>
      <c r="GN198" s="403"/>
      <c r="GO198" s="403"/>
      <c r="GP198" s="403"/>
      <c r="GQ198" s="403"/>
      <c r="GR198" s="403"/>
      <c r="GS198" s="403"/>
      <c r="GT198" s="403"/>
      <c r="GU198" s="403"/>
      <c r="GV198" s="403"/>
      <c r="GW198" s="403"/>
      <c r="GX198" s="403"/>
      <c r="GY198" s="403"/>
      <c r="GZ198" s="403"/>
      <c r="HA198" s="403"/>
      <c r="HB198" s="403"/>
      <c r="HC198" s="403"/>
      <c r="HD198" s="403"/>
      <c r="HE198" s="403"/>
      <c r="HF198" s="403"/>
      <c r="HG198" s="403"/>
      <c r="HH198" s="403"/>
      <c r="HI198" s="403"/>
      <c r="HJ198" s="403"/>
      <c r="HK198" s="403"/>
      <c r="HL198" s="403"/>
      <c r="HM198" s="403"/>
      <c r="HN198" s="403"/>
      <c r="HO198" s="403"/>
      <c r="HP198" s="403"/>
      <c r="HQ198" s="403"/>
      <c r="HR198" s="403"/>
      <c r="HS198" s="403"/>
      <c r="HT198" s="403"/>
      <c r="HU198" s="403"/>
      <c r="HV198" s="403"/>
      <c r="HW198" s="403"/>
      <c r="HX198" s="403"/>
      <c r="HY198" s="403"/>
      <c r="HZ198" s="403"/>
      <c r="IA198" s="403"/>
      <c r="IB198" s="403"/>
      <c r="IC198" s="403"/>
      <c r="ID198" s="403"/>
      <c r="IE198" s="403"/>
      <c r="IF198" s="403"/>
      <c r="IG198" s="403"/>
      <c r="IH198" s="403"/>
      <c r="II198" s="403"/>
      <c r="IJ198" s="403"/>
      <c r="IK198" s="403"/>
      <c r="IL198" s="403"/>
      <c r="IM198" s="403"/>
      <c r="IN198" s="403"/>
      <c r="IO198" s="403"/>
      <c r="IP198" s="403"/>
      <c r="IQ198" s="403"/>
      <c r="IR198" s="403"/>
      <c r="IS198" s="403"/>
      <c r="IT198" s="403"/>
      <c r="IU198" s="403"/>
      <c r="IV198" s="403"/>
      <c r="IW198" s="403"/>
      <c r="IX198" s="403"/>
      <c r="IY198" s="403"/>
      <c r="IZ198" s="403"/>
      <c r="JA198" s="403"/>
      <c r="JB198" s="403"/>
      <c r="JC198" s="403"/>
      <c r="JD198" s="403"/>
      <c r="JE198" s="403"/>
      <c r="JF198" s="403"/>
      <c r="JG198" s="403"/>
      <c r="JH198" s="403"/>
      <c r="JI198" s="403"/>
      <c r="JJ198" s="403"/>
      <c r="JK198" s="403"/>
      <c r="JL198" s="403"/>
      <c r="JM198" s="403"/>
      <c r="JN198" s="403"/>
      <c r="JO198" s="403"/>
      <c r="JP198" s="403"/>
      <c r="JQ198" s="403"/>
      <c r="JR198" s="403"/>
      <c r="JS198" s="403"/>
      <c r="JT198" s="403"/>
    </row>
    <row r="199" spans="1:280" s="15" customFormat="1" ht="12.75" x14ac:dyDescent="0.2">
      <c r="A199" s="78"/>
      <c r="B199" s="624"/>
      <c r="C199" s="23" t="str">
        <f ca="1">IF(OFFSET(AU199,0,Lang_Order*Lang__B5)="","",OFFSET(AU199,0,Lang_Order*Lang__B5))</f>
        <v>Vaccinators per team</v>
      </c>
      <c r="J199" s="150" t="e">
        <f>J214</f>
        <v>#N/A</v>
      </c>
      <c r="K199" s="150" t="e">
        <f t="shared" ref="K199:O199" si="472">K214</f>
        <v>#N/A</v>
      </c>
      <c r="L199" s="150" t="e">
        <f t="shared" si="472"/>
        <v>#N/A</v>
      </c>
      <c r="M199" s="150" t="e">
        <f t="shared" si="472"/>
        <v>#N/A</v>
      </c>
      <c r="N199" s="150" t="e">
        <f t="shared" si="472"/>
        <v>#N/A</v>
      </c>
      <c r="O199" s="150" t="e">
        <f t="shared" si="472"/>
        <v>#N/A</v>
      </c>
      <c r="Q199" s="150"/>
      <c r="R199" s="12" t="str">
        <f t="shared" ca="1" si="460"/>
        <v>One team per site</v>
      </c>
      <c r="S199" s="2"/>
      <c r="T199" s="241"/>
      <c r="U199" s="624"/>
      <c r="V199" s="72" t="str">
        <f ca="1">IF(OFFSET(AU199,0,Lang_Order*Lang__B5)="","",OFFSET(AU199,0,Lang_Order*Lang__B5))</f>
        <v>Vaccinators per team</v>
      </c>
      <c r="W199" s="241" t="e">
        <f>W214</f>
        <v>#N/A</v>
      </c>
      <c r="X199" s="241" t="e">
        <f t="shared" ref="X199:AB199" si="473">X214</f>
        <v>#N/A</v>
      </c>
      <c r="Y199" s="241" t="e">
        <f t="shared" si="473"/>
        <v>#N/A</v>
      </c>
      <c r="Z199" s="241" t="e">
        <f t="shared" si="473"/>
        <v>#N/A</v>
      </c>
      <c r="AA199" s="241" t="e">
        <f t="shared" si="473"/>
        <v>#N/A</v>
      </c>
      <c r="AB199" s="241" t="e">
        <f t="shared" si="473"/>
        <v>#N/A</v>
      </c>
      <c r="AC199" s="241"/>
      <c r="AD199" s="241"/>
      <c r="AE199" s="2"/>
      <c r="AF199" s="241"/>
      <c r="AG199" s="624"/>
      <c r="AH199" s="72" t="str">
        <f ca="1">IF(OFFSET(AU199,0,Lang_Order*Lang__B5)="","",OFFSET(AU199,0,Lang_Order*Lang__B5))</f>
        <v>Vaccinators per team</v>
      </c>
      <c r="AI199" s="241" t="e">
        <f>AI214</f>
        <v>#N/A</v>
      </c>
      <c r="AJ199" s="241" t="e">
        <f t="shared" ref="AJ199:AN199" si="474">AJ214</f>
        <v>#N/A</v>
      </c>
      <c r="AK199" s="241" t="e">
        <f t="shared" si="474"/>
        <v>#N/A</v>
      </c>
      <c r="AL199" s="241" t="e">
        <f t="shared" si="474"/>
        <v>#N/A</v>
      </c>
      <c r="AM199" s="241" t="e">
        <f t="shared" si="474"/>
        <v>#N/A</v>
      </c>
      <c r="AN199" s="241" t="e">
        <f t="shared" si="474"/>
        <v>#N/A</v>
      </c>
      <c r="AO199" s="241"/>
      <c r="AP199" s="241"/>
      <c r="AR199" s="403"/>
      <c r="AS199" s="403"/>
      <c r="AT199" s="403"/>
      <c r="AU199" s="403" t="s">
        <v>1676</v>
      </c>
      <c r="AV199" s="403"/>
      <c r="AW199" s="403"/>
      <c r="AX199" s="403"/>
      <c r="AY199" s="403"/>
      <c r="AZ199" s="403"/>
      <c r="BA199" s="403"/>
      <c r="BB199" s="403"/>
      <c r="BC199" s="403"/>
      <c r="BD199" s="403"/>
      <c r="BE199" s="403"/>
      <c r="BF199" s="403"/>
      <c r="BG199" s="403"/>
      <c r="BH199" s="403"/>
      <c r="BI199" s="403"/>
      <c r="BJ199" s="403" t="s">
        <v>2694</v>
      </c>
      <c r="BK199" s="403"/>
      <c r="BL199" s="403"/>
      <c r="BM199" s="403"/>
      <c r="BN199" s="403"/>
      <c r="BO199" s="403"/>
      <c r="BP199" s="403"/>
      <c r="BQ199" s="403"/>
      <c r="BR199" s="403"/>
      <c r="BS199" s="403"/>
      <c r="BT199" s="403"/>
      <c r="BU199" s="403"/>
      <c r="BV199" s="403"/>
      <c r="BW199" s="403"/>
      <c r="BX199" s="403"/>
      <c r="BY199" s="403"/>
      <c r="BZ199" s="403"/>
      <c r="CA199" s="403"/>
      <c r="CB199" s="403"/>
      <c r="CC199" s="403" t="s">
        <v>11897</v>
      </c>
      <c r="CD199" s="403"/>
      <c r="CE199" s="403"/>
      <c r="CF199" s="403"/>
      <c r="CG199" s="403"/>
      <c r="CH199" s="403"/>
      <c r="CI199" s="403"/>
      <c r="CJ199" s="403"/>
      <c r="CK199" s="403"/>
      <c r="CL199" s="403"/>
      <c r="CM199" s="403"/>
      <c r="CN199" s="403"/>
      <c r="CO199" s="403"/>
      <c r="CP199" s="403"/>
      <c r="CQ199" s="403"/>
      <c r="CR199" s="403" t="s">
        <v>12117</v>
      </c>
      <c r="CS199" s="403"/>
      <c r="CT199" s="403"/>
      <c r="CU199" s="403"/>
      <c r="CV199" s="403"/>
      <c r="CW199" s="403"/>
      <c r="CX199" s="403"/>
      <c r="CY199" s="403"/>
      <c r="CZ199" s="403"/>
      <c r="DA199" s="403"/>
      <c r="DB199" s="403"/>
      <c r="DC199" s="403"/>
      <c r="DD199" s="403"/>
      <c r="DE199" s="403"/>
      <c r="DF199" s="403"/>
      <c r="DG199" s="403"/>
      <c r="DH199" s="403"/>
      <c r="DI199" s="403"/>
      <c r="DJ199" s="403"/>
      <c r="DK199" s="403" t="s">
        <v>11899</v>
      </c>
      <c r="DL199" s="403"/>
      <c r="DM199" s="403"/>
      <c r="DN199" s="403"/>
      <c r="DO199" s="403"/>
      <c r="DP199" s="403"/>
      <c r="DQ199" s="403"/>
      <c r="DR199" s="403"/>
      <c r="DS199" s="403"/>
      <c r="DT199" s="403"/>
      <c r="DU199" s="403"/>
      <c r="DV199" s="403"/>
      <c r="DW199" s="403"/>
      <c r="DX199" s="403"/>
      <c r="DY199" s="403"/>
      <c r="DZ199" s="403" t="s">
        <v>12173</v>
      </c>
      <c r="EA199" s="403"/>
      <c r="EB199" s="403"/>
      <c r="EC199" s="403"/>
      <c r="ED199" s="403"/>
      <c r="EE199" s="403"/>
      <c r="EF199" s="403"/>
      <c r="EG199" s="403"/>
      <c r="EH199" s="403"/>
      <c r="EI199" s="403"/>
      <c r="EJ199" s="403"/>
      <c r="EK199" s="403"/>
      <c r="EL199" s="403"/>
      <c r="EM199" s="403"/>
      <c r="EN199" s="403"/>
      <c r="EO199" s="403"/>
      <c r="EP199" s="403"/>
      <c r="EQ199" s="403"/>
      <c r="ER199" s="403"/>
      <c r="ES199" s="403" t="s">
        <v>11901</v>
      </c>
      <c r="ET199" s="403"/>
      <c r="EU199" s="403"/>
      <c r="EV199" s="403"/>
      <c r="EW199" s="403"/>
      <c r="EX199" s="403"/>
      <c r="EY199" s="403"/>
      <c r="EZ199" s="403"/>
      <c r="FA199" s="403"/>
      <c r="FB199" s="403"/>
      <c r="FC199" s="403"/>
      <c r="FD199" s="403"/>
      <c r="FE199" s="403"/>
      <c r="FF199" s="403"/>
      <c r="FG199" s="403"/>
      <c r="FH199" s="403" t="s">
        <v>12119</v>
      </c>
      <c r="FI199" s="403"/>
      <c r="FJ199" s="403"/>
      <c r="FK199" s="403"/>
      <c r="FL199" s="403"/>
      <c r="FM199" s="403"/>
      <c r="FN199" s="403"/>
      <c r="FO199" s="403"/>
      <c r="FP199" s="403"/>
      <c r="FQ199" s="403"/>
      <c r="FR199" s="403"/>
      <c r="FS199" s="403"/>
      <c r="FT199" s="403"/>
      <c r="FU199" s="403"/>
      <c r="FV199" s="403"/>
      <c r="FW199" s="403"/>
      <c r="FX199" s="403"/>
      <c r="FY199" s="403"/>
      <c r="FZ199" s="403"/>
      <c r="GA199" s="403" t="s">
        <v>11903</v>
      </c>
      <c r="GB199" s="403"/>
      <c r="GC199" s="403"/>
      <c r="GD199" s="403"/>
      <c r="GE199" s="403"/>
      <c r="GF199" s="403"/>
      <c r="GG199" s="403"/>
      <c r="GH199" s="403"/>
      <c r="GI199" s="403"/>
      <c r="GJ199" s="403"/>
      <c r="GK199" s="403"/>
      <c r="GL199" s="403"/>
      <c r="GM199" s="403"/>
      <c r="GN199" s="403"/>
      <c r="GO199" s="403"/>
      <c r="GP199" s="403" t="s">
        <v>12120</v>
      </c>
      <c r="GQ199" s="403"/>
      <c r="GR199" s="403"/>
      <c r="GS199" s="403"/>
      <c r="GT199" s="403"/>
      <c r="GU199" s="403"/>
      <c r="GV199" s="403"/>
      <c r="GW199" s="403"/>
      <c r="GX199" s="403"/>
      <c r="GY199" s="403"/>
      <c r="GZ199" s="403"/>
      <c r="HA199" s="403"/>
      <c r="HB199" s="403"/>
      <c r="HC199" s="403"/>
      <c r="HD199" s="403"/>
      <c r="HE199" s="403"/>
      <c r="HF199" s="403"/>
      <c r="HG199" s="403"/>
      <c r="HH199" s="403"/>
      <c r="HI199" s="403" t="s">
        <v>11905</v>
      </c>
      <c r="HJ199" s="403"/>
      <c r="HK199" s="403"/>
      <c r="HL199" s="403"/>
      <c r="HM199" s="403"/>
      <c r="HN199" s="403"/>
      <c r="HO199" s="403"/>
      <c r="HP199" s="403"/>
      <c r="HQ199" s="403"/>
      <c r="HR199" s="403"/>
      <c r="HS199" s="403"/>
      <c r="HT199" s="403"/>
      <c r="HU199" s="403"/>
      <c r="HV199" s="403"/>
      <c r="HW199" s="403"/>
      <c r="HX199" s="403" t="s">
        <v>12121</v>
      </c>
      <c r="HY199" s="403"/>
      <c r="HZ199" s="403"/>
      <c r="IA199" s="403"/>
      <c r="IB199" s="403"/>
      <c r="IC199" s="403"/>
      <c r="ID199" s="403"/>
      <c r="IE199" s="403"/>
      <c r="IF199" s="403"/>
      <c r="IG199" s="403"/>
      <c r="IH199" s="403"/>
      <c r="II199" s="403"/>
      <c r="IJ199" s="403"/>
      <c r="IK199" s="403"/>
      <c r="IL199" s="403"/>
      <c r="IM199" s="403"/>
      <c r="IN199" s="403"/>
      <c r="IO199" s="403"/>
      <c r="IP199" s="403"/>
      <c r="IQ199" s="403" t="s">
        <v>12122</v>
      </c>
      <c r="IR199" s="403"/>
      <c r="IS199" s="403"/>
      <c r="IT199" s="403"/>
      <c r="IU199" s="403"/>
      <c r="IV199" s="403"/>
      <c r="IW199" s="403"/>
      <c r="IX199" s="403"/>
      <c r="IY199" s="403"/>
      <c r="IZ199" s="403"/>
      <c r="JA199" s="403"/>
      <c r="JB199" s="403"/>
      <c r="JC199" s="403"/>
      <c r="JD199" s="403"/>
      <c r="JE199" s="403"/>
      <c r="JF199" s="403" t="s">
        <v>12123</v>
      </c>
      <c r="JG199" s="403"/>
      <c r="JH199" s="403"/>
      <c r="JI199" s="403"/>
      <c r="JJ199" s="403"/>
      <c r="JK199" s="403"/>
      <c r="JL199" s="403"/>
      <c r="JM199" s="403"/>
      <c r="JN199" s="403"/>
      <c r="JO199" s="403"/>
      <c r="JP199" s="403"/>
      <c r="JQ199" s="403"/>
      <c r="JR199" s="403"/>
      <c r="JS199" s="403"/>
      <c r="JT199" s="403"/>
    </row>
    <row r="200" spans="1:280" s="15" customFormat="1" ht="12.75" x14ac:dyDescent="0.2">
      <c r="A200" s="78"/>
      <c r="B200" s="624"/>
      <c r="C200" s="66" t="str">
        <f ca="1">IF(OFFSET(AU200,0,Lang_Order*Lang__B5)="","",OFFSET(AU200,0,Lang_Order*Lang__B5))</f>
        <v>Number of Teams</v>
      </c>
      <c r="J200" s="150" t="e">
        <f>J215</f>
        <v>#N/A</v>
      </c>
      <c r="K200" s="150" t="e">
        <f t="shared" ref="K200:O200" si="475">K215</f>
        <v>#N/A</v>
      </c>
      <c r="L200" s="150" t="e">
        <f t="shared" si="475"/>
        <v>#N/A</v>
      </c>
      <c r="M200" s="150" t="e">
        <f t="shared" si="475"/>
        <v>#N/A</v>
      </c>
      <c r="N200" s="150" t="e">
        <f t="shared" si="475"/>
        <v>#N/A</v>
      </c>
      <c r="O200" s="150" t="e">
        <f t="shared" si="475"/>
        <v>#N/A</v>
      </c>
      <c r="Q200" s="102" t="e">
        <f>MAX(J200:O200)</f>
        <v>#N/A</v>
      </c>
      <c r="R200" s="12" t="str">
        <f t="shared" ca="1" si="460"/>
        <v>Optimize these</v>
      </c>
      <c r="S200" s="2"/>
      <c r="T200" s="241"/>
      <c r="U200" s="624"/>
      <c r="V200" s="260" t="str">
        <f ca="1">IF(OFFSET(AU200,0,Lang_Order*Lang__B5)="","",OFFSET(AU200,0,Lang_Order*Lang__B5))</f>
        <v>Number of Teams</v>
      </c>
      <c r="W200" s="241" t="e">
        <f>W215</f>
        <v>#N/A</v>
      </c>
      <c r="X200" s="241" t="e">
        <f t="shared" ref="X200:AB200" si="476">X215</f>
        <v>#N/A</v>
      </c>
      <c r="Y200" s="241" t="e">
        <f t="shared" si="476"/>
        <v>#N/A</v>
      </c>
      <c r="Z200" s="241" t="e">
        <f t="shared" si="476"/>
        <v>#N/A</v>
      </c>
      <c r="AA200" s="241" t="e">
        <f t="shared" si="476"/>
        <v>#N/A</v>
      </c>
      <c r="AB200" s="241" t="e">
        <f t="shared" si="476"/>
        <v>#N/A</v>
      </c>
      <c r="AC200" s="241"/>
      <c r="AD200" s="102" t="e">
        <f>MAX(W200:AB200)</f>
        <v>#N/A</v>
      </c>
      <c r="AE200" s="2"/>
      <c r="AF200" s="241"/>
      <c r="AG200" s="624"/>
      <c r="AH200" s="260" t="str">
        <f ca="1">IF(OFFSET(AU200,0,Lang_Order*Lang__B5)="","",OFFSET(AU200,0,Lang_Order*Lang__B5))</f>
        <v>Number of Teams</v>
      </c>
      <c r="AI200" s="241" t="e">
        <f>AI215</f>
        <v>#N/A</v>
      </c>
      <c r="AJ200" s="241" t="e">
        <f t="shared" ref="AJ200:AN200" si="477">AJ215</f>
        <v>#N/A</v>
      </c>
      <c r="AK200" s="241" t="e">
        <f t="shared" si="477"/>
        <v>#N/A</v>
      </c>
      <c r="AL200" s="241" t="e">
        <f t="shared" si="477"/>
        <v>#N/A</v>
      </c>
      <c r="AM200" s="241" t="e">
        <f t="shared" si="477"/>
        <v>#N/A</v>
      </c>
      <c r="AN200" s="241" t="e">
        <f t="shared" si="477"/>
        <v>#N/A</v>
      </c>
      <c r="AO200" s="241"/>
      <c r="AP200" s="102" t="e">
        <f>MAX(AI200:AN200)</f>
        <v>#N/A</v>
      </c>
      <c r="AR200" s="403"/>
      <c r="AS200" s="403"/>
      <c r="AT200" s="403"/>
      <c r="AU200" s="403" t="s">
        <v>1684</v>
      </c>
      <c r="AV200" s="403"/>
      <c r="AW200" s="403"/>
      <c r="AX200" s="403"/>
      <c r="AY200" s="403"/>
      <c r="AZ200" s="403"/>
      <c r="BA200" s="403"/>
      <c r="BB200" s="403"/>
      <c r="BC200" s="403"/>
      <c r="BD200" s="403"/>
      <c r="BE200" s="403"/>
      <c r="BF200" s="403"/>
      <c r="BG200" s="403"/>
      <c r="BH200" s="403"/>
      <c r="BI200" s="403"/>
      <c r="BJ200" s="403" t="s">
        <v>1673</v>
      </c>
      <c r="BK200" s="403"/>
      <c r="BL200" s="403"/>
      <c r="BM200" s="403"/>
      <c r="BN200" s="403"/>
      <c r="BO200" s="403"/>
      <c r="BP200" s="403"/>
      <c r="BQ200" s="403"/>
      <c r="BR200" s="403"/>
      <c r="BS200" s="403"/>
      <c r="BT200" s="403"/>
      <c r="BU200" s="403"/>
      <c r="BV200" s="403"/>
      <c r="BW200" s="403"/>
      <c r="BX200" s="403"/>
      <c r="BY200" s="403"/>
      <c r="BZ200" s="403"/>
      <c r="CA200" s="403"/>
      <c r="CB200" s="403"/>
      <c r="CC200" s="403" t="s">
        <v>11909</v>
      </c>
      <c r="CD200" s="403"/>
      <c r="CE200" s="403"/>
      <c r="CF200" s="403"/>
      <c r="CG200" s="403"/>
      <c r="CH200" s="403"/>
      <c r="CI200" s="403"/>
      <c r="CJ200" s="403"/>
      <c r="CK200" s="403"/>
      <c r="CL200" s="403"/>
      <c r="CM200" s="403"/>
      <c r="CN200" s="403"/>
      <c r="CO200" s="403"/>
      <c r="CP200" s="403"/>
      <c r="CQ200" s="403"/>
      <c r="CR200" s="403" t="s">
        <v>12174</v>
      </c>
      <c r="CS200" s="403"/>
      <c r="CT200" s="403"/>
      <c r="CU200" s="403"/>
      <c r="CV200" s="403"/>
      <c r="CW200" s="403"/>
      <c r="CX200" s="403"/>
      <c r="CY200" s="403"/>
      <c r="CZ200" s="403"/>
      <c r="DA200" s="403"/>
      <c r="DB200" s="403"/>
      <c r="DC200" s="403"/>
      <c r="DD200" s="403"/>
      <c r="DE200" s="403"/>
      <c r="DF200" s="403"/>
      <c r="DG200" s="403"/>
      <c r="DH200" s="403"/>
      <c r="DI200" s="403"/>
      <c r="DJ200" s="403"/>
      <c r="DK200" s="403" t="s">
        <v>11911</v>
      </c>
      <c r="DL200" s="403"/>
      <c r="DM200" s="403"/>
      <c r="DN200" s="403"/>
      <c r="DO200" s="403"/>
      <c r="DP200" s="403"/>
      <c r="DQ200" s="403"/>
      <c r="DR200" s="403"/>
      <c r="DS200" s="403"/>
      <c r="DT200" s="403"/>
      <c r="DU200" s="403"/>
      <c r="DV200" s="403"/>
      <c r="DW200" s="403"/>
      <c r="DX200" s="403"/>
      <c r="DY200" s="403"/>
      <c r="DZ200" s="403" t="s">
        <v>12175</v>
      </c>
      <c r="EA200" s="403"/>
      <c r="EB200" s="403"/>
      <c r="EC200" s="403"/>
      <c r="ED200" s="403"/>
      <c r="EE200" s="403"/>
      <c r="EF200" s="403"/>
      <c r="EG200" s="403"/>
      <c r="EH200" s="403"/>
      <c r="EI200" s="403"/>
      <c r="EJ200" s="403"/>
      <c r="EK200" s="403"/>
      <c r="EL200" s="403"/>
      <c r="EM200" s="403"/>
      <c r="EN200" s="403"/>
      <c r="EO200" s="403"/>
      <c r="EP200" s="403"/>
      <c r="EQ200" s="403"/>
      <c r="ER200" s="403"/>
      <c r="ES200" s="403" t="s">
        <v>11913</v>
      </c>
      <c r="ET200" s="403"/>
      <c r="EU200" s="403"/>
      <c r="EV200" s="403"/>
      <c r="EW200" s="403"/>
      <c r="EX200" s="403"/>
      <c r="EY200" s="403"/>
      <c r="EZ200" s="403"/>
      <c r="FA200" s="403"/>
      <c r="FB200" s="403"/>
      <c r="FC200" s="403"/>
      <c r="FD200" s="403"/>
      <c r="FE200" s="403"/>
      <c r="FF200" s="403"/>
      <c r="FG200" s="403"/>
      <c r="FH200" s="403" t="s">
        <v>12176</v>
      </c>
      <c r="FI200" s="403"/>
      <c r="FJ200" s="403"/>
      <c r="FK200" s="403"/>
      <c r="FL200" s="403"/>
      <c r="FM200" s="403"/>
      <c r="FN200" s="403"/>
      <c r="FO200" s="403"/>
      <c r="FP200" s="403"/>
      <c r="FQ200" s="403"/>
      <c r="FR200" s="403"/>
      <c r="FS200" s="403"/>
      <c r="FT200" s="403"/>
      <c r="FU200" s="403"/>
      <c r="FV200" s="403"/>
      <c r="FW200" s="403"/>
      <c r="FX200" s="403"/>
      <c r="FY200" s="403"/>
      <c r="FZ200" s="403"/>
      <c r="GA200" s="403" t="s">
        <v>11915</v>
      </c>
      <c r="GB200" s="403"/>
      <c r="GC200" s="403"/>
      <c r="GD200" s="403"/>
      <c r="GE200" s="403"/>
      <c r="GF200" s="403"/>
      <c r="GG200" s="403"/>
      <c r="GH200" s="403"/>
      <c r="GI200" s="403"/>
      <c r="GJ200" s="403"/>
      <c r="GK200" s="403"/>
      <c r="GL200" s="403"/>
      <c r="GM200" s="403"/>
      <c r="GN200" s="403"/>
      <c r="GO200" s="403"/>
      <c r="GP200" s="403" t="s">
        <v>12177</v>
      </c>
      <c r="GQ200" s="403"/>
      <c r="GR200" s="403"/>
      <c r="GS200" s="403"/>
      <c r="GT200" s="403"/>
      <c r="GU200" s="403"/>
      <c r="GV200" s="403"/>
      <c r="GW200" s="403"/>
      <c r="GX200" s="403"/>
      <c r="GY200" s="403"/>
      <c r="GZ200" s="403"/>
      <c r="HA200" s="403"/>
      <c r="HB200" s="403"/>
      <c r="HC200" s="403"/>
      <c r="HD200" s="403"/>
      <c r="HE200" s="403"/>
      <c r="HF200" s="403"/>
      <c r="HG200" s="403"/>
      <c r="HH200" s="403"/>
      <c r="HI200" s="403" t="s">
        <v>11917</v>
      </c>
      <c r="HJ200" s="403"/>
      <c r="HK200" s="403"/>
      <c r="HL200" s="403"/>
      <c r="HM200" s="403"/>
      <c r="HN200" s="403"/>
      <c r="HO200" s="403"/>
      <c r="HP200" s="403"/>
      <c r="HQ200" s="403"/>
      <c r="HR200" s="403"/>
      <c r="HS200" s="403"/>
      <c r="HT200" s="403"/>
      <c r="HU200" s="403"/>
      <c r="HV200" s="403"/>
      <c r="HW200" s="403"/>
      <c r="HX200" s="403" t="s">
        <v>12178</v>
      </c>
      <c r="HY200" s="403"/>
      <c r="HZ200" s="403"/>
      <c r="IA200" s="403"/>
      <c r="IB200" s="403"/>
      <c r="IC200" s="403"/>
      <c r="ID200" s="403"/>
      <c r="IE200" s="403"/>
      <c r="IF200" s="403"/>
      <c r="IG200" s="403"/>
      <c r="IH200" s="403"/>
      <c r="II200" s="403"/>
      <c r="IJ200" s="403"/>
      <c r="IK200" s="403"/>
      <c r="IL200" s="403"/>
      <c r="IM200" s="403"/>
      <c r="IN200" s="403"/>
      <c r="IO200" s="403"/>
      <c r="IP200" s="403"/>
      <c r="IQ200" s="403" t="s">
        <v>11919</v>
      </c>
      <c r="IR200" s="403"/>
      <c r="IS200" s="403"/>
      <c r="IT200" s="403"/>
      <c r="IU200" s="403"/>
      <c r="IV200" s="403"/>
      <c r="IW200" s="403"/>
      <c r="IX200" s="403"/>
      <c r="IY200" s="403"/>
      <c r="IZ200" s="403"/>
      <c r="JA200" s="403"/>
      <c r="JB200" s="403"/>
      <c r="JC200" s="403"/>
      <c r="JD200" s="403"/>
      <c r="JE200" s="403"/>
      <c r="JF200" s="403" t="s">
        <v>12179</v>
      </c>
      <c r="JG200" s="403"/>
      <c r="JH200" s="403"/>
      <c r="JI200" s="403"/>
      <c r="JJ200" s="403"/>
      <c r="JK200" s="403"/>
      <c r="JL200" s="403"/>
      <c r="JM200" s="403"/>
      <c r="JN200" s="403"/>
      <c r="JO200" s="403"/>
      <c r="JP200" s="403"/>
      <c r="JQ200" s="403"/>
      <c r="JR200" s="403"/>
      <c r="JS200" s="403"/>
      <c r="JT200" s="403"/>
    </row>
    <row r="201" spans="1:280" s="15" customFormat="1" ht="12.75" x14ac:dyDescent="0.2">
      <c r="A201" s="78"/>
      <c r="B201" s="624"/>
      <c r="C201" s="23" t="str">
        <f ca="1">IF(OFFSET(AU201,0,Lang_Order*Lang__B5)="","",OFFSET(AU201,0,Lang_Order*Lang__B5))</f>
        <v>Vaccinators for this DM</v>
      </c>
      <c r="J201" s="26" t="e">
        <f t="shared" ref="J201:O201" si="478">IF(J194=1,J200*J199,0)</f>
        <v>#N/A</v>
      </c>
      <c r="K201" s="26" t="e">
        <f t="shared" si="478"/>
        <v>#N/A</v>
      </c>
      <c r="L201" s="26" t="e">
        <f t="shared" si="478"/>
        <v>#N/A</v>
      </c>
      <c r="M201" s="26" t="e">
        <f t="shared" si="478"/>
        <v>#N/A</v>
      </c>
      <c r="N201" s="26" t="e">
        <f t="shared" si="478"/>
        <v>#N/A</v>
      </c>
      <c r="O201" s="26" t="e">
        <f t="shared" si="478"/>
        <v>#N/A</v>
      </c>
      <c r="R201" s="12" t="str">
        <f t="shared" ca="1" si="460"/>
        <v/>
      </c>
      <c r="S201" s="2"/>
      <c r="T201" s="241"/>
      <c r="U201" s="624"/>
      <c r="V201" s="72" t="str">
        <f ca="1">IF(OFFSET(AU201,0,Lang_Order*Lang__B5)="","",OFFSET(AU201,0,Lang_Order*Lang__B5))</f>
        <v>Vaccinators for this DM</v>
      </c>
      <c r="W201" s="26" t="e">
        <f t="shared" ref="W201:AB201" si="479">IF(W194=1,W200*W199,0)</f>
        <v>#N/A</v>
      </c>
      <c r="X201" s="26" t="e">
        <f t="shared" si="479"/>
        <v>#N/A</v>
      </c>
      <c r="Y201" s="26" t="e">
        <f t="shared" si="479"/>
        <v>#N/A</v>
      </c>
      <c r="Z201" s="26" t="e">
        <f t="shared" si="479"/>
        <v>#N/A</v>
      </c>
      <c r="AA201" s="26" t="e">
        <f t="shared" si="479"/>
        <v>#N/A</v>
      </c>
      <c r="AB201" s="26" t="e">
        <f t="shared" si="479"/>
        <v>#N/A</v>
      </c>
      <c r="AC201" s="241"/>
      <c r="AD201" s="241"/>
      <c r="AE201" s="2"/>
      <c r="AF201" s="241"/>
      <c r="AG201" s="624"/>
      <c r="AH201" s="72" t="str">
        <f ca="1">IF(OFFSET(AU201,0,Lang_Order*Lang__B5)="","",OFFSET(AU201,0,Lang_Order*Lang__B5))</f>
        <v>Vaccinators for this DM</v>
      </c>
      <c r="AI201" s="26" t="e">
        <f t="shared" ref="AI201:AN201" si="480">IF(AI194=1,AI200*AI199,0)</f>
        <v>#N/A</v>
      </c>
      <c r="AJ201" s="26" t="e">
        <f t="shared" si="480"/>
        <v>#N/A</v>
      </c>
      <c r="AK201" s="26" t="e">
        <f t="shared" si="480"/>
        <v>#N/A</v>
      </c>
      <c r="AL201" s="26" t="e">
        <f t="shared" si="480"/>
        <v>#N/A</v>
      </c>
      <c r="AM201" s="26" t="e">
        <f t="shared" si="480"/>
        <v>#N/A</v>
      </c>
      <c r="AN201" s="26" t="e">
        <f t="shared" si="480"/>
        <v>#N/A</v>
      </c>
      <c r="AO201" s="241"/>
      <c r="AP201" s="241"/>
      <c r="AR201" s="403"/>
      <c r="AS201" s="403"/>
      <c r="AT201" s="403"/>
      <c r="AU201" s="403" t="s">
        <v>1683</v>
      </c>
      <c r="AV201" s="403"/>
      <c r="AW201" s="403"/>
      <c r="AX201" s="403"/>
      <c r="AY201" s="403"/>
      <c r="AZ201" s="403"/>
      <c r="BA201" s="403"/>
      <c r="BB201" s="403"/>
      <c r="BC201" s="403"/>
      <c r="BD201" s="403"/>
      <c r="BE201" s="403"/>
      <c r="BF201" s="403"/>
      <c r="BG201" s="403"/>
      <c r="BH201" s="403"/>
      <c r="BI201" s="403"/>
      <c r="BJ201" s="403"/>
      <c r="BK201" s="403"/>
      <c r="BL201" s="403"/>
      <c r="BM201" s="403"/>
      <c r="BN201" s="403"/>
      <c r="BO201" s="403"/>
      <c r="BP201" s="403"/>
      <c r="BQ201" s="403"/>
      <c r="BR201" s="403"/>
      <c r="BS201" s="403"/>
      <c r="BT201" s="403"/>
      <c r="BU201" s="403"/>
      <c r="BV201" s="403"/>
      <c r="BW201" s="403"/>
      <c r="BX201" s="403"/>
      <c r="BY201" s="403"/>
      <c r="BZ201" s="403"/>
      <c r="CA201" s="403"/>
      <c r="CB201" s="403"/>
      <c r="CC201" s="403" t="s">
        <v>11921</v>
      </c>
      <c r="CD201" s="403"/>
      <c r="CE201" s="403"/>
      <c r="CF201" s="403"/>
      <c r="CG201" s="403"/>
      <c r="CH201" s="403"/>
      <c r="CI201" s="403"/>
      <c r="CJ201" s="403"/>
      <c r="CK201" s="403"/>
      <c r="CL201" s="403"/>
      <c r="CM201" s="403"/>
      <c r="CN201" s="403"/>
      <c r="CO201" s="403"/>
      <c r="CP201" s="403"/>
      <c r="CQ201" s="403"/>
      <c r="CR201" s="403"/>
      <c r="CS201" s="403"/>
      <c r="CT201" s="403"/>
      <c r="CU201" s="403"/>
      <c r="CV201" s="403"/>
      <c r="CW201" s="403"/>
      <c r="CX201" s="403"/>
      <c r="CY201" s="403"/>
      <c r="CZ201" s="403"/>
      <c r="DA201" s="403"/>
      <c r="DB201" s="403"/>
      <c r="DC201" s="403"/>
      <c r="DD201" s="403"/>
      <c r="DE201" s="403"/>
      <c r="DF201" s="403"/>
      <c r="DG201" s="403"/>
      <c r="DH201" s="403"/>
      <c r="DI201" s="403"/>
      <c r="DJ201" s="403"/>
      <c r="DK201" s="403" t="s">
        <v>12180</v>
      </c>
      <c r="DL201" s="403"/>
      <c r="DM201" s="403"/>
      <c r="DN201" s="403"/>
      <c r="DO201" s="403"/>
      <c r="DP201" s="403"/>
      <c r="DQ201" s="403"/>
      <c r="DR201" s="403"/>
      <c r="DS201" s="403"/>
      <c r="DT201" s="403"/>
      <c r="DU201" s="403"/>
      <c r="DV201" s="403"/>
      <c r="DW201" s="403"/>
      <c r="DX201" s="403"/>
      <c r="DY201" s="403"/>
      <c r="DZ201" s="403"/>
      <c r="EA201" s="403"/>
      <c r="EB201" s="403"/>
      <c r="EC201" s="403"/>
      <c r="ED201" s="403"/>
      <c r="EE201" s="403"/>
      <c r="EF201" s="403"/>
      <c r="EG201" s="403"/>
      <c r="EH201" s="403"/>
      <c r="EI201" s="403"/>
      <c r="EJ201" s="403"/>
      <c r="EK201" s="403"/>
      <c r="EL201" s="403"/>
      <c r="EM201" s="403"/>
      <c r="EN201" s="403"/>
      <c r="EO201" s="403"/>
      <c r="EP201" s="403"/>
      <c r="EQ201" s="403"/>
      <c r="ER201" s="403"/>
      <c r="ES201" s="403" t="s">
        <v>11923</v>
      </c>
      <c r="ET201" s="403"/>
      <c r="EU201" s="403"/>
      <c r="EV201" s="403"/>
      <c r="EW201" s="403"/>
      <c r="EX201" s="403"/>
      <c r="EY201" s="403"/>
      <c r="EZ201" s="403"/>
      <c r="FA201" s="403"/>
      <c r="FB201" s="403"/>
      <c r="FC201" s="403"/>
      <c r="FD201" s="403"/>
      <c r="FE201" s="403"/>
      <c r="FF201" s="403"/>
      <c r="FG201" s="403"/>
      <c r="FH201" s="403"/>
      <c r="FI201" s="403"/>
      <c r="FJ201" s="403"/>
      <c r="FK201" s="403"/>
      <c r="FL201" s="403"/>
      <c r="FM201" s="403"/>
      <c r="FN201" s="403"/>
      <c r="FO201" s="403"/>
      <c r="FP201" s="403"/>
      <c r="FQ201" s="403"/>
      <c r="FR201" s="403"/>
      <c r="FS201" s="403"/>
      <c r="FT201" s="403"/>
      <c r="FU201" s="403"/>
      <c r="FV201" s="403"/>
      <c r="FW201" s="403"/>
      <c r="FX201" s="403"/>
      <c r="FY201" s="403"/>
      <c r="FZ201" s="403"/>
      <c r="GA201" s="403" t="s">
        <v>11924</v>
      </c>
      <c r="GB201" s="403"/>
      <c r="GC201" s="403"/>
      <c r="GD201" s="403"/>
      <c r="GE201" s="403"/>
      <c r="GF201" s="403"/>
      <c r="GG201" s="403"/>
      <c r="GH201" s="403"/>
      <c r="GI201" s="403"/>
      <c r="GJ201" s="403"/>
      <c r="GK201" s="403"/>
      <c r="GL201" s="403"/>
      <c r="GM201" s="403"/>
      <c r="GN201" s="403"/>
      <c r="GO201" s="403"/>
      <c r="GP201" s="403"/>
      <c r="GQ201" s="403"/>
      <c r="GR201" s="403"/>
      <c r="GS201" s="403"/>
      <c r="GT201" s="403"/>
      <c r="GU201" s="403"/>
      <c r="GV201" s="403"/>
      <c r="GW201" s="403"/>
      <c r="GX201" s="403"/>
      <c r="GY201" s="403"/>
      <c r="GZ201" s="403"/>
      <c r="HA201" s="403"/>
      <c r="HB201" s="403"/>
      <c r="HC201" s="403"/>
      <c r="HD201" s="403"/>
      <c r="HE201" s="403"/>
      <c r="HF201" s="403"/>
      <c r="HG201" s="403"/>
      <c r="HH201" s="403"/>
      <c r="HI201" s="403" t="s">
        <v>11925</v>
      </c>
      <c r="HJ201" s="403"/>
      <c r="HK201" s="403"/>
      <c r="HL201" s="403"/>
      <c r="HM201" s="403"/>
      <c r="HN201" s="403"/>
      <c r="HO201" s="403"/>
      <c r="HP201" s="403"/>
      <c r="HQ201" s="403"/>
      <c r="HR201" s="403"/>
      <c r="HS201" s="403"/>
      <c r="HT201" s="403"/>
      <c r="HU201" s="403"/>
      <c r="HV201" s="403"/>
      <c r="HW201" s="403"/>
      <c r="HX201" s="403"/>
      <c r="HY201" s="403"/>
      <c r="HZ201" s="403"/>
      <c r="IA201" s="403"/>
      <c r="IB201" s="403"/>
      <c r="IC201" s="403"/>
      <c r="ID201" s="403"/>
      <c r="IE201" s="403"/>
      <c r="IF201" s="403"/>
      <c r="IG201" s="403"/>
      <c r="IH201" s="403"/>
      <c r="II201" s="403"/>
      <c r="IJ201" s="403"/>
      <c r="IK201" s="403"/>
      <c r="IL201" s="403"/>
      <c r="IM201" s="403"/>
      <c r="IN201" s="403"/>
      <c r="IO201" s="403"/>
      <c r="IP201" s="403"/>
      <c r="IQ201" s="403" t="s">
        <v>11926</v>
      </c>
      <c r="IR201" s="403"/>
      <c r="IS201" s="403"/>
      <c r="IT201" s="403"/>
      <c r="IU201" s="403"/>
      <c r="IV201" s="403"/>
      <c r="IW201" s="403"/>
      <c r="IX201" s="403"/>
      <c r="IY201" s="403"/>
      <c r="IZ201" s="403"/>
      <c r="JA201" s="403"/>
      <c r="JB201" s="403"/>
      <c r="JC201" s="403"/>
      <c r="JD201" s="403"/>
      <c r="JE201" s="403"/>
      <c r="JF201" s="403"/>
      <c r="JG201" s="403"/>
      <c r="JH201" s="403"/>
      <c r="JI201" s="403"/>
      <c r="JJ201" s="403"/>
      <c r="JK201" s="403"/>
      <c r="JL201" s="403"/>
      <c r="JM201" s="403"/>
      <c r="JN201" s="403"/>
      <c r="JO201" s="403"/>
      <c r="JP201" s="403"/>
      <c r="JQ201" s="403"/>
      <c r="JR201" s="403"/>
      <c r="JS201" s="403"/>
      <c r="JT201" s="403"/>
    </row>
    <row r="202" spans="1:280" s="15" customFormat="1" ht="12.75" x14ac:dyDescent="0.2">
      <c r="A202" s="9"/>
      <c r="B202" s="624"/>
      <c r="R202" s="12" t="str">
        <f t="shared" ca="1" si="460"/>
        <v/>
      </c>
      <c r="S202" s="2"/>
      <c r="T202" s="241"/>
      <c r="U202" s="624"/>
      <c r="V202" s="2"/>
      <c r="W202" s="241"/>
      <c r="X202" s="241"/>
      <c r="Y202" s="241"/>
      <c r="Z202" s="241"/>
      <c r="AA202" s="241"/>
      <c r="AB202" s="241"/>
      <c r="AC202" s="241"/>
      <c r="AD202" s="241"/>
      <c r="AE202" s="2"/>
      <c r="AF202" s="241"/>
      <c r="AG202" s="624"/>
      <c r="AH202" s="2"/>
      <c r="AI202" s="241"/>
      <c r="AJ202" s="241"/>
      <c r="AK202" s="241"/>
      <c r="AL202" s="241"/>
      <c r="AM202" s="241"/>
      <c r="AN202" s="241"/>
      <c r="AO202" s="241"/>
      <c r="AP202" s="241"/>
      <c r="AR202" s="403"/>
      <c r="AS202" s="403"/>
      <c r="AT202" s="403"/>
      <c r="AU202" s="403"/>
      <c r="AV202" s="403"/>
      <c r="AW202" s="403"/>
      <c r="AX202" s="403"/>
      <c r="AY202" s="403"/>
      <c r="AZ202" s="403"/>
      <c r="BA202" s="403"/>
      <c r="BB202" s="403"/>
      <c r="BC202" s="403"/>
      <c r="BD202" s="403"/>
      <c r="BE202" s="403"/>
      <c r="BF202" s="403"/>
      <c r="BG202" s="403"/>
      <c r="BH202" s="403"/>
      <c r="BI202" s="403"/>
      <c r="BJ202" s="403"/>
      <c r="BK202" s="403"/>
      <c r="BL202" s="403"/>
      <c r="BM202" s="403"/>
      <c r="BN202" s="403"/>
      <c r="BO202" s="403"/>
      <c r="BP202" s="403"/>
      <c r="BQ202" s="403"/>
      <c r="BR202" s="403"/>
      <c r="BS202" s="403"/>
      <c r="BT202" s="403"/>
      <c r="BU202" s="403"/>
      <c r="BV202" s="403"/>
      <c r="BW202" s="403"/>
      <c r="BX202" s="403"/>
      <c r="BY202" s="403"/>
      <c r="BZ202" s="403"/>
      <c r="CA202" s="403"/>
      <c r="CB202" s="403"/>
      <c r="CC202" s="403"/>
      <c r="CD202" s="403"/>
      <c r="CE202" s="403"/>
      <c r="CF202" s="403"/>
      <c r="CG202" s="403"/>
      <c r="CH202" s="403"/>
      <c r="CI202" s="403"/>
      <c r="CJ202" s="403"/>
      <c r="CK202" s="403"/>
      <c r="CL202" s="403"/>
      <c r="CM202" s="403"/>
      <c r="CN202" s="403"/>
      <c r="CO202" s="403"/>
      <c r="CP202" s="403"/>
      <c r="CQ202" s="403"/>
      <c r="CR202" s="403"/>
      <c r="CS202" s="403"/>
      <c r="CT202" s="403"/>
      <c r="CU202" s="403"/>
      <c r="CV202" s="403"/>
      <c r="CW202" s="403"/>
      <c r="CX202" s="403"/>
      <c r="CY202" s="403"/>
      <c r="CZ202" s="403"/>
      <c r="DA202" s="403"/>
      <c r="DB202" s="403"/>
      <c r="DC202" s="403"/>
      <c r="DD202" s="403"/>
      <c r="DE202" s="403"/>
      <c r="DF202" s="403"/>
      <c r="DG202" s="403"/>
      <c r="DH202" s="403"/>
      <c r="DI202" s="403"/>
      <c r="DJ202" s="403"/>
      <c r="DK202" s="403"/>
      <c r="DL202" s="403"/>
      <c r="DM202" s="403"/>
      <c r="DN202" s="403"/>
      <c r="DO202" s="403"/>
      <c r="DP202" s="403"/>
      <c r="DQ202" s="403"/>
      <c r="DR202" s="403"/>
      <c r="DS202" s="403"/>
      <c r="DT202" s="403"/>
      <c r="DU202" s="403"/>
      <c r="DV202" s="403"/>
      <c r="DW202" s="403"/>
      <c r="DX202" s="403"/>
      <c r="DY202" s="403"/>
      <c r="DZ202" s="403"/>
      <c r="EA202" s="403"/>
      <c r="EB202" s="403"/>
      <c r="EC202" s="403"/>
      <c r="ED202" s="403"/>
      <c r="EE202" s="403"/>
      <c r="EF202" s="403"/>
      <c r="EG202" s="403"/>
      <c r="EH202" s="403"/>
      <c r="EI202" s="403"/>
      <c r="EJ202" s="403"/>
      <c r="EK202" s="403"/>
      <c r="EL202" s="403"/>
      <c r="EM202" s="403"/>
      <c r="EN202" s="403"/>
      <c r="EO202" s="403"/>
      <c r="EP202" s="403"/>
      <c r="EQ202" s="403"/>
      <c r="ER202" s="403"/>
      <c r="ES202" s="403"/>
      <c r="ET202" s="403"/>
      <c r="EU202" s="403"/>
      <c r="EV202" s="403"/>
      <c r="EW202" s="403"/>
      <c r="EX202" s="403"/>
      <c r="EY202" s="403"/>
      <c r="EZ202" s="403"/>
      <c r="FA202" s="403"/>
      <c r="FB202" s="403"/>
      <c r="FC202" s="403"/>
      <c r="FD202" s="403"/>
      <c r="FE202" s="403"/>
      <c r="FF202" s="403"/>
      <c r="FG202" s="403"/>
      <c r="FH202" s="403"/>
      <c r="FI202" s="403"/>
      <c r="FJ202" s="403"/>
      <c r="FK202" s="403"/>
      <c r="FL202" s="403"/>
      <c r="FM202" s="403"/>
      <c r="FN202" s="403"/>
      <c r="FO202" s="403"/>
      <c r="FP202" s="403"/>
      <c r="FQ202" s="403"/>
      <c r="FR202" s="403"/>
      <c r="FS202" s="403"/>
      <c r="FT202" s="403"/>
      <c r="FU202" s="403"/>
      <c r="FV202" s="403"/>
      <c r="FW202" s="403"/>
      <c r="FX202" s="403"/>
      <c r="FY202" s="403"/>
      <c r="FZ202" s="403"/>
      <c r="GA202" s="403"/>
      <c r="GB202" s="403"/>
      <c r="GC202" s="403"/>
      <c r="GD202" s="403"/>
      <c r="GE202" s="403"/>
      <c r="GF202" s="403"/>
      <c r="GG202" s="403"/>
      <c r="GH202" s="403"/>
      <c r="GI202" s="403"/>
      <c r="GJ202" s="403"/>
      <c r="GK202" s="403"/>
      <c r="GL202" s="403"/>
      <c r="GM202" s="403"/>
      <c r="GN202" s="403"/>
      <c r="GO202" s="403"/>
      <c r="GP202" s="403"/>
      <c r="GQ202" s="403"/>
      <c r="GR202" s="403"/>
      <c r="GS202" s="403"/>
      <c r="GT202" s="403"/>
      <c r="GU202" s="403"/>
      <c r="GV202" s="403"/>
      <c r="GW202" s="403"/>
      <c r="GX202" s="403"/>
      <c r="GY202" s="403"/>
      <c r="GZ202" s="403"/>
      <c r="HA202" s="403"/>
      <c r="HB202" s="403"/>
      <c r="HC202" s="403"/>
      <c r="HD202" s="403"/>
      <c r="HE202" s="403"/>
      <c r="HF202" s="403"/>
      <c r="HG202" s="403"/>
      <c r="HH202" s="403"/>
      <c r="HI202" s="403"/>
      <c r="HJ202" s="403"/>
      <c r="HK202" s="403"/>
      <c r="HL202" s="403"/>
      <c r="HM202" s="403"/>
      <c r="HN202" s="403"/>
      <c r="HO202" s="403"/>
      <c r="HP202" s="403"/>
      <c r="HQ202" s="403"/>
      <c r="HR202" s="403"/>
      <c r="HS202" s="403"/>
      <c r="HT202" s="403"/>
      <c r="HU202" s="403"/>
      <c r="HV202" s="403"/>
      <c r="HW202" s="403"/>
      <c r="HX202" s="403"/>
      <c r="HY202" s="403"/>
      <c r="HZ202" s="403"/>
      <c r="IA202" s="403"/>
      <c r="IB202" s="403"/>
      <c r="IC202" s="403"/>
      <c r="ID202" s="403"/>
      <c r="IE202" s="403"/>
      <c r="IF202" s="403"/>
      <c r="IG202" s="403"/>
      <c r="IH202" s="403"/>
      <c r="II202" s="403"/>
      <c r="IJ202" s="403"/>
      <c r="IK202" s="403"/>
      <c r="IL202" s="403"/>
      <c r="IM202" s="403"/>
      <c r="IN202" s="403"/>
      <c r="IO202" s="403"/>
      <c r="IP202" s="403"/>
      <c r="IQ202" s="403"/>
      <c r="IR202" s="403"/>
      <c r="IS202" s="403"/>
      <c r="IT202" s="403"/>
      <c r="IU202" s="403"/>
      <c r="IV202" s="403"/>
      <c r="IW202" s="403"/>
      <c r="IX202" s="403"/>
      <c r="IY202" s="403"/>
      <c r="IZ202" s="403"/>
      <c r="JA202" s="403"/>
      <c r="JB202" s="403"/>
      <c r="JC202" s="403"/>
      <c r="JD202" s="403"/>
      <c r="JE202" s="403"/>
      <c r="JF202" s="403"/>
      <c r="JG202" s="403"/>
      <c r="JH202" s="403"/>
      <c r="JI202" s="403"/>
      <c r="JJ202" s="403"/>
      <c r="JK202" s="403"/>
      <c r="JL202" s="403"/>
      <c r="JM202" s="403"/>
      <c r="JN202" s="403"/>
      <c r="JO202" s="403"/>
      <c r="JP202" s="403"/>
      <c r="JQ202" s="403"/>
      <c r="JR202" s="403"/>
      <c r="JS202" s="403"/>
      <c r="JT202" s="403"/>
    </row>
    <row r="203" spans="1:280" s="15" customFormat="1" ht="12.75" x14ac:dyDescent="0.2">
      <c r="A203" s="9"/>
      <c r="B203" s="624"/>
      <c r="C203" s="23" t="str">
        <f ca="1">IF(OFFSET(AU203,0,Lang_Order*Lang__B5)="","",OFFSET(AU203,0,Lang_Order*Lang__B5))</f>
        <v>Total vaccine volume per period (liters)</v>
      </c>
      <c r="E203" s="26"/>
      <c r="F203" s="26"/>
      <c r="G203" s="26"/>
      <c r="H203" s="26"/>
      <c r="I203" s="26"/>
      <c r="J203" s="110" t="e">
        <f t="shared" ref="J203:O203" si="481">($E191*J191)*$H191*0.001</f>
        <v>#N/A</v>
      </c>
      <c r="K203" s="110" t="e">
        <f t="shared" si="481"/>
        <v>#N/A</v>
      </c>
      <c r="L203" s="110" t="e">
        <f t="shared" si="481"/>
        <v>#N/A</v>
      </c>
      <c r="M203" s="110" t="e">
        <f t="shared" si="481"/>
        <v>#N/A</v>
      </c>
      <c r="N203" s="110" t="e">
        <f t="shared" si="481"/>
        <v>#N/A</v>
      </c>
      <c r="O203" s="110" t="e">
        <f t="shared" si="481"/>
        <v>#N/A</v>
      </c>
      <c r="P203" s="26"/>
      <c r="Q203" s="26"/>
      <c r="R203" s="12" t="str">
        <f t="shared" ca="1" si="460"/>
        <v>Volume of the whole tranche of vaccines at delivery</v>
      </c>
      <c r="S203" s="2"/>
      <c r="T203" s="241"/>
      <c r="U203" s="624"/>
      <c r="V203" s="72" t="str">
        <f ca="1">IF(OFFSET(AU203,0,Lang_Order*Lang__B5)="","",OFFSET(AU203,0,Lang_Order*Lang__B5))</f>
        <v>Total vaccine volume per period (liters)</v>
      </c>
      <c r="W203" s="110" t="e">
        <f t="shared" ref="W203:AB203" si="482">($E191*W191)*$H191*0.001</f>
        <v>#N/A</v>
      </c>
      <c r="X203" s="110" t="e">
        <f t="shared" si="482"/>
        <v>#N/A</v>
      </c>
      <c r="Y203" s="110" t="e">
        <f t="shared" si="482"/>
        <v>#N/A</v>
      </c>
      <c r="Z203" s="110" t="e">
        <f t="shared" si="482"/>
        <v>#N/A</v>
      </c>
      <c r="AA203" s="110" t="e">
        <f t="shared" si="482"/>
        <v>#N/A</v>
      </c>
      <c r="AB203" s="110" t="e">
        <f t="shared" si="482"/>
        <v>#N/A</v>
      </c>
      <c r="AC203" s="26"/>
      <c r="AD203" s="26"/>
      <c r="AE203" s="2"/>
      <c r="AF203" s="241"/>
      <c r="AG203" s="624"/>
      <c r="AH203" s="72" t="str">
        <f ca="1">IF(OFFSET(AU203,0,Lang_Order*Lang__B5)="","",OFFSET(AU203,0,Lang_Order*Lang__B5))</f>
        <v>Total vaccine volume per period (liters)</v>
      </c>
      <c r="AI203" s="110" t="e">
        <f t="shared" ref="AI203:AN203" si="483">($E191*AI191)*$H191*0.001</f>
        <v>#N/A</v>
      </c>
      <c r="AJ203" s="110" t="e">
        <f t="shared" si="483"/>
        <v>#N/A</v>
      </c>
      <c r="AK203" s="110" t="e">
        <f t="shared" si="483"/>
        <v>#N/A</v>
      </c>
      <c r="AL203" s="110" t="e">
        <f t="shared" si="483"/>
        <v>#N/A</v>
      </c>
      <c r="AM203" s="110" t="e">
        <f t="shared" si="483"/>
        <v>#N/A</v>
      </c>
      <c r="AN203" s="110" t="e">
        <f t="shared" si="483"/>
        <v>#N/A</v>
      </c>
      <c r="AO203" s="26"/>
      <c r="AP203" s="26"/>
      <c r="AR203" s="403"/>
      <c r="AS203" s="403"/>
      <c r="AT203" s="403"/>
      <c r="AU203" s="403" t="s">
        <v>1662</v>
      </c>
      <c r="AV203" s="403"/>
      <c r="AW203" s="403"/>
      <c r="AX203" s="403"/>
      <c r="AY203" s="403"/>
      <c r="AZ203" s="403"/>
      <c r="BA203" s="403"/>
      <c r="BB203" s="403"/>
      <c r="BC203" s="403"/>
      <c r="BD203" s="403"/>
      <c r="BE203" s="403"/>
      <c r="BF203" s="403"/>
      <c r="BG203" s="403"/>
      <c r="BH203" s="403"/>
      <c r="BI203" s="403"/>
      <c r="BJ203" s="403" t="s">
        <v>1644</v>
      </c>
      <c r="BK203" s="403"/>
      <c r="BL203" s="403"/>
      <c r="BM203" s="403"/>
      <c r="BN203" s="403"/>
      <c r="BO203" s="403"/>
      <c r="BP203" s="403"/>
      <c r="BQ203" s="403"/>
      <c r="BR203" s="403"/>
      <c r="BS203" s="403"/>
      <c r="BT203" s="403"/>
      <c r="BU203" s="403"/>
      <c r="BV203" s="403"/>
      <c r="BW203" s="403"/>
      <c r="BX203" s="403"/>
      <c r="BY203" s="403"/>
      <c r="BZ203" s="403"/>
      <c r="CA203" s="403"/>
      <c r="CB203" s="403"/>
      <c r="CC203" s="403" t="s">
        <v>12124</v>
      </c>
      <c r="CD203" s="403"/>
      <c r="CE203" s="403"/>
      <c r="CF203" s="403"/>
      <c r="CG203" s="403"/>
      <c r="CH203" s="403"/>
      <c r="CI203" s="403"/>
      <c r="CJ203" s="403"/>
      <c r="CK203" s="403"/>
      <c r="CL203" s="403"/>
      <c r="CM203" s="403"/>
      <c r="CN203" s="403"/>
      <c r="CO203" s="403"/>
      <c r="CP203" s="403"/>
      <c r="CQ203" s="403"/>
      <c r="CR203" s="403" t="s">
        <v>11928</v>
      </c>
      <c r="CS203" s="403"/>
      <c r="CT203" s="403"/>
      <c r="CU203" s="403"/>
      <c r="CV203" s="403"/>
      <c r="CW203" s="403"/>
      <c r="CX203" s="403"/>
      <c r="CY203" s="403"/>
      <c r="CZ203" s="403"/>
      <c r="DA203" s="403"/>
      <c r="DB203" s="403"/>
      <c r="DC203" s="403"/>
      <c r="DD203" s="403"/>
      <c r="DE203" s="403"/>
      <c r="DF203" s="403"/>
      <c r="DG203" s="403"/>
      <c r="DH203" s="403"/>
      <c r="DI203" s="403"/>
      <c r="DJ203" s="403"/>
      <c r="DK203" s="403" t="s">
        <v>11929</v>
      </c>
      <c r="DL203" s="403"/>
      <c r="DM203" s="403"/>
      <c r="DN203" s="403"/>
      <c r="DO203" s="403"/>
      <c r="DP203" s="403"/>
      <c r="DQ203" s="403"/>
      <c r="DR203" s="403"/>
      <c r="DS203" s="403"/>
      <c r="DT203" s="403"/>
      <c r="DU203" s="403"/>
      <c r="DV203" s="403"/>
      <c r="DW203" s="403"/>
      <c r="DX203" s="403"/>
      <c r="DY203" s="403"/>
      <c r="DZ203" s="403" t="s">
        <v>11930</v>
      </c>
      <c r="EA203" s="403"/>
      <c r="EB203" s="403"/>
      <c r="EC203" s="403"/>
      <c r="ED203" s="403"/>
      <c r="EE203" s="403"/>
      <c r="EF203" s="403"/>
      <c r="EG203" s="403"/>
      <c r="EH203" s="403"/>
      <c r="EI203" s="403"/>
      <c r="EJ203" s="403"/>
      <c r="EK203" s="403"/>
      <c r="EL203" s="403"/>
      <c r="EM203" s="403"/>
      <c r="EN203" s="403"/>
      <c r="EO203" s="403"/>
      <c r="EP203" s="403"/>
      <c r="EQ203" s="403"/>
      <c r="ER203" s="403"/>
      <c r="ES203" s="403" t="s">
        <v>11931</v>
      </c>
      <c r="ET203" s="403"/>
      <c r="EU203" s="403"/>
      <c r="EV203" s="403"/>
      <c r="EW203" s="403"/>
      <c r="EX203" s="403"/>
      <c r="EY203" s="403"/>
      <c r="EZ203" s="403"/>
      <c r="FA203" s="403"/>
      <c r="FB203" s="403"/>
      <c r="FC203" s="403"/>
      <c r="FD203" s="403"/>
      <c r="FE203" s="403"/>
      <c r="FF203" s="403"/>
      <c r="FG203" s="403"/>
      <c r="FH203" s="403" t="s">
        <v>11932</v>
      </c>
      <c r="FI203" s="403"/>
      <c r="FJ203" s="403"/>
      <c r="FK203" s="403"/>
      <c r="FL203" s="403"/>
      <c r="FM203" s="403"/>
      <c r="FN203" s="403"/>
      <c r="FO203" s="403"/>
      <c r="FP203" s="403"/>
      <c r="FQ203" s="403"/>
      <c r="FR203" s="403"/>
      <c r="FS203" s="403"/>
      <c r="FT203" s="403"/>
      <c r="FU203" s="403"/>
      <c r="FV203" s="403"/>
      <c r="FW203" s="403"/>
      <c r="FX203" s="403"/>
      <c r="FY203" s="403"/>
      <c r="FZ203" s="403"/>
      <c r="GA203" s="403" t="s">
        <v>11933</v>
      </c>
      <c r="GB203" s="403"/>
      <c r="GC203" s="403"/>
      <c r="GD203" s="403"/>
      <c r="GE203" s="403"/>
      <c r="GF203" s="403"/>
      <c r="GG203" s="403"/>
      <c r="GH203" s="403"/>
      <c r="GI203" s="403"/>
      <c r="GJ203" s="403"/>
      <c r="GK203" s="403"/>
      <c r="GL203" s="403"/>
      <c r="GM203" s="403"/>
      <c r="GN203" s="403"/>
      <c r="GO203" s="403"/>
      <c r="GP203" s="403" t="s">
        <v>11934</v>
      </c>
      <c r="GQ203" s="403"/>
      <c r="GR203" s="403"/>
      <c r="GS203" s="403"/>
      <c r="GT203" s="403"/>
      <c r="GU203" s="403"/>
      <c r="GV203" s="403"/>
      <c r="GW203" s="403"/>
      <c r="GX203" s="403"/>
      <c r="GY203" s="403"/>
      <c r="GZ203" s="403"/>
      <c r="HA203" s="403"/>
      <c r="HB203" s="403"/>
      <c r="HC203" s="403"/>
      <c r="HD203" s="403"/>
      <c r="HE203" s="403"/>
      <c r="HF203" s="403"/>
      <c r="HG203" s="403"/>
      <c r="HH203" s="403"/>
      <c r="HI203" s="403" t="s">
        <v>11935</v>
      </c>
      <c r="HJ203" s="403"/>
      <c r="HK203" s="403"/>
      <c r="HL203" s="403"/>
      <c r="HM203" s="403"/>
      <c r="HN203" s="403"/>
      <c r="HO203" s="403"/>
      <c r="HP203" s="403"/>
      <c r="HQ203" s="403"/>
      <c r="HR203" s="403"/>
      <c r="HS203" s="403"/>
      <c r="HT203" s="403"/>
      <c r="HU203" s="403"/>
      <c r="HV203" s="403"/>
      <c r="HW203" s="403"/>
      <c r="HX203" s="403" t="s">
        <v>11936</v>
      </c>
      <c r="HY203" s="403"/>
      <c r="HZ203" s="403"/>
      <c r="IA203" s="403"/>
      <c r="IB203" s="403"/>
      <c r="IC203" s="403"/>
      <c r="ID203" s="403"/>
      <c r="IE203" s="403"/>
      <c r="IF203" s="403"/>
      <c r="IG203" s="403"/>
      <c r="IH203" s="403"/>
      <c r="II203" s="403"/>
      <c r="IJ203" s="403"/>
      <c r="IK203" s="403"/>
      <c r="IL203" s="403"/>
      <c r="IM203" s="403"/>
      <c r="IN203" s="403"/>
      <c r="IO203" s="403"/>
      <c r="IP203" s="403"/>
      <c r="IQ203" s="403" t="s">
        <v>11937</v>
      </c>
      <c r="IR203" s="403"/>
      <c r="IS203" s="403"/>
      <c r="IT203" s="403"/>
      <c r="IU203" s="403"/>
      <c r="IV203" s="403"/>
      <c r="IW203" s="403"/>
      <c r="IX203" s="403"/>
      <c r="IY203" s="403"/>
      <c r="IZ203" s="403"/>
      <c r="JA203" s="403"/>
      <c r="JB203" s="403"/>
      <c r="JC203" s="403"/>
      <c r="JD203" s="403"/>
      <c r="JE203" s="403"/>
      <c r="JF203" s="403" t="s">
        <v>11938</v>
      </c>
      <c r="JG203" s="403"/>
      <c r="JH203" s="403"/>
      <c r="JI203" s="403"/>
      <c r="JJ203" s="403"/>
      <c r="JK203" s="403"/>
      <c r="JL203" s="403"/>
      <c r="JM203" s="403"/>
      <c r="JN203" s="403"/>
      <c r="JO203" s="403"/>
      <c r="JP203" s="403"/>
      <c r="JQ203" s="403"/>
      <c r="JR203" s="403"/>
      <c r="JS203" s="403"/>
      <c r="JT203" s="403"/>
    </row>
    <row r="204" spans="1:280" s="15" customFormat="1" ht="12.75" x14ac:dyDescent="0.2">
      <c r="A204" s="9"/>
      <c r="B204" s="624"/>
      <c r="C204" s="23"/>
      <c r="E204" s="26"/>
      <c r="F204" s="26"/>
      <c r="G204" s="26"/>
      <c r="H204" s="26"/>
      <c r="I204" s="26"/>
      <c r="J204" s="26"/>
      <c r="K204" s="26"/>
      <c r="L204" s="26"/>
      <c r="M204" s="26"/>
      <c r="N204" s="26"/>
      <c r="O204" s="26"/>
      <c r="P204" s="26"/>
      <c r="Q204" s="26"/>
      <c r="R204" s="12" t="str">
        <f t="shared" ca="1" si="460"/>
        <v/>
      </c>
      <c r="S204" s="2"/>
      <c r="T204" s="241"/>
      <c r="U204" s="624"/>
      <c r="V204" s="72"/>
      <c r="W204" s="26"/>
      <c r="X204" s="26"/>
      <c r="Y204" s="26"/>
      <c r="Z204" s="26"/>
      <c r="AA204" s="26"/>
      <c r="AB204" s="26"/>
      <c r="AC204" s="26"/>
      <c r="AD204" s="26"/>
      <c r="AE204" s="2"/>
      <c r="AF204" s="241"/>
      <c r="AG204" s="624"/>
      <c r="AH204" s="72"/>
      <c r="AI204" s="26"/>
      <c r="AJ204" s="26"/>
      <c r="AK204" s="26"/>
      <c r="AL204" s="26"/>
      <c r="AM204" s="26"/>
      <c r="AN204" s="26"/>
      <c r="AO204" s="26"/>
      <c r="AP204" s="26"/>
      <c r="AR204" s="403"/>
      <c r="AS204" s="403"/>
      <c r="AT204" s="403"/>
      <c r="AU204" s="403"/>
      <c r="AV204" s="403"/>
      <c r="AW204" s="403"/>
      <c r="AX204" s="403"/>
      <c r="AY204" s="403"/>
      <c r="AZ204" s="403"/>
      <c r="BA204" s="403"/>
      <c r="BB204" s="403"/>
      <c r="BC204" s="403"/>
      <c r="BD204" s="403"/>
      <c r="BE204" s="403"/>
      <c r="BF204" s="403"/>
      <c r="BG204" s="403"/>
      <c r="BH204" s="403"/>
      <c r="BI204" s="403"/>
      <c r="BJ204" s="403"/>
      <c r="BK204" s="403"/>
      <c r="BL204" s="403"/>
      <c r="BM204" s="403"/>
      <c r="BN204" s="403"/>
      <c r="BO204" s="403"/>
      <c r="BP204" s="403"/>
      <c r="BQ204" s="403"/>
      <c r="BR204" s="403"/>
      <c r="BS204" s="403"/>
      <c r="BT204" s="403"/>
      <c r="BU204" s="403"/>
      <c r="BV204" s="403"/>
      <c r="BW204" s="403"/>
      <c r="BX204" s="403"/>
      <c r="BY204" s="403"/>
      <c r="BZ204" s="403"/>
      <c r="CA204" s="403"/>
      <c r="CB204" s="403"/>
      <c r="CC204" s="403"/>
      <c r="CD204" s="403"/>
      <c r="CE204" s="403"/>
      <c r="CF204" s="403"/>
      <c r="CG204" s="403"/>
      <c r="CH204" s="403"/>
      <c r="CI204" s="403"/>
      <c r="CJ204" s="403"/>
      <c r="CK204" s="403"/>
      <c r="CL204" s="403"/>
      <c r="CM204" s="403"/>
      <c r="CN204" s="403"/>
      <c r="CO204" s="403"/>
      <c r="CP204" s="403"/>
      <c r="CQ204" s="403"/>
      <c r="CR204" s="403"/>
      <c r="CS204" s="403"/>
      <c r="CT204" s="403"/>
      <c r="CU204" s="403"/>
      <c r="CV204" s="403"/>
      <c r="CW204" s="403"/>
      <c r="CX204" s="403"/>
      <c r="CY204" s="403"/>
      <c r="CZ204" s="403"/>
      <c r="DA204" s="403"/>
      <c r="DB204" s="403"/>
      <c r="DC204" s="403"/>
      <c r="DD204" s="403"/>
      <c r="DE204" s="403"/>
      <c r="DF204" s="403"/>
      <c r="DG204" s="403"/>
      <c r="DH204" s="403"/>
      <c r="DI204" s="403"/>
      <c r="DJ204" s="403"/>
      <c r="DK204" s="403"/>
      <c r="DL204" s="403"/>
      <c r="DM204" s="403"/>
      <c r="DN204" s="403"/>
      <c r="DO204" s="403"/>
      <c r="DP204" s="403"/>
      <c r="DQ204" s="403"/>
      <c r="DR204" s="403"/>
      <c r="DS204" s="403"/>
      <c r="DT204" s="403"/>
      <c r="DU204" s="403"/>
      <c r="DV204" s="403"/>
      <c r="DW204" s="403"/>
      <c r="DX204" s="403"/>
      <c r="DY204" s="403"/>
      <c r="DZ204" s="403"/>
      <c r="EA204" s="403"/>
      <c r="EB204" s="403"/>
      <c r="EC204" s="403"/>
      <c r="ED204" s="403"/>
      <c r="EE204" s="403"/>
      <c r="EF204" s="403"/>
      <c r="EG204" s="403"/>
      <c r="EH204" s="403"/>
      <c r="EI204" s="403"/>
      <c r="EJ204" s="403"/>
      <c r="EK204" s="403"/>
      <c r="EL204" s="403"/>
      <c r="EM204" s="403"/>
      <c r="EN204" s="403"/>
      <c r="EO204" s="403"/>
      <c r="EP204" s="403"/>
      <c r="EQ204" s="403"/>
      <c r="ER204" s="403"/>
      <c r="ES204" s="403"/>
      <c r="ET204" s="403"/>
      <c r="EU204" s="403"/>
      <c r="EV204" s="403"/>
      <c r="EW204" s="403"/>
      <c r="EX204" s="403"/>
      <c r="EY204" s="403"/>
      <c r="EZ204" s="403"/>
      <c r="FA204" s="403"/>
      <c r="FB204" s="403"/>
      <c r="FC204" s="403"/>
      <c r="FD204" s="403"/>
      <c r="FE204" s="403"/>
      <c r="FF204" s="403"/>
      <c r="FG204" s="403"/>
      <c r="FH204" s="403"/>
      <c r="FI204" s="403"/>
      <c r="FJ204" s="403"/>
      <c r="FK204" s="403"/>
      <c r="FL204" s="403"/>
      <c r="FM204" s="403"/>
      <c r="FN204" s="403"/>
      <c r="FO204" s="403"/>
      <c r="FP204" s="403"/>
      <c r="FQ204" s="403"/>
      <c r="FR204" s="403"/>
      <c r="FS204" s="403"/>
      <c r="FT204" s="403"/>
      <c r="FU204" s="403"/>
      <c r="FV204" s="403"/>
      <c r="FW204" s="403"/>
      <c r="FX204" s="403"/>
      <c r="FY204" s="403"/>
      <c r="FZ204" s="403"/>
      <c r="GA204" s="403"/>
      <c r="GB204" s="403"/>
      <c r="GC204" s="403"/>
      <c r="GD204" s="403"/>
      <c r="GE204" s="403"/>
      <c r="GF204" s="403"/>
      <c r="GG204" s="403"/>
      <c r="GH204" s="403"/>
      <c r="GI204" s="403"/>
      <c r="GJ204" s="403"/>
      <c r="GK204" s="403"/>
      <c r="GL204" s="403"/>
      <c r="GM204" s="403"/>
      <c r="GN204" s="403"/>
      <c r="GO204" s="403"/>
      <c r="GP204" s="403"/>
      <c r="GQ204" s="403"/>
      <c r="GR204" s="403"/>
      <c r="GS204" s="403"/>
      <c r="GT204" s="403"/>
      <c r="GU204" s="403"/>
      <c r="GV204" s="403"/>
      <c r="GW204" s="403"/>
      <c r="GX204" s="403"/>
      <c r="GY204" s="403"/>
      <c r="GZ204" s="403"/>
      <c r="HA204" s="403"/>
      <c r="HB204" s="403"/>
      <c r="HC204" s="403"/>
      <c r="HD204" s="403"/>
      <c r="HE204" s="403"/>
      <c r="HF204" s="403"/>
      <c r="HG204" s="403"/>
      <c r="HH204" s="403"/>
      <c r="HI204" s="403"/>
      <c r="HJ204" s="403"/>
      <c r="HK204" s="403"/>
      <c r="HL204" s="403"/>
      <c r="HM204" s="403"/>
      <c r="HN204" s="403"/>
      <c r="HO204" s="403"/>
      <c r="HP204" s="403"/>
      <c r="HQ204" s="403"/>
      <c r="HR204" s="403"/>
      <c r="HS204" s="403"/>
      <c r="HT204" s="403"/>
      <c r="HU204" s="403"/>
      <c r="HV204" s="403"/>
      <c r="HW204" s="403"/>
      <c r="HX204" s="403"/>
      <c r="HY204" s="403"/>
      <c r="HZ204" s="403"/>
      <c r="IA204" s="403"/>
      <c r="IB204" s="403"/>
      <c r="IC204" s="403"/>
      <c r="ID204" s="403"/>
      <c r="IE204" s="403"/>
      <c r="IF204" s="403"/>
      <c r="IG204" s="403"/>
      <c r="IH204" s="403"/>
      <c r="II204" s="403"/>
      <c r="IJ204" s="403"/>
      <c r="IK204" s="403"/>
      <c r="IL204" s="403"/>
      <c r="IM204" s="403"/>
      <c r="IN204" s="403"/>
      <c r="IO204" s="403"/>
      <c r="IP204" s="403"/>
      <c r="IQ204" s="403"/>
      <c r="IR204" s="403"/>
      <c r="IS204" s="403"/>
      <c r="IT204" s="403"/>
      <c r="IU204" s="403"/>
      <c r="IV204" s="403"/>
      <c r="IW204" s="403"/>
      <c r="IX204" s="403"/>
      <c r="IY204" s="403"/>
      <c r="IZ204" s="403"/>
      <c r="JA204" s="403"/>
      <c r="JB204" s="403"/>
      <c r="JC204" s="403"/>
      <c r="JD204" s="403"/>
      <c r="JE204" s="403"/>
      <c r="JF204" s="403"/>
      <c r="JG204" s="403"/>
      <c r="JH204" s="403"/>
      <c r="JI204" s="403"/>
      <c r="JJ204" s="403"/>
      <c r="JK204" s="403"/>
      <c r="JL204" s="403"/>
      <c r="JM204" s="403"/>
      <c r="JN204" s="403"/>
      <c r="JO204" s="403"/>
      <c r="JP204" s="403"/>
      <c r="JQ204" s="403"/>
      <c r="JR204" s="403"/>
      <c r="JS204" s="403"/>
      <c r="JT204" s="403"/>
    </row>
    <row r="205" spans="1:280" s="15" customFormat="1" ht="12.75" x14ac:dyDescent="0.2">
      <c r="A205" s="9"/>
      <c r="B205" s="624"/>
      <c r="C205" s="335" t="str">
        <f t="shared" ref="C205:C211" ca="1" si="484">IF(OFFSET(AU205,0,Lang_Order*Lang__B5)="","",OFFSET(AU205,0,Lang_Order*Lang__B5))</f>
        <v>Vaccinator Time Per Site Per Dose (hours)</v>
      </c>
      <c r="E205" s="26"/>
      <c r="F205" s="26"/>
      <c r="G205" s="26"/>
      <c r="H205" s="26"/>
      <c r="I205" s="26"/>
      <c r="J205" s="26" t="e">
        <f t="shared" ref="J205:O205" si="485">IF(J195=0,0,(J191*$G191)/(60*J195))</f>
        <v>#N/A</v>
      </c>
      <c r="K205" s="26" t="e">
        <f t="shared" si="485"/>
        <v>#N/A</v>
      </c>
      <c r="L205" s="26" t="e">
        <f t="shared" si="485"/>
        <v>#N/A</v>
      </c>
      <c r="M205" s="26" t="e">
        <f t="shared" si="485"/>
        <v>#N/A</v>
      </c>
      <c r="N205" s="26" t="e">
        <f t="shared" si="485"/>
        <v>#N/A</v>
      </c>
      <c r="O205" s="26" t="e">
        <f t="shared" si="485"/>
        <v>#N/A</v>
      </c>
      <c r="P205" s="16" t="e">
        <f t="shared" ref="P205:P211" si="486">SUM(J205:O205)</f>
        <v>#N/A</v>
      </c>
      <c r="Q205" s="16"/>
      <c r="R205" s="12" t="str">
        <f t="shared" ca="1" si="460"/>
        <v>Average (mean) sized sites</v>
      </c>
      <c r="S205" s="2"/>
      <c r="T205" s="241"/>
      <c r="U205" s="624"/>
      <c r="V205" s="612" t="str">
        <f t="shared" ref="V205:V211" ca="1" si="487">IF(OFFSET(AU205,0,Lang_Order*Lang__B5)="","",OFFSET(AU205,0,Lang_Order*Lang__B5))</f>
        <v>Vaccinator Time Per Site Per Dose (hours)</v>
      </c>
      <c r="W205" s="26" t="e">
        <f>IF(W195=0,0,(W191*$T191)/(60*W195))</f>
        <v>#N/A</v>
      </c>
      <c r="X205" s="26" t="e">
        <f t="shared" ref="X205:AB205" si="488">IF(X195=0,0,(X191*$T191)/(60*X195))</f>
        <v>#N/A</v>
      </c>
      <c r="Y205" s="26" t="e">
        <f t="shared" si="488"/>
        <v>#N/A</v>
      </c>
      <c r="Z205" s="26" t="e">
        <f t="shared" si="488"/>
        <v>#N/A</v>
      </c>
      <c r="AA205" s="26" t="e">
        <f t="shared" si="488"/>
        <v>#N/A</v>
      </c>
      <c r="AB205" s="26" t="e">
        <f t="shared" si="488"/>
        <v>#N/A</v>
      </c>
      <c r="AC205" s="16" t="e">
        <f t="shared" ref="AC205:AC211" si="489">SUM(W205:AB205)</f>
        <v>#N/A</v>
      </c>
      <c r="AD205" s="16"/>
      <c r="AE205" s="2"/>
      <c r="AF205" s="241"/>
      <c r="AG205" s="624"/>
      <c r="AH205" s="612" t="str">
        <f t="shared" ref="AH205:AH211" ca="1" si="490">IF(OFFSET(AU205,0,Lang_Order*Lang__B5)="","",OFFSET(AU205,0,Lang_Order*Lang__B5))</f>
        <v>Vaccinator Time Per Site Per Dose (hours)</v>
      </c>
      <c r="AI205" s="26" t="e">
        <f>IF(AI195=0,0,(AI191*$AF191)/(60*AI195))</f>
        <v>#N/A</v>
      </c>
      <c r="AJ205" s="26" t="e">
        <f t="shared" ref="AJ205:AN205" si="491">IF(AJ195=0,0,(AJ191*$AF191)/(60*AJ195))</f>
        <v>#N/A</v>
      </c>
      <c r="AK205" s="26" t="e">
        <f t="shared" si="491"/>
        <v>#N/A</v>
      </c>
      <c r="AL205" s="26" t="e">
        <f t="shared" si="491"/>
        <v>#N/A</v>
      </c>
      <c r="AM205" s="26" t="e">
        <f t="shared" si="491"/>
        <v>#N/A</v>
      </c>
      <c r="AN205" s="26" t="e">
        <f t="shared" si="491"/>
        <v>#N/A</v>
      </c>
      <c r="AO205" s="16" t="e">
        <f t="shared" ref="AO205:AO211" si="492">SUM(AI205:AN205)</f>
        <v>#N/A</v>
      </c>
      <c r="AP205" s="16"/>
      <c r="AR205" s="403"/>
      <c r="AS205" s="403"/>
      <c r="AT205" s="403"/>
      <c r="AU205" s="403" t="s">
        <v>1678</v>
      </c>
      <c r="AV205" s="403"/>
      <c r="AW205" s="403"/>
      <c r="AX205" s="403"/>
      <c r="AY205" s="403"/>
      <c r="AZ205" s="403"/>
      <c r="BA205" s="403"/>
      <c r="BB205" s="403"/>
      <c r="BC205" s="403"/>
      <c r="BD205" s="403"/>
      <c r="BE205" s="403"/>
      <c r="BF205" s="403"/>
      <c r="BG205" s="403"/>
      <c r="BH205" s="403"/>
      <c r="BI205" s="403"/>
      <c r="BJ205" s="403" t="s">
        <v>1679</v>
      </c>
      <c r="BK205" s="403"/>
      <c r="BL205" s="403"/>
      <c r="BM205" s="403"/>
      <c r="BN205" s="403"/>
      <c r="BO205" s="403"/>
      <c r="BP205" s="403"/>
      <c r="BQ205" s="403"/>
      <c r="BR205" s="403"/>
      <c r="BS205" s="403"/>
      <c r="BT205" s="403"/>
      <c r="BU205" s="403"/>
      <c r="BV205" s="403"/>
      <c r="BW205" s="403"/>
      <c r="BX205" s="403"/>
      <c r="BY205" s="403"/>
      <c r="BZ205" s="403"/>
      <c r="CA205" s="403"/>
      <c r="CB205" s="403"/>
      <c r="CC205" s="403" t="s">
        <v>11939</v>
      </c>
      <c r="CD205" s="403"/>
      <c r="CE205" s="403"/>
      <c r="CF205" s="403"/>
      <c r="CG205" s="403"/>
      <c r="CH205" s="403"/>
      <c r="CI205" s="403"/>
      <c r="CJ205" s="403"/>
      <c r="CK205" s="403"/>
      <c r="CL205" s="403"/>
      <c r="CM205" s="403"/>
      <c r="CN205" s="403"/>
      <c r="CO205" s="403"/>
      <c r="CP205" s="403"/>
      <c r="CQ205" s="403"/>
      <c r="CR205" s="403" t="s">
        <v>12125</v>
      </c>
      <c r="CS205" s="403"/>
      <c r="CT205" s="403"/>
      <c r="CU205" s="403"/>
      <c r="CV205" s="403"/>
      <c r="CW205" s="403"/>
      <c r="CX205" s="403"/>
      <c r="CY205" s="403"/>
      <c r="CZ205" s="403"/>
      <c r="DA205" s="403"/>
      <c r="DB205" s="403"/>
      <c r="DC205" s="403"/>
      <c r="DD205" s="403"/>
      <c r="DE205" s="403"/>
      <c r="DF205" s="403"/>
      <c r="DG205" s="403"/>
      <c r="DH205" s="403"/>
      <c r="DI205" s="403"/>
      <c r="DJ205" s="403"/>
      <c r="DK205" s="403" t="s">
        <v>11941</v>
      </c>
      <c r="DL205" s="403"/>
      <c r="DM205" s="403"/>
      <c r="DN205" s="403"/>
      <c r="DO205" s="403"/>
      <c r="DP205" s="403"/>
      <c r="DQ205" s="403"/>
      <c r="DR205" s="403"/>
      <c r="DS205" s="403"/>
      <c r="DT205" s="403"/>
      <c r="DU205" s="403"/>
      <c r="DV205" s="403"/>
      <c r="DW205" s="403"/>
      <c r="DX205" s="403"/>
      <c r="DY205" s="403"/>
      <c r="DZ205" s="403" t="s">
        <v>11942</v>
      </c>
      <c r="EA205" s="403"/>
      <c r="EB205" s="403"/>
      <c r="EC205" s="403"/>
      <c r="ED205" s="403"/>
      <c r="EE205" s="403"/>
      <c r="EF205" s="403"/>
      <c r="EG205" s="403"/>
      <c r="EH205" s="403"/>
      <c r="EI205" s="403"/>
      <c r="EJ205" s="403"/>
      <c r="EK205" s="403"/>
      <c r="EL205" s="403"/>
      <c r="EM205" s="403"/>
      <c r="EN205" s="403"/>
      <c r="EO205" s="403"/>
      <c r="EP205" s="403"/>
      <c r="EQ205" s="403"/>
      <c r="ER205" s="403"/>
      <c r="ES205" s="403" t="s">
        <v>11943</v>
      </c>
      <c r="ET205" s="403"/>
      <c r="EU205" s="403"/>
      <c r="EV205" s="403"/>
      <c r="EW205" s="403"/>
      <c r="EX205" s="403"/>
      <c r="EY205" s="403"/>
      <c r="EZ205" s="403"/>
      <c r="FA205" s="403"/>
      <c r="FB205" s="403"/>
      <c r="FC205" s="403"/>
      <c r="FD205" s="403"/>
      <c r="FE205" s="403"/>
      <c r="FF205" s="403"/>
      <c r="FG205" s="403"/>
      <c r="FH205" s="403" t="s">
        <v>11944</v>
      </c>
      <c r="FI205" s="403"/>
      <c r="FJ205" s="403"/>
      <c r="FK205" s="403"/>
      <c r="FL205" s="403"/>
      <c r="FM205" s="403"/>
      <c r="FN205" s="403"/>
      <c r="FO205" s="403"/>
      <c r="FP205" s="403"/>
      <c r="FQ205" s="403"/>
      <c r="FR205" s="403"/>
      <c r="FS205" s="403"/>
      <c r="FT205" s="403"/>
      <c r="FU205" s="403"/>
      <c r="FV205" s="403"/>
      <c r="FW205" s="403"/>
      <c r="FX205" s="403"/>
      <c r="FY205" s="403"/>
      <c r="FZ205" s="403"/>
      <c r="GA205" s="403" t="s">
        <v>11945</v>
      </c>
      <c r="GB205" s="403"/>
      <c r="GC205" s="403"/>
      <c r="GD205" s="403"/>
      <c r="GE205" s="403"/>
      <c r="GF205" s="403"/>
      <c r="GG205" s="403"/>
      <c r="GH205" s="403"/>
      <c r="GI205" s="403"/>
      <c r="GJ205" s="403"/>
      <c r="GK205" s="403"/>
      <c r="GL205" s="403"/>
      <c r="GM205" s="403"/>
      <c r="GN205" s="403"/>
      <c r="GO205" s="403"/>
      <c r="GP205" s="403" t="s">
        <v>11946</v>
      </c>
      <c r="GQ205" s="403"/>
      <c r="GR205" s="403"/>
      <c r="GS205" s="403"/>
      <c r="GT205" s="403"/>
      <c r="GU205" s="403"/>
      <c r="GV205" s="403"/>
      <c r="GW205" s="403"/>
      <c r="GX205" s="403"/>
      <c r="GY205" s="403"/>
      <c r="GZ205" s="403"/>
      <c r="HA205" s="403"/>
      <c r="HB205" s="403"/>
      <c r="HC205" s="403"/>
      <c r="HD205" s="403"/>
      <c r="HE205" s="403"/>
      <c r="HF205" s="403"/>
      <c r="HG205" s="403"/>
      <c r="HH205" s="403"/>
      <c r="HI205" s="403" t="s">
        <v>11947</v>
      </c>
      <c r="HJ205" s="403"/>
      <c r="HK205" s="403"/>
      <c r="HL205" s="403"/>
      <c r="HM205" s="403"/>
      <c r="HN205" s="403"/>
      <c r="HO205" s="403"/>
      <c r="HP205" s="403"/>
      <c r="HQ205" s="403"/>
      <c r="HR205" s="403"/>
      <c r="HS205" s="403"/>
      <c r="HT205" s="403"/>
      <c r="HU205" s="403"/>
      <c r="HV205" s="403"/>
      <c r="HW205" s="403"/>
      <c r="HX205" s="403" t="s">
        <v>12181</v>
      </c>
      <c r="HY205" s="403"/>
      <c r="HZ205" s="403"/>
      <c r="IA205" s="403"/>
      <c r="IB205" s="403"/>
      <c r="IC205" s="403"/>
      <c r="ID205" s="403"/>
      <c r="IE205" s="403"/>
      <c r="IF205" s="403"/>
      <c r="IG205" s="403"/>
      <c r="IH205" s="403"/>
      <c r="II205" s="403"/>
      <c r="IJ205" s="403"/>
      <c r="IK205" s="403"/>
      <c r="IL205" s="403"/>
      <c r="IM205" s="403"/>
      <c r="IN205" s="403"/>
      <c r="IO205" s="403"/>
      <c r="IP205" s="403"/>
      <c r="IQ205" s="403" t="s">
        <v>11949</v>
      </c>
      <c r="IR205" s="403"/>
      <c r="IS205" s="403"/>
      <c r="IT205" s="403"/>
      <c r="IU205" s="403"/>
      <c r="IV205" s="403"/>
      <c r="IW205" s="403"/>
      <c r="IX205" s="403"/>
      <c r="IY205" s="403"/>
      <c r="IZ205" s="403"/>
      <c r="JA205" s="403"/>
      <c r="JB205" s="403"/>
      <c r="JC205" s="403"/>
      <c r="JD205" s="403"/>
      <c r="JE205" s="403"/>
      <c r="JF205" s="403" t="s">
        <v>11950</v>
      </c>
      <c r="JG205" s="403"/>
      <c r="JH205" s="403"/>
      <c r="JI205" s="403"/>
      <c r="JJ205" s="403"/>
      <c r="JK205" s="403"/>
      <c r="JL205" s="403"/>
      <c r="JM205" s="403"/>
      <c r="JN205" s="403"/>
      <c r="JO205" s="403"/>
      <c r="JP205" s="403"/>
      <c r="JQ205" s="403"/>
      <c r="JR205" s="403"/>
      <c r="JS205" s="403"/>
      <c r="JT205" s="403"/>
    </row>
    <row r="206" spans="1:280" s="15" customFormat="1" ht="12.75" x14ac:dyDescent="0.2">
      <c r="A206" s="9"/>
      <c r="B206" s="624"/>
      <c r="C206" s="66" t="str">
        <f t="shared" ca="1" si="484"/>
        <v>Total Days Per Site Per Dose</v>
      </c>
      <c r="D206" s="85"/>
      <c r="E206" s="62"/>
      <c r="F206" s="62"/>
      <c r="G206" s="62"/>
      <c r="H206" s="62"/>
      <c r="I206" s="62"/>
      <c r="J206" s="62" t="e">
        <f t="shared" ref="J206:O206" si="493">IF(J199=0,0,ROUNDUP((J205/(HRH_HoursPerDay*J199)),0))</f>
        <v>#N/A</v>
      </c>
      <c r="K206" s="62" t="e">
        <f t="shared" si="493"/>
        <v>#N/A</v>
      </c>
      <c r="L206" s="62" t="e">
        <f t="shared" si="493"/>
        <v>#N/A</v>
      </c>
      <c r="M206" s="62" t="e">
        <f t="shared" si="493"/>
        <v>#N/A</v>
      </c>
      <c r="N206" s="62" t="e">
        <f t="shared" si="493"/>
        <v>#N/A</v>
      </c>
      <c r="O206" s="62" t="e">
        <f t="shared" si="493"/>
        <v>#N/A</v>
      </c>
      <c r="P206" s="16" t="e">
        <f t="shared" si="486"/>
        <v>#N/A</v>
      </c>
      <c r="Q206" s="102" t="e">
        <f>MAX(J206:O206)</f>
        <v>#N/A</v>
      </c>
      <c r="R206" s="12" t="str">
        <f t="shared" ca="1" si="460"/>
        <v>This should be 1</v>
      </c>
      <c r="S206" s="2"/>
      <c r="T206" s="241"/>
      <c r="U206" s="624"/>
      <c r="V206" s="260" t="str">
        <f t="shared" ca="1" si="487"/>
        <v>Total Days Per Site Per Dose</v>
      </c>
      <c r="W206" s="62" t="e">
        <f t="shared" ref="W206" si="494">IF(W199=0,0,ROUNDUP((W205/(HRH_HoursPerDay*W199)),0))</f>
        <v>#N/A</v>
      </c>
      <c r="X206" s="62" t="e">
        <f t="shared" ref="X206:AB206" si="495">IF(X199=0,0,ROUNDUP((X205/(HRH_HoursPerDay*X199)),0))</f>
        <v>#N/A</v>
      </c>
      <c r="Y206" s="62" t="e">
        <f t="shared" si="495"/>
        <v>#N/A</v>
      </c>
      <c r="Z206" s="62" t="e">
        <f t="shared" si="495"/>
        <v>#N/A</v>
      </c>
      <c r="AA206" s="62" t="e">
        <f t="shared" si="495"/>
        <v>#N/A</v>
      </c>
      <c r="AB206" s="62" t="e">
        <f t="shared" si="495"/>
        <v>#N/A</v>
      </c>
      <c r="AC206" s="16" t="e">
        <f t="shared" si="489"/>
        <v>#N/A</v>
      </c>
      <c r="AD206" s="102" t="e">
        <f>MAX(W206:AB206)</f>
        <v>#N/A</v>
      </c>
      <c r="AE206" s="2"/>
      <c r="AF206" s="241"/>
      <c r="AG206" s="624"/>
      <c r="AH206" s="260" t="str">
        <f t="shared" ca="1" si="490"/>
        <v>Total Days Per Site Per Dose</v>
      </c>
      <c r="AI206" s="62" t="e">
        <f t="shared" ref="AI206" si="496">IF(AI199=0,0,ROUNDUP((AI205/(HRH_HoursPerDay*AI199)),0))</f>
        <v>#N/A</v>
      </c>
      <c r="AJ206" s="62" t="e">
        <f t="shared" ref="AJ206:AN206" si="497">IF(AJ199=0,0,ROUNDUP((AJ205/(HRH_HoursPerDay*AJ199)),0))</f>
        <v>#N/A</v>
      </c>
      <c r="AK206" s="62" t="e">
        <f t="shared" si="497"/>
        <v>#N/A</v>
      </c>
      <c r="AL206" s="62" t="e">
        <f t="shared" si="497"/>
        <v>#N/A</v>
      </c>
      <c r="AM206" s="62" t="e">
        <f t="shared" si="497"/>
        <v>#N/A</v>
      </c>
      <c r="AN206" s="62" t="e">
        <f t="shared" si="497"/>
        <v>#N/A</v>
      </c>
      <c r="AO206" s="16" t="e">
        <f t="shared" si="492"/>
        <v>#N/A</v>
      </c>
      <c r="AP206" s="102" t="e">
        <f>MAX(AI206:AN206)</f>
        <v>#N/A</v>
      </c>
      <c r="AR206" s="403"/>
      <c r="AS206" s="403"/>
      <c r="AT206" s="403"/>
      <c r="AU206" s="403" t="s">
        <v>1681</v>
      </c>
      <c r="AV206" s="403"/>
      <c r="AW206" s="403"/>
      <c r="AX206" s="403"/>
      <c r="AY206" s="403"/>
      <c r="AZ206" s="403"/>
      <c r="BA206" s="403"/>
      <c r="BB206" s="403"/>
      <c r="BC206" s="403"/>
      <c r="BD206" s="403"/>
      <c r="BE206" s="403"/>
      <c r="BF206" s="403"/>
      <c r="BG206" s="403"/>
      <c r="BH206" s="403"/>
      <c r="BI206" s="403"/>
      <c r="BJ206" s="403" t="s">
        <v>2699</v>
      </c>
      <c r="BK206" s="403"/>
      <c r="BL206" s="403"/>
      <c r="BM206" s="403"/>
      <c r="BN206" s="403"/>
      <c r="BO206" s="403"/>
      <c r="BP206" s="403"/>
      <c r="BQ206" s="403"/>
      <c r="BR206" s="403"/>
      <c r="BS206" s="403"/>
      <c r="BT206" s="403"/>
      <c r="BU206" s="403"/>
      <c r="BV206" s="403"/>
      <c r="BW206" s="403"/>
      <c r="BX206" s="403"/>
      <c r="BY206" s="403"/>
      <c r="BZ206" s="403"/>
      <c r="CA206" s="403"/>
      <c r="CB206" s="403"/>
      <c r="CC206" s="403" t="s">
        <v>11951</v>
      </c>
      <c r="CD206" s="403"/>
      <c r="CE206" s="403"/>
      <c r="CF206" s="403"/>
      <c r="CG206" s="403"/>
      <c r="CH206" s="403"/>
      <c r="CI206" s="403"/>
      <c r="CJ206" s="403"/>
      <c r="CK206" s="403"/>
      <c r="CL206" s="403"/>
      <c r="CM206" s="403"/>
      <c r="CN206" s="403"/>
      <c r="CO206" s="403"/>
      <c r="CP206" s="403"/>
      <c r="CQ206" s="403"/>
      <c r="CR206" s="403" t="s">
        <v>12126</v>
      </c>
      <c r="CS206" s="403"/>
      <c r="CT206" s="403"/>
      <c r="CU206" s="403"/>
      <c r="CV206" s="403"/>
      <c r="CW206" s="403"/>
      <c r="CX206" s="403"/>
      <c r="CY206" s="403"/>
      <c r="CZ206" s="403"/>
      <c r="DA206" s="403"/>
      <c r="DB206" s="403"/>
      <c r="DC206" s="403"/>
      <c r="DD206" s="403"/>
      <c r="DE206" s="403"/>
      <c r="DF206" s="403"/>
      <c r="DG206" s="403"/>
      <c r="DH206" s="403"/>
      <c r="DI206" s="403"/>
      <c r="DJ206" s="403"/>
      <c r="DK206" s="403" t="s">
        <v>12127</v>
      </c>
      <c r="DL206" s="403"/>
      <c r="DM206" s="403"/>
      <c r="DN206" s="403"/>
      <c r="DO206" s="403"/>
      <c r="DP206" s="403"/>
      <c r="DQ206" s="403"/>
      <c r="DR206" s="403"/>
      <c r="DS206" s="403"/>
      <c r="DT206" s="403"/>
      <c r="DU206" s="403"/>
      <c r="DV206" s="403"/>
      <c r="DW206" s="403"/>
      <c r="DX206" s="403"/>
      <c r="DY206" s="403"/>
      <c r="DZ206" s="403" t="s">
        <v>12182</v>
      </c>
      <c r="EA206" s="403"/>
      <c r="EB206" s="403"/>
      <c r="EC206" s="403"/>
      <c r="ED206" s="403"/>
      <c r="EE206" s="403"/>
      <c r="EF206" s="403"/>
      <c r="EG206" s="403"/>
      <c r="EH206" s="403"/>
      <c r="EI206" s="403"/>
      <c r="EJ206" s="403"/>
      <c r="EK206" s="403"/>
      <c r="EL206" s="403"/>
      <c r="EM206" s="403"/>
      <c r="EN206" s="403"/>
      <c r="EO206" s="403"/>
      <c r="EP206" s="403"/>
      <c r="EQ206" s="403"/>
      <c r="ER206" s="403"/>
      <c r="ES206" s="403" t="s">
        <v>11955</v>
      </c>
      <c r="ET206" s="403"/>
      <c r="EU206" s="403"/>
      <c r="EV206" s="403"/>
      <c r="EW206" s="403"/>
      <c r="EX206" s="403"/>
      <c r="EY206" s="403"/>
      <c r="EZ206" s="403"/>
      <c r="FA206" s="403"/>
      <c r="FB206" s="403"/>
      <c r="FC206" s="403"/>
      <c r="FD206" s="403"/>
      <c r="FE206" s="403"/>
      <c r="FF206" s="403"/>
      <c r="FG206" s="403"/>
      <c r="FH206" s="403" t="s">
        <v>12129</v>
      </c>
      <c r="FI206" s="403"/>
      <c r="FJ206" s="403"/>
      <c r="FK206" s="403"/>
      <c r="FL206" s="403"/>
      <c r="FM206" s="403"/>
      <c r="FN206" s="403"/>
      <c r="FO206" s="403"/>
      <c r="FP206" s="403"/>
      <c r="FQ206" s="403"/>
      <c r="FR206" s="403"/>
      <c r="FS206" s="403"/>
      <c r="FT206" s="403"/>
      <c r="FU206" s="403"/>
      <c r="FV206" s="403"/>
      <c r="FW206" s="403"/>
      <c r="FX206" s="403"/>
      <c r="FY206" s="403"/>
      <c r="FZ206" s="403"/>
      <c r="GA206" s="403" t="s">
        <v>11957</v>
      </c>
      <c r="GB206" s="403"/>
      <c r="GC206" s="403"/>
      <c r="GD206" s="403"/>
      <c r="GE206" s="403"/>
      <c r="GF206" s="403"/>
      <c r="GG206" s="403"/>
      <c r="GH206" s="403"/>
      <c r="GI206" s="403"/>
      <c r="GJ206" s="403"/>
      <c r="GK206" s="403"/>
      <c r="GL206" s="403"/>
      <c r="GM206" s="403"/>
      <c r="GN206" s="403"/>
      <c r="GO206" s="403"/>
      <c r="GP206" s="403" t="s">
        <v>12130</v>
      </c>
      <c r="GQ206" s="403"/>
      <c r="GR206" s="403"/>
      <c r="GS206" s="403"/>
      <c r="GT206" s="403"/>
      <c r="GU206" s="403"/>
      <c r="GV206" s="403"/>
      <c r="GW206" s="403"/>
      <c r="GX206" s="403"/>
      <c r="GY206" s="403"/>
      <c r="GZ206" s="403"/>
      <c r="HA206" s="403"/>
      <c r="HB206" s="403"/>
      <c r="HC206" s="403"/>
      <c r="HD206" s="403"/>
      <c r="HE206" s="403"/>
      <c r="HF206" s="403"/>
      <c r="HG206" s="403"/>
      <c r="HH206" s="403"/>
      <c r="HI206" s="403" t="s">
        <v>11959</v>
      </c>
      <c r="HJ206" s="403"/>
      <c r="HK206" s="403"/>
      <c r="HL206" s="403"/>
      <c r="HM206" s="403"/>
      <c r="HN206" s="403"/>
      <c r="HO206" s="403"/>
      <c r="HP206" s="403"/>
      <c r="HQ206" s="403"/>
      <c r="HR206" s="403"/>
      <c r="HS206" s="403"/>
      <c r="HT206" s="403"/>
      <c r="HU206" s="403"/>
      <c r="HV206" s="403"/>
      <c r="HW206" s="403"/>
      <c r="HX206" s="403" t="s">
        <v>12131</v>
      </c>
      <c r="HY206" s="403"/>
      <c r="HZ206" s="403"/>
      <c r="IA206" s="403"/>
      <c r="IB206" s="403"/>
      <c r="IC206" s="403"/>
      <c r="ID206" s="403"/>
      <c r="IE206" s="403"/>
      <c r="IF206" s="403"/>
      <c r="IG206" s="403"/>
      <c r="IH206" s="403"/>
      <c r="II206" s="403"/>
      <c r="IJ206" s="403"/>
      <c r="IK206" s="403"/>
      <c r="IL206" s="403"/>
      <c r="IM206" s="403"/>
      <c r="IN206" s="403"/>
      <c r="IO206" s="403"/>
      <c r="IP206" s="403"/>
      <c r="IQ206" s="403" t="s">
        <v>11961</v>
      </c>
      <c r="IR206" s="403"/>
      <c r="IS206" s="403"/>
      <c r="IT206" s="403"/>
      <c r="IU206" s="403"/>
      <c r="IV206" s="403"/>
      <c r="IW206" s="403"/>
      <c r="IX206" s="403"/>
      <c r="IY206" s="403"/>
      <c r="IZ206" s="403"/>
      <c r="JA206" s="403"/>
      <c r="JB206" s="403"/>
      <c r="JC206" s="403"/>
      <c r="JD206" s="403"/>
      <c r="JE206" s="403"/>
      <c r="JF206" s="403" t="s">
        <v>12132</v>
      </c>
      <c r="JG206" s="403"/>
      <c r="JH206" s="403"/>
      <c r="JI206" s="403"/>
      <c r="JJ206" s="403"/>
      <c r="JK206" s="403"/>
      <c r="JL206" s="403"/>
      <c r="JM206" s="403"/>
      <c r="JN206" s="403"/>
      <c r="JO206" s="403"/>
      <c r="JP206" s="403"/>
      <c r="JQ206" s="403"/>
      <c r="JR206" s="403"/>
      <c r="JS206" s="403"/>
      <c r="JT206" s="403"/>
    </row>
    <row r="207" spans="1:280" s="15" customFormat="1" ht="12.75" x14ac:dyDescent="0.2">
      <c r="A207" s="9"/>
      <c r="B207" s="624"/>
      <c r="C207" s="66" t="str">
        <f t="shared" ca="1" si="484"/>
        <v>Total Days Per Site Per Course</v>
      </c>
      <c r="D207" s="85"/>
      <c r="E207" s="62"/>
      <c r="F207" s="62"/>
      <c r="G207" s="62"/>
      <c r="H207" s="62"/>
      <c r="I207" s="62"/>
      <c r="J207" s="62" t="e">
        <f t="shared" ref="J207:O207" si="498">J206*$E191</f>
        <v>#N/A</v>
      </c>
      <c r="K207" s="62" t="e">
        <f t="shared" si="498"/>
        <v>#N/A</v>
      </c>
      <c r="L207" s="62" t="e">
        <f t="shared" si="498"/>
        <v>#N/A</v>
      </c>
      <c r="M207" s="62" t="e">
        <f t="shared" si="498"/>
        <v>#N/A</v>
      </c>
      <c r="N207" s="62" t="e">
        <f t="shared" si="498"/>
        <v>#N/A</v>
      </c>
      <c r="O207" s="62" t="e">
        <f t="shared" si="498"/>
        <v>#N/A</v>
      </c>
      <c r="P207" s="16" t="e">
        <f t="shared" si="486"/>
        <v>#N/A</v>
      </c>
      <c r="Q207" s="16"/>
      <c r="R207" s="12" t="str">
        <f t="shared" ca="1" si="460"/>
        <v>In case more than one dose needed</v>
      </c>
      <c r="S207" s="2"/>
      <c r="T207" s="241"/>
      <c r="U207" s="624"/>
      <c r="V207" s="260" t="str">
        <f t="shared" ca="1" si="487"/>
        <v>Total Days Per Site Per Course</v>
      </c>
      <c r="W207" s="62" t="e">
        <f>W206*$E191</f>
        <v>#N/A</v>
      </c>
      <c r="X207" s="62" t="e">
        <f t="shared" ref="X207:AB207" si="499">X206*$E191</f>
        <v>#N/A</v>
      </c>
      <c r="Y207" s="62" t="e">
        <f t="shared" si="499"/>
        <v>#N/A</v>
      </c>
      <c r="Z207" s="62" t="e">
        <f t="shared" si="499"/>
        <v>#N/A</v>
      </c>
      <c r="AA207" s="62" t="e">
        <f t="shared" si="499"/>
        <v>#N/A</v>
      </c>
      <c r="AB207" s="62" t="e">
        <f t="shared" si="499"/>
        <v>#N/A</v>
      </c>
      <c r="AC207" s="16" t="e">
        <f t="shared" si="489"/>
        <v>#N/A</v>
      </c>
      <c r="AD207" s="16"/>
      <c r="AE207" s="2"/>
      <c r="AF207" s="241"/>
      <c r="AG207" s="624"/>
      <c r="AH207" s="260" t="str">
        <f t="shared" ca="1" si="490"/>
        <v>Total Days Per Site Per Course</v>
      </c>
      <c r="AI207" s="62" t="e">
        <f>AI206*$E191</f>
        <v>#N/A</v>
      </c>
      <c r="AJ207" s="62" t="e">
        <f t="shared" ref="AJ207:AN207" si="500">AJ206*$E191</f>
        <v>#N/A</v>
      </c>
      <c r="AK207" s="62" t="e">
        <f t="shared" si="500"/>
        <v>#N/A</v>
      </c>
      <c r="AL207" s="62" t="e">
        <f t="shared" si="500"/>
        <v>#N/A</v>
      </c>
      <c r="AM207" s="62" t="e">
        <f t="shared" si="500"/>
        <v>#N/A</v>
      </c>
      <c r="AN207" s="62" t="e">
        <f t="shared" si="500"/>
        <v>#N/A</v>
      </c>
      <c r="AO207" s="16" t="e">
        <f t="shared" si="492"/>
        <v>#N/A</v>
      </c>
      <c r="AP207" s="16"/>
      <c r="AR207" s="403"/>
      <c r="AS207" s="403"/>
      <c r="AT207" s="403"/>
      <c r="AU207" s="403" t="s">
        <v>1680</v>
      </c>
      <c r="AV207" s="403"/>
      <c r="AW207" s="403"/>
      <c r="AX207" s="403"/>
      <c r="AY207" s="403"/>
      <c r="AZ207" s="403"/>
      <c r="BA207" s="403"/>
      <c r="BB207" s="403"/>
      <c r="BC207" s="403"/>
      <c r="BD207" s="403"/>
      <c r="BE207" s="403"/>
      <c r="BF207" s="403"/>
      <c r="BG207" s="403"/>
      <c r="BH207" s="403"/>
      <c r="BI207" s="403"/>
      <c r="BJ207" s="403" t="s">
        <v>1685</v>
      </c>
      <c r="BK207" s="403"/>
      <c r="BL207" s="403"/>
      <c r="BM207" s="403"/>
      <c r="BN207" s="403"/>
      <c r="BO207" s="403"/>
      <c r="BP207" s="403"/>
      <c r="BQ207" s="403"/>
      <c r="BR207" s="403"/>
      <c r="BS207" s="403"/>
      <c r="BT207" s="403"/>
      <c r="BU207" s="403"/>
      <c r="BV207" s="403"/>
      <c r="BW207" s="403"/>
      <c r="BX207" s="403"/>
      <c r="BY207" s="403"/>
      <c r="BZ207" s="403"/>
      <c r="CA207" s="403"/>
      <c r="CB207" s="403"/>
      <c r="CC207" s="403" t="s">
        <v>11963</v>
      </c>
      <c r="CD207" s="403"/>
      <c r="CE207" s="403"/>
      <c r="CF207" s="403"/>
      <c r="CG207" s="403"/>
      <c r="CH207" s="403"/>
      <c r="CI207" s="403"/>
      <c r="CJ207" s="403"/>
      <c r="CK207" s="403"/>
      <c r="CL207" s="403"/>
      <c r="CM207" s="403"/>
      <c r="CN207" s="403"/>
      <c r="CO207" s="403"/>
      <c r="CP207" s="403"/>
      <c r="CQ207" s="403"/>
      <c r="CR207" s="403" t="s">
        <v>11964</v>
      </c>
      <c r="CS207" s="403"/>
      <c r="CT207" s="403"/>
      <c r="CU207" s="403"/>
      <c r="CV207" s="403"/>
      <c r="CW207" s="403"/>
      <c r="CX207" s="403"/>
      <c r="CY207" s="403"/>
      <c r="CZ207" s="403"/>
      <c r="DA207" s="403"/>
      <c r="DB207" s="403"/>
      <c r="DC207" s="403"/>
      <c r="DD207" s="403"/>
      <c r="DE207" s="403"/>
      <c r="DF207" s="403"/>
      <c r="DG207" s="403"/>
      <c r="DH207" s="403"/>
      <c r="DI207" s="403"/>
      <c r="DJ207" s="403"/>
      <c r="DK207" s="403" t="s">
        <v>12183</v>
      </c>
      <c r="DL207" s="403"/>
      <c r="DM207" s="403"/>
      <c r="DN207" s="403"/>
      <c r="DO207" s="403"/>
      <c r="DP207" s="403"/>
      <c r="DQ207" s="403"/>
      <c r="DR207" s="403"/>
      <c r="DS207" s="403"/>
      <c r="DT207" s="403"/>
      <c r="DU207" s="403"/>
      <c r="DV207" s="403"/>
      <c r="DW207" s="403"/>
      <c r="DX207" s="403"/>
      <c r="DY207" s="403"/>
      <c r="DZ207" s="403" t="s">
        <v>11966</v>
      </c>
      <c r="EA207" s="403"/>
      <c r="EB207" s="403"/>
      <c r="EC207" s="403"/>
      <c r="ED207" s="403"/>
      <c r="EE207" s="403"/>
      <c r="EF207" s="403"/>
      <c r="EG207" s="403"/>
      <c r="EH207" s="403"/>
      <c r="EI207" s="403"/>
      <c r="EJ207" s="403"/>
      <c r="EK207" s="403"/>
      <c r="EL207" s="403"/>
      <c r="EM207" s="403"/>
      <c r="EN207" s="403"/>
      <c r="EO207" s="403"/>
      <c r="EP207" s="403"/>
      <c r="EQ207" s="403"/>
      <c r="ER207" s="403"/>
      <c r="ES207" s="403" t="s">
        <v>11967</v>
      </c>
      <c r="ET207" s="403"/>
      <c r="EU207" s="403"/>
      <c r="EV207" s="403"/>
      <c r="EW207" s="403"/>
      <c r="EX207" s="403"/>
      <c r="EY207" s="403"/>
      <c r="EZ207" s="403"/>
      <c r="FA207" s="403"/>
      <c r="FB207" s="403"/>
      <c r="FC207" s="403"/>
      <c r="FD207" s="403"/>
      <c r="FE207" s="403"/>
      <c r="FF207" s="403"/>
      <c r="FG207" s="403"/>
      <c r="FH207" s="403" t="s">
        <v>11968</v>
      </c>
      <c r="FI207" s="403"/>
      <c r="FJ207" s="403"/>
      <c r="FK207" s="403"/>
      <c r="FL207" s="403"/>
      <c r="FM207" s="403"/>
      <c r="FN207" s="403"/>
      <c r="FO207" s="403"/>
      <c r="FP207" s="403"/>
      <c r="FQ207" s="403"/>
      <c r="FR207" s="403"/>
      <c r="FS207" s="403"/>
      <c r="FT207" s="403"/>
      <c r="FU207" s="403"/>
      <c r="FV207" s="403"/>
      <c r="FW207" s="403"/>
      <c r="FX207" s="403"/>
      <c r="FY207" s="403"/>
      <c r="FZ207" s="403"/>
      <c r="GA207" s="403" t="s">
        <v>11969</v>
      </c>
      <c r="GB207" s="403"/>
      <c r="GC207" s="403"/>
      <c r="GD207" s="403"/>
      <c r="GE207" s="403"/>
      <c r="GF207" s="403"/>
      <c r="GG207" s="403"/>
      <c r="GH207" s="403"/>
      <c r="GI207" s="403"/>
      <c r="GJ207" s="403"/>
      <c r="GK207" s="403"/>
      <c r="GL207" s="403"/>
      <c r="GM207" s="403"/>
      <c r="GN207" s="403"/>
      <c r="GO207" s="403"/>
      <c r="GP207" s="403" t="s">
        <v>11970</v>
      </c>
      <c r="GQ207" s="403"/>
      <c r="GR207" s="403"/>
      <c r="GS207" s="403"/>
      <c r="GT207" s="403"/>
      <c r="GU207" s="403"/>
      <c r="GV207" s="403"/>
      <c r="GW207" s="403"/>
      <c r="GX207" s="403"/>
      <c r="GY207" s="403"/>
      <c r="GZ207" s="403"/>
      <c r="HA207" s="403"/>
      <c r="HB207" s="403"/>
      <c r="HC207" s="403"/>
      <c r="HD207" s="403"/>
      <c r="HE207" s="403"/>
      <c r="HF207" s="403"/>
      <c r="HG207" s="403"/>
      <c r="HH207" s="403"/>
      <c r="HI207" s="403" t="s">
        <v>11971</v>
      </c>
      <c r="HJ207" s="403"/>
      <c r="HK207" s="403"/>
      <c r="HL207" s="403"/>
      <c r="HM207" s="403"/>
      <c r="HN207" s="403"/>
      <c r="HO207" s="403"/>
      <c r="HP207" s="403"/>
      <c r="HQ207" s="403"/>
      <c r="HR207" s="403"/>
      <c r="HS207" s="403"/>
      <c r="HT207" s="403"/>
      <c r="HU207" s="403"/>
      <c r="HV207" s="403"/>
      <c r="HW207" s="403"/>
      <c r="HX207" s="403" t="s">
        <v>11972</v>
      </c>
      <c r="HY207" s="403"/>
      <c r="HZ207" s="403"/>
      <c r="IA207" s="403"/>
      <c r="IB207" s="403"/>
      <c r="IC207" s="403"/>
      <c r="ID207" s="403"/>
      <c r="IE207" s="403"/>
      <c r="IF207" s="403"/>
      <c r="IG207" s="403"/>
      <c r="IH207" s="403"/>
      <c r="II207" s="403"/>
      <c r="IJ207" s="403"/>
      <c r="IK207" s="403"/>
      <c r="IL207" s="403"/>
      <c r="IM207" s="403"/>
      <c r="IN207" s="403"/>
      <c r="IO207" s="403"/>
      <c r="IP207" s="403"/>
      <c r="IQ207" s="403" t="s">
        <v>11973</v>
      </c>
      <c r="IR207" s="403"/>
      <c r="IS207" s="403"/>
      <c r="IT207" s="403"/>
      <c r="IU207" s="403"/>
      <c r="IV207" s="403"/>
      <c r="IW207" s="403"/>
      <c r="IX207" s="403"/>
      <c r="IY207" s="403"/>
      <c r="IZ207" s="403"/>
      <c r="JA207" s="403"/>
      <c r="JB207" s="403"/>
      <c r="JC207" s="403"/>
      <c r="JD207" s="403"/>
      <c r="JE207" s="403"/>
      <c r="JF207" s="403" t="s">
        <v>11974</v>
      </c>
      <c r="JG207" s="403"/>
      <c r="JH207" s="403"/>
      <c r="JI207" s="403"/>
      <c r="JJ207" s="403"/>
      <c r="JK207" s="403"/>
      <c r="JL207" s="403"/>
      <c r="JM207" s="403"/>
      <c r="JN207" s="403"/>
      <c r="JO207" s="403"/>
      <c r="JP207" s="403"/>
      <c r="JQ207" s="403"/>
      <c r="JR207" s="403"/>
      <c r="JS207" s="403"/>
      <c r="JT207" s="403"/>
    </row>
    <row r="208" spans="1:280" s="15" customFormat="1" ht="12.75" x14ac:dyDescent="0.2">
      <c r="A208" s="9"/>
      <c r="B208" s="625"/>
      <c r="C208" s="359" t="str">
        <f t="shared" ca="1" si="484"/>
        <v>How long to vaccinate all sites (given # of teams)? (days)</v>
      </c>
      <c r="D208" s="85"/>
      <c r="E208" s="62"/>
      <c r="F208" s="62"/>
      <c r="G208" s="62"/>
      <c r="H208" s="62"/>
      <c r="I208" s="62"/>
      <c r="J208" s="62" t="e">
        <f>IF(J200=0,0,ROUNDUP((J195/J200)*J207,0))</f>
        <v>#N/A</v>
      </c>
      <c r="K208" s="62" t="e">
        <f t="shared" ref="K208:O208" si="501">IF(K200=0,0,ROUNDUP((K195/K200)*K207,0))</f>
        <v>#N/A</v>
      </c>
      <c r="L208" s="62" t="e">
        <f t="shared" si="501"/>
        <v>#N/A</v>
      </c>
      <c r="M208" s="62" t="e">
        <f t="shared" si="501"/>
        <v>#N/A</v>
      </c>
      <c r="N208" s="62" t="e">
        <f t="shared" si="501"/>
        <v>#N/A</v>
      </c>
      <c r="O208" s="62" t="e">
        <f t="shared" si="501"/>
        <v>#N/A</v>
      </c>
      <c r="P208" s="16" t="e">
        <f t="shared" si="486"/>
        <v>#N/A</v>
      </c>
      <c r="Q208" s="102" t="e">
        <f>MAX(J208:O208)</f>
        <v>#N/A</v>
      </c>
      <c r="R208" s="12" t="str">
        <f t="shared" ca="1" si="460"/>
        <v>MAX should be number of days per period; disregarding weekends and hols</v>
      </c>
      <c r="S208" s="2"/>
      <c r="T208" s="241"/>
      <c r="U208" s="624"/>
      <c r="V208" s="615" t="str">
        <f t="shared" ca="1" si="487"/>
        <v>How long to vaccinate all sites (given # of teams)? (days)</v>
      </c>
      <c r="W208" s="62" t="e">
        <f>IF(W200=0,0,ROUNDUP((W195/W200)*W207,0))</f>
        <v>#N/A</v>
      </c>
      <c r="X208" s="62" t="e">
        <f t="shared" ref="X208:AB208" si="502">IF(X200=0,0,ROUNDUP((X195/X200)*X207,0))</f>
        <v>#N/A</v>
      </c>
      <c r="Y208" s="62" t="e">
        <f t="shared" si="502"/>
        <v>#N/A</v>
      </c>
      <c r="Z208" s="62" t="e">
        <f t="shared" si="502"/>
        <v>#N/A</v>
      </c>
      <c r="AA208" s="62" t="e">
        <f t="shared" si="502"/>
        <v>#N/A</v>
      </c>
      <c r="AB208" s="62" t="e">
        <f t="shared" si="502"/>
        <v>#N/A</v>
      </c>
      <c r="AC208" s="16" t="e">
        <f t="shared" si="489"/>
        <v>#N/A</v>
      </c>
      <c r="AD208" s="102" t="e">
        <f>MAX(W208:AB208)</f>
        <v>#N/A</v>
      </c>
      <c r="AE208" s="2"/>
      <c r="AF208" s="241"/>
      <c r="AG208" s="624"/>
      <c r="AH208" s="615" t="str">
        <f t="shared" ca="1" si="490"/>
        <v>How long to vaccinate all sites (given # of teams)? (days)</v>
      </c>
      <c r="AI208" s="62" t="e">
        <f>IF(AI200=0,0,ROUNDUP((AI195/AI200)*AI207,0))</f>
        <v>#N/A</v>
      </c>
      <c r="AJ208" s="62" t="e">
        <f t="shared" ref="AJ208:AN208" si="503">IF(AJ200=0,0,ROUNDUP((AJ195/AJ200)*AJ207,0))</f>
        <v>#N/A</v>
      </c>
      <c r="AK208" s="62" t="e">
        <f t="shared" si="503"/>
        <v>#N/A</v>
      </c>
      <c r="AL208" s="62" t="e">
        <f t="shared" si="503"/>
        <v>#N/A</v>
      </c>
      <c r="AM208" s="62" t="e">
        <f t="shared" si="503"/>
        <v>#N/A</v>
      </c>
      <c r="AN208" s="62" t="e">
        <f t="shared" si="503"/>
        <v>#N/A</v>
      </c>
      <c r="AO208" s="16" t="e">
        <f t="shared" si="492"/>
        <v>#N/A</v>
      </c>
      <c r="AP208" s="102" t="e">
        <f>MAX(AI208:AN208)</f>
        <v>#N/A</v>
      </c>
      <c r="AR208" s="403"/>
      <c r="AS208" s="403"/>
      <c r="AT208" s="403"/>
      <c r="AU208" s="403" t="s">
        <v>1686</v>
      </c>
      <c r="AV208" s="403"/>
      <c r="AW208" s="403"/>
      <c r="AX208" s="403"/>
      <c r="AY208" s="403"/>
      <c r="AZ208" s="403"/>
      <c r="BA208" s="403"/>
      <c r="BB208" s="403"/>
      <c r="BC208" s="403"/>
      <c r="BD208" s="403"/>
      <c r="BE208" s="403"/>
      <c r="BF208" s="403"/>
      <c r="BG208" s="403"/>
      <c r="BH208" s="403"/>
      <c r="BI208" s="403"/>
      <c r="BJ208" s="403" t="s">
        <v>4201</v>
      </c>
      <c r="BK208" s="403"/>
      <c r="BL208" s="403"/>
      <c r="BM208" s="403"/>
      <c r="BN208" s="403"/>
      <c r="BO208" s="403"/>
      <c r="BP208" s="403"/>
      <c r="BQ208" s="403"/>
      <c r="BR208" s="403"/>
      <c r="BS208" s="403"/>
      <c r="BT208" s="403"/>
      <c r="BU208" s="403"/>
      <c r="BV208" s="403"/>
      <c r="BW208" s="403"/>
      <c r="BX208" s="403"/>
      <c r="BY208" s="403"/>
      <c r="BZ208" s="403"/>
      <c r="CA208" s="403"/>
      <c r="CB208" s="403"/>
      <c r="CC208" s="403" t="s">
        <v>11975</v>
      </c>
      <c r="CD208" s="403"/>
      <c r="CE208" s="403"/>
      <c r="CF208" s="403"/>
      <c r="CG208" s="403"/>
      <c r="CH208" s="403"/>
      <c r="CI208" s="403"/>
      <c r="CJ208" s="403"/>
      <c r="CK208" s="403"/>
      <c r="CL208" s="403"/>
      <c r="CM208" s="403"/>
      <c r="CN208" s="403"/>
      <c r="CO208" s="403"/>
      <c r="CP208" s="403"/>
      <c r="CQ208" s="403"/>
      <c r="CR208" s="403" t="s">
        <v>11976</v>
      </c>
      <c r="CS208" s="403"/>
      <c r="CT208" s="403"/>
      <c r="CU208" s="403"/>
      <c r="CV208" s="403"/>
      <c r="CW208" s="403"/>
      <c r="CX208" s="403"/>
      <c r="CY208" s="403"/>
      <c r="CZ208" s="403"/>
      <c r="DA208" s="403"/>
      <c r="DB208" s="403"/>
      <c r="DC208" s="403"/>
      <c r="DD208" s="403"/>
      <c r="DE208" s="403"/>
      <c r="DF208" s="403"/>
      <c r="DG208" s="403"/>
      <c r="DH208" s="403"/>
      <c r="DI208" s="403"/>
      <c r="DJ208" s="403"/>
      <c r="DK208" s="403" t="s">
        <v>12184</v>
      </c>
      <c r="DL208" s="403"/>
      <c r="DM208" s="403"/>
      <c r="DN208" s="403"/>
      <c r="DO208" s="403"/>
      <c r="DP208" s="403"/>
      <c r="DQ208" s="403"/>
      <c r="DR208" s="403"/>
      <c r="DS208" s="403"/>
      <c r="DT208" s="403"/>
      <c r="DU208" s="403"/>
      <c r="DV208" s="403"/>
      <c r="DW208" s="403"/>
      <c r="DX208" s="403"/>
      <c r="DY208" s="403"/>
      <c r="DZ208" s="403" t="s">
        <v>12135</v>
      </c>
      <c r="EA208" s="403"/>
      <c r="EB208" s="403"/>
      <c r="EC208" s="403"/>
      <c r="ED208" s="403"/>
      <c r="EE208" s="403"/>
      <c r="EF208" s="403"/>
      <c r="EG208" s="403"/>
      <c r="EH208" s="403"/>
      <c r="EI208" s="403"/>
      <c r="EJ208" s="403"/>
      <c r="EK208" s="403"/>
      <c r="EL208" s="403"/>
      <c r="EM208" s="403"/>
      <c r="EN208" s="403"/>
      <c r="EO208" s="403"/>
      <c r="EP208" s="403"/>
      <c r="EQ208" s="403"/>
      <c r="ER208" s="403"/>
      <c r="ES208" s="403" t="s">
        <v>11979</v>
      </c>
      <c r="ET208" s="403"/>
      <c r="EU208" s="403"/>
      <c r="EV208" s="403"/>
      <c r="EW208" s="403"/>
      <c r="EX208" s="403"/>
      <c r="EY208" s="403"/>
      <c r="EZ208" s="403"/>
      <c r="FA208" s="403"/>
      <c r="FB208" s="403"/>
      <c r="FC208" s="403"/>
      <c r="FD208" s="403"/>
      <c r="FE208" s="403"/>
      <c r="FF208" s="403"/>
      <c r="FG208" s="403"/>
      <c r="FH208" s="403" t="s">
        <v>11980</v>
      </c>
      <c r="FI208" s="403"/>
      <c r="FJ208" s="403"/>
      <c r="FK208" s="403"/>
      <c r="FL208" s="403"/>
      <c r="FM208" s="403"/>
      <c r="FN208" s="403"/>
      <c r="FO208" s="403"/>
      <c r="FP208" s="403"/>
      <c r="FQ208" s="403"/>
      <c r="FR208" s="403"/>
      <c r="FS208" s="403"/>
      <c r="FT208" s="403"/>
      <c r="FU208" s="403"/>
      <c r="FV208" s="403"/>
      <c r="FW208" s="403"/>
      <c r="FX208" s="403"/>
      <c r="FY208" s="403"/>
      <c r="FZ208" s="403"/>
      <c r="GA208" s="403" t="s">
        <v>11981</v>
      </c>
      <c r="GB208" s="403"/>
      <c r="GC208" s="403"/>
      <c r="GD208" s="403"/>
      <c r="GE208" s="403"/>
      <c r="GF208" s="403"/>
      <c r="GG208" s="403"/>
      <c r="GH208" s="403"/>
      <c r="GI208" s="403"/>
      <c r="GJ208" s="403"/>
      <c r="GK208" s="403"/>
      <c r="GL208" s="403"/>
      <c r="GM208" s="403"/>
      <c r="GN208" s="403"/>
      <c r="GO208" s="403"/>
      <c r="GP208" s="403" t="s">
        <v>11982</v>
      </c>
      <c r="GQ208" s="403"/>
      <c r="GR208" s="403"/>
      <c r="GS208" s="403"/>
      <c r="GT208" s="403"/>
      <c r="GU208" s="403"/>
      <c r="GV208" s="403"/>
      <c r="GW208" s="403"/>
      <c r="GX208" s="403"/>
      <c r="GY208" s="403"/>
      <c r="GZ208" s="403"/>
      <c r="HA208" s="403"/>
      <c r="HB208" s="403"/>
      <c r="HC208" s="403"/>
      <c r="HD208" s="403"/>
      <c r="HE208" s="403"/>
      <c r="HF208" s="403"/>
      <c r="HG208" s="403"/>
      <c r="HH208" s="403"/>
      <c r="HI208" s="403" t="s">
        <v>11983</v>
      </c>
      <c r="HJ208" s="403"/>
      <c r="HK208" s="403"/>
      <c r="HL208" s="403"/>
      <c r="HM208" s="403"/>
      <c r="HN208" s="403"/>
      <c r="HO208" s="403"/>
      <c r="HP208" s="403"/>
      <c r="HQ208" s="403"/>
      <c r="HR208" s="403"/>
      <c r="HS208" s="403"/>
      <c r="HT208" s="403"/>
      <c r="HU208" s="403"/>
      <c r="HV208" s="403"/>
      <c r="HW208" s="403"/>
      <c r="HX208" s="403" t="s">
        <v>11984</v>
      </c>
      <c r="HY208" s="403"/>
      <c r="HZ208" s="403"/>
      <c r="IA208" s="403"/>
      <c r="IB208" s="403"/>
      <c r="IC208" s="403"/>
      <c r="ID208" s="403"/>
      <c r="IE208" s="403"/>
      <c r="IF208" s="403"/>
      <c r="IG208" s="403"/>
      <c r="IH208" s="403"/>
      <c r="II208" s="403"/>
      <c r="IJ208" s="403"/>
      <c r="IK208" s="403"/>
      <c r="IL208" s="403"/>
      <c r="IM208" s="403"/>
      <c r="IN208" s="403"/>
      <c r="IO208" s="403"/>
      <c r="IP208" s="403"/>
      <c r="IQ208" s="403" t="s">
        <v>11985</v>
      </c>
      <c r="IR208" s="403"/>
      <c r="IS208" s="403"/>
      <c r="IT208" s="403"/>
      <c r="IU208" s="403"/>
      <c r="IV208" s="403"/>
      <c r="IW208" s="403"/>
      <c r="IX208" s="403"/>
      <c r="IY208" s="403"/>
      <c r="IZ208" s="403"/>
      <c r="JA208" s="403"/>
      <c r="JB208" s="403"/>
      <c r="JC208" s="403"/>
      <c r="JD208" s="403"/>
      <c r="JE208" s="403"/>
      <c r="JF208" s="403" t="s">
        <v>11986</v>
      </c>
      <c r="JG208" s="403"/>
      <c r="JH208" s="403"/>
      <c r="JI208" s="403"/>
      <c r="JJ208" s="403"/>
      <c r="JK208" s="403"/>
      <c r="JL208" s="403"/>
      <c r="JM208" s="403"/>
      <c r="JN208" s="403"/>
      <c r="JO208" s="403"/>
      <c r="JP208" s="403"/>
      <c r="JQ208" s="403"/>
      <c r="JR208" s="403"/>
      <c r="JS208" s="403"/>
      <c r="JT208" s="403"/>
    </row>
    <row r="209" spans="1:280" s="15" customFormat="1" ht="12.75" x14ac:dyDescent="0.2">
      <c r="A209" s="9"/>
      <c r="B209" s="624"/>
      <c r="C209" s="23" t="str">
        <f t="shared" ca="1" si="484"/>
        <v>Total Vaccinator Days</v>
      </c>
      <c r="E209" s="2">
        <f>'A3. INPUT Unit Costs'!I13</f>
        <v>1</v>
      </c>
      <c r="F209" s="26"/>
      <c r="G209" s="26"/>
      <c r="H209" s="26"/>
      <c r="I209" s="26"/>
      <c r="J209" s="62" t="e">
        <f>J208*J201</f>
        <v>#N/A</v>
      </c>
      <c r="K209" s="62" t="e">
        <f t="shared" ref="K209:O209" si="504">K208*K201</f>
        <v>#N/A</v>
      </c>
      <c r="L209" s="62" t="e">
        <f t="shared" si="504"/>
        <v>#N/A</v>
      </c>
      <c r="M209" s="62" t="e">
        <f t="shared" si="504"/>
        <v>#N/A</v>
      </c>
      <c r="N209" s="62" t="e">
        <f t="shared" si="504"/>
        <v>#N/A</v>
      </c>
      <c r="O209" s="62" t="e">
        <f t="shared" si="504"/>
        <v>#N/A</v>
      </c>
      <c r="P209" s="16" t="e">
        <f t="shared" si="486"/>
        <v>#N/A</v>
      </c>
      <c r="Q209" s="16"/>
      <c r="R209" s="12" t="str">
        <f t="shared" ca="1" si="460"/>
        <v/>
      </c>
      <c r="S209" s="2"/>
      <c r="T209" s="241"/>
      <c r="U209" s="624"/>
      <c r="V209" s="72" t="str">
        <f t="shared" ca="1" si="487"/>
        <v>Total Vaccinator Days</v>
      </c>
      <c r="W209" s="62" t="e">
        <f>W208*W201</f>
        <v>#N/A</v>
      </c>
      <c r="X209" s="62" t="e">
        <f t="shared" ref="X209:AB209" si="505">X208*X201</f>
        <v>#N/A</v>
      </c>
      <c r="Y209" s="62" t="e">
        <f t="shared" si="505"/>
        <v>#N/A</v>
      </c>
      <c r="Z209" s="62" t="e">
        <f t="shared" si="505"/>
        <v>#N/A</v>
      </c>
      <c r="AA209" s="62" t="e">
        <f t="shared" si="505"/>
        <v>#N/A</v>
      </c>
      <c r="AB209" s="62" t="e">
        <f t="shared" si="505"/>
        <v>#N/A</v>
      </c>
      <c r="AC209" s="16" t="e">
        <f t="shared" si="489"/>
        <v>#N/A</v>
      </c>
      <c r="AD209" s="16"/>
      <c r="AE209" s="2"/>
      <c r="AF209" s="241"/>
      <c r="AG209" s="624"/>
      <c r="AH209" s="72" t="str">
        <f t="shared" ca="1" si="490"/>
        <v>Total Vaccinator Days</v>
      </c>
      <c r="AI209" s="62" t="e">
        <f>AI208*AI201</f>
        <v>#N/A</v>
      </c>
      <c r="AJ209" s="62" t="e">
        <f t="shared" ref="AJ209:AN209" si="506">AJ208*AJ201</f>
        <v>#N/A</v>
      </c>
      <c r="AK209" s="62" t="e">
        <f t="shared" si="506"/>
        <v>#N/A</v>
      </c>
      <c r="AL209" s="62" t="e">
        <f t="shared" si="506"/>
        <v>#N/A</v>
      </c>
      <c r="AM209" s="62" t="e">
        <f t="shared" si="506"/>
        <v>#N/A</v>
      </c>
      <c r="AN209" s="62" t="e">
        <f t="shared" si="506"/>
        <v>#N/A</v>
      </c>
      <c r="AO209" s="16" t="e">
        <f t="shared" si="492"/>
        <v>#N/A</v>
      </c>
      <c r="AP209" s="16"/>
      <c r="AR209" s="403"/>
      <c r="AS209" s="403"/>
      <c r="AT209" s="403"/>
      <c r="AU209" s="403" t="s">
        <v>1682</v>
      </c>
      <c r="AV209" s="403"/>
      <c r="AW209" s="403"/>
      <c r="AX209" s="403"/>
      <c r="AY209" s="403"/>
      <c r="AZ209" s="403"/>
      <c r="BA209" s="403"/>
      <c r="BB209" s="403"/>
      <c r="BC209" s="403"/>
      <c r="BD209" s="403"/>
      <c r="BE209" s="403"/>
      <c r="BF209" s="403"/>
      <c r="BG209" s="403"/>
      <c r="BH209" s="403"/>
      <c r="BI209" s="403"/>
      <c r="BJ209" s="403"/>
      <c r="BK209" s="403"/>
      <c r="BL209" s="403"/>
      <c r="BM209" s="403"/>
      <c r="BN209" s="403"/>
      <c r="BO209" s="403"/>
      <c r="BP209" s="403"/>
      <c r="BQ209" s="403"/>
      <c r="BR209" s="403"/>
      <c r="BS209" s="403"/>
      <c r="BT209" s="403"/>
      <c r="BU209" s="403"/>
      <c r="BV209" s="403"/>
      <c r="BW209" s="403"/>
      <c r="BX209" s="403"/>
      <c r="BY209" s="403"/>
      <c r="BZ209" s="403"/>
      <c r="CA209" s="403"/>
      <c r="CB209" s="403"/>
      <c r="CC209" s="403" t="s">
        <v>11683</v>
      </c>
      <c r="CD209" s="403"/>
      <c r="CE209" s="403"/>
      <c r="CF209" s="403"/>
      <c r="CG209" s="403"/>
      <c r="CH209" s="403"/>
      <c r="CI209" s="403"/>
      <c r="CJ209" s="403"/>
      <c r="CK209" s="403"/>
      <c r="CL209" s="403"/>
      <c r="CM209" s="403"/>
      <c r="CN209" s="403"/>
      <c r="CO209" s="403"/>
      <c r="CP209" s="403"/>
      <c r="CQ209" s="403"/>
      <c r="CR209" s="403"/>
      <c r="CS209" s="403"/>
      <c r="CT209" s="403"/>
      <c r="CU209" s="403"/>
      <c r="CV209" s="403"/>
      <c r="CW209" s="403"/>
      <c r="CX209" s="403"/>
      <c r="CY209" s="403"/>
      <c r="CZ209" s="403"/>
      <c r="DA209" s="403"/>
      <c r="DB209" s="403"/>
      <c r="DC209" s="403"/>
      <c r="DD209" s="403"/>
      <c r="DE209" s="403"/>
      <c r="DF209" s="403"/>
      <c r="DG209" s="403"/>
      <c r="DH209" s="403"/>
      <c r="DI209" s="403"/>
      <c r="DJ209" s="403"/>
      <c r="DK209" s="403" t="s">
        <v>11684</v>
      </c>
      <c r="DL209" s="403"/>
      <c r="DM209" s="403"/>
      <c r="DN209" s="403"/>
      <c r="DO209" s="403"/>
      <c r="DP209" s="403"/>
      <c r="DQ209" s="403"/>
      <c r="DR209" s="403"/>
      <c r="DS209" s="403"/>
      <c r="DT209" s="403"/>
      <c r="DU209" s="403"/>
      <c r="DV209" s="403"/>
      <c r="DW209" s="403"/>
      <c r="DX209" s="403"/>
      <c r="DY209" s="403"/>
      <c r="DZ209" s="403"/>
      <c r="EA209" s="403"/>
      <c r="EB209" s="403"/>
      <c r="EC209" s="403"/>
      <c r="ED209" s="403"/>
      <c r="EE209" s="403"/>
      <c r="EF209" s="403"/>
      <c r="EG209" s="403"/>
      <c r="EH209" s="403"/>
      <c r="EI209" s="403"/>
      <c r="EJ209" s="403"/>
      <c r="EK209" s="403"/>
      <c r="EL209" s="403"/>
      <c r="EM209" s="403"/>
      <c r="EN209" s="403"/>
      <c r="EO209" s="403"/>
      <c r="EP209" s="403"/>
      <c r="EQ209" s="403"/>
      <c r="ER209" s="403"/>
      <c r="ES209" s="403" t="s">
        <v>11685</v>
      </c>
      <c r="ET209" s="403"/>
      <c r="EU209" s="403"/>
      <c r="EV209" s="403"/>
      <c r="EW209" s="403"/>
      <c r="EX209" s="403"/>
      <c r="EY209" s="403"/>
      <c r="EZ209" s="403"/>
      <c r="FA209" s="403"/>
      <c r="FB209" s="403"/>
      <c r="FC209" s="403"/>
      <c r="FD209" s="403"/>
      <c r="FE209" s="403"/>
      <c r="FF209" s="403"/>
      <c r="FG209" s="403"/>
      <c r="FH209" s="403"/>
      <c r="FI209" s="403"/>
      <c r="FJ209" s="403"/>
      <c r="FK209" s="403"/>
      <c r="FL209" s="403"/>
      <c r="FM209" s="403"/>
      <c r="FN209" s="403"/>
      <c r="FO209" s="403"/>
      <c r="FP209" s="403"/>
      <c r="FQ209" s="403"/>
      <c r="FR209" s="403"/>
      <c r="FS209" s="403"/>
      <c r="FT209" s="403"/>
      <c r="FU209" s="403"/>
      <c r="FV209" s="403"/>
      <c r="FW209" s="403"/>
      <c r="FX209" s="403"/>
      <c r="FY209" s="403"/>
      <c r="FZ209" s="403"/>
      <c r="GA209" s="403" t="s">
        <v>11686</v>
      </c>
      <c r="GB209" s="403"/>
      <c r="GC209" s="403"/>
      <c r="GD209" s="403"/>
      <c r="GE209" s="403"/>
      <c r="GF209" s="403"/>
      <c r="GG209" s="403"/>
      <c r="GH209" s="403"/>
      <c r="GI209" s="403"/>
      <c r="GJ209" s="403"/>
      <c r="GK209" s="403"/>
      <c r="GL209" s="403"/>
      <c r="GM209" s="403"/>
      <c r="GN209" s="403"/>
      <c r="GO209" s="403"/>
      <c r="GP209" s="403"/>
      <c r="GQ209" s="403"/>
      <c r="GR209" s="403"/>
      <c r="GS209" s="403"/>
      <c r="GT209" s="403"/>
      <c r="GU209" s="403"/>
      <c r="GV209" s="403"/>
      <c r="GW209" s="403"/>
      <c r="GX209" s="403"/>
      <c r="GY209" s="403"/>
      <c r="GZ209" s="403"/>
      <c r="HA209" s="403"/>
      <c r="HB209" s="403"/>
      <c r="HC209" s="403"/>
      <c r="HD209" s="403"/>
      <c r="HE209" s="403"/>
      <c r="HF209" s="403"/>
      <c r="HG209" s="403"/>
      <c r="HH209" s="403"/>
      <c r="HI209" s="403" t="s">
        <v>11987</v>
      </c>
      <c r="HJ209" s="403"/>
      <c r="HK209" s="403"/>
      <c r="HL209" s="403"/>
      <c r="HM209" s="403"/>
      <c r="HN209" s="403"/>
      <c r="HO209" s="403"/>
      <c r="HP209" s="403"/>
      <c r="HQ209" s="403"/>
      <c r="HR209" s="403"/>
      <c r="HS209" s="403"/>
      <c r="HT209" s="403"/>
      <c r="HU209" s="403"/>
      <c r="HV209" s="403"/>
      <c r="HW209" s="403"/>
      <c r="HX209" s="403"/>
      <c r="HY209" s="403"/>
      <c r="HZ209" s="403"/>
      <c r="IA209" s="403"/>
      <c r="IB209" s="403"/>
      <c r="IC209" s="403"/>
      <c r="ID209" s="403"/>
      <c r="IE209" s="403"/>
      <c r="IF209" s="403"/>
      <c r="IG209" s="403"/>
      <c r="IH209" s="403"/>
      <c r="II209" s="403"/>
      <c r="IJ209" s="403"/>
      <c r="IK209" s="403"/>
      <c r="IL209" s="403"/>
      <c r="IM209" s="403"/>
      <c r="IN209" s="403"/>
      <c r="IO209" s="403"/>
      <c r="IP209" s="403"/>
      <c r="IQ209" s="403" t="s">
        <v>11688</v>
      </c>
      <c r="IR209" s="403"/>
      <c r="IS209" s="403"/>
      <c r="IT209" s="403"/>
      <c r="IU209" s="403"/>
      <c r="IV209" s="403"/>
      <c r="IW209" s="403"/>
      <c r="IX209" s="403"/>
      <c r="IY209" s="403"/>
      <c r="IZ209" s="403"/>
      <c r="JA209" s="403"/>
      <c r="JB209" s="403"/>
      <c r="JC209" s="403"/>
      <c r="JD209" s="403"/>
      <c r="JE209" s="403"/>
      <c r="JF209" s="403"/>
      <c r="JG209" s="403"/>
      <c r="JH209" s="403"/>
      <c r="JI209" s="403"/>
      <c r="JJ209" s="403"/>
      <c r="JK209" s="403"/>
      <c r="JL209" s="403"/>
      <c r="JM209" s="403"/>
      <c r="JN209" s="403"/>
      <c r="JO209" s="403"/>
      <c r="JP209" s="403"/>
      <c r="JQ209" s="403"/>
      <c r="JR209" s="403"/>
      <c r="JS209" s="403"/>
      <c r="JT209" s="403"/>
    </row>
    <row r="210" spans="1:280" s="15" customFormat="1" ht="12.75" x14ac:dyDescent="0.2">
      <c r="A210" s="9"/>
      <c r="B210" s="624"/>
      <c r="C210" s="23" t="str">
        <f t="shared" ca="1" si="484"/>
        <v>Total Vaccinator Hours</v>
      </c>
      <c r="E210" s="2">
        <f>'A3. INPUT Unit Costs'!I13</f>
        <v>1</v>
      </c>
      <c r="F210" s="26"/>
      <c r="G210" s="26"/>
      <c r="H210" s="26"/>
      <c r="I210" s="26"/>
      <c r="J210" s="26" t="e">
        <f t="shared" ref="J210:O210" si="507">($E191*J191*$G191)/60</f>
        <v>#N/A</v>
      </c>
      <c r="K210" s="26" t="e">
        <f t="shared" si="507"/>
        <v>#N/A</v>
      </c>
      <c r="L210" s="26" t="e">
        <f t="shared" si="507"/>
        <v>#N/A</v>
      </c>
      <c r="M210" s="26" t="e">
        <f t="shared" si="507"/>
        <v>#N/A</v>
      </c>
      <c r="N210" s="26" t="e">
        <f t="shared" si="507"/>
        <v>#N/A</v>
      </c>
      <c r="O210" s="26" t="e">
        <f t="shared" si="507"/>
        <v>#N/A</v>
      </c>
      <c r="P210" s="16" t="e">
        <f t="shared" si="486"/>
        <v>#N/A</v>
      </c>
      <c r="Q210" s="16"/>
      <c r="R210" s="12" t="str">
        <f t="shared" ca="1" si="460"/>
        <v>Not quantized up - this is for supplementary incentive</v>
      </c>
      <c r="S210" s="2"/>
      <c r="T210" s="241"/>
      <c r="U210" s="624"/>
      <c r="V210" s="72" t="str">
        <f t="shared" ca="1" si="487"/>
        <v>Total Vaccinator Hours</v>
      </c>
      <c r="W210" s="26" t="e">
        <f>($E191*W191*$T191)/60</f>
        <v>#N/A</v>
      </c>
      <c r="X210" s="26" t="e">
        <f t="shared" ref="X210:AB210" si="508">($E191*X191*$T191)/60</f>
        <v>#N/A</v>
      </c>
      <c r="Y210" s="26" t="e">
        <f t="shared" si="508"/>
        <v>#N/A</v>
      </c>
      <c r="Z210" s="26" t="e">
        <f t="shared" si="508"/>
        <v>#N/A</v>
      </c>
      <c r="AA210" s="26" t="e">
        <f t="shared" si="508"/>
        <v>#N/A</v>
      </c>
      <c r="AB210" s="26" t="e">
        <f t="shared" si="508"/>
        <v>#N/A</v>
      </c>
      <c r="AC210" s="16" t="e">
        <f t="shared" si="489"/>
        <v>#N/A</v>
      </c>
      <c r="AD210" s="16"/>
      <c r="AE210" s="2"/>
      <c r="AF210" s="241"/>
      <c r="AG210" s="624"/>
      <c r="AH210" s="72" t="str">
        <f t="shared" ca="1" si="490"/>
        <v>Total Vaccinator Hours</v>
      </c>
      <c r="AI210" s="26" t="e">
        <f>($E191*AI191*$AF191)/60</f>
        <v>#N/A</v>
      </c>
      <c r="AJ210" s="26" t="e">
        <f t="shared" ref="AJ210:AN210" si="509">($E191*AJ191*$AF191)/60</f>
        <v>#N/A</v>
      </c>
      <c r="AK210" s="26" t="e">
        <f t="shared" si="509"/>
        <v>#N/A</v>
      </c>
      <c r="AL210" s="26" t="e">
        <f t="shared" si="509"/>
        <v>#N/A</v>
      </c>
      <c r="AM210" s="26" t="e">
        <f t="shared" si="509"/>
        <v>#N/A</v>
      </c>
      <c r="AN210" s="26" t="e">
        <f t="shared" si="509"/>
        <v>#N/A</v>
      </c>
      <c r="AO210" s="16" t="e">
        <f t="shared" si="492"/>
        <v>#N/A</v>
      </c>
      <c r="AP210" s="16"/>
      <c r="AR210" s="403"/>
      <c r="AS210" s="403"/>
      <c r="AT210" s="403"/>
      <c r="AU210" s="403" t="s">
        <v>1714</v>
      </c>
      <c r="AV210" s="403"/>
      <c r="AW210" s="403"/>
      <c r="AX210" s="403"/>
      <c r="AY210" s="403"/>
      <c r="AZ210" s="403"/>
      <c r="BA210" s="403"/>
      <c r="BB210" s="403"/>
      <c r="BC210" s="403"/>
      <c r="BD210" s="403"/>
      <c r="BE210" s="403"/>
      <c r="BF210" s="403"/>
      <c r="BG210" s="403"/>
      <c r="BH210" s="403"/>
      <c r="BI210" s="403"/>
      <c r="BJ210" s="403" t="s">
        <v>1715</v>
      </c>
      <c r="BK210" s="403"/>
      <c r="BL210" s="403"/>
      <c r="BM210" s="403"/>
      <c r="BN210" s="403"/>
      <c r="BO210" s="403"/>
      <c r="BP210" s="403"/>
      <c r="BQ210" s="403"/>
      <c r="BR210" s="403"/>
      <c r="BS210" s="403"/>
      <c r="BT210" s="403"/>
      <c r="BU210" s="403"/>
      <c r="BV210" s="403"/>
      <c r="BW210" s="403"/>
      <c r="BX210" s="403"/>
      <c r="BY210" s="403"/>
      <c r="BZ210" s="403"/>
      <c r="CA210" s="403"/>
      <c r="CB210" s="403"/>
      <c r="CC210" s="403" t="s">
        <v>11988</v>
      </c>
      <c r="CD210" s="403"/>
      <c r="CE210" s="403"/>
      <c r="CF210" s="403"/>
      <c r="CG210" s="403"/>
      <c r="CH210" s="403"/>
      <c r="CI210" s="403"/>
      <c r="CJ210" s="403"/>
      <c r="CK210" s="403"/>
      <c r="CL210" s="403"/>
      <c r="CM210" s="403"/>
      <c r="CN210" s="403"/>
      <c r="CO210" s="403"/>
      <c r="CP210" s="403"/>
      <c r="CQ210" s="403"/>
      <c r="CR210" s="403" t="s">
        <v>11989</v>
      </c>
      <c r="CS210" s="403"/>
      <c r="CT210" s="403"/>
      <c r="CU210" s="403"/>
      <c r="CV210" s="403"/>
      <c r="CW210" s="403"/>
      <c r="CX210" s="403"/>
      <c r="CY210" s="403"/>
      <c r="CZ210" s="403"/>
      <c r="DA210" s="403"/>
      <c r="DB210" s="403"/>
      <c r="DC210" s="403"/>
      <c r="DD210" s="403"/>
      <c r="DE210" s="403"/>
      <c r="DF210" s="403"/>
      <c r="DG210" s="403"/>
      <c r="DH210" s="403"/>
      <c r="DI210" s="403"/>
      <c r="DJ210" s="403"/>
      <c r="DK210" s="403" t="s">
        <v>11990</v>
      </c>
      <c r="DL210" s="403"/>
      <c r="DM210" s="403"/>
      <c r="DN210" s="403"/>
      <c r="DO210" s="403"/>
      <c r="DP210" s="403"/>
      <c r="DQ210" s="403"/>
      <c r="DR210" s="403"/>
      <c r="DS210" s="403"/>
      <c r="DT210" s="403"/>
      <c r="DU210" s="403"/>
      <c r="DV210" s="403"/>
      <c r="DW210" s="403"/>
      <c r="DX210" s="403"/>
      <c r="DY210" s="403"/>
      <c r="DZ210" s="403" t="s">
        <v>11991</v>
      </c>
      <c r="EA210" s="403"/>
      <c r="EB210" s="403"/>
      <c r="EC210" s="403"/>
      <c r="ED210" s="403"/>
      <c r="EE210" s="403"/>
      <c r="EF210" s="403"/>
      <c r="EG210" s="403"/>
      <c r="EH210" s="403"/>
      <c r="EI210" s="403"/>
      <c r="EJ210" s="403"/>
      <c r="EK210" s="403"/>
      <c r="EL210" s="403"/>
      <c r="EM210" s="403"/>
      <c r="EN210" s="403"/>
      <c r="EO210" s="403"/>
      <c r="EP210" s="403"/>
      <c r="EQ210" s="403"/>
      <c r="ER210" s="403"/>
      <c r="ES210" s="403" t="s">
        <v>11992</v>
      </c>
      <c r="ET210" s="403"/>
      <c r="EU210" s="403"/>
      <c r="EV210" s="403"/>
      <c r="EW210" s="403"/>
      <c r="EX210" s="403"/>
      <c r="EY210" s="403"/>
      <c r="EZ210" s="403"/>
      <c r="FA210" s="403"/>
      <c r="FB210" s="403"/>
      <c r="FC210" s="403"/>
      <c r="FD210" s="403"/>
      <c r="FE210" s="403"/>
      <c r="FF210" s="403"/>
      <c r="FG210" s="403"/>
      <c r="FH210" s="403" t="s">
        <v>11993</v>
      </c>
      <c r="FI210" s="403"/>
      <c r="FJ210" s="403"/>
      <c r="FK210" s="403"/>
      <c r="FL210" s="403"/>
      <c r="FM210" s="403"/>
      <c r="FN210" s="403"/>
      <c r="FO210" s="403"/>
      <c r="FP210" s="403"/>
      <c r="FQ210" s="403"/>
      <c r="FR210" s="403"/>
      <c r="FS210" s="403"/>
      <c r="FT210" s="403"/>
      <c r="FU210" s="403"/>
      <c r="FV210" s="403"/>
      <c r="FW210" s="403"/>
      <c r="FX210" s="403"/>
      <c r="FY210" s="403"/>
      <c r="FZ210" s="403"/>
      <c r="GA210" s="403" t="s">
        <v>11994</v>
      </c>
      <c r="GB210" s="403"/>
      <c r="GC210" s="403"/>
      <c r="GD210" s="403"/>
      <c r="GE210" s="403"/>
      <c r="GF210" s="403"/>
      <c r="GG210" s="403"/>
      <c r="GH210" s="403"/>
      <c r="GI210" s="403"/>
      <c r="GJ210" s="403"/>
      <c r="GK210" s="403"/>
      <c r="GL210" s="403"/>
      <c r="GM210" s="403"/>
      <c r="GN210" s="403"/>
      <c r="GO210" s="403"/>
      <c r="GP210" s="403" t="s">
        <v>11995</v>
      </c>
      <c r="GQ210" s="403"/>
      <c r="GR210" s="403"/>
      <c r="GS210" s="403"/>
      <c r="GT210" s="403"/>
      <c r="GU210" s="403"/>
      <c r="GV210" s="403"/>
      <c r="GW210" s="403"/>
      <c r="GX210" s="403"/>
      <c r="GY210" s="403"/>
      <c r="GZ210" s="403"/>
      <c r="HA210" s="403"/>
      <c r="HB210" s="403"/>
      <c r="HC210" s="403"/>
      <c r="HD210" s="403"/>
      <c r="HE210" s="403"/>
      <c r="HF210" s="403"/>
      <c r="HG210" s="403"/>
      <c r="HH210" s="403"/>
      <c r="HI210" s="403" t="s">
        <v>11996</v>
      </c>
      <c r="HJ210" s="403"/>
      <c r="HK210" s="403"/>
      <c r="HL210" s="403"/>
      <c r="HM210" s="403"/>
      <c r="HN210" s="403"/>
      <c r="HO210" s="403"/>
      <c r="HP210" s="403"/>
      <c r="HQ210" s="403"/>
      <c r="HR210" s="403"/>
      <c r="HS210" s="403"/>
      <c r="HT210" s="403"/>
      <c r="HU210" s="403"/>
      <c r="HV210" s="403"/>
      <c r="HW210" s="403"/>
      <c r="HX210" s="403" t="s">
        <v>11997</v>
      </c>
      <c r="HY210" s="403"/>
      <c r="HZ210" s="403"/>
      <c r="IA210" s="403"/>
      <c r="IB210" s="403"/>
      <c r="IC210" s="403"/>
      <c r="ID210" s="403"/>
      <c r="IE210" s="403"/>
      <c r="IF210" s="403"/>
      <c r="IG210" s="403"/>
      <c r="IH210" s="403"/>
      <c r="II210" s="403"/>
      <c r="IJ210" s="403"/>
      <c r="IK210" s="403"/>
      <c r="IL210" s="403"/>
      <c r="IM210" s="403"/>
      <c r="IN210" s="403"/>
      <c r="IO210" s="403"/>
      <c r="IP210" s="403"/>
      <c r="IQ210" s="403" t="s">
        <v>11998</v>
      </c>
      <c r="IR210" s="403"/>
      <c r="IS210" s="403"/>
      <c r="IT210" s="403"/>
      <c r="IU210" s="403"/>
      <c r="IV210" s="403"/>
      <c r="IW210" s="403"/>
      <c r="IX210" s="403"/>
      <c r="IY210" s="403"/>
      <c r="IZ210" s="403"/>
      <c r="JA210" s="403"/>
      <c r="JB210" s="403"/>
      <c r="JC210" s="403"/>
      <c r="JD210" s="403"/>
      <c r="JE210" s="403"/>
      <c r="JF210" s="403" t="s">
        <v>11999</v>
      </c>
      <c r="JG210" s="403"/>
      <c r="JH210" s="403"/>
      <c r="JI210" s="403"/>
      <c r="JJ210" s="403"/>
      <c r="JK210" s="403"/>
      <c r="JL210" s="403"/>
      <c r="JM210" s="403"/>
      <c r="JN210" s="403"/>
      <c r="JO210" s="403"/>
      <c r="JP210" s="403"/>
      <c r="JQ210" s="403"/>
      <c r="JR210" s="403"/>
      <c r="JS210" s="403"/>
      <c r="JT210" s="403"/>
    </row>
    <row r="211" spans="1:280" s="15" customFormat="1" ht="12.75" x14ac:dyDescent="0.2">
      <c r="A211" s="9"/>
      <c r="B211" s="624"/>
      <c r="C211" s="23" t="str">
        <f t="shared" ca="1" si="484"/>
        <v>Total Site-Days</v>
      </c>
      <c r="J211" s="62" t="e">
        <f t="shared" ref="J211:O211" si="510">J207*J195</f>
        <v>#N/A</v>
      </c>
      <c r="K211" s="62" t="e">
        <f t="shared" si="510"/>
        <v>#N/A</v>
      </c>
      <c r="L211" s="62" t="e">
        <f t="shared" si="510"/>
        <v>#N/A</v>
      </c>
      <c r="M211" s="62" t="e">
        <f t="shared" si="510"/>
        <v>#N/A</v>
      </c>
      <c r="N211" s="62" t="e">
        <f t="shared" si="510"/>
        <v>#N/A</v>
      </c>
      <c r="O211" s="62" t="e">
        <f t="shared" si="510"/>
        <v>#N/A</v>
      </c>
      <c r="P211" s="16" t="e">
        <f t="shared" si="486"/>
        <v>#N/A</v>
      </c>
      <c r="Q211" s="16"/>
      <c r="R211" s="12" t="str">
        <f t="shared" ca="1" si="460"/>
        <v/>
      </c>
      <c r="S211" s="2"/>
      <c r="T211" s="241"/>
      <c r="U211" s="624"/>
      <c r="V211" s="72" t="str">
        <f t="shared" ca="1" si="487"/>
        <v>Total Site-Days</v>
      </c>
      <c r="W211" s="62" t="e">
        <f t="shared" ref="W211" si="511">W207*W195</f>
        <v>#N/A</v>
      </c>
      <c r="X211" s="62" t="e">
        <f t="shared" ref="X211:AB211" si="512">X207*X195</f>
        <v>#N/A</v>
      </c>
      <c r="Y211" s="62" t="e">
        <f t="shared" si="512"/>
        <v>#N/A</v>
      </c>
      <c r="Z211" s="62" t="e">
        <f t="shared" si="512"/>
        <v>#N/A</v>
      </c>
      <c r="AA211" s="62" t="e">
        <f t="shared" si="512"/>
        <v>#N/A</v>
      </c>
      <c r="AB211" s="62" t="e">
        <f t="shared" si="512"/>
        <v>#N/A</v>
      </c>
      <c r="AC211" s="16" t="e">
        <f t="shared" si="489"/>
        <v>#N/A</v>
      </c>
      <c r="AD211" s="16"/>
      <c r="AE211" s="2"/>
      <c r="AF211" s="241"/>
      <c r="AG211" s="624"/>
      <c r="AH211" s="72" t="str">
        <f t="shared" ca="1" si="490"/>
        <v>Total Site-Days</v>
      </c>
      <c r="AI211" s="62" t="e">
        <f t="shared" ref="AI211" si="513">AI207*AI195</f>
        <v>#N/A</v>
      </c>
      <c r="AJ211" s="62" t="e">
        <f t="shared" ref="AJ211:AN211" si="514">AJ207*AJ195</f>
        <v>#N/A</v>
      </c>
      <c r="AK211" s="62" t="e">
        <f t="shared" si="514"/>
        <v>#N/A</v>
      </c>
      <c r="AL211" s="62" t="e">
        <f t="shared" si="514"/>
        <v>#N/A</v>
      </c>
      <c r="AM211" s="62" t="e">
        <f t="shared" si="514"/>
        <v>#N/A</v>
      </c>
      <c r="AN211" s="62" t="e">
        <f t="shared" si="514"/>
        <v>#N/A</v>
      </c>
      <c r="AO211" s="16" t="e">
        <f t="shared" si="492"/>
        <v>#N/A</v>
      </c>
      <c r="AP211" s="16"/>
      <c r="AR211" s="403"/>
      <c r="AS211" s="403"/>
      <c r="AT211" s="403"/>
      <c r="AU211" s="403" t="s">
        <v>1589</v>
      </c>
      <c r="AV211" s="403"/>
      <c r="AW211" s="403"/>
      <c r="AX211" s="403"/>
      <c r="AY211" s="403"/>
      <c r="AZ211" s="403"/>
      <c r="BA211" s="403"/>
      <c r="BB211" s="403"/>
      <c r="BC211" s="403"/>
      <c r="BD211" s="403"/>
      <c r="BE211" s="403"/>
      <c r="BF211" s="403"/>
      <c r="BG211" s="403"/>
      <c r="BH211" s="403"/>
      <c r="BI211" s="403"/>
      <c r="BJ211" s="403"/>
      <c r="BK211" s="403"/>
      <c r="BL211" s="403"/>
      <c r="BM211" s="403"/>
      <c r="BN211" s="403"/>
      <c r="BO211" s="403"/>
      <c r="BP211" s="403"/>
      <c r="BQ211" s="403"/>
      <c r="BR211" s="403"/>
      <c r="BS211" s="403"/>
      <c r="BT211" s="403"/>
      <c r="BU211" s="403"/>
      <c r="BV211" s="403"/>
      <c r="BW211" s="403"/>
      <c r="BX211" s="403"/>
      <c r="BY211" s="403"/>
      <c r="BZ211" s="403"/>
      <c r="CA211" s="403"/>
      <c r="CB211" s="403"/>
      <c r="CC211" s="403" t="s">
        <v>12000</v>
      </c>
      <c r="CD211" s="403"/>
      <c r="CE211" s="403"/>
      <c r="CF211" s="403"/>
      <c r="CG211" s="403"/>
      <c r="CH211" s="403"/>
      <c r="CI211" s="403"/>
      <c r="CJ211" s="403"/>
      <c r="CK211" s="403"/>
      <c r="CL211" s="403"/>
      <c r="CM211" s="403"/>
      <c r="CN211" s="403"/>
      <c r="CO211" s="403"/>
      <c r="CP211" s="403"/>
      <c r="CQ211" s="403"/>
      <c r="CR211" s="403"/>
      <c r="CS211" s="403"/>
      <c r="CT211" s="403"/>
      <c r="CU211" s="403"/>
      <c r="CV211" s="403"/>
      <c r="CW211" s="403"/>
      <c r="CX211" s="403"/>
      <c r="CY211" s="403"/>
      <c r="CZ211" s="403"/>
      <c r="DA211" s="403"/>
      <c r="DB211" s="403"/>
      <c r="DC211" s="403"/>
      <c r="DD211" s="403"/>
      <c r="DE211" s="403"/>
      <c r="DF211" s="403"/>
      <c r="DG211" s="403"/>
      <c r="DH211" s="403"/>
      <c r="DI211" s="403"/>
      <c r="DJ211" s="403"/>
      <c r="DK211" s="403" t="s">
        <v>12001</v>
      </c>
      <c r="DL211" s="403"/>
      <c r="DM211" s="403"/>
      <c r="DN211" s="403"/>
      <c r="DO211" s="403"/>
      <c r="DP211" s="403"/>
      <c r="DQ211" s="403"/>
      <c r="DR211" s="403"/>
      <c r="DS211" s="403"/>
      <c r="DT211" s="403"/>
      <c r="DU211" s="403"/>
      <c r="DV211" s="403"/>
      <c r="DW211" s="403"/>
      <c r="DX211" s="403"/>
      <c r="DY211" s="403"/>
      <c r="DZ211" s="403"/>
      <c r="EA211" s="403"/>
      <c r="EB211" s="403"/>
      <c r="EC211" s="403"/>
      <c r="ED211" s="403"/>
      <c r="EE211" s="403"/>
      <c r="EF211" s="403"/>
      <c r="EG211" s="403"/>
      <c r="EH211" s="403"/>
      <c r="EI211" s="403"/>
      <c r="EJ211" s="403"/>
      <c r="EK211" s="403"/>
      <c r="EL211" s="403"/>
      <c r="EM211" s="403"/>
      <c r="EN211" s="403"/>
      <c r="EO211" s="403"/>
      <c r="EP211" s="403"/>
      <c r="EQ211" s="403"/>
      <c r="ER211" s="403"/>
      <c r="ES211" s="403" t="s">
        <v>12002</v>
      </c>
      <c r="ET211" s="403"/>
      <c r="EU211" s="403"/>
      <c r="EV211" s="403"/>
      <c r="EW211" s="403"/>
      <c r="EX211" s="403"/>
      <c r="EY211" s="403"/>
      <c r="EZ211" s="403"/>
      <c r="FA211" s="403"/>
      <c r="FB211" s="403"/>
      <c r="FC211" s="403"/>
      <c r="FD211" s="403"/>
      <c r="FE211" s="403"/>
      <c r="FF211" s="403"/>
      <c r="FG211" s="403"/>
      <c r="FH211" s="403"/>
      <c r="FI211" s="403"/>
      <c r="FJ211" s="403"/>
      <c r="FK211" s="403"/>
      <c r="FL211" s="403"/>
      <c r="FM211" s="403"/>
      <c r="FN211" s="403"/>
      <c r="FO211" s="403"/>
      <c r="FP211" s="403"/>
      <c r="FQ211" s="403"/>
      <c r="FR211" s="403"/>
      <c r="FS211" s="403"/>
      <c r="FT211" s="403"/>
      <c r="FU211" s="403"/>
      <c r="FV211" s="403"/>
      <c r="FW211" s="403"/>
      <c r="FX211" s="403"/>
      <c r="FY211" s="403"/>
      <c r="FZ211" s="403"/>
      <c r="GA211" s="403" t="s">
        <v>12003</v>
      </c>
      <c r="GB211" s="403"/>
      <c r="GC211" s="403"/>
      <c r="GD211" s="403"/>
      <c r="GE211" s="403"/>
      <c r="GF211" s="403"/>
      <c r="GG211" s="403"/>
      <c r="GH211" s="403"/>
      <c r="GI211" s="403"/>
      <c r="GJ211" s="403"/>
      <c r="GK211" s="403"/>
      <c r="GL211" s="403"/>
      <c r="GM211" s="403"/>
      <c r="GN211" s="403"/>
      <c r="GO211" s="403"/>
      <c r="GP211" s="403"/>
      <c r="GQ211" s="403"/>
      <c r="GR211" s="403"/>
      <c r="GS211" s="403"/>
      <c r="GT211" s="403"/>
      <c r="GU211" s="403"/>
      <c r="GV211" s="403"/>
      <c r="GW211" s="403"/>
      <c r="GX211" s="403"/>
      <c r="GY211" s="403"/>
      <c r="GZ211" s="403"/>
      <c r="HA211" s="403"/>
      <c r="HB211" s="403"/>
      <c r="HC211" s="403"/>
      <c r="HD211" s="403"/>
      <c r="HE211" s="403"/>
      <c r="HF211" s="403"/>
      <c r="HG211" s="403"/>
      <c r="HH211" s="403"/>
      <c r="HI211" s="403" t="s">
        <v>12004</v>
      </c>
      <c r="HJ211" s="403"/>
      <c r="HK211" s="403"/>
      <c r="HL211" s="403"/>
      <c r="HM211" s="403"/>
      <c r="HN211" s="403"/>
      <c r="HO211" s="403"/>
      <c r="HP211" s="403"/>
      <c r="HQ211" s="403"/>
      <c r="HR211" s="403"/>
      <c r="HS211" s="403"/>
      <c r="HT211" s="403"/>
      <c r="HU211" s="403"/>
      <c r="HV211" s="403"/>
      <c r="HW211" s="403"/>
      <c r="HX211" s="403"/>
      <c r="HY211" s="403"/>
      <c r="HZ211" s="403"/>
      <c r="IA211" s="403"/>
      <c r="IB211" s="403"/>
      <c r="IC211" s="403"/>
      <c r="ID211" s="403"/>
      <c r="IE211" s="403"/>
      <c r="IF211" s="403"/>
      <c r="IG211" s="403"/>
      <c r="IH211" s="403"/>
      <c r="II211" s="403"/>
      <c r="IJ211" s="403"/>
      <c r="IK211" s="403"/>
      <c r="IL211" s="403"/>
      <c r="IM211" s="403"/>
      <c r="IN211" s="403"/>
      <c r="IO211" s="403"/>
      <c r="IP211" s="403"/>
      <c r="IQ211" s="403" t="s">
        <v>12005</v>
      </c>
      <c r="IR211" s="403"/>
      <c r="IS211" s="403"/>
      <c r="IT211" s="403"/>
      <c r="IU211" s="403"/>
      <c r="IV211" s="403"/>
      <c r="IW211" s="403"/>
      <c r="IX211" s="403"/>
      <c r="IY211" s="403"/>
      <c r="IZ211" s="403"/>
      <c r="JA211" s="403"/>
      <c r="JB211" s="403"/>
      <c r="JC211" s="403"/>
      <c r="JD211" s="403"/>
      <c r="JE211" s="403"/>
      <c r="JF211" s="403"/>
      <c r="JG211" s="403"/>
      <c r="JH211" s="403"/>
      <c r="JI211" s="403"/>
      <c r="JJ211" s="403"/>
      <c r="JK211" s="403"/>
      <c r="JL211" s="403"/>
      <c r="JM211" s="403"/>
      <c r="JN211" s="403"/>
      <c r="JO211" s="403"/>
      <c r="JP211" s="403"/>
      <c r="JQ211" s="403"/>
      <c r="JR211" s="403"/>
      <c r="JS211" s="403"/>
      <c r="JT211" s="403"/>
    </row>
    <row r="212" spans="1:280" s="15" customFormat="1" ht="12.75" x14ac:dyDescent="0.2">
      <c r="A212" s="9"/>
      <c r="B212" s="624"/>
      <c r="C212" s="23"/>
      <c r="E212" s="26"/>
      <c r="F212" s="26"/>
      <c r="G212" s="26"/>
      <c r="H212" s="26"/>
      <c r="I212" s="26"/>
      <c r="P212" s="26"/>
      <c r="Q212" s="26"/>
      <c r="R212" s="12" t="str">
        <f t="shared" ca="1" si="460"/>
        <v/>
      </c>
      <c r="S212" s="2"/>
      <c r="T212" s="241"/>
      <c r="U212" s="624"/>
      <c r="V212" s="72"/>
      <c r="W212" s="241"/>
      <c r="X212" s="241"/>
      <c r="Y212" s="241"/>
      <c r="Z212" s="241"/>
      <c r="AA212" s="241"/>
      <c r="AB212" s="241"/>
      <c r="AC212" s="26"/>
      <c r="AD212" s="26"/>
      <c r="AE212" s="2"/>
      <c r="AF212" s="241"/>
      <c r="AG212" s="624"/>
      <c r="AH212" s="72"/>
      <c r="AI212" s="241"/>
      <c r="AJ212" s="241"/>
      <c r="AK212" s="241"/>
      <c r="AL212" s="241"/>
      <c r="AM212" s="241"/>
      <c r="AN212" s="241"/>
      <c r="AO212" s="26"/>
      <c r="AP212" s="26"/>
      <c r="AR212" s="403"/>
      <c r="AS212" s="403"/>
      <c r="AT212" s="403"/>
      <c r="AU212" s="403"/>
      <c r="AV212" s="403"/>
      <c r="AW212" s="403"/>
      <c r="AX212" s="403"/>
      <c r="AY212" s="403"/>
      <c r="AZ212" s="403"/>
      <c r="BA212" s="403"/>
      <c r="BB212" s="403"/>
      <c r="BC212" s="403"/>
      <c r="BD212" s="403"/>
      <c r="BE212" s="403"/>
      <c r="BF212" s="403"/>
      <c r="BG212" s="403"/>
      <c r="BH212" s="403"/>
      <c r="BI212" s="403"/>
      <c r="BJ212" s="403"/>
      <c r="BK212" s="403"/>
      <c r="BL212" s="403"/>
      <c r="BM212" s="403"/>
      <c r="BN212" s="403"/>
      <c r="BO212" s="403"/>
      <c r="BP212" s="403"/>
      <c r="BQ212" s="403"/>
      <c r="BR212" s="403"/>
      <c r="BS212" s="403"/>
      <c r="BT212" s="403"/>
      <c r="BU212" s="403"/>
      <c r="BV212" s="403"/>
      <c r="BW212" s="403"/>
      <c r="BX212" s="403"/>
      <c r="BY212" s="403"/>
      <c r="BZ212" s="403"/>
      <c r="CA212" s="403"/>
      <c r="CB212" s="403"/>
      <c r="CC212" s="403"/>
      <c r="CD212" s="403"/>
      <c r="CE212" s="403"/>
      <c r="CF212" s="403"/>
      <c r="CG212" s="403"/>
      <c r="CH212" s="403"/>
      <c r="CI212" s="403"/>
      <c r="CJ212" s="403"/>
      <c r="CK212" s="403"/>
      <c r="CL212" s="403"/>
      <c r="CM212" s="403"/>
      <c r="CN212" s="403"/>
      <c r="CO212" s="403"/>
      <c r="CP212" s="403"/>
      <c r="CQ212" s="403"/>
      <c r="CR212" s="403"/>
      <c r="CS212" s="403"/>
      <c r="CT212" s="403"/>
      <c r="CU212" s="403"/>
      <c r="CV212" s="403"/>
      <c r="CW212" s="403"/>
      <c r="CX212" s="403"/>
      <c r="CY212" s="403"/>
      <c r="CZ212" s="403"/>
      <c r="DA212" s="403"/>
      <c r="DB212" s="403"/>
      <c r="DC212" s="403"/>
      <c r="DD212" s="403"/>
      <c r="DE212" s="403"/>
      <c r="DF212" s="403"/>
      <c r="DG212" s="403"/>
      <c r="DH212" s="403"/>
      <c r="DI212" s="403"/>
      <c r="DJ212" s="403"/>
      <c r="DK212" s="403"/>
      <c r="DL212" s="403"/>
      <c r="DM212" s="403"/>
      <c r="DN212" s="403"/>
      <c r="DO212" s="403"/>
      <c r="DP212" s="403"/>
      <c r="DQ212" s="403"/>
      <c r="DR212" s="403"/>
      <c r="DS212" s="403"/>
      <c r="DT212" s="403"/>
      <c r="DU212" s="403"/>
      <c r="DV212" s="403"/>
      <c r="DW212" s="403"/>
      <c r="DX212" s="403"/>
      <c r="DY212" s="403"/>
      <c r="DZ212" s="403"/>
      <c r="EA212" s="403"/>
      <c r="EB212" s="403"/>
      <c r="EC212" s="403"/>
      <c r="ED212" s="403"/>
      <c r="EE212" s="403"/>
      <c r="EF212" s="403"/>
      <c r="EG212" s="403"/>
      <c r="EH212" s="403"/>
      <c r="EI212" s="403"/>
      <c r="EJ212" s="403"/>
      <c r="EK212" s="403"/>
      <c r="EL212" s="403"/>
      <c r="EM212" s="403"/>
      <c r="EN212" s="403"/>
      <c r="EO212" s="403"/>
      <c r="EP212" s="403"/>
      <c r="EQ212" s="403"/>
      <c r="ER212" s="403"/>
      <c r="ES212" s="403"/>
      <c r="ET212" s="403"/>
      <c r="EU212" s="403"/>
      <c r="EV212" s="403"/>
      <c r="EW212" s="403"/>
      <c r="EX212" s="403"/>
      <c r="EY212" s="403"/>
      <c r="EZ212" s="403"/>
      <c r="FA212" s="403"/>
      <c r="FB212" s="403"/>
      <c r="FC212" s="403"/>
      <c r="FD212" s="403"/>
      <c r="FE212" s="403"/>
      <c r="FF212" s="403"/>
      <c r="FG212" s="403"/>
      <c r="FH212" s="403"/>
      <c r="FI212" s="403"/>
      <c r="FJ212" s="403"/>
      <c r="FK212" s="403"/>
      <c r="FL212" s="403"/>
      <c r="FM212" s="403"/>
      <c r="FN212" s="403"/>
      <c r="FO212" s="403"/>
      <c r="FP212" s="403"/>
      <c r="FQ212" s="403"/>
      <c r="FR212" s="403"/>
      <c r="FS212" s="403"/>
      <c r="FT212" s="403"/>
      <c r="FU212" s="403"/>
      <c r="FV212" s="403"/>
      <c r="FW212" s="403"/>
      <c r="FX212" s="403"/>
      <c r="FY212" s="403"/>
      <c r="FZ212" s="403"/>
      <c r="GA212" s="403"/>
      <c r="GB212" s="403"/>
      <c r="GC212" s="403"/>
      <c r="GD212" s="403"/>
      <c r="GE212" s="403"/>
      <c r="GF212" s="403"/>
      <c r="GG212" s="403"/>
      <c r="GH212" s="403"/>
      <c r="GI212" s="403"/>
      <c r="GJ212" s="403"/>
      <c r="GK212" s="403"/>
      <c r="GL212" s="403"/>
      <c r="GM212" s="403"/>
      <c r="GN212" s="403"/>
      <c r="GO212" s="403"/>
      <c r="GP212" s="403"/>
      <c r="GQ212" s="403"/>
      <c r="GR212" s="403"/>
      <c r="GS212" s="403"/>
      <c r="GT212" s="403"/>
      <c r="GU212" s="403"/>
      <c r="GV212" s="403"/>
      <c r="GW212" s="403"/>
      <c r="GX212" s="403"/>
      <c r="GY212" s="403"/>
      <c r="GZ212" s="403"/>
      <c r="HA212" s="403"/>
      <c r="HB212" s="403"/>
      <c r="HC212" s="403"/>
      <c r="HD212" s="403"/>
      <c r="HE212" s="403"/>
      <c r="HF212" s="403"/>
      <c r="HG212" s="403"/>
      <c r="HH212" s="403"/>
      <c r="HI212" s="403"/>
      <c r="HJ212" s="403"/>
      <c r="HK212" s="403"/>
      <c r="HL212" s="403"/>
      <c r="HM212" s="403"/>
      <c r="HN212" s="403"/>
      <c r="HO212" s="403"/>
      <c r="HP212" s="403"/>
      <c r="HQ212" s="403"/>
      <c r="HR212" s="403"/>
      <c r="HS212" s="403"/>
      <c r="HT212" s="403"/>
      <c r="HU212" s="403"/>
      <c r="HV212" s="403"/>
      <c r="HW212" s="403"/>
      <c r="HX212" s="403"/>
      <c r="HY212" s="403"/>
      <c r="HZ212" s="403"/>
      <c r="IA212" s="403"/>
      <c r="IB212" s="403"/>
      <c r="IC212" s="403"/>
      <c r="ID212" s="403"/>
      <c r="IE212" s="403"/>
      <c r="IF212" s="403"/>
      <c r="IG212" s="403"/>
      <c r="IH212" s="403"/>
      <c r="II212" s="403"/>
      <c r="IJ212" s="403"/>
      <c r="IK212" s="403"/>
      <c r="IL212" s="403"/>
      <c r="IM212" s="403"/>
      <c r="IN212" s="403"/>
      <c r="IO212" s="403"/>
      <c r="IP212" s="403"/>
      <c r="IQ212" s="403"/>
      <c r="IR212" s="403"/>
      <c r="IS212" s="403"/>
      <c r="IT212" s="403"/>
      <c r="IU212" s="403"/>
      <c r="IV212" s="403"/>
      <c r="IW212" s="403"/>
      <c r="IX212" s="403"/>
      <c r="IY212" s="403"/>
      <c r="IZ212" s="403"/>
      <c r="JA212" s="403"/>
      <c r="JB212" s="403"/>
      <c r="JC212" s="403"/>
      <c r="JD212" s="403"/>
      <c r="JE212" s="403"/>
      <c r="JF212" s="403"/>
      <c r="JG212" s="403"/>
      <c r="JH212" s="403"/>
      <c r="JI212" s="403"/>
      <c r="JJ212" s="403"/>
      <c r="JK212" s="403"/>
      <c r="JL212" s="403"/>
      <c r="JM212" s="403"/>
      <c r="JN212" s="403"/>
      <c r="JO212" s="403"/>
      <c r="JP212" s="403"/>
      <c r="JQ212" s="403"/>
      <c r="JR212" s="403"/>
      <c r="JS212" s="403"/>
      <c r="JT212" s="403"/>
    </row>
    <row r="213" spans="1:280" s="150" customFormat="1" ht="12.75" x14ac:dyDescent="0.2">
      <c r="B213" s="624" t="str">
        <f ca="1">IF(OFFSET(AT213,0,Lang_Order*Lang__B5)="","",OFFSET(AT213,0,Lang_Order*Lang__B5))</f>
        <v>HRH Optimizer</v>
      </c>
      <c r="R213" s="12" t="str">
        <f t="shared" ca="1" si="460"/>
        <v/>
      </c>
      <c r="S213" s="2"/>
      <c r="T213" s="241"/>
      <c r="U213" s="624" t="str">
        <f ca="1">IF(OFFSET(AT213,0,Lang_Order*Lang__B5)="","",OFFSET(AT213,0,Lang_Order*Lang__B5))</f>
        <v>HRH Optimizer</v>
      </c>
      <c r="V213" s="2"/>
      <c r="W213" s="241"/>
      <c r="X213" s="241"/>
      <c r="Y213" s="241"/>
      <c r="Z213" s="241"/>
      <c r="AA213" s="241"/>
      <c r="AB213" s="241"/>
      <c r="AC213" s="281"/>
      <c r="AD213" s="241"/>
      <c r="AE213" s="2"/>
      <c r="AF213" s="241"/>
      <c r="AG213" s="624" t="str">
        <f ca="1">IF(OFFSET(AT213,0,Lang_Order*Lang__B5)="","",OFFSET(AT213,0,Lang_Order*Lang__B5))</f>
        <v>HRH Optimizer</v>
      </c>
      <c r="AH213" s="2"/>
      <c r="AI213" s="241"/>
      <c r="AJ213" s="241"/>
      <c r="AK213" s="241"/>
      <c r="AL213" s="241"/>
      <c r="AM213" s="241"/>
      <c r="AN213" s="241"/>
      <c r="AO213" s="281"/>
      <c r="AP213" s="241"/>
      <c r="AR213" s="403"/>
      <c r="AS213" s="403"/>
      <c r="AT213" s="403" t="s">
        <v>2684</v>
      </c>
      <c r="AU213" s="403"/>
      <c r="AV213" s="403"/>
      <c r="AW213" s="403"/>
      <c r="AX213" s="403"/>
      <c r="AY213" s="403"/>
      <c r="AZ213" s="403"/>
      <c r="BA213" s="403"/>
      <c r="BB213" s="403"/>
      <c r="BC213" s="403"/>
      <c r="BD213" s="403"/>
      <c r="BE213" s="403"/>
      <c r="BF213" s="403"/>
      <c r="BG213" s="403"/>
      <c r="BH213" s="403"/>
      <c r="BI213" s="403"/>
      <c r="BJ213" s="403"/>
      <c r="BK213" s="403"/>
      <c r="BL213" s="403"/>
      <c r="BM213" s="403"/>
      <c r="BN213" s="403"/>
      <c r="BO213" s="403"/>
      <c r="BP213" s="403"/>
      <c r="BQ213" s="403"/>
      <c r="BR213" s="403"/>
      <c r="BS213" s="403"/>
      <c r="BT213" s="403"/>
      <c r="BU213" s="403"/>
      <c r="BV213" s="403"/>
      <c r="BW213" s="403"/>
      <c r="BX213" s="403"/>
      <c r="BY213" s="403"/>
      <c r="BZ213" s="403"/>
      <c r="CA213" s="403"/>
      <c r="CB213" s="403" t="s">
        <v>12006</v>
      </c>
      <c r="CC213" s="403"/>
      <c r="CD213" s="403"/>
      <c r="CE213" s="403"/>
      <c r="CF213" s="403"/>
      <c r="CG213" s="403"/>
      <c r="CH213" s="403"/>
      <c r="CI213" s="403"/>
      <c r="CJ213" s="403"/>
      <c r="CK213" s="403"/>
      <c r="CL213" s="403"/>
      <c r="CM213" s="403"/>
      <c r="CN213" s="403"/>
      <c r="CO213" s="403"/>
      <c r="CP213" s="403"/>
      <c r="CQ213" s="403"/>
      <c r="CR213" s="403"/>
      <c r="CS213" s="403"/>
      <c r="CT213" s="403"/>
      <c r="CU213" s="403"/>
      <c r="CV213" s="403"/>
      <c r="CW213" s="403"/>
      <c r="CX213" s="403"/>
      <c r="CY213" s="403"/>
      <c r="CZ213" s="403"/>
      <c r="DA213" s="403"/>
      <c r="DB213" s="403"/>
      <c r="DC213" s="403"/>
      <c r="DD213" s="403"/>
      <c r="DE213" s="403"/>
      <c r="DF213" s="403"/>
      <c r="DG213" s="403"/>
      <c r="DH213" s="403"/>
      <c r="DI213" s="403"/>
      <c r="DJ213" s="403" t="s">
        <v>12007</v>
      </c>
      <c r="DK213" s="403"/>
      <c r="DL213" s="403"/>
      <c r="DM213" s="403"/>
      <c r="DN213" s="403"/>
      <c r="DO213" s="403"/>
      <c r="DP213" s="403"/>
      <c r="DQ213" s="403"/>
      <c r="DR213" s="403"/>
      <c r="DS213" s="403"/>
      <c r="DT213" s="403"/>
      <c r="DU213" s="403"/>
      <c r="DV213" s="403"/>
      <c r="DW213" s="403"/>
      <c r="DX213" s="403"/>
      <c r="DY213" s="403"/>
      <c r="DZ213" s="403"/>
      <c r="EA213" s="403"/>
      <c r="EB213" s="403"/>
      <c r="EC213" s="403"/>
      <c r="ED213" s="403"/>
      <c r="EE213" s="403"/>
      <c r="EF213" s="403"/>
      <c r="EG213" s="403"/>
      <c r="EH213" s="403"/>
      <c r="EI213" s="403"/>
      <c r="EJ213" s="403"/>
      <c r="EK213" s="403"/>
      <c r="EL213" s="403"/>
      <c r="EM213" s="403"/>
      <c r="EN213" s="403"/>
      <c r="EO213" s="403"/>
      <c r="EP213" s="403"/>
      <c r="EQ213" s="403"/>
      <c r="ER213" s="403" t="s">
        <v>12008</v>
      </c>
      <c r="ES213" s="403"/>
      <c r="ET213" s="403"/>
      <c r="EU213" s="403"/>
      <c r="EV213" s="403"/>
      <c r="EW213" s="403"/>
      <c r="EX213" s="403"/>
      <c r="EY213" s="403"/>
      <c r="EZ213" s="403"/>
      <c r="FA213" s="403"/>
      <c r="FB213" s="403"/>
      <c r="FC213" s="403"/>
      <c r="FD213" s="403"/>
      <c r="FE213" s="403"/>
      <c r="FF213" s="403"/>
      <c r="FG213" s="403"/>
      <c r="FH213" s="403"/>
      <c r="FI213" s="403"/>
      <c r="FJ213" s="403"/>
      <c r="FK213" s="403"/>
      <c r="FL213" s="403"/>
      <c r="FM213" s="403"/>
      <c r="FN213" s="403"/>
      <c r="FO213" s="403"/>
      <c r="FP213" s="403"/>
      <c r="FQ213" s="403"/>
      <c r="FR213" s="403"/>
      <c r="FS213" s="403"/>
      <c r="FT213" s="403"/>
      <c r="FU213" s="403"/>
      <c r="FV213" s="403"/>
      <c r="FW213" s="403"/>
      <c r="FX213" s="403"/>
      <c r="FY213" s="403"/>
      <c r="FZ213" s="403" t="s">
        <v>12008</v>
      </c>
      <c r="GA213" s="403"/>
      <c r="GB213" s="403"/>
      <c r="GC213" s="403"/>
      <c r="GD213" s="403"/>
      <c r="GE213" s="403"/>
      <c r="GF213" s="403"/>
      <c r="GG213" s="403"/>
      <c r="GH213" s="403"/>
      <c r="GI213" s="403"/>
      <c r="GJ213" s="403"/>
      <c r="GK213" s="403"/>
      <c r="GL213" s="403"/>
      <c r="GM213" s="403"/>
      <c r="GN213" s="403"/>
      <c r="GO213" s="403"/>
      <c r="GP213" s="403"/>
      <c r="GQ213" s="403"/>
      <c r="GR213" s="403"/>
      <c r="GS213" s="403"/>
      <c r="GT213" s="403"/>
      <c r="GU213" s="403"/>
      <c r="GV213" s="403"/>
      <c r="GW213" s="403"/>
      <c r="GX213" s="403"/>
      <c r="GY213" s="403"/>
      <c r="GZ213" s="403"/>
      <c r="HA213" s="403"/>
      <c r="HB213" s="403"/>
      <c r="HC213" s="403"/>
      <c r="HD213" s="403"/>
      <c r="HE213" s="403"/>
      <c r="HF213" s="403"/>
      <c r="HG213" s="403"/>
      <c r="HH213" s="403" t="s">
        <v>12009</v>
      </c>
      <c r="HI213" s="403"/>
      <c r="HJ213" s="403"/>
      <c r="HK213" s="403"/>
      <c r="HL213" s="403"/>
      <c r="HM213" s="403"/>
      <c r="HN213" s="403"/>
      <c r="HO213" s="403"/>
      <c r="HP213" s="403"/>
      <c r="HQ213" s="403"/>
      <c r="HR213" s="403"/>
      <c r="HS213" s="403"/>
      <c r="HT213" s="403"/>
      <c r="HU213" s="403"/>
      <c r="HV213" s="403"/>
      <c r="HW213" s="403"/>
      <c r="HX213" s="403"/>
      <c r="HY213" s="403"/>
      <c r="HZ213" s="403"/>
      <c r="IA213" s="403"/>
      <c r="IB213" s="403"/>
      <c r="IC213" s="403"/>
      <c r="ID213" s="403"/>
      <c r="IE213" s="403"/>
      <c r="IF213" s="403"/>
      <c r="IG213" s="403"/>
      <c r="IH213" s="403"/>
      <c r="II213" s="403"/>
      <c r="IJ213" s="403"/>
      <c r="IK213" s="403"/>
      <c r="IL213" s="403"/>
      <c r="IM213" s="403"/>
      <c r="IN213" s="403"/>
      <c r="IO213" s="403"/>
      <c r="IP213" s="403" t="s">
        <v>12010</v>
      </c>
      <c r="IQ213" s="403"/>
      <c r="IR213" s="403"/>
      <c r="IS213" s="403"/>
      <c r="IT213" s="403"/>
      <c r="IU213" s="403"/>
      <c r="IV213" s="403"/>
      <c r="IW213" s="403"/>
      <c r="IX213" s="403"/>
      <c r="IY213" s="403"/>
      <c r="IZ213" s="403"/>
      <c r="JA213" s="403"/>
      <c r="JB213" s="403"/>
      <c r="JC213" s="403"/>
      <c r="JD213" s="403"/>
      <c r="JE213" s="403"/>
      <c r="JF213" s="403"/>
      <c r="JG213" s="403"/>
      <c r="JH213" s="403"/>
      <c r="JI213" s="403"/>
      <c r="JJ213" s="403"/>
      <c r="JK213" s="403"/>
      <c r="JL213" s="403"/>
      <c r="JM213" s="403"/>
      <c r="JN213" s="403"/>
      <c r="JO213" s="403"/>
      <c r="JP213" s="403"/>
      <c r="JQ213" s="403"/>
      <c r="JR213" s="403"/>
      <c r="JS213" s="403"/>
      <c r="JT213" s="403"/>
    </row>
    <row r="214" spans="1:280" s="150" customFormat="1" ht="12.75" x14ac:dyDescent="0.2">
      <c r="B214" s="622"/>
      <c r="C214" s="5" t="str">
        <f ca="1">IF(OFFSET(AU214,0,Lang_Order*Lang__B5)="","",OFFSET(AU214,0,Lang_Order*Lang__B5))</f>
        <v>Teams spend one day per site</v>
      </c>
      <c r="D214" s="3">
        <v>1</v>
      </c>
      <c r="E214" s="539"/>
      <c r="J214" s="108" t="e">
        <f t="shared" ref="J214:O214" si="515">ROUNDUP((J205)/(HRH_HoursPerDay*$D214),0)</f>
        <v>#N/A</v>
      </c>
      <c r="K214" s="108" t="e">
        <f t="shared" si="515"/>
        <v>#N/A</v>
      </c>
      <c r="L214" s="108" t="e">
        <f t="shared" si="515"/>
        <v>#N/A</v>
      </c>
      <c r="M214" s="108" t="e">
        <f t="shared" si="515"/>
        <v>#N/A</v>
      </c>
      <c r="N214" s="108" t="e">
        <f t="shared" si="515"/>
        <v>#N/A</v>
      </c>
      <c r="O214" s="108" t="e">
        <f t="shared" si="515"/>
        <v>#N/A</v>
      </c>
      <c r="R214" s="12" t="str">
        <f t="shared" ca="1" si="460"/>
        <v/>
      </c>
      <c r="S214" s="2"/>
      <c r="T214" s="241"/>
      <c r="U214" s="622"/>
      <c r="V214" s="72" t="str">
        <f ca="1">IF(OFFSET(AU214,0,Lang_Order*Lang__B5)="","",OFFSET(AU214,0,Lang_Order*Lang__B5))</f>
        <v>Teams spend one day per site</v>
      </c>
      <c r="W214" s="108" t="e">
        <f t="shared" ref="W214:AB214" si="516">ROUNDUP((W205)/(HRH_HoursPerDay*$D214),0)</f>
        <v>#N/A</v>
      </c>
      <c r="X214" s="108" t="e">
        <f t="shared" si="516"/>
        <v>#N/A</v>
      </c>
      <c r="Y214" s="108" t="e">
        <f t="shared" si="516"/>
        <v>#N/A</v>
      </c>
      <c r="Z214" s="108" t="e">
        <f t="shared" si="516"/>
        <v>#N/A</v>
      </c>
      <c r="AA214" s="108" t="e">
        <f t="shared" si="516"/>
        <v>#N/A</v>
      </c>
      <c r="AB214" s="108" t="e">
        <f t="shared" si="516"/>
        <v>#N/A</v>
      </c>
      <c r="AC214" s="281"/>
      <c r="AD214" s="241"/>
      <c r="AE214" s="2"/>
      <c r="AF214" s="241"/>
      <c r="AG214" s="622"/>
      <c r="AH214" s="72" t="str">
        <f ca="1">IF(OFFSET(AU214,0,Lang_Order*Lang__B5)="","",OFFSET(AU214,0,Lang_Order*Lang__B5))</f>
        <v>Teams spend one day per site</v>
      </c>
      <c r="AI214" s="108" t="e">
        <f t="shared" ref="AI214:AN214" si="517">ROUNDUP((AI205)/(HRH_HoursPerDay*$D214),0)</f>
        <v>#N/A</v>
      </c>
      <c r="AJ214" s="108" t="e">
        <f t="shared" si="517"/>
        <v>#N/A</v>
      </c>
      <c r="AK214" s="108" t="e">
        <f t="shared" si="517"/>
        <v>#N/A</v>
      </c>
      <c r="AL214" s="108" t="e">
        <f t="shared" si="517"/>
        <v>#N/A</v>
      </c>
      <c r="AM214" s="108" t="e">
        <f t="shared" si="517"/>
        <v>#N/A</v>
      </c>
      <c r="AN214" s="108" t="e">
        <f t="shared" si="517"/>
        <v>#N/A</v>
      </c>
      <c r="AO214" s="281"/>
      <c r="AP214" s="241"/>
      <c r="AR214" s="403"/>
      <c r="AS214" s="403"/>
      <c r="AT214" s="403"/>
      <c r="AU214" s="403" t="s">
        <v>2687</v>
      </c>
      <c r="AV214" s="403"/>
      <c r="AW214" s="403"/>
      <c r="AX214" s="403"/>
      <c r="AY214" s="403"/>
      <c r="AZ214" s="403"/>
      <c r="BA214" s="403"/>
      <c r="BB214" s="403"/>
      <c r="BC214" s="403"/>
      <c r="BD214" s="403"/>
      <c r="BE214" s="403"/>
      <c r="BF214" s="403"/>
      <c r="BG214" s="403"/>
      <c r="BH214" s="403"/>
      <c r="BI214" s="403"/>
      <c r="BJ214" s="403"/>
      <c r="BK214" s="403"/>
      <c r="BL214" s="403"/>
      <c r="BM214" s="403"/>
      <c r="BN214" s="403"/>
      <c r="BO214" s="403"/>
      <c r="BP214" s="403"/>
      <c r="BQ214" s="403"/>
      <c r="BR214" s="403"/>
      <c r="BS214" s="403"/>
      <c r="BT214" s="403"/>
      <c r="BU214" s="403"/>
      <c r="BV214" s="403"/>
      <c r="BW214" s="403"/>
      <c r="BX214" s="403"/>
      <c r="BY214" s="403"/>
      <c r="BZ214" s="403"/>
      <c r="CA214" s="403"/>
      <c r="CB214" s="403"/>
      <c r="CC214" s="403" t="s">
        <v>12136</v>
      </c>
      <c r="CD214" s="403"/>
      <c r="CE214" s="403"/>
      <c r="CF214" s="403"/>
      <c r="CG214" s="403"/>
      <c r="CH214" s="403"/>
      <c r="CI214" s="403"/>
      <c r="CJ214" s="403"/>
      <c r="CK214" s="403"/>
      <c r="CL214" s="403"/>
      <c r="CM214" s="403"/>
      <c r="CN214" s="403"/>
      <c r="CO214" s="403"/>
      <c r="CP214" s="403"/>
      <c r="CQ214" s="403"/>
      <c r="CR214" s="403"/>
      <c r="CS214" s="403"/>
      <c r="CT214" s="403"/>
      <c r="CU214" s="403"/>
      <c r="CV214" s="403"/>
      <c r="CW214" s="403"/>
      <c r="CX214" s="403"/>
      <c r="CY214" s="403"/>
      <c r="CZ214" s="403"/>
      <c r="DA214" s="403"/>
      <c r="DB214" s="403"/>
      <c r="DC214" s="403"/>
      <c r="DD214" s="403"/>
      <c r="DE214" s="403"/>
      <c r="DF214" s="403"/>
      <c r="DG214" s="403"/>
      <c r="DH214" s="403"/>
      <c r="DI214" s="403"/>
      <c r="DJ214" s="403"/>
      <c r="DK214" s="403" t="s">
        <v>12185</v>
      </c>
      <c r="DL214" s="403"/>
      <c r="DM214" s="403"/>
      <c r="DN214" s="403"/>
      <c r="DO214" s="403"/>
      <c r="DP214" s="403"/>
      <c r="DQ214" s="403"/>
      <c r="DR214" s="403"/>
      <c r="DS214" s="403"/>
      <c r="DT214" s="403"/>
      <c r="DU214" s="403"/>
      <c r="DV214" s="403"/>
      <c r="DW214" s="403"/>
      <c r="DX214" s="403"/>
      <c r="DY214" s="403"/>
      <c r="DZ214" s="403"/>
      <c r="EA214" s="403"/>
      <c r="EB214" s="403"/>
      <c r="EC214" s="403"/>
      <c r="ED214" s="403"/>
      <c r="EE214" s="403"/>
      <c r="EF214" s="403"/>
      <c r="EG214" s="403"/>
      <c r="EH214" s="403"/>
      <c r="EI214" s="403"/>
      <c r="EJ214" s="403"/>
      <c r="EK214" s="403"/>
      <c r="EL214" s="403"/>
      <c r="EM214" s="403"/>
      <c r="EN214" s="403"/>
      <c r="EO214" s="403"/>
      <c r="EP214" s="403"/>
      <c r="EQ214" s="403"/>
      <c r="ER214" s="403"/>
      <c r="ES214" s="403" t="s">
        <v>12186</v>
      </c>
      <c r="ET214" s="403"/>
      <c r="EU214" s="403"/>
      <c r="EV214" s="403"/>
      <c r="EW214" s="403"/>
      <c r="EX214" s="403"/>
      <c r="EY214" s="403"/>
      <c r="EZ214" s="403"/>
      <c r="FA214" s="403"/>
      <c r="FB214" s="403"/>
      <c r="FC214" s="403"/>
      <c r="FD214" s="403"/>
      <c r="FE214" s="403"/>
      <c r="FF214" s="403"/>
      <c r="FG214" s="403"/>
      <c r="FH214" s="403"/>
      <c r="FI214" s="403"/>
      <c r="FJ214" s="403"/>
      <c r="FK214" s="403"/>
      <c r="FL214" s="403"/>
      <c r="FM214" s="403"/>
      <c r="FN214" s="403"/>
      <c r="FO214" s="403"/>
      <c r="FP214" s="403"/>
      <c r="FQ214" s="403"/>
      <c r="FR214" s="403"/>
      <c r="FS214" s="403"/>
      <c r="FT214" s="403"/>
      <c r="FU214" s="403"/>
      <c r="FV214" s="403"/>
      <c r="FW214" s="403"/>
      <c r="FX214" s="403"/>
      <c r="FY214" s="403"/>
      <c r="FZ214" s="403"/>
      <c r="GA214" s="403" t="s">
        <v>12187</v>
      </c>
      <c r="GB214" s="403"/>
      <c r="GC214" s="403"/>
      <c r="GD214" s="403"/>
      <c r="GE214" s="403"/>
      <c r="GF214" s="403"/>
      <c r="GG214" s="403"/>
      <c r="GH214" s="403"/>
      <c r="GI214" s="403"/>
      <c r="GJ214" s="403"/>
      <c r="GK214" s="403"/>
      <c r="GL214" s="403"/>
      <c r="GM214" s="403"/>
      <c r="GN214" s="403"/>
      <c r="GO214" s="403"/>
      <c r="GP214" s="403"/>
      <c r="GQ214" s="403"/>
      <c r="GR214" s="403"/>
      <c r="GS214" s="403"/>
      <c r="GT214" s="403"/>
      <c r="GU214" s="403"/>
      <c r="GV214" s="403"/>
      <c r="GW214" s="403"/>
      <c r="GX214" s="403"/>
      <c r="GY214" s="403"/>
      <c r="GZ214" s="403"/>
      <c r="HA214" s="403"/>
      <c r="HB214" s="403"/>
      <c r="HC214" s="403"/>
      <c r="HD214" s="403"/>
      <c r="HE214" s="403"/>
      <c r="HF214" s="403"/>
      <c r="HG214" s="403"/>
      <c r="HH214" s="403"/>
      <c r="HI214" s="403" t="s">
        <v>12144</v>
      </c>
      <c r="HJ214" s="403"/>
      <c r="HK214" s="403"/>
      <c r="HL214" s="403"/>
      <c r="HM214" s="403"/>
      <c r="HN214" s="403"/>
      <c r="HO214" s="403"/>
      <c r="HP214" s="403"/>
      <c r="HQ214" s="403"/>
      <c r="HR214" s="403"/>
      <c r="HS214" s="403"/>
      <c r="HT214" s="403"/>
      <c r="HU214" s="403"/>
      <c r="HV214" s="403"/>
      <c r="HW214" s="403"/>
      <c r="HX214" s="403"/>
      <c r="HY214" s="403"/>
      <c r="HZ214" s="403"/>
      <c r="IA214" s="403"/>
      <c r="IB214" s="403"/>
      <c r="IC214" s="403"/>
      <c r="ID214" s="403"/>
      <c r="IE214" s="403"/>
      <c r="IF214" s="403"/>
      <c r="IG214" s="403"/>
      <c r="IH214" s="403"/>
      <c r="II214" s="403"/>
      <c r="IJ214" s="403"/>
      <c r="IK214" s="403"/>
      <c r="IL214" s="403"/>
      <c r="IM214" s="403"/>
      <c r="IN214" s="403"/>
      <c r="IO214" s="403"/>
      <c r="IP214" s="403"/>
      <c r="IQ214" s="403" t="s">
        <v>12146</v>
      </c>
      <c r="IR214" s="403"/>
      <c r="IS214" s="403"/>
      <c r="IT214" s="403"/>
      <c r="IU214" s="403"/>
      <c r="IV214" s="403"/>
      <c r="IW214" s="403"/>
      <c r="IX214" s="403"/>
      <c r="IY214" s="403"/>
      <c r="IZ214" s="403"/>
      <c r="JA214" s="403"/>
      <c r="JB214" s="403"/>
      <c r="JC214" s="403"/>
      <c r="JD214" s="403"/>
      <c r="JE214" s="403"/>
      <c r="JF214" s="403"/>
      <c r="JG214" s="403"/>
      <c r="JH214" s="403"/>
      <c r="JI214" s="403"/>
      <c r="JJ214" s="403"/>
      <c r="JK214" s="403"/>
      <c r="JL214" s="403"/>
      <c r="JM214" s="403"/>
      <c r="JN214" s="403"/>
      <c r="JO214" s="403"/>
      <c r="JP214" s="403"/>
      <c r="JQ214" s="403"/>
      <c r="JR214" s="403"/>
      <c r="JS214" s="403"/>
      <c r="JT214" s="403"/>
    </row>
    <row r="215" spans="1:280" s="150" customFormat="1" ht="25.5" x14ac:dyDescent="0.2">
      <c r="A215" s="526"/>
      <c r="B215" s="622"/>
      <c r="C215" s="370" t="str">
        <f ca="1">IF(OFFSET(AU215,0,Lang_Order*Lang__B5)="","",OFFSET(AU215,0,Lang_Order*Lang__B5))</f>
        <v xml:space="preserve">Number of teams | Finish sites within the Time Period (minus weekends) </v>
      </c>
      <c r="D215" s="3">
        <f>IF(ISBLANK(D216),HRH_DefaultDays_DM1to3,D216)</f>
        <v>115</v>
      </c>
      <c r="E215" s="85" t="str">
        <f ca="1">IF(OFFSET(AW215,0,Lang_Order*Lang__B5)="","",OFFSET(AW215,0,Lang_Order*Lang__B5))</f>
        <v>days</v>
      </c>
      <c r="J215" s="108" t="e">
        <f t="shared" ref="J215:O215" si="518">MIN(ROUNDUP((J195*$E$191)/$D215,0),ROUNDUP((J195*$E$191)/J$8,0))</f>
        <v>#N/A</v>
      </c>
      <c r="K215" s="108" t="e">
        <f t="shared" si="518"/>
        <v>#N/A</v>
      </c>
      <c r="L215" s="108" t="e">
        <f t="shared" si="518"/>
        <v>#N/A</v>
      </c>
      <c r="M215" s="108" t="e">
        <f t="shared" si="518"/>
        <v>#N/A</v>
      </c>
      <c r="N215" s="108" t="e">
        <f t="shared" si="518"/>
        <v>#N/A</v>
      </c>
      <c r="O215" s="108" t="e">
        <f t="shared" si="518"/>
        <v>#N/A</v>
      </c>
      <c r="R215" s="12" t="str">
        <f t="shared" ca="1" si="460"/>
        <v>Consider travel time and breaks</v>
      </c>
      <c r="S215" s="2"/>
      <c r="T215" s="241"/>
      <c r="U215" s="622"/>
      <c r="V215" s="612" t="str">
        <f ca="1">IF(OFFSET(AU215,0,Lang_Order*Lang__B5)="","",OFFSET(AU215,0,Lang_Order*Lang__B5))</f>
        <v xml:space="preserve">Number of teams | Finish sites within the Time Period (minus weekends) </v>
      </c>
      <c r="W215" s="108" t="e">
        <f t="shared" ref="W215:AB215" si="519">MIN(ROUNDUP((W195*$E$191)/$D215,0),ROUNDUP((W195*$E$191)/J$8,0))</f>
        <v>#N/A</v>
      </c>
      <c r="X215" s="108" t="e">
        <f t="shared" si="519"/>
        <v>#N/A</v>
      </c>
      <c r="Y215" s="108" t="e">
        <f t="shared" si="519"/>
        <v>#N/A</v>
      </c>
      <c r="Z215" s="108" t="e">
        <f t="shared" si="519"/>
        <v>#N/A</v>
      </c>
      <c r="AA215" s="108" t="e">
        <f t="shared" si="519"/>
        <v>#N/A</v>
      </c>
      <c r="AB215" s="108" t="e">
        <f t="shared" si="519"/>
        <v>#N/A</v>
      </c>
      <c r="AC215" s="281"/>
      <c r="AD215" s="241"/>
      <c r="AE215" s="2"/>
      <c r="AF215" s="241"/>
      <c r="AG215" s="622"/>
      <c r="AH215" s="612" t="str">
        <f ca="1">IF(OFFSET(AU215,0,Lang_Order*Lang__B5)="","",OFFSET(AU215,0,Lang_Order*Lang__B5))</f>
        <v xml:space="preserve">Number of teams | Finish sites within the Time Period (minus weekends) </v>
      </c>
      <c r="AI215" s="108" t="e">
        <f t="shared" ref="AI215:AN215" si="520">MIN(ROUNDUP((AI195*$E$191)/$D215,0),ROUNDUP((AI195*$E$191)/J$8,0))</f>
        <v>#N/A</v>
      </c>
      <c r="AJ215" s="108" t="e">
        <f t="shared" si="520"/>
        <v>#N/A</v>
      </c>
      <c r="AK215" s="108" t="e">
        <f t="shared" si="520"/>
        <v>#N/A</v>
      </c>
      <c r="AL215" s="108" t="e">
        <f t="shared" si="520"/>
        <v>#N/A</v>
      </c>
      <c r="AM215" s="108" t="e">
        <f t="shared" si="520"/>
        <v>#N/A</v>
      </c>
      <c r="AN215" s="108" t="e">
        <f t="shared" si="520"/>
        <v>#N/A</v>
      </c>
      <c r="AO215" s="281"/>
      <c r="AP215" s="241"/>
      <c r="AR215" s="403"/>
      <c r="AS215" s="403"/>
      <c r="AT215" s="403"/>
      <c r="AU215" s="403" t="s">
        <v>2828</v>
      </c>
      <c r="AV215" s="403"/>
      <c r="AW215" s="564" t="s">
        <v>2697</v>
      </c>
      <c r="AX215" s="403"/>
      <c r="AY215" s="403"/>
      <c r="AZ215" s="403"/>
      <c r="BA215" s="403"/>
      <c r="BB215" s="403"/>
      <c r="BC215" s="403"/>
      <c r="BD215" s="403"/>
      <c r="BE215" s="403"/>
      <c r="BF215" s="403"/>
      <c r="BG215" s="403"/>
      <c r="BH215" s="403"/>
      <c r="BI215" s="403"/>
      <c r="BJ215" s="403" t="s">
        <v>2688</v>
      </c>
      <c r="BK215" s="403"/>
      <c r="BL215" s="403"/>
      <c r="BM215" s="403"/>
      <c r="BN215" s="403"/>
      <c r="BO215" s="403"/>
      <c r="BP215" s="403"/>
      <c r="BQ215" s="403"/>
      <c r="BR215" s="403"/>
      <c r="BS215" s="403"/>
      <c r="BT215" s="403"/>
      <c r="BU215" s="403"/>
      <c r="BV215" s="403"/>
      <c r="BW215" s="403"/>
      <c r="BX215" s="403"/>
      <c r="BY215" s="403"/>
      <c r="BZ215" s="403"/>
      <c r="CA215" s="403"/>
      <c r="CB215" s="403"/>
      <c r="CC215" s="403" t="s">
        <v>12148</v>
      </c>
      <c r="CD215" s="403"/>
      <c r="CE215" s="564" t="s">
        <v>5674</v>
      </c>
      <c r="CF215" s="403"/>
      <c r="CG215" s="403"/>
      <c r="CH215" s="403"/>
      <c r="CI215" s="403"/>
      <c r="CJ215" s="403"/>
      <c r="CK215" s="403"/>
      <c r="CL215" s="403"/>
      <c r="CM215" s="403"/>
      <c r="CN215" s="403"/>
      <c r="CO215" s="403"/>
      <c r="CP215" s="403"/>
      <c r="CQ215" s="403"/>
      <c r="CR215" s="403" t="s">
        <v>12149</v>
      </c>
      <c r="CS215" s="403"/>
      <c r="CT215" s="403"/>
      <c r="CU215" s="403"/>
      <c r="CV215" s="403"/>
      <c r="CW215" s="403"/>
      <c r="CX215" s="403"/>
      <c r="CY215" s="403"/>
      <c r="CZ215" s="403"/>
      <c r="DA215" s="403"/>
      <c r="DB215" s="403"/>
      <c r="DC215" s="403"/>
      <c r="DD215" s="403"/>
      <c r="DE215" s="403"/>
      <c r="DF215" s="403"/>
      <c r="DG215" s="403"/>
      <c r="DH215" s="403"/>
      <c r="DI215" s="403"/>
      <c r="DJ215" s="403"/>
      <c r="DK215" s="403" t="s">
        <v>12188</v>
      </c>
      <c r="DL215" s="403"/>
      <c r="DM215" s="564" t="s">
        <v>12410</v>
      </c>
      <c r="DN215" s="403"/>
      <c r="DO215" s="403"/>
      <c r="DP215" s="403"/>
      <c r="DQ215" s="403"/>
      <c r="DR215" s="403"/>
      <c r="DS215" s="403"/>
      <c r="DT215" s="403"/>
      <c r="DU215" s="403"/>
      <c r="DV215" s="403"/>
      <c r="DW215" s="403"/>
      <c r="DX215" s="403"/>
      <c r="DY215" s="403"/>
      <c r="DZ215" s="403" t="s">
        <v>12189</v>
      </c>
      <c r="EA215" s="403"/>
      <c r="EB215" s="403"/>
      <c r="EC215" s="403"/>
      <c r="ED215" s="403"/>
      <c r="EE215" s="403"/>
      <c r="EF215" s="403"/>
      <c r="EG215" s="403"/>
      <c r="EH215" s="403"/>
      <c r="EI215" s="403"/>
      <c r="EJ215" s="403"/>
      <c r="EK215" s="403"/>
      <c r="EL215" s="403"/>
      <c r="EM215" s="403"/>
      <c r="EN215" s="403"/>
      <c r="EO215" s="403"/>
      <c r="EP215" s="403"/>
      <c r="EQ215" s="403"/>
      <c r="ER215" s="403"/>
      <c r="ES215" s="403" t="s">
        <v>12190</v>
      </c>
      <c r="ET215" s="403"/>
      <c r="EU215" s="564" t="s">
        <v>6931</v>
      </c>
      <c r="EV215" s="403"/>
      <c r="EW215" s="403"/>
      <c r="EX215" s="403"/>
      <c r="EY215" s="403"/>
      <c r="EZ215" s="403"/>
      <c r="FA215" s="403"/>
      <c r="FB215" s="403"/>
      <c r="FC215" s="403"/>
      <c r="FD215" s="403"/>
      <c r="FE215" s="403"/>
      <c r="FF215" s="403"/>
      <c r="FG215" s="403"/>
      <c r="FH215" s="403" t="s">
        <v>12153</v>
      </c>
      <c r="FI215" s="403"/>
      <c r="FJ215" s="403"/>
      <c r="FK215" s="403"/>
      <c r="FL215" s="403"/>
      <c r="FM215" s="403"/>
      <c r="FN215" s="403"/>
      <c r="FO215" s="403"/>
      <c r="FP215" s="403"/>
      <c r="FQ215" s="403"/>
      <c r="FR215" s="403"/>
      <c r="FS215" s="403"/>
      <c r="FT215" s="403"/>
      <c r="FU215" s="403"/>
      <c r="FV215" s="403"/>
      <c r="FW215" s="403"/>
      <c r="FX215" s="403"/>
      <c r="FY215" s="403"/>
      <c r="FZ215" s="403"/>
      <c r="GA215" s="403" t="s">
        <v>12154</v>
      </c>
      <c r="GB215" s="403"/>
      <c r="GC215" s="564" t="s">
        <v>6934</v>
      </c>
      <c r="GD215" s="403"/>
      <c r="GE215" s="403"/>
      <c r="GF215" s="403"/>
      <c r="GG215" s="403"/>
      <c r="GH215" s="403"/>
      <c r="GI215" s="403"/>
      <c r="GJ215" s="403"/>
      <c r="GK215" s="403"/>
      <c r="GL215" s="403"/>
      <c r="GM215" s="403"/>
      <c r="GN215" s="403"/>
      <c r="GO215" s="403"/>
      <c r="GP215" s="403" t="s">
        <v>12155</v>
      </c>
      <c r="GQ215" s="403"/>
      <c r="GR215" s="403"/>
      <c r="GS215" s="403"/>
      <c r="GT215" s="403"/>
      <c r="GU215" s="403"/>
      <c r="GV215" s="403"/>
      <c r="GW215" s="403"/>
      <c r="GX215" s="403"/>
      <c r="GY215" s="403"/>
      <c r="GZ215" s="403"/>
      <c r="HA215" s="403"/>
      <c r="HB215" s="403"/>
      <c r="HC215" s="403"/>
      <c r="HD215" s="403"/>
      <c r="HE215" s="403"/>
      <c r="HF215" s="403"/>
      <c r="HG215" s="403"/>
      <c r="HH215" s="403"/>
      <c r="HI215" s="403" t="s">
        <v>12156</v>
      </c>
      <c r="HJ215" s="403"/>
      <c r="HK215" s="564" t="s">
        <v>6937</v>
      </c>
      <c r="HL215" s="403"/>
      <c r="HM215" s="403"/>
      <c r="HN215" s="403"/>
      <c r="HO215" s="403"/>
      <c r="HP215" s="403"/>
      <c r="HQ215" s="403"/>
      <c r="HR215" s="403"/>
      <c r="HS215" s="403"/>
      <c r="HT215" s="403"/>
      <c r="HU215" s="403"/>
      <c r="HV215" s="403"/>
      <c r="HW215" s="403"/>
      <c r="HX215" s="403" t="s">
        <v>12157</v>
      </c>
      <c r="HY215" s="403"/>
      <c r="HZ215" s="403"/>
      <c r="IA215" s="403"/>
      <c r="IB215" s="403"/>
      <c r="IC215" s="403"/>
      <c r="ID215" s="403"/>
      <c r="IE215" s="403"/>
      <c r="IF215" s="403"/>
      <c r="IG215" s="403"/>
      <c r="IH215" s="403"/>
      <c r="II215" s="403"/>
      <c r="IJ215" s="403"/>
      <c r="IK215" s="403"/>
      <c r="IL215" s="403"/>
      <c r="IM215" s="403"/>
      <c r="IN215" s="403"/>
      <c r="IO215" s="403"/>
      <c r="IP215" s="403"/>
      <c r="IQ215" s="403" t="s">
        <v>12158</v>
      </c>
      <c r="IR215" s="403"/>
      <c r="IS215" s="564" t="s">
        <v>5721</v>
      </c>
      <c r="IT215" s="403"/>
      <c r="IU215" s="403"/>
      <c r="IV215" s="403"/>
      <c r="IW215" s="403"/>
      <c r="IX215" s="403"/>
      <c r="IY215" s="403"/>
      <c r="IZ215" s="403"/>
      <c r="JA215" s="403"/>
      <c r="JB215" s="403"/>
      <c r="JC215" s="403"/>
      <c r="JD215" s="403"/>
      <c r="JE215" s="403"/>
      <c r="JF215" s="403" t="s">
        <v>12159</v>
      </c>
      <c r="JG215" s="403"/>
      <c r="JH215" s="403"/>
      <c r="JI215" s="403"/>
      <c r="JJ215" s="403"/>
      <c r="JK215" s="403"/>
      <c r="JL215" s="403"/>
      <c r="JM215" s="403"/>
      <c r="JN215" s="403"/>
      <c r="JO215" s="403"/>
      <c r="JP215" s="403"/>
      <c r="JQ215" s="403"/>
      <c r="JR215" s="403"/>
      <c r="JS215" s="403"/>
      <c r="JT215" s="403"/>
    </row>
    <row r="216" spans="1:280" s="150" customFormat="1" ht="12.75" x14ac:dyDescent="0.2">
      <c r="A216" s="85"/>
      <c r="B216" s="622"/>
      <c r="C216" s="270" t="str">
        <f ca="1">IF(OFFSET(AU216,0,Lang_Order*Lang__B5)="","",OFFSET(AU216,0,Lang_Order*Lang__B5))</f>
        <v>Override here to accelerate vaccination program</v>
      </c>
      <c r="D216" s="35"/>
      <c r="E216" s="85" t="str">
        <f ca="1">IF(OFFSET(AW216,0,Lang_Order*Lang__B5)="","",OFFSET(AW216,0,Lang_Order*Lang__B5))</f>
        <v>days</v>
      </c>
      <c r="R216" s="12" t="str">
        <f t="shared" ca="1" si="460"/>
        <v/>
      </c>
      <c r="S216" s="2"/>
      <c r="T216" s="241"/>
      <c r="U216" s="622"/>
      <c r="V216" s="2"/>
      <c r="AC216" s="281"/>
      <c r="AE216" s="2"/>
      <c r="AF216" s="241"/>
      <c r="AG216" s="622"/>
      <c r="AH216" s="2"/>
      <c r="AO216" s="281"/>
      <c r="AR216" s="403"/>
      <c r="AS216" s="403"/>
      <c r="AT216" s="403"/>
      <c r="AU216" s="403" t="s">
        <v>4564</v>
      </c>
      <c r="AV216" s="403"/>
      <c r="AW216" s="403" t="s">
        <v>2697</v>
      </c>
      <c r="AX216" s="403"/>
      <c r="AY216" s="403"/>
      <c r="AZ216" s="403"/>
      <c r="BA216" s="403"/>
      <c r="BB216" s="403"/>
      <c r="BC216" s="403"/>
      <c r="BD216" s="403"/>
      <c r="BE216" s="403"/>
      <c r="BF216" s="403"/>
      <c r="BG216" s="403"/>
      <c r="BH216" s="403"/>
      <c r="BI216" s="403"/>
      <c r="BJ216" s="403"/>
      <c r="BK216" s="403"/>
      <c r="BL216" s="403"/>
      <c r="BM216" s="403"/>
      <c r="BN216" s="403"/>
      <c r="BO216" s="403"/>
      <c r="BP216" s="403"/>
      <c r="BQ216" s="403"/>
      <c r="BR216" s="403"/>
      <c r="BS216" s="403"/>
      <c r="BT216" s="403"/>
      <c r="BU216" s="403"/>
      <c r="BV216" s="403"/>
      <c r="BW216" s="403"/>
      <c r="BX216" s="403"/>
      <c r="BY216" s="403"/>
      <c r="BZ216" s="403"/>
      <c r="CA216" s="403"/>
      <c r="CB216" s="403"/>
      <c r="CC216" s="403" t="s">
        <v>13251</v>
      </c>
      <c r="CD216" s="403"/>
      <c r="CE216" s="403" t="s">
        <v>5674</v>
      </c>
      <c r="CF216" s="403"/>
      <c r="CG216" s="403"/>
      <c r="CH216" s="403"/>
      <c r="CI216" s="403"/>
      <c r="CJ216" s="403"/>
      <c r="CK216" s="403"/>
      <c r="CL216" s="403"/>
      <c r="CM216" s="403"/>
      <c r="CN216" s="403"/>
      <c r="CO216" s="403"/>
      <c r="CP216" s="403"/>
      <c r="CQ216" s="403"/>
      <c r="CR216" s="403"/>
      <c r="CS216" s="403"/>
      <c r="CT216" s="403"/>
      <c r="CU216" s="403"/>
      <c r="CV216" s="403"/>
      <c r="CW216" s="403"/>
      <c r="CX216" s="403"/>
      <c r="CY216" s="403"/>
      <c r="CZ216" s="403"/>
      <c r="DA216" s="403"/>
      <c r="DB216" s="403"/>
      <c r="DC216" s="403"/>
      <c r="DD216" s="403"/>
      <c r="DE216" s="403"/>
      <c r="DF216" s="403"/>
      <c r="DG216" s="403"/>
      <c r="DH216" s="403"/>
      <c r="DI216" s="403"/>
      <c r="DJ216" s="403"/>
      <c r="DK216" s="403" t="s">
        <v>13252</v>
      </c>
      <c r="DL216" s="403"/>
      <c r="DM216" s="403" t="s">
        <v>12410</v>
      </c>
      <c r="DN216" s="403"/>
      <c r="DO216" s="403"/>
      <c r="DP216" s="403"/>
      <c r="DQ216" s="403"/>
      <c r="DR216" s="403"/>
      <c r="DS216" s="403"/>
      <c r="DT216" s="403"/>
      <c r="DU216" s="403"/>
      <c r="DV216" s="403"/>
      <c r="DW216" s="403"/>
      <c r="DX216" s="403"/>
      <c r="DY216" s="403"/>
      <c r="DZ216" s="403"/>
      <c r="EA216" s="403"/>
      <c r="EB216" s="403"/>
      <c r="EC216" s="403"/>
      <c r="ED216" s="403"/>
      <c r="EE216" s="403"/>
      <c r="EF216" s="403"/>
      <c r="EG216" s="403"/>
      <c r="EH216" s="403"/>
      <c r="EI216" s="403"/>
      <c r="EJ216" s="403"/>
      <c r="EK216" s="403"/>
      <c r="EL216" s="403"/>
      <c r="EM216" s="403"/>
      <c r="EN216" s="403"/>
      <c r="EO216" s="403"/>
      <c r="EP216" s="403"/>
      <c r="EQ216" s="403"/>
      <c r="ER216" s="403"/>
      <c r="ES216" s="403" t="s">
        <v>13253</v>
      </c>
      <c r="ET216" s="403"/>
      <c r="EU216" s="403" t="s">
        <v>6931</v>
      </c>
      <c r="EV216" s="403"/>
      <c r="EW216" s="403"/>
      <c r="EX216" s="403"/>
      <c r="EY216" s="403"/>
      <c r="EZ216" s="403"/>
      <c r="FA216" s="403"/>
      <c r="FB216" s="403"/>
      <c r="FC216" s="403"/>
      <c r="FD216" s="403"/>
      <c r="FE216" s="403"/>
      <c r="FF216" s="403"/>
      <c r="FG216" s="403"/>
      <c r="FH216" s="403"/>
      <c r="FI216" s="403"/>
      <c r="FJ216" s="403"/>
      <c r="FK216" s="403"/>
      <c r="FL216" s="403"/>
      <c r="FM216" s="403"/>
      <c r="FN216" s="403"/>
      <c r="FO216" s="403"/>
      <c r="FP216" s="403"/>
      <c r="FQ216" s="403"/>
      <c r="FR216" s="403"/>
      <c r="FS216" s="403"/>
      <c r="FT216" s="403"/>
      <c r="FU216" s="403"/>
      <c r="FV216" s="403"/>
      <c r="FW216" s="403"/>
      <c r="FX216" s="403"/>
      <c r="FY216" s="403"/>
      <c r="FZ216" s="403"/>
      <c r="GA216" s="403" t="s">
        <v>13254</v>
      </c>
      <c r="GB216" s="403"/>
      <c r="GC216" s="403" t="s">
        <v>6934</v>
      </c>
      <c r="GD216" s="403"/>
      <c r="GE216" s="403"/>
      <c r="GF216" s="403"/>
      <c r="GG216" s="403"/>
      <c r="GH216" s="403"/>
      <c r="GI216" s="403"/>
      <c r="GJ216" s="403"/>
      <c r="GK216" s="403"/>
      <c r="GL216" s="403"/>
      <c r="GM216" s="403"/>
      <c r="GN216" s="403"/>
      <c r="GO216" s="403"/>
      <c r="GP216" s="403"/>
      <c r="GQ216" s="403"/>
      <c r="GR216" s="403"/>
      <c r="GS216" s="403"/>
      <c r="GT216" s="403"/>
      <c r="GU216" s="403"/>
      <c r="GV216" s="403"/>
      <c r="GW216" s="403"/>
      <c r="GX216" s="403"/>
      <c r="GY216" s="403"/>
      <c r="GZ216" s="403"/>
      <c r="HA216" s="403"/>
      <c r="HB216" s="403"/>
      <c r="HC216" s="403"/>
      <c r="HD216" s="403"/>
      <c r="HE216" s="403"/>
      <c r="HF216" s="403"/>
      <c r="HG216" s="403"/>
      <c r="HH216" s="403"/>
      <c r="HI216" s="403" t="s">
        <v>13255</v>
      </c>
      <c r="HJ216" s="403"/>
      <c r="HK216" s="403" t="s">
        <v>6937</v>
      </c>
      <c r="HL216" s="403"/>
      <c r="HM216" s="403"/>
      <c r="HN216" s="403"/>
      <c r="HO216" s="403"/>
      <c r="HP216" s="403"/>
      <c r="HQ216" s="403"/>
      <c r="HR216" s="403"/>
      <c r="HS216" s="403"/>
      <c r="HT216" s="403"/>
      <c r="HU216" s="403"/>
      <c r="HV216" s="403"/>
      <c r="HW216" s="403"/>
      <c r="HX216" s="403"/>
      <c r="HY216" s="403"/>
      <c r="HZ216" s="403"/>
      <c r="IA216" s="403"/>
      <c r="IB216" s="403"/>
      <c r="IC216" s="403"/>
      <c r="ID216" s="403"/>
      <c r="IE216" s="403"/>
      <c r="IF216" s="403"/>
      <c r="IG216" s="403"/>
      <c r="IH216" s="403"/>
      <c r="II216" s="403"/>
      <c r="IJ216" s="403"/>
      <c r="IK216" s="403"/>
      <c r="IL216" s="403"/>
      <c r="IM216" s="403"/>
      <c r="IN216" s="403"/>
      <c r="IO216" s="403"/>
      <c r="IP216" s="403"/>
      <c r="IQ216" s="403" t="s">
        <v>13256</v>
      </c>
      <c r="IR216" s="403"/>
      <c r="IS216" s="403" t="s">
        <v>5721</v>
      </c>
      <c r="IT216" s="403"/>
      <c r="IU216" s="403"/>
      <c r="IV216" s="403"/>
      <c r="IW216" s="403"/>
      <c r="IX216" s="403"/>
      <c r="IY216" s="403"/>
      <c r="IZ216" s="403"/>
      <c r="JA216" s="403"/>
      <c r="JB216" s="403"/>
      <c r="JC216" s="403"/>
      <c r="JD216" s="403"/>
      <c r="JE216" s="403"/>
      <c r="JF216" s="403"/>
      <c r="JG216" s="403"/>
      <c r="JH216" s="403"/>
      <c r="JI216" s="403"/>
      <c r="JJ216" s="403"/>
      <c r="JK216" s="403"/>
      <c r="JL216" s="403"/>
      <c r="JM216" s="403"/>
      <c r="JN216" s="403"/>
      <c r="JO216" s="403"/>
      <c r="JP216" s="403"/>
      <c r="JQ216" s="403"/>
      <c r="JR216" s="403"/>
      <c r="JS216" s="403"/>
      <c r="JT216" s="403"/>
    </row>
    <row r="217" spans="1:280" s="15" customFormat="1" ht="12.75" x14ac:dyDescent="0.2">
      <c r="A217" s="9"/>
      <c r="B217" s="624" t="str">
        <f ca="1">IF(OFFSET(AT217,0,Lang_Order*Lang__B5)="","",OFFSET(AT217,0,Lang_Order*Lang__B5))</f>
        <v>Local Demand Generation and Communications</v>
      </c>
      <c r="C217" s="23"/>
      <c r="E217" s="26"/>
      <c r="F217" s="26"/>
      <c r="G217" s="26"/>
      <c r="H217" s="26"/>
      <c r="I217" s="26"/>
      <c r="P217" s="26"/>
      <c r="Q217" s="26"/>
      <c r="R217" s="12" t="str">
        <f t="shared" ca="1" si="460"/>
        <v/>
      </c>
      <c r="S217" s="2"/>
      <c r="T217" s="241"/>
      <c r="U217" s="624" t="str">
        <f ca="1">IF(OFFSET(AT217,0,Lang_Order*Lang__B5)="","",OFFSET(AT217,0,Lang_Order*Lang__B5))</f>
        <v>Local Demand Generation and Communications</v>
      </c>
      <c r="V217" s="72"/>
      <c r="AC217" s="26"/>
      <c r="AE217" s="2"/>
      <c r="AF217" s="241"/>
      <c r="AG217" s="624" t="str">
        <f ca="1">IF(OFFSET(AT217,0,Lang_Order*Lang__B5)="","",OFFSET(AT217,0,Lang_Order*Lang__B5))</f>
        <v>Local Demand Generation and Communications</v>
      </c>
      <c r="AH217" s="72"/>
      <c r="AO217" s="26"/>
      <c r="AR217" s="403"/>
      <c r="AS217" s="403"/>
      <c r="AT217" s="403" t="s">
        <v>1575</v>
      </c>
      <c r="AU217" s="403"/>
      <c r="AV217" s="403"/>
      <c r="AW217" s="403"/>
      <c r="AX217" s="403"/>
      <c r="AY217" s="403"/>
      <c r="AZ217" s="403"/>
      <c r="BA217" s="403"/>
      <c r="BB217" s="403"/>
      <c r="BC217" s="403"/>
      <c r="BD217" s="403"/>
      <c r="BE217" s="403"/>
      <c r="BF217" s="403"/>
      <c r="BG217" s="403"/>
      <c r="BH217" s="403"/>
      <c r="BI217" s="403"/>
      <c r="BJ217" s="403"/>
      <c r="BK217" s="403"/>
      <c r="BL217" s="403"/>
      <c r="BM217" s="403"/>
      <c r="BN217" s="403"/>
      <c r="BO217" s="403"/>
      <c r="BP217" s="403"/>
      <c r="BQ217" s="403"/>
      <c r="BR217" s="403"/>
      <c r="BS217" s="403"/>
      <c r="BT217" s="403"/>
      <c r="BU217" s="403"/>
      <c r="BV217" s="403"/>
      <c r="BW217" s="403"/>
      <c r="BX217" s="403"/>
      <c r="BY217" s="403"/>
      <c r="BZ217" s="403"/>
      <c r="CA217" s="403"/>
      <c r="CB217" s="403" t="s">
        <v>12017</v>
      </c>
      <c r="CC217" s="403"/>
      <c r="CD217" s="403"/>
      <c r="CE217" s="403"/>
      <c r="CF217" s="403"/>
      <c r="CG217" s="403"/>
      <c r="CH217" s="403"/>
      <c r="CI217" s="403"/>
      <c r="CJ217" s="403"/>
      <c r="CK217" s="403"/>
      <c r="CL217" s="403"/>
      <c r="CM217" s="403"/>
      <c r="CN217" s="403"/>
      <c r="CO217" s="403"/>
      <c r="CP217" s="403"/>
      <c r="CQ217" s="403"/>
      <c r="CR217" s="403"/>
      <c r="CS217" s="403"/>
      <c r="CT217" s="403"/>
      <c r="CU217" s="403"/>
      <c r="CV217" s="403"/>
      <c r="CW217" s="403"/>
      <c r="CX217" s="403"/>
      <c r="CY217" s="403"/>
      <c r="CZ217" s="403"/>
      <c r="DA217" s="403"/>
      <c r="DB217" s="403"/>
      <c r="DC217" s="403"/>
      <c r="DD217" s="403"/>
      <c r="DE217" s="403"/>
      <c r="DF217" s="403"/>
      <c r="DG217" s="403"/>
      <c r="DH217" s="403"/>
      <c r="DI217" s="403"/>
      <c r="DJ217" s="403" t="s">
        <v>11627</v>
      </c>
      <c r="DK217" s="403"/>
      <c r="DL217" s="403"/>
      <c r="DM217" s="403"/>
      <c r="DN217" s="403"/>
      <c r="DO217" s="403"/>
      <c r="DP217" s="403"/>
      <c r="DQ217" s="403"/>
      <c r="DR217" s="403"/>
      <c r="DS217" s="403"/>
      <c r="DT217" s="403"/>
      <c r="DU217" s="403"/>
      <c r="DV217" s="403"/>
      <c r="DW217" s="403"/>
      <c r="DX217" s="403"/>
      <c r="DY217" s="403"/>
      <c r="DZ217" s="403"/>
      <c r="EA217" s="403"/>
      <c r="EB217" s="403"/>
      <c r="EC217" s="403"/>
      <c r="ED217" s="403"/>
      <c r="EE217" s="403"/>
      <c r="EF217" s="403"/>
      <c r="EG217" s="403"/>
      <c r="EH217" s="403"/>
      <c r="EI217" s="403"/>
      <c r="EJ217" s="403"/>
      <c r="EK217" s="403"/>
      <c r="EL217" s="403"/>
      <c r="EM217" s="403"/>
      <c r="EN217" s="403"/>
      <c r="EO217" s="403"/>
      <c r="EP217" s="403"/>
      <c r="EQ217" s="403"/>
      <c r="ER217" s="403" t="s">
        <v>11628</v>
      </c>
      <c r="ES217" s="403"/>
      <c r="ET217" s="403"/>
      <c r="EU217" s="403"/>
      <c r="EV217" s="403"/>
      <c r="EW217" s="403"/>
      <c r="EX217" s="403"/>
      <c r="EY217" s="403"/>
      <c r="EZ217" s="403"/>
      <c r="FA217" s="403"/>
      <c r="FB217" s="403"/>
      <c r="FC217" s="403"/>
      <c r="FD217" s="403"/>
      <c r="FE217" s="403"/>
      <c r="FF217" s="403"/>
      <c r="FG217" s="403"/>
      <c r="FH217" s="403"/>
      <c r="FI217" s="403"/>
      <c r="FJ217" s="403"/>
      <c r="FK217" s="403"/>
      <c r="FL217" s="403"/>
      <c r="FM217" s="403"/>
      <c r="FN217" s="403"/>
      <c r="FO217" s="403"/>
      <c r="FP217" s="403"/>
      <c r="FQ217" s="403"/>
      <c r="FR217" s="403"/>
      <c r="FS217" s="403"/>
      <c r="FT217" s="403"/>
      <c r="FU217" s="403"/>
      <c r="FV217" s="403"/>
      <c r="FW217" s="403"/>
      <c r="FX217" s="403"/>
      <c r="FY217" s="403"/>
      <c r="FZ217" s="403" t="s">
        <v>11629</v>
      </c>
      <c r="GA217" s="403"/>
      <c r="GB217" s="403"/>
      <c r="GC217" s="403"/>
      <c r="GD217" s="403"/>
      <c r="GE217" s="403"/>
      <c r="GF217" s="403"/>
      <c r="GG217" s="403"/>
      <c r="GH217" s="403"/>
      <c r="GI217" s="403"/>
      <c r="GJ217" s="403"/>
      <c r="GK217" s="403"/>
      <c r="GL217" s="403"/>
      <c r="GM217" s="403"/>
      <c r="GN217" s="403"/>
      <c r="GO217" s="403"/>
      <c r="GP217" s="403"/>
      <c r="GQ217" s="403"/>
      <c r="GR217" s="403"/>
      <c r="GS217" s="403"/>
      <c r="GT217" s="403"/>
      <c r="GU217" s="403"/>
      <c r="GV217" s="403"/>
      <c r="GW217" s="403"/>
      <c r="GX217" s="403"/>
      <c r="GY217" s="403"/>
      <c r="GZ217" s="403"/>
      <c r="HA217" s="403"/>
      <c r="HB217" s="403"/>
      <c r="HC217" s="403"/>
      <c r="HD217" s="403"/>
      <c r="HE217" s="403"/>
      <c r="HF217" s="403"/>
      <c r="HG217" s="403"/>
      <c r="HH217" s="403" t="s">
        <v>11630</v>
      </c>
      <c r="HI217" s="403"/>
      <c r="HJ217" s="403"/>
      <c r="HK217" s="403"/>
      <c r="HL217" s="403"/>
      <c r="HM217" s="403"/>
      <c r="HN217" s="403"/>
      <c r="HO217" s="403"/>
      <c r="HP217" s="403"/>
      <c r="HQ217" s="403"/>
      <c r="HR217" s="403"/>
      <c r="HS217" s="403"/>
      <c r="HT217" s="403"/>
      <c r="HU217" s="403"/>
      <c r="HV217" s="403"/>
      <c r="HW217" s="403"/>
      <c r="HX217" s="403"/>
      <c r="HY217" s="403"/>
      <c r="HZ217" s="403"/>
      <c r="IA217" s="403"/>
      <c r="IB217" s="403"/>
      <c r="IC217" s="403"/>
      <c r="ID217" s="403"/>
      <c r="IE217" s="403"/>
      <c r="IF217" s="403"/>
      <c r="IG217" s="403"/>
      <c r="IH217" s="403"/>
      <c r="II217" s="403"/>
      <c r="IJ217" s="403"/>
      <c r="IK217" s="403"/>
      <c r="IL217" s="403"/>
      <c r="IM217" s="403"/>
      <c r="IN217" s="403"/>
      <c r="IO217" s="403"/>
      <c r="IP217" s="403" t="s">
        <v>11631</v>
      </c>
      <c r="IQ217" s="403"/>
      <c r="IR217" s="403"/>
      <c r="IS217" s="403"/>
      <c r="IT217" s="403"/>
      <c r="IU217" s="403"/>
      <c r="IV217" s="403"/>
      <c r="IW217" s="403"/>
      <c r="IX217" s="403"/>
      <c r="IY217" s="403"/>
      <c r="IZ217" s="403"/>
      <c r="JA217" s="403"/>
      <c r="JB217" s="403"/>
      <c r="JC217" s="403"/>
      <c r="JD217" s="403"/>
      <c r="JE217" s="403"/>
      <c r="JF217" s="403"/>
      <c r="JG217" s="403"/>
      <c r="JH217" s="403"/>
      <c r="JI217" s="403"/>
      <c r="JJ217" s="403"/>
      <c r="JK217" s="403"/>
      <c r="JL217" s="403"/>
      <c r="JM217" s="403"/>
      <c r="JN217" s="403"/>
      <c r="JO217" s="403"/>
      <c r="JP217" s="403"/>
      <c r="JQ217" s="403"/>
      <c r="JR217" s="403"/>
      <c r="JS217" s="403"/>
      <c r="JT217" s="403"/>
    </row>
    <row r="218" spans="1:280" s="15" customFormat="1" ht="12.75" x14ac:dyDescent="0.2">
      <c r="A218" s="9"/>
      <c r="B218" s="624"/>
      <c r="C218" s="23" t="str">
        <f ca="1">IF(OFFSET(AU218,0,Lang_Order*Lang__B5)="","",OFFSET(AU218,0,Lang_Order*Lang__B5))</f>
        <v>Per Site</v>
      </c>
      <c r="E218" s="26"/>
      <c r="F218" s="26"/>
      <c r="G218" s="26"/>
      <c r="H218" s="26"/>
      <c r="I218" s="26"/>
      <c r="J218" s="63" t="e">
        <f t="shared" ref="J218:O218" si="521">RBF_DM3*J195*AUCs_Comms_PerSite</f>
        <v>#N/A</v>
      </c>
      <c r="K218" s="63" t="e">
        <f t="shared" si="521"/>
        <v>#N/A</v>
      </c>
      <c r="L218" s="63" t="e">
        <f t="shared" si="521"/>
        <v>#N/A</v>
      </c>
      <c r="M218" s="63" t="e">
        <f t="shared" si="521"/>
        <v>#N/A</v>
      </c>
      <c r="N218" s="63" t="e">
        <f t="shared" si="521"/>
        <v>#N/A</v>
      </c>
      <c r="O218" s="63" t="e">
        <f t="shared" si="521"/>
        <v>#N/A</v>
      </c>
      <c r="P218" s="83" t="e">
        <f>SUM(J218:O218)</f>
        <v>#N/A</v>
      </c>
      <c r="Q218" s="26"/>
      <c r="R218" s="12" t="str">
        <f t="shared" ca="1" si="460"/>
        <v/>
      </c>
      <c r="S218" s="2"/>
      <c r="T218" s="241"/>
      <c r="U218" s="624"/>
      <c r="V218" s="72" t="str">
        <f ca="1">IF(OFFSET(AU218,0,Lang_Order*Lang__B5)="","",OFFSET(AU218,0,Lang_Order*Lang__B5))</f>
        <v>Per Site</v>
      </c>
      <c r="W218" s="63" t="e">
        <f t="shared" ref="W218:AB218" si="522">RBF_DM3*W195*AUCs_Comms_PerSite</f>
        <v>#N/A</v>
      </c>
      <c r="X218" s="63" t="e">
        <f t="shared" si="522"/>
        <v>#N/A</v>
      </c>
      <c r="Y218" s="63" t="e">
        <f t="shared" si="522"/>
        <v>#N/A</v>
      </c>
      <c r="Z218" s="63" t="e">
        <f t="shared" si="522"/>
        <v>#N/A</v>
      </c>
      <c r="AA218" s="63" t="e">
        <f t="shared" si="522"/>
        <v>#N/A</v>
      </c>
      <c r="AB218" s="63" t="e">
        <f t="shared" si="522"/>
        <v>#N/A</v>
      </c>
      <c r="AC218" s="83" t="e">
        <f>SUM(W218:AB218)</f>
        <v>#N/A</v>
      </c>
      <c r="AE218" s="72" t="s">
        <v>3042</v>
      </c>
      <c r="AF218" s="241"/>
      <c r="AG218" s="624"/>
      <c r="AH218" s="72" t="str">
        <f ca="1">IF(OFFSET(AU218,0,Lang_Order*Lang__B5)="","",OFFSET(AU218,0,Lang_Order*Lang__B5))</f>
        <v>Per Site</v>
      </c>
      <c r="AI218" s="63" t="e">
        <f t="shared" ref="AI218:AN218" si="523">RBF_DM3*AI195*AUCs_Comms_PerSite</f>
        <v>#N/A</v>
      </c>
      <c r="AJ218" s="63" t="e">
        <f t="shared" si="523"/>
        <v>#N/A</v>
      </c>
      <c r="AK218" s="63" t="e">
        <f t="shared" si="523"/>
        <v>#N/A</v>
      </c>
      <c r="AL218" s="63" t="e">
        <f t="shared" si="523"/>
        <v>#N/A</v>
      </c>
      <c r="AM218" s="63" t="e">
        <f t="shared" si="523"/>
        <v>#N/A</v>
      </c>
      <c r="AN218" s="63" t="e">
        <f t="shared" si="523"/>
        <v>#N/A</v>
      </c>
      <c r="AO218" s="83" t="e">
        <f>SUM(AI218:AN218)</f>
        <v>#N/A</v>
      </c>
      <c r="AR218" s="403"/>
      <c r="AS218" s="403"/>
      <c r="AT218" s="403"/>
      <c r="AU218" s="403" t="s">
        <v>1580</v>
      </c>
      <c r="AV218" s="403"/>
      <c r="AW218" s="403"/>
      <c r="AX218" s="403"/>
      <c r="AY218" s="403"/>
      <c r="AZ218" s="403"/>
      <c r="BA218" s="403"/>
      <c r="BB218" s="403"/>
      <c r="BC218" s="403"/>
      <c r="BD218" s="403"/>
      <c r="BE218" s="403"/>
      <c r="BF218" s="403"/>
      <c r="BG218" s="403"/>
      <c r="BH218" s="403"/>
      <c r="BI218" s="403"/>
      <c r="BJ218" s="403"/>
      <c r="BK218" s="403"/>
      <c r="BL218" s="403"/>
      <c r="BM218" s="403"/>
      <c r="BN218" s="403"/>
      <c r="BO218" s="403"/>
      <c r="BP218" s="403"/>
      <c r="BQ218" s="403"/>
      <c r="BR218" s="403"/>
      <c r="BS218" s="403"/>
      <c r="BT218" s="403"/>
      <c r="BU218" s="403"/>
      <c r="BV218" s="403"/>
      <c r="BW218" s="403"/>
      <c r="BX218" s="403"/>
      <c r="BY218" s="403"/>
      <c r="BZ218" s="403"/>
      <c r="CA218" s="403"/>
      <c r="CB218" s="403"/>
      <c r="CC218" s="403" t="s">
        <v>8457</v>
      </c>
      <c r="CD218" s="403"/>
      <c r="CE218" s="403"/>
      <c r="CF218" s="403"/>
      <c r="CG218" s="403"/>
      <c r="CH218" s="403"/>
      <c r="CI218" s="403"/>
      <c r="CJ218" s="403"/>
      <c r="CK218" s="403"/>
      <c r="CL218" s="403"/>
      <c r="CM218" s="403"/>
      <c r="CN218" s="403"/>
      <c r="CO218" s="403"/>
      <c r="CP218" s="403"/>
      <c r="CQ218" s="403"/>
      <c r="CR218" s="403"/>
      <c r="CS218" s="403"/>
      <c r="CT218" s="403"/>
      <c r="CU218" s="403"/>
      <c r="CV218" s="403"/>
      <c r="CW218" s="403"/>
      <c r="CX218" s="403"/>
      <c r="CY218" s="403"/>
      <c r="CZ218" s="403"/>
      <c r="DA218" s="403"/>
      <c r="DB218" s="403"/>
      <c r="DC218" s="403"/>
      <c r="DD218" s="403"/>
      <c r="DE218" s="403"/>
      <c r="DF218" s="403"/>
      <c r="DG218" s="403"/>
      <c r="DH218" s="403"/>
      <c r="DI218" s="403"/>
      <c r="DJ218" s="403"/>
      <c r="DK218" s="403" t="s">
        <v>9147</v>
      </c>
      <c r="DL218" s="403"/>
      <c r="DM218" s="403"/>
      <c r="DN218" s="403"/>
      <c r="DO218" s="403"/>
      <c r="DP218" s="403"/>
      <c r="DQ218" s="403"/>
      <c r="DR218" s="403"/>
      <c r="DS218" s="403"/>
      <c r="DT218" s="403"/>
      <c r="DU218" s="403"/>
      <c r="DV218" s="403"/>
      <c r="DW218" s="403"/>
      <c r="DX218" s="403"/>
      <c r="DY218" s="403"/>
      <c r="DZ218" s="403"/>
      <c r="EA218" s="403"/>
      <c r="EB218" s="403"/>
      <c r="EC218" s="403"/>
      <c r="ED218" s="403"/>
      <c r="EE218" s="403"/>
      <c r="EF218" s="403"/>
      <c r="EG218" s="403"/>
      <c r="EH218" s="403"/>
      <c r="EI218" s="403"/>
      <c r="EJ218" s="403"/>
      <c r="EK218" s="403"/>
      <c r="EL218" s="403"/>
      <c r="EM218" s="403"/>
      <c r="EN218" s="403"/>
      <c r="EO218" s="403"/>
      <c r="EP218" s="403"/>
      <c r="EQ218" s="403"/>
      <c r="ER218" s="403"/>
      <c r="ES218" s="403" t="s">
        <v>8579</v>
      </c>
      <c r="ET218" s="403"/>
      <c r="EU218" s="403"/>
      <c r="EV218" s="403"/>
      <c r="EW218" s="403"/>
      <c r="EX218" s="403"/>
      <c r="EY218" s="403"/>
      <c r="EZ218" s="403"/>
      <c r="FA218" s="403"/>
      <c r="FB218" s="403"/>
      <c r="FC218" s="403"/>
      <c r="FD218" s="403"/>
      <c r="FE218" s="403"/>
      <c r="FF218" s="403"/>
      <c r="FG218" s="403"/>
      <c r="FH218" s="403"/>
      <c r="FI218" s="403"/>
      <c r="FJ218" s="403"/>
      <c r="FK218" s="403"/>
      <c r="FL218" s="403"/>
      <c r="FM218" s="403"/>
      <c r="FN218" s="403"/>
      <c r="FO218" s="403"/>
      <c r="FP218" s="403"/>
      <c r="FQ218" s="403"/>
      <c r="FR218" s="403"/>
      <c r="FS218" s="403"/>
      <c r="FT218" s="403"/>
      <c r="FU218" s="403"/>
      <c r="FV218" s="403"/>
      <c r="FW218" s="403"/>
      <c r="FX218" s="403"/>
      <c r="FY218" s="403"/>
      <c r="FZ218" s="403"/>
      <c r="GA218" s="403" t="s">
        <v>8463</v>
      </c>
      <c r="GB218" s="403"/>
      <c r="GC218" s="403"/>
      <c r="GD218" s="403"/>
      <c r="GE218" s="403"/>
      <c r="GF218" s="403"/>
      <c r="GG218" s="403"/>
      <c r="GH218" s="403"/>
      <c r="GI218" s="403"/>
      <c r="GJ218" s="403"/>
      <c r="GK218" s="403"/>
      <c r="GL218" s="403"/>
      <c r="GM218" s="403"/>
      <c r="GN218" s="403"/>
      <c r="GO218" s="403"/>
      <c r="GP218" s="403"/>
      <c r="GQ218" s="403"/>
      <c r="GR218" s="403"/>
      <c r="GS218" s="403"/>
      <c r="GT218" s="403"/>
      <c r="GU218" s="403"/>
      <c r="GV218" s="403"/>
      <c r="GW218" s="403"/>
      <c r="GX218" s="403"/>
      <c r="GY218" s="403"/>
      <c r="GZ218" s="403"/>
      <c r="HA218" s="403"/>
      <c r="HB218" s="403"/>
      <c r="HC218" s="403"/>
      <c r="HD218" s="403"/>
      <c r="HE218" s="403"/>
      <c r="HF218" s="403"/>
      <c r="HG218" s="403"/>
      <c r="HH218" s="403"/>
      <c r="HI218" s="403" t="s">
        <v>8465</v>
      </c>
      <c r="HJ218" s="403"/>
      <c r="HK218" s="403"/>
      <c r="HL218" s="403"/>
      <c r="HM218" s="403"/>
      <c r="HN218" s="403"/>
      <c r="HO218" s="403"/>
      <c r="HP218" s="403"/>
      <c r="HQ218" s="403"/>
      <c r="HR218" s="403"/>
      <c r="HS218" s="403"/>
      <c r="HT218" s="403"/>
      <c r="HU218" s="403"/>
      <c r="HV218" s="403"/>
      <c r="HW218" s="403"/>
      <c r="HX218" s="403"/>
      <c r="HY218" s="403"/>
      <c r="HZ218" s="403"/>
      <c r="IA218" s="403"/>
      <c r="IB218" s="403"/>
      <c r="IC218" s="403"/>
      <c r="ID218" s="403"/>
      <c r="IE218" s="403"/>
      <c r="IF218" s="403"/>
      <c r="IG218" s="403"/>
      <c r="IH218" s="403"/>
      <c r="II218" s="403"/>
      <c r="IJ218" s="403"/>
      <c r="IK218" s="403"/>
      <c r="IL218" s="403"/>
      <c r="IM218" s="403"/>
      <c r="IN218" s="403"/>
      <c r="IO218" s="403"/>
      <c r="IP218" s="403"/>
      <c r="IQ218" s="403" t="s">
        <v>8467</v>
      </c>
      <c r="IR218" s="403"/>
      <c r="IS218" s="403"/>
      <c r="IT218" s="403"/>
      <c r="IU218" s="403"/>
      <c r="IV218" s="403"/>
      <c r="IW218" s="403"/>
      <c r="IX218" s="403"/>
      <c r="IY218" s="403"/>
      <c r="IZ218" s="403"/>
      <c r="JA218" s="403"/>
      <c r="JB218" s="403"/>
      <c r="JC218" s="403"/>
      <c r="JD218" s="403"/>
      <c r="JE218" s="403"/>
      <c r="JF218" s="403"/>
      <c r="JG218" s="403"/>
      <c r="JH218" s="403"/>
      <c r="JI218" s="403"/>
      <c r="JJ218" s="403"/>
      <c r="JK218" s="403"/>
      <c r="JL218" s="403"/>
      <c r="JM218" s="403"/>
      <c r="JN218" s="403"/>
      <c r="JO218" s="403"/>
      <c r="JP218" s="403"/>
      <c r="JQ218" s="403"/>
      <c r="JR218" s="403"/>
      <c r="JS218" s="403"/>
      <c r="JT218" s="403"/>
    </row>
    <row r="219" spans="1:280" s="15" customFormat="1" ht="12.75" x14ac:dyDescent="0.2">
      <c r="A219" s="9"/>
      <c r="B219" s="624"/>
      <c r="C219" s="335" t="str">
        <f ca="1">IF(OFFSET(AU219,0,Lang_Order*Lang__B5)="","",OFFSET(AU219,0,Lang_Order*Lang__B5))</f>
        <v>Per Person Eligible for Vaccination (Voluntary Uptake)</v>
      </c>
      <c r="E219" s="26"/>
      <c r="F219" s="26"/>
      <c r="G219" s="26"/>
      <c r="H219" s="26"/>
      <c r="I219" s="26"/>
      <c r="J219" s="96" t="s">
        <v>1687</v>
      </c>
      <c r="K219" s="96" t="s">
        <v>1687</v>
      </c>
      <c r="L219" s="96" t="s">
        <v>1687</v>
      </c>
      <c r="M219" s="96" t="s">
        <v>1687</v>
      </c>
      <c r="N219" s="96" t="s">
        <v>1687</v>
      </c>
      <c r="O219" s="96" t="s">
        <v>1687</v>
      </c>
      <c r="P219" s="83">
        <f>SUM(J219:O219)</f>
        <v>0</v>
      </c>
      <c r="Q219" s="95"/>
      <c r="R219" s="12" t="str">
        <f t="shared" ca="1" si="460"/>
        <v/>
      </c>
      <c r="S219" s="2"/>
      <c r="T219" s="241"/>
      <c r="U219" s="624"/>
      <c r="V219" s="612" t="str">
        <f ca="1">IF(OFFSET(AU219,0,Lang_Order*Lang__B5)="","",OFFSET(AU219,0,Lang_Order*Lang__B5))</f>
        <v>Per Person Eligible for Vaccination (Voluntary Uptake)</v>
      </c>
      <c r="W219" s="37" t="str">
        <f t="shared" ref="W219:W220" si="524">J219</f>
        <v>N/A</v>
      </c>
      <c r="X219" s="37" t="str">
        <f t="shared" ref="X219:X220" si="525">K219</f>
        <v>N/A</v>
      </c>
      <c r="Y219" s="37" t="str">
        <f t="shared" ref="Y219:Y220" si="526">L219</f>
        <v>N/A</v>
      </c>
      <c r="Z219" s="37" t="str">
        <f t="shared" ref="Z219:Z220" si="527">M219</f>
        <v>N/A</v>
      </c>
      <c r="AA219" s="37" t="str">
        <f t="shared" ref="AA219:AA220" si="528">N219</f>
        <v>N/A</v>
      </c>
      <c r="AB219" s="37" t="str">
        <f t="shared" ref="AB219:AB220" si="529">O219</f>
        <v>N/A</v>
      </c>
      <c r="AC219" s="83">
        <f>SUM(W219:AB219)</f>
        <v>0</v>
      </c>
      <c r="AE219" s="72" t="s">
        <v>3042</v>
      </c>
      <c r="AF219" s="241"/>
      <c r="AG219" s="624"/>
      <c r="AH219" s="612" t="str">
        <f ca="1">IF(OFFSET(AU219,0,Lang_Order*Lang__B5)="","",OFFSET(AU219,0,Lang_Order*Lang__B5))</f>
        <v>Per Person Eligible for Vaccination (Voluntary Uptake)</v>
      </c>
      <c r="AI219" s="37" t="str">
        <f t="shared" ref="AI219:AI220" si="530">J219</f>
        <v>N/A</v>
      </c>
      <c r="AJ219" s="37" t="str">
        <f t="shared" ref="AJ219:AJ220" si="531">K219</f>
        <v>N/A</v>
      </c>
      <c r="AK219" s="37" t="str">
        <f t="shared" ref="AK219:AK220" si="532">L219</f>
        <v>N/A</v>
      </c>
      <c r="AL219" s="37" t="str">
        <f t="shared" ref="AL219:AL220" si="533">M219</f>
        <v>N/A</v>
      </c>
      <c r="AM219" s="37" t="str">
        <f t="shared" ref="AM219:AM220" si="534">N219</f>
        <v>N/A</v>
      </c>
      <c r="AN219" s="37" t="str">
        <f t="shared" ref="AN219:AN220" si="535">O219</f>
        <v>N/A</v>
      </c>
      <c r="AO219" s="83">
        <f>SUM(AI219:AN219)</f>
        <v>0</v>
      </c>
      <c r="AR219" s="403"/>
      <c r="AS219" s="403"/>
      <c r="AT219" s="403"/>
      <c r="AU219" s="403" t="s">
        <v>1626</v>
      </c>
      <c r="AV219" s="403"/>
      <c r="AW219" s="403"/>
      <c r="AX219" s="403"/>
      <c r="AY219" s="403"/>
      <c r="AZ219" s="403"/>
      <c r="BA219" s="403"/>
      <c r="BB219" s="403"/>
      <c r="BC219" s="403"/>
      <c r="BD219" s="403"/>
      <c r="BE219" s="403"/>
      <c r="BF219" s="403"/>
      <c r="BG219" s="403"/>
      <c r="BH219" s="403"/>
      <c r="BI219" s="403"/>
      <c r="BJ219" s="403"/>
      <c r="BK219" s="403"/>
      <c r="BL219" s="403"/>
      <c r="BM219" s="403"/>
      <c r="BN219" s="403"/>
      <c r="BO219" s="403"/>
      <c r="BP219" s="403"/>
      <c r="BQ219" s="403"/>
      <c r="BR219" s="403"/>
      <c r="BS219" s="403"/>
      <c r="BT219" s="403"/>
      <c r="BU219" s="403"/>
      <c r="BV219" s="403"/>
      <c r="BW219" s="403"/>
      <c r="BX219" s="403"/>
      <c r="BY219" s="403"/>
      <c r="BZ219" s="403"/>
      <c r="CA219" s="403"/>
      <c r="CB219" s="403"/>
      <c r="CC219" s="403" t="s">
        <v>12020</v>
      </c>
      <c r="CD219" s="403"/>
      <c r="CE219" s="403"/>
      <c r="CF219" s="403"/>
      <c r="CG219" s="403"/>
      <c r="CH219" s="403"/>
      <c r="CI219" s="403"/>
      <c r="CJ219" s="403"/>
      <c r="CK219" s="403"/>
      <c r="CL219" s="403"/>
      <c r="CM219" s="403"/>
      <c r="CN219" s="403"/>
      <c r="CO219" s="403"/>
      <c r="CP219" s="403"/>
      <c r="CQ219" s="403"/>
      <c r="CR219" s="403"/>
      <c r="CS219" s="403"/>
      <c r="CT219" s="403"/>
      <c r="CU219" s="403"/>
      <c r="CV219" s="403"/>
      <c r="CW219" s="403"/>
      <c r="CX219" s="403"/>
      <c r="CY219" s="403"/>
      <c r="CZ219" s="403"/>
      <c r="DA219" s="403"/>
      <c r="DB219" s="403"/>
      <c r="DC219" s="403"/>
      <c r="DD219" s="403"/>
      <c r="DE219" s="403"/>
      <c r="DF219" s="403"/>
      <c r="DG219" s="403"/>
      <c r="DH219" s="403"/>
      <c r="DI219" s="403"/>
      <c r="DJ219" s="403"/>
      <c r="DK219" s="403" t="s">
        <v>12021</v>
      </c>
      <c r="DL219" s="403"/>
      <c r="DM219" s="403"/>
      <c r="DN219" s="403"/>
      <c r="DO219" s="403"/>
      <c r="DP219" s="403"/>
      <c r="DQ219" s="403"/>
      <c r="DR219" s="403"/>
      <c r="DS219" s="403"/>
      <c r="DT219" s="403"/>
      <c r="DU219" s="403"/>
      <c r="DV219" s="403"/>
      <c r="DW219" s="403"/>
      <c r="DX219" s="403"/>
      <c r="DY219" s="403"/>
      <c r="DZ219" s="403"/>
      <c r="EA219" s="403"/>
      <c r="EB219" s="403"/>
      <c r="EC219" s="403"/>
      <c r="ED219" s="403"/>
      <c r="EE219" s="403"/>
      <c r="EF219" s="403"/>
      <c r="EG219" s="403"/>
      <c r="EH219" s="403"/>
      <c r="EI219" s="403"/>
      <c r="EJ219" s="403"/>
      <c r="EK219" s="403"/>
      <c r="EL219" s="403"/>
      <c r="EM219" s="403"/>
      <c r="EN219" s="403"/>
      <c r="EO219" s="403"/>
      <c r="EP219" s="403"/>
      <c r="EQ219" s="403"/>
      <c r="ER219" s="403"/>
      <c r="ES219" s="403" t="s">
        <v>12022</v>
      </c>
      <c r="ET219" s="403"/>
      <c r="EU219" s="403"/>
      <c r="EV219" s="403"/>
      <c r="EW219" s="403"/>
      <c r="EX219" s="403"/>
      <c r="EY219" s="403"/>
      <c r="EZ219" s="403"/>
      <c r="FA219" s="403"/>
      <c r="FB219" s="403"/>
      <c r="FC219" s="403"/>
      <c r="FD219" s="403"/>
      <c r="FE219" s="403"/>
      <c r="FF219" s="403"/>
      <c r="FG219" s="403"/>
      <c r="FH219" s="403"/>
      <c r="FI219" s="403"/>
      <c r="FJ219" s="403"/>
      <c r="FK219" s="403"/>
      <c r="FL219" s="403"/>
      <c r="FM219" s="403"/>
      <c r="FN219" s="403"/>
      <c r="FO219" s="403"/>
      <c r="FP219" s="403"/>
      <c r="FQ219" s="403"/>
      <c r="FR219" s="403"/>
      <c r="FS219" s="403"/>
      <c r="FT219" s="403"/>
      <c r="FU219" s="403"/>
      <c r="FV219" s="403"/>
      <c r="FW219" s="403"/>
      <c r="FX219" s="403"/>
      <c r="FY219" s="403"/>
      <c r="FZ219" s="403"/>
      <c r="GA219" s="403" t="s">
        <v>12023</v>
      </c>
      <c r="GB219" s="403"/>
      <c r="GC219" s="403"/>
      <c r="GD219" s="403"/>
      <c r="GE219" s="403"/>
      <c r="GF219" s="403"/>
      <c r="GG219" s="403"/>
      <c r="GH219" s="403"/>
      <c r="GI219" s="403"/>
      <c r="GJ219" s="403"/>
      <c r="GK219" s="403"/>
      <c r="GL219" s="403"/>
      <c r="GM219" s="403"/>
      <c r="GN219" s="403"/>
      <c r="GO219" s="403"/>
      <c r="GP219" s="403"/>
      <c r="GQ219" s="403"/>
      <c r="GR219" s="403"/>
      <c r="GS219" s="403"/>
      <c r="GT219" s="403"/>
      <c r="GU219" s="403"/>
      <c r="GV219" s="403"/>
      <c r="GW219" s="403"/>
      <c r="GX219" s="403"/>
      <c r="GY219" s="403"/>
      <c r="GZ219" s="403"/>
      <c r="HA219" s="403"/>
      <c r="HB219" s="403"/>
      <c r="HC219" s="403"/>
      <c r="HD219" s="403"/>
      <c r="HE219" s="403"/>
      <c r="HF219" s="403"/>
      <c r="HG219" s="403"/>
      <c r="HH219" s="403"/>
      <c r="HI219" s="403" t="s">
        <v>12024</v>
      </c>
      <c r="HJ219" s="403"/>
      <c r="HK219" s="403"/>
      <c r="HL219" s="403"/>
      <c r="HM219" s="403"/>
      <c r="HN219" s="403"/>
      <c r="HO219" s="403"/>
      <c r="HP219" s="403"/>
      <c r="HQ219" s="403"/>
      <c r="HR219" s="403"/>
      <c r="HS219" s="403"/>
      <c r="HT219" s="403"/>
      <c r="HU219" s="403"/>
      <c r="HV219" s="403"/>
      <c r="HW219" s="403"/>
      <c r="HX219" s="403"/>
      <c r="HY219" s="403"/>
      <c r="HZ219" s="403"/>
      <c r="IA219" s="403"/>
      <c r="IB219" s="403"/>
      <c r="IC219" s="403"/>
      <c r="ID219" s="403"/>
      <c r="IE219" s="403"/>
      <c r="IF219" s="403"/>
      <c r="IG219" s="403"/>
      <c r="IH219" s="403"/>
      <c r="II219" s="403"/>
      <c r="IJ219" s="403"/>
      <c r="IK219" s="403"/>
      <c r="IL219" s="403"/>
      <c r="IM219" s="403"/>
      <c r="IN219" s="403"/>
      <c r="IO219" s="403"/>
      <c r="IP219" s="403"/>
      <c r="IQ219" s="403" t="s">
        <v>12025</v>
      </c>
      <c r="IR219" s="403"/>
      <c r="IS219" s="403"/>
      <c r="IT219" s="403"/>
      <c r="IU219" s="403"/>
      <c r="IV219" s="403"/>
      <c r="IW219" s="403"/>
      <c r="IX219" s="403"/>
      <c r="IY219" s="403"/>
      <c r="IZ219" s="403"/>
      <c r="JA219" s="403"/>
      <c r="JB219" s="403"/>
      <c r="JC219" s="403"/>
      <c r="JD219" s="403"/>
      <c r="JE219" s="403"/>
      <c r="JF219" s="403"/>
      <c r="JG219" s="403"/>
      <c r="JH219" s="403"/>
      <c r="JI219" s="403"/>
      <c r="JJ219" s="403"/>
      <c r="JK219" s="403"/>
      <c r="JL219" s="403"/>
      <c r="JM219" s="403"/>
      <c r="JN219" s="403"/>
      <c r="JO219" s="403"/>
      <c r="JP219" s="403"/>
      <c r="JQ219" s="403"/>
      <c r="JR219" s="403"/>
      <c r="JS219" s="403"/>
      <c r="JT219" s="403"/>
    </row>
    <row r="220" spans="1:280" s="15" customFormat="1" ht="12.75" x14ac:dyDescent="0.2">
      <c r="A220" s="9"/>
      <c r="B220" s="624"/>
      <c r="C220" s="335" t="str">
        <f ca="1">IF(OFFSET(AU220,0,Lang_Order*Lang__B5)="","",OFFSET(AU220,0,Lang_Order*Lang__B5))</f>
        <v>Per Person Eligible for Vaccination (Work-based Uptake)</v>
      </c>
      <c r="E220" s="26"/>
      <c r="F220" s="26"/>
      <c r="G220" s="26"/>
      <c r="H220" s="26"/>
      <c r="I220" s="26"/>
      <c r="J220" s="63" t="e">
        <f>RBF_DM3*AUCs_Comms_PerPerson_Workbased*'B1. Target Population'!D159</f>
        <v>#N/A</v>
      </c>
      <c r="K220" s="63" t="e">
        <f>RBF_DM3*AUCs_Comms_PerPerson_Workbased*'B1. Target Population'!E159</f>
        <v>#N/A</v>
      </c>
      <c r="L220" s="63" t="e">
        <f>RBF_DM3*AUCs_Comms_PerPerson_Workbased*'B1. Target Population'!F159</f>
        <v>#N/A</v>
      </c>
      <c r="M220" s="63" t="e">
        <f>RBF_DM3*AUCs_Comms_PerPerson_Workbased*'B1. Target Population'!G159</f>
        <v>#N/A</v>
      </c>
      <c r="N220" s="63" t="e">
        <f>RBF_DM3*AUCs_Comms_PerPerson_Workbased*'B1. Target Population'!H159</f>
        <v>#N/A</v>
      </c>
      <c r="O220" s="63" t="e">
        <f>RBF_DM3*AUCs_Comms_PerPerson_Workbased*'B1. Target Population'!I159</f>
        <v>#N/A</v>
      </c>
      <c r="P220" s="95" t="e">
        <f>SUM(J220:O220)</f>
        <v>#N/A</v>
      </c>
      <c r="Q220" s="95"/>
      <c r="R220" s="12" t="str">
        <f t="shared" ca="1" si="460"/>
        <v/>
      </c>
      <c r="S220" s="2"/>
      <c r="T220" s="241"/>
      <c r="U220" s="624"/>
      <c r="V220" s="612" t="str">
        <f ca="1">IF(OFFSET(AU220,0,Lang_Order*Lang__B5)="","",OFFSET(AU220,0,Lang_Order*Lang__B5))</f>
        <v>Per Person Eligible for Vaccination (Work-based Uptake)</v>
      </c>
      <c r="W220" s="37" t="e">
        <f t="shared" si="524"/>
        <v>#N/A</v>
      </c>
      <c r="X220" s="37" t="e">
        <f t="shared" si="525"/>
        <v>#N/A</v>
      </c>
      <c r="Y220" s="37" t="e">
        <f t="shared" si="526"/>
        <v>#N/A</v>
      </c>
      <c r="Z220" s="37" t="e">
        <f t="shared" si="527"/>
        <v>#N/A</v>
      </c>
      <c r="AA220" s="37" t="e">
        <f t="shared" si="528"/>
        <v>#N/A</v>
      </c>
      <c r="AB220" s="37" t="e">
        <f t="shared" si="529"/>
        <v>#N/A</v>
      </c>
      <c r="AC220" s="95" t="e">
        <f>SUM(W220:AB220)</f>
        <v>#N/A</v>
      </c>
      <c r="AE220" s="72" t="s">
        <v>3042</v>
      </c>
      <c r="AF220" s="241"/>
      <c r="AG220" s="624"/>
      <c r="AH220" s="612" t="str">
        <f ca="1">IF(OFFSET(AU220,0,Lang_Order*Lang__B5)="","",OFFSET(AU220,0,Lang_Order*Lang__B5))</f>
        <v>Per Person Eligible for Vaccination (Work-based Uptake)</v>
      </c>
      <c r="AI220" s="37" t="e">
        <f t="shared" si="530"/>
        <v>#N/A</v>
      </c>
      <c r="AJ220" s="37" t="e">
        <f t="shared" si="531"/>
        <v>#N/A</v>
      </c>
      <c r="AK220" s="37" t="e">
        <f t="shared" si="532"/>
        <v>#N/A</v>
      </c>
      <c r="AL220" s="37" t="e">
        <f t="shared" si="533"/>
        <v>#N/A</v>
      </c>
      <c r="AM220" s="37" t="e">
        <f t="shared" si="534"/>
        <v>#N/A</v>
      </c>
      <c r="AN220" s="37" t="e">
        <f t="shared" si="535"/>
        <v>#N/A</v>
      </c>
      <c r="AO220" s="95" t="e">
        <f>SUM(AI220:AN220)</f>
        <v>#N/A</v>
      </c>
      <c r="AR220" s="403"/>
      <c r="AS220" s="403"/>
      <c r="AT220" s="403"/>
      <c r="AU220" s="403" t="s">
        <v>1627</v>
      </c>
      <c r="AV220" s="403"/>
      <c r="AW220" s="403"/>
      <c r="AX220" s="403"/>
      <c r="AY220" s="403"/>
      <c r="AZ220" s="403"/>
      <c r="BA220" s="403"/>
      <c r="BB220" s="403"/>
      <c r="BC220" s="403"/>
      <c r="BD220" s="403"/>
      <c r="BE220" s="403"/>
      <c r="BF220" s="403"/>
      <c r="BG220" s="403"/>
      <c r="BH220" s="403"/>
      <c r="BI220" s="403"/>
      <c r="BJ220" s="403"/>
      <c r="BK220" s="403"/>
      <c r="BL220" s="403"/>
      <c r="BM220" s="403"/>
      <c r="BN220" s="403"/>
      <c r="BO220" s="403"/>
      <c r="BP220" s="403"/>
      <c r="BQ220" s="403"/>
      <c r="BR220" s="403"/>
      <c r="BS220" s="403"/>
      <c r="BT220" s="403"/>
      <c r="BU220" s="403"/>
      <c r="BV220" s="403"/>
      <c r="BW220" s="403"/>
      <c r="BX220" s="403"/>
      <c r="BY220" s="403"/>
      <c r="BZ220" s="403"/>
      <c r="CA220" s="403"/>
      <c r="CB220" s="403"/>
      <c r="CC220" s="403" t="s">
        <v>12026</v>
      </c>
      <c r="CD220" s="403"/>
      <c r="CE220" s="403"/>
      <c r="CF220" s="403"/>
      <c r="CG220" s="403"/>
      <c r="CH220" s="403"/>
      <c r="CI220" s="403"/>
      <c r="CJ220" s="403"/>
      <c r="CK220" s="403"/>
      <c r="CL220" s="403"/>
      <c r="CM220" s="403"/>
      <c r="CN220" s="403"/>
      <c r="CO220" s="403"/>
      <c r="CP220" s="403"/>
      <c r="CQ220" s="403"/>
      <c r="CR220" s="403"/>
      <c r="CS220" s="403"/>
      <c r="CT220" s="403"/>
      <c r="CU220" s="403"/>
      <c r="CV220" s="403"/>
      <c r="CW220" s="403"/>
      <c r="CX220" s="403"/>
      <c r="CY220" s="403"/>
      <c r="CZ220" s="403"/>
      <c r="DA220" s="403"/>
      <c r="DB220" s="403"/>
      <c r="DC220" s="403"/>
      <c r="DD220" s="403"/>
      <c r="DE220" s="403"/>
      <c r="DF220" s="403"/>
      <c r="DG220" s="403"/>
      <c r="DH220" s="403"/>
      <c r="DI220" s="403"/>
      <c r="DJ220" s="403"/>
      <c r="DK220" s="403" t="s">
        <v>12191</v>
      </c>
      <c r="DL220" s="403"/>
      <c r="DM220" s="403"/>
      <c r="DN220" s="403"/>
      <c r="DO220" s="403"/>
      <c r="DP220" s="403"/>
      <c r="DQ220" s="403"/>
      <c r="DR220" s="403"/>
      <c r="DS220" s="403"/>
      <c r="DT220" s="403"/>
      <c r="DU220" s="403"/>
      <c r="DV220" s="403"/>
      <c r="DW220" s="403"/>
      <c r="DX220" s="403"/>
      <c r="DY220" s="403"/>
      <c r="DZ220" s="403"/>
      <c r="EA220" s="403"/>
      <c r="EB220" s="403"/>
      <c r="EC220" s="403"/>
      <c r="ED220" s="403"/>
      <c r="EE220" s="403"/>
      <c r="EF220" s="403"/>
      <c r="EG220" s="403"/>
      <c r="EH220" s="403"/>
      <c r="EI220" s="403"/>
      <c r="EJ220" s="403"/>
      <c r="EK220" s="403"/>
      <c r="EL220" s="403"/>
      <c r="EM220" s="403"/>
      <c r="EN220" s="403"/>
      <c r="EO220" s="403"/>
      <c r="EP220" s="403"/>
      <c r="EQ220" s="403"/>
      <c r="ER220" s="403"/>
      <c r="ES220" s="403" t="s">
        <v>12028</v>
      </c>
      <c r="ET220" s="403"/>
      <c r="EU220" s="403"/>
      <c r="EV220" s="403"/>
      <c r="EW220" s="403"/>
      <c r="EX220" s="403"/>
      <c r="EY220" s="403"/>
      <c r="EZ220" s="403"/>
      <c r="FA220" s="403"/>
      <c r="FB220" s="403"/>
      <c r="FC220" s="403"/>
      <c r="FD220" s="403"/>
      <c r="FE220" s="403"/>
      <c r="FF220" s="403"/>
      <c r="FG220" s="403"/>
      <c r="FH220" s="403"/>
      <c r="FI220" s="403"/>
      <c r="FJ220" s="403"/>
      <c r="FK220" s="403"/>
      <c r="FL220" s="403"/>
      <c r="FM220" s="403"/>
      <c r="FN220" s="403"/>
      <c r="FO220" s="403"/>
      <c r="FP220" s="403"/>
      <c r="FQ220" s="403"/>
      <c r="FR220" s="403"/>
      <c r="FS220" s="403"/>
      <c r="FT220" s="403"/>
      <c r="FU220" s="403"/>
      <c r="FV220" s="403"/>
      <c r="FW220" s="403"/>
      <c r="FX220" s="403"/>
      <c r="FY220" s="403"/>
      <c r="FZ220" s="403"/>
      <c r="GA220" s="403" t="s">
        <v>12029</v>
      </c>
      <c r="GB220" s="403"/>
      <c r="GC220" s="403"/>
      <c r="GD220" s="403"/>
      <c r="GE220" s="403"/>
      <c r="GF220" s="403"/>
      <c r="GG220" s="403"/>
      <c r="GH220" s="403"/>
      <c r="GI220" s="403"/>
      <c r="GJ220" s="403"/>
      <c r="GK220" s="403"/>
      <c r="GL220" s="403"/>
      <c r="GM220" s="403"/>
      <c r="GN220" s="403"/>
      <c r="GO220" s="403"/>
      <c r="GP220" s="403"/>
      <c r="GQ220" s="403"/>
      <c r="GR220" s="403"/>
      <c r="GS220" s="403"/>
      <c r="GT220" s="403"/>
      <c r="GU220" s="403"/>
      <c r="GV220" s="403"/>
      <c r="GW220" s="403"/>
      <c r="GX220" s="403"/>
      <c r="GY220" s="403"/>
      <c r="GZ220" s="403"/>
      <c r="HA220" s="403"/>
      <c r="HB220" s="403"/>
      <c r="HC220" s="403"/>
      <c r="HD220" s="403"/>
      <c r="HE220" s="403"/>
      <c r="HF220" s="403"/>
      <c r="HG220" s="403"/>
      <c r="HH220" s="403"/>
      <c r="HI220" s="403" t="s">
        <v>12030</v>
      </c>
      <c r="HJ220" s="403"/>
      <c r="HK220" s="403"/>
      <c r="HL220" s="403"/>
      <c r="HM220" s="403"/>
      <c r="HN220" s="403"/>
      <c r="HO220" s="403"/>
      <c r="HP220" s="403"/>
      <c r="HQ220" s="403"/>
      <c r="HR220" s="403"/>
      <c r="HS220" s="403"/>
      <c r="HT220" s="403"/>
      <c r="HU220" s="403"/>
      <c r="HV220" s="403"/>
      <c r="HW220" s="403"/>
      <c r="HX220" s="403"/>
      <c r="HY220" s="403"/>
      <c r="HZ220" s="403"/>
      <c r="IA220" s="403"/>
      <c r="IB220" s="403"/>
      <c r="IC220" s="403"/>
      <c r="ID220" s="403"/>
      <c r="IE220" s="403"/>
      <c r="IF220" s="403"/>
      <c r="IG220" s="403"/>
      <c r="IH220" s="403"/>
      <c r="II220" s="403"/>
      <c r="IJ220" s="403"/>
      <c r="IK220" s="403"/>
      <c r="IL220" s="403"/>
      <c r="IM220" s="403"/>
      <c r="IN220" s="403"/>
      <c r="IO220" s="403"/>
      <c r="IP220" s="403"/>
      <c r="IQ220" s="403" t="s">
        <v>12031</v>
      </c>
      <c r="IR220" s="403"/>
      <c r="IS220" s="403"/>
      <c r="IT220" s="403"/>
      <c r="IU220" s="403"/>
      <c r="IV220" s="403"/>
      <c r="IW220" s="403"/>
      <c r="IX220" s="403"/>
      <c r="IY220" s="403"/>
      <c r="IZ220" s="403"/>
      <c r="JA220" s="403"/>
      <c r="JB220" s="403"/>
      <c r="JC220" s="403"/>
      <c r="JD220" s="403"/>
      <c r="JE220" s="403"/>
      <c r="JF220" s="403"/>
      <c r="JG220" s="403"/>
      <c r="JH220" s="403"/>
      <c r="JI220" s="403"/>
      <c r="JJ220" s="403"/>
      <c r="JK220" s="403"/>
      <c r="JL220" s="403"/>
      <c r="JM220" s="403"/>
      <c r="JN220" s="403"/>
      <c r="JO220" s="403"/>
      <c r="JP220" s="403"/>
      <c r="JQ220" s="403"/>
      <c r="JR220" s="403"/>
      <c r="JS220" s="403"/>
      <c r="JT220" s="403"/>
    </row>
    <row r="221" spans="1:280" s="15" customFormat="1" ht="12.75" x14ac:dyDescent="0.2">
      <c r="A221" s="9"/>
      <c r="B221" s="624"/>
      <c r="C221" s="23"/>
      <c r="E221" s="26"/>
      <c r="F221" s="26"/>
      <c r="G221" s="26"/>
      <c r="H221" s="26"/>
      <c r="I221" s="26"/>
      <c r="J221" s="37"/>
      <c r="K221" s="37"/>
      <c r="L221" s="37"/>
      <c r="M221" s="37"/>
      <c r="N221" s="37"/>
      <c r="O221" s="37"/>
      <c r="P221" s="26"/>
      <c r="Q221" s="26"/>
      <c r="R221" s="12" t="str">
        <f t="shared" ca="1" si="460"/>
        <v/>
      </c>
      <c r="S221" s="2"/>
      <c r="T221" s="241"/>
      <c r="U221" s="624"/>
      <c r="V221" s="72"/>
      <c r="AC221" s="26"/>
      <c r="AE221" s="2"/>
      <c r="AF221" s="241"/>
      <c r="AG221" s="624"/>
      <c r="AH221" s="72"/>
      <c r="AO221" s="26"/>
      <c r="AR221" s="403"/>
      <c r="AS221" s="403"/>
      <c r="AT221" s="403"/>
      <c r="AU221" s="403"/>
      <c r="AV221" s="403"/>
      <c r="AW221" s="403"/>
      <c r="AX221" s="403"/>
      <c r="AY221" s="403"/>
      <c r="AZ221" s="403"/>
      <c r="BA221" s="403"/>
      <c r="BB221" s="403"/>
      <c r="BC221" s="403"/>
      <c r="BD221" s="403"/>
      <c r="BE221" s="403"/>
      <c r="BF221" s="403"/>
      <c r="BG221" s="403"/>
      <c r="BH221" s="403"/>
      <c r="BI221" s="403"/>
      <c r="BJ221" s="403"/>
      <c r="BK221" s="403"/>
      <c r="BL221" s="403"/>
      <c r="BM221" s="403"/>
      <c r="BN221" s="403"/>
      <c r="BO221" s="403"/>
      <c r="BP221" s="403"/>
      <c r="BQ221" s="403"/>
      <c r="BR221" s="403"/>
      <c r="BS221" s="403"/>
      <c r="BT221" s="403"/>
      <c r="BU221" s="403"/>
      <c r="BV221" s="403"/>
      <c r="BW221" s="403"/>
      <c r="BX221" s="403"/>
      <c r="BY221" s="403"/>
      <c r="BZ221" s="403"/>
      <c r="CA221" s="403"/>
      <c r="CB221" s="403"/>
      <c r="CC221" s="403"/>
      <c r="CD221" s="403"/>
      <c r="CE221" s="403"/>
      <c r="CF221" s="403"/>
      <c r="CG221" s="403"/>
      <c r="CH221" s="403"/>
      <c r="CI221" s="403"/>
      <c r="CJ221" s="403"/>
      <c r="CK221" s="403"/>
      <c r="CL221" s="403"/>
      <c r="CM221" s="403"/>
      <c r="CN221" s="403"/>
      <c r="CO221" s="403"/>
      <c r="CP221" s="403"/>
      <c r="CQ221" s="403"/>
      <c r="CR221" s="403"/>
      <c r="CS221" s="403"/>
      <c r="CT221" s="403"/>
      <c r="CU221" s="403"/>
      <c r="CV221" s="403"/>
      <c r="CW221" s="403"/>
      <c r="CX221" s="403"/>
      <c r="CY221" s="403"/>
      <c r="CZ221" s="403"/>
      <c r="DA221" s="403"/>
      <c r="DB221" s="403"/>
      <c r="DC221" s="403"/>
      <c r="DD221" s="403"/>
      <c r="DE221" s="403"/>
      <c r="DF221" s="403"/>
      <c r="DG221" s="403"/>
      <c r="DH221" s="403"/>
      <c r="DI221" s="403"/>
      <c r="DJ221" s="403"/>
      <c r="DK221" s="403"/>
      <c r="DL221" s="403"/>
      <c r="DM221" s="403"/>
      <c r="DN221" s="403"/>
      <c r="DO221" s="403"/>
      <c r="DP221" s="403"/>
      <c r="DQ221" s="403"/>
      <c r="DR221" s="403"/>
      <c r="DS221" s="403"/>
      <c r="DT221" s="403"/>
      <c r="DU221" s="403"/>
      <c r="DV221" s="403"/>
      <c r="DW221" s="403"/>
      <c r="DX221" s="403"/>
      <c r="DY221" s="403"/>
      <c r="DZ221" s="403"/>
      <c r="EA221" s="403"/>
      <c r="EB221" s="403"/>
      <c r="EC221" s="403"/>
      <c r="ED221" s="403"/>
      <c r="EE221" s="403"/>
      <c r="EF221" s="403"/>
      <c r="EG221" s="403"/>
      <c r="EH221" s="403"/>
      <c r="EI221" s="403"/>
      <c r="EJ221" s="403"/>
      <c r="EK221" s="403"/>
      <c r="EL221" s="403"/>
      <c r="EM221" s="403"/>
      <c r="EN221" s="403"/>
      <c r="EO221" s="403"/>
      <c r="EP221" s="403"/>
      <c r="EQ221" s="403"/>
      <c r="ER221" s="403"/>
      <c r="ES221" s="403"/>
      <c r="ET221" s="403"/>
      <c r="EU221" s="403"/>
      <c r="EV221" s="403"/>
      <c r="EW221" s="403"/>
      <c r="EX221" s="403"/>
      <c r="EY221" s="403"/>
      <c r="EZ221" s="403"/>
      <c r="FA221" s="403"/>
      <c r="FB221" s="403"/>
      <c r="FC221" s="403"/>
      <c r="FD221" s="403"/>
      <c r="FE221" s="403"/>
      <c r="FF221" s="403"/>
      <c r="FG221" s="403"/>
      <c r="FH221" s="403"/>
      <c r="FI221" s="403"/>
      <c r="FJ221" s="403"/>
      <c r="FK221" s="403"/>
      <c r="FL221" s="403"/>
      <c r="FM221" s="403"/>
      <c r="FN221" s="403"/>
      <c r="FO221" s="403"/>
      <c r="FP221" s="403"/>
      <c r="FQ221" s="403"/>
      <c r="FR221" s="403"/>
      <c r="FS221" s="403"/>
      <c r="FT221" s="403"/>
      <c r="FU221" s="403"/>
      <c r="FV221" s="403"/>
      <c r="FW221" s="403"/>
      <c r="FX221" s="403"/>
      <c r="FY221" s="403"/>
      <c r="FZ221" s="403"/>
      <c r="GA221" s="403"/>
      <c r="GB221" s="403"/>
      <c r="GC221" s="403"/>
      <c r="GD221" s="403"/>
      <c r="GE221" s="403"/>
      <c r="GF221" s="403"/>
      <c r="GG221" s="403"/>
      <c r="GH221" s="403"/>
      <c r="GI221" s="403"/>
      <c r="GJ221" s="403"/>
      <c r="GK221" s="403"/>
      <c r="GL221" s="403"/>
      <c r="GM221" s="403"/>
      <c r="GN221" s="403"/>
      <c r="GO221" s="403"/>
      <c r="GP221" s="403"/>
      <c r="GQ221" s="403"/>
      <c r="GR221" s="403"/>
      <c r="GS221" s="403"/>
      <c r="GT221" s="403"/>
      <c r="GU221" s="403"/>
      <c r="GV221" s="403"/>
      <c r="GW221" s="403"/>
      <c r="GX221" s="403"/>
      <c r="GY221" s="403"/>
      <c r="GZ221" s="403"/>
      <c r="HA221" s="403"/>
      <c r="HB221" s="403"/>
      <c r="HC221" s="403"/>
      <c r="HD221" s="403"/>
      <c r="HE221" s="403"/>
      <c r="HF221" s="403"/>
      <c r="HG221" s="403"/>
      <c r="HH221" s="403"/>
      <c r="HI221" s="403"/>
      <c r="HJ221" s="403"/>
      <c r="HK221" s="403"/>
      <c r="HL221" s="403"/>
      <c r="HM221" s="403"/>
      <c r="HN221" s="403"/>
      <c r="HO221" s="403"/>
      <c r="HP221" s="403"/>
      <c r="HQ221" s="403"/>
      <c r="HR221" s="403"/>
      <c r="HS221" s="403"/>
      <c r="HT221" s="403"/>
      <c r="HU221" s="403"/>
      <c r="HV221" s="403"/>
      <c r="HW221" s="403"/>
      <c r="HX221" s="403"/>
      <c r="HY221" s="403"/>
      <c r="HZ221" s="403"/>
      <c r="IA221" s="403"/>
      <c r="IB221" s="403"/>
      <c r="IC221" s="403"/>
      <c r="ID221" s="403"/>
      <c r="IE221" s="403"/>
      <c r="IF221" s="403"/>
      <c r="IG221" s="403"/>
      <c r="IH221" s="403"/>
      <c r="II221" s="403"/>
      <c r="IJ221" s="403"/>
      <c r="IK221" s="403"/>
      <c r="IL221" s="403"/>
      <c r="IM221" s="403"/>
      <c r="IN221" s="403"/>
      <c r="IO221" s="403"/>
      <c r="IP221" s="403"/>
      <c r="IQ221" s="403"/>
      <c r="IR221" s="403"/>
      <c r="IS221" s="403"/>
      <c r="IT221" s="403"/>
      <c r="IU221" s="403"/>
      <c r="IV221" s="403"/>
      <c r="IW221" s="403"/>
      <c r="IX221" s="403"/>
      <c r="IY221" s="403"/>
      <c r="IZ221" s="403"/>
      <c r="JA221" s="403"/>
      <c r="JB221" s="403"/>
      <c r="JC221" s="403"/>
      <c r="JD221" s="403"/>
      <c r="JE221" s="403"/>
      <c r="JF221" s="403"/>
      <c r="JG221" s="403"/>
      <c r="JH221" s="403"/>
      <c r="JI221" s="403"/>
      <c r="JJ221" s="403"/>
      <c r="JK221" s="403"/>
      <c r="JL221" s="403"/>
      <c r="JM221" s="403"/>
      <c r="JN221" s="403"/>
      <c r="JO221" s="403"/>
      <c r="JP221" s="403"/>
      <c r="JQ221" s="403"/>
      <c r="JR221" s="403"/>
      <c r="JS221" s="403"/>
      <c r="JT221" s="403"/>
    </row>
    <row r="222" spans="1:280" s="15" customFormat="1" ht="12.75" x14ac:dyDescent="0.2">
      <c r="A222" s="9"/>
      <c r="B222" s="624" t="str">
        <f ca="1">IF(OFFSET(AT222,0,Lang_Order*Lang__B5)="","",OFFSET(AT222,0,Lang_Order*Lang__B5))</f>
        <v>Local Logistics</v>
      </c>
      <c r="C222" s="23"/>
      <c r="E222" s="26"/>
      <c r="F222" s="26"/>
      <c r="G222" s="26"/>
      <c r="H222" s="26"/>
      <c r="I222" s="26"/>
      <c r="J222" s="37"/>
      <c r="K222" s="37"/>
      <c r="L222" s="37"/>
      <c r="M222" s="37"/>
      <c r="N222" s="37"/>
      <c r="O222" s="37"/>
      <c r="P222" s="26"/>
      <c r="Q222" s="26"/>
      <c r="R222" s="12" t="str">
        <f t="shared" ca="1" si="460"/>
        <v/>
      </c>
      <c r="S222" s="2"/>
      <c r="T222" s="241"/>
      <c r="U222" s="624" t="str">
        <f ca="1">IF(OFFSET(AT222,0,Lang_Order*Lang__B5)="","",OFFSET(AT222,0,Lang_Order*Lang__B5))</f>
        <v>Local Logistics</v>
      </c>
      <c r="V222" s="72"/>
      <c r="AC222" s="26"/>
      <c r="AE222" s="2"/>
      <c r="AF222" s="241"/>
      <c r="AG222" s="624" t="str">
        <f ca="1">IF(OFFSET(AT222,0,Lang_Order*Lang__B5)="","",OFFSET(AT222,0,Lang_Order*Lang__B5))</f>
        <v>Local Logistics</v>
      </c>
      <c r="AH222" s="72"/>
      <c r="AO222" s="26"/>
      <c r="AR222" s="403"/>
      <c r="AS222" s="403"/>
      <c r="AT222" s="403" t="s">
        <v>3690</v>
      </c>
      <c r="AU222" s="403"/>
      <c r="AV222" s="403"/>
      <c r="AW222" s="403"/>
      <c r="AX222" s="403"/>
      <c r="AY222" s="403"/>
      <c r="AZ222" s="403"/>
      <c r="BA222" s="403"/>
      <c r="BB222" s="403"/>
      <c r="BC222" s="403"/>
      <c r="BD222" s="403"/>
      <c r="BE222" s="403"/>
      <c r="BF222" s="403"/>
      <c r="BG222" s="403"/>
      <c r="BH222" s="403"/>
      <c r="BI222" s="403"/>
      <c r="BJ222" s="403"/>
      <c r="BK222" s="403"/>
      <c r="BL222" s="403"/>
      <c r="BM222" s="403"/>
      <c r="BN222" s="403"/>
      <c r="BO222" s="403"/>
      <c r="BP222" s="403"/>
      <c r="BQ222" s="403"/>
      <c r="BR222" s="403"/>
      <c r="BS222" s="403"/>
      <c r="BT222" s="403"/>
      <c r="BU222" s="403"/>
      <c r="BV222" s="403"/>
      <c r="BW222" s="403"/>
      <c r="BX222" s="403"/>
      <c r="BY222" s="403"/>
      <c r="BZ222" s="403"/>
      <c r="CA222" s="403"/>
      <c r="CB222" s="403" t="s">
        <v>12032</v>
      </c>
      <c r="CC222" s="403"/>
      <c r="CD222" s="403"/>
      <c r="CE222" s="403"/>
      <c r="CF222" s="403"/>
      <c r="CG222" s="403"/>
      <c r="CH222" s="403"/>
      <c r="CI222" s="403"/>
      <c r="CJ222" s="403"/>
      <c r="CK222" s="403"/>
      <c r="CL222" s="403"/>
      <c r="CM222" s="403"/>
      <c r="CN222" s="403"/>
      <c r="CO222" s="403"/>
      <c r="CP222" s="403"/>
      <c r="CQ222" s="403"/>
      <c r="CR222" s="403"/>
      <c r="CS222" s="403"/>
      <c r="CT222" s="403"/>
      <c r="CU222" s="403"/>
      <c r="CV222" s="403"/>
      <c r="CW222" s="403"/>
      <c r="CX222" s="403"/>
      <c r="CY222" s="403"/>
      <c r="CZ222" s="403"/>
      <c r="DA222" s="403"/>
      <c r="DB222" s="403"/>
      <c r="DC222" s="403"/>
      <c r="DD222" s="403"/>
      <c r="DE222" s="403"/>
      <c r="DF222" s="403"/>
      <c r="DG222" s="403"/>
      <c r="DH222" s="403"/>
      <c r="DI222" s="403"/>
      <c r="DJ222" s="403" t="s">
        <v>12033</v>
      </c>
      <c r="DK222" s="403"/>
      <c r="DL222" s="403"/>
      <c r="DM222" s="403"/>
      <c r="DN222" s="403"/>
      <c r="DO222" s="403"/>
      <c r="DP222" s="403"/>
      <c r="DQ222" s="403"/>
      <c r="DR222" s="403"/>
      <c r="DS222" s="403"/>
      <c r="DT222" s="403"/>
      <c r="DU222" s="403"/>
      <c r="DV222" s="403"/>
      <c r="DW222" s="403"/>
      <c r="DX222" s="403"/>
      <c r="DY222" s="403"/>
      <c r="DZ222" s="403"/>
      <c r="EA222" s="403"/>
      <c r="EB222" s="403"/>
      <c r="EC222" s="403"/>
      <c r="ED222" s="403"/>
      <c r="EE222" s="403"/>
      <c r="EF222" s="403"/>
      <c r="EG222" s="403"/>
      <c r="EH222" s="403"/>
      <c r="EI222" s="403"/>
      <c r="EJ222" s="403"/>
      <c r="EK222" s="403"/>
      <c r="EL222" s="403"/>
      <c r="EM222" s="403"/>
      <c r="EN222" s="403"/>
      <c r="EO222" s="403"/>
      <c r="EP222" s="403"/>
      <c r="EQ222" s="403"/>
      <c r="ER222" s="403" t="s">
        <v>12034</v>
      </c>
      <c r="ES222" s="403"/>
      <c r="ET222" s="403"/>
      <c r="EU222" s="403"/>
      <c r="EV222" s="403"/>
      <c r="EW222" s="403"/>
      <c r="EX222" s="403"/>
      <c r="EY222" s="403"/>
      <c r="EZ222" s="403"/>
      <c r="FA222" s="403"/>
      <c r="FB222" s="403"/>
      <c r="FC222" s="403"/>
      <c r="FD222" s="403"/>
      <c r="FE222" s="403"/>
      <c r="FF222" s="403"/>
      <c r="FG222" s="403"/>
      <c r="FH222" s="403"/>
      <c r="FI222" s="403"/>
      <c r="FJ222" s="403"/>
      <c r="FK222" s="403"/>
      <c r="FL222" s="403"/>
      <c r="FM222" s="403"/>
      <c r="FN222" s="403"/>
      <c r="FO222" s="403"/>
      <c r="FP222" s="403"/>
      <c r="FQ222" s="403"/>
      <c r="FR222" s="403"/>
      <c r="FS222" s="403"/>
      <c r="FT222" s="403"/>
      <c r="FU222" s="403"/>
      <c r="FV222" s="403"/>
      <c r="FW222" s="403"/>
      <c r="FX222" s="403"/>
      <c r="FY222" s="403"/>
      <c r="FZ222" s="403" t="s">
        <v>12034</v>
      </c>
      <c r="GA222" s="403"/>
      <c r="GB222" s="403"/>
      <c r="GC222" s="403"/>
      <c r="GD222" s="403"/>
      <c r="GE222" s="403"/>
      <c r="GF222" s="403"/>
      <c r="GG222" s="403"/>
      <c r="GH222" s="403"/>
      <c r="GI222" s="403"/>
      <c r="GJ222" s="403"/>
      <c r="GK222" s="403"/>
      <c r="GL222" s="403"/>
      <c r="GM222" s="403"/>
      <c r="GN222" s="403"/>
      <c r="GO222" s="403"/>
      <c r="GP222" s="403"/>
      <c r="GQ222" s="403"/>
      <c r="GR222" s="403"/>
      <c r="GS222" s="403"/>
      <c r="GT222" s="403"/>
      <c r="GU222" s="403"/>
      <c r="GV222" s="403"/>
      <c r="GW222" s="403"/>
      <c r="GX222" s="403"/>
      <c r="GY222" s="403"/>
      <c r="GZ222" s="403"/>
      <c r="HA222" s="403"/>
      <c r="HB222" s="403"/>
      <c r="HC222" s="403"/>
      <c r="HD222" s="403"/>
      <c r="HE222" s="403"/>
      <c r="HF222" s="403"/>
      <c r="HG222" s="403"/>
      <c r="HH222" s="403" t="s">
        <v>12035</v>
      </c>
      <c r="HI222" s="403"/>
      <c r="HJ222" s="403"/>
      <c r="HK222" s="403"/>
      <c r="HL222" s="403"/>
      <c r="HM222" s="403"/>
      <c r="HN222" s="403"/>
      <c r="HO222" s="403"/>
      <c r="HP222" s="403"/>
      <c r="HQ222" s="403"/>
      <c r="HR222" s="403"/>
      <c r="HS222" s="403"/>
      <c r="HT222" s="403"/>
      <c r="HU222" s="403"/>
      <c r="HV222" s="403"/>
      <c r="HW222" s="403"/>
      <c r="HX222" s="403"/>
      <c r="HY222" s="403"/>
      <c r="HZ222" s="403"/>
      <c r="IA222" s="403"/>
      <c r="IB222" s="403"/>
      <c r="IC222" s="403"/>
      <c r="ID222" s="403"/>
      <c r="IE222" s="403"/>
      <c r="IF222" s="403"/>
      <c r="IG222" s="403"/>
      <c r="IH222" s="403"/>
      <c r="II222" s="403"/>
      <c r="IJ222" s="403"/>
      <c r="IK222" s="403"/>
      <c r="IL222" s="403"/>
      <c r="IM222" s="403"/>
      <c r="IN222" s="403"/>
      <c r="IO222" s="403"/>
      <c r="IP222" s="403" t="s">
        <v>12036</v>
      </c>
      <c r="IQ222" s="403"/>
      <c r="IR222" s="403"/>
      <c r="IS222" s="403"/>
      <c r="IT222" s="403"/>
      <c r="IU222" s="403"/>
      <c r="IV222" s="403"/>
      <c r="IW222" s="403"/>
      <c r="IX222" s="403"/>
      <c r="IY222" s="403"/>
      <c r="IZ222" s="403"/>
      <c r="JA222" s="403"/>
      <c r="JB222" s="403"/>
      <c r="JC222" s="403"/>
      <c r="JD222" s="403"/>
      <c r="JE222" s="403"/>
      <c r="JF222" s="403"/>
      <c r="JG222" s="403"/>
      <c r="JH222" s="403"/>
      <c r="JI222" s="403"/>
      <c r="JJ222" s="403"/>
      <c r="JK222" s="403"/>
      <c r="JL222" s="403"/>
      <c r="JM222" s="403"/>
      <c r="JN222" s="403"/>
      <c r="JO222" s="403"/>
      <c r="JP222" s="403"/>
      <c r="JQ222" s="403"/>
      <c r="JR222" s="403"/>
      <c r="JS222" s="403"/>
      <c r="JT222" s="403"/>
    </row>
    <row r="223" spans="1:280" s="15" customFormat="1" ht="12.75" x14ac:dyDescent="0.2">
      <c r="A223" s="9"/>
      <c r="B223" s="624"/>
      <c r="C223" s="66" t="str">
        <f ca="1">IF(OFFSET(AU223,0,Lang_Order*Lang__B5)="","",OFFSET(AU223,0,Lang_Order*Lang__B5))</f>
        <v>Mobile Team Type A (Solo) Per Team Per Day</v>
      </c>
      <c r="E223" s="26"/>
      <c r="F223" s="26"/>
      <c r="G223" s="26"/>
      <c r="H223" s="26"/>
      <c r="I223" s="26"/>
      <c r="J223" s="96" t="s">
        <v>1687</v>
      </c>
      <c r="K223" s="96" t="s">
        <v>1687</v>
      </c>
      <c r="L223" s="96" t="s">
        <v>1687</v>
      </c>
      <c r="M223" s="96" t="s">
        <v>1687</v>
      </c>
      <c r="N223" s="96" t="s">
        <v>1687</v>
      </c>
      <c r="O223" s="96" t="s">
        <v>1687</v>
      </c>
      <c r="P223" s="83">
        <f>SUM(J223:O223)</f>
        <v>0</v>
      </c>
      <c r="Q223" s="83"/>
      <c r="R223" s="12" t="str">
        <f t="shared" ca="1" si="460"/>
        <v>Zero (this is a fixed site)</v>
      </c>
      <c r="S223" s="2"/>
      <c r="T223" s="241"/>
      <c r="U223" s="624"/>
      <c r="V223" s="260" t="str">
        <f ca="1">IF(OFFSET(AU223,0,Lang_Order*Lang__B5)="","",OFFSET(AU223,0,Lang_Order*Lang__B5))</f>
        <v>Mobile Team Type A (Solo) Per Team Per Day</v>
      </c>
      <c r="W223" s="96" t="s">
        <v>1687</v>
      </c>
      <c r="X223" s="96" t="s">
        <v>1687</v>
      </c>
      <c r="Y223" s="96" t="s">
        <v>1687</v>
      </c>
      <c r="Z223" s="96" t="s">
        <v>1687</v>
      </c>
      <c r="AA223" s="96" t="s">
        <v>1687</v>
      </c>
      <c r="AB223" s="96" t="s">
        <v>1687</v>
      </c>
      <c r="AC223" s="83">
        <f>SUM(W223:AB223)</f>
        <v>0</v>
      </c>
      <c r="AE223" s="2"/>
      <c r="AF223" s="241"/>
      <c r="AG223" s="624"/>
      <c r="AH223" s="260" t="str">
        <f ca="1">IF(OFFSET(AU223,0,Lang_Order*Lang__B5)="","",OFFSET(AU223,0,Lang_Order*Lang__B5))</f>
        <v>Mobile Team Type A (Solo) Per Team Per Day</v>
      </c>
      <c r="AI223" s="96" t="s">
        <v>1687</v>
      </c>
      <c r="AJ223" s="96" t="s">
        <v>1687</v>
      </c>
      <c r="AK223" s="96" t="s">
        <v>1687</v>
      </c>
      <c r="AL223" s="96" t="s">
        <v>1687</v>
      </c>
      <c r="AM223" s="96" t="s">
        <v>1687</v>
      </c>
      <c r="AN223" s="96" t="s">
        <v>1687</v>
      </c>
      <c r="AO223" s="83">
        <f>SUM(AI223:AN223)</f>
        <v>0</v>
      </c>
      <c r="AR223" s="403"/>
      <c r="AS223" s="403"/>
      <c r="AT223" s="403"/>
      <c r="AU223" s="403" t="s">
        <v>1670</v>
      </c>
      <c r="AV223" s="403"/>
      <c r="AW223" s="403"/>
      <c r="AX223" s="403"/>
      <c r="AY223" s="403"/>
      <c r="AZ223" s="403"/>
      <c r="BA223" s="403"/>
      <c r="BB223" s="403"/>
      <c r="BC223" s="403"/>
      <c r="BD223" s="403"/>
      <c r="BE223" s="403"/>
      <c r="BF223" s="403"/>
      <c r="BG223" s="403"/>
      <c r="BH223" s="403"/>
      <c r="BI223" s="403"/>
      <c r="BJ223" s="403" t="s">
        <v>1581</v>
      </c>
      <c r="BK223" s="403"/>
      <c r="BL223" s="403"/>
      <c r="BM223" s="403"/>
      <c r="BN223" s="403"/>
      <c r="BO223" s="403"/>
      <c r="BP223" s="403"/>
      <c r="BQ223" s="403"/>
      <c r="BR223" s="403"/>
      <c r="BS223" s="403"/>
      <c r="BT223" s="403"/>
      <c r="BU223" s="403"/>
      <c r="BV223" s="403"/>
      <c r="BW223" s="403"/>
      <c r="BX223" s="403"/>
      <c r="BY223" s="403"/>
      <c r="BZ223" s="403"/>
      <c r="CA223" s="403"/>
      <c r="CB223" s="403"/>
      <c r="CC223" s="403" t="s">
        <v>12037</v>
      </c>
      <c r="CD223" s="403"/>
      <c r="CE223" s="403"/>
      <c r="CF223" s="403"/>
      <c r="CG223" s="403"/>
      <c r="CH223" s="403"/>
      <c r="CI223" s="403"/>
      <c r="CJ223" s="403"/>
      <c r="CK223" s="403"/>
      <c r="CL223" s="403"/>
      <c r="CM223" s="403"/>
      <c r="CN223" s="403"/>
      <c r="CO223" s="403"/>
      <c r="CP223" s="403"/>
      <c r="CQ223" s="403"/>
      <c r="CR223" s="403" t="s">
        <v>12038</v>
      </c>
      <c r="CS223" s="403"/>
      <c r="CT223" s="403"/>
      <c r="CU223" s="403"/>
      <c r="CV223" s="403"/>
      <c r="CW223" s="403"/>
      <c r="CX223" s="403"/>
      <c r="CY223" s="403"/>
      <c r="CZ223" s="403"/>
      <c r="DA223" s="403"/>
      <c r="DB223" s="403"/>
      <c r="DC223" s="403"/>
      <c r="DD223" s="403"/>
      <c r="DE223" s="403"/>
      <c r="DF223" s="403"/>
      <c r="DG223" s="403"/>
      <c r="DH223" s="403"/>
      <c r="DI223" s="403"/>
      <c r="DJ223" s="403"/>
      <c r="DK223" s="403" t="s">
        <v>12039</v>
      </c>
      <c r="DL223" s="403"/>
      <c r="DM223" s="403"/>
      <c r="DN223" s="403"/>
      <c r="DO223" s="403"/>
      <c r="DP223" s="403"/>
      <c r="DQ223" s="403"/>
      <c r="DR223" s="403"/>
      <c r="DS223" s="403"/>
      <c r="DT223" s="403"/>
      <c r="DU223" s="403"/>
      <c r="DV223" s="403"/>
      <c r="DW223" s="403"/>
      <c r="DX223" s="403"/>
      <c r="DY223" s="403"/>
      <c r="DZ223" s="403" t="s">
        <v>12040</v>
      </c>
      <c r="EA223" s="403"/>
      <c r="EB223" s="403"/>
      <c r="EC223" s="403"/>
      <c r="ED223" s="403"/>
      <c r="EE223" s="403"/>
      <c r="EF223" s="403"/>
      <c r="EG223" s="403"/>
      <c r="EH223" s="403"/>
      <c r="EI223" s="403"/>
      <c r="EJ223" s="403"/>
      <c r="EK223" s="403"/>
      <c r="EL223" s="403"/>
      <c r="EM223" s="403"/>
      <c r="EN223" s="403"/>
      <c r="EO223" s="403"/>
      <c r="EP223" s="403"/>
      <c r="EQ223" s="403"/>
      <c r="ER223" s="403"/>
      <c r="ES223" s="403" t="s">
        <v>12041</v>
      </c>
      <c r="ET223" s="403"/>
      <c r="EU223" s="403"/>
      <c r="EV223" s="403"/>
      <c r="EW223" s="403"/>
      <c r="EX223" s="403"/>
      <c r="EY223" s="403"/>
      <c r="EZ223" s="403"/>
      <c r="FA223" s="403"/>
      <c r="FB223" s="403"/>
      <c r="FC223" s="403"/>
      <c r="FD223" s="403"/>
      <c r="FE223" s="403"/>
      <c r="FF223" s="403"/>
      <c r="FG223" s="403"/>
      <c r="FH223" s="403" t="s">
        <v>12042</v>
      </c>
      <c r="FI223" s="403"/>
      <c r="FJ223" s="403"/>
      <c r="FK223" s="403"/>
      <c r="FL223" s="403"/>
      <c r="FM223" s="403"/>
      <c r="FN223" s="403"/>
      <c r="FO223" s="403"/>
      <c r="FP223" s="403"/>
      <c r="FQ223" s="403"/>
      <c r="FR223" s="403"/>
      <c r="FS223" s="403"/>
      <c r="FT223" s="403"/>
      <c r="FU223" s="403"/>
      <c r="FV223" s="403"/>
      <c r="FW223" s="403"/>
      <c r="FX223" s="403"/>
      <c r="FY223" s="403"/>
      <c r="FZ223" s="403"/>
      <c r="GA223" s="403" t="s">
        <v>12043</v>
      </c>
      <c r="GB223" s="403"/>
      <c r="GC223" s="403"/>
      <c r="GD223" s="403"/>
      <c r="GE223" s="403"/>
      <c r="GF223" s="403"/>
      <c r="GG223" s="403"/>
      <c r="GH223" s="403"/>
      <c r="GI223" s="403"/>
      <c r="GJ223" s="403"/>
      <c r="GK223" s="403"/>
      <c r="GL223" s="403"/>
      <c r="GM223" s="403"/>
      <c r="GN223" s="403"/>
      <c r="GO223" s="403"/>
      <c r="GP223" s="403" t="s">
        <v>12044</v>
      </c>
      <c r="GQ223" s="403"/>
      <c r="GR223" s="403"/>
      <c r="GS223" s="403"/>
      <c r="GT223" s="403"/>
      <c r="GU223" s="403"/>
      <c r="GV223" s="403"/>
      <c r="GW223" s="403"/>
      <c r="GX223" s="403"/>
      <c r="GY223" s="403"/>
      <c r="GZ223" s="403"/>
      <c r="HA223" s="403"/>
      <c r="HB223" s="403"/>
      <c r="HC223" s="403"/>
      <c r="HD223" s="403"/>
      <c r="HE223" s="403"/>
      <c r="HF223" s="403"/>
      <c r="HG223" s="403"/>
      <c r="HH223" s="403"/>
      <c r="HI223" s="403" t="s">
        <v>12045</v>
      </c>
      <c r="HJ223" s="403"/>
      <c r="HK223" s="403"/>
      <c r="HL223" s="403"/>
      <c r="HM223" s="403"/>
      <c r="HN223" s="403"/>
      <c r="HO223" s="403"/>
      <c r="HP223" s="403"/>
      <c r="HQ223" s="403"/>
      <c r="HR223" s="403"/>
      <c r="HS223" s="403"/>
      <c r="HT223" s="403"/>
      <c r="HU223" s="403"/>
      <c r="HV223" s="403"/>
      <c r="HW223" s="403"/>
      <c r="HX223" s="403" t="s">
        <v>12046</v>
      </c>
      <c r="HY223" s="403"/>
      <c r="HZ223" s="403"/>
      <c r="IA223" s="403"/>
      <c r="IB223" s="403"/>
      <c r="IC223" s="403"/>
      <c r="ID223" s="403"/>
      <c r="IE223" s="403"/>
      <c r="IF223" s="403"/>
      <c r="IG223" s="403"/>
      <c r="IH223" s="403"/>
      <c r="II223" s="403"/>
      <c r="IJ223" s="403"/>
      <c r="IK223" s="403"/>
      <c r="IL223" s="403"/>
      <c r="IM223" s="403"/>
      <c r="IN223" s="403"/>
      <c r="IO223" s="403"/>
      <c r="IP223" s="403"/>
      <c r="IQ223" s="403" t="s">
        <v>12047</v>
      </c>
      <c r="IR223" s="403"/>
      <c r="IS223" s="403"/>
      <c r="IT223" s="403"/>
      <c r="IU223" s="403"/>
      <c r="IV223" s="403"/>
      <c r="IW223" s="403"/>
      <c r="IX223" s="403"/>
      <c r="IY223" s="403"/>
      <c r="IZ223" s="403"/>
      <c r="JA223" s="403"/>
      <c r="JB223" s="403"/>
      <c r="JC223" s="403"/>
      <c r="JD223" s="403"/>
      <c r="JE223" s="403"/>
      <c r="JF223" s="403" t="s">
        <v>12048</v>
      </c>
      <c r="JG223" s="403"/>
      <c r="JH223" s="403"/>
      <c r="JI223" s="403"/>
      <c r="JJ223" s="403"/>
      <c r="JK223" s="403"/>
      <c r="JL223" s="403"/>
      <c r="JM223" s="403"/>
      <c r="JN223" s="403"/>
      <c r="JO223" s="403"/>
      <c r="JP223" s="403"/>
      <c r="JQ223" s="403"/>
      <c r="JR223" s="403"/>
      <c r="JS223" s="403"/>
      <c r="JT223" s="403"/>
    </row>
    <row r="224" spans="1:280" s="15" customFormat="1" ht="12.75" x14ac:dyDescent="0.2">
      <c r="A224" s="9"/>
      <c r="B224" s="624"/>
      <c r="C224" s="66" t="str">
        <f ca="1">IF(OFFSET(AU224,0,Lang_Order*Lang__B5)="","",OFFSET(AU224,0,Lang_Order*Lang__B5))</f>
        <v>Mobile Team Type B (Group) Per Team Per Day</v>
      </c>
      <c r="E224" s="26"/>
      <c r="F224" s="26"/>
      <c r="G224" s="26"/>
      <c r="H224" s="26"/>
      <c r="I224" s="26"/>
      <c r="J224" s="96" t="s">
        <v>1687</v>
      </c>
      <c r="K224" s="96" t="s">
        <v>1687</v>
      </c>
      <c r="L224" s="96" t="s">
        <v>1687</v>
      </c>
      <c r="M224" s="96" t="s">
        <v>1687</v>
      </c>
      <c r="N224" s="96" t="s">
        <v>1687</v>
      </c>
      <c r="O224" s="96" t="s">
        <v>1687</v>
      </c>
      <c r="P224" s="83">
        <f>SUM(J224:O224)</f>
        <v>0</v>
      </c>
      <c r="Q224" s="83"/>
      <c r="R224" s="12" t="str">
        <f t="shared" ca="1" si="460"/>
        <v>Zero (this is a fixed site)</v>
      </c>
      <c r="S224" s="2"/>
      <c r="T224" s="241"/>
      <c r="U224" s="624"/>
      <c r="V224" s="260" t="str">
        <f ca="1">IF(OFFSET(AU224,0,Lang_Order*Lang__B5)="","",OFFSET(AU224,0,Lang_Order*Lang__B5))</f>
        <v>Mobile Team Type B (Group) Per Team Per Day</v>
      </c>
      <c r="W224" s="96" t="s">
        <v>1687</v>
      </c>
      <c r="X224" s="96" t="s">
        <v>1687</v>
      </c>
      <c r="Y224" s="96" t="s">
        <v>1687</v>
      </c>
      <c r="Z224" s="96" t="s">
        <v>1687</v>
      </c>
      <c r="AA224" s="96" t="s">
        <v>1687</v>
      </c>
      <c r="AB224" s="96" t="s">
        <v>1687</v>
      </c>
      <c r="AC224" s="83">
        <f>SUM(W224:AB224)</f>
        <v>0</v>
      </c>
      <c r="AE224" s="2"/>
      <c r="AF224" s="241"/>
      <c r="AG224" s="624"/>
      <c r="AH224" s="260" t="str">
        <f ca="1">IF(OFFSET(AU224,0,Lang_Order*Lang__B5)="","",OFFSET(AU224,0,Lang_Order*Lang__B5))</f>
        <v>Mobile Team Type B (Group) Per Team Per Day</v>
      </c>
      <c r="AI224" s="96" t="s">
        <v>1687</v>
      </c>
      <c r="AJ224" s="96" t="s">
        <v>1687</v>
      </c>
      <c r="AK224" s="96" t="s">
        <v>1687</v>
      </c>
      <c r="AL224" s="96" t="s">
        <v>1687</v>
      </c>
      <c r="AM224" s="96" t="s">
        <v>1687</v>
      </c>
      <c r="AN224" s="96" t="s">
        <v>1687</v>
      </c>
      <c r="AO224" s="83">
        <f>SUM(AI224:AN224)</f>
        <v>0</v>
      </c>
      <c r="AR224" s="403"/>
      <c r="AS224" s="403"/>
      <c r="AT224" s="403"/>
      <c r="AU224" s="403" t="s">
        <v>1671</v>
      </c>
      <c r="AV224" s="403"/>
      <c r="AW224" s="403"/>
      <c r="AX224" s="403"/>
      <c r="AY224" s="403"/>
      <c r="AZ224" s="403"/>
      <c r="BA224" s="403"/>
      <c r="BB224" s="403"/>
      <c r="BC224" s="403"/>
      <c r="BD224" s="403"/>
      <c r="BE224" s="403"/>
      <c r="BF224" s="403"/>
      <c r="BG224" s="403"/>
      <c r="BH224" s="403"/>
      <c r="BI224" s="403"/>
      <c r="BJ224" s="403" t="s">
        <v>1581</v>
      </c>
      <c r="BK224" s="403"/>
      <c r="BL224" s="403"/>
      <c r="BM224" s="403"/>
      <c r="BN224" s="403"/>
      <c r="BO224" s="403"/>
      <c r="BP224" s="403"/>
      <c r="BQ224" s="403"/>
      <c r="BR224" s="403"/>
      <c r="BS224" s="403"/>
      <c r="BT224" s="403"/>
      <c r="BU224" s="403"/>
      <c r="BV224" s="403"/>
      <c r="BW224" s="403"/>
      <c r="BX224" s="403"/>
      <c r="BY224" s="403"/>
      <c r="BZ224" s="403"/>
      <c r="CA224" s="403"/>
      <c r="CB224" s="403"/>
      <c r="CC224" s="403" t="s">
        <v>12049</v>
      </c>
      <c r="CD224" s="403"/>
      <c r="CE224" s="403"/>
      <c r="CF224" s="403"/>
      <c r="CG224" s="403"/>
      <c r="CH224" s="403"/>
      <c r="CI224" s="403"/>
      <c r="CJ224" s="403"/>
      <c r="CK224" s="403"/>
      <c r="CL224" s="403"/>
      <c r="CM224" s="403"/>
      <c r="CN224" s="403"/>
      <c r="CO224" s="403"/>
      <c r="CP224" s="403"/>
      <c r="CQ224" s="403"/>
      <c r="CR224" s="403" t="s">
        <v>12038</v>
      </c>
      <c r="CS224" s="403"/>
      <c r="CT224" s="403"/>
      <c r="CU224" s="403"/>
      <c r="CV224" s="403"/>
      <c r="CW224" s="403"/>
      <c r="CX224" s="403"/>
      <c r="CY224" s="403"/>
      <c r="CZ224" s="403"/>
      <c r="DA224" s="403"/>
      <c r="DB224" s="403"/>
      <c r="DC224" s="403"/>
      <c r="DD224" s="403"/>
      <c r="DE224" s="403"/>
      <c r="DF224" s="403"/>
      <c r="DG224" s="403"/>
      <c r="DH224" s="403"/>
      <c r="DI224" s="403"/>
      <c r="DJ224" s="403"/>
      <c r="DK224" s="403" t="s">
        <v>12050</v>
      </c>
      <c r="DL224" s="403"/>
      <c r="DM224" s="403"/>
      <c r="DN224" s="403"/>
      <c r="DO224" s="403"/>
      <c r="DP224" s="403"/>
      <c r="DQ224" s="403"/>
      <c r="DR224" s="403"/>
      <c r="DS224" s="403"/>
      <c r="DT224" s="403"/>
      <c r="DU224" s="403"/>
      <c r="DV224" s="403"/>
      <c r="DW224" s="403"/>
      <c r="DX224" s="403"/>
      <c r="DY224" s="403"/>
      <c r="DZ224" s="403" t="s">
        <v>12040</v>
      </c>
      <c r="EA224" s="403"/>
      <c r="EB224" s="403"/>
      <c r="EC224" s="403"/>
      <c r="ED224" s="403"/>
      <c r="EE224" s="403"/>
      <c r="EF224" s="403"/>
      <c r="EG224" s="403"/>
      <c r="EH224" s="403"/>
      <c r="EI224" s="403"/>
      <c r="EJ224" s="403"/>
      <c r="EK224" s="403"/>
      <c r="EL224" s="403"/>
      <c r="EM224" s="403"/>
      <c r="EN224" s="403"/>
      <c r="EO224" s="403"/>
      <c r="EP224" s="403"/>
      <c r="EQ224" s="403"/>
      <c r="ER224" s="403"/>
      <c r="ES224" s="403" t="s">
        <v>12192</v>
      </c>
      <c r="ET224" s="403"/>
      <c r="EU224" s="403"/>
      <c r="EV224" s="403"/>
      <c r="EW224" s="403"/>
      <c r="EX224" s="403"/>
      <c r="EY224" s="403"/>
      <c r="EZ224" s="403"/>
      <c r="FA224" s="403"/>
      <c r="FB224" s="403"/>
      <c r="FC224" s="403"/>
      <c r="FD224" s="403"/>
      <c r="FE224" s="403"/>
      <c r="FF224" s="403"/>
      <c r="FG224" s="403"/>
      <c r="FH224" s="403" t="s">
        <v>12042</v>
      </c>
      <c r="FI224" s="403"/>
      <c r="FJ224" s="403"/>
      <c r="FK224" s="403"/>
      <c r="FL224" s="403"/>
      <c r="FM224" s="403"/>
      <c r="FN224" s="403"/>
      <c r="FO224" s="403"/>
      <c r="FP224" s="403"/>
      <c r="FQ224" s="403"/>
      <c r="FR224" s="403"/>
      <c r="FS224" s="403"/>
      <c r="FT224" s="403"/>
      <c r="FU224" s="403"/>
      <c r="FV224" s="403"/>
      <c r="FW224" s="403"/>
      <c r="FX224" s="403"/>
      <c r="FY224" s="403"/>
      <c r="FZ224" s="403"/>
      <c r="GA224" s="403" t="s">
        <v>12193</v>
      </c>
      <c r="GB224" s="403"/>
      <c r="GC224" s="403"/>
      <c r="GD224" s="403"/>
      <c r="GE224" s="403"/>
      <c r="GF224" s="403"/>
      <c r="GG224" s="403"/>
      <c r="GH224" s="403"/>
      <c r="GI224" s="403"/>
      <c r="GJ224" s="403"/>
      <c r="GK224" s="403"/>
      <c r="GL224" s="403"/>
      <c r="GM224" s="403"/>
      <c r="GN224" s="403"/>
      <c r="GO224" s="403"/>
      <c r="GP224" s="403" t="s">
        <v>12044</v>
      </c>
      <c r="GQ224" s="403"/>
      <c r="GR224" s="403"/>
      <c r="GS224" s="403"/>
      <c r="GT224" s="403"/>
      <c r="GU224" s="403"/>
      <c r="GV224" s="403"/>
      <c r="GW224" s="403"/>
      <c r="GX224" s="403"/>
      <c r="GY224" s="403"/>
      <c r="GZ224" s="403"/>
      <c r="HA224" s="403"/>
      <c r="HB224" s="403"/>
      <c r="HC224" s="403"/>
      <c r="HD224" s="403"/>
      <c r="HE224" s="403"/>
      <c r="HF224" s="403"/>
      <c r="HG224" s="403"/>
      <c r="HH224" s="403"/>
      <c r="HI224" s="403" t="s">
        <v>12053</v>
      </c>
      <c r="HJ224" s="403"/>
      <c r="HK224" s="403"/>
      <c r="HL224" s="403"/>
      <c r="HM224" s="403"/>
      <c r="HN224" s="403"/>
      <c r="HO224" s="403"/>
      <c r="HP224" s="403"/>
      <c r="HQ224" s="403"/>
      <c r="HR224" s="403"/>
      <c r="HS224" s="403"/>
      <c r="HT224" s="403"/>
      <c r="HU224" s="403"/>
      <c r="HV224" s="403"/>
      <c r="HW224" s="403"/>
      <c r="HX224" s="403" t="s">
        <v>12046</v>
      </c>
      <c r="HY224" s="403"/>
      <c r="HZ224" s="403"/>
      <c r="IA224" s="403"/>
      <c r="IB224" s="403"/>
      <c r="IC224" s="403"/>
      <c r="ID224" s="403"/>
      <c r="IE224" s="403"/>
      <c r="IF224" s="403"/>
      <c r="IG224" s="403"/>
      <c r="IH224" s="403"/>
      <c r="II224" s="403"/>
      <c r="IJ224" s="403"/>
      <c r="IK224" s="403"/>
      <c r="IL224" s="403"/>
      <c r="IM224" s="403"/>
      <c r="IN224" s="403"/>
      <c r="IO224" s="403"/>
      <c r="IP224" s="403"/>
      <c r="IQ224" s="403" t="s">
        <v>12054</v>
      </c>
      <c r="IR224" s="403"/>
      <c r="IS224" s="403"/>
      <c r="IT224" s="403"/>
      <c r="IU224" s="403"/>
      <c r="IV224" s="403"/>
      <c r="IW224" s="403"/>
      <c r="IX224" s="403"/>
      <c r="IY224" s="403"/>
      <c r="IZ224" s="403"/>
      <c r="JA224" s="403"/>
      <c r="JB224" s="403"/>
      <c r="JC224" s="403"/>
      <c r="JD224" s="403"/>
      <c r="JE224" s="403"/>
      <c r="JF224" s="403" t="s">
        <v>12048</v>
      </c>
      <c r="JG224" s="403"/>
      <c r="JH224" s="403"/>
      <c r="JI224" s="403"/>
      <c r="JJ224" s="403"/>
      <c r="JK224" s="403"/>
      <c r="JL224" s="403"/>
      <c r="JM224" s="403"/>
      <c r="JN224" s="403"/>
      <c r="JO224" s="403"/>
      <c r="JP224" s="403"/>
      <c r="JQ224" s="403"/>
      <c r="JR224" s="403"/>
      <c r="JS224" s="403"/>
      <c r="JT224" s="403"/>
    </row>
    <row r="225" spans="1:280" s="15" customFormat="1" ht="12.75" x14ac:dyDescent="0.2">
      <c r="A225" s="9"/>
      <c r="B225" s="624"/>
      <c r="C225" s="9"/>
      <c r="E225" s="26"/>
      <c r="F225" s="26"/>
      <c r="G225" s="26"/>
      <c r="H225" s="26"/>
      <c r="I225" s="26"/>
      <c r="J225" s="37"/>
      <c r="K225" s="37"/>
      <c r="L225" s="37"/>
      <c r="M225" s="37"/>
      <c r="N225" s="37"/>
      <c r="O225" s="37"/>
      <c r="P225" s="26"/>
      <c r="Q225" s="26"/>
      <c r="R225" s="12" t="str">
        <f t="shared" ca="1" si="460"/>
        <v/>
      </c>
      <c r="S225" s="2"/>
      <c r="T225" s="241"/>
      <c r="U225" s="624"/>
      <c r="V225" s="2"/>
      <c r="W225" s="37"/>
      <c r="X225" s="37"/>
      <c r="Y225" s="37"/>
      <c r="Z225" s="37"/>
      <c r="AA225" s="37"/>
      <c r="AB225" s="37"/>
      <c r="AC225" s="26"/>
      <c r="AE225" s="2"/>
      <c r="AF225" s="241"/>
      <c r="AG225" s="624"/>
      <c r="AH225" s="2"/>
      <c r="AI225" s="37"/>
      <c r="AJ225" s="37"/>
      <c r="AK225" s="37"/>
      <c r="AL225" s="37"/>
      <c r="AM225" s="37"/>
      <c r="AN225" s="37"/>
      <c r="AO225" s="26"/>
      <c r="AR225" s="403"/>
      <c r="AS225" s="403"/>
      <c r="AT225" s="403"/>
      <c r="AU225" s="403"/>
      <c r="AV225" s="403"/>
      <c r="AW225" s="403"/>
      <c r="AX225" s="403"/>
      <c r="AY225" s="403"/>
      <c r="AZ225" s="403"/>
      <c r="BA225" s="403"/>
      <c r="BB225" s="403"/>
      <c r="BC225" s="403"/>
      <c r="BD225" s="403"/>
      <c r="BE225" s="403"/>
      <c r="BF225" s="403"/>
      <c r="BG225" s="403"/>
      <c r="BH225" s="403"/>
      <c r="BI225" s="403"/>
      <c r="BJ225" s="403"/>
      <c r="BK225" s="403"/>
      <c r="BL225" s="403"/>
      <c r="BM225" s="403"/>
      <c r="BN225" s="403"/>
      <c r="BO225" s="403"/>
      <c r="BP225" s="403"/>
      <c r="BQ225" s="403"/>
      <c r="BR225" s="403"/>
      <c r="BS225" s="403"/>
      <c r="BT225" s="403"/>
      <c r="BU225" s="403"/>
      <c r="BV225" s="403"/>
      <c r="BW225" s="403"/>
      <c r="BX225" s="403"/>
      <c r="BY225" s="403"/>
      <c r="BZ225" s="403"/>
      <c r="CA225" s="403"/>
      <c r="CB225" s="403"/>
      <c r="CC225" s="403"/>
      <c r="CD225" s="403"/>
      <c r="CE225" s="403"/>
      <c r="CF225" s="403"/>
      <c r="CG225" s="403"/>
      <c r="CH225" s="403"/>
      <c r="CI225" s="403"/>
      <c r="CJ225" s="403"/>
      <c r="CK225" s="403"/>
      <c r="CL225" s="403"/>
      <c r="CM225" s="403"/>
      <c r="CN225" s="403"/>
      <c r="CO225" s="403"/>
      <c r="CP225" s="403"/>
      <c r="CQ225" s="403"/>
      <c r="CR225" s="403"/>
      <c r="CS225" s="403"/>
      <c r="CT225" s="403"/>
      <c r="CU225" s="403"/>
      <c r="CV225" s="403"/>
      <c r="CW225" s="403"/>
      <c r="CX225" s="403"/>
      <c r="CY225" s="403"/>
      <c r="CZ225" s="403"/>
      <c r="DA225" s="403"/>
      <c r="DB225" s="403"/>
      <c r="DC225" s="403"/>
      <c r="DD225" s="403"/>
      <c r="DE225" s="403"/>
      <c r="DF225" s="403"/>
      <c r="DG225" s="403"/>
      <c r="DH225" s="403"/>
      <c r="DI225" s="403"/>
      <c r="DJ225" s="403"/>
      <c r="DK225" s="403"/>
      <c r="DL225" s="403"/>
      <c r="DM225" s="403"/>
      <c r="DN225" s="403"/>
      <c r="DO225" s="403"/>
      <c r="DP225" s="403"/>
      <c r="DQ225" s="403"/>
      <c r="DR225" s="403"/>
      <c r="DS225" s="403"/>
      <c r="DT225" s="403"/>
      <c r="DU225" s="403"/>
      <c r="DV225" s="403"/>
      <c r="DW225" s="403"/>
      <c r="DX225" s="403"/>
      <c r="DY225" s="403"/>
      <c r="DZ225" s="403"/>
      <c r="EA225" s="403"/>
      <c r="EB225" s="403"/>
      <c r="EC225" s="403"/>
      <c r="ED225" s="403"/>
      <c r="EE225" s="403"/>
      <c r="EF225" s="403"/>
      <c r="EG225" s="403"/>
      <c r="EH225" s="403"/>
      <c r="EI225" s="403"/>
      <c r="EJ225" s="403"/>
      <c r="EK225" s="403"/>
      <c r="EL225" s="403"/>
      <c r="EM225" s="403"/>
      <c r="EN225" s="403"/>
      <c r="EO225" s="403"/>
      <c r="EP225" s="403"/>
      <c r="EQ225" s="403"/>
      <c r="ER225" s="403"/>
      <c r="ES225" s="403"/>
      <c r="ET225" s="403"/>
      <c r="EU225" s="403"/>
      <c r="EV225" s="403"/>
      <c r="EW225" s="403"/>
      <c r="EX225" s="403"/>
      <c r="EY225" s="403"/>
      <c r="EZ225" s="403"/>
      <c r="FA225" s="403"/>
      <c r="FB225" s="403"/>
      <c r="FC225" s="403"/>
      <c r="FD225" s="403"/>
      <c r="FE225" s="403"/>
      <c r="FF225" s="403"/>
      <c r="FG225" s="403"/>
      <c r="FH225" s="403"/>
      <c r="FI225" s="403"/>
      <c r="FJ225" s="403"/>
      <c r="FK225" s="403"/>
      <c r="FL225" s="403"/>
      <c r="FM225" s="403"/>
      <c r="FN225" s="403"/>
      <c r="FO225" s="403"/>
      <c r="FP225" s="403"/>
      <c r="FQ225" s="403"/>
      <c r="FR225" s="403"/>
      <c r="FS225" s="403"/>
      <c r="FT225" s="403"/>
      <c r="FU225" s="403"/>
      <c r="FV225" s="403"/>
      <c r="FW225" s="403"/>
      <c r="FX225" s="403"/>
      <c r="FY225" s="403"/>
      <c r="FZ225" s="403"/>
      <c r="GA225" s="403"/>
      <c r="GB225" s="403"/>
      <c r="GC225" s="403"/>
      <c r="GD225" s="403"/>
      <c r="GE225" s="403"/>
      <c r="GF225" s="403"/>
      <c r="GG225" s="403"/>
      <c r="GH225" s="403"/>
      <c r="GI225" s="403"/>
      <c r="GJ225" s="403"/>
      <c r="GK225" s="403"/>
      <c r="GL225" s="403"/>
      <c r="GM225" s="403"/>
      <c r="GN225" s="403"/>
      <c r="GO225" s="403"/>
      <c r="GP225" s="403"/>
      <c r="GQ225" s="403"/>
      <c r="GR225" s="403"/>
      <c r="GS225" s="403"/>
      <c r="GT225" s="403"/>
      <c r="GU225" s="403"/>
      <c r="GV225" s="403"/>
      <c r="GW225" s="403"/>
      <c r="GX225" s="403"/>
      <c r="GY225" s="403"/>
      <c r="GZ225" s="403"/>
      <c r="HA225" s="403"/>
      <c r="HB225" s="403"/>
      <c r="HC225" s="403"/>
      <c r="HD225" s="403"/>
      <c r="HE225" s="403"/>
      <c r="HF225" s="403"/>
      <c r="HG225" s="403"/>
      <c r="HH225" s="403"/>
      <c r="HI225" s="403"/>
      <c r="HJ225" s="403"/>
      <c r="HK225" s="403"/>
      <c r="HL225" s="403"/>
      <c r="HM225" s="403"/>
      <c r="HN225" s="403"/>
      <c r="HO225" s="403"/>
      <c r="HP225" s="403"/>
      <c r="HQ225" s="403"/>
      <c r="HR225" s="403"/>
      <c r="HS225" s="403"/>
      <c r="HT225" s="403"/>
      <c r="HU225" s="403"/>
      <c r="HV225" s="403"/>
      <c r="HW225" s="403"/>
      <c r="HX225" s="403"/>
      <c r="HY225" s="403"/>
      <c r="HZ225" s="403"/>
      <c r="IA225" s="403"/>
      <c r="IB225" s="403"/>
      <c r="IC225" s="403"/>
      <c r="ID225" s="403"/>
      <c r="IE225" s="403"/>
      <c r="IF225" s="403"/>
      <c r="IG225" s="403"/>
      <c r="IH225" s="403"/>
      <c r="II225" s="403"/>
      <c r="IJ225" s="403"/>
      <c r="IK225" s="403"/>
      <c r="IL225" s="403"/>
      <c r="IM225" s="403"/>
      <c r="IN225" s="403"/>
      <c r="IO225" s="403"/>
      <c r="IP225" s="403"/>
      <c r="IQ225" s="403"/>
      <c r="IR225" s="403"/>
      <c r="IS225" s="403"/>
      <c r="IT225" s="403"/>
      <c r="IU225" s="403"/>
      <c r="IV225" s="403"/>
      <c r="IW225" s="403"/>
      <c r="IX225" s="403"/>
      <c r="IY225" s="403"/>
      <c r="IZ225" s="403"/>
      <c r="JA225" s="403"/>
      <c r="JB225" s="403"/>
      <c r="JC225" s="403"/>
      <c r="JD225" s="403"/>
      <c r="JE225" s="403"/>
      <c r="JF225" s="403"/>
      <c r="JG225" s="403"/>
      <c r="JH225" s="403"/>
      <c r="JI225" s="403"/>
      <c r="JJ225" s="403"/>
      <c r="JK225" s="403"/>
      <c r="JL225" s="403"/>
      <c r="JM225" s="403"/>
      <c r="JN225" s="403"/>
      <c r="JO225" s="403"/>
      <c r="JP225" s="403"/>
      <c r="JQ225" s="403"/>
      <c r="JR225" s="403"/>
      <c r="JS225" s="403"/>
      <c r="JT225" s="403"/>
    </row>
    <row r="226" spans="1:280" s="15" customFormat="1" ht="12.75" x14ac:dyDescent="0.2">
      <c r="A226" s="9"/>
      <c r="B226" s="624" t="str">
        <f ca="1">IF(OFFSET(AT226,0,Lang_Order*Lang__B5)="","",OFFSET(AT226,0,Lang_Order*Lang__B5))</f>
        <v>Local Security</v>
      </c>
      <c r="C226" s="23"/>
      <c r="E226" s="26"/>
      <c r="F226" s="26"/>
      <c r="G226" s="26"/>
      <c r="H226" s="26"/>
      <c r="I226" s="26"/>
      <c r="J226" s="37"/>
      <c r="K226" s="37"/>
      <c r="L226" s="37"/>
      <c r="M226" s="37"/>
      <c r="N226" s="37"/>
      <c r="O226" s="37"/>
      <c r="P226" s="26"/>
      <c r="Q226" s="26"/>
      <c r="R226" s="12" t="str">
        <f t="shared" ca="1" si="460"/>
        <v/>
      </c>
      <c r="S226" s="2"/>
      <c r="T226" s="241"/>
      <c r="U226" s="624" t="str">
        <f ca="1">IF(OFFSET(AT226,0,Lang_Order*Lang__B5)="","",OFFSET(AT226,0,Lang_Order*Lang__B5))</f>
        <v>Local Security</v>
      </c>
      <c r="V226" s="72"/>
      <c r="W226" s="37"/>
      <c r="X226" s="37"/>
      <c r="Y226" s="37"/>
      <c r="Z226" s="37"/>
      <c r="AA226" s="37"/>
      <c r="AB226" s="37"/>
      <c r="AC226" s="26"/>
      <c r="AE226" s="2"/>
      <c r="AF226" s="241"/>
      <c r="AG226" s="624" t="str">
        <f ca="1">IF(OFFSET(AT226,0,Lang_Order*Lang__B5)="","",OFFSET(AT226,0,Lang_Order*Lang__B5))</f>
        <v>Local Security</v>
      </c>
      <c r="AH226" s="72"/>
      <c r="AI226" s="37"/>
      <c r="AJ226" s="37"/>
      <c r="AK226" s="37"/>
      <c r="AL226" s="37"/>
      <c r="AM226" s="37"/>
      <c r="AN226" s="37"/>
      <c r="AO226" s="26"/>
      <c r="AR226" s="403"/>
      <c r="AS226" s="403"/>
      <c r="AT226" s="403" t="s">
        <v>1576</v>
      </c>
      <c r="AU226" s="403"/>
      <c r="AV226" s="403"/>
      <c r="AW226" s="403"/>
      <c r="AX226" s="403"/>
      <c r="AY226" s="403"/>
      <c r="AZ226" s="403"/>
      <c r="BA226" s="403"/>
      <c r="BB226" s="403"/>
      <c r="BC226" s="403"/>
      <c r="BD226" s="403"/>
      <c r="BE226" s="403"/>
      <c r="BF226" s="403"/>
      <c r="BG226" s="403"/>
      <c r="BH226" s="403"/>
      <c r="BI226" s="403"/>
      <c r="BJ226" s="403"/>
      <c r="BK226" s="403"/>
      <c r="BL226" s="403"/>
      <c r="BM226" s="403"/>
      <c r="BN226" s="403"/>
      <c r="BO226" s="403"/>
      <c r="BP226" s="403"/>
      <c r="BQ226" s="403"/>
      <c r="BR226" s="403"/>
      <c r="BS226" s="403"/>
      <c r="BT226" s="403"/>
      <c r="BU226" s="403"/>
      <c r="BV226" s="403"/>
      <c r="BW226" s="403"/>
      <c r="BX226" s="403"/>
      <c r="BY226" s="403"/>
      <c r="BZ226" s="403"/>
      <c r="CA226" s="403"/>
      <c r="CB226" s="403" t="s">
        <v>5046</v>
      </c>
      <c r="CC226" s="403"/>
      <c r="CD226" s="403"/>
      <c r="CE226" s="403"/>
      <c r="CF226" s="403"/>
      <c r="CG226" s="403"/>
      <c r="CH226" s="403"/>
      <c r="CI226" s="403"/>
      <c r="CJ226" s="403"/>
      <c r="CK226" s="403"/>
      <c r="CL226" s="403"/>
      <c r="CM226" s="403"/>
      <c r="CN226" s="403"/>
      <c r="CO226" s="403"/>
      <c r="CP226" s="403"/>
      <c r="CQ226" s="403"/>
      <c r="CR226" s="403"/>
      <c r="CS226" s="403"/>
      <c r="CT226" s="403"/>
      <c r="CU226" s="403"/>
      <c r="CV226" s="403"/>
      <c r="CW226" s="403"/>
      <c r="CX226" s="403"/>
      <c r="CY226" s="403"/>
      <c r="CZ226" s="403"/>
      <c r="DA226" s="403"/>
      <c r="DB226" s="403"/>
      <c r="DC226" s="403"/>
      <c r="DD226" s="403"/>
      <c r="DE226" s="403"/>
      <c r="DF226" s="403"/>
      <c r="DG226" s="403"/>
      <c r="DH226" s="403"/>
      <c r="DI226" s="403"/>
      <c r="DJ226" s="403" t="s">
        <v>5047</v>
      </c>
      <c r="DK226" s="403"/>
      <c r="DL226" s="403"/>
      <c r="DM226" s="403"/>
      <c r="DN226" s="403"/>
      <c r="DO226" s="403"/>
      <c r="DP226" s="403"/>
      <c r="DQ226" s="403"/>
      <c r="DR226" s="403"/>
      <c r="DS226" s="403"/>
      <c r="DT226" s="403"/>
      <c r="DU226" s="403"/>
      <c r="DV226" s="403"/>
      <c r="DW226" s="403"/>
      <c r="DX226" s="403"/>
      <c r="DY226" s="403"/>
      <c r="DZ226" s="403"/>
      <c r="EA226" s="403"/>
      <c r="EB226" s="403"/>
      <c r="EC226" s="403"/>
      <c r="ED226" s="403"/>
      <c r="EE226" s="403"/>
      <c r="EF226" s="403"/>
      <c r="EG226" s="403"/>
      <c r="EH226" s="403"/>
      <c r="EI226" s="403"/>
      <c r="EJ226" s="403"/>
      <c r="EK226" s="403"/>
      <c r="EL226" s="403"/>
      <c r="EM226" s="403"/>
      <c r="EN226" s="403"/>
      <c r="EO226" s="403"/>
      <c r="EP226" s="403"/>
      <c r="EQ226" s="403"/>
      <c r="ER226" s="403" t="s">
        <v>5048</v>
      </c>
      <c r="ES226" s="403"/>
      <c r="ET226" s="403"/>
      <c r="EU226" s="403"/>
      <c r="EV226" s="403"/>
      <c r="EW226" s="403"/>
      <c r="EX226" s="403"/>
      <c r="EY226" s="403"/>
      <c r="EZ226" s="403"/>
      <c r="FA226" s="403"/>
      <c r="FB226" s="403"/>
      <c r="FC226" s="403"/>
      <c r="FD226" s="403"/>
      <c r="FE226" s="403"/>
      <c r="FF226" s="403"/>
      <c r="FG226" s="403"/>
      <c r="FH226" s="403"/>
      <c r="FI226" s="403"/>
      <c r="FJ226" s="403"/>
      <c r="FK226" s="403"/>
      <c r="FL226" s="403"/>
      <c r="FM226" s="403"/>
      <c r="FN226" s="403"/>
      <c r="FO226" s="403"/>
      <c r="FP226" s="403"/>
      <c r="FQ226" s="403"/>
      <c r="FR226" s="403"/>
      <c r="FS226" s="403"/>
      <c r="FT226" s="403"/>
      <c r="FU226" s="403"/>
      <c r="FV226" s="403"/>
      <c r="FW226" s="403"/>
      <c r="FX226" s="403"/>
      <c r="FY226" s="403"/>
      <c r="FZ226" s="403" t="s">
        <v>5049</v>
      </c>
      <c r="GA226" s="403"/>
      <c r="GB226" s="403"/>
      <c r="GC226" s="403"/>
      <c r="GD226" s="403"/>
      <c r="GE226" s="403"/>
      <c r="GF226" s="403"/>
      <c r="GG226" s="403"/>
      <c r="GH226" s="403"/>
      <c r="GI226" s="403"/>
      <c r="GJ226" s="403"/>
      <c r="GK226" s="403"/>
      <c r="GL226" s="403"/>
      <c r="GM226" s="403"/>
      <c r="GN226" s="403"/>
      <c r="GO226" s="403"/>
      <c r="GP226" s="403"/>
      <c r="GQ226" s="403"/>
      <c r="GR226" s="403"/>
      <c r="GS226" s="403"/>
      <c r="GT226" s="403"/>
      <c r="GU226" s="403"/>
      <c r="GV226" s="403"/>
      <c r="GW226" s="403"/>
      <c r="GX226" s="403"/>
      <c r="GY226" s="403"/>
      <c r="GZ226" s="403"/>
      <c r="HA226" s="403"/>
      <c r="HB226" s="403"/>
      <c r="HC226" s="403"/>
      <c r="HD226" s="403"/>
      <c r="HE226" s="403"/>
      <c r="HF226" s="403"/>
      <c r="HG226" s="403"/>
      <c r="HH226" s="403" t="s">
        <v>5050</v>
      </c>
      <c r="HI226" s="403"/>
      <c r="HJ226" s="403"/>
      <c r="HK226" s="403"/>
      <c r="HL226" s="403"/>
      <c r="HM226" s="403"/>
      <c r="HN226" s="403"/>
      <c r="HO226" s="403"/>
      <c r="HP226" s="403"/>
      <c r="HQ226" s="403"/>
      <c r="HR226" s="403"/>
      <c r="HS226" s="403"/>
      <c r="HT226" s="403"/>
      <c r="HU226" s="403"/>
      <c r="HV226" s="403"/>
      <c r="HW226" s="403"/>
      <c r="HX226" s="403"/>
      <c r="HY226" s="403"/>
      <c r="HZ226" s="403"/>
      <c r="IA226" s="403"/>
      <c r="IB226" s="403"/>
      <c r="IC226" s="403"/>
      <c r="ID226" s="403"/>
      <c r="IE226" s="403"/>
      <c r="IF226" s="403"/>
      <c r="IG226" s="403"/>
      <c r="IH226" s="403"/>
      <c r="II226" s="403"/>
      <c r="IJ226" s="403"/>
      <c r="IK226" s="403"/>
      <c r="IL226" s="403"/>
      <c r="IM226" s="403"/>
      <c r="IN226" s="403"/>
      <c r="IO226" s="403"/>
      <c r="IP226" s="403" t="s">
        <v>5051</v>
      </c>
      <c r="IQ226" s="403"/>
      <c r="IR226" s="403"/>
      <c r="IS226" s="403"/>
      <c r="IT226" s="403"/>
      <c r="IU226" s="403"/>
      <c r="IV226" s="403"/>
      <c r="IW226" s="403"/>
      <c r="IX226" s="403"/>
      <c r="IY226" s="403"/>
      <c r="IZ226" s="403"/>
      <c r="JA226" s="403"/>
      <c r="JB226" s="403"/>
      <c r="JC226" s="403"/>
      <c r="JD226" s="403"/>
      <c r="JE226" s="403"/>
      <c r="JF226" s="403"/>
      <c r="JG226" s="403"/>
      <c r="JH226" s="403"/>
      <c r="JI226" s="403"/>
      <c r="JJ226" s="403"/>
      <c r="JK226" s="403"/>
      <c r="JL226" s="403"/>
      <c r="JM226" s="403"/>
      <c r="JN226" s="403"/>
      <c r="JO226" s="403"/>
      <c r="JP226" s="403"/>
      <c r="JQ226" s="403"/>
      <c r="JR226" s="403"/>
      <c r="JS226" s="403"/>
      <c r="JT226" s="403"/>
    </row>
    <row r="227" spans="1:280" s="15" customFormat="1" ht="12.75" x14ac:dyDescent="0.2">
      <c r="A227" s="9"/>
      <c r="B227" s="624"/>
      <c r="C227" s="23" t="str">
        <f ca="1">IF(OFFSET(AU227,0,Lang_Order*Lang__B5)="","",OFFSET(AU227,0,Lang_Order*Lang__B5))</f>
        <v>Security per Site per Day</v>
      </c>
      <c r="E227" s="26"/>
      <c r="F227" s="26"/>
      <c r="G227" s="26"/>
      <c r="H227" s="26"/>
      <c r="I227" s="26"/>
      <c r="J227" s="37" t="e">
        <f t="shared" ref="J227:O227" si="536">J211*AUCs_Security_perSiteperDay</f>
        <v>#N/A</v>
      </c>
      <c r="K227" s="37" t="e">
        <f t="shared" si="536"/>
        <v>#N/A</v>
      </c>
      <c r="L227" s="37" t="e">
        <f t="shared" si="536"/>
        <v>#N/A</v>
      </c>
      <c r="M227" s="37" t="e">
        <f t="shared" si="536"/>
        <v>#N/A</v>
      </c>
      <c r="N227" s="37" t="e">
        <f t="shared" si="536"/>
        <v>#N/A</v>
      </c>
      <c r="O227" s="37" t="e">
        <f t="shared" si="536"/>
        <v>#N/A</v>
      </c>
      <c r="P227" s="83" t="e">
        <f>SUM(J227:O227)</f>
        <v>#N/A</v>
      </c>
      <c r="Q227" s="83"/>
      <c r="R227" s="12" t="str">
        <f t="shared" ca="1" si="460"/>
        <v>Consider adjustment for weekends [TODO]</v>
      </c>
      <c r="S227" s="2"/>
      <c r="T227" s="241"/>
      <c r="U227" s="624"/>
      <c r="V227" s="72" t="str">
        <f ca="1">IF(OFFSET(AU227,0,Lang_Order*Lang__B5)="","",OFFSET(AU227,0,Lang_Order*Lang__B5))</f>
        <v>Security per Site per Day</v>
      </c>
      <c r="W227" s="37" t="e">
        <f t="shared" ref="W227:AB227" si="537">W211*AUCs_Security_perSiteperDay</f>
        <v>#N/A</v>
      </c>
      <c r="X227" s="37" t="e">
        <f t="shared" si="537"/>
        <v>#N/A</v>
      </c>
      <c r="Y227" s="37" t="e">
        <f t="shared" si="537"/>
        <v>#N/A</v>
      </c>
      <c r="Z227" s="37" t="e">
        <f t="shared" si="537"/>
        <v>#N/A</v>
      </c>
      <c r="AA227" s="37" t="e">
        <f t="shared" si="537"/>
        <v>#N/A</v>
      </c>
      <c r="AB227" s="37" t="e">
        <f t="shared" si="537"/>
        <v>#N/A</v>
      </c>
      <c r="AC227" s="83" t="e">
        <f>SUM(W227:AB227)</f>
        <v>#N/A</v>
      </c>
      <c r="AE227" s="2"/>
      <c r="AF227" s="241"/>
      <c r="AG227" s="624"/>
      <c r="AH227" s="72" t="str">
        <f ca="1">IF(OFFSET(AU227,0,Lang_Order*Lang__B5)="","",OFFSET(AU227,0,Lang_Order*Lang__B5))</f>
        <v>Security per Site per Day</v>
      </c>
      <c r="AI227" s="37" t="e">
        <f t="shared" ref="AI227:AN227" si="538">AI211*AUCs_Security_perSiteperDay</f>
        <v>#N/A</v>
      </c>
      <c r="AJ227" s="37" t="e">
        <f t="shared" si="538"/>
        <v>#N/A</v>
      </c>
      <c r="AK227" s="37" t="e">
        <f t="shared" si="538"/>
        <v>#N/A</v>
      </c>
      <c r="AL227" s="37" t="e">
        <f t="shared" si="538"/>
        <v>#N/A</v>
      </c>
      <c r="AM227" s="37" t="e">
        <f t="shared" si="538"/>
        <v>#N/A</v>
      </c>
      <c r="AN227" s="37" t="e">
        <f t="shared" si="538"/>
        <v>#N/A</v>
      </c>
      <c r="AO227" s="83" t="e">
        <f>SUM(AI227:AN227)</f>
        <v>#N/A</v>
      </c>
      <c r="AR227" s="403"/>
      <c r="AS227" s="403"/>
      <c r="AT227" s="403"/>
      <c r="AU227" s="403" t="s">
        <v>1583</v>
      </c>
      <c r="AV227" s="403"/>
      <c r="AW227" s="403"/>
      <c r="AX227" s="403"/>
      <c r="AY227" s="403"/>
      <c r="AZ227" s="403"/>
      <c r="BA227" s="403"/>
      <c r="BB227" s="403"/>
      <c r="BC227" s="403"/>
      <c r="BD227" s="403"/>
      <c r="BE227" s="403"/>
      <c r="BF227" s="403"/>
      <c r="BG227" s="403"/>
      <c r="BH227" s="403"/>
      <c r="BI227" s="403"/>
      <c r="BJ227" s="403" t="s">
        <v>1645</v>
      </c>
      <c r="BK227" s="403"/>
      <c r="BL227" s="403"/>
      <c r="BM227" s="403"/>
      <c r="BN227" s="403"/>
      <c r="BO227" s="403"/>
      <c r="BP227" s="403"/>
      <c r="BQ227" s="403"/>
      <c r="BR227" s="403"/>
      <c r="BS227" s="403"/>
      <c r="BT227" s="403"/>
      <c r="BU227" s="403"/>
      <c r="BV227" s="403"/>
      <c r="BW227" s="403"/>
      <c r="BX227" s="403"/>
      <c r="BY227" s="403"/>
      <c r="BZ227" s="403"/>
      <c r="CA227" s="403"/>
      <c r="CB227" s="403"/>
      <c r="CC227" s="403" t="s">
        <v>12055</v>
      </c>
      <c r="CD227" s="403"/>
      <c r="CE227" s="403"/>
      <c r="CF227" s="403"/>
      <c r="CG227" s="403"/>
      <c r="CH227" s="403"/>
      <c r="CI227" s="403"/>
      <c r="CJ227" s="403"/>
      <c r="CK227" s="403"/>
      <c r="CL227" s="403"/>
      <c r="CM227" s="403"/>
      <c r="CN227" s="403"/>
      <c r="CO227" s="403"/>
      <c r="CP227" s="403"/>
      <c r="CQ227" s="403"/>
      <c r="CR227" s="403" t="s">
        <v>12056</v>
      </c>
      <c r="CS227" s="403"/>
      <c r="CT227" s="403"/>
      <c r="CU227" s="403"/>
      <c r="CV227" s="403"/>
      <c r="CW227" s="403"/>
      <c r="CX227" s="403"/>
      <c r="CY227" s="403"/>
      <c r="CZ227" s="403"/>
      <c r="DA227" s="403"/>
      <c r="DB227" s="403"/>
      <c r="DC227" s="403"/>
      <c r="DD227" s="403"/>
      <c r="DE227" s="403"/>
      <c r="DF227" s="403"/>
      <c r="DG227" s="403"/>
      <c r="DH227" s="403"/>
      <c r="DI227" s="403"/>
      <c r="DJ227" s="403"/>
      <c r="DK227" s="403" t="s">
        <v>12057</v>
      </c>
      <c r="DL227" s="403"/>
      <c r="DM227" s="403"/>
      <c r="DN227" s="403"/>
      <c r="DO227" s="403"/>
      <c r="DP227" s="403"/>
      <c r="DQ227" s="403"/>
      <c r="DR227" s="403"/>
      <c r="DS227" s="403"/>
      <c r="DT227" s="403"/>
      <c r="DU227" s="403"/>
      <c r="DV227" s="403"/>
      <c r="DW227" s="403"/>
      <c r="DX227" s="403"/>
      <c r="DY227" s="403"/>
      <c r="DZ227" s="403" t="s">
        <v>12058</v>
      </c>
      <c r="EA227" s="403"/>
      <c r="EB227" s="403"/>
      <c r="EC227" s="403"/>
      <c r="ED227" s="403"/>
      <c r="EE227" s="403"/>
      <c r="EF227" s="403"/>
      <c r="EG227" s="403"/>
      <c r="EH227" s="403"/>
      <c r="EI227" s="403"/>
      <c r="EJ227" s="403"/>
      <c r="EK227" s="403"/>
      <c r="EL227" s="403"/>
      <c r="EM227" s="403"/>
      <c r="EN227" s="403"/>
      <c r="EO227" s="403"/>
      <c r="EP227" s="403"/>
      <c r="EQ227" s="403"/>
      <c r="ER227" s="403"/>
      <c r="ES227" s="403" t="s">
        <v>12059</v>
      </c>
      <c r="ET227" s="403"/>
      <c r="EU227" s="403"/>
      <c r="EV227" s="403"/>
      <c r="EW227" s="403"/>
      <c r="EX227" s="403"/>
      <c r="EY227" s="403"/>
      <c r="EZ227" s="403"/>
      <c r="FA227" s="403"/>
      <c r="FB227" s="403"/>
      <c r="FC227" s="403"/>
      <c r="FD227" s="403"/>
      <c r="FE227" s="403"/>
      <c r="FF227" s="403"/>
      <c r="FG227" s="403"/>
      <c r="FH227" s="403" t="s">
        <v>12060</v>
      </c>
      <c r="FI227" s="403"/>
      <c r="FJ227" s="403"/>
      <c r="FK227" s="403"/>
      <c r="FL227" s="403"/>
      <c r="FM227" s="403"/>
      <c r="FN227" s="403"/>
      <c r="FO227" s="403"/>
      <c r="FP227" s="403"/>
      <c r="FQ227" s="403"/>
      <c r="FR227" s="403"/>
      <c r="FS227" s="403"/>
      <c r="FT227" s="403"/>
      <c r="FU227" s="403"/>
      <c r="FV227" s="403"/>
      <c r="FW227" s="403"/>
      <c r="FX227" s="403"/>
      <c r="FY227" s="403"/>
      <c r="FZ227" s="403"/>
      <c r="GA227" s="403" t="s">
        <v>12061</v>
      </c>
      <c r="GB227" s="403"/>
      <c r="GC227" s="403"/>
      <c r="GD227" s="403"/>
      <c r="GE227" s="403"/>
      <c r="GF227" s="403"/>
      <c r="GG227" s="403"/>
      <c r="GH227" s="403"/>
      <c r="GI227" s="403"/>
      <c r="GJ227" s="403"/>
      <c r="GK227" s="403"/>
      <c r="GL227" s="403"/>
      <c r="GM227" s="403"/>
      <c r="GN227" s="403"/>
      <c r="GO227" s="403"/>
      <c r="GP227" s="403" t="s">
        <v>12062</v>
      </c>
      <c r="GQ227" s="403"/>
      <c r="GR227" s="403"/>
      <c r="GS227" s="403"/>
      <c r="GT227" s="403"/>
      <c r="GU227" s="403"/>
      <c r="GV227" s="403"/>
      <c r="GW227" s="403"/>
      <c r="GX227" s="403"/>
      <c r="GY227" s="403"/>
      <c r="GZ227" s="403"/>
      <c r="HA227" s="403"/>
      <c r="HB227" s="403"/>
      <c r="HC227" s="403"/>
      <c r="HD227" s="403"/>
      <c r="HE227" s="403"/>
      <c r="HF227" s="403"/>
      <c r="HG227" s="403"/>
      <c r="HH227" s="403"/>
      <c r="HI227" s="403" t="s">
        <v>12063</v>
      </c>
      <c r="HJ227" s="403"/>
      <c r="HK227" s="403"/>
      <c r="HL227" s="403"/>
      <c r="HM227" s="403"/>
      <c r="HN227" s="403"/>
      <c r="HO227" s="403"/>
      <c r="HP227" s="403"/>
      <c r="HQ227" s="403"/>
      <c r="HR227" s="403"/>
      <c r="HS227" s="403"/>
      <c r="HT227" s="403"/>
      <c r="HU227" s="403"/>
      <c r="HV227" s="403"/>
      <c r="HW227" s="403"/>
      <c r="HX227" s="403" t="s">
        <v>12064</v>
      </c>
      <c r="HY227" s="403"/>
      <c r="HZ227" s="403"/>
      <c r="IA227" s="403"/>
      <c r="IB227" s="403"/>
      <c r="IC227" s="403"/>
      <c r="ID227" s="403"/>
      <c r="IE227" s="403"/>
      <c r="IF227" s="403"/>
      <c r="IG227" s="403"/>
      <c r="IH227" s="403"/>
      <c r="II227" s="403"/>
      <c r="IJ227" s="403"/>
      <c r="IK227" s="403"/>
      <c r="IL227" s="403"/>
      <c r="IM227" s="403"/>
      <c r="IN227" s="403"/>
      <c r="IO227" s="403"/>
      <c r="IP227" s="403"/>
      <c r="IQ227" s="403" t="s">
        <v>12065</v>
      </c>
      <c r="IR227" s="403"/>
      <c r="IS227" s="403"/>
      <c r="IT227" s="403"/>
      <c r="IU227" s="403"/>
      <c r="IV227" s="403"/>
      <c r="IW227" s="403"/>
      <c r="IX227" s="403"/>
      <c r="IY227" s="403"/>
      <c r="IZ227" s="403"/>
      <c r="JA227" s="403"/>
      <c r="JB227" s="403"/>
      <c r="JC227" s="403"/>
      <c r="JD227" s="403"/>
      <c r="JE227" s="403"/>
      <c r="JF227" s="403" t="s">
        <v>12066</v>
      </c>
      <c r="JG227" s="403"/>
      <c r="JH227" s="403"/>
      <c r="JI227" s="403"/>
      <c r="JJ227" s="403"/>
      <c r="JK227" s="403"/>
      <c r="JL227" s="403"/>
      <c r="JM227" s="403"/>
      <c r="JN227" s="403"/>
      <c r="JO227" s="403"/>
      <c r="JP227" s="403"/>
      <c r="JQ227" s="403"/>
      <c r="JR227" s="403"/>
      <c r="JS227" s="403"/>
      <c r="JT227" s="403"/>
    </row>
    <row r="228" spans="1:280" s="15" customFormat="1" ht="12.75" x14ac:dyDescent="0.2">
      <c r="A228" s="9"/>
      <c r="B228" s="624"/>
      <c r="C228" s="66" t="str">
        <f ca="1">IF(OFFSET(AU228,0,Lang_Order*Lang__B5)="","",OFFSET(AU228,0,Lang_Order*Lang__B5))</f>
        <v>Security per Mobile Team per Day</v>
      </c>
      <c r="E228" s="26"/>
      <c r="F228" s="26"/>
      <c r="G228" s="26"/>
      <c r="H228" s="26"/>
      <c r="I228" s="26"/>
      <c r="J228" s="96" t="s">
        <v>1687</v>
      </c>
      <c r="K228" s="96" t="s">
        <v>1687</v>
      </c>
      <c r="L228" s="96" t="s">
        <v>1687</v>
      </c>
      <c r="M228" s="96" t="s">
        <v>1687</v>
      </c>
      <c r="N228" s="96" t="s">
        <v>1687</v>
      </c>
      <c r="O228" s="96" t="s">
        <v>1687</v>
      </c>
      <c r="P228" s="83">
        <f>SUM(J228:O228)</f>
        <v>0</v>
      </c>
      <c r="Q228" s="26"/>
      <c r="R228" s="12" t="str">
        <f t="shared" ca="1" si="460"/>
        <v>Zero (this is a fixed site)</v>
      </c>
      <c r="S228" s="2"/>
      <c r="T228" s="241"/>
      <c r="U228" s="624"/>
      <c r="V228" s="260" t="str">
        <f ca="1">IF(OFFSET(AU228,0,Lang_Order*Lang__B5)="","",OFFSET(AU228,0,Lang_Order*Lang__B5))</f>
        <v>Security per Mobile Team per Day</v>
      </c>
      <c r="W228" s="96" t="s">
        <v>1687</v>
      </c>
      <c r="X228" s="96" t="s">
        <v>1687</v>
      </c>
      <c r="Y228" s="96" t="s">
        <v>1687</v>
      </c>
      <c r="Z228" s="96" t="s">
        <v>1687</v>
      </c>
      <c r="AA228" s="96" t="s">
        <v>1687</v>
      </c>
      <c r="AB228" s="96" t="s">
        <v>1687</v>
      </c>
      <c r="AC228" s="83">
        <f>SUM(W228:AB228)</f>
        <v>0</v>
      </c>
      <c r="AE228" s="2"/>
      <c r="AF228" s="241"/>
      <c r="AG228" s="624"/>
      <c r="AH228" s="260" t="str">
        <f ca="1">IF(OFFSET(AU228,0,Lang_Order*Lang__B5)="","",OFFSET(AU228,0,Lang_Order*Lang__B5))</f>
        <v>Security per Mobile Team per Day</v>
      </c>
      <c r="AI228" s="96" t="s">
        <v>1687</v>
      </c>
      <c r="AJ228" s="96" t="s">
        <v>1687</v>
      </c>
      <c r="AK228" s="96" t="s">
        <v>1687</v>
      </c>
      <c r="AL228" s="96" t="s">
        <v>1687</v>
      </c>
      <c r="AM228" s="96" t="s">
        <v>1687</v>
      </c>
      <c r="AN228" s="96" t="s">
        <v>1687</v>
      </c>
      <c r="AO228" s="83">
        <f>SUM(AI228:AN228)</f>
        <v>0</v>
      </c>
      <c r="AR228" s="403"/>
      <c r="AS228" s="403"/>
      <c r="AT228" s="403"/>
      <c r="AU228" s="403" t="s">
        <v>1584</v>
      </c>
      <c r="AV228" s="403"/>
      <c r="AW228" s="403"/>
      <c r="AX228" s="403"/>
      <c r="AY228" s="403"/>
      <c r="AZ228" s="403"/>
      <c r="BA228" s="403"/>
      <c r="BB228" s="403"/>
      <c r="BC228" s="403"/>
      <c r="BD228" s="403"/>
      <c r="BE228" s="403"/>
      <c r="BF228" s="403"/>
      <c r="BG228" s="403"/>
      <c r="BH228" s="403"/>
      <c r="BI228" s="403"/>
      <c r="BJ228" s="403" t="s">
        <v>1581</v>
      </c>
      <c r="BK228" s="403"/>
      <c r="BL228" s="403"/>
      <c r="BM228" s="403"/>
      <c r="BN228" s="403"/>
      <c r="BO228" s="403"/>
      <c r="BP228" s="403"/>
      <c r="BQ228" s="403"/>
      <c r="BR228" s="403"/>
      <c r="BS228" s="403"/>
      <c r="BT228" s="403"/>
      <c r="BU228" s="403"/>
      <c r="BV228" s="403"/>
      <c r="BW228" s="403"/>
      <c r="BX228" s="403"/>
      <c r="BY228" s="403"/>
      <c r="BZ228" s="403"/>
      <c r="CA228" s="403"/>
      <c r="CB228" s="403"/>
      <c r="CC228" s="403" t="s">
        <v>12067</v>
      </c>
      <c r="CD228" s="403"/>
      <c r="CE228" s="403"/>
      <c r="CF228" s="403"/>
      <c r="CG228" s="403"/>
      <c r="CH228" s="403"/>
      <c r="CI228" s="403"/>
      <c r="CJ228" s="403"/>
      <c r="CK228" s="403"/>
      <c r="CL228" s="403"/>
      <c r="CM228" s="403"/>
      <c r="CN228" s="403"/>
      <c r="CO228" s="403"/>
      <c r="CP228" s="403"/>
      <c r="CQ228" s="403"/>
      <c r="CR228" s="403" t="s">
        <v>12038</v>
      </c>
      <c r="CS228" s="403"/>
      <c r="CT228" s="403"/>
      <c r="CU228" s="403"/>
      <c r="CV228" s="403"/>
      <c r="CW228" s="403"/>
      <c r="CX228" s="403"/>
      <c r="CY228" s="403"/>
      <c r="CZ228" s="403"/>
      <c r="DA228" s="403"/>
      <c r="DB228" s="403"/>
      <c r="DC228" s="403"/>
      <c r="DD228" s="403"/>
      <c r="DE228" s="403"/>
      <c r="DF228" s="403"/>
      <c r="DG228" s="403"/>
      <c r="DH228" s="403"/>
      <c r="DI228" s="403"/>
      <c r="DJ228" s="403"/>
      <c r="DK228" s="403" t="s">
        <v>12068</v>
      </c>
      <c r="DL228" s="403"/>
      <c r="DM228" s="403"/>
      <c r="DN228" s="403"/>
      <c r="DO228" s="403"/>
      <c r="DP228" s="403"/>
      <c r="DQ228" s="403"/>
      <c r="DR228" s="403"/>
      <c r="DS228" s="403"/>
      <c r="DT228" s="403"/>
      <c r="DU228" s="403"/>
      <c r="DV228" s="403"/>
      <c r="DW228" s="403"/>
      <c r="DX228" s="403"/>
      <c r="DY228" s="403"/>
      <c r="DZ228" s="403" t="s">
        <v>12040</v>
      </c>
      <c r="EA228" s="403"/>
      <c r="EB228" s="403"/>
      <c r="EC228" s="403"/>
      <c r="ED228" s="403"/>
      <c r="EE228" s="403"/>
      <c r="EF228" s="403"/>
      <c r="EG228" s="403"/>
      <c r="EH228" s="403"/>
      <c r="EI228" s="403"/>
      <c r="EJ228" s="403"/>
      <c r="EK228" s="403"/>
      <c r="EL228" s="403"/>
      <c r="EM228" s="403"/>
      <c r="EN228" s="403"/>
      <c r="EO228" s="403"/>
      <c r="EP228" s="403"/>
      <c r="EQ228" s="403"/>
      <c r="ER228" s="403"/>
      <c r="ES228" s="403" t="s">
        <v>12069</v>
      </c>
      <c r="ET228" s="403"/>
      <c r="EU228" s="403"/>
      <c r="EV228" s="403"/>
      <c r="EW228" s="403"/>
      <c r="EX228" s="403"/>
      <c r="EY228" s="403"/>
      <c r="EZ228" s="403"/>
      <c r="FA228" s="403"/>
      <c r="FB228" s="403"/>
      <c r="FC228" s="403"/>
      <c r="FD228" s="403"/>
      <c r="FE228" s="403"/>
      <c r="FF228" s="403"/>
      <c r="FG228" s="403"/>
      <c r="FH228" s="403" t="s">
        <v>12042</v>
      </c>
      <c r="FI228" s="403"/>
      <c r="FJ228" s="403"/>
      <c r="FK228" s="403"/>
      <c r="FL228" s="403"/>
      <c r="FM228" s="403"/>
      <c r="FN228" s="403"/>
      <c r="FO228" s="403"/>
      <c r="FP228" s="403"/>
      <c r="FQ228" s="403"/>
      <c r="FR228" s="403"/>
      <c r="FS228" s="403"/>
      <c r="FT228" s="403"/>
      <c r="FU228" s="403"/>
      <c r="FV228" s="403"/>
      <c r="FW228" s="403"/>
      <c r="FX228" s="403"/>
      <c r="FY228" s="403"/>
      <c r="FZ228" s="403"/>
      <c r="GA228" s="403" t="s">
        <v>8560</v>
      </c>
      <c r="GB228" s="403"/>
      <c r="GC228" s="403"/>
      <c r="GD228" s="403"/>
      <c r="GE228" s="403"/>
      <c r="GF228" s="403"/>
      <c r="GG228" s="403"/>
      <c r="GH228" s="403"/>
      <c r="GI228" s="403"/>
      <c r="GJ228" s="403"/>
      <c r="GK228" s="403"/>
      <c r="GL228" s="403"/>
      <c r="GM228" s="403"/>
      <c r="GN228" s="403"/>
      <c r="GO228" s="403"/>
      <c r="GP228" s="403" t="s">
        <v>12044</v>
      </c>
      <c r="GQ228" s="403"/>
      <c r="GR228" s="403"/>
      <c r="GS228" s="403"/>
      <c r="GT228" s="403"/>
      <c r="GU228" s="403"/>
      <c r="GV228" s="403"/>
      <c r="GW228" s="403"/>
      <c r="GX228" s="403"/>
      <c r="GY228" s="403"/>
      <c r="GZ228" s="403"/>
      <c r="HA228" s="403"/>
      <c r="HB228" s="403"/>
      <c r="HC228" s="403"/>
      <c r="HD228" s="403"/>
      <c r="HE228" s="403"/>
      <c r="HF228" s="403"/>
      <c r="HG228" s="403"/>
      <c r="HH228" s="403"/>
      <c r="HI228" s="403" t="s">
        <v>12070</v>
      </c>
      <c r="HJ228" s="403"/>
      <c r="HK228" s="403"/>
      <c r="HL228" s="403"/>
      <c r="HM228" s="403"/>
      <c r="HN228" s="403"/>
      <c r="HO228" s="403"/>
      <c r="HP228" s="403"/>
      <c r="HQ228" s="403"/>
      <c r="HR228" s="403"/>
      <c r="HS228" s="403"/>
      <c r="HT228" s="403"/>
      <c r="HU228" s="403"/>
      <c r="HV228" s="403"/>
      <c r="HW228" s="403"/>
      <c r="HX228" s="403" t="s">
        <v>12046</v>
      </c>
      <c r="HY228" s="403"/>
      <c r="HZ228" s="403"/>
      <c r="IA228" s="403"/>
      <c r="IB228" s="403"/>
      <c r="IC228" s="403"/>
      <c r="ID228" s="403"/>
      <c r="IE228" s="403"/>
      <c r="IF228" s="403"/>
      <c r="IG228" s="403"/>
      <c r="IH228" s="403"/>
      <c r="II228" s="403"/>
      <c r="IJ228" s="403"/>
      <c r="IK228" s="403"/>
      <c r="IL228" s="403"/>
      <c r="IM228" s="403"/>
      <c r="IN228" s="403"/>
      <c r="IO228" s="403"/>
      <c r="IP228" s="403"/>
      <c r="IQ228" s="403" t="s">
        <v>12071</v>
      </c>
      <c r="IR228" s="403"/>
      <c r="IS228" s="403"/>
      <c r="IT228" s="403"/>
      <c r="IU228" s="403"/>
      <c r="IV228" s="403"/>
      <c r="IW228" s="403"/>
      <c r="IX228" s="403"/>
      <c r="IY228" s="403"/>
      <c r="IZ228" s="403"/>
      <c r="JA228" s="403"/>
      <c r="JB228" s="403"/>
      <c r="JC228" s="403"/>
      <c r="JD228" s="403"/>
      <c r="JE228" s="403"/>
      <c r="JF228" s="403" t="s">
        <v>12048</v>
      </c>
      <c r="JG228" s="403"/>
      <c r="JH228" s="403"/>
      <c r="JI228" s="403"/>
      <c r="JJ228" s="403"/>
      <c r="JK228" s="403"/>
      <c r="JL228" s="403"/>
      <c r="JM228" s="403"/>
      <c r="JN228" s="403"/>
      <c r="JO228" s="403"/>
      <c r="JP228" s="403"/>
      <c r="JQ228" s="403"/>
      <c r="JR228" s="403"/>
      <c r="JS228" s="403"/>
      <c r="JT228" s="403"/>
    </row>
    <row r="229" spans="1:280" s="15" customFormat="1" ht="12.75" x14ac:dyDescent="0.2">
      <c r="A229" s="9"/>
      <c r="B229" s="624"/>
      <c r="C229" s="23"/>
      <c r="E229" s="26"/>
      <c r="F229" s="26"/>
      <c r="G229" s="26"/>
      <c r="H229" s="26"/>
      <c r="I229" s="26"/>
      <c r="J229" s="37"/>
      <c r="K229" s="37"/>
      <c r="L229" s="37"/>
      <c r="M229" s="37"/>
      <c r="N229" s="37"/>
      <c r="O229" s="37"/>
      <c r="P229" s="26"/>
      <c r="Q229" s="26"/>
      <c r="R229" s="12" t="str">
        <f t="shared" ca="1" si="460"/>
        <v/>
      </c>
      <c r="S229" s="2"/>
      <c r="T229" s="241"/>
      <c r="U229" s="624"/>
      <c r="V229" s="72"/>
      <c r="W229" s="37"/>
      <c r="X229" s="37"/>
      <c r="Y229" s="37"/>
      <c r="Z229" s="37"/>
      <c r="AA229" s="37"/>
      <c r="AB229" s="37"/>
      <c r="AC229" s="26"/>
      <c r="AE229" s="2"/>
      <c r="AF229" s="241"/>
      <c r="AG229" s="624"/>
      <c r="AH229" s="72"/>
      <c r="AI229" s="37"/>
      <c r="AJ229" s="37"/>
      <c r="AK229" s="37"/>
      <c r="AL229" s="37"/>
      <c r="AM229" s="37"/>
      <c r="AN229" s="37"/>
      <c r="AO229" s="26"/>
      <c r="AR229" s="403"/>
      <c r="AS229" s="403"/>
      <c r="AT229" s="403"/>
      <c r="AU229" s="403"/>
      <c r="AV229" s="403"/>
      <c r="AW229" s="403"/>
      <c r="AX229" s="403"/>
      <c r="AY229" s="403"/>
      <c r="AZ229" s="403"/>
      <c r="BA229" s="403"/>
      <c r="BB229" s="403"/>
      <c r="BC229" s="403"/>
      <c r="BD229" s="403"/>
      <c r="BE229" s="403"/>
      <c r="BF229" s="403"/>
      <c r="BG229" s="403"/>
      <c r="BH229" s="403"/>
      <c r="BI229" s="403"/>
      <c r="BJ229" s="403"/>
      <c r="BK229" s="403"/>
      <c r="BL229" s="403"/>
      <c r="BM229" s="403"/>
      <c r="BN229" s="403"/>
      <c r="BO229" s="403"/>
      <c r="BP229" s="403"/>
      <c r="BQ229" s="403"/>
      <c r="BR229" s="403"/>
      <c r="BS229" s="403"/>
      <c r="BT229" s="403"/>
      <c r="BU229" s="403"/>
      <c r="BV229" s="403"/>
      <c r="BW229" s="403"/>
      <c r="BX229" s="403"/>
      <c r="BY229" s="403"/>
      <c r="BZ229" s="403"/>
      <c r="CA229" s="403"/>
      <c r="CB229" s="403"/>
      <c r="CC229" s="403"/>
      <c r="CD229" s="403"/>
      <c r="CE229" s="403"/>
      <c r="CF229" s="403"/>
      <c r="CG229" s="403"/>
      <c r="CH229" s="403"/>
      <c r="CI229" s="403"/>
      <c r="CJ229" s="403"/>
      <c r="CK229" s="403"/>
      <c r="CL229" s="403"/>
      <c r="CM229" s="403"/>
      <c r="CN229" s="403"/>
      <c r="CO229" s="403"/>
      <c r="CP229" s="403"/>
      <c r="CQ229" s="403"/>
      <c r="CR229" s="403"/>
      <c r="CS229" s="403"/>
      <c r="CT229" s="403"/>
      <c r="CU229" s="403"/>
      <c r="CV229" s="403"/>
      <c r="CW229" s="403"/>
      <c r="CX229" s="403"/>
      <c r="CY229" s="403"/>
      <c r="CZ229" s="403"/>
      <c r="DA229" s="403"/>
      <c r="DB229" s="403"/>
      <c r="DC229" s="403"/>
      <c r="DD229" s="403"/>
      <c r="DE229" s="403"/>
      <c r="DF229" s="403"/>
      <c r="DG229" s="403"/>
      <c r="DH229" s="403"/>
      <c r="DI229" s="403"/>
      <c r="DJ229" s="403"/>
      <c r="DK229" s="403"/>
      <c r="DL229" s="403"/>
      <c r="DM229" s="403"/>
      <c r="DN229" s="403"/>
      <c r="DO229" s="403"/>
      <c r="DP229" s="403"/>
      <c r="DQ229" s="403"/>
      <c r="DR229" s="403"/>
      <c r="DS229" s="403"/>
      <c r="DT229" s="403"/>
      <c r="DU229" s="403"/>
      <c r="DV229" s="403"/>
      <c r="DW229" s="403"/>
      <c r="DX229" s="403"/>
      <c r="DY229" s="403"/>
      <c r="DZ229" s="403"/>
      <c r="EA229" s="403"/>
      <c r="EB229" s="403"/>
      <c r="EC229" s="403"/>
      <c r="ED229" s="403"/>
      <c r="EE229" s="403"/>
      <c r="EF229" s="403"/>
      <c r="EG229" s="403"/>
      <c r="EH229" s="403"/>
      <c r="EI229" s="403"/>
      <c r="EJ229" s="403"/>
      <c r="EK229" s="403"/>
      <c r="EL229" s="403"/>
      <c r="EM229" s="403"/>
      <c r="EN229" s="403"/>
      <c r="EO229" s="403"/>
      <c r="EP229" s="403"/>
      <c r="EQ229" s="403"/>
      <c r="ER229" s="403"/>
      <c r="ES229" s="403"/>
      <c r="ET229" s="403"/>
      <c r="EU229" s="403"/>
      <c r="EV229" s="403"/>
      <c r="EW229" s="403"/>
      <c r="EX229" s="403"/>
      <c r="EY229" s="403"/>
      <c r="EZ229" s="403"/>
      <c r="FA229" s="403"/>
      <c r="FB229" s="403"/>
      <c r="FC229" s="403"/>
      <c r="FD229" s="403"/>
      <c r="FE229" s="403"/>
      <c r="FF229" s="403"/>
      <c r="FG229" s="403"/>
      <c r="FH229" s="403"/>
      <c r="FI229" s="403"/>
      <c r="FJ229" s="403"/>
      <c r="FK229" s="403"/>
      <c r="FL229" s="403"/>
      <c r="FM229" s="403"/>
      <c r="FN229" s="403"/>
      <c r="FO229" s="403"/>
      <c r="FP229" s="403"/>
      <c r="FQ229" s="403"/>
      <c r="FR229" s="403"/>
      <c r="FS229" s="403"/>
      <c r="FT229" s="403"/>
      <c r="FU229" s="403"/>
      <c r="FV229" s="403"/>
      <c r="FW229" s="403"/>
      <c r="FX229" s="403"/>
      <c r="FY229" s="403"/>
      <c r="FZ229" s="403"/>
      <c r="GA229" s="403"/>
      <c r="GB229" s="403"/>
      <c r="GC229" s="403"/>
      <c r="GD229" s="403"/>
      <c r="GE229" s="403"/>
      <c r="GF229" s="403"/>
      <c r="GG229" s="403"/>
      <c r="GH229" s="403"/>
      <c r="GI229" s="403"/>
      <c r="GJ229" s="403"/>
      <c r="GK229" s="403"/>
      <c r="GL229" s="403"/>
      <c r="GM229" s="403"/>
      <c r="GN229" s="403"/>
      <c r="GO229" s="403"/>
      <c r="GP229" s="403"/>
      <c r="GQ229" s="403"/>
      <c r="GR229" s="403"/>
      <c r="GS229" s="403"/>
      <c r="GT229" s="403"/>
      <c r="GU229" s="403"/>
      <c r="GV229" s="403"/>
      <c r="GW229" s="403"/>
      <c r="GX229" s="403"/>
      <c r="GY229" s="403"/>
      <c r="GZ229" s="403"/>
      <c r="HA229" s="403"/>
      <c r="HB229" s="403"/>
      <c r="HC229" s="403"/>
      <c r="HD229" s="403"/>
      <c r="HE229" s="403"/>
      <c r="HF229" s="403"/>
      <c r="HG229" s="403"/>
      <c r="HH229" s="403"/>
      <c r="HI229" s="403"/>
      <c r="HJ229" s="403"/>
      <c r="HK229" s="403"/>
      <c r="HL229" s="403"/>
      <c r="HM229" s="403"/>
      <c r="HN229" s="403"/>
      <c r="HO229" s="403"/>
      <c r="HP229" s="403"/>
      <c r="HQ229" s="403"/>
      <c r="HR229" s="403"/>
      <c r="HS229" s="403"/>
      <c r="HT229" s="403"/>
      <c r="HU229" s="403"/>
      <c r="HV229" s="403"/>
      <c r="HW229" s="403"/>
      <c r="HX229" s="403"/>
      <c r="HY229" s="403"/>
      <c r="HZ229" s="403"/>
      <c r="IA229" s="403"/>
      <c r="IB229" s="403"/>
      <c r="IC229" s="403"/>
      <c r="ID229" s="403"/>
      <c r="IE229" s="403"/>
      <c r="IF229" s="403"/>
      <c r="IG229" s="403"/>
      <c r="IH229" s="403"/>
      <c r="II229" s="403"/>
      <c r="IJ229" s="403"/>
      <c r="IK229" s="403"/>
      <c r="IL229" s="403"/>
      <c r="IM229" s="403"/>
      <c r="IN229" s="403"/>
      <c r="IO229" s="403"/>
      <c r="IP229" s="403"/>
      <c r="IQ229" s="403"/>
      <c r="IR229" s="403"/>
      <c r="IS229" s="403"/>
      <c r="IT229" s="403"/>
      <c r="IU229" s="403"/>
      <c r="IV229" s="403"/>
      <c r="IW229" s="403"/>
      <c r="IX229" s="403"/>
      <c r="IY229" s="403"/>
      <c r="IZ229" s="403"/>
      <c r="JA229" s="403"/>
      <c r="JB229" s="403"/>
      <c r="JC229" s="403"/>
      <c r="JD229" s="403"/>
      <c r="JE229" s="403"/>
      <c r="JF229" s="403"/>
      <c r="JG229" s="403"/>
      <c r="JH229" s="403"/>
      <c r="JI229" s="403"/>
      <c r="JJ229" s="403"/>
      <c r="JK229" s="403"/>
      <c r="JL229" s="403"/>
      <c r="JM229" s="403"/>
      <c r="JN229" s="403"/>
      <c r="JO229" s="403"/>
      <c r="JP229" s="403"/>
      <c r="JQ229" s="403"/>
      <c r="JR229" s="403"/>
      <c r="JS229" s="403"/>
      <c r="JT229" s="403"/>
    </row>
    <row r="230" spans="1:280" s="15" customFormat="1" ht="12.75" x14ac:dyDescent="0.2">
      <c r="A230" s="9"/>
      <c r="B230" s="624" t="str">
        <f ca="1">IF(OFFSET(AT230,0,Lang_Order*Lang__B5)="","",OFFSET(AT230,0,Lang_Order*Lang__B5))</f>
        <v>Local Data Management and Monitoring, Pharmacovigilance</v>
      </c>
      <c r="C230" s="23"/>
      <c r="E230" s="26"/>
      <c r="F230" s="26"/>
      <c r="G230" s="26"/>
      <c r="H230" s="26"/>
      <c r="I230" s="26"/>
      <c r="J230" s="37"/>
      <c r="K230" s="37"/>
      <c r="L230" s="37"/>
      <c r="M230" s="37"/>
      <c r="N230" s="37"/>
      <c r="O230" s="37"/>
      <c r="P230" s="26"/>
      <c r="Q230" s="26"/>
      <c r="R230" s="12" t="str">
        <f t="shared" ca="1" si="460"/>
        <v/>
      </c>
      <c r="S230" s="2"/>
      <c r="T230" s="241"/>
      <c r="U230" s="624" t="str">
        <f ca="1">IF(OFFSET(AT230,0,Lang_Order*Lang__B5)="","",OFFSET(AT230,0,Lang_Order*Lang__B5))</f>
        <v>Local Data Management and Monitoring, Pharmacovigilance</v>
      </c>
      <c r="V230" s="72"/>
      <c r="W230" s="37"/>
      <c r="X230" s="37"/>
      <c r="Y230" s="37"/>
      <c r="Z230" s="37"/>
      <c r="AA230" s="37"/>
      <c r="AB230" s="37"/>
      <c r="AC230" s="26"/>
      <c r="AE230" s="2"/>
      <c r="AF230" s="241"/>
      <c r="AG230" s="624" t="str">
        <f ca="1">IF(OFFSET(AT230,0,Lang_Order*Lang__B5)="","",OFFSET(AT230,0,Lang_Order*Lang__B5))</f>
        <v>Local Data Management and Monitoring, Pharmacovigilance</v>
      </c>
      <c r="AH230" s="72"/>
      <c r="AI230" s="37"/>
      <c r="AJ230" s="37"/>
      <c r="AK230" s="37"/>
      <c r="AL230" s="37"/>
      <c r="AM230" s="37"/>
      <c r="AN230" s="37"/>
      <c r="AO230" s="26"/>
      <c r="AR230" s="403"/>
      <c r="AS230" s="403"/>
      <c r="AT230" s="403" t="s">
        <v>1579</v>
      </c>
      <c r="AU230" s="403"/>
      <c r="AV230" s="403"/>
      <c r="AW230" s="403"/>
      <c r="AX230" s="403"/>
      <c r="AY230" s="403"/>
      <c r="AZ230" s="403"/>
      <c r="BA230" s="403"/>
      <c r="BB230" s="403"/>
      <c r="BC230" s="403"/>
      <c r="BD230" s="403"/>
      <c r="BE230" s="403"/>
      <c r="BF230" s="403"/>
      <c r="BG230" s="403"/>
      <c r="BH230" s="403"/>
      <c r="BI230" s="403"/>
      <c r="BJ230" s="403"/>
      <c r="BK230" s="403"/>
      <c r="BL230" s="403"/>
      <c r="BM230" s="403"/>
      <c r="BN230" s="403"/>
      <c r="BO230" s="403"/>
      <c r="BP230" s="403"/>
      <c r="BQ230" s="403"/>
      <c r="BR230" s="403"/>
      <c r="BS230" s="403"/>
      <c r="BT230" s="403"/>
      <c r="BU230" s="403"/>
      <c r="BV230" s="403"/>
      <c r="BW230" s="403"/>
      <c r="BX230" s="403"/>
      <c r="BY230" s="403"/>
      <c r="BZ230" s="403"/>
      <c r="CA230" s="403"/>
      <c r="CB230" s="403" t="s">
        <v>12072</v>
      </c>
      <c r="CC230" s="403"/>
      <c r="CD230" s="403"/>
      <c r="CE230" s="403"/>
      <c r="CF230" s="403"/>
      <c r="CG230" s="403"/>
      <c r="CH230" s="403"/>
      <c r="CI230" s="403"/>
      <c r="CJ230" s="403"/>
      <c r="CK230" s="403"/>
      <c r="CL230" s="403"/>
      <c r="CM230" s="403"/>
      <c r="CN230" s="403"/>
      <c r="CO230" s="403"/>
      <c r="CP230" s="403"/>
      <c r="CQ230" s="403"/>
      <c r="CR230" s="403"/>
      <c r="CS230" s="403"/>
      <c r="CT230" s="403"/>
      <c r="CU230" s="403"/>
      <c r="CV230" s="403"/>
      <c r="CW230" s="403"/>
      <c r="CX230" s="403"/>
      <c r="CY230" s="403"/>
      <c r="CZ230" s="403"/>
      <c r="DA230" s="403"/>
      <c r="DB230" s="403"/>
      <c r="DC230" s="403"/>
      <c r="DD230" s="403"/>
      <c r="DE230" s="403"/>
      <c r="DF230" s="403"/>
      <c r="DG230" s="403"/>
      <c r="DH230" s="403"/>
      <c r="DI230" s="403"/>
      <c r="DJ230" s="403" t="s">
        <v>12073</v>
      </c>
      <c r="DK230" s="403"/>
      <c r="DL230" s="403"/>
      <c r="DM230" s="403"/>
      <c r="DN230" s="403"/>
      <c r="DO230" s="403"/>
      <c r="DP230" s="403"/>
      <c r="DQ230" s="403"/>
      <c r="DR230" s="403"/>
      <c r="DS230" s="403"/>
      <c r="DT230" s="403"/>
      <c r="DU230" s="403"/>
      <c r="DV230" s="403"/>
      <c r="DW230" s="403"/>
      <c r="DX230" s="403"/>
      <c r="DY230" s="403"/>
      <c r="DZ230" s="403"/>
      <c r="EA230" s="403"/>
      <c r="EB230" s="403"/>
      <c r="EC230" s="403"/>
      <c r="ED230" s="403"/>
      <c r="EE230" s="403"/>
      <c r="EF230" s="403"/>
      <c r="EG230" s="403"/>
      <c r="EH230" s="403"/>
      <c r="EI230" s="403"/>
      <c r="EJ230" s="403"/>
      <c r="EK230" s="403"/>
      <c r="EL230" s="403"/>
      <c r="EM230" s="403"/>
      <c r="EN230" s="403"/>
      <c r="EO230" s="403"/>
      <c r="EP230" s="403"/>
      <c r="EQ230" s="403"/>
      <c r="ER230" s="403" t="s">
        <v>12074</v>
      </c>
      <c r="ES230" s="403"/>
      <c r="ET230" s="403"/>
      <c r="EU230" s="403"/>
      <c r="EV230" s="403"/>
      <c r="EW230" s="403"/>
      <c r="EX230" s="403"/>
      <c r="EY230" s="403"/>
      <c r="EZ230" s="403"/>
      <c r="FA230" s="403"/>
      <c r="FB230" s="403"/>
      <c r="FC230" s="403"/>
      <c r="FD230" s="403"/>
      <c r="FE230" s="403"/>
      <c r="FF230" s="403"/>
      <c r="FG230" s="403"/>
      <c r="FH230" s="403"/>
      <c r="FI230" s="403"/>
      <c r="FJ230" s="403"/>
      <c r="FK230" s="403"/>
      <c r="FL230" s="403"/>
      <c r="FM230" s="403"/>
      <c r="FN230" s="403"/>
      <c r="FO230" s="403"/>
      <c r="FP230" s="403"/>
      <c r="FQ230" s="403"/>
      <c r="FR230" s="403"/>
      <c r="FS230" s="403"/>
      <c r="FT230" s="403"/>
      <c r="FU230" s="403"/>
      <c r="FV230" s="403"/>
      <c r="FW230" s="403"/>
      <c r="FX230" s="403"/>
      <c r="FY230" s="403"/>
      <c r="FZ230" s="403" t="s">
        <v>12075</v>
      </c>
      <c r="GA230" s="403"/>
      <c r="GB230" s="403"/>
      <c r="GC230" s="403"/>
      <c r="GD230" s="403"/>
      <c r="GE230" s="403"/>
      <c r="GF230" s="403"/>
      <c r="GG230" s="403"/>
      <c r="GH230" s="403"/>
      <c r="GI230" s="403"/>
      <c r="GJ230" s="403"/>
      <c r="GK230" s="403"/>
      <c r="GL230" s="403"/>
      <c r="GM230" s="403"/>
      <c r="GN230" s="403"/>
      <c r="GO230" s="403"/>
      <c r="GP230" s="403"/>
      <c r="GQ230" s="403"/>
      <c r="GR230" s="403"/>
      <c r="GS230" s="403"/>
      <c r="GT230" s="403"/>
      <c r="GU230" s="403"/>
      <c r="GV230" s="403"/>
      <c r="GW230" s="403"/>
      <c r="GX230" s="403"/>
      <c r="GY230" s="403"/>
      <c r="GZ230" s="403"/>
      <c r="HA230" s="403"/>
      <c r="HB230" s="403"/>
      <c r="HC230" s="403"/>
      <c r="HD230" s="403"/>
      <c r="HE230" s="403"/>
      <c r="HF230" s="403"/>
      <c r="HG230" s="403"/>
      <c r="HH230" s="403" t="s">
        <v>12076</v>
      </c>
      <c r="HI230" s="403"/>
      <c r="HJ230" s="403"/>
      <c r="HK230" s="403"/>
      <c r="HL230" s="403"/>
      <c r="HM230" s="403"/>
      <c r="HN230" s="403"/>
      <c r="HO230" s="403"/>
      <c r="HP230" s="403"/>
      <c r="HQ230" s="403"/>
      <c r="HR230" s="403"/>
      <c r="HS230" s="403"/>
      <c r="HT230" s="403"/>
      <c r="HU230" s="403"/>
      <c r="HV230" s="403"/>
      <c r="HW230" s="403"/>
      <c r="HX230" s="403"/>
      <c r="HY230" s="403"/>
      <c r="HZ230" s="403"/>
      <c r="IA230" s="403"/>
      <c r="IB230" s="403"/>
      <c r="IC230" s="403"/>
      <c r="ID230" s="403"/>
      <c r="IE230" s="403"/>
      <c r="IF230" s="403"/>
      <c r="IG230" s="403"/>
      <c r="IH230" s="403"/>
      <c r="II230" s="403"/>
      <c r="IJ230" s="403"/>
      <c r="IK230" s="403"/>
      <c r="IL230" s="403"/>
      <c r="IM230" s="403"/>
      <c r="IN230" s="403"/>
      <c r="IO230" s="403"/>
      <c r="IP230" s="403" t="s">
        <v>12077</v>
      </c>
      <c r="IQ230" s="403"/>
      <c r="IR230" s="403"/>
      <c r="IS230" s="403"/>
      <c r="IT230" s="403"/>
      <c r="IU230" s="403"/>
      <c r="IV230" s="403"/>
      <c r="IW230" s="403"/>
      <c r="IX230" s="403"/>
      <c r="IY230" s="403"/>
      <c r="IZ230" s="403"/>
      <c r="JA230" s="403"/>
      <c r="JB230" s="403"/>
      <c r="JC230" s="403"/>
      <c r="JD230" s="403"/>
      <c r="JE230" s="403"/>
      <c r="JF230" s="403"/>
      <c r="JG230" s="403"/>
      <c r="JH230" s="403"/>
      <c r="JI230" s="403"/>
      <c r="JJ230" s="403"/>
      <c r="JK230" s="403"/>
      <c r="JL230" s="403"/>
      <c r="JM230" s="403"/>
      <c r="JN230" s="403"/>
      <c r="JO230" s="403"/>
      <c r="JP230" s="403"/>
      <c r="JQ230" s="403"/>
      <c r="JR230" s="403"/>
      <c r="JS230" s="403"/>
      <c r="JT230" s="403"/>
    </row>
    <row r="231" spans="1:280" s="15" customFormat="1" ht="12.75" x14ac:dyDescent="0.2">
      <c r="A231" s="9"/>
      <c r="B231" s="624"/>
      <c r="C231" s="23" t="str">
        <f ca="1">IF(OFFSET(AU231,0,Lang_Order*Lang__B5)="","",OFFSET(AU231,0,Lang_Order*Lang__B5))</f>
        <v>Per Team</v>
      </c>
      <c r="E231" s="26"/>
      <c r="F231" s="26"/>
      <c r="G231" s="26"/>
      <c r="H231" s="26"/>
      <c r="I231" s="26"/>
      <c r="J231" s="37" t="e">
        <f>RBF_DM3*Q200*AUCs_Data_perSite</f>
        <v>#N/A</v>
      </c>
      <c r="K231" s="37"/>
      <c r="L231" s="37"/>
      <c r="M231" s="37"/>
      <c r="N231" s="37"/>
      <c r="O231" s="37"/>
      <c r="P231" s="83" t="e">
        <f>SUM(J231:O231)</f>
        <v>#N/A</v>
      </c>
      <c r="Q231" s="26"/>
      <c r="R231" s="12" t="str">
        <f t="shared" ca="1" si="460"/>
        <v/>
      </c>
      <c r="S231" s="2"/>
      <c r="T231" s="241"/>
      <c r="U231" s="624"/>
      <c r="V231" s="72" t="str">
        <f ca="1">IF(OFFSET(AU231,0,Lang_Order*Lang__B5)="","",OFFSET(AU231,0,Lang_Order*Lang__B5))</f>
        <v>Per Team</v>
      </c>
      <c r="W231" s="300" t="e">
        <f>RBF_DM3*AD200*AUCs_Data_perSite</f>
        <v>#N/A</v>
      </c>
      <c r="X231" s="300"/>
      <c r="Y231" s="300"/>
      <c r="Z231" s="300"/>
      <c r="AA231" s="300"/>
      <c r="AB231" s="300"/>
      <c r="AC231" s="83" t="e">
        <f>SUM(W231:AB231)</f>
        <v>#N/A</v>
      </c>
      <c r="AE231" s="2"/>
      <c r="AF231" s="241"/>
      <c r="AG231" s="624"/>
      <c r="AH231" s="72" t="str">
        <f ca="1">IF(OFFSET(AU231,0,Lang_Order*Lang__B5)="","",OFFSET(AU231,0,Lang_Order*Lang__B5))</f>
        <v>Per Team</v>
      </c>
      <c r="AI231" s="300" t="e">
        <f>RBF_DM3*AP200*AUCs_Data_perSite</f>
        <v>#N/A</v>
      </c>
      <c r="AJ231" s="300"/>
      <c r="AK231" s="300"/>
      <c r="AL231" s="300"/>
      <c r="AM231" s="300"/>
      <c r="AN231" s="300"/>
      <c r="AO231" s="83" t="e">
        <f>SUM(AI231:AN231)</f>
        <v>#N/A</v>
      </c>
      <c r="AR231" s="403"/>
      <c r="AS231" s="403"/>
      <c r="AT231" s="403"/>
      <c r="AU231" s="403" t="s">
        <v>3959</v>
      </c>
      <c r="AV231" s="403"/>
      <c r="AW231" s="403"/>
      <c r="AX231" s="403"/>
      <c r="AY231" s="403"/>
      <c r="AZ231" s="403"/>
      <c r="BA231" s="403"/>
      <c r="BB231" s="403"/>
      <c r="BC231" s="403"/>
      <c r="BD231" s="403"/>
      <c r="BE231" s="403"/>
      <c r="BF231" s="403"/>
      <c r="BG231" s="403"/>
      <c r="BH231" s="403"/>
      <c r="BI231" s="403"/>
      <c r="BJ231" s="403"/>
      <c r="BK231" s="403"/>
      <c r="BL231" s="403"/>
      <c r="BM231" s="403"/>
      <c r="BN231" s="403"/>
      <c r="BO231" s="403"/>
      <c r="BP231" s="403"/>
      <c r="BQ231" s="403"/>
      <c r="BR231" s="403"/>
      <c r="BS231" s="403"/>
      <c r="BT231" s="403"/>
      <c r="BU231" s="403"/>
      <c r="BV231" s="403"/>
      <c r="BW231" s="403"/>
      <c r="BX231" s="403"/>
      <c r="BY231" s="403"/>
      <c r="BZ231" s="403"/>
      <c r="CA231" s="403"/>
      <c r="CB231" s="403"/>
      <c r="CC231" s="403" t="s">
        <v>8920</v>
      </c>
      <c r="CD231" s="403"/>
      <c r="CE231" s="403"/>
      <c r="CF231" s="403"/>
      <c r="CG231" s="403"/>
      <c r="CH231" s="403"/>
      <c r="CI231" s="403"/>
      <c r="CJ231" s="403"/>
      <c r="CK231" s="403"/>
      <c r="CL231" s="403"/>
      <c r="CM231" s="403"/>
      <c r="CN231" s="403"/>
      <c r="CO231" s="403"/>
      <c r="CP231" s="403"/>
      <c r="CQ231" s="403"/>
      <c r="CR231" s="403"/>
      <c r="CS231" s="403"/>
      <c r="CT231" s="403"/>
      <c r="CU231" s="403"/>
      <c r="CV231" s="403"/>
      <c r="CW231" s="403"/>
      <c r="CX231" s="403"/>
      <c r="CY231" s="403"/>
      <c r="CZ231" s="403"/>
      <c r="DA231" s="403"/>
      <c r="DB231" s="403"/>
      <c r="DC231" s="403"/>
      <c r="DD231" s="403"/>
      <c r="DE231" s="403"/>
      <c r="DF231" s="403"/>
      <c r="DG231" s="403"/>
      <c r="DH231" s="403"/>
      <c r="DI231" s="403"/>
      <c r="DJ231" s="403"/>
      <c r="DK231" s="403" t="s">
        <v>8923</v>
      </c>
      <c r="DL231" s="403"/>
      <c r="DM231" s="403"/>
      <c r="DN231" s="403"/>
      <c r="DO231" s="403"/>
      <c r="DP231" s="403"/>
      <c r="DQ231" s="403"/>
      <c r="DR231" s="403"/>
      <c r="DS231" s="403"/>
      <c r="DT231" s="403"/>
      <c r="DU231" s="403"/>
      <c r="DV231" s="403"/>
      <c r="DW231" s="403"/>
      <c r="DX231" s="403"/>
      <c r="DY231" s="403"/>
      <c r="DZ231" s="403"/>
      <c r="EA231" s="403"/>
      <c r="EB231" s="403"/>
      <c r="EC231" s="403"/>
      <c r="ED231" s="403"/>
      <c r="EE231" s="403"/>
      <c r="EF231" s="403"/>
      <c r="EG231" s="403"/>
      <c r="EH231" s="403"/>
      <c r="EI231" s="403"/>
      <c r="EJ231" s="403"/>
      <c r="EK231" s="403"/>
      <c r="EL231" s="403"/>
      <c r="EM231" s="403"/>
      <c r="EN231" s="403"/>
      <c r="EO231" s="403"/>
      <c r="EP231" s="403"/>
      <c r="EQ231" s="403"/>
      <c r="ER231" s="403"/>
      <c r="ES231" s="403" t="s">
        <v>8926</v>
      </c>
      <c r="ET231" s="403"/>
      <c r="EU231" s="403"/>
      <c r="EV231" s="403"/>
      <c r="EW231" s="403"/>
      <c r="EX231" s="403"/>
      <c r="EY231" s="403"/>
      <c r="EZ231" s="403"/>
      <c r="FA231" s="403"/>
      <c r="FB231" s="403"/>
      <c r="FC231" s="403"/>
      <c r="FD231" s="403"/>
      <c r="FE231" s="403"/>
      <c r="FF231" s="403"/>
      <c r="FG231" s="403"/>
      <c r="FH231" s="403"/>
      <c r="FI231" s="403"/>
      <c r="FJ231" s="403"/>
      <c r="FK231" s="403"/>
      <c r="FL231" s="403"/>
      <c r="FM231" s="403"/>
      <c r="FN231" s="403"/>
      <c r="FO231" s="403"/>
      <c r="FP231" s="403"/>
      <c r="FQ231" s="403"/>
      <c r="FR231" s="403"/>
      <c r="FS231" s="403"/>
      <c r="FT231" s="403"/>
      <c r="FU231" s="403"/>
      <c r="FV231" s="403"/>
      <c r="FW231" s="403"/>
      <c r="FX231" s="403"/>
      <c r="FY231" s="403"/>
      <c r="FZ231" s="403"/>
      <c r="GA231" s="403" t="s">
        <v>8929</v>
      </c>
      <c r="GB231" s="403"/>
      <c r="GC231" s="403"/>
      <c r="GD231" s="403"/>
      <c r="GE231" s="403"/>
      <c r="GF231" s="403"/>
      <c r="GG231" s="403"/>
      <c r="GH231" s="403"/>
      <c r="GI231" s="403"/>
      <c r="GJ231" s="403"/>
      <c r="GK231" s="403"/>
      <c r="GL231" s="403"/>
      <c r="GM231" s="403"/>
      <c r="GN231" s="403"/>
      <c r="GO231" s="403"/>
      <c r="GP231" s="403"/>
      <c r="GQ231" s="403"/>
      <c r="GR231" s="403"/>
      <c r="GS231" s="403"/>
      <c r="GT231" s="403"/>
      <c r="GU231" s="403"/>
      <c r="GV231" s="403"/>
      <c r="GW231" s="403"/>
      <c r="GX231" s="403"/>
      <c r="GY231" s="403"/>
      <c r="GZ231" s="403"/>
      <c r="HA231" s="403"/>
      <c r="HB231" s="403"/>
      <c r="HC231" s="403"/>
      <c r="HD231" s="403"/>
      <c r="HE231" s="403"/>
      <c r="HF231" s="403"/>
      <c r="HG231" s="403"/>
      <c r="HH231" s="403"/>
      <c r="HI231" s="403" t="s">
        <v>8932</v>
      </c>
      <c r="HJ231" s="403"/>
      <c r="HK231" s="403"/>
      <c r="HL231" s="403"/>
      <c r="HM231" s="403"/>
      <c r="HN231" s="403"/>
      <c r="HO231" s="403"/>
      <c r="HP231" s="403"/>
      <c r="HQ231" s="403"/>
      <c r="HR231" s="403"/>
      <c r="HS231" s="403"/>
      <c r="HT231" s="403"/>
      <c r="HU231" s="403"/>
      <c r="HV231" s="403"/>
      <c r="HW231" s="403"/>
      <c r="HX231" s="403"/>
      <c r="HY231" s="403"/>
      <c r="HZ231" s="403"/>
      <c r="IA231" s="403"/>
      <c r="IB231" s="403"/>
      <c r="IC231" s="403"/>
      <c r="ID231" s="403"/>
      <c r="IE231" s="403"/>
      <c r="IF231" s="403"/>
      <c r="IG231" s="403"/>
      <c r="IH231" s="403"/>
      <c r="II231" s="403"/>
      <c r="IJ231" s="403"/>
      <c r="IK231" s="403"/>
      <c r="IL231" s="403"/>
      <c r="IM231" s="403"/>
      <c r="IN231" s="403"/>
      <c r="IO231" s="403"/>
      <c r="IP231" s="403"/>
      <c r="IQ231" s="403" t="s">
        <v>8935</v>
      </c>
      <c r="IR231" s="403"/>
      <c r="IS231" s="403"/>
      <c r="IT231" s="403"/>
      <c r="IU231" s="403"/>
      <c r="IV231" s="403"/>
      <c r="IW231" s="403"/>
      <c r="IX231" s="403"/>
      <c r="IY231" s="403"/>
      <c r="IZ231" s="403"/>
      <c r="JA231" s="403"/>
      <c r="JB231" s="403"/>
      <c r="JC231" s="403"/>
      <c r="JD231" s="403"/>
      <c r="JE231" s="403"/>
      <c r="JF231" s="403"/>
      <c r="JG231" s="403"/>
      <c r="JH231" s="403"/>
      <c r="JI231" s="403"/>
      <c r="JJ231" s="403"/>
      <c r="JK231" s="403"/>
      <c r="JL231" s="403"/>
      <c r="JM231" s="403"/>
      <c r="JN231" s="403"/>
      <c r="JO231" s="403"/>
      <c r="JP231" s="403"/>
      <c r="JQ231" s="403"/>
      <c r="JR231" s="403"/>
      <c r="JS231" s="403"/>
      <c r="JT231" s="403"/>
    </row>
    <row r="232" spans="1:280" s="15" customFormat="1" ht="12.75" x14ac:dyDescent="0.2">
      <c r="A232" s="9"/>
      <c r="B232" s="624"/>
      <c r="C232" s="23" t="str">
        <f ca="1">IF(OFFSET(AU232,0,Lang_Order*Lang__B5)="","",OFFSET(AU232,0,Lang_Order*Lang__B5))</f>
        <v>Per Site per Day</v>
      </c>
      <c r="E232" s="26"/>
      <c r="F232" s="26"/>
      <c r="G232" s="26"/>
      <c r="H232" s="26"/>
      <c r="I232" s="26"/>
      <c r="J232" s="37" t="e">
        <f t="shared" ref="J232:O232" si="539">J211*AUCs_Data_perSiteperDay</f>
        <v>#N/A</v>
      </c>
      <c r="K232" s="37" t="e">
        <f t="shared" si="539"/>
        <v>#N/A</v>
      </c>
      <c r="L232" s="37" t="e">
        <f t="shared" si="539"/>
        <v>#N/A</v>
      </c>
      <c r="M232" s="37" t="e">
        <f t="shared" si="539"/>
        <v>#N/A</v>
      </c>
      <c r="N232" s="37" t="e">
        <f t="shared" si="539"/>
        <v>#N/A</v>
      </c>
      <c r="O232" s="37" t="e">
        <f t="shared" si="539"/>
        <v>#N/A</v>
      </c>
      <c r="P232" s="83" t="e">
        <f>SUM(J232:O232)</f>
        <v>#N/A</v>
      </c>
      <c r="Q232" s="83"/>
      <c r="R232" s="12" t="str">
        <f t="shared" ca="1" si="460"/>
        <v/>
      </c>
      <c r="S232" s="2"/>
      <c r="T232" s="241"/>
      <c r="U232" s="624"/>
      <c r="V232" s="72" t="str">
        <f ca="1">IF(OFFSET(AU232,0,Lang_Order*Lang__B5)="","",OFFSET(AU232,0,Lang_Order*Lang__B5))</f>
        <v>Per Site per Day</v>
      </c>
      <c r="W232" s="37" t="e">
        <f t="shared" ref="W232:AB232" si="540">W211*AUCs_Data_perSiteperDay</f>
        <v>#N/A</v>
      </c>
      <c r="X232" s="37" t="e">
        <f t="shared" si="540"/>
        <v>#N/A</v>
      </c>
      <c r="Y232" s="37" t="e">
        <f t="shared" si="540"/>
        <v>#N/A</v>
      </c>
      <c r="Z232" s="37" t="e">
        <f t="shared" si="540"/>
        <v>#N/A</v>
      </c>
      <c r="AA232" s="37" t="e">
        <f t="shared" si="540"/>
        <v>#N/A</v>
      </c>
      <c r="AB232" s="37" t="e">
        <f t="shared" si="540"/>
        <v>#N/A</v>
      </c>
      <c r="AC232" s="83" t="e">
        <f>SUM(W232:AB232)</f>
        <v>#N/A</v>
      </c>
      <c r="AE232" s="2"/>
      <c r="AF232" s="241"/>
      <c r="AG232" s="624"/>
      <c r="AH232" s="72" t="str">
        <f ca="1">IF(OFFSET(AU232,0,Lang_Order*Lang__B5)="","",OFFSET(AU232,0,Lang_Order*Lang__B5))</f>
        <v>Per Site per Day</v>
      </c>
      <c r="AI232" s="37" t="e">
        <f t="shared" ref="AI232:AN232" si="541">AI211*AUCs_Data_perSiteperDay</f>
        <v>#N/A</v>
      </c>
      <c r="AJ232" s="37" t="e">
        <f t="shared" si="541"/>
        <v>#N/A</v>
      </c>
      <c r="AK232" s="37" t="e">
        <f t="shared" si="541"/>
        <v>#N/A</v>
      </c>
      <c r="AL232" s="37" t="e">
        <f t="shared" si="541"/>
        <v>#N/A</v>
      </c>
      <c r="AM232" s="37" t="e">
        <f t="shared" si="541"/>
        <v>#N/A</v>
      </c>
      <c r="AN232" s="37" t="e">
        <f t="shared" si="541"/>
        <v>#N/A</v>
      </c>
      <c r="AO232" s="83" t="e">
        <f>SUM(AI232:AN232)</f>
        <v>#N/A</v>
      </c>
      <c r="AR232" s="403"/>
      <c r="AS232" s="403"/>
      <c r="AT232" s="403"/>
      <c r="AU232" s="403" t="s">
        <v>1586</v>
      </c>
      <c r="AV232" s="403"/>
      <c r="AW232" s="403"/>
      <c r="AX232" s="403"/>
      <c r="AY232" s="403"/>
      <c r="AZ232" s="403"/>
      <c r="BA232" s="403"/>
      <c r="BB232" s="403"/>
      <c r="BC232" s="403"/>
      <c r="BD232" s="403"/>
      <c r="BE232" s="403"/>
      <c r="BF232" s="403"/>
      <c r="BG232" s="403"/>
      <c r="BH232" s="403"/>
      <c r="BI232" s="403"/>
      <c r="BJ232" s="403"/>
      <c r="BK232" s="403"/>
      <c r="BL232" s="403"/>
      <c r="BM232" s="403"/>
      <c r="BN232" s="403"/>
      <c r="BO232" s="403"/>
      <c r="BP232" s="403"/>
      <c r="BQ232" s="403"/>
      <c r="BR232" s="403"/>
      <c r="BS232" s="403"/>
      <c r="BT232" s="403"/>
      <c r="BU232" s="403"/>
      <c r="BV232" s="403"/>
      <c r="BW232" s="403"/>
      <c r="BX232" s="403"/>
      <c r="BY232" s="403"/>
      <c r="BZ232" s="403"/>
      <c r="CA232" s="403"/>
      <c r="CB232" s="403"/>
      <c r="CC232" s="403" t="s">
        <v>12078</v>
      </c>
      <c r="CD232" s="403"/>
      <c r="CE232" s="403"/>
      <c r="CF232" s="403"/>
      <c r="CG232" s="403"/>
      <c r="CH232" s="403"/>
      <c r="CI232" s="403"/>
      <c r="CJ232" s="403"/>
      <c r="CK232" s="403"/>
      <c r="CL232" s="403"/>
      <c r="CM232" s="403"/>
      <c r="CN232" s="403"/>
      <c r="CO232" s="403"/>
      <c r="CP232" s="403"/>
      <c r="CQ232" s="403"/>
      <c r="CR232" s="403"/>
      <c r="CS232" s="403"/>
      <c r="CT232" s="403"/>
      <c r="CU232" s="403"/>
      <c r="CV232" s="403"/>
      <c r="CW232" s="403"/>
      <c r="CX232" s="403"/>
      <c r="CY232" s="403"/>
      <c r="CZ232" s="403"/>
      <c r="DA232" s="403"/>
      <c r="DB232" s="403"/>
      <c r="DC232" s="403"/>
      <c r="DD232" s="403"/>
      <c r="DE232" s="403"/>
      <c r="DF232" s="403"/>
      <c r="DG232" s="403"/>
      <c r="DH232" s="403"/>
      <c r="DI232" s="403"/>
      <c r="DJ232" s="403"/>
      <c r="DK232" s="403" t="s">
        <v>12079</v>
      </c>
      <c r="DL232" s="403"/>
      <c r="DM232" s="403"/>
      <c r="DN232" s="403"/>
      <c r="DO232" s="403"/>
      <c r="DP232" s="403"/>
      <c r="DQ232" s="403"/>
      <c r="DR232" s="403"/>
      <c r="DS232" s="403"/>
      <c r="DT232" s="403"/>
      <c r="DU232" s="403"/>
      <c r="DV232" s="403"/>
      <c r="DW232" s="403"/>
      <c r="DX232" s="403"/>
      <c r="DY232" s="403"/>
      <c r="DZ232" s="403"/>
      <c r="EA232" s="403"/>
      <c r="EB232" s="403"/>
      <c r="EC232" s="403"/>
      <c r="ED232" s="403"/>
      <c r="EE232" s="403"/>
      <c r="EF232" s="403"/>
      <c r="EG232" s="403"/>
      <c r="EH232" s="403"/>
      <c r="EI232" s="403"/>
      <c r="EJ232" s="403"/>
      <c r="EK232" s="403"/>
      <c r="EL232" s="403"/>
      <c r="EM232" s="403"/>
      <c r="EN232" s="403"/>
      <c r="EO232" s="403"/>
      <c r="EP232" s="403"/>
      <c r="EQ232" s="403"/>
      <c r="ER232" s="403"/>
      <c r="ES232" s="403" t="s">
        <v>8437</v>
      </c>
      <c r="ET232" s="403"/>
      <c r="EU232" s="403"/>
      <c r="EV232" s="403"/>
      <c r="EW232" s="403"/>
      <c r="EX232" s="403"/>
      <c r="EY232" s="403"/>
      <c r="EZ232" s="403"/>
      <c r="FA232" s="403"/>
      <c r="FB232" s="403"/>
      <c r="FC232" s="403"/>
      <c r="FD232" s="403"/>
      <c r="FE232" s="403"/>
      <c r="FF232" s="403"/>
      <c r="FG232" s="403"/>
      <c r="FH232" s="403"/>
      <c r="FI232" s="403"/>
      <c r="FJ232" s="403"/>
      <c r="FK232" s="403"/>
      <c r="FL232" s="403"/>
      <c r="FM232" s="403"/>
      <c r="FN232" s="403"/>
      <c r="FO232" s="403"/>
      <c r="FP232" s="403"/>
      <c r="FQ232" s="403"/>
      <c r="FR232" s="403"/>
      <c r="FS232" s="403"/>
      <c r="FT232" s="403"/>
      <c r="FU232" s="403"/>
      <c r="FV232" s="403"/>
      <c r="FW232" s="403"/>
      <c r="FX232" s="403"/>
      <c r="FY232" s="403"/>
      <c r="FZ232" s="403"/>
      <c r="GA232" s="403" t="s">
        <v>8439</v>
      </c>
      <c r="GB232" s="403"/>
      <c r="GC232" s="403"/>
      <c r="GD232" s="403"/>
      <c r="GE232" s="403"/>
      <c r="GF232" s="403"/>
      <c r="GG232" s="403"/>
      <c r="GH232" s="403"/>
      <c r="GI232" s="403"/>
      <c r="GJ232" s="403"/>
      <c r="GK232" s="403"/>
      <c r="GL232" s="403"/>
      <c r="GM232" s="403"/>
      <c r="GN232" s="403"/>
      <c r="GO232" s="403"/>
      <c r="GP232" s="403"/>
      <c r="GQ232" s="403"/>
      <c r="GR232" s="403"/>
      <c r="GS232" s="403"/>
      <c r="GT232" s="403"/>
      <c r="GU232" s="403"/>
      <c r="GV232" s="403"/>
      <c r="GW232" s="403"/>
      <c r="GX232" s="403"/>
      <c r="GY232" s="403"/>
      <c r="GZ232" s="403"/>
      <c r="HA232" s="403"/>
      <c r="HB232" s="403"/>
      <c r="HC232" s="403"/>
      <c r="HD232" s="403"/>
      <c r="HE232" s="403"/>
      <c r="HF232" s="403"/>
      <c r="HG232" s="403"/>
      <c r="HH232" s="403"/>
      <c r="HI232" s="403" t="s">
        <v>12080</v>
      </c>
      <c r="HJ232" s="403"/>
      <c r="HK232" s="403"/>
      <c r="HL232" s="403"/>
      <c r="HM232" s="403"/>
      <c r="HN232" s="403"/>
      <c r="HO232" s="403"/>
      <c r="HP232" s="403"/>
      <c r="HQ232" s="403"/>
      <c r="HR232" s="403"/>
      <c r="HS232" s="403"/>
      <c r="HT232" s="403"/>
      <c r="HU232" s="403"/>
      <c r="HV232" s="403"/>
      <c r="HW232" s="403"/>
      <c r="HX232" s="403"/>
      <c r="HY232" s="403"/>
      <c r="HZ232" s="403"/>
      <c r="IA232" s="403"/>
      <c r="IB232" s="403"/>
      <c r="IC232" s="403"/>
      <c r="ID232" s="403"/>
      <c r="IE232" s="403"/>
      <c r="IF232" s="403"/>
      <c r="IG232" s="403"/>
      <c r="IH232" s="403"/>
      <c r="II232" s="403"/>
      <c r="IJ232" s="403"/>
      <c r="IK232" s="403"/>
      <c r="IL232" s="403"/>
      <c r="IM232" s="403"/>
      <c r="IN232" s="403"/>
      <c r="IO232" s="403"/>
      <c r="IP232" s="403"/>
      <c r="IQ232" s="403" t="s">
        <v>12081</v>
      </c>
      <c r="IR232" s="403"/>
      <c r="IS232" s="403"/>
      <c r="IT232" s="403"/>
      <c r="IU232" s="403"/>
      <c r="IV232" s="403"/>
      <c r="IW232" s="403"/>
      <c r="IX232" s="403"/>
      <c r="IY232" s="403"/>
      <c r="IZ232" s="403"/>
      <c r="JA232" s="403"/>
      <c r="JB232" s="403"/>
      <c r="JC232" s="403"/>
      <c r="JD232" s="403"/>
      <c r="JE232" s="403"/>
      <c r="JF232" s="403"/>
      <c r="JG232" s="403"/>
      <c r="JH232" s="403"/>
      <c r="JI232" s="403"/>
      <c r="JJ232" s="403"/>
      <c r="JK232" s="403"/>
      <c r="JL232" s="403"/>
      <c r="JM232" s="403"/>
      <c r="JN232" s="403"/>
      <c r="JO232" s="403"/>
      <c r="JP232" s="403"/>
      <c r="JQ232" s="403"/>
      <c r="JR232" s="403"/>
      <c r="JS232" s="403"/>
      <c r="JT232" s="403"/>
    </row>
    <row r="233" spans="1:280" s="15" customFormat="1" ht="12.75" x14ac:dyDescent="0.2">
      <c r="A233" s="9"/>
      <c r="B233" s="624"/>
      <c r="C233" s="23"/>
      <c r="E233" s="26"/>
      <c r="F233" s="26"/>
      <c r="G233" s="26"/>
      <c r="H233" s="26"/>
      <c r="I233" s="26"/>
      <c r="J233" s="37"/>
      <c r="K233" s="37"/>
      <c r="L233" s="37"/>
      <c r="M233" s="37"/>
      <c r="N233" s="37"/>
      <c r="O233" s="37"/>
      <c r="P233" s="26"/>
      <c r="Q233" s="26"/>
      <c r="R233" s="12" t="str">
        <f t="shared" ca="1" si="460"/>
        <v/>
      </c>
      <c r="S233" s="2"/>
      <c r="T233" s="241"/>
      <c r="U233" s="624"/>
      <c r="V233" s="72"/>
      <c r="AC233" s="26"/>
      <c r="AE233" s="2"/>
      <c r="AF233" s="241"/>
      <c r="AG233" s="624"/>
      <c r="AH233" s="72"/>
      <c r="AO233" s="26"/>
      <c r="AR233" s="403"/>
      <c r="AS233" s="403"/>
      <c r="AT233" s="403"/>
      <c r="AU233" s="403"/>
      <c r="AV233" s="403"/>
      <c r="AW233" s="403"/>
      <c r="AX233" s="403"/>
      <c r="AY233" s="403"/>
      <c r="AZ233" s="403"/>
      <c r="BA233" s="403"/>
      <c r="BB233" s="403"/>
      <c r="BC233" s="403"/>
      <c r="BD233" s="403"/>
      <c r="BE233" s="403"/>
      <c r="BF233" s="403"/>
      <c r="BG233" s="403"/>
      <c r="BH233" s="403"/>
      <c r="BI233" s="403"/>
      <c r="BJ233" s="403"/>
      <c r="BK233" s="403"/>
      <c r="BL233" s="403"/>
      <c r="BM233" s="403"/>
      <c r="BN233" s="403"/>
      <c r="BO233" s="403"/>
      <c r="BP233" s="403"/>
      <c r="BQ233" s="403"/>
      <c r="BR233" s="403"/>
      <c r="BS233" s="403"/>
      <c r="BT233" s="403"/>
      <c r="BU233" s="403"/>
      <c r="BV233" s="403"/>
      <c r="BW233" s="403"/>
      <c r="BX233" s="403"/>
      <c r="BY233" s="403"/>
      <c r="BZ233" s="403"/>
      <c r="CA233" s="403"/>
      <c r="CB233" s="403"/>
      <c r="CC233" s="403"/>
      <c r="CD233" s="403"/>
      <c r="CE233" s="403"/>
      <c r="CF233" s="403"/>
      <c r="CG233" s="403"/>
      <c r="CH233" s="403"/>
      <c r="CI233" s="403"/>
      <c r="CJ233" s="403"/>
      <c r="CK233" s="403"/>
      <c r="CL233" s="403"/>
      <c r="CM233" s="403"/>
      <c r="CN233" s="403"/>
      <c r="CO233" s="403"/>
      <c r="CP233" s="403"/>
      <c r="CQ233" s="403"/>
      <c r="CR233" s="403"/>
      <c r="CS233" s="403"/>
      <c r="CT233" s="403"/>
      <c r="CU233" s="403"/>
      <c r="CV233" s="403"/>
      <c r="CW233" s="403"/>
      <c r="CX233" s="403"/>
      <c r="CY233" s="403"/>
      <c r="CZ233" s="403"/>
      <c r="DA233" s="403"/>
      <c r="DB233" s="403"/>
      <c r="DC233" s="403"/>
      <c r="DD233" s="403"/>
      <c r="DE233" s="403"/>
      <c r="DF233" s="403"/>
      <c r="DG233" s="403"/>
      <c r="DH233" s="403"/>
      <c r="DI233" s="403"/>
      <c r="DJ233" s="403"/>
      <c r="DK233" s="403"/>
      <c r="DL233" s="403"/>
      <c r="DM233" s="403"/>
      <c r="DN233" s="403"/>
      <c r="DO233" s="403"/>
      <c r="DP233" s="403"/>
      <c r="DQ233" s="403"/>
      <c r="DR233" s="403"/>
      <c r="DS233" s="403"/>
      <c r="DT233" s="403"/>
      <c r="DU233" s="403"/>
      <c r="DV233" s="403"/>
      <c r="DW233" s="403"/>
      <c r="DX233" s="403"/>
      <c r="DY233" s="403"/>
      <c r="DZ233" s="403"/>
      <c r="EA233" s="403"/>
      <c r="EB233" s="403"/>
      <c r="EC233" s="403"/>
      <c r="ED233" s="403"/>
      <c r="EE233" s="403"/>
      <c r="EF233" s="403"/>
      <c r="EG233" s="403"/>
      <c r="EH233" s="403"/>
      <c r="EI233" s="403"/>
      <c r="EJ233" s="403"/>
      <c r="EK233" s="403"/>
      <c r="EL233" s="403"/>
      <c r="EM233" s="403"/>
      <c r="EN233" s="403"/>
      <c r="EO233" s="403"/>
      <c r="EP233" s="403"/>
      <c r="EQ233" s="403"/>
      <c r="ER233" s="403"/>
      <c r="ES233" s="403"/>
      <c r="ET233" s="403"/>
      <c r="EU233" s="403"/>
      <c r="EV233" s="403"/>
      <c r="EW233" s="403"/>
      <c r="EX233" s="403"/>
      <c r="EY233" s="403"/>
      <c r="EZ233" s="403"/>
      <c r="FA233" s="403"/>
      <c r="FB233" s="403"/>
      <c r="FC233" s="403"/>
      <c r="FD233" s="403"/>
      <c r="FE233" s="403"/>
      <c r="FF233" s="403"/>
      <c r="FG233" s="403"/>
      <c r="FH233" s="403"/>
      <c r="FI233" s="403"/>
      <c r="FJ233" s="403"/>
      <c r="FK233" s="403"/>
      <c r="FL233" s="403"/>
      <c r="FM233" s="403"/>
      <c r="FN233" s="403"/>
      <c r="FO233" s="403"/>
      <c r="FP233" s="403"/>
      <c r="FQ233" s="403"/>
      <c r="FR233" s="403"/>
      <c r="FS233" s="403"/>
      <c r="FT233" s="403"/>
      <c r="FU233" s="403"/>
      <c r="FV233" s="403"/>
      <c r="FW233" s="403"/>
      <c r="FX233" s="403"/>
      <c r="FY233" s="403"/>
      <c r="FZ233" s="403"/>
      <c r="GA233" s="403"/>
      <c r="GB233" s="403"/>
      <c r="GC233" s="403"/>
      <c r="GD233" s="403"/>
      <c r="GE233" s="403"/>
      <c r="GF233" s="403"/>
      <c r="GG233" s="403"/>
      <c r="GH233" s="403"/>
      <c r="GI233" s="403"/>
      <c r="GJ233" s="403"/>
      <c r="GK233" s="403"/>
      <c r="GL233" s="403"/>
      <c r="GM233" s="403"/>
      <c r="GN233" s="403"/>
      <c r="GO233" s="403"/>
      <c r="GP233" s="403"/>
      <c r="GQ233" s="403"/>
      <c r="GR233" s="403"/>
      <c r="GS233" s="403"/>
      <c r="GT233" s="403"/>
      <c r="GU233" s="403"/>
      <c r="GV233" s="403"/>
      <c r="GW233" s="403"/>
      <c r="GX233" s="403"/>
      <c r="GY233" s="403"/>
      <c r="GZ233" s="403"/>
      <c r="HA233" s="403"/>
      <c r="HB233" s="403"/>
      <c r="HC233" s="403"/>
      <c r="HD233" s="403"/>
      <c r="HE233" s="403"/>
      <c r="HF233" s="403"/>
      <c r="HG233" s="403"/>
      <c r="HH233" s="403"/>
      <c r="HI233" s="403"/>
      <c r="HJ233" s="403"/>
      <c r="HK233" s="403"/>
      <c r="HL233" s="403"/>
      <c r="HM233" s="403"/>
      <c r="HN233" s="403"/>
      <c r="HO233" s="403"/>
      <c r="HP233" s="403"/>
      <c r="HQ233" s="403"/>
      <c r="HR233" s="403"/>
      <c r="HS233" s="403"/>
      <c r="HT233" s="403"/>
      <c r="HU233" s="403"/>
      <c r="HV233" s="403"/>
      <c r="HW233" s="403"/>
      <c r="HX233" s="403"/>
      <c r="HY233" s="403"/>
      <c r="HZ233" s="403"/>
      <c r="IA233" s="403"/>
      <c r="IB233" s="403"/>
      <c r="IC233" s="403"/>
      <c r="ID233" s="403"/>
      <c r="IE233" s="403"/>
      <c r="IF233" s="403"/>
      <c r="IG233" s="403"/>
      <c r="IH233" s="403"/>
      <c r="II233" s="403"/>
      <c r="IJ233" s="403"/>
      <c r="IK233" s="403"/>
      <c r="IL233" s="403"/>
      <c r="IM233" s="403"/>
      <c r="IN233" s="403"/>
      <c r="IO233" s="403"/>
      <c r="IP233" s="403"/>
      <c r="IQ233" s="403"/>
      <c r="IR233" s="403"/>
      <c r="IS233" s="403"/>
      <c r="IT233" s="403"/>
      <c r="IU233" s="403"/>
      <c r="IV233" s="403"/>
      <c r="IW233" s="403"/>
      <c r="IX233" s="403"/>
      <c r="IY233" s="403"/>
      <c r="IZ233" s="403"/>
      <c r="JA233" s="403"/>
      <c r="JB233" s="403"/>
      <c r="JC233" s="403"/>
      <c r="JD233" s="403"/>
      <c r="JE233" s="403"/>
      <c r="JF233" s="403"/>
      <c r="JG233" s="403"/>
      <c r="JH233" s="403"/>
      <c r="JI233" s="403"/>
      <c r="JJ233" s="403"/>
      <c r="JK233" s="403"/>
      <c r="JL233" s="403"/>
      <c r="JM233" s="403"/>
      <c r="JN233" s="403"/>
      <c r="JO233" s="403"/>
      <c r="JP233" s="403"/>
      <c r="JQ233" s="403"/>
      <c r="JR233" s="403"/>
      <c r="JS233" s="403"/>
      <c r="JT233" s="403"/>
    </row>
    <row r="234" spans="1:280" s="15" customFormat="1" ht="12.75" x14ac:dyDescent="0.2">
      <c r="A234" s="9"/>
      <c r="B234" s="624" t="str">
        <f ca="1">IF(OFFSET(AT234,0,Lang_Order*Lang__B5)="","",OFFSET(AT234,0,Lang_Order*Lang__B5))</f>
        <v>Additional Interventions</v>
      </c>
      <c r="C234" s="23"/>
      <c r="E234" s="26"/>
      <c r="F234" s="26"/>
      <c r="G234" s="26"/>
      <c r="H234" s="26"/>
      <c r="I234" s="26"/>
      <c r="J234" s="37"/>
      <c r="K234" s="37"/>
      <c r="L234" s="37"/>
      <c r="M234" s="37"/>
      <c r="N234" s="37"/>
      <c r="O234" s="37"/>
      <c r="P234" s="26"/>
      <c r="Q234" s="26"/>
      <c r="R234" s="12" t="str">
        <f t="shared" ca="1" si="460"/>
        <v>DEVELOP LATER IF NEEDED</v>
      </c>
      <c r="S234" s="2"/>
      <c r="T234" s="241"/>
      <c r="U234" s="624" t="str">
        <f ca="1">IF(OFFSET(AT234,0,Lang_Order*Lang__B5)="","",OFFSET(AT234,0,Lang_Order*Lang__B5))</f>
        <v>Additional Interventions</v>
      </c>
      <c r="V234" s="72"/>
      <c r="AC234" s="26"/>
      <c r="AE234" s="2"/>
      <c r="AF234" s="241"/>
      <c r="AG234" s="624" t="str">
        <f ca="1">IF(OFFSET(AT234,0,Lang_Order*Lang__B5)="","",OFFSET(AT234,0,Lang_Order*Lang__B5))</f>
        <v>Additional Interventions</v>
      </c>
      <c r="AH234" s="72"/>
      <c r="AO234" s="26"/>
      <c r="AR234" s="403"/>
      <c r="AS234" s="403"/>
      <c r="AT234" s="403" t="s">
        <v>1578</v>
      </c>
      <c r="AU234" s="403"/>
      <c r="AV234" s="403"/>
      <c r="AW234" s="403"/>
      <c r="AX234" s="403"/>
      <c r="AY234" s="403"/>
      <c r="AZ234" s="403"/>
      <c r="BA234" s="403"/>
      <c r="BB234" s="403"/>
      <c r="BC234" s="403"/>
      <c r="BD234" s="403"/>
      <c r="BE234" s="403"/>
      <c r="BF234" s="403"/>
      <c r="BG234" s="403"/>
      <c r="BH234" s="403"/>
      <c r="BI234" s="403"/>
      <c r="BJ234" s="403" t="s">
        <v>1587</v>
      </c>
      <c r="BK234" s="403"/>
      <c r="BL234" s="403"/>
      <c r="BM234" s="403"/>
      <c r="BN234" s="403"/>
      <c r="BO234" s="403"/>
      <c r="BP234" s="403"/>
      <c r="BQ234" s="403"/>
      <c r="BR234" s="403"/>
      <c r="BS234" s="403"/>
      <c r="BT234" s="403"/>
      <c r="BU234" s="403"/>
      <c r="BV234" s="403"/>
      <c r="BW234" s="403"/>
      <c r="BX234" s="403"/>
      <c r="BY234" s="403"/>
      <c r="BZ234" s="403"/>
      <c r="CA234" s="403"/>
      <c r="CB234" s="403" t="s">
        <v>11654</v>
      </c>
      <c r="CC234" s="403"/>
      <c r="CD234" s="403"/>
      <c r="CE234" s="403"/>
      <c r="CF234" s="403"/>
      <c r="CG234" s="403"/>
      <c r="CH234" s="403"/>
      <c r="CI234" s="403"/>
      <c r="CJ234" s="403"/>
      <c r="CK234" s="403"/>
      <c r="CL234" s="403"/>
      <c r="CM234" s="403"/>
      <c r="CN234" s="403"/>
      <c r="CO234" s="403"/>
      <c r="CP234" s="403"/>
      <c r="CQ234" s="403"/>
      <c r="CR234" s="403" t="s">
        <v>12082</v>
      </c>
      <c r="CS234" s="403"/>
      <c r="CT234" s="403"/>
      <c r="CU234" s="403"/>
      <c r="CV234" s="403"/>
      <c r="CW234" s="403"/>
      <c r="CX234" s="403"/>
      <c r="CY234" s="403"/>
      <c r="CZ234" s="403"/>
      <c r="DA234" s="403"/>
      <c r="DB234" s="403"/>
      <c r="DC234" s="403"/>
      <c r="DD234" s="403"/>
      <c r="DE234" s="403"/>
      <c r="DF234" s="403"/>
      <c r="DG234" s="403"/>
      <c r="DH234" s="403"/>
      <c r="DI234" s="403"/>
      <c r="DJ234" s="403" t="s">
        <v>11655</v>
      </c>
      <c r="DK234" s="403"/>
      <c r="DL234" s="403"/>
      <c r="DM234" s="403"/>
      <c r="DN234" s="403"/>
      <c r="DO234" s="403"/>
      <c r="DP234" s="403"/>
      <c r="DQ234" s="403"/>
      <c r="DR234" s="403"/>
      <c r="DS234" s="403"/>
      <c r="DT234" s="403"/>
      <c r="DU234" s="403"/>
      <c r="DV234" s="403"/>
      <c r="DW234" s="403"/>
      <c r="DX234" s="403"/>
      <c r="DY234" s="403"/>
      <c r="DZ234" s="403" t="s">
        <v>12083</v>
      </c>
      <c r="EA234" s="403"/>
      <c r="EB234" s="403"/>
      <c r="EC234" s="403"/>
      <c r="ED234" s="403"/>
      <c r="EE234" s="403"/>
      <c r="EF234" s="403"/>
      <c r="EG234" s="403"/>
      <c r="EH234" s="403"/>
      <c r="EI234" s="403"/>
      <c r="EJ234" s="403"/>
      <c r="EK234" s="403"/>
      <c r="EL234" s="403"/>
      <c r="EM234" s="403"/>
      <c r="EN234" s="403"/>
      <c r="EO234" s="403"/>
      <c r="EP234" s="403"/>
      <c r="EQ234" s="403"/>
      <c r="ER234" s="403" t="s">
        <v>11656</v>
      </c>
      <c r="ES234" s="403"/>
      <c r="ET234" s="403"/>
      <c r="EU234" s="403"/>
      <c r="EV234" s="403"/>
      <c r="EW234" s="403"/>
      <c r="EX234" s="403"/>
      <c r="EY234" s="403"/>
      <c r="EZ234" s="403"/>
      <c r="FA234" s="403"/>
      <c r="FB234" s="403"/>
      <c r="FC234" s="403"/>
      <c r="FD234" s="403"/>
      <c r="FE234" s="403"/>
      <c r="FF234" s="403"/>
      <c r="FG234" s="403"/>
      <c r="FH234" s="403" t="s">
        <v>12084</v>
      </c>
      <c r="FI234" s="403"/>
      <c r="FJ234" s="403"/>
      <c r="FK234" s="403"/>
      <c r="FL234" s="403"/>
      <c r="FM234" s="403"/>
      <c r="FN234" s="403"/>
      <c r="FO234" s="403"/>
      <c r="FP234" s="403"/>
      <c r="FQ234" s="403"/>
      <c r="FR234" s="403"/>
      <c r="FS234" s="403"/>
      <c r="FT234" s="403"/>
      <c r="FU234" s="403"/>
      <c r="FV234" s="403"/>
      <c r="FW234" s="403"/>
      <c r="FX234" s="403"/>
      <c r="FY234" s="403"/>
      <c r="FZ234" s="403" t="s">
        <v>11657</v>
      </c>
      <c r="GA234" s="403"/>
      <c r="GB234" s="403"/>
      <c r="GC234" s="403"/>
      <c r="GD234" s="403"/>
      <c r="GE234" s="403"/>
      <c r="GF234" s="403"/>
      <c r="GG234" s="403"/>
      <c r="GH234" s="403"/>
      <c r="GI234" s="403"/>
      <c r="GJ234" s="403"/>
      <c r="GK234" s="403"/>
      <c r="GL234" s="403"/>
      <c r="GM234" s="403"/>
      <c r="GN234" s="403"/>
      <c r="GO234" s="403"/>
      <c r="GP234" s="403" t="s">
        <v>12085</v>
      </c>
      <c r="GQ234" s="403"/>
      <c r="GR234" s="403"/>
      <c r="GS234" s="403"/>
      <c r="GT234" s="403"/>
      <c r="GU234" s="403"/>
      <c r="GV234" s="403"/>
      <c r="GW234" s="403"/>
      <c r="GX234" s="403"/>
      <c r="GY234" s="403"/>
      <c r="GZ234" s="403"/>
      <c r="HA234" s="403"/>
      <c r="HB234" s="403"/>
      <c r="HC234" s="403"/>
      <c r="HD234" s="403"/>
      <c r="HE234" s="403"/>
      <c r="HF234" s="403"/>
      <c r="HG234" s="403"/>
      <c r="HH234" s="403" t="s">
        <v>11658</v>
      </c>
      <c r="HI234" s="403"/>
      <c r="HJ234" s="403"/>
      <c r="HK234" s="403"/>
      <c r="HL234" s="403"/>
      <c r="HM234" s="403"/>
      <c r="HN234" s="403"/>
      <c r="HO234" s="403"/>
      <c r="HP234" s="403"/>
      <c r="HQ234" s="403"/>
      <c r="HR234" s="403"/>
      <c r="HS234" s="403"/>
      <c r="HT234" s="403"/>
      <c r="HU234" s="403"/>
      <c r="HV234" s="403"/>
      <c r="HW234" s="403"/>
      <c r="HX234" s="403" t="s">
        <v>12086</v>
      </c>
      <c r="HY234" s="403"/>
      <c r="HZ234" s="403"/>
      <c r="IA234" s="403"/>
      <c r="IB234" s="403"/>
      <c r="IC234" s="403"/>
      <c r="ID234" s="403"/>
      <c r="IE234" s="403"/>
      <c r="IF234" s="403"/>
      <c r="IG234" s="403"/>
      <c r="IH234" s="403"/>
      <c r="II234" s="403"/>
      <c r="IJ234" s="403"/>
      <c r="IK234" s="403"/>
      <c r="IL234" s="403"/>
      <c r="IM234" s="403"/>
      <c r="IN234" s="403"/>
      <c r="IO234" s="403"/>
      <c r="IP234" s="403" t="s">
        <v>11659</v>
      </c>
      <c r="IQ234" s="403"/>
      <c r="IR234" s="403"/>
      <c r="IS234" s="403"/>
      <c r="IT234" s="403"/>
      <c r="IU234" s="403"/>
      <c r="IV234" s="403"/>
      <c r="IW234" s="403"/>
      <c r="IX234" s="403"/>
      <c r="IY234" s="403"/>
      <c r="IZ234" s="403"/>
      <c r="JA234" s="403"/>
      <c r="JB234" s="403"/>
      <c r="JC234" s="403"/>
      <c r="JD234" s="403"/>
      <c r="JE234" s="403"/>
      <c r="JF234" s="403" t="s">
        <v>12087</v>
      </c>
      <c r="JG234" s="403"/>
      <c r="JH234" s="403"/>
      <c r="JI234" s="403"/>
      <c r="JJ234" s="403"/>
      <c r="JK234" s="403"/>
      <c r="JL234" s="403"/>
      <c r="JM234" s="403"/>
      <c r="JN234" s="403"/>
      <c r="JO234" s="403"/>
      <c r="JP234" s="403"/>
      <c r="JQ234" s="403"/>
      <c r="JR234" s="403"/>
      <c r="JS234" s="403"/>
      <c r="JT234" s="403"/>
    </row>
    <row r="235" spans="1:280" s="15" customFormat="1" ht="12.75" x14ac:dyDescent="0.2">
      <c r="A235" s="9"/>
      <c r="B235" s="624"/>
      <c r="C235" s="23" t="str">
        <f ca="1">IF(OFFSET(AU235,0,Lang_Order*Lang__B5)="","",OFFSET(AU235,0,Lang_Order*Lang__B5))</f>
        <v>Per Site</v>
      </c>
      <c r="E235" s="26"/>
      <c r="F235" s="26"/>
      <c r="G235" s="26"/>
      <c r="H235" s="26"/>
      <c r="I235" s="26"/>
      <c r="J235" s="37" t="e">
        <f t="shared" ref="J235:O235" si="542">RBF_DM3*J195*AUCs_AddInterventions_perSite</f>
        <v>#N/A</v>
      </c>
      <c r="K235" s="300" t="e">
        <f t="shared" si="542"/>
        <v>#N/A</v>
      </c>
      <c r="L235" s="300" t="e">
        <f t="shared" si="542"/>
        <v>#N/A</v>
      </c>
      <c r="M235" s="300" t="e">
        <f t="shared" si="542"/>
        <v>#N/A</v>
      </c>
      <c r="N235" s="300" t="e">
        <f t="shared" si="542"/>
        <v>#N/A</v>
      </c>
      <c r="O235" s="300" t="e">
        <f t="shared" si="542"/>
        <v>#N/A</v>
      </c>
      <c r="P235" s="83" t="e">
        <f>SUM(J235:O235)</f>
        <v>#N/A</v>
      </c>
      <c r="Q235" s="83"/>
      <c r="R235" s="12" t="str">
        <f t="shared" ca="1" si="460"/>
        <v/>
      </c>
      <c r="S235" s="2"/>
      <c r="T235" s="241"/>
      <c r="U235" s="624"/>
      <c r="V235" s="72" t="str">
        <f ca="1">IF(OFFSET(AU235,0,Lang_Order*Lang__B5)="","",OFFSET(AU235,0,Lang_Order*Lang__B5))</f>
        <v>Per Site</v>
      </c>
      <c r="W235" s="300" t="e">
        <f t="shared" ref="W235:AB235" si="543">RBF_DM3*W195*AUCs_AddInterventions_perSite</f>
        <v>#N/A</v>
      </c>
      <c r="X235" s="300" t="e">
        <f t="shared" si="543"/>
        <v>#N/A</v>
      </c>
      <c r="Y235" s="300" t="e">
        <f t="shared" si="543"/>
        <v>#N/A</v>
      </c>
      <c r="Z235" s="300" t="e">
        <f t="shared" si="543"/>
        <v>#N/A</v>
      </c>
      <c r="AA235" s="300" t="e">
        <f t="shared" si="543"/>
        <v>#N/A</v>
      </c>
      <c r="AB235" s="300" t="e">
        <f t="shared" si="543"/>
        <v>#N/A</v>
      </c>
      <c r="AC235" s="83" t="e">
        <f>SUM(W235:AB235)</f>
        <v>#N/A</v>
      </c>
      <c r="AE235" s="72" t="s">
        <v>3042</v>
      </c>
      <c r="AF235" s="241"/>
      <c r="AG235" s="624"/>
      <c r="AH235" s="72" t="str">
        <f ca="1">IF(OFFSET(AU235,0,Lang_Order*Lang__B5)="","",OFFSET(AU235,0,Lang_Order*Lang__B5))</f>
        <v>Per Site</v>
      </c>
      <c r="AI235" s="300" t="e">
        <f t="shared" ref="AI235:AN235" si="544">RBF_DM3*AI195*AUCs_AddInterventions_perSite</f>
        <v>#N/A</v>
      </c>
      <c r="AJ235" s="300" t="e">
        <f t="shared" si="544"/>
        <v>#N/A</v>
      </c>
      <c r="AK235" s="300" t="e">
        <f t="shared" si="544"/>
        <v>#N/A</v>
      </c>
      <c r="AL235" s="300" t="e">
        <f t="shared" si="544"/>
        <v>#N/A</v>
      </c>
      <c r="AM235" s="300" t="e">
        <f t="shared" si="544"/>
        <v>#N/A</v>
      </c>
      <c r="AN235" s="300" t="e">
        <f t="shared" si="544"/>
        <v>#N/A</v>
      </c>
      <c r="AO235" s="83" t="e">
        <f>SUM(AI235:AN235)</f>
        <v>#N/A</v>
      </c>
      <c r="AR235" s="403"/>
      <c r="AS235" s="403"/>
      <c r="AT235" s="403"/>
      <c r="AU235" s="403" t="s">
        <v>1580</v>
      </c>
      <c r="AV235" s="403"/>
      <c r="AW235" s="403"/>
      <c r="AX235" s="403"/>
      <c r="AY235" s="403"/>
      <c r="AZ235" s="403"/>
      <c r="BA235" s="403"/>
      <c r="BB235" s="403"/>
      <c r="BC235" s="403"/>
      <c r="BD235" s="403"/>
      <c r="BE235" s="403"/>
      <c r="BF235" s="403"/>
      <c r="BG235" s="403"/>
      <c r="BH235" s="403"/>
      <c r="BI235" s="403"/>
      <c r="BJ235" s="403"/>
      <c r="BK235" s="403"/>
      <c r="BL235" s="403"/>
      <c r="BM235" s="403"/>
      <c r="BN235" s="403"/>
      <c r="BO235" s="403"/>
      <c r="BP235" s="403"/>
      <c r="BQ235" s="403"/>
      <c r="BR235" s="403"/>
      <c r="BS235" s="403"/>
      <c r="BT235" s="403"/>
      <c r="BU235" s="403"/>
      <c r="BV235" s="403"/>
      <c r="BW235" s="403"/>
      <c r="BX235" s="403"/>
      <c r="BY235" s="403"/>
      <c r="BZ235" s="403"/>
      <c r="CA235" s="403"/>
      <c r="CB235" s="403"/>
      <c r="CC235" s="403" t="s">
        <v>8457</v>
      </c>
      <c r="CD235" s="403"/>
      <c r="CE235" s="403"/>
      <c r="CF235" s="403"/>
      <c r="CG235" s="403"/>
      <c r="CH235" s="403"/>
      <c r="CI235" s="403"/>
      <c r="CJ235" s="403"/>
      <c r="CK235" s="403"/>
      <c r="CL235" s="403"/>
      <c r="CM235" s="403"/>
      <c r="CN235" s="403"/>
      <c r="CO235" s="403"/>
      <c r="CP235" s="403"/>
      <c r="CQ235" s="403"/>
      <c r="CR235" s="403"/>
      <c r="CS235" s="403"/>
      <c r="CT235" s="403"/>
      <c r="CU235" s="403"/>
      <c r="CV235" s="403"/>
      <c r="CW235" s="403"/>
      <c r="CX235" s="403"/>
      <c r="CY235" s="403"/>
      <c r="CZ235" s="403"/>
      <c r="DA235" s="403"/>
      <c r="DB235" s="403"/>
      <c r="DC235" s="403"/>
      <c r="DD235" s="403"/>
      <c r="DE235" s="403"/>
      <c r="DF235" s="403"/>
      <c r="DG235" s="403"/>
      <c r="DH235" s="403"/>
      <c r="DI235" s="403"/>
      <c r="DJ235" s="403"/>
      <c r="DK235" s="403" t="s">
        <v>9147</v>
      </c>
      <c r="DL235" s="403"/>
      <c r="DM235" s="403"/>
      <c r="DN235" s="403"/>
      <c r="DO235" s="403"/>
      <c r="DP235" s="403"/>
      <c r="DQ235" s="403"/>
      <c r="DR235" s="403"/>
      <c r="DS235" s="403"/>
      <c r="DT235" s="403"/>
      <c r="DU235" s="403"/>
      <c r="DV235" s="403"/>
      <c r="DW235" s="403"/>
      <c r="DX235" s="403"/>
      <c r="DY235" s="403"/>
      <c r="DZ235" s="403"/>
      <c r="EA235" s="403"/>
      <c r="EB235" s="403"/>
      <c r="EC235" s="403"/>
      <c r="ED235" s="403"/>
      <c r="EE235" s="403"/>
      <c r="EF235" s="403"/>
      <c r="EG235" s="403"/>
      <c r="EH235" s="403"/>
      <c r="EI235" s="403"/>
      <c r="EJ235" s="403"/>
      <c r="EK235" s="403"/>
      <c r="EL235" s="403"/>
      <c r="EM235" s="403"/>
      <c r="EN235" s="403"/>
      <c r="EO235" s="403"/>
      <c r="EP235" s="403"/>
      <c r="EQ235" s="403"/>
      <c r="ER235" s="403"/>
      <c r="ES235" s="403" t="s">
        <v>8579</v>
      </c>
      <c r="ET235" s="403"/>
      <c r="EU235" s="403"/>
      <c r="EV235" s="403"/>
      <c r="EW235" s="403"/>
      <c r="EX235" s="403"/>
      <c r="EY235" s="403"/>
      <c r="EZ235" s="403"/>
      <c r="FA235" s="403"/>
      <c r="FB235" s="403"/>
      <c r="FC235" s="403"/>
      <c r="FD235" s="403"/>
      <c r="FE235" s="403"/>
      <c r="FF235" s="403"/>
      <c r="FG235" s="403"/>
      <c r="FH235" s="403"/>
      <c r="FI235" s="403"/>
      <c r="FJ235" s="403"/>
      <c r="FK235" s="403"/>
      <c r="FL235" s="403"/>
      <c r="FM235" s="403"/>
      <c r="FN235" s="403"/>
      <c r="FO235" s="403"/>
      <c r="FP235" s="403"/>
      <c r="FQ235" s="403"/>
      <c r="FR235" s="403"/>
      <c r="FS235" s="403"/>
      <c r="FT235" s="403"/>
      <c r="FU235" s="403"/>
      <c r="FV235" s="403"/>
      <c r="FW235" s="403"/>
      <c r="FX235" s="403"/>
      <c r="FY235" s="403"/>
      <c r="FZ235" s="403"/>
      <c r="GA235" s="403" t="s">
        <v>8463</v>
      </c>
      <c r="GB235" s="403"/>
      <c r="GC235" s="403"/>
      <c r="GD235" s="403"/>
      <c r="GE235" s="403"/>
      <c r="GF235" s="403"/>
      <c r="GG235" s="403"/>
      <c r="GH235" s="403"/>
      <c r="GI235" s="403"/>
      <c r="GJ235" s="403"/>
      <c r="GK235" s="403"/>
      <c r="GL235" s="403"/>
      <c r="GM235" s="403"/>
      <c r="GN235" s="403"/>
      <c r="GO235" s="403"/>
      <c r="GP235" s="403"/>
      <c r="GQ235" s="403"/>
      <c r="GR235" s="403"/>
      <c r="GS235" s="403"/>
      <c r="GT235" s="403"/>
      <c r="GU235" s="403"/>
      <c r="GV235" s="403"/>
      <c r="GW235" s="403"/>
      <c r="GX235" s="403"/>
      <c r="GY235" s="403"/>
      <c r="GZ235" s="403"/>
      <c r="HA235" s="403"/>
      <c r="HB235" s="403"/>
      <c r="HC235" s="403"/>
      <c r="HD235" s="403"/>
      <c r="HE235" s="403"/>
      <c r="HF235" s="403"/>
      <c r="HG235" s="403"/>
      <c r="HH235" s="403"/>
      <c r="HI235" s="403" t="s">
        <v>8465</v>
      </c>
      <c r="HJ235" s="403"/>
      <c r="HK235" s="403"/>
      <c r="HL235" s="403"/>
      <c r="HM235" s="403"/>
      <c r="HN235" s="403"/>
      <c r="HO235" s="403"/>
      <c r="HP235" s="403"/>
      <c r="HQ235" s="403"/>
      <c r="HR235" s="403"/>
      <c r="HS235" s="403"/>
      <c r="HT235" s="403"/>
      <c r="HU235" s="403"/>
      <c r="HV235" s="403"/>
      <c r="HW235" s="403"/>
      <c r="HX235" s="403"/>
      <c r="HY235" s="403"/>
      <c r="HZ235" s="403"/>
      <c r="IA235" s="403"/>
      <c r="IB235" s="403"/>
      <c r="IC235" s="403"/>
      <c r="ID235" s="403"/>
      <c r="IE235" s="403"/>
      <c r="IF235" s="403"/>
      <c r="IG235" s="403"/>
      <c r="IH235" s="403"/>
      <c r="II235" s="403"/>
      <c r="IJ235" s="403"/>
      <c r="IK235" s="403"/>
      <c r="IL235" s="403"/>
      <c r="IM235" s="403"/>
      <c r="IN235" s="403"/>
      <c r="IO235" s="403"/>
      <c r="IP235" s="403"/>
      <c r="IQ235" s="403" t="s">
        <v>8467</v>
      </c>
      <c r="IR235" s="403"/>
      <c r="IS235" s="403"/>
      <c r="IT235" s="403"/>
      <c r="IU235" s="403"/>
      <c r="IV235" s="403"/>
      <c r="IW235" s="403"/>
      <c r="IX235" s="403"/>
      <c r="IY235" s="403"/>
      <c r="IZ235" s="403"/>
      <c r="JA235" s="403"/>
      <c r="JB235" s="403"/>
      <c r="JC235" s="403"/>
      <c r="JD235" s="403"/>
      <c r="JE235" s="403"/>
      <c r="JF235" s="403"/>
      <c r="JG235" s="403"/>
      <c r="JH235" s="403"/>
      <c r="JI235" s="403"/>
      <c r="JJ235" s="403"/>
      <c r="JK235" s="403"/>
      <c r="JL235" s="403"/>
      <c r="JM235" s="403"/>
      <c r="JN235" s="403"/>
      <c r="JO235" s="403"/>
      <c r="JP235" s="403"/>
      <c r="JQ235" s="403"/>
      <c r="JR235" s="403"/>
      <c r="JS235" s="403"/>
      <c r="JT235" s="403"/>
    </row>
    <row r="236" spans="1:280" s="15" customFormat="1" ht="12.75" x14ac:dyDescent="0.2">
      <c r="A236" s="9"/>
      <c r="B236" s="624"/>
      <c r="C236" s="23" t="str">
        <f ca="1">IF(OFFSET(AU236,0,Lang_Order*Lang__B5)="","",OFFSET(AU236,0,Lang_Order*Lang__B5))</f>
        <v>Per Vaccinated Person</v>
      </c>
      <c r="E236" s="26"/>
      <c r="F236" s="26"/>
      <c r="G236" s="26"/>
      <c r="H236" s="26"/>
      <c r="I236" s="26"/>
      <c r="J236" s="37" t="e">
        <f t="shared" ref="J236:O236" si="545">J191*AUCs_AddInterventions_perPerson</f>
        <v>#N/A</v>
      </c>
      <c r="K236" s="37" t="e">
        <f t="shared" si="545"/>
        <v>#N/A</v>
      </c>
      <c r="L236" s="37" t="e">
        <f t="shared" si="545"/>
        <v>#N/A</v>
      </c>
      <c r="M236" s="37" t="e">
        <f t="shared" si="545"/>
        <v>#N/A</v>
      </c>
      <c r="N236" s="37" t="e">
        <f t="shared" si="545"/>
        <v>#N/A</v>
      </c>
      <c r="O236" s="37" t="e">
        <f t="shared" si="545"/>
        <v>#N/A</v>
      </c>
      <c r="P236" s="83" t="e">
        <f>SUM(J236:O236)</f>
        <v>#N/A</v>
      </c>
      <c r="Q236" s="83"/>
      <c r="R236" s="12" t="str">
        <f t="shared" ca="1" si="460"/>
        <v/>
      </c>
      <c r="S236" s="2"/>
      <c r="T236" s="241"/>
      <c r="U236" s="624"/>
      <c r="V236" s="72" t="str">
        <f ca="1">IF(OFFSET(AU236,0,Lang_Order*Lang__B5)="","",OFFSET(AU236,0,Lang_Order*Lang__B5))</f>
        <v>Per Vaccinated Person</v>
      </c>
      <c r="W236" s="37" t="e">
        <f t="shared" ref="W236" si="546">J236</f>
        <v>#N/A</v>
      </c>
      <c r="X236" s="37" t="e">
        <f t="shared" ref="X236" si="547">K236</f>
        <v>#N/A</v>
      </c>
      <c r="Y236" s="37" t="e">
        <f t="shared" ref="Y236" si="548">L236</f>
        <v>#N/A</v>
      </c>
      <c r="Z236" s="37" t="e">
        <f t="shared" ref="Z236" si="549">M236</f>
        <v>#N/A</v>
      </c>
      <c r="AA236" s="37" t="e">
        <f t="shared" ref="AA236" si="550">N236</f>
        <v>#N/A</v>
      </c>
      <c r="AB236" s="37" t="e">
        <f t="shared" ref="AB236" si="551">O236</f>
        <v>#N/A</v>
      </c>
      <c r="AC236" s="83" t="e">
        <f>SUM(W236:AB236)</f>
        <v>#N/A</v>
      </c>
      <c r="AE236" s="72" t="s">
        <v>3042</v>
      </c>
      <c r="AF236" s="241"/>
      <c r="AG236" s="624"/>
      <c r="AH236" s="72" t="str">
        <f ca="1">IF(OFFSET(AU236,0,Lang_Order*Lang__B5)="","",OFFSET(AU236,0,Lang_Order*Lang__B5))</f>
        <v>Per Vaccinated Person</v>
      </c>
      <c r="AI236" s="37" t="e">
        <f t="shared" ref="AI236" si="552">J236</f>
        <v>#N/A</v>
      </c>
      <c r="AJ236" s="37" t="e">
        <f t="shared" ref="AJ236" si="553">K236</f>
        <v>#N/A</v>
      </c>
      <c r="AK236" s="37" t="e">
        <f t="shared" ref="AK236" si="554">L236</f>
        <v>#N/A</v>
      </c>
      <c r="AL236" s="37" t="e">
        <f t="shared" ref="AL236" si="555">M236</f>
        <v>#N/A</v>
      </c>
      <c r="AM236" s="37" t="e">
        <f t="shared" ref="AM236" si="556">N236</f>
        <v>#N/A</v>
      </c>
      <c r="AN236" s="37" t="e">
        <f t="shared" ref="AN236" si="557">O236</f>
        <v>#N/A</v>
      </c>
      <c r="AO236" s="83" t="e">
        <f>SUM(AI236:AN236)</f>
        <v>#N/A</v>
      </c>
      <c r="AR236" s="403"/>
      <c r="AS236" s="403"/>
      <c r="AT236" s="403"/>
      <c r="AU236" s="403" t="s">
        <v>1588</v>
      </c>
      <c r="AV236" s="403"/>
      <c r="AW236" s="403"/>
      <c r="AX236" s="403"/>
      <c r="AY236" s="403"/>
      <c r="AZ236" s="403"/>
      <c r="BA236" s="403"/>
      <c r="BB236" s="403"/>
      <c r="BC236" s="403"/>
      <c r="BD236" s="403"/>
      <c r="BE236" s="403"/>
      <c r="BF236" s="403"/>
      <c r="BG236" s="403"/>
      <c r="BH236" s="403"/>
      <c r="BI236" s="403"/>
      <c r="BJ236" s="403"/>
      <c r="BK236" s="403"/>
      <c r="BL236" s="403"/>
      <c r="BM236" s="403"/>
      <c r="BN236" s="403"/>
      <c r="BO236" s="403"/>
      <c r="BP236" s="403"/>
      <c r="BQ236" s="403"/>
      <c r="BR236" s="403"/>
      <c r="BS236" s="403"/>
      <c r="BT236" s="403"/>
      <c r="BU236" s="403"/>
      <c r="BV236" s="403"/>
      <c r="BW236" s="403"/>
      <c r="BX236" s="403"/>
      <c r="BY236" s="403"/>
      <c r="BZ236" s="403"/>
      <c r="CA236" s="403"/>
      <c r="CB236" s="403"/>
      <c r="CC236" s="403" t="s">
        <v>12088</v>
      </c>
      <c r="CD236" s="403"/>
      <c r="CE236" s="403"/>
      <c r="CF236" s="403"/>
      <c r="CG236" s="403"/>
      <c r="CH236" s="403"/>
      <c r="CI236" s="403"/>
      <c r="CJ236" s="403"/>
      <c r="CK236" s="403"/>
      <c r="CL236" s="403"/>
      <c r="CM236" s="403"/>
      <c r="CN236" s="403"/>
      <c r="CO236" s="403"/>
      <c r="CP236" s="403"/>
      <c r="CQ236" s="403"/>
      <c r="CR236" s="403"/>
      <c r="CS236" s="403"/>
      <c r="CT236" s="403"/>
      <c r="CU236" s="403"/>
      <c r="CV236" s="403"/>
      <c r="CW236" s="403"/>
      <c r="CX236" s="403"/>
      <c r="CY236" s="403"/>
      <c r="CZ236" s="403"/>
      <c r="DA236" s="403"/>
      <c r="DB236" s="403"/>
      <c r="DC236" s="403"/>
      <c r="DD236" s="403"/>
      <c r="DE236" s="403"/>
      <c r="DF236" s="403"/>
      <c r="DG236" s="403"/>
      <c r="DH236" s="403"/>
      <c r="DI236" s="403"/>
      <c r="DJ236" s="403"/>
      <c r="DK236" s="403" t="s">
        <v>12089</v>
      </c>
      <c r="DL236" s="403"/>
      <c r="DM236" s="403"/>
      <c r="DN236" s="403"/>
      <c r="DO236" s="403"/>
      <c r="DP236" s="403"/>
      <c r="DQ236" s="403"/>
      <c r="DR236" s="403"/>
      <c r="DS236" s="403"/>
      <c r="DT236" s="403"/>
      <c r="DU236" s="403"/>
      <c r="DV236" s="403"/>
      <c r="DW236" s="403"/>
      <c r="DX236" s="403"/>
      <c r="DY236" s="403"/>
      <c r="DZ236" s="403"/>
      <c r="EA236" s="403"/>
      <c r="EB236" s="403"/>
      <c r="EC236" s="403"/>
      <c r="ED236" s="403"/>
      <c r="EE236" s="403"/>
      <c r="EF236" s="403"/>
      <c r="EG236" s="403"/>
      <c r="EH236" s="403"/>
      <c r="EI236" s="403"/>
      <c r="EJ236" s="403"/>
      <c r="EK236" s="403"/>
      <c r="EL236" s="403"/>
      <c r="EM236" s="403"/>
      <c r="EN236" s="403"/>
      <c r="EO236" s="403"/>
      <c r="EP236" s="403"/>
      <c r="EQ236" s="403"/>
      <c r="ER236" s="403"/>
      <c r="ES236" s="403" t="s">
        <v>12090</v>
      </c>
      <c r="ET236" s="403"/>
      <c r="EU236" s="403"/>
      <c r="EV236" s="403"/>
      <c r="EW236" s="403"/>
      <c r="EX236" s="403"/>
      <c r="EY236" s="403"/>
      <c r="EZ236" s="403"/>
      <c r="FA236" s="403"/>
      <c r="FB236" s="403"/>
      <c r="FC236" s="403"/>
      <c r="FD236" s="403"/>
      <c r="FE236" s="403"/>
      <c r="FF236" s="403"/>
      <c r="FG236" s="403"/>
      <c r="FH236" s="403"/>
      <c r="FI236" s="403"/>
      <c r="FJ236" s="403"/>
      <c r="FK236" s="403"/>
      <c r="FL236" s="403"/>
      <c r="FM236" s="403"/>
      <c r="FN236" s="403"/>
      <c r="FO236" s="403"/>
      <c r="FP236" s="403"/>
      <c r="FQ236" s="403"/>
      <c r="FR236" s="403"/>
      <c r="FS236" s="403"/>
      <c r="FT236" s="403"/>
      <c r="FU236" s="403"/>
      <c r="FV236" s="403"/>
      <c r="FW236" s="403"/>
      <c r="FX236" s="403"/>
      <c r="FY236" s="403"/>
      <c r="FZ236" s="403"/>
      <c r="GA236" s="403" t="s">
        <v>12091</v>
      </c>
      <c r="GB236" s="403"/>
      <c r="GC236" s="403"/>
      <c r="GD236" s="403"/>
      <c r="GE236" s="403"/>
      <c r="GF236" s="403"/>
      <c r="GG236" s="403"/>
      <c r="GH236" s="403"/>
      <c r="GI236" s="403"/>
      <c r="GJ236" s="403"/>
      <c r="GK236" s="403"/>
      <c r="GL236" s="403"/>
      <c r="GM236" s="403"/>
      <c r="GN236" s="403"/>
      <c r="GO236" s="403"/>
      <c r="GP236" s="403"/>
      <c r="GQ236" s="403"/>
      <c r="GR236" s="403"/>
      <c r="GS236" s="403"/>
      <c r="GT236" s="403"/>
      <c r="GU236" s="403"/>
      <c r="GV236" s="403"/>
      <c r="GW236" s="403"/>
      <c r="GX236" s="403"/>
      <c r="GY236" s="403"/>
      <c r="GZ236" s="403"/>
      <c r="HA236" s="403"/>
      <c r="HB236" s="403"/>
      <c r="HC236" s="403"/>
      <c r="HD236" s="403"/>
      <c r="HE236" s="403"/>
      <c r="HF236" s="403"/>
      <c r="HG236" s="403"/>
      <c r="HH236" s="403"/>
      <c r="HI236" s="403" t="s">
        <v>12093</v>
      </c>
      <c r="HJ236" s="403"/>
      <c r="HK236" s="403"/>
      <c r="HL236" s="403"/>
      <c r="HM236" s="403"/>
      <c r="HN236" s="403"/>
      <c r="HO236" s="403"/>
      <c r="HP236" s="403"/>
      <c r="HQ236" s="403"/>
      <c r="HR236" s="403"/>
      <c r="HS236" s="403"/>
      <c r="HT236" s="403"/>
      <c r="HU236" s="403"/>
      <c r="HV236" s="403"/>
      <c r="HW236" s="403"/>
      <c r="HX236" s="403"/>
      <c r="HY236" s="403"/>
      <c r="HZ236" s="403"/>
      <c r="IA236" s="403"/>
      <c r="IB236" s="403"/>
      <c r="IC236" s="403"/>
      <c r="ID236" s="403"/>
      <c r="IE236" s="403"/>
      <c r="IF236" s="403"/>
      <c r="IG236" s="403"/>
      <c r="IH236" s="403"/>
      <c r="II236" s="403"/>
      <c r="IJ236" s="403"/>
      <c r="IK236" s="403"/>
      <c r="IL236" s="403"/>
      <c r="IM236" s="403"/>
      <c r="IN236" s="403"/>
      <c r="IO236" s="403"/>
      <c r="IP236" s="403"/>
      <c r="IQ236" s="403" t="s">
        <v>12092</v>
      </c>
      <c r="IR236" s="403"/>
      <c r="IS236" s="403"/>
      <c r="IT236" s="403"/>
      <c r="IU236" s="403"/>
      <c r="IV236" s="403"/>
      <c r="IW236" s="403"/>
      <c r="IX236" s="403"/>
      <c r="IY236" s="403"/>
      <c r="IZ236" s="403"/>
      <c r="JA236" s="403"/>
      <c r="JB236" s="403"/>
      <c r="JC236" s="403"/>
      <c r="JD236" s="403"/>
      <c r="JE236" s="403"/>
      <c r="JF236" s="403"/>
      <c r="JG236" s="403"/>
      <c r="JH236" s="403"/>
      <c r="JI236" s="403"/>
      <c r="JJ236" s="403"/>
      <c r="JK236" s="403"/>
      <c r="JL236" s="403"/>
      <c r="JM236" s="403"/>
      <c r="JN236" s="403"/>
      <c r="JO236" s="403"/>
      <c r="JP236" s="403"/>
      <c r="JQ236" s="403"/>
      <c r="JR236" s="403"/>
      <c r="JS236" s="403"/>
      <c r="JT236" s="403"/>
    </row>
    <row r="237" spans="1:280" s="15" customFormat="1" ht="12.75" x14ac:dyDescent="0.2">
      <c r="B237" s="622"/>
      <c r="S237" s="2"/>
      <c r="T237" s="241"/>
      <c r="U237" s="622"/>
      <c r="V237" s="2"/>
      <c r="AE237" s="2"/>
      <c r="AF237" s="241"/>
      <c r="AG237" s="622"/>
      <c r="AH237" s="2"/>
      <c r="AR237" s="403"/>
      <c r="AS237" s="403"/>
      <c r="AT237" s="403"/>
      <c r="AU237" s="403"/>
      <c r="AV237" s="403"/>
      <c r="AW237" s="403"/>
      <c r="AX237" s="403"/>
      <c r="AY237" s="403"/>
      <c r="AZ237" s="403"/>
      <c r="BA237" s="403"/>
      <c r="BB237" s="403"/>
      <c r="BC237" s="403"/>
      <c r="BD237" s="403"/>
      <c r="BE237" s="403"/>
      <c r="BF237" s="403"/>
      <c r="BG237" s="403"/>
      <c r="BH237" s="403"/>
      <c r="BI237" s="403"/>
      <c r="BJ237" s="403"/>
      <c r="BK237" s="403"/>
      <c r="BL237" s="403"/>
      <c r="BM237" s="403"/>
      <c r="BN237" s="403"/>
      <c r="BO237" s="403"/>
      <c r="BP237" s="403"/>
      <c r="BQ237" s="403"/>
      <c r="BR237" s="403"/>
      <c r="BS237" s="403"/>
      <c r="BT237" s="403"/>
      <c r="BU237" s="403"/>
      <c r="BV237" s="403"/>
      <c r="BW237" s="403"/>
      <c r="BX237" s="403"/>
      <c r="BY237" s="403"/>
      <c r="BZ237" s="403"/>
      <c r="CA237" s="403"/>
      <c r="CB237" s="403"/>
      <c r="CC237" s="403"/>
      <c r="CD237" s="403"/>
      <c r="CE237" s="403"/>
      <c r="CF237" s="403"/>
      <c r="CG237" s="403"/>
      <c r="CH237" s="403"/>
      <c r="CI237" s="403"/>
      <c r="CJ237" s="403"/>
      <c r="CK237" s="403"/>
      <c r="CL237" s="403"/>
      <c r="CM237" s="403"/>
      <c r="CN237" s="403"/>
      <c r="CO237" s="403"/>
      <c r="CP237" s="403"/>
      <c r="CQ237" s="403"/>
      <c r="CR237" s="403"/>
      <c r="CS237" s="403"/>
      <c r="CT237" s="403"/>
      <c r="CU237" s="403"/>
      <c r="CV237" s="403"/>
      <c r="CW237" s="403"/>
      <c r="CX237" s="403"/>
      <c r="CY237" s="403"/>
      <c r="CZ237" s="403"/>
      <c r="DA237" s="403"/>
      <c r="DB237" s="403"/>
      <c r="DC237" s="403"/>
      <c r="DD237" s="403"/>
      <c r="DE237" s="403"/>
      <c r="DF237" s="403"/>
      <c r="DG237" s="403"/>
      <c r="DH237" s="403"/>
      <c r="DI237" s="403"/>
      <c r="DJ237" s="403"/>
      <c r="DK237" s="403"/>
      <c r="DL237" s="403"/>
      <c r="DM237" s="403"/>
      <c r="DN237" s="403"/>
      <c r="DO237" s="403"/>
      <c r="DP237" s="403"/>
      <c r="DQ237" s="403"/>
      <c r="DR237" s="403"/>
      <c r="DS237" s="403"/>
      <c r="DT237" s="403"/>
      <c r="DU237" s="403"/>
      <c r="DV237" s="403"/>
      <c r="DW237" s="403"/>
      <c r="DX237" s="403"/>
      <c r="DY237" s="403"/>
      <c r="DZ237" s="403"/>
      <c r="EA237" s="403"/>
      <c r="EB237" s="403"/>
      <c r="EC237" s="403"/>
      <c r="ED237" s="403"/>
      <c r="EE237" s="403"/>
      <c r="EF237" s="403"/>
      <c r="EG237" s="403"/>
      <c r="EH237" s="403"/>
      <c r="EI237" s="403"/>
      <c r="EJ237" s="403"/>
      <c r="EK237" s="403"/>
      <c r="EL237" s="403"/>
      <c r="EM237" s="403"/>
      <c r="EN237" s="403"/>
      <c r="EO237" s="403"/>
      <c r="EP237" s="403"/>
      <c r="EQ237" s="403"/>
      <c r="ER237" s="403"/>
      <c r="ES237" s="403"/>
      <c r="ET237" s="403"/>
      <c r="EU237" s="403"/>
      <c r="EV237" s="403"/>
      <c r="EW237" s="403"/>
      <c r="EX237" s="403"/>
      <c r="EY237" s="403"/>
      <c r="EZ237" s="403"/>
      <c r="FA237" s="403"/>
      <c r="FB237" s="403"/>
      <c r="FC237" s="403"/>
      <c r="FD237" s="403"/>
      <c r="FE237" s="403"/>
      <c r="FF237" s="403"/>
      <c r="FG237" s="403"/>
      <c r="FH237" s="403"/>
      <c r="FI237" s="403"/>
      <c r="FJ237" s="403"/>
      <c r="FK237" s="403"/>
      <c r="FL237" s="403"/>
      <c r="FM237" s="403"/>
      <c r="FN237" s="403"/>
      <c r="FO237" s="403"/>
      <c r="FP237" s="403"/>
      <c r="FQ237" s="403"/>
      <c r="FR237" s="403"/>
      <c r="FS237" s="403"/>
      <c r="FT237" s="403"/>
      <c r="FU237" s="403"/>
      <c r="FV237" s="403"/>
      <c r="FW237" s="403"/>
      <c r="FX237" s="403"/>
      <c r="FY237" s="403"/>
      <c r="FZ237" s="403"/>
      <c r="GA237" s="403"/>
      <c r="GB237" s="403"/>
      <c r="GC237" s="403"/>
      <c r="GD237" s="403"/>
      <c r="GE237" s="403"/>
      <c r="GF237" s="403"/>
      <c r="GG237" s="403"/>
      <c r="GH237" s="403"/>
      <c r="GI237" s="403"/>
      <c r="GJ237" s="403"/>
      <c r="GK237" s="403"/>
      <c r="GL237" s="403"/>
      <c r="GM237" s="403"/>
      <c r="GN237" s="403"/>
      <c r="GO237" s="403"/>
      <c r="GP237" s="403"/>
      <c r="GQ237" s="403"/>
      <c r="GR237" s="403"/>
      <c r="GS237" s="403"/>
      <c r="GT237" s="403"/>
      <c r="GU237" s="403"/>
      <c r="GV237" s="403"/>
      <c r="GW237" s="403"/>
      <c r="GX237" s="403"/>
      <c r="GY237" s="403"/>
      <c r="GZ237" s="403"/>
      <c r="HA237" s="403"/>
      <c r="HB237" s="403"/>
      <c r="HC237" s="403"/>
      <c r="HD237" s="403"/>
      <c r="HE237" s="403"/>
      <c r="HF237" s="403"/>
      <c r="HG237" s="403"/>
      <c r="HH237" s="403"/>
      <c r="HI237" s="403"/>
      <c r="HJ237" s="403"/>
      <c r="HK237" s="403"/>
      <c r="HL237" s="403"/>
      <c r="HM237" s="403"/>
      <c r="HN237" s="403"/>
      <c r="HO237" s="403"/>
      <c r="HP237" s="403"/>
      <c r="HQ237" s="403"/>
      <c r="HR237" s="403"/>
      <c r="HS237" s="403"/>
      <c r="HT237" s="403"/>
      <c r="HU237" s="403"/>
      <c r="HV237" s="403"/>
      <c r="HW237" s="403"/>
      <c r="HX237" s="403"/>
      <c r="HY237" s="403"/>
      <c r="HZ237" s="403"/>
      <c r="IA237" s="403"/>
      <c r="IB237" s="403"/>
      <c r="IC237" s="403"/>
      <c r="ID237" s="403"/>
      <c r="IE237" s="403"/>
      <c r="IF237" s="403"/>
      <c r="IG237" s="403"/>
      <c r="IH237" s="403"/>
      <c r="II237" s="403"/>
      <c r="IJ237" s="403"/>
      <c r="IK237" s="403"/>
      <c r="IL237" s="403"/>
      <c r="IM237" s="403"/>
      <c r="IN237" s="403"/>
      <c r="IO237" s="403"/>
      <c r="IP237" s="403"/>
      <c r="IQ237" s="403"/>
      <c r="IR237" s="403"/>
      <c r="IS237" s="403"/>
      <c r="IT237" s="403"/>
      <c r="IU237" s="403"/>
      <c r="IV237" s="403"/>
      <c r="IW237" s="403"/>
      <c r="IX237" s="403"/>
      <c r="IY237" s="403"/>
      <c r="IZ237" s="403"/>
      <c r="JA237" s="403"/>
      <c r="JB237" s="403"/>
      <c r="JC237" s="403"/>
      <c r="JD237" s="403"/>
      <c r="JE237" s="403"/>
      <c r="JF237" s="403"/>
      <c r="JG237" s="403"/>
      <c r="JH237" s="403"/>
      <c r="JI237" s="403"/>
      <c r="JJ237" s="403"/>
      <c r="JK237" s="403"/>
      <c r="JL237" s="403"/>
      <c r="JM237" s="403"/>
      <c r="JN237" s="403"/>
      <c r="JO237" s="403"/>
      <c r="JP237" s="403"/>
      <c r="JQ237" s="403"/>
      <c r="JR237" s="403"/>
      <c r="JS237" s="403"/>
      <c r="JT237" s="403"/>
    </row>
    <row r="238" spans="1:280" s="15" customFormat="1" ht="12.75" x14ac:dyDescent="0.2">
      <c r="B238" s="622"/>
      <c r="D238" s="2" t="str">
        <f t="shared" ref="D238:P238" ca="1" si="558">IF(OFFSET(AV238,0,Lang_Order*Lang__B5)="","",OFFSET(AV238,0,Lang_Order*Lang__B5))</f>
        <v>Vaccine</v>
      </c>
      <c r="E238" s="2" t="str">
        <f t="shared" ca="1" si="558"/>
        <v>Doses per course</v>
      </c>
      <c r="F238" s="2" t="str">
        <f t="shared" ca="1" si="558"/>
        <v>Sites</v>
      </c>
      <c r="G238" s="73" t="str">
        <f t="shared" ca="1" si="558"/>
        <v>Time</v>
      </c>
      <c r="H238" s="73" t="str">
        <f t="shared" ca="1" si="558"/>
        <v>Volume per dose (cm3)</v>
      </c>
      <c r="I238" s="73" t="str">
        <f t="shared" ca="1" si="558"/>
        <v>Days between doses</v>
      </c>
      <c r="J238" s="708" t="str">
        <f t="shared" ca="1" si="558"/>
        <v>How many courses?</v>
      </c>
      <c r="K238" s="708" t="str">
        <f t="shared" ca="1" si="558"/>
        <v/>
      </c>
      <c r="L238" s="708" t="str">
        <f t="shared" ca="1" si="558"/>
        <v/>
      </c>
      <c r="M238" s="708" t="str">
        <f t="shared" ca="1" si="558"/>
        <v/>
      </c>
      <c r="N238" s="708" t="str">
        <f t="shared" ca="1" si="558"/>
        <v/>
      </c>
      <c r="O238" s="708" t="str">
        <f t="shared" ca="1" si="558"/>
        <v/>
      </c>
      <c r="P238" s="2" t="str">
        <f t="shared" ca="1" si="558"/>
        <v>Total</v>
      </c>
      <c r="Q238" s="2"/>
      <c r="R238" s="2"/>
      <c r="S238" s="2"/>
      <c r="T238" s="73" t="str">
        <f ca="1">IF(OFFSET(AS238,0,Lang_Order*Lang__B5)="","",OFFSET(AS238,0,Lang_Order*Lang__B5))</f>
        <v/>
      </c>
      <c r="U238" s="635"/>
      <c r="V238" s="73"/>
      <c r="W238" s="708"/>
      <c r="X238" s="708"/>
      <c r="Y238" s="708"/>
      <c r="Z238" s="708"/>
      <c r="AA238" s="708"/>
      <c r="AB238" s="708"/>
      <c r="AC238" s="2"/>
      <c r="AD238" s="2"/>
      <c r="AE238" s="2"/>
      <c r="AF238" s="73"/>
      <c r="AG238" s="90"/>
      <c r="AH238" s="2"/>
      <c r="AI238" s="2"/>
      <c r="AJ238" s="2"/>
      <c r="AK238" s="2"/>
      <c r="AL238" s="2"/>
      <c r="AM238" s="2"/>
      <c r="AN238" s="2"/>
      <c r="AO238" s="2"/>
      <c r="AP238" s="2"/>
      <c r="AR238" s="403"/>
      <c r="AS238" s="403"/>
      <c r="AT238" s="403"/>
      <c r="AU238" s="403"/>
      <c r="AV238" s="403" t="s">
        <v>1574</v>
      </c>
      <c r="AW238" s="403" t="s">
        <v>1607</v>
      </c>
      <c r="AX238" s="403" t="s">
        <v>1615</v>
      </c>
      <c r="AY238" s="403" t="s">
        <v>1636</v>
      </c>
      <c r="AZ238" s="403" t="s">
        <v>1642</v>
      </c>
      <c r="BA238" s="403" t="s">
        <v>1643</v>
      </c>
      <c r="BB238" s="403" t="s">
        <v>1606</v>
      </c>
      <c r="BC238" s="403"/>
      <c r="BD238" s="403"/>
      <c r="BE238" s="403"/>
      <c r="BF238" s="403"/>
      <c r="BG238" s="403"/>
      <c r="BH238" s="403" t="s">
        <v>1605</v>
      </c>
      <c r="BI238" s="403"/>
      <c r="BJ238" s="403"/>
      <c r="BK238" s="403"/>
      <c r="BL238" s="403"/>
      <c r="BM238" s="403"/>
      <c r="BN238" s="403"/>
      <c r="BO238" s="403"/>
      <c r="BP238" s="403"/>
      <c r="BQ238" s="403"/>
      <c r="BR238" s="403"/>
      <c r="BS238" s="403"/>
      <c r="BT238" s="403"/>
      <c r="BU238" s="403"/>
      <c r="BV238" s="403"/>
      <c r="BW238" s="403"/>
      <c r="BX238" s="403"/>
      <c r="BY238" s="403"/>
      <c r="BZ238" s="403"/>
      <c r="CA238" s="403"/>
      <c r="CB238" s="403"/>
      <c r="CC238" s="403"/>
      <c r="CD238" s="403" t="s">
        <v>10216</v>
      </c>
      <c r="CE238" s="403" t="s">
        <v>5731</v>
      </c>
      <c r="CF238" s="403" t="s">
        <v>1615</v>
      </c>
      <c r="CG238" s="403" t="s">
        <v>11795</v>
      </c>
      <c r="CH238" s="403" t="s">
        <v>11796</v>
      </c>
      <c r="CI238" s="403" t="s">
        <v>11797</v>
      </c>
      <c r="CJ238" s="403" t="s">
        <v>11798</v>
      </c>
      <c r="CK238" s="403"/>
      <c r="CL238" s="403"/>
      <c r="CM238" s="403"/>
      <c r="CN238" s="403"/>
      <c r="CO238" s="403"/>
      <c r="CP238" s="403" t="s">
        <v>1605</v>
      </c>
      <c r="CQ238" s="403"/>
      <c r="CR238" s="403"/>
      <c r="CS238" s="403"/>
      <c r="CT238" s="403"/>
      <c r="CU238" s="403"/>
      <c r="CV238" s="403"/>
      <c r="CW238" s="403"/>
      <c r="CX238" s="403"/>
      <c r="CY238" s="403"/>
      <c r="CZ238" s="403"/>
      <c r="DA238" s="403"/>
      <c r="DB238" s="403"/>
      <c r="DC238" s="403"/>
      <c r="DD238" s="403"/>
      <c r="DE238" s="403"/>
      <c r="DF238" s="403"/>
      <c r="DG238" s="403"/>
      <c r="DH238" s="403"/>
      <c r="DI238" s="403"/>
      <c r="DJ238" s="403"/>
      <c r="DK238" s="403"/>
      <c r="DL238" s="403" t="s">
        <v>10224</v>
      </c>
      <c r="DM238" s="403" t="s">
        <v>12094</v>
      </c>
      <c r="DN238" s="403" t="s">
        <v>11800</v>
      </c>
      <c r="DO238" s="403" t="s">
        <v>11801</v>
      </c>
      <c r="DP238" s="403" t="s">
        <v>11802</v>
      </c>
      <c r="DQ238" s="403" t="s">
        <v>11803</v>
      </c>
      <c r="DR238" s="403" t="s">
        <v>11804</v>
      </c>
      <c r="DS238" s="403"/>
      <c r="DT238" s="403"/>
      <c r="DU238" s="403"/>
      <c r="DV238" s="403"/>
      <c r="DW238" s="403"/>
      <c r="DX238" s="403" t="s">
        <v>4676</v>
      </c>
      <c r="DY238" s="403"/>
      <c r="DZ238" s="403"/>
      <c r="EA238" s="403"/>
      <c r="EB238" s="403"/>
      <c r="EC238" s="403"/>
      <c r="ED238" s="403"/>
      <c r="EE238" s="403"/>
      <c r="EF238" s="403"/>
      <c r="EG238" s="403"/>
      <c r="EH238" s="403"/>
      <c r="EI238" s="403"/>
      <c r="EJ238" s="403"/>
      <c r="EK238" s="403"/>
      <c r="EL238" s="403"/>
      <c r="EM238" s="403"/>
      <c r="EN238" s="403"/>
      <c r="EO238" s="403"/>
      <c r="EP238" s="403"/>
      <c r="EQ238" s="403"/>
      <c r="ER238" s="403"/>
      <c r="ES238" s="403"/>
      <c r="ET238" s="403" t="s">
        <v>10233</v>
      </c>
      <c r="EU238" s="403" t="s">
        <v>10022</v>
      </c>
      <c r="EV238" s="403" t="s">
        <v>11805</v>
      </c>
      <c r="EW238" s="403" t="s">
        <v>12096</v>
      </c>
      <c r="EX238" s="403" t="s">
        <v>11807</v>
      </c>
      <c r="EY238" s="403" t="s">
        <v>11808</v>
      </c>
      <c r="EZ238" s="403" t="s">
        <v>11809</v>
      </c>
      <c r="FA238" s="403"/>
      <c r="FB238" s="403"/>
      <c r="FC238" s="403"/>
      <c r="FD238" s="403"/>
      <c r="FE238" s="403"/>
      <c r="FF238" s="403" t="s">
        <v>1605</v>
      </c>
      <c r="FG238" s="403"/>
      <c r="FH238" s="403"/>
      <c r="FI238" s="403"/>
      <c r="FJ238" s="403"/>
      <c r="FK238" s="403"/>
      <c r="FL238" s="403"/>
      <c r="FM238" s="403"/>
      <c r="FN238" s="403"/>
      <c r="FO238" s="403"/>
      <c r="FP238" s="403"/>
      <c r="FQ238" s="403"/>
      <c r="FR238" s="403"/>
      <c r="FS238" s="403"/>
      <c r="FT238" s="403"/>
      <c r="FU238" s="403"/>
      <c r="FV238" s="403"/>
      <c r="FW238" s="403"/>
      <c r="FX238" s="403"/>
      <c r="FY238" s="403"/>
      <c r="FZ238" s="403"/>
      <c r="GA238" s="403"/>
      <c r="GB238" s="403" t="s">
        <v>10241</v>
      </c>
      <c r="GC238" s="403" t="s">
        <v>5775</v>
      </c>
      <c r="GD238" s="403" t="s">
        <v>11810</v>
      </c>
      <c r="GE238" s="403" t="s">
        <v>11811</v>
      </c>
      <c r="GF238" s="403" t="s">
        <v>11812</v>
      </c>
      <c r="GG238" s="403" t="s">
        <v>11813</v>
      </c>
      <c r="GH238" s="403" t="s">
        <v>11814</v>
      </c>
      <c r="GI238" s="403"/>
      <c r="GJ238" s="403"/>
      <c r="GK238" s="403"/>
      <c r="GL238" s="403"/>
      <c r="GM238" s="403"/>
      <c r="GN238" s="403" t="s">
        <v>1605</v>
      </c>
      <c r="GO238" s="403"/>
      <c r="GP238" s="403"/>
      <c r="GQ238" s="403"/>
      <c r="GR238" s="403"/>
      <c r="GS238" s="403"/>
      <c r="GT238" s="403"/>
      <c r="GU238" s="403"/>
      <c r="GV238" s="403"/>
      <c r="GW238" s="403"/>
      <c r="GX238" s="403"/>
      <c r="GY238" s="403"/>
      <c r="GZ238" s="403"/>
      <c r="HA238" s="403"/>
      <c r="HB238" s="403"/>
      <c r="HC238" s="403"/>
      <c r="HD238" s="403"/>
      <c r="HE238" s="403"/>
      <c r="HF238" s="403"/>
      <c r="HG238" s="403"/>
      <c r="HH238" s="403"/>
      <c r="HI238" s="403"/>
      <c r="HJ238" s="403" t="s">
        <v>10245</v>
      </c>
      <c r="HK238" s="403" t="s">
        <v>5788</v>
      </c>
      <c r="HL238" s="403" t="s">
        <v>11815</v>
      </c>
      <c r="HM238" s="403" t="s">
        <v>11816</v>
      </c>
      <c r="HN238" s="403" t="s">
        <v>11817</v>
      </c>
      <c r="HO238" s="403" t="s">
        <v>12097</v>
      </c>
      <c r="HP238" s="403" t="s">
        <v>11819</v>
      </c>
      <c r="HQ238" s="403"/>
      <c r="HR238" s="403"/>
      <c r="HS238" s="403"/>
      <c r="HT238" s="403"/>
      <c r="HU238" s="403"/>
      <c r="HV238" s="403" t="s">
        <v>4686</v>
      </c>
      <c r="HW238" s="403"/>
      <c r="HX238" s="403"/>
      <c r="HY238" s="403"/>
      <c r="HZ238" s="403"/>
      <c r="IA238" s="403"/>
      <c r="IB238" s="403"/>
      <c r="IC238" s="403"/>
      <c r="ID238" s="403"/>
      <c r="IE238" s="403"/>
      <c r="IF238" s="403"/>
      <c r="IG238" s="403"/>
      <c r="IH238" s="403"/>
      <c r="II238" s="403"/>
      <c r="IJ238" s="403"/>
      <c r="IK238" s="403"/>
      <c r="IL238" s="403"/>
      <c r="IM238" s="403"/>
      <c r="IN238" s="403"/>
      <c r="IO238" s="403"/>
      <c r="IP238" s="403"/>
      <c r="IQ238" s="403"/>
      <c r="IR238" s="403" t="s">
        <v>5643</v>
      </c>
      <c r="IS238" s="403" t="s">
        <v>5802</v>
      </c>
      <c r="IT238" s="403" t="s">
        <v>11820</v>
      </c>
      <c r="IU238" s="403" t="s">
        <v>11821</v>
      </c>
      <c r="IV238" s="403" t="s">
        <v>11822</v>
      </c>
      <c r="IW238" s="403" t="s">
        <v>11823</v>
      </c>
      <c r="IX238" s="403" t="s">
        <v>11824</v>
      </c>
      <c r="IY238" s="403"/>
      <c r="IZ238" s="403"/>
      <c r="JA238" s="403"/>
      <c r="JB238" s="403"/>
      <c r="JC238" s="403"/>
      <c r="JD238" s="403" t="s">
        <v>4694</v>
      </c>
      <c r="JE238" s="403"/>
      <c r="JF238" s="403"/>
      <c r="JG238" s="403"/>
      <c r="JH238" s="403"/>
      <c r="JI238" s="403"/>
      <c r="JJ238" s="403"/>
      <c r="JK238" s="403"/>
      <c r="JL238" s="403"/>
      <c r="JM238" s="403"/>
      <c r="JN238" s="403"/>
      <c r="JO238" s="403"/>
      <c r="JP238" s="403"/>
      <c r="JQ238" s="403"/>
      <c r="JR238" s="403"/>
      <c r="JS238" s="403"/>
      <c r="JT238" s="403"/>
    </row>
    <row r="239" spans="1:280" s="17" customFormat="1" ht="17.25" x14ac:dyDescent="0.3">
      <c r="A239" s="17" t="str">
        <f ca="1">IF(OFFSET(AS239,0,Lang_Order*Lang__B5)="","",OFFSET(AS239,0,Lang_Order*Lang__B5))</f>
        <v>B5.3.4 Delivery Modality 4: Outreach and mobile Sites</v>
      </c>
      <c r="B239" s="623"/>
      <c r="C239" s="18"/>
      <c r="D239" s="58">
        <f>DM4_Vaccine</f>
        <v>0</v>
      </c>
      <c r="E239" s="174" t="e">
        <f>VLOOKUP(D239,'T1. Vaccines'!$C$8:$AD$37,E240,FALSE)</f>
        <v>#N/A</v>
      </c>
      <c r="F239" s="59">
        <f>Critical_Sites</f>
        <v>0</v>
      </c>
      <c r="G239" s="174" t="e">
        <f>VLOOKUP(D239,'T1. Vaccines'!$C$8:$AD$37,G240,FALSE)</f>
        <v>#N/A</v>
      </c>
      <c r="H239" s="174" t="e">
        <f>VLOOKUP(D239,'T1. Vaccines'!$C$8:$AD$37,H240,FALSE)</f>
        <v>#N/A</v>
      </c>
      <c r="I239" s="174" t="e">
        <f>VLOOKUP(D239,'T1. Vaccines'!$C$8:$AD$37,I240,FALSE)</f>
        <v>#N/A</v>
      </c>
      <c r="J239" s="60" t="e">
        <f t="shared" ref="J239:P239" si="559">J16*RBF_DM4</f>
        <v>#N/A</v>
      </c>
      <c r="K239" s="60" t="e">
        <f t="shared" si="559"/>
        <v>#N/A</v>
      </c>
      <c r="L239" s="60" t="e">
        <f t="shared" si="559"/>
        <v>#N/A</v>
      </c>
      <c r="M239" s="60" t="e">
        <f t="shared" si="559"/>
        <v>#N/A</v>
      </c>
      <c r="N239" s="60" t="e">
        <f t="shared" si="559"/>
        <v>#N/A</v>
      </c>
      <c r="O239" s="60" t="e">
        <f t="shared" si="559"/>
        <v>#N/A</v>
      </c>
      <c r="P239" s="60" t="e">
        <f t="shared" si="559"/>
        <v>#N/A</v>
      </c>
      <c r="Q239" s="60"/>
      <c r="R239" s="8" t="str">
        <f ca="1">IF(OFFSET(BJ239,0,Lang_Order*Lang__B5)="","",OFFSET(BJ239,0,Lang_Order*Lang__B5))</f>
        <v>Notes</v>
      </c>
      <c r="S239" s="2"/>
      <c r="T239" s="258" t="e">
        <f>G239+HRH_Robustness_Bounds</f>
        <v>#N/A</v>
      </c>
      <c r="U239" s="636" t="e">
        <f>H239</f>
        <v>#N/A</v>
      </c>
      <c r="V239" s="175" t="e">
        <f t="shared" ref="V239" si="560">I239</f>
        <v>#N/A</v>
      </c>
      <c r="W239" s="175" t="e">
        <f t="shared" ref="W239" si="561">J239</f>
        <v>#N/A</v>
      </c>
      <c r="X239" s="175" t="e">
        <f>K239</f>
        <v>#N/A</v>
      </c>
      <c r="Y239" s="175" t="e">
        <f t="shared" ref="Y239" si="562">L239</f>
        <v>#N/A</v>
      </c>
      <c r="Z239" s="175" t="e">
        <f t="shared" ref="Z239" si="563">M239</f>
        <v>#N/A</v>
      </c>
      <c r="AA239" s="175" t="e">
        <f t="shared" ref="AA239" si="564">N239</f>
        <v>#N/A</v>
      </c>
      <c r="AB239" s="175" t="e">
        <f t="shared" ref="AB239" si="565">O239</f>
        <v>#N/A</v>
      </c>
      <c r="AC239" s="175" t="e">
        <f t="shared" ref="AC239" si="566">P239</f>
        <v>#N/A</v>
      </c>
      <c r="AD239" s="259"/>
      <c r="AE239" s="2"/>
      <c r="AF239" s="258" t="e">
        <f>MAX(0,G239-HRH_Robustness_Bounds)</f>
        <v>#N/A</v>
      </c>
      <c r="AG239" s="636" t="e">
        <f>H239</f>
        <v>#N/A</v>
      </c>
      <c r="AH239" s="175" t="e">
        <f t="shared" ref="AH239" si="567">I239</f>
        <v>#N/A</v>
      </c>
      <c r="AI239" s="175" t="e">
        <f t="shared" ref="AI239" si="568">J239</f>
        <v>#N/A</v>
      </c>
      <c r="AJ239" s="175" t="e">
        <f t="shared" ref="AJ239" si="569">K239</f>
        <v>#N/A</v>
      </c>
      <c r="AK239" s="175" t="e">
        <f t="shared" ref="AK239" si="570">L239</f>
        <v>#N/A</v>
      </c>
      <c r="AL239" s="175" t="e">
        <f t="shared" ref="AL239" si="571">M239</f>
        <v>#N/A</v>
      </c>
      <c r="AM239" s="175" t="e">
        <f t="shared" ref="AM239" si="572">N239</f>
        <v>#N/A</v>
      </c>
      <c r="AN239" s="175" t="e">
        <f t="shared" ref="AN239" si="573">O239</f>
        <v>#N/A</v>
      </c>
      <c r="AO239" s="175" t="e">
        <f t="shared" ref="AO239" si="574">P239</f>
        <v>#N/A</v>
      </c>
      <c r="AR239" s="403"/>
      <c r="AS239" s="403" t="s">
        <v>14302</v>
      </c>
      <c r="AT239" s="403"/>
      <c r="AU239" s="403"/>
      <c r="AV239" s="403"/>
      <c r="AW239" s="403"/>
      <c r="AX239" s="403"/>
      <c r="AY239" s="403"/>
      <c r="AZ239" s="403"/>
      <c r="BA239" s="403"/>
      <c r="BB239" s="403"/>
      <c r="BC239" s="403"/>
      <c r="BD239" s="403"/>
      <c r="BE239" s="403"/>
      <c r="BF239" s="403"/>
      <c r="BG239" s="403"/>
      <c r="BH239" s="403"/>
      <c r="BI239" s="403"/>
      <c r="BJ239" s="403" t="s">
        <v>16</v>
      </c>
      <c r="BK239" s="403"/>
      <c r="BL239" s="403"/>
      <c r="BM239" s="403"/>
      <c r="BN239" s="403"/>
      <c r="BO239" s="403"/>
      <c r="BP239" s="403"/>
      <c r="BQ239" s="403"/>
      <c r="BR239" s="403"/>
      <c r="BS239" s="403"/>
      <c r="BT239" s="403"/>
      <c r="BU239" s="403"/>
      <c r="BV239" s="403"/>
      <c r="BW239" s="403"/>
      <c r="BX239" s="403"/>
      <c r="BY239" s="403"/>
      <c r="BZ239" s="403"/>
      <c r="CA239" s="403" t="s">
        <v>14303</v>
      </c>
      <c r="CB239" s="403"/>
      <c r="CC239" s="403"/>
      <c r="CD239" s="403"/>
      <c r="CE239" s="403"/>
      <c r="CF239" s="403"/>
      <c r="CG239" s="403"/>
      <c r="CH239" s="403"/>
      <c r="CI239" s="403"/>
      <c r="CJ239" s="403"/>
      <c r="CK239" s="403"/>
      <c r="CL239" s="403"/>
      <c r="CM239" s="403"/>
      <c r="CN239" s="403"/>
      <c r="CO239" s="403"/>
      <c r="CP239" s="403"/>
      <c r="CQ239" s="403"/>
      <c r="CR239" s="403" t="s">
        <v>16</v>
      </c>
      <c r="CS239" s="403"/>
      <c r="CT239" s="403"/>
      <c r="CU239" s="403"/>
      <c r="CV239" s="403"/>
      <c r="CW239" s="403"/>
      <c r="CX239" s="403"/>
      <c r="CY239" s="403"/>
      <c r="CZ239" s="403"/>
      <c r="DA239" s="403"/>
      <c r="DB239" s="403"/>
      <c r="DC239" s="403"/>
      <c r="DD239" s="403"/>
      <c r="DE239" s="403"/>
      <c r="DF239" s="403"/>
      <c r="DG239" s="403"/>
      <c r="DH239" s="403"/>
      <c r="DI239" s="403" t="s">
        <v>14304</v>
      </c>
      <c r="DJ239" s="403"/>
      <c r="DK239" s="403"/>
      <c r="DL239" s="403"/>
      <c r="DM239" s="403"/>
      <c r="DN239" s="403"/>
      <c r="DO239" s="403"/>
      <c r="DP239" s="403"/>
      <c r="DQ239" s="403"/>
      <c r="DR239" s="403"/>
      <c r="DS239" s="403"/>
      <c r="DT239" s="403"/>
      <c r="DU239" s="403"/>
      <c r="DV239" s="403"/>
      <c r="DW239" s="403"/>
      <c r="DX239" s="403"/>
      <c r="DY239" s="403"/>
      <c r="DZ239" s="403" t="s">
        <v>5757</v>
      </c>
      <c r="EA239" s="403"/>
      <c r="EB239" s="403"/>
      <c r="EC239" s="403"/>
      <c r="ED239" s="403"/>
      <c r="EE239" s="403"/>
      <c r="EF239" s="403"/>
      <c r="EG239" s="403"/>
      <c r="EH239" s="403"/>
      <c r="EI239" s="403"/>
      <c r="EJ239" s="403"/>
      <c r="EK239" s="403"/>
      <c r="EL239" s="403"/>
      <c r="EM239" s="403"/>
      <c r="EN239" s="403"/>
      <c r="EO239" s="403"/>
      <c r="EP239" s="403"/>
      <c r="EQ239" s="403" t="s">
        <v>14305</v>
      </c>
      <c r="ER239" s="403"/>
      <c r="ES239" s="403"/>
      <c r="ET239" s="403"/>
      <c r="EU239" s="403"/>
      <c r="EV239" s="403"/>
      <c r="EW239" s="403"/>
      <c r="EX239" s="403"/>
      <c r="EY239" s="403"/>
      <c r="EZ239" s="403"/>
      <c r="FA239" s="403"/>
      <c r="FB239" s="403"/>
      <c r="FC239" s="403"/>
      <c r="FD239" s="403"/>
      <c r="FE239" s="403"/>
      <c r="FF239" s="403"/>
      <c r="FG239" s="403"/>
      <c r="FH239" s="403" t="s">
        <v>5453</v>
      </c>
      <c r="FI239" s="403"/>
      <c r="FJ239" s="403"/>
      <c r="FK239" s="403"/>
      <c r="FL239" s="403"/>
      <c r="FM239" s="403"/>
      <c r="FN239" s="403"/>
      <c r="FO239" s="403"/>
      <c r="FP239" s="403"/>
      <c r="FQ239" s="403"/>
      <c r="FR239" s="403"/>
      <c r="FS239" s="403"/>
      <c r="FT239" s="403"/>
      <c r="FU239" s="403"/>
      <c r="FV239" s="403"/>
      <c r="FW239" s="403"/>
      <c r="FX239" s="403"/>
      <c r="FY239" s="403" t="s">
        <v>14306</v>
      </c>
      <c r="FZ239" s="403"/>
      <c r="GA239" s="403"/>
      <c r="GB239" s="403"/>
      <c r="GC239" s="403"/>
      <c r="GD239" s="403"/>
      <c r="GE239" s="403"/>
      <c r="GF239" s="403"/>
      <c r="GG239" s="403"/>
      <c r="GH239" s="403"/>
      <c r="GI239" s="403"/>
      <c r="GJ239" s="403"/>
      <c r="GK239" s="403"/>
      <c r="GL239" s="403"/>
      <c r="GM239" s="403"/>
      <c r="GN239" s="403"/>
      <c r="GO239" s="403"/>
      <c r="GP239" s="403" t="s">
        <v>5453</v>
      </c>
      <c r="GQ239" s="403"/>
      <c r="GR239" s="403"/>
      <c r="GS239" s="403"/>
      <c r="GT239" s="403"/>
      <c r="GU239" s="403"/>
      <c r="GV239" s="403"/>
      <c r="GW239" s="403"/>
      <c r="GX239" s="403"/>
      <c r="GY239" s="403"/>
      <c r="GZ239" s="403"/>
      <c r="HA239" s="403"/>
      <c r="HB239" s="403"/>
      <c r="HC239" s="403"/>
      <c r="HD239" s="403"/>
      <c r="HE239" s="403"/>
      <c r="HF239" s="403"/>
      <c r="HG239" s="403" t="s">
        <v>14726</v>
      </c>
      <c r="HH239" s="403"/>
      <c r="HI239" s="403"/>
      <c r="HJ239" s="403"/>
      <c r="HK239" s="403"/>
      <c r="HL239" s="403"/>
      <c r="HM239" s="403"/>
      <c r="HN239" s="403"/>
      <c r="HO239" s="403"/>
      <c r="HP239" s="403"/>
      <c r="HQ239" s="403"/>
      <c r="HR239" s="403"/>
      <c r="HS239" s="403"/>
      <c r="HT239" s="403"/>
      <c r="HU239" s="403"/>
      <c r="HV239" s="403"/>
      <c r="HW239" s="403"/>
      <c r="HX239" s="403" t="s">
        <v>5454</v>
      </c>
      <c r="HY239" s="403"/>
      <c r="HZ239" s="403"/>
      <c r="IA239" s="403"/>
      <c r="IB239" s="403"/>
      <c r="IC239" s="403"/>
      <c r="ID239" s="403"/>
      <c r="IE239" s="403"/>
      <c r="IF239" s="403"/>
      <c r="IG239" s="403"/>
      <c r="IH239" s="403"/>
      <c r="II239" s="403"/>
      <c r="IJ239" s="403"/>
      <c r="IK239" s="403"/>
      <c r="IL239" s="403"/>
      <c r="IM239" s="403"/>
      <c r="IN239" s="403"/>
      <c r="IO239" s="403" t="s">
        <v>14307</v>
      </c>
      <c r="IP239" s="403"/>
      <c r="IQ239" s="403"/>
      <c r="IR239" s="403"/>
      <c r="IS239" s="403"/>
      <c r="IT239" s="403"/>
      <c r="IU239" s="403"/>
      <c r="IV239" s="403"/>
      <c r="IW239" s="403"/>
      <c r="IX239" s="403"/>
      <c r="IY239" s="403"/>
      <c r="IZ239" s="403"/>
      <c r="JA239" s="403"/>
      <c r="JB239" s="403"/>
      <c r="JC239" s="403"/>
      <c r="JD239" s="403"/>
      <c r="JE239" s="403"/>
      <c r="JF239" s="403" t="s">
        <v>5455</v>
      </c>
      <c r="JG239" s="403"/>
      <c r="JH239" s="403"/>
      <c r="JI239" s="403"/>
      <c r="JJ239" s="403"/>
      <c r="JK239" s="403"/>
      <c r="JL239" s="403"/>
      <c r="JM239" s="403"/>
      <c r="JN239" s="403"/>
      <c r="JO239" s="403"/>
      <c r="JP239" s="403"/>
      <c r="JQ239" s="403"/>
      <c r="JR239" s="403"/>
      <c r="JS239" s="403"/>
      <c r="JT239" s="403"/>
    </row>
    <row r="240" spans="1:280" s="15" customFormat="1" x14ac:dyDescent="0.25">
      <c r="A240" s="9"/>
      <c r="B240" s="627"/>
      <c r="C240" s="9"/>
      <c r="E240" s="2">
        <f>'T1. Vaccines'!$F$39</f>
        <v>4</v>
      </c>
      <c r="G240" s="2">
        <f>'T1. Vaccines'!$P$39</f>
        <v>14</v>
      </c>
      <c r="H240" s="2">
        <f>'T1. Vaccines'!$L$39</f>
        <v>10</v>
      </c>
      <c r="I240" s="2">
        <f>'T1. Vaccines'!$H$39</f>
        <v>6</v>
      </c>
      <c r="J240" s="41" t="str">
        <f t="shared" ref="J240:Q240" ca="1" si="575">IF(OFFSET(BB240,0,Lang_Order*Lang__B5)="","",OFFSET(BB240,0,Lang_Order*Lang__B5))</f>
        <v>H1 2021</v>
      </c>
      <c r="K240" s="41" t="str">
        <f t="shared" ca="1" si="575"/>
        <v>H2 2021</v>
      </c>
      <c r="L240" s="41" t="str">
        <f t="shared" ca="1" si="575"/>
        <v>H1 2022</v>
      </c>
      <c r="M240" s="41" t="str">
        <f t="shared" ca="1" si="575"/>
        <v>H2 2022</v>
      </c>
      <c r="N240" s="41" t="str">
        <f t="shared" ca="1" si="575"/>
        <v>H1 2023</v>
      </c>
      <c r="O240" s="41" t="str">
        <f t="shared" ca="1" si="575"/>
        <v>H2 2023</v>
      </c>
      <c r="P240" s="41" t="str">
        <f t="shared" ca="1" si="575"/>
        <v>Total</v>
      </c>
      <c r="Q240" s="177" t="str">
        <f t="shared" ca="1" si="575"/>
        <v>Max</v>
      </c>
      <c r="S240" s="2"/>
      <c r="T240" s="241"/>
      <c r="U240" s="622"/>
      <c r="V240" s="2"/>
      <c r="W240" s="255" t="str">
        <f t="shared" ref="W240" ca="1" si="576">IF(OFFSET(BB240,0,Lang_Order*Lang__B5)="","",OFFSET(BB240,0,Lang_Order*Lang__B5))</f>
        <v>H1 2021</v>
      </c>
      <c r="X240" s="255" t="str">
        <f t="shared" ref="X240" ca="1" si="577">IF(OFFSET(BC240,0,Lang_Order*Lang__B5)="","",OFFSET(BC240,0,Lang_Order*Lang__B5))</f>
        <v>H2 2021</v>
      </c>
      <c r="Y240" s="255" t="str">
        <f t="shared" ref="Y240" ca="1" si="578">IF(OFFSET(BD240,0,Lang_Order*Lang__B5)="","",OFFSET(BD240,0,Lang_Order*Lang__B5))</f>
        <v>H1 2022</v>
      </c>
      <c r="Z240" s="255" t="str">
        <f t="shared" ref="Z240" ca="1" si="579">IF(OFFSET(BE240,0,Lang_Order*Lang__B5)="","",OFFSET(BE240,0,Lang_Order*Lang__B5))</f>
        <v>H2 2022</v>
      </c>
      <c r="AA240" s="255" t="str">
        <f t="shared" ref="AA240" ca="1" si="580">IF(OFFSET(BF240,0,Lang_Order*Lang__B5)="","",OFFSET(BF240,0,Lang_Order*Lang__B5))</f>
        <v>H1 2023</v>
      </c>
      <c r="AB240" s="255" t="str">
        <f t="shared" ref="AB240" ca="1" si="581">IF(OFFSET(BG240,0,Lang_Order*Lang__B5)="","",OFFSET(BG240,0,Lang_Order*Lang__B5))</f>
        <v>H2 2023</v>
      </c>
      <c r="AC240" s="255" t="str">
        <f t="shared" ref="AC240" ca="1" si="582">IF(OFFSET(BH240,0,Lang_Order*Lang__B5)="","",OFFSET(BH240,0,Lang_Order*Lang__B5))</f>
        <v>Total</v>
      </c>
      <c r="AD240" s="177" t="str">
        <f t="shared" ref="AD240" ca="1" si="583">IF(OFFSET(BI240,0,Lang_Order*Lang__B5)="","",OFFSET(BI240,0,Lang_Order*Lang__B5))</f>
        <v>Max</v>
      </c>
      <c r="AE240" s="2"/>
      <c r="AF240" s="241"/>
      <c r="AG240" s="622"/>
      <c r="AI240" s="255" t="str">
        <f t="shared" ref="AI240:AP240" ca="1" si="584">IF(OFFSET(BB240,0,Lang_Order*Lang__B5)="","",OFFSET(BB240,0,Lang_Order*Lang__B5))</f>
        <v>H1 2021</v>
      </c>
      <c r="AJ240" s="255" t="str">
        <f t="shared" ca="1" si="584"/>
        <v>H2 2021</v>
      </c>
      <c r="AK240" s="255" t="str">
        <f t="shared" ca="1" si="584"/>
        <v>H1 2022</v>
      </c>
      <c r="AL240" s="255" t="str">
        <f t="shared" ca="1" si="584"/>
        <v>H2 2022</v>
      </c>
      <c r="AM240" s="255" t="str">
        <f t="shared" ca="1" si="584"/>
        <v>H1 2023</v>
      </c>
      <c r="AN240" s="255" t="str">
        <f t="shared" ca="1" si="584"/>
        <v>H2 2023</v>
      </c>
      <c r="AO240" s="255" t="str">
        <f t="shared" ca="1" si="584"/>
        <v>Total</v>
      </c>
      <c r="AP240" s="177" t="str">
        <f t="shared" ca="1" si="584"/>
        <v>Max</v>
      </c>
      <c r="AR240" s="403"/>
      <c r="AS240" s="403"/>
      <c r="AT240" s="403"/>
      <c r="AU240" s="403"/>
      <c r="AV240" s="403"/>
      <c r="AW240" s="403"/>
      <c r="AX240" s="403"/>
      <c r="AY240" s="403"/>
      <c r="AZ240" s="403"/>
      <c r="BA240" s="403">
        <v>6</v>
      </c>
      <c r="BB240" s="403" t="s">
        <v>1597</v>
      </c>
      <c r="BC240" s="403" t="s">
        <v>1598</v>
      </c>
      <c r="BD240" s="403" t="s">
        <v>1599</v>
      </c>
      <c r="BE240" s="403" t="s">
        <v>1600</v>
      </c>
      <c r="BF240" s="403" t="s">
        <v>1602</v>
      </c>
      <c r="BG240" s="403" t="s">
        <v>1601</v>
      </c>
      <c r="BH240" s="403" t="s">
        <v>1605</v>
      </c>
      <c r="BI240" s="403" t="s">
        <v>2709</v>
      </c>
      <c r="BJ240" s="403"/>
      <c r="BK240" s="403"/>
      <c r="BL240" s="403"/>
      <c r="BM240" s="403"/>
      <c r="BN240" s="403"/>
      <c r="BO240" s="403"/>
      <c r="BP240" s="403"/>
      <c r="BQ240" s="403"/>
      <c r="BR240" s="403"/>
      <c r="BS240" s="403"/>
      <c r="BT240" s="403"/>
      <c r="BU240" s="403"/>
      <c r="BV240" s="403"/>
      <c r="BW240" s="403"/>
      <c r="BX240" s="403"/>
      <c r="BY240" s="403"/>
      <c r="BZ240" s="403"/>
      <c r="CA240" s="403"/>
      <c r="CB240" s="403"/>
      <c r="CC240" s="403"/>
      <c r="CD240" s="403"/>
      <c r="CE240" s="403"/>
      <c r="CF240" s="403"/>
      <c r="CG240" s="403"/>
      <c r="CH240" s="403"/>
      <c r="CI240" s="403">
        <v>6</v>
      </c>
      <c r="CJ240" s="403" t="s">
        <v>4663</v>
      </c>
      <c r="CK240" s="403" t="s">
        <v>4664</v>
      </c>
      <c r="CL240" s="403" t="s">
        <v>4665</v>
      </c>
      <c r="CM240" s="403" t="s">
        <v>4666</v>
      </c>
      <c r="CN240" s="403" t="s">
        <v>4667</v>
      </c>
      <c r="CO240" s="403" t="s">
        <v>4668</v>
      </c>
      <c r="CP240" s="403" t="s">
        <v>1605</v>
      </c>
      <c r="CQ240" s="403" t="s">
        <v>2709</v>
      </c>
      <c r="CR240" s="403"/>
      <c r="CS240" s="403"/>
      <c r="CT240" s="403"/>
      <c r="CU240" s="403"/>
      <c r="CV240" s="403"/>
      <c r="CW240" s="403"/>
      <c r="CX240" s="403"/>
      <c r="CY240" s="403"/>
      <c r="CZ240" s="403"/>
      <c r="DA240" s="403"/>
      <c r="DB240" s="403"/>
      <c r="DC240" s="403"/>
      <c r="DD240" s="403"/>
      <c r="DE240" s="403"/>
      <c r="DF240" s="403"/>
      <c r="DG240" s="403"/>
      <c r="DH240" s="403"/>
      <c r="DI240" s="403"/>
      <c r="DJ240" s="403"/>
      <c r="DK240" s="403"/>
      <c r="DL240" s="403"/>
      <c r="DM240" s="403"/>
      <c r="DN240" s="403"/>
      <c r="DO240" s="403"/>
      <c r="DP240" s="403"/>
      <c r="DQ240" s="403">
        <v>6</v>
      </c>
      <c r="DR240" s="403" t="s">
        <v>4670</v>
      </c>
      <c r="DS240" s="403" t="s">
        <v>4671</v>
      </c>
      <c r="DT240" s="403" t="s">
        <v>4672</v>
      </c>
      <c r="DU240" s="403" t="s">
        <v>4673</v>
      </c>
      <c r="DV240" s="403" t="s">
        <v>4674</v>
      </c>
      <c r="DW240" s="403" t="s">
        <v>4675</v>
      </c>
      <c r="DX240" s="403" t="s">
        <v>4676</v>
      </c>
      <c r="DY240" s="403" t="s">
        <v>10072</v>
      </c>
      <c r="DZ240" s="403"/>
      <c r="EA240" s="403"/>
      <c r="EB240" s="403"/>
      <c r="EC240" s="403"/>
      <c r="ED240" s="403"/>
      <c r="EE240" s="403"/>
      <c r="EF240" s="403"/>
      <c r="EG240" s="403"/>
      <c r="EH240" s="403"/>
      <c r="EI240" s="403"/>
      <c r="EJ240" s="403"/>
      <c r="EK240" s="403"/>
      <c r="EL240" s="403"/>
      <c r="EM240" s="403"/>
      <c r="EN240" s="403"/>
      <c r="EO240" s="403"/>
      <c r="EP240" s="403"/>
      <c r="EQ240" s="403"/>
      <c r="ER240" s="403"/>
      <c r="ES240" s="403"/>
      <c r="ET240" s="403"/>
      <c r="EU240" s="403"/>
      <c r="EV240" s="403"/>
      <c r="EW240" s="403"/>
      <c r="EX240" s="403"/>
      <c r="EY240" s="403">
        <v>6</v>
      </c>
      <c r="EZ240" s="403" t="s">
        <v>1597</v>
      </c>
      <c r="FA240" s="403" t="s">
        <v>1598</v>
      </c>
      <c r="FB240" s="403" t="s">
        <v>1599</v>
      </c>
      <c r="FC240" s="403" t="s">
        <v>1600</v>
      </c>
      <c r="FD240" s="403" t="s">
        <v>1602</v>
      </c>
      <c r="FE240" s="403" t="s">
        <v>1601</v>
      </c>
      <c r="FF240" s="403" t="s">
        <v>1605</v>
      </c>
      <c r="FG240" s="403" t="s">
        <v>2709</v>
      </c>
      <c r="FH240" s="403"/>
      <c r="FI240" s="403"/>
      <c r="FJ240" s="403"/>
      <c r="FK240" s="403"/>
      <c r="FL240" s="403"/>
      <c r="FM240" s="403"/>
      <c r="FN240" s="403"/>
      <c r="FO240" s="403"/>
      <c r="FP240" s="403"/>
      <c r="FQ240" s="403"/>
      <c r="FR240" s="403"/>
      <c r="FS240" s="403"/>
      <c r="FT240" s="403"/>
      <c r="FU240" s="403"/>
      <c r="FV240" s="403"/>
      <c r="FW240" s="403"/>
      <c r="FX240" s="403"/>
      <c r="FY240" s="403"/>
      <c r="FZ240" s="403"/>
      <c r="GA240" s="403"/>
      <c r="GB240" s="403"/>
      <c r="GC240" s="403"/>
      <c r="GD240" s="403"/>
      <c r="GE240" s="403"/>
      <c r="GF240" s="403"/>
      <c r="GG240" s="403" t="s">
        <v>4342</v>
      </c>
      <c r="GH240" s="403" t="s">
        <v>4663</v>
      </c>
      <c r="GI240" s="403" t="s">
        <v>4664</v>
      </c>
      <c r="GJ240" s="403" t="s">
        <v>4665</v>
      </c>
      <c r="GK240" s="403" t="s">
        <v>4666</v>
      </c>
      <c r="GL240" s="403" t="s">
        <v>4667</v>
      </c>
      <c r="GM240" s="403" t="s">
        <v>4668</v>
      </c>
      <c r="GN240" s="403" t="s">
        <v>1605</v>
      </c>
      <c r="GO240" s="403" t="s">
        <v>10073</v>
      </c>
      <c r="GP240" s="403"/>
      <c r="GQ240" s="403"/>
      <c r="GR240" s="403"/>
      <c r="GS240" s="403"/>
      <c r="GT240" s="403"/>
      <c r="GU240" s="403"/>
      <c r="GV240" s="403"/>
      <c r="GW240" s="403"/>
      <c r="GX240" s="403"/>
      <c r="GY240" s="403"/>
      <c r="GZ240" s="403"/>
      <c r="HA240" s="403"/>
      <c r="HB240" s="403"/>
      <c r="HC240" s="403"/>
      <c r="HD240" s="403"/>
      <c r="HE240" s="403"/>
      <c r="HF240" s="403"/>
      <c r="HG240" s="403"/>
      <c r="HH240" s="403"/>
      <c r="HI240" s="403"/>
      <c r="HJ240" s="403"/>
      <c r="HK240" s="403"/>
      <c r="HL240" s="403"/>
      <c r="HM240" s="403"/>
      <c r="HN240" s="403"/>
      <c r="HO240" s="403">
        <v>6</v>
      </c>
      <c r="HP240" s="403" t="s">
        <v>1597</v>
      </c>
      <c r="HQ240" s="403" t="s">
        <v>1598</v>
      </c>
      <c r="HR240" s="403" t="s">
        <v>7581</v>
      </c>
      <c r="HS240" s="403" t="s">
        <v>1600</v>
      </c>
      <c r="HT240" s="403" t="s">
        <v>12194</v>
      </c>
      <c r="HU240" s="403" t="s">
        <v>1601</v>
      </c>
      <c r="HV240" s="403" t="s">
        <v>4686</v>
      </c>
      <c r="HW240" s="403" t="s">
        <v>10074</v>
      </c>
      <c r="HX240" s="403"/>
      <c r="HY240" s="403"/>
      <c r="HZ240" s="403"/>
      <c r="IA240" s="403"/>
      <c r="IB240" s="403"/>
      <c r="IC240" s="403"/>
      <c r="ID240" s="403"/>
      <c r="IE240" s="403"/>
      <c r="IF240" s="403"/>
      <c r="IG240" s="403"/>
      <c r="IH240" s="403"/>
      <c r="II240" s="403"/>
      <c r="IJ240" s="403"/>
      <c r="IK240" s="403"/>
      <c r="IL240" s="403"/>
      <c r="IM240" s="403"/>
      <c r="IN240" s="403"/>
      <c r="IO240" s="403"/>
      <c r="IP240" s="403"/>
      <c r="IQ240" s="403"/>
      <c r="IR240" s="403"/>
      <c r="IS240" s="403"/>
      <c r="IT240" s="403"/>
      <c r="IU240" s="403"/>
      <c r="IV240" s="403"/>
      <c r="IW240" s="403">
        <v>6</v>
      </c>
      <c r="IX240" s="403" t="s">
        <v>4688</v>
      </c>
      <c r="IY240" s="403" t="s">
        <v>4689</v>
      </c>
      <c r="IZ240" s="403" t="s">
        <v>4690</v>
      </c>
      <c r="JA240" s="403" t="s">
        <v>4691</v>
      </c>
      <c r="JB240" s="403" t="s">
        <v>4692</v>
      </c>
      <c r="JC240" s="403" t="s">
        <v>4693</v>
      </c>
      <c r="JD240" s="403" t="s">
        <v>4694</v>
      </c>
      <c r="JE240" s="403" t="s">
        <v>10075</v>
      </c>
      <c r="JF240" s="403"/>
      <c r="JG240" s="403"/>
      <c r="JH240" s="403"/>
      <c r="JI240" s="403"/>
      <c r="JJ240" s="403"/>
      <c r="JK240" s="403"/>
      <c r="JL240" s="403"/>
      <c r="JM240" s="403"/>
      <c r="JN240" s="403"/>
      <c r="JO240" s="403"/>
      <c r="JP240" s="403"/>
      <c r="JQ240" s="403"/>
      <c r="JR240" s="403"/>
      <c r="JS240" s="403"/>
      <c r="JT240" s="403"/>
    </row>
    <row r="241" spans="1:280" s="15" customFormat="1" ht="12.75" x14ac:dyDescent="0.2">
      <c r="A241" s="9"/>
      <c r="B241" s="624" t="str">
        <f ca="1">IF(OFFSET(AT241,0,Lang_Order*Lang__B5)="","",OFFSET(AT241,0,Lang_Order*Lang__B5))</f>
        <v>Delivery Context</v>
      </c>
      <c r="C241" s="23"/>
      <c r="E241" s="26"/>
      <c r="F241" s="26"/>
      <c r="G241" s="26"/>
      <c r="H241" s="26"/>
      <c r="I241" s="26"/>
      <c r="J241" s="26"/>
      <c r="K241" s="26"/>
      <c r="L241" s="26"/>
      <c r="M241" s="26"/>
      <c r="N241" s="26"/>
      <c r="O241" s="26"/>
      <c r="P241" s="26"/>
      <c r="Q241" s="26"/>
      <c r="R241" s="12" t="str">
        <f t="shared" ref="R241:R272" ca="1" si="585">IF(OFFSET(BJ241,0,Lang_Order*Lang__B5)="","",OFFSET(BJ241,0,Lang_Order*Lang__B5))</f>
        <v>Note that sites are treated as equal-sized 'averages'</v>
      </c>
      <c r="S241" s="2"/>
      <c r="T241" s="241"/>
      <c r="U241" s="624" t="str">
        <f ca="1">IF(OFFSET(AT241,0,Lang_Order*Lang__B5)="","",OFFSET(AT241,0,Lang_Order*Lang__B5))</f>
        <v>Delivery Context</v>
      </c>
      <c r="V241" s="72"/>
      <c r="AE241" s="2"/>
      <c r="AF241" s="241"/>
      <c r="AG241" s="624" t="str">
        <f ca="1">IF(OFFSET(AT241,0,Lang_Order*Lang__B5)="","",OFFSET(AT241,0,Lang_Order*Lang__B5))</f>
        <v>Delivery Context</v>
      </c>
      <c r="AH241" s="72"/>
      <c r="AR241" s="403"/>
      <c r="AS241" s="403"/>
      <c r="AT241" s="403" t="s">
        <v>34</v>
      </c>
      <c r="AU241" s="403"/>
      <c r="AV241" s="403"/>
      <c r="AW241" s="403"/>
      <c r="AX241" s="403"/>
      <c r="AY241" s="403"/>
      <c r="AZ241" s="403"/>
      <c r="BA241" s="403"/>
      <c r="BB241" s="403"/>
      <c r="BC241" s="403"/>
      <c r="BD241" s="403"/>
      <c r="BE241" s="403"/>
      <c r="BF241" s="403"/>
      <c r="BG241" s="403"/>
      <c r="BH241" s="403"/>
      <c r="BI241" s="403"/>
      <c r="BJ241" s="403" t="s">
        <v>1674</v>
      </c>
      <c r="BK241" s="403"/>
      <c r="BL241" s="403"/>
      <c r="BM241" s="403"/>
      <c r="BN241" s="403"/>
      <c r="BO241" s="403"/>
      <c r="BP241" s="403"/>
      <c r="BQ241" s="403"/>
      <c r="BR241" s="403"/>
      <c r="BS241" s="403"/>
      <c r="BT241" s="403"/>
      <c r="BU241" s="403"/>
      <c r="BV241" s="403"/>
      <c r="BW241" s="403"/>
      <c r="BX241" s="403"/>
      <c r="BY241" s="403"/>
      <c r="BZ241" s="403"/>
      <c r="CA241" s="403"/>
      <c r="CB241" s="403" t="s">
        <v>11826</v>
      </c>
      <c r="CC241" s="403"/>
      <c r="CD241" s="403"/>
      <c r="CE241" s="403"/>
      <c r="CF241" s="403"/>
      <c r="CG241" s="403"/>
      <c r="CH241" s="403"/>
      <c r="CI241" s="403"/>
      <c r="CJ241" s="403"/>
      <c r="CK241" s="403"/>
      <c r="CL241" s="403"/>
      <c r="CM241" s="403"/>
      <c r="CN241" s="403"/>
      <c r="CO241" s="403"/>
      <c r="CP241" s="403"/>
      <c r="CQ241" s="403"/>
      <c r="CR241" s="403" t="s">
        <v>11827</v>
      </c>
      <c r="CS241" s="403"/>
      <c r="CT241" s="403"/>
      <c r="CU241" s="403"/>
      <c r="CV241" s="403"/>
      <c r="CW241" s="403"/>
      <c r="CX241" s="403"/>
      <c r="CY241" s="403"/>
      <c r="CZ241" s="403"/>
      <c r="DA241" s="403"/>
      <c r="DB241" s="403"/>
      <c r="DC241" s="403"/>
      <c r="DD241" s="403"/>
      <c r="DE241" s="403"/>
      <c r="DF241" s="403"/>
      <c r="DG241" s="403"/>
      <c r="DH241" s="403"/>
      <c r="DI241" s="403"/>
      <c r="DJ241" s="403" t="s">
        <v>12098</v>
      </c>
      <c r="DK241" s="403"/>
      <c r="DL241" s="403"/>
      <c r="DM241" s="403"/>
      <c r="DN241" s="403"/>
      <c r="DO241" s="403"/>
      <c r="DP241" s="403"/>
      <c r="DQ241" s="403"/>
      <c r="DR241" s="403"/>
      <c r="DS241" s="403"/>
      <c r="DT241" s="403"/>
      <c r="DU241" s="403"/>
      <c r="DV241" s="403"/>
      <c r="DW241" s="403"/>
      <c r="DX241" s="403"/>
      <c r="DY241" s="403"/>
      <c r="DZ241" s="403" t="s">
        <v>11829</v>
      </c>
      <c r="EA241" s="403"/>
      <c r="EB241" s="403"/>
      <c r="EC241" s="403"/>
      <c r="ED241" s="403"/>
      <c r="EE241" s="403"/>
      <c r="EF241" s="403"/>
      <c r="EG241" s="403"/>
      <c r="EH241" s="403"/>
      <c r="EI241" s="403"/>
      <c r="EJ241" s="403"/>
      <c r="EK241" s="403"/>
      <c r="EL241" s="403"/>
      <c r="EM241" s="403"/>
      <c r="EN241" s="403"/>
      <c r="EO241" s="403"/>
      <c r="EP241" s="403"/>
      <c r="EQ241" s="403"/>
      <c r="ER241" s="403" t="s">
        <v>11830</v>
      </c>
      <c r="ES241" s="403"/>
      <c r="ET241" s="403"/>
      <c r="EU241" s="403"/>
      <c r="EV241" s="403"/>
      <c r="EW241" s="403"/>
      <c r="EX241" s="403"/>
      <c r="EY241" s="403"/>
      <c r="EZ241" s="403"/>
      <c r="FA241" s="403"/>
      <c r="FB241" s="403"/>
      <c r="FC241" s="403"/>
      <c r="FD241" s="403"/>
      <c r="FE241" s="403"/>
      <c r="FF241" s="403"/>
      <c r="FG241" s="403"/>
      <c r="FH241" s="403" t="s">
        <v>12099</v>
      </c>
      <c r="FI241" s="403"/>
      <c r="FJ241" s="403"/>
      <c r="FK241" s="403"/>
      <c r="FL241" s="403"/>
      <c r="FM241" s="403"/>
      <c r="FN241" s="403"/>
      <c r="FO241" s="403"/>
      <c r="FP241" s="403"/>
      <c r="FQ241" s="403"/>
      <c r="FR241" s="403"/>
      <c r="FS241" s="403"/>
      <c r="FT241" s="403"/>
      <c r="FU241" s="403"/>
      <c r="FV241" s="403"/>
      <c r="FW241" s="403"/>
      <c r="FX241" s="403"/>
      <c r="FY241" s="403"/>
      <c r="FZ241" s="403" t="s">
        <v>11832</v>
      </c>
      <c r="GA241" s="403"/>
      <c r="GB241" s="403"/>
      <c r="GC241" s="403"/>
      <c r="GD241" s="403"/>
      <c r="GE241" s="403"/>
      <c r="GF241" s="403"/>
      <c r="GG241" s="403"/>
      <c r="GH241" s="403"/>
      <c r="GI241" s="403"/>
      <c r="GJ241" s="403"/>
      <c r="GK241" s="403"/>
      <c r="GL241" s="403"/>
      <c r="GM241" s="403"/>
      <c r="GN241" s="403"/>
      <c r="GO241" s="403"/>
      <c r="GP241" s="403" t="s">
        <v>11833</v>
      </c>
      <c r="GQ241" s="403"/>
      <c r="GR241" s="403"/>
      <c r="GS241" s="403"/>
      <c r="GT241" s="403"/>
      <c r="GU241" s="403"/>
      <c r="GV241" s="403"/>
      <c r="GW241" s="403"/>
      <c r="GX241" s="403"/>
      <c r="GY241" s="403"/>
      <c r="GZ241" s="403"/>
      <c r="HA241" s="403"/>
      <c r="HB241" s="403"/>
      <c r="HC241" s="403"/>
      <c r="HD241" s="403"/>
      <c r="HE241" s="403"/>
      <c r="HF241" s="403"/>
      <c r="HG241" s="403"/>
      <c r="HH241" s="403" t="s">
        <v>11834</v>
      </c>
      <c r="HI241" s="403"/>
      <c r="HJ241" s="403"/>
      <c r="HK241" s="403"/>
      <c r="HL241" s="403"/>
      <c r="HM241" s="403"/>
      <c r="HN241" s="403"/>
      <c r="HO241" s="403"/>
      <c r="HP241" s="403"/>
      <c r="HQ241" s="403"/>
      <c r="HR241" s="403"/>
      <c r="HS241" s="403"/>
      <c r="HT241" s="403"/>
      <c r="HU241" s="403"/>
      <c r="HV241" s="403"/>
      <c r="HW241" s="403"/>
      <c r="HX241" s="403" t="s">
        <v>11835</v>
      </c>
      <c r="HY241" s="403"/>
      <c r="HZ241" s="403"/>
      <c r="IA241" s="403"/>
      <c r="IB241" s="403"/>
      <c r="IC241" s="403"/>
      <c r="ID241" s="403"/>
      <c r="IE241" s="403"/>
      <c r="IF241" s="403"/>
      <c r="IG241" s="403"/>
      <c r="IH241" s="403"/>
      <c r="II241" s="403"/>
      <c r="IJ241" s="403"/>
      <c r="IK241" s="403"/>
      <c r="IL241" s="403"/>
      <c r="IM241" s="403"/>
      <c r="IN241" s="403"/>
      <c r="IO241" s="403"/>
      <c r="IP241" s="403" t="s">
        <v>11836</v>
      </c>
      <c r="IQ241" s="403"/>
      <c r="IR241" s="403"/>
      <c r="IS241" s="403"/>
      <c r="IT241" s="403"/>
      <c r="IU241" s="403"/>
      <c r="IV241" s="403"/>
      <c r="IW241" s="403"/>
      <c r="IX241" s="403"/>
      <c r="IY241" s="403"/>
      <c r="IZ241" s="403"/>
      <c r="JA241" s="403"/>
      <c r="JB241" s="403"/>
      <c r="JC241" s="403"/>
      <c r="JD241" s="403"/>
      <c r="JE241" s="403"/>
      <c r="JF241" s="403" t="s">
        <v>11837</v>
      </c>
      <c r="JG241" s="403"/>
      <c r="JH241" s="403"/>
      <c r="JI241" s="403"/>
      <c r="JJ241" s="403"/>
      <c r="JK241" s="403"/>
      <c r="JL241" s="403"/>
      <c r="JM241" s="403"/>
      <c r="JN241" s="403"/>
      <c r="JO241" s="403"/>
      <c r="JP241" s="403"/>
      <c r="JQ241" s="403"/>
      <c r="JR241" s="403"/>
      <c r="JS241" s="403"/>
      <c r="JT241" s="403"/>
    </row>
    <row r="242" spans="1:280" s="15" customFormat="1" ht="12.75" x14ac:dyDescent="0.2">
      <c r="A242" s="9"/>
      <c r="B242" s="624"/>
      <c r="C242" s="105" t="str">
        <f ca="1">IF(OFFSET(AU242,0,Lang_Order*Lang__B5)="","",OFFSET(AU242,0,Lang_Order*Lang__B5))</f>
        <v>[HIDE]</v>
      </c>
      <c r="E242" s="61"/>
      <c r="F242" s="61"/>
      <c r="G242" s="61"/>
      <c r="H242" s="61"/>
      <c r="I242" s="61"/>
      <c r="J242" s="15" t="e">
        <f t="shared" ref="J242:O242" si="586">IF(J239&gt;0,1,0)</f>
        <v>#N/A</v>
      </c>
      <c r="K242" s="15" t="e">
        <f t="shared" si="586"/>
        <v>#N/A</v>
      </c>
      <c r="L242" s="15" t="e">
        <f t="shared" si="586"/>
        <v>#N/A</v>
      </c>
      <c r="M242" s="15" t="e">
        <f t="shared" si="586"/>
        <v>#N/A</v>
      </c>
      <c r="N242" s="15" t="e">
        <f t="shared" si="586"/>
        <v>#N/A</v>
      </c>
      <c r="O242" s="15" t="e">
        <f t="shared" si="586"/>
        <v>#N/A</v>
      </c>
      <c r="P242" s="61"/>
      <c r="Q242" s="61"/>
      <c r="R242" s="12" t="str">
        <f t="shared" ca="1" si="585"/>
        <v>Vaccinations going on this period?</v>
      </c>
      <c r="S242" s="2"/>
      <c r="T242" s="241"/>
      <c r="U242" s="624"/>
      <c r="V242" s="260" t="str">
        <f ca="1">IF(OFFSET(AU242,0,Lang_Order*Lang__B5)="","",OFFSET(AU242,0,Lang_Order*Lang__B5))</f>
        <v>[HIDE]</v>
      </c>
      <c r="W242" s="241" t="e">
        <f t="shared" ref="W242:AB242" si="587">IF(W239&gt;0,1,0)</f>
        <v>#N/A</v>
      </c>
      <c r="X242" s="241" t="e">
        <f t="shared" si="587"/>
        <v>#N/A</v>
      </c>
      <c r="Y242" s="241" t="e">
        <f t="shared" si="587"/>
        <v>#N/A</v>
      </c>
      <c r="Z242" s="241" t="e">
        <f t="shared" si="587"/>
        <v>#N/A</v>
      </c>
      <c r="AA242" s="241" t="e">
        <f t="shared" si="587"/>
        <v>#N/A</v>
      </c>
      <c r="AB242" s="241" t="e">
        <f t="shared" si="587"/>
        <v>#N/A</v>
      </c>
      <c r="AE242" s="2"/>
      <c r="AF242" s="241"/>
      <c r="AG242" s="624"/>
      <c r="AH242" s="260" t="str">
        <f ca="1">IF(OFFSET(AU242,0,Lang_Order*Lang__B5)="","",OFFSET(AU242,0,Lang_Order*Lang__B5))</f>
        <v>[HIDE]</v>
      </c>
      <c r="AI242" s="241" t="e">
        <f t="shared" ref="AI242:AN242" si="588">IF(AI239&gt;0,1,0)</f>
        <v>#N/A</v>
      </c>
      <c r="AJ242" s="241" t="e">
        <f t="shared" si="588"/>
        <v>#N/A</v>
      </c>
      <c r="AK242" s="241" t="e">
        <f t="shared" si="588"/>
        <v>#N/A</v>
      </c>
      <c r="AL242" s="241" t="e">
        <f t="shared" si="588"/>
        <v>#N/A</v>
      </c>
      <c r="AM242" s="241" t="e">
        <f t="shared" si="588"/>
        <v>#N/A</v>
      </c>
      <c r="AN242" s="241" t="e">
        <f t="shared" si="588"/>
        <v>#N/A</v>
      </c>
      <c r="AR242" s="403"/>
      <c r="AS242" s="403"/>
      <c r="AT242" s="403"/>
      <c r="AU242" s="403" t="s">
        <v>1612</v>
      </c>
      <c r="AV242" s="403"/>
      <c r="AW242" s="403"/>
      <c r="AX242" s="403"/>
      <c r="AY242" s="403"/>
      <c r="AZ242" s="403"/>
      <c r="BA242" s="403"/>
      <c r="BB242" s="403"/>
      <c r="BC242" s="403"/>
      <c r="BD242" s="403"/>
      <c r="BE242" s="403"/>
      <c r="BF242" s="403"/>
      <c r="BG242" s="403"/>
      <c r="BH242" s="403"/>
      <c r="BI242" s="403"/>
      <c r="BJ242" s="403" t="s">
        <v>1665</v>
      </c>
      <c r="BK242" s="403"/>
      <c r="BL242" s="403"/>
      <c r="BM242" s="403"/>
      <c r="BN242" s="403"/>
      <c r="BO242" s="403"/>
      <c r="BP242" s="403"/>
      <c r="BQ242" s="403"/>
      <c r="BR242" s="403"/>
      <c r="BS242" s="403"/>
      <c r="BT242" s="403"/>
      <c r="BU242" s="403"/>
      <c r="BV242" s="403"/>
      <c r="BW242" s="403"/>
      <c r="BX242" s="403"/>
      <c r="BY242" s="403"/>
      <c r="BZ242" s="403"/>
      <c r="CA242" s="403"/>
      <c r="CB242" s="403"/>
      <c r="CC242" s="403" t="s">
        <v>11850</v>
      </c>
      <c r="CD242" s="403"/>
      <c r="CE242" s="403"/>
      <c r="CF242" s="403"/>
      <c r="CG242" s="403"/>
      <c r="CH242" s="403"/>
      <c r="CI242" s="403"/>
      <c r="CJ242" s="403"/>
      <c r="CK242" s="403"/>
      <c r="CL242" s="403"/>
      <c r="CM242" s="403"/>
      <c r="CN242" s="403"/>
      <c r="CO242" s="403"/>
      <c r="CP242" s="403"/>
      <c r="CQ242" s="403"/>
      <c r="CR242" s="403" t="s">
        <v>11861</v>
      </c>
      <c r="CS242" s="403"/>
      <c r="CT242" s="403"/>
      <c r="CU242" s="403"/>
      <c r="CV242" s="403"/>
      <c r="CW242" s="403"/>
      <c r="CX242" s="403"/>
      <c r="CY242" s="403"/>
      <c r="CZ242" s="403"/>
      <c r="DA242" s="403"/>
      <c r="DB242" s="403"/>
      <c r="DC242" s="403"/>
      <c r="DD242" s="403"/>
      <c r="DE242" s="403"/>
      <c r="DF242" s="403"/>
      <c r="DG242" s="403"/>
      <c r="DH242" s="403"/>
      <c r="DI242" s="403"/>
      <c r="DJ242" s="403"/>
      <c r="DK242" s="403" t="s">
        <v>11852</v>
      </c>
      <c r="DL242" s="403"/>
      <c r="DM242" s="403"/>
      <c r="DN242" s="403"/>
      <c r="DO242" s="403"/>
      <c r="DP242" s="403"/>
      <c r="DQ242" s="403"/>
      <c r="DR242" s="403"/>
      <c r="DS242" s="403"/>
      <c r="DT242" s="403"/>
      <c r="DU242" s="403"/>
      <c r="DV242" s="403"/>
      <c r="DW242" s="403"/>
      <c r="DX242" s="403"/>
      <c r="DY242" s="403"/>
      <c r="DZ242" s="403" t="s">
        <v>11862</v>
      </c>
      <c r="EA242" s="403"/>
      <c r="EB242" s="403"/>
      <c r="EC242" s="403"/>
      <c r="ED242" s="403"/>
      <c r="EE242" s="403"/>
      <c r="EF242" s="403"/>
      <c r="EG242" s="403"/>
      <c r="EH242" s="403"/>
      <c r="EI242" s="403"/>
      <c r="EJ242" s="403"/>
      <c r="EK242" s="403"/>
      <c r="EL242" s="403"/>
      <c r="EM242" s="403"/>
      <c r="EN242" s="403"/>
      <c r="EO242" s="403"/>
      <c r="EP242" s="403"/>
      <c r="EQ242" s="403"/>
      <c r="ER242" s="403"/>
      <c r="ES242" s="403" t="s">
        <v>11854</v>
      </c>
      <c r="ET242" s="403"/>
      <c r="EU242" s="403"/>
      <c r="EV242" s="403"/>
      <c r="EW242" s="403"/>
      <c r="EX242" s="403"/>
      <c r="EY242" s="403"/>
      <c r="EZ242" s="403"/>
      <c r="FA242" s="403"/>
      <c r="FB242" s="403"/>
      <c r="FC242" s="403"/>
      <c r="FD242" s="403"/>
      <c r="FE242" s="403"/>
      <c r="FF242" s="403"/>
      <c r="FG242" s="403"/>
      <c r="FH242" s="403" t="s">
        <v>11863</v>
      </c>
      <c r="FI242" s="403"/>
      <c r="FJ242" s="403"/>
      <c r="FK242" s="403"/>
      <c r="FL242" s="403"/>
      <c r="FM242" s="403"/>
      <c r="FN242" s="403"/>
      <c r="FO242" s="403"/>
      <c r="FP242" s="403"/>
      <c r="FQ242" s="403"/>
      <c r="FR242" s="403"/>
      <c r="FS242" s="403"/>
      <c r="FT242" s="403"/>
      <c r="FU242" s="403"/>
      <c r="FV242" s="403"/>
      <c r="FW242" s="403"/>
      <c r="FX242" s="403"/>
      <c r="FY242" s="403"/>
      <c r="FZ242" s="403"/>
      <c r="GA242" s="403" t="s">
        <v>11854</v>
      </c>
      <c r="GB242" s="403"/>
      <c r="GC242" s="403"/>
      <c r="GD242" s="403"/>
      <c r="GE242" s="403"/>
      <c r="GF242" s="403"/>
      <c r="GG242" s="403"/>
      <c r="GH242" s="403"/>
      <c r="GI242" s="403"/>
      <c r="GJ242" s="403"/>
      <c r="GK242" s="403"/>
      <c r="GL242" s="403"/>
      <c r="GM242" s="403"/>
      <c r="GN242" s="403"/>
      <c r="GO242" s="403"/>
      <c r="GP242" s="403" t="s">
        <v>11864</v>
      </c>
      <c r="GQ242" s="403"/>
      <c r="GR242" s="403"/>
      <c r="GS242" s="403"/>
      <c r="GT242" s="403"/>
      <c r="GU242" s="403"/>
      <c r="GV242" s="403"/>
      <c r="GW242" s="403"/>
      <c r="GX242" s="403"/>
      <c r="GY242" s="403"/>
      <c r="GZ242" s="403"/>
      <c r="HA242" s="403"/>
      <c r="HB242" s="403"/>
      <c r="HC242" s="403"/>
      <c r="HD242" s="403"/>
      <c r="HE242" s="403"/>
      <c r="HF242" s="403"/>
      <c r="HG242" s="403"/>
      <c r="HH242" s="403"/>
      <c r="HI242" s="403" t="s">
        <v>7909</v>
      </c>
      <c r="HJ242" s="403"/>
      <c r="HK242" s="403"/>
      <c r="HL242" s="403"/>
      <c r="HM242" s="403"/>
      <c r="HN242" s="403"/>
      <c r="HO242" s="403"/>
      <c r="HP242" s="403"/>
      <c r="HQ242" s="403"/>
      <c r="HR242" s="403"/>
      <c r="HS242" s="403"/>
      <c r="HT242" s="403"/>
      <c r="HU242" s="403"/>
      <c r="HV242" s="403"/>
      <c r="HW242" s="403"/>
      <c r="HX242" s="403" t="s">
        <v>11865</v>
      </c>
      <c r="HY242" s="403"/>
      <c r="HZ242" s="403"/>
      <c r="IA242" s="403"/>
      <c r="IB242" s="403"/>
      <c r="IC242" s="403"/>
      <c r="ID242" s="403"/>
      <c r="IE242" s="403"/>
      <c r="IF242" s="403"/>
      <c r="IG242" s="403"/>
      <c r="IH242" s="403"/>
      <c r="II242" s="403"/>
      <c r="IJ242" s="403"/>
      <c r="IK242" s="403"/>
      <c r="IL242" s="403"/>
      <c r="IM242" s="403"/>
      <c r="IN242" s="403"/>
      <c r="IO242" s="403"/>
      <c r="IP242" s="403"/>
      <c r="IQ242" s="403" t="s">
        <v>11859</v>
      </c>
      <c r="IR242" s="403"/>
      <c r="IS242" s="403"/>
      <c r="IT242" s="403"/>
      <c r="IU242" s="403"/>
      <c r="IV242" s="403"/>
      <c r="IW242" s="403"/>
      <c r="IX242" s="403"/>
      <c r="IY242" s="403"/>
      <c r="IZ242" s="403"/>
      <c r="JA242" s="403"/>
      <c r="JB242" s="403"/>
      <c r="JC242" s="403"/>
      <c r="JD242" s="403"/>
      <c r="JE242" s="403"/>
      <c r="JF242" s="403" t="s">
        <v>11866</v>
      </c>
      <c r="JG242" s="403"/>
      <c r="JH242" s="403"/>
      <c r="JI242" s="403"/>
      <c r="JJ242" s="403"/>
      <c r="JK242" s="403"/>
      <c r="JL242" s="403"/>
      <c r="JM242" s="403"/>
      <c r="JN242" s="403"/>
      <c r="JO242" s="403"/>
      <c r="JP242" s="403"/>
      <c r="JQ242" s="403"/>
      <c r="JR242" s="403"/>
      <c r="JS242" s="403"/>
      <c r="JT242" s="403"/>
    </row>
    <row r="243" spans="1:280" s="15" customFormat="1" ht="12.75" x14ac:dyDescent="0.2">
      <c r="A243" s="34"/>
      <c r="B243" s="627"/>
      <c r="C243" s="23" t="str">
        <f ca="1">IF(OFFSET(AU243,0,Lang_Order*Lang__B5)="","",OFFSET(AU243,0,Lang_Order*Lang__B5))</f>
        <v>Current Sites this Period</v>
      </c>
      <c r="J243" s="108">
        <f>'B1. Target Population'!D110</f>
        <v>0</v>
      </c>
      <c r="K243" s="108">
        <f>'B1. Target Population'!E110</f>
        <v>0</v>
      </c>
      <c r="L243" s="108">
        <f>'B1. Target Population'!F110</f>
        <v>0</v>
      </c>
      <c r="M243" s="108">
        <f>'B1. Target Population'!G110</f>
        <v>0</v>
      </c>
      <c r="N243" s="108">
        <f>'B1. Target Population'!H110</f>
        <v>0</v>
      </c>
      <c r="O243" s="108">
        <f>'B1. Target Population'!I110</f>
        <v>0</v>
      </c>
      <c r="P243" s="26"/>
      <c r="Q243" s="26"/>
      <c r="R243" s="12" t="str">
        <f t="shared" ca="1" si="585"/>
        <v>For DM4 - mobile sites in remote areas will be covered once and then move on</v>
      </c>
      <c r="S243" s="2"/>
      <c r="T243" s="241"/>
      <c r="U243" s="627"/>
      <c r="V243" s="72" t="str">
        <f ca="1">IF(OFFSET(AU243,0,Lang_Order*Lang__B5)="","",OFFSET(AU243,0,Lang_Order*Lang__B5))</f>
        <v>Current Sites this Period</v>
      </c>
      <c r="W243" s="15">
        <f>J243</f>
        <v>0</v>
      </c>
      <c r="X243" s="241">
        <f t="shared" ref="X243:AB243" si="589">K243</f>
        <v>0</v>
      </c>
      <c r="Y243" s="241">
        <f t="shared" si="589"/>
        <v>0</v>
      </c>
      <c r="Z243" s="241">
        <f t="shared" si="589"/>
        <v>0</v>
      </c>
      <c r="AA243" s="241">
        <f t="shared" si="589"/>
        <v>0</v>
      </c>
      <c r="AB243" s="241">
        <f t="shared" si="589"/>
        <v>0</v>
      </c>
      <c r="AE243" s="2"/>
      <c r="AF243" s="241"/>
      <c r="AG243" s="627"/>
      <c r="AH243" s="72" t="str">
        <f ca="1">IF(OFFSET(AU243,0,Lang_Order*Lang__B5)="","",OFFSET(AU243,0,Lang_Order*Lang__B5))</f>
        <v>Current Sites this Period</v>
      </c>
      <c r="AI243" s="15">
        <f>J243</f>
        <v>0</v>
      </c>
      <c r="AJ243" s="241">
        <f t="shared" ref="AJ243:AN243" si="590">K243</f>
        <v>0</v>
      </c>
      <c r="AK243" s="241">
        <f t="shared" si="590"/>
        <v>0</v>
      </c>
      <c r="AL243" s="241">
        <f t="shared" si="590"/>
        <v>0</v>
      </c>
      <c r="AM243" s="241">
        <f t="shared" si="590"/>
        <v>0</v>
      </c>
      <c r="AN243" s="241">
        <f t="shared" si="590"/>
        <v>0</v>
      </c>
      <c r="AR243" s="403"/>
      <c r="AS243" s="403"/>
      <c r="AT243" s="403"/>
      <c r="AU243" s="403" t="s">
        <v>2833</v>
      </c>
      <c r="AV243" s="403"/>
      <c r="AW243" s="403"/>
      <c r="AX243" s="403"/>
      <c r="AY243" s="403"/>
      <c r="AZ243" s="403"/>
      <c r="BA243" s="403"/>
      <c r="BB243" s="403"/>
      <c r="BC243" s="403"/>
      <c r="BD243" s="403"/>
      <c r="BE243" s="403"/>
      <c r="BF243" s="403"/>
      <c r="BG243" s="403"/>
      <c r="BH243" s="403"/>
      <c r="BI243" s="403"/>
      <c r="BJ243" s="403" t="s">
        <v>2177</v>
      </c>
      <c r="BK243" s="403"/>
      <c r="BL243" s="403"/>
      <c r="BM243" s="403"/>
      <c r="BN243" s="403"/>
      <c r="BO243" s="403"/>
      <c r="BP243" s="403"/>
      <c r="BQ243" s="403"/>
      <c r="BR243" s="403"/>
      <c r="BS243" s="403"/>
      <c r="BT243" s="403"/>
      <c r="BU243" s="403"/>
      <c r="BV243" s="403"/>
      <c r="BW243" s="403"/>
      <c r="BX243" s="403"/>
      <c r="BY243" s="403"/>
      <c r="BZ243" s="403"/>
      <c r="CA243" s="403"/>
      <c r="CB243" s="403"/>
      <c r="CC243" s="403" t="s">
        <v>11850</v>
      </c>
      <c r="CD243" s="403"/>
      <c r="CE243" s="403"/>
      <c r="CF243" s="403"/>
      <c r="CG243" s="403"/>
      <c r="CH243" s="403"/>
      <c r="CI243" s="403"/>
      <c r="CJ243" s="403"/>
      <c r="CK243" s="403"/>
      <c r="CL243" s="403"/>
      <c r="CM243" s="403"/>
      <c r="CN243" s="403"/>
      <c r="CO243" s="403"/>
      <c r="CP243" s="403"/>
      <c r="CQ243" s="403"/>
      <c r="CR243" s="403" t="s">
        <v>12195</v>
      </c>
      <c r="CS243" s="403"/>
      <c r="CT243" s="403"/>
      <c r="CU243" s="403"/>
      <c r="CV243" s="403"/>
      <c r="CW243" s="403"/>
      <c r="CX243" s="403"/>
      <c r="CY243" s="403"/>
      <c r="CZ243" s="403"/>
      <c r="DA243" s="403"/>
      <c r="DB243" s="403"/>
      <c r="DC243" s="403"/>
      <c r="DD243" s="403"/>
      <c r="DE243" s="403"/>
      <c r="DF243" s="403"/>
      <c r="DG243" s="403"/>
      <c r="DH243" s="403"/>
      <c r="DI243" s="403"/>
      <c r="DJ243" s="403"/>
      <c r="DK243" s="403" t="s">
        <v>12163</v>
      </c>
      <c r="DL243" s="403"/>
      <c r="DM243" s="403"/>
      <c r="DN243" s="403"/>
      <c r="DO243" s="403"/>
      <c r="DP243" s="403"/>
      <c r="DQ243" s="403"/>
      <c r="DR243" s="403"/>
      <c r="DS243" s="403"/>
      <c r="DT243" s="403"/>
      <c r="DU243" s="403"/>
      <c r="DV243" s="403"/>
      <c r="DW243" s="403"/>
      <c r="DX243" s="403"/>
      <c r="DY243" s="403"/>
      <c r="DZ243" s="403" t="s">
        <v>12196</v>
      </c>
      <c r="EA243" s="403"/>
      <c r="EB243" s="403"/>
      <c r="EC243" s="403"/>
      <c r="ED243" s="403"/>
      <c r="EE243" s="403"/>
      <c r="EF243" s="403"/>
      <c r="EG243" s="403"/>
      <c r="EH243" s="403"/>
      <c r="EI243" s="403"/>
      <c r="EJ243" s="403"/>
      <c r="EK243" s="403"/>
      <c r="EL243" s="403"/>
      <c r="EM243" s="403"/>
      <c r="EN243" s="403"/>
      <c r="EO243" s="403"/>
      <c r="EP243" s="403"/>
      <c r="EQ243" s="403"/>
      <c r="ER243" s="403"/>
      <c r="ES243" s="403" t="s">
        <v>12164</v>
      </c>
      <c r="ET243" s="403"/>
      <c r="EU243" s="403"/>
      <c r="EV243" s="403"/>
      <c r="EW243" s="403"/>
      <c r="EX243" s="403"/>
      <c r="EY243" s="403"/>
      <c r="EZ243" s="403"/>
      <c r="FA243" s="403"/>
      <c r="FB243" s="403"/>
      <c r="FC243" s="403"/>
      <c r="FD243" s="403"/>
      <c r="FE243" s="403"/>
      <c r="FF243" s="403"/>
      <c r="FG243" s="403"/>
      <c r="FH243" s="403" t="s">
        <v>12197</v>
      </c>
      <c r="FI243" s="403"/>
      <c r="FJ243" s="403"/>
      <c r="FK243" s="403"/>
      <c r="FL243" s="403"/>
      <c r="FM243" s="403"/>
      <c r="FN243" s="403"/>
      <c r="FO243" s="403"/>
      <c r="FP243" s="403"/>
      <c r="FQ243" s="403"/>
      <c r="FR243" s="403"/>
      <c r="FS243" s="403"/>
      <c r="FT243" s="403"/>
      <c r="FU243" s="403"/>
      <c r="FV243" s="403"/>
      <c r="FW243" s="403"/>
      <c r="FX243" s="403"/>
      <c r="FY243" s="403"/>
      <c r="FZ243" s="403"/>
      <c r="GA243" s="403" t="s">
        <v>12165</v>
      </c>
      <c r="GB243" s="403"/>
      <c r="GC243" s="403"/>
      <c r="GD243" s="403"/>
      <c r="GE243" s="403"/>
      <c r="GF243" s="403"/>
      <c r="GG243" s="403"/>
      <c r="GH243" s="403"/>
      <c r="GI243" s="403"/>
      <c r="GJ243" s="403"/>
      <c r="GK243" s="403"/>
      <c r="GL243" s="403"/>
      <c r="GM243" s="403"/>
      <c r="GN243" s="403"/>
      <c r="GO243" s="403"/>
      <c r="GP243" s="403" t="s">
        <v>12198</v>
      </c>
      <c r="GQ243" s="403"/>
      <c r="GR243" s="403"/>
      <c r="GS243" s="403"/>
      <c r="GT243" s="403"/>
      <c r="GU243" s="403"/>
      <c r="GV243" s="403"/>
      <c r="GW243" s="403"/>
      <c r="GX243" s="403"/>
      <c r="GY243" s="403"/>
      <c r="GZ243" s="403"/>
      <c r="HA243" s="403"/>
      <c r="HB243" s="403"/>
      <c r="HC243" s="403"/>
      <c r="HD243" s="403"/>
      <c r="HE243" s="403"/>
      <c r="HF243" s="403"/>
      <c r="HG243" s="403"/>
      <c r="HH243" s="403"/>
      <c r="HI243" s="403" t="s">
        <v>12166</v>
      </c>
      <c r="HJ243" s="403"/>
      <c r="HK243" s="403"/>
      <c r="HL243" s="403"/>
      <c r="HM243" s="403"/>
      <c r="HN243" s="403"/>
      <c r="HO243" s="403"/>
      <c r="HP243" s="403"/>
      <c r="HQ243" s="403"/>
      <c r="HR243" s="403"/>
      <c r="HS243" s="403"/>
      <c r="HT243" s="403"/>
      <c r="HU243" s="403"/>
      <c r="HV243" s="403"/>
      <c r="HW243" s="403"/>
      <c r="HX243" s="403" t="s">
        <v>12199</v>
      </c>
      <c r="HY243" s="403"/>
      <c r="HZ243" s="403"/>
      <c r="IA243" s="403"/>
      <c r="IB243" s="403"/>
      <c r="IC243" s="403"/>
      <c r="ID243" s="403"/>
      <c r="IE243" s="403"/>
      <c r="IF243" s="403"/>
      <c r="IG243" s="403"/>
      <c r="IH243" s="403"/>
      <c r="II243" s="403"/>
      <c r="IJ243" s="403"/>
      <c r="IK243" s="403"/>
      <c r="IL243" s="403"/>
      <c r="IM243" s="403"/>
      <c r="IN243" s="403"/>
      <c r="IO243" s="403"/>
      <c r="IP243" s="403"/>
      <c r="IQ243" s="403" t="s">
        <v>12167</v>
      </c>
      <c r="IR243" s="403"/>
      <c r="IS243" s="403"/>
      <c r="IT243" s="403"/>
      <c r="IU243" s="403"/>
      <c r="IV243" s="403"/>
      <c r="IW243" s="403"/>
      <c r="IX243" s="403"/>
      <c r="IY243" s="403"/>
      <c r="IZ243" s="403"/>
      <c r="JA243" s="403"/>
      <c r="JB243" s="403"/>
      <c r="JC243" s="403"/>
      <c r="JD243" s="403"/>
      <c r="JE243" s="403"/>
      <c r="JF243" s="403" t="s">
        <v>12200</v>
      </c>
      <c r="JG243" s="403"/>
      <c r="JH243" s="403"/>
      <c r="JI243" s="403"/>
      <c r="JJ243" s="403"/>
      <c r="JK243" s="403"/>
      <c r="JL243" s="403"/>
      <c r="JM243" s="403"/>
      <c r="JN243" s="403"/>
      <c r="JO243" s="403"/>
      <c r="JP243" s="403"/>
      <c r="JQ243" s="403"/>
      <c r="JR243" s="403"/>
      <c r="JS243" s="403"/>
      <c r="JT243" s="403"/>
    </row>
    <row r="244" spans="1:280" s="194" customFormat="1" ht="12.75" x14ac:dyDescent="0.2">
      <c r="A244" s="34"/>
      <c r="B244" s="627"/>
      <c r="C244" s="23" t="str">
        <f ca="1">IF(OFFSET(AU244,0,Lang_Order*Lang__B5)="","",OFFSET(AU244,0,Lang_Order*Lang__B5))</f>
        <v>Domestic Travel to Sites this Period</v>
      </c>
      <c r="J244" s="26" t="e">
        <f>2*J243*$E$239</f>
        <v>#N/A</v>
      </c>
      <c r="K244" s="26" t="e">
        <f t="shared" ref="K244:O244" si="591">2*K243*$E$239</f>
        <v>#N/A</v>
      </c>
      <c r="L244" s="26" t="e">
        <f t="shared" si="591"/>
        <v>#N/A</v>
      </c>
      <c r="M244" s="26" t="e">
        <f t="shared" si="591"/>
        <v>#N/A</v>
      </c>
      <c r="N244" s="26" t="e">
        <f t="shared" si="591"/>
        <v>#N/A</v>
      </c>
      <c r="O244" s="26" t="e">
        <f t="shared" si="591"/>
        <v>#N/A</v>
      </c>
      <c r="P244" s="26"/>
      <c r="Q244" s="26"/>
      <c r="R244" s="12" t="str">
        <f t="shared" ca="1" si="585"/>
        <v/>
      </c>
      <c r="S244" s="2"/>
      <c r="T244" s="241"/>
      <c r="U244" s="627"/>
      <c r="V244" s="72" t="str">
        <f ca="1">IF(OFFSET(AU244,0,Lang_Order*Lang__B5)="","",OFFSET(AU244,0,Lang_Order*Lang__B5))</f>
        <v>Domestic Travel to Sites this Period</v>
      </c>
      <c r="W244" s="26" t="e">
        <f t="shared" ref="W244:AB244" si="592">2*W243*$E$239</f>
        <v>#N/A</v>
      </c>
      <c r="X244" s="26" t="e">
        <f t="shared" si="592"/>
        <v>#N/A</v>
      </c>
      <c r="Y244" s="26" t="e">
        <f t="shared" si="592"/>
        <v>#N/A</v>
      </c>
      <c r="Z244" s="26" t="e">
        <f t="shared" si="592"/>
        <v>#N/A</v>
      </c>
      <c r="AA244" s="26" t="e">
        <f t="shared" si="592"/>
        <v>#N/A</v>
      </c>
      <c r="AB244" s="26" t="e">
        <f t="shared" si="592"/>
        <v>#N/A</v>
      </c>
      <c r="AC244" s="26"/>
      <c r="AD244" s="26"/>
      <c r="AE244" s="2"/>
      <c r="AF244" s="241"/>
      <c r="AG244" s="627"/>
      <c r="AH244" s="72" t="str">
        <f ca="1">IF(OFFSET(AU244,0,Lang_Order*Lang__B5)="","",OFFSET(AU244,0,Lang_Order*Lang__B5))</f>
        <v>Domestic Travel to Sites this Period</v>
      </c>
      <c r="AI244" s="26" t="e">
        <f t="shared" ref="AI244:AN244" si="593">2*AI243*$E$239</f>
        <v>#N/A</v>
      </c>
      <c r="AJ244" s="26" t="e">
        <f t="shared" si="593"/>
        <v>#N/A</v>
      </c>
      <c r="AK244" s="26" t="e">
        <f t="shared" si="593"/>
        <v>#N/A</v>
      </c>
      <c r="AL244" s="26" t="e">
        <f t="shared" si="593"/>
        <v>#N/A</v>
      </c>
      <c r="AM244" s="26" t="e">
        <f t="shared" si="593"/>
        <v>#N/A</v>
      </c>
      <c r="AN244" s="26" t="e">
        <f t="shared" si="593"/>
        <v>#N/A</v>
      </c>
      <c r="AO244" s="26"/>
      <c r="AP244" s="26"/>
      <c r="AR244" s="403"/>
      <c r="AS244" s="403"/>
      <c r="AT244" s="403"/>
      <c r="AU244" s="403" t="s">
        <v>2834</v>
      </c>
      <c r="AV244" s="403"/>
      <c r="AW244" s="403"/>
      <c r="AX244" s="403"/>
      <c r="AY244" s="403"/>
      <c r="AZ244" s="403"/>
      <c r="BA244" s="403"/>
      <c r="BB244" s="403"/>
      <c r="BC244" s="403"/>
      <c r="BD244" s="403"/>
      <c r="BE244" s="403"/>
      <c r="BF244" s="403"/>
      <c r="BG244" s="403"/>
      <c r="BH244" s="403"/>
      <c r="BI244" s="403"/>
      <c r="BJ244" s="403"/>
      <c r="BK244" s="403"/>
      <c r="BL244" s="403"/>
      <c r="BM244" s="403"/>
      <c r="BN244" s="403"/>
      <c r="BO244" s="403"/>
      <c r="BP244" s="403"/>
      <c r="BQ244" s="403"/>
      <c r="BR244" s="403"/>
      <c r="BS244" s="403"/>
      <c r="BT244" s="403"/>
      <c r="BU244" s="403"/>
      <c r="BV244" s="403"/>
      <c r="BW244" s="403"/>
      <c r="BX244" s="403"/>
      <c r="BY244" s="403"/>
      <c r="BZ244" s="403"/>
      <c r="CA244" s="403"/>
      <c r="CB244" s="403"/>
      <c r="CC244" s="403" t="s">
        <v>12162</v>
      </c>
      <c r="CD244" s="403"/>
      <c r="CE244" s="403"/>
      <c r="CF244" s="403"/>
      <c r="CG244" s="403"/>
      <c r="CH244" s="403"/>
      <c r="CI244" s="403"/>
      <c r="CJ244" s="403"/>
      <c r="CK244" s="403"/>
      <c r="CL244" s="403"/>
      <c r="CM244" s="403"/>
      <c r="CN244" s="403"/>
      <c r="CO244" s="403"/>
      <c r="CP244" s="403"/>
      <c r="CQ244" s="403"/>
      <c r="CR244" s="403"/>
      <c r="CS244" s="403"/>
      <c r="CT244" s="403"/>
      <c r="CU244" s="403"/>
      <c r="CV244" s="403"/>
      <c r="CW244" s="403"/>
      <c r="CX244" s="403"/>
      <c r="CY244" s="403"/>
      <c r="CZ244" s="403"/>
      <c r="DA244" s="403"/>
      <c r="DB244" s="403"/>
      <c r="DC244" s="403"/>
      <c r="DD244" s="403"/>
      <c r="DE244" s="403"/>
      <c r="DF244" s="403"/>
      <c r="DG244" s="403"/>
      <c r="DH244" s="403"/>
      <c r="DI244" s="403"/>
      <c r="DJ244" s="403"/>
      <c r="DK244" s="403" t="s">
        <v>12201</v>
      </c>
      <c r="DL244" s="403"/>
      <c r="DM244" s="403"/>
      <c r="DN244" s="403"/>
      <c r="DO244" s="403"/>
      <c r="DP244" s="403"/>
      <c r="DQ244" s="403"/>
      <c r="DR244" s="403"/>
      <c r="DS244" s="403"/>
      <c r="DT244" s="403"/>
      <c r="DU244" s="403"/>
      <c r="DV244" s="403"/>
      <c r="DW244" s="403"/>
      <c r="DX244" s="403"/>
      <c r="DY244" s="403"/>
      <c r="DZ244" s="403"/>
      <c r="EA244" s="403"/>
      <c r="EB244" s="403"/>
      <c r="EC244" s="403"/>
      <c r="ED244" s="403"/>
      <c r="EE244" s="403"/>
      <c r="EF244" s="403"/>
      <c r="EG244" s="403"/>
      <c r="EH244" s="403"/>
      <c r="EI244" s="403"/>
      <c r="EJ244" s="403"/>
      <c r="EK244" s="403"/>
      <c r="EL244" s="403"/>
      <c r="EM244" s="403"/>
      <c r="EN244" s="403"/>
      <c r="EO244" s="403"/>
      <c r="EP244" s="403"/>
      <c r="EQ244" s="403"/>
      <c r="ER244" s="403"/>
      <c r="ES244" s="403" t="s">
        <v>12107</v>
      </c>
      <c r="ET244" s="403"/>
      <c r="EU244" s="403"/>
      <c r="EV244" s="403"/>
      <c r="EW244" s="403"/>
      <c r="EX244" s="403"/>
      <c r="EY244" s="403"/>
      <c r="EZ244" s="403"/>
      <c r="FA244" s="403"/>
      <c r="FB244" s="403"/>
      <c r="FC244" s="403"/>
      <c r="FD244" s="403"/>
      <c r="FE244" s="403"/>
      <c r="FF244" s="403"/>
      <c r="FG244" s="403"/>
      <c r="FH244" s="403"/>
      <c r="FI244" s="403"/>
      <c r="FJ244" s="403"/>
      <c r="FK244" s="403"/>
      <c r="FL244" s="403"/>
      <c r="FM244" s="403"/>
      <c r="FN244" s="403"/>
      <c r="FO244" s="403"/>
      <c r="FP244" s="403"/>
      <c r="FQ244" s="403"/>
      <c r="FR244" s="403"/>
      <c r="FS244" s="403"/>
      <c r="FT244" s="403"/>
      <c r="FU244" s="403"/>
      <c r="FV244" s="403"/>
      <c r="FW244" s="403"/>
      <c r="FX244" s="403"/>
      <c r="FY244" s="403"/>
      <c r="FZ244" s="403"/>
      <c r="GA244" s="403" t="s">
        <v>12108</v>
      </c>
      <c r="GB244" s="403"/>
      <c r="GC244" s="403"/>
      <c r="GD244" s="403"/>
      <c r="GE244" s="403"/>
      <c r="GF244" s="403"/>
      <c r="GG244" s="403"/>
      <c r="GH244" s="403"/>
      <c r="GI244" s="403"/>
      <c r="GJ244" s="403"/>
      <c r="GK244" s="403"/>
      <c r="GL244" s="403"/>
      <c r="GM244" s="403"/>
      <c r="GN244" s="403"/>
      <c r="GO244" s="403"/>
      <c r="GP244" s="403"/>
      <c r="GQ244" s="403"/>
      <c r="GR244" s="403"/>
      <c r="GS244" s="403"/>
      <c r="GT244" s="403"/>
      <c r="GU244" s="403"/>
      <c r="GV244" s="403"/>
      <c r="GW244" s="403"/>
      <c r="GX244" s="403"/>
      <c r="GY244" s="403"/>
      <c r="GZ244" s="403"/>
      <c r="HA244" s="403"/>
      <c r="HB244" s="403"/>
      <c r="HC244" s="403"/>
      <c r="HD244" s="403"/>
      <c r="HE244" s="403"/>
      <c r="HF244" s="403"/>
      <c r="HG244" s="403"/>
      <c r="HH244" s="403"/>
      <c r="HI244" s="403" t="s">
        <v>12170</v>
      </c>
      <c r="HJ244" s="403"/>
      <c r="HK244" s="403"/>
      <c r="HL244" s="403"/>
      <c r="HM244" s="403"/>
      <c r="HN244" s="403"/>
      <c r="HO244" s="403"/>
      <c r="HP244" s="403"/>
      <c r="HQ244" s="403"/>
      <c r="HR244" s="403"/>
      <c r="HS244" s="403"/>
      <c r="HT244" s="403"/>
      <c r="HU244" s="403"/>
      <c r="HV244" s="403"/>
      <c r="HW244" s="403"/>
      <c r="HX244" s="403"/>
      <c r="HY244" s="403"/>
      <c r="HZ244" s="403"/>
      <c r="IA244" s="403"/>
      <c r="IB244" s="403"/>
      <c r="IC244" s="403"/>
      <c r="ID244" s="403"/>
      <c r="IE244" s="403"/>
      <c r="IF244" s="403"/>
      <c r="IG244" s="403"/>
      <c r="IH244" s="403"/>
      <c r="II244" s="403"/>
      <c r="IJ244" s="403"/>
      <c r="IK244" s="403"/>
      <c r="IL244" s="403"/>
      <c r="IM244" s="403"/>
      <c r="IN244" s="403"/>
      <c r="IO244" s="403"/>
      <c r="IP244" s="403"/>
      <c r="IQ244" s="403" t="s">
        <v>12110</v>
      </c>
      <c r="IR244" s="403"/>
      <c r="IS244" s="403"/>
      <c r="IT244" s="403"/>
      <c r="IU244" s="403"/>
      <c r="IV244" s="403"/>
      <c r="IW244" s="403"/>
      <c r="IX244" s="403"/>
      <c r="IY244" s="403"/>
      <c r="IZ244" s="403"/>
      <c r="JA244" s="403"/>
      <c r="JB244" s="403"/>
      <c r="JC244" s="403"/>
      <c r="JD244" s="403"/>
      <c r="JE244" s="403"/>
      <c r="JF244" s="403"/>
      <c r="JG244" s="403"/>
      <c r="JH244" s="403"/>
      <c r="JI244" s="403"/>
      <c r="JJ244" s="403"/>
      <c r="JK244" s="403"/>
      <c r="JL244" s="403"/>
      <c r="JM244" s="403"/>
      <c r="JN244" s="403"/>
      <c r="JO244" s="403"/>
      <c r="JP244" s="403"/>
      <c r="JQ244" s="403"/>
      <c r="JR244" s="403"/>
      <c r="JS244" s="403"/>
      <c r="JT244" s="403"/>
    </row>
    <row r="245" spans="1:280" s="194" customFormat="1" ht="12.75" x14ac:dyDescent="0.2">
      <c r="A245" s="34"/>
      <c r="B245" s="627"/>
      <c r="C245" s="23" t="str">
        <f ca="1">IF(OFFSET(AU245,0,Lang_Order*Lang__B5)="","",OFFSET(AU245,0,Lang_Order*Lang__B5))</f>
        <v>Travelling Team Size</v>
      </c>
      <c r="J245" s="26">
        <f>J251+(J252*J256)+(J253*J257)</f>
        <v>0</v>
      </c>
      <c r="K245" s="26">
        <f t="shared" ref="K245:O245" si="594">K251+(K252*K256)+(K253*K257)</f>
        <v>0</v>
      </c>
      <c r="L245" s="26">
        <f t="shared" si="594"/>
        <v>0</v>
      </c>
      <c r="M245" s="26">
        <f t="shared" si="594"/>
        <v>0</v>
      </c>
      <c r="N245" s="26">
        <f t="shared" si="594"/>
        <v>0</v>
      </c>
      <c r="O245" s="26">
        <f t="shared" si="594"/>
        <v>0</v>
      </c>
      <c r="P245" s="26"/>
      <c r="Q245" s="26"/>
      <c r="R245" s="12" t="str">
        <f t="shared" ca="1" si="585"/>
        <v/>
      </c>
      <c r="S245" s="2"/>
      <c r="T245" s="241"/>
      <c r="U245" s="627"/>
      <c r="V245" s="72" t="str">
        <f ca="1">IF(OFFSET(AU245,0,Lang_Order*Lang__B5)="","",OFFSET(AU245,0,Lang_Order*Lang__B5))</f>
        <v>Travelling Team Size</v>
      </c>
      <c r="W245" s="26">
        <f>W251+(W252*W256)+(W253*W257)</f>
        <v>0</v>
      </c>
      <c r="X245" s="26">
        <f t="shared" ref="X245:AB245" si="595">X251+(X252*X256)+(X253*X257)</f>
        <v>0</v>
      </c>
      <c r="Y245" s="26">
        <f t="shared" si="595"/>
        <v>0</v>
      </c>
      <c r="Z245" s="26">
        <f t="shared" si="595"/>
        <v>0</v>
      </c>
      <c r="AA245" s="26">
        <f t="shared" si="595"/>
        <v>0</v>
      </c>
      <c r="AB245" s="26">
        <f t="shared" si="595"/>
        <v>0</v>
      </c>
      <c r="AC245" s="26"/>
      <c r="AD245" s="26"/>
      <c r="AE245" s="2"/>
      <c r="AF245" s="241"/>
      <c r="AG245" s="627"/>
      <c r="AH245" s="72" t="str">
        <f ca="1">IF(OFFSET(AU245,0,Lang_Order*Lang__B5)="","",OFFSET(AU245,0,Lang_Order*Lang__B5))</f>
        <v>Travelling Team Size</v>
      </c>
      <c r="AI245" s="26">
        <f>AI251+(AI252*AI256)+(AI253*AI257)</f>
        <v>0</v>
      </c>
      <c r="AJ245" s="26">
        <f t="shared" ref="AJ245:AN245" si="596">AJ251+(AJ252*AJ256)+(AJ253*AJ257)</f>
        <v>0</v>
      </c>
      <c r="AK245" s="26">
        <f t="shared" si="596"/>
        <v>0</v>
      </c>
      <c r="AL245" s="26">
        <f t="shared" si="596"/>
        <v>0</v>
      </c>
      <c r="AM245" s="26">
        <f t="shared" si="596"/>
        <v>0</v>
      </c>
      <c r="AN245" s="26">
        <f t="shared" si="596"/>
        <v>0</v>
      </c>
      <c r="AO245" s="26"/>
      <c r="AP245" s="26"/>
      <c r="AR245" s="403"/>
      <c r="AS245" s="403"/>
      <c r="AT245" s="403"/>
      <c r="AU245" s="403" t="s">
        <v>2835</v>
      </c>
      <c r="AV245" s="403"/>
      <c r="AW245" s="403"/>
      <c r="AX245" s="403"/>
      <c r="AY245" s="403"/>
      <c r="AZ245" s="403"/>
      <c r="BA245" s="403"/>
      <c r="BB245" s="403"/>
      <c r="BC245" s="403"/>
      <c r="BD245" s="403"/>
      <c r="BE245" s="403"/>
      <c r="BF245" s="403"/>
      <c r="BG245" s="403"/>
      <c r="BH245" s="403"/>
      <c r="BI245" s="403"/>
      <c r="BJ245" s="403"/>
      <c r="BK245" s="403"/>
      <c r="BL245" s="403"/>
      <c r="BM245" s="403"/>
      <c r="BN245" s="403"/>
      <c r="BO245" s="403"/>
      <c r="BP245" s="403"/>
      <c r="BQ245" s="403"/>
      <c r="BR245" s="403"/>
      <c r="BS245" s="403"/>
      <c r="BT245" s="403"/>
      <c r="BU245" s="403"/>
      <c r="BV245" s="403"/>
      <c r="BW245" s="403"/>
      <c r="BX245" s="403"/>
      <c r="BY245" s="403"/>
      <c r="BZ245" s="403"/>
      <c r="CA245" s="403"/>
      <c r="CB245" s="403"/>
      <c r="CC245" s="403" t="s">
        <v>12168</v>
      </c>
      <c r="CD245" s="403"/>
      <c r="CE245" s="403"/>
      <c r="CF245" s="403"/>
      <c r="CG245" s="403"/>
      <c r="CH245" s="403"/>
      <c r="CI245" s="403"/>
      <c r="CJ245" s="403"/>
      <c r="CK245" s="403"/>
      <c r="CL245" s="403"/>
      <c r="CM245" s="403"/>
      <c r="CN245" s="403"/>
      <c r="CO245" s="403"/>
      <c r="CP245" s="403"/>
      <c r="CQ245" s="403"/>
      <c r="CR245" s="403"/>
      <c r="CS245" s="403"/>
      <c r="CT245" s="403"/>
      <c r="CU245" s="403"/>
      <c r="CV245" s="403"/>
      <c r="CW245" s="403"/>
      <c r="CX245" s="403"/>
      <c r="CY245" s="403"/>
      <c r="CZ245" s="403"/>
      <c r="DA245" s="403"/>
      <c r="DB245" s="403"/>
      <c r="DC245" s="403"/>
      <c r="DD245" s="403"/>
      <c r="DE245" s="403"/>
      <c r="DF245" s="403"/>
      <c r="DG245" s="403"/>
      <c r="DH245" s="403"/>
      <c r="DI245" s="403"/>
      <c r="DJ245" s="403"/>
      <c r="DK245" s="403" t="s">
        <v>12172</v>
      </c>
      <c r="DL245" s="403"/>
      <c r="DM245" s="403"/>
      <c r="DN245" s="403"/>
      <c r="DO245" s="403"/>
      <c r="DP245" s="403"/>
      <c r="DQ245" s="403"/>
      <c r="DR245" s="403"/>
      <c r="DS245" s="403"/>
      <c r="DT245" s="403"/>
      <c r="DU245" s="403"/>
      <c r="DV245" s="403"/>
      <c r="DW245" s="403"/>
      <c r="DX245" s="403"/>
      <c r="DY245" s="403"/>
      <c r="DZ245" s="403"/>
      <c r="EA245" s="403"/>
      <c r="EB245" s="403"/>
      <c r="EC245" s="403"/>
      <c r="ED245" s="403"/>
      <c r="EE245" s="403"/>
      <c r="EF245" s="403"/>
      <c r="EG245" s="403"/>
      <c r="EH245" s="403"/>
      <c r="EI245" s="403"/>
      <c r="EJ245" s="403"/>
      <c r="EK245" s="403"/>
      <c r="EL245" s="403"/>
      <c r="EM245" s="403"/>
      <c r="EN245" s="403"/>
      <c r="EO245" s="403"/>
      <c r="EP245" s="403"/>
      <c r="EQ245" s="403"/>
      <c r="ER245" s="403"/>
      <c r="ES245" s="403" t="s">
        <v>12113</v>
      </c>
      <c r="ET245" s="403"/>
      <c r="EU245" s="403"/>
      <c r="EV245" s="403"/>
      <c r="EW245" s="403"/>
      <c r="EX245" s="403"/>
      <c r="EY245" s="403"/>
      <c r="EZ245" s="403"/>
      <c r="FA245" s="403"/>
      <c r="FB245" s="403"/>
      <c r="FC245" s="403"/>
      <c r="FD245" s="403"/>
      <c r="FE245" s="403"/>
      <c r="FF245" s="403"/>
      <c r="FG245" s="403"/>
      <c r="FH245" s="403"/>
      <c r="FI245" s="403"/>
      <c r="FJ245" s="403"/>
      <c r="FK245" s="403"/>
      <c r="FL245" s="403"/>
      <c r="FM245" s="403"/>
      <c r="FN245" s="403"/>
      <c r="FO245" s="403"/>
      <c r="FP245" s="403"/>
      <c r="FQ245" s="403"/>
      <c r="FR245" s="403"/>
      <c r="FS245" s="403"/>
      <c r="FT245" s="403"/>
      <c r="FU245" s="403"/>
      <c r="FV245" s="403"/>
      <c r="FW245" s="403"/>
      <c r="FX245" s="403"/>
      <c r="FY245" s="403"/>
      <c r="FZ245" s="403"/>
      <c r="GA245" s="403" t="s">
        <v>12114</v>
      </c>
      <c r="GB245" s="403"/>
      <c r="GC245" s="403"/>
      <c r="GD245" s="403"/>
      <c r="GE245" s="403"/>
      <c r="GF245" s="403"/>
      <c r="GG245" s="403"/>
      <c r="GH245" s="403"/>
      <c r="GI245" s="403"/>
      <c r="GJ245" s="403"/>
      <c r="GK245" s="403"/>
      <c r="GL245" s="403"/>
      <c r="GM245" s="403"/>
      <c r="GN245" s="403"/>
      <c r="GO245" s="403"/>
      <c r="GP245" s="403"/>
      <c r="GQ245" s="403"/>
      <c r="GR245" s="403"/>
      <c r="GS245" s="403"/>
      <c r="GT245" s="403"/>
      <c r="GU245" s="403"/>
      <c r="GV245" s="403"/>
      <c r="GW245" s="403"/>
      <c r="GX245" s="403"/>
      <c r="GY245" s="403"/>
      <c r="GZ245" s="403"/>
      <c r="HA245" s="403"/>
      <c r="HB245" s="403"/>
      <c r="HC245" s="403"/>
      <c r="HD245" s="403"/>
      <c r="HE245" s="403"/>
      <c r="HF245" s="403"/>
      <c r="HG245" s="403"/>
      <c r="HH245" s="403"/>
      <c r="HI245" s="403" t="s">
        <v>12115</v>
      </c>
      <c r="HJ245" s="403"/>
      <c r="HK245" s="403"/>
      <c r="HL245" s="403"/>
      <c r="HM245" s="403"/>
      <c r="HN245" s="403"/>
      <c r="HO245" s="403"/>
      <c r="HP245" s="403"/>
      <c r="HQ245" s="403"/>
      <c r="HR245" s="403"/>
      <c r="HS245" s="403"/>
      <c r="HT245" s="403"/>
      <c r="HU245" s="403"/>
      <c r="HV245" s="403"/>
      <c r="HW245" s="403"/>
      <c r="HX245" s="403"/>
      <c r="HY245" s="403"/>
      <c r="HZ245" s="403"/>
      <c r="IA245" s="403"/>
      <c r="IB245" s="403"/>
      <c r="IC245" s="403"/>
      <c r="ID245" s="403"/>
      <c r="IE245" s="403"/>
      <c r="IF245" s="403"/>
      <c r="IG245" s="403"/>
      <c r="IH245" s="403"/>
      <c r="II245" s="403"/>
      <c r="IJ245" s="403"/>
      <c r="IK245" s="403"/>
      <c r="IL245" s="403"/>
      <c r="IM245" s="403"/>
      <c r="IN245" s="403"/>
      <c r="IO245" s="403"/>
      <c r="IP245" s="403"/>
      <c r="IQ245" s="403" t="s">
        <v>12116</v>
      </c>
      <c r="IR245" s="403"/>
      <c r="IS245" s="403"/>
      <c r="IT245" s="403"/>
      <c r="IU245" s="403"/>
      <c r="IV245" s="403"/>
      <c r="IW245" s="403"/>
      <c r="IX245" s="403"/>
      <c r="IY245" s="403"/>
      <c r="IZ245" s="403"/>
      <c r="JA245" s="403"/>
      <c r="JB245" s="403"/>
      <c r="JC245" s="403"/>
      <c r="JD245" s="403"/>
      <c r="JE245" s="403"/>
      <c r="JF245" s="403"/>
      <c r="JG245" s="403"/>
      <c r="JH245" s="403"/>
      <c r="JI245" s="403"/>
      <c r="JJ245" s="403"/>
      <c r="JK245" s="403"/>
      <c r="JL245" s="403"/>
      <c r="JM245" s="403"/>
      <c r="JN245" s="403"/>
      <c r="JO245" s="403"/>
      <c r="JP245" s="403"/>
      <c r="JQ245" s="403"/>
      <c r="JR245" s="403"/>
      <c r="JS245" s="403"/>
      <c r="JT245" s="403"/>
    </row>
    <row r="246" spans="1:280" s="15" customFormat="1" ht="12.75" x14ac:dyDescent="0.2">
      <c r="A246" s="34"/>
      <c r="B246" s="627"/>
      <c r="C246" s="23"/>
      <c r="J246" s="26"/>
      <c r="K246" s="26"/>
      <c r="L246" s="26"/>
      <c r="M246" s="26"/>
      <c r="N246" s="26"/>
      <c r="O246" s="26"/>
      <c r="P246" s="26"/>
      <c r="Q246" s="26"/>
      <c r="R246" s="12" t="str">
        <f t="shared" ca="1" si="585"/>
        <v/>
      </c>
      <c r="S246" s="2"/>
      <c r="T246" s="241"/>
      <c r="U246" s="627"/>
      <c r="V246" s="72"/>
      <c r="W246" s="26"/>
      <c r="X246" s="26"/>
      <c r="Y246" s="26"/>
      <c r="Z246" s="26"/>
      <c r="AA246" s="26"/>
      <c r="AB246" s="26"/>
      <c r="AC246" s="26"/>
      <c r="AD246" s="26"/>
      <c r="AE246" s="2"/>
      <c r="AF246" s="241"/>
      <c r="AG246" s="627"/>
      <c r="AH246" s="72"/>
      <c r="AI246" s="26"/>
      <c r="AJ246" s="26"/>
      <c r="AK246" s="26"/>
      <c r="AL246" s="26"/>
      <c r="AM246" s="26"/>
      <c r="AN246" s="26"/>
      <c r="AO246" s="26"/>
      <c r="AP246" s="26"/>
      <c r="AR246" s="403"/>
      <c r="AS246" s="403"/>
      <c r="AT246" s="403"/>
      <c r="AU246" s="403"/>
      <c r="AV246" s="403"/>
      <c r="AW246" s="403"/>
      <c r="AX246" s="403"/>
      <c r="AY246" s="403"/>
      <c r="AZ246" s="403"/>
      <c r="BA246" s="403"/>
      <c r="BB246" s="403"/>
      <c r="BC246" s="403"/>
      <c r="BD246" s="403"/>
      <c r="BE246" s="403"/>
      <c r="BF246" s="403"/>
      <c r="BG246" s="403"/>
      <c r="BH246" s="403"/>
      <c r="BI246" s="403"/>
      <c r="BJ246" s="403"/>
      <c r="BK246" s="403"/>
      <c r="BL246" s="403"/>
      <c r="BM246" s="403"/>
      <c r="BN246" s="403"/>
      <c r="BO246" s="403"/>
      <c r="BP246" s="403"/>
      <c r="BQ246" s="403"/>
      <c r="BR246" s="403"/>
      <c r="BS246" s="403"/>
      <c r="BT246" s="403"/>
      <c r="BU246" s="403"/>
      <c r="BV246" s="403"/>
      <c r="BW246" s="403"/>
      <c r="BX246" s="403"/>
      <c r="BY246" s="403"/>
      <c r="BZ246" s="403"/>
      <c r="CA246" s="403"/>
      <c r="CB246" s="403"/>
      <c r="CC246" s="403" t="s">
        <v>12171</v>
      </c>
      <c r="CD246" s="403"/>
      <c r="CE246" s="403"/>
      <c r="CF246" s="403"/>
      <c r="CG246" s="403"/>
      <c r="CH246" s="403"/>
      <c r="CI246" s="403"/>
      <c r="CJ246" s="403"/>
      <c r="CK246" s="403"/>
      <c r="CL246" s="403"/>
      <c r="CM246" s="403"/>
      <c r="CN246" s="403"/>
      <c r="CO246" s="403"/>
      <c r="CP246" s="403"/>
      <c r="CQ246" s="403"/>
      <c r="CR246" s="403"/>
      <c r="CS246" s="403"/>
      <c r="CT246" s="403"/>
      <c r="CU246" s="403"/>
      <c r="CV246" s="403"/>
      <c r="CW246" s="403"/>
      <c r="CX246" s="403"/>
      <c r="CY246" s="403"/>
      <c r="CZ246" s="403"/>
      <c r="DA246" s="403"/>
      <c r="DB246" s="403"/>
      <c r="DC246" s="403"/>
      <c r="DD246" s="403"/>
      <c r="DE246" s="403"/>
      <c r="DF246" s="403"/>
      <c r="DG246" s="403"/>
      <c r="DH246" s="403"/>
      <c r="DI246" s="403"/>
      <c r="DJ246" s="403"/>
      <c r="DK246" s="403"/>
      <c r="DL246" s="403"/>
      <c r="DM246" s="403"/>
      <c r="DN246" s="403"/>
      <c r="DO246" s="403"/>
      <c r="DP246" s="403"/>
      <c r="DQ246" s="403"/>
      <c r="DR246" s="403"/>
      <c r="DS246" s="403"/>
      <c r="DT246" s="403"/>
      <c r="DU246" s="403"/>
      <c r="DV246" s="403"/>
      <c r="DW246" s="403"/>
      <c r="DX246" s="403"/>
      <c r="DY246" s="403"/>
      <c r="DZ246" s="403"/>
      <c r="EA246" s="403"/>
      <c r="EB246" s="403"/>
      <c r="EC246" s="403"/>
      <c r="ED246" s="403"/>
      <c r="EE246" s="403"/>
      <c r="EF246" s="403"/>
      <c r="EG246" s="403"/>
      <c r="EH246" s="403"/>
      <c r="EI246" s="403"/>
      <c r="EJ246" s="403"/>
      <c r="EK246" s="403"/>
      <c r="EL246" s="403"/>
      <c r="EM246" s="403"/>
      <c r="EN246" s="403"/>
      <c r="EO246" s="403"/>
      <c r="EP246" s="403"/>
      <c r="EQ246" s="403"/>
      <c r="ER246" s="403"/>
      <c r="ES246" s="403"/>
      <c r="ET246" s="403"/>
      <c r="EU246" s="403"/>
      <c r="EV246" s="403"/>
      <c r="EW246" s="403"/>
      <c r="EX246" s="403"/>
      <c r="EY246" s="403"/>
      <c r="EZ246" s="403"/>
      <c r="FA246" s="403"/>
      <c r="FB246" s="403"/>
      <c r="FC246" s="403"/>
      <c r="FD246" s="403"/>
      <c r="FE246" s="403"/>
      <c r="FF246" s="403"/>
      <c r="FG246" s="403"/>
      <c r="FH246" s="403"/>
      <c r="FI246" s="403"/>
      <c r="FJ246" s="403"/>
      <c r="FK246" s="403"/>
      <c r="FL246" s="403"/>
      <c r="FM246" s="403"/>
      <c r="FN246" s="403"/>
      <c r="FO246" s="403"/>
      <c r="FP246" s="403"/>
      <c r="FQ246" s="403"/>
      <c r="FR246" s="403"/>
      <c r="FS246" s="403"/>
      <c r="FT246" s="403"/>
      <c r="FU246" s="403"/>
      <c r="FV246" s="403"/>
      <c r="FW246" s="403"/>
      <c r="FX246" s="403"/>
      <c r="FY246" s="403"/>
      <c r="FZ246" s="403"/>
      <c r="GA246" s="403"/>
      <c r="GB246" s="403"/>
      <c r="GC246" s="403"/>
      <c r="GD246" s="403"/>
      <c r="GE246" s="403"/>
      <c r="GF246" s="403"/>
      <c r="GG246" s="403"/>
      <c r="GH246" s="403"/>
      <c r="GI246" s="403"/>
      <c r="GJ246" s="403"/>
      <c r="GK246" s="403"/>
      <c r="GL246" s="403"/>
      <c r="GM246" s="403"/>
      <c r="GN246" s="403"/>
      <c r="GO246" s="403"/>
      <c r="GP246" s="403"/>
      <c r="GQ246" s="403"/>
      <c r="GR246" s="403"/>
      <c r="GS246" s="403"/>
      <c r="GT246" s="403"/>
      <c r="GU246" s="403"/>
      <c r="GV246" s="403"/>
      <c r="GW246" s="403"/>
      <c r="GX246" s="403"/>
      <c r="GY246" s="403"/>
      <c r="GZ246" s="403"/>
      <c r="HA246" s="403"/>
      <c r="HB246" s="403"/>
      <c r="HC246" s="403"/>
      <c r="HD246" s="403"/>
      <c r="HE246" s="403"/>
      <c r="HF246" s="403"/>
      <c r="HG246" s="403"/>
      <c r="HH246" s="403"/>
      <c r="HI246" s="403"/>
      <c r="HJ246" s="403"/>
      <c r="HK246" s="403"/>
      <c r="HL246" s="403"/>
      <c r="HM246" s="403"/>
      <c r="HN246" s="403"/>
      <c r="HO246" s="403"/>
      <c r="HP246" s="403"/>
      <c r="HQ246" s="403"/>
      <c r="HR246" s="403"/>
      <c r="HS246" s="403"/>
      <c r="HT246" s="403"/>
      <c r="HU246" s="403"/>
      <c r="HV246" s="403"/>
      <c r="HW246" s="403"/>
      <c r="HX246" s="403"/>
      <c r="HY246" s="403"/>
      <c r="HZ246" s="403"/>
      <c r="IA246" s="403"/>
      <c r="IB246" s="403"/>
      <c r="IC246" s="403"/>
      <c r="ID246" s="403"/>
      <c r="IE246" s="403"/>
      <c r="IF246" s="403"/>
      <c r="IG246" s="403"/>
      <c r="IH246" s="403"/>
      <c r="II246" s="403"/>
      <c r="IJ246" s="403"/>
      <c r="IK246" s="403"/>
      <c r="IL246" s="403"/>
      <c r="IM246" s="403"/>
      <c r="IN246" s="403"/>
      <c r="IO246" s="403"/>
      <c r="IP246" s="403"/>
      <c r="IQ246" s="403"/>
      <c r="IR246" s="403"/>
      <c r="IS246" s="403"/>
      <c r="IT246" s="403"/>
      <c r="IU246" s="403"/>
      <c r="IV246" s="403"/>
      <c r="IW246" s="403"/>
      <c r="IX246" s="403"/>
      <c r="IY246" s="403"/>
      <c r="IZ246" s="403"/>
      <c r="JA246" s="403"/>
      <c r="JB246" s="403"/>
      <c r="JC246" s="403"/>
      <c r="JD246" s="403"/>
      <c r="JE246" s="403"/>
      <c r="JF246" s="403"/>
      <c r="JG246" s="403"/>
      <c r="JH246" s="403"/>
      <c r="JI246" s="403"/>
      <c r="JJ246" s="403"/>
      <c r="JK246" s="403"/>
      <c r="JL246" s="403"/>
      <c r="JM246" s="403"/>
      <c r="JN246" s="403"/>
      <c r="JO246" s="403"/>
      <c r="JP246" s="403"/>
      <c r="JQ246" s="403"/>
      <c r="JR246" s="403"/>
      <c r="JS246" s="403"/>
      <c r="JT246" s="403"/>
    </row>
    <row r="247" spans="1:280" s="15" customFormat="1" ht="25.5" x14ac:dyDescent="0.2">
      <c r="B247" s="622"/>
      <c r="C247" s="370" t="str">
        <f ca="1">IF(OFFSET(AU247,0,Lang_Order*Lang__B5)="","",OFFSET(AU247,0,Lang_Order*Lang__B5))</f>
        <v>Hard to access population which ... can come to the vaccination delivery site / 'basecamp'</v>
      </c>
      <c r="J247" s="26" t="e">
        <f t="shared" ref="J247:O247" si="597">J239*CriticalPopulation_CometoSite</f>
        <v>#N/A</v>
      </c>
      <c r="K247" s="26" t="e">
        <f t="shared" si="597"/>
        <v>#N/A</v>
      </c>
      <c r="L247" s="26" t="e">
        <f t="shared" si="597"/>
        <v>#N/A</v>
      </c>
      <c r="M247" s="26" t="e">
        <f t="shared" si="597"/>
        <v>#N/A</v>
      </c>
      <c r="N247" s="26" t="e">
        <f t="shared" si="597"/>
        <v>#N/A</v>
      </c>
      <c r="O247" s="26" t="e">
        <f t="shared" si="597"/>
        <v>#N/A</v>
      </c>
      <c r="P247" s="16" t="e">
        <f>SUM(J247:O247)</f>
        <v>#N/A</v>
      </c>
      <c r="Q247" s="16"/>
      <c r="R247" s="12" t="str">
        <f t="shared" ca="1" si="585"/>
        <v/>
      </c>
      <c r="S247" s="2"/>
      <c r="T247" s="241"/>
      <c r="U247" s="622"/>
      <c r="V247" s="612" t="str">
        <f ca="1">IF(OFFSET(AU247,0,Lang_Order*Lang__B5)="","",OFFSET(AU247,0,Lang_Order*Lang__B5))</f>
        <v>Hard to access population which ... can come to the vaccination delivery site / 'basecamp'</v>
      </c>
      <c r="W247" s="26" t="e">
        <f t="shared" ref="W247:AB247" si="598">W239*CriticalPopulation_CometoSite</f>
        <v>#N/A</v>
      </c>
      <c r="X247" s="26" t="e">
        <f t="shared" si="598"/>
        <v>#N/A</v>
      </c>
      <c r="Y247" s="26" t="e">
        <f t="shared" si="598"/>
        <v>#N/A</v>
      </c>
      <c r="Z247" s="26" t="e">
        <f t="shared" si="598"/>
        <v>#N/A</v>
      </c>
      <c r="AA247" s="26" t="e">
        <f t="shared" si="598"/>
        <v>#N/A</v>
      </c>
      <c r="AB247" s="26" t="e">
        <f t="shared" si="598"/>
        <v>#N/A</v>
      </c>
      <c r="AC247" s="16" t="e">
        <f>SUM(W247:AB247)</f>
        <v>#N/A</v>
      </c>
      <c r="AD247" s="16"/>
      <c r="AE247" s="2"/>
      <c r="AF247" s="241"/>
      <c r="AG247" s="622"/>
      <c r="AH247" s="612" t="str">
        <f ca="1">IF(OFFSET(AU247,0,Lang_Order*Lang__B5)="","",OFFSET(AU247,0,Lang_Order*Lang__B5))</f>
        <v>Hard to access population which ... can come to the vaccination delivery site / 'basecamp'</v>
      </c>
      <c r="AI247" s="26" t="e">
        <f t="shared" ref="AI247:AN247" si="599">AI239*CriticalPopulation_CometoSite</f>
        <v>#N/A</v>
      </c>
      <c r="AJ247" s="26" t="e">
        <f t="shared" si="599"/>
        <v>#N/A</v>
      </c>
      <c r="AK247" s="26" t="e">
        <f t="shared" si="599"/>
        <v>#N/A</v>
      </c>
      <c r="AL247" s="26" t="e">
        <f t="shared" si="599"/>
        <v>#N/A</v>
      </c>
      <c r="AM247" s="26" t="e">
        <f t="shared" si="599"/>
        <v>#N/A</v>
      </c>
      <c r="AN247" s="26" t="e">
        <f t="shared" si="599"/>
        <v>#N/A</v>
      </c>
      <c r="AO247" s="16" t="e">
        <f>SUM(AI247:AN247)</f>
        <v>#N/A</v>
      </c>
      <c r="AP247" s="16"/>
      <c r="AR247" s="403"/>
      <c r="AS247" s="403"/>
      <c r="AT247" s="403"/>
      <c r="AU247" s="403" t="s">
        <v>3097</v>
      </c>
      <c r="AV247" s="403"/>
      <c r="AW247" s="403"/>
      <c r="AX247" s="403"/>
      <c r="AY247" s="403"/>
      <c r="AZ247" s="403"/>
      <c r="BA247" s="403"/>
      <c r="BB247" s="403"/>
      <c r="BC247" s="403"/>
      <c r="BD247" s="403"/>
      <c r="BE247" s="403"/>
      <c r="BF247" s="403"/>
      <c r="BG247" s="403"/>
      <c r="BH247" s="403"/>
      <c r="BI247" s="403"/>
      <c r="BJ247" s="403"/>
      <c r="BK247" s="403"/>
      <c r="BL247" s="403"/>
      <c r="BM247" s="403"/>
      <c r="BN247" s="403"/>
      <c r="BO247" s="403"/>
      <c r="BP247" s="403"/>
      <c r="BQ247" s="403"/>
      <c r="BR247" s="403"/>
      <c r="BS247" s="403"/>
      <c r="BT247" s="403"/>
      <c r="BU247" s="403"/>
      <c r="BV247" s="403"/>
      <c r="BW247" s="403"/>
      <c r="BX247" s="403"/>
      <c r="BY247" s="403"/>
      <c r="BZ247" s="403"/>
      <c r="CA247" s="403"/>
      <c r="CB247" s="403"/>
      <c r="CC247" s="403" t="s">
        <v>12202</v>
      </c>
      <c r="CD247" s="403"/>
      <c r="CE247" s="403"/>
      <c r="CF247" s="403"/>
      <c r="CG247" s="403"/>
      <c r="CH247" s="403"/>
      <c r="CI247" s="403"/>
      <c r="CJ247" s="403"/>
      <c r="CK247" s="403"/>
      <c r="CL247" s="403"/>
      <c r="CM247" s="403"/>
      <c r="CN247" s="403"/>
      <c r="CO247" s="403"/>
      <c r="CP247" s="403"/>
      <c r="CQ247" s="403"/>
      <c r="CR247" s="403"/>
      <c r="CS247" s="403"/>
      <c r="CT247" s="403"/>
      <c r="CU247" s="403"/>
      <c r="CV247" s="403"/>
      <c r="CW247" s="403"/>
      <c r="CX247" s="403"/>
      <c r="CY247" s="403"/>
      <c r="CZ247" s="403"/>
      <c r="DA247" s="403"/>
      <c r="DB247" s="403"/>
      <c r="DC247" s="403"/>
      <c r="DD247" s="403"/>
      <c r="DE247" s="403"/>
      <c r="DF247" s="403"/>
      <c r="DG247" s="403"/>
      <c r="DH247" s="403"/>
      <c r="DI247" s="403"/>
      <c r="DJ247" s="403"/>
      <c r="DK247" s="403" t="s">
        <v>12203</v>
      </c>
      <c r="DL247" s="403"/>
      <c r="DM247" s="403"/>
      <c r="DN247" s="403"/>
      <c r="DO247" s="403"/>
      <c r="DP247" s="403"/>
      <c r="DQ247" s="403"/>
      <c r="DR247" s="403"/>
      <c r="DS247" s="403"/>
      <c r="DT247" s="403"/>
      <c r="DU247" s="403"/>
      <c r="DV247" s="403"/>
      <c r="DW247" s="403"/>
      <c r="DX247" s="403"/>
      <c r="DY247" s="403"/>
      <c r="DZ247" s="403"/>
      <c r="EA247" s="403"/>
      <c r="EB247" s="403"/>
      <c r="EC247" s="403"/>
      <c r="ED247" s="403"/>
      <c r="EE247" s="403"/>
      <c r="EF247" s="403"/>
      <c r="EG247" s="403"/>
      <c r="EH247" s="403"/>
      <c r="EI247" s="403"/>
      <c r="EJ247" s="403"/>
      <c r="EK247" s="403"/>
      <c r="EL247" s="403"/>
      <c r="EM247" s="403"/>
      <c r="EN247" s="403"/>
      <c r="EO247" s="403"/>
      <c r="EP247" s="403"/>
      <c r="EQ247" s="403"/>
      <c r="ER247" s="403"/>
      <c r="ES247" s="403" t="s">
        <v>12204</v>
      </c>
      <c r="ET247" s="403"/>
      <c r="EU247" s="403"/>
      <c r="EV247" s="403"/>
      <c r="EW247" s="403"/>
      <c r="EX247" s="403"/>
      <c r="EY247" s="403"/>
      <c r="EZ247" s="403"/>
      <c r="FA247" s="403"/>
      <c r="FB247" s="403"/>
      <c r="FC247" s="403"/>
      <c r="FD247" s="403"/>
      <c r="FE247" s="403"/>
      <c r="FF247" s="403"/>
      <c r="FG247" s="403"/>
      <c r="FH247" s="403"/>
      <c r="FI247" s="403"/>
      <c r="FJ247" s="403"/>
      <c r="FK247" s="403"/>
      <c r="FL247" s="403"/>
      <c r="FM247" s="403"/>
      <c r="FN247" s="403"/>
      <c r="FO247" s="403"/>
      <c r="FP247" s="403"/>
      <c r="FQ247" s="403"/>
      <c r="FR247" s="403"/>
      <c r="FS247" s="403"/>
      <c r="FT247" s="403"/>
      <c r="FU247" s="403"/>
      <c r="FV247" s="403"/>
      <c r="FW247" s="403"/>
      <c r="FX247" s="403"/>
      <c r="FY247" s="403"/>
      <c r="FZ247" s="403"/>
      <c r="GA247" s="403" t="s">
        <v>12205</v>
      </c>
      <c r="GB247" s="403"/>
      <c r="GC247" s="403"/>
      <c r="GD247" s="403"/>
      <c r="GE247" s="403"/>
      <c r="GF247" s="403"/>
      <c r="GG247" s="403"/>
      <c r="GH247" s="403"/>
      <c r="GI247" s="403"/>
      <c r="GJ247" s="403"/>
      <c r="GK247" s="403"/>
      <c r="GL247" s="403"/>
      <c r="GM247" s="403"/>
      <c r="GN247" s="403"/>
      <c r="GO247" s="403"/>
      <c r="GP247" s="403"/>
      <c r="GQ247" s="403"/>
      <c r="GR247" s="403"/>
      <c r="GS247" s="403"/>
      <c r="GT247" s="403"/>
      <c r="GU247" s="403"/>
      <c r="GV247" s="403"/>
      <c r="GW247" s="403"/>
      <c r="GX247" s="403"/>
      <c r="GY247" s="403"/>
      <c r="GZ247" s="403"/>
      <c r="HA247" s="403"/>
      <c r="HB247" s="403"/>
      <c r="HC247" s="403"/>
      <c r="HD247" s="403"/>
      <c r="HE247" s="403"/>
      <c r="HF247" s="403"/>
      <c r="HG247" s="403"/>
      <c r="HH247" s="403"/>
      <c r="HI247" s="403" t="s">
        <v>12206</v>
      </c>
      <c r="HJ247" s="403"/>
      <c r="HK247" s="403"/>
      <c r="HL247" s="403"/>
      <c r="HM247" s="403"/>
      <c r="HN247" s="403"/>
      <c r="HO247" s="403"/>
      <c r="HP247" s="403"/>
      <c r="HQ247" s="403"/>
      <c r="HR247" s="403"/>
      <c r="HS247" s="403"/>
      <c r="HT247" s="403"/>
      <c r="HU247" s="403"/>
      <c r="HV247" s="403"/>
      <c r="HW247" s="403"/>
      <c r="HX247" s="403"/>
      <c r="HY247" s="403"/>
      <c r="HZ247" s="403"/>
      <c r="IA247" s="403"/>
      <c r="IB247" s="403"/>
      <c r="IC247" s="403"/>
      <c r="ID247" s="403"/>
      <c r="IE247" s="403"/>
      <c r="IF247" s="403"/>
      <c r="IG247" s="403"/>
      <c r="IH247" s="403"/>
      <c r="II247" s="403"/>
      <c r="IJ247" s="403"/>
      <c r="IK247" s="403"/>
      <c r="IL247" s="403"/>
      <c r="IM247" s="403"/>
      <c r="IN247" s="403"/>
      <c r="IO247" s="403"/>
      <c r="IP247" s="403"/>
      <c r="IQ247" s="403" t="s">
        <v>12207</v>
      </c>
      <c r="IR247" s="403"/>
      <c r="IS247" s="403"/>
      <c r="IT247" s="403"/>
      <c r="IU247" s="403"/>
      <c r="IV247" s="403"/>
      <c r="IW247" s="403"/>
      <c r="IX247" s="403"/>
      <c r="IY247" s="403"/>
      <c r="IZ247" s="403"/>
      <c r="JA247" s="403"/>
      <c r="JB247" s="403"/>
      <c r="JC247" s="403"/>
      <c r="JD247" s="403"/>
      <c r="JE247" s="403"/>
      <c r="JF247" s="403"/>
      <c r="JG247" s="403"/>
      <c r="JH247" s="403"/>
      <c r="JI247" s="403"/>
      <c r="JJ247" s="403"/>
      <c r="JK247" s="403"/>
      <c r="JL247" s="403"/>
      <c r="JM247" s="403"/>
      <c r="JN247" s="403"/>
      <c r="JO247" s="403"/>
      <c r="JP247" s="403"/>
      <c r="JQ247" s="403"/>
      <c r="JR247" s="403"/>
      <c r="JS247" s="403"/>
      <c r="JT247" s="403"/>
    </row>
    <row r="248" spans="1:280" s="15" customFormat="1" ht="12.75" x14ac:dyDescent="0.2">
      <c r="B248" s="622"/>
      <c r="C248" s="5" t="str">
        <f ca="1">IF(OFFSET(AU248,0,Lang_Order*Lang__B5)="","",OFFSET(AU248,0,Lang_Order*Lang__B5))</f>
        <v>… need to be reached by mobile team Type A (single-person team)</v>
      </c>
      <c r="J248" s="26" t="e">
        <f t="shared" ref="J248:O248" si="600">J239*CriticalPopulation_MobileA</f>
        <v>#N/A</v>
      </c>
      <c r="K248" s="26" t="e">
        <f t="shared" si="600"/>
        <v>#N/A</v>
      </c>
      <c r="L248" s="26" t="e">
        <f t="shared" si="600"/>
        <v>#N/A</v>
      </c>
      <c r="M248" s="26" t="e">
        <f t="shared" si="600"/>
        <v>#N/A</v>
      </c>
      <c r="N248" s="26" t="e">
        <f t="shared" si="600"/>
        <v>#N/A</v>
      </c>
      <c r="O248" s="26" t="e">
        <f t="shared" si="600"/>
        <v>#N/A</v>
      </c>
      <c r="P248" s="16" t="e">
        <f>SUM(J248:O248)</f>
        <v>#N/A</v>
      </c>
      <c r="Q248" s="16"/>
      <c r="R248" s="12" t="str">
        <f t="shared" ca="1" si="585"/>
        <v/>
      </c>
      <c r="S248" s="2"/>
      <c r="T248" s="241"/>
      <c r="U248" s="622"/>
      <c r="V248" s="72" t="str">
        <f ca="1">IF(OFFSET(AU248,0,Lang_Order*Lang__B5)="","",OFFSET(AU248,0,Lang_Order*Lang__B5))</f>
        <v>… need to be reached by mobile team Type A (single-person team)</v>
      </c>
      <c r="W248" s="26" t="e">
        <f t="shared" ref="W248:AB248" si="601">W239*CriticalPopulation_MobileA</f>
        <v>#N/A</v>
      </c>
      <c r="X248" s="26" t="e">
        <f t="shared" si="601"/>
        <v>#N/A</v>
      </c>
      <c r="Y248" s="26" t="e">
        <f t="shared" si="601"/>
        <v>#N/A</v>
      </c>
      <c r="Z248" s="26" t="e">
        <f t="shared" si="601"/>
        <v>#N/A</v>
      </c>
      <c r="AA248" s="26" t="e">
        <f t="shared" si="601"/>
        <v>#N/A</v>
      </c>
      <c r="AB248" s="26" t="e">
        <f t="shared" si="601"/>
        <v>#N/A</v>
      </c>
      <c r="AC248" s="16" t="e">
        <f>SUM(W248:AB248)</f>
        <v>#N/A</v>
      </c>
      <c r="AD248" s="16"/>
      <c r="AE248" s="2"/>
      <c r="AF248" s="241"/>
      <c r="AG248" s="622"/>
      <c r="AH248" s="72" t="str">
        <f ca="1">IF(OFFSET(AU248,0,Lang_Order*Lang__B5)="","",OFFSET(AU248,0,Lang_Order*Lang__B5))</f>
        <v>… need to be reached by mobile team Type A (single-person team)</v>
      </c>
      <c r="AI248" s="26" t="e">
        <f t="shared" ref="AI248:AN248" si="602">AI239*CriticalPopulation_MobileA</f>
        <v>#N/A</v>
      </c>
      <c r="AJ248" s="26" t="e">
        <f t="shared" si="602"/>
        <v>#N/A</v>
      </c>
      <c r="AK248" s="26" t="e">
        <f t="shared" si="602"/>
        <v>#N/A</v>
      </c>
      <c r="AL248" s="26" t="e">
        <f t="shared" si="602"/>
        <v>#N/A</v>
      </c>
      <c r="AM248" s="26" t="e">
        <f t="shared" si="602"/>
        <v>#N/A</v>
      </c>
      <c r="AN248" s="26" t="e">
        <f t="shared" si="602"/>
        <v>#N/A</v>
      </c>
      <c r="AO248" s="16" t="e">
        <f>SUM(AI248:AN248)</f>
        <v>#N/A</v>
      </c>
      <c r="AP248" s="16"/>
      <c r="AR248" s="403"/>
      <c r="AS248" s="403"/>
      <c r="AT248" s="403"/>
      <c r="AU248" s="403" t="s">
        <v>1688</v>
      </c>
      <c r="AV248" s="403"/>
      <c r="AW248" s="403"/>
      <c r="AX248" s="403"/>
      <c r="AY248" s="403"/>
      <c r="AZ248" s="403"/>
      <c r="BA248" s="403"/>
      <c r="BB248" s="403"/>
      <c r="BC248" s="403"/>
      <c r="BD248" s="403"/>
      <c r="BE248" s="403"/>
      <c r="BF248" s="403"/>
      <c r="BG248" s="403"/>
      <c r="BH248" s="403"/>
      <c r="BI248" s="403"/>
      <c r="BJ248" s="403"/>
      <c r="BK248" s="403"/>
      <c r="BL248" s="403"/>
      <c r="BM248" s="403"/>
      <c r="BN248" s="403"/>
      <c r="BO248" s="403"/>
      <c r="BP248" s="403"/>
      <c r="BQ248" s="403"/>
      <c r="BR248" s="403"/>
      <c r="BS248" s="403"/>
      <c r="BT248" s="403"/>
      <c r="BU248" s="403"/>
      <c r="BV248" s="403"/>
      <c r="BW248" s="403"/>
      <c r="BX248" s="403"/>
      <c r="BY248" s="403"/>
      <c r="BZ248" s="403"/>
      <c r="CA248" s="403"/>
      <c r="CB248" s="403"/>
      <c r="CC248" s="403" t="s">
        <v>12208</v>
      </c>
      <c r="CD248" s="403"/>
      <c r="CE248" s="403"/>
      <c r="CF248" s="403"/>
      <c r="CG248" s="403"/>
      <c r="CH248" s="403"/>
      <c r="CI248" s="403"/>
      <c r="CJ248" s="403"/>
      <c r="CK248" s="403"/>
      <c r="CL248" s="403"/>
      <c r="CM248" s="403"/>
      <c r="CN248" s="403"/>
      <c r="CO248" s="403"/>
      <c r="CP248" s="403"/>
      <c r="CQ248" s="403"/>
      <c r="CR248" s="403"/>
      <c r="CS248" s="403"/>
      <c r="CT248" s="403"/>
      <c r="CU248" s="403"/>
      <c r="CV248" s="403"/>
      <c r="CW248" s="403"/>
      <c r="CX248" s="403"/>
      <c r="CY248" s="403"/>
      <c r="CZ248" s="403"/>
      <c r="DA248" s="403"/>
      <c r="DB248" s="403"/>
      <c r="DC248" s="403"/>
      <c r="DD248" s="403"/>
      <c r="DE248" s="403"/>
      <c r="DF248" s="403"/>
      <c r="DG248" s="403"/>
      <c r="DH248" s="403"/>
      <c r="DI248" s="403"/>
      <c r="DJ248" s="403"/>
      <c r="DK248" s="403" t="s">
        <v>12209</v>
      </c>
      <c r="DL248" s="403"/>
      <c r="DM248" s="403"/>
      <c r="DN248" s="403"/>
      <c r="DO248" s="403"/>
      <c r="DP248" s="403"/>
      <c r="DQ248" s="403"/>
      <c r="DR248" s="403"/>
      <c r="DS248" s="403"/>
      <c r="DT248" s="403"/>
      <c r="DU248" s="403"/>
      <c r="DV248" s="403"/>
      <c r="DW248" s="403"/>
      <c r="DX248" s="403"/>
      <c r="DY248" s="403"/>
      <c r="DZ248" s="403"/>
      <c r="EA248" s="403"/>
      <c r="EB248" s="403"/>
      <c r="EC248" s="403"/>
      <c r="ED248" s="403"/>
      <c r="EE248" s="403"/>
      <c r="EF248" s="403"/>
      <c r="EG248" s="403"/>
      <c r="EH248" s="403"/>
      <c r="EI248" s="403"/>
      <c r="EJ248" s="403"/>
      <c r="EK248" s="403"/>
      <c r="EL248" s="403"/>
      <c r="EM248" s="403"/>
      <c r="EN248" s="403"/>
      <c r="EO248" s="403"/>
      <c r="EP248" s="403"/>
      <c r="EQ248" s="403"/>
      <c r="ER248" s="403"/>
      <c r="ES248" s="403" t="s">
        <v>12210</v>
      </c>
      <c r="ET248" s="403"/>
      <c r="EU248" s="403"/>
      <c r="EV248" s="403"/>
      <c r="EW248" s="403"/>
      <c r="EX248" s="403"/>
      <c r="EY248" s="403"/>
      <c r="EZ248" s="403"/>
      <c r="FA248" s="403"/>
      <c r="FB248" s="403"/>
      <c r="FC248" s="403"/>
      <c r="FD248" s="403"/>
      <c r="FE248" s="403"/>
      <c r="FF248" s="403"/>
      <c r="FG248" s="403"/>
      <c r="FH248" s="403"/>
      <c r="FI248" s="403"/>
      <c r="FJ248" s="403"/>
      <c r="FK248" s="403"/>
      <c r="FL248" s="403"/>
      <c r="FM248" s="403"/>
      <c r="FN248" s="403"/>
      <c r="FO248" s="403"/>
      <c r="FP248" s="403"/>
      <c r="FQ248" s="403"/>
      <c r="FR248" s="403"/>
      <c r="FS248" s="403"/>
      <c r="FT248" s="403"/>
      <c r="FU248" s="403"/>
      <c r="FV248" s="403"/>
      <c r="FW248" s="403"/>
      <c r="FX248" s="403"/>
      <c r="FY248" s="403"/>
      <c r="FZ248" s="403"/>
      <c r="GA248" s="403" t="s">
        <v>12211</v>
      </c>
      <c r="GB248" s="403"/>
      <c r="GC248" s="403"/>
      <c r="GD248" s="403"/>
      <c r="GE248" s="403"/>
      <c r="GF248" s="403"/>
      <c r="GG248" s="403"/>
      <c r="GH248" s="403"/>
      <c r="GI248" s="403"/>
      <c r="GJ248" s="403"/>
      <c r="GK248" s="403"/>
      <c r="GL248" s="403"/>
      <c r="GM248" s="403"/>
      <c r="GN248" s="403"/>
      <c r="GO248" s="403"/>
      <c r="GP248" s="403"/>
      <c r="GQ248" s="403"/>
      <c r="GR248" s="403"/>
      <c r="GS248" s="403"/>
      <c r="GT248" s="403"/>
      <c r="GU248" s="403"/>
      <c r="GV248" s="403"/>
      <c r="GW248" s="403"/>
      <c r="GX248" s="403"/>
      <c r="GY248" s="403"/>
      <c r="GZ248" s="403"/>
      <c r="HA248" s="403"/>
      <c r="HB248" s="403"/>
      <c r="HC248" s="403"/>
      <c r="HD248" s="403"/>
      <c r="HE248" s="403"/>
      <c r="HF248" s="403"/>
      <c r="HG248" s="403"/>
      <c r="HH248" s="403"/>
      <c r="HI248" s="403" t="s">
        <v>12212</v>
      </c>
      <c r="HJ248" s="403"/>
      <c r="HK248" s="403"/>
      <c r="HL248" s="403"/>
      <c r="HM248" s="403"/>
      <c r="HN248" s="403"/>
      <c r="HO248" s="403"/>
      <c r="HP248" s="403"/>
      <c r="HQ248" s="403"/>
      <c r="HR248" s="403"/>
      <c r="HS248" s="403"/>
      <c r="HT248" s="403"/>
      <c r="HU248" s="403"/>
      <c r="HV248" s="403"/>
      <c r="HW248" s="403"/>
      <c r="HX248" s="403"/>
      <c r="HY248" s="403"/>
      <c r="HZ248" s="403"/>
      <c r="IA248" s="403"/>
      <c r="IB248" s="403"/>
      <c r="IC248" s="403"/>
      <c r="ID248" s="403"/>
      <c r="IE248" s="403"/>
      <c r="IF248" s="403"/>
      <c r="IG248" s="403"/>
      <c r="IH248" s="403"/>
      <c r="II248" s="403"/>
      <c r="IJ248" s="403"/>
      <c r="IK248" s="403"/>
      <c r="IL248" s="403"/>
      <c r="IM248" s="403"/>
      <c r="IN248" s="403"/>
      <c r="IO248" s="403"/>
      <c r="IP248" s="403"/>
      <c r="IQ248" s="403" t="s">
        <v>12213</v>
      </c>
      <c r="IR248" s="403"/>
      <c r="IS248" s="403"/>
      <c r="IT248" s="403"/>
      <c r="IU248" s="403"/>
      <c r="IV248" s="403"/>
      <c r="IW248" s="403"/>
      <c r="IX248" s="403"/>
      <c r="IY248" s="403"/>
      <c r="IZ248" s="403"/>
      <c r="JA248" s="403"/>
      <c r="JB248" s="403"/>
      <c r="JC248" s="403"/>
      <c r="JD248" s="403"/>
      <c r="JE248" s="403"/>
      <c r="JF248" s="403"/>
      <c r="JG248" s="403"/>
      <c r="JH248" s="403"/>
      <c r="JI248" s="403"/>
      <c r="JJ248" s="403"/>
      <c r="JK248" s="403"/>
      <c r="JL248" s="403"/>
      <c r="JM248" s="403"/>
      <c r="JN248" s="403"/>
      <c r="JO248" s="403"/>
      <c r="JP248" s="403"/>
      <c r="JQ248" s="403"/>
      <c r="JR248" s="403"/>
      <c r="JS248" s="403"/>
      <c r="JT248" s="403"/>
    </row>
    <row r="249" spans="1:280" s="15" customFormat="1" ht="12.75" x14ac:dyDescent="0.2">
      <c r="B249" s="622"/>
      <c r="C249" s="5" t="str">
        <f ca="1">IF(OFFSET(AU249,0,Lang_Order*Lang__B5)="","",OFFSET(AU249,0,Lang_Order*Lang__B5))</f>
        <v>… need to be reached by mobile team Type B (multi-person team)</v>
      </c>
      <c r="J249" s="26" t="e">
        <f t="shared" ref="J249:O249" si="603">J239*CriticalPopulation_MobileB</f>
        <v>#N/A</v>
      </c>
      <c r="K249" s="26" t="e">
        <f t="shared" si="603"/>
        <v>#N/A</v>
      </c>
      <c r="L249" s="26" t="e">
        <f t="shared" si="603"/>
        <v>#N/A</v>
      </c>
      <c r="M249" s="26" t="e">
        <f t="shared" si="603"/>
        <v>#N/A</v>
      </c>
      <c r="N249" s="26" t="e">
        <f t="shared" si="603"/>
        <v>#N/A</v>
      </c>
      <c r="O249" s="26" t="e">
        <f t="shared" si="603"/>
        <v>#N/A</v>
      </c>
      <c r="P249" s="16" t="e">
        <f>SUM(J249:O249)</f>
        <v>#N/A</v>
      </c>
      <c r="Q249" s="16"/>
      <c r="R249" s="12" t="str">
        <f t="shared" ca="1" si="585"/>
        <v/>
      </c>
      <c r="S249" s="2"/>
      <c r="T249" s="241"/>
      <c r="U249" s="622"/>
      <c r="V249" s="72" t="str">
        <f ca="1">IF(OFFSET(AU249,0,Lang_Order*Lang__B5)="","",OFFSET(AU249,0,Lang_Order*Lang__B5))</f>
        <v>… need to be reached by mobile team Type B (multi-person team)</v>
      </c>
      <c r="W249" s="26" t="e">
        <f t="shared" ref="W249:AB249" si="604">W239*CriticalPopulation_MobileB</f>
        <v>#N/A</v>
      </c>
      <c r="X249" s="26" t="e">
        <f t="shared" si="604"/>
        <v>#N/A</v>
      </c>
      <c r="Y249" s="26" t="e">
        <f t="shared" si="604"/>
        <v>#N/A</v>
      </c>
      <c r="Z249" s="26" t="e">
        <f t="shared" si="604"/>
        <v>#N/A</v>
      </c>
      <c r="AA249" s="26" t="e">
        <f t="shared" si="604"/>
        <v>#N/A</v>
      </c>
      <c r="AB249" s="26" t="e">
        <f t="shared" si="604"/>
        <v>#N/A</v>
      </c>
      <c r="AC249" s="16" t="e">
        <f>SUM(W249:AB249)</f>
        <v>#N/A</v>
      </c>
      <c r="AD249" s="16"/>
      <c r="AE249" s="2"/>
      <c r="AF249" s="241"/>
      <c r="AG249" s="622"/>
      <c r="AH249" s="72" t="str">
        <f ca="1">IF(OFFSET(AU249,0,Lang_Order*Lang__B5)="","",OFFSET(AU249,0,Lang_Order*Lang__B5))</f>
        <v>… need to be reached by mobile team Type B (multi-person team)</v>
      </c>
      <c r="AI249" s="26" t="e">
        <f t="shared" ref="AI249:AN249" si="605">AI239*CriticalPopulation_MobileB</f>
        <v>#N/A</v>
      </c>
      <c r="AJ249" s="26" t="e">
        <f t="shared" si="605"/>
        <v>#N/A</v>
      </c>
      <c r="AK249" s="26" t="e">
        <f t="shared" si="605"/>
        <v>#N/A</v>
      </c>
      <c r="AL249" s="26" t="e">
        <f t="shared" si="605"/>
        <v>#N/A</v>
      </c>
      <c r="AM249" s="26" t="e">
        <f t="shared" si="605"/>
        <v>#N/A</v>
      </c>
      <c r="AN249" s="26" t="e">
        <f t="shared" si="605"/>
        <v>#N/A</v>
      </c>
      <c r="AO249" s="16" t="e">
        <f>SUM(AI249:AN249)</f>
        <v>#N/A</v>
      </c>
      <c r="AP249" s="16"/>
      <c r="AR249" s="403"/>
      <c r="AS249" s="403"/>
      <c r="AT249" s="403"/>
      <c r="AU249" s="403" t="s">
        <v>1689</v>
      </c>
      <c r="AV249" s="403"/>
      <c r="AW249" s="403"/>
      <c r="AX249" s="403"/>
      <c r="AY249" s="403"/>
      <c r="AZ249" s="403"/>
      <c r="BA249" s="403"/>
      <c r="BB249" s="403"/>
      <c r="BC249" s="403"/>
      <c r="BD249" s="403"/>
      <c r="BE249" s="403"/>
      <c r="BF249" s="403"/>
      <c r="BG249" s="403"/>
      <c r="BH249" s="403"/>
      <c r="BI249" s="403"/>
      <c r="BJ249" s="403"/>
      <c r="BK249" s="403"/>
      <c r="BL249" s="403"/>
      <c r="BM249" s="403"/>
      <c r="BN249" s="403"/>
      <c r="BO249" s="403"/>
      <c r="BP249" s="403"/>
      <c r="BQ249" s="403"/>
      <c r="BR249" s="403"/>
      <c r="BS249" s="403"/>
      <c r="BT249" s="403"/>
      <c r="BU249" s="403"/>
      <c r="BV249" s="403"/>
      <c r="BW249" s="403"/>
      <c r="BX249" s="403"/>
      <c r="BY249" s="403"/>
      <c r="BZ249" s="403"/>
      <c r="CA249" s="403"/>
      <c r="CB249" s="403"/>
      <c r="CC249" s="403" t="s">
        <v>12214</v>
      </c>
      <c r="CD249" s="403"/>
      <c r="CE249" s="403"/>
      <c r="CF249" s="403"/>
      <c r="CG249" s="403"/>
      <c r="CH249" s="403"/>
      <c r="CI249" s="403"/>
      <c r="CJ249" s="403"/>
      <c r="CK249" s="403"/>
      <c r="CL249" s="403"/>
      <c r="CM249" s="403"/>
      <c r="CN249" s="403"/>
      <c r="CO249" s="403"/>
      <c r="CP249" s="403"/>
      <c r="CQ249" s="403"/>
      <c r="CR249" s="403"/>
      <c r="CS249" s="403"/>
      <c r="CT249" s="403"/>
      <c r="CU249" s="403"/>
      <c r="CV249" s="403"/>
      <c r="CW249" s="403"/>
      <c r="CX249" s="403"/>
      <c r="CY249" s="403"/>
      <c r="CZ249" s="403"/>
      <c r="DA249" s="403"/>
      <c r="DB249" s="403"/>
      <c r="DC249" s="403"/>
      <c r="DD249" s="403"/>
      <c r="DE249" s="403"/>
      <c r="DF249" s="403"/>
      <c r="DG249" s="403"/>
      <c r="DH249" s="403"/>
      <c r="DI249" s="403"/>
      <c r="DJ249" s="403"/>
      <c r="DK249" s="403" t="s">
        <v>12215</v>
      </c>
      <c r="DL249" s="403"/>
      <c r="DM249" s="403"/>
      <c r="DN249" s="403"/>
      <c r="DO249" s="403"/>
      <c r="DP249" s="403"/>
      <c r="DQ249" s="403"/>
      <c r="DR249" s="403"/>
      <c r="DS249" s="403"/>
      <c r="DT249" s="403"/>
      <c r="DU249" s="403"/>
      <c r="DV249" s="403"/>
      <c r="DW249" s="403"/>
      <c r="DX249" s="403"/>
      <c r="DY249" s="403"/>
      <c r="DZ249" s="403"/>
      <c r="EA249" s="403"/>
      <c r="EB249" s="403"/>
      <c r="EC249" s="403"/>
      <c r="ED249" s="403"/>
      <c r="EE249" s="403"/>
      <c r="EF249" s="403"/>
      <c r="EG249" s="403"/>
      <c r="EH249" s="403"/>
      <c r="EI249" s="403"/>
      <c r="EJ249" s="403"/>
      <c r="EK249" s="403"/>
      <c r="EL249" s="403"/>
      <c r="EM249" s="403"/>
      <c r="EN249" s="403"/>
      <c r="EO249" s="403"/>
      <c r="EP249" s="403"/>
      <c r="EQ249" s="403"/>
      <c r="ER249" s="403"/>
      <c r="ES249" s="403" t="s">
        <v>12216</v>
      </c>
      <c r="ET249" s="403"/>
      <c r="EU249" s="403"/>
      <c r="EV249" s="403"/>
      <c r="EW249" s="403"/>
      <c r="EX249" s="403"/>
      <c r="EY249" s="403"/>
      <c r="EZ249" s="403"/>
      <c r="FA249" s="403"/>
      <c r="FB249" s="403"/>
      <c r="FC249" s="403"/>
      <c r="FD249" s="403"/>
      <c r="FE249" s="403"/>
      <c r="FF249" s="403"/>
      <c r="FG249" s="403"/>
      <c r="FH249" s="403"/>
      <c r="FI249" s="403"/>
      <c r="FJ249" s="403"/>
      <c r="FK249" s="403"/>
      <c r="FL249" s="403"/>
      <c r="FM249" s="403"/>
      <c r="FN249" s="403"/>
      <c r="FO249" s="403"/>
      <c r="FP249" s="403"/>
      <c r="FQ249" s="403"/>
      <c r="FR249" s="403"/>
      <c r="FS249" s="403"/>
      <c r="FT249" s="403"/>
      <c r="FU249" s="403"/>
      <c r="FV249" s="403"/>
      <c r="FW249" s="403"/>
      <c r="FX249" s="403"/>
      <c r="FY249" s="403"/>
      <c r="FZ249" s="403"/>
      <c r="GA249" s="403" t="s">
        <v>12217</v>
      </c>
      <c r="GB249" s="403"/>
      <c r="GC249" s="403"/>
      <c r="GD249" s="403"/>
      <c r="GE249" s="403"/>
      <c r="GF249" s="403"/>
      <c r="GG249" s="403"/>
      <c r="GH249" s="403"/>
      <c r="GI249" s="403"/>
      <c r="GJ249" s="403"/>
      <c r="GK249" s="403"/>
      <c r="GL249" s="403"/>
      <c r="GM249" s="403"/>
      <c r="GN249" s="403"/>
      <c r="GO249" s="403"/>
      <c r="GP249" s="403"/>
      <c r="GQ249" s="403"/>
      <c r="GR249" s="403"/>
      <c r="GS249" s="403"/>
      <c r="GT249" s="403"/>
      <c r="GU249" s="403"/>
      <c r="GV249" s="403"/>
      <c r="GW249" s="403"/>
      <c r="GX249" s="403"/>
      <c r="GY249" s="403"/>
      <c r="GZ249" s="403"/>
      <c r="HA249" s="403"/>
      <c r="HB249" s="403"/>
      <c r="HC249" s="403"/>
      <c r="HD249" s="403"/>
      <c r="HE249" s="403"/>
      <c r="HF249" s="403"/>
      <c r="HG249" s="403"/>
      <c r="HH249" s="403"/>
      <c r="HI249" s="403" t="s">
        <v>12218</v>
      </c>
      <c r="HJ249" s="403"/>
      <c r="HK249" s="403"/>
      <c r="HL249" s="403"/>
      <c r="HM249" s="403"/>
      <c r="HN249" s="403"/>
      <c r="HO249" s="403"/>
      <c r="HP249" s="403"/>
      <c r="HQ249" s="403"/>
      <c r="HR249" s="403"/>
      <c r="HS249" s="403"/>
      <c r="HT249" s="403"/>
      <c r="HU249" s="403"/>
      <c r="HV249" s="403"/>
      <c r="HW249" s="403"/>
      <c r="HX249" s="403"/>
      <c r="HY249" s="403"/>
      <c r="HZ249" s="403"/>
      <c r="IA249" s="403"/>
      <c r="IB249" s="403"/>
      <c r="IC249" s="403"/>
      <c r="ID249" s="403"/>
      <c r="IE249" s="403"/>
      <c r="IF249" s="403"/>
      <c r="IG249" s="403"/>
      <c r="IH249" s="403"/>
      <c r="II249" s="403"/>
      <c r="IJ249" s="403"/>
      <c r="IK249" s="403"/>
      <c r="IL249" s="403"/>
      <c r="IM249" s="403"/>
      <c r="IN249" s="403"/>
      <c r="IO249" s="403"/>
      <c r="IP249" s="403"/>
      <c r="IQ249" s="403" t="s">
        <v>12219</v>
      </c>
      <c r="IR249" s="403"/>
      <c r="IS249" s="403"/>
      <c r="IT249" s="403"/>
      <c r="IU249" s="403"/>
      <c r="IV249" s="403"/>
      <c r="IW249" s="403"/>
      <c r="IX249" s="403"/>
      <c r="IY249" s="403"/>
      <c r="IZ249" s="403"/>
      <c r="JA249" s="403"/>
      <c r="JB249" s="403"/>
      <c r="JC249" s="403"/>
      <c r="JD249" s="403"/>
      <c r="JE249" s="403"/>
      <c r="JF249" s="403"/>
      <c r="JG249" s="403"/>
      <c r="JH249" s="403"/>
      <c r="JI249" s="403"/>
      <c r="JJ249" s="403"/>
      <c r="JK249" s="403"/>
      <c r="JL249" s="403"/>
      <c r="JM249" s="403"/>
      <c r="JN249" s="403"/>
      <c r="JO249" s="403"/>
      <c r="JP249" s="403"/>
      <c r="JQ249" s="403"/>
      <c r="JR249" s="403"/>
      <c r="JS249" s="403"/>
      <c r="JT249" s="403"/>
    </row>
    <row r="250" spans="1:280" s="15" customFormat="1" ht="12.75" x14ac:dyDescent="0.2">
      <c r="B250" s="622"/>
      <c r="R250" s="12" t="str">
        <f t="shared" ca="1" si="585"/>
        <v/>
      </c>
      <c r="S250" s="2"/>
      <c r="T250" s="241"/>
      <c r="U250" s="622"/>
      <c r="V250" s="2"/>
      <c r="W250" s="241"/>
      <c r="X250" s="241"/>
      <c r="Y250" s="241"/>
      <c r="Z250" s="241"/>
      <c r="AA250" s="241"/>
      <c r="AB250" s="241"/>
      <c r="AC250" s="241"/>
      <c r="AD250" s="241"/>
      <c r="AE250" s="2"/>
      <c r="AF250" s="241"/>
      <c r="AG250" s="622"/>
      <c r="AH250" s="2"/>
      <c r="AI250" s="241"/>
      <c r="AJ250" s="241"/>
      <c r="AK250" s="241"/>
      <c r="AL250" s="241"/>
      <c r="AM250" s="241"/>
      <c r="AN250" s="241"/>
      <c r="AO250" s="241"/>
      <c r="AP250" s="241"/>
      <c r="AR250" s="403"/>
      <c r="AS250" s="403"/>
      <c r="AT250" s="403"/>
      <c r="AU250" s="403"/>
      <c r="AV250" s="403"/>
      <c r="AW250" s="403"/>
      <c r="AX250" s="403"/>
      <c r="AY250" s="403"/>
      <c r="AZ250" s="403"/>
      <c r="BA250" s="403"/>
      <c r="BB250" s="403"/>
      <c r="BC250" s="403"/>
      <c r="BD250" s="403"/>
      <c r="BE250" s="403"/>
      <c r="BF250" s="403"/>
      <c r="BG250" s="403"/>
      <c r="BH250" s="403"/>
      <c r="BI250" s="403"/>
      <c r="BJ250" s="403"/>
      <c r="BK250" s="403"/>
      <c r="BL250" s="403"/>
      <c r="BM250" s="403"/>
      <c r="BN250" s="403"/>
      <c r="BO250" s="403"/>
      <c r="BP250" s="403"/>
      <c r="BQ250" s="403"/>
      <c r="BR250" s="403"/>
      <c r="BS250" s="403"/>
      <c r="BT250" s="403"/>
      <c r="BU250" s="403"/>
      <c r="BV250" s="403"/>
      <c r="BW250" s="403"/>
      <c r="BX250" s="403"/>
      <c r="BY250" s="403"/>
      <c r="BZ250" s="403"/>
      <c r="CA250" s="403"/>
      <c r="CB250" s="403"/>
      <c r="CC250" s="403"/>
      <c r="CD250" s="403"/>
      <c r="CE250" s="403"/>
      <c r="CF250" s="403"/>
      <c r="CG250" s="403"/>
      <c r="CH250" s="403"/>
      <c r="CI250" s="403"/>
      <c r="CJ250" s="403"/>
      <c r="CK250" s="403"/>
      <c r="CL250" s="403"/>
      <c r="CM250" s="403"/>
      <c r="CN250" s="403"/>
      <c r="CO250" s="403"/>
      <c r="CP250" s="403"/>
      <c r="CQ250" s="403"/>
      <c r="CR250" s="403"/>
      <c r="CS250" s="403"/>
      <c r="CT250" s="403"/>
      <c r="CU250" s="403"/>
      <c r="CV250" s="403"/>
      <c r="CW250" s="403"/>
      <c r="CX250" s="403"/>
      <c r="CY250" s="403"/>
      <c r="CZ250" s="403"/>
      <c r="DA250" s="403"/>
      <c r="DB250" s="403"/>
      <c r="DC250" s="403"/>
      <c r="DD250" s="403"/>
      <c r="DE250" s="403"/>
      <c r="DF250" s="403"/>
      <c r="DG250" s="403"/>
      <c r="DH250" s="403"/>
      <c r="DI250" s="403"/>
      <c r="DJ250" s="403"/>
      <c r="DK250" s="403"/>
      <c r="DL250" s="403"/>
      <c r="DM250" s="403"/>
      <c r="DN250" s="403"/>
      <c r="DO250" s="403"/>
      <c r="DP250" s="403"/>
      <c r="DQ250" s="403"/>
      <c r="DR250" s="403"/>
      <c r="DS250" s="403"/>
      <c r="DT250" s="403"/>
      <c r="DU250" s="403"/>
      <c r="DV250" s="403"/>
      <c r="DW250" s="403"/>
      <c r="DX250" s="403"/>
      <c r="DY250" s="403"/>
      <c r="DZ250" s="403"/>
      <c r="EA250" s="403"/>
      <c r="EB250" s="403"/>
      <c r="EC250" s="403"/>
      <c r="ED250" s="403"/>
      <c r="EE250" s="403"/>
      <c r="EF250" s="403"/>
      <c r="EG250" s="403"/>
      <c r="EH250" s="403"/>
      <c r="EI250" s="403"/>
      <c r="EJ250" s="403"/>
      <c r="EK250" s="403"/>
      <c r="EL250" s="403"/>
      <c r="EM250" s="403"/>
      <c r="EN250" s="403"/>
      <c r="EO250" s="403"/>
      <c r="EP250" s="403"/>
      <c r="EQ250" s="403"/>
      <c r="ER250" s="403"/>
      <c r="ES250" s="403"/>
      <c r="ET250" s="403"/>
      <c r="EU250" s="403"/>
      <c r="EV250" s="403"/>
      <c r="EW250" s="403"/>
      <c r="EX250" s="403"/>
      <c r="EY250" s="403"/>
      <c r="EZ250" s="403"/>
      <c r="FA250" s="403"/>
      <c r="FB250" s="403"/>
      <c r="FC250" s="403"/>
      <c r="FD250" s="403"/>
      <c r="FE250" s="403"/>
      <c r="FF250" s="403"/>
      <c r="FG250" s="403"/>
      <c r="FH250" s="403"/>
      <c r="FI250" s="403"/>
      <c r="FJ250" s="403"/>
      <c r="FK250" s="403"/>
      <c r="FL250" s="403"/>
      <c r="FM250" s="403"/>
      <c r="FN250" s="403"/>
      <c r="FO250" s="403"/>
      <c r="FP250" s="403"/>
      <c r="FQ250" s="403"/>
      <c r="FR250" s="403"/>
      <c r="FS250" s="403"/>
      <c r="FT250" s="403"/>
      <c r="FU250" s="403"/>
      <c r="FV250" s="403"/>
      <c r="FW250" s="403"/>
      <c r="FX250" s="403"/>
      <c r="FY250" s="403"/>
      <c r="FZ250" s="403"/>
      <c r="GA250" s="403"/>
      <c r="GB250" s="403"/>
      <c r="GC250" s="403"/>
      <c r="GD250" s="403"/>
      <c r="GE250" s="403"/>
      <c r="GF250" s="403"/>
      <c r="GG250" s="403"/>
      <c r="GH250" s="403"/>
      <c r="GI250" s="403"/>
      <c r="GJ250" s="403"/>
      <c r="GK250" s="403"/>
      <c r="GL250" s="403"/>
      <c r="GM250" s="403"/>
      <c r="GN250" s="403"/>
      <c r="GO250" s="403"/>
      <c r="GP250" s="403"/>
      <c r="GQ250" s="403"/>
      <c r="GR250" s="403"/>
      <c r="GS250" s="403"/>
      <c r="GT250" s="403"/>
      <c r="GU250" s="403"/>
      <c r="GV250" s="403"/>
      <c r="GW250" s="403"/>
      <c r="GX250" s="403"/>
      <c r="GY250" s="403"/>
      <c r="GZ250" s="403"/>
      <c r="HA250" s="403"/>
      <c r="HB250" s="403"/>
      <c r="HC250" s="403"/>
      <c r="HD250" s="403"/>
      <c r="HE250" s="403"/>
      <c r="HF250" s="403"/>
      <c r="HG250" s="403"/>
      <c r="HH250" s="403"/>
      <c r="HI250" s="403"/>
      <c r="HJ250" s="403"/>
      <c r="HK250" s="403"/>
      <c r="HL250" s="403"/>
      <c r="HM250" s="403"/>
      <c r="HN250" s="403"/>
      <c r="HO250" s="403"/>
      <c r="HP250" s="403"/>
      <c r="HQ250" s="403"/>
      <c r="HR250" s="403"/>
      <c r="HS250" s="403"/>
      <c r="HT250" s="403"/>
      <c r="HU250" s="403"/>
      <c r="HV250" s="403"/>
      <c r="HW250" s="403"/>
      <c r="HX250" s="403"/>
      <c r="HY250" s="403"/>
      <c r="HZ250" s="403"/>
      <c r="IA250" s="403"/>
      <c r="IB250" s="403"/>
      <c r="IC250" s="403"/>
      <c r="ID250" s="403"/>
      <c r="IE250" s="403"/>
      <c r="IF250" s="403"/>
      <c r="IG250" s="403"/>
      <c r="IH250" s="403"/>
      <c r="II250" s="403"/>
      <c r="IJ250" s="403"/>
      <c r="IK250" s="403"/>
      <c r="IL250" s="403"/>
      <c r="IM250" s="403"/>
      <c r="IN250" s="403"/>
      <c r="IO250" s="403"/>
      <c r="IP250" s="403"/>
      <c r="IQ250" s="403"/>
      <c r="IR250" s="403"/>
      <c r="IS250" s="403"/>
      <c r="IT250" s="403"/>
      <c r="IU250" s="403"/>
      <c r="IV250" s="403"/>
      <c r="IW250" s="403"/>
      <c r="IX250" s="403"/>
      <c r="IY250" s="403"/>
      <c r="IZ250" s="403"/>
      <c r="JA250" s="403"/>
      <c r="JB250" s="403"/>
      <c r="JC250" s="403"/>
      <c r="JD250" s="403"/>
      <c r="JE250" s="403"/>
      <c r="JF250" s="403"/>
      <c r="JG250" s="403"/>
      <c r="JH250" s="403"/>
      <c r="JI250" s="403"/>
      <c r="JJ250" s="403"/>
      <c r="JK250" s="403"/>
      <c r="JL250" s="403"/>
      <c r="JM250" s="403"/>
      <c r="JN250" s="403"/>
      <c r="JO250" s="403"/>
      <c r="JP250" s="403"/>
      <c r="JQ250" s="403"/>
      <c r="JR250" s="403"/>
      <c r="JS250" s="403"/>
      <c r="JT250" s="403"/>
    </row>
    <row r="251" spans="1:280" s="15" customFormat="1" ht="12.75" x14ac:dyDescent="0.2">
      <c r="A251" s="150"/>
      <c r="B251" s="624"/>
      <c r="C251" s="23" t="str">
        <f t="shared" ref="C251:C258" ca="1" si="606">IF(OFFSET(AU251,0,Lang_Order*Lang__B5)="","",OFFSET(AU251,0,Lang_Order*Lang__B5))</f>
        <v>Vaccinators per team (@Basecamp)</v>
      </c>
      <c r="J251" s="150">
        <f>J287</f>
        <v>0</v>
      </c>
      <c r="K251" s="150">
        <f t="shared" ref="K251:O251" si="607">K287</f>
        <v>0</v>
      </c>
      <c r="L251" s="150">
        <f t="shared" si="607"/>
        <v>0</v>
      </c>
      <c r="M251" s="150">
        <f t="shared" si="607"/>
        <v>0</v>
      </c>
      <c r="N251" s="150">
        <f t="shared" si="607"/>
        <v>0</v>
      </c>
      <c r="O251" s="150">
        <f t="shared" si="607"/>
        <v>0</v>
      </c>
      <c r="Q251" s="150"/>
      <c r="R251" s="12" t="str">
        <f t="shared" ca="1" si="585"/>
        <v>Optimize these</v>
      </c>
      <c r="S251" s="2"/>
      <c r="T251" s="241"/>
      <c r="U251" s="624"/>
      <c r="V251" s="72" t="str">
        <f t="shared" ref="V251:V258" ca="1" si="608">IF(OFFSET(AU251,0,Lang_Order*Lang__B5)="","",OFFSET(AU251,0,Lang_Order*Lang__B5))</f>
        <v>Vaccinators per team (@Basecamp)</v>
      </c>
      <c r="W251" s="241">
        <f>W287</f>
        <v>0</v>
      </c>
      <c r="X251" s="241">
        <f t="shared" ref="X251:AB251" si="609">X287</f>
        <v>0</v>
      </c>
      <c r="Y251" s="241">
        <f t="shared" si="609"/>
        <v>0</v>
      </c>
      <c r="Z251" s="241">
        <f t="shared" si="609"/>
        <v>0</v>
      </c>
      <c r="AA251" s="241">
        <f t="shared" si="609"/>
        <v>0</v>
      </c>
      <c r="AB251" s="241">
        <f t="shared" si="609"/>
        <v>0</v>
      </c>
      <c r="AC251" s="241"/>
      <c r="AD251" s="241"/>
      <c r="AE251" s="2"/>
      <c r="AF251" s="241"/>
      <c r="AG251" s="624"/>
      <c r="AH251" s="72" t="str">
        <f t="shared" ref="AH251:AH258" ca="1" si="610">IF(OFFSET(AU251,0,Lang_Order*Lang__B5)="","",OFFSET(AU251,0,Lang_Order*Lang__B5))</f>
        <v>Vaccinators per team (@Basecamp)</v>
      </c>
      <c r="AI251" s="241">
        <f>AI287</f>
        <v>0</v>
      </c>
      <c r="AJ251" s="241">
        <f t="shared" ref="AJ251:AN251" si="611">AJ287</f>
        <v>0</v>
      </c>
      <c r="AK251" s="241">
        <f t="shared" si="611"/>
        <v>0</v>
      </c>
      <c r="AL251" s="241">
        <f t="shared" si="611"/>
        <v>0</v>
      </c>
      <c r="AM251" s="241">
        <f t="shared" si="611"/>
        <v>0</v>
      </c>
      <c r="AN251" s="241">
        <f t="shared" si="611"/>
        <v>0</v>
      </c>
      <c r="AO251" s="241"/>
      <c r="AP251" s="241"/>
      <c r="AR251" s="403"/>
      <c r="AS251" s="403"/>
      <c r="AT251" s="403"/>
      <c r="AU251" s="403" t="s">
        <v>1690</v>
      </c>
      <c r="AV251" s="403"/>
      <c r="AW251" s="403"/>
      <c r="AX251" s="403"/>
      <c r="AY251" s="403"/>
      <c r="AZ251" s="403"/>
      <c r="BA251" s="403"/>
      <c r="BB251" s="403"/>
      <c r="BC251" s="403"/>
      <c r="BD251" s="403"/>
      <c r="BE251" s="403"/>
      <c r="BF251" s="403"/>
      <c r="BG251" s="403"/>
      <c r="BH251" s="403"/>
      <c r="BI251" s="403"/>
      <c r="BJ251" s="403" t="s">
        <v>1673</v>
      </c>
      <c r="BK251" s="403"/>
      <c r="BL251" s="403"/>
      <c r="BM251" s="403"/>
      <c r="BN251" s="403"/>
      <c r="BO251" s="403"/>
      <c r="BP251" s="403"/>
      <c r="BQ251" s="403"/>
      <c r="BR251" s="403"/>
      <c r="BS251" s="403"/>
      <c r="BT251" s="403"/>
      <c r="BU251" s="403"/>
      <c r="BV251" s="403"/>
      <c r="BW251" s="403"/>
      <c r="BX251" s="403"/>
      <c r="BY251" s="403"/>
      <c r="BZ251" s="403"/>
      <c r="CA251" s="403"/>
      <c r="CB251" s="403"/>
      <c r="CC251" s="403" t="s">
        <v>12220</v>
      </c>
      <c r="CD251" s="403"/>
      <c r="CE251" s="403"/>
      <c r="CF251" s="403"/>
      <c r="CG251" s="403"/>
      <c r="CH251" s="403"/>
      <c r="CI251" s="403"/>
      <c r="CJ251" s="403"/>
      <c r="CK251" s="403"/>
      <c r="CL251" s="403"/>
      <c r="CM251" s="403"/>
      <c r="CN251" s="403"/>
      <c r="CO251" s="403"/>
      <c r="CP251" s="403"/>
      <c r="CQ251" s="403"/>
      <c r="CR251" s="403" t="s">
        <v>12174</v>
      </c>
      <c r="CS251" s="403"/>
      <c r="CT251" s="403"/>
      <c r="CU251" s="403"/>
      <c r="CV251" s="403"/>
      <c r="CW251" s="403"/>
      <c r="CX251" s="403"/>
      <c r="CY251" s="403"/>
      <c r="CZ251" s="403"/>
      <c r="DA251" s="403"/>
      <c r="DB251" s="403"/>
      <c r="DC251" s="403"/>
      <c r="DD251" s="403"/>
      <c r="DE251" s="403"/>
      <c r="DF251" s="403"/>
      <c r="DG251" s="403"/>
      <c r="DH251" s="403"/>
      <c r="DI251" s="403"/>
      <c r="DJ251" s="403"/>
      <c r="DK251" s="403" t="s">
        <v>12221</v>
      </c>
      <c r="DL251" s="403"/>
      <c r="DM251" s="403"/>
      <c r="DN251" s="403"/>
      <c r="DO251" s="403"/>
      <c r="DP251" s="403"/>
      <c r="DQ251" s="403"/>
      <c r="DR251" s="403"/>
      <c r="DS251" s="403"/>
      <c r="DT251" s="403"/>
      <c r="DU251" s="403"/>
      <c r="DV251" s="403"/>
      <c r="DW251" s="403"/>
      <c r="DX251" s="403"/>
      <c r="DY251" s="403"/>
      <c r="DZ251" s="403" t="s">
        <v>12175</v>
      </c>
      <c r="EA251" s="403"/>
      <c r="EB251" s="403"/>
      <c r="EC251" s="403"/>
      <c r="ED251" s="403"/>
      <c r="EE251" s="403"/>
      <c r="EF251" s="403"/>
      <c r="EG251" s="403"/>
      <c r="EH251" s="403"/>
      <c r="EI251" s="403"/>
      <c r="EJ251" s="403"/>
      <c r="EK251" s="403"/>
      <c r="EL251" s="403"/>
      <c r="EM251" s="403"/>
      <c r="EN251" s="403"/>
      <c r="EO251" s="403"/>
      <c r="EP251" s="403"/>
      <c r="EQ251" s="403"/>
      <c r="ER251" s="403"/>
      <c r="ES251" s="403" t="s">
        <v>12222</v>
      </c>
      <c r="ET251" s="403"/>
      <c r="EU251" s="403"/>
      <c r="EV251" s="403"/>
      <c r="EW251" s="403"/>
      <c r="EX251" s="403"/>
      <c r="EY251" s="403"/>
      <c r="EZ251" s="403"/>
      <c r="FA251" s="403"/>
      <c r="FB251" s="403"/>
      <c r="FC251" s="403"/>
      <c r="FD251" s="403"/>
      <c r="FE251" s="403"/>
      <c r="FF251" s="403"/>
      <c r="FG251" s="403"/>
      <c r="FH251" s="403" t="s">
        <v>12176</v>
      </c>
      <c r="FI251" s="403"/>
      <c r="FJ251" s="403"/>
      <c r="FK251" s="403"/>
      <c r="FL251" s="403"/>
      <c r="FM251" s="403"/>
      <c r="FN251" s="403"/>
      <c r="FO251" s="403"/>
      <c r="FP251" s="403"/>
      <c r="FQ251" s="403"/>
      <c r="FR251" s="403"/>
      <c r="FS251" s="403"/>
      <c r="FT251" s="403"/>
      <c r="FU251" s="403"/>
      <c r="FV251" s="403"/>
      <c r="FW251" s="403"/>
      <c r="FX251" s="403"/>
      <c r="FY251" s="403"/>
      <c r="FZ251" s="403"/>
      <c r="GA251" s="403" t="s">
        <v>12223</v>
      </c>
      <c r="GB251" s="403"/>
      <c r="GC251" s="403"/>
      <c r="GD251" s="403"/>
      <c r="GE251" s="403"/>
      <c r="GF251" s="403"/>
      <c r="GG251" s="403"/>
      <c r="GH251" s="403"/>
      <c r="GI251" s="403"/>
      <c r="GJ251" s="403"/>
      <c r="GK251" s="403"/>
      <c r="GL251" s="403"/>
      <c r="GM251" s="403"/>
      <c r="GN251" s="403"/>
      <c r="GO251" s="403"/>
      <c r="GP251" s="403" t="s">
        <v>12177</v>
      </c>
      <c r="GQ251" s="403"/>
      <c r="GR251" s="403"/>
      <c r="GS251" s="403"/>
      <c r="GT251" s="403"/>
      <c r="GU251" s="403"/>
      <c r="GV251" s="403"/>
      <c r="GW251" s="403"/>
      <c r="GX251" s="403"/>
      <c r="GY251" s="403"/>
      <c r="GZ251" s="403"/>
      <c r="HA251" s="403"/>
      <c r="HB251" s="403"/>
      <c r="HC251" s="403"/>
      <c r="HD251" s="403"/>
      <c r="HE251" s="403"/>
      <c r="HF251" s="403"/>
      <c r="HG251" s="403"/>
      <c r="HH251" s="403"/>
      <c r="HI251" s="403" t="s">
        <v>12224</v>
      </c>
      <c r="HJ251" s="403"/>
      <c r="HK251" s="403"/>
      <c r="HL251" s="403"/>
      <c r="HM251" s="403"/>
      <c r="HN251" s="403"/>
      <c r="HO251" s="403"/>
      <c r="HP251" s="403"/>
      <c r="HQ251" s="403"/>
      <c r="HR251" s="403"/>
      <c r="HS251" s="403"/>
      <c r="HT251" s="403"/>
      <c r="HU251" s="403"/>
      <c r="HV251" s="403"/>
      <c r="HW251" s="403"/>
      <c r="HX251" s="403" t="s">
        <v>12178</v>
      </c>
      <c r="HY251" s="403"/>
      <c r="HZ251" s="403"/>
      <c r="IA251" s="403"/>
      <c r="IB251" s="403"/>
      <c r="IC251" s="403"/>
      <c r="ID251" s="403"/>
      <c r="IE251" s="403"/>
      <c r="IF251" s="403"/>
      <c r="IG251" s="403"/>
      <c r="IH251" s="403"/>
      <c r="II251" s="403"/>
      <c r="IJ251" s="403"/>
      <c r="IK251" s="403"/>
      <c r="IL251" s="403"/>
      <c r="IM251" s="403"/>
      <c r="IN251" s="403"/>
      <c r="IO251" s="403"/>
      <c r="IP251" s="403"/>
      <c r="IQ251" s="403" t="s">
        <v>12225</v>
      </c>
      <c r="IR251" s="403"/>
      <c r="IS251" s="403"/>
      <c r="IT251" s="403"/>
      <c r="IU251" s="403"/>
      <c r="IV251" s="403"/>
      <c r="IW251" s="403"/>
      <c r="IX251" s="403"/>
      <c r="IY251" s="403"/>
      <c r="IZ251" s="403"/>
      <c r="JA251" s="403"/>
      <c r="JB251" s="403"/>
      <c r="JC251" s="403"/>
      <c r="JD251" s="403"/>
      <c r="JE251" s="403"/>
      <c r="JF251" s="403" t="s">
        <v>12179</v>
      </c>
      <c r="JG251" s="403"/>
      <c r="JH251" s="403"/>
      <c r="JI251" s="403"/>
      <c r="JJ251" s="403"/>
      <c r="JK251" s="403"/>
      <c r="JL251" s="403"/>
      <c r="JM251" s="403"/>
      <c r="JN251" s="403"/>
      <c r="JO251" s="403"/>
      <c r="JP251" s="403"/>
      <c r="JQ251" s="403"/>
      <c r="JR251" s="403"/>
      <c r="JS251" s="403"/>
      <c r="JT251" s="403"/>
    </row>
    <row r="252" spans="1:280" s="15" customFormat="1" ht="12.75" x14ac:dyDescent="0.2">
      <c r="A252" s="150"/>
      <c r="B252" s="624"/>
      <c r="C252" s="23" t="str">
        <f t="shared" ca="1" si="606"/>
        <v>Vaccinators per team (Mobile A)</v>
      </c>
      <c r="J252" s="150">
        <v>1</v>
      </c>
      <c r="K252" s="150">
        <v>1</v>
      </c>
      <c r="L252" s="150">
        <v>1</v>
      </c>
      <c r="M252" s="150">
        <v>1</v>
      </c>
      <c r="N252" s="150">
        <v>1</v>
      </c>
      <c r="O252" s="150">
        <v>1</v>
      </c>
      <c r="R252" s="12" t="str">
        <f t="shared" ca="1" si="585"/>
        <v>Mobile Team A by definition one-person team</v>
      </c>
      <c r="S252" s="2"/>
      <c r="T252" s="241"/>
      <c r="U252" s="624"/>
      <c r="V252" s="72" t="str">
        <f t="shared" ca="1" si="608"/>
        <v>Vaccinators per team (Mobile A)</v>
      </c>
      <c r="W252" s="241">
        <v>1</v>
      </c>
      <c r="X252" s="241">
        <v>1</v>
      </c>
      <c r="Y252" s="241">
        <v>1</v>
      </c>
      <c r="Z252" s="241">
        <v>1</v>
      </c>
      <c r="AA252" s="241">
        <v>1</v>
      </c>
      <c r="AB252" s="241">
        <v>1</v>
      </c>
      <c r="AC252" s="241"/>
      <c r="AD252" s="241"/>
      <c r="AE252" s="2"/>
      <c r="AF252" s="241"/>
      <c r="AG252" s="624"/>
      <c r="AH252" s="72" t="str">
        <f t="shared" ca="1" si="610"/>
        <v>Vaccinators per team (Mobile A)</v>
      </c>
      <c r="AI252" s="241">
        <v>1</v>
      </c>
      <c r="AJ252" s="241">
        <v>1</v>
      </c>
      <c r="AK252" s="241">
        <v>1</v>
      </c>
      <c r="AL252" s="241">
        <v>1</v>
      </c>
      <c r="AM252" s="241">
        <v>1</v>
      </c>
      <c r="AN252" s="241">
        <v>1</v>
      </c>
      <c r="AO252" s="241"/>
      <c r="AP252" s="241"/>
      <c r="AR252" s="403"/>
      <c r="AS252" s="403"/>
      <c r="AT252" s="403"/>
      <c r="AU252" s="403" t="s">
        <v>1702</v>
      </c>
      <c r="AV252" s="403"/>
      <c r="AW252" s="403"/>
      <c r="AX252" s="403"/>
      <c r="AY252" s="403"/>
      <c r="AZ252" s="403"/>
      <c r="BA252" s="403"/>
      <c r="BB252" s="403"/>
      <c r="BC252" s="403"/>
      <c r="BD252" s="403"/>
      <c r="BE252" s="403"/>
      <c r="BF252" s="403"/>
      <c r="BG252" s="403"/>
      <c r="BH252" s="403"/>
      <c r="BI252" s="403"/>
      <c r="BJ252" s="403" t="s">
        <v>1692</v>
      </c>
      <c r="BK252" s="403"/>
      <c r="BL252" s="403"/>
      <c r="BM252" s="403"/>
      <c r="BN252" s="403"/>
      <c r="BO252" s="403"/>
      <c r="BP252" s="403"/>
      <c r="BQ252" s="403"/>
      <c r="BR252" s="403"/>
      <c r="BS252" s="403"/>
      <c r="BT252" s="403"/>
      <c r="BU252" s="403"/>
      <c r="BV252" s="403"/>
      <c r="BW252" s="403"/>
      <c r="BX252" s="403"/>
      <c r="BY252" s="403"/>
      <c r="BZ252" s="403"/>
      <c r="CA252" s="403"/>
      <c r="CB252" s="403"/>
      <c r="CC252" s="403" t="s">
        <v>12226</v>
      </c>
      <c r="CD252" s="403"/>
      <c r="CE252" s="403"/>
      <c r="CF252" s="403"/>
      <c r="CG252" s="403"/>
      <c r="CH252" s="403"/>
      <c r="CI252" s="403"/>
      <c r="CJ252" s="403"/>
      <c r="CK252" s="403"/>
      <c r="CL252" s="403"/>
      <c r="CM252" s="403"/>
      <c r="CN252" s="403"/>
      <c r="CO252" s="403"/>
      <c r="CP252" s="403"/>
      <c r="CQ252" s="403"/>
      <c r="CR252" s="403" t="s">
        <v>12227</v>
      </c>
      <c r="CS252" s="403"/>
      <c r="CT252" s="403"/>
      <c r="CU252" s="403"/>
      <c r="CV252" s="403"/>
      <c r="CW252" s="403"/>
      <c r="CX252" s="403"/>
      <c r="CY252" s="403"/>
      <c r="CZ252" s="403"/>
      <c r="DA252" s="403"/>
      <c r="DB252" s="403"/>
      <c r="DC252" s="403"/>
      <c r="DD252" s="403"/>
      <c r="DE252" s="403"/>
      <c r="DF252" s="403"/>
      <c r="DG252" s="403"/>
      <c r="DH252" s="403"/>
      <c r="DI252" s="403"/>
      <c r="DJ252" s="403"/>
      <c r="DK252" s="403" t="s">
        <v>12228</v>
      </c>
      <c r="DL252" s="403"/>
      <c r="DM252" s="403"/>
      <c r="DN252" s="403"/>
      <c r="DO252" s="403"/>
      <c r="DP252" s="403"/>
      <c r="DQ252" s="403"/>
      <c r="DR252" s="403"/>
      <c r="DS252" s="403"/>
      <c r="DT252" s="403"/>
      <c r="DU252" s="403"/>
      <c r="DV252" s="403"/>
      <c r="DW252" s="403"/>
      <c r="DX252" s="403"/>
      <c r="DY252" s="403"/>
      <c r="DZ252" s="403" t="s">
        <v>12229</v>
      </c>
      <c r="EA252" s="403"/>
      <c r="EB252" s="403"/>
      <c r="EC252" s="403"/>
      <c r="ED252" s="403"/>
      <c r="EE252" s="403"/>
      <c r="EF252" s="403"/>
      <c r="EG252" s="403"/>
      <c r="EH252" s="403"/>
      <c r="EI252" s="403"/>
      <c r="EJ252" s="403"/>
      <c r="EK252" s="403"/>
      <c r="EL252" s="403"/>
      <c r="EM252" s="403"/>
      <c r="EN252" s="403"/>
      <c r="EO252" s="403"/>
      <c r="EP252" s="403"/>
      <c r="EQ252" s="403"/>
      <c r="ER252" s="403"/>
      <c r="ES252" s="403" t="s">
        <v>12230</v>
      </c>
      <c r="ET252" s="403"/>
      <c r="EU252" s="403"/>
      <c r="EV252" s="403"/>
      <c r="EW252" s="403"/>
      <c r="EX252" s="403"/>
      <c r="EY252" s="403"/>
      <c r="EZ252" s="403"/>
      <c r="FA252" s="403"/>
      <c r="FB252" s="403"/>
      <c r="FC252" s="403"/>
      <c r="FD252" s="403"/>
      <c r="FE252" s="403"/>
      <c r="FF252" s="403"/>
      <c r="FG252" s="403"/>
      <c r="FH252" s="403" t="s">
        <v>12231</v>
      </c>
      <c r="FI252" s="403"/>
      <c r="FJ252" s="403"/>
      <c r="FK252" s="403"/>
      <c r="FL252" s="403"/>
      <c r="FM252" s="403"/>
      <c r="FN252" s="403"/>
      <c r="FO252" s="403"/>
      <c r="FP252" s="403"/>
      <c r="FQ252" s="403"/>
      <c r="FR252" s="403"/>
      <c r="FS252" s="403"/>
      <c r="FT252" s="403"/>
      <c r="FU252" s="403"/>
      <c r="FV252" s="403"/>
      <c r="FW252" s="403"/>
      <c r="FX252" s="403"/>
      <c r="FY252" s="403"/>
      <c r="FZ252" s="403"/>
      <c r="GA252" s="403" t="s">
        <v>12232</v>
      </c>
      <c r="GB252" s="403"/>
      <c r="GC252" s="403"/>
      <c r="GD252" s="403"/>
      <c r="GE252" s="403"/>
      <c r="GF252" s="403"/>
      <c r="GG252" s="403"/>
      <c r="GH252" s="403"/>
      <c r="GI252" s="403"/>
      <c r="GJ252" s="403"/>
      <c r="GK252" s="403"/>
      <c r="GL252" s="403"/>
      <c r="GM252" s="403"/>
      <c r="GN252" s="403"/>
      <c r="GO252" s="403"/>
      <c r="GP252" s="403" t="s">
        <v>12233</v>
      </c>
      <c r="GQ252" s="403"/>
      <c r="GR252" s="403"/>
      <c r="GS252" s="403"/>
      <c r="GT252" s="403"/>
      <c r="GU252" s="403"/>
      <c r="GV252" s="403"/>
      <c r="GW252" s="403"/>
      <c r="GX252" s="403"/>
      <c r="GY252" s="403"/>
      <c r="GZ252" s="403"/>
      <c r="HA252" s="403"/>
      <c r="HB252" s="403"/>
      <c r="HC252" s="403"/>
      <c r="HD252" s="403"/>
      <c r="HE252" s="403"/>
      <c r="HF252" s="403"/>
      <c r="HG252" s="403"/>
      <c r="HH252" s="403"/>
      <c r="HI252" s="403" t="s">
        <v>12234</v>
      </c>
      <c r="HJ252" s="403"/>
      <c r="HK252" s="403"/>
      <c r="HL252" s="403"/>
      <c r="HM252" s="403"/>
      <c r="HN252" s="403"/>
      <c r="HO252" s="403"/>
      <c r="HP252" s="403"/>
      <c r="HQ252" s="403"/>
      <c r="HR252" s="403"/>
      <c r="HS252" s="403"/>
      <c r="HT252" s="403"/>
      <c r="HU252" s="403"/>
      <c r="HV252" s="403"/>
      <c r="HW252" s="403"/>
      <c r="HX252" s="403" t="s">
        <v>12235</v>
      </c>
      <c r="HY252" s="403"/>
      <c r="HZ252" s="403"/>
      <c r="IA252" s="403"/>
      <c r="IB252" s="403"/>
      <c r="IC252" s="403"/>
      <c r="ID252" s="403"/>
      <c r="IE252" s="403"/>
      <c r="IF252" s="403"/>
      <c r="IG252" s="403"/>
      <c r="IH252" s="403"/>
      <c r="II252" s="403"/>
      <c r="IJ252" s="403"/>
      <c r="IK252" s="403"/>
      <c r="IL252" s="403"/>
      <c r="IM252" s="403"/>
      <c r="IN252" s="403"/>
      <c r="IO252" s="403"/>
      <c r="IP252" s="403"/>
      <c r="IQ252" s="403" t="s">
        <v>12236</v>
      </c>
      <c r="IR252" s="403"/>
      <c r="IS252" s="403"/>
      <c r="IT252" s="403"/>
      <c r="IU252" s="403"/>
      <c r="IV252" s="403"/>
      <c r="IW252" s="403"/>
      <c r="IX252" s="403"/>
      <c r="IY252" s="403"/>
      <c r="IZ252" s="403"/>
      <c r="JA252" s="403"/>
      <c r="JB252" s="403"/>
      <c r="JC252" s="403"/>
      <c r="JD252" s="403"/>
      <c r="JE252" s="403"/>
      <c r="JF252" s="403" t="s">
        <v>12237</v>
      </c>
      <c r="JG252" s="403"/>
      <c r="JH252" s="403"/>
      <c r="JI252" s="403"/>
      <c r="JJ252" s="403"/>
      <c r="JK252" s="403"/>
      <c r="JL252" s="403"/>
      <c r="JM252" s="403"/>
      <c r="JN252" s="403"/>
      <c r="JO252" s="403"/>
      <c r="JP252" s="403"/>
      <c r="JQ252" s="403"/>
      <c r="JR252" s="403"/>
      <c r="JS252" s="403"/>
      <c r="JT252" s="403"/>
    </row>
    <row r="253" spans="1:280" s="15" customFormat="1" ht="12.75" x14ac:dyDescent="0.2">
      <c r="A253" s="150"/>
      <c r="B253" s="624"/>
      <c r="C253" s="23" t="str">
        <f t="shared" ca="1" si="606"/>
        <v>Vaccinators per team (Mobile B)</v>
      </c>
      <c r="J253" s="150">
        <f>$D289</f>
        <v>2</v>
      </c>
      <c r="K253" s="150">
        <f t="shared" ref="K253:O253" si="612">$D289</f>
        <v>2</v>
      </c>
      <c r="L253" s="150">
        <f t="shared" si="612"/>
        <v>2</v>
      </c>
      <c r="M253" s="150">
        <f t="shared" si="612"/>
        <v>2</v>
      </c>
      <c r="N253" s="150">
        <f t="shared" si="612"/>
        <v>2</v>
      </c>
      <c r="O253" s="150">
        <f t="shared" si="612"/>
        <v>2</v>
      </c>
      <c r="Q253" s="150"/>
      <c r="R253" s="12" t="str">
        <f t="shared" ca="1" si="585"/>
        <v/>
      </c>
      <c r="S253" s="2"/>
      <c r="T253" s="241"/>
      <c r="U253" s="624"/>
      <c r="V253" s="72" t="str">
        <f t="shared" ca="1" si="608"/>
        <v>Vaccinators per team (Mobile B)</v>
      </c>
      <c r="W253" s="241">
        <f>$D289</f>
        <v>2</v>
      </c>
      <c r="X253" s="241">
        <f t="shared" ref="X253:AB253" si="613">$D289</f>
        <v>2</v>
      </c>
      <c r="Y253" s="241">
        <f t="shared" si="613"/>
        <v>2</v>
      </c>
      <c r="Z253" s="241">
        <f t="shared" si="613"/>
        <v>2</v>
      </c>
      <c r="AA253" s="241">
        <f t="shared" si="613"/>
        <v>2</v>
      </c>
      <c r="AB253" s="241">
        <f t="shared" si="613"/>
        <v>2</v>
      </c>
      <c r="AC253" s="241"/>
      <c r="AD253" s="241"/>
      <c r="AE253" s="2"/>
      <c r="AF253" s="241"/>
      <c r="AG253" s="624"/>
      <c r="AH253" s="72" t="str">
        <f t="shared" ca="1" si="610"/>
        <v>Vaccinators per team (Mobile B)</v>
      </c>
      <c r="AI253" s="241">
        <f>$D289</f>
        <v>2</v>
      </c>
      <c r="AJ253" s="241">
        <f t="shared" ref="AJ253:AN253" si="614">$D289</f>
        <v>2</v>
      </c>
      <c r="AK253" s="241">
        <f t="shared" si="614"/>
        <v>2</v>
      </c>
      <c r="AL253" s="241">
        <f t="shared" si="614"/>
        <v>2</v>
      </c>
      <c r="AM253" s="241">
        <f t="shared" si="614"/>
        <v>2</v>
      </c>
      <c r="AN253" s="241">
        <f t="shared" si="614"/>
        <v>2</v>
      </c>
      <c r="AO253" s="241"/>
      <c r="AP253" s="241"/>
      <c r="AR253" s="403"/>
      <c r="AS253" s="403"/>
      <c r="AT253" s="403"/>
      <c r="AU253" s="403" t="s">
        <v>1691</v>
      </c>
      <c r="AV253" s="403"/>
      <c r="AW253" s="403"/>
      <c r="AX253" s="403"/>
      <c r="AY253" s="403"/>
      <c r="AZ253" s="403"/>
      <c r="BA253" s="403"/>
      <c r="BB253" s="403"/>
      <c r="BC253" s="403"/>
      <c r="BD253" s="403"/>
      <c r="BE253" s="403"/>
      <c r="BF253" s="403"/>
      <c r="BG253" s="403"/>
      <c r="BH253" s="403"/>
      <c r="BI253" s="403"/>
      <c r="BJ253" s="403"/>
      <c r="BK253" s="403"/>
      <c r="BL253" s="403"/>
      <c r="BM253" s="403"/>
      <c r="BN253" s="403"/>
      <c r="BO253" s="403"/>
      <c r="BP253" s="403"/>
      <c r="BQ253" s="403"/>
      <c r="BR253" s="403"/>
      <c r="BS253" s="403"/>
      <c r="BT253" s="403"/>
      <c r="BU253" s="403"/>
      <c r="BV253" s="403"/>
      <c r="BW253" s="403"/>
      <c r="BX253" s="403"/>
      <c r="BY253" s="403"/>
      <c r="BZ253" s="403"/>
      <c r="CA253" s="403"/>
      <c r="CB253" s="403"/>
      <c r="CC253" s="403" t="s">
        <v>12238</v>
      </c>
      <c r="CD253" s="403"/>
      <c r="CE253" s="403"/>
      <c r="CF253" s="403"/>
      <c r="CG253" s="403"/>
      <c r="CH253" s="403"/>
      <c r="CI253" s="403"/>
      <c r="CJ253" s="403"/>
      <c r="CK253" s="403"/>
      <c r="CL253" s="403"/>
      <c r="CM253" s="403"/>
      <c r="CN253" s="403"/>
      <c r="CO253" s="403"/>
      <c r="CP253" s="403"/>
      <c r="CQ253" s="403"/>
      <c r="CR253" s="403"/>
      <c r="CS253" s="403"/>
      <c r="CT253" s="403"/>
      <c r="CU253" s="403"/>
      <c r="CV253" s="403"/>
      <c r="CW253" s="403"/>
      <c r="CX253" s="403"/>
      <c r="CY253" s="403"/>
      <c r="CZ253" s="403"/>
      <c r="DA253" s="403"/>
      <c r="DB253" s="403"/>
      <c r="DC253" s="403"/>
      <c r="DD253" s="403"/>
      <c r="DE253" s="403"/>
      <c r="DF253" s="403"/>
      <c r="DG253" s="403"/>
      <c r="DH253" s="403"/>
      <c r="DI253" s="403"/>
      <c r="DJ253" s="403"/>
      <c r="DK253" s="403" t="s">
        <v>12239</v>
      </c>
      <c r="DL253" s="403"/>
      <c r="DM253" s="403"/>
      <c r="DN253" s="403"/>
      <c r="DO253" s="403"/>
      <c r="DP253" s="403"/>
      <c r="DQ253" s="403"/>
      <c r="DR253" s="403"/>
      <c r="DS253" s="403"/>
      <c r="DT253" s="403"/>
      <c r="DU253" s="403"/>
      <c r="DV253" s="403"/>
      <c r="DW253" s="403"/>
      <c r="DX253" s="403"/>
      <c r="DY253" s="403"/>
      <c r="DZ253" s="403"/>
      <c r="EA253" s="403"/>
      <c r="EB253" s="403"/>
      <c r="EC253" s="403"/>
      <c r="ED253" s="403"/>
      <c r="EE253" s="403"/>
      <c r="EF253" s="403"/>
      <c r="EG253" s="403"/>
      <c r="EH253" s="403"/>
      <c r="EI253" s="403"/>
      <c r="EJ253" s="403"/>
      <c r="EK253" s="403"/>
      <c r="EL253" s="403"/>
      <c r="EM253" s="403"/>
      <c r="EN253" s="403"/>
      <c r="EO253" s="403"/>
      <c r="EP253" s="403"/>
      <c r="EQ253" s="403"/>
      <c r="ER253" s="403"/>
      <c r="ES253" s="403" t="s">
        <v>12240</v>
      </c>
      <c r="ET253" s="403"/>
      <c r="EU253" s="403"/>
      <c r="EV253" s="403"/>
      <c r="EW253" s="403"/>
      <c r="EX253" s="403"/>
      <c r="EY253" s="403"/>
      <c r="EZ253" s="403"/>
      <c r="FA253" s="403"/>
      <c r="FB253" s="403"/>
      <c r="FC253" s="403"/>
      <c r="FD253" s="403"/>
      <c r="FE253" s="403"/>
      <c r="FF253" s="403"/>
      <c r="FG253" s="403"/>
      <c r="FH253" s="403"/>
      <c r="FI253" s="403"/>
      <c r="FJ253" s="403"/>
      <c r="FK253" s="403"/>
      <c r="FL253" s="403"/>
      <c r="FM253" s="403"/>
      <c r="FN253" s="403"/>
      <c r="FO253" s="403"/>
      <c r="FP253" s="403"/>
      <c r="FQ253" s="403"/>
      <c r="FR253" s="403"/>
      <c r="FS253" s="403"/>
      <c r="FT253" s="403"/>
      <c r="FU253" s="403"/>
      <c r="FV253" s="403"/>
      <c r="FW253" s="403"/>
      <c r="FX253" s="403"/>
      <c r="FY253" s="403"/>
      <c r="FZ253" s="403"/>
      <c r="GA253" s="403" t="s">
        <v>12241</v>
      </c>
      <c r="GB253" s="403"/>
      <c r="GC253" s="403"/>
      <c r="GD253" s="403"/>
      <c r="GE253" s="403"/>
      <c r="GF253" s="403"/>
      <c r="GG253" s="403"/>
      <c r="GH253" s="403"/>
      <c r="GI253" s="403"/>
      <c r="GJ253" s="403"/>
      <c r="GK253" s="403"/>
      <c r="GL253" s="403"/>
      <c r="GM253" s="403"/>
      <c r="GN253" s="403"/>
      <c r="GO253" s="403"/>
      <c r="GP253" s="403"/>
      <c r="GQ253" s="403"/>
      <c r="GR253" s="403"/>
      <c r="GS253" s="403"/>
      <c r="GT253" s="403"/>
      <c r="GU253" s="403"/>
      <c r="GV253" s="403"/>
      <c r="GW253" s="403"/>
      <c r="GX253" s="403"/>
      <c r="GY253" s="403"/>
      <c r="GZ253" s="403"/>
      <c r="HA253" s="403"/>
      <c r="HB253" s="403"/>
      <c r="HC253" s="403"/>
      <c r="HD253" s="403"/>
      <c r="HE253" s="403"/>
      <c r="HF253" s="403"/>
      <c r="HG253" s="403"/>
      <c r="HH253" s="403"/>
      <c r="HI253" s="403" t="s">
        <v>12242</v>
      </c>
      <c r="HJ253" s="403"/>
      <c r="HK253" s="403"/>
      <c r="HL253" s="403"/>
      <c r="HM253" s="403"/>
      <c r="HN253" s="403"/>
      <c r="HO253" s="403"/>
      <c r="HP253" s="403"/>
      <c r="HQ253" s="403"/>
      <c r="HR253" s="403"/>
      <c r="HS253" s="403"/>
      <c r="HT253" s="403"/>
      <c r="HU253" s="403"/>
      <c r="HV253" s="403"/>
      <c r="HW253" s="403"/>
      <c r="HX253" s="403"/>
      <c r="HY253" s="403"/>
      <c r="HZ253" s="403"/>
      <c r="IA253" s="403"/>
      <c r="IB253" s="403"/>
      <c r="IC253" s="403"/>
      <c r="ID253" s="403"/>
      <c r="IE253" s="403"/>
      <c r="IF253" s="403"/>
      <c r="IG253" s="403"/>
      <c r="IH253" s="403"/>
      <c r="II253" s="403"/>
      <c r="IJ253" s="403"/>
      <c r="IK253" s="403"/>
      <c r="IL253" s="403"/>
      <c r="IM253" s="403"/>
      <c r="IN253" s="403"/>
      <c r="IO253" s="403"/>
      <c r="IP253" s="403"/>
      <c r="IQ253" s="403" t="s">
        <v>12243</v>
      </c>
      <c r="IR253" s="403"/>
      <c r="IS253" s="403"/>
      <c r="IT253" s="403"/>
      <c r="IU253" s="403"/>
      <c r="IV253" s="403"/>
      <c r="IW253" s="403"/>
      <c r="IX253" s="403"/>
      <c r="IY253" s="403"/>
      <c r="IZ253" s="403"/>
      <c r="JA253" s="403"/>
      <c r="JB253" s="403"/>
      <c r="JC253" s="403"/>
      <c r="JD253" s="403"/>
      <c r="JE253" s="403"/>
      <c r="JF253" s="403"/>
      <c r="JG253" s="403"/>
      <c r="JH253" s="403"/>
      <c r="JI253" s="403"/>
      <c r="JJ253" s="403"/>
      <c r="JK253" s="403"/>
      <c r="JL253" s="403"/>
      <c r="JM253" s="403"/>
      <c r="JN253" s="403"/>
      <c r="JO253" s="403"/>
      <c r="JP253" s="403"/>
      <c r="JQ253" s="403"/>
      <c r="JR253" s="403"/>
      <c r="JS253" s="403"/>
      <c r="JT253" s="403"/>
    </row>
    <row r="254" spans="1:280" s="15" customFormat="1" ht="12.75" x14ac:dyDescent="0.2">
      <c r="A254" s="150"/>
      <c r="B254" s="624"/>
      <c r="C254" s="66" t="str">
        <f t="shared" ca="1" si="606"/>
        <v>Total number of Basecamp Teams</v>
      </c>
      <c r="J254" s="150" t="e">
        <f>J290</f>
        <v>#N/A</v>
      </c>
      <c r="K254" s="150" t="e">
        <f t="shared" ref="K254:O254" si="615">K290</f>
        <v>#N/A</v>
      </c>
      <c r="L254" s="150" t="e">
        <f t="shared" si="615"/>
        <v>#N/A</v>
      </c>
      <c r="M254" s="150" t="e">
        <f t="shared" si="615"/>
        <v>#N/A</v>
      </c>
      <c r="N254" s="150" t="e">
        <f t="shared" si="615"/>
        <v>#N/A</v>
      </c>
      <c r="O254" s="150" t="e">
        <f t="shared" si="615"/>
        <v>#N/A</v>
      </c>
      <c r="Q254" s="102" t="e">
        <f>MAX(J254:O254)</f>
        <v>#N/A</v>
      </c>
      <c r="R254" s="12" t="str">
        <f t="shared" ca="1" si="585"/>
        <v/>
      </c>
      <c r="S254" s="2"/>
      <c r="T254" s="241"/>
      <c r="U254" s="624"/>
      <c r="V254" s="260" t="str">
        <f t="shared" ca="1" si="608"/>
        <v>Total number of Basecamp Teams</v>
      </c>
      <c r="W254" s="241" t="e">
        <f>W290</f>
        <v>#N/A</v>
      </c>
      <c r="X254" s="241" t="e">
        <f t="shared" ref="X254:AB254" si="616">X290</f>
        <v>#N/A</v>
      </c>
      <c r="Y254" s="241" t="e">
        <f t="shared" si="616"/>
        <v>#N/A</v>
      </c>
      <c r="Z254" s="241" t="e">
        <f t="shared" si="616"/>
        <v>#N/A</v>
      </c>
      <c r="AA254" s="241" t="e">
        <f t="shared" si="616"/>
        <v>#N/A</v>
      </c>
      <c r="AB254" s="241" t="e">
        <f t="shared" si="616"/>
        <v>#N/A</v>
      </c>
      <c r="AC254" s="241"/>
      <c r="AD254" s="102" t="e">
        <f>MAX(W254:AB254)</f>
        <v>#N/A</v>
      </c>
      <c r="AE254" s="2"/>
      <c r="AF254" s="241"/>
      <c r="AG254" s="624"/>
      <c r="AH254" s="260" t="str">
        <f t="shared" ca="1" si="610"/>
        <v>Total number of Basecamp Teams</v>
      </c>
      <c r="AI254" s="241" t="e">
        <f>AI290</f>
        <v>#N/A</v>
      </c>
      <c r="AJ254" s="241" t="e">
        <f t="shared" ref="AJ254:AN254" si="617">AJ290</f>
        <v>#N/A</v>
      </c>
      <c r="AK254" s="241" t="e">
        <f t="shared" si="617"/>
        <v>#N/A</v>
      </c>
      <c r="AL254" s="241" t="e">
        <f t="shared" si="617"/>
        <v>#N/A</v>
      </c>
      <c r="AM254" s="241" t="e">
        <f t="shared" si="617"/>
        <v>#N/A</v>
      </c>
      <c r="AN254" s="241" t="e">
        <f t="shared" si="617"/>
        <v>#N/A</v>
      </c>
      <c r="AO254" s="241"/>
      <c r="AP254" s="102" t="e">
        <f>MAX(AI254:AN254)</f>
        <v>#N/A</v>
      </c>
      <c r="AR254" s="403"/>
      <c r="AS254" s="403"/>
      <c r="AT254" s="403"/>
      <c r="AU254" s="403" t="s">
        <v>2695</v>
      </c>
      <c r="AV254" s="403"/>
      <c r="AW254" s="403"/>
      <c r="AX254" s="403"/>
      <c r="AY254" s="403"/>
      <c r="AZ254" s="403"/>
      <c r="BA254" s="403"/>
      <c r="BB254" s="403"/>
      <c r="BC254" s="403"/>
      <c r="BD254" s="403"/>
      <c r="BE254" s="403"/>
      <c r="BF254" s="403"/>
      <c r="BG254" s="403"/>
      <c r="BH254" s="403"/>
      <c r="BI254" s="403"/>
      <c r="BJ254" s="403"/>
      <c r="BK254" s="403"/>
      <c r="BL254" s="403"/>
      <c r="BM254" s="403"/>
      <c r="BN254" s="403"/>
      <c r="BO254" s="403"/>
      <c r="BP254" s="403"/>
      <c r="BQ254" s="403"/>
      <c r="BR254" s="403"/>
      <c r="BS254" s="403"/>
      <c r="BT254" s="403"/>
      <c r="BU254" s="403"/>
      <c r="BV254" s="403"/>
      <c r="BW254" s="403"/>
      <c r="BX254" s="403"/>
      <c r="BY254" s="403"/>
      <c r="BZ254" s="403"/>
      <c r="CA254" s="403"/>
      <c r="CB254" s="403"/>
      <c r="CC254" s="403" t="s">
        <v>12244</v>
      </c>
      <c r="CD254" s="403"/>
      <c r="CE254" s="403"/>
      <c r="CF254" s="403"/>
      <c r="CG254" s="403"/>
      <c r="CH254" s="403"/>
      <c r="CI254" s="403"/>
      <c r="CJ254" s="403"/>
      <c r="CK254" s="403"/>
      <c r="CL254" s="403"/>
      <c r="CM254" s="403"/>
      <c r="CN254" s="403"/>
      <c r="CO254" s="403"/>
      <c r="CP254" s="403"/>
      <c r="CQ254" s="403"/>
      <c r="CR254" s="403"/>
      <c r="CS254" s="403"/>
      <c r="CT254" s="403"/>
      <c r="CU254" s="403"/>
      <c r="CV254" s="403"/>
      <c r="CW254" s="403"/>
      <c r="CX254" s="403"/>
      <c r="CY254" s="403"/>
      <c r="CZ254" s="403"/>
      <c r="DA254" s="403"/>
      <c r="DB254" s="403"/>
      <c r="DC254" s="403"/>
      <c r="DD254" s="403"/>
      <c r="DE254" s="403"/>
      <c r="DF254" s="403"/>
      <c r="DG254" s="403"/>
      <c r="DH254" s="403"/>
      <c r="DI254" s="403"/>
      <c r="DJ254" s="403"/>
      <c r="DK254" s="403" t="s">
        <v>12245</v>
      </c>
      <c r="DL254" s="403"/>
      <c r="DM254" s="403"/>
      <c r="DN254" s="403"/>
      <c r="DO254" s="403"/>
      <c r="DP254" s="403"/>
      <c r="DQ254" s="403"/>
      <c r="DR254" s="403"/>
      <c r="DS254" s="403"/>
      <c r="DT254" s="403"/>
      <c r="DU254" s="403"/>
      <c r="DV254" s="403"/>
      <c r="DW254" s="403"/>
      <c r="DX254" s="403"/>
      <c r="DY254" s="403"/>
      <c r="DZ254" s="403"/>
      <c r="EA254" s="403"/>
      <c r="EB254" s="403"/>
      <c r="EC254" s="403"/>
      <c r="ED254" s="403"/>
      <c r="EE254" s="403"/>
      <c r="EF254" s="403"/>
      <c r="EG254" s="403"/>
      <c r="EH254" s="403"/>
      <c r="EI254" s="403"/>
      <c r="EJ254" s="403"/>
      <c r="EK254" s="403"/>
      <c r="EL254" s="403"/>
      <c r="EM254" s="403"/>
      <c r="EN254" s="403"/>
      <c r="EO254" s="403"/>
      <c r="EP254" s="403"/>
      <c r="EQ254" s="403"/>
      <c r="ER254" s="403"/>
      <c r="ES254" s="403" t="s">
        <v>12246</v>
      </c>
      <c r="ET254" s="403"/>
      <c r="EU254" s="403"/>
      <c r="EV254" s="403"/>
      <c r="EW254" s="403"/>
      <c r="EX254" s="403"/>
      <c r="EY254" s="403"/>
      <c r="EZ254" s="403"/>
      <c r="FA254" s="403"/>
      <c r="FB254" s="403"/>
      <c r="FC254" s="403"/>
      <c r="FD254" s="403"/>
      <c r="FE254" s="403"/>
      <c r="FF254" s="403"/>
      <c r="FG254" s="403"/>
      <c r="FH254" s="403"/>
      <c r="FI254" s="403"/>
      <c r="FJ254" s="403"/>
      <c r="FK254" s="403"/>
      <c r="FL254" s="403"/>
      <c r="FM254" s="403"/>
      <c r="FN254" s="403"/>
      <c r="FO254" s="403"/>
      <c r="FP254" s="403"/>
      <c r="FQ254" s="403"/>
      <c r="FR254" s="403"/>
      <c r="FS254" s="403"/>
      <c r="FT254" s="403"/>
      <c r="FU254" s="403"/>
      <c r="FV254" s="403"/>
      <c r="FW254" s="403"/>
      <c r="FX254" s="403"/>
      <c r="FY254" s="403"/>
      <c r="FZ254" s="403"/>
      <c r="GA254" s="403" t="s">
        <v>12247</v>
      </c>
      <c r="GB254" s="403"/>
      <c r="GC254" s="403"/>
      <c r="GD254" s="403"/>
      <c r="GE254" s="403"/>
      <c r="GF254" s="403"/>
      <c r="GG254" s="403"/>
      <c r="GH254" s="403"/>
      <c r="GI254" s="403"/>
      <c r="GJ254" s="403"/>
      <c r="GK254" s="403"/>
      <c r="GL254" s="403"/>
      <c r="GM254" s="403"/>
      <c r="GN254" s="403"/>
      <c r="GO254" s="403"/>
      <c r="GP254" s="403"/>
      <c r="GQ254" s="403"/>
      <c r="GR254" s="403"/>
      <c r="GS254" s="403"/>
      <c r="GT254" s="403"/>
      <c r="GU254" s="403"/>
      <c r="GV254" s="403"/>
      <c r="GW254" s="403"/>
      <c r="GX254" s="403"/>
      <c r="GY254" s="403"/>
      <c r="GZ254" s="403"/>
      <c r="HA254" s="403"/>
      <c r="HB254" s="403"/>
      <c r="HC254" s="403"/>
      <c r="HD254" s="403"/>
      <c r="HE254" s="403"/>
      <c r="HF254" s="403"/>
      <c r="HG254" s="403"/>
      <c r="HH254" s="403"/>
      <c r="HI254" s="403" t="s">
        <v>12248</v>
      </c>
      <c r="HJ254" s="403"/>
      <c r="HK254" s="403"/>
      <c r="HL254" s="403"/>
      <c r="HM254" s="403"/>
      <c r="HN254" s="403"/>
      <c r="HO254" s="403"/>
      <c r="HP254" s="403"/>
      <c r="HQ254" s="403"/>
      <c r="HR254" s="403"/>
      <c r="HS254" s="403"/>
      <c r="HT254" s="403"/>
      <c r="HU254" s="403"/>
      <c r="HV254" s="403"/>
      <c r="HW254" s="403"/>
      <c r="HX254" s="403"/>
      <c r="HY254" s="403"/>
      <c r="HZ254" s="403"/>
      <c r="IA254" s="403"/>
      <c r="IB254" s="403"/>
      <c r="IC254" s="403"/>
      <c r="ID254" s="403"/>
      <c r="IE254" s="403"/>
      <c r="IF254" s="403"/>
      <c r="IG254" s="403"/>
      <c r="IH254" s="403"/>
      <c r="II254" s="403"/>
      <c r="IJ254" s="403"/>
      <c r="IK254" s="403"/>
      <c r="IL254" s="403"/>
      <c r="IM254" s="403"/>
      <c r="IN254" s="403"/>
      <c r="IO254" s="403"/>
      <c r="IP254" s="403"/>
      <c r="IQ254" s="403" t="s">
        <v>12249</v>
      </c>
      <c r="IR254" s="403"/>
      <c r="IS254" s="403"/>
      <c r="IT254" s="403"/>
      <c r="IU254" s="403"/>
      <c r="IV254" s="403"/>
      <c r="IW254" s="403"/>
      <c r="IX254" s="403"/>
      <c r="IY254" s="403"/>
      <c r="IZ254" s="403"/>
      <c r="JA254" s="403"/>
      <c r="JB254" s="403"/>
      <c r="JC254" s="403"/>
      <c r="JD254" s="403"/>
      <c r="JE254" s="403"/>
      <c r="JF254" s="403"/>
      <c r="JG254" s="403"/>
      <c r="JH254" s="403"/>
      <c r="JI254" s="403"/>
      <c r="JJ254" s="403"/>
      <c r="JK254" s="403"/>
      <c r="JL254" s="403"/>
      <c r="JM254" s="403"/>
      <c r="JN254" s="403"/>
      <c r="JO254" s="403"/>
      <c r="JP254" s="403"/>
      <c r="JQ254" s="403"/>
      <c r="JR254" s="403"/>
      <c r="JS254" s="403"/>
      <c r="JT254" s="403"/>
    </row>
    <row r="255" spans="1:280" s="150" customFormat="1" ht="12.75" x14ac:dyDescent="0.2">
      <c r="B255" s="624"/>
      <c r="C255" s="66" t="str">
        <f t="shared" ca="1" si="606"/>
        <v>Basecamp Teams per 'team of teams'</v>
      </c>
      <c r="J255" s="150">
        <v>1</v>
      </c>
      <c r="K255" s="150">
        <v>1</v>
      </c>
      <c r="L255" s="150">
        <v>1</v>
      </c>
      <c r="M255" s="150">
        <v>1</v>
      </c>
      <c r="N255" s="150">
        <v>1</v>
      </c>
      <c r="O255" s="150">
        <v>1</v>
      </c>
      <c r="R255" s="12" t="str">
        <f t="shared" ca="1" si="585"/>
        <v>By defintion</v>
      </c>
      <c r="S255" s="2"/>
      <c r="T255" s="241"/>
      <c r="U255" s="624"/>
      <c r="V255" s="260" t="str">
        <f t="shared" ca="1" si="608"/>
        <v>Basecamp Teams per 'team of teams'</v>
      </c>
      <c r="W255" s="241">
        <v>1</v>
      </c>
      <c r="X255" s="241">
        <v>1</v>
      </c>
      <c r="Y255" s="241">
        <v>1</v>
      </c>
      <c r="Z255" s="241">
        <v>1</v>
      </c>
      <c r="AA255" s="241">
        <v>1</v>
      </c>
      <c r="AB255" s="241">
        <v>1</v>
      </c>
      <c r="AC255" s="241"/>
      <c r="AD255" s="241"/>
      <c r="AE255" s="2"/>
      <c r="AF255" s="241"/>
      <c r="AG255" s="624"/>
      <c r="AH255" s="260" t="str">
        <f t="shared" ca="1" si="610"/>
        <v>Basecamp Teams per 'team of teams'</v>
      </c>
      <c r="AI255" s="241">
        <v>1</v>
      </c>
      <c r="AJ255" s="241">
        <v>1</v>
      </c>
      <c r="AK255" s="241">
        <v>1</v>
      </c>
      <c r="AL255" s="241">
        <v>1</v>
      </c>
      <c r="AM255" s="241">
        <v>1</v>
      </c>
      <c r="AN255" s="241">
        <v>1</v>
      </c>
      <c r="AO255" s="241"/>
      <c r="AP255" s="241"/>
      <c r="AR255" s="403"/>
      <c r="AS255" s="403"/>
      <c r="AT255" s="403"/>
      <c r="AU255" s="403" t="s">
        <v>2705</v>
      </c>
      <c r="AV255" s="403"/>
      <c r="AW255" s="403"/>
      <c r="AX255" s="403"/>
      <c r="AY255" s="403"/>
      <c r="AZ255" s="403"/>
      <c r="BA255" s="403"/>
      <c r="BB255" s="403"/>
      <c r="BC255" s="403"/>
      <c r="BD255" s="403"/>
      <c r="BE255" s="403"/>
      <c r="BF255" s="403"/>
      <c r="BG255" s="403"/>
      <c r="BH255" s="403"/>
      <c r="BI255" s="403"/>
      <c r="BJ255" s="403" t="s">
        <v>2706</v>
      </c>
      <c r="BK255" s="403"/>
      <c r="BL255" s="403"/>
      <c r="BM255" s="403"/>
      <c r="BN255" s="403"/>
      <c r="BO255" s="403"/>
      <c r="BP255" s="403"/>
      <c r="BQ255" s="403"/>
      <c r="BR255" s="403"/>
      <c r="BS255" s="403"/>
      <c r="BT255" s="403"/>
      <c r="BU255" s="403"/>
      <c r="BV255" s="403"/>
      <c r="BW255" s="403"/>
      <c r="BX255" s="403"/>
      <c r="BY255" s="403"/>
      <c r="BZ255" s="403"/>
      <c r="CA255" s="403"/>
      <c r="CB255" s="403"/>
      <c r="CC255" s="403" t="s">
        <v>12250</v>
      </c>
      <c r="CD255" s="403"/>
      <c r="CE255" s="403"/>
      <c r="CF255" s="403"/>
      <c r="CG255" s="403"/>
      <c r="CH255" s="403"/>
      <c r="CI255" s="403"/>
      <c r="CJ255" s="403"/>
      <c r="CK255" s="403"/>
      <c r="CL255" s="403"/>
      <c r="CM255" s="403"/>
      <c r="CN255" s="403"/>
      <c r="CO255" s="403"/>
      <c r="CP255" s="403"/>
      <c r="CQ255" s="403"/>
      <c r="CR255" s="403" t="s">
        <v>10638</v>
      </c>
      <c r="CS255" s="403"/>
      <c r="CT255" s="403"/>
      <c r="CU255" s="403"/>
      <c r="CV255" s="403"/>
      <c r="CW255" s="403"/>
      <c r="CX255" s="403"/>
      <c r="CY255" s="403"/>
      <c r="CZ255" s="403"/>
      <c r="DA255" s="403"/>
      <c r="DB255" s="403"/>
      <c r="DC255" s="403"/>
      <c r="DD255" s="403"/>
      <c r="DE255" s="403"/>
      <c r="DF255" s="403"/>
      <c r="DG255" s="403"/>
      <c r="DH255" s="403"/>
      <c r="DI255" s="403"/>
      <c r="DJ255" s="403"/>
      <c r="DK255" s="403" t="s">
        <v>12251</v>
      </c>
      <c r="DL255" s="403"/>
      <c r="DM255" s="403"/>
      <c r="DN255" s="403"/>
      <c r="DO255" s="403"/>
      <c r="DP255" s="403"/>
      <c r="DQ255" s="403"/>
      <c r="DR255" s="403"/>
      <c r="DS255" s="403"/>
      <c r="DT255" s="403"/>
      <c r="DU255" s="403"/>
      <c r="DV255" s="403"/>
      <c r="DW255" s="403"/>
      <c r="DX255" s="403"/>
      <c r="DY255" s="403"/>
      <c r="DZ255" s="403" t="s">
        <v>10640</v>
      </c>
      <c r="EA255" s="403"/>
      <c r="EB255" s="403"/>
      <c r="EC255" s="403"/>
      <c r="ED255" s="403"/>
      <c r="EE255" s="403"/>
      <c r="EF255" s="403"/>
      <c r="EG255" s="403"/>
      <c r="EH255" s="403"/>
      <c r="EI255" s="403"/>
      <c r="EJ255" s="403"/>
      <c r="EK255" s="403"/>
      <c r="EL255" s="403"/>
      <c r="EM255" s="403"/>
      <c r="EN255" s="403"/>
      <c r="EO255" s="403"/>
      <c r="EP255" s="403"/>
      <c r="EQ255" s="403"/>
      <c r="ER255" s="403"/>
      <c r="ES255" s="403" t="s">
        <v>12252</v>
      </c>
      <c r="ET255" s="403"/>
      <c r="EU255" s="403"/>
      <c r="EV255" s="403"/>
      <c r="EW255" s="403"/>
      <c r="EX255" s="403"/>
      <c r="EY255" s="403"/>
      <c r="EZ255" s="403"/>
      <c r="FA255" s="403"/>
      <c r="FB255" s="403"/>
      <c r="FC255" s="403"/>
      <c r="FD255" s="403"/>
      <c r="FE255" s="403"/>
      <c r="FF255" s="403"/>
      <c r="FG255" s="403"/>
      <c r="FH255" s="403" t="s">
        <v>10641</v>
      </c>
      <c r="FI255" s="403"/>
      <c r="FJ255" s="403"/>
      <c r="FK255" s="403"/>
      <c r="FL255" s="403"/>
      <c r="FM255" s="403"/>
      <c r="FN255" s="403"/>
      <c r="FO255" s="403"/>
      <c r="FP255" s="403"/>
      <c r="FQ255" s="403"/>
      <c r="FR255" s="403"/>
      <c r="FS255" s="403"/>
      <c r="FT255" s="403"/>
      <c r="FU255" s="403"/>
      <c r="FV255" s="403"/>
      <c r="FW255" s="403"/>
      <c r="FX255" s="403"/>
      <c r="FY255" s="403"/>
      <c r="FZ255" s="403"/>
      <c r="GA255" s="403" t="s">
        <v>12253</v>
      </c>
      <c r="GB255" s="403"/>
      <c r="GC255" s="403"/>
      <c r="GD255" s="403"/>
      <c r="GE255" s="403"/>
      <c r="GF255" s="403"/>
      <c r="GG255" s="403"/>
      <c r="GH255" s="403"/>
      <c r="GI255" s="403"/>
      <c r="GJ255" s="403"/>
      <c r="GK255" s="403"/>
      <c r="GL255" s="403"/>
      <c r="GM255" s="403"/>
      <c r="GN255" s="403"/>
      <c r="GO255" s="403"/>
      <c r="GP255" s="403" t="s">
        <v>10642</v>
      </c>
      <c r="GQ255" s="403"/>
      <c r="GR255" s="403"/>
      <c r="GS255" s="403"/>
      <c r="GT255" s="403"/>
      <c r="GU255" s="403"/>
      <c r="GV255" s="403"/>
      <c r="GW255" s="403"/>
      <c r="GX255" s="403"/>
      <c r="GY255" s="403"/>
      <c r="GZ255" s="403"/>
      <c r="HA255" s="403"/>
      <c r="HB255" s="403"/>
      <c r="HC255" s="403"/>
      <c r="HD255" s="403"/>
      <c r="HE255" s="403"/>
      <c r="HF255" s="403"/>
      <c r="HG255" s="403"/>
      <c r="HH255" s="403"/>
      <c r="HI255" s="403" t="s">
        <v>12254</v>
      </c>
      <c r="HJ255" s="403"/>
      <c r="HK255" s="403"/>
      <c r="HL255" s="403"/>
      <c r="HM255" s="403"/>
      <c r="HN255" s="403"/>
      <c r="HO255" s="403"/>
      <c r="HP255" s="403"/>
      <c r="HQ255" s="403"/>
      <c r="HR255" s="403"/>
      <c r="HS255" s="403"/>
      <c r="HT255" s="403"/>
      <c r="HU255" s="403"/>
      <c r="HV255" s="403"/>
      <c r="HW255" s="403"/>
      <c r="HX255" s="403" t="s">
        <v>12255</v>
      </c>
      <c r="HY255" s="403"/>
      <c r="HZ255" s="403"/>
      <c r="IA255" s="403"/>
      <c r="IB255" s="403"/>
      <c r="IC255" s="403"/>
      <c r="ID255" s="403"/>
      <c r="IE255" s="403"/>
      <c r="IF255" s="403"/>
      <c r="IG255" s="403"/>
      <c r="IH255" s="403"/>
      <c r="II255" s="403"/>
      <c r="IJ255" s="403"/>
      <c r="IK255" s="403"/>
      <c r="IL255" s="403"/>
      <c r="IM255" s="403"/>
      <c r="IN255" s="403"/>
      <c r="IO255" s="403"/>
      <c r="IP255" s="403"/>
      <c r="IQ255" s="403" t="s">
        <v>12256</v>
      </c>
      <c r="IR255" s="403"/>
      <c r="IS255" s="403"/>
      <c r="IT255" s="403"/>
      <c r="IU255" s="403"/>
      <c r="IV255" s="403"/>
      <c r="IW255" s="403"/>
      <c r="IX255" s="403"/>
      <c r="IY255" s="403"/>
      <c r="IZ255" s="403"/>
      <c r="JA255" s="403"/>
      <c r="JB255" s="403"/>
      <c r="JC255" s="403"/>
      <c r="JD255" s="403"/>
      <c r="JE255" s="403"/>
      <c r="JF255" s="403" t="s">
        <v>10644</v>
      </c>
      <c r="JG255" s="403"/>
      <c r="JH255" s="403"/>
      <c r="JI255" s="403"/>
      <c r="JJ255" s="403"/>
      <c r="JK255" s="403"/>
      <c r="JL255" s="403"/>
      <c r="JM255" s="403"/>
      <c r="JN255" s="403"/>
      <c r="JO255" s="403"/>
      <c r="JP255" s="403"/>
      <c r="JQ255" s="403"/>
      <c r="JR255" s="403"/>
      <c r="JS255" s="403"/>
      <c r="JT255" s="403"/>
    </row>
    <row r="256" spans="1:280" s="15" customFormat="1" ht="12.75" x14ac:dyDescent="0.2">
      <c r="A256" s="150"/>
      <c r="B256" s="624"/>
      <c r="C256" s="66" t="str">
        <f t="shared" ca="1" si="606"/>
        <v>Mobile A Teams per 'team of teams'</v>
      </c>
      <c r="J256" s="150">
        <f>J288</f>
        <v>0</v>
      </c>
      <c r="K256" s="150">
        <f t="shared" ref="K256:O256" si="618">K288</f>
        <v>0</v>
      </c>
      <c r="L256" s="150">
        <f t="shared" si="618"/>
        <v>0</v>
      </c>
      <c r="M256" s="150">
        <f t="shared" si="618"/>
        <v>0</v>
      </c>
      <c r="N256" s="150">
        <f t="shared" si="618"/>
        <v>0</v>
      </c>
      <c r="O256" s="150">
        <f t="shared" si="618"/>
        <v>0</v>
      </c>
      <c r="R256" s="12" t="str">
        <f t="shared" ca="1" si="585"/>
        <v xml:space="preserve">NOT </v>
      </c>
      <c r="S256" s="2"/>
      <c r="T256" s="241"/>
      <c r="U256" s="624"/>
      <c r="V256" s="260" t="str">
        <f t="shared" ca="1" si="608"/>
        <v>Mobile A Teams per 'team of teams'</v>
      </c>
      <c r="W256" s="241">
        <f>W288</f>
        <v>0</v>
      </c>
      <c r="X256" s="241">
        <f t="shared" ref="X256:AB256" si="619">X288</f>
        <v>0</v>
      </c>
      <c r="Y256" s="241">
        <f t="shared" si="619"/>
        <v>0</v>
      </c>
      <c r="Z256" s="241">
        <f t="shared" si="619"/>
        <v>0</v>
      </c>
      <c r="AA256" s="241">
        <f t="shared" si="619"/>
        <v>0</v>
      </c>
      <c r="AB256" s="241">
        <f t="shared" si="619"/>
        <v>0</v>
      </c>
      <c r="AC256" s="241"/>
      <c r="AD256" s="241"/>
      <c r="AE256" s="2"/>
      <c r="AF256" s="241"/>
      <c r="AG256" s="624"/>
      <c r="AH256" s="260" t="str">
        <f t="shared" ca="1" si="610"/>
        <v>Mobile A Teams per 'team of teams'</v>
      </c>
      <c r="AI256" s="241">
        <f>AI288</f>
        <v>0</v>
      </c>
      <c r="AJ256" s="241">
        <f t="shared" ref="AJ256:AN256" si="620">AJ288</f>
        <v>0</v>
      </c>
      <c r="AK256" s="241">
        <f t="shared" si="620"/>
        <v>0</v>
      </c>
      <c r="AL256" s="241">
        <f t="shared" si="620"/>
        <v>0</v>
      </c>
      <c r="AM256" s="241">
        <f t="shared" si="620"/>
        <v>0</v>
      </c>
      <c r="AN256" s="241">
        <f t="shared" si="620"/>
        <v>0</v>
      </c>
      <c r="AO256" s="241"/>
      <c r="AP256" s="241"/>
      <c r="AR256" s="403"/>
      <c r="AS256" s="403"/>
      <c r="AT256" s="403"/>
      <c r="AU256" s="403" t="s">
        <v>2700</v>
      </c>
      <c r="AV256" s="403"/>
      <c r="AW256" s="403"/>
      <c r="AX256" s="403"/>
      <c r="AY256" s="403"/>
      <c r="AZ256" s="403"/>
      <c r="BA256" s="403"/>
      <c r="BB256" s="403"/>
      <c r="BC256" s="403"/>
      <c r="BD256" s="403"/>
      <c r="BE256" s="403"/>
      <c r="BF256" s="403"/>
      <c r="BG256" s="403"/>
      <c r="BH256" s="403"/>
      <c r="BI256" s="403"/>
      <c r="BJ256" s="403" t="s">
        <v>2696</v>
      </c>
      <c r="BK256" s="403"/>
      <c r="BL256" s="403"/>
      <c r="BM256" s="403"/>
      <c r="BN256" s="403"/>
      <c r="BO256" s="403"/>
      <c r="BP256" s="403"/>
      <c r="BQ256" s="403"/>
      <c r="BR256" s="403"/>
      <c r="BS256" s="403"/>
      <c r="BT256" s="403"/>
      <c r="BU256" s="403"/>
      <c r="BV256" s="403"/>
      <c r="BW256" s="403"/>
      <c r="BX256" s="403"/>
      <c r="BY256" s="403"/>
      <c r="BZ256" s="403"/>
      <c r="CA256" s="403"/>
      <c r="CB256" s="403"/>
      <c r="CC256" s="403" t="s">
        <v>12257</v>
      </c>
      <c r="CD256" s="403"/>
      <c r="CE256" s="403"/>
      <c r="CF256" s="403"/>
      <c r="CG256" s="403"/>
      <c r="CH256" s="403"/>
      <c r="CI256" s="403"/>
      <c r="CJ256" s="403"/>
      <c r="CK256" s="403"/>
      <c r="CL256" s="403"/>
      <c r="CM256" s="403"/>
      <c r="CN256" s="403"/>
      <c r="CO256" s="403"/>
      <c r="CP256" s="403"/>
      <c r="CQ256" s="403"/>
      <c r="CR256" s="403" t="s">
        <v>12258</v>
      </c>
      <c r="CS256" s="403"/>
      <c r="CT256" s="403"/>
      <c r="CU256" s="403"/>
      <c r="CV256" s="403"/>
      <c r="CW256" s="403"/>
      <c r="CX256" s="403"/>
      <c r="CY256" s="403"/>
      <c r="CZ256" s="403"/>
      <c r="DA256" s="403"/>
      <c r="DB256" s="403"/>
      <c r="DC256" s="403"/>
      <c r="DD256" s="403"/>
      <c r="DE256" s="403"/>
      <c r="DF256" s="403"/>
      <c r="DG256" s="403"/>
      <c r="DH256" s="403"/>
      <c r="DI256" s="403"/>
      <c r="DJ256" s="403"/>
      <c r="DK256" s="403" t="s">
        <v>12259</v>
      </c>
      <c r="DL256" s="403"/>
      <c r="DM256" s="403"/>
      <c r="DN256" s="403"/>
      <c r="DO256" s="403"/>
      <c r="DP256" s="403"/>
      <c r="DQ256" s="403"/>
      <c r="DR256" s="403"/>
      <c r="DS256" s="403"/>
      <c r="DT256" s="403"/>
      <c r="DU256" s="403"/>
      <c r="DV256" s="403"/>
      <c r="DW256" s="403"/>
      <c r="DX256" s="403"/>
      <c r="DY256" s="403"/>
      <c r="DZ256" s="403" t="s">
        <v>12260</v>
      </c>
      <c r="EA256" s="403"/>
      <c r="EB256" s="403"/>
      <c r="EC256" s="403"/>
      <c r="ED256" s="403"/>
      <c r="EE256" s="403"/>
      <c r="EF256" s="403"/>
      <c r="EG256" s="403"/>
      <c r="EH256" s="403"/>
      <c r="EI256" s="403"/>
      <c r="EJ256" s="403"/>
      <c r="EK256" s="403"/>
      <c r="EL256" s="403"/>
      <c r="EM256" s="403"/>
      <c r="EN256" s="403"/>
      <c r="EO256" s="403"/>
      <c r="EP256" s="403"/>
      <c r="EQ256" s="403"/>
      <c r="ER256" s="403"/>
      <c r="ES256" s="403" t="s">
        <v>12261</v>
      </c>
      <c r="ET256" s="403"/>
      <c r="EU256" s="403"/>
      <c r="EV256" s="403"/>
      <c r="EW256" s="403"/>
      <c r="EX256" s="403"/>
      <c r="EY256" s="403"/>
      <c r="EZ256" s="403"/>
      <c r="FA256" s="403"/>
      <c r="FB256" s="403"/>
      <c r="FC256" s="403"/>
      <c r="FD256" s="403"/>
      <c r="FE256" s="403"/>
      <c r="FF256" s="403"/>
      <c r="FG256" s="403"/>
      <c r="FH256" s="403" t="s">
        <v>2489</v>
      </c>
      <c r="FI256" s="403"/>
      <c r="FJ256" s="403"/>
      <c r="FK256" s="403"/>
      <c r="FL256" s="403"/>
      <c r="FM256" s="403"/>
      <c r="FN256" s="403"/>
      <c r="FO256" s="403"/>
      <c r="FP256" s="403"/>
      <c r="FQ256" s="403"/>
      <c r="FR256" s="403"/>
      <c r="FS256" s="403"/>
      <c r="FT256" s="403"/>
      <c r="FU256" s="403"/>
      <c r="FV256" s="403"/>
      <c r="FW256" s="403"/>
      <c r="FX256" s="403"/>
      <c r="FY256" s="403"/>
      <c r="FZ256" s="403"/>
      <c r="GA256" s="403" t="s">
        <v>12262</v>
      </c>
      <c r="GB256" s="403"/>
      <c r="GC256" s="403"/>
      <c r="GD256" s="403"/>
      <c r="GE256" s="403"/>
      <c r="GF256" s="403"/>
      <c r="GG256" s="403"/>
      <c r="GH256" s="403"/>
      <c r="GI256" s="403"/>
      <c r="GJ256" s="403"/>
      <c r="GK256" s="403"/>
      <c r="GL256" s="403"/>
      <c r="GM256" s="403"/>
      <c r="GN256" s="403"/>
      <c r="GO256" s="403"/>
      <c r="GP256" s="403" t="s">
        <v>12263</v>
      </c>
      <c r="GQ256" s="403"/>
      <c r="GR256" s="403"/>
      <c r="GS256" s="403"/>
      <c r="GT256" s="403"/>
      <c r="GU256" s="403"/>
      <c r="GV256" s="403"/>
      <c r="GW256" s="403"/>
      <c r="GX256" s="403"/>
      <c r="GY256" s="403"/>
      <c r="GZ256" s="403"/>
      <c r="HA256" s="403"/>
      <c r="HB256" s="403"/>
      <c r="HC256" s="403"/>
      <c r="HD256" s="403"/>
      <c r="HE256" s="403"/>
      <c r="HF256" s="403"/>
      <c r="HG256" s="403"/>
      <c r="HH256" s="403"/>
      <c r="HI256" s="403" t="s">
        <v>12264</v>
      </c>
      <c r="HJ256" s="403"/>
      <c r="HK256" s="403"/>
      <c r="HL256" s="403"/>
      <c r="HM256" s="403"/>
      <c r="HN256" s="403"/>
      <c r="HO256" s="403"/>
      <c r="HP256" s="403"/>
      <c r="HQ256" s="403"/>
      <c r="HR256" s="403"/>
      <c r="HS256" s="403"/>
      <c r="HT256" s="403"/>
      <c r="HU256" s="403"/>
      <c r="HV256" s="403"/>
      <c r="HW256" s="403"/>
      <c r="HX256" s="403" t="s">
        <v>4046</v>
      </c>
      <c r="HY256" s="403"/>
      <c r="HZ256" s="403"/>
      <c r="IA256" s="403"/>
      <c r="IB256" s="403"/>
      <c r="IC256" s="403"/>
      <c r="ID256" s="403"/>
      <c r="IE256" s="403"/>
      <c r="IF256" s="403"/>
      <c r="IG256" s="403"/>
      <c r="IH256" s="403"/>
      <c r="II256" s="403"/>
      <c r="IJ256" s="403"/>
      <c r="IK256" s="403"/>
      <c r="IL256" s="403"/>
      <c r="IM256" s="403"/>
      <c r="IN256" s="403"/>
      <c r="IO256" s="403"/>
      <c r="IP256" s="403"/>
      <c r="IQ256" s="403" t="s">
        <v>12265</v>
      </c>
      <c r="IR256" s="403"/>
      <c r="IS256" s="403"/>
      <c r="IT256" s="403"/>
      <c r="IU256" s="403"/>
      <c r="IV256" s="403"/>
      <c r="IW256" s="403"/>
      <c r="IX256" s="403"/>
      <c r="IY256" s="403"/>
      <c r="IZ256" s="403"/>
      <c r="JA256" s="403"/>
      <c r="JB256" s="403"/>
      <c r="JC256" s="403"/>
      <c r="JD256" s="403"/>
      <c r="JE256" s="403"/>
      <c r="JF256" s="403" t="s">
        <v>2696</v>
      </c>
      <c r="JG256" s="403"/>
      <c r="JH256" s="403"/>
      <c r="JI256" s="403"/>
      <c r="JJ256" s="403"/>
      <c r="JK256" s="403"/>
      <c r="JL256" s="403"/>
      <c r="JM256" s="403"/>
      <c r="JN256" s="403"/>
      <c r="JO256" s="403"/>
      <c r="JP256" s="403"/>
      <c r="JQ256" s="403"/>
      <c r="JR256" s="403"/>
      <c r="JS256" s="403"/>
      <c r="JT256" s="403"/>
    </row>
    <row r="257" spans="1:280" s="15" customFormat="1" ht="12.75" x14ac:dyDescent="0.2">
      <c r="A257" s="150"/>
      <c r="B257" s="624"/>
      <c r="C257" s="66" t="str">
        <f t="shared" ca="1" si="606"/>
        <v>Mobile B Teams per 'team of teams'</v>
      </c>
      <c r="J257" s="150">
        <f>ROUNDUP(J289/J253,0)</f>
        <v>0</v>
      </c>
      <c r="K257" s="150">
        <f t="shared" ref="K257:O257" si="621">ROUNDUP(K289/K253,0)</f>
        <v>0</v>
      </c>
      <c r="L257" s="150">
        <f t="shared" si="621"/>
        <v>0</v>
      </c>
      <c r="M257" s="150">
        <f t="shared" si="621"/>
        <v>0</v>
      </c>
      <c r="N257" s="150">
        <f t="shared" si="621"/>
        <v>0</v>
      </c>
      <c r="O257" s="150">
        <f t="shared" si="621"/>
        <v>0</v>
      </c>
      <c r="R257" s="12" t="str">
        <f t="shared" ca="1" si="585"/>
        <v>Optimize these</v>
      </c>
      <c r="S257" s="2"/>
      <c r="T257" s="241"/>
      <c r="U257" s="624"/>
      <c r="V257" s="260" t="str">
        <f t="shared" ca="1" si="608"/>
        <v>Mobile B Teams per 'team of teams'</v>
      </c>
      <c r="W257" s="241">
        <f>ROUNDUP(W289/W253,0)</f>
        <v>0</v>
      </c>
      <c r="X257" s="241">
        <f t="shared" ref="X257:AB257" si="622">ROUNDUP(X289/X253,0)</f>
        <v>0</v>
      </c>
      <c r="Y257" s="241">
        <f t="shared" si="622"/>
        <v>0</v>
      </c>
      <c r="Z257" s="241">
        <f t="shared" si="622"/>
        <v>0</v>
      </c>
      <c r="AA257" s="241">
        <f t="shared" si="622"/>
        <v>0</v>
      </c>
      <c r="AB257" s="241">
        <f t="shared" si="622"/>
        <v>0</v>
      </c>
      <c r="AC257" s="241"/>
      <c r="AD257" s="241"/>
      <c r="AE257" s="2"/>
      <c r="AF257" s="241"/>
      <c r="AG257" s="624"/>
      <c r="AH257" s="260" t="str">
        <f t="shared" ca="1" si="610"/>
        <v>Mobile B Teams per 'team of teams'</v>
      </c>
      <c r="AI257" s="241">
        <f>ROUNDUP(AI289/AI253,0)</f>
        <v>0</v>
      </c>
      <c r="AJ257" s="241">
        <f t="shared" ref="AJ257:AN257" si="623">ROUNDUP(AJ289/AJ253,0)</f>
        <v>0</v>
      </c>
      <c r="AK257" s="241">
        <f t="shared" si="623"/>
        <v>0</v>
      </c>
      <c r="AL257" s="241">
        <f t="shared" si="623"/>
        <v>0</v>
      </c>
      <c r="AM257" s="241">
        <f t="shared" si="623"/>
        <v>0</v>
      </c>
      <c r="AN257" s="241">
        <f t="shared" si="623"/>
        <v>0</v>
      </c>
      <c r="AO257" s="241"/>
      <c r="AP257" s="241"/>
      <c r="AR257" s="403"/>
      <c r="AS257" s="403"/>
      <c r="AT257" s="403"/>
      <c r="AU257" s="403" t="s">
        <v>2704</v>
      </c>
      <c r="AV257" s="403"/>
      <c r="AW257" s="403"/>
      <c r="AX257" s="403"/>
      <c r="AY257" s="403"/>
      <c r="AZ257" s="403"/>
      <c r="BA257" s="403"/>
      <c r="BB257" s="403"/>
      <c r="BC257" s="403"/>
      <c r="BD257" s="403"/>
      <c r="BE257" s="403"/>
      <c r="BF257" s="403"/>
      <c r="BG257" s="403"/>
      <c r="BH257" s="403"/>
      <c r="BI257" s="403"/>
      <c r="BJ257" s="403" t="s">
        <v>1673</v>
      </c>
      <c r="BK257" s="403"/>
      <c r="BL257" s="403"/>
      <c r="BM257" s="403"/>
      <c r="BN257" s="403"/>
      <c r="BO257" s="403"/>
      <c r="BP257" s="403"/>
      <c r="BQ257" s="403"/>
      <c r="BR257" s="403"/>
      <c r="BS257" s="403"/>
      <c r="BT257" s="403"/>
      <c r="BU257" s="403"/>
      <c r="BV257" s="403"/>
      <c r="BW257" s="403"/>
      <c r="BX257" s="403"/>
      <c r="BY257" s="403"/>
      <c r="BZ257" s="403"/>
      <c r="CA257" s="403"/>
      <c r="CB257" s="403"/>
      <c r="CC257" s="403" t="s">
        <v>12266</v>
      </c>
      <c r="CD257" s="403"/>
      <c r="CE257" s="403"/>
      <c r="CF257" s="403"/>
      <c r="CG257" s="403"/>
      <c r="CH257" s="403"/>
      <c r="CI257" s="403"/>
      <c r="CJ257" s="403"/>
      <c r="CK257" s="403"/>
      <c r="CL257" s="403"/>
      <c r="CM257" s="403"/>
      <c r="CN257" s="403"/>
      <c r="CO257" s="403"/>
      <c r="CP257" s="403"/>
      <c r="CQ257" s="403"/>
      <c r="CR257" s="403" t="s">
        <v>12174</v>
      </c>
      <c r="CS257" s="403"/>
      <c r="CT257" s="403"/>
      <c r="CU257" s="403"/>
      <c r="CV257" s="403"/>
      <c r="CW257" s="403"/>
      <c r="CX257" s="403"/>
      <c r="CY257" s="403"/>
      <c r="CZ257" s="403"/>
      <c r="DA257" s="403"/>
      <c r="DB257" s="403"/>
      <c r="DC257" s="403"/>
      <c r="DD257" s="403"/>
      <c r="DE257" s="403"/>
      <c r="DF257" s="403"/>
      <c r="DG257" s="403"/>
      <c r="DH257" s="403"/>
      <c r="DI257" s="403"/>
      <c r="DJ257" s="403"/>
      <c r="DK257" s="403" t="s">
        <v>12267</v>
      </c>
      <c r="DL257" s="403"/>
      <c r="DM257" s="403"/>
      <c r="DN257" s="403"/>
      <c r="DO257" s="403"/>
      <c r="DP257" s="403"/>
      <c r="DQ257" s="403"/>
      <c r="DR257" s="403"/>
      <c r="DS257" s="403"/>
      <c r="DT257" s="403"/>
      <c r="DU257" s="403"/>
      <c r="DV257" s="403"/>
      <c r="DW257" s="403"/>
      <c r="DX257" s="403"/>
      <c r="DY257" s="403"/>
      <c r="DZ257" s="403" t="s">
        <v>12175</v>
      </c>
      <c r="EA257" s="403"/>
      <c r="EB257" s="403"/>
      <c r="EC257" s="403"/>
      <c r="ED257" s="403"/>
      <c r="EE257" s="403"/>
      <c r="EF257" s="403"/>
      <c r="EG257" s="403"/>
      <c r="EH257" s="403"/>
      <c r="EI257" s="403"/>
      <c r="EJ257" s="403"/>
      <c r="EK257" s="403"/>
      <c r="EL257" s="403"/>
      <c r="EM257" s="403"/>
      <c r="EN257" s="403"/>
      <c r="EO257" s="403"/>
      <c r="EP257" s="403"/>
      <c r="EQ257" s="403"/>
      <c r="ER257" s="403"/>
      <c r="ES257" s="403" t="s">
        <v>12268</v>
      </c>
      <c r="ET257" s="403"/>
      <c r="EU257" s="403"/>
      <c r="EV257" s="403"/>
      <c r="EW257" s="403"/>
      <c r="EX257" s="403"/>
      <c r="EY257" s="403"/>
      <c r="EZ257" s="403"/>
      <c r="FA257" s="403"/>
      <c r="FB257" s="403"/>
      <c r="FC257" s="403"/>
      <c r="FD257" s="403"/>
      <c r="FE257" s="403"/>
      <c r="FF257" s="403"/>
      <c r="FG257" s="403"/>
      <c r="FH257" s="403" t="s">
        <v>12176</v>
      </c>
      <c r="FI257" s="403"/>
      <c r="FJ257" s="403"/>
      <c r="FK257" s="403"/>
      <c r="FL257" s="403"/>
      <c r="FM257" s="403"/>
      <c r="FN257" s="403"/>
      <c r="FO257" s="403"/>
      <c r="FP257" s="403"/>
      <c r="FQ257" s="403"/>
      <c r="FR257" s="403"/>
      <c r="FS257" s="403"/>
      <c r="FT257" s="403"/>
      <c r="FU257" s="403"/>
      <c r="FV257" s="403"/>
      <c r="FW257" s="403"/>
      <c r="FX257" s="403"/>
      <c r="FY257" s="403"/>
      <c r="FZ257" s="403"/>
      <c r="GA257" s="403" t="s">
        <v>12269</v>
      </c>
      <c r="GB257" s="403"/>
      <c r="GC257" s="403"/>
      <c r="GD257" s="403"/>
      <c r="GE257" s="403"/>
      <c r="GF257" s="403"/>
      <c r="GG257" s="403"/>
      <c r="GH257" s="403"/>
      <c r="GI257" s="403"/>
      <c r="GJ257" s="403"/>
      <c r="GK257" s="403"/>
      <c r="GL257" s="403"/>
      <c r="GM257" s="403"/>
      <c r="GN257" s="403"/>
      <c r="GO257" s="403"/>
      <c r="GP257" s="403" t="s">
        <v>12177</v>
      </c>
      <c r="GQ257" s="403"/>
      <c r="GR257" s="403"/>
      <c r="GS257" s="403"/>
      <c r="GT257" s="403"/>
      <c r="GU257" s="403"/>
      <c r="GV257" s="403"/>
      <c r="GW257" s="403"/>
      <c r="GX257" s="403"/>
      <c r="GY257" s="403"/>
      <c r="GZ257" s="403"/>
      <c r="HA257" s="403"/>
      <c r="HB257" s="403"/>
      <c r="HC257" s="403"/>
      <c r="HD257" s="403"/>
      <c r="HE257" s="403"/>
      <c r="HF257" s="403"/>
      <c r="HG257" s="403"/>
      <c r="HH257" s="403"/>
      <c r="HI257" s="403" t="s">
        <v>12270</v>
      </c>
      <c r="HJ257" s="403"/>
      <c r="HK257" s="403"/>
      <c r="HL257" s="403"/>
      <c r="HM257" s="403"/>
      <c r="HN257" s="403"/>
      <c r="HO257" s="403"/>
      <c r="HP257" s="403"/>
      <c r="HQ257" s="403"/>
      <c r="HR257" s="403"/>
      <c r="HS257" s="403"/>
      <c r="HT257" s="403"/>
      <c r="HU257" s="403"/>
      <c r="HV257" s="403"/>
      <c r="HW257" s="403"/>
      <c r="HX257" s="403" t="s">
        <v>12178</v>
      </c>
      <c r="HY257" s="403"/>
      <c r="HZ257" s="403"/>
      <c r="IA257" s="403"/>
      <c r="IB257" s="403"/>
      <c r="IC257" s="403"/>
      <c r="ID257" s="403"/>
      <c r="IE257" s="403"/>
      <c r="IF257" s="403"/>
      <c r="IG257" s="403"/>
      <c r="IH257" s="403"/>
      <c r="II257" s="403"/>
      <c r="IJ257" s="403"/>
      <c r="IK257" s="403"/>
      <c r="IL257" s="403"/>
      <c r="IM257" s="403"/>
      <c r="IN257" s="403"/>
      <c r="IO257" s="403"/>
      <c r="IP257" s="403"/>
      <c r="IQ257" s="403" t="s">
        <v>12271</v>
      </c>
      <c r="IR257" s="403"/>
      <c r="IS257" s="403"/>
      <c r="IT257" s="403"/>
      <c r="IU257" s="403"/>
      <c r="IV257" s="403"/>
      <c r="IW257" s="403"/>
      <c r="IX257" s="403"/>
      <c r="IY257" s="403"/>
      <c r="IZ257" s="403"/>
      <c r="JA257" s="403"/>
      <c r="JB257" s="403"/>
      <c r="JC257" s="403"/>
      <c r="JD257" s="403"/>
      <c r="JE257" s="403"/>
      <c r="JF257" s="403" t="s">
        <v>12179</v>
      </c>
      <c r="JG257" s="403"/>
      <c r="JH257" s="403"/>
      <c r="JI257" s="403"/>
      <c r="JJ257" s="403"/>
      <c r="JK257" s="403"/>
      <c r="JL257" s="403"/>
      <c r="JM257" s="403"/>
      <c r="JN257" s="403"/>
      <c r="JO257" s="403"/>
      <c r="JP257" s="403"/>
      <c r="JQ257" s="403"/>
      <c r="JR257" s="403"/>
      <c r="JS257" s="403"/>
      <c r="JT257" s="403"/>
    </row>
    <row r="258" spans="1:280" s="15" customFormat="1" ht="12.75" x14ac:dyDescent="0.2">
      <c r="A258" s="150"/>
      <c r="B258" s="624"/>
      <c r="C258" s="23" t="str">
        <f t="shared" ca="1" si="606"/>
        <v>Vaccinators for this DM</v>
      </c>
      <c r="J258" s="26" t="e">
        <f t="shared" ref="J258:O258" si="624">IF(J242=1,(J251*J254)+(J252*J256*J254)+(J253*J257*J254),0)</f>
        <v>#N/A</v>
      </c>
      <c r="K258" s="26" t="e">
        <f t="shared" si="624"/>
        <v>#N/A</v>
      </c>
      <c r="L258" s="26" t="e">
        <f t="shared" si="624"/>
        <v>#N/A</v>
      </c>
      <c r="M258" s="26" t="e">
        <f t="shared" si="624"/>
        <v>#N/A</v>
      </c>
      <c r="N258" s="26" t="e">
        <f t="shared" si="624"/>
        <v>#N/A</v>
      </c>
      <c r="O258" s="26" t="e">
        <f t="shared" si="624"/>
        <v>#N/A</v>
      </c>
      <c r="R258" s="12" t="str">
        <f t="shared" ca="1" si="585"/>
        <v/>
      </c>
      <c r="S258" s="2"/>
      <c r="T258" s="241"/>
      <c r="U258" s="624"/>
      <c r="V258" s="72" t="str">
        <f t="shared" ca="1" si="608"/>
        <v>Vaccinators for this DM</v>
      </c>
      <c r="W258" s="26" t="e">
        <f t="shared" ref="W258:AB258" si="625">IF(W242=1,(W251*W254)+(W252*W256*W254)+(W253*W257*W254),0)</f>
        <v>#N/A</v>
      </c>
      <c r="X258" s="26" t="e">
        <f t="shared" si="625"/>
        <v>#N/A</v>
      </c>
      <c r="Y258" s="26" t="e">
        <f t="shared" si="625"/>
        <v>#N/A</v>
      </c>
      <c r="Z258" s="26" t="e">
        <f t="shared" si="625"/>
        <v>#N/A</v>
      </c>
      <c r="AA258" s="26" t="e">
        <f t="shared" si="625"/>
        <v>#N/A</v>
      </c>
      <c r="AB258" s="26" t="e">
        <f t="shared" si="625"/>
        <v>#N/A</v>
      </c>
      <c r="AC258" s="241"/>
      <c r="AD258" s="241"/>
      <c r="AE258" s="2"/>
      <c r="AF258" s="241"/>
      <c r="AG258" s="624"/>
      <c r="AH258" s="72" t="str">
        <f t="shared" ca="1" si="610"/>
        <v>Vaccinators for this DM</v>
      </c>
      <c r="AI258" s="26" t="e">
        <f t="shared" ref="AI258:AN258" si="626">IF(AI242=1,(AI251*AI254)+(AI252*AI256*AI254)+(AI253*AI257*AI254),0)</f>
        <v>#N/A</v>
      </c>
      <c r="AJ258" s="26" t="e">
        <f t="shared" si="626"/>
        <v>#N/A</v>
      </c>
      <c r="AK258" s="26" t="e">
        <f t="shared" si="626"/>
        <v>#N/A</v>
      </c>
      <c r="AL258" s="26" t="e">
        <f t="shared" si="626"/>
        <v>#N/A</v>
      </c>
      <c r="AM258" s="26" t="e">
        <f t="shared" si="626"/>
        <v>#N/A</v>
      </c>
      <c r="AN258" s="26" t="e">
        <f t="shared" si="626"/>
        <v>#N/A</v>
      </c>
      <c r="AO258" s="241"/>
      <c r="AP258" s="241"/>
      <c r="AR258" s="403"/>
      <c r="AS258" s="403"/>
      <c r="AT258" s="403"/>
      <c r="AU258" s="403" t="s">
        <v>1683</v>
      </c>
      <c r="AV258" s="403"/>
      <c r="AW258" s="403"/>
      <c r="AX258" s="403"/>
      <c r="AY258" s="403"/>
      <c r="AZ258" s="403"/>
      <c r="BA258" s="403"/>
      <c r="BB258" s="403"/>
      <c r="BC258" s="403"/>
      <c r="BD258" s="403"/>
      <c r="BE258" s="403"/>
      <c r="BF258" s="403"/>
      <c r="BG258" s="403"/>
      <c r="BH258" s="403"/>
      <c r="BI258" s="403"/>
      <c r="BJ258" s="403"/>
      <c r="BK258" s="403"/>
      <c r="BL258" s="403"/>
      <c r="BM258" s="403"/>
      <c r="BN258" s="403"/>
      <c r="BO258" s="403"/>
      <c r="BP258" s="403"/>
      <c r="BQ258" s="403"/>
      <c r="BR258" s="403"/>
      <c r="BS258" s="403"/>
      <c r="BT258" s="403"/>
      <c r="BU258" s="403"/>
      <c r="BV258" s="403"/>
      <c r="BW258" s="403"/>
      <c r="BX258" s="403"/>
      <c r="BY258" s="403"/>
      <c r="BZ258" s="403"/>
      <c r="CA258" s="403"/>
      <c r="CB258" s="403"/>
      <c r="CC258" s="403" t="s">
        <v>11921</v>
      </c>
      <c r="CD258" s="403"/>
      <c r="CE258" s="403"/>
      <c r="CF258" s="403"/>
      <c r="CG258" s="403"/>
      <c r="CH258" s="403"/>
      <c r="CI258" s="403"/>
      <c r="CJ258" s="403"/>
      <c r="CK258" s="403"/>
      <c r="CL258" s="403"/>
      <c r="CM258" s="403"/>
      <c r="CN258" s="403"/>
      <c r="CO258" s="403"/>
      <c r="CP258" s="403"/>
      <c r="CQ258" s="403"/>
      <c r="CR258" s="403"/>
      <c r="CS258" s="403"/>
      <c r="CT258" s="403"/>
      <c r="CU258" s="403"/>
      <c r="CV258" s="403"/>
      <c r="CW258" s="403"/>
      <c r="CX258" s="403"/>
      <c r="CY258" s="403"/>
      <c r="CZ258" s="403"/>
      <c r="DA258" s="403"/>
      <c r="DB258" s="403"/>
      <c r="DC258" s="403"/>
      <c r="DD258" s="403"/>
      <c r="DE258" s="403"/>
      <c r="DF258" s="403"/>
      <c r="DG258" s="403"/>
      <c r="DH258" s="403"/>
      <c r="DI258" s="403"/>
      <c r="DJ258" s="403"/>
      <c r="DK258" s="403" t="s">
        <v>12180</v>
      </c>
      <c r="DL258" s="403"/>
      <c r="DM258" s="403"/>
      <c r="DN258" s="403"/>
      <c r="DO258" s="403"/>
      <c r="DP258" s="403"/>
      <c r="DQ258" s="403"/>
      <c r="DR258" s="403"/>
      <c r="DS258" s="403"/>
      <c r="DT258" s="403"/>
      <c r="DU258" s="403"/>
      <c r="DV258" s="403"/>
      <c r="DW258" s="403"/>
      <c r="DX258" s="403"/>
      <c r="DY258" s="403"/>
      <c r="DZ258" s="403"/>
      <c r="EA258" s="403"/>
      <c r="EB258" s="403"/>
      <c r="EC258" s="403"/>
      <c r="ED258" s="403"/>
      <c r="EE258" s="403"/>
      <c r="EF258" s="403"/>
      <c r="EG258" s="403"/>
      <c r="EH258" s="403"/>
      <c r="EI258" s="403"/>
      <c r="EJ258" s="403"/>
      <c r="EK258" s="403"/>
      <c r="EL258" s="403"/>
      <c r="EM258" s="403"/>
      <c r="EN258" s="403"/>
      <c r="EO258" s="403"/>
      <c r="EP258" s="403"/>
      <c r="EQ258" s="403"/>
      <c r="ER258" s="403"/>
      <c r="ES258" s="403" t="s">
        <v>11923</v>
      </c>
      <c r="ET258" s="403"/>
      <c r="EU258" s="403"/>
      <c r="EV258" s="403"/>
      <c r="EW258" s="403"/>
      <c r="EX258" s="403"/>
      <c r="EY258" s="403"/>
      <c r="EZ258" s="403"/>
      <c r="FA258" s="403"/>
      <c r="FB258" s="403"/>
      <c r="FC258" s="403"/>
      <c r="FD258" s="403"/>
      <c r="FE258" s="403"/>
      <c r="FF258" s="403"/>
      <c r="FG258" s="403"/>
      <c r="FH258" s="403"/>
      <c r="FI258" s="403"/>
      <c r="FJ258" s="403"/>
      <c r="FK258" s="403"/>
      <c r="FL258" s="403"/>
      <c r="FM258" s="403"/>
      <c r="FN258" s="403"/>
      <c r="FO258" s="403"/>
      <c r="FP258" s="403"/>
      <c r="FQ258" s="403"/>
      <c r="FR258" s="403"/>
      <c r="FS258" s="403"/>
      <c r="FT258" s="403"/>
      <c r="FU258" s="403"/>
      <c r="FV258" s="403"/>
      <c r="FW258" s="403"/>
      <c r="FX258" s="403"/>
      <c r="FY258" s="403"/>
      <c r="FZ258" s="403"/>
      <c r="GA258" s="403" t="s">
        <v>11924</v>
      </c>
      <c r="GB258" s="403"/>
      <c r="GC258" s="403"/>
      <c r="GD258" s="403"/>
      <c r="GE258" s="403"/>
      <c r="GF258" s="403"/>
      <c r="GG258" s="403"/>
      <c r="GH258" s="403"/>
      <c r="GI258" s="403"/>
      <c r="GJ258" s="403"/>
      <c r="GK258" s="403"/>
      <c r="GL258" s="403"/>
      <c r="GM258" s="403"/>
      <c r="GN258" s="403"/>
      <c r="GO258" s="403"/>
      <c r="GP258" s="403"/>
      <c r="GQ258" s="403"/>
      <c r="GR258" s="403"/>
      <c r="GS258" s="403"/>
      <c r="GT258" s="403"/>
      <c r="GU258" s="403"/>
      <c r="GV258" s="403"/>
      <c r="GW258" s="403"/>
      <c r="GX258" s="403"/>
      <c r="GY258" s="403"/>
      <c r="GZ258" s="403"/>
      <c r="HA258" s="403"/>
      <c r="HB258" s="403"/>
      <c r="HC258" s="403"/>
      <c r="HD258" s="403"/>
      <c r="HE258" s="403"/>
      <c r="HF258" s="403"/>
      <c r="HG258" s="403"/>
      <c r="HH258" s="403"/>
      <c r="HI258" s="403" t="s">
        <v>11925</v>
      </c>
      <c r="HJ258" s="403"/>
      <c r="HK258" s="403"/>
      <c r="HL258" s="403"/>
      <c r="HM258" s="403"/>
      <c r="HN258" s="403"/>
      <c r="HO258" s="403"/>
      <c r="HP258" s="403"/>
      <c r="HQ258" s="403"/>
      <c r="HR258" s="403"/>
      <c r="HS258" s="403"/>
      <c r="HT258" s="403"/>
      <c r="HU258" s="403"/>
      <c r="HV258" s="403"/>
      <c r="HW258" s="403"/>
      <c r="HX258" s="403"/>
      <c r="HY258" s="403"/>
      <c r="HZ258" s="403"/>
      <c r="IA258" s="403"/>
      <c r="IB258" s="403"/>
      <c r="IC258" s="403"/>
      <c r="ID258" s="403"/>
      <c r="IE258" s="403"/>
      <c r="IF258" s="403"/>
      <c r="IG258" s="403"/>
      <c r="IH258" s="403"/>
      <c r="II258" s="403"/>
      <c r="IJ258" s="403"/>
      <c r="IK258" s="403"/>
      <c r="IL258" s="403"/>
      <c r="IM258" s="403"/>
      <c r="IN258" s="403"/>
      <c r="IO258" s="403"/>
      <c r="IP258" s="403"/>
      <c r="IQ258" s="403" t="s">
        <v>11926</v>
      </c>
      <c r="IR258" s="403"/>
      <c r="IS258" s="403"/>
      <c r="IT258" s="403"/>
      <c r="IU258" s="403"/>
      <c r="IV258" s="403"/>
      <c r="IW258" s="403"/>
      <c r="IX258" s="403"/>
      <c r="IY258" s="403"/>
      <c r="IZ258" s="403"/>
      <c r="JA258" s="403"/>
      <c r="JB258" s="403"/>
      <c r="JC258" s="403"/>
      <c r="JD258" s="403"/>
      <c r="JE258" s="403"/>
      <c r="JF258" s="403"/>
      <c r="JG258" s="403"/>
      <c r="JH258" s="403"/>
      <c r="JI258" s="403"/>
      <c r="JJ258" s="403"/>
      <c r="JK258" s="403"/>
      <c r="JL258" s="403"/>
      <c r="JM258" s="403"/>
      <c r="JN258" s="403"/>
      <c r="JO258" s="403"/>
      <c r="JP258" s="403"/>
      <c r="JQ258" s="403"/>
      <c r="JR258" s="403"/>
      <c r="JS258" s="403"/>
      <c r="JT258" s="403"/>
    </row>
    <row r="259" spans="1:280" s="15" customFormat="1" ht="12.75" x14ac:dyDescent="0.2">
      <c r="A259" s="150"/>
      <c r="B259" s="624"/>
      <c r="R259" s="12" t="str">
        <f t="shared" ca="1" si="585"/>
        <v/>
      </c>
      <c r="S259" s="2"/>
      <c r="T259" s="241"/>
      <c r="U259" s="624"/>
      <c r="V259" s="2"/>
      <c r="W259" s="241"/>
      <c r="X259" s="241"/>
      <c r="Y259" s="241"/>
      <c r="Z259" s="241"/>
      <c r="AA259" s="241"/>
      <c r="AB259" s="241"/>
      <c r="AC259" s="241"/>
      <c r="AD259" s="241"/>
      <c r="AE259" s="2"/>
      <c r="AF259" s="241"/>
      <c r="AG259" s="624"/>
      <c r="AH259" s="2"/>
      <c r="AI259" s="241"/>
      <c r="AJ259" s="241"/>
      <c r="AK259" s="241"/>
      <c r="AL259" s="241"/>
      <c r="AM259" s="241"/>
      <c r="AN259" s="241"/>
      <c r="AO259" s="241"/>
      <c r="AP259" s="241"/>
      <c r="AR259" s="403"/>
      <c r="AS259" s="403"/>
      <c r="AT259" s="403"/>
      <c r="AU259" s="403"/>
      <c r="AV259" s="403"/>
      <c r="AW259" s="403"/>
      <c r="AX259" s="403"/>
      <c r="AY259" s="403"/>
      <c r="AZ259" s="403"/>
      <c r="BA259" s="403"/>
      <c r="BB259" s="403"/>
      <c r="BC259" s="403"/>
      <c r="BD259" s="403"/>
      <c r="BE259" s="403"/>
      <c r="BF259" s="403"/>
      <c r="BG259" s="403"/>
      <c r="BH259" s="403"/>
      <c r="BI259" s="403"/>
      <c r="BJ259" s="403"/>
      <c r="BK259" s="403"/>
      <c r="BL259" s="403"/>
      <c r="BM259" s="403"/>
      <c r="BN259" s="403"/>
      <c r="BO259" s="403"/>
      <c r="BP259" s="403"/>
      <c r="BQ259" s="403"/>
      <c r="BR259" s="403"/>
      <c r="BS259" s="403"/>
      <c r="BT259" s="403"/>
      <c r="BU259" s="403"/>
      <c r="BV259" s="403"/>
      <c r="BW259" s="403"/>
      <c r="BX259" s="403"/>
      <c r="BY259" s="403"/>
      <c r="BZ259" s="403"/>
      <c r="CA259" s="403"/>
      <c r="CB259" s="403"/>
      <c r="CC259" s="403"/>
      <c r="CD259" s="403"/>
      <c r="CE259" s="403"/>
      <c r="CF259" s="403"/>
      <c r="CG259" s="403"/>
      <c r="CH259" s="403"/>
      <c r="CI259" s="403"/>
      <c r="CJ259" s="403"/>
      <c r="CK259" s="403"/>
      <c r="CL259" s="403"/>
      <c r="CM259" s="403"/>
      <c r="CN259" s="403"/>
      <c r="CO259" s="403"/>
      <c r="CP259" s="403"/>
      <c r="CQ259" s="403"/>
      <c r="CR259" s="403"/>
      <c r="CS259" s="403"/>
      <c r="CT259" s="403"/>
      <c r="CU259" s="403"/>
      <c r="CV259" s="403"/>
      <c r="CW259" s="403"/>
      <c r="CX259" s="403"/>
      <c r="CY259" s="403"/>
      <c r="CZ259" s="403"/>
      <c r="DA259" s="403"/>
      <c r="DB259" s="403"/>
      <c r="DC259" s="403"/>
      <c r="DD259" s="403"/>
      <c r="DE259" s="403"/>
      <c r="DF259" s="403"/>
      <c r="DG259" s="403"/>
      <c r="DH259" s="403"/>
      <c r="DI259" s="403"/>
      <c r="DJ259" s="403"/>
      <c r="DK259" s="403"/>
      <c r="DL259" s="403"/>
      <c r="DM259" s="403"/>
      <c r="DN259" s="403"/>
      <c r="DO259" s="403"/>
      <c r="DP259" s="403"/>
      <c r="DQ259" s="403"/>
      <c r="DR259" s="403"/>
      <c r="DS259" s="403"/>
      <c r="DT259" s="403"/>
      <c r="DU259" s="403"/>
      <c r="DV259" s="403"/>
      <c r="DW259" s="403"/>
      <c r="DX259" s="403"/>
      <c r="DY259" s="403"/>
      <c r="DZ259" s="403"/>
      <c r="EA259" s="403"/>
      <c r="EB259" s="403"/>
      <c r="EC259" s="403"/>
      <c r="ED259" s="403"/>
      <c r="EE259" s="403"/>
      <c r="EF259" s="403"/>
      <c r="EG259" s="403"/>
      <c r="EH259" s="403"/>
      <c r="EI259" s="403"/>
      <c r="EJ259" s="403"/>
      <c r="EK259" s="403"/>
      <c r="EL259" s="403"/>
      <c r="EM259" s="403"/>
      <c r="EN259" s="403"/>
      <c r="EO259" s="403"/>
      <c r="EP259" s="403"/>
      <c r="EQ259" s="403"/>
      <c r="ER259" s="403"/>
      <c r="ES259" s="403"/>
      <c r="ET259" s="403"/>
      <c r="EU259" s="403"/>
      <c r="EV259" s="403"/>
      <c r="EW259" s="403"/>
      <c r="EX259" s="403"/>
      <c r="EY259" s="403"/>
      <c r="EZ259" s="403"/>
      <c r="FA259" s="403"/>
      <c r="FB259" s="403"/>
      <c r="FC259" s="403"/>
      <c r="FD259" s="403"/>
      <c r="FE259" s="403"/>
      <c r="FF259" s="403"/>
      <c r="FG259" s="403"/>
      <c r="FH259" s="403"/>
      <c r="FI259" s="403"/>
      <c r="FJ259" s="403"/>
      <c r="FK259" s="403"/>
      <c r="FL259" s="403"/>
      <c r="FM259" s="403"/>
      <c r="FN259" s="403"/>
      <c r="FO259" s="403"/>
      <c r="FP259" s="403"/>
      <c r="FQ259" s="403"/>
      <c r="FR259" s="403"/>
      <c r="FS259" s="403"/>
      <c r="FT259" s="403"/>
      <c r="FU259" s="403"/>
      <c r="FV259" s="403"/>
      <c r="FW259" s="403"/>
      <c r="FX259" s="403"/>
      <c r="FY259" s="403"/>
      <c r="FZ259" s="403"/>
      <c r="GA259" s="403"/>
      <c r="GB259" s="403"/>
      <c r="GC259" s="403"/>
      <c r="GD259" s="403"/>
      <c r="GE259" s="403"/>
      <c r="GF259" s="403"/>
      <c r="GG259" s="403"/>
      <c r="GH259" s="403"/>
      <c r="GI259" s="403"/>
      <c r="GJ259" s="403"/>
      <c r="GK259" s="403"/>
      <c r="GL259" s="403"/>
      <c r="GM259" s="403"/>
      <c r="GN259" s="403"/>
      <c r="GO259" s="403"/>
      <c r="GP259" s="403"/>
      <c r="GQ259" s="403"/>
      <c r="GR259" s="403"/>
      <c r="GS259" s="403"/>
      <c r="GT259" s="403"/>
      <c r="GU259" s="403"/>
      <c r="GV259" s="403"/>
      <c r="GW259" s="403"/>
      <c r="GX259" s="403"/>
      <c r="GY259" s="403"/>
      <c r="GZ259" s="403"/>
      <c r="HA259" s="403"/>
      <c r="HB259" s="403"/>
      <c r="HC259" s="403"/>
      <c r="HD259" s="403"/>
      <c r="HE259" s="403"/>
      <c r="HF259" s="403"/>
      <c r="HG259" s="403"/>
      <c r="HH259" s="403"/>
      <c r="HI259" s="403"/>
      <c r="HJ259" s="403"/>
      <c r="HK259" s="403"/>
      <c r="HL259" s="403"/>
      <c r="HM259" s="403"/>
      <c r="HN259" s="403"/>
      <c r="HO259" s="403"/>
      <c r="HP259" s="403"/>
      <c r="HQ259" s="403"/>
      <c r="HR259" s="403"/>
      <c r="HS259" s="403"/>
      <c r="HT259" s="403"/>
      <c r="HU259" s="403"/>
      <c r="HV259" s="403"/>
      <c r="HW259" s="403"/>
      <c r="HX259" s="403"/>
      <c r="HY259" s="403"/>
      <c r="HZ259" s="403"/>
      <c r="IA259" s="403"/>
      <c r="IB259" s="403"/>
      <c r="IC259" s="403"/>
      <c r="ID259" s="403"/>
      <c r="IE259" s="403"/>
      <c r="IF259" s="403"/>
      <c r="IG259" s="403"/>
      <c r="IH259" s="403"/>
      <c r="II259" s="403"/>
      <c r="IJ259" s="403"/>
      <c r="IK259" s="403"/>
      <c r="IL259" s="403"/>
      <c r="IM259" s="403"/>
      <c r="IN259" s="403"/>
      <c r="IO259" s="403"/>
      <c r="IP259" s="403"/>
      <c r="IQ259" s="403"/>
      <c r="IR259" s="403"/>
      <c r="IS259" s="403"/>
      <c r="IT259" s="403"/>
      <c r="IU259" s="403"/>
      <c r="IV259" s="403"/>
      <c r="IW259" s="403"/>
      <c r="IX259" s="403"/>
      <c r="IY259" s="403"/>
      <c r="IZ259" s="403"/>
      <c r="JA259" s="403"/>
      <c r="JB259" s="403"/>
      <c r="JC259" s="403"/>
      <c r="JD259" s="403"/>
      <c r="JE259" s="403"/>
      <c r="JF259" s="403"/>
      <c r="JG259" s="403"/>
      <c r="JH259" s="403"/>
      <c r="JI259" s="403"/>
      <c r="JJ259" s="403"/>
      <c r="JK259" s="403"/>
      <c r="JL259" s="403"/>
      <c r="JM259" s="403"/>
      <c r="JN259" s="403"/>
      <c r="JO259" s="403"/>
      <c r="JP259" s="403"/>
      <c r="JQ259" s="403"/>
      <c r="JR259" s="403"/>
      <c r="JS259" s="403"/>
      <c r="JT259" s="403"/>
    </row>
    <row r="260" spans="1:280" s="281" customFormat="1" ht="12.75" x14ac:dyDescent="0.2">
      <c r="B260" s="624"/>
      <c r="C260" s="23" t="str">
        <f ca="1">IF(OFFSET(AU260,0,Lang_Order*Lang__B5)="","",OFFSET(AU260,0,Lang_Order*Lang__B5))</f>
        <v>Cold boxes needed</v>
      </c>
      <c r="J260" s="281" t="e">
        <f t="shared" ref="J260" si="627">(J254*1)+(J254*J257*1)</f>
        <v>#N/A</v>
      </c>
      <c r="K260" s="281" t="e">
        <f>(K254*1)+(K254*K257*1)</f>
        <v>#N/A</v>
      </c>
      <c r="L260" s="281" t="e">
        <f t="shared" ref="L260:O260" si="628">(L254*1)+(L254*L257*1)</f>
        <v>#N/A</v>
      </c>
      <c r="M260" s="281" t="e">
        <f t="shared" si="628"/>
        <v>#N/A</v>
      </c>
      <c r="N260" s="281" t="e">
        <f t="shared" si="628"/>
        <v>#N/A</v>
      </c>
      <c r="O260" s="281" t="e">
        <f t="shared" si="628"/>
        <v>#N/A</v>
      </c>
      <c r="Q260" s="102" t="e">
        <f>MAX(J260:O260)</f>
        <v>#N/A</v>
      </c>
      <c r="R260" s="12" t="str">
        <f t="shared" ca="1" si="585"/>
        <v/>
      </c>
      <c r="S260" s="2"/>
      <c r="U260" s="624"/>
      <c r="V260" s="72" t="str">
        <f ca="1">IF(OFFSET(AU260,0,Lang_Order*Lang__B5)="","",OFFSET(AU260,0,Lang_Order*Lang__B5))</f>
        <v>Cold boxes needed</v>
      </c>
      <c r="W260" s="281" t="e">
        <f t="shared" ref="W260" si="629">(W254*1)+(W254*W257*1)</f>
        <v>#N/A</v>
      </c>
      <c r="X260" s="281" t="e">
        <f>(X254*1)+(X254*X257*1)</f>
        <v>#N/A</v>
      </c>
      <c r="Y260" s="281" t="e">
        <f t="shared" ref="Y260:AB260" si="630">(Y254*1)+(Y254*Y257*1)</f>
        <v>#N/A</v>
      </c>
      <c r="Z260" s="281" t="e">
        <f t="shared" si="630"/>
        <v>#N/A</v>
      </c>
      <c r="AA260" s="281" t="e">
        <f t="shared" si="630"/>
        <v>#N/A</v>
      </c>
      <c r="AB260" s="281" t="e">
        <f t="shared" si="630"/>
        <v>#N/A</v>
      </c>
      <c r="AD260" s="102" t="e">
        <f>MAX(W260:AB260)</f>
        <v>#N/A</v>
      </c>
      <c r="AE260" s="2"/>
      <c r="AG260" s="624"/>
      <c r="AH260" s="72" t="str">
        <f ca="1">IF(OFFSET(AU260,0,Lang_Order*Lang__B5)="","",OFFSET(AU260,0,Lang_Order*Lang__B5))</f>
        <v>Cold boxes needed</v>
      </c>
      <c r="AI260" s="281" t="e">
        <f t="shared" ref="AI260" si="631">(AI254*1)+(AI254*AI257*1)</f>
        <v>#N/A</v>
      </c>
      <c r="AJ260" s="281" t="e">
        <f>(AJ254*1)+(AJ254*AJ257*1)</f>
        <v>#N/A</v>
      </c>
      <c r="AK260" s="281" t="e">
        <f t="shared" ref="AK260:AN260" si="632">(AK254*1)+(AK254*AK257*1)</f>
        <v>#N/A</v>
      </c>
      <c r="AL260" s="281" t="e">
        <f t="shared" si="632"/>
        <v>#N/A</v>
      </c>
      <c r="AM260" s="281" t="e">
        <f t="shared" si="632"/>
        <v>#N/A</v>
      </c>
      <c r="AN260" s="281" t="e">
        <f t="shared" si="632"/>
        <v>#N/A</v>
      </c>
      <c r="AP260" s="102" t="e">
        <f>MAX(AI260:AN260)</f>
        <v>#N/A</v>
      </c>
      <c r="AR260" s="403"/>
      <c r="AS260" s="403"/>
      <c r="AT260" s="403"/>
      <c r="AU260" s="403" t="s">
        <v>3681</v>
      </c>
      <c r="AV260" s="403"/>
      <c r="AW260" s="403"/>
      <c r="AX260" s="403"/>
      <c r="AY260" s="403"/>
      <c r="AZ260" s="403"/>
      <c r="BA260" s="403"/>
      <c r="BB260" s="403"/>
      <c r="BC260" s="403"/>
      <c r="BD260" s="403"/>
      <c r="BE260" s="403"/>
      <c r="BF260" s="403"/>
      <c r="BG260" s="403"/>
      <c r="BH260" s="403"/>
      <c r="BI260" s="403"/>
      <c r="BJ260" s="403"/>
      <c r="BK260" s="403"/>
      <c r="BL260" s="403"/>
      <c r="BM260" s="403"/>
      <c r="BN260" s="403"/>
      <c r="BO260" s="403"/>
      <c r="BP260" s="403"/>
      <c r="BQ260" s="403"/>
      <c r="BR260" s="403"/>
      <c r="BS260" s="403"/>
      <c r="BT260" s="403"/>
      <c r="BU260" s="403"/>
      <c r="BV260" s="403"/>
      <c r="BW260" s="403"/>
      <c r="BX260" s="403"/>
      <c r="BY260" s="403"/>
      <c r="BZ260" s="403"/>
      <c r="CA260" s="403"/>
      <c r="CB260" s="403"/>
      <c r="CC260" s="403" t="s">
        <v>12272</v>
      </c>
      <c r="CD260" s="403"/>
      <c r="CE260" s="403"/>
      <c r="CF260" s="403"/>
      <c r="CG260" s="403"/>
      <c r="CH260" s="403"/>
      <c r="CI260" s="403"/>
      <c r="CJ260" s="403"/>
      <c r="CK260" s="403"/>
      <c r="CL260" s="403"/>
      <c r="CM260" s="403"/>
      <c r="CN260" s="403"/>
      <c r="CO260" s="403"/>
      <c r="CP260" s="403"/>
      <c r="CQ260" s="403"/>
      <c r="CR260" s="403"/>
      <c r="CS260" s="403"/>
      <c r="CT260" s="403"/>
      <c r="CU260" s="403"/>
      <c r="CV260" s="403"/>
      <c r="CW260" s="403"/>
      <c r="CX260" s="403"/>
      <c r="CY260" s="403"/>
      <c r="CZ260" s="403"/>
      <c r="DA260" s="403"/>
      <c r="DB260" s="403"/>
      <c r="DC260" s="403"/>
      <c r="DD260" s="403"/>
      <c r="DE260" s="403"/>
      <c r="DF260" s="403"/>
      <c r="DG260" s="403"/>
      <c r="DH260" s="403"/>
      <c r="DI260" s="403"/>
      <c r="DJ260" s="403"/>
      <c r="DK260" s="403" t="s">
        <v>12273</v>
      </c>
      <c r="DL260" s="403"/>
      <c r="DM260" s="403"/>
      <c r="DN260" s="403"/>
      <c r="DO260" s="403"/>
      <c r="DP260" s="403"/>
      <c r="DQ260" s="403"/>
      <c r="DR260" s="403"/>
      <c r="DS260" s="403"/>
      <c r="DT260" s="403"/>
      <c r="DU260" s="403"/>
      <c r="DV260" s="403"/>
      <c r="DW260" s="403"/>
      <c r="DX260" s="403"/>
      <c r="DY260" s="403"/>
      <c r="DZ260" s="403"/>
      <c r="EA260" s="403"/>
      <c r="EB260" s="403"/>
      <c r="EC260" s="403"/>
      <c r="ED260" s="403"/>
      <c r="EE260" s="403"/>
      <c r="EF260" s="403"/>
      <c r="EG260" s="403"/>
      <c r="EH260" s="403"/>
      <c r="EI260" s="403"/>
      <c r="EJ260" s="403"/>
      <c r="EK260" s="403"/>
      <c r="EL260" s="403"/>
      <c r="EM260" s="403"/>
      <c r="EN260" s="403"/>
      <c r="EO260" s="403"/>
      <c r="EP260" s="403"/>
      <c r="EQ260" s="403"/>
      <c r="ER260" s="403"/>
      <c r="ES260" s="403" t="s">
        <v>12274</v>
      </c>
      <c r="ET260" s="403"/>
      <c r="EU260" s="403"/>
      <c r="EV260" s="403"/>
      <c r="EW260" s="403"/>
      <c r="EX260" s="403"/>
      <c r="EY260" s="403"/>
      <c r="EZ260" s="403"/>
      <c r="FA260" s="403"/>
      <c r="FB260" s="403"/>
      <c r="FC260" s="403"/>
      <c r="FD260" s="403"/>
      <c r="FE260" s="403"/>
      <c r="FF260" s="403"/>
      <c r="FG260" s="403"/>
      <c r="FH260" s="403"/>
      <c r="FI260" s="403"/>
      <c r="FJ260" s="403"/>
      <c r="FK260" s="403"/>
      <c r="FL260" s="403"/>
      <c r="FM260" s="403"/>
      <c r="FN260" s="403"/>
      <c r="FO260" s="403"/>
      <c r="FP260" s="403"/>
      <c r="FQ260" s="403"/>
      <c r="FR260" s="403"/>
      <c r="FS260" s="403"/>
      <c r="FT260" s="403"/>
      <c r="FU260" s="403"/>
      <c r="FV260" s="403"/>
      <c r="FW260" s="403"/>
      <c r="FX260" s="403"/>
      <c r="FY260" s="403"/>
      <c r="FZ260" s="403"/>
      <c r="GA260" s="403" t="s">
        <v>12275</v>
      </c>
      <c r="GB260" s="403"/>
      <c r="GC260" s="403"/>
      <c r="GD260" s="403"/>
      <c r="GE260" s="403"/>
      <c r="GF260" s="403"/>
      <c r="GG260" s="403"/>
      <c r="GH260" s="403"/>
      <c r="GI260" s="403"/>
      <c r="GJ260" s="403"/>
      <c r="GK260" s="403"/>
      <c r="GL260" s="403"/>
      <c r="GM260" s="403"/>
      <c r="GN260" s="403"/>
      <c r="GO260" s="403"/>
      <c r="GP260" s="403"/>
      <c r="GQ260" s="403"/>
      <c r="GR260" s="403"/>
      <c r="GS260" s="403"/>
      <c r="GT260" s="403"/>
      <c r="GU260" s="403"/>
      <c r="GV260" s="403"/>
      <c r="GW260" s="403"/>
      <c r="GX260" s="403"/>
      <c r="GY260" s="403"/>
      <c r="GZ260" s="403"/>
      <c r="HA260" s="403"/>
      <c r="HB260" s="403"/>
      <c r="HC260" s="403"/>
      <c r="HD260" s="403"/>
      <c r="HE260" s="403"/>
      <c r="HF260" s="403"/>
      <c r="HG260" s="403"/>
      <c r="HH260" s="403"/>
      <c r="HI260" s="403" t="s">
        <v>12276</v>
      </c>
      <c r="HJ260" s="403"/>
      <c r="HK260" s="403"/>
      <c r="HL260" s="403"/>
      <c r="HM260" s="403"/>
      <c r="HN260" s="403"/>
      <c r="HO260" s="403"/>
      <c r="HP260" s="403"/>
      <c r="HQ260" s="403"/>
      <c r="HR260" s="403"/>
      <c r="HS260" s="403"/>
      <c r="HT260" s="403"/>
      <c r="HU260" s="403"/>
      <c r="HV260" s="403"/>
      <c r="HW260" s="403"/>
      <c r="HX260" s="403"/>
      <c r="HY260" s="403"/>
      <c r="HZ260" s="403"/>
      <c r="IA260" s="403"/>
      <c r="IB260" s="403"/>
      <c r="IC260" s="403"/>
      <c r="ID260" s="403"/>
      <c r="IE260" s="403"/>
      <c r="IF260" s="403"/>
      <c r="IG260" s="403"/>
      <c r="IH260" s="403"/>
      <c r="II260" s="403"/>
      <c r="IJ260" s="403"/>
      <c r="IK260" s="403"/>
      <c r="IL260" s="403"/>
      <c r="IM260" s="403"/>
      <c r="IN260" s="403"/>
      <c r="IO260" s="403"/>
      <c r="IP260" s="403"/>
      <c r="IQ260" s="403" t="s">
        <v>12277</v>
      </c>
      <c r="IR260" s="403"/>
      <c r="IS260" s="403"/>
      <c r="IT260" s="403"/>
      <c r="IU260" s="403"/>
      <c r="IV260" s="403"/>
      <c r="IW260" s="403"/>
      <c r="IX260" s="403"/>
      <c r="IY260" s="403"/>
      <c r="IZ260" s="403"/>
      <c r="JA260" s="403"/>
      <c r="JB260" s="403"/>
      <c r="JC260" s="403"/>
      <c r="JD260" s="403"/>
      <c r="JE260" s="403"/>
      <c r="JF260" s="403"/>
      <c r="JG260" s="403"/>
      <c r="JH260" s="403"/>
      <c r="JI260" s="403"/>
      <c r="JJ260" s="403"/>
      <c r="JK260" s="403"/>
      <c r="JL260" s="403"/>
      <c r="JM260" s="403"/>
      <c r="JN260" s="403"/>
      <c r="JO260" s="403"/>
      <c r="JP260" s="403"/>
      <c r="JQ260" s="403"/>
      <c r="JR260" s="403"/>
      <c r="JS260" s="403"/>
      <c r="JT260" s="403"/>
    </row>
    <row r="261" spans="1:280" s="281" customFormat="1" ht="12.75" x14ac:dyDescent="0.2">
      <c r="B261" s="624"/>
      <c r="C261" s="23" t="str">
        <f ca="1">IF(OFFSET(AU261,0,Lang_Order*Lang__B5)="","",OFFSET(AU261,0,Lang_Order*Lang__B5))</f>
        <v>Vaccine carriers needed</v>
      </c>
      <c r="J261" s="281" t="e">
        <f t="shared" ref="J261" si="633">J254*J256</f>
        <v>#N/A</v>
      </c>
      <c r="K261" s="281" t="e">
        <f>K254*K256</f>
        <v>#N/A</v>
      </c>
      <c r="L261" s="281" t="e">
        <f t="shared" ref="L261:O261" si="634">L254*L256</f>
        <v>#N/A</v>
      </c>
      <c r="M261" s="281" t="e">
        <f t="shared" si="634"/>
        <v>#N/A</v>
      </c>
      <c r="N261" s="281" t="e">
        <f t="shared" si="634"/>
        <v>#N/A</v>
      </c>
      <c r="O261" s="281" t="e">
        <f t="shared" si="634"/>
        <v>#N/A</v>
      </c>
      <c r="Q261" s="102" t="e">
        <f>MAX(J261:O261)</f>
        <v>#N/A</v>
      </c>
      <c r="R261" s="12" t="str">
        <f t="shared" ca="1" si="585"/>
        <v/>
      </c>
      <c r="S261" s="2"/>
      <c r="U261" s="624"/>
      <c r="V261" s="72" t="str">
        <f ca="1">IF(OFFSET(AU261,0,Lang_Order*Lang__B5)="","",OFFSET(AU261,0,Lang_Order*Lang__B5))</f>
        <v>Vaccine carriers needed</v>
      </c>
      <c r="W261" s="281" t="e">
        <f t="shared" ref="W261" si="635">W254*W256</f>
        <v>#N/A</v>
      </c>
      <c r="X261" s="281" t="e">
        <f>X254*X256</f>
        <v>#N/A</v>
      </c>
      <c r="Y261" s="281" t="e">
        <f t="shared" ref="Y261:AB261" si="636">Y254*Y256</f>
        <v>#N/A</v>
      </c>
      <c r="Z261" s="281" t="e">
        <f t="shared" si="636"/>
        <v>#N/A</v>
      </c>
      <c r="AA261" s="281" t="e">
        <f t="shared" si="636"/>
        <v>#N/A</v>
      </c>
      <c r="AB261" s="281" t="e">
        <f t="shared" si="636"/>
        <v>#N/A</v>
      </c>
      <c r="AD261" s="102" t="e">
        <f>MAX(W261:AB261)</f>
        <v>#N/A</v>
      </c>
      <c r="AE261" s="2"/>
      <c r="AG261" s="624"/>
      <c r="AH261" s="72" t="str">
        <f ca="1">IF(OFFSET(AU261,0,Lang_Order*Lang__B5)="","",OFFSET(AU261,0,Lang_Order*Lang__B5))</f>
        <v>Vaccine carriers needed</v>
      </c>
      <c r="AI261" s="281" t="e">
        <f t="shared" ref="AI261" si="637">AI254*AI256</f>
        <v>#N/A</v>
      </c>
      <c r="AJ261" s="281" t="e">
        <f>AJ254*AJ256</f>
        <v>#N/A</v>
      </c>
      <c r="AK261" s="281" t="e">
        <f t="shared" ref="AK261:AN261" si="638">AK254*AK256</f>
        <v>#N/A</v>
      </c>
      <c r="AL261" s="281" t="e">
        <f t="shared" si="638"/>
        <v>#N/A</v>
      </c>
      <c r="AM261" s="281" t="e">
        <f t="shared" si="638"/>
        <v>#N/A</v>
      </c>
      <c r="AN261" s="281" t="e">
        <f t="shared" si="638"/>
        <v>#N/A</v>
      </c>
      <c r="AP261" s="102" t="e">
        <f>MAX(AI261:AN261)</f>
        <v>#N/A</v>
      </c>
      <c r="AR261" s="403"/>
      <c r="AS261" s="403"/>
      <c r="AT261" s="403"/>
      <c r="AU261" s="403" t="s">
        <v>3682</v>
      </c>
      <c r="AV261" s="403"/>
      <c r="AW261" s="403"/>
      <c r="AX261" s="403"/>
      <c r="AY261" s="403"/>
      <c r="AZ261" s="403"/>
      <c r="BA261" s="403"/>
      <c r="BB261" s="403"/>
      <c r="BC261" s="403"/>
      <c r="BD261" s="403"/>
      <c r="BE261" s="403"/>
      <c r="BF261" s="403"/>
      <c r="BG261" s="403"/>
      <c r="BH261" s="403"/>
      <c r="BI261" s="403"/>
      <c r="BJ261" s="403"/>
      <c r="BK261" s="403"/>
      <c r="BL261" s="403"/>
      <c r="BM261" s="403"/>
      <c r="BN261" s="403"/>
      <c r="BO261" s="403"/>
      <c r="BP261" s="403"/>
      <c r="BQ261" s="403"/>
      <c r="BR261" s="403"/>
      <c r="BS261" s="403"/>
      <c r="BT261" s="403"/>
      <c r="BU261" s="403"/>
      <c r="BV261" s="403"/>
      <c r="BW261" s="403"/>
      <c r="BX261" s="403"/>
      <c r="BY261" s="403"/>
      <c r="BZ261" s="403"/>
      <c r="CA261" s="403"/>
      <c r="CB261" s="403"/>
      <c r="CC261" s="403" t="s">
        <v>12278</v>
      </c>
      <c r="CD261" s="403"/>
      <c r="CE261" s="403"/>
      <c r="CF261" s="403"/>
      <c r="CG261" s="403"/>
      <c r="CH261" s="403"/>
      <c r="CI261" s="403"/>
      <c r="CJ261" s="403"/>
      <c r="CK261" s="403"/>
      <c r="CL261" s="403"/>
      <c r="CM261" s="403"/>
      <c r="CN261" s="403"/>
      <c r="CO261" s="403"/>
      <c r="CP261" s="403"/>
      <c r="CQ261" s="403"/>
      <c r="CR261" s="403"/>
      <c r="CS261" s="403"/>
      <c r="CT261" s="403"/>
      <c r="CU261" s="403"/>
      <c r="CV261" s="403"/>
      <c r="CW261" s="403"/>
      <c r="CX261" s="403"/>
      <c r="CY261" s="403"/>
      <c r="CZ261" s="403"/>
      <c r="DA261" s="403"/>
      <c r="DB261" s="403"/>
      <c r="DC261" s="403"/>
      <c r="DD261" s="403"/>
      <c r="DE261" s="403"/>
      <c r="DF261" s="403"/>
      <c r="DG261" s="403"/>
      <c r="DH261" s="403"/>
      <c r="DI261" s="403"/>
      <c r="DJ261" s="403"/>
      <c r="DK261" s="403" t="s">
        <v>12279</v>
      </c>
      <c r="DL261" s="403"/>
      <c r="DM261" s="403"/>
      <c r="DN261" s="403"/>
      <c r="DO261" s="403"/>
      <c r="DP261" s="403"/>
      <c r="DQ261" s="403"/>
      <c r="DR261" s="403"/>
      <c r="DS261" s="403"/>
      <c r="DT261" s="403"/>
      <c r="DU261" s="403"/>
      <c r="DV261" s="403"/>
      <c r="DW261" s="403"/>
      <c r="DX261" s="403"/>
      <c r="DY261" s="403"/>
      <c r="DZ261" s="403"/>
      <c r="EA261" s="403"/>
      <c r="EB261" s="403"/>
      <c r="EC261" s="403"/>
      <c r="ED261" s="403"/>
      <c r="EE261" s="403"/>
      <c r="EF261" s="403"/>
      <c r="EG261" s="403"/>
      <c r="EH261" s="403"/>
      <c r="EI261" s="403"/>
      <c r="EJ261" s="403"/>
      <c r="EK261" s="403"/>
      <c r="EL261" s="403"/>
      <c r="EM261" s="403"/>
      <c r="EN261" s="403"/>
      <c r="EO261" s="403"/>
      <c r="EP261" s="403"/>
      <c r="EQ261" s="403"/>
      <c r="ER261" s="403"/>
      <c r="ES261" s="403" t="s">
        <v>12280</v>
      </c>
      <c r="ET261" s="403"/>
      <c r="EU261" s="403"/>
      <c r="EV261" s="403"/>
      <c r="EW261" s="403"/>
      <c r="EX261" s="403"/>
      <c r="EY261" s="403"/>
      <c r="EZ261" s="403"/>
      <c r="FA261" s="403"/>
      <c r="FB261" s="403"/>
      <c r="FC261" s="403"/>
      <c r="FD261" s="403"/>
      <c r="FE261" s="403"/>
      <c r="FF261" s="403"/>
      <c r="FG261" s="403"/>
      <c r="FH261" s="403"/>
      <c r="FI261" s="403"/>
      <c r="FJ261" s="403"/>
      <c r="FK261" s="403"/>
      <c r="FL261" s="403"/>
      <c r="FM261" s="403"/>
      <c r="FN261" s="403"/>
      <c r="FO261" s="403"/>
      <c r="FP261" s="403"/>
      <c r="FQ261" s="403"/>
      <c r="FR261" s="403"/>
      <c r="FS261" s="403"/>
      <c r="FT261" s="403"/>
      <c r="FU261" s="403"/>
      <c r="FV261" s="403"/>
      <c r="FW261" s="403"/>
      <c r="FX261" s="403"/>
      <c r="FY261" s="403"/>
      <c r="FZ261" s="403"/>
      <c r="GA261" s="403" t="s">
        <v>12281</v>
      </c>
      <c r="GB261" s="403"/>
      <c r="GC261" s="403"/>
      <c r="GD261" s="403"/>
      <c r="GE261" s="403"/>
      <c r="GF261" s="403"/>
      <c r="GG261" s="403"/>
      <c r="GH261" s="403"/>
      <c r="GI261" s="403"/>
      <c r="GJ261" s="403"/>
      <c r="GK261" s="403"/>
      <c r="GL261" s="403"/>
      <c r="GM261" s="403"/>
      <c r="GN261" s="403"/>
      <c r="GO261" s="403"/>
      <c r="GP261" s="403"/>
      <c r="GQ261" s="403"/>
      <c r="GR261" s="403"/>
      <c r="GS261" s="403"/>
      <c r="GT261" s="403"/>
      <c r="GU261" s="403"/>
      <c r="GV261" s="403"/>
      <c r="GW261" s="403"/>
      <c r="GX261" s="403"/>
      <c r="GY261" s="403"/>
      <c r="GZ261" s="403"/>
      <c r="HA261" s="403"/>
      <c r="HB261" s="403"/>
      <c r="HC261" s="403"/>
      <c r="HD261" s="403"/>
      <c r="HE261" s="403"/>
      <c r="HF261" s="403"/>
      <c r="HG261" s="403"/>
      <c r="HH261" s="403"/>
      <c r="HI261" s="403" t="s">
        <v>12282</v>
      </c>
      <c r="HJ261" s="403"/>
      <c r="HK261" s="403"/>
      <c r="HL261" s="403"/>
      <c r="HM261" s="403"/>
      <c r="HN261" s="403"/>
      <c r="HO261" s="403"/>
      <c r="HP261" s="403"/>
      <c r="HQ261" s="403"/>
      <c r="HR261" s="403"/>
      <c r="HS261" s="403"/>
      <c r="HT261" s="403"/>
      <c r="HU261" s="403"/>
      <c r="HV261" s="403"/>
      <c r="HW261" s="403"/>
      <c r="HX261" s="403"/>
      <c r="HY261" s="403"/>
      <c r="HZ261" s="403"/>
      <c r="IA261" s="403"/>
      <c r="IB261" s="403"/>
      <c r="IC261" s="403"/>
      <c r="ID261" s="403"/>
      <c r="IE261" s="403"/>
      <c r="IF261" s="403"/>
      <c r="IG261" s="403"/>
      <c r="IH261" s="403"/>
      <c r="II261" s="403"/>
      <c r="IJ261" s="403"/>
      <c r="IK261" s="403"/>
      <c r="IL261" s="403"/>
      <c r="IM261" s="403"/>
      <c r="IN261" s="403"/>
      <c r="IO261" s="403"/>
      <c r="IP261" s="403"/>
      <c r="IQ261" s="403" t="s">
        <v>12283</v>
      </c>
      <c r="IR261" s="403"/>
      <c r="IS261" s="403"/>
      <c r="IT261" s="403"/>
      <c r="IU261" s="403"/>
      <c r="IV261" s="403"/>
      <c r="IW261" s="403"/>
      <c r="IX261" s="403"/>
      <c r="IY261" s="403"/>
      <c r="IZ261" s="403"/>
      <c r="JA261" s="403"/>
      <c r="JB261" s="403"/>
      <c r="JC261" s="403"/>
      <c r="JD261" s="403"/>
      <c r="JE261" s="403"/>
      <c r="JF261" s="403"/>
      <c r="JG261" s="403"/>
      <c r="JH261" s="403"/>
      <c r="JI261" s="403"/>
      <c r="JJ261" s="403"/>
      <c r="JK261" s="403"/>
      <c r="JL261" s="403"/>
      <c r="JM261" s="403"/>
      <c r="JN261" s="403"/>
      <c r="JO261" s="403"/>
      <c r="JP261" s="403"/>
      <c r="JQ261" s="403"/>
      <c r="JR261" s="403"/>
      <c r="JS261" s="403"/>
      <c r="JT261" s="403"/>
    </row>
    <row r="262" spans="1:280" s="15" customFormat="1" ht="12.75" x14ac:dyDescent="0.2">
      <c r="A262" s="9"/>
      <c r="B262" s="624"/>
      <c r="C262" s="23" t="str">
        <f ca="1">IF(OFFSET(AU262,0,Lang_Order*Lang__B5)="","",OFFSET(AU262,0,Lang_Order*Lang__B5))</f>
        <v>Total vaccine volume per period (liters)</v>
      </c>
      <c r="E262" s="26"/>
      <c r="F262" s="26"/>
      <c r="G262" s="26"/>
      <c r="H262" s="26"/>
      <c r="I262" s="26"/>
      <c r="J262" s="110" t="e">
        <f t="shared" ref="J262:O262" si="639">($E239*J239)*$H239*0.001</f>
        <v>#N/A</v>
      </c>
      <c r="K262" s="110" t="e">
        <f t="shared" si="639"/>
        <v>#N/A</v>
      </c>
      <c r="L262" s="110" t="e">
        <f t="shared" si="639"/>
        <v>#N/A</v>
      </c>
      <c r="M262" s="110" t="e">
        <f t="shared" si="639"/>
        <v>#N/A</v>
      </c>
      <c r="N262" s="110" t="e">
        <f t="shared" si="639"/>
        <v>#N/A</v>
      </c>
      <c r="O262" s="110" t="e">
        <f t="shared" si="639"/>
        <v>#N/A</v>
      </c>
      <c r="P262" s="26"/>
      <c r="Q262" s="26"/>
      <c r="R262" s="12" t="str">
        <f t="shared" ca="1" si="585"/>
        <v>Volume of the whole tranche of vaccines at delivery</v>
      </c>
      <c r="S262" s="2"/>
      <c r="T262" s="241"/>
      <c r="U262" s="624"/>
      <c r="V262" s="72" t="str">
        <f ca="1">IF(OFFSET(AU262,0,Lang_Order*Lang__B5)="","",OFFSET(AU262,0,Lang_Order*Lang__B5))</f>
        <v>Total vaccine volume per period (liters)</v>
      </c>
      <c r="W262" s="110" t="e">
        <f t="shared" ref="W262:AB262" si="640">($E239*W239)*$H239*0.001</f>
        <v>#N/A</v>
      </c>
      <c r="X262" s="110" t="e">
        <f t="shared" si="640"/>
        <v>#N/A</v>
      </c>
      <c r="Y262" s="110" t="e">
        <f t="shared" si="640"/>
        <v>#N/A</v>
      </c>
      <c r="Z262" s="110" t="e">
        <f t="shared" si="640"/>
        <v>#N/A</v>
      </c>
      <c r="AA262" s="110" t="e">
        <f t="shared" si="640"/>
        <v>#N/A</v>
      </c>
      <c r="AB262" s="110" t="e">
        <f t="shared" si="640"/>
        <v>#N/A</v>
      </c>
      <c r="AC262" s="26"/>
      <c r="AD262" s="26"/>
      <c r="AE262" s="2"/>
      <c r="AF262" s="241"/>
      <c r="AG262" s="624"/>
      <c r="AH262" s="72" t="str">
        <f ca="1">IF(OFFSET(AU262,0,Lang_Order*Lang__B5)="","",OFFSET(AU262,0,Lang_Order*Lang__B5))</f>
        <v>Total vaccine volume per period (liters)</v>
      </c>
      <c r="AI262" s="110" t="e">
        <f t="shared" ref="AI262:AN262" si="641">($E239*AI239)*$H239*0.001</f>
        <v>#N/A</v>
      </c>
      <c r="AJ262" s="110" t="e">
        <f t="shared" si="641"/>
        <v>#N/A</v>
      </c>
      <c r="AK262" s="110" t="e">
        <f t="shared" si="641"/>
        <v>#N/A</v>
      </c>
      <c r="AL262" s="110" t="e">
        <f t="shared" si="641"/>
        <v>#N/A</v>
      </c>
      <c r="AM262" s="110" t="e">
        <f t="shared" si="641"/>
        <v>#N/A</v>
      </c>
      <c r="AN262" s="110" t="e">
        <f t="shared" si="641"/>
        <v>#N/A</v>
      </c>
      <c r="AO262" s="26"/>
      <c r="AP262" s="26"/>
      <c r="AR262" s="403"/>
      <c r="AS262" s="403"/>
      <c r="AT262" s="403"/>
      <c r="AU262" s="403" t="s">
        <v>1662</v>
      </c>
      <c r="AV262" s="403"/>
      <c r="AW262" s="403"/>
      <c r="AX262" s="403"/>
      <c r="AY262" s="403"/>
      <c r="AZ262" s="403"/>
      <c r="BA262" s="403"/>
      <c r="BB262" s="403"/>
      <c r="BC262" s="403"/>
      <c r="BD262" s="403"/>
      <c r="BE262" s="403"/>
      <c r="BF262" s="403"/>
      <c r="BG262" s="403"/>
      <c r="BH262" s="403"/>
      <c r="BI262" s="403"/>
      <c r="BJ262" s="403" t="s">
        <v>1644</v>
      </c>
      <c r="BK262" s="403"/>
      <c r="BL262" s="403"/>
      <c r="BM262" s="403"/>
      <c r="BN262" s="403"/>
      <c r="BO262" s="403"/>
      <c r="BP262" s="403"/>
      <c r="BQ262" s="403"/>
      <c r="BR262" s="403"/>
      <c r="BS262" s="403"/>
      <c r="BT262" s="403"/>
      <c r="BU262" s="403"/>
      <c r="BV262" s="403"/>
      <c r="BW262" s="403"/>
      <c r="BX262" s="403"/>
      <c r="BY262" s="403"/>
      <c r="BZ262" s="403"/>
      <c r="CA262" s="403"/>
      <c r="CB262" s="403"/>
      <c r="CC262" s="403" t="s">
        <v>12284</v>
      </c>
      <c r="CD262" s="403"/>
      <c r="CE262" s="403"/>
      <c r="CF262" s="403"/>
      <c r="CG262" s="403"/>
      <c r="CH262" s="403"/>
      <c r="CI262" s="403"/>
      <c r="CJ262" s="403"/>
      <c r="CK262" s="403"/>
      <c r="CL262" s="403"/>
      <c r="CM262" s="403"/>
      <c r="CN262" s="403"/>
      <c r="CO262" s="403"/>
      <c r="CP262" s="403"/>
      <c r="CQ262" s="403"/>
      <c r="CR262" s="403" t="s">
        <v>11928</v>
      </c>
      <c r="CS262" s="403"/>
      <c r="CT262" s="403"/>
      <c r="CU262" s="403"/>
      <c r="CV262" s="403"/>
      <c r="CW262" s="403"/>
      <c r="CX262" s="403"/>
      <c r="CY262" s="403"/>
      <c r="CZ262" s="403"/>
      <c r="DA262" s="403"/>
      <c r="DB262" s="403"/>
      <c r="DC262" s="403"/>
      <c r="DD262" s="403"/>
      <c r="DE262" s="403"/>
      <c r="DF262" s="403"/>
      <c r="DG262" s="403"/>
      <c r="DH262" s="403"/>
      <c r="DI262" s="403"/>
      <c r="DJ262" s="403"/>
      <c r="DK262" s="403" t="s">
        <v>11929</v>
      </c>
      <c r="DL262" s="403"/>
      <c r="DM262" s="403"/>
      <c r="DN262" s="403"/>
      <c r="DO262" s="403"/>
      <c r="DP262" s="403"/>
      <c r="DQ262" s="403"/>
      <c r="DR262" s="403"/>
      <c r="DS262" s="403"/>
      <c r="DT262" s="403"/>
      <c r="DU262" s="403"/>
      <c r="DV262" s="403"/>
      <c r="DW262" s="403"/>
      <c r="DX262" s="403"/>
      <c r="DY262" s="403"/>
      <c r="DZ262" s="403" t="s">
        <v>11930</v>
      </c>
      <c r="EA262" s="403"/>
      <c r="EB262" s="403"/>
      <c r="EC262" s="403"/>
      <c r="ED262" s="403"/>
      <c r="EE262" s="403"/>
      <c r="EF262" s="403"/>
      <c r="EG262" s="403"/>
      <c r="EH262" s="403"/>
      <c r="EI262" s="403"/>
      <c r="EJ262" s="403"/>
      <c r="EK262" s="403"/>
      <c r="EL262" s="403"/>
      <c r="EM262" s="403"/>
      <c r="EN262" s="403"/>
      <c r="EO262" s="403"/>
      <c r="EP262" s="403"/>
      <c r="EQ262" s="403"/>
      <c r="ER262" s="403"/>
      <c r="ES262" s="403" t="s">
        <v>11931</v>
      </c>
      <c r="ET262" s="403"/>
      <c r="EU262" s="403"/>
      <c r="EV262" s="403"/>
      <c r="EW262" s="403"/>
      <c r="EX262" s="403"/>
      <c r="EY262" s="403"/>
      <c r="EZ262" s="403"/>
      <c r="FA262" s="403"/>
      <c r="FB262" s="403"/>
      <c r="FC262" s="403"/>
      <c r="FD262" s="403"/>
      <c r="FE262" s="403"/>
      <c r="FF262" s="403"/>
      <c r="FG262" s="403"/>
      <c r="FH262" s="403" t="s">
        <v>11932</v>
      </c>
      <c r="FI262" s="403"/>
      <c r="FJ262" s="403"/>
      <c r="FK262" s="403"/>
      <c r="FL262" s="403"/>
      <c r="FM262" s="403"/>
      <c r="FN262" s="403"/>
      <c r="FO262" s="403"/>
      <c r="FP262" s="403"/>
      <c r="FQ262" s="403"/>
      <c r="FR262" s="403"/>
      <c r="FS262" s="403"/>
      <c r="FT262" s="403"/>
      <c r="FU262" s="403"/>
      <c r="FV262" s="403"/>
      <c r="FW262" s="403"/>
      <c r="FX262" s="403"/>
      <c r="FY262" s="403"/>
      <c r="FZ262" s="403"/>
      <c r="GA262" s="403" t="s">
        <v>11933</v>
      </c>
      <c r="GB262" s="403"/>
      <c r="GC262" s="403"/>
      <c r="GD262" s="403"/>
      <c r="GE262" s="403"/>
      <c r="GF262" s="403"/>
      <c r="GG262" s="403"/>
      <c r="GH262" s="403"/>
      <c r="GI262" s="403"/>
      <c r="GJ262" s="403"/>
      <c r="GK262" s="403"/>
      <c r="GL262" s="403"/>
      <c r="GM262" s="403"/>
      <c r="GN262" s="403"/>
      <c r="GO262" s="403"/>
      <c r="GP262" s="403" t="s">
        <v>11934</v>
      </c>
      <c r="GQ262" s="403"/>
      <c r="GR262" s="403"/>
      <c r="GS262" s="403"/>
      <c r="GT262" s="403"/>
      <c r="GU262" s="403"/>
      <c r="GV262" s="403"/>
      <c r="GW262" s="403"/>
      <c r="GX262" s="403"/>
      <c r="GY262" s="403"/>
      <c r="GZ262" s="403"/>
      <c r="HA262" s="403"/>
      <c r="HB262" s="403"/>
      <c r="HC262" s="403"/>
      <c r="HD262" s="403"/>
      <c r="HE262" s="403"/>
      <c r="HF262" s="403"/>
      <c r="HG262" s="403"/>
      <c r="HH262" s="403"/>
      <c r="HI262" s="403" t="s">
        <v>11935</v>
      </c>
      <c r="HJ262" s="403"/>
      <c r="HK262" s="403"/>
      <c r="HL262" s="403"/>
      <c r="HM262" s="403"/>
      <c r="HN262" s="403"/>
      <c r="HO262" s="403"/>
      <c r="HP262" s="403"/>
      <c r="HQ262" s="403"/>
      <c r="HR262" s="403"/>
      <c r="HS262" s="403"/>
      <c r="HT262" s="403"/>
      <c r="HU262" s="403"/>
      <c r="HV262" s="403"/>
      <c r="HW262" s="403"/>
      <c r="HX262" s="403" t="s">
        <v>11936</v>
      </c>
      <c r="HY262" s="403"/>
      <c r="HZ262" s="403"/>
      <c r="IA262" s="403"/>
      <c r="IB262" s="403"/>
      <c r="IC262" s="403"/>
      <c r="ID262" s="403"/>
      <c r="IE262" s="403"/>
      <c r="IF262" s="403"/>
      <c r="IG262" s="403"/>
      <c r="IH262" s="403"/>
      <c r="II262" s="403"/>
      <c r="IJ262" s="403"/>
      <c r="IK262" s="403"/>
      <c r="IL262" s="403"/>
      <c r="IM262" s="403"/>
      <c r="IN262" s="403"/>
      <c r="IO262" s="403"/>
      <c r="IP262" s="403"/>
      <c r="IQ262" s="403" t="s">
        <v>11937</v>
      </c>
      <c r="IR262" s="403"/>
      <c r="IS262" s="403"/>
      <c r="IT262" s="403"/>
      <c r="IU262" s="403"/>
      <c r="IV262" s="403"/>
      <c r="IW262" s="403"/>
      <c r="IX262" s="403"/>
      <c r="IY262" s="403"/>
      <c r="IZ262" s="403"/>
      <c r="JA262" s="403"/>
      <c r="JB262" s="403"/>
      <c r="JC262" s="403"/>
      <c r="JD262" s="403"/>
      <c r="JE262" s="403"/>
      <c r="JF262" s="403" t="s">
        <v>11938</v>
      </c>
      <c r="JG262" s="403"/>
      <c r="JH262" s="403"/>
      <c r="JI262" s="403"/>
      <c r="JJ262" s="403"/>
      <c r="JK262" s="403"/>
      <c r="JL262" s="403"/>
      <c r="JM262" s="403"/>
      <c r="JN262" s="403"/>
      <c r="JO262" s="403"/>
      <c r="JP262" s="403"/>
      <c r="JQ262" s="403"/>
      <c r="JR262" s="403"/>
      <c r="JS262" s="403"/>
      <c r="JT262" s="403"/>
    </row>
    <row r="263" spans="1:280" s="15" customFormat="1" ht="12.75" x14ac:dyDescent="0.2">
      <c r="A263" s="9"/>
      <c r="B263" s="624"/>
      <c r="C263" s="23"/>
      <c r="E263" s="26"/>
      <c r="F263" s="26"/>
      <c r="G263" s="26"/>
      <c r="H263" s="26"/>
      <c r="I263" s="26"/>
      <c r="J263" s="26"/>
      <c r="K263" s="26"/>
      <c r="L263" s="26"/>
      <c r="M263" s="26"/>
      <c r="N263" s="26"/>
      <c r="O263" s="26"/>
      <c r="P263" s="26"/>
      <c r="Q263" s="26"/>
      <c r="R263" s="12" t="str">
        <f t="shared" ca="1" si="585"/>
        <v/>
      </c>
      <c r="S263" s="2"/>
      <c r="T263" s="241"/>
      <c r="U263" s="624"/>
      <c r="V263" s="72"/>
      <c r="W263" s="26"/>
      <c r="X263" s="26"/>
      <c r="Y263" s="26"/>
      <c r="Z263" s="26"/>
      <c r="AA263" s="26"/>
      <c r="AB263" s="26"/>
      <c r="AC263" s="26"/>
      <c r="AD263" s="26"/>
      <c r="AE263" s="2"/>
      <c r="AF263" s="241"/>
      <c r="AG263" s="624"/>
      <c r="AH263" s="72"/>
      <c r="AI263" s="26"/>
      <c r="AJ263" s="26"/>
      <c r="AK263" s="26"/>
      <c r="AL263" s="26"/>
      <c r="AM263" s="26"/>
      <c r="AN263" s="26"/>
      <c r="AO263" s="26"/>
      <c r="AP263" s="26"/>
      <c r="AR263" s="403"/>
      <c r="AS263" s="403"/>
      <c r="AT263" s="403"/>
      <c r="AU263" s="403"/>
      <c r="AV263" s="403"/>
      <c r="AW263" s="403"/>
      <c r="AX263" s="403"/>
      <c r="AY263" s="403"/>
      <c r="AZ263" s="403"/>
      <c r="BA263" s="403"/>
      <c r="BB263" s="403"/>
      <c r="BC263" s="403"/>
      <c r="BD263" s="403"/>
      <c r="BE263" s="403"/>
      <c r="BF263" s="403"/>
      <c r="BG263" s="403"/>
      <c r="BH263" s="403"/>
      <c r="BI263" s="403"/>
      <c r="BJ263" s="403"/>
      <c r="BK263" s="403"/>
      <c r="BL263" s="403"/>
      <c r="BM263" s="403"/>
      <c r="BN263" s="403"/>
      <c r="BO263" s="403"/>
      <c r="BP263" s="403"/>
      <c r="BQ263" s="403"/>
      <c r="BR263" s="403"/>
      <c r="BS263" s="403"/>
      <c r="BT263" s="403"/>
      <c r="BU263" s="403"/>
      <c r="BV263" s="403"/>
      <c r="BW263" s="403"/>
      <c r="BX263" s="403"/>
      <c r="BY263" s="403"/>
      <c r="BZ263" s="403"/>
      <c r="CA263" s="403"/>
      <c r="CB263" s="403"/>
      <c r="CC263" s="403"/>
      <c r="CD263" s="403"/>
      <c r="CE263" s="403"/>
      <c r="CF263" s="403"/>
      <c r="CG263" s="403"/>
      <c r="CH263" s="403"/>
      <c r="CI263" s="403"/>
      <c r="CJ263" s="403"/>
      <c r="CK263" s="403"/>
      <c r="CL263" s="403"/>
      <c r="CM263" s="403"/>
      <c r="CN263" s="403"/>
      <c r="CO263" s="403"/>
      <c r="CP263" s="403"/>
      <c r="CQ263" s="403"/>
      <c r="CR263" s="403"/>
      <c r="CS263" s="403"/>
      <c r="CT263" s="403"/>
      <c r="CU263" s="403"/>
      <c r="CV263" s="403"/>
      <c r="CW263" s="403"/>
      <c r="CX263" s="403"/>
      <c r="CY263" s="403"/>
      <c r="CZ263" s="403"/>
      <c r="DA263" s="403"/>
      <c r="DB263" s="403"/>
      <c r="DC263" s="403"/>
      <c r="DD263" s="403"/>
      <c r="DE263" s="403"/>
      <c r="DF263" s="403"/>
      <c r="DG263" s="403"/>
      <c r="DH263" s="403"/>
      <c r="DI263" s="403"/>
      <c r="DJ263" s="403"/>
      <c r="DK263" s="403"/>
      <c r="DL263" s="403"/>
      <c r="DM263" s="403"/>
      <c r="DN263" s="403"/>
      <c r="DO263" s="403"/>
      <c r="DP263" s="403"/>
      <c r="DQ263" s="403"/>
      <c r="DR263" s="403"/>
      <c r="DS263" s="403"/>
      <c r="DT263" s="403"/>
      <c r="DU263" s="403"/>
      <c r="DV263" s="403"/>
      <c r="DW263" s="403"/>
      <c r="DX263" s="403"/>
      <c r="DY263" s="403"/>
      <c r="DZ263" s="403"/>
      <c r="EA263" s="403"/>
      <c r="EB263" s="403"/>
      <c r="EC263" s="403"/>
      <c r="ED263" s="403"/>
      <c r="EE263" s="403"/>
      <c r="EF263" s="403"/>
      <c r="EG263" s="403"/>
      <c r="EH263" s="403"/>
      <c r="EI263" s="403"/>
      <c r="EJ263" s="403"/>
      <c r="EK263" s="403"/>
      <c r="EL263" s="403"/>
      <c r="EM263" s="403"/>
      <c r="EN263" s="403"/>
      <c r="EO263" s="403"/>
      <c r="EP263" s="403"/>
      <c r="EQ263" s="403"/>
      <c r="ER263" s="403"/>
      <c r="ES263" s="403"/>
      <c r="ET263" s="403"/>
      <c r="EU263" s="403"/>
      <c r="EV263" s="403"/>
      <c r="EW263" s="403"/>
      <c r="EX263" s="403"/>
      <c r="EY263" s="403"/>
      <c r="EZ263" s="403"/>
      <c r="FA263" s="403"/>
      <c r="FB263" s="403"/>
      <c r="FC263" s="403"/>
      <c r="FD263" s="403"/>
      <c r="FE263" s="403"/>
      <c r="FF263" s="403"/>
      <c r="FG263" s="403"/>
      <c r="FH263" s="403"/>
      <c r="FI263" s="403"/>
      <c r="FJ263" s="403"/>
      <c r="FK263" s="403"/>
      <c r="FL263" s="403"/>
      <c r="FM263" s="403"/>
      <c r="FN263" s="403"/>
      <c r="FO263" s="403"/>
      <c r="FP263" s="403"/>
      <c r="FQ263" s="403"/>
      <c r="FR263" s="403"/>
      <c r="FS263" s="403"/>
      <c r="FT263" s="403"/>
      <c r="FU263" s="403"/>
      <c r="FV263" s="403"/>
      <c r="FW263" s="403"/>
      <c r="FX263" s="403"/>
      <c r="FY263" s="403"/>
      <c r="FZ263" s="403"/>
      <c r="GA263" s="403"/>
      <c r="GB263" s="403"/>
      <c r="GC263" s="403"/>
      <c r="GD263" s="403"/>
      <c r="GE263" s="403"/>
      <c r="GF263" s="403"/>
      <c r="GG263" s="403"/>
      <c r="GH263" s="403"/>
      <c r="GI263" s="403"/>
      <c r="GJ263" s="403"/>
      <c r="GK263" s="403"/>
      <c r="GL263" s="403"/>
      <c r="GM263" s="403"/>
      <c r="GN263" s="403"/>
      <c r="GO263" s="403"/>
      <c r="GP263" s="403"/>
      <c r="GQ263" s="403"/>
      <c r="GR263" s="403"/>
      <c r="GS263" s="403"/>
      <c r="GT263" s="403"/>
      <c r="GU263" s="403"/>
      <c r="GV263" s="403"/>
      <c r="GW263" s="403"/>
      <c r="GX263" s="403"/>
      <c r="GY263" s="403"/>
      <c r="GZ263" s="403"/>
      <c r="HA263" s="403"/>
      <c r="HB263" s="403"/>
      <c r="HC263" s="403"/>
      <c r="HD263" s="403"/>
      <c r="HE263" s="403"/>
      <c r="HF263" s="403"/>
      <c r="HG263" s="403"/>
      <c r="HH263" s="403"/>
      <c r="HI263" s="403"/>
      <c r="HJ263" s="403"/>
      <c r="HK263" s="403"/>
      <c r="HL263" s="403"/>
      <c r="HM263" s="403"/>
      <c r="HN263" s="403"/>
      <c r="HO263" s="403"/>
      <c r="HP263" s="403"/>
      <c r="HQ263" s="403"/>
      <c r="HR263" s="403"/>
      <c r="HS263" s="403"/>
      <c r="HT263" s="403"/>
      <c r="HU263" s="403"/>
      <c r="HV263" s="403"/>
      <c r="HW263" s="403"/>
      <c r="HX263" s="403"/>
      <c r="HY263" s="403"/>
      <c r="HZ263" s="403"/>
      <c r="IA263" s="403"/>
      <c r="IB263" s="403"/>
      <c r="IC263" s="403"/>
      <c r="ID263" s="403"/>
      <c r="IE263" s="403"/>
      <c r="IF263" s="403"/>
      <c r="IG263" s="403"/>
      <c r="IH263" s="403"/>
      <c r="II263" s="403"/>
      <c r="IJ263" s="403"/>
      <c r="IK263" s="403"/>
      <c r="IL263" s="403"/>
      <c r="IM263" s="403"/>
      <c r="IN263" s="403"/>
      <c r="IO263" s="403"/>
      <c r="IP263" s="403"/>
      <c r="IQ263" s="403"/>
      <c r="IR263" s="403"/>
      <c r="IS263" s="403"/>
      <c r="IT263" s="403"/>
      <c r="IU263" s="403"/>
      <c r="IV263" s="403"/>
      <c r="IW263" s="403"/>
      <c r="IX263" s="403"/>
      <c r="IY263" s="403"/>
      <c r="IZ263" s="403"/>
      <c r="JA263" s="403"/>
      <c r="JB263" s="403"/>
      <c r="JC263" s="403"/>
      <c r="JD263" s="403"/>
      <c r="JE263" s="403"/>
      <c r="JF263" s="403"/>
      <c r="JG263" s="403"/>
      <c r="JH263" s="403"/>
      <c r="JI263" s="403"/>
      <c r="JJ263" s="403"/>
      <c r="JK263" s="403"/>
      <c r="JL263" s="403"/>
      <c r="JM263" s="403"/>
      <c r="JN263" s="403"/>
      <c r="JO263" s="403"/>
      <c r="JP263" s="403"/>
      <c r="JQ263" s="403"/>
      <c r="JR263" s="403"/>
      <c r="JS263" s="403"/>
      <c r="JT263" s="403"/>
    </row>
    <row r="264" spans="1:280" s="15" customFormat="1" ht="12.75" x14ac:dyDescent="0.2">
      <c r="A264" s="9"/>
      <c r="B264" s="624"/>
      <c r="C264" s="335" t="str">
        <f ca="1">IF(OFFSET(AU264,0,Lang_Order*Lang__B5)="","",OFFSET(AU264,0,Lang_Order*Lang__B5))</f>
        <v>Vaccinator Time Per Site Per Dose (hours) - Basecamp</v>
      </c>
      <c r="E264" s="26"/>
      <c r="F264" s="26"/>
      <c r="G264" s="26"/>
      <c r="H264" s="26"/>
      <c r="I264" s="26"/>
      <c r="J264" s="111">
        <f t="shared" ref="J264:O266" si="642">IF(ISERROR((J247*$G$239)/(J$243*60)),0,(J247*$G$239)/(J$243*60))</f>
        <v>0</v>
      </c>
      <c r="K264" s="111">
        <f t="shared" si="642"/>
        <v>0</v>
      </c>
      <c r="L264" s="111">
        <f t="shared" si="642"/>
        <v>0</v>
      </c>
      <c r="M264" s="111">
        <f t="shared" si="642"/>
        <v>0</v>
      </c>
      <c r="N264" s="111">
        <f t="shared" si="642"/>
        <v>0</v>
      </c>
      <c r="O264" s="111">
        <f t="shared" si="642"/>
        <v>0</v>
      </c>
      <c r="P264" s="26"/>
      <c r="Q264" s="26"/>
      <c r="R264" s="12" t="str">
        <f t="shared" ca="1" si="585"/>
        <v/>
      </c>
      <c r="S264" s="2"/>
      <c r="T264" s="241"/>
      <c r="U264" s="624"/>
      <c r="V264" s="612" t="str">
        <f ca="1">IF(OFFSET(AU264,0,Lang_Order*Lang__B5)="","",OFFSET(AU264,0,Lang_Order*Lang__B5))</f>
        <v>Vaccinator Time Per Site Per Dose (hours) - Basecamp</v>
      </c>
      <c r="W264" s="242">
        <f t="shared" ref="W264:AB266" si="643">IF(ISERROR((W247*$T$239)/(W$243*60)),0,(W247*$T$239)/(W$243*60))</f>
        <v>0</v>
      </c>
      <c r="X264" s="242">
        <f t="shared" si="643"/>
        <v>0</v>
      </c>
      <c r="Y264" s="242">
        <f t="shared" si="643"/>
        <v>0</v>
      </c>
      <c r="Z264" s="242">
        <f t="shared" si="643"/>
        <v>0</v>
      </c>
      <c r="AA264" s="242">
        <f t="shared" si="643"/>
        <v>0</v>
      </c>
      <c r="AB264" s="242">
        <f t="shared" si="643"/>
        <v>0</v>
      </c>
      <c r="AC264" s="26"/>
      <c r="AD264" s="26"/>
      <c r="AE264" s="2"/>
      <c r="AF264" s="241"/>
      <c r="AG264" s="624"/>
      <c r="AH264" s="612" t="str">
        <f ca="1">IF(OFFSET(AU264,0,Lang_Order*Lang__B5)="","",OFFSET(AU264,0,Lang_Order*Lang__B5))</f>
        <v>Vaccinator Time Per Site Per Dose (hours) - Basecamp</v>
      </c>
      <c r="AI264" s="242">
        <f t="shared" ref="AI264:AN266" si="644">IF(ISERROR((AI247*$AF$239)/(AI$243*60)),0,(AI247*$AF$239)/(AI$243*60))</f>
        <v>0</v>
      </c>
      <c r="AJ264" s="242">
        <f t="shared" si="644"/>
        <v>0</v>
      </c>
      <c r="AK264" s="242">
        <f t="shared" si="644"/>
        <v>0</v>
      </c>
      <c r="AL264" s="242">
        <f t="shared" si="644"/>
        <v>0</v>
      </c>
      <c r="AM264" s="242">
        <f t="shared" si="644"/>
        <v>0</v>
      </c>
      <c r="AN264" s="242">
        <f t="shared" si="644"/>
        <v>0</v>
      </c>
      <c r="AO264" s="26"/>
      <c r="AP264" s="26"/>
      <c r="AR264" s="403"/>
      <c r="AS264" s="403"/>
      <c r="AT264" s="403"/>
      <c r="AU264" s="403" t="s">
        <v>1693</v>
      </c>
      <c r="AV264" s="403"/>
      <c r="AW264" s="403"/>
      <c r="AX264" s="403"/>
      <c r="AY264" s="403"/>
      <c r="AZ264" s="403"/>
      <c r="BA264" s="403"/>
      <c r="BB264" s="403"/>
      <c r="BC264" s="403"/>
      <c r="BD264" s="403"/>
      <c r="BE264" s="403"/>
      <c r="BF264" s="403"/>
      <c r="BG264" s="403"/>
      <c r="BH264" s="403"/>
      <c r="BI264" s="403"/>
      <c r="BJ264" s="403"/>
      <c r="BK264" s="403"/>
      <c r="BL264" s="403"/>
      <c r="BM264" s="403"/>
      <c r="BN264" s="403"/>
      <c r="BO264" s="403"/>
      <c r="BP264" s="403"/>
      <c r="BQ264" s="403"/>
      <c r="BR264" s="403"/>
      <c r="BS264" s="403"/>
      <c r="BT264" s="403"/>
      <c r="BU264" s="403"/>
      <c r="BV264" s="403"/>
      <c r="BW264" s="403"/>
      <c r="BX264" s="403"/>
      <c r="BY264" s="403"/>
      <c r="BZ264" s="403"/>
      <c r="CA264" s="403"/>
      <c r="CB264" s="403"/>
      <c r="CC264" s="403" t="s">
        <v>12285</v>
      </c>
      <c r="CD264" s="403"/>
      <c r="CE264" s="403"/>
      <c r="CF264" s="403"/>
      <c r="CG264" s="403"/>
      <c r="CH264" s="403"/>
      <c r="CI264" s="403"/>
      <c r="CJ264" s="403"/>
      <c r="CK264" s="403"/>
      <c r="CL264" s="403"/>
      <c r="CM264" s="403"/>
      <c r="CN264" s="403"/>
      <c r="CO264" s="403"/>
      <c r="CP264" s="403"/>
      <c r="CQ264" s="403"/>
      <c r="CR264" s="403"/>
      <c r="CS264" s="403"/>
      <c r="CT264" s="403"/>
      <c r="CU264" s="403"/>
      <c r="CV264" s="403"/>
      <c r="CW264" s="403"/>
      <c r="CX264" s="403"/>
      <c r="CY264" s="403"/>
      <c r="CZ264" s="403"/>
      <c r="DA264" s="403"/>
      <c r="DB264" s="403"/>
      <c r="DC264" s="403"/>
      <c r="DD264" s="403"/>
      <c r="DE264" s="403"/>
      <c r="DF264" s="403"/>
      <c r="DG264" s="403"/>
      <c r="DH264" s="403"/>
      <c r="DI264" s="403"/>
      <c r="DJ264" s="403"/>
      <c r="DK264" s="403" t="s">
        <v>12286</v>
      </c>
      <c r="DL264" s="403"/>
      <c r="DM264" s="403"/>
      <c r="DN264" s="403"/>
      <c r="DO264" s="403"/>
      <c r="DP264" s="403"/>
      <c r="DQ264" s="403"/>
      <c r="DR264" s="403"/>
      <c r="DS264" s="403"/>
      <c r="DT264" s="403"/>
      <c r="DU264" s="403"/>
      <c r="DV264" s="403"/>
      <c r="DW264" s="403"/>
      <c r="DX264" s="403"/>
      <c r="DY264" s="403"/>
      <c r="DZ264" s="403"/>
      <c r="EA264" s="403"/>
      <c r="EB264" s="403"/>
      <c r="EC264" s="403"/>
      <c r="ED264" s="403"/>
      <c r="EE264" s="403"/>
      <c r="EF264" s="403"/>
      <c r="EG264" s="403"/>
      <c r="EH264" s="403"/>
      <c r="EI264" s="403"/>
      <c r="EJ264" s="403"/>
      <c r="EK264" s="403"/>
      <c r="EL264" s="403"/>
      <c r="EM264" s="403"/>
      <c r="EN264" s="403"/>
      <c r="EO264" s="403"/>
      <c r="EP264" s="403"/>
      <c r="EQ264" s="403"/>
      <c r="ER264" s="403"/>
      <c r="ES264" s="403" t="s">
        <v>12287</v>
      </c>
      <c r="ET264" s="403"/>
      <c r="EU264" s="403"/>
      <c r="EV264" s="403"/>
      <c r="EW264" s="403"/>
      <c r="EX264" s="403"/>
      <c r="EY264" s="403"/>
      <c r="EZ264" s="403"/>
      <c r="FA264" s="403"/>
      <c r="FB264" s="403"/>
      <c r="FC264" s="403"/>
      <c r="FD264" s="403"/>
      <c r="FE264" s="403"/>
      <c r="FF264" s="403"/>
      <c r="FG264" s="403"/>
      <c r="FH264" s="403"/>
      <c r="FI264" s="403"/>
      <c r="FJ264" s="403"/>
      <c r="FK264" s="403"/>
      <c r="FL264" s="403"/>
      <c r="FM264" s="403"/>
      <c r="FN264" s="403"/>
      <c r="FO264" s="403"/>
      <c r="FP264" s="403"/>
      <c r="FQ264" s="403"/>
      <c r="FR264" s="403"/>
      <c r="FS264" s="403"/>
      <c r="FT264" s="403"/>
      <c r="FU264" s="403"/>
      <c r="FV264" s="403"/>
      <c r="FW264" s="403"/>
      <c r="FX264" s="403"/>
      <c r="FY264" s="403"/>
      <c r="FZ264" s="403"/>
      <c r="GA264" s="403" t="s">
        <v>12288</v>
      </c>
      <c r="GB264" s="403"/>
      <c r="GC264" s="403"/>
      <c r="GD264" s="403"/>
      <c r="GE264" s="403"/>
      <c r="GF264" s="403"/>
      <c r="GG264" s="403"/>
      <c r="GH264" s="403"/>
      <c r="GI264" s="403"/>
      <c r="GJ264" s="403"/>
      <c r="GK264" s="403"/>
      <c r="GL264" s="403"/>
      <c r="GM264" s="403"/>
      <c r="GN264" s="403"/>
      <c r="GO264" s="403"/>
      <c r="GP264" s="403"/>
      <c r="GQ264" s="403"/>
      <c r="GR264" s="403"/>
      <c r="GS264" s="403"/>
      <c r="GT264" s="403"/>
      <c r="GU264" s="403"/>
      <c r="GV264" s="403"/>
      <c r="GW264" s="403"/>
      <c r="GX264" s="403"/>
      <c r="GY264" s="403"/>
      <c r="GZ264" s="403"/>
      <c r="HA264" s="403"/>
      <c r="HB264" s="403"/>
      <c r="HC264" s="403"/>
      <c r="HD264" s="403"/>
      <c r="HE264" s="403"/>
      <c r="HF264" s="403"/>
      <c r="HG264" s="403"/>
      <c r="HH264" s="403"/>
      <c r="HI264" s="403" t="s">
        <v>12289</v>
      </c>
      <c r="HJ264" s="403"/>
      <c r="HK264" s="403"/>
      <c r="HL264" s="403"/>
      <c r="HM264" s="403"/>
      <c r="HN264" s="403"/>
      <c r="HO264" s="403"/>
      <c r="HP264" s="403"/>
      <c r="HQ264" s="403"/>
      <c r="HR264" s="403"/>
      <c r="HS264" s="403"/>
      <c r="HT264" s="403"/>
      <c r="HU264" s="403"/>
      <c r="HV264" s="403"/>
      <c r="HW264" s="403"/>
      <c r="HX264" s="403"/>
      <c r="HY264" s="403"/>
      <c r="HZ264" s="403"/>
      <c r="IA264" s="403"/>
      <c r="IB264" s="403"/>
      <c r="IC264" s="403"/>
      <c r="ID264" s="403"/>
      <c r="IE264" s="403"/>
      <c r="IF264" s="403"/>
      <c r="IG264" s="403"/>
      <c r="IH264" s="403"/>
      <c r="II264" s="403"/>
      <c r="IJ264" s="403"/>
      <c r="IK264" s="403"/>
      <c r="IL264" s="403"/>
      <c r="IM264" s="403"/>
      <c r="IN264" s="403"/>
      <c r="IO264" s="403"/>
      <c r="IP264" s="403"/>
      <c r="IQ264" s="403" t="s">
        <v>12290</v>
      </c>
      <c r="IR264" s="403"/>
      <c r="IS264" s="403"/>
      <c r="IT264" s="403"/>
      <c r="IU264" s="403"/>
      <c r="IV264" s="403"/>
      <c r="IW264" s="403"/>
      <c r="IX264" s="403"/>
      <c r="IY264" s="403"/>
      <c r="IZ264" s="403"/>
      <c r="JA264" s="403"/>
      <c r="JB264" s="403"/>
      <c r="JC264" s="403"/>
      <c r="JD264" s="403"/>
      <c r="JE264" s="403"/>
      <c r="JF264" s="403"/>
      <c r="JG264" s="403"/>
      <c r="JH264" s="403"/>
      <c r="JI264" s="403"/>
      <c r="JJ264" s="403"/>
      <c r="JK264" s="403"/>
      <c r="JL264" s="403"/>
      <c r="JM264" s="403"/>
      <c r="JN264" s="403"/>
      <c r="JO264" s="403"/>
      <c r="JP264" s="403"/>
      <c r="JQ264" s="403"/>
      <c r="JR264" s="403"/>
      <c r="JS264" s="403"/>
      <c r="JT264" s="403"/>
    </row>
    <row r="265" spans="1:280" s="15" customFormat="1" ht="12.75" x14ac:dyDescent="0.2">
      <c r="A265" s="9"/>
      <c r="B265" s="624"/>
      <c r="C265" s="335" t="str">
        <f ca="1">IF(OFFSET(AU265,0,Lang_Order*Lang__B5)="","",OFFSET(AU265,0,Lang_Order*Lang__B5))</f>
        <v>Vaccinator Time Per Site Per Dose (hours) - Mobile A</v>
      </c>
      <c r="E265" s="26"/>
      <c r="F265" s="26"/>
      <c r="G265" s="26"/>
      <c r="H265" s="26"/>
      <c r="I265" s="26"/>
      <c r="J265" s="111">
        <f t="shared" si="642"/>
        <v>0</v>
      </c>
      <c r="K265" s="111">
        <f t="shared" si="642"/>
        <v>0</v>
      </c>
      <c r="L265" s="111">
        <f t="shared" si="642"/>
        <v>0</v>
      </c>
      <c r="M265" s="111">
        <f t="shared" si="642"/>
        <v>0</v>
      </c>
      <c r="N265" s="111">
        <f t="shared" si="642"/>
        <v>0</v>
      </c>
      <c r="O265" s="111">
        <f t="shared" si="642"/>
        <v>0</v>
      </c>
      <c r="P265" s="26"/>
      <c r="Q265" s="26"/>
      <c r="R265" s="12" t="str">
        <f t="shared" ca="1" si="585"/>
        <v/>
      </c>
      <c r="S265" s="2"/>
      <c r="T265" s="241"/>
      <c r="U265" s="624"/>
      <c r="V265" s="612" t="str">
        <f ca="1">IF(OFFSET(AU265,0,Lang_Order*Lang__B5)="","",OFFSET(AU265,0,Lang_Order*Lang__B5))</f>
        <v>Vaccinator Time Per Site Per Dose (hours) - Mobile A</v>
      </c>
      <c r="W265" s="242">
        <f t="shared" si="643"/>
        <v>0</v>
      </c>
      <c r="X265" s="242">
        <f t="shared" si="643"/>
        <v>0</v>
      </c>
      <c r="Y265" s="242">
        <f t="shared" si="643"/>
        <v>0</v>
      </c>
      <c r="Z265" s="242">
        <f t="shared" si="643"/>
        <v>0</v>
      </c>
      <c r="AA265" s="242">
        <f t="shared" si="643"/>
        <v>0</v>
      </c>
      <c r="AB265" s="242">
        <f t="shared" si="643"/>
        <v>0</v>
      </c>
      <c r="AC265" s="26"/>
      <c r="AD265" s="26"/>
      <c r="AE265" s="2"/>
      <c r="AF265" s="241"/>
      <c r="AG265" s="624"/>
      <c r="AH265" s="612" t="str">
        <f ca="1">IF(OFFSET(AU265,0,Lang_Order*Lang__B5)="","",OFFSET(AU265,0,Lang_Order*Lang__B5))</f>
        <v>Vaccinator Time Per Site Per Dose (hours) - Mobile A</v>
      </c>
      <c r="AI265" s="242">
        <f t="shared" si="644"/>
        <v>0</v>
      </c>
      <c r="AJ265" s="242">
        <f t="shared" si="644"/>
        <v>0</v>
      </c>
      <c r="AK265" s="242">
        <f t="shared" si="644"/>
        <v>0</v>
      </c>
      <c r="AL265" s="242">
        <f t="shared" si="644"/>
        <v>0</v>
      </c>
      <c r="AM265" s="242">
        <f t="shared" si="644"/>
        <v>0</v>
      </c>
      <c r="AN265" s="242">
        <f t="shared" si="644"/>
        <v>0</v>
      </c>
      <c r="AO265" s="26"/>
      <c r="AP265" s="26"/>
      <c r="AR265" s="403"/>
      <c r="AS265" s="403"/>
      <c r="AT265" s="403"/>
      <c r="AU265" s="403" t="s">
        <v>1694</v>
      </c>
      <c r="AV265" s="403"/>
      <c r="AW265" s="403"/>
      <c r="AX265" s="403"/>
      <c r="AY265" s="403"/>
      <c r="AZ265" s="403"/>
      <c r="BA265" s="403"/>
      <c r="BB265" s="403"/>
      <c r="BC265" s="403"/>
      <c r="BD265" s="403"/>
      <c r="BE265" s="403"/>
      <c r="BF265" s="403"/>
      <c r="BG265" s="403"/>
      <c r="BH265" s="403"/>
      <c r="BI265" s="403"/>
      <c r="BJ265" s="403"/>
      <c r="BK265" s="403"/>
      <c r="BL265" s="403"/>
      <c r="BM265" s="403"/>
      <c r="BN265" s="403"/>
      <c r="BO265" s="403"/>
      <c r="BP265" s="403"/>
      <c r="BQ265" s="403"/>
      <c r="BR265" s="403"/>
      <c r="BS265" s="403"/>
      <c r="BT265" s="403"/>
      <c r="BU265" s="403"/>
      <c r="BV265" s="403"/>
      <c r="BW265" s="403"/>
      <c r="BX265" s="403"/>
      <c r="BY265" s="403"/>
      <c r="BZ265" s="403"/>
      <c r="CA265" s="403"/>
      <c r="CB265" s="403"/>
      <c r="CC265" s="403" t="s">
        <v>12291</v>
      </c>
      <c r="CD265" s="403"/>
      <c r="CE265" s="403"/>
      <c r="CF265" s="403"/>
      <c r="CG265" s="403"/>
      <c r="CH265" s="403"/>
      <c r="CI265" s="403"/>
      <c r="CJ265" s="403"/>
      <c r="CK265" s="403"/>
      <c r="CL265" s="403"/>
      <c r="CM265" s="403"/>
      <c r="CN265" s="403"/>
      <c r="CO265" s="403"/>
      <c r="CP265" s="403"/>
      <c r="CQ265" s="403"/>
      <c r="CR265" s="403"/>
      <c r="CS265" s="403"/>
      <c r="CT265" s="403"/>
      <c r="CU265" s="403"/>
      <c r="CV265" s="403"/>
      <c r="CW265" s="403"/>
      <c r="CX265" s="403"/>
      <c r="CY265" s="403"/>
      <c r="CZ265" s="403"/>
      <c r="DA265" s="403"/>
      <c r="DB265" s="403"/>
      <c r="DC265" s="403"/>
      <c r="DD265" s="403"/>
      <c r="DE265" s="403"/>
      <c r="DF265" s="403"/>
      <c r="DG265" s="403"/>
      <c r="DH265" s="403"/>
      <c r="DI265" s="403"/>
      <c r="DJ265" s="403"/>
      <c r="DK265" s="403" t="s">
        <v>12292</v>
      </c>
      <c r="DL265" s="403"/>
      <c r="DM265" s="403"/>
      <c r="DN265" s="403"/>
      <c r="DO265" s="403"/>
      <c r="DP265" s="403"/>
      <c r="DQ265" s="403"/>
      <c r="DR265" s="403"/>
      <c r="DS265" s="403"/>
      <c r="DT265" s="403"/>
      <c r="DU265" s="403"/>
      <c r="DV265" s="403"/>
      <c r="DW265" s="403"/>
      <c r="DX265" s="403"/>
      <c r="DY265" s="403"/>
      <c r="DZ265" s="403"/>
      <c r="EA265" s="403"/>
      <c r="EB265" s="403"/>
      <c r="EC265" s="403"/>
      <c r="ED265" s="403"/>
      <c r="EE265" s="403"/>
      <c r="EF265" s="403"/>
      <c r="EG265" s="403"/>
      <c r="EH265" s="403"/>
      <c r="EI265" s="403"/>
      <c r="EJ265" s="403"/>
      <c r="EK265" s="403"/>
      <c r="EL265" s="403"/>
      <c r="EM265" s="403"/>
      <c r="EN265" s="403"/>
      <c r="EO265" s="403"/>
      <c r="EP265" s="403"/>
      <c r="EQ265" s="403"/>
      <c r="ER265" s="403"/>
      <c r="ES265" s="403" t="s">
        <v>12293</v>
      </c>
      <c r="ET265" s="403"/>
      <c r="EU265" s="403"/>
      <c r="EV265" s="403"/>
      <c r="EW265" s="403"/>
      <c r="EX265" s="403"/>
      <c r="EY265" s="403"/>
      <c r="EZ265" s="403"/>
      <c r="FA265" s="403"/>
      <c r="FB265" s="403"/>
      <c r="FC265" s="403"/>
      <c r="FD265" s="403"/>
      <c r="FE265" s="403"/>
      <c r="FF265" s="403"/>
      <c r="FG265" s="403"/>
      <c r="FH265" s="403"/>
      <c r="FI265" s="403"/>
      <c r="FJ265" s="403"/>
      <c r="FK265" s="403"/>
      <c r="FL265" s="403"/>
      <c r="FM265" s="403"/>
      <c r="FN265" s="403"/>
      <c r="FO265" s="403"/>
      <c r="FP265" s="403"/>
      <c r="FQ265" s="403"/>
      <c r="FR265" s="403"/>
      <c r="FS265" s="403"/>
      <c r="FT265" s="403"/>
      <c r="FU265" s="403"/>
      <c r="FV265" s="403"/>
      <c r="FW265" s="403"/>
      <c r="FX265" s="403"/>
      <c r="FY265" s="403"/>
      <c r="FZ265" s="403"/>
      <c r="GA265" s="403" t="s">
        <v>12294</v>
      </c>
      <c r="GB265" s="403"/>
      <c r="GC265" s="403"/>
      <c r="GD265" s="403"/>
      <c r="GE265" s="403"/>
      <c r="GF265" s="403"/>
      <c r="GG265" s="403"/>
      <c r="GH265" s="403"/>
      <c r="GI265" s="403"/>
      <c r="GJ265" s="403"/>
      <c r="GK265" s="403"/>
      <c r="GL265" s="403"/>
      <c r="GM265" s="403"/>
      <c r="GN265" s="403"/>
      <c r="GO265" s="403"/>
      <c r="GP265" s="403"/>
      <c r="GQ265" s="403"/>
      <c r="GR265" s="403"/>
      <c r="GS265" s="403"/>
      <c r="GT265" s="403"/>
      <c r="GU265" s="403"/>
      <c r="GV265" s="403"/>
      <c r="GW265" s="403"/>
      <c r="GX265" s="403"/>
      <c r="GY265" s="403"/>
      <c r="GZ265" s="403"/>
      <c r="HA265" s="403"/>
      <c r="HB265" s="403"/>
      <c r="HC265" s="403"/>
      <c r="HD265" s="403"/>
      <c r="HE265" s="403"/>
      <c r="HF265" s="403"/>
      <c r="HG265" s="403"/>
      <c r="HH265" s="403"/>
      <c r="HI265" s="403" t="s">
        <v>12295</v>
      </c>
      <c r="HJ265" s="403"/>
      <c r="HK265" s="403"/>
      <c r="HL265" s="403"/>
      <c r="HM265" s="403"/>
      <c r="HN265" s="403"/>
      <c r="HO265" s="403"/>
      <c r="HP265" s="403"/>
      <c r="HQ265" s="403"/>
      <c r="HR265" s="403"/>
      <c r="HS265" s="403"/>
      <c r="HT265" s="403"/>
      <c r="HU265" s="403"/>
      <c r="HV265" s="403"/>
      <c r="HW265" s="403"/>
      <c r="HX265" s="403"/>
      <c r="HY265" s="403"/>
      <c r="HZ265" s="403"/>
      <c r="IA265" s="403"/>
      <c r="IB265" s="403"/>
      <c r="IC265" s="403"/>
      <c r="ID265" s="403"/>
      <c r="IE265" s="403"/>
      <c r="IF265" s="403"/>
      <c r="IG265" s="403"/>
      <c r="IH265" s="403"/>
      <c r="II265" s="403"/>
      <c r="IJ265" s="403"/>
      <c r="IK265" s="403"/>
      <c r="IL265" s="403"/>
      <c r="IM265" s="403"/>
      <c r="IN265" s="403"/>
      <c r="IO265" s="403"/>
      <c r="IP265" s="403"/>
      <c r="IQ265" s="403" t="s">
        <v>12296</v>
      </c>
      <c r="IR265" s="403"/>
      <c r="IS265" s="403"/>
      <c r="IT265" s="403"/>
      <c r="IU265" s="403"/>
      <c r="IV265" s="403"/>
      <c r="IW265" s="403"/>
      <c r="IX265" s="403"/>
      <c r="IY265" s="403"/>
      <c r="IZ265" s="403"/>
      <c r="JA265" s="403"/>
      <c r="JB265" s="403"/>
      <c r="JC265" s="403"/>
      <c r="JD265" s="403"/>
      <c r="JE265" s="403"/>
      <c r="JF265" s="403"/>
      <c r="JG265" s="403"/>
      <c r="JH265" s="403"/>
      <c r="JI265" s="403"/>
      <c r="JJ265" s="403"/>
      <c r="JK265" s="403"/>
      <c r="JL265" s="403"/>
      <c r="JM265" s="403"/>
      <c r="JN265" s="403"/>
      <c r="JO265" s="403"/>
      <c r="JP265" s="403"/>
      <c r="JQ265" s="403"/>
      <c r="JR265" s="403"/>
      <c r="JS265" s="403"/>
      <c r="JT265" s="403"/>
    </row>
    <row r="266" spans="1:280" s="15" customFormat="1" ht="12.75" x14ac:dyDescent="0.2">
      <c r="A266" s="9"/>
      <c r="B266" s="624"/>
      <c r="C266" s="335" t="str">
        <f ca="1">IF(OFFSET(AU266,0,Lang_Order*Lang__B5)="","",OFFSET(AU266,0,Lang_Order*Lang__B5))</f>
        <v>Vaccinator Time Per Site Per Dose (hours) - Mobile B</v>
      </c>
      <c r="E266" s="26"/>
      <c r="F266" s="26"/>
      <c r="G266" s="26"/>
      <c r="H266" s="26"/>
      <c r="I266" s="26"/>
      <c r="J266" s="111">
        <f t="shared" si="642"/>
        <v>0</v>
      </c>
      <c r="K266" s="111">
        <f t="shared" si="642"/>
        <v>0</v>
      </c>
      <c r="L266" s="111">
        <f t="shared" si="642"/>
        <v>0</v>
      </c>
      <c r="M266" s="111">
        <f t="shared" si="642"/>
        <v>0</v>
      </c>
      <c r="N266" s="111">
        <f t="shared" si="642"/>
        <v>0</v>
      </c>
      <c r="O266" s="111">
        <f t="shared" si="642"/>
        <v>0</v>
      </c>
      <c r="P266" s="26"/>
      <c r="Q266" s="26"/>
      <c r="R266" s="12" t="str">
        <f t="shared" ca="1" si="585"/>
        <v/>
      </c>
      <c r="S266" s="2"/>
      <c r="T266" s="241"/>
      <c r="U266" s="624"/>
      <c r="V266" s="612" t="str">
        <f ca="1">IF(OFFSET(AU266,0,Lang_Order*Lang__B5)="","",OFFSET(AU266,0,Lang_Order*Lang__B5))</f>
        <v>Vaccinator Time Per Site Per Dose (hours) - Mobile B</v>
      </c>
      <c r="W266" s="242">
        <f t="shared" si="643"/>
        <v>0</v>
      </c>
      <c r="X266" s="242">
        <f t="shared" si="643"/>
        <v>0</v>
      </c>
      <c r="Y266" s="242">
        <f t="shared" si="643"/>
        <v>0</v>
      </c>
      <c r="Z266" s="242">
        <f t="shared" si="643"/>
        <v>0</v>
      </c>
      <c r="AA266" s="242">
        <f t="shared" si="643"/>
        <v>0</v>
      </c>
      <c r="AB266" s="242">
        <f t="shared" si="643"/>
        <v>0</v>
      </c>
      <c r="AC266" s="26"/>
      <c r="AD266" s="26"/>
      <c r="AE266" s="2"/>
      <c r="AF266" s="241"/>
      <c r="AG266" s="624"/>
      <c r="AH266" s="612" t="str">
        <f ca="1">IF(OFFSET(AU266,0,Lang_Order*Lang__B5)="","",OFFSET(AU266,0,Lang_Order*Lang__B5))</f>
        <v>Vaccinator Time Per Site Per Dose (hours) - Mobile B</v>
      </c>
      <c r="AI266" s="242">
        <f t="shared" si="644"/>
        <v>0</v>
      </c>
      <c r="AJ266" s="242">
        <f t="shared" si="644"/>
        <v>0</v>
      </c>
      <c r="AK266" s="242">
        <f t="shared" si="644"/>
        <v>0</v>
      </c>
      <c r="AL266" s="242">
        <f t="shared" si="644"/>
        <v>0</v>
      </c>
      <c r="AM266" s="242">
        <f t="shared" si="644"/>
        <v>0</v>
      </c>
      <c r="AN266" s="242">
        <f t="shared" si="644"/>
        <v>0</v>
      </c>
      <c r="AO266" s="26"/>
      <c r="AP266" s="26"/>
      <c r="AR266" s="403"/>
      <c r="AS266" s="403"/>
      <c r="AT266" s="403"/>
      <c r="AU266" s="403" t="s">
        <v>1695</v>
      </c>
      <c r="AV266" s="403"/>
      <c r="AW266" s="403"/>
      <c r="AX266" s="403"/>
      <c r="AY266" s="403"/>
      <c r="AZ266" s="403"/>
      <c r="BA266" s="403"/>
      <c r="BB266" s="403"/>
      <c r="BC266" s="403"/>
      <c r="BD266" s="403"/>
      <c r="BE266" s="403"/>
      <c r="BF266" s="403"/>
      <c r="BG266" s="403"/>
      <c r="BH266" s="403"/>
      <c r="BI266" s="403"/>
      <c r="BJ266" s="403"/>
      <c r="BK266" s="403"/>
      <c r="BL266" s="403"/>
      <c r="BM266" s="403"/>
      <c r="BN266" s="403"/>
      <c r="BO266" s="403"/>
      <c r="BP266" s="403"/>
      <c r="BQ266" s="403"/>
      <c r="BR266" s="403"/>
      <c r="BS266" s="403"/>
      <c r="BT266" s="403"/>
      <c r="BU266" s="403"/>
      <c r="BV266" s="403"/>
      <c r="BW266" s="403"/>
      <c r="BX266" s="403"/>
      <c r="BY266" s="403"/>
      <c r="BZ266" s="403"/>
      <c r="CA266" s="403"/>
      <c r="CB266" s="403"/>
      <c r="CC266" s="403" t="s">
        <v>12297</v>
      </c>
      <c r="CD266" s="403"/>
      <c r="CE266" s="403"/>
      <c r="CF266" s="403"/>
      <c r="CG266" s="403"/>
      <c r="CH266" s="403"/>
      <c r="CI266" s="403"/>
      <c r="CJ266" s="403"/>
      <c r="CK266" s="403"/>
      <c r="CL266" s="403"/>
      <c r="CM266" s="403"/>
      <c r="CN266" s="403"/>
      <c r="CO266" s="403"/>
      <c r="CP266" s="403"/>
      <c r="CQ266" s="403"/>
      <c r="CR266" s="403"/>
      <c r="CS266" s="403"/>
      <c r="CT266" s="403"/>
      <c r="CU266" s="403"/>
      <c r="CV266" s="403"/>
      <c r="CW266" s="403"/>
      <c r="CX266" s="403"/>
      <c r="CY266" s="403"/>
      <c r="CZ266" s="403"/>
      <c r="DA266" s="403"/>
      <c r="DB266" s="403"/>
      <c r="DC266" s="403"/>
      <c r="DD266" s="403"/>
      <c r="DE266" s="403"/>
      <c r="DF266" s="403"/>
      <c r="DG266" s="403"/>
      <c r="DH266" s="403"/>
      <c r="DI266" s="403"/>
      <c r="DJ266" s="403"/>
      <c r="DK266" s="403" t="s">
        <v>12298</v>
      </c>
      <c r="DL266" s="403"/>
      <c r="DM266" s="403"/>
      <c r="DN266" s="403"/>
      <c r="DO266" s="403"/>
      <c r="DP266" s="403"/>
      <c r="DQ266" s="403"/>
      <c r="DR266" s="403"/>
      <c r="DS266" s="403"/>
      <c r="DT266" s="403"/>
      <c r="DU266" s="403"/>
      <c r="DV266" s="403"/>
      <c r="DW266" s="403"/>
      <c r="DX266" s="403"/>
      <c r="DY266" s="403"/>
      <c r="DZ266" s="403"/>
      <c r="EA266" s="403"/>
      <c r="EB266" s="403"/>
      <c r="EC266" s="403"/>
      <c r="ED266" s="403"/>
      <c r="EE266" s="403"/>
      <c r="EF266" s="403"/>
      <c r="EG266" s="403"/>
      <c r="EH266" s="403"/>
      <c r="EI266" s="403"/>
      <c r="EJ266" s="403"/>
      <c r="EK266" s="403"/>
      <c r="EL266" s="403"/>
      <c r="EM266" s="403"/>
      <c r="EN266" s="403"/>
      <c r="EO266" s="403"/>
      <c r="EP266" s="403"/>
      <c r="EQ266" s="403"/>
      <c r="ER266" s="403"/>
      <c r="ES266" s="403" t="s">
        <v>12299</v>
      </c>
      <c r="ET266" s="403"/>
      <c r="EU266" s="403"/>
      <c r="EV266" s="403"/>
      <c r="EW266" s="403"/>
      <c r="EX266" s="403"/>
      <c r="EY266" s="403"/>
      <c r="EZ266" s="403"/>
      <c r="FA266" s="403"/>
      <c r="FB266" s="403"/>
      <c r="FC266" s="403"/>
      <c r="FD266" s="403"/>
      <c r="FE266" s="403"/>
      <c r="FF266" s="403"/>
      <c r="FG266" s="403"/>
      <c r="FH266" s="403"/>
      <c r="FI266" s="403"/>
      <c r="FJ266" s="403"/>
      <c r="FK266" s="403"/>
      <c r="FL266" s="403"/>
      <c r="FM266" s="403"/>
      <c r="FN266" s="403"/>
      <c r="FO266" s="403"/>
      <c r="FP266" s="403"/>
      <c r="FQ266" s="403"/>
      <c r="FR266" s="403"/>
      <c r="FS266" s="403"/>
      <c r="FT266" s="403"/>
      <c r="FU266" s="403"/>
      <c r="FV266" s="403"/>
      <c r="FW266" s="403"/>
      <c r="FX266" s="403"/>
      <c r="FY266" s="403"/>
      <c r="FZ266" s="403"/>
      <c r="GA266" s="403" t="s">
        <v>12300</v>
      </c>
      <c r="GB266" s="403"/>
      <c r="GC266" s="403"/>
      <c r="GD266" s="403"/>
      <c r="GE266" s="403"/>
      <c r="GF266" s="403"/>
      <c r="GG266" s="403"/>
      <c r="GH266" s="403"/>
      <c r="GI266" s="403"/>
      <c r="GJ266" s="403"/>
      <c r="GK266" s="403"/>
      <c r="GL266" s="403"/>
      <c r="GM266" s="403"/>
      <c r="GN266" s="403"/>
      <c r="GO266" s="403"/>
      <c r="GP266" s="403"/>
      <c r="GQ266" s="403"/>
      <c r="GR266" s="403"/>
      <c r="GS266" s="403"/>
      <c r="GT266" s="403"/>
      <c r="GU266" s="403"/>
      <c r="GV266" s="403"/>
      <c r="GW266" s="403"/>
      <c r="GX266" s="403"/>
      <c r="GY266" s="403"/>
      <c r="GZ266" s="403"/>
      <c r="HA266" s="403"/>
      <c r="HB266" s="403"/>
      <c r="HC266" s="403"/>
      <c r="HD266" s="403"/>
      <c r="HE266" s="403"/>
      <c r="HF266" s="403"/>
      <c r="HG266" s="403"/>
      <c r="HH266" s="403"/>
      <c r="HI266" s="403" t="s">
        <v>12301</v>
      </c>
      <c r="HJ266" s="403"/>
      <c r="HK266" s="403"/>
      <c r="HL266" s="403"/>
      <c r="HM266" s="403"/>
      <c r="HN266" s="403"/>
      <c r="HO266" s="403"/>
      <c r="HP266" s="403"/>
      <c r="HQ266" s="403"/>
      <c r="HR266" s="403"/>
      <c r="HS266" s="403"/>
      <c r="HT266" s="403"/>
      <c r="HU266" s="403"/>
      <c r="HV266" s="403"/>
      <c r="HW266" s="403"/>
      <c r="HX266" s="403"/>
      <c r="HY266" s="403"/>
      <c r="HZ266" s="403"/>
      <c r="IA266" s="403"/>
      <c r="IB266" s="403"/>
      <c r="IC266" s="403"/>
      <c r="ID266" s="403"/>
      <c r="IE266" s="403"/>
      <c r="IF266" s="403"/>
      <c r="IG266" s="403"/>
      <c r="IH266" s="403"/>
      <c r="II266" s="403"/>
      <c r="IJ266" s="403"/>
      <c r="IK266" s="403"/>
      <c r="IL266" s="403"/>
      <c r="IM266" s="403"/>
      <c r="IN266" s="403"/>
      <c r="IO266" s="403"/>
      <c r="IP266" s="403"/>
      <c r="IQ266" s="403" t="s">
        <v>12302</v>
      </c>
      <c r="IR266" s="403"/>
      <c r="IS266" s="403"/>
      <c r="IT266" s="403"/>
      <c r="IU266" s="403"/>
      <c r="IV266" s="403"/>
      <c r="IW266" s="403"/>
      <c r="IX266" s="403"/>
      <c r="IY266" s="403"/>
      <c r="IZ266" s="403"/>
      <c r="JA266" s="403"/>
      <c r="JB266" s="403"/>
      <c r="JC266" s="403"/>
      <c r="JD266" s="403"/>
      <c r="JE266" s="403"/>
      <c r="JF266" s="403"/>
      <c r="JG266" s="403"/>
      <c r="JH266" s="403"/>
      <c r="JI266" s="403"/>
      <c r="JJ266" s="403"/>
      <c r="JK266" s="403"/>
      <c r="JL266" s="403"/>
      <c r="JM266" s="403"/>
      <c r="JN266" s="403"/>
      <c r="JO266" s="403"/>
      <c r="JP266" s="403"/>
      <c r="JQ266" s="403"/>
      <c r="JR266" s="403"/>
      <c r="JS266" s="403"/>
      <c r="JT266" s="403"/>
    </row>
    <row r="267" spans="1:280" s="15" customFormat="1" ht="12.75" x14ac:dyDescent="0.2">
      <c r="A267" s="9"/>
      <c r="B267" s="624"/>
      <c r="C267" s="23"/>
      <c r="E267" s="26"/>
      <c r="F267" s="26"/>
      <c r="G267" s="26"/>
      <c r="H267" s="26"/>
      <c r="I267" s="26"/>
      <c r="J267" s="26"/>
      <c r="K267" s="26"/>
      <c r="L267" s="26"/>
      <c r="M267" s="26"/>
      <c r="N267" s="26"/>
      <c r="O267" s="26"/>
      <c r="P267" s="26"/>
      <c r="Q267" s="26"/>
      <c r="R267" s="12" t="str">
        <f t="shared" ca="1" si="585"/>
        <v/>
      </c>
      <c r="S267" s="2"/>
      <c r="T267" s="241"/>
      <c r="U267" s="624"/>
      <c r="V267" s="72"/>
      <c r="W267" s="26"/>
      <c r="X267" s="26"/>
      <c r="Y267" s="26"/>
      <c r="Z267" s="26"/>
      <c r="AA267" s="26"/>
      <c r="AB267" s="26"/>
      <c r="AC267" s="26"/>
      <c r="AD267" s="26"/>
      <c r="AE267" s="2"/>
      <c r="AF267" s="241"/>
      <c r="AG267" s="624"/>
      <c r="AH267" s="72"/>
      <c r="AI267" s="26"/>
      <c r="AJ267" s="26"/>
      <c r="AK267" s="26"/>
      <c r="AL267" s="26"/>
      <c r="AM267" s="26"/>
      <c r="AN267" s="26"/>
      <c r="AO267" s="26"/>
      <c r="AP267" s="26"/>
      <c r="AR267" s="403"/>
      <c r="AS267" s="403"/>
      <c r="AT267" s="403"/>
      <c r="AU267" s="403"/>
      <c r="AV267" s="403"/>
      <c r="AW267" s="403"/>
      <c r="AX267" s="403"/>
      <c r="AY267" s="403"/>
      <c r="AZ267" s="403"/>
      <c r="BA267" s="403"/>
      <c r="BB267" s="403"/>
      <c r="BC267" s="403"/>
      <c r="BD267" s="403"/>
      <c r="BE267" s="403"/>
      <c r="BF267" s="403"/>
      <c r="BG267" s="403"/>
      <c r="BH267" s="403"/>
      <c r="BI267" s="403"/>
      <c r="BJ267" s="403"/>
      <c r="BK267" s="403"/>
      <c r="BL267" s="403"/>
      <c r="BM267" s="403"/>
      <c r="BN267" s="403"/>
      <c r="BO267" s="403"/>
      <c r="BP267" s="403"/>
      <c r="BQ267" s="403"/>
      <c r="BR267" s="403"/>
      <c r="BS267" s="403"/>
      <c r="BT267" s="403"/>
      <c r="BU267" s="403"/>
      <c r="BV267" s="403"/>
      <c r="BW267" s="403"/>
      <c r="BX267" s="403"/>
      <c r="BY267" s="403"/>
      <c r="BZ267" s="403"/>
      <c r="CA267" s="403"/>
      <c r="CB267" s="403"/>
      <c r="CC267" s="403"/>
      <c r="CD267" s="403"/>
      <c r="CE267" s="403"/>
      <c r="CF267" s="403"/>
      <c r="CG267" s="403"/>
      <c r="CH267" s="403"/>
      <c r="CI267" s="403"/>
      <c r="CJ267" s="403"/>
      <c r="CK267" s="403"/>
      <c r="CL267" s="403"/>
      <c r="CM267" s="403"/>
      <c r="CN267" s="403"/>
      <c r="CO267" s="403"/>
      <c r="CP267" s="403"/>
      <c r="CQ267" s="403"/>
      <c r="CR267" s="403"/>
      <c r="CS267" s="403"/>
      <c r="CT267" s="403"/>
      <c r="CU267" s="403"/>
      <c r="CV267" s="403"/>
      <c r="CW267" s="403"/>
      <c r="CX267" s="403"/>
      <c r="CY267" s="403"/>
      <c r="CZ267" s="403"/>
      <c r="DA267" s="403"/>
      <c r="DB267" s="403"/>
      <c r="DC267" s="403"/>
      <c r="DD267" s="403"/>
      <c r="DE267" s="403"/>
      <c r="DF267" s="403"/>
      <c r="DG267" s="403"/>
      <c r="DH267" s="403"/>
      <c r="DI267" s="403"/>
      <c r="DJ267" s="403"/>
      <c r="DK267" s="403"/>
      <c r="DL267" s="403"/>
      <c r="DM267" s="403"/>
      <c r="DN267" s="403"/>
      <c r="DO267" s="403"/>
      <c r="DP267" s="403"/>
      <c r="DQ267" s="403"/>
      <c r="DR267" s="403"/>
      <c r="DS267" s="403"/>
      <c r="DT267" s="403"/>
      <c r="DU267" s="403"/>
      <c r="DV267" s="403"/>
      <c r="DW267" s="403"/>
      <c r="DX267" s="403"/>
      <c r="DY267" s="403"/>
      <c r="DZ267" s="403"/>
      <c r="EA267" s="403"/>
      <c r="EB267" s="403"/>
      <c r="EC267" s="403"/>
      <c r="ED267" s="403"/>
      <c r="EE267" s="403"/>
      <c r="EF267" s="403"/>
      <c r="EG267" s="403"/>
      <c r="EH267" s="403"/>
      <c r="EI267" s="403"/>
      <c r="EJ267" s="403"/>
      <c r="EK267" s="403"/>
      <c r="EL267" s="403"/>
      <c r="EM267" s="403"/>
      <c r="EN267" s="403"/>
      <c r="EO267" s="403"/>
      <c r="EP267" s="403"/>
      <c r="EQ267" s="403"/>
      <c r="ER267" s="403"/>
      <c r="ES267" s="403"/>
      <c r="ET267" s="403"/>
      <c r="EU267" s="403"/>
      <c r="EV267" s="403"/>
      <c r="EW267" s="403"/>
      <c r="EX267" s="403"/>
      <c r="EY267" s="403"/>
      <c r="EZ267" s="403"/>
      <c r="FA267" s="403"/>
      <c r="FB267" s="403"/>
      <c r="FC267" s="403"/>
      <c r="FD267" s="403"/>
      <c r="FE267" s="403"/>
      <c r="FF267" s="403"/>
      <c r="FG267" s="403"/>
      <c r="FH267" s="403"/>
      <c r="FI267" s="403"/>
      <c r="FJ267" s="403"/>
      <c r="FK267" s="403"/>
      <c r="FL267" s="403"/>
      <c r="FM267" s="403"/>
      <c r="FN267" s="403"/>
      <c r="FO267" s="403"/>
      <c r="FP267" s="403"/>
      <c r="FQ267" s="403"/>
      <c r="FR267" s="403"/>
      <c r="FS267" s="403"/>
      <c r="FT267" s="403"/>
      <c r="FU267" s="403"/>
      <c r="FV267" s="403"/>
      <c r="FW267" s="403"/>
      <c r="FX267" s="403"/>
      <c r="FY267" s="403"/>
      <c r="FZ267" s="403"/>
      <c r="GA267" s="403"/>
      <c r="GB267" s="403"/>
      <c r="GC267" s="403"/>
      <c r="GD267" s="403"/>
      <c r="GE267" s="403"/>
      <c r="GF267" s="403"/>
      <c r="GG267" s="403"/>
      <c r="GH267" s="403"/>
      <c r="GI267" s="403"/>
      <c r="GJ267" s="403"/>
      <c r="GK267" s="403"/>
      <c r="GL267" s="403"/>
      <c r="GM267" s="403"/>
      <c r="GN267" s="403"/>
      <c r="GO267" s="403"/>
      <c r="GP267" s="403"/>
      <c r="GQ267" s="403"/>
      <c r="GR267" s="403"/>
      <c r="GS267" s="403"/>
      <c r="GT267" s="403"/>
      <c r="GU267" s="403"/>
      <c r="GV267" s="403"/>
      <c r="GW267" s="403"/>
      <c r="GX267" s="403"/>
      <c r="GY267" s="403"/>
      <c r="GZ267" s="403"/>
      <c r="HA267" s="403"/>
      <c r="HB267" s="403"/>
      <c r="HC267" s="403"/>
      <c r="HD267" s="403"/>
      <c r="HE267" s="403"/>
      <c r="HF267" s="403"/>
      <c r="HG267" s="403"/>
      <c r="HH267" s="403"/>
      <c r="HI267" s="403"/>
      <c r="HJ267" s="403"/>
      <c r="HK267" s="403"/>
      <c r="HL267" s="403"/>
      <c r="HM267" s="403"/>
      <c r="HN267" s="403"/>
      <c r="HO267" s="403"/>
      <c r="HP267" s="403"/>
      <c r="HQ267" s="403"/>
      <c r="HR267" s="403"/>
      <c r="HS267" s="403"/>
      <c r="HT267" s="403"/>
      <c r="HU267" s="403"/>
      <c r="HV267" s="403"/>
      <c r="HW267" s="403"/>
      <c r="HX267" s="403"/>
      <c r="HY267" s="403"/>
      <c r="HZ267" s="403"/>
      <c r="IA267" s="403"/>
      <c r="IB267" s="403"/>
      <c r="IC267" s="403"/>
      <c r="ID267" s="403"/>
      <c r="IE267" s="403"/>
      <c r="IF267" s="403"/>
      <c r="IG267" s="403"/>
      <c r="IH267" s="403"/>
      <c r="II267" s="403"/>
      <c r="IJ267" s="403"/>
      <c r="IK267" s="403"/>
      <c r="IL267" s="403"/>
      <c r="IM267" s="403"/>
      <c r="IN267" s="403"/>
      <c r="IO267" s="403"/>
      <c r="IP267" s="403"/>
      <c r="IQ267" s="403"/>
      <c r="IR267" s="403"/>
      <c r="IS267" s="403"/>
      <c r="IT267" s="403"/>
      <c r="IU267" s="403"/>
      <c r="IV267" s="403"/>
      <c r="IW267" s="403"/>
      <c r="IX267" s="403"/>
      <c r="IY267" s="403"/>
      <c r="IZ267" s="403"/>
      <c r="JA267" s="403"/>
      <c r="JB267" s="403"/>
      <c r="JC267" s="403"/>
      <c r="JD267" s="403"/>
      <c r="JE267" s="403"/>
      <c r="JF267" s="403"/>
      <c r="JG267" s="403"/>
      <c r="JH267" s="403"/>
      <c r="JI267" s="403"/>
      <c r="JJ267" s="403"/>
      <c r="JK267" s="403"/>
      <c r="JL267" s="403"/>
      <c r="JM267" s="403"/>
      <c r="JN267" s="403"/>
      <c r="JO267" s="403"/>
      <c r="JP267" s="403"/>
      <c r="JQ267" s="403"/>
      <c r="JR267" s="403"/>
      <c r="JS267" s="403"/>
      <c r="JT267" s="403"/>
    </row>
    <row r="268" spans="1:280" s="15" customFormat="1" ht="12.75" x14ac:dyDescent="0.2">
      <c r="A268" s="9"/>
      <c r="B268" s="624"/>
      <c r="C268" s="335" t="str">
        <f ca="1">IF(OFFSET(AU268,0,Lang_Order*Lang__B5)="","",OFFSET(AU268,0,Lang_Order*Lang__B5))</f>
        <v>Total Days Per Site Per Dose - Basecamp</v>
      </c>
      <c r="E268" s="26"/>
      <c r="F268" s="26"/>
      <c r="G268" s="26"/>
      <c r="H268" s="26"/>
      <c r="I268" s="26"/>
      <c r="J268" s="26">
        <f t="shared" ref="J268:O268" si="645">IF(J251=0,0,ROUNDUP(J264/(HRH_HoursPerDay*J251),0))</f>
        <v>0</v>
      </c>
      <c r="K268" s="62">
        <f t="shared" si="645"/>
        <v>0</v>
      </c>
      <c r="L268" s="26">
        <f t="shared" si="645"/>
        <v>0</v>
      </c>
      <c r="M268" s="26">
        <f t="shared" si="645"/>
        <v>0</v>
      </c>
      <c r="N268" s="26">
        <f t="shared" si="645"/>
        <v>0</v>
      </c>
      <c r="O268" s="26">
        <f t="shared" si="645"/>
        <v>0</v>
      </c>
      <c r="P268" s="16">
        <f>SUM(J268:O268)</f>
        <v>0</v>
      </c>
      <c r="Q268" s="26"/>
      <c r="R268" s="12" t="str">
        <f t="shared" ca="1" si="585"/>
        <v>This should be just within the 'cold life'</v>
      </c>
      <c r="S268" s="2"/>
      <c r="T268" s="241"/>
      <c r="U268" s="624"/>
      <c r="V268" s="612" t="str">
        <f ca="1">IF(OFFSET(AU268,0,Lang_Order*Lang__B5)="","",OFFSET(AU268,0,Lang_Order*Lang__B5))</f>
        <v>Total Days Per Site Per Dose - Basecamp</v>
      </c>
      <c r="W268" s="26">
        <f t="shared" ref="W268:AB268" si="646">IF(W251=0,0,ROUNDUP(W264/(HRH_HoursPerDay*W251),0))</f>
        <v>0</v>
      </c>
      <c r="X268" s="62">
        <f t="shared" si="646"/>
        <v>0</v>
      </c>
      <c r="Y268" s="26">
        <f t="shared" si="646"/>
        <v>0</v>
      </c>
      <c r="Z268" s="26">
        <f t="shared" si="646"/>
        <v>0</v>
      </c>
      <c r="AA268" s="26">
        <f t="shared" si="646"/>
        <v>0</v>
      </c>
      <c r="AB268" s="26">
        <f t="shared" si="646"/>
        <v>0</v>
      </c>
      <c r="AC268" s="16">
        <f>SUM(W268:AB268)</f>
        <v>0</v>
      </c>
      <c r="AD268" s="26"/>
      <c r="AE268" s="2"/>
      <c r="AF268" s="241"/>
      <c r="AG268" s="624"/>
      <c r="AH268" s="612" t="str">
        <f ca="1">IF(OFFSET(AU268,0,Lang_Order*Lang__B5)="","",OFFSET(AU268,0,Lang_Order*Lang__B5))</f>
        <v>Total Days Per Site Per Dose - Basecamp</v>
      </c>
      <c r="AI268" s="26">
        <f t="shared" ref="AI268:AN268" si="647">IF(AI251=0,0,ROUNDUP(AI264/(HRH_HoursPerDay*AI251),0))</f>
        <v>0</v>
      </c>
      <c r="AJ268" s="62">
        <f t="shared" si="647"/>
        <v>0</v>
      </c>
      <c r="AK268" s="26">
        <f t="shared" si="647"/>
        <v>0</v>
      </c>
      <c r="AL268" s="26">
        <f t="shared" si="647"/>
        <v>0</v>
      </c>
      <c r="AM268" s="26">
        <f t="shared" si="647"/>
        <v>0</v>
      </c>
      <c r="AN268" s="26">
        <f t="shared" si="647"/>
        <v>0</v>
      </c>
      <c r="AO268" s="16">
        <f>SUM(AI268:AN268)</f>
        <v>0</v>
      </c>
      <c r="AP268" s="26"/>
      <c r="AR268" s="403"/>
      <c r="AS268" s="403"/>
      <c r="AT268" s="403"/>
      <c r="AU268" s="403" t="s">
        <v>1696</v>
      </c>
      <c r="AV268" s="403"/>
      <c r="AW268" s="403"/>
      <c r="AX268" s="403"/>
      <c r="AY268" s="403"/>
      <c r="AZ268" s="403"/>
      <c r="BA268" s="403"/>
      <c r="BB268" s="403"/>
      <c r="BC268" s="403"/>
      <c r="BD268" s="403"/>
      <c r="BE268" s="403"/>
      <c r="BF268" s="403"/>
      <c r="BG268" s="403"/>
      <c r="BH268" s="403"/>
      <c r="BI268" s="403"/>
      <c r="BJ268" s="403" t="s">
        <v>2707</v>
      </c>
      <c r="BK268" s="403"/>
      <c r="BL268" s="403"/>
      <c r="BM268" s="403"/>
      <c r="BN268" s="403"/>
      <c r="BO268" s="403"/>
      <c r="BP268" s="403"/>
      <c r="BQ268" s="403"/>
      <c r="BR268" s="403"/>
      <c r="BS268" s="403"/>
      <c r="BT268" s="403"/>
      <c r="BU268" s="403"/>
      <c r="BV268" s="403"/>
      <c r="BW268" s="403"/>
      <c r="BX268" s="403"/>
      <c r="BY268" s="403"/>
      <c r="BZ268" s="403"/>
      <c r="CA268" s="403"/>
      <c r="CB268" s="403"/>
      <c r="CC268" s="403" t="s">
        <v>12303</v>
      </c>
      <c r="CD268" s="403"/>
      <c r="CE268" s="403"/>
      <c r="CF268" s="403"/>
      <c r="CG268" s="403"/>
      <c r="CH268" s="403"/>
      <c r="CI268" s="403"/>
      <c r="CJ268" s="403"/>
      <c r="CK268" s="403"/>
      <c r="CL268" s="403"/>
      <c r="CM268" s="403"/>
      <c r="CN268" s="403"/>
      <c r="CO268" s="403"/>
      <c r="CP268" s="403"/>
      <c r="CQ268" s="403"/>
      <c r="CR268" s="403" t="s">
        <v>12304</v>
      </c>
      <c r="CS268" s="403"/>
      <c r="CT268" s="403"/>
      <c r="CU268" s="403"/>
      <c r="CV268" s="403"/>
      <c r="CW268" s="403"/>
      <c r="CX268" s="403"/>
      <c r="CY268" s="403"/>
      <c r="CZ268" s="403"/>
      <c r="DA268" s="403"/>
      <c r="DB268" s="403"/>
      <c r="DC268" s="403"/>
      <c r="DD268" s="403"/>
      <c r="DE268" s="403"/>
      <c r="DF268" s="403"/>
      <c r="DG268" s="403"/>
      <c r="DH268" s="403"/>
      <c r="DI268" s="403"/>
      <c r="DJ268" s="403"/>
      <c r="DK268" s="403" t="s">
        <v>12305</v>
      </c>
      <c r="DL268" s="403"/>
      <c r="DM268" s="403"/>
      <c r="DN268" s="403"/>
      <c r="DO268" s="403"/>
      <c r="DP268" s="403"/>
      <c r="DQ268" s="403"/>
      <c r="DR268" s="403"/>
      <c r="DS268" s="403"/>
      <c r="DT268" s="403"/>
      <c r="DU268" s="403"/>
      <c r="DV268" s="403"/>
      <c r="DW268" s="403"/>
      <c r="DX268" s="403"/>
      <c r="DY268" s="403"/>
      <c r="DZ268" s="403" t="s">
        <v>12306</v>
      </c>
      <c r="EA268" s="403"/>
      <c r="EB268" s="403"/>
      <c r="EC268" s="403"/>
      <c r="ED268" s="403"/>
      <c r="EE268" s="403"/>
      <c r="EF268" s="403"/>
      <c r="EG268" s="403"/>
      <c r="EH268" s="403"/>
      <c r="EI268" s="403"/>
      <c r="EJ268" s="403"/>
      <c r="EK268" s="403"/>
      <c r="EL268" s="403"/>
      <c r="EM268" s="403"/>
      <c r="EN268" s="403"/>
      <c r="EO268" s="403"/>
      <c r="EP268" s="403"/>
      <c r="EQ268" s="403"/>
      <c r="ER268" s="403"/>
      <c r="ES268" s="403" t="s">
        <v>12307</v>
      </c>
      <c r="ET268" s="403"/>
      <c r="EU268" s="403"/>
      <c r="EV268" s="403"/>
      <c r="EW268" s="403"/>
      <c r="EX268" s="403"/>
      <c r="EY268" s="403"/>
      <c r="EZ268" s="403"/>
      <c r="FA268" s="403"/>
      <c r="FB268" s="403"/>
      <c r="FC268" s="403"/>
      <c r="FD268" s="403"/>
      <c r="FE268" s="403"/>
      <c r="FF268" s="403"/>
      <c r="FG268" s="403"/>
      <c r="FH268" s="403" t="s">
        <v>12308</v>
      </c>
      <c r="FI268" s="403"/>
      <c r="FJ268" s="403"/>
      <c r="FK268" s="403"/>
      <c r="FL268" s="403"/>
      <c r="FM268" s="403"/>
      <c r="FN268" s="403"/>
      <c r="FO268" s="403"/>
      <c r="FP268" s="403"/>
      <c r="FQ268" s="403"/>
      <c r="FR268" s="403"/>
      <c r="FS268" s="403"/>
      <c r="FT268" s="403"/>
      <c r="FU268" s="403"/>
      <c r="FV268" s="403"/>
      <c r="FW268" s="403"/>
      <c r="FX268" s="403"/>
      <c r="FY268" s="403"/>
      <c r="FZ268" s="403"/>
      <c r="GA268" s="403" t="s">
        <v>12309</v>
      </c>
      <c r="GB268" s="403"/>
      <c r="GC268" s="403"/>
      <c r="GD268" s="403"/>
      <c r="GE268" s="403"/>
      <c r="GF268" s="403"/>
      <c r="GG268" s="403"/>
      <c r="GH268" s="403"/>
      <c r="GI268" s="403"/>
      <c r="GJ268" s="403"/>
      <c r="GK268" s="403"/>
      <c r="GL268" s="403"/>
      <c r="GM268" s="403"/>
      <c r="GN268" s="403"/>
      <c r="GO268" s="403"/>
      <c r="GP268" s="403" t="s">
        <v>12310</v>
      </c>
      <c r="GQ268" s="403"/>
      <c r="GR268" s="403"/>
      <c r="GS268" s="403"/>
      <c r="GT268" s="403"/>
      <c r="GU268" s="403"/>
      <c r="GV268" s="403"/>
      <c r="GW268" s="403"/>
      <c r="GX268" s="403"/>
      <c r="GY268" s="403"/>
      <c r="GZ268" s="403"/>
      <c r="HA268" s="403"/>
      <c r="HB268" s="403"/>
      <c r="HC268" s="403"/>
      <c r="HD268" s="403"/>
      <c r="HE268" s="403"/>
      <c r="HF268" s="403"/>
      <c r="HG268" s="403"/>
      <c r="HH268" s="403"/>
      <c r="HI268" s="403" t="s">
        <v>12311</v>
      </c>
      <c r="HJ268" s="403"/>
      <c r="HK268" s="403"/>
      <c r="HL268" s="403"/>
      <c r="HM268" s="403"/>
      <c r="HN268" s="403"/>
      <c r="HO268" s="403"/>
      <c r="HP268" s="403"/>
      <c r="HQ268" s="403"/>
      <c r="HR268" s="403"/>
      <c r="HS268" s="403"/>
      <c r="HT268" s="403"/>
      <c r="HU268" s="403"/>
      <c r="HV268" s="403"/>
      <c r="HW268" s="403"/>
      <c r="HX268" s="403" t="s">
        <v>12312</v>
      </c>
      <c r="HY268" s="403"/>
      <c r="HZ268" s="403"/>
      <c r="IA268" s="403"/>
      <c r="IB268" s="403"/>
      <c r="IC268" s="403"/>
      <c r="ID268" s="403"/>
      <c r="IE268" s="403"/>
      <c r="IF268" s="403"/>
      <c r="IG268" s="403"/>
      <c r="IH268" s="403"/>
      <c r="II268" s="403"/>
      <c r="IJ268" s="403"/>
      <c r="IK268" s="403"/>
      <c r="IL268" s="403"/>
      <c r="IM268" s="403"/>
      <c r="IN268" s="403"/>
      <c r="IO268" s="403"/>
      <c r="IP268" s="403"/>
      <c r="IQ268" s="403" t="s">
        <v>12313</v>
      </c>
      <c r="IR268" s="403"/>
      <c r="IS268" s="403"/>
      <c r="IT268" s="403"/>
      <c r="IU268" s="403"/>
      <c r="IV268" s="403"/>
      <c r="IW268" s="403"/>
      <c r="IX268" s="403"/>
      <c r="IY268" s="403"/>
      <c r="IZ268" s="403"/>
      <c r="JA268" s="403"/>
      <c r="JB268" s="403"/>
      <c r="JC268" s="403"/>
      <c r="JD268" s="403"/>
      <c r="JE268" s="403"/>
      <c r="JF268" s="403" t="s">
        <v>12314</v>
      </c>
      <c r="JG268" s="403"/>
      <c r="JH268" s="403"/>
      <c r="JI268" s="403"/>
      <c r="JJ268" s="403"/>
      <c r="JK268" s="403"/>
      <c r="JL268" s="403"/>
      <c r="JM268" s="403"/>
      <c r="JN268" s="403"/>
      <c r="JO268" s="403"/>
      <c r="JP268" s="403"/>
      <c r="JQ268" s="403"/>
      <c r="JR268" s="403"/>
      <c r="JS268" s="403"/>
      <c r="JT268" s="403"/>
    </row>
    <row r="269" spans="1:280" s="15" customFormat="1" ht="12.75" x14ac:dyDescent="0.2">
      <c r="A269" s="9"/>
      <c r="B269" s="624"/>
      <c r="C269" s="335" t="str">
        <f ca="1">IF(OFFSET(AU269,0,Lang_Order*Lang__B5)="","",OFFSET(AU269,0,Lang_Order*Lang__B5))</f>
        <v>Total Days Per Site Per Dose - Mobile A</v>
      </c>
      <c r="E269" s="26"/>
      <c r="F269" s="26"/>
      <c r="G269" s="26"/>
      <c r="H269" s="26"/>
      <c r="I269" s="26"/>
      <c r="J269" s="62">
        <f t="shared" ref="J269:O270" si="648">IF(J256=0,0,ROUNDUP(J265/((HRH_HoursPerDay-HRH_MobileTravel_HoursPerDay)*(J252*J256)),0))</f>
        <v>0</v>
      </c>
      <c r="K269" s="62">
        <f t="shared" si="648"/>
        <v>0</v>
      </c>
      <c r="L269" s="62">
        <f t="shared" si="648"/>
        <v>0</v>
      </c>
      <c r="M269" s="62">
        <f t="shared" si="648"/>
        <v>0</v>
      </c>
      <c r="N269" s="62">
        <f t="shared" si="648"/>
        <v>0</v>
      </c>
      <c r="O269" s="62">
        <f t="shared" si="648"/>
        <v>0</v>
      </c>
      <c r="P269" s="16">
        <f>SUM(J269:O269)</f>
        <v>0</v>
      </c>
      <c r="Q269" s="26"/>
      <c r="R269" s="12" t="str">
        <f t="shared" ca="1" si="585"/>
        <v>This should be just within the 'cold life'</v>
      </c>
      <c r="S269" s="2"/>
      <c r="T269" s="241"/>
      <c r="U269" s="624"/>
      <c r="V269" s="612" t="str">
        <f ca="1">IF(OFFSET(AU269,0,Lang_Order*Lang__B5)="","",OFFSET(AU269,0,Lang_Order*Lang__B5))</f>
        <v>Total Days Per Site Per Dose - Mobile A</v>
      </c>
      <c r="W269" s="62">
        <f t="shared" ref="W269:AB269" si="649">IF(W256=0,0,ROUNDUP(W265/((HRH_HoursPerDay-HRH_MobileTravel_HoursPerDay)*(W252*W256)),0))</f>
        <v>0</v>
      </c>
      <c r="X269" s="62">
        <f t="shared" si="649"/>
        <v>0</v>
      </c>
      <c r="Y269" s="62">
        <f t="shared" si="649"/>
        <v>0</v>
      </c>
      <c r="Z269" s="62">
        <f t="shared" si="649"/>
        <v>0</v>
      </c>
      <c r="AA269" s="62">
        <f t="shared" si="649"/>
        <v>0</v>
      </c>
      <c r="AB269" s="62">
        <f t="shared" si="649"/>
        <v>0</v>
      </c>
      <c r="AC269" s="16">
        <f>SUM(W269:AB269)</f>
        <v>0</v>
      </c>
      <c r="AD269" s="26"/>
      <c r="AE269" s="2"/>
      <c r="AF269" s="241"/>
      <c r="AG269" s="624"/>
      <c r="AH269" s="612" t="str">
        <f ca="1">IF(OFFSET(AU269,0,Lang_Order*Lang__B5)="","",OFFSET(AU269,0,Lang_Order*Lang__B5))</f>
        <v>Total Days Per Site Per Dose - Mobile A</v>
      </c>
      <c r="AI269" s="62">
        <f t="shared" ref="AI269:AN269" si="650">IF(AI256=0,0,ROUNDUP(AI265/((HRH_HoursPerDay-HRH_MobileTravel_HoursPerDay)*(AI252*AI256)),0))</f>
        <v>0</v>
      </c>
      <c r="AJ269" s="62">
        <f t="shared" si="650"/>
        <v>0</v>
      </c>
      <c r="AK269" s="62">
        <f t="shared" si="650"/>
        <v>0</v>
      </c>
      <c r="AL269" s="62">
        <f t="shared" si="650"/>
        <v>0</v>
      </c>
      <c r="AM269" s="62">
        <f t="shared" si="650"/>
        <v>0</v>
      </c>
      <c r="AN269" s="62">
        <f t="shared" si="650"/>
        <v>0</v>
      </c>
      <c r="AO269" s="16">
        <f>SUM(AI269:AN269)</f>
        <v>0</v>
      </c>
      <c r="AP269" s="26"/>
      <c r="AR269" s="403"/>
      <c r="AS269" s="403"/>
      <c r="AT269" s="403"/>
      <c r="AU269" s="403" t="s">
        <v>1697</v>
      </c>
      <c r="AV269" s="403"/>
      <c r="AW269" s="403"/>
      <c r="AX269" s="403"/>
      <c r="AY269" s="403"/>
      <c r="AZ269" s="403"/>
      <c r="BA269" s="403"/>
      <c r="BB269" s="403"/>
      <c r="BC269" s="403"/>
      <c r="BD269" s="403"/>
      <c r="BE269" s="403"/>
      <c r="BF269" s="403"/>
      <c r="BG269" s="403"/>
      <c r="BH269" s="403"/>
      <c r="BI269" s="403"/>
      <c r="BJ269" s="403" t="s">
        <v>2707</v>
      </c>
      <c r="BK269" s="403"/>
      <c r="BL269" s="403"/>
      <c r="BM269" s="403"/>
      <c r="BN269" s="403"/>
      <c r="BO269" s="403"/>
      <c r="BP269" s="403"/>
      <c r="BQ269" s="403"/>
      <c r="BR269" s="403"/>
      <c r="BS269" s="403"/>
      <c r="BT269" s="403"/>
      <c r="BU269" s="403"/>
      <c r="BV269" s="403"/>
      <c r="BW269" s="403"/>
      <c r="BX269" s="403"/>
      <c r="BY269" s="403"/>
      <c r="BZ269" s="403"/>
      <c r="CA269" s="403"/>
      <c r="CB269" s="403"/>
      <c r="CC269" s="403" t="s">
        <v>12315</v>
      </c>
      <c r="CD269" s="403"/>
      <c r="CE269" s="403"/>
      <c r="CF269" s="403"/>
      <c r="CG269" s="403"/>
      <c r="CH269" s="403"/>
      <c r="CI269" s="403"/>
      <c r="CJ269" s="403"/>
      <c r="CK269" s="403"/>
      <c r="CL269" s="403"/>
      <c r="CM269" s="403"/>
      <c r="CN269" s="403"/>
      <c r="CO269" s="403"/>
      <c r="CP269" s="403"/>
      <c r="CQ269" s="403"/>
      <c r="CR269" s="403" t="s">
        <v>12304</v>
      </c>
      <c r="CS269" s="403"/>
      <c r="CT269" s="403"/>
      <c r="CU269" s="403"/>
      <c r="CV269" s="403"/>
      <c r="CW269" s="403"/>
      <c r="CX269" s="403"/>
      <c r="CY269" s="403"/>
      <c r="CZ269" s="403"/>
      <c r="DA269" s="403"/>
      <c r="DB269" s="403"/>
      <c r="DC269" s="403"/>
      <c r="DD269" s="403"/>
      <c r="DE269" s="403"/>
      <c r="DF269" s="403"/>
      <c r="DG269" s="403"/>
      <c r="DH269" s="403"/>
      <c r="DI269" s="403"/>
      <c r="DJ269" s="403"/>
      <c r="DK269" s="403" t="s">
        <v>12316</v>
      </c>
      <c r="DL269" s="403"/>
      <c r="DM269" s="403"/>
      <c r="DN269" s="403"/>
      <c r="DO269" s="403"/>
      <c r="DP269" s="403"/>
      <c r="DQ269" s="403"/>
      <c r="DR269" s="403"/>
      <c r="DS269" s="403"/>
      <c r="DT269" s="403"/>
      <c r="DU269" s="403"/>
      <c r="DV269" s="403"/>
      <c r="DW269" s="403"/>
      <c r="DX269" s="403"/>
      <c r="DY269" s="403"/>
      <c r="DZ269" s="403" t="s">
        <v>12306</v>
      </c>
      <c r="EA269" s="403"/>
      <c r="EB269" s="403"/>
      <c r="EC269" s="403"/>
      <c r="ED269" s="403"/>
      <c r="EE269" s="403"/>
      <c r="EF269" s="403"/>
      <c r="EG269" s="403"/>
      <c r="EH269" s="403"/>
      <c r="EI269" s="403"/>
      <c r="EJ269" s="403"/>
      <c r="EK269" s="403"/>
      <c r="EL269" s="403"/>
      <c r="EM269" s="403"/>
      <c r="EN269" s="403"/>
      <c r="EO269" s="403"/>
      <c r="EP269" s="403"/>
      <c r="EQ269" s="403"/>
      <c r="ER269" s="403"/>
      <c r="ES269" s="403" t="s">
        <v>12317</v>
      </c>
      <c r="ET269" s="403"/>
      <c r="EU269" s="403"/>
      <c r="EV269" s="403"/>
      <c r="EW269" s="403"/>
      <c r="EX269" s="403"/>
      <c r="EY269" s="403"/>
      <c r="EZ269" s="403"/>
      <c r="FA269" s="403"/>
      <c r="FB269" s="403"/>
      <c r="FC269" s="403"/>
      <c r="FD269" s="403"/>
      <c r="FE269" s="403"/>
      <c r="FF269" s="403"/>
      <c r="FG269" s="403"/>
      <c r="FH269" s="403" t="s">
        <v>12308</v>
      </c>
      <c r="FI269" s="403"/>
      <c r="FJ269" s="403"/>
      <c r="FK269" s="403"/>
      <c r="FL269" s="403"/>
      <c r="FM269" s="403"/>
      <c r="FN269" s="403"/>
      <c r="FO269" s="403"/>
      <c r="FP269" s="403"/>
      <c r="FQ269" s="403"/>
      <c r="FR269" s="403"/>
      <c r="FS269" s="403"/>
      <c r="FT269" s="403"/>
      <c r="FU269" s="403"/>
      <c r="FV269" s="403"/>
      <c r="FW269" s="403"/>
      <c r="FX269" s="403"/>
      <c r="FY269" s="403"/>
      <c r="FZ269" s="403"/>
      <c r="GA269" s="403" t="s">
        <v>12318</v>
      </c>
      <c r="GB269" s="403"/>
      <c r="GC269" s="403"/>
      <c r="GD269" s="403"/>
      <c r="GE269" s="403"/>
      <c r="GF269" s="403"/>
      <c r="GG269" s="403"/>
      <c r="GH269" s="403"/>
      <c r="GI269" s="403"/>
      <c r="GJ269" s="403"/>
      <c r="GK269" s="403"/>
      <c r="GL269" s="403"/>
      <c r="GM269" s="403"/>
      <c r="GN269" s="403"/>
      <c r="GO269" s="403"/>
      <c r="GP269" s="403" t="s">
        <v>12310</v>
      </c>
      <c r="GQ269" s="403"/>
      <c r="GR269" s="403"/>
      <c r="GS269" s="403"/>
      <c r="GT269" s="403"/>
      <c r="GU269" s="403"/>
      <c r="GV269" s="403"/>
      <c r="GW269" s="403"/>
      <c r="GX269" s="403"/>
      <c r="GY269" s="403"/>
      <c r="GZ269" s="403"/>
      <c r="HA269" s="403"/>
      <c r="HB269" s="403"/>
      <c r="HC269" s="403"/>
      <c r="HD269" s="403"/>
      <c r="HE269" s="403"/>
      <c r="HF269" s="403"/>
      <c r="HG269" s="403"/>
      <c r="HH269" s="403"/>
      <c r="HI269" s="403" t="s">
        <v>12319</v>
      </c>
      <c r="HJ269" s="403"/>
      <c r="HK269" s="403"/>
      <c r="HL269" s="403"/>
      <c r="HM269" s="403"/>
      <c r="HN269" s="403"/>
      <c r="HO269" s="403"/>
      <c r="HP269" s="403"/>
      <c r="HQ269" s="403"/>
      <c r="HR269" s="403"/>
      <c r="HS269" s="403"/>
      <c r="HT269" s="403"/>
      <c r="HU269" s="403"/>
      <c r="HV269" s="403"/>
      <c r="HW269" s="403"/>
      <c r="HX269" s="403" t="s">
        <v>12312</v>
      </c>
      <c r="HY269" s="403"/>
      <c r="HZ269" s="403"/>
      <c r="IA269" s="403"/>
      <c r="IB269" s="403"/>
      <c r="IC269" s="403"/>
      <c r="ID269" s="403"/>
      <c r="IE269" s="403"/>
      <c r="IF269" s="403"/>
      <c r="IG269" s="403"/>
      <c r="IH269" s="403"/>
      <c r="II269" s="403"/>
      <c r="IJ269" s="403"/>
      <c r="IK269" s="403"/>
      <c r="IL269" s="403"/>
      <c r="IM269" s="403"/>
      <c r="IN269" s="403"/>
      <c r="IO269" s="403"/>
      <c r="IP269" s="403"/>
      <c r="IQ269" s="403" t="s">
        <v>12320</v>
      </c>
      <c r="IR269" s="403"/>
      <c r="IS269" s="403"/>
      <c r="IT269" s="403"/>
      <c r="IU269" s="403"/>
      <c r="IV269" s="403"/>
      <c r="IW269" s="403"/>
      <c r="IX269" s="403"/>
      <c r="IY269" s="403"/>
      <c r="IZ269" s="403"/>
      <c r="JA269" s="403"/>
      <c r="JB269" s="403"/>
      <c r="JC269" s="403"/>
      <c r="JD269" s="403"/>
      <c r="JE269" s="403"/>
      <c r="JF269" s="403" t="s">
        <v>12314</v>
      </c>
      <c r="JG269" s="403"/>
      <c r="JH269" s="403"/>
      <c r="JI269" s="403"/>
      <c r="JJ269" s="403"/>
      <c r="JK269" s="403"/>
      <c r="JL269" s="403"/>
      <c r="JM269" s="403"/>
      <c r="JN269" s="403"/>
      <c r="JO269" s="403"/>
      <c r="JP269" s="403"/>
      <c r="JQ269" s="403"/>
      <c r="JR269" s="403"/>
      <c r="JS269" s="403"/>
      <c r="JT269" s="403"/>
    </row>
    <row r="270" spans="1:280" s="15" customFormat="1" ht="12.75" x14ac:dyDescent="0.2">
      <c r="A270" s="9"/>
      <c r="B270" s="624"/>
      <c r="C270" s="335" t="str">
        <f ca="1">IF(OFFSET(AU270,0,Lang_Order*Lang__B5)="","",OFFSET(AU270,0,Lang_Order*Lang__B5))</f>
        <v>Total Days Per Site Per Dose - Mobile B</v>
      </c>
      <c r="E270" s="26"/>
      <c r="F270" s="26"/>
      <c r="G270" s="26"/>
      <c r="H270" s="26"/>
      <c r="I270" s="26"/>
      <c r="J270" s="62">
        <f t="shared" si="648"/>
        <v>0</v>
      </c>
      <c r="K270" s="62">
        <f t="shared" si="648"/>
        <v>0</v>
      </c>
      <c r="L270" s="62">
        <f t="shared" si="648"/>
        <v>0</v>
      </c>
      <c r="M270" s="62">
        <f t="shared" si="648"/>
        <v>0</v>
      </c>
      <c r="N270" s="62">
        <f t="shared" si="648"/>
        <v>0</v>
      </c>
      <c r="O270" s="62">
        <f t="shared" si="648"/>
        <v>0</v>
      </c>
      <c r="P270" s="16">
        <f>SUM(J270:O270)</f>
        <v>0</v>
      </c>
      <c r="Q270" s="26"/>
      <c r="R270" s="12" t="str">
        <f t="shared" ca="1" si="585"/>
        <v>This should be just within the 'cold life'</v>
      </c>
      <c r="S270" s="2"/>
      <c r="T270" s="241"/>
      <c r="U270" s="624"/>
      <c r="V270" s="612" t="str">
        <f ca="1">IF(OFFSET(AU270,0,Lang_Order*Lang__B5)="","",OFFSET(AU270,0,Lang_Order*Lang__B5))</f>
        <v>Total Days Per Site Per Dose - Mobile B</v>
      </c>
      <c r="W270" s="62">
        <f t="shared" ref="W270:AB270" si="651">IF(W257=0,0,ROUNDUP(W266/((HRH_HoursPerDay-HRH_MobileTravel_HoursPerDay)*(W253*W257)),0))</f>
        <v>0</v>
      </c>
      <c r="X270" s="62">
        <f t="shared" si="651"/>
        <v>0</v>
      </c>
      <c r="Y270" s="62">
        <f t="shared" si="651"/>
        <v>0</v>
      </c>
      <c r="Z270" s="62">
        <f t="shared" si="651"/>
        <v>0</v>
      </c>
      <c r="AA270" s="62">
        <f t="shared" si="651"/>
        <v>0</v>
      </c>
      <c r="AB270" s="62">
        <f t="shared" si="651"/>
        <v>0</v>
      </c>
      <c r="AC270" s="16">
        <f>SUM(W270:AB270)</f>
        <v>0</v>
      </c>
      <c r="AD270" s="26"/>
      <c r="AE270" s="2"/>
      <c r="AF270" s="241"/>
      <c r="AG270" s="624"/>
      <c r="AH270" s="612" t="str">
        <f ca="1">IF(OFFSET(AU270,0,Lang_Order*Lang__B5)="","",OFFSET(AU270,0,Lang_Order*Lang__B5))</f>
        <v>Total Days Per Site Per Dose - Mobile B</v>
      </c>
      <c r="AI270" s="62">
        <f t="shared" ref="AI270:AN270" si="652">IF(AI257=0,0,ROUNDUP(AI266/((HRH_HoursPerDay-HRH_MobileTravel_HoursPerDay)*(AI253*AI257)),0))</f>
        <v>0</v>
      </c>
      <c r="AJ270" s="62">
        <f t="shared" si="652"/>
        <v>0</v>
      </c>
      <c r="AK270" s="62">
        <f t="shared" si="652"/>
        <v>0</v>
      </c>
      <c r="AL270" s="62">
        <f t="shared" si="652"/>
        <v>0</v>
      </c>
      <c r="AM270" s="62">
        <f t="shared" si="652"/>
        <v>0</v>
      </c>
      <c r="AN270" s="62">
        <f t="shared" si="652"/>
        <v>0</v>
      </c>
      <c r="AO270" s="16">
        <f>SUM(AI270:AN270)</f>
        <v>0</v>
      </c>
      <c r="AP270" s="26"/>
      <c r="AR270" s="403"/>
      <c r="AS270" s="403"/>
      <c r="AT270" s="403"/>
      <c r="AU270" s="403" t="s">
        <v>1698</v>
      </c>
      <c r="AV270" s="403"/>
      <c r="AW270" s="403"/>
      <c r="AX270" s="403"/>
      <c r="AY270" s="403"/>
      <c r="AZ270" s="403"/>
      <c r="BA270" s="403"/>
      <c r="BB270" s="403"/>
      <c r="BC270" s="403"/>
      <c r="BD270" s="403"/>
      <c r="BE270" s="403"/>
      <c r="BF270" s="403"/>
      <c r="BG270" s="403"/>
      <c r="BH270" s="403"/>
      <c r="BI270" s="403"/>
      <c r="BJ270" s="403" t="s">
        <v>2707</v>
      </c>
      <c r="BK270" s="403"/>
      <c r="BL270" s="403"/>
      <c r="BM270" s="403"/>
      <c r="BN270" s="403"/>
      <c r="BO270" s="403"/>
      <c r="BP270" s="403"/>
      <c r="BQ270" s="403"/>
      <c r="BR270" s="403"/>
      <c r="BS270" s="403"/>
      <c r="BT270" s="403"/>
      <c r="BU270" s="403"/>
      <c r="BV270" s="403"/>
      <c r="BW270" s="403"/>
      <c r="BX270" s="403"/>
      <c r="BY270" s="403"/>
      <c r="BZ270" s="403"/>
      <c r="CA270" s="403"/>
      <c r="CB270" s="403"/>
      <c r="CC270" s="403" t="s">
        <v>12321</v>
      </c>
      <c r="CD270" s="403"/>
      <c r="CE270" s="403"/>
      <c r="CF270" s="403"/>
      <c r="CG270" s="403"/>
      <c r="CH270" s="403"/>
      <c r="CI270" s="403"/>
      <c r="CJ270" s="403"/>
      <c r="CK270" s="403"/>
      <c r="CL270" s="403"/>
      <c r="CM270" s="403"/>
      <c r="CN270" s="403"/>
      <c r="CO270" s="403"/>
      <c r="CP270" s="403"/>
      <c r="CQ270" s="403"/>
      <c r="CR270" s="403" t="s">
        <v>12304</v>
      </c>
      <c r="CS270" s="403"/>
      <c r="CT270" s="403"/>
      <c r="CU270" s="403"/>
      <c r="CV270" s="403"/>
      <c r="CW270" s="403"/>
      <c r="CX270" s="403"/>
      <c r="CY270" s="403"/>
      <c r="CZ270" s="403"/>
      <c r="DA270" s="403"/>
      <c r="DB270" s="403"/>
      <c r="DC270" s="403"/>
      <c r="DD270" s="403"/>
      <c r="DE270" s="403"/>
      <c r="DF270" s="403"/>
      <c r="DG270" s="403"/>
      <c r="DH270" s="403"/>
      <c r="DI270" s="403"/>
      <c r="DJ270" s="403"/>
      <c r="DK270" s="403" t="s">
        <v>12322</v>
      </c>
      <c r="DL270" s="403"/>
      <c r="DM270" s="403"/>
      <c r="DN270" s="403"/>
      <c r="DO270" s="403"/>
      <c r="DP270" s="403"/>
      <c r="DQ270" s="403"/>
      <c r="DR270" s="403"/>
      <c r="DS270" s="403"/>
      <c r="DT270" s="403"/>
      <c r="DU270" s="403"/>
      <c r="DV270" s="403"/>
      <c r="DW270" s="403"/>
      <c r="DX270" s="403"/>
      <c r="DY270" s="403"/>
      <c r="DZ270" s="403" t="s">
        <v>12306</v>
      </c>
      <c r="EA270" s="403"/>
      <c r="EB270" s="403"/>
      <c r="EC270" s="403"/>
      <c r="ED270" s="403"/>
      <c r="EE270" s="403"/>
      <c r="EF270" s="403"/>
      <c r="EG270" s="403"/>
      <c r="EH270" s="403"/>
      <c r="EI270" s="403"/>
      <c r="EJ270" s="403"/>
      <c r="EK270" s="403"/>
      <c r="EL270" s="403"/>
      <c r="EM270" s="403"/>
      <c r="EN270" s="403"/>
      <c r="EO270" s="403"/>
      <c r="EP270" s="403"/>
      <c r="EQ270" s="403"/>
      <c r="ER270" s="403"/>
      <c r="ES270" s="403" t="s">
        <v>12323</v>
      </c>
      <c r="ET270" s="403"/>
      <c r="EU270" s="403"/>
      <c r="EV270" s="403"/>
      <c r="EW270" s="403"/>
      <c r="EX270" s="403"/>
      <c r="EY270" s="403"/>
      <c r="EZ270" s="403"/>
      <c r="FA270" s="403"/>
      <c r="FB270" s="403"/>
      <c r="FC270" s="403"/>
      <c r="FD270" s="403"/>
      <c r="FE270" s="403"/>
      <c r="FF270" s="403"/>
      <c r="FG270" s="403"/>
      <c r="FH270" s="403" t="s">
        <v>12308</v>
      </c>
      <c r="FI270" s="403"/>
      <c r="FJ270" s="403"/>
      <c r="FK270" s="403"/>
      <c r="FL270" s="403"/>
      <c r="FM270" s="403"/>
      <c r="FN270" s="403"/>
      <c r="FO270" s="403"/>
      <c r="FP270" s="403"/>
      <c r="FQ270" s="403"/>
      <c r="FR270" s="403"/>
      <c r="FS270" s="403"/>
      <c r="FT270" s="403"/>
      <c r="FU270" s="403"/>
      <c r="FV270" s="403"/>
      <c r="FW270" s="403"/>
      <c r="FX270" s="403"/>
      <c r="FY270" s="403"/>
      <c r="FZ270" s="403"/>
      <c r="GA270" s="403" t="s">
        <v>12324</v>
      </c>
      <c r="GB270" s="403"/>
      <c r="GC270" s="403"/>
      <c r="GD270" s="403"/>
      <c r="GE270" s="403"/>
      <c r="GF270" s="403"/>
      <c r="GG270" s="403"/>
      <c r="GH270" s="403"/>
      <c r="GI270" s="403"/>
      <c r="GJ270" s="403"/>
      <c r="GK270" s="403"/>
      <c r="GL270" s="403"/>
      <c r="GM270" s="403"/>
      <c r="GN270" s="403"/>
      <c r="GO270" s="403"/>
      <c r="GP270" s="403" t="s">
        <v>12310</v>
      </c>
      <c r="GQ270" s="403"/>
      <c r="GR270" s="403"/>
      <c r="GS270" s="403"/>
      <c r="GT270" s="403"/>
      <c r="GU270" s="403"/>
      <c r="GV270" s="403"/>
      <c r="GW270" s="403"/>
      <c r="GX270" s="403"/>
      <c r="GY270" s="403"/>
      <c r="GZ270" s="403"/>
      <c r="HA270" s="403"/>
      <c r="HB270" s="403"/>
      <c r="HC270" s="403"/>
      <c r="HD270" s="403"/>
      <c r="HE270" s="403"/>
      <c r="HF270" s="403"/>
      <c r="HG270" s="403"/>
      <c r="HH270" s="403"/>
      <c r="HI270" s="403" t="s">
        <v>12325</v>
      </c>
      <c r="HJ270" s="403"/>
      <c r="HK270" s="403"/>
      <c r="HL270" s="403"/>
      <c r="HM270" s="403"/>
      <c r="HN270" s="403"/>
      <c r="HO270" s="403"/>
      <c r="HP270" s="403"/>
      <c r="HQ270" s="403"/>
      <c r="HR270" s="403"/>
      <c r="HS270" s="403"/>
      <c r="HT270" s="403"/>
      <c r="HU270" s="403"/>
      <c r="HV270" s="403"/>
      <c r="HW270" s="403"/>
      <c r="HX270" s="403" t="s">
        <v>12312</v>
      </c>
      <c r="HY270" s="403"/>
      <c r="HZ270" s="403"/>
      <c r="IA270" s="403"/>
      <c r="IB270" s="403"/>
      <c r="IC270" s="403"/>
      <c r="ID270" s="403"/>
      <c r="IE270" s="403"/>
      <c r="IF270" s="403"/>
      <c r="IG270" s="403"/>
      <c r="IH270" s="403"/>
      <c r="II270" s="403"/>
      <c r="IJ270" s="403"/>
      <c r="IK270" s="403"/>
      <c r="IL270" s="403"/>
      <c r="IM270" s="403"/>
      <c r="IN270" s="403"/>
      <c r="IO270" s="403"/>
      <c r="IP270" s="403"/>
      <c r="IQ270" s="403" t="s">
        <v>12326</v>
      </c>
      <c r="IR270" s="403"/>
      <c r="IS270" s="403"/>
      <c r="IT270" s="403"/>
      <c r="IU270" s="403"/>
      <c r="IV270" s="403"/>
      <c r="IW270" s="403"/>
      <c r="IX270" s="403"/>
      <c r="IY270" s="403"/>
      <c r="IZ270" s="403"/>
      <c r="JA270" s="403"/>
      <c r="JB270" s="403"/>
      <c r="JC270" s="403"/>
      <c r="JD270" s="403"/>
      <c r="JE270" s="403"/>
      <c r="JF270" s="403" t="s">
        <v>12314</v>
      </c>
      <c r="JG270" s="403"/>
      <c r="JH270" s="403"/>
      <c r="JI270" s="403"/>
      <c r="JJ270" s="403"/>
      <c r="JK270" s="403"/>
      <c r="JL270" s="403"/>
      <c r="JM270" s="403"/>
      <c r="JN270" s="403"/>
      <c r="JO270" s="403"/>
      <c r="JP270" s="403"/>
      <c r="JQ270" s="403"/>
      <c r="JR270" s="403"/>
      <c r="JS270" s="403"/>
      <c r="JT270" s="403"/>
    </row>
    <row r="271" spans="1:280" s="15" customFormat="1" ht="12.75" x14ac:dyDescent="0.2">
      <c r="A271" s="9"/>
      <c r="B271" s="624"/>
      <c r="C271" s="23"/>
      <c r="E271" s="26"/>
      <c r="F271" s="26"/>
      <c r="G271" s="26"/>
      <c r="H271" s="26"/>
      <c r="I271" s="26"/>
      <c r="J271" s="26"/>
      <c r="K271" s="26"/>
      <c r="L271" s="26"/>
      <c r="M271" s="26"/>
      <c r="N271" s="26"/>
      <c r="O271" s="26"/>
      <c r="P271" s="26"/>
      <c r="Q271" s="26"/>
      <c r="R271" s="12" t="str">
        <f t="shared" ca="1" si="585"/>
        <v/>
      </c>
      <c r="S271" s="2"/>
      <c r="T271" s="241"/>
      <c r="U271" s="624"/>
      <c r="V271" s="72"/>
      <c r="W271" s="26"/>
      <c r="X271" s="26"/>
      <c r="Y271" s="26"/>
      <c r="Z271" s="26"/>
      <c r="AA271" s="26"/>
      <c r="AB271" s="26"/>
      <c r="AC271" s="26"/>
      <c r="AD271" s="26"/>
      <c r="AE271" s="2"/>
      <c r="AF271" s="241"/>
      <c r="AG271" s="624"/>
      <c r="AH271" s="72"/>
      <c r="AI271" s="26"/>
      <c r="AJ271" s="26"/>
      <c r="AK271" s="26"/>
      <c r="AL271" s="26"/>
      <c r="AM271" s="26"/>
      <c r="AN271" s="26"/>
      <c r="AO271" s="26"/>
      <c r="AP271" s="26"/>
      <c r="AR271" s="403"/>
      <c r="AS271" s="403"/>
      <c r="AT271" s="403"/>
      <c r="AU271" s="403"/>
      <c r="AV271" s="403"/>
      <c r="AW271" s="403"/>
      <c r="AX271" s="403"/>
      <c r="AY271" s="403"/>
      <c r="AZ271" s="403"/>
      <c r="BA271" s="403"/>
      <c r="BB271" s="403"/>
      <c r="BC271" s="403"/>
      <c r="BD271" s="403"/>
      <c r="BE271" s="403"/>
      <c r="BF271" s="403"/>
      <c r="BG271" s="403"/>
      <c r="BH271" s="403"/>
      <c r="BI271" s="403"/>
      <c r="BJ271" s="403"/>
      <c r="BK271" s="403"/>
      <c r="BL271" s="403"/>
      <c r="BM271" s="403"/>
      <c r="BN271" s="403"/>
      <c r="BO271" s="403"/>
      <c r="BP271" s="403"/>
      <c r="BQ271" s="403"/>
      <c r="BR271" s="403"/>
      <c r="BS271" s="403"/>
      <c r="BT271" s="403"/>
      <c r="BU271" s="403"/>
      <c r="BV271" s="403"/>
      <c r="BW271" s="403"/>
      <c r="BX271" s="403"/>
      <c r="BY271" s="403"/>
      <c r="BZ271" s="403"/>
      <c r="CA271" s="403"/>
      <c r="CB271" s="403"/>
      <c r="CC271" s="403"/>
      <c r="CD271" s="403"/>
      <c r="CE271" s="403"/>
      <c r="CF271" s="403"/>
      <c r="CG271" s="403"/>
      <c r="CH271" s="403"/>
      <c r="CI271" s="403"/>
      <c r="CJ271" s="403"/>
      <c r="CK271" s="403"/>
      <c r="CL271" s="403"/>
      <c r="CM271" s="403"/>
      <c r="CN271" s="403"/>
      <c r="CO271" s="403"/>
      <c r="CP271" s="403"/>
      <c r="CQ271" s="403"/>
      <c r="CR271" s="403"/>
      <c r="CS271" s="403"/>
      <c r="CT271" s="403"/>
      <c r="CU271" s="403"/>
      <c r="CV271" s="403"/>
      <c r="CW271" s="403"/>
      <c r="CX271" s="403"/>
      <c r="CY271" s="403"/>
      <c r="CZ271" s="403"/>
      <c r="DA271" s="403"/>
      <c r="DB271" s="403"/>
      <c r="DC271" s="403"/>
      <c r="DD271" s="403"/>
      <c r="DE271" s="403"/>
      <c r="DF271" s="403"/>
      <c r="DG271" s="403"/>
      <c r="DH271" s="403"/>
      <c r="DI271" s="403"/>
      <c r="DJ271" s="403"/>
      <c r="DK271" s="403"/>
      <c r="DL271" s="403"/>
      <c r="DM271" s="403"/>
      <c r="DN271" s="403"/>
      <c r="DO271" s="403"/>
      <c r="DP271" s="403"/>
      <c r="DQ271" s="403"/>
      <c r="DR271" s="403"/>
      <c r="DS271" s="403"/>
      <c r="DT271" s="403"/>
      <c r="DU271" s="403"/>
      <c r="DV271" s="403"/>
      <c r="DW271" s="403"/>
      <c r="DX271" s="403"/>
      <c r="DY271" s="403"/>
      <c r="DZ271" s="403"/>
      <c r="EA271" s="403"/>
      <c r="EB271" s="403"/>
      <c r="EC271" s="403"/>
      <c r="ED271" s="403"/>
      <c r="EE271" s="403"/>
      <c r="EF271" s="403"/>
      <c r="EG271" s="403"/>
      <c r="EH271" s="403"/>
      <c r="EI271" s="403"/>
      <c r="EJ271" s="403"/>
      <c r="EK271" s="403"/>
      <c r="EL271" s="403"/>
      <c r="EM271" s="403"/>
      <c r="EN271" s="403"/>
      <c r="EO271" s="403"/>
      <c r="EP271" s="403"/>
      <c r="EQ271" s="403"/>
      <c r="ER271" s="403"/>
      <c r="ES271" s="403"/>
      <c r="ET271" s="403"/>
      <c r="EU271" s="403"/>
      <c r="EV271" s="403"/>
      <c r="EW271" s="403"/>
      <c r="EX271" s="403"/>
      <c r="EY271" s="403"/>
      <c r="EZ271" s="403"/>
      <c r="FA271" s="403"/>
      <c r="FB271" s="403"/>
      <c r="FC271" s="403"/>
      <c r="FD271" s="403"/>
      <c r="FE271" s="403"/>
      <c r="FF271" s="403"/>
      <c r="FG271" s="403"/>
      <c r="FH271" s="403"/>
      <c r="FI271" s="403"/>
      <c r="FJ271" s="403"/>
      <c r="FK271" s="403"/>
      <c r="FL271" s="403"/>
      <c r="FM271" s="403"/>
      <c r="FN271" s="403"/>
      <c r="FO271" s="403"/>
      <c r="FP271" s="403"/>
      <c r="FQ271" s="403"/>
      <c r="FR271" s="403"/>
      <c r="FS271" s="403"/>
      <c r="FT271" s="403"/>
      <c r="FU271" s="403"/>
      <c r="FV271" s="403"/>
      <c r="FW271" s="403"/>
      <c r="FX271" s="403"/>
      <c r="FY271" s="403"/>
      <c r="FZ271" s="403"/>
      <c r="GA271" s="403"/>
      <c r="GB271" s="403"/>
      <c r="GC271" s="403"/>
      <c r="GD271" s="403"/>
      <c r="GE271" s="403"/>
      <c r="GF271" s="403"/>
      <c r="GG271" s="403"/>
      <c r="GH271" s="403"/>
      <c r="GI271" s="403"/>
      <c r="GJ271" s="403"/>
      <c r="GK271" s="403"/>
      <c r="GL271" s="403"/>
      <c r="GM271" s="403"/>
      <c r="GN271" s="403"/>
      <c r="GO271" s="403"/>
      <c r="GP271" s="403"/>
      <c r="GQ271" s="403"/>
      <c r="GR271" s="403"/>
      <c r="GS271" s="403"/>
      <c r="GT271" s="403"/>
      <c r="GU271" s="403"/>
      <c r="GV271" s="403"/>
      <c r="GW271" s="403"/>
      <c r="GX271" s="403"/>
      <c r="GY271" s="403"/>
      <c r="GZ271" s="403"/>
      <c r="HA271" s="403"/>
      <c r="HB271" s="403"/>
      <c r="HC271" s="403"/>
      <c r="HD271" s="403"/>
      <c r="HE271" s="403"/>
      <c r="HF271" s="403"/>
      <c r="HG271" s="403"/>
      <c r="HH271" s="403"/>
      <c r="HI271" s="403"/>
      <c r="HJ271" s="403"/>
      <c r="HK271" s="403"/>
      <c r="HL271" s="403"/>
      <c r="HM271" s="403"/>
      <c r="HN271" s="403"/>
      <c r="HO271" s="403"/>
      <c r="HP271" s="403"/>
      <c r="HQ271" s="403"/>
      <c r="HR271" s="403"/>
      <c r="HS271" s="403"/>
      <c r="HT271" s="403"/>
      <c r="HU271" s="403"/>
      <c r="HV271" s="403"/>
      <c r="HW271" s="403"/>
      <c r="HX271" s="403"/>
      <c r="HY271" s="403"/>
      <c r="HZ271" s="403"/>
      <c r="IA271" s="403"/>
      <c r="IB271" s="403"/>
      <c r="IC271" s="403"/>
      <c r="ID271" s="403"/>
      <c r="IE271" s="403"/>
      <c r="IF271" s="403"/>
      <c r="IG271" s="403"/>
      <c r="IH271" s="403"/>
      <c r="II271" s="403"/>
      <c r="IJ271" s="403"/>
      <c r="IK271" s="403"/>
      <c r="IL271" s="403"/>
      <c r="IM271" s="403"/>
      <c r="IN271" s="403"/>
      <c r="IO271" s="403"/>
      <c r="IP271" s="403"/>
      <c r="IQ271" s="403"/>
      <c r="IR271" s="403"/>
      <c r="IS271" s="403"/>
      <c r="IT271" s="403"/>
      <c r="IU271" s="403"/>
      <c r="IV271" s="403"/>
      <c r="IW271" s="403"/>
      <c r="IX271" s="403"/>
      <c r="IY271" s="403"/>
      <c r="IZ271" s="403"/>
      <c r="JA271" s="403"/>
      <c r="JB271" s="403"/>
      <c r="JC271" s="403"/>
      <c r="JD271" s="403"/>
      <c r="JE271" s="403"/>
      <c r="JF271" s="403"/>
      <c r="JG271" s="403"/>
      <c r="JH271" s="403"/>
      <c r="JI271" s="403"/>
      <c r="JJ271" s="403"/>
      <c r="JK271" s="403"/>
      <c r="JL271" s="403"/>
      <c r="JM271" s="403"/>
      <c r="JN271" s="403"/>
      <c r="JO271" s="403"/>
      <c r="JP271" s="403"/>
      <c r="JQ271" s="403"/>
      <c r="JR271" s="403"/>
      <c r="JS271" s="403"/>
      <c r="JT271" s="403"/>
    </row>
    <row r="272" spans="1:280" s="15" customFormat="1" ht="12.75" x14ac:dyDescent="0.2">
      <c r="A272" s="9"/>
      <c r="B272" s="624"/>
      <c r="C272" s="335" t="str">
        <f ca="1">IF(OFFSET(AU272,0,Lang_Order*Lang__B5)="","",OFFSET(AU272,0,Lang_Order*Lang__B5))</f>
        <v>Total Days Per Site Per Course - Basecamp</v>
      </c>
      <c r="E272" s="26"/>
      <c r="F272" s="26"/>
      <c r="G272" s="26"/>
      <c r="H272" s="26"/>
      <c r="I272" s="26"/>
      <c r="J272" s="26" t="e">
        <f t="shared" ref="J272:O272" si="653">J268*$E$239</f>
        <v>#N/A</v>
      </c>
      <c r="K272" s="26" t="e">
        <f t="shared" si="653"/>
        <v>#N/A</v>
      </c>
      <c r="L272" s="26" t="e">
        <f t="shared" si="653"/>
        <v>#N/A</v>
      </c>
      <c r="M272" s="26" t="e">
        <f t="shared" si="653"/>
        <v>#N/A</v>
      </c>
      <c r="N272" s="26" t="e">
        <f t="shared" si="653"/>
        <v>#N/A</v>
      </c>
      <c r="O272" s="26" t="e">
        <f t="shared" si="653"/>
        <v>#N/A</v>
      </c>
      <c r="P272" s="16" t="e">
        <f>SUM(J272:O272)</f>
        <v>#N/A</v>
      </c>
      <c r="Q272" s="26"/>
      <c r="R272" s="12" t="str">
        <f t="shared" ca="1" si="585"/>
        <v/>
      </c>
      <c r="S272" s="2"/>
      <c r="T272" s="241"/>
      <c r="U272" s="624"/>
      <c r="V272" s="612" t="str">
        <f ca="1">IF(OFFSET(AU272,0,Lang_Order*Lang__B5)="","",OFFSET(AU272,0,Lang_Order*Lang__B5))</f>
        <v>Total Days Per Site Per Course - Basecamp</v>
      </c>
      <c r="W272" s="26" t="e">
        <f t="shared" ref="W272:AB272" si="654">W268*$E$239</f>
        <v>#N/A</v>
      </c>
      <c r="X272" s="26" t="e">
        <f t="shared" si="654"/>
        <v>#N/A</v>
      </c>
      <c r="Y272" s="26" t="e">
        <f t="shared" si="654"/>
        <v>#N/A</v>
      </c>
      <c r="Z272" s="26" t="e">
        <f t="shared" si="654"/>
        <v>#N/A</v>
      </c>
      <c r="AA272" s="26" t="e">
        <f t="shared" si="654"/>
        <v>#N/A</v>
      </c>
      <c r="AB272" s="26" t="e">
        <f t="shared" si="654"/>
        <v>#N/A</v>
      </c>
      <c r="AC272" s="16" t="e">
        <f>SUM(W272:AB272)</f>
        <v>#N/A</v>
      </c>
      <c r="AD272" s="26"/>
      <c r="AE272" s="2"/>
      <c r="AF272" s="241"/>
      <c r="AG272" s="624"/>
      <c r="AH272" s="612" t="str">
        <f ca="1">IF(OFFSET(AU272,0,Lang_Order*Lang__B5)="","",OFFSET(AU272,0,Lang_Order*Lang__B5))</f>
        <v>Total Days Per Site Per Course - Basecamp</v>
      </c>
      <c r="AI272" s="26" t="e">
        <f t="shared" ref="AI272:AN272" si="655">AI268*$E$239</f>
        <v>#N/A</v>
      </c>
      <c r="AJ272" s="26" t="e">
        <f t="shared" si="655"/>
        <v>#N/A</v>
      </c>
      <c r="AK272" s="26" t="e">
        <f t="shared" si="655"/>
        <v>#N/A</v>
      </c>
      <c r="AL272" s="26" t="e">
        <f t="shared" si="655"/>
        <v>#N/A</v>
      </c>
      <c r="AM272" s="26" t="e">
        <f t="shared" si="655"/>
        <v>#N/A</v>
      </c>
      <c r="AN272" s="26" t="e">
        <f t="shared" si="655"/>
        <v>#N/A</v>
      </c>
      <c r="AO272" s="16" t="e">
        <f>SUM(AI272:AN272)</f>
        <v>#N/A</v>
      </c>
      <c r="AP272" s="26"/>
      <c r="AR272" s="403"/>
      <c r="AS272" s="403"/>
      <c r="AT272" s="403"/>
      <c r="AU272" s="403" t="s">
        <v>1699</v>
      </c>
      <c r="AV272" s="403"/>
      <c r="AW272" s="403"/>
      <c r="AX272" s="403"/>
      <c r="AY272" s="403"/>
      <c r="AZ272" s="403"/>
      <c r="BA272" s="403"/>
      <c r="BB272" s="403"/>
      <c r="BC272" s="403"/>
      <c r="BD272" s="403"/>
      <c r="BE272" s="403"/>
      <c r="BF272" s="403"/>
      <c r="BG272" s="403"/>
      <c r="BH272" s="403"/>
      <c r="BI272" s="403"/>
      <c r="BJ272" s="403"/>
      <c r="BK272" s="403"/>
      <c r="BL272" s="403"/>
      <c r="BM272" s="403"/>
      <c r="BN272" s="403"/>
      <c r="BO272" s="403"/>
      <c r="BP272" s="403"/>
      <c r="BQ272" s="403"/>
      <c r="BR272" s="403"/>
      <c r="BS272" s="403"/>
      <c r="BT272" s="403"/>
      <c r="BU272" s="403"/>
      <c r="BV272" s="403"/>
      <c r="BW272" s="403"/>
      <c r="BX272" s="403"/>
      <c r="BY272" s="403"/>
      <c r="BZ272" s="403"/>
      <c r="CA272" s="403"/>
      <c r="CB272" s="403"/>
      <c r="CC272" s="403" t="s">
        <v>12327</v>
      </c>
      <c r="CD272" s="403"/>
      <c r="CE272" s="403"/>
      <c r="CF272" s="403"/>
      <c r="CG272" s="403"/>
      <c r="CH272" s="403"/>
      <c r="CI272" s="403"/>
      <c r="CJ272" s="403"/>
      <c r="CK272" s="403"/>
      <c r="CL272" s="403"/>
      <c r="CM272" s="403"/>
      <c r="CN272" s="403"/>
      <c r="CO272" s="403"/>
      <c r="CP272" s="403"/>
      <c r="CQ272" s="403"/>
      <c r="CR272" s="403"/>
      <c r="CS272" s="403"/>
      <c r="CT272" s="403"/>
      <c r="CU272" s="403"/>
      <c r="CV272" s="403"/>
      <c r="CW272" s="403"/>
      <c r="CX272" s="403"/>
      <c r="CY272" s="403"/>
      <c r="CZ272" s="403"/>
      <c r="DA272" s="403"/>
      <c r="DB272" s="403"/>
      <c r="DC272" s="403"/>
      <c r="DD272" s="403"/>
      <c r="DE272" s="403"/>
      <c r="DF272" s="403"/>
      <c r="DG272" s="403"/>
      <c r="DH272" s="403"/>
      <c r="DI272" s="403"/>
      <c r="DJ272" s="403"/>
      <c r="DK272" s="403" t="s">
        <v>12328</v>
      </c>
      <c r="DL272" s="403"/>
      <c r="DM272" s="403"/>
      <c r="DN272" s="403"/>
      <c r="DO272" s="403"/>
      <c r="DP272" s="403"/>
      <c r="DQ272" s="403"/>
      <c r="DR272" s="403"/>
      <c r="DS272" s="403"/>
      <c r="DT272" s="403"/>
      <c r="DU272" s="403"/>
      <c r="DV272" s="403"/>
      <c r="DW272" s="403"/>
      <c r="DX272" s="403"/>
      <c r="DY272" s="403"/>
      <c r="DZ272" s="403"/>
      <c r="EA272" s="403"/>
      <c r="EB272" s="403"/>
      <c r="EC272" s="403"/>
      <c r="ED272" s="403"/>
      <c r="EE272" s="403"/>
      <c r="EF272" s="403"/>
      <c r="EG272" s="403"/>
      <c r="EH272" s="403"/>
      <c r="EI272" s="403"/>
      <c r="EJ272" s="403"/>
      <c r="EK272" s="403"/>
      <c r="EL272" s="403"/>
      <c r="EM272" s="403"/>
      <c r="EN272" s="403"/>
      <c r="EO272" s="403"/>
      <c r="EP272" s="403"/>
      <c r="EQ272" s="403"/>
      <c r="ER272" s="403"/>
      <c r="ES272" s="403" t="s">
        <v>12329</v>
      </c>
      <c r="ET272" s="403"/>
      <c r="EU272" s="403"/>
      <c r="EV272" s="403"/>
      <c r="EW272" s="403"/>
      <c r="EX272" s="403"/>
      <c r="EY272" s="403"/>
      <c r="EZ272" s="403"/>
      <c r="FA272" s="403"/>
      <c r="FB272" s="403"/>
      <c r="FC272" s="403"/>
      <c r="FD272" s="403"/>
      <c r="FE272" s="403"/>
      <c r="FF272" s="403"/>
      <c r="FG272" s="403"/>
      <c r="FH272" s="403"/>
      <c r="FI272" s="403"/>
      <c r="FJ272" s="403"/>
      <c r="FK272" s="403"/>
      <c r="FL272" s="403"/>
      <c r="FM272" s="403"/>
      <c r="FN272" s="403"/>
      <c r="FO272" s="403"/>
      <c r="FP272" s="403"/>
      <c r="FQ272" s="403"/>
      <c r="FR272" s="403"/>
      <c r="FS272" s="403"/>
      <c r="FT272" s="403"/>
      <c r="FU272" s="403"/>
      <c r="FV272" s="403"/>
      <c r="FW272" s="403"/>
      <c r="FX272" s="403"/>
      <c r="FY272" s="403"/>
      <c r="FZ272" s="403"/>
      <c r="GA272" s="403" t="s">
        <v>12330</v>
      </c>
      <c r="GB272" s="403"/>
      <c r="GC272" s="403"/>
      <c r="GD272" s="403"/>
      <c r="GE272" s="403"/>
      <c r="GF272" s="403"/>
      <c r="GG272" s="403"/>
      <c r="GH272" s="403"/>
      <c r="GI272" s="403"/>
      <c r="GJ272" s="403"/>
      <c r="GK272" s="403"/>
      <c r="GL272" s="403"/>
      <c r="GM272" s="403"/>
      <c r="GN272" s="403"/>
      <c r="GO272" s="403"/>
      <c r="GP272" s="403"/>
      <c r="GQ272" s="403"/>
      <c r="GR272" s="403"/>
      <c r="GS272" s="403"/>
      <c r="GT272" s="403"/>
      <c r="GU272" s="403"/>
      <c r="GV272" s="403"/>
      <c r="GW272" s="403"/>
      <c r="GX272" s="403"/>
      <c r="GY272" s="403"/>
      <c r="GZ272" s="403"/>
      <c r="HA272" s="403"/>
      <c r="HB272" s="403"/>
      <c r="HC272" s="403"/>
      <c r="HD272" s="403"/>
      <c r="HE272" s="403"/>
      <c r="HF272" s="403"/>
      <c r="HG272" s="403"/>
      <c r="HH272" s="403"/>
      <c r="HI272" s="403" t="s">
        <v>12331</v>
      </c>
      <c r="HJ272" s="403"/>
      <c r="HK272" s="403"/>
      <c r="HL272" s="403"/>
      <c r="HM272" s="403"/>
      <c r="HN272" s="403"/>
      <c r="HO272" s="403"/>
      <c r="HP272" s="403"/>
      <c r="HQ272" s="403"/>
      <c r="HR272" s="403"/>
      <c r="HS272" s="403"/>
      <c r="HT272" s="403"/>
      <c r="HU272" s="403"/>
      <c r="HV272" s="403"/>
      <c r="HW272" s="403"/>
      <c r="HX272" s="403"/>
      <c r="HY272" s="403"/>
      <c r="HZ272" s="403"/>
      <c r="IA272" s="403"/>
      <c r="IB272" s="403"/>
      <c r="IC272" s="403"/>
      <c r="ID272" s="403"/>
      <c r="IE272" s="403"/>
      <c r="IF272" s="403"/>
      <c r="IG272" s="403"/>
      <c r="IH272" s="403"/>
      <c r="II272" s="403"/>
      <c r="IJ272" s="403"/>
      <c r="IK272" s="403"/>
      <c r="IL272" s="403"/>
      <c r="IM272" s="403"/>
      <c r="IN272" s="403"/>
      <c r="IO272" s="403"/>
      <c r="IP272" s="403"/>
      <c r="IQ272" s="403" t="s">
        <v>12332</v>
      </c>
      <c r="IR272" s="403"/>
      <c r="IS272" s="403"/>
      <c r="IT272" s="403"/>
      <c r="IU272" s="403"/>
      <c r="IV272" s="403"/>
      <c r="IW272" s="403"/>
      <c r="IX272" s="403"/>
      <c r="IY272" s="403"/>
      <c r="IZ272" s="403"/>
      <c r="JA272" s="403"/>
      <c r="JB272" s="403"/>
      <c r="JC272" s="403"/>
      <c r="JD272" s="403"/>
      <c r="JE272" s="403"/>
      <c r="JF272" s="403"/>
      <c r="JG272" s="403"/>
      <c r="JH272" s="403"/>
      <c r="JI272" s="403"/>
      <c r="JJ272" s="403"/>
      <c r="JK272" s="403"/>
      <c r="JL272" s="403"/>
      <c r="JM272" s="403"/>
      <c r="JN272" s="403"/>
      <c r="JO272" s="403"/>
      <c r="JP272" s="403"/>
      <c r="JQ272" s="403"/>
      <c r="JR272" s="403"/>
      <c r="JS272" s="403"/>
      <c r="JT272" s="403"/>
    </row>
    <row r="273" spans="1:280" s="15" customFormat="1" ht="12.75" x14ac:dyDescent="0.2">
      <c r="A273" s="9"/>
      <c r="B273" s="624"/>
      <c r="C273" s="335" t="str">
        <f ca="1">IF(OFFSET(AU273,0,Lang_Order*Lang__B5)="","",OFFSET(AU273,0,Lang_Order*Lang__B5))</f>
        <v>Total Days Per Site Per Course - Mobile A</v>
      </c>
      <c r="E273" s="26"/>
      <c r="F273" s="26"/>
      <c r="G273" s="26"/>
      <c r="H273" s="26"/>
      <c r="I273" s="26"/>
      <c r="J273" s="26" t="e">
        <f t="shared" ref="J273:O273" si="656">J269*$E$239</f>
        <v>#N/A</v>
      </c>
      <c r="K273" s="26" t="e">
        <f t="shared" si="656"/>
        <v>#N/A</v>
      </c>
      <c r="L273" s="26" t="e">
        <f t="shared" si="656"/>
        <v>#N/A</v>
      </c>
      <c r="M273" s="26" t="e">
        <f t="shared" si="656"/>
        <v>#N/A</v>
      </c>
      <c r="N273" s="26" t="e">
        <f t="shared" si="656"/>
        <v>#N/A</v>
      </c>
      <c r="O273" s="26" t="e">
        <f t="shared" si="656"/>
        <v>#N/A</v>
      </c>
      <c r="P273" s="16" t="e">
        <f>SUM(J273:O273)</f>
        <v>#N/A</v>
      </c>
      <c r="Q273" s="26"/>
      <c r="R273" s="12" t="str">
        <f t="shared" ref="R273:R304" ca="1" si="657">IF(OFFSET(BJ273,0,Lang_Order*Lang__B5)="","",OFFSET(BJ273,0,Lang_Order*Lang__B5))</f>
        <v/>
      </c>
      <c r="S273" s="2"/>
      <c r="T273" s="241"/>
      <c r="U273" s="624"/>
      <c r="V273" s="612" t="str">
        <f ca="1">IF(OFFSET(AU273,0,Lang_Order*Lang__B5)="","",OFFSET(AU273,0,Lang_Order*Lang__B5))</f>
        <v>Total Days Per Site Per Course - Mobile A</v>
      </c>
      <c r="W273" s="26" t="e">
        <f t="shared" ref="W273:AB273" si="658">W269*$E$239</f>
        <v>#N/A</v>
      </c>
      <c r="X273" s="26" t="e">
        <f t="shared" si="658"/>
        <v>#N/A</v>
      </c>
      <c r="Y273" s="26" t="e">
        <f t="shared" si="658"/>
        <v>#N/A</v>
      </c>
      <c r="Z273" s="26" t="e">
        <f t="shared" si="658"/>
        <v>#N/A</v>
      </c>
      <c r="AA273" s="26" t="e">
        <f t="shared" si="658"/>
        <v>#N/A</v>
      </c>
      <c r="AB273" s="26" t="e">
        <f t="shared" si="658"/>
        <v>#N/A</v>
      </c>
      <c r="AC273" s="16" t="e">
        <f>SUM(W273:AB273)</f>
        <v>#N/A</v>
      </c>
      <c r="AD273" s="26"/>
      <c r="AE273" s="2"/>
      <c r="AF273" s="241"/>
      <c r="AG273" s="624"/>
      <c r="AH273" s="612" t="str">
        <f ca="1">IF(OFFSET(AU273,0,Lang_Order*Lang__B5)="","",OFFSET(AU273,0,Lang_Order*Lang__B5))</f>
        <v>Total Days Per Site Per Course - Mobile A</v>
      </c>
      <c r="AI273" s="26" t="e">
        <f t="shared" ref="AI273:AN273" si="659">AI269*$E$239</f>
        <v>#N/A</v>
      </c>
      <c r="AJ273" s="26" t="e">
        <f t="shared" si="659"/>
        <v>#N/A</v>
      </c>
      <c r="AK273" s="26" t="e">
        <f t="shared" si="659"/>
        <v>#N/A</v>
      </c>
      <c r="AL273" s="26" t="e">
        <f t="shared" si="659"/>
        <v>#N/A</v>
      </c>
      <c r="AM273" s="26" t="e">
        <f t="shared" si="659"/>
        <v>#N/A</v>
      </c>
      <c r="AN273" s="26" t="e">
        <f t="shared" si="659"/>
        <v>#N/A</v>
      </c>
      <c r="AO273" s="16" t="e">
        <f>SUM(AI273:AN273)</f>
        <v>#N/A</v>
      </c>
      <c r="AP273" s="26"/>
      <c r="AR273" s="403"/>
      <c r="AS273" s="403"/>
      <c r="AT273" s="403"/>
      <c r="AU273" s="403" t="s">
        <v>1700</v>
      </c>
      <c r="AV273" s="403"/>
      <c r="AW273" s="403"/>
      <c r="AX273" s="403"/>
      <c r="AY273" s="403"/>
      <c r="AZ273" s="403"/>
      <c r="BA273" s="403"/>
      <c r="BB273" s="403"/>
      <c r="BC273" s="403"/>
      <c r="BD273" s="403"/>
      <c r="BE273" s="403"/>
      <c r="BF273" s="403"/>
      <c r="BG273" s="403"/>
      <c r="BH273" s="403"/>
      <c r="BI273" s="403"/>
      <c r="BJ273" s="403"/>
      <c r="BK273" s="403"/>
      <c r="BL273" s="403"/>
      <c r="BM273" s="403"/>
      <c r="BN273" s="403"/>
      <c r="BO273" s="403"/>
      <c r="BP273" s="403"/>
      <c r="BQ273" s="403"/>
      <c r="BR273" s="403"/>
      <c r="BS273" s="403"/>
      <c r="BT273" s="403"/>
      <c r="BU273" s="403"/>
      <c r="BV273" s="403"/>
      <c r="BW273" s="403"/>
      <c r="BX273" s="403"/>
      <c r="BY273" s="403"/>
      <c r="BZ273" s="403"/>
      <c r="CA273" s="403"/>
      <c r="CB273" s="403"/>
      <c r="CC273" s="403" t="s">
        <v>12333</v>
      </c>
      <c r="CD273" s="403"/>
      <c r="CE273" s="403"/>
      <c r="CF273" s="403"/>
      <c r="CG273" s="403"/>
      <c r="CH273" s="403"/>
      <c r="CI273" s="403"/>
      <c r="CJ273" s="403"/>
      <c r="CK273" s="403"/>
      <c r="CL273" s="403"/>
      <c r="CM273" s="403"/>
      <c r="CN273" s="403"/>
      <c r="CO273" s="403"/>
      <c r="CP273" s="403"/>
      <c r="CQ273" s="403"/>
      <c r="CR273" s="403"/>
      <c r="CS273" s="403"/>
      <c r="CT273" s="403"/>
      <c r="CU273" s="403"/>
      <c r="CV273" s="403"/>
      <c r="CW273" s="403"/>
      <c r="CX273" s="403"/>
      <c r="CY273" s="403"/>
      <c r="CZ273" s="403"/>
      <c r="DA273" s="403"/>
      <c r="DB273" s="403"/>
      <c r="DC273" s="403"/>
      <c r="DD273" s="403"/>
      <c r="DE273" s="403"/>
      <c r="DF273" s="403"/>
      <c r="DG273" s="403"/>
      <c r="DH273" s="403"/>
      <c r="DI273" s="403"/>
      <c r="DJ273" s="403"/>
      <c r="DK273" s="403" t="s">
        <v>12334</v>
      </c>
      <c r="DL273" s="403"/>
      <c r="DM273" s="403"/>
      <c r="DN273" s="403"/>
      <c r="DO273" s="403"/>
      <c r="DP273" s="403"/>
      <c r="DQ273" s="403"/>
      <c r="DR273" s="403"/>
      <c r="DS273" s="403"/>
      <c r="DT273" s="403"/>
      <c r="DU273" s="403"/>
      <c r="DV273" s="403"/>
      <c r="DW273" s="403"/>
      <c r="DX273" s="403"/>
      <c r="DY273" s="403"/>
      <c r="DZ273" s="403"/>
      <c r="EA273" s="403"/>
      <c r="EB273" s="403"/>
      <c r="EC273" s="403"/>
      <c r="ED273" s="403"/>
      <c r="EE273" s="403"/>
      <c r="EF273" s="403"/>
      <c r="EG273" s="403"/>
      <c r="EH273" s="403"/>
      <c r="EI273" s="403"/>
      <c r="EJ273" s="403"/>
      <c r="EK273" s="403"/>
      <c r="EL273" s="403"/>
      <c r="EM273" s="403"/>
      <c r="EN273" s="403"/>
      <c r="EO273" s="403"/>
      <c r="EP273" s="403"/>
      <c r="EQ273" s="403"/>
      <c r="ER273" s="403"/>
      <c r="ES273" s="403" t="s">
        <v>12335</v>
      </c>
      <c r="ET273" s="403"/>
      <c r="EU273" s="403"/>
      <c r="EV273" s="403"/>
      <c r="EW273" s="403"/>
      <c r="EX273" s="403"/>
      <c r="EY273" s="403"/>
      <c r="EZ273" s="403"/>
      <c r="FA273" s="403"/>
      <c r="FB273" s="403"/>
      <c r="FC273" s="403"/>
      <c r="FD273" s="403"/>
      <c r="FE273" s="403"/>
      <c r="FF273" s="403"/>
      <c r="FG273" s="403"/>
      <c r="FH273" s="403"/>
      <c r="FI273" s="403"/>
      <c r="FJ273" s="403"/>
      <c r="FK273" s="403"/>
      <c r="FL273" s="403"/>
      <c r="FM273" s="403"/>
      <c r="FN273" s="403"/>
      <c r="FO273" s="403"/>
      <c r="FP273" s="403"/>
      <c r="FQ273" s="403"/>
      <c r="FR273" s="403"/>
      <c r="FS273" s="403"/>
      <c r="FT273" s="403"/>
      <c r="FU273" s="403"/>
      <c r="FV273" s="403"/>
      <c r="FW273" s="403"/>
      <c r="FX273" s="403"/>
      <c r="FY273" s="403"/>
      <c r="FZ273" s="403"/>
      <c r="GA273" s="403" t="s">
        <v>12336</v>
      </c>
      <c r="GB273" s="403"/>
      <c r="GC273" s="403"/>
      <c r="GD273" s="403"/>
      <c r="GE273" s="403"/>
      <c r="GF273" s="403"/>
      <c r="GG273" s="403"/>
      <c r="GH273" s="403"/>
      <c r="GI273" s="403"/>
      <c r="GJ273" s="403"/>
      <c r="GK273" s="403"/>
      <c r="GL273" s="403"/>
      <c r="GM273" s="403"/>
      <c r="GN273" s="403"/>
      <c r="GO273" s="403"/>
      <c r="GP273" s="403"/>
      <c r="GQ273" s="403"/>
      <c r="GR273" s="403"/>
      <c r="GS273" s="403"/>
      <c r="GT273" s="403"/>
      <c r="GU273" s="403"/>
      <c r="GV273" s="403"/>
      <c r="GW273" s="403"/>
      <c r="GX273" s="403"/>
      <c r="GY273" s="403"/>
      <c r="GZ273" s="403"/>
      <c r="HA273" s="403"/>
      <c r="HB273" s="403"/>
      <c r="HC273" s="403"/>
      <c r="HD273" s="403"/>
      <c r="HE273" s="403"/>
      <c r="HF273" s="403"/>
      <c r="HG273" s="403"/>
      <c r="HH273" s="403"/>
      <c r="HI273" s="403" t="s">
        <v>12337</v>
      </c>
      <c r="HJ273" s="403"/>
      <c r="HK273" s="403"/>
      <c r="HL273" s="403"/>
      <c r="HM273" s="403"/>
      <c r="HN273" s="403"/>
      <c r="HO273" s="403"/>
      <c r="HP273" s="403"/>
      <c r="HQ273" s="403"/>
      <c r="HR273" s="403"/>
      <c r="HS273" s="403"/>
      <c r="HT273" s="403"/>
      <c r="HU273" s="403"/>
      <c r="HV273" s="403"/>
      <c r="HW273" s="403"/>
      <c r="HX273" s="403"/>
      <c r="HY273" s="403"/>
      <c r="HZ273" s="403"/>
      <c r="IA273" s="403"/>
      <c r="IB273" s="403"/>
      <c r="IC273" s="403"/>
      <c r="ID273" s="403"/>
      <c r="IE273" s="403"/>
      <c r="IF273" s="403"/>
      <c r="IG273" s="403"/>
      <c r="IH273" s="403"/>
      <c r="II273" s="403"/>
      <c r="IJ273" s="403"/>
      <c r="IK273" s="403"/>
      <c r="IL273" s="403"/>
      <c r="IM273" s="403"/>
      <c r="IN273" s="403"/>
      <c r="IO273" s="403"/>
      <c r="IP273" s="403"/>
      <c r="IQ273" s="403" t="s">
        <v>12338</v>
      </c>
      <c r="IR273" s="403"/>
      <c r="IS273" s="403"/>
      <c r="IT273" s="403"/>
      <c r="IU273" s="403"/>
      <c r="IV273" s="403"/>
      <c r="IW273" s="403"/>
      <c r="IX273" s="403"/>
      <c r="IY273" s="403"/>
      <c r="IZ273" s="403"/>
      <c r="JA273" s="403"/>
      <c r="JB273" s="403"/>
      <c r="JC273" s="403"/>
      <c r="JD273" s="403"/>
      <c r="JE273" s="403"/>
      <c r="JF273" s="403"/>
      <c r="JG273" s="403"/>
      <c r="JH273" s="403"/>
      <c r="JI273" s="403"/>
      <c r="JJ273" s="403"/>
      <c r="JK273" s="403"/>
      <c r="JL273" s="403"/>
      <c r="JM273" s="403"/>
      <c r="JN273" s="403"/>
      <c r="JO273" s="403"/>
      <c r="JP273" s="403"/>
      <c r="JQ273" s="403"/>
      <c r="JR273" s="403"/>
      <c r="JS273" s="403"/>
      <c r="JT273" s="403"/>
    </row>
    <row r="274" spans="1:280" s="15" customFormat="1" ht="12.75" x14ac:dyDescent="0.2">
      <c r="A274" s="9"/>
      <c r="B274" s="624"/>
      <c r="C274" s="335" t="str">
        <f ca="1">IF(OFFSET(AU274,0,Lang_Order*Lang__B5)="","",OFFSET(AU274,0,Lang_Order*Lang__B5))</f>
        <v>Total Days Per Site Per Course - Mobile B</v>
      </c>
      <c r="E274" s="26"/>
      <c r="F274" s="26"/>
      <c r="G274" s="26"/>
      <c r="H274" s="26"/>
      <c r="I274" s="26"/>
      <c r="J274" s="26" t="e">
        <f t="shared" ref="J274:O274" si="660">J270*$E$239</f>
        <v>#N/A</v>
      </c>
      <c r="K274" s="26" t="e">
        <f t="shared" si="660"/>
        <v>#N/A</v>
      </c>
      <c r="L274" s="26" t="e">
        <f t="shared" si="660"/>
        <v>#N/A</v>
      </c>
      <c r="M274" s="26" t="e">
        <f t="shared" si="660"/>
        <v>#N/A</v>
      </c>
      <c r="N274" s="26" t="e">
        <f t="shared" si="660"/>
        <v>#N/A</v>
      </c>
      <c r="O274" s="26" t="e">
        <f t="shared" si="660"/>
        <v>#N/A</v>
      </c>
      <c r="P274" s="16" t="e">
        <f>SUM(J274:O274)</f>
        <v>#N/A</v>
      </c>
      <c r="Q274" s="26"/>
      <c r="R274" s="12" t="str">
        <f t="shared" ca="1" si="657"/>
        <v/>
      </c>
      <c r="S274" s="2"/>
      <c r="T274" s="241"/>
      <c r="U274" s="624"/>
      <c r="V274" s="612" t="str">
        <f ca="1">IF(OFFSET(AU274,0,Lang_Order*Lang__B5)="","",OFFSET(AU274,0,Lang_Order*Lang__B5))</f>
        <v>Total Days Per Site Per Course - Mobile B</v>
      </c>
      <c r="W274" s="26" t="e">
        <f t="shared" ref="W274:AB274" si="661">W270*$E$239</f>
        <v>#N/A</v>
      </c>
      <c r="X274" s="26" t="e">
        <f t="shared" si="661"/>
        <v>#N/A</v>
      </c>
      <c r="Y274" s="26" t="e">
        <f t="shared" si="661"/>
        <v>#N/A</v>
      </c>
      <c r="Z274" s="26" t="e">
        <f t="shared" si="661"/>
        <v>#N/A</v>
      </c>
      <c r="AA274" s="26" t="e">
        <f t="shared" si="661"/>
        <v>#N/A</v>
      </c>
      <c r="AB274" s="26" t="e">
        <f t="shared" si="661"/>
        <v>#N/A</v>
      </c>
      <c r="AC274" s="16" t="e">
        <f>SUM(W274:AB274)</f>
        <v>#N/A</v>
      </c>
      <c r="AD274" s="26"/>
      <c r="AE274" s="2"/>
      <c r="AF274" s="241"/>
      <c r="AG274" s="624"/>
      <c r="AH274" s="612" t="str">
        <f ca="1">IF(OFFSET(AU274,0,Lang_Order*Lang__B5)="","",OFFSET(AU274,0,Lang_Order*Lang__B5))</f>
        <v>Total Days Per Site Per Course - Mobile B</v>
      </c>
      <c r="AI274" s="26" t="e">
        <f t="shared" ref="AI274:AN274" si="662">AI270*$E$239</f>
        <v>#N/A</v>
      </c>
      <c r="AJ274" s="26" t="e">
        <f t="shared" si="662"/>
        <v>#N/A</v>
      </c>
      <c r="AK274" s="26" t="e">
        <f t="shared" si="662"/>
        <v>#N/A</v>
      </c>
      <c r="AL274" s="26" t="e">
        <f t="shared" si="662"/>
        <v>#N/A</v>
      </c>
      <c r="AM274" s="26" t="e">
        <f t="shared" si="662"/>
        <v>#N/A</v>
      </c>
      <c r="AN274" s="26" t="e">
        <f t="shared" si="662"/>
        <v>#N/A</v>
      </c>
      <c r="AO274" s="16" t="e">
        <f>SUM(AI274:AN274)</f>
        <v>#N/A</v>
      </c>
      <c r="AP274" s="26"/>
      <c r="AR274" s="403"/>
      <c r="AS274" s="403"/>
      <c r="AT274" s="403"/>
      <c r="AU274" s="403" t="s">
        <v>1701</v>
      </c>
      <c r="AV274" s="403"/>
      <c r="AW274" s="403"/>
      <c r="AX274" s="403"/>
      <c r="AY274" s="403"/>
      <c r="AZ274" s="403"/>
      <c r="BA274" s="403"/>
      <c r="BB274" s="403"/>
      <c r="BC274" s="403"/>
      <c r="BD274" s="403"/>
      <c r="BE274" s="403"/>
      <c r="BF274" s="403"/>
      <c r="BG274" s="403"/>
      <c r="BH274" s="403"/>
      <c r="BI274" s="403"/>
      <c r="BJ274" s="403"/>
      <c r="BK274" s="403"/>
      <c r="BL274" s="403"/>
      <c r="BM274" s="403"/>
      <c r="BN274" s="403"/>
      <c r="BO274" s="403"/>
      <c r="BP274" s="403"/>
      <c r="BQ274" s="403"/>
      <c r="BR274" s="403"/>
      <c r="BS274" s="403"/>
      <c r="BT274" s="403"/>
      <c r="BU274" s="403"/>
      <c r="BV274" s="403"/>
      <c r="BW274" s="403"/>
      <c r="BX274" s="403"/>
      <c r="BY274" s="403"/>
      <c r="BZ274" s="403"/>
      <c r="CA274" s="403"/>
      <c r="CB274" s="403"/>
      <c r="CC274" s="403" t="s">
        <v>12339</v>
      </c>
      <c r="CD274" s="403"/>
      <c r="CE274" s="403"/>
      <c r="CF274" s="403"/>
      <c r="CG274" s="403"/>
      <c r="CH274" s="403"/>
      <c r="CI274" s="403"/>
      <c r="CJ274" s="403"/>
      <c r="CK274" s="403"/>
      <c r="CL274" s="403"/>
      <c r="CM274" s="403"/>
      <c r="CN274" s="403"/>
      <c r="CO274" s="403"/>
      <c r="CP274" s="403"/>
      <c r="CQ274" s="403"/>
      <c r="CR274" s="403"/>
      <c r="CS274" s="403"/>
      <c r="CT274" s="403"/>
      <c r="CU274" s="403"/>
      <c r="CV274" s="403"/>
      <c r="CW274" s="403"/>
      <c r="CX274" s="403"/>
      <c r="CY274" s="403"/>
      <c r="CZ274" s="403"/>
      <c r="DA274" s="403"/>
      <c r="DB274" s="403"/>
      <c r="DC274" s="403"/>
      <c r="DD274" s="403"/>
      <c r="DE274" s="403"/>
      <c r="DF274" s="403"/>
      <c r="DG274" s="403"/>
      <c r="DH274" s="403"/>
      <c r="DI274" s="403"/>
      <c r="DJ274" s="403"/>
      <c r="DK274" s="403" t="s">
        <v>12340</v>
      </c>
      <c r="DL274" s="403"/>
      <c r="DM274" s="403"/>
      <c r="DN274" s="403"/>
      <c r="DO274" s="403"/>
      <c r="DP274" s="403"/>
      <c r="DQ274" s="403"/>
      <c r="DR274" s="403"/>
      <c r="DS274" s="403"/>
      <c r="DT274" s="403"/>
      <c r="DU274" s="403"/>
      <c r="DV274" s="403"/>
      <c r="DW274" s="403"/>
      <c r="DX274" s="403"/>
      <c r="DY274" s="403"/>
      <c r="DZ274" s="403"/>
      <c r="EA274" s="403"/>
      <c r="EB274" s="403"/>
      <c r="EC274" s="403"/>
      <c r="ED274" s="403"/>
      <c r="EE274" s="403"/>
      <c r="EF274" s="403"/>
      <c r="EG274" s="403"/>
      <c r="EH274" s="403"/>
      <c r="EI274" s="403"/>
      <c r="EJ274" s="403"/>
      <c r="EK274" s="403"/>
      <c r="EL274" s="403"/>
      <c r="EM274" s="403"/>
      <c r="EN274" s="403"/>
      <c r="EO274" s="403"/>
      <c r="EP274" s="403"/>
      <c r="EQ274" s="403"/>
      <c r="ER274" s="403"/>
      <c r="ES274" s="403" t="s">
        <v>12341</v>
      </c>
      <c r="ET274" s="403"/>
      <c r="EU274" s="403"/>
      <c r="EV274" s="403"/>
      <c r="EW274" s="403"/>
      <c r="EX274" s="403"/>
      <c r="EY274" s="403"/>
      <c r="EZ274" s="403"/>
      <c r="FA274" s="403"/>
      <c r="FB274" s="403"/>
      <c r="FC274" s="403"/>
      <c r="FD274" s="403"/>
      <c r="FE274" s="403"/>
      <c r="FF274" s="403"/>
      <c r="FG274" s="403"/>
      <c r="FH274" s="403"/>
      <c r="FI274" s="403"/>
      <c r="FJ274" s="403"/>
      <c r="FK274" s="403"/>
      <c r="FL274" s="403"/>
      <c r="FM274" s="403"/>
      <c r="FN274" s="403"/>
      <c r="FO274" s="403"/>
      <c r="FP274" s="403"/>
      <c r="FQ274" s="403"/>
      <c r="FR274" s="403"/>
      <c r="FS274" s="403"/>
      <c r="FT274" s="403"/>
      <c r="FU274" s="403"/>
      <c r="FV274" s="403"/>
      <c r="FW274" s="403"/>
      <c r="FX274" s="403"/>
      <c r="FY274" s="403"/>
      <c r="FZ274" s="403"/>
      <c r="GA274" s="403" t="s">
        <v>12342</v>
      </c>
      <c r="GB274" s="403"/>
      <c r="GC274" s="403"/>
      <c r="GD274" s="403"/>
      <c r="GE274" s="403"/>
      <c r="GF274" s="403"/>
      <c r="GG274" s="403"/>
      <c r="GH274" s="403"/>
      <c r="GI274" s="403"/>
      <c r="GJ274" s="403"/>
      <c r="GK274" s="403"/>
      <c r="GL274" s="403"/>
      <c r="GM274" s="403"/>
      <c r="GN274" s="403"/>
      <c r="GO274" s="403"/>
      <c r="GP274" s="403"/>
      <c r="GQ274" s="403"/>
      <c r="GR274" s="403"/>
      <c r="GS274" s="403"/>
      <c r="GT274" s="403"/>
      <c r="GU274" s="403"/>
      <c r="GV274" s="403"/>
      <c r="GW274" s="403"/>
      <c r="GX274" s="403"/>
      <c r="GY274" s="403"/>
      <c r="GZ274" s="403"/>
      <c r="HA274" s="403"/>
      <c r="HB274" s="403"/>
      <c r="HC274" s="403"/>
      <c r="HD274" s="403"/>
      <c r="HE274" s="403"/>
      <c r="HF274" s="403"/>
      <c r="HG274" s="403"/>
      <c r="HH274" s="403"/>
      <c r="HI274" s="403" t="s">
        <v>12343</v>
      </c>
      <c r="HJ274" s="403"/>
      <c r="HK274" s="403"/>
      <c r="HL274" s="403"/>
      <c r="HM274" s="403"/>
      <c r="HN274" s="403"/>
      <c r="HO274" s="403"/>
      <c r="HP274" s="403"/>
      <c r="HQ274" s="403"/>
      <c r="HR274" s="403"/>
      <c r="HS274" s="403"/>
      <c r="HT274" s="403"/>
      <c r="HU274" s="403"/>
      <c r="HV274" s="403"/>
      <c r="HW274" s="403"/>
      <c r="HX274" s="403"/>
      <c r="HY274" s="403"/>
      <c r="HZ274" s="403"/>
      <c r="IA274" s="403"/>
      <c r="IB274" s="403"/>
      <c r="IC274" s="403"/>
      <c r="ID274" s="403"/>
      <c r="IE274" s="403"/>
      <c r="IF274" s="403"/>
      <c r="IG274" s="403"/>
      <c r="IH274" s="403"/>
      <c r="II274" s="403"/>
      <c r="IJ274" s="403"/>
      <c r="IK274" s="403"/>
      <c r="IL274" s="403"/>
      <c r="IM274" s="403"/>
      <c r="IN274" s="403"/>
      <c r="IO274" s="403"/>
      <c r="IP274" s="403"/>
      <c r="IQ274" s="403" t="s">
        <v>12344</v>
      </c>
      <c r="IR274" s="403"/>
      <c r="IS274" s="403"/>
      <c r="IT274" s="403"/>
      <c r="IU274" s="403"/>
      <c r="IV274" s="403"/>
      <c r="IW274" s="403"/>
      <c r="IX274" s="403"/>
      <c r="IY274" s="403"/>
      <c r="IZ274" s="403"/>
      <c r="JA274" s="403"/>
      <c r="JB274" s="403"/>
      <c r="JC274" s="403"/>
      <c r="JD274" s="403"/>
      <c r="JE274" s="403"/>
      <c r="JF274" s="403"/>
      <c r="JG274" s="403"/>
      <c r="JH274" s="403"/>
      <c r="JI274" s="403"/>
      <c r="JJ274" s="403"/>
      <c r="JK274" s="403"/>
      <c r="JL274" s="403"/>
      <c r="JM274" s="403"/>
      <c r="JN274" s="403"/>
      <c r="JO274" s="403"/>
      <c r="JP274" s="403"/>
      <c r="JQ274" s="403"/>
      <c r="JR274" s="403"/>
      <c r="JS274" s="403"/>
      <c r="JT274" s="403"/>
    </row>
    <row r="275" spans="1:280" s="15" customFormat="1" ht="12.75" x14ac:dyDescent="0.2">
      <c r="A275" s="9"/>
      <c r="B275" s="624"/>
      <c r="C275" s="105" t="str">
        <f ca="1">IF(OFFSET(AU275,0,Lang_Order*Lang__B5)="","",OFFSET(AU275,0,Lang_Order*Lang__B5))</f>
        <v>(Max of the above)</v>
      </c>
      <c r="E275" s="26"/>
      <c r="F275" s="26"/>
      <c r="G275" s="26"/>
      <c r="H275" s="26"/>
      <c r="I275" s="26"/>
      <c r="J275" s="26" t="e">
        <f t="shared" ref="J275:O275" si="663">MAX(J272:J274)</f>
        <v>#N/A</v>
      </c>
      <c r="K275" s="26" t="e">
        <f>MAX(K272:K274)</f>
        <v>#N/A</v>
      </c>
      <c r="L275" s="26" t="e">
        <f t="shared" si="663"/>
        <v>#N/A</v>
      </c>
      <c r="M275" s="26" t="e">
        <f t="shared" si="663"/>
        <v>#N/A</v>
      </c>
      <c r="N275" s="26" t="e">
        <f t="shared" si="663"/>
        <v>#N/A</v>
      </c>
      <c r="O275" s="26" t="e">
        <f t="shared" si="663"/>
        <v>#N/A</v>
      </c>
      <c r="P275" s="16" t="e">
        <f>SUM(J275:O275)</f>
        <v>#N/A</v>
      </c>
      <c r="Q275" s="26"/>
      <c r="R275" s="12" t="str">
        <f t="shared" ca="1" si="657"/>
        <v/>
      </c>
      <c r="S275" s="2"/>
      <c r="T275" s="241"/>
      <c r="U275" s="624"/>
      <c r="V275" s="260" t="str">
        <f ca="1">IF(OFFSET(AU275,0,Lang_Order*Lang__B5)="","",OFFSET(AU275,0,Lang_Order*Lang__B5))</f>
        <v>(Max of the above)</v>
      </c>
      <c r="W275" s="26" t="e">
        <f t="shared" ref="W275:AB275" si="664">MAX(W272:W274)</f>
        <v>#N/A</v>
      </c>
      <c r="X275" s="26" t="e">
        <f t="shared" si="664"/>
        <v>#N/A</v>
      </c>
      <c r="Y275" s="26" t="e">
        <f t="shared" si="664"/>
        <v>#N/A</v>
      </c>
      <c r="Z275" s="26" t="e">
        <f t="shared" si="664"/>
        <v>#N/A</v>
      </c>
      <c r="AA275" s="26" t="e">
        <f t="shared" si="664"/>
        <v>#N/A</v>
      </c>
      <c r="AB275" s="26" t="e">
        <f t="shared" si="664"/>
        <v>#N/A</v>
      </c>
      <c r="AC275" s="16" t="e">
        <f>SUM(W275:AB275)</f>
        <v>#N/A</v>
      </c>
      <c r="AD275" s="26"/>
      <c r="AE275" s="2"/>
      <c r="AF275" s="241"/>
      <c r="AG275" s="624"/>
      <c r="AH275" s="615" t="str">
        <f ca="1">IF(OFFSET(AU275,0,Lang_Order*Lang__B5)="","",OFFSET(AU275,0,Lang_Order*Lang__B5))</f>
        <v>(Max of the above)</v>
      </c>
      <c r="AI275" s="26" t="e">
        <f t="shared" ref="AI275:AN275" si="665">MAX(AI272:AI274)</f>
        <v>#N/A</v>
      </c>
      <c r="AJ275" s="26" t="e">
        <f t="shared" si="665"/>
        <v>#N/A</v>
      </c>
      <c r="AK275" s="26" t="e">
        <f t="shared" si="665"/>
        <v>#N/A</v>
      </c>
      <c r="AL275" s="26" t="e">
        <f t="shared" si="665"/>
        <v>#N/A</v>
      </c>
      <c r="AM275" s="26" t="e">
        <f t="shared" si="665"/>
        <v>#N/A</v>
      </c>
      <c r="AN275" s="26" t="e">
        <f t="shared" si="665"/>
        <v>#N/A</v>
      </c>
      <c r="AO275" s="16" t="e">
        <f>SUM(AI275:AN275)</f>
        <v>#N/A</v>
      </c>
      <c r="AP275" s="26"/>
      <c r="AR275" s="403"/>
      <c r="AS275" s="403"/>
      <c r="AT275" s="403"/>
      <c r="AU275" s="403" t="s">
        <v>1713</v>
      </c>
      <c r="AV275" s="403"/>
      <c r="AW275" s="403"/>
      <c r="AX275" s="403"/>
      <c r="AY275" s="403"/>
      <c r="AZ275" s="403"/>
      <c r="BA275" s="403"/>
      <c r="BB275" s="403"/>
      <c r="BC275" s="403"/>
      <c r="BD275" s="403"/>
      <c r="BE275" s="403"/>
      <c r="BF275" s="403"/>
      <c r="BG275" s="403"/>
      <c r="BH275" s="403"/>
      <c r="BI275" s="403"/>
      <c r="BJ275" s="403"/>
      <c r="BK275" s="403"/>
      <c r="BL275" s="403"/>
      <c r="BM275" s="403"/>
      <c r="BN275" s="403"/>
      <c r="BO275" s="403"/>
      <c r="BP275" s="403"/>
      <c r="BQ275" s="403"/>
      <c r="BR275" s="403"/>
      <c r="BS275" s="403"/>
      <c r="BT275" s="403"/>
      <c r="BU275" s="403"/>
      <c r="BV275" s="403"/>
      <c r="BW275" s="403"/>
      <c r="BX275" s="403"/>
      <c r="BY275" s="403"/>
      <c r="BZ275" s="403"/>
      <c r="CA275" s="403"/>
      <c r="CB275" s="403"/>
      <c r="CC275" s="403" t="s">
        <v>12345</v>
      </c>
      <c r="CD275" s="403"/>
      <c r="CE275" s="403"/>
      <c r="CF275" s="403"/>
      <c r="CG275" s="403"/>
      <c r="CH275" s="403"/>
      <c r="CI275" s="403"/>
      <c r="CJ275" s="403"/>
      <c r="CK275" s="403"/>
      <c r="CL275" s="403"/>
      <c r="CM275" s="403"/>
      <c r="CN275" s="403"/>
      <c r="CO275" s="403"/>
      <c r="CP275" s="403"/>
      <c r="CQ275" s="403"/>
      <c r="CR275" s="403"/>
      <c r="CS275" s="403"/>
      <c r="CT275" s="403"/>
      <c r="CU275" s="403"/>
      <c r="CV275" s="403"/>
      <c r="CW275" s="403"/>
      <c r="CX275" s="403"/>
      <c r="CY275" s="403"/>
      <c r="CZ275" s="403"/>
      <c r="DA275" s="403"/>
      <c r="DB275" s="403"/>
      <c r="DC275" s="403"/>
      <c r="DD275" s="403"/>
      <c r="DE275" s="403"/>
      <c r="DF275" s="403"/>
      <c r="DG275" s="403"/>
      <c r="DH275" s="403"/>
      <c r="DI275" s="403"/>
      <c r="DJ275" s="403"/>
      <c r="DK275" s="403" t="s">
        <v>12346</v>
      </c>
      <c r="DL275" s="403"/>
      <c r="DM275" s="403"/>
      <c r="DN275" s="403"/>
      <c r="DO275" s="403"/>
      <c r="DP275" s="403"/>
      <c r="DQ275" s="403"/>
      <c r="DR275" s="403"/>
      <c r="DS275" s="403"/>
      <c r="DT275" s="403"/>
      <c r="DU275" s="403"/>
      <c r="DV275" s="403"/>
      <c r="DW275" s="403"/>
      <c r="DX275" s="403"/>
      <c r="DY275" s="403"/>
      <c r="DZ275" s="403"/>
      <c r="EA275" s="403"/>
      <c r="EB275" s="403"/>
      <c r="EC275" s="403"/>
      <c r="ED275" s="403"/>
      <c r="EE275" s="403"/>
      <c r="EF275" s="403"/>
      <c r="EG275" s="403"/>
      <c r="EH275" s="403"/>
      <c r="EI275" s="403"/>
      <c r="EJ275" s="403"/>
      <c r="EK275" s="403"/>
      <c r="EL275" s="403"/>
      <c r="EM275" s="403"/>
      <c r="EN275" s="403"/>
      <c r="EO275" s="403"/>
      <c r="EP275" s="403"/>
      <c r="EQ275" s="403"/>
      <c r="ER275" s="403"/>
      <c r="ES275" s="403" t="s">
        <v>12347</v>
      </c>
      <c r="ET275" s="403"/>
      <c r="EU275" s="403"/>
      <c r="EV275" s="403"/>
      <c r="EW275" s="403"/>
      <c r="EX275" s="403"/>
      <c r="EY275" s="403"/>
      <c r="EZ275" s="403"/>
      <c r="FA275" s="403"/>
      <c r="FB275" s="403"/>
      <c r="FC275" s="403"/>
      <c r="FD275" s="403"/>
      <c r="FE275" s="403"/>
      <c r="FF275" s="403"/>
      <c r="FG275" s="403"/>
      <c r="FH275" s="403"/>
      <c r="FI275" s="403"/>
      <c r="FJ275" s="403"/>
      <c r="FK275" s="403"/>
      <c r="FL275" s="403"/>
      <c r="FM275" s="403"/>
      <c r="FN275" s="403"/>
      <c r="FO275" s="403"/>
      <c r="FP275" s="403"/>
      <c r="FQ275" s="403"/>
      <c r="FR275" s="403"/>
      <c r="FS275" s="403"/>
      <c r="FT275" s="403"/>
      <c r="FU275" s="403"/>
      <c r="FV275" s="403"/>
      <c r="FW275" s="403"/>
      <c r="FX275" s="403"/>
      <c r="FY275" s="403"/>
      <c r="FZ275" s="403"/>
      <c r="GA275" s="403" t="s">
        <v>12348</v>
      </c>
      <c r="GB275" s="403"/>
      <c r="GC275" s="403"/>
      <c r="GD275" s="403"/>
      <c r="GE275" s="403"/>
      <c r="GF275" s="403"/>
      <c r="GG275" s="403"/>
      <c r="GH275" s="403"/>
      <c r="GI275" s="403"/>
      <c r="GJ275" s="403"/>
      <c r="GK275" s="403"/>
      <c r="GL275" s="403"/>
      <c r="GM275" s="403"/>
      <c r="GN275" s="403"/>
      <c r="GO275" s="403"/>
      <c r="GP275" s="403"/>
      <c r="GQ275" s="403"/>
      <c r="GR275" s="403"/>
      <c r="GS275" s="403"/>
      <c r="GT275" s="403"/>
      <c r="GU275" s="403"/>
      <c r="GV275" s="403"/>
      <c r="GW275" s="403"/>
      <c r="GX275" s="403"/>
      <c r="GY275" s="403"/>
      <c r="GZ275" s="403"/>
      <c r="HA275" s="403"/>
      <c r="HB275" s="403"/>
      <c r="HC275" s="403"/>
      <c r="HD275" s="403"/>
      <c r="HE275" s="403"/>
      <c r="HF275" s="403"/>
      <c r="HG275" s="403"/>
      <c r="HH275" s="403"/>
      <c r="HI275" s="403" t="s">
        <v>12349</v>
      </c>
      <c r="HJ275" s="403"/>
      <c r="HK275" s="403"/>
      <c r="HL275" s="403"/>
      <c r="HM275" s="403"/>
      <c r="HN275" s="403"/>
      <c r="HO275" s="403"/>
      <c r="HP275" s="403"/>
      <c r="HQ275" s="403"/>
      <c r="HR275" s="403"/>
      <c r="HS275" s="403"/>
      <c r="HT275" s="403"/>
      <c r="HU275" s="403"/>
      <c r="HV275" s="403"/>
      <c r="HW275" s="403"/>
      <c r="HX275" s="403"/>
      <c r="HY275" s="403"/>
      <c r="HZ275" s="403"/>
      <c r="IA275" s="403"/>
      <c r="IB275" s="403"/>
      <c r="IC275" s="403"/>
      <c r="ID275" s="403"/>
      <c r="IE275" s="403"/>
      <c r="IF275" s="403"/>
      <c r="IG275" s="403"/>
      <c r="IH275" s="403"/>
      <c r="II275" s="403"/>
      <c r="IJ275" s="403"/>
      <c r="IK275" s="403"/>
      <c r="IL275" s="403"/>
      <c r="IM275" s="403"/>
      <c r="IN275" s="403"/>
      <c r="IO275" s="403"/>
      <c r="IP275" s="403"/>
      <c r="IQ275" s="403" t="s">
        <v>12350</v>
      </c>
      <c r="IR275" s="403"/>
      <c r="IS275" s="403"/>
      <c r="IT275" s="403"/>
      <c r="IU275" s="403"/>
      <c r="IV275" s="403"/>
      <c r="IW275" s="403"/>
      <c r="IX275" s="403"/>
      <c r="IY275" s="403"/>
      <c r="IZ275" s="403"/>
      <c r="JA275" s="403"/>
      <c r="JB275" s="403"/>
      <c r="JC275" s="403"/>
      <c r="JD275" s="403"/>
      <c r="JE275" s="403"/>
      <c r="JF275" s="403"/>
      <c r="JG275" s="403"/>
      <c r="JH275" s="403"/>
      <c r="JI275" s="403"/>
      <c r="JJ275" s="403"/>
      <c r="JK275" s="403"/>
      <c r="JL275" s="403"/>
      <c r="JM275" s="403"/>
      <c r="JN275" s="403"/>
      <c r="JO275" s="403"/>
      <c r="JP275" s="403"/>
      <c r="JQ275" s="403"/>
      <c r="JR275" s="403"/>
      <c r="JS275" s="403"/>
      <c r="JT275" s="403"/>
    </row>
    <row r="276" spans="1:280" s="15" customFormat="1" ht="12.75" x14ac:dyDescent="0.2">
      <c r="A276" s="9"/>
      <c r="B276" s="624"/>
      <c r="C276" s="23"/>
      <c r="E276" s="26"/>
      <c r="F276" s="26"/>
      <c r="G276" s="26"/>
      <c r="H276" s="26"/>
      <c r="I276" s="26"/>
      <c r="J276" s="26"/>
      <c r="K276" s="26"/>
      <c r="L276" s="26"/>
      <c r="M276" s="26"/>
      <c r="N276" s="26"/>
      <c r="O276" s="26"/>
      <c r="P276" s="26"/>
      <c r="Q276" s="26"/>
      <c r="R276" s="12" t="str">
        <f t="shared" ca="1" si="657"/>
        <v/>
      </c>
      <c r="S276" s="2"/>
      <c r="T276" s="241"/>
      <c r="U276" s="624"/>
      <c r="V276" s="72"/>
      <c r="W276" s="26"/>
      <c r="X276" s="26"/>
      <c r="Y276" s="26"/>
      <c r="Z276" s="26"/>
      <c r="AA276" s="26"/>
      <c r="AB276" s="26"/>
      <c r="AC276" s="26"/>
      <c r="AD276" s="26"/>
      <c r="AE276" s="2"/>
      <c r="AF276" s="241"/>
      <c r="AG276" s="624"/>
      <c r="AH276" s="72"/>
      <c r="AI276" s="26"/>
      <c r="AJ276" s="26"/>
      <c r="AK276" s="26"/>
      <c r="AL276" s="26"/>
      <c r="AM276" s="26"/>
      <c r="AN276" s="26"/>
      <c r="AO276" s="26"/>
      <c r="AP276" s="26"/>
      <c r="AR276" s="403"/>
      <c r="AS276" s="403"/>
      <c r="AT276" s="403"/>
      <c r="AU276" s="403"/>
      <c r="AV276" s="403"/>
      <c r="AW276" s="403"/>
      <c r="AX276" s="403"/>
      <c r="AY276" s="403"/>
      <c r="AZ276" s="403"/>
      <c r="BA276" s="403"/>
      <c r="BB276" s="403"/>
      <c r="BC276" s="403"/>
      <c r="BD276" s="403"/>
      <c r="BE276" s="403"/>
      <c r="BF276" s="403"/>
      <c r="BG276" s="403"/>
      <c r="BH276" s="403"/>
      <c r="BI276" s="403"/>
      <c r="BJ276" s="403"/>
      <c r="BK276" s="403"/>
      <c r="BL276" s="403"/>
      <c r="BM276" s="403"/>
      <c r="BN276" s="403"/>
      <c r="BO276" s="403"/>
      <c r="BP276" s="403"/>
      <c r="BQ276" s="403"/>
      <c r="BR276" s="403"/>
      <c r="BS276" s="403"/>
      <c r="BT276" s="403"/>
      <c r="BU276" s="403"/>
      <c r="BV276" s="403"/>
      <c r="BW276" s="403"/>
      <c r="BX276" s="403"/>
      <c r="BY276" s="403"/>
      <c r="BZ276" s="403"/>
      <c r="CA276" s="403"/>
      <c r="CB276" s="403"/>
      <c r="CC276" s="403"/>
      <c r="CD276" s="403"/>
      <c r="CE276" s="403"/>
      <c r="CF276" s="403"/>
      <c r="CG276" s="403"/>
      <c r="CH276" s="403"/>
      <c r="CI276" s="403"/>
      <c r="CJ276" s="403"/>
      <c r="CK276" s="403"/>
      <c r="CL276" s="403"/>
      <c r="CM276" s="403"/>
      <c r="CN276" s="403"/>
      <c r="CO276" s="403"/>
      <c r="CP276" s="403"/>
      <c r="CQ276" s="403"/>
      <c r="CR276" s="403"/>
      <c r="CS276" s="403"/>
      <c r="CT276" s="403"/>
      <c r="CU276" s="403"/>
      <c r="CV276" s="403"/>
      <c r="CW276" s="403"/>
      <c r="CX276" s="403"/>
      <c r="CY276" s="403"/>
      <c r="CZ276" s="403"/>
      <c r="DA276" s="403"/>
      <c r="DB276" s="403"/>
      <c r="DC276" s="403"/>
      <c r="DD276" s="403"/>
      <c r="DE276" s="403"/>
      <c r="DF276" s="403"/>
      <c r="DG276" s="403"/>
      <c r="DH276" s="403"/>
      <c r="DI276" s="403"/>
      <c r="DJ276" s="403"/>
      <c r="DK276" s="403"/>
      <c r="DL276" s="403"/>
      <c r="DM276" s="403"/>
      <c r="DN276" s="403"/>
      <c r="DO276" s="403"/>
      <c r="DP276" s="403"/>
      <c r="DQ276" s="403"/>
      <c r="DR276" s="403"/>
      <c r="DS276" s="403"/>
      <c r="DT276" s="403"/>
      <c r="DU276" s="403"/>
      <c r="DV276" s="403"/>
      <c r="DW276" s="403"/>
      <c r="DX276" s="403"/>
      <c r="DY276" s="403"/>
      <c r="DZ276" s="403"/>
      <c r="EA276" s="403"/>
      <c r="EB276" s="403"/>
      <c r="EC276" s="403"/>
      <c r="ED276" s="403"/>
      <c r="EE276" s="403"/>
      <c r="EF276" s="403"/>
      <c r="EG276" s="403"/>
      <c r="EH276" s="403"/>
      <c r="EI276" s="403"/>
      <c r="EJ276" s="403"/>
      <c r="EK276" s="403"/>
      <c r="EL276" s="403"/>
      <c r="EM276" s="403"/>
      <c r="EN276" s="403"/>
      <c r="EO276" s="403"/>
      <c r="EP276" s="403"/>
      <c r="EQ276" s="403"/>
      <c r="ER276" s="403"/>
      <c r="ES276" s="403"/>
      <c r="ET276" s="403"/>
      <c r="EU276" s="403"/>
      <c r="EV276" s="403"/>
      <c r="EW276" s="403"/>
      <c r="EX276" s="403"/>
      <c r="EY276" s="403"/>
      <c r="EZ276" s="403"/>
      <c r="FA276" s="403"/>
      <c r="FB276" s="403"/>
      <c r="FC276" s="403"/>
      <c r="FD276" s="403"/>
      <c r="FE276" s="403"/>
      <c r="FF276" s="403"/>
      <c r="FG276" s="403"/>
      <c r="FH276" s="403"/>
      <c r="FI276" s="403"/>
      <c r="FJ276" s="403"/>
      <c r="FK276" s="403"/>
      <c r="FL276" s="403"/>
      <c r="FM276" s="403"/>
      <c r="FN276" s="403"/>
      <c r="FO276" s="403"/>
      <c r="FP276" s="403"/>
      <c r="FQ276" s="403"/>
      <c r="FR276" s="403"/>
      <c r="FS276" s="403"/>
      <c r="FT276" s="403"/>
      <c r="FU276" s="403"/>
      <c r="FV276" s="403"/>
      <c r="FW276" s="403"/>
      <c r="FX276" s="403"/>
      <c r="FY276" s="403"/>
      <c r="FZ276" s="403"/>
      <c r="GA276" s="403"/>
      <c r="GB276" s="403"/>
      <c r="GC276" s="403"/>
      <c r="GD276" s="403"/>
      <c r="GE276" s="403"/>
      <c r="GF276" s="403"/>
      <c r="GG276" s="403"/>
      <c r="GH276" s="403"/>
      <c r="GI276" s="403"/>
      <c r="GJ276" s="403"/>
      <c r="GK276" s="403"/>
      <c r="GL276" s="403"/>
      <c r="GM276" s="403"/>
      <c r="GN276" s="403"/>
      <c r="GO276" s="403"/>
      <c r="GP276" s="403"/>
      <c r="GQ276" s="403"/>
      <c r="GR276" s="403"/>
      <c r="GS276" s="403"/>
      <c r="GT276" s="403"/>
      <c r="GU276" s="403"/>
      <c r="GV276" s="403"/>
      <c r="GW276" s="403"/>
      <c r="GX276" s="403"/>
      <c r="GY276" s="403"/>
      <c r="GZ276" s="403"/>
      <c r="HA276" s="403"/>
      <c r="HB276" s="403"/>
      <c r="HC276" s="403"/>
      <c r="HD276" s="403"/>
      <c r="HE276" s="403"/>
      <c r="HF276" s="403"/>
      <c r="HG276" s="403"/>
      <c r="HH276" s="403"/>
      <c r="HI276" s="403"/>
      <c r="HJ276" s="403"/>
      <c r="HK276" s="403"/>
      <c r="HL276" s="403"/>
      <c r="HM276" s="403"/>
      <c r="HN276" s="403"/>
      <c r="HO276" s="403"/>
      <c r="HP276" s="403"/>
      <c r="HQ276" s="403"/>
      <c r="HR276" s="403"/>
      <c r="HS276" s="403"/>
      <c r="HT276" s="403"/>
      <c r="HU276" s="403"/>
      <c r="HV276" s="403"/>
      <c r="HW276" s="403"/>
      <c r="HX276" s="403"/>
      <c r="HY276" s="403"/>
      <c r="HZ276" s="403"/>
      <c r="IA276" s="403"/>
      <c r="IB276" s="403"/>
      <c r="IC276" s="403"/>
      <c r="ID276" s="403"/>
      <c r="IE276" s="403"/>
      <c r="IF276" s="403"/>
      <c r="IG276" s="403"/>
      <c r="IH276" s="403"/>
      <c r="II276" s="403"/>
      <c r="IJ276" s="403"/>
      <c r="IK276" s="403"/>
      <c r="IL276" s="403"/>
      <c r="IM276" s="403"/>
      <c r="IN276" s="403"/>
      <c r="IO276" s="403"/>
      <c r="IP276" s="403"/>
      <c r="IQ276" s="403"/>
      <c r="IR276" s="403"/>
      <c r="IS276" s="403"/>
      <c r="IT276" s="403"/>
      <c r="IU276" s="403"/>
      <c r="IV276" s="403"/>
      <c r="IW276" s="403"/>
      <c r="IX276" s="403"/>
      <c r="IY276" s="403"/>
      <c r="IZ276" s="403"/>
      <c r="JA276" s="403"/>
      <c r="JB276" s="403"/>
      <c r="JC276" s="403"/>
      <c r="JD276" s="403"/>
      <c r="JE276" s="403"/>
      <c r="JF276" s="403"/>
      <c r="JG276" s="403"/>
      <c r="JH276" s="403"/>
      <c r="JI276" s="403"/>
      <c r="JJ276" s="403"/>
      <c r="JK276" s="403"/>
      <c r="JL276" s="403"/>
      <c r="JM276" s="403"/>
      <c r="JN276" s="403"/>
      <c r="JO276" s="403"/>
      <c r="JP276" s="403"/>
      <c r="JQ276" s="403"/>
      <c r="JR276" s="403"/>
      <c r="JS276" s="403"/>
      <c r="JT276" s="403"/>
    </row>
    <row r="277" spans="1:280" s="15" customFormat="1" ht="24" x14ac:dyDescent="0.2">
      <c r="A277" s="9"/>
      <c r="B277" s="624"/>
      <c r="C277" s="359" t="str">
        <f ca="1">IF(OFFSET(AU277,0,Lang_Order*Lang__B5)="","",OFFSET(AU277,0,Lang_Order*Lang__B5))</f>
        <v>How long to vaccinate areas in all sites (given # of teams)? (days)</v>
      </c>
      <c r="E277" s="26"/>
      <c r="F277" s="26"/>
      <c r="G277" s="26"/>
      <c r="H277" s="26"/>
      <c r="I277" s="26"/>
      <c r="J277" s="62" t="e">
        <f t="shared" ref="J277" si="666">IF(J254=0,0,ROUNDUP((J272*J$243)/J254,0))</f>
        <v>#N/A</v>
      </c>
      <c r="K277" s="62" t="e">
        <f t="shared" ref="K277" si="667">IF(K254=0,0,ROUNDUP((K272*K$243)/K254,0))</f>
        <v>#N/A</v>
      </c>
      <c r="L277" s="62" t="e">
        <f t="shared" ref="L277:O277" si="668">IF(L254=0,0,ROUNDUP((L272*L$243)/L254,0))</f>
        <v>#N/A</v>
      </c>
      <c r="M277" s="62" t="e">
        <f t="shared" si="668"/>
        <v>#N/A</v>
      </c>
      <c r="N277" s="62" t="e">
        <f t="shared" si="668"/>
        <v>#N/A</v>
      </c>
      <c r="O277" s="62" t="e">
        <f t="shared" si="668"/>
        <v>#N/A</v>
      </c>
      <c r="P277" s="62">
        <f t="shared" ref="P277" si="669">IF(P254=0,0,ROUNDUP((P272*P$243)/P254,0))</f>
        <v>0</v>
      </c>
      <c r="Q277" s="26"/>
      <c r="R277" s="12" t="str">
        <f t="shared" ca="1" si="657"/>
        <v/>
      </c>
      <c r="S277" s="2"/>
      <c r="T277" s="241"/>
      <c r="U277" s="624"/>
      <c r="V277" s="615" t="str">
        <f ca="1">IF(OFFSET(AU277,0,Lang_Order*Lang__B5)="","",OFFSET(AU277,0,Lang_Order*Lang__B5))</f>
        <v>How long to vaccinate areas in all sites (given # of teams)? (days)</v>
      </c>
      <c r="W277" s="62" t="e">
        <f t="shared" ref="W277:AC277" si="670">IF(W254=0,0,ROUNDUP((W272*W$243)/W254,0))</f>
        <v>#N/A</v>
      </c>
      <c r="X277" s="62" t="e">
        <f t="shared" si="670"/>
        <v>#N/A</v>
      </c>
      <c r="Y277" s="62" t="e">
        <f t="shared" si="670"/>
        <v>#N/A</v>
      </c>
      <c r="Z277" s="62" t="e">
        <f t="shared" si="670"/>
        <v>#N/A</v>
      </c>
      <c r="AA277" s="62" t="e">
        <f t="shared" si="670"/>
        <v>#N/A</v>
      </c>
      <c r="AB277" s="62" t="e">
        <f t="shared" si="670"/>
        <v>#N/A</v>
      </c>
      <c r="AC277" s="62">
        <f t="shared" si="670"/>
        <v>0</v>
      </c>
      <c r="AD277" s="26"/>
      <c r="AE277" s="2"/>
      <c r="AF277" s="241"/>
      <c r="AG277" s="624"/>
      <c r="AH277" s="615" t="str">
        <f ca="1">IF(OFFSET(AU277,0,Lang_Order*Lang__B5)="","",OFFSET(AU277,0,Lang_Order*Lang__B5))</f>
        <v>How long to vaccinate areas in all sites (given # of teams)? (days)</v>
      </c>
      <c r="AI277" s="62" t="e">
        <f t="shared" ref="AI277:AO277" si="671">IF(AI254=0,0,ROUNDUP((AI272*AI$243)/AI254,0))</f>
        <v>#N/A</v>
      </c>
      <c r="AJ277" s="62" t="e">
        <f t="shared" si="671"/>
        <v>#N/A</v>
      </c>
      <c r="AK277" s="62" t="e">
        <f t="shared" si="671"/>
        <v>#N/A</v>
      </c>
      <c r="AL277" s="62" t="e">
        <f t="shared" si="671"/>
        <v>#N/A</v>
      </c>
      <c r="AM277" s="62" t="e">
        <f t="shared" si="671"/>
        <v>#N/A</v>
      </c>
      <c r="AN277" s="62" t="e">
        <f t="shared" si="671"/>
        <v>#N/A</v>
      </c>
      <c r="AO277" s="62">
        <f t="shared" si="671"/>
        <v>0</v>
      </c>
      <c r="AP277" s="26"/>
      <c r="AR277" s="403"/>
      <c r="AS277" s="403"/>
      <c r="AT277" s="403"/>
      <c r="AU277" s="403" t="s">
        <v>1703</v>
      </c>
      <c r="AV277" s="403"/>
      <c r="AW277" s="403"/>
      <c r="AX277" s="403"/>
      <c r="AY277" s="403"/>
      <c r="AZ277" s="403"/>
      <c r="BA277" s="403"/>
      <c r="BB277" s="403"/>
      <c r="BC277" s="403"/>
      <c r="BD277" s="403"/>
      <c r="BE277" s="403"/>
      <c r="BF277" s="403"/>
      <c r="BG277" s="403"/>
      <c r="BH277" s="403"/>
      <c r="BI277" s="403"/>
      <c r="BJ277" s="403"/>
      <c r="BK277" s="403"/>
      <c r="BL277" s="403"/>
      <c r="BM277" s="403"/>
      <c r="BN277" s="403"/>
      <c r="BO277" s="403"/>
      <c r="BP277" s="403"/>
      <c r="BQ277" s="403"/>
      <c r="BR277" s="403"/>
      <c r="BS277" s="403"/>
      <c r="BT277" s="403"/>
      <c r="BU277" s="403"/>
      <c r="BV277" s="403"/>
      <c r="BW277" s="403"/>
      <c r="BX277" s="403"/>
      <c r="BY277" s="403"/>
      <c r="BZ277" s="403"/>
      <c r="CA277" s="403"/>
      <c r="CB277" s="403"/>
      <c r="CC277" s="403" t="s">
        <v>12351</v>
      </c>
      <c r="CD277" s="403"/>
      <c r="CE277" s="403"/>
      <c r="CF277" s="403"/>
      <c r="CG277" s="403"/>
      <c r="CH277" s="403"/>
      <c r="CI277" s="403"/>
      <c r="CJ277" s="403"/>
      <c r="CK277" s="403"/>
      <c r="CL277" s="403"/>
      <c r="CM277" s="403"/>
      <c r="CN277" s="403"/>
      <c r="CO277" s="403"/>
      <c r="CP277" s="403"/>
      <c r="CQ277" s="403"/>
      <c r="CR277" s="403"/>
      <c r="CS277" s="403"/>
      <c r="CT277" s="403"/>
      <c r="CU277" s="403"/>
      <c r="CV277" s="403"/>
      <c r="CW277" s="403"/>
      <c r="CX277" s="403"/>
      <c r="CY277" s="403"/>
      <c r="CZ277" s="403"/>
      <c r="DA277" s="403"/>
      <c r="DB277" s="403"/>
      <c r="DC277" s="403"/>
      <c r="DD277" s="403"/>
      <c r="DE277" s="403"/>
      <c r="DF277" s="403"/>
      <c r="DG277" s="403"/>
      <c r="DH277" s="403"/>
      <c r="DI277" s="403"/>
      <c r="DJ277" s="403"/>
      <c r="DK277" s="403" t="s">
        <v>12352</v>
      </c>
      <c r="DL277" s="403"/>
      <c r="DM277" s="403"/>
      <c r="DN277" s="403"/>
      <c r="DO277" s="403"/>
      <c r="DP277" s="403"/>
      <c r="DQ277" s="403"/>
      <c r="DR277" s="403"/>
      <c r="DS277" s="403"/>
      <c r="DT277" s="403"/>
      <c r="DU277" s="403"/>
      <c r="DV277" s="403"/>
      <c r="DW277" s="403"/>
      <c r="DX277" s="403"/>
      <c r="DY277" s="403"/>
      <c r="DZ277" s="403"/>
      <c r="EA277" s="403"/>
      <c r="EB277" s="403"/>
      <c r="EC277" s="403"/>
      <c r="ED277" s="403"/>
      <c r="EE277" s="403"/>
      <c r="EF277" s="403"/>
      <c r="EG277" s="403"/>
      <c r="EH277" s="403"/>
      <c r="EI277" s="403"/>
      <c r="EJ277" s="403"/>
      <c r="EK277" s="403"/>
      <c r="EL277" s="403"/>
      <c r="EM277" s="403"/>
      <c r="EN277" s="403"/>
      <c r="EO277" s="403"/>
      <c r="EP277" s="403"/>
      <c r="EQ277" s="403"/>
      <c r="ER277" s="403"/>
      <c r="ES277" s="403" t="s">
        <v>12353</v>
      </c>
      <c r="ET277" s="403"/>
      <c r="EU277" s="403"/>
      <c r="EV277" s="403"/>
      <c r="EW277" s="403"/>
      <c r="EX277" s="403"/>
      <c r="EY277" s="403"/>
      <c r="EZ277" s="403"/>
      <c r="FA277" s="403"/>
      <c r="FB277" s="403"/>
      <c r="FC277" s="403"/>
      <c r="FD277" s="403"/>
      <c r="FE277" s="403"/>
      <c r="FF277" s="403"/>
      <c r="FG277" s="403"/>
      <c r="FH277" s="403"/>
      <c r="FI277" s="403"/>
      <c r="FJ277" s="403"/>
      <c r="FK277" s="403"/>
      <c r="FL277" s="403"/>
      <c r="FM277" s="403"/>
      <c r="FN277" s="403"/>
      <c r="FO277" s="403"/>
      <c r="FP277" s="403"/>
      <c r="FQ277" s="403"/>
      <c r="FR277" s="403"/>
      <c r="FS277" s="403"/>
      <c r="FT277" s="403"/>
      <c r="FU277" s="403"/>
      <c r="FV277" s="403"/>
      <c r="FW277" s="403"/>
      <c r="FX277" s="403"/>
      <c r="FY277" s="403"/>
      <c r="FZ277" s="403"/>
      <c r="GA277" s="403" t="s">
        <v>12354</v>
      </c>
      <c r="GB277" s="403"/>
      <c r="GC277" s="403"/>
      <c r="GD277" s="403"/>
      <c r="GE277" s="403"/>
      <c r="GF277" s="403"/>
      <c r="GG277" s="403"/>
      <c r="GH277" s="403"/>
      <c r="GI277" s="403"/>
      <c r="GJ277" s="403"/>
      <c r="GK277" s="403"/>
      <c r="GL277" s="403"/>
      <c r="GM277" s="403"/>
      <c r="GN277" s="403"/>
      <c r="GO277" s="403"/>
      <c r="GP277" s="403"/>
      <c r="GQ277" s="403"/>
      <c r="GR277" s="403"/>
      <c r="GS277" s="403"/>
      <c r="GT277" s="403"/>
      <c r="GU277" s="403"/>
      <c r="GV277" s="403"/>
      <c r="GW277" s="403"/>
      <c r="GX277" s="403"/>
      <c r="GY277" s="403"/>
      <c r="GZ277" s="403"/>
      <c r="HA277" s="403"/>
      <c r="HB277" s="403"/>
      <c r="HC277" s="403"/>
      <c r="HD277" s="403"/>
      <c r="HE277" s="403"/>
      <c r="HF277" s="403"/>
      <c r="HG277" s="403"/>
      <c r="HH277" s="403"/>
      <c r="HI277" s="403" t="s">
        <v>12355</v>
      </c>
      <c r="HJ277" s="403"/>
      <c r="HK277" s="403"/>
      <c r="HL277" s="403"/>
      <c r="HM277" s="403"/>
      <c r="HN277" s="403"/>
      <c r="HO277" s="403"/>
      <c r="HP277" s="403"/>
      <c r="HQ277" s="403"/>
      <c r="HR277" s="403"/>
      <c r="HS277" s="403"/>
      <c r="HT277" s="403"/>
      <c r="HU277" s="403"/>
      <c r="HV277" s="403"/>
      <c r="HW277" s="403"/>
      <c r="HX277" s="403"/>
      <c r="HY277" s="403"/>
      <c r="HZ277" s="403"/>
      <c r="IA277" s="403"/>
      <c r="IB277" s="403"/>
      <c r="IC277" s="403"/>
      <c r="ID277" s="403"/>
      <c r="IE277" s="403"/>
      <c r="IF277" s="403"/>
      <c r="IG277" s="403"/>
      <c r="IH277" s="403"/>
      <c r="II277" s="403"/>
      <c r="IJ277" s="403"/>
      <c r="IK277" s="403"/>
      <c r="IL277" s="403"/>
      <c r="IM277" s="403"/>
      <c r="IN277" s="403"/>
      <c r="IO277" s="403"/>
      <c r="IP277" s="403"/>
      <c r="IQ277" s="403" t="s">
        <v>12356</v>
      </c>
      <c r="IR277" s="403"/>
      <c r="IS277" s="403"/>
      <c r="IT277" s="403"/>
      <c r="IU277" s="403"/>
      <c r="IV277" s="403"/>
      <c r="IW277" s="403"/>
      <c r="IX277" s="403"/>
      <c r="IY277" s="403"/>
      <c r="IZ277" s="403"/>
      <c r="JA277" s="403"/>
      <c r="JB277" s="403"/>
      <c r="JC277" s="403"/>
      <c r="JD277" s="403"/>
      <c r="JE277" s="403"/>
      <c r="JF277" s="403"/>
      <c r="JG277" s="403"/>
      <c r="JH277" s="403"/>
      <c r="JI277" s="403"/>
      <c r="JJ277" s="403"/>
      <c r="JK277" s="403"/>
      <c r="JL277" s="403"/>
      <c r="JM277" s="403"/>
      <c r="JN277" s="403"/>
      <c r="JO277" s="403"/>
      <c r="JP277" s="403"/>
      <c r="JQ277" s="403"/>
      <c r="JR277" s="403"/>
      <c r="JS277" s="403"/>
      <c r="JT277" s="403"/>
    </row>
    <row r="278" spans="1:280" s="15" customFormat="1" ht="24" x14ac:dyDescent="0.2">
      <c r="A278" s="9"/>
      <c r="B278" s="624"/>
      <c r="C278" s="359" t="str">
        <f ca="1">IF(OFFSET(AU278,0,Lang_Order*Lang__B5)="","",OFFSET(AU278,0,Lang_Order*Lang__B5))</f>
        <v>How long to vaccinate areas in all sites (given # of teams)? (days)</v>
      </c>
      <c r="E278" s="26"/>
      <c r="F278" s="26"/>
      <c r="G278" s="26"/>
      <c r="H278" s="26"/>
      <c r="I278" s="26"/>
      <c r="J278" s="62">
        <f t="shared" ref="J278" si="672">IF(J256=0,0,ROUNDUP((J273*J$243)/(J254),0))</f>
        <v>0</v>
      </c>
      <c r="K278" s="62">
        <f>IF(K256=0,0,ROUNDUP((K273*K$243)/(K254),0))</f>
        <v>0</v>
      </c>
      <c r="L278" s="62">
        <f t="shared" ref="L278:O278" si="673">IF(L256=0,0,ROUNDUP((L273*L$243)/(L254),0))</f>
        <v>0</v>
      </c>
      <c r="M278" s="62">
        <f t="shared" si="673"/>
        <v>0</v>
      </c>
      <c r="N278" s="62">
        <f t="shared" si="673"/>
        <v>0</v>
      </c>
      <c r="O278" s="62">
        <f t="shared" si="673"/>
        <v>0</v>
      </c>
      <c r="P278" s="62">
        <f t="shared" ref="P278" si="674">IF(P256=0,0,ROUNDUP((P273*P$243)/(P254*P256),0))</f>
        <v>0</v>
      </c>
      <c r="Q278" s="26"/>
      <c r="R278" s="12" t="str">
        <f t="shared" ca="1" si="657"/>
        <v/>
      </c>
      <c r="S278" s="2"/>
      <c r="T278" s="241"/>
      <c r="U278" s="624"/>
      <c r="V278" s="615" t="str">
        <f ca="1">IF(OFFSET(AU278,0,Lang_Order*Lang__B5)="","",OFFSET(AU278,0,Lang_Order*Lang__B5))</f>
        <v>How long to vaccinate areas in all sites (given # of teams)? (days)</v>
      </c>
      <c r="W278" s="62">
        <f t="shared" ref="W278" si="675">IF(W256=0,0,ROUNDUP((W273*W$243)/(W254),0))</f>
        <v>0</v>
      </c>
      <c r="X278" s="62">
        <f>IF(X256=0,0,ROUNDUP((X273*X$243)/(X254),0))</f>
        <v>0</v>
      </c>
      <c r="Y278" s="62">
        <f t="shared" ref="Y278:AB278" si="676">IF(Y256=0,0,ROUNDUP((Y273*Y$243)/(Y254),0))</f>
        <v>0</v>
      </c>
      <c r="Z278" s="62">
        <f t="shared" si="676"/>
        <v>0</v>
      </c>
      <c r="AA278" s="62">
        <f t="shared" si="676"/>
        <v>0</v>
      </c>
      <c r="AB278" s="62">
        <f t="shared" si="676"/>
        <v>0</v>
      </c>
      <c r="AC278" s="62">
        <f t="shared" ref="AC278" si="677">IF(AC256=0,0,ROUNDUP((AC273*AC$243)/(AC254*AC256),0))</f>
        <v>0</v>
      </c>
      <c r="AD278" s="26"/>
      <c r="AE278" s="2"/>
      <c r="AF278" s="241"/>
      <c r="AG278" s="624"/>
      <c r="AH278" s="615" t="str">
        <f ca="1">IF(OFFSET(AU278,0,Lang_Order*Lang__B5)="","",OFFSET(AU278,0,Lang_Order*Lang__B5))</f>
        <v>How long to vaccinate areas in all sites (given # of teams)? (days)</v>
      </c>
      <c r="AI278" s="62">
        <f t="shared" ref="AI278" si="678">IF(AI256=0,0,ROUNDUP((AI273*AI$243)/(AI254),0))</f>
        <v>0</v>
      </c>
      <c r="AJ278" s="62">
        <f>IF(AJ256=0,0,ROUNDUP((AJ273*AJ$243)/(AJ254),0))</f>
        <v>0</v>
      </c>
      <c r="AK278" s="62">
        <f t="shared" ref="AK278:AN278" si="679">IF(AK256=0,0,ROUNDUP((AK273*AK$243)/(AK254),0))</f>
        <v>0</v>
      </c>
      <c r="AL278" s="62">
        <f t="shared" si="679"/>
        <v>0</v>
      </c>
      <c r="AM278" s="62">
        <f t="shared" si="679"/>
        <v>0</v>
      </c>
      <c r="AN278" s="62">
        <f t="shared" si="679"/>
        <v>0</v>
      </c>
      <c r="AO278" s="62">
        <f t="shared" ref="AO278" si="680">IF(AO256=0,0,ROUNDUP((AO273*AO$243)/(AO254*AO256),0))</f>
        <v>0</v>
      </c>
      <c r="AP278" s="26"/>
      <c r="AR278" s="403"/>
      <c r="AS278" s="403"/>
      <c r="AT278" s="403"/>
      <c r="AU278" s="403" t="s">
        <v>1703</v>
      </c>
      <c r="AV278" s="403"/>
      <c r="AW278" s="403"/>
      <c r="AX278" s="403"/>
      <c r="AY278" s="403"/>
      <c r="AZ278" s="403"/>
      <c r="BA278" s="403"/>
      <c r="BB278" s="403"/>
      <c r="BC278" s="403"/>
      <c r="BD278" s="403"/>
      <c r="BE278" s="403"/>
      <c r="BF278" s="403"/>
      <c r="BG278" s="403"/>
      <c r="BH278" s="403"/>
      <c r="BI278" s="403"/>
      <c r="BJ278" s="403"/>
      <c r="BK278" s="403"/>
      <c r="BL278" s="403"/>
      <c r="BM278" s="403"/>
      <c r="BN278" s="403"/>
      <c r="BO278" s="403"/>
      <c r="BP278" s="403"/>
      <c r="BQ278" s="403"/>
      <c r="BR278" s="403"/>
      <c r="BS278" s="403"/>
      <c r="BT278" s="403"/>
      <c r="BU278" s="403"/>
      <c r="BV278" s="403"/>
      <c r="BW278" s="403"/>
      <c r="BX278" s="403"/>
      <c r="BY278" s="403"/>
      <c r="BZ278" s="403"/>
      <c r="CA278" s="403"/>
      <c r="CB278" s="403"/>
      <c r="CC278" s="403" t="s">
        <v>12351</v>
      </c>
      <c r="CD278" s="403"/>
      <c r="CE278" s="403"/>
      <c r="CF278" s="403"/>
      <c r="CG278" s="403"/>
      <c r="CH278" s="403"/>
      <c r="CI278" s="403"/>
      <c r="CJ278" s="403"/>
      <c r="CK278" s="403"/>
      <c r="CL278" s="403"/>
      <c r="CM278" s="403"/>
      <c r="CN278" s="403"/>
      <c r="CO278" s="403"/>
      <c r="CP278" s="403"/>
      <c r="CQ278" s="403"/>
      <c r="CR278" s="403"/>
      <c r="CS278" s="403"/>
      <c r="CT278" s="403"/>
      <c r="CU278" s="403"/>
      <c r="CV278" s="403"/>
      <c r="CW278" s="403"/>
      <c r="CX278" s="403"/>
      <c r="CY278" s="403"/>
      <c r="CZ278" s="403"/>
      <c r="DA278" s="403"/>
      <c r="DB278" s="403"/>
      <c r="DC278" s="403"/>
      <c r="DD278" s="403"/>
      <c r="DE278" s="403"/>
      <c r="DF278" s="403"/>
      <c r="DG278" s="403"/>
      <c r="DH278" s="403"/>
      <c r="DI278" s="403"/>
      <c r="DJ278" s="403"/>
      <c r="DK278" s="403" t="s">
        <v>12352</v>
      </c>
      <c r="DL278" s="403"/>
      <c r="DM278" s="403"/>
      <c r="DN278" s="403"/>
      <c r="DO278" s="403"/>
      <c r="DP278" s="403"/>
      <c r="DQ278" s="403"/>
      <c r="DR278" s="403"/>
      <c r="DS278" s="403"/>
      <c r="DT278" s="403"/>
      <c r="DU278" s="403"/>
      <c r="DV278" s="403"/>
      <c r="DW278" s="403"/>
      <c r="DX278" s="403"/>
      <c r="DY278" s="403"/>
      <c r="DZ278" s="403"/>
      <c r="EA278" s="403"/>
      <c r="EB278" s="403"/>
      <c r="EC278" s="403"/>
      <c r="ED278" s="403"/>
      <c r="EE278" s="403"/>
      <c r="EF278" s="403"/>
      <c r="EG278" s="403"/>
      <c r="EH278" s="403"/>
      <c r="EI278" s="403"/>
      <c r="EJ278" s="403"/>
      <c r="EK278" s="403"/>
      <c r="EL278" s="403"/>
      <c r="EM278" s="403" t="s">
        <v>2642</v>
      </c>
      <c r="EN278" s="403"/>
      <c r="EO278" s="403"/>
      <c r="EP278" s="403"/>
      <c r="EQ278" s="403"/>
      <c r="ER278" s="403"/>
      <c r="ES278" s="403" t="s">
        <v>12353</v>
      </c>
      <c r="ET278" s="403"/>
      <c r="EU278" s="403"/>
      <c r="EV278" s="403"/>
      <c r="EW278" s="403"/>
      <c r="EX278" s="403"/>
      <c r="EY278" s="403"/>
      <c r="EZ278" s="403"/>
      <c r="FA278" s="403"/>
      <c r="FB278" s="403"/>
      <c r="FC278" s="403"/>
      <c r="FD278" s="403"/>
      <c r="FE278" s="403"/>
      <c r="FF278" s="403"/>
      <c r="FG278" s="403"/>
      <c r="FH278" s="403"/>
      <c r="FI278" s="403"/>
      <c r="FJ278" s="403"/>
      <c r="FK278" s="403"/>
      <c r="FL278" s="403"/>
      <c r="FM278" s="403"/>
      <c r="FN278" s="403"/>
      <c r="FO278" s="403"/>
      <c r="FP278" s="403"/>
      <c r="FQ278" s="403"/>
      <c r="FR278" s="403"/>
      <c r="FS278" s="403"/>
      <c r="FT278" s="403"/>
      <c r="FU278" s="403"/>
      <c r="FV278" s="403"/>
      <c r="FW278" s="403"/>
      <c r="FX278" s="403"/>
      <c r="FY278" s="403"/>
      <c r="FZ278" s="403"/>
      <c r="GA278" s="403" t="s">
        <v>12354</v>
      </c>
      <c r="GB278" s="403"/>
      <c r="GC278" s="403"/>
      <c r="GD278" s="403"/>
      <c r="GE278" s="403"/>
      <c r="GF278" s="403"/>
      <c r="GG278" s="403"/>
      <c r="GH278" s="403"/>
      <c r="GI278" s="403"/>
      <c r="GJ278" s="403"/>
      <c r="GK278" s="403"/>
      <c r="GL278" s="403"/>
      <c r="GM278" s="403"/>
      <c r="GN278" s="403"/>
      <c r="GO278" s="403"/>
      <c r="GP278" s="403"/>
      <c r="GQ278" s="403"/>
      <c r="GR278" s="403"/>
      <c r="GS278" s="403"/>
      <c r="GT278" s="403"/>
      <c r="GU278" s="403"/>
      <c r="GV278" s="403"/>
      <c r="GW278" s="403"/>
      <c r="GX278" s="403"/>
      <c r="GY278" s="403"/>
      <c r="GZ278" s="403"/>
      <c r="HA278" s="403"/>
      <c r="HB278" s="403"/>
      <c r="HC278" s="403"/>
      <c r="HD278" s="403"/>
      <c r="HE278" s="403"/>
      <c r="HF278" s="403"/>
      <c r="HG278" s="403"/>
      <c r="HH278" s="403"/>
      <c r="HI278" s="403" t="s">
        <v>12355</v>
      </c>
      <c r="HJ278" s="403"/>
      <c r="HK278" s="403"/>
      <c r="HL278" s="403"/>
      <c r="HM278" s="403"/>
      <c r="HN278" s="403"/>
      <c r="HO278" s="403"/>
      <c r="HP278" s="403"/>
      <c r="HQ278" s="403"/>
      <c r="HR278" s="403"/>
      <c r="HS278" s="403"/>
      <c r="HT278" s="403"/>
      <c r="HU278" s="403"/>
      <c r="HV278" s="403"/>
      <c r="HW278" s="403"/>
      <c r="HX278" s="403"/>
      <c r="HY278" s="403"/>
      <c r="HZ278" s="403"/>
      <c r="IA278" s="403"/>
      <c r="IB278" s="403"/>
      <c r="IC278" s="403"/>
      <c r="ID278" s="403"/>
      <c r="IE278" s="403"/>
      <c r="IF278" s="403"/>
      <c r="IG278" s="403"/>
      <c r="IH278" s="403"/>
      <c r="II278" s="403"/>
      <c r="IJ278" s="403"/>
      <c r="IK278" s="403"/>
      <c r="IL278" s="403"/>
      <c r="IM278" s="403"/>
      <c r="IN278" s="403"/>
      <c r="IO278" s="403"/>
      <c r="IP278" s="403"/>
      <c r="IQ278" s="403" t="s">
        <v>12356</v>
      </c>
      <c r="IR278" s="403"/>
      <c r="IS278" s="403"/>
      <c r="IT278" s="403"/>
      <c r="IU278" s="403"/>
      <c r="IV278" s="403"/>
      <c r="IW278" s="403"/>
      <c r="IX278" s="403"/>
      <c r="IY278" s="403"/>
      <c r="IZ278" s="403"/>
      <c r="JA278" s="403"/>
      <c r="JB278" s="403"/>
      <c r="JC278" s="403"/>
      <c r="JD278" s="403"/>
      <c r="JE278" s="403"/>
      <c r="JF278" s="403"/>
      <c r="JG278" s="403"/>
      <c r="JH278" s="403"/>
      <c r="JI278" s="403"/>
      <c r="JJ278" s="403"/>
      <c r="JK278" s="403"/>
      <c r="JL278" s="403"/>
      <c r="JM278" s="403"/>
      <c r="JN278" s="403"/>
      <c r="JO278" s="403"/>
      <c r="JP278" s="403"/>
      <c r="JQ278" s="403"/>
      <c r="JR278" s="403"/>
      <c r="JS278" s="403"/>
      <c r="JT278" s="403"/>
    </row>
    <row r="279" spans="1:280" s="15" customFormat="1" ht="24" x14ac:dyDescent="0.2">
      <c r="A279" s="9"/>
      <c r="B279" s="624"/>
      <c r="C279" s="359" t="str">
        <f ca="1">IF(OFFSET(AU279,0,Lang_Order*Lang__B5)="","",OFFSET(AU279,0,Lang_Order*Lang__B5))</f>
        <v>How long to vaccinate areas in all sites (given # of teams)? (days)</v>
      </c>
      <c r="E279" s="26"/>
      <c r="F279" s="26"/>
      <c r="G279" s="26"/>
      <c r="H279" s="26"/>
      <c r="I279" s="26"/>
      <c r="J279" s="62">
        <f t="shared" ref="J279" si="681">IF(J257=0,0,ROUNDUP((J274*J$243)/(J254),0))</f>
        <v>0</v>
      </c>
      <c r="K279" s="62">
        <f>IF(K257=0,0,ROUNDUP((K274*K$243)/(K254),0))</f>
        <v>0</v>
      </c>
      <c r="L279" s="62">
        <f t="shared" ref="L279:O279" si="682">IF(L257=0,0,ROUNDUP((L274*L$243)/(L254),0))</f>
        <v>0</v>
      </c>
      <c r="M279" s="62">
        <f t="shared" si="682"/>
        <v>0</v>
      </c>
      <c r="N279" s="62">
        <f t="shared" si="682"/>
        <v>0</v>
      </c>
      <c r="O279" s="62">
        <f t="shared" si="682"/>
        <v>0</v>
      </c>
      <c r="P279" s="62">
        <f t="shared" ref="P279" si="683">IF(P257=0,0,ROUNDUP((P274*P$243)/(P254*P257),0))</f>
        <v>0</v>
      </c>
      <c r="Q279" s="26"/>
      <c r="R279" s="12" t="str">
        <f t="shared" ca="1" si="657"/>
        <v/>
      </c>
      <c r="S279" s="2"/>
      <c r="T279" s="241"/>
      <c r="U279" s="624"/>
      <c r="V279" s="615" t="str">
        <f ca="1">IF(OFFSET(AU279,0,Lang_Order*Lang__B5)="","",OFFSET(AU279,0,Lang_Order*Lang__B5))</f>
        <v>How long to vaccinate areas in all sites (given # of teams)? (days)</v>
      </c>
      <c r="W279" s="62">
        <f t="shared" ref="W279" si="684">IF(W257=0,0,ROUNDUP((W274*W$243)/(W254),0))</f>
        <v>0</v>
      </c>
      <c r="X279" s="62">
        <f>IF(X257=0,0,ROUNDUP((X274*X$243)/(X254),0))</f>
        <v>0</v>
      </c>
      <c r="Y279" s="62">
        <f t="shared" ref="Y279:AB279" si="685">IF(Y257=0,0,ROUNDUP((Y274*Y$243)/(Y254),0))</f>
        <v>0</v>
      </c>
      <c r="Z279" s="62">
        <f t="shared" si="685"/>
        <v>0</v>
      </c>
      <c r="AA279" s="62">
        <f t="shared" si="685"/>
        <v>0</v>
      </c>
      <c r="AB279" s="62">
        <f t="shared" si="685"/>
        <v>0</v>
      </c>
      <c r="AC279" s="62">
        <f t="shared" ref="AC279" si="686">IF(AC257=0,0,ROUNDUP((AC274*AC$243)/(AC254*AC257),0))</f>
        <v>0</v>
      </c>
      <c r="AD279" s="26"/>
      <c r="AE279" s="2"/>
      <c r="AF279" s="241"/>
      <c r="AG279" s="624"/>
      <c r="AH279" s="615" t="str">
        <f ca="1">IF(OFFSET(AU279,0,Lang_Order*Lang__B5)="","",OFFSET(AU279,0,Lang_Order*Lang__B5))</f>
        <v>How long to vaccinate areas in all sites (given # of teams)? (days)</v>
      </c>
      <c r="AI279" s="62">
        <f t="shared" ref="AI279" si="687">IF(AI257=0,0,ROUNDUP((AI274*AI$243)/(AI254),0))</f>
        <v>0</v>
      </c>
      <c r="AJ279" s="62">
        <f>IF(AJ257=0,0,ROUNDUP((AJ274*AJ$243)/(AJ254),0))</f>
        <v>0</v>
      </c>
      <c r="AK279" s="62">
        <f t="shared" ref="AK279:AN279" si="688">IF(AK257=0,0,ROUNDUP((AK274*AK$243)/(AK254),0))</f>
        <v>0</v>
      </c>
      <c r="AL279" s="62">
        <f t="shared" si="688"/>
        <v>0</v>
      </c>
      <c r="AM279" s="62">
        <f t="shared" si="688"/>
        <v>0</v>
      </c>
      <c r="AN279" s="62">
        <f t="shared" si="688"/>
        <v>0</v>
      </c>
      <c r="AO279" s="62">
        <f t="shared" ref="AO279" si="689">IF(AO257=0,0,ROUNDUP((AO274*AO$243)/(AO254*AO257),0))</f>
        <v>0</v>
      </c>
      <c r="AP279" s="26"/>
      <c r="AR279" s="403"/>
      <c r="AS279" s="403"/>
      <c r="AT279" s="403"/>
      <c r="AU279" s="403" t="s">
        <v>1703</v>
      </c>
      <c r="AV279" s="403"/>
      <c r="AW279" s="403"/>
      <c r="AX279" s="403"/>
      <c r="AY279" s="403"/>
      <c r="AZ279" s="403"/>
      <c r="BA279" s="403"/>
      <c r="BB279" s="403"/>
      <c r="BC279" s="403"/>
      <c r="BD279" s="403"/>
      <c r="BE279" s="403"/>
      <c r="BF279" s="403"/>
      <c r="BG279" s="403"/>
      <c r="BH279" s="403"/>
      <c r="BI279" s="403"/>
      <c r="BJ279" s="403"/>
      <c r="BK279" s="403"/>
      <c r="BL279" s="403"/>
      <c r="BM279" s="403"/>
      <c r="BN279" s="403"/>
      <c r="BO279" s="403"/>
      <c r="BP279" s="403"/>
      <c r="BQ279" s="403"/>
      <c r="BR279" s="403"/>
      <c r="BS279" s="403"/>
      <c r="BT279" s="403"/>
      <c r="BU279" s="403"/>
      <c r="BV279" s="403"/>
      <c r="BW279" s="403"/>
      <c r="BX279" s="403"/>
      <c r="BY279" s="403"/>
      <c r="BZ279" s="403"/>
      <c r="CA279" s="403"/>
      <c r="CB279" s="403"/>
      <c r="CC279" s="403" t="s">
        <v>12351</v>
      </c>
      <c r="CD279" s="403"/>
      <c r="CE279" s="403"/>
      <c r="CF279" s="403"/>
      <c r="CG279" s="403"/>
      <c r="CH279" s="403"/>
      <c r="CI279" s="403"/>
      <c r="CJ279" s="403"/>
      <c r="CK279" s="403"/>
      <c r="CL279" s="403"/>
      <c r="CM279" s="403"/>
      <c r="CN279" s="403"/>
      <c r="CO279" s="403"/>
      <c r="CP279" s="403"/>
      <c r="CQ279" s="403"/>
      <c r="CR279" s="403"/>
      <c r="CS279" s="403"/>
      <c r="CT279" s="403"/>
      <c r="CU279" s="403"/>
      <c r="CV279" s="403"/>
      <c r="CW279" s="403"/>
      <c r="CX279" s="403"/>
      <c r="CY279" s="403"/>
      <c r="CZ279" s="403"/>
      <c r="DA279" s="403"/>
      <c r="DB279" s="403"/>
      <c r="DC279" s="403"/>
      <c r="DD279" s="403"/>
      <c r="DE279" s="403"/>
      <c r="DF279" s="403"/>
      <c r="DG279" s="403"/>
      <c r="DH279" s="403"/>
      <c r="DI279" s="403"/>
      <c r="DJ279" s="403"/>
      <c r="DK279" s="403" t="s">
        <v>12352</v>
      </c>
      <c r="DL279" s="403"/>
      <c r="DM279" s="403"/>
      <c r="DN279" s="403"/>
      <c r="DO279" s="403"/>
      <c r="DP279" s="403"/>
      <c r="DQ279" s="403"/>
      <c r="DR279" s="403"/>
      <c r="DS279" s="403"/>
      <c r="DT279" s="403"/>
      <c r="DU279" s="403"/>
      <c r="DV279" s="403"/>
      <c r="DW279" s="403"/>
      <c r="DX279" s="403"/>
      <c r="DY279" s="403"/>
      <c r="DZ279" s="403"/>
      <c r="EA279" s="403"/>
      <c r="EB279" s="403"/>
      <c r="EC279" s="403"/>
      <c r="ED279" s="403"/>
      <c r="EE279" s="403"/>
      <c r="EF279" s="403"/>
      <c r="EG279" s="403"/>
      <c r="EH279" s="403"/>
      <c r="EI279" s="403"/>
      <c r="EJ279" s="403"/>
      <c r="EK279" s="403"/>
      <c r="EL279" s="403"/>
      <c r="EM279" s="403"/>
      <c r="EN279" s="403"/>
      <c r="EO279" s="403"/>
      <c r="EP279" s="403"/>
      <c r="EQ279" s="403"/>
      <c r="ER279" s="403"/>
      <c r="ES279" s="403" t="s">
        <v>12353</v>
      </c>
      <c r="ET279" s="403"/>
      <c r="EU279" s="403"/>
      <c r="EV279" s="403"/>
      <c r="EW279" s="403"/>
      <c r="EX279" s="403"/>
      <c r="EY279" s="403"/>
      <c r="EZ279" s="403"/>
      <c r="FA279" s="403"/>
      <c r="FB279" s="403"/>
      <c r="FC279" s="403"/>
      <c r="FD279" s="403"/>
      <c r="FE279" s="403"/>
      <c r="FF279" s="403"/>
      <c r="FG279" s="403"/>
      <c r="FH279" s="403"/>
      <c r="FI279" s="403"/>
      <c r="FJ279" s="403"/>
      <c r="FK279" s="403"/>
      <c r="FL279" s="403"/>
      <c r="FM279" s="403"/>
      <c r="FN279" s="403"/>
      <c r="FO279" s="403"/>
      <c r="FP279" s="403"/>
      <c r="FQ279" s="403"/>
      <c r="FR279" s="403"/>
      <c r="FS279" s="403"/>
      <c r="FT279" s="403"/>
      <c r="FU279" s="403"/>
      <c r="FV279" s="403"/>
      <c r="FW279" s="403"/>
      <c r="FX279" s="403"/>
      <c r="FY279" s="403"/>
      <c r="FZ279" s="403"/>
      <c r="GA279" s="403" t="s">
        <v>12354</v>
      </c>
      <c r="GB279" s="403"/>
      <c r="GC279" s="403"/>
      <c r="GD279" s="403"/>
      <c r="GE279" s="403"/>
      <c r="GF279" s="403"/>
      <c r="GG279" s="403"/>
      <c r="GH279" s="403"/>
      <c r="GI279" s="403"/>
      <c r="GJ279" s="403"/>
      <c r="GK279" s="403"/>
      <c r="GL279" s="403"/>
      <c r="GM279" s="403"/>
      <c r="GN279" s="403"/>
      <c r="GO279" s="403"/>
      <c r="GP279" s="403"/>
      <c r="GQ279" s="403"/>
      <c r="GR279" s="403"/>
      <c r="GS279" s="403"/>
      <c r="GT279" s="403"/>
      <c r="GU279" s="403"/>
      <c r="GV279" s="403"/>
      <c r="GW279" s="403"/>
      <c r="GX279" s="403"/>
      <c r="GY279" s="403"/>
      <c r="GZ279" s="403"/>
      <c r="HA279" s="403"/>
      <c r="HB279" s="403"/>
      <c r="HC279" s="403"/>
      <c r="HD279" s="403"/>
      <c r="HE279" s="403"/>
      <c r="HF279" s="403"/>
      <c r="HG279" s="403"/>
      <c r="HH279" s="403"/>
      <c r="HI279" s="403" t="s">
        <v>12355</v>
      </c>
      <c r="HJ279" s="403"/>
      <c r="HK279" s="403"/>
      <c r="HL279" s="403"/>
      <c r="HM279" s="403"/>
      <c r="HN279" s="403"/>
      <c r="HO279" s="403"/>
      <c r="HP279" s="403"/>
      <c r="HQ279" s="403"/>
      <c r="HR279" s="403"/>
      <c r="HS279" s="403"/>
      <c r="HT279" s="403"/>
      <c r="HU279" s="403"/>
      <c r="HV279" s="403"/>
      <c r="HW279" s="403"/>
      <c r="HX279" s="403"/>
      <c r="HY279" s="403"/>
      <c r="HZ279" s="403"/>
      <c r="IA279" s="403"/>
      <c r="IB279" s="403"/>
      <c r="IC279" s="403"/>
      <c r="ID279" s="403"/>
      <c r="IE279" s="403"/>
      <c r="IF279" s="403"/>
      <c r="IG279" s="403"/>
      <c r="IH279" s="403"/>
      <c r="II279" s="403"/>
      <c r="IJ279" s="403"/>
      <c r="IK279" s="403"/>
      <c r="IL279" s="403"/>
      <c r="IM279" s="403"/>
      <c r="IN279" s="403"/>
      <c r="IO279" s="403"/>
      <c r="IP279" s="403"/>
      <c r="IQ279" s="403" t="s">
        <v>12356</v>
      </c>
      <c r="IR279" s="403"/>
      <c r="IS279" s="403"/>
      <c r="IT279" s="403"/>
      <c r="IU279" s="403"/>
      <c r="IV279" s="403"/>
      <c r="IW279" s="403"/>
      <c r="IX279" s="403"/>
      <c r="IY279" s="403"/>
      <c r="IZ279" s="403"/>
      <c r="JA279" s="403"/>
      <c r="JB279" s="403"/>
      <c r="JC279" s="403"/>
      <c r="JD279" s="403"/>
      <c r="JE279" s="403"/>
      <c r="JF279" s="403"/>
      <c r="JG279" s="403"/>
      <c r="JH279" s="403"/>
      <c r="JI279" s="403"/>
      <c r="JJ279" s="403"/>
      <c r="JK279" s="403"/>
      <c r="JL279" s="403"/>
      <c r="JM279" s="403"/>
      <c r="JN279" s="403"/>
      <c r="JO279" s="403"/>
      <c r="JP279" s="403"/>
      <c r="JQ279" s="403"/>
      <c r="JR279" s="403"/>
      <c r="JS279" s="403"/>
      <c r="JT279" s="403"/>
    </row>
    <row r="280" spans="1:280" s="15" customFormat="1" ht="12.75" x14ac:dyDescent="0.2">
      <c r="A280" s="9"/>
      <c r="B280" s="624"/>
      <c r="C280" s="105" t="str">
        <f ca="1">IF(OFFSET(AU280,0,Lang_Order*Lang__B5)="","",OFFSET(AU280,0,Lang_Order*Lang__B5))</f>
        <v>(Max of the above)</v>
      </c>
      <c r="E280" s="26"/>
      <c r="F280" s="26"/>
      <c r="G280" s="26"/>
      <c r="H280" s="26"/>
      <c r="I280" s="26"/>
      <c r="J280" s="62" t="e">
        <f t="shared" ref="J280:O280" si="690">MAX(J277:J279)</f>
        <v>#N/A</v>
      </c>
      <c r="K280" s="62" t="e">
        <f>MAX(K277:K279)</f>
        <v>#N/A</v>
      </c>
      <c r="L280" s="62" t="e">
        <f t="shared" si="690"/>
        <v>#N/A</v>
      </c>
      <c r="M280" s="62" t="e">
        <f t="shared" si="690"/>
        <v>#N/A</v>
      </c>
      <c r="N280" s="62" t="e">
        <f t="shared" si="690"/>
        <v>#N/A</v>
      </c>
      <c r="O280" s="62" t="e">
        <f t="shared" si="690"/>
        <v>#N/A</v>
      </c>
      <c r="P280" s="114" t="e">
        <f>SUM(J280:O280)</f>
        <v>#N/A</v>
      </c>
      <c r="Q280" s="102" t="e">
        <f>MAX(J280:O280)</f>
        <v>#N/A</v>
      </c>
      <c r="R280" s="12" t="str">
        <f t="shared" ca="1" si="657"/>
        <v>MAX should be number of days per period; disregarding weekends and hols</v>
      </c>
      <c r="S280" s="2"/>
      <c r="T280" s="241"/>
      <c r="U280" s="624"/>
      <c r="V280" s="260" t="str">
        <f ca="1">IF(OFFSET(AU280,0,Lang_Order*Lang__B5)="","",OFFSET(AU280,0,Lang_Order*Lang__B5))</f>
        <v>(Max of the above)</v>
      </c>
      <c r="W280" s="62" t="e">
        <f t="shared" ref="W280" si="691">MAX(W277:W279)</f>
        <v>#N/A</v>
      </c>
      <c r="X280" s="62" t="e">
        <f>MAX(X277:X279)</f>
        <v>#N/A</v>
      </c>
      <c r="Y280" s="62" t="e">
        <f t="shared" ref="Y280:AB280" si="692">MAX(Y277:Y279)</f>
        <v>#N/A</v>
      </c>
      <c r="Z280" s="62" t="e">
        <f t="shared" si="692"/>
        <v>#N/A</v>
      </c>
      <c r="AA280" s="62" t="e">
        <f t="shared" si="692"/>
        <v>#N/A</v>
      </c>
      <c r="AB280" s="62" t="e">
        <f t="shared" si="692"/>
        <v>#N/A</v>
      </c>
      <c r="AC280" s="114" t="e">
        <f>SUM(W280:AB280)</f>
        <v>#N/A</v>
      </c>
      <c r="AD280" s="102" t="e">
        <f>MAX(W280:AB280)</f>
        <v>#N/A</v>
      </c>
      <c r="AE280" s="2"/>
      <c r="AF280" s="241"/>
      <c r="AG280" s="624"/>
      <c r="AH280" s="260" t="str">
        <f ca="1">IF(OFFSET(AU280,0,Lang_Order*Lang__B5)="","",OFFSET(AU280,0,Lang_Order*Lang__B5))</f>
        <v>(Max of the above)</v>
      </c>
      <c r="AI280" s="62" t="e">
        <f t="shared" ref="AI280" si="693">MAX(AI277:AI279)</f>
        <v>#N/A</v>
      </c>
      <c r="AJ280" s="62" t="e">
        <f>MAX(AJ277:AJ279)</f>
        <v>#N/A</v>
      </c>
      <c r="AK280" s="62" t="e">
        <f t="shared" ref="AK280:AN280" si="694">MAX(AK277:AK279)</f>
        <v>#N/A</v>
      </c>
      <c r="AL280" s="62" t="e">
        <f t="shared" si="694"/>
        <v>#N/A</v>
      </c>
      <c r="AM280" s="62" t="e">
        <f t="shared" si="694"/>
        <v>#N/A</v>
      </c>
      <c r="AN280" s="62" t="e">
        <f t="shared" si="694"/>
        <v>#N/A</v>
      </c>
      <c r="AO280" s="114" t="e">
        <f>SUM(AI280:AN280)</f>
        <v>#N/A</v>
      </c>
      <c r="AP280" s="102" t="e">
        <f>MAX(AI280:AN280)</f>
        <v>#N/A</v>
      </c>
      <c r="AR280" s="403"/>
      <c r="AS280" s="403"/>
      <c r="AT280" s="403"/>
      <c r="AU280" s="403" t="s">
        <v>1713</v>
      </c>
      <c r="AV280" s="403"/>
      <c r="AW280" s="403"/>
      <c r="AX280" s="403"/>
      <c r="AY280" s="403"/>
      <c r="AZ280" s="403"/>
      <c r="BA280" s="403"/>
      <c r="BB280" s="403"/>
      <c r="BC280" s="403"/>
      <c r="BD280" s="403"/>
      <c r="BE280" s="403"/>
      <c r="BF280" s="403"/>
      <c r="BG280" s="403"/>
      <c r="BH280" s="403"/>
      <c r="BI280" s="403"/>
      <c r="BJ280" s="403" t="s">
        <v>4201</v>
      </c>
      <c r="BK280" s="403"/>
      <c r="BL280" s="403"/>
      <c r="BM280" s="403"/>
      <c r="BN280" s="403"/>
      <c r="BO280" s="403"/>
      <c r="BP280" s="403"/>
      <c r="BQ280" s="403"/>
      <c r="BR280" s="403"/>
      <c r="BS280" s="403"/>
      <c r="BT280" s="403"/>
      <c r="BU280" s="403"/>
      <c r="BV280" s="403"/>
      <c r="BW280" s="403"/>
      <c r="BX280" s="403"/>
      <c r="BY280" s="403"/>
      <c r="BZ280" s="403"/>
      <c r="CA280" s="403"/>
      <c r="CB280" s="403"/>
      <c r="CC280" s="403" t="s">
        <v>12345</v>
      </c>
      <c r="CD280" s="403"/>
      <c r="CE280" s="403"/>
      <c r="CF280" s="403"/>
      <c r="CG280" s="403"/>
      <c r="CH280" s="403"/>
      <c r="CI280" s="403"/>
      <c r="CJ280" s="403"/>
      <c r="CK280" s="403"/>
      <c r="CL280" s="403"/>
      <c r="CM280" s="403"/>
      <c r="CN280" s="403"/>
      <c r="CO280" s="403"/>
      <c r="CP280" s="403"/>
      <c r="CQ280" s="403"/>
      <c r="CR280" s="403" t="s">
        <v>11976</v>
      </c>
      <c r="CS280" s="403"/>
      <c r="CT280" s="403"/>
      <c r="CU280" s="403"/>
      <c r="CV280" s="403"/>
      <c r="CW280" s="403"/>
      <c r="CX280" s="403"/>
      <c r="CY280" s="403"/>
      <c r="CZ280" s="403"/>
      <c r="DA280" s="403"/>
      <c r="DB280" s="403"/>
      <c r="DC280" s="403"/>
      <c r="DD280" s="403"/>
      <c r="DE280" s="403"/>
      <c r="DF280" s="403"/>
      <c r="DG280" s="403"/>
      <c r="DH280" s="403"/>
      <c r="DI280" s="403"/>
      <c r="DJ280" s="403"/>
      <c r="DK280" s="403" t="s">
        <v>12346</v>
      </c>
      <c r="DL280" s="403"/>
      <c r="DM280" s="403"/>
      <c r="DN280" s="403"/>
      <c r="DO280" s="403"/>
      <c r="DP280" s="403"/>
      <c r="DQ280" s="403"/>
      <c r="DR280" s="403"/>
      <c r="DS280" s="403"/>
      <c r="DT280" s="403"/>
      <c r="DU280" s="403"/>
      <c r="DV280" s="403"/>
      <c r="DW280" s="403"/>
      <c r="DX280" s="403"/>
      <c r="DY280" s="403"/>
      <c r="DZ280" s="403" t="s">
        <v>12357</v>
      </c>
      <c r="EA280" s="403"/>
      <c r="EB280" s="403"/>
      <c r="EC280" s="403"/>
      <c r="ED280" s="403"/>
      <c r="EE280" s="403"/>
      <c r="EF280" s="403"/>
      <c r="EG280" s="403"/>
      <c r="EH280" s="403"/>
      <c r="EI280" s="403"/>
      <c r="EJ280" s="403"/>
      <c r="EK280" s="403"/>
      <c r="EL280" s="403"/>
      <c r="EM280" s="403"/>
      <c r="EN280" s="403"/>
      <c r="EO280" s="403"/>
      <c r="EP280" s="403"/>
      <c r="EQ280" s="403"/>
      <c r="ER280" s="403"/>
      <c r="ES280" s="403" t="s">
        <v>12347</v>
      </c>
      <c r="ET280" s="403"/>
      <c r="EU280" s="403"/>
      <c r="EV280" s="403"/>
      <c r="EW280" s="403"/>
      <c r="EX280" s="403"/>
      <c r="EY280" s="403"/>
      <c r="EZ280" s="403"/>
      <c r="FA280" s="403"/>
      <c r="FB280" s="403"/>
      <c r="FC280" s="403"/>
      <c r="FD280" s="403"/>
      <c r="FE280" s="403"/>
      <c r="FF280" s="403"/>
      <c r="FG280" s="403"/>
      <c r="FH280" s="403" t="s">
        <v>11980</v>
      </c>
      <c r="FI280" s="403"/>
      <c r="FJ280" s="403"/>
      <c r="FK280" s="403"/>
      <c r="FL280" s="403"/>
      <c r="FM280" s="403"/>
      <c r="FN280" s="403"/>
      <c r="FO280" s="403"/>
      <c r="FP280" s="403"/>
      <c r="FQ280" s="403"/>
      <c r="FR280" s="403"/>
      <c r="FS280" s="403"/>
      <c r="FT280" s="403"/>
      <c r="FU280" s="403"/>
      <c r="FV280" s="403"/>
      <c r="FW280" s="403"/>
      <c r="FX280" s="403"/>
      <c r="FY280" s="403"/>
      <c r="FZ280" s="403"/>
      <c r="GA280" s="403" t="s">
        <v>12348</v>
      </c>
      <c r="GB280" s="403"/>
      <c r="GC280" s="403"/>
      <c r="GD280" s="403"/>
      <c r="GE280" s="403"/>
      <c r="GF280" s="403"/>
      <c r="GG280" s="403"/>
      <c r="GH280" s="403"/>
      <c r="GI280" s="403"/>
      <c r="GJ280" s="403"/>
      <c r="GK280" s="403"/>
      <c r="GL280" s="403"/>
      <c r="GM280" s="403"/>
      <c r="GN280" s="403"/>
      <c r="GO280" s="403"/>
      <c r="GP280" s="403" t="s">
        <v>11982</v>
      </c>
      <c r="GQ280" s="403"/>
      <c r="GR280" s="403"/>
      <c r="GS280" s="403"/>
      <c r="GT280" s="403"/>
      <c r="GU280" s="403"/>
      <c r="GV280" s="403"/>
      <c r="GW280" s="403"/>
      <c r="GX280" s="403"/>
      <c r="GY280" s="403"/>
      <c r="GZ280" s="403"/>
      <c r="HA280" s="403"/>
      <c r="HB280" s="403"/>
      <c r="HC280" s="403"/>
      <c r="HD280" s="403"/>
      <c r="HE280" s="403"/>
      <c r="HF280" s="403"/>
      <c r="HG280" s="403"/>
      <c r="HH280" s="403"/>
      <c r="HI280" s="403" t="s">
        <v>12349</v>
      </c>
      <c r="HJ280" s="403"/>
      <c r="HK280" s="403"/>
      <c r="HL280" s="403"/>
      <c r="HM280" s="403"/>
      <c r="HN280" s="403"/>
      <c r="HO280" s="403"/>
      <c r="HP280" s="403"/>
      <c r="HQ280" s="403"/>
      <c r="HR280" s="403"/>
      <c r="HS280" s="403"/>
      <c r="HT280" s="403"/>
      <c r="HU280" s="403"/>
      <c r="HV280" s="403"/>
      <c r="HW280" s="403"/>
      <c r="HX280" s="403" t="s">
        <v>11984</v>
      </c>
      <c r="HY280" s="403"/>
      <c r="HZ280" s="403"/>
      <c r="IA280" s="403"/>
      <c r="IB280" s="403"/>
      <c r="IC280" s="403"/>
      <c r="ID280" s="403"/>
      <c r="IE280" s="403"/>
      <c r="IF280" s="403"/>
      <c r="IG280" s="403"/>
      <c r="IH280" s="403"/>
      <c r="II280" s="403"/>
      <c r="IJ280" s="403"/>
      <c r="IK280" s="403"/>
      <c r="IL280" s="403"/>
      <c r="IM280" s="403"/>
      <c r="IN280" s="403"/>
      <c r="IO280" s="403"/>
      <c r="IP280" s="403"/>
      <c r="IQ280" s="403" t="s">
        <v>12350</v>
      </c>
      <c r="IR280" s="403"/>
      <c r="IS280" s="403"/>
      <c r="IT280" s="403"/>
      <c r="IU280" s="403"/>
      <c r="IV280" s="403"/>
      <c r="IW280" s="403"/>
      <c r="IX280" s="403"/>
      <c r="IY280" s="403"/>
      <c r="IZ280" s="403"/>
      <c r="JA280" s="403"/>
      <c r="JB280" s="403"/>
      <c r="JC280" s="403"/>
      <c r="JD280" s="403"/>
      <c r="JE280" s="403"/>
      <c r="JF280" s="403" t="s">
        <v>11986</v>
      </c>
      <c r="JG280" s="403"/>
      <c r="JH280" s="403"/>
      <c r="JI280" s="403"/>
      <c r="JJ280" s="403"/>
      <c r="JK280" s="403"/>
      <c r="JL280" s="403"/>
      <c r="JM280" s="403"/>
      <c r="JN280" s="403"/>
      <c r="JO280" s="403"/>
      <c r="JP280" s="403"/>
      <c r="JQ280" s="403"/>
      <c r="JR280" s="403"/>
      <c r="JS280" s="403"/>
      <c r="JT280" s="403"/>
    </row>
    <row r="281" spans="1:280" s="15" customFormat="1" ht="12.75" x14ac:dyDescent="0.2">
      <c r="A281" s="9"/>
      <c r="B281" s="624"/>
      <c r="C281" s="23"/>
      <c r="E281" s="26"/>
      <c r="F281" s="26"/>
      <c r="G281" s="26"/>
      <c r="H281" s="26"/>
      <c r="I281" s="26"/>
      <c r="J281" s="26"/>
      <c r="K281" s="26"/>
      <c r="L281" s="26"/>
      <c r="M281" s="26"/>
      <c r="N281" s="26"/>
      <c r="O281" s="26"/>
      <c r="P281" s="26"/>
      <c r="Q281" s="26"/>
      <c r="R281" s="12" t="str">
        <f t="shared" ca="1" si="657"/>
        <v/>
      </c>
      <c r="S281" s="2"/>
      <c r="T281" s="241"/>
      <c r="U281" s="624"/>
      <c r="V281" s="72"/>
      <c r="W281" s="26"/>
      <c r="X281" s="26"/>
      <c r="Y281" s="26"/>
      <c r="Z281" s="26"/>
      <c r="AA281" s="26"/>
      <c r="AB281" s="26"/>
      <c r="AC281" s="26"/>
      <c r="AD281" s="26"/>
      <c r="AE281" s="2"/>
      <c r="AF281" s="241"/>
      <c r="AG281" s="624"/>
      <c r="AH281" s="72"/>
      <c r="AI281" s="26"/>
      <c r="AJ281" s="26"/>
      <c r="AK281" s="26"/>
      <c r="AL281" s="26"/>
      <c r="AM281" s="26"/>
      <c r="AN281" s="26"/>
      <c r="AO281" s="26"/>
      <c r="AP281" s="26"/>
      <c r="AR281" s="403"/>
      <c r="AS281" s="403"/>
      <c r="AT281" s="403"/>
      <c r="AU281" s="403"/>
      <c r="AV281" s="403"/>
      <c r="AW281" s="403"/>
      <c r="AX281" s="403"/>
      <c r="AY281" s="403"/>
      <c r="AZ281" s="403"/>
      <c r="BA281" s="403"/>
      <c r="BB281" s="403"/>
      <c r="BC281" s="403"/>
      <c r="BD281" s="403"/>
      <c r="BE281" s="403"/>
      <c r="BF281" s="403"/>
      <c r="BG281" s="403"/>
      <c r="BH281" s="403"/>
      <c r="BI281" s="403"/>
      <c r="BJ281" s="403"/>
      <c r="BK281" s="403"/>
      <c r="BL281" s="403"/>
      <c r="BM281" s="403"/>
      <c r="BN281" s="403"/>
      <c r="BO281" s="403"/>
      <c r="BP281" s="403"/>
      <c r="BQ281" s="403"/>
      <c r="BR281" s="403"/>
      <c r="BS281" s="403"/>
      <c r="BT281" s="403"/>
      <c r="BU281" s="403"/>
      <c r="BV281" s="403"/>
      <c r="BW281" s="403"/>
      <c r="BX281" s="403"/>
      <c r="BY281" s="403"/>
      <c r="BZ281" s="403"/>
      <c r="CA281" s="403"/>
      <c r="CB281" s="403"/>
      <c r="CC281" s="403"/>
      <c r="CD281" s="403"/>
      <c r="CE281" s="403"/>
      <c r="CF281" s="403"/>
      <c r="CG281" s="403"/>
      <c r="CH281" s="403"/>
      <c r="CI281" s="403"/>
      <c r="CJ281" s="403"/>
      <c r="CK281" s="403"/>
      <c r="CL281" s="403"/>
      <c r="CM281" s="403"/>
      <c r="CN281" s="403"/>
      <c r="CO281" s="403"/>
      <c r="CP281" s="403"/>
      <c r="CQ281" s="403"/>
      <c r="CR281" s="403"/>
      <c r="CS281" s="403"/>
      <c r="CT281" s="403"/>
      <c r="CU281" s="403"/>
      <c r="CV281" s="403"/>
      <c r="CW281" s="403"/>
      <c r="CX281" s="403"/>
      <c r="CY281" s="403"/>
      <c r="CZ281" s="403"/>
      <c r="DA281" s="403"/>
      <c r="DB281" s="403"/>
      <c r="DC281" s="403"/>
      <c r="DD281" s="403"/>
      <c r="DE281" s="403"/>
      <c r="DF281" s="403"/>
      <c r="DG281" s="403"/>
      <c r="DH281" s="403"/>
      <c r="DI281" s="403"/>
      <c r="DJ281" s="403"/>
      <c r="DK281" s="403"/>
      <c r="DL281" s="403"/>
      <c r="DM281" s="403"/>
      <c r="DN281" s="403"/>
      <c r="DO281" s="403"/>
      <c r="DP281" s="403"/>
      <c r="DQ281" s="403"/>
      <c r="DR281" s="403"/>
      <c r="DS281" s="403"/>
      <c r="DT281" s="403"/>
      <c r="DU281" s="403"/>
      <c r="DV281" s="403"/>
      <c r="DW281" s="403"/>
      <c r="DX281" s="403"/>
      <c r="DY281" s="403"/>
      <c r="DZ281" s="403"/>
      <c r="EA281" s="403"/>
      <c r="EB281" s="403"/>
      <c r="EC281" s="403"/>
      <c r="ED281" s="403"/>
      <c r="EE281" s="403"/>
      <c r="EF281" s="403"/>
      <c r="EG281" s="403"/>
      <c r="EH281" s="403"/>
      <c r="EI281" s="403"/>
      <c r="EJ281" s="403"/>
      <c r="EK281" s="403"/>
      <c r="EL281" s="403"/>
      <c r="EM281" s="403"/>
      <c r="EN281" s="403"/>
      <c r="EO281" s="403"/>
      <c r="EP281" s="403"/>
      <c r="EQ281" s="403"/>
      <c r="ER281" s="403"/>
      <c r="ES281" s="403"/>
      <c r="ET281" s="403"/>
      <c r="EU281" s="403"/>
      <c r="EV281" s="403"/>
      <c r="EW281" s="403"/>
      <c r="EX281" s="403"/>
      <c r="EY281" s="403"/>
      <c r="EZ281" s="403"/>
      <c r="FA281" s="403"/>
      <c r="FB281" s="403"/>
      <c r="FC281" s="403"/>
      <c r="FD281" s="403"/>
      <c r="FE281" s="403"/>
      <c r="FF281" s="403"/>
      <c r="FG281" s="403"/>
      <c r="FH281" s="403"/>
      <c r="FI281" s="403"/>
      <c r="FJ281" s="403"/>
      <c r="FK281" s="403"/>
      <c r="FL281" s="403"/>
      <c r="FM281" s="403"/>
      <c r="FN281" s="403"/>
      <c r="FO281" s="403"/>
      <c r="FP281" s="403"/>
      <c r="FQ281" s="403"/>
      <c r="FR281" s="403"/>
      <c r="FS281" s="403"/>
      <c r="FT281" s="403"/>
      <c r="FU281" s="403"/>
      <c r="FV281" s="403"/>
      <c r="FW281" s="403"/>
      <c r="FX281" s="403"/>
      <c r="FY281" s="403"/>
      <c r="FZ281" s="403"/>
      <c r="GA281" s="403"/>
      <c r="GB281" s="403"/>
      <c r="GC281" s="403"/>
      <c r="GD281" s="403"/>
      <c r="GE281" s="403"/>
      <c r="GF281" s="403"/>
      <c r="GG281" s="403"/>
      <c r="GH281" s="403"/>
      <c r="GI281" s="403"/>
      <c r="GJ281" s="403"/>
      <c r="GK281" s="403"/>
      <c r="GL281" s="403"/>
      <c r="GM281" s="403"/>
      <c r="GN281" s="403"/>
      <c r="GO281" s="403"/>
      <c r="GP281" s="403"/>
      <c r="GQ281" s="403"/>
      <c r="GR281" s="403"/>
      <c r="GS281" s="403"/>
      <c r="GT281" s="403"/>
      <c r="GU281" s="403"/>
      <c r="GV281" s="403"/>
      <c r="GW281" s="403"/>
      <c r="GX281" s="403"/>
      <c r="GY281" s="403"/>
      <c r="GZ281" s="403"/>
      <c r="HA281" s="403"/>
      <c r="HB281" s="403"/>
      <c r="HC281" s="403"/>
      <c r="HD281" s="403"/>
      <c r="HE281" s="403"/>
      <c r="HF281" s="403"/>
      <c r="HG281" s="403"/>
      <c r="HH281" s="403"/>
      <c r="HI281" s="403"/>
      <c r="HJ281" s="403"/>
      <c r="HK281" s="403"/>
      <c r="HL281" s="403"/>
      <c r="HM281" s="403"/>
      <c r="HN281" s="403"/>
      <c r="HO281" s="403"/>
      <c r="HP281" s="403"/>
      <c r="HQ281" s="403"/>
      <c r="HR281" s="403"/>
      <c r="HS281" s="403"/>
      <c r="HT281" s="403"/>
      <c r="HU281" s="403"/>
      <c r="HV281" s="403"/>
      <c r="HW281" s="403"/>
      <c r="HX281" s="403"/>
      <c r="HY281" s="403"/>
      <c r="HZ281" s="403"/>
      <c r="IA281" s="403"/>
      <c r="IB281" s="403"/>
      <c r="IC281" s="403"/>
      <c r="ID281" s="403"/>
      <c r="IE281" s="403"/>
      <c r="IF281" s="403"/>
      <c r="IG281" s="403"/>
      <c r="IH281" s="403"/>
      <c r="II281" s="403"/>
      <c r="IJ281" s="403"/>
      <c r="IK281" s="403"/>
      <c r="IL281" s="403"/>
      <c r="IM281" s="403"/>
      <c r="IN281" s="403"/>
      <c r="IO281" s="403"/>
      <c r="IP281" s="403"/>
      <c r="IQ281" s="403"/>
      <c r="IR281" s="403"/>
      <c r="IS281" s="403"/>
      <c r="IT281" s="403"/>
      <c r="IU281" s="403"/>
      <c r="IV281" s="403"/>
      <c r="IW281" s="403"/>
      <c r="IX281" s="403"/>
      <c r="IY281" s="403"/>
      <c r="IZ281" s="403"/>
      <c r="JA281" s="403"/>
      <c r="JB281" s="403"/>
      <c r="JC281" s="403"/>
      <c r="JD281" s="403"/>
      <c r="JE281" s="403"/>
      <c r="JF281" s="403"/>
      <c r="JG281" s="403"/>
      <c r="JH281" s="403"/>
      <c r="JI281" s="403"/>
      <c r="JJ281" s="403"/>
      <c r="JK281" s="403"/>
      <c r="JL281" s="403"/>
      <c r="JM281" s="403"/>
      <c r="JN281" s="403"/>
      <c r="JO281" s="403"/>
      <c r="JP281" s="403"/>
      <c r="JQ281" s="403"/>
      <c r="JR281" s="403"/>
      <c r="JS281" s="403"/>
      <c r="JT281" s="403"/>
    </row>
    <row r="282" spans="1:280" s="15" customFormat="1" ht="12.75" x14ac:dyDescent="0.2">
      <c r="A282" s="9"/>
      <c r="B282" s="624"/>
      <c r="C282" s="23" t="str">
        <f ca="1">IF(OFFSET(AU282,0,Lang_Order*Lang__B5)="","",OFFSET(AU282,0,Lang_Order*Lang__B5))</f>
        <v>Total Vaccinator Days</v>
      </c>
      <c r="E282" s="2">
        <f>'A3. INPUT Unit Costs'!I14</f>
        <v>1</v>
      </c>
      <c r="F282" s="26"/>
      <c r="G282" s="26"/>
      <c r="H282" s="26"/>
      <c r="I282" s="26"/>
      <c r="J282" s="62" t="e">
        <f>J258*J280</f>
        <v>#N/A</v>
      </c>
      <c r="K282" s="62" t="e">
        <f t="shared" ref="K282:O282" si="695">K258*K280</f>
        <v>#N/A</v>
      </c>
      <c r="L282" s="62" t="e">
        <f t="shared" si="695"/>
        <v>#N/A</v>
      </c>
      <c r="M282" s="62" t="e">
        <f t="shared" si="695"/>
        <v>#N/A</v>
      </c>
      <c r="N282" s="62" t="e">
        <f t="shared" si="695"/>
        <v>#N/A</v>
      </c>
      <c r="O282" s="62" t="e">
        <f t="shared" si="695"/>
        <v>#N/A</v>
      </c>
      <c r="P282" s="16" t="e">
        <f>SUM(J282:O282)</f>
        <v>#N/A</v>
      </c>
      <c r="Q282" s="16"/>
      <c r="R282" s="12" t="str">
        <f t="shared" ca="1" si="657"/>
        <v/>
      </c>
      <c r="S282" s="2"/>
      <c r="T282" s="241"/>
      <c r="U282" s="624"/>
      <c r="V282" s="72" t="str">
        <f ca="1">IF(OFFSET(AU282,0,Lang_Order*Lang__B5)="","",OFFSET(AU282,0,Lang_Order*Lang__B5))</f>
        <v>Total Vaccinator Days</v>
      </c>
      <c r="W282" s="62" t="e">
        <f>W258*W280</f>
        <v>#N/A</v>
      </c>
      <c r="X282" s="62" t="e">
        <f t="shared" ref="X282:AB282" si="696">X258*X280</f>
        <v>#N/A</v>
      </c>
      <c r="Y282" s="62" t="e">
        <f t="shared" si="696"/>
        <v>#N/A</v>
      </c>
      <c r="Z282" s="62" t="e">
        <f t="shared" si="696"/>
        <v>#N/A</v>
      </c>
      <c r="AA282" s="62" t="e">
        <f t="shared" si="696"/>
        <v>#N/A</v>
      </c>
      <c r="AB282" s="62" t="e">
        <f t="shared" si="696"/>
        <v>#N/A</v>
      </c>
      <c r="AC282" s="16" t="e">
        <f>SUM(W282:AB282)</f>
        <v>#N/A</v>
      </c>
      <c r="AD282" s="16"/>
      <c r="AE282" s="2"/>
      <c r="AF282" s="241"/>
      <c r="AG282" s="624"/>
      <c r="AH282" s="72" t="str">
        <f ca="1">IF(OFFSET(AU282,0,Lang_Order*Lang__B5)="","",OFFSET(AU282,0,Lang_Order*Lang__B5))</f>
        <v>Total Vaccinator Days</v>
      </c>
      <c r="AI282" s="62" t="e">
        <f>AI258*AI280</f>
        <v>#N/A</v>
      </c>
      <c r="AJ282" s="62" t="e">
        <f t="shared" ref="AJ282:AN282" si="697">AJ258*AJ280</f>
        <v>#N/A</v>
      </c>
      <c r="AK282" s="62" t="e">
        <f t="shared" si="697"/>
        <v>#N/A</v>
      </c>
      <c r="AL282" s="62" t="e">
        <f t="shared" si="697"/>
        <v>#N/A</v>
      </c>
      <c r="AM282" s="62" t="e">
        <f t="shared" si="697"/>
        <v>#N/A</v>
      </c>
      <c r="AN282" s="62" t="e">
        <f t="shared" si="697"/>
        <v>#N/A</v>
      </c>
      <c r="AO282" s="16" t="e">
        <f>SUM(AI282:AN282)</f>
        <v>#N/A</v>
      </c>
      <c r="AP282" s="16"/>
      <c r="AR282" s="403"/>
      <c r="AS282" s="403"/>
      <c r="AT282" s="403"/>
      <c r="AU282" s="403" t="s">
        <v>1682</v>
      </c>
      <c r="AV282" s="403"/>
      <c r="AW282" s="403"/>
      <c r="AX282" s="403"/>
      <c r="AY282" s="403"/>
      <c r="AZ282" s="403"/>
      <c r="BA282" s="403"/>
      <c r="BB282" s="403"/>
      <c r="BC282" s="403"/>
      <c r="BD282" s="403"/>
      <c r="BE282" s="403"/>
      <c r="BF282" s="403"/>
      <c r="BG282" s="403"/>
      <c r="BH282" s="403"/>
      <c r="BI282" s="403"/>
      <c r="BJ282" s="403"/>
      <c r="BK282" s="403"/>
      <c r="BL282" s="403"/>
      <c r="BM282" s="403"/>
      <c r="BN282" s="403"/>
      <c r="BO282" s="403"/>
      <c r="BP282" s="403"/>
      <c r="BQ282" s="403"/>
      <c r="BR282" s="403"/>
      <c r="BS282" s="403"/>
      <c r="BT282" s="403"/>
      <c r="BU282" s="403"/>
      <c r="BV282" s="403"/>
      <c r="BW282" s="403"/>
      <c r="BX282" s="403"/>
      <c r="BY282" s="403"/>
      <c r="BZ282" s="403"/>
      <c r="CA282" s="403"/>
      <c r="CB282" s="403"/>
      <c r="CC282" s="403" t="s">
        <v>11683</v>
      </c>
      <c r="CD282" s="403"/>
      <c r="CE282" s="403"/>
      <c r="CF282" s="403"/>
      <c r="CG282" s="403"/>
      <c r="CH282" s="403"/>
      <c r="CI282" s="403"/>
      <c r="CJ282" s="403"/>
      <c r="CK282" s="403"/>
      <c r="CL282" s="403"/>
      <c r="CM282" s="403"/>
      <c r="CN282" s="403"/>
      <c r="CO282" s="403"/>
      <c r="CP282" s="403"/>
      <c r="CQ282" s="403"/>
      <c r="CR282" s="403"/>
      <c r="CS282" s="403"/>
      <c r="CT282" s="403"/>
      <c r="CU282" s="403"/>
      <c r="CV282" s="403"/>
      <c r="CW282" s="403"/>
      <c r="CX282" s="403"/>
      <c r="CY282" s="403"/>
      <c r="CZ282" s="403"/>
      <c r="DA282" s="403"/>
      <c r="DB282" s="403"/>
      <c r="DC282" s="403"/>
      <c r="DD282" s="403"/>
      <c r="DE282" s="403"/>
      <c r="DF282" s="403"/>
      <c r="DG282" s="403"/>
      <c r="DH282" s="403"/>
      <c r="DI282" s="403"/>
      <c r="DJ282" s="403"/>
      <c r="DK282" s="403" t="s">
        <v>11684</v>
      </c>
      <c r="DL282" s="403"/>
      <c r="DM282" s="403"/>
      <c r="DN282" s="403"/>
      <c r="DO282" s="403"/>
      <c r="DP282" s="403"/>
      <c r="DQ282" s="403"/>
      <c r="DR282" s="403"/>
      <c r="DS282" s="403"/>
      <c r="DT282" s="403"/>
      <c r="DU282" s="403"/>
      <c r="DV282" s="403"/>
      <c r="DW282" s="403"/>
      <c r="DX282" s="403"/>
      <c r="DY282" s="403"/>
      <c r="DZ282" s="403"/>
      <c r="EA282" s="403"/>
      <c r="EB282" s="403"/>
      <c r="EC282" s="403"/>
      <c r="ED282" s="403"/>
      <c r="EE282" s="403"/>
      <c r="EF282" s="403"/>
      <c r="EG282" s="403"/>
      <c r="EH282" s="403"/>
      <c r="EI282" s="403"/>
      <c r="EJ282" s="403"/>
      <c r="EK282" s="403"/>
      <c r="EL282" s="403"/>
      <c r="EM282" s="403"/>
      <c r="EN282" s="403"/>
      <c r="EO282" s="403"/>
      <c r="EP282" s="403"/>
      <c r="EQ282" s="403"/>
      <c r="ER282" s="403"/>
      <c r="ES282" s="403" t="s">
        <v>11685</v>
      </c>
      <c r="ET282" s="403"/>
      <c r="EU282" s="403"/>
      <c r="EV282" s="403"/>
      <c r="EW282" s="403"/>
      <c r="EX282" s="403"/>
      <c r="EY282" s="403"/>
      <c r="EZ282" s="403"/>
      <c r="FA282" s="403"/>
      <c r="FB282" s="403"/>
      <c r="FC282" s="403"/>
      <c r="FD282" s="403"/>
      <c r="FE282" s="403"/>
      <c r="FF282" s="403"/>
      <c r="FG282" s="403"/>
      <c r="FH282" s="403"/>
      <c r="FI282" s="403"/>
      <c r="FJ282" s="403"/>
      <c r="FK282" s="403"/>
      <c r="FL282" s="403"/>
      <c r="FM282" s="403"/>
      <c r="FN282" s="403"/>
      <c r="FO282" s="403"/>
      <c r="FP282" s="403"/>
      <c r="FQ282" s="403"/>
      <c r="FR282" s="403"/>
      <c r="FS282" s="403"/>
      <c r="FT282" s="403"/>
      <c r="FU282" s="403"/>
      <c r="FV282" s="403"/>
      <c r="FW282" s="403"/>
      <c r="FX282" s="403"/>
      <c r="FY282" s="403"/>
      <c r="FZ282" s="403"/>
      <c r="GA282" s="403" t="s">
        <v>11686</v>
      </c>
      <c r="GB282" s="403"/>
      <c r="GC282" s="403"/>
      <c r="GD282" s="403"/>
      <c r="GE282" s="403"/>
      <c r="GF282" s="403"/>
      <c r="GG282" s="403"/>
      <c r="GH282" s="403"/>
      <c r="GI282" s="403"/>
      <c r="GJ282" s="403"/>
      <c r="GK282" s="403"/>
      <c r="GL282" s="403"/>
      <c r="GM282" s="403"/>
      <c r="GN282" s="403"/>
      <c r="GO282" s="403"/>
      <c r="GP282" s="403"/>
      <c r="GQ282" s="403"/>
      <c r="GR282" s="403"/>
      <c r="GS282" s="403"/>
      <c r="GT282" s="403"/>
      <c r="GU282" s="403"/>
      <c r="GV282" s="403"/>
      <c r="GW282" s="403"/>
      <c r="GX282" s="403"/>
      <c r="GY282" s="403"/>
      <c r="GZ282" s="403"/>
      <c r="HA282" s="403"/>
      <c r="HB282" s="403"/>
      <c r="HC282" s="403"/>
      <c r="HD282" s="403"/>
      <c r="HE282" s="403"/>
      <c r="HF282" s="403"/>
      <c r="HG282" s="403"/>
      <c r="HH282" s="403"/>
      <c r="HI282" s="403" t="s">
        <v>11987</v>
      </c>
      <c r="HJ282" s="403"/>
      <c r="HK282" s="403"/>
      <c r="HL282" s="403"/>
      <c r="HM282" s="403"/>
      <c r="HN282" s="403"/>
      <c r="HO282" s="403"/>
      <c r="HP282" s="403"/>
      <c r="HQ282" s="403"/>
      <c r="HR282" s="403"/>
      <c r="HS282" s="403"/>
      <c r="HT282" s="403"/>
      <c r="HU282" s="403"/>
      <c r="HV282" s="403"/>
      <c r="HW282" s="403"/>
      <c r="HX282" s="403"/>
      <c r="HY282" s="403"/>
      <c r="HZ282" s="403"/>
      <c r="IA282" s="403"/>
      <c r="IB282" s="403"/>
      <c r="IC282" s="403"/>
      <c r="ID282" s="403"/>
      <c r="IE282" s="403"/>
      <c r="IF282" s="403"/>
      <c r="IG282" s="403"/>
      <c r="IH282" s="403"/>
      <c r="II282" s="403"/>
      <c r="IJ282" s="403"/>
      <c r="IK282" s="403"/>
      <c r="IL282" s="403"/>
      <c r="IM282" s="403"/>
      <c r="IN282" s="403"/>
      <c r="IO282" s="403"/>
      <c r="IP282" s="403"/>
      <c r="IQ282" s="403" t="s">
        <v>11688</v>
      </c>
      <c r="IR282" s="403"/>
      <c r="IS282" s="403"/>
      <c r="IT282" s="403"/>
      <c r="IU282" s="403"/>
      <c r="IV282" s="403"/>
      <c r="IW282" s="403"/>
      <c r="IX282" s="403"/>
      <c r="IY282" s="403"/>
      <c r="IZ282" s="403"/>
      <c r="JA282" s="403"/>
      <c r="JB282" s="403"/>
      <c r="JC282" s="403"/>
      <c r="JD282" s="403"/>
      <c r="JE282" s="403"/>
      <c r="JF282" s="403"/>
      <c r="JG282" s="403"/>
      <c r="JH282" s="403"/>
      <c r="JI282" s="403"/>
      <c r="JJ282" s="403"/>
      <c r="JK282" s="403"/>
      <c r="JL282" s="403"/>
      <c r="JM282" s="403"/>
      <c r="JN282" s="403"/>
      <c r="JO282" s="403"/>
      <c r="JP282" s="403"/>
      <c r="JQ282" s="403"/>
      <c r="JR282" s="403"/>
      <c r="JS282" s="403"/>
      <c r="JT282" s="403"/>
    </row>
    <row r="283" spans="1:280" s="15" customFormat="1" ht="12.75" x14ac:dyDescent="0.2">
      <c r="A283" s="9"/>
      <c r="B283" s="624"/>
      <c r="C283" s="23" t="str">
        <f ca="1">IF(OFFSET(AU283,0,Lang_Order*Lang__B5)="","",OFFSET(AU283,0,Lang_Order*Lang__B5))</f>
        <v>Total Vaccinator Hours</v>
      </c>
      <c r="E283" s="2">
        <f>'A3. INPUT Unit Costs'!I14</f>
        <v>1</v>
      </c>
      <c r="F283" s="26"/>
      <c r="G283" s="26"/>
      <c r="H283" s="26"/>
      <c r="I283" s="26"/>
      <c r="J283" s="26" t="e">
        <f t="shared" ref="J283:O283" si="698">($E239*J239*$G239)/60</f>
        <v>#N/A</v>
      </c>
      <c r="K283" s="26" t="e">
        <f t="shared" si="698"/>
        <v>#N/A</v>
      </c>
      <c r="L283" s="26" t="e">
        <f t="shared" si="698"/>
        <v>#N/A</v>
      </c>
      <c r="M283" s="26" t="e">
        <f t="shared" si="698"/>
        <v>#N/A</v>
      </c>
      <c r="N283" s="26" t="e">
        <f t="shared" si="698"/>
        <v>#N/A</v>
      </c>
      <c r="O283" s="26" t="e">
        <f t="shared" si="698"/>
        <v>#N/A</v>
      </c>
      <c r="P283" s="16" t="e">
        <f>SUM(J283:O283)</f>
        <v>#N/A</v>
      </c>
      <c r="Q283" s="16"/>
      <c r="R283" s="12" t="str">
        <f t="shared" ca="1" si="657"/>
        <v>Not quantized up - this is for supplementary incentive</v>
      </c>
      <c r="S283" s="2"/>
      <c r="T283" s="241"/>
      <c r="U283" s="624"/>
      <c r="V283" s="72" t="str">
        <f ca="1">IF(OFFSET(AU283,0,Lang_Order*Lang__B5)="","",OFFSET(AU283,0,Lang_Order*Lang__B5))</f>
        <v>Total Vaccinator Hours</v>
      </c>
      <c r="W283" s="26" t="e">
        <f t="shared" ref="W283:AB283" si="699">($E239*W239*$T239)/60</f>
        <v>#N/A</v>
      </c>
      <c r="X283" s="26" t="e">
        <f t="shared" si="699"/>
        <v>#N/A</v>
      </c>
      <c r="Y283" s="26" t="e">
        <f t="shared" si="699"/>
        <v>#N/A</v>
      </c>
      <c r="Z283" s="26" t="e">
        <f t="shared" si="699"/>
        <v>#N/A</v>
      </c>
      <c r="AA283" s="26" t="e">
        <f t="shared" si="699"/>
        <v>#N/A</v>
      </c>
      <c r="AB283" s="26" t="e">
        <f t="shared" si="699"/>
        <v>#N/A</v>
      </c>
      <c r="AC283" s="16" t="e">
        <f>SUM(W283:AB283)</f>
        <v>#N/A</v>
      </c>
      <c r="AD283" s="16"/>
      <c r="AE283" s="2"/>
      <c r="AF283" s="241"/>
      <c r="AG283" s="624"/>
      <c r="AH283" s="72" t="str">
        <f ca="1">IF(OFFSET(AU283,0,Lang_Order*Lang__B5)="","",OFFSET(AU283,0,Lang_Order*Lang__B5))</f>
        <v>Total Vaccinator Hours</v>
      </c>
      <c r="AI283" s="26" t="e">
        <f t="shared" ref="AI283:AN283" si="700">($E239*AI239*$AF239)/60</f>
        <v>#N/A</v>
      </c>
      <c r="AJ283" s="26" t="e">
        <f t="shared" si="700"/>
        <v>#N/A</v>
      </c>
      <c r="AK283" s="26" t="e">
        <f t="shared" si="700"/>
        <v>#N/A</v>
      </c>
      <c r="AL283" s="26" t="e">
        <f t="shared" si="700"/>
        <v>#N/A</v>
      </c>
      <c r="AM283" s="26" t="e">
        <f t="shared" si="700"/>
        <v>#N/A</v>
      </c>
      <c r="AN283" s="26" t="e">
        <f t="shared" si="700"/>
        <v>#N/A</v>
      </c>
      <c r="AO283" s="16" t="e">
        <f>SUM(AI283:AN283)</f>
        <v>#N/A</v>
      </c>
      <c r="AP283" s="16"/>
      <c r="AR283" s="403"/>
      <c r="AS283" s="403"/>
      <c r="AT283" s="403"/>
      <c r="AU283" s="403" t="s">
        <v>1714</v>
      </c>
      <c r="AV283" s="403"/>
      <c r="AW283" s="403"/>
      <c r="AX283" s="403"/>
      <c r="AY283" s="403"/>
      <c r="AZ283" s="403"/>
      <c r="BA283" s="403"/>
      <c r="BB283" s="403"/>
      <c r="BC283" s="403"/>
      <c r="BD283" s="403"/>
      <c r="BE283" s="403"/>
      <c r="BF283" s="403"/>
      <c r="BG283" s="403"/>
      <c r="BH283" s="403"/>
      <c r="BI283" s="403"/>
      <c r="BJ283" s="403" t="s">
        <v>1715</v>
      </c>
      <c r="BK283" s="403"/>
      <c r="BL283" s="403"/>
      <c r="BM283" s="403"/>
      <c r="BN283" s="403"/>
      <c r="BO283" s="403"/>
      <c r="BP283" s="403"/>
      <c r="BQ283" s="403"/>
      <c r="BR283" s="403"/>
      <c r="BS283" s="403"/>
      <c r="BT283" s="403"/>
      <c r="BU283" s="403"/>
      <c r="BV283" s="403"/>
      <c r="BW283" s="403"/>
      <c r="BX283" s="403"/>
      <c r="BY283" s="403"/>
      <c r="BZ283" s="403"/>
      <c r="CA283" s="403"/>
      <c r="CB283" s="403"/>
      <c r="CC283" s="403" t="s">
        <v>11988</v>
      </c>
      <c r="CD283" s="403"/>
      <c r="CE283" s="403"/>
      <c r="CF283" s="403"/>
      <c r="CG283" s="403"/>
      <c r="CH283" s="403"/>
      <c r="CI283" s="403"/>
      <c r="CJ283" s="403"/>
      <c r="CK283" s="403"/>
      <c r="CL283" s="403"/>
      <c r="CM283" s="403"/>
      <c r="CN283" s="403"/>
      <c r="CO283" s="403"/>
      <c r="CP283" s="403"/>
      <c r="CQ283" s="403"/>
      <c r="CR283" s="403" t="s">
        <v>11989</v>
      </c>
      <c r="CS283" s="403"/>
      <c r="CT283" s="403"/>
      <c r="CU283" s="403"/>
      <c r="CV283" s="403"/>
      <c r="CW283" s="403"/>
      <c r="CX283" s="403"/>
      <c r="CY283" s="403"/>
      <c r="CZ283" s="403"/>
      <c r="DA283" s="403"/>
      <c r="DB283" s="403"/>
      <c r="DC283" s="403"/>
      <c r="DD283" s="403"/>
      <c r="DE283" s="403"/>
      <c r="DF283" s="403"/>
      <c r="DG283" s="403"/>
      <c r="DH283" s="403"/>
      <c r="DI283" s="403"/>
      <c r="DJ283" s="403"/>
      <c r="DK283" s="403" t="s">
        <v>11990</v>
      </c>
      <c r="DL283" s="403"/>
      <c r="DM283" s="403"/>
      <c r="DN283" s="403"/>
      <c r="DO283" s="403"/>
      <c r="DP283" s="403"/>
      <c r="DQ283" s="403"/>
      <c r="DR283" s="403"/>
      <c r="DS283" s="403"/>
      <c r="DT283" s="403"/>
      <c r="DU283" s="403"/>
      <c r="DV283" s="403"/>
      <c r="DW283" s="403"/>
      <c r="DX283" s="403"/>
      <c r="DY283" s="403"/>
      <c r="DZ283" s="403" t="s">
        <v>11991</v>
      </c>
      <c r="EA283" s="403"/>
      <c r="EB283" s="403"/>
      <c r="EC283" s="403"/>
      <c r="ED283" s="403"/>
      <c r="EE283" s="403"/>
      <c r="EF283" s="403"/>
      <c r="EG283" s="403"/>
      <c r="EH283" s="403"/>
      <c r="EI283" s="403"/>
      <c r="EJ283" s="403"/>
      <c r="EK283" s="403"/>
      <c r="EL283" s="403"/>
      <c r="EM283" s="403"/>
      <c r="EN283" s="403"/>
      <c r="EO283" s="403"/>
      <c r="EP283" s="403"/>
      <c r="EQ283" s="403"/>
      <c r="ER283" s="403"/>
      <c r="ES283" s="403" t="s">
        <v>11992</v>
      </c>
      <c r="ET283" s="403"/>
      <c r="EU283" s="403"/>
      <c r="EV283" s="403"/>
      <c r="EW283" s="403"/>
      <c r="EX283" s="403"/>
      <c r="EY283" s="403"/>
      <c r="EZ283" s="403"/>
      <c r="FA283" s="403"/>
      <c r="FB283" s="403"/>
      <c r="FC283" s="403"/>
      <c r="FD283" s="403"/>
      <c r="FE283" s="403"/>
      <c r="FF283" s="403"/>
      <c r="FG283" s="403"/>
      <c r="FH283" s="403" t="s">
        <v>11993</v>
      </c>
      <c r="FI283" s="403"/>
      <c r="FJ283" s="403"/>
      <c r="FK283" s="403"/>
      <c r="FL283" s="403"/>
      <c r="FM283" s="403"/>
      <c r="FN283" s="403"/>
      <c r="FO283" s="403"/>
      <c r="FP283" s="403"/>
      <c r="FQ283" s="403"/>
      <c r="FR283" s="403"/>
      <c r="FS283" s="403"/>
      <c r="FT283" s="403"/>
      <c r="FU283" s="403"/>
      <c r="FV283" s="403"/>
      <c r="FW283" s="403"/>
      <c r="FX283" s="403"/>
      <c r="FY283" s="403"/>
      <c r="FZ283" s="403"/>
      <c r="GA283" s="403" t="s">
        <v>11994</v>
      </c>
      <c r="GB283" s="403"/>
      <c r="GC283" s="403"/>
      <c r="GD283" s="403"/>
      <c r="GE283" s="403"/>
      <c r="GF283" s="403"/>
      <c r="GG283" s="403"/>
      <c r="GH283" s="403"/>
      <c r="GI283" s="403"/>
      <c r="GJ283" s="403"/>
      <c r="GK283" s="403"/>
      <c r="GL283" s="403"/>
      <c r="GM283" s="403"/>
      <c r="GN283" s="403"/>
      <c r="GO283" s="403"/>
      <c r="GP283" s="403" t="s">
        <v>11995</v>
      </c>
      <c r="GQ283" s="403"/>
      <c r="GR283" s="403"/>
      <c r="GS283" s="403"/>
      <c r="GT283" s="403"/>
      <c r="GU283" s="403"/>
      <c r="GV283" s="403"/>
      <c r="GW283" s="403"/>
      <c r="GX283" s="403"/>
      <c r="GY283" s="403"/>
      <c r="GZ283" s="403"/>
      <c r="HA283" s="403"/>
      <c r="HB283" s="403"/>
      <c r="HC283" s="403"/>
      <c r="HD283" s="403"/>
      <c r="HE283" s="403"/>
      <c r="HF283" s="403"/>
      <c r="HG283" s="403"/>
      <c r="HH283" s="403"/>
      <c r="HI283" s="403" t="s">
        <v>11996</v>
      </c>
      <c r="HJ283" s="403"/>
      <c r="HK283" s="403"/>
      <c r="HL283" s="403"/>
      <c r="HM283" s="403"/>
      <c r="HN283" s="403"/>
      <c r="HO283" s="403"/>
      <c r="HP283" s="403"/>
      <c r="HQ283" s="403"/>
      <c r="HR283" s="403"/>
      <c r="HS283" s="403"/>
      <c r="HT283" s="403"/>
      <c r="HU283" s="403"/>
      <c r="HV283" s="403"/>
      <c r="HW283" s="403"/>
      <c r="HX283" s="403" t="s">
        <v>11997</v>
      </c>
      <c r="HY283" s="403"/>
      <c r="HZ283" s="403"/>
      <c r="IA283" s="403"/>
      <c r="IB283" s="403"/>
      <c r="IC283" s="403"/>
      <c r="ID283" s="403"/>
      <c r="IE283" s="403"/>
      <c r="IF283" s="403"/>
      <c r="IG283" s="403"/>
      <c r="IH283" s="403"/>
      <c r="II283" s="403"/>
      <c r="IJ283" s="403"/>
      <c r="IK283" s="403"/>
      <c r="IL283" s="403"/>
      <c r="IM283" s="403"/>
      <c r="IN283" s="403"/>
      <c r="IO283" s="403"/>
      <c r="IP283" s="403"/>
      <c r="IQ283" s="403" t="s">
        <v>11998</v>
      </c>
      <c r="IR283" s="403"/>
      <c r="IS283" s="403"/>
      <c r="IT283" s="403"/>
      <c r="IU283" s="403"/>
      <c r="IV283" s="403"/>
      <c r="IW283" s="403"/>
      <c r="IX283" s="403"/>
      <c r="IY283" s="403"/>
      <c r="IZ283" s="403"/>
      <c r="JA283" s="403"/>
      <c r="JB283" s="403"/>
      <c r="JC283" s="403"/>
      <c r="JD283" s="403"/>
      <c r="JE283" s="403"/>
      <c r="JF283" s="403" t="s">
        <v>11999</v>
      </c>
      <c r="JG283" s="403"/>
      <c r="JH283" s="403"/>
      <c r="JI283" s="403"/>
      <c r="JJ283" s="403"/>
      <c r="JK283" s="403"/>
      <c r="JL283" s="403"/>
      <c r="JM283" s="403"/>
      <c r="JN283" s="403"/>
      <c r="JO283" s="403"/>
      <c r="JP283" s="403"/>
      <c r="JQ283" s="403"/>
      <c r="JR283" s="403"/>
      <c r="JS283" s="403"/>
      <c r="JT283" s="403"/>
    </row>
    <row r="284" spans="1:280" s="15" customFormat="1" ht="12.75" x14ac:dyDescent="0.2">
      <c r="A284" s="9"/>
      <c r="B284" s="624"/>
      <c r="C284" s="23" t="str">
        <f ca="1">IF(OFFSET(AU284,0,Lang_Order*Lang__B5)="","",OFFSET(AU284,0,Lang_Order*Lang__B5))</f>
        <v>Total Site-Days</v>
      </c>
      <c r="J284" s="62" t="e">
        <f t="shared" ref="J284:O284" si="701">J243*J275</f>
        <v>#N/A</v>
      </c>
      <c r="K284" s="62" t="e">
        <f t="shared" si="701"/>
        <v>#N/A</v>
      </c>
      <c r="L284" s="62" t="e">
        <f t="shared" si="701"/>
        <v>#N/A</v>
      </c>
      <c r="M284" s="62" t="e">
        <f t="shared" si="701"/>
        <v>#N/A</v>
      </c>
      <c r="N284" s="62" t="e">
        <f t="shared" si="701"/>
        <v>#N/A</v>
      </c>
      <c r="O284" s="62" t="e">
        <f t="shared" si="701"/>
        <v>#N/A</v>
      </c>
      <c r="P284" s="16" t="e">
        <f>SUM(J284:O284)</f>
        <v>#N/A</v>
      </c>
      <c r="Q284" s="16"/>
      <c r="R284" s="12" t="str">
        <f t="shared" ca="1" si="657"/>
        <v/>
      </c>
      <c r="S284" s="2"/>
      <c r="T284" s="241"/>
      <c r="U284" s="624"/>
      <c r="V284" s="72" t="str">
        <f ca="1">IF(OFFSET(AU284,0,Lang_Order*Lang__B5)="","",OFFSET(AU284,0,Lang_Order*Lang__B5))</f>
        <v>Total Site-Days</v>
      </c>
      <c r="W284" s="62" t="e">
        <f t="shared" ref="W284:AB284" si="702">W243*W275</f>
        <v>#N/A</v>
      </c>
      <c r="X284" s="62" t="e">
        <f t="shared" si="702"/>
        <v>#N/A</v>
      </c>
      <c r="Y284" s="62" t="e">
        <f t="shared" si="702"/>
        <v>#N/A</v>
      </c>
      <c r="Z284" s="62" t="e">
        <f t="shared" si="702"/>
        <v>#N/A</v>
      </c>
      <c r="AA284" s="62" t="e">
        <f t="shared" si="702"/>
        <v>#N/A</v>
      </c>
      <c r="AB284" s="62" t="e">
        <f t="shared" si="702"/>
        <v>#N/A</v>
      </c>
      <c r="AC284" s="16" t="e">
        <f>SUM(W284:AB284)</f>
        <v>#N/A</v>
      </c>
      <c r="AD284" s="16"/>
      <c r="AF284" s="241"/>
      <c r="AG284" s="624"/>
      <c r="AH284" s="72" t="str">
        <f ca="1">IF(OFFSET(AU284,0,Lang_Order*Lang__B5)="","",OFFSET(AU284,0,Lang_Order*Lang__B5))</f>
        <v>Total Site-Days</v>
      </c>
      <c r="AI284" s="62" t="e">
        <f t="shared" ref="AI284:AN284" si="703">AI243*AI275</f>
        <v>#N/A</v>
      </c>
      <c r="AJ284" s="62" t="e">
        <f t="shared" si="703"/>
        <v>#N/A</v>
      </c>
      <c r="AK284" s="62" t="e">
        <f t="shared" si="703"/>
        <v>#N/A</v>
      </c>
      <c r="AL284" s="62" t="e">
        <f t="shared" si="703"/>
        <v>#N/A</v>
      </c>
      <c r="AM284" s="62" t="e">
        <f t="shared" si="703"/>
        <v>#N/A</v>
      </c>
      <c r="AN284" s="62" t="e">
        <f t="shared" si="703"/>
        <v>#N/A</v>
      </c>
      <c r="AO284" s="16" t="e">
        <f>SUM(AI284:AN284)</f>
        <v>#N/A</v>
      </c>
      <c r="AP284" s="16"/>
      <c r="AR284" s="403"/>
      <c r="AS284" s="403"/>
      <c r="AT284" s="403"/>
      <c r="AU284" s="403" t="s">
        <v>1589</v>
      </c>
      <c r="AV284" s="403"/>
      <c r="AW284" s="403"/>
      <c r="AX284" s="403"/>
      <c r="AY284" s="403"/>
      <c r="AZ284" s="403"/>
      <c r="BA284" s="403"/>
      <c r="BB284" s="403"/>
      <c r="BC284" s="403"/>
      <c r="BD284" s="403"/>
      <c r="BE284" s="403"/>
      <c r="BF284" s="403"/>
      <c r="BG284" s="403"/>
      <c r="BH284" s="403"/>
      <c r="BI284" s="403"/>
      <c r="BJ284" s="403"/>
      <c r="BK284" s="403"/>
      <c r="BL284" s="403"/>
      <c r="BM284" s="403"/>
      <c r="BN284" s="403"/>
      <c r="BO284" s="403"/>
      <c r="BP284" s="403"/>
      <c r="BQ284" s="403"/>
      <c r="BR284" s="403"/>
      <c r="BS284" s="403"/>
      <c r="BT284" s="403"/>
      <c r="BU284" s="403"/>
      <c r="BV284" s="403"/>
      <c r="BW284" s="403"/>
      <c r="BX284" s="403"/>
      <c r="BY284" s="403"/>
      <c r="BZ284" s="403"/>
      <c r="CA284" s="403"/>
      <c r="CB284" s="403"/>
      <c r="CC284" s="403" t="s">
        <v>12000</v>
      </c>
      <c r="CD284" s="403"/>
      <c r="CE284" s="403"/>
      <c r="CF284" s="403"/>
      <c r="CG284" s="403"/>
      <c r="CH284" s="403"/>
      <c r="CI284" s="403"/>
      <c r="CJ284" s="403"/>
      <c r="CK284" s="403"/>
      <c r="CL284" s="403"/>
      <c r="CM284" s="403"/>
      <c r="CN284" s="403"/>
      <c r="CO284" s="403"/>
      <c r="CP284" s="403"/>
      <c r="CQ284" s="403"/>
      <c r="CR284" s="403"/>
      <c r="CS284" s="403"/>
      <c r="CT284" s="403"/>
      <c r="CU284" s="403"/>
      <c r="CV284" s="403"/>
      <c r="CW284" s="403"/>
      <c r="CX284" s="403"/>
      <c r="CY284" s="403"/>
      <c r="CZ284" s="403"/>
      <c r="DA284" s="403"/>
      <c r="DB284" s="403"/>
      <c r="DC284" s="403"/>
      <c r="DD284" s="403"/>
      <c r="DE284" s="403"/>
      <c r="DF284" s="403"/>
      <c r="DG284" s="403"/>
      <c r="DH284" s="403"/>
      <c r="DI284" s="403"/>
      <c r="DJ284" s="403"/>
      <c r="DK284" s="403" t="s">
        <v>12001</v>
      </c>
      <c r="DL284" s="403"/>
      <c r="DM284" s="403"/>
      <c r="DN284" s="403"/>
      <c r="DO284" s="403"/>
      <c r="DP284" s="403"/>
      <c r="DQ284" s="403"/>
      <c r="DR284" s="403"/>
      <c r="DS284" s="403"/>
      <c r="DT284" s="403"/>
      <c r="DU284" s="403"/>
      <c r="DV284" s="403" t="s">
        <v>2642</v>
      </c>
      <c r="DW284" s="403"/>
      <c r="DX284" s="403"/>
      <c r="DY284" s="403"/>
      <c r="DZ284" s="403"/>
      <c r="EA284" s="403"/>
      <c r="EB284" s="403"/>
      <c r="EC284" s="403"/>
      <c r="ED284" s="403"/>
      <c r="EE284" s="403"/>
      <c r="EF284" s="403"/>
      <c r="EG284" s="403"/>
      <c r="EH284" s="403"/>
      <c r="EI284" s="403"/>
      <c r="EJ284" s="403"/>
      <c r="EK284" s="403"/>
      <c r="EL284" s="403"/>
      <c r="EM284" s="403"/>
      <c r="EN284" s="403"/>
      <c r="EO284" s="403"/>
      <c r="EP284" s="403"/>
      <c r="EQ284" s="403"/>
      <c r="ER284" s="403"/>
      <c r="ES284" s="403" t="s">
        <v>12002</v>
      </c>
      <c r="ET284" s="403"/>
      <c r="EU284" s="403"/>
      <c r="EV284" s="403"/>
      <c r="EW284" s="403"/>
      <c r="EX284" s="403"/>
      <c r="EY284" s="403"/>
      <c r="EZ284" s="403"/>
      <c r="FA284" s="403"/>
      <c r="FB284" s="403"/>
      <c r="FC284" s="403"/>
      <c r="FD284" s="403"/>
      <c r="FE284" s="403"/>
      <c r="FF284" s="403"/>
      <c r="FG284" s="403"/>
      <c r="FH284" s="403"/>
      <c r="FI284" s="403"/>
      <c r="FJ284" s="403"/>
      <c r="FK284" s="403"/>
      <c r="FL284" s="403"/>
      <c r="FM284" s="403"/>
      <c r="FN284" s="403"/>
      <c r="FO284" s="403"/>
      <c r="FP284" s="403"/>
      <c r="FQ284" s="403"/>
      <c r="FR284" s="403"/>
      <c r="FS284" s="403"/>
      <c r="FT284" s="403"/>
      <c r="FU284" s="403"/>
      <c r="FV284" s="403"/>
      <c r="FW284" s="403"/>
      <c r="FX284" s="403"/>
      <c r="FY284" s="403"/>
      <c r="FZ284" s="403"/>
      <c r="GA284" s="403" t="s">
        <v>12003</v>
      </c>
      <c r="GB284" s="403"/>
      <c r="GC284" s="403"/>
      <c r="GD284" s="403"/>
      <c r="GE284" s="403"/>
      <c r="GF284" s="403"/>
      <c r="GG284" s="403"/>
      <c r="GH284" s="403"/>
      <c r="GI284" s="403"/>
      <c r="GJ284" s="403"/>
      <c r="GK284" s="403"/>
      <c r="GL284" s="403"/>
      <c r="GM284" s="403"/>
      <c r="GN284" s="403"/>
      <c r="GO284" s="403"/>
      <c r="GP284" s="403"/>
      <c r="GQ284" s="403"/>
      <c r="GR284" s="403"/>
      <c r="GS284" s="403"/>
      <c r="GT284" s="403"/>
      <c r="GU284" s="403"/>
      <c r="GV284" s="403"/>
      <c r="GW284" s="403"/>
      <c r="GX284" s="403"/>
      <c r="GY284" s="403"/>
      <c r="GZ284" s="403"/>
      <c r="HA284" s="403"/>
      <c r="HB284" s="403"/>
      <c r="HC284" s="403"/>
      <c r="HD284" s="403"/>
      <c r="HE284" s="403"/>
      <c r="HF284" s="403"/>
      <c r="HG284" s="403"/>
      <c r="HH284" s="403"/>
      <c r="HI284" s="403" t="s">
        <v>12004</v>
      </c>
      <c r="HJ284" s="403"/>
      <c r="HK284" s="403"/>
      <c r="HL284" s="403"/>
      <c r="HM284" s="403"/>
      <c r="HN284" s="403"/>
      <c r="HO284" s="403"/>
      <c r="HP284" s="403"/>
      <c r="HQ284" s="403"/>
      <c r="HR284" s="403"/>
      <c r="HS284" s="403"/>
      <c r="HT284" s="403"/>
      <c r="HU284" s="403"/>
      <c r="HV284" s="403"/>
      <c r="HW284" s="403"/>
      <c r="HX284" s="403"/>
      <c r="HY284" s="403"/>
      <c r="HZ284" s="403"/>
      <c r="IA284" s="403"/>
      <c r="IB284" s="403"/>
      <c r="IC284" s="403"/>
      <c r="ID284" s="403"/>
      <c r="IE284" s="403"/>
      <c r="IF284" s="403"/>
      <c r="IG284" s="403"/>
      <c r="IH284" s="403"/>
      <c r="II284" s="403"/>
      <c r="IJ284" s="403"/>
      <c r="IK284" s="403"/>
      <c r="IL284" s="403"/>
      <c r="IM284" s="403"/>
      <c r="IN284" s="403"/>
      <c r="IO284" s="403"/>
      <c r="IP284" s="403"/>
      <c r="IQ284" s="403" t="s">
        <v>12005</v>
      </c>
      <c r="IR284" s="403"/>
      <c r="IS284" s="403"/>
      <c r="IT284" s="403"/>
      <c r="IU284" s="403"/>
      <c r="IV284" s="403"/>
      <c r="IW284" s="403"/>
      <c r="IX284" s="403"/>
      <c r="IY284" s="403"/>
      <c r="IZ284" s="403"/>
      <c r="JA284" s="403"/>
      <c r="JB284" s="403"/>
      <c r="JC284" s="403"/>
      <c r="JD284" s="403"/>
      <c r="JE284" s="403"/>
      <c r="JF284" s="403"/>
      <c r="JG284" s="403"/>
      <c r="JH284" s="403"/>
      <c r="JI284" s="403"/>
      <c r="JJ284" s="403"/>
      <c r="JK284" s="403"/>
      <c r="JL284" s="403"/>
      <c r="JM284" s="403"/>
      <c r="JN284" s="403"/>
      <c r="JO284" s="403"/>
      <c r="JP284" s="403"/>
      <c r="JQ284" s="403"/>
      <c r="JR284" s="403"/>
      <c r="JS284" s="403"/>
      <c r="JT284" s="403"/>
    </row>
    <row r="285" spans="1:280" s="15" customFormat="1" ht="12.75" x14ac:dyDescent="0.2">
      <c r="A285" s="9"/>
      <c r="B285" s="624"/>
      <c r="C285" s="23"/>
      <c r="E285" s="26"/>
      <c r="F285" s="26"/>
      <c r="G285" s="26"/>
      <c r="H285" s="26"/>
      <c r="I285" s="26"/>
      <c r="P285" s="26"/>
      <c r="Q285" s="26"/>
      <c r="R285" s="12" t="str">
        <f t="shared" ca="1" si="657"/>
        <v/>
      </c>
      <c r="S285" s="2"/>
      <c r="T285" s="241"/>
      <c r="U285" s="624"/>
      <c r="V285" s="72"/>
      <c r="W285" s="241"/>
      <c r="X285" s="241"/>
      <c r="Y285" s="241"/>
      <c r="Z285" s="241"/>
      <c r="AA285" s="241"/>
      <c r="AB285" s="241"/>
      <c r="AC285" s="26"/>
      <c r="AD285" s="26"/>
      <c r="AF285" s="241"/>
      <c r="AG285" s="624"/>
      <c r="AH285" s="72"/>
      <c r="AI285" s="241"/>
      <c r="AJ285" s="241"/>
      <c r="AK285" s="241"/>
      <c r="AL285" s="241"/>
      <c r="AM285" s="241"/>
      <c r="AN285" s="241"/>
      <c r="AO285" s="26"/>
      <c r="AP285" s="26"/>
      <c r="AR285" s="403"/>
      <c r="AS285" s="403"/>
      <c r="AT285" s="403"/>
      <c r="AU285" s="403"/>
      <c r="AV285" s="403"/>
      <c r="AW285" s="403"/>
      <c r="AX285" s="403"/>
      <c r="AY285" s="403"/>
      <c r="AZ285" s="403"/>
      <c r="BA285" s="403"/>
      <c r="BB285" s="403"/>
      <c r="BC285" s="403"/>
      <c r="BD285" s="403"/>
      <c r="BE285" s="403"/>
      <c r="BF285" s="403"/>
      <c r="BG285" s="403"/>
      <c r="BH285" s="403"/>
      <c r="BI285" s="403"/>
      <c r="BJ285" s="403"/>
      <c r="BK285" s="403"/>
      <c r="BL285" s="403"/>
      <c r="BM285" s="403"/>
      <c r="BN285" s="403"/>
      <c r="BO285" s="403"/>
      <c r="BP285" s="403"/>
      <c r="BQ285" s="403"/>
      <c r="BR285" s="403"/>
      <c r="BS285" s="403"/>
      <c r="BT285" s="403"/>
      <c r="BU285" s="403"/>
      <c r="BV285" s="403"/>
      <c r="BW285" s="403"/>
      <c r="BX285" s="403"/>
      <c r="BY285" s="403"/>
      <c r="BZ285" s="403"/>
      <c r="CA285" s="403"/>
      <c r="CB285" s="403"/>
      <c r="CC285" s="403"/>
      <c r="CD285" s="403"/>
      <c r="CE285" s="403"/>
      <c r="CF285" s="403"/>
      <c r="CG285" s="403"/>
      <c r="CH285" s="403"/>
      <c r="CI285" s="403"/>
      <c r="CJ285" s="403"/>
      <c r="CK285" s="403"/>
      <c r="CL285" s="403"/>
      <c r="CM285" s="403"/>
      <c r="CN285" s="403"/>
      <c r="CO285" s="403"/>
      <c r="CP285" s="403"/>
      <c r="CQ285" s="403"/>
      <c r="CR285" s="403"/>
      <c r="CS285" s="403"/>
      <c r="CT285" s="403"/>
      <c r="CU285" s="403"/>
      <c r="CV285" s="403"/>
      <c r="CW285" s="403"/>
      <c r="CX285" s="403"/>
      <c r="CY285" s="403"/>
      <c r="CZ285" s="403"/>
      <c r="DA285" s="403"/>
      <c r="DB285" s="403"/>
      <c r="DC285" s="403"/>
      <c r="DD285" s="403"/>
      <c r="DE285" s="403"/>
      <c r="DF285" s="403"/>
      <c r="DG285" s="403"/>
      <c r="DH285" s="403"/>
      <c r="DI285" s="403"/>
      <c r="DJ285" s="403"/>
      <c r="DK285" s="403"/>
      <c r="DL285" s="403"/>
      <c r="DM285" s="403"/>
      <c r="DN285" s="403"/>
      <c r="DO285" s="403"/>
      <c r="DP285" s="403"/>
      <c r="DQ285" s="403"/>
      <c r="DR285" s="403"/>
      <c r="DS285" s="403" t="s">
        <v>2642</v>
      </c>
      <c r="DT285" s="403"/>
      <c r="DU285" s="403"/>
      <c r="DV285" s="403"/>
      <c r="DW285" s="403"/>
      <c r="DX285" s="403"/>
      <c r="DY285" s="403"/>
      <c r="DZ285" s="403"/>
      <c r="EA285" s="403"/>
      <c r="EB285" s="403"/>
      <c r="EC285" s="403"/>
      <c r="ED285" s="403"/>
      <c r="EE285" s="403"/>
      <c r="EF285" s="403"/>
      <c r="EG285" s="403"/>
      <c r="EH285" s="403"/>
      <c r="EI285" s="403"/>
      <c r="EJ285" s="403"/>
      <c r="EK285" s="403"/>
      <c r="EL285" s="403"/>
      <c r="EM285" s="403"/>
      <c r="EN285" s="403"/>
      <c r="EO285" s="403"/>
      <c r="EP285" s="403"/>
      <c r="EQ285" s="403"/>
      <c r="ER285" s="403"/>
      <c r="ES285" s="403"/>
      <c r="ET285" s="403"/>
      <c r="EU285" s="403"/>
      <c r="EV285" s="403"/>
      <c r="EW285" s="403"/>
      <c r="EX285" s="403"/>
      <c r="EY285" s="403"/>
      <c r="EZ285" s="403"/>
      <c r="FA285" s="403"/>
      <c r="FB285" s="403"/>
      <c r="FC285" s="403"/>
      <c r="FD285" s="403"/>
      <c r="FE285" s="403"/>
      <c r="FF285" s="403"/>
      <c r="FG285" s="403"/>
      <c r="FH285" s="403"/>
      <c r="FI285" s="403"/>
      <c r="FJ285" s="403"/>
      <c r="FK285" s="403"/>
      <c r="FL285" s="403"/>
      <c r="FM285" s="403"/>
      <c r="FN285" s="403"/>
      <c r="FO285" s="403"/>
      <c r="FP285" s="403"/>
      <c r="FQ285" s="403"/>
      <c r="FR285" s="403"/>
      <c r="FS285" s="403"/>
      <c r="FT285" s="403"/>
      <c r="FU285" s="403"/>
      <c r="FV285" s="403"/>
      <c r="FW285" s="403"/>
      <c r="FX285" s="403"/>
      <c r="FY285" s="403"/>
      <c r="FZ285" s="403"/>
      <c r="GA285" s="403"/>
      <c r="GB285" s="403"/>
      <c r="GC285" s="403"/>
      <c r="GD285" s="403"/>
      <c r="GE285" s="403"/>
      <c r="GF285" s="403"/>
      <c r="GG285" s="403"/>
      <c r="GH285" s="403"/>
      <c r="GI285" s="403"/>
      <c r="GJ285" s="403"/>
      <c r="GK285" s="403"/>
      <c r="GL285" s="403"/>
      <c r="GM285" s="403"/>
      <c r="GN285" s="403"/>
      <c r="GO285" s="403"/>
      <c r="GP285" s="403"/>
      <c r="GQ285" s="403"/>
      <c r="GR285" s="403"/>
      <c r="GS285" s="403"/>
      <c r="GT285" s="403"/>
      <c r="GU285" s="403"/>
      <c r="GV285" s="403"/>
      <c r="GW285" s="403"/>
      <c r="GX285" s="403"/>
      <c r="GY285" s="403"/>
      <c r="GZ285" s="403"/>
      <c r="HA285" s="403"/>
      <c r="HB285" s="403"/>
      <c r="HC285" s="403"/>
      <c r="HD285" s="403"/>
      <c r="HE285" s="403"/>
      <c r="HF285" s="403"/>
      <c r="HG285" s="403"/>
      <c r="HH285" s="403"/>
      <c r="HI285" s="403"/>
      <c r="HJ285" s="403"/>
      <c r="HK285" s="403"/>
      <c r="HL285" s="403"/>
      <c r="HM285" s="403"/>
      <c r="HN285" s="403"/>
      <c r="HO285" s="403"/>
      <c r="HP285" s="403"/>
      <c r="HQ285" s="403"/>
      <c r="HR285" s="403"/>
      <c r="HS285" s="403"/>
      <c r="HT285" s="403"/>
      <c r="HU285" s="403"/>
      <c r="HV285" s="403"/>
      <c r="HW285" s="403"/>
      <c r="HX285" s="403"/>
      <c r="HY285" s="403"/>
      <c r="HZ285" s="403"/>
      <c r="IA285" s="403"/>
      <c r="IB285" s="403"/>
      <c r="IC285" s="403"/>
      <c r="ID285" s="403"/>
      <c r="IE285" s="403"/>
      <c r="IF285" s="403"/>
      <c r="IG285" s="403"/>
      <c r="IH285" s="403"/>
      <c r="II285" s="403"/>
      <c r="IJ285" s="403"/>
      <c r="IK285" s="403"/>
      <c r="IL285" s="403"/>
      <c r="IM285" s="403"/>
      <c r="IN285" s="403"/>
      <c r="IO285" s="403"/>
      <c r="IP285" s="403"/>
      <c r="IQ285" s="403"/>
      <c r="IR285" s="403"/>
      <c r="IS285" s="403"/>
      <c r="IT285" s="403"/>
      <c r="IU285" s="403"/>
      <c r="IV285" s="403"/>
      <c r="IW285" s="403"/>
      <c r="IX285" s="403"/>
      <c r="IY285" s="403"/>
      <c r="IZ285" s="403"/>
      <c r="JA285" s="403"/>
      <c r="JB285" s="403"/>
      <c r="JC285" s="403"/>
      <c r="JD285" s="403"/>
      <c r="JE285" s="403"/>
      <c r="JF285" s="403"/>
      <c r="JG285" s="403"/>
      <c r="JH285" s="403"/>
      <c r="JI285" s="403"/>
      <c r="JJ285" s="403"/>
      <c r="JK285" s="403"/>
      <c r="JL285" s="403"/>
      <c r="JM285" s="403"/>
      <c r="JN285" s="403"/>
      <c r="JO285" s="403"/>
      <c r="JP285" s="403"/>
      <c r="JQ285" s="403"/>
      <c r="JR285" s="403"/>
      <c r="JS285" s="403"/>
      <c r="JT285" s="403"/>
    </row>
    <row r="286" spans="1:280" s="150" customFormat="1" ht="12.75" x14ac:dyDescent="0.2">
      <c r="B286" s="624" t="str">
        <f ca="1">IF(OFFSET(AT286,0,Lang_Order*Lang__B5)="","",OFFSET(AT286,0,Lang_Order*Lang__B5))</f>
        <v>HRH Optimizer</v>
      </c>
      <c r="R286" s="12" t="str">
        <f t="shared" ca="1" si="657"/>
        <v/>
      </c>
      <c r="S286" s="2"/>
      <c r="T286" s="241"/>
      <c r="U286" s="624" t="str">
        <f ca="1">IF(OFFSET(AT286,0,Lang_Order*Lang__B5)="","",OFFSET(AT286,0,Lang_Order*Lang__B5))</f>
        <v>HRH Optimizer</v>
      </c>
      <c r="V286" s="2"/>
      <c r="W286" s="241"/>
      <c r="X286" s="241"/>
      <c r="Y286" s="241"/>
      <c r="Z286" s="241"/>
      <c r="AA286" s="241"/>
      <c r="AB286" s="241"/>
      <c r="AC286" s="281"/>
      <c r="AD286" s="241"/>
      <c r="AF286" s="241"/>
      <c r="AG286" s="624" t="str">
        <f ca="1">IF(OFFSET(AT286,0,Lang_Order*Lang__B5)="","",OFFSET(AT286,0,Lang_Order*Lang__B5))</f>
        <v>HRH Optimizer</v>
      </c>
      <c r="AH286" s="2"/>
      <c r="AI286" s="241"/>
      <c r="AJ286" s="241"/>
      <c r="AK286" s="241"/>
      <c r="AL286" s="241"/>
      <c r="AM286" s="241"/>
      <c r="AN286" s="241"/>
      <c r="AO286" s="281"/>
      <c r="AP286" s="241"/>
      <c r="AR286" s="403"/>
      <c r="AS286" s="403"/>
      <c r="AT286" s="403" t="s">
        <v>2684</v>
      </c>
      <c r="AU286" s="403"/>
      <c r="AV286" s="403"/>
      <c r="AW286" s="403"/>
      <c r="AX286" s="403"/>
      <c r="AY286" s="403"/>
      <c r="AZ286" s="403"/>
      <c r="BA286" s="403"/>
      <c r="BB286" s="403"/>
      <c r="BC286" s="403"/>
      <c r="BD286" s="403"/>
      <c r="BE286" s="403"/>
      <c r="BF286" s="403"/>
      <c r="BG286" s="403"/>
      <c r="BH286" s="403"/>
      <c r="BI286" s="403"/>
      <c r="BJ286" s="403"/>
      <c r="BK286" s="403"/>
      <c r="BL286" s="403"/>
      <c r="BM286" s="403"/>
      <c r="BN286" s="403"/>
      <c r="BO286" s="403"/>
      <c r="BP286" s="403"/>
      <c r="BQ286" s="403"/>
      <c r="BR286" s="403"/>
      <c r="BS286" s="403"/>
      <c r="BT286" s="403"/>
      <c r="BU286" s="403"/>
      <c r="BV286" s="403"/>
      <c r="BW286" s="403"/>
      <c r="BX286" s="403"/>
      <c r="BY286" s="403"/>
      <c r="BZ286" s="403"/>
      <c r="CA286" s="403"/>
      <c r="CB286" s="403" t="s">
        <v>12006</v>
      </c>
      <c r="CC286" s="403"/>
      <c r="CD286" s="403"/>
      <c r="CE286" s="403"/>
      <c r="CF286" s="403"/>
      <c r="CG286" s="403"/>
      <c r="CH286" s="403"/>
      <c r="CI286" s="403"/>
      <c r="CJ286" s="403"/>
      <c r="CK286" s="403"/>
      <c r="CL286" s="403"/>
      <c r="CM286" s="403"/>
      <c r="CN286" s="403"/>
      <c r="CO286" s="403"/>
      <c r="CP286" s="403"/>
      <c r="CQ286" s="403"/>
      <c r="CR286" s="403"/>
      <c r="CS286" s="403"/>
      <c r="CT286" s="403"/>
      <c r="CU286" s="403"/>
      <c r="CV286" s="403"/>
      <c r="CW286" s="403"/>
      <c r="CX286" s="403"/>
      <c r="CY286" s="403"/>
      <c r="CZ286" s="403"/>
      <c r="DA286" s="403"/>
      <c r="DB286" s="403"/>
      <c r="DC286" s="403"/>
      <c r="DD286" s="403"/>
      <c r="DE286" s="403"/>
      <c r="DF286" s="403"/>
      <c r="DG286" s="403"/>
      <c r="DH286" s="403"/>
      <c r="DI286" s="403"/>
      <c r="DJ286" s="403" t="s">
        <v>12007</v>
      </c>
      <c r="DK286" s="403"/>
      <c r="DL286" s="403"/>
      <c r="DM286" s="403"/>
      <c r="DN286" s="403"/>
      <c r="DO286" s="403"/>
      <c r="DP286" s="403"/>
      <c r="DQ286" s="403"/>
      <c r="DR286" s="403"/>
      <c r="DS286" s="403"/>
      <c r="DT286" s="403"/>
      <c r="DU286" s="403"/>
      <c r="DV286" s="403"/>
      <c r="DW286" s="403"/>
      <c r="DX286" s="403"/>
      <c r="DY286" s="403"/>
      <c r="DZ286" s="403"/>
      <c r="EA286" s="403"/>
      <c r="EB286" s="403"/>
      <c r="EC286" s="403"/>
      <c r="ED286" s="403"/>
      <c r="EE286" s="403"/>
      <c r="EF286" s="403"/>
      <c r="EG286" s="403"/>
      <c r="EH286" s="403"/>
      <c r="EI286" s="403"/>
      <c r="EJ286" s="403"/>
      <c r="EK286" s="403"/>
      <c r="EL286" s="403"/>
      <c r="EM286" s="403"/>
      <c r="EN286" s="403"/>
      <c r="EO286" s="403"/>
      <c r="EP286" s="403"/>
      <c r="EQ286" s="403"/>
      <c r="ER286" s="403" t="s">
        <v>12008</v>
      </c>
      <c r="ES286" s="403"/>
      <c r="ET286" s="403"/>
      <c r="EU286" s="403"/>
      <c r="EV286" s="403"/>
      <c r="EW286" s="403"/>
      <c r="EX286" s="403"/>
      <c r="EY286" s="403"/>
      <c r="EZ286" s="403"/>
      <c r="FA286" s="403"/>
      <c r="FB286" s="403"/>
      <c r="FC286" s="403"/>
      <c r="FD286" s="403"/>
      <c r="FE286" s="403"/>
      <c r="FF286" s="403"/>
      <c r="FG286" s="403"/>
      <c r="FH286" s="403"/>
      <c r="FI286" s="403"/>
      <c r="FJ286" s="403"/>
      <c r="FK286" s="403"/>
      <c r="FL286" s="403"/>
      <c r="FM286" s="403"/>
      <c r="FN286" s="403"/>
      <c r="FO286" s="403"/>
      <c r="FP286" s="403"/>
      <c r="FQ286" s="403"/>
      <c r="FR286" s="403"/>
      <c r="FS286" s="403"/>
      <c r="FT286" s="403"/>
      <c r="FU286" s="403"/>
      <c r="FV286" s="403"/>
      <c r="FW286" s="403"/>
      <c r="FX286" s="403"/>
      <c r="FY286" s="403"/>
      <c r="FZ286" s="403" t="s">
        <v>12008</v>
      </c>
      <c r="GA286" s="403"/>
      <c r="GB286" s="403"/>
      <c r="GC286" s="403"/>
      <c r="GD286" s="403"/>
      <c r="GE286" s="403"/>
      <c r="GF286" s="403"/>
      <c r="GG286" s="403"/>
      <c r="GH286" s="403"/>
      <c r="GI286" s="403"/>
      <c r="GJ286" s="403"/>
      <c r="GK286" s="403"/>
      <c r="GL286" s="403"/>
      <c r="GM286" s="403"/>
      <c r="GN286" s="403"/>
      <c r="GO286" s="403"/>
      <c r="GP286" s="403"/>
      <c r="GQ286" s="403"/>
      <c r="GR286" s="403"/>
      <c r="GS286" s="403"/>
      <c r="GT286" s="403"/>
      <c r="GU286" s="403"/>
      <c r="GV286" s="403"/>
      <c r="GW286" s="403"/>
      <c r="GX286" s="403"/>
      <c r="GY286" s="403"/>
      <c r="GZ286" s="403"/>
      <c r="HA286" s="403"/>
      <c r="HB286" s="403"/>
      <c r="HC286" s="403"/>
      <c r="HD286" s="403"/>
      <c r="HE286" s="403"/>
      <c r="HF286" s="403"/>
      <c r="HG286" s="403"/>
      <c r="HH286" s="403"/>
      <c r="HI286" s="403"/>
      <c r="HJ286" s="403"/>
      <c r="HK286" s="403"/>
      <c r="HL286" s="403"/>
      <c r="HM286" s="403"/>
      <c r="HN286" s="403"/>
      <c r="HO286" s="403"/>
      <c r="HP286" s="403"/>
      <c r="HQ286" s="403"/>
      <c r="HR286" s="403"/>
      <c r="HS286" s="403"/>
      <c r="HT286" s="403"/>
      <c r="HU286" s="403"/>
      <c r="HV286" s="403"/>
      <c r="HW286" s="403"/>
      <c r="HX286" s="403"/>
      <c r="HY286" s="403"/>
      <c r="HZ286" s="403"/>
      <c r="IA286" s="403"/>
      <c r="IB286" s="403"/>
      <c r="IC286" s="403"/>
      <c r="ID286" s="403"/>
      <c r="IE286" s="403"/>
      <c r="IF286" s="403"/>
      <c r="IG286" s="403"/>
      <c r="IH286" s="403"/>
      <c r="II286" s="403"/>
      <c r="IJ286" s="403"/>
      <c r="IK286" s="403"/>
      <c r="IL286" s="403"/>
      <c r="IM286" s="403"/>
      <c r="IN286" s="403"/>
      <c r="IO286" s="403"/>
      <c r="IP286" s="403" t="s">
        <v>12010</v>
      </c>
      <c r="IQ286" s="403"/>
      <c r="IR286" s="403"/>
      <c r="IS286" s="403"/>
      <c r="IT286" s="403"/>
      <c r="IU286" s="403"/>
      <c r="IV286" s="403"/>
      <c r="IW286" s="403"/>
      <c r="IX286" s="403"/>
      <c r="IY286" s="403"/>
      <c r="IZ286" s="403"/>
      <c r="JA286" s="403"/>
      <c r="JB286" s="403"/>
      <c r="JC286" s="403"/>
      <c r="JD286" s="403"/>
      <c r="JE286" s="403"/>
      <c r="JF286" s="403"/>
      <c r="JG286" s="403"/>
      <c r="JH286" s="403"/>
      <c r="JI286" s="403"/>
      <c r="JJ286" s="403"/>
      <c r="JK286" s="403"/>
      <c r="JL286" s="403"/>
      <c r="JM286" s="403"/>
      <c r="JN286" s="403"/>
      <c r="JO286" s="403"/>
      <c r="JP286" s="403"/>
      <c r="JQ286" s="403"/>
      <c r="JR286" s="403"/>
      <c r="JS286" s="403"/>
      <c r="JT286" s="403"/>
    </row>
    <row r="287" spans="1:280" s="150" customFormat="1" ht="12.75" x14ac:dyDescent="0.2">
      <c r="B287" s="622"/>
      <c r="C287" s="5" t="str">
        <f ca="1">IF(OFFSET(AU287,0,Lang_Order*Lang__B5)="","",OFFSET(AU287,0,Lang_Order*Lang__B5))</f>
        <v>Teams spend duration of 'cold life' per site</v>
      </c>
      <c r="D287" s="3">
        <f>DM4_ColdLife</f>
        <v>4</v>
      </c>
      <c r="I287" s="72" t="str">
        <f ca="1">IF(OFFSET(BA287,0,Lang_Order*Lang__B5)="","",OFFSET(BA287,0,Lang_Order*Lang__B5))</f>
        <v>Basecamp (per site)</v>
      </c>
      <c r="J287" s="108">
        <f t="shared" ref="J287:O287" si="704">ROUNDUP((J264)/(HRH_HoursPerDay*DM4_ColdLife),0)</f>
        <v>0</v>
      </c>
      <c r="K287" s="108">
        <f t="shared" si="704"/>
        <v>0</v>
      </c>
      <c r="L287" s="108">
        <f t="shared" si="704"/>
        <v>0</v>
      </c>
      <c r="M287" s="108">
        <f t="shared" si="704"/>
        <v>0</v>
      </c>
      <c r="N287" s="108">
        <f t="shared" si="704"/>
        <v>0</v>
      </c>
      <c r="O287" s="108">
        <f t="shared" si="704"/>
        <v>0</v>
      </c>
      <c r="R287" s="12" t="str">
        <f t="shared" ca="1" si="657"/>
        <v>One team, and n team members</v>
      </c>
      <c r="S287" s="2"/>
      <c r="T287" s="241"/>
      <c r="U287" s="622"/>
      <c r="V287" s="72" t="str">
        <f ca="1">IF(OFFSET(AU287,0,Lang_Order*Lang__B5)="","",OFFSET(AU287,0,Lang_Order*Lang__B5))</f>
        <v>Teams spend duration of 'cold life' per site</v>
      </c>
      <c r="W287" s="108">
        <f t="shared" ref="W287:AB287" si="705">ROUNDUP((W264)/(HRH_HoursPerDay*DM4_ColdLife),0)</f>
        <v>0</v>
      </c>
      <c r="X287" s="108">
        <f t="shared" si="705"/>
        <v>0</v>
      </c>
      <c r="Y287" s="108">
        <f t="shared" si="705"/>
        <v>0</v>
      </c>
      <c r="Z287" s="108">
        <f t="shared" si="705"/>
        <v>0</v>
      </c>
      <c r="AA287" s="108">
        <f t="shared" si="705"/>
        <v>0</v>
      </c>
      <c r="AB287" s="108">
        <f t="shared" si="705"/>
        <v>0</v>
      </c>
      <c r="AC287" s="281"/>
      <c r="AD287" s="241"/>
      <c r="AF287" s="241"/>
      <c r="AG287" s="622"/>
      <c r="AH287" s="72" t="str">
        <f ca="1">IF(OFFSET(AU287,0,Lang_Order*Lang__B5)="","",OFFSET(AU287,0,Lang_Order*Lang__B5))</f>
        <v>Teams spend duration of 'cold life' per site</v>
      </c>
      <c r="AI287" s="108">
        <f t="shared" ref="AI287:AN287" si="706">ROUNDUP((AI264)/(HRH_HoursPerDay*DM4_ColdLife),0)</f>
        <v>0</v>
      </c>
      <c r="AJ287" s="108">
        <f t="shared" si="706"/>
        <v>0</v>
      </c>
      <c r="AK287" s="108">
        <f t="shared" si="706"/>
        <v>0</v>
      </c>
      <c r="AL287" s="108">
        <f t="shared" si="706"/>
        <v>0</v>
      </c>
      <c r="AM287" s="108">
        <f t="shared" si="706"/>
        <v>0</v>
      </c>
      <c r="AN287" s="108">
        <f t="shared" si="706"/>
        <v>0</v>
      </c>
      <c r="AO287" s="281"/>
      <c r="AP287" s="241"/>
      <c r="AR287" s="403"/>
      <c r="AS287" s="403"/>
      <c r="AT287" s="403"/>
      <c r="AU287" s="403" t="s">
        <v>2690</v>
      </c>
      <c r="AV287" s="403"/>
      <c r="AW287" s="403"/>
      <c r="AX287" s="403"/>
      <c r="AY287" s="403"/>
      <c r="AZ287" s="403"/>
      <c r="BA287" s="403" t="s">
        <v>2703</v>
      </c>
      <c r="BB287" s="403"/>
      <c r="BC287" s="403"/>
      <c r="BD287" s="403"/>
      <c r="BE287" s="403"/>
      <c r="BF287" s="403"/>
      <c r="BG287" s="403"/>
      <c r="BH287" s="403"/>
      <c r="BI287" s="403"/>
      <c r="BJ287" s="403" t="s">
        <v>2692</v>
      </c>
      <c r="BK287" s="403"/>
      <c r="BL287" s="403"/>
      <c r="BM287" s="403"/>
      <c r="BN287" s="403"/>
      <c r="BO287" s="403"/>
      <c r="BP287" s="403"/>
      <c r="BQ287" s="403"/>
      <c r="BR287" s="403"/>
      <c r="BS287" s="403"/>
      <c r="BT287" s="403"/>
      <c r="BU287" s="403"/>
      <c r="BV287" s="403"/>
      <c r="BW287" s="403"/>
      <c r="BX287" s="403"/>
      <c r="BY287" s="403"/>
      <c r="BZ287" s="403"/>
      <c r="CA287" s="403"/>
      <c r="CB287" s="403"/>
      <c r="CC287" s="403" t="s">
        <v>12358</v>
      </c>
      <c r="CD287" s="403"/>
      <c r="CE287" s="403"/>
      <c r="CF287" s="403"/>
      <c r="CG287" s="403"/>
      <c r="CH287" s="403"/>
      <c r="CI287" s="403" t="s">
        <v>12359</v>
      </c>
      <c r="CJ287" s="403"/>
      <c r="CK287" s="403"/>
      <c r="CL287" s="403"/>
      <c r="CM287" s="403"/>
      <c r="CN287" s="403"/>
      <c r="CO287" s="403"/>
      <c r="CP287" s="403"/>
      <c r="CQ287" s="403"/>
      <c r="CR287" s="403" t="s">
        <v>12360</v>
      </c>
      <c r="CS287" s="403"/>
      <c r="CT287" s="403"/>
      <c r="CU287" s="403"/>
      <c r="CV287" s="403"/>
      <c r="CW287" s="403"/>
      <c r="CX287" s="403"/>
      <c r="CY287" s="403"/>
      <c r="CZ287" s="403"/>
      <c r="DA287" s="403"/>
      <c r="DB287" s="403"/>
      <c r="DC287" s="403"/>
      <c r="DD287" s="403"/>
      <c r="DE287" s="403"/>
      <c r="DF287" s="403"/>
      <c r="DG287" s="403"/>
      <c r="DH287" s="403"/>
      <c r="DI287" s="403"/>
      <c r="DJ287" s="403"/>
      <c r="DK287" s="403" t="s">
        <v>12361</v>
      </c>
      <c r="DL287" s="403"/>
      <c r="DM287" s="403"/>
      <c r="DN287" s="403"/>
      <c r="DO287" s="403"/>
      <c r="DP287" s="403"/>
      <c r="DQ287" s="403" t="s">
        <v>12362</v>
      </c>
      <c r="DR287" s="403"/>
      <c r="DS287" s="403"/>
      <c r="DT287" s="403"/>
      <c r="DU287" s="403"/>
      <c r="DV287" s="403"/>
      <c r="DW287" s="403"/>
      <c r="DX287" s="403"/>
      <c r="DY287" s="403"/>
      <c r="DZ287" s="403" t="s">
        <v>12363</v>
      </c>
      <c r="EA287" s="403"/>
      <c r="EB287" s="403"/>
      <c r="EC287" s="403"/>
      <c r="ED287" s="403"/>
      <c r="EE287" s="403"/>
      <c r="EF287" s="403"/>
      <c r="EG287" s="403"/>
      <c r="EH287" s="403"/>
      <c r="EI287" s="403"/>
      <c r="EJ287" s="403"/>
      <c r="EK287" s="403"/>
      <c r="EL287" s="403"/>
      <c r="EM287" s="403"/>
      <c r="EN287" s="403"/>
      <c r="EO287" s="403"/>
      <c r="EP287" s="403"/>
      <c r="EQ287" s="403"/>
      <c r="ER287" s="403"/>
      <c r="ES287" s="403" t="s">
        <v>12364</v>
      </c>
      <c r="ET287" s="403"/>
      <c r="EU287" s="403"/>
      <c r="EV287" s="403"/>
      <c r="EW287" s="403"/>
      <c r="EX287" s="403"/>
      <c r="EY287" s="403" t="s">
        <v>12365</v>
      </c>
      <c r="EZ287" s="403"/>
      <c r="FA287" s="403"/>
      <c r="FB287" s="403"/>
      <c r="FC287" s="403"/>
      <c r="FD287" s="403"/>
      <c r="FE287" s="403"/>
      <c r="FF287" s="403"/>
      <c r="FG287" s="403"/>
      <c r="FH287" s="403" t="s">
        <v>12366</v>
      </c>
      <c r="FI287" s="403"/>
      <c r="FJ287" s="403"/>
      <c r="FK287" s="403"/>
      <c r="FL287" s="403"/>
      <c r="FM287" s="403"/>
      <c r="FN287" s="403"/>
      <c r="FO287" s="403"/>
      <c r="FP287" s="403"/>
      <c r="FQ287" s="403"/>
      <c r="FR287" s="403"/>
      <c r="FS287" s="403"/>
      <c r="FT287" s="403"/>
      <c r="FU287" s="403"/>
      <c r="FV287" s="403"/>
      <c r="FW287" s="403"/>
      <c r="FX287" s="403"/>
      <c r="FY287" s="403"/>
      <c r="FZ287" s="403"/>
      <c r="GA287" s="403" t="s">
        <v>12367</v>
      </c>
      <c r="GB287" s="403"/>
      <c r="GC287" s="403"/>
      <c r="GD287" s="403"/>
      <c r="GE287" s="403"/>
      <c r="GF287" s="403"/>
      <c r="GG287" s="403" t="s">
        <v>12368</v>
      </c>
      <c r="GH287" s="403"/>
      <c r="GI287" s="403"/>
      <c r="GJ287" s="403"/>
      <c r="GK287" s="403"/>
      <c r="GL287" s="403"/>
      <c r="GM287" s="403"/>
      <c r="GN287" s="403"/>
      <c r="GO287" s="403"/>
      <c r="GP287" s="403" t="s">
        <v>12369</v>
      </c>
      <c r="GQ287" s="403"/>
      <c r="GR287" s="403"/>
      <c r="GS287" s="403"/>
      <c r="GT287" s="403"/>
      <c r="GU287" s="403"/>
      <c r="GV287" s="403"/>
      <c r="GW287" s="403"/>
      <c r="GX287" s="403"/>
      <c r="GY287" s="403"/>
      <c r="GZ287" s="403"/>
      <c r="HA287" s="403"/>
      <c r="HB287" s="403"/>
      <c r="HC287" s="403"/>
      <c r="HD287" s="403"/>
      <c r="HE287" s="403"/>
      <c r="HF287" s="403"/>
      <c r="HG287" s="403"/>
      <c r="HH287" s="403" t="s">
        <v>12009</v>
      </c>
      <c r="HI287" s="403" t="s">
        <v>12370</v>
      </c>
      <c r="HJ287" s="403"/>
      <c r="HK287" s="403"/>
      <c r="HL287" s="403"/>
      <c r="HM287" s="403"/>
      <c r="HN287" s="403"/>
      <c r="HO287" s="403" t="s">
        <v>12371</v>
      </c>
      <c r="HP287" s="403"/>
      <c r="HQ287" s="403"/>
      <c r="HR287" s="403"/>
      <c r="HS287" s="403"/>
      <c r="HT287" s="403"/>
      <c r="HU287" s="403"/>
      <c r="HV287" s="403"/>
      <c r="HW287" s="403"/>
      <c r="HX287" s="403" t="s">
        <v>12372</v>
      </c>
      <c r="HY287" s="403"/>
      <c r="HZ287" s="403"/>
      <c r="IA287" s="403"/>
      <c r="IB287" s="403"/>
      <c r="IC287" s="403"/>
      <c r="ID287" s="403"/>
      <c r="IE287" s="403"/>
      <c r="IF287" s="403"/>
      <c r="IG287" s="403"/>
      <c r="IH287" s="403"/>
      <c r="II287" s="403"/>
      <c r="IJ287" s="403"/>
      <c r="IK287" s="403"/>
      <c r="IL287" s="403"/>
      <c r="IM287" s="403"/>
      <c r="IN287" s="403"/>
      <c r="IO287" s="403"/>
      <c r="IP287" s="403"/>
      <c r="IQ287" s="403" t="s">
        <v>12373</v>
      </c>
      <c r="IR287" s="403"/>
      <c r="IS287" s="403"/>
      <c r="IT287" s="403"/>
      <c r="IU287" s="403"/>
      <c r="IV287" s="403"/>
      <c r="IW287" s="403" t="s">
        <v>12374</v>
      </c>
      <c r="IX287" s="403"/>
      <c r="IY287" s="403"/>
      <c r="IZ287" s="403"/>
      <c r="JA287" s="403"/>
      <c r="JB287" s="403"/>
      <c r="JC287" s="403"/>
      <c r="JD287" s="403"/>
      <c r="JE287" s="403"/>
      <c r="JF287" s="403" t="s">
        <v>12375</v>
      </c>
      <c r="JG287" s="403"/>
      <c r="JH287" s="403"/>
      <c r="JI287" s="403"/>
      <c r="JJ287" s="403"/>
      <c r="JK287" s="403"/>
      <c r="JL287" s="403"/>
      <c r="JM287" s="403"/>
      <c r="JN287" s="403"/>
      <c r="JO287" s="403"/>
      <c r="JP287" s="403"/>
      <c r="JQ287" s="403"/>
      <c r="JR287" s="403"/>
      <c r="JS287" s="403"/>
      <c r="JT287" s="403"/>
    </row>
    <row r="288" spans="1:280" s="150" customFormat="1" ht="12.75" x14ac:dyDescent="0.2">
      <c r="B288" s="622"/>
      <c r="C288" s="5" t="str">
        <f ca="1">IF(OFFSET(AU288,0,Lang_Order*Lang__B5)="","",OFFSET(AU288,0,Lang_Order*Lang__B5))</f>
        <v>Mobile B : Mobile A ratio</v>
      </c>
      <c r="D288" s="381">
        <f>IF(CriticalPopulation_MobileA=0,4,CriticalPopulation_MobileB/CriticalPopulation_MobileA)</f>
        <v>1.4999999999999998</v>
      </c>
      <c r="E288" s="5"/>
      <c r="I288" s="72" t="str">
        <f ca="1">IF(OFFSET(BA288,0,Lang_Order*Lang__B5)="","",OFFSET(BA288,0,Lang_Order*Lang__B5))</f>
        <v>Mobile A (per site)</v>
      </c>
      <c r="J288" s="108">
        <f t="shared" ref="J288:O289" si="707">ROUNDUP((J265)/((HRH_HoursPerDay-HRH_MobileTravel_HoursPerDay)*DM4_ColdLife),0)</f>
        <v>0</v>
      </c>
      <c r="K288" s="108">
        <f t="shared" si="707"/>
        <v>0</v>
      </c>
      <c r="L288" s="108">
        <f t="shared" si="707"/>
        <v>0</v>
      </c>
      <c r="M288" s="108">
        <f t="shared" si="707"/>
        <v>0</v>
      </c>
      <c r="N288" s="108">
        <f t="shared" si="707"/>
        <v>0</v>
      </c>
      <c r="O288" s="108">
        <f t="shared" si="707"/>
        <v>0</v>
      </c>
      <c r="R288" s="12" t="str">
        <f t="shared" ca="1" si="657"/>
        <v>One team member, and n teams</v>
      </c>
      <c r="S288" s="2"/>
      <c r="T288" s="241"/>
      <c r="U288" s="622"/>
      <c r="V288" s="72" t="str">
        <f ca="1">IF(OFFSET(AU288,0,Lang_Order*Lang__B5)="","",OFFSET(AU288,0,Lang_Order*Lang__B5))</f>
        <v>Mobile B : Mobile A ratio</v>
      </c>
      <c r="W288" s="108">
        <f t="shared" ref="W288:AB289" si="708">ROUNDUP((W265)/((HRH_HoursPerDay-HRH_MobileTravel_HoursPerDay)*DM4_ColdLife),0)</f>
        <v>0</v>
      </c>
      <c r="X288" s="108">
        <f t="shared" si="708"/>
        <v>0</v>
      </c>
      <c r="Y288" s="108">
        <f t="shared" si="708"/>
        <v>0</v>
      </c>
      <c r="Z288" s="108">
        <f t="shared" si="708"/>
        <v>0</v>
      </c>
      <c r="AA288" s="108">
        <f t="shared" si="708"/>
        <v>0</v>
      </c>
      <c r="AB288" s="108">
        <f t="shared" si="708"/>
        <v>0</v>
      </c>
      <c r="AC288" s="281"/>
      <c r="AD288" s="241"/>
      <c r="AF288" s="241"/>
      <c r="AG288" s="622"/>
      <c r="AH288" s="72" t="str">
        <f ca="1">IF(OFFSET(AU288,0,Lang_Order*Lang__B5)="","",OFFSET(AU288,0,Lang_Order*Lang__B5))</f>
        <v>Mobile B : Mobile A ratio</v>
      </c>
      <c r="AI288" s="108">
        <f t="shared" ref="AI288:AN289" si="709">ROUNDUP((AI265)/((HRH_HoursPerDay-HRH_MobileTravel_HoursPerDay)*DM4_ColdLife),0)</f>
        <v>0</v>
      </c>
      <c r="AJ288" s="108">
        <f t="shared" si="709"/>
        <v>0</v>
      </c>
      <c r="AK288" s="108">
        <f t="shared" si="709"/>
        <v>0</v>
      </c>
      <c r="AL288" s="108">
        <f t="shared" si="709"/>
        <v>0</v>
      </c>
      <c r="AM288" s="108">
        <f t="shared" si="709"/>
        <v>0</v>
      </c>
      <c r="AN288" s="108">
        <f t="shared" si="709"/>
        <v>0</v>
      </c>
      <c r="AO288" s="281"/>
      <c r="AP288" s="241"/>
      <c r="AR288" s="403"/>
      <c r="AS288" s="403"/>
      <c r="AT288" s="403"/>
      <c r="AU288" s="403" t="s">
        <v>2691</v>
      </c>
      <c r="AV288" s="403"/>
      <c r="AW288" s="403"/>
      <c r="AX288" s="403"/>
      <c r="AY288" s="403"/>
      <c r="AZ288" s="403"/>
      <c r="BA288" s="403" t="s">
        <v>2701</v>
      </c>
      <c r="BB288" s="403"/>
      <c r="BC288" s="403"/>
      <c r="BD288" s="403"/>
      <c r="BE288" s="403"/>
      <c r="BF288" s="403"/>
      <c r="BG288" s="403"/>
      <c r="BH288" s="403"/>
      <c r="BI288" s="403"/>
      <c r="BJ288" s="403" t="s">
        <v>2693</v>
      </c>
      <c r="BK288" s="403"/>
      <c r="BL288" s="403"/>
      <c r="BM288" s="403"/>
      <c r="BN288" s="403"/>
      <c r="BO288" s="403"/>
      <c r="BP288" s="403"/>
      <c r="BQ288" s="403"/>
      <c r="BR288" s="403"/>
      <c r="BS288" s="403"/>
      <c r="BT288" s="403"/>
      <c r="BU288" s="403"/>
      <c r="BV288" s="403"/>
      <c r="BW288" s="403"/>
      <c r="BX288" s="403"/>
      <c r="BY288" s="403"/>
      <c r="BZ288" s="403"/>
      <c r="CA288" s="403"/>
      <c r="CB288" s="403"/>
      <c r="CC288" s="403" t="s">
        <v>12376</v>
      </c>
      <c r="CD288" s="403"/>
      <c r="CE288" s="403"/>
      <c r="CF288" s="403"/>
      <c r="CG288" s="403"/>
      <c r="CH288" s="403"/>
      <c r="CI288" s="403" t="s">
        <v>12377</v>
      </c>
      <c r="CJ288" s="403"/>
      <c r="CK288" s="403"/>
      <c r="CL288" s="403"/>
      <c r="CM288" s="403"/>
      <c r="CN288" s="403"/>
      <c r="CO288" s="403"/>
      <c r="CP288" s="403"/>
      <c r="CQ288" s="403"/>
      <c r="CR288" s="403" t="s">
        <v>12378</v>
      </c>
      <c r="CS288" s="403"/>
      <c r="CT288" s="403"/>
      <c r="CU288" s="403"/>
      <c r="CV288" s="403"/>
      <c r="CW288" s="403"/>
      <c r="CX288" s="403"/>
      <c r="CY288" s="403"/>
      <c r="CZ288" s="403"/>
      <c r="DA288" s="403"/>
      <c r="DB288" s="403"/>
      <c r="DC288" s="403"/>
      <c r="DD288" s="403"/>
      <c r="DE288" s="403"/>
      <c r="DF288" s="403"/>
      <c r="DG288" s="403"/>
      <c r="DH288" s="403"/>
      <c r="DI288" s="403"/>
      <c r="DJ288" s="403"/>
      <c r="DK288" s="403" t="s">
        <v>12379</v>
      </c>
      <c r="DL288" s="403"/>
      <c r="DM288" s="403"/>
      <c r="DN288" s="403"/>
      <c r="DO288" s="403"/>
      <c r="DP288" s="403"/>
      <c r="DQ288" s="403" t="s">
        <v>12380</v>
      </c>
      <c r="DR288" s="403"/>
      <c r="DS288" s="403"/>
      <c r="DT288" s="403"/>
      <c r="DU288" s="403"/>
      <c r="DV288" s="403"/>
      <c r="DW288" s="403"/>
      <c r="DX288" s="403"/>
      <c r="DY288" s="403"/>
      <c r="DZ288" s="403" t="s">
        <v>12381</v>
      </c>
      <c r="EA288" s="403"/>
      <c r="EB288" s="403"/>
      <c r="EC288" s="403"/>
      <c r="ED288" s="403"/>
      <c r="EE288" s="403"/>
      <c r="EF288" s="403"/>
      <c r="EG288" s="403"/>
      <c r="EH288" s="403"/>
      <c r="EI288" s="403"/>
      <c r="EJ288" s="403"/>
      <c r="EK288" s="403"/>
      <c r="EL288" s="403"/>
      <c r="EM288" s="403"/>
      <c r="EN288" s="403"/>
      <c r="EO288" s="403"/>
      <c r="EP288" s="403"/>
      <c r="EQ288" s="403"/>
      <c r="ER288" s="403"/>
      <c r="ES288" s="403" t="s">
        <v>12382</v>
      </c>
      <c r="ET288" s="403"/>
      <c r="EU288" s="403"/>
      <c r="EV288" s="403"/>
      <c r="EW288" s="403"/>
      <c r="EX288" s="403"/>
      <c r="EY288" s="403" t="s">
        <v>12383</v>
      </c>
      <c r="EZ288" s="403"/>
      <c r="FA288" s="403"/>
      <c r="FB288" s="403"/>
      <c r="FC288" s="403"/>
      <c r="FD288" s="403"/>
      <c r="FE288" s="403"/>
      <c r="FF288" s="403"/>
      <c r="FG288" s="403"/>
      <c r="FH288" s="403" t="s">
        <v>12384</v>
      </c>
      <c r="FI288" s="403"/>
      <c r="FJ288" s="403"/>
      <c r="FK288" s="403"/>
      <c r="FL288" s="403"/>
      <c r="FM288" s="403"/>
      <c r="FN288" s="403"/>
      <c r="FO288" s="403"/>
      <c r="FP288" s="403"/>
      <c r="FQ288" s="403"/>
      <c r="FR288" s="403"/>
      <c r="FS288" s="403"/>
      <c r="FT288" s="403"/>
      <c r="FU288" s="403"/>
      <c r="FV288" s="403"/>
      <c r="FW288" s="403"/>
      <c r="FX288" s="403"/>
      <c r="FY288" s="403"/>
      <c r="FZ288" s="403"/>
      <c r="GA288" s="403" t="s">
        <v>12385</v>
      </c>
      <c r="GB288" s="403"/>
      <c r="GC288" s="403"/>
      <c r="GD288" s="403"/>
      <c r="GE288" s="403"/>
      <c r="GF288" s="403"/>
      <c r="GG288" s="403" t="s">
        <v>12386</v>
      </c>
      <c r="GH288" s="403"/>
      <c r="GI288" s="403"/>
      <c r="GJ288" s="403"/>
      <c r="GK288" s="403"/>
      <c r="GL288" s="403"/>
      <c r="GM288" s="403"/>
      <c r="GN288" s="403"/>
      <c r="GO288" s="403"/>
      <c r="GP288" s="403" t="s">
        <v>12387</v>
      </c>
      <c r="GQ288" s="403"/>
      <c r="GR288" s="403"/>
      <c r="GS288" s="403"/>
      <c r="GT288" s="403"/>
      <c r="GU288" s="403"/>
      <c r="GV288" s="403"/>
      <c r="GW288" s="403"/>
      <c r="GX288" s="403"/>
      <c r="GY288" s="403"/>
      <c r="GZ288" s="403"/>
      <c r="HA288" s="403"/>
      <c r="HB288" s="403"/>
      <c r="HC288" s="403"/>
      <c r="HD288" s="403"/>
      <c r="HE288" s="403"/>
      <c r="HF288" s="403"/>
      <c r="HG288" s="403"/>
      <c r="HH288" s="403"/>
      <c r="HI288" s="403" t="s">
        <v>12388</v>
      </c>
      <c r="HJ288" s="403"/>
      <c r="HK288" s="403"/>
      <c r="HL288" s="403"/>
      <c r="HM288" s="403"/>
      <c r="HN288" s="403"/>
      <c r="HO288" s="403" t="s">
        <v>12389</v>
      </c>
      <c r="HP288" s="403"/>
      <c r="HQ288" s="403"/>
      <c r="HR288" s="403"/>
      <c r="HS288" s="403"/>
      <c r="HT288" s="403"/>
      <c r="HU288" s="403"/>
      <c r="HV288" s="403"/>
      <c r="HW288" s="403"/>
      <c r="HX288" s="403" t="s">
        <v>12390</v>
      </c>
      <c r="HY288" s="403"/>
      <c r="HZ288" s="403"/>
      <c r="IA288" s="403"/>
      <c r="IB288" s="403"/>
      <c r="IC288" s="403"/>
      <c r="ID288" s="403"/>
      <c r="IE288" s="403"/>
      <c r="IF288" s="403"/>
      <c r="IG288" s="403"/>
      <c r="IH288" s="403"/>
      <c r="II288" s="403"/>
      <c r="IJ288" s="403"/>
      <c r="IK288" s="403"/>
      <c r="IL288" s="403"/>
      <c r="IM288" s="403"/>
      <c r="IN288" s="403"/>
      <c r="IO288" s="403"/>
      <c r="IP288" s="403"/>
      <c r="IQ288" s="403" t="s">
        <v>12391</v>
      </c>
      <c r="IR288" s="403"/>
      <c r="IS288" s="403"/>
      <c r="IT288" s="403"/>
      <c r="IU288" s="403"/>
      <c r="IV288" s="403"/>
      <c r="IW288" s="403" t="s">
        <v>12392</v>
      </c>
      <c r="IX288" s="403"/>
      <c r="IY288" s="403"/>
      <c r="IZ288" s="403"/>
      <c r="JA288" s="403"/>
      <c r="JB288" s="403"/>
      <c r="JC288" s="403"/>
      <c r="JD288" s="403"/>
      <c r="JE288" s="403"/>
      <c r="JF288" s="403" t="s">
        <v>12393</v>
      </c>
      <c r="JG288" s="403"/>
      <c r="JH288" s="403"/>
      <c r="JI288" s="403"/>
      <c r="JJ288" s="403"/>
      <c r="JK288" s="403"/>
      <c r="JL288" s="403"/>
      <c r="JM288" s="403"/>
      <c r="JN288" s="403"/>
      <c r="JO288" s="403"/>
      <c r="JP288" s="403"/>
      <c r="JQ288" s="403"/>
      <c r="JR288" s="403"/>
      <c r="JS288" s="403"/>
      <c r="JT288" s="403"/>
    </row>
    <row r="289" spans="1:280" s="150" customFormat="1" ht="12.75" x14ac:dyDescent="0.2">
      <c r="B289" s="622"/>
      <c r="C289" s="5"/>
      <c r="D289" s="169">
        <f>IF(D288&lt;2,2,IF(D288&lt;3,3,4))</f>
        <v>2</v>
      </c>
      <c r="I289" s="72" t="str">
        <f ca="1">IF(OFFSET(BA289,0,Lang_Order*Lang__B5)="","",OFFSET(BA289,0,Lang_Order*Lang__B5))</f>
        <v>Mobile B (per site)</v>
      </c>
      <c r="J289" s="108">
        <f t="shared" si="707"/>
        <v>0</v>
      </c>
      <c r="K289" s="108">
        <f t="shared" si="707"/>
        <v>0</v>
      </c>
      <c r="L289" s="108">
        <f t="shared" si="707"/>
        <v>0</v>
      </c>
      <c r="M289" s="108">
        <f t="shared" si="707"/>
        <v>0</v>
      </c>
      <c r="N289" s="108">
        <f t="shared" si="707"/>
        <v>0</v>
      </c>
      <c r="O289" s="108">
        <f t="shared" si="707"/>
        <v>0</v>
      </c>
      <c r="R289" s="12" t="str">
        <f t="shared" ca="1" si="657"/>
        <v>Range from 2-4; The outreach weekly schedule is force-synced to this even if it may be possible to finish a site faster</v>
      </c>
      <c r="S289" s="2"/>
      <c r="T289" s="241"/>
      <c r="U289" s="622"/>
      <c r="V289" s="72"/>
      <c r="W289" s="108">
        <f t="shared" si="708"/>
        <v>0</v>
      </c>
      <c r="X289" s="108">
        <f t="shared" si="708"/>
        <v>0</v>
      </c>
      <c r="Y289" s="108">
        <f t="shared" si="708"/>
        <v>0</v>
      </c>
      <c r="Z289" s="108">
        <f t="shared" si="708"/>
        <v>0</v>
      </c>
      <c r="AA289" s="108">
        <f t="shared" si="708"/>
        <v>0</v>
      </c>
      <c r="AB289" s="108">
        <f t="shared" si="708"/>
        <v>0</v>
      </c>
      <c r="AC289" s="281"/>
      <c r="AD289" s="241"/>
      <c r="AF289" s="241"/>
      <c r="AG289" s="622"/>
      <c r="AH289" s="72"/>
      <c r="AI289" s="108">
        <f t="shared" si="709"/>
        <v>0</v>
      </c>
      <c r="AJ289" s="108">
        <f t="shared" si="709"/>
        <v>0</v>
      </c>
      <c r="AK289" s="108">
        <f t="shared" si="709"/>
        <v>0</v>
      </c>
      <c r="AL289" s="108">
        <f t="shared" si="709"/>
        <v>0</v>
      </c>
      <c r="AM289" s="108">
        <f t="shared" si="709"/>
        <v>0</v>
      </c>
      <c r="AN289" s="108">
        <f t="shared" si="709"/>
        <v>0</v>
      </c>
      <c r="AO289" s="281"/>
      <c r="AP289" s="241"/>
      <c r="AR289" s="403"/>
      <c r="AS289" s="403"/>
      <c r="AT289" s="403"/>
      <c r="AU289" s="403"/>
      <c r="AV289" s="403"/>
      <c r="AW289" s="403"/>
      <c r="AX289" s="403"/>
      <c r="AY289" s="403"/>
      <c r="AZ289" s="403"/>
      <c r="BA289" s="403" t="s">
        <v>2702</v>
      </c>
      <c r="BB289" s="403"/>
      <c r="BC289" s="403"/>
      <c r="BD289" s="403"/>
      <c r="BE289" s="403"/>
      <c r="BF289" s="403"/>
      <c r="BG289" s="403"/>
      <c r="BH289" s="403"/>
      <c r="BI289" s="403"/>
      <c r="BJ289" s="403" t="s">
        <v>2830</v>
      </c>
      <c r="BK289" s="403"/>
      <c r="BL289" s="403"/>
      <c r="BM289" s="403"/>
      <c r="BN289" s="403"/>
      <c r="BO289" s="403"/>
      <c r="BP289" s="403"/>
      <c r="BQ289" s="403"/>
      <c r="BR289" s="403"/>
      <c r="BS289" s="403"/>
      <c r="BT289" s="403"/>
      <c r="BU289" s="403"/>
      <c r="BV289" s="403"/>
      <c r="BW289" s="403"/>
      <c r="BX289" s="403"/>
      <c r="BY289" s="403"/>
      <c r="BZ289" s="403"/>
      <c r="CA289" s="403"/>
      <c r="CB289" s="403"/>
      <c r="CC289" s="403"/>
      <c r="CD289" s="403"/>
      <c r="CE289" s="403"/>
      <c r="CF289" s="403"/>
      <c r="CG289" s="403"/>
      <c r="CH289" s="403"/>
      <c r="CI289" s="403" t="s">
        <v>12394</v>
      </c>
      <c r="CJ289" s="403"/>
      <c r="CK289" s="403"/>
      <c r="CL289" s="403"/>
      <c r="CM289" s="403"/>
      <c r="CN289" s="403"/>
      <c r="CO289" s="403"/>
      <c r="CP289" s="403"/>
      <c r="CQ289" s="403"/>
      <c r="CR289" s="403" t="s">
        <v>12395</v>
      </c>
      <c r="CS289" s="403"/>
      <c r="CT289" s="403"/>
      <c r="CU289" s="403"/>
      <c r="CV289" s="403"/>
      <c r="CW289" s="403"/>
      <c r="CX289" s="403"/>
      <c r="CY289" s="403"/>
      <c r="CZ289" s="403"/>
      <c r="DA289" s="403"/>
      <c r="DB289" s="403"/>
      <c r="DC289" s="403"/>
      <c r="DD289" s="403"/>
      <c r="DE289" s="403"/>
      <c r="DF289" s="403"/>
      <c r="DG289" s="403"/>
      <c r="DH289" s="403"/>
      <c r="DI289" s="403"/>
      <c r="DJ289" s="403"/>
      <c r="DK289" s="403"/>
      <c r="DL289" s="403"/>
      <c r="DM289" s="403"/>
      <c r="DN289" s="403"/>
      <c r="DO289" s="403"/>
      <c r="DP289" s="403"/>
      <c r="DQ289" s="403" t="s">
        <v>12396</v>
      </c>
      <c r="DR289" s="403"/>
      <c r="DS289" s="403"/>
      <c r="DT289" s="403"/>
      <c r="DU289" s="403"/>
      <c r="DV289" s="403"/>
      <c r="DW289" s="403"/>
      <c r="DX289" s="403"/>
      <c r="DY289" s="403"/>
      <c r="DZ289" s="403" t="s">
        <v>12397</v>
      </c>
      <c r="EA289" s="403"/>
      <c r="EB289" s="403"/>
      <c r="EC289" s="403"/>
      <c r="ED289" s="403"/>
      <c r="EE289" s="403"/>
      <c r="EF289" s="403"/>
      <c r="EG289" s="403"/>
      <c r="EH289" s="403"/>
      <c r="EI289" s="403"/>
      <c r="EJ289" s="403"/>
      <c r="EK289" s="403"/>
      <c r="EL289" s="403"/>
      <c r="EM289" s="403"/>
      <c r="EN289" s="403"/>
      <c r="EO289" s="403"/>
      <c r="EP289" s="403"/>
      <c r="EQ289" s="403"/>
      <c r="ER289" s="403"/>
      <c r="ES289" s="403"/>
      <c r="ET289" s="403"/>
      <c r="EU289" s="403"/>
      <c r="EV289" s="403"/>
      <c r="EW289" s="403"/>
      <c r="EX289" s="403"/>
      <c r="EY289" s="403" t="s">
        <v>12398</v>
      </c>
      <c r="EZ289" s="403"/>
      <c r="FA289" s="403"/>
      <c r="FB289" s="403"/>
      <c r="FC289" s="403"/>
      <c r="FD289" s="403"/>
      <c r="FE289" s="403"/>
      <c r="FF289" s="403"/>
      <c r="FG289" s="403"/>
      <c r="FH289" s="403" t="s">
        <v>12399</v>
      </c>
      <c r="FI289" s="403"/>
      <c r="FJ289" s="403"/>
      <c r="FK289" s="403"/>
      <c r="FL289" s="403"/>
      <c r="FM289" s="403"/>
      <c r="FN289" s="403"/>
      <c r="FO289" s="403"/>
      <c r="FP289" s="403"/>
      <c r="FQ289" s="403"/>
      <c r="FR289" s="403"/>
      <c r="FS289" s="403"/>
      <c r="FT289" s="403"/>
      <c r="FU289" s="403"/>
      <c r="FV289" s="403"/>
      <c r="FW289" s="403"/>
      <c r="FX289" s="403"/>
      <c r="FY289" s="403"/>
      <c r="FZ289" s="403"/>
      <c r="GA289" s="403"/>
      <c r="GB289" s="403"/>
      <c r="GC289" s="403"/>
      <c r="GD289" s="403"/>
      <c r="GE289" s="403"/>
      <c r="GF289" s="403"/>
      <c r="GG289" s="403" t="s">
        <v>12400</v>
      </c>
      <c r="GH289" s="403"/>
      <c r="GI289" s="403"/>
      <c r="GJ289" s="403"/>
      <c r="GK289" s="403"/>
      <c r="GL289" s="403"/>
      <c r="GM289" s="403"/>
      <c r="GN289" s="403"/>
      <c r="GO289" s="403"/>
      <c r="GP289" s="403" t="s">
        <v>12401</v>
      </c>
      <c r="GQ289" s="403"/>
      <c r="GR289" s="403"/>
      <c r="GS289" s="403"/>
      <c r="GT289" s="403"/>
      <c r="GU289" s="403"/>
      <c r="GV289" s="403"/>
      <c r="GW289" s="403"/>
      <c r="GX289" s="403"/>
      <c r="GY289" s="403"/>
      <c r="GZ289" s="403"/>
      <c r="HA289" s="403"/>
      <c r="HB289" s="403"/>
      <c r="HC289" s="403"/>
      <c r="HD289" s="403"/>
      <c r="HE289" s="403"/>
      <c r="HF289" s="403"/>
      <c r="HG289" s="403"/>
      <c r="HH289" s="403"/>
      <c r="HI289" s="403"/>
      <c r="HJ289" s="403"/>
      <c r="HK289" s="403"/>
      <c r="HL289" s="403"/>
      <c r="HM289" s="403"/>
      <c r="HN289" s="403"/>
      <c r="HO289" s="403" t="s">
        <v>12402</v>
      </c>
      <c r="HP289" s="403"/>
      <c r="HQ289" s="403"/>
      <c r="HR289" s="403"/>
      <c r="HS289" s="403"/>
      <c r="HT289" s="403"/>
      <c r="HU289" s="403"/>
      <c r="HV289" s="403"/>
      <c r="HW289" s="403"/>
      <c r="HX289" s="403" t="s">
        <v>12403</v>
      </c>
      <c r="HY289" s="403"/>
      <c r="HZ289" s="403"/>
      <c r="IA289" s="403"/>
      <c r="IB289" s="403"/>
      <c r="IC289" s="403"/>
      <c r="ID289" s="403"/>
      <c r="IE289" s="403"/>
      <c r="IF289" s="403"/>
      <c r="IG289" s="403"/>
      <c r="IH289" s="403"/>
      <c r="II289" s="403"/>
      <c r="IJ289" s="403"/>
      <c r="IK289" s="403"/>
      <c r="IL289" s="403"/>
      <c r="IM289" s="403"/>
      <c r="IN289" s="403"/>
      <c r="IO289" s="403"/>
      <c r="IP289" s="403"/>
      <c r="IQ289" s="403"/>
      <c r="IR289" s="403"/>
      <c r="IS289" s="403"/>
      <c r="IT289" s="403"/>
      <c r="IU289" s="403"/>
      <c r="IV289" s="403"/>
      <c r="IW289" s="403" t="s">
        <v>12404</v>
      </c>
      <c r="IX289" s="403"/>
      <c r="IY289" s="403"/>
      <c r="IZ289" s="403"/>
      <c r="JA289" s="403"/>
      <c r="JB289" s="403"/>
      <c r="JC289" s="403"/>
      <c r="JD289" s="403"/>
      <c r="JE289" s="403"/>
      <c r="JF289" s="403" t="s">
        <v>12405</v>
      </c>
      <c r="JG289" s="403"/>
      <c r="JH289" s="403"/>
      <c r="JI289" s="403"/>
      <c r="JJ289" s="403"/>
      <c r="JK289" s="403"/>
      <c r="JL289" s="403"/>
      <c r="JM289" s="403"/>
      <c r="JN289" s="403"/>
      <c r="JO289" s="403"/>
      <c r="JP289" s="403"/>
      <c r="JQ289" s="403"/>
      <c r="JR289" s="403"/>
      <c r="JS289" s="403"/>
      <c r="JT289" s="403"/>
    </row>
    <row r="290" spans="1:280" s="150" customFormat="1" ht="12.75" x14ac:dyDescent="0.2">
      <c r="B290" s="622"/>
      <c r="C290" s="370" t="str">
        <f ca="1">IF(OFFSET(AU290,0,Lang_Order*Lang__B5)="","",OFFSET(AU290,0,Lang_Order*Lang__B5))</f>
        <v xml:space="preserve">Finish sites within this Time Period (minus weekends) </v>
      </c>
      <c r="D290" s="3">
        <f>IF(ISBLANK(D291),HRH_DefaultDays_DM4,D291)</f>
        <v>100</v>
      </c>
      <c r="E290" s="85" t="str">
        <f ca="1">IF(OFFSET(AW290,0,Lang_Order*Lang__B5)="","",OFFSET(AW290,0,Lang_Order*Lang__B5))</f>
        <v>days</v>
      </c>
      <c r="F290" s="281"/>
      <c r="I290" s="72" t="str">
        <f ca="1">IF(OFFSET(BA290,0,Lang_Order*Lang__B5)="","",OFFSET(BA290,0,Lang_Order*Lang__B5))</f>
        <v>Number of team of teams</v>
      </c>
      <c r="J290" s="108" t="e">
        <f t="shared" ref="J290:O290" si="710">ROUNDUP((J243*$E$239*DM4_ColdLife)/$D290,0)</f>
        <v>#N/A</v>
      </c>
      <c r="K290" s="108" t="e">
        <f t="shared" si="710"/>
        <v>#N/A</v>
      </c>
      <c r="L290" s="108" t="e">
        <f t="shared" si="710"/>
        <v>#N/A</v>
      </c>
      <c r="M290" s="108" t="e">
        <f t="shared" si="710"/>
        <v>#N/A</v>
      </c>
      <c r="N290" s="108" t="e">
        <f t="shared" si="710"/>
        <v>#N/A</v>
      </c>
      <c r="O290" s="108" t="e">
        <f t="shared" si="710"/>
        <v>#N/A</v>
      </c>
      <c r="R290" s="12" t="str">
        <f t="shared" ca="1" si="657"/>
        <v>Effectively a 4-day work week (either 2 sites x 2 days in a week or 1 site x 4 days in a week depending on 'cold life'</v>
      </c>
      <c r="S290" s="2"/>
      <c r="T290" s="241"/>
      <c r="U290" s="622"/>
      <c r="V290" s="612" t="str">
        <f ca="1">IF(OFFSET(AU290,0,Lang_Order*Lang__B5)="","",OFFSET(AU290,0,Lang_Order*Lang__B5))</f>
        <v xml:space="preserve">Finish sites within this Time Period (minus weekends) </v>
      </c>
      <c r="W290" s="108" t="e">
        <f t="shared" ref="W290:AB290" si="711">ROUNDUP((W243*$E$239*DM4_ColdLife)/$D290,0)</f>
        <v>#N/A</v>
      </c>
      <c r="X290" s="108" t="e">
        <f t="shared" si="711"/>
        <v>#N/A</v>
      </c>
      <c r="Y290" s="108" t="e">
        <f t="shared" si="711"/>
        <v>#N/A</v>
      </c>
      <c r="Z290" s="108" t="e">
        <f t="shared" si="711"/>
        <v>#N/A</v>
      </c>
      <c r="AA290" s="108" t="e">
        <f t="shared" si="711"/>
        <v>#N/A</v>
      </c>
      <c r="AB290" s="108" t="e">
        <f t="shared" si="711"/>
        <v>#N/A</v>
      </c>
      <c r="AC290" s="281"/>
      <c r="AD290" s="241"/>
      <c r="AF290" s="241"/>
      <c r="AG290" s="622"/>
      <c r="AH290" s="612" t="str">
        <f ca="1">IF(OFFSET(AU290,0,Lang_Order*Lang__B5)="","",OFFSET(AU290,0,Lang_Order*Lang__B5))</f>
        <v xml:space="preserve">Finish sites within this Time Period (minus weekends) </v>
      </c>
      <c r="AI290" s="108" t="e">
        <f t="shared" ref="AI290:AN290" si="712">ROUNDUP((AI243*$E$239*DM4_ColdLife)/$D290,0)</f>
        <v>#N/A</v>
      </c>
      <c r="AJ290" s="108" t="e">
        <f t="shared" si="712"/>
        <v>#N/A</v>
      </c>
      <c r="AK290" s="108" t="e">
        <f t="shared" si="712"/>
        <v>#N/A</v>
      </c>
      <c r="AL290" s="108" t="e">
        <f t="shared" si="712"/>
        <v>#N/A</v>
      </c>
      <c r="AM290" s="108" t="e">
        <f t="shared" si="712"/>
        <v>#N/A</v>
      </c>
      <c r="AN290" s="108" t="e">
        <f t="shared" si="712"/>
        <v>#N/A</v>
      </c>
      <c r="AO290" s="281"/>
      <c r="AP290" s="241"/>
      <c r="AR290" s="403"/>
      <c r="AS290" s="403"/>
      <c r="AT290" s="403"/>
      <c r="AU290" s="403" t="s">
        <v>2991</v>
      </c>
      <c r="AV290" s="403"/>
      <c r="AW290" s="403" t="s">
        <v>2697</v>
      </c>
      <c r="AX290" s="403"/>
      <c r="AY290" s="403"/>
      <c r="AZ290" s="403"/>
      <c r="BA290" s="403" t="s">
        <v>2990</v>
      </c>
      <c r="BB290" s="403"/>
      <c r="BC290" s="403"/>
      <c r="BD290" s="403"/>
      <c r="BE290" s="403"/>
      <c r="BF290" s="403"/>
      <c r="BG290" s="403"/>
      <c r="BH290" s="403"/>
      <c r="BI290" s="403"/>
      <c r="BJ290" s="403" t="s">
        <v>2698</v>
      </c>
      <c r="BK290" s="403"/>
      <c r="BL290" s="403"/>
      <c r="BM290" s="403"/>
      <c r="BN290" s="403"/>
      <c r="BO290" s="403"/>
      <c r="BP290" s="403"/>
      <c r="BQ290" s="403"/>
      <c r="BR290" s="403"/>
      <c r="BS290" s="403"/>
      <c r="BT290" s="403"/>
      <c r="BU290" s="403"/>
      <c r="BV290" s="403"/>
      <c r="BW290" s="403"/>
      <c r="BX290" s="403"/>
      <c r="BY290" s="403"/>
      <c r="BZ290" s="403"/>
      <c r="CA290" s="403"/>
      <c r="CB290" s="403"/>
      <c r="CC290" s="403" t="s">
        <v>12406</v>
      </c>
      <c r="CD290" s="403"/>
      <c r="CE290" s="403" t="s">
        <v>5674</v>
      </c>
      <c r="CF290" s="403"/>
      <c r="CG290" s="403"/>
      <c r="CH290" s="403"/>
      <c r="CI290" s="403" t="s">
        <v>12407</v>
      </c>
      <c r="CJ290" s="403"/>
      <c r="CK290" s="403"/>
      <c r="CL290" s="403"/>
      <c r="CM290" s="403"/>
      <c r="CN290" s="403"/>
      <c r="CO290" s="403"/>
      <c r="CP290" s="403"/>
      <c r="CQ290" s="403"/>
      <c r="CR290" s="403" t="s">
        <v>12408</v>
      </c>
      <c r="CS290" s="403"/>
      <c r="CT290" s="403"/>
      <c r="CU290" s="403"/>
      <c r="CV290" s="403"/>
      <c r="CW290" s="403"/>
      <c r="CX290" s="403"/>
      <c r="CY290" s="403"/>
      <c r="CZ290" s="403"/>
      <c r="DA290" s="403"/>
      <c r="DB290" s="403"/>
      <c r="DC290" s="403"/>
      <c r="DD290" s="403"/>
      <c r="DE290" s="403"/>
      <c r="DF290" s="403"/>
      <c r="DG290" s="403"/>
      <c r="DH290" s="403"/>
      <c r="DI290" s="403"/>
      <c r="DJ290" s="403"/>
      <c r="DK290" s="403" t="s">
        <v>12409</v>
      </c>
      <c r="DL290" s="403"/>
      <c r="DM290" s="403" t="s">
        <v>12410</v>
      </c>
      <c r="DN290" s="403"/>
      <c r="DO290" s="403"/>
      <c r="DP290" s="403"/>
      <c r="DQ290" s="403" t="s">
        <v>12411</v>
      </c>
      <c r="DR290" s="403"/>
      <c r="DS290" s="403"/>
      <c r="DT290" s="403"/>
      <c r="DU290" s="403"/>
      <c r="DV290" s="403"/>
      <c r="DW290" s="403"/>
      <c r="DX290" s="403"/>
      <c r="DY290" s="403"/>
      <c r="DZ290" s="403" t="s">
        <v>12412</v>
      </c>
      <c r="EA290" s="403"/>
      <c r="EB290" s="403"/>
      <c r="EC290" s="403"/>
      <c r="ED290" s="403"/>
      <c r="EE290" s="403"/>
      <c r="EF290" s="403"/>
      <c r="EG290" s="403"/>
      <c r="EH290" s="403"/>
      <c r="EI290" s="403"/>
      <c r="EJ290" s="403"/>
      <c r="EK290" s="403"/>
      <c r="EL290" s="403"/>
      <c r="EM290" s="403"/>
      <c r="EN290" s="403"/>
      <c r="EO290" s="403"/>
      <c r="EP290" s="403"/>
      <c r="EQ290" s="403"/>
      <c r="ER290" s="403"/>
      <c r="ES290" s="403" t="s">
        <v>12413</v>
      </c>
      <c r="ET290" s="403"/>
      <c r="EU290" s="403" t="s">
        <v>6931</v>
      </c>
      <c r="EV290" s="403"/>
      <c r="EW290" s="403"/>
      <c r="EX290" s="403"/>
      <c r="EY290" s="403" t="s">
        <v>12414</v>
      </c>
      <c r="EZ290" s="403"/>
      <c r="FA290" s="403"/>
      <c r="FB290" s="403"/>
      <c r="FC290" s="403"/>
      <c r="FD290" s="403"/>
      <c r="FE290" s="403"/>
      <c r="FF290" s="403"/>
      <c r="FG290" s="403"/>
      <c r="FH290" s="403" t="s">
        <v>12415</v>
      </c>
      <c r="FI290" s="403"/>
      <c r="FJ290" s="403"/>
      <c r="FK290" s="403"/>
      <c r="FL290" s="403"/>
      <c r="FM290" s="403"/>
      <c r="FN290" s="403"/>
      <c r="FO290" s="403"/>
      <c r="FP290" s="403"/>
      <c r="FQ290" s="403"/>
      <c r="FR290" s="403"/>
      <c r="FS290" s="403"/>
      <c r="FT290" s="403"/>
      <c r="FU290" s="403"/>
      <c r="FV290" s="403"/>
      <c r="FW290" s="403"/>
      <c r="FX290" s="403"/>
      <c r="FY290" s="403"/>
      <c r="FZ290" s="403"/>
      <c r="GA290" s="403" t="s">
        <v>12416</v>
      </c>
      <c r="GB290" s="403"/>
      <c r="GC290" s="403" t="s">
        <v>6934</v>
      </c>
      <c r="GD290" s="403"/>
      <c r="GE290" s="403"/>
      <c r="GF290" s="403"/>
      <c r="GG290" s="403" t="s">
        <v>12417</v>
      </c>
      <c r="GH290" s="403"/>
      <c r="GI290" s="403"/>
      <c r="GJ290" s="403"/>
      <c r="GK290" s="403"/>
      <c r="GL290" s="403"/>
      <c r="GM290" s="403"/>
      <c r="GN290" s="403"/>
      <c r="GO290" s="403"/>
      <c r="GP290" s="403" t="s">
        <v>12418</v>
      </c>
      <c r="GQ290" s="403"/>
      <c r="GR290" s="403"/>
      <c r="GS290" s="403"/>
      <c r="GT290" s="403"/>
      <c r="GU290" s="403"/>
      <c r="GV290" s="403"/>
      <c r="GW290" s="403"/>
      <c r="GX290" s="403"/>
      <c r="GY290" s="403"/>
      <c r="GZ290" s="403"/>
      <c r="HA290" s="403"/>
      <c r="HB290" s="403"/>
      <c r="HC290" s="403"/>
      <c r="HD290" s="403"/>
      <c r="HE290" s="403"/>
      <c r="HF290" s="403"/>
      <c r="HG290" s="403"/>
      <c r="HH290" s="403"/>
      <c r="HI290" s="403" t="s">
        <v>12419</v>
      </c>
      <c r="HJ290" s="403"/>
      <c r="HK290" s="403" t="s">
        <v>6937</v>
      </c>
      <c r="HL290" s="403"/>
      <c r="HM290" s="403"/>
      <c r="HN290" s="403"/>
      <c r="HO290" s="403" t="s">
        <v>12420</v>
      </c>
      <c r="HP290" s="403"/>
      <c r="HQ290" s="403"/>
      <c r="HR290" s="403"/>
      <c r="HS290" s="403"/>
      <c r="HT290" s="403"/>
      <c r="HU290" s="403"/>
      <c r="HV290" s="403"/>
      <c r="HW290" s="403"/>
      <c r="HX290" s="403" t="s">
        <v>12421</v>
      </c>
      <c r="HY290" s="403"/>
      <c r="HZ290" s="403"/>
      <c r="IA290" s="403"/>
      <c r="IB290" s="403"/>
      <c r="IC290" s="403"/>
      <c r="ID290" s="403"/>
      <c r="IE290" s="403"/>
      <c r="IF290" s="403"/>
      <c r="IG290" s="403"/>
      <c r="IH290" s="403"/>
      <c r="II290" s="403"/>
      <c r="IJ290" s="403"/>
      <c r="IK290" s="403"/>
      <c r="IL290" s="403"/>
      <c r="IM290" s="403"/>
      <c r="IN290" s="403"/>
      <c r="IO290" s="403"/>
      <c r="IP290" s="403"/>
      <c r="IQ290" s="403" t="s">
        <v>12422</v>
      </c>
      <c r="IR290" s="403"/>
      <c r="IS290" s="403" t="s">
        <v>5721</v>
      </c>
      <c r="IT290" s="403"/>
      <c r="IU290" s="403"/>
      <c r="IV290" s="403"/>
      <c r="IW290" s="403" t="s">
        <v>12423</v>
      </c>
      <c r="IX290" s="403"/>
      <c r="IY290" s="403"/>
      <c r="IZ290" s="403"/>
      <c r="JA290" s="403"/>
      <c r="JB290" s="403"/>
      <c r="JC290" s="403"/>
      <c r="JD290" s="403"/>
      <c r="JE290" s="403"/>
      <c r="JF290" s="403" t="s">
        <v>12424</v>
      </c>
      <c r="JG290" s="403"/>
      <c r="JH290" s="403"/>
      <c r="JI290" s="403"/>
      <c r="JJ290" s="403"/>
      <c r="JK290" s="403"/>
      <c r="JL290" s="403"/>
      <c r="JM290" s="403"/>
      <c r="JN290" s="403"/>
      <c r="JO290" s="403"/>
      <c r="JP290" s="403"/>
      <c r="JQ290" s="403"/>
      <c r="JR290" s="403"/>
      <c r="JS290" s="403"/>
      <c r="JT290" s="403"/>
    </row>
    <row r="291" spans="1:280" s="150" customFormat="1" ht="12.75" x14ac:dyDescent="0.2">
      <c r="A291" s="85"/>
      <c r="B291" s="622"/>
      <c r="C291" s="270" t="str">
        <f ca="1">IF(OFFSET(AU291,0,Lang_Order*Lang__B5)="","",OFFSET(AU291,0,Lang_Order*Lang__B5))</f>
        <v>Override here to accelerate vaccination program</v>
      </c>
      <c r="D291" s="35"/>
      <c r="E291" s="85" t="str">
        <f ca="1">IF(OFFSET(AW291,0,Lang_Order*Lang__B5)="","",OFFSET(AW291,0,Lang_Order*Lang__B5))</f>
        <v>days</v>
      </c>
      <c r="R291" s="12" t="str">
        <f t="shared" ca="1" si="657"/>
        <v/>
      </c>
      <c r="S291" s="2"/>
      <c r="T291" s="241"/>
      <c r="U291" s="622"/>
      <c r="V291" s="2"/>
      <c r="AC291" s="281"/>
      <c r="AF291" s="241"/>
      <c r="AG291" s="622"/>
      <c r="AH291" s="2"/>
      <c r="AO291" s="281"/>
      <c r="AR291" s="403"/>
      <c r="AS291" s="403"/>
      <c r="AT291" s="403"/>
      <c r="AU291" s="403" t="s">
        <v>4564</v>
      </c>
      <c r="AV291" s="403"/>
      <c r="AW291" s="564" t="s">
        <v>2697</v>
      </c>
      <c r="AX291" s="403"/>
      <c r="AY291" s="403"/>
      <c r="AZ291" s="403"/>
      <c r="BA291" s="403"/>
      <c r="BB291" s="403"/>
      <c r="BC291" s="403"/>
      <c r="BD291" s="403"/>
      <c r="BE291" s="403"/>
      <c r="BF291" s="403"/>
      <c r="BG291" s="403"/>
      <c r="BH291" s="403"/>
      <c r="BI291" s="403"/>
      <c r="BJ291" s="403"/>
      <c r="BK291" s="403"/>
      <c r="BL291" s="403"/>
      <c r="BM291" s="403"/>
      <c r="BN291" s="403"/>
      <c r="BO291" s="403"/>
      <c r="BP291" s="403"/>
      <c r="BQ291" s="403"/>
      <c r="BR291" s="403"/>
      <c r="BS291" s="403"/>
      <c r="BT291" s="403"/>
      <c r="BU291" s="403"/>
      <c r="BV291" s="403"/>
      <c r="BW291" s="403"/>
      <c r="BX291" s="403"/>
      <c r="BY291" s="403"/>
      <c r="BZ291" s="403"/>
      <c r="CA291" s="403"/>
      <c r="CB291" s="403"/>
      <c r="CC291" s="403" t="s">
        <v>13251</v>
      </c>
      <c r="CD291" s="403"/>
      <c r="CE291" s="564" t="s">
        <v>5674</v>
      </c>
      <c r="CF291" s="403"/>
      <c r="CG291" s="403"/>
      <c r="CH291" s="403"/>
      <c r="CI291" s="403"/>
      <c r="CJ291" s="403"/>
      <c r="CK291" s="403"/>
      <c r="CL291" s="403"/>
      <c r="CM291" s="403"/>
      <c r="CN291" s="403"/>
      <c r="CO291" s="403"/>
      <c r="CP291" s="403"/>
      <c r="CQ291" s="403"/>
      <c r="CR291" s="403"/>
      <c r="CS291" s="403"/>
      <c r="CT291" s="403"/>
      <c r="CU291" s="403"/>
      <c r="CV291" s="403"/>
      <c r="CW291" s="403"/>
      <c r="CX291" s="403"/>
      <c r="CY291" s="403"/>
      <c r="CZ291" s="403"/>
      <c r="DA291" s="403"/>
      <c r="DB291" s="403"/>
      <c r="DC291" s="403"/>
      <c r="DD291" s="403"/>
      <c r="DE291" s="403"/>
      <c r="DF291" s="403"/>
      <c r="DG291" s="403"/>
      <c r="DH291" s="403"/>
      <c r="DI291" s="403"/>
      <c r="DJ291" s="403"/>
      <c r="DK291" s="403" t="s">
        <v>13252</v>
      </c>
      <c r="DL291" s="403"/>
      <c r="DM291" s="564" t="s">
        <v>12410</v>
      </c>
      <c r="DN291" s="403"/>
      <c r="DO291" s="403"/>
      <c r="DP291" s="403"/>
      <c r="DQ291" s="403"/>
      <c r="DR291" s="403"/>
      <c r="DS291" s="403"/>
      <c r="DT291" s="403"/>
      <c r="DU291" s="403"/>
      <c r="DV291" s="403"/>
      <c r="DW291" s="403"/>
      <c r="DX291" s="403"/>
      <c r="DY291" s="403"/>
      <c r="DZ291" s="403"/>
      <c r="EA291" s="403"/>
      <c r="EB291" s="403"/>
      <c r="EC291" s="403"/>
      <c r="ED291" s="403"/>
      <c r="EE291" s="403"/>
      <c r="EF291" s="403"/>
      <c r="EG291" s="403"/>
      <c r="EH291" s="403"/>
      <c r="EI291" s="403"/>
      <c r="EJ291" s="403"/>
      <c r="EK291" s="403"/>
      <c r="EL291" s="403"/>
      <c r="EM291" s="403"/>
      <c r="EN291" s="403"/>
      <c r="EO291" s="403"/>
      <c r="EP291" s="403"/>
      <c r="EQ291" s="403"/>
      <c r="ER291" s="403"/>
      <c r="ES291" s="403" t="s">
        <v>13253</v>
      </c>
      <c r="ET291" s="403"/>
      <c r="EU291" s="564" t="s">
        <v>6931</v>
      </c>
      <c r="EV291" s="403"/>
      <c r="EW291" s="403"/>
      <c r="EX291" s="403"/>
      <c r="EY291" s="403"/>
      <c r="EZ291" s="403"/>
      <c r="FA291" s="403"/>
      <c r="FB291" s="403"/>
      <c r="FC291" s="403"/>
      <c r="FD291" s="403"/>
      <c r="FE291" s="403"/>
      <c r="FF291" s="403"/>
      <c r="FG291" s="403"/>
      <c r="FH291" s="403"/>
      <c r="FI291" s="403"/>
      <c r="FJ291" s="403"/>
      <c r="FK291" s="403"/>
      <c r="FL291" s="403"/>
      <c r="FM291" s="403"/>
      <c r="FN291" s="403"/>
      <c r="FO291" s="403"/>
      <c r="FP291" s="403"/>
      <c r="FQ291" s="403"/>
      <c r="FR291" s="403"/>
      <c r="FS291" s="403"/>
      <c r="FT291" s="403"/>
      <c r="FU291" s="403"/>
      <c r="FV291" s="403"/>
      <c r="FW291" s="403"/>
      <c r="FX291" s="403"/>
      <c r="FY291" s="403"/>
      <c r="FZ291" s="403"/>
      <c r="GA291" s="403" t="s">
        <v>13254</v>
      </c>
      <c r="GB291" s="403"/>
      <c r="GC291" s="564" t="s">
        <v>6934</v>
      </c>
      <c r="GD291" s="403"/>
      <c r="GE291" s="403"/>
      <c r="GF291" s="403"/>
      <c r="GG291" s="403"/>
      <c r="GH291" s="403"/>
      <c r="GI291" s="403"/>
      <c r="GJ291" s="403"/>
      <c r="GK291" s="403"/>
      <c r="GL291" s="403"/>
      <c r="GM291" s="403"/>
      <c r="GN291" s="403"/>
      <c r="GO291" s="403"/>
      <c r="GP291" s="403"/>
      <c r="GQ291" s="403"/>
      <c r="GR291" s="403"/>
      <c r="GS291" s="403"/>
      <c r="GT291" s="403"/>
      <c r="GU291" s="403"/>
      <c r="GV291" s="403"/>
      <c r="GW291" s="403"/>
      <c r="GX291" s="403"/>
      <c r="GY291" s="403"/>
      <c r="GZ291" s="403"/>
      <c r="HA291" s="403"/>
      <c r="HB291" s="403"/>
      <c r="HC291" s="403"/>
      <c r="HD291" s="403"/>
      <c r="HE291" s="403"/>
      <c r="HF291" s="403"/>
      <c r="HG291" s="403"/>
      <c r="HH291" s="403"/>
      <c r="HI291" s="403" t="s">
        <v>13255</v>
      </c>
      <c r="HJ291" s="403"/>
      <c r="HK291" s="564" t="s">
        <v>6937</v>
      </c>
      <c r="HL291" s="403"/>
      <c r="HM291" s="403"/>
      <c r="HN291" s="403"/>
      <c r="HO291" s="403"/>
      <c r="HP291" s="403"/>
      <c r="HQ291" s="403"/>
      <c r="HR291" s="403"/>
      <c r="HS291" s="403"/>
      <c r="HT291" s="403"/>
      <c r="HU291" s="403"/>
      <c r="HV291" s="403"/>
      <c r="HW291" s="403"/>
      <c r="HX291" s="403"/>
      <c r="HY291" s="403"/>
      <c r="HZ291" s="403"/>
      <c r="IA291" s="403"/>
      <c r="IB291" s="403"/>
      <c r="IC291" s="403"/>
      <c r="ID291" s="403"/>
      <c r="IE291" s="403"/>
      <c r="IF291" s="403"/>
      <c r="IG291" s="403"/>
      <c r="IH291" s="403"/>
      <c r="II291" s="403"/>
      <c r="IJ291" s="403"/>
      <c r="IK291" s="403"/>
      <c r="IL291" s="403"/>
      <c r="IM291" s="403"/>
      <c r="IN291" s="403"/>
      <c r="IO291" s="403"/>
      <c r="IP291" s="403"/>
      <c r="IQ291" s="403" t="s">
        <v>13256</v>
      </c>
      <c r="IR291" s="403"/>
      <c r="IS291" s="564" t="s">
        <v>5721</v>
      </c>
      <c r="IT291" s="403"/>
      <c r="IU291" s="403"/>
      <c r="IV291" s="403"/>
      <c r="IW291" s="403"/>
      <c r="IX291" s="403"/>
      <c r="IY291" s="403"/>
      <c r="IZ291" s="403"/>
      <c r="JA291" s="403"/>
      <c r="JB291" s="403"/>
      <c r="JC291" s="403"/>
      <c r="JD291" s="403"/>
      <c r="JE291" s="403"/>
      <c r="JF291" s="403"/>
      <c r="JG291" s="403"/>
      <c r="JH291" s="403"/>
      <c r="JI291" s="403"/>
      <c r="JJ291" s="403"/>
      <c r="JK291" s="403"/>
      <c r="JL291" s="403"/>
      <c r="JM291" s="403"/>
      <c r="JN291" s="403"/>
      <c r="JO291" s="403"/>
      <c r="JP291" s="403"/>
      <c r="JQ291" s="403"/>
      <c r="JR291" s="403"/>
      <c r="JS291" s="403"/>
      <c r="JT291" s="403"/>
    </row>
    <row r="292" spans="1:280" s="15" customFormat="1" ht="12.75" x14ac:dyDescent="0.2">
      <c r="A292" s="9"/>
      <c r="B292" s="624" t="str">
        <f ca="1">IF(OFFSET(AT292,0,Lang_Order*Lang__B5)="","",OFFSET(AT292,0,Lang_Order*Lang__B5))</f>
        <v>Local Demand Generation and Communications</v>
      </c>
      <c r="C292" s="23"/>
      <c r="E292" s="26"/>
      <c r="F292" s="26"/>
      <c r="G292" s="26"/>
      <c r="H292" s="26"/>
      <c r="I292" s="26"/>
      <c r="P292" s="26"/>
      <c r="Q292" s="26"/>
      <c r="R292" s="12" t="str">
        <f t="shared" ca="1" si="657"/>
        <v/>
      </c>
      <c r="S292" s="2"/>
      <c r="T292" s="241"/>
      <c r="U292" s="624" t="str">
        <f ca="1">IF(OFFSET(AT292,0,Lang_Order*Lang__B5)="","",OFFSET(AT292,0,Lang_Order*Lang__B5))</f>
        <v>Local Demand Generation and Communications</v>
      </c>
      <c r="V292" s="72"/>
      <c r="AC292" s="26"/>
      <c r="AF292" s="241"/>
      <c r="AG292" s="624" t="str">
        <f ca="1">IF(OFFSET(AT292,0,Lang_Order*Lang__B5)="","",OFFSET(AT292,0,Lang_Order*Lang__B5))</f>
        <v>Local Demand Generation and Communications</v>
      </c>
      <c r="AH292" s="72"/>
      <c r="AO292" s="26"/>
      <c r="AR292" s="403"/>
      <c r="AS292" s="403"/>
      <c r="AT292" s="403" t="s">
        <v>1575</v>
      </c>
      <c r="AU292" s="403"/>
      <c r="AV292" s="403"/>
      <c r="AW292" s="403"/>
      <c r="AX292" s="403"/>
      <c r="AY292" s="403"/>
      <c r="AZ292" s="403"/>
      <c r="BA292" s="403"/>
      <c r="BB292" s="403"/>
      <c r="BC292" s="403"/>
      <c r="BD292" s="403"/>
      <c r="BE292" s="403"/>
      <c r="BF292" s="403"/>
      <c r="BG292" s="403"/>
      <c r="BH292" s="403"/>
      <c r="BI292" s="403"/>
      <c r="BJ292" s="403"/>
      <c r="BK292" s="403"/>
      <c r="BL292" s="403"/>
      <c r="BM292" s="403"/>
      <c r="BN292" s="403"/>
      <c r="BO292" s="403"/>
      <c r="BP292" s="403"/>
      <c r="BQ292" s="403"/>
      <c r="BR292" s="403"/>
      <c r="BS292" s="403"/>
      <c r="BT292" s="403"/>
      <c r="BU292" s="403"/>
      <c r="BV292" s="403"/>
      <c r="BW292" s="403"/>
      <c r="BX292" s="403"/>
      <c r="BY292" s="403"/>
      <c r="BZ292" s="403"/>
      <c r="CA292" s="403"/>
      <c r="CB292" s="403" t="s">
        <v>12017</v>
      </c>
      <c r="CC292" s="403"/>
      <c r="CD292" s="403"/>
      <c r="CE292" s="403"/>
      <c r="CF292" s="403"/>
      <c r="CG292" s="403"/>
      <c r="CH292" s="403"/>
      <c r="CI292" s="403"/>
      <c r="CJ292" s="403"/>
      <c r="CK292" s="403"/>
      <c r="CL292" s="403"/>
      <c r="CM292" s="403"/>
      <c r="CN292" s="403"/>
      <c r="CO292" s="403"/>
      <c r="CP292" s="403"/>
      <c r="CQ292" s="403"/>
      <c r="CR292" s="403"/>
      <c r="CS292" s="403"/>
      <c r="CT292" s="403"/>
      <c r="CU292" s="403"/>
      <c r="CV292" s="403"/>
      <c r="CW292" s="403"/>
      <c r="CX292" s="403"/>
      <c r="CY292" s="403"/>
      <c r="CZ292" s="403"/>
      <c r="DA292" s="403"/>
      <c r="DB292" s="403"/>
      <c r="DC292" s="403"/>
      <c r="DD292" s="403"/>
      <c r="DE292" s="403"/>
      <c r="DF292" s="403"/>
      <c r="DG292" s="403"/>
      <c r="DH292" s="403"/>
      <c r="DI292" s="403"/>
      <c r="DJ292" s="403" t="s">
        <v>11627</v>
      </c>
      <c r="DK292" s="403"/>
      <c r="DL292" s="403"/>
      <c r="DM292" s="403"/>
      <c r="DN292" s="403"/>
      <c r="DO292" s="403"/>
      <c r="DP292" s="403"/>
      <c r="DQ292" s="403"/>
      <c r="DR292" s="403"/>
      <c r="DS292" s="403"/>
      <c r="DT292" s="403"/>
      <c r="DU292" s="403"/>
      <c r="DV292" s="403"/>
      <c r="DW292" s="403"/>
      <c r="DX292" s="403"/>
      <c r="DY292" s="403"/>
      <c r="DZ292" s="403"/>
      <c r="EA292" s="403"/>
      <c r="EB292" s="403"/>
      <c r="EC292" s="403"/>
      <c r="ED292" s="403"/>
      <c r="EE292" s="403"/>
      <c r="EF292" s="403"/>
      <c r="EG292" s="403"/>
      <c r="EH292" s="403"/>
      <c r="EI292" s="403"/>
      <c r="EJ292" s="403"/>
      <c r="EK292" s="403"/>
      <c r="EL292" s="403"/>
      <c r="EM292" s="403"/>
      <c r="EN292" s="403"/>
      <c r="EO292" s="403"/>
      <c r="EP292" s="403"/>
      <c r="EQ292" s="403"/>
      <c r="ER292" s="403" t="s">
        <v>11628</v>
      </c>
      <c r="ES292" s="403"/>
      <c r="ET292" s="403"/>
      <c r="EU292" s="403"/>
      <c r="EV292" s="403"/>
      <c r="EW292" s="403"/>
      <c r="EX292" s="403"/>
      <c r="EY292" s="403"/>
      <c r="EZ292" s="403"/>
      <c r="FA292" s="403"/>
      <c r="FB292" s="403"/>
      <c r="FC292" s="403"/>
      <c r="FD292" s="403"/>
      <c r="FE292" s="403"/>
      <c r="FF292" s="403"/>
      <c r="FG292" s="403"/>
      <c r="FH292" s="403"/>
      <c r="FI292" s="403"/>
      <c r="FJ292" s="403"/>
      <c r="FK292" s="403"/>
      <c r="FL292" s="403"/>
      <c r="FM292" s="403"/>
      <c r="FN292" s="403"/>
      <c r="FO292" s="403"/>
      <c r="FP292" s="403"/>
      <c r="FQ292" s="403"/>
      <c r="FR292" s="403"/>
      <c r="FS292" s="403"/>
      <c r="FT292" s="403"/>
      <c r="FU292" s="403"/>
      <c r="FV292" s="403"/>
      <c r="FW292" s="403"/>
      <c r="FX292" s="403"/>
      <c r="FY292" s="403"/>
      <c r="FZ292" s="403" t="s">
        <v>11629</v>
      </c>
      <c r="GA292" s="403"/>
      <c r="GB292" s="403"/>
      <c r="GC292" s="403"/>
      <c r="GD292" s="403"/>
      <c r="GE292" s="403"/>
      <c r="GF292" s="403"/>
      <c r="GG292" s="403"/>
      <c r="GH292" s="403"/>
      <c r="GI292" s="403"/>
      <c r="GJ292" s="403"/>
      <c r="GK292" s="403"/>
      <c r="GL292" s="403"/>
      <c r="GM292" s="403"/>
      <c r="GN292" s="403"/>
      <c r="GO292" s="403"/>
      <c r="GP292" s="403"/>
      <c r="GQ292" s="403"/>
      <c r="GR292" s="403"/>
      <c r="GS292" s="403"/>
      <c r="GT292" s="403"/>
      <c r="GU292" s="403"/>
      <c r="GV292" s="403"/>
      <c r="GW292" s="403"/>
      <c r="GX292" s="403"/>
      <c r="GY292" s="403"/>
      <c r="GZ292" s="403"/>
      <c r="HA292" s="403"/>
      <c r="HB292" s="403"/>
      <c r="HC292" s="403"/>
      <c r="HD292" s="403"/>
      <c r="HE292" s="403"/>
      <c r="HF292" s="403"/>
      <c r="HG292" s="403"/>
      <c r="HH292" s="403" t="s">
        <v>11630</v>
      </c>
      <c r="HI292" s="403"/>
      <c r="HJ292" s="403"/>
      <c r="HK292" s="403"/>
      <c r="HL292" s="403"/>
      <c r="HM292" s="403"/>
      <c r="HN292" s="403"/>
      <c r="HO292" s="403"/>
      <c r="HP292" s="403"/>
      <c r="HQ292" s="403"/>
      <c r="HR292" s="403"/>
      <c r="HS292" s="403"/>
      <c r="HT292" s="403"/>
      <c r="HU292" s="403"/>
      <c r="HV292" s="403"/>
      <c r="HW292" s="403"/>
      <c r="HX292" s="403"/>
      <c r="HY292" s="403"/>
      <c r="HZ292" s="403"/>
      <c r="IA292" s="403"/>
      <c r="IB292" s="403"/>
      <c r="IC292" s="403"/>
      <c r="ID292" s="403"/>
      <c r="IE292" s="403"/>
      <c r="IF292" s="403"/>
      <c r="IG292" s="403"/>
      <c r="IH292" s="403"/>
      <c r="II292" s="403"/>
      <c r="IJ292" s="403"/>
      <c r="IK292" s="403"/>
      <c r="IL292" s="403"/>
      <c r="IM292" s="403"/>
      <c r="IN292" s="403"/>
      <c r="IO292" s="403"/>
      <c r="IP292" s="403" t="s">
        <v>11631</v>
      </c>
      <c r="IQ292" s="403"/>
      <c r="IR292" s="403"/>
      <c r="IS292" s="403"/>
      <c r="IT292" s="403"/>
      <c r="IU292" s="403"/>
      <c r="IV292" s="403"/>
      <c r="IW292" s="403"/>
      <c r="IX292" s="403"/>
      <c r="IY292" s="403"/>
      <c r="IZ292" s="403"/>
      <c r="JA292" s="403"/>
      <c r="JB292" s="403"/>
      <c r="JC292" s="403"/>
      <c r="JD292" s="403"/>
      <c r="JE292" s="403"/>
      <c r="JF292" s="403"/>
      <c r="JG292" s="403"/>
      <c r="JH292" s="403"/>
      <c r="JI292" s="403"/>
      <c r="JJ292" s="403"/>
      <c r="JK292" s="403"/>
      <c r="JL292" s="403"/>
      <c r="JM292" s="403"/>
      <c r="JN292" s="403"/>
      <c r="JO292" s="403"/>
      <c r="JP292" s="403"/>
      <c r="JQ292" s="403"/>
      <c r="JR292" s="403"/>
      <c r="JS292" s="403"/>
      <c r="JT292" s="403"/>
    </row>
    <row r="293" spans="1:280" s="15" customFormat="1" ht="12.75" x14ac:dyDescent="0.2">
      <c r="A293" s="9"/>
      <c r="B293" s="624"/>
      <c r="C293" s="23" t="str">
        <f ca="1">IF(OFFSET(AU293,0,Lang_Order*Lang__B5)="","",OFFSET(AU293,0,Lang_Order*Lang__B5))</f>
        <v>Per Site</v>
      </c>
      <c r="E293" s="26"/>
      <c r="F293" s="26"/>
      <c r="G293" s="26"/>
      <c r="H293" s="26"/>
      <c r="I293" s="26"/>
      <c r="J293" s="63" t="e">
        <f t="shared" ref="J293:O293" si="713">RBF_DM4*J243*AUCs_Comms_PerSite</f>
        <v>#N/A</v>
      </c>
      <c r="K293" s="63" t="e">
        <f t="shared" si="713"/>
        <v>#N/A</v>
      </c>
      <c r="L293" s="63" t="e">
        <f t="shared" si="713"/>
        <v>#N/A</v>
      </c>
      <c r="M293" s="63" t="e">
        <f t="shared" si="713"/>
        <v>#N/A</v>
      </c>
      <c r="N293" s="63" t="e">
        <f t="shared" si="713"/>
        <v>#N/A</v>
      </c>
      <c r="O293" s="63" t="e">
        <f t="shared" si="713"/>
        <v>#N/A</v>
      </c>
      <c r="P293" s="83" t="e">
        <f>SUM(J293:O293)</f>
        <v>#N/A</v>
      </c>
      <c r="Q293" s="26"/>
      <c r="R293" s="12" t="str">
        <f t="shared" ca="1" si="657"/>
        <v/>
      </c>
      <c r="S293" s="2"/>
      <c r="T293" s="241"/>
      <c r="U293" s="624"/>
      <c r="V293" s="72" t="str">
        <f ca="1">IF(OFFSET(AU293,0,Lang_Order*Lang__B5)="","",OFFSET(AU293,0,Lang_Order*Lang__B5))</f>
        <v>Per Site</v>
      </c>
      <c r="W293" s="63" t="e">
        <f t="shared" ref="W293:AB293" si="714">RBF_DM4*W243*AUCs_Comms_PerSite</f>
        <v>#N/A</v>
      </c>
      <c r="X293" s="63" t="e">
        <f t="shared" si="714"/>
        <v>#N/A</v>
      </c>
      <c r="Y293" s="63" t="e">
        <f t="shared" si="714"/>
        <v>#N/A</v>
      </c>
      <c r="Z293" s="63" t="e">
        <f t="shared" si="714"/>
        <v>#N/A</v>
      </c>
      <c r="AA293" s="63" t="e">
        <f t="shared" si="714"/>
        <v>#N/A</v>
      </c>
      <c r="AB293" s="63" t="e">
        <f t="shared" si="714"/>
        <v>#N/A</v>
      </c>
      <c r="AC293" s="83" t="e">
        <f>SUM(W293:AB293)</f>
        <v>#N/A</v>
      </c>
      <c r="AE293" s="72" t="s">
        <v>3042</v>
      </c>
      <c r="AF293" s="241"/>
      <c r="AG293" s="624"/>
      <c r="AH293" s="72" t="str">
        <f ca="1">IF(OFFSET(AU293,0,Lang_Order*Lang__B5)="","",OFFSET(AU293,0,Lang_Order*Lang__B5))</f>
        <v>Per Site</v>
      </c>
      <c r="AI293" s="63" t="e">
        <f t="shared" ref="AI293:AN293" si="715">RBF_DM4*AI243*AUCs_Comms_PerSite</f>
        <v>#N/A</v>
      </c>
      <c r="AJ293" s="63" t="e">
        <f t="shared" si="715"/>
        <v>#N/A</v>
      </c>
      <c r="AK293" s="63" t="e">
        <f t="shared" si="715"/>
        <v>#N/A</v>
      </c>
      <c r="AL293" s="63" t="e">
        <f t="shared" si="715"/>
        <v>#N/A</v>
      </c>
      <c r="AM293" s="63" t="e">
        <f t="shared" si="715"/>
        <v>#N/A</v>
      </c>
      <c r="AN293" s="63" t="e">
        <f t="shared" si="715"/>
        <v>#N/A</v>
      </c>
      <c r="AO293" s="83" t="e">
        <f>SUM(AI293:AN293)</f>
        <v>#N/A</v>
      </c>
      <c r="AR293" s="403"/>
      <c r="AS293" s="403"/>
      <c r="AT293" s="403"/>
      <c r="AU293" s="403" t="s">
        <v>1580</v>
      </c>
      <c r="AV293" s="403"/>
      <c r="AW293" s="403"/>
      <c r="AX293" s="403"/>
      <c r="AY293" s="403"/>
      <c r="AZ293" s="403"/>
      <c r="BA293" s="403"/>
      <c r="BB293" s="403"/>
      <c r="BC293" s="403"/>
      <c r="BD293" s="403"/>
      <c r="BE293" s="403"/>
      <c r="BF293" s="403"/>
      <c r="BG293" s="403"/>
      <c r="BH293" s="403"/>
      <c r="BI293" s="403"/>
      <c r="BJ293" s="403"/>
      <c r="BK293" s="403"/>
      <c r="BL293" s="403"/>
      <c r="BM293" s="403"/>
      <c r="BN293" s="403"/>
      <c r="BO293" s="403"/>
      <c r="BP293" s="403"/>
      <c r="BQ293" s="403"/>
      <c r="BR293" s="403"/>
      <c r="BS293" s="403"/>
      <c r="BT293" s="403"/>
      <c r="BU293" s="403"/>
      <c r="BV293" s="403"/>
      <c r="BW293" s="403"/>
      <c r="BX293" s="403"/>
      <c r="BY293" s="403"/>
      <c r="BZ293" s="403"/>
      <c r="CA293" s="403"/>
      <c r="CB293" s="403"/>
      <c r="CC293" s="403" t="s">
        <v>8457</v>
      </c>
      <c r="CD293" s="403"/>
      <c r="CE293" s="403"/>
      <c r="CF293" s="403"/>
      <c r="CG293" s="403"/>
      <c r="CH293" s="403"/>
      <c r="CI293" s="403"/>
      <c r="CJ293" s="403"/>
      <c r="CK293" s="403"/>
      <c r="CL293" s="403"/>
      <c r="CM293" s="403"/>
      <c r="CN293" s="403"/>
      <c r="CO293" s="403"/>
      <c r="CP293" s="403"/>
      <c r="CQ293" s="403"/>
      <c r="CR293" s="403"/>
      <c r="CS293" s="403"/>
      <c r="CT293" s="403"/>
      <c r="CU293" s="403"/>
      <c r="CV293" s="403"/>
      <c r="CW293" s="403"/>
      <c r="CX293" s="403"/>
      <c r="CY293" s="403"/>
      <c r="CZ293" s="403"/>
      <c r="DA293" s="403"/>
      <c r="DB293" s="403"/>
      <c r="DC293" s="403"/>
      <c r="DD293" s="403"/>
      <c r="DE293" s="403"/>
      <c r="DF293" s="403"/>
      <c r="DG293" s="403"/>
      <c r="DH293" s="403"/>
      <c r="DI293" s="403"/>
      <c r="DJ293" s="403"/>
      <c r="DK293" s="403" t="s">
        <v>9147</v>
      </c>
      <c r="DL293" s="403"/>
      <c r="DM293" s="403"/>
      <c r="DN293" s="403"/>
      <c r="DO293" s="403"/>
      <c r="DP293" s="403"/>
      <c r="DQ293" s="403"/>
      <c r="DR293" s="403"/>
      <c r="DS293" s="403"/>
      <c r="DT293" s="403"/>
      <c r="DU293" s="403"/>
      <c r="DV293" s="403"/>
      <c r="DW293" s="403"/>
      <c r="DX293" s="403"/>
      <c r="DY293" s="403"/>
      <c r="DZ293" s="403"/>
      <c r="EA293" s="403"/>
      <c r="EB293" s="403"/>
      <c r="EC293" s="403"/>
      <c r="ED293" s="403"/>
      <c r="EE293" s="403"/>
      <c r="EF293" s="403"/>
      <c r="EG293" s="403"/>
      <c r="EH293" s="403"/>
      <c r="EI293" s="403"/>
      <c r="EJ293" s="403"/>
      <c r="EK293" s="403"/>
      <c r="EL293" s="403"/>
      <c r="EM293" s="403"/>
      <c r="EN293" s="403"/>
      <c r="EO293" s="403"/>
      <c r="EP293" s="403"/>
      <c r="EQ293" s="403"/>
      <c r="ER293" s="403"/>
      <c r="ES293" s="403" t="s">
        <v>8579</v>
      </c>
      <c r="ET293" s="403"/>
      <c r="EU293" s="403"/>
      <c r="EV293" s="403"/>
      <c r="EW293" s="403"/>
      <c r="EX293" s="403"/>
      <c r="EY293" s="403"/>
      <c r="EZ293" s="403"/>
      <c r="FA293" s="403"/>
      <c r="FB293" s="403"/>
      <c r="FC293" s="403"/>
      <c r="FD293" s="403"/>
      <c r="FE293" s="403"/>
      <c r="FF293" s="403"/>
      <c r="FG293" s="403"/>
      <c r="FH293" s="403"/>
      <c r="FI293" s="403"/>
      <c r="FJ293" s="403"/>
      <c r="FK293" s="403"/>
      <c r="FL293" s="403"/>
      <c r="FM293" s="403"/>
      <c r="FN293" s="403"/>
      <c r="FO293" s="403"/>
      <c r="FP293" s="403"/>
      <c r="FQ293" s="403"/>
      <c r="FR293" s="403"/>
      <c r="FS293" s="403"/>
      <c r="FT293" s="403"/>
      <c r="FU293" s="403"/>
      <c r="FV293" s="403"/>
      <c r="FW293" s="403"/>
      <c r="FX293" s="403"/>
      <c r="FY293" s="403"/>
      <c r="FZ293" s="403"/>
      <c r="GA293" s="403" t="s">
        <v>8463</v>
      </c>
      <c r="GB293" s="403"/>
      <c r="GC293" s="403"/>
      <c r="GD293" s="403"/>
      <c r="GE293" s="403"/>
      <c r="GF293" s="403"/>
      <c r="GG293" s="403"/>
      <c r="GH293" s="403"/>
      <c r="GI293" s="403"/>
      <c r="GJ293" s="403"/>
      <c r="GK293" s="403"/>
      <c r="GL293" s="403"/>
      <c r="GM293" s="403"/>
      <c r="GN293" s="403"/>
      <c r="GO293" s="403"/>
      <c r="GP293" s="403"/>
      <c r="GQ293" s="403"/>
      <c r="GR293" s="403"/>
      <c r="GS293" s="403"/>
      <c r="GT293" s="403"/>
      <c r="GU293" s="403"/>
      <c r="GV293" s="403"/>
      <c r="GW293" s="403"/>
      <c r="GX293" s="403"/>
      <c r="GY293" s="403"/>
      <c r="GZ293" s="403"/>
      <c r="HA293" s="403"/>
      <c r="HB293" s="403"/>
      <c r="HC293" s="403"/>
      <c r="HD293" s="403"/>
      <c r="HE293" s="403"/>
      <c r="HF293" s="403"/>
      <c r="HG293" s="403"/>
      <c r="HH293" s="403"/>
      <c r="HI293" s="403" t="s">
        <v>8465</v>
      </c>
      <c r="HJ293" s="403"/>
      <c r="HK293" s="403"/>
      <c r="HL293" s="403"/>
      <c r="HM293" s="403"/>
      <c r="HN293" s="403"/>
      <c r="HO293" s="403"/>
      <c r="HP293" s="403"/>
      <c r="HQ293" s="403"/>
      <c r="HR293" s="403"/>
      <c r="HS293" s="403"/>
      <c r="HT293" s="403"/>
      <c r="HU293" s="403"/>
      <c r="HV293" s="403"/>
      <c r="HW293" s="403"/>
      <c r="HX293" s="403"/>
      <c r="HY293" s="403"/>
      <c r="HZ293" s="403"/>
      <c r="IA293" s="403"/>
      <c r="IB293" s="403"/>
      <c r="IC293" s="403"/>
      <c r="ID293" s="403"/>
      <c r="IE293" s="403"/>
      <c r="IF293" s="403"/>
      <c r="IG293" s="403"/>
      <c r="IH293" s="403"/>
      <c r="II293" s="403"/>
      <c r="IJ293" s="403"/>
      <c r="IK293" s="403"/>
      <c r="IL293" s="403"/>
      <c r="IM293" s="403"/>
      <c r="IN293" s="403"/>
      <c r="IO293" s="403"/>
      <c r="IP293" s="403"/>
      <c r="IQ293" s="403" t="s">
        <v>8467</v>
      </c>
      <c r="IR293" s="403"/>
      <c r="IS293" s="403"/>
      <c r="IT293" s="403"/>
      <c r="IU293" s="403"/>
      <c r="IV293" s="403"/>
      <c r="IW293" s="403"/>
      <c r="IX293" s="403"/>
      <c r="IY293" s="403"/>
      <c r="IZ293" s="403"/>
      <c r="JA293" s="403"/>
      <c r="JB293" s="403"/>
      <c r="JC293" s="403"/>
      <c r="JD293" s="403"/>
      <c r="JE293" s="403"/>
      <c r="JF293" s="403"/>
      <c r="JG293" s="403"/>
      <c r="JH293" s="403"/>
      <c r="JI293" s="403"/>
      <c r="JJ293" s="403"/>
      <c r="JK293" s="403"/>
      <c r="JL293" s="403"/>
      <c r="JM293" s="403"/>
      <c r="JN293" s="403"/>
      <c r="JO293" s="403"/>
      <c r="JP293" s="403"/>
      <c r="JQ293" s="403"/>
      <c r="JR293" s="403"/>
      <c r="JS293" s="403"/>
      <c r="JT293" s="403"/>
    </row>
    <row r="294" spans="1:280" s="15" customFormat="1" ht="12.75" x14ac:dyDescent="0.2">
      <c r="A294" s="9"/>
      <c r="B294" s="624"/>
      <c r="C294" s="335" t="str">
        <f ca="1">IF(OFFSET(AU294,0,Lang_Order*Lang__B5)="","",OFFSET(AU294,0,Lang_Order*Lang__B5))</f>
        <v>Per Person Eligible for Vaccination (Voluntary Uptake)</v>
      </c>
      <c r="E294" s="26"/>
      <c r="F294" s="26"/>
      <c r="G294" s="26"/>
      <c r="H294" s="26"/>
      <c r="I294" s="26"/>
      <c r="J294" s="63" t="e">
        <f>RBF_DM4*AUCs_Comms_PerPerson_Vol*'B1. Target Population'!D160</f>
        <v>#N/A</v>
      </c>
      <c r="K294" s="63" t="e">
        <f>RBF_DM4*AUCs_Comms_PerPerson_Vol*'B1. Target Population'!E160</f>
        <v>#N/A</v>
      </c>
      <c r="L294" s="63" t="e">
        <f>RBF_DM4*AUCs_Comms_PerPerson_Vol*'B1. Target Population'!F160</f>
        <v>#N/A</v>
      </c>
      <c r="M294" s="63" t="e">
        <f>RBF_DM4*AUCs_Comms_PerPerson_Vol*'B1. Target Population'!G160</f>
        <v>#N/A</v>
      </c>
      <c r="N294" s="63" t="e">
        <f>RBF_DM4*AUCs_Comms_PerPerson_Vol*'B1. Target Population'!H160</f>
        <v>#N/A</v>
      </c>
      <c r="O294" s="63" t="e">
        <f>RBF_DM4*AUCs_Comms_PerPerson_Vol*'B1. Target Population'!I160</f>
        <v>#N/A</v>
      </c>
      <c r="P294" s="83" t="e">
        <f>SUM(J294:O294)</f>
        <v>#N/A</v>
      </c>
      <c r="Q294" s="83"/>
      <c r="R294" s="12" t="str">
        <f t="shared" ca="1" si="657"/>
        <v/>
      </c>
      <c r="S294" s="2"/>
      <c r="T294" s="241"/>
      <c r="U294" s="624"/>
      <c r="V294" s="612" t="str">
        <f ca="1">IF(OFFSET(AU294,0,Lang_Order*Lang__B5)="","",OFFSET(AU294,0,Lang_Order*Lang__B5))</f>
        <v>Per Person Eligible for Vaccination (Voluntary Uptake)</v>
      </c>
      <c r="W294" s="37" t="e">
        <f t="shared" ref="W294:W295" si="716">J294</f>
        <v>#N/A</v>
      </c>
      <c r="X294" s="37" t="e">
        <f t="shared" ref="X294:X295" si="717">K294</f>
        <v>#N/A</v>
      </c>
      <c r="Y294" s="37" t="e">
        <f t="shared" ref="Y294:Y295" si="718">L294</f>
        <v>#N/A</v>
      </c>
      <c r="Z294" s="37" t="e">
        <f t="shared" ref="Z294:Z295" si="719">M294</f>
        <v>#N/A</v>
      </c>
      <c r="AA294" s="37" t="e">
        <f t="shared" ref="AA294:AA295" si="720">N294</f>
        <v>#N/A</v>
      </c>
      <c r="AB294" s="37" t="e">
        <f t="shared" ref="AB294:AB295" si="721">O294</f>
        <v>#N/A</v>
      </c>
      <c r="AC294" s="83" t="e">
        <f>SUM(W294:AB294)</f>
        <v>#N/A</v>
      </c>
      <c r="AE294" s="72" t="s">
        <v>3042</v>
      </c>
      <c r="AF294" s="241"/>
      <c r="AG294" s="624"/>
      <c r="AH294" s="612" t="str">
        <f ca="1">IF(OFFSET(AU294,0,Lang_Order*Lang__B5)="","",OFFSET(AU294,0,Lang_Order*Lang__B5))</f>
        <v>Per Person Eligible for Vaccination (Voluntary Uptake)</v>
      </c>
      <c r="AI294" s="37" t="e">
        <f t="shared" ref="AI294:AI295" si="722">J294</f>
        <v>#N/A</v>
      </c>
      <c r="AJ294" s="37" t="e">
        <f t="shared" ref="AJ294:AJ295" si="723">K294</f>
        <v>#N/A</v>
      </c>
      <c r="AK294" s="37" t="e">
        <f t="shared" ref="AK294:AK295" si="724">L294</f>
        <v>#N/A</v>
      </c>
      <c r="AL294" s="37" t="e">
        <f t="shared" ref="AL294:AL295" si="725">M294</f>
        <v>#N/A</v>
      </c>
      <c r="AM294" s="37" t="e">
        <f t="shared" ref="AM294:AM295" si="726">N294</f>
        <v>#N/A</v>
      </c>
      <c r="AN294" s="37" t="e">
        <f t="shared" ref="AN294:AN295" si="727">O294</f>
        <v>#N/A</v>
      </c>
      <c r="AO294" s="83" t="e">
        <f>SUM(AI294:AN294)</f>
        <v>#N/A</v>
      </c>
      <c r="AR294" s="403"/>
      <c r="AS294" s="403"/>
      <c r="AT294" s="403"/>
      <c r="AU294" s="403" t="s">
        <v>1626</v>
      </c>
      <c r="AV294" s="403"/>
      <c r="AW294" s="403"/>
      <c r="AX294" s="403"/>
      <c r="AY294" s="403"/>
      <c r="AZ294" s="403"/>
      <c r="BA294" s="403"/>
      <c r="BB294" s="403"/>
      <c r="BC294" s="403"/>
      <c r="BD294" s="403"/>
      <c r="BE294" s="403"/>
      <c r="BF294" s="403"/>
      <c r="BG294" s="403"/>
      <c r="BH294" s="403"/>
      <c r="BI294" s="403"/>
      <c r="BJ294" s="403"/>
      <c r="BK294" s="403"/>
      <c r="BL294" s="403"/>
      <c r="BM294" s="403"/>
      <c r="BN294" s="403"/>
      <c r="BO294" s="403"/>
      <c r="BP294" s="403"/>
      <c r="BQ294" s="403"/>
      <c r="BR294" s="403"/>
      <c r="BS294" s="403"/>
      <c r="BT294" s="403"/>
      <c r="BU294" s="403"/>
      <c r="BV294" s="403"/>
      <c r="BW294" s="403"/>
      <c r="BX294" s="403"/>
      <c r="BY294" s="403"/>
      <c r="BZ294" s="403"/>
      <c r="CA294" s="403"/>
      <c r="CB294" s="403"/>
      <c r="CC294" s="403" t="s">
        <v>12020</v>
      </c>
      <c r="CD294" s="403"/>
      <c r="CE294" s="403"/>
      <c r="CF294" s="403"/>
      <c r="CG294" s="403"/>
      <c r="CH294" s="403"/>
      <c r="CI294" s="403"/>
      <c r="CJ294" s="403"/>
      <c r="CK294" s="403"/>
      <c r="CL294" s="403"/>
      <c r="CM294" s="403"/>
      <c r="CN294" s="403"/>
      <c r="CO294" s="403"/>
      <c r="CP294" s="403"/>
      <c r="CQ294" s="403"/>
      <c r="CR294" s="403"/>
      <c r="CS294" s="403"/>
      <c r="CT294" s="403"/>
      <c r="CU294" s="403"/>
      <c r="CV294" s="403"/>
      <c r="CW294" s="403"/>
      <c r="CX294" s="403"/>
      <c r="CY294" s="403"/>
      <c r="CZ294" s="403"/>
      <c r="DA294" s="403"/>
      <c r="DB294" s="403"/>
      <c r="DC294" s="403"/>
      <c r="DD294" s="403"/>
      <c r="DE294" s="403"/>
      <c r="DF294" s="403"/>
      <c r="DG294" s="403"/>
      <c r="DH294" s="403"/>
      <c r="DI294" s="403"/>
      <c r="DJ294" s="403"/>
      <c r="DK294" s="403" t="s">
        <v>12021</v>
      </c>
      <c r="DL294" s="403"/>
      <c r="DM294" s="403"/>
      <c r="DN294" s="403"/>
      <c r="DO294" s="403"/>
      <c r="DP294" s="403"/>
      <c r="DQ294" s="403"/>
      <c r="DR294" s="403"/>
      <c r="DS294" s="403"/>
      <c r="DT294" s="403"/>
      <c r="DU294" s="403"/>
      <c r="DV294" s="403"/>
      <c r="DW294" s="403"/>
      <c r="DX294" s="403"/>
      <c r="DY294" s="403"/>
      <c r="DZ294" s="403"/>
      <c r="EA294" s="403"/>
      <c r="EB294" s="403"/>
      <c r="EC294" s="403"/>
      <c r="ED294" s="403"/>
      <c r="EE294" s="403"/>
      <c r="EF294" s="403"/>
      <c r="EG294" s="403"/>
      <c r="EH294" s="403"/>
      <c r="EI294" s="403"/>
      <c r="EJ294" s="403"/>
      <c r="EK294" s="403"/>
      <c r="EL294" s="403"/>
      <c r="EM294" s="403"/>
      <c r="EN294" s="403"/>
      <c r="EO294" s="403"/>
      <c r="EP294" s="403"/>
      <c r="EQ294" s="403"/>
      <c r="ER294" s="403"/>
      <c r="ES294" s="403" t="s">
        <v>12022</v>
      </c>
      <c r="ET294" s="403"/>
      <c r="EU294" s="403"/>
      <c r="EV294" s="403"/>
      <c r="EW294" s="403"/>
      <c r="EX294" s="403"/>
      <c r="EY294" s="403"/>
      <c r="EZ294" s="403"/>
      <c r="FA294" s="403"/>
      <c r="FB294" s="403"/>
      <c r="FC294" s="403"/>
      <c r="FD294" s="403"/>
      <c r="FE294" s="403"/>
      <c r="FF294" s="403"/>
      <c r="FG294" s="403"/>
      <c r="FH294" s="403"/>
      <c r="FI294" s="403"/>
      <c r="FJ294" s="403"/>
      <c r="FK294" s="403"/>
      <c r="FL294" s="403"/>
      <c r="FM294" s="403"/>
      <c r="FN294" s="403"/>
      <c r="FO294" s="403"/>
      <c r="FP294" s="403"/>
      <c r="FQ294" s="403"/>
      <c r="FR294" s="403"/>
      <c r="FS294" s="403"/>
      <c r="FT294" s="403"/>
      <c r="FU294" s="403"/>
      <c r="FV294" s="403"/>
      <c r="FW294" s="403"/>
      <c r="FX294" s="403"/>
      <c r="FY294" s="403"/>
      <c r="FZ294" s="403"/>
      <c r="GA294" s="403" t="s">
        <v>12023</v>
      </c>
      <c r="GB294" s="403"/>
      <c r="GC294" s="403"/>
      <c r="GD294" s="403"/>
      <c r="GE294" s="403"/>
      <c r="GF294" s="403"/>
      <c r="GG294" s="403"/>
      <c r="GH294" s="403"/>
      <c r="GI294" s="403"/>
      <c r="GJ294" s="403"/>
      <c r="GK294" s="403"/>
      <c r="GL294" s="403"/>
      <c r="GM294" s="403"/>
      <c r="GN294" s="403"/>
      <c r="GO294" s="403"/>
      <c r="GP294" s="403"/>
      <c r="GQ294" s="403"/>
      <c r="GR294" s="403"/>
      <c r="GS294" s="403"/>
      <c r="GT294" s="403"/>
      <c r="GU294" s="403"/>
      <c r="GV294" s="403"/>
      <c r="GW294" s="403"/>
      <c r="GX294" s="403"/>
      <c r="GY294" s="403"/>
      <c r="GZ294" s="403"/>
      <c r="HA294" s="403"/>
      <c r="HB294" s="403"/>
      <c r="HC294" s="403"/>
      <c r="HD294" s="403"/>
      <c r="HE294" s="403"/>
      <c r="HF294" s="403"/>
      <c r="HG294" s="403"/>
      <c r="HH294" s="403"/>
      <c r="HI294" s="403" t="s">
        <v>12024</v>
      </c>
      <c r="HJ294" s="403"/>
      <c r="HK294" s="403"/>
      <c r="HL294" s="403"/>
      <c r="HM294" s="403"/>
      <c r="HN294" s="403"/>
      <c r="HO294" s="403"/>
      <c r="HP294" s="403"/>
      <c r="HQ294" s="403"/>
      <c r="HR294" s="403"/>
      <c r="HS294" s="403"/>
      <c r="HT294" s="403"/>
      <c r="HU294" s="403"/>
      <c r="HV294" s="403"/>
      <c r="HW294" s="403"/>
      <c r="HX294" s="403"/>
      <c r="HY294" s="403"/>
      <c r="HZ294" s="403"/>
      <c r="IA294" s="403"/>
      <c r="IB294" s="403"/>
      <c r="IC294" s="403"/>
      <c r="ID294" s="403"/>
      <c r="IE294" s="403"/>
      <c r="IF294" s="403"/>
      <c r="IG294" s="403"/>
      <c r="IH294" s="403"/>
      <c r="II294" s="403"/>
      <c r="IJ294" s="403"/>
      <c r="IK294" s="403"/>
      <c r="IL294" s="403"/>
      <c r="IM294" s="403"/>
      <c r="IN294" s="403"/>
      <c r="IO294" s="403"/>
      <c r="IP294" s="403"/>
      <c r="IQ294" s="403" t="s">
        <v>12025</v>
      </c>
      <c r="IR294" s="403"/>
      <c r="IS294" s="403"/>
      <c r="IT294" s="403"/>
      <c r="IU294" s="403"/>
      <c r="IV294" s="403"/>
      <c r="IW294" s="403"/>
      <c r="IX294" s="403"/>
      <c r="IY294" s="403"/>
      <c r="IZ294" s="403"/>
      <c r="JA294" s="403"/>
      <c r="JB294" s="403"/>
      <c r="JC294" s="403"/>
      <c r="JD294" s="403"/>
      <c r="JE294" s="403"/>
      <c r="JF294" s="403"/>
      <c r="JG294" s="403"/>
      <c r="JH294" s="403"/>
      <c r="JI294" s="403"/>
      <c r="JJ294" s="403"/>
      <c r="JK294" s="403"/>
      <c r="JL294" s="403"/>
      <c r="JM294" s="403"/>
      <c r="JN294" s="403"/>
      <c r="JO294" s="403"/>
      <c r="JP294" s="403"/>
      <c r="JQ294" s="403"/>
      <c r="JR294" s="403"/>
      <c r="JS294" s="403"/>
      <c r="JT294" s="403"/>
    </row>
    <row r="295" spans="1:280" s="15" customFormat="1" ht="12.75" x14ac:dyDescent="0.2">
      <c r="A295" s="9"/>
      <c r="B295" s="624"/>
      <c r="C295" s="335" t="str">
        <f ca="1">IF(OFFSET(AU295,0,Lang_Order*Lang__B5)="","",OFFSET(AU295,0,Lang_Order*Lang__B5))</f>
        <v>Per Person Eligible for Vaccination (Work-based Uptake)</v>
      </c>
      <c r="E295" s="26"/>
      <c r="F295" s="26"/>
      <c r="G295" s="26"/>
      <c r="H295" s="26"/>
      <c r="I295" s="26"/>
      <c r="J295" s="96" t="s">
        <v>1687</v>
      </c>
      <c r="K295" s="96" t="s">
        <v>1687</v>
      </c>
      <c r="L295" s="96" t="s">
        <v>1687</v>
      </c>
      <c r="M295" s="96" t="s">
        <v>1687</v>
      </c>
      <c r="N295" s="96" t="s">
        <v>1687</v>
      </c>
      <c r="O295" s="96" t="s">
        <v>1687</v>
      </c>
      <c r="P295" s="83">
        <f>SUM(J295:O295)</f>
        <v>0</v>
      </c>
      <c r="Q295" s="83"/>
      <c r="R295" s="12" t="str">
        <f t="shared" ca="1" si="657"/>
        <v/>
      </c>
      <c r="S295" s="2"/>
      <c r="T295" s="241"/>
      <c r="U295" s="624"/>
      <c r="V295" s="612" t="str">
        <f ca="1">IF(OFFSET(AU295,0,Lang_Order*Lang__B5)="","",OFFSET(AU295,0,Lang_Order*Lang__B5))</f>
        <v>Per Person Eligible for Vaccination (Work-based Uptake)</v>
      </c>
      <c r="W295" s="37" t="str">
        <f t="shared" si="716"/>
        <v>N/A</v>
      </c>
      <c r="X295" s="37" t="str">
        <f t="shared" si="717"/>
        <v>N/A</v>
      </c>
      <c r="Y295" s="37" t="str">
        <f t="shared" si="718"/>
        <v>N/A</v>
      </c>
      <c r="Z295" s="37" t="str">
        <f t="shared" si="719"/>
        <v>N/A</v>
      </c>
      <c r="AA295" s="37" t="str">
        <f t="shared" si="720"/>
        <v>N/A</v>
      </c>
      <c r="AB295" s="37" t="str">
        <f t="shared" si="721"/>
        <v>N/A</v>
      </c>
      <c r="AC295" s="83">
        <f>SUM(W295:AB295)</f>
        <v>0</v>
      </c>
      <c r="AE295" s="72" t="s">
        <v>3042</v>
      </c>
      <c r="AF295" s="241"/>
      <c r="AG295" s="624"/>
      <c r="AH295" s="612" t="str">
        <f ca="1">IF(OFFSET(AU295,0,Lang_Order*Lang__B5)="","",OFFSET(AU295,0,Lang_Order*Lang__B5))</f>
        <v>Per Person Eligible for Vaccination (Work-based Uptake)</v>
      </c>
      <c r="AI295" s="37" t="str">
        <f t="shared" si="722"/>
        <v>N/A</v>
      </c>
      <c r="AJ295" s="37" t="str">
        <f t="shared" si="723"/>
        <v>N/A</v>
      </c>
      <c r="AK295" s="37" t="str">
        <f t="shared" si="724"/>
        <v>N/A</v>
      </c>
      <c r="AL295" s="37" t="str">
        <f t="shared" si="725"/>
        <v>N/A</v>
      </c>
      <c r="AM295" s="37" t="str">
        <f t="shared" si="726"/>
        <v>N/A</v>
      </c>
      <c r="AN295" s="37" t="str">
        <f t="shared" si="727"/>
        <v>N/A</v>
      </c>
      <c r="AO295" s="83">
        <f>SUM(AI295:AN295)</f>
        <v>0</v>
      </c>
      <c r="AR295" s="403"/>
      <c r="AS295" s="403"/>
      <c r="AT295" s="403"/>
      <c r="AU295" s="403" t="s">
        <v>1627</v>
      </c>
      <c r="AV295" s="403"/>
      <c r="AW295" s="403"/>
      <c r="AX295" s="403"/>
      <c r="AY295" s="403"/>
      <c r="AZ295" s="403"/>
      <c r="BA295" s="403"/>
      <c r="BB295" s="403"/>
      <c r="BC295" s="403"/>
      <c r="BD295" s="403"/>
      <c r="BE295" s="403"/>
      <c r="BF295" s="403"/>
      <c r="BG295" s="403"/>
      <c r="BH295" s="403"/>
      <c r="BI295" s="403"/>
      <c r="BJ295" s="403"/>
      <c r="BK295" s="403"/>
      <c r="BL295" s="403"/>
      <c r="BM295" s="403"/>
      <c r="BN295" s="403"/>
      <c r="BO295" s="403"/>
      <c r="BP295" s="403"/>
      <c r="BQ295" s="403"/>
      <c r="BR295" s="403"/>
      <c r="BS295" s="403"/>
      <c r="BT295" s="403"/>
      <c r="BU295" s="403"/>
      <c r="BV295" s="403"/>
      <c r="BW295" s="403"/>
      <c r="BX295" s="403"/>
      <c r="BY295" s="403"/>
      <c r="BZ295" s="403"/>
      <c r="CA295" s="403"/>
      <c r="CB295" s="403"/>
      <c r="CC295" s="403" t="s">
        <v>12026</v>
      </c>
      <c r="CD295" s="403"/>
      <c r="CE295" s="403"/>
      <c r="CF295" s="403"/>
      <c r="CG295" s="403"/>
      <c r="CH295" s="403"/>
      <c r="CI295" s="403"/>
      <c r="CJ295" s="403"/>
      <c r="CK295" s="403"/>
      <c r="CL295" s="403"/>
      <c r="CM295" s="403"/>
      <c r="CN295" s="403"/>
      <c r="CO295" s="403"/>
      <c r="CP295" s="403"/>
      <c r="CQ295" s="403"/>
      <c r="CR295" s="403"/>
      <c r="CS295" s="403"/>
      <c r="CT295" s="403"/>
      <c r="CU295" s="403"/>
      <c r="CV295" s="403"/>
      <c r="CW295" s="403"/>
      <c r="CX295" s="403"/>
      <c r="CY295" s="403"/>
      <c r="CZ295" s="403"/>
      <c r="DA295" s="403"/>
      <c r="DB295" s="403"/>
      <c r="DC295" s="403"/>
      <c r="DD295" s="403"/>
      <c r="DE295" s="403"/>
      <c r="DF295" s="403"/>
      <c r="DG295" s="403"/>
      <c r="DH295" s="403"/>
      <c r="DI295" s="403"/>
      <c r="DJ295" s="403"/>
      <c r="DK295" s="403" t="s">
        <v>12425</v>
      </c>
      <c r="DL295" s="403"/>
      <c r="DM295" s="403"/>
      <c r="DN295" s="403"/>
      <c r="DO295" s="403"/>
      <c r="DP295" s="403"/>
      <c r="DQ295" s="403"/>
      <c r="DR295" s="403"/>
      <c r="DS295" s="403"/>
      <c r="DT295" s="403"/>
      <c r="DU295" s="403"/>
      <c r="DV295" s="403"/>
      <c r="DW295" s="403"/>
      <c r="DX295" s="403"/>
      <c r="DY295" s="403"/>
      <c r="DZ295" s="403"/>
      <c r="EA295" s="403"/>
      <c r="EB295" s="403"/>
      <c r="EC295" s="403"/>
      <c r="ED295" s="403"/>
      <c r="EE295" s="403"/>
      <c r="EF295" s="403"/>
      <c r="EG295" s="403"/>
      <c r="EH295" s="403"/>
      <c r="EI295" s="403"/>
      <c r="EJ295" s="403"/>
      <c r="EK295" s="403"/>
      <c r="EL295" s="403"/>
      <c r="EM295" s="403"/>
      <c r="EN295" s="403"/>
      <c r="EO295" s="403"/>
      <c r="EP295" s="403"/>
      <c r="EQ295" s="403"/>
      <c r="ER295" s="403"/>
      <c r="ES295" s="403" t="s">
        <v>12028</v>
      </c>
      <c r="ET295" s="403"/>
      <c r="EU295" s="403"/>
      <c r="EV295" s="403"/>
      <c r="EW295" s="403"/>
      <c r="EX295" s="403"/>
      <c r="EY295" s="403"/>
      <c r="EZ295" s="403"/>
      <c r="FA295" s="403"/>
      <c r="FB295" s="403"/>
      <c r="FC295" s="403"/>
      <c r="FD295" s="403"/>
      <c r="FE295" s="403"/>
      <c r="FF295" s="403"/>
      <c r="FG295" s="403"/>
      <c r="FH295" s="403"/>
      <c r="FI295" s="403"/>
      <c r="FJ295" s="403"/>
      <c r="FK295" s="403"/>
      <c r="FL295" s="403"/>
      <c r="FM295" s="403"/>
      <c r="FN295" s="403"/>
      <c r="FO295" s="403"/>
      <c r="FP295" s="403"/>
      <c r="FQ295" s="403"/>
      <c r="FR295" s="403"/>
      <c r="FS295" s="403"/>
      <c r="FT295" s="403"/>
      <c r="FU295" s="403"/>
      <c r="FV295" s="403"/>
      <c r="FW295" s="403"/>
      <c r="FX295" s="403"/>
      <c r="FY295" s="403"/>
      <c r="FZ295" s="403"/>
      <c r="GA295" s="403" t="s">
        <v>12029</v>
      </c>
      <c r="GB295" s="403"/>
      <c r="GC295" s="403"/>
      <c r="GD295" s="403"/>
      <c r="GE295" s="403"/>
      <c r="GF295" s="403"/>
      <c r="GG295" s="403"/>
      <c r="GH295" s="403"/>
      <c r="GI295" s="403"/>
      <c r="GJ295" s="403"/>
      <c r="GK295" s="403"/>
      <c r="GL295" s="403"/>
      <c r="GM295" s="403"/>
      <c r="GN295" s="403"/>
      <c r="GO295" s="403"/>
      <c r="GP295" s="403"/>
      <c r="GQ295" s="403"/>
      <c r="GR295" s="403"/>
      <c r="GS295" s="403"/>
      <c r="GT295" s="403"/>
      <c r="GU295" s="403"/>
      <c r="GV295" s="403"/>
      <c r="GW295" s="403"/>
      <c r="GX295" s="403"/>
      <c r="GY295" s="403"/>
      <c r="GZ295" s="403"/>
      <c r="HA295" s="403"/>
      <c r="HB295" s="403"/>
      <c r="HC295" s="403"/>
      <c r="HD295" s="403"/>
      <c r="HE295" s="403"/>
      <c r="HF295" s="403"/>
      <c r="HG295" s="403"/>
      <c r="HH295" s="403"/>
      <c r="HI295" s="403" t="s">
        <v>12030</v>
      </c>
      <c r="HJ295" s="403"/>
      <c r="HK295" s="403"/>
      <c r="HL295" s="403"/>
      <c r="HM295" s="403"/>
      <c r="HN295" s="403"/>
      <c r="HO295" s="403"/>
      <c r="HP295" s="403"/>
      <c r="HQ295" s="403"/>
      <c r="HR295" s="403"/>
      <c r="HS295" s="403"/>
      <c r="HT295" s="403"/>
      <c r="HU295" s="403"/>
      <c r="HV295" s="403"/>
      <c r="HW295" s="403"/>
      <c r="HX295" s="403"/>
      <c r="HY295" s="403"/>
      <c r="HZ295" s="403"/>
      <c r="IA295" s="403"/>
      <c r="IB295" s="403"/>
      <c r="IC295" s="403"/>
      <c r="ID295" s="403"/>
      <c r="IE295" s="403"/>
      <c r="IF295" s="403"/>
      <c r="IG295" s="403"/>
      <c r="IH295" s="403"/>
      <c r="II295" s="403"/>
      <c r="IJ295" s="403"/>
      <c r="IK295" s="403"/>
      <c r="IL295" s="403"/>
      <c r="IM295" s="403"/>
      <c r="IN295" s="403"/>
      <c r="IO295" s="403"/>
      <c r="IP295" s="403"/>
      <c r="IQ295" s="403" t="s">
        <v>12031</v>
      </c>
      <c r="IR295" s="403"/>
      <c r="IS295" s="403"/>
      <c r="IT295" s="403"/>
      <c r="IU295" s="403"/>
      <c r="IV295" s="403"/>
      <c r="IW295" s="403"/>
      <c r="IX295" s="403"/>
      <c r="IY295" s="403"/>
      <c r="IZ295" s="403"/>
      <c r="JA295" s="403"/>
      <c r="JB295" s="403"/>
      <c r="JC295" s="403"/>
      <c r="JD295" s="403"/>
      <c r="JE295" s="403"/>
      <c r="JF295" s="403"/>
      <c r="JG295" s="403"/>
      <c r="JH295" s="403"/>
      <c r="JI295" s="403"/>
      <c r="JJ295" s="403"/>
      <c r="JK295" s="403"/>
      <c r="JL295" s="403"/>
      <c r="JM295" s="403"/>
      <c r="JN295" s="403"/>
      <c r="JO295" s="403"/>
      <c r="JP295" s="403"/>
      <c r="JQ295" s="403"/>
      <c r="JR295" s="403"/>
      <c r="JS295" s="403"/>
      <c r="JT295" s="403"/>
    </row>
    <row r="296" spans="1:280" s="15" customFormat="1" ht="12.75" x14ac:dyDescent="0.2">
      <c r="A296" s="9"/>
      <c r="B296" s="624"/>
      <c r="C296" s="23"/>
      <c r="E296" s="26"/>
      <c r="F296" s="26"/>
      <c r="G296" s="26"/>
      <c r="H296" s="26"/>
      <c r="I296" s="26"/>
      <c r="J296" s="37"/>
      <c r="K296" s="37"/>
      <c r="L296" s="37"/>
      <c r="M296" s="37"/>
      <c r="N296" s="37"/>
      <c r="O296" s="37"/>
      <c r="P296" s="26"/>
      <c r="Q296" s="26"/>
      <c r="R296" s="12" t="str">
        <f t="shared" ca="1" si="657"/>
        <v/>
      </c>
      <c r="S296" s="2"/>
      <c r="T296" s="241"/>
      <c r="U296" s="624"/>
      <c r="V296" s="72"/>
      <c r="AC296" s="26"/>
      <c r="AF296" s="241"/>
      <c r="AG296" s="624"/>
      <c r="AH296" s="72"/>
      <c r="AO296" s="26"/>
      <c r="AR296" s="403"/>
      <c r="AS296" s="403"/>
      <c r="AT296" s="403"/>
      <c r="AU296" s="403"/>
      <c r="AV296" s="403"/>
      <c r="AW296" s="403"/>
      <c r="AX296" s="403"/>
      <c r="AY296" s="403"/>
      <c r="AZ296" s="403"/>
      <c r="BA296" s="403"/>
      <c r="BB296" s="403"/>
      <c r="BC296" s="403"/>
      <c r="BD296" s="403"/>
      <c r="BE296" s="403"/>
      <c r="BF296" s="403"/>
      <c r="BG296" s="403"/>
      <c r="BH296" s="403"/>
      <c r="BI296" s="403"/>
      <c r="BJ296" s="403"/>
      <c r="BK296" s="403"/>
      <c r="BL296" s="403"/>
      <c r="BM296" s="403"/>
      <c r="BN296" s="403"/>
      <c r="BO296" s="403"/>
      <c r="BP296" s="403"/>
      <c r="BQ296" s="403"/>
      <c r="BR296" s="403"/>
      <c r="BS296" s="403"/>
      <c r="BT296" s="403"/>
      <c r="BU296" s="403"/>
      <c r="BV296" s="403"/>
      <c r="BW296" s="403"/>
      <c r="BX296" s="403"/>
      <c r="BY296" s="403"/>
      <c r="BZ296" s="403"/>
      <c r="CA296" s="403"/>
      <c r="CB296" s="403"/>
      <c r="CC296" s="403"/>
      <c r="CD296" s="403"/>
      <c r="CE296" s="403"/>
      <c r="CF296" s="403"/>
      <c r="CG296" s="403"/>
      <c r="CH296" s="403"/>
      <c r="CI296" s="403"/>
      <c r="CJ296" s="403"/>
      <c r="CK296" s="403"/>
      <c r="CL296" s="403"/>
      <c r="CM296" s="403"/>
      <c r="CN296" s="403"/>
      <c r="CO296" s="403"/>
      <c r="CP296" s="403"/>
      <c r="CQ296" s="403"/>
      <c r="CR296" s="403"/>
      <c r="CS296" s="403"/>
      <c r="CT296" s="403"/>
      <c r="CU296" s="403"/>
      <c r="CV296" s="403"/>
      <c r="CW296" s="403"/>
      <c r="CX296" s="403"/>
      <c r="CY296" s="403"/>
      <c r="CZ296" s="403"/>
      <c r="DA296" s="403"/>
      <c r="DB296" s="403"/>
      <c r="DC296" s="403"/>
      <c r="DD296" s="403"/>
      <c r="DE296" s="403"/>
      <c r="DF296" s="403"/>
      <c r="DG296" s="403"/>
      <c r="DH296" s="403"/>
      <c r="DI296" s="403"/>
      <c r="DJ296" s="403"/>
      <c r="DK296" s="403"/>
      <c r="DL296" s="403"/>
      <c r="DM296" s="403"/>
      <c r="DN296" s="403"/>
      <c r="DO296" s="403"/>
      <c r="DP296" s="403"/>
      <c r="DQ296" s="403"/>
      <c r="DR296" s="403"/>
      <c r="DS296" s="403"/>
      <c r="DT296" s="403"/>
      <c r="DU296" s="403"/>
      <c r="DV296" s="403"/>
      <c r="DW296" s="403"/>
      <c r="DX296" s="403"/>
      <c r="DY296" s="403"/>
      <c r="DZ296" s="403"/>
      <c r="EA296" s="403"/>
      <c r="EB296" s="403"/>
      <c r="EC296" s="403"/>
      <c r="ED296" s="403"/>
      <c r="EE296" s="403"/>
      <c r="EF296" s="403"/>
      <c r="EG296" s="403"/>
      <c r="EH296" s="403"/>
      <c r="EI296" s="403"/>
      <c r="EJ296" s="403"/>
      <c r="EK296" s="403"/>
      <c r="EL296" s="403"/>
      <c r="EM296" s="403"/>
      <c r="EN296" s="403"/>
      <c r="EO296" s="403"/>
      <c r="EP296" s="403"/>
      <c r="EQ296" s="403"/>
      <c r="ER296" s="403"/>
      <c r="ES296" s="403"/>
      <c r="ET296" s="403"/>
      <c r="EU296" s="403"/>
      <c r="EV296" s="403"/>
      <c r="EW296" s="403"/>
      <c r="EX296" s="403"/>
      <c r="EY296" s="403"/>
      <c r="EZ296" s="403"/>
      <c r="FA296" s="403"/>
      <c r="FB296" s="403"/>
      <c r="FC296" s="403"/>
      <c r="FD296" s="403"/>
      <c r="FE296" s="403"/>
      <c r="FF296" s="403"/>
      <c r="FG296" s="403"/>
      <c r="FH296" s="403"/>
      <c r="FI296" s="403"/>
      <c r="FJ296" s="403"/>
      <c r="FK296" s="403"/>
      <c r="FL296" s="403"/>
      <c r="FM296" s="403"/>
      <c r="FN296" s="403"/>
      <c r="FO296" s="403"/>
      <c r="FP296" s="403"/>
      <c r="FQ296" s="403"/>
      <c r="FR296" s="403"/>
      <c r="FS296" s="403"/>
      <c r="FT296" s="403"/>
      <c r="FU296" s="403"/>
      <c r="FV296" s="403"/>
      <c r="FW296" s="403"/>
      <c r="FX296" s="403"/>
      <c r="FY296" s="403"/>
      <c r="FZ296" s="403"/>
      <c r="GA296" s="403"/>
      <c r="GB296" s="403"/>
      <c r="GC296" s="403"/>
      <c r="GD296" s="403"/>
      <c r="GE296" s="403"/>
      <c r="GF296" s="403"/>
      <c r="GG296" s="403"/>
      <c r="GH296" s="403"/>
      <c r="GI296" s="403"/>
      <c r="GJ296" s="403"/>
      <c r="GK296" s="403"/>
      <c r="GL296" s="403"/>
      <c r="GM296" s="403"/>
      <c r="GN296" s="403"/>
      <c r="GO296" s="403"/>
      <c r="GP296" s="403"/>
      <c r="GQ296" s="403"/>
      <c r="GR296" s="403"/>
      <c r="GS296" s="403"/>
      <c r="GT296" s="403"/>
      <c r="GU296" s="403"/>
      <c r="GV296" s="403"/>
      <c r="GW296" s="403"/>
      <c r="GX296" s="403"/>
      <c r="GY296" s="403"/>
      <c r="GZ296" s="403"/>
      <c r="HA296" s="403"/>
      <c r="HB296" s="403"/>
      <c r="HC296" s="403"/>
      <c r="HD296" s="403"/>
      <c r="HE296" s="403"/>
      <c r="HF296" s="403"/>
      <c r="HG296" s="403"/>
      <c r="HH296" s="403"/>
      <c r="HI296" s="403"/>
      <c r="HJ296" s="403"/>
      <c r="HK296" s="403"/>
      <c r="HL296" s="403"/>
      <c r="HM296" s="403"/>
      <c r="HN296" s="403"/>
      <c r="HO296" s="403"/>
      <c r="HP296" s="403"/>
      <c r="HQ296" s="403"/>
      <c r="HR296" s="403"/>
      <c r="HS296" s="403"/>
      <c r="HT296" s="403"/>
      <c r="HU296" s="403"/>
      <c r="HV296" s="403"/>
      <c r="HW296" s="403"/>
      <c r="HX296" s="403"/>
      <c r="HY296" s="403"/>
      <c r="HZ296" s="403"/>
      <c r="IA296" s="403"/>
      <c r="IB296" s="403"/>
      <c r="IC296" s="403"/>
      <c r="ID296" s="403"/>
      <c r="IE296" s="403"/>
      <c r="IF296" s="403"/>
      <c r="IG296" s="403"/>
      <c r="IH296" s="403"/>
      <c r="II296" s="403"/>
      <c r="IJ296" s="403"/>
      <c r="IK296" s="403"/>
      <c r="IL296" s="403"/>
      <c r="IM296" s="403"/>
      <c r="IN296" s="403"/>
      <c r="IO296" s="403"/>
      <c r="IP296" s="403"/>
      <c r="IQ296" s="403"/>
      <c r="IR296" s="403"/>
      <c r="IS296" s="403"/>
      <c r="IT296" s="403"/>
      <c r="IU296" s="403"/>
      <c r="IV296" s="403"/>
      <c r="IW296" s="403"/>
      <c r="IX296" s="403"/>
      <c r="IY296" s="403"/>
      <c r="IZ296" s="403"/>
      <c r="JA296" s="403"/>
      <c r="JB296" s="403"/>
      <c r="JC296" s="403"/>
      <c r="JD296" s="403"/>
      <c r="JE296" s="403"/>
      <c r="JF296" s="403"/>
      <c r="JG296" s="403"/>
      <c r="JH296" s="403"/>
      <c r="JI296" s="403"/>
      <c r="JJ296" s="403"/>
      <c r="JK296" s="403"/>
      <c r="JL296" s="403"/>
      <c r="JM296" s="403"/>
      <c r="JN296" s="403"/>
      <c r="JO296" s="403"/>
      <c r="JP296" s="403"/>
      <c r="JQ296" s="403"/>
      <c r="JR296" s="403"/>
      <c r="JS296" s="403"/>
      <c r="JT296" s="403"/>
    </row>
    <row r="297" spans="1:280" s="15" customFormat="1" ht="12.75" x14ac:dyDescent="0.2">
      <c r="A297" s="9"/>
      <c r="B297" s="624" t="str">
        <f ca="1">IF(OFFSET(AT297,0,Lang_Order*Lang__B5)="","",OFFSET(AT297,0,Lang_Order*Lang__B5))</f>
        <v>Local Logistics</v>
      </c>
      <c r="C297" s="23"/>
      <c r="E297" s="26"/>
      <c r="F297" s="26"/>
      <c r="G297" s="26"/>
      <c r="H297" s="26"/>
      <c r="I297" s="26"/>
      <c r="J297" s="37"/>
      <c r="K297" s="37"/>
      <c r="L297" s="37"/>
      <c r="M297" s="37"/>
      <c r="N297" s="37"/>
      <c r="O297" s="37"/>
      <c r="P297" s="26"/>
      <c r="Q297" s="26"/>
      <c r="R297" s="12" t="str">
        <f t="shared" ca="1" si="657"/>
        <v/>
      </c>
      <c r="S297" s="2"/>
      <c r="T297" s="241"/>
      <c r="U297" s="624" t="str">
        <f ca="1">IF(OFFSET(AT297,0,Lang_Order*Lang__B5)="","",OFFSET(AT297,0,Lang_Order*Lang__B5))</f>
        <v>Local Logistics</v>
      </c>
      <c r="V297" s="72"/>
      <c r="AC297" s="26"/>
      <c r="AF297" s="241"/>
      <c r="AG297" s="624" t="str">
        <f ca="1">IF(OFFSET(AT297,0,Lang_Order*Lang__B5)="","",OFFSET(AT297,0,Lang_Order*Lang__B5))</f>
        <v>Local Logistics</v>
      </c>
      <c r="AH297" s="72"/>
      <c r="AO297" s="26"/>
      <c r="AR297" s="403"/>
      <c r="AS297" s="403"/>
      <c r="AT297" s="403" t="s">
        <v>3690</v>
      </c>
      <c r="AU297" s="403"/>
      <c r="AV297" s="403"/>
      <c r="AW297" s="403"/>
      <c r="AX297" s="403"/>
      <c r="AY297" s="403"/>
      <c r="AZ297" s="403"/>
      <c r="BA297" s="403"/>
      <c r="BB297" s="403"/>
      <c r="BC297" s="403"/>
      <c r="BD297" s="403"/>
      <c r="BE297" s="403"/>
      <c r="BF297" s="403"/>
      <c r="BG297" s="403"/>
      <c r="BH297" s="403"/>
      <c r="BI297" s="403"/>
      <c r="BJ297" s="403"/>
      <c r="BK297" s="403"/>
      <c r="BL297" s="403"/>
      <c r="BM297" s="403"/>
      <c r="BN297" s="403"/>
      <c r="BO297" s="403"/>
      <c r="BP297" s="403"/>
      <c r="BQ297" s="403"/>
      <c r="BR297" s="403"/>
      <c r="BS297" s="403"/>
      <c r="BT297" s="403"/>
      <c r="BU297" s="403"/>
      <c r="BV297" s="403"/>
      <c r="BW297" s="403"/>
      <c r="BX297" s="403"/>
      <c r="BY297" s="403"/>
      <c r="BZ297" s="403"/>
      <c r="CA297" s="403"/>
      <c r="CB297" s="403" t="s">
        <v>12032</v>
      </c>
      <c r="CC297" s="403"/>
      <c r="CD297" s="403"/>
      <c r="CE297" s="403"/>
      <c r="CF297" s="403"/>
      <c r="CG297" s="403"/>
      <c r="CH297" s="403"/>
      <c r="CI297" s="403"/>
      <c r="CJ297" s="403"/>
      <c r="CK297" s="403"/>
      <c r="CL297" s="403"/>
      <c r="CM297" s="403"/>
      <c r="CN297" s="403"/>
      <c r="CO297" s="403"/>
      <c r="CP297" s="403"/>
      <c r="CQ297" s="403"/>
      <c r="CR297" s="403"/>
      <c r="CS297" s="403"/>
      <c r="CT297" s="403"/>
      <c r="CU297" s="403"/>
      <c r="CV297" s="403"/>
      <c r="CW297" s="403"/>
      <c r="CX297" s="403"/>
      <c r="CY297" s="403"/>
      <c r="CZ297" s="403"/>
      <c r="DA297" s="403"/>
      <c r="DB297" s="403"/>
      <c r="DC297" s="403"/>
      <c r="DD297" s="403"/>
      <c r="DE297" s="403"/>
      <c r="DF297" s="403"/>
      <c r="DG297" s="403"/>
      <c r="DH297" s="403"/>
      <c r="DI297" s="403"/>
      <c r="DJ297" s="403" t="s">
        <v>12033</v>
      </c>
      <c r="DK297" s="403"/>
      <c r="DL297" s="403"/>
      <c r="DM297" s="403"/>
      <c r="DN297" s="403"/>
      <c r="DO297" s="403"/>
      <c r="DP297" s="403"/>
      <c r="DQ297" s="403"/>
      <c r="DR297" s="403"/>
      <c r="DS297" s="403"/>
      <c r="DT297" s="403"/>
      <c r="DU297" s="403"/>
      <c r="DV297" s="403"/>
      <c r="DW297" s="403"/>
      <c r="DX297" s="403"/>
      <c r="DY297" s="403"/>
      <c r="DZ297" s="403"/>
      <c r="EA297" s="403"/>
      <c r="EB297" s="403"/>
      <c r="EC297" s="403"/>
      <c r="ED297" s="403"/>
      <c r="EE297" s="403"/>
      <c r="EF297" s="403"/>
      <c r="EG297" s="403"/>
      <c r="EH297" s="403"/>
      <c r="EI297" s="403"/>
      <c r="EJ297" s="403"/>
      <c r="EK297" s="403"/>
      <c r="EL297" s="403"/>
      <c r="EM297" s="403"/>
      <c r="EN297" s="403"/>
      <c r="EO297" s="403"/>
      <c r="EP297" s="403"/>
      <c r="EQ297" s="403"/>
      <c r="ER297" s="403" t="s">
        <v>12034</v>
      </c>
      <c r="ES297" s="403"/>
      <c r="ET297" s="403"/>
      <c r="EU297" s="403"/>
      <c r="EV297" s="403"/>
      <c r="EW297" s="403"/>
      <c r="EX297" s="403"/>
      <c r="EY297" s="403"/>
      <c r="EZ297" s="403"/>
      <c r="FA297" s="403"/>
      <c r="FB297" s="403"/>
      <c r="FC297" s="403"/>
      <c r="FD297" s="403"/>
      <c r="FE297" s="403"/>
      <c r="FF297" s="403"/>
      <c r="FG297" s="403"/>
      <c r="FH297" s="403"/>
      <c r="FI297" s="403"/>
      <c r="FJ297" s="403"/>
      <c r="FK297" s="403"/>
      <c r="FL297" s="403"/>
      <c r="FM297" s="403"/>
      <c r="FN297" s="403"/>
      <c r="FO297" s="403"/>
      <c r="FP297" s="403"/>
      <c r="FQ297" s="403"/>
      <c r="FR297" s="403"/>
      <c r="FS297" s="403"/>
      <c r="FT297" s="403"/>
      <c r="FU297" s="403"/>
      <c r="FV297" s="403"/>
      <c r="FW297" s="403"/>
      <c r="FX297" s="403"/>
      <c r="FY297" s="403"/>
      <c r="FZ297" s="403" t="s">
        <v>12034</v>
      </c>
      <c r="GA297" s="403"/>
      <c r="GB297" s="403"/>
      <c r="GC297" s="403"/>
      <c r="GD297" s="403"/>
      <c r="GE297" s="403"/>
      <c r="GF297" s="403"/>
      <c r="GG297" s="403"/>
      <c r="GH297" s="403"/>
      <c r="GI297" s="403"/>
      <c r="GJ297" s="403"/>
      <c r="GK297" s="403"/>
      <c r="GL297" s="403"/>
      <c r="GM297" s="403"/>
      <c r="GN297" s="403"/>
      <c r="GO297" s="403"/>
      <c r="GP297" s="403"/>
      <c r="GQ297" s="403"/>
      <c r="GR297" s="403"/>
      <c r="GS297" s="403"/>
      <c r="GT297" s="403"/>
      <c r="GU297" s="403"/>
      <c r="GV297" s="403"/>
      <c r="GW297" s="403"/>
      <c r="GX297" s="403"/>
      <c r="GY297" s="403"/>
      <c r="GZ297" s="403"/>
      <c r="HA297" s="403"/>
      <c r="HB297" s="403"/>
      <c r="HC297" s="403"/>
      <c r="HD297" s="403"/>
      <c r="HE297" s="403"/>
      <c r="HF297" s="403"/>
      <c r="HG297" s="403"/>
      <c r="HH297" s="403" t="s">
        <v>12035</v>
      </c>
      <c r="HI297" s="403"/>
      <c r="HJ297" s="403"/>
      <c r="HK297" s="403"/>
      <c r="HL297" s="403"/>
      <c r="HM297" s="403"/>
      <c r="HN297" s="403"/>
      <c r="HO297" s="403"/>
      <c r="HP297" s="403"/>
      <c r="HQ297" s="403"/>
      <c r="HR297" s="403"/>
      <c r="HS297" s="403"/>
      <c r="HT297" s="403"/>
      <c r="HU297" s="403"/>
      <c r="HV297" s="403"/>
      <c r="HW297" s="403"/>
      <c r="HX297" s="403"/>
      <c r="HY297" s="403"/>
      <c r="HZ297" s="403"/>
      <c r="IA297" s="403"/>
      <c r="IB297" s="403"/>
      <c r="IC297" s="403"/>
      <c r="ID297" s="403"/>
      <c r="IE297" s="403"/>
      <c r="IF297" s="403"/>
      <c r="IG297" s="403"/>
      <c r="IH297" s="403"/>
      <c r="II297" s="403"/>
      <c r="IJ297" s="403"/>
      <c r="IK297" s="403"/>
      <c r="IL297" s="403"/>
      <c r="IM297" s="403"/>
      <c r="IN297" s="403"/>
      <c r="IO297" s="403"/>
      <c r="IP297" s="403" t="s">
        <v>12036</v>
      </c>
      <c r="IQ297" s="403"/>
      <c r="IR297" s="403"/>
      <c r="IS297" s="403"/>
      <c r="IT297" s="403"/>
      <c r="IU297" s="403"/>
      <c r="IV297" s="403"/>
      <c r="IW297" s="403"/>
      <c r="IX297" s="403"/>
      <c r="IY297" s="403"/>
      <c r="IZ297" s="403"/>
      <c r="JA297" s="403"/>
      <c r="JB297" s="403"/>
      <c r="JC297" s="403"/>
      <c r="JD297" s="403"/>
      <c r="JE297" s="403"/>
      <c r="JF297" s="403"/>
      <c r="JG297" s="403"/>
      <c r="JH297" s="403"/>
      <c r="JI297" s="403"/>
      <c r="JJ297" s="403"/>
      <c r="JK297" s="403"/>
      <c r="JL297" s="403"/>
      <c r="JM297" s="403"/>
      <c r="JN297" s="403"/>
      <c r="JO297" s="403"/>
      <c r="JP297" s="403"/>
      <c r="JQ297" s="403"/>
      <c r="JR297" s="403"/>
      <c r="JS297" s="403"/>
      <c r="JT297" s="403"/>
    </row>
    <row r="298" spans="1:280" s="15" customFormat="1" ht="12.75" x14ac:dyDescent="0.2">
      <c r="A298" s="9"/>
      <c r="B298" s="624"/>
      <c r="C298" s="66" t="str">
        <f ca="1">IF(OFFSET(AU298,0,Lang_Order*Lang__B5)="","",OFFSET(AU298,0,Lang_Order*Lang__B5))</f>
        <v>Mobile Team Type A (Solo) Per Team Per Day</v>
      </c>
      <c r="E298" s="26"/>
      <c r="F298" s="26"/>
      <c r="G298" s="26"/>
      <c r="H298" s="26"/>
      <c r="I298" s="26"/>
      <c r="J298" s="37" t="e">
        <f t="shared" ref="J298:O298" si="728">J273*J$243*AUCs_MobileA_PerTeam_PerDay</f>
        <v>#N/A</v>
      </c>
      <c r="K298" s="37" t="e">
        <f t="shared" si="728"/>
        <v>#N/A</v>
      </c>
      <c r="L298" s="37" t="e">
        <f t="shared" si="728"/>
        <v>#N/A</v>
      </c>
      <c r="M298" s="37" t="e">
        <f t="shared" si="728"/>
        <v>#N/A</v>
      </c>
      <c r="N298" s="37" t="e">
        <f t="shared" si="728"/>
        <v>#N/A</v>
      </c>
      <c r="O298" s="37" t="e">
        <f t="shared" si="728"/>
        <v>#N/A</v>
      </c>
      <c r="P298" s="83" t="e">
        <f t="shared" ref="P298:P299" si="729">SUM(J298:O298)</f>
        <v>#N/A</v>
      </c>
      <c r="Q298" s="83"/>
      <c r="R298" s="12" t="str">
        <f t="shared" ca="1" si="657"/>
        <v/>
      </c>
      <c r="S298" s="2"/>
      <c r="T298" s="241"/>
      <c r="U298" s="624"/>
      <c r="V298" s="260" t="str">
        <f ca="1">IF(OFFSET(AU298,0,Lang_Order*Lang__B5)="","",OFFSET(AU298,0,Lang_Order*Lang__B5))</f>
        <v>Mobile Team Type A (Solo) Per Team Per Day</v>
      </c>
      <c r="W298" s="37" t="e">
        <f t="shared" ref="W298:AB298" si="730">W273*W$243*AUCs_MobileA_PerTeam_PerDay</f>
        <v>#N/A</v>
      </c>
      <c r="X298" s="37" t="e">
        <f t="shared" si="730"/>
        <v>#N/A</v>
      </c>
      <c r="Y298" s="37" t="e">
        <f t="shared" si="730"/>
        <v>#N/A</v>
      </c>
      <c r="Z298" s="37" t="e">
        <f t="shared" si="730"/>
        <v>#N/A</v>
      </c>
      <c r="AA298" s="37" t="e">
        <f t="shared" si="730"/>
        <v>#N/A</v>
      </c>
      <c r="AB298" s="37" t="e">
        <f t="shared" si="730"/>
        <v>#N/A</v>
      </c>
      <c r="AC298" s="83" t="e">
        <f t="shared" ref="AC298:AC299" si="731">SUM(W298:AB298)</f>
        <v>#N/A</v>
      </c>
      <c r="AF298" s="241"/>
      <c r="AG298" s="624"/>
      <c r="AH298" s="260" t="str">
        <f ca="1">IF(OFFSET(AU298,0,Lang_Order*Lang__B5)="","",OFFSET(AU298,0,Lang_Order*Lang__B5))</f>
        <v>Mobile Team Type A (Solo) Per Team Per Day</v>
      </c>
      <c r="AI298" s="37" t="e">
        <f t="shared" ref="AI298:AN298" si="732">AI273*AI$243*AUCs_MobileA_PerTeam_PerDay</f>
        <v>#N/A</v>
      </c>
      <c r="AJ298" s="37" t="e">
        <f t="shared" si="732"/>
        <v>#N/A</v>
      </c>
      <c r="AK298" s="37" t="e">
        <f t="shared" si="732"/>
        <v>#N/A</v>
      </c>
      <c r="AL298" s="37" t="e">
        <f t="shared" si="732"/>
        <v>#N/A</v>
      </c>
      <c r="AM298" s="37" t="e">
        <f t="shared" si="732"/>
        <v>#N/A</v>
      </c>
      <c r="AN298" s="37" t="e">
        <f t="shared" si="732"/>
        <v>#N/A</v>
      </c>
      <c r="AO298" s="83" t="e">
        <f t="shared" ref="AO298:AO299" si="733">SUM(AI298:AN298)</f>
        <v>#N/A</v>
      </c>
      <c r="AR298" s="403"/>
      <c r="AS298" s="403"/>
      <c r="AT298" s="403"/>
      <c r="AU298" s="403" t="s">
        <v>1670</v>
      </c>
      <c r="AV298" s="403"/>
      <c r="AW298" s="403"/>
      <c r="AX298" s="403"/>
      <c r="AY298" s="403"/>
      <c r="AZ298" s="403"/>
      <c r="BA298" s="403"/>
      <c r="BB298" s="403"/>
      <c r="BC298" s="403"/>
      <c r="BD298" s="403"/>
      <c r="BE298" s="403"/>
      <c r="BF298" s="403"/>
      <c r="BG298" s="403"/>
      <c r="BH298" s="403"/>
      <c r="BI298" s="403"/>
      <c r="BJ298" s="403"/>
      <c r="BK298" s="403"/>
      <c r="BL298" s="403"/>
      <c r="BM298" s="403"/>
      <c r="BN298" s="403"/>
      <c r="BO298" s="403"/>
      <c r="BP298" s="403"/>
      <c r="BQ298" s="403"/>
      <c r="BR298" s="403"/>
      <c r="BS298" s="403"/>
      <c r="BT298" s="403"/>
      <c r="BU298" s="403"/>
      <c r="BV298" s="403"/>
      <c r="BW298" s="403"/>
      <c r="BX298" s="403"/>
      <c r="BY298" s="403"/>
      <c r="BZ298" s="403"/>
      <c r="CA298" s="403"/>
      <c r="CB298" s="403"/>
      <c r="CC298" s="403" t="s">
        <v>12426</v>
      </c>
      <c r="CD298" s="403"/>
      <c r="CE298" s="403"/>
      <c r="CF298" s="403"/>
      <c r="CG298" s="403"/>
      <c r="CH298" s="403"/>
      <c r="CI298" s="403"/>
      <c r="CJ298" s="403"/>
      <c r="CK298" s="403"/>
      <c r="CL298" s="403"/>
      <c r="CM298" s="403"/>
      <c r="CN298" s="403"/>
      <c r="CO298" s="403"/>
      <c r="CP298" s="403"/>
      <c r="CQ298" s="403"/>
      <c r="CR298" s="403"/>
      <c r="CS298" s="403"/>
      <c r="CT298" s="403"/>
      <c r="CU298" s="403"/>
      <c r="CV298" s="403"/>
      <c r="CW298" s="403"/>
      <c r="CX298" s="403"/>
      <c r="CY298" s="403"/>
      <c r="CZ298" s="403"/>
      <c r="DA298" s="403"/>
      <c r="DB298" s="403"/>
      <c r="DC298" s="403"/>
      <c r="DD298" s="403"/>
      <c r="DE298" s="403"/>
      <c r="DF298" s="403"/>
      <c r="DG298" s="403"/>
      <c r="DH298" s="403"/>
      <c r="DI298" s="403"/>
      <c r="DJ298" s="403"/>
      <c r="DK298" s="403" t="s">
        <v>12039</v>
      </c>
      <c r="DL298" s="403"/>
      <c r="DM298" s="403"/>
      <c r="DN298" s="403"/>
      <c r="DO298" s="403"/>
      <c r="DP298" s="403"/>
      <c r="DQ298" s="403"/>
      <c r="DR298" s="403"/>
      <c r="DS298" s="403"/>
      <c r="DT298" s="403"/>
      <c r="DU298" s="403"/>
      <c r="DV298" s="403"/>
      <c r="DW298" s="403"/>
      <c r="DX298" s="403"/>
      <c r="DY298" s="403"/>
      <c r="DZ298" s="403"/>
      <c r="EA298" s="403"/>
      <c r="EB298" s="403"/>
      <c r="EC298" s="403"/>
      <c r="ED298" s="403"/>
      <c r="EE298" s="403"/>
      <c r="EF298" s="403"/>
      <c r="EG298" s="403"/>
      <c r="EH298" s="403"/>
      <c r="EI298" s="403"/>
      <c r="EJ298" s="403"/>
      <c r="EK298" s="403"/>
      <c r="EL298" s="403"/>
      <c r="EM298" s="403"/>
      <c r="EN298" s="403"/>
      <c r="EO298" s="403"/>
      <c r="EP298" s="403"/>
      <c r="EQ298" s="403"/>
      <c r="ER298" s="403"/>
      <c r="ES298" s="403" t="s">
        <v>12041</v>
      </c>
      <c r="ET298" s="403"/>
      <c r="EU298" s="403"/>
      <c r="EV298" s="403"/>
      <c r="EW298" s="403"/>
      <c r="EX298" s="403"/>
      <c r="EY298" s="403"/>
      <c r="EZ298" s="403"/>
      <c r="FA298" s="403"/>
      <c r="FB298" s="403"/>
      <c r="FC298" s="403"/>
      <c r="FD298" s="403"/>
      <c r="FE298" s="403"/>
      <c r="FF298" s="403"/>
      <c r="FG298" s="403"/>
      <c r="FH298" s="403"/>
      <c r="FI298" s="403"/>
      <c r="FJ298" s="403"/>
      <c r="FK298" s="403"/>
      <c r="FL298" s="403"/>
      <c r="FM298" s="403"/>
      <c r="FN298" s="403"/>
      <c r="FO298" s="403"/>
      <c r="FP298" s="403"/>
      <c r="FQ298" s="403"/>
      <c r="FR298" s="403"/>
      <c r="FS298" s="403"/>
      <c r="FT298" s="403"/>
      <c r="FU298" s="403"/>
      <c r="FV298" s="403"/>
      <c r="FW298" s="403"/>
      <c r="FX298" s="403"/>
      <c r="FY298" s="403"/>
      <c r="FZ298" s="403"/>
      <c r="GA298" s="403" t="s">
        <v>12043</v>
      </c>
      <c r="GB298" s="403"/>
      <c r="GC298" s="403"/>
      <c r="GD298" s="403"/>
      <c r="GE298" s="403"/>
      <c r="GF298" s="403"/>
      <c r="GG298" s="403"/>
      <c r="GH298" s="403"/>
      <c r="GI298" s="403"/>
      <c r="GJ298" s="403"/>
      <c r="GK298" s="403"/>
      <c r="GL298" s="403"/>
      <c r="GM298" s="403"/>
      <c r="GN298" s="403"/>
      <c r="GO298" s="403"/>
      <c r="GP298" s="403"/>
      <c r="GQ298" s="403"/>
      <c r="GR298" s="403"/>
      <c r="GS298" s="403"/>
      <c r="GT298" s="403"/>
      <c r="GU298" s="403"/>
      <c r="GV298" s="403"/>
      <c r="GW298" s="403"/>
      <c r="GX298" s="403"/>
      <c r="GY298" s="403"/>
      <c r="GZ298" s="403"/>
      <c r="HA298" s="403"/>
      <c r="HB298" s="403"/>
      <c r="HC298" s="403"/>
      <c r="HD298" s="403"/>
      <c r="HE298" s="403"/>
      <c r="HF298" s="403"/>
      <c r="HG298" s="403"/>
      <c r="HH298" s="403"/>
      <c r="HI298" s="403" t="s">
        <v>12045</v>
      </c>
      <c r="HJ298" s="403"/>
      <c r="HK298" s="403"/>
      <c r="HL298" s="403"/>
      <c r="HM298" s="403"/>
      <c r="HN298" s="403"/>
      <c r="HO298" s="403"/>
      <c r="HP298" s="403"/>
      <c r="HQ298" s="403"/>
      <c r="HR298" s="403"/>
      <c r="HS298" s="403"/>
      <c r="HT298" s="403"/>
      <c r="HU298" s="403"/>
      <c r="HV298" s="403"/>
      <c r="HW298" s="403"/>
      <c r="HX298" s="403"/>
      <c r="HY298" s="403"/>
      <c r="HZ298" s="403"/>
      <c r="IA298" s="403"/>
      <c r="IB298" s="403"/>
      <c r="IC298" s="403"/>
      <c r="ID298" s="403"/>
      <c r="IE298" s="403"/>
      <c r="IF298" s="403"/>
      <c r="IG298" s="403"/>
      <c r="IH298" s="403"/>
      <c r="II298" s="403"/>
      <c r="IJ298" s="403"/>
      <c r="IK298" s="403"/>
      <c r="IL298" s="403"/>
      <c r="IM298" s="403"/>
      <c r="IN298" s="403"/>
      <c r="IO298" s="403"/>
      <c r="IP298" s="403"/>
      <c r="IQ298" s="403" t="s">
        <v>12047</v>
      </c>
      <c r="IR298" s="403"/>
      <c r="IS298" s="403"/>
      <c r="IT298" s="403"/>
      <c r="IU298" s="403"/>
      <c r="IV298" s="403"/>
      <c r="IW298" s="403"/>
      <c r="IX298" s="403"/>
      <c r="IY298" s="403"/>
      <c r="IZ298" s="403"/>
      <c r="JA298" s="403"/>
      <c r="JB298" s="403"/>
      <c r="JC298" s="403"/>
      <c r="JD298" s="403"/>
      <c r="JE298" s="403"/>
      <c r="JF298" s="403"/>
      <c r="JG298" s="403"/>
      <c r="JH298" s="403"/>
      <c r="JI298" s="403"/>
      <c r="JJ298" s="403"/>
      <c r="JK298" s="403"/>
      <c r="JL298" s="403"/>
      <c r="JM298" s="403"/>
      <c r="JN298" s="403"/>
      <c r="JO298" s="403"/>
      <c r="JP298" s="403"/>
      <c r="JQ298" s="403"/>
      <c r="JR298" s="403"/>
      <c r="JS298" s="403"/>
      <c r="JT298" s="403"/>
    </row>
    <row r="299" spans="1:280" s="15" customFormat="1" ht="12.75" x14ac:dyDescent="0.2">
      <c r="A299" s="9"/>
      <c r="B299" s="624"/>
      <c r="C299" s="66" t="str">
        <f ca="1">IF(OFFSET(AU299,0,Lang_Order*Lang__B5)="","",OFFSET(AU299,0,Lang_Order*Lang__B5))</f>
        <v>Mobile Team Type B (Group) Per Team Per Day</v>
      </c>
      <c r="E299" s="26"/>
      <c r="F299" s="26"/>
      <c r="G299" s="26"/>
      <c r="H299" s="26"/>
      <c r="I299" s="26"/>
      <c r="J299" s="37" t="e">
        <f t="shared" ref="J299:O299" si="734">J274*J$243*AUCs_MobileB_PerTeam_PerDay</f>
        <v>#N/A</v>
      </c>
      <c r="K299" s="37" t="e">
        <f t="shared" si="734"/>
        <v>#N/A</v>
      </c>
      <c r="L299" s="37" t="e">
        <f t="shared" si="734"/>
        <v>#N/A</v>
      </c>
      <c r="M299" s="37" t="e">
        <f t="shared" si="734"/>
        <v>#N/A</v>
      </c>
      <c r="N299" s="37" t="e">
        <f t="shared" si="734"/>
        <v>#N/A</v>
      </c>
      <c r="O299" s="37" t="e">
        <f t="shared" si="734"/>
        <v>#N/A</v>
      </c>
      <c r="P299" s="83" t="e">
        <f t="shared" si="729"/>
        <v>#N/A</v>
      </c>
      <c r="Q299" s="83"/>
      <c r="R299" s="12" t="str">
        <f t="shared" ca="1" si="657"/>
        <v/>
      </c>
      <c r="S299" s="2"/>
      <c r="T299" s="241"/>
      <c r="U299" s="624"/>
      <c r="V299" s="260" t="str">
        <f ca="1">IF(OFFSET(AU299,0,Lang_Order*Lang__B5)="","",OFFSET(AU299,0,Lang_Order*Lang__B5))</f>
        <v>Mobile Team Type B (Group) Per Team Per Day</v>
      </c>
      <c r="W299" s="37" t="e">
        <f t="shared" ref="W299:AB299" si="735">W274*W$243*AUCs_MobileB_PerTeam_PerDay</f>
        <v>#N/A</v>
      </c>
      <c r="X299" s="37" t="e">
        <f t="shared" si="735"/>
        <v>#N/A</v>
      </c>
      <c r="Y299" s="37" t="e">
        <f t="shared" si="735"/>
        <v>#N/A</v>
      </c>
      <c r="Z299" s="37" t="e">
        <f t="shared" si="735"/>
        <v>#N/A</v>
      </c>
      <c r="AA299" s="37" t="e">
        <f t="shared" si="735"/>
        <v>#N/A</v>
      </c>
      <c r="AB299" s="37" t="e">
        <f t="shared" si="735"/>
        <v>#N/A</v>
      </c>
      <c r="AC299" s="83" t="e">
        <f t="shared" si="731"/>
        <v>#N/A</v>
      </c>
      <c r="AF299" s="241"/>
      <c r="AG299" s="624"/>
      <c r="AH299" s="260" t="str">
        <f ca="1">IF(OFFSET(AU299,0,Lang_Order*Lang__B5)="","",OFFSET(AU299,0,Lang_Order*Lang__B5))</f>
        <v>Mobile Team Type B (Group) Per Team Per Day</v>
      </c>
      <c r="AI299" s="37" t="e">
        <f t="shared" ref="AI299:AN299" si="736">AI274*AI$243*AUCs_MobileB_PerTeam_PerDay</f>
        <v>#N/A</v>
      </c>
      <c r="AJ299" s="37" t="e">
        <f t="shared" si="736"/>
        <v>#N/A</v>
      </c>
      <c r="AK299" s="37" t="e">
        <f t="shared" si="736"/>
        <v>#N/A</v>
      </c>
      <c r="AL299" s="37" t="e">
        <f t="shared" si="736"/>
        <v>#N/A</v>
      </c>
      <c r="AM299" s="37" t="e">
        <f t="shared" si="736"/>
        <v>#N/A</v>
      </c>
      <c r="AN299" s="37" t="e">
        <f t="shared" si="736"/>
        <v>#N/A</v>
      </c>
      <c r="AO299" s="83" t="e">
        <f t="shared" si="733"/>
        <v>#N/A</v>
      </c>
      <c r="AR299" s="403"/>
      <c r="AS299" s="403"/>
      <c r="AT299" s="403"/>
      <c r="AU299" s="403" t="s">
        <v>1671</v>
      </c>
      <c r="AV299" s="403"/>
      <c r="AW299" s="403"/>
      <c r="AX299" s="403"/>
      <c r="AY299" s="403"/>
      <c r="AZ299" s="403"/>
      <c r="BA299" s="403"/>
      <c r="BB299" s="403"/>
      <c r="BC299" s="403"/>
      <c r="BD299" s="403"/>
      <c r="BE299" s="403"/>
      <c r="BF299" s="403"/>
      <c r="BG299" s="403"/>
      <c r="BH299" s="403"/>
      <c r="BI299" s="403"/>
      <c r="BJ299" s="403"/>
      <c r="BK299" s="403"/>
      <c r="BL299" s="403"/>
      <c r="BM299" s="403"/>
      <c r="BN299" s="403"/>
      <c r="BO299" s="403"/>
      <c r="BP299" s="403"/>
      <c r="BQ299" s="403"/>
      <c r="BR299" s="403"/>
      <c r="BS299" s="403"/>
      <c r="BT299" s="403"/>
      <c r="BU299" s="403"/>
      <c r="BV299" s="403"/>
      <c r="BW299" s="403"/>
      <c r="BX299" s="403"/>
      <c r="BY299" s="403"/>
      <c r="BZ299" s="403"/>
      <c r="CA299" s="403"/>
      <c r="CB299" s="403"/>
      <c r="CC299" s="403" t="s">
        <v>12427</v>
      </c>
      <c r="CD299" s="403"/>
      <c r="CE299" s="403"/>
      <c r="CF299" s="403"/>
      <c r="CG299" s="403"/>
      <c r="CH299" s="403"/>
      <c r="CI299" s="403"/>
      <c r="CJ299" s="403"/>
      <c r="CK299" s="403"/>
      <c r="CL299" s="403"/>
      <c r="CM299" s="403"/>
      <c r="CN299" s="403"/>
      <c r="CO299" s="403"/>
      <c r="CP299" s="403"/>
      <c r="CQ299" s="403"/>
      <c r="CR299" s="403"/>
      <c r="CS299" s="403"/>
      <c r="CT299" s="403"/>
      <c r="CU299" s="403"/>
      <c r="CV299" s="403"/>
      <c r="CW299" s="403"/>
      <c r="CX299" s="403"/>
      <c r="CY299" s="403"/>
      <c r="CZ299" s="403"/>
      <c r="DA299" s="403"/>
      <c r="DB299" s="403"/>
      <c r="DC299" s="403"/>
      <c r="DD299" s="403"/>
      <c r="DE299" s="403"/>
      <c r="DF299" s="403"/>
      <c r="DG299" s="403"/>
      <c r="DH299" s="403"/>
      <c r="DI299" s="403"/>
      <c r="DJ299" s="403"/>
      <c r="DK299" s="403" t="s">
        <v>12050</v>
      </c>
      <c r="DL299" s="403"/>
      <c r="DM299" s="403"/>
      <c r="DN299" s="403"/>
      <c r="DO299" s="403"/>
      <c r="DP299" s="403"/>
      <c r="DQ299" s="403"/>
      <c r="DR299" s="403"/>
      <c r="DS299" s="403"/>
      <c r="DT299" s="403"/>
      <c r="DU299" s="403"/>
      <c r="DV299" s="403"/>
      <c r="DW299" s="403"/>
      <c r="DX299" s="403"/>
      <c r="DY299" s="403"/>
      <c r="DZ299" s="403"/>
      <c r="EA299" s="403"/>
      <c r="EB299" s="403"/>
      <c r="EC299" s="403"/>
      <c r="ED299" s="403"/>
      <c r="EE299" s="403"/>
      <c r="EF299" s="403"/>
      <c r="EG299" s="403"/>
      <c r="EH299" s="403"/>
      <c r="EI299" s="403"/>
      <c r="EJ299" s="403"/>
      <c r="EK299" s="403"/>
      <c r="EL299" s="403"/>
      <c r="EM299" s="403"/>
      <c r="EN299" s="403"/>
      <c r="EO299" s="403"/>
      <c r="EP299" s="403"/>
      <c r="EQ299" s="403"/>
      <c r="ER299" s="403"/>
      <c r="ES299" s="403" t="s">
        <v>12192</v>
      </c>
      <c r="ET299" s="403"/>
      <c r="EU299" s="403"/>
      <c r="EV299" s="403"/>
      <c r="EW299" s="403"/>
      <c r="EX299" s="403"/>
      <c r="EY299" s="403"/>
      <c r="EZ299" s="403"/>
      <c r="FA299" s="403"/>
      <c r="FB299" s="403"/>
      <c r="FC299" s="403"/>
      <c r="FD299" s="403"/>
      <c r="FE299" s="403"/>
      <c r="FF299" s="403"/>
      <c r="FG299" s="403"/>
      <c r="FH299" s="403"/>
      <c r="FI299" s="403"/>
      <c r="FJ299" s="403"/>
      <c r="FK299" s="403"/>
      <c r="FL299" s="403"/>
      <c r="FM299" s="403"/>
      <c r="FN299" s="403"/>
      <c r="FO299" s="403"/>
      <c r="FP299" s="403"/>
      <c r="FQ299" s="403"/>
      <c r="FR299" s="403"/>
      <c r="FS299" s="403"/>
      <c r="FT299" s="403"/>
      <c r="FU299" s="403"/>
      <c r="FV299" s="403"/>
      <c r="FW299" s="403"/>
      <c r="FX299" s="403"/>
      <c r="FY299" s="403"/>
      <c r="FZ299" s="403"/>
      <c r="GA299" s="403" t="s">
        <v>12193</v>
      </c>
      <c r="GB299" s="403"/>
      <c r="GC299" s="403"/>
      <c r="GD299" s="403"/>
      <c r="GE299" s="403"/>
      <c r="GF299" s="403"/>
      <c r="GG299" s="403"/>
      <c r="GH299" s="403"/>
      <c r="GI299" s="403"/>
      <c r="GJ299" s="403"/>
      <c r="GK299" s="403"/>
      <c r="GL299" s="403"/>
      <c r="GM299" s="403"/>
      <c r="GN299" s="403"/>
      <c r="GO299" s="403"/>
      <c r="GP299" s="403"/>
      <c r="GQ299" s="403"/>
      <c r="GR299" s="403"/>
      <c r="GS299" s="403"/>
      <c r="GT299" s="403"/>
      <c r="GU299" s="403"/>
      <c r="GV299" s="403"/>
      <c r="GW299" s="403"/>
      <c r="GX299" s="403"/>
      <c r="GY299" s="403"/>
      <c r="GZ299" s="403"/>
      <c r="HA299" s="403"/>
      <c r="HB299" s="403"/>
      <c r="HC299" s="403"/>
      <c r="HD299" s="403"/>
      <c r="HE299" s="403"/>
      <c r="HF299" s="403"/>
      <c r="HG299" s="403"/>
      <c r="HH299" s="403"/>
      <c r="HI299" s="403" t="s">
        <v>12053</v>
      </c>
      <c r="HJ299" s="403"/>
      <c r="HK299" s="403"/>
      <c r="HL299" s="403"/>
      <c r="HM299" s="403"/>
      <c r="HN299" s="403"/>
      <c r="HO299" s="403"/>
      <c r="HP299" s="403"/>
      <c r="HQ299" s="403"/>
      <c r="HR299" s="403"/>
      <c r="HS299" s="403"/>
      <c r="HT299" s="403"/>
      <c r="HU299" s="403"/>
      <c r="HV299" s="403"/>
      <c r="HW299" s="403"/>
      <c r="HX299" s="403"/>
      <c r="HY299" s="403"/>
      <c r="HZ299" s="403"/>
      <c r="IA299" s="403"/>
      <c r="IB299" s="403"/>
      <c r="IC299" s="403"/>
      <c r="ID299" s="403"/>
      <c r="IE299" s="403"/>
      <c r="IF299" s="403"/>
      <c r="IG299" s="403"/>
      <c r="IH299" s="403"/>
      <c r="II299" s="403"/>
      <c r="IJ299" s="403"/>
      <c r="IK299" s="403"/>
      <c r="IL299" s="403"/>
      <c r="IM299" s="403"/>
      <c r="IN299" s="403"/>
      <c r="IO299" s="403"/>
      <c r="IP299" s="403"/>
      <c r="IQ299" s="403" t="s">
        <v>12054</v>
      </c>
      <c r="IR299" s="403"/>
      <c r="IS299" s="403"/>
      <c r="IT299" s="403"/>
      <c r="IU299" s="403"/>
      <c r="IV299" s="403"/>
      <c r="IW299" s="403"/>
      <c r="IX299" s="403"/>
      <c r="IY299" s="403"/>
      <c r="IZ299" s="403"/>
      <c r="JA299" s="403"/>
      <c r="JB299" s="403"/>
      <c r="JC299" s="403"/>
      <c r="JD299" s="403"/>
      <c r="JE299" s="403"/>
      <c r="JF299" s="403"/>
      <c r="JG299" s="403"/>
      <c r="JH299" s="403"/>
      <c r="JI299" s="403"/>
      <c r="JJ299" s="403"/>
      <c r="JK299" s="403"/>
      <c r="JL299" s="403"/>
      <c r="JM299" s="403"/>
      <c r="JN299" s="403"/>
      <c r="JO299" s="403"/>
      <c r="JP299" s="403"/>
      <c r="JQ299" s="403"/>
      <c r="JR299" s="403"/>
      <c r="JS299" s="403"/>
      <c r="JT299" s="403"/>
    </row>
    <row r="300" spans="1:280" s="15" customFormat="1" ht="12.75" x14ac:dyDescent="0.2">
      <c r="A300" s="9"/>
      <c r="B300" s="624"/>
      <c r="C300" s="9"/>
      <c r="E300" s="26"/>
      <c r="F300" s="26"/>
      <c r="G300" s="26"/>
      <c r="H300" s="26"/>
      <c r="I300" s="26"/>
      <c r="J300" s="37"/>
      <c r="K300" s="37"/>
      <c r="L300" s="37"/>
      <c r="M300" s="37"/>
      <c r="N300" s="37"/>
      <c r="O300" s="37"/>
      <c r="P300" s="26"/>
      <c r="Q300" s="26"/>
      <c r="R300" s="12" t="str">
        <f t="shared" ca="1" si="657"/>
        <v/>
      </c>
      <c r="S300" s="2"/>
      <c r="T300" s="241"/>
      <c r="U300" s="624"/>
      <c r="V300" s="2"/>
      <c r="W300" s="37"/>
      <c r="X300" s="37"/>
      <c r="Y300" s="37"/>
      <c r="Z300" s="37"/>
      <c r="AA300" s="37"/>
      <c r="AB300" s="37"/>
      <c r="AC300" s="26"/>
      <c r="AF300" s="241"/>
      <c r="AG300" s="624"/>
      <c r="AH300" s="2"/>
      <c r="AI300" s="37"/>
      <c r="AJ300" s="37"/>
      <c r="AK300" s="37"/>
      <c r="AL300" s="37"/>
      <c r="AM300" s="37"/>
      <c r="AN300" s="37"/>
      <c r="AO300" s="26"/>
      <c r="AR300" s="403"/>
      <c r="AS300" s="403"/>
      <c r="AT300" s="403"/>
      <c r="AU300" s="403"/>
      <c r="AV300" s="403"/>
      <c r="AW300" s="403"/>
      <c r="AX300" s="403"/>
      <c r="AY300" s="403"/>
      <c r="AZ300" s="403"/>
      <c r="BA300" s="403"/>
      <c r="BB300" s="403"/>
      <c r="BC300" s="403"/>
      <c r="BD300" s="403"/>
      <c r="BE300" s="403"/>
      <c r="BF300" s="403"/>
      <c r="BG300" s="403"/>
      <c r="BH300" s="403"/>
      <c r="BI300" s="403"/>
      <c r="BJ300" s="403"/>
      <c r="BK300" s="403"/>
      <c r="BL300" s="403"/>
      <c r="BM300" s="403"/>
      <c r="BN300" s="403"/>
      <c r="BO300" s="403"/>
      <c r="BP300" s="403"/>
      <c r="BQ300" s="403"/>
      <c r="BR300" s="403"/>
      <c r="BS300" s="403"/>
      <c r="BT300" s="403"/>
      <c r="BU300" s="403"/>
      <c r="BV300" s="403"/>
      <c r="BW300" s="403"/>
      <c r="BX300" s="403"/>
      <c r="BY300" s="403"/>
      <c r="BZ300" s="403"/>
      <c r="CA300" s="403"/>
      <c r="CB300" s="403"/>
      <c r="CC300" s="403"/>
      <c r="CD300" s="403"/>
      <c r="CE300" s="403"/>
      <c r="CF300" s="403"/>
      <c r="CG300" s="403"/>
      <c r="CH300" s="403"/>
      <c r="CI300" s="403"/>
      <c r="CJ300" s="403"/>
      <c r="CK300" s="403"/>
      <c r="CL300" s="403"/>
      <c r="CM300" s="403"/>
      <c r="CN300" s="403"/>
      <c r="CO300" s="403"/>
      <c r="CP300" s="403"/>
      <c r="CQ300" s="403"/>
      <c r="CR300" s="403"/>
      <c r="CS300" s="403"/>
      <c r="CT300" s="403"/>
      <c r="CU300" s="403"/>
      <c r="CV300" s="403"/>
      <c r="CW300" s="403"/>
      <c r="CX300" s="403"/>
      <c r="CY300" s="403"/>
      <c r="CZ300" s="403"/>
      <c r="DA300" s="403"/>
      <c r="DB300" s="403"/>
      <c r="DC300" s="403"/>
      <c r="DD300" s="403"/>
      <c r="DE300" s="403"/>
      <c r="DF300" s="403"/>
      <c r="DG300" s="403"/>
      <c r="DH300" s="403"/>
      <c r="DI300" s="403"/>
      <c r="DJ300" s="403"/>
      <c r="DK300" s="403"/>
      <c r="DL300" s="403"/>
      <c r="DM300" s="403"/>
      <c r="DN300" s="403"/>
      <c r="DO300" s="403"/>
      <c r="DP300" s="403"/>
      <c r="DQ300" s="403"/>
      <c r="DR300" s="403"/>
      <c r="DS300" s="403"/>
      <c r="DT300" s="403"/>
      <c r="DU300" s="403"/>
      <c r="DV300" s="403"/>
      <c r="DW300" s="403"/>
      <c r="DX300" s="403"/>
      <c r="DY300" s="403"/>
      <c r="DZ300" s="403"/>
      <c r="EA300" s="403"/>
      <c r="EB300" s="403"/>
      <c r="EC300" s="403"/>
      <c r="ED300" s="403"/>
      <c r="EE300" s="403"/>
      <c r="EF300" s="403"/>
      <c r="EG300" s="403"/>
      <c r="EH300" s="403"/>
      <c r="EI300" s="403"/>
      <c r="EJ300" s="403"/>
      <c r="EK300" s="403"/>
      <c r="EL300" s="403"/>
      <c r="EM300" s="403"/>
      <c r="EN300" s="403"/>
      <c r="EO300" s="403"/>
      <c r="EP300" s="403"/>
      <c r="EQ300" s="403"/>
      <c r="ER300" s="403"/>
      <c r="ES300" s="403"/>
      <c r="ET300" s="403"/>
      <c r="EU300" s="403"/>
      <c r="EV300" s="403"/>
      <c r="EW300" s="403"/>
      <c r="EX300" s="403"/>
      <c r="EY300" s="403"/>
      <c r="EZ300" s="403"/>
      <c r="FA300" s="403"/>
      <c r="FB300" s="403"/>
      <c r="FC300" s="403"/>
      <c r="FD300" s="403"/>
      <c r="FE300" s="403"/>
      <c r="FF300" s="403"/>
      <c r="FG300" s="403"/>
      <c r="FH300" s="403"/>
      <c r="FI300" s="403"/>
      <c r="FJ300" s="403"/>
      <c r="FK300" s="403"/>
      <c r="FL300" s="403"/>
      <c r="FM300" s="403"/>
      <c r="FN300" s="403"/>
      <c r="FO300" s="403"/>
      <c r="FP300" s="403"/>
      <c r="FQ300" s="403"/>
      <c r="FR300" s="403"/>
      <c r="FS300" s="403"/>
      <c r="FT300" s="403"/>
      <c r="FU300" s="403"/>
      <c r="FV300" s="403"/>
      <c r="FW300" s="403"/>
      <c r="FX300" s="403"/>
      <c r="FY300" s="403"/>
      <c r="FZ300" s="403"/>
      <c r="GA300" s="403"/>
      <c r="GB300" s="403"/>
      <c r="GC300" s="403"/>
      <c r="GD300" s="403"/>
      <c r="GE300" s="403"/>
      <c r="GF300" s="403"/>
      <c r="GG300" s="403"/>
      <c r="GH300" s="403"/>
      <c r="GI300" s="403"/>
      <c r="GJ300" s="403"/>
      <c r="GK300" s="403"/>
      <c r="GL300" s="403"/>
      <c r="GM300" s="403"/>
      <c r="GN300" s="403"/>
      <c r="GO300" s="403"/>
      <c r="GP300" s="403"/>
      <c r="GQ300" s="403"/>
      <c r="GR300" s="403"/>
      <c r="GS300" s="403"/>
      <c r="GT300" s="403"/>
      <c r="GU300" s="403"/>
      <c r="GV300" s="403"/>
      <c r="GW300" s="403"/>
      <c r="GX300" s="403"/>
      <c r="GY300" s="403"/>
      <c r="GZ300" s="403"/>
      <c r="HA300" s="403"/>
      <c r="HB300" s="403"/>
      <c r="HC300" s="403"/>
      <c r="HD300" s="403"/>
      <c r="HE300" s="403"/>
      <c r="HF300" s="403"/>
      <c r="HG300" s="403"/>
      <c r="HH300" s="403"/>
      <c r="HI300" s="403"/>
      <c r="HJ300" s="403"/>
      <c r="HK300" s="403"/>
      <c r="HL300" s="403"/>
      <c r="HM300" s="403"/>
      <c r="HN300" s="403"/>
      <c r="HO300" s="403"/>
      <c r="HP300" s="403"/>
      <c r="HQ300" s="403"/>
      <c r="HR300" s="403"/>
      <c r="HS300" s="403"/>
      <c r="HT300" s="403"/>
      <c r="HU300" s="403"/>
      <c r="HV300" s="403"/>
      <c r="HW300" s="403"/>
      <c r="HX300" s="403"/>
      <c r="HY300" s="403"/>
      <c r="HZ300" s="403"/>
      <c r="IA300" s="403"/>
      <c r="IB300" s="403"/>
      <c r="IC300" s="403"/>
      <c r="ID300" s="403"/>
      <c r="IE300" s="403"/>
      <c r="IF300" s="403"/>
      <c r="IG300" s="403"/>
      <c r="IH300" s="403"/>
      <c r="II300" s="403"/>
      <c r="IJ300" s="403"/>
      <c r="IK300" s="403"/>
      <c r="IL300" s="403"/>
      <c r="IM300" s="403"/>
      <c r="IN300" s="403"/>
      <c r="IO300" s="403"/>
      <c r="IP300" s="403"/>
      <c r="IQ300" s="403"/>
      <c r="IR300" s="403"/>
      <c r="IS300" s="403"/>
      <c r="IT300" s="403"/>
      <c r="IU300" s="403"/>
      <c r="IV300" s="403"/>
      <c r="IW300" s="403"/>
      <c r="IX300" s="403"/>
      <c r="IY300" s="403"/>
      <c r="IZ300" s="403"/>
      <c r="JA300" s="403"/>
      <c r="JB300" s="403"/>
      <c r="JC300" s="403"/>
      <c r="JD300" s="403"/>
      <c r="JE300" s="403"/>
      <c r="JF300" s="403"/>
      <c r="JG300" s="403"/>
      <c r="JH300" s="403"/>
      <c r="JI300" s="403"/>
      <c r="JJ300" s="403"/>
      <c r="JK300" s="403"/>
      <c r="JL300" s="403"/>
      <c r="JM300" s="403"/>
      <c r="JN300" s="403"/>
      <c r="JO300" s="403"/>
      <c r="JP300" s="403"/>
      <c r="JQ300" s="403"/>
      <c r="JR300" s="403"/>
      <c r="JS300" s="403"/>
      <c r="JT300" s="403"/>
    </row>
    <row r="301" spans="1:280" s="15" customFormat="1" ht="12.75" x14ac:dyDescent="0.2">
      <c r="A301" s="9"/>
      <c r="B301" s="624" t="str">
        <f ca="1">IF(OFFSET(AT301,0,Lang_Order*Lang__B5)="","",OFFSET(AT301,0,Lang_Order*Lang__B5))</f>
        <v>Local Security</v>
      </c>
      <c r="C301" s="23"/>
      <c r="E301" s="26"/>
      <c r="F301" s="26"/>
      <c r="G301" s="26"/>
      <c r="H301" s="26"/>
      <c r="I301" s="26"/>
      <c r="J301" s="37"/>
      <c r="K301" s="37"/>
      <c r="L301" s="37"/>
      <c r="M301" s="37"/>
      <c r="N301" s="37"/>
      <c r="O301" s="37"/>
      <c r="P301" s="26"/>
      <c r="Q301" s="26"/>
      <c r="R301" s="12" t="str">
        <f t="shared" ca="1" si="657"/>
        <v/>
      </c>
      <c r="S301" s="2"/>
      <c r="T301" s="241"/>
      <c r="U301" s="624" t="str">
        <f ca="1">IF(OFFSET(AT301,0,Lang_Order*Lang__B5)="","",OFFSET(AT301,0,Lang_Order*Lang__B5))</f>
        <v>Local Security</v>
      </c>
      <c r="V301" s="72"/>
      <c r="W301" s="37"/>
      <c r="X301" s="37"/>
      <c r="Y301" s="37"/>
      <c r="Z301" s="37"/>
      <c r="AA301" s="37"/>
      <c r="AB301" s="37"/>
      <c r="AC301" s="26"/>
      <c r="AF301" s="241"/>
      <c r="AG301" s="624" t="str">
        <f ca="1">IF(OFFSET(AT301,0,Lang_Order*Lang__B5)="","",OFFSET(AT301,0,Lang_Order*Lang__B5))</f>
        <v>Local Security</v>
      </c>
      <c r="AH301" s="72"/>
      <c r="AI301" s="37"/>
      <c r="AJ301" s="37"/>
      <c r="AK301" s="37"/>
      <c r="AL301" s="37"/>
      <c r="AM301" s="37"/>
      <c r="AN301" s="37"/>
      <c r="AO301" s="26"/>
      <c r="AR301" s="403"/>
      <c r="AS301" s="403"/>
      <c r="AT301" s="403" t="s">
        <v>1576</v>
      </c>
      <c r="AU301" s="403"/>
      <c r="AV301" s="403"/>
      <c r="AW301" s="403"/>
      <c r="AX301" s="403"/>
      <c r="AY301" s="403"/>
      <c r="AZ301" s="403"/>
      <c r="BA301" s="403"/>
      <c r="BB301" s="403"/>
      <c r="BC301" s="403"/>
      <c r="BD301" s="403"/>
      <c r="BE301" s="403"/>
      <c r="BF301" s="403"/>
      <c r="BG301" s="403"/>
      <c r="BH301" s="403"/>
      <c r="BI301" s="403"/>
      <c r="BJ301" s="403"/>
      <c r="BK301" s="403"/>
      <c r="BL301" s="403"/>
      <c r="BM301" s="403"/>
      <c r="BN301" s="403"/>
      <c r="BO301" s="403"/>
      <c r="BP301" s="403"/>
      <c r="BQ301" s="403"/>
      <c r="BR301" s="403"/>
      <c r="BS301" s="403"/>
      <c r="BT301" s="403"/>
      <c r="BU301" s="403"/>
      <c r="BV301" s="403"/>
      <c r="BW301" s="403"/>
      <c r="BX301" s="403"/>
      <c r="BY301" s="403"/>
      <c r="BZ301" s="403"/>
      <c r="CA301" s="403"/>
      <c r="CB301" s="403" t="s">
        <v>5046</v>
      </c>
      <c r="CC301" s="403"/>
      <c r="CD301" s="403"/>
      <c r="CE301" s="403"/>
      <c r="CF301" s="403"/>
      <c r="CG301" s="403"/>
      <c r="CH301" s="403"/>
      <c r="CI301" s="403"/>
      <c r="CJ301" s="403"/>
      <c r="CK301" s="403"/>
      <c r="CL301" s="403"/>
      <c r="CM301" s="403"/>
      <c r="CN301" s="403"/>
      <c r="CO301" s="403"/>
      <c r="CP301" s="403"/>
      <c r="CQ301" s="403"/>
      <c r="CR301" s="403"/>
      <c r="CS301" s="403"/>
      <c r="CT301" s="403"/>
      <c r="CU301" s="403"/>
      <c r="CV301" s="403"/>
      <c r="CW301" s="403"/>
      <c r="CX301" s="403"/>
      <c r="CY301" s="403"/>
      <c r="CZ301" s="403"/>
      <c r="DA301" s="403"/>
      <c r="DB301" s="403"/>
      <c r="DC301" s="403"/>
      <c r="DD301" s="403"/>
      <c r="DE301" s="403"/>
      <c r="DF301" s="403"/>
      <c r="DG301" s="403"/>
      <c r="DH301" s="403"/>
      <c r="DI301" s="403"/>
      <c r="DJ301" s="403" t="s">
        <v>5047</v>
      </c>
      <c r="DK301" s="403"/>
      <c r="DL301" s="403"/>
      <c r="DM301" s="403"/>
      <c r="DN301" s="403"/>
      <c r="DO301" s="403"/>
      <c r="DP301" s="403"/>
      <c r="DQ301" s="403"/>
      <c r="DR301" s="403"/>
      <c r="DS301" s="403"/>
      <c r="DT301" s="403"/>
      <c r="DU301" s="403"/>
      <c r="DV301" s="403"/>
      <c r="DW301" s="403"/>
      <c r="DX301" s="403"/>
      <c r="DY301" s="403"/>
      <c r="DZ301" s="403"/>
      <c r="EA301" s="403"/>
      <c r="EB301" s="403"/>
      <c r="EC301" s="403"/>
      <c r="ED301" s="403"/>
      <c r="EE301" s="403"/>
      <c r="EF301" s="403"/>
      <c r="EG301" s="403"/>
      <c r="EH301" s="403"/>
      <c r="EI301" s="403"/>
      <c r="EJ301" s="403"/>
      <c r="EK301" s="403"/>
      <c r="EL301" s="403"/>
      <c r="EM301" s="403"/>
      <c r="EN301" s="403"/>
      <c r="EO301" s="403"/>
      <c r="EP301" s="403"/>
      <c r="EQ301" s="403"/>
      <c r="ER301" s="403" t="s">
        <v>5048</v>
      </c>
      <c r="ES301" s="403"/>
      <c r="ET301" s="403"/>
      <c r="EU301" s="403"/>
      <c r="EV301" s="403"/>
      <c r="EW301" s="403"/>
      <c r="EX301" s="403"/>
      <c r="EY301" s="403"/>
      <c r="EZ301" s="403"/>
      <c r="FA301" s="403"/>
      <c r="FB301" s="403"/>
      <c r="FC301" s="403"/>
      <c r="FD301" s="403"/>
      <c r="FE301" s="403"/>
      <c r="FF301" s="403"/>
      <c r="FG301" s="403"/>
      <c r="FH301" s="403"/>
      <c r="FI301" s="403"/>
      <c r="FJ301" s="403"/>
      <c r="FK301" s="403"/>
      <c r="FL301" s="403"/>
      <c r="FM301" s="403"/>
      <c r="FN301" s="403"/>
      <c r="FO301" s="403"/>
      <c r="FP301" s="403"/>
      <c r="FQ301" s="403"/>
      <c r="FR301" s="403"/>
      <c r="FS301" s="403"/>
      <c r="FT301" s="403"/>
      <c r="FU301" s="403"/>
      <c r="FV301" s="403"/>
      <c r="FW301" s="403"/>
      <c r="FX301" s="403"/>
      <c r="FY301" s="403"/>
      <c r="FZ301" s="403" t="s">
        <v>5049</v>
      </c>
      <c r="GA301" s="403"/>
      <c r="GB301" s="403"/>
      <c r="GC301" s="403"/>
      <c r="GD301" s="403"/>
      <c r="GE301" s="403"/>
      <c r="GF301" s="403"/>
      <c r="GG301" s="403"/>
      <c r="GH301" s="403"/>
      <c r="GI301" s="403"/>
      <c r="GJ301" s="403"/>
      <c r="GK301" s="403"/>
      <c r="GL301" s="403"/>
      <c r="GM301" s="403"/>
      <c r="GN301" s="403"/>
      <c r="GO301" s="403"/>
      <c r="GP301" s="403"/>
      <c r="GQ301" s="403"/>
      <c r="GR301" s="403"/>
      <c r="GS301" s="403"/>
      <c r="GT301" s="403"/>
      <c r="GU301" s="403"/>
      <c r="GV301" s="403"/>
      <c r="GW301" s="403"/>
      <c r="GX301" s="403"/>
      <c r="GY301" s="403"/>
      <c r="GZ301" s="403"/>
      <c r="HA301" s="403"/>
      <c r="HB301" s="403"/>
      <c r="HC301" s="403"/>
      <c r="HD301" s="403"/>
      <c r="HE301" s="403"/>
      <c r="HF301" s="403"/>
      <c r="HG301" s="403"/>
      <c r="HH301" s="403" t="s">
        <v>5050</v>
      </c>
      <c r="HI301" s="403"/>
      <c r="HJ301" s="403"/>
      <c r="HK301" s="403"/>
      <c r="HL301" s="403"/>
      <c r="HM301" s="403"/>
      <c r="HN301" s="403"/>
      <c r="HO301" s="403"/>
      <c r="HP301" s="403"/>
      <c r="HQ301" s="403"/>
      <c r="HR301" s="403"/>
      <c r="HS301" s="403"/>
      <c r="HT301" s="403"/>
      <c r="HU301" s="403"/>
      <c r="HV301" s="403"/>
      <c r="HW301" s="403"/>
      <c r="HX301" s="403"/>
      <c r="HY301" s="403"/>
      <c r="HZ301" s="403"/>
      <c r="IA301" s="403"/>
      <c r="IB301" s="403"/>
      <c r="IC301" s="403"/>
      <c r="ID301" s="403"/>
      <c r="IE301" s="403"/>
      <c r="IF301" s="403"/>
      <c r="IG301" s="403"/>
      <c r="IH301" s="403"/>
      <c r="II301" s="403"/>
      <c r="IJ301" s="403"/>
      <c r="IK301" s="403"/>
      <c r="IL301" s="403"/>
      <c r="IM301" s="403"/>
      <c r="IN301" s="403"/>
      <c r="IO301" s="403"/>
      <c r="IP301" s="403" t="s">
        <v>5051</v>
      </c>
      <c r="IQ301" s="403"/>
      <c r="IR301" s="403"/>
      <c r="IS301" s="403"/>
      <c r="IT301" s="403"/>
      <c r="IU301" s="403"/>
      <c r="IV301" s="403"/>
      <c r="IW301" s="403"/>
      <c r="IX301" s="403"/>
      <c r="IY301" s="403"/>
      <c r="IZ301" s="403"/>
      <c r="JA301" s="403"/>
      <c r="JB301" s="403"/>
      <c r="JC301" s="403"/>
      <c r="JD301" s="403"/>
      <c r="JE301" s="403"/>
      <c r="JF301" s="403"/>
      <c r="JG301" s="403"/>
      <c r="JH301" s="403"/>
      <c r="JI301" s="403"/>
      <c r="JJ301" s="403"/>
      <c r="JK301" s="403"/>
      <c r="JL301" s="403"/>
      <c r="JM301" s="403"/>
      <c r="JN301" s="403"/>
      <c r="JO301" s="403"/>
      <c r="JP301" s="403"/>
      <c r="JQ301" s="403"/>
      <c r="JR301" s="403"/>
      <c r="JS301" s="403"/>
      <c r="JT301" s="403"/>
    </row>
    <row r="302" spans="1:280" s="15" customFormat="1" ht="12.75" x14ac:dyDescent="0.2">
      <c r="A302" s="9"/>
      <c r="B302" s="624"/>
      <c r="C302" s="23" t="str">
        <f ca="1">IF(OFFSET(AU302,0,Lang_Order*Lang__B5)="","",OFFSET(AU302,0,Lang_Order*Lang__B5))</f>
        <v>Security per Site per Day</v>
      </c>
      <c r="E302" s="26"/>
      <c r="F302" s="26"/>
      <c r="G302" s="26"/>
      <c r="H302" s="26"/>
      <c r="I302" s="26"/>
      <c r="J302" s="37" t="e">
        <f t="shared" ref="J302:O302" si="737">J284*AUCs_Security_perSiteperDay</f>
        <v>#N/A</v>
      </c>
      <c r="K302" s="37" t="e">
        <f t="shared" si="737"/>
        <v>#N/A</v>
      </c>
      <c r="L302" s="37" t="e">
        <f t="shared" si="737"/>
        <v>#N/A</v>
      </c>
      <c r="M302" s="37" t="e">
        <f t="shared" si="737"/>
        <v>#N/A</v>
      </c>
      <c r="N302" s="37" t="e">
        <f t="shared" si="737"/>
        <v>#N/A</v>
      </c>
      <c r="O302" s="37" t="e">
        <f t="shared" si="737"/>
        <v>#N/A</v>
      </c>
      <c r="P302" s="83" t="e">
        <f>SUM(J302:O302)</f>
        <v>#N/A</v>
      </c>
      <c r="Q302" s="83"/>
      <c r="R302" s="12" t="str">
        <f t="shared" ca="1" si="657"/>
        <v>Consider adjustment for weekends [TODO]</v>
      </c>
      <c r="S302" s="2"/>
      <c r="T302" s="241"/>
      <c r="U302" s="624"/>
      <c r="V302" s="72" t="str">
        <f ca="1">IF(OFFSET(AU302,0,Lang_Order*Lang__B5)="","",OFFSET(AU302,0,Lang_Order*Lang__B5))</f>
        <v>Security per Site per Day</v>
      </c>
      <c r="W302" s="37" t="e">
        <f t="shared" ref="W302:AB302" si="738">W284*AUCs_Security_perSiteperDay</f>
        <v>#N/A</v>
      </c>
      <c r="X302" s="37" t="e">
        <f t="shared" si="738"/>
        <v>#N/A</v>
      </c>
      <c r="Y302" s="37" t="e">
        <f t="shared" si="738"/>
        <v>#N/A</v>
      </c>
      <c r="Z302" s="37" t="e">
        <f t="shared" si="738"/>
        <v>#N/A</v>
      </c>
      <c r="AA302" s="37" t="e">
        <f t="shared" si="738"/>
        <v>#N/A</v>
      </c>
      <c r="AB302" s="37" t="e">
        <f t="shared" si="738"/>
        <v>#N/A</v>
      </c>
      <c r="AC302" s="83" t="e">
        <f>SUM(W302:AB302)</f>
        <v>#N/A</v>
      </c>
      <c r="AF302" s="241"/>
      <c r="AG302" s="624"/>
      <c r="AH302" s="72" t="str">
        <f ca="1">IF(OFFSET(AU302,0,Lang_Order*Lang__B5)="","",OFFSET(AU302,0,Lang_Order*Lang__B5))</f>
        <v>Security per Site per Day</v>
      </c>
      <c r="AI302" s="37" t="e">
        <f t="shared" ref="AI302:AN302" si="739">AI284*AUCs_Security_perSiteperDay</f>
        <v>#N/A</v>
      </c>
      <c r="AJ302" s="37" t="e">
        <f t="shared" si="739"/>
        <v>#N/A</v>
      </c>
      <c r="AK302" s="37" t="e">
        <f t="shared" si="739"/>
        <v>#N/A</v>
      </c>
      <c r="AL302" s="37" t="e">
        <f t="shared" si="739"/>
        <v>#N/A</v>
      </c>
      <c r="AM302" s="37" t="e">
        <f t="shared" si="739"/>
        <v>#N/A</v>
      </c>
      <c r="AN302" s="37" t="e">
        <f t="shared" si="739"/>
        <v>#N/A</v>
      </c>
      <c r="AO302" s="83" t="e">
        <f>SUM(AI302:AN302)</f>
        <v>#N/A</v>
      </c>
      <c r="AR302" s="403"/>
      <c r="AS302" s="403"/>
      <c r="AT302" s="403"/>
      <c r="AU302" s="403" t="s">
        <v>1583</v>
      </c>
      <c r="AV302" s="403"/>
      <c r="AW302" s="403"/>
      <c r="AX302" s="403"/>
      <c r="AY302" s="403"/>
      <c r="AZ302" s="403"/>
      <c r="BA302" s="403"/>
      <c r="BB302" s="403"/>
      <c r="BC302" s="403"/>
      <c r="BD302" s="403"/>
      <c r="BE302" s="403"/>
      <c r="BF302" s="403"/>
      <c r="BG302" s="403"/>
      <c r="BH302" s="403"/>
      <c r="BI302" s="403"/>
      <c r="BJ302" s="403" t="s">
        <v>1645</v>
      </c>
      <c r="BK302" s="403"/>
      <c r="BL302" s="403"/>
      <c r="BM302" s="403"/>
      <c r="BN302" s="403"/>
      <c r="BO302" s="403"/>
      <c r="BP302" s="403"/>
      <c r="BQ302" s="403"/>
      <c r="BR302" s="403"/>
      <c r="BS302" s="403"/>
      <c r="BT302" s="403"/>
      <c r="BU302" s="403"/>
      <c r="BV302" s="403"/>
      <c r="BW302" s="403"/>
      <c r="BX302" s="403"/>
      <c r="BY302" s="403"/>
      <c r="BZ302" s="403"/>
      <c r="CA302" s="403"/>
      <c r="CB302" s="403"/>
      <c r="CC302" s="403" t="s">
        <v>12055</v>
      </c>
      <c r="CD302" s="403"/>
      <c r="CE302" s="403"/>
      <c r="CF302" s="403"/>
      <c r="CG302" s="403"/>
      <c r="CH302" s="403"/>
      <c r="CI302" s="403"/>
      <c r="CJ302" s="403"/>
      <c r="CK302" s="403"/>
      <c r="CL302" s="403"/>
      <c r="CM302" s="403"/>
      <c r="CN302" s="403"/>
      <c r="CO302" s="403"/>
      <c r="CP302" s="403"/>
      <c r="CQ302" s="403"/>
      <c r="CR302" s="403" t="s">
        <v>12428</v>
      </c>
      <c r="CS302" s="403"/>
      <c r="CT302" s="403"/>
      <c r="CU302" s="403"/>
      <c r="CV302" s="403"/>
      <c r="CW302" s="403"/>
      <c r="CX302" s="403"/>
      <c r="CY302" s="403"/>
      <c r="CZ302" s="403"/>
      <c r="DA302" s="403"/>
      <c r="DB302" s="403"/>
      <c r="DC302" s="403"/>
      <c r="DD302" s="403"/>
      <c r="DE302" s="403"/>
      <c r="DF302" s="403"/>
      <c r="DG302" s="403"/>
      <c r="DH302" s="403"/>
      <c r="DI302" s="403"/>
      <c r="DJ302" s="403"/>
      <c r="DK302" s="403" t="s">
        <v>12057</v>
      </c>
      <c r="DL302" s="403"/>
      <c r="DM302" s="403"/>
      <c r="DN302" s="403"/>
      <c r="DO302" s="403"/>
      <c r="DP302" s="403"/>
      <c r="DQ302" s="403"/>
      <c r="DR302" s="403"/>
      <c r="DS302" s="403"/>
      <c r="DT302" s="403"/>
      <c r="DU302" s="403"/>
      <c r="DV302" s="403"/>
      <c r="DW302" s="403"/>
      <c r="DX302" s="403"/>
      <c r="DY302" s="403"/>
      <c r="DZ302" s="403" t="s">
        <v>12058</v>
      </c>
      <c r="EA302" s="403"/>
      <c r="EB302" s="403"/>
      <c r="EC302" s="403"/>
      <c r="ED302" s="403"/>
      <c r="EE302" s="403"/>
      <c r="EF302" s="403"/>
      <c r="EG302" s="403"/>
      <c r="EH302" s="403"/>
      <c r="EI302" s="403"/>
      <c r="EJ302" s="403"/>
      <c r="EK302" s="403"/>
      <c r="EL302" s="403"/>
      <c r="EM302" s="403"/>
      <c r="EN302" s="403"/>
      <c r="EO302" s="403"/>
      <c r="EP302" s="403"/>
      <c r="EQ302" s="403"/>
      <c r="ER302" s="403"/>
      <c r="ES302" s="403" t="s">
        <v>12059</v>
      </c>
      <c r="ET302" s="403"/>
      <c r="EU302" s="403"/>
      <c r="EV302" s="403"/>
      <c r="EW302" s="403"/>
      <c r="EX302" s="403"/>
      <c r="EY302" s="403"/>
      <c r="EZ302" s="403"/>
      <c r="FA302" s="403"/>
      <c r="FB302" s="403"/>
      <c r="FC302" s="403"/>
      <c r="FD302" s="403"/>
      <c r="FE302" s="403"/>
      <c r="FF302" s="403"/>
      <c r="FG302" s="403"/>
      <c r="FH302" s="403" t="s">
        <v>12060</v>
      </c>
      <c r="FI302" s="403"/>
      <c r="FJ302" s="403"/>
      <c r="FK302" s="403"/>
      <c r="FL302" s="403"/>
      <c r="FM302" s="403"/>
      <c r="FN302" s="403"/>
      <c r="FO302" s="403"/>
      <c r="FP302" s="403"/>
      <c r="FQ302" s="403"/>
      <c r="FR302" s="403"/>
      <c r="FS302" s="403"/>
      <c r="FT302" s="403"/>
      <c r="FU302" s="403"/>
      <c r="FV302" s="403"/>
      <c r="FW302" s="403"/>
      <c r="FX302" s="403"/>
      <c r="FY302" s="403"/>
      <c r="FZ302" s="403"/>
      <c r="GA302" s="403" t="s">
        <v>12061</v>
      </c>
      <c r="GB302" s="403"/>
      <c r="GC302" s="403"/>
      <c r="GD302" s="403"/>
      <c r="GE302" s="403"/>
      <c r="GF302" s="403"/>
      <c r="GG302" s="403"/>
      <c r="GH302" s="403"/>
      <c r="GI302" s="403"/>
      <c r="GJ302" s="403"/>
      <c r="GK302" s="403"/>
      <c r="GL302" s="403"/>
      <c r="GM302" s="403"/>
      <c r="GN302" s="403"/>
      <c r="GO302" s="403"/>
      <c r="GP302" s="403" t="s">
        <v>12062</v>
      </c>
      <c r="GQ302" s="403"/>
      <c r="GR302" s="403"/>
      <c r="GS302" s="403"/>
      <c r="GT302" s="403"/>
      <c r="GU302" s="403"/>
      <c r="GV302" s="403"/>
      <c r="GW302" s="403"/>
      <c r="GX302" s="403"/>
      <c r="GY302" s="403"/>
      <c r="GZ302" s="403"/>
      <c r="HA302" s="403"/>
      <c r="HB302" s="403"/>
      <c r="HC302" s="403"/>
      <c r="HD302" s="403"/>
      <c r="HE302" s="403"/>
      <c r="HF302" s="403"/>
      <c r="HG302" s="403"/>
      <c r="HH302" s="403"/>
      <c r="HI302" s="403" t="s">
        <v>12063</v>
      </c>
      <c r="HJ302" s="403"/>
      <c r="HK302" s="403"/>
      <c r="HL302" s="403"/>
      <c r="HM302" s="403"/>
      <c r="HN302" s="403"/>
      <c r="HO302" s="403"/>
      <c r="HP302" s="403"/>
      <c r="HQ302" s="403"/>
      <c r="HR302" s="403"/>
      <c r="HS302" s="403"/>
      <c r="HT302" s="403"/>
      <c r="HU302" s="403"/>
      <c r="HV302" s="403"/>
      <c r="HW302" s="403"/>
      <c r="HX302" s="403" t="s">
        <v>12064</v>
      </c>
      <c r="HY302" s="403"/>
      <c r="HZ302" s="403"/>
      <c r="IA302" s="403"/>
      <c r="IB302" s="403"/>
      <c r="IC302" s="403"/>
      <c r="ID302" s="403"/>
      <c r="IE302" s="403"/>
      <c r="IF302" s="403"/>
      <c r="IG302" s="403"/>
      <c r="IH302" s="403"/>
      <c r="II302" s="403"/>
      <c r="IJ302" s="403"/>
      <c r="IK302" s="403"/>
      <c r="IL302" s="403"/>
      <c r="IM302" s="403"/>
      <c r="IN302" s="403"/>
      <c r="IO302" s="403"/>
      <c r="IP302" s="403"/>
      <c r="IQ302" s="403" t="s">
        <v>12065</v>
      </c>
      <c r="IR302" s="403"/>
      <c r="IS302" s="403"/>
      <c r="IT302" s="403"/>
      <c r="IU302" s="403"/>
      <c r="IV302" s="403"/>
      <c r="IW302" s="403"/>
      <c r="IX302" s="403"/>
      <c r="IY302" s="403"/>
      <c r="IZ302" s="403"/>
      <c r="JA302" s="403"/>
      <c r="JB302" s="403"/>
      <c r="JC302" s="403"/>
      <c r="JD302" s="403"/>
      <c r="JE302" s="403"/>
      <c r="JF302" s="403" t="s">
        <v>12066</v>
      </c>
      <c r="JG302" s="403"/>
      <c r="JH302" s="403"/>
      <c r="JI302" s="403"/>
      <c r="JJ302" s="403"/>
      <c r="JK302" s="403"/>
      <c r="JL302" s="403"/>
      <c r="JM302" s="403"/>
      <c r="JN302" s="403"/>
      <c r="JO302" s="403"/>
      <c r="JP302" s="403"/>
      <c r="JQ302" s="403"/>
      <c r="JR302" s="403"/>
      <c r="JS302" s="403"/>
      <c r="JT302" s="403"/>
    </row>
    <row r="303" spans="1:280" s="15" customFormat="1" ht="12.75" x14ac:dyDescent="0.2">
      <c r="A303" s="9"/>
      <c r="B303" s="624"/>
      <c r="C303" s="66" t="str">
        <f ca="1">IF(OFFSET(AU303,0,Lang_Order*Lang__B5)="","",OFFSET(AU303,0,Lang_Order*Lang__B5))</f>
        <v>Security per Mobile Team per Day</v>
      </c>
      <c r="E303" s="26"/>
      <c r="F303" s="26"/>
      <c r="G303" s="26"/>
      <c r="H303" s="26"/>
      <c r="I303" s="26"/>
      <c r="J303" s="37" t="e">
        <f t="shared" ref="J303:O303" si="740">J243*(J273+J274)*AUCs_Security_perTeamperDay</f>
        <v>#N/A</v>
      </c>
      <c r="K303" s="37" t="e">
        <f t="shared" si="740"/>
        <v>#N/A</v>
      </c>
      <c r="L303" s="37" t="e">
        <f t="shared" si="740"/>
        <v>#N/A</v>
      </c>
      <c r="M303" s="37" t="e">
        <f t="shared" si="740"/>
        <v>#N/A</v>
      </c>
      <c r="N303" s="37" t="e">
        <f t="shared" si="740"/>
        <v>#N/A</v>
      </c>
      <c r="O303" s="37" t="e">
        <f t="shared" si="740"/>
        <v>#N/A</v>
      </c>
      <c r="P303" s="83" t="e">
        <f>SUM(J303:O303)</f>
        <v>#N/A</v>
      </c>
      <c r="Q303" s="26"/>
      <c r="R303" s="12" t="str">
        <f t="shared" ca="1" si="657"/>
        <v/>
      </c>
      <c r="S303" s="2"/>
      <c r="T303" s="241"/>
      <c r="U303" s="624"/>
      <c r="V303" s="260" t="str">
        <f ca="1">IF(OFFSET(AU303,0,Lang_Order*Lang__B5)="","",OFFSET(AU303,0,Lang_Order*Lang__B5))</f>
        <v>Security per Mobile Team per Day</v>
      </c>
      <c r="W303" s="37" t="e">
        <f t="shared" ref="W303:AB303" si="741">W243*(W273+W274)*AUCs_Security_perTeamperDay</f>
        <v>#N/A</v>
      </c>
      <c r="X303" s="37" t="e">
        <f t="shared" si="741"/>
        <v>#N/A</v>
      </c>
      <c r="Y303" s="37" t="e">
        <f t="shared" si="741"/>
        <v>#N/A</v>
      </c>
      <c r="Z303" s="37" t="e">
        <f t="shared" si="741"/>
        <v>#N/A</v>
      </c>
      <c r="AA303" s="37" t="e">
        <f t="shared" si="741"/>
        <v>#N/A</v>
      </c>
      <c r="AB303" s="37" t="e">
        <f t="shared" si="741"/>
        <v>#N/A</v>
      </c>
      <c r="AC303" s="83" t="e">
        <f>SUM(W303:AB303)</f>
        <v>#N/A</v>
      </c>
      <c r="AF303" s="241"/>
      <c r="AG303" s="624"/>
      <c r="AH303" s="260" t="str">
        <f ca="1">IF(OFFSET(AU303,0,Lang_Order*Lang__B5)="","",OFFSET(AU303,0,Lang_Order*Lang__B5))</f>
        <v>Security per Mobile Team per Day</v>
      </c>
      <c r="AI303" s="37" t="e">
        <f t="shared" ref="AI303:AN303" si="742">AI243*(AI273+AI274)*AUCs_Security_perTeamperDay</f>
        <v>#N/A</v>
      </c>
      <c r="AJ303" s="37" t="e">
        <f t="shared" si="742"/>
        <v>#N/A</v>
      </c>
      <c r="AK303" s="37" t="e">
        <f t="shared" si="742"/>
        <v>#N/A</v>
      </c>
      <c r="AL303" s="37" t="e">
        <f t="shared" si="742"/>
        <v>#N/A</v>
      </c>
      <c r="AM303" s="37" t="e">
        <f t="shared" si="742"/>
        <v>#N/A</v>
      </c>
      <c r="AN303" s="37" t="e">
        <f t="shared" si="742"/>
        <v>#N/A</v>
      </c>
      <c r="AO303" s="83" t="e">
        <f>SUM(AI303:AN303)</f>
        <v>#N/A</v>
      </c>
      <c r="AR303" s="403"/>
      <c r="AS303" s="403"/>
      <c r="AT303" s="403"/>
      <c r="AU303" s="403" t="s">
        <v>1584</v>
      </c>
      <c r="AV303" s="403"/>
      <c r="AW303" s="403"/>
      <c r="AX303" s="403"/>
      <c r="AY303" s="403"/>
      <c r="AZ303" s="403"/>
      <c r="BA303" s="403"/>
      <c r="BB303" s="403"/>
      <c r="BC303" s="403"/>
      <c r="BD303" s="403"/>
      <c r="BE303" s="403"/>
      <c r="BF303" s="403"/>
      <c r="BG303" s="403"/>
      <c r="BH303" s="403"/>
      <c r="BI303" s="403"/>
      <c r="BJ303" s="403"/>
      <c r="BK303" s="403"/>
      <c r="BL303" s="403"/>
      <c r="BM303" s="403"/>
      <c r="BN303" s="403"/>
      <c r="BO303" s="403"/>
      <c r="BP303" s="403"/>
      <c r="BQ303" s="403"/>
      <c r="BR303" s="403"/>
      <c r="BS303" s="403"/>
      <c r="BT303" s="403"/>
      <c r="BU303" s="403"/>
      <c r="BV303" s="403"/>
      <c r="BW303" s="403"/>
      <c r="BX303" s="403"/>
      <c r="BY303" s="403"/>
      <c r="BZ303" s="403"/>
      <c r="CA303" s="403"/>
      <c r="CB303" s="403"/>
      <c r="CC303" s="403" t="s">
        <v>12067</v>
      </c>
      <c r="CD303" s="403"/>
      <c r="CE303" s="403"/>
      <c r="CF303" s="403"/>
      <c r="CG303" s="403"/>
      <c r="CH303" s="403"/>
      <c r="CI303" s="403"/>
      <c r="CJ303" s="403"/>
      <c r="CK303" s="403"/>
      <c r="CL303" s="403"/>
      <c r="CM303" s="403"/>
      <c r="CN303" s="403"/>
      <c r="CO303" s="403"/>
      <c r="CP303" s="403"/>
      <c r="CQ303" s="403"/>
      <c r="CR303" s="403"/>
      <c r="CS303" s="403"/>
      <c r="CT303" s="403"/>
      <c r="CU303" s="403"/>
      <c r="CV303" s="403"/>
      <c r="CW303" s="403"/>
      <c r="CX303" s="403"/>
      <c r="CY303" s="403"/>
      <c r="CZ303" s="403"/>
      <c r="DA303" s="403"/>
      <c r="DB303" s="403"/>
      <c r="DC303" s="403"/>
      <c r="DD303" s="403"/>
      <c r="DE303" s="403"/>
      <c r="DF303" s="403"/>
      <c r="DG303" s="403"/>
      <c r="DH303" s="403"/>
      <c r="DI303" s="403"/>
      <c r="DJ303" s="403"/>
      <c r="DK303" s="403" t="s">
        <v>12068</v>
      </c>
      <c r="DL303" s="403"/>
      <c r="DM303" s="403"/>
      <c r="DN303" s="403"/>
      <c r="DO303" s="403"/>
      <c r="DP303" s="403"/>
      <c r="DQ303" s="403"/>
      <c r="DR303" s="403"/>
      <c r="DS303" s="403"/>
      <c r="DT303" s="403"/>
      <c r="DU303" s="403"/>
      <c r="DV303" s="403"/>
      <c r="DW303" s="403"/>
      <c r="DX303" s="403"/>
      <c r="DY303" s="403"/>
      <c r="DZ303" s="403"/>
      <c r="EA303" s="403"/>
      <c r="EB303" s="403"/>
      <c r="EC303" s="403"/>
      <c r="ED303" s="403"/>
      <c r="EE303" s="403"/>
      <c r="EF303" s="403"/>
      <c r="EG303" s="403"/>
      <c r="EH303" s="403"/>
      <c r="EI303" s="403"/>
      <c r="EJ303" s="403"/>
      <c r="EK303" s="403"/>
      <c r="EL303" s="403"/>
      <c r="EM303" s="403"/>
      <c r="EN303" s="403"/>
      <c r="EO303" s="403"/>
      <c r="EP303" s="403"/>
      <c r="EQ303" s="403"/>
      <c r="ER303" s="403"/>
      <c r="ES303" s="403" t="s">
        <v>12069</v>
      </c>
      <c r="ET303" s="403"/>
      <c r="EU303" s="403"/>
      <c r="EV303" s="403"/>
      <c r="EW303" s="403"/>
      <c r="EX303" s="403"/>
      <c r="EY303" s="403"/>
      <c r="EZ303" s="403"/>
      <c r="FA303" s="403"/>
      <c r="FB303" s="403"/>
      <c r="FC303" s="403"/>
      <c r="FD303" s="403"/>
      <c r="FE303" s="403"/>
      <c r="FF303" s="403"/>
      <c r="FG303" s="403"/>
      <c r="FH303" s="403"/>
      <c r="FI303" s="403"/>
      <c r="FJ303" s="403"/>
      <c r="FK303" s="403"/>
      <c r="FL303" s="403"/>
      <c r="FM303" s="403"/>
      <c r="FN303" s="403"/>
      <c r="FO303" s="403"/>
      <c r="FP303" s="403"/>
      <c r="FQ303" s="403"/>
      <c r="FR303" s="403"/>
      <c r="FS303" s="403"/>
      <c r="FT303" s="403"/>
      <c r="FU303" s="403"/>
      <c r="FV303" s="403"/>
      <c r="FW303" s="403"/>
      <c r="FX303" s="403"/>
      <c r="FY303" s="403"/>
      <c r="FZ303" s="403"/>
      <c r="GA303" s="403" t="s">
        <v>8560</v>
      </c>
      <c r="GB303" s="403"/>
      <c r="GC303" s="403"/>
      <c r="GD303" s="403"/>
      <c r="GE303" s="403"/>
      <c r="GF303" s="403"/>
      <c r="GG303" s="403"/>
      <c r="GH303" s="403"/>
      <c r="GI303" s="403"/>
      <c r="GJ303" s="403"/>
      <c r="GK303" s="403"/>
      <c r="GL303" s="403"/>
      <c r="GM303" s="403"/>
      <c r="GN303" s="403"/>
      <c r="GO303" s="403"/>
      <c r="GP303" s="403"/>
      <c r="GQ303" s="403"/>
      <c r="GR303" s="403"/>
      <c r="GS303" s="403"/>
      <c r="GT303" s="403"/>
      <c r="GU303" s="403"/>
      <c r="GV303" s="403"/>
      <c r="GW303" s="403"/>
      <c r="GX303" s="403"/>
      <c r="GY303" s="403"/>
      <c r="GZ303" s="403"/>
      <c r="HA303" s="403"/>
      <c r="HB303" s="403"/>
      <c r="HC303" s="403"/>
      <c r="HD303" s="403"/>
      <c r="HE303" s="403"/>
      <c r="HF303" s="403"/>
      <c r="HG303" s="403"/>
      <c r="HH303" s="403"/>
      <c r="HI303" s="403" t="s">
        <v>12070</v>
      </c>
      <c r="HJ303" s="403"/>
      <c r="HK303" s="403"/>
      <c r="HL303" s="403"/>
      <c r="HM303" s="403"/>
      <c r="HN303" s="403"/>
      <c r="HO303" s="403"/>
      <c r="HP303" s="403"/>
      <c r="HQ303" s="403"/>
      <c r="HR303" s="403"/>
      <c r="HS303" s="403"/>
      <c r="HT303" s="403"/>
      <c r="HU303" s="403"/>
      <c r="HV303" s="403"/>
      <c r="HW303" s="403"/>
      <c r="HX303" s="403"/>
      <c r="HY303" s="403"/>
      <c r="HZ303" s="403"/>
      <c r="IA303" s="403"/>
      <c r="IB303" s="403"/>
      <c r="IC303" s="403"/>
      <c r="ID303" s="403"/>
      <c r="IE303" s="403"/>
      <c r="IF303" s="403"/>
      <c r="IG303" s="403"/>
      <c r="IH303" s="403"/>
      <c r="II303" s="403"/>
      <c r="IJ303" s="403"/>
      <c r="IK303" s="403"/>
      <c r="IL303" s="403"/>
      <c r="IM303" s="403"/>
      <c r="IN303" s="403"/>
      <c r="IO303" s="403"/>
      <c r="IP303" s="403"/>
      <c r="IQ303" s="403" t="s">
        <v>12071</v>
      </c>
      <c r="IR303" s="403"/>
      <c r="IS303" s="403"/>
      <c r="IT303" s="403"/>
      <c r="IU303" s="403"/>
      <c r="IV303" s="403"/>
      <c r="IW303" s="403"/>
      <c r="IX303" s="403"/>
      <c r="IY303" s="403"/>
      <c r="IZ303" s="403"/>
      <c r="JA303" s="403"/>
      <c r="JB303" s="403"/>
      <c r="JC303" s="403"/>
      <c r="JD303" s="403"/>
      <c r="JE303" s="403"/>
      <c r="JF303" s="403"/>
      <c r="JG303" s="403"/>
      <c r="JH303" s="403"/>
      <c r="JI303" s="403"/>
      <c r="JJ303" s="403"/>
      <c r="JK303" s="403"/>
      <c r="JL303" s="403"/>
      <c r="JM303" s="403"/>
      <c r="JN303" s="403"/>
      <c r="JO303" s="403"/>
      <c r="JP303" s="403"/>
      <c r="JQ303" s="403"/>
      <c r="JR303" s="403"/>
      <c r="JS303" s="403"/>
      <c r="JT303" s="403"/>
    </row>
    <row r="304" spans="1:280" s="15" customFormat="1" ht="12.75" x14ac:dyDescent="0.2">
      <c r="A304" s="9"/>
      <c r="B304" s="624"/>
      <c r="C304" s="23"/>
      <c r="E304" s="26"/>
      <c r="F304" s="26"/>
      <c r="G304" s="26"/>
      <c r="H304" s="26"/>
      <c r="I304" s="26"/>
      <c r="J304" s="37"/>
      <c r="K304" s="37"/>
      <c r="L304" s="37"/>
      <c r="M304" s="37"/>
      <c r="N304" s="37"/>
      <c r="O304" s="37"/>
      <c r="P304" s="26"/>
      <c r="Q304" s="26"/>
      <c r="R304" s="12" t="str">
        <f t="shared" ca="1" si="657"/>
        <v/>
      </c>
      <c r="S304" s="2"/>
      <c r="T304" s="241"/>
      <c r="U304" s="624"/>
      <c r="V304" s="72"/>
      <c r="W304" s="37"/>
      <c r="X304" s="37"/>
      <c r="Y304" s="37"/>
      <c r="Z304" s="37"/>
      <c r="AA304" s="37"/>
      <c r="AB304" s="37"/>
      <c r="AC304" s="26"/>
      <c r="AF304" s="241"/>
      <c r="AG304" s="624"/>
      <c r="AH304" s="72"/>
      <c r="AI304" s="37"/>
      <c r="AJ304" s="37"/>
      <c r="AK304" s="37"/>
      <c r="AL304" s="37"/>
      <c r="AM304" s="37"/>
      <c r="AN304" s="37"/>
      <c r="AO304" s="26"/>
      <c r="AR304" s="403"/>
      <c r="AS304" s="403"/>
      <c r="AT304" s="403"/>
      <c r="AU304" s="403"/>
      <c r="AV304" s="403"/>
      <c r="AW304" s="403"/>
      <c r="AX304" s="403"/>
      <c r="AY304" s="403"/>
      <c r="AZ304" s="403"/>
      <c r="BA304" s="403"/>
      <c r="BB304" s="403"/>
      <c r="BC304" s="403"/>
      <c r="BD304" s="403"/>
      <c r="BE304" s="403"/>
      <c r="BF304" s="403"/>
      <c r="BG304" s="403"/>
      <c r="BH304" s="403"/>
      <c r="BI304" s="403"/>
      <c r="BJ304" s="403"/>
      <c r="BK304" s="403"/>
      <c r="BL304" s="403"/>
      <c r="BM304" s="403"/>
      <c r="BN304" s="403"/>
      <c r="BO304" s="403"/>
      <c r="BP304" s="403"/>
      <c r="BQ304" s="403"/>
      <c r="BR304" s="403"/>
      <c r="BS304" s="403"/>
      <c r="BT304" s="403"/>
      <c r="BU304" s="403"/>
      <c r="BV304" s="403"/>
      <c r="BW304" s="403"/>
      <c r="BX304" s="403"/>
      <c r="BY304" s="403"/>
      <c r="BZ304" s="403"/>
      <c r="CA304" s="403"/>
      <c r="CB304" s="403"/>
      <c r="CC304" s="403"/>
      <c r="CD304" s="403"/>
      <c r="CE304" s="403"/>
      <c r="CF304" s="403"/>
      <c r="CG304" s="403"/>
      <c r="CH304" s="403"/>
      <c r="CI304" s="403"/>
      <c r="CJ304" s="403"/>
      <c r="CK304" s="403"/>
      <c r="CL304" s="403"/>
      <c r="CM304" s="403"/>
      <c r="CN304" s="403"/>
      <c r="CO304" s="403"/>
      <c r="CP304" s="403"/>
      <c r="CQ304" s="403"/>
      <c r="CR304" s="403"/>
      <c r="CS304" s="403"/>
      <c r="CT304" s="403"/>
      <c r="CU304" s="403"/>
      <c r="CV304" s="403"/>
      <c r="CW304" s="403"/>
      <c r="CX304" s="403"/>
      <c r="CY304" s="403"/>
      <c r="CZ304" s="403"/>
      <c r="DA304" s="403"/>
      <c r="DB304" s="403"/>
      <c r="DC304" s="403"/>
      <c r="DD304" s="403"/>
      <c r="DE304" s="403"/>
      <c r="DF304" s="403"/>
      <c r="DG304" s="403"/>
      <c r="DH304" s="403"/>
      <c r="DI304" s="403"/>
      <c r="DJ304" s="403"/>
      <c r="DK304" s="403"/>
      <c r="DL304" s="403"/>
      <c r="DM304" s="403"/>
      <c r="DN304" s="403"/>
      <c r="DO304" s="403"/>
      <c r="DP304" s="403"/>
      <c r="DQ304" s="403"/>
      <c r="DR304" s="403"/>
      <c r="DS304" s="403"/>
      <c r="DT304" s="403"/>
      <c r="DU304" s="403"/>
      <c r="DV304" s="403"/>
      <c r="DW304" s="403"/>
      <c r="DX304" s="403"/>
      <c r="DY304" s="403"/>
      <c r="DZ304" s="403"/>
      <c r="EA304" s="403"/>
      <c r="EB304" s="403"/>
      <c r="EC304" s="403"/>
      <c r="ED304" s="403"/>
      <c r="EE304" s="403"/>
      <c r="EF304" s="403"/>
      <c r="EG304" s="403"/>
      <c r="EH304" s="403"/>
      <c r="EI304" s="403"/>
      <c r="EJ304" s="403"/>
      <c r="EK304" s="403"/>
      <c r="EL304" s="403"/>
      <c r="EM304" s="403"/>
      <c r="EN304" s="403"/>
      <c r="EO304" s="403"/>
      <c r="EP304" s="403"/>
      <c r="EQ304" s="403"/>
      <c r="ER304" s="403"/>
      <c r="ES304" s="403"/>
      <c r="ET304" s="403"/>
      <c r="EU304" s="403"/>
      <c r="EV304" s="403"/>
      <c r="EW304" s="403"/>
      <c r="EX304" s="403"/>
      <c r="EY304" s="403"/>
      <c r="EZ304" s="403"/>
      <c r="FA304" s="403"/>
      <c r="FB304" s="403"/>
      <c r="FC304" s="403"/>
      <c r="FD304" s="403"/>
      <c r="FE304" s="403"/>
      <c r="FF304" s="403"/>
      <c r="FG304" s="403"/>
      <c r="FH304" s="403"/>
      <c r="FI304" s="403"/>
      <c r="FJ304" s="403"/>
      <c r="FK304" s="403"/>
      <c r="FL304" s="403"/>
      <c r="FM304" s="403"/>
      <c r="FN304" s="403"/>
      <c r="FO304" s="403"/>
      <c r="FP304" s="403"/>
      <c r="FQ304" s="403"/>
      <c r="FR304" s="403"/>
      <c r="FS304" s="403"/>
      <c r="FT304" s="403"/>
      <c r="FU304" s="403"/>
      <c r="FV304" s="403"/>
      <c r="FW304" s="403"/>
      <c r="FX304" s="403"/>
      <c r="FY304" s="403"/>
      <c r="FZ304" s="403"/>
      <c r="GA304" s="403"/>
      <c r="GB304" s="403"/>
      <c r="GC304" s="403"/>
      <c r="GD304" s="403"/>
      <c r="GE304" s="403"/>
      <c r="GF304" s="403"/>
      <c r="GG304" s="403"/>
      <c r="GH304" s="403"/>
      <c r="GI304" s="403"/>
      <c r="GJ304" s="403"/>
      <c r="GK304" s="403"/>
      <c r="GL304" s="403"/>
      <c r="GM304" s="403"/>
      <c r="GN304" s="403"/>
      <c r="GO304" s="403"/>
      <c r="GP304" s="403"/>
      <c r="GQ304" s="403"/>
      <c r="GR304" s="403"/>
      <c r="GS304" s="403"/>
      <c r="GT304" s="403"/>
      <c r="GU304" s="403"/>
      <c r="GV304" s="403"/>
      <c r="GW304" s="403"/>
      <c r="GX304" s="403"/>
      <c r="GY304" s="403"/>
      <c r="GZ304" s="403"/>
      <c r="HA304" s="403"/>
      <c r="HB304" s="403"/>
      <c r="HC304" s="403"/>
      <c r="HD304" s="403"/>
      <c r="HE304" s="403"/>
      <c r="HF304" s="403"/>
      <c r="HG304" s="403"/>
      <c r="HH304" s="403"/>
      <c r="HI304" s="403"/>
      <c r="HJ304" s="403"/>
      <c r="HK304" s="403"/>
      <c r="HL304" s="403"/>
      <c r="HM304" s="403"/>
      <c r="HN304" s="403"/>
      <c r="HO304" s="403"/>
      <c r="HP304" s="403"/>
      <c r="HQ304" s="403"/>
      <c r="HR304" s="403"/>
      <c r="HS304" s="403"/>
      <c r="HT304" s="403"/>
      <c r="HU304" s="403"/>
      <c r="HV304" s="403"/>
      <c r="HW304" s="403"/>
      <c r="HX304" s="403"/>
      <c r="HY304" s="403"/>
      <c r="HZ304" s="403"/>
      <c r="IA304" s="403"/>
      <c r="IB304" s="403"/>
      <c r="IC304" s="403"/>
      <c r="ID304" s="403"/>
      <c r="IE304" s="403"/>
      <c r="IF304" s="403"/>
      <c r="IG304" s="403"/>
      <c r="IH304" s="403"/>
      <c r="II304" s="403"/>
      <c r="IJ304" s="403"/>
      <c r="IK304" s="403"/>
      <c r="IL304" s="403"/>
      <c r="IM304" s="403"/>
      <c r="IN304" s="403"/>
      <c r="IO304" s="403"/>
      <c r="IP304" s="403"/>
      <c r="IQ304" s="403"/>
      <c r="IR304" s="403"/>
      <c r="IS304" s="403"/>
      <c r="IT304" s="403"/>
      <c r="IU304" s="403"/>
      <c r="IV304" s="403"/>
      <c r="IW304" s="403"/>
      <c r="IX304" s="403"/>
      <c r="IY304" s="403"/>
      <c r="IZ304" s="403"/>
      <c r="JA304" s="403"/>
      <c r="JB304" s="403"/>
      <c r="JC304" s="403"/>
      <c r="JD304" s="403"/>
      <c r="JE304" s="403"/>
      <c r="JF304" s="403"/>
      <c r="JG304" s="403"/>
      <c r="JH304" s="403"/>
      <c r="JI304" s="403"/>
      <c r="JJ304" s="403"/>
      <c r="JK304" s="403"/>
      <c r="JL304" s="403"/>
      <c r="JM304" s="403"/>
      <c r="JN304" s="403"/>
      <c r="JO304" s="403"/>
      <c r="JP304" s="403"/>
      <c r="JQ304" s="403"/>
      <c r="JR304" s="403"/>
      <c r="JS304" s="403"/>
      <c r="JT304" s="403"/>
    </row>
    <row r="305" spans="1:280" s="15" customFormat="1" ht="12.75" x14ac:dyDescent="0.2">
      <c r="A305" s="9"/>
      <c r="B305" s="624" t="str">
        <f ca="1">IF(OFFSET(AT305,0,Lang_Order*Lang__B5)="","",OFFSET(AT305,0,Lang_Order*Lang__B5))</f>
        <v>Local Data Management and Monitoring, Pharmacovigilance</v>
      </c>
      <c r="C305" s="23"/>
      <c r="E305" s="26"/>
      <c r="F305" s="26"/>
      <c r="G305" s="26"/>
      <c r="H305" s="26"/>
      <c r="I305" s="26"/>
      <c r="J305" s="37"/>
      <c r="K305" s="37"/>
      <c r="L305" s="37"/>
      <c r="M305" s="37"/>
      <c r="N305" s="37"/>
      <c r="O305" s="37"/>
      <c r="P305" s="26"/>
      <c r="Q305" s="26"/>
      <c r="R305" s="12" t="str">
        <f t="shared" ref="R305:R311" ca="1" si="743">IF(OFFSET(BJ305,0,Lang_Order*Lang__B5)="","",OFFSET(BJ305,0,Lang_Order*Lang__B5))</f>
        <v/>
      </c>
      <c r="S305" s="2"/>
      <c r="T305" s="241"/>
      <c r="U305" s="624" t="str">
        <f ca="1">IF(OFFSET(AT305,0,Lang_Order*Lang__B5)="","",OFFSET(AT305,0,Lang_Order*Lang__B5))</f>
        <v>Local Data Management and Monitoring, Pharmacovigilance</v>
      </c>
      <c r="V305" s="72"/>
      <c r="W305" s="37"/>
      <c r="X305" s="37"/>
      <c r="Y305" s="37"/>
      <c r="Z305" s="37"/>
      <c r="AA305" s="37"/>
      <c r="AB305" s="37"/>
      <c r="AC305" s="26"/>
      <c r="AF305" s="241"/>
      <c r="AG305" s="624" t="str">
        <f ca="1">IF(OFFSET(AT305,0,Lang_Order*Lang__B5)="","",OFFSET(AT305,0,Lang_Order*Lang__B5))</f>
        <v>Local Data Management and Monitoring, Pharmacovigilance</v>
      </c>
      <c r="AH305" s="72"/>
      <c r="AI305" s="37"/>
      <c r="AJ305" s="37"/>
      <c r="AK305" s="37"/>
      <c r="AL305" s="37"/>
      <c r="AM305" s="37"/>
      <c r="AN305" s="37"/>
      <c r="AO305" s="26"/>
      <c r="AR305" s="403"/>
      <c r="AS305" s="403"/>
      <c r="AT305" s="403" t="s">
        <v>1579</v>
      </c>
      <c r="AU305" s="403"/>
      <c r="AV305" s="403"/>
      <c r="AW305" s="403"/>
      <c r="AX305" s="403"/>
      <c r="AY305" s="403"/>
      <c r="AZ305" s="403"/>
      <c r="BA305" s="403"/>
      <c r="BB305" s="403"/>
      <c r="BC305" s="403"/>
      <c r="BD305" s="403"/>
      <c r="BE305" s="403"/>
      <c r="BF305" s="403"/>
      <c r="BG305" s="403"/>
      <c r="BH305" s="403"/>
      <c r="BI305" s="403"/>
      <c r="BJ305" s="403"/>
      <c r="BK305" s="403"/>
      <c r="BL305" s="403"/>
      <c r="BM305" s="403"/>
      <c r="BN305" s="403"/>
      <c r="BO305" s="403"/>
      <c r="BP305" s="403"/>
      <c r="BQ305" s="403"/>
      <c r="BR305" s="403"/>
      <c r="BS305" s="403"/>
      <c r="BT305" s="403"/>
      <c r="BU305" s="403"/>
      <c r="BV305" s="403"/>
      <c r="BW305" s="403"/>
      <c r="BX305" s="403"/>
      <c r="BY305" s="403"/>
      <c r="BZ305" s="403"/>
      <c r="CA305" s="403"/>
      <c r="CB305" s="403" t="s">
        <v>12072</v>
      </c>
      <c r="CC305" s="403"/>
      <c r="CD305" s="403"/>
      <c r="CE305" s="403"/>
      <c r="CF305" s="403"/>
      <c r="CG305" s="403"/>
      <c r="CH305" s="403"/>
      <c r="CI305" s="403"/>
      <c r="CJ305" s="403"/>
      <c r="CK305" s="403"/>
      <c r="CL305" s="403"/>
      <c r="CM305" s="403"/>
      <c r="CN305" s="403"/>
      <c r="CO305" s="403"/>
      <c r="CP305" s="403"/>
      <c r="CQ305" s="403"/>
      <c r="CR305" s="403"/>
      <c r="CS305" s="403"/>
      <c r="CT305" s="403"/>
      <c r="CU305" s="403"/>
      <c r="CV305" s="403"/>
      <c r="CW305" s="403"/>
      <c r="CX305" s="403"/>
      <c r="CY305" s="403"/>
      <c r="CZ305" s="403"/>
      <c r="DA305" s="403"/>
      <c r="DB305" s="403"/>
      <c r="DC305" s="403"/>
      <c r="DD305" s="403"/>
      <c r="DE305" s="403"/>
      <c r="DF305" s="403"/>
      <c r="DG305" s="403"/>
      <c r="DH305" s="403"/>
      <c r="DI305" s="403"/>
      <c r="DJ305" s="403" t="s">
        <v>12073</v>
      </c>
      <c r="DK305" s="403"/>
      <c r="DL305" s="403"/>
      <c r="DM305" s="403"/>
      <c r="DN305" s="403"/>
      <c r="DO305" s="403"/>
      <c r="DP305" s="403"/>
      <c r="DQ305" s="403"/>
      <c r="DR305" s="403"/>
      <c r="DS305" s="403"/>
      <c r="DT305" s="403"/>
      <c r="DU305" s="403"/>
      <c r="DV305" s="403"/>
      <c r="DW305" s="403"/>
      <c r="DX305" s="403"/>
      <c r="DY305" s="403"/>
      <c r="DZ305" s="403"/>
      <c r="EA305" s="403"/>
      <c r="EB305" s="403"/>
      <c r="EC305" s="403"/>
      <c r="ED305" s="403"/>
      <c r="EE305" s="403"/>
      <c r="EF305" s="403"/>
      <c r="EG305" s="403"/>
      <c r="EH305" s="403"/>
      <c r="EI305" s="403"/>
      <c r="EJ305" s="403"/>
      <c r="EK305" s="403"/>
      <c r="EL305" s="403"/>
      <c r="EM305" s="403"/>
      <c r="EN305" s="403"/>
      <c r="EO305" s="403"/>
      <c r="EP305" s="403"/>
      <c r="EQ305" s="403"/>
      <c r="ER305" s="403" t="s">
        <v>12074</v>
      </c>
      <c r="ES305" s="403"/>
      <c r="ET305" s="403"/>
      <c r="EU305" s="403"/>
      <c r="EV305" s="403"/>
      <c r="EW305" s="403"/>
      <c r="EX305" s="403"/>
      <c r="EY305" s="403"/>
      <c r="EZ305" s="403"/>
      <c r="FA305" s="403"/>
      <c r="FB305" s="403"/>
      <c r="FC305" s="403"/>
      <c r="FD305" s="403"/>
      <c r="FE305" s="403"/>
      <c r="FF305" s="403"/>
      <c r="FG305" s="403"/>
      <c r="FH305" s="403"/>
      <c r="FI305" s="403"/>
      <c r="FJ305" s="403"/>
      <c r="FK305" s="403"/>
      <c r="FL305" s="403"/>
      <c r="FM305" s="403"/>
      <c r="FN305" s="403"/>
      <c r="FO305" s="403"/>
      <c r="FP305" s="403"/>
      <c r="FQ305" s="403"/>
      <c r="FR305" s="403"/>
      <c r="FS305" s="403"/>
      <c r="FT305" s="403"/>
      <c r="FU305" s="403"/>
      <c r="FV305" s="403"/>
      <c r="FW305" s="403"/>
      <c r="FX305" s="403"/>
      <c r="FY305" s="403"/>
      <c r="FZ305" s="403" t="s">
        <v>12075</v>
      </c>
      <c r="GA305" s="403"/>
      <c r="GB305" s="403"/>
      <c r="GC305" s="403"/>
      <c r="GD305" s="403"/>
      <c r="GE305" s="403"/>
      <c r="GF305" s="403"/>
      <c r="GG305" s="403"/>
      <c r="GH305" s="403"/>
      <c r="GI305" s="403"/>
      <c r="GJ305" s="403"/>
      <c r="GK305" s="403"/>
      <c r="GL305" s="403"/>
      <c r="GM305" s="403"/>
      <c r="GN305" s="403"/>
      <c r="GO305" s="403"/>
      <c r="GP305" s="403"/>
      <c r="GQ305" s="403"/>
      <c r="GR305" s="403"/>
      <c r="GS305" s="403"/>
      <c r="GT305" s="403"/>
      <c r="GU305" s="403"/>
      <c r="GV305" s="403"/>
      <c r="GW305" s="403"/>
      <c r="GX305" s="403"/>
      <c r="GY305" s="403"/>
      <c r="GZ305" s="403"/>
      <c r="HA305" s="403"/>
      <c r="HB305" s="403"/>
      <c r="HC305" s="403"/>
      <c r="HD305" s="403"/>
      <c r="HE305" s="403"/>
      <c r="HF305" s="403"/>
      <c r="HG305" s="403"/>
      <c r="HH305" s="403" t="s">
        <v>12076</v>
      </c>
      <c r="HI305" s="403"/>
      <c r="HJ305" s="403"/>
      <c r="HK305" s="403"/>
      <c r="HL305" s="403"/>
      <c r="HM305" s="403"/>
      <c r="HN305" s="403"/>
      <c r="HO305" s="403"/>
      <c r="HP305" s="403"/>
      <c r="HQ305" s="403"/>
      <c r="HR305" s="403"/>
      <c r="HS305" s="403"/>
      <c r="HT305" s="403"/>
      <c r="HU305" s="403"/>
      <c r="HV305" s="403"/>
      <c r="HW305" s="403"/>
      <c r="HX305" s="403"/>
      <c r="HY305" s="403"/>
      <c r="HZ305" s="403"/>
      <c r="IA305" s="403"/>
      <c r="IB305" s="403"/>
      <c r="IC305" s="403"/>
      <c r="ID305" s="403"/>
      <c r="IE305" s="403"/>
      <c r="IF305" s="403"/>
      <c r="IG305" s="403"/>
      <c r="IH305" s="403"/>
      <c r="II305" s="403"/>
      <c r="IJ305" s="403"/>
      <c r="IK305" s="403"/>
      <c r="IL305" s="403"/>
      <c r="IM305" s="403"/>
      <c r="IN305" s="403"/>
      <c r="IO305" s="403"/>
      <c r="IP305" s="403" t="s">
        <v>12077</v>
      </c>
      <c r="IQ305" s="403"/>
      <c r="IR305" s="403"/>
      <c r="IS305" s="403"/>
      <c r="IT305" s="403"/>
      <c r="IU305" s="403"/>
      <c r="IV305" s="403"/>
      <c r="IW305" s="403"/>
      <c r="IX305" s="403"/>
      <c r="IY305" s="403"/>
      <c r="IZ305" s="403"/>
      <c r="JA305" s="403"/>
      <c r="JB305" s="403"/>
      <c r="JC305" s="403"/>
      <c r="JD305" s="403"/>
      <c r="JE305" s="403"/>
      <c r="JF305" s="403"/>
      <c r="JG305" s="403"/>
      <c r="JH305" s="403"/>
      <c r="JI305" s="403"/>
      <c r="JJ305" s="403"/>
      <c r="JK305" s="403"/>
      <c r="JL305" s="403"/>
      <c r="JM305" s="403"/>
      <c r="JN305" s="403"/>
      <c r="JO305" s="403"/>
      <c r="JP305" s="403"/>
      <c r="JQ305" s="403"/>
      <c r="JR305" s="403"/>
      <c r="JS305" s="403"/>
      <c r="JT305" s="403"/>
    </row>
    <row r="306" spans="1:280" s="15" customFormat="1" ht="12.75" x14ac:dyDescent="0.2">
      <c r="A306" s="9"/>
      <c r="B306" s="624"/>
      <c r="C306" s="23" t="str">
        <f ca="1">IF(OFFSET(AU306,0,Lang_Order*Lang__B5)="","",OFFSET(AU306,0,Lang_Order*Lang__B5))</f>
        <v>Per Team</v>
      </c>
      <c r="E306" s="26"/>
      <c r="F306" s="26"/>
      <c r="G306" s="26"/>
      <c r="H306" s="26"/>
      <c r="I306" s="26"/>
      <c r="J306" s="37" t="e">
        <f>RBF_DM4*Q254*AUCs_Data_perSite</f>
        <v>#N/A</v>
      </c>
      <c r="K306" s="37"/>
      <c r="L306" s="37"/>
      <c r="M306" s="37"/>
      <c r="N306" s="37"/>
      <c r="O306" s="37"/>
      <c r="P306" s="83" t="e">
        <f>SUM(J306:O306)</f>
        <v>#N/A</v>
      </c>
      <c r="Q306" s="26"/>
      <c r="R306" s="12" t="str">
        <f t="shared" ca="1" si="743"/>
        <v/>
      </c>
      <c r="S306" s="2"/>
      <c r="T306" s="241"/>
      <c r="U306" s="624"/>
      <c r="V306" s="72" t="str">
        <f ca="1">IF(OFFSET(AU306,0,Lang_Order*Lang__B5)="","",OFFSET(AU306,0,Lang_Order*Lang__B5))</f>
        <v>Per Team</v>
      </c>
      <c r="W306" s="300" t="e">
        <f>RBF_DM4*AD254*AUCs_Data_perSite</f>
        <v>#N/A</v>
      </c>
      <c r="X306" s="300"/>
      <c r="Y306" s="300"/>
      <c r="Z306" s="300"/>
      <c r="AA306" s="300"/>
      <c r="AB306" s="300"/>
      <c r="AC306" s="83" t="e">
        <f>SUM(W306:AB306)</f>
        <v>#N/A</v>
      </c>
      <c r="AF306" s="241"/>
      <c r="AG306" s="624"/>
      <c r="AH306" s="72" t="str">
        <f ca="1">IF(OFFSET(AU306,0,Lang_Order*Lang__B5)="","",OFFSET(AU306,0,Lang_Order*Lang__B5))</f>
        <v>Per Team</v>
      </c>
      <c r="AI306" s="300" t="e">
        <f>RBF_DM4*AP254*AUCs_Data_perSite</f>
        <v>#N/A</v>
      </c>
      <c r="AJ306" s="300"/>
      <c r="AK306" s="300"/>
      <c r="AL306" s="300"/>
      <c r="AM306" s="300"/>
      <c r="AN306" s="300"/>
      <c r="AO306" s="83" t="e">
        <f>SUM(AI306:AN306)</f>
        <v>#N/A</v>
      </c>
      <c r="AR306" s="403"/>
      <c r="AS306" s="403"/>
      <c r="AT306" s="403"/>
      <c r="AU306" s="403" t="s">
        <v>3959</v>
      </c>
      <c r="AV306" s="403"/>
      <c r="AW306" s="403"/>
      <c r="AX306" s="403"/>
      <c r="AY306" s="403"/>
      <c r="AZ306" s="403"/>
      <c r="BA306" s="403"/>
      <c r="BB306" s="403"/>
      <c r="BC306" s="403"/>
      <c r="BD306" s="403"/>
      <c r="BE306" s="403"/>
      <c r="BF306" s="403"/>
      <c r="BG306" s="403"/>
      <c r="BH306" s="403"/>
      <c r="BI306" s="403"/>
      <c r="BJ306" s="403"/>
      <c r="BK306" s="403"/>
      <c r="BL306" s="403"/>
      <c r="BM306" s="403"/>
      <c r="BN306" s="403"/>
      <c r="BO306" s="403"/>
      <c r="BP306" s="403"/>
      <c r="BQ306" s="403"/>
      <c r="BR306" s="403"/>
      <c r="BS306" s="403"/>
      <c r="BT306" s="403"/>
      <c r="BU306" s="403"/>
      <c r="BV306" s="403"/>
      <c r="BW306" s="403"/>
      <c r="BX306" s="403"/>
      <c r="BY306" s="403"/>
      <c r="BZ306" s="403"/>
      <c r="CA306" s="403"/>
      <c r="CB306" s="403"/>
      <c r="CC306" s="403" t="s">
        <v>8920</v>
      </c>
      <c r="CD306" s="403"/>
      <c r="CE306" s="403"/>
      <c r="CF306" s="403"/>
      <c r="CG306" s="403"/>
      <c r="CH306" s="403"/>
      <c r="CI306" s="403"/>
      <c r="CJ306" s="403"/>
      <c r="CK306" s="403"/>
      <c r="CL306" s="403"/>
      <c r="CM306" s="403"/>
      <c r="CN306" s="403"/>
      <c r="CO306" s="403"/>
      <c r="CP306" s="403"/>
      <c r="CQ306" s="403"/>
      <c r="CR306" s="403"/>
      <c r="CS306" s="403"/>
      <c r="CT306" s="403"/>
      <c r="CU306" s="403"/>
      <c r="CV306" s="403"/>
      <c r="CW306" s="403"/>
      <c r="CX306" s="403"/>
      <c r="CY306" s="403"/>
      <c r="CZ306" s="403"/>
      <c r="DA306" s="403"/>
      <c r="DB306" s="403"/>
      <c r="DC306" s="403"/>
      <c r="DD306" s="403"/>
      <c r="DE306" s="403"/>
      <c r="DF306" s="403"/>
      <c r="DG306" s="403"/>
      <c r="DH306" s="403"/>
      <c r="DI306" s="403"/>
      <c r="DJ306" s="403"/>
      <c r="DK306" s="403" t="s">
        <v>8923</v>
      </c>
      <c r="DL306" s="403"/>
      <c r="DM306" s="403"/>
      <c r="DN306" s="403"/>
      <c r="DO306" s="403"/>
      <c r="DP306" s="403"/>
      <c r="DQ306" s="403"/>
      <c r="DR306" s="403"/>
      <c r="DS306" s="403"/>
      <c r="DT306" s="403"/>
      <c r="DU306" s="403"/>
      <c r="DV306" s="403"/>
      <c r="DW306" s="403"/>
      <c r="DX306" s="403"/>
      <c r="DY306" s="403"/>
      <c r="DZ306" s="403"/>
      <c r="EA306" s="403"/>
      <c r="EB306" s="403"/>
      <c r="EC306" s="403"/>
      <c r="ED306" s="403"/>
      <c r="EE306" s="403"/>
      <c r="EF306" s="403"/>
      <c r="EG306" s="403"/>
      <c r="EH306" s="403"/>
      <c r="EI306" s="403"/>
      <c r="EJ306" s="403"/>
      <c r="EK306" s="403"/>
      <c r="EL306" s="403"/>
      <c r="EM306" s="403"/>
      <c r="EN306" s="403"/>
      <c r="EO306" s="403"/>
      <c r="EP306" s="403"/>
      <c r="EQ306" s="403"/>
      <c r="ER306" s="403"/>
      <c r="ES306" s="403" t="s">
        <v>8926</v>
      </c>
      <c r="ET306" s="403"/>
      <c r="EU306" s="403"/>
      <c r="EV306" s="403"/>
      <c r="EW306" s="403"/>
      <c r="EX306" s="403"/>
      <c r="EY306" s="403"/>
      <c r="EZ306" s="403"/>
      <c r="FA306" s="403"/>
      <c r="FB306" s="403"/>
      <c r="FC306" s="403"/>
      <c r="FD306" s="403"/>
      <c r="FE306" s="403"/>
      <c r="FF306" s="403"/>
      <c r="FG306" s="403"/>
      <c r="FH306" s="403"/>
      <c r="FI306" s="403"/>
      <c r="FJ306" s="403"/>
      <c r="FK306" s="403"/>
      <c r="FL306" s="403"/>
      <c r="FM306" s="403"/>
      <c r="FN306" s="403"/>
      <c r="FO306" s="403"/>
      <c r="FP306" s="403"/>
      <c r="FQ306" s="403"/>
      <c r="FR306" s="403"/>
      <c r="FS306" s="403"/>
      <c r="FT306" s="403"/>
      <c r="FU306" s="403"/>
      <c r="FV306" s="403"/>
      <c r="FW306" s="403"/>
      <c r="FX306" s="403"/>
      <c r="FY306" s="403"/>
      <c r="FZ306" s="403"/>
      <c r="GA306" s="403" t="s">
        <v>8929</v>
      </c>
      <c r="GB306" s="403"/>
      <c r="GC306" s="403"/>
      <c r="GD306" s="403"/>
      <c r="GE306" s="403"/>
      <c r="GF306" s="403"/>
      <c r="GG306" s="403"/>
      <c r="GH306" s="403"/>
      <c r="GI306" s="403"/>
      <c r="GJ306" s="403"/>
      <c r="GK306" s="403"/>
      <c r="GL306" s="403"/>
      <c r="GM306" s="403"/>
      <c r="GN306" s="403"/>
      <c r="GO306" s="403"/>
      <c r="GP306" s="403"/>
      <c r="GQ306" s="403"/>
      <c r="GR306" s="403"/>
      <c r="GS306" s="403"/>
      <c r="GT306" s="403"/>
      <c r="GU306" s="403"/>
      <c r="GV306" s="403"/>
      <c r="GW306" s="403"/>
      <c r="GX306" s="403"/>
      <c r="GY306" s="403"/>
      <c r="GZ306" s="403"/>
      <c r="HA306" s="403"/>
      <c r="HB306" s="403"/>
      <c r="HC306" s="403"/>
      <c r="HD306" s="403"/>
      <c r="HE306" s="403"/>
      <c r="HF306" s="403"/>
      <c r="HG306" s="403"/>
      <c r="HH306" s="403"/>
      <c r="HI306" s="403" t="s">
        <v>8932</v>
      </c>
      <c r="HJ306" s="403"/>
      <c r="HK306" s="403"/>
      <c r="HL306" s="403"/>
      <c r="HM306" s="403"/>
      <c r="HN306" s="403"/>
      <c r="HO306" s="403"/>
      <c r="HP306" s="403"/>
      <c r="HQ306" s="403"/>
      <c r="HR306" s="403"/>
      <c r="HS306" s="403"/>
      <c r="HT306" s="403"/>
      <c r="HU306" s="403"/>
      <c r="HV306" s="403"/>
      <c r="HW306" s="403"/>
      <c r="HX306" s="403"/>
      <c r="HY306" s="403"/>
      <c r="HZ306" s="403"/>
      <c r="IA306" s="403"/>
      <c r="IB306" s="403"/>
      <c r="IC306" s="403"/>
      <c r="ID306" s="403"/>
      <c r="IE306" s="403"/>
      <c r="IF306" s="403"/>
      <c r="IG306" s="403"/>
      <c r="IH306" s="403"/>
      <c r="II306" s="403"/>
      <c r="IJ306" s="403"/>
      <c r="IK306" s="403"/>
      <c r="IL306" s="403"/>
      <c r="IM306" s="403"/>
      <c r="IN306" s="403"/>
      <c r="IO306" s="403"/>
      <c r="IP306" s="403"/>
      <c r="IQ306" s="403" t="s">
        <v>8935</v>
      </c>
      <c r="IR306" s="403"/>
      <c r="IS306" s="403"/>
      <c r="IT306" s="403"/>
      <c r="IU306" s="403"/>
      <c r="IV306" s="403"/>
      <c r="IW306" s="403"/>
      <c r="IX306" s="403"/>
      <c r="IY306" s="403"/>
      <c r="IZ306" s="403"/>
      <c r="JA306" s="403"/>
      <c r="JB306" s="403"/>
      <c r="JC306" s="403"/>
      <c r="JD306" s="403"/>
      <c r="JE306" s="403"/>
      <c r="JF306" s="403"/>
      <c r="JG306" s="403"/>
      <c r="JH306" s="403"/>
      <c r="JI306" s="403"/>
      <c r="JJ306" s="403"/>
      <c r="JK306" s="403"/>
      <c r="JL306" s="403"/>
      <c r="JM306" s="403"/>
      <c r="JN306" s="403"/>
      <c r="JO306" s="403"/>
      <c r="JP306" s="403"/>
      <c r="JQ306" s="403"/>
      <c r="JR306" s="403"/>
      <c r="JS306" s="403"/>
      <c r="JT306" s="403"/>
    </row>
    <row r="307" spans="1:280" s="15" customFormat="1" ht="12.75" x14ac:dyDescent="0.2">
      <c r="A307" s="9"/>
      <c r="B307" s="624"/>
      <c r="C307" s="23" t="str">
        <f ca="1">IF(OFFSET(AU307,0,Lang_Order*Lang__B5)="","",OFFSET(AU307,0,Lang_Order*Lang__B5))</f>
        <v>Per Site per Day</v>
      </c>
      <c r="E307" s="26"/>
      <c r="F307" s="26"/>
      <c r="G307" s="26"/>
      <c r="H307" s="26"/>
      <c r="I307" s="26"/>
      <c r="J307" s="37" t="e">
        <f t="shared" ref="J307:O307" si="744">J284*AUCs_Data_perSiteperDay</f>
        <v>#N/A</v>
      </c>
      <c r="K307" s="37" t="e">
        <f t="shared" si="744"/>
        <v>#N/A</v>
      </c>
      <c r="L307" s="37" t="e">
        <f t="shared" si="744"/>
        <v>#N/A</v>
      </c>
      <c r="M307" s="37" t="e">
        <f t="shared" si="744"/>
        <v>#N/A</v>
      </c>
      <c r="N307" s="37" t="e">
        <f t="shared" si="744"/>
        <v>#N/A</v>
      </c>
      <c r="O307" s="37" t="e">
        <f t="shared" si="744"/>
        <v>#N/A</v>
      </c>
      <c r="P307" s="83" t="e">
        <f>SUM(J307:O307)</f>
        <v>#N/A</v>
      </c>
      <c r="Q307" s="83"/>
      <c r="R307" s="12" t="str">
        <f t="shared" ca="1" si="743"/>
        <v/>
      </c>
      <c r="S307" s="2"/>
      <c r="T307" s="241"/>
      <c r="U307" s="624"/>
      <c r="V307" s="72" t="str">
        <f ca="1">IF(OFFSET(AU307,0,Lang_Order*Lang__B5)="","",OFFSET(AU307,0,Lang_Order*Lang__B5))</f>
        <v>Per Site per Day</v>
      </c>
      <c r="W307" s="37" t="e">
        <f t="shared" ref="W307:AB307" si="745">W284*AUCs_Data_perSiteperDay</f>
        <v>#N/A</v>
      </c>
      <c r="X307" s="37" t="e">
        <f t="shared" si="745"/>
        <v>#N/A</v>
      </c>
      <c r="Y307" s="37" t="e">
        <f t="shared" si="745"/>
        <v>#N/A</v>
      </c>
      <c r="Z307" s="37" t="e">
        <f t="shared" si="745"/>
        <v>#N/A</v>
      </c>
      <c r="AA307" s="37" t="e">
        <f t="shared" si="745"/>
        <v>#N/A</v>
      </c>
      <c r="AB307" s="37" t="e">
        <f t="shared" si="745"/>
        <v>#N/A</v>
      </c>
      <c r="AC307" s="83" t="e">
        <f>SUM(W307:AB307)</f>
        <v>#N/A</v>
      </c>
      <c r="AF307" s="241"/>
      <c r="AG307" s="624"/>
      <c r="AH307" s="72" t="str">
        <f ca="1">IF(OFFSET(AU307,0,Lang_Order*Lang__B5)="","",OFFSET(AU307,0,Lang_Order*Lang__B5))</f>
        <v>Per Site per Day</v>
      </c>
      <c r="AI307" s="37" t="e">
        <f t="shared" ref="AI307:AN307" si="746">AI284*AUCs_Data_perSiteperDay</f>
        <v>#N/A</v>
      </c>
      <c r="AJ307" s="37" t="e">
        <f t="shared" si="746"/>
        <v>#N/A</v>
      </c>
      <c r="AK307" s="37" t="e">
        <f t="shared" si="746"/>
        <v>#N/A</v>
      </c>
      <c r="AL307" s="37" t="e">
        <f t="shared" si="746"/>
        <v>#N/A</v>
      </c>
      <c r="AM307" s="37" t="e">
        <f t="shared" si="746"/>
        <v>#N/A</v>
      </c>
      <c r="AN307" s="37" t="e">
        <f t="shared" si="746"/>
        <v>#N/A</v>
      </c>
      <c r="AO307" s="83" t="e">
        <f>SUM(AI307:AN307)</f>
        <v>#N/A</v>
      </c>
      <c r="AR307" s="403"/>
      <c r="AS307" s="403"/>
      <c r="AT307" s="403"/>
      <c r="AU307" s="403" t="s">
        <v>1586</v>
      </c>
      <c r="AV307" s="403"/>
      <c r="AW307" s="403"/>
      <c r="AX307" s="403"/>
      <c r="AY307" s="403"/>
      <c r="AZ307" s="403"/>
      <c r="BA307" s="403"/>
      <c r="BB307" s="403"/>
      <c r="BC307" s="403"/>
      <c r="BD307" s="403"/>
      <c r="BE307" s="403"/>
      <c r="BF307" s="403"/>
      <c r="BG307" s="403"/>
      <c r="BH307" s="403"/>
      <c r="BI307" s="403"/>
      <c r="BJ307" s="403"/>
      <c r="BK307" s="403"/>
      <c r="BL307" s="403"/>
      <c r="BM307" s="403"/>
      <c r="BN307" s="403"/>
      <c r="BO307" s="403"/>
      <c r="BP307" s="403"/>
      <c r="BQ307" s="403"/>
      <c r="BR307" s="403"/>
      <c r="BS307" s="403"/>
      <c r="BT307" s="403"/>
      <c r="BU307" s="403"/>
      <c r="BV307" s="403"/>
      <c r="BW307" s="403"/>
      <c r="BX307" s="403"/>
      <c r="BY307" s="403"/>
      <c r="BZ307" s="403"/>
      <c r="CA307" s="403"/>
      <c r="CB307" s="403"/>
      <c r="CC307" s="403" t="s">
        <v>12078</v>
      </c>
      <c r="CD307" s="403"/>
      <c r="CE307" s="403"/>
      <c r="CF307" s="403"/>
      <c r="CG307" s="403"/>
      <c r="CH307" s="403"/>
      <c r="CI307" s="403"/>
      <c r="CJ307" s="403"/>
      <c r="CK307" s="403"/>
      <c r="CL307" s="403"/>
      <c r="CM307" s="403"/>
      <c r="CN307" s="403"/>
      <c r="CO307" s="403"/>
      <c r="CP307" s="403"/>
      <c r="CQ307" s="403"/>
      <c r="CR307" s="403"/>
      <c r="CS307" s="403"/>
      <c r="CT307" s="403"/>
      <c r="CU307" s="403"/>
      <c r="CV307" s="403"/>
      <c r="CW307" s="403"/>
      <c r="CX307" s="403"/>
      <c r="CY307" s="403"/>
      <c r="CZ307" s="403"/>
      <c r="DA307" s="403"/>
      <c r="DB307" s="403"/>
      <c r="DC307" s="403"/>
      <c r="DD307" s="403"/>
      <c r="DE307" s="403"/>
      <c r="DF307" s="403"/>
      <c r="DG307" s="403"/>
      <c r="DH307" s="403"/>
      <c r="DI307" s="403"/>
      <c r="DJ307" s="403"/>
      <c r="DK307" s="403" t="s">
        <v>12079</v>
      </c>
      <c r="DL307" s="403"/>
      <c r="DM307" s="403"/>
      <c r="DN307" s="403"/>
      <c r="DO307" s="403"/>
      <c r="DP307" s="403"/>
      <c r="DQ307" s="403"/>
      <c r="DR307" s="403"/>
      <c r="DS307" s="403"/>
      <c r="DT307" s="403"/>
      <c r="DU307" s="403"/>
      <c r="DV307" s="403"/>
      <c r="DW307" s="403"/>
      <c r="DX307" s="403"/>
      <c r="DY307" s="403"/>
      <c r="DZ307" s="403"/>
      <c r="EA307" s="403"/>
      <c r="EB307" s="403"/>
      <c r="EC307" s="403"/>
      <c r="ED307" s="403"/>
      <c r="EE307" s="403"/>
      <c r="EF307" s="403"/>
      <c r="EG307" s="403"/>
      <c r="EH307" s="403"/>
      <c r="EI307" s="403"/>
      <c r="EJ307" s="403"/>
      <c r="EK307" s="403"/>
      <c r="EL307" s="403"/>
      <c r="EM307" s="403"/>
      <c r="EN307" s="403"/>
      <c r="EO307" s="403"/>
      <c r="EP307" s="403"/>
      <c r="EQ307" s="403"/>
      <c r="ER307" s="403"/>
      <c r="ES307" s="403" t="s">
        <v>8437</v>
      </c>
      <c r="ET307" s="403"/>
      <c r="EU307" s="403"/>
      <c r="EV307" s="403"/>
      <c r="EW307" s="403"/>
      <c r="EX307" s="403"/>
      <c r="EY307" s="403"/>
      <c r="EZ307" s="403"/>
      <c r="FA307" s="403"/>
      <c r="FB307" s="403"/>
      <c r="FC307" s="403"/>
      <c r="FD307" s="403"/>
      <c r="FE307" s="403"/>
      <c r="FF307" s="403"/>
      <c r="FG307" s="403"/>
      <c r="FH307" s="403"/>
      <c r="FI307" s="403"/>
      <c r="FJ307" s="403"/>
      <c r="FK307" s="403"/>
      <c r="FL307" s="403"/>
      <c r="FM307" s="403"/>
      <c r="FN307" s="403"/>
      <c r="FO307" s="403"/>
      <c r="FP307" s="403"/>
      <c r="FQ307" s="403"/>
      <c r="FR307" s="403"/>
      <c r="FS307" s="403"/>
      <c r="FT307" s="403"/>
      <c r="FU307" s="403"/>
      <c r="FV307" s="403"/>
      <c r="FW307" s="403"/>
      <c r="FX307" s="403"/>
      <c r="FY307" s="403"/>
      <c r="FZ307" s="403"/>
      <c r="GA307" s="403" t="s">
        <v>8439</v>
      </c>
      <c r="GB307" s="403"/>
      <c r="GC307" s="403"/>
      <c r="GD307" s="403"/>
      <c r="GE307" s="403"/>
      <c r="GF307" s="403"/>
      <c r="GG307" s="403"/>
      <c r="GH307" s="403"/>
      <c r="GI307" s="403"/>
      <c r="GJ307" s="403"/>
      <c r="GK307" s="403"/>
      <c r="GL307" s="403"/>
      <c r="GM307" s="403"/>
      <c r="GN307" s="403"/>
      <c r="GO307" s="403"/>
      <c r="GP307" s="403"/>
      <c r="GQ307" s="403"/>
      <c r="GR307" s="403"/>
      <c r="GS307" s="403"/>
      <c r="GT307" s="403"/>
      <c r="GU307" s="403"/>
      <c r="GV307" s="403"/>
      <c r="GW307" s="403"/>
      <c r="GX307" s="403"/>
      <c r="GY307" s="403"/>
      <c r="GZ307" s="403"/>
      <c r="HA307" s="403"/>
      <c r="HB307" s="403"/>
      <c r="HC307" s="403"/>
      <c r="HD307" s="403"/>
      <c r="HE307" s="403"/>
      <c r="HF307" s="403"/>
      <c r="HG307" s="403"/>
      <c r="HH307" s="403"/>
      <c r="HI307" s="403" t="s">
        <v>12080</v>
      </c>
      <c r="HJ307" s="403"/>
      <c r="HK307" s="403"/>
      <c r="HL307" s="403"/>
      <c r="HM307" s="403"/>
      <c r="HN307" s="403"/>
      <c r="HO307" s="403"/>
      <c r="HP307" s="403"/>
      <c r="HQ307" s="403"/>
      <c r="HR307" s="403"/>
      <c r="HS307" s="403"/>
      <c r="HT307" s="403"/>
      <c r="HU307" s="403"/>
      <c r="HV307" s="403"/>
      <c r="HW307" s="403"/>
      <c r="HX307" s="403"/>
      <c r="HY307" s="403"/>
      <c r="HZ307" s="403"/>
      <c r="IA307" s="403"/>
      <c r="IB307" s="403"/>
      <c r="IC307" s="403"/>
      <c r="ID307" s="403"/>
      <c r="IE307" s="403"/>
      <c r="IF307" s="403"/>
      <c r="IG307" s="403"/>
      <c r="IH307" s="403"/>
      <c r="II307" s="403"/>
      <c r="IJ307" s="403"/>
      <c r="IK307" s="403"/>
      <c r="IL307" s="403"/>
      <c r="IM307" s="403"/>
      <c r="IN307" s="403"/>
      <c r="IO307" s="403"/>
      <c r="IP307" s="403"/>
      <c r="IQ307" s="403" t="s">
        <v>12081</v>
      </c>
      <c r="IR307" s="403"/>
      <c r="IS307" s="403"/>
      <c r="IT307" s="403"/>
      <c r="IU307" s="403"/>
      <c r="IV307" s="403"/>
      <c r="IW307" s="403"/>
      <c r="IX307" s="403"/>
      <c r="IY307" s="403"/>
      <c r="IZ307" s="403"/>
      <c r="JA307" s="403"/>
      <c r="JB307" s="403"/>
      <c r="JC307" s="403"/>
      <c r="JD307" s="403"/>
      <c r="JE307" s="403"/>
      <c r="JF307" s="403"/>
      <c r="JG307" s="403"/>
      <c r="JH307" s="403"/>
      <c r="JI307" s="403"/>
      <c r="JJ307" s="403"/>
      <c r="JK307" s="403"/>
      <c r="JL307" s="403"/>
      <c r="JM307" s="403"/>
      <c r="JN307" s="403"/>
      <c r="JO307" s="403"/>
      <c r="JP307" s="403"/>
      <c r="JQ307" s="403"/>
      <c r="JR307" s="403"/>
      <c r="JS307" s="403"/>
      <c r="JT307" s="403"/>
    </row>
    <row r="308" spans="1:280" s="15" customFormat="1" ht="12.75" x14ac:dyDescent="0.2">
      <c r="A308" s="9"/>
      <c r="B308" s="624"/>
      <c r="C308" s="23"/>
      <c r="E308" s="26"/>
      <c r="F308" s="26"/>
      <c r="G308" s="26"/>
      <c r="H308" s="26"/>
      <c r="I308" s="26"/>
      <c r="J308" s="37"/>
      <c r="K308" s="37"/>
      <c r="L308" s="37"/>
      <c r="M308" s="37"/>
      <c r="N308" s="37"/>
      <c r="O308" s="37"/>
      <c r="P308" s="26"/>
      <c r="Q308" s="26"/>
      <c r="R308" s="12" t="str">
        <f t="shared" ca="1" si="743"/>
        <v/>
      </c>
      <c r="S308" s="2"/>
      <c r="T308" s="241"/>
      <c r="U308" s="624"/>
      <c r="V308" s="72"/>
      <c r="AC308" s="26"/>
      <c r="AF308" s="241"/>
      <c r="AG308" s="624"/>
      <c r="AH308" s="72"/>
      <c r="AO308" s="26"/>
      <c r="AR308" s="403"/>
      <c r="AS308" s="403"/>
      <c r="AT308" s="403"/>
      <c r="AU308" s="403"/>
      <c r="AV308" s="403"/>
      <c r="AW308" s="403"/>
      <c r="AX308" s="403"/>
      <c r="AY308" s="403"/>
      <c r="AZ308" s="403"/>
      <c r="BA308" s="403"/>
      <c r="BB308" s="403"/>
      <c r="BC308" s="403"/>
      <c r="BD308" s="403"/>
      <c r="BE308" s="403"/>
      <c r="BF308" s="403"/>
      <c r="BG308" s="403"/>
      <c r="BH308" s="403"/>
      <c r="BI308" s="403"/>
      <c r="BJ308" s="403"/>
      <c r="BK308" s="403"/>
      <c r="BL308" s="403"/>
      <c r="BM308" s="403"/>
      <c r="BN308" s="403"/>
      <c r="BO308" s="403"/>
      <c r="BP308" s="403"/>
      <c r="BQ308" s="403"/>
      <c r="BR308" s="403"/>
      <c r="BS308" s="403"/>
      <c r="BT308" s="403"/>
      <c r="BU308" s="403"/>
      <c r="BV308" s="403"/>
      <c r="BW308" s="403"/>
      <c r="BX308" s="403"/>
      <c r="BY308" s="403"/>
      <c r="BZ308" s="403"/>
      <c r="CA308" s="403"/>
      <c r="CB308" s="403"/>
      <c r="CC308" s="403"/>
      <c r="CD308" s="403"/>
      <c r="CE308" s="403"/>
      <c r="CF308" s="403"/>
      <c r="CG308" s="403"/>
      <c r="CH308" s="403"/>
      <c r="CI308" s="403"/>
      <c r="CJ308" s="403"/>
      <c r="CK308" s="403"/>
      <c r="CL308" s="403"/>
      <c r="CM308" s="403"/>
      <c r="CN308" s="403"/>
      <c r="CO308" s="403"/>
      <c r="CP308" s="403"/>
      <c r="CQ308" s="403"/>
      <c r="CR308" s="403"/>
      <c r="CS308" s="403"/>
      <c r="CT308" s="403"/>
      <c r="CU308" s="403"/>
      <c r="CV308" s="403"/>
      <c r="CW308" s="403"/>
      <c r="CX308" s="403"/>
      <c r="CY308" s="403"/>
      <c r="CZ308" s="403"/>
      <c r="DA308" s="403"/>
      <c r="DB308" s="403"/>
      <c r="DC308" s="403"/>
      <c r="DD308" s="403"/>
      <c r="DE308" s="403"/>
      <c r="DF308" s="403"/>
      <c r="DG308" s="403"/>
      <c r="DH308" s="403"/>
      <c r="DI308" s="403"/>
      <c r="DJ308" s="403"/>
      <c r="DK308" s="403"/>
      <c r="DL308" s="403"/>
      <c r="DM308" s="403"/>
      <c r="DN308" s="403"/>
      <c r="DO308" s="403"/>
      <c r="DP308" s="403"/>
      <c r="DQ308" s="403"/>
      <c r="DR308" s="403"/>
      <c r="DS308" s="403"/>
      <c r="DT308" s="403"/>
      <c r="DU308" s="403"/>
      <c r="DV308" s="403"/>
      <c r="DW308" s="403"/>
      <c r="DX308" s="403"/>
      <c r="DY308" s="403"/>
      <c r="DZ308" s="403"/>
      <c r="EA308" s="403"/>
      <c r="EB308" s="403"/>
      <c r="EC308" s="403"/>
      <c r="ED308" s="403"/>
      <c r="EE308" s="403"/>
      <c r="EF308" s="403"/>
      <c r="EG308" s="403"/>
      <c r="EH308" s="403"/>
      <c r="EI308" s="403"/>
      <c r="EJ308" s="403"/>
      <c r="EK308" s="403"/>
      <c r="EL308" s="403"/>
      <c r="EM308" s="403"/>
      <c r="EN308" s="403"/>
      <c r="EO308" s="403"/>
      <c r="EP308" s="403"/>
      <c r="EQ308" s="403"/>
      <c r="ER308" s="403"/>
      <c r="ES308" s="403"/>
      <c r="ET308" s="403"/>
      <c r="EU308" s="403"/>
      <c r="EV308" s="403"/>
      <c r="EW308" s="403"/>
      <c r="EX308" s="403"/>
      <c r="EY308" s="403"/>
      <c r="EZ308" s="403"/>
      <c r="FA308" s="403"/>
      <c r="FB308" s="403"/>
      <c r="FC308" s="403"/>
      <c r="FD308" s="403"/>
      <c r="FE308" s="403"/>
      <c r="FF308" s="403"/>
      <c r="FG308" s="403"/>
      <c r="FH308" s="403"/>
      <c r="FI308" s="403"/>
      <c r="FJ308" s="403"/>
      <c r="FK308" s="403"/>
      <c r="FL308" s="403"/>
      <c r="FM308" s="403"/>
      <c r="FN308" s="403"/>
      <c r="FO308" s="403"/>
      <c r="FP308" s="403"/>
      <c r="FQ308" s="403"/>
      <c r="FR308" s="403"/>
      <c r="FS308" s="403"/>
      <c r="FT308" s="403"/>
      <c r="FU308" s="403"/>
      <c r="FV308" s="403"/>
      <c r="FW308" s="403"/>
      <c r="FX308" s="403"/>
      <c r="FY308" s="403"/>
      <c r="FZ308" s="403"/>
      <c r="GA308" s="403"/>
      <c r="GB308" s="403"/>
      <c r="GC308" s="403"/>
      <c r="GD308" s="403"/>
      <c r="GE308" s="403"/>
      <c r="GF308" s="403"/>
      <c r="GG308" s="403"/>
      <c r="GH308" s="403"/>
      <c r="GI308" s="403"/>
      <c r="GJ308" s="403"/>
      <c r="GK308" s="403"/>
      <c r="GL308" s="403"/>
      <c r="GM308" s="403"/>
      <c r="GN308" s="403"/>
      <c r="GO308" s="403"/>
      <c r="GP308" s="403"/>
      <c r="GQ308" s="403"/>
      <c r="GR308" s="403"/>
      <c r="GS308" s="403"/>
      <c r="GT308" s="403"/>
      <c r="GU308" s="403"/>
      <c r="GV308" s="403"/>
      <c r="GW308" s="403"/>
      <c r="GX308" s="403"/>
      <c r="GY308" s="403"/>
      <c r="GZ308" s="403"/>
      <c r="HA308" s="403"/>
      <c r="HB308" s="403"/>
      <c r="HC308" s="403"/>
      <c r="HD308" s="403"/>
      <c r="HE308" s="403"/>
      <c r="HF308" s="403"/>
      <c r="HG308" s="403"/>
      <c r="HH308" s="403"/>
      <c r="HI308" s="403"/>
      <c r="HJ308" s="403"/>
      <c r="HK308" s="403"/>
      <c r="HL308" s="403"/>
      <c r="HM308" s="403"/>
      <c r="HN308" s="403"/>
      <c r="HO308" s="403"/>
      <c r="HP308" s="403"/>
      <c r="HQ308" s="403"/>
      <c r="HR308" s="403"/>
      <c r="HS308" s="403"/>
      <c r="HT308" s="403"/>
      <c r="HU308" s="403"/>
      <c r="HV308" s="403"/>
      <c r="HW308" s="403"/>
      <c r="HX308" s="403"/>
      <c r="HY308" s="403"/>
      <c r="HZ308" s="403"/>
      <c r="IA308" s="403"/>
      <c r="IB308" s="403"/>
      <c r="IC308" s="403"/>
      <c r="ID308" s="403"/>
      <c r="IE308" s="403"/>
      <c r="IF308" s="403"/>
      <c r="IG308" s="403"/>
      <c r="IH308" s="403"/>
      <c r="II308" s="403"/>
      <c r="IJ308" s="403"/>
      <c r="IK308" s="403"/>
      <c r="IL308" s="403"/>
      <c r="IM308" s="403"/>
      <c r="IN308" s="403"/>
      <c r="IO308" s="403"/>
      <c r="IP308" s="403"/>
      <c r="IQ308" s="403"/>
      <c r="IR308" s="403"/>
      <c r="IS308" s="403"/>
      <c r="IT308" s="403"/>
      <c r="IU308" s="403"/>
      <c r="IV308" s="403"/>
      <c r="IW308" s="403"/>
      <c r="IX308" s="403"/>
      <c r="IY308" s="403"/>
      <c r="IZ308" s="403"/>
      <c r="JA308" s="403"/>
      <c r="JB308" s="403"/>
      <c r="JC308" s="403"/>
      <c r="JD308" s="403"/>
      <c r="JE308" s="403"/>
      <c r="JF308" s="403"/>
      <c r="JG308" s="403"/>
      <c r="JH308" s="403"/>
      <c r="JI308" s="403"/>
      <c r="JJ308" s="403"/>
      <c r="JK308" s="403"/>
      <c r="JL308" s="403"/>
      <c r="JM308" s="403"/>
      <c r="JN308" s="403"/>
      <c r="JO308" s="403"/>
      <c r="JP308" s="403"/>
      <c r="JQ308" s="403"/>
      <c r="JR308" s="403"/>
      <c r="JS308" s="403"/>
      <c r="JT308" s="403"/>
    </row>
    <row r="309" spans="1:280" s="15" customFormat="1" ht="12.75" x14ac:dyDescent="0.2">
      <c r="A309" s="9"/>
      <c r="B309" s="624" t="str">
        <f ca="1">IF(OFFSET(AT309,0,Lang_Order*Lang__B5)="","",OFFSET(AT309,0,Lang_Order*Lang__B5))</f>
        <v>Additional Interventions</v>
      </c>
      <c r="C309" s="23"/>
      <c r="E309" s="26"/>
      <c r="F309" s="26"/>
      <c r="G309" s="26"/>
      <c r="H309" s="26"/>
      <c r="I309" s="26"/>
      <c r="J309" s="37"/>
      <c r="K309" s="37"/>
      <c r="L309" s="37"/>
      <c r="M309" s="37"/>
      <c r="N309" s="37"/>
      <c r="O309" s="37"/>
      <c r="P309" s="26"/>
      <c r="Q309" s="26"/>
      <c r="R309" s="12" t="str">
        <f t="shared" ca="1" si="743"/>
        <v>DEVELOP LATER IF NEEDED</v>
      </c>
      <c r="S309" s="2"/>
      <c r="T309" s="241"/>
      <c r="U309" s="624" t="str">
        <f ca="1">IF(OFFSET(AT309,0,Lang_Order*Lang__B5)="","",OFFSET(AT309,0,Lang_Order*Lang__B5))</f>
        <v>Additional Interventions</v>
      </c>
      <c r="V309" s="72"/>
      <c r="AC309" s="26"/>
      <c r="AF309" s="241"/>
      <c r="AG309" s="624" t="str">
        <f ca="1">IF(OFFSET(AT309,0,Lang_Order*Lang__B5)="","",OFFSET(AT309,0,Lang_Order*Lang__B5))</f>
        <v>Additional Interventions</v>
      </c>
      <c r="AH309" s="72"/>
      <c r="AO309" s="26"/>
      <c r="AR309" s="403"/>
      <c r="AS309" s="403"/>
      <c r="AT309" s="403" t="s">
        <v>1578</v>
      </c>
      <c r="AU309" s="403"/>
      <c r="AV309" s="403"/>
      <c r="AW309" s="403"/>
      <c r="AX309" s="403"/>
      <c r="AY309" s="403"/>
      <c r="AZ309" s="403"/>
      <c r="BA309" s="403"/>
      <c r="BB309" s="403"/>
      <c r="BC309" s="403"/>
      <c r="BD309" s="403"/>
      <c r="BE309" s="403"/>
      <c r="BF309" s="403"/>
      <c r="BG309" s="403"/>
      <c r="BH309" s="403"/>
      <c r="BI309" s="403"/>
      <c r="BJ309" s="403" t="s">
        <v>1587</v>
      </c>
      <c r="BK309" s="403"/>
      <c r="BL309" s="403"/>
      <c r="BM309" s="403"/>
      <c r="BN309" s="403"/>
      <c r="BO309" s="403"/>
      <c r="BP309" s="403"/>
      <c r="BQ309" s="403"/>
      <c r="BR309" s="403"/>
      <c r="BS309" s="403"/>
      <c r="BT309" s="403"/>
      <c r="BU309" s="403"/>
      <c r="BV309" s="403"/>
      <c r="BW309" s="403"/>
      <c r="BX309" s="403"/>
      <c r="BY309" s="403"/>
      <c r="BZ309" s="403"/>
      <c r="CA309" s="403"/>
      <c r="CB309" s="403" t="s">
        <v>11654</v>
      </c>
      <c r="CC309" s="403"/>
      <c r="CD309" s="403"/>
      <c r="CE309" s="403"/>
      <c r="CF309" s="403"/>
      <c r="CG309" s="403"/>
      <c r="CH309" s="403"/>
      <c r="CI309" s="403"/>
      <c r="CJ309" s="403"/>
      <c r="CK309" s="403"/>
      <c r="CL309" s="403"/>
      <c r="CM309" s="403"/>
      <c r="CN309" s="403"/>
      <c r="CO309" s="403"/>
      <c r="CP309" s="403"/>
      <c r="CQ309" s="403"/>
      <c r="CR309" s="403" t="s">
        <v>12082</v>
      </c>
      <c r="CS309" s="403"/>
      <c r="CT309" s="403"/>
      <c r="CU309" s="403"/>
      <c r="CV309" s="403"/>
      <c r="CW309" s="403"/>
      <c r="CX309" s="403"/>
      <c r="CY309" s="403"/>
      <c r="CZ309" s="403"/>
      <c r="DA309" s="403"/>
      <c r="DB309" s="403"/>
      <c r="DC309" s="403"/>
      <c r="DD309" s="403"/>
      <c r="DE309" s="403"/>
      <c r="DF309" s="403"/>
      <c r="DG309" s="403"/>
      <c r="DH309" s="403"/>
      <c r="DI309" s="403"/>
      <c r="DJ309" s="403" t="s">
        <v>11655</v>
      </c>
      <c r="DK309" s="403"/>
      <c r="DL309" s="403"/>
      <c r="DM309" s="403"/>
      <c r="DN309" s="403"/>
      <c r="DO309" s="403"/>
      <c r="DP309" s="403"/>
      <c r="DQ309" s="403"/>
      <c r="DR309" s="403"/>
      <c r="DS309" s="403"/>
      <c r="DT309" s="403"/>
      <c r="DU309" s="403"/>
      <c r="DV309" s="403"/>
      <c r="DW309" s="403"/>
      <c r="DX309" s="403"/>
      <c r="DY309" s="403"/>
      <c r="DZ309" s="403" t="s">
        <v>12083</v>
      </c>
      <c r="EA309" s="403"/>
      <c r="EB309" s="403"/>
      <c r="EC309" s="403"/>
      <c r="ED309" s="403"/>
      <c r="EE309" s="403"/>
      <c r="EF309" s="403"/>
      <c r="EG309" s="403"/>
      <c r="EH309" s="403"/>
      <c r="EI309" s="403"/>
      <c r="EJ309" s="403"/>
      <c r="EK309" s="403"/>
      <c r="EL309" s="403"/>
      <c r="EM309" s="403"/>
      <c r="EN309" s="403"/>
      <c r="EO309" s="403"/>
      <c r="EP309" s="403"/>
      <c r="EQ309" s="403"/>
      <c r="ER309" s="403" t="s">
        <v>11656</v>
      </c>
      <c r="ES309" s="403"/>
      <c r="ET309" s="403"/>
      <c r="EU309" s="403"/>
      <c r="EV309" s="403"/>
      <c r="EW309" s="403"/>
      <c r="EX309" s="403"/>
      <c r="EY309" s="403"/>
      <c r="EZ309" s="403"/>
      <c r="FA309" s="403"/>
      <c r="FB309" s="403"/>
      <c r="FC309" s="403"/>
      <c r="FD309" s="403"/>
      <c r="FE309" s="403"/>
      <c r="FF309" s="403"/>
      <c r="FG309" s="403"/>
      <c r="FH309" s="403" t="s">
        <v>12084</v>
      </c>
      <c r="FI309" s="403"/>
      <c r="FJ309" s="403"/>
      <c r="FK309" s="403"/>
      <c r="FL309" s="403"/>
      <c r="FM309" s="403"/>
      <c r="FN309" s="403"/>
      <c r="FO309" s="403"/>
      <c r="FP309" s="403"/>
      <c r="FQ309" s="403"/>
      <c r="FR309" s="403"/>
      <c r="FS309" s="403"/>
      <c r="FT309" s="403"/>
      <c r="FU309" s="403"/>
      <c r="FV309" s="403"/>
      <c r="FW309" s="403"/>
      <c r="FX309" s="403"/>
      <c r="FY309" s="403"/>
      <c r="FZ309" s="403" t="s">
        <v>11657</v>
      </c>
      <c r="GA309" s="403"/>
      <c r="GB309" s="403"/>
      <c r="GC309" s="403"/>
      <c r="GD309" s="403"/>
      <c r="GE309" s="403"/>
      <c r="GF309" s="403"/>
      <c r="GG309" s="403"/>
      <c r="GH309" s="403"/>
      <c r="GI309" s="403"/>
      <c r="GJ309" s="403"/>
      <c r="GK309" s="403"/>
      <c r="GL309" s="403"/>
      <c r="GM309" s="403"/>
      <c r="GN309" s="403"/>
      <c r="GO309" s="403"/>
      <c r="GP309" s="403" t="s">
        <v>12085</v>
      </c>
      <c r="GQ309" s="403"/>
      <c r="GR309" s="403"/>
      <c r="GS309" s="403"/>
      <c r="GT309" s="403"/>
      <c r="GU309" s="403"/>
      <c r="GV309" s="403"/>
      <c r="GW309" s="403"/>
      <c r="GX309" s="403"/>
      <c r="GY309" s="403"/>
      <c r="GZ309" s="403"/>
      <c r="HA309" s="403"/>
      <c r="HB309" s="403"/>
      <c r="HC309" s="403"/>
      <c r="HD309" s="403"/>
      <c r="HE309" s="403"/>
      <c r="HF309" s="403"/>
      <c r="HG309" s="403"/>
      <c r="HH309" s="403" t="s">
        <v>11658</v>
      </c>
      <c r="HI309" s="403"/>
      <c r="HJ309" s="403"/>
      <c r="HK309" s="403"/>
      <c r="HL309" s="403"/>
      <c r="HM309" s="403"/>
      <c r="HN309" s="403"/>
      <c r="HO309" s="403"/>
      <c r="HP309" s="403"/>
      <c r="HQ309" s="403"/>
      <c r="HR309" s="403"/>
      <c r="HS309" s="403"/>
      <c r="HT309" s="403"/>
      <c r="HU309" s="403"/>
      <c r="HV309" s="403"/>
      <c r="HW309" s="403"/>
      <c r="HX309" s="403" t="s">
        <v>12086</v>
      </c>
      <c r="HY309" s="403"/>
      <c r="HZ309" s="403"/>
      <c r="IA309" s="403"/>
      <c r="IB309" s="403"/>
      <c r="IC309" s="403"/>
      <c r="ID309" s="403"/>
      <c r="IE309" s="403"/>
      <c r="IF309" s="403"/>
      <c r="IG309" s="403"/>
      <c r="IH309" s="403"/>
      <c r="II309" s="403"/>
      <c r="IJ309" s="403"/>
      <c r="IK309" s="403"/>
      <c r="IL309" s="403"/>
      <c r="IM309" s="403"/>
      <c r="IN309" s="403"/>
      <c r="IO309" s="403"/>
      <c r="IP309" s="403" t="s">
        <v>11659</v>
      </c>
      <c r="IQ309" s="403"/>
      <c r="IR309" s="403"/>
      <c r="IS309" s="403"/>
      <c r="IT309" s="403"/>
      <c r="IU309" s="403"/>
      <c r="IV309" s="403"/>
      <c r="IW309" s="403"/>
      <c r="IX309" s="403"/>
      <c r="IY309" s="403"/>
      <c r="IZ309" s="403"/>
      <c r="JA309" s="403"/>
      <c r="JB309" s="403"/>
      <c r="JC309" s="403"/>
      <c r="JD309" s="403"/>
      <c r="JE309" s="403"/>
      <c r="JF309" s="403" t="s">
        <v>12087</v>
      </c>
      <c r="JG309" s="403"/>
      <c r="JH309" s="403"/>
      <c r="JI309" s="403"/>
      <c r="JJ309" s="403"/>
      <c r="JK309" s="403"/>
      <c r="JL309" s="403"/>
      <c r="JM309" s="403"/>
      <c r="JN309" s="403"/>
      <c r="JO309" s="403"/>
      <c r="JP309" s="403"/>
      <c r="JQ309" s="403"/>
      <c r="JR309" s="403"/>
      <c r="JS309" s="403"/>
      <c r="JT309" s="403"/>
    </row>
    <row r="310" spans="1:280" s="15" customFormat="1" ht="12.75" x14ac:dyDescent="0.2">
      <c r="A310" s="9"/>
      <c r="B310" s="624"/>
      <c r="C310" s="23" t="str">
        <f ca="1">IF(OFFSET(AU310,0,Lang_Order*Lang__B5)="","",OFFSET(AU310,0,Lang_Order*Lang__B5))</f>
        <v>Per Site</v>
      </c>
      <c r="E310" s="26"/>
      <c r="F310" s="26"/>
      <c r="G310" s="26"/>
      <c r="H310" s="26"/>
      <c r="I310" s="26"/>
      <c r="J310" s="37" t="e">
        <f t="shared" ref="J310:O310" si="747">RBF_DM4*J243*AUCs_AddInterventions_perSite</f>
        <v>#N/A</v>
      </c>
      <c r="K310" s="37" t="e">
        <f t="shared" si="747"/>
        <v>#N/A</v>
      </c>
      <c r="L310" s="37" t="e">
        <f t="shared" si="747"/>
        <v>#N/A</v>
      </c>
      <c r="M310" s="37" t="e">
        <f t="shared" si="747"/>
        <v>#N/A</v>
      </c>
      <c r="N310" s="37" t="e">
        <f t="shared" si="747"/>
        <v>#N/A</v>
      </c>
      <c r="O310" s="37" t="e">
        <f t="shared" si="747"/>
        <v>#N/A</v>
      </c>
      <c r="P310" s="83" t="e">
        <f>SUM(J310:O310)</f>
        <v>#N/A</v>
      </c>
      <c r="Q310" s="26"/>
      <c r="R310" s="12" t="str">
        <f t="shared" ca="1" si="743"/>
        <v/>
      </c>
      <c r="S310" s="2"/>
      <c r="T310" s="241"/>
      <c r="U310" s="624"/>
      <c r="V310" s="72" t="str">
        <f ca="1">IF(OFFSET(AU310,0,Lang_Order*Lang__B5)="","",OFFSET(AU310,0,Lang_Order*Lang__B5))</f>
        <v>Per Site</v>
      </c>
      <c r="W310" s="37" t="e">
        <f t="shared" ref="W310:AB310" si="748">RBF_DM4*W243*AUCs_AddInterventions_perSite</f>
        <v>#N/A</v>
      </c>
      <c r="X310" s="37" t="e">
        <f t="shared" si="748"/>
        <v>#N/A</v>
      </c>
      <c r="Y310" s="37" t="e">
        <f t="shared" si="748"/>
        <v>#N/A</v>
      </c>
      <c r="Z310" s="37" t="e">
        <f t="shared" si="748"/>
        <v>#N/A</v>
      </c>
      <c r="AA310" s="37" t="e">
        <f t="shared" si="748"/>
        <v>#N/A</v>
      </c>
      <c r="AB310" s="37" t="e">
        <f t="shared" si="748"/>
        <v>#N/A</v>
      </c>
      <c r="AC310" s="83" t="e">
        <f>SUM(W310:AB310)</f>
        <v>#N/A</v>
      </c>
      <c r="AE310" s="72" t="s">
        <v>3042</v>
      </c>
      <c r="AF310" s="241"/>
      <c r="AG310" s="624"/>
      <c r="AH310" s="72" t="str">
        <f ca="1">IF(OFFSET(AU310,0,Lang_Order*Lang__B5)="","",OFFSET(AU310,0,Lang_Order*Lang__B5))</f>
        <v>Per Site</v>
      </c>
      <c r="AI310" s="37" t="e">
        <f t="shared" ref="AI310:AN310" si="749">RBF_DM4*AI243*AUCs_AddInterventions_perSite</f>
        <v>#N/A</v>
      </c>
      <c r="AJ310" s="37" t="e">
        <f t="shared" si="749"/>
        <v>#N/A</v>
      </c>
      <c r="AK310" s="37" t="e">
        <f t="shared" si="749"/>
        <v>#N/A</v>
      </c>
      <c r="AL310" s="37" t="e">
        <f t="shared" si="749"/>
        <v>#N/A</v>
      </c>
      <c r="AM310" s="37" t="e">
        <f t="shared" si="749"/>
        <v>#N/A</v>
      </c>
      <c r="AN310" s="37" t="e">
        <f t="shared" si="749"/>
        <v>#N/A</v>
      </c>
      <c r="AO310" s="83" t="e">
        <f>SUM(AI310:AN310)</f>
        <v>#N/A</v>
      </c>
      <c r="AR310" s="403"/>
      <c r="AS310" s="403"/>
      <c r="AT310" s="403"/>
      <c r="AU310" s="403" t="s">
        <v>1580</v>
      </c>
      <c r="AV310" s="403"/>
      <c r="AW310" s="403"/>
      <c r="AX310" s="403"/>
      <c r="AY310" s="403"/>
      <c r="AZ310" s="403"/>
      <c r="BA310" s="403"/>
      <c r="BB310" s="403"/>
      <c r="BC310" s="403"/>
      <c r="BD310" s="403"/>
      <c r="BE310" s="403"/>
      <c r="BF310" s="403"/>
      <c r="BG310" s="403"/>
      <c r="BH310" s="403"/>
      <c r="BI310" s="403"/>
      <c r="BJ310" s="403"/>
      <c r="BK310" s="403"/>
      <c r="BL310" s="403"/>
      <c r="BM310" s="403"/>
      <c r="BN310" s="403"/>
      <c r="BO310" s="403"/>
      <c r="BP310" s="403"/>
      <c r="BQ310" s="403"/>
      <c r="BR310" s="403"/>
      <c r="BS310" s="403"/>
      <c r="BT310" s="403"/>
      <c r="BU310" s="403"/>
      <c r="BV310" s="403"/>
      <c r="BW310" s="403"/>
      <c r="BX310" s="403"/>
      <c r="BY310" s="403"/>
      <c r="BZ310" s="403"/>
      <c r="CA310" s="403"/>
      <c r="CB310" s="403"/>
      <c r="CC310" s="403" t="s">
        <v>8457</v>
      </c>
      <c r="CD310" s="403"/>
      <c r="CE310" s="403"/>
      <c r="CF310" s="403"/>
      <c r="CG310" s="403"/>
      <c r="CH310" s="403"/>
      <c r="CI310" s="403"/>
      <c r="CJ310" s="403"/>
      <c r="CK310" s="403"/>
      <c r="CL310" s="403"/>
      <c r="CM310" s="403"/>
      <c r="CN310" s="403"/>
      <c r="CO310" s="403"/>
      <c r="CP310" s="403"/>
      <c r="CQ310" s="403"/>
      <c r="CR310" s="403"/>
      <c r="CS310" s="403"/>
      <c r="CT310" s="403"/>
      <c r="CU310" s="403"/>
      <c r="CV310" s="403"/>
      <c r="CW310" s="403"/>
      <c r="CX310" s="403"/>
      <c r="CY310" s="403"/>
      <c r="CZ310" s="403"/>
      <c r="DA310" s="403"/>
      <c r="DB310" s="403"/>
      <c r="DC310" s="403"/>
      <c r="DD310" s="403"/>
      <c r="DE310" s="403"/>
      <c r="DF310" s="403"/>
      <c r="DG310" s="403"/>
      <c r="DH310" s="403"/>
      <c r="DI310" s="403"/>
      <c r="DJ310" s="403"/>
      <c r="DK310" s="403" t="s">
        <v>9147</v>
      </c>
      <c r="DL310" s="403"/>
      <c r="DM310" s="403"/>
      <c r="DN310" s="403"/>
      <c r="DO310" s="403"/>
      <c r="DP310" s="403"/>
      <c r="DQ310" s="403"/>
      <c r="DR310" s="403"/>
      <c r="DS310" s="403"/>
      <c r="DT310" s="403"/>
      <c r="DU310" s="403"/>
      <c r="DV310" s="403"/>
      <c r="DW310" s="403"/>
      <c r="DX310" s="403"/>
      <c r="DY310" s="403"/>
      <c r="DZ310" s="403"/>
      <c r="EA310" s="403"/>
      <c r="EB310" s="403"/>
      <c r="EC310" s="403"/>
      <c r="ED310" s="403"/>
      <c r="EE310" s="403"/>
      <c r="EF310" s="403"/>
      <c r="EG310" s="403"/>
      <c r="EH310" s="403"/>
      <c r="EI310" s="403"/>
      <c r="EJ310" s="403"/>
      <c r="EK310" s="403"/>
      <c r="EL310" s="403"/>
      <c r="EM310" s="403"/>
      <c r="EN310" s="403"/>
      <c r="EO310" s="403"/>
      <c r="EP310" s="403"/>
      <c r="EQ310" s="403"/>
      <c r="ER310" s="403"/>
      <c r="ES310" s="403" t="s">
        <v>8579</v>
      </c>
      <c r="ET310" s="403"/>
      <c r="EU310" s="403"/>
      <c r="EV310" s="403"/>
      <c r="EW310" s="403"/>
      <c r="EX310" s="403"/>
      <c r="EY310" s="403"/>
      <c r="EZ310" s="403"/>
      <c r="FA310" s="403"/>
      <c r="FB310" s="403"/>
      <c r="FC310" s="403"/>
      <c r="FD310" s="403"/>
      <c r="FE310" s="403"/>
      <c r="FF310" s="403"/>
      <c r="FG310" s="403"/>
      <c r="FH310" s="403"/>
      <c r="FI310" s="403"/>
      <c r="FJ310" s="403"/>
      <c r="FK310" s="403"/>
      <c r="FL310" s="403"/>
      <c r="FM310" s="403"/>
      <c r="FN310" s="403"/>
      <c r="FO310" s="403"/>
      <c r="FP310" s="403"/>
      <c r="FQ310" s="403"/>
      <c r="FR310" s="403"/>
      <c r="FS310" s="403"/>
      <c r="FT310" s="403"/>
      <c r="FU310" s="403"/>
      <c r="FV310" s="403"/>
      <c r="FW310" s="403"/>
      <c r="FX310" s="403"/>
      <c r="FY310" s="403"/>
      <c r="FZ310" s="403"/>
      <c r="GA310" s="403" t="s">
        <v>8463</v>
      </c>
      <c r="GB310" s="403"/>
      <c r="GC310" s="403"/>
      <c r="GD310" s="403"/>
      <c r="GE310" s="403"/>
      <c r="GF310" s="403"/>
      <c r="GG310" s="403"/>
      <c r="GH310" s="403"/>
      <c r="GI310" s="403"/>
      <c r="GJ310" s="403"/>
      <c r="GK310" s="403"/>
      <c r="GL310" s="403"/>
      <c r="GM310" s="403"/>
      <c r="GN310" s="403"/>
      <c r="GO310" s="403"/>
      <c r="GP310" s="403"/>
      <c r="GQ310" s="403"/>
      <c r="GR310" s="403"/>
      <c r="GS310" s="403"/>
      <c r="GT310" s="403"/>
      <c r="GU310" s="403"/>
      <c r="GV310" s="403"/>
      <c r="GW310" s="403"/>
      <c r="GX310" s="403"/>
      <c r="GY310" s="403"/>
      <c r="GZ310" s="403"/>
      <c r="HA310" s="403"/>
      <c r="HB310" s="403"/>
      <c r="HC310" s="403"/>
      <c r="HD310" s="403"/>
      <c r="HE310" s="403"/>
      <c r="HF310" s="403"/>
      <c r="HG310" s="403"/>
      <c r="HH310" s="403"/>
      <c r="HI310" s="403" t="s">
        <v>12019</v>
      </c>
      <c r="HJ310" s="403"/>
      <c r="HK310" s="403"/>
      <c r="HL310" s="403"/>
      <c r="HM310" s="403"/>
      <c r="HN310" s="403"/>
      <c r="HO310" s="403"/>
      <c r="HP310" s="403"/>
      <c r="HQ310" s="403"/>
      <c r="HR310" s="403"/>
      <c r="HS310" s="403"/>
      <c r="HT310" s="403"/>
      <c r="HU310" s="403"/>
      <c r="HV310" s="403"/>
      <c r="HW310" s="403"/>
      <c r="HX310" s="403"/>
      <c r="HY310" s="403"/>
      <c r="HZ310" s="403"/>
      <c r="IA310" s="403"/>
      <c r="IB310" s="403"/>
      <c r="IC310" s="403"/>
      <c r="ID310" s="403"/>
      <c r="IE310" s="403"/>
      <c r="IF310" s="403"/>
      <c r="IG310" s="403"/>
      <c r="IH310" s="403"/>
      <c r="II310" s="403"/>
      <c r="IJ310" s="403"/>
      <c r="IK310" s="403"/>
      <c r="IL310" s="403"/>
      <c r="IM310" s="403"/>
      <c r="IN310" s="403"/>
      <c r="IO310" s="403"/>
      <c r="IP310" s="403"/>
      <c r="IQ310" s="403" t="s">
        <v>8467</v>
      </c>
      <c r="IR310" s="403"/>
      <c r="IS310" s="403"/>
      <c r="IT310" s="403"/>
      <c r="IU310" s="403"/>
      <c r="IV310" s="403"/>
      <c r="IW310" s="403"/>
      <c r="IX310" s="403"/>
      <c r="IY310" s="403"/>
      <c r="IZ310" s="403"/>
      <c r="JA310" s="403"/>
      <c r="JB310" s="403"/>
      <c r="JC310" s="403"/>
      <c r="JD310" s="403"/>
      <c r="JE310" s="403"/>
      <c r="JF310" s="403"/>
      <c r="JG310" s="403"/>
      <c r="JH310" s="403"/>
      <c r="JI310" s="403"/>
      <c r="JJ310" s="403"/>
      <c r="JK310" s="403"/>
      <c r="JL310" s="403"/>
      <c r="JM310" s="403"/>
      <c r="JN310" s="403"/>
      <c r="JO310" s="403"/>
      <c r="JP310" s="403"/>
      <c r="JQ310" s="403"/>
      <c r="JR310" s="403"/>
      <c r="JS310" s="403"/>
      <c r="JT310" s="403"/>
    </row>
    <row r="311" spans="1:280" s="15" customFormat="1" ht="12.75" x14ac:dyDescent="0.2">
      <c r="A311" s="9"/>
      <c r="B311" s="624"/>
      <c r="C311" s="23" t="str">
        <f ca="1">IF(OFFSET(AU311,0,Lang_Order*Lang__B5)="","",OFFSET(AU311,0,Lang_Order*Lang__B5))</f>
        <v>Per Vaccinated Person</v>
      </c>
      <c r="E311" s="26"/>
      <c r="F311" s="26"/>
      <c r="G311" s="26"/>
      <c r="H311" s="26"/>
      <c r="I311" s="26"/>
      <c r="J311" s="37" t="e">
        <f t="shared" ref="J311:O311" si="750">J239*AUCs_AddInterventions_perPerson</f>
        <v>#N/A</v>
      </c>
      <c r="K311" s="37" t="e">
        <f t="shared" si="750"/>
        <v>#N/A</v>
      </c>
      <c r="L311" s="37" t="e">
        <f t="shared" si="750"/>
        <v>#N/A</v>
      </c>
      <c r="M311" s="37" t="e">
        <f t="shared" si="750"/>
        <v>#N/A</v>
      </c>
      <c r="N311" s="37" t="e">
        <f t="shared" si="750"/>
        <v>#N/A</v>
      </c>
      <c r="O311" s="37" t="e">
        <f t="shared" si="750"/>
        <v>#N/A</v>
      </c>
      <c r="P311" s="83" t="e">
        <f>SUM(J311:O311)</f>
        <v>#N/A</v>
      </c>
      <c r="Q311" s="83"/>
      <c r="R311" s="12" t="str">
        <f t="shared" ca="1" si="743"/>
        <v/>
      </c>
      <c r="S311" s="2"/>
      <c r="T311" s="241"/>
      <c r="U311" s="624"/>
      <c r="V311" s="72" t="str">
        <f ca="1">IF(OFFSET(AU311,0,Lang_Order*Lang__B5)="","",OFFSET(AU311,0,Lang_Order*Lang__B5))</f>
        <v>Per Vaccinated Person</v>
      </c>
      <c r="W311" s="37" t="e">
        <f t="shared" ref="W311" si="751">J311</f>
        <v>#N/A</v>
      </c>
      <c r="X311" s="37" t="e">
        <f t="shared" ref="X311" si="752">K311</f>
        <v>#N/A</v>
      </c>
      <c r="Y311" s="37" t="e">
        <f t="shared" ref="Y311" si="753">L311</f>
        <v>#N/A</v>
      </c>
      <c r="Z311" s="37" t="e">
        <f t="shared" ref="Z311" si="754">M311</f>
        <v>#N/A</v>
      </c>
      <c r="AA311" s="37" t="e">
        <f t="shared" ref="AA311" si="755">N311</f>
        <v>#N/A</v>
      </c>
      <c r="AB311" s="37" t="e">
        <f t="shared" ref="AB311" si="756">O311</f>
        <v>#N/A</v>
      </c>
      <c r="AC311" s="83" t="e">
        <f>SUM(W311:AB311)</f>
        <v>#N/A</v>
      </c>
      <c r="AE311" s="72" t="s">
        <v>3042</v>
      </c>
      <c r="AF311" s="241"/>
      <c r="AG311" s="624"/>
      <c r="AH311" s="72" t="str">
        <f ca="1">IF(OFFSET(AU311,0,Lang_Order*Lang__B5)="","",OFFSET(AU311,0,Lang_Order*Lang__B5))</f>
        <v>Per Vaccinated Person</v>
      </c>
      <c r="AI311" s="37" t="e">
        <f t="shared" ref="AI311" si="757">J311</f>
        <v>#N/A</v>
      </c>
      <c r="AJ311" s="37" t="e">
        <f t="shared" ref="AJ311" si="758">K311</f>
        <v>#N/A</v>
      </c>
      <c r="AK311" s="37" t="e">
        <f t="shared" ref="AK311" si="759">L311</f>
        <v>#N/A</v>
      </c>
      <c r="AL311" s="37" t="e">
        <f t="shared" ref="AL311" si="760">M311</f>
        <v>#N/A</v>
      </c>
      <c r="AM311" s="37" t="e">
        <f t="shared" ref="AM311" si="761">N311</f>
        <v>#N/A</v>
      </c>
      <c r="AN311" s="37" t="e">
        <f t="shared" ref="AN311" si="762">O311</f>
        <v>#N/A</v>
      </c>
      <c r="AO311" s="83" t="e">
        <f>SUM(AI311:AN311)</f>
        <v>#N/A</v>
      </c>
      <c r="AR311" s="403"/>
      <c r="AS311" s="403"/>
      <c r="AT311" s="403"/>
      <c r="AU311" s="403" t="s">
        <v>1588</v>
      </c>
      <c r="AV311" s="403"/>
      <c r="AW311" s="403"/>
      <c r="AX311" s="403"/>
      <c r="AY311" s="403"/>
      <c r="AZ311" s="403"/>
      <c r="BA311" s="403"/>
      <c r="BB311" s="403"/>
      <c r="BC311" s="403"/>
      <c r="BD311" s="403"/>
      <c r="BE311" s="403"/>
      <c r="BF311" s="403"/>
      <c r="BG311" s="403"/>
      <c r="BH311" s="403"/>
      <c r="BI311" s="403"/>
      <c r="BJ311" s="403"/>
      <c r="BK311" s="403"/>
      <c r="BL311" s="403"/>
      <c r="BM311" s="403"/>
      <c r="BN311" s="403"/>
      <c r="BO311" s="403"/>
      <c r="BP311" s="403"/>
      <c r="BQ311" s="403"/>
      <c r="BR311" s="403"/>
      <c r="BS311" s="403"/>
      <c r="BT311" s="403"/>
      <c r="BU311" s="403"/>
      <c r="BV311" s="403"/>
      <c r="BW311" s="403"/>
      <c r="BX311" s="403"/>
      <c r="BY311" s="403"/>
      <c r="BZ311" s="403"/>
      <c r="CA311" s="403"/>
      <c r="CB311" s="403"/>
      <c r="CC311" s="403" t="s">
        <v>12088</v>
      </c>
      <c r="CD311" s="403"/>
      <c r="CE311" s="403"/>
      <c r="CF311" s="403"/>
      <c r="CG311" s="403"/>
      <c r="CH311" s="403"/>
      <c r="CI311" s="403"/>
      <c r="CJ311" s="403"/>
      <c r="CK311" s="403"/>
      <c r="CL311" s="403"/>
      <c r="CM311" s="403"/>
      <c r="CN311" s="403"/>
      <c r="CO311" s="403"/>
      <c r="CP311" s="403"/>
      <c r="CQ311" s="403"/>
      <c r="CR311" s="403"/>
      <c r="CS311" s="403"/>
      <c r="CT311" s="403"/>
      <c r="CU311" s="403"/>
      <c r="CV311" s="403"/>
      <c r="CW311" s="403"/>
      <c r="CX311" s="403"/>
      <c r="CY311" s="403"/>
      <c r="CZ311" s="403"/>
      <c r="DA311" s="403"/>
      <c r="DB311" s="403"/>
      <c r="DC311" s="403"/>
      <c r="DD311" s="403"/>
      <c r="DE311" s="403"/>
      <c r="DF311" s="403"/>
      <c r="DG311" s="403"/>
      <c r="DH311" s="403"/>
      <c r="DI311" s="403"/>
      <c r="DJ311" s="403"/>
      <c r="DK311" s="403" t="s">
        <v>12089</v>
      </c>
      <c r="DL311" s="403"/>
      <c r="DM311" s="403"/>
      <c r="DN311" s="403"/>
      <c r="DO311" s="403"/>
      <c r="DP311" s="403"/>
      <c r="DQ311" s="403"/>
      <c r="DR311" s="403"/>
      <c r="DS311" s="403"/>
      <c r="DT311" s="403"/>
      <c r="DU311" s="403"/>
      <c r="DV311" s="403"/>
      <c r="DW311" s="403"/>
      <c r="DX311" s="403"/>
      <c r="DY311" s="403"/>
      <c r="DZ311" s="403"/>
      <c r="EA311" s="403"/>
      <c r="EB311" s="403"/>
      <c r="EC311" s="403"/>
      <c r="ED311" s="403"/>
      <c r="EE311" s="403"/>
      <c r="EF311" s="403"/>
      <c r="EG311" s="403"/>
      <c r="EH311" s="403"/>
      <c r="EI311" s="403"/>
      <c r="EJ311" s="403"/>
      <c r="EK311" s="403"/>
      <c r="EL311" s="403"/>
      <c r="EM311" s="403"/>
      <c r="EN311" s="403"/>
      <c r="EO311" s="403"/>
      <c r="EP311" s="403"/>
      <c r="EQ311" s="403"/>
      <c r="ER311" s="403"/>
      <c r="ES311" s="403" t="s">
        <v>12090</v>
      </c>
      <c r="ET311" s="403"/>
      <c r="EU311" s="403"/>
      <c r="EV311" s="403"/>
      <c r="EW311" s="403"/>
      <c r="EX311" s="403"/>
      <c r="EY311" s="403"/>
      <c r="EZ311" s="403"/>
      <c r="FA311" s="403"/>
      <c r="FB311" s="403"/>
      <c r="FC311" s="403"/>
      <c r="FD311" s="403"/>
      <c r="FE311" s="403"/>
      <c r="FF311" s="403"/>
      <c r="FG311" s="403"/>
      <c r="FH311" s="403"/>
      <c r="FI311" s="403"/>
      <c r="FJ311" s="403"/>
      <c r="FK311" s="403"/>
      <c r="FL311" s="403"/>
      <c r="FM311" s="403"/>
      <c r="FN311" s="403"/>
      <c r="FO311" s="403"/>
      <c r="FP311" s="403"/>
      <c r="FQ311" s="403"/>
      <c r="FR311" s="403"/>
      <c r="FS311" s="403"/>
      <c r="FT311" s="403"/>
      <c r="FU311" s="403"/>
      <c r="FV311" s="403"/>
      <c r="FW311" s="403"/>
      <c r="FX311" s="403"/>
      <c r="FY311" s="403"/>
      <c r="FZ311" s="403"/>
      <c r="GA311" s="403" t="s">
        <v>12091</v>
      </c>
      <c r="GB311" s="403"/>
      <c r="GC311" s="403"/>
      <c r="GD311" s="403"/>
      <c r="GE311" s="403"/>
      <c r="GF311" s="403"/>
      <c r="GG311" s="403"/>
      <c r="GH311" s="403"/>
      <c r="GI311" s="403"/>
      <c r="GJ311" s="403"/>
      <c r="GK311" s="403"/>
      <c r="GL311" s="403"/>
      <c r="GM311" s="403"/>
      <c r="GN311" s="403"/>
      <c r="GO311" s="403"/>
      <c r="GP311" s="403"/>
      <c r="GQ311" s="403"/>
      <c r="GR311" s="403"/>
      <c r="GS311" s="403"/>
      <c r="GT311" s="403"/>
      <c r="GU311" s="403"/>
      <c r="GV311" s="403"/>
      <c r="GW311" s="403"/>
      <c r="GX311" s="403"/>
      <c r="GY311" s="403"/>
      <c r="GZ311" s="403"/>
      <c r="HA311" s="403"/>
      <c r="HB311" s="403"/>
      <c r="HC311" s="403"/>
      <c r="HD311" s="403"/>
      <c r="HE311" s="403"/>
      <c r="HF311" s="403"/>
      <c r="HG311" s="403"/>
      <c r="HH311" s="403"/>
      <c r="HI311" s="403" t="s">
        <v>12093</v>
      </c>
      <c r="HJ311" s="403"/>
      <c r="HK311" s="403"/>
      <c r="HL311" s="403"/>
      <c r="HM311" s="403"/>
      <c r="HN311" s="403"/>
      <c r="HO311" s="403"/>
      <c r="HP311" s="403"/>
      <c r="HQ311" s="403"/>
      <c r="HR311" s="403"/>
      <c r="HS311" s="403"/>
      <c r="HT311" s="403"/>
      <c r="HU311" s="403"/>
      <c r="HV311" s="403"/>
      <c r="HW311" s="403"/>
      <c r="HX311" s="403"/>
      <c r="HY311" s="403"/>
      <c r="HZ311" s="403"/>
      <c r="IA311" s="403"/>
      <c r="IB311" s="403"/>
      <c r="IC311" s="403"/>
      <c r="ID311" s="403"/>
      <c r="IE311" s="403"/>
      <c r="IF311" s="403"/>
      <c r="IG311" s="403"/>
      <c r="IH311" s="403"/>
      <c r="II311" s="403"/>
      <c r="IJ311" s="403"/>
      <c r="IK311" s="403"/>
      <c r="IL311" s="403"/>
      <c r="IM311" s="403"/>
      <c r="IN311" s="403"/>
      <c r="IO311" s="403"/>
      <c r="IP311" s="403"/>
      <c r="IQ311" s="403" t="s">
        <v>12092</v>
      </c>
      <c r="IR311" s="403"/>
      <c r="IS311" s="403"/>
      <c r="IT311" s="403"/>
      <c r="IU311" s="403"/>
      <c r="IV311" s="403"/>
      <c r="IW311" s="403"/>
      <c r="IX311" s="403"/>
      <c r="IY311" s="403"/>
      <c r="IZ311" s="403"/>
      <c r="JA311" s="403"/>
      <c r="JB311" s="403"/>
      <c r="JC311" s="403"/>
      <c r="JD311" s="403"/>
      <c r="JE311" s="403"/>
      <c r="JF311" s="403"/>
      <c r="JG311" s="403"/>
      <c r="JH311" s="403"/>
      <c r="JI311" s="403"/>
      <c r="JJ311" s="403"/>
      <c r="JK311" s="403"/>
      <c r="JL311" s="403"/>
      <c r="JM311" s="403"/>
      <c r="JN311" s="403"/>
      <c r="JO311" s="403"/>
      <c r="JP311" s="403"/>
      <c r="JQ311" s="403"/>
      <c r="JR311" s="403"/>
      <c r="JS311" s="403"/>
      <c r="JT311" s="403"/>
    </row>
    <row r="312" spans="1:280" s="15" customFormat="1" ht="12.75" x14ac:dyDescent="0.2">
      <c r="B312" s="622"/>
      <c r="T312" s="241"/>
      <c r="U312" s="622"/>
      <c r="V312" s="2"/>
      <c r="AF312" s="241"/>
      <c r="AG312" s="622"/>
      <c r="AR312" s="403"/>
      <c r="AS312" s="403"/>
      <c r="AT312" s="403"/>
      <c r="AU312" s="403"/>
      <c r="AV312" s="403"/>
      <c r="AW312" s="403"/>
      <c r="AX312" s="403"/>
      <c r="AY312" s="403"/>
      <c r="AZ312" s="403"/>
      <c r="BA312" s="403"/>
      <c r="BB312" s="403"/>
      <c r="BC312" s="403"/>
      <c r="BD312" s="403"/>
      <c r="BE312" s="403"/>
      <c r="BF312" s="403"/>
      <c r="BG312" s="403"/>
      <c r="BH312" s="403"/>
      <c r="BI312" s="403"/>
      <c r="BJ312" s="403"/>
      <c r="BK312" s="403"/>
      <c r="BL312" s="403"/>
      <c r="BM312" s="403"/>
      <c r="BN312" s="403"/>
      <c r="BO312" s="403"/>
      <c r="BP312" s="403"/>
      <c r="BQ312" s="403"/>
      <c r="BR312" s="403"/>
      <c r="BS312" s="403"/>
      <c r="BT312" s="403"/>
      <c r="BU312" s="403"/>
      <c r="BV312" s="403"/>
      <c r="BW312" s="403"/>
      <c r="BX312" s="403"/>
      <c r="BY312" s="403"/>
      <c r="BZ312" s="403"/>
      <c r="CA312" s="403"/>
      <c r="CB312" s="403"/>
      <c r="CC312" s="403"/>
      <c r="CD312" s="403"/>
      <c r="CE312" s="403"/>
      <c r="CF312" s="403"/>
      <c r="CG312" s="403"/>
      <c r="CH312" s="403"/>
      <c r="CI312" s="403"/>
      <c r="CJ312" s="403"/>
      <c r="CK312" s="403"/>
      <c r="CL312" s="403"/>
      <c r="CM312" s="403"/>
      <c r="CN312" s="403"/>
      <c r="CO312" s="403"/>
      <c r="CP312" s="403"/>
      <c r="CQ312" s="403"/>
      <c r="CR312" s="403"/>
      <c r="CS312" s="403"/>
      <c r="CT312" s="403"/>
      <c r="CU312" s="403"/>
      <c r="CV312" s="403"/>
      <c r="CW312" s="403"/>
      <c r="CX312" s="403"/>
      <c r="CY312" s="403"/>
      <c r="CZ312" s="403"/>
      <c r="DA312" s="403"/>
      <c r="DB312" s="403"/>
      <c r="DC312" s="403"/>
      <c r="DD312" s="403"/>
      <c r="DE312" s="403"/>
      <c r="DF312" s="403"/>
      <c r="DG312" s="403"/>
      <c r="DH312" s="403"/>
      <c r="DI312" s="403"/>
      <c r="DJ312" s="403"/>
      <c r="DK312" s="403"/>
      <c r="DL312" s="403"/>
      <c r="DM312" s="403"/>
      <c r="DN312" s="403"/>
      <c r="DO312" s="403"/>
      <c r="DP312" s="403"/>
      <c r="DQ312" s="403"/>
      <c r="DR312" s="403"/>
      <c r="DS312" s="403"/>
      <c r="DT312" s="403"/>
      <c r="DU312" s="403"/>
      <c r="DV312" s="403"/>
      <c r="DW312" s="403"/>
      <c r="DX312" s="403"/>
      <c r="DY312" s="403"/>
      <c r="DZ312" s="403"/>
      <c r="EA312" s="403"/>
      <c r="EB312" s="403"/>
      <c r="EC312" s="403"/>
      <c r="ED312" s="403"/>
      <c r="EE312" s="403"/>
      <c r="EF312" s="403"/>
      <c r="EG312" s="403"/>
      <c r="EH312" s="403"/>
      <c r="EI312" s="403"/>
      <c r="EJ312" s="403"/>
      <c r="EK312" s="403"/>
      <c r="EL312" s="403"/>
      <c r="EM312" s="403"/>
      <c r="EN312" s="403"/>
      <c r="EO312" s="403"/>
      <c r="EP312" s="403"/>
      <c r="EQ312" s="403"/>
      <c r="ER312" s="403"/>
      <c r="ES312" s="403"/>
      <c r="ET312" s="403"/>
      <c r="EU312" s="403"/>
      <c r="EV312" s="403"/>
      <c r="EW312" s="403"/>
      <c r="EX312" s="403"/>
      <c r="EY312" s="403"/>
      <c r="EZ312" s="403"/>
      <c r="FA312" s="403"/>
      <c r="FB312" s="403"/>
      <c r="FC312" s="403"/>
      <c r="FD312" s="403"/>
      <c r="FE312" s="403"/>
      <c r="FF312" s="403"/>
      <c r="FG312" s="403"/>
      <c r="FH312" s="403"/>
      <c r="FI312" s="403"/>
      <c r="FJ312" s="403"/>
      <c r="FK312" s="403"/>
      <c r="FL312" s="403"/>
      <c r="FM312" s="403"/>
      <c r="FN312" s="403"/>
      <c r="FO312" s="403"/>
      <c r="FP312" s="403"/>
      <c r="FQ312" s="403"/>
      <c r="FR312" s="403"/>
      <c r="FS312" s="403"/>
      <c r="FT312" s="403"/>
      <c r="FU312" s="403"/>
      <c r="FV312" s="403"/>
      <c r="FW312" s="403"/>
      <c r="FX312" s="403"/>
      <c r="FY312" s="403"/>
      <c r="FZ312" s="403"/>
      <c r="GA312" s="403"/>
      <c r="GB312" s="403"/>
      <c r="GC312" s="403"/>
      <c r="GD312" s="403"/>
      <c r="GE312" s="403"/>
      <c r="GF312" s="403"/>
      <c r="GG312" s="403"/>
      <c r="GH312" s="403"/>
      <c r="GI312" s="403"/>
      <c r="GJ312" s="403"/>
      <c r="GK312" s="403"/>
      <c r="GL312" s="403"/>
      <c r="GM312" s="403"/>
      <c r="GN312" s="403"/>
      <c r="GO312" s="403"/>
      <c r="GP312" s="403"/>
      <c r="GQ312" s="403"/>
      <c r="GR312" s="403"/>
      <c r="GS312" s="403"/>
      <c r="GT312" s="403"/>
      <c r="GU312" s="403"/>
      <c r="GV312" s="403"/>
      <c r="GW312" s="403"/>
      <c r="GX312" s="403"/>
      <c r="GY312" s="403"/>
      <c r="GZ312" s="403"/>
      <c r="HA312" s="403"/>
      <c r="HB312" s="403"/>
      <c r="HC312" s="403"/>
      <c r="HD312" s="403"/>
      <c r="HE312" s="403"/>
      <c r="HF312" s="403"/>
      <c r="HG312" s="403"/>
      <c r="HH312" s="403"/>
      <c r="HI312" s="403"/>
      <c r="HJ312" s="403"/>
      <c r="HK312" s="403"/>
      <c r="HL312" s="403"/>
      <c r="HM312" s="403"/>
      <c r="HN312" s="403"/>
      <c r="HO312" s="403"/>
      <c r="HP312" s="403"/>
      <c r="HQ312" s="403"/>
      <c r="HR312" s="403"/>
      <c r="HS312" s="403"/>
      <c r="HT312" s="403"/>
      <c r="HU312" s="403"/>
      <c r="HV312" s="403"/>
      <c r="HW312" s="403"/>
      <c r="HX312" s="403"/>
      <c r="HY312" s="403"/>
      <c r="HZ312" s="403"/>
      <c r="IA312" s="403"/>
      <c r="IB312" s="403"/>
      <c r="IC312" s="403"/>
      <c r="ID312" s="403"/>
      <c r="IE312" s="403"/>
      <c r="IF312" s="403"/>
      <c r="IG312" s="403"/>
      <c r="IH312" s="403"/>
      <c r="II312" s="403"/>
      <c r="IJ312" s="403"/>
      <c r="IK312" s="403"/>
      <c r="IL312" s="403"/>
      <c r="IM312" s="403"/>
      <c r="IN312" s="403"/>
      <c r="IO312" s="403"/>
      <c r="IP312" s="403"/>
      <c r="IQ312" s="403"/>
      <c r="IR312" s="403"/>
      <c r="IS312" s="403"/>
      <c r="IT312" s="403"/>
      <c r="IU312" s="403"/>
      <c r="IV312" s="403"/>
      <c r="IW312" s="403"/>
      <c r="IX312" s="403"/>
      <c r="IY312" s="403"/>
      <c r="IZ312" s="403"/>
      <c r="JA312" s="403"/>
      <c r="JB312" s="403"/>
      <c r="JC312" s="403"/>
      <c r="JD312" s="403"/>
      <c r="JE312" s="403"/>
      <c r="JF312" s="403"/>
      <c r="JG312" s="403"/>
      <c r="JH312" s="403"/>
      <c r="JI312" s="403"/>
      <c r="JJ312" s="403"/>
      <c r="JK312" s="403"/>
      <c r="JL312" s="403"/>
      <c r="JM312" s="403"/>
      <c r="JN312" s="403"/>
      <c r="JO312" s="403"/>
      <c r="JP312" s="403"/>
      <c r="JQ312" s="403"/>
      <c r="JR312" s="403"/>
      <c r="JS312" s="403"/>
      <c r="JT312" s="403"/>
    </row>
    <row r="313" spans="1:280" s="27" customFormat="1" ht="19.5" x14ac:dyDescent="0.3">
      <c r="B313" s="579"/>
      <c r="U313" s="579"/>
      <c r="AG313" s="579"/>
      <c r="AR313" s="403"/>
      <c r="AS313" s="403"/>
      <c r="AT313" s="403"/>
      <c r="AU313" s="403"/>
      <c r="AV313" s="403"/>
      <c r="AW313" s="403"/>
      <c r="AX313" s="403"/>
      <c r="AY313" s="403"/>
      <c r="AZ313" s="403"/>
      <c r="BA313" s="403"/>
      <c r="BB313" s="403"/>
      <c r="BC313" s="403"/>
      <c r="BD313" s="403"/>
      <c r="BE313" s="403"/>
      <c r="BF313" s="403"/>
      <c r="BG313" s="403"/>
      <c r="BH313" s="403"/>
      <c r="BI313" s="403"/>
      <c r="BJ313" s="403"/>
      <c r="BK313" s="403"/>
      <c r="BL313" s="403"/>
      <c r="BM313" s="403"/>
      <c r="BN313" s="403"/>
      <c r="BO313" s="403"/>
      <c r="BP313" s="403"/>
      <c r="BQ313" s="403"/>
      <c r="BR313" s="403"/>
      <c r="BS313" s="403"/>
      <c r="BT313" s="403"/>
      <c r="BU313" s="403"/>
      <c r="BV313" s="403"/>
      <c r="BW313" s="403"/>
      <c r="BX313" s="403"/>
      <c r="BY313" s="403"/>
      <c r="BZ313" s="403"/>
      <c r="CA313" s="403"/>
      <c r="CB313" s="403"/>
      <c r="CC313" s="403"/>
      <c r="CD313" s="403"/>
      <c r="CE313" s="403"/>
      <c r="CF313" s="403"/>
      <c r="CG313" s="403"/>
      <c r="CH313" s="403"/>
      <c r="CI313" s="403"/>
      <c r="CJ313" s="403"/>
      <c r="CK313" s="403"/>
      <c r="CL313" s="403"/>
      <c r="CM313" s="403"/>
      <c r="CN313" s="403"/>
      <c r="CO313" s="403"/>
      <c r="CP313" s="403"/>
      <c r="CQ313" s="403"/>
      <c r="CR313" s="403"/>
      <c r="CS313" s="403"/>
      <c r="CT313" s="403"/>
      <c r="CU313" s="403"/>
      <c r="CV313" s="403"/>
      <c r="CW313" s="403"/>
      <c r="CX313" s="403"/>
      <c r="CY313" s="403"/>
      <c r="CZ313" s="403"/>
      <c r="DA313" s="403"/>
      <c r="DB313" s="403"/>
      <c r="DC313" s="403"/>
      <c r="DD313" s="403"/>
      <c r="DE313" s="403"/>
      <c r="DF313" s="403"/>
      <c r="DG313" s="403"/>
      <c r="DH313" s="403"/>
      <c r="DI313" s="403"/>
      <c r="DJ313" s="403"/>
      <c r="DK313" s="403"/>
      <c r="DL313" s="403"/>
      <c r="DM313" s="403"/>
      <c r="DN313" s="403"/>
      <c r="DO313" s="403"/>
      <c r="DP313" s="403"/>
      <c r="DQ313" s="403"/>
      <c r="DR313" s="403"/>
      <c r="DS313" s="403"/>
      <c r="DT313" s="403"/>
      <c r="DU313" s="403"/>
      <c r="DV313" s="403"/>
      <c r="DW313" s="403"/>
      <c r="DX313" s="403"/>
      <c r="DY313" s="403"/>
      <c r="DZ313" s="403"/>
      <c r="EA313" s="403"/>
      <c r="EB313" s="403"/>
      <c r="EC313" s="403"/>
      <c r="ED313" s="403"/>
      <c r="EE313" s="403"/>
      <c r="EF313" s="403"/>
      <c r="EG313" s="403"/>
      <c r="EH313" s="403"/>
      <c r="EI313" s="403"/>
      <c r="EJ313" s="403"/>
      <c r="EK313" s="403"/>
      <c r="EL313" s="403"/>
      <c r="EM313" s="403"/>
      <c r="EN313" s="403"/>
      <c r="EO313" s="403"/>
      <c r="EP313" s="403"/>
      <c r="EQ313" s="403"/>
      <c r="ER313" s="403"/>
      <c r="ES313" s="403"/>
      <c r="ET313" s="403"/>
      <c r="EU313" s="403"/>
      <c r="EV313" s="403"/>
      <c r="EW313" s="403"/>
      <c r="EX313" s="403"/>
      <c r="EY313" s="403"/>
      <c r="EZ313" s="403"/>
      <c r="FA313" s="403"/>
      <c r="FB313" s="403"/>
      <c r="FC313" s="403"/>
      <c r="FD313" s="403"/>
      <c r="FE313" s="403"/>
      <c r="FF313" s="403"/>
      <c r="FG313" s="403"/>
      <c r="FH313" s="403"/>
      <c r="FI313" s="403"/>
      <c r="FJ313" s="403"/>
      <c r="FK313" s="403"/>
      <c r="FL313" s="403"/>
      <c r="FM313" s="403"/>
      <c r="FN313" s="403"/>
      <c r="FO313" s="403"/>
      <c r="FP313" s="403"/>
      <c r="FQ313" s="403"/>
      <c r="FR313" s="403"/>
      <c r="FS313" s="403"/>
      <c r="FT313" s="403"/>
      <c r="FU313" s="403"/>
      <c r="FV313" s="403"/>
      <c r="FW313" s="403"/>
      <c r="FX313" s="403"/>
      <c r="FY313" s="403"/>
      <c r="FZ313" s="403"/>
      <c r="GA313" s="403"/>
      <c r="GB313" s="403"/>
      <c r="GC313" s="403"/>
      <c r="GD313" s="403"/>
      <c r="GE313" s="403"/>
      <c r="GF313" s="403"/>
      <c r="GG313" s="403"/>
      <c r="GH313" s="403"/>
      <c r="GI313" s="403"/>
      <c r="GJ313" s="403"/>
      <c r="GK313" s="403"/>
      <c r="GL313" s="403"/>
      <c r="GM313" s="403"/>
      <c r="GN313" s="403"/>
      <c r="GO313" s="403"/>
      <c r="GP313" s="403"/>
      <c r="GQ313" s="403"/>
      <c r="GR313" s="403"/>
      <c r="GS313" s="403"/>
      <c r="GT313" s="403"/>
      <c r="GU313" s="403"/>
      <c r="GV313" s="403"/>
      <c r="GW313" s="403"/>
      <c r="GX313" s="403"/>
      <c r="GY313" s="403"/>
      <c r="GZ313" s="403"/>
      <c r="HA313" s="403"/>
      <c r="HB313" s="403"/>
      <c r="HC313" s="403"/>
      <c r="HD313" s="403"/>
      <c r="HE313" s="403"/>
      <c r="HF313" s="403"/>
      <c r="HG313" s="403"/>
      <c r="HH313" s="403"/>
      <c r="HI313" s="403"/>
      <c r="HJ313" s="403"/>
      <c r="HK313" s="403"/>
      <c r="HL313" s="403"/>
      <c r="HM313" s="403"/>
      <c r="HN313" s="403"/>
      <c r="HO313" s="403"/>
      <c r="HP313" s="403"/>
      <c r="HQ313" s="403"/>
      <c r="HR313" s="403"/>
      <c r="HS313" s="403"/>
      <c r="HT313" s="403"/>
      <c r="HU313" s="403"/>
      <c r="HV313" s="403"/>
      <c r="HW313" s="403"/>
      <c r="HX313" s="403"/>
      <c r="HY313" s="403"/>
      <c r="HZ313" s="403"/>
      <c r="IA313" s="403"/>
      <c r="IB313" s="403"/>
      <c r="IC313" s="403"/>
      <c r="ID313" s="403"/>
      <c r="IE313" s="403"/>
      <c r="IF313" s="403"/>
      <c r="IG313" s="403"/>
      <c r="IH313" s="403"/>
      <c r="II313" s="403"/>
      <c r="IJ313" s="403"/>
      <c r="IK313" s="403"/>
      <c r="IL313" s="403"/>
      <c r="IM313" s="403"/>
      <c r="IN313" s="403"/>
      <c r="IO313" s="403"/>
      <c r="IP313" s="403"/>
      <c r="IQ313" s="403"/>
      <c r="IR313" s="403"/>
      <c r="IS313" s="403"/>
      <c r="IT313" s="403"/>
      <c r="IU313" s="403"/>
      <c r="IV313" s="403"/>
      <c r="IW313" s="403"/>
      <c r="IX313" s="403"/>
      <c r="IY313" s="403"/>
      <c r="IZ313" s="403"/>
      <c r="JA313" s="403"/>
      <c r="JB313" s="403"/>
      <c r="JC313" s="403"/>
      <c r="JD313" s="403"/>
      <c r="JE313" s="403"/>
      <c r="JF313" s="403"/>
      <c r="JG313" s="403"/>
      <c r="JH313" s="403"/>
      <c r="JI313" s="403"/>
      <c r="JJ313" s="403"/>
      <c r="JK313" s="403"/>
      <c r="JL313" s="403"/>
      <c r="JM313" s="403"/>
      <c r="JN313" s="403"/>
      <c r="JO313" s="403"/>
      <c r="JP313" s="403"/>
      <c r="JQ313" s="403"/>
      <c r="JR313" s="403"/>
      <c r="JS313" s="403"/>
      <c r="JT313" s="403"/>
    </row>
    <row r="317" spans="1:280" ht="12.75" x14ac:dyDescent="0.2">
      <c r="A317" s="684" t="str">
        <f>WHO_Copyright</f>
        <v>© World Health Organization and the United Nations Children’s Fund (UNICEF), 2022. Some rights reserved. This work is available under the CC BY-NC-SA 3.0 IGO licence.</v>
      </c>
      <c r="B317" s="684"/>
      <c r="C317" s="684"/>
      <c r="D317" s="684"/>
      <c r="E317" s="684"/>
      <c r="F317" s="684"/>
      <c r="G317" s="684"/>
      <c r="H317" s="684"/>
      <c r="I317" s="684"/>
      <c r="J317" s="684"/>
      <c r="K317" s="684"/>
      <c r="L317" s="684"/>
      <c r="M317" s="684"/>
    </row>
    <row r="318" spans="1:280" ht="12.75" x14ac:dyDescent="0.2">
      <c r="A318" s="671" t="str">
        <f>WHO_Reference</f>
        <v>WHO reference number: WHO/2019-nCoV/Vaccine_deployment_tool/2022.1</v>
      </c>
      <c r="B318" s="671"/>
      <c r="C318" s="671"/>
      <c r="D318" s="671"/>
      <c r="E318" s="671"/>
      <c r="F318" s="671"/>
      <c r="G318" s="671"/>
      <c r="H318" s="671"/>
      <c r="I318" s="671"/>
      <c r="J318" s="671"/>
      <c r="K318" s="671"/>
      <c r="L318" s="671"/>
      <c r="M318" s="671"/>
    </row>
  </sheetData>
  <sheetProtection algorithmName="SHA-512" hashValue="3AuudyngH8EAlCNaHxlzubluZJBCKFDA6ZM5nrwrYFxVXpS0iX0Iudt6VeGHEjpxQvGMr3JqGAncx0ts+JPfeg==" saltValue="LZkt+eFVHT8XNdtkLFkRRw==" spinCount="100000" sheet="1" objects="1" scenarios="1"/>
  <mergeCells count="11">
    <mergeCell ref="A317:M317"/>
    <mergeCell ref="A318:M318"/>
    <mergeCell ref="W87:AB87"/>
    <mergeCell ref="W137:AB137"/>
    <mergeCell ref="W190:AB190"/>
    <mergeCell ref="W238:AB238"/>
    <mergeCell ref="J9:O9"/>
    <mergeCell ref="J87:O87"/>
    <mergeCell ref="J137:O137"/>
    <mergeCell ref="J190:O190"/>
    <mergeCell ref="J238:O238"/>
  </mergeCells>
  <conditionalFormatting sqref="Q108 Q208 Q280">
    <cfRule type="cellIs" dxfId="203" priority="33" operator="lessThan">
      <formula>$Q$87</formula>
    </cfRule>
  </conditionalFormatting>
  <conditionalFormatting sqref="Q160">
    <cfRule type="cellIs" dxfId="202" priority="32" operator="lessThan">
      <formula>$Q$87</formula>
    </cfRule>
  </conditionalFormatting>
  <conditionalFormatting sqref="Q206">
    <cfRule type="cellIs" dxfId="201" priority="31" operator="equal">
      <formula>1</formula>
    </cfRule>
  </conditionalFormatting>
  <conditionalFormatting sqref="AP280">
    <cfRule type="cellIs" dxfId="200" priority="17" operator="lessThan">
      <formula>$Q$87</formula>
    </cfRule>
  </conditionalFormatting>
  <conditionalFormatting sqref="AD108">
    <cfRule type="cellIs" dxfId="199" priority="29" operator="lessThan">
      <formula>$Q$87</formula>
    </cfRule>
  </conditionalFormatting>
  <conditionalFormatting sqref="AP108">
    <cfRule type="cellIs" dxfId="198" priority="27" operator="lessThan">
      <formula>$Q$87</formula>
    </cfRule>
  </conditionalFormatting>
  <conditionalFormatting sqref="AD160">
    <cfRule type="cellIs" dxfId="197" priority="24" operator="lessThan">
      <formula>$Q$87</formula>
    </cfRule>
  </conditionalFormatting>
  <conditionalFormatting sqref="AP160">
    <cfRule type="cellIs" dxfId="196" priority="23" operator="lessThan">
      <formula>$Q$87</formula>
    </cfRule>
  </conditionalFormatting>
  <conditionalFormatting sqref="AD208">
    <cfRule type="cellIs" dxfId="195" priority="22" operator="lessThan">
      <formula>$Q$87</formula>
    </cfRule>
  </conditionalFormatting>
  <conditionalFormatting sqref="AD206">
    <cfRule type="cellIs" dxfId="194" priority="21" operator="equal">
      <formula>1</formula>
    </cfRule>
  </conditionalFormatting>
  <conditionalFormatting sqref="AP208">
    <cfRule type="cellIs" dxfId="193" priority="20" operator="lessThan">
      <formula>$Q$87</formula>
    </cfRule>
  </conditionalFormatting>
  <conditionalFormatting sqref="AP206">
    <cfRule type="cellIs" dxfId="192" priority="19" operator="equal">
      <formula>1</formula>
    </cfRule>
  </conditionalFormatting>
  <conditionalFormatting sqref="AD280">
    <cfRule type="cellIs" dxfId="191" priority="18" operator="lessThan">
      <formula>$Q$87</formula>
    </cfRule>
  </conditionalFormatting>
  <conditionalFormatting sqref="Q152">
    <cfRule type="cellIs" dxfId="190" priority="16" operator="lessThan">
      <formula>$Q$87</formula>
    </cfRule>
  </conditionalFormatting>
  <conditionalFormatting sqref="Q200">
    <cfRule type="cellIs" dxfId="189" priority="15" operator="lessThan">
      <formula>$Q$87</formula>
    </cfRule>
  </conditionalFormatting>
  <conditionalFormatting sqref="Q260">
    <cfRule type="cellIs" dxfId="188" priority="14" operator="lessThan">
      <formula>$Q$87</formula>
    </cfRule>
  </conditionalFormatting>
  <conditionalFormatting sqref="Q261">
    <cfRule type="cellIs" dxfId="187" priority="13" operator="lessThan">
      <formula>$Q$87</formula>
    </cfRule>
  </conditionalFormatting>
  <conditionalFormatting sqref="AD260">
    <cfRule type="cellIs" dxfId="186" priority="12" operator="lessThan">
      <formula>$Q$87</formula>
    </cfRule>
  </conditionalFormatting>
  <conditionalFormatting sqref="AD261">
    <cfRule type="cellIs" dxfId="185" priority="11" operator="lessThan">
      <formula>$Q$87</formula>
    </cfRule>
  </conditionalFormatting>
  <conditionalFormatting sqref="AP260">
    <cfRule type="cellIs" dxfId="184" priority="10" operator="lessThan">
      <formula>$Q$87</formula>
    </cfRule>
  </conditionalFormatting>
  <conditionalFormatting sqref="AP261">
    <cfRule type="cellIs" dxfId="183" priority="9" operator="lessThan">
      <formula>$Q$87</formula>
    </cfRule>
  </conditionalFormatting>
  <conditionalFormatting sqref="AD152">
    <cfRule type="cellIs" dxfId="182" priority="8" operator="lessThan">
      <formula>$Q$87</formula>
    </cfRule>
  </conditionalFormatting>
  <conditionalFormatting sqref="AP152">
    <cfRule type="cellIs" dxfId="181" priority="7" operator="lessThan">
      <formula>$Q$87</formula>
    </cfRule>
  </conditionalFormatting>
  <conditionalFormatting sqref="AD200">
    <cfRule type="cellIs" dxfId="180" priority="6" operator="lessThan">
      <formula>$Q$87</formula>
    </cfRule>
  </conditionalFormatting>
  <conditionalFormatting sqref="AP200">
    <cfRule type="cellIs" dxfId="179" priority="5" operator="lessThan">
      <formula>$Q$87</formula>
    </cfRule>
  </conditionalFormatting>
  <conditionalFormatting sqref="Q254">
    <cfRule type="cellIs" dxfId="178" priority="4" operator="lessThan">
      <formula>$Q$87</formula>
    </cfRule>
  </conditionalFormatting>
  <conditionalFormatting sqref="AD254">
    <cfRule type="cellIs" dxfId="177" priority="3" operator="lessThan">
      <formula>$Q$87</formula>
    </cfRule>
  </conditionalFormatting>
  <conditionalFormatting sqref="AP254">
    <cfRule type="cellIs" dxfId="176" priority="2" operator="lessThan">
      <formula>$Q$87</formula>
    </cfRule>
  </conditionalFormatting>
  <conditionalFormatting sqref="M2">
    <cfRule type="containsText" dxfId="175" priority="1" operator="containsText" text="Logic checks passed">
      <formula>NOT(ISERROR(SEARCH("Logic checks passed",M2)))</formula>
    </cfRule>
  </conditionalFormatting>
  <dataValidations disablePrompts="1" count="4">
    <dataValidation type="whole" allowBlank="1" showInputMessage="1" showErrorMessage="1" sqref="K95:O95 K145:O145 X95:AB95 AJ95:AN95 X145:AB145 AJ145:AN145" xr:uid="{D8A4F1F9-55AA-4F5A-9394-6E995C9C6725}">
      <formula1>0</formula1>
      <formula2>99999</formula2>
    </dataValidation>
    <dataValidation type="whole" allowBlank="1" showInputMessage="1" showErrorMessage="1" sqref="J199:O200 J151:O152 J56:O56 J99:O99 W99:AB99 AI99:AN99 W151:AB152 AI151:AN152 W199:AB200 AI199:AN200 W56:AB56 AI56:AN56" xr:uid="{EC95BD8D-8EB4-4FAD-A41E-B0152035EEB3}">
      <formula1>1</formula1>
      <formula2>9999</formula2>
    </dataValidation>
    <dataValidation type="whole" allowBlank="1" showInputMessage="1" showErrorMessage="1" sqref="D115 D168 D216" xr:uid="{E9B8445A-16F4-43F3-816F-202D740AF985}">
      <formula1>5</formula1>
      <formula2>HRH_DefaultDays_DM1to3</formula2>
    </dataValidation>
    <dataValidation type="whole" allowBlank="1" showInputMessage="1" showErrorMessage="1" sqref="D291" xr:uid="{7524547C-57C6-4112-A6B9-84CA0EDE004D}">
      <formula1>5</formula1>
      <formula2>HRH_DefaultDays_DM4</formula2>
    </dataValidation>
  </dataValidations>
  <hyperlinks>
    <hyperlink ref="C20" location="'A2. INPUT Population &amp; Delivery'!E172" display="Click here change RBF prices and parameters" xr:uid="{295B7A01-7DA1-42B7-9118-C66C41B7EF87}"/>
  </hyperlinks>
  <pageMargins left="0.7" right="0.7" top="0.75" bottom="0.75" header="0.3" footer="0.3"/>
  <pageSetup paperSize="9" orientation="portrait" r:id="rId1"/>
  <ignoredErrors>
    <ignoredError sqref="W43:AC43 AI43:AO43" formula="1"/>
  </ignoredErrors>
  <drawing r:id="rId2"/>
  <extLst>
    <ext xmlns:x14="http://schemas.microsoft.com/office/spreadsheetml/2009/9/main" uri="{78C0D931-6437-407d-A8EE-F0AAD7539E65}">
      <x14:conditionalFormattings>
        <x14:conditionalFormatting xmlns:xm="http://schemas.microsoft.com/office/excel/2006/main">
          <x14:cfRule type="iconSet" priority="39" id="{BA5A8611-176E-4B40-BB6F-0947D1D7FE3A}">
            <x14:iconSet custom="1">
              <x14:cfvo type="percent">
                <xm:f>0</xm:f>
              </x14:cfvo>
              <x14:cfvo type="percent">
                <xm:f>33</xm:f>
              </x14:cfvo>
              <x14:cfvo type="percent">
                <xm:f>67</xm:f>
              </x14:cfvo>
              <x14:cfIcon iconSet="NoIcons" iconId="0"/>
              <x14:cfIcon iconSet="NoIcons" iconId="0"/>
              <x14:cfIcon iconSet="3TrafficLights1" iconId="2"/>
            </x14:iconSet>
          </x14:cfRule>
          <xm:sqref>J91:O91</xm:sqref>
        </x14:conditionalFormatting>
        <x14:conditionalFormatting xmlns:xm="http://schemas.microsoft.com/office/excel/2006/main">
          <x14:cfRule type="iconSet" priority="37" id="{4C27FE6F-1AB6-4AAF-BF8F-78060A42A771}">
            <x14:iconSet custom="1">
              <x14:cfvo type="percent">
                <xm:f>0</xm:f>
              </x14:cfvo>
              <x14:cfvo type="percent">
                <xm:f>33</xm:f>
              </x14:cfvo>
              <x14:cfvo type="percent">
                <xm:f>67</xm:f>
              </x14:cfvo>
              <x14:cfIcon iconSet="NoIcons" iconId="0"/>
              <x14:cfIcon iconSet="NoIcons" iconId="0"/>
              <x14:cfIcon iconSet="3TrafficLights1" iconId="2"/>
            </x14:iconSet>
          </x14:cfRule>
          <xm:sqref>J141:O141</xm:sqref>
        </x14:conditionalFormatting>
        <x14:conditionalFormatting xmlns:xm="http://schemas.microsoft.com/office/excel/2006/main">
          <x14:cfRule type="iconSet" priority="30" id="{CC64310E-CD6F-40CD-9132-4E8F058C366C}">
            <x14:iconSet custom="1">
              <x14:cfvo type="percent">
                <xm:f>0</xm:f>
              </x14:cfvo>
              <x14:cfvo type="percent">
                <xm:f>33</xm:f>
              </x14:cfvo>
              <x14:cfvo type="percent">
                <xm:f>67</xm:f>
              </x14:cfvo>
              <x14:cfIcon iconSet="NoIcons" iconId="0"/>
              <x14:cfIcon iconSet="NoIcons" iconId="0"/>
              <x14:cfIcon iconSet="3TrafficLights1" iconId="2"/>
            </x14:iconSet>
          </x14:cfRule>
          <xm:sqref>W91:AB91</xm:sqref>
        </x14:conditionalFormatting>
        <x14:conditionalFormatting xmlns:xm="http://schemas.microsoft.com/office/excel/2006/main">
          <x14:cfRule type="iconSet" priority="28" id="{0483E620-B974-4583-B460-13133079CDE6}">
            <x14:iconSet custom="1">
              <x14:cfvo type="percent">
                <xm:f>0</xm:f>
              </x14:cfvo>
              <x14:cfvo type="percent">
                <xm:f>33</xm:f>
              </x14:cfvo>
              <x14:cfvo type="percent">
                <xm:f>67</xm:f>
              </x14:cfvo>
              <x14:cfIcon iconSet="NoIcons" iconId="0"/>
              <x14:cfIcon iconSet="NoIcons" iconId="0"/>
              <x14:cfIcon iconSet="3TrafficLights1" iconId="2"/>
            </x14:iconSet>
          </x14:cfRule>
          <xm:sqref>AI91:AN91</xm:sqref>
        </x14:conditionalFormatting>
        <x14:conditionalFormatting xmlns:xm="http://schemas.microsoft.com/office/excel/2006/main">
          <x14:cfRule type="iconSet" priority="26" id="{47723587-32E6-4CDF-988C-D6625BD163E8}">
            <x14:iconSet custom="1">
              <x14:cfvo type="percent">
                <xm:f>0</xm:f>
              </x14:cfvo>
              <x14:cfvo type="percent">
                <xm:f>33</xm:f>
              </x14:cfvo>
              <x14:cfvo type="percent">
                <xm:f>67</xm:f>
              </x14:cfvo>
              <x14:cfIcon iconSet="NoIcons" iconId="0"/>
              <x14:cfIcon iconSet="NoIcons" iconId="0"/>
              <x14:cfIcon iconSet="3TrafficLights1" iconId="2"/>
            </x14:iconSet>
          </x14:cfRule>
          <xm:sqref>W141:AB141</xm:sqref>
        </x14:conditionalFormatting>
        <x14:conditionalFormatting xmlns:xm="http://schemas.microsoft.com/office/excel/2006/main">
          <x14:cfRule type="iconSet" priority="25" id="{9F7A633C-172F-456D-BD1F-AEE1291BE29F}">
            <x14:iconSet custom="1">
              <x14:cfvo type="percent">
                <xm:f>0</xm:f>
              </x14:cfvo>
              <x14:cfvo type="percent">
                <xm:f>33</xm:f>
              </x14:cfvo>
              <x14:cfvo type="percent">
                <xm:f>67</xm:f>
              </x14:cfvo>
              <x14:cfIcon iconSet="NoIcons" iconId="0"/>
              <x14:cfIcon iconSet="NoIcons" iconId="0"/>
              <x14:cfIcon iconSet="3TrafficLights1" iconId="2"/>
            </x14:iconSet>
          </x14:cfRule>
          <xm:sqref>AI141:AN141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7908F11E5AC7F4BB5EA811083FE2292" ma:contentTypeVersion="13" ma:contentTypeDescription="Create a new document." ma:contentTypeScope="" ma:versionID="5f23df0f7bfb320e42a6a6935adca29e">
  <xsd:schema xmlns:xsd="http://www.w3.org/2001/XMLSchema" xmlns:xs="http://www.w3.org/2001/XMLSchema" xmlns:p="http://schemas.microsoft.com/office/2006/metadata/properties" xmlns:ns3="9f6506e2-5d24-4f0f-ad73-32f4569b6bed" xmlns:ns4="dda789e9-4a07-4941-aa07-95c574e7023e" targetNamespace="http://schemas.microsoft.com/office/2006/metadata/properties" ma:root="true" ma:fieldsID="b50bd24d55eb50470887753be6f9d4c8" ns3:_="" ns4:_="">
    <xsd:import namespace="9f6506e2-5d24-4f0f-ad73-32f4569b6bed"/>
    <xsd:import namespace="dda789e9-4a07-4941-aa07-95c574e7023e"/>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6506e2-5d24-4f0f-ad73-32f4569b6b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da789e9-4a07-4941-aa07-95c574e7023e"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1 6 " ? > < D a t a M a s h u p   s q m i d = " 8 d c 1 f f 8 1 - f e 6 4 - 4 f 9 2 - 8 5 9 3 - 4 f 2 8 0 f 2 d 0 6 1 9 "   x m l n s = " h t t p : / / s c h e m a s . m i c r o s o f t . c o m / D a t a M a s h u p " > A A A A A E Y F A A B Q S w M E F A A C A A g A U X l 8 V J I 6 C w K i A A A A 9 g A A A B I A H A B D b 2 5 m a W c v U G F j a 2 F n Z S 5 4 b W w g o h g A K K A U A A A A A A A A A A A A A A A A A A A A A A A A A A A A h Y + x D o I w F E V / h X S n L X U x 5 F E G V 0 l M T I y O T a n Q C A 9 D i + X f H P w k f 0 G M o m 6 O 9 9 w z 3 H u / 3 i A f 2 y a 6 m N 7 Z D j O S U E 4 i g 7 o r L V Y Z G f w x X p J c w k b p k 6 p M N M n o 0 t G V G a m 9 P 6 e M h R B o W N C u r 5 j g P G H 7 Y r 3 V t W k V + c j 2 v x x b d F 6 h N k T C 7 j V G C p p w Q Q W f N g G b I R Q W v 4 K Y u m f 7 A 2 E 1 N H 7 o j T Q Y F w d g c w T 2 / i A f U E s D B B Q A A g A I A F F 5 f F Q 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R e X x U m t G B R 0 I C A A B R C Q A A E w A c A E Z v c m 1 1 b G F z L 1 N l Y 3 R p b 2 4 x L m 0 g o h g A K K A U A A A A A A A A A A A A A A A A A A A A A A A A A A A A p Z X d a 9 s w F M X f A / k f j P f S g L E j 2 + k + S l 6 W 7 G 0 U t h Q 2 K K U o 8 m 0 i J s u Z P v J B y P 9 e J V 5 Z t / i 0 j P k l 5 h z r X v 2 O d I k l 4 W S j o 1 n 7 y 6 7 6 v X 7 P L r m h K v K 2 i s a R I t f v R e G Z N d 4 I C s r 3 W q U 3 f K 7 I X n y j e T p p t C P t 7 E W 8 d G 7 1 I c s 2 m 0 3 6 o B r u D H d k U 9 H U W c W l 2 m W h Y L q t V T w Y J G 3 J N / F k y f U i 9 L r Z r S g O t U 9 1 0 x v D t X 1 o T D 1 p l K / 1 0 b Q X b f 9 k v 4 + d d I r i J H J B j x x t 3 S G J 9 r G S + s e Z G N p 9 7 t I r s s L I 1 Z H 5 v F D Y k u e L 8 w 5 z b m n i j S E t d m f m y s + n g f d J r 8 K 7 k z X 9 q m j d R y 9 V 1 f n F 4 S k O 6 a g O G f y V y n 5 4 u D 0 6 d 5 2 h s V d S O 6 7 8 x 8 x e y u Y l y h f j O Z r X v D 7 f g u N m Q Q 6 u a + 3 O l b Q V p y C + P t u Q 9 v W c z M m W e k 3 G v u J O A e t h 0 O 9 J 3 R 3 4 8 x k R a y n u / e q Y w / 2 K 7 8 K t 7 5 6 Z i V 2 n 0 0 b 4 O k x K x 9 T Y M D a G b 9 K F d E s / 9 5 a M a P 3 T 9 P z 0 X D s p F H G T i W b N t 1 n N p c 4 6 e t / n K U u F X c e D 5 H Z K S t b h + M 0 4 T g J b e y n s e D R M o k 9 a N J X U i / H l a D h k S f T F N 4 5 m b q d o / P s 1 v W 4 0 3 f 3 n q L Y q O z u 7 V s + B X g C 9 B P o I 6 J d A f w v 0 d 0 B / D 3 Q 2 R A Y i Z g i Z I W a G o B m i Z g i b I W 6 G w B k i z x F 5 D s 8 a k e e I P E f k O S L P E X m O y H N E n i P y A p E X i L y A 1 x y R F 4 i 8 Q O Q F I i 8 Q e Y H I C 0 R e I v I S k Z e I v I Q T j s h L R F 4 i 8 h K R l 4 i 8 R O S j P 8 n x n 0 N 8 9 Q h Q S w E C L Q A U A A I A C A B R e X x U k j o L A q I A A A D 2 A A A A E g A A A A A A A A A A A A A A A A A A A A A A Q 2 9 u Z m l n L 1 B h Y 2 t h Z 2 U u e G 1 s U E s B A i 0 A F A A C A A g A U X l 8 V A / K 6 a u k A A A A 6 Q A A A B M A A A A A A A A A A A A A A A A A 7 g A A A F t D b 2 5 0 Z W 5 0 X 1 R 5 c G V z X S 5 4 b W x Q S w E C L Q A U A A I A C A B R e X x U m t G B R 0 I C A A B R C Q A A E w A A A A A A A A A A A A A A A A D f A Q A A R m 9 y b X V s Y X M v U 2 V j d G l v b j E u b V B L B Q Y A A A A A A w A D A M I A A A B u B A 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5 n O A A A A A A A A E U 4 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1 c 2 Q 8 L 0 l 0 Z W 1 Q Y X R o P j w v S X R l b U x v Y 2 F 0 a W 9 u P j x T d G F i b G V F b n R y a W V z P j x F b n R y e S B U e X B l P S J J c 1 B y a X Z h d G U 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F b m F i b G V k I i B W Y W x 1 Z T 0 i b D E i I C 8 + P E V u d H J 5 I F R 5 c G U 9 I k Z p b G x P Y m p l Y 3 R U e X B l I i B W Y W x 1 Z T 0 i c 1 R h Y m x l I i A v P j x F b n R y e S B U e X B l P S J G a W x s V G 9 E Y X R h T W 9 k Z W x F b m F i b G V k I i B W Y W x 1 Z T 0 i b D A i I C 8 + P E V u d H J 5 I F R 5 c G U 9 I l J l Y 2 9 2 Z X J 5 V G F y Z 2 V 0 U 2 h l Z X Q i I F Z h b H V l P S J z U 2 h l Z X Q y I i A v P j x F b n R y e S B U e X B l P S J S Z W N v d m V y e V R h c m d l d E N v b H V t b i I g V m F s d W U 9 I m w x I i A v P j x F b n R y e S B U e X B l P S J S Z W N v d m V y e V R h c m d l d F J v d y I g V m F s d W U 9 I m w x I i A v P j x F b n R y e S B U e X B l P S J G a W x s V G F y Z 2 V 0 I i B W Y W x 1 Z T 0 i c 0 Z P U k V Y M S I g L z 4 8 R W 5 0 c n k g V H l w Z T 0 i R m l s b G V k Q 2 9 t c G x l d G V S Z X N 1 b H R U b 1 d v c m t z a G V l d C I g V m F s d W U 9 I m w x I i A v P j x F b n R y e S B U e X B l P S J G a W x s V G F y Z 2 V 0 T m F t Z U N 1 c 3 R v b W l 6 Z W Q i I F Z h b H V l P S J s M S I g L z 4 8 R W 5 0 c n k g V H l w Z T 0 i U X V l c n l J R C I g V m F s d W U 9 I n N i Y m F h Y T R m N C 1 k N z Q 1 L T Q 4 N T E t O T M x M C 1 j O D I w M j g 4 Y z Y w Z W M i I C 8 + P E V u d H J 5 I F R 5 c G U 9 I k Z p b G x M Y X N 0 V X B k Y X R l Z C I g V m F s d W U 9 I m Q y M D I y L T A z L T I 4 V D A 3 O j E w O j M 1 L j I 4 M D Y y M z B a I i A v P j x F b n R y e S B U e X B l P S J G a W x s R X J y b 3 J D b 3 V u d C I g V m F s d W U 9 I m w w I i A v P j x F b n R y e S B U e X B l P S J G a W x s Q 2 9 s d W 1 u V H l w Z X M i I F Z h b H V l P S J z Q m d Z R 0 J 3 W U d C Z 1 l G Q l F Z P S I g L z 4 8 R W 5 0 c n k g V H l w Z T 0 i R m l s b E N v b H V t b k 5 h b W V z I i B W Y W x 1 Z T 0 i c 1 s m c X V v d D t 0 a X R s Z S Z x d W 9 0 O y w m c X V v d D t s a W 5 r J n F 1 b 3 Q 7 L C Z x d W 9 0 O 2 R l c 2 N y a X B 0 a W 9 u J n F 1 b 3 Q 7 L C Z x d W 9 0 O 3 B 1 Y k R h d G U m c X V v d D s s J n F 1 b 3 Q 7 Y m F z Z U N 1 c n J l b m N 5 J n F 1 b 3 Q 7 L C Z x d W 9 0 O 2 J h c 2 V O Y W 1 l J n F 1 b 3 Q 7 L C Z x d W 9 0 O 3 R h c m d l d E N 1 c n J l b m N 5 J n F 1 b 3 Q 7 L C Z x d W 9 0 O 3 R h c m d l d E 5 h b W U m c X V v d D s s J n F 1 b 3 Q 7 Z X h j a G F u Z 2 V S Y X R l J n F 1 b 3 Q 7 L C Z x d W 9 0 O 2 l u d m V y c 2 V S Y X R l J n F 1 b 3 Q 7 L C Z x d W 9 0 O 2 l u d m V y c 2 V E Z X N j c m l w d G l v b i Z x d W 9 0 O 1 0 i I C 8 + P E V u d H J 5 I F R 5 c G U 9 I k Z p b G x F c n J v c k N v Z G U i I F Z h b H V l P S J z V W 5 r b m 9 3 b i I g L z 4 8 R W 5 0 c n k g V H l w Z T 0 i R m l s b F N 0 Y X R 1 c y I g V m F s d W U 9 I n N D b 2 1 w b G V 0 Z S I g L z 4 8 R W 5 0 c n k g V H l w Z T 0 i R m l s b E N v d W 5 0 I i B W Y W x 1 Z T 0 i b D E 0 O S I g L z 4 8 R W 5 0 c n k g V H l w Z T 0 i Q W R k Z W R U b 0 R h d G F N b 2 R l b C I g V m F s d W U 9 I m w w I i A v P j x F b n R y e S B U e X B l P S J S Z W x h d G l v b n N o a X B J b m Z v Q 2 9 u d G F p b m V y I i B W Y W x 1 Z T 0 i c 3 s m c X V v d D t j b 2 x 1 b W 5 D b 3 V u d C Z x d W 9 0 O z o x M S w m c X V v d D t r Z X l D b 2 x 1 b W 5 O Y W 1 l c y Z x d W 9 0 O z p b X S w m c X V v d D t x d W V y e V J l b G F 0 a W 9 u c 2 h p c H M m c X V v d D s 6 W 1 0 s J n F 1 b 3 Q 7 Y 2 9 s d W 1 u S W R l b n R p d G l l c y Z x d W 9 0 O z p b J n F 1 b 3 Q 7 U 2 V j d G l v b j E v d X N k L 0 F 1 d G 9 S Z W 1 v d m V k Q 2 9 s d W 1 u c z E u e 3 R p d G x l L D B 9 J n F 1 b 3 Q 7 L C Z x d W 9 0 O 1 N l Y 3 R p b 2 4 x L 3 V z Z C 9 B d X R v U m V t b 3 Z l Z E N v b H V t b n M x L n t s a W 5 r L D F 9 J n F 1 b 3 Q 7 L C Z x d W 9 0 O 1 N l Y 3 R p b 2 4 x L 3 V z Z C 9 B d X R v U m V t b 3 Z l Z E N v b H V t b n M x L n t k Z X N j c m l w d G l v b i w y f S Z x d W 9 0 O y w m c X V v d D t T Z W N 0 a W 9 u M S 9 1 c 2 Q v Q X V 0 b 1 J l b W 9 2 Z W R D b 2 x 1 b W 5 z M S 5 7 c H V i R G F 0 Z S w z f S Z x d W 9 0 O y w m c X V v d D t T Z W N 0 a W 9 u M S 9 1 c 2 Q v Q X V 0 b 1 J l b W 9 2 Z W R D b 2 x 1 b W 5 z M S 5 7 Y m F z Z U N 1 c n J l b m N 5 L D R 9 J n F 1 b 3 Q 7 L C Z x d W 9 0 O 1 N l Y 3 R p b 2 4 x L 3 V z Z C 9 B d X R v U m V t b 3 Z l Z E N v b H V t b n M x L n t i Y X N l T m F t Z S w 1 f S Z x d W 9 0 O y w m c X V v d D t T Z W N 0 a W 9 u M S 9 1 c 2 Q v Q X V 0 b 1 J l b W 9 2 Z W R D b 2 x 1 b W 5 z M S 5 7 d G F y Z 2 V 0 Q 3 V y c m V u Y 3 k s N n 0 m c X V v d D s s J n F 1 b 3 Q 7 U 2 V j d G l v b j E v d X N k L 0 F 1 d G 9 S Z W 1 v d m V k Q 2 9 s d W 1 u c z E u e 3 R h c m d l d E 5 h b W U s N 3 0 m c X V v d D s s J n F 1 b 3 Q 7 U 2 V j d G l v b j E v d X N k L 0 F 1 d G 9 S Z W 1 v d m V k Q 2 9 s d W 1 u c z E u e 2 V 4 Y 2 h h b m d l U m F 0 Z S w 4 f S Z x d W 9 0 O y w m c X V v d D t T Z W N 0 a W 9 u M S 9 1 c 2 Q v Q X V 0 b 1 J l b W 9 2 Z W R D b 2 x 1 b W 5 z M S 5 7 a W 5 2 Z X J z Z V J h d G U s O X 0 m c X V v d D s s J n F 1 b 3 Q 7 U 2 V j d G l v b j E v d X N k L 0 F 1 d G 9 S Z W 1 v d m V k Q 2 9 s d W 1 u c z E u e 2 l u d m V y c 2 V E Z X N j c m l w d G l v b i w x M H 0 m c X V v d D t d L C Z x d W 9 0 O 0 N v b H V t b k N v d W 5 0 J n F 1 b 3 Q 7 O j E x L C Z x d W 9 0 O 0 t l e U N v b H V t b k 5 h b W V z J n F 1 b 3 Q 7 O l t d L C Z x d W 9 0 O 0 N v b H V t b k l k Z W 5 0 a X R p Z X M m c X V v d D s 6 W y Z x d W 9 0 O 1 N l Y 3 R p b 2 4 x L 3 V z Z C 9 B d X R v U m V t b 3 Z l Z E N v b H V t b n M x L n t 0 a X R s Z S w w f S Z x d W 9 0 O y w m c X V v d D t T Z W N 0 a W 9 u M S 9 1 c 2 Q v Q X V 0 b 1 J l b W 9 2 Z W R D b 2 x 1 b W 5 z M S 5 7 b G l u a y w x f S Z x d W 9 0 O y w m c X V v d D t T Z W N 0 a W 9 u M S 9 1 c 2 Q v Q X V 0 b 1 J l b W 9 2 Z W R D b 2 x 1 b W 5 z M S 5 7 Z G V z Y 3 J p c H R p b 2 4 s M n 0 m c X V v d D s s J n F 1 b 3 Q 7 U 2 V j d G l v b j E v d X N k L 0 F 1 d G 9 S Z W 1 v d m V k Q 2 9 s d W 1 u c z E u e 3 B 1 Y k R h d G U s M 3 0 m c X V v d D s s J n F 1 b 3 Q 7 U 2 V j d G l v b j E v d X N k L 0 F 1 d G 9 S Z W 1 v d m V k Q 2 9 s d W 1 u c z E u e 2 J h c 2 V D d X J y Z W 5 j e S w 0 f S Z x d W 9 0 O y w m c X V v d D t T Z W N 0 a W 9 u M S 9 1 c 2 Q v Q X V 0 b 1 J l b W 9 2 Z W R D b 2 x 1 b W 5 z M S 5 7 Y m F z Z U 5 h b W U s N X 0 m c X V v d D s s J n F 1 b 3 Q 7 U 2 V j d G l v b j E v d X N k L 0 F 1 d G 9 S Z W 1 v d m V k Q 2 9 s d W 1 u c z E u e 3 R h c m d l d E N 1 c n J l b m N 5 L D Z 9 J n F 1 b 3 Q 7 L C Z x d W 9 0 O 1 N l Y 3 R p b 2 4 x L 3 V z Z C 9 B d X R v U m V t b 3 Z l Z E N v b H V t b n M x L n t 0 Y X J n Z X R O Y W 1 l L D d 9 J n F 1 b 3 Q 7 L C Z x d W 9 0 O 1 N l Y 3 R p b 2 4 x L 3 V z Z C 9 B d X R v U m V t b 3 Z l Z E N v b H V t b n M x L n t l e G N o Y W 5 n Z V J h d G U s O H 0 m c X V v d D s s J n F 1 b 3 Q 7 U 2 V j d G l v b j E v d X N k L 0 F 1 d G 9 S Z W 1 v d m V k Q 2 9 s d W 1 u c z E u e 2 l u d m V y c 2 V S Y X R l L D l 9 J n F 1 b 3 Q 7 L C Z x d W 9 0 O 1 N l Y 3 R p b 2 4 x L 3 V z Z C 9 B d X R v U m V t b 3 Z l Z E N v b H V t b n M x L n t p b n Z l c n N l R G V z Y 3 J p c H R p b 2 4 s M T B 9 J n F 1 b 3 Q 7 X S w m c X V v d D t S Z W x h d G l v b n N o a X B J b m Z v J n F 1 b 3 Q 7 O l t d f S I g L z 4 8 L 1 N 0 Y W J s Z U V u d H J p Z X M + P C 9 J d G V t P j x J d G V t P j x J d G V t T G 9 j Y X R p b 2 4 + P E l 0 Z W 1 U e X B l P k Z v c m 1 1 b G E 8 L 0 l 0 Z W 1 U e X B l P j x J d G V t U G F 0 a D 5 T Z W N 0 a W 9 u M S 9 1 c 2 Q v U 2 9 1 c m N l P C 9 J d G V t U G F 0 a D 4 8 L 0 l 0 Z W 1 M b 2 N h d G l v b j 4 8 U 3 R h Y m x l R W 5 0 c m l l c y A v P j w v S X R l b T 4 8 S X R l b T 4 8 S X R l b U x v Y 2 F 0 a W 9 u P j x J d G V t V H l w Z T 5 G b 3 J t d W x h P C 9 J d G V t V H l w Z T 4 8 S X R l b V B h d G g + U 2 V j d G l v b j E v d X N k L 0 N o Y W 5 n Z W Q l M j B U e X B l P C 9 J d G V t U G F 0 a D 4 8 L 0 l 0 Z W 1 M b 2 N h d G l v b j 4 8 U 3 R h Y m x l R W 5 0 c m l l c y A v P j w v S X R l b T 4 8 S X R l b T 4 8 S X R l b U x v Y 2 F 0 a W 9 u P j x J d G V t V H l w Z T 5 G b 3 J t d W x h P C 9 J d G V t V H l w Z T 4 8 S X R l b V B h d G g + U 2 V j d G l v b j E v d X N k L 2 l 0 Z W 0 8 L 0 l 0 Z W 1 Q Y X R o P j w v S X R l b U x v Y 2 F 0 a W 9 u P j x T d G F i b G V F b n R y a W V z I C 8 + P C 9 J d G V t P j x J d G V t P j x J d G V t T G 9 j Y X R p b 2 4 + P E l 0 Z W 1 U e X B l P k Z v c m 1 1 b G E 8 L 0 l 0 Z W 1 U e X B l P j x J d G V t U G F 0 a D 5 T Z W N 0 a W 9 u M S 9 1 c 2 Q v Q 2 h h b m d l Z C U y M F R 5 c G U x P C 9 J d G V t U G F 0 a D 4 8 L 0 l 0 Z W 1 M b 2 N h d G l v b j 4 8 U 3 R h Y m x l R W 5 0 c m l l c y A v P j w v S X R l b T 4 8 S X R l b T 4 8 S X R l b U x v Y 2 F 0 a W 9 u P j x J d G V t V H l w Z T 5 G b 3 J t d W x h P C 9 J d G V t V H l w Z T 4 8 S X R l b V B h d G g + U 2 V j d G l v b j E v Y 3 Z p Y 1 9 1 c G R h d G V f c G F 5 b G 9 h Z D 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O Y W 1 l V X B k Y X R l Z E F m d G V y R m l s b C I g V m F s d W U 9 I m w w I i A v P j x F b n R y e S B U e X B l P S J S Z X N 1 b H R U e X B l I i B W Y W x 1 Z T 0 i c 1 R h Y m x l I i A v P j x F b n R y e S B U e X B l P S J C d W Z m Z X J O Z X h 0 U m V m c m V z a C I g V m F s d W U 9 I m w x I i A v P j x F b n R y e S B U e X B l P S J S Z W N v d m V y e V R h c m d l d F N o Z W V 0 I i B W Y W x 1 Z T 0 i c 1 Q x L m k g V m F j Y 2 l u Z X M i I C 8 + P E V u d H J 5 I F R 5 c G U 9 I l J l Y 2 9 2 Z X J 5 V G F y Z 2 V 0 Q 2 9 s d W 1 u I i B W Y W x 1 Z T 0 i b D E i I C 8 + P E V u d H J 5 I F R 5 c G U 9 I l J l Y 2 9 2 Z X J 5 V G F y Z 2 V 0 U m 9 3 I i B W Y W x 1 Z T 0 i b D E i I C 8 + P E V u d H J 5 I F R 5 c G U 9 I k Z p b G x U Y X J n Z X Q i I F Z h b H V l P S J z Y 3 Z p Y 1 9 1 c G R h d G V f c G F 5 b G 9 h Z C I g L z 4 8 R W 5 0 c n k g V H l w Z T 0 i R m l s b G V k Q 2 9 t c G x l d G V S Z X N 1 b H R U b 1 d v c m t z a G V l d C I g V m F s d W U 9 I m w x I i A v P j x F b n R y e S B U e X B l P S J R d W V y e U l E I i B W Y W x 1 Z T 0 i c 2 M 2 Z T Q w O W Y 4 L T d h M T k t N D M w O S 0 5 M T U 5 L T J k O G M 5 M z Y 1 Y j l h Z S I g L z 4 8 R W 5 0 c n k g V H l w Z T 0 i T m F 2 a W d h d G l v b l N 0 Z X B O Y W 1 l I i B W Y W x 1 Z T 0 i c 0 5 h d m l n Y X R p b 2 4 i I C 8 + P E V u d H J 5 I F R 5 c G U 9 I k Z p b G x F c n J v c k N v d W 5 0 I i B W Y W x 1 Z T 0 i b D A i I C 8 + P E V u d H J 5 I F R 5 c G U 9 I k Z p b G x M Y X N 0 V X B k Y X R l Z C I g V m F s d W U 9 I m Q y M D I y L T A z L T I 4 V D A 3 O j E w O j M 1 L j I 1 O T U 4 M j R a I i A v P j x F b n R y e S B U e X B l P S J G a W x s Q 2 9 s d W 1 u V H l w Z X M i I F Z h b H V l P S J z Q m d Z R 0 J n W U d C Z 1 l H Q m d Z R 0 J n W U d C Z 1 l H Q m d Z R 0 J n W U d C Z 1 l H Q m d Z R 0 J n W U d C Z 1 l H Q m d Z R 0 J n W U d C Z 1 l H Q m d Z R 0 J n W 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s s J n F 1 b 3 Q 7 Q 2 9 s d W 1 u M T Q m c X V v d D s s J n F 1 b 3 Q 7 Q 2 9 s d W 1 u M T U m c X V v d D s s J n F 1 b 3 Q 7 Q 2 9 s d W 1 u M T Y m c X V v d D s s J n F 1 b 3 Q 7 Q 2 9 s d W 1 u M T c m c X V v d D s s J n F 1 b 3 Q 7 Q 2 9 s d W 1 u M T g m c X V v d D s s J n F 1 b 3 Q 7 Q 2 9 s d W 1 u M T k m c X V v d D s s J n F 1 b 3 Q 7 Q 2 9 s d W 1 u M j A m c X V v d D s s J n F 1 b 3 Q 7 Q 2 9 s d W 1 u M j E m c X V v d D s s J n F 1 b 3 Q 7 Q 2 9 s d W 1 u M j I m c X V v d D s s J n F 1 b 3 Q 7 Q 2 9 s d W 1 u M j M m c X V v d D s s J n F 1 b 3 Q 7 Q 2 9 s d W 1 u M j Q m c X V v d D s s J n F 1 b 3 Q 7 Q 2 9 s d W 1 u M j U m c X V v d D s s J n F 1 b 3 Q 7 Q 2 9 s d W 1 u M j Y m c X V v d D s s J n F 1 b 3 Q 7 Q 2 9 s d W 1 u M j c m c X V v d D s s J n F 1 b 3 Q 7 Q 2 9 s d W 1 u M j g m c X V v d D s s J n F 1 b 3 Q 7 Q 2 9 s d W 1 u M j k m c X V v d D s s J n F 1 b 3 Q 7 Q 2 9 s d W 1 u M z A m c X V v d D s s J n F 1 b 3 Q 7 Q 2 9 s d W 1 u M z E m c X V v d D s s J n F 1 b 3 Q 7 Q 2 9 s d W 1 u M z I m c X V v d D s s J n F 1 b 3 Q 7 Q 2 9 s d W 1 u M z M m c X V v d D s s J n F 1 b 3 Q 7 Q 2 9 s d W 1 u M z Q m c X V v d D s s J n F 1 b 3 Q 7 Q 2 9 s d W 1 u M z U m c X V v d D s s J n F 1 b 3 Q 7 Q 2 9 s d W 1 u M z Y m c X V v d D s s J n F 1 b 3 Q 7 Q 2 9 s d W 1 u M z c m c X V v d D s s J n F 1 b 3 Q 7 Q 2 9 s d W 1 u M z g m c X V v d D s s J n F 1 b 3 Q 7 Q 2 9 s d W 1 u M z k m c X V v d D s s J n F 1 b 3 Q 7 Q 2 9 s d W 1 u N D A m c X V v d D s s J n F 1 b 3 Q 7 Q 2 9 s d W 1 u N D E m c X V v d D s s J n F 1 b 3 Q 7 Q 2 9 s d W 1 u N D I m c X V v d D s s J n F 1 b 3 Q 7 Q 2 9 s d W 1 u N D M m c X V v d D s s J n F 1 b 3 Q 7 Q 2 9 s d W 1 u N D Q m c X V v d D s s J n F 1 b 3 Q 7 Q 2 9 s d W 1 u N D U m c X V v d D s s J n F 1 b 3 Q 7 Q 2 9 s d W 1 u N D Y m c X V v d D s s J n F 1 b 3 Q 7 Q 2 9 s d W 1 u N D c m c X V v d D s s J n F 1 b 3 Q 7 Q 2 9 s d W 1 u N D g m c X V v d D s s J n F 1 b 3 Q 7 Q 2 9 s d W 1 u N D k m c X V v d D s s J n F 1 b 3 Q 7 Q 2 9 s d W 1 u N T A m c X V v d D t d I i A v P j x F b n R y e S B U e X B l P S J G a W x s R X J y b 3 J D b 2 R l I i B W Y W x 1 Z T 0 i c 1 V u a 2 5 v d 2 4 i I C 8 + P E V u d H J 5 I F R 5 c G U 9 I k Z p b G x T d G F 0 d X M i I F Z h b H V l P S J z Q 2 9 t c G x l d G U i I C 8 + P E V u d H J 5 I F R 5 c G U 9 I k Z p b G x D b 3 V u d C I g V m F s d W U 9 I m w z O C I g L z 4 8 R W 5 0 c n k g V H l w Z T 0 i Q W R k Z W R U b 0 R h d G F N b 2 R l b C I g V m F s d W U 9 I m w w I i A v P j x F b n R y e S B U e X B l P S J S Z W x h d G l v b n N o a X B J b m Z v Q 2 9 u d G F p b m V y I i B W Y W x 1 Z T 0 i c 3 s m c X V v d D t j b 2 x 1 b W 5 D b 3 V u d C Z x d W 9 0 O z o 1 M C w m c X V v d D t r Z X l D b 2 x 1 b W 5 O Y W 1 l c y Z x d W 9 0 O z p b X S w m c X V v d D t x d W V y e V J l b G F 0 a W 9 u c 2 h p c H M m c X V v d D s 6 W 1 0 s J n F 1 b 3 Q 7 Y 2 9 s d W 1 u S W R l b n R p d G l l c y Z x d W 9 0 O z p b J n F 1 b 3 Q 7 U 2 V j d G l v b j E v Y 3 Z p Y 1 9 1 c G R h d G V f c G F 5 b G 9 h Z C 9 B d X R v U m V t b 3 Z l Z E N v b H V t b n M x L n t D b 2 x 1 b W 4 x L D B 9 J n F 1 b 3 Q 7 L C Z x d W 9 0 O 1 N l Y 3 R p b 2 4 x L 2 N 2 a W N f d X B k Y X R l X 3 B h e W x v Y W Q v Q X V 0 b 1 J l b W 9 2 Z W R D b 2 x 1 b W 5 z M S 5 7 Q 2 9 s d W 1 u M i w x f S Z x d W 9 0 O y w m c X V v d D t T Z W N 0 a W 9 u M S 9 j d m l j X 3 V w Z G F 0 Z V 9 w Y X l s b 2 F k L 0 F 1 d G 9 S Z W 1 v d m V k Q 2 9 s d W 1 u c z E u e 0 N v b H V t b j M s M n 0 m c X V v d D s s J n F 1 b 3 Q 7 U 2 V j d G l v b j E v Y 3 Z p Y 1 9 1 c G R h d G V f c G F 5 b G 9 h Z C 9 B d X R v U m V t b 3 Z l Z E N v b H V t b n M x L n t D b 2 x 1 b W 4 0 L D N 9 J n F 1 b 3 Q 7 L C Z x d W 9 0 O 1 N l Y 3 R p b 2 4 x L 2 N 2 a W N f d X B k Y X R l X 3 B h e W x v Y W Q v Q X V 0 b 1 J l b W 9 2 Z W R D b 2 x 1 b W 5 z M S 5 7 Q 2 9 s d W 1 u N S w 0 f S Z x d W 9 0 O y w m c X V v d D t T Z W N 0 a W 9 u M S 9 j d m l j X 3 V w Z G F 0 Z V 9 w Y X l s b 2 F k L 0 F 1 d G 9 S Z W 1 v d m V k Q 2 9 s d W 1 u c z E u e 0 N v b H V t b j Y s N X 0 m c X V v d D s s J n F 1 b 3 Q 7 U 2 V j d G l v b j E v Y 3 Z p Y 1 9 1 c G R h d G V f c G F 5 b G 9 h Z C 9 B d X R v U m V t b 3 Z l Z E N v b H V t b n M x L n t D b 2 x 1 b W 4 3 L D Z 9 J n F 1 b 3 Q 7 L C Z x d W 9 0 O 1 N l Y 3 R p b 2 4 x L 2 N 2 a W N f d X B k Y X R l X 3 B h e W x v Y W Q v Q X V 0 b 1 J l b W 9 2 Z W R D b 2 x 1 b W 5 z M S 5 7 Q 2 9 s d W 1 u O C w 3 f S Z x d W 9 0 O y w m c X V v d D t T Z W N 0 a W 9 u M S 9 j d m l j X 3 V w Z G F 0 Z V 9 w Y X l s b 2 F k L 0 F 1 d G 9 S Z W 1 v d m V k Q 2 9 s d W 1 u c z E u e 0 N v b H V t b j k s O H 0 m c X V v d D s s J n F 1 b 3 Q 7 U 2 V j d G l v b j E v Y 3 Z p Y 1 9 1 c G R h d G V f c G F 5 b G 9 h Z C 9 B d X R v U m V t b 3 Z l Z E N v b H V t b n M x L n t D b 2 x 1 b W 4 x M C w 5 f S Z x d W 9 0 O y w m c X V v d D t T Z W N 0 a W 9 u M S 9 j d m l j X 3 V w Z G F 0 Z V 9 w Y X l s b 2 F k L 0 F 1 d G 9 S Z W 1 v d m V k Q 2 9 s d W 1 u c z E u e 0 N v b H V t b j E x L D E w f S Z x d W 9 0 O y w m c X V v d D t T Z W N 0 a W 9 u M S 9 j d m l j X 3 V w Z G F 0 Z V 9 w Y X l s b 2 F k L 0 F 1 d G 9 S Z W 1 v d m V k Q 2 9 s d W 1 u c z E u e 0 N v b H V t b j E y L D E x f S Z x d W 9 0 O y w m c X V v d D t T Z W N 0 a W 9 u M S 9 j d m l j X 3 V w Z G F 0 Z V 9 w Y X l s b 2 F k L 0 F 1 d G 9 S Z W 1 v d m V k Q 2 9 s d W 1 u c z E u e 0 N v b H V t b j E z L D E y f S Z x d W 9 0 O y w m c X V v d D t T Z W N 0 a W 9 u M S 9 j d m l j X 3 V w Z G F 0 Z V 9 w Y X l s b 2 F k L 0 F 1 d G 9 S Z W 1 v d m V k Q 2 9 s d W 1 u c z E u e 0 N v b H V t b j E 0 L D E z f S Z x d W 9 0 O y w m c X V v d D t T Z W N 0 a W 9 u M S 9 j d m l j X 3 V w Z G F 0 Z V 9 w Y X l s b 2 F k L 0 F 1 d G 9 S Z W 1 v d m V k Q 2 9 s d W 1 u c z E u e 0 N v b H V t b j E 1 L D E 0 f S Z x d W 9 0 O y w m c X V v d D t T Z W N 0 a W 9 u M S 9 j d m l j X 3 V w Z G F 0 Z V 9 w Y X l s b 2 F k L 0 F 1 d G 9 S Z W 1 v d m V k Q 2 9 s d W 1 u c z E u e 0 N v b H V t b j E 2 L D E 1 f S Z x d W 9 0 O y w m c X V v d D t T Z W N 0 a W 9 u M S 9 j d m l j X 3 V w Z G F 0 Z V 9 w Y X l s b 2 F k L 0 F 1 d G 9 S Z W 1 v d m V k Q 2 9 s d W 1 u c z E u e 0 N v b H V t b j E 3 L D E 2 f S Z x d W 9 0 O y w m c X V v d D t T Z W N 0 a W 9 u M S 9 j d m l j X 3 V w Z G F 0 Z V 9 w Y X l s b 2 F k L 0 F 1 d G 9 S Z W 1 v d m V k Q 2 9 s d W 1 u c z E u e 0 N v b H V t b j E 4 L D E 3 f S Z x d W 9 0 O y w m c X V v d D t T Z W N 0 a W 9 u M S 9 j d m l j X 3 V w Z G F 0 Z V 9 w Y X l s b 2 F k L 0 F 1 d G 9 S Z W 1 v d m V k Q 2 9 s d W 1 u c z E u e 0 N v b H V t b j E 5 L D E 4 f S Z x d W 9 0 O y w m c X V v d D t T Z W N 0 a W 9 u M S 9 j d m l j X 3 V w Z G F 0 Z V 9 w Y X l s b 2 F k L 0 F 1 d G 9 S Z W 1 v d m V k Q 2 9 s d W 1 u c z E u e 0 N v b H V t b j I w L D E 5 f S Z x d W 9 0 O y w m c X V v d D t T Z W N 0 a W 9 u M S 9 j d m l j X 3 V w Z G F 0 Z V 9 w Y X l s b 2 F k L 0 F 1 d G 9 S Z W 1 v d m V k Q 2 9 s d W 1 u c z E u e 0 N v b H V t b j I x L D I w f S Z x d W 9 0 O y w m c X V v d D t T Z W N 0 a W 9 u M S 9 j d m l j X 3 V w Z G F 0 Z V 9 w Y X l s b 2 F k L 0 F 1 d G 9 S Z W 1 v d m V k Q 2 9 s d W 1 u c z E u e 0 N v b H V t b j I y L D I x f S Z x d W 9 0 O y w m c X V v d D t T Z W N 0 a W 9 u M S 9 j d m l j X 3 V w Z G F 0 Z V 9 w Y X l s b 2 F k L 0 F 1 d G 9 S Z W 1 v d m V k Q 2 9 s d W 1 u c z E u e 0 N v b H V t b j I z L D I y f S Z x d W 9 0 O y w m c X V v d D t T Z W N 0 a W 9 u M S 9 j d m l j X 3 V w Z G F 0 Z V 9 w Y X l s b 2 F k L 0 F 1 d G 9 S Z W 1 v d m V k Q 2 9 s d W 1 u c z E u e 0 N v b H V t b j I 0 L D I z f S Z x d W 9 0 O y w m c X V v d D t T Z W N 0 a W 9 u M S 9 j d m l j X 3 V w Z G F 0 Z V 9 w Y X l s b 2 F k L 0 F 1 d G 9 S Z W 1 v d m V k Q 2 9 s d W 1 u c z E u e 0 N v b H V t b j I 1 L D I 0 f S Z x d W 9 0 O y w m c X V v d D t T Z W N 0 a W 9 u M S 9 j d m l j X 3 V w Z G F 0 Z V 9 w Y X l s b 2 F k L 0 F 1 d G 9 S Z W 1 v d m V k Q 2 9 s d W 1 u c z E u e 0 N v b H V t b j I 2 L D I 1 f S Z x d W 9 0 O y w m c X V v d D t T Z W N 0 a W 9 u M S 9 j d m l j X 3 V w Z G F 0 Z V 9 w Y X l s b 2 F k L 0 F 1 d G 9 S Z W 1 v d m V k Q 2 9 s d W 1 u c z E u e 0 N v b H V t b j I 3 L D I 2 f S Z x d W 9 0 O y w m c X V v d D t T Z W N 0 a W 9 u M S 9 j d m l j X 3 V w Z G F 0 Z V 9 w Y X l s b 2 F k L 0 F 1 d G 9 S Z W 1 v d m V k Q 2 9 s d W 1 u c z E u e 0 N v b H V t b j I 4 L D I 3 f S Z x d W 9 0 O y w m c X V v d D t T Z W N 0 a W 9 u M S 9 j d m l j X 3 V w Z G F 0 Z V 9 w Y X l s b 2 F k L 0 F 1 d G 9 S Z W 1 v d m V k Q 2 9 s d W 1 u c z E u e 0 N v b H V t b j I 5 L D I 4 f S Z x d W 9 0 O y w m c X V v d D t T Z W N 0 a W 9 u M S 9 j d m l j X 3 V w Z G F 0 Z V 9 w Y X l s b 2 F k L 0 F 1 d G 9 S Z W 1 v d m V k Q 2 9 s d W 1 u c z E u e 0 N v b H V t b j M w L D I 5 f S Z x d W 9 0 O y w m c X V v d D t T Z W N 0 a W 9 u M S 9 j d m l j X 3 V w Z G F 0 Z V 9 w Y X l s b 2 F k L 0 F 1 d G 9 S Z W 1 v d m V k Q 2 9 s d W 1 u c z E u e 0 N v b H V t b j M x L D M w f S Z x d W 9 0 O y w m c X V v d D t T Z W N 0 a W 9 u M S 9 j d m l j X 3 V w Z G F 0 Z V 9 w Y X l s b 2 F k L 0 F 1 d G 9 S Z W 1 v d m V k Q 2 9 s d W 1 u c z E u e 0 N v b H V t b j M y L D M x f S Z x d W 9 0 O y w m c X V v d D t T Z W N 0 a W 9 u M S 9 j d m l j X 3 V w Z G F 0 Z V 9 w Y X l s b 2 F k L 0 F 1 d G 9 S Z W 1 v d m V k Q 2 9 s d W 1 u c z E u e 0 N v b H V t b j M z L D M y f S Z x d W 9 0 O y w m c X V v d D t T Z W N 0 a W 9 u M S 9 j d m l j X 3 V w Z G F 0 Z V 9 w Y X l s b 2 F k L 0 F 1 d G 9 S Z W 1 v d m V k Q 2 9 s d W 1 u c z E u e 0 N v b H V t b j M 0 L D M z f S Z x d W 9 0 O y w m c X V v d D t T Z W N 0 a W 9 u M S 9 j d m l j X 3 V w Z G F 0 Z V 9 w Y X l s b 2 F k L 0 F 1 d G 9 S Z W 1 v d m V k Q 2 9 s d W 1 u c z E u e 0 N v b H V t b j M 1 L D M 0 f S Z x d W 9 0 O y w m c X V v d D t T Z W N 0 a W 9 u M S 9 j d m l j X 3 V w Z G F 0 Z V 9 w Y X l s b 2 F k L 0 F 1 d G 9 S Z W 1 v d m V k Q 2 9 s d W 1 u c z E u e 0 N v b H V t b j M 2 L D M 1 f S Z x d W 9 0 O y w m c X V v d D t T Z W N 0 a W 9 u M S 9 j d m l j X 3 V w Z G F 0 Z V 9 w Y X l s b 2 F k L 0 F 1 d G 9 S Z W 1 v d m V k Q 2 9 s d W 1 u c z E u e 0 N v b H V t b j M 3 L D M 2 f S Z x d W 9 0 O y w m c X V v d D t T Z W N 0 a W 9 u M S 9 j d m l j X 3 V w Z G F 0 Z V 9 w Y X l s b 2 F k L 0 F 1 d G 9 S Z W 1 v d m V k Q 2 9 s d W 1 u c z E u e 0 N v b H V t b j M 4 L D M 3 f S Z x d W 9 0 O y w m c X V v d D t T Z W N 0 a W 9 u M S 9 j d m l j X 3 V w Z G F 0 Z V 9 w Y X l s b 2 F k L 0 F 1 d G 9 S Z W 1 v d m V k Q 2 9 s d W 1 u c z E u e 0 N v b H V t b j M 5 L D M 4 f S Z x d W 9 0 O y w m c X V v d D t T Z W N 0 a W 9 u M S 9 j d m l j X 3 V w Z G F 0 Z V 9 w Y X l s b 2 F k L 0 F 1 d G 9 S Z W 1 v d m V k Q 2 9 s d W 1 u c z E u e 0 N v b H V t b j Q w L D M 5 f S Z x d W 9 0 O y w m c X V v d D t T Z W N 0 a W 9 u M S 9 j d m l j X 3 V w Z G F 0 Z V 9 w Y X l s b 2 F k L 0 F 1 d G 9 S Z W 1 v d m V k Q 2 9 s d W 1 u c z E u e 0 N v b H V t b j Q x L D Q w f S Z x d W 9 0 O y w m c X V v d D t T Z W N 0 a W 9 u M S 9 j d m l j X 3 V w Z G F 0 Z V 9 w Y X l s b 2 F k L 0 F 1 d G 9 S Z W 1 v d m V k Q 2 9 s d W 1 u c z E u e 0 N v b H V t b j Q y L D Q x f S Z x d W 9 0 O y w m c X V v d D t T Z W N 0 a W 9 u M S 9 j d m l j X 3 V w Z G F 0 Z V 9 w Y X l s b 2 F k L 0 F 1 d G 9 S Z W 1 v d m V k Q 2 9 s d W 1 u c z E u e 0 N v b H V t b j Q z L D Q y f S Z x d W 9 0 O y w m c X V v d D t T Z W N 0 a W 9 u M S 9 j d m l j X 3 V w Z G F 0 Z V 9 w Y X l s b 2 F k L 0 F 1 d G 9 S Z W 1 v d m V k Q 2 9 s d W 1 u c z E u e 0 N v b H V t b j Q 0 L D Q z f S Z x d W 9 0 O y w m c X V v d D t T Z W N 0 a W 9 u M S 9 j d m l j X 3 V w Z G F 0 Z V 9 w Y X l s b 2 F k L 0 F 1 d G 9 S Z W 1 v d m V k Q 2 9 s d W 1 u c z E u e 0 N v b H V t b j Q 1 L D Q 0 f S Z x d W 9 0 O y w m c X V v d D t T Z W N 0 a W 9 u M S 9 j d m l j X 3 V w Z G F 0 Z V 9 w Y X l s b 2 F k L 0 F 1 d G 9 S Z W 1 v d m V k Q 2 9 s d W 1 u c z E u e 0 N v b H V t b j Q 2 L D Q 1 f S Z x d W 9 0 O y w m c X V v d D t T Z W N 0 a W 9 u M S 9 j d m l j X 3 V w Z G F 0 Z V 9 w Y X l s b 2 F k L 0 F 1 d G 9 S Z W 1 v d m V k Q 2 9 s d W 1 u c z E u e 0 N v b H V t b j Q 3 L D Q 2 f S Z x d W 9 0 O y w m c X V v d D t T Z W N 0 a W 9 u M S 9 j d m l j X 3 V w Z G F 0 Z V 9 w Y X l s b 2 F k L 0 F 1 d G 9 S Z W 1 v d m V k Q 2 9 s d W 1 u c z E u e 0 N v b H V t b j Q 4 L D Q 3 f S Z x d W 9 0 O y w m c X V v d D t T Z W N 0 a W 9 u M S 9 j d m l j X 3 V w Z G F 0 Z V 9 w Y X l s b 2 F k L 0 F 1 d G 9 S Z W 1 v d m V k Q 2 9 s d W 1 u c z E u e 0 N v b H V t b j Q 5 L D Q 4 f S Z x d W 9 0 O y w m c X V v d D t T Z W N 0 a W 9 u M S 9 j d m l j X 3 V w Z G F 0 Z V 9 w Y X l s b 2 F k L 0 F 1 d G 9 S Z W 1 v d m V k Q 2 9 s d W 1 u c z E u e 0 N v b H V t b j U w L D Q 5 f S Z x d W 9 0 O 1 0 s J n F 1 b 3 Q 7 Q 2 9 s d W 1 u Q 2 9 1 b n Q m c X V v d D s 6 N T A s J n F 1 b 3 Q 7 S 2 V 5 Q 2 9 s d W 1 u T m F t Z X M m c X V v d D s 6 W 1 0 s J n F 1 b 3 Q 7 Q 2 9 s d W 1 u S W R l b n R p d G l l c y Z x d W 9 0 O z p b J n F 1 b 3 Q 7 U 2 V j d G l v b j E v Y 3 Z p Y 1 9 1 c G R h d G V f c G F 5 b G 9 h Z C 9 B d X R v U m V t b 3 Z l Z E N v b H V t b n M x L n t D b 2 x 1 b W 4 x L D B 9 J n F 1 b 3 Q 7 L C Z x d W 9 0 O 1 N l Y 3 R p b 2 4 x L 2 N 2 a W N f d X B k Y X R l X 3 B h e W x v Y W Q v Q X V 0 b 1 J l b W 9 2 Z W R D b 2 x 1 b W 5 z M S 5 7 Q 2 9 s d W 1 u M i w x f S Z x d W 9 0 O y w m c X V v d D t T Z W N 0 a W 9 u M S 9 j d m l j X 3 V w Z G F 0 Z V 9 w Y X l s b 2 F k L 0 F 1 d G 9 S Z W 1 v d m V k Q 2 9 s d W 1 u c z E u e 0 N v b H V t b j M s M n 0 m c X V v d D s s J n F 1 b 3 Q 7 U 2 V j d G l v b j E v Y 3 Z p Y 1 9 1 c G R h d G V f c G F 5 b G 9 h Z C 9 B d X R v U m V t b 3 Z l Z E N v b H V t b n M x L n t D b 2 x 1 b W 4 0 L D N 9 J n F 1 b 3 Q 7 L C Z x d W 9 0 O 1 N l Y 3 R p b 2 4 x L 2 N 2 a W N f d X B k Y X R l X 3 B h e W x v Y W Q v Q X V 0 b 1 J l b W 9 2 Z W R D b 2 x 1 b W 5 z M S 5 7 Q 2 9 s d W 1 u N S w 0 f S Z x d W 9 0 O y w m c X V v d D t T Z W N 0 a W 9 u M S 9 j d m l j X 3 V w Z G F 0 Z V 9 w Y X l s b 2 F k L 0 F 1 d G 9 S Z W 1 v d m V k Q 2 9 s d W 1 u c z E u e 0 N v b H V t b j Y s N X 0 m c X V v d D s s J n F 1 b 3 Q 7 U 2 V j d G l v b j E v Y 3 Z p Y 1 9 1 c G R h d G V f c G F 5 b G 9 h Z C 9 B d X R v U m V t b 3 Z l Z E N v b H V t b n M x L n t D b 2 x 1 b W 4 3 L D Z 9 J n F 1 b 3 Q 7 L C Z x d W 9 0 O 1 N l Y 3 R p b 2 4 x L 2 N 2 a W N f d X B k Y X R l X 3 B h e W x v Y W Q v Q X V 0 b 1 J l b W 9 2 Z W R D b 2 x 1 b W 5 z M S 5 7 Q 2 9 s d W 1 u O C w 3 f S Z x d W 9 0 O y w m c X V v d D t T Z W N 0 a W 9 u M S 9 j d m l j X 3 V w Z G F 0 Z V 9 w Y X l s b 2 F k L 0 F 1 d G 9 S Z W 1 v d m V k Q 2 9 s d W 1 u c z E u e 0 N v b H V t b j k s O H 0 m c X V v d D s s J n F 1 b 3 Q 7 U 2 V j d G l v b j E v Y 3 Z p Y 1 9 1 c G R h d G V f c G F 5 b G 9 h Z C 9 B d X R v U m V t b 3 Z l Z E N v b H V t b n M x L n t D b 2 x 1 b W 4 x M C w 5 f S Z x d W 9 0 O y w m c X V v d D t T Z W N 0 a W 9 u M S 9 j d m l j X 3 V w Z G F 0 Z V 9 w Y X l s b 2 F k L 0 F 1 d G 9 S Z W 1 v d m V k Q 2 9 s d W 1 u c z E u e 0 N v b H V t b j E x L D E w f S Z x d W 9 0 O y w m c X V v d D t T Z W N 0 a W 9 u M S 9 j d m l j X 3 V w Z G F 0 Z V 9 w Y X l s b 2 F k L 0 F 1 d G 9 S Z W 1 v d m V k Q 2 9 s d W 1 u c z E u e 0 N v b H V t b j E y L D E x f S Z x d W 9 0 O y w m c X V v d D t T Z W N 0 a W 9 u M S 9 j d m l j X 3 V w Z G F 0 Z V 9 w Y X l s b 2 F k L 0 F 1 d G 9 S Z W 1 v d m V k Q 2 9 s d W 1 u c z E u e 0 N v b H V t b j E z L D E y f S Z x d W 9 0 O y w m c X V v d D t T Z W N 0 a W 9 u M S 9 j d m l j X 3 V w Z G F 0 Z V 9 w Y X l s b 2 F k L 0 F 1 d G 9 S Z W 1 v d m V k Q 2 9 s d W 1 u c z E u e 0 N v b H V t b j E 0 L D E z f S Z x d W 9 0 O y w m c X V v d D t T Z W N 0 a W 9 u M S 9 j d m l j X 3 V w Z G F 0 Z V 9 w Y X l s b 2 F k L 0 F 1 d G 9 S Z W 1 v d m V k Q 2 9 s d W 1 u c z E u e 0 N v b H V t b j E 1 L D E 0 f S Z x d W 9 0 O y w m c X V v d D t T Z W N 0 a W 9 u M S 9 j d m l j X 3 V w Z G F 0 Z V 9 w Y X l s b 2 F k L 0 F 1 d G 9 S Z W 1 v d m V k Q 2 9 s d W 1 u c z E u e 0 N v b H V t b j E 2 L D E 1 f S Z x d W 9 0 O y w m c X V v d D t T Z W N 0 a W 9 u M S 9 j d m l j X 3 V w Z G F 0 Z V 9 w Y X l s b 2 F k L 0 F 1 d G 9 S Z W 1 v d m V k Q 2 9 s d W 1 u c z E u e 0 N v b H V t b j E 3 L D E 2 f S Z x d W 9 0 O y w m c X V v d D t T Z W N 0 a W 9 u M S 9 j d m l j X 3 V w Z G F 0 Z V 9 w Y X l s b 2 F k L 0 F 1 d G 9 S Z W 1 v d m V k Q 2 9 s d W 1 u c z E u e 0 N v b H V t b j E 4 L D E 3 f S Z x d W 9 0 O y w m c X V v d D t T Z W N 0 a W 9 u M S 9 j d m l j X 3 V w Z G F 0 Z V 9 w Y X l s b 2 F k L 0 F 1 d G 9 S Z W 1 v d m V k Q 2 9 s d W 1 u c z E u e 0 N v b H V t b j E 5 L D E 4 f S Z x d W 9 0 O y w m c X V v d D t T Z W N 0 a W 9 u M S 9 j d m l j X 3 V w Z G F 0 Z V 9 w Y X l s b 2 F k L 0 F 1 d G 9 S Z W 1 v d m V k Q 2 9 s d W 1 u c z E u e 0 N v b H V t b j I w L D E 5 f S Z x d W 9 0 O y w m c X V v d D t T Z W N 0 a W 9 u M S 9 j d m l j X 3 V w Z G F 0 Z V 9 w Y X l s b 2 F k L 0 F 1 d G 9 S Z W 1 v d m V k Q 2 9 s d W 1 u c z E u e 0 N v b H V t b j I x L D I w f S Z x d W 9 0 O y w m c X V v d D t T Z W N 0 a W 9 u M S 9 j d m l j X 3 V w Z G F 0 Z V 9 w Y X l s b 2 F k L 0 F 1 d G 9 S Z W 1 v d m V k Q 2 9 s d W 1 u c z E u e 0 N v b H V t b j I y L D I x f S Z x d W 9 0 O y w m c X V v d D t T Z W N 0 a W 9 u M S 9 j d m l j X 3 V w Z G F 0 Z V 9 w Y X l s b 2 F k L 0 F 1 d G 9 S Z W 1 v d m V k Q 2 9 s d W 1 u c z E u e 0 N v b H V t b j I z L D I y f S Z x d W 9 0 O y w m c X V v d D t T Z W N 0 a W 9 u M S 9 j d m l j X 3 V w Z G F 0 Z V 9 w Y X l s b 2 F k L 0 F 1 d G 9 S Z W 1 v d m V k Q 2 9 s d W 1 u c z E u e 0 N v b H V t b j I 0 L D I z f S Z x d W 9 0 O y w m c X V v d D t T Z W N 0 a W 9 u M S 9 j d m l j X 3 V w Z G F 0 Z V 9 w Y X l s b 2 F k L 0 F 1 d G 9 S Z W 1 v d m V k Q 2 9 s d W 1 u c z E u e 0 N v b H V t b j I 1 L D I 0 f S Z x d W 9 0 O y w m c X V v d D t T Z W N 0 a W 9 u M S 9 j d m l j X 3 V w Z G F 0 Z V 9 w Y X l s b 2 F k L 0 F 1 d G 9 S Z W 1 v d m V k Q 2 9 s d W 1 u c z E u e 0 N v b H V t b j I 2 L D I 1 f S Z x d W 9 0 O y w m c X V v d D t T Z W N 0 a W 9 u M S 9 j d m l j X 3 V w Z G F 0 Z V 9 w Y X l s b 2 F k L 0 F 1 d G 9 S Z W 1 v d m V k Q 2 9 s d W 1 u c z E u e 0 N v b H V t b j I 3 L D I 2 f S Z x d W 9 0 O y w m c X V v d D t T Z W N 0 a W 9 u M S 9 j d m l j X 3 V w Z G F 0 Z V 9 w Y X l s b 2 F k L 0 F 1 d G 9 S Z W 1 v d m V k Q 2 9 s d W 1 u c z E u e 0 N v b H V t b j I 4 L D I 3 f S Z x d W 9 0 O y w m c X V v d D t T Z W N 0 a W 9 u M S 9 j d m l j X 3 V w Z G F 0 Z V 9 w Y X l s b 2 F k L 0 F 1 d G 9 S Z W 1 v d m V k Q 2 9 s d W 1 u c z E u e 0 N v b H V t b j I 5 L D I 4 f S Z x d W 9 0 O y w m c X V v d D t T Z W N 0 a W 9 u M S 9 j d m l j X 3 V w Z G F 0 Z V 9 w Y X l s b 2 F k L 0 F 1 d G 9 S Z W 1 v d m V k Q 2 9 s d W 1 u c z E u e 0 N v b H V t b j M w L D I 5 f S Z x d W 9 0 O y w m c X V v d D t T Z W N 0 a W 9 u M S 9 j d m l j X 3 V w Z G F 0 Z V 9 w Y X l s b 2 F k L 0 F 1 d G 9 S Z W 1 v d m V k Q 2 9 s d W 1 u c z E u e 0 N v b H V t b j M x L D M w f S Z x d W 9 0 O y w m c X V v d D t T Z W N 0 a W 9 u M S 9 j d m l j X 3 V w Z G F 0 Z V 9 w Y X l s b 2 F k L 0 F 1 d G 9 S Z W 1 v d m V k Q 2 9 s d W 1 u c z E u e 0 N v b H V t b j M y L D M x f S Z x d W 9 0 O y w m c X V v d D t T Z W N 0 a W 9 u M S 9 j d m l j X 3 V w Z G F 0 Z V 9 w Y X l s b 2 F k L 0 F 1 d G 9 S Z W 1 v d m V k Q 2 9 s d W 1 u c z E u e 0 N v b H V t b j M z L D M y f S Z x d W 9 0 O y w m c X V v d D t T Z W N 0 a W 9 u M S 9 j d m l j X 3 V w Z G F 0 Z V 9 w Y X l s b 2 F k L 0 F 1 d G 9 S Z W 1 v d m V k Q 2 9 s d W 1 u c z E u e 0 N v b H V t b j M 0 L D M z f S Z x d W 9 0 O y w m c X V v d D t T Z W N 0 a W 9 u M S 9 j d m l j X 3 V w Z G F 0 Z V 9 w Y X l s b 2 F k L 0 F 1 d G 9 S Z W 1 v d m V k Q 2 9 s d W 1 u c z E u e 0 N v b H V t b j M 1 L D M 0 f S Z x d W 9 0 O y w m c X V v d D t T Z W N 0 a W 9 u M S 9 j d m l j X 3 V w Z G F 0 Z V 9 w Y X l s b 2 F k L 0 F 1 d G 9 S Z W 1 v d m V k Q 2 9 s d W 1 u c z E u e 0 N v b H V t b j M 2 L D M 1 f S Z x d W 9 0 O y w m c X V v d D t T Z W N 0 a W 9 u M S 9 j d m l j X 3 V w Z G F 0 Z V 9 w Y X l s b 2 F k L 0 F 1 d G 9 S Z W 1 v d m V k Q 2 9 s d W 1 u c z E u e 0 N v b H V t b j M 3 L D M 2 f S Z x d W 9 0 O y w m c X V v d D t T Z W N 0 a W 9 u M S 9 j d m l j X 3 V w Z G F 0 Z V 9 w Y X l s b 2 F k L 0 F 1 d G 9 S Z W 1 v d m V k Q 2 9 s d W 1 u c z E u e 0 N v b H V t b j M 4 L D M 3 f S Z x d W 9 0 O y w m c X V v d D t T Z W N 0 a W 9 u M S 9 j d m l j X 3 V w Z G F 0 Z V 9 w Y X l s b 2 F k L 0 F 1 d G 9 S Z W 1 v d m V k Q 2 9 s d W 1 u c z E u e 0 N v b H V t b j M 5 L D M 4 f S Z x d W 9 0 O y w m c X V v d D t T Z W N 0 a W 9 u M S 9 j d m l j X 3 V w Z G F 0 Z V 9 w Y X l s b 2 F k L 0 F 1 d G 9 S Z W 1 v d m V k Q 2 9 s d W 1 u c z E u e 0 N v b H V t b j Q w L D M 5 f S Z x d W 9 0 O y w m c X V v d D t T Z W N 0 a W 9 u M S 9 j d m l j X 3 V w Z G F 0 Z V 9 w Y X l s b 2 F k L 0 F 1 d G 9 S Z W 1 v d m V k Q 2 9 s d W 1 u c z E u e 0 N v b H V t b j Q x L D Q w f S Z x d W 9 0 O y w m c X V v d D t T Z W N 0 a W 9 u M S 9 j d m l j X 3 V w Z G F 0 Z V 9 w Y X l s b 2 F k L 0 F 1 d G 9 S Z W 1 v d m V k Q 2 9 s d W 1 u c z E u e 0 N v b H V t b j Q y L D Q x f S Z x d W 9 0 O y w m c X V v d D t T Z W N 0 a W 9 u M S 9 j d m l j X 3 V w Z G F 0 Z V 9 w Y X l s b 2 F k L 0 F 1 d G 9 S Z W 1 v d m V k Q 2 9 s d W 1 u c z E u e 0 N v b H V t b j Q z L D Q y f S Z x d W 9 0 O y w m c X V v d D t T Z W N 0 a W 9 u M S 9 j d m l j X 3 V w Z G F 0 Z V 9 w Y X l s b 2 F k L 0 F 1 d G 9 S Z W 1 v d m V k Q 2 9 s d W 1 u c z E u e 0 N v b H V t b j Q 0 L D Q z f S Z x d W 9 0 O y w m c X V v d D t T Z W N 0 a W 9 u M S 9 j d m l j X 3 V w Z G F 0 Z V 9 w Y X l s b 2 F k L 0 F 1 d G 9 S Z W 1 v d m V k Q 2 9 s d W 1 u c z E u e 0 N v b H V t b j Q 1 L D Q 0 f S Z x d W 9 0 O y w m c X V v d D t T Z W N 0 a W 9 u M S 9 j d m l j X 3 V w Z G F 0 Z V 9 w Y X l s b 2 F k L 0 F 1 d G 9 S Z W 1 v d m V k Q 2 9 s d W 1 u c z E u e 0 N v b H V t b j Q 2 L D Q 1 f S Z x d W 9 0 O y w m c X V v d D t T Z W N 0 a W 9 u M S 9 j d m l j X 3 V w Z G F 0 Z V 9 w Y X l s b 2 F k L 0 F 1 d G 9 S Z W 1 v d m V k Q 2 9 s d W 1 u c z E u e 0 N v b H V t b j Q 3 L D Q 2 f S Z x d W 9 0 O y w m c X V v d D t T Z W N 0 a W 9 u M S 9 j d m l j X 3 V w Z G F 0 Z V 9 w Y X l s b 2 F k L 0 F 1 d G 9 S Z W 1 v d m V k Q 2 9 s d W 1 u c z E u e 0 N v b H V t b j Q 4 L D Q 3 f S Z x d W 9 0 O y w m c X V v d D t T Z W N 0 a W 9 u M S 9 j d m l j X 3 V w Z G F 0 Z V 9 w Y X l s b 2 F k L 0 F 1 d G 9 S Z W 1 v d m V k Q 2 9 s d W 1 u c z E u e 0 N v b H V t b j Q 5 L D Q 4 f S Z x d W 9 0 O y w m c X V v d D t T Z W N 0 a W 9 u M S 9 j d m l j X 3 V w Z G F 0 Z V 9 w Y X l s b 2 F k L 0 F 1 d G 9 S Z W 1 v d m V k Q 2 9 s d W 1 u c z E u e 0 N v b H V t b j U w L D Q 5 f S Z x d W 9 0 O 1 0 s J n F 1 b 3 Q 7 U m V s Y X R p b 2 5 z a G l w S W 5 m b y Z x d W 9 0 O z p b X X 0 i I C 8 + P C 9 T d G F i b G V F b n R y a W V z P j w v S X R l b T 4 8 S X R l b T 4 8 S X R l b U x v Y 2 F 0 a W 9 u P j x J d G V t V H l w Z T 5 G b 3 J t d W x h P C 9 J d G V t V H l w Z T 4 8 S X R l b V B h d G g + U 2 V j d G l v b j E v Y 3 Z p Y 1 9 1 c G R h d G V f c G F 5 b G 9 h Z C 9 T b 3 V y Y 2 U 8 L 0 l 0 Z W 1 Q Y X R o P j w v S X R l b U x v Y 2 F 0 a W 9 u P j x T d G F i b G V F b n R y a W V z I C 8 + P C 9 J d G V t P j x J d G V t P j x J d G V t T G 9 j Y X R p b 2 4 + P E l 0 Z W 1 U e X B l P k Z v c m 1 1 b G E 8 L 0 l 0 Z W 1 U e X B l P j x J d G V t U G F 0 a D 5 T Z W N 0 a W 9 u M S 9 j d m l j X 3 V w Z G F 0 Z V 9 w Y X l s b 2 F k L 0 N o Y W 5 n Z W Q l M j B U e X B l P C 9 J d G V t U G F 0 a D 4 8 L 0 l 0 Z W 1 M b 2 N h d G l v b j 4 8 U 3 R h Y m x l R W 5 0 c m l l c y A v P j w v S X R l b T 4 8 L 0 l 0 Z W 1 z P j w v T G 9 j Y W x Q Y W N r Y W d l T W V 0 Y W R h d G F G a W x l P h Y A A A B Q S w U G A A A A A A A A A A A A A A A A A A A A A A A A J g E A A A E A A A D Q j J 3 f A R X R E Y x 6 A M B P w p f r A Q A A A C f C S M X n z Y x O u H j C K x 1 K e K A A A A A A A g A A A A A A E G Y A A A A B A A A g A A A A T T F V H z V B i 2 P Y u y h a y o / e h O l G h Q q V 4 7 J c d V 6 l j I 0 c v / M A A A A A D o A A A A A C A A A g A A A A H g F M R V y + 2 H j Q F q a N S f j 1 g G K v b Q i L Y a 8 W B 2 K D 5 7 a V B X 9 Q A A A A F a y 4 n 5 F g O d g A K O c / D I x n 0 n v G D / Q P W K a z E e o I C 7 c p L e 0 Z 7 A q M 4 1 x q j A Y X 7 C Y O k g z y W Y w r 6 K P 4 P r 2 Y C o G d r H M P G I o V Z h J x m W G K V O a 4 J J 3 C P 3 R A A A A A 6 d O n + o j 4 K w r m n c w e u c H g X 4 u k F A G E L b T s 7 B K K z 5 b c + f s 3 N t k N G D + f r j 0 o R n l C y r e O v d z 3 u P L q x v s H X D H Z e B w B g A = = < / D a t a M a s h u p > 
</file>

<file path=customXml/itemProps1.xml><?xml version="1.0" encoding="utf-8"?>
<ds:datastoreItem xmlns:ds="http://schemas.openxmlformats.org/officeDocument/2006/customXml" ds:itemID="{D8E0B5D4-1281-4CE6-A0AD-A588CD3F53C6}">
  <ds:schemaRefs>
    <ds:schemaRef ds:uri="http://schemas.microsoft.com/sharepoint/v3/contenttype/forms"/>
  </ds:schemaRefs>
</ds:datastoreItem>
</file>

<file path=customXml/itemProps2.xml><?xml version="1.0" encoding="utf-8"?>
<ds:datastoreItem xmlns:ds="http://schemas.openxmlformats.org/officeDocument/2006/customXml" ds:itemID="{70344151-86E1-4C24-A564-AEB94F11B8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6506e2-5d24-4f0f-ad73-32f4569b6bed"/>
    <ds:schemaRef ds:uri="dda789e9-4a07-4941-aa07-95c574e702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6D59534-775B-4DBD-A9BA-B9EC8B8280A9}">
  <ds:schemaRefs>
    <ds:schemaRef ds:uri="http://purl.org/dc/elements/1.1/"/>
    <ds:schemaRef ds:uri="http://www.w3.org/XML/1998/namespace"/>
    <ds:schemaRef ds:uri="http://purl.org/dc/terms/"/>
    <ds:schemaRef ds:uri="http://purl.org/dc/dcmitype/"/>
    <ds:schemaRef ds:uri="9f6506e2-5d24-4f0f-ad73-32f4569b6bed"/>
    <ds:schemaRef ds:uri="dda789e9-4a07-4941-aa07-95c574e7023e"/>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4.xml><?xml version="1.0" encoding="utf-8"?>
<ds:datastoreItem xmlns:ds="http://schemas.openxmlformats.org/officeDocument/2006/customXml" ds:itemID="{BCADD741-C831-45CE-8A62-CD1E7B3E45D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37</vt:i4>
      </vt:variant>
      <vt:variant>
        <vt:lpstr>Named Ranges</vt:lpstr>
      </vt:variant>
      <vt:variant>
        <vt:i4>255</vt:i4>
      </vt:variant>
    </vt:vector>
  </HeadingPairs>
  <TitlesOfParts>
    <vt:vector size="292" baseType="lpstr">
      <vt:lpstr>A1. START HERE</vt:lpstr>
      <vt:lpstr>A2. INPUT Population &amp; Delivery</vt:lpstr>
      <vt:lpstr>A3. INPUT Unit Costs</vt:lpstr>
      <vt:lpstr>A4. INPUT Central Costs</vt:lpstr>
      <vt:lpstr>B1. Target Population</vt:lpstr>
      <vt:lpstr>B2. Vaccines and Supplies</vt:lpstr>
      <vt:lpstr>B3. International Logistics</vt:lpstr>
      <vt:lpstr>B4. Domestic Logistics</vt:lpstr>
      <vt:lpstr>B5. Last Mile Delivery</vt:lpstr>
      <vt:lpstr>R1. OUTPUTS</vt:lpstr>
      <vt:lpstr>R2. Resource Mapping</vt:lpstr>
      <vt:lpstr>T0. Language Parameters</vt:lpstr>
      <vt:lpstr>T1. Vaccines</vt:lpstr>
      <vt:lpstr>T1s. Vaccine-related Supplies</vt:lpstr>
      <vt:lpstr>T1i. Vaccines</vt:lpstr>
      <vt:lpstr>T2. Misc</vt:lpstr>
      <vt:lpstr>T3. WB WHO</vt:lpstr>
      <vt:lpstr>T4. GAVI AMC ADB</vt:lpstr>
      <vt:lpstr>T5a. UN WPP 2019</vt:lpstr>
      <vt:lpstr>T5b. WDI SP.POP.TOTL 2020</vt:lpstr>
      <vt:lpstr>T6a. FOREX (XML)</vt:lpstr>
      <vt:lpstr>T6b. FOREX</vt:lpstr>
      <vt:lpstr>T7. UN Households</vt:lpstr>
      <vt:lpstr>T8. ISO2TLC</vt:lpstr>
      <vt:lpstr>T9. Shipping</vt:lpstr>
      <vt:lpstr>T10. WHO HRH NHWA</vt:lpstr>
      <vt:lpstr>T11. CCE GAVI</vt:lpstr>
      <vt:lpstr>GGX WEO202010 ENDA_XDC_USD_RATE</vt:lpstr>
      <vt:lpstr>GHED Data Nathalie</vt:lpstr>
      <vt:lpstr>T12. Gross Mnthly Salaries 2020</vt:lpstr>
      <vt:lpstr>T13b. WHO GHED 2018 - 26JAN2021</vt:lpstr>
      <vt:lpstr>T13c. Vaccine Exp (6520)</vt:lpstr>
      <vt:lpstr>SP.DYN.CBRT.IN</vt:lpstr>
      <vt:lpstr>SH.STA.DIAB.ZS</vt:lpstr>
      <vt:lpstr>SP.URB.TOTL.IN.ZS</vt:lpstr>
      <vt:lpstr>AG.SRF.TOTL.K2</vt:lpstr>
      <vt:lpstr>EN.URB.LCTY.UR.ZS</vt:lpstr>
      <vt:lpstr>_30DTR</vt:lpstr>
      <vt:lpstr>_Capacity_Segmentation</vt:lpstr>
      <vt:lpstr>_ColdBoxRange</vt:lpstr>
      <vt:lpstr>_F</vt:lpstr>
      <vt:lpstr>_ILR</vt:lpstr>
      <vt:lpstr>_Offset_Index_VaccineSupplies</vt:lpstr>
      <vt:lpstr>_Offset_Index_VaccineSupplies_Index</vt:lpstr>
      <vt:lpstr>_Offset_Index_VaccineSupplyPrices</vt:lpstr>
      <vt:lpstr>_RBF</vt:lpstr>
      <vt:lpstr>_RTMDs</vt:lpstr>
      <vt:lpstr>_SDD_F</vt:lpstr>
      <vt:lpstr>_SDD_R</vt:lpstr>
      <vt:lpstr>_UCC</vt:lpstr>
      <vt:lpstr>_WICR</vt:lpstr>
      <vt:lpstr>_WIFR</vt:lpstr>
      <vt:lpstr>_YesNo</vt:lpstr>
      <vt:lpstr>Ad_valorem</vt:lpstr>
      <vt:lpstr>Ad_valorem_supplies</vt:lpstr>
      <vt:lpstr>AEFI_MaxPerPeriod</vt:lpstr>
      <vt:lpstr>AMC_CostSharing</vt:lpstr>
      <vt:lpstr>AMC_Status</vt:lpstr>
      <vt:lpstr>AUCs_AddInterventions_perPerson</vt:lpstr>
      <vt:lpstr>AUCs_AddInterventions_perSite</vt:lpstr>
      <vt:lpstr>AUCs_CentralSecurity_perDay</vt:lpstr>
      <vt:lpstr>AUCs_Comms_PerPerson_Vol</vt:lpstr>
      <vt:lpstr>AUCs_Comms_PerPerson_Workbased</vt:lpstr>
      <vt:lpstr>AUCs_Comms_PerSite</vt:lpstr>
      <vt:lpstr>AUCs_Data_perSite</vt:lpstr>
      <vt:lpstr>AUCs_Data_perSiteperDay</vt:lpstr>
      <vt:lpstr>AUCs_HRH_perHRHperDayOther</vt:lpstr>
      <vt:lpstr>AUCs_HRH_PerUniqueHRH</vt:lpstr>
      <vt:lpstr>AUCs_MobileA_PerTeam_PerDay</vt:lpstr>
      <vt:lpstr>AUCs_MobileB_PerTeam_PerDay</vt:lpstr>
      <vt:lpstr>AUCs_PPE_perHRH</vt:lpstr>
      <vt:lpstr>AUCs_PPE_perHRHperDay</vt:lpstr>
      <vt:lpstr>AUCs_Security_perSiteperDay</vt:lpstr>
      <vt:lpstr>AUCs_Security_perTeamperDay</vt:lpstr>
      <vt:lpstr>AUCs_Security_PerTrip</vt:lpstr>
      <vt:lpstr>Candidate_Vaccines</vt:lpstr>
      <vt:lpstr>Car_MaxPersonnel</vt:lpstr>
      <vt:lpstr>Car_PerKM_USD</vt:lpstr>
      <vt:lpstr>CBR</vt:lpstr>
      <vt:lpstr>Central_Level_Activities_Duration_Months</vt:lpstr>
      <vt:lpstr>che_usd_pc</vt:lpstr>
      <vt:lpstr>ColdChain_SDD_Proportion</vt:lpstr>
      <vt:lpstr>Copyright_Statement</vt:lpstr>
      <vt:lpstr>'B1. Target Population'!Countrey_Codes</vt:lpstr>
      <vt:lpstr>'B2. Vaccines and Supplies'!Countrey_Codes</vt:lpstr>
      <vt:lpstr>'R2. Resource Mapping'!Countrey_Codes</vt:lpstr>
      <vt:lpstr>'T1s. Vaccine-related Supplies'!Countrey_Codes</vt:lpstr>
      <vt:lpstr>Countrey_Codes</vt:lpstr>
      <vt:lpstr>Country_Code</vt:lpstr>
      <vt:lpstr>Country_Name</vt:lpstr>
      <vt:lpstr>Covax_3Year_Total</vt:lpstr>
      <vt:lpstr>Covax_Fullyloaded</vt:lpstr>
      <vt:lpstr>Covax_Fullyloaded_NoFaultCompensation</vt:lpstr>
      <vt:lpstr>Covax_Fullyloaded_Shipping</vt:lpstr>
      <vt:lpstr>Covax_Fullyloaded_WasteManagement</vt:lpstr>
      <vt:lpstr>COVAX_Indicated_Proportion</vt:lpstr>
      <vt:lpstr>COVAX_Indicated_Proportion_forcalculations</vt:lpstr>
      <vt:lpstr>COVAX_Indicated_Proportion_Stage1_forcalculations</vt:lpstr>
      <vt:lpstr>COVAX_Indicated_Proportion_Stage2_forcalculations</vt:lpstr>
      <vt:lpstr>COVAX_Status</vt:lpstr>
      <vt:lpstr>Critical_Sites</vt:lpstr>
      <vt:lpstr>CriticalPopulation_CometoSite</vt:lpstr>
      <vt:lpstr>CriticalPopulation_MobileA</vt:lpstr>
      <vt:lpstr>CriticalPopulation_MobileB</vt:lpstr>
      <vt:lpstr>CVIC_Version</vt:lpstr>
      <vt:lpstr>DataVal_1or2</vt:lpstr>
      <vt:lpstr>DataVal_B1.2_Max</vt:lpstr>
      <vt:lpstr>DataVal_VaccineAdministrationRoute</vt:lpstr>
      <vt:lpstr>DataVal_VaccineStorageRequirements</vt:lpstr>
      <vt:lpstr>DataVal_Variants</vt:lpstr>
      <vt:lpstr>DataVal_WHOShippingClass</vt:lpstr>
      <vt:lpstr>DataVal_YesNo</vt:lpstr>
      <vt:lpstr>Disclaimer_Accepted</vt:lpstr>
      <vt:lpstr>District_Stores</vt:lpstr>
      <vt:lpstr>DM1_Site_Distances</vt:lpstr>
      <vt:lpstr>DM1_Vaccine</vt:lpstr>
      <vt:lpstr>DM1_Vaccine_USD</vt:lpstr>
      <vt:lpstr>DM1to2_Voluntary</vt:lpstr>
      <vt:lpstr>DM1to2_Workbased</vt:lpstr>
      <vt:lpstr>DM2_Site_Distances</vt:lpstr>
      <vt:lpstr>DM2_Vaccine</vt:lpstr>
      <vt:lpstr>DM2_Vaccine_USD</vt:lpstr>
      <vt:lpstr>DM3_Site_Distances</vt:lpstr>
      <vt:lpstr>DM3_Vaccine</vt:lpstr>
      <vt:lpstr>DM3_Vaccine_USD</vt:lpstr>
      <vt:lpstr>DM4_ColdLife</vt:lpstr>
      <vt:lpstr>DM4_Site_Distances</vt:lpstr>
      <vt:lpstr>DM4_Vaccine</vt:lpstr>
      <vt:lpstr>DM4_Vaccine_USD</vt:lpstr>
      <vt:lpstr>ext_usd_pc</vt:lpstr>
      <vt:lpstr>FCAS</vt:lpstr>
      <vt:lpstr>FTE_WorkingDays_perPeriod</vt:lpstr>
      <vt:lpstr>GAVI56_Status</vt:lpstr>
      <vt:lpstr>gghe_usd_pc</vt:lpstr>
      <vt:lpstr>gghed_usd_pc</vt:lpstr>
      <vt:lpstr>Handling_perShipment_USD</vt:lpstr>
      <vt:lpstr>Help</vt:lpstr>
      <vt:lpstr>HH_Additional_Vaccines</vt:lpstr>
      <vt:lpstr>hk_usd_pc</vt:lpstr>
      <vt:lpstr>Household_Size_Value</vt:lpstr>
      <vt:lpstr>HR_Inst_Sites</vt:lpstr>
      <vt:lpstr>HR_Inst_Staff</vt:lpstr>
      <vt:lpstr>HRH_DailySupplement_USD</vt:lpstr>
      <vt:lpstr>HRH_DaysPerWeek</vt:lpstr>
      <vt:lpstr>HRH_DefaultDays_DM1to3</vt:lpstr>
      <vt:lpstr>HRH_DefaultDays_DM1to3_UCC</vt:lpstr>
      <vt:lpstr>HRH_DefaultDays_DM4</vt:lpstr>
      <vt:lpstr>HRH_Hourly_USD</vt:lpstr>
      <vt:lpstr>HRH_HoursPerDay</vt:lpstr>
      <vt:lpstr>HRH_MobileTravel_HoursPerDay</vt:lpstr>
      <vt:lpstr>HRH_New_Salary_perMonth</vt:lpstr>
      <vt:lpstr>HRH_NonRedeployed</vt:lpstr>
      <vt:lpstr>HRH_NonRedeployed_Person</vt:lpstr>
      <vt:lpstr>HRH_Redeployable_Percent</vt:lpstr>
      <vt:lpstr>HRH_Redeployed</vt:lpstr>
      <vt:lpstr>HRH_Redeployed_Person</vt:lpstr>
      <vt:lpstr>HRH_Robustness_Bounds</vt:lpstr>
      <vt:lpstr>HRH_Total_Supply</vt:lpstr>
      <vt:lpstr>HRH_Variant_toDisplay</vt:lpstr>
      <vt:lpstr>HRH_Variant_toDisplay_Offset</vt:lpstr>
      <vt:lpstr>Int_Shipments_perPeriod</vt:lpstr>
      <vt:lpstr>kWh_USD</vt:lpstr>
      <vt:lpstr>Lang__A1</vt:lpstr>
      <vt:lpstr>Lang__A2</vt:lpstr>
      <vt:lpstr>Lang__A3</vt:lpstr>
      <vt:lpstr>Lang__A4</vt:lpstr>
      <vt:lpstr>Lang__B1</vt:lpstr>
      <vt:lpstr>Lang__B2</vt:lpstr>
      <vt:lpstr>Lang__B3</vt:lpstr>
      <vt:lpstr>Lang__B4</vt:lpstr>
      <vt:lpstr>Lang__B5</vt:lpstr>
      <vt:lpstr>Lang__R1</vt:lpstr>
      <vt:lpstr>Lang__R2</vt:lpstr>
      <vt:lpstr>Lang__T1</vt:lpstr>
      <vt:lpstr>Lang_AvoidUCC</vt:lpstr>
      <vt:lpstr>Lang_Button_Help</vt:lpstr>
      <vt:lpstr>Lang_Button_Menu</vt:lpstr>
      <vt:lpstr>Lang_Button_NextItem</vt:lpstr>
      <vt:lpstr>Lang_Button_NextPage</vt:lpstr>
      <vt:lpstr>Lang_Button_Results</vt:lpstr>
      <vt:lpstr>Lang_CHECK</vt:lpstr>
      <vt:lpstr>Lang_Committed</vt:lpstr>
      <vt:lpstr>Lang_ConsiderSecurity</vt:lpstr>
      <vt:lpstr>Lang_ConsiderUniversal</vt:lpstr>
      <vt:lpstr>Lang_CovaxNotice</vt:lpstr>
      <vt:lpstr>Lang_DECREASE</vt:lpstr>
      <vt:lpstr>Lang_Deficit</vt:lpstr>
      <vt:lpstr>Lang_Disclaimer_Accepted</vt:lpstr>
      <vt:lpstr>Lang_Disclaimer_Rejected</vt:lpstr>
      <vt:lpstr>Lang_Disclaimer_Text</vt:lpstr>
      <vt:lpstr>Lang_INCREASE</vt:lpstr>
      <vt:lpstr>Lang_InputHere</vt:lpstr>
      <vt:lpstr>Lang_InputHereOverride</vt:lpstr>
      <vt:lpstr>Lang_LCU</vt:lpstr>
      <vt:lpstr>Lang_LeaveBlank</vt:lpstr>
      <vt:lpstr>Lang_LogicFailed</vt:lpstr>
      <vt:lpstr>Lang_LogicPassed</vt:lpstr>
      <vt:lpstr>Lang_No</vt:lpstr>
      <vt:lpstr>'T1s. Vaccine-related Supplies'!Lang_NonCovaxParticipant</vt:lpstr>
      <vt:lpstr>Lang_NonCovaxParticipant</vt:lpstr>
      <vt:lpstr>Lang_Optional</vt:lpstr>
      <vt:lpstr>Lang_Order</vt:lpstr>
      <vt:lpstr>Lang_SelectHere</vt:lpstr>
      <vt:lpstr>Lang_StillMissing</vt:lpstr>
      <vt:lpstr>Lang_Surplus</vt:lpstr>
      <vt:lpstr>Lang_VaccineDatabaseLastUpdate</vt:lpstr>
      <vt:lpstr>Lang_VaccineDatabaseNotice</vt:lpstr>
      <vt:lpstr>Lang_VaccineDatabaseNoticeStartPage</vt:lpstr>
      <vt:lpstr>Lang_VariantLower</vt:lpstr>
      <vt:lpstr>Lang_VariantMedium</vt:lpstr>
      <vt:lpstr>Lang_VariantUpper</vt:lpstr>
      <vt:lpstr>Lang_Yes</vt:lpstr>
      <vt:lpstr>Language</vt:lpstr>
      <vt:lpstr>LCU</vt:lpstr>
      <vt:lpstr>LCU_Name</vt:lpstr>
      <vt:lpstr>LogicChecks_A2</vt:lpstr>
      <vt:lpstr>LogicChecks_A3</vt:lpstr>
      <vt:lpstr>LogicChecks_B1</vt:lpstr>
      <vt:lpstr>LogicChecks_B4</vt:lpstr>
      <vt:lpstr>LR_Inst_Sites</vt:lpstr>
      <vt:lpstr>LR_Inst_Staff</vt:lpstr>
      <vt:lpstr>Menu_Help</vt:lpstr>
      <vt:lpstr>Menu_QuickLinks</vt:lpstr>
      <vt:lpstr>Menu_Timing</vt:lpstr>
      <vt:lpstr>Oversight_Percent</vt:lpstr>
      <vt:lpstr>Pop_AgeGroupAtHighRiskofTransmission</vt:lpstr>
      <vt:lpstr>Pop_EssentialWorkersAndRelatedGroups_Percent</vt:lpstr>
      <vt:lpstr>Pop_HardtoAccess_Percent</vt:lpstr>
      <vt:lpstr>Pop_HCW_CS_Sites</vt:lpstr>
      <vt:lpstr>Pop_HealthWorkers_Percent</vt:lpstr>
      <vt:lpstr>Pop_HR_2021</vt:lpstr>
      <vt:lpstr>Pop_HR_2022</vt:lpstr>
      <vt:lpstr>Pop_HR_2023</vt:lpstr>
      <vt:lpstr>Pop_HR_2024</vt:lpstr>
      <vt:lpstr>Pop_OlderAdultsinResInsts_Percent</vt:lpstr>
      <vt:lpstr>Pop_Pregnant_Percent</vt:lpstr>
      <vt:lpstr>Pop_Priorty_SocDem_Percent</vt:lpstr>
      <vt:lpstr>Pop_Priorty_SocDem_Res_Percent</vt:lpstr>
      <vt:lpstr>Pop_Priorty_SocDem_SpecialHardtoAccess_Percent</vt:lpstr>
      <vt:lpstr>Pop_Total_2020</vt:lpstr>
      <vt:lpstr>Pop_Total_2021</vt:lpstr>
      <vt:lpstr>Pop_Total_2022</vt:lpstr>
      <vt:lpstr>Pop_Total_2023</vt:lpstr>
      <vt:lpstr>Pop_Total_2024</vt:lpstr>
      <vt:lpstr>PreExisting_Percent</vt:lpstr>
      <vt:lpstr>Procurement_Service_Fees_VaccineSupplies</vt:lpstr>
      <vt:lpstr>QuickLinks</vt:lpstr>
      <vt:lpstr>RBF</vt:lpstr>
      <vt:lpstr>RBF_DM1</vt:lpstr>
      <vt:lpstr>RBF_DM2</vt:lpstr>
      <vt:lpstr>RBF_DM3</vt:lpstr>
      <vt:lpstr>RBF_DM4</vt:lpstr>
      <vt:lpstr>Redeployable_Vaccinators</vt:lpstr>
      <vt:lpstr>Regional_Stores</vt:lpstr>
      <vt:lpstr>Reserve_Buffer</vt:lpstr>
      <vt:lpstr>Shipping_perkg_above100</vt:lpstr>
      <vt:lpstr>Shipping_perkg_first100</vt:lpstr>
      <vt:lpstr>Sites_DM1</vt:lpstr>
      <vt:lpstr>Sites_NoColdStorage</vt:lpstr>
      <vt:lpstr>Special_tariff</vt:lpstr>
      <vt:lpstr>Surface_Area_sqkm</vt:lpstr>
      <vt:lpstr>T1_Vaccines_forCombi</vt:lpstr>
      <vt:lpstr>T1_Vaccines_NumSuitable</vt:lpstr>
      <vt:lpstr>Temperature_Electronic_Device_USD</vt:lpstr>
      <vt:lpstr>Time_period</vt:lpstr>
      <vt:lpstr>Timing</vt:lpstr>
      <vt:lpstr>TriggerSensitivity_SurplusDeficit</vt:lpstr>
      <vt:lpstr>UN_WPP_Offset</vt:lpstr>
      <vt:lpstr>UnitPrice_ColdBox</vt:lpstr>
      <vt:lpstr>UnitPrice_Icepacks</vt:lpstr>
      <vt:lpstr>UnitPrice_VaccineCarrier</vt:lpstr>
      <vt:lpstr>Urban_Population_LargestCity_Percent</vt:lpstr>
      <vt:lpstr>Urban_Population_Percent</vt:lpstr>
      <vt:lpstr>USD2LCU</vt:lpstr>
      <vt:lpstr>Vaccinators_Maximum</vt:lpstr>
      <vt:lpstr>Vaccinators_Maximum_Lower</vt:lpstr>
      <vt:lpstr>Vaccinators_Maximum_Upper</vt:lpstr>
      <vt:lpstr>Vaccine_Database_LastUpdate</vt:lpstr>
      <vt:lpstr>Vaccine_Database_Notice</vt:lpstr>
      <vt:lpstr>Vaccine_Database_Notice_StartPage</vt:lpstr>
      <vt:lpstr>Vaccine_Supplies_District_PerPeriod</vt:lpstr>
      <vt:lpstr>Vaccine_Supplies_PerPeriod</vt:lpstr>
      <vt:lpstr>Vaccine_Wastage_Rate</vt:lpstr>
      <vt:lpstr>Volume_Buffer</vt:lpstr>
      <vt:lpstr>WB_WHO_Country_Database</vt:lpstr>
      <vt:lpstr>WHO_Copyright</vt:lpstr>
      <vt:lpstr>WHO_Reference</vt:lpstr>
      <vt:lpstr>WMF</vt:lpstr>
      <vt:lpstr>WMF_DM1</vt:lpstr>
      <vt:lpstr>WMF_DM2</vt:lpstr>
      <vt:lpstr>WMF_DM3</vt:lpstr>
      <vt:lpstr>WMF_DM4</vt:lpstr>
    </vt:vector>
  </TitlesOfParts>
  <Company>Developed by Quanticlear Solutions Sdn Bhd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Covid-19 Vaccination Introduction and Deployment (CVIC) Costing Tool Version 2.1</dc:title>
  <dc:subject>Covid-19 Vaccination Costing</dc:subject>
  <dc:creator>Wei Aun Yap</dc:creator>
  <cp:keywords>CVIC WHO</cp:keywords>
  <dc:description>Support: CVICosting@who.int</dc:description>
  <cp:lastModifiedBy>Wei Aun Yap</cp:lastModifiedBy>
  <cp:lastPrinted>2020-10-15T05:41:07Z</cp:lastPrinted>
  <dcterms:created xsi:type="dcterms:W3CDTF">2020-10-05T03:57:36Z</dcterms:created>
  <dcterms:modified xsi:type="dcterms:W3CDTF">2022-04-20T07:48:35Z</dcterms:modified>
  <cp:contentStatus>Version 2.3</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0x010100A7908F11E5AC7F4BB5EA811083FE2292</vt:lpwstr>
  </property>
</Properties>
</file>